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pivotTables/pivotTable1.xml" ContentType="application/vnd.openxmlformats-officedocument.spreadsheetml.pivotTable+xml"/>
  <Override PartName="/xl/drawings/drawing2.xml" ContentType="application/vnd.openxmlformats-officedocument.drawing+xml"/>
  <Override PartName="/xl/pivotTables/pivotTable2.xml" ContentType="application/vnd.openxmlformats-officedocument.spreadsheetml.pivotTable+xml"/>
  <Override PartName="/xl/drawings/drawing3.xml" ContentType="application/vnd.openxmlformats-officedocument.drawing+xml"/>
  <Override PartName="/xl/drawings/drawing4.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5.xml" ContentType="application/vnd.openxmlformats-officedocument.drawing+xml"/>
  <Override PartName="/xl/tables/table8.xml" ContentType="application/vnd.openxmlformats-officedocument.spreadsheetml.table+xml"/>
  <Override PartName="/xl/tables/table9.xml" ContentType="application/vnd.openxmlformats-officedocument.spreadsheetml.table+xml"/>
  <Override PartName="/xl/drawings/drawing6.xml" ContentType="application/vnd.openxmlformats-officedocument.drawing+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tables/table10.xml" ContentType="application/vnd.openxmlformats-officedocument.spreadsheetml.table+xml"/>
  <Override PartName="/xl/pivotTables/pivotTable3.xml" ContentType="application/vnd.openxmlformats-officedocument.spreadsheetml.pivotTable+xml"/>
  <Override PartName="/xl/drawings/drawing7.xml" ContentType="application/vnd.openxmlformats-officedocument.drawing+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mc:AlternateContent xmlns:mc="http://schemas.openxmlformats.org/markup-compatibility/2006">
    <mc:Choice Requires="x15">
      <x15ac:absPath xmlns:x15ac="http://schemas.microsoft.com/office/spreadsheetml/2010/11/ac" url="I:\Reus\"/>
    </mc:Choice>
  </mc:AlternateContent>
  <workbookProtection workbookAlgorithmName="SHA-512" workbookHashValue="DHlLAJXBR2vAosce577wKP7iCuGmJgfw6VX0LJCfmUWiVWya9oxo6VCP4EcbdZC4Xt5n8QXNpsLCBUTOtCRa2g==" workbookSaltValue="81inY6TGU+qjPdt66R0vwA==" workbookSpinCount="100000" lockStructure="1"/>
  <bookViews>
    <workbookView showSheetTabs="0" xWindow="0" yWindow="0" windowWidth="15360" windowHeight="9735" tabRatio="888" firstSheet="6" activeTab="6"/>
  </bookViews>
  <sheets>
    <sheet name="JENNIFFER" sheetId="4" state="hidden" r:id="rId1"/>
    <sheet name="CHECK LIST" sheetId="22" state="hidden" r:id="rId2"/>
    <sheet name="RANKING" sheetId="20" state="hidden" r:id="rId3"/>
    <sheet name="bdGraficoDoenças" sheetId="17" state="hidden" r:id="rId4"/>
    <sheet name="GRUPO DOENCAS" sheetId="28" state="hidden" r:id="rId5"/>
    <sheet name="Visão Doenças" sheetId="16" state="hidden" r:id="rId6"/>
    <sheet name="GráficoDoenças" sheetId="18" r:id="rId7"/>
    <sheet name="Carga Tributária doenças Po (2" sheetId="23" state="hidden" r:id="rId8"/>
    <sheet name="GráficoMAT" sheetId="24" state="hidden" r:id="rId9"/>
    <sheet name="bdGraficoMAT" sheetId="27" state="hidden" r:id="rId10"/>
    <sheet name="Visão MAT" sheetId="25" state="hidden" r:id="rId11"/>
    <sheet name="Isenc_PisCofins" sheetId="3" state="hidden" r:id="rId12"/>
    <sheet name="TABELA ICMS" sheetId="6" state="hidden" r:id="rId13"/>
    <sheet name="Tabela Federal" sheetId="5" state="hidden" r:id="rId14"/>
    <sheet name="TIPI" sheetId="7" state="hidden" r:id="rId15"/>
    <sheet name="PISCOFINS" sheetId="9" state="hidden" r:id="rId16"/>
    <sheet name="LISTAPOSNEG" sheetId="8" state="hidden" r:id="rId17"/>
  </sheets>
  <definedNames>
    <definedName name="_xlnm._FilterDatabase" localSheetId="11" hidden="1">Isenc_PisCofins!$J$2:$J$1647</definedName>
  </definedNames>
  <calcPr calcId="152511"/>
  <pivotCaches>
    <pivotCache cacheId="0" r:id="rId18"/>
  </pivotCaches>
</workbook>
</file>

<file path=xl/calcChain.xml><?xml version="1.0" encoding="utf-8"?>
<calcChain xmlns="http://schemas.openxmlformats.org/spreadsheetml/2006/main">
  <c r="AF12" i="20" l="1"/>
  <c r="U11" i="23"/>
  <c r="U12" i="23"/>
  <c r="U13" i="23"/>
  <c r="U14" i="23"/>
  <c r="U15" i="23"/>
  <c r="U16" i="23"/>
  <c r="U17" i="23"/>
  <c r="U18" i="23"/>
  <c r="U19" i="23"/>
  <c r="U20" i="23"/>
  <c r="U21" i="23"/>
  <c r="U22" i="23"/>
  <c r="U23" i="23"/>
  <c r="U24" i="23"/>
  <c r="U25" i="23"/>
  <c r="U26" i="23"/>
  <c r="U27" i="23"/>
  <c r="U28" i="23"/>
  <c r="U29" i="23"/>
  <c r="U30" i="23"/>
  <c r="U31" i="23"/>
  <c r="U32" i="23"/>
  <c r="U33" i="23"/>
  <c r="U34" i="23"/>
  <c r="U35" i="23"/>
  <c r="U36" i="23"/>
  <c r="U37" i="23"/>
  <c r="U38" i="23"/>
  <c r="U39" i="23"/>
  <c r="U40" i="23"/>
  <c r="U41" i="23"/>
  <c r="U42" i="23"/>
  <c r="U43" i="23"/>
  <c r="U44" i="23"/>
  <c r="U45" i="23"/>
  <c r="U46" i="23"/>
  <c r="U47" i="23"/>
  <c r="U48" i="23"/>
  <c r="U49" i="23"/>
  <c r="U50" i="23"/>
  <c r="U51" i="23"/>
  <c r="U52" i="23"/>
  <c r="U53" i="23"/>
  <c r="U54" i="23"/>
  <c r="U55" i="23"/>
  <c r="U56" i="23"/>
  <c r="U57" i="23"/>
  <c r="U58" i="23"/>
  <c r="U59" i="23"/>
  <c r="U60" i="23"/>
  <c r="U61" i="23"/>
  <c r="U62" i="23"/>
  <c r="U63" i="23"/>
  <c r="U64" i="23"/>
  <c r="U65" i="23"/>
  <c r="U66" i="23"/>
  <c r="U67" i="23"/>
  <c r="U68" i="23"/>
  <c r="U69" i="23"/>
  <c r="U70" i="23"/>
  <c r="U71" i="23"/>
  <c r="U72" i="23"/>
  <c r="U73" i="23"/>
  <c r="U74" i="23"/>
  <c r="U75" i="23"/>
  <c r="U76" i="23"/>
  <c r="U77" i="23"/>
  <c r="U78" i="23"/>
  <c r="U79" i="23"/>
  <c r="U80" i="23"/>
  <c r="U81" i="23"/>
  <c r="U82" i="23"/>
  <c r="U83" i="23"/>
  <c r="U84" i="23"/>
  <c r="U85" i="23"/>
  <c r="U86" i="23"/>
  <c r="U87" i="23"/>
  <c r="U88" i="23"/>
  <c r="U89" i="23"/>
  <c r="U90" i="23"/>
  <c r="U91" i="23"/>
  <c r="U92" i="23"/>
  <c r="U93" i="23"/>
  <c r="U94" i="23"/>
  <c r="U95" i="23"/>
  <c r="U96" i="23"/>
  <c r="U97" i="23"/>
  <c r="U98" i="23"/>
  <c r="U99" i="23"/>
  <c r="U100" i="23"/>
  <c r="U101" i="23"/>
  <c r="U102" i="23"/>
  <c r="U103" i="23"/>
  <c r="U104" i="23"/>
  <c r="U105" i="23"/>
  <c r="U106" i="23"/>
  <c r="U107" i="23"/>
  <c r="U108" i="23"/>
  <c r="U109" i="23"/>
  <c r="U110" i="23"/>
  <c r="U111" i="23"/>
  <c r="U112" i="23"/>
  <c r="U113" i="23"/>
  <c r="U114" i="23"/>
  <c r="U115" i="23"/>
  <c r="U116" i="23"/>
  <c r="U117" i="23"/>
  <c r="U118" i="23"/>
  <c r="U119" i="23"/>
  <c r="U120" i="23"/>
  <c r="U121" i="23"/>
  <c r="U122" i="23"/>
  <c r="U123" i="23"/>
  <c r="U124" i="23"/>
  <c r="U125" i="23"/>
  <c r="U126" i="23"/>
  <c r="U127" i="23"/>
  <c r="U128" i="23"/>
  <c r="U129" i="23"/>
  <c r="U130" i="23"/>
  <c r="U131" i="23"/>
  <c r="U132" i="23"/>
  <c r="U133" i="23"/>
  <c r="U134" i="23"/>
  <c r="U135" i="23"/>
  <c r="U136" i="23"/>
  <c r="U137" i="23"/>
  <c r="U138" i="23"/>
  <c r="U139" i="23"/>
  <c r="U140" i="23"/>
  <c r="U141" i="23"/>
  <c r="U142" i="23"/>
  <c r="U143" i="23"/>
  <c r="U144" i="23"/>
  <c r="U145" i="23"/>
  <c r="U146" i="23"/>
  <c r="U147" i="23"/>
  <c r="U148" i="23"/>
  <c r="U149" i="23"/>
  <c r="U150" i="23"/>
  <c r="U151" i="23"/>
  <c r="U152" i="23"/>
  <c r="U153" i="23"/>
  <c r="U154" i="23"/>
  <c r="U155" i="23"/>
  <c r="U156" i="23"/>
  <c r="U157" i="23"/>
  <c r="U158" i="23"/>
  <c r="U159" i="23"/>
  <c r="U160" i="23"/>
  <c r="U161" i="23"/>
  <c r="U162" i="23"/>
  <c r="U163" i="23"/>
  <c r="U164" i="23"/>
  <c r="U165" i="23"/>
  <c r="U166" i="23"/>
  <c r="U167" i="23"/>
  <c r="U168" i="23"/>
  <c r="U169" i="23"/>
  <c r="U170" i="23"/>
  <c r="U171" i="23"/>
  <c r="U172" i="23"/>
  <c r="U173" i="23"/>
  <c r="U174" i="23"/>
  <c r="U175" i="23"/>
  <c r="U176" i="23"/>
  <c r="U177" i="23"/>
  <c r="U178" i="23"/>
  <c r="U179" i="23"/>
  <c r="U180" i="23"/>
  <c r="U181" i="23"/>
  <c r="U182" i="23"/>
  <c r="U183" i="23"/>
  <c r="U184" i="23"/>
  <c r="U185" i="23"/>
  <c r="U186" i="23"/>
  <c r="U187" i="23"/>
  <c r="U188" i="23"/>
  <c r="U189" i="23"/>
  <c r="U190" i="23"/>
  <c r="U191" i="23"/>
  <c r="U192" i="23"/>
  <c r="U193" i="23"/>
  <c r="U194" i="23"/>
  <c r="U195" i="23"/>
  <c r="U196" i="23"/>
  <c r="U197" i="23"/>
  <c r="U198" i="23"/>
  <c r="U199" i="23"/>
  <c r="U200" i="23"/>
  <c r="U201" i="23"/>
  <c r="U202" i="23"/>
  <c r="U203" i="23"/>
  <c r="U204" i="23"/>
  <c r="U205" i="23"/>
  <c r="U206" i="23"/>
  <c r="U207" i="23"/>
  <c r="U208" i="23"/>
  <c r="U209" i="23"/>
  <c r="U210" i="23"/>
  <c r="U211" i="23"/>
  <c r="U212" i="23"/>
  <c r="U213" i="23"/>
  <c r="U214" i="23"/>
  <c r="U215" i="23"/>
  <c r="U216" i="23"/>
  <c r="U217" i="23"/>
  <c r="U218" i="23"/>
  <c r="U219" i="23"/>
  <c r="U220" i="23"/>
  <c r="U221" i="23"/>
  <c r="U222" i="23"/>
  <c r="U223" i="23"/>
  <c r="U224" i="23"/>
  <c r="U225" i="23"/>
  <c r="U226" i="23"/>
  <c r="U227" i="23"/>
  <c r="U228" i="23"/>
  <c r="U229" i="23"/>
  <c r="U230" i="23"/>
  <c r="U231" i="23"/>
  <c r="U232" i="23"/>
  <c r="U233" i="23"/>
  <c r="U234" i="23"/>
  <c r="U235" i="23"/>
  <c r="U236" i="23"/>
  <c r="U237" i="23"/>
  <c r="U238" i="23"/>
  <c r="U239" i="23"/>
  <c r="U240" i="23"/>
  <c r="U241" i="23"/>
  <c r="U242" i="23"/>
  <c r="U243" i="23"/>
  <c r="U244" i="23"/>
  <c r="U245" i="23"/>
  <c r="U246" i="23"/>
  <c r="U247" i="23"/>
  <c r="U248" i="23"/>
  <c r="U249" i="23"/>
  <c r="U250" i="23"/>
  <c r="U251" i="23"/>
  <c r="U252" i="23"/>
  <c r="U253" i="23"/>
  <c r="U254" i="23"/>
  <c r="U255" i="23"/>
  <c r="U256" i="23"/>
  <c r="U257" i="23"/>
  <c r="U258" i="23"/>
  <c r="U259" i="23"/>
  <c r="U260" i="23"/>
  <c r="U261" i="23"/>
  <c r="U262" i="23"/>
  <c r="U263" i="23"/>
  <c r="U264" i="23"/>
  <c r="U265" i="23"/>
  <c r="U266" i="23"/>
  <c r="U267" i="23"/>
  <c r="U268" i="23"/>
  <c r="U269" i="23"/>
  <c r="U270" i="23"/>
  <c r="U271" i="23"/>
  <c r="U272" i="23"/>
  <c r="U273" i="23"/>
  <c r="U274" i="23"/>
  <c r="U275" i="23"/>
  <c r="U276" i="23"/>
  <c r="U277" i="23"/>
  <c r="U278" i="23"/>
  <c r="U279" i="23"/>
  <c r="U280" i="23"/>
  <c r="U281" i="23"/>
  <c r="U282" i="23"/>
  <c r="U283" i="23"/>
  <c r="U284" i="23"/>
  <c r="U285" i="23"/>
  <c r="U286" i="23"/>
  <c r="U287" i="23"/>
  <c r="U288" i="23"/>
  <c r="U289" i="23"/>
  <c r="U290" i="23"/>
  <c r="U291" i="23"/>
  <c r="U292" i="23"/>
  <c r="U293" i="23"/>
  <c r="U294" i="23"/>
  <c r="U295" i="23"/>
  <c r="U296" i="23"/>
  <c r="U297" i="23"/>
  <c r="U298" i="23"/>
  <c r="U299" i="23"/>
  <c r="U300" i="23"/>
  <c r="U301" i="23"/>
  <c r="U302" i="23"/>
  <c r="U303" i="23"/>
  <c r="U304" i="23"/>
  <c r="U305" i="23"/>
  <c r="U306" i="23"/>
  <c r="U307" i="23"/>
  <c r="U308" i="23"/>
  <c r="U309" i="23"/>
  <c r="U310" i="23"/>
  <c r="U311" i="23"/>
  <c r="U312" i="23"/>
  <c r="U313" i="23"/>
  <c r="U314" i="23"/>
  <c r="U315" i="23"/>
  <c r="U316" i="23"/>
  <c r="U317" i="23"/>
  <c r="U318" i="23"/>
  <c r="U319" i="23"/>
  <c r="U320" i="23"/>
  <c r="U321" i="23"/>
  <c r="U322" i="23"/>
  <c r="U323" i="23"/>
  <c r="U324" i="23"/>
  <c r="U325" i="23"/>
  <c r="U326" i="23"/>
  <c r="U327" i="23"/>
  <c r="U328" i="23"/>
  <c r="U329" i="23"/>
  <c r="U330" i="23"/>
  <c r="U331" i="23"/>
  <c r="U332" i="23"/>
  <c r="U333" i="23"/>
  <c r="U334" i="23"/>
  <c r="U335" i="23"/>
  <c r="U336" i="23"/>
  <c r="U337" i="23"/>
  <c r="U338" i="23"/>
  <c r="U339" i="23"/>
  <c r="U340" i="23"/>
  <c r="U341" i="23"/>
  <c r="U342" i="23"/>
  <c r="U343" i="23"/>
  <c r="U344" i="23"/>
  <c r="U345" i="23"/>
  <c r="U346" i="23"/>
  <c r="U347" i="23"/>
  <c r="U348" i="23"/>
  <c r="U349" i="23"/>
  <c r="U350" i="23"/>
  <c r="U351" i="23"/>
  <c r="U352" i="23"/>
  <c r="U353" i="23"/>
  <c r="U354" i="23"/>
  <c r="U355" i="23"/>
  <c r="U356" i="23"/>
  <c r="U357" i="23"/>
  <c r="U358" i="23"/>
  <c r="U359" i="23"/>
  <c r="U360" i="23"/>
  <c r="U361" i="23"/>
  <c r="U362" i="23"/>
  <c r="U363" i="23"/>
  <c r="U364" i="23"/>
  <c r="U365" i="23"/>
  <c r="U366" i="23"/>
  <c r="U367" i="23"/>
  <c r="U368" i="23"/>
  <c r="U369" i="23"/>
  <c r="U370" i="23"/>
  <c r="U371" i="23"/>
  <c r="U372" i="23"/>
  <c r="U373" i="23"/>
  <c r="U374" i="23"/>
  <c r="U375" i="23"/>
  <c r="U376" i="23"/>
  <c r="U377" i="23"/>
  <c r="U378" i="23"/>
  <c r="U379" i="23"/>
  <c r="U380" i="23"/>
  <c r="U381" i="23"/>
  <c r="U382" i="23"/>
  <c r="U383" i="23"/>
  <c r="U384" i="23"/>
  <c r="U385" i="23"/>
  <c r="U386" i="23"/>
  <c r="U387" i="23"/>
  <c r="U388" i="23"/>
  <c r="U389" i="23"/>
  <c r="U390" i="23"/>
  <c r="U391" i="23"/>
  <c r="U392" i="23"/>
  <c r="U393" i="23"/>
  <c r="U394" i="23"/>
  <c r="U395" i="23"/>
  <c r="U396" i="23"/>
  <c r="U397" i="23"/>
  <c r="U398" i="23"/>
  <c r="U399" i="23"/>
  <c r="U400" i="23"/>
  <c r="U401" i="23"/>
  <c r="U402" i="23"/>
  <c r="U403" i="23"/>
  <c r="U404" i="23"/>
  <c r="U405" i="23"/>
  <c r="U406" i="23"/>
  <c r="U407" i="23"/>
  <c r="U408" i="23"/>
  <c r="U409" i="23"/>
  <c r="U410" i="23"/>
  <c r="U411" i="23"/>
  <c r="U412" i="23"/>
  <c r="U413" i="23"/>
  <c r="U414" i="23"/>
  <c r="U415" i="23"/>
  <c r="U416" i="23"/>
  <c r="U417" i="23"/>
  <c r="U418" i="23"/>
  <c r="U419" i="23"/>
  <c r="U420" i="23"/>
  <c r="U421" i="23"/>
  <c r="U422" i="23"/>
  <c r="U423" i="23"/>
  <c r="U424" i="23"/>
  <c r="U425" i="23"/>
  <c r="U426" i="23"/>
  <c r="U427" i="23"/>
  <c r="U428" i="23"/>
  <c r="U429" i="23"/>
  <c r="U430" i="23"/>
  <c r="U431" i="23"/>
  <c r="U432" i="23"/>
  <c r="U433" i="23"/>
  <c r="U434" i="23"/>
  <c r="U435" i="23"/>
  <c r="U436" i="23"/>
  <c r="U437" i="23"/>
  <c r="U438" i="23"/>
  <c r="U439" i="23"/>
  <c r="U440" i="23"/>
  <c r="U441" i="23"/>
  <c r="U442" i="23"/>
  <c r="U443" i="23"/>
  <c r="U444" i="23"/>
  <c r="U445" i="23"/>
  <c r="U446" i="23"/>
  <c r="U447" i="23"/>
  <c r="U448" i="23"/>
  <c r="U449" i="23"/>
  <c r="V11" i="23"/>
  <c r="V14" i="23"/>
  <c r="V15" i="23"/>
  <c r="V16" i="23"/>
  <c r="V17" i="23"/>
  <c r="V31" i="23"/>
  <c r="V32" i="23"/>
  <c r="V58" i="23"/>
  <c r="V59" i="23"/>
  <c r="V65" i="23"/>
  <c r="V72" i="23"/>
  <c r="V73" i="23"/>
  <c r="V85" i="23"/>
  <c r="V86" i="23"/>
  <c r="V88" i="23"/>
  <c r="V93" i="23"/>
  <c r="V98" i="23"/>
  <c r="V138" i="23"/>
  <c r="V139" i="23"/>
  <c r="V140" i="23"/>
  <c r="V145" i="23"/>
  <c r="V147" i="23"/>
  <c r="V149" i="23"/>
  <c r="V150" i="23"/>
  <c r="V151" i="23"/>
  <c r="V152" i="23"/>
  <c r="V153" i="23"/>
  <c r="V157" i="23"/>
  <c r="V159" i="23"/>
  <c r="V163" i="23"/>
  <c r="V166" i="23"/>
  <c r="V167" i="23"/>
  <c r="V185" i="23"/>
  <c r="V186" i="23"/>
  <c r="V187" i="23"/>
  <c r="V188" i="23"/>
  <c r="V189" i="23"/>
  <c r="V190" i="23"/>
  <c r="V192" i="23"/>
  <c r="V193" i="23"/>
  <c r="V194" i="23"/>
  <c r="V195" i="23"/>
  <c r="V196" i="23"/>
  <c r="V197" i="23"/>
  <c r="V200" i="23"/>
  <c r="V203" i="23"/>
  <c r="V204" i="23"/>
  <c r="V205" i="23"/>
  <c r="V206" i="23"/>
  <c r="V207" i="23"/>
  <c r="V208" i="23"/>
  <c r="V209" i="23"/>
  <c r="V210" i="23"/>
  <c r="V211" i="23"/>
  <c r="V219" i="23"/>
  <c r="V225" i="23"/>
  <c r="V226" i="23"/>
  <c r="V228" i="23"/>
  <c r="V229" i="23"/>
  <c r="V230" i="23"/>
  <c r="V231" i="23"/>
  <c r="V232" i="23"/>
  <c r="V235" i="23"/>
  <c r="V237" i="23"/>
  <c r="V241" i="23"/>
  <c r="V244" i="23"/>
  <c r="V245" i="23"/>
  <c r="V251" i="23"/>
  <c r="V270" i="23"/>
  <c r="V271" i="23"/>
  <c r="V276" i="23"/>
  <c r="V277" i="23"/>
  <c r="V278" i="23"/>
  <c r="V280" i="23"/>
  <c r="V282" i="23"/>
  <c r="V283" i="23"/>
  <c r="V288" i="23"/>
  <c r="V291" i="23"/>
  <c r="V292" i="23"/>
  <c r="V293" i="23"/>
  <c r="V298" i="23"/>
  <c r="V299" i="23"/>
  <c r="V303" i="23"/>
  <c r="V304" i="23"/>
  <c r="V305" i="23"/>
  <c r="V306" i="23"/>
  <c r="V307" i="23"/>
  <c r="V308" i="23"/>
  <c r="V310" i="23"/>
  <c r="V312" i="23"/>
  <c r="V313" i="23"/>
  <c r="V330" i="23"/>
  <c r="V331" i="23"/>
  <c r="V339" i="23"/>
  <c r="V341" i="23"/>
  <c r="V344" i="23"/>
  <c r="V345" i="23"/>
  <c r="V346" i="23"/>
  <c r="V347" i="23"/>
  <c r="V348" i="23"/>
  <c r="V350" i="23"/>
  <c r="V354" i="23"/>
  <c r="V360" i="23"/>
  <c r="V361" i="23"/>
  <c r="V362" i="23"/>
  <c r="V363" i="23"/>
  <c r="V364" i="23"/>
  <c r="V365" i="23"/>
  <c r="V373" i="23"/>
  <c r="V374" i="23"/>
  <c r="V375" i="23"/>
  <c r="V376" i="23"/>
  <c r="V377" i="23"/>
  <c r="V378" i="23"/>
  <c r="V379" i="23"/>
  <c r="V380" i="23"/>
  <c r="V382" i="23"/>
  <c r="V383" i="23"/>
  <c r="V384" i="23"/>
  <c r="V385" i="23"/>
  <c r="V390" i="23"/>
  <c r="V391" i="23"/>
  <c r="V392" i="23"/>
  <c r="V393" i="23"/>
  <c r="V394" i="23"/>
  <c r="V395" i="23"/>
  <c r="V396" i="23"/>
  <c r="V397" i="23"/>
  <c r="V407" i="23"/>
  <c r="V408" i="23"/>
  <c r="V409" i="23"/>
  <c r="V410" i="23"/>
  <c r="V413" i="23"/>
  <c r="V414" i="23"/>
  <c r="V416" i="23"/>
  <c r="V420" i="23"/>
  <c r="V421" i="23"/>
  <c r="V422" i="23"/>
  <c r="V423" i="23"/>
  <c r="V424" i="23"/>
  <c r="V426" i="23"/>
  <c r="V427" i="23"/>
  <c r="V428" i="23"/>
  <c r="V429" i="23"/>
  <c r="V433" i="23"/>
  <c r="W11" i="23"/>
  <c r="W12" i="23"/>
  <c r="W13" i="23"/>
  <c r="W14" i="23"/>
  <c r="W15" i="23"/>
  <c r="W16" i="23"/>
  <c r="W17" i="23"/>
  <c r="W18" i="23"/>
  <c r="W19" i="23"/>
  <c r="W20" i="23"/>
  <c r="W21" i="23"/>
  <c r="W22" i="23"/>
  <c r="W23" i="23"/>
  <c r="W24" i="23"/>
  <c r="W25" i="23"/>
  <c r="W29" i="23"/>
  <c r="W30" i="23"/>
  <c r="W31" i="23"/>
  <c r="W32" i="23"/>
  <c r="W33" i="23"/>
  <c r="W34" i="23"/>
  <c r="W35" i="23"/>
  <c r="W36" i="23"/>
  <c r="W37" i="23"/>
  <c r="W38" i="23"/>
  <c r="W39" i="23"/>
  <c r="W41" i="23"/>
  <c r="W42" i="23"/>
  <c r="W43" i="23"/>
  <c r="W45" i="23"/>
  <c r="W46" i="23"/>
  <c r="W47" i="23"/>
  <c r="W48" i="23"/>
  <c r="W50" i="23"/>
  <c r="W51" i="23"/>
  <c r="W52" i="23"/>
  <c r="W53" i="23"/>
  <c r="W54" i="23"/>
  <c r="W55" i="23"/>
  <c r="W56" i="23"/>
  <c r="W57" i="23"/>
  <c r="W58" i="23"/>
  <c r="W59" i="23"/>
  <c r="W60" i="23"/>
  <c r="W61" i="23"/>
  <c r="W62" i="23"/>
  <c r="W63" i="23"/>
  <c r="W64" i="23"/>
  <c r="W66" i="23"/>
  <c r="W67" i="23"/>
  <c r="W68" i="23"/>
  <c r="W69" i="23"/>
  <c r="W70" i="23"/>
  <c r="W71" i="23"/>
  <c r="W72" i="23"/>
  <c r="W73" i="23"/>
  <c r="W74" i="23"/>
  <c r="W75" i="23"/>
  <c r="W76" i="23"/>
  <c r="W77" i="23"/>
  <c r="W78" i="23"/>
  <c r="W79" i="23"/>
  <c r="W80" i="23"/>
  <c r="W81" i="23"/>
  <c r="W82" i="23"/>
  <c r="W83" i="23"/>
  <c r="W84" i="23"/>
  <c r="W88" i="23"/>
  <c r="W89" i="23"/>
  <c r="W90" i="23"/>
  <c r="W91" i="23"/>
  <c r="W92" i="23"/>
  <c r="W93" i="23"/>
  <c r="W94" i="23"/>
  <c r="W95" i="23"/>
  <c r="W96" i="23"/>
  <c r="W97" i="23"/>
  <c r="W98" i="23"/>
  <c r="W99" i="23"/>
  <c r="W100" i="23"/>
  <c r="W101" i="23"/>
  <c r="W102" i="23"/>
  <c r="W103" i="23"/>
  <c r="W104" i="23"/>
  <c r="W105" i="23"/>
  <c r="W106" i="23"/>
  <c r="W107" i="23"/>
  <c r="W108" i="23"/>
  <c r="W109" i="23"/>
  <c r="W110" i="23"/>
  <c r="W111" i="23"/>
  <c r="W112" i="23"/>
  <c r="W113" i="23"/>
  <c r="W114" i="23"/>
  <c r="W115" i="23"/>
  <c r="W116" i="23"/>
  <c r="W117" i="23"/>
  <c r="W118" i="23"/>
  <c r="W119" i="23"/>
  <c r="W120" i="23"/>
  <c r="W121" i="23"/>
  <c r="W122" i="23"/>
  <c r="W123" i="23"/>
  <c r="W124" i="23"/>
  <c r="W125" i="23"/>
  <c r="W126" i="23"/>
  <c r="W127" i="23"/>
  <c r="W128" i="23"/>
  <c r="W129" i="23"/>
  <c r="W130" i="23"/>
  <c r="W131" i="23"/>
  <c r="W132" i="23"/>
  <c r="W133" i="23"/>
  <c r="W134" i="23"/>
  <c r="W135" i="23"/>
  <c r="W136" i="23"/>
  <c r="W137" i="23"/>
  <c r="W140" i="23"/>
  <c r="W141" i="23"/>
  <c r="W142" i="23"/>
  <c r="W143" i="23"/>
  <c r="W144" i="23"/>
  <c r="W145" i="23"/>
  <c r="W146" i="23"/>
  <c r="W147" i="23"/>
  <c r="W148" i="23"/>
  <c r="W149" i="23"/>
  <c r="W150" i="23"/>
  <c r="W151" i="23"/>
  <c r="W152" i="23"/>
  <c r="W153" i="23"/>
  <c r="W158" i="23"/>
  <c r="W159" i="23"/>
  <c r="W160" i="23"/>
  <c r="W161" i="23"/>
  <c r="W162" i="23"/>
  <c r="W163" i="23"/>
  <c r="W164" i="23"/>
  <c r="W165" i="23"/>
  <c r="W166" i="23"/>
  <c r="W167" i="23"/>
  <c r="W168" i="23"/>
  <c r="W169" i="23"/>
  <c r="W170" i="23"/>
  <c r="W171" i="23"/>
  <c r="W172" i="23"/>
  <c r="W173" i="23"/>
  <c r="W174" i="23"/>
  <c r="W175" i="23"/>
  <c r="W176" i="23"/>
  <c r="W177" i="23"/>
  <c r="W178" i="23"/>
  <c r="W179" i="23"/>
  <c r="W180" i="23"/>
  <c r="W181" i="23"/>
  <c r="W182" i="23"/>
  <c r="W183" i="23"/>
  <c r="W184" i="23"/>
  <c r="W191" i="23"/>
  <c r="W196" i="23"/>
  <c r="W198" i="23"/>
  <c r="W199" i="23"/>
  <c r="W200" i="23"/>
  <c r="W201" i="23"/>
  <c r="W202" i="23"/>
  <c r="W206" i="23"/>
  <c r="W207" i="23"/>
  <c r="W208" i="23"/>
  <c r="W209" i="23"/>
  <c r="W211" i="23"/>
  <c r="W212" i="23"/>
  <c r="W213" i="23"/>
  <c r="W214" i="23"/>
  <c r="W215" i="23"/>
  <c r="W216" i="23"/>
  <c r="W217" i="23"/>
  <c r="W218" i="23"/>
  <c r="W219" i="23"/>
  <c r="W220" i="23"/>
  <c r="W221" i="23"/>
  <c r="W222" i="23"/>
  <c r="W223" i="23"/>
  <c r="W224" i="23"/>
  <c r="W225" i="23"/>
  <c r="W226" i="23"/>
  <c r="W227" i="23"/>
  <c r="W228" i="23"/>
  <c r="W229" i="23"/>
  <c r="W230" i="23"/>
  <c r="W231" i="23"/>
  <c r="W232" i="23"/>
  <c r="W233" i="23"/>
  <c r="W234" i="23"/>
  <c r="W235" i="23"/>
  <c r="W236" i="23"/>
  <c r="W237" i="23"/>
  <c r="W238" i="23"/>
  <c r="W239" i="23"/>
  <c r="W240" i="23"/>
  <c r="W242" i="23"/>
  <c r="W243" i="23"/>
  <c r="W244" i="23"/>
  <c r="W245" i="23"/>
  <c r="W246" i="23"/>
  <c r="W247" i="23"/>
  <c r="W248" i="23"/>
  <c r="W249" i="23"/>
  <c r="W250" i="23"/>
  <c r="W251" i="23"/>
  <c r="W252" i="23"/>
  <c r="W253" i="23"/>
  <c r="W254" i="23"/>
  <c r="W255" i="23"/>
  <c r="W256" i="23"/>
  <c r="W257" i="23"/>
  <c r="W258" i="23"/>
  <c r="W259" i="23"/>
  <c r="W260" i="23"/>
  <c r="W261" i="23"/>
  <c r="W262" i="23"/>
  <c r="W263" i="23"/>
  <c r="W264" i="23"/>
  <c r="W265" i="23"/>
  <c r="W266" i="23"/>
  <c r="W267" i="23"/>
  <c r="W268" i="23"/>
  <c r="W269" i="23"/>
  <c r="W270" i="23"/>
  <c r="W272" i="23"/>
  <c r="W273" i="23"/>
  <c r="W274" i="23"/>
  <c r="W275" i="23"/>
  <c r="W277" i="23"/>
  <c r="W278" i="23"/>
  <c r="W279" i="23"/>
  <c r="W280" i="23"/>
  <c r="W282" i="23"/>
  <c r="W283" i="23"/>
  <c r="W284" i="23"/>
  <c r="W285" i="23"/>
  <c r="W286" i="23"/>
  <c r="W287" i="23"/>
  <c r="W288" i="23"/>
  <c r="W289" i="23"/>
  <c r="W290" i="23"/>
  <c r="W291" i="23"/>
  <c r="W292" i="23"/>
  <c r="W293" i="23"/>
  <c r="W294" i="23"/>
  <c r="W296" i="23"/>
  <c r="W297" i="23"/>
  <c r="W300" i="23"/>
  <c r="W301" i="23"/>
  <c r="W302" i="23"/>
  <c r="W309" i="23"/>
  <c r="W310" i="23"/>
  <c r="W311" i="23"/>
  <c r="W312" i="23"/>
  <c r="W314" i="23"/>
  <c r="W315" i="23"/>
  <c r="W316" i="23"/>
  <c r="W317" i="23"/>
  <c r="W318" i="23"/>
  <c r="W319" i="23"/>
  <c r="W320" i="23"/>
  <c r="W321" i="23"/>
  <c r="W322" i="23"/>
  <c r="W323" i="23"/>
  <c r="W324" i="23"/>
  <c r="W325" i="23"/>
  <c r="W326" i="23"/>
  <c r="W327" i="23"/>
  <c r="W328" i="23"/>
  <c r="W329" i="23"/>
  <c r="W330" i="23"/>
  <c r="W331" i="23"/>
  <c r="W332" i="23"/>
  <c r="W333" i="23"/>
  <c r="W334" i="23"/>
  <c r="W335" i="23"/>
  <c r="W336" i="23"/>
  <c r="W337" i="23"/>
  <c r="W338" i="23"/>
  <c r="W340" i="23"/>
  <c r="W344" i="23"/>
  <c r="W345" i="23"/>
  <c r="W346" i="23"/>
  <c r="W347" i="23"/>
  <c r="W348" i="23"/>
  <c r="W349" i="23"/>
  <c r="W350" i="23"/>
  <c r="W351" i="23"/>
  <c r="W352" i="23"/>
  <c r="W353" i="23"/>
  <c r="W354" i="23"/>
  <c r="W355" i="23"/>
  <c r="W356" i="23"/>
  <c r="W357" i="23"/>
  <c r="W359" i="23"/>
  <c r="W361" i="23"/>
  <c r="W362" i="23"/>
  <c r="W363" i="23"/>
  <c r="W364" i="23"/>
  <c r="W365" i="23"/>
  <c r="W371" i="23"/>
  <c r="W372" i="23"/>
  <c r="W373" i="23"/>
  <c r="W374" i="23"/>
  <c r="W375" i="23"/>
  <c r="W376" i="23"/>
  <c r="W377" i="23"/>
  <c r="W378" i="23"/>
  <c r="W379" i="23"/>
  <c r="W380" i="23"/>
  <c r="W381" i="23"/>
  <c r="W382" i="23"/>
  <c r="W383" i="23"/>
  <c r="W384" i="23"/>
  <c r="W385" i="23"/>
  <c r="W386" i="23"/>
  <c r="W391" i="23"/>
  <c r="W392" i="23"/>
  <c r="W393" i="23"/>
  <c r="W394" i="23"/>
  <c r="W397" i="23"/>
  <c r="W398" i="23"/>
  <c r="W399" i="23"/>
  <c r="W400" i="23"/>
  <c r="W401" i="23"/>
  <c r="W402" i="23"/>
  <c r="W403" i="23"/>
  <c r="W404" i="23"/>
  <c r="W405" i="23"/>
  <c r="W406" i="23"/>
  <c r="W407" i="23"/>
  <c r="W408" i="23"/>
  <c r="W409" i="23"/>
  <c r="W410" i="23"/>
  <c r="W411" i="23"/>
  <c r="W412" i="23"/>
  <c r="W413" i="23"/>
  <c r="W414" i="23"/>
  <c r="W415" i="23"/>
  <c r="W416" i="23"/>
  <c r="W417" i="23"/>
  <c r="W418" i="23"/>
  <c r="W419" i="23"/>
  <c r="W420" i="23"/>
  <c r="W421" i="23"/>
  <c r="W422" i="23"/>
  <c r="W423" i="23"/>
  <c r="W424" i="23"/>
  <c r="W426" i="23"/>
  <c r="W427" i="23"/>
  <c r="W428" i="23"/>
  <c r="W430" i="23"/>
  <c r="W431" i="23"/>
  <c r="W432" i="23"/>
  <c r="W433" i="23"/>
  <c r="W434" i="23"/>
  <c r="W435" i="23"/>
  <c r="W436" i="23"/>
  <c r="W437" i="23"/>
  <c r="W438" i="23"/>
  <c r="W439" i="23"/>
  <c r="W440" i="23"/>
  <c r="W441" i="23"/>
  <c r="W442" i="23"/>
  <c r="W443" i="23"/>
  <c r="W444" i="23"/>
  <c r="W445" i="23"/>
  <c r="W446" i="23"/>
  <c r="W447" i="23"/>
  <c r="W448" i="23"/>
  <c r="W449" i="23"/>
  <c r="X11" i="23"/>
  <c r="X12" i="23"/>
  <c r="X13" i="23"/>
  <c r="X14" i="23"/>
  <c r="X15" i="23"/>
  <c r="X16" i="23"/>
  <c r="X17" i="23"/>
  <c r="X18" i="23"/>
  <c r="X19" i="23"/>
  <c r="X20" i="23"/>
  <c r="X21" i="23"/>
  <c r="X22" i="23"/>
  <c r="X23" i="23"/>
  <c r="X24" i="23"/>
  <c r="X25" i="23"/>
  <c r="X26" i="23"/>
  <c r="X27" i="23"/>
  <c r="X28" i="23"/>
  <c r="X29" i="23"/>
  <c r="X30" i="23"/>
  <c r="X31" i="23"/>
  <c r="X32" i="23"/>
  <c r="X33" i="23"/>
  <c r="X34" i="23"/>
  <c r="X35" i="23"/>
  <c r="X36" i="23"/>
  <c r="X37" i="23"/>
  <c r="X38" i="23"/>
  <c r="X39" i="23"/>
  <c r="X40" i="23"/>
  <c r="X41" i="23"/>
  <c r="X42" i="23"/>
  <c r="X43" i="23"/>
  <c r="X44" i="23"/>
  <c r="X45" i="23"/>
  <c r="X46" i="23"/>
  <c r="X47" i="23"/>
  <c r="X48" i="23"/>
  <c r="X49" i="23"/>
  <c r="X50" i="23"/>
  <c r="X51" i="23"/>
  <c r="X52" i="23"/>
  <c r="X53" i="23"/>
  <c r="X54" i="23"/>
  <c r="X55" i="23"/>
  <c r="X56" i="23"/>
  <c r="X57" i="23"/>
  <c r="X58" i="23"/>
  <c r="X59" i="23"/>
  <c r="X60" i="23"/>
  <c r="X61" i="23"/>
  <c r="X62" i="23"/>
  <c r="X63" i="23"/>
  <c r="X64" i="23"/>
  <c r="X65" i="23"/>
  <c r="X66" i="23"/>
  <c r="X67" i="23"/>
  <c r="X68" i="23"/>
  <c r="X69" i="23"/>
  <c r="X70" i="23"/>
  <c r="X71" i="23"/>
  <c r="X72" i="23"/>
  <c r="X73" i="23"/>
  <c r="X74" i="23"/>
  <c r="X75" i="23"/>
  <c r="X76" i="23"/>
  <c r="X77" i="23"/>
  <c r="X78" i="23"/>
  <c r="X79" i="23"/>
  <c r="X80" i="23"/>
  <c r="X81" i="23"/>
  <c r="X82" i="23"/>
  <c r="X83" i="23"/>
  <c r="X84" i="23"/>
  <c r="X85" i="23"/>
  <c r="X86" i="23"/>
  <c r="X87" i="23"/>
  <c r="X88" i="23"/>
  <c r="X89" i="23"/>
  <c r="X90" i="23"/>
  <c r="X91" i="23"/>
  <c r="X92" i="23"/>
  <c r="X93" i="23"/>
  <c r="X94" i="23"/>
  <c r="X95" i="23"/>
  <c r="X96" i="23"/>
  <c r="X97" i="23"/>
  <c r="X98" i="23"/>
  <c r="X99" i="23"/>
  <c r="X100" i="23"/>
  <c r="X101" i="23"/>
  <c r="X102" i="23"/>
  <c r="X103" i="23"/>
  <c r="X104" i="23"/>
  <c r="X105" i="23"/>
  <c r="X106" i="23"/>
  <c r="X107" i="23"/>
  <c r="X108" i="23"/>
  <c r="X109" i="23"/>
  <c r="X110" i="23"/>
  <c r="X111" i="23"/>
  <c r="X112" i="23"/>
  <c r="X113" i="23"/>
  <c r="X114" i="23"/>
  <c r="X115" i="23"/>
  <c r="X116" i="23"/>
  <c r="X117" i="23"/>
  <c r="X118" i="23"/>
  <c r="X119" i="23"/>
  <c r="X120" i="23"/>
  <c r="X121" i="23"/>
  <c r="X122" i="23"/>
  <c r="X123" i="23"/>
  <c r="X124" i="23"/>
  <c r="X125" i="23"/>
  <c r="X126" i="23"/>
  <c r="X127" i="23"/>
  <c r="X128" i="23"/>
  <c r="X129" i="23"/>
  <c r="X130" i="23"/>
  <c r="X131" i="23"/>
  <c r="X132" i="23"/>
  <c r="X133" i="23"/>
  <c r="X134" i="23"/>
  <c r="X135" i="23"/>
  <c r="X136" i="23"/>
  <c r="X137" i="23"/>
  <c r="X140" i="23"/>
  <c r="X141" i="23"/>
  <c r="X142" i="23"/>
  <c r="X143" i="23"/>
  <c r="X144" i="23"/>
  <c r="X145" i="23"/>
  <c r="X146" i="23"/>
  <c r="X147" i="23"/>
  <c r="X148" i="23"/>
  <c r="X149" i="23"/>
  <c r="X150" i="23"/>
  <c r="X151" i="23"/>
  <c r="X152" i="23"/>
  <c r="X153" i="23"/>
  <c r="X156" i="23"/>
  <c r="X157" i="23"/>
  <c r="X158" i="23"/>
  <c r="X159" i="23"/>
  <c r="X160" i="23"/>
  <c r="X161" i="23"/>
  <c r="X162" i="23"/>
  <c r="X163" i="23"/>
  <c r="X164" i="23"/>
  <c r="X165" i="23"/>
  <c r="X166" i="23"/>
  <c r="X167" i="23"/>
  <c r="X168" i="23"/>
  <c r="X169" i="23"/>
  <c r="X170" i="23"/>
  <c r="X171" i="23"/>
  <c r="X172" i="23"/>
  <c r="X173" i="23"/>
  <c r="X174" i="23"/>
  <c r="X175" i="23"/>
  <c r="X176" i="23"/>
  <c r="X177" i="23"/>
  <c r="X178" i="23"/>
  <c r="X179" i="23"/>
  <c r="X180" i="23"/>
  <c r="X181" i="23"/>
  <c r="X182" i="23"/>
  <c r="X183" i="23"/>
  <c r="X184" i="23"/>
  <c r="X185" i="23"/>
  <c r="X186" i="23"/>
  <c r="X187" i="23"/>
  <c r="X188" i="23"/>
  <c r="X189" i="23"/>
  <c r="X190" i="23"/>
  <c r="X191" i="23"/>
  <c r="X192" i="23"/>
  <c r="X193" i="23"/>
  <c r="X194" i="23"/>
  <c r="X195" i="23"/>
  <c r="X196" i="23"/>
  <c r="X197" i="23"/>
  <c r="X198" i="23"/>
  <c r="X199" i="23"/>
  <c r="X200" i="23"/>
  <c r="X201" i="23"/>
  <c r="X202" i="23"/>
  <c r="X207" i="23"/>
  <c r="X208" i="23"/>
  <c r="X209" i="23"/>
  <c r="X210" i="23"/>
  <c r="X211" i="23"/>
  <c r="X212" i="23"/>
  <c r="X213" i="23"/>
  <c r="X214" i="23"/>
  <c r="X215" i="23"/>
  <c r="X216" i="23"/>
  <c r="X217" i="23"/>
  <c r="X218" i="23"/>
  <c r="X219" i="23"/>
  <c r="X220" i="23"/>
  <c r="X221" i="23"/>
  <c r="X222" i="23"/>
  <c r="X223" i="23"/>
  <c r="X224" i="23"/>
  <c r="X225" i="23"/>
  <c r="X226" i="23"/>
  <c r="X227" i="23"/>
  <c r="X228" i="23"/>
  <c r="X229" i="23"/>
  <c r="X230" i="23"/>
  <c r="X231" i="23"/>
  <c r="X232" i="23"/>
  <c r="X233" i="23"/>
  <c r="X234" i="23"/>
  <c r="X235" i="23"/>
  <c r="X236" i="23"/>
  <c r="X237" i="23"/>
  <c r="X238" i="23"/>
  <c r="X239" i="23"/>
  <c r="X240" i="23"/>
  <c r="X241" i="23"/>
  <c r="X242" i="23"/>
  <c r="X243" i="23"/>
  <c r="X244" i="23"/>
  <c r="X245" i="23"/>
  <c r="X246" i="23"/>
  <c r="X247" i="23"/>
  <c r="X248" i="23"/>
  <c r="X249" i="23"/>
  <c r="X250" i="23"/>
  <c r="X251" i="23"/>
  <c r="X252" i="23"/>
  <c r="X253" i="23"/>
  <c r="X254" i="23"/>
  <c r="X255" i="23"/>
  <c r="X256" i="23"/>
  <c r="X257" i="23"/>
  <c r="X258" i="23"/>
  <c r="X259" i="23"/>
  <c r="X260" i="23"/>
  <c r="X261" i="23"/>
  <c r="X262" i="23"/>
  <c r="X263" i="23"/>
  <c r="X264" i="23"/>
  <c r="X265" i="23"/>
  <c r="X266" i="23"/>
  <c r="X267" i="23"/>
  <c r="X268" i="23"/>
  <c r="X269" i="23"/>
  <c r="X270" i="23"/>
  <c r="X271" i="23"/>
  <c r="X272" i="23"/>
  <c r="X273" i="23"/>
  <c r="X274" i="23"/>
  <c r="X275" i="23"/>
  <c r="X276" i="23"/>
  <c r="X277" i="23"/>
  <c r="X278" i="23"/>
  <c r="X279" i="23"/>
  <c r="X280" i="23"/>
  <c r="X281" i="23"/>
  <c r="X282" i="23"/>
  <c r="X283" i="23"/>
  <c r="X284" i="23"/>
  <c r="X285" i="23"/>
  <c r="X286" i="23"/>
  <c r="X287" i="23"/>
  <c r="X288" i="23"/>
  <c r="X289" i="23"/>
  <c r="X290" i="23"/>
  <c r="X291" i="23"/>
  <c r="X292" i="23"/>
  <c r="X293" i="23"/>
  <c r="X294" i="23"/>
  <c r="X295" i="23"/>
  <c r="X296" i="23"/>
  <c r="X297" i="23"/>
  <c r="X298" i="23"/>
  <c r="X299" i="23"/>
  <c r="X300" i="23"/>
  <c r="X301" i="23"/>
  <c r="X302" i="23"/>
  <c r="X303" i="23"/>
  <c r="X304" i="23"/>
  <c r="X305" i="23"/>
  <c r="X306" i="23"/>
  <c r="X307" i="23"/>
  <c r="X308" i="23"/>
  <c r="X309" i="23"/>
  <c r="X310" i="23"/>
  <c r="X311" i="23"/>
  <c r="X312" i="23"/>
  <c r="X313" i="23"/>
  <c r="X314" i="23"/>
  <c r="X315" i="23"/>
  <c r="X316" i="23"/>
  <c r="X317" i="23"/>
  <c r="X318" i="23"/>
  <c r="X319" i="23"/>
  <c r="X320" i="23"/>
  <c r="X321" i="23"/>
  <c r="X322" i="23"/>
  <c r="X323" i="23"/>
  <c r="X324" i="23"/>
  <c r="X325" i="23"/>
  <c r="X326" i="23"/>
  <c r="X327" i="23"/>
  <c r="X328" i="23"/>
  <c r="X329" i="23"/>
  <c r="X330" i="23"/>
  <c r="X331" i="23"/>
  <c r="X332" i="23"/>
  <c r="X333" i="23"/>
  <c r="X334" i="23"/>
  <c r="X335" i="23"/>
  <c r="X336" i="23"/>
  <c r="X338" i="23"/>
  <c r="X339" i="23"/>
  <c r="X340" i="23"/>
  <c r="X341" i="23"/>
  <c r="X343" i="23"/>
  <c r="X344" i="23"/>
  <c r="X345" i="23"/>
  <c r="X346" i="23"/>
  <c r="X347" i="23"/>
  <c r="X348" i="23"/>
  <c r="X349" i="23"/>
  <c r="X350" i="23"/>
  <c r="X351" i="23"/>
  <c r="X352" i="23"/>
  <c r="X353" i="23"/>
  <c r="X354" i="23"/>
  <c r="X355" i="23"/>
  <c r="X356" i="23"/>
  <c r="X357" i="23"/>
  <c r="X358" i="23"/>
  <c r="X359" i="23"/>
  <c r="X360" i="23"/>
  <c r="X361" i="23"/>
  <c r="X362" i="23"/>
  <c r="X363" i="23"/>
  <c r="X364" i="23"/>
  <c r="X365" i="23"/>
  <c r="X366" i="23"/>
  <c r="X367" i="23"/>
  <c r="X368" i="23"/>
  <c r="X369" i="23"/>
  <c r="X370" i="23"/>
  <c r="X371" i="23"/>
  <c r="X372" i="23"/>
  <c r="X373" i="23"/>
  <c r="X374" i="23"/>
  <c r="X375" i="23"/>
  <c r="X376" i="23"/>
  <c r="X377" i="23"/>
  <c r="X378" i="23"/>
  <c r="X379" i="23"/>
  <c r="X380" i="23"/>
  <c r="X381" i="23"/>
  <c r="X382" i="23"/>
  <c r="X383" i="23"/>
  <c r="X384" i="23"/>
  <c r="X385" i="23"/>
  <c r="X386" i="23"/>
  <c r="X387" i="23"/>
  <c r="X388" i="23"/>
  <c r="X389" i="23"/>
  <c r="X390" i="23"/>
  <c r="X393" i="23"/>
  <c r="X394" i="23"/>
  <c r="X395" i="23"/>
  <c r="X396" i="23"/>
  <c r="X397" i="23"/>
  <c r="X398" i="23"/>
  <c r="X399" i="23"/>
  <c r="X400" i="23"/>
  <c r="X401" i="23"/>
  <c r="X402" i="23"/>
  <c r="X403" i="23"/>
  <c r="X404" i="23"/>
  <c r="X405" i="23"/>
  <c r="X406" i="23"/>
  <c r="X407" i="23"/>
  <c r="X408" i="23"/>
  <c r="X409" i="23"/>
  <c r="X410" i="23"/>
  <c r="X411" i="23"/>
  <c r="X412" i="23"/>
  <c r="X415" i="23"/>
  <c r="X416" i="23"/>
  <c r="X417" i="23"/>
  <c r="X418" i="23"/>
  <c r="X419" i="23"/>
  <c r="X420" i="23"/>
  <c r="X425" i="23"/>
  <c r="X426" i="23"/>
  <c r="X427" i="23"/>
  <c r="X428" i="23"/>
  <c r="X429" i="23"/>
  <c r="X430" i="23"/>
  <c r="X431" i="23"/>
  <c r="X432" i="23"/>
  <c r="X433" i="23"/>
  <c r="X434" i="23"/>
  <c r="X435" i="23"/>
  <c r="X436" i="23"/>
  <c r="X437" i="23"/>
  <c r="X438" i="23"/>
  <c r="X439" i="23"/>
  <c r="X440" i="23"/>
  <c r="X441" i="23"/>
  <c r="X442" i="23"/>
  <c r="X443" i="23"/>
  <c r="X444" i="23"/>
  <c r="X445" i="23"/>
  <c r="X446" i="23"/>
  <c r="X447" i="23"/>
  <c r="X448" i="23"/>
  <c r="X449" i="23"/>
  <c r="Y11" i="23"/>
  <c r="Y12" i="23"/>
  <c r="Y13" i="23"/>
  <c r="Y14" i="23"/>
  <c r="Y15" i="23"/>
  <c r="Y16" i="23"/>
  <c r="Y17" i="23"/>
  <c r="Y18" i="23"/>
  <c r="Y19" i="23"/>
  <c r="Y20" i="23"/>
  <c r="Y21" i="23"/>
  <c r="Y22" i="23"/>
  <c r="Y23" i="23"/>
  <c r="Y24" i="23"/>
  <c r="Y25" i="23"/>
  <c r="Y26" i="23"/>
  <c r="Y27" i="23"/>
  <c r="Y28" i="23"/>
  <c r="Y29" i="23"/>
  <c r="Y30" i="23"/>
  <c r="Y31" i="23"/>
  <c r="Y32" i="23"/>
  <c r="Y33" i="23"/>
  <c r="Y34" i="23"/>
  <c r="Y35" i="23"/>
  <c r="Y36" i="23"/>
  <c r="Y37" i="23"/>
  <c r="Y38" i="23"/>
  <c r="Y39" i="23"/>
  <c r="Y40" i="23"/>
  <c r="Y41" i="23"/>
  <c r="Y42" i="23"/>
  <c r="Y43" i="23"/>
  <c r="Y44" i="23"/>
  <c r="Y45" i="23"/>
  <c r="Y46" i="23"/>
  <c r="Y47" i="23"/>
  <c r="Y48" i="23"/>
  <c r="Y49" i="23"/>
  <c r="Y50" i="23"/>
  <c r="Y51" i="23"/>
  <c r="Y52" i="23"/>
  <c r="Y53" i="23"/>
  <c r="Y54" i="23"/>
  <c r="Y55" i="23"/>
  <c r="Y56" i="23"/>
  <c r="Y57" i="23"/>
  <c r="Y58" i="23"/>
  <c r="Y59" i="23"/>
  <c r="Y60" i="23"/>
  <c r="Y61" i="23"/>
  <c r="Y62" i="23"/>
  <c r="Y63" i="23"/>
  <c r="Y64" i="23"/>
  <c r="Y65" i="23"/>
  <c r="Y67" i="23"/>
  <c r="Y68" i="23"/>
  <c r="Y69" i="23"/>
  <c r="Y70" i="23"/>
  <c r="Y71" i="23"/>
  <c r="Y72" i="23"/>
  <c r="Y73" i="23"/>
  <c r="Y74" i="23"/>
  <c r="Y75" i="23"/>
  <c r="Y76" i="23"/>
  <c r="Y77" i="23"/>
  <c r="Y78" i="23"/>
  <c r="Y79" i="23"/>
  <c r="Y80" i="23"/>
  <c r="Y81" i="23"/>
  <c r="Y82" i="23"/>
  <c r="Y83" i="23"/>
  <c r="Y84" i="23"/>
  <c r="Y85" i="23"/>
  <c r="Y86" i="23"/>
  <c r="Y87" i="23"/>
  <c r="Y88" i="23"/>
  <c r="Y89" i="23"/>
  <c r="Y90" i="23"/>
  <c r="Y91" i="23"/>
  <c r="Y92" i="23"/>
  <c r="Y93" i="23"/>
  <c r="Y94" i="23"/>
  <c r="Y95" i="23"/>
  <c r="Y96" i="23"/>
  <c r="Y97" i="23"/>
  <c r="Y98" i="23"/>
  <c r="Y99" i="23"/>
  <c r="Y100" i="23"/>
  <c r="Y101" i="23"/>
  <c r="Y102" i="23"/>
  <c r="Y103" i="23"/>
  <c r="Y104" i="23"/>
  <c r="Y105" i="23"/>
  <c r="Y106" i="23"/>
  <c r="Y107" i="23"/>
  <c r="Y108" i="23"/>
  <c r="Y109" i="23"/>
  <c r="Y110" i="23"/>
  <c r="Y111" i="23"/>
  <c r="Y112" i="23"/>
  <c r="Y113" i="23"/>
  <c r="Y114" i="23"/>
  <c r="Y115" i="23"/>
  <c r="Y116" i="23"/>
  <c r="Y117" i="23"/>
  <c r="Y118" i="23"/>
  <c r="Y119" i="23"/>
  <c r="Y120" i="23"/>
  <c r="Y121" i="23"/>
  <c r="Y122" i="23"/>
  <c r="Y123" i="23"/>
  <c r="Y124" i="23"/>
  <c r="Y125" i="23"/>
  <c r="Y126" i="23"/>
  <c r="Y127" i="23"/>
  <c r="Y128" i="23"/>
  <c r="Y129" i="23"/>
  <c r="Y130" i="23"/>
  <c r="Y131" i="23"/>
  <c r="Y132" i="23"/>
  <c r="Y133" i="23"/>
  <c r="Y134" i="23"/>
  <c r="Y135" i="23"/>
  <c r="Y136" i="23"/>
  <c r="Y137" i="23"/>
  <c r="Y140" i="23"/>
  <c r="Y141" i="23"/>
  <c r="Y142" i="23"/>
  <c r="Y143" i="23"/>
  <c r="Y144" i="23"/>
  <c r="Y145" i="23"/>
  <c r="Y146" i="23"/>
  <c r="Y147" i="23"/>
  <c r="Y148" i="23"/>
  <c r="Y149" i="23"/>
  <c r="Y150" i="23"/>
  <c r="Y151" i="23"/>
  <c r="Y152" i="23"/>
  <c r="Y153" i="23"/>
  <c r="Y156" i="23"/>
  <c r="Y157" i="23"/>
  <c r="Y158" i="23"/>
  <c r="Y159" i="23"/>
  <c r="Y160" i="23"/>
  <c r="Y161" i="23"/>
  <c r="Y162" i="23"/>
  <c r="Y163" i="23"/>
  <c r="Y164" i="23"/>
  <c r="Y165" i="23"/>
  <c r="Y166" i="23"/>
  <c r="Y167" i="23"/>
  <c r="Y168" i="23"/>
  <c r="Y169" i="23"/>
  <c r="Y170" i="23"/>
  <c r="Y171" i="23"/>
  <c r="Y172" i="23"/>
  <c r="Y173" i="23"/>
  <c r="Y174" i="23"/>
  <c r="Y175" i="23"/>
  <c r="Y176" i="23"/>
  <c r="Y177" i="23"/>
  <c r="Y178" i="23"/>
  <c r="Y179" i="23"/>
  <c r="Y180" i="23"/>
  <c r="Y181" i="23"/>
  <c r="Y182" i="23"/>
  <c r="Y183" i="23"/>
  <c r="Y184" i="23"/>
  <c r="Y185" i="23"/>
  <c r="Y186" i="23"/>
  <c r="Y187" i="23"/>
  <c r="Y188" i="23"/>
  <c r="Y189" i="23"/>
  <c r="Y190" i="23"/>
  <c r="Y191" i="23"/>
  <c r="Y192" i="23"/>
  <c r="Y193" i="23"/>
  <c r="Y194" i="23"/>
  <c r="Y195" i="23"/>
  <c r="Y196" i="23"/>
  <c r="Y197" i="23"/>
  <c r="Y198" i="23"/>
  <c r="Y199" i="23"/>
  <c r="Y200" i="23"/>
  <c r="Y201" i="23"/>
  <c r="Y202" i="23"/>
  <c r="Y203" i="23"/>
  <c r="Y204" i="23"/>
  <c r="Y205" i="23"/>
  <c r="Y206" i="23"/>
  <c r="Y207" i="23"/>
  <c r="Y208" i="23"/>
  <c r="Y209" i="23"/>
  <c r="Y210" i="23"/>
  <c r="Y211" i="23"/>
  <c r="Y212" i="23"/>
  <c r="Y213" i="23"/>
  <c r="Y214" i="23"/>
  <c r="Y215" i="23"/>
  <c r="Y216" i="23"/>
  <c r="Y217" i="23"/>
  <c r="Y218" i="23"/>
  <c r="Y219" i="23"/>
  <c r="Y220" i="23"/>
  <c r="Y221" i="23"/>
  <c r="Y222" i="23"/>
  <c r="Y223" i="23"/>
  <c r="Y224" i="23"/>
  <c r="Y225" i="23"/>
  <c r="Y226" i="23"/>
  <c r="Y227" i="23"/>
  <c r="Y228" i="23"/>
  <c r="Y229" i="23"/>
  <c r="Y230" i="23"/>
  <c r="Y231" i="23"/>
  <c r="Y232" i="23"/>
  <c r="Y233" i="23"/>
  <c r="Y234" i="23"/>
  <c r="Y235" i="23"/>
  <c r="Y236" i="23"/>
  <c r="Y237" i="23"/>
  <c r="Y238" i="23"/>
  <c r="Y239" i="23"/>
  <c r="Y240" i="23"/>
  <c r="Y241" i="23"/>
  <c r="Y242" i="23"/>
  <c r="Y243" i="23"/>
  <c r="Y244" i="23"/>
  <c r="Y245" i="23"/>
  <c r="Y246" i="23"/>
  <c r="Y247" i="23"/>
  <c r="Y248" i="23"/>
  <c r="Y249" i="23"/>
  <c r="Y250" i="23"/>
  <c r="Y251" i="23"/>
  <c r="Y252" i="23"/>
  <c r="Y253" i="23"/>
  <c r="Y254" i="23"/>
  <c r="Y255" i="23"/>
  <c r="Y256" i="23"/>
  <c r="Y257" i="23"/>
  <c r="Y258" i="23"/>
  <c r="Y259" i="23"/>
  <c r="Y260" i="23"/>
  <c r="Y261" i="23"/>
  <c r="Y262" i="23"/>
  <c r="Y263" i="23"/>
  <c r="Y264" i="23"/>
  <c r="Y265" i="23"/>
  <c r="Y266" i="23"/>
  <c r="Y267" i="23"/>
  <c r="Y268" i="23"/>
  <c r="Y269" i="23"/>
  <c r="Y270" i="23"/>
  <c r="Y271" i="23"/>
  <c r="Y272" i="23"/>
  <c r="Y273" i="23"/>
  <c r="Y274" i="23"/>
  <c r="Y275" i="23"/>
  <c r="Y276" i="23"/>
  <c r="Y277" i="23"/>
  <c r="Y278" i="23"/>
  <c r="Y279" i="23"/>
  <c r="Y280" i="23"/>
  <c r="Y281" i="23"/>
  <c r="Y282" i="23"/>
  <c r="Y283" i="23"/>
  <c r="Y284" i="23"/>
  <c r="Y285" i="23"/>
  <c r="Y286" i="23"/>
  <c r="Y287" i="23"/>
  <c r="Y288" i="23"/>
  <c r="Y289" i="23"/>
  <c r="Y290" i="23"/>
  <c r="Y291" i="23"/>
  <c r="Y292" i="23"/>
  <c r="Y293" i="23"/>
  <c r="Y294" i="23"/>
  <c r="Y295" i="23"/>
  <c r="Y296" i="23"/>
  <c r="Y297" i="23"/>
  <c r="Y298" i="23"/>
  <c r="Y299" i="23"/>
  <c r="Y300" i="23"/>
  <c r="Y301" i="23"/>
  <c r="Y302" i="23"/>
  <c r="Y303" i="23"/>
  <c r="Y304" i="23"/>
  <c r="Y305" i="23"/>
  <c r="Y306" i="23"/>
  <c r="Y307" i="23"/>
  <c r="Y308" i="23"/>
  <c r="Y309" i="23"/>
  <c r="Y310" i="23"/>
  <c r="Y311" i="23"/>
  <c r="Y312" i="23"/>
  <c r="Y313" i="23"/>
  <c r="Y314" i="23"/>
  <c r="Y315" i="23"/>
  <c r="Y316" i="23"/>
  <c r="Y317" i="23"/>
  <c r="Y318" i="23"/>
  <c r="Y319" i="23"/>
  <c r="Y320" i="23"/>
  <c r="Y321" i="23"/>
  <c r="Y322" i="23"/>
  <c r="Y323" i="23"/>
  <c r="Y324" i="23"/>
  <c r="Y325" i="23"/>
  <c r="Y326" i="23"/>
  <c r="Y327" i="23"/>
  <c r="Y328" i="23"/>
  <c r="Y329" i="23"/>
  <c r="Y330" i="23"/>
  <c r="Y331" i="23"/>
  <c r="Y332" i="23"/>
  <c r="Y333" i="23"/>
  <c r="Y334" i="23"/>
  <c r="Y335" i="23"/>
  <c r="Y336" i="23"/>
  <c r="Y337" i="23"/>
  <c r="Y338" i="23"/>
  <c r="Y340" i="23"/>
  <c r="Y342" i="23"/>
  <c r="Y343" i="23"/>
  <c r="Y344" i="23"/>
  <c r="Y345" i="23"/>
  <c r="Y346" i="23"/>
  <c r="Y347" i="23"/>
  <c r="Y348" i="23"/>
  <c r="Y349" i="23"/>
  <c r="Y350" i="23"/>
  <c r="Y351" i="23"/>
  <c r="Y352" i="23"/>
  <c r="Y353" i="23"/>
  <c r="Y354" i="23"/>
  <c r="Y355" i="23"/>
  <c r="Y356" i="23"/>
  <c r="Y357" i="23"/>
  <c r="Y358" i="23"/>
  <c r="Y359" i="23"/>
  <c r="Y360" i="23"/>
  <c r="Y361" i="23"/>
  <c r="Y362" i="23"/>
  <c r="Y363" i="23"/>
  <c r="Y364" i="23"/>
  <c r="Y365" i="23"/>
  <c r="Y366" i="23"/>
  <c r="Y367" i="23"/>
  <c r="Y368" i="23"/>
  <c r="Y369" i="23"/>
  <c r="Y370" i="23"/>
  <c r="Y371" i="23"/>
  <c r="Y372" i="23"/>
  <c r="Y373" i="23"/>
  <c r="Y374" i="23"/>
  <c r="Y375" i="23"/>
  <c r="Y376" i="23"/>
  <c r="Y377" i="23"/>
  <c r="Y378" i="23"/>
  <c r="Y379" i="23"/>
  <c r="Y380" i="23"/>
  <c r="Y381" i="23"/>
  <c r="Y382" i="23"/>
  <c r="Y383" i="23"/>
  <c r="Y384" i="23"/>
  <c r="Y385" i="23"/>
  <c r="Y386" i="23"/>
  <c r="Y387" i="23"/>
  <c r="Y388" i="23"/>
  <c r="Y389" i="23"/>
  <c r="Y390" i="23"/>
  <c r="Y391" i="23"/>
  <c r="Y392" i="23"/>
  <c r="Y393" i="23"/>
  <c r="Y394" i="23"/>
  <c r="Y395" i="23"/>
  <c r="Y396" i="23"/>
  <c r="Y397" i="23"/>
  <c r="Y398" i="23"/>
  <c r="Y399" i="23"/>
  <c r="Y400" i="23"/>
  <c r="Y401" i="23"/>
  <c r="Y402" i="23"/>
  <c r="Y403" i="23"/>
  <c r="Y404" i="23"/>
  <c r="Y405" i="23"/>
  <c r="Y406" i="23"/>
  <c r="Y407" i="23"/>
  <c r="Y408" i="23"/>
  <c r="Y409" i="23"/>
  <c r="Y410" i="23"/>
  <c r="Y411" i="23"/>
  <c r="Y412" i="23"/>
  <c r="Y413" i="23"/>
  <c r="Y414" i="23"/>
  <c r="Y415" i="23"/>
  <c r="Y416" i="23"/>
  <c r="Y417" i="23"/>
  <c r="Y418" i="23"/>
  <c r="Y419" i="23"/>
  <c r="Y420" i="23"/>
  <c r="Y421" i="23"/>
  <c r="Y422" i="23"/>
  <c r="Y423" i="23"/>
  <c r="Y424" i="23"/>
  <c r="Y425" i="23"/>
  <c r="Y426" i="23"/>
  <c r="Y427" i="23"/>
  <c r="Y428" i="23"/>
  <c r="Y429" i="23"/>
  <c r="Y430" i="23"/>
  <c r="Y431" i="23"/>
  <c r="Y432" i="23"/>
  <c r="Y433" i="23"/>
  <c r="Y434" i="23"/>
  <c r="Y435" i="23"/>
  <c r="Y436" i="23"/>
  <c r="Y437" i="23"/>
  <c r="Y438" i="23"/>
  <c r="Y439" i="23"/>
  <c r="Y440" i="23"/>
  <c r="Y441" i="23"/>
  <c r="Y442" i="23"/>
  <c r="Y443" i="23"/>
  <c r="Y444" i="23"/>
  <c r="Y445" i="23"/>
  <c r="Y446" i="23"/>
  <c r="Y447" i="23"/>
  <c r="Y448" i="23"/>
  <c r="Y449" i="23"/>
  <c r="Z11" i="23"/>
  <c r="Z12" i="23"/>
  <c r="Z13" i="23"/>
  <c r="Z14" i="23"/>
  <c r="Z15" i="23"/>
  <c r="Z16" i="23"/>
  <c r="Z17" i="23"/>
  <c r="Z18" i="23"/>
  <c r="Z19" i="23"/>
  <c r="Z20" i="23"/>
  <c r="Z21" i="23"/>
  <c r="Z22" i="23"/>
  <c r="Z23" i="23"/>
  <c r="Z24" i="23"/>
  <c r="Z25" i="23"/>
  <c r="Z26" i="23"/>
  <c r="Z27" i="23"/>
  <c r="Z28" i="23"/>
  <c r="Z29" i="23"/>
  <c r="Z30" i="23"/>
  <c r="Z31" i="23"/>
  <c r="Z32" i="23"/>
  <c r="Z33" i="23"/>
  <c r="Z34" i="23"/>
  <c r="Z35" i="23"/>
  <c r="Z36" i="23"/>
  <c r="Z37" i="23"/>
  <c r="Z38" i="23"/>
  <c r="Z39" i="23"/>
  <c r="Z40" i="23"/>
  <c r="Z41" i="23"/>
  <c r="Z42" i="23"/>
  <c r="Z43" i="23"/>
  <c r="Z44" i="23"/>
  <c r="Z45" i="23"/>
  <c r="Z46" i="23"/>
  <c r="Z47" i="23"/>
  <c r="Z48" i="23"/>
  <c r="Z49" i="23"/>
  <c r="Z50" i="23"/>
  <c r="Z51" i="23"/>
  <c r="Z52" i="23"/>
  <c r="Z53" i="23"/>
  <c r="Z54" i="23"/>
  <c r="Z55" i="23"/>
  <c r="Z56" i="23"/>
  <c r="Z57" i="23"/>
  <c r="Z58" i="23"/>
  <c r="Z59" i="23"/>
  <c r="Z60" i="23"/>
  <c r="Z61" i="23"/>
  <c r="Z62" i="23"/>
  <c r="Z63" i="23"/>
  <c r="Z64" i="23"/>
  <c r="Z65" i="23"/>
  <c r="Z66" i="23"/>
  <c r="Z67" i="23"/>
  <c r="Z68" i="23"/>
  <c r="Z69" i="23"/>
  <c r="Z70" i="23"/>
  <c r="Z71" i="23"/>
  <c r="Z72" i="23"/>
  <c r="Z73" i="23"/>
  <c r="Z74" i="23"/>
  <c r="Z75" i="23"/>
  <c r="Z76" i="23"/>
  <c r="Z77" i="23"/>
  <c r="Z78" i="23"/>
  <c r="Z79" i="23"/>
  <c r="Z80" i="23"/>
  <c r="Z81" i="23"/>
  <c r="Z82" i="23"/>
  <c r="Z83" i="23"/>
  <c r="Z84" i="23"/>
  <c r="Z85" i="23"/>
  <c r="Z86" i="23"/>
  <c r="Z87" i="23"/>
  <c r="Z88" i="23"/>
  <c r="Z89" i="23"/>
  <c r="Z90" i="23"/>
  <c r="Z91" i="23"/>
  <c r="Z92" i="23"/>
  <c r="Z93" i="23"/>
  <c r="Z94" i="23"/>
  <c r="Z95" i="23"/>
  <c r="Z96" i="23"/>
  <c r="Z97" i="23"/>
  <c r="Z98" i="23"/>
  <c r="Z99" i="23"/>
  <c r="Z100" i="23"/>
  <c r="Z101" i="23"/>
  <c r="Z102" i="23"/>
  <c r="Z103" i="23"/>
  <c r="Z104" i="23"/>
  <c r="Z105" i="23"/>
  <c r="Z106" i="23"/>
  <c r="Z107" i="23"/>
  <c r="Z108" i="23"/>
  <c r="Z109" i="23"/>
  <c r="Z110" i="23"/>
  <c r="Z111" i="23"/>
  <c r="Z112" i="23"/>
  <c r="Z113" i="23"/>
  <c r="Z114" i="23"/>
  <c r="Z115" i="23"/>
  <c r="Z116" i="23"/>
  <c r="Z117" i="23"/>
  <c r="Z118" i="23"/>
  <c r="Z119" i="23"/>
  <c r="Z120" i="23"/>
  <c r="Z121" i="23"/>
  <c r="Z122" i="23"/>
  <c r="Z123" i="23"/>
  <c r="Z124" i="23"/>
  <c r="Z125" i="23"/>
  <c r="Z126" i="23"/>
  <c r="Z127" i="23"/>
  <c r="Z128" i="23"/>
  <c r="Z129" i="23"/>
  <c r="Z130" i="23"/>
  <c r="Z131" i="23"/>
  <c r="Z132" i="23"/>
  <c r="Z133" i="23"/>
  <c r="Z134" i="23"/>
  <c r="Z135" i="23"/>
  <c r="Z136" i="23"/>
  <c r="Z137" i="23"/>
  <c r="Z138" i="23"/>
  <c r="Z139" i="23"/>
  <c r="Z140" i="23"/>
  <c r="Z141" i="23"/>
  <c r="Z142" i="23"/>
  <c r="Z143" i="23"/>
  <c r="Z144" i="23"/>
  <c r="Z145" i="23"/>
  <c r="Z146" i="23"/>
  <c r="Z147" i="23"/>
  <c r="Z148" i="23"/>
  <c r="Z149" i="23"/>
  <c r="Z150" i="23"/>
  <c r="Z151" i="23"/>
  <c r="Z152" i="23"/>
  <c r="Z153" i="23"/>
  <c r="Z154" i="23"/>
  <c r="Z155" i="23"/>
  <c r="Z156" i="23"/>
  <c r="Z157" i="23"/>
  <c r="Z158" i="23"/>
  <c r="Z159" i="23"/>
  <c r="Z160" i="23"/>
  <c r="Z161" i="23"/>
  <c r="Z162" i="23"/>
  <c r="Z163" i="23"/>
  <c r="Z164" i="23"/>
  <c r="Z165" i="23"/>
  <c r="Z166" i="23"/>
  <c r="Z167" i="23"/>
  <c r="Z168" i="23"/>
  <c r="Z169" i="23"/>
  <c r="Z170" i="23"/>
  <c r="Z171" i="23"/>
  <c r="Z172" i="23"/>
  <c r="Z173" i="23"/>
  <c r="Z174" i="23"/>
  <c r="Z175" i="23"/>
  <c r="Z176" i="23"/>
  <c r="Z177" i="23"/>
  <c r="Z178" i="23"/>
  <c r="Z179" i="23"/>
  <c r="Z180" i="23"/>
  <c r="Z181" i="23"/>
  <c r="Z182" i="23"/>
  <c r="Z183" i="23"/>
  <c r="Z184" i="23"/>
  <c r="Z185" i="23"/>
  <c r="Z186" i="23"/>
  <c r="Z187" i="23"/>
  <c r="Z188" i="23"/>
  <c r="Z189" i="23"/>
  <c r="Z190" i="23"/>
  <c r="Z191" i="23"/>
  <c r="Z192" i="23"/>
  <c r="Z193" i="23"/>
  <c r="Z194" i="23"/>
  <c r="Z195" i="23"/>
  <c r="Z196" i="23"/>
  <c r="Z197" i="23"/>
  <c r="Z198" i="23"/>
  <c r="Z199" i="23"/>
  <c r="Z200" i="23"/>
  <c r="Z201" i="23"/>
  <c r="Z202" i="23"/>
  <c r="Z203" i="23"/>
  <c r="Z204" i="23"/>
  <c r="Z205" i="23"/>
  <c r="Z206" i="23"/>
  <c r="Z207" i="23"/>
  <c r="Z208" i="23"/>
  <c r="Z209" i="23"/>
  <c r="Z210" i="23"/>
  <c r="Z211" i="23"/>
  <c r="Z212" i="23"/>
  <c r="Z213" i="23"/>
  <c r="Z214" i="23"/>
  <c r="Z215" i="23"/>
  <c r="Z216" i="23"/>
  <c r="Z217" i="23"/>
  <c r="Z218" i="23"/>
  <c r="Z219" i="23"/>
  <c r="Z220" i="23"/>
  <c r="Z221" i="23"/>
  <c r="Z222" i="23"/>
  <c r="Z223" i="23"/>
  <c r="Z224" i="23"/>
  <c r="Z225" i="23"/>
  <c r="Z226" i="23"/>
  <c r="Z227" i="23"/>
  <c r="Z228" i="23"/>
  <c r="Z229" i="23"/>
  <c r="Z230" i="23"/>
  <c r="Z231" i="23"/>
  <c r="Z232" i="23"/>
  <c r="Z233" i="23"/>
  <c r="Z234" i="23"/>
  <c r="Z235" i="23"/>
  <c r="Z236" i="23"/>
  <c r="Z237" i="23"/>
  <c r="Z238" i="23"/>
  <c r="Z239" i="23"/>
  <c r="Z240" i="23"/>
  <c r="Z241" i="23"/>
  <c r="Z242" i="23"/>
  <c r="Z243" i="23"/>
  <c r="Z244" i="23"/>
  <c r="Z245" i="23"/>
  <c r="Z246" i="23"/>
  <c r="Z247" i="23"/>
  <c r="Z248" i="23"/>
  <c r="Z249" i="23"/>
  <c r="Z250" i="23"/>
  <c r="Z251" i="23"/>
  <c r="Z252" i="23"/>
  <c r="Z253" i="23"/>
  <c r="Z254" i="23"/>
  <c r="Z255" i="23"/>
  <c r="Z256" i="23"/>
  <c r="Z257" i="23"/>
  <c r="Z258" i="23"/>
  <c r="Z259" i="23"/>
  <c r="Z260" i="23"/>
  <c r="Z261" i="23"/>
  <c r="Z262" i="23"/>
  <c r="Z263" i="23"/>
  <c r="Z264" i="23"/>
  <c r="Z265" i="23"/>
  <c r="Z266" i="23"/>
  <c r="Z267" i="23"/>
  <c r="Z268" i="23"/>
  <c r="Z269" i="23"/>
  <c r="Z270" i="23"/>
  <c r="Z271" i="23"/>
  <c r="Z272" i="23"/>
  <c r="Z273" i="23"/>
  <c r="Z274" i="23"/>
  <c r="Z275" i="23"/>
  <c r="Z276" i="23"/>
  <c r="Z277" i="23"/>
  <c r="Z278" i="23"/>
  <c r="Z279" i="23"/>
  <c r="Z280" i="23"/>
  <c r="Z281" i="23"/>
  <c r="Z282" i="23"/>
  <c r="Z283" i="23"/>
  <c r="Z284" i="23"/>
  <c r="Z285" i="23"/>
  <c r="Z286" i="23"/>
  <c r="Z287" i="23"/>
  <c r="Z288" i="23"/>
  <c r="Z289" i="23"/>
  <c r="Z290" i="23"/>
  <c r="Z291" i="23"/>
  <c r="Z292" i="23"/>
  <c r="Z293" i="23"/>
  <c r="Z294" i="23"/>
  <c r="Z295" i="23"/>
  <c r="Z296" i="23"/>
  <c r="Z297" i="23"/>
  <c r="Z298" i="23"/>
  <c r="Z299" i="23"/>
  <c r="Z300" i="23"/>
  <c r="Z301" i="23"/>
  <c r="Z302" i="23"/>
  <c r="Z303" i="23"/>
  <c r="Z304" i="23"/>
  <c r="Z305" i="23"/>
  <c r="Z306" i="23"/>
  <c r="Z307" i="23"/>
  <c r="Z308" i="23"/>
  <c r="Z309" i="23"/>
  <c r="Z310" i="23"/>
  <c r="Z311" i="23"/>
  <c r="Z312" i="23"/>
  <c r="Z313" i="23"/>
  <c r="Z314" i="23"/>
  <c r="Z315" i="23"/>
  <c r="Z316" i="23"/>
  <c r="Z317" i="23"/>
  <c r="Z318" i="23"/>
  <c r="Z319" i="23"/>
  <c r="Z320" i="23"/>
  <c r="Z321" i="23"/>
  <c r="Z322" i="23"/>
  <c r="Z323" i="23"/>
  <c r="Z324" i="23"/>
  <c r="Z325" i="23"/>
  <c r="Z326" i="23"/>
  <c r="Z327" i="23"/>
  <c r="Z328" i="23"/>
  <c r="Z329" i="23"/>
  <c r="Z330" i="23"/>
  <c r="Z331" i="23"/>
  <c r="Z332" i="23"/>
  <c r="Z333" i="23"/>
  <c r="Z334" i="23"/>
  <c r="Z335" i="23"/>
  <c r="Z336" i="23"/>
  <c r="Z337" i="23"/>
  <c r="Z338" i="23"/>
  <c r="Z339" i="23"/>
  <c r="Z340" i="23"/>
  <c r="Z341" i="23"/>
  <c r="Z342" i="23"/>
  <c r="Z343" i="23"/>
  <c r="Z344" i="23"/>
  <c r="Z345" i="23"/>
  <c r="Z346" i="23"/>
  <c r="Z347" i="23"/>
  <c r="Z348" i="23"/>
  <c r="Z349" i="23"/>
  <c r="Z350" i="23"/>
  <c r="Z351" i="23"/>
  <c r="Z352" i="23"/>
  <c r="Z353" i="23"/>
  <c r="Z354" i="23"/>
  <c r="Z355" i="23"/>
  <c r="Z356" i="23"/>
  <c r="Z357" i="23"/>
  <c r="Z358" i="23"/>
  <c r="Z359" i="23"/>
  <c r="Z360" i="23"/>
  <c r="Z361" i="23"/>
  <c r="Z362" i="23"/>
  <c r="Z363" i="23"/>
  <c r="Z364" i="23"/>
  <c r="Z365" i="23"/>
  <c r="Z366" i="23"/>
  <c r="Z367" i="23"/>
  <c r="Z368" i="23"/>
  <c r="Z369" i="23"/>
  <c r="Z370" i="23"/>
  <c r="Z371" i="23"/>
  <c r="Z372" i="23"/>
  <c r="Z373" i="23"/>
  <c r="Z374" i="23"/>
  <c r="Z375" i="23"/>
  <c r="Z376" i="23"/>
  <c r="Z377" i="23"/>
  <c r="Z378" i="23"/>
  <c r="Z379" i="23"/>
  <c r="Z380" i="23"/>
  <c r="Z381" i="23"/>
  <c r="Z382" i="23"/>
  <c r="Z383" i="23"/>
  <c r="Z384" i="23"/>
  <c r="Z385" i="23"/>
  <c r="Z386" i="23"/>
  <c r="Z387" i="23"/>
  <c r="Z388" i="23"/>
  <c r="Z389" i="23"/>
  <c r="Z390" i="23"/>
  <c r="Z391" i="23"/>
  <c r="Z392" i="23"/>
  <c r="Z393" i="23"/>
  <c r="Z394" i="23"/>
  <c r="Z395" i="23"/>
  <c r="Z396" i="23"/>
  <c r="Z397" i="23"/>
  <c r="Z398" i="23"/>
  <c r="Z399" i="23"/>
  <c r="Z400" i="23"/>
  <c r="Z401" i="23"/>
  <c r="Z402" i="23"/>
  <c r="Z403" i="23"/>
  <c r="Z404" i="23"/>
  <c r="Z405" i="23"/>
  <c r="Z406" i="23"/>
  <c r="Z407" i="23"/>
  <c r="Z408" i="23"/>
  <c r="Z409" i="23"/>
  <c r="Z410" i="23"/>
  <c r="Z411" i="23"/>
  <c r="Z412" i="23"/>
  <c r="Z413" i="23"/>
  <c r="Z414" i="23"/>
  <c r="Z415" i="23"/>
  <c r="Z416" i="23"/>
  <c r="Z417" i="23"/>
  <c r="Z418" i="23"/>
  <c r="Z419" i="23"/>
  <c r="Z420" i="23"/>
  <c r="Z421" i="23"/>
  <c r="Z422" i="23"/>
  <c r="Z423" i="23"/>
  <c r="Z424" i="23"/>
  <c r="Z425" i="23"/>
  <c r="Z426" i="23"/>
  <c r="Z427" i="23"/>
  <c r="Z428" i="23"/>
  <c r="Z429" i="23"/>
  <c r="Z430" i="23"/>
  <c r="Z431" i="23"/>
  <c r="Z432" i="23"/>
  <c r="Z433" i="23"/>
  <c r="Z434" i="23"/>
  <c r="Z435" i="23"/>
  <c r="Z436" i="23"/>
  <c r="Z437" i="23"/>
  <c r="Z438" i="23"/>
  <c r="Z439" i="23"/>
  <c r="Z440" i="23"/>
  <c r="Z441" i="23"/>
  <c r="Z442" i="23"/>
  <c r="Z443" i="23"/>
  <c r="Z444" i="23"/>
  <c r="Z445" i="23"/>
  <c r="Z446" i="23"/>
  <c r="Z447" i="23"/>
  <c r="Z448" i="23"/>
  <c r="Z449" i="23"/>
  <c r="AL439" i="23" l="1"/>
  <c r="AK439" i="23"/>
  <c r="AL423" i="23"/>
  <c r="AK423" i="23"/>
  <c r="AL407" i="23"/>
  <c r="AK407" i="23"/>
  <c r="AL391" i="23"/>
  <c r="AK391" i="23"/>
  <c r="AL375" i="23"/>
  <c r="AK375" i="23"/>
  <c r="AL331" i="23"/>
  <c r="AK331" i="23"/>
  <c r="AL442" i="23"/>
  <c r="AK442" i="23"/>
  <c r="AL430" i="23"/>
  <c r="AK430" i="23"/>
  <c r="AL426" i="23"/>
  <c r="AK426" i="23"/>
  <c r="AL418" i="23"/>
  <c r="AK418" i="23"/>
  <c r="AL410" i="23"/>
  <c r="AK410" i="23"/>
  <c r="AL398" i="23"/>
  <c r="AK398" i="23"/>
  <c r="AL390" i="23"/>
  <c r="AK390" i="23"/>
  <c r="AL382" i="23"/>
  <c r="AK382" i="23"/>
  <c r="AL378" i="23"/>
  <c r="AK378" i="23"/>
  <c r="AL370" i="23"/>
  <c r="AK370" i="23"/>
  <c r="AL362" i="23"/>
  <c r="AK362" i="23"/>
  <c r="AL354" i="23"/>
  <c r="AK354" i="23"/>
  <c r="AL346" i="23"/>
  <c r="AK346" i="23"/>
  <c r="AL338" i="23"/>
  <c r="AK338" i="23"/>
  <c r="AL330" i="23"/>
  <c r="AK330" i="23"/>
  <c r="AL318" i="23"/>
  <c r="AK318" i="23"/>
  <c r="AL310" i="23"/>
  <c r="AK310" i="23"/>
  <c r="AL298" i="23"/>
  <c r="AK298" i="23"/>
  <c r="AL290" i="23"/>
  <c r="AK290" i="23"/>
  <c r="AL286" i="23"/>
  <c r="AK286" i="23"/>
  <c r="AL278" i="23"/>
  <c r="AK278" i="23"/>
  <c r="AL270" i="23"/>
  <c r="AK270" i="23"/>
  <c r="AL262" i="23"/>
  <c r="AK262" i="23"/>
  <c r="AL254" i="23"/>
  <c r="AK254" i="23"/>
  <c r="AL246" i="23"/>
  <c r="AK246" i="23"/>
  <c r="AL238" i="23"/>
  <c r="AK238" i="23"/>
  <c r="AL230" i="23"/>
  <c r="AK230" i="23"/>
  <c r="AL218" i="23"/>
  <c r="AK218" i="23"/>
  <c r="AL210" i="23"/>
  <c r="AK210" i="23"/>
  <c r="AL198" i="23"/>
  <c r="AK198" i="23"/>
  <c r="AL190" i="23"/>
  <c r="AK190" i="23"/>
  <c r="AL182" i="23"/>
  <c r="AK182" i="23"/>
  <c r="AL174" i="23"/>
  <c r="AK174" i="23"/>
  <c r="AL170" i="23"/>
  <c r="AK170" i="23"/>
  <c r="AL162" i="23"/>
  <c r="AK162" i="23"/>
  <c r="AL154" i="23"/>
  <c r="AK154" i="23"/>
  <c r="AL146" i="23"/>
  <c r="AK146" i="23"/>
  <c r="AL138" i="23"/>
  <c r="AK138" i="23"/>
  <c r="AL130" i="23"/>
  <c r="AK130" i="23"/>
  <c r="AL122" i="23"/>
  <c r="AK122" i="23"/>
  <c r="AL114" i="23"/>
  <c r="AK114" i="23"/>
  <c r="AL106" i="23"/>
  <c r="AK106" i="23"/>
  <c r="AL98" i="23"/>
  <c r="AK98" i="23"/>
  <c r="AL94" i="23"/>
  <c r="AK94" i="23"/>
  <c r="AK86" i="23"/>
  <c r="AL86" i="23"/>
  <c r="AL78" i="23"/>
  <c r="AK78" i="23"/>
  <c r="AL66" i="23"/>
  <c r="AK66" i="23"/>
  <c r="AL58" i="23"/>
  <c r="AK58" i="23"/>
  <c r="AL50" i="23"/>
  <c r="AK50" i="23"/>
  <c r="AL42" i="23"/>
  <c r="AK42" i="23"/>
  <c r="AL34" i="23"/>
  <c r="AK34" i="23"/>
  <c r="AL30" i="23"/>
  <c r="AK30" i="23"/>
  <c r="AK22" i="23"/>
  <c r="AL22" i="23"/>
  <c r="AL18" i="23"/>
  <c r="AK18" i="23"/>
  <c r="AL14" i="23"/>
  <c r="AK14" i="23"/>
  <c r="AL445" i="23"/>
  <c r="AK445" i="23"/>
  <c r="AL437" i="23"/>
  <c r="AK437" i="23"/>
  <c r="AL429" i="23"/>
  <c r="AK429" i="23"/>
  <c r="AL421" i="23"/>
  <c r="AK421" i="23"/>
  <c r="AL413" i="23"/>
  <c r="AK413" i="23"/>
  <c r="AL405" i="23"/>
  <c r="AK405" i="23"/>
  <c r="AL401" i="23"/>
  <c r="AK401" i="23"/>
  <c r="AL393" i="23"/>
  <c r="AK393" i="23"/>
  <c r="AL385" i="23"/>
  <c r="AK385" i="23"/>
  <c r="AL377" i="23"/>
  <c r="AK377" i="23"/>
  <c r="AL369" i="23"/>
  <c r="AK369" i="23"/>
  <c r="AL361" i="23"/>
  <c r="AK361" i="23"/>
  <c r="AL357" i="23"/>
  <c r="AK357" i="23"/>
  <c r="AL349" i="23"/>
  <c r="AK349" i="23"/>
  <c r="AL341" i="23"/>
  <c r="AK341" i="23"/>
  <c r="AL333" i="23"/>
  <c r="AK333" i="23"/>
  <c r="AL325" i="23"/>
  <c r="AK325" i="23"/>
  <c r="AL321" i="23"/>
  <c r="AK321" i="23"/>
  <c r="AL313" i="23"/>
  <c r="AK313" i="23"/>
  <c r="AL305" i="23"/>
  <c r="AK305" i="23"/>
  <c r="AL297" i="23"/>
  <c r="AK297" i="23"/>
  <c r="AL289" i="23"/>
  <c r="AK289" i="23"/>
  <c r="AL281" i="23"/>
  <c r="AK281" i="23"/>
  <c r="AL273" i="23"/>
  <c r="AK273" i="23"/>
  <c r="AL269" i="23"/>
  <c r="AK269" i="23"/>
  <c r="AL261" i="23"/>
  <c r="AK261" i="23"/>
  <c r="AL253" i="23"/>
  <c r="AK253" i="23"/>
  <c r="AL245" i="23"/>
  <c r="AK245" i="23"/>
  <c r="AL237" i="23"/>
  <c r="AK237" i="23"/>
  <c r="AL229" i="23"/>
  <c r="AK229" i="23"/>
  <c r="AL221" i="23"/>
  <c r="AK221" i="23"/>
  <c r="AL217" i="23"/>
  <c r="AK217" i="23"/>
  <c r="AL209" i="23"/>
  <c r="AK209" i="23"/>
  <c r="AL201" i="23"/>
  <c r="AK201" i="23"/>
  <c r="AL193" i="23"/>
  <c r="AK193" i="23"/>
  <c r="AL185" i="23"/>
  <c r="AK185" i="23"/>
  <c r="AL177" i="23"/>
  <c r="AK177" i="23"/>
  <c r="AL169" i="23"/>
  <c r="AK169" i="23"/>
  <c r="AL161" i="23"/>
  <c r="AK161" i="23"/>
  <c r="AL153" i="23"/>
  <c r="AK153" i="23"/>
  <c r="AL145" i="23"/>
  <c r="AK145" i="23"/>
  <c r="AL141" i="23"/>
  <c r="AK141" i="23"/>
  <c r="AL133" i="23"/>
  <c r="AK133" i="23"/>
  <c r="AL125" i="23"/>
  <c r="AK125" i="23"/>
  <c r="AL117" i="23"/>
  <c r="AK117" i="23"/>
  <c r="AL97" i="23"/>
  <c r="AK97" i="23"/>
  <c r="AK448" i="23"/>
  <c r="AL448" i="23"/>
  <c r="AL444" i="23"/>
  <c r="AK444" i="23"/>
  <c r="AK440" i="23"/>
  <c r="AL440" i="23"/>
  <c r="AL436" i="23"/>
  <c r="AK436" i="23"/>
  <c r="AK432" i="23"/>
  <c r="AL432" i="23"/>
  <c r="AL428" i="23"/>
  <c r="AK428" i="23"/>
  <c r="AK424" i="23"/>
  <c r="AL424" i="23"/>
  <c r="AL420" i="23"/>
  <c r="AK420" i="23"/>
  <c r="AK416" i="23"/>
  <c r="AL416" i="23"/>
  <c r="AL412" i="23"/>
  <c r="AK412" i="23"/>
  <c r="AK408" i="23"/>
  <c r="AL408" i="23"/>
  <c r="AL404" i="23"/>
  <c r="AK404" i="23"/>
  <c r="AK400" i="23"/>
  <c r="AL400" i="23"/>
  <c r="AL396" i="23"/>
  <c r="AK396" i="23"/>
  <c r="AK392" i="23"/>
  <c r="AL392" i="23"/>
  <c r="AL388" i="23"/>
  <c r="AK388" i="23"/>
  <c r="AK384" i="23"/>
  <c r="AL384" i="23"/>
  <c r="AL380" i="23"/>
  <c r="AK380" i="23"/>
  <c r="AK376" i="23"/>
  <c r="AL376" i="23"/>
  <c r="AL372" i="23"/>
  <c r="AK372" i="23"/>
  <c r="AK368" i="23"/>
  <c r="AL368" i="23"/>
  <c r="AL364" i="23"/>
  <c r="AK364" i="23"/>
  <c r="AK360" i="23"/>
  <c r="AL360" i="23"/>
  <c r="AL356" i="23"/>
  <c r="AK356" i="23"/>
  <c r="AK352" i="23"/>
  <c r="AL352" i="23"/>
  <c r="AL348" i="23"/>
  <c r="AK348" i="23"/>
  <c r="AK344" i="23"/>
  <c r="AL344" i="23"/>
  <c r="AL340" i="23"/>
  <c r="AK340" i="23"/>
  <c r="AK336" i="23"/>
  <c r="AL336" i="23"/>
  <c r="AL332" i="23"/>
  <c r="AK332" i="23"/>
  <c r="AK328" i="23"/>
  <c r="AL328" i="23"/>
  <c r="AL324" i="23"/>
  <c r="AK324" i="23"/>
  <c r="AK320" i="23"/>
  <c r="AL320" i="23"/>
  <c r="AL316" i="23"/>
  <c r="AK316" i="23"/>
  <c r="AL312" i="23"/>
  <c r="AK312" i="23"/>
  <c r="AL308" i="23"/>
  <c r="AK308" i="23"/>
  <c r="AL304" i="23"/>
  <c r="AK304" i="23"/>
  <c r="AL300" i="23"/>
  <c r="AK300" i="23"/>
  <c r="AL296" i="23"/>
  <c r="AK296" i="23"/>
  <c r="AL292" i="23"/>
  <c r="AK292" i="23"/>
  <c r="AL288" i="23"/>
  <c r="AK288" i="23"/>
  <c r="AL284" i="23"/>
  <c r="AK284" i="23"/>
  <c r="AL280" i="23"/>
  <c r="AK280" i="23"/>
  <c r="AL276" i="23"/>
  <c r="AK276" i="23"/>
  <c r="AL272" i="23"/>
  <c r="AK272" i="23"/>
  <c r="AL268" i="23"/>
  <c r="AK268" i="23"/>
  <c r="AL264" i="23"/>
  <c r="AK264" i="23"/>
  <c r="AL260" i="23"/>
  <c r="AK260" i="23"/>
  <c r="AL256" i="23"/>
  <c r="AK256" i="23"/>
  <c r="AL252" i="23"/>
  <c r="AK252" i="23"/>
  <c r="AL248" i="23"/>
  <c r="AK248" i="23"/>
  <c r="AL244" i="23"/>
  <c r="AK244" i="23"/>
  <c r="AL240" i="23"/>
  <c r="AK240" i="23"/>
  <c r="AL236" i="23"/>
  <c r="AK236" i="23"/>
  <c r="AL232" i="23"/>
  <c r="AK232" i="23"/>
  <c r="AL228" i="23"/>
  <c r="AK228" i="23"/>
  <c r="AL224" i="23"/>
  <c r="AK224" i="23"/>
  <c r="AL220" i="23"/>
  <c r="AK220" i="23"/>
  <c r="AL216" i="23"/>
  <c r="AK216" i="23"/>
  <c r="AL212" i="23"/>
  <c r="AK212" i="23"/>
  <c r="AL208" i="23"/>
  <c r="AK208" i="23"/>
  <c r="AL204" i="23"/>
  <c r="AK204" i="23"/>
  <c r="AL200" i="23"/>
  <c r="AK200" i="23"/>
  <c r="AL196" i="23"/>
  <c r="AK196" i="23"/>
  <c r="AL192" i="23"/>
  <c r="AK192" i="23"/>
  <c r="AL188" i="23"/>
  <c r="AK188" i="23"/>
  <c r="AL184" i="23"/>
  <c r="AK184" i="23"/>
  <c r="AL180" i="23"/>
  <c r="AK180" i="23"/>
  <c r="AL176" i="23"/>
  <c r="AK176" i="23"/>
  <c r="AL172" i="23"/>
  <c r="AK172" i="23"/>
  <c r="AL168" i="23"/>
  <c r="AK168" i="23"/>
  <c r="AL164" i="23"/>
  <c r="AK164" i="23"/>
  <c r="AL160" i="23"/>
  <c r="AK160" i="23"/>
  <c r="AL156" i="23"/>
  <c r="AK156" i="23"/>
  <c r="AL152" i="23"/>
  <c r="AK152" i="23"/>
  <c r="AL148" i="23"/>
  <c r="AK148" i="23"/>
  <c r="AL144" i="23"/>
  <c r="AK144" i="23"/>
  <c r="AL140" i="23"/>
  <c r="AK140" i="23"/>
  <c r="AL136" i="23"/>
  <c r="AK136" i="23"/>
  <c r="AL132" i="23"/>
  <c r="AK132" i="23"/>
  <c r="AL128" i="23"/>
  <c r="AK128" i="23"/>
  <c r="AL124" i="23"/>
  <c r="AK124" i="23"/>
  <c r="AL120" i="23"/>
  <c r="AK120" i="23"/>
  <c r="AL116" i="23"/>
  <c r="AK116" i="23"/>
  <c r="AL112" i="23"/>
  <c r="AK112" i="23"/>
  <c r="AL108" i="23"/>
  <c r="AK108" i="23"/>
  <c r="AL104" i="23"/>
  <c r="AK104" i="23"/>
  <c r="AL100" i="23"/>
  <c r="AK100" i="23"/>
  <c r="AL96" i="23"/>
  <c r="AK96" i="23"/>
  <c r="AL92" i="23"/>
  <c r="AK92" i="23"/>
  <c r="AL88" i="23"/>
  <c r="AK88" i="23"/>
  <c r="AL84" i="23"/>
  <c r="AK84" i="23"/>
  <c r="AL80" i="23"/>
  <c r="AK80" i="23"/>
  <c r="AL76" i="23"/>
  <c r="AK76" i="23"/>
  <c r="AL72" i="23"/>
  <c r="AK72" i="23"/>
  <c r="AL68" i="23"/>
  <c r="AK68" i="23"/>
  <c r="AL64" i="23"/>
  <c r="AK64" i="23"/>
  <c r="AL60" i="23"/>
  <c r="AK60" i="23"/>
  <c r="AL56" i="23"/>
  <c r="AK56" i="23"/>
  <c r="AL52" i="23"/>
  <c r="AK52" i="23"/>
  <c r="AL48" i="23"/>
  <c r="AK48" i="23"/>
  <c r="AL44" i="23"/>
  <c r="AK44" i="23"/>
  <c r="AL40" i="23"/>
  <c r="AK40" i="23"/>
  <c r="AL36" i="23"/>
  <c r="AK36" i="23"/>
  <c r="AL32" i="23"/>
  <c r="AK32" i="23"/>
  <c r="AL28" i="23"/>
  <c r="AK28" i="23"/>
  <c r="AL24" i="23"/>
  <c r="AK24" i="23"/>
  <c r="AL20" i="23"/>
  <c r="AK20" i="23"/>
  <c r="AL16" i="23"/>
  <c r="AK16" i="23"/>
  <c r="AL12" i="23"/>
  <c r="AK12" i="23"/>
  <c r="AL435" i="23"/>
  <c r="AK435" i="23"/>
  <c r="AL419" i="23"/>
  <c r="AK419" i="23"/>
  <c r="AL403" i="23"/>
  <c r="AK403" i="23"/>
  <c r="AL387" i="23"/>
  <c r="AK387" i="23"/>
  <c r="AL379" i="23"/>
  <c r="AK379" i="23"/>
  <c r="AL363" i="23"/>
  <c r="AK363" i="23"/>
  <c r="AL359" i="23"/>
  <c r="AK359" i="23"/>
  <c r="AL351" i="23"/>
  <c r="AK351" i="23"/>
  <c r="AL343" i="23"/>
  <c r="AK343" i="23"/>
  <c r="AL335" i="23"/>
  <c r="AK335" i="23"/>
  <c r="AL319" i="23"/>
  <c r="AK319" i="23"/>
  <c r="AL311" i="23"/>
  <c r="AK311" i="23"/>
  <c r="AL299" i="23"/>
  <c r="AK299" i="23"/>
  <c r="AL287" i="23"/>
  <c r="AK287" i="23"/>
  <c r="AL279" i="23"/>
  <c r="AK279" i="23"/>
  <c r="AL271" i="23"/>
  <c r="AK271" i="23"/>
  <c r="AL263" i="23"/>
  <c r="AK263" i="23"/>
  <c r="AL255" i="23"/>
  <c r="AK255" i="23"/>
  <c r="AL247" i="23"/>
  <c r="AK247" i="23"/>
  <c r="AL239" i="23"/>
  <c r="AK239" i="23"/>
  <c r="AL231" i="23"/>
  <c r="AK231" i="23"/>
  <c r="AL223" i="23"/>
  <c r="AK223" i="23"/>
  <c r="AL219" i="23"/>
  <c r="AK219" i="23"/>
  <c r="AL211" i="23"/>
  <c r="AK211" i="23"/>
  <c r="AL203" i="23"/>
  <c r="AK203" i="23"/>
  <c r="AL195" i="23"/>
  <c r="AK195" i="23"/>
  <c r="AL187" i="23"/>
  <c r="AK187" i="23"/>
  <c r="AL179" i="23"/>
  <c r="AK179" i="23"/>
  <c r="AL175" i="23"/>
  <c r="AK175" i="23"/>
  <c r="AL171" i="23"/>
  <c r="AK171" i="23"/>
  <c r="AL167" i="23"/>
  <c r="AK167" i="23"/>
  <c r="AL163" i="23"/>
  <c r="AK163" i="23"/>
  <c r="AL159" i="23"/>
  <c r="AK159" i="23"/>
  <c r="AL155" i="23"/>
  <c r="AK155" i="23"/>
  <c r="AL147" i="23"/>
  <c r="AK147" i="23"/>
  <c r="AL143" i="23"/>
  <c r="AK143" i="23"/>
  <c r="AL139" i="23"/>
  <c r="AK139" i="23"/>
  <c r="AL135" i="23"/>
  <c r="AK135" i="23"/>
  <c r="AL131" i="23"/>
  <c r="AK131" i="23"/>
  <c r="AL127" i="23"/>
  <c r="AK127" i="23"/>
  <c r="AL123" i="23"/>
  <c r="AK123" i="23"/>
  <c r="AL119" i="23"/>
  <c r="AK119" i="23"/>
  <c r="AL115" i="23"/>
  <c r="AK115" i="23"/>
  <c r="AL111" i="23"/>
  <c r="AK111" i="23"/>
  <c r="AL107" i="23"/>
  <c r="AK107" i="23"/>
  <c r="AL103" i="23"/>
  <c r="AK103" i="23"/>
  <c r="AL99" i="23"/>
  <c r="AK99" i="23"/>
  <c r="AL95" i="23"/>
  <c r="AK95" i="23"/>
  <c r="AL91" i="23"/>
  <c r="AK91" i="23"/>
  <c r="AL87" i="23"/>
  <c r="AK87" i="23"/>
  <c r="AL83" i="23"/>
  <c r="AK83" i="23"/>
  <c r="AL79" i="23"/>
  <c r="AK79" i="23"/>
  <c r="AL75" i="23"/>
  <c r="AK75" i="23"/>
  <c r="AL71" i="23"/>
  <c r="AK71" i="23"/>
  <c r="AL67" i="23"/>
  <c r="AK67" i="23"/>
  <c r="AL63" i="23"/>
  <c r="AK63" i="23"/>
  <c r="AL59" i="23"/>
  <c r="AK59" i="23"/>
  <c r="AL55" i="23"/>
  <c r="AK55" i="23"/>
  <c r="AL51" i="23"/>
  <c r="AK51" i="23"/>
  <c r="AL47" i="23"/>
  <c r="AK47" i="23"/>
  <c r="AL43" i="23"/>
  <c r="AK43" i="23"/>
  <c r="AL39" i="23"/>
  <c r="AK39" i="23"/>
  <c r="AL35" i="23"/>
  <c r="AK35" i="23"/>
  <c r="AL31" i="23"/>
  <c r="AK31" i="23"/>
  <c r="AL27" i="23"/>
  <c r="AK27" i="23"/>
  <c r="AL23" i="23"/>
  <c r="AK23" i="23"/>
  <c r="AL19" i="23"/>
  <c r="AK19" i="23"/>
  <c r="AL15" i="23"/>
  <c r="AK15" i="23"/>
  <c r="AL11" i="23"/>
  <c r="AK11" i="23"/>
  <c r="AL447" i="23"/>
  <c r="AK447" i="23"/>
  <c r="AL431" i="23"/>
  <c r="AK431" i="23"/>
  <c r="AL415" i="23"/>
  <c r="AK415" i="23"/>
  <c r="AL399" i="23"/>
  <c r="AK399" i="23"/>
  <c r="AL383" i="23"/>
  <c r="AK383" i="23"/>
  <c r="AL371" i="23"/>
  <c r="AK371" i="23"/>
  <c r="AL355" i="23"/>
  <c r="AK355" i="23"/>
  <c r="AL347" i="23"/>
  <c r="AK347" i="23"/>
  <c r="AL339" i="23"/>
  <c r="AK339" i="23"/>
  <c r="AL327" i="23"/>
  <c r="AK327" i="23"/>
  <c r="AL315" i="23"/>
  <c r="AK315" i="23"/>
  <c r="AL307" i="23"/>
  <c r="AK307" i="23"/>
  <c r="AL303" i="23"/>
  <c r="AK303" i="23"/>
  <c r="AL295" i="23"/>
  <c r="AK295" i="23"/>
  <c r="AL291" i="23"/>
  <c r="AK291" i="23"/>
  <c r="AL283" i="23"/>
  <c r="AK283" i="23"/>
  <c r="AL275" i="23"/>
  <c r="AK275" i="23"/>
  <c r="AL267" i="23"/>
  <c r="AK267" i="23"/>
  <c r="AL259" i="23"/>
  <c r="AK259" i="23"/>
  <c r="AL251" i="23"/>
  <c r="AK251" i="23"/>
  <c r="AL243" i="23"/>
  <c r="AK243" i="23"/>
  <c r="AL235" i="23"/>
  <c r="AK235" i="23"/>
  <c r="AL227" i="23"/>
  <c r="AK227" i="23"/>
  <c r="AL215" i="23"/>
  <c r="AK215" i="23"/>
  <c r="AL207" i="23"/>
  <c r="AK207" i="23"/>
  <c r="AL199" i="23"/>
  <c r="AK199" i="23"/>
  <c r="AL191" i="23"/>
  <c r="AK191" i="23"/>
  <c r="AL183" i="23"/>
  <c r="AK183" i="23"/>
  <c r="AL151" i="23"/>
  <c r="AK151" i="23"/>
  <c r="AL443" i="23"/>
  <c r="AK443" i="23"/>
  <c r="AL427" i="23"/>
  <c r="AK427" i="23"/>
  <c r="AL411" i="23"/>
  <c r="AK411" i="23"/>
  <c r="AL395" i="23"/>
  <c r="AK395" i="23"/>
  <c r="AL367" i="23"/>
  <c r="AK367" i="23"/>
  <c r="AL323" i="23"/>
  <c r="AK323" i="23"/>
  <c r="AL446" i="23"/>
  <c r="AK446" i="23"/>
  <c r="AL438" i="23"/>
  <c r="AK438" i="23"/>
  <c r="AL434" i="23"/>
  <c r="AK434" i="23"/>
  <c r="AL422" i="23"/>
  <c r="AK422" i="23"/>
  <c r="AL414" i="23"/>
  <c r="AK414" i="23"/>
  <c r="AL406" i="23"/>
  <c r="AK406" i="23"/>
  <c r="AL402" i="23"/>
  <c r="AK402" i="23"/>
  <c r="AL394" i="23"/>
  <c r="AK394" i="23"/>
  <c r="AL386" i="23"/>
  <c r="AK386" i="23"/>
  <c r="AL374" i="23"/>
  <c r="AK374" i="23"/>
  <c r="AL366" i="23"/>
  <c r="AK366" i="23"/>
  <c r="AL358" i="23"/>
  <c r="AK358" i="23"/>
  <c r="AL350" i="23"/>
  <c r="AK350" i="23"/>
  <c r="AL342" i="23"/>
  <c r="AK342" i="23"/>
  <c r="AL334" i="23"/>
  <c r="AK334" i="23"/>
  <c r="AL326" i="23"/>
  <c r="AK326" i="23"/>
  <c r="AL322" i="23"/>
  <c r="AK322" i="23"/>
  <c r="AL314" i="23"/>
  <c r="AK314" i="23"/>
  <c r="AL306" i="23"/>
  <c r="AK306" i="23"/>
  <c r="AL302" i="23"/>
  <c r="AK302" i="23"/>
  <c r="AL294" i="23"/>
  <c r="AK294" i="23"/>
  <c r="AL282" i="23"/>
  <c r="AK282" i="23"/>
  <c r="AL274" i="23"/>
  <c r="AK274" i="23"/>
  <c r="AL266" i="23"/>
  <c r="AK266" i="23"/>
  <c r="AL258" i="23"/>
  <c r="AK258" i="23"/>
  <c r="AL250" i="23"/>
  <c r="AK250" i="23"/>
  <c r="AL242" i="23"/>
  <c r="AK242" i="23"/>
  <c r="AL234" i="23"/>
  <c r="AK234" i="23"/>
  <c r="AL226" i="23"/>
  <c r="AK226" i="23"/>
  <c r="AL222" i="23"/>
  <c r="AK222" i="23"/>
  <c r="AK214" i="23"/>
  <c r="AL214" i="23"/>
  <c r="AL206" i="23"/>
  <c r="AK206" i="23"/>
  <c r="AL202" i="23"/>
  <c r="AK202" i="23"/>
  <c r="AL194" i="23"/>
  <c r="AK194" i="23"/>
  <c r="AL186" i="23"/>
  <c r="AK186" i="23"/>
  <c r="AL178" i="23"/>
  <c r="AK178" i="23"/>
  <c r="AL166" i="23"/>
  <c r="AK166" i="23"/>
  <c r="AL158" i="23"/>
  <c r="AK158" i="23"/>
  <c r="AL150" i="23"/>
  <c r="AK150" i="23"/>
  <c r="AL142" i="23"/>
  <c r="AK142" i="23"/>
  <c r="AK134" i="23"/>
  <c r="AL134" i="23"/>
  <c r="AL126" i="23"/>
  <c r="AK126" i="23"/>
  <c r="AK118" i="23"/>
  <c r="AL118" i="23"/>
  <c r="AL110" i="23"/>
  <c r="AK110" i="23"/>
  <c r="AK102" i="23"/>
  <c r="AL102" i="23"/>
  <c r="AL90" i="23"/>
  <c r="AK90" i="23"/>
  <c r="AL82" i="23"/>
  <c r="AK82" i="23"/>
  <c r="AL74" i="23"/>
  <c r="AK74" i="23"/>
  <c r="AK70" i="23"/>
  <c r="AL70" i="23"/>
  <c r="AL62" i="23"/>
  <c r="AK62" i="23"/>
  <c r="AK54" i="23"/>
  <c r="AL54" i="23"/>
  <c r="AL46" i="23"/>
  <c r="AK46" i="23"/>
  <c r="AK38" i="23"/>
  <c r="AL38" i="23"/>
  <c r="AL26" i="23"/>
  <c r="AK26" i="23"/>
  <c r="AL449" i="23"/>
  <c r="AK449" i="23"/>
  <c r="AL441" i="23"/>
  <c r="AK441" i="23"/>
  <c r="AL433" i="23"/>
  <c r="AK433" i="23"/>
  <c r="AL425" i="23"/>
  <c r="AK425" i="23"/>
  <c r="AL417" i="23"/>
  <c r="AK417" i="23"/>
  <c r="AL409" i="23"/>
  <c r="AK409" i="23"/>
  <c r="AL397" i="23"/>
  <c r="AK397" i="23"/>
  <c r="AL389" i="23"/>
  <c r="AK389" i="23"/>
  <c r="AL381" i="23"/>
  <c r="AK381" i="23"/>
  <c r="AL373" i="23"/>
  <c r="AK373" i="23"/>
  <c r="AL365" i="23"/>
  <c r="AK365" i="23"/>
  <c r="AL353" i="23"/>
  <c r="AK353" i="23"/>
  <c r="AL345" i="23"/>
  <c r="AK345" i="23"/>
  <c r="AL337" i="23"/>
  <c r="AK337" i="23"/>
  <c r="AL329" i="23"/>
  <c r="AK329" i="23"/>
  <c r="AL317" i="23"/>
  <c r="AK317" i="23"/>
  <c r="AL309" i="23"/>
  <c r="AK309" i="23"/>
  <c r="AL301" i="23"/>
  <c r="AK301" i="23"/>
  <c r="AL293" i="23"/>
  <c r="AK293" i="23"/>
  <c r="AL285" i="23"/>
  <c r="AK285" i="23"/>
  <c r="AL277" i="23"/>
  <c r="AK277" i="23"/>
  <c r="AL265" i="23"/>
  <c r="AK265" i="23"/>
  <c r="AL257" i="23"/>
  <c r="AK257" i="23"/>
  <c r="AL249" i="23"/>
  <c r="AK249" i="23"/>
  <c r="AL241" i="23"/>
  <c r="AK241" i="23"/>
  <c r="AL233" i="23"/>
  <c r="AK233" i="23"/>
  <c r="AL225" i="23"/>
  <c r="AK225" i="23"/>
  <c r="AL213" i="23"/>
  <c r="AK213" i="23"/>
  <c r="AL205" i="23"/>
  <c r="AK205" i="23"/>
  <c r="AL197" i="23"/>
  <c r="AK197" i="23"/>
  <c r="AL189" i="23"/>
  <c r="AK189" i="23"/>
  <c r="AL181" i="23"/>
  <c r="AK181" i="23"/>
  <c r="AL173" i="23"/>
  <c r="AK173" i="23"/>
  <c r="AL165" i="23"/>
  <c r="AK165" i="23"/>
  <c r="AL157" i="23"/>
  <c r="AK157" i="23"/>
  <c r="AL149" i="23"/>
  <c r="AK149" i="23"/>
  <c r="AL137" i="23"/>
  <c r="AK137" i="23"/>
  <c r="AL129" i="23"/>
  <c r="AK129" i="23"/>
  <c r="AL121" i="23"/>
  <c r="AK121" i="23"/>
  <c r="AL113" i="23"/>
  <c r="AK113" i="23"/>
  <c r="AL109" i="23"/>
  <c r="AK109" i="23"/>
  <c r="AL105" i="23"/>
  <c r="AK105" i="23"/>
  <c r="AL101" i="23"/>
  <c r="AK101" i="23"/>
  <c r="AL93" i="23"/>
  <c r="AK93" i="23"/>
  <c r="AL89" i="23"/>
  <c r="AK89" i="23"/>
  <c r="AL85" i="23"/>
  <c r="AK85" i="23"/>
  <c r="AL81" i="23"/>
  <c r="AK81" i="23"/>
  <c r="AL77" i="23"/>
  <c r="AK77" i="23"/>
  <c r="AL73" i="23"/>
  <c r="AK73" i="23"/>
  <c r="AL69" i="23"/>
  <c r="AK69" i="23"/>
  <c r="AL65" i="23"/>
  <c r="AK65" i="23"/>
  <c r="AL61" i="23"/>
  <c r="AK61" i="23"/>
  <c r="AL57" i="23"/>
  <c r="AK57" i="23"/>
  <c r="AL53" i="23"/>
  <c r="AK53" i="23"/>
  <c r="AL49" i="23"/>
  <c r="AK49" i="23"/>
  <c r="AL45" i="23"/>
  <c r="AK45" i="23"/>
  <c r="AL41" i="23"/>
  <c r="AK41" i="23"/>
  <c r="AL37" i="23"/>
  <c r="AK37" i="23"/>
  <c r="AL33" i="23"/>
  <c r="AK33" i="23"/>
  <c r="AL29" i="23"/>
  <c r="AK29" i="23"/>
  <c r="AL25" i="23"/>
  <c r="AK25" i="23"/>
  <c r="AL21" i="23"/>
  <c r="AK21" i="23"/>
  <c r="AL17" i="23"/>
  <c r="AK17" i="23"/>
  <c r="AL13" i="23"/>
  <c r="AK13" i="23"/>
  <c r="AC8" i="17"/>
  <c r="AC9" i="17"/>
  <c r="AC10" i="17"/>
  <c r="AC11" i="17"/>
  <c r="AC12" i="17"/>
  <c r="AC13" i="17"/>
  <c r="AC14" i="17"/>
  <c r="AC15" i="17"/>
  <c r="AC16" i="17"/>
  <c r="AC17" i="17"/>
  <c r="AC18" i="17"/>
  <c r="AC19" i="17"/>
  <c r="AC20" i="17"/>
  <c r="AC21" i="17"/>
  <c r="AC22" i="17"/>
  <c r="AC23" i="17"/>
  <c r="AC24" i="17"/>
  <c r="AC25" i="17"/>
  <c r="AC26" i="17"/>
  <c r="AC27" i="17"/>
  <c r="AC28" i="17"/>
  <c r="AC29" i="17"/>
  <c r="AC30" i="17"/>
  <c r="AC31" i="17"/>
  <c r="AC32" i="17"/>
  <c r="AC33" i="17"/>
  <c r="AC34" i="17"/>
  <c r="AC35" i="17"/>
  <c r="AC36" i="17"/>
  <c r="AC37" i="17"/>
  <c r="AC38" i="17"/>
  <c r="AC39" i="17"/>
  <c r="AC40" i="17"/>
  <c r="AC41" i="17"/>
  <c r="AC42" i="17"/>
  <c r="AC43" i="17"/>
  <c r="AC44" i="17"/>
  <c r="AC45" i="17"/>
  <c r="AC46" i="17"/>
  <c r="AC47" i="17"/>
  <c r="AC48" i="17"/>
  <c r="AC49" i="17"/>
  <c r="AC50" i="17"/>
  <c r="AC51" i="17"/>
  <c r="AC52" i="17"/>
  <c r="AC7" i="17"/>
  <c r="AB18" i="20" l="1"/>
  <c r="AA18" i="20"/>
  <c r="Z18" i="20"/>
  <c r="AB16" i="20"/>
  <c r="AA16" i="20"/>
  <c r="Z16" i="20"/>
  <c r="AB25" i="20"/>
  <c r="AA25" i="20"/>
  <c r="Z25" i="20"/>
  <c r="AB31" i="20"/>
  <c r="AA31" i="20"/>
  <c r="Z31" i="20"/>
  <c r="AB17" i="20"/>
  <c r="AA17" i="20"/>
  <c r="Z17" i="20"/>
  <c r="AB22" i="20"/>
  <c r="AA22" i="20"/>
  <c r="Z22" i="20"/>
  <c r="AB27" i="20"/>
  <c r="AA27" i="20"/>
  <c r="Z27" i="20"/>
  <c r="AB55" i="20"/>
  <c r="AA55" i="20"/>
  <c r="Z55" i="20"/>
  <c r="AB13" i="20"/>
  <c r="AA13" i="20"/>
  <c r="Z13" i="20"/>
  <c r="AB44" i="20"/>
  <c r="AA44" i="20"/>
  <c r="Z44" i="20"/>
  <c r="AB50" i="20"/>
  <c r="AA50" i="20"/>
  <c r="Z50" i="20"/>
  <c r="AB11" i="20"/>
  <c r="AA11" i="20"/>
  <c r="Z11" i="20"/>
  <c r="AB45" i="20"/>
  <c r="AA45" i="20"/>
  <c r="Z45" i="20"/>
  <c r="AB26" i="20"/>
  <c r="AA26" i="20"/>
  <c r="Z26" i="20"/>
  <c r="AB36" i="20"/>
  <c r="AA36" i="20"/>
  <c r="Z36" i="20"/>
  <c r="AB48" i="20"/>
  <c r="AA48" i="20"/>
  <c r="Z48" i="20"/>
  <c r="AB19" i="20"/>
  <c r="AA19" i="20"/>
  <c r="Z19" i="20"/>
  <c r="AB39" i="20"/>
  <c r="AA39" i="20"/>
  <c r="Z39" i="20"/>
  <c r="AB24" i="20"/>
  <c r="AA24" i="20"/>
  <c r="Z24" i="20"/>
  <c r="AB47" i="20"/>
  <c r="AA47" i="20"/>
  <c r="Z47" i="20"/>
  <c r="AB23" i="20"/>
  <c r="AA23" i="20"/>
  <c r="Z23" i="20"/>
  <c r="AB42" i="20"/>
  <c r="AA42" i="20"/>
  <c r="Z42" i="20"/>
  <c r="AB28" i="20"/>
  <c r="AA28" i="20"/>
  <c r="Z28" i="20"/>
  <c r="AB30" i="20"/>
  <c r="AA30" i="20"/>
  <c r="Z30" i="20"/>
  <c r="AB29" i="20"/>
  <c r="AA29" i="20"/>
  <c r="Z29" i="20"/>
  <c r="AB37" i="20"/>
  <c r="AA37" i="20"/>
  <c r="Z37" i="20"/>
  <c r="AB21" i="20"/>
  <c r="AA21" i="20"/>
  <c r="Z21" i="20"/>
  <c r="AB53" i="20"/>
  <c r="AA53" i="20"/>
  <c r="Z53" i="20"/>
  <c r="AB32" i="20"/>
  <c r="AA32" i="20"/>
  <c r="Z32" i="20"/>
  <c r="AB35" i="20"/>
  <c r="AA35" i="20"/>
  <c r="Z35" i="20"/>
  <c r="AB43" i="20"/>
  <c r="AA43" i="20"/>
  <c r="Z43" i="20"/>
  <c r="AB38" i="20"/>
  <c r="AA38" i="20"/>
  <c r="Z38" i="20"/>
  <c r="AB40" i="20"/>
  <c r="AA40" i="20"/>
  <c r="Z40" i="20"/>
  <c r="AB33" i="20"/>
  <c r="AA33" i="20"/>
  <c r="Z33" i="20"/>
  <c r="AB15" i="20"/>
  <c r="AA15" i="20"/>
  <c r="Z15" i="20"/>
  <c r="AB20" i="20"/>
  <c r="AA20" i="20"/>
  <c r="Z20" i="20"/>
  <c r="AB46" i="20"/>
  <c r="AA46" i="20"/>
  <c r="Z46" i="20"/>
  <c r="AB14" i="20"/>
  <c r="AA14" i="20"/>
  <c r="Z14" i="20"/>
  <c r="AB34" i="20"/>
  <c r="AA34" i="20"/>
  <c r="Z34" i="20"/>
  <c r="AB10" i="20"/>
  <c r="AA10" i="20"/>
  <c r="Z10" i="20"/>
  <c r="AB52" i="20"/>
  <c r="AA52" i="20"/>
  <c r="Z52" i="20"/>
  <c r="AB12" i="20"/>
  <c r="AA12" i="20"/>
  <c r="Z12" i="20"/>
  <c r="AB51" i="20"/>
  <c r="AA51" i="20"/>
  <c r="Z51" i="20"/>
  <c r="AB41" i="20"/>
  <c r="AA41" i="20"/>
  <c r="Z41" i="20"/>
  <c r="AB54" i="20"/>
  <c r="AA54" i="20"/>
  <c r="Z54" i="20"/>
  <c r="AB49" i="20"/>
  <c r="AA49" i="20"/>
  <c r="Z49" i="20"/>
  <c r="D53" i="17"/>
  <c r="S57" i="17"/>
  <c r="K7" i="25"/>
  <c r="G81" i="27"/>
  <c r="G82" i="27"/>
  <c r="G73" i="27"/>
  <c r="G68" i="27"/>
  <c r="G37" i="27"/>
  <c r="G21" i="27"/>
  <c r="G46" i="27"/>
  <c r="G38" i="27"/>
  <c r="G54" i="27"/>
  <c r="G26" i="27"/>
  <c r="G47" i="27"/>
  <c r="G22" i="27"/>
  <c r="G78" i="27"/>
  <c r="G8" i="27"/>
  <c r="G66" i="27"/>
  <c r="G74" i="27"/>
  <c r="G61" i="27"/>
  <c r="G29" i="27"/>
  <c r="G57" i="27"/>
  <c r="G70" i="27"/>
  <c r="G49" i="27"/>
  <c r="G45" i="27"/>
  <c r="G75" i="27"/>
  <c r="G72" i="27"/>
  <c r="G77" i="27"/>
  <c r="G44" i="27"/>
  <c r="G62" i="27"/>
  <c r="G28" i="27"/>
  <c r="G56" i="27"/>
  <c r="G18" i="27"/>
  <c r="G63" i="27"/>
  <c r="G64" i="27"/>
  <c r="G67" i="27"/>
  <c r="G60" i="27"/>
  <c r="G65" i="27"/>
  <c r="G40" i="27"/>
  <c r="G58" i="27"/>
  <c r="G71" i="27"/>
  <c r="G53" i="27"/>
  <c r="G25" i="27"/>
  <c r="G69" i="27"/>
  <c r="G59" i="27"/>
  <c r="G41" i="27"/>
  <c r="G14" i="27"/>
  <c r="G20" i="27"/>
  <c r="G19" i="27"/>
  <c r="G52" i="27"/>
  <c r="G36" i="27"/>
  <c r="G55" i="27"/>
  <c r="G43" i="27"/>
  <c r="G16" i="27"/>
  <c r="G23" i="27"/>
  <c r="G39" i="27"/>
  <c r="G48" i="27"/>
  <c r="G12" i="27"/>
  <c r="G33" i="27"/>
  <c r="G15" i="27"/>
  <c r="G7" i="27"/>
  <c r="G9" i="27"/>
  <c r="G31" i="27"/>
  <c r="G10" i="27"/>
  <c r="G76" i="27"/>
  <c r="G35" i="27"/>
  <c r="G42" i="27"/>
  <c r="G17" i="27"/>
  <c r="G30" i="27"/>
  <c r="G80" i="27"/>
  <c r="G11" i="27"/>
  <c r="G24" i="27"/>
  <c r="G27" i="27"/>
  <c r="G79" i="27"/>
  <c r="G13" i="27"/>
  <c r="G34" i="27"/>
  <c r="G32" i="27"/>
  <c r="G51" i="27"/>
  <c r="G50" i="27"/>
  <c r="H83" i="27"/>
  <c r="H4" i="27"/>
  <c r="C3" i="27"/>
  <c r="C4" i="27" s="1"/>
  <c r="F2" i="27"/>
  <c r="E2" i="27"/>
  <c r="D2" i="27"/>
  <c r="D1" i="27"/>
  <c r="E1" i="27" s="1"/>
  <c r="N10" i="27"/>
  <c r="O10" i="27" s="1"/>
  <c r="N11" i="27"/>
  <c r="O11" i="27" s="1"/>
  <c r="N7" i="27"/>
  <c r="O7" i="27" s="1"/>
  <c r="N12" i="27"/>
  <c r="O12" i="27" s="1"/>
  <c r="N8" i="27"/>
  <c r="O8" i="27" s="1"/>
  <c r="N13" i="27"/>
  <c r="O13" i="27" s="1"/>
  <c r="N9" i="27"/>
  <c r="O9" i="27" s="1"/>
  <c r="H1" i="27"/>
  <c r="H3" i="27" s="1"/>
  <c r="V7" i="17"/>
  <c r="V8" i="17"/>
  <c r="V9" i="17"/>
  <c r="V10" i="17"/>
  <c r="V11" i="17"/>
  <c r="V12" i="17"/>
  <c r="V13" i="17"/>
  <c r="V14" i="17"/>
  <c r="V15" i="17"/>
  <c r="V16" i="17"/>
  <c r="V17" i="17"/>
  <c r="V18" i="17"/>
  <c r="V19" i="17"/>
  <c r="V20" i="17"/>
  <c r="V21" i="17"/>
  <c r="V22" i="17"/>
  <c r="V23" i="17"/>
  <c r="V24" i="17"/>
  <c r="V25" i="17"/>
  <c r="V26" i="17"/>
  <c r="V27" i="17"/>
  <c r="V28" i="17"/>
  <c r="V29" i="17"/>
  <c r="V30" i="17"/>
  <c r="V31" i="17"/>
  <c r="V32" i="17"/>
  <c r="V33" i="17"/>
  <c r="V34" i="17"/>
  <c r="V35" i="17"/>
  <c r="V36" i="17"/>
  <c r="V37" i="17"/>
  <c r="V38" i="17"/>
  <c r="V39" i="17"/>
  <c r="V40" i="17"/>
  <c r="V41" i="17"/>
  <c r="V42" i="17"/>
  <c r="V43" i="17"/>
  <c r="V44" i="17"/>
  <c r="V45" i="17"/>
  <c r="V46" i="17"/>
  <c r="V47" i="17"/>
  <c r="V48" i="17"/>
  <c r="V49" i="17"/>
  <c r="V50" i="17"/>
  <c r="V51" i="17"/>
  <c r="V52" i="17"/>
  <c r="U7" i="17"/>
  <c r="U8" i="17"/>
  <c r="U9" i="17"/>
  <c r="U10" i="17"/>
  <c r="U11" i="17"/>
  <c r="U12" i="17"/>
  <c r="U13" i="17"/>
  <c r="U14" i="17"/>
  <c r="U15" i="17"/>
  <c r="U16" i="17"/>
  <c r="U17" i="17"/>
  <c r="U18" i="17"/>
  <c r="U19" i="17"/>
  <c r="U20" i="17"/>
  <c r="U21" i="17"/>
  <c r="U22" i="17"/>
  <c r="U23" i="17"/>
  <c r="U24" i="17"/>
  <c r="U25" i="17"/>
  <c r="U26" i="17"/>
  <c r="U27" i="17"/>
  <c r="U28" i="17"/>
  <c r="U29" i="17"/>
  <c r="U30" i="17"/>
  <c r="U31" i="17"/>
  <c r="U32" i="17"/>
  <c r="U33" i="17"/>
  <c r="U34" i="17"/>
  <c r="U35" i="17"/>
  <c r="U36" i="17"/>
  <c r="U37" i="17"/>
  <c r="U38" i="17"/>
  <c r="U39" i="17"/>
  <c r="U40" i="17"/>
  <c r="U41" i="17"/>
  <c r="U42" i="17"/>
  <c r="U43" i="17"/>
  <c r="U44" i="17"/>
  <c r="U45" i="17"/>
  <c r="U46" i="17"/>
  <c r="U47" i="17"/>
  <c r="U48" i="17"/>
  <c r="U49" i="17"/>
  <c r="U50" i="17"/>
  <c r="U51" i="17"/>
  <c r="U52" i="17"/>
  <c r="T7" i="17"/>
  <c r="T8" i="17"/>
  <c r="T9" i="17"/>
  <c r="T10" i="17"/>
  <c r="T11" i="17"/>
  <c r="T12" i="17"/>
  <c r="T13" i="17"/>
  <c r="T14" i="17"/>
  <c r="T15" i="17"/>
  <c r="T16" i="17"/>
  <c r="T17" i="17"/>
  <c r="T18" i="17"/>
  <c r="T19" i="17"/>
  <c r="T20" i="17"/>
  <c r="T21" i="17"/>
  <c r="T22" i="17"/>
  <c r="T23" i="17"/>
  <c r="T24" i="17"/>
  <c r="T25" i="17"/>
  <c r="T26" i="17"/>
  <c r="T27" i="17"/>
  <c r="T28" i="17"/>
  <c r="T29" i="17"/>
  <c r="T30" i="17"/>
  <c r="T31" i="17"/>
  <c r="T32" i="17"/>
  <c r="T33" i="17"/>
  <c r="T34" i="17"/>
  <c r="T35" i="17"/>
  <c r="T36" i="17"/>
  <c r="T37" i="17"/>
  <c r="T38" i="17"/>
  <c r="T39" i="17"/>
  <c r="T40" i="17"/>
  <c r="T41" i="17"/>
  <c r="T42" i="17"/>
  <c r="T43" i="17"/>
  <c r="T44" i="17"/>
  <c r="T45" i="17"/>
  <c r="T46" i="17"/>
  <c r="T47" i="17"/>
  <c r="T48" i="17"/>
  <c r="T49" i="17"/>
  <c r="T50" i="17"/>
  <c r="T51" i="17"/>
  <c r="T52" i="17"/>
  <c r="C9" i="23"/>
  <c r="D9" i="23" s="1"/>
  <c r="E9" i="23" s="1"/>
  <c r="F9" i="23" s="1"/>
  <c r="G9" i="23" s="1"/>
  <c r="H9" i="23" s="1"/>
  <c r="I9" i="23" s="1"/>
  <c r="J9" i="23" s="1"/>
  <c r="K9" i="23" s="1"/>
  <c r="L9" i="23" s="1"/>
  <c r="M9" i="23" s="1"/>
  <c r="N9" i="23" s="1"/>
  <c r="O9" i="23" s="1"/>
  <c r="P9" i="23" s="1"/>
  <c r="Q9" i="23" s="1"/>
  <c r="R9" i="23" s="1"/>
  <c r="S9" i="23" s="1"/>
  <c r="T9" i="23" s="1"/>
  <c r="U9" i="23" s="1"/>
  <c r="V9" i="23" s="1"/>
  <c r="W9" i="23" s="1"/>
  <c r="X9" i="23" s="1"/>
  <c r="Y9" i="23" s="1"/>
  <c r="Z9" i="23" s="1"/>
  <c r="AA9" i="23" s="1"/>
  <c r="AE9" i="23" s="1"/>
  <c r="AF9" i="23" s="1"/>
  <c r="AG9" i="23" s="1"/>
  <c r="AH9" i="23" s="1"/>
  <c r="AI9" i="23" s="1"/>
  <c r="AJ9" i="23" s="1"/>
  <c r="AK9" i="23" s="1"/>
  <c r="AL9" i="23" s="1"/>
  <c r="AM9" i="23" s="1"/>
  <c r="AN9" i="23" s="1"/>
  <c r="AO9" i="23" s="1"/>
  <c r="AP9" i="23" s="1"/>
  <c r="AQ9" i="23" s="1"/>
  <c r="AR9" i="23" s="1"/>
  <c r="AS9" i="23" s="1"/>
  <c r="AT9" i="23" s="1"/>
  <c r="AU9" i="23" s="1"/>
  <c r="AV9" i="23" s="1"/>
  <c r="AW9" i="23" s="1"/>
  <c r="AX9" i="23" s="1"/>
  <c r="AY9" i="23" s="1"/>
  <c r="AZ9" i="23" s="1"/>
  <c r="BA9" i="23" s="1"/>
  <c r="BB9" i="23" s="1"/>
  <c r="BC9" i="23" s="1"/>
  <c r="BD9" i="23" s="1"/>
  <c r="BE9" i="23" s="1"/>
  <c r="BF9" i="23" s="1"/>
  <c r="BG9" i="23" s="1"/>
  <c r="BH9" i="23" s="1"/>
  <c r="BI9" i="23" s="1"/>
  <c r="BJ9" i="23" s="1"/>
  <c r="BK9" i="23" s="1"/>
  <c r="BL9" i="23" s="1"/>
  <c r="BM9" i="23" s="1"/>
  <c r="BN9" i="23" s="1"/>
  <c r="BO9" i="23" s="1"/>
  <c r="BP9" i="23" s="1"/>
  <c r="BQ9" i="23" s="1"/>
  <c r="BR9" i="23" s="1"/>
  <c r="BS9" i="23" s="1"/>
  <c r="BT9" i="23" s="1"/>
  <c r="BU9" i="23" s="1"/>
  <c r="BV9" i="23" s="1"/>
  <c r="X4" i="9"/>
  <c r="X5" i="9"/>
  <c r="X6" i="9"/>
  <c r="X7" i="9"/>
  <c r="X8" i="9"/>
  <c r="X9" i="9"/>
  <c r="X10" i="9"/>
  <c r="X11" i="9"/>
  <c r="X12" i="9"/>
  <c r="X13" i="9"/>
  <c r="X14" i="9"/>
  <c r="X15" i="9"/>
  <c r="X16" i="9"/>
  <c r="X17" i="9"/>
  <c r="X18" i="9"/>
  <c r="X19" i="9"/>
  <c r="X20" i="9"/>
  <c r="X21" i="9"/>
  <c r="X22" i="9"/>
  <c r="X23" i="9"/>
  <c r="X24" i="9"/>
  <c r="X25" i="9"/>
  <c r="X26" i="9"/>
  <c r="X27" i="9"/>
  <c r="X28" i="9"/>
  <c r="X29" i="9"/>
  <c r="X30" i="9"/>
  <c r="X31" i="9"/>
  <c r="X32" i="9"/>
  <c r="X33" i="9"/>
  <c r="X34" i="9"/>
  <c r="X35" i="9"/>
  <c r="X36" i="9"/>
  <c r="X37" i="9"/>
  <c r="X38" i="9"/>
  <c r="X39" i="9"/>
  <c r="X40" i="9"/>
  <c r="X41" i="9"/>
  <c r="X42" i="9"/>
  <c r="X43" i="9"/>
  <c r="X44" i="9"/>
  <c r="X45" i="9"/>
  <c r="X46" i="9"/>
  <c r="X47" i="9"/>
  <c r="X48" i="9"/>
  <c r="X49" i="9"/>
  <c r="X50" i="9"/>
  <c r="X51" i="9"/>
  <c r="X52" i="9"/>
  <c r="X53" i="9"/>
  <c r="X54" i="9"/>
  <c r="X55" i="9"/>
  <c r="X56" i="9"/>
  <c r="X57" i="9"/>
  <c r="X58" i="9"/>
  <c r="X59" i="9"/>
  <c r="X60" i="9"/>
  <c r="X61" i="9"/>
  <c r="X62" i="9"/>
  <c r="X63" i="9"/>
  <c r="X64" i="9"/>
  <c r="X65" i="9"/>
  <c r="X66" i="9"/>
  <c r="X67" i="9"/>
  <c r="X68" i="9"/>
  <c r="X69" i="9"/>
  <c r="X70" i="9"/>
  <c r="X71" i="9"/>
  <c r="X72" i="9"/>
  <c r="X73" i="9"/>
  <c r="X74" i="9"/>
  <c r="X75" i="9"/>
  <c r="X76" i="9"/>
  <c r="X77" i="9"/>
  <c r="X78" i="9"/>
  <c r="X79" i="9"/>
  <c r="X80" i="9"/>
  <c r="X81" i="9"/>
  <c r="X82" i="9"/>
  <c r="X83" i="9"/>
  <c r="X84" i="9"/>
  <c r="X85" i="9"/>
  <c r="X86" i="9"/>
  <c r="X87" i="9"/>
  <c r="X88" i="9"/>
  <c r="X89" i="9"/>
  <c r="X90" i="9"/>
  <c r="X91" i="9"/>
  <c r="X92" i="9"/>
  <c r="X93" i="9"/>
  <c r="X94" i="9"/>
  <c r="X95" i="9"/>
  <c r="X96" i="9"/>
  <c r="X97" i="9"/>
  <c r="X98" i="9"/>
  <c r="X99" i="9"/>
  <c r="X100" i="9"/>
  <c r="X101" i="9"/>
  <c r="X102" i="9"/>
  <c r="X103" i="9"/>
  <c r="X104" i="9"/>
  <c r="X105" i="9"/>
  <c r="X106" i="9"/>
  <c r="X107" i="9"/>
  <c r="X108" i="9"/>
  <c r="X109" i="9"/>
  <c r="X110" i="9"/>
  <c r="X111" i="9"/>
  <c r="X112" i="9"/>
  <c r="X113" i="9"/>
  <c r="X114" i="9"/>
  <c r="X115" i="9"/>
  <c r="X116" i="9"/>
  <c r="X117" i="9"/>
  <c r="X118" i="9"/>
  <c r="X119" i="9"/>
  <c r="X120" i="9"/>
  <c r="X121" i="9"/>
  <c r="X122" i="9"/>
  <c r="X123" i="9"/>
  <c r="X124" i="9"/>
  <c r="X125" i="9"/>
  <c r="X126" i="9"/>
  <c r="X127" i="9"/>
  <c r="X128" i="9"/>
  <c r="X129" i="9"/>
  <c r="X130" i="9"/>
  <c r="X131" i="9"/>
  <c r="X132" i="9"/>
  <c r="X133" i="9"/>
  <c r="X134" i="9"/>
  <c r="X135" i="9"/>
  <c r="X136" i="9"/>
  <c r="X137" i="9"/>
  <c r="X138" i="9"/>
  <c r="X139" i="9"/>
  <c r="X140" i="9"/>
  <c r="X141" i="9"/>
  <c r="X142" i="9"/>
  <c r="X143" i="9"/>
  <c r="X144" i="9"/>
  <c r="X145" i="9"/>
  <c r="X146" i="9"/>
  <c r="X147" i="9"/>
  <c r="X148" i="9"/>
  <c r="X149" i="9"/>
  <c r="X150" i="9"/>
  <c r="X151" i="9"/>
  <c r="X152" i="9"/>
  <c r="X153" i="9"/>
  <c r="X154" i="9"/>
  <c r="X155" i="9"/>
  <c r="X156" i="9"/>
  <c r="X157" i="9"/>
  <c r="X158" i="9"/>
  <c r="X159" i="9"/>
  <c r="X160" i="9"/>
  <c r="X161" i="9"/>
  <c r="X162" i="9"/>
  <c r="X163" i="9"/>
  <c r="X164" i="9"/>
  <c r="X165" i="9"/>
  <c r="X166" i="9"/>
  <c r="X167" i="9"/>
  <c r="X168" i="9"/>
  <c r="X169" i="9"/>
  <c r="X170" i="9"/>
  <c r="X171" i="9"/>
  <c r="X172" i="9"/>
  <c r="X173" i="9"/>
  <c r="X174" i="9"/>
  <c r="X175" i="9"/>
  <c r="X176" i="9"/>
  <c r="X177" i="9"/>
  <c r="X178" i="9"/>
  <c r="X179" i="9"/>
  <c r="X180" i="9"/>
  <c r="X181" i="9"/>
  <c r="X182" i="9"/>
  <c r="X183" i="9"/>
  <c r="X184" i="9"/>
  <c r="X185" i="9"/>
  <c r="X186" i="9"/>
  <c r="X187" i="9"/>
  <c r="X188" i="9"/>
  <c r="X189" i="9"/>
  <c r="X190" i="9"/>
  <c r="X191" i="9"/>
  <c r="X192" i="9"/>
  <c r="X193" i="9"/>
  <c r="X194" i="9"/>
  <c r="X195" i="9"/>
  <c r="X196" i="9"/>
  <c r="X197" i="9"/>
  <c r="X198" i="9"/>
  <c r="X199" i="9"/>
  <c r="X200" i="9"/>
  <c r="X201" i="9"/>
  <c r="X202" i="9"/>
  <c r="X203" i="9"/>
  <c r="X204" i="9"/>
  <c r="X205" i="9"/>
  <c r="X206" i="9"/>
  <c r="X207" i="9"/>
  <c r="X208" i="9"/>
  <c r="X209" i="9"/>
  <c r="X210" i="9"/>
  <c r="X211" i="9"/>
  <c r="X212" i="9"/>
  <c r="X213" i="9"/>
  <c r="X214" i="9"/>
  <c r="X215" i="9"/>
  <c r="X216" i="9"/>
  <c r="X217" i="9"/>
  <c r="X218" i="9"/>
  <c r="X219" i="9"/>
  <c r="X220" i="9"/>
  <c r="X221" i="9"/>
  <c r="X222" i="9"/>
  <c r="X223" i="9"/>
  <c r="X224" i="9"/>
  <c r="X225" i="9"/>
  <c r="X226" i="9"/>
  <c r="X227" i="9"/>
  <c r="X228" i="9"/>
  <c r="X229" i="9"/>
  <c r="X230" i="9"/>
  <c r="X231" i="9"/>
  <c r="X232" i="9"/>
  <c r="X233" i="9"/>
  <c r="X234" i="9"/>
  <c r="X235" i="9"/>
  <c r="X236" i="9"/>
  <c r="X237" i="9"/>
  <c r="X238" i="9"/>
  <c r="X239" i="9"/>
  <c r="X240" i="9"/>
  <c r="X241" i="9"/>
  <c r="X242" i="9"/>
  <c r="X243" i="9"/>
  <c r="X244" i="9"/>
  <c r="X245" i="9"/>
  <c r="X246" i="9"/>
  <c r="X247" i="9"/>
  <c r="X248" i="9"/>
  <c r="X249" i="9"/>
  <c r="X250" i="9"/>
  <c r="X251" i="9"/>
  <c r="X252" i="9"/>
  <c r="X253" i="9"/>
  <c r="X254" i="9"/>
  <c r="X255" i="9"/>
  <c r="X256" i="9"/>
  <c r="X257" i="9"/>
  <c r="X258" i="9"/>
  <c r="X259" i="9"/>
  <c r="X260" i="9"/>
  <c r="X261" i="9"/>
  <c r="X262" i="9"/>
  <c r="X263" i="9"/>
  <c r="X264" i="9"/>
  <c r="X265" i="9"/>
  <c r="X266" i="9"/>
  <c r="X267" i="9"/>
  <c r="X268" i="9"/>
  <c r="X269" i="9"/>
  <c r="X270" i="9"/>
  <c r="X271" i="9"/>
  <c r="X272" i="9"/>
  <c r="X273" i="9"/>
  <c r="X274" i="9"/>
  <c r="X275" i="9"/>
  <c r="X276" i="9"/>
  <c r="X277" i="9"/>
  <c r="X278" i="9"/>
  <c r="X279" i="9"/>
  <c r="X280" i="9"/>
  <c r="X281" i="9"/>
  <c r="X282" i="9"/>
  <c r="X283" i="9"/>
  <c r="X284" i="9"/>
  <c r="X285" i="9"/>
  <c r="X286" i="9"/>
  <c r="X287" i="9"/>
  <c r="X288" i="9"/>
  <c r="X289" i="9"/>
  <c r="X290" i="9"/>
  <c r="X291" i="9"/>
  <c r="X292" i="9"/>
  <c r="X293" i="9"/>
  <c r="X294" i="9"/>
  <c r="X295" i="9"/>
  <c r="X296" i="9"/>
  <c r="X297" i="9"/>
  <c r="X298" i="9"/>
  <c r="X299" i="9"/>
  <c r="X300" i="9"/>
  <c r="X301" i="9"/>
  <c r="X302" i="9"/>
  <c r="X303" i="9"/>
  <c r="X304" i="9"/>
  <c r="X305" i="9"/>
  <c r="X306" i="9"/>
  <c r="X307" i="9"/>
  <c r="X308" i="9"/>
  <c r="X309" i="9"/>
  <c r="X310" i="9"/>
  <c r="X311" i="9"/>
  <c r="X312" i="9"/>
  <c r="X313" i="9"/>
  <c r="X314" i="9"/>
  <c r="X315" i="9"/>
  <c r="X316" i="9"/>
  <c r="X317" i="9"/>
  <c r="X318" i="9"/>
  <c r="X319" i="9"/>
  <c r="X320" i="9"/>
  <c r="X321" i="9"/>
  <c r="X322" i="9"/>
  <c r="X323" i="9"/>
  <c r="X324" i="9"/>
  <c r="X325" i="9"/>
  <c r="X326" i="9"/>
  <c r="X327" i="9"/>
  <c r="X328" i="9"/>
  <c r="X329" i="9"/>
  <c r="X330" i="9"/>
  <c r="X331" i="9"/>
  <c r="X332" i="9"/>
  <c r="X333" i="9"/>
  <c r="X334" i="9"/>
  <c r="X335" i="9"/>
  <c r="X336" i="9"/>
  <c r="X337" i="9"/>
  <c r="X338" i="9"/>
  <c r="X339" i="9"/>
  <c r="X340" i="9"/>
  <c r="X341" i="9"/>
  <c r="X342" i="9"/>
  <c r="X343" i="9"/>
  <c r="X344" i="9"/>
  <c r="X345" i="9"/>
  <c r="X346" i="9"/>
  <c r="X347" i="9"/>
  <c r="X348" i="9"/>
  <c r="X349" i="9"/>
  <c r="X350" i="9"/>
  <c r="X351" i="9"/>
  <c r="X352" i="9"/>
  <c r="X353" i="9"/>
  <c r="X354" i="9"/>
  <c r="X355" i="9"/>
  <c r="X356" i="9"/>
  <c r="X357" i="9"/>
  <c r="X358" i="9"/>
  <c r="X359" i="9"/>
  <c r="X360" i="9"/>
  <c r="X361" i="9"/>
  <c r="X362" i="9"/>
  <c r="X363" i="9"/>
  <c r="X364" i="9"/>
  <c r="X365" i="9"/>
  <c r="X366" i="9"/>
  <c r="X367" i="9"/>
  <c r="X368" i="9"/>
  <c r="X369" i="9"/>
  <c r="X370" i="9"/>
  <c r="X371" i="9"/>
  <c r="X372" i="9"/>
  <c r="X373" i="9"/>
  <c r="X374" i="9"/>
  <c r="X375" i="9"/>
  <c r="X376" i="9"/>
  <c r="X377" i="9"/>
  <c r="X378" i="9"/>
  <c r="X379" i="9"/>
  <c r="X380" i="9"/>
  <c r="X381" i="9"/>
  <c r="X382" i="9"/>
  <c r="X383" i="9"/>
  <c r="X384" i="9"/>
  <c r="X385" i="9"/>
  <c r="X386" i="9"/>
  <c r="X387" i="9"/>
  <c r="X388" i="9"/>
  <c r="X389" i="9"/>
  <c r="X390" i="9"/>
  <c r="X391" i="9"/>
  <c r="X392" i="9"/>
  <c r="X393" i="9"/>
  <c r="X394" i="9"/>
  <c r="X395" i="9"/>
  <c r="X396" i="9"/>
  <c r="X397" i="9"/>
  <c r="X398" i="9"/>
  <c r="X399" i="9"/>
  <c r="X400" i="9"/>
  <c r="X401" i="9"/>
  <c r="X402" i="9"/>
  <c r="X403" i="9"/>
  <c r="X404" i="9"/>
  <c r="X405" i="9"/>
  <c r="X406" i="9"/>
  <c r="X407" i="9"/>
  <c r="X408" i="9"/>
  <c r="X409" i="9"/>
  <c r="X410" i="9"/>
  <c r="X411" i="9"/>
  <c r="X412" i="9"/>
  <c r="X413" i="9"/>
  <c r="X414" i="9"/>
  <c r="X415" i="9"/>
  <c r="X416" i="9"/>
  <c r="X417" i="9"/>
  <c r="X418" i="9"/>
  <c r="X419" i="9"/>
  <c r="X420" i="9"/>
  <c r="X421" i="9"/>
  <c r="X422" i="9"/>
  <c r="X423" i="9"/>
  <c r="X424" i="9"/>
  <c r="X425" i="9"/>
  <c r="X426" i="9"/>
  <c r="X427" i="9"/>
  <c r="X428" i="9"/>
  <c r="X429" i="9"/>
  <c r="X430" i="9"/>
  <c r="X431" i="9"/>
  <c r="X432" i="9"/>
  <c r="X433" i="9"/>
  <c r="X434" i="9"/>
  <c r="X435" i="9"/>
  <c r="X436" i="9"/>
  <c r="X437" i="9"/>
  <c r="X438" i="9"/>
  <c r="X439" i="9"/>
  <c r="X440" i="9"/>
  <c r="X441" i="9"/>
  <c r="X442" i="9"/>
  <c r="X443" i="9"/>
  <c r="X444" i="9"/>
  <c r="X445" i="9"/>
  <c r="X446" i="9"/>
  <c r="X447" i="9"/>
  <c r="X448" i="9"/>
  <c r="X449" i="9"/>
  <c r="X450" i="9"/>
  <c r="X451" i="9"/>
  <c r="X452" i="9"/>
  <c r="X453" i="9"/>
  <c r="X454" i="9"/>
  <c r="X455" i="9"/>
  <c r="X456" i="9"/>
  <c r="X457" i="9"/>
  <c r="X458" i="9"/>
  <c r="X459" i="9"/>
  <c r="X460" i="9"/>
  <c r="E3" i="8"/>
  <c r="E4" i="8"/>
  <c r="E5" i="8"/>
  <c r="E6" i="8"/>
  <c r="E7" i="8"/>
  <c r="E8" i="8"/>
  <c r="E9" i="8"/>
  <c r="E10" i="8"/>
  <c r="E11" i="8"/>
  <c r="E12" i="8"/>
  <c r="E13" i="8"/>
  <c r="E14" i="8"/>
  <c r="E15" i="8"/>
  <c r="E16" i="8"/>
  <c r="E17" i="8"/>
  <c r="E18" i="8"/>
  <c r="E19" i="8"/>
  <c r="E20" i="8"/>
  <c r="E21" i="8"/>
  <c r="E22" i="8"/>
  <c r="E23" i="8"/>
  <c r="E24" i="8"/>
  <c r="E25" i="8"/>
  <c r="E26" i="8"/>
  <c r="E27" i="8"/>
  <c r="E28" i="8"/>
  <c r="E29" i="8"/>
  <c r="E30" i="8"/>
  <c r="E31" i="8"/>
  <c r="E32" i="8"/>
  <c r="E33" i="8"/>
  <c r="E34" i="8"/>
  <c r="E35" i="8"/>
  <c r="E36" i="8"/>
  <c r="E37" i="8"/>
  <c r="E38" i="8"/>
  <c r="E39" i="8"/>
  <c r="E40" i="8"/>
  <c r="E41" i="8"/>
  <c r="E42" i="8"/>
  <c r="E43" i="8"/>
  <c r="E44" i="8"/>
  <c r="E45" i="8"/>
  <c r="E46" i="8"/>
  <c r="E47" i="8"/>
  <c r="E48" i="8"/>
  <c r="E49" i="8"/>
  <c r="E50" i="8"/>
  <c r="E51" i="8"/>
  <c r="E52" i="8"/>
  <c r="E53" i="8"/>
  <c r="E54" i="8"/>
  <c r="E55" i="8"/>
  <c r="E56" i="8"/>
  <c r="E57" i="8"/>
  <c r="E58" i="8"/>
  <c r="E59" i="8"/>
  <c r="E60" i="8"/>
  <c r="E61" i="8"/>
  <c r="E62" i="8"/>
  <c r="E63" i="8"/>
  <c r="E64" i="8"/>
  <c r="E65" i="8"/>
  <c r="E66" i="8"/>
  <c r="E67" i="8"/>
  <c r="E68" i="8"/>
  <c r="E69" i="8"/>
  <c r="E70" i="8"/>
  <c r="E71" i="8"/>
  <c r="E72" i="8"/>
  <c r="E73" i="8"/>
  <c r="E74" i="8"/>
  <c r="E75" i="8"/>
  <c r="E76" i="8"/>
  <c r="E77" i="8"/>
  <c r="E78" i="8"/>
  <c r="E79" i="8"/>
  <c r="E80" i="8"/>
  <c r="E81" i="8"/>
  <c r="E82" i="8"/>
  <c r="E83" i="8"/>
  <c r="E84" i="8"/>
  <c r="E85" i="8"/>
  <c r="E86" i="8"/>
  <c r="E87" i="8"/>
  <c r="E88" i="8"/>
  <c r="E89" i="8"/>
  <c r="E90" i="8"/>
  <c r="E91" i="8"/>
  <c r="E92" i="8"/>
  <c r="E93" i="8"/>
  <c r="E94" i="8"/>
  <c r="E95" i="8"/>
  <c r="E96" i="8"/>
  <c r="E97" i="8"/>
  <c r="E98" i="8"/>
  <c r="E99" i="8"/>
  <c r="E100" i="8"/>
  <c r="E101" i="8"/>
  <c r="E102" i="8"/>
  <c r="E103" i="8"/>
  <c r="E104" i="8"/>
  <c r="E105" i="8"/>
  <c r="E106" i="8"/>
  <c r="E107" i="8"/>
  <c r="E108" i="8"/>
  <c r="E109" i="8"/>
  <c r="E110" i="8"/>
  <c r="E111" i="8"/>
  <c r="E112" i="8"/>
  <c r="E113" i="8"/>
  <c r="E114" i="8"/>
  <c r="E115" i="8"/>
  <c r="E116" i="8"/>
  <c r="E117" i="8"/>
  <c r="E118" i="8"/>
  <c r="E119" i="8"/>
  <c r="E120" i="8"/>
  <c r="E121" i="8"/>
  <c r="E122" i="8"/>
  <c r="E123" i="8"/>
  <c r="E124" i="8"/>
  <c r="E125" i="8"/>
  <c r="E126" i="8"/>
  <c r="E127" i="8"/>
  <c r="E128" i="8"/>
  <c r="E129" i="8"/>
  <c r="E130" i="8"/>
  <c r="E131" i="8"/>
  <c r="E132" i="8"/>
  <c r="E133" i="8"/>
  <c r="E134" i="8"/>
  <c r="E135" i="8"/>
  <c r="E136" i="8"/>
  <c r="E137" i="8"/>
  <c r="E138" i="8"/>
  <c r="E139" i="8"/>
  <c r="E140" i="8"/>
  <c r="E141" i="8"/>
  <c r="E142" i="8"/>
  <c r="E143" i="8"/>
  <c r="E144" i="8"/>
  <c r="E145" i="8"/>
  <c r="E146" i="8"/>
  <c r="E147" i="8"/>
  <c r="E148" i="8"/>
  <c r="E149" i="8"/>
  <c r="E150" i="8"/>
  <c r="E151" i="8"/>
  <c r="E152" i="8"/>
  <c r="E153" i="8"/>
  <c r="E154" i="8"/>
  <c r="E155" i="8"/>
  <c r="E156" i="8"/>
  <c r="E157" i="8"/>
  <c r="E158" i="8"/>
  <c r="E159" i="8"/>
  <c r="E160" i="8"/>
  <c r="E161" i="8"/>
  <c r="E162" i="8"/>
  <c r="E163" i="8"/>
  <c r="E164" i="8"/>
  <c r="E165" i="8"/>
  <c r="E166" i="8"/>
  <c r="E167" i="8"/>
  <c r="E168" i="8"/>
  <c r="E169" i="8"/>
  <c r="E170" i="8"/>
  <c r="E171" i="8"/>
  <c r="E172" i="8"/>
  <c r="E173" i="8"/>
  <c r="E174" i="8"/>
  <c r="E175" i="8"/>
  <c r="E176" i="8"/>
  <c r="E177" i="8"/>
  <c r="E178" i="8"/>
  <c r="E179" i="8"/>
  <c r="E180" i="8"/>
  <c r="E181" i="8"/>
  <c r="E182" i="8"/>
  <c r="E183" i="8"/>
  <c r="E184" i="8"/>
  <c r="E185" i="8"/>
  <c r="E186" i="8"/>
  <c r="E187" i="8"/>
  <c r="E188" i="8"/>
  <c r="E189" i="8"/>
  <c r="E190" i="8"/>
  <c r="E191" i="8"/>
  <c r="E192" i="8"/>
  <c r="E193" i="8"/>
  <c r="E194" i="8"/>
  <c r="E195" i="8"/>
  <c r="E196" i="8"/>
  <c r="E197" i="8"/>
  <c r="E198" i="8"/>
  <c r="E199" i="8"/>
  <c r="E200" i="8"/>
  <c r="E201" i="8"/>
  <c r="E202" i="8"/>
  <c r="E203" i="8"/>
  <c r="E204" i="8"/>
  <c r="E205" i="8"/>
  <c r="E206" i="8"/>
  <c r="E207" i="8"/>
  <c r="E208" i="8"/>
  <c r="E209" i="8"/>
  <c r="E210" i="8"/>
  <c r="E211" i="8"/>
  <c r="E212" i="8"/>
  <c r="E213" i="8"/>
  <c r="E214" i="8"/>
  <c r="E215" i="8"/>
  <c r="E216" i="8"/>
  <c r="E217" i="8"/>
  <c r="E218" i="8"/>
  <c r="E219" i="8"/>
  <c r="E220" i="8"/>
  <c r="E221" i="8"/>
  <c r="E222" i="8"/>
  <c r="E223" i="8"/>
  <c r="E224" i="8"/>
  <c r="E225" i="8"/>
  <c r="E226" i="8"/>
  <c r="E227" i="8"/>
  <c r="E228" i="8"/>
  <c r="E229" i="8"/>
  <c r="E230" i="8"/>
  <c r="E231" i="8"/>
  <c r="E232" i="8"/>
  <c r="E233" i="8"/>
  <c r="E234" i="8"/>
  <c r="E235" i="8"/>
  <c r="E236" i="8"/>
  <c r="E237" i="8"/>
  <c r="E238" i="8"/>
  <c r="E239" i="8"/>
  <c r="E240" i="8"/>
  <c r="E241" i="8"/>
  <c r="E242" i="8"/>
  <c r="E243" i="8"/>
  <c r="E244" i="8"/>
  <c r="E245" i="8"/>
  <c r="E246" i="8"/>
  <c r="E247" i="8"/>
  <c r="E248" i="8"/>
  <c r="E249" i="8"/>
  <c r="E250" i="8"/>
  <c r="E251" i="8"/>
  <c r="E252" i="8"/>
  <c r="E253" i="8"/>
  <c r="E254" i="8"/>
  <c r="E255" i="8"/>
  <c r="E256" i="8"/>
  <c r="E257" i="8"/>
  <c r="E258" i="8"/>
  <c r="E259" i="8"/>
  <c r="E260" i="8"/>
  <c r="E261" i="8"/>
  <c r="E262" i="8"/>
  <c r="E263" i="8"/>
  <c r="E264" i="8"/>
  <c r="E265" i="8"/>
  <c r="E266" i="8"/>
  <c r="E267" i="8"/>
  <c r="E268" i="8"/>
  <c r="E269" i="8"/>
  <c r="E270" i="8"/>
  <c r="E271" i="8"/>
  <c r="E272" i="8"/>
  <c r="E273" i="8"/>
  <c r="E274" i="8"/>
  <c r="E275" i="8"/>
  <c r="E276" i="8"/>
  <c r="E277" i="8"/>
  <c r="E278" i="8"/>
  <c r="E279" i="8"/>
  <c r="E280" i="8"/>
  <c r="E281" i="8"/>
  <c r="E282" i="8"/>
  <c r="E283" i="8"/>
  <c r="E284" i="8"/>
  <c r="E285" i="8"/>
  <c r="E286" i="8"/>
  <c r="E287" i="8"/>
  <c r="E288" i="8"/>
  <c r="E289" i="8"/>
  <c r="E290" i="8"/>
  <c r="E291" i="8"/>
  <c r="E292" i="8"/>
  <c r="E293" i="8"/>
  <c r="E294" i="8"/>
  <c r="E295" i="8"/>
  <c r="E296" i="8"/>
  <c r="E297" i="8"/>
  <c r="E298" i="8"/>
  <c r="E299" i="8"/>
  <c r="E300" i="8"/>
  <c r="E301" i="8"/>
  <c r="E302" i="8"/>
  <c r="E303" i="8"/>
  <c r="E304" i="8"/>
  <c r="E305" i="8"/>
  <c r="E306" i="8"/>
  <c r="E307" i="8"/>
  <c r="E308" i="8"/>
  <c r="E309" i="8"/>
  <c r="E310" i="8"/>
  <c r="E311" i="8"/>
  <c r="E312" i="8"/>
  <c r="E313" i="8"/>
  <c r="E314" i="8"/>
  <c r="E315" i="8"/>
  <c r="E316" i="8"/>
  <c r="E317" i="8"/>
  <c r="E318" i="8"/>
  <c r="E319" i="8"/>
  <c r="E320" i="8"/>
  <c r="E321" i="8"/>
  <c r="E322" i="8"/>
  <c r="E323" i="8"/>
  <c r="E324" i="8"/>
  <c r="E325" i="8"/>
  <c r="E326" i="8"/>
  <c r="E327" i="8"/>
  <c r="E328" i="8"/>
  <c r="E329" i="8"/>
  <c r="E330" i="8"/>
  <c r="E331" i="8"/>
  <c r="E332" i="8"/>
  <c r="E333" i="8"/>
  <c r="E334" i="8"/>
  <c r="E335" i="8"/>
  <c r="E336" i="8"/>
  <c r="E337" i="8"/>
  <c r="E338" i="8"/>
  <c r="E339" i="8"/>
  <c r="E340" i="8"/>
  <c r="E341" i="8"/>
  <c r="E342" i="8"/>
  <c r="E343" i="8"/>
  <c r="E344" i="8"/>
  <c r="E345" i="8"/>
  <c r="E346" i="8"/>
  <c r="E347" i="8"/>
  <c r="E348" i="8"/>
  <c r="E349" i="8"/>
  <c r="E350" i="8"/>
  <c r="E351" i="8"/>
  <c r="E352" i="8"/>
  <c r="E353" i="8"/>
  <c r="E354" i="8"/>
  <c r="E355" i="8"/>
  <c r="E356" i="8"/>
  <c r="E357" i="8"/>
  <c r="E358" i="8"/>
  <c r="E359" i="8"/>
  <c r="E360" i="8"/>
  <c r="E361" i="8"/>
  <c r="E362" i="8"/>
  <c r="E363" i="8"/>
  <c r="E364" i="8"/>
  <c r="E365" i="8"/>
  <c r="E366" i="8"/>
  <c r="E367" i="8"/>
  <c r="E368" i="8"/>
  <c r="E369" i="8"/>
  <c r="E370" i="8"/>
  <c r="E371" i="8"/>
  <c r="E372" i="8"/>
  <c r="E373" i="8"/>
  <c r="E374" i="8"/>
  <c r="E375" i="8"/>
  <c r="E376" i="8"/>
  <c r="E377" i="8"/>
  <c r="E378" i="8"/>
  <c r="E379" i="8"/>
  <c r="E380" i="8"/>
  <c r="E381" i="8"/>
  <c r="E382" i="8"/>
  <c r="E383" i="8"/>
  <c r="E384" i="8"/>
  <c r="E385" i="8"/>
  <c r="E386" i="8"/>
  <c r="E387" i="8"/>
  <c r="E388" i="8"/>
  <c r="E389" i="8"/>
  <c r="E390" i="8"/>
  <c r="E391" i="8"/>
  <c r="E392" i="8"/>
  <c r="E393" i="8"/>
  <c r="E394" i="8"/>
  <c r="E395" i="8"/>
  <c r="E396" i="8"/>
  <c r="E397" i="8"/>
  <c r="E398" i="8"/>
  <c r="E399" i="8"/>
  <c r="E400" i="8"/>
  <c r="E401" i="8"/>
  <c r="E402" i="8"/>
  <c r="E403" i="8"/>
  <c r="E404" i="8"/>
  <c r="E405" i="8"/>
  <c r="E406" i="8"/>
  <c r="E407" i="8"/>
  <c r="E408" i="8"/>
  <c r="E409" i="8"/>
  <c r="E410" i="8"/>
  <c r="E411" i="8"/>
  <c r="E412" i="8"/>
  <c r="E413" i="8"/>
  <c r="E414" i="8"/>
  <c r="E415" i="8"/>
  <c r="E416" i="8"/>
  <c r="E417" i="8"/>
  <c r="E418" i="8"/>
  <c r="E419" i="8"/>
  <c r="E420" i="8"/>
  <c r="E421" i="8"/>
  <c r="E422" i="8"/>
  <c r="E423" i="8"/>
  <c r="E424" i="8"/>
  <c r="E425" i="8"/>
  <c r="E426" i="8"/>
  <c r="E427" i="8"/>
  <c r="E428" i="8"/>
  <c r="E429" i="8"/>
  <c r="E430" i="8"/>
  <c r="E431" i="8"/>
  <c r="E432" i="8"/>
  <c r="E433" i="8"/>
  <c r="E434" i="8"/>
  <c r="E435" i="8"/>
  <c r="E436" i="8"/>
  <c r="E437" i="8"/>
  <c r="E438" i="8"/>
  <c r="E439" i="8"/>
  <c r="E440" i="8"/>
  <c r="E441" i="8"/>
  <c r="E442" i="8"/>
  <c r="E443" i="8"/>
  <c r="E444" i="8"/>
  <c r="E445" i="8"/>
  <c r="E446" i="8"/>
  <c r="E447" i="8"/>
  <c r="E448" i="8"/>
  <c r="E449" i="8"/>
  <c r="E450" i="8"/>
  <c r="E451" i="8"/>
  <c r="E452" i="8"/>
  <c r="E453" i="8"/>
  <c r="E454" i="8"/>
  <c r="E455" i="8"/>
  <c r="E456" i="8"/>
  <c r="E457" i="8"/>
  <c r="E458" i="8"/>
  <c r="E459" i="8"/>
  <c r="E460" i="8"/>
  <c r="E461" i="8"/>
  <c r="E462" i="8"/>
  <c r="E463" i="8"/>
  <c r="E464" i="8"/>
  <c r="E465" i="8"/>
  <c r="E466" i="8"/>
  <c r="E467" i="8"/>
  <c r="E468" i="8"/>
  <c r="E469" i="8"/>
  <c r="E470" i="8"/>
  <c r="E471" i="8"/>
  <c r="E472" i="8"/>
  <c r="E473" i="8"/>
  <c r="E474" i="8"/>
  <c r="E475" i="8"/>
  <c r="E476" i="8"/>
  <c r="E477" i="8"/>
  <c r="E478" i="8"/>
  <c r="E479" i="8"/>
  <c r="E480" i="8"/>
  <c r="E481" i="8"/>
  <c r="E482" i="8"/>
  <c r="E483" i="8"/>
  <c r="E484" i="8"/>
  <c r="E485" i="8"/>
  <c r="E486" i="8"/>
  <c r="E487" i="8"/>
  <c r="E488" i="8"/>
  <c r="E489" i="8"/>
  <c r="E490" i="8"/>
  <c r="E491" i="8"/>
  <c r="E492" i="8"/>
  <c r="E493" i="8"/>
  <c r="E494" i="8"/>
  <c r="E495" i="8"/>
  <c r="E496" i="8"/>
  <c r="E497" i="8"/>
  <c r="E498" i="8"/>
  <c r="E499" i="8"/>
  <c r="E500" i="8"/>
  <c r="E501" i="8"/>
  <c r="E502" i="8"/>
  <c r="E503" i="8"/>
  <c r="E504" i="8"/>
  <c r="E505" i="8"/>
  <c r="E506" i="8"/>
  <c r="E507" i="8"/>
  <c r="E508" i="8"/>
  <c r="E509" i="8"/>
  <c r="E510" i="8"/>
  <c r="E511" i="8"/>
  <c r="E512" i="8"/>
  <c r="E513" i="8"/>
  <c r="E514" i="8"/>
  <c r="E515" i="8"/>
  <c r="E516" i="8"/>
  <c r="E517" i="8"/>
  <c r="E518" i="8"/>
  <c r="E519" i="8"/>
  <c r="E520" i="8"/>
  <c r="E521" i="8"/>
  <c r="E522" i="8"/>
  <c r="E523" i="8"/>
  <c r="E524" i="8"/>
  <c r="E525" i="8"/>
  <c r="E526" i="8"/>
  <c r="E527" i="8"/>
  <c r="E528" i="8"/>
  <c r="E529" i="8"/>
  <c r="E530" i="8"/>
  <c r="E531" i="8"/>
  <c r="E532" i="8"/>
  <c r="E533" i="8"/>
  <c r="E534" i="8"/>
  <c r="E535" i="8"/>
  <c r="E536" i="8"/>
  <c r="E537" i="8"/>
  <c r="E538" i="8"/>
  <c r="E539" i="8"/>
  <c r="E540" i="8"/>
  <c r="E541" i="8"/>
  <c r="E542" i="8"/>
  <c r="E543" i="8"/>
  <c r="E544" i="8"/>
  <c r="E545" i="8"/>
  <c r="E546" i="8"/>
  <c r="E547" i="8"/>
  <c r="E548" i="8"/>
  <c r="E549" i="8"/>
  <c r="E550" i="8"/>
  <c r="E551" i="8"/>
  <c r="E552" i="8"/>
  <c r="E553" i="8"/>
  <c r="E554" i="8"/>
  <c r="E555" i="8"/>
  <c r="E556" i="8"/>
  <c r="E557" i="8"/>
  <c r="E558" i="8"/>
  <c r="E559" i="8"/>
  <c r="E560" i="8"/>
  <c r="E561" i="8"/>
  <c r="E562" i="8"/>
  <c r="E563" i="8"/>
  <c r="E564" i="8"/>
  <c r="E565" i="8"/>
  <c r="E566" i="8"/>
  <c r="E567" i="8"/>
  <c r="E568" i="8"/>
  <c r="E569" i="8"/>
  <c r="E570" i="8"/>
  <c r="E571" i="8"/>
  <c r="E572" i="8"/>
  <c r="E573" i="8"/>
  <c r="E574" i="8"/>
  <c r="E575" i="8"/>
  <c r="E576" i="8"/>
  <c r="E577" i="8"/>
  <c r="E578" i="8"/>
  <c r="E579" i="8"/>
  <c r="E580" i="8"/>
  <c r="E581" i="8"/>
  <c r="E582" i="8"/>
  <c r="E583" i="8"/>
  <c r="E584" i="8"/>
  <c r="E585" i="8"/>
  <c r="E586" i="8"/>
  <c r="E587" i="8"/>
  <c r="E588" i="8"/>
  <c r="E589" i="8"/>
  <c r="E590" i="8"/>
  <c r="E591" i="8"/>
  <c r="E592" i="8"/>
  <c r="E593" i="8"/>
  <c r="E594" i="8"/>
  <c r="E595" i="8"/>
  <c r="E596" i="8"/>
  <c r="E597" i="8"/>
  <c r="E598" i="8"/>
  <c r="E599" i="8"/>
  <c r="E600" i="8"/>
  <c r="E601" i="8"/>
  <c r="E602" i="8"/>
  <c r="E603" i="8"/>
  <c r="E604" i="8"/>
  <c r="E605" i="8"/>
  <c r="E606" i="8"/>
  <c r="E607" i="8"/>
  <c r="E608" i="8"/>
  <c r="E609" i="8"/>
  <c r="E610" i="8"/>
  <c r="E611" i="8"/>
  <c r="E612" i="8"/>
  <c r="E613" i="8"/>
  <c r="E614" i="8"/>
  <c r="E615" i="8"/>
  <c r="E616" i="8"/>
  <c r="E617" i="8"/>
  <c r="E618" i="8"/>
  <c r="E619" i="8"/>
  <c r="E620" i="8"/>
  <c r="E621" i="8"/>
  <c r="E622" i="8"/>
  <c r="E623" i="8"/>
  <c r="E624" i="8"/>
  <c r="E625" i="8"/>
  <c r="E626" i="8"/>
  <c r="E627" i="8"/>
  <c r="E628" i="8"/>
  <c r="E629" i="8"/>
  <c r="E630" i="8"/>
  <c r="E631" i="8"/>
  <c r="E632" i="8"/>
  <c r="E633" i="8"/>
  <c r="E634" i="8"/>
  <c r="E635" i="8"/>
  <c r="E636" i="8"/>
  <c r="E637" i="8"/>
  <c r="E638" i="8"/>
  <c r="E639" i="8"/>
  <c r="E640" i="8"/>
  <c r="E641" i="8"/>
  <c r="E642" i="8"/>
  <c r="E643" i="8"/>
  <c r="E644" i="8"/>
  <c r="E645" i="8"/>
  <c r="E646" i="8"/>
  <c r="E647" i="8"/>
  <c r="E648" i="8"/>
  <c r="E649" i="8"/>
  <c r="E650" i="8"/>
  <c r="E651" i="8"/>
  <c r="E652" i="8"/>
  <c r="E653" i="8"/>
  <c r="E654" i="8"/>
  <c r="E655" i="8"/>
  <c r="E656" i="8"/>
  <c r="E657" i="8"/>
  <c r="E658" i="8"/>
  <c r="E659" i="8"/>
  <c r="E660" i="8"/>
  <c r="E661" i="8"/>
  <c r="E662" i="8"/>
  <c r="E663" i="8"/>
  <c r="E664" i="8"/>
  <c r="E665" i="8"/>
  <c r="E666" i="8"/>
  <c r="E667" i="8"/>
  <c r="E668" i="8"/>
  <c r="E669" i="8"/>
  <c r="E670" i="8"/>
  <c r="E671" i="8"/>
  <c r="E672" i="8"/>
  <c r="E673" i="8"/>
  <c r="E674" i="8"/>
  <c r="E675" i="8"/>
  <c r="E676" i="8"/>
  <c r="E677" i="8"/>
  <c r="E678" i="8"/>
  <c r="E679" i="8"/>
  <c r="E680" i="8"/>
  <c r="E681" i="8"/>
  <c r="E682" i="8"/>
  <c r="E683" i="8"/>
  <c r="E684" i="8"/>
  <c r="E685" i="8"/>
  <c r="E686" i="8"/>
  <c r="E687" i="8"/>
  <c r="E688" i="8"/>
  <c r="E689" i="8"/>
  <c r="E690" i="8"/>
  <c r="E691" i="8"/>
  <c r="E692" i="8"/>
  <c r="E693" i="8"/>
  <c r="E694" i="8"/>
  <c r="E695" i="8"/>
  <c r="E696" i="8"/>
  <c r="E697" i="8"/>
  <c r="E698" i="8"/>
  <c r="E699" i="8"/>
  <c r="E700" i="8"/>
  <c r="E701" i="8"/>
  <c r="E702" i="8"/>
  <c r="E703" i="8"/>
  <c r="E704" i="8"/>
  <c r="E705" i="8"/>
  <c r="E706" i="8"/>
  <c r="E707" i="8"/>
  <c r="E708" i="8"/>
  <c r="E709" i="8"/>
  <c r="E710" i="8"/>
  <c r="E711" i="8"/>
  <c r="E712" i="8"/>
  <c r="E713" i="8"/>
  <c r="E714" i="8"/>
  <c r="E715" i="8"/>
  <c r="E716" i="8"/>
  <c r="E717" i="8"/>
  <c r="E718" i="8"/>
  <c r="E719" i="8"/>
  <c r="E720" i="8"/>
  <c r="E721" i="8"/>
  <c r="E722" i="8"/>
  <c r="E723" i="8"/>
  <c r="E724" i="8"/>
  <c r="E725" i="8"/>
  <c r="E726" i="8"/>
  <c r="E727" i="8"/>
  <c r="E728" i="8"/>
  <c r="E729" i="8"/>
  <c r="E730" i="8"/>
  <c r="E731" i="8"/>
  <c r="E732" i="8"/>
  <c r="E733" i="8"/>
  <c r="E734" i="8"/>
  <c r="E735" i="8"/>
  <c r="E736" i="8"/>
  <c r="E737" i="8"/>
  <c r="E738" i="8"/>
  <c r="E739" i="8"/>
  <c r="E740" i="8"/>
  <c r="E741" i="8"/>
  <c r="E742" i="8"/>
  <c r="E743" i="8"/>
  <c r="E744" i="8"/>
  <c r="E745" i="8"/>
  <c r="E746" i="8"/>
  <c r="E747" i="8"/>
  <c r="E748" i="8"/>
  <c r="E749" i="8"/>
  <c r="E750" i="8"/>
  <c r="E751" i="8"/>
  <c r="E752" i="8"/>
  <c r="E753" i="8"/>
  <c r="E754" i="8"/>
  <c r="E755" i="8"/>
  <c r="E756" i="8"/>
  <c r="E757" i="8"/>
  <c r="E758" i="8"/>
  <c r="E759" i="8"/>
  <c r="E760" i="8"/>
  <c r="E761" i="8"/>
  <c r="E762" i="8"/>
  <c r="E763" i="8"/>
  <c r="E764" i="8"/>
  <c r="E765" i="8"/>
  <c r="E766" i="8"/>
  <c r="E767" i="8"/>
  <c r="E768" i="8"/>
  <c r="E769" i="8"/>
  <c r="E770" i="8"/>
  <c r="E771" i="8"/>
  <c r="E772" i="8"/>
  <c r="E773" i="8"/>
  <c r="E774" i="8"/>
  <c r="E775" i="8"/>
  <c r="E776" i="8"/>
  <c r="E777" i="8"/>
  <c r="E778" i="8"/>
  <c r="E779" i="8"/>
  <c r="E780" i="8"/>
  <c r="E781" i="8"/>
  <c r="E782" i="8"/>
  <c r="E783" i="8"/>
  <c r="E784" i="8"/>
  <c r="E785" i="8"/>
  <c r="E786" i="8"/>
  <c r="E787" i="8"/>
  <c r="E788" i="8"/>
  <c r="E789" i="8"/>
  <c r="E790" i="8"/>
  <c r="E791" i="8"/>
  <c r="E792" i="8"/>
  <c r="E793" i="8"/>
  <c r="E794" i="8"/>
  <c r="E795" i="8"/>
  <c r="E796" i="8"/>
  <c r="E797" i="8"/>
  <c r="E798" i="8"/>
  <c r="E799" i="8"/>
  <c r="E800" i="8"/>
  <c r="E801" i="8"/>
  <c r="E802" i="8"/>
  <c r="E803" i="8"/>
  <c r="E804" i="8"/>
  <c r="E805" i="8"/>
  <c r="E806" i="8"/>
  <c r="E807" i="8"/>
  <c r="E808" i="8"/>
  <c r="E809" i="8"/>
  <c r="E810" i="8"/>
  <c r="E811" i="8"/>
  <c r="E812" i="8"/>
  <c r="E813" i="8"/>
  <c r="E814" i="8"/>
  <c r="E815" i="8"/>
  <c r="E816" i="8"/>
  <c r="E817" i="8"/>
  <c r="E818" i="8"/>
  <c r="E819" i="8"/>
  <c r="E820" i="8"/>
  <c r="E821" i="8"/>
  <c r="E822" i="8"/>
  <c r="E823" i="8"/>
  <c r="E824" i="8"/>
  <c r="E825" i="8"/>
  <c r="E826" i="8"/>
  <c r="E827" i="8"/>
  <c r="E828" i="8"/>
  <c r="E829" i="8"/>
  <c r="E830" i="8"/>
  <c r="E831" i="8"/>
  <c r="E832" i="8"/>
  <c r="E833" i="8"/>
  <c r="E834" i="8"/>
  <c r="E835" i="8"/>
  <c r="E836" i="8"/>
  <c r="E837" i="8"/>
  <c r="E838" i="8"/>
  <c r="E839" i="8"/>
  <c r="E840" i="8"/>
  <c r="E841" i="8"/>
  <c r="E842" i="8"/>
  <c r="E843" i="8"/>
  <c r="E844" i="8"/>
  <c r="E845" i="8"/>
  <c r="E846" i="8"/>
  <c r="E847" i="8"/>
  <c r="E848" i="8"/>
  <c r="E849" i="8"/>
  <c r="E850" i="8"/>
  <c r="E851" i="8"/>
  <c r="E852" i="8"/>
  <c r="E853" i="8"/>
  <c r="E854" i="8"/>
  <c r="E855" i="8"/>
  <c r="E856" i="8"/>
  <c r="E857" i="8"/>
  <c r="E858" i="8"/>
  <c r="E859" i="8"/>
  <c r="E860" i="8"/>
  <c r="E861" i="8"/>
  <c r="E862" i="8"/>
  <c r="E863" i="8"/>
  <c r="E864" i="8"/>
  <c r="E865" i="8"/>
  <c r="E866" i="8"/>
  <c r="E867" i="8"/>
  <c r="E868" i="8"/>
  <c r="E869" i="8"/>
  <c r="E870" i="8"/>
  <c r="E871" i="8"/>
  <c r="E872" i="8"/>
  <c r="E873" i="8"/>
  <c r="E874" i="8"/>
  <c r="E875" i="8"/>
  <c r="E876" i="8"/>
  <c r="E877" i="8"/>
  <c r="E878" i="8"/>
  <c r="E879" i="8"/>
  <c r="E880" i="8"/>
  <c r="E881" i="8"/>
  <c r="E882" i="8"/>
  <c r="E883" i="8"/>
  <c r="E884" i="8"/>
  <c r="E885" i="8"/>
  <c r="E886" i="8"/>
  <c r="E887" i="8"/>
  <c r="E888" i="8"/>
  <c r="E889" i="8"/>
  <c r="E890" i="8"/>
  <c r="E891" i="8"/>
  <c r="E892" i="8"/>
  <c r="E893" i="8"/>
  <c r="E894" i="8"/>
  <c r="E895" i="8"/>
  <c r="E896" i="8"/>
  <c r="E897" i="8"/>
  <c r="E898" i="8"/>
  <c r="E899" i="8"/>
  <c r="E900" i="8"/>
  <c r="E901" i="8"/>
  <c r="E902" i="8"/>
  <c r="E903" i="8"/>
  <c r="E904" i="8"/>
  <c r="E905" i="8"/>
  <c r="E906" i="8"/>
  <c r="E907" i="8"/>
  <c r="E908" i="8"/>
  <c r="E909" i="8"/>
  <c r="E910" i="8"/>
  <c r="E911" i="8"/>
  <c r="E912" i="8"/>
  <c r="E913" i="8"/>
  <c r="E914" i="8"/>
  <c r="E915" i="8"/>
  <c r="E916" i="8"/>
  <c r="E917" i="8"/>
  <c r="E918" i="8"/>
  <c r="E919" i="8"/>
  <c r="E920" i="8"/>
  <c r="E921" i="8"/>
  <c r="E922" i="8"/>
  <c r="E923" i="8"/>
  <c r="E924" i="8"/>
  <c r="E925" i="8"/>
  <c r="E926" i="8"/>
  <c r="E927" i="8"/>
  <c r="E928" i="8"/>
  <c r="E929" i="8"/>
  <c r="E930" i="8"/>
  <c r="E931" i="8"/>
  <c r="E932" i="8"/>
  <c r="E933" i="8"/>
  <c r="E934" i="8"/>
  <c r="E935" i="8"/>
  <c r="E936" i="8"/>
  <c r="E937" i="8"/>
  <c r="E938" i="8"/>
  <c r="E939" i="8"/>
  <c r="E940" i="8"/>
  <c r="E941" i="8"/>
  <c r="E942" i="8"/>
  <c r="E943" i="8"/>
  <c r="E944" i="8"/>
  <c r="E945" i="8"/>
  <c r="E946" i="8"/>
  <c r="E947" i="8"/>
  <c r="E948" i="8"/>
  <c r="E949" i="8"/>
  <c r="E950" i="8"/>
  <c r="E951" i="8"/>
  <c r="E952" i="8"/>
  <c r="E953" i="8"/>
  <c r="E954" i="8"/>
  <c r="E955" i="8"/>
  <c r="E956" i="8"/>
  <c r="E957" i="8"/>
  <c r="E958" i="8"/>
  <c r="E959" i="8"/>
  <c r="E960" i="8"/>
  <c r="E961" i="8"/>
  <c r="E962" i="8"/>
  <c r="E963" i="8"/>
  <c r="E964" i="8"/>
  <c r="E965" i="8"/>
  <c r="E966" i="8"/>
  <c r="E967" i="8"/>
  <c r="E968" i="8"/>
  <c r="E969" i="8"/>
  <c r="E970" i="8"/>
  <c r="E971" i="8"/>
  <c r="E972" i="8"/>
  <c r="E973" i="8"/>
  <c r="E974" i="8"/>
  <c r="E975" i="8"/>
  <c r="E976" i="8"/>
  <c r="E977" i="8"/>
  <c r="E978" i="8"/>
  <c r="E979" i="8"/>
  <c r="E980" i="8"/>
  <c r="E981" i="8"/>
  <c r="E982" i="8"/>
  <c r="E983" i="8"/>
  <c r="E984" i="8"/>
  <c r="E985" i="8"/>
  <c r="E986" i="8"/>
  <c r="E987" i="8"/>
  <c r="E988" i="8"/>
  <c r="E989" i="8"/>
  <c r="E990" i="8"/>
  <c r="E991" i="8"/>
  <c r="E992" i="8"/>
  <c r="E993" i="8"/>
  <c r="E994" i="8"/>
  <c r="E995" i="8"/>
  <c r="E996" i="8"/>
  <c r="E997" i="8"/>
  <c r="E998" i="8"/>
  <c r="E999" i="8"/>
  <c r="E1000" i="8"/>
  <c r="E1001" i="8"/>
  <c r="E1002" i="8"/>
  <c r="E1003" i="8"/>
  <c r="E1004" i="8"/>
  <c r="E1005" i="8"/>
  <c r="E1006" i="8"/>
  <c r="E1007" i="8"/>
  <c r="E1008" i="8"/>
  <c r="E1009" i="8"/>
  <c r="E1010" i="8"/>
  <c r="E1011" i="8"/>
  <c r="E1012" i="8"/>
  <c r="E1013" i="8"/>
  <c r="E1014" i="8"/>
  <c r="E1015" i="8"/>
  <c r="E1016" i="8"/>
  <c r="E1017" i="8"/>
  <c r="E1018" i="8"/>
  <c r="E1019" i="8"/>
  <c r="E1020" i="8"/>
  <c r="E1021" i="8"/>
  <c r="E1022" i="8"/>
  <c r="E1023" i="8"/>
  <c r="E1024" i="8"/>
  <c r="E1025" i="8"/>
  <c r="E1026" i="8"/>
  <c r="E1027" i="8"/>
  <c r="E1028" i="8"/>
  <c r="E1029" i="8"/>
  <c r="E1030" i="8"/>
  <c r="E1031" i="8"/>
  <c r="E1032" i="8"/>
  <c r="E1033" i="8"/>
  <c r="E1034" i="8"/>
  <c r="E1035" i="8"/>
  <c r="E1036" i="8"/>
  <c r="E1037" i="8"/>
  <c r="E1038" i="8"/>
  <c r="E1039" i="8"/>
  <c r="E1040" i="8"/>
  <c r="E1041" i="8"/>
  <c r="E1042" i="8"/>
  <c r="E1043" i="8"/>
  <c r="E1044" i="8"/>
  <c r="E1045" i="8"/>
  <c r="E1046" i="8"/>
  <c r="E1047" i="8"/>
  <c r="E1048" i="8"/>
  <c r="E1049" i="8"/>
  <c r="E1050" i="8"/>
  <c r="E1051" i="8"/>
  <c r="E1052" i="8"/>
  <c r="E1053" i="8"/>
  <c r="E1054" i="8"/>
  <c r="E1055" i="8"/>
  <c r="E1056" i="8"/>
  <c r="E1057" i="8"/>
  <c r="E1058" i="8"/>
  <c r="E1059" i="8"/>
  <c r="E1060" i="8"/>
  <c r="E1061" i="8"/>
  <c r="E1062" i="8"/>
  <c r="E1063" i="8"/>
  <c r="E1064" i="8"/>
  <c r="E1065" i="8"/>
  <c r="E1066" i="8"/>
  <c r="E1067" i="8"/>
  <c r="E1068" i="8"/>
  <c r="E1069" i="8"/>
  <c r="E1070" i="8"/>
  <c r="E1071" i="8"/>
  <c r="E1072" i="8"/>
  <c r="E1073" i="8"/>
  <c r="E1074" i="8"/>
  <c r="E1075" i="8"/>
  <c r="E1076" i="8"/>
  <c r="E1077" i="8"/>
  <c r="E1078" i="8"/>
  <c r="E1079" i="8"/>
  <c r="E1080" i="8"/>
  <c r="E1081" i="8"/>
  <c r="E1082" i="8"/>
  <c r="E1083" i="8"/>
  <c r="E1084" i="8"/>
  <c r="E1085" i="8"/>
  <c r="E1086" i="8"/>
  <c r="E1087" i="8"/>
  <c r="E1088" i="8"/>
  <c r="E1089" i="8"/>
  <c r="E1090" i="8"/>
  <c r="E1091" i="8"/>
  <c r="E1092" i="8"/>
  <c r="E1093" i="8"/>
  <c r="E1094" i="8"/>
  <c r="E1095" i="8"/>
  <c r="E1096" i="8"/>
  <c r="E1097" i="8"/>
  <c r="E1098" i="8"/>
  <c r="E1099" i="8"/>
  <c r="E1100" i="8"/>
  <c r="E1101" i="8"/>
  <c r="E1102" i="8"/>
  <c r="E1103" i="8"/>
  <c r="E1104" i="8"/>
  <c r="E1105" i="8"/>
  <c r="E1106" i="8"/>
  <c r="E1107" i="8"/>
  <c r="E1108" i="8"/>
  <c r="E1109" i="8"/>
  <c r="E1110" i="8"/>
  <c r="E1111" i="8"/>
  <c r="E1112" i="8"/>
  <c r="E1113" i="8"/>
  <c r="E1114" i="8"/>
  <c r="E1115" i="8"/>
  <c r="E1116" i="8"/>
  <c r="E1117" i="8"/>
  <c r="E1118" i="8"/>
  <c r="E1119" i="8"/>
  <c r="E1120" i="8"/>
  <c r="E1121" i="8"/>
  <c r="E1122" i="8"/>
  <c r="E1123" i="8"/>
  <c r="E1124" i="8"/>
  <c r="E1125" i="8"/>
  <c r="E1126" i="8"/>
  <c r="E1127" i="8"/>
  <c r="E1128" i="8"/>
  <c r="E1129" i="8"/>
  <c r="E1130" i="8"/>
  <c r="E1131" i="8"/>
  <c r="E1132" i="8"/>
  <c r="E1133" i="8"/>
  <c r="E1134" i="8"/>
  <c r="E1135" i="8"/>
  <c r="E1136" i="8"/>
  <c r="E1137" i="8"/>
  <c r="E1138" i="8"/>
  <c r="E1139" i="8"/>
  <c r="E1140" i="8"/>
  <c r="E1141" i="8"/>
  <c r="E1142" i="8"/>
  <c r="E1143" i="8"/>
  <c r="E1144" i="8"/>
  <c r="E1145" i="8"/>
  <c r="E1146" i="8"/>
  <c r="E1147" i="8"/>
  <c r="E1148" i="8"/>
  <c r="E1149" i="8"/>
  <c r="E1150" i="8"/>
  <c r="E1151" i="8"/>
  <c r="E1152" i="8"/>
  <c r="E1153" i="8"/>
  <c r="E1154" i="8"/>
  <c r="E1155" i="8"/>
  <c r="E1156" i="8"/>
  <c r="E1157" i="8"/>
  <c r="E1158" i="8"/>
  <c r="E1159" i="8"/>
  <c r="E1160" i="8"/>
  <c r="E1161" i="8"/>
  <c r="E1162" i="8"/>
  <c r="E1163" i="8"/>
  <c r="E1164" i="8"/>
  <c r="E1165" i="8"/>
  <c r="E1166" i="8"/>
  <c r="E1167" i="8"/>
  <c r="E1168" i="8"/>
  <c r="E1169" i="8"/>
  <c r="E1170" i="8"/>
  <c r="E1171" i="8"/>
  <c r="E1172" i="8"/>
  <c r="E1173" i="8"/>
  <c r="E1174" i="8"/>
  <c r="E1175" i="8"/>
  <c r="E1176" i="8"/>
  <c r="E1177" i="8"/>
  <c r="E1178" i="8"/>
  <c r="E1179" i="8"/>
  <c r="E1180" i="8"/>
  <c r="E1181" i="8"/>
  <c r="E1182" i="8"/>
  <c r="E1183" i="8"/>
  <c r="E1184" i="8"/>
  <c r="E1185" i="8"/>
  <c r="E1186" i="8"/>
  <c r="E1187" i="8"/>
  <c r="E1188" i="8"/>
  <c r="E1189" i="8"/>
  <c r="E1190" i="8"/>
  <c r="E1191" i="8"/>
  <c r="E1192" i="8"/>
  <c r="E1193" i="8"/>
  <c r="E1194" i="8"/>
  <c r="E1195" i="8"/>
  <c r="E1196" i="8"/>
  <c r="E1197" i="8"/>
  <c r="E1198" i="8"/>
  <c r="E1199" i="8"/>
  <c r="E1200" i="8"/>
  <c r="E1201" i="8"/>
  <c r="E1202" i="8"/>
  <c r="E1203" i="8"/>
  <c r="E1204" i="8"/>
  <c r="E1205" i="8"/>
  <c r="E1206" i="8"/>
  <c r="E1207" i="8"/>
  <c r="E1208" i="8"/>
  <c r="E1209" i="8"/>
  <c r="E1210" i="8"/>
  <c r="E1211" i="8"/>
  <c r="E1212" i="8"/>
  <c r="E1213" i="8"/>
  <c r="E1214" i="8"/>
  <c r="E1215" i="8"/>
  <c r="E1216" i="8"/>
  <c r="E1217" i="8"/>
  <c r="E1218" i="8"/>
  <c r="E1219" i="8"/>
  <c r="E1220" i="8"/>
  <c r="E1221" i="8"/>
  <c r="E1222" i="8"/>
  <c r="E1223" i="8"/>
  <c r="E1224" i="8"/>
  <c r="E1225" i="8"/>
  <c r="E1226" i="8"/>
  <c r="E1227" i="8"/>
  <c r="E1228" i="8"/>
  <c r="E1229" i="8"/>
  <c r="E1230" i="8"/>
  <c r="E1231" i="8"/>
  <c r="E1232" i="8"/>
  <c r="E1233" i="8"/>
  <c r="E1234" i="8"/>
  <c r="E1235" i="8"/>
  <c r="E1236" i="8"/>
  <c r="E1237" i="8"/>
  <c r="E1238" i="8"/>
  <c r="E1239" i="8"/>
  <c r="E1240" i="8"/>
  <c r="E1241" i="8"/>
  <c r="E1242" i="8"/>
  <c r="E1243" i="8"/>
  <c r="E1244" i="8"/>
  <c r="E1245" i="8"/>
  <c r="E1246" i="8"/>
  <c r="E1247" i="8"/>
  <c r="E1248" i="8"/>
  <c r="E1249" i="8"/>
  <c r="E1250" i="8"/>
  <c r="E1251" i="8"/>
  <c r="E1252" i="8"/>
  <c r="E1253" i="8"/>
  <c r="E1254" i="8"/>
  <c r="E1255" i="8"/>
  <c r="E1256" i="8"/>
  <c r="E1257" i="8"/>
  <c r="E1258" i="8"/>
  <c r="E1259" i="8"/>
  <c r="E1260" i="8"/>
  <c r="E1261" i="8"/>
  <c r="E1262" i="8"/>
  <c r="E1263" i="8"/>
  <c r="E1264" i="8"/>
  <c r="E1265" i="8"/>
  <c r="E1266" i="8"/>
  <c r="E1267" i="8"/>
  <c r="E1268" i="8"/>
  <c r="E1269" i="8"/>
  <c r="E1270" i="8"/>
  <c r="E1271" i="8"/>
  <c r="E1272" i="8"/>
  <c r="E1273" i="8"/>
  <c r="E1274" i="8"/>
  <c r="E1275" i="8"/>
  <c r="E1276" i="8"/>
  <c r="E1277" i="8"/>
  <c r="E1278" i="8"/>
  <c r="E1279" i="8"/>
  <c r="E1280" i="8"/>
  <c r="E1281" i="8"/>
  <c r="E1282" i="8"/>
  <c r="E1283" i="8"/>
  <c r="E1284" i="8"/>
  <c r="E1285" i="8"/>
  <c r="E1286" i="8"/>
  <c r="E1287" i="8"/>
  <c r="E1288" i="8"/>
  <c r="E1289" i="8"/>
  <c r="E1290" i="8"/>
  <c r="E1291" i="8"/>
  <c r="E1292" i="8"/>
  <c r="E1293" i="8"/>
  <c r="E1294" i="8"/>
  <c r="E1295" i="8"/>
  <c r="E1296" i="8"/>
  <c r="E1297" i="8"/>
  <c r="E1298" i="8"/>
  <c r="E1299" i="8"/>
  <c r="E1300" i="8"/>
  <c r="E1301" i="8"/>
  <c r="E1302" i="8"/>
  <c r="E1303" i="8"/>
  <c r="E1304" i="8"/>
  <c r="E1305" i="8"/>
  <c r="E1306" i="8"/>
  <c r="E1307" i="8"/>
  <c r="E1308" i="8"/>
  <c r="E1309" i="8"/>
  <c r="E1310" i="8"/>
  <c r="E1311" i="8"/>
  <c r="E1312" i="8"/>
  <c r="E1313" i="8"/>
  <c r="E1314" i="8"/>
  <c r="E1315" i="8"/>
  <c r="E1316" i="8"/>
  <c r="E1317" i="8"/>
  <c r="E1318" i="8"/>
  <c r="E1319" i="8"/>
  <c r="E1320" i="8"/>
  <c r="E1321" i="8"/>
  <c r="E1322" i="8"/>
  <c r="E1323" i="8"/>
  <c r="E1324" i="8"/>
  <c r="E1325" i="8"/>
  <c r="E1326" i="8"/>
  <c r="E1327" i="8"/>
  <c r="E1328" i="8"/>
  <c r="E1329" i="8"/>
  <c r="E1330" i="8"/>
  <c r="E1331" i="8"/>
  <c r="E1332" i="8"/>
  <c r="E1333" i="8"/>
  <c r="E1334" i="8"/>
  <c r="E1335" i="8"/>
  <c r="E1336" i="8"/>
  <c r="E1337" i="8"/>
  <c r="E1338" i="8"/>
  <c r="E1339" i="8"/>
  <c r="E1340" i="8"/>
  <c r="E1341" i="8"/>
  <c r="E1342" i="8"/>
  <c r="E1343" i="8"/>
  <c r="E1344" i="8"/>
  <c r="E1345" i="8"/>
  <c r="E1346" i="8"/>
  <c r="E1347" i="8"/>
  <c r="E1348" i="8"/>
  <c r="E1349" i="8"/>
  <c r="E1350" i="8"/>
  <c r="E1351" i="8"/>
  <c r="E1352" i="8"/>
  <c r="E1353" i="8"/>
  <c r="E1354" i="8"/>
  <c r="E1355" i="8"/>
  <c r="E1356" i="8"/>
  <c r="E1357" i="8"/>
  <c r="E1358" i="8"/>
  <c r="E1359" i="8"/>
  <c r="E1360" i="8"/>
  <c r="E1361" i="8"/>
  <c r="E1362" i="8"/>
  <c r="E1363" i="8"/>
  <c r="E1364" i="8"/>
  <c r="E1365" i="8"/>
  <c r="E1366" i="8"/>
  <c r="E1367" i="8"/>
  <c r="E1368" i="8"/>
  <c r="E1369" i="8"/>
  <c r="E1370" i="8"/>
  <c r="E1371" i="8"/>
  <c r="E1372" i="8"/>
  <c r="E1373" i="8"/>
  <c r="E1374" i="8"/>
  <c r="E1375" i="8"/>
  <c r="E1376" i="8"/>
  <c r="E1377" i="8"/>
  <c r="E1378" i="8"/>
  <c r="E1379" i="8"/>
  <c r="E1380" i="8"/>
  <c r="E1381" i="8"/>
  <c r="E1382" i="8"/>
  <c r="E1383" i="8"/>
  <c r="E1384" i="8"/>
  <c r="E1385" i="8"/>
  <c r="E1386" i="8"/>
  <c r="E1387" i="8"/>
  <c r="E1388" i="8"/>
  <c r="E1389" i="8"/>
  <c r="E1390" i="8"/>
  <c r="E1391" i="8"/>
  <c r="E1392" i="8"/>
  <c r="E1393" i="8"/>
  <c r="E1394" i="8"/>
  <c r="E1395" i="8"/>
  <c r="E1396" i="8"/>
  <c r="E1397" i="8"/>
  <c r="E1398" i="8"/>
  <c r="E1399" i="8"/>
  <c r="E1400" i="8"/>
  <c r="E1401" i="8"/>
  <c r="E1402" i="8"/>
  <c r="E1403" i="8"/>
  <c r="E1404" i="8"/>
  <c r="E1405" i="8"/>
  <c r="E1406" i="8"/>
  <c r="E1407" i="8"/>
  <c r="E1408" i="8"/>
  <c r="E1409" i="8"/>
  <c r="E1410" i="8"/>
  <c r="E1411" i="8"/>
  <c r="E1412" i="8"/>
  <c r="E1413" i="8"/>
  <c r="E1414" i="8"/>
  <c r="E1415" i="8"/>
  <c r="E1416" i="8"/>
  <c r="E1417" i="8"/>
  <c r="E1418" i="8"/>
  <c r="E1419" i="8"/>
  <c r="E1420" i="8"/>
  <c r="E1421" i="8"/>
  <c r="E1422" i="8"/>
  <c r="E1423" i="8"/>
  <c r="E1424" i="8"/>
  <c r="E1425" i="8"/>
  <c r="E1426" i="8"/>
  <c r="E1427" i="8"/>
  <c r="E1428" i="8"/>
  <c r="E1429" i="8"/>
  <c r="E1430" i="8"/>
  <c r="E1431" i="8"/>
  <c r="E1432" i="8"/>
  <c r="E1433" i="8"/>
  <c r="E1434" i="8"/>
  <c r="E1435" i="8"/>
  <c r="E1436" i="8"/>
  <c r="E1437" i="8"/>
  <c r="E1438" i="8"/>
  <c r="E1439" i="8"/>
  <c r="E1440" i="8"/>
  <c r="E1441" i="8"/>
  <c r="E1442" i="8"/>
  <c r="E1443" i="8"/>
  <c r="E1444" i="8"/>
  <c r="E1445" i="8"/>
  <c r="E1446" i="8"/>
  <c r="E1447" i="8"/>
  <c r="E1448" i="8"/>
  <c r="E1449" i="8"/>
  <c r="E1450" i="8"/>
  <c r="E1451" i="8"/>
  <c r="E1452" i="8"/>
  <c r="E1453" i="8"/>
  <c r="E1454" i="8"/>
  <c r="E1455" i="8"/>
  <c r="E1456" i="8"/>
  <c r="E1457" i="8"/>
  <c r="E1458" i="8"/>
  <c r="E1459" i="8"/>
  <c r="E1460" i="8"/>
  <c r="E1461" i="8"/>
  <c r="E1462" i="8"/>
  <c r="E1463" i="8"/>
  <c r="E1464" i="8"/>
  <c r="E1465" i="8"/>
  <c r="E1466" i="8"/>
  <c r="E1467" i="8"/>
  <c r="E1468" i="8"/>
  <c r="E1469" i="8"/>
  <c r="E1470" i="8"/>
  <c r="E1471" i="8"/>
  <c r="E1472" i="8"/>
  <c r="E1473" i="8"/>
  <c r="E1474" i="8"/>
  <c r="E1475" i="8"/>
  <c r="E1476" i="8"/>
  <c r="E1477" i="8"/>
  <c r="E1478" i="8"/>
  <c r="E1479" i="8"/>
  <c r="E1480" i="8"/>
  <c r="E1481" i="8"/>
  <c r="E1482" i="8"/>
  <c r="E1483" i="8"/>
  <c r="E1484" i="8"/>
  <c r="E1485" i="8"/>
  <c r="E1486" i="8"/>
  <c r="E1487" i="8"/>
  <c r="E1488" i="8"/>
  <c r="E1489" i="8"/>
  <c r="E1490" i="8"/>
  <c r="E1491" i="8"/>
  <c r="E1492" i="8"/>
  <c r="E1493" i="8"/>
  <c r="E1494" i="8"/>
  <c r="E1495" i="8"/>
  <c r="E1496" i="8"/>
  <c r="E1497" i="8"/>
  <c r="E1498" i="8"/>
  <c r="E1499" i="8"/>
  <c r="E1500" i="8"/>
  <c r="E1501" i="8"/>
  <c r="E1502" i="8"/>
  <c r="E1503" i="8"/>
  <c r="E1504" i="8"/>
  <c r="E1505" i="8"/>
  <c r="E1506" i="8"/>
  <c r="E1507" i="8"/>
  <c r="E1508" i="8"/>
  <c r="E1509" i="8"/>
  <c r="E1510" i="8"/>
  <c r="E1511" i="8"/>
  <c r="E1512" i="8"/>
  <c r="E1513" i="8"/>
  <c r="E1514" i="8"/>
  <c r="E1515" i="8"/>
  <c r="E1516" i="8"/>
  <c r="E1517" i="8"/>
  <c r="E1518" i="8"/>
  <c r="E1519" i="8"/>
  <c r="E1520" i="8"/>
  <c r="E1521" i="8"/>
  <c r="E1522" i="8"/>
  <c r="E1523" i="8"/>
  <c r="E1524" i="8"/>
  <c r="E1525" i="8"/>
  <c r="E1526" i="8"/>
  <c r="E1527" i="8"/>
  <c r="E1528" i="8"/>
  <c r="E1529" i="8"/>
  <c r="E1530" i="8"/>
  <c r="E1531" i="8"/>
  <c r="E1532" i="8"/>
  <c r="E1533" i="8"/>
  <c r="E1534" i="8"/>
  <c r="E1535" i="8"/>
  <c r="E1536" i="8"/>
  <c r="E1537" i="8"/>
  <c r="E1538" i="8"/>
  <c r="E1539" i="8"/>
  <c r="E1540" i="8"/>
  <c r="E1541" i="8"/>
  <c r="E1542" i="8"/>
  <c r="E1543" i="8"/>
  <c r="E1544" i="8"/>
  <c r="E1545" i="8"/>
  <c r="E1546" i="8"/>
  <c r="E1547" i="8"/>
  <c r="E1548" i="8"/>
  <c r="E1549" i="8"/>
  <c r="E1550" i="8"/>
  <c r="E1551" i="8"/>
  <c r="E1552" i="8"/>
  <c r="E1553" i="8"/>
  <c r="E1554" i="8"/>
  <c r="E1555" i="8"/>
  <c r="E1556" i="8"/>
  <c r="E1557" i="8"/>
  <c r="E1558" i="8"/>
  <c r="E1559" i="8"/>
  <c r="E1560" i="8"/>
  <c r="E1561" i="8"/>
  <c r="E1562" i="8"/>
  <c r="E1563" i="8"/>
  <c r="E1564" i="8"/>
  <c r="E1565" i="8"/>
  <c r="E1566" i="8"/>
  <c r="E1567" i="8"/>
  <c r="E1568" i="8"/>
  <c r="E1569" i="8"/>
  <c r="E1570" i="8"/>
  <c r="E1571" i="8"/>
  <c r="E1572" i="8"/>
  <c r="E1573" i="8"/>
  <c r="E1574" i="8"/>
  <c r="E1575" i="8"/>
  <c r="E1576" i="8"/>
  <c r="E1577" i="8"/>
  <c r="E1578" i="8"/>
  <c r="E1579" i="8"/>
  <c r="E1580" i="8"/>
  <c r="E1581" i="8"/>
  <c r="E1582" i="8"/>
  <c r="E1583" i="8"/>
  <c r="E1584" i="8"/>
  <c r="E1585" i="8"/>
  <c r="E1586" i="8"/>
  <c r="E1587" i="8"/>
  <c r="E1588" i="8"/>
  <c r="E1589" i="8"/>
  <c r="E1590" i="8"/>
  <c r="E1591" i="8"/>
  <c r="E1592" i="8"/>
  <c r="E1593" i="8"/>
  <c r="E1594" i="8"/>
  <c r="E1595" i="8"/>
  <c r="E1596" i="8"/>
  <c r="E1597" i="8"/>
  <c r="E1598" i="8"/>
  <c r="E1599" i="8"/>
  <c r="E1600" i="8"/>
  <c r="E1601" i="8"/>
  <c r="E1602" i="8"/>
  <c r="E1603" i="8"/>
  <c r="E1604" i="8"/>
  <c r="E1605" i="8"/>
  <c r="E1606" i="8"/>
  <c r="E1607" i="8"/>
  <c r="E1608" i="8"/>
  <c r="E1609" i="8"/>
  <c r="E1610" i="8"/>
  <c r="E1611" i="8"/>
  <c r="E1612" i="8"/>
  <c r="E1613" i="8"/>
  <c r="E1614" i="8"/>
  <c r="E1615" i="8"/>
  <c r="E1616" i="8"/>
  <c r="E1617" i="8"/>
  <c r="E1618" i="8"/>
  <c r="E1619" i="8"/>
  <c r="E1620" i="8"/>
  <c r="E1621" i="8"/>
  <c r="E1622" i="8"/>
  <c r="E1623" i="8"/>
  <c r="E1624" i="8"/>
  <c r="E1625" i="8"/>
  <c r="E1626" i="8"/>
  <c r="E1627" i="8"/>
  <c r="E1628" i="8"/>
  <c r="E1629" i="8"/>
  <c r="E1630" i="8"/>
  <c r="E1631" i="8"/>
  <c r="E1632" i="8"/>
  <c r="E1633" i="8"/>
  <c r="E1634" i="8"/>
  <c r="E1635" i="8"/>
  <c r="E1636" i="8"/>
  <c r="E1637" i="8"/>
  <c r="E1638" i="8"/>
  <c r="E1639" i="8"/>
  <c r="E1640" i="8"/>
  <c r="E1641" i="8"/>
  <c r="E1642" i="8"/>
  <c r="E1643" i="8"/>
  <c r="E1644" i="8"/>
  <c r="E1645" i="8"/>
  <c r="E1646" i="8"/>
  <c r="E1647" i="8"/>
  <c r="E1648" i="8"/>
  <c r="E1649" i="8"/>
  <c r="E1650" i="8"/>
  <c r="E1651" i="8"/>
  <c r="E1652" i="8"/>
  <c r="E1653" i="8"/>
  <c r="E1654" i="8"/>
  <c r="E1655" i="8"/>
  <c r="E1656" i="8"/>
  <c r="E1657" i="8"/>
  <c r="E1658" i="8"/>
  <c r="E1659" i="8"/>
  <c r="E1660" i="8"/>
  <c r="E1661" i="8"/>
  <c r="E1662" i="8"/>
  <c r="E1663" i="8"/>
  <c r="E1664" i="8"/>
  <c r="E1665" i="8"/>
  <c r="E1666" i="8"/>
  <c r="E1667" i="8"/>
  <c r="E1668" i="8"/>
  <c r="E1669" i="8"/>
  <c r="E1670" i="8"/>
  <c r="E1671" i="8"/>
  <c r="E1672" i="8"/>
  <c r="E1673" i="8"/>
  <c r="E1674" i="8"/>
  <c r="E1675" i="8"/>
  <c r="E1676" i="8"/>
  <c r="E1677" i="8"/>
  <c r="E1678" i="8"/>
  <c r="E1679" i="8"/>
  <c r="E1680" i="8"/>
  <c r="E1681" i="8"/>
  <c r="E1682" i="8"/>
  <c r="E1683" i="8"/>
  <c r="E1684" i="8"/>
  <c r="E1685" i="8"/>
  <c r="E1686" i="8"/>
  <c r="E1687" i="8"/>
  <c r="E1688" i="8"/>
  <c r="E1689" i="8"/>
  <c r="E1690" i="8"/>
  <c r="E1691" i="8"/>
  <c r="E1692" i="8"/>
  <c r="E1693" i="8"/>
  <c r="E1694" i="8"/>
  <c r="E1695" i="8"/>
  <c r="E1696" i="8"/>
  <c r="E1697" i="8"/>
  <c r="E1698" i="8"/>
  <c r="E1699" i="8"/>
  <c r="E1700" i="8"/>
  <c r="E1701" i="8"/>
  <c r="E1702" i="8"/>
  <c r="E1703" i="8"/>
  <c r="E1704" i="8"/>
  <c r="E1705" i="8"/>
  <c r="E1706" i="8"/>
  <c r="E1707" i="8"/>
  <c r="E1708" i="8"/>
  <c r="E1709" i="8"/>
  <c r="E1710" i="8"/>
  <c r="E1711" i="8"/>
  <c r="E1712" i="8"/>
  <c r="E1713" i="8"/>
  <c r="E1714" i="8"/>
  <c r="E1715" i="8"/>
  <c r="E1716" i="8"/>
  <c r="E1717" i="8"/>
  <c r="E1718" i="8"/>
  <c r="E1719" i="8"/>
  <c r="E1720" i="8"/>
  <c r="E1721" i="8"/>
  <c r="E1722" i="8"/>
  <c r="E1723" i="8"/>
  <c r="E1724" i="8"/>
  <c r="E1725" i="8"/>
  <c r="E1726" i="8"/>
  <c r="E1727" i="8"/>
  <c r="E1728" i="8"/>
  <c r="E1729" i="8"/>
  <c r="E1730" i="8"/>
  <c r="E1731" i="8"/>
  <c r="E1732" i="8"/>
  <c r="E1733" i="8"/>
  <c r="E1734" i="8"/>
  <c r="E1735" i="8"/>
  <c r="E1736" i="8"/>
  <c r="E1737" i="8"/>
  <c r="E1738" i="8"/>
  <c r="E1739" i="8"/>
  <c r="E1740" i="8"/>
  <c r="E1741" i="8"/>
  <c r="E1742" i="8"/>
  <c r="E1743" i="8"/>
  <c r="E1744" i="8"/>
  <c r="E1745" i="8"/>
  <c r="E1746" i="8"/>
  <c r="E1747" i="8"/>
  <c r="E1748" i="8"/>
  <c r="E1749" i="8"/>
  <c r="E1750" i="8"/>
  <c r="E1751" i="8"/>
  <c r="E1752" i="8"/>
  <c r="E1753" i="8"/>
  <c r="E1754" i="8"/>
  <c r="E1755" i="8"/>
  <c r="E1756" i="8"/>
  <c r="E1757" i="8"/>
  <c r="E1758" i="8"/>
  <c r="E1759" i="8"/>
  <c r="E1760" i="8"/>
  <c r="E1761" i="8"/>
  <c r="E1762" i="8"/>
  <c r="E1763" i="8"/>
  <c r="E1764" i="8"/>
  <c r="E1765" i="8"/>
  <c r="E1766" i="8"/>
  <c r="E1767" i="8"/>
  <c r="E1768" i="8"/>
  <c r="E1769" i="8"/>
  <c r="E1770" i="8"/>
  <c r="E1771" i="8"/>
  <c r="E1772" i="8"/>
  <c r="E1773" i="8"/>
  <c r="E1774" i="8"/>
  <c r="E1775" i="8"/>
  <c r="E1776" i="8"/>
  <c r="E1777" i="8"/>
  <c r="E1778" i="8"/>
  <c r="E1779" i="8"/>
  <c r="E1780" i="8"/>
  <c r="E1781" i="8"/>
  <c r="E1782" i="8"/>
  <c r="E1783" i="8"/>
  <c r="E1784" i="8"/>
  <c r="E1785" i="8"/>
  <c r="E1786" i="8"/>
  <c r="E1787" i="8"/>
  <c r="E1788" i="8"/>
  <c r="E1789" i="8"/>
  <c r="E1790" i="8"/>
  <c r="E1791" i="8"/>
  <c r="E1792" i="8"/>
  <c r="E1793" i="8"/>
  <c r="E1794" i="8"/>
  <c r="E1795" i="8"/>
  <c r="E1796" i="8"/>
  <c r="E1797" i="8"/>
  <c r="E1798" i="8"/>
  <c r="E1799" i="8"/>
  <c r="E1800" i="8"/>
  <c r="E1801" i="8"/>
  <c r="E1802" i="8"/>
  <c r="E1803" i="8"/>
  <c r="E1804" i="8"/>
  <c r="E1805" i="8"/>
  <c r="E1806" i="8"/>
  <c r="E1807" i="8"/>
  <c r="E1808" i="8"/>
  <c r="E1809" i="8"/>
  <c r="E1810" i="8"/>
  <c r="E1811" i="8"/>
  <c r="E1812" i="8"/>
  <c r="E1813" i="8"/>
  <c r="E1814" i="8"/>
  <c r="E1815" i="8"/>
  <c r="E1816" i="8"/>
  <c r="E1817" i="8"/>
  <c r="E1818" i="8"/>
  <c r="E1819" i="8"/>
  <c r="E1820" i="8"/>
  <c r="E1821" i="8"/>
  <c r="E1822" i="8"/>
  <c r="C3" i="17"/>
  <c r="C4" i="17" s="1"/>
  <c r="G22" i="22"/>
  <c r="AE13" i="20"/>
  <c r="AA5" i="20"/>
  <c r="W5" i="20"/>
  <c r="V5" i="20"/>
  <c r="U5" i="20"/>
  <c r="T5" i="20"/>
  <c r="S5" i="20"/>
  <c r="R5" i="20"/>
  <c r="Q5" i="20"/>
  <c r="P5" i="20"/>
  <c r="O5" i="20"/>
  <c r="N5" i="20"/>
  <c r="M5" i="20"/>
  <c r="L5" i="20"/>
  <c r="K5" i="20"/>
  <c r="J5" i="20"/>
  <c r="I5" i="20"/>
  <c r="H5" i="20"/>
  <c r="G5" i="20"/>
  <c r="F5" i="20"/>
  <c r="E5" i="20"/>
  <c r="D5" i="20"/>
  <c r="D4" i="20"/>
  <c r="D6" i="20" s="1"/>
  <c r="AB53" i="17"/>
  <c r="AA53" i="17"/>
  <c r="Z53" i="17"/>
  <c r="Y53" i="17"/>
  <c r="X53" i="17"/>
  <c r="S53" i="17"/>
  <c r="R53" i="17"/>
  <c r="Q53" i="17"/>
  <c r="P53" i="17"/>
  <c r="O53" i="17"/>
  <c r="N53" i="17"/>
  <c r="M53" i="17"/>
  <c r="L53" i="17"/>
  <c r="K53" i="17"/>
  <c r="J53" i="17"/>
  <c r="I53" i="17"/>
  <c r="H53" i="17"/>
  <c r="G53" i="17"/>
  <c r="F53" i="17"/>
  <c r="E53" i="17"/>
  <c r="AC4" i="17"/>
  <c r="AA2" i="17"/>
  <c r="W2" i="17"/>
  <c r="V2" i="17"/>
  <c r="U2" i="17"/>
  <c r="T2" i="17"/>
  <c r="S2" i="17"/>
  <c r="R2" i="17"/>
  <c r="Q2" i="17"/>
  <c r="P2" i="17"/>
  <c r="O2" i="17"/>
  <c r="N2" i="17"/>
  <c r="M2" i="17"/>
  <c r="L2" i="17"/>
  <c r="K2" i="17"/>
  <c r="J2" i="17"/>
  <c r="I2" i="17"/>
  <c r="H2" i="17"/>
  <c r="G2" i="17"/>
  <c r="F2" i="17"/>
  <c r="E2" i="17"/>
  <c r="D2" i="17"/>
  <c r="D1" i="17"/>
  <c r="E1" i="17" s="1"/>
  <c r="F1" i="17" s="1"/>
  <c r="F3" i="17" s="1"/>
  <c r="Q290" i="6"/>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33" i="7"/>
  <c r="I34" i="7"/>
  <c r="I35" i="7"/>
  <c r="I36" i="7"/>
  <c r="I37" i="7"/>
  <c r="I38" i="7"/>
  <c r="I39" i="7"/>
  <c r="I40" i="7"/>
  <c r="I41" i="7"/>
  <c r="I42" i="7"/>
  <c r="I43" i="7"/>
  <c r="I44" i="7"/>
  <c r="I45" i="7"/>
  <c r="I46" i="7"/>
  <c r="I47" i="7"/>
  <c r="I48" i="7"/>
  <c r="I49" i="7"/>
  <c r="I50" i="7"/>
  <c r="I51" i="7"/>
  <c r="I52" i="7"/>
  <c r="I53" i="7"/>
  <c r="I54" i="7"/>
  <c r="I55" i="7"/>
  <c r="I56" i="7"/>
  <c r="I57" i="7"/>
  <c r="I58" i="7"/>
  <c r="I59" i="7"/>
  <c r="I60" i="7"/>
  <c r="I61" i="7"/>
  <c r="I62" i="7"/>
  <c r="I63" i="7"/>
  <c r="I64" i="7"/>
  <c r="I65" i="7"/>
  <c r="I66" i="7"/>
  <c r="I67" i="7"/>
  <c r="I68" i="7"/>
  <c r="I69" i="7"/>
  <c r="I70" i="7"/>
  <c r="I71" i="7"/>
  <c r="I72" i="7"/>
  <c r="I73" i="7"/>
  <c r="I74" i="7"/>
  <c r="I75" i="7"/>
  <c r="I76" i="7"/>
  <c r="I77" i="7"/>
  <c r="I78" i="7"/>
  <c r="I79" i="7"/>
  <c r="I80" i="7"/>
  <c r="I81" i="7"/>
  <c r="I82" i="7"/>
  <c r="I83" i="7"/>
  <c r="I84" i="7"/>
  <c r="I85" i="7"/>
  <c r="I86" i="7"/>
  <c r="I87" i="7"/>
  <c r="I88" i="7"/>
  <c r="I89" i="7"/>
  <c r="I90" i="7"/>
  <c r="I91" i="7"/>
  <c r="I92" i="7"/>
  <c r="I93" i="7"/>
  <c r="I94" i="7"/>
  <c r="I95" i="7"/>
  <c r="I96" i="7"/>
  <c r="I97" i="7"/>
  <c r="I98" i="7"/>
  <c r="I99" i="7"/>
  <c r="I100" i="7"/>
  <c r="I101" i="7"/>
  <c r="I102" i="7"/>
  <c r="I103" i="7"/>
  <c r="I104" i="7"/>
  <c r="I105" i="7"/>
  <c r="I106" i="7"/>
  <c r="I107" i="7"/>
  <c r="I108" i="7"/>
  <c r="I109" i="7"/>
  <c r="I110" i="7"/>
  <c r="I111" i="7"/>
  <c r="I112" i="7"/>
  <c r="I113" i="7"/>
  <c r="I114" i="7"/>
  <c r="I115" i="7"/>
  <c r="I116" i="7"/>
  <c r="I117" i="7"/>
  <c r="I118" i="7"/>
  <c r="I119" i="7"/>
  <c r="I120" i="7"/>
  <c r="I121" i="7"/>
  <c r="I122" i="7"/>
  <c r="I123" i="7"/>
  <c r="I124" i="7"/>
  <c r="I125" i="7"/>
  <c r="I126" i="7"/>
  <c r="I127" i="7"/>
  <c r="I128" i="7"/>
  <c r="I129" i="7"/>
  <c r="I130" i="7"/>
  <c r="I131" i="7"/>
  <c r="I132" i="7"/>
  <c r="I133" i="7"/>
  <c r="I134" i="7"/>
  <c r="I135" i="7"/>
  <c r="I136" i="7"/>
  <c r="I137" i="7"/>
  <c r="I138" i="7"/>
  <c r="I139" i="7"/>
  <c r="I140" i="7"/>
  <c r="I141" i="7"/>
  <c r="I142" i="7"/>
  <c r="I143" i="7"/>
  <c r="I144" i="7"/>
  <c r="I145" i="7"/>
  <c r="I146" i="7"/>
  <c r="I147" i="7"/>
  <c r="I148" i="7"/>
  <c r="I149" i="7"/>
  <c r="I150" i="7"/>
  <c r="I151" i="7"/>
  <c r="I152" i="7"/>
  <c r="I153" i="7"/>
  <c r="I154" i="7"/>
  <c r="I155" i="7"/>
  <c r="I156" i="7"/>
  <c r="I157" i="7"/>
  <c r="I158" i="7"/>
  <c r="I159" i="7"/>
  <c r="I160" i="7"/>
  <c r="I161" i="7"/>
  <c r="I162" i="7"/>
  <c r="I163" i="7"/>
  <c r="I164" i="7"/>
  <c r="I165" i="7"/>
  <c r="I166" i="7"/>
  <c r="I167" i="7"/>
  <c r="I168" i="7"/>
  <c r="I169" i="7"/>
  <c r="I170" i="7"/>
  <c r="I171" i="7"/>
  <c r="I172" i="7"/>
  <c r="I173" i="7"/>
  <c r="I174" i="7"/>
  <c r="I175" i="7"/>
  <c r="I176" i="7"/>
  <c r="I177" i="7"/>
  <c r="I178" i="7"/>
  <c r="I179" i="7"/>
  <c r="I180" i="7"/>
  <c r="I181" i="7"/>
  <c r="I182" i="7"/>
  <c r="I183" i="7"/>
  <c r="I184" i="7"/>
  <c r="I185" i="7"/>
  <c r="I186" i="7"/>
  <c r="I187" i="7"/>
  <c r="I188" i="7"/>
  <c r="I189" i="7"/>
  <c r="I190" i="7"/>
  <c r="I191" i="7"/>
  <c r="I192" i="7"/>
  <c r="I193" i="7"/>
  <c r="I194" i="7"/>
  <c r="I195" i="7"/>
  <c r="I196" i="7"/>
  <c r="I197" i="7"/>
  <c r="I198" i="7"/>
  <c r="I199" i="7"/>
  <c r="I200" i="7"/>
  <c r="I201" i="7"/>
  <c r="I202" i="7"/>
  <c r="I203" i="7"/>
  <c r="I204" i="7"/>
  <c r="I205" i="7"/>
  <c r="I206" i="7"/>
  <c r="I207" i="7"/>
  <c r="I208" i="7"/>
  <c r="I209" i="7"/>
  <c r="I210" i="7"/>
  <c r="I211" i="7"/>
  <c r="I212" i="7"/>
  <c r="I213" i="7"/>
  <c r="I214" i="7"/>
  <c r="I215" i="7"/>
  <c r="I216" i="7"/>
  <c r="I217" i="7"/>
  <c r="I218" i="7"/>
  <c r="I219" i="7"/>
  <c r="I220" i="7"/>
  <c r="I221" i="7"/>
  <c r="I222" i="7"/>
  <c r="I223" i="7"/>
  <c r="I224" i="7"/>
  <c r="I225" i="7"/>
  <c r="I226" i="7"/>
  <c r="I227" i="7"/>
  <c r="I228" i="7"/>
  <c r="I229" i="7"/>
  <c r="I230" i="7"/>
  <c r="I231" i="7"/>
  <c r="I232" i="7"/>
  <c r="I233" i="7"/>
  <c r="I234" i="7"/>
  <c r="I235" i="7"/>
  <c r="I236" i="7"/>
  <c r="I237" i="7"/>
  <c r="I238" i="7"/>
  <c r="I239" i="7"/>
  <c r="I240" i="7"/>
  <c r="I241" i="7"/>
  <c r="I242" i="7"/>
  <c r="I243" i="7"/>
  <c r="I244" i="7"/>
  <c r="I245" i="7"/>
  <c r="I246" i="7"/>
  <c r="I247" i="7"/>
  <c r="I248" i="7"/>
  <c r="I249" i="7"/>
  <c r="I250" i="7"/>
  <c r="I251" i="7"/>
  <c r="I252" i="7"/>
  <c r="I253" i="7"/>
  <c r="I254" i="7"/>
  <c r="I255" i="7"/>
  <c r="I256" i="7"/>
  <c r="I257" i="7"/>
  <c r="I258" i="7"/>
  <c r="I259" i="7"/>
  <c r="I260" i="7"/>
  <c r="I261" i="7"/>
  <c r="I262" i="7"/>
  <c r="I263" i="7"/>
  <c r="I264" i="7"/>
  <c r="I265" i="7"/>
  <c r="I266" i="7"/>
  <c r="I267" i="7"/>
  <c r="I268" i="7"/>
  <c r="I269" i="7"/>
  <c r="I270" i="7"/>
  <c r="I271" i="7"/>
  <c r="I272" i="7"/>
  <c r="I273" i="7"/>
  <c r="I274" i="7"/>
  <c r="I275" i="7"/>
  <c r="I276" i="7"/>
  <c r="I277" i="7"/>
  <c r="I278" i="7"/>
  <c r="I279" i="7"/>
  <c r="I280" i="7"/>
  <c r="I281" i="7"/>
  <c r="I282" i="7"/>
  <c r="I283" i="7"/>
  <c r="I284" i="7"/>
  <c r="I285" i="7"/>
  <c r="I286" i="7"/>
  <c r="I287" i="7"/>
  <c r="I288" i="7"/>
  <c r="I289" i="7"/>
  <c r="I290" i="7"/>
  <c r="I291" i="7"/>
  <c r="I292" i="7"/>
  <c r="I293" i="7"/>
  <c r="I294" i="7"/>
  <c r="I295" i="7"/>
  <c r="I296" i="7"/>
  <c r="I297" i="7"/>
  <c r="I298" i="7"/>
  <c r="I299" i="7"/>
  <c r="I300" i="7"/>
  <c r="I301" i="7"/>
  <c r="I302" i="7"/>
  <c r="I303" i="7"/>
  <c r="I304" i="7"/>
  <c r="I305" i="7"/>
  <c r="I306" i="7"/>
  <c r="I307" i="7"/>
  <c r="I308" i="7"/>
  <c r="I309" i="7"/>
  <c r="I310" i="7"/>
  <c r="I311" i="7"/>
  <c r="I312" i="7"/>
  <c r="I313" i="7"/>
  <c r="I314" i="7"/>
  <c r="I315" i="7"/>
  <c r="I316" i="7"/>
  <c r="I317" i="7"/>
  <c r="I318" i="7"/>
  <c r="I319" i="7"/>
  <c r="I320" i="7"/>
  <c r="I321" i="7"/>
  <c r="I322" i="7"/>
  <c r="I323" i="7"/>
  <c r="I324" i="7"/>
  <c r="I325" i="7"/>
  <c r="I326" i="7"/>
  <c r="I327" i="7"/>
  <c r="I328" i="7"/>
  <c r="I329" i="7"/>
  <c r="I330" i="7"/>
  <c r="I331" i="7"/>
  <c r="I332" i="7"/>
  <c r="I333" i="7"/>
  <c r="I334" i="7"/>
  <c r="I335" i="7"/>
  <c r="I336" i="7"/>
  <c r="I337" i="7"/>
  <c r="I338" i="7"/>
  <c r="I339" i="7"/>
  <c r="I340" i="7"/>
  <c r="I341" i="7"/>
  <c r="I342" i="7"/>
  <c r="I343" i="7"/>
  <c r="I344" i="7"/>
  <c r="I345" i="7"/>
  <c r="I346" i="7"/>
  <c r="I347" i="7"/>
  <c r="I348" i="7"/>
  <c r="I349" i="7"/>
  <c r="I350" i="7"/>
  <c r="I351" i="7"/>
  <c r="I352" i="7"/>
  <c r="I353" i="7"/>
  <c r="I354" i="7"/>
  <c r="I355" i="7"/>
  <c r="I356" i="7"/>
  <c r="I357" i="7"/>
  <c r="I358" i="7"/>
  <c r="I359" i="7"/>
  <c r="I360" i="7"/>
  <c r="I361" i="7"/>
  <c r="I362" i="7"/>
  <c r="I363" i="7"/>
  <c r="I364" i="7"/>
  <c r="I365" i="7"/>
  <c r="I366" i="7"/>
  <c r="I367" i="7"/>
  <c r="I368" i="7"/>
  <c r="I369" i="7"/>
  <c r="I370" i="7"/>
  <c r="I371" i="7"/>
  <c r="I372" i="7"/>
  <c r="I373" i="7"/>
  <c r="I374" i="7"/>
  <c r="I375" i="7"/>
  <c r="I376" i="7"/>
  <c r="I377" i="7"/>
  <c r="I378" i="7"/>
  <c r="I379" i="7"/>
  <c r="I380" i="7"/>
  <c r="I381" i="7"/>
  <c r="I382" i="7"/>
  <c r="I383" i="7"/>
  <c r="I384" i="7"/>
  <c r="I385" i="7"/>
  <c r="I386" i="7"/>
  <c r="I387" i="7"/>
  <c r="I388" i="7"/>
  <c r="I389" i="7"/>
  <c r="I390" i="7"/>
  <c r="I391" i="7"/>
  <c r="I392" i="7"/>
  <c r="I393" i="7"/>
  <c r="I394" i="7"/>
  <c r="I395" i="7"/>
  <c r="I396" i="7"/>
  <c r="I397" i="7"/>
  <c r="I398" i="7"/>
  <c r="I399" i="7"/>
  <c r="I400" i="7"/>
  <c r="I401" i="7"/>
  <c r="I402" i="7"/>
  <c r="I403" i="7"/>
  <c r="I404" i="7"/>
  <c r="I405" i="7"/>
  <c r="I406" i="7"/>
  <c r="I407" i="7"/>
  <c r="I408" i="7"/>
  <c r="I409" i="7"/>
  <c r="I410" i="7"/>
  <c r="I411" i="7"/>
  <c r="I412" i="7"/>
  <c r="I413" i="7"/>
  <c r="I414" i="7"/>
  <c r="I415" i="7"/>
  <c r="I416" i="7"/>
  <c r="I417" i="7"/>
  <c r="I418" i="7"/>
  <c r="I419" i="7"/>
  <c r="I420" i="7"/>
  <c r="I421" i="7"/>
  <c r="I422" i="7"/>
  <c r="I423" i="7"/>
  <c r="I424" i="7"/>
  <c r="I425" i="7"/>
  <c r="I426" i="7"/>
  <c r="I427" i="7"/>
  <c r="I428" i="7"/>
  <c r="I429" i="7"/>
  <c r="I430" i="7"/>
  <c r="I431" i="7"/>
  <c r="I432" i="7"/>
  <c r="I433" i="7"/>
  <c r="I434" i="7"/>
  <c r="I435" i="7"/>
  <c r="I436" i="7"/>
  <c r="I437" i="7"/>
  <c r="I438" i="7"/>
  <c r="I439" i="7"/>
  <c r="I440" i="7"/>
  <c r="I441" i="7"/>
  <c r="I442" i="7"/>
  <c r="I443" i="7"/>
  <c r="I444" i="7"/>
  <c r="I445" i="7"/>
  <c r="I446" i="7"/>
  <c r="I447" i="7"/>
  <c r="I448" i="7"/>
  <c r="I449" i="7"/>
  <c r="I450" i="7"/>
  <c r="I451" i="7"/>
  <c r="I452" i="7"/>
  <c r="I453" i="7"/>
  <c r="I454" i="7"/>
  <c r="I455" i="7"/>
  <c r="I456" i="7"/>
  <c r="I457" i="7"/>
  <c r="I458" i="7"/>
  <c r="I459" i="7"/>
  <c r="I460" i="7"/>
  <c r="I461" i="7"/>
  <c r="I462" i="7"/>
  <c r="I463" i="7"/>
  <c r="I464" i="7"/>
  <c r="I465" i="7"/>
  <c r="I466" i="7"/>
  <c r="I467" i="7"/>
  <c r="I468" i="7"/>
  <c r="I469" i="7"/>
  <c r="I470" i="7"/>
  <c r="I471" i="7"/>
  <c r="I472" i="7"/>
  <c r="I473" i="7"/>
  <c r="I474" i="7"/>
  <c r="I475" i="7"/>
  <c r="I476" i="7"/>
  <c r="I477" i="7"/>
  <c r="I478" i="7"/>
  <c r="I479" i="7"/>
  <c r="I480" i="7"/>
  <c r="I481" i="7"/>
  <c r="I482" i="7"/>
  <c r="I483" i="7"/>
  <c r="I484" i="7"/>
  <c r="I485" i="7"/>
  <c r="I486" i="7"/>
  <c r="I487" i="7"/>
  <c r="I488" i="7"/>
  <c r="I489" i="7"/>
  <c r="I490" i="7"/>
  <c r="I491" i="7"/>
  <c r="I492" i="7"/>
  <c r="I493" i="7"/>
  <c r="I494" i="7"/>
  <c r="I495" i="7"/>
  <c r="I496" i="7"/>
  <c r="I497" i="7"/>
  <c r="I498" i="7"/>
  <c r="I499" i="7"/>
  <c r="I500" i="7"/>
  <c r="I501" i="7"/>
  <c r="I502" i="7"/>
  <c r="I503" i="7"/>
  <c r="I504" i="7"/>
  <c r="I505" i="7"/>
  <c r="I506" i="7"/>
  <c r="I507" i="7"/>
  <c r="I508" i="7"/>
  <c r="I509" i="7"/>
  <c r="I510" i="7"/>
  <c r="I511" i="7"/>
  <c r="I512" i="7"/>
  <c r="I513" i="7"/>
  <c r="I514" i="7"/>
  <c r="I515" i="7"/>
  <c r="I516" i="7"/>
  <c r="I517" i="7"/>
  <c r="I518" i="7"/>
  <c r="I519" i="7"/>
  <c r="I520" i="7"/>
  <c r="I521" i="7"/>
  <c r="I522" i="7"/>
  <c r="I523" i="7"/>
  <c r="I524" i="7"/>
  <c r="I525" i="7"/>
  <c r="I526" i="7"/>
  <c r="I527" i="7"/>
  <c r="I528" i="7"/>
  <c r="I529" i="7"/>
  <c r="I530" i="7"/>
  <c r="I531" i="7"/>
  <c r="I532" i="7"/>
  <c r="I533" i="7"/>
  <c r="I534" i="7"/>
  <c r="I535" i="7"/>
  <c r="I536" i="7"/>
  <c r="I537" i="7"/>
  <c r="I538" i="7"/>
  <c r="I539" i="7"/>
  <c r="I540" i="7"/>
  <c r="I541" i="7"/>
  <c r="I542" i="7"/>
  <c r="I543" i="7"/>
  <c r="I544" i="7"/>
  <c r="I545" i="7"/>
  <c r="I546" i="7"/>
  <c r="I547" i="7"/>
  <c r="I548" i="7"/>
  <c r="I549" i="7"/>
  <c r="I550" i="7"/>
  <c r="I551" i="7"/>
  <c r="I552" i="7"/>
  <c r="I553" i="7"/>
  <c r="I554" i="7"/>
  <c r="I555" i="7"/>
  <c r="I556" i="7"/>
  <c r="I557" i="7"/>
  <c r="I558" i="7"/>
  <c r="I559" i="7"/>
  <c r="I560" i="7"/>
  <c r="I561" i="7"/>
  <c r="I562" i="7"/>
  <c r="I563" i="7"/>
  <c r="I564" i="7"/>
  <c r="I565" i="7"/>
  <c r="I566" i="7"/>
  <c r="I567" i="7"/>
  <c r="I568" i="7"/>
  <c r="I569" i="7"/>
  <c r="I570" i="7"/>
  <c r="I571" i="7"/>
  <c r="I572" i="7"/>
  <c r="I573" i="7"/>
  <c r="I574" i="7"/>
  <c r="I575" i="7"/>
  <c r="I576" i="7"/>
  <c r="I577" i="7"/>
  <c r="I578" i="7"/>
  <c r="I579" i="7"/>
  <c r="I580" i="7"/>
  <c r="I581" i="7"/>
  <c r="I582" i="7"/>
  <c r="I583" i="7"/>
  <c r="I584" i="7"/>
  <c r="I585" i="7"/>
  <c r="I586" i="7"/>
  <c r="I587" i="7"/>
  <c r="I588" i="7"/>
  <c r="I589" i="7"/>
  <c r="I590" i="7"/>
  <c r="I591" i="7"/>
  <c r="I592" i="7"/>
  <c r="I593" i="7"/>
  <c r="I594" i="7"/>
  <c r="I595" i="7"/>
  <c r="I596" i="7"/>
  <c r="I597" i="7"/>
  <c r="I598" i="7"/>
  <c r="I599" i="7"/>
  <c r="I600" i="7"/>
  <c r="I601" i="7"/>
  <c r="I602" i="7"/>
  <c r="I603" i="7"/>
  <c r="I604" i="7"/>
  <c r="I605" i="7"/>
  <c r="I606" i="7"/>
  <c r="I607" i="7"/>
  <c r="I608" i="7"/>
  <c r="I609" i="7"/>
  <c r="I610" i="7"/>
  <c r="I611" i="7"/>
  <c r="I612" i="7"/>
  <c r="I613" i="7"/>
  <c r="I614" i="7"/>
  <c r="I615" i="7"/>
  <c r="I616" i="7"/>
  <c r="I617" i="7"/>
  <c r="I618" i="7"/>
  <c r="I619" i="7"/>
  <c r="I620" i="7"/>
  <c r="I621" i="7"/>
  <c r="I622" i="7"/>
  <c r="I623" i="7"/>
  <c r="I624" i="7"/>
  <c r="I625" i="7"/>
  <c r="I626" i="7"/>
  <c r="I627" i="7"/>
  <c r="I628" i="7"/>
  <c r="I629" i="7"/>
  <c r="I630" i="7"/>
  <c r="I631" i="7"/>
  <c r="I632" i="7"/>
  <c r="I633" i="7"/>
  <c r="I634" i="7"/>
  <c r="I635" i="7"/>
  <c r="I636" i="7"/>
  <c r="I637" i="7"/>
  <c r="I638" i="7"/>
  <c r="I639" i="7"/>
  <c r="I640" i="7"/>
  <c r="I641" i="7"/>
  <c r="I642" i="7"/>
  <c r="I643" i="7"/>
  <c r="I644" i="7"/>
  <c r="I645" i="7"/>
  <c r="I646" i="7"/>
  <c r="I647" i="7"/>
  <c r="I648" i="7"/>
  <c r="I649" i="7"/>
  <c r="I650" i="7"/>
  <c r="I651" i="7"/>
  <c r="I652" i="7"/>
  <c r="I653" i="7"/>
  <c r="I654" i="7"/>
  <c r="I655" i="7"/>
  <c r="I656" i="7"/>
  <c r="I657" i="7"/>
  <c r="I658" i="7"/>
  <c r="I659" i="7"/>
  <c r="I660" i="7"/>
  <c r="I661" i="7"/>
  <c r="I662" i="7"/>
  <c r="I663" i="7"/>
  <c r="I664" i="7"/>
  <c r="I665" i="7"/>
  <c r="I666" i="7"/>
  <c r="I667" i="7"/>
  <c r="I668" i="7"/>
  <c r="I669" i="7"/>
  <c r="I670" i="7"/>
  <c r="I671" i="7"/>
  <c r="I672" i="7"/>
  <c r="I673" i="7"/>
  <c r="I674" i="7"/>
  <c r="I675" i="7"/>
  <c r="I676" i="7"/>
  <c r="I677" i="7"/>
  <c r="I678" i="7"/>
  <c r="I679" i="7"/>
  <c r="I680" i="7"/>
  <c r="I681" i="7"/>
  <c r="I682" i="7"/>
  <c r="I683" i="7"/>
  <c r="I684" i="7"/>
  <c r="I685" i="7"/>
  <c r="I686" i="7"/>
  <c r="I687" i="7"/>
  <c r="I688" i="7"/>
  <c r="I689" i="7"/>
  <c r="I690" i="7"/>
  <c r="I691" i="7"/>
  <c r="I692" i="7"/>
  <c r="I693" i="7"/>
  <c r="I694" i="7"/>
  <c r="I695" i="7"/>
  <c r="I696" i="7"/>
  <c r="I697" i="7"/>
  <c r="I698" i="7"/>
  <c r="I699" i="7"/>
  <c r="I700" i="7"/>
  <c r="I701" i="7"/>
  <c r="I702" i="7"/>
  <c r="I703" i="7"/>
  <c r="I704" i="7"/>
  <c r="I705" i="7"/>
  <c r="I706" i="7"/>
  <c r="I707" i="7"/>
  <c r="I708" i="7"/>
  <c r="I709" i="7"/>
  <c r="I710" i="7"/>
  <c r="I711" i="7"/>
  <c r="I712" i="7"/>
  <c r="I713" i="7"/>
  <c r="I714" i="7"/>
  <c r="I715" i="7"/>
  <c r="I716" i="7"/>
  <c r="I717" i="7"/>
  <c r="I718" i="7"/>
  <c r="I719" i="7"/>
  <c r="I720" i="7"/>
  <c r="I721" i="7"/>
  <c r="I722" i="7"/>
  <c r="I723" i="7"/>
  <c r="I724" i="7"/>
  <c r="I725" i="7"/>
  <c r="I726" i="7"/>
  <c r="I727" i="7"/>
  <c r="I728" i="7"/>
  <c r="I729" i="7"/>
  <c r="I730" i="7"/>
  <c r="I731" i="7"/>
  <c r="I732" i="7"/>
  <c r="I733" i="7"/>
  <c r="I734" i="7"/>
  <c r="I735" i="7"/>
  <c r="I736" i="7"/>
  <c r="I737" i="7"/>
  <c r="I738" i="7"/>
  <c r="I739" i="7"/>
  <c r="I740" i="7"/>
  <c r="I741" i="7"/>
  <c r="I742" i="7"/>
  <c r="I743" i="7"/>
  <c r="I744" i="7"/>
  <c r="I745" i="7"/>
  <c r="I746" i="7"/>
  <c r="I747" i="7"/>
  <c r="I748" i="7"/>
  <c r="I749" i="7"/>
  <c r="I750" i="7"/>
  <c r="I751" i="7"/>
  <c r="I752" i="7"/>
  <c r="I753" i="7"/>
  <c r="I754" i="7"/>
  <c r="I755" i="7"/>
  <c r="I756" i="7"/>
  <c r="I757" i="7"/>
  <c r="I758" i="7"/>
  <c r="I759" i="7"/>
  <c r="I760" i="7"/>
  <c r="I761" i="7"/>
  <c r="I762" i="7"/>
  <c r="I763" i="7"/>
  <c r="I764" i="7"/>
  <c r="I765" i="7"/>
  <c r="I766" i="7"/>
  <c r="I767" i="7"/>
  <c r="I768" i="7"/>
  <c r="I769" i="7"/>
  <c r="I770" i="7"/>
  <c r="I771" i="7"/>
  <c r="I772" i="7"/>
  <c r="I773" i="7"/>
  <c r="I774" i="7"/>
  <c r="I775" i="7"/>
  <c r="I776" i="7"/>
  <c r="I777" i="7"/>
  <c r="I778" i="7"/>
  <c r="I779" i="7"/>
  <c r="I780" i="7"/>
  <c r="I781" i="7"/>
  <c r="I782" i="7"/>
  <c r="I783" i="7"/>
  <c r="I784" i="7"/>
  <c r="I785" i="7"/>
  <c r="I786" i="7"/>
  <c r="I787" i="7"/>
  <c r="I788" i="7"/>
  <c r="I789" i="7"/>
  <c r="I790" i="7"/>
  <c r="I791" i="7"/>
  <c r="I792" i="7"/>
  <c r="I793" i="7"/>
  <c r="I794" i="7"/>
  <c r="I795" i="7"/>
  <c r="I796" i="7"/>
  <c r="I797" i="7"/>
  <c r="I798" i="7"/>
  <c r="I799" i="7"/>
  <c r="I800" i="7"/>
  <c r="I801" i="7"/>
  <c r="I802" i="7"/>
  <c r="I803" i="7"/>
  <c r="I804" i="7"/>
  <c r="I805" i="7"/>
  <c r="I806" i="7"/>
  <c r="I807" i="7"/>
  <c r="I808" i="7"/>
  <c r="I809" i="7"/>
  <c r="I810" i="7"/>
  <c r="I811" i="7"/>
  <c r="I812" i="7"/>
  <c r="I813" i="7"/>
  <c r="I814" i="7"/>
  <c r="I815" i="7"/>
  <c r="I816" i="7"/>
  <c r="I817" i="7"/>
  <c r="I818" i="7"/>
  <c r="I819" i="7"/>
  <c r="I820" i="7"/>
  <c r="I821" i="7"/>
  <c r="I822" i="7"/>
  <c r="I823" i="7"/>
  <c r="I824" i="7"/>
  <c r="I825" i="7"/>
  <c r="I826" i="7"/>
  <c r="I827" i="7"/>
  <c r="I828" i="7"/>
  <c r="I829" i="7"/>
  <c r="I830" i="7"/>
  <c r="I831" i="7"/>
  <c r="I832" i="7"/>
  <c r="I833" i="7"/>
  <c r="I834" i="7"/>
  <c r="I835" i="7"/>
  <c r="I836" i="7"/>
  <c r="I837" i="7"/>
  <c r="I838" i="7"/>
  <c r="I839" i="7"/>
  <c r="I840" i="7"/>
  <c r="I841" i="7"/>
  <c r="I842" i="7"/>
  <c r="I843" i="7"/>
  <c r="I844" i="7"/>
  <c r="I845" i="7"/>
  <c r="I846" i="7"/>
  <c r="I847" i="7"/>
  <c r="I848" i="7"/>
  <c r="I849" i="7"/>
  <c r="I850" i="7"/>
  <c r="I851" i="7"/>
  <c r="I852" i="7"/>
  <c r="I853" i="7"/>
  <c r="I854" i="7"/>
  <c r="I855" i="7"/>
  <c r="I856" i="7"/>
  <c r="I857" i="7"/>
  <c r="I858" i="7"/>
  <c r="I859" i="7"/>
  <c r="I860" i="7"/>
  <c r="I861" i="7"/>
  <c r="I862" i="7"/>
  <c r="I863" i="7"/>
  <c r="I864" i="7"/>
  <c r="I865" i="7"/>
  <c r="I866" i="7"/>
  <c r="I867" i="7"/>
  <c r="I868" i="7"/>
  <c r="I869" i="7"/>
  <c r="I870" i="7"/>
  <c r="I871" i="7"/>
  <c r="I872" i="7"/>
  <c r="I873" i="7"/>
  <c r="I874" i="7"/>
  <c r="I875" i="7"/>
  <c r="I876" i="7"/>
  <c r="I877" i="7"/>
  <c r="I878" i="7"/>
  <c r="I879" i="7"/>
  <c r="I880" i="7"/>
  <c r="I881" i="7"/>
  <c r="I882" i="7"/>
  <c r="I883" i="7"/>
  <c r="I884" i="7"/>
  <c r="I885" i="7"/>
  <c r="I886" i="7"/>
  <c r="I887" i="7"/>
  <c r="I888" i="7"/>
  <c r="I889" i="7"/>
  <c r="I890" i="7"/>
  <c r="I891" i="7"/>
  <c r="I892" i="7"/>
  <c r="I893" i="7"/>
  <c r="I894" i="7"/>
  <c r="I895" i="7"/>
  <c r="I896" i="7"/>
  <c r="I897" i="7"/>
  <c r="I898" i="7"/>
  <c r="I899" i="7"/>
  <c r="I900" i="7"/>
  <c r="I901" i="7"/>
  <c r="I902" i="7"/>
  <c r="I903" i="7"/>
  <c r="I904" i="7"/>
  <c r="I905" i="7"/>
  <c r="I906" i="7"/>
  <c r="I907" i="7"/>
  <c r="I908" i="7"/>
  <c r="I909" i="7"/>
  <c r="I910" i="7"/>
  <c r="I911" i="7"/>
  <c r="I912" i="7"/>
  <c r="I913" i="7"/>
  <c r="I914" i="7"/>
  <c r="I915" i="7"/>
  <c r="I916" i="7"/>
  <c r="I917" i="7"/>
  <c r="I918" i="7"/>
  <c r="I919" i="7"/>
  <c r="I920" i="7"/>
  <c r="I921" i="7"/>
  <c r="I922" i="7"/>
  <c r="I923" i="7"/>
  <c r="I924" i="7"/>
  <c r="I925" i="7"/>
  <c r="I926" i="7"/>
  <c r="I927" i="7"/>
  <c r="I928" i="7"/>
  <c r="I929" i="7"/>
  <c r="I930" i="7"/>
  <c r="I931" i="7"/>
  <c r="I932" i="7"/>
  <c r="I933" i="7"/>
  <c r="I934" i="7"/>
  <c r="I935" i="7"/>
  <c r="I936" i="7"/>
  <c r="I937" i="7"/>
  <c r="I938" i="7"/>
  <c r="I939" i="7"/>
  <c r="I940" i="7"/>
  <c r="I941" i="7"/>
  <c r="I942" i="7"/>
  <c r="I943" i="7"/>
  <c r="I944" i="7"/>
  <c r="I945" i="7"/>
  <c r="I946" i="7"/>
  <c r="I947" i="7"/>
  <c r="I948" i="7"/>
  <c r="I949" i="7"/>
  <c r="I950" i="7"/>
  <c r="I951" i="7"/>
  <c r="I952" i="7"/>
  <c r="I953" i="7"/>
  <c r="I954" i="7"/>
  <c r="I955" i="7"/>
  <c r="I956" i="7"/>
  <c r="I957" i="7"/>
  <c r="I958" i="7"/>
  <c r="I959" i="7"/>
  <c r="I960" i="7"/>
  <c r="I961" i="7"/>
  <c r="I962" i="7"/>
  <c r="I963" i="7"/>
  <c r="I964" i="7"/>
  <c r="I965" i="7"/>
  <c r="I966" i="7"/>
  <c r="I967" i="7"/>
  <c r="I968" i="7"/>
  <c r="I969" i="7"/>
  <c r="I970" i="7"/>
  <c r="I971" i="7"/>
  <c r="I972" i="7"/>
  <c r="I973" i="7"/>
  <c r="I974" i="7"/>
  <c r="I975" i="7"/>
  <c r="I976" i="7"/>
  <c r="I977" i="7"/>
  <c r="I978" i="7"/>
  <c r="I979" i="7"/>
  <c r="I980" i="7"/>
  <c r="I981" i="7"/>
  <c r="I982" i="7"/>
  <c r="I983" i="7"/>
  <c r="I984" i="7"/>
  <c r="I985" i="7"/>
  <c r="I986" i="7"/>
  <c r="I987" i="7"/>
  <c r="I988" i="7"/>
  <c r="I989" i="7"/>
  <c r="I990" i="7"/>
  <c r="I991" i="7"/>
  <c r="I992" i="7"/>
  <c r="I993" i="7"/>
  <c r="I994" i="7"/>
  <c r="I995" i="7"/>
  <c r="I996" i="7"/>
  <c r="I997" i="7"/>
  <c r="I998" i="7"/>
  <c r="I999" i="7"/>
  <c r="I1000" i="7"/>
  <c r="I1001" i="7"/>
  <c r="I1002" i="7"/>
  <c r="I1003" i="7"/>
  <c r="I1004" i="7"/>
  <c r="I1005" i="7"/>
  <c r="I1006" i="7"/>
  <c r="I1007" i="7"/>
  <c r="I1008" i="7"/>
  <c r="I1009" i="7"/>
  <c r="I1010" i="7"/>
  <c r="I1011" i="7"/>
  <c r="I1012" i="7"/>
  <c r="I1013" i="7"/>
  <c r="I1014" i="7"/>
  <c r="I1015" i="7"/>
  <c r="I1016" i="7"/>
  <c r="I1017" i="7"/>
  <c r="I1018" i="7"/>
  <c r="I1019" i="7"/>
  <c r="I1020" i="7"/>
  <c r="I1021" i="7"/>
  <c r="I1022" i="7"/>
  <c r="I1023" i="7"/>
  <c r="I1024" i="7"/>
  <c r="I1025" i="7"/>
  <c r="I1026" i="7"/>
  <c r="I1027" i="7"/>
  <c r="I1028" i="7"/>
  <c r="I1029" i="7"/>
  <c r="I1030" i="7"/>
  <c r="I1031" i="7"/>
  <c r="I1032" i="7"/>
  <c r="I1033" i="7"/>
  <c r="I1034" i="7"/>
  <c r="I1035" i="7"/>
  <c r="I1036" i="7"/>
  <c r="I1037" i="7"/>
  <c r="I1038" i="7"/>
  <c r="I1039" i="7"/>
  <c r="I1040" i="7"/>
  <c r="I1041" i="7"/>
  <c r="I1042" i="7"/>
  <c r="I1043" i="7"/>
  <c r="I1044" i="7"/>
  <c r="I1045" i="7"/>
  <c r="I1046" i="7"/>
  <c r="I1047" i="7"/>
  <c r="I1048" i="7"/>
  <c r="I1049" i="7"/>
  <c r="I1050" i="7"/>
  <c r="I1051" i="7"/>
  <c r="I1052" i="7"/>
  <c r="I1053" i="7"/>
  <c r="I1054" i="7"/>
  <c r="I1055" i="7"/>
  <c r="I1056" i="7"/>
  <c r="I1057" i="7"/>
  <c r="I1058" i="7"/>
  <c r="I1059" i="7"/>
  <c r="I1060" i="7"/>
  <c r="I1061" i="7"/>
  <c r="I1062" i="7"/>
  <c r="I1063" i="7"/>
  <c r="I1064" i="7"/>
  <c r="I1065" i="7"/>
  <c r="I1066" i="7"/>
  <c r="I1067" i="7"/>
  <c r="I1068" i="7"/>
  <c r="I1069" i="7"/>
  <c r="I1070" i="7"/>
  <c r="I1071" i="7"/>
  <c r="I1072" i="7"/>
  <c r="I1073" i="7"/>
  <c r="I1074" i="7"/>
  <c r="I1075" i="7"/>
  <c r="I1076" i="7"/>
  <c r="I1077" i="7"/>
  <c r="I1078" i="7"/>
  <c r="I1079" i="7"/>
  <c r="I1080" i="7"/>
  <c r="I1081" i="7"/>
  <c r="I1082" i="7"/>
  <c r="I1083" i="7"/>
  <c r="I1084" i="7"/>
  <c r="I1085" i="7"/>
  <c r="I1086" i="7"/>
  <c r="I1087" i="7"/>
  <c r="I1088" i="7"/>
  <c r="I1089" i="7"/>
  <c r="I1090" i="7"/>
  <c r="I1091" i="7"/>
  <c r="I1092" i="7"/>
  <c r="I1093" i="7"/>
  <c r="I1094" i="7"/>
  <c r="I1095" i="7"/>
  <c r="I1096" i="7"/>
  <c r="I1097" i="7"/>
  <c r="I1098" i="7"/>
  <c r="I1099" i="7"/>
  <c r="I1100" i="7"/>
  <c r="I1101" i="7"/>
  <c r="I1102" i="7"/>
  <c r="I1103" i="7"/>
  <c r="I1104" i="7"/>
  <c r="I1105" i="7"/>
  <c r="I1106" i="7"/>
  <c r="I1107" i="7"/>
  <c r="I1108" i="7"/>
  <c r="I1109" i="7"/>
  <c r="I1110" i="7"/>
  <c r="I1111" i="7"/>
  <c r="I1112" i="7"/>
  <c r="I1113" i="7"/>
  <c r="I1114" i="7"/>
  <c r="I1115" i="7"/>
  <c r="I1116" i="7"/>
  <c r="I1117" i="7"/>
  <c r="I1118" i="7"/>
  <c r="I1119" i="7"/>
  <c r="I1120" i="7"/>
  <c r="I1121" i="7"/>
  <c r="I1122" i="7"/>
  <c r="I1123" i="7"/>
  <c r="I1124" i="7"/>
  <c r="I1125" i="7"/>
  <c r="I1126" i="7"/>
  <c r="I1127" i="7"/>
  <c r="I1128" i="7"/>
  <c r="I1129" i="7"/>
  <c r="I1130" i="7"/>
  <c r="I1131" i="7"/>
  <c r="I1132" i="7"/>
  <c r="I1133" i="7"/>
  <c r="I1134" i="7"/>
  <c r="I1135" i="7"/>
  <c r="I1136" i="7"/>
  <c r="I1137" i="7"/>
  <c r="I1138" i="7"/>
  <c r="I1139" i="7"/>
  <c r="I1140" i="7"/>
  <c r="I1141" i="7"/>
  <c r="I1142" i="7"/>
  <c r="I1143" i="7"/>
  <c r="I1144" i="7"/>
  <c r="I1145" i="7"/>
  <c r="I1146" i="7"/>
  <c r="I1147" i="7"/>
  <c r="I1148" i="7"/>
  <c r="I1149" i="7"/>
  <c r="I1150" i="7"/>
  <c r="I1151" i="7"/>
  <c r="I1152" i="7"/>
  <c r="I1153" i="7"/>
  <c r="I1154" i="7"/>
  <c r="I1155" i="7"/>
  <c r="I1156" i="7"/>
  <c r="I1157" i="7"/>
  <c r="I1158" i="7"/>
  <c r="I1159" i="7"/>
  <c r="I1160" i="7"/>
  <c r="I1161" i="7"/>
  <c r="I1162" i="7"/>
  <c r="I1163" i="7"/>
  <c r="I1164" i="7"/>
  <c r="I1165" i="7"/>
  <c r="I1166" i="7"/>
  <c r="I1167" i="7"/>
  <c r="I1168" i="7"/>
  <c r="I1169" i="7"/>
  <c r="I1170" i="7"/>
  <c r="I1171" i="7"/>
  <c r="I1172" i="7"/>
  <c r="I1173" i="7"/>
  <c r="I1174" i="7"/>
  <c r="I1175" i="7"/>
  <c r="I1176" i="7"/>
  <c r="I1177" i="7"/>
  <c r="I1178" i="7"/>
  <c r="I1179" i="7"/>
  <c r="I1180" i="7"/>
  <c r="I1181" i="7"/>
  <c r="I1182" i="7"/>
  <c r="I1183" i="7"/>
  <c r="I1184" i="7"/>
  <c r="I1185" i="7"/>
  <c r="I1186" i="7"/>
  <c r="I1187" i="7"/>
  <c r="I1188" i="7"/>
  <c r="I1189" i="7"/>
  <c r="I1190" i="7"/>
  <c r="I1191" i="7"/>
  <c r="I1192" i="7"/>
  <c r="I1193" i="7"/>
  <c r="I1194" i="7"/>
  <c r="I1195" i="7"/>
  <c r="I1196" i="7"/>
  <c r="I1197" i="7"/>
  <c r="I1198" i="7"/>
  <c r="I1199" i="7"/>
  <c r="I1200" i="7"/>
  <c r="I1201" i="7"/>
  <c r="I1202" i="7"/>
  <c r="I1203" i="7"/>
  <c r="I1204" i="7"/>
  <c r="I1205" i="7"/>
  <c r="I1206" i="7"/>
  <c r="I1207" i="7"/>
  <c r="I1208" i="7"/>
  <c r="I1209" i="7"/>
  <c r="I1210" i="7"/>
  <c r="I1211" i="7"/>
  <c r="I1212" i="7"/>
  <c r="I1213" i="7"/>
  <c r="I1214" i="7"/>
  <c r="I1215" i="7"/>
  <c r="I1216" i="7"/>
  <c r="I1217" i="7"/>
  <c r="I1218" i="7"/>
  <c r="I1219" i="7"/>
  <c r="I1220" i="7"/>
  <c r="I1221" i="7"/>
  <c r="I1222" i="7"/>
  <c r="I1223" i="7"/>
  <c r="I1224" i="7"/>
  <c r="I1225" i="7"/>
  <c r="I1226" i="7"/>
  <c r="I1227" i="7"/>
  <c r="I1228" i="7"/>
  <c r="I1229" i="7"/>
  <c r="I1230" i="7"/>
  <c r="I1231" i="7"/>
  <c r="I1232" i="7"/>
  <c r="I1233" i="7"/>
  <c r="I1234" i="7"/>
  <c r="I1235" i="7"/>
  <c r="I1236" i="7"/>
  <c r="I1237" i="7"/>
  <c r="I1238" i="7"/>
  <c r="I1239" i="7"/>
  <c r="I1240" i="7"/>
  <c r="I1241" i="7"/>
  <c r="I1242" i="7"/>
  <c r="I1243" i="7"/>
  <c r="I1244" i="7"/>
  <c r="I1245" i="7"/>
  <c r="I1246" i="7"/>
  <c r="I1247" i="7"/>
  <c r="I1248" i="7"/>
  <c r="I1249" i="7"/>
  <c r="I1250" i="7"/>
  <c r="I1251" i="7"/>
  <c r="I1252" i="7"/>
  <c r="I1253" i="7"/>
  <c r="I1254" i="7"/>
  <c r="I1255" i="7"/>
  <c r="I1256" i="7"/>
  <c r="I1257" i="7"/>
  <c r="I1258" i="7"/>
  <c r="I1259" i="7"/>
  <c r="I1260" i="7"/>
  <c r="I1261" i="7"/>
  <c r="I1262" i="7"/>
  <c r="I1263" i="7"/>
  <c r="I1264" i="7"/>
  <c r="I1265" i="7"/>
  <c r="I1266" i="7"/>
  <c r="I1267" i="7"/>
  <c r="I1268" i="7"/>
  <c r="I1269" i="7"/>
  <c r="I1270" i="7"/>
  <c r="I1271" i="7"/>
  <c r="I1272" i="7"/>
  <c r="I1273" i="7"/>
  <c r="I1274" i="7"/>
  <c r="I1275" i="7"/>
  <c r="I1276" i="7"/>
  <c r="I1277" i="7"/>
  <c r="I1278" i="7"/>
  <c r="I1279" i="7"/>
  <c r="I1280" i="7"/>
  <c r="I1281" i="7"/>
  <c r="I1282" i="7"/>
  <c r="I1283" i="7"/>
  <c r="I1284" i="7"/>
  <c r="I1285" i="7"/>
  <c r="I1286" i="7"/>
  <c r="I1287" i="7"/>
  <c r="I1288" i="7"/>
  <c r="I1289" i="7"/>
  <c r="I1290" i="7"/>
  <c r="I1291" i="7"/>
  <c r="I1292" i="7"/>
  <c r="I1293" i="7"/>
  <c r="I1294" i="7"/>
  <c r="I1295" i="7"/>
  <c r="I1296" i="7"/>
  <c r="I1297" i="7"/>
  <c r="I1298" i="7"/>
  <c r="I1299" i="7"/>
  <c r="I1300" i="7"/>
  <c r="I1301" i="7"/>
  <c r="I1302" i="7"/>
  <c r="I1303" i="7"/>
  <c r="I1304" i="7"/>
  <c r="I1305" i="7"/>
  <c r="I1306" i="7"/>
  <c r="I1307" i="7"/>
  <c r="I1308" i="7"/>
  <c r="I1309" i="7"/>
  <c r="I1310" i="7"/>
  <c r="I1311" i="7"/>
  <c r="I1312" i="7"/>
  <c r="I1313" i="7"/>
  <c r="I1314" i="7"/>
  <c r="I1315" i="7"/>
  <c r="I1316" i="7"/>
  <c r="I1317" i="7"/>
  <c r="I1318" i="7"/>
  <c r="I1319" i="7"/>
  <c r="I1320" i="7"/>
  <c r="I1321" i="7"/>
  <c r="I1322" i="7"/>
  <c r="I1323" i="7"/>
  <c r="I1324" i="7"/>
  <c r="I1325" i="7"/>
  <c r="I1326" i="7"/>
  <c r="I1327" i="7"/>
  <c r="I1328" i="7"/>
  <c r="I1329" i="7"/>
  <c r="I1330" i="7"/>
  <c r="I1331" i="7"/>
  <c r="I1332" i="7"/>
  <c r="I1333" i="7"/>
  <c r="I1334" i="7"/>
  <c r="I1335" i="7"/>
  <c r="I1336" i="7"/>
  <c r="I1337" i="7"/>
  <c r="I1338" i="7"/>
  <c r="I1339" i="7"/>
  <c r="I1340" i="7"/>
  <c r="I1341" i="7"/>
  <c r="I1342" i="7"/>
  <c r="I1343" i="7"/>
  <c r="I1344" i="7"/>
  <c r="I1345" i="7"/>
  <c r="I1346" i="7"/>
  <c r="I1347" i="7"/>
  <c r="I1348" i="7"/>
  <c r="I1349" i="7"/>
  <c r="I1350" i="7"/>
  <c r="I1351" i="7"/>
  <c r="I1352" i="7"/>
  <c r="I1353" i="7"/>
  <c r="I1354" i="7"/>
  <c r="I1355" i="7"/>
  <c r="I1356" i="7"/>
  <c r="I1357" i="7"/>
  <c r="I1358" i="7"/>
  <c r="I1359" i="7"/>
  <c r="I1360" i="7"/>
  <c r="I1361" i="7"/>
  <c r="I1362" i="7"/>
  <c r="I1363" i="7"/>
  <c r="I1364" i="7"/>
  <c r="I1365" i="7"/>
  <c r="I1366" i="7"/>
  <c r="I1367" i="7"/>
  <c r="I1368" i="7"/>
  <c r="I1369" i="7"/>
  <c r="I1370" i="7"/>
  <c r="I1371" i="7"/>
  <c r="I1372" i="7"/>
  <c r="I1373" i="7"/>
  <c r="I1374" i="7"/>
  <c r="I1375" i="7"/>
  <c r="I1376" i="7"/>
  <c r="I1377" i="7"/>
  <c r="I1378" i="7"/>
  <c r="I1379" i="7"/>
  <c r="I1380" i="7"/>
  <c r="I1381" i="7"/>
  <c r="I1382" i="7"/>
  <c r="I1383" i="7"/>
  <c r="I1384" i="7"/>
  <c r="I1385" i="7"/>
  <c r="I1386" i="7"/>
  <c r="I1387" i="7"/>
  <c r="I1388" i="7"/>
  <c r="I1389" i="7"/>
  <c r="I1390" i="7"/>
  <c r="I1391" i="7"/>
  <c r="I1392" i="7"/>
  <c r="I1393" i="7"/>
  <c r="I1394" i="7"/>
  <c r="I1395" i="7"/>
  <c r="I1396" i="7"/>
  <c r="I1397" i="7"/>
  <c r="I1398" i="7"/>
  <c r="I1399" i="7"/>
  <c r="I1400" i="7"/>
  <c r="I1401" i="7"/>
  <c r="I1402" i="7"/>
  <c r="I1403" i="7"/>
  <c r="I1404" i="7"/>
  <c r="I1405" i="7"/>
  <c r="I1406" i="7"/>
  <c r="I1407" i="7"/>
  <c r="I1408" i="7"/>
  <c r="I1409" i="7"/>
  <c r="I1410" i="7"/>
  <c r="I1411" i="7"/>
  <c r="I1412" i="7"/>
  <c r="I1413" i="7"/>
  <c r="I1414" i="7"/>
  <c r="I1415" i="7"/>
  <c r="I1416" i="7"/>
  <c r="I1417" i="7"/>
  <c r="I1418" i="7"/>
  <c r="I1419" i="7"/>
  <c r="I1420" i="7"/>
  <c r="I1421" i="7"/>
  <c r="I1422" i="7"/>
  <c r="I1423" i="7"/>
  <c r="I1424" i="7"/>
  <c r="I1425" i="7"/>
  <c r="I1426" i="7"/>
  <c r="I1427" i="7"/>
  <c r="I1428" i="7"/>
  <c r="I1429" i="7"/>
  <c r="I1430" i="7"/>
  <c r="I1431" i="7"/>
  <c r="I1432" i="7"/>
  <c r="I1433" i="7"/>
  <c r="I1434" i="7"/>
  <c r="I1435" i="7"/>
  <c r="I1436" i="7"/>
  <c r="I1437" i="7"/>
  <c r="I1438" i="7"/>
  <c r="I1439" i="7"/>
  <c r="I1440" i="7"/>
  <c r="I1441" i="7"/>
  <c r="I1442" i="7"/>
  <c r="I1443" i="7"/>
  <c r="I1444" i="7"/>
  <c r="I1445" i="7"/>
  <c r="I1446" i="7"/>
  <c r="I1447" i="7"/>
  <c r="I1448" i="7"/>
  <c r="I1449" i="7"/>
  <c r="I1450" i="7"/>
  <c r="I1451" i="7"/>
  <c r="I1452" i="7"/>
  <c r="I1453" i="7"/>
  <c r="I1454" i="7"/>
  <c r="I1455" i="7"/>
  <c r="I1456" i="7"/>
  <c r="I1457" i="7"/>
  <c r="I1458" i="7"/>
  <c r="I1459" i="7"/>
  <c r="I1460" i="7"/>
  <c r="I1461" i="7"/>
  <c r="I1462" i="7"/>
  <c r="I1463" i="7"/>
  <c r="I1464" i="7"/>
  <c r="I1465" i="7"/>
  <c r="I1466" i="7"/>
  <c r="I1467" i="7"/>
  <c r="I1468" i="7"/>
  <c r="I1469" i="7"/>
  <c r="I1470" i="7"/>
  <c r="I1471" i="7"/>
  <c r="I1472" i="7"/>
  <c r="I1473" i="7"/>
  <c r="I1474" i="7"/>
  <c r="I1475" i="7"/>
  <c r="I1476" i="7"/>
  <c r="I1477" i="7"/>
  <c r="I1478" i="7"/>
  <c r="I1479" i="7"/>
  <c r="I1480" i="7"/>
  <c r="I1481" i="7"/>
  <c r="I1482" i="7"/>
  <c r="I1483" i="7"/>
  <c r="I1484" i="7"/>
  <c r="I1485" i="7"/>
  <c r="I1486" i="7"/>
  <c r="I1487" i="7"/>
  <c r="I1488" i="7"/>
  <c r="I1489" i="7"/>
  <c r="I1490" i="7"/>
  <c r="I1491" i="7"/>
  <c r="I1492" i="7"/>
  <c r="I1493" i="7"/>
  <c r="I1494" i="7"/>
  <c r="I1495" i="7"/>
  <c r="I1496" i="7"/>
  <c r="I1497" i="7"/>
  <c r="I1498" i="7"/>
  <c r="I1499" i="7"/>
  <c r="I1500" i="7"/>
  <c r="I1501" i="7"/>
  <c r="I1502" i="7"/>
  <c r="I1503" i="7"/>
  <c r="I1504" i="7"/>
  <c r="I1505" i="7"/>
  <c r="I1506" i="7"/>
  <c r="I1507" i="7"/>
  <c r="I1508" i="7"/>
  <c r="I1509" i="7"/>
  <c r="I1510" i="7"/>
  <c r="I1511" i="7"/>
  <c r="I1512" i="7"/>
  <c r="I1513" i="7"/>
  <c r="I1514" i="7"/>
  <c r="I1515" i="7"/>
  <c r="I1516" i="7"/>
  <c r="I1517" i="7"/>
  <c r="I1518" i="7"/>
  <c r="I1519" i="7"/>
  <c r="I1520" i="7"/>
  <c r="I1521" i="7"/>
  <c r="I1522" i="7"/>
  <c r="I1523" i="7"/>
  <c r="I1524" i="7"/>
  <c r="I1525" i="7"/>
  <c r="I1526" i="7"/>
  <c r="I1527" i="7"/>
  <c r="I1528" i="7"/>
  <c r="I1529" i="7"/>
  <c r="I1530" i="7"/>
  <c r="I1531" i="7"/>
  <c r="I1532" i="7"/>
  <c r="I1533" i="7"/>
  <c r="I1534" i="7"/>
  <c r="I1535" i="7"/>
  <c r="I1536" i="7"/>
  <c r="I1537" i="7"/>
  <c r="I1538" i="7"/>
  <c r="I1539" i="7"/>
  <c r="I1540" i="7"/>
  <c r="I1541" i="7"/>
  <c r="I1542" i="7"/>
  <c r="I1543" i="7"/>
  <c r="I1544" i="7"/>
  <c r="I1545" i="7"/>
  <c r="I1546" i="7"/>
  <c r="I1547" i="7"/>
  <c r="I1548" i="7"/>
  <c r="I1549" i="7"/>
  <c r="I1550" i="7"/>
  <c r="I1551" i="7"/>
  <c r="I1552" i="7"/>
  <c r="I1553" i="7"/>
  <c r="I1554" i="7"/>
  <c r="I1555" i="7"/>
  <c r="I1556" i="7"/>
  <c r="I1557" i="7"/>
  <c r="I1558" i="7"/>
  <c r="I1559" i="7"/>
  <c r="I1560" i="7"/>
  <c r="I1561" i="7"/>
  <c r="I1562" i="7"/>
  <c r="I1563" i="7"/>
  <c r="I1564" i="7"/>
  <c r="I1565" i="7"/>
  <c r="I1566" i="7"/>
  <c r="I1567" i="7"/>
  <c r="I1568" i="7"/>
  <c r="I1569" i="7"/>
  <c r="I1570" i="7"/>
  <c r="I1571" i="7"/>
  <c r="I1572" i="7"/>
  <c r="I1573" i="7"/>
  <c r="I1574" i="7"/>
  <c r="I1575" i="7"/>
  <c r="I1576" i="7"/>
  <c r="I1577" i="7"/>
  <c r="I1578" i="7"/>
  <c r="I1579" i="7"/>
  <c r="I1580" i="7"/>
  <c r="I1581" i="7"/>
  <c r="I1582" i="7"/>
  <c r="I1583" i="7"/>
  <c r="I1584" i="7"/>
  <c r="I1585" i="7"/>
  <c r="I1586" i="7"/>
  <c r="I1587" i="7"/>
  <c r="I1588" i="7"/>
  <c r="I1589" i="7"/>
  <c r="I1590" i="7"/>
  <c r="I1591" i="7"/>
  <c r="I1592" i="7"/>
  <c r="I1593" i="7"/>
  <c r="I1594" i="7"/>
  <c r="I1595" i="7"/>
  <c r="I1596" i="7"/>
  <c r="I1597" i="7"/>
  <c r="I1598" i="7"/>
  <c r="I1599" i="7"/>
  <c r="I1600" i="7"/>
  <c r="I1601" i="7"/>
  <c r="I1602" i="7"/>
  <c r="I1603" i="7"/>
  <c r="I1604" i="7"/>
  <c r="I1605" i="7"/>
  <c r="I1606" i="7"/>
  <c r="I1607" i="7"/>
  <c r="I1608" i="7"/>
  <c r="I1609" i="7"/>
  <c r="I1610" i="7"/>
  <c r="I1611" i="7"/>
  <c r="I1612" i="7"/>
  <c r="I1613" i="7"/>
  <c r="I1614" i="7"/>
  <c r="I1615" i="7"/>
  <c r="I1616" i="7"/>
  <c r="I1617" i="7"/>
  <c r="I1618" i="7"/>
  <c r="I1619" i="7"/>
  <c r="I1620" i="7"/>
  <c r="I1621" i="7"/>
  <c r="I1622" i="7"/>
  <c r="I1623" i="7"/>
  <c r="I1624" i="7"/>
  <c r="I1625" i="7"/>
  <c r="I1626" i="7"/>
  <c r="I1627" i="7"/>
  <c r="I1628" i="7"/>
  <c r="I1629" i="7"/>
  <c r="I1630" i="7"/>
  <c r="I1631" i="7"/>
  <c r="I1632" i="7"/>
  <c r="I1633" i="7"/>
  <c r="I1634" i="7"/>
  <c r="I1635" i="7"/>
  <c r="I1636" i="7"/>
  <c r="I1637" i="7"/>
  <c r="I1638" i="7"/>
  <c r="I1639" i="7"/>
  <c r="I1640" i="7"/>
  <c r="I1641" i="7"/>
  <c r="I1642" i="7"/>
  <c r="I1643" i="7"/>
  <c r="I1644" i="7"/>
  <c r="I1645" i="7"/>
  <c r="I1646" i="7"/>
  <c r="I1647" i="7"/>
  <c r="I1648" i="7"/>
  <c r="I1649" i="7"/>
  <c r="I1650" i="7"/>
  <c r="I1651" i="7"/>
  <c r="I1652" i="7"/>
  <c r="I1653" i="7"/>
  <c r="I1654" i="7"/>
  <c r="I1655" i="7"/>
  <c r="I1656" i="7"/>
  <c r="I1657" i="7"/>
  <c r="I1658" i="7"/>
  <c r="I1659" i="7"/>
  <c r="I1660" i="7"/>
  <c r="I1661" i="7"/>
  <c r="I1662" i="7"/>
  <c r="I1663" i="7"/>
  <c r="I1664" i="7"/>
  <c r="I1665" i="7"/>
  <c r="I1666" i="7"/>
  <c r="I1667" i="7"/>
  <c r="I1668" i="7"/>
  <c r="I1669" i="7"/>
  <c r="I1670" i="7"/>
  <c r="I1671" i="7"/>
  <c r="I1672" i="7"/>
  <c r="I1673" i="7"/>
  <c r="I1674" i="7"/>
  <c r="I1675" i="7"/>
  <c r="I1676" i="7"/>
  <c r="I1677" i="7"/>
  <c r="I1678" i="7"/>
  <c r="I1679" i="7"/>
  <c r="I1680" i="7"/>
  <c r="I1681" i="7"/>
  <c r="I1682" i="7"/>
  <c r="I1683" i="7"/>
  <c r="I1684" i="7"/>
  <c r="I1685" i="7"/>
  <c r="I1686" i="7"/>
  <c r="I1687" i="7"/>
  <c r="I1688" i="7"/>
  <c r="I1689" i="7"/>
  <c r="I1690" i="7"/>
  <c r="I1691" i="7"/>
  <c r="I1692" i="7"/>
  <c r="I1693" i="7"/>
  <c r="I1694" i="7"/>
  <c r="I1695" i="7"/>
  <c r="I1696" i="7"/>
  <c r="I1697" i="7"/>
  <c r="I1698" i="7"/>
  <c r="I1699" i="7"/>
  <c r="I1700" i="7"/>
  <c r="I1701" i="7"/>
  <c r="I1702" i="7"/>
  <c r="I1703" i="7"/>
  <c r="I1704" i="7"/>
  <c r="I1705" i="7"/>
  <c r="I1706" i="7"/>
  <c r="I1707" i="7"/>
  <c r="I1708" i="7"/>
  <c r="I1709" i="7"/>
  <c r="I1710" i="7"/>
  <c r="I1711" i="7"/>
  <c r="I1712" i="7"/>
  <c r="I1713" i="7"/>
  <c r="I1714" i="7"/>
  <c r="I1715" i="7"/>
  <c r="I1716" i="7"/>
  <c r="I1717" i="7"/>
  <c r="I1718" i="7"/>
  <c r="I1719" i="7"/>
  <c r="I1720" i="7"/>
  <c r="I1721" i="7"/>
  <c r="I1722" i="7"/>
  <c r="I1723" i="7"/>
  <c r="I1724" i="7"/>
  <c r="I1725" i="7"/>
  <c r="I1726" i="7"/>
  <c r="I1727" i="7"/>
  <c r="I1728" i="7"/>
  <c r="I1729" i="7"/>
  <c r="I1730" i="7"/>
  <c r="I1731" i="7"/>
  <c r="I1732" i="7"/>
  <c r="I1733" i="7"/>
  <c r="I1734" i="7"/>
  <c r="I1735" i="7"/>
  <c r="I1736" i="7"/>
  <c r="I1737" i="7"/>
  <c r="I1738" i="7"/>
  <c r="I1739" i="7"/>
  <c r="I1740" i="7"/>
  <c r="I1741" i="7"/>
  <c r="I1742" i="7"/>
  <c r="I1743" i="7"/>
  <c r="I1744" i="7"/>
  <c r="I1745" i="7"/>
  <c r="I1746" i="7"/>
  <c r="I1747" i="7"/>
  <c r="I1748" i="7"/>
  <c r="I1749" i="7"/>
  <c r="I1750" i="7"/>
  <c r="I1751" i="7"/>
  <c r="I1752" i="7"/>
  <c r="I1753" i="7"/>
  <c r="I1754" i="7"/>
  <c r="I1755" i="7"/>
  <c r="I1756" i="7"/>
  <c r="I1757" i="7"/>
  <c r="I1758" i="7"/>
  <c r="I1759" i="7"/>
  <c r="I1760" i="7"/>
  <c r="I1761" i="7"/>
  <c r="I1762" i="7"/>
  <c r="I1763" i="7"/>
  <c r="I1764" i="7"/>
  <c r="I1765" i="7"/>
  <c r="I1766" i="7"/>
  <c r="I1767" i="7"/>
  <c r="I1768" i="7"/>
  <c r="I1769" i="7"/>
  <c r="I1770" i="7"/>
  <c r="I1771" i="7"/>
  <c r="I1772" i="7"/>
  <c r="I1773" i="7"/>
  <c r="I1774" i="7"/>
  <c r="I1775" i="7"/>
  <c r="I1776" i="7"/>
  <c r="I1777" i="7"/>
  <c r="I1778" i="7"/>
  <c r="I1779" i="7"/>
  <c r="I1780" i="7"/>
  <c r="I1781" i="7"/>
  <c r="I1782" i="7"/>
  <c r="I1783" i="7"/>
  <c r="I1784" i="7"/>
  <c r="I1785" i="7"/>
  <c r="I1786" i="7"/>
  <c r="I1787" i="7"/>
  <c r="I1788" i="7"/>
  <c r="I1789" i="7"/>
  <c r="I1790" i="7"/>
  <c r="I1791" i="7"/>
  <c r="I1792" i="7"/>
  <c r="I1793" i="7"/>
  <c r="I1794" i="7"/>
  <c r="I1795" i="7"/>
  <c r="I1796" i="7"/>
  <c r="I1797" i="7"/>
  <c r="I1798" i="7"/>
  <c r="I1799" i="7"/>
  <c r="I1800" i="7"/>
  <c r="I1801" i="7"/>
  <c r="I1802" i="7"/>
  <c r="I1803" i="7"/>
  <c r="I1804" i="7"/>
  <c r="I1805" i="7"/>
  <c r="I1806" i="7"/>
  <c r="I1807" i="7"/>
  <c r="I1808" i="7"/>
  <c r="I1809" i="7"/>
  <c r="I1810" i="7"/>
  <c r="I1811" i="7"/>
  <c r="I1812" i="7"/>
  <c r="I1813" i="7"/>
  <c r="I1814" i="7"/>
  <c r="I1815" i="7"/>
  <c r="I1816" i="7"/>
  <c r="I1817" i="7"/>
  <c r="I1818" i="7"/>
  <c r="I1819" i="7"/>
  <c r="I1820" i="7"/>
  <c r="I1821" i="7"/>
  <c r="I1822" i="7"/>
  <c r="I1823" i="7"/>
  <c r="I1824" i="7"/>
  <c r="I1825" i="7"/>
  <c r="I1826" i="7"/>
  <c r="I1827" i="7"/>
  <c r="I1828" i="7"/>
  <c r="I1829" i="7"/>
  <c r="I1830" i="7"/>
  <c r="I1831" i="7"/>
  <c r="I1832" i="7"/>
  <c r="I1833" i="7"/>
  <c r="I1834" i="7"/>
  <c r="I1835" i="7"/>
  <c r="I1836" i="7"/>
  <c r="I1837" i="7"/>
  <c r="I1838" i="7"/>
  <c r="I1839" i="7"/>
  <c r="I1840" i="7"/>
  <c r="I1841" i="7"/>
  <c r="I1842" i="7"/>
  <c r="I1843" i="7"/>
  <c r="I1844" i="7"/>
  <c r="I1845" i="7"/>
  <c r="I1846" i="7"/>
  <c r="I1847" i="7"/>
  <c r="I1848" i="7"/>
  <c r="I1849" i="7"/>
  <c r="I1850" i="7"/>
  <c r="I1851" i="7"/>
  <c r="I1852" i="7"/>
  <c r="I1853" i="7"/>
  <c r="I1854" i="7"/>
  <c r="I1855" i="7"/>
  <c r="I1856" i="7"/>
  <c r="I1857" i="7"/>
  <c r="I1858" i="7"/>
  <c r="I1859" i="7"/>
  <c r="I1860" i="7"/>
  <c r="I1861" i="7"/>
  <c r="I1862" i="7"/>
  <c r="I1863" i="7"/>
  <c r="I1864" i="7"/>
  <c r="I1865" i="7"/>
  <c r="I1866" i="7"/>
  <c r="I1867" i="7"/>
  <c r="I1868" i="7"/>
  <c r="I1869" i="7"/>
  <c r="I1870" i="7"/>
  <c r="I1871" i="7"/>
  <c r="I1872" i="7"/>
  <c r="I1873" i="7"/>
  <c r="I1874" i="7"/>
  <c r="I1875" i="7"/>
  <c r="I1876" i="7"/>
  <c r="I1877" i="7"/>
  <c r="I1878" i="7"/>
  <c r="I1879" i="7"/>
  <c r="I1880" i="7"/>
  <c r="I1881" i="7"/>
  <c r="I1882" i="7"/>
  <c r="I1883" i="7"/>
  <c r="I1884" i="7"/>
  <c r="I1885" i="7"/>
  <c r="I1886" i="7"/>
  <c r="I1887" i="7"/>
  <c r="I1888" i="7"/>
  <c r="I1889" i="7"/>
  <c r="I1890" i="7"/>
  <c r="I1891" i="7"/>
  <c r="I1892" i="7"/>
  <c r="I1893" i="7"/>
  <c r="I1894" i="7"/>
  <c r="I1895" i="7"/>
  <c r="I1896" i="7"/>
  <c r="I1897" i="7"/>
  <c r="I1898" i="7"/>
  <c r="I1899" i="7"/>
  <c r="I1900" i="7"/>
  <c r="I1901" i="7"/>
  <c r="I1902" i="7"/>
  <c r="I1903" i="7"/>
  <c r="I1904" i="7"/>
  <c r="I1905" i="7"/>
  <c r="I1906" i="7"/>
  <c r="I1907" i="7"/>
  <c r="I1908" i="7"/>
  <c r="I1909" i="7"/>
  <c r="I1910" i="7"/>
  <c r="I1911" i="7"/>
  <c r="I1912" i="7"/>
  <c r="I1913" i="7"/>
  <c r="I1914" i="7"/>
  <c r="I1915" i="7"/>
  <c r="I1916" i="7"/>
  <c r="I1917" i="7"/>
  <c r="I1918" i="7"/>
  <c r="I1919" i="7"/>
  <c r="I1920" i="7"/>
  <c r="I1921" i="7"/>
  <c r="I1922" i="7"/>
  <c r="I1923" i="7"/>
  <c r="I1924" i="7"/>
  <c r="I1925" i="7"/>
  <c r="I1926" i="7"/>
  <c r="I1927" i="7"/>
  <c r="I1928" i="7"/>
  <c r="I1929" i="7"/>
  <c r="I1930" i="7"/>
  <c r="I1931" i="7"/>
  <c r="I1932" i="7"/>
  <c r="I1933" i="7"/>
  <c r="I1934" i="7"/>
  <c r="I1935" i="7"/>
  <c r="I1936" i="7"/>
  <c r="I1937" i="7"/>
  <c r="I1938" i="7"/>
  <c r="I1939" i="7"/>
  <c r="I1940" i="7"/>
  <c r="I1941" i="7"/>
  <c r="I1942" i="7"/>
  <c r="I1943" i="7"/>
  <c r="I1944" i="7"/>
  <c r="I1945" i="7"/>
  <c r="I1946" i="7"/>
  <c r="I1947" i="7"/>
  <c r="I1948" i="7"/>
  <c r="I1949" i="7"/>
  <c r="I1950" i="7"/>
  <c r="I1951" i="7"/>
  <c r="I1952" i="7"/>
  <c r="I1953" i="7"/>
  <c r="I1954" i="7"/>
  <c r="I1955" i="7"/>
  <c r="I1956" i="7"/>
  <c r="I1957" i="7"/>
  <c r="I1958" i="7"/>
  <c r="I1959" i="7"/>
  <c r="I1960" i="7"/>
  <c r="I1961" i="7"/>
  <c r="I1962" i="7"/>
  <c r="I1963" i="7"/>
  <c r="I1964" i="7"/>
  <c r="I1965" i="7"/>
  <c r="I1966" i="7"/>
  <c r="I1967" i="7"/>
  <c r="I1968" i="7"/>
  <c r="I1969" i="7"/>
  <c r="I1970" i="7"/>
  <c r="I1971" i="7"/>
  <c r="I1972" i="7"/>
  <c r="I1973" i="7"/>
  <c r="I1974" i="7"/>
  <c r="I1975" i="7"/>
  <c r="I1976" i="7"/>
  <c r="I1977" i="7"/>
  <c r="I1978" i="7"/>
  <c r="I1979" i="7"/>
  <c r="I1980" i="7"/>
  <c r="I1981" i="7"/>
  <c r="I1982" i="7"/>
  <c r="I1983" i="7"/>
  <c r="I1984" i="7"/>
  <c r="I1985" i="7"/>
  <c r="I1986" i="7"/>
  <c r="I1987" i="7"/>
  <c r="I1988" i="7"/>
  <c r="I1989" i="7"/>
  <c r="I1990" i="7"/>
  <c r="I1991" i="7"/>
  <c r="I1992" i="7"/>
  <c r="I1993" i="7"/>
  <c r="I1994" i="7"/>
  <c r="I1995" i="7"/>
  <c r="I1996" i="7"/>
  <c r="I1997" i="7"/>
  <c r="I1998" i="7"/>
  <c r="I1999" i="7"/>
  <c r="I2000" i="7"/>
  <c r="I2001" i="7"/>
  <c r="I2002" i="7"/>
  <c r="I2003" i="7"/>
  <c r="I2004" i="7"/>
  <c r="I2005" i="7"/>
  <c r="I2006" i="7"/>
  <c r="I2007" i="7"/>
  <c r="I2008" i="7"/>
  <c r="I2009" i="7"/>
  <c r="I2010" i="7"/>
  <c r="I2011" i="7"/>
  <c r="I2012" i="7"/>
  <c r="I2013" i="7"/>
  <c r="I2014" i="7"/>
  <c r="I2015" i="7"/>
  <c r="I2016" i="7"/>
  <c r="I2017" i="7"/>
  <c r="I2018" i="7"/>
  <c r="I2019" i="7"/>
  <c r="I2020" i="7"/>
  <c r="I2021" i="7"/>
  <c r="I2022" i="7"/>
  <c r="I2023" i="7"/>
  <c r="I2024" i="7"/>
  <c r="I2025" i="7"/>
  <c r="I2026" i="7"/>
  <c r="I2027" i="7"/>
  <c r="I2028" i="7"/>
  <c r="I2029" i="7"/>
  <c r="I2030" i="7"/>
  <c r="I2031" i="7"/>
  <c r="I2032" i="7"/>
  <c r="I2033" i="7"/>
  <c r="I2034" i="7"/>
  <c r="I2035" i="7"/>
  <c r="I2036" i="7"/>
  <c r="I2037" i="7"/>
  <c r="I2038" i="7"/>
  <c r="I2039" i="7"/>
  <c r="I2040" i="7"/>
  <c r="I2041" i="7"/>
  <c r="I2042" i="7"/>
  <c r="I2043" i="7"/>
  <c r="I2044" i="7"/>
  <c r="I2045" i="7"/>
  <c r="I2046" i="7"/>
  <c r="I2047" i="7"/>
  <c r="I2048" i="7"/>
  <c r="I2049" i="7"/>
  <c r="I2050" i="7"/>
  <c r="I2051" i="7"/>
  <c r="I2052" i="7"/>
  <c r="I2053" i="7"/>
  <c r="I2054" i="7"/>
  <c r="I2055" i="7"/>
  <c r="I2056" i="7"/>
  <c r="I2057" i="7"/>
  <c r="I2058" i="7"/>
  <c r="I2059" i="7"/>
  <c r="I2060" i="7"/>
  <c r="I2061" i="7"/>
  <c r="I2062" i="7"/>
  <c r="I2063" i="7"/>
  <c r="I2064" i="7"/>
  <c r="I2065" i="7"/>
  <c r="I2066" i="7"/>
  <c r="I2067" i="7"/>
  <c r="I2068" i="7"/>
  <c r="I2069" i="7"/>
  <c r="I2070" i="7"/>
  <c r="I2071" i="7"/>
  <c r="I2072" i="7"/>
  <c r="I2073" i="7"/>
  <c r="I2074" i="7"/>
  <c r="I2075" i="7"/>
  <c r="I2076" i="7"/>
  <c r="I2077" i="7"/>
  <c r="I2078" i="7"/>
  <c r="I2079" i="7"/>
  <c r="I2080" i="7"/>
  <c r="I2081" i="7"/>
  <c r="I2082" i="7"/>
  <c r="I2083" i="7"/>
  <c r="I2084" i="7"/>
  <c r="I2085" i="7"/>
  <c r="I2086" i="7"/>
  <c r="I2087" i="7"/>
  <c r="I2088" i="7"/>
  <c r="I2089" i="7"/>
  <c r="I2090" i="7"/>
  <c r="I2091" i="7"/>
  <c r="I2092" i="7"/>
  <c r="I2093" i="7"/>
  <c r="I2094" i="7"/>
  <c r="I2095" i="7"/>
  <c r="I2096" i="7"/>
  <c r="I2097" i="7"/>
  <c r="I2098" i="7"/>
  <c r="I2099" i="7"/>
  <c r="I2100" i="7"/>
  <c r="I2101" i="7"/>
  <c r="I2102" i="7"/>
  <c r="I2103" i="7"/>
  <c r="I2104" i="7"/>
  <c r="I2105" i="7"/>
  <c r="I2106" i="7"/>
  <c r="I2107" i="7"/>
  <c r="I2108" i="7"/>
  <c r="I2109" i="7"/>
  <c r="I2110" i="7"/>
  <c r="I2111" i="7"/>
  <c r="I2112" i="7"/>
  <c r="I2113" i="7"/>
  <c r="I2114" i="7"/>
  <c r="I2115" i="7"/>
  <c r="I2116" i="7"/>
  <c r="I2117" i="7"/>
  <c r="I2118" i="7"/>
  <c r="I2119" i="7"/>
  <c r="I2120" i="7"/>
  <c r="I2121" i="7"/>
  <c r="I2122" i="7"/>
  <c r="I2123" i="7"/>
  <c r="I2124" i="7"/>
  <c r="I2125" i="7"/>
  <c r="I2126" i="7"/>
  <c r="I2127" i="7"/>
  <c r="I2128" i="7"/>
  <c r="I2129" i="7"/>
  <c r="I2130" i="7"/>
  <c r="I2131" i="7"/>
  <c r="I2132" i="7"/>
  <c r="I2133" i="7"/>
  <c r="I2134" i="7"/>
  <c r="I2135" i="7"/>
  <c r="I2136" i="7"/>
  <c r="I2137" i="7"/>
  <c r="I2138" i="7"/>
  <c r="I2139" i="7"/>
  <c r="I2140" i="7"/>
  <c r="I2141" i="7"/>
  <c r="I2142" i="7"/>
  <c r="I2143" i="7"/>
  <c r="I2144" i="7"/>
  <c r="I2145" i="7"/>
  <c r="I2146" i="7"/>
  <c r="I2147" i="7"/>
  <c r="I2148" i="7"/>
  <c r="I2149" i="7"/>
  <c r="I2150" i="7"/>
  <c r="I2151" i="7"/>
  <c r="I2152" i="7"/>
  <c r="I2153" i="7"/>
  <c r="I2154" i="7"/>
  <c r="I2155" i="7"/>
  <c r="I2156" i="7"/>
  <c r="I2157" i="7"/>
  <c r="I2158" i="7"/>
  <c r="I2159" i="7"/>
  <c r="I2160" i="7"/>
  <c r="I2161" i="7"/>
  <c r="I2162" i="7"/>
  <c r="I2163" i="7"/>
  <c r="I2164" i="7"/>
  <c r="I2165" i="7"/>
  <c r="I2166" i="7"/>
  <c r="I2167" i="7"/>
  <c r="I2168" i="7"/>
  <c r="I2169" i="7"/>
  <c r="I2170" i="7"/>
  <c r="I2171" i="7"/>
  <c r="I2172" i="7"/>
  <c r="I2173" i="7"/>
  <c r="I2174" i="7"/>
  <c r="I2175" i="7"/>
  <c r="I2176" i="7"/>
  <c r="I2177" i="7"/>
  <c r="I2178" i="7"/>
  <c r="I2179" i="7"/>
  <c r="I2180" i="7"/>
  <c r="I2181" i="7"/>
  <c r="I2182" i="7"/>
  <c r="I2183" i="7"/>
  <c r="I2184" i="7"/>
  <c r="I2185" i="7"/>
  <c r="I2186" i="7"/>
  <c r="I2187" i="7"/>
  <c r="I2188" i="7"/>
  <c r="I2189" i="7"/>
  <c r="I2190" i="7"/>
  <c r="I2191" i="7"/>
  <c r="I2192" i="7"/>
  <c r="I2193" i="7"/>
  <c r="I2194" i="7"/>
  <c r="I2195" i="7"/>
  <c r="I2196" i="7"/>
  <c r="I2197" i="7"/>
  <c r="I2198" i="7"/>
  <c r="I2199" i="7"/>
  <c r="I2200" i="7"/>
  <c r="I2201" i="7"/>
  <c r="I2202" i="7"/>
  <c r="I2203" i="7"/>
  <c r="I2204" i="7"/>
  <c r="I2205" i="7"/>
  <c r="I2206" i="7"/>
  <c r="I2207" i="7"/>
  <c r="I2208" i="7"/>
  <c r="I2209" i="7"/>
  <c r="I2210" i="7"/>
  <c r="I2211" i="7"/>
  <c r="I2212" i="7"/>
  <c r="I2213" i="7"/>
  <c r="I2214" i="7"/>
  <c r="I2215" i="7"/>
  <c r="I2216" i="7"/>
  <c r="I2217" i="7"/>
  <c r="I2218" i="7"/>
  <c r="I2219" i="7"/>
  <c r="I2220" i="7"/>
  <c r="I2221" i="7"/>
  <c r="I2222" i="7"/>
  <c r="I2223" i="7"/>
  <c r="I2224" i="7"/>
  <c r="I2225" i="7"/>
  <c r="I2226" i="7"/>
  <c r="I2227" i="7"/>
  <c r="I2228" i="7"/>
  <c r="I2229" i="7"/>
  <c r="I2230" i="7"/>
  <c r="I2231" i="7"/>
  <c r="I2232" i="7"/>
  <c r="I2233" i="7"/>
  <c r="I2234" i="7"/>
  <c r="I2235" i="7"/>
  <c r="I2236" i="7"/>
  <c r="I2237" i="7"/>
  <c r="I2238" i="7"/>
  <c r="I2239" i="7"/>
  <c r="I2240" i="7"/>
  <c r="I2241" i="7"/>
  <c r="I2242" i="7"/>
  <c r="I2243" i="7"/>
  <c r="I2244" i="7"/>
  <c r="I2245" i="7"/>
  <c r="I2246" i="7"/>
  <c r="I2247" i="7"/>
  <c r="I2248" i="7"/>
  <c r="I2249" i="7"/>
  <c r="I2250" i="7"/>
  <c r="I2251" i="7"/>
  <c r="I2252" i="7"/>
  <c r="I2253" i="7"/>
  <c r="I2254" i="7"/>
  <c r="I2255" i="7"/>
  <c r="I2256" i="7"/>
  <c r="I2257" i="7"/>
  <c r="I2258" i="7"/>
  <c r="I2259" i="7"/>
  <c r="I2260" i="7"/>
  <c r="I2261" i="7"/>
  <c r="I2262" i="7"/>
  <c r="I2263" i="7"/>
  <c r="I2264" i="7"/>
  <c r="I2265" i="7"/>
  <c r="I2266" i="7"/>
  <c r="I2267" i="7"/>
  <c r="I2268" i="7"/>
  <c r="I2269" i="7"/>
  <c r="I2270" i="7"/>
  <c r="I2271" i="7"/>
  <c r="I2272" i="7"/>
  <c r="I2273" i="7"/>
  <c r="I2274" i="7"/>
  <c r="I2275" i="7"/>
  <c r="I2276" i="7"/>
  <c r="I2277" i="7"/>
  <c r="I2278" i="7"/>
  <c r="I2279" i="7"/>
  <c r="I2280" i="7"/>
  <c r="I2281" i="7"/>
  <c r="I2282" i="7"/>
  <c r="I2283" i="7"/>
  <c r="I2284" i="7"/>
  <c r="I2285" i="7"/>
  <c r="I2286" i="7"/>
  <c r="I2287" i="7"/>
  <c r="I2288" i="7"/>
  <c r="I2289" i="7"/>
  <c r="I2290" i="7"/>
  <c r="I2291" i="7"/>
  <c r="I2292" i="7"/>
  <c r="I2293" i="7"/>
  <c r="I2294" i="7"/>
  <c r="I2295" i="7"/>
  <c r="I2296" i="7"/>
  <c r="I2297" i="7"/>
  <c r="I2298" i="7"/>
  <c r="I2299" i="7"/>
  <c r="I2300" i="7"/>
  <c r="I2301" i="7"/>
  <c r="I2302" i="7"/>
  <c r="I2303" i="7"/>
  <c r="I2304" i="7"/>
  <c r="I2305" i="7"/>
  <c r="I2306" i="7"/>
  <c r="I2307" i="7"/>
  <c r="I2308" i="7"/>
  <c r="I2309" i="7"/>
  <c r="I2310" i="7"/>
  <c r="I2311" i="7"/>
  <c r="I2312" i="7"/>
  <c r="I2313" i="7"/>
  <c r="I2314" i="7"/>
  <c r="I2315" i="7"/>
  <c r="I2316" i="7"/>
  <c r="I2317" i="7"/>
  <c r="I2318" i="7"/>
  <c r="I2319" i="7"/>
  <c r="I2320" i="7"/>
  <c r="I2321" i="7"/>
  <c r="I2322" i="7"/>
  <c r="I2323" i="7"/>
  <c r="I2324" i="7"/>
  <c r="I2325" i="7"/>
  <c r="I2326" i="7"/>
  <c r="I2327" i="7"/>
  <c r="I2328" i="7"/>
  <c r="I2329" i="7"/>
  <c r="I2330" i="7"/>
  <c r="I2331" i="7"/>
  <c r="I2332" i="7"/>
  <c r="I2333" i="7"/>
  <c r="I2334" i="7"/>
  <c r="I2335" i="7"/>
  <c r="I2336" i="7"/>
  <c r="I2337" i="7"/>
  <c r="I2338" i="7"/>
  <c r="I2339" i="7"/>
  <c r="I2340" i="7"/>
  <c r="I2341" i="7"/>
  <c r="I2342" i="7"/>
  <c r="I2343" i="7"/>
  <c r="I2344" i="7"/>
  <c r="I2345" i="7"/>
  <c r="I2346" i="7"/>
  <c r="I2347" i="7"/>
  <c r="I2348" i="7"/>
  <c r="I2349" i="7"/>
  <c r="I2350" i="7"/>
  <c r="I2351" i="7"/>
  <c r="I2352" i="7"/>
  <c r="I2353" i="7"/>
  <c r="I2354" i="7"/>
  <c r="I2355" i="7"/>
  <c r="I2356" i="7"/>
  <c r="I2357" i="7"/>
  <c r="I2358" i="7"/>
  <c r="I2359" i="7"/>
  <c r="I2360" i="7"/>
  <c r="I2361" i="7"/>
  <c r="I2362" i="7"/>
  <c r="I2363" i="7"/>
  <c r="I2364" i="7"/>
  <c r="I2365" i="7"/>
  <c r="I2366" i="7"/>
  <c r="I2367" i="7"/>
  <c r="I2368" i="7"/>
  <c r="I2369" i="7"/>
  <c r="I2370" i="7"/>
  <c r="I2371" i="7"/>
  <c r="I2372" i="7"/>
  <c r="I2373" i="7"/>
  <c r="I2374" i="7"/>
  <c r="I2375" i="7"/>
  <c r="I2376" i="7"/>
  <c r="I2377" i="7"/>
  <c r="I2378" i="7"/>
  <c r="I2379" i="7"/>
  <c r="I2380" i="7"/>
  <c r="I2381" i="7"/>
  <c r="I2382" i="7"/>
  <c r="I2383" i="7"/>
  <c r="I2384" i="7"/>
  <c r="I2385" i="7"/>
  <c r="I2386" i="7"/>
  <c r="I2387" i="7"/>
  <c r="I2388" i="7"/>
  <c r="I2389" i="7"/>
  <c r="I2390" i="7"/>
  <c r="I2391" i="7"/>
  <c r="I2392" i="7"/>
  <c r="I2393" i="7"/>
  <c r="I2394" i="7"/>
  <c r="I2395" i="7"/>
  <c r="I2396" i="7"/>
  <c r="I2397" i="7"/>
  <c r="I2398" i="7"/>
  <c r="I2399" i="7"/>
  <c r="I2400" i="7"/>
  <c r="I2401" i="7"/>
  <c r="I2402" i="7"/>
  <c r="I2403" i="7"/>
  <c r="I2404" i="7"/>
  <c r="I2405" i="7"/>
  <c r="I2406" i="7"/>
  <c r="I2407" i="7"/>
  <c r="I2408" i="7"/>
  <c r="I2409" i="7"/>
  <c r="I2410" i="7"/>
  <c r="I2411" i="7"/>
  <c r="I2412" i="7"/>
  <c r="I2413" i="7"/>
  <c r="I2414" i="7"/>
  <c r="I2415" i="7"/>
  <c r="I2416" i="7"/>
  <c r="I2417" i="7"/>
  <c r="I2418" i="7"/>
  <c r="I2419" i="7"/>
  <c r="I2420" i="7"/>
  <c r="I2421" i="7"/>
  <c r="I2422" i="7"/>
  <c r="I2423" i="7"/>
  <c r="I2424" i="7"/>
  <c r="I2425" i="7"/>
  <c r="I2426" i="7"/>
  <c r="I2427" i="7"/>
  <c r="I2428" i="7"/>
  <c r="I2429" i="7"/>
  <c r="I2430" i="7"/>
  <c r="I2431" i="7"/>
  <c r="I2432" i="7"/>
  <c r="I2433" i="7"/>
  <c r="I2434" i="7"/>
  <c r="I2435" i="7"/>
  <c r="I2436" i="7"/>
  <c r="I2437" i="7"/>
  <c r="I2438" i="7"/>
  <c r="I2439" i="7"/>
  <c r="I2440" i="7"/>
  <c r="I2441" i="7"/>
  <c r="I2442" i="7"/>
  <c r="I2443" i="7"/>
  <c r="I2444" i="7"/>
  <c r="I2445" i="7"/>
  <c r="I2446" i="7"/>
  <c r="I2447" i="7"/>
  <c r="I2448" i="7"/>
  <c r="I2449" i="7"/>
  <c r="I2450" i="7"/>
  <c r="I2451" i="7"/>
  <c r="I2452" i="7"/>
  <c r="I2453" i="7"/>
  <c r="I2454" i="7"/>
  <c r="I2455" i="7"/>
  <c r="I2456" i="7"/>
  <c r="I2457" i="7"/>
  <c r="I2458" i="7"/>
  <c r="I2459" i="7"/>
  <c r="I2460" i="7"/>
  <c r="I2461" i="7"/>
  <c r="I2462" i="7"/>
  <c r="I2463" i="7"/>
  <c r="I2464" i="7"/>
  <c r="I2465" i="7"/>
  <c r="I2466" i="7"/>
  <c r="I2467" i="7"/>
  <c r="I2468" i="7"/>
  <c r="I2469" i="7"/>
  <c r="I2470" i="7"/>
  <c r="I2471" i="7"/>
  <c r="I2472" i="7"/>
  <c r="I2473" i="7"/>
  <c r="I2474" i="7"/>
  <c r="I2475" i="7"/>
  <c r="I2476" i="7"/>
  <c r="I2477" i="7"/>
  <c r="I2478" i="7"/>
  <c r="I2479" i="7"/>
  <c r="I2480" i="7"/>
  <c r="I2481" i="7"/>
  <c r="I2482" i="7"/>
  <c r="I2483" i="7"/>
  <c r="I2484" i="7"/>
  <c r="I2485" i="7"/>
  <c r="I2486" i="7"/>
  <c r="I2487" i="7"/>
  <c r="I2488" i="7"/>
  <c r="I2489" i="7"/>
  <c r="I2490" i="7"/>
  <c r="I2491" i="7"/>
  <c r="I2492" i="7"/>
  <c r="I2493" i="7"/>
  <c r="I2494" i="7"/>
  <c r="I2495" i="7"/>
  <c r="I2496" i="7"/>
  <c r="I2497" i="7"/>
  <c r="I2498" i="7"/>
  <c r="I2499" i="7"/>
  <c r="I2500" i="7"/>
  <c r="I2501" i="7"/>
  <c r="I2502" i="7"/>
  <c r="I2503" i="7"/>
  <c r="I2504" i="7"/>
  <c r="I2505" i="7"/>
  <c r="I2506" i="7"/>
  <c r="I2507" i="7"/>
  <c r="I2508" i="7"/>
  <c r="I2509" i="7"/>
  <c r="I2510" i="7"/>
  <c r="I2511" i="7"/>
  <c r="I2512" i="7"/>
  <c r="I2513" i="7"/>
  <c r="I2514" i="7"/>
  <c r="I2515" i="7"/>
  <c r="I2516" i="7"/>
  <c r="I2517" i="7"/>
  <c r="I2518" i="7"/>
  <c r="I2519" i="7"/>
  <c r="I2520" i="7"/>
  <c r="I2521" i="7"/>
  <c r="I2522" i="7"/>
  <c r="I2523" i="7"/>
  <c r="I2524" i="7"/>
  <c r="I2525" i="7"/>
  <c r="I2526" i="7"/>
  <c r="I2527" i="7"/>
  <c r="I2528" i="7"/>
  <c r="I2529" i="7"/>
  <c r="I2530" i="7"/>
  <c r="I2531" i="7"/>
  <c r="I2532" i="7"/>
  <c r="I2533" i="7"/>
  <c r="I2534" i="7"/>
  <c r="I2535" i="7"/>
  <c r="I2536" i="7"/>
  <c r="I2537" i="7"/>
  <c r="I2538" i="7"/>
  <c r="I2539" i="7"/>
  <c r="I2540" i="7"/>
  <c r="I2541" i="7"/>
  <c r="I2542" i="7"/>
  <c r="I2543" i="7"/>
  <c r="I2544" i="7"/>
  <c r="I2545" i="7"/>
  <c r="I2546" i="7"/>
  <c r="I2547" i="7"/>
  <c r="I2548" i="7"/>
  <c r="I2549" i="7"/>
  <c r="I2550" i="7"/>
  <c r="I2551" i="7"/>
  <c r="I2552" i="7"/>
  <c r="I2553" i="7"/>
  <c r="I2554" i="7"/>
  <c r="I2555" i="7"/>
  <c r="I2556" i="7"/>
  <c r="I2557" i="7"/>
  <c r="I2558" i="7"/>
  <c r="I2559" i="7"/>
  <c r="I2560" i="7"/>
  <c r="I2561" i="7"/>
  <c r="I2562" i="7"/>
  <c r="I2563" i="7"/>
  <c r="I2564" i="7"/>
  <c r="I2565" i="7"/>
  <c r="I2566" i="7"/>
  <c r="I2567" i="7"/>
  <c r="I2568" i="7"/>
  <c r="I2569" i="7"/>
  <c r="I2570" i="7"/>
  <c r="I2571" i="7"/>
  <c r="I2572" i="7"/>
  <c r="I2573" i="7"/>
  <c r="I2574" i="7"/>
  <c r="I2575" i="7"/>
  <c r="I2576" i="7"/>
  <c r="I2577" i="7"/>
  <c r="I2578" i="7"/>
  <c r="I2579" i="7"/>
  <c r="I2580" i="7"/>
  <c r="I2581" i="7"/>
  <c r="I2582" i="7"/>
  <c r="I2583" i="7"/>
  <c r="I2584" i="7"/>
  <c r="I2585" i="7"/>
  <c r="I2586" i="7"/>
  <c r="I2587" i="7"/>
  <c r="I2588" i="7"/>
  <c r="I2589" i="7"/>
  <c r="I2590" i="7"/>
  <c r="I2591" i="7"/>
  <c r="I2592" i="7"/>
  <c r="I2593" i="7"/>
  <c r="I2594" i="7"/>
  <c r="I2595" i="7"/>
  <c r="I2596" i="7"/>
  <c r="I2597" i="7"/>
  <c r="I2598" i="7"/>
  <c r="I2599" i="7"/>
  <c r="I2600" i="7"/>
  <c r="I2601" i="7"/>
  <c r="I2602" i="7"/>
  <c r="I2603" i="7"/>
  <c r="I2604" i="7"/>
  <c r="I2605" i="7"/>
  <c r="I2606" i="7"/>
  <c r="I2607" i="7"/>
  <c r="I2608" i="7"/>
  <c r="I2609" i="7"/>
  <c r="I2610" i="7"/>
  <c r="I2611" i="7"/>
  <c r="I2612" i="7"/>
  <c r="I2613" i="7"/>
  <c r="I2614" i="7"/>
  <c r="I2615" i="7"/>
  <c r="I2616" i="7"/>
  <c r="I2617" i="7"/>
  <c r="I2618" i="7"/>
  <c r="I2619" i="7"/>
  <c r="I2620" i="7"/>
  <c r="I2621" i="7"/>
  <c r="I2622" i="7"/>
  <c r="I2623" i="7"/>
  <c r="I2624" i="7"/>
  <c r="I2625" i="7"/>
  <c r="I2626" i="7"/>
  <c r="I2627" i="7"/>
  <c r="I2628" i="7"/>
  <c r="I2629" i="7"/>
  <c r="I2630" i="7"/>
  <c r="I2631" i="7"/>
  <c r="I2632" i="7"/>
  <c r="I2633" i="7"/>
  <c r="I2634" i="7"/>
  <c r="I2635" i="7"/>
  <c r="I2636" i="7"/>
  <c r="I2637" i="7"/>
  <c r="I2638" i="7"/>
  <c r="I2639" i="7"/>
  <c r="I2640" i="7"/>
  <c r="I2641" i="7"/>
  <c r="I2642" i="7"/>
  <c r="I2643" i="7"/>
  <c r="I2644" i="7"/>
  <c r="I2645" i="7"/>
  <c r="I2646" i="7"/>
  <c r="I2647" i="7"/>
  <c r="I2648" i="7"/>
  <c r="I2649" i="7"/>
  <c r="I2650" i="7"/>
  <c r="I2651" i="7"/>
  <c r="I2652" i="7"/>
  <c r="I2653" i="7"/>
  <c r="I2654" i="7"/>
  <c r="I2655" i="7"/>
  <c r="I2656" i="7"/>
  <c r="I2657" i="7"/>
  <c r="I2658" i="7"/>
  <c r="I2659" i="7"/>
  <c r="I2660" i="7"/>
  <c r="I2661" i="7"/>
  <c r="I2662" i="7"/>
  <c r="I2663" i="7"/>
  <c r="I2664" i="7"/>
  <c r="I2665" i="7"/>
  <c r="I2666" i="7"/>
  <c r="I2667" i="7"/>
  <c r="I2668" i="7"/>
  <c r="I2669" i="7"/>
  <c r="I2670" i="7"/>
  <c r="I2671" i="7"/>
  <c r="I2672" i="7"/>
  <c r="I2673" i="7"/>
  <c r="I2674" i="7"/>
  <c r="I2675" i="7"/>
  <c r="I2676" i="7"/>
  <c r="I2677" i="7"/>
  <c r="I2678" i="7"/>
  <c r="I2679" i="7"/>
  <c r="I2680" i="7"/>
  <c r="I2681" i="7"/>
  <c r="I2682" i="7"/>
  <c r="I2683" i="7"/>
  <c r="I2684" i="7"/>
  <c r="I2685" i="7"/>
  <c r="I2686" i="7"/>
  <c r="I2687" i="7"/>
  <c r="I2688" i="7"/>
  <c r="I2689" i="7"/>
  <c r="I2690" i="7"/>
  <c r="I2691" i="7"/>
  <c r="I2692" i="7"/>
  <c r="I2693" i="7"/>
  <c r="I2694" i="7"/>
  <c r="I2695" i="7"/>
  <c r="I2696" i="7"/>
  <c r="I2697" i="7"/>
  <c r="I2698" i="7"/>
  <c r="I2699" i="7"/>
  <c r="I2700" i="7"/>
  <c r="I2701" i="7"/>
  <c r="I2702" i="7"/>
  <c r="I2703" i="7"/>
  <c r="I2704" i="7"/>
  <c r="I2705" i="7"/>
  <c r="I2706" i="7"/>
  <c r="I2707" i="7"/>
  <c r="I2708" i="7"/>
  <c r="I2709" i="7"/>
  <c r="I2710" i="7"/>
  <c r="I2711" i="7"/>
  <c r="I2712" i="7"/>
  <c r="I2713" i="7"/>
  <c r="I2714" i="7"/>
  <c r="I2715" i="7"/>
  <c r="I2716" i="7"/>
  <c r="I2717" i="7"/>
  <c r="I2718" i="7"/>
  <c r="I2719" i="7"/>
  <c r="I2720" i="7"/>
  <c r="I2721" i="7"/>
  <c r="I2722" i="7"/>
  <c r="I2723" i="7"/>
  <c r="I2724" i="7"/>
  <c r="I2725" i="7"/>
  <c r="I2726" i="7"/>
  <c r="I2727" i="7"/>
  <c r="I2728" i="7"/>
  <c r="I2729" i="7"/>
  <c r="I2730" i="7"/>
  <c r="I2731" i="7"/>
  <c r="I2732" i="7"/>
  <c r="I2733" i="7"/>
  <c r="I2734" i="7"/>
  <c r="I2735" i="7"/>
  <c r="I2736" i="7"/>
  <c r="I2737" i="7"/>
  <c r="I2738" i="7"/>
  <c r="I2739" i="7"/>
  <c r="I2740" i="7"/>
  <c r="I2741" i="7"/>
  <c r="I2742" i="7"/>
  <c r="I2743" i="7"/>
  <c r="I2744" i="7"/>
  <c r="I2745" i="7"/>
  <c r="I2746" i="7"/>
  <c r="I2747" i="7"/>
  <c r="I2748" i="7"/>
  <c r="I2749" i="7"/>
  <c r="I2750" i="7"/>
  <c r="I2751" i="7"/>
  <c r="I2752" i="7"/>
  <c r="I2753" i="7"/>
  <c r="I2754" i="7"/>
  <c r="I2755" i="7"/>
  <c r="I2756" i="7"/>
  <c r="I2757" i="7"/>
  <c r="I2758" i="7"/>
  <c r="I2759" i="7"/>
  <c r="I2760" i="7"/>
  <c r="I2761" i="7"/>
  <c r="I2762" i="7"/>
  <c r="I2763" i="7"/>
  <c r="I2764" i="7"/>
  <c r="I2765" i="7"/>
  <c r="I2766" i="7"/>
  <c r="I2767" i="7"/>
  <c r="I2768" i="7"/>
  <c r="I2769" i="7"/>
  <c r="I2770" i="7"/>
  <c r="I2771" i="7"/>
  <c r="I2772" i="7"/>
  <c r="I2773" i="7"/>
  <c r="I2774" i="7"/>
  <c r="I2775" i="7"/>
  <c r="I2776" i="7"/>
  <c r="I2777" i="7"/>
  <c r="I2778" i="7"/>
  <c r="I2779" i="7"/>
  <c r="I2780" i="7"/>
  <c r="I2781" i="7"/>
  <c r="I2782" i="7"/>
  <c r="I2783" i="7"/>
  <c r="I2784" i="7"/>
  <c r="I2785" i="7"/>
  <c r="I2786" i="7"/>
  <c r="I2787" i="7"/>
  <c r="I2788" i="7"/>
  <c r="I2789" i="7"/>
  <c r="I2790" i="7"/>
  <c r="I2791" i="7"/>
  <c r="I2792" i="7"/>
  <c r="I2793" i="7"/>
  <c r="I2794" i="7"/>
  <c r="I2795" i="7"/>
  <c r="I2796" i="7"/>
  <c r="I2797" i="7"/>
  <c r="I2798" i="7"/>
  <c r="I2799" i="7"/>
  <c r="I2800" i="7"/>
  <c r="I2801" i="7"/>
  <c r="I2802" i="7"/>
  <c r="I2803" i="7"/>
  <c r="I2804" i="7"/>
  <c r="I2805" i="7"/>
  <c r="I2806" i="7"/>
  <c r="I2807" i="7"/>
  <c r="I2808" i="7"/>
  <c r="I2809" i="7"/>
  <c r="I2810" i="7"/>
  <c r="I2811" i="7"/>
  <c r="I2812" i="7"/>
  <c r="I2813" i="7"/>
  <c r="I2814" i="7"/>
  <c r="I2815" i="7"/>
  <c r="I2816" i="7"/>
  <c r="I2817" i="7"/>
  <c r="I2818" i="7"/>
  <c r="I2819" i="7"/>
  <c r="I2820" i="7"/>
  <c r="I2821" i="7"/>
  <c r="I2822" i="7"/>
  <c r="I2823" i="7"/>
  <c r="I2824" i="7"/>
  <c r="I2825" i="7"/>
  <c r="I2826" i="7"/>
  <c r="I2827" i="7"/>
  <c r="I2828" i="7"/>
  <c r="I2829" i="7"/>
  <c r="I2830" i="7"/>
  <c r="I2831" i="7"/>
  <c r="I2832" i="7"/>
  <c r="I2833" i="7"/>
  <c r="I2834" i="7"/>
  <c r="I2835" i="7"/>
  <c r="I2836" i="7"/>
  <c r="I2837" i="7"/>
  <c r="I2838" i="7"/>
  <c r="I2839" i="7"/>
  <c r="I2840" i="7"/>
  <c r="I2841" i="7"/>
  <c r="I2842" i="7"/>
  <c r="I2843" i="7"/>
  <c r="I2844" i="7"/>
  <c r="I2845" i="7"/>
  <c r="I2846" i="7"/>
  <c r="I2847" i="7"/>
  <c r="I2848" i="7"/>
  <c r="I2849" i="7"/>
  <c r="I2850" i="7"/>
  <c r="I2851" i="7"/>
  <c r="I2852" i="7"/>
  <c r="I2853" i="7"/>
  <c r="I2854" i="7"/>
  <c r="I2855" i="7"/>
  <c r="I2856" i="7"/>
  <c r="I2857" i="7"/>
  <c r="I2858" i="7"/>
  <c r="I2859" i="7"/>
  <c r="I2860" i="7"/>
  <c r="I2861" i="7"/>
  <c r="I2862" i="7"/>
  <c r="I2863" i="7"/>
  <c r="I2864" i="7"/>
  <c r="I2865" i="7"/>
  <c r="I2866" i="7"/>
  <c r="I2867" i="7"/>
  <c r="I2868" i="7"/>
  <c r="I2869" i="7"/>
  <c r="I2870" i="7"/>
  <c r="I2871" i="7"/>
  <c r="I2872" i="7"/>
  <c r="I2873" i="7"/>
  <c r="I2874" i="7"/>
  <c r="I2875" i="7"/>
  <c r="I2876" i="7"/>
  <c r="I2877" i="7"/>
  <c r="I2878" i="7"/>
  <c r="I2879" i="7"/>
  <c r="I2880" i="7"/>
  <c r="I2881" i="7"/>
  <c r="I2882" i="7"/>
  <c r="I2883" i="7"/>
  <c r="I2884" i="7"/>
  <c r="I2885" i="7"/>
  <c r="I2886" i="7"/>
  <c r="I2887" i="7"/>
  <c r="I2888" i="7"/>
  <c r="I2889" i="7"/>
  <c r="I2890" i="7"/>
  <c r="I2891" i="7"/>
  <c r="I2892" i="7"/>
  <c r="I2893" i="7"/>
  <c r="I2894" i="7"/>
  <c r="I2895" i="7"/>
  <c r="I2896" i="7"/>
  <c r="I2897" i="7"/>
  <c r="I2898" i="7"/>
  <c r="I2899" i="7"/>
  <c r="I2900" i="7"/>
  <c r="I2901" i="7"/>
  <c r="I2902" i="7"/>
  <c r="I2903" i="7"/>
  <c r="I2904" i="7"/>
  <c r="I2905" i="7"/>
  <c r="I2906" i="7"/>
  <c r="I2907" i="7"/>
  <c r="I2908" i="7"/>
  <c r="I2909" i="7"/>
  <c r="I2910" i="7"/>
  <c r="I2911" i="7"/>
  <c r="I2912" i="7"/>
  <c r="I2913" i="7"/>
  <c r="I2914" i="7"/>
  <c r="I2915" i="7"/>
  <c r="I2916" i="7"/>
  <c r="I2917" i="7"/>
  <c r="I2918" i="7"/>
  <c r="I2919" i="7"/>
  <c r="I2920" i="7"/>
  <c r="I2921" i="7"/>
  <c r="I2922" i="7"/>
  <c r="I2923" i="7"/>
  <c r="I2924" i="7"/>
  <c r="I2925" i="7"/>
  <c r="I2926" i="7"/>
  <c r="I2927" i="7"/>
  <c r="I2928" i="7"/>
  <c r="I2929" i="7"/>
  <c r="I2930" i="7"/>
  <c r="I2931" i="7"/>
  <c r="I2932" i="7"/>
  <c r="I2933" i="7"/>
  <c r="I2934" i="7"/>
  <c r="I2935" i="7"/>
  <c r="I2936" i="7"/>
  <c r="I2937" i="7"/>
  <c r="I2938" i="7"/>
  <c r="I2939" i="7"/>
  <c r="I2940" i="7"/>
  <c r="I2941" i="7"/>
  <c r="I2942" i="7"/>
  <c r="I2943" i="7"/>
  <c r="I2944" i="7"/>
  <c r="I2945" i="7"/>
  <c r="I2946" i="7"/>
  <c r="I2947" i="7"/>
  <c r="I2948" i="7"/>
  <c r="I2949" i="7"/>
  <c r="I2950" i="7"/>
  <c r="I2951" i="7"/>
  <c r="I2952" i="7"/>
  <c r="I2953" i="7"/>
  <c r="I2954" i="7"/>
  <c r="I2955" i="7"/>
  <c r="I2956" i="7"/>
  <c r="I2957" i="7"/>
  <c r="I2958" i="7"/>
  <c r="I2959" i="7"/>
  <c r="I2960" i="7"/>
  <c r="I2961" i="7"/>
  <c r="I2962" i="7"/>
  <c r="I2963" i="7"/>
  <c r="I2964" i="7"/>
  <c r="I2965" i="7"/>
  <c r="I2966" i="7"/>
  <c r="I2967" i="7"/>
  <c r="I2968" i="7"/>
  <c r="I2969" i="7"/>
  <c r="I2970" i="7"/>
  <c r="I2971" i="7"/>
  <c r="I2972" i="7"/>
  <c r="I2973" i="7"/>
  <c r="I2974" i="7"/>
  <c r="I2975" i="7"/>
  <c r="I2976" i="7"/>
  <c r="I2977" i="7"/>
  <c r="I2978" i="7"/>
  <c r="I2979" i="7"/>
  <c r="I2980" i="7"/>
  <c r="I2981" i="7"/>
  <c r="I2982" i="7"/>
  <c r="I2983" i="7"/>
  <c r="I2984" i="7"/>
  <c r="I2985" i="7"/>
  <c r="I2986" i="7"/>
  <c r="I2987" i="7"/>
  <c r="I2988" i="7"/>
  <c r="I2989" i="7"/>
  <c r="I2990" i="7"/>
  <c r="I2991" i="7"/>
  <c r="I2992" i="7"/>
  <c r="I2993" i="7"/>
  <c r="I2994" i="7"/>
  <c r="I2995" i="7"/>
  <c r="I2996" i="7"/>
  <c r="I2997" i="7"/>
  <c r="I2998" i="7"/>
  <c r="I2999" i="7"/>
  <c r="I3000" i="7"/>
  <c r="I3001" i="7"/>
  <c r="I3002" i="7"/>
  <c r="I3003" i="7"/>
  <c r="I3004" i="7"/>
  <c r="I3005" i="7"/>
  <c r="I3006" i="7"/>
  <c r="I3007" i="7"/>
  <c r="I3008" i="7"/>
  <c r="I3009" i="7"/>
  <c r="I3010" i="7"/>
  <c r="I3011" i="7"/>
  <c r="I3012" i="7"/>
  <c r="I3013" i="7"/>
  <c r="I3014" i="7"/>
  <c r="I3015" i="7"/>
  <c r="I3016" i="7"/>
  <c r="I3017" i="7"/>
  <c r="I3018" i="7"/>
  <c r="I3019" i="7"/>
  <c r="I3020" i="7"/>
  <c r="I3021" i="7"/>
  <c r="I3022" i="7"/>
  <c r="I3023" i="7"/>
  <c r="I3024" i="7"/>
  <c r="I3025" i="7"/>
  <c r="I3026" i="7"/>
  <c r="I3027" i="7"/>
  <c r="I3028" i="7"/>
  <c r="I3029" i="7"/>
  <c r="I3030" i="7"/>
  <c r="I3031" i="7"/>
  <c r="I3032" i="7"/>
  <c r="I3033" i="7"/>
  <c r="I3034" i="7"/>
  <c r="I3035" i="7"/>
  <c r="I3036" i="7"/>
  <c r="I3037" i="7"/>
  <c r="I3038" i="7"/>
  <c r="I3039" i="7"/>
  <c r="I3040" i="7"/>
  <c r="I3041" i="7"/>
  <c r="I3042" i="7"/>
  <c r="I3043" i="7"/>
  <c r="I3044" i="7"/>
  <c r="I3045" i="7"/>
  <c r="I3046" i="7"/>
  <c r="I3047" i="7"/>
  <c r="I3048" i="7"/>
  <c r="I3049" i="7"/>
  <c r="I3050" i="7"/>
  <c r="I3051" i="7"/>
  <c r="I3052" i="7"/>
  <c r="I3053" i="7"/>
  <c r="I3054" i="7"/>
  <c r="I3055" i="7"/>
  <c r="I3056" i="7"/>
  <c r="I3057" i="7"/>
  <c r="I3058" i="7"/>
  <c r="I3059" i="7"/>
  <c r="I3060" i="7"/>
  <c r="I3061" i="7"/>
  <c r="I3062" i="7"/>
  <c r="I3063" i="7"/>
  <c r="I3064" i="7"/>
  <c r="I3065" i="7"/>
  <c r="I3066" i="7"/>
  <c r="I3067" i="7"/>
  <c r="I3068" i="7"/>
  <c r="I3069" i="7"/>
  <c r="I3070" i="7"/>
  <c r="I3071" i="7"/>
  <c r="I3072" i="7"/>
  <c r="I3073" i="7"/>
  <c r="I3074" i="7"/>
  <c r="I3075" i="7"/>
  <c r="I3076" i="7"/>
  <c r="I3077" i="7"/>
  <c r="I3078" i="7"/>
  <c r="I3079" i="7"/>
  <c r="I3080" i="7"/>
  <c r="I3081" i="7"/>
  <c r="I3082" i="7"/>
  <c r="I3083" i="7"/>
  <c r="I3084" i="7"/>
  <c r="I3085" i="7"/>
  <c r="I3086" i="7"/>
  <c r="I3087" i="7"/>
  <c r="I3088" i="7"/>
  <c r="I3089" i="7"/>
  <c r="I3090" i="7"/>
  <c r="I3091" i="7"/>
  <c r="I3092" i="7"/>
  <c r="I3093" i="7"/>
  <c r="I3094" i="7"/>
  <c r="I3095" i="7"/>
  <c r="I3096" i="7"/>
  <c r="I3097" i="7"/>
  <c r="I3098" i="7"/>
  <c r="I3099" i="7"/>
  <c r="I3100" i="7"/>
  <c r="I3101" i="7"/>
  <c r="I3102" i="7"/>
  <c r="I3103" i="7"/>
  <c r="I3104" i="7"/>
  <c r="I3105" i="7"/>
  <c r="I3106" i="7"/>
  <c r="I3107" i="7"/>
  <c r="I3108" i="7"/>
  <c r="I3109" i="7"/>
  <c r="I3110" i="7"/>
  <c r="I3111" i="7"/>
  <c r="I3112" i="7"/>
  <c r="I3113" i="7"/>
  <c r="I3114" i="7"/>
  <c r="I3115" i="7"/>
  <c r="I3116" i="7"/>
  <c r="I3117" i="7"/>
  <c r="I3118" i="7"/>
  <c r="I3119" i="7"/>
  <c r="I3120" i="7"/>
  <c r="I3121" i="7"/>
  <c r="I3122" i="7"/>
  <c r="I3123" i="7"/>
  <c r="I3124" i="7"/>
  <c r="I3125" i="7"/>
  <c r="I3126" i="7"/>
  <c r="I3127" i="7"/>
  <c r="I3128" i="7"/>
  <c r="I3129" i="7"/>
  <c r="I3130" i="7"/>
  <c r="I3131" i="7"/>
  <c r="I3132" i="7"/>
  <c r="I3133" i="7"/>
  <c r="I3134" i="7"/>
  <c r="I3135" i="7"/>
  <c r="I3136" i="7"/>
  <c r="I3137" i="7"/>
  <c r="I3138" i="7"/>
  <c r="I3139" i="7"/>
  <c r="I3140" i="7"/>
  <c r="I3141" i="7"/>
  <c r="I3142" i="7"/>
  <c r="I3143" i="7"/>
  <c r="I3144" i="7"/>
  <c r="I3145" i="7"/>
  <c r="I3146" i="7"/>
  <c r="I3147" i="7"/>
  <c r="I3148" i="7"/>
  <c r="I3149" i="7"/>
  <c r="I3150" i="7"/>
  <c r="I3151" i="7"/>
  <c r="I3152" i="7"/>
  <c r="I3153" i="7"/>
  <c r="I3154" i="7"/>
  <c r="I3155" i="7"/>
  <c r="I3156" i="7"/>
  <c r="I3157" i="7"/>
  <c r="I3158" i="7"/>
  <c r="I3159" i="7"/>
  <c r="I3160" i="7"/>
  <c r="I3161" i="7"/>
  <c r="I3162" i="7"/>
  <c r="I3163" i="7"/>
  <c r="I3164" i="7"/>
  <c r="I3165" i="7"/>
  <c r="I3166" i="7"/>
  <c r="I3167" i="7"/>
  <c r="I3168" i="7"/>
  <c r="I3169" i="7"/>
  <c r="I3170" i="7"/>
  <c r="I3171" i="7"/>
  <c r="I3172" i="7"/>
  <c r="I3173" i="7"/>
  <c r="I3174" i="7"/>
  <c r="I3175" i="7"/>
  <c r="I3176" i="7"/>
  <c r="I3177" i="7"/>
  <c r="I3178" i="7"/>
  <c r="I3179" i="7"/>
  <c r="I3180" i="7"/>
  <c r="I3181" i="7"/>
  <c r="I3182" i="7"/>
  <c r="I3183" i="7"/>
  <c r="I3184" i="7"/>
  <c r="I3185" i="7"/>
  <c r="I3186" i="7"/>
  <c r="I3187" i="7"/>
  <c r="I3188" i="7"/>
  <c r="I3189" i="7"/>
  <c r="I3190" i="7"/>
  <c r="I3191" i="7"/>
  <c r="I3192" i="7"/>
  <c r="I3193" i="7"/>
  <c r="I3194" i="7"/>
  <c r="I3195" i="7"/>
  <c r="I3196" i="7"/>
  <c r="I3197" i="7"/>
  <c r="I3198" i="7"/>
  <c r="I3199" i="7"/>
  <c r="I3200" i="7"/>
  <c r="I3201" i="7"/>
  <c r="I3202" i="7"/>
  <c r="I3203" i="7"/>
  <c r="I3204" i="7"/>
  <c r="I3205" i="7"/>
  <c r="I3206" i="7"/>
  <c r="I3207" i="7"/>
  <c r="I3208" i="7"/>
  <c r="I3209" i="7"/>
  <c r="I3210" i="7"/>
  <c r="I3211" i="7"/>
  <c r="I3212" i="7"/>
  <c r="I3213" i="7"/>
  <c r="I3214" i="7"/>
  <c r="I3215" i="7"/>
  <c r="I3216" i="7"/>
  <c r="I3217" i="7"/>
  <c r="I3218" i="7"/>
  <c r="I3219" i="7"/>
  <c r="I3220" i="7"/>
  <c r="I3221" i="7"/>
  <c r="I3222" i="7"/>
  <c r="I3223" i="7"/>
  <c r="I3224" i="7"/>
  <c r="I3225" i="7"/>
  <c r="I3226" i="7"/>
  <c r="I3227" i="7"/>
  <c r="I3228" i="7"/>
  <c r="I3229" i="7"/>
  <c r="I3230" i="7"/>
  <c r="I3231" i="7"/>
  <c r="I3232" i="7"/>
  <c r="I3233" i="7"/>
  <c r="I3234" i="7"/>
  <c r="I3235" i="7"/>
  <c r="I3236" i="7"/>
  <c r="I3237" i="7"/>
  <c r="I3238" i="7"/>
  <c r="I3239" i="7"/>
  <c r="I3240" i="7"/>
  <c r="I3241" i="7"/>
  <c r="I3242" i="7"/>
  <c r="I3243" i="7"/>
  <c r="I3244" i="7"/>
  <c r="I3245" i="7"/>
  <c r="I3246" i="7"/>
  <c r="I3247" i="7"/>
  <c r="I3248" i="7"/>
  <c r="I3249" i="7"/>
  <c r="I3250" i="7"/>
  <c r="I3251" i="7"/>
  <c r="I3252" i="7"/>
  <c r="I3253" i="7"/>
  <c r="I3254" i="7"/>
  <c r="I3255" i="7"/>
  <c r="I3256" i="7"/>
  <c r="I3257" i="7"/>
  <c r="I3258" i="7"/>
  <c r="I3259" i="7"/>
  <c r="I3260" i="7"/>
  <c r="I3261" i="7"/>
  <c r="I3262" i="7"/>
  <c r="I3263" i="7"/>
  <c r="I3264" i="7"/>
  <c r="I3265" i="7"/>
  <c r="I3266" i="7"/>
  <c r="I3267" i="7"/>
  <c r="I3268" i="7"/>
  <c r="I3269" i="7"/>
  <c r="I3270" i="7"/>
  <c r="I3271" i="7"/>
  <c r="I3272" i="7"/>
  <c r="I3273" i="7"/>
  <c r="I3274" i="7"/>
  <c r="I3275" i="7"/>
  <c r="I3276" i="7"/>
  <c r="I3277" i="7"/>
  <c r="I3278" i="7"/>
  <c r="I3279" i="7"/>
  <c r="I3280" i="7"/>
  <c r="I3281" i="7"/>
  <c r="I3282" i="7"/>
  <c r="I3283" i="7"/>
  <c r="I3284" i="7"/>
  <c r="I3285" i="7"/>
  <c r="I3286" i="7"/>
  <c r="I3287" i="7"/>
  <c r="I3288" i="7"/>
  <c r="I3289" i="7"/>
  <c r="I3290" i="7"/>
  <c r="I3291" i="7"/>
  <c r="I3292" i="7"/>
  <c r="I3293" i="7"/>
  <c r="I3294" i="7"/>
  <c r="I3295" i="7"/>
  <c r="I3296" i="7"/>
  <c r="I3297" i="7"/>
  <c r="I3298" i="7"/>
  <c r="I3299" i="7"/>
  <c r="I3300" i="7"/>
  <c r="I3301" i="7"/>
  <c r="I3302" i="7"/>
  <c r="I3303" i="7"/>
  <c r="I3304" i="7"/>
  <c r="I3305" i="7"/>
  <c r="I3306" i="7"/>
  <c r="I3307" i="7"/>
  <c r="I3308" i="7"/>
  <c r="I3309" i="7"/>
  <c r="I3310" i="7"/>
  <c r="I3311" i="7"/>
  <c r="I3312" i="7"/>
  <c r="I3313" i="7"/>
  <c r="I3314" i="7"/>
  <c r="I3315" i="7"/>
  <c r="I3316" i="7"/>
  <c r="I3317" i="7"/>
  <c r="I3318" i="7"/>
  <c r="I3319" i="7"/>
  <c r="I3320" i="7"/>
  <c r="I3321" i="7"/>
  <c r="I3322" i="7"/>
  <c r="I3323" i="7"/>
  <c r="I3324" i="7"/>
  <c r="I3325" i="7"/>
  <c r="I3326" i="7"/>
  <c r="I3327" i="7"/>
  <c r="I3328" i="7"/>
  <c r="I3329" i="7"/>
  <c r="I3330" i="7"/>
  <c r="I3331" i="7"/>
  <c r="I3332" i="7"/>
  <c r="I3333" i="7"/>
  <c r="I3334" i="7"/>
  <c r="I3335" i="7"/>
  <c r="I3336" i="7"/>
  <c r="I3337" i="7"/>
  <c r="I3338" i="7"/>
  <c r="I3339" i="7"/>
  <c r="I3340" i="7"/>
  <c r="I3341" i="7"/>
  <c r="I3342" i="7"/>
  <c r="I3343" i="7"/>
  <c r="I3344" i="7"/>
  <c r="I3345" i="7"/>
  <c r="I3346" i="7"/>
  <c r="I3347" i="7"/>
  <c r="I3348" i="7"/>
  <c r="I3349" i="7"/>
  <c r="I3350" i="7"/>
  <c r="I3351" i="7"/>
  <c r="I3352" i="7"/>
  <c r="I3353" i="7"/>
  <c r="I3354" i="7"/>
  <c r="I3355" i="7"/>
  <c r="I3356" i="7"/>
  <c r="I3357" i="7"/>
  <c r="I3358" i="7"/>
  <c r="I3359" i="7"/>
  <c r="I3360" i="7"/>
  <c r="I3361" i="7"/>
  <c r="I3362" i="7"/>
  <c r="I3363" i="7"/>
  <c r="I3364" i="7"/>
  <c r="I3365" i="7"/>
  <c r="I3366" i="7"/>
  <c r="I3367" i="7"/>
  <c r="I3368" i="7"/>
  <c r="I3369" i="7"/>
  <c r="I3370" i="7"/>
  <c r="I3371" i="7"/>
  <c r="I3372" i="7"/>
  <c r="I3373" i="7"/>
  <c r="I3374" i="7"/>
  <c r="I3375" i="7"/>
  <c r="I3376" i="7"/>
  <c r="I3377" i="7"/>
  <c r="I3378" i="7"/>
  <c r="I3379" i="7"/>
  <c r="I3380" i="7"/>
  <c r="I3381" i="7"/>
  <c r="I3382" i="7"/>
  <c r="I3383" i="7"/>
  <c r="I3384" i="7"/>
  <c r="I3385" i="7"/>
  <c r="I3386" i="7"/>
  <c r="I3387" i="7"/>
  <c r="I3388" i="7"/>
  <c r="I3389" i="7"/>
  <c r="I3390" i="7"/>
  <c r="I3391" i="7"/>
  <c r="I3392" i="7"/>
  <c r="I3393" i="7"/>
  <c r="I3394" i="7"/>
  <c r="I3395" i="7"/>
  <c r="I3396" i="7"/>
  <c r="I3397" i="7"/>
  <c r="I3398" i="7"/>
  <c r="I3399" i="7"/>
  <c r="I3400" i="7"/>
  <c r="I3401" i="7"/>
  <c r="I3402" i="7"/>
  <c r="I3403" i="7"/>
  <c r="I3404" i="7"/>
  <c r="I3405" i="7"/>
  <c r="I3406" i="7"/>
  <c r="I3407" i="7"/>
  <c r="I3408" i="7"/>
  <c r="I3409" i="7"/>
  <c r="I3410" i="7"/>
  <c r="I3411" i="7"/>
  <c r="I3412" i="7"/>
  <c r="I3413" i="7"/>
  <c r="I3414" i="7"/>
  <c r="I3415" i="7"/>
  <c r="I3416" i="7"/>
  <c r="I3417" i="7"/>
  <c r="I3418" i="7"/>
  <c r="I3419" i="7"/>
  <c r="I3420" i="7"/>
  <c r="I3421" i="7"/>
  <c r="I3422" i="7"/>
  <c r="I3423" i="7"/>
  <c r="I3424" i="7"/>
  <c r="I3425" i="7"/>
  <c r="I3426" i="7"/>
  <c r="I3427" i="7"/>
  <c r="I3428" i="7"/>
  <c r="I3429" i="7"/>
  <c r="I3430" i="7"/>
  <c r="I3431" i="7"/>
  <c r="I3432" i="7"/>
  <c r="I3433" i="7"/>
  <c r="I3434" i="7"/>
  <c r="I3435" i="7"/>
  <c r="I3436" i="7"/>
  <c r="I3437" i="7"/>
  <c r="I3438" i="7"/>
  <c r="I3439" i="7"/>
  <c r="I3440" i="7"/>
  <c r="I3441" i="7"/>
  <c r="I3442" i="7"/>
  <c r="I3443" i="7"/>
  <c r="I3444" i="7"/>
  <c r="I3445" i="7"/>
  <c r="I3446" i="7"/>
  <c r="I3447" i="7"/>
  <c r="I3448" i="7"/>
  <c r="I3449" i="7"/>
  <c r="I3450" i="7"/>
  <c r="I3451" i="7"/>
  <c r="I3452" i="7"/>
  <c r="I3453" i="7"/>
  <c r="I3454" i="7"/>
  <c r="I3455" i="7"/>
  <c r="I3456" i="7"/>
  <c r="I3457" i="7"/>
  <c r="I3458" i="7"/>
  <c r="I3459" i="7"/>
  <c r="I3460" i="7"/>
  <c r="I3461" i="7"/>
  <c r="I3462" i="7"/>
  <c r="I3463" i="7"/>
  <c r="I3464" i="7"/>
  <c r="I3465" i="7"/>
  <c r="I3466" i="7"/>
  <c r="I3467" i="7"/>
  <c r="I3468" i="7"/>
  <c r="I3469" i="7"/>
  <c r="I3470" i="7"/>
  <c r="I3471" i="7"/>
  <c r="I3472" i="7"/>
  <c r="I3473" i="7"/>
  <c r="I3474" i="7"/>
  <c r="I3475" i="7"/>
  <c r="I3476" i="7"/>
  <c r="I3477" i="7"/>
  <c r="I3478" i="7"/>
  <c r="I3479" i="7"/>
  <c r="I3480" i="7"/>
  <c r="I3481" i="7"/>
  <c r="I3482" i="7"/>
  <c r="I3483" i="7"/>
  <c r="I3484" i="7"/>
  <c r="I3485" i="7"/>
  <c r="I3486" i="7"/>
  <c r="I3487" i="7"/>
  <c r="I3488" i="7"/>
  <c r="I3489" i="7"/>
  <c r="I3490" i="7"/>
  <c r="I3491" i="7"/>
  <c r="I3492" i="7"/>
  <c r="I3493" i="7"/>
  <c r="I3494" i="7"/>
  <c r="I3495" i="7"/>
  <c r="I3496" i="7"/>
  <c r="I3497" i="7"/>
  <c r="I3498" i="7"/>
  <c r="I3499" i="7"/>
  <c r="I3500" i="7"/>
  <c r="I3501" i="7"/>
  <c r="I3502" i="7"/>
  <c r="I3503" i="7"/>
  <c r="I3504" i="7"/>
  <c r="I3505" i="7"/>
  <c r="I3506" i="7"/>
  <c r="I3507" i="7"/>
  <c r="I3508" i="7"/>
  <c r="I3509" i="7"/>
  <c r="I3510" i="7"/>
  <c r="I3511" i="7"/>
  <c r="I3512" i="7"/>
  <c r="I3513" i="7"/>
  <c r="I3514" i="7"/>
  <c r="I3515" i="7"/>
  <c r="I3516" i="7"/>
  <c r="I3517" i="7"/>
  <c r="I3518" i="7"/>
  <c r="I3519" i="7"/>
  <c r="I3520" i="7"/>
  <c r="I3521" i="7"/>
  <c r="I3522" i="7"/>
  <c r="I3523" i="7"/>
  <c r="I3524" i="7"/>
  <c r="I3525" i="7"/>
  <c r="I3526" i="7"/>
  <c r="I3527" i="7"/>
  <c r="I3528" i="7"/>
  <c r="I3529" i="7"/>
  <c r="I3530" i="7"/>
  <c r="I3531" i="7"/>
  <c r="I3532" i="7"/>
  <c r="I3533" i="7"/>
  <c r="I3534" i="7"/>
  <c r="I3535" i="7"/>
  <c r="I3536" i="7"/>
  <c r="I3537" i="7"/>
  <c r="I3538" i="7"/>
  <c r="I3539" i="7"/>
  <c r="I3540" i="7"/>
  <c r="I3541" i="7"/>
  <c r="I3542" i="7"/>
  <c r="I3543" i="7"/>
  <c r="I3544" i="7"/>
  <c r="I3545" i="7"/>
  <c r="I3546" i="7"/>
  <c r="I3547" i="7"/>
  <c r="I3548" i="7"/>
  <c r="I3549" i="7"/>
  <c r="I3550" i="7"/>
  <c r="I3551" i="7"/>
  <c r="I3552" i="7"/>
  <c r="I3553" i="7"/>
  <c r="I3554" i="7"/>
  <c r="I3555" i="7"/>
  <c r="I3556" i="7"/>
  <c r="I3557" i="7"/>
  <c r="I3558" i="7"/>
  <c r="I3559" i="7"/>
  <c r="I3560" i="7"/>
  <c r="I3561" i="7"/>
  <c r="I3562" i="7"/>
  <c r="I3563" i="7"/>
  <c r="I3564" i="7"/>
  <c r="I3565" i="7"/>
  <c r="I3566" i="7"/>
  <c r="I3567" i="7"/>
  <c r="I3568" i="7"/>
  <c r="I3569" i="7"/>
  <c r="I3570" i="7"/>
  <c r="I3571" i="7"/>
  <c r="I3572" i="7"/>
  <c r="I3573" i="7"/>
  <c r="I3574" i="7"/>
  <c r="I3575" i="7"/>
  <c r="I3576" i="7"/>
  <c r="I3577" i="7"/>
  <c r="I3578" i="7"/>
  <c r="I3579" i="7"/>
  <c r="I3580" i="7"/>
  <c r="I3581" i="7"/>
  <c r="I3582" i="7"/>
  <c r="I3583" i="7"/>
  <c r="I3584" i="7"/>
  <c r="I3585" i="7"/>
  <c r="I3586" i="7"/>
  <c r="I3587" i="7"/>
  <c r="I3588" i="7"/>
  <c r="I3589" i="7"/>
  <c r="I3590" i="7"/>
  <c r="I3591" i="7"/>
  <c r="I3592" i="7"/>
  <c r="I3593" i="7"/>
  <c r="I3594" i="7"/>
  <c r="I3595" i="7"/>
  <c r="I3596" i="7"/>
  <c r="I3597" i="7"/>
  <c r="I3598" i="7"/>
  <c r="I3599" i="7"/>
  <c r="I3600" i="7"/>
  <c r="I3601" i="7"/>
  <c r="I3602" i="7"/>
  <c r="I3603" i="7"/>
  <c r="I3604" i="7"/>
  <c r="I3605" i="7"/>
  <c r="I3606" i="7"/>
  <c r="I3607" i="7"/>
  <c r="I3608" i="7"/>
  <c r="I3609" i="7"/>
  <c r="I3610" i="7"/>
  <c r="I3611" i="7"/>
  <c r="I3612" i="7"/>
  <c r="I3613" i="7"/>
  <c r="I3614" i="7"/>
  <c r="I3615" i="7"/>
  <c r="I3616" i="7"/>
  <c r="I3617" i="7"/>
  <c r="I3618" i="7"/>
  <c r="I3619" i="7"/>
  <c r="I3620" i="7"/>
  <c r="I3621" i="7"/>
  <c r="I3622" i="7"/>
  <c r="I3623" i="7"/>
  <c r="I3624" i="7"/>
  <c r="I3625" i="7"/>
  <c r="I3626" i="7"/>
  <c r="I3627" i="7"/>
  <c r="I3628" i="7"/>
  <c r="I3629" i="7"/>
  <c r="I3630" i="7"/>
  <c r="I3631" i="7"/>
  <c r="I3632" i="7"/>
  <c r="I3633" i="7"/>
  <c r="I3634" i="7"/>
  <c r="I3635" i="7"/>
  <c r="I3636" i="7"/>
  <c r="I3637" i="7"/>
  <c r="I3638" i="7"/>
  <c r="I3639" i="7"/>
  <c r="I3640" i="7"/>
  <c r="I3641" i="7"/>
  <c r="I3642" i="7"/>
  <c r="I3643" i="7"/>
  <c r="I3644" i="7"/>
  <c r="I3645" i="7"/>
  <c r="I3646" i="7"/>
  <c r="I3647" i="7"/>
  <c r="I3648" i="7"/>
  <c r="I3649" i="7"/>
  <c r="I3650" i="7"/>
  <c r="I3651" i="7"/>
  <c r="I3652" i="7"/>
  <c r="I3653" i="7"/>
  <c r="I3654" i="7"/>
  <c r="I3655" i="7"/>
  <c r="I3656" i="7"/>
  <c r="I3657" i="7"/>
  <c r="I3658" i="7"/>
  <c r="I3659" i="7"/>
  <c r="I3660" i="7"/>
  <c r="I3661" i="7"/>
  <c r="I3662" i="7"/>
  <c r="I3663" i="7"/>
  <c r="I3664" i="7"/>
  <c r="I3665" i="7"/>
  <c r="I3666" i="7"/>
  <c r="I3667" i="7"/>
  <c r="I3668" i="7"/>
  <c r="I3669" i="7"/>
  <c r="I3670" i="7"/>
  <c r="I3671" i="7"/>
  <c r="I3672" i="7"/>
  <c r="I3673" i="7"/>
  <c r="I3674" i="7"/>
  <c r="I3675" i="7"/>
  <c r="I3676" i="7"/>
  <c r="I3677" i="7"/>
  <c r="I3678" i="7"/>
  <c r="I3679" i="7"/>
  <c r="I3680" i="7"/>
  <c r="I3681" i="7"/>
  <c r="I3682" i="7"/>
  <c r="I3683" i="7"/>
  <c r="I3684" i="7"/>
  <c r="I3685" i="7"/>
  <c r="I3686" i="7"/>
  <c r="I3687" i="7"/>
  <c r="I3688" i="7"/>
  <c r="I3689" i="7"/>
  <c r="I3690" i="7"/>
  <c r="I3691" i="7"/>
  <c r="I3692" i="7"/>
  <c r="I3693" i="7"/>
  <c r="I3694" i="7"/>
  <c r="I3695" i="7"/>
  <c r="I3696" i="7"/>
  <c r="I3697" i="7"/>
  <c r="I3698" i="7"/>
  <c r="I3699" i="7"/>
  <c r="I3700" i="7"/>
  <c r="I3701" i="7"/>
  <c r="I3702" i="7"/>
  <c r="I3703" i="7"/>
  <c r="I3704" i="7"/>
  <c r="I3705" i="7"/>
  <c r="I3706" i="7"/>
  <c r="I3707" i="7"/>
  <c r="I3708" i="7"/>
  <c r="I3709" i="7"/>
  <c r="I3710" i="7"/>
  <c r="I3711" i="7"/>
  <c r="I3712" i="7"/>
  <c r="I3713" i="7"/>
  <c r="I3714" i="7"/>
  <c r="I3715" i="7"/>
  <c r="I3716" i="7"/>
  <c r="I3717" i="7"/>
  <c r="I3718" i="7"/>
  <c r="I3719" i="7"/>
  <c r="I3720" i="7"/>
  <c r="I3721" i="7"/>
  <c r="I3722" i="7"/>
  <c r="I3723" i="7"/>
  <c r="I3724" i="7"/>
  <c r="I3725" i="7"/>
  <c r="I3726" i="7"/>
  <c r="I3727" i="7"/>
  <c r="I3728" i="7"/>
  <c r="I3729" i="7"/>
  <c r="I3730" i="7"/>
  <c r="I3731" i="7"/>
  <c r="I3732" i="7"/>
  <c r="I3733" i="7"/>
  <c r="I3734" i="7"/>
  <c r="I3735" i="7"/>
  <c r="I3736" i="7"/>
  <c r="I3737" i="7"/>
  <c r="I3738" i="7"/>
  <c r="I3739" i="7"/>
  <c r="I3740" i="7"/>
  <c r="I3741" i="7"/>
  <c r="I3742" i="7"/>
  <c r="I3743" i="7"/>
  <c r="I3744" i="7"/>
  <c r="I3745" i="7"/>
  <c r="I3746" i="7"/>
  <c r="I3747" i="7"/>
  <c r="I3748" i="7"/>
  <c r="I3749" i="7"/>
  <c r="I3750" i="7"/>
  <c r="I3751" i="7"/>
  <c r="I3752" i="7"/>
  <c r="I3753" i="7"/>
  <c r="I3754" i="7"/>
  <c r="I3755" i="7"/>
  <c r="I3756" i="7"/>
  <c r="I3757" i="7"/>
  <c r="I3758" i="7"/>
  <c r="I3759" i="7"/>
  <c r="I3760" i="7"/>
  <c r="I3761" i="7"/>
  <c r="I3762" i="7"/>
  <c r="I3763" i="7"/>
  <c r="I3764" i="7"/>
  <c r="I3765" i="7"/>
  <c r="I3766" i="7"/>
  <c r="I3767" i="7"/>
  <c r="I3768" i="7"/>
  <c r="I3769" i="7"/>
  <c r="I3770" i="7"/>
  <c r="I3771" i="7"/>
  <c r="I3772" i="7"/>
  <c r="I3773" i="7"/>
  <c r="I3774" i="7"/>
  <c r="I3775" i="7"/>
  <c r="I3776" i="7"/>
  <c r="I3777" i="7"/>
  <c r="I3778" i="7"/>
  <c r="I3779" i="7"/>
  <c r="I3780" i="7"/>
  <c r="I3781" i="7"/>
  <c r="I3782" i="7"/>
  <c r="I3783" i="7"/>
  <c r="I3784" i="7"/>
  <c r="I3785" i="7"/>
  <c r="I3786" i="7"/>
  <c r="I3787" i="7"/>
  <c r="I3788" i="7"/>
  <c r="I3789" i="7"/>
  <c r="I3790" i="7"/>
  <c r="I3791" i="7"/>
  <c r="I3792" i="7"/>
  <c r="I3793" i="7"/>
  <c r="I3794" i="7"/>
  <c r="I3795" i="7"/>
  <c r="I3796" i="7"/>
  <c r="I3797" i="7"/>
  <c r="I3798" i="7"/>
  <c r="I3799" i="7"/>
  <c r="I3800" i="7"/>
  <c r="I3801" i="7"/>
  <c r="I3802" i="7"/>
  <c r="I3803" i="7"/>
  <c r="I3804" i="7"/>
  <c r="I3805" i="7"/>
  <c r="I3806" i="7"/>
  <c r="I3807" i="7"/>
  <c r="I3808" i="7"/>
  <c r="I3809" i="7"/>
  <c r="I3810" i="7"/>
  <c r="I3811" i="7"/>
  <c r="I3812" i="7"/>
  <c r="I3813" i="7"/>
  <c r="I3814" i="7"/>
  <c r="I3815" i="7"/>
  <c r="I3816" i="7"/>
  <c r="I3817" i="7"/>
  <c r="I3818" i="7"/>
  <c r="I3819" i="7"/>
  <c r="I3820" i="7"/>
  <c r="I3821" i="7"/>
  <c r="I3822" i="7"/>
  <c r="I3823" i="7"/>
  <c r="I3824" i="7"/>
  <c r="I3825" i="7"/>
  <c r="I3826" i="7"/>
  <c r="I3827" i="7"/>
  <c r="I3828" i="7"/>
  <c r="I3829" i="7"/>
  <c r="I3830" i="7"/>
  <c r="I3831" i="7"/>
  <c r="I3832" i="7"/>
  <c r="I3833" i="7"/>
  <c r="I3834" i="7"/>
  <c r="I3835" i="7"/>
  <c r="I3836" i="7"/>
  <c r="I3837" i="7"/>
  <c r="I3838" i="7"/>
  <c r="I3839" i="7"/>
  <c r="I3840" i="7"/>
  <c r="I3841" i="7"/>
  <c r="I3842" i="7"/>
  <c r="I3843" i="7"/>
  <c r="I3844" i="7"/>
  <c r="I3845" i="7"/>
  <c r="I3846" i="7"/>
  <c r="I3847" i="7"/>
  <c r="I3848" i="7"/>
  <c r="I3849" i="7"/>
  <c r="I3850" i="7"/>
  <c r="I3851" i="7"/>
  <c r="I3852" i="7"/>
  <c r="I3853" i="7"/>
  <c r="I3854" i="7"/>
  <c r="I3855" i="7"/>
  <c r="I3856" i="7"/>
  <c r="I3857" i="7"/>
  <c r="I3858" i="7"/>
  <c r="I3859" i="7"/>
  <c r="I3860" i="7"/>
  <c r="I3861" i="7"/>
  <c r="I3862" i="7"/>
  <c r="I3863" i="7"/>
  <c r="I3864" i="7"/>
  <c r="I3865" i="7"/>
  <c r="I3866" i="7"/>
  <c r="I3867" i="7"/>
  <c r="I3868" i="7"/>
  <c r="I3869" i="7"/>
  <c r="I3870" i="7"/>
  <c r="I3871" i="7"/>
  <c r="I3872" i="7"/>
  <c r="I3873" i="7"/>
  <c r="I3874" i="7"/>
  <c r="I3875" i="7"/>
  <c r="I3876" i="7"/>
  <c r="I3877" i="7"/>
  <c r="I3878" i="7"/>
  <c r="I3879" i="7"/>
  <c r="I3880" i="7"/>
  <c r="I3881" i="7"/>
  <c r="I3882" i="7"/>
  <c r="I3883" i="7"/>
  <c r="I3884" i="7"/>
  <c r="I3885" i="7"/>
  <c r="I3886" i="7"/>
  <c r="I3887" i="7"/>
  <c r="I3888" i="7"/>
  <c r="I3889" i="7"/>
  <c r="I3890" i="7"/>
  <c r="I3891" i="7"/>
  <c r="I3892" i="7"/>
  <c r="I3893" i="7"/>
  <c r="I3894" i="7"/>
  <c r="I3895" i="7"/>
  <c r="I3896" i="7"/>
  <c r="I3897" i="7"/>
  <c r="I3898" i="7"/>
  <c r="I3899" i="7"/>
  <c r="I3900" i="7"/>
  <c r="I3901" i="7"/>
  <c r="I3902" i="7"/>
  <c r="I3903" i="7"/>
  <c r="I3904" i="7"/>
  <c r="I3905" i="7"/>
  <c r="I3906" i="7"/>
  <c r="I3907" i="7"/>
  <c r="I3908" i="7"/>
  <c r="I3909" i="7"/>
  <c r="I3910" i="7"/>
  <c r="I3911" i="7"/>
  <c r="I3912" i="7"/>
  <c r="I3913" i="7"/>
  <c r="I3914" i="7"/>
  <c r="I3915" i="7"/>
  <c r="I3916" i="7"/>
  <c r="I3917" i="7"/>
  <c r="I3918" i="7"/>
  <c r="I3919" i="7"/>
  <c r="I3920" i="7"/>
  <c r="I3921" i="7"/>
  <c r="I3922" i="7"/>
  <c r="I3923" i="7"/>
  <c r="I3924" i="7"/>
  <c r="I3925" i="7"/>
  <c r="I3926" i="7"/>
  <c r="I3927" i="7"/>
  <c r="I3928" i="7"/>
  <c r="I3929" i="7"/>
  <c r="I3930" i="7"/>
  <c r="I3931" i="7"/>
  <c r="I3932" i="7"/>
  <c r="I3933" i="7"/>
  <c r="I3934" i="7"/>
  <c r="I3935" i="7"/>
  <c r="I3936" i="7"/>
  <c r="I3937" i="7"/>
  <c r="I3938" i="7"/>
  <c r="I3939" i="7"/>
  <c r="I3940" i="7"/>
  <c r="I3941" i="7"/>
  <c r="I3942" i="7"/>
  <c r="I3943" i="7"/>
  <c r="I3944" i="7"/>
  <c r="I3945" i="7"/>
  <c r="I3946" i="7"/>
  <c r="I3947" i="7"/>
  <c r="I3948" i="7"/>
  <c r="I3949" i="7"/>
  <c r="I3950" i="7"/>
  <c r="I3951" i="7"/>
  <c r="I3952" i="7"/>
  <c r="I3953" i="7"/>
  <c r="I3954" i="7"/>
  <c r="I3955" i="7"/>
  <c r="I3956" i="7"/>
  <c r="I3957" i="7"/>
  <c r="I3958" i="7"/>
  <c r="I3959" i="7"/>
  <c r="I3960" i="7"/>
  <c r="I3961" i="7"/>
  <c r="I3962" i="7"/>
  <c r="I3963" i="7"/>
  <c r="I3964" i="7"/>
  <c r="I3965" i="7"/>
  <c r="I3966" i="7"/>
  <c r="I3967" i="7"/>
  <c r="I3968" i="7"/>
  <c r="I3969" i="7"/>
  <c r="I3970" i="7"/>
  <c r="I3971" i="7"/>
  <c r="I3972" i="7"/>
  <c r="I3973" i="7"/>
  <c r="I3974" i="7"/>
  <c r="I3975" i="7"/>
  <c r="I3976" i="7"/>
  <c r="I3977" i="7"/>
  <c r="I3978" i="7"/>
  <c r="I3979" i="7"/>
  <c r="I3980" i="7"/>
  <c r="I3981" i="7"/>
  <c r="I3982" i="7"/>
  <c r="I3983" i="7"/>
  <c r="I3984" i="7"/>
  <c r="I3985" i="7"/>
  <c r="I3986" i="7"/>
  <c r="I3987" i="7"/>
  <c r="I3988" i="7"/>
  <c r="I3989" i="7"/>
  <c r="I3990" i="7"/>
  <c r="I3991" i="7"/>
  <c r="I3992" i="7"/>
  <c r="I3993" i="7"/>
  <c r="I3994" i="7"/>
  <c r="I3995" i="7"/>
  <c r="I3996" i="7"/>
  <c r="I3997" i="7"/>
  <c r="I3998" i="7"/>
  <c r="I3999" i="7"/>
  <c r="I4000" i="7"/>
  <c r="I4001" i="7"/>
  <c r="I4002" i="7"/>
  <c r="I4003" i="7"/>
  <c r="I4004" i="7"/>
  <c r="I4005" i="7"/>
  <c r="I4006" i="7"/>
  <c r="I4007" i="7"/>
  <c r="I4008" i="7"/>
  <c r="I4009" i="7"/>
  <c r="I4010" i="7"/>
  <c r="I4011" i="7"/>
  <c r="I4012" i="7"/>
  <c r="I4013" i="7"/>
  <c r="I4014" i="7"/>
  <c r="I4015" i="7"/>
  <c r="I4016" i="7"/>
  <c r="I4017" i="7"/>
  <c r="I4018" i="7"/>
  <c r="I4019" i="7"/>
  <c r="I4020" i="7"/>
  <c r="I4021" i="7"/>
  <c r="I4022" i="7"/>
  <c r="I4023" i="7"/>
  <c r="I4024" i="7"/>
  <c r="I4025" i="7"/>
  <c r="I4026" i="7"/>
  <c r="I4027" i="7"/>
  <c r="I4028" i="7"/>
  <c r="I4029" i="7"/>
  <c r="I4030" i="7"/>
  <c r="I4031" i="7"/>
  <c r="I4032" i="7"/>
  <c r="I4033" i="7"/>
  <c r="I4034" i="7"/>
  <c r="I4035" i="7"/>
  <c r="I4036" i="7"/>
  <c r="I4037" i="7"/>
  <c r="I4038" i="7"/>
  <c r="I4039" i="7"/>
  <c r="I4040" i="7"/>
  <c r="I4041" i="7"/>
  <c r="I4042" i="7"/>
  <c r="I4043" i="7"/>
  <c r="I4044" i="7"/>
  <c r="I4045" i="7"/>
  <c r="I4046" i="7"/>
  <c r="I4047" i="7"/>
  <c r="I4048" i="7"/>
  <c r="I4049" i="7"/>
  <c r="I4050" i="7"/>
  <c r="I4051" i="7"/>
  <c r="I4052" i="7"/>
  <c r="I4053" i="7"/>
  <c r="I4054" i="7"/>
  <c r="I4055" i="7"/>
  <c r="I4056" i="7"/>
  <c r="I4057" i="7"/>
  <c r="I4058" i="7"/>
  <c r="I4059" i="7"/>
  <c r="I4060" i="7"/>
  <c r="I4061" i="7"/>
  <c r="I4062" i="7"/>
  <c r="I4063" i="7"/>
  <c r="I4064" i="7"/>
  <c r="I4065" i="7"/>
  <c r="I4066" i="7"/>
  <c r="I4067" i="7"/>
  <c r="I4068" i="7"/>
  <c r="I4069" i="7"/>
  <c r="I4070" i="7"/>
  <c r="I4071" i="7"/>
  <c r="I4072" i="7"/>
  <c r="I4073" i="7"/>
  <c r="I4074" i="7"/>
  <c r="I4075" i="7"/>
  <c r="I4076" i="7"/>
  <c r="I4077" i="7"/>
  <c r="I4078" i="7"/>
  <c r="I4079" i="7"/>
  <c r="I4080" i="7"/>
  <c r="I4081" i="7"/>
  <c r="I4082" i="7"/>
  <c r="I4083" i="7"/>
  <c r="I4084" i="7"/>
  <c r="I4085" i="7"/>
  <c r="I4086" i="7"/>
  <c r="I4087" i="7"/>
  <c r="I4088" i="7"/>
  <c r="I4089" i="7"/>
  <c r="I4090" i="7"/>
  <c r="I4091" i="7"/>
  <c r="I4092" i="7"/>
  <c r="I4093" i="7"/>
  <c r="I4094" i="7"/>
  <c r="I4095" i="7"/>
  <c r="I4096" i="7"/>
  <c r="I4097" i="7"/>
  <c r="I4098" i="7"/>
  <c r="I4099" i="7"/>
  <c r="I4100" i="7"/>
  <c r="I4101" i="7"/>
  <c r="I4102" i="7"/>
  <c r="I4103" i="7"/>
  <c r="I4104" i="7"/>
  <c r="I4105" i="7"/>
  <c r="I4106" i="7"/>
  <c r="I4107" i="7"/>
  <c r="I4108" i="7"/>
  <c r="I4109" i="7"/>
  <c r="I4110" i="7"/>
  <c r="I4111" i="7"/>
  <c r="I4112" i="7"/>
  <c r="I4113" i="7"/>
  <c r="I4114" i="7"/>
  <c r="I4115" i="7"/>
  <c r="I4116" i="7"/>
  <c r="I4117" i="7"/>
  <c r="I4118" i="7"/>
  <c r="I4119" i="7"/>
  <c r="I4120" i="7"/>
  <c r="I4121" i="7"/>
  <c r="I4122" i="7"/>
  <c r="I4123" i="7"/>
  <c r="I4124" i="7"/>
  <c r="I4125" i="7"/>
  <c r="I4126" i="7"/>
  <c r="I4127" i="7"/>
  <c r="I4128" i="7"/>
  <c r="I4129" i="7"/>
  <c r="I4130" i="7"/>
  <c r="I4131" i="7"/>
  <c r="I4132" i="7"/>
  <c r="I4133" i="7"/>
  <c r="I4134" i="7"/>
  <c r="I4135" i="7"/>
  <c r="I4136" i="7"/>
  <c r="I4137" i="7"/>
  <c r="I4138" i="7"/>
  <c r="I4139" i="7"/>
  <c r="I4140" i="7"/>
  <c r="I4141" i="7"/>
  <c r="I4142" i="7"/>
  <c r="I4143" i="7"/>
  <c r="I4144" i="7"/>
  <c r="I4145" i="7"/>
  <c r="I4146" i="7"/>
  <c r="I4147" i="7"/>
  <c r="I4148" i="7"/>
  <c r="I4149" i="7"/>
  <c r="I4150" i="7"/>
  <c r="I4151" i="7"/>
  <c r="I4152" i="7"/>
  <c r="I4153" i="7"/>
  <c r="I4154" i="7"/>
  <c r="I4155" i="7"/>
  <c r="I4156" i="7"/>
  <c r="I4157" i="7"/>
  <c r="I4158" i="7"/>
  <c r="I4159" i="7"/>
  <c r="I4160" i="7"/>
  <c r="I4161" i="7"/>
  <c r="I4162" i="7"/>
  <c r="I4163" i="7"/>
  <c r="I4164" i="7"/>
  <c r="I4165" i="7"/>
  <c r="I4166" i="7"/>
  <c r="I4167" i="7"/>
  <c r="I4168" i="7"/>
  <c r="I4169" i="7"/>
  <c r="I4170" i="7"/>
  <c r="I4171" i="7"/>
  <c r="I4172" i="7"/>
  <c r="I4173" i="7"/>
  <c r="I4174" i="7"/>
  <c r="I4175" i="7"/>
  <c r="I4176" i="7"/>
  <c r="I4177" i="7"/>
  <c r="I4178" i="7"/>
  <c r="I4179" i="7"/>
  <c r="I4180" i="7"/>
  <c r="I4181" i="7"/>
  <c r="I4182" i="7"/>
  <c r="I4183" i="7"/>
  <c r="I4184" i="7"/>
  <c r="I4185" i="7"/>
  <c r="I4186" i="7"/>
  <c r="I4187" i="7"/>
  <c r="I4188" i="7"/>
  <c r="I4189" i="7"/>
  <c r="I4190" i="7"/>
  <c r="I4191" i="7"/>
  <c r="I4192" i="7"/>
  <c r="I4193" i="7"/>
  <c r="I4194" i="7"/>
  <c r="I4195" i="7"/>
  <c r="I4196" i="7"/>
  <c r="I4197" i="7"/>
  <c r="I4198" i="7"/>
  <c r="I4199" i="7"/>
  <c r="I4200" i="7"/>
  <c r="I4201" i="7"/>
  <c r="I4202" i="7"/>
  <c r="I4203" i="7"/>
  <c r="I4204" i="7"/>
  <c r="I4205" i="7"/>
  <c r="I4206" i="7"/>
  <c r="I4207" i="7"/>
  <c r="I4208" i="7"/>
  <c r="I4209" i="7"/>
  <c r="I4210" i="7"/>
  <c r="I4211" i="7"/>
  <c r="I4212" i="7"/>
  <c r="I4213" i="7"/>
  <c r="I4214" i="7"/>
  <c r="I4215" i="7"/>
  <c r="I4216" i="7"/>
  <c r="I4217" i="7"/>
  <c r="I4218" i="7"/>
  <c r="I4219" i="7"/>
  <c r="I4220" i="7"/>
  <c r="I4221" i="7"/>
  <c r="I4222" i="7"/>
  <c r="I4223" i="7"/>
  <c r="I4224" i="7"/>
  <c r="I4225" i="7"/>
  <c r="I4226" i="7"/>
  <c r="I4227" i="7"/>
  <c r="I4228" i="7"/>
  <c r="I4229" i="7"/>
  <c r="I4230" i="7"/>
  <c r="I4231" i="7"/>
  <c r="I4232" i="7"/>
  <c r="I4233" i="7"/>
  <c r="I4234" i="7"/>
  <c r="I4235" i="7"/>
  <c r="I4236" i="7"/>
  <c r="I4237" i="7"/>
  <c r="I4238" i="7"/>
  <c r="I4239" i="7"/>
  <c r="I4240" i="7"/>
  <c r="I4241" i="7"/>
  <c r="I4242" i="7"/>
  <c r="I4243" i="7"/>
  <c r="I4244" i="7"/>
  <c r="I4245" i="7"/>
  <c r="I4246" i="7"/>
  <c r="I4247" i="7"/>
  <c r="I4248" i="7"/>
  <c r="I4249" i="7"/>
  <c r="I4250" i="7"/>
  <c r="I4251" i="7"/>
  <c r="I4252" i="7"/>
  <c r="I4253" i="7"/>
  <c r="I4254" i="7"/>
  <c r="I4255" i="7"/>
  <c r="I4256" i="7"/>
  <c r="I4257" i="7"/>
  <c r="I4258" i="7"/>
  <c r="I4259" i="7"/>
  <c r="I4260" i="7"/>
  <c r="I4261" i="7"/>
  <c r="I4262" i="7"/>
  <c r="I4263" i="7"/>
  <c r="I4264" i="7"/>
  <c r="I4265" i="7"/>
  <c r="I4266" i="7"/>
  <c r="I4267" i="7"/>
  <c r="I4268" i="7"/>
  <c r="I4269" i="7"/>
  <c r="I4270" i="7"/>
  <c r="I4271" i="7"/>
  <c r="I4272" i="7"/>
  <c r="I4273" i="7"/>
  <c r="I4274" i="7"/>
  <c r="I4275" i="7"/>
  <c r="I4276" i="7"/>
  <c r="I4277" i="7"/>
  <c r="I4278" i="7"/>
  <c r="I4279" i="7"/>
  <c r="I4280" i="7"/>
  <c r="I4281" i="7"/>
  <c r="I4282" i="7"/>
  <c r="I4283" i="7"/>
  <c r="I4284" i="7"/>
  <c r="I4285" i="7"/>
  <c r="I4286" i="7"/>
  <c r="I4287" i="7"/>
  <c r="I4288" i="7"/>
  <c r="I4289" i="7"/>
  <c r="I4290" i="7"/>
  <c r="I4291" i="7"/>
  <c r="I4292" i="7"/>
  <c r="I4293" i="7"/>
  <c r="I4294" i="7"/>
  <c r="I4295" i="7"/>
  <c r="I4296" i="7"/>
  <c r="I4297" i="7"/>
  <c r="I4298" i="7"/>
  <c r="I4299" i="7"/>
  <c r="I4300" i="7"/>
  <c r="I4301" i="7"/>
  <c r="I4302" i="7"/>
  <c r="I4303" i="7"/>
  <c r="I4304" i="7"/>
  <c r="I4305" i="7"/>
  <c r="I4306" i="7"/>
  <c r="I4307" i="7"/>
  <c r="I4308" i="7"/>
  <c r="I4309" i="7"/>
  <c r="I4310" i="7"/>
  <c r="I4311" i="7"/>
  <c r="I4312" i="7"/>
  <c r="I4313" i="7"/>
  <c r="I4314" i="7"/>
  <c r="I4315" i="7"/>
  <c r="I4316" i="7"/>
  <c r="I4317" i="7"/>
  <c r="I4318" i="7"/>
  <c r="I4319" i="7"/>
  <c r="I4320" i="7"/>
  <c r="I4321" i="7"/>
  <c r="I4322" i="7"/>
  <c r="I4323" i="7"/>
  <c r="I4324" i="7"/>
  <c r="I4325" i="7"/>
  <c r="I4326" i="7"/>
  <c r="I4327" i="7"/>
  <c r="I4328" i="7"/>
  <c r="I4329" i="7"/>
  <c r="I4330" i="7"/>
  <c r="I4331" i="7"/>
  <c r="I4332" i="7"/>
  <c r="I4333" i="7"/>
  <c r="I4334" i="7"/>
  <c r="I4335" i="7"/>
  <c r="I4336" i="7"/>
  <c r="I4337" i="7"/>
  <c r="I4338" i="7"/>
  <c r="I4339" i="7"/>
  <c r="I4340" i="7"/>
  <c r="I4341" i="7"/>
  <c r="I4342" i="7"/>
  <c r="I4343" i="7"/>
  <c r="I4344" i="7"/>
  <c r="I4345" i="7"/>
  <c r="I4346" i="7"/>
  <c r="I4347" i="7"/>
  <c r="I4348" i="7"/>
  <c r="I4349" i="7"/>
  <c r="I4350" i="7"/>
  <c r="I4351" i="7"/>
  <c r="I4352" i="7"/>
  <c r="I4353" i="7"/>
  <c r="I4354" i="7"/>
  <c r="I4355" i="7"/>
  <c r="I4356" i="7"/>
  <c r="I4357" i="7"/>
  <c r="I4358" i="7"/>
  <c r="I4359" i="7"/>
  <c r="I4360" i="7"/>
  <c r="I4361" i="7"/>
  <c r="I4362" i="7"/>
  <c r="I4363" i="7"/>
  <c r="I4364" i="7"/>
  <c r="I4365" i="7"/>
  <c r="I4366" i="7"/>
  <c r="I4367" i="7"/>
  <c r="I4368" i="7"/>
  <c r="I4369" i="7"/>
  <c r="I4370" i="7"/>
  <c r="I4371" i="7"/>
  <c r="I4372" i="7"/>
  <c r="I4373" i="7"/>
  <c r="I4374" i="7"/>
  <c r="I4375" i="7"/>
  <c r="I4376" i="7"/>
  <c r="I4377" i="7"/>
  <c r="I4378" i="7"/>
  <c r="I4379" i="7"/>
  <c r="I4380" i="7"/>
  <c r="I4381" i="7"/>
  <c r="I4382" i="7"/>
  <c r="I4383" i="7"/>
  <c r="I4384" i="7"/>
  <c r="I4385" i="7"/>
  <c r="I4386" i="7"/>
  <c r="I4387" i="7"/>
  <c r="I4388" i="7"/>
  <c r="I4389" i="7"/>
  <c r="I4390" i="7"/>
  <c r="I4391" i="7"/>
  <c r="I4392" i="7"/>
  <c r="I4393" i="7"/>
  <c r="I4394" i="7"/>
  <c r="I4395" i="7"/>
  <c r="I4396" i="7"/>
  <c r="I4397" i="7"/>
  <c r="I4398" i="7"/>
  <c r="I4399" i="7"/>
  <c r="I4400" i="7"/>
  <c r="I4401" i="7"/>
  <c r="I4402" i="7"/>
  <c r="I4403" i="7"/>
  <c r="I4404" i="7"/>
  <c r="I4405" i="7"/>
  <c r="I4406" i="7"/>
  <c r="I4407" i="7"/>
  <c r="I4408" i="7"/>
  <c r="I4409" i="7"/>
  <c r="I4410" i="7"/>
  <c r="I4411" i="7"/>
  <c r="I4412" i="7"/>
  <c r="I4413" i="7"/>
  <c r="I4414" i="7"/>
  <c r="I4415" i="7"/>
  <c r="I4416" i="7"/>
  <c r="I4417" i="7"/>
  <c r="I4418" i="7"/>
  <c r="I4419" i="7"/>
  <c r="I4420" i="7"/>
  <c r="I4421" i="7"/>
  <c r="I4422" i="7"/>
  <c r="I4423" i="7"/>
  <c r="I4424" i="7"/>
  <c r="I4425" i="7"/>
  <c r="I4426" i="7"/>
  <c r="I4427" i="7"/>
  <c r="I4428" i="7"/>
  <c r="I4429" i="7"/>
  <c r="I4430" i="7"/>
  <c r="I4431" i="7"/>
  <c r="I4432" i="7"/>
  <c r="I4433" i="7"/>
  <c r="I4434" i="7"/>
  <c r="I4435" i="7"/>
  <c r="I4436" i="7"/>
  <c r="I4437" i="7"/>
  <c r="I4438" i="7"/>
  <c r="I4439" i="7"/>
  <c r="I4440" i="7"/>
  <c r="I4441" i="7"/>
  <c r="I4442" i="7"/>
  <c r="I4443" i="7"/>
  <c r="I4444" i="7"/>
  <c r="I4445" i="7"/>
  <c r="I4446" i="7"/>
  <c r="I4447" i="7"/>
  <c r="I4448" i="7"/>
  <c r="I4449" i="7"/>
  <c r="I4450" i="7"/>
  <c r="I4451" i="7"/>
  <c r="I4452" i="7"/>
  <c r="I4453" i="7"/>
  <c r="I4454" i="7"/>
  <c r="I4455" i="7"/>
  <c r="I4456" i="7"/>
  <c r="I4457" i="7"/>
  <c r="I4458" i="7"/>
  <c r="I4459" i="7"/>
  <c r="I4460" i="7"/>
  <c r="I4461" i="7"/>
  <c r="I4462" i="7"/>
  <c r="I4463" i="7"/>
  <c r="I4464" i="7"/>
  <c r="I4465" i="7"/>
  <c r="I4466" i="7"/>
  <c r="I4467" i="7"/>
  <c r="I4468" i="7"/>
  <c r="I4469" i="7"/>
  <c r="I4470" i="7"/>
  <c r="I4471" i="7"/>
  <c r="I4472" i="7"/>
  <c r="I4473" i="7"/>
  <c r="I4474" i="7"/>
  <c r="I4475" i="7"/>
  <c r="I4476" i="7"/>
  <c r="I4477" i="7"/>
  <c r="I4478" i="7"/>
  <c r="I4479" i="7"/>
  <c r="I4480" i="7"/>
  <c r="I4481" i="7"/>
  <c r="I4482" i="7"/>
  <c r="I4483" i="7"/>
  <c r="I4484" i="7"/>
  <c r="I4485" i="7"/>
  <c r="I4486" i="7"/>
  <c r="I4487" i="7"/>
  <c r="I4488" i="7"/>
  <c r="I4489" i="7"/>
  <c r="I4490" i="7"/>
  <c r="I4491" i="7"/>
  <c r="I4492" i="7"/>
  <c r="I4493" i="7"/>
  <c r="I4494" i="7"/>
  <c r="I4495" i="7"/>
  <c r="I4496" i="7"/>
  <c r="I4497" i="7"/>
  <c r="I4498" i="7"/>
  <c r="I4499" i="7"/>
  <c r="I4500" i="7"/>
  <c r="I4501" i="7"/>
  <c r="I4502" i="7"/>
  <c r="I4503" i="7"/>
  <c r="I4504" i="7"/>
  <c r="I4505" i="7"/>
  <c r="I4506" i="7"/>
  <c r="I4507" i="7"/>
  <c r="I4508" i="7"/>
  <c r="I4509" i="7"/>
  <c r="I4510" i="7"/>
  <c r="I4511" i="7"/>
  <c r="I4512" i="7"/>
  <c r="I4513" i="7"/>
  <c r="I4514" i="7"/>
  <c r="I4515" i="7"/>
  <c r="I4516" i="7"/>
  <c r="I4517" i="7"/>
  <c r="I4518" i="7"/>
  <c r="I4519" i="7"/>
  <c r="I4520" i="7"/>
  <c r="I4521" i="7"/>
  <c r="I4522" i="7"/>
  <c r="I4523" i="7"/>
  <c r="I4524" i="7"/>
  <c r="I4525" i="7"/>
  <c r="I4526" i="7"/>
  <c r="I4527" i="7"/>
  <c r="I4528" i="7"/>
  <c r="I4529" i="7"/>
  <c r="I4530" i="7"/>
  <c r="I4531" i="7"/>
  <c r="I4532" i="7"/>
  <c r="I4533" i="7"/>
  <c r="I4534" i="7"/>
  <c r="I4535" i="7"/>
  <c r="I4536" i="7"/>
  <c r="I4537" i="7"/>
  <c r="I4538" i="7"/>
  <c r="I4539" i="7"/>
  <c r="I4540" i="7"/>
  <c r="I4541" i="7"/>
  <c r="I4542" i="7"/>
  <c r="I4543" i="7"/>
  <c r="I4544" i="7"/>
  <c r="I4545" i="7"/>
  <c r="I4546" i="7"/>
  <c r="I4547" i="7"/>
  <c r="I4548" i="7"/>
  <c r="I4549" i="7"/>
  <c r="I4550" i="7"/>
  <c r="I4551" i="7"/>
  <c r="I4552" i="7"/>
  <c r="I4553" i="7"/>
  <c r="I4554" i="7"/>
  <c r="I4555" i="7"/>
  <c r="I4556" i="7"/>
  <c r="I4557" i="7"/>
  <c r="I4558" i="7"/>
  <c r="I4559" i="7"/>
  <c r="I4560" i="7"/>
  <c r="I4561" i="7"/>
  <c r="I4562" i="7"/>
  <c r="I4563" i="7"/>
  <c r="I4564" i="7"/>
  <c r="I4565" i="7"/>
  <c r="I4566" i="7"/>
  <c r="I4567" i="7"/>
  <c r="I4568" i="7"/>
  <c r="I4569" i="7"/>
  <c r="I4570" i="7"/>
  <c r="I4571" i="7"/>
  <c r="I4572" i="7"/>
  <c r="I4573" i="7"/>
  <c r="I4574" i="7"/>
  <c r="I4575" i="7"/>
  <c r="I4576" i="7"/>
  <c r="I4577" i="7"/>
  <c r="I4578" i="7"/>
  <c r="I4579" i="7"/>
  <c r="I4580" i="7"/>
  <c r="I4581" i="7"/>
  <c r="I4582" i="7"/>
  <c r="I4583" i="7"/>
  <c r="I4584" i="7"/>
  <c r="I4585" i="7"/>
  <c r="I4586" i="7"/>
  <c r="I4587" i="7"/>
  <c r="I4588" i="7"/>
  <c r="I4589" i="7"/>
  <c r="I4590" i="7"/>
  <c r="I4591" i="7"/>
  <c r="I4592" i="7"/>
  <c r="I4593" i="7"/>
  <c r="I4594" i="7"/>
  <c r="I4595" i="7"/>
  <c r="I4596" i="7"/>
  <c r="I4597" i="7"/>
  <c r="I4598" i="7"/>
  <c r="I4599" i="7"/>
  <c r="I4600" i="7"/>
  <c r="I4601" i="7"/>
  <c r="I4602" i="7"/>
  <c r="I4603" i="7"/>
  <c r="I4604" i="7"/>
  <c r="I4605" i="7"/>
  <c r="I4606" i="7"/>
  <c r="I4607" i="7"/>
  <c r="I4608" i="7"/>
  <c r="I4609" i="7"/>
  <c r="I4610" i="7"/>
  <c r="I4611" i="7"/>
  <c r="I4612" i="7"/>
  <c r="I4613" i="7"/>
  <c r="I4614" i="7"/>
  <c r="I4615" i="7"/>
  <c r="I4616" i="7"/>
  <c r="I4617" i="7"/>
  <c r="I4618" i="7"/>
  <c r="I4619" i="7"/>
  <c r="I4620" i="7"/>
  <c r="I4621" i="7"/>
  <c r="I4622" i="7"/>
  <c r="I4623" i="7"/>
  <c r="I4624" i="7"/>
  <c r="I4625" i="7"/>
  <c r="I4626" i="7"/>
  <c r="I4627" i="7"/>
  <c r="I4628" i="7"/>
  <c r="I4629" i="7"/>
  <c r="I4630" i="7"/>
  <c r="I4631" i="7"/>
  <c r="I4632" i="7"/>
  <c r="I4633" i="7"/>
  <c r="I4634" i="7"/>
  <c r="I4635" i="7"/>
  <c r="I4636" i="7"/>
  <c r="I4637" i="7"/>
  <c r="I4638" i="7"/>
  <c r="I4639" i="7"/>
  <c r="I4640" i="7"/>
  <c r="I4641" i="7"/>
  <c r="I4642" i="7"/>
  <c r="I4643" i="7"/>
  <c r="I4644" i="7"/>
  <c r="I4645" i="7"/>
  <c r="I4646" i="7"/>
  <c r="I4647" i="7"/>
  <c r="I4648" i="7"/>
  <c r="I4649" i="7"/>
  <c r="I4650" i="7"/>
  <c r="I4651" i="7"/>
  <c r="I4652" i="7"/>
  <c r="I4653" i="7"/>
  <c r="I4654" i="7"/>
  <c r="I4655" i="7"/>
  <c r="I4656" i="7"/>
  <c r="I4657" i="7"/>
  <c r="I4658" i="7"/>
  <c r="I4659" i="7"/>
  <c r="I4660" i="7"/>
  <c r="I4661" i="7"/>
  <c r="I4662" i="7"/>
  <c r="I4663" i="7"/>
  <c r="I4664" i="7"/>
  <c r="I4665" i="7"/>
  <c r="I4666" i="7"/>
  <c r="I4667" i="7"/>
  <c r="I4668" i="7"/>
  <c r="I4669" i="7"/>
  <c r="I4670" i="7"/>
  <c r="I4671" i="7"/>
  <c r="I4672" i="7"/>
  <c r="I4673" i="7"/>
  <c r="I4674" i="7"/>
  <c r="I4675" i="7"/>
  <c r="I4676" i="7"/>
  <c r="I4677" i="7"/>
  <c r="I4678" i="7"/>
  <c r="I4679" i="7"/>
  <c r="I4680" i="7"/>
  <c r="I4681" i="7"/>
  <c r="I4682" i="7"/>
  <c r="I4683" i="7"/>
  <c r="I4684" i="7"/>
  <c r="I4685" i="7"/>
  <c r="I4686" i="7"/>
  <c r="I4687" i="7"/>
  <c r="I4688" i="7"/>
  <c r="I4689" i="7"/>
  <c r="I4690" i="7"/>
  <c r="I4691" i="7"/>
  <c r="I4692" i="7"/>
  <c r="I4693" i="7"/>
  <c r="I4694" i="7"/>
  <c r="I4695" i="7"/>
  <c r="I4696" i="7"/>
  <c r="I4697" i="7"/>
  <c r="I4698" i="7"/>
  <c r="I4699" i="7"/>
  <c r="I4700" i="7"/>
  <c r="I4701" i="7"/>
  <c r="I4702" i="7"/>
  <c r="I4703" i="7"/>
  <c r="I4704" i="7"/>
  <c r="I4705" i="7"/>
  <c r="I4706" i="7"/>
  <c r="I4707" i="7"/>
  <c r="I4708" i="7"/>
  <c r="I4709" i="7"/>
  <c r="I4710" i="7"/>
  <c r="I4711" i="7"/>
  <c r="I4712" i="7"/>
  <c r="I4713" i="7"/>
  <c r="I4714" i="7"/>
  <c r="I4715" i="7"/>
  <c r="I4716" i="7"/>
  <c r="I4717" i="7"/>
  <c r="I4718" i="7"/>
  <c r="I4719" i="7"/>
  <c r="I4720" i="7"/>
  <c r="I4721" i="7"/>
  <c r="I4722" i="7"/>
  <c r="I4723" i="7"/>
  <c r="I4724" i="7"/>
  <c r="I4725" i="7"/>
  <c r="I4726" i="7"/>
  <c r="I4727" i="7"/>
  <c r="I4728" i="7"/>
  <c r="I4729" i="7"/>
  <c r="I4730" i="7"/>
  <c r="I4731" i="7"/>
  <c r="I4732" i="7"/>
  <c r="I4733" i="7"/>
  <c r="I4734" i="7"/>
  <c r="I4735" i="7"/>
  <c r="I4736" i="7"/>
  <c r="I4737" i="7"/>
  <c r="I4738" i="7"/>
  <c r="I4739" i="7"/>
  <c r="I4740" i="7"/>
  <c r="I4741" i="7"/>
  <c r="I4742" i="7"/>
  <c r="I4743" i="7"/>
  <c r="I4744" i="7"/>
  <c r="I4745" i="7"/>
  <c r="I4746" i="7"/>
  <c r="I4747" i="7"/>
  <c r="I4748" i="7"/>
  <c r="I4749" i="7"/>
  <c r="I4750" i="7"/>
  <c r="I4751" i="7"/>
  <c r="I4752" i="7"/>
  <c r="I4753" i="7"/>
  <c r="I4754" i="7"/>
  <c r="I4755" i="7"/>
  <c r="I4756" i="7"/>
  <c r="I4757" i="7"/>
  <c r="I4758" i="7"/>
  <c r="I4759" i="7"/>
  <c r="I4760" i="7"/>
  <c r="I4761" i="7"/>
  <c r="I4762" i="7"/>
  <c r="I4763" i="7"/>
  <c r="I4764" i="7"/>
  <c r="I4765" i="7"/>
  <c r="I4766" i="7"/>
  <c r="I4767" i="7"/>
  <c r="I4768" i="7"/>
  <c r="I4769" i="7"/>
  <c r="I4770" i="7"/>
  <c r="I4771" i="7"/>
  <c r="I4772" i="7"/>
  <c r="I4773" i="7"/>
  <c r="I4774" i="7"/>
  <c r="I4775" i="7"/>
  <c r="I4776" i="7"/>
  <c r="I4777" i="7"/>
  <c r="I4778" i="7"/>
  <c r="I4779" i="7"/>
  <c r="I4780" i="7"/>
  <c r="I4781" i="7"/>
  <c r="I4782" i="7"/>
  <c r="I4783" i="7"/>
  <c r="I4784" i="7"/>
  <c r="I4785" i="7"/>
  <c r="I4786" i="7"/>
  <c r="I4787" i="7"/>
  <c r="I4788" i="7"/>
  <c r="I4789" i="7"/>
  <c r="I4790" i="7"/>
  <c r="I4791" i="7"/>
  <c r="I4792" i="7"/>
  <c r="I4793" i="7"/>
  <c r="I4794" i="7"/>
  <c r="I4795" i="7"/>
  <c r="I4796" i="7"/>
  <c r="I4797" i="7"/>
  <c r="I4798" i="7"/>
  <c r="I4799" i="7"/>
  <c r="I4800" i="7"/>
  <c r="I4801" i="7"/>
  <c r="I4802" i="7"/>
  <c r="I4803" i="7"/>
  <c r="I4804" i="7"/>
  <c r="I4805" i="7"/>
  <c r="I4806" i="7"/>
  <c r="I4807" i="7"/>
  <c r="I4808" i="7"/>
  <c r="I4809" i="7"/>
  <c r="I4810" i="7"/>
  <c r="I4811" i="7"/>
  <c r="I4812" i="7"/>
  <c r="I4813" i="7"/>
  <c r="I4814" i="7"/>
  <c r="I4815" i="7"/>
  <c r="I4816" i="7"/>
  <c r="I4817" i="7"/>
  <c r="I4818" i="7"/>
  <c r="I4819" i="7"/>
  <c r="I4820" i="7"/>
  <c r="I4821" i="7"/>
  <c r="I4822" i="7"/>
  <c r="I4823" i="7"/>
  <c r="I4824" i="7"/>
  <c r="I4825" i="7"/>
  <c r="I4826" i="7"/>
  <c r="I4827" i="7"/>
  <c r="I4828" i="7"/>
  <c r="I4829" i="7"/>
  <c r="I4830" i="7"/>
  <c r="I4831" i="7"/>
  <c r="I4832" i="7"/>
  <c r="I4833" i="7"/>
  <c r="I4834" i="7"/>
  <c r="I4835" i="7"/>
  <c r="I4836" i="7"/>
  <c r="I4837" i="7"/>
  <c r="I4838" i="7"/>
  <c r="I4839" i="7"/>
  <c r="I4840" i="7"/>
  <c r="I4841" i="7"/>
  <c r="I4842" i="7"/>
  <c r="I4843" i="7"/>
  <c r="I4844" i="7"/>
  <c r="I4845" i="7"/>
  <c r="I4846" i="7"/>
  <c r="I4847" i="7"/>
  <c r="I4848" i="7"/>
  <c r="I4849" i="7"/>
  <c r="I4850" i="7"/>
  <c r="I4851" i="7"/>
  <c r="I4852" i="7"/>
  <c r="I4853" i="7"/>
  <c r="I4854" i="7"/>
  <c r="I4855" i="7"/>
  <c r="I4856" i="7"/>
  <c r="I4857" i="7"/>
  <c r="I4858" i="7"/>
  <c r="I4859" i="7"/>
  <c r="I4860" i="7"/>
  <c r="I4861" i="7"/>
  <c r="I4862" i="7"/>
  <c r="I4863" i="7"/>
  <c r="I4864" i="7"/>
  <c r="I4865" i="7"/>
  <c r="I4866" i="7"/>
  <c r="I4867" i="7"/>
  <c r="I4868" i="7"/>
  <c r="I4869" i="7"/>
  <c r="I4870" i="7"/>
  <c r="I4871" i="7"/>
  <c r="I4872" i="7"/>
  <c r="I4873" i="7"/>
  <c r="I4874" i="7"/>
  <c r="I4875" i="7"/>
  <c r="I4876" i="7"/>
  <c r="I4877" i="7"/>
  <c r="I4878" i="7"/>
  <c r="I4879" i="7"/>
  <c r="I4880" i="7"/>
  <c r="I4881" i="7"/>
  <c r="I4882" i="7"/>
  <c r="I4883" i="7"/>
  <c r="I4884" i="7"/>
  <c r="I4885" i="7"/>
  <c r="I4886" i="7"/>
  <c r="I4887" i="7"/>
  <c r="I4888" i="7"/>
  <c r="I4889" i="7"/>
  <c r="I4890" i="7"/>
  <c r="I4891" i="7"/>
  <c r="I4892" i="7"/>
  <c r="I4893" i="7"/>
  <c r="I4894" i="7"/>
  <c r="I4895" i="7"/>
  <c r="I4896" i="7"/>
  <c r="I4897" i="7"/>
  <c r="I4898" i="7"/>
  <c r="I4899" i="7"/>
  <c r="I4900" i="7"/>
  <c r="I4901" i="7"/>
  <c r="I4902" i="7"/>
  <c r="I4903" i="7"/>
  <c r="I4904" i="7"/>
  <c r="I4905" i="7"/>
  <c r="I4906" i="7"/>
  <c r="I4907" i="7"/>
  <c r="I4908" i="7"/>
  <c r="I4909" i="7"/>
  <c r="I4910" i="7"/>
  <c r="I4911" i="7"/>
  <c r="I4912" i="7"/>
  <c r="I4913" i="7"/>
  <c r="I4914" i="7"/>
  <c r="I4915" i="7"/>
  <c r="I4916" i="7"/>
  <c r="I4917" i="7"/>
  <c r="I4918" i="7"/>
  <c r="I4919" i="7"/>
  <c r="I4920" i="7"/>
  <c r="I4921" i="7"/>
  <c r="I4922" i="7"/>
  <c r="I4923" i="7"/>
  <c r="I4924" i="7"/>
  <c r="I4925" i="7"/>
  <c r="I4926" i="7"/>
  <c r="I4927" i="7"/>
  <c r="I4928" i="7"/>
  <c r="I4929" i="7"/>
  <c r="I4930" i="7"/>
  <c r="I4931" i="7"/>
  <c r="I4932" i="7"/>
  <c r="I4933" i="7"/>
  <c r="I4934" i="7"/>
  <c r="I4935" i="7"/>
  <c r="I4936" i="7"/>
  <c r="I4937" i="7"/>
  <c r="I4938" i="7"/>
  <c r="I4939" i="7"/>
  <c r="I4940" i="7"/>
  <c r="I4941" i="7"/>
  <c r="I4942" i="7"/>
  <c r="I4943" i="7"/>
  <c r="I4944" i="7"/>
  <c r="I4945" i="7"/>
  <c r="I4946" i="7"/>
  <c r="I4947" i="7"/>
  <c r="I4948" i="7"/>
  <c r="I4949" i="7"/>
  <c r="I4950" i="7"/>
  <c r="I4951" i="7"/>
  <c r="I4952" i="7"/>
  <c r="I4953" i="7"/>
  <c r="I4954" i="7"/>
  <c r="I4955" i="7"/>
  <c r="I4956" i="7"/>
  <c r="I4957" i="7"/>
  <c r="I4958" i="7"/>
  <c r="I4959" i="7"/>
  <c r="I4960" i="7"/>
  <c r="I4961" i="7"/>
  <c r="I4962" i="7"/>
  <c r="I4963" i="7"/>
  <c r="I4964" i="7"/>
  <c r="I4965" i="7"/>
  <c r="I4966" i="7"/>
  <c r="I4967" i="7"/>
  <c r="I4968" i="7"/>
  <c r="I4969" i="7"/>
  <c r="I4970" i="7"/>
  <c r="I4971" i="7"/>
  <c r="I4972" i="7"/>
  <c r="I4973" i="7"/>
  <c r="I4974" i="7"/>
  <c r="I4975" i="7"/>
  <c r="I4976" i="7"/>
  <c r="I4977" i="7"/>
  <c r="I4978" i="7"/>
  <c r="I4979" i="7"/>
  <c r="I4980" i="7"/>
  <c r="I4981" i="7"/>
  <c r="I4982" i="7"/>
  <c r="I4983" i="7"/>
  <c r="I4984" i="7"/>
  <c r="I4985" i="7"/>
  <c r="I4986" i="7"/>
  <c r="I4987" i="7"/>
  <c r="I4988" i="7"/>
  <c r="I4989" i="7"/>
  <c r="I4990" i="7"/>
  <c r="I4991" i="7"/>
  <c r="I4992" i="7"/>
  <c r="I4993" i="7"/>
  <c r="I4994" i="7"/>
  <c r="I4995" i="7"/>
  <c r="I4996" i="7"/>
  <c r="I4997" i="7"/>
  <c r="I4998" i="7"/>
  <c r="I4999" i="7"/>
  <c r="I5000" i="7"/>
  <c r="I5001" i="7"/>
  <c r="I5002" i="7"/>
  <c r="I5003" i="7"/>
  <c r="I5004" i="7"/>
  <c r="I5005" i="7"/>
  <c r="I5006" i="7"/>
  <c r="I5007" i="7"/>
  <c r="I5008" i="7"/>
  <c r="I5009" i="7"/>
  <c r="I5010" i="7"/>
  <c r="I5011" i="7"/>
  <c r="I5012" i="7"/>
  <c r="I5013" i="7"/>
  <c r="I5014" i="7"/>
  <c r="I5015" i="7"/>
  <c r="I5016" i="7"/>
  <c r="I5017" i="7"/>
  <c r="I5018" i="7"/>
  <c r="I5019" i="7"/>
  <c r="I5020" i="7"/>
  <c r="I5021" i="7"/>
  <c r="I5022" i="7"/>
  <c r="I5023" i="7"/>
  <c r="I5024" i="7"/>
  <c r="I5025" i="7"/>
  <c r="I5026" i="7"/>
  <c r="I5027" i="7"/>
  <c r="I5028" i="7"/>
  <c r="I5029" i="7"/>
  <c r="I5030" i="7"/>
  <c r="I5031" i="7"/>
  <c r="I5032" i="7"/>
  <c r="I5033" i="7"/>
  <c r="I5034" i="7"/>
  <c r="I5035" i="7"/>
  <c r="I5036" i="7"/>
  <c r="I5037" i="7"/>
  <c r="I5038" i="7"/>
  <c r="I5039" i="7"/>
  <c r="I5040" i="7"/>
  <c r="I5041" i="7"/>
  <c r="I5042" i="7"/>
  <c r="I5043" i="7"/>
  <c r="I5044" i="7"/>
  <c r="I5045" i="7"/>
  <c r="I5046" i="7"/>
  <c r="I5047" i="7"/>
  <c r="I5048" i="7"/>
  <c r="I5049" i="7"/>
  <c r="I5050" i="7"/>
  <c r="I5051" i="7"/>
  <c r="I5052" i="7"/>
  <c r="I5053" i="7"/>
  <c r="I5054" i="7"/>
  <c r="I5055" i="7"/>
  <c r="I5056" i="7"/>
  <c r="I5057" i="7"/>
  <c r="I5058" i="7"/>
  <c r="I5059" i="7"/>
  <c r="I5060" i="7"/>
  <c r="I5061" i="7"/>
  <c r="I5062" i="7"/>
  <c r="I5063" i="7"/>
  <c r="I5064" i="7"/>
  <c r="I5065" i="7"/>
  <c r="I5066" i="7"/>
  <c r="I5067" i="7"/>
  <c r="I5068" i="7"/>
  <c r="I5069" i="7"/>
  <c r="I5070" i="7"/>
  <c r="I5071" i="7"/>
  <c r="I5072" i="7"/>
  <c r="I5073" i="7"/>
  <c r="I5074" i="7"/>
  <c r="I5075" i="7"/>
  <c r="I5076" i="7"/>
  <c r="I5077" i="7"/>
  <c r="I5078" i="7"/>
  <c r="I5079" i="7"/>
  <c r="I5080" i="7"/>
  <c r="I5081" i="7"/>
  <c r="I5082" i="7"/>
  <c r="I5083" i="7"/>
  <c r="I5084" i="7"/>
  <c r="I5085" i="7"/>
  <c r="I5086" i="7"/>
  <c r="I5087" i="7"/>
  <c r="I5088" i="7"/>
  <c r="I5089" i="7"/>
  <c r="I5090" i="7"/>
  <c r="I5091" i="7"/>
  <c r="I5092" i="7"/>
  <c r="I5093" i="7"/>
  <c r="I5094" i="7"/>
  <c r="I5095" i="7"/>
  <c r="I5096" i="7"/>
  <c r="I5097" i="7"/>
  <c r="I5098" i="7"/>
  <c r="I5099" i="7"/>
  <c r="I5100" i="7"/>
  <c r="I5101" i="7"/>
  <c r="I5102" i="7"/>
  <c r="I5103" i="7"/>
  <c r="I5104" i="7"/>
  <c r="I5105" i="7"/>
  <c r="I5106" i="7"/>
  <c r="I5107" i="7"/>
  <c r="I5108" i="7"/>
  <c r="I5109" i="7"/>
  <c r="I5110" i="7"/>
  <c r="I5111" i="7"/>
  <c r="I5112" i="7"/>
  <c r="I5113" i="7"/>
  <c r="I5114" i="7"/>
  <c r="I5115" i="7"/>
  <c r="I5116" i="7"/>
  <c r="I5117" i="7"/>
  <c r="I5118" i="7"/>
  <c r="I5119" i="7"/>
  <c r="I5120" i="7"/>
  <c r="I5121" i="7"/>
  <c r="I5122" i="7"/>
  <c r="I5123" i="7"/>
  <c r="I5124" i="7"/>
  <c r="I5125" i="7"/>
  <c r="I5126" i="7"/>
  <c r="I5127" i="7"/>
  <c r="I5128" i="7"/>
  <c r="I5129" i="7"/>
  <c r="I5130" i="7"/>
  <c r="I5131" i="7"/>
  <c r="I5132" i="7"/>
  <c r="I5133" i="7"/>
  <c r="I5134" i="7"/>
  <c r="I5135" i="7"/>
  <c r="I5136" i="7"/>
  <c r="I5137" i="7"/>
  <c r="I5138" i="7"/>
  <c r="I5139" i="7"/>
  <c r="I5140" i="7"/>
  <c r="I5141" i="7"/>
  <c r="I5142" i="7"/>
  <c r="I5143" i="7"/>
  <c r="I5144" i="7"/>
  <c r="I5145" i="7"/>
  <c r="I5146" i="7"/>
  <c r="I5147" i="7"/>
  <c r="I5148" i="7"/>
  <c r="I5149" i="7"/>
  <c r="I5150" i="7"/>
  <c r="I5151" i="7"/>
  <c r="I5152" i="7"/>
  <c r="I5153" i="7"/>
  <c r="I5154" i="7"/>
  <c r="I5155" i="7"/>
  <c r="I5156" i="7"/>
  <c r="I5157" i="7"/>
  <c r="I5158" i="7"/>
  <c r="I5159" i="7"/>
  <c r="I5160" i="7"/>
  <c r="I5161" i="7"/>
  <c r="I5162" i="7"/>
  <c r="I5163" i="7"/>
  <c r="I5164" i="7"/>
  <c r="I5165" i="7"/>
  <c r="I5166" i="7"/>
  <c r="I5167" i="7"/>
  <c r="I5168" i="7"/>
  <c r="I5169" i="7"/>
  <c r="I5170" i="7"/>
  <c r="I5171" i="7"/>
  <c r="I5172" i="7"/>
  <c r="I5173" i="7"/>
  <c r="I5174" i="7"/>
  <c r="I5175" i="7"/>
  <c r="I5176" i="7"/>
  <c r="I5177" i="7"/>
  <c r="I5178" i="7"/>
  <c r="I5179" i="7"/>
  <c r="I5180" i="7"/>
  <c r="I5181" i="7"/>
  <c r="I5182" i="7"/>
  <c r="I5183" i="7"/>
  <c r="I5184" i="7"/>
  <c r="I5185" i="7"/>
  <c r="I5186" i="7"/>
  <c r="I5187" i="7"/>
  <c r="I5188" i="7"/>
  <c r="I5189" i="7"/>
  <c r="I5190" i="7"/>
  <c r="I5191" i="7"/>
  <c r="I5192" i="7"/>
  <c r="I5193" i="7"/>
  <c r="I5194" i="7"/>
  <c r="I5195" i="7"/>
  <c r="I5196" i="7"/>
  <c r="I5197" i="7"/>
  <c r="I5198" i="7"/>
  <c r="I5199" i="7"/>
  <c r="I5200" i="7"/>
  <c r="I5201" i="7"/>
  <c r="I5202" i="7"/>
  <c r="I5203" i="7"/>
  <c r="I5204" i="7"/>
  <c r="I5205" i="7"/>
  <c r="I5206" i="7"/>
  <c r="I5207" i="7"/>
  <c r="I5208" i="7"/>
  <c r="I5209" i="7"/>
  <c r="I5210" i="7"/>
  <c r="I5211" i="7"/>
  <c r="I5212" i="7"/>
  <c r="I5213" i="7"/>
  <c r="I5214" i="7"/>
  <c r="I5215" i="7"/>
  <c r="I5216" i="7"/>
  <c r="I5217" i="7"/>
  <c r="I5218" i="7"/>
  <c r="I5219" i="7"/>
  <c r="I5220" i="7"/>
  <c r="I5221" i="7"/>
  <c r="I5222" i="7"/>
  <c r="I5223" i="7"/>
  <c r="I5224" i="7"/>
  <c r="I5225" i="7"/>
  <c r="I5226" i="7"/>
  <c r="I5227" i="7"/>
  <c r="I5228" i="7"/>
  <c r="I5229" i="7"/>
  <c r="I5230" i="7"/>
  <c r="I5231" i="7"/>
  <c r="I5232" i="7"/>
  <c r="I5233" i="7"/>
  <c r="I5234" i="7"/>
  <c r="I5235" i="7"/>
  <c r="I5236" i="7"/>
  <c r="I5237" i="7"/>
  <c r="I5238" i="7"/>
  <c r="I5239" i="7"/>
  <c r="I5240" i="7"/>
  <c r="I5241" i="7"/>
  <c r="I5242" i="7"/>
  <c r="I5243" i="7"/>
  <c r="I5244" i="7"/>
  <c r="I5245" i="7"/>
  <c r="I5246" i="7"/>
  <c r="I5247" i="7"/>
  <c r="I5248" i="7"/>
  <c r="I5249" i="7"/>
  <c r="I5250" i="7"/>
  <c r="I5251" i="7"/>
  <c r="I5252" i="7"/>
  <c r="I5253" i="7"/>
  <c r="I5254" i="7"/>
  <c r="I5255" i="7"/>
  <c r="I5256" i="7"/>
  <c r="I5257" i="7"/>
  <c r="I5258" i="7"/>
  <c r="I5259" i="7"/>
  <c r="I5260" i="7"/>
  <c r="I5261" i="7"/>
  <c r="I5262" i="7"/>
  <c r="I5263" i="7"/>
  <c r="I5264" i="7"/>
  <c r="I5265" i="7"/>
  <c r="I5266" i="7"/>
  <c r="I5267" i="7"/>
  <c r="I5268" i="7"/>
  <c r="I5269" i="7"/>
  <c r="I5270" i="7"/>
  <c r="I5271" i="7"/>
  <c r="I5272" i="7"/>
  <c r="I5273" i="7"/>
  <c r="I5274" i="7"/>
  <c r="I5275" i="7"/>
  <c r="I5276" i="7"/>
  <c r="I5277" i="7"/>
  <c r="I5278" i="7"/>
  <c r="I5279" i="7"/>
  <c r="I5280" i="7"/>
  <c r="I5281" i="7"/>
  <c r="I5282" i="7"/>
  <c r="I5283" i="7"/>
  <c r="I5284" i="7"/>
  <c r="I5285" i="7"/>
  <c r="I5286" i="7"/>
  <c r="I5287" i="7"/>
  <c r="I5288" i="7"/>
  <c r="I5289" i="7"/>
  <c r="I5290" i="7"/>
  <c r="I5291" i="7"/>
  <c r="I5292" i="7"/>
  <c r="I5293" i="7"/>
  <c r="I5294" i="7"/>
  <c r="I5295" i="7"/>
  <c r="I5296" i="7"/>
  <c r="I5297" i="7"/>
  <c r="I5298" i="7"/>
  <c r="I5299" i="7"/>
  <c r="I5300" i="7"/>
  <c r="I5301" i="7"/>
  <c r="I5302" i="7"/>
  <c r="I5303" i="7"/>
  <c r="I5304" i="7"/>
  <c r="I5305" i="7"/>
  <c r="I5306" i="7"/>
  <c r="I5307" i="7"/>
  <c r="I5308" i="7"/>
  <c r="I5309" i="7"/>
  <c r="I5310" i="7"/>
  <c r="I5311" i="7"/>
  <c r="I5312" i="7"/>
  <c r="I5313" i="7"/>
  <c r="I5314" i="7"/>
  <c r="I5315" i="7"/>
  <c r="I5316" i="7"/>
  <c r="I5317" i="7"/>
  <c r="I5318" i="7"/>
  <c r="I5319" i="7"/>
  <c r="I5320" i="7"/>
  <c r="I5321" i="7"/>
  <c r="I5322" i="7"/>
  <c r="I5323" i="7"/>
  <c r="I5324" i="7"/>
  <c r="I5325" i="7"/>
  <c r="I5326" i="7"/>
  <c r="I5327" i="7"/>
  <c r="I5328" i="7"/>
  <c r="I5329" i="7"/>
  <c r="I5330" i="7"/>
  <c r="I5331" i="7"/>
  <c r="I5332" i="7"/>
  <c r="I5333" i="7"/>
  <c r="I5334" i="7"/>
  <c r="I5335" i="7"/>
  <c r="I5336" i="7"/>
  <c r="I5337" i="7"/>
  <c r="I5338" i="7"/>
  <c r="I5339" i="7"/>
  <c r="I5340" i="7"/>
  <c r="I5341" i="7"/>
  <c r="I5342" i="7"/>
  <c r="I5343" i="7"/>
  <c r="I5344" i="7"/>
  <c r="I5345" i="7"/>
  <c r="I5346" i="7"/>
  <c r="I5347" i="7"/>
  <c r="I5348" i="7"/>
  <c r="I5349" i="7"/>
  <c r="I5350" i="7"/>
  <c r="I5351" i="7"/>
  <c r="I5352" i="7"/>
  <c r="I5353" i="7"/>
  <c r="I5354" i="7"/>
  <c r="I5355" i="7"/>
  <c r="I5356" i="7"/>
  <c r="I5357" i="7"/>
  <c r="I5358" i="7"/>
  <c r="I5359" i="7"/>
  <c r="I5360" i="7"/>
  <c r="I5361" i="7"/>
  <c r="I5362" i="7"/>
  <c r="I5363" i="7"/>
  <c r="I5364" i="7"/>
  <c r="I5365" i="7"/>
  <c r="I5366" i="7"/>
  <c r="I5367" i="7"/>
  <c r="I5368" i="7"/>
  <c r="I5369" i="7"/>
  <c r="I5370" i="7"/>
  <c r="I5371" i="7"/>
  <c r="I5372" i="7"/>
  <c r="I5373" i="7"/>
  <c r="I5374" i="7"/>
  <c r="I5375" i="7"/>
  <c r="I5376" i="7"/>
  <c r="I5377" i="7"/>
  <c r="I5378" i="7"/>
  <c r="I5379" i="7"/>
  <c r="I5380" i="7"/>
  <c r="I5381" i="7"/>
  <c r="I5382" i="7"/>
  <c r="I5383" i="7"/>
  <c r="I5384" i="7"/>
  <c r="I5385" i="7"/>
  <c r="I5386" i="7"/>
  <c r="I5387" i="7"/>
  <c r="I5388" i="7"/>
  <c r="I5389" i="7"/>
  <c r="I5390" i="7"/>
  <c r="I5391" i="7"/>
  <c r="I5392" i="7"/>
  <c r="I5393" i="7"/>
  <c r="I5394" i="7"/>
  <c r="I5395" i="7"/>
  <c r="I5396" i="7"/>
  <c r="I5397" i="7"/>
  <c r="I5398" i="7"/>
  <c r="I5399" i="7"/>
  <c r="I5400" i="7"/>
  <c r="I5401" i="7"/>
  <c r="I5402" i="7"/>
  <c r="I5403" i="7"/>
  <c r="I5404" i="7"/>
  <c r="I5405" i="7"/>
  <c r="I5406" i="7"/>
  <c r="I5407" i="7"/>
  <c r="I5408" i="7"/>
  <c r="I5409" i="7"/>
  <c r="I5410" i="7"/>
  <c r="I5411" i="7"/>
  <c r="I5412" i="7"/>
  <c r="I5413" i="7"/>
  <c r="I5414" i="7"/>
  <c r="I5415" i="7"/>
  <c r="I5416" i="7"/>
  <c r="I5417" i="7"/>
  <c r="I5418" i="7"/>
  <c r="I5419" i="7"/>
  <c r="I5420" i="7"/>
  <c r="I5421" i="7"/>
  <c r="I5422" i="7"/>
  <c r="I5423" i="7"/>
  <c r="I5424" i="7"/>
  <c r="I5425" i="7"/>
  <c r="I5426" i="7"/>
  <c r="I5427" i="7"/>
  <c r="I5428" i="7"/>
  <c r="I5429" i="7"/>
  <c r="I5430" i="7"/>
  <c r="I5431" i="7"/>
  <c r="I5432" i="7"/>
  <c r="I5433" i="7"/>
  <c r="I5434" i="7"/>
  <c r="I5435" i="7"/>
  <c r="I5436" i="7"/>
  <c r="I5437" i="7"/>
  <c r="I5438" i="7"/>
  <c r="I5439" i="7"/>
  <c r="I5440" i="7"/>
  <c r="I5441" i="7"/>
  <c r="I5442" i="7"/>
  <c r="I5443" i="7"/>
  <c r="I5444" i="7"/>
  <c r="I5445" i="7"/>
  <c r="I5446" i="7"/>
  <c r="I5447" i="7"/>
  <c r="I5448" i="7"/>
  <c r="I5449" i="7"/>
  <c r="I5450" i="7"/>
  <c r="I5451" i="7"/>
  <c r="I5452" i="7"/>
  <c r="I5453" i="7"/>
  <c r="I5454" i="7"/>
  <c r="I5455" i="7"/>
  <c r="I5456" i="7"/>
  <c r="I5457" i="7"/>
  <c r="I5458" i="7"/>
  <c r="I5459" i="7"/>
  <c r="I5460" i="7"/>
  <c r="I5461" i="7"/>
  <c r="I5462" i="7"/>
  <c r="I5463" i="7"/>
  <c r="I5464" i="7"/>
  <c r="I5465" i="7"/>
  <c r="I5466" i="7"/>
  <c r="I5467" i="7"/>
  <c r="I5468" i="7"/>
  <c r="I5469" i="7"/>
  <c r="I5470" i="7"/>
  <c r="I5471" i="7"/>
  <c r="I5472" i="7"/>
  <c r="I5473" i="7"/>
  <c r="I5474" i="7"/>
  <c r="I5475" i="7"/>
  <c r="I5476" i="7"/>
  <c r="I5477" i="7"/>
  <c r="I5478" i="7"/>
  <c r="I5479" i="7"/>
  <c r="I5480" i="7"/>
  <c r="I5481" i="7"/>
  <c r="I5482" i="7"/>
  <c r="I5483" i="7"/>
  <c r="I5484" i="7"/>
  <c r="I5485" i="7"/>
  <c r="I5486" i="7"/>
  <c r="I5487" i="7"/>
  <c r="I5488" i="7"/>
  <c r="I5489" i="7"/>
  <c r="I5490" i="7"/>
  <c r="I5491" i="7"/>
  <c r="I5492" i="7"/>
  <c r="I5493" i="7"/>
  <c r="I5494" i="7"/>
  <c r="I5495" i="7"/>
  <c r="I5496" i="7"/>
  <c r="I5497" i="7"/>
  <c r="I5498" i="7"/>
  <c r="I5499" i="7"/>
  <c r="I5500" i="7"/>
  <c r="I5501" i="7"/>
  <c r="I5502" i="7"/>
  <c r="I5503" i="7"/>
  <c r="I5504" i="7"/>
  <c r="I5505" i="7"/>
  <c r="I5506" i="7"/>
  <c r="I5507" i="7"/>
  <c r="I5508" i="7"/>
  <c r="I5509" i="7"/>
  <c r="I5510" i="7"/>
  <c r="I5511" i="7"/>
  <c r="I5512" i="7"/>
  <c r="I5513" i="7"/>
  <c r="I5514" i="7"/>
  <c r="I5515" i="7"/>
  <c r="I5516" i="7"/>
  <c r="I5517" i="7"/>
  <c r="I5518" i="7"/>
  <c r="I5519" i="7"/>
  <c r="I5520" i="7"/>
  <c r="I5521" i="7"/>
  <c r="I5522" i="7"/>
  <c r="I5523" i="7"/>
  <c r="I5524" i="7"/>
  <c r="I5525" i="7"/>
  <c r="I5526" i="7"/>
  <c r="I5527" i="7"/>
  <c r="I5528" i="7"/>
  <c r="I5529" i="7"/>
  <c r="I5530" i="7"/>
  <c r="I5531" i="7"/>
  <c r="I5532" i="7"/>
  <c r="I5533" i="7"/>
  <c r="I5534" i="7"/>
  <c r="I5535" i="7"/>
  <c r="I5536" i="7"/>
  <c r="I5537" i="7"/>
  <c r="I5538" i="7"/>
  <c r="I5539" i="7"/>
  <c r="I5540" i="7"/>
  <c r="I5541" i="7"/>
  <c r="I5542" i="7"/>
  <c r="I5543" i="7"/>
  <c r="I5544" i="7"/>
  <c r="I5545" i="7"/>
  <c r="I5546" i="7"/>
  <c r="I5547" i="7"/>
  <c r="I5548" i="7"/>
  <c r="I5549" i="7"/>
  <c r="I5550" i="7"/>
  <c r="I5551" i="7"/>
  <c r="I5552" i="7"/>
  <c r="I5553" i="7"/>
  <c r="I5554" i="7"/>
  <c r="I5555" i="7"/>
  <c r="I5556" i="7"/>
  <c r="I5557" i="7"/>
  <c r="I5558" i="7"/>
  <c r="I5559" i="7"/>
  <c r="I5560" i="7"/>
  <c r="I5561" i="7"/>
  <c r="I5562" i="7"/>
  <c r="I5563" i="7"/>
  <c r="I5564" i="7"/>
  <c r="I5565" i="7"/>
  <c r="I5566" i="7"/>
  <c r="I5567" i="7"/>
  <c r="I5568" i="7"/>
  <c r="I5569" i="7"/>
  <c r="I5570" i="7"/>
  <c r="I5571" i="7"/>
  <c r="I5572" i="7"/>
  <c r="I5573" i="7"/>
  <c r="I5574" i="7"/>
  <c r="I5575" i="7"/>
  <c r="I5576" i="7"/>
  <c r="I5577" i="7"/>
  <c r="I5578" i="7"/>
  <c r="I5579" i="7"/>
  <c r="I5580" i="7"/>
  <c r="I5581" i="7"/>
  <c r="I5582" i="7"/>
  <c r="I5583" i="7"/>
  <c r="I5584" i="7"/>
  <c r="I5585" i="7"/>
  <c r="I5586" i="7"/>
  <c r="I5587" i="7"/>
  <c r="I5588" i="7"/>
  <c r="I5589" i="7"/>
  <c r="I5590" i="7"/>
  <c r="I5591" i="7"/>
  <c r="I5592" i="7"/>
  <c r="I5593" i="7"/>
  <c r="I5594" i="7"/>
  <c r="I5595" i="7"/>
  <c r="I5596" i="7"/>
  <c r="I5597" i="7"/>
  <c r="I5598" i="7"/>
  <c r="I5599" i="7"/>
  <c r="I5600" i="7"/>
  <c r="I5601" i="7"/>
  <c r="I5602" i="7"/>
  <c r="I5603" i="7"/>
  <c r="I5604" i="7"/>
  <c r="I5605" i="7"/>
  <c r="I5606" i="7"/>
  <c r="I5607" i="7"/>
  <c r="I5608" i="7"/>
  <c r="I5609" i="7"/>
  <c r="I5610" i="7"/>
  <c r="I5611" i="7"/>
  <c r="I5612" i="7"/>
  <c r="I5613" i="7"/>
  <c r="I5614" i="7"/>
  <c r="I5615" i="7"/>
  <c r="I5616" i="7"/>
  <c r="I5617" i="7"/>
  <c r="I5618" i="7"/>
  <c r="I5619" i="7"/>
  <c r="I5620" i="7"/>
  <c r="I5621" i="7"/>
  <c r="I5622" i="7"/>
  <c r="I5623" i="7"/>
  <c r="I5624" i="7"/>
  <c r="I5625" i="7"/>
  <c r="I5626" i="7"/>
  <c r="I5627" i="7"/>
  <c r="I5628" i="7"/>
  <c r="I5629" i="7"/>
  <c r="I5630" i="7"/>
  <c r="I5631" i="7"/>
  <c r="I5632" i="7"/>
  <c r="I5633" i="7"/>
  <c r="I5634" i="7"/>
  <c r="I5635" i="7"/>
  <c r="I5636" i="7"/>
  <c r="I5637" i="7"/>
  <c r="I5638" i="7"/>
  <c r="I5639" i="7"/>
  <c r="I5640" i="7"/>
  <c r="I5641" i="7"/>
  <c r="I5642" i="7"/>
  <c r="I5643" i="7"/>
  <c r="I5644" i="7"/>
  <c r="I5645" i="7"/>
  <c r="I5646" i="7"/>
  <c r="I5647" i="7"/>
  <c r="I5648" i="7"/>
  <c r="I5649" i="7"/>
  <c r="I5650" i="7"/>
  <c r="I5651" i="7"/>
  <c r="I5652" i="7"/>
  <c r="I5653" i="7"/>
  <c r="I5654" i="7"/>
  <c r="I5655" i="7"/>
  <c r="I5656" i="7"/>
  <c r="I5657" i="7"/>
  <c r="I5658" i="7"/>
  <c r="I5659" i="7"/>
  <c r="I5660" i="7"/>
  <c r="I5661" i="7"/>
  <c r="I5662" i="7"/>
  <c r="I5663" i="7"/>
  <c r="I5664" i="7"/>
  <c r="I5665" i="7"/>
  <c r="I5666" i="7"/>
  <c r="I5667" i="7"/>
  <c r="I5668" i="7"/>
  <c r="I5669" i="7"/>
  <c r="I5670" i="7"/>
  <c r="I5671" i="7"/>
  <c r="I5672" i="7"/>
  <c r="I5673" i="7"/>
  <c r="I5674" i="7"/>
  <c r="I5675" i="7"/>
  <c r="I5676" i="7"/>
  <c r="I5677" i="7"/>
  <c r="I5678" i="7"/>
  <c r="I5679" i="7"/>
  <c r="I5680" i="7"/>
  <c r="I5681" i="7"/>
  <c r="I5682" i="7"/>
  <c r="I5683" i="7"/>
  <c r="I5684" i="7"/>
  <c r="I5685" i="7"/>
  <c r="I5686" i="7"/>
  <c r="I5687" i="7"/>
  <c r="I5688" i="7"/>
  <c r="I5689" i="7"/>
  <c r="I5690" i="7"/>
  <c r="I5691" i="7"/>
  <c r="I5692" i="7"/>
  <c r="I5693" i="7"/>
  <c r="I5694" i="7"/>
  <c r="I5695" i="7"/>
  <c r="I5696" i="7"/>
  <c r="I5697" i="7"/>
  <c r="I5698" i="7"/>
  <c r="I5699" i="7"/>
  <c r="I5700" i="7"/>
  <c r="I5701" i="7"/>
  <c r="I5702" i="7"/>
  <c r="I5703" i="7"/>
  <c r="I5704" i="7"/>
  <c r="I5705" i="7"/>
  <c r="I5706" i="7"/>
  <c r="I5707" i="7"/>
  <c r="I5708" i="7"/>
  <c r="I5709" i="7"/>
  <c r="I5710" i="7"/>
  <c r="I5711" i="7"/>
  <c r="I5712" i="7"/>
  <c r="I5713" i="7"/>
  <c r="I5714" i="7"/>
  <c r="I5715" i="7"/>
  <c r="I5716" i="7"/>
  <c r="I5717" i="7"/>
  <c r="I5718" i="7"/>
  <c r="I5719" i="7"/>
  <c r="I5720" i="7"/>
  <c r="I5721" i="7"/>
  <c r="I5722" i="7"/>
  <c r="I5723" i="7"/>
  <c r="I5724" i="7"/>
  <c r="I5725" i="7"/>
  <c r="I5726" i="7"/>
  <c r="I5727" i="7"/>
  <c r="I5728" i="7"/>
  <c r="I5729" i="7"/>
  <c r="I5730" i="7"/>
  <c r="I5731" i="7"/>
  <c r="I5732" i="7"/>
  <c r="I5733" i="7"/>
  <c r="I5734" i="7"/>
  <c r="I5735" i="7"/>
  <c r="I5736" i="7"/>
  <c r="I5737" i="7"/>
  <c r="I5738" i="7"/>
  <c r="I5739" i="7"/>
  <c r="I5740" i="7"/>
  <c r="I5741" i="7"/>
  <c r="I5742" i="7"/>
  <c r="I5743" i="7"/>
  <c r="I5744" i="7"/>
  <c r="I5745" i="7"/>
  <c r="I5746" i="7"/>
  <c r="I5747" i="7"/>
  <c r="I5748" i="7"/>
  <c r="I5749" i="7"/>
  <c r="I5750" i="7"/>
  <c r="I5751" i="7"/>
  <c r="I5752" i="7"/>
  <c r="I5753" i="7"/>
  <c r="I5754" i="7"/>
  <c r="I5755" i="7"/>
  <c r="I5756" i="7"/>
  <c r="I5757" i="7"/>
  <c r="I5758" i="7"/>
  <c r="I5759" i="7"/>
  <c r="I5760" i="7"/>
  <c r="I5761" i="7"/>
  <c r="I5762" i="7"/>
  <c r="I5763" i="7"/>
  <c r="I5764" i="7"/>
  <c r="I5765" i="7"/>
  <c r="I5766" i="7"/>
  <c r="I5767" i="7"/>
  <c r="I5768" i="7"/>
  <c r="I5769" i="7"/>
  <c r="I5770" i="7"/>
  <c r="I5771" i="7"/>
  <c r="I5772" i="7"/>
  <c r="I5773" i="7"/>
  <c r="I5774" i="7"/>
  <c r="I5775" i="7"/>
  <c r="I5776" i="7"/>
  <c r="I5777" i="7"/>
  <c r="I5778" i="7"/>
  <c r="I5779" i="7"/>
  <c r="I5780" i="7"/>
  <c r="I5781" i="7"/>
  <c r="I5782" i="7"/>
  <c r="I5783" i="7"/>
  <c r="I5784" i="7"/>
  <c r="I5785" i="7"/>
  <c r="I5786" i="7"/>
  <c r="I5787" i="7"/>
  <c r="I5788" i="7"/>
  <c r="I5789" i="7"/>
  <c r="I5790" i="7"/>
  <c r="I5791" i="7"/>
  <c r="I5792" i="7"/>
  <c r="I5793" i="7"/>
  <c r="I5794" i="7"/>
  <c r="I5795" i="7"/>
  <c r="I5796" i="7"/>
  <c r="I5797" i="7"/>
  <c r="I5798" i="7"/>
  <c r="I5799" i="7"/>
  <c r="I5800" i="7"/>
  <c r="I5801" i="7"/>
  <c r="I5802" i="7"/>
  <c r="I5803" i="7"/>
  <c r="I5804" i="7"/>
  <c r="I5805" i="7"/>
  <c r="I5806" i="7"/>
  <c r="I5807" i="7"/>
  <c r="I5808" i="7"/>
  <c r="I5809" i="7"/>
  <c r="I5810" i="7"/>
  <c r="I5811" i="7"/>
  <c r="I5812" i="7"/>
  <c r="I5813" i="7"/>
  <c r="I5814" i="7"/>
  <c r="I5815" i="7"/>
  <c r="I5816" i="7"/>
  <c r="I5817" i="7"/>
  <c r="I5818" i="7"/>
  <c r="I5819" i="7"/>
  <c r="I5820" i="7"/>
  <c r="I5821" i="7"/>
  <c r="I5822" i="7"/>
  <c r="I5823" i="7"/>
  <c r="I5824" i="7"/>
  <c r="I5825" i="7"/>
  <c r="I5826" i="7"/>
  <c r="I5827" i="7"/>
  <c r="I5828" i="7"/>
  <c r="I5829" i="7"/>
  <c r="I5830" i="7"/>
  <c r="I5831" i="7"/>
  <c r="I5832" i="7"/>
  <c r="I5833" i="7"/>
  <c r="I5834" i="7"/>
  <c r="I5835" i="7"/>
  <c r="I5836" i="7"/>
  <c r="I5837" i="7"/>
  <c r="I5838" i="7"/>
  <c r="I5839" i="7"/>
  <c r="I5840" i="7"/>
  <c r="I5841" i="7"/>
  <c r="I5842" i="7"/>
  <c r="I5843" i="7"/>
  <c r="I5844" i="7"/>
  <c r="I5845" i="7"/>
  <c r="I5846" i="7"/>
  <c r="I5847" i="7"/>
  <c r="I5848" i="7"/>
  <c r="I5849" i="7"/>
  <c r="I5850" i="7"/>
  <c r="I5851" i="7"/>
  <c r="I5852" i="7"/>
  <c r="I5853" i="7"/>
  <c r="I5854" i="7"/>
  <c r="I5855" i="7"/>
  <c r="I5856" i="7"/>
  <c r="I5857" i="7"/>
  <c r="I5858" i="7"/>
  <c r="I5859" i="7"/>
  <c r="I5860" i="7"/>
  <c r="I5861" i="7"/>
  <c r="I5862" i="7"/>
  <c r="I5863" i="7"/>
  <c r="I5864" i="7"/>
  <c r="I5865" i="7"/>
  <c r="I5866" i="7"/>
  <c r="I5867" i="7"/>
  <c r="I5868" i="7"/>
  <c r="I5869" i="7"/>
  <c r="I5870" i="7"/>
  <c r="I5871" i="7"/>
  <c r="I5872" i="7"/>
  <c r="I5873" i="7"/>
  <c r="I5874" i="7"/>
  <c r="I5875" i="7"/>
  <c r="I5876" i="7"/>
  <c r="I5877" i="7"/>
  <c r="I5878" i="7"/>
  <c r="I5879" i="7"/>
  <c r="I5880" i="7"/>
  <c r="I5881" i="7"/>
  <c r="I5882" i="7"/>
  <c r="I5883" i="7"/>
  <c r="I5884" i="7"/>
  <c r="I5885" i="7"/>
  <c r="I5886" i="7"/>
  <c r="I5887" i="7"/>
  <c r="I5888" i="7"/>
  <c r="I5889" i="7"/>
  <c r="I5890" i="7"/>
  <c r="I5891" i="7"/>
  <c r="I5892" i="7"/>
  <c r="I5893" i="7"/>
  <c r="I5894" i="7"/>
  <c r="I5895" i="7"/>
  <c r="I5896" i="7"/>
  <c r="I5897" i="7"/>
  <c r="I5898" i="7"/>
  <c r="I5899" i="7"/>
  <c r="I5900" i="7"/>
  <c r="I5901" i="7"/>
  <c r="I5902" i="7"/>
  <c r="I5903" i="7"/>
  <c r="I5904" i="7"/>
  <c r="I5905" i="7"/>
  <c r="I5906" i="7"/>
  <c r="I5907" i="7"/>
  <c r="I5908" i="7"/>
  <c r="I5909" i="7"/>
  <c r="I5910" i="7"/>
  <c r="I5911" i="7"/>
  <c r="I5912" i="7"/>
  <c r="I5913" i="7"/>
  <c r="I5914" i="7"/>
  <c r="I5915" i="7"/>
  <c r="I5916" i="7"/>
  <c r="I5917" i="7"/>
  <c r="I5918" i="7"/>
  <c r="I5919" i="7"/>
  <c r="I5920" i="7"/>
  <c r="I5921" i="7"/>
  <c r="I5922" i="7"/>
  <c r="I5923" i="7"/>
  <c r="I5924" i="7"/>
  <c r="I5925" i="7"/>
  <c r="I5926" i="7"/>
  <c r="I5927" i="7"/>
  <c r="I5928" i="7"/>
  <c r="I5929" i="7"/>
  <c r="I5930" i="7"/>
  <c r="I5931" i="7"/>
  <c r="I5932" i="7"/>
  <c r="I5933" i="7"/>
  <c r="I5934" i="7"/>
  <c r="I5935" i="7"/>
  <c r="I5936" i="7"/>
  <c r="I5937" i="7"/>
  <c r="I5938" i="7"/>
  <c r="I5939" i="7"/>
  <c r="I5940" i="7"/>
  <c r="I5941" i="7"/>
  <c r="I5942" i="7"/>
  <c r="I5943" i="7"/>
  <c r="I5944" i="7"/>
  <c r="I5945" i="7"/>
  <c r="I5946" i="7"/>
  <c r="I5947" i="7"/>
  <c r="I5948" i="7"/>
  <c r="I5949" i="7"/>
  <c r="I5950" i="7"/>
  <c r="I5951" i="7"/>
  <c r="I5952" i="7"/>
  <c r="I5953" i="7"/>
  <c r="I5954" i="7"/>
  <c r="I5955" i="7"/>
  <c r="I5956" i="7"/>
  <c r="I5957" i="7"/>
  <c r="I5958" i="7"/>
  <c r="I5959" i="7"/>
  <c r="I5960" i="7"/>
  <c r="I5961" i="7"/>
  <c r="I5962" i="7"/>
  <c r="I5963" i="7"/>
  <c r="I5964" i="7"/>
  <c r="I5965" i="7"/>
  <c r="I5966" i="7"/>
  <c r="I5967" i="7"/>
  <c r="I5968" i="7"/>
  <c r="I5969" i="7"/>
  <c r="I5970" i="7"/>
  <c r="I5971" i="7"/>
  <c r="I5972" i="7"/>
  <c r="I5973" i="7"/>
  <c r="I5974" i="7"/>
  <c r="I5975" i="7"/>
  <c r="I5976" i="7"/>
  <c r="I5977" i="7"/>
  <c r="I5978" i="7"/>
  <c r="I5979" i="7"/>
  <c r="I5980" i="7"/>
  <c r="I5981" i="7"/>
  <c r="I5982" i="7"/>
  <c r="I5983" i="7"/>
  <c r="I5984" i="7"/>
  <c r="I5985" i="7"/>
  <c r="I5986" i="7"/>
  <c r="I5987" i="7"/>
  <c r="I5988" i="7"/>
  <c r="I5989" i="7"/>
  <c r="I5990" i="7"/>
  <c r="I5991" i="7"/>
  <c r="I5992" i="7"/>
  <c r="I5993" i="7"/>
  <c r="I5994" i="7"/>
  <c r="I5995" i="7"/>
  <c r="I5996" i="7"/>
  <c r="I5997" i="7"/>
  <c r="I5998" i="7"/>
  <c r="I5999" i="7"/>
  <c r="I6000" i="7"/>
  <c r="I6001" i="7"/>
  <c r="I6002" i="7"/>
  <c r="I6003" i="7"/>
  <c r="I6004" i="7"/>
  <c r="I6005" i="7"/>
  <c r="I6006" i="7"/>
  <c r="I6007" i="7"/>
  <c r="I6008" i="7"/>
  <c r="I6009" i="7"/>
  <c r="I6010" i="7"/>
  <c r="I6011" i="7"/>
  <c r="I6012" i="7"/>
  <c r="I6013" i="7"/>
  <c r="I6014" i="7"/>
  <c r="I6015" i="7"/>
  <c r="I6016" i="7"/>
  <c r="I6017" i="7"/>
  <c r="I6018" i="7"/>
  <c r="I6019" i="7"/>
  <c r="I6020" i="7"/>
  <c r="I6021" i="7"/>
  <c r="I6022" i="7"/>
  <c r="I6023" i="7"/>
  <c r="I6024" i="7"/>
  <c r="I6025" i="7"/>
  <c r="I6026" i="7"/>
  <c r="I6027" i="7"/>
  <c r="I6028" i="7"/>
  <c r="I6029" i="7"/>
  <c r="I6030" i="7"/>
  <c r="I6031" i="7"/>
  <c r="I6032" i="7"/>
  <c r="I6033" i="7"/>
  <c r="I6034" i="7"/>
  <c r="I6035" i="7"/>
  <c r="I6036" i="7"/>
  <c r="I6037" i="7"/>
  <c r="I6038" i="7"/>
  <c r="I6039" i="7"/>
  <c r="I6040" i="7"/>
  <c r="I6041" i="7"/>
  <c r="I6042" i="7"/>
  <c r="I6043" i="7"/>
  <c r="I6044" i="7"/>
  <c r="I6045" i="7"/>
  <c r="I6046" i="7"/>
  <c r="I6047" i="7"/>
  <c r="I6048" i="7"/>
  <c r="I6049" i="7"/>
  <c r="I6050" i="7"/>
  <c r="I6051" i="7"/>
  <c r="I6052" i="7"/>
  <c r="I6053" i="7"/>
  <c r="I6054" i="7"/>
  <c r="I6055" i="7"/>
  <c r="I6056" i="7"/>
  <c r="I6057" i="7"/>
  <c r="I6058" i="7"/>
  <c r="I6059" i="7"/>
  <c r="I6060" i="7"/>
  <c r="I6061" i="7"/>
  <c r="I6062" i="7"/>
  <c r="I6063" i="7"/>
  <c r="I6064" i="7"/>
  <c r="I6065" i="7"/>
  <c r="I6066" i="7"/>
  <c r="I6067" i="7"/>
  <c r="I6068" i="7"/>
  <c r="I6069" i="7"/>
  <c r="I6070" i="7"/>
  <c r="I6071" i="7"/>
  <c r="I6072" i="7"/>
  <c r="I6073" i="7"/>
  <c r="I6074" i="7"/>
  <c r="I6075" i="7"/>
  <c r="I6076" i="7"/>
  <c r="I6077" i="7"/>
  <c r="I6078" i="7"/>
  <c r="I6079" i="7"/>
  <c r="I6080" i="7"/>
  <c r="I6081" i="7"/>
  <c r="I6082" i="7"/>
  <c r="I6083" i="7"/>
  <c r="I6084" i="7"/>
  <c r="I6085" i="7"/>
  <c r="I6086" i="7"/>
  <c r="I6087" i="7"/>
  <c r="I6088" i="7"/>
  <c r="I6089" i="7"/>
  <c r="I6090" i="7"/>
  <c r="I6091" i="7"/>
  <c r="I6092" i="7"/>
  <c r="I6093" i="7"/>
  <c r="I6094" i="7"/>
  <c r="I6095" i="7"/>
  <c r="I6096" i="7"/>
  <c r="I6097" i="7"/>
  <c r="I6098" i="7"/>
  <c r="I6099" i="7"/>
  <c r="I6100" i="7"/>
  <c r="I6101" i="7"/>
  <c r="I6102" i="7"/>
  <c r="I6103" i="7"/>
  <c r="I6104" i="7"/>
  <c r="I6105" i="7"/>
  <c r="I6106" i="7"/>
  <c r="I6107" i="7"/>
  <c r="I6108" i="7"/>
  <c r="I6109" i="7"/>
  <c r="I6110" i="7"/>
  <c r="I6111" i="7"/>
  <c r="I6112" i="7"/>
  <c r="I6113" i="7"/>
  <c r="I6114" i="7"/>
  <c r="I6115" i="7"/>
  <c r="I6116" i="7"/>
  <c r="I6117" i="7"/>
  <c r="I6118" i="7"/>
  <c r="I6119" i="7"/>
  <c r="I6120" i="7"/>
  <c r="I6121" i="7"/>
  <c r="I6122" i="7"/>
  <c r="I6123" i="7"/>
  <c r="I6124" i="7"/>
  <c r="I6125" i="7"/>
  <c r="I6126" i="7"/>
  <c r="I6127" i="7"/>
  <c r="I6128" i="7"/>
  <c r="I6129" i="7"/>
  <c r="I6130" i="7"/>
  <c r="I6131" i="7"/>
  <c r="I6132" i="7"/>
  <c r="I6133" i="7"/>
  <c r="I6134" i="7"/>
  <c r="I6135" i="7"/>
  <c r="I6136" i="7"/>
  <c r="I6137" i="7"/>
  <c r="I6138" i="7"/>
  <c r="I6139" i="7"/>
  <c r="I6140" i="7"/>
  <c r="I6141" i="7"/>
  <c r="I6142" i="7"/>
  <c r="I6143" i="7"/>
  <c r="I6144" i="7"/>
  <c r="I6145" i="7"/>
  <c r="I6146" i="7"/>
  <c r="I6147" i="7"/>
  <c r="I6148" i="7"/>
  <c r="I6149" i="7"/>
  <c r="I6150" i="7"/>
  <c r="I6151" i="7"/>
  <c r="I6152" i="7"/>
  <c r="I6153" i="7"/>
  <c r="I6154" i="7"/>
  <c r="I6155" i="7"/>
  <c r="I6156" i="7"/>
  <c r="I6157" i="7"/>
  <c r="I6158" i="7"/>
  <c r="I6159" i="7"/>
  <c r="I6160" i="7"/>
  <c r="I6161" i="7"/>
  <c r="I6162" i="7"/>
  <c r="I6163" i="7"/>
  <c r="I6164" i="7"/>
  <c r="I6165" i="7"/>
  <c r="I6166" i="7"/>
  <c r="I6167" i="7"/>
  <c r="I6168" i="7"/>
  <c r="I6169" i="7"/>
  <c r="I6170" i="7"/>
  <c r="I6171" i="7"/>
  <c r="I6172" i="7"/>
  <c r="I6173" i="7"/>
  <c r="I6174" i="7"/>
  <c r="I6175" i="7"/>
  <c r="I6176" i="7"/>
  <c r="I6177" i="7"/>
  <c r="I6178" i="7"/>
  <c r="I6179" i="7"/>
  <c r="I6180" i="7"/>
  <c r="I6181" i="7"/>
  <c r="I6182" i="7"/>
  <c r="I6183" i="7"/>
  <c r="I6184" i="7"/>
  <c r="I6185" i="7"/>
  <c r="I6186" i="7"/>
  <c r="I6187" i="7"/>
  <c r="I6188" i="7"/>
  <c r="I6189" i="7"/>
  <c r="I6190" i="7"/>
  <c r="I6191" i="7"/>
  <c r="I6192" i="7"/>
  <c r="I6193" i="7"/>
  <c r="I6194" i="7"/>
  <c r="I6195" i="7"/>
  <c r="I6196" i="7"/>
  <c r="I6197" i="7"/>
  <c r="I6198" i="7"/>
  <c r="I6199" i="7"/>
  <c r="I6200" i="7"/>
  <c r="I6201" i="7"/>
  <c r="I6202" i="7"/>
  <c r="I6203" i="7"/>
  <c r="I6204" i="7"/>
  <c r="I6205" i="7"/>
  <c r="I6206" i="7"/>
  <c r="I6207" i="7"/>
  <c r="I6208" i="7"/>
  <c r="I6209" i="7"/>
  <c r="I6210" i="7"/>
  <c r="I6211" i="7"/>
  <c r="I6212" i="7"/>
  <c r="I6213" i="7"/>
  <c r="I6214" i="7"/>
  <c r="I6215" i="7"/>
  <c r="I6216" i="7"/>
  <c r="I6217" i="7"/>
  <c r="I6218" i="7"/>
  <c r="I6219" i="7"/>
  <c r="I6220" i="7"/>
  <c r="I6221" i="7"/>
  <c r="I6222" i="7"/>
  <c r="I6223" i="7"/>
  <c r="I6224" i="7"/>
  <c r="I6225" i="7"/>
  <c r="I6226" i="7"/>
  <c r="I6227" i="7"/>
  <c r="I6228" i="7"/>
  <c r="I6229" i="7"/>
  <c r="I6230" i="7"/>
  <c r="I6231" i="7"/>
  <c r="I6232" i="7"/>
  <c r="I6233" i="7"/>
  <c r="I6234" i="7"/>
  <c r="I6235" i="7"/>
  <c r="I6236" i="7"/>
  <c r="I6237" i="7"/>
  <c r="I6238" i="7"/>
  <c r="I6239" i="7"/>
  <c r="I6240" i="7"/>
  <c r="I6241" i="7"/>
  <c r="I6242" i="7"/>
  <c r="I6243" i="7"/>
  <c r="I6244" i="7"/>
  <c r="I6245" i="7"/>
  <c r="I6246" i="7"/>
  <c r="I6247" i="7"/>
  <c r="I6248" i="7"/>
  <c r="I6249" i="7"/>
  <c r="I6250" i="7"/>
  <c r="I6251" i="7"/>
  <c r="I6252" i="7"/>
  <c r="I6253" i="7"/>
  <c r="I6254" i="7"/>
  <c r="I6255" i="7"/>
  <c r="I6256" i="7"/>
  <c r="I6257" i="7"/>
  <c r="I6258" i="7"/>
  <c r="I6259" i="7"/>
  <c r="I6260" i="7"/>
  <c r="I6261" i="7"/>
  <c r="I6262" i="7"/>
  <c r="I6263" i="7"/>
  <c r="I6264" i="7"/>
  <c r="I6265" i="7"/>
  <c r="I6266" i="7"/>
  <c r="I6267" i="7"/>
  <c r="I6268" i="7"/>
  <c r="I6269" i="7"/>
  <c r="I6270" i="7"/>
  <c r="I6271" i="7"/>
  <c r="I6272" i="7"/>
  <c r="I6273" i="7"/>
  <c r="I6274" i="7"/>
  <c r="I6275" i="7"/>
  <c r="I6276" i="7"/>
  <c r="I6277" i="7"/>
  <c r="I6278" i="7"/>
  <c r="I6279" i="7"/>
  <c r="I6280" i="7"/>
  <c r="I6281" i="7"/>
  <c r="I6282" i="7"/>
  <c r="I6283" i="7"/>
  <c r="I6284" i="7"/>
  <c r="I6285" i="7"/>
  <c r="I6286" i="7"/>
  <c r="I6287" i="7"/>
  <c r="I6288" i="7"/>
  <c r="I6289" i="7"/>
  <c r="I6290" i="7"/>
  <c r="I6291" i="7"/>
  <c r="I6292" i="7"/>
  <c r="I6293" i="7"/>
  <c r="I6294" i="7"/>
  <c r="I6295" i="7"/>
  <c r="I6296" i="7"/>
  <c r="I6297" i="7"/>
  <c r="I6298" i="7"/>
  <c r="I6299" i="7"/>
  <c r="I6300" i="7"/>
  <c r="I6301" i="7"/>
  <c r="I6302" i="7"/>
  <c r="I6303" i="7"/>
  <c r="I6304" i="7"/>
  <c r="I6305" i="7"/>
  <c r="I6306" i="7"/>
  <c r="I6307" i="7"/>
  <c r="I6308" i="7"/>
  <c r="I6309" i="7"/>
  <c r="I6310" i="7"/>
  <c r="I6311" i="7"/>
  <c r="I6312" i="7"/>
  <c r="I6313" i="7"/>
  <c r="I6314" i="7"/>
  <c r="I6315" i="7"/>
  <c r="I6316" i="7"/>
  <c r="I6317" i="7"/>
  <c r="I6318" i="7"/>
  <c r="I6319" i="7"/>
  <c r="I6320" i="7"/>
  <c r="I6321" i="7"/>
  <c r="I6322" i="7"/>
  <c r="I6323" i="7"/>
  <c r="I6324" i="7"/>
  <c r="I6325" i="7"/>
  <c r="I6326" i="7"/>
  <c r="I6327" i="7"/>
  <c r="I6328" i="7"/>
  <c r="I6329" i="7"/>
  <c r="I6330" i="7"/>
  <c r="I6331" i="7"/>
  <c r="I6332" i="7"/>
  <c r="I6333" i="7"/>
  <c r="I6334" i="7"/>
  <c r="I6335" i="7"/>
  <c r="I6336" i="7"/>
  <c r="I6337" i="7"/>
  <c r="I6338" i="7"/>
  <c r="I6339" i="7"/>
  <c r="I6340" i="7"/>
  <c r="I6341" i="7"/>
  <c r="I6342" i="7"/>
  <c r="I6343" i="7"/>
  <c r="I6344" i="7"/>
  <c r="I6345" i="7"/>
  <c r="I6346" i="7"/>
  <c r="I6347" i="7"/>
  <c r="I6348" i="7"/>
  <c r="I6349" i="7"/>
  <c r="I6350" i="7"/>
  <c r="I6351" i="7"/>
  <c r="I6352" i="7"/>
  <c r="I6353" i="7"/>
  <c r="I6354" i="7"/>
  <c r="I6355" i="7"/>
  <c r="I6356" i="7"/>
  <c r="I6357" i="7"/>
  <c r="I6358" i="7"/>
  <c r="I6359" i="7"/>
  <c r="I6360" i="7"/>
  <c r="I6361" i="7"/>
  <c r="I6362" i="7"/>
  <c r="I6363" i="7"/>
  <c r="I6364" i="7"/>
  <c r="I6365" i="7"/>
  <c r="I6366" i="7"/>
  <c r="I6367" i="7"/>
  <c r="I6368" i="7"/>
  <c r="I6369" i="7"/>
  <c r="I6370" i="7"/>
  <c r="I6371" i="7"/>
  <c r="I6372" i="7"/>
  <c r="I6373" i="7"/>
  <c r="I6374" i="7"/>
  <c r="I6375" i="7"/>
  <c r="I6376" i="7"/>
  <c r="I6377" i="7"/>
  <c r="I6378" i="7"/>
  <c r="I6379" i="7"/>
  <c r="I6380" i="7"/>
  <c r="I6381" i="7"/>
  <c r="I6382" i="7"/>
  <c r="I6383" i="7"/>
  <c r="I6384" i="7"/>
  <c r="I6385" i="7"/>
  <c r="I6386" i="7"/>
  <c r="I6387" i="7"/>
  <c r="I6388" i="7"/>
  <c r="I6389" i="7"/>
  <c r="I6390" i="7"/>
  <c r="I6391" i="7"/>
  <c r="I6392" i="7"/>
  <c r="I6393" i="7"/>
  <c r="I6394" i="7"/>
  <c r="I6395" i="7"/>
  <c r="I6396" i="7"/>
  <c r="I6397" i="7"/>
  <c r="I6398" i="7"/>
  <c r="I6399" i="7"/>
  <c r="I6400" i="7"/>
  <c r="I6401" i="7"/>
  <c r="I6402" i="7"/>
  <c r="I6403" i="7"/>
  <c r="I6404" i="7"/>
  <c r="I6405" i="7"/>
  <c r="I6406" i="7"/>
  <c r="I6407" i="7"/>
  <c r="I6408" i="7"/>
  <c r="I6409" i="7"/>
  <c r="I6410" i="7"/>
  <c r="I6411" i="7"/>
  <c r="I6412" i="7"/>
  <c r="I6413" i="7"/>
  <c r="I6414" i="7"/>
  <c r="I6415" i="7"/>
  <c r="I6416" i="7"/>
  <c r="I6417" i="7"/>
  <c r="I6418" i="7"/>
  <c r="I6419" i="7"/>
  <c r="I6420" i="7"/>
  <c r="I6421" i="7"/>
  <c r="I6422" i="7"/>
  <c r="I6423" i="7"/>
  <c r="I6424" i="7"/>
  <c r="I6425" i="7"/>
  <c r="I6426" i="7"/>
  <c r="I6427" i="7"/>
  <c r="I6428" i="7"/>
  <c r="I6429" i="7"/>
  <c r="I6430" i="7"/>
  <c r="I6431" i="7"/>
  <c r="I6432" i="7"/>
  <c r="I6433" i="7"/>
  <c r="I6434" i="7"/>
  <c r="I6435" i="7"/>
  <c r="I6436" i="7"/>
  <c r="I6437" i="7"/>
  <c r="I6438" i="7"/>
  <c r="I6439" i="7"/>
  <c r="I6440" i="7"/>
  <c r="I6441" i="7"/>
  <c r="I6442" i="7"/>
  <c r="I6443" i="7"/>
  <c r="I6444" i="7"/>
  <c r="I6445" i="7"/>
  <c r="I6446" i="7"/>
  <c r="I6447" i="7"/>
  <c r="I6448" i="7"/>
  <c r="I6449" i="7"/>
  <c r="I6450" i="7"/>
  <c r="I6451" i="7"/>
  <c r="I6452" i="7"/>
  <c r="I6453" i="7"/>
  <c r="I6454" i="7"/>
  <c r="I6455" i="7"/>
  <c r="I6456" i="7"/>
  <c r="I6457" i="7"/>
  <c r="I6458" i="7"/>
  <c r="I6459" i="7"/>
  <c r="I6460" i="7"/>
  <c r="I6461" i="7"/>
  <c r="I6462" i="7"/>
  <c r="I6463" i="7"/>
  <c r="I6464" i="7"/>
  <c r="I6465" i="7"/>
  <c r="I6466" i="7"/>
  <c r="I6467" i="7"/>
  <c r="I6468" i="7"/>
  <c r="I6469" i="7"/>
  <c r="I6470" i="7"/>
  <c r="I6471" i="7"/>
  <c r="I6472" i="7"/>
  <c r="I6473" i="7"/>
  <c r="I6474" i="7"/>
  <c r="I6475" i="7"/>
  <c r="I6476" i="7"/>
  <c r="I6477" i="7"/>
  <c r="I6478" i="7"/>
  <c r="I6479" i="7"/>
  <c r="I6480" i="7"/>
  <c r="I6481" i="7"/>
  <c r="I6482" i="7"/>
  <c r="I6483" i="7"/>
  <c r="I6484" i="7"/>
  <c r="I6485" i="7"/>
  <c r="I6486" i="7"/>
  <c r="I6487" i="7"/>
  <c r="I6488" i="7"/>
  <c r="I6489" i="7"/>
  <c r="I6490" i="7"/>
  <c r="I6491" i="7"/>
  <c r="I6492" i="7"/>
  <c r="I6493" i="7"/>
  <c r="I6494" i="7"/>
  <c r="I6495" i="7"/>
  <c r="I6496" i="7"/>
  <c r="I6497" i="7"/>
  <c r="I6498" i="7"/>
  <c r="I6499" i="7"/>
  <c r="I6500" i="7"/>
  <c r="I6501" i="7"/>
  <c r="I6502" i="7"/>
  <c r="I6503" i="7"/>
  <c r="I6504" i="7"/>
  <c r="I6505" i="7"/>
  <c r="I6506" i="7"/>
  <c r="I6507" i="7"/>
  <c r="I6508" i="7"/>
  <c r="I6509" i="7"/>
  <c r="I6510" i="7"/>
  <c r="I6511" i="7"/>
  <c r="I6512" i="7"/>
  <c r="I6513" i="7"/>
  <c r="I6514" i="7"/>
  <c r="I6515" i="7"/>
  <c r="I6516" i="7"/>
  <c r="I6517" i="7"/>
  <c r="I6518" i="7"/>
  <c r="I6519" i="7"/>
  <c r="I6520" i="7"/>
  <c r="I6521" i="7"/>
  <c r="I6522" i="7"/>
  <c r="I6523" i="7"/>
  <c r="I6524" i="7"/>
  <c r="I6525" i="7"/>
  <c r="I6526" i="7"/>
  <c r="I6527" i="7"/>
  <c r="I6528" i="7"/>
  <c r="I6529" i="7"/>
  <c r="I6530" i="7"/>
  <c r="I6531" i="7"/>
  <c r="I6532" i="7"/>
  <c r="I6533" i="7"/>
  <c r="I6534" i="7"/>
  <c r="I6535" i="7"/>
  <c r="I6536" i="7"/>
  <c r="I6537" i="7"/>
  <c r="I6538" i="7"/>
  <c r="I6539" i="7"/>
  <c r="I6540" i="7"/>
  <c r="I6541" i="7"/>
  <c r="I6542" i="7"/>
  <c r="I6543" i="7"/>
  <c r="I6544" i="7"/>
  <c r="I6545" i="7"/>
  <c r="I6546" i="7"/>
  <c r="I6547" i="7"/>
  <c r="I6548" i="7"/>
  <c r="I6549" i="7"/>
  <c r="I6550" i="7"/>
  <c r="I6551" i="7"/>
  <c r="I6552" i="7"/>
  <c r="I6553" i="7"/>
  <c r="I6554" i="7"/>
  <c r="I6555" i="7"/>
  <c r="I6556" i="7"/>
  <c r="I6557" i="7"/>
  <c r="I6558" i="7"/>
  <c r="I6559" i="7"/>
  <c r="I6560" i="7"/>
  <c r="I6561" i="7"/>
  <c r="I6562" i="7"/>
  <c r="I6563" i="7"/>
  <c r="I6564" i="7"/>
  <c r="I6565" i="7"/>
  <c r="I6566" i="7"/>
  <c r="I6567" i="7"/>
  <c r="I6568" i="7"/>
  <c r="I6569" i="7"/>
  <c r="I6570" i="7"/>
  <c r="I6571" i="7"/>
  <c r="I6572" i="7"/>
  <c r="I6573" i="7"/>
  <c r="I6574" i="7"/>
  <c r="I6575" i="7"/>
  <c r="I6576" i="7"/>
  <c r="I6577" i="7"/>
  <c r="I6578" i="7"/>
  <c r="I6579" i="7"/>
  <c r="I6580" i="7"/>
  <c r="I6581" i="7"/>
  <c r="I6582" i="7"/>
  <c r="I6583" i="7"/>
  <c r="I6584" i="7"/>
  <c r="I6585" i="7"/>
  <c r="I6586" i="7"/>
  <c r="I6587" i="7"/>
  <c r="I6588" i="7"/>
  <c r="I6589" i="7"/>
  <c r="I6590" i="7"/>
  <c r="I6591" i="7"/>
  <c r="I6592" i="7"/>
  <c r="I6593" i="7"/>
  <c r="I6594" i="7"/>
  <c r="I6595" i="7"/>
  <c r="I6596" i="7"/>
  <c r="I6597" i="7"/>
  <c r="I6598" i="7"/>
  <c r="I6599" i="7"/>
  <c r="I6600" i="7"/>
  <c r="I6601" i="7"/>
  <c r="I6602" i="7"/>
  <c r="I6603" i="7"/>
  <c r="I6604" i="7"/>
  <c r="I6605" i="7"/>
  <c r="I6606" i="7"/>
  <c r="I6607" i="7"/>
  <c r="I6608" i="7"/>
  <c r="I6609" i="7"/>
  <c r="I6610" i="7"/>
  <c r="I6611" i="7"/>
  <c r="I6612" i="7"/>
  <c r="I6613" i="7"/>
  <c r="I6614" i="7"/>
  <c r="I6615" i="7"/>
  <c r="I6616" i="7"/>
  <c r="I6617" i="7"/>
  <c r="I6618" i="7"/>
  <c r="I6619" i="7"/>
  <c r="I6620" i="7"/>
  <c r="I6621" i="7"/>
  <c r="I6622" i="7"/>
  <c r="I6623" i="7"/>
  <c r="I6624" i="7"/>
  <c r="I6625" i="7"/>
  <c r="I6626" i="7"/>
  <c r="I6627" i="7"/>
  <c r="I6628" i="7"/>
  <c r="I6629" i="7"/>
  <c r="I6630" i="7"/>
  <c r="I6631" i="7"/>
  <c r="I6632" i="7"/>
  <c r="I6633" i="7"/>
  <c r="I6634" i="7"/>
  <c r="I6635" i="7"/>
  <c r="I6636" i="7"/>
  <c r="I6637" i="7"/>
  <c r="I6638" i="7"/>
  <c r="I6639" i="7"/>
  <c r="I6640" i="7"/>
  <c r="I6641" i="7"/>
  <c r="I6642" i="7"/>
  <c r="I6643" i="7"/>
  <c r="I6644" i="7"/>
  <c r="I6645" i="7"/>
  <c r="I6646" i="7"/>
  <c r="I6647" i="7"/>
  <c r="I6648" i="7"/>
  <c r="I6649" i="7"/>
  <c r="I6650" i="7"/>
  <c r="I6651" i="7"/>
  <c r="I6652" i="7"/>
  <c r="I6653" i="7"/>
  <c r="I6654" i="7"/>
  <c r="I6655" i="7"/>
  <c r="I6656" i="7"/>
  <c r="I6657" i="7"/>
  <c r="I6658" i="7"/>
  <c r="I6659" i="7"/>
  <c r="I6660" i="7"/>
  <c r="I6661" i="7"/>
  <c r="I6662" i="7"/>
  <c r="I6663" i="7"/>
  <c r="I6664" i="7"/>
  <c r="I6665" i="7"/>
  <c r="I6666" i="7"/>
  <c r="I6667" i="7"/>
  <c r="I6668" i="7"/>
  <c r="I6669" i="7"/>
  <c r="I6670" i="7"/>
  <c r="I6671" i="7"/>
  <c r="I6672" i="7"/>
  <c r="I6673" i="7"/>
  <c r="I6674" i="7"/>
  <c r="I6675" i="7"/>
  <c r="I6676" i="7"/>
  <c r="I6677" i="7"/>
  <c r="I6678" i="7"/>
  <c r="I6679" i="7"/>
  <c r="I6680" i="7"/>
  <c r="I6681" i="7"/>
  <c r="I6682" i="7"/>
  <c r="I6683" i="7"/>
  <c r="I6684" i="7"/>
  <c r="I6685" i="7"/>
  <c r="I6686" i="7"/>
  <c r="I6687" i="7"/>
  <c r="I6688" i="7"/>
  <c r="I6689" i="7"/>
  <c r="I6690" i="7"/>
  <c r="I6691" i="7"/>
  <c r="I6692" i="7"/>
  <c r="I6693" i="7"/>
  <c r="I6694" i="7"/>
  <c r="I6695" i="7"/>
  <c r="I6696" i="7"/>
  <c r="I6697" i="7"/>
  <c r="I6698" i="7"/>
  <c r="I6699" i="7"/>
  <c r="I6700" i="7"/>
  <c r="I6701" i="7"/>
  <c r="I6702" i="7"/>
  <c r="I6703" i="7"/>
  <c r="I6704" i="7"/>
  <c r="I6705" i="7"/>
  <c r="I6706" i="7"/>
  <c r="I6707" i="7"/>
  <c r="I6708" i="7"/>
  <c r="I6709" i="7"/>
  <c r="I6710" i="7"/>
  <c r="I6711" i="7"/>
  <c r="I6712" i="7"/>
  <c r="I6713" i="7"/>
  <c r="I6714" i="7"/>
  <c r="I6715" i="7"/>
  <c r="I6716" i="7"/>
  <c r="I6717" i="7"/>
  <c r="I6718" i="7"/>
  <c r="I6719" i="7"/>
  <c r="I6720" i="7"/>
  <c r="I6721" i="7"/>
  <c r="I6722" i="7"/>
  <c r="I6723" i="7"/>
  <c r="I6724" i="7"/>
  <c r="I6725" i="7"/>
  <c r="I6726" i="7"/>
  <c r="I6727" i="7"/>
  <c r="I6728" i="7"/>
  <c r="I6729" i="7"/>
  <c r="I6730" i="7"/>
  <c r="I6731" i="7"/>
  <c r="I6732" i="7"/>
  <c r="I6733" i="7"/>
  <c r="I6734" i="7"/>
  <c r="I6735" i="7"/>
  <c r="I6736" i="7"/>
  <c r="I6737" i="7"/>
  <c r="I6738" i="7"/>
  <c r="I6739" i="7"/>
  <c r="I6740" i="7"/>
  <c r="I6741" i="7"/>
  <c r="I6742" i="7"/>
  <c r="I6743" i="7"/>
  <c r="I6744" i="7"/>
  <c r="I6745" i="7"/>
  <c r="I6746" i="7"/>
  <c r="I6747" i="7"/>
  <c r="I6748" i="7"/>
  <c r="I6749" i="7"/>
  <c r="I6750" i="7"/>
  <c r="I6751" i="7"/>
  <c r="I6752" i="7"/>
  <c r="I6753" i="7"/>
  <c r="I6754" i="7"/>
  <c r="I6755" i="7"/>
  <c r="I6756" i="7"/>
  <c r="I6757" i="7"/>
  <c r="I6758" i="7"/>
  <c r="I6759" i="7"/>
  <c r="I6760" i="7"/>
  <c r="I6761" i="7"/>
  <c r="I6762" i="7"/>
  <c r="I6763" i="7"/>
  <c r="I6764" i="7"/>
  <c r="I6765" i="7"/>
  <c r="I6766" i="7"/>
  <c r="I6767" i="7"/>
  <c r="I6768" i="7"/>
  <c r="I6769" i="7"/>
  <c r="I6770" i="7"/>
  <c r="I6771" i="7"/>
  <c r="I6772" i="7"/>
  <c r="I6773" i="7"/>
  <c r="I6774" i="7"/>
  <c r="I6775" i="7"/>
  <c r="I6776" i="7"/>
  <c r="I6777" i="7"/>
  <c r="I6778" i="7"/>
  <c r="I6779" i="7"/>
  <c r="I6780" i="7"/>
  <c r="I6781" i="7"/>
  <c r="I6782" i="7"/>
  <c r="I6783" i="7"/>
  <c r="I6784" i="7"/>
  <c r="I6785" i="7"/>
  <c r="I6786" i="7"/>
  <c r="I6787" i="7"/>
  <c r="I6788" i="7"/>
  <c r="I6789" i="7"/>
  <c r="I6790" i="7"/>
  <c r="I6791" i="7"/>
  <c r="I6792" i="7"/>
  <c r="I6793" i="7"/>
  <c r="I6794" i="7"/>
  <c r="I6795" i="7"/>
  <c r="I6796" i="7"/>
  <c r="I6797" i="7"/>
  <c r="I6798" i="7"/>
  <c r="I6799" i="7"/>
  <c r="I6800" i="7"/>
  <c r="I6801" i="7"/>
  <c r="I6802" i="7"/>
  <c r="I6803" i="7"/>
  <c r="I6804" i="7"/>
  <c r="I6805" i="7"/>
  <c r="I6806" i="7"/>
  <c r="I6807" i="7"/>
  <c r="I6808" i="7"/>
  <c r="I6809" i="7"/>
  <c r="I6810" i="7"/>
  <c r="I6811" i="7"/>
  <c r="I6812" i="7"/>
  <c r="I6813" i="7"/>
  <c r="I6814" i="7"/>
  <c r="I6815" i="7"/>
  <c r="I6816" i="7"/>
  <c r="I6817" i="7"/>
  <c r="I6818" i="7"/>
  <c r="I6819" i="7"/>
  <c r="I6820" i="7"/>
  <c r="I6821" i="7"/>
  <c r="I6822" i="7"/>
  <c r="I6823" i="7"/>
  <c r="I6824" i="7"/>
  <c r="I6825" i="7"/>
  <c r="I6826" i="7"/>
  <c r="I6827" i="7"/>
  <c r="I6828" i="7"/>
  <c r="I6829" i="7"/>
  <c r="I6830" i="7"/>
  <c r="I6831" i="7"/>
  <c r="I6832" i="7"/>
  <c r="I6833" i="7"/>
  <c r="I6834" i="7"/>
  <c r="I6835" i="7"/>
  <c r="I6836" i="7"/>
  <c r="I6837" i="7"/>
  <c r="I6838" i="7"/>
  <c r="I6839" i="7"/>
  <c r="I6840" i="7"/>
  <c r="I6841" i="7"/>
  <c r="I6842" i="7"/>
  <c r="I6843" i="7"/>
  <c r="I6844" i="7"/>
  <c r="I6845" i="7"/>
  <c r="I6846" i="7"/>
  <c r="I6847" i="7"/>
  <c r="I6848" i="7"/>
  <c r="I6849" i="7"/>
  <c r="I6850" i="7"/>
  <c r="I6851" i="7"/>
  <c r="I6852" i="7"/>
  <c r="I6853" i="7"/>
  <c r="I6854" i="7"/>
  <c r="I6855" i="7"/>
  <c r="I6856" i="7"/>
  <c r="I6857" i="7"/>
  <c r="I6858" i="7"/>
  <c r="I6859" i="7"/>
  <c r="I6860" i="7"/>
  <c r="I6861" i="7"/>
  <c r="I6862" i="7"/>
  <c r="I6863" i="7"/>
  <c r="I6864" i="7"/>
  <c r="I6865" i="7"/>
  <c r="I6866" i="7"/>
  <c r="I6867" i="7"/>
  <c r="I6868" i="7"/>
  <c r="I6869" i="7"/>
  <c r="I6870" i="7"/>
  <c r="I6871" i="7"/>
  <c r="I6872" i="7"/>
  <c r="I6873" i="7"/>
  <c r="I6874" i="7"/>
  <c r="I6875" i="7"/>
  <c r="I6876" i="7"/>
  <c r="I6877" i="7"/>
  <c r="I6878" i="7"/>
  <c r="I6879" i="7"/>
  <c r="I6880" i="7"/>
  <c r="I6881" i="7"/>
  <c r="I6882" i="7"/>
  <c r="I6883" i="7"/>
  <c r="I6884" i="7"/>
  <c r="I6885" i="7"/>
  <c r="I6886" i="7"/>
  <c r="I6887" i="7"/>
  <c r="I6888" i="7"/>
  <c r="I6889" i="7"/>
  <c r="I6890" i="7"/>
  <c r="I6891" i="7"/>
  <c r="I6892" i="7"/>
  <c r="I6893" i="7"/>
  <c r="I6894" i="7"/>
  <c r="I6895" i="7"/>
  <c r="I6896" i="7"/>
  <c r="I6897" i="7"/>
  <c r="I6898" i="7"/>
  <c r="I6899" i="7"/>
  <c r="I6900" i="7"/>
  <c r="I6901" i="7"/>
  <c r="I6902" i="7"/>
  <c r="I6903" i="7"/>
  <c r="I6904" i="7"/>
  <c r="I6905" i="7"/>
  <c r="I6906" i="7"/>
  <c r="I6907" i="7"/>
  <c r="I6908" i="7"/>
  <c r="I6909" i="7"/>
  <c r="I6910" i="7"/>
  <c r="I6911" i="7"/>
  <c r="I6912" i="7"/>
  <c r="I6913" i="7"/>
  <c r="I6914" i="7"/>
  <c r="I6915" i="7"/>
  <c r="I6916" i="7"/>
  <c r="I6917" i="7"/>
  <c r="I6918" i="7"/>
  <c r="I6919" i="7"/>
  <c r="I6920" i="7"/>
  <c r="I6921" i="7"/>
  <c r="I6922" i="7"/>
  <c r="I6923" i="7"/>
  <c r="I6924" i="7"/>
  <c r="I6925" i="7"/>
  <c r="I6926" i="7"/>
  <c r="I6927" i="7"/>
  <c r="I6928" i="7"/>
  <c r="I6929" i="7"/>
  <c r="I6930" i="7"/>
  <c r="I6931" i="7"/>
  <c r="I6932" i="7"/>
  <c r="I6933" i="7"/>
  <c r="I6934" i="7"/>
  <c r="I6935" i="7"/>
  <c r="I6936" i="7"/>
  <c r="I6937" i="7"/>
  <c r="I6938" i="7"/>
  <c r="I6939" i="7"/>
  <c r="I6940" i="7"/>
  <c r="I6941" i="7"/>
  <c r="I6942" i="7"/>
  <c r="I6943" i="7"/>
  <c r="I6944" i="7"/>
  <c r="I6945" i="7"/>
  <c r="I6946" i="7"/>
  <c r="I6947" i="7"/>
  <c r="I6948" i="7"/>
  <c r="I6949" i="7"/>
  <c r="I6950" i="7"/>
  <c r="I6951" i="7"/>
  <c r="I6952" i="7"/>
  <c r="I6953" i="7"/>
  <c r="I6954" i="7"/>
  <c r="I6955" i="7"/>
  <c r="I6956" i="7"/>
  <c r="I6957" i="7"/>
  <c r="I6958" i="7"/>
  <c r="I6959" i="7"/>
  <c r="I6960" i="7"/>
  <c r="I6961" i="7"/>
  <c r="I6962" i="7"/>
  <c r="I6963" i="7"/>
  <c r="I6964" i="7"/>
  <c r="I6965" i="7"/>
  <c r="I6966" i="7"/>
  <c r="I6967" i="7"/>
  <c r="I6968" i="7"/>
  <c r="I6969" i="7"/>
  <c r="I6970" i="7"/>
  <c r="I6971" i="7"/>
  <c r="I6972" i="7"/>
  <c r="I6973" i="7"/>
  <c r="I6974" i="7"/>
  <c r="I6975" i="7"/>
  <c r="I6976" i="7"/>
  <c r="I6977" i="7"/>
  <c r="I6978" i="7"/>
  <c r="I6979" i="7"/>
  <c r="I6980" i="7"/>
  <c r="I6981" i="7"/>
  <c r="I6982" i="7"/>
  <c r="I6983" i="7"/>
  <c r="I6984" i="7"/>
  <c r="I6985" i="7"/>
  <c r="I6986" i="7"/>
  <c r="I6987" i="7"/>
  <c r="I6988" i="7"/>
  <c r="I6989" i="7"/>
  <c r="I6990" i="7"/>
  <c r="I6991" i="7"/>
  <c r="I6992" i="7"/>
  <c r="I6993" i="7"/>
  <c r="I6994" i="7"/>
  <c r="I6995" i="7"/>
  <c r="I6996" i="7"/>
  <c r="I6997" i="7"/>
  <c r="I6998" i="7"/>
  <c r="I6999" i="7"/>
  <c r="I7000" i="7"/>
  <c r="I7001" i="7"/>
  <c r="I7002" i="7"/>
  <c r="I7003" i="7"/>
  <c r="I7004" i="7"/>
  <c r="I7005" i="7"/>
  <c r="I7006" i="7"/>
  <c r="I7007" i="7"/>
  <c r="I7008" i="7"/>
  <c r="I7009" i="7"/>
  <c r="I7010" i="7"/>
  <c r="I7011" i="7"/>
  <c r="I7012" i="7"/>
  <c r="I7013" i="7"/>
  <c r="I7014" i="7"/>
  <c r="I7015" i="7"/>
  <c r="I7016" i="7"/>
  <c r="I7017" i="7"/>
  <c r="I7018" i="7"/>
  <c r="I7019" i="7"/>
  <c r="I7020" i="7"/>
  <c r="I7021" i="7"/>
  <c r="I7022" i="7"/>
  <c r="I7023" i="7"/>
  <c r="I7024" i="7"/>
  <c r="I7025" i="7"/>
  <c r="I7026" i="7"/>
  <c r="I7027" i="7"/>
  <c r="I7028" i="7"/>
  <c r="I7029" i="7"/>
  <c r="I7030" i="7"/>
  <c r="I7031" i="7"/>
  <c r="I7032" i="7"/>
  <c r="I7033" i="7"/>
  <c r="I7034" i="7"/>
  <c r="I7035" i="7"/>
  <c r="I7036" i="7"/>
  <c r="I7037" i="7"/>
  <c r="I7038" i="7"/>
  <c r="I7039" i="7"/>
  <c r="I7040" i="7"/>
  <c r="I7041" i="7"/>
  <c r="I7042" i="7"/>
  <c r="I7043" i="7"/>
  <c r="I7044" i="7"/>
  <c r="I7045" i="7"/>
  <c r="I7046" i="7"/>
  <c r="I7047" i="7"/>
  <c r="I7048" i="7"/>
  <c r="I7049" i="7"/>
  <c r="I7050" i="7"/>
  <c r="I7051" i="7"/>
  <c r="I7052" i="7"/>
  <c r="I7053" i="7"/>
  <c r="I7054" i="7"/>
  <c r="I7055" i="7"/>
  <c r="I7056" i="7"/>
  <c r="I7057" i="7"/>
  <c r="I7058" i="7"/>
  <c r="I7059" i="7"/>
  <c r="I7060" i="7"/>
  <c r="I7061" i="7"/>
  <c r="I7062" i="7"/>
  <c r="I7063" i="7"/>
  <c r="I7064" i="7"/>
  <c r="I7065" i="7"/>
  <c r="I7066" i="7"/>
  <c r="I7067" i="7"/>
  <c r="I7068" i="7"/>
  <c r="I7069" i="7"/>
  <c r="I7070" i="7"/>
  <c r="I7071" i="7"/>
  <c r="I7072" i="7"/>
  <c r="I7073" i="7"/>
  <c r="I7074" i="7"/>
  <c r="I7075" i="7"/>
  <c r="I7076" i="7"/>
  <c r="I7077" i="7"/>
  <c r="I7078" i="7"/>
  <c r="I7079" i="7"/>
  <c r="I7080" i="7"/>
  <c r="I7081" i="7"/>
  <c r="I7082" i="7"/>
  <c r="I7083" i="7"/>
  <c r="I7084" i="7"/>
  <c r="I7085" i="7"/>
  <c r="I7086" i="7"/>
  <c r="I7087" i="7"/>
  <c r="I7088" i="7"/>
  <c r="I7089" i="7"/>
  <c r="I7090" i="7"/>
  <c r="I7091" i="7"/>
  <c r="I7092" i="7"/>
  <c r="I7093" i="7"/>
  <c r="I7094" i="7"/>
  <c r="I7095" i="7"/>
  <c r="I7096" i="7"/>
  <c r="I7097" i="7"/>
  <c r="I7098" i="7"/>
  <c r="I7099" i="7"/>
  <c r="I7100" i="7"/>
  <c r="I7101" i="7"/>
  <c r="I7102" i="7"/>
  <c r="I7103" i="7"/>
  <c r="I7104" i="7"/>
  <c r="I7105" i="7"/>
  <c r="I7106" i="7"/>
  <c r="I7107" i="7"/>
  <c r="I7108" i="7"/>
  <c r="I7109" i="7"/>
  <c r="I7110" i="7"/>
  <c r="I7111" i="7"/>
  <c r="I7112" i="7"/>
  <c r="I7113" i="7"/>
  <c r="I7114" i="7"/>
  <c r="I7115" i="7"/>
  <c r="I7116" i="7"/>
  <c r="I7117" i="7"/>
  <c r="I7118" i="7"/>
  <c r="I7119" i="7"/>
  <c r="I7120" i="7"/>
  <c r="I7121" i="7"/>
  <c r="I7122" i="7"/>
  <c r="I7123" i="7"/>
  <c r="I7124" i="7"/>
  <c r="I7125" i="7"/>
  <c r="I7126" i="7"/>
  <c r="I7127" i="7"/>
  <c r="I7128" i="7"/>
  <c r="I7129" i="7"/>
  <c r="I7130" i="7"/>
  <c r="I7131" i="7"/>
  <c r="I7132" i="7"/>
  <c r="I7133" i="7"/>
  <c r="I7134" i="7"/>
  <c r="I7135" i="7"/>
  <c r="I7136" i="7"/>
  <c r="I7137" i="7"/>
  <c r="I7138" i="7"/>
  <c r="I7139" i="7"/>
  <c r="I7140" i="7"/>
  <c r="I7141" i="7"/>
  <c r="I7142" i="7"/>
  <c r="I7143" i="7"/>
  <c r="I7144" i="7"/>
  <c r="I7145" i="7"/>
  <c r="I7146" i="7"/>
  <c r="I7147" i="7"/>
  <c r="I7148" i="7"/>
  <c r="I7149" i="7"/>
  <c r="I7150" i="7"/>
  <c r="I7151" i="7"/>
  <c r="I7152" i="7"/>
  <c r="I7153" i="7"/>
  <c r="I7154" i="7"/>
  <c r="I7155" i="7"/>
  <c r="I7156" i="7"/>
  <c r="I7157" i="7"/>
  <c r="I7158" i="7"/>
  <c r="I7159" i="7"/>
  <c r="I7160" i="7"/>
  <c r="I7161" i="7"/>
  <c r="I7162" i="7"/>
  <c r="I7163" i="7"/>
  <c r="I7164" i="7"/>
  <c r="I7165" i="7"/>
  <c r="I7166" i="7"/>
  <c r="I7167" i="7"/>
  <c r="I7168" i="7"/>
  <c r="I7169" i="7"/>
  <c r="I7170" i="7"/>
  <c r="I7171" i="7"/>
  <c r="I7172" i="7"/>
  <c r="I7173" i="7"/>
  <c r="I7174" i="7"/>
  <c r="I7175" i="7"/>
  <c r="I7176" i="7"/>
  <c r="I7177" i="7"/>
  <c r="I7178" i="7"/>
  <c r="I7179" i="7"/>
  <c r="I7180" i="7"/>
  <c r="I7181" i="7"/>
  <c r="I7182" i="7"/>
  <c r="I7183" i="7"/>
  <c r="I7184" i="7"/>
  <c r="I7185" i="7"/>
  <c r="I7186" i="7"/>
  <c r="I7187" i="7"/>
  <c r="I7188" i="7"/>
  <c r="I7189" i="7"/>
  <c r="I7190" i="7"/>
  <c r="I7191" i="7"/>
  <c r="I7192" i="7"/>
  <c r="I7193" i="7"/>
  <c r="I7194" i="7"/>
  <c r="I7195" i="7"/>
  <c r="I7196" i="7"/>
  <c r="I7197" i="7"/>
  <c r="I7198" i="7"/>
  <c r="I7199" i="7"/>
  <c r="I7200" i="7"/>
  <c r="I7201" i="7"/>
  <c r="I7202" i="7"/>
  <c r="I7203" i="7"/>
  <c r="I7204" i="7"/>
  <c r="I7205" i="7"/>
  <c r="I7206" i="7"/>
  <c r="I7207" i="7"/>
  <c r="I7208" i="7"/>
  <c r="I7209" i="7"/>
  <c r="I7210" i="7"/>
  <c r="I7211" i="7"/>
  <c r="I7212" i="7"/>
  <c r="I7213" i="7"/>
  <c r="I7214" i="7"/>
  <c r="I7215" i="7"/>
  <c r="I7216" i="7"/>
  <c r="I7217" i="7"/>
  <c r="I7218" i="7"/>
  <c r="I7219" i="7"/>
  <c r="I7220" i="7"/>
  <c r="I7221" i="7"/>
  <c r="I7222" i="7"/>
  <c r="I7223" i="7"/>
  <c r="I7224" i="7"/>
  <c r="I7225" i="7"/>
  <c r="I7226" i="7"/>
  <c r="I7227" i="7"/>
  <c r="I7228" i="7"/>
  <c r="I7229" i="7"/>
  <c r="I7230" i="7"/>
  <c r="I7231" i="7"/>
  <c r="I7232" i="7"/>
  <c r="I7233" i="7"/>
  <c r="I7234" i="7"/>
  <c r="I7235" i="7"/>
  <c r="I7236" i="7"/>
  <c r="I7237" i="7"/>
  <c r="I7238" i="7"/>
  <c r="I7239" i="7"/>
  <c r="I7240" i="7"/>
  <c r="I7241" i="7"/>
  <c r="I7242" i="7"/>
  <c r="I7243" i="7"/>
  <c r="I7244" i="7"/>
  <c r="I7245" i="7"/>
  <c r="I7246" i="7"/>
  <c r="I7247" i="7"/>
  <c r="I7248" i="7"/>
  <c r="I7249" i="7"/>
  <c r="I7250" i="7"/>
  <c r="I7251" i="7"/>
  <c r="I7252" i="7"/>
  <c r="I7253" i="7"/>
  <c r="I7254" i="7"/>
  <c r="I7255" i="7"/>
  <c r="I7256" i="7"/>
  <c r="I7257" i="7"/>
  <c r="I7258" i="7"/>
  <c r="I7259" i="7"/>
  <c r="I7260" i="7"/>
  <c r="I7261" i="7"/>
  <c r="I7262" i="7"/>
  <c r="I7263" i="7"/>
  <c r="I7264" i="7"/>
  <c r="I7265" i="7"/>
  <c r="I7266" i="7"/>
  <c r="I7267" i="7"/>
  <c r="I7268" i="7"/>
  <c r="I7269" i="7"/>
  <c r="I7270" i="7"/>
  <c r="I7271" i="7"/>
  <c r="I7272" i="7"/>
  <c r="I7273" i="7"/>
  <c r="I7274" i="7"/>
  <c r="I7275" i="7"/>
  <c r="I7276" i="7"/>
  <c r="I7277" i="7"/>
  <c r="I7278" i="7"/>
  <c r="I7279" i="7"/>
  <c r="I7280" i="7"/>
  <c r="I7281" i="7"/>
  <c r="I7282" i="7"/>
  <c r="I7283" i="7"/>
  <c r="I7284" i="7"/>
  <c r="I7285" i="7"/>
  <c r="I7286" i="7"/>
  <c r="I7287" i="7"/>
  <c r="I7288" i="7"/>
  <c r="I7289" i="7"/>
  <c r="I7290" i="7"/>
  <c r="I7291" i="7"/>
  <c r="I7292" i="7"/>
  <c r="I7293" i="7"/>
  <c r="I7294" i="7"/>
  <c r="I7295" i="7"/>
  <c r="I7296" i="7"/>
  <c r="I7297" i="7"/>
  <c r="I7298" i="7"/>
  <c r="I7299" i="7"/>
  <c r="I7300" i="7"/>
  <c r="I7301" i="7"/>
  <c r="I7302" i="7"/>
  <c r="I7303" i="7"/>
  <c r="I7304" i="7"/>
  <c r="I7305" i="7"/>
  <c r="I7306" i="7"/>
  <c r="I7307" i="7"/>
  <c r="I7308" i="7"/>
  <c r="I7309" i="7"/>
  <c r="I7310" i="7"/>
  <c r="I7311" i="7"/>
  <c r="I7312" i="7"/>
  <c r="I7313" i="7"/>
  <c r="I7314" i="7"/>
  <c r="I7315" i="7"/>
  <c r="I7316" i="7"/>
  <c r="I7317" i="7"/>
  <c r="I7318" i="7"/>
  <c r="I7319" i="7"/>
  <c r="I7320" i="7"/>
  <c r="I7321" i="7"/>
  <c r="I7322" i="7"/>
  <c r="I7323" i="7"/>
  <c r="I7324" i="7"/>
  <c r="I7325" i="7"/>
  <c r="I7326" i="7"/>
  <c r="I7327" i="7"/>
  <c r="I7328" i="7"/>
  <c r="I7329" i="7"/>
  <c r="I7330" i="7"/>
  <c r="I7331" i="7"/>
  <c r="I7332" i="7"/>
  <c r="I7333" i="7"/>
  <c r="I7334" i="7"/>
  <c r="I7335" i="7"/>
  <c r="I7336" i="7"/>
  <c r="I7337" i="7"/>
  <c r="I7338" i="7"/>
  <c r="I7339" i="7"/>
  <c r="I7340" i="7"/>
  <c r="I7341" i="7"/>
  <c r="I7342" i="7"/>
  <c r="I7343" i="7"/>
  <c r="I7344" i="7"/>
  <c r="I7345" i="7"/>
  <c r="I7346" i="7"/>
  <c r="I7347" i="7"/>
  <c r="I7348" i="7"/>
  <c r="I7349" i="7"/>
  <c r="I7350" i="7"/>
  <c r="I7351" i="7"/>
  <c r="I7352" i="7"/>
  <c r="I7353" i="7"/>
  <c r="I7354" i="7"/>
  <c r="I7355" i="7"/>
  <c r="I7356" i="7"/>
  <c r="I7357" i="7"/>
  <c r="I7358" i="7"/>
  <c r="I7359" i="7"/>
  <c r="I7360" i="7"/>
  <c r="I7361" i="7"/>
  <c r="I7362" i="7"/>
  <c r="I7363" i="7"/>
  <c r="I7364" i="7"/>
  <c r="I7365" i="7"/>
  <c r="I7366" i="7"/>
  <c r="I7367" i="7"/>
  <c r="I7368" i="7"/>
  <c r="I7369" i="7"/>
  <c r="I7370" i="7"/>
  <c r="I7371" i="7"/>
  <c r="I7372" i="7"/>
  <c r="I7373" i="7"/>
  <c r="I7374" i="7"/>
  <c r="I7375" i="7"/>
  <c r="I7376" i="7"/>
  <c r="I7377" i="7"/>
  <c r="I7378" i="7"/>
  <c r="I7379" i="7"/>
  <c r="I7380" i="7"/>
  <c r="I7381" i="7"/>
  <c r="I7382" i="7"/>
  <c r="I7383" i="7"/>
  <c r="I7384" i="7"/>
  <c r="I7385" i="7"/>
  <c r="I7386" i="7"/>
  <c r="I7387" i="7"/>
  <c r="I7388" i="7"/>
  <c r="I7389" i="7"/>
  <c r="I7390" i="7"/>
  <c r="I7391" i="7"/>
  <c r="I7392" i="7"/>
  <c r="I7393" i="7"/>
  <c r="I7394" i="7"/>
  <c r="I7395" i="7"/>
  <c r="I7396" i="7"/>
  <c r="I7397" i="7"/>
  <c r="I7398" i="7"/>
  <c r="I7399" i="7"/>
  <c r="I7400" i="7"/>
  <c r="I7401" i="7"/>
  <c r="I7402" i="7"/>
  <c r="I7403" i="7"/>
  <c r="I7404" i="7"/>
  <c r="I7405" i="7"/>
  <c r="I7406" i="7"/>
  <c r="I7407" i="7"/>
  <c r="I7408" i="7"/>
  <c r="I7409" i="7"/>
  <c r="I7410" i="7"/>
  <c r="I7411" i="7"/>
  <c r="I7412" i="7"/>
  <c r="I7413" i="7"/>
  <c r="I7414" i="7"/>
  <c r="I7415" i="7"/>
  <c r="I7416" i="7"/>
  <c r="I7417" i="7"/>
  <c r="I7418" i="7"/>
  <c r="I7419" i="7"/>
  <c r="I7420" i="7"/>
  <c r="I7421" i="7"/>
  <c r="I7422" i="7"/>
  <c r="I7423" i="7"/>
  <c r="I7424" i="7"/>
  <c r="I7425" i="7"/>
  <c r="I7426" i="7"/>
  <c r="I7427" i="7"/>
  <c r="I7428" i="7"/>
  <c r="I7429" i="7"/>
  <c r="I7430" i="7"/>
  <c r="I7431" i="7"/>
  <c r="I7432" i="7"/>
  <c r="I7433" i="7"/>
  <c r="I7434" i="7"/>
  <c r="I7435" i="7"/>
  <c r="I7436" i="7"/>
  <c r="I7437" i="7"/>
  <c r="I7438" i="7"/>
  <c r="I7439" i="7"/>
  <c r="I7440" i="7"/>
  <c r="I7441" i="7"/>
  <c r="I7442" i="7"/>
  <c r="I7443" i="7"/>
  <c r="I7444" i="7"/>
  <c r="I7445" i="7"/>
  <c r="I7446" i="7"/>
  <c r="I7447" i="7"/>
  <c r="I7448" i="7"/>
  <c r="I7449" i="7"/>
  <c r="I7450" i="7"/>
  <c r="I7451" i="7"/>
  <c r="I7452" i="7"/>
  <c r="I7453" i="7"/>
  <c r="I7454" i="7"/>
  <c r="I7455" i="7"/>
  <c r="I7456" i="7"/>
  <c r="I7457" i="7"/>
  <c r="I7458" i="7"/>
  <c r="I7459" i="7"/>
  <c r="I7460" i="7"/>
  <c r="I7461" i="7"/>
  <c r="I7462" i="7"/>
  <c r="I7463" i="7"/>
  <c r="I7464" i="7"/>
  <c r="I7465" i="7"/>
  <c r="I7466" i="7"/>
  <c r="I7467" i="7"/>
  <c r="I7468" i="7"/>
  <c r="I7469" i="7"/>
  <c r="I7470" i="7"/>
  <c r="I7471" i="7"/>
  <c r="I7472" i="7"/>
  <c r="I7473" i="7"/>
  <c r="I7474" i="7"/>
  <c r="I7475" i="7"/>
  <c r="I7476" i="7"/>
  <c r="I7477" i="7"/>
  <c r="I7478" i="7"/>
  <c r="I7479" i="7"/>
  <c r="I7480" i="7"/>
  <c r="I7481" i="7"/>
  <c r="I7482" i="7"/>
  <c r="I7483" i="7"/>
  <c r="I7484" i="7"/>
  <c r="I7485" i="7"/>
  <c r="I7486" i="7"/>
  <c r="I7487" i="7"/>
  <c r="I7488" i="7"/>
  <c r="I7489" i="7"/>
  <c r="I7490" i="7"/>
  <c r="I7491" i="7"/>
  <c r="I7492" i="7"/>
  <c r="I7493" i="7"/>
  <c r="I7494" i="7"/>
  <c r="I7495" i="7"/>
  <c r="I7496" i="7"/>
  <c r="I7497" i="7"/>
  <c r="I7498" i="7"/>
  <c r="I7499" i="7"/>
  <c r="I7500" i="7"/>
  <c r="I7501" i="7"/>
  <c r="I7502" i="7"/>
  <c r="I7503" i="7"/>
  <c r="I7504" i="7"/>
  <c r="I7505" i="7"/>
  <c r="I7506" i="7"/>
  <c r="I7507" i="7"/>
  <c r="I7508" i="7"/>
  <c r="I7509" i="7"/>
  <c r="I7510" i="7"/>
  <c r="I7511" i="7"/>
  <c r="I7512" i="7"/>
  <c r="I7513" i="7"/>
  <c r="I7514" i="7"/>
  <c r="I7515" i="7"/>
  <c r="I7516" i="7"/>
  <c r="I7517" i="7"/>
  <c r="I7518" i="7"/>
  <c r="I7519" i="7"/>
  <c r="I7520" i="7"/>
  <c r="I7521" i="7"/>
  <c r="I7522" i="7"/>
  <c r="I7523" i="7"/>
  <c r="I7524" i="7"/>
  <c r="I7525" i="7"/>
  <c r="I7526" i="7"/>
  <c r="I7527" i="7"/>
  <c r="I7528" i="7"/>
  <c r="I7529" i="7"/>
  <c r="I7530" i="7"/>
  <c r="I7531" i="7"/>
  <c r="I7532" i="7"/>
  <c r="I7533" i="7"/>
  <c r="I7534" i="7"/>
  <c r="I7535" i="7"/>
  <c r="I7536" i="7"/>
  <c r="I7537" i="7"/>
  <c r="I7538" i="7"/>
  <c r="I7539" i="7"/>
  <c r="I7540" i="7"/>
  <c r="I7541" i="7"/>
  <c r="I7542" i="7"/>
  <c r="I7543" i="7"/>
  <c r="I7544" i="7"/>
  <c r="I7545" i="7"/>
  <c r="I7546" i="7"/>
  <c r="I7547" i="7"/>
  <c r="I7548" i="7"/>
  <c r="I7549" i="7"/>
  <c r="I7550" i="7"/>
  <c r="I7551" i="7"/>
  <c r="I7552" i="7"/>
  <c r="I7553" i="7"/>
  <c r="I7554" i="7"/>
  <c r="I7555" i="7"/>
  <c r="I7556" i="7"/>
  <c r="I7557" i="7"/>
  <c r="I7558" i="7"/>
  <c r="I7559" i="7"/>
  <c r="I7560" i="7"/>
  <c r="I7561" i="7"/>
  <c r="I7562" i="7"/>
  <c r="I7563" i="7"/>
  <c r="I7564" i="7"/>
  <c r="I7565" i="7"/>
  <c r="I7566" i="7"/>
  <c r="I7567" i="7"/>
  <c r="I7568" i="7"/>
  <c r="I7569" i="7"/>
  <c r="I7570" i="7"/>
  <c r="I7571" i="7"/>
  <c r="I7572" i="7"/>
  <c r="I7573" i="7"/>
  <c r="I7574" i="7"/>
  <c r="I7575" i="7"/>
  <c r="I7576" i="7"/>
  <c r="I7577" i="7"/>
  <c r="I7578" i="7"/>
  <c r="I7579" i="7"/>
  <c r="I7580" i="7"/>
  <c r="I7581" i="7"/>
  <c r="I7582" i="7"/>
  <c r="I7583" i="7"/>
  <c r="I7584" i="7"/>
  <c r="I7585" i="7"/>
  <c r="I7586" i="7"/>
  <c r="I7587" i="7"/>
  <c r="I7588" i="7"/>
  <c r="I7589" i="7"/>
  <c r="I7590" i="7"/>
  <c r="I7591" i="7"/>
  <c r="I7592" i="7"/>
  <c r="I7593" i="7"/>
  <c r="I7594" i="7"/>
  <c r="I7595" i="7"/>
  <c r="I7596" i="7"/>
  <c r="I7597" i="7"/>
  <c r="I7598" i="7"/>
  <c r="I7599" i="7"/>
  <c r="I7600" i="7"/>
  <c r="I7601" i="7"/>
  <c r="I7602" i="7"/>
  <c r="I7603" i="7"/>
  <c r="I7604" i="7"/>
  <c r="I7605" i="7"/>
  <c r="I7606" i="7"/>
  <c r="I7607" i="7"/>
  <c r="I7608" i="7"/>
  <c r="I7609" i="7"/>
  <c r="I7610" i="7"/>
  <c r="I7611" i="7"/>
  <c r="I7612" i="7"/>
  <c r="I7613" i="7"/>
  <c r="I7614" i="7"/>
  <c r="I7615" i="7"/>
  <c r="I7616" i="7"/>
  <c r="I7617" i="7"/>
  <c r="I7618" i="7"/>
  <c r="I7619" i="7"/>
  <c r="I7620" i="7"/>
  <c r="I7621" i="7"/>
  <c r="I7622" i="7"/>
  <c r="I7623" i="7"/>
  <c r="I7624" i="7"/>
  <c r="I7625" i="7"/>
  <c r="I7626" i="7"/>
  <c r="I7627" i="7"/>
  <c r="I7628" i="7"/>
  <c r="I7629" i="7"/>
  <c r="I7630" i="7"/>
  <c r="I7631" i="7"/>
  <c r="I7632" i="7"/>
  <c r="I7633" i="7"/>
  <c r="I7634" i="7"/>
  <c r="I7635" i="7"/>
  <c r="I7636" i="7"/>
  <c r="I7637" i="7"/>
  <c r="I7638" i="7"/>
  <c r="I7639" i="7"/>
  <c r="I7640" i="7"/>
  <c r="I7641" i="7"/>
  <c r="I7642" i="7"/>
  <c r="I7643" i="7"/>
  <c r="I7644" i="7"/>
  <c r="I7645" i="7"/>
  <c r="I7646" i="7"/>
  <c r="I7647" i="7"/>
  <c r="I7648" i="7"/>
  <c r="I7649" i="7"/>
  <c r="I7650" i="7"/>
  <c r="I7651" i="7"/>
  <c r="I7652" i="7"/>
  <c r="I7653" i="7"/>
  <c r="I7654" i="7"/>
  <c r="I7655" i="7"/>
  <c r="I7656" i="7"/>
  <c r="I7657" i="7"/>
  <c r="I7658" i="7"/>
  <c r="I7659" i="7"/>
  <c r="I7660" i="7"/>
  <c r="I7661" i="7"/>
  <c r="I7662" i="7"/>
  <c r="I7663" i="7"/>
  <c r="I7664" i="7"/>
  <c r="I7665" i="7"/>
  <c r="I7666" i="7"/>
  <c r="I7667" i="7"/>
  <c r="I7668" i="7"/>
  <c r="I7669" i="7"/>
  <c r="I7670" i="7"/>
  <c r="I7671" i="7"/>
  <c r="I7672" i="7"/>
  <c r="I7673" i="7"/>
  <c r="I7674" i="7"/>
  <c r="I7675" i="7"/>
  <c r="I7676" i="7"/>
  <c r="I7677" i="7"/>
  <c r="I7678" i="7"/>
  <c r="I7679" i="7"/>
  <c r="I7680" i="7"/>
  <c r="I7681" i="7"/>
  <c r="I7682" i="7"/>
  <c r="I7683" i="7"/>
  <c r="I7684" i="7"/>
  <c r="I7685" i="7"/>
  <c r="I7686" i="7"/>
  <c r="I7687" i="7"/>
  <c r="I7688" i="7"/>
  <c r="I7689" i="7"/>
  <c r="I7690" i="7"/>
  <c r="I7691" i="7"/>
  <c r="I7692" i="7"/>
  <c r="I7693" i="7"/>
  <c r="I7694" i="7"/>
  <c r="I7695" i="7"/>
  <c r="I7696" i="7"/>
  <c r="I7697" i="7"/>
  <c r="I7698" i="7"/>
  <c r="I7699" i="7"/>
  <c r="I7700" i="7"/>
  <c r="I7701" i="7"/>
  <c r="I7702" i="7"/>
  <c r="I7703" i="7"/>
  <c r="I7704" i="7"/>
  <c r="I7705" i="7"/>
  <c r="I7706" i="7"/>
  <c r="I7707" i="7"/>
  <c r="I7708" i="7"/>
  <c r="I7709" i="7"/>
  <c r="I7710" i="7"/>
  <c r="I7711" i="7"/>
  <c r="I7712" i="7"/>
  <c r="I7713" i="7"/>
  <c r="I7714" i="7"/>
  <c r="I7715" i="7"/>
  <c r="I7716" i="7"/>
  <c r="I7717" i="7"/>
  <c r="I7718" i="7"/>
  <c r="I7719" i="7"/>
  <c r="I7720" i="7"/>
  <c r="I7721" i="7"/>
  <c r="I7722" i="7"/>
  <c r="I7723" i="7"/>
  <c r="I7724" i="7"/>
  <c r="I7725" i="7"/>
  <c r="I7726" i="7"/>
  <c r="I7727" i="7"/>
  <c r="I7728" i="7"/>
  <c r="I7729" i="7"/>
  <c r="I7730" i="7"/>
  <c r="I7731" i="7"/>
  <c r="I7732" i="7"/>
  <c r="I7733" i="7"/>
  <c r="I7734" i="7"/>
  <c r="I7735" i="7"/>
  <c r="I7736" i="7"/>
  <c r="I7737" i="7"/>
  <c r="I7738" i="7"/>
  <c r="I7739" i="7"/>
  <c r="I7740" i="7"/>
  <c r="I7741" i="7"/>
  <c r="I7742" i="7"/>
  <c r="I7743" i="7"/>
  <c r="I7744" i="7"/>
  <c r="I7745" i="7"/>
  <c r="I7746" i="7"/>
  <c r="I7747" i="7"/>
  <c r="I7748" i="7"/>
  <c r="I7749" i="7"/>
  <c r="I7750" i="7"/>
  <c r="I7751" i="7"/>
  <c r="I7752" i="7"/>
  <c r="I7753" i="7"/>
  <c r="I7754" i="7"/>
  <c r="I7755" i="7"/>
  <c r="I7756" i="7"/>
  <c r="I7757" i="7"/>
  <c r="I7758" i="7"/>
  <c r="I7759" i="7"/>
  <c r="I7760" i="7"/>
  <c r="I7761" i="7"/>
  <c r="I7762" i="7"/>
  <c r="I7763" i="7"/>
  <c r="I7764" i="7"/>
  <c r="I7765" i="7"/>
  <c r="I7766" i="7"/>
  <c r="I7767" i="7"/>
  <c r="I7768" i="7"/>
  <c r="I7769" i="7"/>
  <c r="I7770" i="7"/>
  <c r="I7771" i="7"/>
  <c r="I7772" i="7"/>
  <c r="I7773" i="7"/>
  <c r="I7774" i="7"/>
  <c r="I7775" i="7"/>
  <c r="I7776" i="7"/>
  <c r="I7777" i="7"/>
  <c r="I7778" i="7"/>
  <c r="I7779" i="7"/>
  <c r="I7780" i="7"/>
  <c r="I7781" i="7"/>
  <c r="I7782" i="7"/>
  <c r="I7783" i="7"/>
  <c r="I7784" i="7"/>
  <c r="I7785" i="7"/>
  <c r="I7786" i="7"/>
  <c r="I7787" i="7"/>
  <c r="I7788" i="7"/>
  <c r="I7789" i="7"/>
  <c r="I7790" i="7"/>
  <c r="I7791" i="7"/>
  <c r="I7792" i="7"/>
  <c r="I7793" i="7"/>
  <c r="I7794" i="7"/>
  <c r="I7795" i="7"/>
  <c r="I7796" i="7"/>
  <c r="I7797" i="7"/>
  <c r="I7798" i="7"/>
  <c r="I7799" i="7"/>
  <c r="I7800" i="7"/>
  <c r="I7801" i="7"/>
  <c r="I7802" i="7"/>
  <c r="I7803" i="7"/>
  <c r="I7804" i="7"/>
  <c r="I7805" i="7"/>
  <c r="I7806" i="7"/>
  <c r="I7807" i="7"/>
  <c r="I7808" i="7"/>
  <c r="I7809" i="7"/>
  <c r="I7810" i="7"/>
  <c r="I7811" i="7"/>
  <c r="I7812" i="7"/>
  <c r="I7813" i="7"/>
  <c r="I7814" i="7"/>
  <c r="I7815" i="7"/>
  <c r="I7816" i="7"/>
  <c r="I7817" i="7"/>
  <c r="I7818" i="7"/>
  <c r="I7819" i="7"/>
  <c r="I7820" i="7"/>
  <c r="I7821" i="7"/>
  <c r="I7822" i="7"/>
  <c r="I7823" i="7"/>
  <c r="I7824" i="7"/>
  <c r="I7825" i="7"/>
  <c r="I7826" i="7"/>
  <c r="I7827" i="7"/>
  <c r="I7828" i="7"/>
  <c r="I7829" i="7"/>
  <c r="I7830" i="7"/>
  <c r="I7831" i="7"/>
  <c r="I7832" i="7"/>
  <c r="I7833" i="7"/>
  <c r="I7834" i="7"/>
  <c r="I7835" i="7"/>
  <c r="I7836" i="7"/>
  <c r="I7837" i="7"/>
  <c r="I7838" i="7"/>
  <c r="I7839" i="7"/>
  <c r="I7840" i="7"/>
  <c r="I7841" i="7"/>
  <c r="I7842" i="7"/>
  <c r="I7843" i="7"/>
  <c r="I7844" i="7"/>
  <c r="I7845" i="7"/>
  <c r="I7846" i="7"/>
  <c r="I7847" i="7"/>
  <c r="I7848" i="7"/>
  <c r="I7849" i="7"/>
  <c r="I7850" i="7"/>
  <c r="I7851" i="7"/>
  <c r="I7852" i="7"/>
  <c r="I7853" i="7"/>
  <c r="I7854" i="7"/>
  <c r="I7855" i="7"/>
  <c r="I7856" i="7"/>
  <c r="I7857" i="7"/>
  <c r="I7858" i="7"/>
  <c r="I7859" i="7"/>
  <c r="I7860" i="7"/>
  <c r="I7861" i="7"/>
  <c r="I7862" i="7"/>
  <c r="I7863" i="7"/>
  <c r="I7864" i="7"/>
  <c r="I7865" i="7"/>
  <c r="I7866" i="7"/>
  <c r="I7867" i="7"/>
  <c r="I7868" i="7"/>
  <c r="I7869" i="7"/>
  <c r="I7870" i="7"/>
  <c r="I7871" i="7"/>
  <c r="I7872" i="7"/>
  <c r="I7873" i="7"/>
  <c r="I7874" i="7"/>
  <c r="I7875" i="7"/>
  <c r="I7876" i="7"/>
  <c r="I7877" i="7"/>
  <c r="I7878" i="7"/>
  <c r="I7879" i="7"/>
  <c r="I7880" i="7"/>
  <c r="I7881" i="7"/>
  <c r="I7882" i="7"/>
  <c r="I7883" i="7"/>
  <c r="I7884" i="7"/>
  <c r="I7885" i="7"/>
  <c r="I7886" i="7"/>
  <c r="I7887" i="7"/>
  <c r="I7888" i="7"/>
  <c r="I7889" i="7"/>
  <c r="I7890" i="7"/>
  <c r="I7891" i="7"/>
  <c r="I7892" i="7"/>
  <c r="I7893" i="7"/>
  <c r="I7894" i="7"/>
  <c r="I7895" i="7"/>
  <c r="I7896" i="7"/>
  <c r="I7897" i="7"/>
  <c r="I7898" i="7"/>
  <c r="I7899" i="7"/>
  <c r="I7900" i="7"/>
  <c r="I7901" i="7"/>
  <c r="I7902" i="7"/>
  <c r="I7903" i="7"/>
  <c r="I7904" i="7"/>
  <c r="I7905" i="7"/>
  <c r="I7906" i="7"/>
  <c r="I7907" i="7"/>
  <c r="I7908" i="7"/>
  <c r="I7909" i="7"/>
  <c r="I7910" i="7"/>
  <c r="I7911" i="7"/>
  <c r="I7912" i="7"/>
  <c r="I7913" i="7"/>
  <c r="I7914" i="7"/>
  <c r="I7915" i="7"/>
  <c r="I7916" i="7"/>
  <c r="I7917" i="7"/>
  <c r="I7918" i="7"/>
  <c r="I7919" i="7"/>
  <c r="I7920" i="7"/>
  <c r="I7921" i="7"/>
  <c r="I7922" i="7"/>
  <c r="I7923" i="7"/>
  <c r="I7924" i="7"/>
  <c r="I7925" i="7"/>
  <c r="I7926" i="7"/>
  <c r="I7927" i="7"/>
  <c r="I7928" i="7"/>
  <c r="I7929" i="7"/>
  <c r="I7930" i="7"/>
  <c r="I7931" i="7"/>
  <c r="I7932" i="7"/>
  <c r="I7933" i="7"/>
  <c r="I7934" i="7"/>
  <c r="I7935" i="7"/>
  <c r="I7936" i="7"/>
  <c r="I7937" i="7"/>
  <c r="I7938" i="7"/>
  <c r="I7939" i="7"/>
  <c r="I7940" i="7"/>
  <c r="I7941" i="7"/>
  <c r="I7942" i="7"/>
  <c r="I7943" i="7"/>
  <c r="I7944" i="7"/>
  <c r="I7945" i="7"/>
  <c r="I7946" i="7"/>
  <c r="I7947" i="7"/>
  <c r="I7948" i="7"/>
  <c r="I7949" i="7"/>
  <c r="I7950" i="7"/>
  <c r="I7951" i="7"/>
  <c r="I7952" i="7"/>
  <c r="I7953" i="7"/>
  <c r="I7954" i="7"/>
  <c r="I7955" i="7"/>
  <c r="I7956" i="7"/>
  <c r="I7957" i="7"/>
  <c r="I7958" i="7"/>
  <c r="I7959" i="7"/>
  <c r="I7960" i="7"/>
  <c r="I7961" i="7"/>
  <c r="I7962" i="7"/>
  <c r="I7963" i="7"/>
  <c r="I7964" i="7"/>
  <c r="I7965" i="7"/>
  <c r="I7966" i="7"/>
  <c r="I7967" i="7"/>
  <c r="I7968" i="7"/>
  <c r="I7969" i="7"/>
  <c r="I7970" i="7"/>
  <c r="I7971" i="7"/>
  <c r="I7972" i="7"/>
  <c r="I7973" i="7"/>
  <c r="I7974" i="7"/>
  <c r="I7975" i="7"/>
  <c r="I7976" i="7"/>
  <c r="I7977" i="7"/>
  <c r="I7978" i="7"/>
  <c r="I7979" i="7"/>
  <c r="I7980" i="7"/>
  <c r="I7981" i="7"/>
  <c r="I7982" i="7"/>
  <c r="I7983" i="7"/>
  <c r="I7984" i="7"/>
  <c r="I7985" i="7"/>
  <c r="I7986" i="7"/>
  <c r="I7987" i="7"/>
  <c r="I7988" i="7"/>
  <c r="I7989" i="7"/>
  <c r="I7990" i="7"/>
  <c r="I7991" i="7"/>
  <c r="I7992" i="7"/>
  <c r="I7993" i="7"/>
  <c r="I7994" i="7"/>
  <c r="I7995" i="7"/>
  <c r="I7996" i="7"/>
  <c r="I7997" i="7"/>
  <c r="I7998" i="7"/>
  <c r="I7999" i="7"/>
  <c r="I8000" i="7"/>
  <c r="I8001" i="7"/>
  <c r="I8002" i="7"/>
  <c r="I8003" i="7"/>
  <c r="I8004" i="7"/>
  <c r="I8005" i="7"/>
  <c r="I8006" i="7"/>
  <c r="I8007" i="7"/>
  <c r="I8008" i="7"/>
  <c r="I8009" i="7"/>
  <c r="I8010" i="7"/>
  <c r="I8011" i="7"/>
  <c r="I8012" i="7"/>
  <c r="I8013" i="7"/>
  <c r="I8014" i="7"/>
  <c r="I8015" i="7"/>
  <c r="I8016" i="7"/>
  <c r="I8017" i="7"/>
  <c r="I8018" i="7"/>
  <c r="I8019" i="7"/>
  <c r="I8020" i="7"/>
  <c r="I8021" i="7"/>
  <c r="I8022" i="7"/>
  <c r="I8023" i="7"/>
  <c r="I8024" i="7"/>
  <c r="I8025" i="7"/>
  <c r="I8026" i="7"/>
  <c r="I8027" i="7"/>
  <c r="I8028" i="7"/>
  <c r="I8029" i="7"/>
  <c r="I8030" i="7"/>
  <c r="I8031" i="7"/>
  <c r="I8032" i="7"/>
  <c r="I8033" i="7"/>
  <c r="I8034" i="7"/>
  <c r="I8035" i="7"/>
  <c r="I8036" i="7"/>
  <c r="I8037" i="7"/>
  <c r="I8038" i="7"/>
  <c r="I8039" i="7"/>
  <c r="I8040" i="7"/>
  <c r="I8041" i="7"/>
  <c r="I8042" i="7"/>
  <c r="I8043" i="7"/>
  <c r="I8044" i="7"/>
  <c r="I8045" i="7"/>
  <c r="I8046" i="7"/>
  <c r="I8047" i="7"/>
  <c r="I8048" i="7"/>
  <c r="I8049" i="7"/>
  <c r="I8050" i="7"/>
  <c r="I8051" i="7"/>
  <c r="I8052" i="7"/>
  <c r="I8053" i="7"/>
  <c r="I8054" i="7"/>
  <c r="I8055" i="7"/>
  <c r="I8056" i="7"/>
  <c r="I8057" i="7"/>
  <c r="I8058" i="7"/>
  <c r="I8059" i="7"/>
  <c r="I8060" i="7"/>
  <c r="I8061" i="7"/>
  <c r="I8062" i="7"/>
  <c r="I8063" i="7"/>
  <c r="I8064" i="7"/>
  <c r="I8065" i="7"/>
  <c r="I8066" i="7"/>
  <c r="I8067" i="7"/>
  <c r="I8068" i="7"/>
  <c r="I8069" i="7"/>
  <c r="I8070" i="7"/>
  <c r="I8071" i="7"/>
  <c r="I8072" i="7"/>
  <c r="I8073" i="7"/>
  <c r="I8074" i="7"/>
  <c r="I8075" i="7"/>
  <c r="I8076" i="7"/>
  <c r="I8077" i="7"/>
  <c r="I8078" i="7"/>
  <c r="I8079" i="7"/>
  <c r="I8080" i="7"/>
  <c r="I8081" i="7"/>
  <c r="I8082" i="7"/>
  <c r="I8083" i="7"/>
  <c r="I8084" i="7"/>
  <c r="I8085" i="7"/>
  <c r="I8086" i="7"/>
  <c r="I8087" i="7"/>
  <c r="I8088" i="7"/>
  <c r="I8089" i="7"/>
  <c r="I8090" i="7"/>
  <c r="I8091" i="7"/>
  <c r="I8092" i="7"/>
  <c r="I8093" i="7"/>
  <c r="I8094" i="7"/>
  <c r="I8095" i="7"/>
  <c r="I8096" i="7"/>
  <c r="I8097" i="7"/>
  <c r="I8098" i="7"/>
  <c r="I8099" i="7"/>
  <c r="I8100" i="7"/>
  <c r="I8101" i="7"/>
  <c r="I8102" i="7"/>
  <c r="I8103" i="7"/>
  <c r="I8104" i="7"/>
  <c r="I8105" i="7"/>
  <c r="I8106" i="7"/>
  <c r="I8107" i="7"/>
  <c r="I8108" i="7"/>
  <c r="I8109" i="7"/>
  <c r="I8110" i="7"/>
  <c r="I8111" i="7"/>
  <c r="I8112" i="7"/>
  <c r="I8113" i="7"/>
  <c r="I8114" i="7"/>
  <c r="I8115" i="7"/>
  <c r="I8116" i="7"/>
  <c r="I8117" i="7"/>
  <c r="I8118" i="7"/>
  <c r="I8119" i="7"/>
  <c r="I8120" i="7"/>
  <c r="I8121" i="7"/>
  <c r="I8122" i="7"/>
  <c r="I8123" i="7"/>
  <c r="I8124" i="7"/>
  <c r="I8125" i="7"/>
  <c r="I8126" i="7"/>
  <c r="I8127" i="7"/>
  <c r="I8128" i="7"/>
  <c r="I8129" i="7"/>
  <c r="I8130" i="7"/>
  <c r="I8131" i="7"/>
  <c r="I8132" i="7"/>
  <c r="I8133" i="7"/>
  <c r="I8134" i="7"/>
  <c r="I8135" i="7"/>
  <c r="I8136" i="7"/>
  <c r="I8137" i="7"/>
  <c r="I8138" i="7"/>
  <c r="I8139" i="7"/>
  <c r="I8140" i="7"/>
  <c r="I8141" i="7"/>
  <c r="I8142" i="7"/>
  <c r="I8143" i="7"/>
  <c r="I8144" i="7"/>
  <c r="I8145" i="7"/>
  <c r="I8146" i="7"/>
  <c r="I8147" i="7"/>
  <c r="I8148" i="7"/>
  <c r="I8149" i="7"/>
  <c r="I8150" i="7"/>
  <c r="I8151" i="7"/>
  <c r="I8152" i="7"/>
  <c r="I8153" i="7"/>
  <c r="I8154" i="7"/>
  <c r="I8155" i="7"/>
  <c r="I8156" i="7"/>
  <c r="I8157" i="7"/>
  <c r="I8158" i="7"/>
  <c r="I8159" i="7"/>
  <c r="I8160" i="7"/>
  <c r="I8161" i="7"/>
  <c r="I8162" i="7"/>
  <c r="I8163" i="7"/>
  <c r="I8164" i="7"/>
  <c r="I8165" i="7"/>
  <c r="I8166" i="7"/>
  <c r="I8167" i="7"/>
  <c r="I8168" i="7"/>
  <c r="I8169" i="7"/>
  <c r="I8170" i="7"/>
  <c r="I8171" i="7"/>
  <c r="I8172" i="7"/>
  <c r="I8173" i="7"/>
  <c r="I8174" i="7"/>
  <c r="I8175" i="7"/>
  <c r="I8176" i="7"/>
  <c r="I8177" i="7"/>
  <c r="I8178" i="7"/>
  <c r="I8179" i="7"/>
  <c r="I8180" i="7"/>
  <c r="I8181" i="7"/>
  <c r="I8182" i="7"/>
  <c r="I8183" i="7"/>
  <c r="I8184" i="7"/>
  <c r="I8185" i="7"/>
  <c r="I8186" i="7"/>
  <c r="I8187" i="7"/>
  <c r="I8188" i="7"/>
  <c r="I8189" i="7"/>
  <c r="I8190" i="7"/>
  <c r="I8191" i="7"/>
  <c r="I8192" i="7"/>
  <c r="I8193" i="7"/>
  <c r="I8194" i="7"/>
  <c r="I8195" i="7"/>
  <c r="I8196" i="7"/>
  <c r="I8197" i="7"/>
  <c r="I8198" i="7"/>
  <c r="I8199" i="7"/>
  <c r="I8200" i="7"/>
  <c r="I8201" i="7"/>
  <c r="I8202" i="7"/>
  <c r="I8203" i="7"/>
  <c r="I8204" i="7"/>
  <c r="I8205" i="7"/>
  <c r="I8206" i="7"/>
  <c r="I8207" i="7"/>
  <c r="I8208" i="7"/>
  <c r="I8209" i="7"/>
  <c r="I8210" i="7"/>
  <c r="I8211" i="7"/>
  <c r="I8212" i="7"/>
  <c r="I8213" i="7"/>
  <c r="I8214" i="7"/>
  <c r="I8215" i="7"/>
  <c r="I8216" i="7"/>
  <c r="I8217" i="7"/>
  <c r="I8218" i="7"/>
  <c r="I8219" i="7"/>
  <c r="I8220" i="7"/>
  <c r="I8221" i="7"/>
  <c r="I8222" i="7"/>
  <c r="I8223" i="7"/>
  <c r="I8224" i="7"/>
  <c r="I8225" i="7"/>
  <c r="I8226" i="7"/>
  <c r="I8227" i="7"/>
  <c r="I8228" i="7"/>
  <c r="I8229" i="7"/>
  <c r="I8230" i="7"/>
  <c r="I8231" i="7"/>
  <c r="I8232" i="7"/>
  <c r="I8233" i="7"/>
  <c r="I8234" i="7"/>
  <c r="I8235" i="7"/>
  <c r="I8236" i="7"/>
  <c r="I8237" i="7"/>
  <c r="I8238" i="7"/>
  <c r="I8239" i="7"/>
  <c r="I8240" i="7"/>
  <c r="I8241" i="7"/>
  <c r="I8242" i="7"/>
  <c r="I8243" i="7"/>
  <c r="I8244" i="7"/>
  <c r="I8245" i="7"/>
  <c r="I8246" i="7"/>
  <c r="I8247" i="7"/>
  <c r="I8248" i="7"/>
  <c r="I8249" i="7"/>
  <c r="I8250" i="7"/>
  <c r="I8251" i="7"/>
  <c r="I8252" i="7"/>
  <c r="I8253" i="7"/>
  <c r="I8254" i="7"/>
  <c r="I8255" i="7"/>
  <c r="I8256" i="7"/>
  <c r="I8257" i="7"/>
  <c r="I8258" i="7"/>
  <c r="I8259" i="7"/>
  <c r="I8260" i="7"/>
  <c r="I8261" i="7"/>
  <c r="I8262" i="7"/>
  <c r="I8263" i="7"/>
  <c r="I8264" i="7"/>
  <c r="I8265" i="7"/>
  <c r="I8266" i="7"/>
  <c r="I8267" i="7"/>
  <c r="I8268" i="7"/>
  <c r="I8269" i="7"/>
  <c r="I8270" i="7"/>
  <c r="I8271" i="7"/>
  <c r="I8272" i="7"/>
  <c r="I8273" i="7"/>
  <c r="I8274" i="7"/>
  <c r="I8275" i="7"/>
  <c r="I8276" i="7"/>
  <c r="I8277" i="7"/>
  <c r="I8278" i="7"/>
  <c r="I8279" i="7"/>
  <c r="I8280" i="7"/>
  <c r="I8281" i="7"/>
  <c r="I8282" i="7"/>
  <c r="I8283" i="7"/>
  <c r="I8284" i="7"/>
  <c r="I8285" i="7"/>
  <c r="I8286" i="7"/>
  <c r="I8287" i="7"/>
  <c r="I8288" i="7"/>
  <c r="I8289" i="7"/>
  <c r="I8290" i="7"/>
  <c r="I8291" i="7"/>
  <c r="I8292" i="7"/>
  <c r="I8293" i="7"/>
  <c r="I8294" i="7"/>
  <c r="I8295" i="7"/>
  <c r="I8296" i="7"/>
  <c r="I8297" i="7"/>
  <c r="I8298" i="7"/>
  <c r="I8299" i="7"/>
  <c r="I8300" i="7"/>
  <c r="I8301" i="7"/>
  <c r="I8302" i="7"/>
  <c r="I8303" i="7"/>
  <c r="I8304" i="7"/>
  <c r="I8305" i="7"/>
  <c r="I8306" i="7"/>
  <c r="I8307" i="7"/>
  <c r="I8308" i="7"/>
  <c r="I8309" i="7"/>
  <c r="I8310" i="7"/>
  <c r="I8311" i="7"/>
  <c r="I8312" i="7"/>
  <c r="I8313" i="7"/>
  <c r="I8314" i="7"/>
  <c r="I8315" i="7"/>
  <c r="I8316" i="7"/>
  <c r="I8317" i="7"/>
  <c r="I8318" i="7"/>
  <c r="I8319" i="7"/>
  <c r="I8320" i="7"/>
  <c r="I8321" i="7"/>
  <c r="I8322" i="7"/>
  <c r="I8323" i="7"/>
  <c r="I8324" i="7"/>
  <c r="I8325" i="7"/>
  <c r="I8326" i="7"/>
  <c r="I8327" i="7"/>
  <c r="I8328" i="7"/>
  <c r="I8329" i="7"/>
  <c r="I8330" i="7"/>
  <c r="I8331" i="7"/>
  <c r="I8332" i="7"/>
  <c r="I8333" i="7"/>
  <c r="I8334" i="7"/>
  <c r="I8335" i="7"/>
  <c r="I8336" i="7"/>
  <c r="I8337" i="7"/>
  <c r="I8338" i="7"/>
  <c r="I8339" i="7"/>
  <c r="I8340" i="7"/>
  <c r="I8341" i="7"/>
  <c r="I8342" i="7"/>
  <c r="I8343" i="7"/>
  <c r="I8344" i="7"/>
  <c r="I8345" i="7"/>
  <c r="I8346" i="7"/>
  <c r="I8347" i="7"/>
  <c r="I8348" i="7"/>
  <c r="I8349" i="7"/>
  <c r="I8350" i="7"/>
  <c r="I8351" i="7"/>
  <c r="I8352" i="7"/>
  <c r="I8353" i="7"/>
  <c r="I8354" i="7"/>
  <c r="I8355" i="7"/>
  <c r="I8356" i="7"/>
  <c r="I8357" i="7"/>
  <c r="I8358" i="7"/>
  <c r="I8359" i="7"/>
  <c r="I8360" i="7"/>
  <c r="I8361" i="7"/>
  <c r="I8362" i="7"/>
  <c r="I8363" i="7"/>
  <c r="I8364" i="7"/>
  <c r="I8365" i="7"/>
  <c r="I8366" i="7"/>
  <c r="I8367" i="7"/>
  <c r="I8368" i="7"/>
  <c r="I8369" i="7"/>
  <c r="I8370" i="7"/>
  <c r="I8371" i="7"/>
  <c r="I8372" i="7"/>
  <c r="I8373" i="7"/>
  <c r="I8374" i="7"/>
  <c r="I8375" i="7"/>
  <c r="I8376" i="7"/>
  <c r="I8377" i="7"/>
  <c r="I8378" i="7"/>
  <c r="I8379" i="7"/>
  <c r="I8380" i="7"/>
  <c r="I8381" i="7"/>
  <c r="I8382" i="7"/>
  <c r="I8383" i="7"/>
  <c r="I8384" i="7"/>
  <c r="I8385" i="7"/>
  <c r="I8386" i="7"/>
  <c r="I8387" i="7"/>
  <c r="I8388" i="7"/>
  <c r="I8389" i="7"/>
  <c r="I8390" i="7"/>
  <c r="I8391" i="7"/>
  <c r="I8392" i="7"/>
  <c r="I8393" i="7"/>
  <c r="I8394" i="7"/>
  <c r="I8395" i="7"/>
  <c r="I8396" i="7"/>
  <c r="I8397" i="7"/>
  <c r="I8398" i="7"/>
  <c r="I8399" i="7"/>
  <c r="I8400" i="7"/>
  <c r="I8401" i="7"/>
  <c r="I8402" i="7"/>
  <c r="I8403" i="7"/>
  <c r="I8404" i="7"/>
  <c r="I8405" i="7"/>
  <c r="I8406" i="7"/>
  <c r="I8407" i="7"/>
  <c r="I8408" i="7"/>
  <c r="I8409" i="7"/>
  <c r="I8410" i="7"/>
  <c r="I8411" i="7"/>
  <c r="I8412" i="7"/>
  <c r="I8413" i="7"/>
  <c r="I8414" i="7"/>
  <c r="I8415" i="7"/>
  <c r="I8416" i="7"/>
  <c r="I8417" i="7"/>
  <c r="I8418" i="7"/>
  <c r="I8419" i="7"/>
  <c r="I8420" i="7"/>
  <c r="I8421" i="7"/>
  <c r="I8422" i="7"/>
  <c r="I8423" i="7"/>
  <c r="I8424" i="7"/>
  <c r="I8425" i="7"/>
  <c r="I8426" i="7"/>
  <c r="I8427" i="7"/>
  <c r="I8428" i="7"/>
  <c r="I8429" i="7"/>
  <c r="I8430" i="7"/>
  <c r="I8431" i="7"/>
  <c r="I8432" i="7"/>
  <c r="I8433" i="7"/>
  <c r="I8434" i="7"/>
  <c r="I8435" i="7"/>
  <c r="I8436" i="7"/>
  <c r="I8437" i="7"/>
  <c r="I8438" i="7"/>
  <c r="I8439" i="7"/>
  <c r="I8440" i="7"/>
  <c r="I8441" i="7"/>
  <c r="I8442" i="7"/>
  <c r="I8443" i="7"/>
  <c r="I8444" i="7"/>
  <c r="I8445" i="7"/>
  <c r="I8446" i="7"/>
  <c r="I8447" i="7"/>
  <c r="I8448" i="7"/>
  <c r="I8449" i="7"/>
  <c r="I8450" i="7"/>
  <c r="I8451" i="7"/>
  <c r="I8452" i="7"/>
  <c r="I8453" i="7"/>
  <c r="I8454" i="7"/>
  <c r="I8455" i="7"/>
  <c r="I8456" i="7"/>
  <c r="I8457" i="7"/>
  <c r="I8458" i="7"/>
  <c r="I8459" i="7"/>
  <c r="I8460" i="7"/>
  <c r="I8461" i="7"/>
  <c r="I8462" i="7"/>
  <c r="I8463" i="7"/>
  <c r="I8464" i="7"/>
  <c r="I8465" i="7"/>
  <c r="I8466" i="7"/>
  <c r="I8467" i="7"/>
  <c r="I8468" i="7"/>
  <c r="I8469" i="7"/>
  <c r="I8470" i="7"/>
  <c r="I8471" i="7"/>
  <c r="I8472" i="7"/>
  <c r="I8473" i="7"/>
  <c r="I8474" i="7"/>
  <c r="I8475" i="7"/>
  <c r="I8476" i="7"/>
  <c r="I8477" i="7"/>
  <c r="I8478" i="7"/>
  <c r="I8479" i="7"/>
  <c r="I8480" i="7"/>
  <c r="I8481" i="7"/>
  <c r="I8482" i="7"/>
  <c r="I8483" i="7"/>
  <c r="I8484" i="7"/>
  <c r="I8485" i="7"/>
  <c r="I8486" i="7"/>
  <c r="I8487" i="7"/>
  <c r="I8488" i="7"/>
  <c r="I8489" i="7"/>
  <c r="I8490" i="7"/>
  <c r="I8491" i="7"/>
  <c r="I8492" i="7"/>
  <c r="I8493" i="7"/>
  <c r="I8494" i="7"/>
  <c r="I8495" i="7"/>
  <c r="I8496" i="7"/>
  <c r="I8497" i="7"/>
  <c r="I8498" i="7"/>
  <c r="I8499" i="7"/>
  <c r="I8500" i="7"/>
  <c r="I8501" i="7"/>
  <c r="I8502" i="7"/>
  <c r="I8503" i="7"/>
  <c r="I8504" i="7"/>
  <c r="I8505" i="7"/>
  <c r="I8506" i="7"/>
  <c r="I8507" i="7"/>
  <c r="I8508" i="7"/>
  <c r="I8509" i="7"/>
  <c r="I8510" i="7"/>
  <c r="I8511" i="7"/>
  <c r="I8512" i="7"/>
  <c r="I8513" i="7"/>
  <c r="I8514" i="7"/>
  <c r="I8515" i="7"/>
  <c r="I8516" i="7"/>
  <c r="I8517" i="7"/>
  <c r="I8518" i="7"/>
  <c r="I8519" i="7"/>
  <c r="I8520" i="7"/>
  <c r="I8521" i="7"/>
  <c r="I8522" i="7"/>
  <c r="I8523" i="7"/>
  <c r="I8524" i="7"/>
  <c r="I8525" i="7"/>
  <c r="I8526" i="7"/>
  <c r="I8527" i="7"/>
  <c r="I8528" i="7"/>
  <c r="I8529" i="7"/>
  <c r="I8530" i="7"/>
  <c r="I8531" i="7"/>
  <c r="I8532" i="7"/>
  <c r="I8533" i="7"/>
  <c r="I8534" i="7"/>
  <c r="I8535" i="7"/>
  <c r="I8536" i="7"/>
  <c r="I8537" i="7"/>
  <c r="I8538" i="7"/>
  <c r="I8539" i="7"/>
  <c r="I8540" i="7"/>
  <c r="I8541" i="7"/>
  <c r="I8542" i="7"/>
  <c r="I8543" i="7"/>
  <c r="I8544" i="7"/>
  <c r="I8545" i="7"/>
  <c r="I8546" i="7"/>
  <c r="I8547" i="7"/>
  <c r="I8548" i="7"/>
  <c r="I8549" i="7"/>
  <c r="I8550" i="7"/>
  <c r="I8551" i="7"/>
  <c r="I8552" i="7"/>
  <c r="I8553" i="7"/>
  <c r="I8554" i="7"/>
  <c r="I8555" i="7"/>
  <c r="I8556" i="7"/>
  <c r="I8557" i="7"/>
  <c r="I8558" i="7"/>
  <c r="I8559" i="7"/>
  <c r="I8560" i="7"/>
  <c r="I8561" i="7"/>
  <c r="I8562" i="7"/>
  <c r="I8563" i="7"/>
  <c r="I8564" i="7"/>
  <c r="I8565" i="7"/>
  <c r="I8566" i="7"/>
  <c r="I8567" i="7"/>
  <c r="I8568" i="7"/>
  <c r="I8569" i="7"/>
  <c r="I8570" i="7"/>
  <c r="I8571" i="7"/>
  <c r="I8572" i="7"/>
  <c r="I8573" i="7"/>
  <c r="I8574" i="7"/>
  <c r="I8575" i="7"/>
  <c r="I8576" i="7"/>
  <c r="I8577" i="7"/>
  <c r="I8578" i="7"/>
  <c r="I8579" i="7"/>
  <c r="I8580" i="7"/>
  <c r="I8581" i="7"/>
  <c r="I8582" i="7"/>
  <c r="I8583" i="7"/>
  <c r="I8584" i="7"/>
  <c r="I8585" i="7"/>
  <c r="I8586" i="7"/>
  <c r="I8587" i="7"/>
  <c r="I8588" i="7"/>
  <c r="I8589" i="7"/>
  <c r="I8590" i="7"/>
  <c r="I8591" i="7"/>
  <c r="I8592" i="7"/>
  <c r="I8593" i="7"/>
  <c r="I8594" i="7"/>
  <c r="I8595" i="7"/>
  <c r="I8596" i="7"/>
  <c r="I8597" i="7"/>
  <c r="I8598" i="7"/>
  <c r="I8599" i="7"/>
  <c r="I8600" i="7"/>
  <c r="I8601" i="7"/>
  <c r="I8602" i="7"/>
  <c r="I8603" i="7"/>
  <c r="I8604" i="7"/>
  <c r="I8605" i="7"/>
  <c r="I8606" i="7"/>
  <c r="I8607" i="7"/>
  <c r="I8608" i="7"/>
  <c r="I8609" i="7"/>
  <c r="I8610" i="7"/>
  <c r="I8611" i="7"/>
  <c r="I8612" i="7"/>
  <c r="I8613" i="7"/>
  <c r="I8614" i="7"/>
  <c r="I8615" i="7"/>
  <c r="I8616" i="7"/>
  <c r="I8617" i="7"/>
  <c r="I8618" i="7"/>
  <c r="I8619" i="7"/>
  <c r="I8620" i="7"/>
  <c r="I8621" i="7"/>
  <c r="I8622" i="7"/>
  <c r="I8623" i="7"/>
  <c r="I8624" i="7"/>
  <c r="I8625" i="7"/>
  <c r="I8626" i="7"/>
  <c r="I8627" i="7"/>
  <c r="I8628" i="7"/>
  <c r="I8629" i="7"/>
  <c r="I8630" i="7"/>
  <c r="I8631" i="7"/>
  <c r="I8632" i="7"/>
  <c r="I8633" i="7"/>
  <c r="I8634" i="7"/>
  <c r="I8635" i="7"/>
  <c r="I8636" i="7"/>
  <c r="I8637" i="7"/>
  <c r="I8638" i="7"/>
  <c r="I8639" i="7"/>
  <c r="I8640" i="7"/>
  <c r="I8641" i="7"/>
  <c r="I8642" i="7"/>
  <c r="I8643" i="7"/>
  <c r="I8644" i="7"/>
  <c r="I8645" i="7"/>
  <c r="I8646" i="7"/>
  <c r="I8647" i="7"/>
  <c r="I8648" i="7"/>
  <c r="I8649" i="7"/>
  <c r="I8650" i="7"/>
  <c r="I8651" i="7"/>
  <c r="I8652" i="7"/>
  <c r="I8653" i="7"/>
  <c r="I8654" i="7"/>
  <c r="I8655" i="7"/>
  <c r="I8656" i="7"/>
  <c r="I8657" i="7"/>
  <c r="I8658" i="7"/>
  <c r="I8659" i="7"/>
  <c r="I8660" i="7"/>
  <c r="I8661" i="7"/>
  <c r="I8662" i="7"/>
  <c r="I8663" i="7"/>
  <c r="I8664" i="7"/>
  <c r="I8665" i="7"/>
  <c r="I8666" i="7"/>
  <c r="I8667" i="7"/>
  <c r="I8668" i="7"/>
  <c r="I8669" i="7"/>
  <c r="I8670" i="7"/>
  <c r="I8671" i="7"/>
  <c r="I8672" i="7"/>
  <c r="I8673" i="7"/>
  <c r="I8674" i="7"/>
  <c r="I8675" i="7"/>
  <c r="I8676" i="7"/>
  <c r="I8677" i="7"/>
  <c r="I8678" i="7"/>
  <c r="I8679" i="7"/>
  <c r="I8680" i="7"/>
  <c r="I8681" i="7"/>
  <c r="I8682" i="7"/>
  <c r="I8683" i="7"/>
  <c r="I8684" i="7"/>
  <c r="I8685" i="7"/>
  <c r="I8686" i="7"/>
  <c r="I8687" i="7"/>
  <c r="I8688" i="7"/>
  <c r="I8689" i="7"/>
  <c r="I8690" i="7"/>
  <c r="I8691" i="7"/>
  <c r="I8692" i="7"/>
  <c r="I8693" i="7"/>
  <c r="I8694" i="7"/>
  <c r="I8695" i="7"/>
  <c r="I8696" i="7"/>
  <c r="I8697" i="7"/>
  <c r="I8698" i="7"/>
  <c r="I8699" i="7"/>
  <c r="I8700" i="7"/>
  <c r="I8701" i="7"/>
  <c r="I8702" i="7"/>
  <c r="I8703" i="7"/>
  <c r="I8704" i="7"/>
  <c r="I8705" i="7"/>
  <c r="I8706" i="7"/>
  <c r="I8707" i="7"/>
  <c r="I8708" i="7"/>
  <c r="I8709" i="7"/>
  <c r="I8710" i="7"/>
  <c r="I8711" i="7"/>
  <c r="I8712" i="7"/>
  <c r="I8713" i="7"/>
  <c r="I8714" i="7"/>
  <c r="I8715" i="7"/>
  <c r="I8716" i="7"/>
  <c r="I8717" i="7"/>
  <c r="I8718" i="7"/>
  <c r="I8719" i="7"/>
  <c r="I8720" i="7"/>
  <c r="I8721" i="7"/>
  <c r="I8722" i="7"/>
  <c r="I8723" i="7"/>
  <c r="I8724" i="7"/>
  <c r="I8725" i="7"/>
  <c r="I8726" i="7"/>
  <c r="I8727" i="7"/>
  <c r="I8728" i="7"/>
  <c r="I8729" i="7"/>
  <c r="I8730" i="7"/>
  <c r="I8731" i="7"/>
  <c r="I8732" i="7"/>
  <c r="I8733" i="7"/>
  <c r="I8734" i="7"/>
  <c r="I8735" i="7"/>
  <c r="I8736" i="7"/>
  <c r="I8737" i="7"/>
  <c r="I8738" i="7"/>
  <c r="I8739" i="7"/>
  <c r="I8740" i="7"/>
  <c r="I8741" i="7"/>
  <c r="I8742" i="7"/>
  <c r="I8743" i="7"/>
  <c r="I8744" i="7"/>
  <c r="I8745" i="7"/>
  <c r="I8746" i="7"/>
  <c r="I8747" i="7"/>
  <c r="I8748" i="7"/>
  <c r="I8749" i="7"/>
  <c r="I8750" i="7"/>
  <c r="I8751" i="7"/>
  <c r="I8752" i="7"/>
  <c r="I8753" i="7"/>
  <c r="I8754" i="7"/>
  <c r="I8755" i="7"/>
  <c r="I8756" i="7"/>
  <c r="I8757" i="7"/>
  <c r="I8758" i="7"/>
  <c r="I8759" i="7"/>
  <c r="I8760" i="7"/>
  <c r="I8761" i="7"/>
  <c r="I8762" i="7"/>
  <c r="I8763" i="7"/>
  <c r="I8764" i="7"/>
  <c r="I8765" i="7"/>
  <c r="I8766" i="7"/>
  <c r="I8767" i="7"/>
  <c r="I8768" i="7"/>
  <c r="I8769" i="7"/>
  <c r="I8770" i="7"/>
  <c r="I8771" i="7"/>
  <c r="I8772" i="7"/>
  <c r="I8773" i="7"/>
  <c r="I8774" i="7"/>
  <c r="I8775" i="7"/>
  <c r="I8776" i="7"/>
  <c r="I8777" i="7"/>
  <c r="I8778" i="7"/>
  <c r="I8779" i="7"/>
  <c r="I8780" i="7"/>
  <c r="I8781" i="7"/>
  <c r="I8782" i="7"/>
  <c r="I8783" i="7"/>
  <c r="I8784" i="7"/>
  <c r="I8785" i="7"/>
  <c r="I8786" i="7"/>
  <c r="I8787" i="7"/>
  <c r="I8788" i="7"/>
  <c r="I8789" i="7"/>
  <c r="I8790" i="7"/>
  <c r="I8791" i="7"/>
  <c r="I8792" i="7"/>
  <c r="I8793" i="7"/>
  <c r="I8794" i="7"/>
  <c r="I8795" i="7"/>
  <c r="I8796" i="7"/>
  <c r="I8797" i="7"/>
  <c r="I8798" i="7"/>
  <c r="I8799" i="7"/>
  <c r="I8800" i="7"/>
  <c r="I8801" i="7"/>
  <c r="I8802" i="7"/>
  <c r="I8803" i="7"/>
  <c r="I8804" i="7"/>
  <c r="I8805" i="7"/>
  <c r="I8806" i="7"/>
  <c r="I8807" i="7"/>
  <c r="I8808" i="7"/>
  <c r="I8809" i="7"/>
  <c r="I8810" i="7"/>
  <c r="I8811" i="7"/>
  <c r="I8812" i="7"/>
  <c r="I8813" i="7"/>
  <c r="I8814" i="7"/>
  <c r="I8815" i="7"/>
  <c r="I8816" i="7"/>
  <c r="I8817" i="7"/>
  <c r="I8818" i="7"/>
  <c r="I8819" i="7"/>
  <c r="I8820" i="7"/>
  <c r="I8821" i="7"/>
  <c r="I8822" i="7"/>
  <c r="I8823" i="7"/>
  <c r="I8824" i="7"/>
  <c r="I8825" i="7"/>
  <c r="I8826" i="7"/>
  <c r="I8827" i="7"/>
  <c r="I8828" i="7"/>
  <c r="I8829" i="7"/>
  <c r="I8830" i="7"/>
  <c r="I8831" i="7"/>
  <c r="I8832" i="7"/>
  <c r="I8833" i="7"/>
  <c r="I8834" i="7"/>
  <c r="I8835" i="7"/>
  <c r="I8836" i="7"/>
  <c r="I8837" i="7"/>
  <c r="I8838" i="7"/>
  <c r="I8839" i="7"/>
  <c r="I8840" i="7"/>
  <c r="I8841" i="7"/>
  <c r="I8842" i="7"/>
  <c r="I8843" i="7"/>
  <c r="I8844" i="7"/>
  <c r="I8845" i="7"/>
  <c r="I8846" i="7"/>
  <c r="I8847" i="7"/>
  <c r="I8848" i="7"/>
  <c r="I8849" i="7"/>
  <c r="I8850" i="7"/>
  <c r="I8851" i="7"/>
  <c r="I8852" i="7"/>
  <c r="I8853" i="7"/>
  <c r="I8854" i="7"/>
  <c r="I8855" i="7"/>
  <c r="I8856" i="7"/>
  <c r="I8857" i="7"/>
  <c r="I8858" i="7"/>
  <c r="I8859" i="7"/>
  <c r="I8860" i="7"/>
  <c r="I8861" i="7"/>
  <c r="I8862" i="7"/>
  <c r="I8863" i="7"/>
  <c r="I8864" i="7"/>
  <c r="I8865" i="7"/>
  <c r="I8866" i="7"/>
  <c r="I8867" i="7"/>
  <c r="I8868" i="7"/>
  <c r="I8869" i="7"/>
  <c r="I8870" i="7"/>
  <c r="I8871" i="7"/>
  <c r="I8872" i="7"/>
  <c r="I8873" i="7"/>
  <c r="I8874" i="7"/>
  <c r="I8875" i="7"/>
  <c r="I8876" i="7"/>
  <c r="I8877" i="7"/>
  <c r="I8878" i="7"/>
  <c r="I8879" i="7"/>
  <c r="I8880" i="7"/>
  <c r="I8881" i="7"/>
  <c r="I8882" i="7"/>
  <c r="I8883" i="7"/>
  <c r="I8884" i="7"/>
  <c r="I8885" i="7"/>
  <c r="I8886" i="7"/>
  <c r="I8887" i="7"/>
  <c r="I8888" i="7"/>
  <c r="I8889" i="7"/>
  <c r="I8890" i="7"/>
  <c r="I8891" i="7"/>
  <c r="I8892" i="7"/>
  <c r="I8893" i="7"/>
  <c r="I8894" i="7"/>
  <c r="I8895" i="7"/>
  <c r="I8896" i="7"/>
  <c r="I8897" i="7"/>
  <c r="I8898" i="7"/>
  <c r="I8899" i="7"/>
  <c r="I8900" i="7"/>
  <c r="I8901" i="7"/>
  <c r="I8902" i="7"/>
  <c r="I8903" i="7"/>
  <c r="I8904" i="7"/>
  <c r="I8905" i="7"/>
  <c r="I8906" i="7"/>
  <c r="I8907" i="7"/>
  <c r="I8908" i="7"/>
  <c r="I8909" i="7"/>
  <c r="I8910" i="7"/>
  <c r="I8911" i="7"/>
  <c r="I8912" i="7"/>
  <c r="I8913" i="7"/>
  <c r="I8914" i="7"/>
  <c r="I8915" i="7"/>
  <c r="I8916" i="7"/>
  <c r="I8917" i="7"/>
  <c r="I8918" i="7"/>
  <c r="I8919" i="7"/>
  <c r="I8920" i="7"/>
  <c r="I8921" i="7"/>
  <c r="I8922" i="7"/>
  <c r="I8923" i="7"/>
  <c r="I8924" i="7"/>
  <c r="I8925" i="7"/>
  <c r="I8926" i="7"/>
  <c r="I8927" i="7"/>
  <c r="I8928" i="7"/>
  <c r="I8929" i="7"/>
  <c r="I8930" i="7"/>
  <c r="I8931" i="7"/>
  <c r="I8932" i="7"/>
  <c r="I8933" i="7"/>
  <c r="I8934" i="7"/>
  <c r="I8935" i="7"/>
  <c r="I8936" i="7"/>
  <c r="I8937" i="7"/>
  <c r="I8938" i="7"/>
  <c r="I8939" i="7"/>
  <c r="I8940" i="7"/>
  <c r="I8941" i="7"/>
  <c r="I8942" i="7"/>
  <c r="I8943" i="7"/>
  <c r="I8944" i="7"/>
  <c r="I8945" i="7"/>
  <c r="I8946" i="7"/>
  <c r="I8947" i="7"/>
  <c r="I8948" i="7"/>
  <c r="I8949" i="7"/>
  <c r="I8950" i="7"/>
  <c r="I8951" i="7"/>
  <c r="I8952" i="7"/>
  <c r="I8953" i="7"/>
  <c r="I8954" i="7"/>
  <c r="I8955" i="7"/>
  <c r="I8956" i="7"/>
  <c r="I8957" i="7"/>
  <c r="I8958" i="7"/>
  <c r="I8959" i="7"/>
  <c r="I8960" i="7"/>
  <c r="I8961" i="7"/>
  <c r="I8962" i="7"/>
  <c r="I8963" i="7"/>
  <c r="I8964" i="7"/>
  <c r="I8965" i="7"/>
  <c r="I8966" i="7"/>
  <c r="I8967" i="7"/>
  <c r="I8968" i="7"/>
  <c r="I8969" i="7"/>
  <c r="I8970" i="7"/>
  <c r="I8971" i="7"/>
  <c r="I8972" i="7"/>
  <c r="I8973" i="7"/>
  <c r="I8974" i="7"/>
  <c r="I8975" i="7"/>
  <c r="I8976" i="7"/>
  <c r="I8977" i="7"/>
  <c r="I8978" i="7"/>
  <c r="I8979" i="7"/>
  <c r="I8980" i="7"/>
  <c r="I8981" i="7"/>
  <c r="I8982" i="7"/>
  <c r="I8983" i="7"/>
  <c r="I8984" i="7"/>
  <c r="I8985" i="7"/>
  <c r="I8986" i="7"/>
  <c r="I8987" i="7"/>
  <c r="I8988" i="7"/>
  <c r="I8989" i="7"/>
  <c r="I8990" i="7"/>
  <c r="I8991" i="7"/>
  <c r="I8992" i="7"/>
  <c r="I8993" i="7"/>
  <c r="I8994" i="7"/>
  <c r="I8995" i="7"/>
  <c r="I8996" i="7"/>
  <c r="I8997" i="7"/>
  <c r="I8998" i="7"/>
  <c r="I8999" i="7"/>
  <c r="I9000" i="7"/>
  <c r="I9001" i="7"/>
  <c r="I9002" i="7"/>
  <c r="I9003" i="7"/>
  <c r="I9004" i="7"/>
  <c r="I9005" i="7"/>
  <c r="I9006" i="7"/>
  <c r="I9007" i="7"/>
  <c r="I9008" i="7"/>
  <c r="I9009" i="7"/>
  <c r="I9010" i="7"/>
  <c r="I9011" i="7"/>
  <c r="I9012" i="7"/>
  <c r="I9013" i="7"/>
  <c r="I9014" i="7"/>
  <c r="I9015" i="7"/>
  <c r="I9016" i="7"/>
  <c r="I9017" i="7"/>
  <c r="I9018" i="7"/>
  <c r="I9019" i="7"/>
  <c r="I9020" i="7"/>
  <c r="I9021" i="7"/>
  <c r="I9022" i="7"/>
  <c r="I9023" i="7"/>
  <c r="I9024" i="7"/>
  <c r="I9025" i="7"/>
  <c r="I9026" i="7"/>
  <c r="I9027" i="7"/>
  <c r="I9028" i="7"/>
  <c r="I9029" i="7"/>
  <c r="I9030" i="7"/>
  <c r="I9031" i="7"/>
  <c r="I9032" i="7"/>
  <c r="I9033" i="7"/>
  <c r="I9034" i="7"/>
  <c r="I9035" i="7"/>
  <c r="I9036" i="7"/>
  <c r="I9037" i="7"/>
  <c r="I9038" i="7"/>
  <c r="I9039" i="7"/>
  <c r="I9040" i="7"/>
  <c r="I9041" i="7"/>
  <c r="I9042" i="7"/>
  <c r="I9043" i="7"/>
  <c r="I9044" i="7"/>
  <c r="I9045" i="7"/>
  <c r="I9046" i="7"/>
  <c r="I9047" i="7"/>
  <c r="I9048" i="7"/>
  <c r="I9049" i="7"/>
  <c r="I9050" i="7"/>
  <c r="I9051" i="7"/>
  <c r="I9052" i="7"/>
  <c r="I9053" i="7"/>
  <c r="I9054" i="7"/>
  <c r="I9055" i="7"/>
  <c r="I9056" i="7"/>
  <c r="I9057" i="7"/>
  <c r="I9058" i="7"/>
  <c r="I9059" i="7"/>
  <c r="I9060" i="7"/>
  <c r="I9061" i="7"/>
  <c r="I9062" i="7"/>
  <c r="I9063" i="7"/>
  <c r="I9064" i="7"/>
  <c r="I9065" i="7"/>
  <c r="I9066" i="7"/>
  <c r="I9067" i="7"/>
  <c r="I9068" i="7"/>
  <c r="I9069" i="7"/>
  <c r="I9070" i="7"/>
  <c r="I9071" i="7"/>
  <c r="I9072" i="7"/>
  <c r="I9073" i="7"/>
  <c r="I9074" i="7"/>
  <c r="I9075" i="7"/>
  <c r="I9076" i="7"/>
  <c r="I9077" i="7"/>
  <c r="I9078" i="7"/>
  <c r="I9079" i="7"/>
  <c r="I9080" i="7"/>
  <c r="I9081" i="7"/>
  <c r="I9082" i="7"/>
  <c r="I9083" i="7"/>
  <c r="I9084" i="7"/>
  <c r="I9085" i="7"/>
  <c r="I9086" i="7"/>
  <c r="I9087" i="7"/>
  <c r="I9088" i="7"/>
  <c r="I9089" i="7"/>
  <c r="I9090" i="7"/>
  <c r="I9091" i="7"/>
  <c r="I9092" i="7"/>
  <c r="I9093" i="7"/>
  <c r="I9094" i="7"/>
  <c r="I9095" i="7"/>
  <c r="I9096" i="7"/>
  <c r="I9097" i="7"/>
  <c r="I9098" i="7"/>
  <c r="I9099" i="7"/>
  <c r="I9100" i="7"/>
  <c r="I9101" i="7"/>
  <c r="I9102" i="7"/>
  <c r="I9103" i="7"/>
  <c r="I9104" i="7"/>
  <c r="I9105" i="7"/>
  <c r="I9106" i="7"/>
  <c r="I9107" i="7"/>
  <c r="I9108" i="7"/>
  <c r="I9109" i="7"/>
  <c r="I9110" i="7"/>
  <c r="I9111" i="7"/>
  <c r="I9112" i="7"/>
  <c r="I9113" i="7"/>
  <c r="I9114" i="7"/>
  <c r="I9115" i="7"/>
  <c r="I9116" i="7"/>
  <c r="I9117" i="7"/>
  <c r="I9118" i="7"/>
  <c r="I9119" i="7"/>
  <c r="I9120" i="7"/>
  <c r="I9121" i="7"/>
  <c r="I9122" i="7"/>
  <c r="I9123" i="7"/>
  <c r="I9124" i="7"/>
  <c r="I9125" i="7"/>
  <c r="I9126" i="7"/>
  <c r="I9127" i="7"/>
  <c r="I9128" i="7"/>
  <c r="I9129" i="7"/>
  <c r="I9130" i="7"/>
  <c r="I9131" i="7"/>
  <c r="I9132" i="7"/>
  <c r="I9133" i="7"/>
  <c r="I9134" i="7"/>
  <c r="I9135" i="7"/>
  <c r="I9136" i="7"/>
  <c r="I9137" i="7"/>
  <c r="I9138" i="7"/>
  <c r="I9139" i="7"/>
  <c r="I9140" i="7"/>
  <c r="I9141" i="7"/>
  <c r="I9142" i="7"/>
  <c r="I9143" i="7"/>
  <c r="I9144" i="7"/>
  <c r="I9145" i="7"/>
  <c r="I9146" i="7"/>
  <c r="I9147" i="7"/>
  <c r="I9148" i="7"/>
  <c r="I9149" i="7"/>
  <c r="I9150" i="7"/>
  <c r="I9151" i="7"/>
  <c r="I9152" i="7"/>
  <c r="I9153" i="7"/>
  <c r="I9154" i="7"/>
  <c r="I9155" i="7"/>
  <c r="I9156" i="7"/>
  <c r="I9157" i="7"/>
  <c r="I9158" i="7"/>
  <c r="I9159" i="7"/>
  <c r="I9160" i="7"/>
  <c r="I9161" i="7"/>
  <c r="I9162" i="7"/>
  <c r="I9163" i="7"/>
  <c r="I9164" i="7"/>
  <c r="I9165" i="7"/>
  <c r="I9166" i="7"/>
  <c r="I9167" i="7"/>
  <c r="I9168" i="7"/>
  <c r="I9169" i="7"/>
  <c r="I9170" i="7"/>
  <c r="I9171" i="7"/>
  <c r="I9172" i="7"/>
  <c r="I9173" i="7"/>
  <c r="I9174" i="7"/>
  <c r="I9175" i="7"/>
  <c r="I9176" i="7"/>
  <c r="I9177" i="7"/>
  <c r="I9178" i="7"/>
  <c r="I9179" i="7"/>
  <c r="I9180" i="7"/>
  <c r="I9181" i="7"/>
  <c r="I9182" i="7"/>
  <c r="I9183" i="7"/>
  <c r="I9184" i="7"/>
  <c r="I9185" i="7"/>
  <c r="I9186" i="7"/>
  <c r="I9187" i="7"/>
  <c r="I9188" i="7"/>
  <c r="I9189" i="7"/>
  <c r="I9190" i="7"/>
  <c r="I9191" i="7"/>
  <c r="I9192" i="7"/>
  <c r="I9193" i="7"/>
  <c r="I9194" i="7"/>
  <c r="I9195" i="7"/>
  <c r="I9196" i="7"/>
  <c r="I9197" i="7"/>
  <c r="I9198" i="7"/>
  <c r="I9199" i="7"/>
  <c r="I9200" i="7"/>
  <c r="I9201" i="7"/>
  <c r="I9202" i="7"/>
  <c r="I9203" i="7"/>
  <c r="I9204" i="7"/>
  <c r="I9205" i="7"/>
  <c r="I9206" i="7"/>
  <c r="I9207" i="7"/>
  <c r="I9208" i="7"/>
  <c r="I9209" i="7"/>
  <c r="I9210" i="7"/>
  <c r="I9211" i="7"/>
  <c r="I9212" i="7"/>
  <c r="I9213" i="7"/>
  <c r="I9214" i="7"/>
  <c r="I9215" i="7"/>
  <c r="I9216" i="7"/>
  <c r="I9217" i="7"/>
  <c r="I9218" i="7"/>
  <c r="I9219" i="7"/>
  <c r="I9220" i="7"/>
  <c r="I9221" i="7"/>
  <c r="I9222" i="7"/>
  <c r="I9223" i="7"/>
  <c r="I9224" i="7"/>
  <c r="I9225" i="7"/>
  <c r="I9226" i="7"/>
  <c r="I9227" i="7"/>
  <c r="I9228" i="7"/>
  <c r="I9229" i="7"/>
  <c r="I9230" i="7"/>
  <c r="I9231" i="7"/>
  <c r="I9232" i="7"/>
  <c r="I9233" i="7"/>
  <c r="I9234" i="7"/>
  <c r="I9235" i="7"/>
  <c r="I9236" i="7"/>
  <c r="I9237" i="7"/>
  <c r="I9238" i="7"/>
  <c r="I9239" i="7"/>
  <c r="I9240" i="7"/>
  <c r="I9241" i="7"/>
  <c r="I9242" i="7"/>
  <c r="I9243" i="7"/>
  <c r="I9244" i="7"/>
  <c r="I9245" i="7"/>
  <c r="I9246" i="7"/>
  <c r="I9247" i="7"/>
  <c r="I9248" i="7"/>
  <c r="I9249" i="7"/>
  <c r="I9250" i="7"/>
  <c r="I9251" i="7"/>
  <c r="I9252" i="7"/>
  <c r="I9253" i="7"/>
  <c r="I9254" i="7"/>
  <c r="I9255" i="7"/>
  <c r="I9256" i="7"/>
  <c r="I9257" i="7"/>
  <c r="I9258" i="7"/>
  <c r="I9259" i="7"/>
  <c r="I9260" i="7"/>
  <c r="I9261" i="7"/>
  <c r="I9262" i="7"/>
  <c r="I9263" i="7"/>
  <c r="I9264" i="7"/>
  <c r="I9265" i="7"/>
  <c r="I9266" i="7"/>
  <c r="I9267" i="7"/>
  <c r="I9268" i="7"/>
  <c r="I9269" i="7"/>
  <c r="I9270" i="7"/>
  <c r="I9271" i="7"/>
  <c r="I9272" i="7"/>
  <c r="I9273" i="7"/>
  <c r="I9274" i="7"/>
  <c r="I9275" i="7"/>
  <c r="I9276" i="7"/>
  <c r="I9277" i="7"/>
  <c r="I9278" i="7"/>
  <c r="I9279" i="7"/>
  <c r="I9280" i="7"/>
  <c r="I9281" i="7"/>
  <c r="I9282" i="7"/>
  <c r="I9283" i="7"/>
  <c r="I9284" i="7"/>
  <c r="I9285" i="7"/>
  <c r="I9286" i="7"/>
  <c r="I9287" i="7"/>
  <c r="I9288" i="7"/>
  <c r="I9289" i="7"/>
  <c r="I9290" i="7"/>
  <c r="I9291" i="7"/>
  <c r="I9292" i="7"/>
  <c r="I9293" i="7"/>
  <c r="I9294" i="7"/>
  <c r="I9295" i="7"/>
  <c r="I9296" i="7"/>
  <c r="I9297" i="7"/>
  <c r="I9298" i="7"/>
  <c r="I9299" i="7"/>
  <c r="I9300" i="7"/>
  <c r="I9301" i="7"/>
  <c r="I9302" i="7"/>
  <c r="I9303" i="7"/>
  <c r="I9304" i="7"/>
  <c r="I9305" i="7"/>
  <c r="I9306" i="7"/>
  <c r="I9307" i="7"/>
  <c r="I9308" i="7"/>
  <c r="I9309" i="7"/>
  <c r="I9310" i="7"/>
  <c r="I9311" i="7"/>
  <c r="I9312" i="7"/>
  <c r="I9313" i="7"/>
  <c r="I9314" i="7"/>
  <c r="I9315" i="7"/>
  <c r="I9316" i="7"/>
  <c r="I9317" i="7"/>
  <c r="I9318" i="7"/>
  <c r="I9319" i="7"/>
  <c r="I9320" i="7"/>
  <c r="I9321" i="7"/>
  <c r="I9322" i="7"/>
  <c r="I9323" i="7"/>
  <c r="I9324" i="7"/>
  <c r="I9325" i="7"/>
  <c r="I9326" i="7"/>
  <c r="I9327" i="7"/>
  <c r="I9328" i="7"/>
  <c r="I9329" i="7"/>
  <c r="I9330" i="7"/>
  <c r="I9331" i="7"/>
  <c r="I9332" i="7"/>
  <c r="I9333" i="7"/>
  <c r="I9334" i="7"/>
  <c r="I9335" i="7"/>
  <c r="I9336" i="7"/>
  <c r="I9337" i="7"/>
  <c r="I9338" i="7"/>
  <c r="I9339" i="7"/>
  <c r="I9340" i="7"/>
  <c r="I9341" i="7"/>
  <c r="I9342" i="7"/>
  <c r="I9343" i="7"/>
  <c r="I9344" i="7"/>
  <c r="I9345" i="7"/>
  <c r="I9346" i="7"/>
  <c r="I9347" i="7"/>
  <c r="I9348" i="7"/>
  <c r="I9349" i="7"/>
  <c r="I9350" i="7"/>
  <c r="I9351" i="7"/>
  <c r="I9352" i="7"/>
  <c r="I9353" i="7"/>
  <c r="I9354" i="7"/>
  <c r="I9355" i="7"/>
  <c r="I9356" i="7"/>
  <c r="I9357" i="7"/>
  <c r="I9358" i="7"/>
  <c r="I9359" i="7"/>
  <c r="I9360" i="7"/>
  <c r="I9361" i="7"/>
  <c r="I9362" i="7"/>
  <c r="I9363" i="7"/>
  <c r="I9364" i="7"/>
  <c r="I9365" i="7"/>
  <c r="I9366" i="7"/>
  <c r="I9367" i="7"/>
  <c r="I9368" i="7"/>
  <c r="I9369" i="7"/>
  <c r="I9370" i="7"/>
  <c r="I9371" i="7"/>
  <c r="I9372" i="7"/>
  <c r="I9373" i="7"/>
  <c r="I9374" i="7"/>
  <c r="I9375" i="7"/>
  <c r="I9376" i="7"/>
  <c r="I9377" i="7"/>
  <c r="I9378" i="7"/>
  <c r="I9379" i="7"/>
  <c r="I9380" i="7"/>
  <c r="I9381" i="7"/>
  <c r="I9382" i="7"/>
  <c r="I9383" i="7"/>
  <c r="I9384" i="7"/>
  <c r="I9385" i="7"/>
  <c r="I9386" i="7"/>
  <c r="I9387" i="7"/>
  <c r="I9388" i="7"/>
  <c r="I9389" i="7"/>
  <c r="I9390" i="7"/>
  <c r="I9391" i="7"/>
  <c r="I9392" i="7"/>
  <c r="I9393" i="7"/>
  <c r="I9394" i="7"/>
  <c r="I9395" i="7"/>
  <c r="I9396" i="7"/>
  <c r="I9397" i="7"/>
  <c r="I9398" i="7"/>
  <c r="I9399" i="7"/>
  <c r="I9400" i="7"/>
  <c r="I9401" i="7"/>
  <c r="I9402" i="7"/>
  <c r="I9403" i="7"/>
  <c r="I9404" i="7"/>
  <c r="I9405" i="7"/>
  <c r="I9406" i="7"/>
  <c r="I9407" i="7"/>
  <c r="I9408" i="7"/>
  <c r="I9409" i="7"/>
  <c r="I9410" i="7"/>
  <c r="I9411" i="7"/>
  <c r="I9412" i="7"/>
  <c r="I9413" i="7"/>
  <c r="I9414" i="7"/>
  <c r="I9415" i="7"/>
  <c r="I9416" i="7"/>
  <c r="I9417" i="7"/>
  <c r="I9418" i="7"/>
  <c r="I9419" i="7"/>
  <c r="I9420" i="7"/>
  <c r="I9421" i="7"/>
  <c r="I9422" i="7"/>
  <c r="I9423" i="7"/>
  <c r="I9424" i="7"/>
  <c r="I9425" i="7"/>
  <c r="I9426" i="7"/>
  <c r="I9427" i="7"/>
  <c r="I9428" i="7"/>
  <c r="I9429" i="7"/>
  <c r="I9430" i="7"/>
  <c r="I9431" i="7"/>
  <c r="I9432" i="7"/>
  <c r="I9433" i="7"/>
  <c r="I9434" i="7"/>
  <c r="I9435" i="7"/>
  <c r="I9436" i="7"/>
  <c r="I9437" i="7"/>
  <c r="I9438" i="7"/>
  <c r="I9439" i="7"/>
  <c r="I9440" i="7"/>
  <c r="I9441" i="7"/>
  <c r="I9442" i="7"/>
  <c r="I9443" i="7"/>
  <c r="I9444" i="7"/>
  <c r="I9445" i="7"/>
  <c r="I9446" i="7"/>
  <c r="I9447" i="7"/>
  <c r="I9448" i="7"/>
  <c r="I9449" i="7"/>
  <c r="I9450" i="7"/>
  <c r="I9451" i="7"/>
  <c r="I9452" i="7"/>
  <c r="I9453" i="7"/>
  <c r="I9454" i="7"/>
  <c r="I9455" i="7"/>
  <c r="I9456" i="7"/>
  <c r="I9457" i="7"/>
  <c r="I9458" i="7"/>
  <c r="I9459" i="7"/>
  <c r="I9460" i="7"/>
  <c r="I9461" i="7"/>
  <c r="I9462" i="7"/>
  <c r="I9463" i="7"/>
  <c r="I9464" i="7"/>
  <c r="I9465" i="7"/>
  <c r="I9466" i="7"/>
  <c r="I9467" i="7"/>
  <c r="I9468" i="7"/>
  <c r="I9469" i="7"/>
  <c r="I9470" i="7"/>
  <c r="I9471" i="7"/>
  <c r="I9472" i="7"/>
  <c r="I9473" i="7"/>
  <c r="I9474" i="7"/>
  <c r="I9475" i="7"/>
  <c r="I9476" i="7"/>
  <c r="I9477" i="7"/>
  <c r="I9478" i="7"/>
  <c r="I9479" i="7"/>
  <c r="I9480" i="7"/>
  <c r="I9481" i="7"/>
  <c r="I9482" i="7"/>
  <c r="I9483" i="7"/>
  <c r="I9484" i="7"/>
  <c r="I9485" i="7"/>
  <c r="I9486" i="7"/>
  <c r="I9487" i="7"/>
  <c r="I9488" i="7"/>
  <c r="I9489" i="7"/>
  <c r="I9490" i="7"/>
  <c r="I9491" i="7"/>
  <c r="I9492" i="7"/>
  <c r="I9493" i="7"/>
  <c r="I9494" i="7"/>
  <c r="I9495" i="7"/>
  <c r="I9496" i="7"/>
  <c r="I9497" i="7"/>
  <c r="I9498" i="7"/>
  <c r="I9499" i="7"/>
  <c r="I9500" i="7"/>
  <c r="I9501" i="7"/>
  <c r="I9502" i="7"/>
  <c r="I9503" i="7"/>
  <c r="I9504" i="7"/>
  <c r="I9505" i="7"/>
  <c r="I9506" i="7"/>
  <c r="I9507" i="7"/>
  <c r="I9508" i="7"/>
  <c r="I9509" i="7"/>
  <c r="I9510" i="7"/>
  <c r="I9511" i="7"/>
  <c r="I9512" i="7"/>
  <c r="I9513" i="7"/>
  <c r="I9514" i="7"/>
  <c r="I9515" i="7"/>
  <c r="I9516" i="7"/>
  <c r="I9517" i="7"/>
  <c r="I9518" i="7"/>
  <c r="I9519" i="7"/>
  <c r="I9520" i="7"/>
  <c r="I9521" i="7"/>
  <c r="I9522" i="7"/>
  <c r="I9523" i="7"/>
  <c r="I9524" i="7"/>
  <c r="I9525" i="7"/>
  <c r="I9526" i="7"/>
  <c r="I9527" i="7"/>
  <c r="I9528" i="7"/>
  <c r="I9529" i="7"/>
  <c r="I9530" i="7"/>
  <c r="I9531" i="7"/>
  <c r="I9532" i="7"/>
  <c r="I9533" i="7"/>
  <c r="I9534" i="7"/>
  <c r="I9535" i="7"/>
  <c r="I9536" i="7"/>
  <c r="I9537" i="7"/>
  <c r="I9538" i="7"/>
  <c r="I9539" i="7"/>
  <c r="I9540" i="7"/>
  <c r="I9541" i="7"/>
  <c r="I9542" i="7"/>
  <c r="I9543" i="7"/>
  <c r="I9544" i="7"/>
  <c r="I9545" i="7"/>
  <c r="I9546" i="7"/>
  <c r="I9547" i="7"/>
  <c r="I9548" i="7"/>
  <c r="I9549" i="7"/>
  <c r="I9550" i="7"/>
  <c r="I9551" i="7"/>
  <c r="I9552" i="7"/>
  <c r="I9553" i="7"/>
  <c r="I9554" i="7"/>
  <c r="I9555" i="7"/>
  <c r="I9556" i="7"/>
  <c r="I9557" i="7"/>
  <c r="I9558" i="7"/>
  <c r="I9559" i="7"/>
  <c r="I9560" i="7"/>
  <c r="I9561" i="7"/>
  <c r="I9562" i="7"/>
  <c r="I9563" i="7"/>
  <c r="I9564" i="7"/>
  <c r="I9565" i="7"/>
  <c r="I9566" i="7"/>
  <c r="I9567" i="7"/>
  <c r="I9568" i="7"/>
  <c r="I9569" i="7"/>
  <c r="I9570" i="7"/>
  <c r="I9571" i="7"/>
  <c r="I9572" i="7"/>
  <c r="I9573" i="7"/>
  <c r="I9574" i="7"/>
  <c r="I9575" i="7"/>
  <c r="I9576" i="7"/>
  <c r="I9577" i="7"/>
  <c r="I9578" i="7"/>
  <c r="I9579" i="7"/>
  <c r="I9580" i="7"/>
  <c r="I9581" i="7"/>
  <c r="I9582" i="7"/>
  <c r="I9583" i="7"/>
  <c r="I9584" i="7"/>
  <c r="I9585" i="7"/>
  <c r="I9586" i="7"/>
  <c r="I9587" i="7"/>
  <c r="I9588" i="7"/>
  <c r="I9589" i="7"/>
  <c r="I9590" i="7"/>
  <c r="I9591" i="7"/>
  <c r="I9592" i="7"/>
  <c r="I9593" i="7"/>
  <c r="I9594" i="7"/>
  <c r="I9595" i="7"/>
  <c r="I9596" i="7"/>
  <c r="I9597" i="7"/>
  <c r="I9598" i="7"/>
  <c r="I9599" i="7"/>
  <c r="I9600" i="7"/>
  <c r="I9601" i="7"/>
  <c r="I9602" i="7"/>
  <c r="I9603" i="7"/>
  <c r="I9604" i="7"/>
  <c r="I9605" i="7"/>
  <c r="I9606" i="7"/>
  <c r="I9607" i="7"/>
  <c r="I9608" i="7"/>
  <c r="I9609" i="7"/>
  <c r="I9610" i="7"/>
  <c r="I9611" i="7"/>
  <c r="I9612" i="7"/>
  <c r="I9613" i="7"/>
  <c r="I9614" i="7"/>
  <c r="I9615" i="7"/>
  <c r="I9616" i="7"/>
  <c r="I9617" i="7"/>
  <c r="I9618" i="7"/>
  <c r="I9619" i="7"/>
  <c r="I9620" i="7"/>
  <c r="I9621" i="7"/>
  <c r="I9622" i="7"/>
  <c r="I9623" i="7"/>
  <c r="I9624" i="7"/>
  <c r="I9625" i="7"/>
  <c r="I9626" i="7"/>
  <c r="I9627" i="7"/>
  <c r="I9628" i="7"/>
  <c r="I9629" i="7"/>
  <c r="I9630" i="7"/>
  <c r="I9631" i="7"/>
  <c r="I9632" i="7"/>
  <c r="I9633" i="7"/>
  <c r="I9634" i="7"/>
  <c r="I9635" i="7"/>
  <c r="I9636" i="7"/>
  <c r="I9637" i="7"/>
  <c r="I9638" i="7"/>
  <c r="I9639" i="7"/>
  <c r="I9640" i="7"/>
  <c r="I9641" i="7"/>
  <c r="I9642" i="7"/>
  <c r="I9643" i="7"/>
  <c r="I9644" i="7"/>
  <c r="I9645" i="7"/>
  <c r="I9646" i="7"/>
  <c r="I9647" i="7"/>
  <c r="I9648" i="7"/>
  <c r="I9649" i="7"/>
  <c r="I9650" i="7"/>
  <c r="I9651" i="7"/>
  <c r="I9652" i="7"/>
  <c r="I9653" i="7"/>
  <c r="I9654" i="7"/>
  <c r="I9655" i="7"/>
  <c r="I9656" i="7"/>
  <c r="I9657" i="7"/>
  <c r="I9658" i="7"/>
  <c r="I9659" i="7"/>
  <c r="I9660" i="7"/>
  <c r="I9661" i="7"/>
  <c r="I9662" i="7"/>
  <c r="I9663" i="7"/>
  <c r="I9664" i="7"/>
  <c r="I9665" i="7"/>
  <c r="I9666" i="7"/>
  <c r="I9667" i="7"/>
  <c r="I9668" i="7"/>
  <c r="I9669" i="7"/>
  <c r="I9670" i="7"/>
  <c r="I9671" i="7"/>
  <c r="I9672" i="7"/>
  <c r="I9673" i="7"/>
  <c r="I9674" i="7"/>
  <c r="I9675" i="7"/>
  <c r="I9676" i="7"/>
  <c r="I9677" i="7"/>
  <c r="I9678" i="7"/>
  <c r="I9679" i="7"/>
  <c r="I9680" i="7"/>
  <c r="I9681" i="7"/>
  <c r="I9682" i="7"/>
  <c r="I9683" i="7"/>
  <c r="I9684" i="7"/>
  <c r="I9685" i="7"/>
  <c r="I9686" i="7"/>
  <c r="I9687" i="7"/>
  <c r="I9688" i="7"/>
  <c r="I9689" i="7"/>
  <c r="I9690" i="7"/>
  <c r="I9691" i="7"/>
  <c r="I9692" i="7"/>
  <c r="I9693" i="7"/>
  <c r="I9694" i="7"/>
  <c r="I9695" i="7"/>
  <c r="I9696" i="7"/>
  <c r="I9697" i="7"/>
  <c r="I9698" i="7"/>
  <c r="I9699" i="7"/>
  <c r="I9700" i="7"/>
  <c r="I9701" i="7"/>
  <c r="I9702" i="7"/>
  <c r="I9703" i="7"/>
  <c r="I9704" i="7"/>
  <c r="I9705" i="7"/>
  <c r="I9706" i="7"/>
  <c r="I9707" i="7"/>
  <c r="I9708" i="7"/>
  <c r="I9709" i="7"/>
  <c r="I9710" i="7"/>
  <c r="I9711" i="7"/>
  <c r="I9712" i="7"/>
  <c r="I9713" i="7"/>
  <c r="I9714" i="7"/>
  <c r="I9715" i="7"/>
  <c r="I9716" i="7"/>
  <c r="I9717" i="7"/>
  <c r="I9718" i="7"/>
  <c r="I9719" i="7"/>
  <c r="I9720" i="7"/>
  <c r="I9721" i="7"/>
  <c r="I9722" i="7"/>
  <c r="I9723" i="7"/>
  <c r="I9724" i="7"/>
  <c r="I9725" i="7"/>
  <c r="I9726" i="7"/>
  <c r="I9727" i="7"/>
  <c r="I9728" i="7"/>
  <c r="I9729" i="7"/>
  <c r="I9730" i="7"/>
  <c r="I9731" i="7"/>
  <c r="I9732" i="7"/>
  <c r="I9733" i="7"/>
  <c r="I9734" i="7"/>
  <c r="I9735" i="7"/>
  <c r="I9736" i="7"/>
  <c r="I9737" i="7"/>
  <c r="I9738" i="7"/>
  <c r="I9739" i="7"/>
  <c r="I9740" i="7"/>
  <c r="I9741" i="7"/>
  <c r="I9742" i="7"/>
  <c r="I9743" i="7"/>
  <c r="I9744" i="7"/>
  <c r="I9745" i="7"/>
  <c r="I9746" i="7"/>
  <c r="I9747" i="7"/>
  <c r="I9748" i="7"/>
  <c r="I9749" i="7"/>
  <c r="I9750" i="7"/>
  <c r="I9751" i="7"/>
  <c r="I9752" i="7"/>
  <c r="I9753" i="7"/>
  <c r="I9754" i="7"/>
  <c r="I9755" i="7"/>
  <c r="I9756" i="7"/>
  <c r="I9757" i="7"/>
  <c r="I9758" i="7"/>
  <c r="I9759" i="7"/>
  <c r="I9760" i="7"/>
  <c r="I9761" i="7"/>
  <c r="I9762" i="7"/>
  <c r="I9763" i="7"/>
  <c r="I9764" i="7"/>
  <c r="I9765" i="7"/>
  <c r="I9766" i="7"/>
  <c r="I9767" i="7"/>
  <c r="I9768" i="7"/>
  <c r="I9769" i="7"/>
  <c r="I9770" i="7"/>
  <c r="I9771" i="7"/>
  <c r="I9772" i="7"/>
  <c r="I9773" i="7"/>
  <c r="I9774" i="7"/>
  <c r="I9775" i="7"/>
  <c r="I9776" i="7"/>
  <c r="I9777" i="7"/>
  <c r="I9778" i="7"/>
  <c r="I9779" i="7"/>
  <c r="I9780" i="7"/>
  <c r="I9781" i="7"/>
  <c r="I9782" i="7"/>
  <c r="I9783" i="7"/>
  <c r="I9784" i="7"/>
  <c r="I9785" i="7"/>
  <c r="I9786" i="7"/>
  <c r="I9787" i="7"/>
  <c r="I9788" i="7"/>
  <c r="I9789" i="7"/>
  <c r="I9790" i="7"/>
  <c r="I9791" i="7"/>
  <c r="I9792" i="7"/>
  <c r="I9793" i="7"/>
  <c r="I9794" i="7"/>
  <c r="I9795" i="7"/>
  <c r="I9796" i="7"/>
  <c r="I9797" i="7"/>
  <c r="I9798" i="7"/>
  <c r="I9799" i="7"/>
  <c r="I9800" i="7"/>
  <c r="I9801" i="7"/>
  <c r="I9802" i="7"/>
  <c r="I9803" i="7"/>
  <c r="I9804" i="7"/>
  <c r="I9805" i="7"/>
  <c r="I9806" i="7"/>
  <c r="I9807" i="7"/>
  <c r="I9808" i="7"/>
  <c r="I9809" i="7"/>
  <c r="I9810" i="7"/>
  <c r="I9811" i="7"/>
  <c r="I9812" i="7"/>
  <c r="I9813" i="7"/>
  <c r="I9814" i="7"/>
  <c r="I9815" i="7"/>
  <c r="I9816" i="7"/>
  <c r="I9817" i="7"/>
  <c r="I9818" i="7"/>
  <c r="I9819" i="7"/>
  <c r="I9820" i="7"/>
  <c r="I9821" i="7"/>
  <c r="I9822" i="7"/>
  <c r="I9823" i="7"/>
  <c r="I9824" i="7"/>
  <c r="I9825" i="7"/>
  <c r="I9826" i="7"/>
  <c r="I9827" i="7"/>
  <c r="I9828" i="7"/>
  <c r="I9829" i="7"/>
  <c r="I9830" i="7"/>
  <c r="I9831" i="7"/>
  <c r="I9832" i="7"/>
  <c r="I9833" i="7"/>
  <c r="I9834" i="7"/>
  <c r="I9835" i="7"/>
  <c r="I9836" i="7"/>
  <c r="I9837" i="7"/>
  <c r="I9838" i="7"/>
  <c r="I9839" i="7"/>
  <c r="I9840" i="7"/>
  <c r="I9841" i="7"/>
  <c r="I9842" i="7"/>
  <c r="I9843" i="7"/>
  <c r="I9844" i="7"/>
  <c r="I9845" i="7"/>
  <c r="I9846" i="7"/>
  <c r="I9847" i="7"/>
  <c r="I9848" i="7"/>
  <c r="I9849" i="7"/>
  <c r="I9850" i="7"/>
  <c r="I9851" i="7"/>
  <c r="I9852" i="7"/>
  <c r="I9853" i="7"/>
  <c r="I9854" i="7"/>
  <c r="I9855" i="7"/>
  <c r="I9856" i="7"/>
  <c r="I9857" i="7"/>
  <c r="I9858" i="7"/>
  <c r="I9859" i="7"/>
  <c r="I9860" i="7"/>
  <c r="I9861" i="7"/>
  <c r="I9862" i="7"/>
  <c r="I9863" i="7"/>
  <c r="I9864" i="7"/>
  <c r="I9865" i="7"/>
  <c r="I9866" i="7"/>
  <c r="I9867" i="7"/>
  <c r="I9868" i="7"/>
  <c r="I9869" i="7"/>
  <c r="I9870" i="7"/>
  <c r="I9871" i="7"/>
  <c r="I9872" i="7"/>
  <c r="I9873" i="7"/>
  <c r="I9874" i="7"/>
  <c r="I9875" i="7"/>
  <c r="I9876" i="7"/>
  <c r="I9877" i="7"/>
  <c r="I9878" i="7"/>
  <c r="I9879" i="7"/>
  <c r="I9880" i="7"/>
  <c r="I9881" i="7"/>
  <c r="I9882" i="7"/>
  <c r="I9883" i="7"/>
  <c r="I9884" i="7"/>
  <c r="I9885" i="7"/>
  <c r="I9886" i="7"/>
  <c r="I9887" i="7"/>
  <c r="I9888" i="7"/>
  <c r="I9889" i="7"/>
  <c r="I9890" i="7"/>
  <c r="I9891" i="7"/>
  <c r="I9892" i="7"/>
  <c r="I9893" i="7"/>
  <c r="I9894" i="7"/>
  <c r="I9895" i="7"/>
  <c r="I9896" i="7"/>
  <c r="I9897" i="7"/>
  <c r="I9898" i="7"/>
  <c r="I9899" i="7"/>
  <c r="I9900" i="7"/>
  <c r="I9901" i="7"/>
  <c r="I9902" i="7"/>
  <c r="I9903" i="7"/>
  <c r="I9904" i="7"/>
  <c r="I9905" i="7"/>
  <c r="I9906" i="7"/>
  <c r="I9907" i="7"/>
  <c r="I9908" i="7"/>
  <c r="I9909" i="7"/>
  <c r="I9910" i="7"/>
  <c r="I9911" i="7"/>
  <c r="I9912" i="7"/>
  <c r="I9913" i="7"/>
  <c r="I9914" i="7"/>
  <c r="I9915" i="7"/>
  <c r="I9916" i="7"/>
  <c r="I9917" i="7"/>
  <c r="I9918" i="7"/>
  <c r="I9919" i="7"/>
  <c r="I9920" i="7"/>
  <c r="I9921" i="7"/>
  <c r="I9922" i="7"/>
  <c r="I9923" i="7"/>
  <c r="I9924" i="7"/>
  <c r="I9925" i="7"/>
  <c r="I9926" i="7"/>
  <c r="I9927" i="7"/>
  <c r="I9928" i="7"/>
  <c r="I9929" i="7"/>
  <c r="I9930" i="7"/>
  <c r="I9931" i="7"/>
  <c r="I9932" i="7"/>
  <c r="I9933" i="7"/>
  <c r="I9934" i="7"/>
  <c r="I9935" i="7"/>
  <c r="I9936" i="7"/>
  <c r="I9937" i="7"/>
  <c r="I9938" i="7"/>
  <c r="I9939" i="7"/>
  <c r="I9940" i="7"/>
  <c r="I9941" i="7"/>
  <c r="I9942" i="7"/>
  <c r="I9943" i="7"/>
  <c r="I9944" i="7"/>
  <c r="I9945" i="7"/>
  <c r="I9946" i="7"/>
  <c r="I9947" i="7"/>
  <c r="I9948" i="7"/>
  <c r="I9949" i="7"/>
  <c r="I9950" i="7"/>
  <c r="I9951" i="7"/>
  <c r="I9952" i="7"/>
  <c r="I9953" i="7"/>
  <c r="I9954" i="7"/>
  <c r="I9955" i="7"/>
  <c r="I9956" i="7"/>
  <c r="I9957" i="7"/>
  <c r="I9958" i="7"/>
  <c r="I9959" i="7"/>
  <c r="I9960" i="7"/>
  <c r="I9961" i="7"/>
  <c r="I9962" i="7"/>
  <c r="I9963" i="7"/>
  <c r="I9964" i="7"/>
  <c r="I9965" i="7"/>
  <c r="I9966" i="7"/>
  <c r="I9967" i="7"/>
  <c r="I9968" i="7"/>
  <c r="I9969" i="7"/>
  <c r="I9970" i="7"/>
  <c r="I9971" i="7"/>
  <c r="I9972" i="7"/>
  <c r="I9973" i="7"/>
  <c r="I9974" i="7"/>
  <c r="I9975" i="7"/>
  <c r="I9976" i="7"/>
  <c r="I9977" i="7"/>
  <c r="I9978" i="7"/>
  <c r="I9979" i="7"/>
  <c r="I9980" i="7"/>
  <c r="I9981" i="7"/>
  <c r="I9982" i="7"/>
  <c r="I9983" i="7"/>
  <c r="I9984" i="7"/>
  <c r="I9985" i="7"/>
  <c r="I9986" i="7"/>
  <c r="I9987" i="7"/>
  <c r="I9988" i="7"/>
  <c r="I9989" i="7"/>
  <c r="I9990" i="7"/>
  <c r="I9991" i="7"/>
  <c r="I9992" i="7"/>
  <c r="I9993" i="7"/>
  <c r="I9994" i="7"/>
  <c r="I9995" i="7"/>
  <c r="I9996" i="7"/>
  <c r="I9997" i="7"/>
  <c r="I9998" i="7"/>
  <c r="I9999" i="7"/>
  <c r="I10000" i="7"/>
  <c r="I10001" i="7"/>
  <c r="I10002" i="7"/>
  <c r="I10003" i="7"/>
  <c r="I10004" i="7"/>
  <c r="I10005" i="7"/>
  <c r="I10006" i="7"/>
  <c r="I10007" i="7"/>
  <c r="I10008" i="7"/>
  <c r="I10009" i="7"/>
  <c r="I10010" i="7"/>
  <c r="I10011" i="7"/>
  <c r="I10012" i="7"/>
  <c r="I10013" i="7"/>
  <c r="I10014" i="7"/>
  <c r="I10015" i="7"/>
  <c r="I10016" i="7"/>
  <c r="I10017" i="7"/>
  <c r="I10018" i="7"/>
  <c r="I10019" i="7"/>
  <c r="I10020" i="7"/>
  <c r="I10021" i="7"/>
  <c r="I10022" i="7"/>
  <c r="I10023" i="7"/>
  <c r="I10024" i="7"/>
  <c r="I10025" i="7"/>
  <c r="I10026" i="7"/>
  <c r="I10027" i="7"/>
  <c r="I10028" i="7"/>
  <c r="I10029" i="7"/>
  <c r="I10030" i="7"/>
  <c r="I10031" i="7"/>
  <c r="I10032" i="7"/>
  <c r="I10033" i="7"/>
  <c r="I10034" i="7"/>
  <c r="I10035" i="7"/>
  <c r="I10036" i="7"/>
  <c r="I10037" i="7"/>
  <c r="I10038" i="7"/>
  <c r="I10039" i="7"/>
  <c r="I10040" i="7"/>
  <c r="I10041" i="7"/>
  <c r="I10042" i="7"/>
  <c r="I10043" i="7"/>
  <c r="I10044" i="7"/>
  <c r="I10045" i="7"/>
  <c r="I10046" i="7"/>
  <c r="I10047" i="7"/>
  <c r="I10048" i="7"/>
  <c r="I10049" i="7"/>
  <c r="I10050" i="7"/>
  <c r="I10051" i="7"/>
  <c r="I10052" i="7"/>
  <c r="I10053" i="7"/>
  <c r="I10054" i="7"/>
  <c r="I10055" i="7"/>
  <c r="I10056" i="7"/>
  <c r="I10057" i="7"/>
  <c r="I10058" i="7"/>
  <c r="I10059" i="7"/>
  <c r="I10060" i="7"/>
  <c r="I10061" i="7"/>
  <c r="I10062" i="7"/>
  <c r="I10063" i="7"/>
  <c r="I10064" i="7"/>
  <c r="I10065" i="7"/>
  <c r="I10066" i="7"/>
  <c r="I10067" i="7"/>
  <c r="I10068" i="7"/>
  <c r="I10069" i="7"/>
  <c r="I10070" i="7"/>
  <c r="I10071" i="7"/>
  <c r="I10072" i="7"/>
  <c r="I10073" i="7"/>
  <c r="I10074" i="7"/>
  <c r="I10075" i="7"/>
  <c r="I10076" i="7"/>
  <c r="I10077" i="7"/>
  <c r="I10078" i="7"/>
  <c r="I10079" i="7"/>
  <c r="I10080" i="7"/>
  <c r="I10081" i="7"/>
  <c r="I10082" i="7"/>
  <c r="I10083" i="7"/>
  <c r="I10084" i="7"/>
  <c r="I10085" i="7"/>
  <c r="I10086" i="7"/>
  <c r="I10087" i="7"/>
  <c r="I10088" i="7"/>
  <c r="I10089" i="7"/>
  <c r="I10090" i="7"/>
  <c r="I10091" i="7"/>
  <c r="I10092" i="7"/>
  <c r="I10093" i="7"/>
  <c r="I10094" i="7"/>
  <c r="I10095" i="7"/>
  <c r="I10096" i="7"/>
  <c r="I10097" i="7"/>
  <c r="I10098" i="7"/>
  <c r="I10099" i="7"/>
  <c r="I10100" i="7"/>
  <c r="I10101" i="7"/>
  <c r="I10102" i="7"/>
  <c r="I10103" i="7"/>
  <c r="I10104" i="7"/>
  <c r="I10105" i="7"/>
  <c r="I10106" i="7"/>
  <c r="I10107" i="7"/>
  <c r="I10108" i="7"/>
  <c r="I10109" i="7"/>
  <c r="I10110" i="7"/>
  <c r="I10111" i="7"/>
  <c r="I10112" i="7"/>
  <c r="I10113" i="7"/>
  <c r="I10114" i="7"/>
  <c r="I10115" i="7"/>
  <c r="I10116" i="7"/>
  <c r="I10117" i="7"/>
  <c r="I10118" i="7"/>
  <c r="I10119" i="7"/>
  <c r="I10120" i="7"/>
  <c r="I10121" i="7"/>
  <c r="I10122" i="7"/>
  <c r="I10123" i="7"/>
  <c r="I10124" i="7"/>
  <c r="I10125" i="7"/>
  <c r="I10126" i="7"/>
  <c r="I10127" i="7"/>
  <c r="I10128" i="7"/>
  <c r="I10129" i="7"/>
  <c r="I10130" i="7"/>
  <c r="I10131" i="7"/>
  <c r="I10132" i="7"/>
  <c r="I10133" i="7"/>
  <c r="I10134" i="7"/>
  <c r="I10135" i="7"/>
  <c r="I10136" i="7"/>
  <c r="I10137" i="7"/>
  <c r="I10138" i="7"/>
  <c r="I10139" i="7"/>
  <c r="I10140" i="7"/>
  <c r="I10141" i="7"/>
  <c r="I10142" i="7"/>
  <c r="I10143" i="7"/>
  <c r="I10144" i="7"/>
  <c r="I10145" i="7"/>
  <c r="I10146" i="7"/>
  <c r="I10147" i="7"/>
  <c r="I10148" i="7"/>
  <c r="I10149" i="7"/>
  <c r="I10150" i="7"/>
  <c r="I10151" i="7"/>
  <c r="I10152" i="7"/>
  <c r="I10153" i="7"/>
  <c r="I10154" i="7"/>
  <c r="I10155" i="7"/>
  <c r="I10156" i="7"/>
  <c r="I10157" i="7"/>
  <c r="I10158" i="7"/>
  <c r="I10159" i="7"/>
  <c r="I10160" i="7"/>
  <c r="I10161" i="7"/>
  <c r="I10162" i="7"/>
  <c r="I10163" i="7"/>
  <c r="I10164" i="7"/>
  <c r="I10165" i="7"/>
  <c r="I10166" i="7"/>
  <c r="I10167" i="7"/>
  <c r="I10168" i="7"/>
  <c r="I10169" i="7"/>
  <c r="I10170" i="7"/>
  <c r="I10171" i="7"/>
  <c r="I10172" i="7"/>
  <c r="I10173" i="7"/>
  <c r="I10174" i="7"/>
  <c r="I10175" i="7"/>
  <c r="I10176" i="7"/>
  <c r="I10177" i="7"/>
  <c r="I10178" i="7"/>
  <c r="I10179" i="7"/>
  <c r="I10180" i="7"/>
  <c r="I10181" i="7"/>
  <c r="I10182" i="7"/>
  <c r="I10183" i="7"/>
  <c r="I10184" i="7"/>
  <c r="I10185" i="7"/>
  <c r="I10186" i="7"/>
  <c r="I10187" i="7"/>
  <c r="I10188" i="7"/>
  <c r="I10189" i="7"/>
  <c r="I10190" i="7"/>
  <c r="I10191" i="7"/>
  <c r="I10192" i="7"/>
  <c r="I10193" i="7"/>
  <c r="I10194" i="7"/>
  <c r="I10195" i="7"/>
  <c r="I10196" i="7"/>
  <c r="I10197" i="7"/>
  <c r="I10198" i="7"/>
  <c r="I10199" i="7"/>
  <c r="I10200" i="7"/>
  <c r="I10201" i="7"/>
  <c r="I10202" i="7"/>
  <c r="I10203" i="7"/>
  <c r="I10204" i="7"/>
  <c r="I10205" i="7"/>
  <c r="I10206" i="7"/>
  <c r="I10207" i="7"/>
  <c r="I10208" i="7"/>
  <c r="I10209" i="7"/>
  <c r="I10210" i="7"/>
  <c r="I10211" i="7"/>
  <c r="I10212" i="7"/>
  <c r="I10213" i="7"/>
  <c r="I10214" i="7"/>
  <c r="I10215" i="7"/>
  <c r="I10216" i="7"/>
  <c r="I10217" i="7"/>
  <c r="I10218" i="7"/>
  <c r="I10219" i="7"/>
  <c r="I10220" i="7"/>
  <c r="I10221" i="7"/>
  <c r="I10222" i="7"/>
  <c r="I10223" i="7"/>
  <c r="I10224" i="7"/>
  <c r="I10225" i="7"/>
  <c r="I10226" i="7"/>
  <c r="I10227" i="7"/>
  <c r="I10228" i="7"/>
  <c r="I10229" i="7"/>
  <c r="I10230" i="7"/>
  <c r="I10231" i="7"/>
  <c r="I10232" i="7"/>
  <c r="I10233" i="7"/>
  <c r="I10234" i="7"/>
  <c r="I10235" i="7"/>
  <c r="I10236" i="7"/>
  <c r="I10237" i="7"/>
  <c r="I10238" i="7"/>
  <c r="I10239" i="7"/>
  <c r="I10240" i="7"/>
  <c r="I10241" i="7"/>
  <c r="I10242" i="7"/>
  <c r="I10243" i="7"/>
  <c r="I10244" i="7"/>
  <c r="I10245" i="7"/>
  <c r="I10246" i="7"/>
  <c r="I10247" i="7"/>
  <c r="I10248" i="7"/>
  <c r="I10249" i="7"/>
  <c r="I10250" i="7"/>
  <c r="I10251" i="7"/>
  <c r="I10252" i="7"/>
  <c r="I10253" i="7"/>
  <c r="I10254" i="7"/>
  <c r="I10255" i="7"/>
  <c r="I10256" i="7"/>
  <c r="I10257" i="7"/>
  <c r="I10258" i="7"/>
  <c r="I10259" i="7"/>
  <c r="I10260" i="7"/>
  <c r="I10261" i="7"/>
  <c r="I10262" i="7"/>
  <c r="I10263" i="7"/>
  <c r="I10264" i="7"/>
  <c r="I10265" i="7"/>
  <c r="I10266" i="7"/>
  <c r="I10267" i="7"/>
  <c r="I10268" i="7"/>
  <c r="I10269" i="7"/>
  <c r="I10270" i="7"/>
  <c r="I10271" i="7"/>
  <c r="I10272" i="7"/>
  <c r="I10273" i="7"/>
  <c r="I10274" i="7"/>
  <c r="I10275" i="7"/>
  <c r="I10276" i="7"/>
  <c r="I10277" i="7"/>
  <c r="I10278" i="7"/>
  <c r="I10279" i="7"/>
  <c r="I10280" i="7"/>
  <c r="I10281" i="7"/>
  <c r="I10282" i="7"/>
  <c r="I10283" i="7"/>
  <c r="I10284" i="7"/>
  <c r="I10285" i="7"/>
  <c r="I10286" i="7"/>
  <c r="I10287" i="7"/>
  <c r="I10288" i="7"/>
  <c r="I10289" i="7"/>
  <c r="I10290" i="7"/>
  <c r="I10291" i="7"/>
  <c r="I10292" i="7"/>
  <c r="I10293" i="7"/>
  <c r="I10294" i="7"/>
  <c r="I10295" i="7"/>
  <c r="I10296" i="7"/>
  <c r="I10297" i="7"/>
  <c r="I10298" i="7"/>
  <c r="I10299" i="7"/>
  <c r="I10300" i="7"/>
  <c r="I10301" i="7"/>
  <c r="I10302" i="7"/>
  <c r="I10303" i="7"/>
  <c r="I10304" i="7"/>
  <c r="I10305" i="7"/>
  <c r="I10306" i="7"/>
  <c r="I10307" i="7"/>
  <c r="I10308" i="7"/>
  <c r="I10309" i="7"/>
  <c r="I10310" i="7"/>
  <c r="I10311" i="7"/>
  <c r="I10312" i="7"/>
  <c r="I10313" i="7"/>
  <c r="I10314" i="7"/>
  <c r="I10315" i="7"/>
  <c r="I10316" i="7"/>
  <c r="I10317" i="7"/>
  <c r="I10318" i="7"/>
  <c r="I10319" i="7"/>
  <c r="I10320" i="7"/>
  <c r="I10321" i="7"/>
  <c r="I10322" i="7"/>
  <c r="I10323" i="7"/>
  <c r="I10324" i="7"/>
  <c r="I10325" i="7"/>
  <c r="I10326" i="7"/>
  <c r="I10327" i="7"/>
  <c r="I10328" i="7"/>
  <c r="I10329" i="7"/>
  <c r="I10330" i="7"/>
  <c r="I10331" i="7"/>
  <c r="I10332" i="7"/>
  <c r="I10333" i="7"/>
  <c r="I10334" i="7"/>
  <c r="I10335" i="7"/>
  <c r="I10336" i="7"/>
  <c r="I10337" i="7"/>
  <c r="I10338" i="7"/>
  <c r="I10339" i="7"/>
  <c r="I10340" i="7"/>
  <c r="I10341" i="7"/>
  <c r="I10342" i="7"/>
  <c r="I10343" i="7"/>
  <c r="I10344" i="7"/>
  <c r="I10345" i="7"/>
  <c r="I10346" i="7"/>
  <c r="I10347" i="7"/>
  <c r="I10348" i="7"/>
  <c r="I10349" i="7"/>
  <c r="I10350" i="7"/>
  <c r="I10351" i="7"/>
  <c r="I10352" i="7"/>
  <c r="I10353" i="7"/>
  <c r="I10354" i="7"/>
  <c r="I10355" i="7"/>
  <c r="I10356" i="7"/>
  <c r="I10357" i="7"/>
  <c r="I10358" i="7"/>
  <c r="I10359" i="7"/>
  <c r="I10360" i="7"/>
  <c r="I10361" i="7"/>
  <c r="I10362" i="7"/>
  <c r="I10363" i="7"/>
  <c r="I10364" i="7"/>
  <c r="I10365" i="7"/>
  <c r="I10366" i="7"/>
  <c r="I10367" i="7"/>
  <c r="I10368" i="7"/>
  <c r="I10369" i="7"/>
  <c r="I10370" i="7"/>
  <c r="I10371" i="7"/>
  <c r="I10372" i="7"/>
  <c r="I10373" i="7"/>
  <c r="I10374" i="7"/>
  <c r="I10375" i="7"/>
  <c r="I10376" i="7"/>
  <c r="I10377" i="7"/>
  <c r="I10378" i="7"/>
  <c r="I10379" i="7"/>
  <c r="I10380" i="7"/>
  <c r="I10381" i="7"/>
  <c r="I10382" i="7"/>
  <c r="I10383" i="7"/>
  <c r="I10384" i="7"/>
  <c r="I10385" i="7"/>
  <c r="I10386" i="7"/>
  <c r="I10387" i="7"/>
  <c r="I10388" i="7"/>
  <c r="I10389" i="7"/>
  <c r="I10390" i="7"/>
  <c r="I10391" i="7"/>
  <c r="I10392" i="7"/>
  <c r="I10393" i="7"/>
  <c r="I10394" i="7"/>
  <c r="I10395" i="7"/>
  <c r="I10396" i="7"/>
  <c r="I10397" i="7"/>
  <c r="I10398" i="7"/>
  <c r="I10399" i="7"/>
  <c r="I10400" i="7"/>
  <c r="I10401" i="7"/>
  <c r="I10402" i="7"/>
  <c r="I10403" i="7"/>
  <c r="I10404" i="7"/>
  <c r="I10405" i="7"/>
  <c r="I10406" i="7"/>
  <c r="I10407" i="7"/>
  <c r="I10408" i="7"/>
  <c r="I10409" i="7"/>
  <c r="I10410" i="7"/>
  <c r="I10411" i="7"/>
  <c r="I10412" i="7"/>
  <c r="I10413" i="7"/>
  <c r="I10414" i="7"/>
  <c r="I10415" i="7"/>
  <c r="I10416" i="7"/>
  <c r="I10417" i="7"/>
  <c r="I10418" i="7"/>
  <c r="I10419" i="7"/>
  <c r="I10420" i="7"/>
  <c r="I10421" i="7"/>
  <c r="I10422" i="7"/>
  <c r="I10423" i="7"/>
  <c r="I10424" i="7"/>
  <c r="I10425" i="7"/>
  <c r="I10426" i="7"/>
  <c r="I10427" i="7"/>
  <c r="I10428" i="7"/>
  <c r="I10429" i="7"/>
  <c r="I10430" i="7"/>
  <c r="I10431" i="7"/>
  <c r="I10432" i="7"/>
  <c r="I10433" i="7"/>
  <c r="I10434" i="7"/>
  <c r="I10435" i="7"/>
  <c r="I10436" i="7"/>
  <c r="I10437" i="7"/>
  <c r="I10438" i="7"/>
  <c r="I10439" i="7"/>
  <c r="I10440" i="7"/>
  <c r="I10441" i="7"/>
  <c r="I10442" i="7"/>
  <c r="I10443" i="7"/>
  <c r="I10444" i="7"/>
  <c r="I10445" i="7"/>
  <c r="I10446" i="7"/>
  <c r="I10447" i="7"/>
  <c r="I10448" i="7"/>
  <c r="I10449" i="7"/>
  <c r="I10450" i="7"/>
  <c r="I10451" i="7"/>
  <c r="I10452" i="7"/>
  <c r="I10453" i="7"/>
  <c r="I10454" i="7"/>
  <c r="I10455" i="7"/>
  <c r="I10456" i="7"/>
  <c r="I10457" i="7"/>
  <c r="I10458" i="7"/>
  <c r="I10459" i="7"/>
  <c r="I10460" i="7"/>
  <c r="I10461" i="7"/>
  <c r="I10462" i="7"/>
  <c r="I10463" i="7"/>
  <c r="I10464" i="7"/>
  <c r="I10465" i="7"/>
  <c r="I10466" i="7"/>
  <c r="I10467" i="7"/>
  <c r="I10468" i="7"/>
  <c r="I10469" i="7"/>
  <c r="I10470" i="7"/>
  <c r="I10471" i="7"/>
  <c r="I10472" i="7"/>
  <c r="I10473" i="7"/>
  <c r="I10474" i="7"/>
  <c r="I10475" i="7"/>
  <c r="I10476" i="7"/>
  <c r="I10477" i="7"/>
  <c r="I10478" i="7"/>
  <c r="I10479" i="7"/>
  <c r="I10480" i="7"/>
  <c r="I10481" i="7"/>
  <c r="I10482" i="7"/>
  <c r="I10483" i="7"/>
  <c r="I10484" i="7"/>
  <c r="I10485" i="7"/>
  <c r="I10486" i="7"/>
  <c r="I10487" i="7"/>
  <c r="I10488" i="7"/>
  <c r="I10489" i="7"/>
  <c r="I10490" i="7"/>
  <c r="I10491" i="7"/>
  <c r="I10492" i="7"/>
  <c r="I10493" i="7"/>
  <c r="I10494" i="7"/>
  <c r="I10495" i="7"/>
  <c r="I10496" i="7"/>
  <c r="I10497" i="7"/>
  <c r="I10498" i="7"/>
  <c r="I10499" i="7"/>
  <c r="I10500" i="7"/>
  <c r="I10501" i="7"/>
  <c r="I10502" i="7"/>
  <c r="I10503" i="7"/>
  <c r="I10504" i="7"/>
  <c r="I10505" i="7"/>
  <c r="I10506" i="7"/>
  <c r="I10507" i="7"/>
  <c r="I10508" i="7"/>
  <c r="I10509" i="7"/>
  <c r="F17" i="7"/>
  <c r="F18" i="7"/>
  <c r="F19" i="7"/>
  <c r="F21" i="7"/>
  <c r="F22" i="7"/>
  <c r="F23" i="7"/>
  <c r="F25" i="7"/>
  <c r="F26" i="7"/>
  <c r="F27" i="7"/>
  <c r="F28" i="7"/>
  <c r="F39" i="7"/>
  <c r="F40" i="7"/>
  <c r="F50" i="7"/>
  <c r="F51" i="7"/>
  <c r="F52" i="7"/>
  <c r="F53" i="7"/>
  <c r="F54" i="7"/>
  <c r="F55" i="7"/>
  <c r="F56" i="7"/>
  <c r="F58" i="7"/>
  <c r="F59" i="7"/>
  <c r="F60" i="7"/>
  <c r="F61" i="7"/>
  <c r="F62" i="7"/>
  <c r="F66" i="7"/>
  <c r="F67" i="7"/>
  <c r="F68" i="7"/>
  <c r="F69" i="7"/>
  <c r="F70" i="7"/>
  <c r="F74" i="7"/>
  <c r="F75" i="7"/>
  <c r="F79" i="7"/>
  <c r="F80" i="7"/>
  <c r="F82" i="7"/>
  <c r="F83" i="7"/>
  <c r="F85" i="7"/>
  <c r="F87" i="7"/>
  <c r="F88" i="7"/>
  <c r="F89" i="7"/>
  <c r="F91" i="7"/>
  <c r="F92" i="7"/>
  <c r="F93" i="7"/>
  <c r="F94" i="7"/>
  <c r="F97" i="7"/>
  <c r="F98" i="7"/>
  <c r="F102" i="7"/>
  <c r="F103" i="7"/>
  <c r="F113" i="7"/>
  <c r="F115" i="7"/>
  <c r="F116" i="7"/>
  <c r="F117" i="7"/>
  <c r="F118" i="7"/>
  <c r="F122" i="7"/>
  <c r="F124" i="7"/>
  <c r="F129" i="7"/>
  <c r="F148" i="7"/>
  <c r="F149" i="7"/>
  <c r="F151" i="7"/>
  <c r="F152" i="7"/>
  <c r="F153" i="7"/>
  <c r="F154" i="7"/>
  <c r="F155" i="7"/>
  <c r="F156" i="7"/>
  <c r="F157" i="7"/>
  <c r="F158" i="7"/>
  <c r="F160" i="7"/>
  <c r="F161" i="7"/>
  <c r="F167" i="7"/>
  <c r="F168" i="7"/>
  <c r="F169" i="7"/>
  <c r="F171" i="7"/>
  <c r="F172" i="7"/>
  <c r="F174" i="7"/>
  <c r="F176" i="7"/>
  <c r="F177" i="7"/>
  <c r="F181" i="7"/>
  <c r="F182" i="7"/>
  <c r="F183" i="7"/>
  <c r="F184" i="7"/>
  <c r="F187" i="7"/>
  <c r="F188" i="7"/>
  <c r="F210" i="7"/>
  <c r="F212" i="7"/>
  <c r="F214" i="7"/>
  <c r="F215" i="7"/>
  <c r="F219" i="7"/>
  <c r="F220" i="7"/>
  <c r="F222" i="7"/>
  <c r="F223" i="7"/>
  <c r="F224" i="7"/>
  <c r="F225" i="7"/>
  <c r="F226" i="7"/>
  <c r="F227" i="7"/>
  <c r="F228" i="7"/>
  <c r="F229" i="7"/>
  <c r="F231" i="7"/>
  <c r="F232" i="7"/>
  <c r="F236" i="7"/>
  <c r="F237" i="7"/>
  <c r="F238" i="7"/>
  <c r="F240" i="7"/>
  <c r="F241" i="7"/>
  <c r="F243" i="7"/>
  <c r="F253" i="7"/>
  <c r="F260" i="7"/>
  <c r="F286" i="7"/>
  <c r="F289" i="7"/>
  <c r="F290" i="7"/>
  <c r="F295" i="7"/>
  <c r="F296" i="7"/>
  <c r="F301" i="7"/>
  <c r="F303" i="7"/>
  <c r="F304" i="7"/>
  <c r="F305" i="7"/>
  <c r="F306" i="7"/>
  <c r="F309" i="7"/>
  <c r="F310" i="7"/>
  <c r="F312" i="7"/>
  <c r="F313" i="7"/>
  <c r="F315" i="7"/>
  <c r="F316" i="7"/>
  <c r="F320" i="7"/>
  <c r="F330" i="7"/>
  <c r="F338" i="7"/>
  <c r="F340" i="7"/>
  <c r="F361" i="7"/>
  <c r="F365" i="7"/>
  <c r="F370" i="7"/>
  <c r="F375" i="7"/>
  <c r="F376" i="7"/>
  <c r="F377" i="7"/>
  <c r="F385" i="7"/>
  <c r="F386" i="7"/>
  <c r="F387" i="7"/>
  <c r="F389" i="7"/>
  <c r="F393" i="7"/>
  <c r="F395" i="7"/>
  <c r="F397" i="7"/>
  <c r="F407" i="7"/>
  <c r="F409" i="7"/>
  <c r="F411" i="7"/>
  <c r="F413" i="7"/>
  <c r="F415" i="7"/>
  <c r="F416" i="7"/>
  <c r="F417" i="7"/>
  <c r="F440" i="7"/>
  <c r="F442" i="7"/>
  <c r="F444" i="7"/>
  <c r="F446" i="7"/>
  <c r="F450" i="7"/>
  <c r="F452" i="7"/>
  <c r="F453" i="7"/>
  <c r="F460" i="7"/>
  <c r="F465" i="7"/>
  <c r="F466" i="7"/>
  <c r="F467" i="7"/>
  <c r="F468" i="7"/>
  <c r="F469" i="7"/>
  <c r="F470" i="7"/>
  <c r="F471" i="7"/>
  <c r="F473" i="7"/>
  <c r="F474" i="7"/>
  <c r="F491" i="7"/>
  <c r="F493" i="7"/>
  <c r="F494" i="7"/>
  <c r="F496" i="7"/>
  <c r="F500" i="7"/>
  <c r="F509" i="7"/>
  <c r="F521" i="7"/>
  <c r="F522" i="7"/>
  <c r="F523" i="7"/>
  <c r="F524" i="7"/>
  <c r="F525" i="7"/>
  <c r="F526" i="7"/>
  <c r="F527" i="7"/>
  <c r="F528" i="7"/>
  <c r="F529" i="7"/>
  <c r="F530" i="7"/>
  <c r="F531" i="7"/>
  <c r="F541" i="7"/>
  <c r="F542" i="7"/>
  <c r="F543" i="7"/>
  <c r="F544" i="7"/>
  <c r="F545" i="7"/>
  <c r="F546" i="7"/>
  <c r="F547" i="7"/>
  <c r="F548" i="7"/>
  <c r="F549" i="7"/>
  <c r="F551" i="7"/>
  <c r="F553" i="7"/>
  <c r="F554" i="7"/>
  <c r="F555" i="7"/>
  <c r="F557" i="7"/>
  <c r="F558" i="7"/>
  <c r="F559" i="7"/>
  <c r="F561" i="7"/>
  <c r="F562" i="7"/>
  <c r="F567" i="7"/>
  <c r="F568" i="7"/>
  <c r="F570" i="7"/>
  <c r="F572" i="7"/>
  <c r="F573" i="7"/>
  <c r="F574" i="7"/>
  <c r="F578" i="7"/>
  <c r="F580" i="7"/>
  <c r="F582" i="7"/>
  <c r="F586" i="7"/>
  <c r="F587" i="7"/>
  <c r="F588" i="7"/>
  <c r="F589" i="7"/>
  <c r="F590" i="7"/>
  <c r="F622" i="7"/>
  <c r="F623" i="7"/>
  <c r="F624" i="7"/>
  <c r="F625" i="7"/>
  <c r="F626" i="7"/>
  <c r="F627" i="7"/>
  <c r="F632" i="7"/>
  <c r="F633" i="7"/>
  <c r="F634" i="7"/>
  <c r="F636" i="7"/>
  <c r="F638" i="7"/>
  <c r="F640" i="7"/>
  <c r="F642" i="7"/>
  <c r="F643" i="7"/>
  <c r="F644" i="7"/>
  <c r="F645" i="7"/>
  <c r="F646" i="7"/>
  <c r="F647" i="7"/>
  <c r="F648" i="7"/>
  <c r="F649" i="7"/>
  <c r="F650" i="7"/>
  <c r="F651" i="7"/>
  <c r="F652" i="7"/>
  <c r="F653" i="7"/>
  <c r="F654" i="7"/>
  <c r="F655" i="7"/>
  <c r="F656" i="7"/>
  <c r="F657" i="7"/>
  <c r="F658" i="7"/>
  <c r="F664" i="7"/>
  <c r="F666" i="7"/>
  <c r="F674" i="7"/>
  <c r="F678" i="7"/>
  <c r="F682" i="7"/>
  <c r="F684" i="7"/>
  <c r="F685" i="7"/>
  <c r="F686" i="7"/>
  <c r="F687" i="7"/>
  <c r="F688" i="7"/>
  <c r="F689" i="7"/>
  <c r="F690" i="7"/>
  <c r="F691" i="7"/>
  <c r="F692" i="7"/>
  <c r="F693" i="7"/>
  <c r="F694" i="7"/>
  <c r="F697" i="7"/>
  <c r="F698" i="7"/>
  <c r="F702" i="7"/>
  <c r="F703" i="7"/>
  <c r="F704" i="7"/>
  <c r="F705" i="7"/>
  <c r="F706" i="7"/>
  <c r="F710" i="7"/>
  <c r="F712" i="7"/>
  <c r="F713" i="7"/>
  <c r="F714" i="7"/>
  <c r="F717" i="7"/>
  <c r="F725" i="7"/>
  <c r="F726" i="7"/>
  <c r="F727" i="7"/>
  <c r="F728" i="7"/>
  <c r="F731" i="7"/>
  <c r="F738" i="7"/>
  <c r="F739" i="7"/>
  <c r="F741" i="7"/>
  <c r="F742" i="7"/>
  <c r="F743" i="7"/>
  <c r="F744" i="7"/>
  <c r="F745" i="7"/>
  <c r="F746" i="7"/>
  <c r="F747" i="7"/>
  <c r="F748" i="7"/>
  <c r="F749" i="7"/>
  <c r="F750" i="7"/>
  <c r="F751" i="7"/>
  <c r="F752" i="7"/>
  <c r="F753" i="7"/>
  <c r="F754" i="7"/>
  <c r="F755" i="7"/>
  <c r="F756" i="7"/>
  <c r="F757" i="7"/>
  <c r="F758" i="7"/>
  <c r="F765" i="7"/>
  <c r="F766" i="7"/>
  <c r="F767" i="7"/>
  <c r="F768" i="7"/>
  <c r="F770" i="7"/>
  <c r="F771" i="7"/>
  <c r="F772" i="7"/>
  <c r="F773" i="7"/>
  <c r="F774" i="7"/>
  <c r="F775" i="7"/>
  <c r="F776" i="7"/>
  <c r="F777" i="7"/>
  <c r="F781" i="7"/>
  <c r="F782" i="7"/>
  <c r="F783" i="7"/>
  <c r="F795" i="7"/>
  <c r="F796" i="7"/>
  <c r="F797" i="7"/>
  <c r="F800" i="7"/>
  <c r="F801" i="7"/>
  <c r="F814" i="7"/>
  <c r="F815" i="7"/>
  <c r="F816" i="7"/>
  <c r="F817" i="7"/>
  <c r="F818" i="7"/>
  <c r="F819" i="7"/>
  <c r="F820" i="7"/>
  <c r="F821" i="7"/>
  <c r="F822" i="7"/>
  <c r="F823" i="7"/>
  <c r="F824" i="7"/>
  <c r="F835" i="7"/>
  <c r="F836" i="7"/>
  <c r="F837" i="7"/>
  <c r="F838" i="7"/>
  <c r="F839" i="7"/>
  <c r="F840" i="7"/>
  <c r="F842" i="7"/>
  <c r="F843" i="7"/>
  <c r="F844" i="7"/>
  <c r="F845" i="7"/>
  <c r="F858" i="7"/>
  <c r="F859" i="7"/>
  <c r="F860" i="7"/>
  <c r="F861" i="7"/>
  <c r="F874" i="7"/>
  <c r="F875" i="7"/>
  <c r="F876" i="7"/>
  <c r="F877" i="7"/>
  <c r="F878" i="7"/>
  <c r="F879" i="7"/>
  <c r="F880" i="7"/>
  <c r="F882" i="7"/>
  <c r="F883" i="7"/>
  <c r="F884" i="7"/>
  <c r="F885" i="7"/>
  <c r="F889" i="7"/>
  <c r="F891" i="7"/>
  <c r="F893" i="7"/>
  <c r="F899" i="7"/>
  <c r="F901" i="7"/>
  <c r="F903" i="7"/>
  <c r="F904" i="7"/>
  <c r="F906" i="7"/>
  <c r="F907" i="7"/>
  <c r="F912" i="7"/>
  <c r="F913" i="7"/>
  <c r="F918" i="7"/>
  <c r="F919" i="7"/>
  <c r="F930" i="7"/>
  <c r="F936" i="7"/>
  <c r="F937" i="7"/>
  <c r="F938" i="7"/>
  <c r="F943" i="7"/>
  <c r="F944" i="7"/>
  <c r="F945" i="7"/>
  <c r="F950" i="7"/>
  <c r="F956" i="7"/>
  <c r="F964" i="7"/>
  <c r="F965" i="7"/>
  <c r="F966" i="7"/>
  <c r="F970" i="7"/>
  <c r="F971" i="7"/>
  <c r="F980" i="7"/>
  <c r="F981" i="7"/>
  <c r="F986" i="7"/>
  <c r="F989" i="7"/>
  <c r="F992" i="7"/>
  <c r="F993" i="7"/>
  <c r="F994" i="7"/>
  <c r="F997" i="7"/>
  <c r="F998" i="7"/>
  <c r="F1003" i="7"/>
  <c r="F1004" i="7"/>
  <c r="F1012" i="7"/>
  <c r="F1022" i="7"/>
  <c r="F1023" i="7"/>
  <c r="F1024" i="7"/>
  <c r="F1029" i="7"/>
  <c r="F1030" i="7"/>
  <c r="F1031" i="7"/>
  <c r="F1033" i="7"/>
  <c r="F1036" i="7"/>
  <c r="F1037" i="7"/>
  <c r="F1043" i="7"/>
  <c r="F1044" i="7"/>
  <c r="F1045" i="7"/>
  <c r="F1046" i="7"/>
  <c r="F1051" i="7"/>
  <c r="F1052" i="7"/>
  <c r="F1053" i="7"/>
  <c r="F1054" i="7"/>
  <c r="F1055" i="7"/>
  <c r="F1056" i="7"/>
  <c r="F1057" i="7"/>
  <c r="F1058" i="7"/>
  <c r="F1059" i="7"/>
  <c r="F1060" i="7"/>
  <c r="F1061" i="7"/>
  <c r="F1062" i="7"/>
  <c r="F1064" i="7"/>
  <c r="F1066" i="7"/>
  <c r="F1067" i="7"/>
  <c r="F1068" i="7"/>
  <c r="F1069" i="7"/>
  <c r="F1070" i="7"/>
  <c r="F1071" i="7"/>
  <c r="F1073" i="7"/>
  <c r="F1074" i="7"/>
  <c r="F1075" i="7"/>
  <c r="F1078" i="7"/>
  <c r="F1085" i="7"/>
  <c r="F1089" i="7"/>
  <c r="F1090" i="7"/>
  <c r="F1098" i="7"/>
  <c r="F1099" i="7"/>
  <c r="F1108" i="7"/>
  <c r="F1119" i="7"/>
  <c r="F1120" i="7"/>
  <c r="F1121" i="7"/>
  <c r="F1122" i="7"/>
  <c r="F1123" i="7"/>
  <c r="F1126" i="7"/>
  <c r="F1127" i="7"/>
  <c r="F1128" i="7"/>
  <c r="F1129" i="7"/>
  <c r="F1133" i="7"/>
  <c r="F1139" i="7"/>
  <c r="F1140" i="7"/>
  <c r="F1141" i="7"/>
  <c r="F1146" i="7"/>
  <c r="F1148" i="7"/>
  <c r="F1152" i="7"/>
  <c r="F1154" i="7"/>
  <c r="F1156" i="7"/>
  <c r="F1157" i="7"/>
  <c r="F1158" i="7"/>
  <c r="F1159" i="7"/>
  <c r="F1160" i="7"/>
  <c r="F1161" i="7"/>
  <c r="F1162" i="7"/>
  <c r="F1163" i="7"/>
  <c r="F1164" i="7"/>
  <c r="F1165" i="7"/>
  <c r="F1167" i="7"/>
  <c r="F1168" i="7"/>
  <c r="F1171" i="7"/>
  <c r="F1177" i="7"/>
  <c r="F1182" i="7"/>
  <c r="F1191" i="7"/>
  <c r="F1193" i="7"/>
  <c r="F1199" i="7"/>
  <c r="F1201" i="7"/>
  <c r="F1203" i="7"/>
  <c r="F1205" i="7"/>
  <c r="F1207" i="7"/>
  <c r="F1209" i="7"/>
  <c r="F1210" i="7"/>
  <c r="F1212" i="7"/>
  <c r="F1214" i="7"/>
  <c r="F1218" i="7"/>
  <c r="F1247" i="7"/>
  <c r="F1250" i="7"/>
  <c r="F1261" i="7"/>
  <c r="F1264" i="7"/>
  <c r="F1267" i="7"/>
  <c r="F1284" i="7"/>
  <c r="F1286" i="7"/>
  <c r="F1301" i="7"/>
  <c r="F1308" i="7"/>
  <c r="F1309" i="7"/>
  <c r="F1310" i="7"/>
  <c r="F1311" i="7"/>
  <c r="F1319" i="7"/>
  <c r="F1322" i="7"/>
  <c r="F1323" i="7"/>
  <c r="F1324" i="7"/>
  <c r="F1326" i="7"/>
  <c r="F1330" i="7"/>
  <c r="F1331" i="7"/>
  <c r="F1334" i="7"/>
  <c r="F1335" i="7"/>
  <c r="F1336" i="7"/>
  <c r="F1337" i="7"/>
  <c r="F1362" i="7"/>
  <c r="F1365" i="7"/>
  <c r="F1367" i="7"/>
  <c r="F1370" i="7"/>
  <c r="F1371" i="7"/>
  <c r="F1383" i="7"/>
  <c r="F1384" i="7"/>
  <c r="F1385" i="7"/>
  <c r="F1386" i="7"/>
  <c r="F1387" i="7"/>
  <c r="F1388" i="7"/>
  <c r="F1391" i="7"/>
  <c r="F1392" i="7"/>
  <c r="F1396" i="7"/>
  <c r="F1397" i="7"/>
  <c r="F1403" i="7"/>
  <c r="F1404" i="7"/>
  <c r="F1406" i="7"/>
  <c r="F1409" i="7"/>
  <c r="F1413" i="7"/>
  <c r="F1415" i="7"/>
  <c r="F1416" i="7"/>
  <c r="F1419" i="7"/>
  <c r="F1420" i="7"/>
  <c r="F1421" i="7"/>
  <c r="F1423" i="7"/>
  <c r="F1424" i="7"/>
  <c r="F1425" i="7"/>
  <c r="F1434" i="7"/>
  <c r="F1435" i="7"/>
  <c r="F1436" i="7"/>
  <c r="F1441" i="7"/>
  <c r="F1442" i="7"/>
  <c r="F1443" i="7"/>
  <c r="F1444" i="7"/>
  <c r="F1445" i="7"/>
  <c r="F1446" i="7"/>
  <c r="F1447" i="7"/>
  <c r="F1448" i="7"/>
  <c r="F1449" i="7"/>
  <c r="F1451" i="7"/>
  <c r="F1463" i="7"/>
  <c r="F1464" i="7"/>
  <c r="F1465" i="7"/>
  <c r="F1482" i="7"/>
  <c r="F1483" i="7"/>
  <c r="F1493" i="7"/>
  <c r="F1494" i="7"/>
  <c r="F1495" i="7"/>
  <c r="F1496" i="7"/>
  <c r="F1497" i="7"/>
  <c r="F1500" i="7"/>
  <c r="F1501" i="7"/>
  <c r="F1502" i="7"/>
  <c r="F1503" i="7"/>
  <c r="F1504" i="7"/>
  <c r="F1505" i="7"/>
  <c r="F1510" i="7"/>
  <c r="F1513" i="7"/>
  <c r="F1514" i="7"/>
  <c r="F1515" i="7"/>
  <c r="F1518" i="7"/>
  <c r="F1524" i="7"/>
  <c r="F1525" i="7"/>
  <c r="F1526" i="7"/>
  <c r="F1527" i="7"/>
  <c r="F1529" i="7"/>
  <c r="F1532" i="7"/>
  <c r="F1533" i="7"/>
  <c r="F1558" i="7"/>
  <c r="F1559" i="7"/>
  <c r="F1560" i="7"/>
  <c r="F1568" i="7"/>
  <c r="F1569" i="7"/>
  <c r="F1572" i="7"/>
  <c r="F1576" i="7"/>
  <c r="F1579" i="7"/>
  <c r="F1581" i="7"/>
  <c r="F1582" i="7"/>
  <c r="F1583" i="7"/>
  <c r="F1584" i="7"/>
  <c r="F1587" i="7"/>
  <c r="F1595" i="7"/>
  <c r="F1596" i="7"/>
  <c r="F1599" i="7"/>
  <c r="F1600" i="7"/>
  <c r="F1603" i="7"/>
  <c r="F1607" i="7"/>
  <c r="F1608" i="7"/>
  <c r="F1609" i="7"/>
  <c r="F1610" i="7"/>
  <c r="F1616" i="7"/>
  <c r="F1619" i="7"/>
  <c r="F1624" i="7"/>
  <c r="F1632" i="7"/>
  <c r="F1639" i="7"/>
  <c r="F1656" i="7"/>
  <c r="F1657" i="7"/>
  <c r="F1660" i="7"/>
  <c r="F1661" i="7"/>
  <c r="F1662" i="7"/>
  <c r="F1663" i="7"/>
  <c r="F1664" i="7"/>
  <c r="F1665" i="7"/>
  <c r="F1676" i="7"/>
  <c r="F1677" i="7"/>
  <c r="F1680" i="7"/>
  <c r="F1690" i="7"/>
  <c r="F1717" i="7"/>
  <c r="F1721" i="7"/>
  <c r="F1725" i="7"/>
  <c r="F1730" i="7"/>
  <c r="F1731" i="7"/>
  <c r="F1754" i="7"/>
  <c r="F1755" i="7"/>
  <c r="F1761" i="7"/>
  <c r="F1766" i="7"/>
  <c r="F1799" i="7"/>
  <c r="F1805" i="7"/>
  <c r="F1806" i="7"/>
  <c r="F1807" i="7"/>
  <c r="F1808" i="7"/>
  <c r="F1821" i="7"/>
  <c r="F1837" i="7"/>
  <c r="F1838" i="7"/>
  <c r="F1839" i="7"/>
  <c r="F1840" i="7"/>
  <c r="F1858" i="7"/>
  <c r="F1859" i="7"/>
  <c r="F1860" i="7"/>
  <c r="F1861" i="7"/>
  <c r="F1862" i="7"/>
  <c r="F1863" i="7"/>
  <c r="F1869" i="7"/>
  <c r="F1884" i="7"/>
  <c r="F1885" i="7"/>
  <c r="F1892" i="7"/>
  <c r="F1893" i="7"/>
  <c r="F1894" i="7"/>
  <c r="F1895" i="7"/>
  <c r="F1896" i="7"/>
  <c r="F1905" i="7"/>
  <c r="F1939" i="7"/>
  <c r="F1940" i="7"/>
  <c r="F1941" i="7"/>
  <c r="F1956" i="7"/>
  <c r="F1957" i="7"/>
  <c r="F1958" i="7"/>
  <c r="F1970" i="7"/>
  <c r="F1971" i="7"/>
  <c r="F1990" i="7"/>
  <c r="F1997" i="7"/>
  <c r="F1998" i="7"/>
  <c r="F1999" i="7"/>
  <c r="F2000" i="7"/>
  <c r="F2003" i="7"/>
  <c r="F2004" i="7"/>
  <c r="F2007" i="7"/>
  <c r="F2008" i="7"/>
  <c r="F2009" i="7"/>
  <c r="F2010" i="7"/>
  <c r="F2011" i="7"/>
  <c r="F2012" i="7"/>
  <c r="F2013" i="7"/>
  <c r="F2014" i="7"/>
  <c r="F2015" i="7"/>
  <c r="F2023" i="7"/>
  <c r="F2024" i="7"/>
  <c r="F2025" i="7"/>
  <c r="F2030" i="7"/>
  <c r="F2031" i="7"/>
  <c r="F2032" i="7"/>
  <c r="F2033" i="7"/>
  <c r="F2043" i="7"/>
  <c r="F2044" i="7"/>
  <c r="F2045" i="7"/>
  <c r="F2046" i="7"/>
  <c r="F2047" i="7"/>
  <c r="F2064" i="7"/>
  <c r="F2138" i="7"/>
  <c r="F2141" i="7"/>
  <c r="F2145" i="7"/>
  <c r="F2169" i="7"/>
  <c r="F2170" i="7"/>
  <c r="F2175" i="7"/>
  <c r="F2176" i="7"/>
  <c r="F2177" i="7"/>
  <c r="F2178" i="7"/>
  <c r="F2179" i="7"/>
  <c r="F2180" i="7"/>
  <c r="F2181" i="7"/>
  <c r="F2184" i="7"/>
  <c r="F2186" i="7"/>
  <c r="F2193" i="7"/>
  <c r="F2197" i="7"/>
  <c r="F2198" i="7"/>
  <c r="F2207" i="7"/>
  <c r="F2208" i="7"/>
  <c r="F2210" i="7"/>
  <c r="F2211" i="7"/>
  <c r="F2221" i="7"/>
  <c r="F2222" i="7"/>
  <c r="F2230" i="7"/>
  <c r="F2241" i="7"/>
  <c r="F2273" i="7"/>
  <c r="F2274" i="7"/>
  <c r="F2275" i="7"/>
  <c r="F2282" i="7"/>
  <c r="F2283" i="7"/>
  <c r="F2293" i="7"/>
  <c r="F2297" i="7"/>
  <c r="F2298" i="7"/>
  <c r="F2305" i="7"/>
  <c r="F2306" i="7"/>
  <c r="F2309" i="7"/>
  <c r="F2310" i="7"/>
  <c r="F2311" i="7"/>
  <c r="F2328" i="7"/>
  <c r="F2337" i="7"/>
  <c r="F2347" i="7"/>
  <c r="F2352" i="7"/>
  <c r="F2353" i="7"/>
  <c r="F2357" i="7"/>
  <c r="F2358" i="7"/>
  <c r="F2359" i="7"/>
  <c r="F2360" i="7"/>
  <c r="F2430" i="7"/>
  <c r="F2454" i="7"/>
  <c r="F2469" i="7"/>
  <c r="F2476" i="7"/>
  <c r="F2477" i="7"/>
  <c r="F2478" i="7"/>
  <c r="F2479" i="7"/>
  <c r="F2480" i="7"/>
  <c r="F2481" i="7"/>
  <c r="F2491" i="7"/>
  <c r="F2494" i="7"/>
  <c r="F2495" i="7"/>
  <c r="F2498" i="7"/>
  <c r="F2514" i="7"/>
  <c r="F2612" i="7"/>
  <c r="F2613" i="7"/>
  <c r="F2622" i="7"/>
  <c r="F2678" i="7"/>
  <c r="F2679" i="7"/>
  <c r="F2682" i="7"/>
  <c r="F2705" i="7"/>
  <c r="F2722" i="7"/>
  <c r="F2751" i="7"/>
  <c r="F2752" i="7"/>
  <c r="F2760" i="7"/>
  <c r="F2784" i="7"/>
  <c r="F2818" i="7"/>
  <c r="F2819" i="7"/>
  <c r="F2822" i="7"/>
  <c r="F2833" i="7"/>
  <c r="F2834" i="7"/>
  <c r="F2947" i="7"/>
  <c r="F2948" i="7"/>
  <c r="F2983" i="7"/>
  <c r="F2984" i="7"/>
  <c r="F2993" i="7"/>
  <c r="F2994" i="7"/>
  <c r="F2995" i="7"/>
  <c r="F2996" i="7"/>
  <c r="F2997" i="7"/>
  <c r="F2998" i="7"/>
  <c r="F3040" i="7"/>
  <c r="F3115" i="7"/>
  <c r="F3159" i="7"/>
  <c r="F3174" i="7"/>
  <c r="F3381" i="7"/>
  <c r="F3427" i="7"/>
  <c r="F3449" i="7"/>
  <c r="F3453" i="7"/>
  <c r="F3454" i="7"/>
  <c r="F3455" i="7"/>
  <c r="F3456" i="7"/>
  <c r="F3457" i="7"/>
  <c r="F3458" i="7"/>
  <c r="F3462" i="7"/>
  <c r="F3463" i="7"/>
  <c r="F3464" i="7"/>
  <c r="F3659" i="7"/>
  <c r="F3803" i="7"/>
  <c r="F3930" i="7"/>
  <c r="F3949" i="7"/>
  <c r="F3953" i="7"/>
  <c r="F3957" i="7"/>
  <c r="F3962" i="7"/>
  <c r="F3963" i="7"/>
  <c r="F3987" i="7"/>
  <c r="F3988" i="7"/>
  <c r="F3993" i="7"/>
  <c r="F3994" i="7"/>
  <c r="F4000" i="7"/>
  <c r="F4015" i="7"/>
  <c r="F4018" i="7"/>
  <c r="F4019" i="7"/>
  <c r="F4024" i="7"/>
  <c r="F4025" i="7"/>
  <c r="F4036" i="7"/>
  <c r="F4044" i="7"/>
  <c r="F4045" i="7"/>
  <c r="F4060" i="7"/>
  <c r="F4084" i="7"/>
  <c r="F4087" i="7"/>
  <c r="F4088" i="7"/>
  <c r="F4091" i="7"/>
  <c r="F4092" i="7"/>
  <c r="F4093" i="7"/>
  <c r="F4094" i="7"/>
  <c r="F4097" i="7"/>
  <c r="F4100" i="7"/>
  <c r="F4116" i="7"/>
  <c r="F4121" i="7"/>
  <c r="F4127" i="7"/>
  <c r="F4130" i="7"/>
  <c r="F4137" i="7"/>
  <c r="F4139" i="7"/>
  <c r="F4140" i="7"/>
  <c r="F4142" i="7"/>
  <c r="F4143" i="7"/>
  <c r="F4144" i="7"/>
  <c r="F4148" i="7"/>
  <c r="F4149" i="7"/>
  <c r="F4150" i="7"/>
  <c r="F4151" i="7"/>
  <c r="F4156" i="7"/>
  <c r="F4170" i="7"/>
  <c r="F4171" i="7"/>
  <c r="F4172" i="7"/>
  <c r="F4185" i="7"/>
  <c r="F4189" i="7"/>
  <c r="F4203" i="7"/>
  <c r="F4208" i="7"/>
  <c r="F4212" i="7"/>
  <c r="F4213" i="7"/>
  <c r="F4226" i="7"/>
  <c r="F4227" i="7"/>
  <c r="F4233" i="7"/>
  <c r="F4234" i="7"/>
  <c r="F4254" i="7"/>
  <c r="F4260" i="7"/>
  <c r="F4275" i="7"/>
  <c r="F4276" i="7"/>
  <c r="F4279" i="7"/>
  <c r="F4281" i="7"/>
  <c r="F4316" i="7"/>
  <c r="F4320" i="7"/>
  <c r="F4321" i="7"/>
  <c r="F4327" i="7"/>
  <c r="F4332" i="7"/>
  <c r="F4333" i="7"/>
  <c r="F4347" i="7"/>
  <c r="F4349" i="7"/>
  <c r="F4444" i="7"/>
  <c r="F4445" i="7"/>
  <c r="F4446" i="7"/>
  <c r="F4458" i="7"/>
  <c r="F4459" i="7"/>
  <c r="F4475" i="7"/>
  <c r="F4479" i="7"/>
  <c r="F4499" i="7"/>
  <c r="F4500" i="7"/>
  <c r="F4501" i="7"/>
  <c r="F4502" i="7"/>
  <c r="F4508" i="7"/>
  <c r="F4516" i="7"/>
  <c r="F4520" i="7"/>
  <c r="F4522" i="7"/>
  <c r="F4525" i="7"/>
  <c r="F4576" i="7"/>
  <c r="F4577" i="7"/>
  <c r="F4578" i="7"/>
  <c r="F4579" i="7"/>
  <c r="F4580" i="7"/>
  <c r="F4582" i="7"/>
  <c r="F4583" i="7"/>
  <c r="F4584" i="7"/>
  <c r="F4604" i="7"/>
  <c r="F4605" i="7"/>
  <c r="F4606" i="7"/>
  <c r="F4609" i="7"/>
  <c r="F4610" i="7"/>
  <c r="F4619" i="7"/>
  <c r="F4620" i="7"/>
  <c r="F4621" i="7"/>
  <c r="F4630" i="7"/>
  <c r="F4631" i="7"/>
  <c r="F4634" i="7"/>
  <c r="F4635" i="7"/>
  <c r="F4643" i="7"/>
  <c r="F4691" i="7"/>
  <c r="F4692" i="7"/>
  <c r="F4693" i="7"/>
  <c r="F4754" i="7"/>
  <c r="F4785" i="7"/>
  <c r="F4786" i="7"/>
  <c r="F4787" i="7"/>
  <c r="F4788" i="7"/>
  <c r="F4789" i="7"/>
  <c r="F4790" i="7"/>
  <c r="F4797" i="7"/>
  <c r="F4798" i="7"/>
  <c r="F4799" i="7"/>
  <c r="F4800" i="7"/>
  <c r="F4811" i="7"/>
  <c r="F4814" i="7"/>
  <c r="F4815" i="7"/>
  <c r="F4817" i="7"/>
  <c r="F4826" i="7"/>
  <c r="F4830" i="7"/>
  <c r="F4832" i="7"/>
  <c r="F4833" i="7"/>
  <c r="F4834" i="7"/>
  <c r="F4840" i="7"/>
  <c r="F4841" i="7"/>
  <c r="F4842" i="7"/>
  <c r="F4847" i="7"/>
  <c r="F4848" i="7"/>
  <c r="F4849" i="7"/>
  <c r="F4850" i="7"/>
  <c r="F4857" i="7"/>
  <c r="F4858" i="7"/>
  <c r="F4861" i="7"/>
  <c r="F4862" i="7"/>
  <c r="F4870" i="7"/>
  <c r="F4881" i="7"/>
  <c r="F4882" i="7"/>
  <c r="F4883" i="7"/>
  <c r="F4889" i="7"/>
  <c r="F4893" i="7"/>
  <c r="F4916" i="7"/>
  <c r="F4917" i="7"/>
  <c r="F4930" i="7"/>
  <c r="F4931" i="7"/>
  <c r="F4932" i="7"/>
  <c r="F4933" i="7"/>
  <c r="F4934" i="7"/>
  <c r="F4935" i="7"/>
  <c r="F4936" i="7"/>
  <c r="F4937" i="7"/>
  <c r="F4939" i="7"/>
  <c r="F4953" i="7"/>
  <c r="F4954" i="7"/>
  <c r="F4959" i="7"/>
  <c r="F4962" i="7"/>
  <c r="F4963" i="7"/>
  <c r="F4970" i="7"/>
  <c r="F4973" i="7"/>
  <c r="F4976" i="7"/>
  <c r="F4977" i="7"/>
  <c r="F4978" i="7"/>
  <c r="F4985" i="7"/>
  <c r="F4986" i="7"/>
  <c r="F4989" i="7"/>
  <c r="F4990" i="7"/>
  <c r="F4991" i="7"/>
  <c r="F4992" i="7"/>
  <c r="F5008" i="7"/>
  <c r="F5010" i="7"/>
  <c r="F5012" i="7"/>
  <c r="F5013" i="7"/>
  <c r="F5016" i="7"/>
  <c r="F5022" i="7"/>
  <c r="F5023" i="7"/>
  <c r="F5025" i="7"/>
  <c r="F5028" i="7"/>
  <c r="F5029" i="7"/>
  <c r="F5031" i="7"/>
  <c r="F5035" i="7"/>
  <c r="F5036" i="7"/>
  <c r="F5059" i="7"/>
  <c r="F5060" i="7"/>
  <c r="F5061" i="7"/>
  <c r="F5062" i="7"/>
  <c r="F5063" i="7"/>
  <c r="F5064" i="7"/>
  <c r="F5091" i="7"/>
  <c r="F5096" i="7"/>
  <c r="F5099" i="7"/>
  <c r="F5100" i="7"/>
  <c r="F5101" i="7"/>
  <c r="F5102" i="7"/>
  <c r="F5121" i="7"/>
  <c r="F5122" i="7"/>
  <c r="F5123" i="7"/>
  <c r="F5124" i="7"/>
  <c r="F5131" i="7"/>
  <c r="F5134" i="7"/>
  <c r="F5135" i="7"/>
  <c r="F5138" i="7"/>
  <c r="F5139" i="7"/>
  <c r="F5140" i="7"/>
  <c r="F5141" i="7"/>
  <c r="F5142" i="7"/>
  <c r="F5143" i="7"/>
  <c r="F5144" i="7"/>
  <c r="F5145" i="7"/>
  <c r="F5146" i="7"/>
  <c r="F5147" i="7"/>
  <c r="F5150" i="7"/>
  <c r="F5159" i="7"/>
  <c r="F5169" i="7"/>
  <c r="F5171" i="7"/>
  <c r="F5174" i="7"/>
  <c r="F5175" i="7"/>
  <c r="F5176" i="7"/>
  <c r="F5177" i="7"/>
  <c r="F5178" i="7"/>
  <c r="F5179" i="7"/>
  <c r="F5180" i="7"/>
  <c r="F5186" i="7"/>
  <c r="F5188" i="7"/>
  <c r="F5190" i="7"/>
  <c r="F5192" i="7"/>
  <c r="F5194" i="7"/>
  <c r="F5195" i="7"/>
  <c r="F5197" i="7"/>
  <c r="F5198" i="7"/>
  <c r="F5199" i="7"/>
  <c r="F5200" i="7"/>
  <c r="F5204" i="7"/>
  <c r="F5205" i="7"/>
  <c r="F5211" i="7"/>
  <c r="F5212" i="7"/>
  <c r="F5213" i="7"/>
  <c r="F5214" i="7"/>
  <c r="F5215" i="7"/>
  <c r="F5235" i="7"/>
  <c r="F5236" i="7"/>
  <c r="F5237" i="7"/>
  <c r="F5249" i="7"/>
  <c r="F5263" i="7"/>
  <c r="F5266" i="7"/>
  <c r="F5268" i="7"/>
  <c r="F5280" i="7"/>
  <c r="F5281" i="7"/>
  <c r="F5282" i="7"/>
  <c r="F5283" i="7"/>
  <c r="F5285" i="7"/>
  <c r="F5286" i="7"/>
  <c r="F5289" i="7"/>
  <c r="F5290" i="7"/>
  <c r="F5291" i="7"/>
  <c r="F5293" i="7"/>
  <c r="F5296" i="7"/>
  <c r="F5297" i="7"/>
  <c r="F5299" i="7"/>
  <c r="F5300" i="7"/>
  <c r="F5301" i="7"/>
  <c r="F5302" i="7"/>
  <c r="F5303" i="7"/>
  <c r="F5304" i="7"/>
  <c r="F5305" i="7"/>
  <c r="F5306" i="7"/>
  <c r="F5307" i="7"/>
  <c r="F5308" i="7"/>
  <c r="F5309" i="7"/>
  <c r="F5310" i="7"/>
  <c r="F5313" i="7"/>
  <c r="F5314" i="7"/>
  <c r="F5315" i="7"/>
  <c r="F5316" i="7"/>
  <c r="F5317" i="7"/>
  <c r="F5318" i="7"/>
  <c r="F5319" i="7"/>
  <c r="F5320" i="7"/>
  <c r="F5322" i="7"/>
  <c r="F5323" i="7"/>
  <c r="F5325" i="7"/>
  <c r="F5326" i="7"/>
  <c r="F5327" i="7"/>
  <c r="F5334" i="7"/>
  <c r="F5374" i="7"/>
  <c r="F5375" i="7"/>
  <c r="F5376" i="7"/>
  <c r="F5377" i="7"/>
  <c r="F5382" i="7"/>
  <c r="F5384" i="7"/>
  <c r="F5385" i="7"/>
  <c r="F5389" i="7"/>
  <c r="F5390" i="7"/>
  <c r="F5391" i="7"/>
  <c r="F5394" i="7"/>
  <c r="F5402" i="7"/>
  <c r="F5403" i="7"/>
  <c r="F5404" i="7"/>
  <c r="F5405" i="7"/>
  <c r="F5409" i="7"/>
  <c r="F5410" i="7"/>
  <c r="F5411" i="7"/>
  <c r="F5465" i="7"/>
  <c r="F5467" i="7"/>
  <c r="F5469" i="7"/>
  <c r="F5470" i="7"/>
  <c r="F5473" i="7"/>
  <c r="F5476" i="7"/>
  <c r="F5478" i="7"/>
  <c r="F5479" i="7"/>
  <c r="F5489" i="7"/>
  <c r="F5492" i="7"/>
  <c r="F5493" i="7"/>
  <c r="F5494" i="7"/>
  <c r="F5495" i="7"/>
  <c r="F5496" i="7"/>
  <c r="F5497" i="7"/>
  <c r="F5502" i="7"/>
  <c r="F5503" i="7"/>
  <c r="F5511" i="7"/>
  <c r="F5512" i="7"/>
  <c r="F5514" i="7"/>
  <c r="F5518" i="7"/>
  <c r="F5519" i="7"/>
  <c r="F5520" i="7"/>
  <c r="F5526" i="7"/>
  <c r="F5527" i="7"/>
  <c r="F5534" i="7"/>
  <c r="F5547" i="7"/>
  <c r="F5550" i="7"/>
  <c r="F5551" i="7"/>
  <c r="F5552" i="7"/>
  <c r="F5553" i="7"/>
  <c r="F5554" i="7"/>
  <c r="F5555" i="7"/>
  <c r="F5556" i="7"/>
  <c r="F5557" i="7"/>
  <c r="F5558" i="7"/>
  <c r="F5559" i="7"/>
  <c r="F5561" i="7"/>
  <c r="F5562" i="7"/>
  <c r="F5566" i="7"/>
  <c r="F5567" i="7"/>
  <c r="F5575" i="7"/>
  <c r="F5576" i="7"/>
  <c r="F5578" i="7"/>
  <c r="F5582" i="7"/>
  <c r="F5586" i="7"/>
  <c r="F5594" i="7"/>
  <c r="F5602" i="7"/>
  <c r="F5603" i="7"/>
  <c r="F5604" i="7"/>
  <c r="F5618" i="7"/>
  <c r="F5666" i="7"/>
  <c r="F5670" i="7"/>
  <c r="F5674" i="7"/>
  <c r="F5678" i="7"/>
  <c r="F5682" i="7"/>
  <c r="F5687" i="7"/>
  <c r="F5689" i="7"/>
  <c r="F5690" i="7"/>
  <c r="F5692" i="7"/>
  <c r="F5693" i="7"/>
  <c r="F5695" i="7"/>
  <c r="F5696" i="7"/>
  <c r="F5700" i="7"/>
  <c r="F5701" i="7"/>
  <c r="F5703" i="7"/>
  <c r="F5704" i="7"/>
  <c r="F5707" i="7"/>
  <c r="F5710" i="7"/>
  <c r="F5712" i="7"/>
  <c r="F5713" i="7"/>
  <c r="F5716" i="7"/>
  <c r="F5719" i="7"/>
  <c r="F5721" i="7"/>
  <c r="F5725" i="7"/>
  <c r="F5727" i="7"/>
  <c r="F5728" i="7"/>
  <c r="F5732" i="7"/>
  <c r="F5733" i="7"/>
  <c r="F5735" i="7"/>
  <c r="F5736" i="7"/>
  <c r="F5737" i="7"/>
  <c r="F5738" i="7"/>
  <c r="F5739" i="7"/>
  <c r="F5740" i="7"/>
  <c r="F5741" i="7"/>
  <c r="F5742" i="7"/>
  <c r="F5743" i="7"/>
  <c r="F5744" i="7"/>
  <c r="F5745" i="7"/>
  <c r="F5746" i="7"/>
  <c r="F5752" i="7"/>
  <c r="F5753" i="7"/>
  <c r="F5755" i="7"/>
  <c r="F5766" i="7"/>
  <c r="F5767" i="7"/>
  <c r="F5772" i="7"/>
  <c r="F5773" i="7"/>
  <c r="F5774" i="7"/>
  <c r="F5775" i="7"/>
  <c r="F5776" i="7"/>
  <c r="F5777" i="7"/>
  <c r="F5778" i="7"/>
  <c r="F5781" i="7"/>
  <c r="F5789" i="7"/>
  <c r="F5802" i="7"/>
  <c r="F5803" i="7"/>
  <c r="F5804" i="7"/>
  <c r="F5815" i="7"/>
  <c r="F5816" i="7"/>
  <c r="F5819" i="7"/>
  <c r="F5820" i="7"/>
  <c r="F5824" i="7"/>
  <c r="F5825" i="7"/>
  <c r="F5826" i="7"/>
  <c r="F5827" i="7"/>
  <c r="F5828" i="7"/>
  <c r="F5829" i="7"/>
  <c r="F5834" i="7"/>
  <c r="F5842" i="7"/>
  <c r="F5844" i="7"/>
  <c r="F5845" i="7"/>
  <c r="F5846" i="7"/>
  <c r="F5847" i="7"/>
  <c r="F5848" i="7"/>
  <c r="F5851" i="7"/>
  <c r="F5852" i="7"/>
  <c r="F5854" i="7"/>
  <c r="F5855" i="7"/>
  <c r="F5856" i="7"/>
  <c r="F5857" i="7"/>
  <c r="F5858" i="7"/>
  <c r="F5859" i="7"/>
  <c r="F5860" i="7"/>
  <c r="F5861" i="7"/>
  <c r="F5862" i="7"/>
  <c r="F5863" i="7"/>
  <c r="F5864" i="7"/>
  <c r="F5865" i="7"/>
  <c r="F5866" i="7"/>
  <c r="F5868" i="7"/>
  <c r="F5869" i="7"/>
  <c r="F5870" i="7"/>
  <c r="F5871" i="7"/>
  <c r="F5872" i="7"/>
  <c r="F5873" i="7"/>
  <c r="F5874" i="7"/>
  <c r="F5875" i="7"/>
  <c r="F5876" i="7"/>
  <c r="F5877" i="7"/>
  <c r="F5878" i="7"/>
  <c r="F5879" i="7"/>
  <c r="F5880" i="7"/>
  <c r="F5884" i="7"/>
  <c r="F5889" i="7"/>
  <c r="F5890" i="7"/>
  <c r="F5894" i="7"/>
  <c r="F5897" i="7"/>
  <c r="F5898" i="7"/>
  <c r="F5899" i="7"/>
  <c r="F5900" i="7"/>
  <c r="F5901" i="7"/>
  <c r="F5902" i="7"/>
  <c r="F5904" i="7"/>
  <c r="F5905" i="7"/>
  <c r="F5906" i="7"/>
  <c r="F5909" i="7"/>
  <c r="F5910" i="7"/>
  <c r="F5911" i="7"/>
  <c r="F5912" i="7"/>
  <c r="F5913" i="7"/>
  <c r="F5914" i="7"/>
  <c r="F5918" i="7"/>
  <c r="F5921" i="7"/>
  <c r="F5924" i="7"/>
  <c r="F5925" i="7"/>
  <c r="F5926" i="7"/>
  <c r="F5929" i="7"/>
  <c r="F5932" i="7"/>
  <c r="F5933" i="7"/>
  <c r="F5934" i="7"/>
  <c r="F5935" i="7"/>
  <c r="F5936" i="7"/>
  <c r="F5943" i="7"/>
  <c r="F5944" i="7"/>
  <c r="F5948" i="7"/>
  <c r="F5963" i="7"/>
  <c r="F5964" i="7"/>
  <c r="F5971" i="7"/>
  <c r="F5972" i="7"/>
  <c r="F5976" i="7"/>
  <c r="F5979" i="7"/>
  <c r="F5983" i="7"/>
  <c r="F5984" i="7"/>
  <c r="F5985" i="7"/>
  <c r="F5986" i="7"/>
  <c r="F5987" i="7"/>
  <c r="F5988" i="7"/>
  <c r="F5989" i="7"/>
  <c r="F5990" i="7"/>
  <c r="F5991" i="7"/>
  <c r="F5992" i="7"/>
  <c r="F5993" i="7"/>
  <c r="F5994" i="7"/>
  <c r="F5995" i="7"/>
  <c r="F5996" i="7"/>
  <c r="F5997" i="7"/>
  <c r="F5998" i="7"/>
  <c r="F5999" i="7"/>
  <c r="F6000" i="7"/>
  <c r="F6001" i="7"/>
  <c r="F6002" i="7"/>
  <c r="F6009" i="7"/>
  <c r="F6012" i="7"/>
  <c r="F6013" i="7"/>
  <c r="F6014" i="7"/>
  <c r="F6015" i="7"/>
  <c r="F6065" i="7"/>
  <c r="F6066" i="7"/>
  <c r="F6067" i="7"/>
  <c r="F6068" i="7"/>
  <c r="F6075" i="7"/>
  <c r="F6076" i="7"/>
  <c r="F6077" i="7"/>
  <c r="F6083" i="7"/>
  <c r="F6086" i="7"/>
  <c r="F6087" i="7"/>
  <c r="F6088" i="7"/>
  <c r="F6089" i="7"/>
  <c r="F6090" i="7"/>
  <c r="F6091" i="7"/>
  <c r="F6095" i="7"/>
  <c r="F6096" i="7"/>
  <c r="F6097" i="7"/>
  <c r="F6098" i="7"/>
  <c r="F6099" i="7"/>
  <c r="F6100" i="7"/>
  <c r="F6101" i="7"/>
  <c r="F6103" i="7"/>
  <c r="F6105" i="7"/>
  <c r="F6108" i="7"/>
  <c r="F6109" i="7"/>
  <c r="F6110" i="7"/>
  <c r="F6113" i="7"/>
  <c r="F6114" i="7"/>
  <c r="F6115" i="7"/>
  <c r="F6116" i="7"/>
  <c r="F6117" i="7"/>
  <c r="F6118" i="7"/>
  <c r="F6120" i="7"/>
  <c r="F6125" i="7"/>
  <c r="F6135" i="7"/>
  <c r="F6136" i="7"/>
  <c r="F6137" i="7"/>
  <c r="F6139" i="7"/>
  <c r="F6140" i="7"/>
  <c r="F6141" i="7"/>
  <c r="F6142" i="7"/>
  <c r="F6144" i="7"/>
  <c r="F6145" i="7"/>
  <c r="F6146" i="7"/>
  <c r="F6147" i="7"/>
  <c r="F6150" i="7"/>
  <c r="F6153" i="7"/>
  <c r="F6154" i="7"/>
  <c r="F6155" i="7"/>
  <c r="F6156" i="7"/>
  <c r="F6157" i="7"/>
  <c r="F6158" i="7"/>
  <c r="F6159" i="7"/>
  <c r="F6162" i="7"/>
  <c r="F6163" i="7"/>
  <c r="F6174" i="7"/>
  <c r="F6178" i="7"/>
  <c r="F6179" i="7"/>
  <c r="F6180" i="7"/>
  <c r="F6181" i="7"/>
  <c r="F6182" i="7"/>
  <c r="F6183" i="7"/>
  <c r="F6190" i="7"/>
  <c r="F6191" i="7"/>
  <c r="F6192" i="7"/>
  <c r="F6193" i="7"/>
  <c r="F6194" i="7"/>
  <c r="F6215" i="7"/>
  <c r="F6216" i="7"/>
  <c r="F6217" i="7"/>
  <c r="F6218" i="7"/>
  <c r="F6219" i="7"/>
  <c r="F6220" i="7"/>
  <c r="F6221" i="7"/>
  <c r="F6222" i="7"/>
  <c r="F6223" i="7"/>
  <c r="F6224" i="7"/>
  <c r="F6225" i="7"/>
  <c r="F6226" i="7"/>
  <c r="F6229" i="7"/>
  <c r="F6230" i="7"/>
  <c r="F6231" i="7"/>
  <c r="F6232" i="7"/>
  <c r="F6233" i="7"/>
  <c r="F6234" i="7"/>
  <c r="F6235" i="7"/>
  <c r="F6236" i="7"/>
  <c r="F6237" i="7"/>
  <c r="F6238" i="7"/>
  <c r="F6239" i="7"/>
  <c r="F6240" i="7"/>
  <c r="F6241" i="7"/>
  <c r="F6242" i="7"/>
  <c r="F6243" i="7"/>
  <c r="F6244" i="7"/>
  <c r="F6247" i="7"/>
  <c r="F6248" i="7"/>
  <c r="F6249" i="7"/>
  <c r="F6250" i="7"/>
  <c r="F6254" i="7"/>
  <c r="F6255" i="7"/>
  <c r="F6258" i="7"/>
  <c r="F6259" i="7"/>
  <c r="F6260" i="7"/>
  <c r="F6261" i="7"/>
  <c r="F6262" i="7"/>
  <c r="F6263" i="7"/>
  <c r="F6264" i="7"/>
  <c r="F6265" i="7"/>
  <c r="F6266" i="7"/>
  <c r="F6270" i="7"/>
  <c r="F6271" i="7"/>
  <c r="F6274" i="7"/>
  <c r="F6275" i="7"/>
  <c r="F6276" i="7"/>
  <c r="F6277" i="7"/>
  <c r="F6278" i="7"/>
  <c r="F6279" i="7"/>
  <c r="F6280" i="7"/>
  <c r="F6281" i="7"/>
  <c r="F6282" i="7"/>
  <c r="F6283" i="7"/>
  <c r="F6284" i="7"/>
  <c r="F6285" i="7"/>
  <c r="F6286" i="7"/>
  <c r="F6287" i="7"/>
  <c r="F6288" i="7"/>
  <c r="F6289" i="7"/>
  <c r="F6290" i="7"/>
  <c r="F6291" i="7"/>
  <c r="F6292" i="7"/>
  <c r="F6293" i="7"/>
  <c r="F6294" i="7"/>
  <c r="F6295" i="7"/>
  <c r="F6296" i="7"/>
  <c r="F6297" i="7"/>
  <c r="F6298" i="7"/>
  <c r="F6299" i="7"/>
  <c r="F6300" i="7"/>
  <c r="F6301" i="7"/>
  <c r="F6302" i="7"/>
  <c r="F6303" i="7"/>
  <c r="F6306" i="7"/>
  <c r="F6307" i="7"/>
  <c r="F6308" i="7"/>
  <c r="F6309" i="7"/>
  <c r="F6310" i="7"/>
  <c r="F6311" i="7"/>
  <c r="F6312" i="7"/>
  <c r="F6313" i="7"/>
  <c r="F6314" i="7"/>
  <c r="F6315" i="7"/>
  <c r="F6316" i="7"/>
  <c r="F6317" i="7"/>
  <c r="F6318" i="7"/>
  <c r="F6319" i="7"/>
  <c r="F6320" i="7"/>
  <c r="F6321" i="7"/>
  <c r="F6322" i="7"/>
  <c r="F6323" i="7"/>
  <c r="F6324" i="7"/>
  <c r="F6325" i="7"/>
  <c r="F6326" i="7"/>
  <c r="F6329" i="7"/>
  <c r="F6330" i="7"/>
  <c r="F6331" i="7"/>
  <c r="F6332" i="7"/>
  <c r="F6333" i="7"/>
  <c r="F6334" i="7"/>
  <c r="F6335" i="7"/>
  <c r="F6336" i="7"/>
  <c r="F6338" i="7"/>
  <c r="F6339" i="7"/>
  <c r="F6362" i="7"/>
  <c r="F6363" i="7"/>
  <c r="F6364" i="7"/>
  <c r="F6365" i="7"/>
  <c r="F6367" i="7"/>
  <c r="F6368" i="7"/>
  <c r="F6369" i="7"/>
  <c r="F6370" i="7"/>
  <c r="F6374" i="7"/>
  <c r="F6375" i="7"/>
  <c r="F6376" i="7"/>
  <c r="F6377" i="7"/>
  <c r="F6378" i="7"/>
  <c r="F6379" i="7"/>
  <c r="F6380" i="7"/>
  <c r="F6381" i="7"/>
  <c r="F6382" i="7"/>
  <c r="F6383" i="7"/>
  <c r="F6384" i="7"/>
  <c r="F6385" i="7"/>
  <c r="F6386" i="7"/>
  <c r="F6387" i="7"/>
  <c r="F6388" i="7"/>
  <c r="F6389" i="7"/>
  <c r="F6390" i="7"/>
  <c r="F6391" i="7"/>
  <c r="F6392" i="7"/>
  <c r="F6393" i="7"/>
  <c r="F6394" i="7"/>
  <c r="F6395" i="7"/>
  <c r="F6398" i="7"/>
  <c r="F6399" i="7"/>
  <c r="F6400" i="7"/>
  <c r="F6401" i="7"/>
  <c r="F6402" i="7"/>
  <c r="F6403" i="7"/>
  <c r="F6404" i="7"/>
  <c r="F6405" i="7"/>
  <c r="F6406" i="7"/>
  <c r="F6407" i="7"/>
  <c r="F6408" i="7"/>
  <c r="F6409" i="7"/>
  <c r="F6410" i="7"/>
  <c r="F6411" i="7"/>
  <c r="F6412" i="7"/>
  <c r="F6413" i="7"/>
  <c r="F6414" i="7"/>
  <c r="F6415" i="7"/>
  <c r="F6416" i="7"/>
  <c r="F6417" i="7"/>
  <c r="F6418" i="7"/>
  <c r="F6419" i="7"/>
  <c r="F6420" i="7"/>
  <c r="F6421" i="7"/>
  <c r="F6422" i="7"/>
  <c r="F6423" i="7"/>
  <c r="F6424" i="7"/>
  <c r="F6425" i="7"/>
  <c r="F6426" i="7"/>
  <c r="F6427" i="7"/>
  <c r="F6428" i="7"/>
  <c r="F6429" i="7"/>
  <c r="F6430" i="7"/>
  <c r="F6431" i="7"/>
  <c r="F6432" i="7"/>
  <c r="F6435" i="7"/>
  <c r="F6436" i="7"/>
  <c r="F6437" i="7"/>
  <c r="F6438" i="7"/>
  <c r="F6439" i="7"/>
  <c r="F6440" i="7"/>
  <c r="F6441" i="7"/>
  <c r="F6442" i="7"/>
  <c r="F6443" i="7"/>
  <c r="F6444" i="7"/>
  <c r="F6445" i="7"/>
  <c r="F6448" i="7"/>
  <c r="F6449" i="7"/>
  <c r="F6450" i="7"/>
  <c r="F6451" i="7"/>
  <c r="F6452" i="7"/>
  <c r="F6453" i="7"/>
  <c r="F6454" i="7"/>
  <c r="F6455" i="7"/>
  <c r="F6456" i="7"/>
  <c r="F6457" i="7"/>
  <c r="F6463" i="7"/>
  <c r="F6464" i="7"/>
  <c r="F6465" i="7"/>
  <c r="F6466" i="7"/>
  <c r="F6467" i="7"/>
  <c r="F6468" i="7"/>
  <c r="F6469" i="7"/>
  <c r="F6472" i="7"/>
  <c r="F6473" i="7"/>
  <c r="F6474" i="7"/>
  <c r="F6475" i="7"/>
  <c r="F6476" i="7"/>
  <c r="F6477" i="7"/>
  <c r="F6478" i="7"/>
  <c r="F6479" i="7"/>
  <c r="F6482" i="7"/>
  <c r="F6483" i="7"/>
  <c r="F6484" i="7"/>
  <c r="F6485" i="7"/>
  <c r="F6488" i="7"/>
  <c r="F6489" i="7"/>
  <c r="F6490" i="7"/>
  <c r="F6492" i="7"/>
  <c r="F6493" i="7"/>
  <c r="F6498" i="7"/>
  <c r="F6500" i="7"/>
  <c r="F6501" i="7"/>
  <c r="F6502" i="7"/>
  <c r="F6503" i="7"/>
  <c r="F6504" i="7"/>
  <c r="F6505" i="7"/>
  <c r="F6507" i="7"/>
  <c r="F6508" i="7"/>
  <c r="F6512" i="7"/>
  <c r="F6513" i="7"/>
  <c r="F6516" i="7"/>
  <c r="F6519" i="7"/>
  <c r="F6520" i="7"/>
  <c r="F6521" i="7"/>
  <c r="F6522" i="7"/>
  <c r="F6525" i="7"/>
  <c r="F6530" i="7"/>
  <c r="F6531" i="7"/>
  <c r="F6534" i="7"/>
  <c r="F6535" i="7"/>
  <c r="F6536" i="7"/>
  <c r="F6539" i="7"/>
  <c r="F6546" i="7"/>
  <c r="F6548" i="7"/>
  <c r="F6555" i="7"/>
  <c r="F6556" i="7"/>
  <c r="F6557" i="7"/>
  <c r="F6561" i="7"/>
  <c r="F6562" i="7"/>
  <c r="F6568" i="7"/>
  <c r="F6569" i="7"/>
  <c r="F6570" i="7"/>
  <c r="F6581" i="7"/>
  <c r="F6582" i="7"/>
  <c r="F6586" i="7"/>
  <c r="F6587" i="7"/>
  <c r="F6609" i="7"/>
  <c r="F6610" i="7"/>
  <c r="F6612" i="7"/>
  <c r="F6615" i="7"/>
  <c r="F6618" i="7"/>
  <c r="F6623" i="7"/>
  <c r="F6624" i="7"/>
  <c r="F6626" i="7"/>
  <c r="F6627" i="7"/>
  <c r="F6628" i="7"/>
  <c r="F6629" i="7"/>
  <c r="F6633" i="7"/>
  <c r="F6634" i="7"/>
  <c r="F6636" i="7"/>
  <c r="F6642" i="7"/>
  <c r="F6649" i="7"/>
  <c r="F6651" i="7"/>
  <c r="F6652" i="7"/>
  <c r="F6662" i="7"/>
  <c r="F6663" i="7"/>
  <c r="F6666" i="7"/>
  <c r="F6667" i="7"/>
  <c r="F6668" i="7"/>
  <c r="F6669" i="7"/>
  <c r="F6670" i="7"/>
  <c r="F6671" i="7"/>
  <c r="F6672" i="7"/>
  <c r="F6673" i="7"/>
  <c r="F6674" i="7"/>
  <c r="F6676" i="7"/>
  <c r="F6677" i="7"/>
  <c r="F6685" i="7"/>
  <c r="F6692" i="7"/>
  <c r="F6696" i="7"/>
  <c r="F6737" i="7"/>
  <c r="F6738" i="7"/>
  <c r="F6739" i="7"/>
  <c r="F6740" i="7"/>
  <c r="F6743" i="7"/>
  <c r="F6745" i="7"/>
  <c r="F6746" i="7"/>
  <c r="F6755" i="7"/>
  <c r="F6756" i="7"/>
  <c r="F6757" i="7"/>
  <c r="F6760" i="7"/>
  <c r="F6762" i="7"/>
  <c r="F6763" i="7"/>
  <c r="F6764" i="7"/>
  <c r="F6765" i="7"/>
  <c r="F6769" i="7"/>
  <c r="F6771" i="7"/>
  <c r="F6773" i="7"/>
  <c r="F6777" i="7"/>
  <c r="F6781" i="7"/>
  <c r="F6784" i="7"/>
  <c r="F6787" i="7"/>
  <c r="F6793" i="7"/>
  <c r="F6795" i="7"/>
  <c r="F6800" i="7"/>
  <c r="F6803" i="7"/>
  <c r="F6805" i="7"/>
  <c r="F6807" i="7"/>
  <c r="F6808" i="7"/>
  <c r="F6809" i="7"/>
  <c r="F6820" i="7"/>
  <c r="F6821" i="7"/>
  <c r="F6822" i="7"/>
  <c r="F6823" i="7"/>
  <c r="F6824" i="7"/>
  <c r="F6825" i="7"/>
  <c r="F6826" i="7"/>
  <c r="F6827" i="7"/>
  <c r="F6831" i="7"/>
  <c r="F6835" i="7"/>
  <c r="F6846" i="7"/>
  <c r="F6849" i="7"/>
  <c r="F6854" i="7"/>
  <c r="F6858" i="7"/>
  <c r="F6859" i="7"/>
  <c r="F6860" i="7"/>
  <c r="F6861" i="7"/>
  <c r="F6862" i="7"/>
  <c r="F6866" i="7"/>
  <c r="F6871" i="7"/>
  <c r="F6872" i="7"/>
  <c r="F6873" i="7"/>
  <c r="F6874" i="7"/>
  <c r="F6877" i="7"/>
  <c r="F6880" i="7"/>
  <c r="F6881" i="7"/>
  <c r="F6883" i="7"/>
  <c r="F6884" i="7"/>
  <c r="F6887" i="7"/>
  <c r="F6888" i="7"/>
  <c r="F6889" i="7"/>
  <c r="F6890" i="7"/>
  <c r="F6891" i="7"/>
  <c r="F6896" i="7"/>
  <c r="F6901" i="7"/>
  <c r="F6903" i="7"/>
  <c r="F6906" i="7"/>
  <c r="F6907" i="7"/>
  <c r="F6908" i="7"/>
  <c r="F6909" i="7"/>
  <c r="F6910" i="7"/>
  <c r="F6911" i="7"/>
  <c r="F6923" i="7"/>
  <c r="F6927" i="7"/>
  <c r="F6930" i="7"/>
  <c r="F6932" i="7"/>
  <c r="F6933" i="7"/>
  <c r="F6937" i="7"/>
  <c r="F6938" i="7"/>
  <c r="F6939" i="7"/>
  <c r="F6942" i="7"/>
  <c r="F6947" i="7"/>
  <c r="F6949" i="7"/>
  <c r="F6950" i="7"/>
  <c r="F6952" i="7"/>
  <c r="F6953" i="7"/>
  <c r="F6954" i="7"/>
  <c r="F6955" i="7"/>
  <c r="F6956" i="7"/>
  <c r="F6957" i="7"/>
  <c r="F6958" i="7"/>
  <c r="F6959" i="7"/>
  <c r="F6962" i="7"/>
  <c r="F6963" i="7"/>
  <c r="F6964" i="7"/>
  <c r="F6965" i="7"/>
  <c r="F6966" i="7"/>
  <c r="F6969" i="7"/>
  <c r="F6970" i="7"/>
  <c r="F6971" i="7"/>
  <c r="F6972" i="7"/>
  <c r="F6976" i="7"/>
  <c r="F6977" i="7"/>
  <c r="F6981" i="7"/>
  <c r="F7001" i="7"/>
  <c r="F7010" i="7"/>
  <c r="F7020" i="7"/>
  <c r="F7021" i="7"/>
  <c r="F7027" i="7"/>
  <c r="F7030" i="7"/>
  <c r="F7036" i="7"/>
  <c r="F7039" i="7"/>
  <c r="F7045" i="7"/>
  <c r="F7056" i="7"/>
  <c r="F7065" i="7"/>
  <c r="F7066" i="7"/>
  <c r="F7067" i="7"/>
  <c r="F7068" i="7"/>
  <c r="F7076" i="7"/>
  <c r="F7077" i="7"/>
  <c r="F7085" i="7"/>
  <c r="F7086" i="7"/>
  <c r="F7087" i="7"/>
  <c r="F7088" i="7"/>
  <c r="F7110" i="7"/>
  <c r="F7112" i="7"/>
  <c r="F7115" i="7"/>
  <c r="F7116" i="7"/>
  <c r="F7120" i="7"/>
  <c r="F7121" i="7"/>
  <c r="F7122" i="7"/>
  <c r="F7123" i="7"/>
  <c r="F7130" i="7"/>
  <c r="F7131" i="7"/>
  <c r="F7134" i="7"/>
  <c r="F7135" i="7"/>
  <c r="F7138" i="7"/>
  <c r="F7139" i="7"/>
  <c r="F7140" i="7"/>
  <c r="F7141" i="7"/>
  <c r="F7142" i="7"/>
  <c r="F7143" i="7"/>
  <c r="F7146" i="7"/>
  <c r="F7150" i="7"/>
  <c r="F7151" i="7"/>
  <c r="F7152" i="7"/>
  <c r="F7153" i="7"/>
  <c r="F7154" i="7"/>
  <c r="F7155" i="7"/>
  <c r="F7156" i="7"/>
  <c r="F7160" i="7"/>
  <c r="F7161" i="7"/>
  <c r="F7163" i="7"/>
  <c r="F7164" i="7"/>
  <c r="F7165" i="7"/>
  <c r="F7180" i="7"/>
  <c r="F7190" i="7"/>
  <c r="F7192" i="7"/>
  <c r="F7194" i="7"/>
  <c r="F7195" i="7"/>
  <c r="F7196" i="7"/>
  <c r="F7198" i="7"/>
  <c r="F7200" i="7"/>
  <c r="F7204" i="7"/>
  <c r="F7205" i="7"/>
  <c r="F7209" i="7"/>
  <c r="F7213" i="7"/>
  <c r="F7215" i="7"/>
  <c r="F7216" i="7"/>
  <c r="F7217" i="7"/>
  <c r="F7219" i="7"/>
  <c r="F7220" i="7"/>
  <c r="F7221" i="7"/>
  <c r="F7222" i="7"/>
  <c r="F7243" i="7"/>
  <c r="F7247" i="7"/>
  <c r="F7250" i="7"/>
  <c r="F7251" i="7"/>
  <c r="F7253" i="7"/>
  <c r="F7254" i="7"/>
  <c r="F7255" i="7"/>
  <c r="F7257" i="7"/>
  <c r="F7260" i="7"/>
  <c r="F7261" i="7"/>
  <c r="F7262" i="7"/>
  <c r="F7264" i="7"/>
  <c r="F7265" i="7"/>
  <c r="F7271" i="7"/>
  <c r="F7272" i="7"/>
  <c r="F7273" i="7"/>
  <c r="F7274" i="7"/>
  <c r="F7276" i="7"/>
  <c r="F7277" i="7"/>
  <c r="F7278" i="7"/>
  <c r="F7279" i="7"/>
  <c r="F7280" i="7"/>
  <c r="F7282" i="7"/>
  <c r="F7283" i="7"/>
  <c r="F7284" i="7"/>
  <c r="F7285" i="7"/>
  <c r="F7289" i="7"/>
  <c r="F7292" i="7"/>
  <c r="F7297" i="7"/>
  <c r="F7299" i="7"/>
  <c r="F7301" i="7"/>
  <c r="F7302" i="7"/>
  <c r="F7309" i="7"/>
  <c r="F7311" i="7"/>
  <c r="F7314" i="7"/>
  <c r="F7321" i="7"/>
  <c r="F7322" i="7"/>
  <c r="F7327" i="7"/>
  <c r="F7328" i="7"/>
  <c r="F7329" i="7"/>
  <c r="F7330" i="7"/>
  <c r="F7331" i="7"/>
  <c r="F7332" i="7"/>
  <c r="F7336" i="7"/>
  <c r="F7347" i="7"/>
  <c r="F7348" i="7"/>
  <c r="F7349" i="7"/>
  <c r="F7353" i="7"/>
  <c r="F7354" i="7"/>
  <c r="F7355" i="7"/>
  <c r="F7356" i="7"/>
  <c r="F7360" i="7"/>
  <c r="F7363" i="7"/>
  <c r="F7368" i="7"/>
  <c r="F7373" i="7"/>
  <c r="F7382" i="7"/>
  <c r="F7383" i="7"/>
  <c r="F7386" i="7"/>
  <c r="F7387" i="7"/>
  <c r="F7389" i="7"/>
  <c r="F7399" i="7"/>
  <c r="F7400" i="7"/>
  <c r="F7403" i="7"/>
  <c r="F7413" i="7"/>
  <c r="F7414" i="7"/>
  <c r="F7415" i="7"/>
  <c r="F7416" i="7"/>
  <c r="F7417" i="7"/>
  <c r="F7418" i="7"/>
  <c r="F7419" i="7"/>
  <c r="F7423" i="7"/>
  <c r="F7424" i="7"/>
  <c r="F7426" i="7"/>
  <c r="F7431" i="7"/>
  <c r="F7448" i="7"/>
  <c r="F7449" i="7"/>
  <c r="F7454" i="7"/>
  <c r="F7455" i="7"/>
  <c r="F7460" i="7"/>
  <c r="F7476" i="7"/>
  <c r="F7480" i="7"/>
  <c r="F7481" i="7"/>
  <c r="F7484" i="7"/>
  <c r="F7485" i="7"/>
  <c r="F7498" i="7"/>
  <c r="F7499" i="7"/>
  <c r="F7504" i="7"/>
  <c r="F7505" i="7"/>
  <c r="F7512" i="7"/>
  <c r="F7514" i="7"/>
  <c r="F7515" i="7"/>
  <c r="F7518" i="7"/>
  <c r="F7521" i="7"/>
  <c r="F7522" i="7"/>
  <c r="F7523" i="7"/>
  <c r="F7525" i="7"/>
  <c r="F7526" i="7"/>
  <c r="F7528" i="7"/>
  <c r="F7529" i="7"/>
  <c r="F7531" i="7"/>
  <c r="F7536" i="7"/>
  <c r="F7543" i="7"/>
  <c r="F7544" i="7"/>
  <c r="F7546" i="7"/>
  <c r="F7547" i="7"/>
  <c r="F7549" i="7"/>
  <c r="F7550" i="7"/>
  <c r="F7553" i="7"/>
  <c r="F7554" i="7"/>
  <c r="F7559" i="7"/>
  <c r="F7560" i="7"/>
  <c r="F7563" i="7"/>
  <c r="F7564" i="7"/>
  <c r="F7566" i="7"/>
  <c r="F7567" i="7"/>
  <c r="F7569" i="7"/>
  <c r="F7572" i="7"/>
  <c r="F7575" i="7"/>
  <c r="F7578" i="7"/>
  <c r="F7579" i="7"/>
  <c r="F7580" i="7"/>
  <c r="F7582" i="7"/>
  <c r="F7590" i="7"/>
  <c r="F7592" i="7"/>
  <c r="F7593" i="7"/>
  <c r="F7595" i="7"/>
  <c r="F7596" i="7"/>
  <c r="F7598" i="7"/>
  <c r="F7599" i="7"/>
  <c r="F7600" i="7"/>
  <c r="F7605" i="7"/>
  <c r="F7614" i="7"/>
  <c r="F7618" i="7"/>
  <c r="F7619" i="7"/>
  <c r="F7620" i="7"/>
  <c r="F7621" i="7"/>
  <c r="F7622" i="7"/>
  <c r="F7625" i="7"/>
  <c r="F7631" i="7"/>
  <c r="F7639" i="7"/>
  <c r="F7640" i="7"/>
  <c r="F7645" i="7"/>
  <c r="F7648" i="7"/>
  <c r="F7652" i="7"/>
  <c r="F7656" i="7"/>
  <c r="F7657" i="7"/>
  <c r="F7658" i="7"/>
  <c r="F7661" i="7"/>
  <c r="F7662" i="7"/>
  <c r="F7663" i="7"/>
  <c r="F7664" i="7"/>
  <c r="F7666" i="7"/>
  <c r="F7668" i="7"/>
  <c r="F7670" i="7"/>
  <c r="F7673" i="7"/>
  <c r="F7674" i="7"/>
  <c r="F7679" i="7"/>
  <c r="F7683" i="7"/>
  <c r="F7685" i="7"/>
  <c r="F7690" i="7"/>
  <c r="F7691" i="7"/>
  <c r="F7700" i="7"/>
  <c r="F7701" i="7"/>
  <c r="F7703" i="7"/>
  <c r="F7704" i="7"/>
  <c r="F7708" i="7"/>
  <c r="F7709" i="7"/>
  <c r="F7712" i="7"/>
  <c r="F7715" i="7"/>
  <c r="F7716" i="7"/>
  <c r="F7717" i="7"/>
  <c r="F7725" i="7"/>
  <c r="F7737" i="7"/>
  <c r="F7752" i="7"/>
  <c r="F7798" i="7"/>
  <c r="F7799" i="7"/>
  <c r="F7803" i="7"/>
  <c r="F7806" i="7"/>
  <c r="F7807" i="7"/>
  <c r="F7813" i="7"/>
  <c r="F7820" i="7"/>
  <c r="F7829" i="7"/>
  <c r="F7830" i="7"/>
  <c r="F7834" i="7"/>
  <c r="F7835" i="7"/>
  <c r="F7881" i="7"/>
  <c r="F7887" i="7"/>
  <c r="F7891" i="7"/>
  <c r="F7899" i="7"/>
  <c r="F7902" i="7"/>
  <c r="F7903" i="7"/>
  <c r="F7925" i="7"/>
  <c r="F7926" i="7"/>
  <c r="F7932" i="7"/>
  <c r="F7933" i="7"/>
  <c r="F7935" i="7"/>
  <c r="F7944" i="7"/>
  <c r="F7964" i="7"/>
  <c r="F7965" i="7"/>
  <c r="F7973" i="7"/>
  <c r="F7975" i="7"/>
  <c r="F7983" i="7"/>
  <c r="F7995" i="7"/>
  <c r="F7996" i="7"/>
  <c r="F7998" i="7"/>
  <c r="F8013" i="7"/>
  <c r="F8020" i="7"/>
  <c r="F8025" i="7"/>
  <c r="F8040" i="7"/>
  <c r="F8052" i="7"/>
  <c r="F8053" i="7"/>
  <c r="F8054" i="7"/>
  <c r="F8055" i="7"/>
  <c r="F8060" i="7"/>
  <c r="F8061" i="7"/>
  <c r="F8067" i="7"/>
  <c r="F8068" i="7"/>
  <c r="F8071" i="7"/>
  <c r="F8091" i="7"/>
  <c r="F8092" i="7"/>
  <c r="F8105" i="7"/>
  <c r="F8106" i="7"/>
  <c r="F8107" i="7"/>
  <c r="F8120" i="7"/>
  <c r="F8131" i="7"/>
  <c r="F8133" i="7"/>
  <c r="F8141" i="7"/>
  <c r="F8142" i="7"/>
  <c r="F8143" i="7"/>
  <c r="F8146" i="7"/>
  <c r="F8147" i="7"/>
  <c r="F8149" i="7"/>
  <c r="F8151" i="7"/>
  <c r="F8154" i="7"/>
  <c r="F8156" i="7"/>
  <c r="F8157" i="7"/>
  <c r="F8158" i="7"/>
  <c r="F8169" i="7"/>
  <c r="F8172" i="7"/>
  <c r="F8173" i="7"/>
  <c r="F8174" i="7"/>
  <c r="F8175" i="7"/>
  <c r="F8176" i="7"/>
  <c r="F8177" i="7"/>
  <c r="F8178" i="7"/>
  <c r="F8179" i="7"/>
  <c r="F8180" i="7"/>
  <c r="F8184" i="7"/>
  <c r="F8189" i="7"/>
  <c r="F8190" i="7"/>
  <c r="F8191" i="7"/>
  <c r="F8192" i="7"/>
  <c r="F8196" i="7"/>
  <c r="F8201" i="7"/>
  <c r="F8206" i="7"/>
  <c r="F8213" i="7"/>
  <c r="F8216" i="7"/>
  <c r="F8220" i="7"/>
  <c r="F8221" i="7"/>
  <c r="F8306" i="7"/>
  <c r="F8307" i="7"/>
  <c r="F8317" i="7"/>
  <c r="F8337" i="7"/>
  <c r="F8338" i="7"/>
  <c r="F8356" i="7"/>
  <c r="F8361" i="7"/>
  <c r="F8399" i="7"/>
  <c r="F8403" i="7"/>
  <c r="F8410" i="7"/>
  <c r="F8425" i="7"/>
  <c r="F8429" i="7"/>
  <c r="F8441" i="7"/>
  <c r="F8453" i="7"/>
  <c r="F8454" i="7"/>
  <c r="F8455" i="7"/>
  <c r="F8456" i="7"/>
  <c r="F8464" i="7"/>
  <c r="F8472" i="7"/>
  <c r="F8481" i="7"/>
  <c r="F8482" i="7"/>
  <c r="F8492" i="7"/>
  <c r="F8493" i="7"/>
  <c r="F8494" i="7"/>
  <c r="F8498" i="7"/>
  <c r="F8499" i="7"/>
  <c r="F8500" i="7"/>
  <c r="F8501" i="7"/>
  <c r="F8502" i="7"/>
  <c r="F8503" i="7"/>
  <c r="F8504" i="7"/>
  <c r="F8505" i="7"/>
  <c r="F8506" i="7"/>
  <c r="F8507" i="7"/>
  <c r="F8508" i="7"/>
  <c r="F8509" i="7"/>
  <c r="F8510" i="7"/>
  <c r="F8511" i="7"/>
  <c r="F8512" i="7"/>
  <c r="F8536" i="7"/>
  <c r="F8537" i="7"/>
  <c r="F8538" i="7"/>
  <c r="F8541" i="7"/>
  <c r="F8542" i="7"/>
  <c r="F8555" i="7"/>
  <c r="F8558" i="7"/>
  <c r="F8566" i="7"/>
  <c r="F8575" i="7"/>
  <c r="F8581" i="7"/>
  <c r="F8582" i="7"/>
  <c r="F8601" i="7"/>
  <c r="F8603" i="7"/>
  <c r="F8609" i="7"/>
  <c r="F8610" i="7"/>
  <c r="F8611" i="7"/>
  <c r="F8612" i="7"/>
  <c r="F8613" i="7"/>
  <c r="F8614" i="7"/>
  <c r="F8615" i="7"/>
  <c r="F8629" i="7"/>
  <c r="F8630" i="7"/>
  <c r="F8631" i="7"/>
  <c r="F8670" i="7"/>
  <c r="F8678" i="7"/>
  <c r="F8722" i="7"/>
  <c r="F8723" i="7"/>
  <c r="F8724" i="7"/>
  <c r="F8727" i="7"/>
  <c r="F8729" i="7"/>
  <c r="F8732" i="7"/>
  <c r="F8733" i="7"/>
  <c r="F8734" i="7"/>
  <c r="F8735" i="7"/>
  <c r="F8738" i="7"/>
  <c r="F8751" i="7"/>
  <c r="F8757" i="7"/>
  <c r="F8760" i="7"/>
  <c r="F8763" i="7"/>
  <c r="F8765" i="7"/>
  <c r="F8767" i="7"/>
  <c r="F8768" i="7"/>
  <c r="F8769" i="7"/>
  <c r="F8786" i="7"/>
  <c r="F8787" i="7"/>
  <c r="F8788" i="7"/>
  <c r="F8789" i="7"/>
  <c r="F8792" i="7"/>
  <c r="F8793" i="7"/>
  <c r="F8794" i="7"/>
  <c r="F8795" i="7"/>
  <c r="F8796" i="7"/>
  <c r="F8800" i="7"/>
  <c r="F8801" i="7"/>
  <c r="F8824" i="7"/>
  <c r="F8825" i="7"/>
  <c r="F8844" i="7"/>
  <c r="F8858" i="7"/>
  <c r="F8859" i="7"/>
  <c r="F8860" i="7"/>
  <c r="F8861" i="7"/>
  <c r="F8862" i="7"/>
  <c r="F8863" i="7"/>
  <c r="F8865" i="7"/>
  <c r="F8866" i="7"/>
  <c r="F8867" i="7"/>
  <c r="F8913" i="7"/>
  <c r="F8914" i="7"/>
  <c r="F8920" i="7"/>
  <c r="F8945" i="7"/>
  <c r="F8951" i="7"/>
  <c r="F8973" i="7"/>
  <c r="F8982" i="7"/>
  <c r="F8983" i="7"/>
  <c r="F8984" i="7"/>
  <c r="F8985" i="7"/>
  <c r="F8990" i="7"/>
  <c r="F8991" i="7"/>
  <c r="F8992" i="7"/>
  <c r="F9001" i="7"/>
  <c r="F9002" i="7"/>
  <c r="F9003" i="7"/>
  <c r="F9004" i="7"/>
  <c r="F9009" i="7"/>
  <c r="F9023" i="7"/>
  <c r="F9024" i="7"/>
  <c r="F9033" i="7"/>
  <c r="F9036" i="7"/>
  <c r="F9039" i="7"/>
  <c r="F9051" i="7"/>
  <c r="F9052" i="7"/>
  <c r="F9053" i="7"/>
  <c r="F9054" i="7"/>
  <c r="F9055" i="7"/>
  <c r="F9056" i="7"/>
  <c r="F9059" i="7"/>
  <c r="F9062" i="7"/>
  <c r="F9065" i="7"/>
  <c r="F9066" i="7"/>
  <c r="F9067" i="7"/>
  <c r="F9068" i="7"/>
  <c r="F9069" i="7"/>
  <c r="F9070" i="7"/>
  <c r="F9071" i="7"/>
  <c r="F9074" i="7"/>
  <c r="F9075" i="7"/>
  <c r="F9081" i="7"/>
  <c r="F9083" i="7"/>
  <c r="F9155" i="7"/>
  <c r="F9164" i="7"/>
  <c r="F9165" i="7"/>
  <c r="F9169" i="7"/>
  <c r="F9170" i="7"/>
  <c r="F9174" i="7"/>
  <c r="F9175" i="7"/>
  <c r="F9185" i="7"/>
  <c r="F9195" i="7"/>
  <c r="F9229" i="7"/>
  <c r="F9232" i="7"/>
  <c r="F9257" i="7"/>
  <c r="F9258" i="7"/>
  <c r="F9259" i="7"/>
  <c r="F9260" i="7"/>
  <c r="F9269" i="7"/>
  <c r="F9308" i="7"/>
  <c r="F9311" i="7"/>
  <c r="F9313" i="7"/>
  <c r="F9314" i="7"/>
  <c r="F9319" i="7"/>
  <c r="F9330" i="7"/>
  <c r="F9335" i="7"/>
  <c r="F9346" i="7"/>
  <c r="F9359" i="7"/>
  <c r="F9361" i="7"/>
  <c r="F9372" i="7"/>
  <c r="F9373" i="7"/>
  <c r="F9374" i="7"/>
  <c r="F9375" i="7"/>
  <c r="F9378" i="7"/>
  <c r="F9386" i="7"/>
  <c r="F9424" i="7"/>
  <c r="F9428" i="7"/>
  <c r="F9432" i="7"/>
  <c r="F9433" i="7"/>
  <c r="F9441" i="7"/>
  <c r="F9442" i="7"/>
  <c r="F9443" i="7"/>
  <c r="F9451" i="7"/>
  <c r="F9522" i="7"/>
  <c r="F9523" i="7"/>
  <c r="F9555" i="7"/>
  <c r="F9558" i="7"/>
  <c r="F9559" i="7"/>
  <c r="F9561" i="7"/>
  <c r="F9562" i="7"/>
  <c r="F9569" i="7"/>
  <c r="F9573" i="7"/>
  <c r="F9578" i="7"/>
  <c r="F9579" i="7"/>
  <c r="F9580" i="7"/>
  <c r="F9581" i="7"/>
  <c r="F9584" i="7"/>
  <c r="F9593" i="7"/>
  <c r="F9594" i="7"/>
  <c r="F9595" i="7"/>
  <c r="F9596" i="7"/>
  <c r="F9597" i="7"/>
  <c r="F9598" i="7"/>
  <c r="F9603" i="7"/>
  <c r="F9605" i="7"/>
  <c r="F9607" i="7"/>
  <c r="F9610" i="7"/>
  <c r="F9614" i="7"/>
  <c r="F9615" i="7"/>
  <c r="F9617" i="7"/>
  <c r="F9618" i="7"/>
  <c r="F9623" i="7"/>
  <c r="F9624" i="7"/>
  <c r="F9625" i="7"/>
  <c r="F9652" i="7"/>
  <c r="F9685" i="7"/>
  <c r="F9689" i="7"/>
  <c r="F9690" i="7"/>
  <c r="F9702" i="7"/>
  <c r="F9703" i="7"/>
  <c r="F9730" i="7"/>
  <c r="F9733" i="7"/>
  <c r="F9737" i="7"/>
  <c r="F9752" i="7"/>
  <c r="F9753" i="7"/>
  <c r="F9754" i="7"/>
  <c r="F9763" i="7"/>
  <c r="F9766" i="7"/>
  <c r="F9767" i="7"/>
  <c r="F9768" i="7"/>
  <c r="F9769" i="7"/>
  <c r="F9771" i="7"/>
  <c r="F9776" i="7"/>
  <c r="F9783" i="7"/>
  <c r="F9784" i="7"/>
  <c r="F9785" i="7"/>
  <c r="F9786" i="7"/>
  <c r="F9809" i="7"/>
  <c r="F9810" i="7"/>
  <c r="F9811" i="7"/>
  <c r="F9814" i="7"/>
  <c r="F9815" i="7"/>
  <c r="F9817" i="7"/>
  <c r="F9819" i="7"/>
  <c r="F9822" i="7"/>
  <c r="F9825" i="7"/>
  <c r="F9827" i="7"/>
  <c r="F9829" i="7"/>
  <c r="F9831" i="7"/>
  <c r="F9832" i="7"/>
  <c r="F9833" i="7"/>
  <c r="F9834" i="7"/>
  <c r="F9841" i="7"/>
  <c r="F9850" i="7"/>
  <c r="F9853" i="7"/>
  <c r="F9854" i="7"/>
  <c r="F9859" i="7"/>
  <c r="F9863" i="7"/>
  <c r="F9864" i="7"/>
  <c r="F9870" i="7"/>
  <c r="F9878" i="7"/>
  <c r="F9879" i="7"/>
  <c r="F9883" i="7"/>
  <c r="F9884" i="7"/>
  <c r="F9888" i="7"/>
  <c r="F9890" i="7"/>
  <c r="F9891" i="7"/>
  <c r="F9892" i="7"/>
  <c r="F9900" i="7"/>
  <c r="F9903" i="7"/>
  <c r="F9921" i="7"/>
  <c r="F9929" i="7"/>
  <c r="F9930" i="7"/>
  <c r="F9933" i="7"/>
  <c r="F9934" i="7"/>
  <c r="F9951" i="7"/>
  <c r="F9954" i="7"/>
  <c r="F10024" i="7"/>
  <c r="F10046" i="7"/>
  <c r="F10063" i="7"/>
  <c r="F10080" i="7"/>
  <c r="F10085" i="7"/>
  <c r="F10094" i="7"/>
  <c r="F10098" i="7"/>
  <c r="F10178" i="7"/>
  <c r="F10181" i="7"/>
  <c r="F10199" i="7"/>
  <c r="F10200" i="7"/>
  <c r="F10220" i="7"/>
  <c r="F10221" i="7"/>
  <c r="F10222" i="7"/>
  <c r="F10223" i="7"/>
  <c r="F10224" i="7"/>
  <c r="F10225" i="7"/>
  <c r="F10231" i="7"/>
  <c r="F10232" i="7"/>
  <c r="F10233" i="7"/>
  <c r="F10234" i="7"/>
  <c r="F10237" i="7"/>
  <c r="F10238" i="7"/>
  <c r="F10239" i="7"/>
  <c r="F10241" i="7"/>
  <c r="F10242" i="7"/>
  <c r="F10243" i="7"/>
  <c r="F10244" i="7"/>
  <c r="F10245" i="7"/>
  <c r="F10246" i="7"/>
  <c r="F10248" i="7"/>
  <c r="F10253" i="7"/>
  <c r="F10254" i="7"/>
  <c r="F10255" i="7"/>
  <c r="F10256" i="7"/>
  <c r="F10257" i="7"/>
  <c r="F10258" i="7"/>
  <c r="F10262" i="7"/>
  <c r="F10263" i="7"/>
  <c r="F10264" i="7"/>
  <c r="F10267" i="7"/>
  <c r="F10270" i="7"/>
  <c r="F10271" i="7"/>
  <c r="F10272" i="7"/>
  <c r="F10274" i="7"/>
  <c r="F10276" i="7"/>
  <c r="F10277" i="7"/>
  <c r="F10286" i="7"/>
  <c r="F10287" i="7"/>
  <c r="F10288" i="7"/>
  <c r="F10290" i="7"/>
  <c r="F10291" i="7"/>
  <c r="F10292" i="7"/>
  <c r="F10298" i="7"/>
  <c r="F10299" i="7"/>
  <c r="F10300" i="7"/>
  <c r="F10301" i="7"/>
  <c r="F10304" i="7"/>
  <c r="F10307" i="7"/>
  <c r="F10309" i="7"/>
  <c r="F10311" i="7"/>
  <c r="F10312" i="7"/>
  <c r="F10315" i="7"/>
  <c r="F10318" i="7"/>
  <c r="F10319" i="7"/>
  <c r="F10320" i="7"/>
  <c r="F10322" i="7"/>
  <c r="F10325" i="7"/>
  <c r="F10329" i="7"/>
  <c r="F10338" i="7"/>
  <c r="F10339" i="7"/>
  <c r="F10340" i="7"/>
  <c r="F10341" i="7"/>
  <c r="F10342" i="7"/>
  <c r="F10343" i="7"/>
  <c r="F10344" i="7"/>
  <c r="F10352" i="7"/>
  <c r="F10356" i="7"/>
  <c r="F10357" i="7"/>
  <c r="F10358" i="7"/>
  <c r="F10359" i="7"/>
  <c r="F10362" i="7"/>
  <c r="F10364" i="7"/>
  <c r="F10365" i="7"/>
  <c r="F10366" i="7"/>
  <c r="F10373" i="7"/>
  <c r="F10377" i="7"/>
  <c r="F10379" i="7"/>
  <c r="F10380" i="7"/>
  <c r="F10381" i="7"/>
  <c r="F10401" i="7"/>
  <c r="F10404" i="7"/>
  <c r="F10412" i="7"/>
  <c r="F10413" i="7"/>
  <c r="F10414" i="7"/>
  <c r="F10415" i="7"/>
  <c r="F10416" i="7"/>
  <c r="F10417" i="7"/>
  <c r="F10418" i="7"/>
  <c r="F10419" i="7"/>
  <c r="F10420" i="7"/>
  <c r="F10421" i="7"/>
  <c r="F10422" i="7"/>
  <c r="F10424" i="7"/>
  <c r="F10425" i="7"/>
  <c r="F10426" i="7"/>
  <c r="F10427" i="7"/>
  <c r="F10430" i="7"/>
  <c r="F10431" i="7"/>
  <c r="F10433" i="7"/>
  <c r="F10434" i="7"/>
  <c r="F10435" i="7"/>
  <c r="F10441" i="7"/>
  <c r="F10442" i="7"/>
  <c r="F10443" i="7"/>
  <c r="F10449" i="7"/>
  <c r="F10454" i="7"/>
  <c r="F10457" i="7"/>
  <c r="F10460" i="7"/>
  <c r="F10462" i="7"/>
  <c r="F10463" i="7"/>
  <c r="F10464" i="7"/>
  <c r="F10466" i="7"/>
  <c r="F10467" i="7"/>
  <c r="F10470" i="7"/>
  <c r="F10474" i="7"/>
  <c r="F10475" i="7"/>
  <c r="F10476" i="7"/>
  <c r="F10484" i="7"/>
  <c r="F10487" i="7"/>
  <c r="F10488" i="7"/>
  <c r="F10490" i="7"/>
  <c r="F10491" i="7"/>
  <c r="F10492" i="7"/>
  <c r="F10494" i="7"/>
  <c r="F10502" i="7"/>
  <c r="F4" i="5"/>
  <c r="F5" i="5"/>
  <c r="F6" i="5"/>
  <c r="F7" i="5"/>
  <c r="F8" i="5"/>
  <c r="F9" i="5"/>
  <c r="F10" i="5"/>
  <c r="F11" i="5"/>
  <c r="F12" i="5"/>
  <c r="F13" i="5"/>
  <c r="F14" i="5"/>
  <c r="F15" i="5"/>
  <c r="F16" i="5"/>
  <c r="F17" i="5"/>
  <c r="F18" i="5"/>
  <c r="F19" i="5"/>
  <c r="F20" i="5"/>
  <c r="F21" i="5"/>
  <c r="F22" i="5"/>
  <c r="F23" i="5"/>
  <c r="F24" i="5"/>
  <c r="F25" i="5"/>
  <c r="F26" i="5"/>
  <c r="F27" i="5"/>
  <c r="F28" i="5"/>
  <c r="F29" i="5"/>
  <c r="F30" i="5"/>
  <c r="F31" i="5"/>
  <c r="F32" i="5"/>
  <c r="F33" i="5"/>
  <c r="F34" i="5"/>
  <c r="F35" i="5"/>
  <c r="F36" i="5"/>
  <c r="F37" i="5"/>
  <c r="F38" i="5"/>
  <c r="F39" i="5"/>
  <c r="F40" i="5"/>
  <c r="F41" i="5"/>
  <c r="F42" i="5"/>
  <c r="F43" i="5"/>
  <c r="F44" i="5"/>
  <c r="F45" i="5"/>
  <c r="F46" i="5"/>
  <c r="F47" i="5"/>
  <c r="F48" i="5"/>
  <c r="F49" i="5"/>
  <c r="F50" i="5"/>
  <c r="F51" i="5"/>
  <c r="F52" i="5"/>
  <c r="F53" i="5"/>
  <c r="F54" i="5"/>
  <c r="F55" i="5"/>
  <c r="F56" i="5"/>
  <c r="F57" i="5"/>
  <c r="F58" i="5"/>
  <c r="F59" i="5"/>
  <c r="F60" i="5"/>
  <c r="F61" i="5"/>
  <c r="F62" i="5"/>
  <c r="F63" i="5"/>
  <c r="F64" i="5"/>
  <c r="F65" i="5"/>
  <c r="F66" i="5"/>
  <c r="F67" i="5"/>
  <c r="F68" i="5"/>
  <c r="F69" i="5"/>
  <c r="F70" i="5"/>
  <c r="F71" i="5"/>
  <c r="F72" i="5"/>
  <c r="F73" i="5"/>
  <c r="F74" i="5"/>
  <c r="F75" i="5"/>
  <c r="F76" i="5"/>
  <c r="F77" i="5"/>
  <c r="F78" i="5"/>
  <c r="F79" i="5"/>
  <c r="F80" i="5"/>
  <c r="F81" i="5"/>
  <c r="F82" i="5"/>
  <c r="F83" i="5"/>
  <c r="F84" i="5"/>
  <c r="F85" i="5"/>
  <c r="F86" i="5"/>
  <c r="F87" i="5"/>
  <c r="F88" i="5"/>
  <c r="F89" i="5"/>
  <c r="F90" i="5"/>
  <c r="F91" i="5"/>
  <c r="F92" i="5"/>
  <c r="F93" i="5"/>
  <c r="F94" i="5"/>
  <c r="F95" i="5"/>
  <c r="F96" i="5"/>
  <c r="F97" i="5"/>
  <c r="F98" i="5"/>
  <c r="F99" i="5"/>
  <c r="F100" i="5"/>
  <c r="F101" i="5"/>
  <c r="F102" i="5"/>
  <c r="F103" i="5"/>
  <c r="F104" i="5"/>
  <c r="F105" i="5"/>
  <c r="F106" i="5"/>
  <c r="F107" i="5"/>
  <c r="F108" i="5"/>
  <c r="F109" i="5"/>
  <c r="F110" i="5"/>
  <c r="F111" i="5"/>
  <c r="F112" i="5"/>
  <c r="F113" i="5"/>
  <c r="F114" i="5"/>
  <c r="F115" i="5"/>
  <c r="F116" i="5"/>
  <c r="F117" i="5"/>
  <c r="F118" i="5"/>
  <c r="F119" i="5"/>
  <c r="F120" i="5"/>
  <c r="F121" i="5"/>
  <c r="F122" i="5"/>
  <c r="F123" i="5"/>
  <c r="F124" i="5"/>
  <c r="F125" i="5"/>
  <c r="F126" i="5"/>
  <c r="F127" i="5"/>
  <c r="F128" i="5"/>
  <c r="F129" i="5"/>
  <c r="F130" i="5"/>
  <c r="F131" i="5"/>
  <c r="F132" i="5"/>
  <c r="F133" i="5"/>
  <c r="F134" i="5"/>
  <c r="F135" i="5"/>
  <c r="F136" i="5"/>
  <c r="F137" i="5"/>
  <c r="F138" i="5"/>
  <c r="F139" i="5"/>
  <c r="F140" i="5"/>
  <c r="F141" i="5"/>
  <c r="F142" i="5"/>
  <c r="F143" i="5"/>
  <c r="F144" i="5"/>
  <c r="F145" i="5"/>
  <c r="F146" i="5"/>
  <c r="F147" i="5"/>
  <c r="F148" i="5"/>
  <c r="F149" i="5"/>
  <c r="F150" i="5"/>
  <c r="F151" i="5"/>
  <c r="F152" i="5"/>
  <c r="F153" i="5"/>
  <c r="F154" i="5"/>
  <c r="F155" i="5"/>
  <c r="F156" i="5"/>
  <c r="F157" i="5"/>
  <c r="F158" i="5"/>
  <c r="F159" i="5"/>
  <c r="F160" i="5"/>
  <c r="F161" i="5"/>
  <c r="F162" i="5"/>
  <c r="F163" i="5"/>
  <c r="F164" i="5"/>
  <c r="F165" i="5"/>
  <c r="F166" i="5"/>
  <c r="F167" i="5"/>
  <c r="F168" i="5"/>
  <c r="F169" i="5"/>
  <c r="F170" i="5"/>
  <c r="F171" i="5"/>
  <c r="F172" i="5"/>
  <c r="F173" i="5"/>
  <c r="F174" i="5"/>
  <c r="F175" i="5"/>
  <c r="F176" i="5"/>
  <c r="F177" i="5"/>
  <c r="F178" i="5"/>
  <c r="F179" i="5"/>
  <c r="F180" i="5"/>
  <c r="F181" i="5"/>
  <c r="F182" i="5"/>
  <c r="F183" i="5"/>
  <c r="F184" i="5"/>
  <c r="F185" i="5"/>
  <c r="F186" i="5"/>
  <c r="F187" i="5"/>
  <c r="F188" i="5"/>
  <c r="F189" i="5"/>
  <c r="F190" i="5"/>
  <c r="F191" i="5"/>
  <c r="F192" i="5"/>
  <c r="F193" i="5"/>
  <c r="F194" i="5"/>
  <c r="F195" i="5"/>
  <c r="F196" i="5"/>
  <c r="F197" i="5"/>
  <c r="F198" i="5"/>
  <c r="F199" i="5"/>
  <c r="F200" i="5"/>
  <c r="F201" i="5"/>
  <c r="F202" i="5"/>
  <c r="F203" i="5"/>
  <c r="F204" i="5"/>
  <c r="F205" i="5"/>
  <c r="F206" i="5"/>
  <c r="F207" i="5"/>
  <c r="F208" i="5"/>
  <c r="F209" i="5"/>
  <c r="F210" i="5"/>
  <c r="F211" i="5"/>
  <c r="F212" i="5"/>
  <c r="F213" i="5"/>
  <c r="F214" i="5"/>
  <c r="F215" i="5"/>
  <c r="F216" i="5"/>
  <c r="F217" i="5"/>
  <c r="F218" i="5"/>
  <c r="F219" i="5"/>
  <c r="F220" i="5"/>
  <c r="F221" i="5"/>
  <c r="F222" i="5"/>
  <c r="F223" i="5"/>
  <c r="F224" i="5"/>
  <c r="F225" i="5"/>
  <c r="F226" i="5"/>
  <c r="F227" i="5"/>
  <c r="F228" i="5"/>
  <c r="F229" i="5"/>
  <c r="F230" i="5"/>
  <c r="F231" i="5"/>
  <c r="F232" i="5"/>
  <c r="F233" i="5"/>
  <c r="F234" i="5"/>
  <c r="F235" i="5"/>
  <c r="F236" i="5"/>
  <c r="F237" i="5"/>
  <c r="F238" i="5"/>
  <c r="F239" i="5"/>
  <c r="F240" i="5"/>
  <c r="F241" i="5"/>
  <c r="F242" i="5"/>
  <c r="F243" i="5"/>
  <c r="F244" i="5"/>
  <c r="F245" i="5"/>
  <c r="F246" i="5"/>
  <c r="F247" i="5"/>
  <c r="F248" i="5"/>
  <c r="F249" i="5"/>
  <c r="F250" i="5"/>
  <c r="F251" i="5"/>
  <c r="F252" i="5"/>
  <c r="F253" i="5"/>
  <c r="F254" i="5"/>
  <c r="F255" i="5"/>
  <c r="F256" i="5"/>
  <c r="F257" i="5"/>
  <c r="F258" i="5"/>
  <c r="F259" i="5"/>
  <c r="F260" i="5"/>
  <c r="F261" i="5"/>
  <c r="F262" i="5"/>
  <c r="F263" i="5"/>
  <c r="F264" i="5"/>
  <c r="F265" i="5"/>
  <c r="F266" i="5"/>
  <c r="F267" i="5"/>
  <c r="F268" i="5"/>
  <c r="F269" i="5"/>
  <c r="F270" i="5"/>
  <c r="F271" i="5"/>
  <c r="F272" i="5"/>
  <c r="F273" i="5"/>
  <c r="F274" i="5"/>
  <c r="F275" i="5"/>
  <c r="F276" i="5"/>
  <c r="F277" i="5"/>
  <c r="F278" i="5"/>
  <c r="F279" i="5"/>
  <c r="F280" i="5"/>
  <c r="F281" i="5"/>
  <c r="F282" i="5"/>
  <c r="F283" i="5"/>
  <c r="F284" i="5"/>
  <c r="F285" i="5"/>
  <c r="F286" i="5"/>
  <c r="F287" i="5"/>
  <c r="F288" i="5"/>
  <c r="F289" i="5"/>
  <c r="F290" i="5"/>
  <c r="F291" i="5"/>
  <c r="F292" i="5"/>
  <c r="F293" i="5"/>
  <c r="F294" i="5"/>
  <c r="F295" i="5"/>
  <c r="F296" i="5"/>
  <c r="F297" i="5"/>
  <c r="F298" i="5"/>
  <c r="F299" i="5"/>
  <c r="F300" i="5"/>
  <c r="F301" i="5"/>
  <c r="F302" i="5"/>
  <c r="F303" i="5"/>
  <c r="F304" i="5"/>
  <c r="F305" i="5"/>
  <c r="F306" i="5"/>
  <c r="F307" i="5"/>
  <c r="F308" i="5"/>
  <c r="F309" i="5"/>
  <c r="F310" i="5"/>
  <c r="F311" i="5"/>
  <c r="F312" i="5"/>
  <c r="F313" i="5"/>
  <c r="F314" i="5"/>
  <c r="F315" i="5"/>
  <c r="F316" i="5"/>
  <c r="F317" i="5"/>
  <c r="F318" i="5"/>
  <c r="F319" i="5"/>
  <c r="F320" i="5"/>
  <c r="F321" i="5"/>
  <c r="F322" i="5"/>
  <c r="F323" i="5"/>
  <c r="F324" i="5"/>
  <c r="F325" i="5"/>
  <c r="F326" i="5"/>
  <c r="F327" i="5"/>
  <c r="F328" i="5"/>
  <c r="F329" i="5"/>
  <c r="F330" i="5"/>
  <c r="F331" i="5"/>
  <c r="F332" i="5"/>
  <c r="F333" i="5"/>
  <c r="F334" i="5"/>
  <c r="F335" i="5"/>
  <c r="F336" i="5"/>
  <c r="F337" i="5"/>
  <c r="F338" i="5"/>
  <c r="F339" i="5"/>
  <c r="F340" i="5"/>
  <c r="F341" i="5"/>
  <c r="F342" i="5"/>
  <c r="F343" i="5"/>
  <c r="F344" i="5"/>
  <c r="F345" i="5"/>
  <c r="F346" i="5"/>
  <c r="F347" i="5"/>
  <c r="F348" i="5"/>
  <c r="F349" i="5"/>
  <c r="F350" i="5"/>
  <c r="F351" i="5"/>
  <c r="F352" i="5"/>
  <c r="F353" i="5"/>
  <c r="F354" i="5"/>
  <c r="F355" i="5"/>
  <c r="F356" i="5"/>
  <c r="F357" i="5"/>
  <c r="F358" i="5"/>
  <c r="F359" i="5"/>
  <c r="F360" i="5"/>
  <c r="F361" i="5"/>
  <c r="F362" i="5"/>
  <c r="F363" i="5"/>
  <c r="F364" i="5"/>
  <c r="F365" i="5"/>
  <c r="F366" i="5"/>
  <c r="F367" i="5"/>
  <c r="F368" i="5"/>
  <c r="F369" i="5"/>
  <c r="F370" i="5"/>
  <c r="F371" i="5"/>
  <c r="F372" i="5"/>
  <c r="F373" i="5"/>
  <c r="F374" i="5"/>
  <c r="F375" i="5"/>
  <c r="F376" i="5"/>
  <c r="F377" i="5"/>
  <c r="F378" i="5"/>
  <c r="F379" i="5"/>
  <c r="F380" i="5"/>
  <c r="F381" i="5"/>
  <c r="F382" i="5"/>
  <c r="F383" i="5"/>
  <c r="F384" i="5"/>
  <c r="F385" i="5"/>
  <c r="F386" i="5"/>
  <c r="F387" i="5"/>
  <c r="F388" i="5"/>
  <c r="F389" i="5"/>
  <c r="F390" i="5"/>
  <c r="F391" i="5"/>
  <c r="F392" i="5"/>
  <c r="F393" i="5"/>
  <c r="F394" i="5"/>
  <c r="F395" i="5"/>
  <c r="F396" i="5"/>
  <c r="F397" i="5"/>
  <c r="F398" i="5"/>
  <c r="F399" i="5"/>
  <c r="F400" i="5"/>
  <c r="F401" i="5"/>
  <c r="F402" i="5"/>
  <c r="F403" i="5"/>
  <c r="F404" i="5"/>
  <c r="F405" i="5"/>
  <c r="F406" i="5"/>
  <c r="F407" i="5"/>
  <c r="F408" i="5"/>
  <c r="F409" i="5"/>
  <c r="F410" i="5"/>
  <c r="F411" i="5"/>
  <c r="F412" i="5"/>
  <c r="F413" i="5"/>
  <c r="F414" i="5"/>
  <c r="F415" i="5"/>
  <c r="F416" i="5"/>
  <c r="F417" i="5"/>
  <c r="F418" i="5"/>
  <c r="F419" i="5"/>
  <c r="F420" i="5"/>
  <c r="F421" i="5"/>
  <c r="F422" i="5"/>
  <c r="F423" i="5"/>
  <c r="F424" i="5"/>
  <c r="F425" i="5"/>
  <c r="F426" i="5"/>
  <c r="F427" i="5"/>
  <c r="F428" i="5"/>
  <c r="F429" i="5"/>
  <c r="F430" i="5"/>
  <c r="F431" i="5"/>
  <c r="F432" i="5"/>
  <c r="F433" i="5"/>
  <c r="F434" i="5"/>
  <c r="F435" i="5"/>
  <c r="F436" i="5"/>
  <c r="F437" i="5"/>
  <c r="F438" i="5"/>
  <c r="F439" i="5"/>
  <c r="F440" i="5"/>
  <c r="F441" i="5"/>
  <c r="F442" i="5"/>
  <c r="F443" i="5"/>
  <c r="F444" i="5"/>
  <c r="F445" i="5"/>
  <c r="F446" i="5"/>
  <c r="F447" i="5"/>
  <c r="F448" i="5"/>
  <c r="F449" i="5"/>
  <c r="F450" i="5"/>
  <c r="F451" i="5"/>
  <c r="F452" i="5"/>
  <c r="F453" i="5"/>
  <c r="F454" i="5"/>
  <c r="F455" i="5"/>
  <c r="F456" i="5"/>
  <c r="F457" i="5"/>
  <c r="F458" i="5"/>
  <c r="F459" i="5"/>
  <c r="F460" i="5"/>
  <c r="F461" i="5"/>
  <c r="F462" i="5"/>
  <c r="F463" i="5"/>
  <c r="F464" i="5"/>
  <c r="F465" i="5"/>
  <c r="F466" i="5"/>
  <c r="F467" i="5"/>
  <c r="F468" i="5"/>
  <c r="F469" i="5"/>
  <c r="F470" i="5"/>
  <c r="F471" i="5"/>
  <c r="F472" i="5"/>
  <c r="F473" i="5"/>
  <c r="F474" i="5"/>
  <c r="F475" i="5"/>
  <c r="F476" i="5"/>
  <c r="F477" i="5"/>
  <c r="F478" i="5"/>
  <c r="F479" i="5"/>
  <c r="F480" i="5"/>
  <c r="F481" i="5"/>
  <c r="F482" i="5"/>
  <c r="F483" i="5"/>
  <c r="F484" i="5"/>
  <c r="F485" i="5"/>
  <c r="F486" i="5"/>
  <c r="F487" i="5"/>
  <c r="F488" i="5"/>
  <c r="F489" i="5"/>
  <c r="F490" i="5"/>
  <c r="F491" i="5"/>
  <c r="F492" i="5"/>
  <c r="F493" i="5"/>
  <c r="F494" i="5"/>
  <c r="F495" i="5"/>
  <c r="F496" i="5"/>
  <c r="F497" i="5"/>
  <c r="F498" i="5"/>
  <c r="F499" i="5"/>
  <c r="F500" i="5"/>
  <c r="F501" i="5"/>
  <c r="F502" i="5"/>
  <c r="F503" i="5"/>
  <c r="F504" i="5"/>
  <c r="F505" i="5"/>
  <c r="F506" i="5"/>
  <c r="F507" i="5"/>
  <c r="F508" i="5"/>
  <c r="F509" i="5"/>
  <c r="F510" i="5"/>
  <c r="F511" i="5"/>
  <c r="F512" i="5"/>
  <c r="F513" i="5"/>
  <c r="F514" i="5"/>
  <c r="F515" i="5"/>
  <c r="F516" i="5"/>
  <c r="F517" i="5"/>
  <c r="F518" i="5"/>
  <c r="F519" i="5"/>
  <c r="F520" i="5"/>
  <c r="F521" i="5"/>
  <c r="F522" i="5"/>
  <c r="F523" i="5"/>
  <c r="F524" i="5"/>
  <c r="F525" i="5"/>
  <c r="F526" i="5"/>
  <c r="F527" i="5"/>
  <c r="F528" i="5"/>
  <c r="F529" i="5"/>
  <c r="F530" i="5"/>
  <c r="F531" i="5"/>
  <c r="F532" i="5"/>
  <c r="F533" i="5"/>
  <c r="F534" i="5"/>
  <c r="F535" i="5"/>
  <c r="F536" i="5"/>
  <c r="F537" i="5"/>
  <c r="F538" i="5"/>
  <c r="F539" i="5"/>
  <c r="F540" i="5"/>
  <c r="F541" i="5"/>
  <c r="F542" i="5"/>
  <c r="F543" i="5"/>
  <c r="F544" i="5"/>
  <c r="F545" i="5"/>
  <c r="F546" i="5"/>
  <c r="F547" i="5"/>
  <c r="F548" i="5"/>
  <c r="F549" i="5"/>
  <c r="F550" i="5"/>
  <c r="F551" i="5"/>
  <c r="F552" i="5"/>
  <c r="F553" i="5"/>
  <c r="F554" i="5"/>
  <c r="F555" i="5"/>
  <c r="F556" i="5"/>
  <c r="F557" i="5"/>
  <c r="F558" i="5"/>
  <c r="F559" i="5"/>
  <c r="F560" i="5"/>
  <c r="F561" i="5"/>
  <c r="F562" i="5"/>
  <c r="F563" i="5"/>
  <c r="F564" i="5"/>
  <c r="F565" i="5"/>
  <c r="F566" i="5"/>
  <c r="F567" i="5"/>
  <c r="F568" i="5"/>
  <c r="F569" i="5"/>
  <c r="F570" i="5"/>
  <c r="F571" i="5"/>
  <c r="F572" i="5"/>
  <c r="F573" i="5"/>
  <c r="F574" i="5"/>
  <c r="F575" i="5"/>
  <c r="F576" i="5"/>
  <c r="F577" i="5"/>
  <c r="F578" i="5"/>
  <c r="F579" i="5"/>
  <c r="F580" i="5"/>
  <c r="F581" i="5"/>
  <c r="F582" i="5"/>
  <c r="F583" i="5"/>
  <c r="F584" i="5"/>
  <c r="F585" i="5"/>
  <c r="F586" i="5"/>
  <c r="F587" i="5"/>
  <c r="F588" i="5"/>
  <c r="F589" i="5"/>
  <c r="F590" i="5"/>
  <c r="F591" i="5"/>
  <c r="F592" i="5"/>
  <c r="F593" i="5"/>
  <c r="F594" i="5"/>
  <c r="F595" i="5"/>
  <c r="F596" i="5"/>
  <c r="F597" i="5"/>
  <c r="F598" i="5"/>
  <c r="F599" i="5"/>
  <c r="F600" i="5"/>
  <c r="F601" i="5"/>
  <c r="F602" i="5"/>
  <c r="F603" i="5"/>
  <c r="F604" i="5"/>
  <c r="F605" i="5"/>
  <c r="F606" i="5"/>
  <c r="F607" i="5"/>
  <c r="F608" i="5"/>
  <c r="F609" i="5"/>
  <c r="F610" i="5"/>
  <c r="F611" i="5"/>
  <c r="F612" i="5"/>
  <c r="F613" i="5"/>
  <c r="F614" i="5"/>
  <c r="F615" i="5"/>
  <c r="F616" i="5"/>
  <c r="F617" i="5"/>
  <c r="F618" i="5"/>
  <c r="F619" i="5"/>
  <c r="F620" i="5"/>
  <c r="F621" i="5"/>
  <c r="F622" i="5"/>
  <c r="F623" i="5"/>
  <c r="F624" i="5"/>
  <c r="F625" i="5"/>
  <c r="F626" i="5"/>
  <c r="F627" i="5"/>
  <c r="F628" i="5"/>
  <c r="F629" i="5"/>
  <c r="F630" i="5"/>
  <c r="F631" i="5"/>
  <c r="F632" i="5"/>
  <c r="F633" i="5"/>
  <c r="F634" i="5"/>
  <c r="F635" i="5"/>
  <c r="F636" i="5"/>
  <c r="F637" i="5"/>
  <c r="F638" i="5"/>
  <c r="F639" i="5"/>
  <c r="F640" i="5"/>
  <c r="F641" i="5"/>
  <c r="F642" i="5"/>
  <c r="F643" i="5"/>
  <c r="F644" i="5"/>
  <c r="F645" i="5"/>
  <c r="F646" i="5"/>
  <c r="F647" i="5"/>
  <c r="F648" i="5"/>
  <c r="F649" i="5"/>
  <c r="F650" i="5"/>
  <c r="F651" i="5"/>
  <c r="F652" i="5"/>
  <c r="F653" i="5"/>
  <c r="F654" i="5"/>
  <c r="F655" i="5"/>
  <c r="F656" i="5"/>
  <c r="F657" i="5"/>
  <c r="F658" i="5"/>
  <c r="F659" i="5"/>
  <c r="F660" i="5"/>
  <c r="F661" i="5"/>
  <c r="F662" i="5"/>
  <c r="F663" i="5"/>
  <c r="F664" i="5"/>
  <c r="F665" i="5"/>
  <c r="F666" i="5"/>
  <c r="F667" i="5"/>
  <c r="F668" i="5"/>
  <c r="F669" i="5"/>
  <c r="F670" i="5"/>
  <c r="F671" i="5"/>
  <c r="F672" i="5"/>
  <c r="F673" i="5"/>
  <c r="F674" i="5"/>
  <c r="F675" i="5"/>
  <c r="F676" i="5"/>
  <c r="F677" i="5"/>
  <c r="F678" i="5"/>
  <c r="F679" i="5"/>
  <c r="F680" i="5"/>
  <c r="F681" i="5"/>
  <c r="F682" i="5"/>
  <c r="F683" i="5"/>
  <c r="F684" i="5"/>
  <c r="F685" i="5"/>
  <c r="F686" i="5"/>
  <c r="F687" i="5"/>
  <c r="F688" i="5"/>
  <c r="F689" i="5"/>
  <c r="F690" i="5"/>
  <c r="F691" i="5"/>
  <c r="F692" i="5"/>
  <c r="F693" i="5"/>
  <c r="F694" i="5"/>
  <c r="F695" i="5"/>
  <c r="F696" i="5"/>
  <c r="F697" i="5"/>
  <c r="F698" i="5"/>
  <c r="F699" i="5"/>
  <c r="F700" i="5"/>
  <c r="F701" i="5"/>
  <c r="F702" i="5"/>
  <c r="F703" i="5"/>
  <c r="F704" i="5"/>
  <c r="F705" i="5"/>
  <c r="F706" i="5"/>
  <c r="F707" i="5"/>
  <c r="F708" i="5"/>
  <c r="F709" i="5"/>
  <c r="F710" i="5"/>
  <c r="F711" i="5"/>
  <c r="F712" i="5"/>
  <c r="F713" i="5"/>
  <c r="F714" i="5"/>
  <c r="F715" i="5"/>
  <c r="F716" i="5"/>
  <c r="F717" i="5"/>
  <c r="F718" i="5"/>
  <c r="F719" i="5"/>
  <c r="F720" i="5"/>
  <c r="F721" i="5"/>
  <c r="F722" i="5"/>
  <c r="F723" i="5"/>
  <c r="F724" i="5"/>
  <c r="F725" i="5"/>
  <c r="F726" i="5"/>
  <c r="F727" i="5"/>
  <c r="F728" i="5"/>
  <c r="F729" i="5"/>
  <c r="F730" i="5"/>
  <c r="F731" i="5"/>
  <c r="F732" i="5"/>
  <c r="F733" i="5"/>
  <c r="F734" i="5"/>
  <c r="F735" i="5"/>
  <c r="F736" i="5"/>
  <c r="F737" i="5"/>
  <c r="F738" i="5"/>
  <c r="F739" i="5"/>
  <c r="F740" i="5"/>
  <c r="F741" i="5"/>
  <c r="F742" i="5"/>
  <c r="F743" i="5"/>
  <c r="F744" i="5"/>
  <c r="F745" i="5"/>
  <c r="F746" i="5"/>
  <c r="F747" i="5"/>
  <c r="F748" i="5"/>
  <c r="F749" i="5"/>
  <c r="F750" i="5"/>
  <c r="F751" i="5"/>
  <c r="F752" i="5"/>
  <c r="F753" i="5"/>
  <c r="F754" i="5"/>
  <c r="F755" i="5"/>
  <c r="F756" i="5"/>
  <c r="F757" i="5"/>
  <c r="F758" i="5"/>
  <c r="F759" i="5"/>
  <c r="F760" i="5"/>
  <c r="F761" i="5"/>
  <c r="F762" i="5"/>
  <c r="F763" i="5"/>
  <c r="F764" i="5"/>
  <c r="F765" i="5"/>
  <c r="F766" i="5"/>
  <c r="F767" i="5"/>
  <c r="F768" i="5"/>
  <c r="F769" i="5"/>
  <c r="F770" i="5"/>
  <c r="F771" i="5"/>
  <c r="F772" i="5"/>
  <c r="F773" i="5"/>
  <c r="F774" i="5"/>
  <c r="F775" i="5"/>
  <c r="F776" i="5"/>
  <c r="F777" i="5"/>
  <c r="F778" i="5"/>
  <c r="F779" i="5"/>
  <c r="F780" i="5"/>
  <c r="F781" i="5"/>
  <c r="F782" i="5"/>
  <c r="F783" i="5"/>
  <c r="F784" i="5"/>
  <c r="F785" i="5"/>
  <c r="F786" i="5"/>
  <c r="F787" i="5"/>
  <c r="F788" i="5"/>
  <c r="F789" i="5"/>
  <c r="F790" i="5"/>
  <c r="F791" i="5"/>
  <c r="F792" i="5"/>
  <c r="F793" i="5"/>
  <c r="F794" i="5"/>
  <c r="F795" i="5"/>
  <c r="F796" i="5"/>
  <c r="F797" i="5"/>
  <c r="F798" i="5"/>
  <c r="F799" i="5"/>
  <c r="F800" i="5"/>
  <c r="F801" i="5"/>
  <c r="F802" i="5"/>
  <c r="F803" i="5"/>
  <c r="F804" i="5"/>
  <c r="F805" i="5"/>
  <c r="F806" i="5"/>
  <c r="F807" i="5"/>
  <c r="F808" i="5"/>
  <c r="F809" i="5"/>
  <c r="F810" i="5"/>
  <c r="F811" i="5"/>
  <c r="F812" i="5"/>
  <c r="F813" i="5"/>
  <c r="F814" i="5"/>
  <c r="F815" i="5"/>
  <c r="F816" i="5"/>
  <c r="F817" i="5"/>
  <c r="F818" i="5"/>
  <c r="F819" i="5"/>
  <c r="F820" i="5"/>
  <c r="F821" i="5"/>
  <c r="F822" i="5"/>
  <c r="F823" i="5"/>
  <c r="F824" i="5"/>
  <c r="F825" i="5"/>
  <c r="F826" i="5"/>
  <c r="F827" i="5"/>
  <c r="F828" i="5"/>
  <c r="F829" i="5"/>
  <c r="F830" i="5"/>
  <c r="F831" i="5"/>
  <c r="F832" i="5"/>
  <c r="F833" i="5"/>
  <c r="F834" i="5"/>
  <c r="F835" i="5"/>
  <c r="F836" i="5"/>
  <c r="F837" i="5"/>
  <c r="F838" i="5"/>
  <c r="F839" i="5"/>
  <c r="F840" i="5"/>
  <c r="F841" i="5"/>
  <c r="F842" i="5"/>
  <c r="F843" i="5"/>
  <c r="F844" i="5"/>
  <c r="F845" i="5"/>
  <c r="F846" i="5"/>
  <c r="F847" i="5"/>
  <c r="F848" i="5"/>
  <c r="F849" i="5"/>
  <c r="F850" i="5"/>
  <c r="F851" i="5"/>
  <c r="F852" i="5"/>
  <c r="F853" i="5"/>
  <c r="F854" i="5"/>
  <c r="F855" i="5"/>
  <c r="F856" i="5"/>
  <c r="F857" i="5"/>
  <c r="F858" i="5"/>
  <c r="F859" i="5"/>
  <c r="F860" i="5"/>
  <c r="F861" i="5"/>
  <c r="F862" i="5"/>
  <c r="F863" i="5"/>
  <c r="F864" i="5"/>
  <c r="F865" i="5"/>
  <c r="F866" i="5"/>
  <c r="F867" i="5"/>
  <c r="F868" i="5"/>
  <c r="F869" i="5"/>
  <c r="F870" i="5"/>
  <c r="F871" i="5"/>
  <c r="F872" i="5"/>
  <c r="F873" i="5"/>
  <c r="F874" i="5"/>
  <c r="F875" i="5"/>
  <c r="F876" i="5"/>
  <c r="F877" i="5"/>
  <c r="F878" i="5"/>
  <c r="F879" i="5"/>
  <c r="F880" i="5"/>
  <c r="F881" i="5"/>
  <c r="F882" i="5"/>
  <c r="F883" i="5"/>
  <c r="F884" i="5"/>
  <c r="F885" i="5"/>
  <c r="F886" i="5"/>
  <c r="F887" i="5"/>
  <c r="F888" i="5"/>
  <c r="F889" i="5"/>
  <c r="F890" i="5"/>
  <c r="F891" i="5"/>
  <c r="F892" i="5"/>
  <c r="F893" i="5"/>
  <c r="F894" i="5"/>
  <c r="F895" i="5"/>
  <c r="F896" i="5"/>
  <c r="F897" i="5"/>
  <c r="F898" i="5"/>
  <c r="F899" i="5"/>
  <c r="F900" i="5"/>
  <c r="F901" i="5"/>
  <c r="F902" i="5"/>
  <c r="F903" i="5"/>
  <c r="F904" i="5"/>
  <c r="F905" i="5"/>
  <c r="F906" i="5"/>
  <c r="F907" i="5"/>
  <c r="F908" i="5"/>
  <c r="F909" i="5"/>
  <c r="F910" i="5"/>
  <c r="F911" i="5"/>
  <c r="F912" i="5"/>
  <c r="F913" i="5"/>
  <c r="F914" i="5"/>
  <c r="F915" i="5"/>
  <c r="F916" i="5"/>
  <c r="F917" i="5"/>
  <c r="F918" i="5"/>
  <c r="F919" i="5"/>
  <c r="F920" i="5"/>
  <c r="F921" i="5"/>
  <c r="F922" i="5"/>
  <c r="F923" i="5"/>
  <c r="F924" i="5"/>
  <c r="F925" i="5"/>
  <c r="F926" i="5"/>
  <c r="F927" i="5"/>
  <c r="F928" i="5"/>
  <c r="F929" i="5"/>
  <c r="F930" i="5"/>
  <c r="F931" i="5"/>
  <c r="F932" i="5"/>
  <c r="F933" i="5"/>
  <c r="F934" i="5"/>
  <c r="F935" i="5"/>
  <c r="F936" i="5"/>
  <c r="F937" i="5"/>
  <c r="F938" i="5"/>
  <c r="F939" i="5"/>
  <c r="F940" i="5"/>
  <c r="F941" i="5"/>
  <c r="F942" i="5"/>
  <c r="F943" i="5"/>
  <c r="F944" i="5"/>
  <c r="F945" i="5"/>
  <c r="F946" i="5"/>
  <c r="F947" i="5"/>
  <c r="F948" i="5"/>
  <c r="F949" i="5"/>
  <c r="F950" i="5"/>
  <c r="F951" i="5"/>
  <c r="F952" i="5"/>
  <c r="F953" i="5"/>
  <c r="F954" i="5"/>
  <c r="F955" i="5"/>
  <c r="F956" i="5"/>
  <c r="F957" i="5"/>
  <c r="F958" i="5"/>
  <c r="F959" i="5"/>
  <c r="F960" i="5"/>
  <c r="F961" i="5"/>
  <c r="F962" i="5"/>
  <c r="F963" i="5"/>
  <c r="F964" i="5"/>
  <c r="F965" i="5"/>
  <c r="F966" i="5"/>
  <c r="F967" i="5"/>
  <c r="F968" i="5"/>
  <c r="F969" i="5"/>
  <c r="F970" i="5"/>
  <c r="F971" i="5"/>
  <c r="F972" i="5"/>
  <c r="F973" i="5"/>
  <c r="F974" i="5"/>
  <c r="F975" i="5"/>
  <c r="F976" i="5"/>
  <c r="F977" i="5"/>
  <c r="F978" i="5"/>
  <c r="F979" i="5"/>
  <c r="F980" i="5"/>
  <c r="F981" i="5"/>
  <c r="F982" i="5"/>
  <c r="F983" i="5"/>
  <c r="F984" i="5"/>
  <c r="F985" i="5"/>
  <c r="F986" i="5"/>
  <c r="F987" i="5"/>
  <c r="F988" i="5"/>
  <c r="F989" i="5"/>
  <c r="F990" i="5"/>
  <c r="F991" i="5"/>
  <c r="F992" i="5"/>
  <c r="F993" i="5"/>
  <c r="F994" i="5"/>
  <c r="F995" i="5"/>
  <c r="F996" i="5"/>
  <c r="F997" i="5"/>
  <c r="F998" i="5"/>
  <c r="F999" i="5"/>
  <c r="F1000" i="5"/>
  <c r="F1001" i="5"/>
  <c r="F1002" i="5"/>
  <c r="F1003" i="5"/>
  <c r="F1004" i="5"/>
  <c r="F1005" i="5"/>
  <c r="F1006" i="5"/>
  <c r="F1007" i="5"/>
  <c r="F1008" i="5"/>
  <c r="F1009" i="5"/>
  <c r="F1010" i="5"/>
  <c r="F1011" i="5"/>
  <c r="F1012" i="5"/>
  <c r="F1013" i="5"/>
  <c r="F1014" i="5"/>
  <c r="F1015" i="5"/>
  <c r="F1016" i="5"/>
  <c r="F1017" i="5"/>
  <c r="F1018" i="5"/>
  <c r="F1019" i="5"/>
  <c r="F1020" i="5"/>
  <c r="F1021" i="5"/>
  <c r="F1022" i="5"/>
  <c r="F1023" i="5"/>
  <c r="F1024" i="5"/>
  <c r="F1025" i="5"/>
  <c r="F1026" i="5"/>
  <c r="F1027" i="5"/>
  <c r="F1028" i="5"/>
  <c r="F1029" i="5"/>
  <c r="F1030" i="5"/>
  <c r="F1031" i="5"/>
  <c r="F1032" i="5"/>
  <c r="F1033" i="5"/>
  <c r="F1034" i="5"/>
  <c r="F1035" i="5"/>
  <c r="F1036" i="5"/>
  <c r="F1037" i="5"/>
  <c r="F1038" i="5"/>
  <c r="F1039" i="5"/>
  <c r="F1040" i="5"/>
  <c r="F1041" i="5"/>
  <c r="F1042" i="5"/>
  <c r="F1043" i="5"/>
  <c r="F1044" i="5"/>
  <c r="F1045" i="5"/>
  <c r="F1046" i="5"/>
  <c r="F1047" i="5"/>
  <c r="F1048" i="5"/>
  <c r="F1049" i="5"/>
  <c r="F1050" i="5"/>
  <c r="F1051" i="5"/>
  <c r="F1052" i="5"/>
  <c r="F1053" i="5"/>
  <c r="F1054" i="5"/>
  <c r="F1055" i="5"/>
  <c r="F1056" i="5"/>
  <c r="F1057" i="5"/>
  <c r="F1058" i="5"/>
  <c r="F1059" i="5"/>
  <c r="F1060" i="5"/>
  <c r="F1061" i="5"/>
  <c r="F1062" i="5"/>
  <c r="F1063" i="5"/>
  <c r="F1064" i="5"/>
  <c r="F1065" i="5"/>
  <c r="F1066" i="5"/>
  <c r="F1067" i="5"/>
  <c r="F1068" i="5"/>
  <c r="F1069" i="5"/>
  <c r="F1070" i="5"/>
  <c r="F1071" i="5"/>
  <c r="F1072" i="5"/>
  <c r="F1073" i="5"/>
  <c r="F1074" i="5"/>
  <c r="F1075" i="5"/>
  <c r="F1076" i="5"/>
  <c r="F1077" i="5"/>
  <c r="F1078" i="5"/>
  <c r="F1079" i="5"/>
  <c r="F1080" i="5"/>
  <c r="F1081" i="5"/>
  <c r="F1082" i="5"/>
  <c r="F1083" i="5"/>
  <c r="F1084" i="5"/>
  <c r="F1085" i="5"/>
  <c r="F1086" i="5"/>
  <c r="F1087" i="5"/>
  <c r="F1088" i="5"/>
  <c r="F1089" i="5"/>
  <c r="F1090" i="5"/>
  <c r="F1091" i="5"/>
  <c r="F1092" i="5"/>
  <c r="F1093" i="5"/>
  <c r="F1094" i="5"/>
  <c r="F1095" i="5"/>
  <c r="F1096" i="5"/>
  <c r="F1097" i="5"/>
  <c r="F1098" i="5"/>
  <c r="F1099" i="5"/>
  <c r="F1100" i="5"/>
  <c r="F1101" i="5"/>
  <c r="F1102" i="5"/>
  <c r="F1103" i="5"/>
  <c r="F1104" i="5"/>
  <c r="F1105" i="5"/>
  <c r="F1106" i="5"/>
  <c r="F1107" i="5"/>
  <c r="F1108" i="5"/>
  <c r="F1109" i="5"/>
  <c r="F1110" i="5"/>
  <c r="F1111" i="5"/>
  <c r="F1112" i="5"/>
  <c r="F1113" i="5"/>
  <c r="F1114" i="5"/>
  <c r="F1115" i="5"/>
  <c r="F1116" i="5"/>
  <c r="F1117" i="5"/>
  <c r="F1118" i="5"/>
  <c r="F1119" i="5"/>
  <c r="F1120" i="5"/>
  <c r="F1121" i="5"/>
  <c r="F1122" i="5"/>
  <c r="F1123" i="5"/>
  <c r="F1124" i="5"/>
  <c r="F1125" i="5"/>
  <c r="F1126" i="5"/>
  <c r="F1127" i="5"/>
  <c r="F1128" i="5"/>
  <c r="F1129" i="5"/>
  <c r="F1130" i="5"/>
  <c r="F1131" i="5"/>
  <c r="F1132" i="5"/>
  <c r="F1133" i="5"/>
  <c r="F1134" i="5"/>
  <c r="F1135" i="5"/>
  <c r="F1136" i="5"/>
  <c r="F1137" i="5"/>
  <c r="F1138" i="5"/>
  <c r="F1139" i="5"/>
  <c r="F1140" i="5"/>
  <c r="F1141" i="5"/>
  <c r="F1142" i="5"/>
  <c r="F1143" i="5"/>
  <c r="F1144" i="5"/>
  <c r="F1145" i="5"/>
  <c r="F1146" i="5"/>
  <c r="F1147" i="5"/>
  <c r="F1148" i="5"/>
  <c r="F1149" i="5"/>
  <c r="F1150" i="5"/>
  <c r="F1151" i="5"/>
  <c r="F1152" i="5"/>
  <c r="F1153" i="5"/>
  <c r="F1154" i="5"/>
  <c r="F1155" i="5"/>
  <c r="F1156" i="5"/>
  <c r="F1157" i="5"/>
  <c r="F1158" i="5"/>
  <c r="F1159" i="5"/>
  <c r="F1160" i="5"/>
  <c r="F1161" i="5"/>
  <c r="F1162" i="5"/>
  <c r="F1163" i="5"/>
  <c r="F1164" i="5"/>
  <c r="F1165" i="5"/>
  <c r="F1166" i="5"/>
  <c r="F1167" i="5"/>
  <c r="F1168" i="5"/>
  <c r="F1169" i="5"/>
  <c r="F1170" i="5"/>
  <c r="F1171" i="5"/>
  <c r="F1172" i="5"/>
  <c r="F1173" i="5"/>
  <c r="F1174" i="5"/>
  <c r="F1175" i="5"/>
  <c r="F1176" i="5"/>
  <c r="F1177" i="5"/>
  <c r="F1178" i="5"/>
  <c r="F1179" i="5"/>
  <c r="F1180" i="5"/>
  <c r="F1181" i="5"/>
  <c r="F1182" i="5"/>
  <c r="F1183" i="5"/>
  <c r="F1184" i="5"/>
  <c r="F1185" i="5"/>
  <c r="F1186" i="5"/>
  <c r="F1187" i="5"/>
  <c r="F1188" i="5"/>
  <c r="F1189" i="5"/>
  <c r="F1190" i="5"/>
  <c r="F1191" i="5"/>
  <c r="F1192" i="5"/>
  <c r="F1193" i="5"/>
  <c r="F1194" i="5"/>
  <c r="F1195" i="5"/>
  <c r="F1196" i="5"/>
  <c r="F1197" i="5"/>
  <c r="F1198" i="5"/>
  <c r="F1199" i="5"/>
  <c r="F1200" i="5"/>
  <c r="F1201" i="5"/>
  <c r="F1202" i="5"/>
  <c r="F1203" i="5"/>
  <c r="F1204" i="5"/>
  <c r="F1205" i="5"/>
  <c r="F1206" i="5"/>
  <c r="F1207" i="5"/>
  <c r="F1208" i="5"/>
  <c r="F1209" i="5"/>
  <c r="F1210" i="5"/>
  <c r="F1211" i="5"/>
  <c r="F1212" i="5"/>
  <c r="F1213" i="5"/>
  <c r="F1214" i="5"/>
  <c r="F1215" i="5"/>
  <c r="F1216" i="5"/>
  <c r="F1217" i="5"/>
  <c r="F1218" i="5"/>
  <c r="F1219" i="5"/>
  <c r="F1220" i="5"/>
  <c r="F1221" i="5"/>
  <c r="F1222" i="5"/>
  <c r="F1223" i="5"/>
  <c r="F1224" i="5"/>
  <c r="F1225" i="5"/>
  <c r="F1226" i="5"/>
  <c r="F1227" i="5"/>
  <c r="F1228" i="5"/>
  <c r="F1229" i="5"/>
  <c r="F1230" i="5"/>
  <c r="F1231" i="5"/>
  <c r="F1232" i="5"/>
  <c r="F1233" i="5"/>
  <c r="F1234" i="5"/>
  <c r="F1235" i="5"/>
  <c r="F1236" i="5"/>
  <c r="F1237" i="5"/>
  <c r="F1238" i="5"/>
  <c r="F1239" i="5"/>
  <c r="F1240" i="5"/>
  <c r="F1241" i="5"/>
  <c r="F1242" i="5"/>
  <c r="F1243" i="5"/>
  <c r="F1244" i="5"/>
  <c r="F1245" i="5"/>
  <c r="F1246" i="5"/>
  <c r="F1247" i="5"/>
  <c r="F1248" i="5"/>
  <c r="F1249" i="5"/>
  <c r="F1250" i="5"/>
  <c r="F1251" i="5"/>
  <c r="F1252" i="5"/>
  <c r="F1253" i="5"/>
  <c r="F1254" i="5"/>
  <c r="F1255" i="5"/>
  <c r="F1256" i="5"/>
  <c r="F1257" i="5"/>
  <c r="F1258" i="5"/>
  <c r="F1259" i="5"/>
  <c r="F1260" i="5"/>
  <c r="F1261" i="5"/>
  <c r="F1262" i="5"/>
  <c r="F1263" i="5"/>
  <c r="F1264" i="5"/>
  <c r="F1265" i="5"/>
  <c r="F1266" i="5"/>
  <c r="F1267" i="5"/>
  <c r="F1268" i="5"/>
  <c r="F1269" i="5"/>
  <c r="F1270" i="5"/>
  <c r="F1271" i="5"/>
  <c r="F1272" i="5"/>
  <c r="F1273" i="5"/>
  <c r="F1274" i="5"/>
  <c r="F1275" i="5"/>
  <c r="F1276" i="5"/>
  <c r="F1277" i="5"/>
  <c r="F1278" i="5"/>
  <c r="F1279" i="5"/>
  <c r="F1280" i="5"/>
  <c r="F1281" i="5"/>
  <c r="F1282" i="5"/>
  <c r="F1283" i="5"/>
  <c r="F1284" i="5"/>
  <c r="F1285" i="5"/>
  <c r="F1286" i="5"/>
  <c r="F1287" i="5"/>
  <c r="F1288" i="5"/>
  <c r="F1289" i="5"/>
  <c r="F1290" i="5"/>
  <c r="F1291" i="5"/>
  <c r="F1292" i="5"/>
  <c r="F1293" i="5"/>
  <c r="F1294" i="5"/>
  <c r="F1295" i="5"/>
  <c r="F1296" i="5"/>
  <c r="F1297" i="5"/>
  <c r="F1298" i="5"/>
  <c r="F1299" i="5"/>
  <c r="F1300" i="5"/>
  <c r="F1301" i="5"/>
  <c r="F1302" i="5"/>
  <c r="F1303" i="5"/>
  <c r="F1304" i="5"/>
  <c r="F1305" i="5"/>
  <c r="F1306" i="5"/>
  <c r="F1307" i="5"/>
  <c r="F1308" i="5"/>
  <c r="F1309" i="5"/>
  <c r="F1310" i="5"/>
  <c r="F1311" i="5"/>
  <c r="F1312" i="5"/>
  <c r="F1313" i="5"/>
  <c r="F1314" i="5"/>
  <c r="F1315" i="5"/>
  <c r="F1316" i="5"/>
  <c r="F1317" i="5"/>
  <c r="F1318" i="5"/>
  <c r="F1319" i="5"/>
  <c r="F1320" i="5"/>
  <c r="F1321" i="5"/>
  <c r="F1322" i="5"/>
  <c r="F1323" i="5"/>
  <c r="F1324" i="5"/>
  <c r="F1325" i="5"/>
  <c r="F1326" i="5"/>
  <c r="F1327" i="5"/>
  <c r="F1328" i="5"/>
  <c r="F1329" i="5"/>
  <c r="F1330" i="5"/>
  <c r="F1331" i="5"/>
  <c r="F1332" i="5"/>
  <c r="F1333" i="5"/>
  <c r="F1334" i="5"/>
  <c r="F1335" i="5"/>
  <c r="F1336" i="5"/>
  <c r="F1337" i="5"/>
  <c r="F1338" i="5"/>
  <c r="F1339" i="5"/>
  <c r="F1340" i="5"/>
  <c r="F1341" i="5"/>
  <c r="F1342" i="5"/>
  <c r="F1343" i="5"/>
  <c r="F1344" i="5"/>
  <c r="F1345" i="5"/>
  <c r="F1346" i="5"/>
  <c r="F1347" i="5"/>
  <c r="F1348" i="5"/>
  <c r="F1349" i="5"/>
  <c r="F1350" i="5"/>
  <c r="F1351" i="5"/>
  <c r="F1352" i="5"/>
  <c r="F1353" i="5"/>
  <c r="F1354" i="5"/>
  <c r="F1355" i="5"/>
  <c r="F1356" i="5"/>
  <c r="F1357" i="5"/>
  <c r="F1358" i="5"/>
  <c r="F1359" i="5"/>
  <c r="F1360" i="5"/>
  <c r="F1361" i="5"/>
  <c r="F1362" i="5"/>
  <c r="F1363" i="5"/>
  <c r="F1364" i="5"/>
  <c r="F1365" i="5"/>
  <c r="F1366" i="5"/>
  <c r="F1367" i="5"/>
  <c r="F1368" i="5"/>
  <c r="F1369" i="5"/>
  <c r="F1370" i="5"/>
  <c r="F1371" i="5"/>
  <c r="F1372" i="5"/>
  <c r="F1373" i="5"/>
  <c r="F1374" i="5"/>
  <c r="F1375" i="5"/>
  <c r="F1376" i="5"/>
  <c r="F1377" i="5"/>
  <c r="F1378" i="5"/>
  <c r="F1379" i="5"/>
  <c r="F1380" i="5"/>
  <c r="F1381" i="5"/>
  <c r="F1382" i="5"/>
  <c r="F1383" i="5"/>
  <c r="F1384" i="5"/>
  <c r="F1385" i="5"/>
  <c r="F1386" i="5"/>
  <c r="F1387" i="5"/>
  <c r="F1388" i="5"/>
  <c r="F1389" i="5"/>
  <c r="F1390" i="5"/>
  <c r="F1391" i="5"/>
  <c r="F1392" i="5"/>
  <c r="F1393" i="5"/>
  <c r="F1394" i="5"/>
  <c r="F1395" i="5"/>
  <c r="F1396" i="5"/>
  <c r="F1397" i="5"/>
  <c r="F1398" i="5"/>
  <c r="F1399" i="5"/>
  <c r="F1400" i="5"/>
  <c r="F1401" i="5"/>
  <c r="F1402" i="5"/>
  <c r="F1403" i="5"/>
  <c r="F1404" i="5"/>
  <c r="F1405" i="5"/>
  <c r="F1406" i="5"/>
  <c r="F1407" i="5"/>
  <c r="F1408" i="5"/>
  <c r="F1409" i="5"/>
  <c r="F1410" i="5"/>
  <c r="F1411" i="5"/>
  <c r="F1412" i="5"/>
  <c r="F1413" i="5"/>
  <c r="F1414" i="5"/>
  <c r="F1415" i="5"/>
  <c r="F1416" i="5"/>
  <c r="F1417" i="5"/>
  <c r="F1418" i="5"/>
  <c r="F1419" i="5"/>
  <c r="F1420" i="5"/>
  <c r="F1421" i="5"/>
  <c r="F1422" i="5"/>
  <c r="F1423" i="5"/>
  <c r="F1424" i="5"/>
  <c r="F1425" i="5"/>
  <c r="F1426" i="5"/>
  <c r="F1427" i="5"/>
  <c r="F1428" i="5"/>
  <c r="F1429" i="5"/>
  <c r="F1430" i="5"/>
  <c r="F1431" i="5"/>
  <c r="F1432" i="5"/>
  <c r="F1433" i="5"/>
  <c r="F1434" i="5"/>
  <c r="F1435" i="5"/>
  <c r="F1436" i="5"/>
  <c r="F1437" i="5"/>
  <c r="F1438" i="5"/>
  <c r="F1439" i="5"/>
  <c r="F1440" i="5"/>
  <c r="F1441" i="5"/>
  <c r="F1442" i="5"/>
  <c r="F1443" i="5"/>
  <c r="F1444" i="5"/>
  <c r="F1445" i="5"/>
  <c r="F1446" i="5"/>
  <c r="F1447" i="5"/>
  <c r="F1448" i="5"/>
  <c r="F1449" i="5"/>
  <c r="F1450" i="5"/>
  <c r="F1451" i="5"/>
  <c r="F1452" i="5"/>
  <c r="F1453" i="5"/>
  <c r="F1454" i="5"/>
  <c r="F1455" i="5"/>
  <c r="F1456" i="5"/>
  <c r="F1457" i="5"/>
  <c r="F1458" i="5"/>
  <c r="F1459" i="5"/>
  <c r="F1460" i="5"/>
  <c r="F1461" i="5"/>
  <c r="F1462" i="5"/>
  <c r="F1463" i="5"/>
  <c r="F1464" i="5"/>
  <c r="F1465" i="5"/>
  <c r="F1466" i="5"/>
  <c r="F1467" i="5"/>
  <c r="F1468" i="5"/>
  <c r="F1469" i="5"/>
  <c r="F1470" i="5"/>
  <c r="F1471" i="5"/>
  <c r="F1472" i="5"/>
  <c r="F1473" i="5"/>
  <c r="F1474" i="5"/>
  <c r="F1475" i="5"/>
  <c r="F1476" i="5"/>
  <c r="F1477" i="5"/>
  <c r="F1478" i="5"/>
  <c r="F1479" i="5"/>
  <c r="F1480" i="5"/>
  <c r="F1481" i="5"/>
  <c r="F1482" i="5"/>
  <c r="F1483" i="5"/>
  <c r="F1484" i="5"/>
  <c r="F1485" i="5"/>
  <c r="F1486" i="5"/>
  <c r="F1487" i="5"/>
  <c r="F1488" i="5"/>
  <c r="F1489" i="5"/>
  <c r="F1490" i="5"/>
  <c r="F1491" i="5"/>
  <c r="F1492" i="5"/>
  <c r="F1493" i="5"/>
  <c r="F1494" i="5"/>
  <c r="F1495" i="5"/>
  <c r="F1496" i="5"/>
  <c r="F1497" i="5"/>
  <c r="F1498" i="5"/>
  <c r="F1499" i="5"/>
  <c r="F1500" i="5"/>
  <c r="F1501" i="5"/>
  <c r="F1502" i="5"/>
  <c r="F1503" i="5"/>
  <c r="F1504" i="5"/>
  <c r="F1505" i="5"/>
  <c r="F1506" i="5"/>
  <c r="F1507" i="5"/>
  <c r="F1508" i="5"/>
  <c r="F1509" i="5"/>
  <c r="F1510" i="5"/>
  <c r="F1511" i="5"/>
  <c r="F1512" i="5"/>
  <c r="F1513" i="5"/>
  <c r="F1514" i="5"/>
  <c r="F1515" i="5"/>
  <c r="F1516" i="5"/>
  <c r="F1517" i="5"/>
  <c r="F1518" i="5"/>
  <c r="F1519" i="5"/>
  <c r="F1520" i="5"/>
  <c r="F1521" i="5"/>
  <c r="F1522" i="5"/>
  <c r="F1523" i="5"/>
  <c r="F1524" i="5"/>
  <c r="F1525" i="5"/>
  <c r="F1526" i="5"/>
  <c r="F1527" i="5"/>
  <c r="F1528" i="5"/>
  <c r="F1529" i="5"/>
  <c r="F1530" i="5"/>
  <c r="F1531" i="5"/>
  <c r="F1532" i="5"/>
  <c r="F1533" i="5"/>
  <c r="F1534" i="5"/>
  <c r="F1535" i="5"/>
  <c r="F1536" i="5"/>
  <c r="F1537" i="5"/>
  <c r="F1538" i="5"/>
  <c r="F1539" i="5"/>
  <c r="F1540" i="5"/>
  <c r="F1541" i="5"/>
  <c r="F1542" i="5"/>
  <c r="F1543" i="5"/>
  <c r="F1544" i="5"/>
  <c r="F1545" i="5"/>
  <c r="F1546" i="5"/>
  <c r="F1547" i="5"/>
  <c r="F1548" i="5"/>
  <c r="F1549" i="5"/>
  <c r="F1550" i="5"/>
  <c r="F1551" i="5"/>
  <c r="F1552" i="5"/>
  <c r="F1553" i="5"/>
  <c r="F1554" i="5"/>
  <c r="F1555" i="5"/>
  <c r="F1556" i="5"/>
  <c r="F1557" i="5"/>
  <c r="F1558" i="5"/>
  <c r="F1559" i="5"/>
  <c r="F1560" i="5"/>
  <c r="F1561" i="5"/>
  <c r="F1562" i="5"/>
  <c r="F1563" i="5"/>
  <c r="F1564" i="5"/>
  <c r="F1565" i="5"/>
  <c r="F1566" i="5"/>
  <c r="F1567" i="5"/>
  <c r="F1568" i="5"/>
  <c r="F1569" i="5"/>
  <c r="F1570" i="5"/>
  <c r="F1571" i="5"/>
  <c r="F1572" i="5"/>
  <c r="F1573" i="5"/>
  <c r="F1574" i="5"/>
  <c r="F1575" i="5"/>
  <c r="F1576" i="5"/>
  <c r="F1577" i="5"/>
  <c r="F1578" i="5"/>
  <c r="F1579" i="5"/>
  <c r="F1580" i="5"/>
  <c r="F1581" i="5"/>
  <c r="F1582" i="5"/>
  <c r="F1583" i="5"/>
  <c r="F1584" i="5"/>
  <c r="F1585" i="5"/>
  <c r="F1586" i="5"/>
  <c r="F1587" i="5"/>
  <c r="F1588" i="5"/>
  <c r="F1589" i="5"/>
  <c r="F1590" i="5"/>
  <c r="F1591" i="5"/>
  <c r="F1592" i="5"/>
  <c r="F1593" i="5"/>
  <c r="F1594" i="5"/>
  <c r="F1595" i="5"/>
  <c r="F1596" i="5"/>
  <c r="F1597" i="5"/>
  <c r="F1598" i="5"/>
  <c r="F1599" i="5"/>
  <c r="F1600" i="5"/>
  <c r="F1601" i="5"/>
  <c r="F1602" i="5"/>
  <c r="F1603" i="5"/>
  <c r="F1604" i="5"/>
  <c r="F1605" i="5"/>
  <c r="F1606" i="5"/>
  <c r="F1607" i="5"/>
  <c r="F1608" i="5"/>
  <c r="F1609" i="5"/>
  <c r="F1610" i="5"/>
  <c r="F1611" i="5"/>
  <c r="F1612" i="5"/>
  <c r="F1613" i="5"/>
  <c r="F1614" i="5"/>
  <c r="F1615" i="5"/>
  <c r="F1616" i="5"/>
  <c r="F1617" i="5"/>
  <c r="F1618" i="5"/>
  <c r="F1619" i="5"/>
  <c r="F1620" i="5"/>
  <c r="F1621" i="5"/>
  <c r="F1622" i="5"/>
  <c r="F1623" i="5"/>
  <c r="F1624" i="5"/>
  <c r="F1625" i="5"/>
  <c r="F1626" i="5"/>
  <c r="F1627" i="5"/>
  <c r="F1628" i="5"/>
  <c r="F1629" i="5"/>
  <c r="F1630" i="5"/>
  <c r="F1631" i="5"/>
  <c r="F1632" i="5"/>
  <c r="F1633" i="5"/>
  <c r="F1634" i="5"/>
  <c r="F1635" i="5"/>
  <c r="F1636" i="5"/>
  <c r="F1637" i="5"/>
  <c r="F1638" i="5"/>
  <c r="F1639" i="5"/>
  <c r="F1640" i="5"/>
  <c r="F1641" i="5"/>
  <c r="F1642" i="5"/>
  <c r="F1643" i="5"/>
  <c r="F1644" i="5"/>
  <c r="F1645" i="5"/>
  <c r="F1646" i="5"/>
  <c r="F1647" i="5"/>
  <c r="F1648" i="5"/>
  <c r="F1649" i="5"/>
  <c r="F1650" i="5"/>
  <c r="F1651" i="5"/>
  <c r="F1652" i="5"/>
  <c r="F1653" i="5"/>
  <c r="F1654" i="5"/>
  <c r="F1655" i="5"/>
  <c r="F1656" i="5"/>
  <c r="F1657" i="5"/>
  <c r="F1658" i="5"/>
  <c r="F1659" i="5"/>
  <c r="F1660" i="5"/>
  <c r="F1661" i="5"/>
  <c r="F1662" i="5"/>
  <c r="F1663" i="5"/>
  <c r="F1664" i="5"/>
  <c r="F1665" i="5"/>
  <c r="F1666" i="5"/>
  <c r="F1667" i="5"/>
  <c r="F1668" i="5"/>
  <c r="F1669" i="5"/>
  <c r="F1670" i="5"/>
  <c r="F1671" i="5"/>
  <c r="F1672" i="5"/>
  <c r="F1673" i="5"/>
  <c r="F1674" i="5"/>
  <c r="F1675" i="5"/>
  <c r="F1676" i="5"/>
  <c r="F1677" i="5"/>
  <c r="F1678" i="5"/>
  <c r="F1679" i="5"/>
  <c r="F1680" i="5"/>
  <c r="F1681" i="5"/>
  <c r="F1682" i="5"/>
  <c r="F1683" i="5"/>
  <c r="F1684" i="5"/>
  <c r="F1685" i="5"/>
  <c r="F1686" i="5"/>
  <c r="F1687" i="5"/>
  <c r="F1688" i="5"/>
  <c r="F1689" i="5"/>
  <c r="F1690" i="5"/>
  <c r="F1691" i="5"/>
  <c r="F1692" i="5"/>
  <c r="F1693" i="5"/>
  <c r="F1694" i="5"/>
  <c r="F1695" i="5"/>
  <c r="F1696" i="5"/>
  <c r="F1697" i="5"/>
  <c r="F1698" i="5"/>
  <c r="F1699" i="5"/>
  <c r="F1700" i="5"/>
  <c r="F1701" i="5"/>
  <c r="F1702" i="5"/>
  <c r="F1703" i="5"/>
  <c r="F1704" i="5"/>
  <c r="F1705" i="5"/>
  <c r="F1706" i="5"/>
  <c r="F1707" i="5"/>
  <c r="F1708" i="5"/>
  <c r="F1709" i="5"/>
  <c r="F1710" i="5"/>
  <c r="F1711" i="5"/>
  <c r="F1712" i="5"/>
  <c r="F1713" i="5"/>
  <c r="F1714" i="5"/>
  <c r="F1715" i="5"/>
  <c r="F1716" i="5"/>
  <c r="F1717" i="5"/>
  <c r="F1718" i="5"/>
  <c r="F1719" i="5"/>
  <c r="F1720" i="5"/>
  <c r="F1721" i="5"/>
  <c r="F1722" i="5"/>
  <c r="F1723" i="5"/>
  <c r="F1724" i="5"/>
  <c r="F1725" i="5"/>
  <c r="F1726" i="5"/>
  <c r="F1727" i="5"/>
  <c r="F1728" i="5"/>
  <c r="F1729" i="5"/>
  <c r="F1730" i="5"/>
  <c r="F1731" i="5"/>
  <c r="F1732" i="5"/>
  <c r="F1733" i="5"/>
  <c r="F1734" i="5"/>
  <c r="F1735" i="5"/>
  <c r="F1736" i="5"/>
  <c r="F1737" i="5"/>
  <c r="F1738" i="5"/>
  <c r="F1739" i="5"/>
  <c r="F1740" i="5"/>
  <c r="F1741" i="5"/>
  <c r="F1742" i="5"/>
  <c r="F1743" i="5"/>
  <c r="F1744" i="5"/>
  <c r="F1745" i="5"/>
  <c r="F1746" i="5"/>
  <c r="F1747" i="5"/>
  <c r="F1748" i="5"/>
  <c r="F1749" i="5"/>
  <c r="F1750" i="5"/>
  <c r="F1751" i="5"/>
  <c r="F1752" i="5"/>
  <c r="F1753" i="5"/>
  <c r="F1754" i="5"/>
  <c r="F1755" i="5"/>
  <c r="F1756" i="5"/>
  <c r="F1757" i="5"/>
  <c r="F1758" i="5"/>
  <c r="F1759" i="5"/>
  <c r="F1760" i="5"/>
  <c r="F1761" i="5"/>
  <c r="F1762" i="5"/>
  <c r="F1763" i="5"/>
  <c r="F1764" i="5"/>
  <c r="F1765" i="5"/>
  <c r="F1766" i="5"/>
  <c r="F1767" i="5"/>
  <c r="F1768" i="5"/>
  <c r="F1769" i="5"/>
  <c r="F1770" i="5"/>
  <c r="F1771" i="5"/>
  <c r="F1772" i="5"/>
  <c r="F1773" i="5"/>
  <c r="F1774" i="5"/>
  <c r="F1775" i="5"/>
  <c r="F1776" i="5"/>
  <c r="F1777" i="5"/>
  <c r="F1778" i="5"/>
  <c r="F1779" i="5"/>
  <c r="F1780" i="5"/>
  <c r="F1781" i="5"/>
  <c r="F1782" i="5"/>
  <c r="F1783" i="5"/>
  <c r="F1784" i="5"/>
  <c r="F1785" i="5"/>
  <c r="F1786" i="5"/>
  <c r="F1787" i="5"/>
  <c r="F1788" i="5"/>
  <c r="F1789" i="5"/>
  <c r="F1790" i="5"/>
  <c r="F1791" i="5"/>
  <c r="F1792" i="5"/>
  <c r="F1793" i="5"/>
  <c r="F1794" i="5"/>
  <c r="F1795" i="5"/>
  <c r="F1796" i="5"/>
  <c r="F1797" i="5"/>
  <c r="F1798" i="5"/>
  <c r="F1799" i="5"/>
  <c r="F1800" i="5"/>
  <c r="F1801" i="5"/>
  <c r="F1802" i="5"/>
  <c r="F1803" i="5"/>
  <c r="F1804" i="5"/>
  <c r="F1805" i="5"/>
  <c r="F1806" i="5"/>
  <c r="F1807" i="5"/>
  <c r="F1808" i="5"/>
  <c r="F1809" i="5"/>
  <c r="F1810" i="5"/>
  <c r="F1811" i="5"/>
  <c r="F1812" i="5"/>
  <c r="F1813" i="5"/>
  <c r="F1814" i="5"/>
  <c r="F1815" i="5"/>
  <c r="F1816" i="5"/>
  <c r="F1817" i="5"/>
  <c r="F1818" i="5"/>
  <c r="F1819" i="5"/>
  <c r="F1820" i="5"/>
  <c r="F1821" i="5"/>
  <c r="F1822" i="5"/>
  <c r="F1823" i="5"/>
  <c r="F1824" i="5"/>
  <c r="F1825" i="5"/>
  <c r="F1826" i="5"/>
  <c r="F1827" i="5"/>
  <c r="F1828" i="5"/>
  <c r="F1829" i="5"/>
  <c r="F1830" i="5"/>
  <c r="F1831" i="5"/>
  <c r="F1832" i="5"/>
  <c r="F1833" i="5"/>
  <c r="F1834" i="5"/>
  <c r="F1835" i="5"/>
  <c r="F1836" i="5"/>
  <c r="F1837" i="5"/>
  <c r="F1838" i="5"/>
  <c r="F1839" i="5"/>
  <c r="F1840" i="5"/>
  <c r="F1841" i="5"/>
  <c r="F1842" i="5"/>
  <c r="F1843" i="5"/>
  <c r="F1844" i="5"/>
  <c r="F1845" i="5"/>
  <c r="F1846" i="5"/>
  <c r="F1847" i="5"/>
  <c r="F1848" i="5"/>
  <c r="F1849" i="5"/>
  <c r="F1850" i="5"/>
  <c r="F1851" i="5"/>
  <c r="F1852" i="5"/>
  <c r="F1853" i="5"/>
  <c r="F1854" i="5"/>
  <c r="F1855" i="5"/>
  <c r="F1856" i="5"/>
  <c r="F1857" i="5"/>
  <c r="F1858" i="5"/>
  <c r="F1859" i="5"/>
  <c r="F1860" i="5"/>
  <c r="F1861" i="5"/>
  <c r="F1862" i="5"/>
  <c r="F1863" i="5"/>
  <c r="F1864" i="5"/>
  <c r="F1865" i="5"/>
  <c r="F1866" i="5"/>
  <c r="F1867" i="5"/>
  <c r="F1868" i="5"/>
  <c r="F1869" i="5"/>
  <c r="F1870" i="5"/>
  <c r="F1871" i="5"/>
  <c r="F1872" i="5"/>
  <c r="F1873" i="5"/>
  <c r="F1874" i="5"/>
  <c r="F1875" i="5"/>
  <c r="F1876" i="5"/>
  <c r="F1877" i="5"/>
  <c r="F1878" i="5"/>
  <c r="F1879" i="5"/>
  <c r="F1880" i="5"/>
  <c r="F1881" i="5"/>
  <c r="F1882" i="5"/>
  <c r="F1883" i="5"/>
  <c r="F1884" i="5"/>
  <c r="F1885" i="5"/>
  <c r="F1886" i="5"/>
  <c r="F1887" i="5"/>
  <c r="F1888" i="5"/>
  <c r="F1889" i="5"/>
  <c r="F1890" i="5"/>
  <c r="F1891" i="5"/>
  <c r="F1892" i="5"/>
  <c r="F1893" i="5"/>
  <c r="F1894" i="5"/>
  <c r="F1895" i="5"/>
  <c r="F1896" i="5"/>
  <c r="F1897" i="5"/>
  <c r="F1898" i="5"/>
  <c r="F1899" i="5"/>
  <c r="F1900" i="5"/>
  <c r="F1901" i="5"/>
  <c r="F1902" i="5"/>
  <c r="F1903" i="5"/>
  <c r="F1904" i="5"/>
  <c r="F1905" i="5"/>
  <c r="F1906" i="5"/>
  <c r="F1907" i="5"/>
  <c r="F1908" i="5"/>
  <c r="F1909" i="5"/>
  <c r="F1910" i="5"/>
  <c r="F1911" i="5"/>
  <c r="F1912" i="5"/>
  <c r="F1913" i="5"/>
  <c r="F1914" i="5"/>
  <c r="F1915" i="5"/>
  <c r="F1916" i="5"/>
  <c r="F1917" i="5"/>
  <c r="F1918" i="5"/>
  <c r="F1919" i="5"/>
  <c r="F1920" i="5"/>
  <c r="F1921" i="5"/>
  <c r="F1922" i="5"/>
  <c r="F1923" i="5"/>
  <c r="F1924" i="5"/>
  <c r="F1925" i="5"/>
  <c r="F1926" i="5"/>
  <c r="F1927" i="5"/>
  <c r="F1928" i="5"/>
  <c r="F1929" i="5"/>
  <c r="F1930" i="5"/>
  <c r="F1931" i="5"/>
  <c r="F1932" i="5"/>
  <c r="F1933" i="5"/>
  <c r="F1934" i="5"/>
  <c r="F1935" i="5"/>
  <c r="F1936" i="5"/>
  <c r="F1937" i="5"/>
  <c r="F1938" i="5"/>
  <c r="F1939" i="5"/>
  <c r="F1940" i="5"/>
  <c r="F1941" i="5"/>
  <c r="F1942" i="5"/>
  <c r="F1943" i="5"/>
  <c r="F1944" i="5"/>
  <c r="F1945" i="5"/>
  <c r="F1946" i="5"/>
  <c r="F1947" i="5"/>
  <c r="F1948" i="5"/>
  <c r="F1949" i="5"/>
  <c r="F1950" i="5"/>
  <c r="F1951" i="5"/>
  <c r="F1952" i="5"/>
  <c r="F1953" i="5"/>
  <c r="F1954" i="5"/>
  <c r="F1955" i="5"/>
  <c r="F1956" i="5"/>
  <c r="F1957" i="5"/>
  <c r="F1958" i="5"/>
  <c r="F1959" i="5"/>
  <c r="F1960" i="5"/>
  <c r="F1961" i="5"/>
  <c r="F1962" i="5"/>
  <c r="F1963" i="5"/>
  <c r="F1964" i="5"/>
  <c r="F1965" i="5"/>
  <c r="F1966" i="5"/>
  <c r="F1967" i="5"/>
  <c r="F1968" i="5"/>
  <c r="F1969" i="5"/>
  <c r="F1970" i="5"/>
  <c r="F1971" i="5"/>
  <c r="F1972" i="5"/>
  <c r="F1973" i="5"/>
  <c r="F1974" i="5"/>
  <c r="F1975" i="5"/>
  <c r="F1976" i="5"/>
  <c r="F1977" i="5"/>
  <c r="F1978" i="5"/>
  <c r="F1979" i="5"/>
  <c r="F1980" i="5"/>
  <c r="F1981" i="5"/>
  <c r="F1982" i="5"/>
  <c r="F1983" i="5"/>
  <c r="F1984" i="5"/>
  <c r="F1985" i="5"/>
  <c r="F1986" i="5"/>
  <c r="F1987" i="5"/>
  <c r="F1988" i="5"/>
  <c r="F1989" i="5"/>
  <c r="F1990" i="5"/>
  <c r="F1991" i="5"/>
  <c r="F1992" i="5"/>
  <c r="F1993" i="5"/>
  <c r="F1994" i="5"/>
  <c r="F1995" i="5"/>
  <c r="F1996" i="5"/>
  <c r="F1997" i="5"/>
  <c r="F1998" i="5"/>
  <c r="F1999" i="5"/>
  <c r="F2000" i="5"/>
  <c r="F2001" i="5"/>
  <c r="F2002" i="5"/>
  <c r="F2003" i="5"/>
  <c r="F2004" i="5"/>
  <c r="F2005" i="5"/>
  <c r="F2006" i="5"/>
  <c r="F2007" i="5"/>
  <c r="F2008" i="5"/>
  <c r="F2009" i="5"/>
  <c r="F2010" i="5"/>
  <c r="F2011" i="5"/>
  <c r="F2012" i="5"/>
  <c r="F2013" i="5"/>
  <c r="F2014" i="5"/>
  <c r="F2015" i="5"/>
  <c r="F2016" i="5"/>
  <c r="F2017" i="5"/>
  <c r="F2018" i="5"/>
  <c r="F2019" i="5"/>
  <c r="F2020" i="5"/>
  <c r="F2021" i="5"/>
  <c r="F2022" i="5"/>
  <c r="F2023" i="5"/>
  <c r="F2024" i="5"/>
  <c r="F2025" i="5"/>
  <c r="F2026" i="5"/>
  <c r="F2027" i="5"/>
  <c r="F2028" i="5"/>
  <c r="F2029" i="5"/>
  <c r="F2030" i="5"/>
  <c r="F2031" i="5"/>
  <c r="F2032" i="5"/>
  <c r="F2033" i="5"/>
  <c r="F2034" i="5"/>
  <c r="F2035" i="5"/>
  <c r="F2036" i="5"/>
  <c r="F2037" i="5"/>
  <c r="F2038" i="5"/>
  <c r="F2039" i="5"/>
  <c r="F2040" i="5"/>
  <c r="F2041" i="5"/>
  <c r="F2042" i="5"/>
  <c r="F2043" i="5"/>
  <c r="F2044" i="5"/>
  <c r="F2045" i="5"/>
  <c r="F2046" i="5"/>
  <c r="F2047" i="5"/>
  <c r="F2048" i="5"/>
  <c r="F2049" i="5"/>
  <c r="F2050" i="5"/>
  <c r="F2051" i="5"/>
  <c r="F2052" i="5"/>
  <c r="F2053" i="5"/>
  <c r="F2054" i="5"/>
  <c r="F2055" i="5"/>
  <c r="F2056" i="5"/>
  <c r="F2057" i="5"/>
  <c r="F2058" i="5"/>
  <c r="F2059" i="5"/>
  <c r="F2060" i="5"/>
  <c r="F2061" i="5"/>
  <c r="F2062" i="5"/>
  <c r="F2063" i="5"/>
  <c r="F2064" i="5"/>
  <c r="F2065" i="5"/>
  <c r="F2066" i="5"/>
  <c r="F2067" i="5"/>
  <c r="F2068" i="5"/>
  <c r="F2069" i="5"/>
  <c r="E4" i="5"/>
  <c r="E5" i="5"/>
  <c r="E6" i="5"/>
  <c r="E7" i="5"/>
  <c r="E8" i="5"/>
  <c r="E9" i="5"/>
  <c r="E10" i="5"/>
  <c r="E11" i="5"/>
  <c r="E12" i="5"/>
  <c r="E13" i="5"/>
  <c r="E14" i="5"/>
  <c r="E15" i="5"/>
  <c r="E16" i="5"/>
  <c r="E17" i="5"/>
  <c r="E18" i="5"/>
  <c r="E19" i="5"/>
  <c r="E20" i="5"/>
  <c r="E21" i="5"/>
  <c r="E22" i="5"/>
  <c r="E23" i="5"/>
  <c r="E24" i="5"/>
  <c r="E25" i="5"/>
  <c r="E26" i="5"/>
  <c r="E27" i="5"/>
  <c r="E28" i="5"/>
  <c r="E29" i="5"/>
  <c r="E30" i="5"/>
  <c r="E31" i="5"/>
  <c r="E32" i="5"/>
  <c r="E33" i="5"/>
  <c r="E34" i="5"/>
  <c r="E35" i="5"/>
  <c r="E36" i="5"/>
  <c r="E37" i="5"/>
  <c r="E38" i="5"/>
  <c r="E39" i="5"/>
  <c r="E40" i="5"/>
  <c r="E41" i="5"/>
  <c r="E42" i="5"/>
  <c r="E43" i="5"/>
  <c r="E44" i="5"/>
  <c r="E45" i="5"/>
  <c r="E46" i="5"/>
  <c r="E47" i="5"/>
  <c r="E48" i="5"/>
  <c r="E49" i="5"/>
  <c r="E50" i="5"/>
  <c r="E51" i="5"/>
  <c r="E52" i="5"/>
  <c r="E53" i="5"/>
  <c r="E54" i="5"/>
  <c r="E55" i="5"/>
  <c r="E56" i="5"/>
  <c r="E57" i="5"/>
  <c r="E58" i="5"/>
  <c r="E59" i="5"/>
  <c r="E60" i="5"/>
  <c r="E61" i="5"/>
  <c r="E62" i="5"/>
  <c r="E63" i="5"/>
  <c r="E64" i="5"/>
  <c r="E65" i="5"/>
  <c r="E66" i="5"/>
  <c r="E67" i="5"/>
  <c r="E68" i="5"/>
  <c r="E69" i="5"/>
  <c r="E70" i="5"/>
  <c r="E71" i="5"/>
  <c r="E72" i="5"/>
  <c r="E73" i="5"/>
  <c r="E74" i="5"/>
  <c r="E75" i="5"/>
  <c r="E76" i="5"/>
  <c r="E77" i="5"/>
  <c r="E78" i="5"/>
  <c r="E79" i="5"/>
  <c r="E80" i="5"/>
  <c r="E81" i="5"/>
  <c r="E82" i="5"/>
  <c r="E83" i="5"/>
  <c r="E84" i="5"/>
  <c r="E85" i="5"/>
  <c r="E86" i="5"/>
  <c r="E87" i="5"/>
  <c r="E88" i="5"/>
  <c r="E89" i="5"/>
  <c r="E90" i="5"/>
  <c r="E91" i="5"/>
  <c r="E92" i="5"/>
  <c r="E93" i="5"/>
  <c r="E94" i="5"/>
  <c r="E95" i="5"/>
  <c r="E96" i="5"/>
  <c r="E97" i="5"/>
  <c r="E98" i="5"/>
  <c r="E99" i="5"/>
  <c r="E100" i="5"/>
  <c r="E101" i="5"/>
  <c r="E102" i="5"/>
  <c r="E103" i="5"/>
  <c r="E104" i="5"/>
  <c r="E105" i="5"/>
  <c r="E106" i="5"/>
  <c r="E107" i="5"/>
  <c r="E108" i="5"/>
  <c r="E109" i="5"/>
  <c r="E110" i="5"/>
  <c r="E111" i="5"/>
  <c r="E112" i="5"/>
  <c r="E113" i="5"/>
  <c r="E114" i="5"/>
  <c r="E115" i="5"/>
  <c r="E116" i="5"/>
  <c r="E117" i="5"/>
  <c r="E118" i="5"/>
  <c r="E119" i="5"/>
  <c r="E120" i="5"/>
  <c r="E121" i="5"/>
  <c r="E122" i="5"/>
  <c r="E123" i="5"/>
  <c r="E124" i="5"/>
  <c r="E125" i="5"/>
  <c r="E126" i="5"/>
  <c r="E127" i="5"/>
  <c r="E128" i="5"/>
  <c r="E129" i="5"/>
  <c r="E130" i="5"/>
  <c r="E131" i="5"/>
  <c r="E132" i="5"/>
  <c r="E133" i="5"/>
  <c r="E134" i="5"/>
  <c r="E135" i="5"/>
  <c r="E136" i="5"/>
  <c r="E137" i="5"/>
  <c r="E138" i="5"/>
  <c r="E139" i="5"/>
  <c r="E140" i="5"/>
  <c r="E141" i="5"/>
  <c r="E142" i="5"/>
  <c r="E143" i="5"/>
  <c r="E144" i="5"/>
  <c r="E145" i="5"/>
  <c r="E146" i="5"/>
  <c r="E147" i="5"/>
  <c r="E148" i="5"/>
  <c r="E149" i="5"/>
  <c r="E150" i="5"/>
  <c r="E151" i="5"/>
  <c r="E152" i="5"/>
  <c r="E153" i="5"/>
  <c r="E154" i="5"/>
  <c r="E155" i="5"/>
  <c r="E156" i="5"/>
  <c r="E157" i="5"/>
  <c r="E158" i="5"/>
  <c r="E159" i="5"/>
  <c r="E160" i="5"/>
  <c r="E161" i="5"/>
  <c r="E162" i="5"/>
  <c r="E163" i="5"/>
  <c r="E164" i="5"/>
  <c r="E165" i="5"/>
  <c r="E166" i="5"/>
  <c r="E167" i="5"/>
  <c r="E168" i="5"/>
  <c r="E169" i="5"/>
  <c r="E170" i="5"/>
  <c r="E171" i="5"/>
  <c r="E172" i="5"/>
  <c r="E173" i="5"/>
  <c r="E174" i="5"/>
  <c r="E175" i="5"/>
  <c r="E176" i="5"/>
  <c r="E177" i="5"/>
  <c r="E178" i="5"/>
  <c r="E179" i="5"/>
  <c r="E180" i="5"/>
  <c r="E181" i="5"/>
  <c r="E182" i="5"/>
  <c r="E183" i="5"/>
  <c r="E184" i="5"/>
  <c r="E185" i="5"/>
  <c r="E186" i="5"/>
  <c r="E187" i="5"/>
  <c r="E188" i="5"/>
  <c r="E189" i="5"/>
  <c r="E190" i="5"/>
  <c r="E191" i="5"/>
  <c r="E192" i="5"/>
  <c r="E193" i="5"/>
  <c r="E194" i="5"/>
  <c r="E195" i="5"/>
  <c r="E196" i="5"/>
  <c r="E197" i="5"/>
  <c r="E198" i="5"/>
  <c r="E199" i="5"/>
  <c r="E200" i="5"/>
  <c r="E201" i="5"/>
  <c r="E202" i="5"/>
  <c r="E203" i="5"/>
  <c r="E204" i="5"/>
  <c r="E205" i="5"/>
  <c r="E206" i="5"/>
  <c r="E207" i="5"/>
  <c r="E208" i="5"/>
  <c r="E209" i="5"/>
  <c r="E210" i="5"/>
  <c r="E211" i="5"/>
  <c r="E212" i="5"/>
  <c r="E213" i="5"/>
  <c r="E214" i="5"/>
  <c r="E215" i="5"/>
  <c r="E216" i="5"/>
  <c r="E217" i="5"/>
  <c r="E218" i="5"/>
  <c r="E219" i="5"/>
  <c r="E220" i="5"/>
  <c r="E221" i="5"/>
  <c r="E222" i="5"/>
  <c r="E223" i="5"/>
  <c r="E224" i="5"/>
  <c r="E225" i="5"/>
  <c r="E226" i="5"/>
  <c r="E227" i="5"/>
  <c r="E228" i="5"/>
  <c r="E229" i="5"/>
  <c r="E230" i="5"/>
  <c r="E231" i="5"/>
  <c r="E232" i="5"/>
  <c r="E233" i="5"/>
  <c r="E234" i="5"/>
  <c r="E235" i="5"/>
  <c r="E236" i="5"/>
  <c r="E237" i="5"/>
  <c r="E238" i="5"/>
  <c r="E239" i="5"/>
  <c r="E240" i="5"/>
  <c r="E241" i="5"/>
  <c r="E242" i="5"/>
  <c r="E243" i="5"/>
  <c r="E244" i="5"/>
  <c r="E245" i="5"/>
  <c r="E246" i="5"/>
  <c r="E247" i="5"/>
  <c r="E248" i="5"/>
  <c r="E249" i="5"/>
  <c r="E250" i="5"/>
  <c r="E251" i="5"/>
  <c r="E252" i="5"/>
  <c r="E253" i="5"/>
  <c r="E254" i="5"/>
  <c r="E255" i="5"/>
  <c r="E256" i="5"/>
  <c r="E257" i="5"/>
  <c r="E258" i="5"/>
  <c r="E259" i="5"/>
  <c r="E260" i="5"/>
  <c r="E261" i="5"/>
  <c r="E262" i="5"/>
  <c r="E263" i="5"/>
  <c r="E264" i="5"/>
  <c r="E265" i="5"/>
  <c r="E266" i="5"/>
  <c r="E267" i="5"/>
  <c r="E268" i="5"/>
  <c r="E269" i="5"/>
  <c r="E270" i="5"/>
  <c r="E271" i="5"/>
  <c r="E272" i="5"/>
  <c r="E273" i="5"/>
  <c r="E274" i="5"/>
  <c r="E275" i="5"/>
  <c r="E276" i="5"/>
  <c r="E277" i="5"/>
  <c r="E278" i="5"/>
  <c r="E279" i="5"/>
  <c r="E280" i="5"/>
  <c r="E281" i="5"/>
  <c r="E282" i="5"/>
  <c r="E283" i="5"/>
  <c r="E284" i="5"/>
  <c r="E285" i="5"/>
  <c r="E286" i="5"/>
  <c r="E287" i="5"/>
  <c r="E288" i="5"/>
  <c r="E289" i="5"/>
  <c r="E290" i="5"/>
  <c r="E291" i="5"/>
  <c r="E292" i="5"/>
  <c r="E293" i="5"/>
  <c r="E294" i="5"/>
  <c r="E295" i="5"/>
  <c r="E296" i="5"/>
  <c r="E297" i="5"/>
  <c r="E298" i="5"/>
  <c r="E299" i="5"/>
  <c r="E300" i="5"/>
  <c r="E301" i="5"/>
  <c r="E302" i="5"/>
  <c r="E303" i="5"/>
  <c r="E304" i="5"/>
  <c r="E305" i="5"/>
  <c r="E306" i="5"/>
  <c r="E307" i="5"/>
  <c r="E308" i="5"/>
  <c r="E309" i="5"/>
  <c r="E310" i="5"/>
  <c r="E311" i="5"/>
  <c r="E312" i="5"/>
  <c r="E313" i="5"/>
  <c r="E314" i="5"/>
  <c r="V87" i="23" s="1"/>
  <c r="E315" i="5"/>
  <c r="E316" i="5"/>
  <c r="E317" i="5"/>
  <c r="E318" i="5"/>
  <c r="E319" i="5"/>
  <c r="E320" i="5"/>
  <c r="E321" i="5"/>
  <c r="E322" i="5"/>
  <c r="E323" i="5"/>
  <c r="E324" i="5"/>
  <c r="E325" i="5"/>
  <c r="E326" i="5"/>
  <c r="E327" i="5"/>
  <c r="E328" i="5"/>
  <c r="E329" i="5"/>
  <c r="E330" i="5"/>
  <c r="E331" i="5"/>
  <c r="E332" i="5"/>
  <c r="E333" i="5"/>
  <c r="E334" i="5"/>
  <c r="E335" i="5"/>
  <c r="E336" i="5"/>
  <c r="E337" i="5"/>
  <c r="E338" i="5"/>
  <c r="E339" i="5"/>
  <c r="E340" i="5"/>
  <c r="E341" i="5"/>
  <c r="E342" i="5"/>
  <c r="E343" i="5"/>
  <c r="E344" i="5"/>
  <c r="E345" i="5"/>
  <c r="E346" i="5"/>
  <c r="E347" i="5"/>
  <c r="E348" i="5"/>
  <c r="V90" i="23" s="1"/>
  <c r="E349" i="5"/>
  <c r="E350" i="5"/>
  <c r="E351" i="5"/>
  <c r="E352" i="5"/>
  <c r="E353" i="5"/>
  <c r="E354" i="5"/>
  <c r="E355" i="5"/>
  <c r="E356" i="5"/>
  <c r="E357" i="5"/>
  <c r="E358" i="5"/>
  <c r="E359" i="5"/>
  <c r="E360" i="5"/>
  <c r="E361" i="5"/>
  <c r="E362" i="5"/>
  <c r="E363" i="5"/>
  <c r="V336" i="23" s="1"/>
  <c r="E364" i="5"/>
  <c r="E365" i="5"/>
  <c r="E366" i="5"/>
  <c r="E367" i="5"/>
  <c r="E368" i="5"/>
  <c r="E369" i="5"/>
  <c r="E370" i="5"/>
  <c r="E371" i="5"/>
  <c r="E372" i="5"/>
  <c r="E373" i="5"/>
  <c r="E374" i="5"/>
  <c r="E375" i="5"/>
  <c r="V102" i="23" s="1"/>
  <c r="E376" i="5"/>
  <c r="E377" i="5"/>
  <c r="E378" i="5"/>
  <c r="E379" i="5"/>
  <c r="E380" i="5"/>
  <c r="E381" i="5"/>
  <c r="V359" i="23" s="1"/>
  <c r="E382" i="5"/>
  <c r="E383" i="5"/>
  <c r="E384" i="5"/>
  <c r="E385" i="5"/>
  <c r="E386" i="5"/>
  <c r="E387" i="5"/>
  <c r="E388" i="5"/>
  <c r="E389" i="5"/>
  <c r="E390" i="5"/>
  <c r="E391" i="5"/>
  <c r="E392" i="5"/>
  <c r="E393" i="5"/>
  <c r="E394" i="5"/>
  <c r="E395" i="5"/>
  <c r="E396" i="5"/>
  <c r="E397" i="5"/>
  <c r="E398" i="5"/>
  <c r="E399" i="5"/>
  <c r="E400" i="5"/>
  <c r="E401" i="5"/>
  <c r="E402" i="5"/>
  <c r="E403" i="5"/>
  <c r="E404" i="5"/>
  <c r="E405" i="5"/>
  <c r="E406" i="5"/>
  <c r="E407" i="5"/>
  <c r="E408" i="5"/>
  <c r="E409" i="5"/>
  <c r="E410" i="5"/>
  <c r="E411" i="5"/>
  <c r="E412" i="5"/>
  <c r="E413" i="5"/>
  <c r="E414" i="5"/>
  <c r="E415" i="5"/>
  <c r="E416" i="5"/>
  <c r="E417" i="5"/>
  <c r="E418" i="5"/>
  <c r="E419" i="5"/>
  <c r="E420" i="5"/>
  <c r="E421" i="5"/>
  <c r="E422" i="5"/>
  <c r="E423" i="5"/>
  <c r="E424" i="5"/>
  <c r="E425" i="5"/>
  <c r="E426" i="5"/>
  <c r="E427" i="5"/>
  <c r="E428" i="5"/>
  <c r="E429" i="5"/>
  <c r="E430" i="5"/>
  <c r="E431" i="5"/>
  <c r="E432" i="5"/>
  <c r="E433" i="5"/>
  <c r="E434" i="5"/>
  <c r="E435" i="5"/>
  <c r="E436" i="5"/>
  <c r="E437" i="5"/>
  <c r="E438" i="5"/>
  <c r="E439" i="5"/>
  <c r="E440" i="5"/>
  <c r="E441" i="5"/>
  <c r="E442" i="5"/>
  <c r="E443" i="5"/>
  <c r="E444" i="5"/>
  <c r="E445" i="5"/>
  <c r="E446" i="5"/>
  <c r="E447" i="5"/>
  <c r="E448" i="5"/>
  <c r="E449" i="5"/>
  <c r="E450" i="5"/>
  <c r="E451" i="5"/>
  <c r="E452" i="5"/>
  <c r="E453" i="5"/>
  <c r="E454" i="5"/>
  <c r="E455" i="5"/>
  <c r="E456" i="5"/>
  <c r="E457" i="5"/>
  <c r="E458" i="5"/>
  <c r="E459" i="5"/>
  <c r="E460" i="5"/>
  <c r="E461" i="5"/>
  <c r="E462" i="5"/>
  <c r="V24" i="23" s="1"/>
  <c r="E463" i="5"/>
  <c r="E464" i="5"/>
  <c r="E465" i="5"/>
  <c r="E466" i="5"/>
  <c r="E467" i="5"/>
  <c r="E468" i="5"/>
  <c r="E469" i="5"/>
  <c r="E470" i="5"/>
  <c r="E471" i="5"/>
  <c r="E472" i="5"/>
  <c r="E473" i="5"/>
  <c r="E474" i="5"/>
  <c r="E475" i="5"/>
  <c r="E476" i="5"/>
  <c r="E477" i="5"/>
  <c r="E478" i="5"/>
  <c r="E479" i="5"/>
  <c r="E480" i="5"/>
  <c r="E481" i="5"/>
  <c r="E482" i="5"/>
  <c r="E483" i="5"/>
  <c r="E484" i="5"/>
  <c r="E485" i="5"/>
  <c r="E486" i="5"/>
  <c r="E487" i="5"/>
  <c r="E488" i="5"/>
  <c r="E489" i="5"/>
  <c r="E490" i="5"/>
  <c r="E491" i="5"/>
  <c r="E492" i="5"/>
  <c r="E493" i="5"/>
  <c r="E494" i="5"/>
  <c r="E495" i="5"/>
  <c r="E496" i="5"/>
  <c r="E497" i="5"/>
  <c r="E498" i="5"/>
  <c r="E499" i="5"/>
  <c r="E500" i="5"/>
  <c r="E501" i="5"/>
  <c r="E502" i="5"/>
  <c r="E503" i="5"/>
  <c r="E504" i="5"/>
  <c r="E505" i="5"/>
  <c r="E506" i="5"/>
  <c r="E507" i="5"/>
  <c r="E508" i="5"/>
  <c r="E509" i="5"/>
  <c r="E510" i="5"/>
  <c r="E511" i="5"/>
  <c r="E512" i="5"/>
  <c r="E513" i="5"/>
  <c r="E514" i="5"/>
  <c r="E515" i="5"/>
  <c r="E516" i="5"/>
  <c r="E517" i="5"/>
  <c r="E518" i="5"/>
  <c r="E519" i="5"/>
  <c r="E520" i="5"/>
  <c r="E521" i="5"/>
  <c r="E522" i="5"/>
  <c r="E523" i="5"/>
  <c r="E524" i="5"/>
  <c r="E525" i="5"/>
  <c r="E526" i="5"/>
  <c r="E527" i="5"/>
  <c r="E528" i="5"/>
  <c r="E529" i="5"/>
  <c r="E530" i="5"/>
  <c r="E531" i="5"/>
  <c r="E532" i="5"/>
  <c r="E533" i="5"/>
  <c r="E534" i="5"/>
  <c r="E535" i="5"/>
  <c r="E536" i="5"/>
  <c r="E537" i="5"/>
  <c r="E538" i="5"/>
  <c r="E539" i="5"/>
  <c r="E540" i="5"/>
  <c r="E541" i="5"/>
  <c r="E542" i="5"/>
  <c r="E543" i="5"/>
  <c r="E544" i="5"/>
  <c r="E545" i="5"/>
  <c r="E546" i="5"/>
  <c r="E547" i="5"/>
  <c r="E548" i="5"/>
  <c r="E549" i="5"/>
  <c r="E550" i="5"/>
  <c r="E551" i="5"/>
  <c r="E552" i="5"/>
  <c r="E553" i="5"/>
  <c r="E554" i="5"/>
  <c r="E555" i="5"/>
  <c r="E556" i="5"/>
  <c r="E557" i="5"/>
  <c r="E558" i="5"/>
  <c r="E559" i="5"/>
  <c r="E560" i="5"/>
  <c r="E561" i="5"/>
  <c r="E562" i="5"/>
  <c r="E563" i="5"/>
  <c r="E564" i="5"/>
  <c r="E565" i="5"/>
  <c r="E566" i="5"/>
  <c r="E567" i="5"/>
  <c r="E568" i="5"/>
  <c r="E569" i="5"/>
  <c r="E570" i="5"/>
  <c r="V440" i="23" s="1"/>
  <c r="E571" i="5"/>
  <c r="E572" i="5"/>
  <c r="E573" i="5"/>
  <c r="E574" i="5"/>
  <c r="E575" i="5"/>
  <c r="E576" i="5"/>
  <c r="V131" i="23" s="1"/>
  <c r="E577" i="5"/>
  <c r="E578" i="5"/>
  <c r="E579" i="5"/>
  <c r="E580" i="5"/>
  <c r="E581" i="5"/>
  <c r="E582" i="5"/>
  <c r="E583" i="5"/>
  <c r="E584" i="5"/>
  <c r="E585" i="5"/>
  <c r="E586" i="5"/>
  <c r="E587" i="5"/>
  <c r="E588" i="5"/>
  <c r="E589" i="5"/>
  <c r="E590" i="5"/>
  <c r="E591" i="5"/>
  <c r="E592" i="5"/>
  <c r="E593" i="5"/>
  <c r="E594" i="5"/>
  <c r="E595" i="5"/>
  <c r="E596" i="5"/>
  <c r="E597" i="5"/>
  <c r="E598" i="5"/>
  <c r="E599" i="5"/>
  <c r="E600" i="5"/>
  <c r="E601" i="5"/>
  <c r="E602" i="5"/>
  <c r="E603" i="5"/>
  <c r="E604" i="5"/>
  <c r="E605" i="5"/>
  <c r="E606" i="5"/>
  <c r="E607" i="5"/>
  <c r="E608" i="5"/>
  <c r="E609" i="5"/>
  <c r="V135" i="23" s="1"/>
  <c r="E610" i="5"/>
  <c r="E611" i="5"/>
  <c r="E612" i="5"/>
  <c r="E613" i="5"/>
  <c r="E614" i="5"/>
  <c r="E615" i="5"/>
  <c r="E616" i="5"/>
  <c r="E617" i="5"/>
  <c r="E618" i="5"/>
  <c r="E619" i="5"/>
  <c r="E620" i="5"/>
  <c r="E621" i="5"/>
  <c r="E622" i="5"/>
  <c r="E623" i="5"/>
  <c r="E624" i="5"/>
  <c r="E625" i="5"/>
  <c r="E626" i="5"/>
  <c r="E627" i="5"/>
  <c r="V52" i="23" s="1"/>
  <c r="E628" i="5"/>
  <c r="E629" i="5"/>
  <c r="E630" i="5"/>
  <c r="E631" i="5"/>
  <c r="E632" i="5"/>
  <c r="E633" i="5"/>
  <c r="E634" i="5"/>
  <c r="E635" i="5"/>
  <c r="E636" i="5"/>
  <c r="E637" i="5"/>
  <c r="E638" i="5"/>
  <c r="E639" i="5"/>
  <c r="E640" i="5"/>
  <c r="E641" i="5"/>
  <c r="E642" i="5"/>
  <c r="E643" i="5"/>
  <c r="E644" i="5"/>
  <c r="E645" i="5"/>
  <c r="E646" i="5"/>
  <c r="E647" i="5"/>
  <c r="E648" i="5"/>
  <c r="E649" i="5"/>
  <c r="E650" i="5"/>
  <c r="E651" i="5"/>
  <c r="E652" i="5"/>
  <c r="E653" i="5"/>
  <c r="V434" i="23" s="1"/>
  <c r="E654" i="5"/>
  <c r="E655" i="5"/>
  <c r="E656" i="5"/>
  <c r="E657" i="5"/>
  <c r="E658" i="5"/>
  <c r="E659" i="5"/>
  <c r="E660" i="5"/>
  <c r="E661" i="5"/>
  <c r="E662" i="5"/>
  <c r="E663" i="5"/>
  <c r="E664" i="5"/>
  <c r="E665" i="5"/>
  <c r="E666" i="5"/>
  <c r="E667" i="5"/>
  <c r="E668" i="5"/>
  <c r="E669" i="5"/>
  <c r="E670" i="5"/>
  <c r="E671" i="5"/>
  <c r="E672" i="5"/>
  <c r="E673" i="5"/>
  <c r="E674" i="5"/>
  <c r="E675" i="5"/>
  <c r="E676" i="5"/>
  <c r="E677" i="5"/>
  <c r="E678" i="5"/>
  <c r="E679" i="5"/>
  <c r="E680" i="5"/>
  <c r="E681" i="5"/>
  <c r="E682" i="5"/>
  <c r="E683" i="5"/>
  <c r="E684" i="5"/>
  <c r="E685" i="5"/>
  <c r="E686" i="5"/>
  <c r="E687" i="5"/>
  <c r="E688" i="5"/>
  <c r="E689" i="5"/>
  <c r="E690" i="5"/>
  <c r="E691" i="5"/>
  <c r="E692" i="5"/>
  <c r="E693" i="5"/>
  <c r="E694" i="5"/>
  <c r="E695" i="5"/>
  <c r="E696" i="5"/>
  <c r="E697" i="5"/>
  <c r="E698" i="5"/>
  <c r="E699" i="5"/>
  <c r="E700" i="5"/>
  <c r="E701" i="5"/>
  <c r="E702" i="5"/>
  <c r="E703" i="5"/>
  <c r="E704" i="5"/>
  <c r="E705" i="5"/>
  <c r="E706" i="5"/>
  <c r="E707" i="5"/>
  <c r="E708" i="5"/>
  <c r="E709" i="5"/>
  <c r="E710" i="5"/>
  <c r="E711" i="5"/>
  <c r="E712" i="5"/>
  <c r="E713" i="5"/>
  <c r="E714" i="5"/>
  <c r="E715" i="5"/>
  <c r="E716" i="5"/>
  <c r="E717" i="5"/>
  <c r="E718" i="5"/>
  <c r="E719" i="5"/>
  <c r="E720" i="5"/>
  <c r="E721" i="5"/>
  <c r="E722" i="5"/>
  <c r="E723" i="5"/>
  <c r="E724" i="5"/>
  <c r="E725" i="5"/>
  <c r="E726" i="5"/>
  <c r="E727" i="5"/>
  <c r="E728" i="5"/>
  <c r="E729" i="5"/>
  <c r="E730" i="5"/>
  <c r="E731" i="5"/>
  <c r="E732" i="5"/>
  <c r="E733" i="5"/>
  <c r="E734" i="5"/>
  <c r="E735" i="5"/>
  <c r="V238" i="23" s="1"/>
  <c r="E736" i="5"/>
  <c r="E737" i="5"/>
  <c r="E738" i="5"/>
  <c r="E739" i="5"/>
  <c r="E740" i="5"/>
  <c r="E741" i="5"/>
  <c r="E742" i="5"/>
  <c r="E743" i="5"/>
  <c r="E744" i="5"/>
  <c r="E745" i="5"/>
  <c r="E746" i="5"/>
  <c r="E747" i="5"/>
  <c r="E748" i="5"/>
  <c r="E749" i="5"/>
  <c r="E750" i="5"/>
  <c r="E751" i="5"/>
  <c r="E752" i="5"/>
  <c r="E753" i="5"/>
  <c r="E754" i="5"/>
  <c r="E755" i="5"/>
  <c r="E756" i="5"/>
  <c r="E757" i="5"/>
  <c r="E758" i="5"/>
  <c r="E759" i="5"/>
  <c r="E760" i="5"/>
  <c r="E761" i="5"/>
  <c r="E762" i="5"/>
  <c r="E763" i="5"/>
  <c r="E764" i="5"/>
  <c r="E765" i="5"/>
  <c r="E766" i="5"/>
  <c r="E767" i="5"/>
  <c r="E768" i="5"/>
  <c r="E769" i="5"/>
  <c r="E770" i="5"/>
  <c r="E771" i="5"/>
  <c r="E772" i="5"/>
  <c r="E773" i="5"/>
  <c r="E774" i="5"/>
  <c r="E775" i="5"/>
  <c r="E776" i="5"/>
  <c r="E777" i="5"/>
  <c r="E778" i="5"/>
  <c r="E779" i="5"/>
  <c r="E780" i="5"/>
  <c r="E781" i="5"/>
  <c r="E782" i="5"/>
  <c r="E783" i="5"/>
  <c r="E784" i="5"/>
  <c r="E785" i="5"/>
  <c r="E786" i="5"/>
  <c r="E787" i="5"/>
  <c r="E788" i="5"/>
  <c r="E789" i="5"/>
  <c r="E790" i="5"/>
  <c r="E791" i="5"/>
  <c r="E792" i="5"/>
  <c r="E793" i="5"/>
  <c r="E794" i="5"/>
  <c r="E795" i="5"/>
  <c r="E796" i="5"/>
  <c r="E797" i="5"/>
  <c r="E798" i="5"/>
  <c r="E799" i="5"/>
  <c r="E800" i="5"/>
  <c r="E801" i="5"/>
  <c r="E802" i="5"/>
  <c r="E803" i="5"/>
  <c r="E804" i="5"/>
  <c r="E805" i="5"/>
  <c r="E806" i="5"/>
  <c r="E807" i="5"/>
  <c r="E808" i="5"/>
  <c r="E809" i="5"/>
  <c r="E810" i="5"/>
  <c r="E811" i="5"/>
  <c r="E812" i="5"/>
  <c r="E813" i="5"/>
  <c r="E814" i="5"/>
  <c r="E815" i="5"/>
  <c r="E816" i="5"/>
  <c r="E817" i="5"/>
  <c r="E818" i="5"/>
  <c r="E819" i="5"/>
  <c r="V51" i="23" s="1"/>
  <c r="E820" i="5"/>
  <c r="E821" i="5"/>
  <c r="E822" i="5"/>
  <c r="E823" i="5"/>
  <c r="E824" i="5"/>
  <c r="E825" i="5"/>
  <c r="E826" i="5"/>
  <c r="E827" i="5"/>
  <c r="E828" i="5"/>
  <c r="E829" i="5"/>
  <c r="E830" i="5"/>
  <c r="E831" i="5"/>
  <c r="E832" i="5"/>
  <c r="E833" i="5"/>
  <c r="E834" i="5"/>
  <c r="E835" i="5"/>
  <c r="E836" i="5"/>
  <c r="E837" i="5"/>
  <c r="E838" i="5"/>
  <c r="E839" i="5"/>
  <c r="E840" i="5"/>
  <c r="E841" i="5"/>
  <c r="E842" i="5"/>
  <c r="E843" i="5"/>
  <c r="E844" i="5"/>
  <c r="E845" i="5"/>
  <c r="E846" i="5"/>
  <c r="E847" i="5"/>
  <c r="E848" i="5"/>
  <c r="E849" i="5"/>
  <c r="E850" i="5"/>
  <c r="E851" i="5"/>
  <c r="E852" i="5"/>
  <c r="E853" i="5"/>
  <c r="E854" i="5"/>
  <c r="E855" i="5"/>
  <c r="E856" i="5"/>
  <c r="E857" i="5"/>
  <c r="E858" i="5"/>
  <c r="E859" i="5"/>
  <c r="E860" i="5"/>
  <c r="E861" i="5"/>
  <c r="V212" i="23" s="1"/>
  <c r="E862" i="5"/>
  <c r="E863" i="5"/>
  <c r="E864" i="5"/>
  <c r="E865" i="5"/>
  <c r="E866" i="5"/>
  <c r="E867" i="5"/>
  <c r="E868" i="5"/>
  <c r="E869" i="5"/>
  <c r="E870" i="5"/>
  <c r="E871" i="5"/>
  <c r="E872" i="5"/>
  <c r="E873" i="5"/>
  <c r="E874" i="5"/>
  <c r="E875" i="5"/>
  <c r="E876" i="5"/>
  <c r="E877" i="5"/>
  <c r="E878" i="5"/>
  <c r="E879" i="5"/>
  <c r="E880" i="5"/>
  <c r="E881" i="5"/>
  <c r="E882" i="5"/>
  <c r="E883" i="5"/>
  <c r="E884" i="5"/>
  <c r="E885" i="5"/>
  <c r="E886" i="5"/>
  <c r="E887" i="5"/>
  <c r="E888" i="5"/>
  <c r="E889" i="5"/>
  <c r="E890" i="5"/>
  <c r="E891" i="5"/>
  <c r="E892" i="5"/>
  <c r="E893" i="5"/>
  <c r="E894" i="5"/>
  <c r="E895" i="5"/>
  <c r="E896" i="5"/>
  <c r="E897" i="5"/>
  <c r="E898" i="5"/>
  <c r="E899" i="5"/>
  <c r="E900" i="5"/>
  <c r="E901" i="5"/>
  <c r="E902" i="5"/>
  <c r="E903" i="5"/>
  <c r="E904" i="5"/>
  <c r="E905" i="5"/>
  <c r="E906" i="5"/>
  <c r="E907" i="5"/>
  <c r="E908" i="5"/>
  <c r="E909" i="5"/>
  <c r="E910" i="5"/>
  <c r="E911" i="5"/>
  <c r="E912" i="5"/>
  <c r="E913" i="5"/>
  <c r="E914" i="5"/>
  <c r="E915" i="5"/>
  <c r="E916" i="5"/>
  <c r="E917" i="5"/>
  <c r="E918" i="5"/>
  <c r="E919" i="5"/>
  <c r="E920" i="5"/>
  <c r="E921" i="5"/>
  <c r="E922" i="5"/>
  <c r="E923" i="5"/>
  <c r="E924" i="5"/>
  <c r="E925" i="5"/>
  <c r="E926" i="5"/>
  <c r="E927" i="5"/>
  <c r="E928" i="5"/>
  <c r="E929" i="5"/>
  <c r="E930" i="5"/>
  <c r="E931" i="5"/>
  <c r="E932" i="5"/>
  <c r="E933" i="5"/>
  <c r="E934" i="5"/>
  <c r="E935" i="5"/>
  <c r="E936" i="5"/>
  <c r="E937" i="5"/>
  <c r="E938" i="5"/>
  <c r="E939" i="5"/>
  <c r="E940" i="5"/>
  <c r="E941" i="5"/>
  <c r="E942" i="5"/>
  <c r="E943" i="5"/>
  <c r="E944" i="5"/>
  <c r="E945" i="5"/>
  <c r="E946" i="5"/>
  <c r="E947" i="5"/>
  <c r="E948" i="5"/>
  <c r="E949" i="5"/>
  <c r="E950" i="5"/>
  <c r="E951" i="5"/>
  <c r="E952" i="5"/>
  <c r="E953" i="5"/>
  <c r="E954" i="5"/>
  <c r="E955" i="5"/>
  <c r="E956" i="5"/>
  <c r="E957" i="5"/>
  <c r="E958" i="5"/>
  <c r="E959" i="5"/>
  <c r="E960" i="5"/>
  <c r="E961" i="5"/>
  <c r="E962" i="5"/>
  <c r="E963" i="5"/>
  <c r="E964" i="5"/>
  <c r="E965" i="5"/>
  <c r="E966" i="5"/>
  <c r="E967" i="5"/>
  <c r="E968" i="5"/>
  <c r="E969" i="5"/>
  <c r="E970" i="5"/>
  <c r="E971" i="5"/>
  <c r="E972" i="5"/>
  <c r="E973" i="5"/>
  <c r="E974" i="5"/>
  <c r="E975" i="5"/>
  <c r="E976" i="5"/>
  <c r="E977" i="5"/>
  <c r="E978" i="5"/>
  <c r="E979" i="5"/>
  <c r="E980" i="5"/>
  <c r="E981" i="5"/>
  <c r="E982" i="5"/>
  <c r="E983" i="5"/>
  <c r="E984" i="5"/>
  <c r="E985" i="5"/>
  <c r="E986" i="5"/>
  <c r="E987" i="5"/>
  <c r="E988" i="5"/>
  <c r="E989" i="5"/>
  <c r="E990" i="5"/>
  <c r="E991" i="5"/>
  <c r="E992" i="5"/>
  <c r="E993" i="5"/>
  <c r="E994" i="5"/>
  <c r="E1793" i="5"/>
  <c r="E995" i="5"/>
  <c r="E996" i="5"/>
  <c r="E997" i="5"/>
  <c r="E998" i="5"/>
  <c r="E999" i="5"/>
  <c r="E1000" i="5"/>
  <c r="E1001" i="5"/>
  <c r="E1002" i="5"/>
  <c r="E1003" i="5"/>
  <c r="E1004" i="5"/>
  <c r="E1005" i="5"/>
  <c r="E1006" i="5"/>
  <c r="E1007" i="5"/>
  <c r="E1008" i="5"/>
  <c r="E1009" i="5"/>
  <c r="E1010" i="5"/>
  <c r="V419" i="23" s="1"/>
  <c r="E1011" i="5"/>
  <c r="E1012" i="5"/>
  <c r="E1013" i="5"/>
  <c r="E1014" i="5"/>
  <c r="E1015" i="5"/>
  <c r="E1016" i="5"/>
  <c r="E1017" i="5"/>
  <c r="E1018" i="5"/>
  <c r="E1019" i="5"/>
  <c r="E1020" i="5"/>
  <c r="E1021" i="5"/>
  <c r="E1022" i="5"/>
  <c r="E1023" i="5"/>
  <c r="E1024" i="5"/>
  <c r="E1025" i="5"/>
  <c r="E1026" i="5"/>
  <c r="E1027" i="5"/>
  <c r="E1028" i="5"/>
  <c r="E1029" i="5"/>
  <c r="E1030" i="5"/>
  <c r="E1031" i="5"/>
  <c r="E1032" i="5"/>
  <c r="E1033" i="5"/>
  <c r="V246" i="23" s="1"/>
  <c r="E1034" i="5"/>
  <c r="E1035" i="5"/>
  <c r="E1036" i="5"/>
  <c r="E1037" i="5"/>
  <c r="E1038" i="5"/>
  <c r="E1039" i="5"/>
  <c r="E1040" i="5"/>
  <c r="E1041" i="5"/>
  <c r="E1042" i="5"/>
  <c r="E1043" i="5"/>
  <c r="E1044" i="5"/>
  <c r="E1045" i="5"/>
  <c r="E1046" i="5"/>
  <c r="E1047" i="5"/>
  <c r="E1048" i="5"/>
  <c r="E1049" i="5"/>
  <c r="E1050" i="5"/>
  <c r="E1051" i="5"/>
  <c r="E1052" i="5"/>
  <c r="E1053" i="5"/>
  <c r="E1054" i="5"/>
  <c r="E1055" i="5"/>
  <c r="E1056" i="5"/>
  <c r="E1057" i="5"/>
  <c r="E1058" i="5"/>
  <c r="E1059" i="5"/>
  <c r="E1060" i="5"/>
  <c r="E1061" i="5"/>
  <c r="E1062" i="5"/>
  <c r="E1063" i="5"/>
  <c r="E1064" i="5"/>
  <c r="E1065" i="5"/>
  <c r="E1066" i="5"/>
  <c r="E1067" i="5"/>
  <c r="E1068" i="5"/>
  <c r="E1069" i="5"/>
  <c r="E1070" i="5"/>
  <c r="E1071" i="5"/>
  <c r="E1072" i="5"/>
  <c r="E1073" i="5"/>
  <c r="E1074" i="5"/>
  <c r="E1075" i="5"/>
  <c r="E1076" i="5"/>
  <c r="E1077" i="5"/>
  <c r="E1078" i="5"/>
  <c r="E1079" i="5"/>
  <c r="E1080" i="5"/>
  <c r="E1081" i="5"/>
  <c r="E1082" i="5"/>
  <c r="E1083" i="5"/>
  <c r="E1084" i="5"/>
  <c r="E1085" i="5"/>
  <c r="E1086" i="5"/>
  <c r="E1087" i="5"/>
  <c r="E1088" i="5"/>
  <c r="E1089" i="5"/>
  <c r="E1090" i="5"/>
  <c r="E1091" i="5"/>
  <c r="E1092" i="5"/>
  <c r="E1093" i="5"/>
  <c r="E1094" i="5"/>
  <c r="E1095" i="5"/>
  <c r="E1096" i="5"/>
  <c r="E1097" i="5"/>
  <c r="E1098" i="5"/>
  <c r="E1099" i="5"/>
  <c r="E1100" i="5"/>
  <c r="E1101" i="5"/>
  <c r="E1102" i="5"/>
  <c r="E1103" i="5"/>
  <c r="E1104" i="5"/>
  <c r="E1105" i="5"/>
  <c r="E1106" i="5"/>
  <c r="E1107" i="5"/>
  <c r="E1108" i="5"/>
  <c r="E1109" i="5"/>
  <c r="E1110" i="5"/>
  <c r="E1111" i="5"/>
  <c r="E1112" i="5"/>
  <c r="E1113" i="5"/>
  <c r="E1114" i="5"/>
  <c r="E1115" i="5"/>
  <c r="E1116" i="5"/>
  <c r="E1117" i="5"/>
  <c r="E1118" i="5"/>
  <c r="E1119" i="5"/>
  <c r="E1120" i="5"/>
  <c r="E1121" i="5"/>
  <c r="E1122" i="5"/>
  <c r="E1123" i="5"/>
  <c r="E1124" i="5"/>
  <c r="E1125" i="5"/>
  <c r="E1126" i="5"/>
  <c r="E1127" i="5"/>
  <c r="E1128" i="5"/>
  <c r="E1129" i="5"/>
  <c r="E1130" i="5"/>
  <c r="E1131" i="5"/>
  <c r="E1132" i="5"/>
  <c r="E1133" i="5"/>
  <c r="E1134" i="5"/>
  <c r="E1135" i="5"/>
  <c r="E1136" i="5"/>
  <c r="E1137" i="5"/>
  <c r="E1138" i="5"/>
  <c r="E1139" i="5"/>
  <c r="E1140" i="5"/>
  <c r="E1141" i="5"/>
  <c r="E1142" i="5"/>
  <c r="E1143" i="5"/>
  <c r="E1144" i="5"/>
  <c r="E1145" i="5"/>
  <c r="E1146" i="5"/>
  <c r="E1147" i="5"/>
  <c r="E1148" i="5"/>
  <c r="E1149" i="5"/>
  <c r="E1150" i="5"/>
  <c r="E1151" i="5"/>
  <c r="E1152" i="5"/>
  <c r="E1153" i="5"/>
  <c r="E1154" i="5"/>
  <c r="E1155" i="5"/>
  <c r="E1156" i="5"/>
  <c r="E1157" i="5"/>
  <c r="E1158" i="5"/>
  <c r="E1159" i="5"/>
  <c r="E1160" i="5"/>
  <c r="E1161" i="5"/>
  <c r="V279" i="23" s="1"/>
  <c r="E1162" i="5"/>
  <c r="E1163" i="5"/>
  <c r="E1164" i="5"/>
  <c r="E1165" i="5"/>
  <c r="E1166" i="5"/>
  <c r="E1167" i="5"/>
  <c r="E1168" i="5"/>
  <c r="E1169" i="5"/>
  <c r="E1170" i="5"/>
  <c r="E1171" i="5"/>
  <c r="E1172" i="5"/>
  <c r="E1173" i="5"/>
  <c r="E1174" i="5"/>
  <c r="E1175" i="5"/>
  <c r="E1176" i="5"/>
  <c r="E1177" i="5"/>
  <c r="E1178" i="5"/>
  <c r="E1179" i="5"/>
  <c r="E1180" i="5"/>
  <c r="E1181" i="5"/>
  <c r="E1182" i="5"/>
  <c r="E1183" i="5"/>
  <c r="E1184" i="5"/>
  <c r="E1185" i="5"/>
  <c r="E1186" i="5"/>
  <c r="E1187" i="5"/>
  <c r="E1188" i="5"/>
  <c r="E1189" i="5"/>
  <c r="E1190" i="5"/>
  <c r="E1191" i="5"/>
  <c r="E1192" i="5"/>
  <c r="E1193" i="5"/>
  <c r="E1194" i="5"/>
  <c r="E1195" i="5"/>
  <c r="E1196" i="5"/>
  <c r="E1197" i="5"/>
  <c r="E1198" i="5"/>
  <c r="E1199" i="5"/>
  <c r="E1200" i="5"/>
  <c r="E1201" i="5"/>
  <c r="E1202" i="5"/>
  <c r="E1203" i="5"/>
  <c r="E1204" i="5"/>
  <c r="E1205" i="5"/>
  <c r="E1206" i="5"/>
  <c r="E1207" i="5"/>
  <c r="E1208" i="5"/>
  <c r="E1209" i="5"/>
  <c r="E1210" i="5"/>
  <c r="E1211" i="5"/>
  <c r="E1212" i="5"/>
  <c r="E1213" i="5"/>
  <c r="E1214" i="5"/>
  <c r="E1215" i="5"/>
  <c r="E1216" i="5"/>
  <c r="V439" i="23" s="1"/>
  <c r="E1217" i="5"/>
  <c r="E1218" i="5"/>
  <c r="E1219" i="5"/>
  <c r="E1220" i="5"/>
  <c r="E1221" i="5"/>
  <c r="E1222" i="5"/>
  <c r="E1223" i="5"/>
  <c r="E1224" i="5"/>
  <c r="E1225" i="5"/>
  <c r="E1226" i="5"/>
  <c r="E1227" i="5"/>
  <c r="E1228" i="5"/>
  <c r="E1229" i="5"/>
  <c r="E1230" i="5"/>
  <c r="E1231" i="5"/>
  <c r="E1232" i="5"/>
  <c r="E1233" i="5"/>
  <c r="E1234" i="5"/>
  <c r="E1235" i="5"/>
  <c r="E1236" i="5"/>
  <c r="E1237" i="5"/>
  <c r="E1238" i="5"/>
  <c r="E1239" i="5"/>
  <c r="E1240" i="5"/>
  <c r="E1241" i="5"/>
  <c r="E1242" i="5"/>
  <c r="E1243" i="5"/>
  <c r="E1244" i="5"/>
  <c r="E1245" i="5"/>
  <c r="E1246" i="5"/>
  <c r="E1247" i="5"/>
  <c r="E1248" i="5"/>
  <c r="E1249" i="5"/>
  <c r="E1250" i="5"/>
  <c r="E1251" i="5"/>
  <c r="E1252" i="5"/>
  <c r="E1253" i="5"/>
  <c r="V262" i="23" s="1"/>
  <c r="E1254" i="5"/>
  <c r="E1255" i="5"/>
  <c r="E1256" i="5"/>
  <c r="E1257" i="5"/>
  <c r="E1258" i="5"/>
  <c r="E1259" i="5"/>
  <c r="E1260" i="5"/>
  <c r="E1261" i="5"/>
  <c r="E1262" i="5"/>
  <c r="E1263" i="5"/>
  <c r="E1264" i="5"/>
  <c r="E1265" i="5"/>
  <c r="E1266" i="5"/>
  <c r="E1267" i="5"/>
  <c r="E1268" i="5"/>
  <c r="E1269" i="5"/>
  <c r="E1270" i="5"/>
  <c r="E1271" i="5"/>
  <c r="E1272" i="5"/>
  <c r="E1273" i="5"/>
  <c r="E1274" i="5"/>
  <c r="E1275" i="5"/>
  <c r="E1276" i="5"/>
  <c r="E1277" i="5"/>
  <c r="E1278" i="5"/>
  <c r="E1279" i="5"/>
  <c r="E1280" i="5"/>
  <c r="E1281" i="5"/>
  <c r="E1282" i="5"/>
  <c r="E1283" i="5"/>
  <c r="E1284" i="5"/>
  <c r="E1285" i="5"/>
  <c r="E1286" i="5"/>
  <c r="E1287" i="5"/>
  <c r="E1288" i="5"/>
  <c r="E1289" i="5"/>
  <c r="E1290" i="5"/>
  <c r="E1291" i="5"/>
  <c r="E1292" i="5"/>
  <c r="E1293" i="5"/>
  <c r="E1294" i="5"/>
  <c r="E1295" i="5"/>
  <c r="E1296" i="5"/>
  <c r="E1297" i="5"/>
  <c r="E1298" i="5"/>
  <c r="E1299" i="5"/>
  <c r="E1300" i="5"/>
  <c r="E1301" i="5"/>
  <c r="E1302" i="5"/>
  <c r="E1303" i="5"/>
  <c r="V349" i="23" s="1"/>
  <c r="E1304" i="5"/>
  <c r="E1305" i="5"/>
  <c r="E1306" i="5"/>
  <c r="E1307" i="5"/>
  <c r="E1308" i="5"/>
  <c r="E1309" i="5"/>
  <c r="E1310" i="5"/>
  <c r="E1311" i="5"/>
  <c r="E1312" i="5"/>
  <c r="E1313" i="5"/>
  <c r="E1314" i="5"/>
  <c r="E1315" i="5"/>
  <c r="E1316" i="5"/>
  <c r="E1317" i="5"/>
  <c r="E1318" i="5"/>
  <c r="E1319" i="5"/>
  <c r="E1320" i="5"/>
  <c r="E1321" i="5"/>
  <c r="E1322" i="5"/>
  <c r="E1323" i="5"/>
  <c r="E1324" i="5"/>
  <c r="E1325" i="5"/>
  <c r="E1326" i="5"/>
  <c r="E1327" i="5"/>
  <c r="E1328" i="5"/>
  <c r="E1329" i="5"/>
  <c r="E1330" i="5"/>
  <c r="E1331" i="5"/>
  <c r="E1332" i="5"/>
  <c r="E1333" i="5"/>
  <c r="E1334" i="5"/>
  <c r="E1335" i="5"/>
  <c r="E1336" i="5"/>
  <c r="E1337" i="5"/>
  <c r="E1338" i="5"/>
  <c r="E1339" i="5"/>
  <c r="E1340" i="5"/>
  <c r="E1341" i="5"/>
  <c r="E1342" i="5"/>
  <c r="Y154" i="23" s="1"/>
  <c r="E1343" i="5"/>
  <c r="E1344" i="5"/>
  <c r="E1345" i="5"/>
  <c r="E1346" i="5"/>
  <c r="V411" i="23" s="1"/>
  <c r="E1347" i="5"/>
  <c r="E1348" i="5"/>
  <c r="E1349" i="5"/>
  <c r="E1350" i="5"/>
  <c r="E1351" i="5"/>
  <c r="E1352" i="5"/>
  <c r="E1353" i="5"/>
  <c r="E1354" i="5"/>
  <c r="E1355" i="5"/>
  <c r="E1356" i="5"/>
  <c r="E1357" i="5"/>
  <c r="E1358" i="5"/>
  <c r="E1359" i="5"/>
  <c r="E1360" i="5"/>
  <c r="E1361" i="5"/>
  <c r="E1362" i="5"/>
  <c r="E1363" i="5"/>
  <c r="E1364" i="5"/>
  <c r="E1365" i="5"/>
  <c r="E1366" i="5"/>
  <c r="E1367" i="5"/>
  <c r="E1368" i="5"/>
  <c r="E1369" i="5"/>
  <c r="E1370" i="5"/>
  <c r="E1371" i="5"/>
  <c r="E1372" i="5"/>
  <c r="E1373" i="5"/>
  <c r="E1374" i="5"/>
  <c r="E1375" i="5"/>
  <c r="E1376" i="5"/>
  <c r="E1377" i="5"/>
  <c r="E1378" i="5"/>
  <c r="E1379" i="5"/>
  <c r="E1380" i="5"/>
  <c r="V202" i="23" s="1"/>
  <c r="E1381" i="5"/>
  <c r="E1382" i="5"/>
  <c r="E1383" i="5"/>
  <c r="E1384" i="5"/>
  <c r="E1385" i="5"/>
  <c r="E1386" i="5"/>
  <c r="E1387" i="5"/>
  <c r="E1388" i="5"/>
  <c r="E1389" i="5"/>
  <c r="E1390" i="5"/>
  <c r="E1391" i="5"/>
  <c r="E1392" i="5"/>
  <c r="E1393" i="5"/>
  <c r="E1394" i="5"/>
  <c r="E1395" i="5"/>
  <c r="E1396" i="5"/>
  <c r="E1397" i="5"/>
  <c r="E1398" i="5"/>
  <c r="E1399" i="5"/>
  <c r="E1400" i="5"/>
  <c r="E1401" i="5"/>
  <c r="E1402" i="5"/>
  <c r="E1403" i="5"/>
  <c r="E1404" i="5"/>
  <c r="E1405" i="5"/>
  <c r="E1406" i="5"/>
  <c r="E1407" i="5"/>
  <c r="E1408" i="5"/>
  <c r="E1409" i="5"/>
  <c r="E1410" i="5"/>
  <c r="E1411" i="5"/>
  <c r="E1412" i="5"/>
  <c r="E1413" i="5"/>
  <c r="E1414" i="5"/>
  <c r="E1415" i="5"/>
  <c r="E1416" i="5"/>
  <c r="E1417" i="5"/>
  <c r="E1418" i="5"/>
  <c r="E1419" i="5"/>
  <c r="E1420" i="5"/>
  <c r="E1421" i="5"/>
  <c r="E1422" i="5"/>
  <c r="E1423" i="5"/>
  <c r="E1424" i="5"/>
  <c r="E1425" i="5"/>
  <c r="E1426" i="5"/>
  <c r="E1427" i="5"/>
  <c r="E1428" i="5"/>
  <c r="E1429" i="5"/>
  <c r="E1430" i="5"/>
  <c r="E1431" i="5"/>
  <c r="E1432" i="5"/>
  <c r="E1433" i="5"/>
  <c r="E1434" i="5"/>
  <c r="E1435" i="5"/>
  <c r="E1436" i="5"/>
  <c r="E1437" i="5"/>
  <c r="E1438" i="5"/>
  <c r="E1439" i="5"/>
  <c r="E1440" i="5"/>
  <c r="V62" i="23" s="1"/>
  <c r="E1441" i="5"/>
  <c r="E1442" i="5"/>
  <c r="E1443" i="5"/>
  <c r="E1444" i="5"/>
  <c r="E1445" i="5"/>
  <c r="E1446" i="5"/>
  <c r="E1447" i="5"/>
  <c r="E1448" i="5"/>
  <c r="E1449" i="5"/>
  <c r="E1450" i="5"/>
  <c r="E1451" i="5"/>
  <c r="E1452" i="5"/>
  <c r="E1453" i="5"/>
  <c r="E1454" i="5"/>
  <c r="E1455" i="5"/>
  <c r="E1456" i="5"/>
  <c r="E1457" i="5"/>
  <c r="E1458" i="5"/>
  <c r="E1459" i="5"/>
  <c r="E1460" i="5"/>
  <c r="E1461" i="5"/>
  <c r="E1462" i="5"/>
  <c r="E1463" i="5"/>
  <c r="E1464" i="5"/>
  <c r="E1465" i="5"/>
  <c r="E1466" i="5"/>
  <c r="E1467" i="5"/>
  <c r="E1468" i="5"/>
  <c r="E1469" i="5"/>
  <c r="E1470" i="5"/>
  <c r="E1471" i="5"/>
  <c r="E1472" i="5"/>
  <c r="E1473" i="5"/>
  <c r="E1474" i="5"/>
  <c r="E1475" i="5"/>
  <c r="E1476" i="5"/>
  <c r="E1477" i="5"/>
  <c r="E1478" i="5"/>
  <c r="E1479" i="5"/>
  <c r="E1480" i="5"/>
  <c r="E1481" i="5"/>
  <c r="E1482" i="5"/>
  <c r="E1483" i="5"/>
  <c r="E1484" i="5"/>
  <c r="V95" i="23" s="1"/>
  <c r="E1485" i="5"/>
  <c r="E1486" i="5"/>
  <c r="E1487" i="5"/>
  <c r="E1488" i="5"/>
  <c r="E1489" i="5"/>
  <c r="E1490" i="5"/>
  <c r="E1491" i="5"/>
  <c r="E1492" i="5"/>
  <c r="V94" i="23" s="1"/>
  <c r="E1493" i="5"/>
  <c r="E1494" i="5"/>
  <c r="E1495" i="5"/>
  <c r="E1496" i="5"/>
  <c r="E1497" i="5"/>
  <c r="E1498" i="5"/>
  <c r="E1499" i="5"/>
  <c r="E1500" i="5"/>
  <c r="E1501" i="5"/>
  <c r="E1502" i="5"/>
  <c r="E1503" i="5"/>
  <c r="E1504" i="5"/>
  <c r="E1505" i="5"/>
  <c r="E1506" i="5"/>
  <c r="E1507" i="5"/>
  <c r="E1508" i="5"/>
  <c r="V216" i="23" s="1"/>
  <c r="E1509" i="5"/>
  <c r="E1510" i="5"/>
  <c r="E1511" i="5"/>
  <c r="E1512" i="5"/>
  <c r="E1513" i="5"/>
  <c r="E1514" i="5"/>
  <c r="E1515" i="5"/>
  <c r="Y155" i="23" s="1"/>
  <c r="E1516" i="5"/>
  <c r="E1517" i="5"/>
  <c r="E1518" i="5"/>
  <c r="E1519" i="5"/>
  <c r="E1520" i="5"/>
  <c r="E1521" i="5"/>
  <c r="E1522" i="5"/>
  <c r="E1523" i="5"/>
  <c r="E1524" i="5"/>
  <c r="E1525" i="5"/>
  <c r="E1526" i="5"/>
  <c r="E1527" i="5"/>
  <c r="E1528" i="5"/>
  <c r="E1529" i="5"/>
  <c r="E1530" i="5"/>
  <c r="E1531" i="5"/>
  <c r="E1532" i="5"/>
  <c r="E1533" i="5"/>
  <c r="E1534" i="5"/>
  <c r="E1535" i="5"/>
  <c r="E1536" i="5"/>
  <c r="E1537" i="5"/>
  <c r="E1538" i="5"/>
  <c r="E1539" i="5"/>
  <c r="E1540" i="5"/>
  <c r="E1541" i="5"/>
  <c r="E1542" i="5"/>
  <c r="E1543" i="5"/>
  <c r="E1544" i="5"/>
  <c r="E1545" i="5"/>
  <c r="E1546" i="5"/>
  <c r="E1547" i="5"/>
  <c r="E1548" i="5"/>
  <c r="E1549" i="5"/>
  <c r="E1550" i="5"/>
  <c r="V182" i="23" s="1"/>
  <c r="E1551" i="5"/>
  <c r="E1552" i="5"/>
  <c r="E1553" i="5"/>
  <c r="E1554" i="5"/>
  <c r="E1555" i="5"/>
  <c r="E1556" i="5"/>
  <c r="E1557" i="5"/>
  <c r="E1558" i="5"/>
  <c r="E1559" i="5"/>
  <c r="E1560" i="5"/>
  <c r="E1561" i="5"/>
  <c r="E1562" i="5"/>
  <c r="E1563" i="5"/>
  <c r="E1564" i="5"/>
  <c r="E1565" i="5"/>
  <c r="E1566" i="5"/>
  <c r="E1567" i="5"/>
  <c r="E1568" i="5"/>
  <c r="E1569" i="5"/>
  <c r="E1570" i="5"/>
  <c r="E1571" i="5"/>
  <c r="E1572" i="5"/>
  <c r="E1573" i="5"/>
  <c r="E1574" i="5"/>
  <c r="E1575" i="5"/>
  <c r="E1576" i="5"/>
  <c r="E1577" i="5"/>
  <c r="E1578" i="5"/>
  <c r="E1579" i="5"/>
  <c r="E1580" i="5"/>
  <c r="E1581" i="5"/>
  <c r="E1582" i="5"/>
  <c r="E1583" i="5"/>
  <c r="E1584" i="5"/>
  <c r="E1585" i="5"/>
  <c r="E1586" i="5"/>
  <c r="E1587" i="5"/>
  <c r="E1588" i="5"/>
  <c r="E1589" i="5"/>
  <c r="E1590" i="5"/>
  <c r="E1591" i="5"/>
  <c r="E1592" i="5"/>
  <c r="E1593" i="5"/>
  <c r="E1594" i="5"/>
  <c r="E1595" i="5"/>
  <c r="E1596" i="5"/>
  <c r="E1597" i="5"/>
  <c r="E1598" i="5"/>
  <c r="E1599" i="5"/>
  <c r="E1600" i="5"/>
  <c r="E1601" i="5"/>
  <c r="E1602" i="5"/>
  <c r="E1603" i="5"/>
  <c r="E1604" i="5"/>
  <c r="E1605" i="5"/>
  <c r="E1606" i="5"/>
  <c r="E1607" i="5"/>
  <c r="E1608" i="5"/>
  <c r="E1609" i="5"/>
  <c r="E1610" i="5"/>
  <c r="E1611" i="5"/>
  <c r="E1612" i="5"/>
  <c r="E1613" i="5"/>
  <c r="E1614" i="5"/>
  <c r="E1615" i="5"/>
  <c r="E1616" i="5"/>
  <c r="E1617" i="5"/>
  <c r="E1618" i="5"/>
  <c r="E1619" i="5"/>
  <c r="E1620" i="5"/>
  <c r="E1621" i="5"/>
  <c r="E1622" i="5"/>
  <c r="E1623" i="5"/>
  <c r="E1624" i="5"/>
  <c r="E1625" i="5"/>
  <c r="E1626" i="5"/>
  <c r="E1627" i="5"/>
  <c r="E1628" i="5"/>
  <c r="E1629" i="5"/>
  <c r="E1630" i="5"/>
  <c r="E1631" i="5"/>
  <c r="E1632" i="5"/>
  <c r="E1633" i="5"/>
  <c r="E1634" i="5"/>
  <c r="E1635" i="5"/>
  <c r="E1636" i="5"/>
  <c r="V438" i="23" s="1"/>
  <c r="E1637" i="5"/>
  <c r="E1638" i="5"/>
  <c r="E1639" i="5"/>
  <c r="E1640" i="5"/>
  <c r="E1641" i="5"/>
  <c r="E1642" i="5"/>
  <c r="E1643" i="5"/>
  <c r="E1644" i="5"/>
  <c r="E1645" i="5"/>
  <c r="E1646" i="5"/>
  <c r="E1647" i="5"/>
  <c r="E1648" i="5"/>
  <c r="E1649" i="5"/>
  <c r="E1650" i="5"/>
  <c r="E1651" i="5"/>
  <c r="E1652" i="5"/>
  <c r="E1653" i="5"/>
  <c r="E1654" i="5"/>
  <c r="E1655" i="5"/>
  <c r="E1656" i="5"/>
  <c r="E1657" i="5"/>
  <c r="E1658" i="5"/>
  <c r="E1659" i="5"/>
  <c r="E1660" i="5"/>
  <c r="E1661" i="5"/>
  <c r="E1662" i="5"/>
  <c r="E1663" i="5"/>
  <c r="E1664" i="5"/>
  <c r="E1665" i="5"/>
  <c r="E1666" i="5"/>
  <c r="E1667" i="5"/>
  <c r="E1668" i="5"/>
  <c r="E1669" i="5"/>
  <c r="E1670" i="5"/>
  <c r="E1671" i="5"/>
  <c r="E1672" i="5"/>
  <c r="E1673" i="5"/>
  <c r="E1674" i="5"/>
  <c r="E1675" i="5"/>
  <c r="E1676" i="5"/>
  <c r="E1677" i="5"/>
  <c r="E1678" i="5"/>
  <c r="E1679" i="5"/>
  <c r="E1680" i="5"/>
  <c r="E1681" i="5"/>
  <c r="E1682" i="5"/>
  <c r="E1683" i="5"/>
  <c r="E1684" i="5"/>
  <c r="E1685" i="5"/>
  <c r="E1686" i="5"/>
  <c r="E1687" i="5"/>
  <c r="E1688" i="5"/>
  <c r="E1689" i="5"/>
  <c r="E1690" i="5"/>
  <c r="E1691" i="5"/>
  <c r="E1692" i="5"/>
  <c r="E1693" i="5"/>
  <c r="E1694" i="5"/>
  <c r="E1695" i="5"/>
  <c r="E1696" i="5"/>
  <c r="E1697" i="5"/>
  <c r="E1698" i="5"/>
  <c r="E1699" i="5"/>
  <c r="E1700" i="5"/>
  <c r="E1701" i="5"/>
  <c r="E1702" i="5"/>
  <c r="E1703" i="5"/>
  <c r="E1704" i="5"/>
  <c r="E1705" i="5"/>
  <c r="E1706" i="5"/>
  <c r="E1707" i="5"/>
  <c r="E1708" i="5"/>
  <c r="E1709" i="5"/>
  <c r="E1710" i="5"/>
  <c r="E1711" i="5"/>
  <c r="E1712" i="5"/>
  <c r="E1713" i="5"/>
  <c r="E1714" i="5"/>
  <c r="E1715" i="5"/>
  <c r="E1716" i="5"/>
  <c r="E1717" i="5"/>
  <c r="E1718" i="5"/>
  <c r="E1719" i="5"/>
  <c r="E1720" i="5"/>
  <c r="E1721" i="5"/>
  <c r="E1722" i="5"/>
  <c r="E1723" i="5"/>
  <c r="E1724" i="5"/>
  <c r="E1725" i="5"/>
  <c r="E1726" i="5"/>
  <c r="E1727" i="5"/>
  <c r="E1728" i="5"/>
  <c r="E1729" i="5"/>
  <c r="E1730" i="5"/>
  <c r="E1731" i="5"/>
  <c r="E1732" i="5"/>
  <c r="E1733" i="5"/>
  <c r="E1734" i="5"/>
  <c r="E1735" i="5"/>
  <c r="E1736" i="5"/>
  <c r="E1737" i="5"/>
  <c r="E1738" i="5"/>
  <c r="E1739" i="5"/>
  <c r="E1740" i="5"/>
  <c r="E1741" i="5"/>
  <c r="E1742" i="5"/>
  <c r="E1743" i="5"/>
  <c r="E1744" i="5"/>
  <c r="E1745" i="5"/>
  <c r="E1746" i="5"/>
  <c r="E1747" i="5"/>
  <c r="E1748" i="5"/>
  <c r="E1749" i="5"/>
  <c r="E1750" i="5"/>
  <c r="E1751" i="5"/>
  <c r="E1752" i="5"/>
  <c r="E1753" i="5"/>
  <c r="E1754" i="5"/>
  <c r="E1755" i="5"/>
  <c r="E1756" i="5"/>
  <c r="E1757" i="5"/>
  <c r="E1758" i="5"/>
  <c r="E1759" i="5"/>
  <c r="E1760" i="5"/>
  <c r="E1761" i="5"/>
  <c r="E1762" i="5"/>
  <c r="E1763" i="5"/>
  <c r="E1764" i="5"/>
  <c r="E1765" i="5"/>
  <c r="E1766" i="5"/>
  <c r="E1767" i="5"/>
  <c r="E1768" i="5"/>
  <c r="E1769" i="5"/>
  <c r="E1770" i="5"/>
  <c r="E1771" i="5"/>
  <c r="E1772" i="5"/>
  <c r="E1773" i="5"/>
  <c r="X337" i="23" s="1"/>
  <c r="E1774" i="5"/>
  <c r="E1775" i="5"/>
  <c r="E1776" i="5"/>
  <c r="E1777" i="5"/>
  <c r="E1778" i="5"/>
  <c r="E1779" i="5"/>
  <c r="E1780" i="5"/>
  <c r="E1781" i="5"/>
  <c r="E1782" i="5"/>
  <c r="E1783" i="5"/>
  <c r="E1784" i="5"/>
  <c r="E1785" i="5"/>
  <c r="E1786" i="5"/>
  <c r="E1787" i="5"/>
  <c r="E1788" i="5"/>
  <c r="E1789" i="5"/>
  <c r="E1790" i="5"/>
  <c r="E1791" i="5"/>
  <c r="E1792" i="5"/>
  <c r="E1794" i="5"/>
  <c r="E1795" i="5"/>
  <c r="E1796" i="5"/>
  <c r="E1797" i="5"/>
  <c r="E1798" i="5"/>
  <c r="E1799" i="5"/>
  <c r="E1800" i="5"/>
  <c r="E1801" i="5"/>
  <c r="E1802" i="5"/>
  <c r="E1803" i="5"/>
  <c r="E1804" i="5"/>
  <c r="E1805" i="5"/>
  <c r="E1806" i="5"/>
  <c r="E1807" i="5"/>
  <c r="E1808" i="5"/>
  <c r="E1809" i="5"/>
  <c r="E1810" i="5"/>
  <c r="E1811" i="5"/>
  <c r="E1812" i="5"/>
  <c r="E1813" i="5"/>
  <c r="E1814" i="5"/>
  <c r="E1815" i="5"/>
  <c r="E1816" i="5"/>
  <c r="E1817" i="5"/>
  <c r="E1818" i="5"/>
  <c r="E1819" i="5"/>
  <c r="E1820" i="5"/>
  <c r="E1821" i="5"/>
  <c r="E1822" i="5"/>
  <c r="E1823" i="5"/>
  <c r="E1824" i="5"/>
  <c r="E1825" i="5"/>
  <c r="E1826" i="5"/>
  <c r="E1827" i="5"/>
  <c r="E1828" i="5"/>
  <c r="E1829" i="5"/>
  <c r="E1830" i="5"/>
  <c r="E1831" i="5"/>
  <c r="E1832" i="5"/>
  <c r="E1833" i="5"/>
  <c r="E1834" i="5"/>
  <c r="E1835" i="5"/>
  <c r="E1836" i="5"/>
  <c r="E1837" i="5"/>
  <c r="E1838" i="5"/>
  <c r="E1839" i="5"/>
  <c r="E1840" i="5"/>
  <c r="E1841" i="5"/>
  <c r="E1842" i="5"/>
  <c r="E1843" i="5"/>
  <c r="E1844" i="5"/>
  <c r="E1845" i="5"/>
  <c r="E1846" i="5"/>
  <c r="E1847" i="5"/>
  <c r="E1848" i="5"/>
  <c r="E1849" i="5"/>
  <c r="E1850" i="5"/>
  <c r="E1851" i="5"/>
  <c r="E1852" i="5"/>
  <c r="E1853" i="5"/>
  <c r="E1854" i="5"/>
  <c r="E1855" i="5"/>
  <c r="E1856" i="5"/>
  <c r="E1857" i="5"/>
  <c r="E1858" i="5"/>
  <c r="E1859" i="5"/>
  <c r="E1860" i="5"/>
  <c r="E1861" i="5"/>
  <c r="E1862" i="5"/>
  <c r="E1863" i="5"/>
  <c r="E1864" i="5"/>
  <c r="E1865" i="5"/>
  <c r="E1866" i="5"/>
  <c r="E1867" i="5"/>
  <c r="E1868" i="5"/>
  <c r="E1869" i="5"/>
  <c r="E1870" i="5"/>
  <c r="E1871" i="5"/>
  <c r="E1872" i="5"/>
  <c r="E1873" i="5"/>
  <c r="E1874" i="5"/>
  <c r="E1875" i="5"/>
  <c r="E1876" i="5"/>
  <c r="E1877" i="5"/>
  <c r="E1878" i="5"/>
  <c r="E1879" i="5"/>
  <c r="E1880" i="5"/>
  <c r="E1881" i="5"/>
  <c r="E1882" i="5"/>
  <c r="E1883" i="5"/>
  <c r="E1884" i="5"/>
  <c r="E1885" i="5"/>
  <c r="E1886" i="5"/>
  <c r="E1887" i="5"/>
  <c r="E1888" i="5"/>
  <c r="E1889" i="5"/>
  <c r="E1890" i="5"/>
  <c r="E1891" i="5"/>
  <c r="E1892" i="5"/>
  <c r="E1893" i="5"/>
  <c r="E1894" i="5"/>
  <c r="E1895" i="5"/>
  <c r="E1896" i="5"/>
  <c r="E1897" i="5"/>
  <c r="E1898" i="5"/>
  <c r="E1899" i="5"/>
  <c r="E1900" i="5"/>
  <c r="E1901" i="5"/>
  <c r="E1902" i="5"/>
  <c r="E1903" i="5"/>
  <c r="E1904" i="5"/>
  <c r="E1905" i="5"/>
  <c r="E1906" i="5"/>
  <c r="E1907" i="5"/>
  <c r="E1908" i="5"/>
  <c r="E1909" i="5"/>
  <c r="E1910" i="5"/>
  <c r="E1911" i="5"/>
  <c r="E1912" i="5"/>
  <c r="E1913" i="5"/>
  <c r="E1914" i="5"/>
  <c r="E1915" i="5"/>
  <c r="E1916" i="5"/>
  <c r="E1917" i="5"/>
  <c r="E1918" i="5"/>
  <c r="E1919" i="5"/>
  <c r="E1920" i="5"/>
  <c r="E1921" i="5"/>
  <c r="E1922" i="5"/>
  <c r="E1923" i="5"/>
  <c r="E1924" i="5"/>
  <c r="E1925" i="5"/>
  <c r="E1926" i="5"/>
  <c r="E1927" i="5"/>
  <c r="E1928" i="5"/>
  <c r="E1929" i="5"/>
  <c r="E1930" i="5"/>
  <c r="E1931" i="5"/>
  <c r="E1932" i="5"/>
  <c r="E1933" i="5"/>
  <c r="E1934" i="5"/>
  <c r="E1935" i="5"/>
  <c r="E1936" i="5"/>
  <c r="E1937" i="5"/>
  <c r="E1938" i="5"/>
  <c r="E1939" i="5"/>
  <c r="E1940" i="5"/>
  <c r="E1941" i="5"/>
  <c r="E1942" i="5"/>
  <c r="E1943" i="5"/>
  <c r="E1944" i="5"/>
  <c r="E1945" i="5"/>
  <c r="E1946" i="5"/>
  <c r="E1947" i="5"/>
  <c r="E1948" i="5"/>
  <c r="E1949" i="5"/>
  <c r="E1950" i="5"/>
  <c r="E1951" i="5"/>
  <c r="E1952" i="5"/>
  <c r="E1953" i="5"/>
  <c r="E1954" i="5"/>
  <c r="E1955" i="5"/>
  <c r="E1956" i="5"/>
  <c r="E1957" i="5"/>
  <c r="E1958" i="5"/>
  <c r="E1959" i="5"/>
  <c r="E1960" i="5"/>
  <c r="E1961" i="5"/>
  <c r="E1962" i="5"/>
  <c r="E1963" i="5"/>
  <c r="E1964" i="5"/>
  <c r="E1965" i="5"/>
  <c r="E1966" i="5"/>
  <c r="E1967" i="5"/>
  <c r="E1968" i="5"/>
  <c r="E1969" i="5"/>
  <c r="E1970" i="5"/>
  <c r="E1971" i="5"/>
  <c r="E1972" i="5"/>
  <c r="E1973" i="5"/>
  <c r="E1974" i="5"/>
  <c r="E1975" i="5"/>
  <c r="E1976" i="5"/>
  <c r="E1977" i="5"/>
  <c r="E1978" i="5"/>
  <c r="E1979" i="5"/>
  <c r="E1980" i="5"/>
  <c r="E1981" i="5"/>
  <c r="E1982" i="5"/>
  <c r="E1983" i="5"/>
  <c r="E1984" i="5"/>
  <c r="E1985" i="5"/>
  <c r="E1986" i="5"/>
  <c r="E1987" i="5"/>
  <c r="E1988" i="5"/>
  <c r="E1989" i="5"/>
  <c r="E1990" i="5"/>
  <c r="E1991" i="5"/>
  <c r="E1992" i="5"/>
  <c r="E1993" i="5"/>
  <c r="E1994" i="5"/>
  <c r="E1995" i="5"/>
  <c r="E1996" i="5"/>
  <c r="E1997" i="5"/>
  <c r="E1998" i="5"/>
  <c r="E1999" i="5"/>
  <c r="E2000" i="5"/>
  <c r="E2001" i="5"/>
  <c r="E2002" i="5"/>
  <c r="E2003" i="5"/>
  <c r="E2004" i="5"/>
  <c r="E2005" i="5"/>
  <c r="E2006" i="5"/>
  <c r="E2007" i="5"/>
  <c r="E2008" i="5"/>
  <c r="E2009" i="5"/>
  <c r="E2010" i="5"/>
  <c r="E2011" i="5"/>
  <c r="E2012" i="5"/>
  <c r="E2013" i="5"/>
  <c r="E2014" i="5"/>
  <c r="E2015" i="5"/>
  <c r="E2016" i="5"/>
  <c r="E2017" i="5"/>
  <c r="E2018" i="5"/>
  <c r="E2019" i="5"/>
  <c r="E2020" i="5"/>
  <c r="E2021" i="5"/>
  <c r="E2022" i="5"/>
  <c r="E2023" i="5"/>
  <c r="E2024" i="5"/>
  <c r="E2025" i="5"/>
  <c r="E2026" i="5"/>
  <c r="E2027" i="5"/>
  <c r="E2028" i="5"/>
  <c r="E2029" i="5"/>
  <c r="E2030" i="5"/>
  <c r="E2031" i="5"/>
  <c r="E2032" i="5"/>
  <c r="E2033" i="5"/>
  <c r="E2034" i="5"/>
  <c r="E2035" i="5"/>
  <c r="E2036" i="5"/>
  <c r="E2037" i="5"/>
  <c r="E2038" i="5"/>
  <c r="E2039" i="5"/>
  <c r="E2040" i="5"/>
  <c r="E2041" i="5"/>
  <c r="E2042" i="5"/>
  <c r="E2043" i="5"/>
  <c r="E2044" i="5"/>
  <c r="E2045" i="5"/>
  <c r="E2046" i="5"/>
  <c r="E2047" i="5"/>
  <c r="E2048" i="5"/>
  <c r="E2049" i="5"/>
  <c r="E2050" i="5"/>
  <c r="E2051" i="5"/>
  <c r="E2052" i="5"/>
  <c r="E2053" i="5"/>
  <c r="E2054" i="5"/>
  <c r="E2055" i="5"/>
  <c r="E2056" i="5"/>
  <c r="E2057" i="5"/>
  <c r="E2058" i="5"/>
  <c r="E2059" i="5"/>
  <c r="E2060" i="5"/>
  <c r="E2061" i="5"/>
  <c r="E2062" i="5"/>
  <c r="E2063" i="5"/>
  <c r="E2064" i="5"/>
  <c r="E2065" i="5"/>
  <c r="E2066" i="5"/>
  <c r="E2067" i="5"/>
  <c r="E2068" i="5"/>
  <c r="E2069" i="5"/>
  <c r="J3" i="3"/>
  <c r="B4" i="4"/>
  <c r="F4" i="4" s="1"/>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55" i="4"/>
  <c r="G56" i="4"/>
  <c r="G57" i="4"/>
  <c r="G58" i="4"/>
  <c r="G59" i="4"/>
  <c r="G60" i="4"/>
  <c r="G61" i="4"/>
  <c r="G62" i="4"/>
  <c r="G63" i="4"/>
  <c r="G64" i="4"/>
  <c r="G65" i="4"/>
  <c r="G66" i="4"/>
  <c r="G67" i="4"/>
  <c r="G68" i="4"/>
  <c r="G69" i="4"/>
  <c r="G70" i="4"/>
  <c r="G71" i="4"/>
  <c r="G72" i="4"/>
  <c r="G73" i="4"/>
  <c r="G74" i="4"/>
  <c r="G75" i="4"/>
  <c r="G76" i="4"/>
  <c r="G77" i="4"/>
  <c r="G78" i="4"/>
  <c r="G79" i="4"/>
  <c r="G80" i="4"/>
  <c r="G81" i="4"/>
  <c r="G82" i="4"/>
  <c r="G83" i="4"/>
  <c r="G84" i="4"/>
  <c r="G85" i="4"/>
  <c r="G86" i="4"/>
  <c r="G87" i="4"/>
  <c r="G88" i="4"/>
  <c r="G89" i="4"/>
  <c r="G90" i="4"/>
  <c r="G91" i="4"/>
  <c r="G92" i="4"/>
  <c r="G93" i="4"/>
  <c r="G94" i="4"/>
  <c r="G95" i="4"/>
  <c r="G96" i="4"/>
  <c r="G97" i="4"/>
  <c r="G98" i="4"/>
  <c r="G99" i="4"/>
  <c r="G100" i="4"/>
  <c r="G101" i="4"/>
  <c r="G102" i="4"/>
  <c r="G103" i="4"/>
  <c r="G104" i="4"/>
  <c r="G105" i="4"/>
  <c r="G106" i="4"/>
  <c r="G107" i="4"/>
  <c r="G108" i="4"/>
  <c r="G109" i="4"/>
  <c r="G110" i="4"/>
  <c r="G111" i="4"/>
  <c r="G112" i="4"/>
  <c r="G113" i="4"/>
  <c r="G114" i="4"/>
  <c r="G115" i="4"/>
  <c r="G116" i="4"/>
  <c r="G117" i="4"/>
  <c r="G118" i="4"/>
  <c r="G119" i="4"/>
  <c r="G120" i="4"/>
  <c r="G121" i="4"/>
  <c r="G122" i="4"/>
  <c r="G123" i="4"/>
  <c r="G124" i="4"/>
  <c r="G125" i="4"/>
  <c r="G126" i="4"/>
  <c r="G127" i="4"/>
  <c r="G128" i="4"/>
  <c r="G129" i="4"/>
  <c r="G130" i="4"/>
  <c r="G131" i="4"/>
  <c r="G132" i="4"/>
  <c r="G133" i="4"/>
  <c r="G134" i="4"/>
  <c r="G135" i="4"/>
  <c r="G136" i="4"/>
  <c r="G137" i="4"/>
  <c r="G139" i="4"/>
  <c r="G140" i="4"/>
  <c r="G141" i="4"/>
  <c r="G142" i="4"/>
  <c r="G143" i="4"/>
  <c r="G144" i="4"/>
  <c r="G145" i="4"/>
  <c r="G146" i="4"/>
  <c r="G147" i="4"/>
  <c r="G148" i="4"/>
  <c r="G149" i="4"/>
  <c r="G150" i="4"/>
  <c r="G151" i="4"/>
  <c r="G152" i="4"/>
  <c r="G153" i="4"/>
  <c r="G154" i="4"/>
  <c r="G155" i="4"/>
  <c r="G156" i="4"/>
  <c r="G157" i="4"/>
  <c r="G158" i="4"/>
  <c r="G159" i="4"/>
  <c r="G160" i="4"/>
  <c r="G161" i="4"/>
  <c r="G162" i="4"/>
  <c r="G163" i="4"/>
  <c r="G164" i="4"/>
  <c r="G165" i="4"/>
  <c r="G166" i="4"/>
  <c r="G167" i="4"/>
  <c r="G168" i="4"/>
  <c r="G169" i="4"/>
  <c r="G170" i="4"/>
  <c r="G171" i="4"/>
  <c r="G172" i="4"/>
  <c r="G173" i="4"/>
  <c r="G174" i="4"/>
  <c r="G175" i="4"/>
  <c r="G176" i="4"/>
  <c r="G177" i="4"/>
  <c r="G178" i="4"/>
  <c r="G179" i="4"/>
  <c r="G180" i="4"/>
  <c r="G181" i="4"/>
  <c r="G182" i="4"/>
  <c r="G183" i="4"/>
  <c r="G184" i="4"/>
  <c r="G185" i="4"/>
  <c r="G186" i="4"/>
  <c r="G187" i="4"/>
  <c r="G188" i="4"/>
  <c r="G189" i="4"/>
  <c r="G190" i="4"/>
  <c r="G192" i="4"/>
  <c r="G193" i="4"/>
  <c r="G194" i="4"/>
  <c r="G195" i="4"/>
  <c r="G196" i="4"/>
  <c r="G198" i="4"/>
  <c r="G199" i="4"/>
  <c r="G200" i="4"/>
  <c r="G288" i="4"/>
  <c r="G289" i="4"/>
  <c r="G388" i="4"/>
  <c r="G389" i="4"/>
  <c r="G460" i="4"/>
  <c r="B5" i="3"/>
  <c r="B6" i="3" s="1"/>
  <c r="B7" i="3" s="1"/>
  <c r="B8" i="3" s="1"/>
  <c r="B9" i="3" s="1"/>
  <c r="B10" i="3" s="1"/>
  <c r="B11" i="3" s="1"/>
  <c r="B12" i="3" s="1"/>
  <c r="B13" i="3" s="1"/>
  <c r="B14" i="3" s="1"/>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58" i="3" s="1"/>
  <c r="B59" i="3" s="1"/>
  <c r="B60" i="3" s="1"/>
  <c r="B61" i="3" s="1"/>
  <c r="B62" i="3" s="1"/>
  <c r="B63" i="3" s="1"/>
  <c r="B64" i="3" s="1"/>
  <c r="B65" i="3" s="1"/>
  <c r="B66" i="3" s="1"/>
  <c r="B67" i="3" s="1"/>
  <c r="B68" i="3" s="1"/>
  <c r="B69" i="3" s="1"/>
  <c r="B70" i="3" s="1"/>
  <c r="B71" i="3" s="1"/>
  <c r="B72" i="3" s="1"/>
  <c r="B73" i="3" s="1"/>
  <c r="B74" i="3" s="1"/>
  <c r="B75" i="3" s="1"/>
  <c r="B76" i="3" s="1"/>
  <c r="B77" i="3" s="1"/>
  <c r="B78" i="3" s="1"/>
  <c r="B79" i="3" s="1"/>
  <c r="B80" i="3" s="1"/>
  <c r="B81" i="3" s="1"/>
  <c r="B82" i="3" s="1"/>
  <c r="B83" i="3" s="1"/>
  <c r="B84" i="3" s="1"/>
  <c r="B85" i="3" s="1"/>
  <c r="B86" i="3" s="1"/>
  <c r="B87" i="3" s="1"/>
  <c r="B88" i="3" s="1"/>
  <c r="B89" i="3" s="1"/>
  <c r="B90" i="3" s="1"/>
  <c r="B91" i="3" s="1"/>
  <c r="B92" i="3" s="1"/>
  <c r="B93" i="3" s="1"/>
  <c r="B94" i="3" s="1"/>
  <c r="B95" i="3" s="1"/>
  <c r="B96" i="3" s="1"/>
  <c r="B97" i="3" s="1"/>
  <c r="B98" i="3" s="1"/>
  <c r="B99" i="3" s="1"/>
  <c r="B100" i="3" s="1"/>
  <c r="B101" i="3" s="1"/>
  <c r="B102" i="3" s="1"/>
  <c r="B103" i="3" s="1"/>
  <c r="B104" i="3" s="1"/>
  <c r="B105" i="3" s="1"/>
  <c r="B106" i="3" s="1"/>
  <c r="B107" i="3" s="1"/>
  <c r="B108" i="3" s="1"/>
  <c r="B109" i="3" s="1"/>
  <c r="B110" i="3" s="1"/>
  <c r="B111" i="3" s="1"/>
  <c r="B112" i="3" s="1"/>
  <c r="B113" i="3" s="1"/>
  <c r="B114" i="3" s="1"/>
  <c r="B115" i="3" s="1"/>
  <c r="B116" i="3" s="1"/>
  <c r="B117" i="3" s="1"/>
  <c r="B118" i="3" s="1"/>
  <c r="B119" i="3" s="1"/>
  <c r="B120" i="3" s="1"/>
  <c r="B121" i="3" s="1"/>
  <c r="B122" i="3" s="1"/>
  <c r="B123" i="3" s="1"/>
  <c r="B124" i="3" s="1"/>
  <c r="B125" i="3" s="1"/>
  <c r="B126" i="3" s="1"/>
  <c r="B127" i="3" s="1"/>
  <c r="B128" i="3" s="1"/>
  <c r="B129" i="3" s="1"/>
  <c r="B130" i="3" s="1"/>
  <c r="B131" i="3" s="1"/>
  <c r="B132" i="3" s="1"/>
  <c r="B133" i="3" s="1"/>
  <c r="B134" i="3" s="1"/>
  <c r="B135" i="3" s="1"/>
  <c r="B136" i="3" s="1"/>
  <c r="B137" i="3" s="1"/>
  <c r="B138" i="3" s="1"/>
  <c r="B139" i="3" s="1"/>
  <c r="B140" i="3" s="1"/>
  <c r="B141" i="3" s="1"/>
  <c r="B142" i="3" s="1"/>
  <c r="B143" i="3" s="1"/>
  <c r="B144" i="3" s="1"/>
  <c r="B145" i="3" s="1"/>
  <c r="B146" i="3" s="1"/>
  <c r="B147" i="3" s="1"/>
  <c r="B148" i="3" s="1"/>
  <c r="B149" i="3" s="1"/>
  <c r="B150" i="3" s="1"/>
  <c r="B151" i="3" s="1"/>
  <c r="B152" i="3" s="1"/>
  <c r="B153" i="3" s="1"/>
  <c r="B154" i="3" s="1"/>
  <c r="B155" i="3" s="1"/>
  <c r="B156" i="3" s="1"/>
  <c r="B157" i="3" s="1"/>
  <c r="B158" i="3" s="1"/>
  <c r="B159" i="3" s="1"/>
  <c r="B160" i="3" s="1"/>
  <c r="B161" i="3" s="1"/>
  <c r="B162" i="3" s="1"/>
  <c r="B163" i="3" s="1"/>
  <c r="B164" i="3" s="1"/>
  <c r="B165" i="3" s="1"/>
  <c r="B166" i="3" s="1"/>
  <c r="B167" i="3" s="1"/>
  <c r="B168" i="3" s="1"/>
  <c r="B169" i="3" s="1"/>
  <c r="B170" i="3" s="1"/>
  <c r="B171" i="3" s="1"/>
  <c r="B172" i="3" s="1"/>
  <c r="B173" i="3" s="1"/>
  <c r="B174" i="3" s="1"/>
  <c r="B175" i="3" s="1"/>
  <c r="B176" i="3" s="1"/>
  <c r="B177" i="3" s="1"/>
  <c r="B178" i="3" s="1"/>
  <c r="B179" i="3" s="1"/>
  <c r="B180" i="3" s="1"/>
  <c r="B181" i="3" s="1"/>
  <c r="B182" i="3" s="1"/>
  <c r="B183" i="3" s="1"/>
  <c r="B184" i="3" s="1"/>
  <c r="B185" i="3" s="1"/>
  <c r="B186" i="3" s="1"/>
  <c r="B187" i="3" s="1"/>
  <c r="B188" i="3" s="1"/>
  <c r="B189" i="3" s="1"/>
  <c r="B190" i="3" s="1"/>
  <c r="B191" i="3" s="1"/>
  <c r="B192" i="3" s="1"/>
  <c r="B193" i="3" s="1"/>
  <c r="B194" i="3" s="1"/>
  <c r="B195" i="3" s="1"/>
  <c r="B196" i="3" s="1"/>
  <c r="B197" i="3" s="1"/>
  <c r="B198" i="3" s="1"/>
  <c r="B199" i="3" s="1"/>
  <c r="B200" i="3" s="1"/>
  <c r="B201" i="3" s="1"/>
  <c r="B202" i="3" s="1"/>
  <c r="B203" i="3" s="1"/>
  <c r="B204" i="3" s="1"/>
  <c r="B205" i="3" s="1"/>
  <c r="B206" i="3" s="1"/>
  <c r="B207" i="3" s="1"/>
  <c r="B208" i="3" s="1"/>
  <c r="B209" i="3" s="1"/>
  <c r="B210" i="3" s="1"/>
  <c r="B211" i="3" s="1"/>
  <c r="B212" i="3" s="1"/>
  <c r="B213" i="3" s="1"/>
  <c r="B214" i="3" s="1"/>
  <c r="B215" i="3" s="1"/>
  <c r="B216" i="3" s="1"/>
  <c r="B217" i="3" s="1"/>
  <c r="B218" i="3" s="1"/>
  <c r="B219" i="3" s="1"/>
  <c r="B220" i="3" s="1"/>
  <c r="B221" i="3" s="1"/>
  <c r="B222" i="3" s="1"/>
  <c r="B223" i="3" s="1"/>
  <c r="B224" i="3" s="1"/>
  <c r="B225" i="3" s="1"/>
  <c r="B226" i="3" s="1"/>
  <c r="B227" i="3" s="1"/>
  <c r="B228" i="3" s="1"/>
  <c r="B229" i="3" s="1"/>
  <c r="B230" i="3" s="1"/>
  <c r="B231" i="3" s="1"/>
  <c r="B232" i="3" s="1"/>
  <c r="B233" i="3" s="1"/>
  <c r="B234" i="3" s="1"/>
  <c r="B235" i="3" s="1"/>
  <c r="B236" i="3" s="1"/>
  <c r="B237" i="3" s="1"/>
  <c r="B238" i="3" s="1"/>
  <c r="B239" i="3" s="1"/>
  <c r="B240" i="3" s="1"/>
  <c r="B241" i="3" s="1"/>
  <c r="B242" i="3" s="1"/>
  <c r="B243" i="3" s="1"/>
  <c r="B244" i="3" s="1"/>
  <c r="B245" i="3" s="1"/>
  <c r="B246" i="3" s="1"/>
  <c r="B247" i="3" s="1"/>
  <c r="B248" i="3" s="1"/>
  <c r="B249" i="3" s="1"/>
  <c r="B250" i="3" s="1"/>
  <c r="B251" i="3" s="1"/>
  <c r="B252" i="3" s="1"/>
  <c r="B253" i="3" s="1"/>
  <c r="B254" i="3" s="1"/>
  <c r="B255" i="3" s="1"/>
  <c r="B256" i="3" s="1"/>
  <c r="B257" i="3" s="1"/>
  <c r="B258" i="3" s="1"/>
  <c r="B259" i="3" s="1"/>
  <c r="B260" i="3" s="1"/>
  <c r="B261" i="3" s="1"/>
  <c r="B262" i="3" s="1"/>
  <c r="B263" i="3" s="1"/>
  <c r="B264" i="3" s="1"/>
  <c r="B265" i="3" s="1"/>
  <c r="B266" i="3" s="1"/>
  <c r="B267" i="3" s="1"/>
  <c r="B268" i="3" s="1"/>
  <c r="B269" i="3" s="1"/>
  <c r="B270" i="3" s="1"/>
  <c r="B271" i="3" s="1"/>
  <c r="B272" i="3" s="1"/>
  <c r="B273" i="3" s="1"/>
  <c r="B274" i="3" s="1"/>
  <c r="B275" i="3" s="1"/>
  <c r="B276" i="3" s="1"/>
  <c r="B277" i="3" s="1"/>
  <c r="B278" i="3" s="1"/>
  <c r="B279" i="3" s="1"/>
  <c r="B280" i="3" s="1"/>
  <c r="B281" i="3" s="1"/>
  <c r="B282" i="3" s="1"/>
  <c r="B283" i="3" s="1"/>
  <c r="B284" i="3" s="1"/>
  <c r="B285" i="3" s="1"/>
  <c r="B286" i="3" s="1"/>
  <c r="B287" i="3" s="1"/>
  <c r="B288" i="3" s="1"/>
  <c r="B289" i="3" s="1"/>
  <c r="B290" i="3" s="1"/>
  <c r="B291" i="3" s="1"/>
  <c r="B292" i="3" s="1"/>
  <c r="B293" i="3" s="1"/>
  <c r="B294" i="3" s="1"/>
  <c r="B295" i="3" s="1"/>
  <c r="B296" i="3" s="1"/>
  <c r="B297" i="3" s="1"/>
  <c r="B298" i="3" s="1"/>
  <c r="B299" i="3" s="1"/>
  <c r="B300" i="3" s="1"/>
  <c r="B301" i="3" s="1"/>
  <c r="B302" i="3" s="1"/>
  <c r="B303" i="3" s="1"/>
  <c r="B304" i="3" s="1"/>
  <c r="B305" i="3" s="1"/>
  <c r="B306" i="3" s="1"/>
  <c r="B307" i="3" s="1"/>
  <c r="B308" i="3" s="1"/>
  <c r="B309" i="3" s="1"/>
  <c r="B310" i="3" s="1"/>
  <c r="B311" i="3" s="1"/>
  <c r="B312" i="3" s="1"/>
  <c r="B313" i="3" s="1"/>
  <c r="B314" i="3" s="1"/>
  <c r="B315" i="3" s="1"/>
  <c r="B316" i="3" s="1"/>
  <c r="B317" i="3" s="1"/>
  <c r="B318" i="3" s="1"/>
  <c r="B319" i="3" s="1"/>
  <c r="B320" i="3" s="1"/>
  <c r="B321" i="3" s="1"/>
  <c r="B322" i="3" s="1"/>
  <c r="B323" i="3" s="1"/>
  <c r="B324" i="3" s="1"/>
  <c r="B325" i="3" s="1"/>
  <c r="B326" i="3" s="1"/>
  <c r="B327" i="3" s="1"/>
  <c r="B328" i="3" s="1"/>
  <c r="B329" i="3" s="1"/>
  <c r="B330" i="3" s="1"/>
  <c r="B331" i="3" s="1"/>
  <c r="B332" i="3" s="1"/>
  <c r="B333" i="3" s="1"/>
  <c r="B334" i="3" s="1"/>
  <c r="B335" i="3" s="1"/>
  <c r="B336" i="3" s="1"/>
  <c r="B337" i="3" s="1"/>
  <c r="B338" i="3" s="1"/>
  <c r="B339" i="3" s="1"/>
  <c r="B340" i="3" s="1"/>
  <c r="B341" i="3" s="1"/>
  <c r="B342" i="3" s="1"/>
  <c r="B343" i="3" s="1"/>
  <c r="B344" i="3" s="1"/>
  <c r="B345" i="3" s="1"/>
  <c r="B346" i="3" s="1"/>
  <c r="B347" i="3" s="1"/>
  <c r="B348" i="3" s="1"/>
  <c r="B349" i="3" s="1"/>
  <c r="B350" i="3" s="1"/>
  <c r="B351" i="3" s="1"/>
  <c r="B352" i="3" s="1"/>
  <c r="B353" i="3" s="1"/>
  <c r="B354" i="3" s="1"/>
  <c r="B355" i="3" s="1"/>
  <c r="B356" i="3" s="1"/>
  <c r="B357" i="3" s="1"/>
  <c r="B358" i="3" s="1"/>
  <c r="B359" i="3" s="1"/>
  <c r="B360" i="3" s="1"/>
  <c r="B361" i="3" s="1"/>
  <c r="B362" i="3" s="1"/>
  <c r="B363" i="3" s="1"/>
  <c r="B364" i="3" s="1"/>
  <c r="B365" i="3" s="1"/>
  <c r="B366" i="3" s="1"/>
  <c r="B367" i="3" s="1"/>
  <c r="B368" i="3" s="1"/>
  <c r="B369" i="3" s="1"/>
  <c r="B370" i="3" s="1"/>
  <c r="B371" i="3" s="1"/>
  <c r="B372" i="3" s="1"/>
  <c r="B373" i="3" s="1"/>
  <c r="B374" i="3" s="1"/>
  <c r="B375" i="3" s="1"/>
  <c r="B376" i="3" s="1"/>
  <c r="B377" i="3" s="1"/>
  <c r="B378" i="3" s="1"/>
  <c r="B379" i="3" s="1"/>
  <c r="B380" i="3" s="1"/>
  <c r="B381" i="3" s="1"/>
  <c r="B382" i="3" s="1"/>
  <c r="B383" i="3" s="1"/>
  <c r="B384" i="3" s="1"/>
  <c r="B385" i="3" s="1"/>
  <c r="B386" i="3" s="1"/>
  <c r="B387" i="3" s="1"/>
  <c r="B388" i="3" s="1"/>
  <c r="B389" i="3" s="1"/>
  <c r="B390" i="3" s="1"/>
  <c r="B391" i="3" s="1"/>
  <c r="B392" i="3" s="1"/>
  <c r="B393" i="3" s="1"/>
  <c r="B394" i="3" s="1"/>
  <c r="B395" i="3" s="1"/>
  <c r="B396" i="3" s="1"/>
  <c r="B397" i="3" s="1"/>
  <c r="B398" i="3" s="1"/>
  <c r="B399" i="3" s="1"/>
  <c r="B400" i="3" s="1"/>
  <c r="B401" i="3" s="1"/>
  <c r="B402" i="3" s="1"/>
  <c r="B403" i="3" s="1"/>
  <c r="B404" i="3" s="1"/>
  <c r="B405" i="3" s="1"/>
  <c r="B406" i="3" s="1"/>
  <c r="B407" i="3" s="1"/>
  <c r="B408" i="3" s="1"/>
  <c r="B409" i="3" s="1"/>
  <c r="B410" i="3" s="1"/>
  <c r="B411" i="3" s="1"/>
  <c r="B412" i="3" s="1"/>
  <c r="B413" i="3" s="1"/>
  <c r="B414" i="3" s="1"/>
  <c r="B415" i="3" s="1"/>
  <c r="B416" i="3" s="1"/>
  <c r="B417" i="3" s="1"/>
  <c r="B418" i="3" s="1"/>
  <c r="B419" i="3" s="1"/>
  <c r="B420" i="3" s="1"/>
  <c r="B421" i="3" s="1"/>
  <c r="B422" i="3" s="1"/>
  <c r="B423" i="3" s="1"/>
  <c r="B424" i="3" s="1"/>
  <c r="B425" i="3" s="1"/>
  <c r="B426" i="3" s="1"/>
  <c r="B427" i="3" s="1"/>
  <c r="B428" i="3" s="1"/>
  <c r="B429" i="3" s="1"/>
  <c r="B430" i="3" s="1"/>
  <c r="B431" i="3" s="1"/>
  <c r="B432" i="3" s="1"/>
  <c r="B433" i="3" s="1"/>
  <c r="B434" i="3" s="1"/>
  <c r="B435" i="3" s="1"/>
  <c r="B436" i="3" s="1"/>
  <c r="B437" i="3" s="1"/>
  <c r="B438" i="3" s="1"/>
  <c r="B439" i="3" s="1"/>
  <c r="B440" i="3" s="1"/>
  <c r="B441" i="3" s="1"/>
  <c r="B442" i="3" s="1"/>
  <c r="B443" i="3" s="1"/>
  <c r="B444" i="3" s="1"/>
  <c r="B445" i="3" s="1"/>
  <c r="B446" i="3" s="1"/>
  <c r="B447" i="3" s="1"/>
  <c r="B448" i="3" s="1"/>
  <c r="B449" i="3" s="1"/>
  <c r="B450" i="3" s="1"/>
  <c r="B451" i="3" s="1"/>
  <c r="B452" i="3" s="1"/>
  <c r="B453" i="3" s="1"/>
  <c r="B454" i="3" s="1"/>
  <c r="B455" i="3" s="1"/>
  <c r="B456" i="3" s="1"/>
  <c r="B457" i="3" s="1"/>
  <c r="B458" i="3" s="1"/>
  <c r="B459" i="3" s="1"/>
  <c r="B460" i="3" s="1"/>
  <c r="B461" i="3" s="1"/>
  <c r="B462" i="3" s="1"/>
  <c r="B463" i="3" s="1"/>
  <c r="B464" i="3" s="1"/>
  <c r="B465" i="3" s="1"/>
  <c r="B466" i="3" s="1"/>
  <c r="B467" i="3" s="1"/>
  <c r="B468" i="3" s="1"/>
  <c r="B469" i="3" s="1"/>
  <c r="B470" i="3" s="1"/>
  <c r="B471" i="3" s="1"/>
  <c r="B472" i="3" s="1"/>
  <c r="B473" i="3" s="1"/>
  <c r="B474" i="3" s="1"/>
  <c r="B475" i="3" s="1"/>
  <c r="B476" i="3" s="1"/>
  <c r="B477" i="3" s="1"/>
  <c r="B478" i="3" s="1"/>
  <c r="B479" i="3" s="1"/>
  <c r="B480" i="3" s="1"/>
  <c r="B481" i="3" s="1"/>
  <c r="B482" i="3" s="1"/>
  <c r="B483" i="3" s="1"/>
  <c r="B484" i="3" s="1"/>
  <c r="B485" i="3" s="1"/>
  <c r="B486" i="3" s="1"/>
  <c r="B487" i="3" s="1"/>
  <c r="B488" i="3" s="1"/>
  <c r="B489" i="3" s="1"/>
  <c r="B490" i="3" s="1"/>
  <c r="B491" i="3" s="1"/>
  <c r="B492" i="3" s="1"/>
  <c r="B493" i="3" s="1"/>
  <c r="B494" i="3" s="1"/>
  <c r="B495" i="3" s="1"/>
  <c r="B496" i="3" s="1"/>
  <c r="B497" i="3" s="1"/>
  <c r="B498" i="3" s="1"/>
  <c r="B499" i="3" s="1"/>
  <c r="B500" i="3" s="1"/>
  <c r="B501" i="3" s="1"/>
  <c r="B502" i="3" s="1"/>
  <c r="B503" i="3" s="1"/>
  <c r="B504" i="3" s="1"/>
  <c r="B505" i="3" s="1"/>
  <c r="B506" i="3" s="1"/>
  <c r="B507" i="3" s="1"/>
  <c r="B508" i="3" s="1"/>
  <c r="B509" i="3" s="1"/>
  <c r="B510" i="3" s="1"/>
  <c r="B511" i="3" s="1"/>
  <c r="B512" i="3" s="1"/>
  <c r="B513" i="3" s="1"/>
  <c r="B514" i="3" s="1"/>
  <c r="B515" i="3" s="1"/>
  <c r="B516" i="3" s="1"/>
  <c r="B517" i="3" s="1"/>
  <c r="B518" i="3" s="1"/>
  <c r="B519" i="3" s="1"/>
  <c r="B520" i="3" s="1"/>
  <c r="B521" i="3" s="1"/>
  <c r="B522" i="3" s="1"/>
  <c r="B523" i="3" s="1"/>
  <c r="B524" i="3" s="1"/>
  <c r="B525" i="3" s="1"/>
  <c r="B526" i="3" s="1"/>
  <c r="B527" i="3" s="1"/>
  <c r="B528" i="3" s="1"/>
  <c r="B529" i="3" s="1"/>
  <c r="B530" i="3" s="1"/>
  <c r="B531" i="3" s="1"/>
  <c r="B532" i="3" s="1"/>
  <c r="B533" i="3" s="1"/>
  <c r="B534" i="3" s="1"/>
  <c r="B535" i="3" s="1"/>
  <c r="B536" i="3" s="1"/>
  <c r="B537" i="3" s="1"/>
  <c r="B538" i="3" s="1"/>
  <c r="B539" i="3" s="1"/>
  <c r="B540" i="3" s="1"/>
  <c r="B541" i="3" s="1"/>
  <c r="B542" i="3" s="1"/>
  <c r="B543" i="3" s="1"/>
  <c r="B544" i="3" s="1"/>
  <c r="B545" i="3" s="1"/>
  <c r="B546" i="3" s="1"/>
  <c r="B547" i="3" s="1"/>
  <c r="B548" i="3" s="1"/>
  <c r="B549" i="3" s="1"/>
  <c r="B550" i="3" s="1"/>
  <c r="B551" i="3" s="1"/>
  <c r="B552" i="3" s="1"/>
  <c r="B553" i="3" s="1"/>
  <c r="B554" i="3" s="1"/>
  <c r="B555" i="3" s="1"/>
  <c r="B556" i="3" s="1"/>
  <c r="B557" i="3" s="1"/>
  <c r="B558" i="3" s="1"/>
  <c r="B559" i="3" s="1"/>
  <c r="B560" i="3" s="1"/>
  <c r="B561" i="3" s="1"/>
  <c r="B562" i="3" s="1"/>
  <c r="B563" i="3" s="1"/>
  <c r="B564" i="3" s="1"/>
  <c r="B565" i="3" s="1"/>
  <c r="B566" i="3" s="1"/>
  <c r="B567" i="3" s="1"/>
  <c r="B568" i="3" s="1"/>
  <c r="B569" i="3" s="1"/>
  <c r="B570" i="3" s="1"/>
  <c r="B571" i="3" s="1"/>
  <c r="B572" i="3" s="1"/>
  <c r="B573" i="3" s="1"/>
  <c r="B574" i="3" s="1"/>
  <c r="B575" i="3" s="1"/>
  <c r="B576" i="3" s="1"/>
  <c r="B577" i="3" s="1"/>
  <c r="B578" i="3" s="1"/>
  <c r="B579" i="3" s="1"/>
  <c r="B580" i="3" s="1"/>
  <c r="B581" i="3" s="1"/>
  <c r="B582" i="3" s="1"/>
  <c r="B583" i="3" s="1"/>
  <c r="B584" i="3" s="1"/>
  <c r="B585" i="3" s="1"/>
  <c r="B586" i="3" s="1"/>
  <c r="B587" i="3" s="1"/>
  <c r="B588" i="3" s="1"/>
  <c r="B589" i="3" s="1"/>
  <c r="B590" i="3" s="1"/>
  <c r="B591" i="3" s="1"/>
  <c r="B592" i="3" s="1"/>
  <c r="B593" i="3" s="1"/>
  <c r="B594" i="3" s="1"/>
  <c r="B595" i="3" s="1"/>
  <c r="B596" i="3" s="1"/>
  <c r="B597" i="3" s="1"/>
  <c r="B598" i="3" s="1"/>
  <c r="B599" i="3" s="1"/>
  <c r="B600" i="3" s="1"/>
  <c r="B601" i="3" s="1"/>
  <c r="B602" i="3" s="1"/>
  <c r="B603" i="3" s="1"/>
  <c r="B604" i="3" s="1"/>
  <c r="B605" i="3" s="1"/>
  <c r="B606" i="3" s="1"/>
  <c r="B607" i="3" s="1"/>
  <c r="B608" i="3" s="1"/>
  <c r="B609" i="3" s="1"/>
  <c r="B610" i="3" s="1"/>
  <c r="B611" i="3" s="1"/>
  <c r="B612" i="3" s="1"/>
  <c r="B613" i="3" s="1"/>
  <c r="B614" i="3" s="1"/>
  <c r="B615" i="3" s="1"/>
  <c r="B616" i="3" s="1"/>
  <c r="B617" i="3" s="1"/>
  <c r="B618" i="3" s="1"/>
  <c r="B619" i="3" s="1"/>
  <c r="B620" i="3" s="1"/>
  <c r="B621" i="3" s="1"/>
  <c r="B622" i="3" s="1"/>
  <c r="B623" i="3" s="1"/>
  <c r="B624" i="3" s="1"/>
  <c r="B625" i="3" s="1"/>
  <c r="B626" i="3" s="1"/>
  <c r="B627" i="3" s="1"/>
  <c r="B628" i="3" s="1"/>
  <c r="B629" i="3" s="1"/>
  <c r="B630" i="3" s="1"/>
  <c r="B631" i="3" s="1"/>
  <c r="B632" i="3" s="1"/>
  <c r="B633" i="3" s="1"/>
  <c r="B634" i="3" s="1"/>
  <c r="B635" i="3" s="1"/>
  <c r="B636" i="3" s="1"/>
  <c r="B637" i="3" s="1"/>
  <c r="B638" i="3" s="1"/>
  <c r="B639" i="3" s="1"/>
  <c r="B640" i="3" s="1"/>
  <c r="B641" i="3" s="1"/>
  <c r="B642" i="3" s="1"/>
  <c r="B643" i="3" s="1"/>
  <c r="B644" i="3" s="1"/>
  <c r="B645" i="3" s="1"/>
  <c r="B646" i="3" s="1"/>
  <c r="B647" i="3" s="1"/>
  <c r="B648" i="3" s="1"/>
  <c r="B649" i="3" s="1"/>
  <c r="B650" i="3" s="1"/>
  <c r="B651" i="3" s="1"/>
  <c r="B652" i="3" s="1"/>
  <c r="B653" i="3" s="1"/>
  <c r="B654" i="3" s="1"/>
  <c r="B655" i="3" s="1"/>
  <c r="B656" i="3" s="1"/>
  <c r="B657" i="3" s="1"/>
  <c r="B658" i="3" s="1"/>
  <c r="B659" i="3" s="1"/>
  <c r="B660" i="3" s="1"/>
  <c r="B661" i="3" s="1"/>
  <c r="B662" i="3" s="1"/>
  <c r="B663" i="3" s="1"/>
  <c r="B664" i="3" s="1"/>
  <c r="B665" i="3" s="1"/>
  <c r="B666" i="3" s="1"/>
  <c r="B667" i="3" s="1"/>
  <c r="B668" i="3" s="1"/>
  <c r="B669" i="3" s="1"/>
  <c r="B670" i="3" s="1"/>
  <c r="B671" i="3" s="1"/>
  <c r="B672" i="3" s="1"/>
  <c r="B673" i="3" s="1"/>
  <c r="B674" i="3" s="1"/>
  <c r="B675" i="3" s="1"/>
  <c r="B676" i="3" s="1"/>
  <c r="B677" i="3" s="1"/>
  <c r="B678" i="3" s="1"/>
  <c r="B679" i="3" s="1"/>
  <c r="B680" i="3" s="1"/>
  <c r="B681" i="3" s="1"/>
  <c r="B682" i="3" s="1"/>
  <c r="B683" i="3" s="1"/>
  <c r="B684" i="3" s="1"/>
  <c r="B685" i="3" s="1"/>
  <c r="B686" i="3" s="1"/>
  <c r="B687" i="3" s="1"/>
  <c r="B688" i="3" s="1"/>
  <c r="B689" i="3" s="1"/>
  <c r="B690" i="3" s="1"/>
  <c r="B691" i="3" s="1"/>
  <c r="B692" i="3" s="1"/>
  <c r="B693" i="3" s="1"/>
  <c r="B694" i="3" s="1"/>
  <c r="B695" i="3" s="1"/>
  <c r="B696" i="3" s="1"/>
  <c r="B697" i="3" s="1"/>
  <c r="B698" i="3" s="1"/>
  <c r="B699" i="3" s="1"/>
  <c r="B700" i="3" s="1"/>
  <c r="B701" i="3" s="1"/>
  <c r="B702" i="3" s="1"/>
  <c r="B703" i="3" s="1"/>
  <c r="B704" i="3" s="1"/>
  <c r="B705" i="3" s="1"/>
  <c r="B706" i="3" s="1"/>
  <c r="B707" i="3" s="1"/>
  <c r="B708" i="3" s="1"/>
  <c r="B709" i="3" s="1"/>
  <c r="B710" i="3" s="1"/>
  <c r="B711" i="3" s="1"/>
  <c r="B712" i="3" s="1"/>
  <c r="B713" i="3" s="1"/>
  <c r="B714" i="3" s="1"/>
  <c r="B715" i="3" s="1"/>
  <c r="B716" i="3" s="1"/>
  <c r="B717" i="3" s="1"/>
  <c r="B718" i="3" s="1"/>
  <c r="B719" i="3" s="1"/>
  <c r="B720" i="3" s="1"/>
  <c r="B721" i="3" s="1"/>
  <c r="B722" i="3" s="1"/>
  <c r="B723" i="3" s="1"/>
  <c r="B724" i="3" s="1"/>
  <c r="B725" i="3" s="1"/>
  <c r="B726" i="3" s="1"/>
  <c r="B727" i="3" s="1"/>
  <c r="B728" i="3" s="1"/>
  <c r="B729" i="3" s="1"/>
  <c r="B730" i="3" s="1"/>
  <c r="B731" i="3" s="1"/>
  <c r="B732" i="3" s="1"/>
  <c r="B733" i="3" s="1"/>
  <c r="B734" i="3" s="1"/>
  <c r="B735" i="3" s="1"/>
  <c r="B736" i="3" s="1"/>
  <c r="B737" i="3" s="1"/>
  <c r="B738" i="3" s="1"/>
  <c r="B739" i="3" s="1"/>
  <c r="B740" i="3" s="1"/>
  <c r="B741" i="3" s="1"/>
  <c r="B742" i="3" s="1"/>
  <c r="B743" i="3" s="1"/>
  <c r="B744" i="3" s="1"/>
  <c r="B745" i="3" s="1"/>
  <c r="B746" i="3" s="1"/>
  <c r="B747" i="3" s="1"/>
  <c r="B748" i="3" s="1"/>
  <c r="B749" i="3" s="1"/>
  <c r="B750" i="3" s="1"/>
  <c r="B751" i="3" s="1"/>
  <c r="B752" i="3" s="1"/>
  <c r="B753" i="3" s="1"/>
  <c r="B754" i="3" s="1"/>
  <c r="B755" i="3" s="1"/>
  <c r="B756" i="3" s="1"/>
  <c r="B757" i="3" s="1"/>
  <c r="B758" i="3" s="1"/>
  <c r="B759" i="3" s="1"/>
  <c r="B760" i="3" s="1"/>
  <c r="B761" i="3" s="1"/>
  <c r="B762" i="3" s="1"/>
  <c r="B763" i="3" s="1"/>
  <c r="B764" i="3" s="1"/>
  <c r="B765" i="3" s="1"/>
  <c r="B766" i="3" s="1"/>
  <c r="B767" i="3" s="1"/>
  <c r="B768" i="3" s="1"/>
  <c r="B769" i="3" s="1"/>
  <c r="B770" i="3" s="1"/>
  <c r="B771" i="3" s="1"/>
  <c r="B772" i="3" s="1"/>
  <c r="B773" i="3" s="1"/>
  <c r="B774" i="3" s="1"/>
  <c r="B775" i="3" s="1"/>
  <c r="B776" i="3" s="1"/>
  <c r="B777" i="3" s="1"/>
  <c r="B778" i="3" s="1"/>
  <c r="B779" i="3" s="1"/>
  <c r="B780" i="3" s="1"/>
  <c r="B781" i="3" s="1"/>
  <c r="B782" i="3" s="1"/>
  <c r="B783" i="3" s="1"/>
  <c r="B784" i="3" s="1"/>
  <c r="B785" i="3" s="1"/>
  <c r="B786" i="3" s="1"/>
  <c r="B787" i="3" s="1"/>
  <c r="B788" i="3" s="1"/>
  <c r="B789" i="3" s="1"/>
  <c r="B790" i="3" s="1"/>
  <c r="B791" i="3" s="1"/>
  <c r="B792" i="3" s="1"/>
  <c r="B793" i="3" s="1"/>
  <c r="B794" i="3" s="1"/>
  <c r="B795" i="3" s="1"/>
  <c r="B796" i="3" s="1"/>
  <c r="B797" i="3" s="1"/>
  <c r="B798" i="3" s="1"/>
  <c r="B799" i="3" s="1"/>
  <c r="B800" i="3" s="1"/>
  <c r="B801" i="3" s="1"/>
  <c r="B802" i="3" s="1"/>
  <c r="B803" i="3" s="1"/>
  <c r="B804" i="3" s="1"/>
  <c r="B805" i="3" s="1"/>
  <c r="B806" i="3" s="1"/>
  <c r="B807" i="3" s="1"/>
  <c r="B808" i="3" s="1"/>
  <c r="B809" i="3" s="1"/>
  <c r="B810" i="3" s="1"/>
  <c r="B811" i="3" s="1"/>
  <c r="B812" i="3" s="1"/>
  <c r="B813" i="3" s="1"/>
  <c r="B814" i="3" s="1"/>
  <c r="B815" i="3" s="1"/>
  <c r="B816" i="3" s="1"/>
  <c r="B817" i="3" s="1"/>
  <c r="B818" i="3" s="1"/>
  <c r="B819" i="3" s="1"/>
  <c r="B820" i="3" s="1"/>
  <c r="B821" i="3" s="1"/>
  <c r="B822" i="3" s="1"/>
  <c r="B823" i="3" s="1"/>
  <c r="B824" i="3" s="1"/>
  <c r="B825" i="3" s="1"/>
  <c r="B826" i="3" s="1"/>
  <c r="B827" i="3" s="1"/>
  <c r="B828" i="3" s="1"/>
  <c r="B829" i="3" s="1"/>
  <c r="B830" i="3" s="1"/>
  <c r="B831" i="3" s="1"/>
  <c r="B832" i="3" s="1"/>
  <c r="B833" i="3" s="1"/>
  <c r="B834" i="3" s="1"/>
  <c r="B835" i="3" s="1"/>
  <c r="B836" i="3" s="1"/>
  <c r="B837" i="3" s="1"/>
  <c r="B838" i="3" s="1"/>
  <c r="B839" i="3" s="1"/>
  <c r="B840" i="3" s="1"/>
  <c r="B841" i="3" s="1"/>
  <c r="B842" i="3" s="1"/>
  <c r="B843" i="3" s="1"/>
  <c r="B844" i="3" s="1"/>
  <c r="B845" i="3" s="1"/>
  <c r="B846" i="3" s="1"/>
  <c r="B847" i="3" s="1"/>
  <c r="B848" i="3" s="1"/>
  <c r="B849" i="3" s="1"/>
  <c r="B850" i="3" s="1"/>
  <c r="B851" i="3" s="1"/>
  <c r="B852" i="3" s="1"/>
  <c r="B853" i="3" s="1"/>
  <c r="B854" i="3" s="1"/>
  <c r="B855" i="3" s="1"/>
  <c r="B856" i="3" s="1"/>
  <c r="B857" i="3" s="1"/>
  <c r="B858" i="3" s="1"/>
  <c r="B859" i="3" s="1"/>
  <c r="B860" i="3" s="1"/>
  <c r="B861" i="3" s="1"/>
  <c r="B862" i="3" s="1"/>
  <c r="B863" i="3" s="1"/>
  <c r="B864" i="3" s="1"/>
  <c r="B865" i="3" s="1"/>
  <c r="B866" i="3" s="1"/>
  <c r="B867" i="3" s="1"/>
  <c r="B868" i="3" s="1"/>
  <c r="B869" i="3" s="1"/>
  <c r="B870" i="3" s="1"/>
  <c r="B871" i="3" s="1"/>
  <c r="B872" i="3" s="1"/>
  <c r="B873" i="3" s="1"/>
  <c r="B874" i="3" s="1"/>
  <c r="B875" i="3" s="1"/>
  <c r="B876" i="3" s="1"/>
  <c r="B877" i="3" s="1"/>
  <c r="B878" i="3" s="1"/>
  <c r="B879" i="3" s="1"/>
  <c r="B880" i="3" s="1"/>
  <c r="B881" i="3" s="1"/>
  <c r="B882" i="3" s="1"/>
  <c r="B883" i="3" s="1"/>
  <c r="B884" i="3" s="1"/>
  <c r="B885" i="3" s="1"/>
  <c r="B886" i="3" s="1"/>
  <c r="B887" i="3" s="1"/>
  <c r="B888" i="3" s="1"/>
  <c r="B889" i="3" s="1"/>
  <c r="B890" i="3" s="1"/>
  <c r="B891" i="3" s="1"/>
  <c r="B892" i="3" s="1"/>
  <c r="B893" i="3" s="1"/>
  <c r="B894" i="3" s="1"/>
  <c r="B895" i="3" s="1"/>
  <c r="B896" i="3" s="1"/>
  <c r="B897" i="3" s="1"/>
  <c r="B898" i="3" s="1"/>
  <c r="B899" i="3" s="1"/>
  <c r="B900" i="3" s="1"/>
  <c r="B901" i="3" s="1"/>
  <c r="B902" i="3" s="1"/>
  <c r="B903" i="3" s="1"/>
  <c r="B904" i="3" s="1"/>
  <c r="B905" i="3" s="1"/>
  <c r="B906" i="3" s="1"/>
  <c r="B907" i="3" s="1"/>
  <c r="B908" i="3" s="1"/>
  <c r="B909" i="3" s="1"/>
  <c r="B910" i="3" s="1"/>
  <c r="B911" i="3" s="1"/>
  <c r="B912" i="3" s="1"/>
  <c r="B913" i="3" s="1"/>
  <c r="B914" i="3" s="1"/>
  <c r="B915" i="3" s="1"/>
  <c r="B916" i="3" s="1"/>
  <c r="B917" i="3" s="1"/>
  <c r="B918" i="3" s="1"/>
  <c r="B919" i="3" s="1"/>
  <c r="B920" i="3" s="1"/>
  <c r="B921" i="3" s="1"/>
  <c r="B922" i="3" s="1"/>
  <c r="B923" i="3" s="1"/>
  <c r="B924" i="3" s="1"/>
  <c r="B925" i="3" s="1"/>
  <c r="B926" i="3" s="1"/>
  <c r="B927" i="3" s="1"/>
  <c r="B928" i="3" s="1"/>
  <c r="B929" i="3" s="1"/>
  <c r="B930" i="3" s="1"/>
  <c r="B931" i="3" s="1"/>
  <c r="B932" i="3" s="1"/>
  <c r="B933" i="3" s="1"/>
  <c r="B934" i="3" s="1"/>
  <c r="B935" i="3" s="1"/>
  <c r="B936" i="3" s="1"/>
  <c r="B937" i="3" s="1"/>
  <c r="B938" i="3" s="1"/>
  <c r="B939" i="3" s="1"/>
  <c r="B940" i="3" s="1"/>
  <c r="B941" i="3" s="1"/>
  <c r="B942" i="3" s="1"/>
  <c r="B943" i="3" s="1"/>
  <c r="B944" i="3" s="1"/>
  <c r="B945" i="3" s="1"/>
  <c r="B946" i="3" s="1"/>
  <c r="B947" i="3" s="1"/>
  <c r="B948" i="3" s="1"/>
  <c r="B949" i="3" s="1"/>
  <c r="B950" i="3" s="1"/>
  <c r="B951" i="3" s="1"/>
  <c r="B952" i="3" s="1"/>
  <c r="B953" i="3" s="1"/>
  <c r="B954" i="3" s="1"/>
  <c r="B955" i="3" s="1"/>
  <c r="B956" i="3" s="1"/>
  <c r="B957" i="3" s="1"/>
  <c r="B958" i="3" s="1"/>
  <c r="B959" i="3" s="1"/>
  <c r="B960" i="3" s="1"/>
  <c r="B961" i="3" s="1"/>
  <c r="B962" i="3" s="1"/>
  <c r="B963" i="3" s="1"/>
  <c r="B964" i="3" s="1"/>
  <c r="B965" i="3" s="1"/>
  <c r="B966" i="3" s="1"/>
  <c r="B967" i="3" s="1"/>
  <c r="B968" i="3" s="1"/>
  <c r="B969" i="3" s="1"/>
  <c r="B970" i="3" s="1"/>
  <c r="B971" i="3" s="1"/>
  <c r="B972" i="3" s="1"/>
  <c r="B973" i="3" s="1"/>
  <c r="B974" i="3" s="1"/>
  <c r="B975" i="3" s="1"/>
  <c r="B976" i="3" s="1"/>
  <c r="B977" i="3" s="1"/>
  <c r="B978" i="3" s="1"/>
  <c r="B979" i="3" s="1"/>
  <c r="B980" i="3" s="1"/>
  <c r="B981" i="3" s="1"/>
  <c r="B982" i="3" s="1"/>
  <c r="B983" i="3" s="1"/>
  <c r="B984" i="3" s="1"/>
  <c r="B985" i="3" s="1"/>
  <c r="B986" i="3" s="1"/>
  <c r="B987" i="3" s="1"/>
  <c r="B988" i="3" s="1"/>
  <c r="B989" i="3" s="1"/>
  <c r="B990" i="3" s="1"/>
  <c r="B991" i="3" s="1"/>
  <c r="B992" i="3" s="1"/>
  <c r="B993" i="3" s="1"/>
  <c r="B994" i="3" s="1"/>
  <c r="B995" i="3" s="1"/>
  <c r="B996" i="3" s="1"/>
  <c r="B997" i="3" s="1"/>
  <c r="B998" i="3" s="1"/>
  <c r="B999" i="3" s="1"/>
  <c r="B1000" i="3" s="1"/>
  <c r="B1001" i="3" s="1"/>
  <c r="B1002" i="3" s="1"/>
  <c r="B1003" i="3" s="1"/>
  <c r="B1004" i="3" s="1"/>
  <c r="B1005" i="3" s="1"/>
  <c r="B1006" i="3" s="1"/>
  <c r="B1007" i="3" s="1"/>
  <c r="B1008" i="3" s="1"/>
  <c r="B1009" i="3" s="1"/>
  <c r="B1010" i="3" s="1"/>
  <c r="B1011" i="3" s="1"/>
  <c r="B1012" i="3" s="1"/>
  <c r="B1013" i="3" s="1"/>
  <c r="B1014" i="3" s="1"/>
  <c r="B1015" i="3" s="1"/>
  <c r="B1016" i="3" s="1"/>
  <c r="B1017" i="3" s="1"/>
  <c r="B1018" i="3" s="1"/>
  <c r="B1019" i="3" s="1"/>
  <c r="B1020" i="3" s="1"/>
  <c r="B1021" i="3" s="1"/>
  <c r="B1022" i="3" s="1"/>
  <c r="B1023" i="3" s="1"/>
  <c r="B1024" i="3" s="1"/>
  <c r="B1025" i="3" s="1"/>
  <c r="B1026" i="3" s="1"/>
  <c r="B1027" i="3" s="1"/>
  <c r="B1028" i="3" s="1"/>
  <c r="B1029" i="3" s="1"/>
  <c r="B1030" i="3" s="1"/>
  <c r="B1031" i="3" s="1"/>
  <c r="B1032" i="3" s="1"/>
  <c r="B1033" i="3" s="1"/>
  <c r="B1034" i="3" s="1"/>
  <c r="B1035" i="3" s="1"/>
  <c r="B1036" i="3" s="1"/>
  <c r="B1037" i="3" s="1"/>
  <c r="B1038" i="3" s="1"/>
  <c r="B1039" i="3" s="1"/>
  <c r="B1040" i="3" s="1"/>
  <c r="B1041" i="3" s="1"/>
  <c r="B1042" i="3" s="1"/>
  <c r="B1043" i="3" s="1"/>
  <c r="B1044" i="3" s="1"/>
  <c r="B1045" i="3" s="1"/>
  <c r="B1046" i="3" s="1"/>
  <c r="B1047" i="3" s="1"/>
  <c r="B1048" i="3" s="1"/>
  <c r="B1049" i="3" s="1"/>
  <c r="B1050" i="3" s="1"/>
  <c r="B1051" i="3" s="1"/>
  <c r="B1052" i="3" s="1"/>
  <c r="B1053" i="3" s="1"/>
  <c r="B1054" i="3" s="1"/>
  <c r="B1055" i="3" s="1"/>
  <c r="B1056" i="3" s="1"/>
  <c r="B1057" i="3" s="1"/>
  <c r="B1058" i="3" s="1"/>
  <c r="B1059" i="3" s="1"/>
  <c r="B1060" i="3" s="1"/>
  <c r="B1061" i="3" s="1"/>
  <c r="B1062" i="3" s="1"/>
  <c r="B1063" i="3" s="1"/>
  <c r="B1064" i="3" s="1"/>
  <c r="B1065" i="3" s="1"/>
  <c r="B1066" i="3" s="1"/>
  <c r="B1067" i="3" s="1"/>
  <c r="B1068" i="3" s="1"/>
  <c r="B1069" i="3" s="1"/>
  <c r="B1070" i="3" s="1"/>
  <c r="B1071" i="3" s="1"/>
  <c r="B1072" i="3" s="1"/>
  <c r="B1073" i="3" s="1"/>
  <c r="B1074" i="3" s="1"/>
  <c r="B1075" i="3" s="1"/>
  <c r="B1076" i="3" s="1"/>
  <c r="B1077" i="3" s="1"/>
  <c r="B1078" i="3" s="1"/>
  <c r="B1079" i="3" s="1"/>
  <c r="B1080" i="3" s="1"/>
  <c r="B1081" i="3" s="1"/>
  <c r="B1082" i="3" s="1"/>
  <c r="B1083" i="3" s="1"/>
  <c r="B1084" i="3" s="1"/>
  <c r="B1085" i="3" s="1"/>
  <c r="B1086" i="3" s="1"/>
  <c r="B1087" i="3" s="1"/>
  <c r="B1088" i="3" s="1"/>
  <c r="B1089" i="3" s="1"/>
  <c r="B1090" i="3" s="1"/>
  <c r="B1091" i="3" s="1"/>
  <c r="B1092" i="3" s="1"/>
  <c r="B1093" i="3" s="1"/>
  <c r="B1094" i="3" s="1"/>
  <c r="B1095" i="3" s="1"/>
  <c r="B1096" i="3" s="1"/>
  <c r="B1097" i="3" s="1"/>
  <c r="B1098" i="3" s="1"/>
  <c r="B1099" i="3" s="1"/>
  <c r="B1100" i="3" s="1"/>
  <c r="B1101" i="3" s="1"/>
  <c r="B1102" i="3" s="1"/>
  <c r="B1103" i="3" s="1"/>
  <c r="B1104" i="3" s="1"/>
  <c r="B1105" i="3" s="1"/>
  <c r="B1106" i="3" s="1"/>
  <c r="B1107" i="3" s="1"/>
  <c r="B1108" i="3" s="1"/>
  <c r="B1109" i="3" s="1"/>
  <c r="B1110" i="3" s="1"/>
  <c r="B1111" i="3" s="1"/>
  <c r="B1112" i="3" s="1"/>
  <c r="B1113" i="3" s="1"/>
  <c r="B1114" i="3" s="1"/>
  <c r="B1115" i="3" s="1"/>
  <c r="B1116" i="3" s="1"/>
  <c r="B1117" i="3" s="1"/>
  <c r="B1118" i="3" s="1"/>
  <c r="B1119" i="3" s="1"/>
  <c r="B1120" i="3" s="1"/>
  <c r="B1121" i="3" s="1"/>
  <c r="B1122" i="3" s="1"/>
  <c r="B1123" i="3" s="1"/>
  <c r="B1124" i="3" s="1"/>
  <c r="B1125" i="3" s="1"/>
  <c r="B1126" i="3" s="1"/>
  <c r="B1127" i="3" s="1"/>
  <c r="B1128" i="3" s="1"/>
  <c r="B1129" i="3" s="1"/>
  <c r="B1130" i="3" s="1"/>
  <c r="B1131" i="3" s="1"/>
  <c r="B1132" i="3" s="1"/>
  <c r="B1133" i="3" s="1"/>
  <c r="B1134" i="3" s="1"/>
  <c r="B1135" i="3" s="1"/>
  <c r="B1136" i="3" s="1"/>
  <c r="B1137" i="3" s="1"/>
  <c r="B1138" i="3" s="1"/>
  <c r="B1139" i="3" s="1"/>
  <c r="B1140" i="3" s="1"/>
  <c r="B1141" i="3" s="1"/>
  <c r="B1142" i="3" s="1"/>
  <c r="B1143" i="3" s="1"/>
  <c r="B1144" i="3" s="1"/>
  <c r="B1145" i="3" s="1"/>
  <c r="B1146" i="3" s="1"/>
  <c r="B1147" i="3" s="1"/>
  <c r="B1148" i="3" s="1"/>
  <c r="B1149" i="3" s="1"/>
  <c r="B1150" i="3" s="1"/>
  <c r="B1151" i="3" s="1"/>
  <c r="B1152" i="3" s="1"/>
  <c r="B1153" i="3" s="1"/>
  <c r="B1154" i="3" s="1"/>
  <c r="B1155" i="3" s="1"/>
  <c r="B1156" i="3" s="1"/>
  <c r="B1157" i="3" s="1"/>
  <c r="B1158" i="3" s="1"/>
  <c r="B1159" i="3" s="1"/>
  <c r="B1160" i="3" s="1"/>
  <c r="B1161" i="3" s="1"/>
  <c r="B1162" i="3" s="1"/>
  <c r="B1163" i="3" s="1"/>
  <c r="B1164" i="3" s="1"/>
  <c r="B1165" i="3" s="1"/>
  <c r="B1166" i="3" s="1"/>
  <c r="B1167" i="3" s="1"/>
  <c r="B1168" i="3" s="1"/>
  <c r="B1169" i="3" s="1"/>
  <c r="B1170" i="3" s="1"/>
  <c r="B1171" i="3" s="1"/>
  <c r="B1172" i="3" s="1"/>
  <c r="B1173" i="3" s="1"/>
  <c r="B1174" i="3" s="1"/>
  <c r="B1175" i="3" s="1"/>
  <c r="B1176" i="3" s="1"/>
  <c r="B1177" i="3" s="1"/>
  <c r="B1178" i="3" s="1"/>
  <c r="B1179" i="3" s="1"/>
  <c r="B1180" i="3" s="1"/>
  <c r="B1181" i="3" s="1"/>
  <c r="B1182" i="3" s="1"/>
  <c r="B1183" i="3" s="1"/>
  <c r="B1184" i="3" s="1"/>
  <c r="B1185" i="3" s="1"/>
  <c r="B1186" i="3" s="1"/>
  <c r="B1187" i="3" s="1"/>
  <c r="B1188" i="3" s="1"/>
  <c r="B1189" i="3" s="1"/>
  <c r="B1190" i="3" s="1"/>
  <c r="B1191" i="3" s="1"/>
  <c r="B1192" i="3" s="1"/>
  <c r="B1193" i="3" s="1"/>
  <c r="B1194" i="3" s="1"/>
  <c r="B1195" i="3" s="1"/>
  <c r="B1196" i="3" s="1"/>
  <c r="B1197" i="3" s="1"/>
  <c r="B1198" i="3" s="1"/>
  <c r="B1199" i="3" s="1"/>
  <c r="B1200" i="3" s="1"/>
  <c r="B1201" i="3" s="1"/>
  <c r="B1202" i="3" s="1"/>
  <c r="B1203" i="3" s="1"/>
  <c r="B1204" i="3" s="1"/>
  <c r="B1205" i="3" s="1"/>
  <c r="B1206" i="3" s="1"/>
  <c r="B1207" i="3" s="1"/>
  <c r="B1208" i="3" s="1"/>
  <c r="B1209" i="3" s="1"/>
  <c r="B1210" i="3" s="1"/>
  <c r="B1211" i="3" s="1"/>
  <c r="B1212" i="3" s="1"/>
  <c r="B1213" i="3" s="1"/>
  <c r="B1214" i="3" s="1"/>
  <c r="B1215" i="3" s="1"/>
  <c r="B1216" i="3" s="1"/>
  <c r="B1217" i="3" s="1"/>
  <c r="B1218" i="3" s="1"/>
  <c r="B1219" i="3" s="1"/>
  <c r="B1220" i="3" s="1"/>
  <c r="B1221" i="3" s="1"/>
  <c r="B1222" i="3" s="1"/>
  <c r="B1223" i="3" s="1"/>
  <c r="B1224" i="3" s="1"/>
  <c r="B1225" i="3" s="1"/>
  <c r="B1226" i="3" s="1"/>
  <c r="B1227" i="3" s="1"/>
  <c r="B1228" i="3" s="1"/>
  <c r="B1229" i="3" s="1"/>
  <c r="B1230" i="3" s="1"/>
  <c r="B1231" i="3" s="1"/>
  <c r="B1232" i="3" s="1"/>
  <c r="B1233" i="3" s="1"/>
  <c r="B1234" i="3" s="1"/>
  <c r="B1235" i="3" s="1"/>
  <c r="B1236" i="3" s="1"/>
  <c r="B1237" i="3" s="1"/>
  <c r="B1238" i="3" s="1"/>
  <c r="B1239" i="3" s="1"/>
  <c r="B1240" i="3" s="1"/>
  <c r="B1241" i="3" s="1"/>
  <c r="B1242" i="3" s="1"/>
  <c r="B1243" i="3" s="1"/>
  <c r="B1244" i="3" s="1"/>
  <c r="B1245" i="3" s="1"/>
  <c r="B1246" i="3" s="1"/>
  <c r="B1247" i="3" s="1"/>
  <c r="B1248" i="3" s="1"/>
  <c r="B1249" i="3" s="1"/>
  <c r="B1250" i="3" s="1"/>
  <c r="B1251" i="3" s="1"/>
  <c r="B1252" i="3" s="1"/>
  <c r="B1253" i="3" s="1"/>
  <c r="B1254" i="3" s="1"/>
  <c r="B1255" i="3" s="1"/>
  <c r="B1256" i="3" s="1"/>
  <c r="B1257" i="3" s="1"/>
  <c r="B1258" i="3" s="1"/>
  <c r="B1259" i="3" s="1"/>
  <c r="B1260" i="3" s="1"/>
  <c r="B1261" i="3" s="1"/>
  <c r="B1262" i="3" s="1"/>
  <c r="B1263" i="3" s="1"/>
  <c r="B1264" i="3" s="1"/>
  <c r="B1265" i="3" s="1"/>
  <c r="B1266" i="3" s="1"/>
  <c r="B1267" i="3" s="1"/>
  <c r="B1268" i="3" s="1"/>
  <c r="B1269" i="3" s="1"/>
  <c r="B1270" i="3" s="1"/>
  <c r="B1271" i="3" s="1"/>
  <c r="B1272" i="3" s="1"/>
  <c r="B1273" i="3" s="1"/>
  <c r="B1274" i="3" s="1"/>
  <c r="B1275" i="3" s="1"/>
  <c r="B1276" i="3" s="1"/>
  <c r="B1277" i="3" s="1"/>
  <c r="B1278" i="3" s="1"/>
  <c r="B1279" i="3" s="1"/>
  <c r="B1280" i="3" s="1"/>
  <c r="B1281" i="3" s="1"/>
  <c r="B1282" i="3" s="1"/>
  <c r="B1283" i="3" s="1"/>
  <c r="B1284" i="3" s="1"/>
  <c r="B1285" i="3" s="1"/>
  <c r="B1286" i="3" s="1"/>
  <c r="B1287" i="3" s="1"/>
  <c r="B1288" i="3" s="1"/>
  <c r="B1289" i="3" s="1"/>
  <c r="B1290" i="3" s="1"/>
  <c r="B1291" i="3" s="1"/>
  <c r="B1292" i="3" s="1"/>
  <c r="B1293" i="3" s="1"/>
  <c r="B1294" i="3" s="1"/>
  <c r="B1295" i="3" s="1"/>
  <c r="B1296" i="3" s="1"/>
  <c r="B1297" i="3" s="1"/>
  <c r="B1298" i="3" s="1"/>
  <c r="B1299" i="3" s="1"/>
  <c r="B1300" i="3" s="1"/>
  <c r="B1301" i="3" s="1"/>
  <c r="B1302" i="3" s="1"/>
  <c r="B1303" i="3" s="1"/>
  <c r="B1304" i="3" s="1"/>
  <c r="B1305" i="3" s="1"/>
  <c r="B1306" i="3" s="1"/>
  <c r="B1307" i="3" s="1"/>
  <c r="B1308" i="3" s="1"/>
  <c r="B1309" i="3" s="1"/>
  <c r="B1310" i="3" s="1"/>
  <c r="B1311" i="3" s="1"/>
  <c r="B1312" i="3" s="1"/>
  <c r="B1313" i="3" s="1"/>
  <c r="B1314" i="3" s="1"/>
  <c r="B1315" i="3" s="1"/>
  <c r="B1316" i="3" s="1"/>
  <c r="B1317" i="3" s="1"/>
  <c r="B1318" i="3" s="1"/>
  <c r="B1319" i="3" s="1"/>
  <c r="B1320" i="3" s="1"/>
  <c r="B1321" i="3" s="1"/>
  <c r="B1322" i="3" s="1"/>
  <c r="B1323" i="3" s="1"/>
  <c r="B1324" i="3" s="1"/>
  <c r="B1325" i="3" s="1"/>
  <c r="B1326" i="3" s="1"/>
  <c r="B1327" i="3" s="1"/>
  <c r="B1328" i="3" s="1"/>
  <c r="B1329" i="3" s="1"/>
  <c r="B1330" i="3" s="1"/>
  <c r="B1331" i="3" s="1"/>
  <c r="B1332" i="3" s="1"/>
  <c r="B1333" i="3" s="1"/>
  <c r="B1334" i="3" s="1"/>
  <c r="B1335" i="3" s="1"/>
  <c r="B1336" i="3" s="1"/>
  <c r="B1337" i="3" s="1"/>
  <c r="B1338" i="3" s="1"/>
  <c r="B1339" i="3" s="1"/>
  <c r="B1340" i="3" s="1"/>
  <c r="B1341" i="3" s="1"/>
  <c r="B1342" i="3" s="1"/>
  <c r="B1343" i="3" s="1"/>
  <c r="B1344" i="3" s="1"/>
  <c r="B1345" i="3" s="1"/>
  <c r="B1346" i="3" s="1"/>
  <c r="B1347" i="3" s="1"/>
  <c r="B1348" i="3" s="1"/>
  <c r="B1349" i="3" s="1"/>
  <c r="B1350" i="3" s="1"/>
  <c r="B1351" i="3" s="1"/>
  <c r="B1352" i="3" s="1"/>
  <c r="B1353" i="3" s="1"/>
  <c r="B1354" i="3" s="1"/>
  <c r="B1355" i="3" s="1"/>
  <c r="B1356" i="3" s="1"/>
  <c r="B1357" i="3" s="1"/>
  <c r="B1358" i="3" s="1"/>
  <c r="B1359" i="3" s="1"/>
  <c r="B1360" i="3" s="1"/>
  <c r="B1361" i="3" s="1"/>
  <c r="B1362" i="3" s="1"/>
  <c r="B1363" i="3" s="1"/>
  <c r="B1364" i="3" s="1"/>
  <c r="B1365" i="3" s="1"/>
  <c r="B1366" i="3" s="1"/>
  <c r="B1367" i="3" s="1"/>
  <c r="B1368" i="3" s="1"/>
  <c r="B1369" i="3" s="1"/>
  <c r="B1370" i="3" s="1"/>
  <c r="B1371" i="3" s="1"/>
  <c r="B1372" i="3" s="1"/>
  <c r="B1373" i="3" s="1"/>
  <c r="B1374" i="3" s="1"/>
  <c r="B1375" i="3" s="1"/>
  <c r="B1376" i="3" s="1"/>
  <c r="B1377" i="3" s="1"/>
  <c r="B1378" i="3" s="1"/>
  <c r="B1379" i="3" s="1"/>
  <c r="B1380" i="3" s="1"/>
  <c r="B1381" i="3" s="1"/>
  <c r="B1382" i="3" s="1"/>
  <c r="B1383" i="3" s="1"/>
  <c r="B1384" i="3" s="1"/>
  <c r="B1385" i="3" s="1"/>
  <c r="B1386" i="3" s="1"/>
  <c r="B1387" i="3" s="1"/>
  <c r="B1388" i="3" s="1"/>
  <c r="B1389" i="3" s="1"/>
  <c r="B1390" i="3" s="1"/>
  <c r="B1391" i="3" s="1"/>
  <c r="B1392" i="3" s="1"/>
  <c r="B1393" i="3" s="1"/>
  <c r="B1394" i="3" s="1"/>
  <c r="B1395" i="3" s="1"/>
  <c r="B1396" i="3" s="1"/>
  <c r="B1397" i="3" s="1"/>
  <c r="B1398" i="3" s="1"/>
  <c r="B1399" i="3" s="1"/>
  <c r="B1400" i="3" s="1"/>
  <c r="B1401" i="3" s="1"/>
  <c r="B1402" i="3" s="1"/>
  <c r="B1403" i="3" s="1"/>
  <c r="B1404" i="3" s="1"/>
  <c r="B1405" i="3" s="1"/>
  <c r="B1406" i="3" s="1"/>
  <c r="B1407" i="3" s="1"/>
  <c r="B1408" i="3" s="1"/>
  <c r="B1409" i="3" s="1"/>
  <c r="B1410" i="3" s="1"/>
  <c r="B1411" i="3" s="1"/>
  <c r="B1412" i="3" s="1"/>
  <c r="B1413" i="3" s="1"/>
  <c r="B1414" i="3" s="1"/>
  <c r="B1415" i="3" s="1"/>
  <c r="B1416" i="3" s="1"/>
  <c r="B1417" i="3" s="1"/>
  <c r="B1418" i="3" s="1"/>
  <c r="B1419" i="3" s="1"/>
  <c r="B1420" i="3" s="1"/>
  <c r="B1421" i="3" s="1"/>
  <c r="B1422" i="3" s="1"/>
  <c r="B1423" i="3" s="1"/>
  <c r="B1424" i="3" s="1"/>
  <c r="B1425" i="3" s="1"/>
  <c r="B1426" i="3" s="1"/>
  <c r="B1427" i="3" s="1"/>
  <c r="B1428" i="3" s="1"/>
  <c r="B1429" i="3" s="1"/>
  <c r="B1430" i="3" s="1"/>
  <c r="B1431" i="3" s="1"/>
  <c r="B1432" i="3" s="1"/>
  <c r="B1433" i="3" s="1"/>
  <c r="B1434" i="3" s="1"/>
  <c r="B1435" i="3" s="1"/>
  <c r="B1436" i="3" s="1"/>
  <c r="B1437" i="3" s="1"/>
  <c r="B1438" i="3" s="1"/>
  <c r="B1439" i="3" s="1"/>
  <c r="B1440" i="3" s="1"/>
  <c r="B1441" i="3" s="1"/>
  <c r="B1442" i="3" s="1"/>
  <c r="B1443" i="3" s="1"/>
  <c r="B1444" i="3" s="1"/>
  <c r="B1445" i="3" s="1"/>
  <c r="B1446" i="3" s="1"/>
  <c r="B1447" i="3" s="1"/>
  <c r="B1448" i="3" s="1"/>
  <c r="B1449" i="3" s="1"/>
  <c r="B1450" i="3" s="1"/>
  <c r="B1451" i="3" s="1"/>
  <c r="B1452" i="3" s="1"/>
  <c r="B1453" i="3" s="1"/>
  <c r="B1454" i="3" s="1"/>
  <c r="B1455" i="3" s="1"/>
  <c r="B1456" i="3" s="1"/>
  <c r="B1457" i="3" s="1"/>
  <c r="B1458" i="3" s="1"/>
  <c r="B1459" i="3" s="1"/>
  <c r="B1460" i="3" s="1"/>
  <c r="B1461" i="3" s="1"/>
  <c r="B1462" i="3" s="1"/>
  <c r="B1463" i="3" s="1"/>
  <c r="B1464" i="3" s="1"/>
  <c r="B1465" i="3" s="1"/>
  <c r="B1466" i="3" s="1"/>
  <c r="B1467" i="3" s="1"/>
  <c r="B1468" i="3" s="1"/>
  <c r="B1469" i="3" s="1"/>
  <c r="B1470" i="3" s="1"/>
  <c r="B1471" i="3" s="1"/>
  <c r="B1472" i="3" s="1"/>
  <c r="B1473" i="3" s="1"/>
  <c r="B1474" i="3" s="1"/>
  <c r="B1475" i="3" s="1"/>
  <c r="B1476" i="3" s="1"/>
  <c r="B1477" i="3" s="1"/>
  <c r="B1478" i="3" s="1"/>
  <c r="B1479" i="3" s="1"/>
  <c r="B1480" i="3" s="1"/>
  <c r="B1481" i="3" s="1"/>
  <c r="B1482" i="3" s="1"/>
  <c r="B1483" i="3" s="1"/>
  <c r="B1484" i="3" s="1"/>
  <c r="B1485" i="3" s="1"/>
  <c r="B1486" i="3" s="1"/>
  <c r="B1487" i="3" s="1"/>
  <c r="B1488" i="3" s="1"/>
  <c r="B1489" i="3" s="1"/>
  <c r="B1490" i="3" s="1"/>
  <c r="B1491" i="3" s="1"/>
  <c r="B1492" i="3" s="1"/>
  <c r="B1493" i="3" s="1"/>
  <c r="B1494" i="3" s="1"/>
  <c r="B1495" i="3" s="1"/>
  <c r="B1496" i="3" s="1"/>
  <c r="B1497" i="3" s="1"/>
  <c r="B1498" i="3" s="1"/>
  <c r="B1499" i="3" s="1"/>
  <c r="B1500" i="3" s="1"/>
  <c r="B1501" i="3" s="1"/>
  <c r="B1502" i="3" s="1"/>
  <c r="B1503" i="3" s="1"/>
  <c r="B1504" i="3" s="1"/>
  <c r="B1505" i="3" s="1"/>
  <c r="B1506" i="3" s="1"/>
  <c r="B1507" i="3" s="1"/>
  <c r="B1508" i="3" s="1"/>
  <c r="B1509" i="3" s="1"/>
  <c r="B1510" i="3" s="1"/>
  <c r="B1511" i="3" s="1"/>
  <c r="B1512" i="3" s="1"/>
  <c r="B1513" i="3" s="1"/>
  <c r="B1514" i="3" s="1"/>
  <c r="B1515" i="3" s="1"/>
  <c r="B1516" i="3" s="1"/>
  <c r="B1517" i="3" s="1"/>
  <c r="B1518" i="3" s="1"/>
  <c r="B1519" i="3" s="1"/>
  <c r="B1520" i="3" s="1"/>
  <c r="B1521" i="3" s="1"/>
  <c r="B1522" i="3" s="1"/>
  <c r="B1523" i="3" s="1"/>
  <c r="B1524" i="3" s="1"/>
  <c r="B1525" i="3" s="1"/>
  <c r="B1526" i="3" s="1"/>
  <c r="B1527" i="3" s="1"/>
  <c r="B1528" i="3" s="1"/>
  <c r="B1529" i="3" s="1"/>
  <c r="B1530" i="3" s="1"/>
  <c r="B1531" i="3" s="1"/>
  <c r="B1532" i="3" s="1"/>
  <c r="B1533" i="3" s="1"/>
  <c r="B1534" i="3" s="1"/>
  <c r="B1535" i="3" s="1"/>
  <c r="B1536" i="3" s="1"/>
  <c r="B1537" i="3" s="1"/>
  <c r="B1538" i="3" s="1"/>
  <c r="B1539" i="3" s="1"/>
  <c r="B1540" i="3" s="1"/>
  <c r="B1541" i="3" s="1"/>
  <c r="B1542" i="3" s="1"/>
  <c r="B1543" i="3" s="1"/>
  <c r="B1544" i="3" s="1"/>
  <c r="B1545" i="3" s="1"/>
  <c r="B1546" i="3" s="1"/>
  <c r="B1547" i="3" s="1"/>
  <c r="B1548" i="3" s="1"/>
  <c r="B1549" i="3" s="1"/>
  <c r="B1550" i="3" s="1"/>
  <c r="B1551" i="3" s="1"/>
  <c r="B1552" i="3" s="1"/>
  <c r="B1553" i="3" s="1"/>
  <c r="B1554" i="3" s="1"/>
  <c r="B1555" i="3" s="1"/>
  <c r="B1556" i="3" s="1"/>
  <c r="B1557" i="3" s="1"/>
  <c r="B1558" i="3" s="1"/>
  <c r="B1559" i="3" s="1"/>
  <c r="B1560" i="3" s="1"/>
  <c r="B1561" i="3" s="1"/>
  <c r="B1562" i="3" s="1"/>
  <c r="B1563" i="3" s="1"/>
  <c r="B1564" i="3" s="1"/>
  <c r="B1565" i="3" s="1"/>
  <c r="B1566" i="3" s="1"/>
  <c r="B1567" i="3" s="1"/>
  <c r="B1568" i="3" s="1"/>
  <c r="B1569" i="3" s="1"/>
  <c r="B1570" i="3" s="1"/>
  <c r="B1571" i="3" s="1"/>
  <c r="B1572" i="3" s="1"/>
  <c r="B1573" i="3" s="1"/>
  <c r="B1574" i="3" s="1"/>
  <c r="B1575" i="3" s="1"/>
  <c r="B1576" i="3" s="1"/>
  <c r="B1577" i="3" s="1"/>
  <c r="B1578" i="3" s="1"/>
  <c r="B1579" i="3" s="1"/>
  <c r="B1580" i="3" s="1"/>
  <c r="B1581" i="3" s="1"/>
  <c r="B1582" i="3" s="1"/>
  <c r="B1583" i="3" s="1"/>
  <c r="B1584" i="3" s="1"/>
  <c r="B1585" i="3" s="1"/>
  <c r="B1586" i="3" s="1"/>
  <c r="B1587" i="3" s="1"/>
  <c r="B1588" i="3" s="1"/>
  <c r="B1589" i="3" s="1"/>
  <c r="B1590" i="3" s="1"/>
  <c r="B1591" i="3" s="1"/>
  <c r="B1592" i="3" s="1"/>
  <c r="B1593" i="3" s="1"/>
  <c r="B1594" i="3" s="1"/>
  <c r="B1595" i="3" s="1"/>
  <c r="B1596" i="3" s="1"/>
  <c r="B1597" i="3" s="1"/>
  <c r="B1598" i="3" s="1"/>
  <c r="B1599" i="3" s="1"/>
  <c r="B1600" i="3" s="1"/>
  <c r="B1601" i="3" s="1"/>
  <c r="B1602" i="3" s="1"/>
  <c r="B1603" i="3" s="1"/>
  <c r="B1604" i="3" s="1"/>
  <c r="B1605" i="3" s="1"/>
  <c r="B1606" i="3" s="1"/>
  <c r="B1607" i="3" s="1"/>
  <c r="B1608" i="3" s="1"/>
  <c r="B1609" i="3" s="1"/>
  <c r="B1610" i="3" s="1"/>
  <c r="B1611" i="3" s="1"/>
  <c r="B1612" i="3" s="1"/>
  <c r="B1613" i="3" s="1"/>
  <c r="B1614" i="3" s="1"/>
  <c r="B1615" i="3" s="1"/>
  <c r="B1616" i="3" s="1"/>
  <c r="B1617" i="3" s="1"/>
  <c r="B1618" i="3" s="1"/>
  <c r="B1619" i="3" s="1"/>
  <c r="B1620" i="3" s="1"/>
  <c r="B1621" i="3" s="1"/>
  <c r="B1622" i="3" s="1"/>
  <c r="B1623" i="3" s="1"/>
  <c r="B1624" i="3" s="1"/>
  <c r="B1625" i="3" s="1"/>
  <c r="B1626" i="3" s="1"/>
  <c r="B1627" i="3" s="1"/>
  <c r="B1628" i="3" s="1"/>
  <c r="B1629" i="3" s="1"/>
  <c r="B1630" i="3" s="1"/>
  <c r="B1631" i="3" s="1"/>
  <c r="B1632" i="3" s="1"/>
  <c r="B1633" i="3" s="1"/>
  <c r="B1634" i="3" s="1"/>
  <c r="B1635" i="3" s="1"/>
  <c r="B1636" i="3" s="1"/>
  <c r="B1637" i="3" s="1"/>
  <c r="B1638" i="3" s="1"/>
  <c r="B1639" i="3" s="1"/>
  <c r="B1640" i="3" s="1"/>
  <c r="B1641" i="3" s="1"/>
  <c r="B1642" i="3" s="1"/>
  <c r="B1643" i="3" s="1"/>
  <c r="B1644" i="3" s="1"/>
  <c r="B1645" i="3" s="1"/>
  <c r="B1646" i="3" s="1"/>
  <c r="B1647" i="3" s="1"/>
  <c r="G252" i="4"/>
  <c r="G226" i="4"/>
  <c r="G260" i="4"/>
  <c r="G247" i="4"/>
  <c r="G283" i="4"/>
  <c r="G259" i="4"/>
  <c r="G238" i="4"/>
  <c r="G228" i="4"/>
  <c r="G291" i="4"/>
  <c r="G246" i="4"/>
  <c r="G229" i="4"/>
  <c r="G290" i="4"/>
  <c r="G257" i="4"/>
  <c r="G292" i="4"/>
  <c r="G231" i="4"/>
  <c r="G294" i="4"/>
  <c r="G264" i="4"/>
  <c r="G251" i="4"/>
  <c r="G293" i="4"/>
  <c r="G287" i="4"/>
  <c r="G284" i="4"/>
  <c r="G239" i="4"/>
  <c r="G233" i="4"/>
  <c r="G279" i="4"/>
  <c r="G273" i="4"/>
  <c r="G269" i="4"/>
  <c r="G225" i="4"/>
  <c r="G281" i="4"/>
  <c r="G278" i="4"/>
  <c r="G227" i="4"/>
  <c r="G275" i="4"/>
  <c r="G263" i="4"/>
  <c r="G250" i="4"/>
  <c r="G255" i="4"/>
  <c r="G285" i="4"/>
  <c r="G286" i="4"/>
  <c r="G282" i="4"/>
  <c r="G261" i="4"/>
  <c r="G280" i="4"/>
  <c r="G230" i="4"/>
  <c r="G265" i="4"/>
  <c r="G268" i="4"/>
  <c r="G245" i="4"/>
  <c r="G240" i="4"/>
  <c r="G266" i="4"/>
  <c r="G235" i="4"/>
  <c r="G236" i="4"/>
  <c r="G254" i="4"/>
  <c r="G256" i="4"/>
  <c r="G232" i="4"/>
  <c r="G241" i="4"/>
  <c r="G274" i="4"/>
  <c r="G253" i="4"/>
  <c r="G276" i="4"/>
  <c r="G249" i="4"/>
  <c r="G248" i="4"/>
  <c r="G242" i="4"/>
  <c r="G244" i="4"/>
  <c r="G267" i="4"/>
  <c r="G243" i="4"/>
  <c r="G277" i="4"/>
  <c r="G237" i="4"/>
  <c r="G234" i="4"/>
  <c r="G262" i="4"/>
  <c r="G258" i="4"/>
  <c r="G220" i="4"/>
  <c r="G219" i="4"/>
  <c r="G209" i="4"/>
  <c r="G217" i="4"/>
  <c r="G203" i="4"/>
  <c r="G211" i="4"/>
  <c r="G206" i="4"/>
  <c r="G210" i="4"/>
  <c r="G201" i="4"/>
  <c r="G223" i="4"/>
  <c r="G216" i="4"/>
  <c r="G208" i="4"/>
  <c r="G218" i="4"/>
  <c r="G207" i="4"/>
  <c r="G213" i="4"/>
  <c r="G212" i="4"/>
  <c r="G221" i="4"/>
  <c r="G205" i="4"/>
  <c r="G214" i="4"/>
  <c r="G204" i="4"/>
  <c r="G202" i="4"/>
  <c r="G222" i="4"/>
  <c r="G215" i="4"/>
  <c r="G224" i="4"/>
  <c r="F3" i="4"/>
  <c r="V338" i="23" l="1"/>
  <c r="V444" i="23"/>
  <c r="W40" i="23"/>
  <c r="V417" i="23"/>
  <c r="V418" i="23"/>
  <c r="V39" i="23"/>
  <c r="X139" i="23"/>
  <c r="X138" i="23"/>
  <c r="V142" i="23"/>
  <c r="V143" i="23"/>
  <c r="V141" i="23"/>
  <c r="V317" i="23"/>
  <c r="V321" i="23"/>
  <c r="V325" i="23"/>
  <c r="V314" i="23"/>
  <c r="V322" i="23"/>
  <c r="V315" i="23"/>
  <c r="V323" i="23"/>
  <c r="V316" i="23"/>
  <c r="V324" i="23"/>
  <c r="V250" i="23"/>
  <c r="W342" i="23"/>
  <c r="W343" i="23"/>
  <c r="Y341" i="23"/>
  <c r="V447" i="23"/>
  <c r="W360" i="23"/>
  <c r="W429" i="23"/>
  <c r="Y339" i="23"/>
  <c r="V30" i="23"/>
  <c r="V70" i="23"/>
  <c r="V74" i="23"/>
  <c r="V19" i="23"/>
  <c r="V71" i="23"/>
  <c r="V20" i="23"/>
  <c r="V236" i="23"/>
  <c r="V21" i="23"/>
  <c r="V29" i="23"/>
  <c r="V340" i="23"/>
  <c r="V114" i="23"/>
  <c r="V115" i="23"/>
  <c r="V112" i="23"/>
  <c r="V116" i="23"/>
  <c r="V113" i="23"/>
  <c r="V117" i="23"/>
  <c r="V164" i="23"/>
  <c r="V165" i="23"/>
  <c r="X391" i="23"/>
  <c r="X392" i="23"/>
  <c r="X413" i="23"/>
  <c r="X414" i="23"/>
  <c r="V34" i="23"/>
  <c r="V126" i="23"/>
  <c r="V127" i="23"/>
  <c r="V33" i="23"/>
  <c r="V289" i="23"/>
  <c r="V381" i="23"/>
  <c r="V290" i="23"/>
  <c r="V198" i="23"/>
  <c r="V199" i="23"/>
  <c r="V63" i="23"/>
  <c r="V64" i="23"/>
  <c r="V343" i="23"/>
  <c r="V69" i="23"/>
  <c r="V60" i="23"/>
  <c r="V61" i="23"/>
  <c r="W387" i="23"/>
  <c r="W388" i="23"/>
  <c r="W389" i="23"/>
  <c r="V91" i="23"/>
  <c r="V337" i="23"/>
  <c r="V54" i="23"/>
  <c r="V53" i="23"/>
  <c r="V22" i="23"/>
  <c r="V300" i="23"/>
  <c r="W313" i="23"/>
  <c r="V146" i="23"/>
  <c r="X424" i="23"/>
  <c r="V13" i="23"/>
  <c r="V430" i="23"/>
  <c r="V353" i="23"/>
  <c r="V351" i="23"/>
  <c r="V352" i="23"/>
  <c r="V78" i="23"/>
  <c r="V82" i="23"/>
  <c r="V170" i="23"/>
  <c r="V174" i="23"/>
  <c r="V178" i="23"/>
  <c r="V75" i="23"/>
  <c r="V79" i="23"/>
  <c r="V171" i="23"/>
  <c r="V175" i="23"/>
  <c r="V179" i="23"/>
  <c r="V183" i="23"/>
  <c r="V76" i="23"/>
  <c r="V80" i="23"/>
  <c r="V168" i="23"/>
  <c r="V172" i="23"/>
  <c r="V176" i="23"/>
  <c r="V180" i="23"/>
  <c r="V184" i="23"/>
  <c r="V77" i="23"/>
  <c r="V81" i="23"/>
  <c r="V89" i="23"/>
  <c r="V169" i="23"/>
  <c r="V173" i="23"/>
  <c r="V177" i="23"/>
  <c r="V181" i="23"/>
  <c r="V273" i="23"/>
  <c r="W86" i="23"/>
  <c r="W298" i="23"/>
  <c r="V274" i="23"/>
  <c r="W299" i="23"/>
  <c r="W303" i="23"/>
  <c r="W156" i="23"/>
  <c r="W304" i="23"/>
  <c r="V272" i="23"/>
  <c r="W65" i="23"/>
  <c r="W85" i="23"/>
  <c r="W197" i="23"/>
  <c r="W305" i="23"/>
  <c r="V217" i="23"/>
  <c r="V355" i="23"/>
  <c r="W186" i="23"/>
  <c r="W190" i="23"/>
  <c r="X155" i="23"/>
  <c r="W187" i="23"/>
  <c r="W188" i="23"/>
  <c r="W185" i="23"/>
  <c r="W189" i="23"/>
  <c r="X154" i="23"/>
  <c r="V329" i="23"/>
  <c r="V328" i="23"/>
  <c r="V222" i="23"/>
  <c r="V191" i="23"/>
  <c r="V223" i="23"/>
  <c r="V224" i="23"/>
  <c r="V264" i="23"/>
  <c r="V263" i="23"/>
  <c r="V50" i="23"/>
  <c r="V247" i="23"/>
  <c r="V248" i="23"/>
  <c r="V412" i="23"/>
  <c r="V445" i="23"/>
  <c r="W203" i="23"/>
  <c r="W204" i="23"/>
  <c r="W205" i="23"/>
  <c r="X203" i="23"/>
  <c r="V446" i="23"/>
  <c r="X204" i="23"/>
  <c r="X205" i="23"/>
  <c r="X206" i="23"/>
  <c r="V281" i="23"/>
  <c r="V425" i="23"/>
  <c r="V358" i="23"/>
  <c r="W192" i="23"/>
  <c r="W241" i="23"/>
  <c r="V437" i="23"/>
  <c r="V435" i="23"/>
  <c r="V436" i="23"/>
  <c r="X423" i="23"/>
  <c r="X421" i="23"/>
  <c r="X422" i="23"/>
  <c r="V12" i="23"/>
  <c r="V144" i="23"/>
  <c r="V156" i="23"/>
  <c r="W154" i="23"/>
  <c r="W155" i="23"/>
  <c r="V275" i="23"/>
  <c r="V130" i="23"/>
  <c r="V128" i="23"/>
  <c r="V129" i="23"/>
  <c r="V46" i="23"/>
  <c r="V47" i="23"/>
  <c r="V55" i="23"/>
  <c r="V48" i="23"/>
  <c r="V56" i="23"/>
  <c r="V120" i="23"/>
  <c r="V41" i="23"/>
  <c r="V106" i="23"/>
  <c r="V110" i="23"/>
  <c r="V23" i="23"/>
  <c r="V103" i="23"/>
  <c r="V107" i="23"/>
  <c r="V104" i="23"/>
  <c r="V108" i="23"/>
  <c r="V105" i="23"/>
  <c r="V109" i="23"/>
  <c r="V214" i="23"/>
  <c r="V213" i="23"/>
  <c r="V154" i="23"/>
  <c r="V155" i="23"/>
  <c r="W138" i="23"/>
  <c r="V40" i="23"/>
  <c r="V301" i="23"/>
  <c r="V122" i="23"/>
  <c r="V123" i="23"/>
  <c r="V45" i="23"/>
  <c r="V121" i="23"/>
  <c r="V68" i="23"/>
  <c r="V25" i="23"/>
  <c r="V57" i="23"/>
  <c r="AE14" i="20"/>
  <c r="AF14" i="20" s="1"/>
  <c r="AF13" i="20"/>
  <c r="D3" i="17"/>
  <c r="V249" i="23"/>
  <c r="V415" i="23"/>
  <c r="V401" i="23"/>
  <c r="V405" i="23"/>
  <c r="V402" i="23"/>
  <c r="V406" i="23"/>
  <c r="V399" i="23"/>
  <c r="V403" i="23"/>
  <c r="V400" i="23"/>
  <c r="V404" i="23"/>
  <c r="W395" i="23"/>
  <c r="W396" i="23"/>
  <c r="V18" i="23"/>
  <c r="V99" i="23"/>
  <c r="V100" i="23"/>
  <c r="V101" i="23"/>
  <c r="V309" i="23"/>
  <c r="V318" i="23"/>
  <c r="V319" i="23"/>
  <c r="V320" i="23"/>
  <c r="V66" i="23"/>
  <c r="V67" i="23"/>
  <c r="W339" i="23"/>
  <c r="W276" i="23"/>
  <c r="W157" i="23"/>
  <c r="W341" i="23"/>
  <c r="X342" i="23"/>
  <c r="V286" i="23"/>
  <c r="V287" i="23"/>
  <c r="V254" i="23"/>
  <c r="V258" i="23"/>
  <c r="V252" i="23"/>
  <c r="V256" i="23"/>
  <c r="V253" i="23"/>
  <c r="V257" i="23"/>
  <c r="V255" i="23"/>
  <c r="V239" i="23"/>
  <c r="V240" i="23"/>
  <c r="V386" i="23"/>
  <c r="V234" i="23"/>
  <c r="V233" i="23"/>
  <c r="V332" i="23"/>
  <c r="V342" i="23"/>
  <c r="V227" i="23"/>
  <c r="W210" i="23"/>
  <c r="V356" i="23"/>
  <c r="V49" i="23"/>
  <c r="V201" i="23"/>
  <c r="V357" i="23"/>
  <c r="V294" i="23"/>
  <c r="V295" i="23"/>
  <c r="V448" i="23"/>
  <c r="W49" i="23"/>
  <c r="V111" i="23"/>
  <c r="V136" i="23"/>
  <c r="V137" i="23"/>
  <c r="V297" i="23"/>
  <c r="V441" i="23"/>
  <c r="V442" i="23"/>
  <c r="V443" i="23"/>
  <c r="V296" i="23"/>
  <c r="V148" i="23"/>
  <c r="V125" i="23"/>
  <c r="W306" i="23"/>
  <c r="W307" i="23"/>
  <c r="W308" i="23"/>
  <c r="V38" i="23"/>
  <c r="V35" i="23"/>
  <c r="V36" i="23"/>
  <c r="V37" i="23"/>
  <c r="V449" i="23"/>
  <c r="AG13" i="20"/>
  <c r="V431" i="23"/>
  <c r="V432" i="23"/>
  <c r="W194" i="23"/>
  <c r="W390" i="23"/>
  <c r="W195" i="23"/>
  <c r="W271" i="23"/>
  <c r="Y66" i="23"/>
  <c r="W193" i="23"/>
  <c r="W139" i="23"/>
  <c r="Y138" i="23"/>
  <c r="V369" i="23"/>
  <c r="V366" i="23"/>
  <c r="V370" i="23"/>
  <c r="W87" i="23"/>
  <c r="V367" i="23"/>
  <c r="V368" i="23"/>
  <c r="V371" i="23"/>
  <c r="V372" i="23"/>
  <c r="V260" i="23"/>
  <c r="V333" i="23"/>
  <c r="V259" i="23"/>
  <c r="V302" i="23"/>
  <c r="V335" i="23"/>
  <c r="W358" i="23"/>
  <c r="W295" i="23"/>
  <c r="V285" i="23"/>
  <c r="V284" i="23"/>
  <c r="V266" i="23"/>
  <c r="V269" i="23"/>
  <c r="V265" i="23"/>
  <c r="V267" i="23"/>
  <c r="V268" i="23"/>
  <c r="V158" i="23"/>
  <c r="V96" i="23"/>
  <c r="V97" i="23"/>
  <c r="V311" i="23"/>
  <c r="V327" i="23"/>
  <c r="W281" i="23"/>
  <c r="W425" i="23"/>
  <c r="V220" i="23"/>
  <c r="V221" i="23"/>
  <c r="V26" i="23"/>
  <c r="V27" i="23"/>
  <c r="V28" i="23"/>
  <c r="V218" i="23"/>
  <c r="V398" i="23"/>
  <c r="V261" i="23"/>
  <c r="V162" i="23"/>
  <c r="V160" i="23"/>
  <c r="V161" i="23"/>
  <c r="V92" i="23"/>
  <c r="V134" i="23"/>
  <c r="V242" i="23"/>
  <c r="V243" i="23"/>
  <c r="V132" i="23"/>
  <c r="V133" i="23"/>
  <c r="Y139" i="23"/>
  <c r="V118" i="23"/>
  <c r="V119" i="23"/>
  <c r="V124" i="23"/>
  <c r="W366" i="23"/>
  <c r="W370" i="23"/>
  <c r="W367" i="23"/>
  <c r="W368" i="23"/>
  <c r="W369" i="23"/>
  <c r="W44" i="23"/>
  <c r="V83" i="23"/>
  <c r="V215" i="23"/>
  <c r="V84" i="23"/>
  <c r="W26" i="23"/>
  <c r="V326" i="23"/>
  <c r="W27" i="23"/>
  <c r="W28" i="23"/>
  <c r="V42" i="23"/>
  <c r="V43" i="23"/>
  <c r="V44" i="23"/>
  <c r="V334" i="23"/>
  <c r="V389" i="23"/>
  <c r="V387" i="23"/>
  <c r="V388" i="23"/>
  <c r="AG12" i="20"/>
  <c r="C35" i="20"/>
  <c r="AC53" i="17"/>
  <c r="AC54" i="17" s="1"/>
  <c r="BT397" i="23"/>
  <c r="B5" i="4"/>
  <c r="BS351" i="23"/>
  <c r="W20" i="17"/>
  <c r="BU227" i="23"/>
  <c r="BT227" i="23"/>
  <c r="BS227" i="23"/>
  <c r="BR227" i="23"/>
  <c r="BQ227" i="23"/>
  <c r="BO227" i="23"/>
  <c r="BP227" i="23"/>
  <c r="BL227" i="23"/>
  <c r="BM227" i="23"/>
  <c r="BN227" i="23"/>
  <c r="BK227" i="23"/>
  <c r="BI227" i="23"/>
  <c r="BJ227" i="23"/>
  <c r="BH227" i="23"/>
  <c r="BG227" i="23"/>
  <c r="BF227" i="23"/>
  <c r="BU178" i="23"/>
  <c r="BT178" i="23"/>
  <c r="BS178" i="23"/>
  <c r="BR178" i="23"/>
  <c r="BQ178" i="23"/>
  <c r="BO178" i="23"/>
  <c r="BP178" i="23"/>
  <c r="BL178" i="23"/>
  <c r="BM178" i="23"/>
  <c r="BN178" i="23"/>
  <c r="BI178" i="23"/>
  <c r="BJ178" i="23"/>
  <c r="BK178" i="23"/>
  <c r="BG178" i="23"/>
  <c r="BF178" i="23"/>
  <c r="BH178" i="23"/>
  <c r="BS397" i="23"/>
  <c r="BM397" i="23"/>
  <c r="BK397" i="23"/>
  <c r="BG397" i="23"/>
  <c r="BU256" i="23"/>
  <c r="BT256" i="23"/>
  <c r="BS256" i="23"/>
  <c r="BR256" i="23"/>
  <c r="BQ256" i="23"/>
  <c r="BO256" i="23"/>
  <c r="BP256" i="23"/>
  <c r="BN256" i="23"/>
  <c r="BL256" i="23"/>
  <c r="BM256" i="23"/>
  <c r="BJ256" i="23"/>
  <c r="BK256" i="23"/>
  <c r="BI256" i="23"/>
  <c r="BH256" i="23"/>
  <c r="BG256" i="23"/>
  <c r="BF256" i="23"/>
  <c r="BU36" i="23"/>
  <c r="BT36" i="23"/>
  <c r="BS36" i="23"/>
  <c r="BR36" i="23"/>
  <c r="BQ36" i="23"/>
  <c r="BP36" i="23"/>
  <c r="BO36" i="23"/>
  <c r="BN36" i="23"/>
  <c r="BL36" i="23"/>
  <c r="BM36" i="23"/>
  <c r="BJ36" i="23"/>
  <c r="BK36" i="23"/>
  <c r="BI36" i="23"/>
  <c r="BF36" i="23"/>
  <c r="BH36" i="23"/>
  <c r="BG36" i="23"/>
  <c r="BU422" i="23"/>
  <c r="BT422" i="23"/>
  <c r="BS422" i="23"/>
  <c r="BQ422" i="23"/>
  <c r="BR422" i="23"/>
  <c r="BP422" i="23"/>
  <c r="BM422" i="23"/>
  <c r="BN422" i="23"/>
  <c r="BO422" i="23"/>
  <c r="BL422" i="23"/>
  <c r="BJ422" i="23"/>
  <c r="BK422" i="23"/>
  <c r="BG422" i="23"/>
  <c r="BI422" i="23"/>
  <c r="BH422" i="23"/>
  <c r="BF422" i="23"/>
  <c r="BU272" i="23"/>
  <c r="BT272" i="23"/>
  <c r="BS272" i="23"/>
  <c r="BR272" i="23"/>
  <c r="BQ272" i="23"/>
  <c r="BO272" i="23"/>
  <c r="BP272" i="23"/>
  <c r="BN272" i="23"/>
  <c r="BL272" i="23"/>
  <c r="BM272" i="23"/>
  <c r="BJ272" i="23"/>
  <c r="BK272" i="23"/>
  <c r="BI272" i="23"/>
  <c r="BH272" i="23"/>
  <c r="BG272" i="23"/>
  <c r="BF272" i="23"/>
  <c r="BT204" i="23"/>
  <c r="BU204" i="23"/>
  <c r="BS204" i="23"/>
  <c r="BR204" i="23"/>
  <c r="BQ204" i="23"/>
  <c r="BO204" i="23"/>
  <c r="BP204" i="23"/>
  <c r="BN204" i="23"/>
  <c r="BL204" i="23"/>
  <c r="BM204" i="23"/>
  <c r="BJ204" i="23"/>
  <c r="BK204" i="23"/>
  <c r="BI204" i="23"/>
  <c r="BH204" i="23"/>
  <c r="BG204" i="23"/>
  <c r="BF204" i="23"/>
  <c r="BU103" i="23"/>
  <c r="BT103" i="23"/>
  <c r="BS103" i="23"/>
  <c r="BR103" i="23"/>
  <c r="BQ103" i="23"/>
  <c r="BO103" i="23"/>
  <c r="BP103" i="23"/>
  <c r="BL103" i="23"/>
  <c r="BM103" i="23"/>
  <c r="BN103" i="23"/>
  <c r="BK103" i="23"/>
  <c r="BI103" i="23"/>
  <c r="BJ103" i="23"/>
  <c r="BH103" i="23"/>
  <c r="BG103" i="23"/>
  <c r="BF103" i="23"/>
  <c r="BU159" i="23"/>
  <c r="BT159" i="23"/>
  <c r="BS159" i="23"/>
  <c r="BR159" i="23"/>
  <c r="BQ159" i="23"/>
  <c r="BO159" i="23"/>
  <c r="BP159" i="23"/>
  <c r="BL159" i="23"/>
  <c r="BM159" i="23"/>
  <c r="BN159" i="23"/>
  <c r="BK159" i="23"/>
  <c r="BI159" i="23"/>
  <c r="BJ159" i="23"/>
  <c r="BH159" i="23"/>
  <c r="BG159" i="23"/>
  <c r="BF159" i="23"/>
  <c r="BU70" i="23"/>
  <c r="BT70" i="23"/>
  <c r="BS70" i="23"/>
  <c r="BR70" i="23"/>
  <c r="BQ70" i="23"/>
  <c r="BO70" i="23"/>
  <c r="BP70" i="23"/>
  <c r="BL70" i="23"/>
  <c r="BM70" i="23"/>
  <c r="BN70" i="23"/>
  <c r="BI70" i="23"/>
  <c r="BJ70" i="23"/>
  <c r="BK70" i="23"/>
  <c r="BG70" i="23"/>
  <c r="BF70" i="23"/>
  <c r="BH70" i="23"/>
  <c r="BU389" i="23"/>
  <c r="BT389" i="23"/>
  <c r="BS389" i="23"/>
  <c r="BQ389" i="23"/>
  <c r="BR389" i="23"/>
  <c r="BP389" i="23"/>
  <c r="BM389" i="23"/>
  <c r="BN389" i="23"/>
  <c r="BO389" i="23"/>
  <c r="BJ389" i="23"/>
  <c r="BK389" i="23"/>
  <c r="BL389" i="23"/>
  <c r="BI389" i="23"/>
  <c r="BH389" i="23"/>
  <c r="BG389" i="23"/>
  <c r="BF389" i="23"/>
  <c r="BU115" i="23"/>
  <c r="BT115" i="23"/>
  <c r="BS115" i="23"/>
  <c r="BR115" i="23"/>
  <c r="BQ115" i="23"/>
  <c r="BO115" i="23"/>
  <c r="BP115" i="23"/>
  <c r="BL115" i="23"/>
  <c r="BM115" i="23"/>
  <c r="BN115" i="23"/>
  <c r="BK115" i="23"/>
  <c r="BI115" i="23"/>
  <c r="BJ115" i="23"/>
  <c r="BH115" i="23"/>
  <c r="BG115" i="23"/>
  <c r="BF115" i="23"/>
  <c r="BU55" i="23"/>
  <c r="BT55" i="23"/>
  <c r="BS55" i="23"/>
  <c r="BR55" i="23"/>
  <c r="BQ55" i="23"/>
  <c r="BO55" i="23"/>
  <c r="BP55" i="23"/>
  <c r="BL55" i="23"/>
  <c r="BM55" i="23"/>
  <c r="BN55" i="23"/>
  <c r="BK55" i="23"/>
  <c r="BI55" i="23"/>
  <c r="BJ55" i="23"/>
  <c r="BH55" i="23"/>
  <c r="BG55" i="23"/>
  <c r="BF55" i="23"/>
  <c r="BU225" i="23"/>
  <c r="BT225" i="23"/>
  <c r="BS225" i="23"/>
  <c r="BQ225" i="23"/>
  <c r="BR225" i="23"/>
  <c r="BP225" i="23"/>
  <c r="BO225" i="23"/>
  <c r="BM225" i="23"/>
  <c r="BN225" i="23"/>
  <c r="BL225" i="23"/>
  <c r="BI225" i="23"/>
  <c r="BJ225" i="23"/>
  <c r="BK225" i="23"/>
  <c r="BF225" i="23"/>
  <c r="BH225" i="23"/>
  <c r="BG225" i="23"/>
  <c r="BU231" i="23"/>
  <c r="BT231" i="23"/>
  <c r="BS231" i="23"/>
  <c r="BR231" i="23"/>
  <c r="BQ231" i="23"/>
  <c r="BO231" i="23"/>
  <c r="BP231" i="23"/>
  <c r="BL231" i="23"/>
  <c r="BM231" i="23"/>
  <c r="BN231" i="23"/>
  <c r="BK231" i="23"/>
  <c r="BI231" i="23"/>
  <c r="BJ231" i="23"/>
  <c r="BH231" i="23"/>
  <c r="BG231" i="23"/>
  <c r="BF231" i="23"/>
  <c r="BU259" i="23"/>
  <c r="BT259" i="23"/>
  <c r="BS259" i="23"/>
  <c r="BR259" i="23"/>
  <c r="BQ259" i="23"/>
  <c r="BO259" i="23"/>
  <c r="BP259" i="23"/>
  <c r="BL259" i="23"/>
  <c r="BM259" i="23"/>
  <c r="BN259" i="23"/>
  <c r="BK259" i="23"/>
  <c r="BI259" i="23"/>
  <c r="BJ259" i="23"/>
  <c r="BH259" i="23"/>
  <c r="BG259" i="23"/>
  <c r="BF259" i="23"/>
  <c r="BU332" i="23"/>
  <c r="BS332" i="23"/>
  <c r="BT332" i="23"/>
  <c r="BQ332" i="23"/>
  <c r="BR332" i="23"/>
  <c r="BO332" i="23"/>
  <c r="BP332" i="23"/>
  <c r="BN332" i="23"/>
  <c r="BL332" i="23"/>
  <c r="BM332" i="23"/>
  <c r="BJ332" i="23"/>
  <c r="BK332" i="23"/>
  <c r="BI332" i="23"/>
  <c r="BH332" i="23"/>
  <c r="BG332" i="23"/>
  <c r="BF332" i="23"/>
  <c r="BU144" i="23"/>
  <c r="BT144" i="23"/>
  <c r="BS144" i="23"/>
  <c r="BR144" i="23"/>
  <c r="BQ144" i="23"/>
  <c r="BO144" i="23"/>
  <c r="BP144" i="23"/>
  <c r="BN144" i="23"/>
  <c r="BL144" i="23"/>
  <c r="BM144" i="23"/>
  <c r="BJ144" i="23"/>
  <c r="BK144" i="23"/>
  <c r="BI144" i="23"/>
  <c r="BF144" i="23"/>
  <c r="BH144" i="23"/>
  <c r="BG144" i="23"/>
  <c r="BT441" i="23"/>
  <c r="BU441" i="23"/>
  <c r="BS441" i="23"/>
  <c r="BQ441" i="23"/>
  <c r="BR441" i="23"/>
  <c r="BP441" i="23"/>
  <c r="BM441" i="23"/>
  <c r="BN441" i="23"/>
  <c r="BO441" i="23"/>
  <c r="BJ441" i="23"/>
  <c r="BK441" i="23"/>
  <c r="BL441" i="23"/>
  <c r="BI441" i="23"/>
  <c r="BH441" i="23"/>
  <c r="BG441" i="23"/>
  <c r="BF441" i="23"/>
  <c r="BU221" i="23"/>
  <c r="BT221" i="23"/>
  <c r="BS221" i="23"/>
  <c r="BR221" i="23"/>
  <c r="BQ221" i="23"/>
  <c r="BP221" i="23"/>
  <c r="BO221" i="23"/>
  <c r="BM221" i="23"/>
  <c r="BN221" i="23"/>
  <c r="BL221" i="23"/>
  <c r="BI221" i="23"/>
  <c r="BJ221" i="23"/>
  <c r="BK221" i="23"/>
  <c r="BF221" i="23"/>
  <c r="BH221" i="23"/>
  <c r="BG221" i="23"/>
  <c r="BU116" i="23"/>
  <c r="BT116" i="23"/>
  <c r="BS116" i="23"/>
  <c r="BR116" i="23"/>
  <c r="BQ116" i="23"/>
  <c r="BO116" i="23"/>
  <c r="BP116" i="23"/>
  <c r="BN116" i="23"/>
  <c r="BL116" i="23"/>
  <c r="BM116" i="23"/>
  <c r="BJ116" i="23"/>
  <c r="BK116" i="23"/>
  <c r="BI116" i="23"/>
  <c r="BF116" i="23"/>
  <c r="BH116" i="23"/>
  <c r="BG116" i="23"/>
  <c r="BU92" i="23"/>
  <c r="BT92" i="23"/>
  <c r="BS92" i="23"/>
  <c r="BR92" i="23"/>
  <c r="BQ92" i="23"/>
  <c r="BO92" i="23"/>
  <c r="BP92" i="23"/>
  <c r="BN92" i="23"/>
  <c r="BL92" i="23"/>
  <c r="BM92" i="23"/>
  <c r="BJ92" i="23"/>
  <c r="BK92" i="23"/>
  <c r="BI92" i="23"/>
  <c r="BF92" i="23"/>
  <c r="BH92" i="23"/>
  <c r="BG92" i="23"/>
  <c r="BU130" i="23"/>
  <c r="BT130" i="23"/>
  <c r="BS130" i="23"/>
  <c r="BR130" i="23"/>
  <c r="BQ130" i="23"/>
  <c r="BO130" i="23"/>
  <c r="BP130" i="23"/>
  <c r="BL130" i="23"/>
  <c r="BM130" i="23"/>
  <c r="BN130" i="23"/>
  <c r="BI130" i="23"/>
  <c r="BJ130" i="23"/>
  <c r="BK130" i="23"/>
  <c r="BG130" i="23"/>
  <c r="BF130" i="23"/>
  <c r="BH130" i="23"/>
  <c r="BU387" i="23"/>
  <c r="BT387" i="23"/>
  <c r="BS387" i="23"/>
  <c r="BR387" i="23"/>
  <c r="BQ387" i="23"/>
  <c r="BP387" i="23"/>
  <c r="BO387" i="23"/>
  <c r="BM387" i="23"/>
  <c r="BN387" i="23"/>
  <c r="BK387" i="23"/>
  <c r="BL387" i="23"/>
  <c r="BI387" i="23"/>
  <c r="BJ387" i="23"/>
  <c r="BH387" i="23"/>
  <c r="BG387" i="23"/>
  <c r="BF387" i="23"/>
  <c r="BU65" i="23"/>
  <c r="BT65" i="23"/>
  <c r="BR65" i="23"/>
  <c r="BS65" i="23"/>
  <c r="BQ65" i="23"/>
  <c r="BP65" i="23"/>
  <c r="BO65" i="23"/>
  <c r="BM65" i="23"/>
  <c r="BN65" i="23"/>
  <c r="BL65" i="23"/>
  <c r="BI65" i="23"/>
  <c r="BJ65" i="23"/>
  <c r="BK65" i="23"/>
  <c r="BF65" i="23"/>
  <c r="BH65" i="23"/>
  <c r="BG65" i="23"/>
  <c r="BU414" i="23"/>
  <c r="BT414" i="23"/>
  <c r="BS414" i="23"/>
  <c r="BQ414" i="23"/>
  <c r="BR414" i="23"/>
  <c r="BP414" i="23"/>
  <c r="BM414" i="23"/>
  <c r="BN414" i="23"/>
  <c r="BO414" i="23"/>
  <c r="BL414" i="23"/>
  <c r="BJ414" i="23"/>
  <c r="BK414" i="23"/>
  <c r="BG414" i="23"/>
  <c r="BI414" i="23"/>
  <c r="BH414" i="23"/>
  <c r="BF414" i="23"/>
  <c r="BU127" i="23"/>
  <c r="BT127" i="23"/>
  <c r="BS127" i="23"/>
  <c r="BR127" i="23"/>
  <c r="BQ127" i="23"/>
  <c r="BO127" i="23"/>
  <c r="BP127" i="23"/>
  <c r="BL127" i="23"/>
  <c r="BM127" i="23"/>
  <c r="BN127" i="23"/>
  <c r="BK127" i="23"/>
  <c r="BI127" i="23"/>
  <c r="BJ127" i="23"/>
  <c r="BH127" i="23"/>
  <c r="BG127" i="23"/>
  <c r="BF127" i="23"/>
  <c r="BT268" i="23"/>
  <c r="BU268" i="23"/>
  <c r="BS268" i="23"/>
  <c r="BR268" i="23"/>
  <c r="BQ268" i="23"/>
  <c r="BO268" i="23"/>
  <c r="BP268" i="23"/>
  <c r="BN268" i="23"/>
  <c r="BL268" i="23"/>
  <c r="BM268" i="23"/>
  <c r="BJ268" i="23"/>
  <c r="BK268" i="23"/>
  <c r="BI268" i="23"/>
  <c r="BH268" i="23"/>
  <c r="BG268" i="23"/>
  <c r="BF268" i="23"/>
  <c r="BU63" i="23"/>
  <c r="BT63" i="23"/>
  <c r="BR63" i="23"/>
  <c r="BS63" i="23"/>
  <c r="BQ63" i="23"/>
  <c r="BO63" i="23"/>
  <c r="BP63" i="23"/>
  <c r="BL63" i="23"/>
  <c r="BM63" i="23"/>
  <c r="BN63" i="23"/>
  <c r="BK63" i="23"/>
  <c r="BI63" i="23"/>
  <c r="BJ63" i="23"/>
  <c r="BH63" i="23"/>
  <c r="BG63" i="23"/>
  <c r="BF63" i="23"/>
  <c r="BU203" i="23"/>
  <c r="BT203" i="23"/>
  <c r="BS203" i="23"/>
  <c r="BR203" i="23"/>
  <c r="BQ203" i="23"/>
  <c r="BO203" i="23"/>
  <c r="BP203" i="23"/>
  <c r="BL203" i="23"/>
  <c r="BM203" i="23"/>
  <c r="BN203" i="23"/>
  <c r="BK203" i="23"/>
  <c r="BI203" i="23"/>
  <c r="BJ203" i="23"/>
  <c r="BH203" i="23"/>
  <c r="BG203" i="23"/>
  <c r="BF203" i="23"/>
  <c r="BU448" i="23"/>
  <c r="BT448" i="23"/>
  <c r="BS448" i="23"/>
  <c r="BR448" i="23"/>
  <c r="BQ448" i="23"/>
  <c r="BP448" i="23"/>
  <c r="BN448" i="23"/>
  <c r="BO448" i="23"/>
  <c r="BM448" i="23"/>
  <c r="BJ448" i="23"/>
  <c r="BK448" i="23"/>
  <c r="BL448" i="23"/>
  <c r="BH448" i="23"/>
  <c r="BG448" i="23"/>
  <c r="BI448" i="23"/>
  <c r="BF448" i="23"/>
  <c r="BU213" i="23"/>
  <c r="BT213" i="23"/>
  <c r="BS213" i="23"/>
  <c r="BQ213" i="23"/>
  <c r="BR213" i="23"/>
  <c r="BP213" i="23"/>
  <c r="BO213" i="23"/>
  <c r="BM213" i="23"/>
  <c r="BN213" i="23"/>
  <c r="BL213" i="23"/>
  <c r="BI213" i="23"/>
  <c r="BJ213" i="23"/>
  <c r="BK213" i="23"/>
  <c r="BF213" i="23"/>
  <c r="BH213" i="23"/>
  <c r="BG213" i="23"/>
  <c r="BU95" i="23"/>
  <c r="BT95" i="23"/>
  <c r="BS95" i="23"/>
  <c r="BR95" i="23"/>
  <c r="BQ95" i="23"/>
  <c r="BO95" i="23"/>
  <c r="BP95" i="23"/>
  <c r="BL95" i="23"/>
  <c r="BM95" i="23"/>
  <c r="BN95" i="23"/>
  <c r="BK95" i="23"/>
  <c r="BI95" i="23"/>
  <c r="BJ95" i="23"/>
  <c r="BH95" i="23"/>
  <c r="BG95" i="23"/>
  <c r="BF95" i="23"/>
  <c r="BU162" i="23"/>
  <c r="BT162" i="23"/>
  <c r="BS162" i="23"/>
  <c r="BR162" i="23"/>
  <c r="BQ162" i="23"/>
  <c r="BO162" i="23"/>
  <c r="BP162" i="23"/>
  <c r="BL162" i="23"/>
  <c r="BM162" i="23"/>
  <c r="BN162" i="23"/>
  <c r="BI162" i="23"/>
  <c r="BJ162" i="23"/>
  <c r="BK162" i="23"/>
  <c r="BG162" i="23"/>
  <c r="BF162" i="23"/>
  <c r="BH162" i="23"/>
  <c r="BU360" i="23"/>
  <c r="BT360" i="23"/>
  <c r="BS360" i="23"/>
  <c r="BQ360" i="23"/>
  <c r="BR360" i="23"/>
  <c r="BP360" i="23"/>
  <c r="BN360" i="23"/>
  <c r="BO360" i="23"/>
  <c r="BL360" i="23"/>
  <c r="BM360" i="23"/>
  <c r="BJ360" i="23"/>
  <c r="BK360" i="23"/>
  <c r="BI360" i="23"/>
  <c r="BH360" i="23"/>
  <c r="BG360" i="23"/>
  <c r="BF360" i="23"/>
  <c r="BU240" i="23"/>
  <c r="BT240" i="23"/>
  <c r="BS240" i="23"/>
  <c r="BR240" i="23"/>
  <c r="BQ240" i="23"/>
  <c r="BO240" i="23"/>
  <c r="BP240" i="23"/>
  <c r="BN240" i="23"/>
  <c r="BL240" i="23"/>
  <c r="BM240" i="23"/>
  <c r="BJ240" i="23"/>
  <c r="BK240" i="23"/>
  <c r="BI240" i="23"/>
  <c r="BH240" i="23"/>
  <c r="BG240" i="23"/>
  <c r="BF240" i="23"/>
  <c r="BU223" i="23"/>
  <c r="BT223" i="23"/>
  <c r="BS223" i="23"/>
  <c r="BR223" i="23"/>
  <c r="BQ223" i="23"/>
  <c r="BO223" i="23"/>
  <c r="BP223" i="23"/>
  <c r="BL223" i="23"/>
  <c r="BM223" i="23"/>
  <c r="BN223" i="23"/>
  <c r="BK223" i="23"/>
  <c r="BI223" i="23"/>
  <c r="BJ223" i="23"/>
  <c r="BH223" i="23"/>
  <c r="BG223" i="23"/>
  <c r="BF223" i="23"/>
  <c r="BU47" i="23"/>
  <c r="BT47" i="23"/>
  <c r="BR47" i="23"/>
  <c r="BS47" i="23"/>
  <c r="BQ47" i="23"/>
  <c r="BO47" i="23"/>
  <c r="BP47" i="23"/>
  <c r="BL47" i="23"/>
  <c r="BM47" i="23"/>
  <c r="BN47" i="23"/>
  <c r="BK47" i="23"/>
  <c r="BI47" i="23"/>
  <c r="BJ47" i="23"/>
  <c r="BH47" i="23"/>
  <c r="BG47" i="23"/>
  <c r="BF47" i="23"/>
  <c r="BU56" i="23"/>
  <c r="BT56" i="23"/>
  <c r="BS56" i="23"/>
  <c r="BR56" i="23"/>
  <c r="BQ56" i="23"/>
  <c r="BO56" i="23"/>
  <c r="BP56" i="23"/>
  <c r="BN56" i="23"/>
  <c r="BL56" i="23"/>
  <c r="BM56" i="23"/>
  <c r="BJ56" i="23"/>
  <c r="BK56" i="23"/>
  <c r="BI56" i="23"/>
  <c r="BF56" i="23"/>
  <c r="BH56" i="23"/>
  <c r="BG56" i="23"/>
  <c r="BU385" i="23"/>
  <c r="BT385" i="23"/>
  <c r="BS385" i="23"/>
  <c r="BQ385" i="23"/>
  <c r="BR385" i="23"/>
  <c r="BP385" i="23"/>
  <c r="BM385" i="23"/>
  <c r="BN385" i="23"/>
  <c r="BO385" i="23"/>
  <c r="BJ385" i="23"/>
  <c r="BK385" i="23"/>
  <c r="BL385" i="23"/>
  <c r="BI385" i="23"/>
  <c r="BF385" i="23"/>
  <c r="BH385" i="23"/>
  <c r="BG385" i="23"/>
  <c r="BS388" i="23"/>
  <c r="BU388" i="23"/>
  <c r="BT388" i="23"/>
  <c r="BQ388" i="23"/>
  <c r="BR388" i="23"/>
  <c r="BP388" i="23"/>
  <c r="BN388" i="23"/>
  <c r="BO388" i="23"/>
  <c r="BM388" i="23"/>
  <c r="BJ388" i="23"/>
  <c r="BK388" i="23"/>
  <c r="BL388" i="23"/>
  <c r="BI388" i="23"/>
  <c r="BH388" i="23"/>
  <c r="BG388" i="23"/>
  <c r="BF388" i="23"/>
  <c r="BU164" i="23"/>
  <c r="BT164" i="23"/>
  <c r="BS164" i="23"/>
  <c r="BR164" i="23"/>
  <c r="BQ164" i="23"/>
  <c r="BO164" i="23"/>
  <c r="BP164" i="23"/>
  <c r="BN164" i="23"/>
  <c r="BL164" i="23"/>
  <c r="BM164" i="23"/>
  <c r="BJ164" i="23"/>
  <c r="BK164" i="23"/>
  <c r="BI164" i="23"/>
  <c r="BF164" i="23"/>
  <c r="BH164" i="23"/>
  <c r="BG164" i="23"/>
  <c r="BU285" i="23"/>
  <c r="BT285" i="23"/>
  <c r="BS285" i="23"/>
  <c r="BR285" i="23"/>
  <c r="BQ285" i="23"/>
  <c r="BP285" i="23"/>
  <c r="BO285" i="23"/>
  <c r="BM285" i="23"/>
  <c r="BN285" i="23"/>
  <c r="BL285" i="23"/>
  <c r="BJ285" i="23"/>
  <c r="BK285" i="23"/>
  <c r="BI285" i="23"/>
  <c r="BF285" i="23"/>
  <c r="BH285" i="23"/>
  <c r="BG285" i="23"/>
  <c r="BU405" i="23"/>
  <c r="BT405" i="23"/>
  <c r="BS405" i="23"/>
  <c r="BQ405" i="23"/>
  <c r="BR405" i="23"/>
  <c r="BP405" i="23"/>
  <c r="BM405" i="23"/>
  <c r="BN405" i="23"/>
  <c r="BO405" i="23"/>
  <c r="BJ405" i="23"/>
  <c r="BK405" i="23"/>
  <c r="BL405" i="23"/>
  <c r="BI405" i="23"/>
  <c r="BH405" i="23"/>
  <c r="BG405" i="23"/>
  <c r="BF405" i="23"/>
  <c r="BU440" i="23"/>
  <c r="BT440" i="23"/>
  <c r="BS440" i="23"/>
  <c r="BR440" i="23"/>
  <c r="BQ440" i="23"/>
  <c r="BP440" i="23"/>
  <c r="BN440" i="23"/>
  <c r="BO440" i="23"/>
  <c r="BM440" i="23"/>
  <c r="BJ440" i="23"/>
  <c r="BK440" i="23"/>
  <c r="BL440" i="23"/>
  <c r="BH440" i="23"/>
  <c r="BG440" i="23"/>
  <c r="BI440" i="23"/>
  <c r="BF440" i="23"/>
  <c r="BT53" i="23"/>
  <c r="BR53" i="23"/>
  <c r="BU53" i="23"/>
  <c r="BS53" i="23"/>
  <c r="BQ53" i="23"/>
  <c r="BP53" i="23"/>
  <c r="BO53" i="23"/>
  <c r="BM53" i="23"/>
  <c r="BN53" i="23"/>
  <c r="BL53" i="23"/>
  <c r="BI53" i="23"/>
  <c r="BJ53" i="23"/>
  <c r="BK53" i="23"/>
  <c r="BF53" i="23"/>
  <c r="BH53" i="23"/>
  <c r="BG53" i="23"/>
  <c r="BT310" i="23"/>
  <c r="BU310" i="23"/>
  <c r="BS310" i="23"/>
  <c r="BR310" i="23"/>
  <c r="BQ310" i="23"/>
  <c r="BP310" i="23"/>
  <c r="BM310" i="23"/>
  <c r="BO310" i="23"/>
  <c r="BN310" i="23"/>
  <c r="BL310" i="23"/>
  <c r="BI310" i="23"/>
  <c r="BJ310" i="23"/>
  <c r="BK310" i="23"/>
  <c r="BG310" i="23"/>
  <c r="BF310" i="23"/>
  <c r="BH310" i="23"/>
  <c r="BU338" i="23"/>
  <c r="BS338" i="23"/>
  <c r="BT338" i="23"/>
  <c r="BQ338" i="23"/>
  <c r="BR338" i="23"/>
  <c r="BP338" i="23"/>
  <c r="BO338" i="23"/>
  <c r="BM338" i="23"/>
  <c r="BN338" i="23"/>
  <c r="BI338" i="23"/>
  <c r="BJ338" i="23"/>
  <c r="BL338" i="23"/>
  <c r="BK338" i="23"/>
  <c r="BG338" i="23"/>
  <c r="BF338" i="23"/>
  <c r="BH338" i="23"/>
  <c r="BU333" i="23"/>
  <c r="BT333" i="23"/>
  <c r="BS333" i="23"/>
  <c r="BQ333" i="23"/>
  <c r="BR333" i="23"/>
  <c r="BP333" i="23"/>
  <c r="BO333" i="23"/>
  <c r="BM333" i="23"/>
  <c r="BN333" i="23"/>
  <c r="BL333" i="23"/>
  <c r="BJ333" i="23"/>
  <c r="BK333" i="23"/>
  <c r="BI333" i="23"/>
  <c r="BF333" i="23"/>
  <c r="BH333" i="23"/>
  <c r="BG333" i="23"/>
  <c r="BU427" i="23"/>
  <c r="BT427" i="23"/>
  <c r="BS427" i="23"/>
  <c r="BR427" i="23"/>
  <c r="BQ427" i="23"/>
  <c r="BP427" i="23"/>
  <c r="BO427" i="23"/>
  <c r="BM427" i="23"/>
  <c r="BN427" i="23"/>
  <c r="BK427" i="23"/>
  <c r="BL427" i="23"/>
  <c r="BJ427" i="23"/>
  <c r="BH427" i="23"/>
  <c r="BG427" i="23"/>
  <c r="BI427" i="23"/>
  <c r="BF427" i="23"/>
  <c r="BU412" i="23"/>
  <c r="BS412" i="23"/>
  <c r="BT412" i="23"/>
  <c r="BQ412" i="23"/>
  <c r="BR412" i="23"/>
  <c r="BP412" i="23"/>
  <c r="BN412" i="23"/>
  <c r="BO412" i="23"/>
  <c r="BM412" i="23"/>
  <c r="BJ412" i="23"/>
  <c r="BK412" i="23"/>
  <c r="BL412" i="23"/>
  <c r="BH412" i="23"/>
  <c r="BG412" i="23"/>
  <c r="BI412" i="23"/>
  <c r="BF412" i="23"/>
  <c r="BU195" i="23"/>
  <c r="BT195" i="23"/>
  <c r="BS195" i="23"/>
  <c r="BR195" i="23"/>
  <c r="BQ195" i="23"/>
  <c r="BO195" i="23"/>
  <c r="BP195" i="23"/>
  <c r="BL195" i="23"/>
  <c r="BM195" i="23"/>
  <c r="BN195" i="23"/>
  <c r="BK195" i="23"/>
  <c r="BI195" i="23"/>
  <c r="BJ195" i="23"/>
  <c r="BH195" i="23"/>
  <c r="BG195" i="23"/>
  <c r="BF195" i="23"/>
  <c r="BU161" i="23"/>
  <c r="BT161" i="23"/>
  <c r="BS161" i="23"/>
  <c r="BQ161" i="23"/>
  <c r="BR161" i="23"/>
  <c r="BP161" i="23"/>
  <c r="BO161" i="23"/>
  <c r="BM161" i="23"/>
  <c r="BN161" i="23"/>
  <c r="BL161" i="23"/>
  <c r="BI161" i="23"/>
  <c r="BJ161" i="23"/>
  <c r="BK161" i="23"/>
  <c r="BF161" i="23"/>
  <c r="BH161" i="23"/>
  <c r="BG161" i="23"/>
  <c r="BU189" i="23"/>
  <c r="BT189" i="23"/>
  <c r="BS189" i="23"/>
  <c r="BR189" i="23"/>
  <c r="BQ189" i="23"/>
  <c r="BP189" i="23"/>
  <c r="BO189" i="23"/>
  <c r="BM189" i="23"/>
  <c r="BN189" i="23"/>
  <c r="BL189" i="23"/>
  <c r="BI189" i="23"/>
  <c r="BJ189" i="23"/>
  <c r="BK189" i="23"/>
  <c r="BF189" i="23"/>
  <c r="BH189" i="23"/>
  <c r="BG189" i="23"/>
  <c r="W37" i="17"/>
  <c r="W21" i="17"/>
  <c r="D3" i="27"/>
  <c r="E4" i="20"/>
  <c r="E6" i="20" s="1"/>
  <c r="BU370" i="23"/>
  <c r="BS370" i="23"/>
  <c r="BT370" i="23"/>
  <c r="BQ370" i="23"/>
  <c r="BR370" i="23"/>
  <c r="BP370" i="23"/>
  <c r="BM370" i="23"/>
  <c r="BN370" i="23"/>
  <c r="BO370" i="23"/>
  <c r="BI370" i="23"/>
  <c r="BJ370" i="23"/>
  <c r="BL370" i="23"/>
  <c r="BK370" i="23"/>
  <c r="BG370" i="23"/>
  <c r="BH370" i="23"/>
  <c r="BF370" i="23"/>
  <c r="BU214" i="23"/>
  <c r="BT214" i="23"/>
  <c r="BS214" i="23"/>
  <c r="BR214" i="23"/>
  <c r="BQ214" i="23"/>
  <c r="BO214" i="23"/>
  <c r="BP214" i="23"/>
  <c r="BL214" i="23"/>
  <c r="BM214" i="23"/>
  <c r="BN214" i="23"/>
  <c r="BI214" i="23"/>
  <c r="BJ214" i="23"/>
  <c r="BK214" i="23"/>
  <c r="BG214" i="23"/>
  <c r="BF214" i="23"/>
  <c r="BH214" i="23"/>
  <c r="BU52" i="23"/>
  <c r="BT52" i="23"/>
  <c r="BS52" i="23"/>
  <c r="BR52" i="23"/>
  <c r="BQ52" i="23"/>
  <c r="BO52" i="23"/>
  <c r="BP52" i="23"/>
  <c r="BN52" i="23"/>
  <c r="BL52" i="23"/>
  <c r="BM52" i="23"/>
  <c r="BJ52" i="23"/>
  <c r="BK52" i="23"/>
  <c r="BI52" i="23"/>
  <c r="BF52" i="23"/>
  <c r="BH52" i="23"/>
  <c r="BG52" i="23"/>
  <c r="BT188" i="23"/>
  <c r="BU188" i="23"/>
  <c r="BS188" i="23"/>
  <c r="BR188" i="23"/>
  <c r="BQ188" i="23"/>
  <c r="BO188" i="23"/>
  <c r="BP188" i="23"/>
  <c r="BN188" i="23"/>
  <c r="BL188" i="23"/>
  <c r="BM188" i="23"/>
  <c r="BJ188" i="23"/>
  <c r="BK188" i="23"/>
  <c r="BI188" i="23"/>
  <c r="BF188" i="23"/>
  <c r="BH188" i="23"/>
  <c r="BG188" i="23"/>
  <c r="BU444" i="23"/>
  <c r="BS444" i="23"/>
  <c r="BT444" i="23"/>
  <c r="BR444" i="23"/>
  <c r="BQ444" i="23"/>
  <c r="BP444" i="23"/>
  <c r="BN444" i="23"/>
  <c r="BO444" i="23"/>
  <c r="BM444" i="23"/>
  <c r="BJ444" i="23"/>
  <c r="BK444" i="23"/>
  <c r="BL444" i="23"/>
  <c r="BH444" i="23"/>
  <c r="BG444" i="23"/>
  <c r="BI444" i="23"/>
  <c r="BF444" i="23"/>
  <c r="BU218" i="23"/>
  <c r="BT218" i="23"/>
  <c r="BS218" i="23"/>
  <c r="BR218" i="23"/>
  <c r="BQ218" i="23"/>
  <c r="BO218" i="23"/>
  <c r="BP218" i="23"/>
  <c r="BL218" i="23"/>
  <c r="BM218" i="23"/>
  <c r="BN218" i="23"/>
  <c r="BI218" i="23"/>
  <c r="BJ218" i="23"/>
  <c r="BK218" i="23"/>
  <c r="BG218" i="23"/>
  <c r="BF218" i="23"/>
  <c r="BH218" i="23"/>
  <c r="BU282" i="23"/>
  <c r="BT282" i="23"/>
  <c r="BS282" i="23"/>
  <c r="BQ282" i="23"/>
  <c r="BR282" i="23"/>
  <c r="BP282" i="23"/>
  <c r="BL282" i="23"/>
  <c r="BM282" i="23"/>
  <c r="BN282" i="23"/>
  <c r="BO282" i="23"/>
  <c r="BI282" i="23"/>
  <c r="BJ282" i="23"/>
  <c r="BK282" i="23"/>
  <c r="BG282" i="23"/>
  <c r="BF282" i="23"/>
  <c r="BH282" i="23"/>
  <c r="BU46" i="23"/>
  <c r="BS46" i="23"/>
  <c r="BT46" i="23"/>
  <c r="BR46" i="23"/>
  <c r="BQ46" i="23"/>
  <c r="BO46" i="23"/>
  <c r="BP46" i="23"/>
  <c r="BL46" i="23"/>
  <c r="BM46" i="23"/>
  <c r="BN46" i="23"/>
  <c r="BI46" i="23"/>
  <c r="BJ46" i="23"/>
  <c r="BK46" i="23"/>
  <c r="BG46" i="23"/>
  <c r="BF46" i="23"/>
  <c r="BH46" i="23"/>
  <c r="BU173" i="23"/>
  <c r="BT173" i="23"/>
  <c r="BS173" i="23"/>
  <c r="BR173" i="23"/>
  <c r="BQ173" i="23"/>
  <c r="BP173" i="23"/>
  <c r="BO173" i="23"/>
  <c r="BM173" i="23"/>
  <c r="BN173" i="23"/>
  <c r="BL173" i="23"/>
  <c r="BI173" i="23"/>
  <c r="BJ173" i="23"/>
  <c r="BK173" i="23"/>
  <c r="BF173" i="23"/>
  <c r="BH173" i="23"/>
  <c r="BG173" i="23"/>
  <c r="BU126" i="23"/>
  <c r="BT126" i="23"/>
  <c r="BS126" i="23"/>
  <c r="BR126" i="23"/>
  <c r="BQ126" i="23"/>
  <c r="BO126" i="23"/>
  <c r="BP126" i="23"/>
  <c r="BL126" i="23"/>
  <c r="BM126" i="23"/>
  <c r="BN126" i="23"/>
  <c r="BI126" i="23"/>
  <c r="BJ126" i="23"/>
  <c r="BK126" i="23"/>
  <c r="BG126" i="23"/>
  <c r="BF126" i="23"/>
  <c r="BH126" i="23"/>
  <c r="BU207" i="23"/>
  <c r="BT207" i="23"/>
  <c r="BS207" i="23"/>
  <c r="BR207" i="23"/>
  <c r="BQ207" i="23"/>
  <c r="BO207" i="23"/>
  <c r="BP207" i="23"/>
  <c r="BL207" i="23"/>
  <c r="BM207" i="23"/>
  <c r="BN207" i="23"/>
  <c r="BK207" i="23"/>
  <c r="BI207" i="23"/>
  <c r="BJ207" i="23"/>
  <c r="BH207" i="23"/>
  <c r="BG207" i="23"/>
  <c r="BF207" i="23"/>
  <c r="BU224" i="23"/>
  <c r="BT224" i="23"/>
  <c r="BS224" i="23"/>
  <c r="BR224" i="23"/>
  <c r="BQ224" i="23"/>
  <c r="BO224" i="23"/>
  <c r="BP224" i="23"/>
  <c r="BN224" i="23"/>
  <c r="BL224" i="23"/>
  <c r="BM224" i="23"/>
  <c r="BJ224" i="23"/>
  <c r="BK224" i="23"/>
  <c r="BI224" i="23"/>
  <c r="BH224" i="23"/>
  <c r="BG224" i="23"/>
  <c r="BF224" i="23"/>
  <c r="BU251" i="23"/>
  <c r="BT251" i="23"/>
  <c r="BS251" i="23"/>
  <c r="BR251" i="23"/>
  <c r="BQ251" i="23"/>
  <c r="BO251" i="23"/>
  <c r="BP251" i="23"/>
  <c r="BL251" i="23"/>
  <c r="BM251" i="23"/>
  <c r="BN251" i="23"/>
  <c r="BK251" i="23"/>
  <c r="BI251" i="23"/>
  <c r="BJ251" i="23"/>
  <c r="BH251" i="23"/>
  <c r="BG251" i="23"/>
  <c r="BF251" i="23"/>
  <c r="BU69" i="23"/>
  <c r="BT69" i="23"/>
  <c r="BR69" i="23"/>
  <c r="BS69" i="23"/>
  <c r="BQ69" i="23"/>
  <c r="BP69" i="23"/>
  <c r="BO69" i="23"/>
  <c r="BM69" i="23"/>
  <c r="BN69" i="23"/>
  <c r="BL69" i="23"/>
  <c r="BI69" i="23"/>
  <c r="BJ69" i="23"/>
  <c r="BK69" i="23"/>
  <c r="BF69" i="23"/>
  <c r="BH69" i="23"/>
  <c r="BG69" i="23"/>
  <c r="BT212" i="23"/>
  <c r="BU212" i="23"/>
  <c r="BS212" i="23"/>
  <c r="BR212" i="23"/>
  <c r="BQ212" i="23"/>
  <c r="BO212" i="23"/>
  <c r="BP212" i="23"/>
  <c r="BN212" i="23"/>
  <c r="BL212" i="23"/>
  <c r="BM212" i="23"/>
  <c r="BJ212" i="23"/>
  <c r="BK212" i="23"/>
  <c r="BI212" i="23"/>
  <c r="BH212" i="23"/>
  <c r="BG212" i="23"/>
  <c r="BF212" i="23"/>
  <c r="BT433" i="23"/>
  <c r="BU433" i="23"/>
  <c r="BS433" i="23"/>
  <c r="BQ433" i="23"/>
  <c r="BR433" i="23"/>
  <c r="BP433" i="23"/>
  <c r="BM433" i="23"/>
  <c r="BN433" i="23"/>
  <c r="BO433" i="23"/>
  <c r="BJ433" i="23"/>
  <c r="BK433" i="23"/>
  <c r="BL433" i="23"/>
  <c r="BI433" i="23"/>
  <c r="BH433" i="23"/>
  <c r="BG433" i="23"/>
  <c r="BF433" i="23"/>
  <c r="BU121" i="23"/>
  <c r="BT121" i="23"/>
  <c r="BS121" i="23"/>
  <c r="BR121" i="23"/>
  <c r="BQ121" i="23"/>
  <c r="BP121" i="23"/>
  <c r="BO121" i="23"/>
  <c r="BM121" i="23"/>
  <c r="BN121" i="23"/>
  <c r="BL121" i="23"/>
  <c r="BI121" i="23"/>
  <c r="BJ121" i="23"/>
  <c r="BK121" i="23"/>
  <c r="BF121" i="23"/>
  <c r="BH121" i="23"/>
  <c r="BG121" i="23"/>
  <c r="BU157" i="23"/>
  <c r="BT157" i="23"/>
  <c r="BS157" i="23"/>
  <c r="BR157" i="23"/>
  <c r="BQ157" i="23"/>
  <c r="BP157" i="23"/>
  <c r="BO157" i="23"/>
  <c r="BM157" i="23"/>
  <c r="BN157" i="23"/>
  <c r="BL157" i="23"/>
  <c r="BI157" i="23"/>
  <c r="BJ157" i="23"/>
  <c r="BK157" i="23"/>
  <c r="BF157" i="23"/>
  <c r="BH157" i="23"/>
  <c r="BG157" i="23"/>
  <c r="BU265" i="23"/>
  <c r="BT265" i="23"/>
  <c r="BS265" i="23"/>
  <c r="BQ265" i="23"/>
  <c r="BR265" i="23"/>
  <c r="BP265" i="23"/>
  <c r="BO265" i="23"/>
  <c r="BM265" i="23"/>
  <c r="BN265" i="23"/>
  <c r="BL265" i="23"/>
  <c r="BJ265" i="23"/>
  <c r="BK265" i="23"/>
  <c r="BF265" i="23"/>
  <c r="BH265" i="23"/>
  <c r="BI265" i="23"/>
  <c r="BG265" i="23"/>
  <c r="BU183" i="23"/>
  <c r="BT183" i="23"/>
  <c r="BS183" i="23"/>
  <c r="BR183" i="23"/>
  <c r="BQ183" i="23"/>
  <c r="BO183" i="23"/>
  <c r="BP183" i="23"/>
  <c r="BL183" i="23"/>
  <c r="BM183" i="23"/>
  <c r="BN183" i="23"/>
  <c r="BK183" i="23"/>
  <c r="BI183" i="23"/>
  <c r="BJ183" i="23"/>
  <c r="BH183" i="23"/>
  <c r="BG183" i="23"/>
  <c r="BF183" i="23"/>
  <c r="BT125" i="23"/>
  <c r="BU125" i="23"/>
  <c r="BS125" i="23"/>
  <c r="BR125" i="23"/>
  <c r="BQ125" i="23"/>
  <c r="BP125" i="23"/>
  <c r="BO125" i="23"/>
  <c r="BM125" i="23"/>
  <c r="BN125" i="23"/>
  <c r="BL125" i="23"/>
  <c r="BI125" i="23"/>
  <c r="BJ125" i="23"/>
  <c r="BK125" i="23"/>
  <c r="BF125" i="23"/>
  <c r="BH125" i="23"/>
  <c r="BG125" i="23"/>
  <c r="BU408" i="23"/>
  <c r="BT408" i="23"/>
  <c r="BS408" i="23"/>
  <c r="BQ408" i="23"/>
  <c r="BR408" i="23"/>
  <c r="BP408" i="23"/>
  <c r="BN408" i="23"/>
  <c r="BO408" i="23"/>
  <c r="BM408" i="23"/>
  <c r="BJ408" i="23"/>
  <c r="BK408" i="23"/>
  <c r="BL408" i="23"/>
  <c r="BH408" i="23"/>
  <c r="BG408" i="23"/>
  <c r="BI408" i="23"/>
  <c r="BF408" i="23"/>
  <c r="BU131" i="23"/>
  <c r="BT131" i="23"/>
  <c r="BS131" i="23"/>
  <c r="BR131" i="23"/>
  <c r="BQ131" i="23"/>
  <c r="BO131" i="23"/>
  <c r="BP131" i="23"/>
  <c r="BL131" i="23"/>
  <c r="BM131" i="23"/>
  <c r="BN131" i="23"/>
  <c r="BK131" i="23"/>
  <c r="BI131" i="23"/>
  <c r="BJ131" i="23"/>
  <c r="BH131" i="23"/>
  <c r="BG131" i="23"/>
  <c r="BF131" i="23"/>
  <c r="BU158" i="23"/>
  <c r="BS158" i="23"/>
  <c r="BT158" i="23"/>
  <c r="BR158" i="23"/>
  <c r="BQ158" i="23"/>
  <c r="BO158" i="23"/>
  <c r="BP158" i="23"/>
  <c r="BL158" i="23"/>
  <c r="BM158" i="23"/>
  <c r="BN158" i="23"/>
  <c r="BI158" i="23"/>
  <c r="BJ158" i="23"/>
  <c r="BK158" i="23"/>
  <c r="BG158" i="23"/>
  <c r="BF158" i="23"/>
  <c r="BH158" i="23"/>
  <c r="BU311" i="23"/>
  <c r="BT311" i="23"/>
  <c r="BS311" i="23"/>
  <c r="BR311" i="23"/>
  <c r="BQ311" i="23"/>
  <c r="BO311" i="23"/>
  <c r="BP311" i="23"/>
  <c r="BL311" i="23"/>
  <c r="BM311" i="23"/>
  <c r="BN311" i="23"/>
  <c r="BK311" i="23"/>
  <c r="BI311" i="23"/>
  <c r="BJ311" i="23"/>
  <c r="BH311" i="23"/>
  <c r="BG311" i="23"/>
  <c r="BF311" i="23"/>
  <c r="BU122" i="23"/>
  <c r="BT122" i="23"/>
  <c r="BS122" i="23"/>
  <c r="BR122" i="23"/>
  <c r="BQ122" i="23"/>
  <c r="BO122" i="23"/>
  <c r="BP122" i="23"/>
  <c r="BL122" i="23"/>
  <c r="BM122" i="23"/>
  <c r="BN122" i="23"/>
  <c r="BI122" i="23"/>
  <c r="BJ122" i="23"/>
  <c r="BK122" i="23"/>
  <c r="BG122" i="23"/>
  <c r="BF122" i="23"/>
  <c r="BH122" i="23"/>
  <c r="BU27" i="23"/>
  <c r="BT27" i="23"/>
  <c r="BS27" i="23"/>
  <c r="BR27" i="23"/>
  <c r="BP27" i="23"/>
  <c r="BQ27" i="23"/>
  <c r="BO27" i="23"/>
  <c r="BL27" i="23"/>
  <c r="BM27" i="23"/>
  <c r="BN27" i="23"/>
  <c r="BK27" i="23"/>
  <c r="BI27" i="23"/>
  <c r="BJ27" i="23"/>
  <c r="BH27" i="23"/>
  <c r="BG27" i="23"/>
  <c r="BF27" i="23"/>
  <c r="BU410" i="23"/>
  <c r="BS410" i="23"/>
  <c r="BT410" i="23"/>
  <c r="BQ410" i="23"/>
  <c r="BR410" i="23"/>
  <c r="BP410" i="23"/>
  <c r="BM410" i="23"/>
  <c r="BN410" i="23"/>
  <c r="BO410" i="23"/>
  <c r="BL410" i="23"/>
  <c r="BJ410" i="23"/>
  <c r="BK410" i="23"/>
  <c r="BG410" i="23"/>
  <c r="BI410" i="23"/>
  <c r="BH410" i="23"/>
  <c r="BF410" i="23"/>
  <c r="BU146" i="23"/>
  <c r="BT146" i="23"/>
  <c r="BS146" i="23"/>
  <c r="BR146" i="23"/>
  <c r="BQ146" i="23"/>
  <c r="BO146" i="23"/>
  <c r="BP146" i="23"/>
  <c r="BL146" i="23"/>
  <c r="BM146" i="23"/>
  <c r="BN146" i="23"/>
  <c r="BI146" i="23"/>
  <c r="BJ146" i="23"/>
  <c r="BK146" i="23"/>
  <c r="BG146" i="23"/>
  <c r="BF146" i="23"/>
  <c r="BH146" i="23"/>
  <c r="BU43" i="23"/>
  <c r="BT43" i="23"/>
  <c r="BS43" i="23"/>
  <c r="BR43" i="23"/>
  <c r="BP43" i="23"/>
  <c r="BQ43" i="23"/>
  <c r="BO43" i="23"/>
  <c r="BL43" i="23"/>
  <c r="BM43" i="23"/>
  <c r="BN43" i="23"/>
  <c r="BK43" i="23"/>
  <c r="BI43" i="23"/>
  <c r="BJ43" i="23"/>
  <c r="BH43" i="23"/>
  <c r="BG43" i="23"/>
  <c r="BF43" i="23"/>
  <c r="BU165" i="23"/>
  <c r="BT165" i="23"/>
  <c r="BS165" i="23"/>
  <c r="BQ165" i="23"/>
  <c r="BR165" i="23"/>
  <c r="BP165" i="23"/>
  <c r="BO165" i="23"/>
  <c r="BM165" i="23"/>
  <c r="BN165" i="23"/>
  <c r="BL165" i="23"/>
  <c r="BI165" i="23"/>
  <c r="BJ165" i="23"/>
  <c r="BK165" i="23"/>
  <c r="BF165" i="23"/>
  <c r="BH165" i="23"/>
  <c r="BG165" i="23"/>
  <c r="BU22" i="23"/>
  <c r="BS22" i="23"/>
  <c r="BT22" i="23"/>
  <c r="BR22" i="23"/>
  <c r="BP22" i="23"/>
  <c r="BQ22" i="23"/>
  <c r="BO22" i="23"/>
  <c r="BL22" i="23"/>
  <c r="BM22" i="23"/>
  <c r="BN22" i="23"/>
  <c r="BI22" i="23"/>
  <c r="BJ22" i="23"/>
  <c r="BK22" i="23"/>
  <c r="BG22" i="23"/>
  <c r="BF22" i="23"/>
  <c r="BH22" i="23"/>
  <c r="BU96" i="23"/>
  <c r="BT96" i="23"/>
  <c r="BS96" i="23"/>
  <c r="BR96" i="23"/>
  <c r="BQ96" i="23"/>
  <c r="BO96" i="23"/>
  <c r="BP96" i="23"/>
  <c r="BN96" i="23"/>
  <c r="BL96" i="23"/>
  <c r="BM96" i="23"/>
  <c r="BJ96" i="23"/>
  <c r="BK96" i="23"/>
  <c r="BI96" i="23"/>
  <c r="BF96" i="23"/>
  <c r="BH96" i="23"/>
  <c r="BG96" i="23"/>
  <c r="BU112" i="23"/>
  <c r="BT112" i="23"/>
  <c r="BS112" i="23"/>
  <c r="BR112" i="23"/>
  <c r="BQ112" i="23"/>
  <c r="BO112" i="23"/>
  <c r="BP112" i="23"/>
  <c r="BN112" i="23"/>
  <c r="BL112" i="23"/>
  <c r="BM112" i="23"/>
  <c r="BJ112" i="23"/>
  <c r="BK112" i="23"/>
  <c r="BI112" i="23"/>
  <c r="BF112" i="23"/>
  <c r="BH112" i="23"/>
  <c r="BG112" i="23"/>
  <c r="BU396" i="23"/>
  <c r="BS396" i="23"/>
  <c r="BT396" i="23"/>
  <c r="BQ396" i="23"/>
  <c r="BR396" i="23"/>
  <c r="BP396" i="23"/>
  <c r="BN396" i="23"/>
  <c r="BO396" i="23"/>
  <c r="BM396" i="23"/>
  <c r="BJ396" i="23"/>
  <c r="BK396" i="23"/>
  <c r="BL396" i="23"/>
  <c r="BI396" i="23"/>
  <c r="BH396" i="23"/>
  <c r="BG396" i="23"/>
  <c r="BF396" i="23"/>
  <c r="BU238" i="23"/>
  <c r="BS238" i="23"/>
  <c r="BR238" i="23"/>
  <c r="BT238" i="23"/>
  <c r="BQ238" i="23"/>
  <c r="BO238" i="23"/>
  <c r="BP238" i="23"/>
  <c r="BL238" i="23"/>
  <c r="BM238" i="23"/>
  <c r="BN238" i="23"/>
  <c r="BI238" i="23"/>
  <c r="BJ238" i="23"/>
  <c r="BK238" i="23"/>
  <c r="BG238" i="23"/>
  <c r="BF238" i="23"/>
  <c r="BH238" i="23"/>
  <c r="BT399" i="23"/>
  <c r="BU399" i="23"/>
  <c r="BS399" i="23"/>
  <c r="BR399" i="23"/>
  <c r="BQ399" i="23"/>
  <c r="BP399" i="23"/>
  <c r="BO399" i="23"/>
  <c r="BM399" i="23"/>
  <c r="BN399" i="23"/>
  <c r="BK399" i="23"/>
  <c r="BL399" i="23"/>
  <c r="BI399" i="23"/>
  <c r="BJ399" i="23"/>
  <c r="BH399" i="23"/>
  <c r="BG399" i="23"/>
  <c r="BF399" i="23"/>
  <c r="BU400" i="23"/>
  <c r="BT400" i="23"/>
  <c r="BS400" i="23"/>
  <c r="BQ400" i="23"/>
  <c r="BR400" i="23"/>
  <c r="BP400" i="23"/>
  <c r="BN400" i="23"/>
  <c r="BO400" i="23"/>
  <c r="BM400" i="23"/>
  <c r="BJ400" i="23"/>
  <c r="BK400" i="23"/>
  <c r="BL400" i="23"/>
  <c r="BI400" i="23"/>
  <c r="BH400" i="23"/>
  <c r="BG400" i="23"/>
  <c r="BF400" i="23"/>
  <c r="BU19" i="23"/>
  <c r="BT19" i="23"/>
  <c r="BR19" i="23"/>
  <c r="BS19" i="23"/>
  <c r="BP19" i="23"/>
  <c r="BQ19" i="23"/>
  <c r="BO19" i="23"/>
  <c r="BL19" i="23"/>
  <c r="BM19" i="23"/>
  <c r="BN19" i="23"/>
  <c r="BK19" i="23"/>
  <c r="BI19" i="23"/>
  <c r="BJ19" i="23"/>
  <c r="BH19" i="23"/>
  <c r="BG19" i="23"/>
  <c r="BF19" i="23"/>
  <c r="BT417" i="23"/>
  <c r="BU417" i="23"/>
  <c r="BS417" i="23"/>
  <c r="BQ417" i="23"/>
  <c r="BR417" i="23"/>
  <c r="BP417" i="23"/>
  <c r="BM417" i="23"/>
  <c r="BN417" i="23"/>
  <c r="BO417" i="23"/>
  <c r="BJ417" i="23"/>
  <c r="BK417" i="23"/>
  <c r="BL417" i="23"/>
  <c r="BI417" i="23"/>
  <c r="BH417" i="23"/>
  <c r="BG417" i="23"/>
  <c r="BF417" i="23"/>
  <c r="BU439" i="23"/>
  <c r="BT439" i="23"/>
  <c r="BS439" i="23"/>
  <c r="BR439" i="23"/>
  <c r="BQ439" i="23"/>
  <c r="BP439" i="23"/>
  <c r="BO439" i="23"/>
  <c r="BM439" i="23"/>
  <c r="BN439" i="23"/>
  <c r="BK439" i="23"/>
  <c r="BL439" i="23"/>
  <c r="BJ439" i="23"/>
  <c r="BH439" i="23"/>
  <c r="BG439" i="23"/>
  <c r="BI439" i="23"/>
  <c r="BF439" i="23"/>
  <c r="BU182" i="23"/>
  <c r="BT182" i="23"/>
  <c r="BS182" i="23"/>
  <c r="BR182" i="23"/>
  <c r="BQ182" i="23"/>
  <c r="BO182" i="23"/>
  <c r="BP182" i="23"/>
  <c r="BL182" i="23"/>
  <c r="BM182" i="23"/>
  <c r="BN182" i="23"/>
  <c r="BI182" i="23"/>
  <c r="BJ182" i="23"/>
  <c r="BK182" i="23"/>
  <c r="BG182" i="23"/>
  <c r="BF182" i="23"/>
  <c r="BH182" i="23"/>
  <c r="BU279" i="23"/>
  <c r="BT279" i="23"/>
  <c r="BS279" i="23"/>
  <c r="BR279" i="23"/>
  <c r="BQ279" i="23"/>
  <c r="BO279" i="23"/>
  <c r="BP279" i="23"/>
  <c r="BL279" i="23"/>
  <c r="BM279" i="23"/>
  <c r="BN279" i="23"/>
  <c r="BK279" i="23"/>
  <c r="BI279" i="23"/>
  <c r="BJ279" i="23"/>
  <c r="BH279" i="23"/>
  <c r="BG279" i="23"/>
  <c r="BF279" i="23"/>
  <c r="BU438" i="23"/>
  <c r="BT438" i="23"/>
  <c r="BS438" i="23"/>
  <c r="BQ438" i="23"/>
  <c r="BR438" i="23"/>
  <c r="BP438" i="23"/>
  <c r="BM438" i="23"/>
  <c r="BN438" i="23"/>
  <c r="BO438" i="23"/>
  <c r="BL438" i="23"/>
  <c r="BJ438" i="23"/>
  <c r="BK438" i="23"/>
  <c r="BG438" i="23"/>
  <c r="BI438" i="23"/>
  <c r="BH438" i="23"/>
  <c r="BF438" i="23"/>
  <c r="BR58" i="23"/>
  <c r="BU340" i="23"/>
  <c r="BS340" i="23"/>
  <c r="BT340" i="23"/>
  <c r="BQ340" i="23"/>
  <c r="BR340" i="23"/>
  <c r="BO340" i="23"/>
  <c r="BP340" i="23"/>
  <c r="BN340" i="23"/>
  <c r="BL340" i="23"/>
  <c r="BM340" i="23"/>
  <c r="BJ340" i="23"/>
  <c r="BK340" i="23"/>
  <c r="BI340" i="23"/>
  <c r="BH340" i="23"/>
  <c r="BG340" i="23"/>
  <c r="BF340" i="23"/>
  <c r="BU277" i="23"/>
  <c r="BT277" i="23"/>
  <c r="BS277" i="23"/>
  <c r="BQ277" i="23"/>
  <c r="BR277" i="23"/>
  <c r="BP277" i="23"/>
  <c r="BO277" i="23"/>
  <c r="BM277" i="23"/>
  <c r="BN277" i="23"/>
  <c r="BL277" i="23"/>
  <c r="BJ277" i="23"/>
  <c r="BK277" i="23"/>
  <c r="BF277" i="23"/>
  <c r="BI277" i="23"/>
  <c r="BH277" i="23"/>
  <c r="BG277" i="23"/>
  <c r="BU273" i="23"/>
  <c r="BT273" i="23"/>
  <c r="BS273" i="23"/>
  <c r="BR273" i="23"/>
  <c r="BQ273" i="23"/>
  <c r="BP273" i="23"/>
  <c r="BO273" i="23"/>
  <c r="BM273" i="23"/>
  <c r="BN273" i="23"/>
  <c r="BL273" i="23"/>
  <c r="BJ273" i="23"/>
  <c r="BK273" i="23"/>
  <c r="BI273" i="23"/>
  <c r="BF273" i="23"/>
  <c r="BH273" i="23"/>
  <c r="BG273" i="23"/>
  <c r="BT260" i="23"/>
  <c r="BU260" i="23"/>
  <c r="BS260" i="23"/>
  <c r="BR260" i="23"/>
  <c r="BQ260" i="23"/>
  <c r="BO260" i="23"/>
  <c r="BP260" i="23"/>
  <c r="BN260" i="23"/>
  <c r="BL260" i="23"/>
  <c r="BM260" i="23"/>
  <c r="BJ260" i="23"/>
  <c r="BK260" i="23"/>
  <c r="BI260" i="23"/>
  <c r="BH260" i="23"/>
  <c r="BG260" i="23"/>
  <c r="BF260" i="23"/>
  <c r="BU187" i="23"/>
  <c r="BT187" i="23"/>
  <c r="BS187" i="23"/>
  <c r="BR187" i="23"/>
  <c r="BQ187" i="23"/>
  <c r="BO187" i="23"/>
  <c r="BP187" i="23"/>
  <c r="BL187" i="23"/>
  <c r="BM187" i="23"/>
  <c r="BN187" i="23"/>
  <c r="BK187" i="23"/>
  <c r="BI187" i="23"/>
  <c r="BJ187" i="23"/>
  <c r="BH187" i="23"/>
  <c r="BG187" i="23"/>
  <c r="BF187" i="23"/>
  <c r="BU155" i="23"/>
  <c r="BT155" i="23"/>
  <c r="BS155" i="23"/>
  <c r="BR155" i="23"/>
  <c r="BQ155" i="23"/>
  <c r="BO155" i="23"/>
  <c r="BP155" i="23"/>
  <c r="BL155" i="23"/>
  <c r="BM155" i="23"/>
  <c r="BN155" i="23"/>
  <c r="BK155" i="23"/>
  <c r="BI155" i="23"/>
  <c r="BJ155" i="23"/>
  <c r="BH155" i="23"/>
  <c r="BG155" i="23"/>
  <c r="BF155" i="23"/>
  <c r="BU68" i="23"/>
  <c r="BT68" i="23"/>
  <c r="BS68" i="23"/>
  <c r="BR68" i="23"/>
  <c r="BQ68" i="23"/>
  <c r="BO68" i="23"/>
  <c r="BP68" i="23"/>
  <c r="BN68" i="23"/>
  <c r="BL68" i="23"/>
  <c r="BM68" i="23"/>
  <c r="BJ68" i="23"/>
  <c r="BK68" i="23"/>
  <c r="BI68" i="23"/>
  <c r="BF68" i="23"/>
  <c r="BH68" i="23"/>
  <c r="BG68" i="23"/>
  <c r="BU137" i="23"/>
  <c r="BT137" i="23"/>
  <c r="BR137" i="23"/>
  <c r="BS137" i="23"/>
  <c r="BQ137" i="23"/>
  <c r="BP137" i="23"/>
  <c r="BO137" i="23"/>
  <c r="BM137" i="23"/>
  <c r="BN137" i="23"/>
  <c r="BL137" i="23"/>
  <c r="BI137" i="23"/>
  <c r="BJ137" i="23"/>
  <c r="BK137" i="23"/>
  <c r="BF137" i="23"/>
  <c r="BH137" i="23"/>
  <c r="BG137" i="23"/>
  <c r="BU219" i="23"/>
  <c r="BT219" i="23"/>
  <c r="BS219" i="23"/>
  <c r="BR219" i="23"/>
  <c r="BQ219" i="23"/>
  <c r="BO219" i="23"/>
  <c r="BP219" i="23"/>
  <c r="BL219" i="23"/>
  <c r="BM219" i="23"/>
  <c r="BN219" i="23"/>
  <c r="BK219" i="23"/>
  <c r="BI219" i="23"/>
  <c r="BJ219" i="23"/>
  <c r="BH219" i="23"/>
  <c r="BG219" i="23"/>
  <c r="BF219" i="23"/>
  <c r="BU423" i="23"/>
  <c r="BT423" i="23"/>
  <c r="BS423" i="23"/>
  <c r="BR423" i="23"/>
  <c r="BQ423" i="23"/>
  <c r="BP423" i="23"/>
  <c r="BO423" i="23"/>
  <c r="BM423" i="23"/>
  <c r="BN423" i="23"/>
  <c r="BK423" i="23"/>
  <c r="BL423" i="23"/>
  <c r="BJ423" i="23"/>
  <c r="BH423" i="23"/>
  <c r="BG423" i="23"/>
  <c r="BI423" i="23"/>
  <c r="BF423" i="23"/>
  <c r="BU299" i="23"/>
  <c r="BT299" i="23"/>
  <c r="BS299" i="23"/>
  <c r="BR299" i="23"/>
  <c r="BQ299" i="23"/>
  <c r="BO299" i="23"/>
  <c r="BP299" i="23"/>
  <c r="BL299" i="23"/>
  <c r="BM299" i="23"/>
  <c r="BN299" i="23"/>
  <c r="BK299" i="23"/>
  <c r="BI299" i="23"/>
  <c r="BJ299" i="23"/>
  <c r="BH299" i="23"/>
  <c r="BG299" i="23"/>
  <c r="BF299" i="23"/>
  <c r="BS58" i="23"/>
  <c r="BL58" i="23"/>
  <c r="BJ58" i="23"/>
  <c r="BH58" i="23"/>
  <c r="BU108" i="23"/>
  <c r="BT108" i="23"/>
  <c r="BS108" i="23"/>
  <c r="BR108" i="23"/>
  <c r="BQ108" i="23"/>
  <c r="BO108" i="23"/>
  <c r="BP108" i="23"/>
  <c r="BN108" i="23"/>
  <c r="BL108" i="23"/>
  <c r="BM108" i="23"/>
  <c r="BJ108" i="23"/>
  <c r="BK108" i="23"/>
  <c r="BI108" i="23"/>
  <c r="BF108" i="23"/>
  <c r="BH108" i="23"/>
  <c r="BG108" i="23"/>
  <c r="BU283" i="23"/>
  <c r="BT283" i="23"/>
  <c r="BS283" i="23"/>
  <c r="BR283" i="23"/>
  <c r="BQ283" i="23"/>
  <c r="BO283" i="23"/>
  <c r="BP283" i="23"/>
  <c r="BL283" i="23"/>
  <c r="BM283" i="23"/>
  <c r="BN283" i="23"/>
  <c r="BK283" i="23"/>
  <c r="BI283" i="23"/>
  <c r="BJ283" i="23"/>
  <c r="BH283" i="23"/>
  <c r="BG283" i="23"/>
  <c r="BF283" i="23"/>
  <c r="BU395" i="23"/>
  <c r="BT395" i="23"/>
  <c r="BS395" i="23"/>
  <c r="BR395" i="23"/>
  <c r="BQ395" i="23"/>
  <c r="BP395" i="23"/>
  <c r="BO395" i="23"/>
  <c r="BM395" i="23"/>
  <c r="BN395" i="23"/>
  <c r="BK395" i="23"/>
  <c r="BL395" i="23"/>
  <c r="BI395" i="23"/>
  <c r="BJ395" i="23"/>
  <c r="BH395" i="23"/>
  <c r="BG395" i="23"/>
  <c r="BF395" i="23"/>
  <c r="BU286" i="23"/>
  <c r="BS286" i="23"/>
  <c r="BT286" i="23"/>
  <c r="BR286" i="23"/>
  <c r="BQ286" i="23"/>
  <c r="BP286" i="23"/>
  <c r="BO286" i="23"/>
  <c r="BL286" i="23"/>
  <c r="BM286" i="23"/>
  <c r="BN286" i="23"/>
  <c r="BI286" i="23"/>
  <c r="BJ286" i="23"/>
  <c r="BK286" i="23"/>
  <c r="BG286" i="23"/>
  <c r="BF286" i="23"/>
  <c r="BH286" i="23"/>
  <c r="BU41" i="23"/>
  <c r="BT41" i="23"/>
  <c r="BS41" i="23"/>
  <c r="BR41" i="23"/>
  <c r="BQ41" i="23"/>
  <c r="BP41" i="23"/>
  <c r="BO41" i="23"/>
  <c r="BM41" i="23"/>
  <c r="BN41" i="23"/>
  <c r="BL41" i="23"/>
  <c r="BI41" i="23"/>
  <c r="BJ41" i="23"/>
  <c r="BK41" i="23"/>
  <c r="BF41" i="23"/>
  <c r="BH41" i="23"/>
  <c r="BG41" i="23"/>
  <c r="BU166" i="23"/>
  <c r="BT166" i="23"/>
  <c r="BS166" i="23"/>
  <c r="BR166" i="23"/>
  <c r="BQ166" i="23"/>
  <c r="BO166" i="23"/>
  <c r="BP166" i="23"/>
  <c r="BL166" i="23"/>
  <c r="BM166" i="23"/>
  <c r="BN166" i="23"/>
  <c r="BI166" i="23"/>
  <c r="BJ166" i="23"/>
  <c r="BK166" i="23"/>
  <c r="BG166" i="23"/>
  <c r="BF166" i="23"/>
  <c r="BH166" i="23"/>
  <c r="BT232" i="23"/>
  <c r="BS232" i="23"/>
  <c r="BU232" i="23"/>
  <c r="BR232" i="23"/>
  <c r="BQ232" i="23"/>
  <c r="BO232" i="23"/>
  <c r="BP232" i="23"/>
  <c r="BN232" i="23"/>
  <c r="BL232" i="23"/>
  <c r="BM232" i="23"/>
  <c r="BJ232" i="23"/>
  <c r="BK232" i="23"/>
  <c r="BI232" i="23"/>
  <c r="BH232" i="23"/>
  <c r="BG232" i="23"/>
  <c r="BF232" i="23"/>
  <c r="BT264" i="23"/>
  <c r="BU264" i="23"/>
  <c r="BS264" i="23"/>
  <c r="BR264" i="23"/>
  <c r="BQ264" i="23"/>
  <c r="BO264" i="23"/>
  <c r="BP264" i="23"/>
  <c r="BN264" i="23"/>
  <c r="BL264" i="23"/>
  <c r="BM264" i="23"/>
  <c r="BJ264" i="23"/>
  <c r="BK264" i="23"/>
  <c r="BI264" i="23"/>
  <c r="BH264" i="23"/>
  <c r="BG264" i="23"/>
  <c r="BF264" i="23"/>
  <c r="BU420" i="23"/>
  <c r="BS420" i="23"/>
  <c r="BT420" i="23"/>
  <c r="BR420" i="23"/>
  <c r="BQ420" i="23"/>
  <c r="BP420" i="23"/>
  <c r="BN420" i="23"/>
  <c r="BO420" i="23"/>
  <c r="BM420" i="23"/>
  <c r="BJ420" i="23"/>
  <c r="BK420" i="23"/>
  <c r="BL420" i="23"/>
  <c r="BH420" i="23"/>
  <c r="BG420" i="23"/>
  <c r="BI420" i="23"/>
  <c r="BF420" i="23"/>
  <c r="BT449" i="23"/>
  <c r="BU449" i="23"/>
  <c r="BS449" i="23"/>
  <c r="BQ449" i="23"/>
  <c r="BR449" i="23"/>
  <c r="BP449" i="23"/>
  <c r="BM449" i="23"/>
  <c r="BN449" i="23"/>
  <c r="BO449" i="23"/>
  <c r="BJ449" i="23"/>
  <c r="BK449" i="23"/>
  <c r="BL449" i="23"/>
  <c r="BI449" i="23"/>
  <c r="BH449" i="23"/>
  <c r="BG449" i="23"/>
  <c r="BF449" i="23"/>
  <c r="BU234" i="23"/>
  <c r="BT234" i="23"/>
  <c r="BS234" i="23"/>
  <c r="BR234" i="23"/>
  <c r="BQ234" i="23"/>
  <c r="BO234" i="23"/>
  <c r="BP234" i="23"/>
  <c r="BL234" i="23"/>
  <c r="BM234" i="23"/>
  <c r="BN234" i="23"/>
  <c r="BI234" i="23"/>
  <c r="BJ234" i="23"/>
  <c r="BK234" i="23"/>
  <c r="BG234" i="23"/>
  <c r="BF234" i="23"/>
  <c r="BH234" i="23"/>
  <c r="BU111" i="23"/>
  <c r="BT111" i="23"/>
  <c r="BS111" i="23"/>
  <c r="BR111" i="23"/>
  <c r="BQ111" i="23"/>
  <c r="BO111" i="23"/>
  <c r="BP111" i="23"/>
  <c r="BL111" i="23"/>
  <c r="BM111" i="23"/>
  <c r="BN111" i="23"/>
  <c r="BK111" i="23"/>
  <c r="BI111" i="23"/>
  <c r="BJ111" i="23"/>
  <c r="BH111" i="23"/>
  <c r="BG111" i="23"/>
  <c r="BF111" i="23"/>
  <c r="BU171" i="23"/>
  <c r="BT171" i="23"/>
  <c r="BS171" i="23"/>
  <c r="BR171" i="23"/>
  <c r="BQ171" i="23"/>
  <c r="BO171" i="23"/>
  <c r="BP171" i="23"/>
  <c r="BL171" i="23"/>
  <c r="BM171" i="23"/>
  <c r="BN171" i="23"/>
  <c r="BK171" i="23"/>
  <c r="BI171" i="23"/>
  <c r="BJ171" i="23"/>
  <c r="BH171" i="23"/>
  <c r="BG171" i="23"/>
  <c r="BF171" i="23"/>
  <c r="BT184" i="23"/>
  <c r="BU184" i="23"/>
  <c r="BS184" i="23"/>
  <c r="BR184" i="23"/>
  <c r="BQ184" i="23"/>
  <c r="BO184" i="23"/>
  <c r="BP184" i="23"/>
  <c r="BN184" i="23"/>
  <c r="BL184" i="23"/>
  <c r="BM184" i="23"/>
  <c r="BJ184" i="23"/>
  <c r="BK184" i="23"/>
  <c r="BI184" i="23"/>
  <c r="BF184" i="23"/>
  <c r="BH184" i="23"/>
  <c r="BG184" i="23"/>
  <c r="BU355" i="23"/>
  <c r="BT355" i="23"/>
  <c r="BS355" i="23"/>
  <c r="BR355" i="23"/>
  <c r="BQ355" i="23"/>
  <c r="BP355" i="23"/>
  <c r="BO355" i="23"/>
  <c r="BL355" i="23"/>
  <c r="BM355" i="23"/>
  <c r="BN355" i="23"/>
  <c r="BK355" i="23"/>
  <c r="BI355" i="23"/>
  <c r="BJ355" i="23"/>
  <c r="BH355" i="23"/>
  <c r="BG355" i="23"/>
  <c r="BF355" i="23"/>
  <c r="BU359" i="23"/>
  <c r="BT359" i="23"/>
  <c r="BS359" i="23"/>
  <c r="BR359" i="23"/>
  <c r="BQ359" i="23"/>
  <c r="BP359" i="23"/>
  <c r="BO359" i="23"/>
  <c r="BL359" i="23"/>
  <c r="BM359" i="23"/>
  <c r="BN359" i="23"/>
  <c r="BK359" i="23"/>
  <c r="BI359" i="23"/>
  <c r="BJ359" i="23"/>
  <c r="BH359" i="23"/>
  <c r="BG359" i="23"/>
  <c r="BF359" i="23"/>
  <c r="BU133" i="23"/>
  <c r="BT133" i="23"/>
  <c r="BS133" i="23"/>
  <c r="BR133" i="23"/>
  <c r="BQ133" i="23"/>
  <c r="BP133" i="23"/>
  <c r="BO133" i="23"/>
  <c r="BM133" i="23"/>
  <c r="BN133" i="23"/>
  <c r="BL133" i="23"/>
  <c r="BI133" i="23"/>
  <c r="BJ133" i="23"/>
  <c r="BK133" i="23"/>
  <c r="BF133" i="23"/>
  <c r="BH133" i="23"/>
  <c r="BG133" i="23"/>
  <c r="BU208" i="23"/>
  <c r="BT208" i="23"/>
  <c r="BS208" i="23"/>
  <c r="BR208" i="23"/>
  <c r="BQ208" i="23"/>
  <c r="BO208" i="23"/>
  <c r="BP208" i="23"/>
  <c r="BN208" i="23"/>
  <c r="BL208" i="23"/>
  <c r="BM208" i="23"/>
  <c r="BJ208" i="23"/>
  <c r="BK208" i="23"/>
  <c r="BI208" i="23"/>
  <c r="BH208" i="23"/>
  <c r="BG208" i="23"/>
  <c r="BF208" i="23"/>
  <c r="BU120" i="23"/>
  <c r="BT120" i="23"/>
  <c r="BS120" i="23"/>
  <c r="BR120" i="23"/>
  <c r="BQ120" i="23"/>
  <c r="BO120" i="23"/>
  <c r="BP120" i="23"/>
  <c r="BN120" i="23"/>
  <c r="BL120" i="23"/>
  <c r="BM120" i="23"/>
  <c r="BJ120" i="23"/>
  <c r="BK120" i="23"/>
  <c r="BI120" i="23"/>
  <c r="BF120" i="23"/>
  <c r="BH120" i="23"/>
  <c r="BG120" i="23"/>
  <c r="BU33" i="23"/>
  <c r="BT33" i="23"/>
  <c r="BR33" i="23"/>
  <c r="BS33" i="23"/>
  <c r="BQ33" i="23"/>
  <c r="BP33" i="23"/>
  <c r="BO33" i="23"/>
  <c r="BM33" i="23"/>
  <c r="BN33" i="23"/>
  <c r="BL33" i="23"/>
  <c r="BI33" i="23"/>
  <c r="BJ33" i="23"/>
  <c r="BK33" i="23"/>
  <c r="BF33" i="23"/>
  <c r="BH33" i="23"/>
  <c r="BG33" i="23"/>
  <c r="BT437" i="23"/>
  <c r="BU437" i="23"/>
  <c r="BS437" i="23"/>
  <c r="BQ437" i="23"/>
  <c r="BR437" i="23"/>
  <c r="BP437" i="23"/>
  <c r="BM437" i="23"/>
  <c r="BN437" i="23"/>
  <c r="BO437" i="23"/>
  <c r="BJ437" i="23"/>
  <c r="BK437" i="23"/>
  <c r="BL437" i="23"/>
  <c r="BI437" i="23"/>
  <c r="BH437" i="23"/>
  <c r="BG437" i="23"/>
  <c r="BF437" i="23"/>
  <c r="BT85" i="23"/>
  <c r="BU85" i="23"/>
  <c r="BR85" i="23"/>
  <c r="BS85" i="23"/>
  <c r="BQ85" i="23"/>
  <c r="BP85" i="23"/>
  <c r="BO85" i="23"/>
  <c r="BM85" i="23"/>
  <c r="BN85" i="23"/>
  <c r="BL85" i="23"/>
  <c r="BI85" i="23"/>
  <c r="BJ85" i="23"/>
  <c r="BK85" i="23"/>
  <c r="BF85" i="23"/>
  <c r="BH85" i="23"/>
  <c r="BG85" i="23"/>
  <c r="BT284" i="23"/>
  <c r="BU284" i="23"/>
  <c r="BS284" i="23"/>
  <c r="BR284" i="23"/>
  <c r="BQ284" i="23"/>
  <c r="BO284" i="23"/>
  <c r="BP284" i="23"/>
  <c r="BN284" i="23"/>
  <c r="BL284" i="23"/>
  <c r="BM284" i="23"/>
  <c r="BJ284" i="23"/>
  <c r="BK284" i="23"/>
  <c r="BI284" i="23"/>
  <c r="BH284" i="23"/>
  <c r="BG284" i="23"/>
  <c r="BF284" i="23"/>
  <c r="BU349" i="23"/>
  <c r="BT349" i="23"/>
  <c r="BS349" i="23"/>
  <c r="BQ349" i="23"/>
  <c r="BR349" i="23"/>
  <c r="BP349" i="23"/>
  <c r="BM349" i="23"/>
  <c r="BN349" i="23"/>
  <c r="BO349" i="23"/>
  <c r="BL349" i="23"/>
  <c r="BJ349" i="23"/>
  <c r="BK349" i="23"/>
  <c r="BI349" i="23"/>
  <c r="BF349" i="23"/>
  <c r="BH349" i="23"/>
  <c r="BG349" i="23"/>
  <c r="BU406" i="23"/>
  <c r="BT406" i="23"/>
  <c r="BS406" i="23"/>
  <c r="BQ406" i="23"/>
  <c r="BR406" i="23"/>
  <c r="BP406" i="23"/>
  <c r="BM406" i="23"/>
  <c r="BN406" i="23"/>
  <c r="BO406" i="23"/>
  <c r="BL406" i="23"/>
  <c r="BJ406" i="23"/>
  <c r="BK406" i="23"/>
  <c r="BG406" i="23"/>
  <c r="BI406" i="23"/>
  <c r="BH406" i="23"/>
  <c r="BF406" i="23"/>
  <c r="BU113" i="23"/>
  <c r="BT113" i="23"/>
  <c r="BR113" i="23"/>
  <c r="BS113" i="23"/>
  <c r="BQ113" i="23"/>
  <c r="BP113" i="23"/>
  <c r="BO113" i="23"/>
  <c r="BM113" i="23"/>
  <c r="BN113" i="23"/>
  <c r="BL113" i="23"/>
  <c r="BI113" i="23"/>
  <c r="BJ113" i="23"/>
  <c r="BK113" i="23"/>
  <c r="BF113" i="23"/>
  <c r="BH113" i="23"/>
  <c r="BG113" i="23"/>
  <c r="BU138" i="23"/>
  <c r="BT138" i="23"/>
  <c r="BS138" i="23"/>
  <c r="BR138" i="23"/>
  <c r="BQ138" i="23"/>
  <c r="BO138" i="23"/>
  <c r="BP138" i="23"/>
  <c r="BL138" i="23"/>
  <c r="BM138" i="23"/>
  <c r="BN138" i="23"/>
  <c r="BI138" i="23"/>
  <c r="BJ138" i="23"/>
  <c r="BK138" i="23"/>
  <c r="BG138" i="23"/>
  <c r="BF138" i="23"/>
  <c r="BH138" i="23"/>
  <c r="BU129" i="23"/>
  <c r="BT129" i="23"/>
  <c r="BR129" i="23"/>
  <c r="BS129" i="23"/>
  <c r="BQ129" i="23"/>
  <c r="BP129" i="23"/>
  <c r="BO129" i="23"/>
  <c r="BM129" i="23"/>
  <c r="BN129" i="23"/>
  <c r="BL129" i="23"/>
  <c r="BI129" i="23"/>
  <c r="BJ129" i="23"/>
  <c r="BK129" i="23"/>
  <c r="BF129" i="23"/>
  <c r="BH129" i="23"/>
  <c r="BG129" i="23"/>
  <c r="BU313" i="23"/>
  <c r="BT313" i="23"/>
  <c r="BS313" i="23"/>
  <c r="BQ313" i="23"/>
  <c r="BR313" i="23"/>
  <c r="BP313" i="23"/>
  <c r="BO313" i="23"/>
  <c r="BM313" i="23"/>
  <c r="BN313" i="23"/>
  <c r="BL313" i="23"/>
  <c r="BJ313" i="23"/>
  <c r="BK313" i="23"/>
  <c r="BF313" i="23"/>
  <c r="BH313" i="23"/>
  <c r="BI313" i="23"/>
  <c r="BG313" i="23"/>
  <c r="BU156" i="23"/>
  <c r="BT156" i="23"/>
  <c r="BS156" i="23"/>
  <c r="BR156" i="23"/>
  <c r="BQ156" i="23"/>
  <c r="BO156" i="23"/>
  <c r="BP156" i="23"/>
  <c r="BN156" i="23"/>
  <c r="BL156" i="23"/>
  <c r="BM156" i="23"/>
  <c r="BJ156" i="23"/>
  <c r="BK156" i="23"/>
  <c r="BI156" i="23"/>
  <c r="BF156" i="23"/>
  <c r="BH156" i="23"/>
  <c r="BG156" i="23"/>
  <c r="BU199" i="23"/>
  <c r="BT199" i="23"/>
  <c r="BS199" i="23"/>
  <c r="BR199" i="23"/>
  <c r="BQ199" i="23"/>
  <c r="BO199" i="23"/>
  <c r="BP199" i="23"/>
  <c r="BL199" i="23"/>
  <c r="BM199" i="23"/>
  <c r="BN199" i="23"/>
  <c r="BK199" i="23"/>
  <c r="BI199" i="23"/>
  <c r="BJ199" i="23"/>
  <c r="BH199" i="23"/>
  <c r="BG199" i="23"/>
  <c r="BF199" i="23"/>
  <c r="BU191" i="23"/>
  <c r="BT191" i="23"/>
  <c r="BS191" i="23"/>
  <c r="BR191" i="23"/>
  <c r="BQ191" i="23"/>
  <c r="BO191" i="23"/>
  <c r="BP191" i="23"/>
  <c r="BL191" i="23"/>
  <c r="BM191" i="23"/>
  <c r="BN191" i="23"/>
  <c r="BK191" i="23"/>
  <c r="BI191" i="23"/>
  <c r="BJ191" i="23"/>
  <c r="BH191" i="23"/>
  <c r="BG191" i="23"/>
  <c r="BF191" i="23"/>
  <c r="BU48" i="23"/>
  <c r="BT48" i="23"/>
  <c r="BS48" i="23"/>
  <c r="BR48" i="23"/>
  <c r="BQ48" i="23"/>
  <c r="BO48" i="23"/>
  <c r="BP48" i="23"/>
  <c r="BN48" i="23"/>
  <c r="BL48" i="23"/>
  <c r="BM48" i="23"/>
  <c r="BJ48" i="23"/>
  <c r="BK48" i="23"/>
  <c r="BI48" i="23"/>
  <c r="BF48" i="23"/>
  <c r="BH48" i="23"/>
  <c r="BG48" i="23"/>
  <c r="BU287" i="23"/>
  <c r="BT287" i="23"/>
  <c r="BS287" i="23"/>
  <c r="BR287" i="23"/>
  <c r="BQ287" i="23"/>
  <c r="BO287" i="23"/>
  <c r="BP287" i="23"/>
  <c r="BL287" i="23"/>
  <c r="BM287" i="23"/>
  <c r="BN287" i="23"/>
  <c r="BK287" i="23"/>
  <c r="BI287" i="23"/>
  <c r="BJ287" i="23"/>
  <c r="BH287" i="23"/>
  <c r="BG287" i="23"/>
  <c r="BF287" i="23"/>
  <c r="BU26" i="23"/>
  <c r="BT26" i="23"/>
  <c r="BR26" i="23"/>
  <c r="BS26" i="23"/>
  <c r="BP26" i="23"/>
  <c r="BQ26" i="23"/>
  <c r="BO26" i="23"/>
  <c r="BL26" i="23"/>
  <c r="BM26" i="23"/>
  <c r="BN26" i="23"/>
  <c r="BI26" i="23"/>
  <c r="BJ26" i="23"/>
  <c r="BK26" i="23"/>
  <c r="BG26" i="23"/>
  <c r="BF26" i="23"/>
  <c r="BH26" i="23"/>
  <c r="BT168" i="23"/>
  <c r="BS168" i="23"/>
  <c r="BU168" i="23"/>
  <c r="BR168" i="23"/>
  <c r="BQ168" i="23"/>
  <c r="BO168" i="23"/>
  <c r="BP168" i="23"/>
  <c r="BN168" i="23"/>
  <c r="BL168" i="23"/>
  <c r="BM168" i="23"/>
  <c r="BJ168" i="23"/>
  <c r="BK168" i="23"/>
  <c r="BI168" i="23"/>
  <c r="BF168" i="23"/>
  <c r="BH168" i="23"/>
  <c r="BG168" i="23"/>
  <c r="BU222" i="23"/>
  <c r="BS222" i="23"/>
  <c r="BT222" i="23"/>
  <c r="BR222" i="23"/>
  <c r="BQ222" i="23"/>
  <c r="BO222" i="23"/>
  <c r="BP222" i="23"/>
  <c r="BL222" i="23"/>
  <c r="BM222" i="23"/>
  <c r="BN222" i="23"/>
  <c r="BI222" i="23"/>
  <c r="BJ222" i="23"/>
  <c r="BK222" i="23"/>
  <c r="BG222" i="23"/>
  <c r="BF222" i="23"/>
  <c r="BH222" i="23"/>
  <c r="BU246" i="23"/>
  <c r="BT246" i="23"/>
  <c r="BS246" i="23"/>
  <c r="BR246" i="23"/>
  <c r="BQ246" i="23"/>
  <c r="BO246" i="23"/>
  <c r="BP246" i="23"/>
  <c r="BL246" i="23"/>
  <c r="BM246" i="23"/>
  <c r="BN246" i="23"/>
  <c r="BI246" i="23"/>
  <c r="BJ246" i="23"/>
  <c r="BK246" i="23"/>
  <c r="BG246" i="23"/>
  <c r="BF246" i="23"/>
  <c r="BH246" i="23"/>
  <c r="BU62" i="23"/>
  <c r="BS62" i="23"/>
  <c r="BT62" i="23"/>
  <c r="BR62" i="23"/>
  <c r="BQ62" i="23"/>
  <c r="BO62" i="23"/>
  <c r="BP62" i="23"/>
  <c r="BL62" i="23"/>
  <c r="BM62" i="23"/>
  <c r="BN62" i="23"/>
  <c r="BI62" i="23"/>
  <c r="BJ62" i="23"/>
  <c r="BK62" i="23"/>
  <c r="BG62" i="23"/>
  <c r="BF62" i="23"/>
  <c r="BH62" i="23"/>
  <c r="BU347" i="23"/>
  <c r="BT347" i="23"/>
  <c r="BS347" i="23"/>
  <c r="BR347" i="23"/>
  <c r="BQ347" i="23"/>
  <c r="BP347" i="23"/>
  <c r="BO347" i="23"/>
  <c r="BL347" i="23"/>
  <c r="BM347" i="23"/>
  <c r="BN347" i="23"/>
  <c r="BK347" i="23"/>
  <c r="BI347" i="23"/>
  <c r="BJ347" i="23"/>
  <c r="BH347" i="23"/>
  <c r="BG347" i="23"/>
  <c r="BF347" i="23"/>
  <c r="BU23" i="23"/>
  <c r="BT23" i="23"/>
  <c r="BS23" i="23"/>
  <c r="BR23" i="23"/>
  <c r="BP23" i="23"/>
  <c r="BQ23" i="23"/>
  <c r="BO23" i="23"/>
  <c r="BL23" i="23"/>
  <c r="BM23" i="23"/>
  <c r="BN23" i="23"/>
  <c r="BK23" i="23"/>
  <c r="BI23" i="23"/>
  <c r="BJ23" i="23"/>
  <c r="BH23" i="23"/>
  <c r="BG23" i="23"/>
  <c r="BF23" i="23"/>
  <c r="BU114" i="23"/>
  <c r="BT114" i="23"/>
  <c r="BS114" i="23"/>
  <c r="BR114" i="23"/>
  <c r="BQ114" i="23"/>
  <c r="BO114" i="23"/>
  <c r="BP114" i="23"/>
  <c r="BL114" i="23"/>
  <c r="BM114" i="23"/>
  <c r="BN114" i="23"/>
  <c r="BI114" i="23"/>
  <c r="BJ114" i="23"/>
  <c r="BK114" i="23"/>
  <c r="BG114" i="23"/>
  <c r="BF114" i="23"/>
  <c r="BH114" i="23"/>
  <c r="BU319" i="23"/>
  <c r="BT319" i="23"/>
  <c r="BS319" i="23"/>
  <c r="BR319" i="23"/>
  <c r="BQ319" i="23"/>
  <c r="BO319" i="23"/>
  <c r="BP319" i="23"/>
  <c r="BL319" i="23"/>
  <c r="BM319" i="23"/>
  <c r="BN319" i="23"/>
  <c r="BK319" i="23"/>
  <c r="BI319" i="23"/>
  <c r="BJ319" i="23"/>
  <c r="BH319" i="23"/>
  <c r="BG319" i="23"/>
  <c r="BF319" i="23"/>
  <c r="BU30" i="23"/>
  <c r="BS30" i="23"/>
  <c r="BT30" i="23"/>
  <c r="BR30" i="23"/>
  <c r="BP30" i="23"/>
  <c r="BQ30" i="23"/>
  <c r="BO30" i="23"/>
  <c r="BL30" i="23"/>
  <c r="BM30" i="23"/>
  <c r="BN30" i="23"/>
  <c r="BI30" i="23"/>
  <c r="BJ30" i="23"/>
  <c r="BK30" i="23"/>
  <c r="BG30" i="23"/>
  <c r="BF30" i="23"/>
  <c r="BH30" i="23"/>
  <c r="BU381" i="23"/>
  <c r="BT381" i="23"/>
  <c r="BS381" i="23"/>
  <c r="BQ381" i="23"/>
  <c r="BR381" i="23"/>
  <c r="BP381" i="23"/>
  <c r="BM381" i="23"/>
  <c r="BN381" i="23"/>
  <c r="BO381" i="23"/>
  <c r="BJ381" i="23"/>
  <c r="BK381" i="23"/>
  <c r="BL381" i="23"/>
  <c r="BI381" i="23"/>
  <c r="BF381" i="23"/>
  <c r="BH381" i="23"/>
  <c r="BG381" i="23"/>
  <c r="BU186" i="23"/>
  <c r="BT186" i="23"/>
  <c r="BS186" i="23"/>
  <c r="BR186" i="23"/>
  <c r="BQ186" i="23"/>
  <c r="BO186" i="23"/>
  <c r="BP186" i="23"/>
  <c r="BL186" i="23"/>
  <c r="BM186" i="23"/>
  <c r="BN186" i="23"/>
  <c r="BI186" i="23"/>
  <c r="BJ186" i="23"/>
  <c r="BK186" i="23"/>
  <c r="BG186" i="23"/>
  <c r="BF186" i="23"/>
  <c r="BH186" i="23"/>
  <c r="BU229" i="23"/>
  <c r="BT229" i="23"/>
  <c r="BS229" i="23"/>
  <c r="BQ229" i="23"/>
  <c r="BR229" i="23"/>
  <c r="BP229" i="23"/>
  <c r="BO229" i="23"/>
  <c r="BM229" i="23"/>
  <c r="BN229" i="23"/>
  <c r="BL229" i="23"/>
  <c r="BI229" i="23"/>
  <c r="BJ229" i="23"/>
  <c r="BK229" i="23"/>
  <c r="BF229" i="23"/>
  <c r="BH229" i="23"/>
  <c r="BG229" i="23"/>
  <c r="BR351" i="23"/>
  <c r="BL351" i="23"/>
  <c r="BI351" i="23"/>
  <c r="BF351" i="23"/>
  <c r="BU210" i="23"/>
  <c r="BT210" i="23"/>
  <c r="BS210" i="23"/>
  <c r="BR210" i="23"/>
  <c r="BQ210" i="23"/>
  <c r="BO210" i="23"/>
  <c r="BP210" i="23"/>
  <c r="BL210" i="23"/>
  <c r="BM210" i="23"/>
  <c r="BN210" i="23"/>
  <c r="BI210" i="23"/>
  <c r="BJ210" i="23"/>
  <c r="BK210" i="23"/>
  <c r="BG210" i="23"/>
  <c r="BF210" i="23"/>
  <c r="BH210" i="23"/>
  <c r="BU16" i="23"/>
  <c r="BT16" i="23"/>
  <c r="BS16" i="23"/>
  <c r="BR16" i="23"/>
  <c r="BQ16" i="23"/>
  <c r="BP16" i="23"/>
  <c r="BO16" i="23"/>
  <c r="BN16" i="23"/>
  <c r="BL16" i="23"/>
  <c r="BM16" i="23"/>
  <c r="BJ16" i="23"/>
  <c r="BK16" i="23"/>
  <c r="BI16" i="23"/>
  <c r="BF16" i="23"/>
  <c r="BH16" i="23"/>
  <c r="BG16" i="23"/>
  <c r="BU446" i="23"/>
  <c r="BT446" i="23"/>
  <c r="BS446" i="23"/>
  <c r="BQ446" i="23"/>
  <c r="BR446" i="23"/>
  <c r="BP446" i="23"/>
  <c r="BM446" i="23"/>
  <c r="BN446" i="23"/>
  <c r="BO446" i="23"/>
  <c r="BL446" i="23"/>
  <c r="BJ446" i="23"/>
  <c r="BK446" i="23"/>
  <c r="BG446" i="23"/>
  <c r="BI446" i="23"/>
  <c r="BH446" i="23"/>
  <c r="BF446" i="23"/>
  <c r="BU217" i="23"/>
  <c r="BT217" i="23"/>
  <c r="BS217" i="23"/>
  <c r="BR217" i="23"/>
  <c r="BQ217" i="23"/>
  <c r="BP217" i="23"/>
  <c r="BO217" i="23"/>
  <c r="BM217" i="23"/>
  <c r="BN217" i="23"/>
  <c r="BL217" i="23"/>
  <c r="BI217" i="23"/>
  <c r="BJ217" i="23"/>
  <c r="BK217" i="23"/>
  <c r="BF217" i="23"/>
  <c r="BH217" i="23"/>
  <c r="BG217" i="23"/>
  <c r="BU84" i="23"/>
  <c r="BT84" i="23"/>
  <c r="BS84" i="23"/>
  <c r="BR84" i="23"/>
  <c r="BQ84" i="23"/>
  <c r="BO84" i="23"/>
  <c r="BP84" i="23"/>
  <c r="BN84" i="23"/>
  <c r="BL84" i="23"/>
  <c r="BM84" i="23"/>
  <c r="BJ84" i="23"/>
  <c r="BK84" i="23"/>
  <c r="BI84" i="23"/>
  <c r="BF84" i="23"/>
  <c r="BH84" i="23"/>
  <c r="BG84" i="23"/>
  <c r="BT248" i="23"/>
  <c r="BU248" i="23"/>
  <c r="BS248" i="23"/>
  <c r="BR248" i="23"/>
  <c r="BQ248" i="23"/>
  <c r="BO248" i="23"/>
  <c r="BP248" i="23"/>
  <c r="BN248" i="23"/>
  <c r="BL248" i="23"/>
  <c r="BM248" i="23"/>
  <c r="BJ248" i="23"/>
  <c r="BK248" i="23"/>
  <c r="BI248" i="23"/>
  <c r="BH248" i="23"/>
  <c r="BG248" i="23"/>
  <c r="BF248" i="23"/>
  <c r="BU447" i="23"/>
  <c r="BT447" i="23"/>
  <c r="BS447" i="23"/>
  <c r="BR447" i="23"/>
  <c r="BQ447" i="23"/>
  <c r="BP447" i="23"/>
  <c r="BO447" i="23"/>
  <c r="BM447" i="23"/>
  <c r="BN447" i="23"/>
  <c r="BK447" i="23"/>
  <c r="BL447" i="23"/>
  <c r="BJ447" i="23"/>
  <c r="BH447" i="23"/>
  <c r="BG447" i="23"/>
  <c r="BI447" i="23"/>
  <c r="BF447" i="23"/>
  <c r="BU424" i="23"/>
  <c r="BT424" i="23"/>
  <c r="BS424" i="23"/>
  <c r="BR424" i="23"/>
  <c r="BQ424" i="23"/>
  <c r="BP424" i="23"/>
  <c r="BN424" i="23"/>
  <c r="BO424" i="23"/>
  <c r="BM424" i="23"/>
  <c r="BJ424" i="23"/>
  <c r="BK424" i="23"/>
  <c r="BL424" i="23"/>
  <c r="BH424" i="23"/>
  <c r="BG424" i="23"/>
  <c r="BI424" i="23"/>
  <c r="BF424" i="23"/>
  <c r="BU89" i="23"/>
  <c r="BT89" i="23"/>
  <c r="BR89" i="23"/>
  <c r="BS89" i="23"/>
  <c r="BQ89" i="23"/>
  <c r="BP89" i="23"/>
  <c r="BO89" i="23"/>
  <c r="BM89" i="23"/>
  <c r="BN89" i="23"/>
  <c r="BL89" i="23"/>
  <c r="BI89" i="23"/>
  <c r="BJ89" i="23"/>
  <c r="BK89" i="23"/>
  <c r="BF89" i="23"/>
  <c r="BH89" i="23"/>
  <c r="BG89" i="23"/>
  <c r="BU289" i="23"/>
  <c r="BT289" i="23"/>
  <c r="BS289" i="23"/>
  <c r="BR289" i="23"/>
  <c r="BQ289" i="23"/>
  <c r="BP289" i="23"/>
  <c r="BO289" i="23"/>
  <c r="BM289" i="23"/>
  <c r="BN289" i="23"/>
  <c r="BL289" i="23"/>
  <c r="BJ289" i="23"/>
  <c r="BK289" i="23"/>
  <c r="BI289" i="23"/>
  <c r="BF289" i="23"/>
  <c r="BH289" i="23"/>
  <c r="BG289" i="23"/>
  <c r="BU77" i="23"/>
  <c r="BT77" i="23"/>
  <c r="BS77" i="23"/>
  <c r="BR77" i="23"/>
  <c r="BQ77" i="23"/>
  <c r="BP77" i="23"/>
  <c r="BO77" i="23"/>
  <c r="BM77" i="23"/>
  <c r="BN77" i="23"/>
  <c r="BL77" i="23"/>
  <c r="BI77" i="23"/>
  <c r="BJ77" i="23"/>
  <c r="BK77" i="23"/>
  <c r="BF77" i="23"/>
  <c r="BH77" i="23"/>
  <c r="BG77" i="23"/>
  <c r="BU215" i="23"/>
  <c r="BT215" i="23"/>
  <c r="BS215" i="23"/>
  <c r="BR215" i="23"/>
  <c r="BQ215" i="23"/>
  <c r="BO215" i="23"/>
  <c r="BP215" i="23"/>
  <c r="BL215" i="23"/>
  <c r="BM215" i="23"/>
  <c r="BN215" i="23"/>
  <c r="BK215" i="23"/>
  <c r="BI215" i="23"/>
  <c r="BJ215" i="23"/>
  <c r="BH215" i="23"/>
  <c r="BG215" i="23"/>
  <c r="BF215" i="23"/>
  <c r="BU384" i="23"/>
  <c r="BT384" i="23"/>
  <c r="BS384" i="23"/>
  <c r="BQ384" i="23"/>
  <c r="BR384" i="23"/>
  <c r="BP384" i="23"/>
  <c r="BN384" i="23"/>
  <c r="BO384" i="23"/>
  <c r="BM384" i="23"/>
  <c r="BJ384" i="23"/>
  <c r="BK384" i="23"/>
  <c r="BL384" i="23"/>
  <c r="BI384" i="23"/>
  <c r="BH384" i="23"/>
  <c r="BG384" i="23"/>
  <c r="BF384" i="23"/>
  <c r="BU411" i="23"/>
  <c r="BT411" i="23"/>
  <c r="BS411" i="23"/>
  <c r="BR411" i="23"/>
  <c r="BQ411" i="23"/>
  <c r="BP411" i="23"/>
  <c r="BO411" i="23"/>
  <c r="BM411" i="23"/>
  <c r="BN411" i="23"/>
  <c r="BK411" i="23"/>
  <c r="BL411" i="23"/>
  <c r="BJ411" i="23"/>
  <c r="BH411" i="23"/>
  <c r="BG411" i="23"/>
  <c r="BI411" i="23"/>
  <c r="BF411" i="23"/>
  <c r="BT312" i="23"/>
  <c r="BU312" i="23"/>
  <c r="BS312" i="23"/>
  <c r="BR312" i="23"/>
  <c r="BQ312" i="23"/>
  <c r="BO312" i="23"/>
  <c r="BP312" i="23"/>
  <c r="BN312" i="23"/>
  <c r="BL312" i="23"/>
  <c r="BM312" i="23"/>
  <c r="BJ312" i="23"/>
  <c r="BK312" i="23"/>
  <c r="BI312" i="23"/>
  <c r="BH312" i="23"/>
  <c r="BG312" i="23"/>
  <c r="BF312" i="23"/>
  <c r="BU34" i="23"/>
  <c r="BS34" i="23"/>
  <c r="BT34" i="23"/>
  <c r="BR34" i="23"/>
  <c r="BP34" i="23"/>
  <c r="BQ34" i="23"/>
  <c r="BO34" i="23"/>
  <c r="BL34" i="23"/>
  <c r="BM34" i="23"/>
  <c r="BN34" i="23"/>
  <c r="BI34" i="23"/>
  <c r="BJ34" i="23"/>
  <c r="BK34" i="23"/>
  <c r="BG34" i="23"/>
  <c r="BF34" i="23"/>
  <c r="BH34" i="23"/>
  <c r="BU330" i="23"/>
  <c r="BS330" i="23"/>
  <c r="BT330" i="23"/>
  <c r="BQ330" i="23"/>
  <c r="BR330" i="23"/>
  <c r="BP330" i="23"/>
  <c r="BM330" i="23"/>
  <c r="BN330" i="23"/>
  <c r="BO330" i="23"/>
  <c r="BL330" i="23"/>
  <c r="BI330" i="23"/>
  <c r="BJ330" i="23"/>
  <c r="BK330" i="23"/>
  <c r="BG330" i="23"/>
  <c r="BF330" i="23"/>
  <c r="BH330" i="23"/>
  <c r="BU242" i="23"/>
  <c r="BT242" i="23"/>
  <c r="BS242" i="23"/>
  <c r="BR242" i="23"/>
  <c r="BQ242" i="23"/>
  <c r="BO242" i="23"/>
  <c r="BP242" i="23"/>
  <c r="BL242" i="23"/>
  <c r="BM242" i="23"/>
  <c r="BN242" i="23"/>
  <c r="BI242" i="23"/>
  <c r="BJ242" i="23"/>
  <c r="BK242" i="23"/>
  <c r="BG242" i="23"/>
  <c r="BF242" i="23"/>
  <c r="BH242" i="23"/>
  <c r="BU258" i="23"/>
  <c r="BT258" i="23"/>
  <c r="BS258" i="23"/>
  <c r="BR258" i="23"/>
  <c r="BQ258" i="23"/>
  <c r="BO258" i="23"/>
  <c r="BP258" i="23"/>
  <c r="BL258" i="23"/>
  <c r="BM258" i="23"/>
  <c r="BN258" i="23"/>
  <c r="BI258" i="23"/>
  <c r="BJ258" i="23"/>
  <c r="BK258" i="23"/>
  <c r="BG258" i="23"/>
  <c r="BF258" i="23"/>
  <c r="BH258" i="23"/>
  <c r="BU163" i="23"/>
  <c r="BT163" i="23"/>
  <c r="BS163" i="23"/>
  <c r="BR163" i="23"/>
  <c r="BQ163" i="23"/>
  <c r="BO163" i="23"/>
  <c r="BP163" i="23"/>
  <c r="BL163" i="23"/>
  <c r="BM163" i="23"/>
  <c r="BN163" i="23"/>
  <c r="BK163" i="23"/>
  <c r="BI163" i="23"/>
  <c r="BJ163" i="23"/>
  <c r="BH163" i="23"/>
  <c r="BG163" i="23"/>
  <c r="BF163" i="23"/>
  <c r="BU38" i="23"/>
  <c r="BT38" i="23"/>
  <c r="BS38" i="23"/>
  <c r="BR38" i="23"/>
  <c r="BP38" i="23"/>
  <c r="BQ38" i="23"/>
  <c r="BO38" i="23"/>
  <c r="BL38" i="23"/>
  <c r="BM38" i="23"/>
  <c r="BN38" i="23"/>
  <c r="BI38" i="23"/>
  <c r="BJ38" i="23"/>
  <c r="BK38" i="23"/>
  <c r="BG38" i="23"/>
  <c r="BF38" i="23"/>
  <c r="BH38" i="23"/>
  <c r="BU66" i="23"/>
  <c r="BS66" i="23"/>
  <c r="BT66" i="23"/>
  <c r="BR66" i="23"/>
  <c r="BQ66" i="23"/>
  <c r="BO66" i="23"/>
  <c r="BP66" i="23"/>
  <c r="BL66" i="23"/>
  <c r="BM66" i="23"/>
  <c r="BN66" i="23"/>
  <c r="BI66" i="23"/>
  <c r="BJ66" i="23"/>
  <c r="BK66" i="23"/>
  <c r="BG66" i="23"/>
  <c r="BF66" i="23"/>
  <c r="BH66" i="23"/>
  <c r="BT300" i="23"/>
  <c r="BU300" i="23"/>
  <c r="BS300" i="23"/>
  <c r="BR300" i="23"/>
  <c r="BQ300" i="23"/>
  <c r="BO300" i="23"/>
  <c r="BP300" i="23"/>
  <c r="BN300" i="23"/>
  <c r="BL300" i="23"/>
  <c r="BM300" i="23"/>
  <c r="BJ300" i="23"/>
  <c r="BK300" i="23"/>
  <c r="BI300" i="23"/>
  <c r="BH300" i="23"/>
  <c r="BG300" i="23"/>
  <c r="BF300" i="23"/>
  <c r="BU37" i="23"/>
  <c r="BT37" i="23"/>
  <c r="BR37" i="23"/>
  <c r="BS37" i="23"/>
  <c r="BQ37" i="23"/>
  <c r="BP37" i="23"/>
  <c r="BO37" i="23"/>
  <c r="BM37" i="23"/>
  <c r="BN37" i="23"/>
  <c r="BL37" i="23"/>
  <c r="BI37" i="23"/>
  <c r="BJ37" i="23"/>
  <c r="BK37" i="23"/>
  <c r="BF37" i="23"/>
  <c r="BH37" i="23"/>
  <c r="BG37" i="23"/>
  <c r="BU104" i="23"/>
  <c r="BT104" i="23"/>
  <c r="BS104" i="23"/>
  <c r="BR104" i="23"/>
  <c r="BQ104" i="23"/>
  <c r="BO104" i="23"/>
  <c r="BP104" i="23"/>
  <c r="BN104" i="23"/>
  <c r="BL104" i="23"/>
  <c r="BM104" i="23"/>
  <c r="BJ104" i="23"/>
  <c r="BK104" i="23"/>
  <c r="BI104" i="23"/>
  <c r="BF104" i="23"/>
  <c r="BH104" i="23"/>
  <c r="BG104" i="23"/>
  <c r="BU275" i="23"/>
  <c r="BT275" i="23"/>
  <c r="BS275" i="23"/>
  <c r="BR275" i="23"/>
  <c r="BQ275" i="23"/>
  <c r="BO275" i="23"/>
  <c r="BP275" i="23"/>
  <c r="BL275" i="23"/>
  <c r="BM275" i="23"/>
  <c r="BN275" i="23"/>
  <c r="BK275" i="23"/>
  <c r="BI275" i="23"/>
  <c r="BJ275" i="23"/>
  <c r="BH275" i="23"/>
  <c r="BG275" i="23"/>
  <c r="BF275" i="23"/>
  <c r="BU151" i="23"/>
  <c r="BT151" i="23"/>
  <c r="BS151" i="23"/>
  <c r="BR151" i="23"/>
  <c r="BQ151" i="23"/>
  <c r="BO151" i="23"/>
  <c r="BP151" i="23"/>
  <c r="BL151" i="23"/>
  <c r="BM151" i="23"/>
  <c r="BN151" i="23"/>
  <c r="BK151" i="23"/>
  <c r="BI151" i="23"/>
  <c r="BJ151" i="23"/>
  <c r="BH151" i="23"/>
  <c r="BG151" i="23"/>
  <c r="BF151" i="23"/>
  <c r="BT425" i="23"/>
  <c r="BU425" i="23"/>
  <c r="BS425" i="23"/>
  <c r="BQ425" i="23"/>
  <c r="BR425" i="23"/>
  <c r="BP425" i="23"/>
  <c r="BM425" i="23"/>
  <c r="BN425" i="23"/>
  <c r="BO425" i="23"/>
  <c r="BJ425" i="23"/>
  <c r="BK425" i="23"/>
  <c r="BL425" i="23"/>
  <c r="BI425" i="23"/>
  <c r="BH425" i="23"/>
  <c r="BG425" i="23"/>
  <c r="BF425" i="23"/>
  <c r="BU377" i="23"/>
  <c r="BT377" i="23"/>
  <c r="BS377" i="23"/>
  <c r="BQ377" i="23"/>
  <c r="BR377" i="23"/>
  <c r="BP377" i="23"/>
  <c r="BM377" i="23"/>
  <c r="BN377" i="23"/>
  <c r="BO377" i="23"/>
  <c r="BJ377" i="23"/>
  <c r="BK377" i="23"/>
  <c r="BL377" i="23"/>
  <c r="BF377" i="23"/>
  <c r="BH377" i="23"/>
  <c r="BI377" i="23"/>
  <c r="BG377" i="23"/>
  <c r="BU141" i="23"/>
  <c r="BT141" i="23"/>
  <c r="BR141" i="23"/>
  <c r="BS141" i="23"/>
  <c r="BQ141" i="23"/>
  <c r="BP141" i="23"/>
  <c r="BO141" i="23"/>
  <c r="BM141" i="23"/>
  <c r="BN141" i="23"/>
  <c r="BL141" i="23"/>
  <c r="BI141" i="23"/>
  <c r="BJ141" i="23"/>
  <c r="BK141" i="23"/>
  <c r="BF141" i="23"/>
  <c r="BH141" i="23"/>
  <c r="BG141" i="23"/>
  <c r="BU241" i="23"/>
  <c r="BT241" i="23"/>
  <c r="BS241" i="23"/>
  <c r="BQ241" i="23"/>
  <c r="BR241" i="23"/>
  <c r="BP241" i="23"/>
  <c r="BO241" i="23"/>
  <c r="BM241" i="23"/>
  <c r="BN241" i="23"/>
  <c r="BL241" i="23"/>
  <c r="BI241" i="23"/>
  <c r="BJ241" i="23"/>
  <c r="BK241" i="23"/>
  <c r="BF241" i="23"/>
  <c r="BH241" i="23"/>
  <c r="BG241" i="23"/>
  <c r="BU140" i="23"/>
  <c r="BT140" i="23"/>
  <c r="BS140" i="23"/>
  <c r="BR140" i="23"/>
  <c r="BQ140" i="23"/>
  <c r="BO140" i="23"/>
  <c r="BP140" i="23"/>
  <c r="BN140" i="23"/>
  <c r="BL140" i="23"/>
  <c r="BM140" i="23"/>
  <c r="BJ140" i="23"/>
  <c r="BK140" i="23"/>
  <c r="BI140" i="23"/>
  <c r="BF140" i="23"/>
  <c r="BH140" i="23"/>
  <c r="BG140" i="23"/>
  <c r="BU160" i="23"/>
  <c r="BT160" i="23"/>
  <c r="BS160" i="23"/>
  <c r="BR160" i="23"/>
  <c r="BQ160" i="23"/>
  <c r="BO160" i="23"/>
  <c r="BP160" i="23"/>
  <c r="BN160" i="23"/>
  <c r="BL160" i="23"/>
  <c r="BM160" i="23"/>
  <c r="BJ160" i="23"/>
  <c r="BK160" i="23"/>
  <c r="BI160" i="23"/>
  <c r="BF160" i="23"/>
  <c r="BH160" i="23"/>
  <c r="BG160" i="23"/>
  <c r="BU72" i="23"/>
  <c r="BT72" i="23"/>
  <c r="BS72" i="23"/>
  <c r="BR72" i="23"/>
  <c r="BQ72" i="23"/>
  <c r="BO72" i="23"/>
  <c r="BP72" i="23"/>
  <c r="BN72" i="23"/>
  <c r="BL72" i="23"/>
  <c r="BM72" i="23"/>
  <c r="BJ72" i="23"/>
  <c r="BK72" i="23"/>
  <c r="BI72" i="23"/>
  <c r="BF72" i="23"/>
  <c r="BH72" i="23"/>
  <c r="BG72" i="23"/>
  <c r="BU402" i="23"/>
  <c r="BS402" i="23"/>
  <c r="BT402" i="23"/>
  <c r="BQ402" i="23"/>
  <c r="BR402" i="23"/>
  <c r="BP402" i="23"/>
  <c r="BM402" i="23"/>
  <c r="BN402" i="23"/>
  <c r="BO402" i="23"/>
  <c r="BL402" i="23"/>
  <c r="BI402" i="23"/>
  <c r="BJ402" i="23"/>
  <c r="BK402" i="23"/>
  <c r="BG402" i="23"/>
  <c r="BH402" i="23"/>
  <c r="BF402" i="23"/>
  <c r="BU281" i="23"/>
  <c r="BT281" i="23"/>
  <c r="BS281" i="23"/>
  <c r="BQ281" i="23"/>
  <c r="BR281" i="23"/>
  <c r="BP281" i="23"/>
  <c r="BO281" i="23"/>
  <c r="BM281" i="23"/>
  <c r="BN281" i="23"/>
  <c r="BL281" i="23"/>
  <c r="BJ281" i="23"/>
  <c r="BK281" i="23"/>
  <c r="BF281" i="23"/>
  <c r="BH281" i="23"/>
  <c r="BI281" i="23"/>
  <c r="BG281" i="23"/>
  <c r="BU257" i="23"/>
  <c r="BT257" i="23"/>
  <c r="BS257" i="23"/>
  <c r="BR257" i="23"/>
  <c r="BQ257" i="23"/>
  <c r="BP257" i="23"/>
  <c r="BO257" i="23"/>
  <c r="BM257" i="23"/>
  <c r="BN257" i="23"/>
  <c r="BL257" i="23"/>
  <c r="BJ257" i="23"/>
  <c r="BK257" i="23"/>
  <c r="BI257" i="23"/>
  <c r="BF257" i="23"/>
  <c r="BH257" i="23"/>
  <c r="BG257" i="23"/>
  <c r="BU331" i="23"/>
  <c r="BT331" i="23"/>
  <c r="BS331" i="23"/>
  <c r="BR331" i="23"/>
  <c r="BQ331" i="23"/>
  <c r="BO331" i="23"/>
  <c r="BP331" i="23"/>
  <c r="BL331" i="23"/>
  <c r="BM331" i="23"/>
  <c r="BN331" i="23"/>
  <c r="BK331" i="23"/>
  <c r="BI331" i="23"/>
  <c r="BJ331" i="23"/>
  <c r="BH331" i="23"/>
  <c r="BG331" i="23"/>
  <c r="BF331" i="23"/>
  <c r="BU179" i="23"/>
  <c r="BT179" i="23"/>
  <c r="BS179" i="23"/>
  <c r="BR179" i="23"/>
  <c r="BQ179" i="23"/>
  <c r="BO179" i="23"/>
  <c r="BP179" i="23"/>
  <c r="BL179" i="23"/>
  <c r="BM179" i="23"/>
  <c r="BN179" i="23"/>
  <c r="BK179" i="23"/>
  <c r="BI179" i="23"/>
  <c r="BJ179" i="23"/>
  <c r="BH179" i="23"/>
  <c r="BG179" i="23"/>
  <c r="BF179" i="23"/>
  <c r="BT152" i="23"/>
  <c r="BU152" i="23"/>
  <c r="BS152" i="23"/>
  <c r="BR152" i="23"/>
  <c r="BQ152" i="23"/>
  <c r="BO152" i="23"/>
  <c r="BP152" i="23"/>
  <c r="BN152" i="23"/>
  <c r="BL152" i="23"/>
  <c r="BM152" i="23"/>
  <c r="BJ152" i="23"/>
  <c r="BK152" i="23"/>
  <c r="BI152" i="23"/>
  <c r="BF152" i="23"/>
  <c r="BH152" i="23"/>
  <c r="BG152" i="23"/>
  <c r="BU202" i="23"/>
  <c r="BT202" i="23"/>
  <c r="BS202" i="23"/>
  <c r="BR202" i="23"/>
  <c r="BQ202" i="23"/>
  <c r="BO202" i="23"/>
  <c r="BP202" i="23"/>
  <c r="BL202" i="23"/>
  <c r="BM202" i="23"/>
  <c r="BN202" i="23"/>
  <c r="BI202" i="23"/>
  <c r="BJ202" i="23"/>
  <c r="BK202" i="23"/>
  <c r="BG202" i="23"/>
  <c r="BF202" i="23"/>
  <c r="BH202" i="23"/>
  <c r="BT117" i="23"/>
  <c r="BU117" i="23"/>
  <c r="BS117" i="23"/>
  <c r="BR117" i="23"/>
  <c r="BQ117" i="23"/>
  <c r="BP117" i="23"/>
  <c r="BO117" i="23"/>
  <c r="BM117" i="23"/>
  <c r="BN117" i="23"/>
  <c r="BL117" i="23"/>
  <c r="BI117" i="23"/>
  <c r="BJ117" i="23"/>
  <c r="BK117" i="23"/>
  <c r="BF117" i="23"/>
  <c r="BH117" i="23"/>
  <c r="BG117" i="23"/>
  <c r="BU261" i="23"/>
  <c r="BT261" i="23"/>
  <c r="BS261" i="23"/>
  <c r="BQ261" i="23"/>
  <c r="BR261" i="23"/>
  <c r="BP261" i="23"/>
  <c r="BO261" i="23"/>
  <c r="BM261" i="23"/>
  <c r="BN261" i="23"/>
  <c r="BL261" i="23"/>
  <c r="BJ261" i="23"/>
  <c r="BK261" i="23"/>
  <c r="BF261" i="23"/>
  <c r="BI261" i="23"/>
  <c r="BH261" i="23"/>
  <c r="BG261" i="23"/>
  <c r="BS404" i="23"/>
  <c r="BU404" i="23"/>
  <c r="BT404" i="23"/>
  <c r="BQ404" i="23"/>
  <c r="BR404" i="23"/>
  <c r="BP404" i="23"/>
  <c r="BN404" i="23"/>
  <c r="BO404" i="23"/>
  <c r="BM404" i="23"/>
  <c r="BJ404" i="23"/>
  <c r="BK404" i="23"/>
  <c r="BL404" i="23"/>
  <c r="BH404" i="23"/>
  <c r="BG404" i="23"/>
  <c r="BI404" i="23"/>
  <c r="BF404" i="23"/>
  <c r="BU74" i="23"/>
  <c r="BT74" i="23"/>
  <c r="BR74" i="23"/>
  <c r="BS74" i="23"/>
  <c r="BQ74" i="23"/>
  <c r="BO74" i="23"/>
  <c r="BP74" i="23"/>
  <c r="BL74" i="23"/>
  <c r="BM74" i="23"/>
  <c r="BN74" i="23"/>
  <c r="BI74" i="23"/>
  <c r="BJ74" i="23"/>
  <c r="BK74" i="23"/>
  <c r="BG74" i="23"/>
  <c r="BF74" i="23"/>
  <c r="BH74" i="23"/>
  <c r="BU75" i="23"/>
  <c r="BT75" i="23"/>
  <c r="BS75" i="23"/>
  <c r="BR75" i="23"/>
  <c r="BQ75" i="23"/>
  <c r="BO75" i="23"/>
  <c r="BP75" i="23"/>
  <c r="BL75" i="23"/>
  <c r="BM75" i="23"/>
  <c r="BN75" i="23"/>
  <c r="BK75" i="23"/>
  <c r="BI75" i="23"/>
  <c r="BJ75" i="23"/>
  <c r="BH75" i="23"/>
  <c r="BG75" i="23"/>
  <c r="BF75" i="23"/>
  <c r="BU45" i="23"/>
  <c r="BT45" i="23"/>
  <c r="BS45" i="23"/>
  <c r="BR45" i="23"/>
  <c r="BQ45" i="23"/>
  <c r="BP45" i="23"/>
  <c r="BO45" i="23"/>
  <c r="BM45" i="23"/>
  <c r="BN45" i="23"/>
  <c r="BL45" i="23"/>
  <c r="BI45" i="23"/>
  <c r="BJ45" i="23"/>
  <c r="BK45" i="23"/>
  <c r="BF45" i="23"/>
  <c r="BH45" i="23"/>
  <c r="BG45" i="23"/>
  <c r="BU128" i="23"/>
  <c r="BT128" i="23"/>
  <c r="BS128" i="23"/>
  <c r="BR128" i="23"/>
  <c r="BQ128" i="23"/>
  <c r="BO128" i="23"/>
  <c r="BP128" i="23"/>
  <c r="BN128" i="23"/>
  <c r="BL128" i="23"/>
  <c r="BM128" i="23"/>
  <c r="BJ128" i="23"/>
  <c r="BK128" i="23"/>
  <c r="BI128" i="23"/>
  <c r="BF128" i="23"/>
  <c r="BH128" i="23"/>
  <c r="BG128" i="23"/>
  <c r="BU226" i="23"/>
  <c r="BT226" i="23"/>
  <c r="BS226" i="23"/>
  <c r="BR226" i="23"/>
  <c r="BQ226" i="23"/>
  <c r="BO226" i="23"/>
  <c r="BP226" i="23"/>
  <c r="BL226" i="23"/>
  <c r="BM226" i="23"/>
  <c r="BN226" i="23"/>
  <c r="BI226" i="23"/>
  <c r="BJ226" i="23"/>
  <c r="BK226" i="23"/>
  <c r="BG226" i="23"/>
  <c r="BF226" i="23"/>
  <c r="BH226" i="23"/>
  <c r="BU44" i="23"/>
  <c r="BT44" i="23"/>
  <c r="BS44" i="23"/>
  <c r="BR44" i="23"/>
  <c r="BQ44" i="23"/>
  <c r="BP44" i="23"/>
  <c r="BO44" i="23"/>
  <c r="BN44" i="23"/>
  <c r="BL44" i="23"/>
  <c r="BM44" i="23"/>
  <c r="BJ44" i="23"/>
  <c r="BK44" i="23"/>
  <c r="BI44" i="23"/>
  <c r="BF44" i="23"/>
  <c r="BH44" i="23"/>
  <c r="BG44" i="23"/>
  <c r="BU343" i="23"/>
  <c r="BT343" i="23"/>
  <c r="BS343" i="23"/>
  <c r="BR343" i="23"/>
  <c r="BQ343" i="23"/>
  <c r="BO343" i="23"/>
  <c r="BP343" i="23"/>
  <c r="BL343" i="23"/>
  <c r="BM343" i="23"/>
  <c r="BN343" i="23"/>
  <c r="BK343" i="23"/>
  <c r="BI343" i="23"/>
  <c r="BJ343" i="23"/>
  <c r="BH343" i="23"/>
  <c r="BG343" i="23"/>
  <c r="BF343" i="23"/>
  <c r="BU250" i="23"/>
  <c r="BT250" i="23"/>
  <c r="BS250" i="23"/>
  <c r="BR250" i="23"/>
  <c r="BQ250" i="23"/>
  <c r="BO250" i="23"/>
  <c r="BP250" i="23"/>
  <c r="BL250" i="23"/>
  <c r="BM250" i="23"/>
  <c r="BN250" i="23"/>
  <c r="BI250" i="23"/>
  <c r="BJ250" i="23"/>
  <c r="BK250" i="23"/>
  <c r="BG250" i="23"/>
  <c r="BF250" i="23"/>
  <c r="BH250" i="23"/>
  <c r="BU337" i="23"/>
  <c r="BT337" i="23"/>
  <c r="BS337" i="23"/>
  <c r="BQ337" i="23"/>
  <c r="BR337" i="23"/>
  <c r="BP337" i="23"/>
  <c r="BO337" i="23"/>
  <c r="BM337" i="23"/>
  <c r="BN337" i="23"/>
  <c r="BL337" i="23"/>
  <c r="BJ337" i="23"/>
  <c r="BK337" i="23"/>
  <c r="BI337" i="23"/>
  <c r="BF337" i="23"/>
  <c r="BH337" i="23"/>
  <c r="BG337" i="23"/>
  <c r="BU185" i="23"/>
  <c r="BT185" i="23"/>
  <c r="BS185" i="23"/>
  <c r="BR185" i="23"/>
  <c r="BQ185" i="23"/>
  <c r="BP185" i="23"/>
  <c r="BO185" i="23"/>
  <c r="BM185" i="23"/>
  <c r="BN185" i="23"/>
  <c r="BL185" i="23"/>
  <c r="BI185" i="23"/>
  <c r="BJ185" i="23"/>
  <c r="BK185" i="23"/>
  <c r="BF185" i="23"/>
  <c r="BH185" i="23"/>
  <c r="BG185" i="23"/>
  <c r="BU20" i="23"/>
  <c r="BT20" i="23"/>
  <c r="BS20" i="23"/>
  <c r="BR20" i="23"/>
  <c r="BQ20" i="23"/>
  <c r="BP20" i="23"/>
  <c r="BO20" i="23"/>
  <c r="BN20" i="23"/>
  <c r="BL20" i="23"/>
  <c r="BM20" i="23"/>
  <c r="BJ20" i="23"/>
  <c r="BK20" i="23"/>
  <c r="BI20" i="23"/>
  <c r="BF20" i="23"/>
  <c r="BH20" i="23"/>
  <c r="BG20" i="23"/>
  <c r="BU269" i="23"/>
  <c r="BT269" i="23"/>
  <c r="BS269" i="23"/>
  <c r="BR269" i="23"/>
  <c r="BQ269" i="23"/>
  <c r="BP269" i="23"/>
  <c r="BO269" i="23"/>
  <c r="BM269" i="23"/>
  <c r="BN269" i="23"/>
  <c r="BL269" i="23"/>
  <c r="BJ269" i="23"/>
  <c r="BK269" i="23"/>
  <c r="BI269" i="23"/>
  <c r="BF269" i="23"/>
  <c r="BH269" i="23"/>
  <c r="BG269" i="23"/>
  <c r="BU39" i="23"/>
  <c r="BT39" i="23"/>
  <c r="BS39" i="23"/>
  <c r="BR39" i="23"/>
  <c r="BP39" i="23"/>
  <c r="BQ39" i="23"/>
  <c r="BO39" i="23"/>
  <c r="BL39" i="23"/>
  <c r="BM39" i="23"/>
  <c r="BN39" i="23"/>
  <c r="BK39" i="23"/>
  <c r="BI39" i="23"/>
  <c r="BJ39" i="23"/>
  <c r="BH39" i="23"/>
  <c r="BG39" i="23"/>
  <c r="BF39" i="23"/>
  <c r="BT292" i="23"/>
  <c r="BU292" i="23"/>
  <c r="BS292" i="23"/>
  <c r="BR292" i="23"/>
  <c r="BQ292" i="23"/>
  <c r="BO292" i="23"/>
  <c r="BP292" i="23"/>
  <c r="BN292" i="23"/>
  <c r="BL292" i="23"/>
  <c r="BM292" i="23"/>
  <c r="BJ292" i="23"/>
  <c r="BK292" i="23"/>
  <c r="BI292" i="23"/>
  <c r="BH292" i="23"/>
  <c r="BG292" i="23"/>
  <c r="BF292" i="23"/>
  <c r="BU194" i="23"/>
  <c r="BT194" i="23"/>
  <c r="BS194" i="23"/>
  <c r="BR194" i="23"/>
  <c r="BQ194" i="23"/>
  <c r="BO194" i="23"/>
  <c r="BP194" i="23"/>
  <c r="BL194" i="23"/>
  <c r="BM194" i="23"/>
  <c r="BN194" i="23"/>
  <c r="BI194" i="23"/>
  <c r="BJ194" i="23"/>
  <c r="BK194" i="23"/>
  <c r="BG194" i="23"/>
  <c r="BF194" i="23"/>
  <c r="BH194" i="23"/>
  <c r="BT196" i="23"/>
  <c r="BU196" i="23"/>
  <c r="BS196" i="23"/>
  <c r="BR196" i="23"/>
  <c r="BQ196" i="23"/>
  <c r="BO196" i="23"/>
  <c r="BP196" i="23"/>
  <c r="BN196" i="23"/>
  <c r="BL196" i="23"/>
  <c r="BM196" i="23"/>
  <c r="BJ196" i="23"/>
  <c r="BK196" i="23"/>
  <c r="BI196" i="23"/>
  <c r="BH196" i="23"/>
  <c r="BG196" i="23"/>
  <c r="BF196" i="23"/>
  <c r="W38" i="17"/>
  <c r="W18" i="17"/>
  <c r="BT228" i="23"/>
  <c r="BU419" i="23"/>
  <c r="BU42" i="23"/>
  <c r="BU73" i="23"/>
  <c r="BU266" i="23"/>
  <c r="BU54" i="23"/>
  <c r="BU373" i="23"/>
  <c r="BU348" i="23"/>
  <c r="BU209" i="23"/>
  <c r="BU394" i="23"/>
  <c r="BT172" i="23"/>
  <c r="BT334" i="23"/>
  <c r="BU428" i="23"/>
  <c r="BR237" i="23"/>
  <c r="BU243" i="23"/>
  <c r="BT61" i="23"/>
  <c r="BU364" i="23"/>
  <c r="BU253" i="23"/>
  <c r="BU59" i="23"/>
  <c r="BN315" i="23"/>
  <c r="BU432" i="23"/>
  <c r="BU102" i="23"/>
  <c r="BU418" i="23"/>
  <c r="BU149" i="23"/>
  <c r="BU78" i="23"/>
  <c r="BU145" i="23"/>
  <c r="BG436" i="23"/>
  <c r="BU193" i="23"/>
  <c r="BU443" i="23"/>
  <c r="BU274" i="23"/>
  <c r="BT180" i="23"/>
  <c r="BT216" i="23"/>
  <c r="BU390" i="23"/>
  <c r="B6" i="4"/>
  <c r="B7" i="4" s="1"/>
  <c r="F7" i="4" s="1"/>
  <c r="F5" i="4"/>
  <c r="E3" i="17"/>
  <c r="F4" i="20"/>
  <c r="F6" i="20" s="1"/>
  <c r="G1" i="17"/>
  <c r="H1" i="17" s="1"/>
  <c r="I1" i="17" s="1"/>
  <c r="W51" i="17"/>
  <c r="W47" i="17"/>
  <c r="W39" i="17"/>
  <c r="W35" i="17"/>
  <c r="W31" i="17"/>
  <c r="W23" i="17"/>
  <c r="W19" i="17"/>
  <c r="W15" i="17"/>
  <c r="W7" i="17"/>
  <c r="T53" i="17"/>
  <c r="W52" i="17"/>
  <c r="W48" i="17"/>
  <c r="W44" i="17"/>
  <c r="W40" i="17"/>
  <c r="W36" i="17"/>
  <c r="W32" i="17"/>
  <c r="W28" i="17"/>
  <c r="W24" i="17"/>
  <c r="W16" i="17"/>
  <c r="W12" i="17"/>
  <c r="W8" i="17"/>
  <c r="C21" i="20"/>
  <c r="W50" i="17"/>
  <c r="W46" i="17"/>
  <c r="W42" i="17"/>
  <c r="W34" i="17"/>
  <c r="W30" i="17"/>
  <c r="W26" i="17"/>
  <c r="W22" i="17"/>
  <c r="W14" i="17"/>
  <c r="W10" i="17"/>
  <c r="C55" i="20"/>
  <c r="C49" i="20"/>
  <c r="C37" i="20"/>
  <c r="C33" i="20"/>
  <c r="C44" i="20"/>
  <c r="C53" i="20"/>
  <c r="C41" i="20"/>
  <c r="C27" i="20"/>
  <c r="C24" i="20"/>
  <c r="C12" i="20"/>
  <c r="C34" i="20"/>
  <c r="C25" i="20"/>
  <c r="C11" i="20"/>
  <c r="C19" i="20"/>
  <c r="C22" i="20"/>
  <c r="C15" i="20"/>
  <c r="C38" i="20"/>
  <c r="C29" i="20"/>
  <c r="C26" i="20"/>
  <c r="C42" i="20"/>
  <c r="C43" i="20"/>
  <c r="C39" i="20"/>
  <c r="C28" i="20"/>
  <c r="C36" i="20"/>
  <c r="C40" i="20"/>
  <c r="C17" i="20"/>
  <c r="C47" i="20"/>
  <c r="C52" i="20"/>
  <c r="C30" i="20"/>
  <c r="C45" i="20"/>
  <c r="C23" i="20"/>
  <c r="C32" i="20"/>
  <c r="C10" i="20"/>
  <c r="C48" i="20"/>
  <c r="C46" i="20"/>
  <c r="C18" i="20"/>
  <c r="C13" i="20"/>
  <c r="C31" i="20"/>
  <c r="C20" i="20"/>
  <c r="C50" i="20"/>
  <c r="C14" i="20"/>
  <c r="C54" i="20"/>
  <c r="C16" i="20"/>
  <c r="C51" i="20"/>
  <c r="V53" i="17"/>
  <c r="AP450" i="23"/>
  <c r="AT450" i="23"/>
  <c r="AY450" i="23"/>
  <c r="BC450" i="23"/>
  <c r="AU450" i="23"/>
  <c r="AQ450" i="23"/>
  <c r="AV450" i="23"/>
  <c r="AZ450" i="23"/>
  <c r="BD450" i="23"/>
  <c r="AR450" i="23"/>
  <c r="AW450" i="23"/>
  <c r="BA450" i="23"/>
  <c r="BE450" i="23"/>
  <c r="E3" i="27"/>
  <c r="F1" i="27"/>
  <c r="AS450" i="23"/>
  <c r="AX450" i="23"/>
  <c r="BB450" i="23"/>
  <c r="W43" i="17"/>
  <c r="W27" i="17"/>
  <c r="W11" i="17"/>
  <c r="W49" i="17"/>
  <c r="W45" i="17"/>
  <c r="W41" i="17"/>
  <c r="W33" i="17"/>
  <c r="W29" i="17"/>
  <c r="W25" i="17"/>
  <c r="W17" i="17"/>
  <c r="W13" i="17"/>
  <c r="W9" i="17"/>
  <c r="U53" i="17"/>
  <c r="AE15" i="20" l="1"/>
  <c r="AF15" i="20" s="1"/>
  <c r="AG14" i="20"/>
  <c r="G4" i="20"/>
  <c r="G6" i="20" s="1"/>
  <c r="C6" i="20"/>
  <c r="BH351" i="23"/>
  <c r="BN351" i="23"/>
  <c r="BP351" i="23"/>
  <c r="BT351" i="23"/>
  <c r="BG58" i="23"/>
  <c r="BN58" i="23"/>
  <c r="BO58" i="23"/>
  <c r="BT58" i="23"/>
  <c r="BI397" i="23"/>
  <c r="BO397" i="23"/>
  <c r="BR397" i="23"/>
  <c r="BU397" i="23"/>
  <c r="BJ351" i="23"/>
  <c r="BM351" i="23"/>
  <c r="BQ351" i="23"/>
  <c r="BU351" i="23"/>
  <c r="BK58" i="23"/>
  <c r="BM58" i="23"/>
  <c r="BQ58" i="23"/>
  <c r="BU58" i="23"/>
  <c r="BV43" i="23"/>
  <c r="BV410" i="23"/>
  <c r="BV27" i="23"/>
  <c r="BV311" i="23"/>
  <c r="BV131" i="23"/>
  <c r="BV408" i="23"/>
  <c r="BV183" i="23"/>
  <c r="BV433" i="23"/>
  <c r="BV212" i="23"/>
  <c r="BV251" i="23"/>
  <c r="BV224" i="23"/>
  <c r="BV207" i="23"/>
  <c r="BV444" i="23"/>
  <c r="BV370" i="23"/>
  <c r="BF397" i="23"/>
  <c r="BL397" i="23"/>
  <c r="BN397" i="23"/>
  <c r="BQ397" i="23"/>
  <c r="BG351" i="23"/>
  <c r="BK351" i="23"/>
  <c r="BO351" i="23"/>
  <c r="BF58" i="23"/>
  <c r="BI58" i="23"/>
  <c r="BP58" i="23"/>
  <c r="BV279" i="23"/>
  <c r="BV396" i="23"/>
  <c r="BH397" i="23"/>
  <c r="BJ397" i="23"/>
  <c r="BP397" i="23"/>
  <c r="BV47" i="23"/>
  <c r="BV196" i="23"/>
  <c r="BV194" i="23"/>
  <c r="BV269" i="23"/>
  <c r="BV20" i="23"/>
  <c r="BV185" i="23"/>
  <c r="BV250" i="23"/>
  <c r="BV226" i="23"/>
  <c r="BV128" i="23"/>
  <c r="BV45" i="23"/>
  <c r="BV74" i="23"/>
  <c r="BV152" i="23"/>
  <c r="BV257" i="23"/>
  <c r="BV72" i="23"/>
  <c r="BV160" i="23"/>
  <c r="BV140" i="23"/>
  <c r="BV241" i="23"/>
  <c r="BV141" i="23"/>
  <c r="BV104" i="23"/>
  <c r="BV37" i="23"/>
  <c r="BV77" i="23"/>
  <c r="BV30" i="23"/>
  <c r="BV114" i="23"/>
  <c r="BV62" i="23"/>
  <c r="BV26" i="23"/>
  <c r="BV287" i="23"/>
  <c r="BV199" i="23"/>
  <c r="BV129" i="23"/>
  <c r="BV113" i="23"/>
  <c r="BV349" i="23"/>
  <c r="BV85" i="23"/>
  <c r="BV33" i="23"/>
  <c r="BV120" i="23"/>
  <c r="BV133" i="23"/>
  <c r="BV184" i="23"/>
  <c r="BV41" i="23"/>
  <c r="BV108" i="23"/>
  <c r="BV137" i="23"/>
  <c r="BV68" i="23"/>
  <c r="BV439" i="23"/>
  <c r="BV417" i="23"/>
  <c r="BV195" i="23"/>
  <c r="BV240" i="23"/>
  <c r="BV360" i="23"/>
  <c r="BV95" i="23"/>
  <c r="BV448" i="23"/>
  <c r="BV203" i="23"/>
  <c r="BV63" i="23"/>
  <c r="BV268" i="23"/>
  <c r="BV127" i="23"/>
  <c r="BV414" i="23"/>
  <c r="BV387" i="23"/>
  <c r="BV441" i="23"/>
  <c r="BV332" i="23"/>
  <c r="BV259" i="23"/>
  <c r="BV231" i="23"/>
  <c r="BV55" i="23"/>
  <c r="BV115" i="23"/>
  <c r="BV389" i="23"/>
  <c r="BV159" i="23"/>
  <c r="BV103" i="23"/>
  <c r="BV204" i="23"/>
  <c r="BV272" i="23"/>
  <c r="BV422" i="23"/>
  <c r="BV256" i="23"/>
  <c r="BV227" i="23"/>
  <c r="BU386" i="23"/>
  <c r="BS386" i="23"/>
  <c r="BT386" i="23"/>
  <c r="BQ386" i="23"/>
  <c r="BR386" i="23"/>
  <c r="BP386" i="23"/>
  <c r="BM386" i="23"/>
  <c r="BN386" i="23"/>
  <c r="BO386" i="23"/>
  <c r="BL386" i="23"/>
  <c r="BI386" i="23"/>
  <c r="BJ386" i="23"/>
  <c r="BK386" i="23"/>
  <c r="BG386" i="23"/>
  <c r="BH386" i="23"/>
  <c r="BF386" i="23"/>
  <c r="B8" i="4"/>
  <c r="BT294" i="23"/>
  <c r="BU294" i="23"/>
  <c r="BS294" i="23"/>
  <c r="BR294" i="23"/>
  <c r="BQ294" i="23"/>
  <c r="BP294" i="23"/>
  <c r="BM294" i="23"/>
  <c r="BO294" i="23"/>
  <c r="BN294" i="23"/>
  <c r="BL294" i="23"/>
  <c r="BI294" i="23"/>
  <c r="BJ294" i="23"/>
  <c r="BK294" i="23"/>
  <c r="BG294" i="23"/>
  <c r="BF294" i="23"/>
  <c r="BH294" i="23"/>
  <c r="BR18" i="23"/>
  <c r="BL18" i="23"/>
  <c r="BJ18" i="23"/>
  <c r="BH18" i="23"/>
  <c r="BU18" i="23"/>
  <c r="BP18" i="23"/>
  <c r="BM18" i="23"/>
  <c r="BK18" i="23"/>
  <c r="BS18" i="23"/>
  <c r="BQ18" i="23"/>
  <c r="BN18" i="23"/>
  <c r="BG18" i="23"/>
  <c r="BT18" i="23"/>
  <c r="BO18" i="23"/>
  <c r="BI18" i="23"/>
  <c r="BF18" i="23"/>
  <c r="BU407" i="23"/>
  <c r="BT407" i="23"/>
  <c r="BS407" i="23"/>
  <c r="BR407" i="23"/>
  <c r="BQ407" i="23"/>
  <c r="BP407" i="23"/>
  <c r="BO407" i="23"/>
  <c r="BM407" i="23"/>
  <c r="BN407" i="23"/>
  <c r="BK407" i="23"/>
  <c r="BL407" i="23"/>
  <c r="BJ407" i="23"/>
  <c r="BH407" i="23"/>
  <c r="BG407" i="23"/>
  <c r="BI407" i="23"/>
  <c r="BF407" i="23"/>
  <c r="BT247" i="23"/>
  <c r="BO247" i="23"/>
  <c r="BN247" i="23"/>
  <c r="BH247" i="23"/>
  <c r="BS247" i="23"/>
  <c r="BP247" i="23"/>
  <c r="BK247" i="23"/>
  <c r="BG247" i="23"/>
  <c r="BR247" i="23"/>
  <c r="BL247" i="23"/>
  <c r="BI247" i="23"/>
  <c r="BF247" i="23"/>
  <c r="BU247" i="23"/>
  <c r="BQ247" i="23"/>
  <c r="BM247" i="23"/>
  <c r="BJ247" i="23"/>
  <c r="BU445" i="23"/>
  <c r="BP445" i="23"/>
  <c r="BJ445" i="23"/>
  <c r="BH445" i="23"/>
  <c r="BS445" i="23"/>
  <c r="BM445" i="23"/>
  <c r="BK445" i="23"/>
  <c r="BG445" i="23"/>
  <c r="BQ445" i="23"/>
  <c r="BN445" i="23"/>
  <c r="BL445" i="23"/>
  <c r="BF445" i="23"/>
  <c r="BT445" i="23"/>
  <c r="BR445" i="23"/>
  <c r="BO445" i="23"/>
  <c r="BI445" i="23"/>
  <c r="BU392" i="23"/>
  <c r="BT392" i="23"/>
  <c r="BS392" i="23"/>
  <c r="BQ392" i="23"/>
  <c r="BR392" i="23"/>
  <c r="BP392" i="23"/>
  <c r="BN392" i="23"/>
  <c r="BO392" i="23"/>
  <c r="BM392" i="23"/>
  <c r="BJ392" i="23"/>
  <c r="BK392" i="23"/>
  <c r="BL392" i="23"/>
  <c r="BI392" i="23"/>
  <c r="BH392" i="23"/>
  <c r="BG392" i="23"/>
  <c r="BF392" i="23"/>
  <c r="BT100" i="23"/>
  <c r="BO100" i="23"/>
  <c r="BM100" i="23"/>
  <c r="BF100" i="23"/>
  <c r="BS100" i="23"/>
  <c r="BP100" i="23"/>
  <c r="BJ100" i="23"/>
  <c r="BH100" i="23"/>
  <c r="BR100" i="23"/>
  <c r="BN100" i="23"/>
  <c r="BK100" i="23"/>
  <c r="BG100" i="23"/>
  <c r="BU100" i="23"/>
  <c r="BQ100" i="23"/>
  <c r="BL100" i="23"/>
  <c r="BI100" i="23"/>
  <c r="BT167" i="23"/>
  <c r="BO167" i="23"/>
  <c r="BN167" i="23"/>
  <c r="BH167" i="23"/>
  <c r="BS167" i="23"/>
  <c r="BP167" i="23"/>
  <c r="BK167" i="23"/>
  <c r="BG167" i="23"/>
  <c r="BR167" i="23"/>
  <c r="BL167" i="23"/>
  <c r="BI167" i="23"/>
  <c r="BF167" i="23"/>
  <c r="BU167" i="23"/>
  <c r="BQ167" i="23"/>
  <c r="BM167" i="23"/>
  <c r="BJ167" i="23"/>
  <c r="BT15" i="23"/>
  <c r="BQ15" i="23"/>
  <c r="BN15" i="23"/>
  <c r="BH15" i="23"/>
  <c r="BS15" i="23"/>
  <c r="BO15" i="23"/>
  <c r="BK15" i="23"/>
  <c r="BG15" i="23"/>
  <c r="BR15" i="23"/>
  <c r="BL15" i="23"/>
  <c r="BI15" i="23"/>
  <c r="BF15" i="23"/>
  <c r="BU15" i="23"/>
  <c r="BP15" i="23"/>
  <c r="BM15" i="23"/>
  <c r="BJ15" i="23"/>
  <c r="BT280" i="23"/>
  <c r="BS280" i="23"/>
  <c r="BU280" i="23"/>
  <c r="BR280" i="23"/>
  <c r="BQ280" i="23"/>
  <c r="BO280" i="23"/>
  <c r="BP280" i="23"/>
  <c r="BN280" i="23"/>
  <c r="BL280" i="23"/>
  <c r="BM280" i="23"/>
  <c r="BJ280" i="23"/>
  <c r="BK280" i="23"/>
  <c r="BI280" i="23"/>
  <c r="BH280" i="23"/>
  <c r="BG280" i="23"/>
  <c r="BF280" i="23"/>
  <c r="BT322" i="23"/>
  <c r="BP322" i="23"/>
  <c r="BI322" i="23"/>
  <c r="BG322" i="23"/>
  <c r="BS322" i="23"/>
  <c r="BO322" i="23"/>
  <c r="BJ322" i="23"/>
  <c r="BF322" i="23"/>
  <c r="BQ322" i="23"/>
  <c r="BM322" i="23"/>
  <c r="BL322" i="23"/>
  <c r="BH322" i="23"/>
  <c r="BU322" i="23"/>
  <c r="BR322" i="23"/>
  <c r="BN322" i="23"/>
  <c r="BK322" i="23"/>
  <c r="BT31" i="23"/>
  <c r="BQ31" i="23"/>
  <c r="BN31" i="23"/>
  <c r="BH31" i="23"/>
  <c r="BR31" i="23"/>
  <c r="BO31" i="23"/>
  <c r="BK31" i="23"/>
  <c r="BG31" i="23"/>
  <c r="BS31" i="23"/>
  <c r="BL31" i="23"/>
  <c r="BI31" i="23"/>
  <c r="BF31" i="23"/>
  <c r="BU31" i="23"/>
  <c r="BP31" i="23"/>
  <c r="BM31" i="23"/>
  <c r="BJ31" i="23"/>
  <c r="BS318" i="23"/>
  <c r="BP318" i="23"/>
  <c r="BI318" i="23"/>
  <c r="BG318" i="23"/>
  <c r="BT318" i="23"/>
  <c r="BO318" i="23"/>
  <c r="BL318" i="23"/>
  <c r="BF318" i="23"/>
  <c r="BQ318" i="23"/>
  <c r="BM318" i="23"/>
  <c r="BJ318" i="23"/>
  <c r="BH318" i="23"/>
  <c r="BU318" i="23"/>
  <c r="BR318" i="23"/>
  <c r="BN318" i="23"/>
  <c r="BK318" i="23"/>
  <c r="BT245" i="23"/>
  <c r="BP245" i="23"/>
  <c r="BL245" i="23"/>
  <c r="BF245" i="23"/>
  <c r="BS245" i="23"/>
  <c r="BO245" i="23"/>
  <c r="BI245" i="23"/>
  <c r="BH245" i="23"/>
  <c r="BQ245" i="23"/>
  <c r="BM245" i="23"/>
  <c r="BJ245" i="23"/>
  <c r="BG245" i="23"/>
  <c r="BU245" i="23"/>
  <c r="BR245" i="23"/>
  <c r="BN245" i="23"/>
  <c r="BK245" i="23"/>
  <c r="BU429" i="23"/>
  <c r="BP429" i="23"/>
  <c r="BJ429" i="23"/>
  <c r="BH429" i="23"/>
  <c r="BS429" i="23"/>
  <c r="BM429" i="23"/>
  <c r="BK429" i="23"/>
  <c r="BG429" i="23"/>
  <c r="BQ429" i="23"/>
  <c r="BN429" i="23"/>
  <c r="BL429" i="23"/>
  <c r="BF429" i="23"/>
  <c r="BT429" i="23"/>
  <c r="BR429" i="23"/>
  <c r="BO429" i="23"/>
  <c r="BI429" i="23"/>
  <c r="BT344" i="23"/>
  <c r="BO344" i="23"/>
  <c r="BM344" i="23"/>
  <c r="BH344" i="23"/>
  <c r="BS344" i="23"/>
  <c r="BP344" i="23"/>
  <c r="BJ344" i="23"/>
  <c r="BG344" i="23"/>
  <c r="BQ344" i="23"/>
  <c r="BN344" i="23"/>
  <c r="BK344" i="23"/>
  <c r="BF344" i="23"/>
  <c r="BU344" i="23"/>
  <c r="BR344" i="23"/>
  <c r="BL344" i="23"/>
  <c r="BI344" i="23"/>
  <c r="BQ342" i="23"/>
  <c r="BO342" i="23"/>
  <c r="BJ342" i="23"/>
  <c r="BH342" i="23"/>
  <c r="BT342" i="23"/>
  <c r="BR342" i="23"/>
  <c r="BN342" i="23"/>
  <c r="BK342" i="23"/>
  <c r="BU342" i="23"/>
  <c r="BP342" i="23"/>
  <c r="BL342" i="23"/>
  <c r="BG342" i="23"/>
  <c r="BS342" i="23"/>
  <c r="BM342" i="23"/>
  <c r="BI342" i="23"/>
  <c r="BF342" i="23"/>
  <c r="BU174" i="23"/>
  <c r="BS174" i="23"/>
  <c r="BR174" i="23"/>
  <c r="BT174" i="23"/>
  <c r="BQ174" i="23"/>
  <c r="BO174" i="23"/>
  <c r="BP174" i="23"/>
  <c r="BL174" i="23"/>
  <c r="BM174" i="23"/>
  <c r="BN174" i="23"/>
  <c r="BI174" i="23"/>
  <c r="BJ174" i="23"/>
  <c r="BK174" i="23"/>
  <c r="BG174" i="23"/>
  <c r="BF174" i="23"/>
  <c r="BH174" i="23"/>
  <c r="BU169" i="23"/>
  <c r="BT169" i="23"/>
  <c r="BS169" i="23"/>
  <c r="BR169" i="23"/>
  <c r="BQ169" i="23"/>
  <c r="BP169" i="23"/>
  <c r="BO169" i="23"/>
  <c r="BM169" i="23"/>
  <c r="BN169" i="23"/>
  <c r="BL169" i="23"/>
  <c r="BI169" i="23"/>
  <c r="BJ169" i="23"/>
  <c r="BK169" i="23"/>
  <c r="BF169" i="23"/>
  <c r="BH169" i="23"/>
  <c r="BG169" i="23"/>
  <c r="BU379" i="23"/>
  <c r="BT379" i="23"/>
  <c r="BS379" i="23"/>
  <c r="BR379" i="23"/>
  <c r="BQ379" i="23"/>
  <c r="BP379" i="23"/>
  <c r="BO379" i="23"/>
  <c r="BM379" i="23"/>
  <c r="BN379" i="23"/>
  <c r="BK379" i="23"/>
  <c r="BL379" i="23"/>
  <c r="BI379" i="23"/>
  <c r="BJ379" i="23"/>
  <c r="BH379" i="23"/>
  <c r="BG379" i="23"/>
  <c r="BF379" i="23"/>
  <c r="BU136" i="23"/>
  <c r="BT136" i="23"/>
  <c r="BS136" i="23"/>
  <c r="BR136" i="23"/>
  <c r="BQ136" i="23"/>
  <c r="BO136" i="23"/>
  <c r="BP136" i="23"/>
  <c r="BN136" i="23"/>
  <c r="BL136" i="23"/>
  <c r="BM136" i="23"/>
  <c r="BJ136" i="23"/>
  <c r="BK136" i="23"/>
  <c r="BI136" i="23"/>
  <c r="BF136" i="23"/>
  <c r="BH136" i="23"/>
  <c r="BG136" i="23"/>
  <c r="BU97" i="23"/>
  <c r="BT97" i="23"/>
  <c r="BR97" i="23"/>
  <c r="BS97" i="23"/>
  <c r="BQ97" i="23"/>
  <c r="BP97" i="23"/>
  <c r="BO97" i="23"/>
  <c r="BM97" i="23"/>
  <c r="BN97" i="23"/>
  <c r="BL97" i="23"/>
  <c r="BI97" i="23"/>
  <c r="BJ97" i="23"/>
  <c r="BK97" i="23"/>
  <c r="BF97" i="23"/>
  <c r="BH97" i="23"/>
  <c r="BG97" i="23"/>
  <c r="BT325" i="23"/>
  <c r="BP325" i="23"/>
  <c r="BL325" i="23"/>
  <c r="BI325" i="23"/>
  <c r="BS325" i="23"/>
  <c r="BO325" i="23"/>
  <c r="BJ325" i="23"/>
  <c r="BH325" i="23"/>
  <c r="BQ325" i="23"/>
  <c r="BM325" i="23"/>
  <c r="BK325" i="23"/>
  <c r="BG325" i="23"/>
  <c r="BU325" i="23"/>
  <c r="BR325" i="23"/>
  <c r="BN325" i="23"/>
  <c r="BF325" i="23"/>
  <c r="BQ426" i="23"/>
  <c r="BN426" i="23"/>
  <c r="BK426" i="23"/>
  <c r="BF426" i="23"/>
  <c r="BU426" i="23"/>
  <c r="BR426" i="23"/>
  <c r="BO426" i="23"/>
  <c r="BG426" i="23"/>
  <c r="BS426" i="23"/>
  <c r="BP426" i="23"/>
  <c r="BL426" i="23"/>
  <c r="BI426" i="23"/>
  <c r="BT426" i="23"/>
  <c r="BM426" i="23"/>
  <c r="BJ426" i="23"/>
  <c r="BH426" i="23"/>
  <c r="BT382" i="23"/>
  <c r="BU382" i="23"/>
  <c r="BS382" i="23"/>
  <c r="BQ382" i="23"/>
  <c r="BR382" i="23"/>
  <c r="BP382" i="23"/>
  <c r="BM382" i="23"/>
  <c r="BN382" i="23"/>
  <c r="BO382" i="23"/>
  <c r="BL382" i="23"/>
  <c r="BI382" i="23"/>
  <c r="BJ382" i="23"/>
  <c r="BK382" i="23"/>
  <c r="BG382" i="23"/>
  <c r="BH382" i="23"/>
  <c r="BF382" i="23"/>
  <c r="BT369" i="23"/>
  <c r="BP369" i="23"/>
  <c r="BL369" i="23"/>
  <c r="BF369" i="23"/>
  <c r="BS369" i="23"/>
  <c r="BM369" i="23"/>
  <c r="BJ369" i="23"/>
  <c r="BH369" i="23"/>
  <c r="BQ369" i="23"/>
  <c r="BN369" i="23"/>
  <c r="BK369" i="23"/>
  <c r="BG369" i="23"/>
  <c r="BU369" i="23"/>
  <c r="BR369" i="23"/>
  <c r="BO369" i="23"/>
  <c r="BI369" i="23"/>
  <c r="BU296" i="23"/>
  <c r="BO296" i="23"/>
  <c r="BM296" i="23"/>
  <c r="BH296" i="23"/>
  <c r="BS296" i="23"/>
  <c r="BP296" i="23"/>
  <c r="BJ296" i="23"/>
  <c r="BG296" i="23"/>
  <c r="BR296" i="23"/>
  <c r="BN296" i="23"/>
  <c r="BK296" i="23"/>
  <c r="BF296" i="23"/>
  <c r="BT296" i="23"/>
  <c r="BQ296" i="23"/>
  <c r="BL296" i="23"/>
  <c r="BI296" i="23"/>
  <c r="BU263" i="23"/>
  <c r="BT263" i="23"/>
  <c r="BS263" i="23"/>
  <c r="BR263" i="23"/>
  <c r="BQ263" i="23"/>
  <c r="BO263" i="23"/>
  <c r="BP263" i="23"/>
  <c r="BL263" i="23"/>
  <c r="BM263" i="23"/>
  <c r="BN263" i="23"/>
  <c r="BK263" i="23"/>
  <c r="BI263" i="23"/>
  <c r="BJ263" i="23"/>
  <c r="BH263" i="23"/>
  <c r="BG263" i="23"/>
  <c r="BF263" i="23"/>
  <c r="BR290" i="23"/>
  <c r="BO290" i="23"/>
  <c r="BJ290" i="23"/>
  <c r="BH290" i="23"/>
  <c r="BU290" i="23"/>
  <c r="BQ290" i="23"/>
  <c r="BM290" i="23"/>
  <c r="BK290" i="23"/>
  <c r="BT290" i="23"/>
  <c r="BP290" i="23"/>
  <c r="BN290" i="23"/>
  <c r="BG290" i="23"/>
  <c r="BS290" i="23"/>
  <c r="BL290" i="23"/>
  <c r="BI290" i="23"/>
  <c r="BF290" i="23"/>
  <c r="BU175" i="23"/>
  <c r="BT175" i="23"/>
  <c r="BS175" i="23"/>
  <c r="BR175" i="23"/>
  <c r="BQ175" i="23"/>
  <c r="BO175" i="23"/>
  <c r="BP175" i="23"/>
  <c r="BL175" i="23"/>
  <c r="BM175" i="23"/>
  <c r="BN175" i="23"/>
  <c r="BK175" i="23"/>
  <c r="BI175" i="23"/>
  <c r="BJ175" i="23"/>
  <c r="BH175" i="23"/>
  <c r="BG175" i="23"/>
  <c r="BF175" i="23"/>
  <c r="BT86" i="23"/>
  <c r="BO86" i="23"/>
  <c r="BN86" i="23"/>
  <c r="BG86" i="23"/>
  <c r="BS86" i="23"/>
  <c r="BP86" i="23"/>
  <c r="BI86" i="23"/>
  <c r="BF86" i="23"/>
  <c r="BR86" i="23"/>
  <c r="BL86" i="23"/>
  <c r="BJ86" i="23"/>
  <c r="BH86" i="23"/>
  <c r="BU86" i="23"/>
  <c r="BQ86" i="23"/>
  <c r="BM86" i="23"/>
  <c r="BK86" i="23"/>
  <c r="BS434" i="23"/>
  <c r="BP434" i="23"/>
  <c r="BL434" i="23"/>
  <c r="BI434" i="23"/>
  <c r="BT434" i="23"/>
  <c r="BM434" i="23"/>
  <c r="BJ434" i="23"/>
  <c r="BH434" i="23"/>
  <c r="BQ434" i="23"/>
  <c r="BN434" i="23"/>
  <c r="BK434" i="23"/>
  <c r="BF434" i="23"/>
  <c r="BU434" i="23"/>
  <c r="BR434" i="23"/>
  <c r="BO434" i="23"/>
  <c r="BG434" i="23"/>
  <c r="BR123" i="23"/>
  <c r="BL123" i="23"/>
  <c r="BI123" i="23"/>
  <c r="BF123" i="23"/>
  <c r="BU123" i="23"/>
  <c r="BQ123" i="23"/>
  <c r="BM123" i="23"/>
  <c r="BJ123" i="23"/>
  <c r="BT123" i="23"/>
  <c r="BO123" i="23"/>
  <c r="BN123" i="23"/>
  <c r="BH123" i="23"/>
  <c r="BS123" i="23"/>
  <c r="BP123" i="23"/>
  <c r="BK123" i="23"/>
  <c r="BG123" i="23"/>
  <c r="BR192" i="23"/>
  <c r="BN192" i="23"/>
  <c r="BK192" i="23"/>
  <c r="BF192" i="23"/>
  <c r="BU192" i="23"/>
  <c r="BQ192" i="23"/>
  <c r="BL192" i="23"/>
  <c r="BI192" i="23"/>
  <c r="BT192" i="23"/>
  <c r="BO192" i="23"/>
  <c r="BM192" i="23"/>
  <c r="BH192" i="23"/>
  <c r="BS192" i="23"/>
  <c r="BP192" i="23"/>
  <c r="BJ192" i="23"/>
  <c r="BG192" i="23"/>
  <c r="BU201" i="23"/>
  <c r="BT201" i="23"/>
  <c r="BS201" i="23"/>
  <c r="BR201" i="23"/>
  <c r="BQ201" i="23"/>
  <c r="BP201" i="23"/>
  <c r="BO201" i="23"/>
  <c r="BM201" i="23"/>
  <c r="BN201" i="23"/>
  <c r="BL201" i="23"/>
  <c r="BI201" i="23"/>
  <c r="BJ201" i="23"/>
  <c r="BK201" i="23"/>
  <c r="BF201" i="23"/>
  <c r="BH201" i="23"/>
  <c r="BG201" i="23"/>
  <c r="BS316" i="23"/>
  <c r="BP316" i="23"/>
  <c r="BJ316" i="23"/>
  <c r="BG316" i="23"/>
  <c r="BQ316" i="23"/>
  <c r="BN316" i="23"/>
  <c r="BK316" i="23"/>
  <c r="BF316" i="23"/>
  <c r="BT316" i="23"/>
  <c r="BR316" i="23"/>
  <c r="BL316" i="23"/>
  <c r="BI316" i="23"/>
  <c r="BU206" i="23"/>
  <c r="BS206" i="23"/>
  <c r="BT206" i="23"/>
  <c r="BR206" i="23"/>
  <c r="BQ206" i="23"/>
  <c r="BO206" i="23"/>
  <c r="BP206" i="23"/>
  <c r="BL206" i="23"/>
  <c r="BM206" i="23"/>
  <c r="BN206" i="23"/>
  <c r="BI206" i="23"/>
  <c r="BJ206" i="23"/>
  <c r="BK206" i="23"/>
  <c r="BG206" i="23"/>
  <c r="BF206" i="23"/>
  <c r="BH206" i="23"/>
  <c r="BU32" i="23"/>
  <c r="BT32" i="23"/>
  <c r="BS32" i="23"/>
  <c r="BR32" i="23"/>
  <c r="BQ32" i="23"/>
  <c r="BP32" i="23"/>
  <c r="BO32" i="23"/>
  <c r="BN32" i="23"/>
  <c r="BL32" i="23"/>
  <c r="BM32" i="23"/>
  <c r="BJ32" i="23"/>
  <c r="BK32" i="23"/>
  <c r="BI32" i="23"/>
  <c r="BF32" i="23"/>
  <c r="BH32" i="23"/>
  <c r="BG32" i="23"/>
  <c r="BU309" i="23"/>
  <c r="BT309" i="23"/>
  <c r="BS309" i="23"/>
  <c r="BQ309" i="23"/>
  <c r="BR309" i="23"/>
  <c r="BP309" i="23"/>
  <c r="BO309" i="23"/>
  <c r="BM309" i="23"/>
  <c r="BN309" i="23"/>
  <c r="BL309" i="23"/>
  <c r="BJ309" i="23"/>
  <c r="BK309" i="23"/>
  <c r="BF309" i="23"/>
  <c r="BI309" i="23"/>
  <c r="BH309" i="23"/>
  <c r="BG309" i="23"/>
  <c r="BT305" i="23"/>
  <c r="BP305" i="23"/>
  <c r="BL305" i="23"/>
  <c r="BF305" i="23"/>
  <c r="BS305" i="23"/>
  <c r="BO305" i="23"/>
  <c r="BJ305" i="23"/>
  <c r="BH305" i="23"/>
  <c r="BR305" i="23"/>
  <c r="BM305" i="23"/>
  <c r="BK305" i="23"/>
  <c r="BG305" i="23"/>
  <c r="BU305" i="23"/>
  <c r="BQ305" i="23"/>
  <c r="BN305" i="23"/>
  <c r="BI305" i="23"/>
  <c r="BU435" i="23"/>
  <c r="BT435" i="23"/>
  <c r="BS435" i="23"/>
  <c r="BR435" i="23"/>
  <c r="BQ435" i="23"/>
  <c r="BP435" i="23"/>
  <c r="BO435" i="23"/>
  <c r="BM435" i="23"/>
  <c r="BN435" i="23"/>
  <c r="BK435" i="23"/>
  <c r="BL435" i="23"/>
  <c r="BJ435" i="23"/>
  <c r="BH435" i="23"/>
  <c r="BG435" i="23"/>
  <c r="BI435" i="23"/>
  <c r="BF435" i="23"/>
  <c r="BS254" i="23"/>
  <c r="BO254" i="23"/>
  <c r="BN254" i="23"/>
  <c r="BG254" i="23"/>
  <c r="BT254" i="23"/>
  <c r="BP254" i="23"/>
  <c r="BI254" i="23"/>
  <c r="BF254" i="23"/>
  <c r="BR254" i="23"/>
  <c r="BL254" i="23"/>
  <c r="BJ254" i="23"/>
  <c r="BH254" i="23"/>
  <c r="BU254" i="23"/>
  <c r="BQ254" i="23"/>
  <c r="BM254" i="23"/>
  <c r="BK254" i="23"/>
  <c r="BU98" i="23"/>
  <c r="BT98" i="23"/>
  <c r="BS98" i="23"/>
  <c r="BR98" i="23"/>
  <c r="BQ98" i="23"/>
  <c r="BO98" i="23"/>
  <c r="BP98" i="23"/>
  <c r="BL98" i="23"/>
  <c r="BM98" i="23"/>
  <c r="BN98" i="23"/>
  <c r="BI98" i="23"/>
  <c r="BJ98" i="23"/>
  <c r="BK98" i="23"/>
  <c r="BG98" i="23"/>
  <c r="BF98" i="23"/>
  <c r="BH98" i="23"/>
  <c r="BQ177" i="23"/>
  <c r="BM177" i="23"/>
  <c r="BJ177" i="23"/>
  <c r="BG177" i="23"/>
  <c r="BU177" i="23"/>
  <c r="BR177" i="23"/>
  <c r="BN177" i="23"/>
  <c r="BK177" i="23"/>
  <c r="BT177" i="23"/>
  <c r="BP177" i="23"/>
  <c r="BL177" i="23"/>
  <c r="BF177" i="23"/>
  <c r="BS177" i="23"/>
  <c r="BO177" i="23"/>
  <c r="BI177" i="23"/>
  <c r="BH177" i="23"/>
  <c r="BT88" i="23"/>
  <c r="BO88" i="23"/>
  <c r="BM88" i="23"/>
  <c r="BF88" i="23"/>
  <c r="BS88" i="23"/>
  <c r="BP88" i="23"/>
  <c r="BJ88" i="23"/>
  <c r="BH88" i="23"/>
  <c r="BR88" i="23"/>
  <c r="BN88" i="23"/>
  <c r="BK88" i="23"/>
  <c r="BG88" i="23"/>
  <c r="BU88" i="23"/>
  <c r="BQ88" i="23"/>
  <c r="BL88" i="23"/>
  <c r="BI88" i="23"/>
  <c r="BT76" i="23"/>
  <c r="BO76" i="23"/>
  <c r="BM76" i="23"/>
  <c r="BF76" i="23"/>
  <c r="BS76" i="23"/>
  <c r="BP76" i="23"/>
  <c r="BJ76" i="23"/>
  <c r="BH76" i="23"/>
  <c r="BR76" i="23"/>
  <c r="BN76" i="23"/>
  <c r="BK76" i="23"/>
  <c r="BG76" i="23"/>
  <c r="BU76" i="23"/>
  <c r="BQ76" i="23"/>
  <c r="BL76" i="23"/>
  <c r="BI76" i="23"/>
  <c r="BU211" i="23"/>
  <c r="BT211" i="23"/>
  <c r="BS211" i="23"/>
  <c r="BR211" i="23"/>
  <c r="BQ211" i="23"/>
  <c r="BO211" i="23"/>
  <c r="BP211" i="23"/>
  <c r="BL211" i="23"/>
  <c r="BM211" i="23"/>
  <c r="BN211" i="23"/>
  <c r="BK211" i="23"/>
  <c r="BI211" i="23"/>
  <c r="BJ211" i="23"/>
  <c r="BH211" i="23"/>
  <c r="BG211" i="23"/>
  <c r="BF211" i="23"/>
  <c r="BT401" i="23"/>
  <c r="BP401" i="23"/>
  <c r="BJ401" i="23"/>
  <c r="BH401" i="23"/>
  <c r="BS401" i="23"/>
  <c r="BM401" i="23"/>
  <c r="BK401" i="23"/>
  <c r="BG401" i="23"/>
  <c r="BQ401" i="23"/>
  <c r="BN401" i="23"/>
  <c r="BL401" i="23"/>
  <c r="BF401" i="23"/>
  <c r="BU401" i="23"/>
  <c r="BR401" i="23"/>
  <c r="BO401" i="23"/>
  <c r="BI401" i="23"/>
  <c r="BV292" i="23"/>
  <c r="BV39" i="23"/>
  <c r="BV261" i="23"/>
  <c r="BH237" i="23"/>
  <c r="BI237" i="23"/>
  <c r="BO237" i="23"/>
  <c r="BS237" i="23"/>
  <c r="BH274" i="23"/>
  <c r="BJ274" i="23"/>
  <c r="BO274" i="23"/>
  <c r="BR274" i="23"/>
  <c r="BV179" i="23"/>
  <c r="BH102" i="23"/>
  <c r="BJ102" i="23"/>
  <c r="BL102" i="23"/>
  <c r="BR102" i="23"/>
  <c r="BG145" i="23"/>
  <c r="BJ145" i="23"/>
  <c r="BM145" i="23"/>
  <c r="BS145" i="23"/>
  <c r="BV331" i="23"/>
  <c r="BG180" i="23"/>
  <c r="BK180" i="23"/>
  <c r="BN180" i="23"/>
  <c r="BR180" i="23"/>
  <c r="BH266" i="23"/>
  <c r="BJ266" i="23"/>
  <c r="BL266" i="23"/>
  <c r="BQ266" i="23"/>
  <c r="BG149" i="23"/>
  <c r="BJ149" i="23"/>
  <c r="BM149" i="23"/>
  <c r="BR149" i="23"/>
  <c r="BV402" i="23"/>
  <c r="BF243" i="23"/>
  <c r="BI243" i="23"/>
  <c r="BL243" i="23"/>
  <c r="BR243" i="23"/>
  <c r="BF364" i="23"/>
  <c r="BK364" i="23"/>
  <c r="BO364" i="23"/>
  <c r="BQ364" i="23"/>
  <c r="BF348" i="23"/>
  <c r="BK348" i="23"/>
  <c r="BO348" i="23"/>
  <c r="BQ348" i="23"/>
  <c r="BF228" i="23"/>
  <c r="BK228" i="23"/>
  <c r="BN228" i="23"/>
  <c r="BR228" i="23"/>
  <c r="BF419" i="23"/>
  <c r="BJ419" i="23"/>
  <c r="BM419" i="23"/>
  <c r="BR419" i="23"/>
  <c r="BV425" i="23"/>
  <c r="BV151" i="23"/>
  <c r="BF418" i="23"/>
  <c r="BK418" i="23"/>
  <c r="BN418" i="23"/>
  <c r="BQ418" i="23"/>
  <c r="BV275" i="23"/>
  <c r="BV300" i="23"/>
  <c r="BG209" i="23"/>
  <c r="BJ209" i="23"/>
  <c r="BM209" i="23"/>
  <c r="BQ209" i="23"/>
  <c r="BH78" i="23"/>
  <c r="BJ78" i="23"/>
  <c r="BL78" i="23"/>
  <c r="BR78" i="23"/>
  <c r="BG73" i="23"/>
  <c r="BJ73" i="23"/>
  <c r="BM73" i="23"/>
  <c r="BR73" i="23"/>
  <c r="BV163" i="23"/>
  <c r="BG61" i="23"/>
  <c r="BJ61" i="23"/>
  <c r="BM61" i="23"/>
  <c r="BR61" i="23"/>
  <c r="BH54" i="23"/>
  <c r="BJ54" i="23"/>
  <c r="BL54" i="23"/>
  <c r="BR54" i="23"/>
  <c r="BV312" i="23"/>
  <c r="BV411" i="23"/>
  <c r="BV384" i="23"/>
  <c r="BV215" i="23"/>
  <c r="BF432" i="23"/>
  <c r="BL432" i="23"/>
  <c r="BO432" i="23"/>
  <c r="BR432" i="23"/>
  <c r="BH42" i="23"/>
  <c r="BJ42" i="23"/>
  <c r="BL42" i="23"/>
  <c r="BR42" i="23"/>
  <c r="BG253" i="23"/>
  <c r="BK253" i="23"/>
  <c r="BM253" i="23"/>
  <c r="BR253" i="23"/>
  <c r="BV424" i="23"/>
  <c r="BV447" i="23"/>
  <c r="BV248" i="23"/>
  <c r="BG193" i="23"/>
  <c r="BJ193" i="23"/>
  <c r="BM193" i="23"/>
  <c r="BQ193" i="23"/>
  <c r="BF394" i="23"/>
  <c r="BJ394" i="23"/>
  <c r="BN394" i="23"/>
  <c r="BQ394" i="23"/>
  <c r="BF443" i="23"/>
  <c r="BJ443" i="23"/>
  <c r="BM443" i="23"/>
  <c r="BR443" i="23"/>
  <c r="BG172" i="23"/>
  <c r="BK172" i="23"/>
  <c r="BN172" i="23"/>
  <c r="BR172" i="23"/>
  <c r="BF59" i="23"/>
  <c r="BI59" i="23"/>
  <c r="BL59" i="23"/>
  <c r="BR59" i="23"/>
  <c r="BF428" i="23"/>
  <c r="BL428" i="23"/>
  <c r="BO428" i="23"/>
  <c r="BR428" i="23"/>
  <c r="BV446" i="23"/>
  <c r="BF216" i="23"/>
  <c r="BK216" i="23"/>
  <c r="BN216" i="23"/>
  <c r="BR216" i="23"/>
  <c r="BG373" i="23"/>
  <c r="BK373" i="23"/>
  <c r="BN373" i="23"/>
  <c r="BQ373" i="23"/>
  <c r="BF390" i="23"/>
  <c r="BJ390" i="23"/>
  <c r="BN390" i="23"/>
  <c r="BQ390" i="23"/>
  <c r="BT315" i="23"/>
  <c r="BU316" i="23"/>
  <c r="BS436" i="23"/>
  <c r="BU49" i="23"/>
  <c r="BT49" i="23"/>
  <c r="BR49" i="23"/>
  <c r="BS49" i="23"/>
  <c r="BQ49" i="23"/>
  <c r="BP49" i="23"/>
  <c r="BO49" i="23"/>
  <c r="BM49" i="23"/>
  <c r="BN49" i="23"/>
  <c r="BL49" i="23"/>
  <c r="BI49" i="23"/>
  <c r="BJ49" i="23"/>
  <c r="BK49" i="23"/>
  <c r="BF49" i="23"/>
  <c r="BH49" i="23"/>
  <c r="BG49" i="23"/>
  <c r="BT317" i="23"/>
  <c r="BP317" i="23"/>
  <c r="BL317" i="23"/>
  <c r="BF317" i="23"/>
  <c r="BS317" i="23"/>
  <c r="BO317" i="23"/>
  <c r="BJ317" i="23"/>
  <c r="BH317" i="23"/>
  <c r="BQ317" i="23"/>
  <c r="BM317" i="23"/>
  <c r="BK317" i="23"/>
  <c r="BG317" i="23"/>
  <c r="BU317" i="23"/>
  <c r="BR317" i="23"/>
  <c r="BN317" i="23"/>
  <c r="BI317" i="23"/>
  <c r="BU346" i="23"/>
  <c r="BS346" i="23"/>
  <c r="BT346" i="23"/>
  <c r="BQ346" i="23"/>
  <c r="BR346" i="23"/>
  <c r="BP346" i="23"/>
  <c r="BM346" i="23"/>
  <c r="BN346" i="23"/>
  <c r="BO346" i="23"/>
  <c r="BL346" i="23"/>
  <c r="BI346" i="23"/>
  <c r="BJ346" i="23"/>
  <c r="BK346" i="23"/>
  <c r="BG346" i="23"/>
  <c r="BF346" i="23"/>
  <c r="BH346" i="23"/>
  <c r="BQ326" i="23"/>
  <c r="BO326" i="23"/>
  <c r="BJ326" i="23"/>
  <c r="BH326" i="23"/>
  <c r="BT326" i="23"/>
  <c r="BR326" i="23"/>
  <c r="BN326" i="23"/>
  <c r="BK326" i="23"/>
  <c r="BU326" i="23"/>
  <c r="BP326" i="23"/>
  <c r="BL326" i="23"/>
  <c r="BG326" i="23"/>
  <c r="BS326" i="23"/>
  <c r="BM326" i="23"/>
  <c r="BI326" i="23"/>
  <c r="BF326" i="23"/>
  <c r="BU87" i="23"/>
  <c r="BT87" i="23"/>
  <c r="BS87" i="23"/>
  <c r="BR87" i="23"/>
  <c r="BQ87" i="23"/>
  <c r="BO87" i="23"/>
  <c r="BP87" i="23"/>
  <c r="BL87" i="23"/>
  <c r="BM87" i="23"/>
  <c r="BN87" i="23"/>
  <c r="BK87" i="23"/>
  <c r="BI87" i="23"/>
  <c r="BJ87" i="23"/>
  <c r="BH87" i="23"/>
  <c r="BG87" i="23"/>
  <c r="BF87" i="23"/>
  <c r="BT118" i="23"/>
  <c r="BO118" i="23"/>
  <c r="BN118" i="23"/>
  <c r="BG118" i="23"/>
  <c r="BS118" i="23"/>
  <c r="BP118" i="23"/>
  <c r="BI118" i="23"/>
  <c r="BF118" i="23"/>
  <c r="BR118" i="23"/>
  <c r="BL118" i="23"/>
  <c r="BJ118" i="23"/>
  <c r="BH118" i="23"/>
  <c r="BU118" i="23"/>
  <c r="BQ118" i="23"/>
  <c r="BM118" i="23"/>
  <c r="BK118" i="23"/>
  <c r="BT132" i="23"/>
  <c r="BO132" i="23"/>
  <c r="BM132" i="23"/>
  <c r="BF132" i="23"/>
  <c r="BS132" i="23"/>
  <c r="BP132" i="23"/>
  <c r="BJ132" i="23"/>
  <c r="BH132" i="23"/>
  <c r="BR132" i="23"/>
  <c r="BN132" i="23"/>
  <c r="BK132" i="23"/>
  <c r="BG132" i="23"/>
  <c r="BU132" i="23"/>
  <c r="BQ132" i="23"/>
  <c r="BL132" i="23"/>
  <c r="BI132" i="23"/>
  <c r="BU341" i="23"/>
  <c r="BT341" i="23"/>
  <c r="BS341" i="23"/>
  <c r="BQ341" i="23"/>
  <c r="BR341" i="23"/>
  <c r="BP341" i="23"/>
  <c r="BO341" i="23"/>
  <c r="BM341" i="23"/>
  <c r="BN341" i="23"/>
  <c r="BL341" i="23"/>
  <c r="BJ341" i="23"/>
  <c r="BK341" i="23"/>
  <c r="BF341" i="23"/>
  <c r="BI341" i="23"/>
  <c r="BH341" i="23"/>
  <c r="BG341" i="23"/>
  <c r="BU107" i="23"/>
  <c r="BT107" i="23"/>
  <c r="BS107" i="23"/>
  <c r="BR107" i="23"/>
  <c r="BQ107" i="23"/>
  <c r="BO107" i="23"/>
  <c r="BP107" i="23"/>
  <c r="BL107" i="23"/>
  <c r="BM107" i="23"/>
  <c r="BN107" i="23"/>
  <c r="BK107" i="23"/>
  <c r="BI107" i="23"/>
  <c r="BJ107" i="23"/>
  <c r="BH107" i="23"/>
  <c r="BG107" i="23"/>
  <c r="BF107" i="23"/>
  <c r="BT81" i="23"/>
  <c r="BP81" i="23"/>
  <c r="BL81" i="23"/>
  <c r="BF81" i="23"/>
  <c r="BR81" i="23"/>
  <c r="BO81" i="23"/>
  <c r="BI81" i="23"/>
  <c r="BH81" i="23"/>
  <c r="BS81" i="23"/>
  <c r="BM81" i="23"/>
  <c r="BJ81" i="23"/>
  <c r="BG81" i="23"/>
  <c r="BU81" i="23"/>
  <c r="BQ81" i="23"/>
  <c r="BN81" i="23"/>
  <c r="BK81" i="23"/>
  <c r="BU430" i="23"/>
  <c r="BT430" i="23"/>
  <c r="BS430" i="23"/>
  <c r="BQ430" i="23"/>
  <c r="BR430" i="23"/>
  <c r="BP430" i="23"/>
  <c r="BM430" i="23"/>
  <c r="BN430" i="23"/>
  <c r="BO430" i="23"/>
  <c r="BL430" i="23"/>
  <c r="BJ430" i="23"/>
  <c r="BK430" i="23"/>
  <c r="BG430" i="23"/>
  <c r="BI430" i="23"/>
  <c r="BH430" i="23"/>
  <c r="BF430" i="23"/>
  <c r="BU383" i="23"/>
  <c r="BT383" i="23"/>
  <c r="BS383" i="23"/>
  <c r="BR383" i="23"/>
  <c r="BQ383" i="23"/>
  <c r="BP383" i="23"/>
  <c r="BO383" i="23"/>
  <c r="BM383" i="23"/>
  <c r="BN383" i="23"/>
  <c r="BK383" i="23"/>
  <c r="BL383" i="23"/>
  <c r="BI383" i="23"/>
  <c r="BJ383" i="23"/>
  <c r="BH383" i="23"/>
  <c r="BG383" i="23"/>
  <c r="BF383" i="23"/>
  <c r="BU235" i="23"/>
  <c r="BT235" i="23"/>
  <c r="BS235" i="23"/>
  <c r="BR235" i="23"/>
  <c r="BQ235" i="23"/>
  <c r="BO235" i="23"/>
  <c r="BP235" i="23"/>
  <c r="BL235" i="23"/>
  <c r="BM235" i="23"/>
  <c r="BN235" i="23"/>
  <c r="BK235" i="23"/>
  <c r="BI235" i="23"/>
  <c r="BJ235" i="23"/>
  <c r="BH235" i="23"/>
  <c r="BG235" i="23"/>
  <c r="BF235" i="23"/>
  <c r="BT150" i="23"/>
  <c r="BO150" i="23"/>
  <c r="BN150" i="23"/>
  <c r="BG150" i="23"/>
  <c r="BS150" i="23"/>
  <c r="BP150" i="23"/>
  <c r="BI150" i="23"/>
  <c r="BF150" i="23"/>
  <c r="BR150" i="23"/>
  <c r="BL150" i="23"/>
  <c r="BJ150" i="23"/>
  <c r="BH150" i="23"/>
  <c r="BU150" i="23"/>
  <c r="BQ150" i="23"/>
  <c r="BM150" i="23"/>
  <c r="BK150" i="23"/>
  <c r="BU124" i="23"/>
  <c r="BT124" i="23"/>
  <c r="BS124" i="23"/>
  <c r="BR124" i="23"/>
  <c r="BQ124" i="23"/>
  <c r="BO124" i="23"/>
  <c r="BP124" i="23"/>
  <c r="BN124" i="23"/>
  <c r="BL124" i="23"/>
  <c r="BM124" i="23"/>
  <c r="BJ124" i="23"/>
  <c r="BK124" i="23"/>
  <c r="BI124" i="23"/>
  <c r="BF124" i="23"/>
  <c r="BH124" i="23"/>
  <c r="BG124" i="23"/>
  <c r="BT262" i="23"/>
  <c r="BO262" i="23"/>
  <c r="BN262" i="23"/>
  <c r="BG262" i="23"/>
  <c r="BS262" i="23"/>
  <c r="BP262" i="23"/>
  <c r="BI262" i="23"/>
  <c r="BF262" i="23"/>
  <c r="BR262" i="23"/>
  <c r="BL262" i="23"/>
  <c r="BJ262" i="23"/>
  <c r="BH262" i="23"/>
  <c r="BU262" i="23"/>
  <c r="BQ262" i="23"/>
  <c r="BM262" i="23"/>
  <c r="BK262" i="23"/>
  <c r="BU252" i="23"/>
  <c r="BO252" i="23"/>
  <c r="BM252" i="23"/>
  <c r="BH252" i="23"/>
  <c r="BS252" i="23"/>
  <c r="BP252" i="23"/>
  <c r="BJ252" i="23"/>
  <c r="BG252" i="23"/>
  <c r="BR252" i="23"/>
  <c r="BN252" i="23"/>
  <c r="BK252" i="23"/>
  <c r="BF252" i="23"/>
  <c r="BT252" i="23"/>
  <c r="BQ252" i="23"/>
  <c r="BL252" i="23"/>
  <c r="BI252" i="23"/>
  <c r="BS380" i="23"/>
  <c r="BP380" i="23"/>
  <c r="BJ380" i="23"/>
  <c r="BH380" i="23"/>
  <c r="BT380" i="23"/>
  <c r="BN380" i="23"/>
  <c r="BK380" i="23"/>
  <c r="BG380" i="23"/>
  <c r="BQ380" i="23"/>
  <c r="BO380" i="23"/>
  <c r="BL380" i="23"/>
  <c r="BF380" i="23"/>
  <c r="BU380" i="23"/>
  <c r="BR380" i="23"/>
  <c r="BM380" i="23"/>
  <c r="BI380" i="23"/>
  <c r="BT365" i="23"/>
  <c r="BP365" i="23"/>
  <c r="BL365" i="23"/>
  <c r="BF365" i="23"/>
  <c r="BS365" i="23"/>
  <c r="BM365" i="23"/>
  <c r="BJ365" i="23"/>
  <c r="BH365" i="23"/>
  <c r="BQ365" i="23"/>
  <c r="BN365" i="23"/>
  <c r="BK365" i="23"/>
  <c r="BG365" i="23"/>
  <c r="BU365" i="23"/>
  <c r="BR365" i="23"/>
  <c r="BO365" i="23"/>
  <c r="BI365" i="23"/>
  <c r="BT40" i="23"/>
  <c r="BP40" i="23"/>
  <c r="BM40" i="23"/>
  <c r="BF40" i="23"/>
  <c r="BS40" i="23"/>
  <c r="BO40" i="23"/>
  <c r="BJ40" i="23"/>
  <c r="BH40" i="23"/>
  <c r="BR40" i="23"/>
  <c r="BN40" i="23"/>
  <c r="BK40" i="23"/>
  <c r="BG40" i="23"/>
  <c r="BU40" i="23"/>
  <c r="BQ40" i="23"/>
  <c r="BL40" i="23"/>
  <c r="BI40" i="23"/>
  <c r="BR80" i="23"/>
  <c r="BN80" i="23"/>
  <c r="BK80" i="23"/>
  <c r="BG80" i="23"/>
  <c r="BU80" i="23"/>
  <c r="BQ80" i="23"/>
  <c r="BL80" i="23"/>
  <c r="BI80" i="23"/>
  <c r="BT80" i="23"/>
  <c r="BO80" i="23"/>
  <c r="BM80" i="23"/>
  <c r="BF80" i="23"/>
  <c r="BS80" i="23"/>
  <c r="BP80" i="23"/>
  <c r="BJ80" i="23"/>
  <c r="BH80" i="23"/>
  <c r="BU110" i="23"/>
  <c r="BT110" i="23"/>
  <c r="BS110" i="23"/>
  <c r="BR110" i="23"/>
  <c r="BQ110" i="23"/>
  <c r="BO110" i="23"/>
  <c r="BP110" i="23"/>
  <c r="BL110" i="23"/>
  <c r="BM110" i="23"/>
  <c r="BN110" i="23"/>
  <c r="BI110" i="23"/>
  <c r="BJ110" i="23"/>
  <c r="BK110" i="23"/>
  <c r="BG110" i="23"/>
  <c r="BF110" i="23"/>
  <c r="BH110" i="23"/>
  <c r="BT220" i="23"/>
  <c r="BU220" i="23"/>
  <c r="BS220" i="23"/>
  <c r="BR220" i="23"/>
  <c r="BQ220" i="23"/>
  <c r="BO220" i="23"/>
  <c r="BP220" i="23"/>
  <c r="BN220" i="23"/>
  <c r="BL220" i="23"/>
  <c r="BM220" i="23"/>
  <c r="BJ220" i="23"/>
  <c r="BK220" i="23"/>
  <c r="BI220" i="23"/>
  <c r="BH220" i="23"/>
  <c r="BG220" i="23"/>
  <c r="BF220" i="23"/>
  <c r="BU154" i="23"/>
  <c r="BT154" i="23"/>
  <c r="BS154" i="23"/>
  <c r="BR154" i="23"/>
  <c r="BQ154" i="23"/>
  <c r="BO154" i="23"/>
  <c r="BP154" i="23"/>
  <c r="BL154" i="23"/>
  <c r="BM154" i="23"/>
  <c r="BN154" i="23"/>
  <c r="BI154" i="23"/>
  <c r="BJ154" i="23"/>
  <c r="BK154" i="23"/>
  <c r="BG154" i="23"/>
  <c r="BF154" i="23"/>
  <c r="BH154" i="23"/>
  <c r="BU371" i="23"/>
  <c r="BT371" i="23"/>
  <c r="BS371" i="23"/>
  <c r="BR371" i="23"/>
  <c r="BQ371" i="23"/>
  <c r="BP371" i="23"/>
  <c r="BO371" i="23"/>
  <c r="BL371" i="23"/>
  <c r="BM371" i="23"/>
  <c r="BN371" i="23"/>
  <c r="BK371" i="23"/>
  <c r="BI371" i="23"/>
  <c r="BJ371" i="23"/>
  <c r="BH371" i="23"/>
  <c r="BG371" i="23"/>
  <c r="BF371" i="23"/>
  <c r="BT350" i="23"/>
  <c r="BU350" i="23"/>
  <c r="BS350" i="23"/>
  <c r="BQ350" i="23"/>
  <c r="BR350" i="23"/>
  <c r="BP350" i="23"/>
  <c r="BM350" i="23"/>
  <c r="BN350" i="23"/>
  <c r="BO350" i="23"/>
  <c r="BI350" i="23"/>
  <c r="BL350" i="23"/>
  <c r="BJ350" i="23"/>
  <c r="BK350" i="23"/>
  <c r="BG350" i="23"/>
  <c r="BF350" i="23"/>
  <c r="BH350" i="23"/>
  <c r="BS334" i="23"/>
  <c r="BO334" i="23"/>
  <c r="BL334" i="23"/>
  <c r="BF334" i="23"/>
  <c r="BQ334" i="23"/>
  <c r="BM334" i="23"/>
  <c r="BJ334" i="23"/>
  <c r="BH334" i="23"/>
  <c r="BU334" i="23"/>
  <c r="BR334" i="23"/>
  <c r="BN334" i="23"/>
  <c r="BK334" i="23"/>
  <c r="BT367" i="23"/>
  <c r="BP367" i="23"/>
  <c r="BN367" i="23"/>
  <c r="BH367" i="23"/>
  <c r="BS367" i="23"/>
  <c r="BO367" i="23"/>
  <c r="BK367" i="23"/>
  <c r="BG367" i="23"/>
  <c r="BR367" i="23"/>
  <c r="BL367" i="23"/>
  <c r="BI367" i="23"/>
  <c r="BF367" i="23"/>
  <c r="BU367" i="23"/>
  <c r="BQ367" i="23"/>
  <c r="BM367" i="23"/>
  <c r="BJ367" i="23"/>
  <c r="BT278" i="23"/>
  <c r="BP278" i="23"/>
  <c r="BN278" i="23"/>
  <c r="BG278" i="23"/>
  <c r="BS278" i="23"/>
  <c r="BL278" i="23"/>
  <c r="BI278" i="23"/>
  <c r="BF278" i="23"/>
  <c r="BR278" i="23"/>
  <c r="BM278" i="23"/>
  <c r="BJ278" i="23"/>
  <c r="BH278" i="23"/>
  <c r="BU278" i="23"/>
  <c r="BQ278" i="23"/>
  <c r="BO278" i="23"/>
  <c r="BK278" i="23"/>
  <c r="BQ354" i="23"/>
  <c r="BN354" i="23"/>
  <c r="BL354" i="23"/>
  <c r="BH354" i="23"/>
  <c r="BU354" i="23"/>
  <c r="BR354" i="23"/>
  <c r="BO354" i="23"/>
  <c r="BK354" i="23"/>
  <c r="BS354" i="23"/>
  <c r="BP354" i="23"/>
  <c r="BI354" i="23"/>
  <c r="BG354" i="23"/>
  <c r="BT354" i="23"/>
  <c r="BM354" i="23"/>
  <c r="BJ354" i="23"/>
  <c r="BF354" i="23"/>
  <c r="BT236" i="23"/>
  <c r="BU236" i="23"/>
  <c r="BS236" i="23"/>
  <c r="BR236" i="23"/>
  <c r="BQ236" i="23"/>
  <c r="BO236" i="23"/>
  <c r="BP236" i="23"/>
  <c r="BN236" i="23"/>
  <c r="BL236" i="23"/>
  <c r="BM236" i="23"/>
  <c r="BJ236" i="23"/>
  <c r="BK236" i="23"/>
  <c r="BI236" i="23"/>
  <c r="BH236" i="23"/>
  <c r="BG236" i="23"/>
  <c r="BF236" i="23"/>
  <c r="BT67" i="23"/>
  <c r="BO67" i="23"/>
  <c r="BN67" i="23"/>
  <c r="BH67" i="23"/>
  <c r="BS67" i="23"/>
  <c r="BP67" i="23"/>
  <c r="BK67" i="23"/>
  <c r="BG67" i="23"/>
  <c r="BR67" i="23"/>
  <c r="BL67" i="23"/>
  <c r="BI67" i="23"/>
  <c r="BF67" i="23"/>
  <c r="BU67" i="23"/>
  <c r="BQ67" i="23"/>
  <c r="BM67" i="23"/>
  <c r="BJ67" i="23"/>
  <c r="BS82" i="23"/>
  <c r="BO82" i="23"/>
  <c r="BN82" i="23"/>
  <c r="BG82" i="23"/>
  <c r="BT82" i="23"/>
  <c r="BP82" i="23"/>
  <c r="BI82" i="23"/>
  <c r="BF82" i="23"/>
  <c r="BR82" i="23"/>
  <c r="BL82" i="23"/>
  <c r="BJ82" i="23"/>
  <c r="BH82" i="23"/>
  <c r="BU82" i="23"/>
  <c r="BQ82" i="23"/>
  <c r="BM82" i="23"/>
  <c r="BK82" i="23"/>
  <c r="BU106" i="23"/>
  <c r="BT106" i="23"/>
  <c r="BS106" i="23"/>
  <c r="BR106" i="23"/>
  <c r="BQ106" i="23"/>
  <c r="BO106" i="23"/>
  <c r="BP106" i="23"/>
  <c r="BL106" i="23"/>
  <c r="BM106" i="23"/>
  <c r="BN106" i="23"/>
  <c r="BI106" i="23"/>
  <c r="BJ106" i="23"/>
  <c r="BK106" i="23"/>
  <c r="BG106" i="23"/>
  <c r="BF106" i="23"/>
  <c r="BH106" i="23"/>
  <c r="BU298" i="23"/>
  <c r="BT298" i="23"/>
  <c r="BS298" i="23"/>
  <c r="BQ298" i="23"/>
  <c r="BR298" i="23"/>
  <c r="BP298" i="23"/>
  <c r="BM298" i="23"/>
  <c r="BN298" i="23"/>
  <c r="BO298" i="23"/>
  <c r="BL298" i="23"/>
  <c r="BI298" i="23"/>
  <c r="BJ298" i="23"/>
  <c r="BK298" i="23"/>
  <c r="BG298" i="23"/>
  <c r="BF298" i="23"/>
  <c r="BH298" i="23"/>
  <c r="BU57" i="23"/>
  <c r="BT57" i="23"/>
  <c r="BS57" i="23"/>
  <c r="BR57" i="23"/>
  <c r="BQ57" i="23"/>
  <c r="BP57" i="23"/>
  <c r="BO57" i="23"/>
  <c r="BM57" i="23"/>
  <c r="BN57" i="23"/>
  <c r="BL57" i="23"/>
  <c r="BI57" i="23"/>
  <c r="BJ57" i="23"/>
  <c r="BK57" i="23"/>
  <c r="BF57" i="23"/>
  <c r="BH57" i="23"/>
  <c r="BG57" i="23"/>
  <c r="BT358" i="23"/>
  <c r="BU358" i="23"/>
  <c r="BS358" i="23"/>
  <c r="BQ358" i="23"/>
  <c r="BR358" i="23"/>
  <c r="BP358" i="23"/>
  <c r="BM358" i="23"/>
  <c r="BN358" i="23"/>
  <c r="BO358" i="23"/>
  <c r="BL358" i="23"/>
  <c r="BI358" i="23"/>
  <c r="BJ358" i="23"/>
  <c r="BK358" i="23"/>
  <c r="BG358" i="23"/>
  <c r="BF358" i="23"/>
  <c r="BH358" i="23"/>
  <c r="BQ321" i="23"/>
  <c r="BM321" i="23"/>
  <c r="BK321" i="23"/>
  <c r="BG321" i="23"/>
  <c r="BU321" i="23"/>
  <c r="BR321" i="23"/>
  <c r="BN321" i="23"/>
  <c r="BI321" i="23"/>
  <c r="BT321" i="23"/>
  <c r="BP321" i="23"/>
  <c r="BL321" i="23"/>
  <c r="BF321" i="23"/>
  <c r="BS321" i="23"/>
  <c r="BO321" i="23"/>
  <c r="BJ321" i="23"/>
  <c r="BH321" i="23"/>
  <c r="BR143" i="23"/>
  <c r="BL143" i="23"/>
  <c r="BI143" i="23"/>
  <c r="BF143" i="23"/>
  <c r="BU143" i="23"/>
  <c r="BQ143" i="23"/>
  <c r="BM143" i="23"/>
  <c r="BJ143" i="23"/>
  <c r="BT143" i="23"/>
  <c r="BO143" i="23"/>
  <c r="BN143" i="23"/>
  <c r="BH143" i="23"/>
  <c r="BS143" i="23"/>
  <c r="BP143" i="23"/>
  <c r="BK143" i="23"/>
  <c r="BG143" i="23"/>
  <c r="BU293" i="23"/>
  <c r="BT293" i="23"/>
  <c r="BS293" i="23"/>
  <c r="BQ293" i="23"/>
  <c r="BR293" i="23"/>
  <c r="BP293" i="23"/>
  <c r="BO293" i="23"/>
  <c r="BM293" i="23"/>
  <c r="BN293" i="23"/>
  <c r="BL293" i="23"/>
  <c r="BJ293" i="23"/>
  <c r="BK293" i="23"/>
  <c r="BF293" i="23"/>
  <c r="BI293" i="23"/>
  <c r="BH293" i="23"/>
  <c r="BG293" i="23"/>
  <c r="BT320" i="23"/>
  <c r="BU320" i="23"/>
  <c r="BS320" i="23"/>
  <c r="BQ320" i="23"/>
  <c r="BR320" i="23"/>
  <c r="BO320" i="23"/>
  <c r="BP320" i="23"/>
  <c r="BN320" i="23"/>
  <c r="BL320" i="23"/>
  <c r="BM320" i="23"/>
  <c r="BJ320" i="23"/>
  <c r="BK320" i="23"/>
  <c r="BI320" i="23"/>
  <c r="BH320" i="23"/>
  <c r="BG320" i="23"/>
  <c r="BF320" i="23"/>
  <c r="BU24" i="23"/>
  <c r="BT24" i="23"/>
  <c r="BS24" i="23"/>
  <c r="BR24" i="23"/>
  <c r="BQ24" i="23"/>
  <c r="BP24" i="23"/>
  <c r="BO24" i="23"/>
  <c r="BN24" i="23"/>
  <c r="BL24" i="23"/>
  <c r="BM24" i="23"/>
  <c r="BJ24" i="23"/>
  <c r="BK24" i="23"/>
  <c r="BI24" i="23"/>
  <c r="BF24" i="23"/>
  <c r="BH24" i="23"/>
  <c r="BG24" i="23"/>
  <c r="BR244" i="23"/>
  <c r="BN244" i="23"/>
  <c r="BK244" i="23"/>
  <c r="BF244" i="23"/>
  <c r="BT244" i="23"/>
  <c r="BQ244" i="23"/>
  <c r="BL244" i="23"/>
  <c r="BI244" i="23"/>
  <c r="BU244" i="23"/>
  <c r="BO244" i="23"/>
  <c r="BM244" i="23"/>
  <c r="BH244" i="23"/>
  <c r="BS244" i="23"/>
  <c r="BP244" i="23"/>
  <c r="BJ244" i="23"/>
  <c r="BG244" i="23"/>
  <c r="BT255" i="23"/>
  <c r="BO255" i="23"/>
  <c r="BN255" i="23"/>
  <c r="BH255" i="23"/>
  <c r="BS255" i="23"/>
  <c r="BP255" i="23"/>
  <c r="BK255" i="23"/>
  <c r="BG255" i="23"/>
  <c r="BR255" i="23"/>
  <c r="BL255" i="23"/>
  <c r="BI255" i="23"/>
  <c r="BF255" i="23"/>
  <c r="BU255" i="23"/>
  <c r="BQ255" i="23"/>
  <c r="BM255" i="23"/>
  <c r="BJ255" i="23"/>
  <c r="BU391" i="23"/>
  <c r="BT391" i="23"/>
  <c r="BS391" i="23"/>
  <c r="BR391" i="23"/>
  <c r="BQ391" i="23"/>
  <c r="BP391" i="23"/>
  <c r="BO391" i="23"/>
  <c r="BM391" i="23"/>
  <c r="BN391" i="23"/>
  <c r="BK391" i="23"/>
  <c r="BL391" i="23"/>
  <c r="BI391" i="23"/>
  <c r="BJ391" i="23"/>
  <c r="BH391" i="23"/>
  <c r="BG391" i="23"/>
  <c r="BF391" i="23"/>
  <c r="BU29" i="23"/>
  <c r="BT29" i="23"/>
  <c r="BS29" i="23"/>
  <c r="BR29" i="23"/>
  <c r="BQ29" i="23"/>
  <c r="BP29" i="23"/>
  <c r="BO29" i="23"/>
  <c r="BM29" i="23"/>
  <c r="BN29" i="23"/>
  <c r="BL29" i="23"/>
  <c r="BI29" i="23"/>
  <c r="BJ29" i="23"/>
  <c r="BK29" i="23"/>
  <c r="BF29" i="23"/>
  <c r="BH29" i="23"/>
  <c r="BG29" i="23"/>
  <c r="BU99" i="23"/>
  <c r="BT99" i="23"/>
  <c r="BS99" i="23"/>
  <c r="BR99" i="23"/>
  <c r="BQ99" i="23"/>
  <c r="BO99" i="23"/>
  <c r="BP99" i="23"/>
  <c r="BL99" i="23"/>
  <c r="BM99" i="23"/>
  <c r="BN99" i="23"/>
  <c r="BK99" i="23"/>
  <c r="BI99" i="23"/>
  <c r="BJ99" i="23"/>
  <c r="BH99" i="23"/>
  <c r="BG99" i="23"/>
  <c r="BF99" i="23"/>
  <c r="BV343" i="23"/>
  <c r="BV75" i="23"/>
  <c r="BV404" i="23"/>
  <c r="BF237" i="23"/>
  <c r="BL237" i="23"/>
  <c r="BP237" i="23"/>
  <c r="BT237" i="23"/>
  <c r="BV202" i="23"/>
  <c r="BF274" i="23"/>
  <c r="BI274" i="23"/>
  <c r="BL274" i="23"/>
  <c r="BS274" i="23"/>
  <c r="BF102" i="23"/>
  <c r="BI102" i="23"/>
  <c r="BP102" i="23"/>
  <c r="BS102" i="23"/>
  <c r="BH145" i="23"/>
  <c r="BI145" i="23"/>
  <c r="BO145" i="23"/>
  <c r="BR145" i="23"/>
  <c r="BH180" i="23"/>
  <c r="BJ180" i="23"/>
  <c r="BP180" i="23"/>
  <c r="BS180" i="23"/>
  <c r="BF266" i="23"/>
  <c r="BI266" i="23"/>
  <c r="BP266" i="23"/>
  <c r="BS266" i="23"/>
  <c r="BH149" i="23"/>
  <c r="BI149" i="23"/>
  <c r="BO149" i="23"/>
  <c r="BS149" i="23"/>
  <c r="BG243" i="23"/>
  <c r="BK243" i="23"/>
  <c r="BP243" i="23"/>
  <c r="BS243" i="23"/>
  <c r="BG364" i="23"/>
  <c r="BJ364" i="23"/>
  <c r="BN364" i="23"/>
  <c r="BT364" i="23"/>
  <c r="BG348" i="23"/>
  <c r="BJ348" i="23"/>
  <c r="BN348" i="23"/>
  <c r="BT348" i="23"/>
  <c r="BG228" i="23"/>
  <c r="BJ228" i="23"/>
  <c r="BP228" i="23"/>
  <c r="BS228" i="23"/>
  <c r="BI419" i="23"/>
  <c r="BL419" i="23"/>
  <c r="BO419" i="23"/>
  <c r="BS419" i="23"/>
  <c r="BH418" i="23"/>
  <c r="BJ418" i="23"/>
  <c r="BM418" i="23"/>
  <c r="BT418" i="23"/>
  <c r="BH209" i="23"/>
  <c r="BI209" i="23"/>
  <c r="BO209" i="23"/>
  <c r="BS209" i="23"/>
  <c r="BF78" i="23"/>
  <c r="BI78" i="23"/>
  <c r="BP78" i="23"/>
  <c r="BT78" i="23"/>
  <c r="BH73" i="23"/>
  <c r="BI73" i="23"/>
  <c r="BO73" i="23"/>
  <c r="BS73" i="23"/>
  <c r="BV66" i="23"/>
  <c r="BV38" i="23"/>
  <c r="BH61" i="23"/>
  <c r="BI61" i="23"/>
  <c r="BO61" i="23"/>
  <c r="BS61" i="23"/>
  <c r="BV258" i="23"/>
  <c r="BF54" i="23"/>
  <c r="BI54" i="23"/>
  <c r="BP54" i="23"/>
  <c r="BS54" i="23"/>
  <c r="BV242" i="23"/>
  <c r="BV330" i="23"/>
  <c r="BV34" i="23"/>
  <c r="BI432" i="23"/>
  <c r="BK432" i="23"/>
  <c r="BN432" i="23"/>
  <c r="BS432" i="23"/>
  <c r="BF42" i="23"/>
  <c r="BI42" i="23"/>
  <c r="BO42" i="23"/>
  <c r="BS42" i="23"/>
  <c r="BH253" i="23"/>
  <c r="BJ253" i="23"/>
  <c r="BO253" i="23"/>
  <c r="BS253" i="23"/>
  <c r="BH193" i="23"/>
  <c r="BI193" i="23"/>
  <c r="BO193" i="23"/>
  <c r="BS193" i="23"/>
  <c r="BH394" i="23"/>
  <c r="BI394" i="23"/>
  <c r="BM394" i="23"/>
  <c r="BT394" i="23"/>
  <c r="BI443" i="23"/>
  <c r="BL443" i="23"/>
  <c r="BO443" i="23"/>
  <c r="BS443" i="23"/>
  <c r="BH172" i="23"/>
  <c r="BJ172" i="23"/>
  <c r="BP172" i="23"/>
  <c r="BS172" i="23"/>
  <c r="BG59" i="23"/>
  <c r="BK59" i="23"/>
  <c r="BP59" i="23"/>
  <c r="BS59" i="23"/>
  <c r="BI428" i="23"/>
  <c r="BK428" i="23"/>
  <c r="BN428" i="23"/>
  <c r="BT428" i="23"/>
  <c r="BG216" i="23"/>
  <c r="BJ216" i="23"/>
  <c r="BP216" i="23"/>
  <c r="BU216" i="23"/>
  <c r="BH373" i="23"/>
  <c r="BJ373" i="23"/>
  <c r="BM373" i="23"/>
  <c r="BS373" i="23"/>
  <c r="BV210" i="23"/>
  <c r="BV229" i="23"/>
  <c r="BV381" i="23"/>
  <c r="BH390" i="23"/>
  <c r="BI390" i="23"/>
  <c r="BM390" i="23"/>
  <c r="BS390" i="23"/>
  <c r="BV319" i="23"/>
  <c r="BV48" i="23"/>
  <c r="BH315" i="23"/>
  <c r="BH316" i="23"/>
  <c r="BG334" i="23"/>
  <c r="BU91" i="23"/>
  <c r="BT91" i="23"/>
  <c r="BS91" i="23"/>
  <c r="BR91" i="23"/>
  <c r="BQ91" i="23"/>
  <c r="BO91" i="23"/>
  <c r="BP91" i="23"/>
  <c r="BL91" i="23"/>
  <c r="BM91" i="23"/>
  <c r="BN91" i="23"/>
  <c r="BK91" i="23"/>
  <c r="BI91" i="23"/>
  <c r="BJ91" i="23"/>
  <c r="BH91" i="23"/>
  <c r="BG91" i="23"/>
  <c r="BF91" i="23"/>
  <c r="BR14" i="23"/>
  <c r="BL14" i="23"/>
  <c r="BJ14" i="23"/>
  <c r="BH14" i="23"/>
  <c r="BU14" i="23"/>
  <c r="BP14" i="23"/>
  <c r="BM14" i="23"/>
  <c r="BK14" i="23"/>
  <c r="BS14" i="23"/>
  <c r="BQ14" i="23"/>
  <c r="BN14" i="23"/>
  <c r="BG14" i="23"/>
  <c r="BT14" i="23"/>
  <c r="BO14" i="23"/>
  <c r="BI14" i="23"/>
  <c r="BF14" i="23"/>
  <c r="BU415" i="23"/>
  <c r="BT415" i="23"/>
  <c r="BS415" i="23"/>
  <c r="BR415" i="23"/>
  <c r="BQ415" i="23"/>
  <c r="BP415" i="23"/>
  <c r="BO415" i="23"/>
  <c r="BM415" i="23"/>
  <c r="BN415" i="23"/>
  <c r="BK415" i="23"/>
  <c r="BL415" i="23"/>
  <c r="BJ415" i="23"/>
  <c r="BH415" i="23"/>
  <c r="BG415" i="23"/>
  <c r="BI415" i="23"/>
  <c r="BF415" i="23"/>
  <c r="BU324" i="23"/>
  <c r="BO324" i="23"/>
  <c r="BM324" i="23"/>
  <c r="BH324" i="23"/>
  <c r="BS324" i="23"/>
  <c r="BP324" i="23"/>
  <c r="BJ324" i="23"/>
  <c r="BG324" i="23"/>
  <c r="BQ324" i="23"/>
  <c r="BN324" i="23"/>
  <c r="BK324" i="23"/>
  <c r="BF324" i="23"/>
  <c r="BT324" i="23"/>
  <c r="BR324" i="23"/>
  <c r="BL324" i="23"/>
  <c r="BI324" i="23"/>
  <c r="BU21" i="23"/>
  <c r="BT21" i="23"/>
  <c r="BR21" i="23"/>
  <c r="BS21" i="23"/>
  <c r="BQ21" i="23"/>
  <c r="BP21" i="23"/>
  <c r="BO21" i="23"/>
  <c r="BM21" i="23"/>
  <c r="BN21" i="23"/>
  <c r="BL21" i="23"/>
  <c r="BI21" i="23"/>
  <c r="BJ21" i="23"/>
  <c r="BK21" i="23"/>
  <c r="BF21" i="23"/>
  <c r="BH21" i="23"/>
  <c r="BG21" i="23"/>
  <c r="BU90" i="23"/>
  <c r="BT90" i="23"/>
  <c r="BS90" i="23"/>
  <c r="BR90" i="23"/>
  <c r="BQ90" i="23"/>
  <c r="BO90" i="23"/>
  <c r="BP90" i="23"/>
  <c r="BL90" i="23"/>
  <c r="BM90" i="23"/>
  <c r="BN90" i="23"/>
  <c r="BI90" i="23"/>
  <c r="BJ90" i="23"/>
  <c r="BK90" i="23"/>
  <c r="BG90" i="23"/>
  <c r="BF90" i="23"/>
  <c r="BH90" i="23"/>
  <c r="BU270" i="23"/>
  <c r="BS270" i="23"/>
  <c r="BT270" i="23"/>
  <c r="BR270" i="23"/>
  <c r="BQ270" i="23"/>
  <c r="BP270" i="23"/>
  <c r="BO270" i="23"/>
  <c r="BL270" i="23"/>
  <c r="BM270" i="23"/>
  <c r="BN270" i="23"/>
  <c r="BI270" i="23"/>
  <c r="BJ270" i="23"/>
  <c r="BK270" i="23"/>
  <c r="BG270" i="23"/>
  <c r="BF270" i="23"/>
  <c r="BH270" i="23"/>
  <c r="BT436" i="23"/>
  <c r="BN436" i="23"/>
  <c r="BK436" i="23"/>
  <c r="BI436" i="23"/>
  <c r="BR436" i="23"/>
  <c r="BO436" i="23"/>
  <c r="BL436" i="23"/>
  <c r="BF436" i="23"/>
  <c r="BU436" i="23"/>
  <c r="BQ436" i="23"/>
  <c r="BM436" i="23"/>
  <c r="BH436" i="23"/>
  <c r="BU35" i="23"/>
  <c r="BT35" i="23"/>
  <c r="BS35" i="23"/>
  <c r="BR35" i="23"/>
  <c r="BP35" i="23"/>
  <c r="BQ35" i="23"/>
  <c r="BO35" i="23"/>
  <c r="BL35" i="23"/>
  <c r="BM35" i="23"/>
  <c r="BN35" i="23"/>
  <c r="BK35" i="23"/>
  <c r="BI35" i="23"/>
  <c r="BJ35" i="23"/>
  <c r="BH35" i="23"/>
  <c r="BG35" i="23"/>
  <c r="BF35" i="23"/>
  <c r="BT134" i="23"/>
  <c r="BO134" i="23"/>
  <c r="BN134" i="23"/>
  <c r="BG134" i="23"/>
  <c r="BS134" i="23"/>
  <c r="BP134" i="23"/>
  <c r="BI134" i="23"/>
  <c r="BF134" i="23"/>
  <c r="BR134" i="23"/>
  <c r="BL134" i="23"/>
  <c r="BJ134" i="23"/>
  <c r="BH134" i="23"/>
  <c r="BU134" i="23"/>
  <c r="BQ134" i="23"/>
  <c r="BM134" i="23"/>
  <c r="BK134" i="23"/>
  <c r="BT339" i="23"/>
  <c r="BO339" i="23"/>
  <c r="BN339" i="23"/>
  <c r="BH339" i="23"/>
  <c r="BS339" i="23"/>
  <c r="BP339" i="23"/>
  <c r="BK339" i="23"/>
  <c r="BG339" i="23"/>
  <c r="BR339" i="23"/>
  <c r="BL339" i="23"/>
  <c r="BI339" i="23"/>
  <c r="BF339" i="23"/>
  <c r="BU339" i="23"/>
  <c r="BQ339" i="23"/>
  <c r="BM339" i="23"/>
  <c r="BJ339" i="23"/>
  <c r="BU135" i="23"/>
  <c r="BT135" i="23"/>
  <c r="BS135" i="23"/>
  <c r="BR135" i="23"/>
  <c r="BQ135" i="23"/>
  <c r="BO135" i="23"/>
  <c r="BP135" i="23"/>
  <c r="BL135" i="23"/>
  <c r="BM135" i="23"/>
  <c r="BN135" i="23"/>
  <c r="BK135" i="23"/>
  <c r="BI135" i="23"/>
  <c r="BJ135" i="23"/>
  <c r="BH135" i="23"/>
  <c r="BG135" i="23"/>
  <c r="BF135" i="23"/>
  <c r="BU357" i="23"/>
  <c r="BT357" i="23"/>
  <c r="BS357" i="23"/>
  <c r="BQ357" i="23"/>
  <c r="BR357" i="23"/>
  <c r="BP357" i="23"/>
  <c r="BM357" i="23"/>
  <c r="BN357" i="23"/>
  <c r="BO357" i="23"/>
  <c r="BL357" i="23"/>
  <c r="BJ357" i="23"/>
  <c r="BK357" i="23"/>
  <c r="BF357" i="23"/>
  <c r="BI357" i="23"/>
  <c r="BH357" i="23"/>
  <c r="BG357" i="23"/>
  <c r="BR25" i="23"/>
  <c r="BM25" i="23"/>
  <c r="BJ25" i="23"/>
  <c r="BG25" i="23"/>
  <c r="BU25" i="23"/>
  <c r="BQ25" i="23"/>
  <c r="BN25" i="23"/>
  <c r="BK25" i="23"/>
  <c r="BT25" i="23"/>
  <c r="BP25" i="23"/>
  <c r="BL25" i="23"/>
  <c r="BF25" i="23"/>
  <c r="BS25" i="23"/>
  <c r="BO25" i="23"/>
  <c r="BI25" i="23"/>
  <c r="BH25" i="23"/>
  <c r="BR71" i="23"/>
  <c r="BL71" i="23"/>
  <c r="BI71" i="23"/>
  <c r="BF71" i="23"/>
  <c r="BU71" i="23"/>
  <c r="BQ71" i="23"/>
  <c r="BM71" i="23"/>
  <c r="BJ71" i="23"/>
  <c r="BT71" i="23"/>
  <c r="BO71" i="23"/>
  <c r="BN71" i="23"/>
  <c r="BH71" i="23"/>
  <c r="BS71" i="23"/>
  <c r="BP71" i="23"/>
  <c r="BK71" i="23"/>
  <c r="BG71" i="23"/>
  <c r="BT176" i="23"/>
  <c r="BO176" i="23"/>
  <c r="BM176" i="23"/>
  <c r="BF176" i="23"/>
  <c r="BS176" i="23"/>
  <c r="BP176" i="23"/>
  <c r="BJ176" i="23"/>
  <c r="BH176" i="23"/>
  <c r="BR176" i="23"/>
  <c r="BN176" i="23"/>
  <c r="BK176" i="23"/>
  <c r="BG176" i="23"/>
  <c r="BU176" i="23"/>
  <c r="BQ176" i="23"/>
  <c r="BL176" i="23"/>
  <c r="BI176" i="23"/>
  <c r="BQ328" i="23"/>
  <c r="BN328" i="23"/>
  <c r="BK328" i="23"/>
  <c r="BF328" i="23"/>
  <c r="BU328" i="23"/>
  <c r="BR328" i="23"/>
  <c r="BL328" i="23"/>
  <c r="BI328" i="23"/>
  <c r="BT328" i="23"/>
  <c r="BO328" i="23"/>
  <c r="BM328" i="23"/>
  <c r="BH328" i="23"/>
  <c r="BS328" i="23"/>
  <c r="BP328" i="23"/>
  <c r="BJ328" i="23"/>
  <c r="BG328" i="23"/>
  <c r="BT421" i="23"/>
  <c r="BU421" i="23"/>
  <c r="BS421" i="23"/>
  <c r="BQ421" i="23"/>
  <c r="BR421" i="23"/>
  <c r="BP421" i="23"/>
  <c r="BM421" i="23"/>
  <c r="BN421" i="23"/>
  <c r="BO421" i="23"/>
  <c r="BJ421" i="23"/>
  <c r="BK421" i="23"/>
  <c r="BL421" i="23"/>
  <c r="BI421" i="23"/>
  <c r="BH421" i="23"/>
  <c r="BG421" i="23"/>
  <c r="BF421" i="23"/>
  <c r="BU301" i="23"/>
  <c r="BT301" i="23"/>
  <c r="BS301" i="23"/>
  <c r="BR301" i="23"/>
  <c r="BQ301" i="23"/>
  <c r="BP301" i="23"/>
  <c r="BO301" i="23"/>
  <c r="BM301" i="23"/>
  <c r="BN301" i="23"/>
  <c r="BL301" i="23"/>
  <c r="BJ301" i="23"/>
  <c r="BK301" i="23"/>
  <c r="BI301" i="23"/>
  <c r="BF301" i="23"/>
  <c r="BH301" i="23"/>
  <c r="BG301" i="23"/>
  <c r="BU28" i="23"/>
  <c r="BT28" i="23"/>
  <c r="BS28" i="23"/>
  <c r="BR28" i="23"/>
  <c r="BQ28" i="23"/>
  <c r="BP28" i="23"/>
  <c r="BO28" i="23"/>
  <c r="BN28" i="23"/>
  <c r="BL28" i="23"/>
  <c r="BM28" i="23"/>
  <c r="BJ28" i="23"/>
  <c r="BK28" i="23"/>
  <c r="BI28" i="23"/>
  <c r="BF28" i="23"/>
  <c r="BH28" i="23"/>
  <c r="BG28" i="23"/>
  <c r="BT105" i="23"/>
  <c r="BP105" i="23"/>
  <c r="BL105" i="23"/>
  <c r="BF105" i="23"/>
  <c r="BS105" i="23"/>
  <c r="BO105" i="23"/>
  <c r="BI105" i="23"/>
  <c r="BH105" i="23"/>
  <c r="BR105" i="23"/>
  <c r="BM105" i="23"/>
  <c r="BJ105" i="23"/>
  <c r="BG105" i="23"/>
  <c r="BU105" i="23"/>
  <c r="BQ105" i="23"/>
  <c r="BN105" i="23"/>
  <c r="BK105" i="23"/>
  <c r="BU431" i="23"/>
  <c r="BT431" i="23"/>
  <c r="BS431" i="23"/>
  <c r="BR431" i="23"/>
  <c r="BQ431" i="23"/>
  <c r="BP431" i="23"/>
  <c r="BO431" i="23"/>
  <c r="BM431" i="23"/>
  <c r="BN431" i="23"/>
  <c r="BK431" i="23"/>
  <c r="BL431" i="23"/>
  <c r="BJ431" i="23"/>
  <c r="BH431" i="23"/>
  <c r="BG431" i="23"/>
  <c r="BI431" i="23"/>
  <c r="BF431" i="23"/>
  <c r="BR94" i="23"/>
  <c r="BL94" i="23"/>
  <c r="BJ94" i="23"/>
  <c r="BH94" i="23"/>
  <c r="BU94" i="23"/>
  <c r="BQ94" i="23"/>
  <c r="BM94" i="23"/>
  <c r="BK94" i="23"/>
  <c r="BT94" i="23"/>
  <c r="BO94" i="23"/>
  <c r="BN94" i="23"/>
  <c r="BG94" i="23"/>
  <c r="BS94" i="23"/>
  <c r="BP94" i="23"/>
  <c r="BI94" i="23"/>
  <c r="BF94" i="23"/>
  <c r="BU416" i="23"/>
  <c r="BT416" i="23"/>
  <c r="BS416" i="23"/>
  <c r="BQ416" i="23"/>
  <c r="BR416" i="23"/>
  <c r="BP416" i="23"/>
  <c r="BN416" i="23"/>
  <c r="BO416" i="23"/>
  <c r="BM416" i="23"/>
  <c r="BJ416" i="23"/>
  <c r="BK416" i="23"/>
  <c r="BL416" i="23"/>
  <c r="BH416" i="23"/>
  <c r="BG416" i="23"/>
  <c r="BI416" i="23"/>
  <c r="BF416" i="23"/>
  <c r="BT374" i="23"/>
  <c r="BU374" i="23"/>
  <c r="BS374" i="23"/>
  <c r="BQ374" i="23"/>
  <c r="BR374" i="23"/>
  <c r="BP374" i="23"/>
  <c r="BM374" i="23"/>
  <c r="BN374" i="23"/>
  <c r="BO374" i="23"/>
  <c r="BL374" i="23"/>
  <c r="BI374" i="23"/>
  <c r="BJ374" i="23"/>
  <c r="BK374" i="23"/>
  <c r="BG374" i="23"/>
  <c r="BH374" i="23"/>
  <c r="BF374" i="23"/>
  <c r="BT368" i="23"/>
  <c r="BP368" i="23"/>
  <c r="BM368" i="23"/>
  <c r="BH368" i="23"/>
  <c r="BS368" i="23"/>
  <c r="BN368" i="23"/>
  <c r="BJ368" i="23"/>
  <c r="BG368" i="23"/>
  <c r="BQ368" i="23"/>
  <c r="BO368" i="23"/>
  <c r="BK368" i="23"/>
  <c r="BF368" i="23"/>
  <c r="BU368" i="23"/>
  <c r="BR368" i="23"/>
  <c r="BL368" i="23"/>
  <c r="BI368" i="23"/>
  <c r="BU271" i="23"/>
  <c r="BT271" i="23"/>
  <c r="BS271" i="23"/>
  <c r="BR271" i="23"/>
  <c r="BQ271" i="23"/>
  <c r="BO271" i="23"/>
  <c r="BP271" i="23"/>
  <c r="BL271" i="23"/>
  <c r="BM271" i="23"/>
  <c r="BN271" i="23"/>
  <c r="BK271" i="23"/>
  <c r="BI271" i="23"/>
  <c r="BJ271" i="23"/>
  <c r="BH271" i="23"/>
  <c r="BG271" i="23"/>
  <c r="BF271" i="23"/>
  <c r="BR153" i="23"/>
  <c r="BM153" i="23"/>
  <c r="BJ153" i="23"/>
  <c r="BG153" i="23"/>
  <c r="BU153" i="23"/>
  <c r="BQ153" i="23"/>
  <c r="BN153" i="23"/>
  <c r="BK153" i="23"/>
  <c r="BT153" i="23"/>
  <c r="BP153" i="23"/>
  <c r="BL153" i="23"/>
  <c r="BF153" i="23"/>
  <c r="BS153" i="23"/>
  <c r="BO153" i="23"/>
  <c r="BI153" i="23"/>
  <c r="BH153" i="23"/>
  <c r="BR60" i="23"/>
  <c r="BN60" i="23"/>
  <c r="BK60" i="23"/>
  <c r="BG60" i="23"/>
  <c r="BU60" i="23"/>
  <c r="BQ60" i="23"/>
  <c r="BL60" i="23"/>
  <c r="BI60" i="23"/>
  <c r="BT60" i="23"/>
  <c r="BO60" i="23"/>
  <c r="BM60" i="23"/>
  <c r="BF60" i="23"/>
  <c r="BS60" i="23"/>
  <c r="BP60" i="23"/>
  <c r="BJ60" i="23"/>
  <c r="BH60" i="23"/>
  <c r="BT413" i="23"/>
  <c r="BU413" i="23"/>
  <c r="BS413" i="23"/>
  <c r="BQ413" i="23"/>
  <c r="BR413" i="23"/>
  <c r="BP413" i="23"/>
  <c r="BM413" i="23"/>
  <c r="BN413" i="23"/>
  <c r="BO413" i="23"/>
  <c r="BJ413" i="23"/>
  <c r="BK413" i="23"/>
  <c r="BL413" i="23"/>
  <c r="BI413" i="23"/>
  <c r="BH413" i="23"/>
  <c r="BG413" i="23"/>
  <c r="BF413" i="23"/>
  <c r="BU200" i="23"/>
  <c r="BO200" i="23"/>
  <c r="BM200" i="23"/>
  <c r="BH200" i="23"/>
  <c r="BS200" i="23"/>
  <c r="BP200" i="23"/>
  <c r="BJ200" i="23"/>
  <c r="BG200" i="23"/>
  <c r="BR200" i="23"/>
  <c r="BN200" i="23"/>
  <c r="BK200" i="23"/>
  <c r="BF200" i="23"/>
  <c r="BT200" i="23"/>
  <c r="BQ200" i="23"/>
  <c r="BL200" i="23"/>
  <c r="BI200" i="23"/>
  <c r="BT403" i="23"/>
  <c r="BP403" i="23"/>
  <c r="BK403" i="23"/>
  <c r="BG403" i="23"/>
  <c r="BS403" i="23"/>
  <c r="BO403" i="23"/>
  <c r="BL403" i="23"/>
  <c r="BI403" i="23"/>
  <c r="BR403" i="23"/>
  <c r="BM403" i="23"/>
  <c r="BJ403" i="23"/>
  <c r="BF403" i="23"/>
  <c r="BU403" i="23"/>
  <c r="BQ403" i="23"/>
  <c r="BN403" i="23"/>
  <c r="BH403" i="23"/>
  <c r="BU295" i="23"/>
  <c r="BT295" i="23"/>
  <c r="BS295" i="23"/>
  <c r="BR295" i="23"/>
  <c r="BQ295" i="23"/>
  <c r="BO295" i="23"/>
  <c r="BP295" i="23"/>
  <c r="BL295" i="23"/>
  <c r="BM295" i="23"/>
  <c r="BN295" i="23"/>
  <c r="BK295" i="23"/>
  <c r="BI295" i="23"/>
  <c r="BJ295" i="23"/>
  <c r="BH295" i="23"/>
  <c r="BG295" i="23"/>
  <c r="BF295" i="23"/>
  <c r="BU323" i="23"/>
  <c r="BT323" i="23"/>
  <c r="BS323" i="23"/>
  <c r="BR323" i="23"/>
  <c r="BQ323" i="23"/>
  <c r="BO323" i="23"/>
  <c r="BP323" i="23"/>
  <c r="BL323" i="23"/>
  <c r="BM323" i="23"/>
  <c r="BN323" i="23"/>
  <c r="BK323" i="23"/>
  <c r="BI323" i="23"/>
  <c r="BJ323" i="23"/>
  <c r="BH323" i="23"/>
  <c r="BG323" i="23"/>
  <c r="BF323" i="23"/>
  <c r="BT345" i="23"/>
  <c r="BP345" i="23"/>
  <c r="BL345" i="23"/>
  <c r="BH345" i="23"/>
  <c r="BS345" i="23"/>
  <c r="BO345" i="23"/>
  <c r="BJ345" i="23"/>
  <c r="BI345" i="23"/>
  <c r="BQ345" i="23"/>
  <c r="BM345" i="23"/>
  <c r="BK345" i="23"/>
  <c r="BG345" i="23"/>
  <c r="BU345" i="23"/>
  <c r="BR345" i="23"/>
  <c r="BN345" i="23"/>
  <c r="BF345" i="23"/>
  <c r="BU336" i="23"/>
  <c r="BT336" i="23"/>
  <c r="BS336" i="23"/>
  <c r="BQ336" i="23"/>
  <c r="BR336" i="23"/>
  <c r="BO336" i="23"/>
  <c r="BP336" i="23"/>
  <c r="BN336" i="23"/>
  <c r="BL336" i="23"/>
  <c r="BM336" i="23"/>
  <c r="BJ336" i="23"/>
  <c r="BK336" i="23"/>
  <c r="BI336" i="23"/>
  <c r="BH336" i="23"/>
  <c r="BG336" i="23"/>
  <c r="BF336" i="23"/>
  <c r="BT297" i="23"/>
  <c r="BP297" i="23"/>
  <c r="BL297" i="23"/>
  <c r="BH297" i="23"/>
  <c r="BS297" i="23"/>
  <c r="BO297" i="23"/>
  <c r="BJ297" i="23"/>
  <c r="BI297" i="23"/>
  <c r="BQ297" i="23"/>
  <c r="BM297" i="23"/>
  <c r="BK297" i="23"/>
  <c r="BG297" i="23"/>
  <c r="BU297" i="23"/>
  <c r="BR297" i="23"/>
  <c r="BN297" i="23"/>
  <c r="BF297" i="23"/>
  <c r="BT17" i="23"/>
  <c r="BP17" i="23"/>
  <c r="BL17" i="23"/>
  <c r="BF17" i="23"/>
  <c r="BS17" i="23"/>
  <c r="BO17" i="23"/>
  <c r="BI17" i="23"/>
  <c r="BH17" i="23"/>
  <c r="BR17" i="23"/>
  <c r="BM17" i="23"/>
  <c r="BJ17" i="23"/>
  <c r="BG17" i="23"/>
  <c r="BU17" i="23"/>
  <c r="BQ17" i="23"/>
  <c r="BN17" i="23"/>
  <c r="BK17" i="23"/>
  <c r="BU362" i="23"/>
  <c r="BS362" i="23"/>
  <c r="BT362" i="23"/>
  <c r="BQ362" i="23"/>
  <c r="BR362" i="23"/>
  <c r="BP362" i="23"/>
  <c r="BM362" i="23"/>
  <c r="BN362" i="23"/>
  <c r="BO362" i="23"/>
  <c r="BL362" i="23"/>
  <c r="BI362" i="23"/>
  <c r="BJ362" i="23"/>
  <c r="BK362" i="23"/>
  <c r="BG362" i="23"/>
  <c r="BF362" i="23"/>
  <c r="BH362" i="23"/>
  <c r="BU409" i="23"/>
  <c r="BP409" i="23"/>
  <c r="BJ409" i="23"/>
  <c r="BH409" i="23"/>
  <c r="BS409" i="23"/>
  <c r="BM409" i="23"/>
  <c r="BK409" i="23"/>
  <c r="BG409" i="23"/>
  <c r="BQ409" i="23"/>
  <c r="BN409" i="23"/>
  <c r="BL409" i="23"/>
  <c r="BF409" i="23"/>
  <c r="BT409" i="23"/>
  <c r="BR409" i="23"/>
  <c r="BO409" i="23"/>
  <c r="BI409" i="23"/>
  <c r="BU11" i="23"/>
  <c r="BT11" i="23"/>
  <c r="BR11" i="23"/>
  <c r="BS11" i="23"/>
  <c r="BP11" i="23"/>
  <c r="BQ11" i="23"/>
  <c r="BO11" i="23"/>
  <c r="BL11" i="23"/>
  <c r="BM11" i="23"/>
  <c r="BN11" i="23"/>
  <c r="BK11" i="23"/>
  <c r="BI11" i="23"/>
  <c r="BJ11" i="23"/>
  <c r="BH11" i="23"/>
  <c r="BG11" i="23"/>
  <c r="BF11" i="23"/>
  <c r="BU303" i="23"/>
  <c r="BT303" i="23"/>
  <c r="BS303" i="23"/>
  <c r="BR303" i="23"/>
  <c r="BQ303" i="23"/>
  <c r="BO303" i="23"/>
  <c r="BP303" i="23"/>
  <c r="BL303" i="23"/>
  <c r="BM303" i="23"/>
  <c r="BN303" i="23"/>
  <c r="BK303" i="23"/>
  <c r="BI303" i="23"/>
  <c r="BJ303" i="23"/>
  <c r="BH303" i="23"/>
  <c r="BG303" i="23"/>
  <c r="BF303" i="23"/>
  <c r="BR109" i="23"/>
  <c r="BM109" i="23"/>
  <c r="BJ109" i="23"/>
  <c r="BG109" i="23"/>
  <c r="BU109" i="23"/>
  <c r="BQ109" i="23"/>
  <c r="BN109" i="23"/>
  <c r="BK109" i="23"/>
  <c r="BT109" i="23"/>
  <c r="BP109" i="23"/>
  <c r="BL109" i="23"/>
  <c r="BF109" i="23"/>
  <c r="BS109" i="23"/>
  <c r="BO109" i="23"/>
  <c r="BI109" i="23"/>
  <c r="BH109" i="23"/>
  <c r="BT276" i="23"/>
  <c r="BU276" i="23"/>
  <c r="BS276" i="23"/>
  <c r="BR276" i="23"/>
  <c r="BQ276" i="23"/>
  <c r="BO276" i="23"/>
  <c r="BP276" i="23"/>
  <c r="BN276" i="23"/>
  <c r="BL276" i="23"/>
  <c r="BM276" i="23"/>
  <c r="BJ276" i="23"/>
  <c r="BK276" i="23"/>
  <c r="BI276" i="23"/>
  <c r="BH276" i="23"/>
  <c r="BG276" i="23"/>
  <c r="BF276" i="23"/>
  <c r="BK237" i="23"/>
  <c r="BN237" i="23"/>
  <c r="BQ237" i="23"/>
  <c r="BU237" i="23"/>
  <c r="BG274" i="23"/>
  <c r="BN274" i="23"/>
  <c r="BP274" i="23"/>
  <c r="BT274" i="23"/>
  <c r="BG102" i="23"/>
  <c r="BN102" i="23"/>
  <c r="BO102" i="23"/>
  <c r="BT102" i="23"/>
  <c r="BF145" i="23"/>
  <c r="BL145" i="23"/>
  <c r="BP145" i="23"/>
  <c r="BT145" i="23"/>
  <c r="BF180" i="23"/>
  <c r="BM180" i="23"/>
  <c r="BO180" i="23"/>
  <c r="BU180" i="23"/>
  <c r="BG266" i="23"/>
  <c r="BN266" i="23"/>
  <c r="BO266" i="23"/>
  <c r="BT266" i="23"/>
  <c r="BF149" i="23"/>
  <c r="BL149" i="23"/>
  <c r="BP149" i="23"/>
  <c r="BT149" i="23"/>
  <c r="BH243" i="23"/>
  <c r="BN243" i="23"/>
  <c r="BO243" i="23"/>
  <c r="BT243" i="23"/>
  <c r="BH364" i="23"/>
  <c r="BM364" i="23"/>
  <c r="BP364" i="23"/>
  <c r="BS364" i="23"/>
  <c r="BH348" i="23"/>
  <c r="BM348" i="23"/>
  <c r="BP348" i="23"/>
  <c r="BS348" i="23"/>
  <c r="BH228" i="23"/>
  <c r="BM228" i="23"/>
  <c r="BO228" i="23"/>
  <c r="BU228" i="23"/>
  <c r="BG419" i="23"/>
  <c r="BK419" i="23"/>
  <c r="BP419" i="23"/>
  <c r="BT419" i="23"/>
  <c r="BI418" i="23"/>
  <c r="BL418" i="23"/>
  <c r="BP418" i="23"/>
  <c r="BS418" i="23"/>
  <c r="BF209" i="23"/>
  <c r="BL209" i="23"/>
  <c r="BP209" i="23"/>
  <c r="BT209" i="23"/>
  <c r="BG78" i="23"/>
  <c r="BN78" i="23"/>
  <c r="BO78" i="23"/>
  <c r="BS78" i="23"/>
  <c r="BF73" i="23"/>
  <c r="BL73" i="23"/>
  <c r="BP73" i="23"/>
  <c r="BT73" i="23"/>
  <c r="BF61" i="23"/>
  <c r="BL61" i="23"/>
  <c r="BP61" i="23"/>
  <c r="BU61" i="23"/>
  <c r="BG54" i="23"/>
  <c r="BN54" i="23"/>
  <c r="BO54" i="23"/>
  <c r="BT54" i="23"/>
  <c r="BG432" i="23"/>
  <c r="BJ432" i="23"/>
  <c r="BP432" i="23"/>
  <c r="BT432" i="23"/>
  <c r="BV289" i="23"/>
  <c r="BG42" i="23"/>
  <c r="BN42" i="23"/>
  <c r="BQ42" i="23"/>
  <c r="BT42" i="23"/>
  <c r="BV89" i="23"/>
  <c r="BF253" i="23"/>
  <c r="BL253" i="23"/>
  <c r="BP253" i="23"/>
  <c r="BT253" i="23"/>
  <c r="BF193" i="23"/>
  <c r="BL193" i="23"/>
  <c r="BP193" i="23"/>
  <c r="BT193" i="23"/>
  <c r="BG394" i="23"/>
  <c r="BL394" i="23"/>
  <c r="BP394" i="23"/>
  <c r="BS394" i="23"/>
  <c r="BG443" i="23"/>
  <c r="BK443" i="23"/>
  <c r="BP443" i="23"/>
  <c r="BT443" i="23"/>
  <c r="BF172" i="23"/>
  <c r="BM172" i="23"/>
  <c r="BO172" i="23"/>
  <c r="BU172" i="23"/>
  <c r="BV84" i="23"/>
  <c r="BH59" i="23"/>
  <c r="BN59" i="23"/>
  <c r="BO59" i="23"/>
  <c r="BT59" i="23"/>
  <c r="BG428" i="23"/>
  <c r="BJ428" i="23"/>
  <c r="BP428" i="23"/>
  <c r="BS428" i="23"/>
  <c r="BV217" i="23"/>
  <c r="BH216" i="23"/>
  <c r="BM216" i="23"/>
  <c r="BO216" i="23"/>
  <c r="BS216" i="23"/>
  <c r="BI373" i="23"/>
  <c r="BL373" i="23"/>
  <c r="BP373" i="23"/>
  <c r="BT373" i="23"/>
  <c r="BV16" i="23"/>
  <c r="BV186" i="23"/>
  <c r="BG390" i="23"/>
  <c r="BL390" i="23"/>
  <c r="BP390" i="23"/>
  <c r="BT390" i="23"/>
  <c r="BV23" i="23"/>
  <c r="BV347" i="23"/>
  <c r="BV191" i="23"/>
  <c r="BM316" i="23"/>
  <c r="BJ436" i="23"/>
  <c r="BI334" i="23"/>
  <c r="BU12" i="23"/>
  <c r="BT12" i="23"/>
  <c r="BS12" i="23"/>
  <c r="BR12" i="23"/>
  <c r="BQ12" i="23"/>
  <c r="BP12" i="23"/>
  <c r="BO12" i="23"/>
  <c r="BN12" i="23"/>
  <c r="BL12" i="23"/>
  <c r="BM12" i="23"/>
  <c r="BJ12" i="23"/>
  <c r="BK12" i="23"/>
  <c r="BI12" i="23"/>
  <c r="BF12" i="23"/>
  <c r="BH12" i="23"/>
  <c r="BG12" i="23"/>
  <c r="BU139" i="23"/>
  <c r="BT139" i="23"/>
  <c r="BS139" i="23"/>
  <c r="BR139" i="23"/>
  <c r="BQ139" i="23"/>
  <c r="BO139" i="23"/>
  <c r="BP139" i="23"/>
  <c r="BL139" i="23"/>
  <c r="BM139" i="23"/>
  <c r="BN139" i="23"/>
  <c r="BK139" i="23"/>
  <c r="BI139" i="23"/>
  <c r="BJ139" i="23"/>
  <c r="BH139" i="23"/>
  <c r="BG139" i="23"/>
  <c r="BF139" i="23"/>
  <c r="F6" i="4"/>
  <c r="BU239" i="23"/>
  <c r="BT239" i="23"/>
  <c r="BS239" i="23"/>
  <c r="BR239" i="23"/>
  <c r="BQ239" i="23"/>
  <c r="BO239" i="23"/>
  <c r="BP239" i="23"/>
  <c r="BL239" i="23"/>
  <c r="BM239" i="23"/>
  <c r="BN239" i="23"/>
  <c r="BK239" i="23"/>
  <c r="BI239" i="23"/>
  <c r="BJ239" i="23"/>
  <c r="BH239" i="23"/>
  <c r="BG239" i="23"/>
  <c r="BF239" i="23"/>
  <c r="BT13" i="23"/>
  <c r="BU13" i="23"/>
  <c r="BR13" i="23"/>
  <c r="BS13" i="23"/>
  <c r="BQ13" i="23"/>
  <c r="BP13" i="23"/>
  <c r="BO13" i="23"/>
  <c r="BM13" i="23"/>
  <c r="BN13" i="23"/>
  <c r="BL13" i="23"/>
  <c r="BI13" i="23"/>
  <c r="BJ13" i="23"/>
  <c r="BK13" i="23"/>
  <c r="BF13" i="23"/>
  <c r="BH13" i="23"/>
  <c r="BG13" i="23"/>
  <c r="BU393" i="23"/>
  <c r="BT393" i="23"/>
  <c r="BS393" i="23"/>
  <c r="BQ393" i="23"/>
  <c r="BR393" i="23"/>
  <c r="BP393" i="23"/>
  <c r="BM393" i="23"/>
  <c r="BN393" i="23"/>
  <c r="BO393" i="23"/>
  <c r="BJ393" i="23"/>
  <c r="BK393" i="23"/>
  <c r="BL393" i="23"/>
  <c r="BH393" i="23"/>
  <c r="BI393" i="23"/>
  <c r="BG393" i="23"/>
  <c r="BF393" i="23"/>
  <c r="BU190" i="23"/>
  <c r="BS190" i="23"/>
  <c r="BR190" i="23"/>
  <c r="BT190" i="23"/>
  <c r="BQ190" i="23"/>
  <c r="BO190" i="23"/>
  <c r="BP190" i="23"/>
  <c r="BL190" i="23"/>
  <c r="BM190" i="23"/>
  <c r="BN190" i="23"/>
  <c r="BI190" i="23"/>
  <c r="BJ190" i="23"/>
  <c r="BK190" i="23"/>
  <c r="BG190" i="23"/>
  <c r="BF190" i="23"/>
  <c r="BH190" i="23"/>
  <c r="BU101" i="23"/>
  <c r="BT101" i="23"/>
  <c r="BS101" i="23"/>
  <c r="BR101" i="23"/>
  <c r="BQ101" i="23"/>
  <c r="BP101" i="23"/>
  <c r="BO101" i="23"/>
  <c r="BM101" i="23"/>
  <c r="BN101" i="23"/>
  <c r="BL101" i="23"/>
  <c r="BI101" i="23"/>
  <c r="BJ101" i="23"/>
  <c r="BK101" i="23"/>
  <c r="BF101" i="23"/>
  <c r="BH101" i="23"/>
  <c r="BG101" i="23"/>
  <c r="BU353" i="23"/>
  <c r="BT353" i="23"/>
  <c r="BS353" i="23"/>
  <c r="BQ353" i="23"/>
  <c r="BR353" i="23"/>
  <c r="BP353" i="23"/>
  <c r="BM353" i="23"/>
  <c r="BN353" i="23"/>
  <c r="BO353" i="23"/>
  <c r="BL353" i="23"/>
  <c r="BJ353" i="23"/>
  <c r="BK353" i="23"/>
  <c r="BI353" i="23"/>
  <c r="BF353" i="23"/>
  <c r="BH353" i="23"/>
  <c r="BG353" i="23"/>
  <c r="BU267" i="23"/>
  <c r="BT267" i="23"/>
  <c r="BS267" i="23"/>
  <c r="BR267" i="23"/>
  <c r="BQ267" i="23"/>
  <c r="BO267" i="23"/>
  <c r="BP267" i="23"/>
  <c r="BL267" i="23"/>
  <c r="BM267" i="23"/>
  <c r="BN267" i="23"/>
  <c r="BK267" i="23"/>
  <c r="BI267" i="23"/>
  <c r="BJ267" i="23"/>
  <c r="BH267" i="23"/>
  <c r="BG267" i="23"/>
  <c r="BF267" i="23"/>
  <c r="BT304" i="23"/>
  <c r="BU304" i="23"/>
  <c r="BS304" i="23"/>
  <c r="BR304" i="23"/>
  <c r="BQ304" i="23"/>
  <c r="BO304" i="23"/>
  <c r="BP304" i="23"/>
  <c r="BN304" i="23"/>
  <c r="BL304" i="23"/>
  <c r="BM304" i="23"/>
  <c r="BJ304" i="23"/>
  <c r="BK304" i="23"/>
  <c r="BI304" i="23"/>
  <c r="BH304" i="23"/>
  <c r="BG304" i="23"/>
  <c r="BF304" i="23"/>
  <c r="BU64" i="23"/>
  <c r="BT64" i="23"/>
  <c r="BS64" i="23"/>
  <c r="BR64" i="23"/>
  <c r="BQ64" i="23"/>
  <c r="BO64" i="23"/>
  <c r="BP64" i="23"/>
  <c r="BN64" i="23"/>
  <c r="BL64" i="23"/>
  <c r="BM64" i="23"/>
  <c r="BJ64" i="23"/>
  <c r="BK64" i="23"/>
  <c r="BI64" i="23"/>
  <c r="BF64" i="23"/>
  <c r="BH64" i="23"/>
  <c r="BG64" i="23"/>
  <c r="BS147" i="23"/>
  <c r="BO147" i="23"/>
  <c r="BN147" i="23"/>
  <c r="BH147" i="23"/>
  <c r="BU147" i="23"/>
  <c r="BP147" i="23"/>
  <c r="BK147" i="23"/>
  <c r="BG147" i="23"/>
  <c r="BR147" i="23"/>
  <c r="BL147" i="23"/>
  <c r="BI147" i="23"/>
  <c r="BF147" i="23"/>
  <c r="BT147" i="23"/>
  <c r="BQ147" i="23"/>
  <c r="BM147" i="23"/>
  <c r="BJ147" i="23"/>
  <c r="BU148" i="23"/>
  <c r="BT148" i="23"/>
  <c r="BS148" i="23"/>
  <c r="BR148" i="23"/>
  <c r="BQ148" i="23"/>
  <c r="BO148" i="23"/>
  <c r="BP148" i="23"/>
  <c r="BN148" i="23"/>
  <c r="BL148" i="23"/>
  <c r="BM148" i="23"/>
  <c r="BJ148" i="23"/>
  <c r="BK148" i="23"/>
  <c r="BI148" i="23"/>
  <c r="BF148" i="23"/>
  <c r="BH148" i="23"/>
  <c r="BG148" i="23"/>
  <c r="BU249" i="23"/>
  <c r="BT249" i="23"/>
  <c r="BS249" i="23"/>
  <c r="BR249" i="23"/>
  <c r="BQ249" i="23"/>
  <c r="BP249" i="23"/>
  <c r="BO249" i="23"/>
  <c r="BM249" i="23"/>
  <c r="BN249" i="23"/>
  <c r="BL249" i="23"/>
  <c r="BI249" i="23"/>
  <c r="BJ249" i="23"/>
  <c r="BK249" i="23"/>
  <c r="BF249" i="23"/>
  <c r="BH249" i="23"/>
  <c r="BG249" i="23"/>
  <c r="BS315" i="23"/>
  <c r="BP315" i="23"/>
  <c r="BK315" i="23"/>
  <c r="BG315" i="23"/>
  <c r="BR315" i="23"/>
  <c r="BL315" i="23"/>
  <c r="BI315" i="23"/>
  <c r="BF315" i="23"/>
  <c r="BU315" i="23"/>
  <c r="BQ315" i="23"/>
  <c r="BM315" i="23"/>
  <c r="BJ315" i="23"/>
  <c r="BU352" i="23"/>
  <c r="BT352" i="23"/>
  <c r="BS352" i="23"/>
  <c r="BQ352" i="23"/>
  <c r="BR352" i="23"/>
  <c r="BP352" i="23"/>
  <c r="BN352" i="23"/>
  <c r="BO352" i="23"/>
  <c r="BL352" i="23"/>
  <c r="BM352" i="23"/>
  <c r="BJ352" i="23"/>
  <c r="BK352" i="23"/>
  <c r="BI352" i="23"/>
  <c r="BH352" i="23"/>
  <c r="BG352" i="23"/>
  <c r="BF352" i="23"/>
  <c r="BU83" i="23"/>
  <c r="BT83" i="23"/>
  <c r="BS83" i="23"/>
  <c r="BR83" i="23"/>
  <c r="BQ83" i="23"/>
  <c r="BO83" i="23"/>
  <c r="BP83" i="23"/>
  <c r="BL83" i="23"/>
  <c r="BM83" i="23"/>
  <c r="BN83" i="23"/>
  <c r="BK83" i="23"/>
  <c r="BI83" i="23"/>
  <c r="BJ83" i="23"/>
  <c r="BH83" i="23"/>
  <c r="BG83" i="23"/>
  <c r="BF83" i="23"/>
  <c r="BS442" i="23"/>
  <c r="BP442" i="23"/>
  <c r="BL442" i="23"/>
  <c r="BI442" i="23"/>
  <c r="BT442" i="23"/>
  <c r="BM442" i="23"/>
  <c r="BJ442" i="23"/>
  <c r="BH442" i="23"/>
  <c r="BQ442" i="23"/>
  <c r="BN442" i="23"/>
  <c r="BK442" i="23"/>
  <c r="BF442" i="23"/>
  <c r="BU442" i="23"/>
  <c r="BR442" i="23"/>
  <c r="BO442" i="23"/>
  <c r="BG442" i="23"/>
  <c r="BS50" i="23"/>
  <c r="BO50" i="23"/>
  <c r="BN50" i="23"/>
  <c r="BG50" i="23"/>
  <c r="BT50" i="23"/>
  <c r="BP50" i="23"/>
  <c r="BI50" i="23"/>
  <c r="BF50" i="23"/>
  <c r="BR50" i="23"/>
  <c r="BL50" i="23"/>
  <c r="BJ50" i="23"/>
  <c r="BH50" i="23"/>
  <c r="BU50" i="23"/>
  <c r="BQ50" i="23"/>
  <c r="BM50" i="23"/>
  <c r="BK50" i="23"/>
  <c r="BU363" i="23"/>
  <c r="BT363" i="23"/>
  <c r="BS363" i="23"/>
  <c r="BR363" i="23"/>
  <c r="BQ363" i="23"/>
  <c r="BP363" i="23"/>
  <c r="BO363" i="23"/>
  <c r="BL363" i="23"/>
  <c r="BM363" i="23"/>
  <c r="BN363" i="23"/>
  <c r="BK363" i="23"/>
  <c r="BI363" i="23"/>
  <c r="BJ363" i="23"/>
  <c r="BH363" i="23"/>
  <c r="BG363" i="23"/>
  <c r="BF363" i="23"/>
  <c r="BT93" i="23"/>
  <c r="BU93" i="23"/>
  <c r="BS93" i="23"/>
  <c r="BR93" i="23"/>
  <c r="BQ93" i="23"/>
  <c r="BP93" i="23"/>
  <c r="BO93" i="23"/>
  <c r="BM93" i="23"/>
  <c r="BN93" i="23"/>
  <c r="BL93" i="23"/>
  <c r="BI93" i="23"/>
  <c r="BJ93" i="23"/>
  <c r="BK93" i="23"/>
  <c r="BF93" i="23"/>
  <c r="BH93" i="23"/>
  <c r="BG93" i="23"/>
  <c r="BU197" i="23"/>
  <c r="BT197" i="23"/>
  <c r="BS197" i="23"/>
  <c r="BQ197" i="23"/>
  <c r="BR197" i="23"/>
  <c r="BP197" i="23"/>
  <c r="BO197" i="23"/>
  <c r="BM197" i="23"/>
  <c r="BN197" i="23"/>
  <c r="BL197" i="23"/>
  <c r="BI197" i="23"/>
  <c r="BJ197" i="23"/>
  <c r="BK197" i="23"/>
  <c r="BF197" i="23"/>
  <c r="BH197" i="23"/>
  <c r="BG197" i="23"/>
  <c r="BT306" i="23"/>
  <c r="BP306" i="23"/>
  <c r="BI306" i="23"/>
  <c r="BG306" i="23"/>
  <c r="BS306" i="23"/>
  <c r="BO306" i="23"/>
  <c r="BJ306" i="23"/>
  <c r="BF306" i="23"/>
  <c r="BR306" i="23"/>
  <c r="BM306" i="23"/>
  <c r="BL306" i="23"/>
  <c r="BH306" i="23"/>
  <c r="BU306" i="23"/>
  <c r="BQ306" i="23"/>
  <c r="BN306" i="23"/>
  <c r="BK306" i="23"/>
  <c r="BU378" i="23"/>
  <c r="BS378" i="23"/>
  <c r="BT378" i="23"/>
  <c r="BQ378" i="23"/>
  <c r="BR378" i="23"/>
  <c r="BP378" i="23"/>
  <c r="BM378" i="23"/>
  <c r="BN378" i="23"/>
  <c r="BO378" i="23"/>
  <c r="BL378" i="23"/>
  <c r="BI378" i="23"/>
  <c r="BJ378" i="23"/>
  <c r="BK378" i="23"/>
  <c r="BG378" i="23"/>
  <c r="BH378" i="23"/>
  <c r="BF378" i="23"/>
  <c r="BU398" i="23"/>
  <c r="BT398" i="23"/>
  <c r="BS398" i="23"/>
  <c r="BQ398" i="23"/>
  <c r="BR398" i="23"/>
  <c r="BP398" i="23"/>
  <c r="BM398" i="23"/>
  <c r="BN398" i="23"/>
  <c r="BO398" i="23"/>
  <c r="BL398" i="23"/>
  <c r="BI398" i="23"/>
  <c r="BJ398" i="23"/>
  <c r="BK398" i="23"/>
  <c r="BG398" i="23"/>
  <c r="BH398" i="23"/>
  <c r="BF398" i="23"/>
  <c r="BU356" i="23"/>
  <c r="BS356" i="23"/>
  <c r="BT356" i="23"/>
  <c r="BQ356" i="23"/>
  <c r="BR356" i="23"/>
  <c r="BP356" i="23"/>
  <c r="BN356" i="23"/>
  <c r="BO356" i="23"/>
  <c r="BL356" i="23"/>
  <c r="BM356" i="23"/>
  <c r="BJ356" i="23"/>
  <c r="BK356" i="23"/>
  <c r="BI356" i="23"/>
  <c r="BH356" i="23"/>
  <c r="BG356" i="23"/>
  <c r="BF356" i="23"/>
  <c r="BQ314" i="23"/>
  <c r="BN314" i="23"/>
  <c r="BJ314" i="23"/>
  <c r="BH314" i="23"/>
  <c r="BU314" i="23"/>
  <c r="BR314" i="23"/>
  <c r="BO314" i="23"/>
  <c r="BK314" i="23"/>
  <c r="BT314" i="23"/>
  <c r="BP314" i="23"/>
  <c r="BL314" i="23"/>
  <c r="BG314" i="23"/>
  <c r="BS314" i="23"/>
  <c r="BM314" i="23"/>
  <c r="BI314" i="23"/>
  <c r="BF314" i="23"/>
  <c r="BT308" i="23"/>
  <c r="BU308" i="23"/>
  <c r="BS308" i="23"/>
  <c r="BR308" i="23"/>
  <c r="BQ308" i="23"/>
  <c r="BO308" i="23"/>
  <c r="BP308" i="23"/>
  <c r="BN308" i="23"/>
  <c r="BL308" i="23"/>
  <c r="BM308" i="23"/>
  <c r="BJ308" i="23"/>
  <c r="BK308" i="23"/>
  <c r="BI308" i="23"/>
  <c r="BH308" i="23"/>
  <c r="BG308" i="23"/>
  <c r="BF308" i="23"/>
  <c r="BU181" i="23"/>
  <c r="BT181" i="23"/>
  <c r="BS181" i="23"/>
  <c r="BQ181" i="23"/>
  <c r="BR181" i="23"/>
  <c r="BP181" i="23"/>
  <c r="BO181" i="23"/>
  <c r="BM181" i="23"/>
  <c r="BN181" i="23"/>
  <c r="BL181" i="23"/>
  <c r="BI181" i="23"/>
  <c r="BJ181" i="23"/>
  <c r="BK181" i="23"/>
  <c r="BF181" i="23"/>
  <c r="BH181" i="23"/>
  <c r="BG181" i="23"/>
  <c r="BQ366" i="23"/>
  <c r="BN366" i="23"/>
  <c r="BJ366" i="23"/>
  <c r="BF366" i="23"/>
  <c r="BU366" i="23"/>
  <c r="BR366" i="23"/>
  <c r="BO366" i="23"/>
  <c r="BK366" i="23"/>
  <c r="BT366" i="23"/>
  <c r="BP366" i="23"/>
  <c r="BI366" i="23"/>
  <c r="BG366" i="23"/>
  <c r="BS366" i="23"/>
  <c r="BM366" i="23"/>
  <c r="BL366" i="23"/>
  <c r="BH366" i="23"/>
  <c r="BU288" i="23"/>
  <c r="BT288" i="23"/>
  <c r="BS288" i="23"/>
  <c r="BR288" i="23"/>
  <c r="BQ288" i="23"/>
  <c r="BO288" i="23"/>
  <c r="BP288" i="23"/>
  <c r="BN288" i="23"/>
  <c r="BL288" i="23"/>
  <c r="BM288" i="23"/>
  <c r="BJ288" i="23"/>
  <c r="BK288" i="23"/>
  <c r="BI288" i="23"/>
  <c r="BH288" i="23"/>
  <c r="BG288" i="23"/>
  <c r="BF288" i="23"/>
  <c r="BT307" i="23"/>
  <c r="BO307" i="23"/>
  <c r="BN307" i="23"/>
  <c r="BH307" i="23"/>
  <c r="BS307" i="23"/>
  <c r="BP307" i="23"/>
  <c r="BK307" i="23"/>
  <c r="BG307" i="23"/>
  <c r="BR307" i="23"/>
  <c r="BL307" i="23"/>
  <c r="BI307" i="23"/>
  <c r="BF307" i="23"/>
  <c r="BU307" i="23"/>
  <c r="BQ307" i="23"/>
  <c r="BM307" i="23"/>
  <c r="BJ307" i="23"/>
  <c r="BU335" i="23"/>
  <c r="BT335" i="23"/>
  <c r="BS335" i="23"/>
  <c r="BR335" i="23"/>
  <c r="BQ335" i="23"/>
  <c r="BO335" i="23"/>
  <c r="BP335" i="23"/>
  <c r="BL335" i="23"/>
  <c r="BM335" i="23"/>
  <c r="BN335" i="23"/>
  <c r="BK335" i="23"/>
  <c r="BI335" i="23"/>
  <c r="BJ335" i="23"/>
  <c r="BH335" i="23"/>
  <c r="BG335" i="23"/>
  <c r="BF335" i="23"/>
  <c r="BT170" i="23"/>
  <c r="BO170" i="23"/>
  <c r="BN170" i="23"/>
  <c r="BG170" i="23"/>
  <c r="BS170" i="23"/>
  <c r="BP170" i="23"/>
  <c r="BI170" i="23"/>
  <c r="BF170" i="23"/>
  <c r="BR170" i="23"/>
  <c r="BL170" i="23"/>
  <c r="BJ170" i="23"/>
  <c r="BH170" i="23"/>
  <c r="BU170" i="23"/>
  <c r="BQ170" i="23"/>
  <c r="BM170" i="23"/>
  <c r="BK170" i="23"/>
  <c r="BU233" i="23"/>
  <c r="BT233" i="23"/>
  <c r="BS233" i="23"/>
  <c r="BR233" i="23"/>
  <c r="BQ233" i="23"/>
  <c r="BP233" i="23"/>
  <c r="BO233" i="23"/>
  <c r="BM233" i="23"/>
  <c r="BN233" i="23"/>
  <c r="BL233" i="23"/>
  <c r="BI233" i="23"/>
  <c r="BJ233" i="23"/>
  <c r="BK233" i="23"/>
  <c r="BF233" i="23"/>
  <c r="BH233" i="23"/>
  <c r="BG233" i="23"/>
  <c r="BT327" i="23"/>
  <c r="BO327" i="23"/>
  <c r="BN327" i="23"/>
  <c r="BH327" i="23"/>
  <c r="BS327" i="23"/>
  <c r="BP327" i="23"/>
  <c r="BK327" i="23"/>
  <c r="BG327" i="23"/>
  <c r="BR327" i="23"/>
  <c r="BL327" i="23"/>
  <c r="BI327" i="23"/>
  <c r="BF327" i="23"/>
  <c r="BU327" i="23"/>
  <c r="BQ327" i="23"/>
  <c r="BM327" i="23"/>
  <c r="BJ327" i="23"/>
  <c r="BU372" i="23"/>
  <c r="BS372" i="23"/>
  <c r="BT372" i="23"/>
  <c r="BQ372" i="23"/>
  <c r="BR372" i="23"/>
  <c r="BP372" i="23"/>
  <c r="BN372" i="23"/>
  <c r="BO372" i="23"/>
  <c r="BL372" i="23"/>
  <c r="BM372" i="23"/>
  <c r="BJ372" i="23"/>
  <c r="BK372" i="23"/>
  <c r="BI372" i="23"/>
  <c r="BH372" i="23"/>
  <c r="BG372" i="23"/>
  <c r="BF372" i="23"/>
  <c r="BU205" i="23"/>
  <c r="BT205" i="23"/>
  <c r="BS205" i="23"/>
  <c r="BR205" i="23"/>
  <c r="BQ205" i="23"/>
  <c r="BP205" i="23"/>
  <c r="BO205" i="23"/>
  <c r="BM205" i="23"/>
  <c r="BN205" i="23"/>
  <c r="BL205" i="23"/>
  <c r="BI205" i="23"/>
  <c r="BJ205" i="23"/>
  <c r="BK205" i="23"/>
  <c r="BF205" i="23"/>
  <c r="BH205" i="23"/>
  <c r="BG205" i="23"/>
  <c r="BU230" i="23"/>
  <c r="BT230" i="23"/>
  <c r="BS230" i="23"/>
  <c r="BR230" i="23"/>
  <c r="BQ230" i="23"/>
  <c r="BO230" i="23"/>
  <c r="BP230" i="23"/>
  <c r="BL230" i="23"/>
  <c r="BM230" i="23"/>
  <c r="BN230" i="23"/>
  <c r="BI230" i="23"/>
  <c r="BJ230" i="23"/>
  <c r="BK230" i="23"/>
  <c r="BG230" i="23"/>
  <c r="BF230" i="23"/>
  <c r="BH230" i="23"/>
  <c r="BU51" i="23"/>
  <c r="BT51" i="23"/>
  <c r="BS51" i="23"/>
  <c r="BR51" i="23"/>
  <c r="BQ51" i="23"/>
  <c r="BO51" i="23"/>
  <c r="BP51" i="23"/>
  <c r="BL51" i="23"/>
  <c r="BM51" i="23"/>
  <c r="BN51" i="23"/>
  <c r="BK51" i="23"/>
  <c r="BI51" i="23"/>
  <c r="BJ51" i="23"/>
  <c r="BH51" i="23"/>
  <c r="BG51" i="23"/>
  <c r="BF51" i="23"/>
  <c r="BT119" i="23"/>
  <c r="BO119" i="23"/>
  <c r="BN119" i="23"/>
  <c r="BH119" i="23"/>
  <c r="BS119" i="23"/>
  <c r="BP119" i="23"/>
  <c r="BK119" i="23"/>
  <c r="BG119" i="23"/>
  <c r="BR119" i="23"/>
  <c r="BL119" i="23"/>
  <c r="BI119" i="23"/>
  <c r="BF119" i="23"/>
  <c r="BU119" i="23"/>
  <c r="BQ119" i="23"/>
  <c r="BM119" i="23"/>
  <c r="BJ119" i="23"/>
  <c r="BR375" i="23"/>
  <c r="BM375" i="23"/>
  <c r="BI375" i="23"/>
  <c r="BF375" i="23"/>
  <c r="BU375" i="23"/>
  <c r="BQ375" i="23"/>
  <c r="BN375" i="23"/>
  <c r="BJ375" i="23"/>
  <c r="BT375" i="23"/>
  <c r="BP375" i="23"/>
  <c r="BK375" i="23"/>
  <c r="BH375" i="23"/>
  <c r="BS375" i="23"/>
  <c r="BO375" i="23"/>
  <c r="BL375" i="23"/>
  <c r="BG375" i="23"/>
  <c r="BQ329" i="23"/>
  <c r="BM329" i="23"/>
  <c r="BK329" i="23"/>
  <c r="BG329" i="23"/>
  <c r="BU329" i="23"/>
  <c r="BR329" i="23"/>
  <c r="BN329" i="23"/>
  <c r="BF329" i="23"/>
  <c r="BT329" i="23"/>
  <c r="BP329" i="23"/>
  <c r="BL329" i="23"/>
  <c r="BH329" i="23"/>
  <c r="BS329" i="23"/>
  <c r="BO329" i="23"/>
  <c r="BJ329" i="23"/>
  <c r="BI329" i="23"/>
  <c r="BU361" i="23"/>
  <c r="BT361" i="23"/>
  <c r="BS361" i="23"/>
  <c r="BQ361" i="23"/>
  <c r="BR361" i="23"/>
  <c r="BP361" i="23"/>
  <c r="BM361" i="23"/>
  <c r="BN361" i="23"/>
  <c r="BO361" i="23"/>
  <c r="BL361" i="23"/>
  <c r="BJ361" i="23"/>
  <c r="BK361" i="23"/>
  <c r="BF361" i="23"/>
  <c r="BH361" i="23"/>
  <c r="BI361" i="23"/>
  <c r="BG361" i="23"/>
  <c r="BU302" i="23"/>
  <c r="BS302" i="23"/>
  <c r="BT302" i="23"/>
  <c r="BR302" i="23"/>
  <c r="BQ302" i="23"/>
  <c r="BP302" i="23"/>
  <c r="BO302" i="23"/>
  <c r="BM302" i="23"/>
  <c r="BN302" i="23"/>
  <c r="BI302" i="23"/>
  <c r="BL302" i="23"/>
  <c r="BJ302" i="23"/>
  <c r="BK302" i="23"/>
  <c r="BG302" i="23"/>
  <c r="BF302" i="23"/>
  <c r="BH302" i="23"/>
  <c r="BT291" i="23"/>
  <c r="BO291" i="23"/>
  <c r="BN291" i="23"/>
  <c r="BH291" i="23"/>
  <c r="BS291" i="23"/>
  <c r="BP291" i="23"/>
  <c r="BK291" i="23"/>
  <c r="BG291" i="23"/>
  <c r="BR291" i="23"/>
  <c r="BL291" i="23"/>
  <c r="BI291" i="23"/>
  <c r="BF291" i="23"/>
  <c r="BU291" i="23"/>
  <c r="BQ291" i="23"/>
  <c r="BM291" i="23"/>
  <c r="BJ291" i="23"/>
  <c r="BU376" i="23"/>
  <c r="BT376" i="23"/>
  <c r="BS376" i="23"/>
  <c r="BQ376" i="23"/>
  <c r="BR376" i="23"/>
  <c r="BP376" i="23"/>
  <c r="BN376" i="23"/>
  <c r="BO376" i="23"/>
  <c r="BM376" i="23"/>
  <c r="BJ376" i="23"/>
  <c r="BK376" i="23"/>
  <c r="BL376" i="23"/>
  <c r="BI376" i="23"/>
  <c r="BH376" i="23"/>
  <c r="BG376" i="23"/>
  <c r="BF376" i="23"/>
  <c r="BU79" i="23"/>
  <c r="BT79" i="23"/>
  <c r="BR79" i="23"/>
  <c r="BS79" i="23"/>
  <c r="BQ79" i="23"/>
  <c r="BO79" i="23"/>
  <c r="BP79" i="23"/>
  <c r="BL79" i="23"/>
  <c r="BM79" i="23"/>
  <c r="BN79" i="23"/>
  <c r="BK79" i="23"/>
  <c r="BI79" i="23"/>
  <c r="BJ79" i="23"/>
  <c r="BH79" i="23"/>
  <c r="BG79" i="23"/>
  <c r="BF79" i="23"/>
  <c r="BS142" i="23"/>
  <c r="BO142" i="23"/>
  <c r="BN142" i="23"/>
  <c r="BG142" i="23"/>
  <c r="BT142" i="23"/>
  <c r="BP142" i="23"/>
  <c r="BI142" i="23"/>
  <c r="BF142" i="23"/>
  <c r="BR142" i="23"/>
  <c r="BL142" i="23"/>
  <c r="BJ142" i="23"/>
  <c r="BH142" i="23"/>
  <c r="BU142" i="23"/>
  <c r="BQ142" i="23"/>
  <c r="BM142" i="23"/>
  <c r="BK142" i="23"/>
  <c r="BV337" i="23"/>
  <c r="BV44" i="23"/>
  <c r="BV117" i="23"/>
  <c r="BG237" i="23"/>
  <c r="BJ237" i="23"/>
  <c r="BM237" i="23"/>
  <c r="BK274" i="23"/>
  <c r="BM274" i="23"/>
  <c r="BQ274" i="23"/>
  <c r="BK102" i="23"/>
  <c r="BM102" i="23"/>
  <c r="BQ102" i="23"/>
  <c r="BK145" i="23"/>
  <c r="BN145" i="23"/>
  <c r="BQ145" i="23"/>
  <c r="BI180" i="23"/>
  <c r="BL180" i="23"/>
  <c r="BQ180" i="23"/>
  <c r="BK266" i="23"/>
  <c r="BM266" i="23"/>
  <c r="BR266" i="23"/>
  <c r="BV281" i="23"/>
  <c r="BK149" i="23"/>
  <c r="BN149" i="23"/>
  <c r="BQ149" i="23"/>
  <c r="BJ243" i="23"/>
  <c r="BM243" i="23"/>
  <c r="BQ243" i="23"/>
  <c r="BI364" i="23"/>
  <c r="BL364" i="23"/>
  <c r="BR364" i="23"/>
  <c r="BI348" i="23"/>
  <c r="BL348" i="23"/>
  <c r="BR348" i="23"/>
  <c r="BI228" i="23"/>
  <c r="BL228" i="23"/>
  <c r="BQ228" i="23"/>
  <c r="BH419" i="23"/>
  <c r="BN419" i="23"/>
  <c r="BQ419" i="23"/>
  <c r="BV377" i="23"/>
  <c r="BG418" i="23"/>
  <c r="BO418" i="23"/>
  <c r="BR418" i="23"/>
  <c r="BK209" i="23"/>
  <c r="BN209" i="23"/>
  <c r="BR209" i="23"/>
  <c r="BK78" i="23"/>
  <c r="BM78" i="23"/>
  <c r="BQ78" i="23"/>
  <c r="BK73" i="23"/>
  <c r="BN73" i="23"/>
  <c r="BQ73" i="23"/>
  <c r="BK61" i="23"/>
  <c r="BN61" i="23"/>
  <c r="BQ61" i="23"/>
  <c r="BK54" i="23"/>
  <c r="BM54" i="23"/>
  <c r="BQ54" i="23"/>
  <c r="BH432" i="23"/>
  <c r="BM432" i="23"/>
  <c r="BQ432" i="23"/>
  <c r="BK42" i="23"/>
  <c r="BM42" i="23"/>
  <c r="BP42" i="23"/>
  <c r="BI253" i="23"/>
  <c r="BN253" i="23"/>
  <c r="BQ253" i="23"/>
  <c r="BK193" i="23"/>
  <c r="BN193" i="23"/>
  <c r="BR193" i="23"/>
  <c r="BK394" i="23"/>
  <c r="BO394" i="23"/>
  <c r="BR394" i="23"/>
  <c r="BH443" i="23"/>
  <c r="BN443" i="23"/>
  <c r="BQ443" i="23"/>
  <c r="BI172" i="23"/>
  <c r="BL172" i="23"/>
  <c r="BQ172" i="23"/>
  <c r="BJ59" i="23"/>
  <c r="BM59" i="23"/>
  <c r="BQ59" i="23"/>
  <c r="BH428" i="23"/>
  <c r="BM428" i="23"/>
  <c r="BQ428" i="23"/>
  <c r="BI216" i="23"/>
  <c r="BL216" i="23"/>
  <c r="BQ216" i="23"/>
  <c r="BF373" i="23"/>
  <c r="BO373" i="23"/>
  <c r="BR373" i="23"/>
  <c r="BK390" i="23"/>
  <c r="BO390" i="23"/>
  <c r="BR390" i="23"/>
  <c r="BO315" i="23"/>
  <c r="BO316" i="23"/>
  <c r="BP436" i="23"/>
  <c r="BP334" i="23"/>
  <c r="BV246" i="23"/>
  <c r="BV222" i="23"/>
  <c r="BV168" i="23"/>
  <c r="BV313" i="23"/>
  <c r="BV260" i="23"/>
  <c r="BV273" i="23"/>
  <c r="BV182" i="23"/>
  <c r="BV19" i="23"/>
  <c r="BV400" i="23"/>
  <c r="BV399" i="23"/>
  <c r="BV96" i="23"/>
  <c r="BV22" i="23"/>
  <c r="BU198" i="23"/>
  <c r="BT198" i="23"/>
  <c r="BS198" i="23"/>
  <c r="BR198" i="23"/>
  <c r="BQ198" i="23"/>
  <c r="BO198" i="23"/>
  <c r="BP198" i="23"/>
  <c r="BL198" i="23"/>
  <c r="BM198" i="23"/>
  <c r="BN198" i="23"/>
  <c r="BI198" i="23"/>
  <c r="BJ198" i="23"/>
  <c r="BK198" i="23"/>
  <c r="BG198" i="23"/>
  <c r="BF198" i="23"/>
  <c r="BH198" i="23"/>
  <c r="BV265" i="23"/>
  <c r="BV310" i="23"/>
  <c r="BV285" i="23"/>
  <c r="BV164" i="23"/>
  <c r="BV162" i="23"/>
  <c r="BV130" i="23"/>
  <c r="BV70" i="23"/>
  <c r="BV178" i="23"/>
  <c r="BV156" i="23"/>
  <c r="BV406" i="23"/>
  <c r="BV284" i="23"/>
  <c r="BV437" i="23"/>
  <c r="BV208" i="23"/>
  <c r="BV359" i="23"/>
  <c r="BV355" i="23"/>
  <c r="BV171" i="23"/>
  <c r="BV111" i="23"/>
  <c r="BV449" i="23"/>
  <c r="BV420" i="23"/>
  <c r="BV264" i="23"/>
  <c r="BV232" i="23"/>
  <c r="BV395" i="23"/>
  <c r="BV283" i="23"/>
  <c r="BV299" i="23"/>
  <c r="BV423" i="23"/>
  <c r="BV219" i="23"/>
  <c r="BV187" i="23"/>
  <c r="BV277" i="23"/>
  <c r="BV189" i="23"/>
  <c r="BV161" i="23"/>
  <c r="BV412" i="23"/>
  <c r="BV333" i="23"/>
  <c r="BV53" i="23"/>
  <c r="BV223" i="23"/>
  <c r="BV213" i="23"/>
  <c r="BV65" i="23"/>
  <c r="BV92" i="23"/>
  <c r="BV116" i="23"/>
  <c r="BV221" i="23"/>
  <c r="BV144" i="23"/>
  <c r="BV225" i="23"/>
  <c r="BV36" i="23"/>
  <c r="BV138" i="23"/>
  <c r="BV234" i="23"/>
  <c r="BV166" i="23"/>
  <c r="BV286" i="23"/>
  <c r="BV155" i="23"/>
  <c r="BV340" i="23"/>
  <c r="BV438" i="23"/>
  <c r="BV238" i="23"/>
  <c r="BV146" i="23"/>
  <c r="BV122" i="23"/>
  <c r="BV158" i="23"/>
  <c r="BV126" i="23"/>
  <c r="BV46" i="23"/>
  <c r="BV282" i="23"/>
  <c r="BV218" i="23"/>
  <c r="BV214" i="23"/>
  <c r="BV427" i="23"/>
  <c r="BV338" i="23"/>
  <c r="BV440" i="23"/>
  <c r="BV405" i="23"/>
  <c r="BV388" i="23"/>
  <c r="BV385" i="23"/>
  <c r="BV56" i="23"/>
  <c r="BV112" i="23"/>
  <c r="BV165" i="23"/>
  <c r="BV125" i="23"/>
  <c r="BV157" i="23"/>
  <c r="BV121" i="23"/>
  <c r="BV69" i="23"/>
  <c r="BV173" i="23"/>
  <c r="BV188" i="23"/>
  <c r="BV52" i="23"/>
  <c r="W53" i="17"/>
  <c r="G3" i="17"/>
  <c r="H3" i="17"/>
  <c r="I3" i="17"/>
  <c r="J1" i="17"/>
  <c r="AE16" i="20"/>
  <c r="C7" i="20"/>
  <c r="F3" i="27"/>
  <c r="G1" i="27"/>
  <c r="G3" i="27" s="1"/>
  <c r="H4" i="20"/>
  <c r="H6" i="20" s="1"/>
  <c r="F8" i="4"/>
  <c r="B9" i="4"/>
  <c r="BV58" i="23" l="1"/>
  <c r="BV397" i="23"/>
  <c r="BV351" i="23"/>
  <c r="AG15" i="20"/>
  <c r="AE17" i="20"/>
  <c r="AE18" i="20" s="1"/>
  <c r="AF16" i="20"/>
  <c r="AG16" i="20"/>
  <c r="BV79" i="23"/>
  <c r="BV376" i="23"/>
  <c r="BV291" i="23"/>
  <c r="BV51" i="23"/>
  <c r="BV372" i="23"/>
  <c r="BV335" i="23"/>
  <c r="BV288" i="23"/>
  <c r="BV308" i="23"/>
  <c r="BV314" i="23"/>
  <c r="BV356" i="23"/>
  <c r="BV398" i="23"/>
  <c r="BV378" i="23"/>
  <c r="BV306" i="23"/>
  <c r="BV363" i="23"/>
  <c r="BV83" i="23"/>
  <c r="BV352" i="23"/>
  <c r="BV147" i="23"/>
  <c r="BV304" i="23"/>
  <c r="BV267" i="23"/>
  <c r="BV393" i="23"/>
  <c r="BV239" i="23"/>
  <c r="BV209" i="23"/>
  <c r="BV145" i="23"/>
  <c r="BV357" i="23"/>
  <c r="BV99" i="23"/>
  <c r="BV391" i="23"/>
  <c r="BV255" i="23"/>
  <c r="BV320" i="23"/>
  <c r="BV321" i="23"/>
  <c r="BV67" i="23"/>
  <c r="BV236" i="23"/>
  <c r="BV354" i="23"/>
  <c r="BV371" i="23"/>
  <c r="BV220" i="23"/>
  <c r="BV380" i="23"/>
  <c r="BV235" i="23"/>
  <c r="BV383" i="23"/>
  <c r="BV430" i="23"/>
  <c r="BV107" i="23"/>
  <c r="BV87" i="23"/>
  <c r="BV326" i="23"/>
  <c r="BV32" i="23"/>
  <c r="BV201" i="23"/>
  <c r="BV97" i="23"/>
  <c r="BV136" i="23"/>
  <c r="BV169" i="23"/>
  <c r="BV329" i="23"/>
  <c r="BV366" i="23"/>
  <c r="BV61" i="23"/>
  <c r="BV149" i="23"/>
  <c r="BV143" i="23"/>
  <c r="BV82" i="23"/>
  <c r="BV278" i="23"/>
  <c r="BV367" i="23"/>
  <c r="BV80" i="23"/>
  <c r="BV262" i="23"/>
  <c r="BV81" i="23"/>
  <c r="BV132" i="23"/>
  <c r="BV317" i="23"/>
  <c r="BV373" i="23"/>
  <c r="BV361" i="23"/>
  <c r="BV12" i="23"/>
  <c r="BV28" i="23"/>
  <c r="BV301" i="23"/>
  <c r="BV21" i="23"/>
  <c r="BV78" i="23"/>
  <c r="BV266" i="23"/>
  <c r="BV102" i="23"/>
  <c r="BV274" i="23"/>
  <c r="BV293" i="23"/>
  <c r="BV341" i="23"/>
  <c r="BV428" i="23"/>
  <c r="BV59" i="23"/>
  <c r="BV443" i="23"/>
  <c r="BV394" i="23"/>
  <c r="BV419" i="23"/>
  <c r="BV228" i="23"/>
  <c r="BV348" i="23"/>
  <c r="BV364" i="23"/>
  <c r="BV243" i="23"/>
  <c r="BV98" i="23"/>
  <c r="BV206" i="23"/>
  <c r="BV174" i="23"/>
  <c r="BV294" i="23"/>
  <c r="BV386" i="23"/>
  <c r="BV142" i="23"/>
  <c r="BV375" i="23"/>
  <c r="BV50" i="23"/>
  <c r="BV442" i="23"/>
  <c r="BV73" i="23"/>
  <c r="BV237" i="23"/>
  <c r="BV334" i="23"/>
  <c r="BV118" i="23"/>
  <c r="BV302" i="23"/>
  <c r="BV230" i="23"/>
  <c r="BV190" i="23"/>
  <c r="BV139" i="23"/>
  <c r="BV276" i="23"/>
  <c r="BV109" i="23"/>
  <c r="BV303" i="23"/>
  <c r="BV11" i="23"/>
  <c r="BV409" i="23"/>
  <c r="BV17" i="23"/>
  <c r="BV297" i="23"/>
  <c r="BV336" i="23"/>
  <c r="BV345" i="23"/>
  <c r="BV323" i="23"/>
  <c r="BV295" i="23"/>
  <c r="BV403" i="23"/>
  <c r="BV200" i="23"/>
  <c r="BV413" i="23"/>
  <c r="BV60" i="23"/>
  <c r="BV153" i="23"/>
  <c r="BV271" i="23"/>
  <c r="BV368" i="23"/>
  <c r="BV374" i="23"/>
  <c r="BV416" i="23"/>
  <c r="BV94" i="23"/>
  <c r="BV431" i="23"/>
  <c r="BV105" i="23"/>
  <c r="BV421" i="23"/>
  <c r="BV328" i="23"/>
  <c r="BV176" i="23"/>
  <c r="BV71" i="23"/>
  <c r="BV25" i="23"/>
  <c r="BV135" i="23"/>
  <c r="BV339" i="23"/>
  <c r="BV134" i="23"/>
  <c r="BV35" i="23"/>
  <c r="BV436" i="23"/>
  <c r="BV324" i="23"/>
  <c r="BV415" i="23"/>
  <c r="BV14" i="23"/>
  <c r="BV91" i="23"/>
  <c r="BV42" i="23"/>
  <c r="BV358" i="23"/>
  <c r="BV298" i="23"/>
  <c r="BV106" i="23"/>
  <c r="BV350" i="23"/>
  <c r="BV154" i="23"/>
  <c r="BV110" i="23"/>
  <c r="BV346" i="23"/>
  <c r="BV418" i="23"/>
  <c r="BV309" i="23"/>
  <c r="BV119" i="23"/>
  <c r="BV327" i="23"/>
  <c r="BV170" i="23"/>
  <c r="BV307" i="23"/>
  <c r="BV315" i="23"/>
  <c r="BV180" i="23"/>
  <c r="BV54" i="23"/>
  <c r="BV244" i="23"/>
  <c r="BV40" i="23"/>
  <c r="BV365" i="23"/>
  <c r="BV252" i="23"/>
  <c r="BV150" i="23"/>
  <c r="BV198" i="23"/>
  <c r="BV205" i="23"/>
  <c r="BV233" i="23"/>
  <c r="BV181" i="23"/>
  <c r="BV197" i="23"/>
  <c r="BV93" i="23"/>
  <c r="BV249" i="23"/>
  <c r="BV148" i="23"/>
  <c r="BV64" i="23"/>
  <c r="BV353" i="23"/>
  <c r="BV101" i="23"/>
  <c r="BV13" i="23"/>
  <c r="BV172" i="23"/>
  <c r="BV193" i="23"/>
  <c r="BV253" i="23"/>
  <c r="BV362" i="23"/>
  <c r="BV270" i="23"/>
  <c r="BV90" i="23"/>
  <c r="BV29" i="23"/>
  <c r="BV24" i="23"/>
  <c r="BV57" i="23"/>
  <c r="BV124" i="23"/>
  <c r="BV49" i="23"/>
  <c r="BV390" i="23"/>
  <c r="BV216" i="23"/>
  <c r="BV432" i="23"/>
  <c r="BV401" i="23"/>
  <c r="BV211" i="23"/>
  <c r="BV76" i="23"/>
  <c r="BV88" i="23"/>
  <c r="BV177" i="23"/>
  <c r="BV254" i="23"/>
  <c r="BV435" i="23"/>
  <c r="BV305" i="23"/>
  <c r="BV316" i="23"/>
  <c r="BV192" i="23"/>
  <c r="BV123" i="23"/>
  <c r="BV434" i="23"/>
  <c r="BV86" i="23"/>
  <c r="BV175" i="23"/>
  <c r="BV290" i="23"/>
  <c r="BV263" i="23"/>
  <c r="BV296" i="23"/>
  <c r="BV369" i="23"/>
  <c r="BV382" i="23"/>
  <c r="BV426" i="23"/>
  <c r="BV325" i="23"/>
  <c r="BV379" i="23"/>
  <c r="BV342" i="23"/>
  <c r="BV344" i="23"/>
  <c r="BV429" i="23"/>
  <c r="BV245" i="23"/>
  <c r="BV318" i="23"/>
  <c r="BV31" i="23"/>
  <c r="BV322" i="23"/>
  <c r="BV280" i="23"/>
  <c r="BV15" i="23"/>
  <c r="BV167" i="23"/>
  <c r="BV100" i="23"/>
  <c r="BV392" i="23"/>
  <c r="BV445" i="23"/>
  <c r="BV247" i="23"/>
  <c r="BV407" i="23"/>
  <c r="BV18" i="23"/>
  <c r="J3" i="17"/>
  <c r="K1" i="17"/>
  <c r="I4" i="20"/>
  <c r="I6" i="20" s="1"/>
  <c r="F9" i="4"/>
  <c r="B10" i="4"/>
  <c r="AE19" i="20" l="1"/>
  <c r="AE20" i="20" s="1"/>
  <c r="AF18" i="20"/>
  <c r="AG18" i="20"/>
  <c r="AF17" i="20"/>
  <c r="AG17" i="20"/>
  <c r="K3" i="17"/>
  <c r="L1" i="17"/>
  <c r="J4" i="20"/>
  <c r="J6" i="20" s="1"/>
  <c r="B11" i="4"/>
  <c r="F10" i="4"/>
  <c r="AF20" i="20" l="1"/>
  <c r="AG20" i="20"/>
  <c r="AF19" i="20"/>
  <c r="AG19" i="20"/>
  <c r="M1" i="17"/>
  <c r="L3" i="17"/>
  <c r="B12" i="4"/>
  <c r="F11" i="4"/>
  <c r="AE21" i="20"/>
  <c r="K4" i="20"/>
  <c r="K6" i="20" s="1"/>
  <c r="AF21" i="20" l="1"/>
  <c r="AG21" i="20"/>
  <c r="N1" i="17"/>
  <c r="M3" i="17"/>
  <c r="L4" i="20"/>
  <c r="L6" i="20" s="1"/>
  <c r="B13" i="4"/>
  <c r="F12" i="4"/>
  <c r="O1" i="17" l="1"/>
  <c r="N3" i="17"/>
  <c r="B14" i="4"/>
  <c r="F13" i="4"/>
  <c r="M4" i="20"/>
  <c r="M6" i="20" s="1"/>
  <c r="O3" i="17" l="1"/>
  <c r="P1" i="17"/>
  <c r="N4" i="20"/>
  <c r="N6" i="20" s="1"/>
  <c r="B15" i="4"/>
  <c r="F14" i="4"/>
  <c r="P3" i="17" l="1"/>
  <c r="Q1" i="17"/>
  <c r="O4" i="20"/>
  <c r="O6" i="20" s="1"/>
  <c r="F15" i="4"/>
  <c r="B16" i="4"/>
  <c r="Q3" i="17" l="1"/>
  <c r="R1" i="17"/>
  <c r="F16" i="4"/>
  <c r="B17" i="4"/>
  <c r="P4" i="20"/>
  <c r="P6" i="20" s="1"/>
  <c r="S1" i="17" l="1"/>
  <c r="R3" i="17"/>
  <c r="Q4" i="20"/>
  <c r="Q6" i="20" s="1"/>
  <c r="B18" i="4"/>
  <c r="F17" i="4"/>
  <c r="S3" i="17" l="1"/>
  <c r="T1" i="17"/>
  <c r="F18" i="4"/>
  <c r="B19" i="4"/>
  <c r="R4" i="20"/>
  <c r="R6" i="20" s="1"/>
  <c r="U1" i="17" l="1"/>
  <c r="T3" i="17"/>
  <c r="F19" i="4"/>
  <c r="B20" i="4"/>
  <c r="S4" i="20"/>
  <c r="S6" i="20" s="1"/>
  <c r="U3" i="17" l="1"/>
  <c r="V1" i="17"/>
  <c r="F20" i="4"/>
  <c r="B21" i="4"/>
  <c r="T4" i="20"/>
  <c r="T6" i="20" s="1"/>
  <c r="W1" i="17" l="1"/>
  <c r="V3" i="17"/>
  <c r="U4" i="20"/>
  <c r="U6" i="20" s="1"/>
  <c r="F21" i="4"/>
  <c r="B22" i="4"/>
  <c r="X1" i="17" l="1"/>
  <c r="W3" i="17"/>
  <c r="V4" i="20"/>
  <c r="V6" i="20" s="1"/>
  <c r="F22" i="4"/>
  <c r="B23" i="4"/>
  <c r="AI8" i="17" l="1"/>
  <c r="AJ8" i="17" s="1"/>
  <c r="AI12" i="17"/>
  <c r="AJ12" i="17" s="1"/>
  <c r="AI11" i="17"/>
  <c r="AJ11" i="17" s="1"/>
  <c r="AI9" i="17"/>
  <c r="AJ9" i="17" s="1"/>
  <c r="AI7" i="17"/>
  <c r="AJ7" i="17" s="1"/>
  <c r="AI10" i="17"/>
  <c r="AJ10" i="17" s="1"/>
  <c r="AI13" i="17"/>
  <c r="AJ13" i="17" s="1"/>
  <c r="Y1" i="17"/>
  <c r="X3" i="17"/>
  <c r="F23" i="4"/>
  <c r="B24" i="4"/>
  <c r="W4" i="20"/>
  <c r="W6" i="20" s="1"/>
  <c r="Z1" i="17" l="1"/>
  <c r="Y3" i="17"/>
  <c r="X4" i="20"/>
  <c r="X6" i="20" s="1"/>
  <c r="F24" i="4"/>
  <c r="B25" i="4"/>
  <c r="Z3" i="17" l="1"/>
  <c r="AA1" i="17"/>
  <c r="F25" i="4"/>
  <c r="B26" i="4"/>
  <c r="Y4" i="20"/>
  <c r="Y6" i="20" s="1"/>
  <c r="AA3" i="17" l="1"/>
  <c r="AB1" i="17"/>
  <c r="Z4" i="20"/>
  <c r="Z6" i="20" s="1"/>
  <c r="F26" i="4"/>
  <c r="B27" i="4"/>
  <c r="AB3" i="17" l="1"/>
  <c r="AC1" i="17"/>
  <c r="AC3" i="17" s="1"/>
  <c r="F27" i="4"/>
  <c r="B28" i="4"/>
  <c r="AA4" i="20"/>
  <c r="AA6" i="20" s="1"/>
  <c r="AB4" i="20" l="1"/>
  <c r="AB6" i="20" s="1"/>
  <c r="F28" i="4"/>
  <c r="B29" i="4"/>
  <c r="B30" i="4" l="1"/>
  <c r="F29" i="4"/>
  <c r="B31" i="4" l="1"/>
  <c r="F30" i="4"/>
  <c r="B32" i="4" l="1"/>
  <c r="F31" i="4"/>
  <c r="B33" i="4" l="1"/>
  <c r="F32" i="4"/>
  <c r="B34" i="4" l="1"/>
  <c r="F33" i="4"/>
  <c r="B35" i="4" l="1"/>
  <c r="F34" i="4"/>
  <c r="B36" i="4" l="1"/>
  <c r="F35" i="4"/>
  <c r="B37" i="4" l="1"/>
  <c r="F36" i="4"/>
  <c r="B38" i="4" l="1"/>
  <c r="F37" i="4"/>
  <c r="B39" i="4" l="1"/>
  <c r="F38" i="4"/>
  <c r="B40" i="4" l="1"/>
  <c r="F39" i="4"/>
  <c r="B41" i="4" l="1"/>
  <c r="F40" i="4"/>
  <c r="B42" i="4" l="1"/>
  <c r="F41" i="4"/>
  <c r="B43" i="4" l="1"/>
  <c r="F42" i="4"/>
  <c r="B44" i="4" l="1"/>
  <c r="F43" i="4"/>
  <c r="B45" i="4" l="1"/>
  <c r="F44" i="4"/>
  <c r="B46" i="4" l="1"/>
  <c r="F45" i="4"/>
  <c r="B47" i="4" l="1"/>
  <c r="F46" i="4"/>
  <c r="B48" i="4" l="1"/>
  <c r="F47" i="4"/>
  <c r="B49" i="4" l="1"/>
  <c r="F48" i="4"/>
  <c r="B50" i="4" l="1"/>
  <c r="F49" i="4"/>
  <c r="B51" i="4" l="1"/>
  <c r="F50" i="4"/>
  <c r="B52" i="4" l="1"/>
  <c r="F51" i="4"/>
  <c r="B53" i="4" l="1"/>
  <c r="F52" i="4"/>
  <c r="B54" i="4" l="1"/>
  <c r="F53" i="4"/>
  <c r="B55" i="4" l="1"/>
  <c r="F54" i="4"/>
  <c r="B56" i="4" l="1"/>
  <c r="F55" i="4"/>
  <c r="B57" i="4" l="1"/>
  <c r="F56" i="4"/>
  <c r="B58" i="4" l="1"/>
  <c r="F57" i="4"/>
  <c r="B59" i="4" l="1"/>
  <c r="F58" i="4"/>
  <c r="B60" i="4" l="1"/>
  <c r="F59" i="4"/>
  <c r="B61" i="4" l="1"/>
  <c r="F60" i="4"/>
  <c r="B62" i="4" l="1"/>
  <c r="F61" i="4"/>
  <c r="B63" i="4" l="1"/>
  <c r="F62" i="4"/>
  <c r="B64" i="4" l="1"/>
  <c r="F63" i="4"/>
  <c r="B65" i="4" l="1"/>
  <c r="F64" i="4"/>
  <c r="B66" i="4" l="1"/>
  <c r="F65" i="4"/>
  <c r="B67" i="4" l="1"/>
  <c r="F66" i="4"/>
  <c r="B68" i="4" l="1"/>
  <c r="F67" i="4"/>
  <c r="B69" i="4" l="1"/>
  <c r="F68" i="4"/>
  <c r="B70" i="4" l="1"/>
  <c r="F69" i="4"/>
  <c r="B71" i="4" l="1"/>
  <c r="F70" i="4"/>
  <c r="B72" i="4" l="1"/>
  <c r="F71" i="4"/>
  <c r="B73" i="4" l="1"/>
  <c r="F72" i="4"/>
  <c r="B74" i="4" l="1"/>
  <c r="F73" i="4"/>
  <c r="B75" i="4" l="1"/>
  <c r="F74" i="4"/>
  <c r="B76" i="4" l="1"/>
  <c r="F75" i="4"/>
  <c r="B77" i="4" l="1"/>
  <c r="F76" i="4"/>
  <c r="B78" i="4" l="1"/>
  <c r="F77" i="4"/>
  <c r="B79" i="4" l="1"/>
  <c r="F78" i="4"/>
  <c r="B80" i="4" l="1"/>
  <c r="F79" i="4"/>
  <c r="B81" i="4" l="1"/>
  <c r="F80" i="4"/>
  <c r="B82" i="4" l="1"/>
  <c r="F81" i="4"/>
  <c r="B83" i="4" l="1"/>
  <c r="F82" i="4"/>
  <c r="B84" i="4" l="1"/>
  <c r="F83" i="4"/>
  <c r="B85" i="4" l="1"/>
  <c r="F84" i="4"/>
  <c r="B86" i="4" l="1"/>
  <c r="F85" i="4"/>
  <c r="B87" i="4" l="1"/>
  <c r="F86" i="4"/>
  <c r="B88" i="4" l="1"/>
  <c r="F87" i="4"/>
  <c r="B89" i="4" l="1"/>
  <c r="F88" i="4"/>
  <c r="B90" i="4" l="1"/>
  <c r="F89" i="4"/>
  <c r="B91" i="4" l="1"/>
  <c r="F90" i="4"/>
  <c r="B92" i="4" l="1"/>
  <c r="F91" i="4"/>
  <c r="B93" i="4" l="1"/>
  <c r="F92" i="4"/>
  <c r="B94" i="4" l="1"/>
  <c r="F93" i="4"/>
  <c r="B95" i="4" l="1"/>
  <c r="F94" i="4"/>
  <c r="B96" i="4" l="1"/>
  <c r="F95" i="4"/>
  <c r="B97" i="4" l="1"/>
  <c r="F96" i="4"/>
  <c r="B98" i="4" l="1"/>
  <c r="F97" i="4"/>
  <c r="B99" i="4" l="1"/>
  <c r="F98" i="4"/>
  <c r="B100" i="4" l="1"/>
  <c r="F99" i="4"/>
  <c r="B101" i="4" l="1"/>
  <c r="F100" i="4"/>
  <c r="B102" i="4" l="1"/>
  <c r="F101" i="4"/>
  <c r="B103" i="4" l="1"/>
  <c r="F102" i="4"/>
  <c r="B104" i="4" l="1"/>
  <c r="F103" i="4"/>
  <c r="B105" i="4" l="1"/>
  <c r="F104" i="4"/>
  <c r="B106" i="4" l="1"/>
  <c r="F105" i="4"/>
  <c r="B107" i="4" l="1"/>
  <c r="F106" i="4"/>
  <c r="B108" i="4" l="1"/>
  <c r="F107" i="4"/>
  <c r="B109" i="4" l="1"/>
  <c r="F108" i="4"/>
  <c r="B110" i="4" l="1"/>
  <c r="F109" i="4"/>
  <c r="B111" i="4" l="1"/>
  <c r="F110" i="4"/>
  <c r="B112" i="4" l="1"/>
  <c r="F111" i="4"/>
  <c r="B113" i="4" l="1"/>
  <c r="F112" i="4"/>
  <c r="B114" i="4" l="1"/>
  <c r="F113" i="4"/>
  <c r="B115" i="4" l="1"/>
  <c r="F114" i="4"/>
  <c r="B116" i="4" l="1"/>
  <c r="F115" i="4"/>
  <c r="B117" i="4" l="1"/>
  <c r="F116" i="4"/>
  <c r="B118" i="4" l="1"/>
  <c r="F117" i="4"/>
  <c r="B119" i="4" l="1"/>
  <c r="F118" i="4"/>
  <c r="B120" i="4" l="1"/>
  <c r="F119" i="4"/>
  <c r="B121" i="4" l="1"/>
  <c r="F120" i="4"/>
  <c r="B122" i="4" l="1"/>
  <c r="F121" i="4"/>
  <c r="B123" i="4" l="1"/>
  <c r="F122" i="4"/>
  <c r="B124" i="4" l="1"/>
  <c r="F123" i="4"/>
  <c r="B125" i="4" l="1"/>
  <c r="F124" i="4"/>
  <c r="B126" i="4" l="1"/>
  <c r="F125" i="4"/>
  <c r="B127" i="4" l="1"/>
  <c r="F126" i="4"/>
  <c r="B128" i="4" l="1"/>
  <c r="F127" i="4"/>
  <c r="B129" i="4" l="1"/>
  <c r="F128" i="4"/>
  <c r="B130" i="4" l="1"/>
  <c r="F129" i="4"/>
  <c r="B131" i="4" l="1"/>
  <c r="F130" i="4"/>
  <c r="B132" i="4" l="1"/>
  <c r="F131" i="4"/>
  <c r="B133" i="4" l="1"/>
  <c r="F132" i="4"/>
  <c r="B134" i="4" l="1"/>
  <c r="F133" i="4"/>
  <c r="B135" i="4" l="1"/>
  <c r="F134" i="4"/>
  <c r="B136" i="4" l="1"/>
  <c r="F135" i="4"/>
  <c r="B137" i="4" l="1"/>
  <c r="F136" i="4"/>
  <c r="B138" i="4" l="1"/>
  <c r="F137" i="4"/>
  <c r="B139" i="4" l="1"/>
  <c r="F138" i="4"/>
  <c r="G138" i="4" s="1"/>
  <c r="B140" i="4" l="1"/>
  <c r="F139" i="4"/>
  <c r="B141" i="4" l="1"/>
  <c r="F140" i="4"/>
  <c r="B142" i="4" l="1"/>
  <c r="F141" i="4"/>
  <c r="B143" i="4" l="1"/>
  <c r="F142" i="4"/>
  <c r="B144" i="4" l="1"/>
  <c r="F143" i="4"/>
  <c r="B145" i="4" l="1"/>
  <c r="F144" i="4"/>
  <c r="B146" i="4" l="1"/>
  <c r="F145" i="4"/>
  <c r="B147" i="4" l="1"/>
  <c r="F146" i="4"/>
  <c r="B148" i="4" l="1"/>
  <c r="F147" i="4"/>
  <c r="B149" i="4" l="1"/>
  <c r="F148" i="4"/>
  <c r="B150" i="4" l="1"/>
  <c r="F149" i="4"/>
  <c r="B151" i="4" l="1"/>
  <c r="F150" i="4"/>
  <c r="B152" i="4" l="1"/>
  <c r="F151" i="4"/>
  <c r="B153" i="4" l="1"/>
  <c r="F152" i="4"/>
  <c r="B154" i="4" l="1"/>
  <c r="F153" i="4"/>
  <c r="B155" i="4" l="1"/>
  <c r="F154" i="4"/>
  <c r="B156" i="4" l="1"/>
  <c r="F155" i="4"/>
  <c r="B157" i="4" l="1"/>
  <c r="F156" i="4"/>
  <c r="B158" i="4" l="1"/>
  <c r="F157" i="4"/>
  <c r="B159" i="4" l="1"/>
  <c r="F158" i="4"/>
  <c r="B160" i="4" l="1"/>
  <c r="F159" i="4"/>
  <c r="B161" i="4" l="1"/>
  <c r="F160" i="4"/>
  <c r="B162" i="4" l="1"/>
  <c r="F161" i="4"/>
  <c r="B163" i="4" l="1"/>
  <c r="F162" i="4"/>
  <c r="B164" i="4" l="1"/>
  <c r="F163" i="4"/>
  <c r="B165" i="4" l="1"/>
  <c r="F164" i="4"/>
  <c r="B166" i="4" l="1"/>
  <c r="F165" i="4"/>
  <c r="B167" i="4" l="1"/>
  <c r="F166" i="4"/>
  <c r="B168" i="4" l="1"/>
  <c r="F167" i="4"/>
  <c r="B169" i="4" l="1"/>
  <c r="F168" i="4"/>
  <c r="B170" i="4" l="1"/>
  <c r="F169" i="4"/>
  <c r="B171" i="4" l="1"/>
  <c r="F170" i="4"/>
  <c r="B172" i="4" l="1"/>
  <c r="F171" i="4"/>
  <c r="B173" i="4" l="1"/>
  <c r="F172" i="4"/>
  <c r="B174" i="4" l="1"/>
  <c r="F173" i="4"/>
  <c r="B175" i="4" l="1"/>
  <c r="F174" i="4"/>
  <c r="B176" i="4" l="1"/>
  <c r="F175" i="4"/>
  <c r="B177" i="4" l="1"/>
  <c r="F176" i="4"/>
  <c r="B178" i="4" l="1"/>
  <c r="F177" i="4"/>
  <c r="B179" i="4" l="1"/>
  <c r="F178" i="4"/>
  <c r="B180" i="4" l="1"/>
  <c r="F179" i="4"/>
  <c r="B181" i="4" l="1"/>
  <c r="F180" i="4"/>
  <c r="B182" i="4" l="1"/>
  <c r="F181" i="4"/>
  <c r="B183" i="4" l="1"/>
  <c r="F182" i="4"/>
  <c r="B184" i="4" l="1"/>
  <c r="F183" i="4"/>
  <c r="B185" i="4" l="1"/>
  <c r="F184" i="4"/>
  <c r="B186" i="4" l="1"/>
  <c r="F185" i="4"/>
  <c r="B187" i="4" l="1"/>
  <c r="F186" i="4"/>
  <c r="B188" i="4" l="1"/>
  <c r="F187" i="4"/>
  <c r="B189" i="4" l="1"/>
  <c r="F188" i="4"/>
  <c r="B190" i="4" l="1"/>
  <c r="F189" i="4"/>
  <c r="B191" i="4" l="1"/>
  <c r="F190" i="4"/>
  <c r="B192" i="4" l="1"/>
  <c r="F191" i="4"/>
  <c r="G191" i="4" s="1"/>
  <c r="B193" i="4" l="1"/>
  <c r="F192" i="4"/>
  <c r="B194" i="4" l="1"/>
  <c r="F193" i="4"/>
  <c r="B195" i="4" l="1"/>
  <c r="F194" i="4"/>
  <c r="B196" i="4" l="1"/>
  <c r="F195" i="4"/>
  <c r="B197" i="4" l="1"/>
  <c r="F196" i="4"/>
  <c r="B198" i="4" l="1"/>
  <c r="F197" i="4"/>
  <c r="G197" i="4" s="1"/>
  <c r="B199" i="4" l="1"/>
  <c r="F198" i="4"/>
  <c r="B200" i="4" l="1"/>
  <c r="F199" i="4"/>
  <c r="B201" i="4" l="1"/>
  <c r="F200" i="4"/>
  <c r="B202" i="4" l="1"/>
  <c r="F201" i="4"/>
  <c r="B203" i="4" l="1"/>
  <c r="F202" i="4"/>
  <c r="B204" i="4" l="1"/>
  <c r="F203" i="4"/>
  <c r="B205" i="4" l="1"/>
  <c r="F204" i="4"/>
  <c r="B206" i="4" l="1"/>
  <c r="F205" i="4"/>
  <c r="B207" i="4" l="1"/>
  <c r="F206" i="4"/>
  <c r="B208" i="4" l="1"/>
  <c r="F207" i="4"/>
  <c r="B209" i="4" l="1"/>
  <c r="F208" i="4"/>
  <c r="B210" i="4" l="1"/>
  <c r="F209" i="4"/>
  <c r="B211" i="4" l="1"/>
  <c r="F210" i="4"/>
  <c r="B212" i="4" l="1"/>
  <c r="F211" i="4"/>
  <c r="B213" i="4" l="1"/>
  <c r="F212" i="4"/>
  <c r="B214" i="4" l="1"/>
  <c r="F213" i="4"/>
  <c r="B215" i="4" l="1"/>
  <c r="F214" i="4"/>
  <c r="B216" i="4" l="1"/>
  <c r="F215" i="4"/>
  <c r="B217" i="4" l="1"/>
  <c r="F216" i="4"/>
  <c r="B218" i="4" l="1"/>
  <c r="F217" i="4"/>
  <c r="B219" i="4" l="1"/>
  <c r="F218" i="4"/>
  <c r="B220" i="4" l="1"/>
  <c r="F219" i="4"/>
  <c r="B221" i="4" l="1"/>
  <c r="F220" i="4"/>
  <c r="B222" i="4" l="1"/>
  <c r="F221" i="4"/>
  <c r="B223" i="4" l="1"/>
  <c r="F222" i="4"/>
  <c r="B224" i="4" l="1"/>
  <c r="F223" i="4"/>
  <c r="B225" i="4" l="1"/>
  <c r="F224" i="4"/>
  <c r="B226" i="4" l="1"/>
  <c r="F225" i="4"/>
  <c r="B227" i="4" l="1"/>
  <c r="F226" i="4"/>
  <c r="B228" i="4" l="1"/>
  <c r="F227" i="4"/>
  <c r="B229" i="4" l="1"/>
  <c r="F228" i="4"/>
  <c r="B230" i="4" l="1"/>
  <c r="F229" i="4"/>
  <c r="B231" i="4" l="1"/>
  <c r="F230" i="4"/>
  <c r="B232" i="4" l="1"/>
  <c r="F231" i="4"/>
  <c r="B233" i="4" l="1"/>
  <c r="F232" i="4"/>
  <c r="B234" i="4" l="1"/>
  <c r="F233" i="4"/>
  <c r="B235" i="4" l="1"/>
  <c r="F234" i="4"/>
  <c r="B236" i="4" l="1"/>
  <c r="F235" i="4"/>
  <c r="B237" i="4" l="1"/>
  <c r="F236" i="4"/>
  <c r="B238" i="4" l="1"/>
  <c r="F237" i="4"/>
  <c r="B239" i="4" l="1"/>
  <c r="F238" i="4"/>
  <c r="B240" i="4" l="1"/>
  <c r="F239" i="4"/>
  <c r="B241" i="4" l="1"/>
  <c r="F240" i="4"/>
  <c r="B242" i="4" l="1"/>
  <c r="F241" i="4"/>
  <c r="B243" i="4" l="1"/>
  <c r="F242" i="4"/>
  <c r="B244" i="4" l="1"/>
  <c r="F243" i="4"/>
  <c r="B245" i="4" l="1"/>
  <c r="F244" i="4"/>
  <c r="B246" i="4" l="1"/>
  <c r="F245" i="4"/>
  <c r="B247" i="4" l="1"/>
  <c r="F246" i="4"/>
  <c r="B248" i="4" l="1"/>
  <c r="F247" i="4"/>
  <c r="B249" i="4" l="1"/>
  <c r="F248" i="4"/>
  <c r="B250" i="4" l="1"/>
  <c r="F249" i="4"/>
  <c r="B251" i="4" l="1"/>
  <c r="F250" i="4"/>
  <c r="B252" i="4" l="1"/>
  <c r="F251" i="4"/>
  <c r="B253" i="4" l="1"/>
  <c r="F252" i="4"/>
  <c r="B254" i="4" l="1"/>
  <c r="F253" i="4"/>
  <c r="B255" i="4" l="1"/>
  <c r="F254" i="4"/>
  <c r="B256" i="4" l="1"/>
  <c r="F255" i="4"/>
  <c r="B257" i="4" l="1"/>
  <c r="F256" i="4"/>
  <c r="B258" i="4" l="1"/>
  <c r="F257" i="4"/>
  <c r="B259" i="4" l="1"/>
  <c r="F258" i="4"/>
  <c r="B260" i="4" l="1"/>
  <c r="F259" i="4"/>
  <c r="B261" i="4" l="1"/>
  <c r="F260" i="4"/>
  <c r="B262" i="4" l="1"/>
  <c r="F261" i="4"/>
  <c r="B263" i="4" l="1"/>
  <c r="F262" i="4"/>
  <c r="B264" i="4" l="1"/>
  <c r="F263" i="4"/>
  <c r="B265" i="4" l="1"/>
  <c r="F264" i="4"/>
  <c r="B266" i="4" l="1"/>
  <c r="F265" i="4"/>
  <c r="B267" i="4" l="1"/>
  <c r="F266" i="4"/>
  <c r="B268" i="4" l="1"/>
  <c r="F267" i="4"/>
  <c r="B269" i="4" l="1"/>
  <c r="F268" i="4"/>
  <c r="B270" i="4" l="1"/>
  <c r="F269" i="4"/>
  <c r="B271" i="4" l="1"/>
  <c r="F270" i="4"/>
  <c r="G270" i="4" s="1"/>
  <c r="F271" i="4" l="1"/>
  <c r="G271" i="4" s="1"/>
  <c r="B272" i="4"/>
  <c r="B273" i="4" l="1"/>
  <c r="F272" i="4"/>
  <c r="G272" i="4" s="1"/>
  <c r="B274" i="4" l="1"/>
  <c r="F273" i="4"/>
  <c r="B275" i="4" l="1"/>
  <c r="F274" i="4"/>
  <c r="B276" i="4" l="1"/>
  <c r="F275" i="4"/>
  <c r="B277" i="4" l="1"/>
  <c r="F276" i="4"/>
  <c r="B278" i="4" l="1"/>
  <c r="F277" i="4"/>
  <c r="B279" i="4" l="1"/>
  <c r="F278" i="4"/>
  <c r="B280" i="4" l="1"/>
  <c r="F279" i="4"/>
  <c r="B281" i="4" l="1"/>
  <c r="F280" i="4"/>
  <c r="B282" i="4" l="1"/>
  <c r="F281" i="4"/>
  <c r="B283" i="4" l="1"/>
  <c r="F282" i="4"/>
  <c r="B284" i="4" l="1"/>
  <c r="F283" i="4"/>
  <c r="B285" i="4" l="1"/>
  <c r="F284" i="4"/>
  <c r="B286" i="4" l="1"/>
  <c r="F285" i="4"/>
  <c r="B287" i="4" l="1"/>
  <c r="F286" i="4"/>
  <c r="B288" i="4" l="1"/>
  <c r="F287" i="4"/>
  <c r="B289" i="4" l="1"/>
  <c r="F288" i="4"/>
  <c r="B290" i="4" l="1"/>
  <c r="F289" i="4"/>
  <c r="B291" i="4" l="1"/>
  <c r="F290" i="4"/>
  <c r="B292" i="4" l="1"/>
  <c r="F291" i="4"/>
  <c r="B293" i="4" l="1"/>
  <c r="F292" i="4"/>
  <c r="B294" i="4" l="1"/>
  <c r="F293" i="4"/>
  <c r="B295" i="4" l="1"/>
  <c r="F294" i="4"/>
  <c r="B296" i="4" l="1"/>
  <c r="F295" i="4"/>
  <c r="G295" i="4" s="1"/>
  <c r="B297" i="4" l="1"/>
  <c r="F296" i="4"/>
  <c r="G296" i="4" s="1"/>
  <c r="F297" i="4" l="1"/>
  <c r="G297" i="4" s="1"/>
  <c r="B298" i="4"/>
  <c r="B299" i="4" l="1"/>
  <c r="F298" i="4"/>
  <c r="G298" i="4" s="1"/>
  <c r="F299" i="4" l="1"/>
  <c r="G299" i="4" s="1"/>
  <c r="B300" i="4"/>
  <c r="B301" i="4" l="1"/>
  <c r="F300" i="4"/>
  <c r="G300" i="4" s="1"/>
  <c r="F301" i="4" l="1"/>
  <c r="G301" i="4" s="1"/>
  <c r="B302" i="4"/>
  <c r="F302" i="4" l="1"/>
  <c r="G302" i="4" s="1"/>
  <c r="B303" i="4"/>
  <c r="B304" i="4" l="1"/>
  <c r="F303" i="4"/>
  <c r="G303" i="4" s="1"/>
  <c r="F304" i="4" l="1"/>
  <c r="G304" i="4" s="1"/>
  <c r="B305" i="4"/>
  <c r="F305" i="4" l="1"/>
  <c r="G305" i="4" s="1"/>
  <c r="B306" i="4"/>
  <c r="B307" i="4" l="1"/>
  <c r="F306" i="4"/>
  <c r="G306" i="4" s="1"/>
  <c r="F307" i="4" l="1"/>
  <c r="G307" i="4" s="1"/>
  <c r="B308" i="4"/>
  <c r="B309" i="4" l="1"/>
  <c r="F308" i="4"/>
  <c r="G308" i="4" s="1"/>
  <c r="B310" i="4" l="1"/>
  <c r="F309" i="4"/>
  <c r="G309" i="4" s="1"/>
  <c r="F310" i="4" l="1"/>
  <c r="G310" i="4" s="1"/>
  <c r="B311" i="4"/>
  <c r="B312" i="4" l="1"/>
  <c r="F311" i="4"/>
  <c r="G311" i="4" s="1"/>
  <c r="F312" i="4" l="1"/>
  <c r="G312" i="4" s="1"/>
  <c r="B313" i="4"/>
  <c r="B314" i="4" l="1"/>
  <c r="F313" i="4"/>
  <c r="G313" i="4" s="1"/>
  <c r="B315" i="4" l="1"/>
  <c r="F314" i="4"/>
  <c r="G314" i="4" s="1"/>
  <c r="B316" i="4" l="1"/>
  <c r="F315" i="4"/>
  <c r="G315" i="4" s="1"/>
  <c r="B317" i="4" l="1"/>
  <c r="F316" i="4"/>
  <c r="G316" i="4" s="1"/>
  <c r="B318" i="4" l="1"/>
  <c r="F317" i="4"/>
  <c r="G317" i="4" s="1"/>
  <c r="F318" i="4" l="1"/>
  <c r="G318" i="4" s="1"/>
  <c r="B319" i="4"/>
  <c r="B320" i="4" l="1"/>
  <c r="F319" i="4"/>
  <c r="G319" i="4" s="1"/>
  <c r="F320" i="4" l="1"/>
  <c r="G320" i="4" s="1"/>
  <c r="B321" i="4"/>
  <c r="F321" i="4" l="1"/>
  <c r="G321" i="4" s="1"/>
  <c r="B322" i="4"/>
  <c r="B323" i="4" l="1"/>
  <c r="F322" i="4"/>
  <c r="G322" i="4" s="1"/>
  <c r="F323" i="4" l="1"/>
  <c r="G323" i="4" s="1"/>
  <c r="B324" i="4"/>
  <c r="B325" i="4" l="1"/>
  <c r="F324" i="4"/>
  <c r="G324" i="4" s="1"/>
  <c r="F325" i="4" l="1"/>
  <c r="G325" i="4" s="1"/>
  <c r="B326" i="4"/>
  <c r="F326" i="4" l="1"/>
  <c r="G326" i="4" s="1"/>
  <c r="B327" i="4"/>
  <c r="B328" i="4" l="1"/>
  <c r="F327" i="4"/>
  <c r="G327" i="4" s="1"/>
  <c r="B329" i="4" l="1"/>
  <c r="F328" i="4"/>
  <c r="G328" i="4" s="1"/>
  <c r="F329" i="4" l="1"/>
  <c r="G329" i="4" s="1"/>
  <c r="B330" i="4"/>
  <c r="B331" i="4" l="1"/>
  <c r="F330" i="4"/>
  <c r="G330" i="4" s="1"/>
  <c r="F331" i="4" l="1"/>
  <c r="G331" i="4" s="1"/>
  <c r="B332" i="4"/>
  <c r="B333" i="4" l="1"/>
  <c r="F332" i="4"/>
  <c r="G332" i="4" s="1"/>
  <c r="F333" i="4" l="1"/>
  <c r="G333" i="4" s="1"/>
  <c r="B334" i="4"/>
  <c r="F334" i="4" l="1"/>
  <c r="G334" i="4" s="1"/>
  <c r="B335" i="4"/>
  <c r="B336" i="4" l="1"/>
  <c r="F335" i="4"/>
  <c r="G335" i="4" s="1"/>
  <c r="F336" i="4" l="1"/>
  <c r="G336" i="4" s="1"/>
  <c r="B337" i="4"/>
  <c r="F337" i="4" l="1"/>
  <c r="G337" i="4" s="1"/>
  <c r="B338" i="4"/>
  <c r="B339" i="4" l="1"/>
  <c r="F338" i="4"/>
  <c r="G338" i="4" s="1"/>
  <c r="F339" i="4" l="1"/>
  <c r="G339" i="4" s="1"/>
  <c r="B340" i="4"/>
  <c r="B341" i="4" l="1"/>
  <c r="F340" i="4"/>
  <c r="G340" i="4" s="1"/>
  <c r="B342" i="4" l="1"/>
  <c r="F341" i="4"/>
  <c r="G341" i="4" s="1"/>
  <c r="F342" i="4" l="1"/>
  <c r="G342" i="4" s="1"/>
  <c r="B343" i="4"/>
  <c r="B344" i="4" l="1"/>
  <c r="F343" i="4"/>
  <c r="G343" i="4" s="1"/>
  <c r="F344" i="4" l="1"/>
  <c r="G344" i="4" s="1"/>
  <c r="B345" i="4"/>
  <c r="B346" i="4" l="1"/>
  <c r="F345" i="4"/>
  <c r="G345" i="4" s="1"/>
  <c r="B347" i="4" l="1"/>
  <c r="F346" i="4"/>
  <c r="G346" i="4" s="1"/>
  <c r="B348" i="4" l="1"/>
  <c r="F347" i="4"/>
  <c r="G347" i="4" s="1"/>
  <c r="B349" i="4" l="1"/>
  <c r="F348" i="4"/>
  <c r="G348" i="4" s="1"/>
  <c r="B350" i="4" l="1"/>
  <c r="F349" i="4"/>
  <c r="G349" i="4" s="1"/>
  <c r="F350" i="4" l="1"/>
  <c r="G350" i="4" s="1"/>
  <c r="B351" i="4"/>
  <c r="B352" i="4" l="1"/>
  <c r="F351" i="4"/>
  <c r="G351" i="4" s="1"/>
  <c r="F352" i="4" l="1"/>
  <c r="G352" i="4" s="1"/>
  <c r="B353" i="4"/>
  <c r="F353" i="4" l="1"/>
  <c r="G353" i="4" s="1"/>
  <c r="B354" i="4"/>
  <c r="B355" i="4" l="1"/>
  <c r="F354" i="4"/>
  <c r="G354" i="4" s="1"/>
  <c r="F355" i="4" l="1"/>
  <c r="G355" i="4" s="1"/>
  <c r="B356" i="4"/>
  <c r="B357" i="4" l="1"/>
  <c r="F356" i="4"/>
  <c r="G356" i="4" s="1"/>
  <c r="F357" i="4" l="1"/>
  <c r="G357" i="4" s="1"/>
  <c r="B358" i="4"/>
  <c r="F358" i="4" l="1"/>
  <c r="G358" i="4" s="1"/>
  <c r="B359" i="4"/>
  <c r="B360" i="4" l="1"/>
  <c r="F359" i="4"/>
  <c r="G359" i="4" s="1"/>
  <c r="B361" i="4" l="1"/>
  <c r="F360" i="4"/>
  <c r="G360" i="4" s="1"/>
  <c r="F361" i="4" l="1"/>
  <c r="G361" i="4" s="1"/>
  <c r="B362" i="4"/>
  <c r="B363" i="4" l="1"/>
  <c r="F362" i="4"/>
  <c r="G362" i="4" s="1"/>
  <c r="F363" i="4" l="1"/>
  <c r="G363" i="4" s="1"/>
  <c r="B364" i="4"/>
  <c r="B365" i="4" l="1"/>
  <c r="F364" i="4"/>
  <c r="G364" i="4" s="1"/>
  <c r="F365" i="4" l="1"/>
  <c r="G365" i="4" s="1"/>
  <c r="B366" i="4"/>
  <c r="F366" i="4" l="1"/>
  <c r="G366" i="4" s="1"/>
  <c r="B367" i="4"/>
  <c r="B368" i="4" l="1"/>
  <c r="F367" i="4"/>
  <c r="G367" i="4" s="1"/>
  <c r="F368" i="4" l="1"/>
  <c r="G368" i="4" s="1"/>
  <c r="B369" i="4"/>
  <c r="F369" i="4" l="1"/>
  <c r="G369" i="4" s="1"/>
  <c r="B370" i="4"/>
  <c r="B371" i="4" l="1"/>
  <c r="F370" i="4"/>
  <c r="G370" i="4" s="1"/>
  <c r="F371" i="4" l="1"/>
  <c r="G371" i="4" s="1"/>
  <c r="B372" i="4"/>
  <c r="B373" i="4" l="1"/>
  <c r="F372" i="4"/>
  <c r="G372" i="4" s="1"/>
  <c r="B374" i="4" l="1"/>
  <c r="F373" i="4"/>
  <c r="G373" i="4" s="1"/>
  <c r="F374" i="4" l="1"/>
  <c r="G374" i="4" s="1"/>
  <c r="B375" i="4"/>
  <c r="B376" i="4" l="1"/>
  <c r="F375" i="4"/>
  <c r="G375" i="4" s="1"/>
  <c r="F376" i="4" l="1"/>
  <c r="G376" i="4" s="1"/>
  <c r="B377" i="4"/>
  <c r="B378" i="4" l="1"/>
  <c r="F377" i="4"/>
  <c r="G377" i="4" s="1"/>
  <c r="B379" i="4" l="1"/>
  <c r="F378" i="4"/>
  <c r="G378" i="4" s="1"/>
  <c r="B380" i="4" l="1"/>
  <c r="F379" i="4"/>
  <c r="G379" i="4" s="1"/>
  <c r="B381" i="4" l="1"/>
  <c r="F380" i="4"/>
  <c r="G380" i="4" s="1"/>
  <c r="B382" i="4" l="1"/>
  <c r="F381" i="4"/>
  <c r="G381" i="4" s="1"/>
  <c r="F382" i="4" l="1"/>
  <c r="G382" i="4" s="1"/>
  <c r="B383" i="4"/>
  <c r="B384" i="4" l="1"/>
  <c r="F383" i="4"/>
  <c r="G383" i="4" s="1"/>
  <c r="F384" i="4" l="1"/>
  <c r="G384" i="4" s="1"/>
  <c r="B385" i="4"/>
  <c r="F385" i="4" l="1"/>
  <c r="G385" i="4" s="1"/>
  <c r="B386" i="4"/>
  <c r="B387" i="4" l="1"/>
  <c r="F386" i="4"/>
  <c r="G386" i="4" s="1"/>
  <c r="F387" i="4" l="1"/>
  <c r="G387" i="4" s="1"/>
  <c r="B388" i="4"/>
  <c r="B389" i="4" l="1"/>
  <c r="F388" i="4"/>
  <c r="F389" i="4" l="1"/>
  <c r="B390" i="4"/>
  <c r="B391" i="4" l="1"/>
  <c r="F390" i="4"/>
  <c r="G390" i="4" s="1"/>
  <c r="F391" i="4" l="1"/>
  <c r="G391" i="4" s="1"/>
  <c r="B392" i="4"/>
  <c r="F392" i="4" l="1"/>
  <c r="G392" i="4" s="1"/>
  <c r="B393" i="4"/>
  <c r="B394" i="4" l="1"/>
  <c r="F393" i="4"/>
  <c r="G393" i="4" s="1"/>
  <c r="F394" i="4" l="1"/>
  <c r="G394" i="4" s="1"/>
  <c r="B395" i="4"/>
  <c r="F395" i="4" l="1"/>
  <c r="G395" i="4" s="1"/>
  <c r="B396" i="4"/>
  <c r="B397" i="4" l="1"/>
  <c r="F396" i="4"/>
  <c r="G396" i="4" s="1"/>
  <c r="F397" i="4" l="1"/>
  <c r="G397" i="4" s="1"/>
  <c r="B398" i="4"/>
  <c r="B399" i="4" l="1"/>
  <c r="F398" i="4"/>
  <c r="G398" i="4" s="1"/>
  <c r="B400" i="4" l="1"/>
  <c r="F399" i="4"/>
  <c r="G399" i="4" s="1"/>
  <c r="F400" i="4" l="1"/>
  <c r="G400" i="4" s="1"/>
  <c r="B401" i="4"/>
  <c r="B402" i="4" l="1"/>
  <c r="F401" i="4"/>
  <c r="G401" i="4" s="1"/>
  <c r="F402" i="4" l="1"/>
  <c r="G402" i="4" s="1"/>
  <c r="B403" i="4"/>
  <c r="B404" i="4" l="1"/>
  <c r="F403" i="4"/>
  <c r="G403" i="4" s="1"/>
  <c r="B405" i="4" l="1"/>
  <c r="F404" i="4"/>
  <c r="G404" i="4" s="1"/>
  <c r="B406" i="4" l="1"/>
  <c r="F405" i="4"/>
  <c r="G405" i="4" s="1"/>
  <c r="B407" i="4" l="1"/>
  <c r="F406" i="4"/>
  <c r="G406" i="4" s="1"/>
  <c r="B408" i="4" l="1"/>
  <c r="F407" i="4"/>
  <c r="G407" i="4" s="1"/>
  <c r="F408" i="4" l="1"/>
  <c r="G408" i="4" s="1"/>
  <c r="B409" i="4"/>
  <c r="B410" i="4" l="1"/>
  <c r="F409" i="4"/>
  <c r="G409" i="4" s="1"/>
  <c r="F410" i="4" l="1"/>
  <c r="G410" i="4" s="1"/>
  <c r="B411" i="4"/>
  <c r="F411" i="4" l="1"/>
  <c r="G411" i="4" s="1"/>
  <c r="B412" i="4"/>
  <c r="B413" i="4" l="1"/>
  <c r="F412" i="4"/>
  <c r="G412" i="4" s="1"/>
  <c r="F413" i="4" l="1"/>
  <c r="G413" i="4" s="1"/>
  <c r="B414" i="4"/>
  <c r="B415" i="4" l="1"/>
  <c r="F414" i="4"/>
  <c r="G414" i="4" s="1"/>
  <c r="F415" i="4" l="1"/>
  <c r="G415" i="4" s="1"/>
  <c r="B416" i="4"/>
  <c r="F416" i="4" l="1"/>
  <c r="G416" i="4" s="1"/>
  <c r="B417" i="4"/>
  <c r="B418" i="4" l="1"/>
  <c r="F417" i="4"/>
  <c r="G417" i="4" s="1"/>
  <c r="B419" i="4" l="1"/>
  <c r="F418" i="4"/>
  <c r="G418" i="4" s="1"/>
  <c r="F419" i="4" l="1"/>
  <c r="G419" i="4" s="1"/>
  <c r="B420" i="4"/>
  <c r="B421" i="4" l="1"/>
  <c r="F420" i="4"/>
  <c r="G420" i="4" s="1"/>
  <c r="F421" i="4" l="1"/>
  <c r="G421" i="4" s="1"/>
  <c r="B422" i="4"/>
  <c r="B423" i="4" l="1"/>
  <c r="F422" i="4"/>
  <c r="G422" i="4" s="1"/>
  <c r="F423" i="4" l="1"/>
  <c r="G423" i="4" s="1"/>
  <c r="B424" i="4"/>
  <c r="F424" i="4" l="1"/>
  <c r="G424" i="4" s="1"/>
  <c r="B425" i="4"/>
  <c r="B426" i="4" l="1"/>
  <c r="F425" i="4"/>
  <c r="G425" i="4" s="1"/>
  <c r="F426" i="4" l="1"/>
  <c r="G426" i="4" s="1"/>
  <c r="B427" i="4"/>
  <c r="F427" i="4" l="1"/>
  <c r="G427" i="4" s="1"/>
  <c r="B428" i="4"/>
  <c r="B429" i="4" l="1"/>
  <c r="F428" i="4"/>
  <c r="G428" i="4" s="1"/>
  <c r="F429" i="4" l="1"/>
  <c r="G429" i="4" s="1"/>
  <c r="B430" i="4"/>
  <c r="B431" i="4" l="1"/>
  <c r="F430" i="4"/>
  <c r="G430" i="4" s="1"/>
  <c r="B432" i="4" l="1"/>
  <c r="F431" i="4"/>
  <c r="G431" i="4" s="1"/>
  <c r="F432" i="4" l="1"/>
  <c r="G432" i="4" s="1"/>
  <c r="B433" i="4"/>
  <c r="B434" i="4" l="1"/>
  <c r="F433" i="4"/>
  <c r="G433" i="4" s="1"/>
  <c r="F434" i="4" l="1"/>
  <c r="G434" i="4" s="1"/>
  <c r="B435" i="4"/>
  <c r="B436" i="4" l="1"/>
  <c r="F435" i="4"/>
  <c r="G435" i="4" s="1"/>
  <c r="B437" i="4" l="1"/>
  <c r="F436" i="4"/>
  <c r="G436" i="4" s="1"/>
  <c r="B438" i="4" l="1"/>
  <c r="F437" i="4"/>
  <c r="G437" i="4" s="1"/>
  <c r="B439" i="4" l="1"/>
  <c r="F438" i="4"/>
  <c r="G438" i="4" s="1"/>
  <c r="B440" i="4" l="1"/>
  <c r="F439" i="4"/>
  <c r="G439" i="4" s="1"/>
  <c r="F440" i="4" l="1"/>
  <c r="G440" i="4" s="1"/>
  <c r="B441" i="4"/>
  <c r="B442" i="4" l="1"/>
  <c r="F441" i="4"/>
  <c r="G441" i="4" s="1"/>
  <c r="F442" i="4" l="1"/>
  <c r="G442" i="4" s="1"/>
  <c r="B443" i="4"/>
  <c r="F443" i="4" l="1"/>
  <c r="G443" i="4" s="1"/>
  <c r="B444" i="4"/>
  <c r="B445" i="4" l="1"/>
  <c r="F444" i="4"/>
  <c r="G444" i="4" s="1"/>
  <c r="F445" i="4" l="1"/>
  <c r="G445" i="4" s="1"/>
  <c r="B446" i="4"/>
  <c r="B447" i="4" l="1"/>
  <c r="F446" i="4"/>
  <c r="G446" i="4" s="1"/>
  <c r="F447" i="4" l="1"/>
  <c r="G447" i="4" s="1"/>
  <c r="B448" i="4"/>
  <c r="F448" i="4" l="1"/>
  <c r="G448" i="4" s="1"/>
  <c r="B449" i="4"/>
  <c r="B450" i="4" l="1"/>
  <c r="F449" i="4"/>
  <c r="G449" i="4" s="1"/>
  <c r="B451" i="4" l="1"/>
  <c r="F450" i="4"/>
  <c r="G450" i="4" s="1"/>
  <c r="F451" i="4" l="1"/>
  <c r="G451" i="4" s="1"/>
  <c r="B452" i="4"/>
  <c r="B453" i="4" l="1"/>
  <c r="F452" i="4"/>
  <c r="G452" i="4" s="1"/>
  <c r="F453" i="4" l="1"/>
  <c r="G453" i="4" s="1"/>
  <c r="B454" i="4"/>
  <c r="B455" i="4" l="1"/>
  <c r="F454" i="4"/>
  <c r="G454" i="4" s="1"/>
  <c r="F455" i="4" l="1"/>
  <c r="G455" i="4" s="1"/>
  <c r="B456" i="4"/>
  <c r="F456" i="4" l="1"/>
  <c r="G456" i="4" s="1"/>
  <c r="B457" i="4"/>
  <c r="B458" i="4" l="1"/>
  <c r="F457" i="4"/>
  <c r="G457" i="4" s="1"/>
  <c r="F458" i="4" l="1"/>
  <c r="G458" i="4" s="1"/>
  <c r="B459" i="4"/>
  <c r="F459" i="4" l="1"/>
  <c r="G459" i="4" s="1"/>
  <c r="B460" i="4"/>
  <c r="F460" i="4" s="1"/>
</calcChain>
</file>

<file path=xl/sharedStrings.xml><?xml version="1.0" encoding="utf-8"?>
<sst xmlns="http://schemas.openxmlformats.org/spreadsheetml/2006/main" count="138456" uniqueCount="21994">
  <si>
    <t xml:space="preserve"> A/GRIPAIS EXC A/INFEC</t>
  </si>
  <si>
    <t xml:space="preserve"> ACHE</t>
  </si>
  <si>
    <t>E</t>
  </si>
  <si>
    <t>M</t>
  </si>
  <si>
    <t>P</t>
  </si>
  <si>
    <t>FEBRE</t>
  </si>
  <si>
    <t>DIPIRONA SODICA MG GOTAS 500 MG 10 ML x 1 (/ML)</t>
  </si>
  <si>
    <t xml:space="preserve"> ANALG NAO NARCOT/A/PIRET</t>
  </si>
  <si>
    <t xml:space="preserve"> UNIAO QUIMICA F N</t>
  </si>
  <si>
    <t xml:space="preserve"> ABBOTT</t>
  </si>
  <si>
    <t>G</t>
  </si>
  <si>
    <t>GRUPO</t>
  </si>
  <si>
    <t>APRESENTAÇÕES</t>
  </si>
  <si>
    <t>DESCRIÇÃO DA 
CLASSE TERAPÊUTICA</t>
  </si>
  <si>
    <t>LABORATÓRIOS</t>
  </si>
  <si>
    <t>ETICO ou POP</t>
  </si>
  <si>
    <t>S / G / M / R</t>
  </si>
  <si>
    <t>MAT ~ 05/2014     Unidades (Caixas)</t>
  </si>
  <si>
    <t>MAT ~ 05/2014        Reais (R$)</t>
  </si>
  <si>
    <t>MAT ~ 05/2014    Dólares (US$)</t>
  </si>
  <si>
    <t>BUSCOPAN DRAG 10 MG x 20</t>
  </si>
  <si>
    <t xml:space="preserve"> ANTIESPAM+ANTICOL PUROS</t>
  </si>
  <si>
    <t xml:space="preserve"> BOEHRINGER ING</t>
  </si>
  <si>
    <t>R</t>
  </si>
  <si>
    <t>BUSCOPAN GOTAS 10 MG 20 ML x 1 (/ML)</t>
  </si>
  <si>
    <t>ATROVERAN GOTAS 30 ML x 1</t>
  </si>
  <si>
    <t xml:space="preserve"> D M IND.FTCA</t>
  </si>
  <si>
    <t>DACTIL-OB DRAG x 30</t>
  </si>
  <si>
    <t xml:space="preserve"> SANOFI</t>
  </si>
  <si>
    <t xml:space="preserve"> EMS PHARMA</t>
  </si>
  <si>
    <t>BUSCOPAN COMPOSTO CPR REVEST x 20</t>
  </si>
  <si>
    <t xml:space="preserve"> ASS.A/ESPASMODIC./ANALG.</t>
  </si>
  <si>
    <t>BUSCOPAN COMPOSTO GOTAS 20 ML x 1</t>
  </si>
  <si>
    <t>NEOCOPAN CPR x 20</t>
  </si>
  <si>
    <t xml:space="preserve"> NEO QUIMICA</t>
  </si>
  <si>
    <t>BUTIL ES+D S GO MG GOTAS 20 ML x 1</t>
  </si>
  <si>
    <t>BUSCODUO CPR REVEST 500 MG x 20</t>
  </si>
  <si>
    <t>ESPASMO FLATOL GOTAS 20 ML x 1</t>
  </si>
  <si>
    <t xml:space="preserve"> A/ESPASMOD/ASS.OUT.PROD</t>
  </si>
  <si>
    <t xml:space="preserve"> LEGRAND</t>
  </si>
  <si>
    <t>DOR DE BARRIGA/ CÓLICAS</t>
  </si>
  <si>
    <t>AZIA/ MÁ DIGESTÃO</t>
  </si>
  <si>
    <t>SAL DE ENO PO  EFER 100 G x 1</t>
  </si>
  <si>
    <t xml:space="preserve"> ANTIAC PUROS</t>
  </si>
  <si>
    <t xml:space="preserve"> GSK CONSUMO</t>
  </si>
  <si>
    <t>SAL DE ENO PO EFER NARA 100 G x 1</t>
  </si>
  <si>
    <t>SAL DE ENO PO.EF.DUP x 60</t>
  </si>
  <si>
    <t>HIDROX.ALUMINIO MG SUSP 310 MG 240 ML x 1 (/5ML)</t>
  </si>
  <si>
    <t>LUFTAL GOTAS 75 MG 15 ML x 1 (/ML)</t>
  </si>
  <si>
    <t xml:space="preserve"> ANTIFLAT.PUROS/CARMINATI.</t>
  </si>
  <si>
    <t xml:space="preserve"> RECKITT BENCKISER</t>
  </si>
  <si>
    <t>SIMETICONA MG GOTAS 75 MG 15 ML x 1 (/ML)</t>
  </si>
  <si>
    <t xml:space="preserve"> MEDLEY</t>
  </si>
  <si>
    <t>MYLANTA PLUS SUSP MORANGO 240 ML x 1</t>
  </si>
  <si>
    <t xml:space="preserve"> ANTIAC C/ ANTIFLAT/CARMIN</t>
  </si>
  <si>
    <t xml:space="preserve"> JOHNSON JOHNSON</t>
  </si>
  <si>
    <t>MYLANTA PLUS SUSP 240 ML x 1</t>
  </si>
  <si>
    <t>SIMECO PLUS SUSP 240 ML x 1</t>
  </si>
  <si>
    <t xml:space="preserve"> SUPERA RX</t>
  </si>
  <si>
    <t>GASTROGEL SUSP 150 ML x 1</t>
  </si>
  <si>
    <t xml:space="preserve"> MEDQUIMICA</t>
  </si>
  <si>
    <t>GASTRITE/ ÚLCERA</t>
  </si>
  <si>
    <t>CLOR.RANITIDINA MG CPR REVEST 150 MG x 20</t>
  </si>
  <si>
    <t xml:space="preserve"> ANTAGONISTA RECEPTORES H2</t>
  </si>
  <si>
    <t xml:space="preserve"> TEUTO BRASILEIRO</t>
  </si>
  <si>
    <t>LABEL LIQD 75 MG 120 ML x 1 (/5ML)</t>
  </si>
  <si>
    <t>LOZEPREL CAPS 20 MG x 56</t>
  </si>
  <si>
    <t xml:space="preserve"> INIBIDORES DA BOMBA ACIDA</t>
  </si>
  <si>
    <t xml:space="preserve"> MULTILAB</t>
  </si>
  <si>
    <t>OMEPRAZOL MG CAPS 20 MG x 28</t>
  </si>
  <si>
    <t>LOZEPREL CAPS 20 MG x 28</t>
  </si>
  <si>
    <t>NOVOPRAZOL CAPS 20 MG x 56</t>
  </si>
  <si>
    <t xml:space="preserve"> GLOBO</t>
  </si>
  <si>
    <t>NEOPRAZOL CAPS GASTROR 20 MG x 28</t>
  </si>
  <si>
    <t>SUCRAFILM FLACONETES 200 MG 10 ML x 20 (/ML)</t>
  </si>
  <si>
    <t xml:space="preserve"> TOD. OUTROS A/ULCEROSOS</t>
  </si>
  <si>
    <t>NÁUSEAS</t>
  </si>
  <si>
    <t>PLASIL CPR 10 MG x 20</t>
  </si>
  <si>
    <t xml:space="preserve"> GASTROPROCINETICOS</t>
  </si>
  <si>
    <t>PLASIL GOTAS 10 MG 10 ML x 1 (/ML)</t>
  </si>
  <si>
    <t>BROMOPRIDA MG CAPS 10 MG x 20</t>
  </si>
  <si>
    <t>MOTILIUM CPR BLISTER 10 MG x 30</t>
  </si>
  <si>
    <t xml:space="preserve"> JANSSEN CILAG</t>
  </si>
  <si>
    <t>VONAU CPR FLASH 4 MG x 10</t>
  </si>
  <si>
    <t xml:space="preserve"> ANT.SEROT.ANTIEM/ANTINAU</t>
  </si>
  <si>
    <t xml:space="preserve"> BIOLAB-SANUS FARMA</t>
  </si>
  <si>
    <t>VONAU CPR FLASH 8 MG x 10</t>
  </si>
  <si>
    <t>NAUSEDRON CAPS 8 MG x 10</t>
  </si>
  <si>
    <t xml:space="preserve"> CRISTALIA</t>
  </si>
  <si>
    <t>NAUSEDRON AMP. 4 MG 2 ML x 1</t>
  </si>
  <si>
    <t>DRAMIN B6 CPR REVEST x 30</t>
  </si>
  <si>
    <t xml:space="preserve"> OUT.ANTIEMET./ANTINAUS.</t>
  </si>
  <si>
    <t xml:space="preserve"> TAKEDA PHARMA</t>
  </si>
  <si>
    <t>DRAMIN B6 GOTAS 30 ML x 1</t>
  </si>
  <si>
    <t>REPOFLOR CAPS 200 MG x 6</t>
  </si>
  <si>
    <t xml:space="preserve"> ANTIDIARREICOS-MIC.ORGAN</t>
  </si>
  <si>
    <t>FLORATIL CAPS 200 MG x 6</t>
  </si>
  <si>
    <t xml:space="preserve"> MERCK SERONO</t>
  </si>
  <si>
    <t>REPOFLOR CAPS 100 MG x 12</t>
  </si>
  <si>
    <t>REPOFLOR PO ENVELOPE 200 MG x 4 (PAED)</t>
  </si>
  <si>
    <t>IMOSEC CPR 2 MG x 12</t>
  </si>
  <si>
    <t xml:space="preserve"> INIBIDORES DA MOTILIDADE</t>
  </si>
  <si>
    <t>DIASEC CPR 2 MG x 12</t>
  </si>
  <si>
    <t xml:space="preserve"> SANDOZ DO BRASIL</t>
  </si>
  <si>
    <t>PEDIALYTE ZINCO 45 SOL GUARANA 500 ML x 1</t>
  </si>
  <si>
    <t xml:space="preserve"> SUBST.OR.ELECTROLITICOS</t>
  </si>
  <si>
    <t>PEDIALYTE ZINCO 45 SOL MORANGO 500 ML x 1</t>
  </si>
  <si>
    <t>AZULFIN CPR REVEST 500 MG x 60</t>
  </si>
  <si>
    <t xml:space="preserve"> AG.ANTI-INFLAM.INTESTIN</t>
  </si>
  <si>
    <t xml:space="preserve"> APSEN</t>
  </si>
  <si>
    <t>MESALAZINA MG CPR REVEST 800 MG x 30</t>
  </si>
  <si>
    <t>DISENTERIA/ DIARRÉIA</t>
  </si>
  <si>
    <t>HUMULIN N F.AMP S.C 100 IU 10 ML x 1 (/ML)</t>
  </si>
  <si>
    <t xml:space="preserve"> INS HUM+ANALOG AC INTERM</t>
  </si>
  <si>
    <t xml:space="preserve"> LILLY</t>
  </si>
  <si>
    <t>NOVOLIN N HM F.AMP S.C 100 IU 10 ML x 1 (/ML)</t>
  </si>
  <si>
    <t xml:space="preserve"> NOVO NORDISK</t>
  </si>
  <si>
    <t>LANTUS F.AMP REFIL 100 IU 3 ML x 1 (/ML)</t>
  </si>
  <si>
    <t xml:space="preserve"> INS HUM+ANALOG AC PROL</t>
  </si>
  <si>
    <t>HUMULIN N REFILL 100 IU 3 ML x 2</t>
  </si>
  <si>
    <t>GLIFAGE XR CPR AP. 500 MG x 30</t>
  </si>
  <si>
    <t xml:space="preserve"> BIGUANIDAS SIMPLES</t>
  </si>
  <si>
    <t>CLOR.METFORMINA MG CPR REVEST 850 MG x 30</t>
  </si>
  <si>
    <t xml:space="preserve"> PRATI DONADUZZI</t>
  </si>
  <si>
    <t>CLOR.METFORMINA MG CPR 850 MG x 30</t>
  </si>
  <si>
    <t>GLIBENCLAMIDA MG CPR 5 MG x 30</t>
  </si>
  <si>
    <t xml:space="preserve"> SULFONILUREIAS</t>
  </si>
  <si>
    <t>DIABETES</t>
  </si>
  <si>
    <t>TIBIAL CPR 2.50 MG x 28</t>
  </si>
  <si>
    <t xml:space="preserve"> OUT.HORM.SEXUAIS/PR.SIM.</t>
  </si>
  <si>
    <t>MIACALCIC SPR.NAS.DOSE 200 IU x 14 (/DOS)</t>
  </si>
  <si>
    <t xml:space="preserve"> CALCITONINA</t>
  </si>
  <si>
    <t xml:space="preserve"> NOVARTIS</t>
  </si>
  <si>
    <t>FORTEO CAN CARP 250 Y 1 ML x 1</t>
  </si>
  <si>
    <t xml:space="preserve"> HORM PARATIROIDE E ANAL</t>
  </si>
  <si>
    <t>LIBIAM CPR 1.25 MG x 28</t>
  </si>
  <si>
    <t xml:space="preserve"> LIBBS</t>
  </si>
  <si>
    <t>BONALEN CPR REVEST 70 MG x 4</t>
  </si>
  <si>
    <t xml:space="preserve"> BIFOSF OSTEOP E DES REL</t>
  </si>
  <si>
    <t>ALENDRONATO SOD.MG CPR REVEST 70 MG x 4</t>
  </si>
  <si>
    <t>RISEDROSS CPR REVEST 35 MG x 4</t>
  </si>
  <si>
    <t>ACTONEL CPR REVEST 150 MG x 1</t>
  </si>
  <si>
    <t>PROTOS SACHETS 2 G 4 G x 28</t>
  </si>
  <si>
    <t xml:space="preserve"> OUT REGUL CALCIO OSSEO</t>
  </si>
  <si>
    <t xml:space="preserve"> SERVIER DO BRASIL</t>
  </si>
  <si>
    <t>PROTOS SACHETS 2 G 4 G x 56</t>
  </si>
  <si>
    <t>TRATAMENTO OSTEOPOROSE</t>
  </si>
  <si>
    <t>DIPIMED GOTAS 500 MG 10 ML x 1 (/ML)</t>
  </si>
  <si>
    <t>DIPIMED GOTAS 500 MG 20 ML x 1 (/ML)</t>
  </si>
  <si>
    <t>NEOSALDINA DRAG x 30</t>
  </si>
  <si>
    <t>MAXALGINA GOTAS 500 MG 10 ML x 1 (/ML)</t>
  </si>
  <si>
    <t xml:space="preserve"> NATULAB</t>
  </si>
  <si>
    <t>ALIVIUM GOTAS 100 MG 20 ML x 1 (/ML)</t>
  </si>
  <si>
    <t xml:space="preserve"> MANTECORP I Q FARM</t>
  </si>
  <si>
    <t>TORAGESIC CPR SUBLING. 10 MG x 10</t>
  </si>
  <si>
    <t>PARACETAMOL MG CPR 750 MG x 20</t>
  </si>
  <si>
    <t>ADVIL CAPS GELATIN 400 MG x 8</t>
  </si>
  <si>
    <t xml:space="preserve"> PFIZER CONSUMER</t>
  </si>
  <si>
    <t>DIPIRONA SODICA MG GOTAS 500 MG 20 ML x 1 (/ML)</t>
  </si>
  <si>
    <t>DORFLEX CPR x 30</t>
  </si>
  <si>
    <t xml:space="preserve"> REL.MUSC.ACCAO CENTRAL</t>
  </si>
  <si>
    <t>TORSILAX CPR REVEST x 30</t>
  </si>
  <si>
    <t>SEDILAX CPR x 4</t>
  </si>
  <si>
    <t>TORSILAX CPR REVEST x 12</t>
  </si>
  <si>
    <t>DORFLEX CPR x 240</t>
  </si>
  <si>
    <t>TANDRILAX CPR x 15</t>
  </si>
  <si>
    <t>TORSILAX CPR REVEST x 100</t>
  </si>
  <si>
    <t>SEDILAX CPR x 30</t>
  </si>
  <si>
    <t>MIOFLEX-A CPR x 12</t>
  </si>
  <si>
    <t xml:space="preserve"> FARMASA</t>
  </si>
  <si>
    <t>TANDRILAX CPR x 30</t>
  </si>
  <si>
    <t>DOR MUSCULAR</t>
  </si>
  <si>
    <t>HEMAX F.AMP LIOF 4000 IU 2 ML x 1</t>
  </si>
  <si>
    <t xml:space="preserve"> ERITROPOIETINAS</t>
  </si>
  <si>
    <t>ANEMIA</t>
  </si>
  <si>
    <t>NEO FOLICO CPR 5 MG x 20</t>
  </si>
  <si>
    <t xml:space="preserve"> O.P.A/ANEM.A.FOLIC/FOLIN</t>
  </si>
  <si>
    <t>AFOPIC CPR 5 MG x 20</t>
  </si>
  <si>
    <t>COMBIRON FOLICO CPR REVEST x 45</t>
  </si>
  <si>
    <t xml:space="preserve"> ASSOCIACOES DE FERRO</t>
  </si>
  <si>
    <t>COMBIRON LIQD 120 ML x 1</t>
  </si>
  <si>
    <t>NORIPURUM FOLICO CPR   MASC x 30</t>
  </si>
  <si>
    <t>NEUTROFER FOLICO CPR x 30</t>
  </si>
  <si>
    <t>NORIPURUM GOTAS 167 MG 30 ML x 1 (/ML)</t>
  </si>
  <si>
    <t xml:space="preserve"> FERRO PURO</t>
  </si>
  <si>
    <t>SULFERBEL DRAG x 50</t>
  </si>
  <si>
    <t xml:space="preserve"> BELFAR</t>
  </si>
  <si>
    <t>NEUTROFER GOTAS 250 MG 30 ML x 1 (/ML)</t>
  </si>
  <si>
    <t>CYSTEX DRAG x 24</t>
  </si>
  <si>
    <t xml:space="preserve"> OUT ANTISEP URINAR</t>
  </si>
  <si>
    <t>MACRODANTINA CAPS 100 MG x 28</t>
  </si>
  <si>
    <t>PYRIDIUM DRAG 100 MG x 25</t>
  </si>
  <si>
    <t xml:space="preserve"> TODOS OUT PROD UROLOG</t>
  </si>
  <si>
    <t xml:space="preserve"> ZODIAC</t>
  </si>
  <si>
    <t>CLOR.CIPROFLOXA.MG CPR REVEST 500 MG x 14</t>
  </si>
  <si>
    <t xml:space="preserve"> FLUORQUINOLONAS ORAIS</t>
  </si>
  <si>
    <t>NORFLOXACINO MG CPR 400 MG x 14</t>
  </si>
  <si>
    <t>TAMIRAM CPR REVEST 500 MG x 7</t>
  </si>
  <si>
    <t xml:space="preserve"> EUROFARMA</t>
  </si>
  <si>
    <t>LEVOFLOXACINO MG CPR REVEST 500 MG x 7</t>
  </si>
  <si>
    <t>NORFLOXACINO MG CPR REVEST 400 MG x 14</t>
  </si>
  <si>
    <t>SEPURIN DRAG x 20</t>
  </si>
  <si>
    <t xml:space="preserve"> GROSS</t>
  </si>
  <si>
    <t>INFECÇÃO URINÁRIA</t>
  </si>
  <si>
    <t>CIT SILDENAFILA MG CPR REVEST 50 MG x 1</t>
  </si>
  <si>
    <t xml:space="preserve"> PRD DISF ERECTIL</t>
  </si>
  <si>
    <t>CIT SILDENAFILA MG CPR REVEST 50 MG x 4</t>
  </si>
  <si>
    <t>CIT SILDENAFILA MG CPR REVEST 50 MG x 2</t>
  </si>
  <si>
    <t>AH-ZUL CPR REVEST 50 MG x 1</t>
  </si>
  <si>
    <t>CIALIS CPR REVEST 20 MG x 2</t>
  </si>
  <si>
    <t xml:space="preserve">DISFUNÇÃO ERÉTIL </t>
  </si>
  <si>
    <t>MULTIGRIP CAPS x 20</t>
  </si>
  <si>
    <t>CIMEGRIPE CAPS 400 MG x 20</t>
  </si>
  <si>
    <t xml:space="preserve"> CIMED</t>
  </si>
  <si>
    <t>RESFENOL CAPS x 20</t>
  </si>
  <si>
    <t xml:space="preserve"> HERTZ</t>
  </si>
  <si>
    <t>TYLENOL SINUS CPR REVEST x 24</t>
  </si>
  <si>
    <t>RESFRYNEO CAPS x 20</t>
  </si>
  <si>
    <t>TRIMEDAL CPR x 24</t>
  </si>
  <si>
    <t xml:space="preserve"> NOVARTIS CONSUMER</t>
  </si>
  <si>
    <t>BENEGRIP CPR REVEST x 25  X6</t>
  </si>
  <si>
    <t>NEOSORO AD SOLN  NASAL 30 ML x 1</t>
  </si>
  <si>
    <t xml:space="preserve"> DESCONGESTIONANT.NASAIS</t>
  </si>
  <si>
    <t>NARIDRIN GOTAS 30 ML x 1 (ADLT)</t>
  </si>
  <si>
    <t xml:space="preserve"> OUT.PREP.TOPICAS NASAIS</t>
  </si>
  <si>
    <t>DECONGEX PLUS NF GOTAS 20 ML x 1</t>
  </si>
  <si>
    <t xml:space="preserve"> PREP.SISTEMICAS NASAIS</t>
  </si>
  <si>
    <t>GRIPE E RESFRIADO</t>
  </si>
  <si>
    <t>NIQUITIN ADHESIVO 21 MG x 7</t>
  </si>
  <si>
    <t xml:space="preserve"> PRODUTOS ANTI-TABACO</t>
  </si>
  <si>
    <t>NICORETTE GOMA ICEMINT 2 MG x 30</t>
  </si>
  <si>
    <t>NICORETTE GOMA ICEMINT 4 MG x 30</t>
  </si>
  <si>
    <t>NIQUITIN ADHESIVO 14 MG x 7</t>
  </si>
  <si>
    <t>NIQUITIN PAST MENTA 4 MG x 36</t>
  </si>
  <si>
    <t>NIQUITIN PAST MENTA 2 MG x 36</t>
  </si>
  <si>
    <t>NICOTINELL ADES 24H 21 MG x 7</t>
  </si>
  <si>
    <t>NIQUITIN ADHESIVO 7 MG x 7</t>
  </si>
  <si>
    <t>NICOTINELL ADES 24H 14 MG x 7</t>
  </si>
  <si>
    <t>CHAMPIX CPR REV K/IT 0.50 MG x 53 (/1)</t>
  </si>
  <si>
    <t xml:space="preserve"> PFIZER</t>
  </si>
  <si>
    <t xml:space="preserve">TRATAM TABAGISMO </t>
  </si>
  <si>
    <t>ALOPURINOL MG CPR 100 MG x 30</t>
  </si>
  <si>
    <t xml:space="preserve"> ANTIGOTOSOS</t>
  </si>
  <si>
    <t>ALOPURINOL MG CPR 300 MG x 30</t>
  </si>
  <si>
    <t>ZYLORIC CPR 100 MG x 30</t>
  </si>
  <si>
    <t xml:space="preserve"> ASPEN PHARMA</t>
  </si>
  <si>
    <t>CIXIN CPR 0.50 MG x 20</t>
  </si>
  <si>
    <t xml:space="preserve"> GEOLAB</t>
  </si>
  <si>
    <t>COCICHIMIL CPR 0.50 MG x 20</t>
  </si>
  <si>
    <t>COLCHIS CPR 0.50 MG x 30</t>
  </si>
  <si>
    <t>GOTA</t>
  </si>
  <si>
    <t>IBUPRIL 600 CPR 600 MG x 20</t>
  </si>
  <si>
    <t xml:space="preserve"> A-REUM.N/ESTEROID.PUROS</t>
  </si>
  <si>
    <t>CORTICORTEN CPR 20 MG x 20</t>
  </si>
  <si>
    <t xml:space="preserve"> CORTICOEST.ORAIS PUROS</t>
  </si>
  <si>
    <t>SINVASTATINA MG CPR REVEST 20 MG x 30</t>
  </si>
  <si>
    <t xml:space="preserve"> ESTATINAS INIB.HMG-COA R</t>
  </si>
  <si>
    <t>SINVASTACOR CPR REVEST 20 MG x 30</t>
  </si>
  <si>
    <t>SINVASMAX CPR REVEST 20 MG x 30</t>
  </si>
  <si>
    <t>SINVASTATINA MG CPR REVEST 40 MG x 30</t>
  </si>
  <si>
    <t>CIPROFIBRATO MG CPR 100 MG x 30</t>
  </si>
  <si>
    <t xml:space="preserve"> FIBRATOS</t>
  </si>
  <si>
    <t>SINVASTAMED CPR 20 MG x 30</t>
  </si>
  <si>
    <t>SINVASCOR CPR REVEST 20 MG x 30</t>
  </si>
  <si>
    <t xml:space="preserve"> BALDACCI</t>
  </si>
  <si>
    <t>VYTORIN CPR 20 MG x 28 (/10)</t>
  </si>
  <si>
    <t xml:space="preserve"> REG.LIPIDOS ASSOCIACOES</t>
  </si>
  <si>
    <t xml:space="preserve"> MSD</t>
  </si>
  <si>
    <t>SINVASMAX CPR REVEST 40 MG x 30</t>
  </si>
  <si>
    <t>COLESTEROL</t>
  </si>
  <si>
    <t>ISOTRETINOINA MG CAPS 20 MG x 30</t>
  </si>
  <si>
    <t xml:space="preserve"> ANTIACNEICOS SISTEMICOS</t>
  </si>
  <si>
    <t xml:space="preserve"> VALEANT</t>
  </si>
  <si>
    <t xml:space="preserve"> NOVA QUIMICA</t>
  </si>
  <si>
    <t>ROACUTAN CAPS 20 MG x 30</t>
  </si>
  <si>
    <t xml:space="preserve"> ROCHE</t>
  </si>
  <si>
    <t>ASEPXIA SA FORM FORT 85 G x 1</t>
  </si>
  <si>
    <t xml:space="preserve"> ANTIACNEICOS TOPICOS</t>
  </si>
  <si>
    <t xml:space="preserve"> GENOMMA LAB</t>
  </si>
  <si>
    <t>ASEPXIA SAB ESFOLIAN 90 G x 1</t>
  </si>
  <si>
    <t>ASEPXIA SA NAT EX SE 85 G x 1</t>
  </si>
  <si>
    <t>ASEPXIA SAB ADS HERB 90 G x 1</t>
  </si>
  <si>
    <t>ASEPXIA SAB ADS CREM 90 G x 1</t>
  </si>
  <si>
    <t>ASEPXIA SAB ENXOFRE 90 G x 1</t>
  </si>
  <si>
    <t>ASEPXIA SAB NEUTRO 90 G x 1</t>
  </si>
  <si>
    <t>ACNE</t>
  </si>
  <si>
    <t>TOSSE</t>
  </si>
  <si>
    <t>EXPEC XAR. 120 ML x 1</t>
  </si>
  <si>
    <t xml:space="preserve"> EXPECTORANTES</t>
  </si>
  <si>
    <t>ABRILAR XPE 35 MG 100 ML x 1 (/5ML)</t>
  </si>
  <si>
    <t xml:space="preserve"> FARMOQUIMICA</t>
  </si>
  <si>
    <t>EMSEXPECTOR XAR. 120 ML x 1</t>
  </si>
  <si>
    <t>MELAGRIAO XAROPE 150 ML x 1</t>
  </si>
  <si>
    <t xml:space="preserve"> CATARINENSE</t>
  </si>
  <si>
    <t>EXPECTAMIN SOLN  ORAL 120 ML x 1</t>
  </si>
  <si>
    <t>HYTOS PLUS XAR. 100 ML x 1</t>
  </si>
  <si>
    <t xml:space="preserve"> OUT A/TUSSIGENOS/ASS</t>
  </si>
  <si>
    <t>SEKI XAROPE 2 MG 120 ML x 1 (/ML)</t>
  </si>
  <si>
    <t xml:space="preserve"> A/TUSSIGENOS PUROS</t>
  </si>
  <si>
    <t xml:space="preserve"> ZAMBON</t>
  </si>
  <si>
    <t>PERCOF XAROPE 6 MG 120 ML x 1 (/ML)</t>
  </si>
  <si>
    <t>VICK XAROPE 44E XAROPE 120 ML x 1</t>
  </si>
  <si>
    <t xml:space="preserve"> PROCTER GAMBLE</t>
  </si>
  <si>
    <t>TILUGEN XAR. 3.54 MG 120 MG x 1 (/ML)</t>
  </si>
  <si>
    <t>PROLOPA CPR 250 MG x 30</t>
  </si>
  <si>
    <t xml:space="preserve"> A/PARKINSONIANOS</t>
  </si>
  <si>
    <t>MANTIDAN CPR 100 MG x 20</t>
  </si>
  <si>
    <t xml:space="preserve"> MOMENTA FARMACEUTI</t>
  </si>
  <si>
    <t>AKINETON CPR 2 MG x 80</t>
  </si>
  <si>
    <t>PROLOPA CPR BD 100 MG x 30 (/25)</t>
  </si>
  <si>
    <t>PROLOPA CAPS RET HBS 125 MG x 30</t>
  </si>
  <si>
    <t>PROLOPA CPR BD 100 MG x 60 (/25)</t>
  </si>
  <si>
    <t>PROLOPA CPR DISPER. 125 MG x 30</t>
  </si>
  <si>
    <t>CARBIDOL CPR 25 MG x 30 (/250)</t>
  </si>
  <si>
    <t>ARTANE CPR 5 MG x 30</t>
  </si>
  <si>
    <t>SIFROL CPR 0.25 MG x 30</t>
  </si>
  <si>
    <t>PARKINSON</t>
  </si>
  <si>
    <t>LOSARTAN POTAS.MG CPR REVEST 50 MG x 30</t>
  </si>
  <si>
    <t xml:space="preserve"> ANT.PUROS ANGIOTENSI.II</t>
  </si>
  <si>
    <t>MALEA.ENALAPRIL MG CPR 10 MG x 30</t>
  </si>
  <si>
    <t xml:space="preserve"> INIBIDORES ACE PUROS</t>
  </si>
  <si>
    <t>ARADOIS CPR REVEST 50 MG x 30</t>
  </si>
  <si>
    <t>LOSARTAN POTAS.MG CPR 50 MG x 30</t>
  </si>
  <si>
    <t xml:space="preserve">HIPERTENSÃO </t>
  </si>
  <si>
    <t>CEFALIV CPR x 12</t>
  </si>
  <si>
    <t xml:space="preserve"> T OUT PREP A-ENXAQUECA</t>
  </si>
  <si>
    <t>NARAMIG CPR 2.50 MG x 4</t>
  </si>
  <si>
    <t xml:space="preserve"> TRIPTANICOS A-ENXAQUECA</t>
  </si>
  <si>
    <t xml:space="preserve"> GSK FARMA</t>
  </si>
  <si>
    <t>CEFALIUM CPR x 12</t>
  </si>
  <si>
    <t>ENXAK CPR LING 2 MG x 12</t>
  </si>
  <si>
    <t xml:space="preserve"> CAZI</t>
  </si>
  <si>
    <t>CLOR NARATRIPTA MG CPR REVEST 2.50 MG x 4</t>
  </si>
  <si>
    <t>DOR DE CABEÇA/ ENXAQUECA</t>
  </si>
  <si>
    <t>KOIDE D XAROPE 120 ML x 1</t>
  </si>
  <si>
    <t xml:space="preserve"> ASS/CORT/ESTER SIST</t>
  </si>
  <si>
    <t>DEXALGEN A.IM A+B 5000 Y 1 ML x 3</t>
  </si>
  <si>
    <t>CELESTAMINE CPR x 20</t>
  </si>
  <si>
    <t xml:space="preserve">ALERGIA </t>
  </si>
  <si>
    <t>HISTAMIN CPR 2 MG x 20</t>
  </si>
  <si>
    <t xml:space="preserve"> A/HISTAMINICOS SIST</t>
  </si>
  <si>
    <t>HISTAMIN LIQD 2 MG 100 ML x 1</t>
  </si>
  <si>
    <t>FENERGAN DRAG 25 MG x 20</t>
  </si>
  <si>
    <t>LORATAMED CPR 10 MG x 12</t>
  </si>
  <si>
    <t>CORTITOP CREME 10 G x 1</t>
  </si>
  <si>
    <t xml:space="preserve"> CORTICOIDES TOP PUROS</t>
  </si>
  <si>
    <t>AC DEXAMETASONA MG CREME. 1 MG 10 G x 1 (/G)</t>
  </si>
  <si>
    <t>ALOIS CPR REVEST 10 MG x 30</t>
  </si>
  <si>
    <t xml:space="preserve"> TODOS OUT PROD ANTI-ALZH</t>
  </si>
  <si>
    <t>HEIMER CPR 10 MG x 30</t>
  </si>
  <si>
    <t>CLOR MEMANTINA MG CPR REVEST 10 MG x 30</t>
  </si>
  <si>
    <t>EBIX CPR 10 MG x 28</t>
  </si>
  <si>
    <t xml:space="preserve"> LUNDBECK</t>
  </si>
  <si>
    <t>EPEZ CPR 5 MG x 30</t>
  </si>
  <si>
    <t xml:space="preserve"> PROD A-ALZ INIB COLINEST</t>
  </si>
  <si>
    <t xml:space="preserve"> TORRENT</t>
  </si>
  <si>
    <t>EXELON PATCH 10CM 18 MG x 30</t>
  </si>
  <si>
    <t>EPEZ CPR 10 MG x 30</t>
  </si>
  <si>
    <t>CLOR MEMANTINA MG CPR REVEST 10 MG x 60</t>
  </si>
  <si>
    <t>ALOIS CPR REVEST 10 MG x 60</t>
  </si>
  <si>
    <t>HEIMER CPR 10 MG x 60</t>
  </si>
  <si>
    <t>ALZHEIMER</t>
  </si>
  <si>
    <t>LABIRIN CPR 24 MG x 30</t>
  </si>
  <si>
    <t xml:space="preserve"> ANTIVERTIGINOSOS</t>
  </si>
  <si>
    <t>VERTIGIUM CPR 10 MG x 50</t>
  </si>
  <si>
    <t>LABIRIN CPR 16 MG x 30</t>
  </si>
  <si>
    <t>DICL BETAISTINA MG CPR 24 MG x 30</t>
  </si>
  <si>
    <t>FLUXON CPR 75 MG x 30</t>
  </si>
  <si>
    <t xml:space="preserve"> ANT.CALCIO C/ACT. CEREB.</t>
  </si>
  <si>
    <t>VERTIX CPR 10 MG x 50</t>
  </si>
  <si>
    <t>FLUXON CPR 25 MG x 30</t>
  </si>
  <si>
    <t>VERTIZINE D CPR x 20</t>
  </si>
  <si>
    <t>LABIRINTITE E VERTIGEM</t>
  </si>
  <si>
    <t>SALONPAS EMPL.13X8.4C x 2</t>
  </si>
  <si>
    <t xml:space="preserve"> ANTIREUMATICOS/ANALG TOP</t>
  </si>
  <si>
    <t xml:space="preserve"> HISAMITSU</t>
  </si>
  <si>
    <t>SALONPAS EMPL.6.5X4.2 x 4</t>
  </si>
  <si>
    <t>MASSAGEOL AERO 120 ML x 1</t>
  </si>
  <si>
    <t>SALONSIP EMPL10X14 OC x 3</t>
  </si>
  <si>
    <t>DICLOFEN.DIETIL.MG GEL. 1 % 60 G x 1</t>
  </si>
  <si>
    <t>DICLOFEN.DIETIL.MG GEL. 10 MG 60 G x 1 (/G)</t>
  </si>
  <si>
    <t>MERTHIOLATE NF SOLN  TOP. 1 % 30 ML x 1</t>
  </si>
  <si>
    <t xml:space="preserve"> ANTISSEPT.E DESINFECTAN.</t>
  </si>
  <si>
    <t xml:space="preserve">MACHUCADOS E CONTUSÕES </t>
  </si>
  <si>
    <t>CIMELIDE CPR 100 MG x 12</t>
  </si>
  <si>
    <t>NIMESULIDA MG CPR 100 MG x 12</t>
  </si>
  <si>
    <t>CELEBRA CAPS 200 MG x 10</t>
  </si>
  <si>
    <t xml:space="preserve"> COXIBS PUROS</t>
  </si>
  <si>
    <t>REUQUINOL CPR REVEST 400 MG x 30</t>
  </si>
  <si>
    <t xml:space="preserve"> AG.ANTI-REUM.ESPECIFIC.</t>
  </si>
  <si>
    <t>DEXADOZE 5000 A.IM A+B x 3</t>
  </si>
  <si>
    <t xml:space="preserve"> ASS/A/REUMAT C/ESTER</t>
  </si>
  <si>
    <t>DEXADOR A.IM A+B 3 ML x 3</t>
  </si>
  <si>
    <t xml:space="preserve"> ARESE</t>
  </si>
  <si>
    <t xml:space="preserve">REUMATISMO </t>
  </si>
  <si>
    <t>NEOSULIDA CPR 100 MG x 12</t>
  </si>
  <si>
    <t>ARCOXIA CPR REVEST 90 MG x 7</t>
  </si>
  <si>
    <t>CICLO 21 CPR x 21</t>
  </si>
  <si>
    <t xml:space="preserve"> P.MONOF.C/ESTROG.&lt;50MCG</t>
  </si>
  <si>
    <t>MICROVLAR DRAG x 21</t>
  </si>
  <si>
    <t xml:space="preserve"> BAYER PHARMA</t>
  </si>
  <si>
    <t>NEOVLAR DRAG x 21</t>
  </si>
  <si>
    <t xml:space="preserve"> P.MON.C/ESTROG.&gt;=50MCG</t>
  </si>
  <si>
    <t>TRIQUILAR DRAG x 21</t>
  </si>
  <si>
    <t xml:space="preserve"> PREPARACOES TRIFASICAS</t>
  </si>
  <si>
    <t>DIAD CPR 0.75 MG x 2</t>
  </si>
  <si>
    <t xml:space="preserve"> O.HORMONAS CONTRACP.SIST</t>
  </si>
  <si>
    <t>CERAZETTE CPR REVEST 75 Y x 28</t>
  </si>
  <si>
    <t xml:space="preserve"> P.OR.SO C/PROGESTERONA</t>
  </si>
  <si>
    <t>YAZ CPR REVEST x 24</t>
  </si>
  <si>
    <t>NORDETTE DRAG x 21</t>
  </si>
  <si>
    <t>ELANI CICLO CPR REVEST x 21</t>
  </si>
  <si>
    <t>IUMI CPR REVEST 3 MG x 24 (/20)</t>
  </si>
  <si>
    <t xml:space="preserve">ANTICONCEPCIONAIS </t>
  </si>
  <si>
    <t>CLOR.AMITRIPTIL.MG CPR REVEST 25 MG x 30</t>
  </si>
  <si>
    <t xml:space="preserve"> ANTI-DEPRES.TOD.OUTROS</t>
  </si>
  <si>
    <t>AMYTRIL CPR 25 MG x 20</t>
  </si>
  <si>
    <t>CLOR.AMITRIPTIL.MG CPR REVEST 25 MG x 20</t>
  </si>
  <si>
    <t>PROCIMAX CPR 20 MG x 28</t>
  </si>
  <si>
    <t xml:space="preserve"> ANTI-DEPRESSIVOS SSRI</t>
  </si>
  <si>
    <t>DONAREN CPR REVEST 50 MG x 60</t>
  </si>
  <si>
    <t>DAFORIN CPR REVEST 20 MG x 30</t>
  </si>
  <si>
    <t>TOFRANIL DRAG 25 MG x 20</t>
  </si>
  <si>
    <t>CLOR.FLUOXETINA MG CAPS 20 MG x 28</t>
  </si>
  <si>
    <t xml:space="preserve"> GERMED PHARMA</t>
  </si>
  <si>
    <t>CLOR.SERTRALINA MG CPR REVEST 50 MG x 30</t>
  </si>
  <si>
    <t xml:space="preserve">DEPRESSÃO </t>
  </si>
  <si>
    <t>PROCTYL POM. 30 G x 1</t>
  </si>
  <si>
    <t xml:space="preserve"> ANTHIHEMORR. SEM CORTIC.</t>
  </si>
  <si>
    <t>POLICR+CL.CICHO MG POM+10 APLIC 30 G x 1</t>
  </si>
  <si>
    <t>HEMOVIRTUS POM+1APL 50 G x 1</t>
  </si>
  <si>
    <t>PROCTYL SUP. x 15</t>
  </si>
  <si>
    <t>ULTRAPROCT LDO CREME. 30 G x 1</t>
  </si>
  <si>
    <t xml:space="preserve"> ANTHIHEMORR. COM CORTIC.</t>
  </si>
  <si>
    <t xml:space="preserve"> BAYER DERMATOLOGY</t>
  </si>
  <si>
    <t>PROCTOX-H POM+6APL 20 G x 1</t>
  </si>
  <si>
    <t>PROCTO GLYVEN. CREME+10APLI 30 G x 1</t>
  </si>
  <si>
    <t>PROCTOSAN POM. 20 G x 1</t>
  </si>
  <si>
    <t>XYLOPROCT POM. 25 G x 1</t>
  </si>
  <si>
    <t xml:space="preserve"> ASTRAZENECA BRASIL</t>
  </si>
  <si>
    <t>PROCTYL POM.MONODOS 3 G x 10</t>
  </si>
  <si>
    <t>HEMORROIDAS</t>
  </si>
  <si>
    <t>REPARIL GEL. 30 G x 1</t>
  </si>
  <si>
    <t xml:space="preserve"> A/VARICOSOS TOP</t>
  </si>
  <si>
    <t>HIRUDOID GEL. 5 MG 40 G x 1 (/G)</t>
  </si>
  <si>
    <t xml:space="preserve"> DAIICHI SANKYO</t>
  </si>
  <si>
    <t>BUSCOFEM CAPS 400 MG x 10</t>
  </si>
  <si>
    <t xml:space="preserve"> A-ESPASMOD.GINECOLOGICOS</t>
  </si>
  <si>
    <t>BUPROVIL 600 CPR REVEST 600 MG x 30</t>
  </si>
  <si>
    <t xml:space="preserve">CÓLICAS MENSTRUAIS </t>
  </si>
  <si>
    <t>NEOPIRIDIN PASTILHAS x 12</t>
  </si>
  <si>
    <t xml:space="preserve"> DESCONG/A/SEPT FARING</t>
  </si>
  <si>
    <t>AMIDALIN PAST MENTA x 20</t>
  </si>
  <si>
    <t>BENALET PAST MENTA x 12</t>
  </si>
  <si>
    <t>BISMU-JET LIQD 20 ML x 1</t>
  </si>
  <si>
    <t>BENALET PAST MEL LIM x 12</t>
  </si>
  <si>
    <t>HEXOMEDINE SPRAY 50 ML x 1</t>
  </si>
  <si>
    <t>NEOTAREN CPR 50 MG x 20</t>
  </si>
  <si>
    <t>AMOXI+CLAVU.POT.MG CPR REVEST 500 MG x 12 (/125)</t>
  </si>
  <si>
    <t xml:space="preserve"> PENICILINAS ORAIS L/ESPEC</t>
  </si>
  <si>
    <t xml:space="preserve">DOR DE GARGANTA </t>
  </si>
  <si>
    <t>MALEATO TIMOLOL MG SOLN  OFTAL 5 MG 5 ML x 1 (/ML)</t>
  </si>
  <si>
    <t xml:space="preserve"> PREP ANTI/GLAUC/MIOT/TOP.</t>
  </si>
  <si>
    <t>MALEATO TIMOLOL MG SOLN  OFTAL 0.50 % 5 ML x 1</t>
  </si>
  <si>
    <t>XALATAN SOLN  OFTAL 50 Y 2.50 ML x 1 (/ML)</t>
  </si>
  <si>
    <t>AZORGA SUSP  OFTAL 5 ML x 1</t>
  </si>
  <si>
    <t xml:space="preserve"> ALCON</t>
  </si>
  <si>
    <t>GLAUCOTRAT SOLN  OFTAL 0.50 % 5 ML x 1</t>
  </si>
  <si>
    <t>ALPHAGAN Z SOLN  OFTAL 0.10 % 5 ML x 1</t>
  </si>
  <si>
    <t xml:space="preserve"> ALLERGAN</t>
  </si>
  <si>
    <t>AZOPT SUSP  OFTAL 1 % 5 ML x 1</t>
  </si>
  <si>
    <t xml:space="preserve">GLAUCOMA </t>
  </si>
  <si>
    <t xml:space="preserve">DOR DE OUVIDO </t>
  </si>
  <si>
    <t>CERUMIN GOTAS OTO. 8 ML x 1</t>
  </si>
  <si>
    <t xml:space="preserve"> P.P/REMOìAO CERA OUVIDOS</t>
  </si>
  <si>
    <t>OUVIDONAL GOTAS OTO. 10 ML x 1</t>
  </si>
  <si>
    <t xml:space="preserve"> ANTI-INFECCIOSOS OTICOS</t>
  </si>
  <si>
    <t>OTOCIRIAX SUSP OTO 5 ML x 1</t>
  </si>
  <si>
    <t xml:space="preserve"> OTI.CORTI.EM/ASS.C/ANTINF</t>
  </si>
  <si>
    <t>OTO-BETNOVATE GOTAS OTO. 10 ML x 1</t>
  </si>
  <si>
    <t>OTOSYNALAR GOTAS OTO. 5 ML x 1</t>
  </si>
  <si>
    <t>OTO-XILODASE GOTAS OTO. 8 ML x 1</t>
  </si>
  <si>
    <t>OTOMIXYN GOTAS OTO. 5 ML x 1</t>
  </si>
  <si>
    <t>OTOSPORIN GOTAS OTO. 10 ML x 1</t>
  </si>
  <si>
    <t>ACERATUM GOTAS OTO. 10 ML x 1</t>
  </si>
  <si>
    <t xml:space="preserve"> DELTA</t>
  </si>
  <si>
    <t>LIDOSPORIN GOTAS 10 ML x 1</t>
  </si>
  <si>
    <t>ANCORON CPR REVEST 200 MG x 30</t>
  </si>
  <si>
    <t xml:space="preserve"> A/ARRITMICOS CARDIACOS</t>
  </si>
  <si>
    <t>ANCORON CPR REVEST 100 MG x 30</t>
  </si>
  <si>
    <t>CLOR.AMIODARONA MG CPR 200 MG x 30</t>
  </si>
  <si>
    <t>RITMONORM CPR 300 MG x 30</t>
  </si>
  <si>
    <t>AMIORON CPR 200 MG x 20</t>
  </si>
  <si>
    <t>ATLANSIL CPR 200 MG x 20</t>
  </si>
  <si>
    <t>ATLANSIL CPR 100 MG x 20</t>
  </si>
  <si>
    <t>COR MIO CPR BLISTER 200 MG x 30</t>
  </si>
  <si>
    <t>RITMONORM CPR 300 MG x 60</t>
  </si>
  <si>
    <t>ANCORON CPR 100 MG x 20</t>
  </si>
  <si>
    <t xml:space="preserve">ARRITMIA </t>
  </si>
  <si>
    <t>CARDIOPATIAS</t>
  </si>
  <si>
    <t>SUSTRATE CPR SUBLING. 10 MG x 50</t>
  </si>
  <si>
    <t xml:space="preserve"> NITRITOS E NITRATOS</t>
  </si>
  <si>
    <t>MONOCORDIL CPR 20 MG x 30</t>
  </si>
  <si>
    <t>MON ISOSSORBIDA MG CPR 20 MG x 30</t>
  </si>
  <si>
    <t>VASTAREL MR CPR REVEST 35 MG x 30</t>
  </si>
  <si>
    <t xml:space="preserve"> TER CORONAR EXC ANT C+NI</t>
  </si>
  <si>
    <t>DIGOXINA MG CPR 0.25 MG x 30</t>
  </si>
  <si>
    <t xml:space="preserve"> CARDIOGLICOSIDEOS PUROS</t>
  </si>
  <si>
    <t>DIGOXINA CPR 0.25 MG x 25</t>
  </si>
  <si>
    <t>NEO DIGOXIN CPR 0.25 MG x 24</t>
  </si>
  <si>
    <t>VASTAREL MR CPR REVEST 35 MG x 60</t>
  </si>
  <si>
    <t>ISORDIL CPR   ORAL 10 MG x 30</t>
  </si>
  <si>
    <t>MON ISOSSORBIDA MG CPR 40 MG x 30</t>
  </si>
  <si>
    <t>TOBREX SOLN  OFTAL 0.30 % 5 ML x 1</t>
  </si>
  <si>
    <t xml:space="preserve"> ANTI-INFECCIOS.OFTALMOLOG</t>
  </si>
  <si>
    <t>TERRA-POLIMIXINA POM.  OFTAL 3.50 G x 1</t>
  </si>
  <si>
    <t>TOBRAMICINA MG SOLN  OFTAL 0.30 % 5 ML x 1</t>
  </si>
  <si>
    <t>VIGAMOX SOLN  OFTAL 5 MG 5 ML x 1 (/ML)</t>
  </si>
  <si>
    <t>MAXIDEX COLIRIO 0.10 % 5 ML x 1</t>
  </si>
  <si>
    <t xml:space="preserve"> CORTICOSTEROID.OFTALMOLOG</t>
  </si>
  <si>
    <t>MAXITROL SOLN  OFTAL 5 ML x 1</t>
  </si>
  <si>
    <t xml:space="preserve"> CORTICOEST OFTAL+A-INFEC</t>
  </si>
  <si>
    <t>VIGADEXA SOLN  OFTAL 5 ML x 1</t>
  </si>
  <si>
    <t>PRED FORT SUSP  OFTAL 1 % 5 ML x 1</t>
  </si>
  <si>
    <t xml:space="preserve"> A.INF.OFTAL.N.ESTEROIDES</t>
  </si>
  <si>
    <t xml:space="preserve">CONJUNTIVITE </t>
  </si>
  <si>
    <t>STILL COLIRIO 1 % 5 ML x 1</t>
  </si>
  <si>
    <t>DEXAVISON COLIRIO 5 ML x 1</t>
  </si>
  <si>
    <t>ALENIA CAP INAL REF 400 Y x 60 (/12)</t>
  </si>
  <si>
    <t xml:space="preserve"> ESTIM-B2/CORTIC-INALANTES</t>
  </si>
  <si>
    <t>CLENIL A FLACONETES 2 ML x 10</t>
  </si>
  <si>
    <t xml:space="preserve"> CORTICOIDES - INALANTES</t>
  </si>
  <si>
    <t xml:space="preserve"> CHIESI FARMACEUTIC</t>
  </si>
  <si>
    <t xml:space="preserve">ASMA </t>
  </si>
  <si>
    <t>GINKOMED CPR REVEST 80 MG x 30</t>
  </si>
  <si>
    <t xml:space="preserve"> VASOTER CER/PER EXC ANT C</t>
  </si>
  <si>
    <t>VICOG CPR 5 MG x 30</t>
  </si>
  <si>
    <t xml:space="preserve"> MARJAN</t>
  </si>
  <si>
    <t>GINKOLAB CPR 80 MG x 30</t>
  </si>
  <si>
    <t>PENTOXIFILINA MG CPR REVEST 400 MG x 30</t>
  </si>
  <si>
    <t>VENAFLON CPR REVEST 450 MG x 30 (/50)</t>
  </si>
  <si>
    <t xml:space="preserve"> VASOPROTETORES SIST</t>
  </si>
  <si>
    <t>VARICELL DRAG x 48</t>
  </si>
  <si>
    <t xml:space="preserve"> DIVCOM PHARMA</t>
  </si>
  <si>
    <t>FLAVONID CPR REVEST 500 MG x 30</t>
  </si>
  <si>
    <t>VENALOT DRAG x 30</t>
  </si>
  <si>
    <t>DAFLON 500 CPR REVEST 500 MG x 30</t>
  </si>
  <si>
    <t>DIOSMIN CPR REVEST 500 MG x 30</t>
  </si>
  <si>
    <t>DISTÚRBIOS CIRCULATÓRIOS</t>
  </si>
  <si>
    <t xml:space="preserve">SINTOMAS DA DENGUE </t>
  </si>
  <si>
    <t>FLORALYTE SOLN.T.FRUTI 500 ML x 1</t>
  </si>
  <si>
    <t>REHIDRAT PO 50 LARANJ 7.62 G x 4</t>
  </si>
  <si>
    <t>HIDRAFIX FLACO.LARANJ 25 ML x 2</t>
  </si>
  <si>
    <t>MECLIN CPR 25 MG x 15</t>
  </si>
  <si>
    <t>EFEITOS ADVERSOS DA QUIMIOT</t>
  </si>
  <si>
    <t>TYLENOL CPR 750 MG x 20</t>
  </si>
  <si>
    <t>SORINE GOTAS NASAL 30 ML x 1 (INF)</t>
  </si>
  <si>
    <t>SORINE GOTAS GOTAS NASAL 30 ML x 1 (ADLT)</t>
  </si>
  <si>
    <t>FOS.SOD.PREDNIS.MG SOLN ORAL 3 MG 60 ML x 1 (/ML)</t>
  </si>
  <si>
    <t>SINUSITE</t>
  </si>
  <si>
    <t>PROFERGAN CPR REVEST 25 MG x 20</t>
  </si>
  <si>
    <t>COMPLEXO A P 46 CPR x 60</t>
  </si>
  <si>
    <t xml:space="preserve"> LAXANTES DE CONTACTO</t>
  </si>
  <si>
    <t xml:space="preserve"> ALMEIDA PRADO</t>
  </si>
  <si>
    <t>FLUCOMED CAPS 150 MG x 1</t>
  </si>
  <si>
    <t xml:space="preserve"> AG.SIST.P/INF.FUNGICAS</t>
  </si>
  <si>
    <t>UTROGESTAN CAPS 200 MG x 14</t>
  </si>
  <si>
    <t xml:space="preserve"> PROGESTAGEN EXC G3A,G3F</t>
  </si>
  <si>
    <t xml:space="preserve"> BESINS HEALTHCARE</t>
  </si>
  <si>
    <t>CICLOPRIMOGYNA DRAG 2 MG x 21</t>
  </si>
  <si>
    <t xml:space="preserve"> ASS ESTROG/PROGEST</t>
  </si>
  <si>
    <t>ANGELIQ CPR REVEST x 28</t>
  </si>
  <si>
    <t>PREMARIN DRAG 0.625 MG x 28</t>
  </si>
  <si>
    <t xml:space="preserve"> ESTROGEN EXC G3A,G3E,G3F</t>
  </si>
  <si>
    <t>PRIMOSISTON CPR x 30</t>
  </si>
  <si>
    <t>ACETOFLUX CPR 10 MG x 5</t>
  </si>
  <si>
    <t>NATIFA CPR 1 MG x 28</t>
  </si>
  <si>
    <t>NATIFA PRO CPR x 28</t>
  </si>
  <si>
    <t>PRIMOGYNA DRAG 1 MG x 28</t>
  </si>
  <si>
    <t xml:space="preserve">TRH - MENOPAUSA </t>
  </si>
  <si>
    <t>ESTREVA GEL GEL PERCUTAN 1 % 50 G x 1</t>
  </si>
  <si>
    <t xml:space="preserve"> TEVA</t>
  </si>
  <si>
    <t>AVAMYS SPRAY NASAL 27.5 Y x 120 (/DOS)</t>
  </si>
  <si>
    <t xml:space="preserve"> CORTICOES.NAS.S/ANTI-INF</t>
  </si>
  <si>
    <t>BUSONID NASAL SUSP AQUOSA 50 Y 6 ML x 120</t>
  </si>
  <si>
    <t>BUSONID NASAL SUSP AQUOSA 32 Y 6 ML x 120</t>
  </si>
  <si>
    <t>NASONEX S N S/C DOSE 50 Y 18 G x 120</t>
  </si>
  <si>
    <t>NOEX SPRAY NASAL 32 Y x 120 (/DOS)</t>
  </si>
  <si>
    <t>OMNARIS SPRAY NASAL 50 Y x 120 (/DOS)</t>
  </si>
  <si>
    <t xml:space="preserve">RINITE ALÉRGICA </t>
  </si>
  <si>
    <t>DECONGEX PLUS NF CPR.RE.LP x 12</t>
  </si>
  <si>
    <t>ALLEGRA D CPR REVEST x 10</t>
  </si>
  <si>
    <t>ALLEXOFEDRIN D CPR REVEST 60 MG x 10 (/120)</t>
  </si>
  <si>
    <t>HISTADIN D CPR REVEST 5 MG x 12 (/120)</t>
  </si>
  <si>
    <t>PNEUMONIA</t>
  </si>
  <si>
    <t>BRONQUITE</t>
  </si>
  <si>
    <t>CLENIL HFA SPRAY AERO 250 Y x 200 (/DOS)</t>
  </si>
  <si>
    <t>CLENIL HFA SPRAY AERO 50 Y x 200 (/DOS)</t>
  </si>
  <si>
    <t>MIFLASONA CAPS+INALAD. 200 Y x 60</t>
  </si>
  <si>
    <t>SERETIDE DISKU PO.INH 250 Y x 60 (/50)</t>
  </si>
  <si>
    <t>FORASEQ CAP INAL REF 400 Y x 120 (/12)</t>
  </si>
  <si>
    <t>SERETIDE AERO  DOSIS 125 Y x 120 (/25)</t>
  </si>
  <si>
    <t>MONTELAIR CPR REVEST 10 MG x 30</t>
  </si>
  <si>
    <t xml:space="preserve"> A-ASMAT A-LEUCOT SISTEMI</t>
  </si>
  <si>
    <t>MONTELAIR SACHE GRAN 4 MG 0.35 G x 30</t>
  </si>
  <si>
    <t>ASTRO CPR REVEST 500 MG x 3</t>
  </si>
  <si>
    <t xml:space="preserve"> MACROLIDEOS/SIMIL</t>
  </si>
  <si>
    <t>ASTRO CPR REVEST 500 MG x 5</t>
  </si>
  <si>
    <t>AMOXICILINA MG CAPS 500 MG x 21</t>
  </si>
  <si>
    <t>OCYLIN CAPS 500 MG x 10</t>
  </si>
  <si>
    <t>DECONGEX PLUS NF XAR. 120 ML x 1</t>
  </si>
  <si>
    <t>DOENÇAS PULMONARES - GERAL</t>
  </si>
  <si>
    <t>NCM</t>
  </si>
  <si>
    <t>id</t>
  </si>
  <si>
    <t>SUBSTANCIA</t>
  </si>
  <si>
    <t xml:space="preserve">ISENÇÃO DE PIS E COFINS </t>
  </si>
  <si>
    <t>PIS</t>
  </si>
  <si>
    <t>COFINS</t>
  </si>
  <si>
    <t>CONTRIBUIÇÃO FOLHA</t>
  </si>
  <si>
    <t>TRIBUTOS SOBRE LUCRO</t>
  </si>
  <si>
    <t>OUTROS</t>
  </si>
  <si>
    <t>ICMS</t>
  </si>
  <si>
    <t>MVA MÉDIA</t>
  </si>
  <si>
    <t>TOTAL</t>
  </si>
  <si>
    <t xml:space="preserve">TRIPTOFANA </t>
  </si>
  <si>
    <t xml:space="preserve">TRIGLICERÍDEOS DE CADEIA MÉDIA </t>
  </si>
  <si>
    <t xml:space="preserve">TREONINA </t>
  </si>
  <si>
    <t>TOCOFEROL (Incluído pelo Decreto nº 8.271, de 2014)</t>
  </si>
  <si>
    <t>93 - A</t>
  </si>
  <si>
    <t xml:space="preserve">TIROSINA </t>
  </si>
  <si>
    <t>TIAMINA (Incluído pelo Decreto nº 8.271, de 2014)</t>
  </si>
  <si>
    <t>92 - A</t>
  </si>
  <si>
    <t xml:space="preserve">TAURINA </t>
  </si>
  <si>
    <t xml:space="preserve">SULFATO DE ZINCO </t>
  </si>
  <si>
    <t xml:space="preserve">SULFATO DE MANGANÊS </t>
  </si>
  <si>
    <t xml:space="preserve">SULFATO DE MAGNÉSIO </t>
  </si>
  <si>
    <t xml:space="preserve">SULFATO CÚPRICO </t>
  </si>
  <si>
    <t xml:space="preserve">SORBITOL </t>
  </si>
  <si>
    <t xml:space="preserve">SERINA </t>
  </si>
  <si>
    <t xml:space="preserve">SELENITO DE SÓDIO </t>
  </si>
  <si>
    <t>RIBOFLAVINA (Incluído pelo Decreto nº 8.271, de 2014)</t>
  </si>
  <si>
    <t>84 - A</t>
  </si>
  <si>
    <t xml:space="preserve">PROLINA </t>
  </si>
  <si>
    <t xml:space="preserve">POLIGELINA </t>
  </si>
  <si>
    <t xml:space="preserve">PLASMA </t>
  </si>
  <si>
    <t>PIRIDOXINA (Incluído pelo Decreto nº 8.271, de 2014)</t>
  </si>
  <si>
    <t>81 - A</t>
  </si>
  <si>
    <t xml:space="preserve">PALMITATO DE RETINOL </t>
  </si>
  <si>
    <t xml:space="preserve">ORNITINA </t>
  </si>
  <si>
    <t xml:space="preserve">ÓLEO DE SOJA </t>
  </si>
  <si>
    <t xml:space="preserve">ÓLEO DE OLIVA </t>
  </si>
  <si>
    <t xml:space="preserve">NICOTINAMIDA </t>
  </si>
  <si>
    <t xml:space="preserve">MOLIBDATO DE SÓDIO </t>
  </si>
  <si>
    <t xml:space="preserve">METIONINA </t>
  </si>
  <si>
    <t xml:space="preserve">METABISSULFITO DE SÓDIO </t>
  </si>
  <si>
    <t xml:space="preserve">MANITOL </t>
  </si>
  <si>
    <t xml:space="preserve">LISINA </t>
  </si>
  <si>
    <t xml:space="preserve">LEVOVALINA </t>
  </si>
  <si>
    <t xml:space="preserve">LEUCINA </t>
  </si>
  <si>
    <t xml:space="preserve">LECITINA DE OVO </t>
  </si>
  <si>
    <t xml:space="preserve">LACTATO DE SÓDIO </t>
  </si>
  <si>
    <t xml:space="preserve">ISOLEUCINA </t>
  </si>
  <si>
    <t xml:space="preserve">IODETO DE POTÁSSIO </t>
  </si>
  <si>
    <t xml:space="preserve">ICODEXTRINA </t>
  </si>
  <si>
    <t xml:space="preserve">HISTIDINA </t>
  </si>
  <si>
    <t xml:space="preserve">HIDRÓXIDO DE SÓDIO </t>
  </si>
  <si>
    <t xml:space="preserve">HETAMIDO </t>
  </si>
  <si>
    <t xml:space="preserve">GLICOSE </t>
  </si>
  <si>
    <t xml:space="preserve">GLICONATO DE CÁLCIO </t>
  </si>
  <si>
    <t xml:space="preserve">GLICINA </t>
  </si>
  <si>
    <t xml:space="preserve">GLICEROL </t>
  </si>
  <si>
    <t xml:space="preserve">GLICEROFOSFATO DE SÓDIO </t>
  </si>
  <si>
    <t xml:space="preserve">FRUTOSE </t>
  </si>
  <si>
    <t xml:space="preserve">FOSFOLIPÍDEOS (LECITINA) DA GEMA DO OVO </t>
  </si>
  <si>
    <t xml:space="preserve">FOSFATO SÓDICO DE RIBOFLAVINA </t>
  </si>
  <si>
    <t>FOSFATO DE TIAMINA (Incluído pelo Decreto nº 8.271, de 2014)</t>
  </si>
  <si>
    <t>53 - A</t>
  </si>
  <si>
    <t xml:space="preserve">FOSFATO DE SÓDIO MONOBÁSICO </t>
  </si>
  <si>
    <t xml:space="preserve">FOSFATO DE POTÁSSIO MONOBÁSICO </t>
  </si>
  <si>
    <t xml:space="preserve">FOSFATO DE POTÁSSIO DIBÁSICO </t>
  </si>
  <si>
    <t xml:space="preserve">FLUORETO DE SÓDIO </t>
  </si>
  <si>
    <t xml:space="preserve">FITOMENADIONA </t>
  </si>
  <si>
    <t xml:space="preserve">FENILALANINA </t>
  </si>
  <si>
    <t xml:space="preserve">ERGOCALCIFEROL </t>
  </si>
  <si>
    <t xml:space="preserve">DEXTRANA </t>
  </si>
  <si>
    <t xml:space="preserve">DEXPANTENOL </t>
  </si>
  <si>
    <t xml:space="preserve">COLECALCIFEROL </t>
  </si>
  <si>
    <t>COCARBOXILASE (Incluído pelo Decreto nº 8.271, de 2014)</t>
  </si>
  <si>
    <t>43 - A</t>
  </si>
  <si>
    <t xml:space="preserve">CLORIDRATO DE TIAMINA </t>
  </si>
  <si>
    <t xml:space="preserve">CLORIDRATO DE PIRIDOXINA </t>
  </si>
  <si>
    <t xml:space="preserve">CLORIDRATO DE ORNITINA </t>
  </si>
  <si>
    <t xml:space="preserve">CLORIDRATO DE LEUCINA </t>
  </si>
  <si>
    <t xml:space="preserve">CLORIDRATO DE CISTINA </t>
  </si>
  <si>
    <t xml:space="preserve">CLORIDRATO DE CISTEÍNA </t>
  </si>
  <si>
    <t xml:space="preserve">CLORETO FÉRRICO </t>
  </si>
  <si>
    <t xml:space="preserve">CLORETO DE ZINCO </t>
  </si>
  <si>
    <t xml:space="preserve">CLORETO DE SÓDIO </t>
  </si>
  <si>
    <t xml:space="preserve">CLORETO DE POTÁSSIO </t>
  </si>
  <si>
    <t xml:space="preserve">CLORETO DE MANGANÊS </t>
  </si>
  <si>
    <t xml:space="preserve">CLORETO DE MAGNÉSIO </t>
  </si>
  <si>
    <t xml:space="preserve">CLORETO DE CÁLCIO </t>
  </si>
  <si>
    <t xml:space="preserve">CLORETO DE AMÔNIO </t>
  </si>
  <si>
    <t xml:space="preserve">CLORETO CÚPRICO </t>
  </si>
  <si>
    <t xml:space="preserve">CLORETO CRÔMICO </t>
  </si>
  <si>
    <t xml:space="preserve">CISTINA </t>
  </si>
  <si>
    <t xml:space="preserve">CISTEÍNA </t>
  </si>
  <si>
    <t xml:space="preserve">CIANOCOBALAMINA </t>
  </si>
  <si>
    <t xml:space="preserve">BIOTINA </t>
  </si>
  <si>
    <t xml:space="preserve">BICARBONATO DE SÓDIO </t>
  </si>
  <si>
    <t xml:space="preserve">ASPARAGINA </t>
  </si>
  <si>
    <t xml:space="preserve">ARGININA </t>
  </si>
  <si>
    <t xml:space="preserve">ALBUMINA HUMANA </t>
  </si>
  <si>
    <t xml:space="preserve">ALANINA </t>
  </si>
  <si>
    <t xml:space="preserve">ALANILGLUTAMINA </t>
  </si>
  <si>
    <t xml:space="preserve">ÁGUA PARA INJEÇÃO </t>
  </si>
  <si>
    <t xml:space="preserve">ÁCIDO SELENIOSO </t>
  </si>
  <si>
    <t xml:space="preserve">ÁCIDO PANTOTÊNICO </t>
  </si>
  <si>
    <t>ÁCIDO MÁLICO (Incluído pelo Decreto nº 8.271, de 2014)</t>
  </si>
  <si>
    <t>14 - A</t>
  </si>
  <si>
    <t xml:space="preserve">ÁCIDO LINOLÉICO </t>
  </si>
  <si>
    <t xml:space="preserve">ÁCIDO GLUTÂMICO </t>
  </si>
  <si>
    <t xml:space="preserve">ÁCIDO FÓLICO </t>
  </si>
  <si>
    <t>ÁCIDO CÍTRICO (Incluído pelo Decreto nº 8.271, de 2014)</t>
  </si>
  <si>
    <t>11 - A</t>
  </si>
  <si>
    <t xml:space="preserve">ÁCIDO ASPÁRTICO </t>
  </si>
  <si>
    <t xml:space="preserve">ÁCIDO ASCÓRBICO </t>
  </si>
  <si>
    <t xml:space="preserve">ÁCIDO ARAQUIDÔNICO </t>
  </si>
  <si>
    <t xml:space="preserve">ÁCIDO ACÉTICO </t>
  </si>
  <si>
    <t xml:space="preserve">ACETILTIROSINA </t>
  </si>
  <si>
    <t xml:space="preserve">ACETATO DE ZINCO </t>
  </si>
  <si>
    <t xml:space="preserve">ACETATO DE SÓDIO </t>
  </si>
  <si>
    <t xml:space="preserve">ACETATO DE POTÁSSIO </t>
  </si>
  <si>
    <t xml:space="preserve">ACETATO DE MAGNÉSIO </t>
  </si>
  <si>
    <t xml:space="preserve">ACETATO DE LISINA </t>
  </si>
  <si>
    <t xml:space="preserve">ACETATO DE DEXTROALFATOCOFEROL </t>
  </si>
  <si>
    <t xml:space="preserve">VACINA QUADRIVALENTE CONTRA SARAMPO, CAXUMBA, RUBÉOLA E VARICELA </t>
  </si>
  <si>
    <t xml:space="preserve">VACINA PNEUMOCÓCICA 7-VALENTE CONJUGADA COM PROTEÍNA DIFTÉRICA </t>
  </si>
  <si>
    <t xml:space="preserve">VACINA CONTRA SARAMPO E RUBÉOLA </t>
  </si>
  <si>
    <t xml:space="preserve">VACINA CONTRA RUBÉOLA, SARAMPO E CAXUMBA </t>
  </si>
  <si>
    <t>VACINA CONTRA PNEUMONIA (Incluído pelo Decreto nº 8.271, de 2014)</t>
  </si>
  <si>
    <t>288 - A</t>
  </si>
  <si>
    <t xml:space="preserve">VACINA CONTRA MENINGITE B E C </t>
  </si>
  <si>
    <t xml:space="preserve">VACINA CONTRA MENINGITE A, C E Y </t>
  </si>
  <si>
    <t xml:space="preserve">VACINA CONTRA MENINGITE A E C </t>
  </si>
  <si>
    <t xml:space="preserve">VACINA CONTRA HAEMOPHYLUS INFLUENZAE TIPO A + TIPO B </t>
  </si>
  <si>
    <t>VACINA CONTRA GRIPE, TÉTANO E MENINGITE (Incluído pelo Decreto nº 8.271, de 2014)</t>
  </si>
  <si>
    <t>284 - A</t>
  </si>
  <si>
    <t xml:space="preserve">VACINA CONTRA DIFTERIA, TÉTANO E COQUELUCHE </t>
  </si>
  <si>
    <t xml:space="preserve">VACINA CONTRA DIFTERIA E TÉTANO </t>
  </si>
  <si>
    <t xml:space="preserve">VACINA CONTRA COQUELUCHE, TÉTANO E DIFTERIA CONJUGADA COM HAEMOPHILUS INFLUENZAE TIPO B </t>
  </si>
  <si>
    <t xml:space="preserve">VACINA CONTRA CAXUMBA, RUBÉOLA, SARAMPO COM NEOMICINA </t>
  </si>
  <si>
    <t xml:space="preserve">VACINA CONTRA CAXUMBA, RUBÉOLA E SARAMPO </t>
  </si>
  <si>
    <t xml:space="preserve">VACINA CONJUGADA CONTRA HAEMOPHILUS E TOXÓIDE TETÂNICO </t>
  </si>
  <si>
    <t xml:space="preserve">VACINA CONJUGADA CONTRA HAEMOPHILUS E PROTEÍNA DIFTÉRICA </t>
  </si>
  <si>
    <t xml:space="preserve">VACINA CONJUGADA CONTRA HAEMOPHILUS (PROTEÍNA MENINGOCÓCICA) E HEPATITE B </t>
  </si>
  <si>
    <t xml:space="preserve">VACINA COMBINADA INATIVADA CONTRA HEPATITE A E B (RDNA) </t>
  </si>
  <si>
    <t xml:space="preserve">VACINA COMBINADA CONTRA DIFTERIA, TÉTANO, COQUELUCHE, POLIOINATIVADO E HAEMOPHILUS INFLUENZAE TIPO B E HEPATITE B </t>
  </si>
  <si>
    <t xml:space="preserve">VACINA COMBINADA CONTRA DIFTERIA, TÉTANO, COQUELUCHE, POLIOINATIVADO E HAEMOPHILUS INFLUENZAE TIPO B </t>
  </si>
  <si>
    <t xml:space="preserve">VACINA COMBINADA CONTRA DIFTERIA, TÉTANO, COQUELUCHE E HEPATITE B </t>
  </si>
  <si>
    <t xml:space="preserve">VACINA ANTICATARRAL + VACINA ANTIPIOGÊNICA </t>
  </si>
  <si>
    <t xml:space="preserve">VACINA ADSORVIDA CONTRA DIFTERIA, TÉTANO, COQUELUCHE E POLIOMELITE INATIVADA </t>
  </si>
  <si>
    <t xml:space="preserve">TOXÓIDE DIFTÉRICO + TOXÓIDE TETÂNICO + TOXÓIDE PERTUSSIS + HEMAGLUTININA FILAMENTOSA + VIRUS INATIVADOS DA POLIOMIELITE + VIRUS DA HEPATITE B RECOMBINANTE E POLISSACARÍDEO DE HIB CONJUGADO COM PROTEÍNA TETÂNICA </t>
  </si>
  <si>
    <t xml:space="preserve">TOXÓIDE DIFTÉRICO + TOXÓIDE TETÂNICO + TOXÓIDE PERTUSSIS + HEMAGLUTININA FILAMENTOSA + PERTACTINA + AGG 2+3 + VIRUS INATIVADOS DA POLIOMIELITE E POLISSACARÍDEO DE HIB CONJUGADO COM PROTEÍNA TETÂNICA </t>
  </si>
  <si>
    <t xml:space="preserve">TEGAFUR + URACILA </t>
  </si>
  <si>
    <t xml:space="preserve">SULFATO DE NEOMICINA + SULFATO DE POLIMIXINA B </t>
  </si>
  <si>
    <t xml:space="preserve">SULFATO DE GLICOSAMINA + SULFATO SÓDICO DE CONDROITINA </t>
  </si>
  <si>
    <t xml:space="preserve">SULFATO DE EFEDRINA + TEOFILINA </t>
  </si>
  <si>
    <t xml:space="preserve">SULFATO DE CONDROITINA + SULFATO DE GLICOSAMINA </t>
  </si>
  <si>
    <t xml:space="preserve">SULFAMETOXAZOL + TRIMETOPRIMA </t>
  </si>
  <si>
    <t xml:space="preserve">SULFADIAZINA + TRIMETOPRIMA </t>
  </si>
  <si>
    <t xml:space="preserve">SORO ANTIBOTRÓPICO + SORO LAQUÉTICO </t>
  </si>
  <si>
    <t xml:space="preserve">SORO ANTIBOTRÓPICO + SORO ANTICROTÁLICO </t>
  </si>
  <si>
    <t xml:space="preserve">SINVASTATINA + VALSARTANA </t>
  </si>
  <si>
    <t xml:space="preserve">SINVASTATINA + ÁCIDO ACETILSALICÍLICO </t>
  </si>
  <si>
    <t>RIFAMPICINA + TEICOPLANINA (Incluído pelo Decreto nº 8.271, de 2014)</t>
  </si>
  <si>
    <t>257 - B</t>
  </si>
  <si>
    <t>PROPOFOL + REMIFENTANILA (Incluído pelo Decreto nº 8.271, de 2014)</t>
  </si>
  <si>
    <t>257 - A</t>
  </si>
  <si>
    <t xml:space="preserve">PROPIONATO DE FLUTICASONA + XINAFOATO DE SALMETEROL </t>
  </si>
  <si>
    <t xml:space="preserve">PIRIMETAMINA + SULFADOXINA </t>
  </si>
  <si>
    <t xml:space="preserve">PIPERACILINA SÓDICA + TAZOBACTAM SÓDICO </t>
  </si>
  <si>
    <t xml:space="preserve">NORETISTERONA + VALERATO DE ESTRADIOL </t>
  </si>
  <si>
    <t>NEOMICINA + TIABENDAZOL (Incluído pelo Decreto nº 8.271, de 2014)</t>
  </si>
  <si>
    <t>253 - B</t>
  </si>
  <si>
    <t>NAPROXENO SÓDICO + SUCCINATO DE SUMATRIPTANA (Incluído pelo Decreto nº 8.271, de 2014)</t>
  </si>
  <si>
    <t>253 - A</t>
  </si>
  <si>
    <t xml:space="preserve">METFORMINA + NATEGLINIDA </t>
  </si>
  <si>
    <t xml:space="preserve">MESILATO DE DIIDROERGOCRISTINA + PIRACETAM </t>
  </si>
  <si>
    <t xml:space="preserve">MESILATO DE CODERGOCRINA + PIRACETAM </t>
  </si>
  <si>
    <t xml:space="preserve">MEGLUMINA + POVIDONA </t>
  </si>
  <si>
    <t>MEBENDAZOL + TIABENDAZOL (Incluído pelo Decreto nº 8.271, de 2014)</t>
  </si>
  <si>
    <t>249 - B</t>
  </si>
  <si>
    <t>MALEATO DE TIMOLOL + TRAVOPROSTA (Incluído pelo Decreto nº 8.271, de 2014)</t>
  </si>
  <si>
    <t>249 - A</t>
  </si>
  <si>
    <t xml:space="preserve">MALEATO DE TIMOLOL + TARTARATO DE BRIMONIDINA </t>
  </si>
  <si>
    <t xml:space="preserve">LOSARTANA POTÁSSICA + NIFEDIPINO </t>
  </si>
  <si>
    <t xml:space="preserve">LOPINAVIR + RITONAVIR </t>
  </si>
  <si>
    <t xml:space="preserve">LOMIFILINA + MESILATO DE DIIDROERGOCRISTINA </t>
  </si>
  <si>
    <t xml:space="preserve">LIDOCAÍNA + PRILOCAÍNA </t>
  </si>
  <si>
    <t xml:space="preserve">LEVOTIROXINA SÓDICA + LIOTIRONINA SÓDICA </t>
  </si>
  <si>
    <t xml:space="preserve">LEVONORGESTREL + VALERATO DE ESTRADIOL </t>
  </si>
  <si>
    <t xml:space="preserve">LATANOPROSTA + MALEATO DE TIMOLOL </t>
  </si>
  <si>
    <t xml:space="preserve">LAMIVUDINA + ZIDOVUDINA </t>
  </si>
  <si>
    <t xml:space="preserve">LAMIVUDINA + SULFATO DE ABACAVIR + ZIDOVUDINA </t>
  </si>
  <si>
    <t>LAMIVUDINA + SULFATO DE ABACAVIR (Incluído pelo Decreto nº 8.271, de 2014)</t>
  </si>
  <si>
    <t>239 - A</t>
  </si>
  <si>
    <t xml:space="preserve">ISONIAZIDA + RIFAMPICINA </t>
  </si>
  <si>
    <t xml:space="preserve">IOXITALAMATO DE MEGLUMINA + POVIDONA </t>
  </si>
  <si>
    <t xml:space="preserve">IOXITALAMATO DE MEGLUMINA + IOXITALAMATO DE SÓDIO </t>
  </si>
  <si>
    <t xml:space="preserve">IOXAGLATO DE MEGLUMINA  + IOXAGLATO DE SÓDIO </t>
  </si>
  <si>
    <t xml:space="preserve">IOPIDOL + IOPIDONA </t>
  </si>
  <si>
    <t xml:space="preserve">INDAPAMIDA + PERINDOPRIL ERBUMINA </t>
  </si>
  <si>
    <t xml:space="preserve">HORMÔNIO FOLÍCULO ESTIMULANTE + HORMÔNIO LUTEINIZANTE </t>
  </si>
  <si>
    <t xml:space="preserve">HIDROCORTISONA + SULFATO DE NEOMICINA + SULFATO DE POLIMIXINA B </t>
  </si>
  <si>
    <t xml:space="preserve">HIDROCLOROTIAZIDA + VALSARTANA </t>
  </si>
  <si>
    <t xml:space="preserve">HIDROCLOROTIAZIDA + TRIANTERENO </t>
  </si>
  <si>
    <t xml:space="preserve">HIDROCLOROTIAZIDA + TELMISARTANA </t>
  </si>
  <si>
    <t xml:space="preserve">HIDROCLOROTIAZIDA + TARTARATO DE METOPROLOL </t>
  </si>
  <si>
    <t xml:space="preserve">HIDROCLOROTIAZIDA + SUCCINATO DE METOPROLOL </t>
  </si>
  <si>
    <t xml:space="preserve">HIDROCLOROTIAZIDA + RESERPINA + SULFATO DE DIIDRALAZINA </t>
  </si>
  <si>
    <t xml:space="preserve">HIDROCLOROTIAZIDA + RAMIPRIL </t>
  </si>
  <si>
    <t xml:space="preserve">HIDROCLOROTIAZIDA + OLMESARTANA MEDOXOMILA </t>
  </si>
  <si>
    <t xml:space="preserve">HIDROCLOROTIAZIDA + METILDOPA </t>
  </si>
  <si>
    <t xml:space="preserve">HIDROCLOROTIAZIDA + MESILATO DE EPROSARTANA </t>
  </si>
  <si>
    <t xml:space="preserve">HIDROCLOROTIAZIDA + MALEATO DE ENALAPRIL </t>
  </si>
  <si>
    <t xml:space="preserve">HIDROCLOROTIAZIDA + LOSARTANA POTÁSSICA </t>
  </si>
  <si>
    <t xml:space="preserve">HIDROCLOROTIAZIDA + LOSARTANA </t>
  </si>
  <si>
    <t xml:space="preserve">HIDROCLOROTIAZIDA + LISINOPRIL </t>
  </si>
  <si>
    <t xml:space="preserve">HIDROCLOROTIAZIDA + IRBESARTANA </t>
  </si>
  <si>
    <t xml:space="preserve">HIALURONIDASE + LIDOCAÍNA + SULFATO DE NEOMICINA </t>
  </si>
  <si>
    <t xml:space="preserve">HEPARINA SÓDICA + NICOTINATO DE BENZILA </t>
  </si>
  <si>
    <t xml:space="preserve">HEPARINA + HIALURONIDASE + LIDOCAÍNA </t>
  </si>
  <si>
    <t>HEMIFUMARATO DE ALISQUIRENO + HIDROCLOROTIAZIDA (Incluído pelo Decreto nº 8.271, de 2014)</t>
  </si>
  <si>
    <t>213 - A</t>
  </si>
  <si>
    <t xml:space="preserve">GUAIFENESINA + SULFATO DE TERBUTALINA </t>
  </si>
  <si>
    <t>GLIMEPIRIDA + MALEATO DE ROSIGLITAZONA (Incluído pelo Decreto nº 8.271, de 2014)</t>
  </si>
  <si>
    <t>212 - A</t>
  </si>
  <si>
    <t xml:space="preserve">FUROSEMIDA + TRIANTERENO </t>
  </si>
  <si>
    <t xml:space="preserve">FUMARATO DE BISOPROLOL + HIDROCLOROTIAZIDA </t>
  </si>
  <si>
    <t xml:space="preserve">FOSINOPRIL SÓDICO + HIDROCLOROTIAZIDA </t>
  </si>
  <si>
    <t xml:space="preserve">FOSFATO DISSÓDICO DE DEXAMETASONA + SULFATO DE NEOMICINA </t>
  </si>
  <si>
    <t xml:space="preserve">FOSFATO DISSÓDICO DE BETAMETASONA + SULFATO DE GENTAMICINA </t>
  </si>
  <si>
    <t xml:space="preserve">FLUORMETOLONA + SULFATO DE NEOMICINA </t>
  </si>
  <si>
    <t xml:space="preserve">FLUORMETOLONA + SULFATO DE GENTAMICINA </t>
  </si>
  <si>
    <t>FIBRINOGÊNIO HUMANO + TROMBINA  HUMANA (Incluído pelo Decreto nº 8.271, de 2014)</t>
  </si>
  <si>
    <t>205 - B</t>
  </si>
  <si>
    <t>FELODIPINO + SUCCINATO DE METOPROLOL (Incluído pelo Decreto nº 8.271, de 2014)</t>
  </si>
  <si>
    <t>205 - A</t>
  </si>
  <si>
    <t xml:space="preserve">FATOR IX DE COAGULAÇÃO + FATOR VIII DE COAGULAÇÃO </t>
  </si>
  <si>
    <t xml:space="preserve">FATOR II DE COAGULAÇÃO + FATOR IX DE COAGULAÇÃO + FATOR VII DE COAGULAÇÃO + FATOR X DE COAGULAÇÃO </t>
  </si>
  <si>
    <t xml:space="preserve">FATOR II DE COAGULAÇÃO + FATOR IX DE COAGULAÇÃO </t>
  </si>
  <si>
    <t xml:space="preserve">EZETIMIBA + SINVASTATINA </t>
  </si>
  <si>
    <t xml:space="preserve">EXTRATO DE CARTILAGEM + EXTRATO DE MEDULA ÓSSEA </t>
  </si>
  <si>
    <t xml:space="preserve">ETINILESTRADIOL + NORMETADONA </t>
  </si>
  <si>
    <t xml:space="preserve">ETINILESTRADIOL + NORGESTREL </t>
  </si>
  <si>
    <t xml:space="preserve">ETINILESTRADIOL + NORGESTIMATO </t>
  </si>
  <si>
    <t xml:space="preserve">ETINILESTRADIOL + NORETISTERONA </t>
  </si>
  <si>
    <t xml:space="preserve">ETINILESTRADIOL + NORELGESTROMINA </t>
  </si>
  <si>
    <t xml:space="preserve">ETINILESTRADIOL + LINESTRENOL </t>
  </si>
  <si>
    <t xml:space="preserve">ETINILESTRADIOL + LEVONORGESTREL + PIRIDOXINA </t>
  </si>
  <si>
    <t xml:space="preserve">ETINILESTRADIOL + LEVONORGESTREL </t>
  </si>
  <si>
    <t xml:space="preserve">ETINILESTRADIOL + HIDROXIPROGESTERONA </t>
  </si>
  <si>
    <t xml:space="preserve">ETINILESTRADIOL + GESTODENO </t>
  </si>
  <si>
    <t xml:space="preserve">ETINILESTRADIOL + ETONOGESTREL </t>
  </si>
  <si>
    <t xml:space="preserve">ESTRADIOL + TRIMEGESTONA </t>
  </si>
  <si>
    <t xml:space="preserve">ESTRADIOL + NORGESTIMATO </t>
  </si>
  <si>
    <t xml:space="preserve">ESTRADIOL + MEDROXIPROGESTERONA </t>
  </si>
  <si>
    <t xml:space="preserve">ESTRADIOL + LEVONORGESTREL </t>
  </si>
  <si>
    <t xml:space="preserve">ESTRADIOL + GESTODENO </t>
  </si>
  <si>
    <t xml:space="preserve">ESPIRONOLACTONA + HIDROCLOROTIAZIDA </t>
  </si>
  <si>
    <t xml:space="preserve">ESPIRONOLACTONA + FUROSEMIDA </t>
  </si>
  <si>
    <t xml:space="preserve">ESPIRAMICINA + METRONIDAZOL </t>
  </si>
  <si>
    <t>ESOMEPRAZOL MAGNÉSIO + NAPROXENO (Incluído pelo Decreto nº 8.271, de 2014)</t>
  </si>
  <si>
    <t>181 - A</t>
  </si>
  <si>
    <t xml:space="preserve">ENANTATO DE NORETISTERONA + VALERATO DE ESTRADIOL </t>
  </si>
  <si>
    <t xml:space="preserve">ENANTATO DE HIDROXIPROGESTERONA + HEXAHIDROBENZOATO DE TESTOSTERONA + HEXAIDROBENZOATO DE ESTRADIOL </t>
  </si>
  <si>
    <t xml:space="preserve">EFAVIRENZ + ENTRICITABINA + FUMARATO DE TENOFOVIR DESOPROXILA </t>
  </si>
  <si>
    <t xml:space="preserve">DROSPIRENONA + ETINILESTRADIOL </t>
  </si>
  <si>
    <t xml:space="preserve">DROSPIRENONA + ESTRADIOL </t>
  </si>
  <si>
    <t xml:space="preserve">DIPROPIONATO DE BETAMETASONA + FOSFATO DISSÓDICO DE BETAMETASONA </t>
  </si>
  <si>
    <t xml:space="preserve">DIPROPIONATO DE BECLOMETASONA + SALBUTAMOL </t>
  </si>
  <si>
    <t>DIPROPIONATO DE BECLOMETASONA + FUMARATO DE FORMOTEROL (Incluído pelo Decreto nº 8.271, de 2014)</t>
  </si>
  <si>
    <t>174 - A</t>
  </si>
  <si>
    <t xml:space="preserve">DIMETICONA + SULFATO DE BÁRIO </t>
  </si>
  <si>
    <t xml:space="preserve">DIMETICONA + PANCREATINA </t>
  </si>
  <si>
    <t>DIMETICONA + METILBROMETO DE HOMATROPINA (Incluído pelo Decreto nº 8.271, de 2014)</t>
  </si>
  <si>
    <t>172 - A</t>
  </si>
  <si>
    <t xml:space="preserve">DIDROGESTERONA + ESTRADIOL </t>
  </si>
  <si>
    <t xml:space="preserve">DICLORIDRATO DE TRIFLUOPERAZINA + SULFATO DE TRANILCIPROMINA </t>
  </si>
  <si>
    <t xml:space="preserve">DICLORIDRATO DE FLUNARIZINA + MESILATO DE DIIDROERGOCRISTINA </t>
  </si>
  <si>
    <t xml:space="preserve">DIATRIZOATO DE MEGLUMINA + DIATRIZOATO DE SÓDIO </t>
  </si>
  <si>
    <t xml:space="preserve">DIASTASE + PANCREATINA + PEPSINA </t>
  </si>
  <si>
    <t xml:space="preserve">DIASTASE + DIMETICONA + PANCREATINA + PEPSINA </t>
  </si>
  <si>
    <t xml:space="preserve">DIACETATO DE ETINODIOL + ETINILESTRADIOL </t>
  </si>
  <si>
    <t xml:space="preserve">DEXPANTENOL + DIMETILSULFÓXIDO + HEPARINA SÓDICA </t>
  </si>
  <si>
    <t xml:space="preserve">DEXAMETASONA + TOBRAMICINA </t>
  </si>
  <si>
    <t xml:space="preserve">DEXAMETASONA + SULFATO DE NEOMICINA + SULFATO DE POLIMIXINA B </t>
  </si>
  <si>
    <t xml:space="preserve">DEXAMETASONA + SULFATO DE GENTAMICINA </t>
  </si>
  <si>
    <t xml:space="preserve">DEXAMETASONA + HIPROMELOSE + SULFATO DE NEOMICINA + SULFATO DE POLIMIXINA B </t>
  </si>
  <si>
    <t xml:space="preserve">DESOXIRRIBONUCLEASE + FIBRINOLISINA + GENTAMICINA </t>
  </si>
  <si>
    <t xml:space="preserve">DESOXIRRIBONUCLEASE + FIBRINOLISINA </t>
  </si>
  <si>
    <t xml:space="preserve">DESOXIMETASONA + SULFATO DE NEOMICINA </t>
  </si>
  <si>
    <t xml:space="preserve">DESOGESTREL + ETINILESTRADIOL </t>
  </si>
  <si>
    <t xml:space="preserve">DECANOATO DE TESTOSTERONA + FEMPROPIONATO DE TESTOSTERONA + ISOCAPROATO DE TESTOSTERONA + PROPIONATO DE TESTOSTERONA </t>
  </si>
  <si>
    <t xml:space="preserve">DALFOPRISTINA + QUINUPRISTINA </t>
  </si>
  <si>
    <t xml:space="preserve">CUMARINA + HEPARINA SÓDICA </t>
  </si>
  <si>
    <t xml:space="preserve">CLORTALIDONA + RESERPINA </t>
  </si>
  <si>
    <t xml:space="preserve">CLOROBUTANOL + TIROTRICINA + URÉIA </t>
  </si>
  <si>
    <t xml:space="preserve">CLOROBUTANOL + METABORATO DE ETILA + TIROTRICINA </t>
  </si>
  <si>
    <t xml:space="preserve">CLORIDRATO DE VERAPAMIL + TRANDOLAPRIL </t>
  </si>
  <si>
    <t xml:space="preserve">CLORIDRATO DE PROPRANOLOL + HIDROCLOROTIAZIDA </t>
  </si>
  <si>
    <t xml:space="preserve">CLORIDRATO DE PRILOCAÍNA + FELIPRESSINA </t>
  </si>
  <si>
    <t xml:space="preserve">CLORIDRATO DE OXITETRACICLINA + SULFATO DE POLIMIXINA B </t>
  </si>
  <si>
    <t xml:space="preserve">CLORIDRATO DE OXITETRACICLINA + LIDOCAÍNA </t>
  </si>
  <si>
    <t xml:space="preserve">CLORIDRATO DE NAFAZOLINA + FLUOCINOLONA ACETONIDA + SULFATO DE NEOMICINA + SULFATO DE ZINCO </t>
  </si>
  <si>
    <t>CLORIDRATO DE MOXIFLOXACINO + FOSFATO DISSÓDICO DE DEXAMETASONA (Incluído pelo Decreto nº 8.271, de 2014)</t>
  </si>
  <si>
    <t>144 - A</t>
  </si>
  <si>
    <t xml:space="preserve">CLORIDRATO DE METFORMINA + VILDAGLIPTINA </t>
  </si>
  <si>
    <t>CLORIDRATO DE METFORMINA + SAXAGLIPTINA (Incluído pelo Decreto nº 8.271, de 2014)</t>
  </si>
  <si>
    <t>143 - B</t>
  </si>
  <si>
    <t>CLORIDRATO DE METFORMINA + NATEGLINIDA (Incluído pelo Decreto nº 8.271, de 2014)</t>
  </si>
  <si>
    <t>143 - A</t>
  </si>
  <si>
    <t xml:space="preserve">CLORIDRATO DE METFORMINA + MALEATO DE ROSIGLITAZONA </t>
  </si>
  <si>
    <t xml:space="preserve">CLORIDRATO DE METFORMINA + GLIMEPIRIDA </t>
  </si>
  <si>
    <t xml:space="preserve">CLORIDRATO DE METFORMINA + GLIBENCLAMIDA </t>
  </si>
  <si>
    <t>CLORIDRATO DE METFORMINA + FOSFATO DE SITAGLIPTINA (Incluído pelo Decreto nº 8.271, de 2014)</t>
  </si>
  <si>
    <t>140 - B</t>
  </si>
  <si>
    <t>CLORIDRATO DE METFORMINA + CLORIDRATO DE PIOGLITAZONA (Incluído pelo Decreto nº 8.271, de 2014)</t>
  </si>
  <si>
    <t>140 - A</t>
  </si>
  <si>
    <t xml:space="preserve">CLORIDRATO DE MEPIVACAÍNA + HEMITARTARATO DE NOREPINEFRINA </t>
  </si>
  <si>
    <t xml:space="preserve">CLORIDRATO DE MEPIVACAÍNA + HEMITARTARATO DE EPINEFRINA </t>
  </si>
  <si>
    <t xml:space="preserve">CLORIDRATO DE MEPIVACAÍNA + EPINEFRINA </t>
  </si>
  <si>
    <t xml:space="preserve">CLORIDRATO DE MEPIVACAÍNA + CORBADRINA </t>
  </si>
  <si>
    <t xml:space="preserve">CLORIDRATO DE LIDOCAÍNA + SULFATO DE POLIMIXINA B </t>
  </si>
  <si>
    <t xml:space="preserve">CLORIDRATO DE LIDOCAÍNA + SULFATO DE NEOMICINA + SULFATO DE POLIMIXINA B + TRIANCINOLONA ACETONIDA </t>
  </si>
  <si>
    <t xml:space="preserve">CLORIDRATO DE LIDOCAÍNA + SULFATO DE NEOMICINA </t>
  </si>
  <si>
    <t xml:space="preserve">CLORIDRATO DE LIDOCAÍNA + SULFATO DE GLICOSAMINA </t>
  </si>
  <si>
    <t xml:space="preserve">CLORIDRATO DE LIDOCAÍNA + HEMITARTARATO DE NOREPINEFRINA </t>
  </si>
  <si>
    <t>CLORIDRATO DE LIDOCAÍNA + HEMITARTARATO DE EPINEFRINA (Incluído pelo Decreto nº 8.271, de 2014)</t>
  </si>
  <si>
    <t>131 - A</t>
  </si>
  <si>
    <t xml:space="preserve">CLORIDRATO DE LIDOCAÍNA + GLICOSE </t>
  </si>
  <si>
    <t xml:space="preserve">CLORIDRATO DE LIDOCAÍNA + FLUOCINOLONA ACETONIDA + SULFATO DE NEOMICINA + SULFATO DE POLIMIXINA B </t>
  </si>
  <si>
    <t xml:space="preserve">CLORIDRATO DE LIDOCAÍNA + EPINEFRINA </t>
  </si>
  <si>
    <t xml:space="preserve">CLORIDRATO DE HIDROXIZINA + SULFATO DE EFEDRINA + TEOFILINA </t>
  </si>
  <si>
    <t xml:space="preserve">CLORIDRATO DE FLUOXETINA + OLANZAPINA </t>
  </si>
  <si>
    <t xml:space="preserve">CLORIDRATO DE FENILEFRINA + CLORIDRATO DE LIDOCAÍNA </t>
  </si>
  <si>
    <t xml:space="preserve">CLORIDRATO DE DORZOLAMIDA + MALEATO DE TIMOLOL </t>
  </si>
  <si>
    <t xml:space="preserve">CLORIDRATO DE DOPAMINA + GLICOSE </t>
  </si>
  <si>
    <t xml:space="preserve">CLORIDRATO DE DELAPRIL + DICLORIDRATO DE MANIDIPINO </t>
  </si>
  <si>
    <t xml:space="preserve">CLORIDRATO DE CIPROFLOXACINO + HIDROCORTISONA </t>
  </si>
  <si>
    <t xml:space="preserve">CLORIDRATO DE CIPROFLOXACINO + DEXAMETASONA </t>
  </si>
  <si>
    <t xml:space="preserve">CLORIDRATO DE BUPIVACAÍNA + GLICOSE </t>
  </si>
  <si>
    <t xml:space="preserve">CLORIDRATO DE BUPIVACAÍNA + EPINEFRINA </t>
  </si>
  <si>
    <t xml:space="preserve">CLORIDRATO DE BENSERAZIDA + LEVODOPA </t>
  </si>
  <si>
    <t xml:space="preserve">CLORIDRATO DE BENAZEPRIL + HIDROCLOROTIAZIDA </t>
  </si>
  <si>
    <t xml:space="preserve">CLORIDRATO DE ARTICAÍNA + HEMITARTARATO DE EPINEFRINA </t>
  </si>
  <si>
    <t xml:space="preserve">CLORIDRATO DE AMILORIDA + HIDROCLOROTIAZIDA </t>
  </si>
  <si>
    <t xml:space="preserve">CLORIDRATO DE AMILORIDA + FUROSEMIDA </t>
  </si>
  <si>
    <t>CLORIDRATO DE ADIFENINA + CLORIDRATO DE PROMETAZINA + DIPIRONA SÓDICA (Incluído pelo Decreto nº 8.271, de 2014)</t>
  </si>
  <si>
    <t>113 - A</t>
  </si>
  <si>
    <t xml:space="preserve">CLORFENESINA + CLORIDRATO DE TETRACAÍNA + VALERATO DE BETAMETASONA </t>
  </si>
  <si>
    <t xml:space="preserve">CLORETO DE POTÁSSIO + FUROSEMIDA </t>
  </si>
  <si>
    <t xml:space="preserve">CLORETO DE MAGNÉSIO + DESIDROCOLATO DE SÓDIO + DIASTASE + HOMOCISTEINATIOLACTONA + NICOTINAMIDA + PANCREATINA + PAPAÍNA + PEPSINA + PIRIDOXINA + RIBOFLAVINA + TIAMINA </t>
  </si>
  <si>
    <t xml:space="preserve">CLORETO DE CÁLCIO + FIBRINOGÊNIO + TROMBINA </t>
  </si>
  <si>
    <t xml:space="preserve">CLORDIAZEPÓXIDO + CLORIDRATO DE AMITRIPTILINA </t>
  </si>
  <si>
    <t xml:space="preserve">CLORANFENICOL + SULFACETAMIDA SÓDICA </t>
  </si>
  <si>
    <t xml:space="preserve">CLORANFENICOL + FLUOCINOLONA ACETONIDA </t>
  </si>
  <si>
    <t xml:space="preserve">CLORANFENICOL + DEXAMETASONA </t>
  </si>
  <si>
    <t xml:space="preserve">CLORANFENICOL + DESOXIRRIBONUCLEASE + FIBRINOLISINA </t>
  </si>
  <si>
    <t xml:space="preserve">CLORANFENICOL + CLORIDRATO DE TETRIZOLINA + DEXAMETASONA </t>
  </si>
  <si>
    <t xml:space="preserve">CLORANFENICOL + CLORIDRATO DE TETRACAÍNA + SULFACETAMIDA SÓDICA </t>
  </si>
  <si>
    <t xml:space="preserve">CLORANFENICOL + CLORIDRATO DE LIDOCAÍNA + DEXAMETASONA </t>
  </si>
  <si>
    <t xml:space="preserve">CLORANFENICOL + CLORIDRATO DE LIDOCAÍNA </t>
  </si>
  <si>
    <t xml:space="preserve">CLORANFENICOL + CLORFENESINA + CLORIDRATO DE LIDOCAÍNA + URÉIA </t>
  </si>
  <si>
    <t xml:space="preserve">CLOPAMIDA + PINDOLOL </t>
  </si>
  <si>
    <t xml:space="preserve">CLOFIBRATO DE ETILA + TARTARATO DE NICOTINILA </t>
  </si>
  <si>
    <t xml:space="preserve">CLAVULANATO DE POTÁSSIO + TICARCILINA </t>
  </si>
  <si>
    <t xml:space="preserve">CLARITROMICINA + OMEPRAZOL + TINIDAZOL </t>
  </si>
  <si>
    <t xml:space="preserve">CITRATO DE FENTANILA + DROPERIDOL </t>
  </si>
  <si>
    <t xml:space="preserve">CIPROFLOXACINO + CLORIDRATO DE CIPROFLOXACINO </t>
  </si>
  <si>
    <t xml:space="preserve">CINARIZINA + PIRACETAM </t>
  </si>
  <si>
    <t xml:space="preserve">CILAZAPRIL + HIDROCLOROTIAZIDA </t>
  </si>
  <si>
    <t xml:space="preserve">CILASTATINA SÓDICA + IMIPENÉM </t>
  </si>
  <si>
    <t>CIANOCOBALAMINA + CLORIDRATO DE PIRIDOXINA + NITRATO DE TIAMINA (Incluído pelo Decreto nº 8.271, de 2014)</t>
  </si>
  <si>
    <t>90 - A</t>
  </si>
  <si>
    <t xml:space="preserve">CIANOCOBALAMINA + CLORIDRATO DE PIRIDOXINA + DICLOFENACO SÓDICO + NITRATO DE TIAMINA </t>
  </si>
  <si>
    <t>CIANOCOBALAMINA + CLORIDRATO DE PIRIDOXINA + CLORIDRATO DE TIAMINA + DICLOFENACO SÓDICO (Incluído pelo Decreto nº 8.271, de 2014)</t>
  </si>
  <si>
    <t>89 - A</t>
  </si>
  <si>
    <t xml:space="preserve">CIANOCOBALAMINA + CLORIDRATO DE PIRIDOXINA + CLORIDRATO DE TIAMINA </t>
  </si>
  <si>
    <t xml:space="preserve">CIANOCOBALAMINA + CITRATO DE ORFENADRINA + DEXAMETASONA + PIROXICAM </t>
  </si>
  <si>
    <t xml:space="preserve">CETRIMIDA + GLICONATO DE CLOREXIDINA </t>
  </si>
  <si>
    <t xml:space="preserve">CEFOPERAZONA + SULBACTAM </t>
  </si>
  <si>
    <t xml:space="preserve">CARMELOSE + SULFATO DE BÁRIO </t>
  </si>
  <si>
    <t xml:space="preserve">CARBONATO DE SÓDIO + CLORIDRATO DE PROCAÍNA + FENOL </t>
  </si>
  <si>
    <t>CARBONATO DE CÁLCIO + COLECALCIFEROL + RISEDRONATO SÓDICO (Incluído pelo Decreto nº 8.271, de 2014)</t>
  </si>
  <si>
    <t>83 - A</t>
  </si>
  <si>
    <t xml:space="preserve">CARBIDOPA + LEVODOPA </t>
  </si>
  <si>
    <t xml:space="preserve">CARBIDOPA + ENTACAPONA + LEVODOPA </t>
  </si>
  <si>
    <t xml:space="preserve">CAPTOPRIL + HIDROCLOROTIAZIDA </t>
  </si>
  <si>
    <t xml:space="preserve">CAPROATO DE HIDROXIPROGESTERONA + VALERATO DE ESTRADIOL </t>
  </si>
  <si>
    <t xml:space="preserve">CANDESARTANA CILEXETILA + HIDROCLOROTIAZIDA </t>
  </si>
  <si>
    <t>CANDESARTANA CILEXETILA + FELODIPINO (Incluído pelo Decreto nº 8.271, de 2014)</t>
  </si>
  <si>
    <t>78 - B</t>
  </si>
  <si>
    <t>CAMBENDAZOL + MEBENDAZOL (Incluído pelo Decreto nº 8.271, de 2014)</t>
  </si>
  <si>
    <t>78 - A</t>
  </si>
  <si>
    <t xml:space="preserve">BUDESONIDA + FUMARATO DE FORMOTEROL </t>
  </si>
  <si>
    <t xml:space="preserve">BROMOPRIDA + CELULASE + DIMETICONA + PANCREATINA </t>
  </si>
  <si>
    <t xml:space="preserve">BROMETO DE IPRATRÓPIO + SULFATO DE SALBUTAMOL </t>
  </si>
  <si>
    <t xml:space="preserve">BROMETO DE IPRATRÓPIO + BROMIDRATO DE FENOTEROL </t>
  </si>
  <si>
    <t xml:space="preserve">BROMELAÍNA + DESIDROCOLATO DE SÓDIO + DIMETICONA + METOCLOPRAMIDA + PANCREATINA </t>
  </si>
  <si>
    <t xml:space="preserve">BROMAZEPAM + SULPIRIDA </t>
  </si>
  <si>
    <t xml:space="preserve">BISOPROLOL + HIDROCLOROTIAZIDA </t>
  </si>
  <si>
    <t>BIMATOPROSTA + MALEATO DE TIMOLOL (Incluído pelo Decreto nº 8.271, de 2014)</t>
  </si>
  <si>
    <t>71 - B</t>
  </si>
  <si>
    <t>BIMATOPROSTA + MALEATO DE TIMOLOL + TARTARATO DE BRIMONIDINA (Incluído pelo Decreto nº 8.271, de 2014)</t>
  </si>
  <si>
    <t>71 - A</t>
  </si>
  <si>
    <t xml:space="preserve">BETAESCINA + HEPARINA SÓDICA + SALICILATO DE ETILENOGLICOL </t>
  </si>
  <si>
    <t xml:space="preserve">BESILATO DE ANLODIPINO + VALSARTANA </t>
  </si>
  <si>
    <t xml:space="preserve">BESILATO DE ANLODIPINO + RAMIPRIL </t>
  </si>
  <si>
    <t>BESILATO DE ANLODIPINO + OLMESARTANA MEDOXOMILA (Incluído pelo Decreto nº 8.271, de 2014)</t>
  </si>
  <si>
    <t>68 - A</t>
  </si>
  <si>
    <t xml:space="preserve">BESILATO DE ANLODIPINO + MALEATO DE ENALAPRIL </t>
  </si>
  <si>
    <t xml:space="preserve">BESILATO DE ANLODIPINO + LOSARTANA POTÁSSICA </t>
  </si>
  <si>
    <t>BESILATO DE ANLODIPINO + IRBESARTANA (Incluído pelo Decreto nº 8.271, de 2014)</t>
  </si>
  <si>
    <t>66 - D</t>
  </si>
  <si>
    <t>BESILATO DE ANLODIPINO + HEMIFUMARATO DE ALISQUIRENO (Incluído pelo Decreto nº 8.271, de 2014)</t>
  </si>
  <si>
    <t>66 - C</t>
  </si>
  <si>
    <t>BESILATO DE ANLODIPINO + HIDROCLOROTIAZIDA + VALSARTANA (Incluído pelo Decreto nº 8.271, de 2014)</t>
  </si>
  <si>
    <t>66 - B</t>
  </si>
  <si>
    <t>BESILATO DE ANLODIPINO + HIDROCLOROTIAZIDA + IRBESARTANA (Incluído pelo Decreto nº 8.271, de 2014)</t>
  </si>
  <si>
    <t>66 - A</t>
  </si>
  <si>
    <t xml:space="preserve">BESILATO DE ANLODIPINO + CLORIDRATO DE BENAZEPRIL </t>
  </si>
  <si>
    <t xml:space="preserve">BENZOATO DE ESTRADIOL + PROGESTERONA </t>
  </si>
  <si>
    <t xml:space="preserve">BENZILPENICILINA POTÁSSICA + BENZILPENICILINA PROCAÍNA </t>
  </si>
  <si>
    <t xml:space="preserve">BACITRACINA ZÍNCICA + SULFATO DE NEOMICINA </t>
  </si>
  <si>
    <t xml:space="preserve">BACITRACINA + SULFATO DE NEOMICINA </t>
  </si>
  <si>
    <t xml:space="preserve">BACITRACINA + NEOMICINA </t>
  </si>
  <si>
    <t xml:space="preserve">ATORVASTATINA CÁLCICA + TORCETRAPIBE </t>
  </si>
  <si>
    <t xml:space="preserve">ATORVASTATINA CÁLCICA + BESILATO DE ANLODIPINO </t>
  </si>
  <si>
    <t xml:space="preserve">ATORVASTATINA + TORCETRAPIBE </t>
  </si>
  <si>
    <t>ATORVASTATINA + NIACINA (Incluído pelo Decreto nº 8.271, de 2014)</t>
  </si>
  <si>
    <t>57 - A</t>
  </si>
  <si>
    <t xml:space="preserve">ATENOLOL + NIFEDIPINO </t>
  </si>
  <si>
    <t xml:space="preserve">ATENOLOL + CLORTALIDONA </t>
  </si>
  <si>
    <t xml:space="preserve">ATENOLOL + BESILATO DE ANLODIPINO </t>
  </si>
  <si>
    <t xml:space="preserve">ARTEMÉTER + LUMEFANTRINA </t>
  </si>
  <si>
    <t xml:space="preserve">ARGININA + IBUPROFENO </t>
  </si>
  <si>
    <t xml:space="preserve">ARGININA + CLORIDRATO DE CEFEPIMA </t>
  </si>
  <si>
    <t>ARGININA + CEFEPIMA  (Incluído pelo Decreto nº 8.271, de 2014)</t>
  </si>
  <si>
    <t>51 - A</t>
  </si>
  <si>
    <t xml:space="preserve">ARGININA + AZTREONAM </t>
  </si>
  <si>
    <t xml:space="preserve">APROTININA + FATOR XIII DE COAGULAÇÃO + FIBRINOGÊNIO + TROMBINA </t>
  </si>
  <si>
    <t xml:space="preserve">APROTININA + CLORETO DE CÁLCIO + FIBRINOGÊNIO + TROMBINA </t>
  </si>
  <si>
    <t xml:space="preserve">AMPICILINA BENZATINA + AMPICILINA SÓDICA </t>
  </si>
  <si>
    <t xml:space="preserve">AMPICILINA + SULBACTAM </t>
  </si>
  <si>
    <t xml:space="preserve">AMPICILINA + PROBENECIDA </t>
  </si>
  <si>
    <t xml:space="preserve">AMOXICILINA SÓDICA + CLAVULANATO DE POTÁSSIO </t>
  </si>
  <si>
    <t xml:space="preserve">AMOXICILINA + SULBACTAM </t>
  </si>
  <si>
    <t>AMOXICILINA + LEVOFLOXACINO  + LANSOPRAZOL (Incluído pelo Decreto nº 8.271, de 2014)</t>
  </si>
  <si>
    <t xml:space="preserve">AMOXICILINA + CLAVULANATO DE POTÁSSIO </t>
  </si>
  <si>
    <t xml:space="preserve">AMOXICILINA + CLARITROMICINA + PANTOPRAZOL </t>
  </si>
  <si>
    <t xml:space="preserve">AMOXICILINA + CLARITROMICINA + OMEPRAZOL </t>
  </si>
  <si>
    <t xml:space="preserve">AMOXICILINA + CLARITROMICINA + LANSOPRAZOL </t>
  </si>
  <si>
    <t xml:space="preserve">AMILORIDA + CLORTALIDONA </t>
  </si>
  <si>
    <t xml:space="preserve">AMBUFILINA + CLORIDRATO DE ETAFEDRINA + SUCCINATO DE DOXILAMINA </t>
  </si>
  <si>
    <t xml:space="preserve">AMBUFILINA + CLORIDRATO DE ETAFEDRINA + GUAIFENESINA + SUCCINATO DE DOXILAMINA </t>
  </si>
  <si>
    <t xml:space="preserve">AMBUFILINA + CLORIDRATO DE ETAFEDRINA + CLORIDRATO DE FENILEFRINA + SUCCINATO DE DOXILAMINA </t>
  </si>
  <si>
    <t xml:space="preserve">ALGESTONA ACETONIDA + ENANTATO DE ESTRADIOL </t>
  </si>
  <si>
    <t>ALFAPEGINTERFERONA 2B + RIBAVIRINA (Incluído pelo Decreto nº 8.271, de 2014)</t>
  </si>
  <si>
    <t>34 - B</t>
  </si>
  <si>
    <t>ALFAPEGINTERFERONA 2A + RIBAVIRINA (Incluído pelo Decreto nº 8.271, de 2014)</t>
  </si>
  <si>
    <t>34 - A</t>
  </si>
  <si>
    <t xml:space="preserve">ALFAMILASE + PEPSINA </t>
  </si>
  <si>
    <t xml:space="preserve">ALFAMILASE + LIPASE + PROTEASE PANCREÁTICA </t>
  </si>
  <si>
    <t xml:space="preserve">ALFAMILASE + BROMOPRIDA + DIMETICONA + LIPASE + PEPSINA </t>
  </si>
  <si>
    <t xml:space="preserve">ALENDRONATO DE SÓDIO + COLECALCIFEROL </t>
  </si>
  <si>
    <t xml:space="preserve">ALENDRONATO DE SÓDIO + CARBONATO DE CÁLCIO + COLECALCIFEROL </t>
  </si>
  <si>
    <t xml:space="preserve">ÁLCOOL POLIVINÍLICO + FLUORMETOLONA </t>
  </si>
  <si>
    <t xml:space="preserve">ÁCIDO VALPRÓICO + VALPROATO DE SÓDIO </t>
  </si>
  <si>
    <t xml:space="preserve">ÁCIDO NICOTÍNICO + LOVASTATINA </t>
  </si>
  <si>
    <t>ÁCIDO NICOTÍNICO + LAROPIPRANTO (Incluído pelo Decreto nº 8.271, de 2014)</t>
  </si>
  <si>
    <t>26 - B</t>
  </si>
  <si>
    <t>ÁCIDO FENOFÍBRICO + ROSUVASTATINA CÁLCIA (Incluído pelo Decreto nº 8.271, de 2014)</t>
  </si>
  <si>
    <t>26 - A</t>
  </si>
  <si>
    <t xml:space="preserve">ÁCIDO DESIDROCÓLICO + CELULASE + CLORIDRATO DE METOCLOPRAMIDA + DIMETICONA + PANCREATINA + PEPSINA </t>
  </si>
  <si>
    <t xml:space="preserve">ÁCIDO BÓRICO + CLORANFENICOL + CLORIDRATO DE TETRACAÍNA + SULFACETAMIDA SÓDICA + URÉIA </t>
  </si>
  <si>
    <t xml:space="preserve">ÁCIDO BÓRICO + ÁCIDO SALICÍLICO + CLORIDRATO DE PROCAÍNA + TIROTRICINA </t>
  </si>
  <si>
    <t xml:space="preserve">ÁCIDO BENZÓICO + ÁCIDO SALICÍLICO </t>
  </si>
  <si>
    <t xml:space="preserve">ÁCIDO AMINOCAPRÓICO + ANTÍGENOS BACTERIANOS + BENZILPENICILINA </t>
  </si>
  <si>
    <t>ÁCIDO ACETILSALICÍLICO + SINVASTATINA (Incluído pelo Decreto nº 8.271, de 2014)</t>
  </si>
  <si>
    <t>21 - A</t>
  </si>
  <si>
    <t xml:space="preserve">ÁCIDO ACETILSALICÍLICO + NIFEDIPINO </t>
  </si>
  <si>
    <t xml:space="preserve">ÁCIDO ACETILSALICÍLICO + MONONITRATO DE ISOSSORBIDA </t>
  </si>
  <si>
    <t>ÁCIDO ACETIL SALICÍLICO + BISSULFATO DE CLOPIDOGREL (Incluído pelo Decreto nº 8.271, de 2014)</t>
  </si>
  <si>
    <t>19 - A</t>
  </si>
  <si>
    <t xml:space="preserve">ACETATO DE PREDNISOLONA + SULFATO DE NEOMICINA + SULFATO DE POLIMIXINA B </t>
  </si>
  <si>
    <t xml:space="preserve">ACETATO DE PREDNISOLONA + SULFACETAMIDA SÓDICA </t>
  </si>
  <si>
    <t xml:space="preserve">ACETATO DE PREDNISOLONA + HIPROMELOSE + SULFACETAMIDA SÓDICA </t>
  </si>
  <si>
    <t>ACETATO DE PREDNISOLONA + GATIFLOXACINO (Incluído pelo Decreto nº 8.271, de 2014)</t>
  </si>
  <si>
    <t>16 - A</t>
  </si>
  <si>
    <t xml:space="preserve">ACETATO DE NORETISTERONA + ETINILESTRADIOL </t>
  </si>
  <si>
    <t xml:space="preserve">ACETATO DE NORETISTERONA + ESTRADIOL HEMIIDRATADO </t>
  </si>
  <si>
    <t xml:space="preserve">ACETATO DE NORETISTERONA + ESTRADIOL </t>
  </si>
  <si>
    <t xml:space="preserve">ACETATO DE MEDROXIPROGESTERONA + VALERATO DE ESTRADIOL </t>
  </si>
  <si>
    <t xml:space="preserve">ACETATO DE MEDROXIPROGESTERONA + ESTROGÊNIOS CONJUGADOS </t>
  </si>
  <si>
    <t xml:space="preserve">ACETATO DE MEDROXIPROGESTERONA + CIPIONATO DE ESTRADIOL </t>
  </si>
  <si>
    <t xml:space="preserve">ACETATO DE FLUDROCORTISONA + CLORIDRATO DE LIDOCAÍNA + NITROFURAL + SULFATO DE NEOMICINA + SULFATO DE POLIMIXINA B </t>
  </si>
  <si>
    <t xml:space="preserve">ACETATO DE FLUDROCORTISONA + CLORIDRATO DE LIDOCAÍNA + DIMETILSULFÓXIDO + MENTOL + NITROFURAL + SULFATO DE NEOMICINA </t>
  </si>
  <si>
    <t xml:space="preserve">ACETATO DE DEXAMETASONA + FOSFATO DISSÓDICO DE DEXAMETASONA </t>
  </si>
  <si>
    <t xml:space="preserve">ACETATO DE DEXAMETASONA + CIANOCOBALAMINA + CLORIDRATO DE PIRIDOXINA + CLORIDRATO DE TIAMINA </t>
  </si>
  <si>
    <t xml:space="preserve">ACETATO DE CORTISONA + CLORIDRATO DE CLORTETRACICLINA + LORETINATO DE BISMUTO </t>
  </si>
  <si>
    <t xml:space="preserve">ACETATO DE CLORMADINONA + ETINILESTRADIOL </t>
  </si>
  <si>
    <t xml:space="preserve">ACETATO DE CIPROTERONA + VALERATO DE ESTRADIOL </t>
  </si>
  <si>
    <t xml:space="preserve">ACETATO DE CIPROTERONA + ETINILESTRADIOL </t>
  </si>
  <si>
    <t xml:space="preserve">ACETATO DE BETAMETASONA + FOSFATO DISSÓDICO DE BETAMETASONA </t>
  </si>
  <si>
    <t xml:space="preserve">ACEFILINATO DE HEPTAMINOL + CINARIZINA </t>
  </si>
  <si>
    <t>ZUCLOPENTIXOL (Incluído pelo Decreto nº 8.271, de 2014)</t>
  </si>
  <si>
    <t>1084 - A</t>
  </si>
  <si>
    <t xml:space="preserve">ZOPICLONA </t>
  </si>
  <si>
    <t xml:space="preserve">ZOLMITRIPTANA </t>
  </si>
  <si>
    <t xml:space="preserve">ZIDOVUDINA </t>
  </si>
  <si>
    <t>ZIBOTENTANA (Incluído pelo Decreto nº 8.271, de 2014)</t>
  </si>
  <si>
    <t>1081 - B</t>
  </si>
  <si>
    <t>ZANAMIVIR (Incluído pelo Decreto nº 8.271, de 2014)</t>
  </si>
  <si>
    <t>1081 - A</t>
  </si>
  <si>
    <t xml:space="preserve">ZALCITABINA </t>
  </si>
  <si>
    <t xml:space="preserve">ZAFIRLUCASTE </t>
  </si>
  <si>
    <t xml:space="preserve">XINAFOATO DE SALMETEROL </t>
  </si>
  <si>
    <t xml:space="preserve">XIMELAGATRANA </t>
  </si>
  <si>
    <t xml:space="preserve">VORICONAZOL </t>
  </si>
  <si>
    <t xml:space="preserve">VINCAMINA </t>
  </si>
  <si>
    <t xml:space="preserve">VIMPOCETINA </t>
  </si>
  <si>
    <t xml:space="preserve">VILDAGLIPTINA </t>
  </si>
  <si>
    <t xml:space="preserve">VIGABATRINA </t>
  </si>
  <si>
    <t>VICVIROC (Incluído pelo Decreto nº 8.271, de 2014)</t>
  </si>
  <si>
    <t>1072 - A</t>
  </si>
  <si>
    <t xml:space="preserve">VERTEPORFINA </t>
  </si>
  <si>
    <t xml:space="preserve">VARFARINA SÓDICA </t>
  </si>
  <si>
    <t xml:space="preserve">VARENICLINA </t>
  </si>
  <si>
    <t>VANDETANIBE (Incluído pelo Decreto nº 8.271, de 2014)</t>
  </si>
  <si>
    <t>1069 - B</t>
  </si>
  <si>
    <t>VANCOMICINA (Incluído pelo Decreto nº 8.271, de 2014)</t>
  </si>
  <si>
    <t>1069 - A</t>
  </si>
  <si>
    <t xml:space="preserve">VALSARTANA </t>
  </si>
  <si>
    <t xml:space="preserve">VALPROATO DE SÓDIO </t>
  </si>
  <si>
    <t xml:space="preserve">VALGANCICLOVIR </t>
  </si>
  <si>
    <t xml:space="preserve">VALERATO DE ESTRADIOL </t>
  </si>
  <si>
    <t xml:space="preserve">VALDECOXIBE </t>
  </si>
  <si>
    <t xml:space="preserve">VALACICLOVIR </t>
  </si>
  <si>
    <t xml:space="preserve">VACINA TERAPÊUTICA CONTRA LEISHMANIOSE </t>
  </si>
  <si>
    <t xml:space="preserve">VACINA TERAPÊUTICA CONTRA HERPESVÍRUS TIPO II </t>
  </si>
  <si>
    <t xml:space="preserve">VACINA TERAPÊUTICA CONTRA HERPESVÍRUS TIPO I </t>
  </si>
  <si>
    <t xml:space="preserve">VACINA QUADRIVALENTE RECOMBINANTE CONTRA PAPILOMA VIRUS HUMANO </t>
  </si>
  <si>
    <t xml:space="preserve">VACINA MENINGOGÓCICA CONJUGADA DO GRUPO C </t>
  </si>
  <si>
    <t xml:space="preserve">VACINA DE ROTAVÍRUS </t>
  </si>
  <si>
    <t xml:space="preserve">VACINA CONTRA VARÍOLA </t>
  </si>
  <si>
    <t>VACINA CONTRA VARICELA ZÓSTER (Incluído pelo Decreto nº 8.271, de 2014)</t>
  </si>
  <si>
    <t>1056 - A</t>
  </si>
  <si>
    <t xml:space="preserve">VACINA CONTRA VARICELA </t>
  </si>
  <si>
    <t xml:space="preserve">VACINA CONTRA SARAMPO </t>
  </si>
  <si>
    <t xml:space="preserve">VACINA CONTRA RUBÉOLA </t>
  </si>
  <si>
    <t xml:space="preserve">VACINA CONTRA RAIVA </t>
  </si>
  <si>
    <t xml:space="preserve">VACINA CONTRA POLIOMELITE INATIVADA </t>
  </si>
  <si>
    <t xml:space="preserve">VACINA CONTRA POLIOMELITE ATENUADA </t>
  </si>
  <si>
    <t xml:space="preserve">VACINA CONTRA PNEUMOCOCOS </t>
  </si>
  <si>
    <t xml:space="preserve">VACINA CONTRA MENINGITE C </t>
  </si>
  <si>
    <t xml:space="preserve">VACINA CONTRA MENINGITE A </t>
  </si>
  <si>
    <t xml:space="preserve">VACINA CONTRA HEPATITE B </t>
  </si>
  <si>
    <t xml:space="preserve">VACINA CONTRA HEPATITE A </t>
  </si>
  <si>
    <t xml:space="preserve">VACINA CONTRA HAEMOPHILUS INFLUENZAE TIPO B </t>
  </si>
  <si>
    <t xml:space="preserve">VACINA CONTRA GRIPE </t>
  </si>
  <si>
    <t>VACINA CONTRA FEBRE TIFÓIDE (Incluído pelo Decreto nº 8.271, de 2014)</t>
  </si>
  <si>
    <t>1043 - A</t>
  </si>
  <si>
    <t xml:space="preserve">VACINA CONTRA FEBRE AMARELA </t>
  </si>
  <si>
    <t>VACINA CONTRA CÓLERA (Incluído pelo Decreto nº 8.271, de 2014)</t>
  </si>
  <si>
    <t>1042 - A</t>
  </si>
  <si>
    <t xml:space="preserve">VACINA CONTRA CAXUMBA </t>
  </si>
  <si>
    <t xml:space="preserve">VACINA BCG </t>
  </si>
  <si>
    <t xml:space="preserve">VACINA ANTICATARRAL </t>
  </si>
  <si>
    <t>USTEQUINUMABE (Incluído pelo Decreto nº 8.271, de 2014)</t>
  </si>
  <si>
    <t>1039 - A</t>
  </si>
  <si>
    <t xml:space="preserve">UROQUINASE </t>
  </si>
  <si>
    <t xml:space="preserve">UROFOLITROPINA </t>
  </si>
  <si>
    <t xml:space="preserve">UNOPROSTONA ISOPROPÍLICA </t>
  </si>
  <si>
    <t xml:space="preserve">UNDECILATO DE TESTOSTERONA </t>
  </si>
  <si>
    <t xml:space="preserve">UBIDECARENONA </t>
  </si>
  <si>
    <t xml:space="preserve">TROMETAMOL DE LODOXAMIDA </t>
  </si>
  <si>
    <t xml:space="preserve">TROMETAMOL CETOROLACO  </t>
  </si>
  <si>
    <t xml:space="preserve">TRIPTORRELINA </t>
  </si>
  <si>
    <t xml:space="preserve">TRIMETAZIDINA </t>
  </si>
  <si>
    <t xml:space="preserve">TRIFLUSAL </t>
  </si>
  <si>
    <t xml:space="preserve">TRIETIODETO DE GALAMINA </t>
  </si>
  <si>
    <t xml:space="preserve">TRIENTINA </t>
  </si>
  <si>
    <t xml:space="preserve">TRICLOSANA </t>
  </si>
  <si>
    <t xml:space="preserve">TRIANCINOLONA ACETONIDA  </t>
  </si>
  <si>
    <t xml:space="preserve">TRETINOÍNA </t>
  </si>
  <si>
    <t>TREMELIMUMABE  (Incluído pelo Decreto nº 8.271, de 2014)</t>
  </si>
  <si>
    <t>1024 - A</t>
  </si>
  <si>
    <t xml:space="preserve">TRAZODONA </t>
  </si>
  <si>
    <t xml:space="preserve">TRAVOPROSTA </t>
  </si>
  <si>
    <t xml:space="preserve">TRASTUZUMABE </t>
  </si>
  <si>
    <t xml:space="preserve">TRAPIDIL </t>
  </si>
  <si>
    <t xml:space="preserve">TRANDOLAPRIL </t>
  </si>
  <si>
    <t xml:space="preserve">TOXÓIDE TETÂNICO ADSORVIDO </t>
  </si>
  <si>
    <t xml:space="preserve">TOXÓIDE ESTAFILOCÓCICO </t>
  </si>
  <si>
    <t xml:space="preserve">TOXINA BOTULÍNICA TIPO A </t>
  </si>
  <si>
    <t xml:space="preserve">TOSILATO DE SULTAMICILINA </t>
  </si>
  <si>
    <t xml:space="preserve">TOSILATO DE SORAFENIBE </t>
  </si>
  <si>
    <t xml:space="preserve">TOREMIFENO </t>
  </si>
  <si>
    <t xml:space="preserve">TOPIRAMATO </t>
  </si>
  <si>
    <t xml:space="preserve">TOLCAPONA </t>
  </si>
  <si>
    <t>TOCILIZUMABE (Incluído pelo Decreto nº 8.271, de 2014)</t>
  </si>
  <si>
    <t>1011 - A</t>
  </si>
  <si>
    <t xml:space="preserve">TOBRAMICINA </t>
  </si>
  <si>
    <t>TIPRANAVIR (Incluído pelo Decreto nº 8.271, de 2014)</t>
  </si>
  <si>
    <t>1010 - A</t>
  </si>
  <si>
    <t xml:space="preserve">TIPIFARNIBE </t>
  </si>
  <si>
    <t xml:space="preserve">TIOTIXENO </t>
  </si>
  <si>
    <t xml:space="preserve">TIOTEPA </t>
  </si>
  <si>
    <t xml:space="preserve">TIOSSULFATO DE SÓDIO </t>
  </si>
  <si>
    <t xml:space="preserve">TIOPENTAL SÓDICO </t>
  </si>
  <si>
    <t xml:space="preserve">TIOGUANINA </t>
  </si>
  <si>
    <t xml:space="preserve">TIMOMODULINA </t>
  </si>
  <si>
    <t xml:space="preserve">TIMALFASINA </t>
  </si>
  <si>
    <t xml:space="preserve">TILUDRONATO DISSÓDICO </t>
  </si>
  <si>
    <t xml:space="preserve">TIGECICLINA </t>
  </si>
  <si>
    <t>TICAGRELOR (Incluído pelo Decreto nº 8.271, de 2014)</t>
  </si>
  <si>
    <t>1000 - A</t>
  </si>
  <si>
    <t xml:space="preserve">TIBOLONA </t>
  </si>
  <si>
    <t xml:space="preserve">TIAPRIDA </t>
  </si>
  <si>
    <t xml:space="preserve">TIANFENICOL </t>
  </si>
  <si>
    <t xml:space="preserve">TIANEPTINA SÓDICA </t>
  </si>
  <si>
    <t xml:space="preserve">TIAMAZOL </t>
  </si>
  <si>
    <t xml:space="preserve">TIABENDAZOL </t>
  </si>
  <si>
    <t>TETROFOSMINA (Incluído pelo Decreto nº 8.271, de 2014)</t>
  </si>
  <si>
    <t>994 - A</t>
  </si>
  <si>
    <t xml:space="preserve">TETRACICLINA </t>
  </si>
  <si>
    <t>TESTOSTERONA (APRESENTADA EM ADESIVO TRANSDÉRMICO)</t>
  </si>
  <si>
    <t xml:space="preserve">TERIZIDONA </t>
  </si>
  <si>
    <t xml:space="preserve">TERIPARATIDA </t>
  </si>
  <si>
    <t xml:space="preserve">TEOFILINATO DE AMBROXOL </t>
  </si>
  <si>
    <t xml:space="preserve">TEOFILINA </t>
  </si>
  <si>
    <t>TENSIROLIMO (Incluído pelo Decreto nº 8.271, de 2014)</t>
  </si>
  <si>
    <t>988 - A</t>
  </si>
  <si>
    <t xml:space="preserve">TENOXICAM </t>
  </si>
  <si>
    <t xml:space="preserve">TENOFOVIR </t>
  </si>
  <si>
    <t xml:space="preserve">TENIPOSÍDEO </t>
  </si>
  <si>
    <t xml:space="preserve">TENECTEPLASE </t>
  </si>
  <si>
    <t xml:space="preserve">TEMOZOLOMIDA </t>
  </si>
  <si>
    <t xml:space="preserve">TELMISARTANA </t>
  </si>
  <si>
    <t xml:space="preserve">TELITROMICINA </t>
  </si>
  <si>
    <t>TELBIVUDINA (Incluído pelo Decreto nº 8.271, de 2014)</t>
  </si>
  <si>
    <t>981 - A</t>
  </si>
  <si>
    <t xml:space="preserve">TEICOPLANINA </t>
  </si>
  <si>
    <t xml:space="preserve">TARTARATO DE VINORELBINA </t>
  </si>
  <si>
    <t>TARTARATO DE VARENICLINA (Incluído pelo Decreto nº 8.271, de 2014)</t>
  </si>
  <si>
    <t>979 - A</t>
  </si>
  <si>
    <t xml:space="preserve">TARTARATO DE METOPROLOL </t>
  </si>
  <si>
    <t xml:space="preserve">TARTARATO DE LASOFOXIFENO </t>
  </si>
  <si>
    <t xml:space="preserve">TARTARATO DE BRIMONIDINA </t>
  </si>
  <si>
    <t xml:space="preserve">TANSULOSINA </t>
  </si>
  <si>
    <t>TANEZUMABE  (Incluído pelo Decreto nº 8.271, de 2014)</t>
  </si>
  <si>
    <t>975 - A</t>
  </si>
  <si>
    <t xml:space="preserve">TAMOXIFENO </t>
  </si>
  <si>
    <t xml:space="preserve">TALIDOMIDA </t>
  </si>
  <si>
    <t>TADALAFILA (Incluído pelo Decreto nº 8.271, de 2014)</t>
  </si>
  <si>
    <t>973 - A</t>
  </si>
  <si>
    <t xml:space="preserve">TACROLIMO </t>
  </si>
  <si>
    <t xml:space="preserve">TACRINA </t>
  </si>
  <si>
    <t xml:space="preserve">SUPROFENO </t>
  </si>
  <si>
    <t xml:space="preserve">SUMATRIPTANA </t>
  </si>
  <si>
    <t xml:space="preserve">SULTAMICILINA </t>
  </si>
  <si>
    <t xml:space="preserve">SULPIRIDA </t>
  </si>
  <si>
    <t>SULOPENEM (Incluído pelo Decreto nº 8.271, de 2014)</t>
  </si>
  <si>
    <t>967 - A</t>
  </si>
  <si>
    <t xml:space="preserve">SULFATO DE VINCRISTINA </t>
  </si>
  <si>
    <t xml:space="preserve">SULFATO DE VIMBLASTINA </t>
  </si>
  <si>
    <t xml:space="preserve">SULFATO DE TRANILCIPROMINA </t>
  </si>
  <si>
    <t xml:space="preserve">SULFATO DE TOBRAMICINA </t>
  </si>
  <si>
    <t xml:space="preserve">SULFATO DE TERBUTALINA </t>
  </si>
  <si>
    <t xml:space="preserve">SULFATO DE SALBUTAMOL </t>
  </si>
  <si>
    <t xml:space="preserve">SULFATO DE QUININA </t>
  </si>
  <si>
    <t xml:space="preserve">SULFATO DE QUINIDINA </t>
  </si>
  <si>
    <t>SULFATO DE POLIMIXINA B (Incluído pelo Decreto nº 8.271, de 2014)</t>
  </si>
  <si>
    <t>959 - A</t>
  </si>
  <si>
    <t xml:space="preserve">SULFATO DE NETILMICINA </t>
  </si>
  <si>
    <t xml:space="preserve">SULFATO DE MORFINA </t>
  </si>
  <si>
    <t xml:space="preserve">SULFATO DE INDINAVIR </t>
  </si>
  <si>
    <t xml:space="preserve">SULFATO DE HIDROXICLOROQUINA </t>
  </si>
  <si>
    <t xml:space="preserve">SULFATO DE GLICOSAMINA </t>
  </si>
  <si>
    <t xml:space="preserve">SULFATO DE GENTAMICINA </t>
  </si>
  <si>
    <t xml:space="preserve">SULFATO DE ESTREPTOMICINA </t>
  </si>
  <si>
    <t xml:space="preserve">SULFATO DE EFEDRINA </t>
  </si>
  <si>
    <t xml:space="preserve">SULFATO DE CLOROQUINA </t>
  </si>
  <si>
    <t xml:space="preserve">SULFATO DE CEFPIROMA </t>
  </si>
  <si>
    <t xml:space="preserve">SULFATO DE CAPREOMICINA </t>
  </si>
  <si>
    <t xml:space="preserve">SULFATO DE BLEOMICINA </t>
  </si>
  <si>
    <t xml:space="preserve">SULFATO DE BÁRIO </t>
  </si>
  <si>
    <t xml:space="preserve">SULFATO DE BAMETANA </t>
  </si>
  <si>
    <t>SULFATO DE ATROPINA (QUANDO DESTINADO À FORMULAÇÃO INJETÁVEL)</t>
  </si>
  <si>
    <t xml:space="preserve">SULFATO DE ATAZANAVIR </t>
  </si>
  <si>
    <t xml:space="preserve">SULFATO DE ARBECACINA </t>
  </si>
  <si>
    <t xml:space="preserve">SULFATO DE AMICACINA </t>
  </si>
  <si>
    <t xml:space="preserve">SULFATO DE ABACAVIR </t>
  </si>
  <si>
    <t xml:space="preserve">SULFASSALAZINA </t>
  </si>
  <si>
    <t xml:space="preserve">SULFADIAZINA DE PRATA </t>
  </si>
  <si>
    <t xml:space="preserve">SULFADIAZINA </t>
  </si>
  <si>
    <t xml:space="preserve">SULFACETAMIDA </t>
  </si>
  <si>
    <t xml:space="preserve">SUCCINATO SÓDICO DE METILPREDNISOLONA </t>
  </si>
  <si>
    <t xml:space="preserve">SUCCINATO SÓDICO DE HIDROCORTISONA </t>
  </si>
  <si>
    <t xml:space="preserve">SUCCINATO SÓDICO DE CLORANFENICOL </t>
  </si>
  <si>
    <t xml:space="preserve">SUCCINATO DE SUMATRIPTANA </t>
  </si>
  <si>
    <t xml:space="preserve">SUCCINATO DE METOPROLOL </t>
  </si>
  <si>
    <t>SUCCINATO DE LOXAPINA (Incluído pelo Decreto nº 8.271, de 2014)</t>
  </si>
  <si>
    <t>931 - A</t>
  </si>
  <si>
    <t xml:space="preserve">SUCCINATO DE ESTRIOL </t>
  </si>
  <si>
    <t>SUCCINATO DE DESVENLAFAXINA (Incluído pelo Decreto nº 8.271, de 2014)</t>
  </si>
  <si>
    <t>930 - A</t>
  </si>
  <si>
    <t xml:space="preserve">SUBNITRATO DE BISMUTO </t>
  </si>
  <si>
    <t xml:space="preserve">SUBCITRATO DE BISMUTO COLOIDAL </t>
  </si>
  <si>
    <t xml:space="preserve">SORO PARA O CONTATO COM A LAGARTA DO TIPO LOMONIA </t>
  </si>
  <si>
    <t xml:space="preserve">SORO CONTRA LATRODECTUS CURACAVIENSIS </t>
  </si>
  <si>
    <t xml:space="preserve">SORO ANTITETÂNICO </t>
  </si>
  <si>
    <t xml:space="preserve">SORO ANTI-S </t>
  </si>
  <si>
    <t xml:space="preserve">SORO ANTI-RH (ANTI-E) </t>
  </si>
  <si>
    <t xml:space="preserve">SORO ANTI-RH (ANTI-D) </t>
  </si>
  <si>
    <t xml:space="preserve">SORO ANTI-RH (ANTI-C) </t>
  </si>
  <si>
    <t xml:space="preserve">SORO ANTI-RÁBICO/HUMANO </t>
  </si>
  <si>
    <t xml:space="preserve">SORO ANTI-LEANTI LEWISA ORTHO </t>
  </si>
  <si>
    <t xml:space="preserve">SORO ANTI-FYA ANTI-DUFFY </t>
  </si>
  <si>
    <t xml:space="preserve">SORO ANTI-ESCORPIÔNICO </t>
  </si>
  <si>
    <t xml:space="preserve">SORO ANTIELAPÍDICO </t>
  </si>
  <si>
    <t xml:space="preserve">SORO ANTIDIFTÉRICO </t>
  </si>
  <si>
    <t xml:space="preserve">SORO ANTICROTÁLICO </t>
  </si>
  <si>
    <t xml:space="preserve">SORO ANTICELLANO (ANTI-K) </t>
  </si>
  <si>
    <t xml:space="preserve">SORO ANTIBOTRÓPICO </t>
  </si>
  <si>
    <t xml:space="preserve">SORO ANTI-B </t>
  </si>
  <si>
    <t xml:space="preserve">SORO ANTI-AB (O) </t>
  </si>
  <si>
    <t xml:space="preserve">SORO ANTI-A </t>
  </si>
  <si>
    <t xml:space="preserve">SOMATROPINA </t>
  </si>
  <si>
    <t xml:space="preserve">SOMATOSTATINA </t>
  </si>
  <si>
    <t>SITAXSENTANA SÓDICA (Incluído pelo Decreto nº 8.271, de 2014)</t>
  </si>
  <si>
    <t>907 - A</t>
  </si>
  <si>
    <t xml:space="preserve">SIROLIMO </t>
  </si>
  <si>
    <t>SIPULEUCEL-T (Incluído pelo Decreto nº 8.271, de 2014)</t>
  </si>
  <si>
    <t>906 - A</t>
  </si>
  <si>
    <t xml:space="preserve">SINVASTATINA </t>
  </si>
  <si>
    <t xml:space="preserve">SEVOFLURANO </t>
  </si>
  <si>
    <t>SERTINDOL (Incluído pelo Decreto nº 8.271, de 2014)</t>
  </si>
  <si>
    <t>904 - A</t>
  </si>
  <si>
    <t xml:space="preserve">SELEGILINA </t>
  </si>
  <si>
    <t>SAXAGLIPTINA  (Incluído pelo Decreto nº 8.271, de 2014)</t>
  </si>
  <si>
    <t>903 - A</t>
  </si>
  <si>
    <t xml:space="preserve">SAQUINAVIR </t>
  </si>
  <si>
    <t xml:space="preserve">SALMETEROL </t>
  </si>
  <si>
    <t xml:space="preserve">SALBUTAMOL </t>
  </si>
  <si>
    <t>SACARATO DE HIDRÓXIDO FÉRRICO (ENDOVENOSO)</t>
  </si>
  <si>
    <t xml:space="preserve">ROXITROMICINA </t>
  </si>
  <si>
    <t xml:space="preserve">ROSUVASTATINA CÁLCICA </t>
  </si>
  <si>
    <t xml:space="preserve">ROSOXACINO </t>
  </si>
  <si>
    <t xml:space="preserve">ROFECOXIBE </t>
  </si>
  <si>
    <t xml:space="preserve">RIVASTIGMINA </t>
  </si>
  <si>
    <t>RIVAROXABANA (Incluído pelo Decreto nº 8.271, de 2014)</t>
  </si>
  <si>
    <t>894 - A</t>
  </si>
  <si>
    <t xml:space="preserve">RITUXIMABE </t>
  </si>
  <si>
    <t xml:space="preserve">RITONAVIR </t>
  </si>
  <si>
    <t xml:space="preserve">RISPERIDONA </t>
  </si>
  <si>
    <t xml:space="preserve">RISEDRONATO SÓDICO </t>
  </si>
  <si>
    <t xml:space="preserve">RILUZOL </t>
  </si>
  <si>
    <t xml:space="preserve">RIFAMPICINA </t>
  </si>
  <si>
    <t xml:space="preserve">RIFAMIDA </t>
  </si>
  <si>
    <t xml:space="preserve">RIFAMICINA SV SÓDICA </t>
  </si>
  <si>
    <t xml:space="preserve">RIBAVIRINA </t>
  </si>
  <si>
    <t xml:space="preserve">RETEPLASE </t>
  </si>
  <si>
    <t xml:space="preserve">RESERPINA </t>
  </si>
  <si>
    <t xml:space="preserve">REPAGLINIDA </t>
  </si>
  <si>
    <t xml:space="preserve">RASBURICASE </t>
  </si>
  <si>
    <t xml:space="preserve">RANELATO DE ESTRÔNCIO </t>
  </si>
  <si>
    <t xml:space="preserve">RAMIPRIL </t>
  </si>
  <si>
    <t xml:space="preserve">RANIBIZUMABE </t>
  </si>
  <si>
    <t xml:space="preserve">RALTITREXEDE </t>
  </si>
  <si>
    <t>RALTEGRAVIR (Incluído pelo Decreto nº 8.271, de 2014)</t>
  </si>
  <si>
    <t>877 - A</t>
  </si>
  <si>
    <t xml:space="preserve">RABEPRAZOL SÓDICO </t>
  </si>
  <si>
    <t xml:space="preserve">QUININA </t>
  </si>
  <si>
    <t xml:space="preserve">QUINAGOLIDA </t>
  </si>
  <si>
    <t>PROTRIPLINA (Incluído pelo Decreto nº 8.271, de 2014)</t>
  </si>
  <si>
    <t>874 - A</t>
  </si>
  <si>
    <t xml:space="preserve">PROTIRRELINA </t>
  </si>
  <si>
    <t xml:space="preserve">PROTIONAMIDA </t>
  </si>
  <si>
    <t xml:space="preserve">PROPOFOL </t>
  </si>
  <si>
    <t xml:space="preserve">PROPIONATO DE FLUTICASONA </t>
  </si>
  <si>
    <t xml:space="preserve">PROPIONATO DE CLOBETASOL </t>
  </si>
  <si>
    <t xml:space="preserve">PROPILTIOURACILA </t>
  </si>
  <si>
    <t xml:space="preserve">PROPATILNITRATO </t>
  </si>
  <si>
    <t xml:space="preserve">PROMESTRIENO </t>
  </si>
  <si>
    <t xml:space="preserve">PROGESTERONA </t>
  </si>
  <si>
    <t xml:space="preserve">PROCAÍNA </t>
  </si>
  <si>
    <t xml:space="preserve">PROBUCOL </t>
  </si>
  <si>
    <t xml:space="preserve">PRIMIDONA </t>
  </si>
  <si>
    <t xml:space="preserve">PRIMAQUINA </t>
  </si>
  <si>
    <t xml:space="preserve">PREGABALINA </t>
  </si>
  <si>
    <t xml:space="preserve">PREDNISONA </t>
  </si>
  <si>
    <t xml:space="preserve">PREDNISOLONA </t>
  </si>
  <si>
    <t xml:space="preserve">PRAZIQUANTEL </t>
  </si>
  <si>
    <t xml:space="preserve">PRAVASTATINA SÓDICA </t>
  </si>
  <si>
    <t>PRASUGREL (Incluído pelo Decreto nº 8.271, de 2014)</t>
  </si>
  <si>
    <t>856 - A</t>
  </si>
  <si>
    <t xml:space="preserve">PRANOPROFENO </t>
  </si>
  <si>
    <t>POSOCONAZOL (Incluído pelo Decreto nº 8.271, de 2014)</t>
  </si>
  <si>
    <t>855 - B</t>
  </si>
  <si>
    <t>PLERIXAFOR (Incluído pelo Decreto nº 8.271, de 2014)</t>
  </si>
  <si>
    <t>855 - A</t>
  </si>
  <si>
    <t xml:space="preserve">PLAQUETAS </t>
  </si>
  <si>
    <t>PIXANTRONA (Incluído pelo Decreto nº 8.271, de 2014)</t>
  </si>
  <si>
    <t>854 - B</t>
  </si>
  <si>
    <t>PIRVÍNIO (Incluído pelo Decreto nº 8.271, de 2014)</t>
  </si>
  <si>
    <t>854 - A</t>
  </si>
  <si>
    <t xml:space="preserve">PIROXICAM BETACICLODEXTRINA </t>
  </si>
  <si>
    <t xml:space="preserve">PIROXICAM </t>
  </si>
  <si>
    <t xml:space="preserve">PIRIMETAMINA </t>
  </si>
  <si>
    <t xml:space="preserve">PIRIBEDIL </t>
  </si>
  <si>
    <t>PIRFENIDONA (Incluído pelo Decreto nº 8.271, de 2014)</t>
  </si>
  <si>
    <t>850 - A</t>
  </si>
  <si>
    <t xml:space="preserve">PIRETANIDA </t>
  </si>
  <si>
    <t xml:space="preserve">PIRAZINAMIDA </t>
  </si>
  <si>
    <t xml:space="preserve">PIRACETAM </t>
  </si>
  <si>
    <t xml:space="preserve">PIPOTIAZINA </t>
  </si>
  <si>
    <t xml:space="preserve">PIOGLITAZONA </t>
  </si>
  <si>
    <t xml:space="preserve">PINDOLOL </t>
  </si>
  <si>
    <t xml:space="preserve">PIMOZIDA </t>
  </si>
  <si>
    <t xml:space="preserve">PIMETIXENO </t>
  </si>
  <si>
    <t>PIMECROLIMO (Incluído pelo Decreto nº 8.271, de 2014)</t>
  </si>
  <si>
    <t>842 - B</t>
  </si>
  <si>
    <t>PERTUZUMABE (Incluído pelo Decreto nº 8.271, de 2014)</t>
  </si>
  <si>
    <t>842 - A</t>
  </si>
  <si>
    <t xml:space="preserve">PERINDOPRIL ERBUMINA </t>
  </si>
  <si>
    <t xml:space="preserve">PERINDOPRIL </t>
  </si>
  <si>
    <t xml:space="preserve">PERICIAZINA </t>
  </si>
  <si>
    <t xml:space="preserve">PENTOXIFILINA </t>
  </si>
  <si>
    <t xml:space="preserve">PENICILAMINA </t>
  </si>
  <si>
    <t xml:space="preserve">PENFLURIDOL </t>
  </si>
  <si>
    <t xml:space="preserve">PEMETREXEDE DISSÓDICO </t>
  </si>
  <si>
    <t xml:space="preserve">PEMETREXEDE </t>
  </si>
  <si>
    <t xml:space="preserve">PEGVISOMANTO </t>
  </si>
  <si>
    <t xml:space="preserve">PEGFILGRASTIM </t>
  </si>
  <si>
    <t xml:space="preserve">PEGAPTANIBE OCTASSÓDICO </t>
  </si>
  <si>
    <t xml:space="preserve">PEFLOXACINO </t>
  </si>
  <si>
    <t xml:space="preserve">PARICALCITOL </t>
  </si>
  <si>
    <t xml:space="preserve">PARECOXIBE </t>
  </si>
  <si>
    <t xml:space="preserve">PANTOPRAZOL SÓDICO SESQUIIDRATADO </t>
  </si>
  <si>
    <t xml:space="preserve">PANTOPRAZOL </t>
  </si>
  <si>
    <t xml:space="preserve">PAMIDRONATO DISSÓDICO </t>
  </si>
  <si>
    <t xml:space="preserve">PALMITATO DE PIPOTIAZINA </t>
  </si>
  <si>
    <t xml:space="preserve">PALMITATO DE COLFOSCERILA </t>
  </si>
  <si>
    <t xml:space="preserve">PALMITATO DE CLORANFENICOL </t>
  </si>
  <si>
    <t xml:space="preserve">PALIVIZUMABE </t>
  </si>
  <si>
    <t>PALIPERIDONA (Incluído pelo Decreto nº 8.271, de 2014)</t>
  </si>
  <si>
    <t>821 - B</t>
  </si>
  <si>
    <t>PALIFERMINA (Incluído pelo Decreto nº 8.271, de 2014)</t>
  </si>
  <si>
    <t>821 - A</t>
  </si>
  <si>
    <t xml:space="preserve">PACLITAXEL </t>
  </si>
  <si>
    <t xml:space="preserve">OXIMETOLONA </t>
  </si>
  <si>
    <t xml:space="preserve">ÓXIDO DE FERRO PARAMAGNÉTICO </t>
  </si>
  <si>
    <t xml:space="preserve">OXIBUPROCAÍNA </t>
  </si>
  <si>
    <t xml:space="preserve">OXCARBAZEPINA </t>
  </si>
  <si>
    <t xml:space="preserve">OXAMNIQUINA </t>
  </si>
  <si>
    <t xml:space="preserve">OXALIPLATINA </t>
  </si>
  <si>
    <t xml:space="preserve">OXALATO DE ESCITALOPRAM </t>
  </si>
  <si>
    <t xml:space="preserve">OXACILINA SÓDICA </t>
  </si>
  <si>
    <t xml:space="preserve">OPRELVECINA </t>
  </si>
  <si>
    <t xml:space="preserve">OMEPRAZOL MAGNÉSICO </t>
  </si>
  <si>
    <t xml:space="preserve">OMEPRAZOL </t>
  </si>
  <si>
    <t xml:space="preserve">OMALIZUMABE </t>
  </si>
  <si>
    <t xml:space="preserve">OLMESARTANA MEDOXOMILA </t>
  </si>
  <si>
    <t xml:space="preserve">OLEATO DE MONOETANOLAMINA </t>
  </si>
  <si>
    <t xml:space="preserve">OLANZAPINA </t>
  </si>
  <si>
    <t xml:space="preserve">OFLOXACINO </t>
  </si>
  <si>
    <t xml:space="preserve">OCTREOTIDA </t>
  </si>
  <si>
    <t xml:space="preserve">OCITOCINA </t>
  </si>
  <si>
    <t xml:space="preserve">NORFLOXACINO </t>
  </si>
  <si>
    <t xml:space="preserve">NORETISTERONA </t>
  </si>
  <si>
    <t xml:space="preserve">NONOXINOL </t>
  </si>
  <si>
    <t xml:space="preserve">NIZATIDINA </t>
  </si>
  <si>
    <t xml:space="preserve">NITROPRUSSETO DE SÓDIO </t>
  </si>
  <si>
    <t xml:space="preserve">NITROGLICERINA </t>
  </si>
  <si>
    <t xml:space="preserve">NITROFURANTOÍNA </t>
  </si>
  <si>
    <t xml:space="preserve">NITRENDIPINO </t>
  </si>
  <si>
    <t xml:space="preserve">NITRAZEPAM </t>
  </si>
  <si>
    <t xml:space="preserve">NITRATO DE MICONAZOL </t>
  </si>
  <si>
    <t xml:space="preserve">NISTATINA </t>
  </si>
  <si>
    <t xml:space="preserve">NISOLDIPINO </t>
  </si>
  <si>
    <t>NIMOTUZUMABE (Incluído pelo Decreto nº 8.271, de 2014)</t>
  </si>
  <si>
    <t>790 - B</t>
  </si>
  <si>
    <t>NIMORAZOL (Incluído pelo Decreto nº 8.271, de 2014)</t>
  </si>
  <si>
    <t>790 - A</t>
  </si>
  <si>
    <t xml:space="preserve">NIMODIPINO </t>
  </si>
  <si>
    <t xml:space="preserve">NIMESULIDA BETACICLODEXTRINA </t>
  </si>
  <si>
    <t xml:space="preserve">NIMESULIDA </t>
  </si>
  <si>
    <t xml:space="preserve">NILUTAMIDA </t>
  </si>
  <si>
    <t>NILOTINIBE (Incluído pelo Decreto nº 8.271, de 2014)</t>
  </si>
  <si>
    <t>786 - A</t>
  </si>
  <si>
    <t xml:space="preserve">NIFURTIMOX </t>
  </si>
  <si>
    <t xml:space="preserve">NIFEDIPINO </t>
  </si>
  <si>
    <t>NICOTINA (APRESENTADA EM ADESIVO TRANSDÉRMICO)</t>
  </si>
  <si>
    <t>NICLOSAMIDA (Incluído pelo Decreto nº 8.271, de 2014)</t>
  </si>
  <si>
    <t>783 - A</t>
  </si>
  <si>
    <t xml:space="preserve">NICERGOLINA </t>
  </si>
  <si>
    <t xml:space="preserve">NEVIRAPINA </t>
  </si>
  <si>
    <t xml:space="preserve">NESIRITIDA </t>
  </si>
  <si>
    <t xml:space="preserve">NEPAFENACO </t>
  </si>
  <si>
    <t xml:space="preserve">NEDOCROMILA DISSÓDICA </t>
  </si>
  <si>
    <t xml:space="preserve">NATEGLINIDA </t>
  </si>
  <si>
    <t>NATALIZUMABE (Incluído pelo Decreto nº 8.271, de 2014)</t>
  </si>
  <si>
    <t>777 - B</t>
  </si>
  <si>
    <t>NAPROXINODE  (Incluído pelo Decreto nº 8.271, de 2014)</t>
  </si>
  <si>
    <t>777 - A</t>
  </si>
  <si>
    <t xml:space="preserve">NAPROXENO SÓDICO </t>
  </si>
  <si>
    <t xml:space="preserve">NAPROXENO </t>
  </si>
  <si>
    <t xml:space="preserve">NAFTIDROFURILA </t>
  </si>
  <si>
    <t xml:space="preserve">NADROPARINA CÁLCICA </t>
  </si>
  <si>
    <t xml:space="preserve">NADOLOL </t>
  </si>
  <si>
    <t xml:space="preserve">NABUMETONA </t>
  </si>
  <si>
    <t xml:space="preserve">MUROMONABE CD3 </t>
  </si>
  <si>
    <t xml:space="preserve">MURAGLITAZAR </t>
  </si>
  <si>
    <t xml:space="preserve">MOXONIDINA </t>
  </si>
  <si>
    <t xml:space="preserve">MOXIFLOXACINO </t>
  </si>
  <si>
    <t xml:space="preserve">MONTELUCASTE DE SÓDIO </t>
  </si>
  <si>
    <t xml:space="preserve">MONONITRATO DE ISOSSORBIDA </t>
  </si>
  <si>
    <t xml:space="preserve">MOLGRAMOSTIM </t>
  </si>
  <si>
    <t xml:space="preserve">MODAFINILA </t>
  </si>
  <si>
    <t xml:space="preserve">MOCLOBEMIDA </t>
  </si>
  <si>
    <t xml:space="preserve">MITOTANO </t>
  </si>
  <si>
    <t xml:space="preserve">MITOMICINA </t>
  </si>
  <si>
    <t xml:space="preserve">MISOPROSTOL </t>
  </si>
  <si>
    <t xml:space="preserve">MIRTAZAPINA </t>
  </si>
  <si>
    <t>MINOXIDIL (EXCETO QUANDO DESTINADO EM FORMULAÇÕES PARA TRATAMENTO DA ALOPÉCIA)</t>
  </si>
  <si>
    <t xml:space="preserve">MILTEFOSINA </t>
  </si>
  <si>
    <t xml:space="preserve">MIGLUSTATE </t>
  </si>
  <si>
    <t xml:space="preserve">MIDECAMICINA </t>
  </si>
  <si>
    <t xml:space="preserve">MIDAZOLAM </t>
  </si>
  <si>
    <t xml:space="preserve">MICONAZOL </t>
  </si>
  <si>
    <t xml:space="preserve">MICOFENOLATO DE SÓDIO </t>
  </si>
  <si>
    <t xml:space="preserve">MICOFENOLATO DE MOFETILA </t>
  </si>
  <si>
    <t xml:space="preserve">MIANSERINA </t>
  </si>
  <si>
    <t xml:space="preserve">METRONIDAZOL </t>
  </si>
  <si>
    <t xml:space="preserve">METRIZOATO DE MEGLUMINA </t>
  </si>
  <si>
    <t xml:space="preserve">METOXISALENO </t>
  </si>
  <si>
    <t xml:space="preserve">METOTREXATO DE SÓDIO </t>
  </si>
  <si>
    <t xml:space="preserve">METOTREXATO </t>
  </si>
  <si>
    <t xml:space="preserve">METIPRANOLOL </t>
  </si>
  <si>
    <t xml:space="preserve">METILSULFATO DE PRALIDOXIMA </t>
  </si>
  <si>
    <t xml:space="preserve">METILSULFATO DE NEOSTIGMINA </t>
  </si>
  <si>
    <t xml:space="preserve">METILDOPA </t>
  </si>
  <si>
    <t xml:space="preserve">METILDIGOXINA </t>
  </si>
  <si>
    <t xml:space="preserve">METFORMINA </t>
  </si>
  <si>
    <t>MESTEROLONA (Incluído pelo Decreto nº 8.271, de 2014)</t>
  </si>
  <si>
    <t>738 - A</t>
  </si>
  <si>
    <t xml:space="preserve">MESNA </t>
  </si>
  <si>
    <t xml:space="preserve">MESILATO DE ZIPRASIDONA </t>
  </si>
  <si>
    <t xml:space="preserve">MESILATO DE SAQUINAVIR </t>
  </si>
  <si>
    <t xml:space="preserve">MESILATO DE REBOXETINA </t>
  </si>
  <si>
    <t xml:space="preserve">MESILATO DE PRALIDOXIMA </t>
  </si>
  <si>
    <t xml:space="preserve">MESILATO DE PERGOLIDA </t>
  </si>
  <si>
    <t xml:space="preserve">MESILATO DE PEFLOXACINO </t>
  </si>
  <si>
    <t xml:space="preserve">MESILATO DE NELFINAVIR </t>
  </si>
  <si>
    <t xml:space="preserve">MESILATO DE IMATINIBE </t>
  </si>
  <si>
    <t xml:space="preserve">MESILATO DE GEMIFLOXACINO </t>
  </si>
  <si>
    <t xml:space="preserve">MESILATO DE EPROSARTANA </t>
  </si>
  <si>
    <t xml:space="preserve">MESILATO DE DOXAZOSINA </t>
  </si>
  <si>
    <t xml:space="preserve">MESILATO DE DOLASETRONA </t>
  </si>
  <si>
    <t xml:space="preserve">MESILATO DE DIIDROERGOCRISTINA </t>
  </si>
  <si>
    <t xml:space="preserve">MESILATO DE DESFERROXAMINA </t>
  </si>
  <si>
    <t xml:space="preserve">MESILATO DE DELAVIRDINA </t>
  </si>
  <si>
    <t xml:space="preserve">MESILATO DE CODERGOCRINA </t>
  </si>
  <si>
    <t xml:space="preserve">MESILATO DE BROMOCRIPTINA </t>
  </si>
  <si>
    <t xml:space="preserve">MESALAZINA </t>
  </si>
  <si>
    <t xml:space="preserve">MEROPENÉM </t>
  </si>
  <si>
    <t xml:space="preserve">MERCAPTOPURINA </t>
  </si>
  <si>
    <t>MEPESUCCINATO DE OMACETAXINA (Incluído pelo Decreto nº 8.271, de 2014)</t>
  </si>
  <si>
    <t>717 - A</t>
  </si>
  <si>
    <t xml:space="preserve">MENOTROPINA </t>
  </si>
  <si>
    <t xml:space="preserve">MEMANTINA </t>
  </si>
  <si>
    <t xml:space="preserve">MELOXICAM </t>
  </si>
  <si>
    <t xml:space="preserve">MELFALANA </t>
  </si>
  <si>
    <t xml:space="preserve">MELAGATRANA </t>
  </si>
  <si>
    <t xml:space="preserve">MEBENDAZOL </t>
  </si>
  <si>
    <t xml:space="preserve">MARAVIROC </t>
  </si>
  <si>
    <t xml:space="preserve">MANIDIPINO </t>
  </si>
  <si>
    <t xml:space="preserve">MANGAFODIPIR TRISSÓDICO </t>
  </si>
  <si>
    <t xml:space="preserve">MALEATO DE TIMOLOL </t>
  </si>
  <si>
    <t xml:space="preserve">MALEATO DE ROSIGLITAZONA </t>
  </si>
  <si>
    <t xml:space="preserve">MALEATO DE PIMETIXENO </t>
  </si>
  <si>
    <t xml:space="preserve">MALEATO DE MIDAZOLAM </t>
  </si>
  <si>
    <t xml:space="preserve">MALEATO DE METILERGOMETRINA </t>
  </si>
  <si>
    <t xml:space="preserve">MALEATO DE LISURIDA </t>
  </si>
  <si>
    <t xml:space="preserve">MALEATO DE LEVOMEPROMAZINA </t>
  </si>
  <si>
    <t>MALEATO DE INDACATEROL(Incluído pelo Decreto nº 8.271, de 2014)</t>
  </si>
  <si>
    <t>700 - A</t>
  </si>
  <si>
    <t xml:space="preserve">MALEATO DE FLUVOXAMINA </t>
  </si>
  <si>
    <t>MALEATO DE ERGOMETRINA (Incluído pelo Decreto nº 8.271, de 2014)</t>
  </si>
  <si>
    <t>699 - A</t>
  </si>
  <si>
    <t xml:space="preserve">MALEATO DE ENALAPRIL </t>
  </si>
  <si>
    <t>MALEATO DE ASENAPINA (Incluído pelo Decreto nº 8.271, de 2014)</t>
  </si>
  <si>
    <t>698 - A</t>
  </si>
  <si>
    <t xml:space="preserve">MALATO DE SUNITINIBE </t>
  </si>
  <si>
    <t xml:space="preserve">LUMIRACOXIBE </t>
  </si>
  <si>
    <t>LUCINACTANTO (Incluído pelo Decreto nº 8.271, de 2014)</t>
  </si>
  <si>
    <t>696 - A</t>
  </si>
  <si>
    <t xml:space="preserve">LOXOPROFENO SÓDICO </t>
  </si>
  <si>
    <t xml:space="preserve">LOVASTATINA </t>
  </si>
  <si>
    <t xml:space="preserve">LOSARTANA POTÁSSICA </t>
  </si>
  <si>
    <t xml:space="preserve">LOSARTANA </t>
  </si>
  <si>
    <t xml:space="preserve">LORNOXICAM </t>
  </si>
  <si>
    <t xml:space="preserve">LORAZEPAM </t>
  </si>
  <si>
    <t xml:space="preserve">LOPINAVIR </t>
  </si>
  <si>
    <t xml:space="preserve">LOMUSTINA </t>
  </si>
  <si>
    <t xml:space="preserve">LODOXAMIDA </t>
  </si>
  <si>
    <t xml:space="preserve">LISINOPRIL </t>
  </si>
  <si>
    <t xml:space="preserve">LISINATO DE CETOPROFENO </t>
  </si>
  <si>
    <t xml:space="preserve">LISADO BACTERIANO </t>
  </si>
  <si>
    <t xml:space="preserve">LIOTIRONINA SÓDICA </t>
  </si>
  <si>
    <t xml:space="preserve">LIOTIRONINA  </t>
  </si>
  <si>
    <t xml:space="preserve">LINEZOLIDA </t>
  </si>
  <si>
    <t xml:space="preserve">LINESTRENOL </t>
  </si>
  <si>
    <t xml:space="preserve">LIMECICLINA </t>
  </si>
  <si>
    <t xml:space="preserve">LIDOCAÍNA </t>
  </si>
  <si>
    <t xml:space="preserve">LEVULINATO DE METILA </t>
  </si>
  <si>
    <t xml:space="preserve">LEVOTIROXINA SÓDICA </t>
  </si>
  <si>
    <t xml:space="preserve">LEVOSIMENDANA </t>
  </si>
  <si>
    <t xml:space="preserve">LEVONORGESTREL </t>
  </si>
  <si>
    <t xml:space="preserve">LEVOFOLINATO DE CÁLCIO </t>
  </si>
  <si>
    <t xml:space="preserve">LEVOFLOXACINO </t>
  </si>
  <si>
    <t xml:space="preserve">LETROZOL </t>
  </si>
  <si>
    <t xml:space="preserve">LENOGRASTIM </t>
  </si>
  <si>
    <t xml:space="preserve">LEFLUNOMIDA </t>
  </si>
  <si>
    <t xml:space="preserve">LAURILSULFATO SÓDICO DE MEPARTRICINA </t>
  </si>
  <si>
    <t xml:space="preserve">LATANOPROSTA </t>
  </si>
  <si>
    <t>LAROTAXEL (Incluído pelo Decreto nº 8.271, de 2014)</t>
  </si>
  <si>
    <t>667 - A</t>
  </si>
  <si>
    <t xml:space="preserve">LARONIDASE </t>
  </si>
  <si>
    <t>LAROMUSTINA (Incluído pelo Decreto nº 8.271, de 2014)</t>
  </si>
  <si>
    <t>666 - A</t>
  </si>
  <si>
    <t xml:space="preserve">LAPACHOL </t>
  </si>
  <si>
    <t xml:space="preserve">LANSOPRAZOL </t>
  </si>
  <si>
    <t xml:space="preserve">LAMOTRIGINA </t>
  </si>
  <si>
    <t xml:space="preserve">LAMIVUDINA </t>
  </si>
  <si>
    <t xml:space="preserve">LACTATO DE MILRINONA </t>
  </si>
  <si>
    <t xml:space="preserve">LACTATO DE CIPROFLOXACINO </t>
  </si>
  <si>
    <t xml:space="preserve">LACTATO DE BIPERIDENO </t>
  </si>
  <si>
    <t xml:space="preserve">LACTATO DE ANRINONA </t>
  </si>
  <si>
    <t xml:space="preserve">LACIDIPINO </t>
  </si>
  <si>
    <t>IXABEPILONA (Incluído pelo Decreto nº 8.271, de 2014)</t>
  </si>
  <si>
    <t>657 - A</t>
  </si>
  <si>
    <t xml:space="preserve">IVERMECTINA </t>
  </si>
  <si>
    <t xml:space="preserve">ITRACONAZOL </t>
  </si>
  <si>
    <t xml:space="preserve">ISRADIPINO </t>
  </si>
  <si>
    <t xml:space="preserve">ISOTRETINOÍNA </t>
  </si>
  <si>
    <t xml:space="preserve">ISONIAZIDA </t>
  </si>
  <si>
    <t xml:space="preserve">ISOFLURANO </t>
  </si>
  <si>
    <t xml:space="preserve">ISETIONATO DE PENTAMIDINA </t>
  </si>
  <si>
    <t xml:space="preserve">IRBESARTANA </t>
  </si>
  <si>
    <t xml:space="preserve">IPRIFLAVONA </t>
  </si>
  <si>
    <t>IPILIMUMABE (Incluído pelo Decreto nº 8.271, de 2014)</t>
  </si>
  <si>
    <t>648 - A</t>
  </si>
  <si>
    <t xml:space="preserve">IOXITALAMATO DE MEGLUMINA </t>
  </si>
  <si>
    <t xml:space="preserve">IOXILANA </t>
  </si>
  <si>
    <t xml:space="preserve">IOVERSOL </t>
  </si>
  <si>
    <t xml:space="preserve">IOTALAMATO DE MEGLUMINA </t>
  </si>
  <si>
    <t xml:space="preserve">IOPROMIDA </t>
  </si>
  <si>
    <t xml:space="preserve">IOPAMIDOL </t>
  </si>
  <si>
    <t xml:space="preserve">IOGLICAMATO DE MEGLUMINA </t>
  </si>
  <si>
    <t xml:space="preserve">IOEXOL </t>
  </si>
  <si>
    <t xml:space="preserve">IODOPOVIDONA </t>
  </si>
  <si>
    <t xml:space="preserve">IODIXANOL </t>
  </si>
  <si>
    <t xml:space="preserve">IODAMIDA MEGLUMINA </t>
  </si>
  <si>
    <t xml:space="preserve">IOBITRIDOL </t>
  </si>
  <si>
    <t xml:space="preserve">INTERLEUCINA 2 </t>
  </si>
  <si>
    <t xml:space="preserve">INTERFERONA HUMANO DE FIBROBLASTOS </t>
  </si>
  <si>
    <t xml:space="preserve">INSULINA SUÍNA </t>
  </si>
  <si>
    <t xml:space="preserve">INSULINA MISTA </t>
  </si>
  <si>
    <t xml:space="preserve">INSULINA LISPRO </t>
  </si>
  <si>
    <t xml:space="preserve">INSULINA ISOFANA </t>
  </si>
  <si>
    <t xml:space="preserve">INSULINA HUMANA </t>
  </si>
  <si>
    <t xml:space="preserve">INSULINA GLULISINA </t>
  </si>
  <si>
    <t xml:space="preserve">INSULINA GLARGINA </t>
  </si>
  <si>
    <t xml:space="preserve">INSULINA DETEMIR </t>
  </si>
  <si>
    <t xml:space="preserve">INSULINA BOVINA </t>
  </si>
  <si>
    <t xml:space="preserve">INSULINA BIFÁSICA </t>
  </si>
  <si>
    <t xml:space="preserve">INSULINA ASPARTE </t>
  </si>
  <si>
    <t xml:space="preserve">INIBIDOR DA ALFA-1 PROTEINASE </t>
  </si>
  <si>
    <t xml:space="preserve">INFLIXIMABE </t>
  </si>
  <si>
    <t xml:space="preserve">INDOMETACINA </t>
  </si>
  <si>
    <t xml:space="preserve">INDIPLON </t>
  </si>
  <si>
    <t xml:space="preserve">INDAPAMIDA </t>
  </si>
  <si>
    <t xml:space="preserve">IMUNOGLOBULINA LINFOCITÁRIA ANTITIMOCÍTICA DE ORIGEM EQUINA </t>
  </si>
  <si>
    <t xml:space="preserve">IMUNOGLOBULINA HUMANA </t>
  </si>
  <si>
    <t xml:space="preserve">IMUNOGLOBULINA G </t>
  </si>
  <si>
    <t xml:space="preserve">IMUNOGLOBULINA DE COELHO ANTITIMÓCITOS HUMANOS </t>
  </si>
  <si>
    <t xml:space="preserve">IMUNOGLOBULINA CONTRA VARICELA-ZOSTER </t>
  </si>
  <si>
    <t xml:space="preserve">IMUNOGLOBULINA CONTRA HEPATITE B </t>
  </si>
  <si>
    <t xml:space="preserve">IMUNOGLOBULINA ANTITIMÓCITO </t>
  </si>
  <si>
    <t xml:space="preserve">IMUNOGLOBULINA ANTITETÂNICA </t>
  </si>
  <si>
    <t xml:space="preserve">IMUNOGLOBULINA ANTI-RHO(D) </t>
  </si>
  <si>
    <t xml:space="preserve">IMUNOGLOBULINA ANTI-CITOMEGALOVÍRUS  </t>
  </si>
  <si>
    <t xml:space="preserve">IMUNOCIANINA </t>
  </si>
  <si>
    <t>IMIQUIMODE (Incluído pelo Decreto nº 8.271, de 2014)</t>
  </si>
  <si>
    <t>607 - B</t>
  </si>
  <si>
    <t>IMIPRAMINA (Incluído pelo Decreto nº 8.271, de 2014)</t>
  </si>
  <si>
    <t>607 - A</t>
  </si>
  <si>
    <t xml:space="preserve">IMIGLUCERASE </t>
  </si>
  <si>
    <t xml:space="preserve">ILOPROSTA </t>
  </si>
  <si>
    <t xml:space="preserve">IFOSFAMIDA </t>
  </si>
  <si>
    <t xml:space="preserve">IBUPROFENO </t>
  </si>
  <si>
    <t xml:space="preserve">IBOPAMINA </t>
  </si>
  <si>
    <t xml:space="preserve">IBANDRONATO SÓDICO </t>
  </si>
  <si>
    <t xml:space="preserve">HORMÔNIO LUTEINIZANTE </t>
  </si>
  <si>
    <t xml:space="preserve">HORMÔNIO FOLÍCULO ESTIMULANTE </t>
  </si>
  <si>
    <t xml:space="preserve">HIDROXIURÉIA </t>
  </si>
  <si>
    <t>HIDROMORFONA (Incluído pelo Decreto nº 8.271, de 2014)</t>
  </si>
  <si>
    <t>598 - B</t>
  </si>
  <si>
    <t>HIDROGENOTARTARATO DE RIVASTIGMINA (Incluído pelo Decreto nº 8.271, de 2014)</t>
  </si>
  <si>
    <t>598 - A</t>
  </si>
  <si>
    <t xml:space="preserve">HIDROCLOROTIAZIDA </t>
  </si>
  <si>
    <t xml:space="preserve">HIALURONIDASE </t>
  </si>
  <si>
    <t xml:space="preserve">HIALURONATO DE SÓDIO </t>
  </si>
  <si>
    <t xml:space="preserve">HEXAIDROBENZOATO DE ESTRADIOL </t>
  </si>
  <si>
    <t xml:space="preserve">HEXACETONIDA DE TRIANCINOLONA </t>
  </si>
  <si>
    <t xml:space="preserve">HEPARINÓIDE </t>
  </si>
  <si>
    <t xml:space="preserve">HEPARINA SÓDICA </t>
  </si>
  <si>
    <t xml:space="preserve">HEPARINA </t>
  </si>
  <si>
    <t xml:space="preserve">HEMITARTARATO DE ZOLPIDEM </t>
  </si>
  <si>
    <t xml:space="preserve">HEMITARTARATO DE NOREPINEFRINA </t>
  </si>
  <si>
    <t xml:space="preserve">HEMITARTARATO DE METARAMINOL </t>
  </si>
  <si>
    <t xml:space="preserve">HEMITARTARATO DE EPINEFRINA </t>
  </si>
  <si>
    <t xml:space="preserve">HEMISSUCCINATO DE HIDROCORTISONA </t>
  </si>
  <si>
    <t>HEMIFUMARATO DE ALISQUIRENO (Incluído pelo Decreto nº 8.271, de 2014)</t>
  </si>
  <si>
    <t>585 - A</t>
  </si>
  <si>
    <t xml:space="preserve">HALOTANO </t>
  </si>
  <si>
    <t xml:space="preserve">HALOPERIDOL </t>
  </si>
  <si>
    <t xml:space="preserve">GRISEOFULVINA </t>
  </si>
  <si>
    <t xml:space="preserve">GONADOTROPINA CORIÔNICA </t>
  </si>
  <si>
    <t>GOLIMUMABE (Incluído pelo Decreto nº 8.271, de 2014)</t>
  </si>
  <si>
    <t>581 - A</t>
  </si>
  <si>
    <t xml:space="preserve">GLUTARAL </t>
  </si>
  <si>
    <t xml:space="preserve">GLUCAGON </t>
  </si>
  <si>
    <t xml:space="preserve">GLIPIZIDA </t>
  </si>
  <si>
    <t xml:space="preserve">GLIMEPIRIDA </t>
  </si>
  <si>
    <t xml:space="preserve">GLICOPROTEÍNA DE KLEBSIELLA PNEUMONIAE </t>
  </si>
  <si>
    <t xml:space="preserve">GLICONATO DE CLOREXIDINA </t>
  </si>
  <si>
    <t xml:space="preserve">GLICLAZIDA </t>
  </si>
  <si>
    <t xml:space="preserve">GLICAMETACINA </t>
  </si>
  <si>
    <t xml:space="preserve">GLIBENCLAMIDA </t>
  </si>
  <si>
    <t xml:space="preserve">GESTRINONA </t>
  </si>
  <si>
    <t xml:space="preserve">GENTUZUMABE OZOGAMICINA </t>
  </si>
  <si>
    <t>GENTAMICINA (Incluído pelo Decreto nº 8.271, de 2014)</t>
  </si>
  <si>
    <t>570 - A</t>
  </si>
  <si>
    <t xml:space="preserve">GENFIBROZILA </t>
  </si>
  <si>
    <t xml:space="preserve">GEFITINIBE </t>
  </si>
  <si>
    <t xml:space="preserve">GATIFLOXACINO </t>
  </si>
  <si>
    <t xml:space="preserve">GANCICLOVIR SÓDICO </t>
  </si>
  <si>
    <t xml:space="preserve">GANCICLOVIR </t>
  </si>
  <si>
    <t xml:space="preserve">GAMAINTERFERONA </t>
  </si>
  <si>
    <t xml:space="preserve">GADOVERSETAMIDA </t>
  </si>
  <si>
    <t xml:space="preserve">GADOTERIDOL </t>
  </si>
  <si>
    <t xml:space="preserve">GADOTERATO DE MEGLUMINA </t>
  </si>
  <si>
    <t xml:space="preserve">GADOPENTETATO DE DIMEGLUMINA </t>
  </si>
  <si>
    <t xml:space="preserve">GADOLÍNIO ZEOLITO </t>
  </si>
  <si>
    <t xml:space="preserve">GADODIAMIDA </t>
  </si>
  <si>
    <t xml:space="preserve">GADOBENATO DIMEGLUMINA </t>
  </si>
  <si>
    <t xml:space="preserve">GABAPENTINA </t>
  </si>
  <si>
    <t xml:space="preserve">FUROSEMIDA </t>
  </si>
  <si>
    <t xml:space="preserve">FUROATO DE MOMETASONA </t>
  </si>
  <si>
    <t xml:space="preserve">FURAZOLIDONA </t>
  </si>
  <si>
    <t xml:space="preserve">FUMARATO DE TENOFOVIR DESOPROXILA  </t>
  </si>
  <si>
    <t xml:space="preserve">FUMARATO DE QUETIAPINA </t>
  </si>
  <si>
    <t xml:space="preserve">FUMARATO DE FORMOTEROL </t>
  </si>
  <si>
    <t xml:space="preserve">FUMARATO DE CETOTIFENO </t>
  </si>
  <si>
    <t xml:space="preserve">FUMARATO DE BISOPROLOL </t>
  </si>
  <si>
    <t xml:space="preserve">FUMARATO DE BENCICLANO </t>
  </si>
  <si>
    <t xml:space="preserve">FULVESTRANTO </t>
  </si>
  <si>
    <t xml:space="preserve">FRAGMENTO FAB CONTRA DIGOXINA </t>
  </si>
  <si>
    <t xml:space="preserve">FRAÇÃO FOSFOLIPÍDICA DE PULMÃO </t>
  </si>
  <si>
    <t xml:space="preserve">FOTEMUSTINA </t>
  </si>
  <si>
    <t>FOSINOPRIL SÓDICO (Incluído pelo Decreto nº 8.271, de 2014)</t>
  </si>
  <si>
    <t>543 - A</t>
  </si>
  <si>
    <t xml:space="preserve">FOSINOPRIL </t>
  </si>
  <si>
    <t xml:space="preserve">FOSFOMICINA TROMETAMOL </t>
  </si>
  <si>
    <t xml:space="preserve">FOSFATO SÓDICO DE PREDNISOLONA </t>
  </si>
  <si>
    <t xml:space="preserve">FOSFATO DISSÓDICO DE DEXAMETASONA </t>
  </si>
  <si>
    <t xml:space="preserve">FOSFATO DISSÓDICO DE BETAMETASONA </t>
  </si>
  <si>
    <t xml:space="preserve">FOSFATO DE TETRACICLINA </t>
  </si>
  <si>
    <t xml:space="preserve">FOSFATO DE SITAGLIPTINA </t>
  </si>
  <si>
    <t xml:space="preserve">FOSFATO DE OSELTAMIVIR </t>
  </si>
  <si>
    <t xml:space="preserve">FOSFATO DE FLUDARABINA </t>
  </si>
  <si>
    <t xml:space="preserve">FOSFATO DE ETOPOSÍDEO </t>
  </si>
  <si>
    <t xml:space="preserve">FOSFATO DE DISOPIRAMIDA </t>
  </si>
  <si>
    <t xml:space="preserve">FOSFATO DE CODEÍNA </t>
  </si>
  <si>
    <t>FOSFATO DE CLINDAMICINA (EXCETO QUANDO DESTINADO A FORMULAÇÕES TÓPICAS)</t>
  </si>
  <si>
    <t xml:space="preserve">FOSCARNETE SÓDICO </t>
  </si>
  <si>
    <t>FOSAPREPITANTO DIMEGLUMINA (Incluído pelo Decreto nº 8.271, de 2014)</t>
  </si>
  <si>
    <t>529 - A</t>
  </si>
  <si>
    <t xml:space="preserve">FOSAMPRENAVIR CÁLCICO </t>
  </si>
  <si>
    <t xml:space="preserve">FORMESTANO </t>
  </si>
  <si>
    <t xml:space="preserve">FONDAPARINUX SÓDICO </t>
  </si>
  <si>
    <t xml:space="preserve">FOLINATO DE CÁLCIO </t>
  </si>
  <si>
    <t xml:space="preserve">FLUVOXAMINA </t>
  </si>
  <si>
    <t>FLUVASTATINA SÓDICA (Incluído pelo Decreto nº 8.271, de 2014)</t>
  </si>
  <si>
    <t>524 - A</t>
  </si>
  <si>
    <t xml:space="preserve">FLUVASTATINA </t>
  </si>
  <si>
    <t xml:space="preserve">FLUTAMIDA </t>
  </si>
  <si>
    <t xml:space="preserve">FLURBIPROFENO </t>
  </si>
  <si>
    <t>FLURAZEPAM (Incluído pelo Decreto nº 8.271, de 2014)</t>
  </si>
  <si>
    <t>521 - A</t>
  </si>
  <si>
    <t xml:space="preserve">FLUORURACILA </t>
  </si>
  <si>
    <t xml:space="preserve">FLUORMETOLONA </t>
  </si>
  <si>
    <t xml:space="preserve">FLUOCINOLONA ACETONIDA  </t>
  </si>
  <si>
    <t xml:space="preserve">FLUNITRAZEPAM </t>
  </si>
  <si>
    <t xml:space="preserve">FLUNISOLIDA </t>
  </si>
  <si>
    <t xml:space="preserve">FLUMAZENIL </t>
  </si>
  <si>
    <t xml:space="preserve">FLUCONAZOL </t>
  </si>
  <si>
    <t xml:space="preserve">FLUCITOSINA </t>
  </si>
  <si>
    <t>FINASTERIDA (EXCETO QUANDO DESTINADO EM FORMULAÇÕES PARA TRATAMENTO DA ALOPÉCIA)</t>
  </si>
  <si>
    <t xml:space="preserve">FILGRASTIM </t>
  </si>
  <si>
    <t>FIGITIMUMABE (Incluído pelo Decreto nº 8.271, de 2014)</t>
  </si>
  <si>
    <t>511 - B</t>
  </si>
  <si>
    <t>FIBRINOGÊNIO (Incluído pelo Decreto nº 8.271, de 2014)</t>
  </si>
  <si>
    <t>511 - A</t>
  </si>
  <si>
    <t xml:space="preserve">FIBRINA </t>
  </si>
  <si>
    <t xml:space="preserve">FERUMOXSIL </t>
  </si>
  <si>
    <t xml:space="preserve">FENTETRAMINA </t>
  </si>
  <si>
    <t xml:space="preserve">FENTANILA </t>
  </si>
  <si>
    <t xml:space="preserve">FENOXIMETILPENICILINA POTÁSSICA </t>
  </si>
  <si>
    <t xml:space="preserve">FENOFIBRATO </t>
  </si>
  <si>
    <t xml:space="preserve">FENOBARBITAL SÓDICO </t>
  </si>
  <si>
    <t xml:space="preserve">FENOBARBITAL </t>
  </si>
  <si>
    <t xml:space="preserve">FENITOÍNA SÓDICA </t>
  </si>
  <si>
    <t xml:space="preserve">FENITOÍNA </t>
  </si>
  <si>
    <t xml:space="preserve">FENILBUTAZONA CÁLCICA </t>
  </si>
  <si>
    <t xml:space="preserve">FENILBUTAZONA </t>
  </si>
  <si>
    <t xml:space="preserve">FEMPROCUMONA </t>
  </si>
  <si>
    <t xml:space="preserve">FELODIPINO </t>
  </si>
  <si>
    <t xml:space="preserve">FATOR XIII DE COAGULAÇÃO  </t>
  </si>
  <si>
    <t xml:space="preserve">FATOR VIII DE COAGULAÇÃO  </t>
  </si>
  <si>
    <t xml:space="preserve">FATOR IX COMPLEXO HUMANO </t>
  </si>
  <si>
    <t xml:space="preserve">FATOR DE COAGULAÇÃO VIIA </t>
  </si>
  <si>
    <t xml:space="preserve">FANCICLOVIR </t>
  </si>
  <si>
    <t xml:space="preserve">FAMOTIDINA </t>
  </si>
  <si>
    <t xml:space="preserve">EZETIMIBA </t>
  </si>
  <si>
    <t xml:space="preserve">EXTRATO METANÓLICO DE BCG </t>
  </si>
  <si>
    <t xml:space="preserve">EXENATIDA </t>
  </si>
  <si>
    <t xml:space="preserve">EXEMESTANO </t>
  </si>
  <si>
    <t xml:space="preserve">EVEROLIMO </t>
  </si>
  <si>
    <t>ETRAVIRINA (Incluído pelo Decreto nº 8.271, de 2014)</t>
  </si>
  <si>
    <t>486 - B</t>
  </si>
  <si>
    <t>ETOSSUXIMIDA (Incluído pelo Decreto nº 8.271, de 2014)</t>
  </si>
  <si>
    <t>486 - A</t>
  </si>
  <si>
    <t xml:space="preserve">ETORICOXIBE </t>
  </si>
  <si>
    <t xml:space="preserve">ETOPOSÍDEO </t>
  </si>
  <si>
    <t xml:space="preserve">ETONOGESTREL </t>
  </si>
  <si>
    <t xml:space="preserve">ETOMIDATO </t>
  </si>
  <si>
    <t xml:space="preserve">ETOFIBRATO </t>
  </si>
  <si>
    <t>ETOFAMIDA (Incluído pelo Decreto nº 8.271, de 2014)</t>
  </si>
  <si>
    <t>481 - B</t>
  </si>
  <si>
    <t>ETODOLACO (Incluído pelo Decreto nº 8.271, de 2014)</t>
  </si>
  <si>
    <t>481 - A</t>
  </si>
  <si>
    <t xml:space="preserve">ETIONAMIDA </t>
  </si>
  <si>
    <t>ETEXILATO DE DABIGATRANA (Incluído pelo Decreto nº 8.271, de 2014)</t>
  </si>
  <si>
    <t>480 - A</t>
  </si>
  <si>
    <t xml:space="preserve">ETANERCEPTE </t>
  </si>
  <si>
    <t xml:space="preserve">ETAMBUTOL </t>
  </si>
  <si>
    <t xml:space="preserve">ETABONATO DE LOTEPREDNOL </t>
  </si>
  <si>
    <t xml:space="preserve">ESTROGÊNIOS CONJUGADOS </t>
  </si>
  <si>
    <t xml:space="preserve">ESTRIOL </t>
  </si>
  <si>
    <t xml:space="preserve">ESTREPTOQUINASE </t>
  </si>
  <si>
    <t xml:space="preserve">ESTRADIOL </t>
  </si>
  <si>
    <t xml:space="preserve">ESTOLATO DE ERITROMICINA </t>
  </si>
  <si>
    <t xml:space="preserve">ÉSTER ETÍLICO DO ÓLEO DE PAPOULA IODADO </t>
  </si>
  <si>
    <t xml:space="preserve">ESTEARATO DE ERITROMICINA </t>
  </si>
  <si>
    <t xml:space="preserve">ESTAZOLAM </t>
  </si>
  <si>
    <t xml:space="preserve">ESTAVUDINA </t>
  </si>
  <si>
    <t xml:space="preserve">ESPIRONOLACTONA </t>
  </si>
  <si>
    <t xml:space="preserve">ESPIRAMICINA </t>
  </si>
  <si>
    <t xml:space="preserve">ESOMEPRAZOL SÓDICO </t>
  </si>
  <si>
    <t xml:space="preserve">ESOMEPRAZOL MAGNÉSIO </t>
  </si>
  <si>
    <t xml:space="preserve">ERTAPENÉM SÓDICO </t>
  </si>
  <si>
    <t xml:space="preserve">EPLERENONA </t>
  </si>
  <si>
    <t xml:space="preserve">EPIRIZOL </t>
  </si>
  <si>
    <t xml:space="preserve">ENTRICITABINA </t>
  </si>
  <si>
    <t xml:space="preserve">ENTECAVIR </t>
  </si>
  <si>
    <t xml:space="preserve">ENTACAPONA </t>
  </si>
  <si>
    <t xml:space="preserve">ENOXAPARINA SÓDICA </t>
  </si>
  <si>
    <t xml:space="preserve">ENFUVIRTIDA </t>
  </si>
  <si>
    <t xml:space="preserve">ENFLURANO </t>
  </si>
  <si>
    <t xml:space="preserve">ENANTATO DE FLUFENAZINA </t>
  </si>
  <si>
    <t xml:space="preserve">ENALAPRILATE </t>
  </si>
  <si>
    <t xml:space="preserve">EMBONATO DE TRIPTORRELINA </t>
  </si>
  <si>
    <t xml:space="preserve">EMBONATO DE IMIPRAMINA </t>
  </si>
  <si>
    <t xml:space="preserve">EFAVIRENZ </t>
  </si>
  <si>
    <t xml:space="preserve">EFALIZUMABE </t>
  </si>
  <si>
    <t>DUTASTERIDA (Incluído pelo Decreto nº 8.271, de 2014)</t>
  </si>
  <si>
    <t>449 - A</t>
  </si>
  <si>
    <t xml:space="preserve">DROXICAM </t>
  </si>
  <si>
    <t xml:space="preserve">DROPERIDOL </t>
  </si>
  <si>
    <t xml:space="preserve">DOXOFILINA </t>
  </si>
  <si>
    <t xml:space="preserve">DOXICICLINA MONOIDRATADA </t>
  </si>
  <si>
    <t>DOXERCALCIFEROL (Incluído pelo Decreto nº 8.271, de 2014)</t>
  </si>
  <si>
    <t>445 - A</t>
  </si>
  <si>
    <t xml:space="preserve">DOXAZOSINA </t>
  </si>
  <si>
    <t xml:space="preserve">DOCETAXEL </t>
  </si>
  <si>
    <t xml:space="preserve">DIVALPROATO DE SÓDIO </t>
  </si>
  <si>
    <t>DITOSILATO DE LAPATINIBE (Incluído pelo Decreto nº 8.271, de 2014)</t>
  </si>
  <si>
    <t>442 - A</t>
  </si>
  <si>
    <t xml:space="preserve">DISSULFIRAM </t>
  </si>
  <si>
    <t xml:space="preserve">DIRITROMICINA </t>
  </si>
  <si>
    <t xml:space="preserve">DIPROPIONATO DE BECLOMETASONA </t>
  </si>
  <si>
    <t xml:space="preserve">DIPIRIDAMOL </t>
  </si>
  <si>
    <t xml:space="preserve">DINOPROSTONA </t>
  </si>
  <si>
    <t xml:space="preserve">DINITRATO DE ISOSSORBIDA </t>
  </si>
  <si>
    <t xml:space="preserve">DIMETICONA </t>
  </si>
  <si>
    <t xml:space="preserve">DIMESILATO DE ALMITRINA </t>
  </si>
  <si>
    <t xml:space="preserve">DIMERCAPROL </t>
  </si>
  <si>
    <t>DIMEBOLINA (Incluído pelo Decreto nº 8.271, de 2014)</t>
  </si>
  <si>
    <t>433 - A</t>
  </si>
  <si>
    <t xml:space="preserve">DIIDROGENOFOSFATO DE RILMENIDINA </t>
  </si>
  <si>
    <t xml:space="preserve">DIGOXINA </t>
  </si>
  <si>
    <t xml:space="preserve">DIGITOXINA </t>
  </si>
  <si>
    <t xml:space="preserve">DIFUMARATO DE EMEDASTINA </t>
  </si>
  <si>
    <t xml:space="preserve">DIFOSFATO DE PRIMAQUINA </t>
  </si>
  <si>
    <t xml:space="preserve">DIFOSFATO DE DIETILESTILBESTROL TETRASSÓDICO </t>
  </si>
  <si>
    <t xml:space="preserve">DIFOSFATO DE DIETILESTILBESTROL </t>
  </si>
  <si>
    <t xml:space="preserve">DIFOSFATO DE CLOROQUINA </t>
  </si>
  <si>
    <t xml:space="preserve">DIETILESTILBESTROL </t>
  </si>
  <si>
    <t xml:space="preserve">DIDANOSINA </t>
  </si>
  <si>
    <t xml:space="preserve">DICLORIDRATO DE ZUCLOPENTIXOL </t>
  </si>
  <si>
    <t xml:space="preserve">DICLORIDRATO DE TRIFLUOPERAZINA </t>
  </si>
  <si>
    <t xml:space="preserve">DICLORIDRATO DE QUININA </t>
  </si>
  <si>
    <t xml:space="preserve">DICLORIDRATO DE PRAMIPEXOL </t>
  </si>
  <si>
    <t xml:space="preserve">DICLORIDRATO DE MANIDIPINO </t>
  </si>
  <si>
    <t xml:space="preserve">DICLORIDRATO DE FLUNARIZINA </t>
  </si>
  <si>
    <t xml:space="preserve">DICLORIDRATO DE FLUFENAZINA </t>
  </si>
  <si>
    <t xml:space="preserve">DICLORIDRATO DE CLOROQUINA </t>
  </si>
  <si>
    <t xml:space="preserve">DICLOFENACO SÓDICO </t>
  </si>
  <si>
    <t xml:space="preserve">DICLOFENACO POTÁSSICO </t>
  </si>
  <si>
    <t xml:space="preserve">DICLOFENACO EPOLAMINA </t>
  </si>
  <si>
    <t xml:space="preserve">DICLOFENACO DIETILAMÔNIO </t>
  </si>
  <si>
    <t xml:space="preserve">DICLOFENACO COLESTIRAMINA </t>
  </si>
  <si>
    <t xml:space="preserve">DICLOFENACO </t>
  </si>
  <si>
    <t xml:space="preserve">DIAZÓXIDO </t>
  </si>
  <si>
    <t xml:space="preserve">DIAZEPAM </t>
  </si>
  <si>
    <t xml:space="preserve">DIATRIZOATO DE SÓDIO </t>
  </si>
  <si>
    <t xml:space="preserve">DIACEREÍNA </t>
  </si>
  <si>
    <t xml:space="preserve">DEXAMETASONA </t>
  </si>
  <si>
    <t xml:space="preserve">DESOXIMETASONA </t>
  </si>
  <si>
    <t xml:space="preserve">DESOGESTREL </t>
  </si>
  <si>
    <t xml:space="preserve">DESLANOSÍDEO </t>
  </si>
  <si>
    <t xml:space="preserve">DESFLURANO </t>
  </si>
  <si>
    <t>DENOSUMABE (Incluído pelo Decreto nº 8.271, de 2014)</t>
  </si>
  <si>
    <t>400 - A</t>
  </si>
  <si>
    <t xml:space="preserve">DELTAEPOETINA </t>
  </si>
  <si>
    <t xml:space="preserve">DELAVIRDINA </t>
  </si>
  <si>
    <t xml:space="preserve">DEFLAZACORTE </t>
  </si>
  <si>
    <t xml:space="preserve">DEFERIPRONA </t>
  </si>
  <si>
    <t xml:space="preserve">DEFERASIROX </t>
  </si>
  <si>
    <t>DECITABINA (Incluído pelo Decreto nº 8.271, de 2014)</t>
  </si>
  <si>
    <t>395 - A</t>
  </si>
  <si>
    <t xml:space="preserve">DECANOATO DE ZUCLOPENTIXOL </t>
  </si>
  <si>
    <t xml:space="preserve">DECANOATO DE NANDROLONA </t>
  </si>
  <si>
    <t xml:space="preserve">DECANOATO DE HALOPERIDOL </t>
  </si>
  <si>
    <t>DASATINIBE (Incluído pelo Decreto nº 8.271, de 2014)</t>
  </si>
  <si>
    <t>392 - C</t>
  </si>
  <si>
    <t>DARUNAVIR(Incluído pelo Decreto nº 8.271, de 2014)</t>
  </si>
  <si>
    <t>392 - B</t>
  </si>
  <si>
    <t>DAPTOMICINA (Incluído pelo Decreto nº 8.271, de 2014)</t>
  </si>
  <si>
    <t>392 - A</t>
  </si>
  <si>
    <t xml:space="preserve">DAPSONA </t>
  </si>
  <si>
    <t>DAPAGLIFLOZINA (Incluído pelo Decreto nº 8.271, de 2014)</t>
  </si>
  <si>
    <t>391 - A</t>
  </si>
  <si>
    <t xml:space="preserve">DANTROLENO SÓDICO </t>
  </si>
  <si>
    <t xml:space="preserve">DANAZOL </t>
  </si>
  <si>
    <t xml:space="preserve">DALTEPARINA SÓDICA </t>
  </si>
  <si>
    <t xml:space="preserve">DACTINOMICINA </t>
  </si>
  <si>
    <t xml:space="preserve">DACLIZUMABE </t>
  </si>
  <si>
    <t xml:space="preserve">DACARBAZINA </t>
  </si>
  <si>
    <t xml:space="preserve">CROMOGLICATO DISSÓDICO </t>
  </si>
  <si>
    <t xml:space="preserve">CORYNEBACTERIUM PARVUM </t>
  </si>
  <si>
    <t xml:space="preserve">COMPLEXO PROTROMBÍNICO PARCIALMENTE ATIVADO </t>
  </si>
  <si>
    <t xml:space="preserve">COMPLEXO PROTROMBÍNICO </t>
  </si>
  <si>
    <t xml:space="preserve">COMPLEXO BIOLÓGICO DE GLICOSAMINOGLICANS </t>
  </si>
  <si>
    <t xml:space="preserve">COLISTIMETATO DE SÓDIO </t>
  </si>
  <si>
    <t xml:space="preserve">COLESTIRAMINA </t>
  </si>
  <si>
    <t xml:space="preserve">COLCHICINA </t>
  </si>
  <si>
    <t xml:space="preserve">CLOZAPINA </t>
  </si>
  <si>
    <t xml:space="preserve">CLOXAZOLAM </t>
  </si>
  <si>
    <t xml:space="preserve">CLORTALIDONA </t>
  </si>
  <si>
    <t xml:space="preserve">CLORPROPAMIDA </t>
  </si>
  <si>
    <t xml:space="preserve">CLORMETINA </t>
  </si>
  <si>
    <t xml:space="preserve">CLORIDRATO DE ZIPRASIDONA </t>
  </si>
  <si>
    <t xml:space="preserve">CLORIDRATO DE VERAPAMIL </t>
  </si>
  <si>
    <t xml:space="preserve">CLORIDRATO DE VENLAFAXINA </t>
  </si>
  <si>
    <t xml:space="preserve">CLORIDRATO DE VANCOMICINA </t>
  </si>
  <si>
    <t xml:space="preserve">CLORIDRATO DE VALGANCICLOVIR </t>
  </si>
  <si>
    <t xml:space="preserve">CLORIDRATO DE TROPISETRONA </t>
  </si>
  <si>
    <t xml:space="preserve">CLORIDRATO DE TRIEXIFENIDIL </t>
  </si>
  <si>
    <t xml:space="preserve">CLORIDRATO DE TRIENTINA </t>
  </si>
  <si>
    <t xml:space="preserve">CLORIDRATO DE TRAZODONA </t>
  </si>
  <si>
    <t xml:space="preserve">CLORIDRATO DE TRAMADOL </t>
  </si>
  <si>
    <t xml:space="preserve">CLORIDRATO DE TOPOTECANA </t>
  </si>
  <si>
    <t xml:space="preserve">CLORIDRATO DE TIROFIBANA </t>
  </si>
  <si>
    <t xml:space="preserve">CLORIDRATO DE TIORIDAZINA </t>
  </si>
  <si>
    <t xml:space="preserve">CLORIDRATO DE TICLOPIDINA </t>
  </si>
  <si>
    <t xml:space="preserve">CLORIDRATO DE TETRIZOLINA </t>
  </si>
  <si>
    <t xml:space="preserve">CLORIDRATO DE TETRACICLINA </t>
  </si>
  <si>
    <t xml:space="preserve">CLORIDRATO DE TERBINAFINA </t>
  </si>
  <si>
    <t xml:space="preserve">CLORIDRATO DE TERAZOSINA </t>
  </si>
  <si>
    <t xml:space="preserve">CLORIDRATO DE TANSULOSINA </t>
  </si>
  <si>
    <t xml:space="preserve">CLORIDRATO DE TACRINA </t>
  </si>
  <si>
    <t xml:space="preserve">CLORIDRATO DE SUFENTANILA </t>
  </si>
  <si>
    <t xml:space="preserve">CLORIDRATO DE SOTALOL </t>
  </si>
  <si>
    <t xml:space="preserve">CLORIDRATO DE SEVELÂMER </t>
  </si>
  <si>
    <t xml:space="preserve">CLORIDRATO DE SERTRALINA </t>
  </si>
  <si>
    <t xml:space="preserve">CLORIDRATO DE SELEGILINA </t>
  </si>
  <si>
    <t xml:space="preserve">CLORIDRATO DE ROPIVACAÍNA </t>
  </si>
  <si>
    <t xml:space="preserve">CLORIDRATO DE ROPINIROL </t>
  </si>
  <si>
    <t xml:space="preserve">CLORIDRATO DE RITODRINA </t>
  </si>
  <si>
    <t xml:space="preserve">CLORIDRATO DE REMIFENTANILA </t>
  </si>
  <si>
    <t xml:space="preserve">CLORIDRATO DE RANITIDINA </t>
  </si>
  <si>
    <t xml:space="preserve">CLORIDRATO DE RALOXIFENO </t>
  </si>
  <si>
    <t xml:space="preserve">CLORIDRATO DE QUINAPRIL </t>
  </si>
  <si>
    <t xml:space="preserve">CLORIDRATO DE QUINAGOLIDA </t>
  </si>
  <si>
    <t xml:space="preserve">CLORIDRATO DE PROXIMETACAÍNA </t>
  </si>
  <si>
    <t>CLORIDRATO DE PROTAMINA (Incluído pelo Decreto nº 8.271, de 2014)</t>
  </si>
  <si>
    <t>338 - A</t>
  </si>
  <si>
    <t xml:space="preserve">CLORIDRATO DE PROPRANOLOL </t>
  </si>
  <si>
    <t xml:space="preserve">CLORIDRATO DE PROPAFENONA </t>
  </si>
  <si>
    <t xml:space="preserve">CLORIDRATO DE PROCARBAZINA </t>
  </si>
  <si>
    <t xml:space="preserve">CLORIDRATO DE PRAZOSINA </t>
  </si>
  <si>
    <t xml:space="preserve">CLORIDRATO DE PIOGLITAZONA </t>
  </si>
  <si>
    <t xml:space="preserve">CLORIDRATO DE PILOCARPINA </t>
  </si>
  <si>
    <t xml:space="preserve">CLORIDRATO DE PETIDINA </t>
  </si>
  <si>
    <t>CLORIDRATO DE PAZOPANIBE (Incluído pelo Decreto nº 8.271, de 2014)</t>
  </si>
  <si>
    <t>331 - A</t>
  </si>
  <si>
    <t xml:space="preserve">CLORIDRATO DE PAROXETINA </t>
  </si>
  <si>
    <t xml:space="preserve">CLORIDRATO DE OXITETRACICLINA </t>
  </si>
  <si>
    <t xml:space="preserve">CLORIDRATO DE OXICODONA </t>
  </si>
  <si>
    <t xml:space="preserve">CLORIDRATO DE ONDANSETRONA </t>
  </si>
  <si>
    <t xml:space="preserve">CLORIDRATO DE OLOPATADINA </t>
  </si>
  <si>
    <t xml:space="preserve">CLORIDRATO DE NORTRIPTILINA </t>
  </si>
  <si>
    <t xml:space="preserve">CLORIDRATO DE NEFAZODONA </t>
  </si>
  <si>
    <t xml:space="preserve">CLORIDRATO DE NARATRIPTANA </t>
  </si>
  <si>
    <t xml:space="preserve">CLORIDRATO DE NALTREXONA </t>
  </si>
  <si>
    <t xml:space="preserve">CLORIDRATO DE NALOXONA </t>
  </si>
  <si>
    <t xml:space="preserve">CLORIDRATO DE NALBUFINA </t>
  </si>
  <si>
    <t xml:space="preserve">CLORIDRATO DE MOXIFLOXACINO </t>
  </si>
  <si>
    <t xml:space="preserve">CLORIDRATO DE MITOXANTRONA </t>
  </si>
  <si>
    <t xml:space="preserve">CLORIDRATO DE MINOCICLINA </t>
  </si>
  <si>
    <t xml:space="preserve">CLORIDRATO DE MILNACIPRANA </t>
  </si>
  <si>
    <t xml:space="preserve">CLORIDRATO DE MIDODRINA </t>
  </si>
  <si>
    <t xml:space="preserve">CLORIDRATO DE MIDAZOLAM </t>
  </si>
  <si>
    <t xml:space="preserve">CLORIDRATO DE MIANSERINA </t>
  </si>
  <si>
    <t xml:space="preserve">CLORIDRATO DE MEXILETINA </t>
  </si>
  <si>
    <t xml:space="preserve">CLORIDRATO DE METIPRANOLOL </t>
  </si>
  <si>
    <t xml:space="preserve">CLORIDRATO DE METFORMINA </t>
  </si>
  <si>
    <t xml:space="preserve">CLORIDRATO DE METADONA </t>
  </si>
  <si>
    <t xml:space="preserve">CLORIDRATO DE MEPIVACAÍNA </t>
  </si>
  <si>
    <t xml:space="preserve">CLORIDRATO DE MEMANTINA </t>
  </si>
  <si>
    <t xml:space="preserve">CLORIDRATO DE MELFALANA </t>
  </si>
  <si>
    <t xml:space="preserve">CLORIDRATO DE MEFLOQUINA </t>
  </si>
  <si>
    <t xml:space="preserve">CLORIDRATO DE MAPROTILINA </t>
  </si>
  <si>
    <t xml:space="preserve">CLORIDRATO DE LOMEFLOXACINO </t>
  </si>
  <si>
    <t xml:space="preserve">CLORIDRATO DE LISOZIMA </t>
  </si>
  <si>
    <t xml:space="preserve">CLORIDRATO DE LINCOMICINA </t>
  </si>
  <si>
    <t xml:space="preserve">CLORIDRATO DE LIDOCAÍNA </t>
  </si>
  <si>
    <t xml:space="preserve">CLORIDRATO DE LEVOMEPROMAZINA </t>
  </si>
  <si>
    <t xml:space="preserve">CLORIDRATO DE LEVOBUPIVACAÍNA </t>
  </si>
  <si>
    <t xml:space="preserve">CLORIDRATO DE LEVOBUNOLOL </t>
  </si>
  <si>
    <t xml:space="preserve">CLORIDRATO DE LERCANIDIPINO </t>
  </si>
  <si>
    <t xml:space="preserve">CLORIDRATO DE IRINOTECANO </t>
  </si>
  <si>
    <t xml:space="preserve">CLORIDRATO DE IMIPRAMINA </t>
  </si>
  <si>
    <t xml:space="preserve">CLORIDRATO DE IDARRUBICINA </t>
  </si>
  <si>
    <t xml:space="preserve">CLORIDRATO DE HIDRALAZINA </t>
  </si>
  <si>
    <t xml:space="preserve">CLORIDRATO DE GRANISSETRONA </t>
  </si>
  <si>
    <t xml:space="preserve">CLORIDRATO DE GENCITABINA </t>
  </si>
  <si>
    <t xml:space="preserve">CLORIDRATO DE FLUOXETINA </t>
  </si>
  <si>
    <t xml:space="preserve">CLORIDRATO DE FENILEFRINA </t>
  </si>
  <si>
    <t xml:space="preserve">CLORIDRATO DE FENFORMINA </t>
  </si>
  <si>
    <t xml:space="preserve">CLORIDRATO DE ETILEFRINA </t>
  </si>
  <si>
    <t xml:space="preserve">CLORIDRATO DE ETAMBUTOL </t>
  </si>
  <si>
    <t xml:space="preserve">CLORIDRATO DE ESPECTINOMICINA </t>
  </si>
  <si>
    <t xml:space="preserve">CLORIDRATO DE ESMOLOL </t>
  </si>
  <si>
    <t xml:space="preserve">CLORIDRATO DE ERLOTINIBE </t>
  </si>
  <si>
    <t xml:space="preserve">CLORIDRATO DE EPIRRUBICINA </t>
  </si>
  <si>
    <t>CLORIDRATO DE DULOXETINA (EXCETO QUANDO DESTINADO À FORMULAÇÃO PARA TRATAMENTO DA INCONTINÊNCIA URINÁRIA)</t>
  </si>
  <si>
    <t>CLORIDRATO DE DRONEDARONA (Incluído pelo Decreto nº 8.271, de 2014)</t>
  </si>
  <si>
    <t>280 - A</t>
  </si>
  <si>
    <t xml:space="preserve">CLORIDRATO DE DOXORRUBICINA </t>
  </si>
  <si>
    <t xml:space="preserve">CLORIDRATO DE DOXICICLINA </t>
  </si>
  <si>
    <t xml:space="preserve">CLORIDRATO DE DORZOLAMIDA </t>
  </si>
  <si>
    <t xml:space="preserve">CLORIDRATO DE DOPAMINA </t>
  </si>
  <si>
    <t xml:space="preserve">CLORIDRATO DE DONEPEZILA </t>
  </si>
  <si>
    <t xml:space="preserve">CLORIDRATO DE DOBUTAMINA </t>
  </si>
  <si>
    <t xml:space="preserve">CLORIDRATO DE DIPIVEFRINA </t>
  </si>
  <si>
    <t xml:space="preserve">CLORIDRATO DE DILTIAZEM </t>
  </si>
  <si>
    <t xml:space="preserve">CLORIDRATO DE DIFENIDRAMINA </t>
  </si>
  <si>
    <t xml:space="preserve">CLORIDRATO DE DEXTRORRAZOXANO </t>
  </si>
  <si>
    <t xml:space="preserve">CLORIDRATO DE DEXMEDETOMIDINA </t>
  </si>
  <si>
    <t xml:space="preserve">CLORIDRATO DE DELAPRIL </t>
  </si>
  <si>
    <t xml:space="preserve">CLORIDRATO DE DAUNORRUBICINA </t>
  </si>
  <si>
    <t>CLORIDRATO DE COLESEVELAM (Incluído pelo Decreto nº 8.271, de 2014)</t>
  </si>
  <si>
    <t>267 - A</t>
  </si>
  <si>
    <t xml:space="preserve">CLORIDRATO DE CLORPROMAZINA </t>
  </si>
  <si>
    <t xml:space="preserve">CLORIDRATO DE CLOREXIDINA </t>
  </si>
  <si>
    <t>CLORIDRATO DE CLORDIAZEPÓXIDO (Incluído pelo Decreto nº 8.271, de 2014)</t>
  </si>
  <si>
    <t>265 - A</t>
  </si>
  <si>
    <t xml:space="preserve">CLORIDRATO DE CLONIDINA </t>
  </si>
  <si>
    <t xml:space="preserve">CLORIDRATO DE CLOMIPRAMINA </t>
  </si>
  <si>
    <t>CLORIDRATO DE CLINDAMICINA (EXCETO QUANDO DESTINADO A FORMULAÇÕES TÓPICAS)</t>
  </si>
  <si>
    <t xml:space="preserve">CLORIDRATO DE CITARABINA </t>
  </si>
  <si>
    <t xml:space="preserve">CLORIDRATO DE CITALOPRAM </t>
  </si>
  <si>
    <t xml:space="preserve">CLORIDRATO DE CIPROFLOXACINO </t>
  </si>
  <si>
    <t xml:space="preserve">CLORIDRATO DE CIMETIDINA </t>
  </si>
  <si>
    <t xml:space="preserve">CLORIDRATO DE CETAMINA </t>
  </si>
  <si>
    <t xml:space="preserve">CLORIDRATO DE CEFETAMETE PIVOXILA </t>
  </si>
  <si>
    <t xml:space="preserve">CLORIDRATO DE CEFEPIMA </t>
  </si>
  <si>
    <t xml:space="preserve">CLORIDRATO DE CARTEOLOL </t>
  </si>
  <si>
    <t xml:space="preserve">CLORIDRATO DE BUSPIRONA </t>
  </si>
  <si>
    <t xml:space="preserve">CLORIDRATO DE BUPROPIONA </t>
  </si>
  <si>
    <t xml:space="preserve">CLORIDRATO DE BUPRENORFINA </t>
  </si>
  <si>
    <t xml:space="preserve">CLORIDRATO DE BUPIVACAÍNA </t>
  </si>
  <si>
    <t xml:space="preserve">CLORIDRATO DE BUFLOMEDIL </t>
  </si>
  <si>
    <t xml:space="preserve">CLORIDRATO DE BIPERIDENO </t>
  </si>
  <si>
    <t xml:space="preserve">CLORIDRATO DE BETAXOLOL </t>
  </si>
  <si>
    <t>CLORIDRATO DE BENZIDAMINA (EXCETO QUANDO DESTINADO ÀS FORMULAÇÕES TÓPICAS)</t>
  </si>
  <si>
    <t xml:space="preserve">CLORIDRATO DE BENAZEPRIL </t>
  </si>
  <si>
    <t xml:space="preserve">CLORIDRATO DE BARNIDIPINO </t>
  </si>
  <si>
    <t xml:space="preserve">CLORIDRATO DE BAMIFILINA </t>
  </si>
  <si>
    <t xml:space="preserve">CLORIDRATO DE BAMBUTEROL </t>
  </si>
  <si>
    <t xml:space="preserve">CLORIDRATO DE APRACLONIDINA </t>
  </si>
  <si>
    <t xml:space="preserve">CLORIDRATO DE ANAGRELIDA </t>
  </si>
  <si>
    <t xml:space="preserve">CLORIDRATO DE AMITRIPTILINA </t>
  </si>
  <si>
    <t xml:space="preserve">CLORIDRATO DE AMIODARONA </t>
  </si>
  <si>
    <t xml:space="preserve">CLORIDRATO DE AMINOLEVULINATO DE METILA </t>
  </si>
  <si>
    <t>CLORIDRATO DE AMINOLEVULINATO DE HEXILA (Incluído pelo Decreto nº 8.271, de 2014)</t>
  </si>
  <si>
    <t>237 - A</t>
  </si>
  <si>
    <t xml:space="preserve">CLORIDRATO DE AMINEPTINA </t>
  </si>
  <si>
    <t xml:space="preserve">CLORIDRATO DE AMILORIDA </t>
  </si>
  <si>
    <t xml:space="preserve">CLORIDRATO DE AMANTADINA </t>
  </si>
  <si>
    <t xml:space="preserve">CLORIDRATO DE ALIZAPRIDA </t>
  </si>
  <si>
    <t xml:space="preserve">CLORIDRATO DE ALFUZOSINA </t>
  </si>
  <si>
    <t xml:space="preserve">CLORIDRATO DE ALFENTANILA </t>
  </si>
  <si>
    <t xml:space="preserve">CLORIDRATO DE ACECLIDINA </t>
  </si>
  <si>
    <t xml:space="preserve">CLORETO DE SUXAMETÔNIO </t>
  </si>
  <si>
    <t xml:space="preserve">CLORETO DE MIVACÚRIO </t>
  </si>
  <si>
    <t xml:space="preserve">CLORETO DE BETANECOL </t>
  </si>
  <si>
    <t xml:space="preserve">CLORETO DE ACETILCOLINA </t>
  </si>
  <si>
    <t xml:space="preserve">CLORDIAZEPÓXIDO </t>
  </si>
  <si>
    <t xml:space="preserve">CLORAZEPATO DIPOTÁSSICO </t>
  </si>
  <si>
    <t xml:space="preserve">CLORANFENICOL </t>
  </si>
  <si>
    <t xml:space="preserve">CLORAMBUCILA </t>
  </si>
  <si>
    <t xml:space="preserve">CLOPIDOGREL </t>
  </si>
  <si>
    <t xml:space="preserve">CLONAZEPAM </t>
  </si>
  <si>
    <t xml:space="preserve">CLOFIBRATO DE ALUMÍNIO </t>
  </si>
  <si>
    <t xml:space="preserve">CLOFAZIMINA </t>
  </si>
  <si>
    <t>CLOFARABINA (Incluído pelo Decreto nº 8.271, de 2014)</t>
  </si>
  <si>
    <t>218 - A</t>
  </si>
  <si>
    <t xml:space="preserve">CLODRONATO DISSÓDICO </t>
  </si>
  <si>
    <t xml:space="preserve">CLOBAZAM </t>
  </si>
  <si>
    <t xml:space="preserve">CLARITROMICINA </t>
  </si>
  <si>
    <t xml:space="preserve">CLADRIBINA </t>
  </si>
  <si>
    <t xml:space="preserve">CITRATO DE TAMOXIFENO </t>
  </si>
  <si>
    <t xml:space="preserve">CITRATO DE SUFENTANILA </t>
  </si>
  <si>
    <t>CITRATO DE SILDENAFILA EXCETO QUANDO DESTINADO À FORMULAÇÃO PARA DIAGNÓSTICO E TRATAMENTO DA DISFUNÇÃO ERÉTIL</t>
  </si>
  <si>
    <t xml:space="preserve">CITRATO DE FENTANILA </t>
  </si>
  <si>
    <t xml:space="preserve">CITRATO DE DIETILCARBAMAZINA </t>
  </si>
  <si>
    <t>CITRATO DE CLOMIFENO (Incluído pelo Decreto nº 8.271, de 2014)</t>
  </si>
  <si>
    <t>209 - A</t>
  </si>
  <si>
    <t xml:space="preserve">CITRATO BISMÚTICO DE RANITIDINA </t>
  </si>
  <si>
    <t xml:space="preserve">CITICOLINA SÓDICA </t>
  </si>
  <si>
    <t xml:space="preserve">CITARABINA </t>
  </si>
  <si>
    <t xml:space="preserve">CITALOPRAM </t>
  </si>
  <si>
    <t xml:space="preserve">CISPLATINA </t>
  </si>
  <si>
    <t xml:space="preserve">CIPROFLOXACINO </t>
  </si>
  <si>
    <t xml:space="preserve">CIPROFIBRATO </t>
  </si>
  <si>
    <t xml:space="preserve">CINARIZINA </t>
  </si>
  <si>
    <t xml:space="preserve">CIMETIDINA </t>
  </si>
  <si>
    <t xml:space="preserve">CILOSTAZOL </t>
  </si>
  <si>
    <t xml:space="preserve">CILAZAPRIL </t>
  </si>
  <si>
    <t xml:space="preserve">CICLOSSERINA </t>
  </si>
  <si>
    <t xml:space="preserve">CICLOSPORINA </t>
  </si>
  <si>
    <t xml:space="preserve">CICLOFOSFAMIDA </t>
  </si>
  <si>
    <t xml:space="preserve">CICLOFENILA </t>
  </si>
  <si>
    <t xml:space="preserve">CICLESONIDA </t>
  </si>
  <si>
    <t xml:space="preserve">C-GUÉRIN (BCG – CEPA CONNAUGHT) </t>
  </si>
  <si>
    <t xml:space="preserve">CETUXIMABE </t>
  </si>
  <si>
    <t xml:space="preserve">CETOPROFENO </t>
  </si>
  <si>
    <t>CETOCONAZOL (EXCETO QUANDO DESTINADO À FORMULAÇÃO DERMATOLÓGICA)</t>
  </si>
  <si>
    <t>CERTOLIZUMABE PEGOL (Incluído pelo Decreto nº 8.271, de 2014)</t>
  </si>
  <si>
    <t>189 - A</t>
  </si>
  <si>
    <t xml:space="preserve">CERIVASTATINA </t>
  </si>
  <si>
    <t xml:space="preserve">CÉLULAS VERMELHAS SANGÜÍNEAS </t>
  </si>
  <si>
    <t xml:space="preserve">CELECOXIBE </t>
  </si>
  <si>
    <t xml:space="preserve">CEFUROXIMA SÓDICA </t>
  </si>
  <si>
    <t xml:space="preserve">CEFTRIAXONA SÓDICA </t>
  </si>
  <si>
    <t xml:space="preserve">CEFTAZIDIMA </t>
  </si>
  <si>
    <t xml:space="preserve">CEFPROZILA MONOIDRATADA </t>
  </si>
  <si>
    <t xml:space="preserve">CEFPROZILA </t>
  </si>
  <si>
    <t xml:space="preserve">CEFPODOXIMA PROXETILA </t>
  </si>
  <si>
    <t xml:space="preserve">CEFOXITINA SÓDICA </t>
  </si>
  <si>
    <t xml:space="preserve">CEFOTAXIMA SÓDICA </t>
  </si>
  <si>
    <t xml:space="preserve">CEFOTAXIMA </t>
  </si>
  <si>
    <t xml:space="preserve">CEFOPERAZONA SÓDICA </t>
  </si>
  <si>
    <t xml:space="preserve">CEFODIZIMA </t>
  </si>
  <si>
    <t xml:space="preserve">CEFIXIMA </t>
  </si>
  <si>
    <t xml:space="preserve">CEFAZOLINA SÓDICA </t>
  </si>
  <si>
    <t xml:space="preserve">CEFALOTINA SÓDICA </t>
  </si>
  <si>
    <t>CEFALOTINA (Incluído pelo Decreto nº 8.271, de 2014)</t>
  </si>
  <si>
    <t xml:space="preserve">CEFALEXINA MONOIDRATADA </t>
  </si>
  <si>
    <t>CEFALEXINA (Incluído pelo Decreto nº 8.271, de 2014)</t>
  </si>
  <si>
    <t>171 - A</t>
  </si>
  <si>
    <t xml:space="preserve">CEFADROXILA </t>
  </si>
  <si>
    <t xml:space="preserve">CEFACLOR </t>
  </si>
  <si>
    <t>CEDIRANIBE (Incluído pelo Decreto nº 8.271, de 2014)</t>
  </si>
  <si>
    <t>169 - A</t>
  </si>
  <si>
    <t xml:space="preserve">CASPOFUNGINA </t>
  </si>
  <si>
    <t>CASOPITANTO (Incluído pelo Decreto nº 8.271, de 2014)</t>
  </si>
  <si>
    <t>168 - A</t>
  </si>
  <si>
    <t xml:space="preserve">CARVEDILOL </t>
  </si>
  <si>
    <t xml:space="preserve">CARMUSTINA </t>
  </si>
  <si>
    <t xml:space="preserve">CARBOPLATINA </t>
  </si>
  <si>
    <t>CARBONATO DE SEVELAMER (Incluído pelo Decreto nº 8.271, de 2014)</t>
  </si>
  <si>
    <t>165 - A</t>
  </si>
  <si>
    <t xml:space="preserve">CARBONATO DE LÍTIO </t>
  </si>
  <si>
    <t>CARBONATO DE LANTÂNIO (Incluído pelo Decreto nº 8.271, de 2014)</t>
  </si>
  <si>
    <t>164 - A</t>
  </si>
  <si>
    <t xml:space="preserve">CARBETOCINA </t>
  </si>
  <si>
    <t xml:space="preserve">CARBENICILINA </t>
  </si>
  <si>
    <t xml:space="preserve">CARBAMAZEPINA </t>
  </si>
  <si>
    <t xml:space="preserve">CARBACOL </t>
  </si>
  <si>
    <t xml:space="preserve">CAPTOPRIL </t>
  </si>
  <si>
    <t xml:space="preserve">CAPECITABINA </t>
  </si>
  <si>
    <t xml:space="preserve">CANDESARTANA CILEXETILA </t>
  </si>
  <si>
    <t>CAMBENDAZOL (Incluído pelo Decreto nº 8.271, de 2014)</t>
  </si>
  <si>
    <t>157 - A</t>
  </si>
  <si>
    <t xml:space="preserve">CALCITRIOL </t>
  </si>
  <si>
    <t xml:space="preserve">CALCITONINA SINTÉTICA HUMANA </t>
  </si>
  <si>
    <t xml:space="preserve">CALCITONINA SINTÉTICA DE SALMÃO </t>
  </si>
  <si>
    <t xml:space="preserve">CABERGOLINA </t>
  </si>
  <si>
    <t>CABAZITAXEL (Incluído pelo Decreto nº 8.271, de 2014)</t>
  </si>
  <si>
    <t>153 - A</t>
  </si>
  <si>
    <t xml:space="preserve">BUSSULFANO </t>
  </si>
  <si>
    <t xml:space="preserve">BUPROPIONA </t>
  </si>
  <si>
    <t xml:space="preserve">BUMETANIDA </t>
  </si>
  <si>
    <t xml:space="preserve">BUDESONIDA </t>
  </si>
  <si>
    <t xml:space="preserve">BROMIDRATO DE GALANTAMINA </t>
  </si>
  <si>
    <t xml:space="preserve">BROMIDRATO DE FENOTEROL </t>
  </si>
  <si>
    <t xml:space="preserve">BROMIDRATO DE CITALOPRAM </t>
  </si>
  <si>
    <t xml:space="preserve">BROMETO DE VECURÔNIO </t>
  </si>
  <si>
    <t xml:space="preserve">BROMETO DE TIOTRÓPIO </t>
  </si>
  <si>
    <t xml:space="preserve">BROMETO DE ROCURÔNIO </t>
  </si>
  <si>
    <t xml:space="preserve">BROMETO DE PIRIDOSTIGMINA </t>
  </si>
  <si>
    <t xml:space="preserve">BROMETO DE PIPECURÔNIO </t>
  </si>
  <si>
    <t xml:space="preserve">BROMETO DE PANCURÔNIO </t>
  </si>
  <si>
    <t xml:space="preserve">BROMETO DE IPRATRÓPIO </t>
  </si>
  <si>
    <t xml:space="preserve">BROMAZEPAM </t>
  </si>
  <si>
    <t xml:space="preserve">BRINZOLAMIDA </t>
  </si>
  <si>
    <t xml:space="preserve">BOSENTANA </t>
  </si>
  <si>
    <t xml:space="preserve">BORTEZOMIBE </t>
  </si>
  <si>
    <t>BOCEPREVIR (Incluído pelo Decreto nº 8.271, de 2014)</t>
  </si>
  <si>
    <t>135 - A</t>
  </si>
  <si>
    <t xml:space="preserve">BISSULFATO DE QUINIDINA </t>
  </si>
  <si>
    <t xml:space="preserve">BISSULFATO DE CLOPIDOGREL </t>
  </si>
  <si>
    <t>BINODENOSONA (Incluído pelo Decreto nº 8.271, de 2014)</t>
  </si>
  <si>
    <t>133 - A</t>
  </si>
  <si>
    <t xml:space="preserve">BIMATOPROSTA </t>
  </si>
  <si>
    <t xml:space="preserve">BICALUTAMIDA </t>
  </si>
  <si>
    <t xml:space="preserve">BEZAFIBRATO </t>
  </si>
  <si>
    <t xml:space="preserve">BEVACIZUMABE </t>
  </si>
  <si>
    <t xml:space="preserve">BETAMETASONA </t>
  </si>
  <si>
    <t xml:space="preserve">BETAINTERFERONA </t>
  </si>
  <si>
    <t xml:space="preserve">BETAGALSIDASE </t>
  </si>
  <si>
    <t xml:space="preserve">BETAFOLITROPINA </t>
  </si>
  <si>
    <t>(Incluído pelo Decreto nº 8.271, de 2014)</t>
  </si>
  <si>
    <t>125 - A</t>
  </si>
  <si>
    <t xml:space="preserve">BETAEPOETINA </t>
  </si>
  <si>
    <t xml:space="preserve">BESILATO DE CISATRACÚRIO </t>
  </si>
  <si>
    <t xml:space="preserve">BESILATO DE ATRACÚRIO </t>
  </si>
  <si>
    <t xml:space="preserve">BESILATO DE ANLODIPINO </t>
  </si>
  <si>
    <t xml:space="preserve">BERACTANTO </t>
  </si>
  <si>
    <t xml:space="preserve">BENZOILMETRONIDAZOL </t>
  </si>
  <si>
    <t xml:space="preserve">BENZOCAÍNA </t>
  </si>
  <si>
    <t xml:space="preserve">BENZOATO DE RIZATRIPTANA </t>
  </si>
  <si>
    <t xml:space="preserve">BENZNIDAZOL </t>
  </si>
  <si>
    <t xml:space="preserve">BENZILPENICILINA POTÁSSICA </t>
  </si>
  <si>
    <t xml:space="preserve">BENZILPENICILINA BENZATINA </t>
  </si>
  <si>
    <t xml:space="preserve">BENZILPENICILINA </t>
  </si>
  <si>
    <t xml:space="preserve">BENZBROMARONA </t>
  </si>
  <si>
    <t>BENDAMUSTINA (Incluído pelo Decreto nº 8.271, de 2014)</t>
  </si>
  <si>
    <t>112 - B</t>
  </si>
  <si>
    <t>BELATACEPTE (Incluído pelo Decreto nº 8.271, de 2014)</t>
  </si>
  <si>
    <t>112 - A</t>
  </si>
  <si>
    <t xml:space="preserve">BASILIXIMABE </t>
  </si>
  <si>
    <t xml:space="preserve">BARBEXACLONA </t>
  </si>
  <si>
    <t xml:space="preserve">BACLOFENO </t>
  </si>
  <si>
    <t>AZTREONAM LISINA (Incluído pelo Decreto nº 8.271, de 2014)</t>
  </si>
  <si>
    <t>109 - A</t>
  </si>
  <si>
    <t xml:space="preserve">AZTREONAM </t>
  </si>
  <si>
    <t xml:space="preserve">AZITROMICINA </t>
  </si>
  <si>
    <t xml:space="preserve">AZATIOPRINA </t>
  </si>
  <si>
    <t>AXITINIBE (Incluído pelo Decreto nº 8.271, de 2014)</t>
  </si>
  <si>
    <t>106 - A</t>
  </si>
  <si>
    <t xml:space="preserve">AXETILCEFUROXIMA </t>
  </si>
  <si>
    <t xml:space="preserve">AUROTIOMALATO DE SÓDIO </t>
  </si>
  <si>
    <t xml:space="preserve">AURANOFINA </t>
  </si>
  <si>
    <t xml:space="preserve">ATORVASTATINA CÁLCICA </t>
  </si>
  <si>
    <t xml:space="preserve">ATENOLOL </t>
  </si>
  <si>
    <t xml:space="preserve">ASPARAGINASE </t>
  </si>
  <si>
    <t xml:space="preserve">ASENAPINA </t>
  </si>
  <si>
    <t xml:space="preserve">ARTESUNATO DE SÓDIO </t>
  </si>
  <si>
    <t xml:space="preserve">ARTEMÉTER </t>
  </si>
  <si>
    <t xml:space="preserve">ARIPIPRAZOL </t>
  </si>
  <si>
    <t xml:space="preserve">ARGIPRESSINA </t>
  </si>
  <si>
    <t xml:space="preserve">APROTININA </t>
  </si>
  <si>
    <t xml:space="preserve">APREPITANTO </t>
  </si>
  <si>
    <t xml:space="preserve">ANTITROMBINA III </t>
  </si>
  <si>
    <t>APIXABANA (Incluído pelo Decreto nº 8.271, de 2014)</t>
  </si>
  <si>
    <t xml:space="preserve">ANTITOXINA TETÂNICA </t>
  </si>
  <si>
    <t xml:space="preserve">ANTITOXINA DIFTÉRICA </t>
  </si>
  <si>
    <t xml:space="preserve">ANTITOXINA BOTULÍNICA </t>
  </si>
  <si>
    <t xml:space="preserve">ANTIMONIATO DE MEGLUMINA </t>
  </si>
  <si>
    <t xml:space="preserve">ANTIINIBIDOR DOS FATORES DE COAGULAÇÃO VIII E IX </t>
  </si>
  <si>
    <t>ANIDULAFUNGINA (Incluído pelo Decreto nº 8.271, de 2014)</t>
  </si>
  <si>
    <t>87 - A</t>
  </si>
  <si>
    <t xml:space="preserve">ANFOTERICINA B </t>
  </si>
  <si>
    <t xml:space="preserve">ANASTROZOL </t>
  </si>
  <si>
    <t xml:space="preserve">AMPRENAVIR </t>
  </si>
  <si>
    <t xml:space="preserve">AMPICILINA SÓDICA </t>
  </si>
  <si>
    <t xml:space="preserve">AMPICILINA </t>
  </si>
  <si>
    <t xml:space="preserve">AMOXICILINA </t>
  </si>
  <si>
    <t xml:space="preserve">AMOBARBITAL </t>
  </si>
  <si>
    <t xml:space="preserve">AMITRIPTILINA </t>
  </si>
  <si>
    <t xml:space="preserve">AMISSULPRIDA </t>
  </si>
  <si>
    <t xml:space="preserve">AMINOGLUTETIMIDA </t>
  </si>
  <si>
    <t xml:space="preserve">AMINOFILINA </t>
  </si>
  <si>
    <t xml:space="preserve">AMINEPTINA </t>
  </si>
  <si>
    <t xml:space="preserve">AMIFOSTINA </t>
  </si>
  <si>
    <t xml:space="preserve">ALTEPLASE </t>
  </si>
  <si>
    <t>ALPROSTADIL (EXCETO QUANDO DESTINADO À FORMULAÇÃO PARA DIAGNÓSTICO E TRATAMENTO DA DISFUNÇÃO ERÉTIL)</t>
  </si>
  <si>
    <t xml:space="preserve">ALPRAZOLAM </t>
  </si>
  <si>
    <t xml:space="preserve">ALOPURINOL </t>
  </si>
  <si>
    <t xml:space="preserve">ALFUZOSINA </t>
  </si>
  <si>
    <t>ALFAVELAGLUCERASE (Incluído pelo Decreto nº 8.271, de 2014)</t>
  </si>
  <si>
    <t>69 - B</t>
  </si>
  <si>
    <t>ALFATALIGLUCERASE (Incluído pelo Decreto nº 8.271, de 2014)</t>
  </si>
  <si>
    <t>69 - A</t>
  </si>
  <si>
    <t xml:space="preserve">ALFAPEGINTERFERONA 2B </t>
  </si>
  <si>
    <t xml:space="preserve">ALFAPEGINTERFERONA 2A </t>
  </si>
  <si>
    <t xml:space="preserve">ALFALUTROPINA RECOMBINANTE </t>
  </si>
  <si>
    <t xml:space="preserve">ALFALUTROPINA </t>
  </si>
  <si>
    <t>ALFALGLICOSIDASE  (Incluído pelo Decreto nº 8.271, de 2014)</t>
  </si>
  <si>
    <t>65 - A</t>
  </si>
  <si>
    <t xml:space="preserve">ALFAINTERFERONA </t>
  </si>
  <si>
    <t xml:space="preserve">ALFAGALSIDASE </t>
  </si>
  <si>
    <t xml:space="preserve">ALFAFOLITROPINA </t>
  </si>
  <si>
    <t xml:space="preserve">ALFAEPOETINA </t>
  </si>
  <si>
    <t xml:space="preserve">ALFADROTRECOGINA </t>
  </si>
  <si>
    <t xml:space="preserve">ALFADORNASE </t>
  </si>
  <si>
    <t xml:space="preserve">ALFACORIOGONADOTROPINA </t>
  </si>
  <si>
    <t>ALFACORIFOLITROPINA (Incluído pelo Decreto nº 8.271, de 2014)</t>
  </si>
  <si>
    <t>58 - A</t>
  </si>
  <si>
    <t xml:space="preserve">ALFACALCIDOL </t>
  </si>
  <si>
    <t xml:space="preserve">ALENTUZUMABE </t>
  </si>
  <si>
    <t xml:space="preserve">ALENDRONATO DE SÓDIO </t>
  </si>
  <si>
    <t xml:space="preserve">ALEFACEPTE </t>
  </si>
  <si>
    <t>ALBINTERFERONA ALFA-2B (Incluído pelo Decreto nº 8.271, de 2014)</t>
  </si>
  <si>
    <t>54 - A</t>
  </si>
  <si>
    <t xml:space="preserve">ALBENDAZOL </t>
  </si>
  <si>
    <t>AFLIBERCEPTE (Incluído pelo Decreto nº 8.271, de 2014)</t>
  </si>
  <si>
    <t xml:space="preserve">ADENOSINA </t>
  </si>
  <si>
    <t xml:space="preserve">ADEFOVIR DIPIVOXILA </t>
  </si>
  <si>
    <t xml:space="preserve">ADALIMUMABE </t>
  </si>
  <si>
    <t xml:space="preserve">ACITRETINA </t>
  </si>
  <si>
    <t xml:space="preserve">ACIPIMOX </t>
  </si>
  <si>
    <t xml:space="preserve">ÁCIDO ZOLEDRÔNICO </t>
  </si>
  <si>
    <t xml:space="preserve">ÁCIDO VALPRÓICO </t>
  </si>
  <si>
    <t xml:space="preserve">ÁCIDO URSODESOXICÓLICO </t>
  </si>
  <si>
    <t xml:space="preserve">ÁCIDO TOLFENÂMICO </t>
  </si>
  <si>
    <t>ÁCIDO TIÓCTICO (Incluído pelo Decreto nº 8.271, de 2014)</t>
  </si>
  <si>
    <t>44 - A</t>
  </si>
  <si>
    <t xml:space="preserve">ÁCIDO PIPEMÍDICO </t>
  </si>
  <si>
    <t xml:space="preserve">ÁCIDO NICOTÍNICO </t>
  </si>
  <si>
    <t xml:space="preserve">ÁCIDO NALIDÍXICO </t>
  </si>
  <si>
    <t xml:space="preserve">ÁCIDO MEFENÂMICO </t>
  </si>
  <si>
    <t xml:space="preserve">ÁCIDO IOPANÓICO </t>
  </si>
  <si>
    <t xml:space="preserve">ÁCIDO IOCETÂMICO </t>
  </si>
  <si>
    <t xml:space="preserve">ÁCIDO GADOTÉRICO </t>
  </si>
  <si>
    <t xml:space="preserve">ACICLOVIR SÓDICO </t>
  </si>
  <si>
    <t>ACICLOVIR  (EXCETO QUANDO DESTINADO À FORMULAÇÃO DERMATOLÓGICA)</t>
  </si>
  <si>
    <t xml:space="preserve">ACETAZOLAMIDA </t>
  </si>
  <si>
    <t xml:space="preserve">ACETATO DE ZUCLOPENTIXOL </t>
  </si>
  <si>
    <t xml:space="preserve">ACETATO DE TRIPTORRELINA </t>
  </si>
  <si>
    <t xml:space="preserve">ACETATO DE TERLIPRESSINA </t>
  </si>
  <si>
    <t xml:space="preserve">ACETATO DE TERIPARATIDA </t>
  </si>
  <si>
    <t xml:space="preserve">ACETATO DE SOMATOSTATINA </t>
  </si>
  <si>
    <t xml:space="preserve">ACETATO DE OCTREOTIDA </t>
  </si>
  <si>
    <t xml:space="preserve">ACETATO DE NORETISTERONA </t>
  </si>
  <si>
    <t xml:space="preserve">ACETATO DE NOMEGESTROL </t>
  </si>
  <si>
    <t xml:space="preserve">ACETATO DE NAFARRELINA </t>
  </si>
  <si>
    <t xml:space="preserve">ACETATO DE METILPREDNISOLONA </t>
  </si>
  <si>
    <t xml:space="preserve">ACETATO DE MEGESTROL </t>
  </si>
  <si>
    <t xml:space="preserve">ACETATO DE MEDROXIPROGESTERONA </t>
  </si>
  <si>
    <t xml:space="preserve">ACETATO DE LEUPRORRELINA </t>
  </si>
  <si>
    <t xml:space="preserve">ACETATO DE LANREOTIDA </t>
  </si>
  <si>
    <t xml:space="preserve">ACETATO DE GUANABENZO </t>
  </si>
  <si>
    <t xml:space="preserve">ACETATO DE GOSSERRELINA </t>
  </si>
  <si>
    <t xml:space="preserve">ACETATO DE GLATIRÂMER </t>
  </si>
  <si>
    <t xml:space="preserve">ACETATO DE GANIRRELIX </t>
  </si>
  <si>
    <t xml:space="preserve">ACETATO DE FLUDROCORTISONA </t>
  </si>
  <si>
    <t xml:space="preserve">ACETATO DE DEXAMETASONA </t>
  </si>
  <si>
    <t xml:space="preserve">ACETATO DE DESMOPRESSINA </t>
  </si>
  <si>
    <t>ACETATO DE DEGARELIX (Incluído pelo Decreto nº 8.271, de 2014)</t>
  </si>
  <si>
    <t>13 - A</t>
  </si>
  <si>
    <t xml:space="preserve">ACETATO DE CIPROTERONA </t>
  </si>
  <si>
    <t xml:space="preserve">ACETATO DE CETRORRELIX </t>
  </si>
  <si>
    <t xml:space="preserve">ACETATO DE CASPOFUNGINA </t>
  </si>
  <si>
    <t xml:space="preserve">ACETATO DE BUSSERRELINA </t>
  </si>
  <si>
    <t xml:space="preserve">ACETATO DE ATOSIBANA </t>
  </si>
  <si>
    <t xml:space="preserve">ACETATO DE ANECORTAVE </t>
  </si>
  <si>
    <t xml:space="preserve">ACEMETACINA </t>
  </si>
  <si>
    <t xml:space="preserve">ACECLOFENACO </t>
  </si>
  <si>
    <t xml:space="preserve">ACEBROFILINA </t>
  </si>
  <si>
    <t xml:space="preserve">ACARBOSE </t>
  </si>
  <si>
    <t xml:space="preserve">ACAMPROSATO </t>
  </si>
  <si>
    <t xml:space="preserve">ABCIXIMABE </t>
  </si>
  <si>
    <t>ABATACEPTE (Incluído pelo Decreto nº 8.271, de 2014)</t>
  </si>
  <si>
    <t>1 - A</t>
  </si>
  <si>
    <t xml:space="preserve">ABACAVIR </t>
  </si>
  <si>
    <t>SUBSTÂNCIA - MONODROGA TARJA VERMELHA OU PRETA</t>
  </si>
  <si>
    <t>ITEM2</t>
  </si>
  <si>
    <t>CATEGORIA</t>
  </si>
  <si>
    <t>ITEM</t>
  </si>
  <si>
    <t>Ibuprofeno</t>
  </si>
  <si>
    <t>DEXAMETASONA</t>
  </si>
  <si>
    <t>SORBITOL</t>
  </si>
  <si>
    <t>cloridrato de amiodarona</t>
  </si>
  <si>
    <t>maleato de clorfeniramina</t>
  </si>
  <si>
    <t>DIPROPIONATO DE BECLOMETASONA</t>
  </si>
  <si>
    <t>cloridrato de fenilefrina</t>
  </si>
  <si>
    <t>propafenona</t>
  </si>
  <si>
    <t>Hiperol</t>
  </si>
  <si>
    <t>Acetato de medroxiprogesterona</t>
  </si>
  <si>
    <t>Risedronato sódico</t>
  </si>
  <si>
    <t>Ácido Fólico</t>
  </si>
  <si>
    <t>Citrato de sildenafila</t>
  </si>
  <si>
    <t>Cloridrato de biperideno</t>
  </si>
  <si>
    <t>Alendronato de sódio</t>
  </si>
  <si>
    <t>Fumarato de formoterol + budesonida</t>
  </si>
  <si>
    <t>Cloridrato de fexofenadina</t>
  </si>
  <si>
    <t>Cloridrato de fexofenadina + Cloridrato de Pseudoefedrina</t>
  </si>
  <si>
    <t>cloridrato de memantina</t>
  </si>
  <si>
    <t>Alopurinol</t>
  </si>
  <si>
    <t>tartarato de brimonidina</t>
  </si>
  <si>
    <t>benzocaína tirotricina</t>
  </si>
  <si>
    <t>Amoxicilina +  clavulanato de potássio</t>
  </si>
  <si>
    <t>Amoxicilina</t>
  </si>
  <si>
    <t>Amitriptilina</t>
  </si>
  <si>
    <t>estradiol drospirenona</t>
  </si>
  <si>
    <t>losartana potássica</t>
  </si>
  <si>
    <t>etoricoxibe</t>
  </si>
  <si>
    <t>cloridrato de triexifenidil</t>
  </si>
  <si>
    <t>Azitromicina</t>
  </si>
  <si>
    <t>furoato de fluticasona</t>
  </si>
  <si>
    <t>brinzolamida</t>
  </si>
  <si>
    <t>sulfasalazina</t>
  </si>
  <si>
    <t>cloridrato de difenidramina</t>
  </si>
  <si>
    <t xml:space="preserve"> Neomicina + Tartarato de Bismuto de Sódio + Cloridrato de Procaína</t>
  </si>
  <si>
    <t>ALOPURINOL</t>
  </si>
  <si>
    <t>drospirenona</t>
  </si>
  <si>
    <t>levonorgestrel</t>
  </si>
  <si>
    <t>tribenosídeo</t>
  </si>
  <si>
    <t>Lidocaína</t>
  </si>
  <si>
    <t>latanoprosta</t>
  </si>
  <si>
    <t>Timolol</t>
  </si>
  <si>
    <t>ezetimiba</t>
  </si>
  <si>
    <t>Cloridrato de ondansetrona</t>
  </si>
  <si>
    <t>Cloridrato de moxifloxacino</t>
  </si>
  <si>
    <t>vimpocetina</t>
  </si>
  <si>
    <t>pentoxifilina</t>
  </si>
  <si>
    <t>guaifenesina</t>
  </si>
  <si>
    <t>dicloridrato de flunarizina</t>
  </si>
  <si>
    <t>CUMARINA</t>
  </si>
  <si>
    <t>Diosmina</t>
  </si>
  <si>
    <t>trimetazidina</t>
  </si>
  <si>
    <t>fluocortolona + lidocaina</t>
  </si>
  <si>
    <t>TYLENOL</t>
  </si>
  <si>
    <t>paracetamol</t>
  </si>
  <si>
    <t>etinilestradiol+levonorgestrel</t>
  </si>
  <si>
    <t>fenilefrina+paracetamol+ac.ascorbico+ </t>
  </si>
  <si>
    <t>carisoprodol+cafeina+diclofenaco+paracet </t>
  </si>
  <si>
    <t>trometamol cetoroloco</t>
  </si>
  <si>
    <t>imipramina</t>
  </si>
  <si>
    <t>tobramicina</t>
  </si>
  <si>
    <t>fendizoato de cloperastina</t>
  </si>
  <si>
    <t>tibolona</t>
  </si>
  <si>
    <t>levofloxacino</t>
  </si>
  <si>
    <t>norfloxacino</t>
  </si>
  <si>
    <t>ciprofloxacino</t>
  </si>
  <si>
    <t>propatilnitrato</t>
  </si>
  <si>
    <t>mononitrato de isossorbida</t>
  </si>
  <si>
    <t>isossorbida</t>
  </si>
  <si>
    <t>dinitrato de isossorbida</t>
  </si>
  <si>
    <t>sulfato ferroso</t>
  </si>
  <si>
    <t>sucralfato</t>
  </si>
  <si>
    <t>diclofenaco de sodio</t>
  </si>
  <si>
    <t>nafazolina+associacoes</t>
  </si>
  <si>
    <t>sinvastatina</t>
  </si>
  <si>
    <t>simeticona</t>
  </si>
  <si>
    <r>
      <t>dimeticona+hidr.aluminio+hidr.magnesio</t>
    </r>
    <r>
      <rPr>
        <sz val="9"/>
        <color indexed="63"/>
        <rFont val="Arial"/>
        <family val="2"/>
      </rPr>
      <t/>
    </r>
  </si>
  <si>
    <t>pramipexol</t>
  </si>
  <si>
    <t>fluticasona+salmeterol</t>
  </si>
  <si>
    <t>metenamina+metiltioninio</t>
  </si>
  <si>
    <t>canfora+mentol+salicilato metila</t>
  </si>
  <si>
    <t>isotretinoina</t>
  </si>
  <si>
    <t>risedronado sodico</t>
  </si>
  <si>
    <t>hidroxicloroquina</t>
  </si>
  <si>
    <t>clor. de fenilefrina+parcet+clorf.</t>
  </si>
  <si>
    <t xml:space="preserve">paracetamol+fenilefrina+clorfeniramina  </t>
  </si>
  <si>
    <t>saccharomyces cerevisae</t>
  </si>
  <si>
    <t>escina</t>
  </si>
  <si>
    <t>eletrolitos</t>
  </si>
  <si>
    <t>fenazopiridina</t>
  </si>
  <si>
    <t>ranelato de estroncio</t>
  </si>
  <si>
    <t>prometazina</t>
  </si>
  <si>
    <t>policresuleno + cloridrato de chinchocaina</t>
  </si>
  <si>
    <t>citalopram</t>
  </si>
  <si>
    <t>etinilestradiol + noretisterona</t>
  </si>
  <si>
    <t>estradiol</t>
  </si>
  <si>
    <t>prednisolona</t>
  </si>
  <si>
    <t>metoclopramida</t>
  </si>
  <si>
    <t>levodropropizina</t>
  </si>
  <si>
    <t>alimento</t>
  </si>
  <si>
    <t>cloranfenicol+lidocaina</t>
  </si>
  <si>
    <t>hialuronidase+lidocaina+neomicina</t>
  </si>
  <si>
    <t>fluocinolona+neom.+poliximina b+lidocaina</t>
  </si>
  <si>
    <t>hidrocortisona+sulf neomicina+ sulf polimixina</t>
  </si>
  <si>
    <t>ciprofloxacino+hidrocortisona </t>
  </si>
  <si>
    <t>ciclesonida</t>
  </si>
  <si>
    <t>omeprazol</t>
  </si>
  <si>
    <t>amoxicilina</t>
  </si>
  <si>
    <t>insulina humana</t>
  </si>
  <si>
    <t>ferripolimaltose</t>
  </si>
  <si>
    <t>Antiacnil-3</t>
  </si>
  <si>
    <t>dipirona sódica </t>
  </si>
  <si>
    <t>Alendronato sódico triidratado</t>
  </si>
  <si>
    <t>Bromoprida</t>
  </si>
  <si>
    <t>escopolamina+paracetamol</t>
  </si>
  <si>
    <t>ibuprofeno</t>
  </si>
  <si>
    <t>budesonida</t>
  </si>
  <si>
    <t>Escopolamina e Dipirona</t>
  </si>
  <si>
    <t>carbidopa+levodopa</t>
  </si>
  <si>
    <t>dipirona sódica</t>
  </si>
  <si>
    <t>celecoxibe</t>
  </si>
  <si>
    <t>maleato de dexclorfeniramina</t>
  </si>
  <si>
    <t>Desogestrel</t>
  </si>
  <si>
    <t>trolamina</t>
  </si>
  <si>
    <t>tartarato de vareniclina</t>
  </si>
  <si>
    <t>tadalafila</t>
  </si>
  <si>
    <t>clorfenamina</t>
  </si>
  <si>
    <t>nimesulida</t>
  </si>
  <si>
    <t>ciprofibrato</t>
  </si>
  <si>
    <t xml:space="preserve">citrato de sildenafila </t>
  </si>
  <si>
    <t>cloridrato de Memantina</t>
  </si>
  <si>
    <t>cloridrato de naratriptana</t>
  </si>
  <si>
    <t>Cloridrato de Ciprofloxacino</t>
  </si>
  <si>
    <t>Cloridrato de Fluoxetina</t>
  </si>
  <si>
    <t>Cloridrato de Metformina</t>
  </si>
  <si>
    <t>Cloridrato de ranitidina</t>
  </si>
  <si>
    <t>CLOR.C MG CPR REVEST 50 MG x 30</t>
  </si>
  <si>
    <t>cloridrato de sertralina</t>
  </si>
  <si>
    <t>colchicina</t>
  </si>
  <si>
    <t>ferrocarbonila</t>
  </si>
  <si>
    <t>glicinato ferrico + associacoes</t>
  </si>
  <si>
    <t>amiodarona</t>
  </si>
  <si>
    <t xml:space="preserve"> prednisona</t>
  </si>
  <si>
    <t>dexametasona</t>
  </si>
  <si>
    <t>acriflavina+beladona+metenamina</t>
  </si>
  <si>
    <t>ac. ascorbico+hesperidina+piperidolato</t>
  </si>
  <si>
    <t>diosmina+hesperidina</t>
  </si>
  <si>
    <t>cloridrato de fluoxetina</t>
  </si>
  <si>
    <t>bronfeniramina+fenilefrina</t>
  </si>
  <si>
    <t>cianoc+dexamet+piridoxina+procai+tiamina</t>
  </si>
  <si>
    <t>Dexa-citoneurin</t>
  </si>
  <si>
    <t>dexametasona+dipirona sodica + hidroxocobalamina</t>
  </si>
  <si>
    <t>dexametasona+neomicina</t>
  </si>
  <si>
    <t>Levonorgestrel</t>
  </si>
  <si>
    <t>cloridrato de loperamida</t>
  </si>
  <si>
    <t>betaistina</t>
  </si>
  <si>
    <t>diclofenaco dietilamonio</t>
  </si>
  <si>
    <t>digoxina</t>
  </si>
  <si>
    <t>dipirona sodica</t>
  </si>
  <si>
    <t>trazodona</t>
  </si>
  <si>
    <t>dipirona monoidratada</t>
  </si>
  <si>
    <t>dimenidrinato+piridoxina</t>
  </si>
  <si>
    <t>memantina</t>
  </si>
  <si>
    <t>drosperinona + etinilestradiol</t>
  </si>
  <si>
    <t>m.didroergotamina+dipirona+cafeina</t>
  </si>
  <si>
    <t>cloridrato de donepezila</t>
  </si>
  <si>
    <t>simeticona+homatropina</t>
  </si>
  <si>
    <t>Oxomemazina</t>
  </si>
  <si>
    <t>domperidona</t>
  </si>
  <si>
    <t>Colunas1</t>
  </si>
  <si>
    <t>Colunas2</t>
  </si>
  <si>
    <t>dimeticona+hidr.aluminio+hidr.magnesio</t>
  </si>
  <si>
    <t>ACETATO DE MEDROXIPROGESTERONA</t>
  </si>
  <si>
    <t>IBUPROFENO</t>
  </si>
  <si>
    <t>CITRATO DE SILDENAFILA</t>
  </si>
  <si>
    <t>CLORIDRATO DE BIPERIDENO</t>
  </si>
  <si>
    <t>CLORIDRATO DE FEXOFENADINA</t>
  </si>
  <si>
    <t>CLORIDRATO DE MEMANTINA</t>
  </si>
  <si>
    <t>TARTARATO DE BRIMONIDINA</t>
  </si>
  <si>
    <t>CLORIDRATO DE AMIODARONA</t>
  </si>
  <si>
    <t>AMOXICILINA</t>
  </si>
  <si>
    <t>AMITRIPTILINA</t>
  </si>
  <si>
    <t>ETORICOXIBE</t>
  </si>
  <si>
    <t>CLORIDRATO DE TRIEXIFENIDIL</t>
  </si>
  <si>
    <t>AZITROMICINA</t>
  </si>
  <si>
    <t>FUROATO DE FLUTICASONA</t>
  </si>
  <si>
    <t>BRINZOLAMIDA</t>
  </si>
  <si>
    <t>CLORIDRATO DE DIFENIDRAMINA</t>
  </si>
  <si>
    <t>MALEATO DE CLORFENIRAMINA</t>
  </si>
  <si>
    <t>BROMOPRIDA</t>
  </si>
  <si>
    <t>BUDESONIDA</t>
  </si>
  <si>
    <t>PARACETAMOL</t>
  </si>
  <si>
    <t>CELECOXIBE</t>
  </si>
  <si>
    <t>MALEATO DE DEXCLORFENIRAMINA</t>
  </si>
  <si>
    <t>DESOGESTREL</t>
  </si>
  <si>
    <t>TARTARATO DE VARENICLINA</t>
  </si>
  <si>
    <t>TADALAFILA</t>
  </si>
  <si>
    <t>LEVONORGESTREL</t>
  </si>
  <si>
    <t>CLORFENAMINA</t>
  </si>
  <si>
    <t>NIMESULIDA</t>
  </si>
  <si>
    <t>CIPROFIBRATO</t>
  </si>
  <si>
    <t>CLORIDRATO DE NARATRIPTANA</t>
  </si>
  <si>
    <t>CLORIDRATO DE CIPROFLOXACINO</t>
  </si>
  <si>
    <t>CLORIDRATO DE FLUOXETINA</t>
  </si>
  <si>
    <t>CLORIDRATO DE METFORMINA</t>
  </si>
  <si>
    <t>CLORIDRATO DE RANITIDINA</t>
  </si>
  <si>
    <t>CLORIDRATO DE SERTRALINA</t>
  </si>
  <si>
    <t>COLCHICINA</t>
  </si>
  <si>
    <t>FERROCARBONILA</t>
  </si>
  <si>
    <t>AMIODARONA</t>
  </si>
  <si>
    <t>CLORIDRATO DE LOPERAMIDA</t>
  </si>
  <si>
    <t>BETAISTINA</t>
  </si>
  <si>
    <t>DICLOFENACO DIETILAMONIO</t>
  </si>
  <si>
    <t>DIGOXINA</t>
  </si>
  <si>
    <t>DIPIRONA SODICA</t>
  </si>
  <si>
    <t>TRAZODONA</t>
  </si>
  <si>
    <t>MEMANTINA</t>
  </si>
  <si>
    <t>CLORIDRATO DE DONEPEZILA</t>
  </si>
  <si>
    <t>ESTRADIOL</t>
  </si>
  <si>
    <t>OXOMEMAZINA</t>
  </si>
  <si>
    <t>DICLORIDRATO DE FLUNARIZINA</t>
  </si>
  <si>
    <t>TIMOLOL</t>
  </si>
  <si>
    <t>DINITRATO DE ISOSSORBIDA</t>
  </si>
  <si>
    <t>LEVOFLOXACINO</t>
  </si>
  <si>
    <t>ISOSSORBIDA</t>
  </si>
  <si>
    <t>DOMPERIDONA</t>
  </si>
  <si>
    <t>CLORIDRATO DE FENILEFRINA</t>
  </si>
  <si>
    <t>CLORIDRATO DE ONDANSETRONA</t>
  </si>
  <si>
    <t>NORFLOXACINO</t>
  </si>
  <si>
    <t>FERRIPOLIMALTOSE</t>
  </si>
  <si>
    <t>INSULINA HUMANA</t>
  </si>
  <si>
    <t>OMEPRAZOL</t>
  </si>
  <si>
    <t>CICLESONIDA</t>
  </si>
  <si>
    <t>ALIMENTO</t>
  </si>
  <si>
    <t>PENTOXIFILINA</t>
  </si>
  <si>
    <t>LEVODROPROPIZINA</t>
  </si>
  <si>
    <t>METOCLOPRAMIDA</t>
  </si>
  <si>
    <t>PREDNISOLONA</t>
  </si>
  <si>
    <t>CITALOPRAM</t>
  </si>
  <si>
    <t>PROMETAZINA</t>
  </si>
  <si>
    <t>RANELATO DE ESTRONCIO</t>
  </si>
  <si>
    <t>FENAZOPIRIDINA</t>
  </si>
  <si>
    <t>ELETROLITOS</t>
  </si>
  <si>
    <t>ESCINA</t>
  </si>
  <si>
    <t>SACCHAROMYCES CEREVISAE</t>
  </si>
  <si>
    <t>HIDROXICLOROQUINA</t>
  </si>
  <si>
    <t>RISEDRONADO SODICO</t>
  </si>
  <si>
    <t>PROPAFENONA</t>
  </si>
  <si>
    <t>ISOTRETINOINA</t>
  </si>
  <si>
    <t>FENDIZOATO DE CLOPERASTINA</t>
  </si>
  <si>
    <t>PRAMIPEXOL</t>
  </si>
  <si>
    <t>SIMETICONA</t>
  </si>
  <si>
    <t>SINVASTATINA</t>
  </si>
  <si>
    <t>DICLOFENACO DE SODIO</t>
  </si>
  <si>
    <t>SUCRALFATO</t>
  </si>
  <si>
    <t>SULFATO FERROSO</t>
  </si>
  <si>
    <t>PROPATILNITRATO</t>
  </si>
  <si>
    <t>TIBOLONA</t>
  </si>
  <si>
    <t>TOBRAMICINA</t>
  </si>
  <si>
    <t>IMIPRAMINA</t>
  </si>
  <si>
    <t>TROMETAMOL CETOROLOCO</t>
  </si>
  <si>
    <t>TRIMETAZIDINA</t>
  </si>
  <si>
    <t>GUAIFENESINA</t>
  </si>
  <si>
    <t>VIMPOCETINA</t>
  </si>
  <si>
    <t>CLORIDRATO DE MOXIFLOXACINO</t>
  </si>
  <si>
    <t>EZETIMIBA</t>
  </si>
  <si>
    <t>LATANOPROSTA</t>
  </si>
  <si>
    <t>DROSPIRENONA</t>
  </si>
  <si>
    <t>SP</t>
  </si>
  <si>
    <t>PR</t>
  </si>
  <si>
    <t>SC</t>
  </si>
  <si>
    <t>RS</t>
  </si>
  <si>
    <t>RJ</t>
  </si>
  <si>
    <t>MG</t>
  </si>
  <si>
    <t>ES</t>
  </si>
  <si>
    <t>GO</t>
  </si>
  <si>
    <t>MT</t>
  </si>
  <si>
    <t>MS</t>
  </si>
  <si>
    <t>DF</t>
  </si>
  <si>
    <t>BA</t>
  </si>
  <si>
    <t>CE</t>
  </si>
  <si>
    <t>PE</t>
  </si>
  <si>
    <t>PA</t>
  </si>
  <si>
    <t>AM</t>
  </si>
  <si>
    <t>nicotina</t>
  </si>
  <si>
    <t>glicinato ferrico</t>
  </si>
  <si>
    <t>ferro quelato glicinato + ac. folico</t>
  </si>
  <si>
    <t>cafeina+dipirona+isometepteno </t>
  </si>
  <si>
    <t>benzocaina+cetilpiridinio </t>
  </si>
  <si>
    <t>escopolamina+dipirona</t>
  </si>
  <si>
    <t>acido folico</t>
  </si>
  <si>
    <t>estradiol+noretisterona</t>
  </si>
  <si>
    <t>mometasona</t>
  </si>
  <si>
    <t>mepiramina+nafazolina+pantenol </t>
  </si>
  <si>
    <t>hidroxido aluminio+associacoes</t>
  </si>
  <si>
    <t>paracetamol+fenilefrina+clorfeniramina </t>
  </si>
  <si>
    <t>xxx</t>
  </si>
  <si>
    <t>alcoolat de geng+ext fluido prop+ac citr+ment</t>
  </si>
  <si>
    <t>dexclorfeniramina+sulf. isoefedrina+guaifenesina</t>
  </si>
  <si>
    <t>sodio + glicose</t>
  </si>
  <si>
    <t>saccharomyces boulardii</t>
  </si>
  <si>
    <t>Fluconazol</t>
  </si>
  <si>
    <t>cinarizina</t>
  </si>
  <si>
    <t>budesonida+formoterol</t>
  </si>
  <si>
    <t>teriparatida</t>
  </si>
  <si>
    <t>Prednisolona</t>
  </si>
  <si>
    <t>ginkgo biloba</t>
  </si>
  <si>
    <t>timolol</t>
  </si>
  <si>
    <t>glibenclamida</t>
  </si>
  <si>
    <t>metformina</t>
  </si>
  <si>
    <t>eritropoetina humana</t>
  </si>
  <si>
    <t>extrato de hamamelis</t>
  </si>
  <si>
    <t>hexamidina+tetracaina</t>
  </si>
  <si>
    <t>glicose+cloreto de sodio e potassio</t>
  </si>
  <si>
    <t>hidróxido de alumínio</t>
  </si>
  <si>
    <t>polissulfato de mucopolissacaridio</t>
  </si>
  <si>
    <t>loratadina</t>
  </si>
  <si>
    <t>clobutinol+doxilamina</t>
  </si>
  <si>
    <t>cloridrato de ranitidina</t>
  </si>
  <si>
    <t>insulina glargina</t>
  </si>
  <si>
    <t>lidocaina+polimixina b</t>
  </si>
  <si>
    <t>losartana</t>
  </si>
  <si>
    <t>dimeticona</t>
  </si>
  <si>
    <t>nitrofurantoína</t>
  </si>
  <si>
    <t xml:space="preserve">Maleato de Enalapril </t>
  </si>
  <si>
    <t>maleato de timolol</t>
  </si>
  <si>
    <t>amantadina</t>
  </si>
  <si>
    <t>dexametasona+neomicina+polimixina b</t>
  </si>
  <si>
    <t>meclizina</t>
  </si>
  <si>
    <t>digluconato de clorexidina</t>
  </si>
  <si>
    <t>mesalazina</t>
  </si>
  <si>
    <t>calcitonina de salmao</t>
  </si>
  <si>
    <t>beclometasona</t>
  </si>
  <si>
    <t>carisoprodol+fenilbutazona+paracetamol</t>
  </si>
  <si>
    <t>montelucaste de sodio</t>
  </si>
  <si>
    <t>mepiramina+nafazolina+pantenol</t>
  </si>
  <si>
    <t xml:space="preserve">mepiramina+nafazolina+pantenol  </t>
  </si>
  <si>
    <t>SACCHAROMYCES BOULARDII</t>
  </si>
  <si>
    <t>FLUCONAZOL</t>
  </si>
  <si>
    <t>CINARIZINA</t>
  </si>
  <si>
    <t>TERIPARATIDA</t>
  </si>
  <si>
    <t>GLIBENCLAMIDA</t>
  </si>
  <si>
    <t>METFORMINA</t>
  </si>
  <si>
    <t>ERITROPOETINA HUMANA</t>
  </si>
  <si>
    <t>POLISSULFATO DE MUCOPOLISSACARIDIO</t>
  </si>
  <si>
    <t>LORATADINA</t>
  </si>
  <si>
    <t>INSULINA GLARGINA</t>
  </si>
  <si>
    <t>LOSARTANA</t>
  </si>
  <si>
    <t>DIMETICONA</t>
  </si>
  <si>
    <t>MALEATO DE TIMOLOL</t>
  </si>
  <si>
    <t>AMANTADINA</t>
  </si>
  <si>
    <t>MECLIZINA</t>
  </si>
  <si>
    <t>DIGLUCONATO DE CLOREXIDINA</t>
  </si>
  <si>
    <t>MESALAZINA</t>
  </si>
  <si>
    <t>CALCITONINA DE SALMAO</t>
  </si>
  <si>
    <t>BECLOMETASONA</t>
  </si>
  <si>
    <t>MONTELUCASTE DE SODIO</t>
  </si>
  <si>
    <t>MOMETASONA</t>
  </si>
  <si>
    <t>ACIDO FOLICO</t>
  </si>
  <si>
    <t>GLICINATO FERRICO</t>
  </si>
  <si>
    <t>NICOTINA</t>
  </si>
  <si>
    <t xml:space="preserve">ACEFILINATO DE HEPTAMINOL </t>
  </si>
  <si>
    <t xml:space="preserve"> CINARIZINA </t>
  </si>
  <si>
    <t xml:space="preserve">ACETATO DE BETAMETASONA </t>
  </si>
  <si>
    <t xml:space="preserve"> FOSFATO DISSÓDICO DE BETAMETASONA </t>
  </si>
  <si>
    <t xml:space="preserve"> ETINILESTRADIOL </t>
  </si>
  <si>
    <t xml:space="preserve"> VALERATO DE ESTRADIOL </t>
  </si>
  <si>
    <t xml:space="preserve">ACETATO DE CLORMADINONA </t>
  </si>
  <si>
    <t xml:space="preserve">ACETATO DE CORTISONA </t>
  </si>
  <si>
    <t xml:space="preserve"> CLORIDRATO DE CLORTETRACICLINA </t>
  </si>
  <si>
    <t xml:space="preserve"> LORETINATO DE BISMUTO </t>
  </si>
  <si>
    <t xml:space="preserve"> CIANOCOBALAMINA </t>
  </si>
  <si>
    <t xml:space="preserve"> CLORIDRATO DE PIRIDOXINA </t>
  </si>
  <si>
    <t xml:space="preserve"> CLORIDRATO DE TIAMINA </t>
  </si>
  <si>
    <t xml:space="preserve"> FOSFATO DISSÓDICO DE DEXAMETASONA </t>
  </si>
  <si>
    <t xml:space="preserve"> CLORIDRATO DE LIDOCAÍNA </t>
  </si>
  <si>
    <t xml:space="preserve"> DIMETILSULFÓXIDO </t>
  </si>
  <si>
    <t xml:space="preserve"> MENTOL </t>
  </si>
  <si>
    <t xml:space="preserve"> NITROFURAL </t>
  </si>
  <si>
    <t xml:space="preserve"> SULFATO DE NEOMICINA </t>
  </si>
  <si>
    <t xml:space="preserve"> SULFATO DE POLIMIXINA B </t>
  </si>
  <si>
    <t xml:space="preserve"> CIPIONATO DE ESTRADIOL </t>
  </si>
  <si>
    <t xml:space="preserve"> ESTROGÊNIOS CONJUGADOS </t>
  </si>
  <si>
    <t xml:space="preserve"> ESTRADIOL </t>
  </si>
  <si>
    <t xml:space="preserve"> ESTRADIOL HEMIIDRATADO </t>
  </si>
  <si>
    <t xml:space="preserve">ACETATO DE PREDNISOLONA </t>
  </si>
  <si>
    <t xml:space="preserve"> GATIFLOXACINO (Incluído pelo Decreto nº 8.271, de 2014)</t>
  </si>
  <si>
    <t xml:space="preserve"> HIPROMELOSE </t>
  </si>
  <si>
    <t xml:space="preserve"> SULFACETAMIDA SÓDICA </t>
  </si>
  <si>
    <t xml:space="preserve">ÁCIDO ACETIL SALICÍLICO </t>
  </si>
  <si>
    <t xml:space="preserve"> BISSULFATO DE CLOPIDOGREL (Incluído pelo Decreto nº 8.271, de 2014)</t>
  </si>
  <si>
    <t xml:space="preserve">ÁCIDO ACETILSALICÍLICO </t>
  </si>
  <si>
    <t xml:space="preserve"> MONONITRATO DE ISOSSORBIDA </t>
  </si>
  <si>
    <t xml:space="preserve"> NIFEDIPINO </t>
  </si>
  <si>
    <t xml:space="preserve"> SINVASTATINA (Incluído pelo Decreto nº 8.271, de 2014)</t>
  </si>
  <si>
    <t xml:space="preserve">ÁCIDO AMINOCAPRÓICO </t>
  </si>
  <si>
    <t xml:space="preserve"> ANTÍGENOS BACTERIANOS </t>
  </si>
  <si>
    <t xml:space="preserve"> BENZILPENICILINA </t>
  </si>
  <si>
    <t xml:space="preserve">ÁCIDO BENZÓICO </t>
  </si>
  <si>
    <t xml:space="preserve"> ÁCIDO SALICÍLICO </t>
  </si>
  <si>
    <t xml:space="preserve">ÁCIDO BÓRICO </t>
  </si>
  <si>
    <t xml:space="preserve"> CLORIDRATO DE PROCAÍNA </t>
  </si>
  <si>
    <t xml:space="preserve"> TIROTRICINA </t>
  </si>
  <si>
    <t xml:space="preserve"> CLORANFENICOL </t>
  </si>
  <si>
    <t xml:space="preserve"> CLORIDRATO DE TETRACAÍNA </t>
  </si>
  <si>
    <t xml:space="preserve"> URÉIA </t>
  </si>
  <si>
    <t xml:space="preserve">ÁCIDO DESIDROCÓLICO </t>
  </si>
  <si>
    <t xml:space="preserve"> CELULASE </t>
  </si>
  <si>
    <t xml:space="preserve"> CLORIDRATO DE METOCLOPRAMIDA </t>
  </si>
  <si>
    <t xml:space="preserve"> DIMETICONA </t>
  </si>
  <si>
    <t xml:space="preserve"> PANCREATINA </t>
  </si>
  <si>
    <t xml:space="preserve"> PEPSINA </t>
  </si>
  <si>
    <t xml:space="preserve">ÁCIDO FENOFÍBRICO </t>
  </si>
  <si>
    <t xml:space="preserve"> ROSUVASTATINA CÁLCIA (Incluído pelo Decreto nº 8.271, de 2014)</t>
  </si>
  <si>
    <t xml:space="preserve"> LAROPIPRANTO (Incluído pelo Decreto nº 8.271, de 2014)</t>
  </si>
  <si>
    <t xml:space="preserve"> LOVASTATINA </t>
  </si>
  <si>
    <t xml:space="preserve"> VALPROATO DE SÓDIO </t>
  </si>
  <si>
    <t xml:space="preserve">ÁLCOOL POLIVINÍLICO </t>
  </si>
  <si>
    <t xml:space="preserve"> FLUORMETOLONA </t>
  </si>
  <si>
    <t xml:space="preserve"> CARBONATO DE CÁLCIO </t>
  </si>
  <si>
    <t xml:space="preserve"> COLECALCIFEROL </t>
  </si>
  <si>
    <t xml:space="preserve">ALFAMILASE </t>
  </si>
  <si>
    <t xml:space="preserve"> BROMOPRIDA </t>
  </si>
  <si>
    <t xml:space="preserve"> LIPASE </t>
  </si>
  <si>
    <t xml:space="preserve"> PROTEASE PANCREÁTICA </t>
  </si>
  <si>
    <t xml:space="preserve"> RIBAVIRINA (Incluído pelo Decreto nº 8.271, de 2014)</t>
  </si>
  <si>
    <t xml:space="preserve">ALGESTONA ACETONIDA </t>
  </si>
  <si>
    <t xml:space="preserve"> ENANTATO DE ESTRADIOL </t>
  </si>
  <si>
    <t xml:space="preserve">AMBUFILINA </t>
  </si>
  <si>
    <t xml:space="preserve"> CLORIDRATO DE ETAFEDRINA </t>
  </si>
  <si>
    <t xml:space="preserve"> CLORIDRATO DE FENILEFRINA </t>
  </si>
  <si>
    <t xml:space="preserve"> SUCCINATO DE DOXILAMINA </t>
  </si>
  <si>
    <t xml:space="preserve"> GUAIFENESINA </t>
  </si>
  <si>
    <t xml:space="preserve">AMILORIDA </t>
  </si>
  <si>
    <t xml:space="preserve"> CLORTALIDONA </t>
  </si>
  <si>
    <t xml:space="preserve"> CLARITROMICINA </t>
  </si>
  <si>
    <t xml:space="preserve"> LANSOPRAZOL </t>
  </si>
  <si>
    <t xml:space="preserve"> OMEPRAZOL </t>
  </si>
  <si>
    <t xml:space="preserve"> PANTOPRAZOL </t>
  </si>
  <si>
    <t xml:space="preserve"> CLAVULANATO DE POTÁSSIO </t>
  </si>
  <si>
    <t xml:space="preserve"> LEVOFLOXACINO  </t>
  </si>
  <si>
    <t xml:space="preserve"> LANSOPRAZOL (Incluído pelo Decreto nº 8.271, de 2014)</t>
  </si>
  <si>
    <t xml:space="preserve"> SULBACTAM </t>
  </si>
  <si>
    <t xml:space="preserve">AMOXICILINA SÓDICA </t>
  </si>
  <si>
    <t xml:space="preserve"> PROBENECIDA </t>
  </si>
  <si>
    <t xml:space="preserve">AMPICILINA BENZATINA </t>
  </si>
  <si>
    <t xml:space="preserve"> AMPICILINA SÓDICA </t>
  </si>
  <si>
    <t xml:space="preserve"> CLORETO DE CÁLCIO </t>
  </si>
  <si>
    <t xml:space="preserve"> FIBRINOGÊNIO </t>
  </si>
  <si>
    <t xml:space="preserve"> TROMBINA </t>
  </si>
  <si>
    <t xml:space="preserve"> FATOR XIII DE COAGULAÇÃO </t>
  </si>
  <si>
    <t xml:space="preserve"> AZTREONAM </t>
  </si>
  <si>
    <t xml:space="preserve"> CEFEPIMA  (Incluído pelo Decreto nº 8.271, de 2014)</t>
  </si>
  <si>
    <t xml:space="preserve"> CLORIDRATO DE CEFEPIMA </t>
  </si>
  <si>
    <t xml:space="preserve"> IBUPROFENO </t>
  </si>
  <si>
    <t xml:space="preserve"> LUMEFANTRINA </t>
  </si>
  <si>
    <t xml:space="preserve"> BESILATO DE ANLODIPINO </t>
  </si>
  <si>
    <t xml:space="preserve">ATORVASTATINA </t>
  </si>
  <si>
    <t xml:space="preserve"> NIACINA (Incluído pelo Decreto nº 8.271, de 2014)</t>
  </si>
  <si>
    <t xml:space="preserve"> TORCETRAPIBE </t>
  </si>
  <si>
    <t xml:space="preserve">BACITRACINA </t>
  </si>
  <si>
    <t xml:space="preserve"> NEOMICINA </t>
  </si>
  <si>
    <t xml:space="preserve">BACITRACINA ZÍNCICA </t>
  </si>
  <si>
    <t xml:space="preserve"> BENZILPENICILINA PROCAÍNA </t>
  </si>
  <si>
    <t xml:space="preserve">BENZOATO DE ESTRADIOL </t>
  </si>
  <si>
    <t xml:space="preserve"> PROGESTERONA </t>
  </si>
  <si>
    <t xml:space="preserve"> CLORIDRATO DE BENAZEPRIL </t>
  </si>
  <si>
    <t xml:space="preserve"> HEMIFUMARATO DE ALISQUIRENO (Incluído pelo Decreto nº 8.271, de 2014)</t>
  </si>
  <si>
    <t xml:space="preserve"> HIDROCLOROTIAZIDA </t>
  </si>
  <si>
    <t xml:space="preserve"> IRBESARTANA (Incluído pelo Decreto nº 8.271, de 2014)</t>
  </si>
  <si>
    <t xml:space="preserve"> VALSARTANA (Incluído pelo Decreto nº 8.271, de 2014)</t>
  </si>
  <si>
    <t xml:space="preserve"> LOSARTANA POTÁSSICA </t>
  </si>
  <si>
    <t xml:space="preserve"> MALEATO DE ENALAPRIL </t>
  </si>
  <si>
    <t xml:space="preserve"> OLMESARTANA MEDOXOMILA (Incluído pelo Decreto nº 8.271, de 2014)</t>
  </si>
  <si>
    <t xml:space="preserve"> RAMIPRIL </t>
  </si>
  <si>
    <t xml:space="preserve"> VALSARTANA </t>
  </si>
  <si>
    <t xml:space="preserve">BETAESCINA </t>
  </si>
  <si>
    <t xml:space="preserve"> HEPARINA SÓDICA </t>
  </si>
  <si>
    <t xml:space="preserve"> SALICILATO DE ETILENOGLICOL </t>
  </si>
  <si>
    <t xml:space="preserve"> MALEATO DE TIMOLOL (Incluído pelo Decreto nº 8.271, de 2014)</t>
  </si>
  <si>
    <t xml:space="preserve"> MALEATO DE TIMOLOL </t>
  </si>
  <si>
    <t xml:space="preserve"> TARTARATO DE BRIMONIDINA (Incluído pelo Decreto nº 8.271, de 2014)</t>
  </si>
  <si>
    <t xml:space="preserve">BISOPROLOL </t>
  </si>
  <si>
    <t xml:space="preserve"> SULPIRIDA </t>
  </si>
  <si>
    <t xml:space="preserve">BROMELAÍNA </t>
  </si>
  <si>
    <t xml:space="preserve"> DESIDROCOLATO DE SÓDIO </t>
  </si>
  <si>
    <t xml:space="preserve"> METOCLOPRAMIDA </t>
  </si>
  <si>
    <t xml:space="preserve"> BROMIDRATO DE FENOTEROL </t>
  </si>
  <si>
    <t xml:space="preserve"> SULFATO DE SALBUTAMOL </t>
  </si>
  <si>
    <t xml:space="preserve">BROMOPRIDA </t>
  </si>
  <si>
    <t xml:space="preserve"> FUMARATO DE FORMOTEROL </t>
  </si>
  <si>
    <t xml:space="preserve">CAMBENDAZOL </t>
  </si>
  <si>
    <t xml:space="preserve"> MEBENDAZOL (Incluído pelo Decreto nº 8.271, de 2014)</t>
  </si>
  <si>
    <t xml:space="preserve"> FELODIPINO (Incluído pelo Decreto nº 8.271, de 2014)</t>
  </si>
  <si>
    <t xml:space="preserve">CAPROATO DE HIDROXIPROGESTERONA </t>
  </si>
  <si>
    <t xml:space="preserve">CARBIDOPA </t>
  </si>
  <si>
    <t xml:space="preserve"> ENTACAPONA </t>
  </si>
  <si>
    <t xml:space="preserve"> LEVODOPA </t>
  </si>
  <si>
    <t xml:space="preserve">CARBONATO DE CÁLCIO </t>
  </si>
  <si>
    <t xml:space="preserve"> RISEDRONATO SÓDICO (Incluído pelo Decreto nº 8.271, de 2014)</t>
  </si>
  <si>
    <t xml:space="preserve">CARBONATO DE SÓDIO </t>
  </si>
  <si>
    <t xml:space="preserve"> FENOL </t>
  </si>
  <si>
    <t xml:space="preserve">CARMELOSE </t>
  </si>
  <si>
    <t xml:space="preserve"> SULFATO DE BÁRIO </t>
  </si>
  <si>
    <t xml:space="preserve">CEFOPERAZONA </t>
  </si>
  <si>
    <t xml:space="preserve">CETRIMIDA </t>
  </si>
  <si>
    <t xml:space="preserve"> GLICONATO DE CLOREXIDINA </t>
  </si>
  <si>
    <t xml:space="preserve"> CITRATO DE ORFENADRINA </t>
  </si>
  <si>
    <t xml:space="preserve"> DEXAMETASONA </t>
  </si>
  <si>
    <t xml:space="preserve"> PIROXICAM </t>
  </si>
  <si>
    <t xml:space="preserve"> DICLOFENACO SÓDICO (Incluído pelo Decreto nº 8.271, de 2014)</t>
  </si>
  <si>
    <t xml:space="preserve"> DICLOFENACO SÓDICO </t>
  </si>
  <si>
    <t xml:space="preserve"> NITRATO DE TIAMINA </t>
  </si>
  <si>
    <t xml:space="preserve"> NITRATO DE TIAMINA (Incluído pelo Decreto nº 8.271, de 2014)</t>
  </si>
  <si>
    <t xml:space="preserve">CILASTATINA SÓDICA </t>
  </si>
  <si>
    <t xml:space="preserve"> IMIPENÉM </t>
  </si>
  <si>
    <t xml:space="preserve"> PIRACETAM </t>
  </si>
  <si>
    <t xml:space="preserve"> CLORIDRATO DE CIPROFLOXACINO </t>
  </si>
  <si>
    <t xml:space="preserve"> DROPERIDOL </t>
  </si>
  <si>
    <t xml:space="preserve"> TINIDAZOL </t>
  </si>
  <si>
    <t xml:space="preserve">CLAVULANATO DE POTÁSSIO </t>
  </si>
  <si>
    <t xml:space="preserve"> TICARCILINA </t>
  </si>
  <si>
    <t xml:space="preserve">CLOFIBRATO DE ETILA </t>
  </si>
  <si>
    <t xml:space="preserve"> TARTARATO DE NICOTINILA </t>
  </si>
  <si>
    <t xml:space="preserve">CLOPAMIDA </t>
  </si>
  <si>
    <t xml:space="preserve"> PINDOLOL </t>
  </si>
  <si>
    <t xml:space="preserve"> CLORFENESINA </t>
  </si>
  <si>
    <t xml:space="preserve"> CLORIDRATO DE TETRIZOLINA </t>
  </si>
  <si>
    <t xml:space="preserve"> DESOXIRRIBONUCLEASE </t>
  </si>
  <si>
    <t xml:space="preserve"> FIBRINOLISINA </t>
  </si>
  <si>
    <t xml:space="preserve"> FLUOCINOLONA ACETONIDA </t>
  </si>
  <si>
    <t xml:space="preserve"> CLORIDRATO DE AMITRIPTILINA </t>
  </si>
  <si>
    <t xml:space="preserve"> DIASTASE </t>
  </si>
  <si>
    <t xml:space="preserve"> HOMOCISTEINATIOLACTONA </t>
  </si>
  <si>
    <t xml:space="preserve"> NICOTINAMIDA </t>
  </si>
  <si>
    <t xml:space="preserve"> PAPAÍNA </t>
  </si>
  <si>
    <t xml:space="preserve"> PIRIDOXINA </t>
  </si>
  <si>
    <t xml:space="preserve"> RIBOFLAVINA </t>
  </si>
  <si>
    <t xml:space="preserve"> TIAMINA </t>
  </si>
  <si>
    <t xml:space="preserve"> FUROSEMIDA </t>
  </si>
  <si>
    <t xml:space="preserve">CLORFENESINA </t>
  </si>
  <si>
    <t xml:space="preserve"> VALERATO DE BETAMETASONA </t>
  </si>
  <si>
    <t xml:space="preserve">CLORIDRATO DE ADIFENINA </t>
  </si>
  <si>
    <t xml:space="preserve"> CLORIDRATO DE PROMETAZINA </t>
  </si>
  <si>
    <t xml:space="preserve"> DIPIRONA SÓDICA (Incluído pelo Decreto nº 8.271, de 2014)</t>
  </si>
  <si>
    <t xml:space="preserve">CLORIDRATO DE ARTICAÍNA </t>
  </si>
  <si>
    <t xml:space="preserve"> HEMITARTARATO DE EPINEFRINA </t>
  </si>
  <si>
    <t xml:space="preserve">CLORIDRATO DE BENSERAZIDA </t>
  </si>
  <si>
    <t xml:space="preserve"> EPINEFRINA </t>
  </si>
  <si>
    <t xml:space="preserve"> GLICOSE </t>
  </si>
  <si>
    <t xml:space="preserve"> HIDROCORTISONA </t>
  </si>
  <si>
    <t xml:space="preserve"> DICLORIDRATO DE MANIDIPINO </t>
  </si>
  <si>
    <t xml:space="preserve"> OLANZAPINA </t>
  </si>
  <si>
    <t xml:space="preserve">CLORIDRATO DE HIDROXIZINA </t>
  </si>
  <si>
    <t xml:space="preserve"> SULFATO DE EFEDRINA </t>
  </si>
  <si>
    <t xml:space="preserve"> TEOFILINA </t>
  </si>
  <si>
    <t xml:space="preserve"> HEMITARTARATO DE EPINEFRINA (Incluído pelo Decreto nº 8.271, de 2014)</t>
  </si>
  <si>
    <t xml:space="preserve"> HEMITARTARATO DE NOREPINEFRINA </t>
  </si>
  <si>
    <t xml:space="preserve"> SULFATO DE GLICOSAMINA </t>
  </si>
  <si>
    <t xml:space="preserve"> TRIANCINOLONA ACETONIDA </t>
  </si>
  <si>
    <t xml:space="preserve"> CORBADRINA </t>
  </si>
  <si>
    <t xml:space="preserve"> CLORIDRATO DE PIOGLITAZONA (Incluído pelo Decreto nº 8.271, de 2014)</t>
  </si>
  <si>
    <t xml:space="preserve"> FOSFATO DE SITAGLIPTINA (Incluído pelo Decreto nº 8.271, de 2014)</t>
  </si>
  <si>
    <t xml:space="preserve"> GLIBENCLAMIDA </t>
  </si>
  <si>
    <t xml:space="preserve"> GLIMEPIRIDA </t>
  </si>
  <si>
    <t xml:space="preserve"> MALEATO DE ROSIGLITAZONA </t>
  </si>
  <si>
    <t xml:space="preserve"> NATEGLINIDA (Incluído pelo Decreto nº 8.271, de 2014)</t>
  </si>
  <si>
    <t xml:space="preserve"> SAXAGLIPTINA (Incluído pelo Decreto nº 8.271, de 2014)</t>
  </si>
  <si>
    <t xml:space="preserve"> VILDAGLIPTINA </t>
  </si>
  <si>
    <t xml:space="preserve"> FOSFATO DISSÓDICO DE DEXAMETASONA (Incluído pelo Decreto nº 8.271, de 2014)</t>
  </si>
  <si>
    <t xml:space="preserve">CLORIDRATO DE NAFAZOLINA </t>
  </si>
  <si>
    <t xml:space="preserve"> SULFATO DE ZINCO </t>
  </si>
  <si>
    <t xml:space="preserve"> LIDOCAÍNA </t>
  </si>
  <si>
    <t xml:space="preserve">CLORIDRATO DE PRILOCAÍNA </t>
  </si>
  <si>
    <t xml:space="preserve"> FELIPRESSINA </t>
  </si>
  <si>
    <t xml:space="preserve"> TRANDOLAPRIL </t>
  </si>
  <si>
    <t xml:space="preserve">CLOROBUTANOL </t>
  </si>
  <si>
    <t xml:space="preserve"> METABORATO DE ETILA </t>
  </si>
  <si>
    <t xml:space="preserve"> RESERPINA </t>
  </si>
  <si>
    <t xml:space="preserve">CUMARINA </t>
  </si>
  <si>
    <t xml:space="preserve">DALFOPRISTINA </t>
  </si>
  <si>
    <t xml:space="preserve"> QUINUPRISTINA </t>
  </si>
  <si>
    <t xml:space="preserve">DECANOATO DE TESTOSTERONA </t>
  </si>
  <si>
    <t xml:space="preserve"> FEMPROPIONATO DE TESTOSTERONA </t>
  </si>
  <si>
    <t xml:space="preserve"> ISOCAPROATO DE TESTOSTERONA </t>
  </si>
  <si>
    <t xml:space="preserve"> PROPIONATO DE TESTOSTERONA </t>
  </si>
  <si>
    <t xml:space="preserve">DESOXIRRIBONUCLEASE </t>
  </si>
  <si>
    <t xml:space="preserve"> GENTAMICINA </t>
  </si>
  <si>
    <t xml:space="preserve"> SULFATO DE GENTAMICINA </t>
  </si>
  <si>
    <t xml:space="preserve"> TOBRAMICINA </t>
  </si>
  <si>
    <t xml:space="preserve">DIACETATO DE ETINODIOL </t>
  </si>
  <si>
    <t xml:space="preserve">DIASTASE </t>
  </si>
  <si>
    <t xml:space="preserve">DIATRIZOATO DE MEGLUMINA </t>
  </si>
  <si>
    <t xml:space="preserve"> DIATRIZOATO DE SÓDIO </t>
  </si>
  <si>
    <t xml:space="preserve"> MESILATO DE DIIDROERGOCRISTINA </t>
  </si>
  <si>
    <t xml:space="preserve"> SULFATO DE TRANILCIPROMINA </t>
  </si>
  <si>
    <t xml:space="preserve">DIDROGESTERONA </t>
  </si>
  <si>
    <t xml:space="preserve"> METILBROMETO DE HOMATROPINA (Incluído pelo Decreto nº 8.271, de 2014)</t>
  </si>
  <si>
    <t xml:space="preserve"> FUMARATO DE FORMOTEROL (Incluído pelo Decreto nº 8.271, de 2014)</t>
  </si>
  <si>
    <t xml:space="preserve"> SALBUTAMOL </t>
  </si>
  <si>
    <t xml:space="preserve">DIPROPIONATO DE BETAMETASONA </t>
  </si>
  <si>
    <t xml:space="preserve">DROSPIRENONA </t>
  </si>
  <si>
    <t xml:space="preserve"> ENTRICITABINA </t>
  </si>
  <si>
    <t xml:space="preserve"> FUMARATO DE TENOFOVIR DESOPROXILA </t>
  </si>
  <si>
    <t xml:space="preserve">ENANTATO DE HIDROXIPROGESTERONA </t>
  </si>
  <si>
    <t xml:space="preserve"> HEXAHIDROBENZOATO DE TESTOSTERONA </t>
  </si>
  <si>
    <t xml:space="preserve"> HEXAIDROBENZOATO DE ESTRADIOL </t>
  </si>
  <si>
    <t xml:space="preserve">ENANTATO DE NORETISTERONA </t>
  </si>
  <si>
    <t xml:space="preserve"> NAPROXENO (Incluído pelo Decreto nº 8.271, de 2014)</t>
  </si>
  <si>
    <t xml:space="preserve"> METRONIDAZOL </t>
  </si>
  <si>
    <t xml:space="preserve"> GESTODENO </t>
  </si>
  <si>
    <t xml:space="preserve"> LEVONORGESTREL </t>
  </si>
  <si>
    <t xml:space="preserve"> MEDROXIPROGESTERONA </t>
  </si>
  <si>
    <t xml:space="preserve"> NORGESTIMATO </t>
  </si>
  <si>
    <t xml:space="preserve"> TRIMEGESTONA </t>
  </si>
  <si>
    <t xml:space="preserve">ETINILESTRADIOL </t>
  </si>
  <si>
    <t xml:space="preserve"> ETONOGESTREL </t>
  </si>
  <si>
    <t xml:space="preserve"> HIDROXIPROGESTERONA </t>
  </si>
  <si>
    <t xml:space="preserve"> LINESTRENOL </t>
  </si>
  <si>
    <t xml:space="preserve"> NORELGESTROMINA </t>
  </si>
  <si>
    <t xml:space="preserve"> NORETISTERONA </t>
  </si>
  <si>
    <t xml:space="preserve"> NORGESTREL </t>
  </si>
  <si>
    <t xml:space="preserve"> NORMETADONA </t>
  </si>
  <si>
    <t xml:space="preserve">EXTRATO DE CARTILAGEM </t>
  </si>
  <si>
    <t xml:space="preserve"> EXTRATO DE MEDULA ÓSSEA </t>
  </si>
  <si>
    <t xml:space="preserve"> SINVASTATINA </t>
  </si>
  <si>
    <t xml:space="preserve">FATOR II DE COAGULAÇÃO </t>
  </si>
  <si>
    <t xml:space="preserve"> FATOR IX DE COAGULAÇÃO </t>
  </si>
  <si>
    <t xml:space="preserve"> FATOR VII DE COAGULAÇÃO </t>
  </si>
  <si>
    <t xml:space="preserve"> FATOR X DE COAGULAÇÃO </t>
  </si>
  <si>
    <t xml:space="preserve">FATOR IX DE COAGULAÇÃO </t>
  </si>
  <si>
    <t xml:space="preserve"> FATOR VIII DE COAGULAÇÃO </t>
  </si>
  <si>
    <t xml:space="preserve"> SUCCINATO DE METOPROLOL (Incluído pelo Decreto nº 8.271, de 2014)</t>
  </si>
  <si>
    <t xml:space="preserve">FIBRINOGÊNIO HUMANO </t>
  </si>
  <si>
    <t xml:space="preserve"> TROMBINA  HUMANA (Incluído pelo Decreto nº 8.271, de 2014)</t>
  </si>
  <si>
    <t xml:space="preserve">FOSINOPRIL SÓDICO </t>
  </si>
  <si>
    <t xml:space="preserve"> TRIANTERENO </t>
  </si>
  <si>
    <t xml:space="preserve"> MALEATO DE ROSIGLITAZONA (Incluído pelo Decreto nº 8.271, de 2014)</t>
  </si>
  <si>
    <t xml:space="preserve">GUAIFENESINA </t>
  </si>
  <si>
    <t xml:space="preserve"> SULFATO DE TERBUTALINA </t>
  </si>
  <si>
    <t xml:space="preserve">HEMIFUMARATO DE ALISQUIRENO </t>
  </si>
  <si>
    <t xml:space="preserve"> HIDROCLOROTIAZIDA (Incluído pelo Decreto nº 8.271, de 2014)</t>
  </si>
  <si>
    <t xml:space="preserve"> HIALURONIDASE </t>
  </si>
  <si>
    <t xml:space="preserve"> NICOTINATO DE BENZILA </t>
  </si>
  <si>
    <t xml:space="preserve"> IRBESARTANA </t>
  </si>
  <si>
    <t xml:space="preserve"> LISINOPRIL </t>
  </si>
  <si>
    <t xml:space="preserve"> LOSARTANA </t>
  </si>
  <si>
    <t xml:space="preserve"> MESILATO DE EPROSARTANA </t>
  </si>
  <si>
    <t xml:space="preserve"> METILDOPA </t>
  </si>
  <si>
    <t xml:space="preserve"> OLMESARTANA MEDOXOMILA </t>
  </si>
  <si>
    <t xml:space="preserve"> SULFATO DE DIIDRALAZINA </t>
  </si>
  <si>
    <t xml:space="preserve"> SUCCINATO DE METOPROLOL </t>
  </si>
  <si>
    <t xml:space="preserve"> TARTARATO DE METOPROLOL </t>
  </si>
  <si>
    <t xml:space="preserve"> TELMISARTANA </t>
  </si>
  <si>
    <t xml:space="preserve">HIDROCORTISONA </t>
  </si>
  <si>
    <t xml:space="preserve"> HORMÔNIO LUTEINIZANTE </t>
  </si>
  <si>
    <t xml:space="preserve"> PERINDOPRIL ERBUMINA </t>
  </si>
  <si>
    <t xml:space="preserve">IOPIDOL </t>
  </si>
  <si>
    <t xml:space="preserve"> IOPIDONA </t>
  </si>
  <si>
    <t xml:space="preserve">IOXAGLATO DE MEGLUMINA  </t>
  </si>
  <si>
    <t xml:space="preserve"> IOXAGLATO DE SÓDIO </t>
  </si>
  <si>
    <t xml:space="preserve"> IOXITALAMATO DE SÓDIO </t>
  </si>
  <si>
    <t xml:space="preserve"> POVIDONA </t>
  </si>
  <si>
    <t xml:space="preserve"> RIFAMPICINA </t>
  </si>
  <si>
    <t xml:space="preserve"> SULFATO DE ABACAVIR (Incluído pelo Decreto nº 8.271, de 2014)</t>
  </si>
  <si>
    <t xml:space="preserve"> SULFATO DE ABACAVIR </t>
  </si>
  <si>
    <t xml:space="preserve"> ZIDOVUDINA </t>
  </si>
  <si>
    <t xml:space="preserve"> LIOTIRONINA SÓDICA </t>
  </si>
  <si>
    <t xml:space="preserve"> PRILOCAÍNA </t>
  </si>
  <si>
    <t xml:space="preserve">LOMIFILINA </t>
  </si>
  <si>
    <t xml:space="preserve"> RITONAVIR </t>
  </si>
  <si>
    <t xml:space="preserve"> TARTARATO DE BRIMONIDINA </t>
  </si>
  <si>
    <t xml:space="preserve"> TRAVOPROSTA (Incluído pelo Decreto nº 8.271, de 2014)</t>
  </si>
  <si>
    <t xml:space="preserve"> TIABENDAZOL (Incluído pelo Decreto nº 8.271, de 2014)</t>
  </si>
  <si>
    <t xml:space="preserve">MEGLUMINA </t>
  </si>
  <si>
    <t xml:space="preserve"> NATEGLINIDA </t>
  </si>
  <si>
    <t xml:space="preserve"> SUCCINATO DE SUMATRIPTANA (Incluído pelo Decreto nº 8.271, de 2014)</t>
  </si>
  <si>
    <t xml:space="preserve">NEOMICINA </t>
  </si>
  <si>
    <t xml:space="preserve">PIPERACILINA SÓDICA </t>
  </si>
  <si>
    <t xml:space="preserve"> TAZOBACTAM SÓDICO </t>
  </si>
  <si>
    <t xml:space="preserve"> SULFADOXINA </t>
  </si>
  <si>
    <t xml:space="preserve"> XINAFOATO DE SALMETEROL </t>
  </si>
  <si>
    <t xml:space="preserve"> REMIFENTANILA (Incluído pelo Decreto nº 8.271, de 2014)</t>
  </si>
  <si>
    <t xml:space="preserve"> TEICOPLANINA (Incluído pelo Decreto nº 8.271, de 2014)</t>
  </si>
  <si>
    <t xml:space="preserve"> ÁCIDO ACETILSALICÍLICO </t>
  </si>
  <si>
    <t xml:space="preserve"> SORO ANTICROTÁLICO </t>
  </si>
  <si>
    <t xml:space="preserve"> SORO LAQUÉTICO </t>
  </si>
  <si>
    <t xml:space="preserve"> TRIMETOPRIMA </t>
  </si>
  <si>
    <t xml:space="preserve">SULFAMETOXAZOL </t>
  </si>
  <si>
    <t xml:space="preserve">SULFATO DE CONDROITINA </t>
  </si>
  <si>
    <t xml:space="preserve"> SULFATO SÓDICO DE CONDROITINA </t>
  </si>
  <si>
    <t xml:space="preserve">SULFATO DE NEOMICINA </t>
  </si>
  <si>
    <t xml:space="preserve">TEGAFUR </t>
  </si>
  <si>
    <t xml:space="preserve"> URACILA </t>
  </si>
  <si>
    <t xml:space="preserve">TOXÓIDE DIFTÉRICO </t>
  </si>
  <si>
    <t xml:space="preserve"> TOXÓIDE TETÂNICO </t>
  </si>
  <si>
    <t xml:space="preserve"> TOXÓIDE PERTUSSIS </t>
  </si>
  <si>
    <t xml:space="preserve"> HEMAGLUTININA FILAMENTOSA </t>
  </si>
  <si>
    <t xml:space="preserve"> PERTACTINA </t>
  </si>
  <si>
    <t xml:space="preserve"> AGG 2</t>
  </si>
  <si>
    <t xml:space="preserve"> VIRUS INATIVADOS DA POLIOMIELITE E POLISSACARÍDEO DE HIB CONJUGADO COM PROTEÍNA TETÂNICA </t>
  </si>
  <si>
    <t xml:space="preserve"> VIRUS INATIVADOS DA POLIOMIELITE </t>
  </si>
  <si>
    <t xml:space="preserve"> VIRUS DA HEPATITE B RECOMBINANTE E POLISSACARÍDEO DE HIB CONJUGADO COM PROTEÍNA TETÂNICA </t>
  </si>
  <si>
    <t xml:space="preserve"> VACINA ANTIPIOGÊNICA </t>
  </si>
  <si>
    <t xml:space="preserve">VACINA CONTRA HAEMOPHYLUS INFLUENZAE TIPO A </t>
  </si>
  <si>
    <t xml:space="preserve"> TIPO B </t>
  </si>
  <si>
    <t>Subst_1</t>
  </si>
  <si>
    <t>Subst_2</t>
  </si>
  <si>
    <t>Subst_3</t>
  </si>
  <si>
    <t>ABACAVIR</t>
  </si>
  <si>
    <t>ABCIXIMABE</t>
  </si>
  <si>
    <t>ACAMPROSATO</t>
  </si>
  <si>
    <t>ACARBOSE</t>
  </si>
  <si>
    <t>ACEBROFILINA</t>
  </si>
  <si>
    <t>ACECLOFENACO</t>
  </si>
  <si>
    <t>ACEMETACINA</t>
  </si>
  <si>
    <t>BETAMETASONA</t>
  </si>
  <si>
    <t>CASPOFUNGINA</t>
  </si>
  <si>
    <t>Subst_4</t>
  </si>
  <si>
    <t>ESCOPOLAMINA</t>
  </si>
  <si>
    <t>CARBIDOPA</t>
  </si>
  <si>
    <t>LEVODOPA</t>
  </si>
  <si>
    <t>ACRIFLAVINA</t>
  </si>
  <si>
    <t>METENAMINA</t>
  </si>
  <si>
    <t>PIPERIDOLATO</t>
  </si>
  <si>
    <t>DIOSMINA</t>
  </si>
  <si>
    <t>BRONFENIRAMINA</t>
  </si>
  <si>
    <t>FENILEFRINA</t>
  </si>
  <si>
    <t>PIRIDOXINA</t>
  </si>
  <si>
    <t>NEOMICINA</t>
  </si>
  <si>
    <t>DIMENIDRINATO</t>
  </si>
  <si>
    <t>CAFEINA</t>
  </si>
  <si>
    <t>DEXCLORFENIRAMINA</t>
  </si>
  <si>
    <t>HEXAMIDINA</t>
  </si>
  <si>
    <t>GLICOSE</t>
  </si>
  <si>
    <t>CLOBUTINOL</t>
  </si>
  <si>
    <t>LIDOCAINA</t>
  </si>
  <si>
    <t>POLIMIXINA B</t>
  </si>
  <si>
    <t>CANFORA</t>
  </si>
  <si>
    <t>MENTOL</t>
  </si>
  <si>
    <t>SALICILATO METILA</t>
  </si>
  <si>
    <t>ETINILESTRADIOL</t>
  </si>
  <si>
    <t>CARISOPRODOL</t>
  </si>
  <si>
    <t>FENILBUTAZONA</t>
  </si>
  <si>
    <t>MEPIRAMINA</t>
  </si>
  <si>
    <t>NAFAZOLINA</t>
  </si>
  <si>
    <t>PANTENOL</t>
  </si>
  <si>
    <t>NORETISTERONA</t>
  </si>
  <si>
    <t>BENZOCAINA</t>
  </si>
  <si>
    <t>ISOMETEPTENO </t>
  </si>
  <si>
    <t>CIPROFLOXACINO</t>
  </si>
  <si>
    <t>FLUOCINOLONA</t>
  </si>
  <si>
    <t>POLIXIMINA B</t>
  </si>
  <si>
    <t>HIDROCORTISONA</t>
  </si>
  <si>
    <t>HIALURONIDASE</t>
  </si>
  <si>
    <t>CLORANFENICOL</t>
  </si>
  <si>
    <t>FLUTICASONA</t>
  </si>
  <si>
    <t>SALMETEROL</t>
  </si>
  <si>
    <t>DICLOFENACO</t>
  </si>
  <si>
    <t> </t>
  </si>
  <si>
    <t>SUBST_1</t>
  </si>
  <si>
    <t>SUBST_2</t>
  </si>
  <si>
    <t>SUBST_3</t>
  </si>
  <si>
    <t>SUBST_4</t>
  </si>
  <si>
    <t>SUBST_5</t>
  </si>
  <si>
    <t>ACEFILINATO DE HEPTAMINOL</t>
  </si>
  <si>
    <t>ACETATO DE ANECORTAVE</t>
  </si>
  <si>
    <t>ACETATO DE ATOSIBANA</t>
  </si>
  <si>
    <t>ACETATO DE BETAMETASONA</t>
  </si>
  <si>
    <t>ACETATO DE BUSSERRELINA</t>
  </si>
  <si>
    <t>ACETATO DE CASPOFUNGINA</t>
  </si>
  <si>
    <t>ACETATO DE CETRORRELIX</t>
  </si>
  <si>
    <t>ACETATO DE CIPROTERONA</t>
  </si>
  <si>
    <t>ACETATO DE CLORMADINONA</t>
  </si>
  <si>
    <t>ACETATO DE CORTISONA</t>
  </si>
  <si>
    <t>ACETATO DE DESMOPRESSINA</t>
  </si>
  <si>
    <t>ACETATO DE DEXAMETASONA</t>
  </si>
  <si>
    <t>ACETATO DE DEXTROALFATOCOFEROL</t>
  </si>
  <si>
    <t>ACETATO DE FLUDROCORTISONA</t>
  </si>
  <si>
    <t>ACETATO DE GANIRRELIX</t>
  </si>
  <si>
    <t>ACETATO DE GOSSERRELINA</t>
  </si>
  <si>
    <t>ACETATO DE GUANABENZO</t>
  </si>
  <si>
    <t>ACETATO DE LANREOTIDA</t>
  </si>
  <si>
    <t>ACETATO DE LEUPRORRELINA</t>
  </si>
  <si>
    <t>ACETATO DE LISINA</t>
  </si>
  <si>
    <t>ACETATO DE MEGESTROL</t>
  </si>
  <si>
    <t>ACETATO DE METILPREDNISOLONA</t>
  </si>
  <si>
    <t>ACETATO DE NAFARRELINA</t>
  </si>
  <si>
    <t>ACETATO DE NOMEGESTROL</t>
  </si>
  <si>
    <t>ACETATO DE NORETISTERONA</t>
  </si>
  <si>
    <t>ACETATO DE OCTREOTIDA</t>
  </si>
  <si>
    <t>ACETATO DE PREDNISOLONA</t>
  </si>
  <si>
    <t>ACETATO DE SOMATOSTATINA</t>
  </si>
  <si>
    <t>ACETATO DE TERIPARATIDA</t>
  </si>
  <si>
    <t>ACETATO DE TERLIPRESSINA</t>
  </si>
  <si>
    <t>ACETATO DE TRIPTORRELINA</t>
  </si>
  <si>
    <t>ACETATO DE ZINCO</t>
  </si>
  <si>
    <t>ACETATO DE ZUCLOPENTIXOL</t>
  </si>
  <si>
    <t>ACETAZOLAMIDA</t>
  </si>
  <si>
    <t>ACETILTIROSINA</t>
  </si>
  <si>
    <t>ACIPIMOX</t>
  </si>
  <si>
    <t>ACITRETINA</t>
  </si>
  <si>
    <t>ADALIMUMABE</t>
  </si>
  <si>
    <t>ADEFOVIR DIPIVOXILA</t>
  </si>
  <si>
    <t>ADENOSINA</t>
  </si>
  <si>
    <t>ALANILGLUTAMINA</t>
  </si>
  <si>
    <t>ALANINA</t>
  </si>
  <si>
    <t>ALBENDAZOL</t>
  </si>
  <si>
    <t>ALBUMINA HUMANA</t>
  </si>
  <si>
    <t>ALEFACEPTE</t>
  </si>
  <si>
    <t>ALENTUZUMABE</t>
  </si>
  <si>
    <t>ALFACALCIDOL</t>
  </si>
  <si>
    <t>ALFACORIOGONADOTROPINA</t>
  </si>
  <si>
    <t>ALFADORNASE</t>
  </si>
  <si>
    <t>ALFADROTRECOGINA</t>
  </si>
  <si>
    <t>ALFAEPOETINA</t>
  </si>
  <si>
    <t>ALFAFOLITROPINA</t>
  </si>
  <si>
    <t>ALFAGALSIDASE</t>
  </si>
  <si>
    <t>ALFAINTERFERONA</t>
  </si>
  <si>
    <t>ALFALUTROPINA</t>
  </si>
  <si>
    <t>ALFALUTROPINA RECOMBINANTE</t>
  </si>
  <si>
    <t>ALFAMILASE</t>
  </si>
  <si>
    <t>ALFAPEGINTERFERONA 2A</t>
  </si>
  <si>
    <t>ALFAPEGINTERFERONA 2B</t>
  </si>
  <si>
    <t>ALFUZOSINA</t>
  </si>
  <si>
    <t>ALGESTONA ACETONIDA</t>
  </si>
  <si>
    <t>ALPRAZOLAM</t>
  </si>
  <si>
    <t>ALTEPLASE</t>
  </si>
  <si>
    <t>AMBUFILINA</t>
  </si>
  <si>
    <t>AMIFOSTINA</t>
  </si>
  <si>
    <t>AMILORIDA</t>
  </si>
  <si>
    <t>AMINEPTINA</t>
  </si>
  <si>
    <t>AMINOFILINA</t>
  </si>
  <si>
    <t>AMINOGLUTETIMIDA</t>
  </si>
  <si>
    <t>AMISSULPRIDA</t>
  </si>
  <si>
    <t>AMOBARBITAL</t>
  </si>
  <si>
    <t>AMPICILINA</t>
  </si>
  <si>
    <t>AMPICILINA BENZATINA</t>
  </si>
  <si>
    <t>AMPRENAVIR</t>
  </si>
  <si>
    <t>ANASTROZOL</t>
  </si>
  <si>
    <t>ANFOTERICINA B</t>
  </si>
  <si>
    <t>ANTIMONIATO DE MEGLUMINA</t>
  </si>
  <si>
    <t>ANTITROMBINA III</t>
  </si>
  <si>
    <t>APREPITANTO</t>
  </si>
  <si>
    <t>APROTININA</t>
  </si>
  <si>
    <t>ARGININA</t>
  </si>
  <si>
    <t>ARGIPRESSINA</t>
  </si>
  <si>
    <t>ARIPIPRAZOL</t>
  </si>
  <si>
    <t>ASENAPINA</t>
  </si>
  <si>
    <t>ASPARAGINA</t>
  </si>
  <si>
    <t>ASPARAGINASE</t>
  </si>
  <si>
    <t>ATENOLOL</t>
  </si>
  <si>
    <t>ATORVASTATINA</t>
  </si>
  <si>
    <t>AURANOFINA</t>
  </si>
  <si>
    <t>AXETILCEFUROXIMA</t>
  </si>
  <si>
    <t>AZATIOPRINA</t>
  </si>
  <si>
    <t>AZTREONAM</t>
  </si>
  <si>
    <t>BACITRACINA</t>
  </si>
  <si>
    <t>BACLOFENO</t>
  </si>
  <si>
    <t>BARBEXACLONA</t>
  </si>
  <si>
    <t>BASILIXIMABE</t>
  </si>
  <si>
    <t>BENZBROMARONA</t>
  </si>
  <si>
    <t>BENZILPENICILINA</t>
  </si>
  <si>
    <t>BENZILPENICILINA BENZATINA</t>
  </si>
  <si>
    <t>BENZNIDAZOL</t>
  </si>
  <si>
    <t>BENZOATO DE ESTRADIOL</t>
  </si>
  <si>
    <t>BENZOATO DE RIZATRIPTANA</t>
  </si>
  <si>
    <t>BENZOILMETRONIDAZOL</t>
  </si>
  <si>
    <t>BERACTANTO</t>
  </si>
  <si>
    <t>BESILATO DE ANLODIPINO</t>
  </si>
  <si>
    <t>BETAEPOETINA</t>
  </si>
  <si>
    <t>BETAESCINA</t>
  </si>
  <si>
    <t>BETAFOLITROPINA</t>
  </si>
  <si>
    <t>BETAGALSIDASE</t>
  </si>
  <si>
    <t>BETAINTERFERONA</t>
  </si>
  <si>
    <t>BEVACIZUMABE</t>
  </si>
  <si>
    <t>BEZAFIBRATO</t>
  </si>
  <si>
    <t>BICALUTAMIDA</t>
  </si>
  <si>
    <t>BIMATOPROSTA</t>
  </si>
  <si>
    <t>BIOTINA</t>
  </si>
  <si>
    <t>BISOPROLOL</t>
  </si>
  <si>
    <t>BISSULFATO DE CLOPIDOGREL</t>
  </si>
  <si>
    <t>BISSULFATO DE QUINIDINA</t>
  </si>
  <si>
    <t>BORTEZOMIBE</t>
  </si>
  <si>
    <t>BOSENTANA</t>
  </si>
  <si>
    <t>BROMAZEPAM</t>
  </si>
  <si>
    <t>BROMETO DE PIRIDOSTIGMINA</t>
  </si>
  <si>
    <t>BROMIDRATO DE CITALOPRAM</t>
  </si>
  <si>
    <t>BROMIDRATO DE FENOTEROL</t>
  </si>
  <si>
    <t>BROMIDRATO DE GALANTAMINA</t>
  </si>
  <si>
    <t>BUMETANIDA</t>
  </si>
  <si>
    <t>BUPROPIONA</t>
  </si>
  <si>
    <t>BUSSULFANO</t>
  </si>
  <si>
    <t>CABERGOLINA</t>
  </si>
  <si>
    <t>CALCITRIOL</t>
  </si>
  <si>
    <t>CAMBENDAZOL</t>
  </si>
  <si>
    <t>CANDESARTANA CILEXETILA</t>
  </si>
  <si>
    <t>CAPECITABINA</t>
  </si>
  <si>
    <t>CAPROATO DE HIDROXIPROGESTERONA</t>
  </si>
  <si>
    <t>CAPTOPRIL</t>
  </si>
  <si>
    <t>CARBACOL</t>
  </si>
  <si>
    <t>CARBAMAZEPINA</t>
  </si>
  <si>
    <t>CARBENICILINA</t>
  </si>
  <si>
    <t>CARBETOCINA</t>
  </si>
  <si>
    <t>CARBOPLATINA</t>
  </si>
  <si>
    <t>CARMELOSE</t>
  </si>
  <si>
    <t>CARMUSTINA</t>
  </si>
  <si>
    <t>CARVEDILOL</t>
  </si>
  <si>
    <t>CEFACLOR</t>
  </si>
  <si>
    <t>CEFADROXILA</t>
  </si>
  <si>
    <t>CEFALEXINA MONOIDRATADA</t>
  </si>
  <si>
    <t>CEFIXIMA</t>
  </si>
  <si>
    <t>CEFODIZIMA</t>
  </si>
  <si>
    <t>CEFOPERAZONA</t>
  </si>
  <si>
    <t>CEFOTAXIMA</t>
  </si>
  <si>
    <t>CEFPODOXIMA PROXETILA</t>
  </si>
  <si>
    <t>CEFPROZILA</t>
  </si>
  <si>
    <t>CEFPROZILA MONOIDRATADA</t>
  </si>
  <si>
    <t>CEFTAZIDIMA</t>
  </si>
  <si>
    <t>CERIVASTATINA</t>
  </si>
  <si>
    <t>CETOPROFENO</t>
  </si>
  <si>
    <t>CETRIMIDA</t>
  </si>
  <si>
    <t>CETUXIMABE</t>
  </si>
  <si>
    <t>CIANOCOBALAMINA</t>
  </si>
  <si>
    <t>CICLOFENILA</t>
  </si>
  <si>
    <t>CICLOFOSFAMIDA</t>
  </si>
  <si>
    <t>CICLOSPORINA</t>
  </si>
  <si>
    <t>CICLOSSERINA</t>
  </si>
  <si>
    <t>CILAZAPRIL</t>
  </si>
  <si>
    <t>CILOSTAZOL</t>
  </si>
  <si>
    <t>CIMETIDINA</t>
  </si>
  <si>
    <t>CISPLATINA</t>
  </si>
  <si>
    <t>CISTINA</t>
  </si>
  <si>
    <t>CITARABINA</t>
  </si>
  <si>
    <t>CITRATO DE DIETILCARBAMAZINA</t>
  </si>
  <si>
    <t>CITRATO DE FENTANILA</t>
  </si>
  <si>
    <t>CITRATO DE SUFENTANILA</t>
  </si>
  <si>
    <t>CITRATO DE TAMOXIFENO</t>
  </si>
  <si>
    <t>CLADRIBINA</t>
  </si>
  <si>
    <t>CLARITROMICINA</t>
  </si>
  <si>
    <t>CLOBAZAM</t>
  </si>
  <si>
    <t>CLOFAZIMINA</t>
  </si>
  <si>
    <t>CLOFIBRATO DE ETILA</t>
  </si>
  <si>
    <t>CLONAZEPAM</t>
  </si>
  <si>
    <t>CLOPAMIDA</t>
  </si>
  <si>
    <t>CLOPIDOGREL</t>
  </si>
  <si>
    <t>CLORAMBUCILA</t>
  </si>
  <si>
    <t>CLORETO DE ACETILCOLINA</t>
  </si>
  <si>
    <t>CLORETO DE BETANECOL</t>
  </si>
  <si>
    <t>CLORETO DE ZINCO</t>
  </si>
  <si>
    <t>CLORFENESINA</t>
  </si>
  <si>
    <t>CLORIDRATO DE ACECLIDINA</t>
  </si>
  <si>
    <t>CLORIDRATO DE ADIFENINA</t>
  </si>
  <si>
    <t>CLORIDRATO DE ALFENTANILA</t>
  </si>
  <si>
    <t>CLORIDRATO DE ALFUZOSINA</t>
  </si>
  <si>
    <t>CLORIDRATO DE ALIZAPRIDA</t>
  </si>
  <si>
    <t>CLORIDRATO DE AMANTADINA</t>
  </si>
  <si>
    <t>CLORIDRATO DE AMILORIDA</t>
  </si>
  <si>
    <t>CLORIDRATO DE AMINEPTINA</t>
  </si>
  <si>
    <t>CLORIDRATO DE AMINOLEVULINATO DE METILA</t>
  </si>
  <si>
    <t>CLORIDRATO DE AMITRIPTILINA</t>
  </si>
  <si>
    <t>CLORIDRATO DE ANAGRELIDA</t>
  </si>
  <si>
    <t>CLORIDRATO DE APRACLONIDINA</t>
  </si>
  <si>
    <t>CLORIDRATO DE BAMBUTEROL</t>
  </si>
  <si>
    <t>CLORIDRATO DE BAMIFILINA</t>
  </si>
  <si>
    <t>CLORIDRATO DE BARNIDIPINO</t>
  </si>
  <si>
    <t>CLORIDRATO DE BENAZEPRIL</t>
  </si>
  <si>
    <t>CLORIDRATO DE BENSERAZIDA</t>
  </si>
  <si>
    <t>CLORIDRATO DE BETAXOLOL</t>
  </si>
  <si>
    <t>CLORIDRATO DE BUFLOMEDIL</t>
  </si>
  <si>
    <t>CLORIDRATO DE BUPRENORFINA</t>
  </si>
  <si>
    <t>CLORIDRATO DE BUPROPIONA</t>
  </si>
  <si>
    <t>CLORIDRATO DE BUSPIRONA</t>
  </si>
  <si>
    <t>CLORIDRATO DE CARTEOLOL</t>
  </si>
  <si>
    <t>CLORIDRATO DE CEFEPIMA</t>
  </si>
  <si>
    <t>CLORIDRATO DE CEFETAMETE PIVOXILA</t>
  </si>
  <si>
    <t>CLORIDRATO DE CETAMINA</t>
  </si>
  <si>
    <t>CLORIDRATO DE CIMETIDINA</t>
  </si>
  <si>
    <t>CLORIDRATO DE CISTINA</t>
  </si>
  <si>
    <t>CLORIDRATO DE CITALOPRAM</t>
  </si>
  <si>
    <t>CLORIDRATO DE CITARABINA</t>
  </si>
  <si>
    <t>CLORIDRATO DE CLOMIPRAMINA</t>
  </si>
  <si>
    <t>CLORIDRATO DE CLONIDINA</t>
  </si>
  <si>
    <t>CLORIDRATO DE CLOREXIDINA</t>
  </si>
  <si>
    <t>CLORIDRATO DE CLORPROMAZINA</t>
  </si>
  <si>
    <t>CLORIDRATO DE DAUNORRUBICINA</t>
  </si>
  <si>
    <t>CLORIDRATO DE DELAPRIL</t>
  </si>
  <si>
    <t>CLORIDRATO DE DEXMEDETOMIDINA</t>
  </si>
  <si>
    <t>CLORIDRATO DE DEXTRORRAZOXANO</t>
  </si>
  <si>
    <t>CLORIDRATO DE DILTIAZEM</t>
  </si>
  <si>
    <t>CLORIDRATO DE DIPIVEFRINA</t>
  </si>
  <si>
    <t>CLORIDRATO DE DOBUTAMINA</t>
  </si>
  <si>
    <t>CLORIDRATO DE DOPAMINA</t>
  </si>
  <si>
    <t>CLORIDRATO DE DORZOLAMIDA</t>
  </si>
  <si>
    <t>CLORIDRATO DE DOXICICLINA</t>
  </si>
  <si>
    <t>CLORIDRATO DE DOXORRUBICINA</t>
  </si>
  <si>
    <t>CLORIDRATO DE EPIRRUBICINA</t>
  </si>
  <si>
    <t>CLORIDRATO DE ERLOTINIBE</t>
  </si>
  <si>
    <t>CLORIDRATO DE ESMOLOL</t>
  </si>
  <si>
    <t>CLORIDRATO DE ESPECTINOMICINA</t>
  </si>
  <si>
    <t>CLORIDRATO DE ETAMBUTOL</t>
  </si>
  <si>
    <t>CLORIDRATO DE ETILEFRINA</t>
  </si>
  <si>
    <t>CLORIDRATO DE FENFORMINA</t>
  </si>
  <si>
    <t>CLORIDRATO DE GENCITABINA</t>
  </si>
  <si>
    <t>CLORIDRATO DE GRANISSETRONA</t>
  </si>
  <si>
    <t>CLORIDRATO DE HIDRALAZINA</t>
  </si>
  <si>
    <t>CLORIDRATO DE HIDROXIZINA</t>
  </si>
  <si>
    <t>CLORIDRATO DE IDARRUBICINA</t>
  </si>
  <si>
    <t>CLORIDRATO DE IMIPRAMINA</t>
  </si>
  <si>
    <t>CLORIDRATO DE IRINOTECANO</t>
  </si>
  <si>
    <t>CLORIDRATO DE LERCANIDIPINO</t>
  </si>
  <si>
    <t>CLORIDRATO DE LEUCINA</t>
  </si>
  <si>
    <t>CLORIDRATO DE LEVOBUNOLOL</t>
  </si>
  <si>
    <t>CLORIDRATO DE LEVOMEPROMAZINA</t>
  </si>
  <si>
    <t>CLORIDRATO DE LINCOMICINA</t>
  </si>
  <si>
    <t>CLORIDRATO DE LISOZIMA</t>
  </si>
  <si>
    <t>CLORIDRATO DE LOMEFLOXACINO</t>
  </si>
  <si>
    <t>CLORIDRATO DE MAPROTILINA</t>
  </si>
  <si>
    <t>CLORIDRATO DE MEFLOQUINA</t>
  </si>
  <si>
    <t>CLORIDRATO DE MELFALANA</t>
  </si>
  <si>
    <t>CLORIDRATO DE METADONA</t>
  </si>
  <si>
    <t>CLORIDRATO DE METIPRANOLOL</t>
  </si>
  <si>
    <t>CLORIDRATO DE MEXILETINA</t>
  </si>
  <si>
    <t>CLORIDRATO DE MIANSERINA</t>
  </si>
  <si>
    <t>CLORIDRATO DE MIDAZOLAM</t>
  </si>
  <si>
    <t>CLORIDRATO DE MIDODRINA</t>
  </si>
  <si>
    <t>CLORIDRATO DE MILNACIPRANA</t>
  </si>
  <si>
    <t>CLORIDRATO DE MINOCICLINA</t>
  </si>
  <si>
    <t>CLORIDRATO DE MITOXANTRONA</t>
  </si>
  <si>
    <t>CLORIDRATO DE NAFAZOLINA</t>
  </si>
  <si>
    <t>CLORIDRATO DE NALBUFINA</t>
  </si>
  <si>
    <t>CLORIDRATO DE NALOXONA</t>
  </si>
  <si>
    <t>CLORIDRATO DE NALTREXONA</t>
  </si>
  <si>
    <t>CLORIDRATO DE NEFAZODONA</t>
  </si>
  <si>
    <t>CLORIDRATO DE NORTRIPTILINA</t>
  </si>
  <si>
    <t>CLORIDRATO DE OLOPATADINA</t>
  </si>
  <si>
    <t>CLORIDRATO DE ORNITINA</t>
  </si>
  <si>
    <t>CLORIDRATO DE OXICODONA</t>
  </si>
  <si>
    <t>CLORIDRATO DE OXITETRACICLINA</t>
  </si>
  <si>
    <t>CLORIDRATO DE PAROXETINA</t>
  </si>
  <si>
    <t>CLORIDRATO DE PETIDINA</t>
  </si>
  <si>
    <t>CLORIDRATO DE PILOCARPINA</t>
  </si>
  <si>
    <t>CLORIDRATO DE PIOGLITAZONA</t>
  </si>
  <si>
    <t>CLORIDRATO DE PIRIDOXINA</t>
  </si>
  <si>
    <t>CLORIDRATO DE PRAZOSINA</t>
  </si>
  <si>
    <t>CLORIDRATO DE PROCARBAZINA</t>
  </si>
  <si>
    <t>CLORIDRATO DE PROPAFENONA</t>
  </si>
  <si>
    <t>CLORIDRATO DE PROPRANOLOL</t>
  </si>
  <si>
    <t>CLORIDRATO DE QUINAGOLIDA</t>
  </si>
  <si>
    <t>CLORIDRATO DE QUINAPRIL</t>
  </si>
  <si>
    <t>CLORIDRATO DE RALOXIFENO</t>
  </si>
  <si>
    <t>CLORIDRATO DE REMIFENTANILA</t>
  </si>
  <si>
    <t>CLORIDRATO DE RITODRINA</t>
  </si>
  <si>
    <t>CLORIDRATO DE ROPINIROL</t>
  </si>
  <si>
    <t>CLORIDRATO DE SELEGILINA</t>
  </si>
  <si>
    <t>CLORIDRATO DE SOTALOL</t>
  </si>
  <si>
    <t>CLORIDRATO DE SUFENTANILA</t>
  </si>
  <si>
    <t>CLORIDRATO DE TACRINA</t>
  </si>
  <si>
    <t>CLORIDRATO DE TANSULOSINA</t>
  </si>
  <si>
    <t>CLORIDRATO DE TERAZOSINA</t>
  </si>
  <si>
    <t>CLORIDRATO DE TERBINAFINA</t>
  </si>
  <si>
    <t>CLORIDRATO DE TETRACICLINA</t>
  </si>
  <si>
    <t>CLORIDRATO DE TETRIZOLINA</t>
  </si>
  <si>
    <t>CLORIDRATO DE TIAMINA</t>
  </si>
  <si>
    <t>CLORIDRATO DE TICLOPIDINA</t>
  </si>
  <si>
    <t>CLORIDRATO DE TIORIDAZINA</t>
  </si>
  <si>
    <t>CLORIDRATO DE TIROFIBANA</t>
  </si>
  <si>
    <t>CLORIDRATO DE TOPOTECANA</t>
  </si>
  <si>
    <t>CLORIDRATO DE TRAMADOL</t>
  </si>
  <si>
    <t>CLORIDRATO DE TRAZODONA</t>
  </si>
  <si>
    <t>CLORIDRATO DE TRIENTINA</t>
  </si>
  <si>
    <t>CLORIDRATO DE TROPISETRONA</t>
  </si>
  <si>
    <t>CLORIDRATO DE VALGANCICLOVIR</t>
  </si>
  <si>
    <t>CLORIDRATO DE VANCOMICINA</t>
  </si>
  <si>
    <t>CLORIDRATO DE VENLAFAXINA</t>
  </si>
  <si>
    <t>CLORIDRATO DE VERAPAMIL</t>
  </si>
  <si>
    <t>CLORIDRATO DE ZIPRASIDONA</t>
  </si>
  <si>
    <t>CLORMETINA</t>
  </si>
  <si>
    <t>CLOROBUTANOL</t>
  </si>
  <si>
    <t>CLORPROPAMIDA</t>
  </si>
  <si>
    <t>CLORTALIDONA</t>
  </si>
  <si>
    <t>CLOXAZOLAM</t>
  </si>
  <si>
    <t>CLOZAPINA</t>
  </si>
  <si>
    <t>COLECALCIFEROL</t>
  </si>
  <si>
    <t>COLESTIRAMINA</t>
  </si>
  <si>
    <t>CORYNEBACTERIUM PARVUM</t>
  </si>
  <si>
    <t>DACARBAZINA</t>
  </si>
  <si>
    <t>DACLIZUMABE</t>
  </si>
  <si>
    <t>DACTINOMICINA</t>
  </si>
  <si>
    <t>DALFOPRISTINA</t>
  </si>
  <si>
    <t>DANAZOL</t>
  </si>
  <si>
    <t>DAPSONA</t>
  </si>
  <si>
    <t>DECANOATO DE HALOPERIDOL</t>
  </si>
  <si>
    <t>DECANOATO DE NANDROLONA</t>
  </si>
  <si>
    <t>DECANOATO DE TESTOSTERONA</t>
  </si>
  <si>
    <t>DECANOATO DE ZUCLOPENTIXOL</t>
  </si>
  <si>
    <t>DEFERASIROX</t>
  </si>
  <si>
    <t>DEFERIPRONA</t>
  </si>
  <si>
    <t>DEFLAZACORTE</t>
  </si>
  <si>
    <t>DELAVIRDINA</t>
  </si>
  <si>
    <t>DELTAEPOETINA</t>
  </si>
  <si>
    <t>DESFLURANO</t>
  </si>
  <si>
    <t>DESOXIMETASONA</t>
  </si>
  <si>
    <t>DESOXIRRIBONUCLEASE</t>
  </si>
  <si>
    <t>DEXPANTENOL</t>
  </si>
  <si>
    <t>DEXTRANA</t>
  </si>
  <si>
    <t>DIACETATO DE ETINODIOL</t>
  </si>
  <si>
    <t>DIASTASE</t>
  </si>
  <si>
    <t>DIATRIZOATO DE MEGLUMINA</t>
  </si>
  <si>
    <t>DIAZEPAM</t>
  </si>
  <si>
    <t>DICLOFENACO COLESTIRAMINA</t>
  </si>
  <si>
    <t>DICLOFENACO EPOLAMINA</t>
  </si>
  <si>
    <t>DICLORIDRATO DE CLOROQUINA</t>
  </si>
  <si>
    <t>DICLORIDRATO DE FLUFENAZINA</t>
  </si>
  <si>
    <t>DICLORIDRATO DE MANIDIPINO</t>
  </si>
  <si>
    <t>DICLORIDRATO DE PRAMIPEXOL</t>
  </si>
  <si>
    <t>DICLORIDRATO DE QUININA</t>
  </si>
  <si>
    <t>DICLORIDRATO DE TRIFLUOPERAZINA</t>
  </si>
  <si>
    <t>DICLORIDRATO DE ZUCLOPENTIXOL</t>
  </si>
  <si>
    <t>DIDANOSINA</t>
  </si>
  <si>
    <t>DIDROGESTERONA</t>
  </si>
  <si>
    <t>DIETILESTILBESTROL</t>
  </si>
  <si>
    <t>DIFOSFATO DE CLOROQUINA</t>
  </si>
  <si>
    <t>DIFOSFATO DE DIETILESTILBESTROL</t>
  </si>
  <si>
    <t>DIFOSFATO DE PRIMAQUINA</t>
  </si>
  <si>
    <t>DIFUMARATO DE EMEDASTINA</t>
  </si>
  <si>
    <t>DIGITOXINA</t>
  </si>
  <si>
    <t>DIIDROGENOFOSFATO DE RILMENIDINA</t>
  </si>
  <si>
    <t>DIMERCAPROL</t>
  </si>
  <si>
    <t>DIMESILATO DE ALMITRINA</t>
  </si>
  <si>
    <t>DINOPROSTONA</t>
  </si>
  <si>
    <t>DIPIRIDAMOL</t>
  </si>
  <si>
    <t>DIPROPIONATO DE BETAMETASONA</t>
  </si>
  <si>
    <t>DIRITROMICINA</t>
  </si>
  <si>
    <t>DISSULFIRAM</t>
  </si>
  <si>
    <t>DOCETAXEL</t>
  </si>
  <si>
    <t>DOXAZOSINA</t>
  </si>
  <si>
    <t>DOXICICLINA MONOIDRATADA</t>
  </si>
  <si>
    <t>DOXOFILINA</t>
  </si>
  <si>
    <t>DROPERIDOL</t>
  </si>
  <si>
    <t>DROXICAM</t>
  </si>
  <si>
    <t>EFALIZUMABE</t>
  </si>
  <si>
    <t>EFAVIRENZ</t>
  </si>
  <si>
    <t>EMBONATO DE IMIPRAMINA</t>
  </si>
  <si>
    <t>EMBONATO DE TRIPTORRELINA</t>
  </si>
  <si>
    <t>ENALAPRILATE</t>
  </si>
  <si>
    <t>ENANTATO DE FLUFENAZINA</t>
  </si>
  <si>
    <t>ENANTATO DE HIDROXIPROGESTERONA</t>
  </si>
  <si>
    <t>ENANTATO DE NORETISTERONA</t>
  </si>
  <si>
    <t>ENFLURANO</t>
  </si>
  <si>
    <t>ENFUVIRTIDA</t>
  </si>
  <si>
    <t>ENTACAPONA</t>
  </si>
  <si>
    <t>ENTECAVIR</t>
  </si>
  <si>
    <t>ENTRICITABINA</t>
  </si>
  <si>
    <t>EPIRIZOL</t>
  </si>
  <si>
    <t>EPLERENONA</t>
  </si>
  <si>
    <t>ERGOCALCIFEROL</t>
  </si>
  <si>
    <t>ESPIRAMICINA</t>
  </si>
  <si>
    <t>ESPIRONOLACTONA</t>
  </si>
  <si>
    <t>ESTAVUDINA</t>
  </si>
  <si>
    <t>ESTAZOLAM</t>
  </si>
  <si>
    <t>ESTEARATO DE ERITROMICINA</t>
  </si>
  <si>
    <t>ESTOLATO DE ERITROMICINA</t>
  </si>
  <si>
    <t>ESTREPTOQUINASE</t>
  </si>
  <si>
    <t>ESTRIOL</t>
  </si>
  <si>
    <t>ETABONATO DE LOTEPREDNOL</t>
  </si>
  <si>
    <t>ETAMBUTOL</t>
  </si>
  <si>
    <t>ETANERCEPTE</t>
  </si>
  <si>
    <t>ETIONAMIDA</t>
  </si>
  <si>
    <t>ETOFIBRATO</t>
  </si>
  <si>
    <t>ETOMIDATO</t>
  </si>
  <si>
    <t>ETONOGESTREL</t>
  </si>
  <si>
    <t>EVEROLIMO</t>
  </si>
  <si>
    <t>EXEMESTANO</t>
  </si>
  <si>
    <t>EXENATIDA</t>
  </si>
  <si>
    <t>EXTRATO DE CARTILAGEM</t>
  </si>
  <si>
    <t>FAMOTIDINA</t>
  </si>
  <si>
    <t>FANCICLOVIR</t>
  </si>
  <si>
    <t>FATOR IX COMPLEXO HUMANO</t>
  </si>
  <si>
    <t>FELODIPINO</t>
  </si>
  <si>
    <t>FEMPROCUMONA</t>
  </si>
  <si>
    <t>FENILALANINA</t>
  </si>
  <si>
    <t>FENOBARBITAL</t>
  </si>
  <si>
    <t>FENOFIBRATO</t>
  </si>
  <si>
    <t>FENTANILA</t>
  </si>
  <si>
    <t>FENTETRAMINA</t>
  </si>
  <si>
    <t>FERUMOXSIL</t>
  </si>
  <si>
    <t>FIBRINA</t>
  </si>
  <si>
    <t>FILGRASTIM</t>
  </si>
  <si>
    <t>FITOMENADIONA</t>
  </si>
  <si>
    <t>FLUCITOSINA</t>
  </si>
  <si>
    <t>FLUMAZENIL</t>
  </si>
  <si>
    <t>FLUNISOLIDA</t>
  </si>
  <si>
    <t>FLUNITRAZEPAM</t>
  </si>
  <si>
    <t>FLUOCINOLONA ACETONIDA</t>
  </si>
  <si>
    <t>FLUORMETOLONA</t>
  </si>
  <si>
    <t>FLUORURACILA</t>
  </si>
  <si>
    <t>FLURBIPROFENO</t>
  </si>
  <si>
    <t>FLUTAMIDA</t>
  </si>
  <si>
    <t>FLUVASTATINA</t>
  </si>
  <si>
    <t>FLUVOXAMINA</t>
  </si>
  <si>
    <t>FORMESTANO</t>
  </si>
  <si>
    <t>FOSFATO DE DISOPIRAMIDA</t>
  </si>
  <si>
    <t>FOSFATO DE FLUDARABINA</t>
  </si>
  <si>
    <t>FOSFATO DE OSELTAMIVIR</t>
  </si>
  <si>
    <t>FOSFATO DE SITAGLIPTINA</t>
  </si>
  <si>
    <t>FOSFATO DE TETRACICLINA</t>
  </si>
  <si>
    <t>FOSFOMICINA TROMETAMOL</t>
  </si>
  <si>
    <t>FOSINOPRIL</t>
  </si>
  <si>
    <t>FOTEMUSTINA</t>
  </si>
  <si>
    <t>FRAGMENTO FAB CONTRA DIGOXINA</t>
  </si>
  <si>
    <t>FRUTOSE</t>
  </si>
  <si>
    <t>FULVESTRANTO</t>
  </si>
  <si>
    <t>FUMARATO DE BENCICLANO</t>
  </si>
  <si>
    <t>FUMARATO DE BISOPROLOL</t>
  </si>
  <si>
    <t>FUMARATO DE CETOTIFENO</t>
  </si>
  <si>
    <t>FUMARATO DE FORMOTEROL</t>
  </si>
  <si>
    <t>FUMARATO DE QUETIAPINA</t>
  </si>
  <si>
    <t>FUMARATO DE TENOFOVIR DESOPROXILA</t>
  </si>
  <si>
    <t>FURAZOLIDONA</t>
  </si>
  <si>
    <t>FUROATO DE MOMETASONA</t>
  </si>
  <si>
    <t>FUROSEMIDA</t>
  </si>
  <si>
    <t>GABAPENTINA</t>
  </si>
  <si>
    <t>GADOBENATO DIMEGLUMINA</t>
  </si>
  <si>
    <t>GADODIAMIDA</t>
  </si>
  <si>
    <t>GADOPENTETATO DE DIMEGLUMINA</t>
  </si>
  <si>
    <t>GADOTERATO DE MEGLUMINA</t>
  </si>
  <si>
    <t>GADOTERIDOL</t>
  </si>
  <si>
    <t>GADOVERSETAMIDA</t>
  </si>
  <si>
    <t>GAMAINTERFERONA</t>
  </si>
  <si>
    <t>GANCICLOVIR</t>
  </si>
  <si>
    <t>GATIFLOXACINO</t>
  </si>
  <si>
    <t>GEFITINIBE</t>
  </si>
  <si>
    <t>GENFIBROZILA</t>
  </si>
  <si>
    <t>GENTUZUMABE OZOGAMICINA</t>
  </si>
  <si>
    <t>GESTRINONA</t>
  </si>
  <si>
    <t>GLICAMETACINA</t>
  </si>
  <si>
    <t>GLICEROL</t>
  </si>
  <si>
    <t>GLICINA</t>
  </si>
  <si>
    <t>GLICLAZIDA</t>
  </si>
  <si>
    <t>GLICONATO DE CLOREXIDINA</t>
  </si>
  <si>
    <t>GLIMEPIRIDA</t>
  </si>
  <si>
    <t>GLIPIZIDA</t>
  </si>
  <si>
    <t>GLUCAGON</t>
  </si>
  <si>
    <t>GLUTARAL</t>
  </si>
  <si>
    <t>GRISEOFULVINA</t>
  </si>
  <si>
    <t>HALOPERIDOL</t>
  </si>
  <si>
    <t>HALOTANO</t>
  </si>
  <si>
    <t>HEMIFUMARATO DE ALISQUIRENO</t>
  </si>
  <si>
    <t>HEMISSUCCINATO DE HIDROCORTISONA</t>
  </si>
  <si>
    <t>HEMITARTARATO DE EPINEFRINA</t>
  </si>
  <si>
    <t>HEMITARTARATO DE METARAMINOL</t>
  </si>
  <si>
    <t>HEMITARTARATO DE NOREPINEFRINA</t>
  </si>
  <si>
    <t>HEMITARTARATO DE ZOLPIDEM</t>
  </si>
  <si>
    <t>HEPARINA</t>
  </si>
  <si>
    <t>HETAMIDO</t>
  </si>
  <si>
    <t>HEXACETONIDA DE TRIANCINOLONA</t>
  </si>
  <si>
    <t>HEXAIDROBENZOATO DE ESTRADIOL</t>
  </si>
  <si>
    <t>HIDROCLOROTIAZIDA</t>
  </si>
  <si>
    <t>HISTIDINA</t>
  </si>
  <si>
    <t>IBOPAMINA</t>
  </si>
  <si>
    <t>ICODEXTRINA</t>
  </si>
  <si>
    <t>IFOSFAMIDA</t>
  </si>
  <si>
    <t>ILOPROSTA</t>
  </si>
  <si>
    <t>IMIGLUCERASE</t>
  </si>
  <si>
    <t>IMUNOCIANINA</t>
  </si>
  <si>
    <t>IMUNOGLOBULINA CONTRA HEPATITE B</t>
  </si>
  <si>
    <t>IMUNOGLOBULINA CONTRA VARICELA-ZOSTER</t>
  </si>
  <si>
    <t>IMUNOGLOBULINA G</t>
  </si>
  <si>
    <t>IMUNOGLOBULINA HUMANA</t>
  </si>
  <si>
    <t>INDAPAMIDA</t>
  </si>
  <si>
    <t>INDIPLON</t>
  </si>
  <si>
    <t>INDOMETACINA</t>
  </si>
  <si>
    <t>INFLIXIMABE</t>
  </si>
  <si>
    <t>INIBIDOR DA ALFA-1 PROTEINASE</t>
  </si>
  <si>
    <t>INSULINA ASPARTE</t>
  </si>
  <si>
    <t>INSULINA BOVINA</t>
  </si>
  <si>
    <t>INSULINA DETEMIR</t>
  </si>
  <si>
    <t>INSULINA GLULISINA</t>
  </si>
  <si>
    <t>INSULINA ISOFANA</t>
  </si>
  <si>
    <t>INSULINA LISPRO</t>
  </si>
  <si>
    <t>INSULINA MISTA</t>
  </si>
  <si>
    <t>INTERFERONA HUMANO DE FIBROBLASTOS</t>
  </si>
  <si>
    <t>INTERLEUCINA 2</t>
  </si>
  <si>
    <t>IOBITRIDOL</t>
  </si>
  <si>
    <t>IODAMIDA MEGLUMINA</t>
  </si>
  <si>
    <t>IODIXANOL</t>
  </si>
  <si>
    <t>IODOPOVIDONA</t>
  </si>
  <si>
    <t>IOEXOL</t>
  </si>
  <si>
    <t>IOGLICAMATO DE MEGLUMINA</t>
  </si>
  <si>
    <t>IOPAMIDOL</t>
  </si>
  <si>
    <t>IOPIDOL</t>
  </si>
  <si>
    <t>IOPROMIDA</t>
  </si>
  <si>
    <t>IOTALAMATO DE MEGLUMINA</t>
  </si>
  <si>
    <t>IOVERSOL</t>
  </si>
  <si>
    <t>IOXAGLATO DE MEGLUMINA</t>
  </si>
  <si>
    <t>IOXILANA</t>
  </si>
  <si>
    <t>IOXITALAMATO DE MEGLUMINA</t>
  </si>
  <si>
    <t>IPRIFLAVONA</t>
  </si>
  <si>
    <t>IRBESARTANA</t>
  </si>
  <si>
    <t>ISETIONATO DE PENTAMIDINA</t>
  </si>
  <si>
    <t>ISOFLURANO</t>
  </si>
  <si>
    <t>ISOLEUCINA</t>
  </si>
  <si>
    <t>ISONIAZIDA</t>
  </si>
  <si>
    <t>ISRADIPINO</t>
  </si>
  <si>
    <t>ITRACONAZOL</t>
  </si>
  <si>
    <t>IVERMECTINA</t>
  </si>
  <si>
    <t>LACIDIPINO</t>
  </si>
  <si>
    <t>LACTATO DE ANRINONA</t>
  </si>
  <si>
    <t>LACTATO DE BIPERIDENO</t>
  </si>
  <si>
    <t>LACTATO DE CIPROFLOXACINO</t>
  </si>
  <si>
    <t>LACTATO DE MILRINONA</t>
  </si>
  <si>
    <t>LAMIVUDINA</t>
  </si>
  <si>
    <t>LAMOTRIGINA</t>
  </si>
  <si>
    <t>LANSOPRAZOL</t>
  </si>
  <si>
    <t>LAPACHOL</t>
  </si>
  <si>
    <t>LARONIDASE</t>
  </si>
  <si>
    <t>LECITINA DE OVO</t>
  </si>
  <si>
    <t>LEFLUNOMIDA</t>
  </si>
  <si>
    <t>LENOGRASTIM</t>
  </si>
  <si>
    <t>LETROZOL</t>
  </si>
  <si>
    <t>LEUCINA</t>
  </si>
  <si>
    <t>LEVOSIMENDANA</t>
  </si>
  <si>
    <t>LEVOVALINA</t>
  </si>
  <si>
    <t>LEVULINATO DE METILA</t>
  </si>
  <si>
    <t>LIMECICLINA</t>
  </si>
  <si>
    <t>LINESTRENOL</t>
  </si>
  <si>
    <t>LINEZOLIDA</t>
  </si>
  <si>
    <t>LIOTIRONINA</t>
  </si>
  <si>
    <t>LISADO BACTERIANO</t>
  </si>
  <si>
    <t>LISINA</t>
  </si>
  <si>
    <t>LISINATO DE CETOPROFENO</t>
  </si>
  <si>
    <t>LISINOPRIL</t>
  </si>
  <si>
    <t>LODOXAMIDA</t>
  </si>
  <si>
    <t>LOMIFILINA</t>
  </si>
  <si>
    <t>LOMUSTINA</t>
  </si>
  <si>
    <t>LOPINAVIR</t>
  </si>
  <si>
    <t>LORAZEPAM</t>
  </si>
  <si>
    <t>LORNOXICAM</t>
  </si>
  <si>
    <t>LOVASTATINA</t>
  </si>
  <si>
    <t>LUMIRACOXIBE</t>
  </si>
  <si>
    <t>MALATO DE SUNITINIBE</t>
  </si>
  <si>
    <t>MALEATO DE ENALAPRIL</t>
  </si>
  <si>
    <t>MALEATO DE FLUVOXAMINA</t>
  </si>
  <si>
    <t>MALEATO DE LEVOMEPROMAZINA</t>
  </si>
  <si>
    <t>MALEATO DE LISURIDA</t>
  </si>
  <si>
    <t>MALEATO DE METILERGOMETRINA</t>
  </si>
  <si>
    <t>MALEATO DE MIDAZOLAM</t>
  </si>
  <si>
    <t>MALEATO DE PIMETIXENO</t>
  </si>
  <si>
    <t>MALEATO DE ROSIGLITAZONA</t>
  </si>
  <si>
    <t>MANIDIPINO</t>
  </si>
  <si>
    <t>MANITOL</t>
  </si>
  <si>
    <t>MARAVIROC</t>
  </si>
  <si>
    <t>MEBENDAZOL</t>
  </si>
  <si>
    <t>MEGLUMINA</t>
  </si>
  <si>
    <t>MELAGATRANA</t>
  </si>
  <si>
    <t>MELFALANA</t>
  </si>
  <si>
    <t>MELOXICAM</t>
  </si>
  <si>
    <t>MENOTROPINA</t>
  </si>
  <si>
    <t>MERCAPTOPURINA</t>
  </si>
  <si>
    <t>MESILATO DE BROMOCRIPTINA</t>
  </si>
  <si>
    <t>MESILATO DE CODERGOCRINA</t>
  </si>
  <si>
    <t>MESILATO DE DELAVIRDINA</t>
  </si>
  <si>
    <t>MESILATO DE DESFERROXAMINA</t>
  </si>
  <si>
    <t>MESILATO DE DIIDROERGOCRISTINA</t>
  </si>
  <si>
    <t>MESILATO DE DOLASETRONA</t>
  </si>
  <si>
    <t>MESILATO DE DOXAZOSINA</t>
  </si>
  <si>
    <t>MESILATO DE EPROSARTANA</t>
  </si>
  <si>
    <t>MESILATO DE GEMIFLOXACINO</t>
  </si>
  <si>
    <t>MESILATO DE IMATINIBE</t>
  </si>
  <si>
    <t>MESILATO DE NELFINAVIR</t>
  </si>
  <si>
    <t>MESILATO DE PEFLOXACINO</t>
  </si>
  <si>
    <t>MESILATO DE PERGOLIDA</t>
  </si>
  <si>
    <t>MESILATO DE PRALIDOXIMA</t>
  </si>
  <si>
    <t>MESILATO DE REBOXETINA</t>
  </si>
  <si>
    <t>MESILATO DE SAQUINAVIR</t>
  </si>
  <si>
    <t>MESILATO DE ZIPRASIDONA</t>
  </si>
  <si>
    <t>MESNA</t>
  </si>
  <si>
    <t>METILDIGOXINA</t>
  </si>
  <si>
    <t>METILDOPA</t>
  </si>
  <si>
    <t>METILSULFATO DE NEOSTIGMINA</t>
  </si>
  <si>
    <t>METILSULFATO DE PRALIDOXIMA</t>
  </si>
  <si>
    <t>METIONINA</t>
  </si>
  <si>
    <t>METIPRANOLOL</t>
  </si>
  <si>
    <t>METOTREXATO</t>
  </si>
  <si>
    <t>METOXISALENO</t>
  </si>
  <si>
    <t>METRIZOATO DE MEGLUMINA</t>
  </si>
  <si>
    <t>METRONIDAZOL</t>
  </si>
  <si>
    <t>MIANSERINA</t>
  </si>
  <si>
    <t>MICOFENOLATO DE MOFETILA</t>
  </si>
  <si>
    <t>MICONAZOL</t>
  </si>
  <si>
    <t>MIDAZOLAM</t>
  </si>
  <si>
    <t>MIDECAMICINA</t>
  </si>
  <si>
    <t>MIGLUSTATE</t>
  </si>
  <si>
    <t>MILTEFOSINA</t>
  </si>
  <si>
    <t>MIRTAZAPINA</t>
  </si>
  <si>
    <t>MISOPROSTOL</t>
  </si>
  <si>
    <t>MITOMICINA</t>
  </si>
  <si>
    <t>MITOTANO</t>
  </si>
  <si>
    <t>MOCLOBEMIDA</t>
  </si>
  <si>
    <t>MODAFINILA</t>
  </si>
  <si>
    <t>MOLGRAMOSTIM</t>
  </si>
  <si>
    <t>MONONITRATO DE ISOSSORBIDA</t>
  </si>
  <si>
    <t>MOXIFLOXACINO</t>
  </si>
  <si>
    <t>MOXONIDINA</t>
  </si>
  <si>
    <t>MURAGLITAZAR</t>
  </si>
  <si>
    <t>MUROMONABE CD3</t>
  </si>
  <si>
    <t>NABUMETONA</t>
  </si>
  <si>
    <t>NADOLOL</t>
  </si>
  <si>
    <t>NAFTIDROFURILA</t>
  </si>
  <si>
    <t>NAPROXENO</t>
  </si>
  <si>
    <t>NATEGLINIDA</t>
  </si>
  <si>
    <t>NEPAFENACO</t>
  </si>
  <si>
    <t>NESIRITIDA</t>
  </si>
  <si>
    <t>NEVIRAPINA</t>
  </si>
  <si>
    <t>NICERGOLINA</t>
  </si>
  <si>
    <t>NICOTINAMIDA</t>
  </si>
  <si>
    <t>NIFEDIPINO</t>
  </si>
  <si>
    <t>NIFURTIMOX</t>
  </si>
  <si>
    <t>NILUTAMIDA</t>
  </si>
  <si>
    <t>NIMESULIDA BETACICLODEXTRINA</t>
  </si>
  <si>
    <t>NIMODIPINO</t>
  </si>
  <si>
    <t>NISOLDIPINO</t>
  </si>
  <si>
    <t>NISTATINA</t>
  </si>
  <si>
    <t>NITRATO DE MICONAZOL</t>
  </si>
  <si>
    <t>NITRAZEPAM</t>
  </si>
  <si>
    <t>NITRENDIPINO</t>
  </si>
  <si>
    <t>NITROGLICERINA</t>
  </si>
  <si>
    <t>NIZATIDINA</t>
  </si>
  <si>
    <t>NONOXINOL</t>
  </si>
  <si>
    <t>OCITOCINA</t>
  </si>
  <si>
    <t>OCTREOTIDA</t>
  </si>
  <si>
    <t>OFLOXACINO</t>
  </si>
  <si>
    <t>OLANZAPINA</t>
  </si>
  <si>
    <t>OLEATO DE MONOETANOLAMINA</t>
  </si>
  <si>
    <t>OLMESARTANA MEDOXOMILA</t>
  </si>
  <si>
    <t>OMALIZUMABE</t>
  </si>
  <si>
    <t>OPRELVECINA</t>
  </si>
  <si>
    <t>ORNITINA</t>
  </si>
  <si>
    <t>OXALATO DE ESCITALOPRAM</t>
  </si>
  <si>
    <t>OXALIPLATINA</t>
  </si>
  <si>
    <t>OXAMNIQUINA</t>
  </si>
  <si>
    <t>OXCARBAZEPINA</t>
  </si>
  <si>
    <t>OXIMETOLONA</t>
  </si>
  <si>
    <t>PACLITAXEL</t>
  </si>
  <si>
    <t>PALIVIZUMABE</t>
  </si>
  <si>
    <t>PALMITATO DE CLORANFENICOL</t>
  </si>
  <si>
    <t>PALMITATO DE COLFOSCERILA</t>
  </si>
  <si>
    <t>PALMITATO DE PIPOTIAZINA</t>
  </si>
  <si>
    <t>PALMITATO DE RETINOL</t>
  </si>
  <si>
    <t>PANTOPRAZOL</t>
  </si>
  <si>
    <t>PARECOXIBE</t>
  </si>
  <si>
    <t>PARICALCITOL</t>
  </si>
  <si>
    <t>PEFLOXACINO</t>
  </si>
  <si>
    <t>PEGFILGRASTIM</t>
  </si>
  <si>
    <t>PEGVISOMANTO</t>
  </si>
  <si>
    <t>PEMETREXEDE</t>
  </si>
  <si>
    <t>PENFLURIDOL</t>
  </si>
  <si>
    <t>PENICILAMINA</t>
  </si>
  <si>
    <t>PERICIAZINA</t>
  </si>
  <si>
    <t>PERINDOPRIL</t>
  </si>
  <si>
    <t>PERINDOPRIL ERBUMINA</t>
  </si>
  <si>
    <t>PIMETIXENO</t>
  </si>
  <si>
    <t>PIMOZIDA</t>
  </si>
  <si>
    <t>PINDOLOL</t>
  </si>
  <si>
    <t>PIOGLITAZONA</t>
  </si>
  <si>
    <t>PIPOTIAZINA</t>
  </si>
  <si>
    <t>PIRACETAM</t>
  </si>
  <si>
    <t>PIRAZINAMIDA</t>
  </si>
  <si>
    <t>PIRETANIDA</t>
  </si>
  <si>
    <t>PIRIBEDIL</t>
  </si>
  <si>
    <t>PIRIMETAMINA</t>
  </si>
  <si>
    <t>PIROXICAM</t>
  </si>
  <si>
    <t>PIROXICAM BETACICLODEXTRINA</t>
  </si>
  <si>
    <t>PLAQUETAS</t>
  </si>
  <si>
    <t>PLASMA</t>
  </si>
  <si>
    <t>POLIGELINA</t>
  </si>
  <si>
    <t>PRANOPROFENO</t>
  </si>
  <si>
    <t>PRAZIQUANTEL</t>
  </si>
  <si>
    <t>PREDNISONA</t>
  </si>
  <si>
    <t>PREGABALINA</t>
  </si>
  <si>
    <t>PRIMAQUINA</t>
  </si>
  <si>
    <t>PRIMIDONA</t>
  </si>
  <si>
    <t>PROBUCOL</t>
  </si>
  <si>
    <t>PROGESTERONA</t>
  </si>
  <si>
    <t>PROLINA</t>
  </si>
  <si>
    <t>PROMESTRIENO</t>
  </si>
  <si>
    <t>PROPILTIOURACILA</t>
  </si>
  <si>
    <t>PROPIONATO DE CLOBETASOL</t>
  </si>
  <si>
    <t>PROPIONATO DE FLUTICASONA</t>
  </si>
  <si>
    <t>PROPOFOL</t>
  </si>
  <si>
    <t>PROTIONAMIDA</t>
  </si>
  <si>
    <t>PROTIRRELINA</t>
  </si>
  <si>
    <t>QUINAGOLIDA</t>
  </si>
  <si>
    <t>QUININA</t>
  </si>
  <si>
    <t>RALTITREXEDE</t>
  </si>
  <si>
    <t>RAMIPRIL</t>
  </si>
  <si>
    <t>RANIBIZUMABE</t>
  </si>
  <si>
    <t>RASBURICASE</t>
  </si>
  <si>
    <t>REPAGLINIDA</t>
  </si>
  <si>
    <t>RESERPINA</t>
  </si>
  <si>
    <t>RETEPLASE</t>
  </si>
  <si>
    <t>RIBAVIRINA</t>
  </si>
  <si>
    <t>RIFAMIDA</t>
  </si>
  <si>
    <t>RIFAMPICINA</t>
  </si>
  <si>
    <t>RILUZOL</t>
  </si>
  <si>
    <t>RISPERIDONA</t>
  </si>
  <si>
    <t>RITONAVIR</t>
  </si>
  <si>
    <t>RITUXIMABE</t>
  </si>
  <si>
    <t>RIVASTIGMINA</t>
  </si>
  <si>
    <t>ROFECOXIBE</t>
  </si>
  <si>
    <t>ROSOXACINO</t>
  </si>
  <si>
    <t>ROXITROMICINA</t>
  </si>
  <si>
    <t>SALBUTAMOL</t>
  </si>
  <si>
    <t>SAQUINAVIR</t>
  </si>
  <si>
    <t>SELEGILINA</t>
  </si>
  <si>
    <t>SERINA</t>
  </si>
  <si>
    <t>SEVOFLURANO</t>
  </si>
  <si>
    <t>SIROLIMO</t>
  </si>
  <si>
    <t>SOMATOSTATINA</t>
  </si>
  <si>
    <t>SOMATROPINA</t>
  </si>
  <si>
    <t>SORO ANTI-A</t>
  </si>
  <si>
    <t>SORO ANTI-B</t>
  </si>
  <si>
    <t>SORO ANTI-FYA ANTI-DUFFY</t>
  </si>
  <si>
    <t>SORO ANTI-LEANTI LEWISA ORTHO</t>
  </si>
  <si>
    <t>SORO ANTI-RH (ANTI-C)</t>
  </si>
  <si>
    <t>SORO ANTI-RH (ANTI-D)</t>
  </si>
  <si>
    <t>SORO ANTI-RH (ANTI-E)</t>
  </si>
  <si>
    <t>SORO ANTI-S</t>
  </si>
  <si>
    <t>SORO CONTRA LATRODECTUS CURACAVIENSIS</t>
  </si>
  <si>
    <t>SORO PARA O CONTATO COM A LAGARTA DO TIPO LOMONIA</t>
  </si>
  <si>
    <t>SUBCITRATO DE BISMUTO COLOIDAL</t>
  </si>
  <si>
    <t>SUBNITRATO DE BISMUTO</t>
  </si>
  <si>
    <t>SUCCINATO DE ESTRIOL</t>
  </si>
  <si>
    <t>SUCCINATO DE METOPROLOL</t>
  </si>
  <si>
    <t>SUCCINATO DE SUMATRIPTANA</t>
  </si>
  <si>
    <t>SULFACETAMIDA</t>
  </si>
  <si>
    <t>SULFADIAZINA</t>
  </si>
  <si>
    <t>SULFADIAZINA DE PRATA</t>
  </si>
  <si>
    <t>SULFAMETOXAZOL</t>
  </si>
  <si>
    <t>SULFASSALAZINA</t>
  </si>
  <si>
    <t>SULFATO DE ABACAVIR</t>
  </si>
  <si>
    <t>SULFATO DE AMICACINA</t>
  </si>
  <si>
    <t>SULFATO DE ARBECACINA</t>
  </si>
  <si>
    <t>SULFATO DE ATAZANAVIR</t>
  </si>
  <si>
    <t>SULFATO DE BAMETANA</t>
  </si>
  <si>
    <t>SULFATO DE BLEOMICINA</t>
  </si>
  <si>
    <t>SULFATO DE CAPREOMICINA</t>
  </si>
  <si>
    <t>SULFATO DE CEFPIROMA</t>
  </si>
  <si>
    <t>SULFATO DE CLOROQUINA</t>
  </si>
  <si>
    <t>SULFATO DE CONDROITINA</t>
  </si>
  <si>
    <t>SULFATO DE EFEDRINA</t>
  </si>
  <si>
    <t>SULFATO DE ESTREPTOMICINA</t>
  </si>
  <si>
    <t>SULFATO DE GENTAMICINA</t>
  </si>
  <si>
    <t>SULFATO DE GLICOSAMINA</t>
  </si>
  <si>
    <t>SULFATO DE HIDROXICLOROQUINA</t>
  </si>
  <si>
    <t>SULFATO DE INDINAVIR</t>
  </si>
  <si>
    <t>SULFATO DE MORFINA</t>
  </si>
  <si>
    <t>SULFATO DE NEOMICINA</t>
  </si>
  <si>
    <t>SULFATO DE NETILMICINA</t>
  </si>
  <si>
    <t>SULFATO DE QUINIDINA</t>
  </si>
  <si>
    <t>SULFATO DE QUININA</t>
  </si>
  <si>
    <t>SULFATO DE SALBUTAMOL</t>
  </si>
  <si>
    <t>SULFATO DE TERBUTALINA</t>
  </si>
  <si>
    <t>SULFATO DE TOBRAMICINA</t>
  </si>
  <si>
    <t>SULFATO DE TRANILCIPROMINA</t>
  </si>
  <si>
    <t>SULFATO DE VIMBLASTINA</t>
  </si>
  <si>
    <t>SULFATO DE VINCRISTINA</t>
  </si>
  <si>
    <t>SULFATO DE ZINCO</t>
  </si>
  <si>
    <t>SULPIRIDA</t>
  </si>
  <si>
    <t>SULTAMICILINA</t>
  </si>
  <si>
    <t>SUMATRIPTANA</t>
  </si>
  <si>
    <t>SUPROFENO</t>
  </si>
  <si>
    <t>TACRINA</t>
  </si>
  <si>
    <t>TACROLIMO</t>
  </si>
  <si>
    <t>TALIDOMIDA</t>
  </si>
  <si>
    <t>TAMOXIFENO</t>
  </si>
  <si>
    <t>TANSULOSINA</t>
  </si>
  <si>
    <t>TARTARATO DE LASOFOXIFENO</t>
  </si>
  <si>
    <t>TARTARATO DE METOPROLOL</t>
  </si>
  <si>
    <t>TARTARATO DE VINORELBINA</t>
  </si>
  <si>
    <t>TAURINA</t>
  </si>
  <si>
    <t>TEGAFUR</t>
  </si>
  <si>
    <t>TEICOPLANINA</t>
  </si>
  <si>
    <t>TELITROMICINA</t>
  </si>
  <si>
    <t>TELMISARTANA</t>
  </si>
  <si>
    <t>TEMOZOLOMIDA</t>
  </si>
  <si>
    <t>TENECTEPLASE</t>
  </si>
  <si>
    <t>TENOFOVIR</t>
  </si>
  <si>
    <t>TENOXICAM</t>
  </si>
  <si>
    <t>TEOFILINA</t>
  </si>
  <si>
    <t>TEOFILINATO DE AMBROXOL</t>
  </si>
  <si>
    <t>TERIZIDONA</t>
  </si>
  <si>
    <t>TETRACICLINA</t>
  </si>
  <si>
    <t>TIABENDAZOL</t>
  </si>
  <si>
    <t>TIAMAZOL</t>
  </si>
  <si>
    <t>TIANFENICOL</t>
  </si>
  <si>
    <t>TIAPRIDA</t>
  </si>
  <si>
    <t>TIGECICLINA</t>
  </si>
  <si>
    <t>TIMALFASINA</t>
  </si>
  <si>
    <t>TIMOMODULINA</t>
  </si>
  <si>
    <t>TIOGUANINA</t>
  </si>
  <si>
    <t>TIOTEPA</t>
  </si>
  <si>
    <t>TIOTIXENO</t>
  </si>
  <si>
    <t>TIPIFARNIBE</t>
  </si>
  <si>
    <t>TIROSINA</t>
  </si>
  <si>
    <t>TOLCAPONA</t>
  </si>
  <si>
    <t>TOPIRAMATO</t>
  </si>
  <si>
    <t>TOREMIFENO</t>
  </si>
  <si>
    <t>TOSILATO DE SORAFENIBE</t>
  </si>
  <si>
    <t>TOSILATO DE SULTAMICILINA</t>
  </si>
  <si>
    <t>TRANDOLAPRIL</t>
  </si>
  <si>
    <t>TRAPIDIL</t>
  </si>
  <si>
    <t>TRASTUZUMABE</t>
  </si>
  <si>
    <t>TRAVOPROSTA</t>
  </si>
  <si>
    <t>TREONINA</t>
  </si>
  <si>
    <t>TRIANCINOLONA ACETONIDA</t>
  </si>
  <si>
    <t>TRICLOSANA</t>
  </si>
  <si>
    <t>TRIENTINA</t>
  </si>
  <si>
    <t>TRIETIODETO DE GALAMINA</t>
  </si>
  <si>
    <t>TRIFLUSAL</t>
  </si>
  <si>
    <t>TRIPTOFANA</t>
  </si>
  <si>
    <t>TRIPTORRELINA</t>
  </si>
  <si>
    <t>TROMETAMOL CETOROLACO</t>
  </si>
  <si>
    <t>TROMETAMOL DE LODOXAMIDA</t>
  </si>
  <si>
    <t>UBIDECARENONA</t>
  </si>
  <si>
    <t>UNDECILATO DE TESTOSTERONA</t>
  </si>
  <si>
    <t>UROFOLITROPINA</t>
  </si>
  <si>
    <t>UROQUINASE</t>
  </si>
  <si>
    <t>VACINA ANTICATARRAL</t>
  </si>
  <si>
    <t>VACINA BCG</t>
  </si>
  <si>
    <t>VACINA COMBINADA INATIVADA CONTRA HEPATITE A E B (RDNA)</t>
  </si>
  <si>
    <t>VACINA CONTRA CAXUMBA</t>
  </si>
  <si>
    <t>VACINA CONTRA FEBRE AMARELA</t>
  </si>
  <si>
    <t>VACINA CONTRA GRIPE</t>
  </si>
  <si>
    <t>VACINA CONTRA HAEMOPHILUS INFLUENZAE TIPO B</t>
  </si>
  <si>
    <t>VACINA CONTRA HAEMOPHYLUS INFLUENZAE TIPO A</t>
  </si>
  <si>
    <t>VACINA CONTRA HEPATITE A</t>
  </si>
  <si>
    <t>VACINA CONTRA HEPATITE B</t>
  </si>
  <si>
    <t>VACINA CONTRA MENINGITE A</t>
  </si>
  <si>
    <t>VACINA CONTRA MENINGITE A E C</t>
  </si>
  <si>
    <t>VACINA CONTRA MENINGITE A, C E Y</t>
  </si>
  <si>
    <t>VACINA CONTRA MENINGITE B E C</t>
  </si>
  <si>
    <t>VACINA CONTRA MENINGITE C</t>
  </si>
  <si>
    <t>VACINA CONTRA PNEUMOCOCOS</t>
  </si>
  <si>
    <t>VACINA CONTRA POLIOMELITE ATENUADA</t>
  </si>
  <si>
    <t>VACINA CONTRA POLIOMELITE INATIVADA</t>
  </si>
  <si>
    <t>VACINA CONTRA RAIVA</t>
  </si>
  <si>
    <t>VACINA CONTRA SARAMPO</t>
  </si>
  <si>
    <t>VACINA CONTRA VARICELA</t>
  </si>
  <si>
    <t>VACINA QUADRIVALENTE RECOMBINANTE CONTRA PAPILOMA VIRUS HUMANO</t>
  </si>
  <si>
    <t>VALACICLOVIR</t>
  </si>
  <si>
    <t>VALDECOXIBE</t>
  </si>
  <si>
    <t>VALERATO DE ESTRADIOL</t>
  </si>
  <si>
    <t>VALGANCICLOVIR</t>
  </si>
  <si>
    <t>VALSARTANA</t>
  </si>
  <si>
    <t>VARENICLINA</t>
  </si>
  <si>
    <t>VERTEPORFINA</t>
  </si>
  <si>
    <t>VIGABATRINA</t>
  </si>
  <si>
    <t>VILDAGLIPTINA</t>
  </si>
  <si>
    <t>VINCAMINA</t>
  </si>
  <si>
    <t>VORICONAZOL</t>
  </si>
  <si>
    <t>XIMELAGATRANA</t>
  </si>
  <si>
    <t>XINAFOATO DE SALMETEROL</t>
  </si>
  <si>
    <t>ZAFIRLUCASTE</t>
  </si>
  <si>
    <t>ZALCITABINA</t>
  </si>
  <si>
    <t>ZIDOVUDINA</t>
  </si>
  <si>
    <t>ZOLMITRIPTANA</t>
  </si>
  <si>
    <t>ZOPICLONA</t>
  </si>
  <si>
    <t>CLORIDRATO DE CLORTETRACICLINA</t>
  </si>
  <si>
    <t>CIPIONATO DE ESTRADIOL</t>
  </si>
  <si>
    <t>ESTRADIOL HEMIIDRATADO</t>
  </si>
  <si>
    <t>HIPROMELOSE</t>
  </si>
  <si>
    <t>CELULASE</t>
  </si>
  <si>
    <t>LIPASE</t>
  </si>
  <si>
    <t>PEPSINA</t>
  </si>
  <si>
    <t>ENANTATO DE ESTRADIOL</t>
  </si>
  <si>
    <t>CLORIDRATO DE ETAFEDRINA</t>
  </si>
  <si>
    <t>SULBACTAM</t>
  </si>
  <si>
    <t>PROBENECIDA</t>
  </si>
  <si>
    <t>LUMEFANTRINA</t>
  </si>
  <si>
    <t>TORCETRAPIBE</t>
  </si>
  <si>
    <t>CITRATO DE ORFENADRINA</t>
  </si>
  <si>
    <t>TICARCILINA</t>
  </si>
  <si>
    <t>TARTARATO DE NICOTINILA</t>
  </si>
  <si>
    <t>CLORIDRATO DE PROMETAZINA</t>
  </si>
  <si>
    <t>EPINEFRINA</t>
  </si>
  <si>
    <t>SULFATO DE POLIMIXINA B</t>
  </si>
  <si>
    <t>CORBADRINA</t>
  </si>
  <si>
    <t>FELIPRESSINA</t>
  </si>
  <si>
    <t>METABORATO DE ETILA</t>
  </si>
  <si>
    <t>TIROTRICINA</t>
  </si>
  <si>
    <t>QUINUPRISTINA</t>
  </si>
  <si>
    <t>FEMPROPIONATO DE TESTOSTERONA</t>
  </si>
  <si>
    <t>FIBRINOLISINA</t>
  </si>
  <si>
    <t>PANCREATINA</t>
  </si>
  <si>
    <t>HEXAHIDROBENZOATO DE TESTOSTERONA</t>
  </si>
  <si>
    <t>GESTODENO</t>
  </si>
  <si>
    <t>MEDROXIPROGESTERONA</t>
  </si>
  <si>
    <t>NORGESTIMATO</t>
  </si>
  <si>
    <t>TRIMEGESTONA</t>
  </si>
  <si>
    <t>HIDROXIPROGESTERONA</t>
  </si>
  <si>
    <t>NORELGESTROMINA</t>
  </si>
  <si>
    <t>NORGESTREL</t>
  </si>
  <si>
    <t>NORMETADONA</t>
  </si>
  <si>
    <t>TRIANTERENO</t>
  </si>
  <si>
    <t>NICOTINATO DE BENZILA</t>
  </si>
  <si>
    <t>IOPIDONA</t>
  </si>
  <si>
    <t>POVIDONA</t>
  </si>
  <si>
    <t>SULFADOXINA</t>
  </si>
  <si>
    <t>TRIMETOPRIMA</t>
  </si>
  <si>
    <t>URACILA</t>
  </si>
  <si>
    <t>TIPO B</t>
  </si>
  <si>
    <t>LORETINATO DE BISMUTO</t>
  </si>
  <si>
    <t>NITROFURAL</t>
  </si>
  <si>
    <t>CLORIDRATO DE METOCLOPRAMIDA</t>
  </si>
  <si>
    <t>SUCCINATO DE DOXILAMINA</t>
  </si>
  <si>
    <t>SALICILATO DE ETILENOGLICOL</t>
  </si>
  <si>
    <t>FENOL</t>
  </si>
  <si>
    <t>TINIDAZOL</t>
  </si>
  <si>
    <t>TROMBINA</t>
  </si>
  <si>
    <t>VALERATO DE BETAMETASONA</t>
  </si>
  <si>
    <t>ISOCAPROATO DE TESTOSTERONA</t>
  </si>
  <si>
    <t>GENTAMICINA</t>
  </si>
  <si>
    <t>SULFATO DE DIIDRALAZINA</t>
  </si>
  <si>
    <t>NITRATO DE TIAMINA</t>
  </si>
  <si>
    <t>HOMOCISTEINATIOLACTONA</t>
  </si>
  <si>
    <t>PROPIONATO DE TESTOSTERONA</t>
  </si>
  <si>
    <t>HEMAGLUTININA FILAMENTOSA</t>
  </si>
  <si>
    <t>PERTACTINA</t>
  </si>
  <si>
    <t>VIRUS INATIVADOS DA POLIOMIELITE</t>
  </si>
  <si>
    <t>BELADONA</t>
  </si>
  <si>
    <t>HESPERIDINA</t>
  </si>
  <si>
    <t>TIAMINA</t>
  </si>
  <si>
    <t>HOMATROPINA</t>
  </si>
  <si>
    <t>FORMOTEROL</t>
  </si>
  <si>
    <t>TETRACAINA</t>
  </si>
  <si>
    <t>CLORETO DE SODIO E POTASSIO</t>
  </si>
  <si>
    <t>DOXILAMINA</t>
  </si>
  <si>
    <t>ASSOCIACOES</t>
  </si>
  <si>
    <t>CETILPIRIDINIO </t>
  </si>
  <si>
    <t>CLOROFENESINA</t>
  </si>
  <si>
    <t>HIDROCORTISONA </t>
  </si>
  <si>
    <t>SULF NEOMICINA</t>
  </si>
  <si>
    <t>BICARBONATO DE SODIO</t>
  </si>
  <si>
    <t>METILTIONINIO</t>
  </si>
  <si>
    <t>1</t>
  </si>
  <si>
    <t>2</t>
  </si>
  <si>
    <t>3</t>
  </si>
  <si>
    <t>4</t>
  </si>
  <si>
    <t>ACETATO DE GLATIRAMER</t>
  </si>
  <si>
    <t>ACETATO DE POTASSIO</t>
  </si>
  <si>
    <t>ACIDO ASPARTICO</t>
  </si>
  <si>
    <t>ACIDO GLUTAMICO</t>
  </si>
  <si>
    <t>ACIDO IOCETAMICO</t>
  </si>
  <si>
    <t>ACIDO MEFENAMICO</t>
  </si>
  <si>
    <t>ACIDO SELENIOSO</t>
  </si>
  <si>
    <t>ACIDO TOLFENAMICO</t>
  </si>
  <si>
    <t>AGUA PARA INJEcAO</t>
  </si>
  <si>
    <t>ANTIINIBIDOR DOS FATORES DE COAGULAcAO VIII E IX</t>
  </si>
  <si>
    <t>ANTITOXINA TETANICA</t>
  </si>
  <si>
    <t>ATORVASTATINA CALCICA</t>
  </si>
  <si>
    <t>BENZILPENICILINA POTASSICA</t>
  </si>
  <si>
    <t>CARBONATO DE CALCIO</t>
  </si>
  <si>
    <t>CLAVULANATO DE POTASSIO</t>
  </si>
  <si>
    <t>CLORAZEPATO DIPOTASSICO</t>
  </si>
  <si>
    <t>CLORETO DE CALCIO</t>
  </si>
  <si>
    <t>CLORETO DE POTASSIO</t>
  </si>
  <si>
    <t>CLORIDRATO DE SEVELAMER</t>
  </si>
  <si>
    <t>DICLOFENACO POTASSICO</t>
  </si>
  <si>
    <t>FATOR DE COAGULAcAO VIIA</t>
  </si>
  <si>
    <t>FATOR II DE COAGULAcAO</t>
  </si>
  <si>
    <t>FATOR IX DE COAGULAcAO</t>
  </si>
  <si>
    <t>FATOR VIII DE COAGULAcAO</t>
  </si>
  <si>
    <t>FATOR XIII DE COAGULAcAO</t>
  </si>
  <si>
    <t>FENILBUTAZONA CALCICA</t>
  </si>
  <si>
    <t>FENOXIMETILPENICILINA POTASSICA</t>
  </si>
  <si>
    <t>FOLINATO DE CALCIO</t>
  </si>
  <si>
    <t>FOSAMPRENAVIR CALCICO</t>
  </si>
  <si>
    <t>FOSFATO DE POTASSIO DIBASICO</t>
  </si>
  <si>
    <t>FOSFATO DE POTASSIO MONOBASICO</t>
  </si>
  <si>
    <t>GLICONATO DE CALCIO</t>
  </si>
  <si>
    <t>IMUNOGLOBULINA ANTITETANICA</t>
  </si>
  <si>
    <t>INSULINA BIFASICA</t>
  </si>
  <si>
    <t>IODETO DE POTASSIO</t>
  </si>
  <si>
    <t>LEVOFOLINATO DE CALCIO</t>
  </si>
  <si>
    <t>LOSARTANA POTASSICA</t>
  </si>
  <si>
    <t>NADROPARINA CALCICA</t>
  </si>
  <si>
    <t>ROSUVASTATINA CALCICA</t>
  </si>
  <si>
    <t>SORO ANTICROTALICO</t>
  </si>
  <si>
    <t>SORO ANTI-RABICO/HUMANO</t>
  </si>
  <si>
    <t>SORO ANTITETANICO</t>
  </si>
  <si>
    <t>SULFATO DE BARIO</t>
  </si>
  <si>
    <t>PROTEASE PANCREATICA</t>
  </si>
  <si>
    <t>FATOR VII DE COAGULAcAO</t>
  </si>
  <si>
    <t>FATOR X DE COAGULAcAO</t>
  </si>
  <si>
    <t>ACETATO DE MAGNESIO</t>
  </si>
  <si>
    <t>ACIDO ACETICO</t>
  </si>
  <si>
    <t>ACIDO GADOTERICO</t>
  </si>
  <si>
    <t>ACIDO LINOLEICO</t>
  </si>
  <si>
    <t>ACIDO PANTOTENICO</t>
  </si>
  <si>
    <t>ANTITOXINA DIFTERICA</t>
  </si>
  <si>
    <t>ARTEMETER</t>
  </si>
  <si>
    <t>CALCITONINA SINTETICA DE SALMAO</t>
  </si>
  <si>
    <t>CALCITONINA SINTETICA HUMANA</t>
  </si>
  <si>
    <t>CLORETO DE MAGNESIO</t>
  </si>
  <si>
    <t>CLORETO DE MANGANES</t>
  </si>
  <si>
    <t>CLORETO FERRICO</t>
  </si>
  <si>
    <t>ESOMEPRAZOL MAGNESIO</t>
  </si>
  <si>
    <t>ESTROGENIOS CONJUGADOS</t>
  </si>
  <si>
    <t>FIBRINOGENIO HUMANO</t>
  </si>
  <si>
    <t>HIDROXIUREIA</t>
  </si>
  <si>
    <t>MEROPENEM</t>
  </si>
  <si>
    <t>OMEPRAZOL MAGNESICO</t>
  </si>
  <si>
    <t>SORO ANTIDIFTERICO</t>
  </si>
  <si>
    <t>SULFATO DE MAGNESIO</t>
  </si>
  <si>
    <t>SULFATO DE MANGANES</t>
  </si>
  <si>
    <t>VACINA ADSORVIDA CONTRA DIFTERIA, TETANO, COQUELUCHE E POLIOMELITE INATIVADA</t>
  </si>
  <si>
    <t>VACINA COMBINADA CONTRA DIFTERIA, TETANO, COQUELUCHE E HEPATITE B</t>
  </si>
  <si>
    <t>VACINA COMBINADA CONTRA DIFTERIA, TETANO, COQUELUCHE, POLIOINATIVADO E HAEMOPHILUS INFLUENZAE TIPO B</t>
  </si>
  <si>
    <t>VACINA COMBINADA CONTRA DIFTERIA, TETANO, COQUELUCHE, POLIOINATIVADO E HAEMOPHILUS INFLUENZAE TIPO B E HEPATITE B</t>
  </si>
  <si>
    <t>VACINA CONTRA CAXUMBA, RUBEOLA E SARAMPO</t>
  </si>
  <si>
    <t>VACINA CONTRA CAXUMBA, RUBEOLA, SARAMPO COM NEOMICINA</t>
  </si>
  <si>
    <t>VACINA CONTRA COQUELUCHE, TETANO E DIFTERIA CONJUGADA COM HAEMOPHILUS INFLUENZAE TIPO B</t>
  </si>
  <si>
    <t>VACINA CONTRA DIFTERIA E TETANO</t>
  </si>
  <si>
    <t>VACINA CONTRA DIFTERIA, TETANO E COQUELUCHE</t>
  </si>
  <si>
    <t>VACINA CONTRA RUBEOLA</t>
  </si>
  <si>
    <t>VACINA CONTRA RUBEOLA, SARAMPO E CAXUMBA</t>
  </si>
  <si>
    <t>VACINA CONTRA SARAMPO E RUBEOLA</t>
  </si>
  <si>
    <t>VACINA QUADRIVALENTE CONTRA SARAMPO, CAXUMBA, RUBEOLA E VARICELA</t>
  </si>
  <si>
    <t>VACINA TERAPEUTICA CONTRA LEISHMANIOSE</t>
  </si>
  <si>
    <t>IMIPENEM</t>
  </si>
  <si>
    <t>FIBRINOGENIO</t>
  </si>
  <si>
    <t>SORO LAQUETICO</t>
  </si>
  <si>
    <t>VACINA ANTIPIOGENICA</t>
  </si>
  <si>
    <t>UREIA</t>
  </si>
  <si>
    <t>ACIDO ACETIL SALICILICO</t>
  </si>
  <si>
    <t>ACIDO ACETILSALICILICO</t>
  </si>
  <si>
    <t>ACIDO FENOFIBRICO</t>
  </si>
  <si>
    <t>ACIDO NALIDIXICO</t>
  </si>
  <si>
    <t>ACIDO NICOTINICO</t>
  </si>
  <si>
    <t>ACIDO PIPEMIDICO</t>
  </si>
  <si>
    <t>ALCOOL POLIVINILICO</t>
  </si>
  <si>
    <t>ANTITOXINA BOTULINICA</t>
  </si>
  <si>
    <t>BACITRACINA ZINCICA</t>
  </si>
  <si>
    <t>BROMELAINA</t>
  </si>
  <si>
    <t>CARBONATO DE LITIO</t>
  </si>
  <si>
    <t>CELULAS VERMELHAS SANGÜINEAS</t>
  </si>
  <si>
    <t>CISTEINA</t>
  </si>
  <si>
    <t>CLOFIBRATO DE ALUMINIO</t>
  </si>
  <si>
    <t>CLORIDRATO DE ARTICAINA</t>
  </si>
  <si>
    <t>CLORIDRATO DE BUPIVACAINA</t>
  </si>
  <si>
    <t>CLORIDRATO DE CISTEINA</t>
  </si>
  <si>
    <t>CLORIDRATO DE LEVOBUPIVACAINA</t>
  </si>
  <si>
    <t>CLORIDRATO DE LIDOCAINA</t>
  </si>
  <si>
    <t>CLORIDRATO DE MEPIVACAINA</t>
  </si>
  <si>
    <t>CLORIDRATO DE PRILOCAINA</t>
  </si>
  <si>
    <t>CLORIDRATO DE PROXIMETACAINA</t>
  </si>
  <si>
    <t>CLORIDRATO DE ROPIVACAINA</t>
  </si>
  <si>
    <t>COMPLEXO PROTROMBINICO</t>
  </si>
  <si>
    <t>COMPLEXO PROTROMBINICO PARCIALMENTE ATIVADO</t>
  </si>
  <si>
    <t>DESLANOSIDEO</t>
  </si>
  <si>
    <t>DIACEREINA</t>
  </si>
  <si>
    <t>ETOPOSIDEO</t>
  </si>
  <si>
    <t>FENITOINA</t>
  </si>
  <si>
    <t>FOSFATO DE CODEINA</t>
  </si>
  <si>
    <t>FOSFATO DE ETOPOSIDEO</t>
  </si>
  <si>
    <t>FRAcAO FOSFOLIPIDICA DE PULMAO</t>
  </si>
  <si>
    <t>GADOLINIO ZEOLITO</t>
  </si>
  <si>
    <t>GLICOPROTEINA DE KLEBSIELLA PNEUMONIAE</t>
  </si>
  <si>
    <t>IMUNOGLOBULINA ANTI-CITOMEGALOVIRUS</t>
  </si>
  <si>
    <t>IMUNOGLOBULINA LINFOCITARIA ANTITIMOCITICA DE ORIGEM EQUINA</t>
  </si>
  <si>
    <t>INSULINA SUINA</t>
  </si>
  <si>
    <t>NITROFURANTOINA</t>
  </si>
  <si>
    <t>OXIBUPROCAINA</t>
  </si>
  <si>
    <t>PROCAINA</t>
  </si>
  <si>
    <t>SORO ANTIELAPIDICO</t>
  </si>
  <si>
    <t>TENIPOSIDEO</t>
  </si>
  <si>
    <t>TOXINA BOTULINICA TIPO A</t>
  </si>
  <si>
    <t>TRETINOINA</t>
  </si>
  <si>
    <t>TRIGLICERIDEOS DE CADEIA MEDIA</t>
  </si>
  <si>
    <t>UNOPROSTONA ISOPROPILICA</t>
  </si>
  <si>
    <t>VACINA CONJUGADA CONTRA HAEMOPHILUS E PROTEINA DIFTERICA</t>
  </si>
  <si>
    <t>VACINA CONTRA VARIOLA</t>
  </si>
  <si>
    <t>VACINA DE ROTAVIRUS</t>
  </si>
  <si>
    <t>VACINA TERAPEUTICA CONTRA HERPESVIRUS TIPO I</t>
  </si>
  <si>
    <t>VACINA TERAPEUTICA CONTRA HERPESVIRUS TIPO II</t>
  </si>
  <si>
    <t>ANTIGENOS BACTERIANOS</t>
  </si>
  <si>
    <t>ACIDO SALICILICO</t>
  </si>
  <si>
    <t>BENZILPENICILINA PROCAINA</t>
  </si>
  <si>
    <t>CLORIDRATO DE PROCAINA</t>
  </si>
  <si>
    <t>CLORIDRATO DE TETRACAINA</t>
  </si>
  <si>
    <t>PRILOCAINA</t>
  </si>
  <si>
    <t>ACETATO DE SODIO</t>
  </si>
  <si>
    <t>ACICLOVIR SODICO</t>
  </si>
  <si>
    <t>ACIDO AMINOCAPROICO</t>
  </si>
  <si>
    <t>ACIDO ARAQUIDONICO</t>
  </si>
  <si>
    <t>ACIDO ASCORBICO</t>
  </si>
  <si>
    <t>ACIDO BENZOICO</t>
  </si>
  <si>
    <t>ACIDO BORICO</t>
  </si>
  <si>
    <t>ACIDO DESIDROCOLICO</t>
  </si>
  <si>
    <t>ACIDO IOPANOICO</t>
  </si>
  <si>
    <t>ACIDO URSODESOXICOLICO</t>
  </si>
  <si>
    <t>ACIDO VALPROICO</t>
  </si>
  <si>
    <t>ACIDO ZOLEDRONICO</t>
  </si>
  <si>
    <t>ALENDRONATO DE SODIO</t>
  </si>
  <si>
    <t>AMOXICILINA SODICA</t>
  </si>
  <si>
    <t>AMPICILINA SODICA</t>
  </si>
  <si>
    <t>ARTESUNATO DE SODIO</t>
  </si>
  <si>
    <t>AUROTIOMALATO DE SODIO</t>
  </si>
  <si>
    <t>BROMETO DE IPRATROPIO</t>
  </si>
  <si>
    <t>BROMETO DE PANCURONIO</t>
  </si>
  <si>
    <t>BROMETO DE PIPECURONIO</t>
  </si>
  <si>
    <t>BROMETO DE ROCURONIO</t>
  </si>
  <si>
    <t>BROMETO DE TIOTROPIO</t>
  </si>
  <si>
    <t>BROMETO DE VECURONIO</t>
  </si>
  <si>
    <t>CARBONATO DE SODIO</t>
  </si>
  <si>
    <t>CEFALOTINA SODICA</t>
  </si>
  <si>
    <t>CEFAZOLINA SODICA</t>
  </si>
  <si>
    <t>CEFOPERAZONA SODICA</t>
  </si>
  <si>
    <t>CEFOTAXIMA SODICA</t>
  </si>
  <si>
    <t>CEFOXITINA SODICA</t>
  </si>
  <si>
    <t>CEFTRIAXONA SODICA</t>
  </si>
  <si>
    <t>CEFUROXIMA SODICA</t>
  </si>
  <si>
    <t>CILASTATINA SODICA</t>
  </si>
  <si>
    <t>CITICOLINA SODICA</t>
  </si>
  <si>
    <t>CLODRONATO DISSODICO</t>
  </si>
  <si>
    <t>CLORDIAZEPOXIDO</t>
  </si>
  <si>
    <t>CLORETO CROMICO</t>
  </si>
  <si>
    <t>CLORETO DE AMONIO</t>
  </si>
  <si>
    <t>CLORETO DE SODIO</t>
  </si>
  <si>
    <t>CLORETO DE SUXAMETONIO</t>
  </si>
  <si>
    <t>COLISTIMETATO DE SODIO</t>
  </si>
  <si>
    <t>COMPLEXO BIOLOGICO DE GLICOSAMINOGLICANS</t>
  </si>
  <si>
    <t>CROMOGLICATO DISSODICO</t>
  </si>
  <si>
    <t>DALTEPARINA SODICA</t>
  </si>
  <si>
    <t>DANTROLENO SODICO</t>
  </si>
  <si>
    <t>DIATRIZOATO DE SODIO</t>
  </si>
  <si>
    <t>DIAZOXIDO</t>
  </si>
  <si>
    <t>DICLOFENACO SODICO</t>
  </si>
  <si>
    <t>DIFOSFATO DE DIETILESTILBESTROL TETRASSODICO</t>
  </si>
  <si>
    <t>DIVALPROATO DE SODIO</t>
  </si>
  <si>
    <t>ENOXAPARINA SODICA</t>
  </si>
  <si>
    <t>ERTAPENEM SODICO</t>
  </si>
  <si>
    <t>ESOMEPRAZOL SODICO</t>
  </si>
  <si>
    <t>ESTER ETILICO DO OLEO DE PAPOULA IODADO</t>
  </si>
  <si>
    <t>EXTRATO METANOLICO DE BCG</t>
  </si>
  <si>
    <t>FENITOINA SODICA</t>
  </si>
  <si>
    <t>FENOBARBITAL SODICO</t>
  </si>
  <si>
    <t>FLUORETO DE SODIO</t>
  </si>
  <si>
    <t>FONDAPARINUX SODICO</t>
  </si>
  <si>
    <t>FOSCARNETE SODICO</t>
  </si>
  <si>
    <t>FOSFATO DE SODIO MONOBASICO</t>
  </si>
  <si>
    <t>FOSFATO DISSODICO DE BETAMETASONA</t>
  </si>
  <si>
    <t>FOSFATO DISSODICO DE DEXAMETASONA</t>
  </si>
  <si>
    <t>FOSFATO SODICO DE PREDNISOLONA</t>
  </si>
  <si>
    <t>FOSFATO SODICO DE RIBOFLAVINA</t>
  </si>
  <si>
    <t>FOSINOPRIL SODICO</t>
  </si>
  <si>
    <t>GANCICLOVIR SODICO</t>
  </si>
  <si>
    <t>GLICEROFOSFATO DE SODIO</t>
  </si>
  <si>
    <t>GONADOTROPINA CORIONICA</t>
  </si>
  <si>
    <t>HEPARINA SODICA</t>
  </si>
  <si>
    <t>HEPARINOIDE</t>
  </si>
  <si>
    <t>HIALURONATO DE SODIO</t>
  </si>
  <si>
    <t>HIDROXIDO DE SODIO</t>
  </si>
  <si>
    <t>HORMONIO FOLICULO ESTIMULANTE</t>
  </si>
  <si>
    <t>HORMONIO LUTEINIZANTE</t>
  </si>
  <si>
    <t>IBANDRONATO SODICO</t>
  </si>
  <si>
    <t>IMUNOGLOBULINA ANTITIMOCITO</t>
  </si>
  <si>
    <t>IMUNOGLOBULINA DE COELHO ANTITIMOCITOS HUMANOS</t>
  </si>
  <si>
    <t>LACTATO DE SODIO</t>
  </si>
  <si>
    <t>LAURILSULFATO SODICO DE MEPARTRICINA</t>
  </si>
  <si>
    <t>LEVOTIROXINA SODICA</t>
  </si>
  <si>
    <t>LIOTIRONINA SODICA</t>
  </si>
  <si>
    <t>LOXOPROFENO SODICO</t>
  </si>
  <si>
    <t>MANGAFODIPIR TRISSODICO</t>
  </si>
  <si>
    <t>METABISSULFITO DE SODIO</t>
  </si>
  <si>
    <t>METOTREXATO DE SODIO</t>
  </si>
  <si>
    <t>MICOFENOLATO DE SODIO</t>
  </si>
  <si>
    <t>MOLIBDATO DE SODIO</t>
  </si>
  <si>
    <t>NAPROXENO SODICO</t>
  </si>
  <si>
    <t>NEDOCROMILA DISSODICA</t>
  </si>
  <si>
    <t>NITROPRUSSETO DE SODIO</t>
  </si>
  <si>
    <t>OLEO DE OLIVA</t>
  </si>
  <si>
    <t>OLEO DE SOJA</t>
  </si>
  <si>
    <t>OXACILINA SODICA</t>
  </si>
  <si>
    <t>OXIDO DE FERRO PARAMAGNETICO</t>
  </si>
  <si>
    <t>PAMIDRONATO DISSODICO</t>
  </si>
  <si>
    <t>PANTOPRAZOL SODICO SESQUIIDRATADO</t>
  </si>
  <si>
    <t>PEGAPTANIBE OCTASSODICO</t>
  </si>
  <si>
    <t>PEMETREXEDE DISSODICO</t>
  </si>
  <si>
    <t>PIPERACILINA SODICA</t>
  </si>
  <si>
    <t>PRAVASTATINA SODICA</t>
  </si>
  <si>
    <t>RABEPRAZOL SODICO</t>
  </si>
  <si>
    <t>RIFAMICINA SV SODICA</t>
  </si>
  <si>
    <t>RISEDRONATO SODICO</t>
  </si>
  <si>
    <t>SELENITO DE SODIO</t>
  </si>
  <si>
    <t>SORO ANTIBOTROPICO</t>
  </si>
  <si>
    <t>SORO ANTI-ESCORPIONICO</t>
  </si>
  <si>
    <t>SUCCINATO SODICO DE CLORANFENICOL</t>
  </si>
  <si>
    <t>SUCCINATO SODICO DE HIDROCORTISONA</t>
  </si>
  <si>
    <t>SUCCINATO SODICO DE METILPREDNISOLONA</t>
  </si>
  <si>
    <t>TIANEPTINA SODICA</t>
  </si>
  <si>
    <t>TILUDRONATO DISSODICO</t>
  </si>
  <si>
    <t>TIOPENTAL SODICO</t>
  </si>
  <si>
    <t>TIOSSULFATO DE SODIO</t>
  </si>
  <si>
    <t>TOXOIDE DIFTERICO</t>
  </si>
  <si>
    <t>TOXOIDE ESTAFILOCOCICO</t>
  </si>
  <si>
    <t>TOXOIDE TETANICO ADSORVIDO</t>
  </si>
  <si>
    <t>VACINA CONJUGADA CONTRA HAEMOPHILUS (PROTEINA MENINGOCOCICA) E HEPATITE B</t>
  </si>
  <si>
    <t>VACINA CONJUGADA CONTRA HAEMOPHILUS E TOXOIDE TETANICO</t>
  </si>
  <si>
    <t>VACINA MENINGOGOCICA CONJUGADA DO GRUPO C</t>
  </si>
  <si>
    <t>VACINA PNEUMOCOCICA 7-VALENTE CONJUGADA COM PROTEINA DIFTERICA</t>
  </si>
  <si>
    <t>VALPROATO DE SODIO</t>
  </si>
  <si>
    <t>VARFARINA SODICA</t>
  </si>
  <si>
    <t>SULFACETAMIDA SODICA</t>
  </si>
  <si>
    <t>DESIDROCOLATO DE SODIO</t>
  </si>
  <si>
    <t>DIMETILSULFOXIDO</t>
  </si>
  <si>
    <t>EXTRATO DE MEDULA OSSEA</t>
  </si>
  <si>
    <t>IOXAGLATO DE SODIO</t>
  </si>
  <si>
    <t>IOXITALAMATO DE SODIO</t>
  </si>
  <si>
    <t>TAZOBACTAM SODICO</t>
  </si>
  <si>
    <t>SULFATO SODICO DE CONDROITINA</t>
  </si>
  <si>
    <t>TOXOIDE TETANICO</t>
  </si>
  <si>
    <t>TOXOIDE PERTUSSIS</t>
  </si>
  <si>
    <t>COlUnAs1</t>
  </si>
  <si>
    <t>COlUnAs2</t>
  </si>
  <si>
    <t>COlUnAs3</t>
  </si>
  <si>
    <t>BESILATO DE ATRACURIO</t>
  </si>
  <si>
    <t>BESILATO DE CISATRACURIO</t>
  </si>
  <si>
    <t>CITRATO BISMUTICO DE RANITIDINA</t>
  </si>
  <si>
    <t>CLORETO CUPRICO</t>
  </si>
  <si>
    <t>CLORETO DE MIVACURIO</t>
  </si>
  <si>
    <t>SULFATO CUPRICO</t>
  </si>
  <si>
    <t>TRIBENOSIDEO</t>
  </si>
  <si>
    <t>HIDROXIDO DE ALUMINIO</t>
  </si>
  <si>
    <t>ACIDO CITRICO+bicarbonato de sodio</t>
  </si>
  <si>
    <t>ACIDO CITRICO</t>
  </si>
  <si>
    <t>AC DEXAMETASONAASONA MG CREME. 1 MG 10 G x 1 (/G)</t>
  </si>
  <si>
    <t>DEXAMETASONAASONA</t>
  </si>
  <si>
    <t>MDIDROERGOTAMINA</t>
  </si>
  <si>
    <t>SULFATO DE ISOEFEDRINA</t>
  </si>
  <si>
    <t>HIDROXIDO DE MAGNESIO</t>
  </si>
  <si>
    <t>benzalconio + CLORETO DE SODIO + nafazolina</t>
  </si>
  <si>
    <t>betametasona+clorofenesina+CLORIDRATO DE TETRACAINA</t>
  </si>
  <si>
    <t>levodopa+CLORIDRATO DE BENSERAZIDA</t>
  </si>
  <si>
    <t>cafeina+carisoprodol+diclof. sodico+PARACETAMOL</t>
  </si>
  <si>
    <t>PARACETAMOL </t>
  </si>
  <si>
    <t>Dexametasona</t>
  </si>
  <si>
    <t>Peroxido de Carbamida</t>
  </si>
  <si>
    <t>PEROXIDO DE CARBAMIDA</t>
  </si>
  <si>
    <t>PAPAVERINA</t>
  </si>
  <si>
    <t>sulfassalazina</t>
  </si>
  <si>
    <t>CLORIDRATO DE PROCAINANA</t>
  </si>
  <si>
    <t>SUBST_6</t>
  </si>
  <si>
    <t/>
  </si>
  <si>
    <t>DROSPERINONA</t>
  </si>
  <si>
    <t>SODIO</t>
  </si>
  <si>
    <t>BENZALCONIO</t>
  </si>
  <si>
    <t>FERRO QUELATO GLICINATO</t>
  </si>
  <si>
    <t>POLICRESULENO</t>
  </si>
  <si>
    <t>FLUOCORTOLONA</t>
  </si>
  <si>
    <t>CLORIDRATO DE PSEUDOEFEDRINA</t>
  </si>
  <si>
    <t>TARTARATO DE BISMUTO E SODIO</t>
  </si>
  <si>
    <t>TARTARATO DE BISMUTO DE SODIO</t>
  </si>
  <si>
    <t>CLORIDRATO DE CHINCHOCAINA</t>
  </si>
  <si>
    <t>HIDROXOCOBALAMINA</t>
  </si>
  <si>
    <t>SULF POLIMIXINA</t>
  </si>
  <si>
    <t>CLORFENIRAMINA</t>
  </si>
  <si>
    <t>DARUNAVIR</t>
  </si>
  <si>
    <t>MALEATO DE INDACATEROL</t>
  </si>
  <si>
    <t>123123121213213</t>
  </si>
  <si>
    <t>ABATACEPTE</t>
  </si>
  <si>
    <t>ACETATO DE DEGARELIX</t>
  </si>
  <si>
    <t>ACIDO MALICO</t>
  </si>
  <si>
    <t>ACIDO TIOCTICO</t>
  </si>
  <si>
    <t>AFLIBERCEPTE</t>
  </si>
  <si>
    <t>ALBINTERFERONA ALFA-2B</t>
  </si>
  <si>
    <t>ALFACORIFOLITROPINA</t>
  </si>
  <si>
    <t>ALFALGLICOSIDASE</t>
  </si>
  <si>
    <t>ALFATALIGLUCERASE</t>
  </si>
  <si>
    <t>ALFAVELAGLUCERASE</t>
  </si>
  <si>
    <t>ANIDULAFUNGINA</t>
  </si>
  <si>
    <t>APIXABANA</t>
  </si>
  <si>
    <t>AXITINIBE</t>
  </si>
  <si>
    <t>AZTREONAM LISINA</t>
  </si>
  <si>
    <t>BELATACEPTE</t>
  </si>
  <si>
    <t>BENDAMUSTINA</t>
  </si>
  <si>
    <t>BINODENOSONA</t>
  </si>
  <si>
    <t>BOCEPREVIR</t>
  </si>
  <si>
    <t>CABAZITAXEL</t>
  </si>
  <si>
    <t>CARBONATO DE LANTANIO</t>
  </si>
  <si>
    <t>CARBONATO DE SEVELAMER</t>
  </si>
  <si>
    <t>CASOPITANTO</t>
  </si>
  <si>
    <t>CEDIRANIBE</t>
  </si>
  <si>
    <t>CEFALEXINA</t>
  </si>
  <si>
    <t>CEFALOTINA</t>
  </si>
  <si>
    <t>CERTOLIZUMABE PEGOL</t>
  </si>
  <si>
    <t>CITRATO DE CLOMIFENO</t>
  </si>
  <si>
    <t>CLOFARABINA</t>
  </si>
  <si>
    <t>CLORIDRATO DE AMINOLEVULINATO DE HEXILA</t>
  </si>
  <si>
    <t>CLORIDRATO DE CLORDIAZEPOXIDO</t>
  </si>
  <si>
    <t>CLORIDRATO DE COLESEVELAM</t>
  </si>
  <si>
    <t>CLORIDRATO DE DRONEDARONA</t>
  </si>
  <si>
    <t>CLORIDRATO DE PAZOPANIBE</t>
  </si>
  <si>
    <t>CLORIDRATO DE PROTAMINA</t>
  </si>
  <si>
    <t>COCARBOXILASE</t>
  </si>
  <si>
    <t>DAPAGLIFLOZINA</t>
  </si>
  <si>
    <t>DAPTOMICINA</t>
  </si>
  <si>
    <t>DASATINIBE</t>
  </si>
  <si>
    <t>DECITABINA</t>
  </si>
  <si>
    <t>DENOSUMABE</t>
  </si>
  <si>
    <t>DIMEBOLINA</t>
  </si>
  <si>
    <t>DITOSILATO DE LAPATINIBE</t>
  </si>
  <si>
    <t>DOXERCALCIFEROL</t>
  </si>
  <si>
    <t>DUTASTERIDA</t>
  </si>
  <si>
    <t>ETEXILATO DE DABIGATRANA</t>
  </si>
  <si>
    <t>ETODOLACO</t>
  </si>
  <si>
    <t>ETOFAMIDA</t>
  </si>
  <si>
    <t>ETOSSUXIMIDA</t>
  </si>
  <si>
    <t>ETRAVIRINA</t>
  </si>
  <si>
    <t>FIGITIMUMABE</t>
  </si>
  <si>
    <t>FLURAZEPAM</t>
  </si>
  <si>
    <t>FLUVASTATINA SODICA</t>
  </si>
  <si>
    <t>FOSAPREPITANTO DIMEGLUMINA</t>
  </si>
  <si>
    <t>FOSFATO DE TIAMINA</t>
  </si>
  <si>
    <t>GOLIMUMABE</t>
  </si>
  <si>
    <t>HIDROGENOTARTARATO DE RIVASTIGMINA</t>
  </si>
  <si>
    <t>HIDROMORFONA</t>
  </si>
  <si>
    <t>IMIQUIMODE</t>
  </si>
  <si>
    <t>IPILIMUMABE</t>
  </si>
  <si>
    <t>IXABEPILONA</t>
  </si>
  <si>
    <t>LAROMUSTINA</t>
  </si>
  <si>
    <t>LAROTAXEL</t>
  </si>
  <si>
    <t>LUCINACTANTO</t>
  </si>
  <si>
    <t>MALEATO DE ASENAPINA</t>
  </si>
  <si>
    <t>MALEATO DE ERGOMETRINA</t>
  </si>
  <si>
    <t>MEPESUCCINATO DE OMACETAXINA</t>
  </si>
  <si>
    <t>MESTEROLONA</t>
  </si>
  <si>
    <t>NAPROXINODE</t>
  </si>
  <si>
    <t>NATALIZUMABE</t>
  </si>
  <si>
    <t>NICLOSAMIDA</t>
  </si>
  <si>
    <t>NILOTINIBE</t>
  </si>
  <si>
    <t>NIMORAZOL</t>
  </si>
  <si>
    <t>NIMOTUZUMABE</t>
  </si>
  <si>
    <t>PALIFERMINA</t>
  </si>
  <si>
    <t>PALIPERIDONA</t>
  </si>
  <si>
    <t>PERTUZUMABE</t>
  </si>
  <si>
    <t>PIMECROLIMO</t>
  </si>
  <si>
    <t>PIRFENIDONA</t>
  </si>
  <si>
    <t>PIRVINIO</t>
  </si>
  <si>
    <t>PIXANTRONA</t>
  </si>
  <si>
    <t>PLERIXAFOR</t>
  </si>
  <si>
    <t>POSOCONAZOL</t>
  </si>
  <si>
    <t>PRASUGREL</t>
  </si>
  <si>
    <t>PROTRIPLINA</t>
  </si>
  <si>
    <t>RALTEGRAVIR</t>
  </si>
  <si>
    <t>RIBOFLAVINA</t>
  </si>
  <si>
    <t>RIVAROXABANA</t>
  </si>
  <si>
    <t>SAXAGLIPTINA</t>
  </si>
  <si>
    <t>SERTINDOL</t>
  </si>
  <si>
    <t>SIPULEUCEL-T</t>
  </si>
  <si>
    <t>SITAXSENTANA SODICA</t>
  </si>
  <si>
    <t>SUCCINATO DE DESVENLAFAXINA</t>
  </si>
  <si>
    <t>SUCCINATO DE LOXAPINA</t>
  </si>
  <si>
    <t>SULOPENEM</t>
  </si>
  <si>
    <t>TANEZUMABE</t>
  </si>
  <si>
    <t>TELBIVUDINA</t>
  </si>
  <si>
    <t>TENSIROLIMO</t>
  </si>
  <si>
    <t>TETROFOSMINA</t>
  </si>
  <si>
    <t>TICAGRELOR</t>
  </si>
  <si>
    <t>TIPRANAVIR</t>
  </si>
  <si>
    <t>TOCILIZUMABE</t>
  </si>
  <si>
    <t>TOCOFEROL</t>
  </si>
  <si>
    <t>TREMELIMUMABE</t>
  </si>
  <si>
    <t>USTEQUINUMABE</t>
  </si>
  <si>
    <t>VACINA CONTRA COLERA</t>
  </si>
  <si>
    <t>VACINA CONTRA FEBRE TIFOIDE</t>
  </si>
  <si>
    <t>VACINA CONTRA GRIPE, TETANO E MENINGITE</t>
  </si>
  <si>
    <t>VACINA CONTRA PNEUMONIA</t>
  </si>
  <si>
    <t>VACINA CONTRA VARICELA ZOSTER</t>
  </si>
  <si>
    <t>VANCOMICINA</t>
  </si>
  <si>
    <t>VANDETANIBE</t>
  </si>
  <si>
    <t>VICVIROC</t>
  </si>
  <si>
    <t>ZANAMIVIR</t>
  </si>
  <si>
    <t>ZIBOTENTANA</t>
  </si>
  <si>
    <t>ZUCLOPENTIXOL</t>
  </si>
  <si>
    <t>ROSUVASTATINA CALCIA</t>
  </si>
  <si>
    <t>LAROPIPRANTO</t>
  </si>
  <si>
    <t>CEFEPIMA</t>
  </si>
  <si>
    <t>NIACINA</t>
  </si>
  <si>
    <t>METILBROMETO DE HOMATROPINA</t>
  </si>
  <si>
    <t>TROMBINA HUMANA</t>
  </si>
  <si>
    <t>REMIFENTANILA</t>
  </si>
  <si>
    <t>betametasona</t>
  </si>
  <si>
    <t>dexclorfeniramina</t>
  </si>
  <si>
    <t>hidroxiquinolina</t>
  </si>
  <si>
    <t>trietanoIamina</t>
  </si>
  <si>
    <t>ACICLOVIR</t>
  </si>
  <si>
    <t>ALPROSTADIL</t>
  </si>
  <si>
    <t>CETOCONAZOL</t>
  </si>
  <si>
    <t>C-GUERIN</t>
  </si>
  <si>
    <t>CLORIDRATO DE BENZIDAMINA</t>
  </si>
  <si>
    <t>CLORIDRATO DE CLINDAMICINA</t>
  </si>
  <si>
    <t>CLORIDRATO DE DULOXETINA</t>
  </si>
  <si>
    <t>FINASTERIDA</t>
  </si>
  <si>
    <t>FOSFATO DE CLINDAMICINA</t>
  </si>
  <si>
    <t>IMUNOGLOBULINA ANTI-RHO</t>
  </si>
  <si>
    <t>MINOXIDIL</t>
  </si>
  <si>
    <t>FOSFOLIPIDEOS</t>
  </si>
  <si>
    <t>SACARATO DE HIDROXIDO FERRICO</t>
  </si>
  <si>
    <t>SORO ANTI-AB</t>
  </si>
  <si>
    <t>SORO ANTICELLANO</t>
  </si>
  <si>
    <t>SULFATO DE ATROPINA</t>
  </si>
  <si>
    <t>TESTOSTERONA</t>
  </si>
  <si>
    <t>DICLORATO DE BETAISTINA</t>
  </si>
  <si>
    <t>ORFENADRINA</t>
  </si>
  <si>
    <t>IPECA</t>
  </si>
  <si>
    <t>PSEUDOEFEDRINA</t>
  </si>
  <si>
    <t>moxifloxacino + fosfato de dexametasona</t>
  </si>
  <si>
    <t>FOSFATO DE DEXAMETASONA</t>
  </si>
  <si>
    <t>Mononitrato de isossorbida</t>
  </si>
  <si>
    <t>tabela</t>
  </si>
  <si>
    <t>codigo</t>
  </si>
  <si>
    <t>ex</t>
  </si>
  <si>
    <t>nivel</t>
  </si>
  <si>
    <t>descricao</t>
  </si>
  <si>
    <t>Tipo</t>
  </si>
  <si>
    <t>Classe</t>
  </si>
  <si>
    <t>--Não cortadas em pedaços, frescas ou refrigeradas</t>
  </si>
  <si>
    <t>--Não cortadas em pedaços, congeladas</t>
  </si>
  <si>
    <t>--Pedaços e miudezas, frescos ou refrigerados</t>
  </si>
  <si>
    <t>--Pedaços e miudezas, congelados</t>
  </si>
  <si>
    <t>--Fígados gordos  foies gras , frescos ou refrigerados</t>
  </si>
  <si>
    <t>--Outras, frescas ou refrigeradas</t>
  </si>
  <si>
    <t>--Outras, congeladas</t>
  </si>
  <si>
    <t xml:space="preserve">-De baleias, golfinhos e botos  mamíferos da ordem dos cetáceos , de peixes-boi  manatins  e dugongos  mamíferos da ordem dos sirênios , de otárias e focas, leões-marinhos e morsas  mamíferos da subordem dos pinípedes </t>
  </si>
  <si>
    <t>Fresco, refrigerado ou congelado</t>
  </si>
  <si>
    <t>Prenhes ou com cria ao pé</t>
  </si>
  <si>
    <t>Outros</t>
  </si>
  <si>
    <t>--De peso inferior a 50 kg</t>
  </si>
  <si>
    <t>--De peso igual ou superior a 50 kg</t>
  </si>
  <si>
    <t>Reprodutores de raça pura</t>
  </si>
  <si>
    <t>De linhas puras ou híbridas, para reprodução</t>
  </si>
  <si>
    <t xml:space="preserve">--Baleias, golfinhos e botos  mamíferos da ordem dos cetáceos , peixes-boi  manatins  e dugongos  mamíferos da ordem dos sirênios , otárias e focas, leões-marinhos e morsas  mamíferos da subordem dos pinípedes </t>
  </si>
  <si>
    <t xml:space="preserve">--Psitaciformes  incluindo os papagaios, os periquitos, as araras e as cacatuas </t>
  </si>
  <si>
    <t>Avestruzes  Struthio camelus , para reprodução</t>
  </si>
  <si>
    <t>Quartos dianteiros</t>
  </si>
  <si>
    <t>Quartos traseiros</t>
  </si>
  <si>
    <t>Outras</t>
  </si>
  <si>
    <t>--Pernas, pás e respectivos pedaços, não desossados</t>
  </si>
  <si>
    <t>-Carcaças e meias-carcaças de cordeiro, frescas ou refrigeradas</t>
  </si>
  <si>
    <t>-Carcaças e meias-carcaças de cordeiro, congeladas</t>
  </si>
  <si>
    <t>Carnes de animais das espécies cavalar, asinina e muar, frescas, refrigeradas ou congeladas.</t>
  </si>
  <si>
    <t>-Da espécie bovina, frescas ou refrigeradas</t>
  </si>
  <si>
    <t>Rabos</t>
  </si>
  <si>
    <t>-Da espécie suína, frescas ou refrigeradas</t>
  </si>
  <si>
    <t>-Outras, frescas ou refrigeradas</t>
  </si>
  <si>
    <t>-Outras, congeladas</t>
  </si>
  <si>
    <t>Fresca, refrigerada ou congelada</t>
  </si>
  <si>
    <t>Ex 01 - Miudezas, farinhas e pós dessas miudezas</t>
  </si>
  <si>
    <t xml:space="preserve">--De baleias, golfinhos e botos  mamíferos da ordem dos cetáceos , de peixes-boi  manatins  e dugongos  mamíferos da ordem dos sirênios , de otárias e focas, leões-marinhos e morsas  mamíferos da subordem dos pinípedes </t>
  </si>
  <si>
    <t>Ex  01 - Miudezas, exceto fígados de aves da posição 01.05, farinhas e pós dessas miudezas</t>
  </si>
  <si>
    <t>Ex 02 - Fígados de aves da posição 01.05, salgados ou em salmora</t>
  </si>
  <si>
    <t xml:space="preserve">Aruanã  Osteoglossum bicirrhosum </t>
  </si>
  <si>
    <t>Para reprodução</t>
  </si>
  <si>
    <t xml:space="preserve">Tilápias  Tilapia spp., Oreochromis spp., Sarotherodon spp., Danakilia spp., seus híbridos </t>
  </si>
  <si>
    <t xml:space="preserve">Esturjões  Acipenser baeri, Acipenser gueldenstaedtii, Acipenser persicus, Acipenser stellatus </t>
  </si>
  <si>
    <t xml:space="preserve">--Trutas  Salmo trutta, Oncorhynchus mykiss, Oncorhynchus clarki, Oncorhynchus aguabonita, Oncorhynchus gilae, Oncorhynchus apache e Oncorhynchus chrysogaster </t>
  </si>
  <si>
    <t xml:space="preserve">--Salmões-do-pacífico  Oncorhynchus nerka, Oncorhynchus gorbuscha, Oncorhynchus keta, Oncorhynchus tschawytscha, Oncorhynchus kisutch, Oncorhynchus masou e Oncorhynchus rhodurus </t>
  </si>
  <si>
    <t xml:space="preserve">--Linguados-gigantes  Reinhardtius hippoglossoides, Hippoglossus hippoglossus, Hippoglossus stenolepis </t>
  </si>
  <si>
    <t xml:space="preserve">--Atuns azuis  Thunnus thynnus, Thunnus orientalis </t>
  </si>
  <si>
    <t xml:space="preserve">--Arenques  Clupea harengus, Clupea pallasii </t>
  </si>
  <si>
    <t xml:space="preserve">Anchoita  Engraulis anchoita </t>
  </si>
  <si>
    <t xml:space="preserve">--Sardinhas  Sardina pilchardus, Sardinops spp., Sardinella spp. , anchoveta  Sprattus sprattus </t>
  </si>
  <si>
    <t xml:space="preserve">--Cavalinhas  Scomber scombrus, Scomber australasicus, Scomber japonicus </t>
  </si>
  <si>
    <t xml:space="preserve">--Bacalhau-do-atlântico  Gadus mohrua , bacalhau-da-groelândia  Gadus ogac  e bacalhau-do-pacífico  Gadus macrocephalus </t>
  </si>
  <si>
    <t xml:space="preserve">--Merluzas e abróteas  Merluccius spp., Urophycis spp. </t>
  </si>
  <si>
    <t xml:space="preserve">--Verdinhos  Micromesistius poutassou, Micromesistius australis </t>
  </si>
  <si>
    <t xml:space="preserve">Bagre  Ictalurus puntactus </t>
  </si>
  <si>
    <t xml:space="preserve">--Carpas  Cyprinus carpio, Carassius carassius, Ctenopharyngodon idellus, Hypophtalmichtys spp., Mylopharyngodon piceus </t>
  </si>
  <si>
    <t xml:space="preserve">Merluza negra  Dissostichus eleginoides </t>
  </si>
  <si>
    <t xml:space="preserve">Merluza antártica  Dissostichus mawsoni </t>
  </si>
  <si>
    <t xml:space="preserve">Agulhões  Istiophorus spp., Tetrapturus spp., Makaira spp. </t>
  </si>
  <si>
    <t xml:space="preserve">Pargo  Lutjanus purpureus </t>
  </si>
  <si>
    <t xml:space="preserve">Cherne-poveiro  Polyprion americanus </t>
  </si>
  <si>
    <t xml:space="preserve">Garoupas  Acanthistius spp. </t>
  </si>
  <si>
    <t xml:space="preserve">Esturjão  Acipenser baeri </t>
  </si>
  <si>
    <t xml:space="preserve">Peixes-rei  Atherina spp. </t>
  </si>
  <si>
    <t xml:space="preserve">Curimatãs  Prochilodus spp. </t>
  </si>
  <si>
    <t xml:space="preserve">Tilápias  Tilapia spp., Sarotherodon spp., Danakilia spp., seus híbridos </t>
  </si>
  <si>
    <t xml:space="preserve">Surubins  Pseudoplatystoma spp. </t>
  </si>
  <si>
    <t xml:space="preserve">Traíra  Hoplias malabaricus &amp; H. cf. lacerdae </t>
  </si>
  <si>
    <t xml:space="preserve">Piaus  Leporinus spp. </t>
  </si>
  <si>
    <t xml:space="preserve">Tainhas  Mugil spp. </t>
  </si>
  <si>
    <t xml:space="preserve">Pirarucu  Arapaima gigas </t>
  </si>
  <si>
    <t xml:space="preserve">Pescadas  Cynocion spp. </t>
  </si>
  <si>
    <t xml:space="preserve">Piramutaba  Brachyplatystoma vaillantii </t>
  </si>
  <si>
    <t xml:space="preserve">Dourada  Brachyplatystoma flavicans </t>
  </si>
  <si>
    <t xml:space="preserve">Pacu  Piaractus mesopotamicus </t>
  </si>
  <si>
    <t xml:space="preserve">Tambaqui  Colossoma macropomum </t>
  </si>
  <si>
    <t xml:space="preserve">Tambacu  híbrido de tambaqui e pacu </t>
  </si>
  <si>
    <t>-Fígados, ovas e sêmen</t>
  </si>
  <si>
    <t xml:space="preserve">--Outros salmões-do-pacífico  Oncorhynchus gorbuscha, Oncorhynchus keta, Oncorhynchus tschawytscha, Oncorhynchus kisutch, Oncorhynchus masou e Oncorhynchus rhodurus </t>
  </si>
  <si>
    <t xml:space="preserve">--Carpas  Cyprinus carpio, Carassius carassius, Ctenopharyngodon idellus, Hypophthalmichthys spp., Cirrhinus spp., Mylopharyngodon piceus </t>
  </si>
  <si>
    <t xml:space="preserve">Merluza rosada  Macruronus magellanicus </t>
  </si>
  <si>
    <t>Inteiro</t>
  </si>
  <si>
    <t>Eviscerado, sem cabeça e sem barbatanas</t>
  </si>
  <si>
    <t>Em pedaços, com pele</t>
  </si>
  <si>
    <t>Em pedaços, sem pele</t>
  </si>
  <si>
    <t>Evisceradas, sem cabeça e sem cauda</t>
  </si>
  <si>
    <t>Cabeças</t>
  </si>
  <si>
    <t xml:space="preserve">Corvina  Micropogonias furnieri </t>
  </si>
  <si>
    <t xml:space="preserve">Pescadas  Cynoscion spp. </t>
  </si>
  <si>
    <t xml:space="preserve">Peixe-sapo  Lophius gastrophysus </t>
  </si>
  <si>
    <t xml:space="preserve">Tainhas  Mujil spp. </t>
  </si>
  <si>
    <t xml:space="preserve">Nototenias  Patagonotothen spp. </t>
  </si>
  <si>
    <t xml:space="preserve">Pacu  Piaractus Mesopotamicus </t>
  </si>
  <si>
    <t xml:space="preserve">--Salmões-do-pacífico  Oncorhynchus nerka, Oncorhynchus gorbuscha, Oncorhynchus keta, Oncorhynchus tschawytscha, Oncorhynchus kisutch, Oncorhynchus masou e Oncorhynchus rhodurus , salmão-do-atlântico  Salmo salar  e salmão-do-danúbio  Hucho hucho </t>
  </si>
  <si>
    <t xml:space="preserve">--Peixes chatos  Pleuronectidae, Bothidae, Cynoglossidae, Soleidae, Scophthalmidae e Citharidae </t>
  </si>
  <si>
    <t>--Peixes das famílias Bregmacerotidae, Euclichthyidae, Gadidae, Macrouridae, Melanonidae, Merlucciidae, Moridae e Muraenolepididae</t>
  </si>
  <si>
    <t>--Tilápias  Oreochromis spp. , bagres  Pangasius spp., Silurus spp., Clarias spp., Ictalurus spp. , carpas  Cyprinus carpio, Carassius carassius, Ctenopharyngodon idellus, Hypophthalmichthys spp., Cirrhinus spp., Mylopharyngodon piceus , enguias  Anguilla</t>
  </si>
  <si>
    <t xml:space="preserve">--Atuns  do gênero Thunnus , bonito-listrado  Euthynnus  Katsuwonus  pelamis </t>
  </si>
  <si>
    <t xml:space="preserve">Tubarão-azul  Prionace glauca </t>
  </si>
  <si>
    <t xml:space="preserve">Bochechas  cheeks </t>
  </si>
  <si>
    <t xml:space="preserve">Colares  collars </t>
  </si>
  <si>
    <t xml:space="preserve">--Peixes das famílias Bregmacerotidae, Euclichthyidae, Gadidae, Macrouridae, Melanonidae, Merlucciidae, Moridae e Muraenolepididae, exceto a merluza-do-alasca  Theragra chalcogramma </t>
  </si>
  <si>
    <t>-Farinhas, pós e pellets, de peixe, próprios para alimentação humana</t>
  </si>
  <si>
    <t>-Fígados, ovas e sêmen, de peixes, secos, defumados, salgados ou em salmoura</t>
  </si>
  <si>
    <t xml:space="preserve">Bacalhau-do-atlântico  Gadus mohrua , bacalhau-da-groelândia  Gadus ogac  e bacalhau-do-pacífico  Gadus macrocephalus </t>
  </si>
  <si>
    <t xml:space="preserve">Saithe  Pollachius virens </t>
  </si>
  <si>
    <t xml:space="preserve">Ling  Molva molva  e zarbo  Brosme brosme </t>
  </si>
  <si>
    <t xml:space="preserve">Saithe  Pollachius virens , ling  Molva molva  e zarbo  Brosme brosme </t>
  </si>
  <si>
    <t>Das espécies citadas na Nota Complementar 1 deste Capítulo</t>
  </si>
  <si>
    <t>Ex 01 - De tubarão seco, mesmo salgado mas não defumado</t>
  </si>
  <si>
    <t>--Cabeças, caudas e bexigas natatórias, de peixes</t>
  </si>
  <si>
    <t>Ex 01 - De peixes defumados, mesmo em filés, exceto dos códigos 0305.41.00, 0305.42.00 e 0305.49.10</t>
  </si>
  <si>
    <t>Ex 02 - De peixes salgados, não secos nem defumados e peixes em salmoura, exceto dos códigos 0305.61.00 e 0305.62.00</t>
  </si>
  <si>
    <t>Inteiras</t>
  </si>
  <si>
    <t>Inteiros</t>
  </si>
  <si>
    <t xml:space="preserve">Krill  Euphausia superba </t>
  </si>
  <si>
    <t xml:space="preserve">--Lagostas  Palinurus spp., Panulirus spp., Jasus spp. </t>
  </si>
  <si>
    <t xml:space="preserve">--Camarões de água fria  Pandalus spp., Crangon crangon </t>
  </si>
  <si>
    <t xml:space="preserve">Lagosta de água doce  Cherax quadricarinatus </t>
  </si>
  <si>
    <t>--Vivas, frescas ou refrigeradas</t>
  </si>
  <si>
    <t>--Vivos, frescos ou refrigerados</t>
  </si>
  <si>
    <t xml:space="preserve">Lulas  Ommastrephes spp., Loligo spp., Nototodarus spp., Sepioteuthis spp. </t>
  </si>
  <si>
    <t>Congelados</t>
  </si>
  <si>
    <t>-Caracóis, exceto os do mar</t>
  </si>
  <si>
    <t xml:space="preserve">Leite UHT  Ultra High Temperature </t>
  </si>
  <si>
    <t>Leite</t>
  </si>
  <si>
    <t xml:space="preserve">UHT  Ultra High Temperature </t>
  </si>
  <si>
    <t>Ex 01 - Acondicionado em recipiente metálico hermeticamente fechado</t>
  </si>
  <si>
    <t>Ex 01 - Acondicionados em recipientes metálicos hermeticamente fechados</t>
  </si>
  <si>
    <t>Com um teor de arsênio, chumbo ou cobre, considerados isoladamente, inferior a 5 ppm</t>
  </si>
  <si>
    <t>Leite integral</t>
  </si>
  <si>
    <t>Leite parcialmente desnatado</t>
  </si>
  <si>
    <t>Creme de leite</t>
  </si>
  <si>
    <t>Ex 01 - Leite em estado líquido</t>
  </si>
  <si>
    <t>Ex 01 - Acondicionado em embalagem de apresentação</t>
  </si>
  <si>
    <t>Ex 01 - Acondicionados em embalagem de apresentação</t>
  </si>
  <si>
    <t>-Soro de leite, modificado ou não, mesmo concentrado ou adicionado de açúcar ou de outros edulcorantes</t>
  </si>
  <si>
    <t>Ex 01 - Concentrado ou adicionado de açúcar ou de outros edulcorantes, em estado pastoso ou sólido.</t>
  </si>
  <si>
    <t xml:space="preserve">Óleo butírico de manteiga  butter oil </t>
  </si>
  <si>
    <t>Mussarela</t>
  </si>
  <si>
    <t>-Queijos ralados ou em pó, de qualquer tipo</t>
  </si>
  <si>
    <t>-Queijos fundidos, exceto ralados ou em pó</t>
  </si>
  <si>
    <t xml:space="preserve">Com um teor de umidade inferior a 36,0%, em peso  massa dura </t>
  </si>
  <si>
    <t xml:space="preserve">Com um teor de umidade superior ou igual a 36,0% e inferior a 46,0%, em peso  massa semidura </t>
  </si>
  <si>
    <t xml:space="preserve">Com um teor de umidade superior ou igual a 46,0% e inferior a 55,0%, em peso  massa macia </t>
  </si>
  <si>
    <t>Ex 01 - Frescas</t>
  </si>
  <si>
    <t>Ex 01 - Frescos</t>
  </si>
  <si>
    <t>Mel natural.</t>
  </si>
  <si>
    <t>Produtos comestíveis de origem animal, não especificados nem compreendidos noutras posições.</t>
  </si>
  <si>
    <t>Cabelos em bruto, mesmo lavados ou desengordurados, desperdícios de cabelo.</t>
  </si>
  <si>
    <t>Lavadas, alvejadas ou desengorduradas, mesmo tintas</t>
  </si>
  <si>
    <t>Pelos</t>
  </si>
  <si>
    <t>Desperdícios</t>
  </si>
  <si>
    <t>De bovinos</t>
  </si>
  <si>
    <t>De ovinos</t>
  </si>
  <si>
    <t>De suínos</t>
  </si>
  <si>
    <t>-Penas dos tipos utilizados para enchimento ou estofamento, penugem</t>
  </si>
  <si>
    <t>-Bulbos, tubérculos, raízes tuberosas, rebentos e rizomas, em vegetação ou em flor, mudas, plantas e raízes de chicória</t>
  </si>
  <si>
    <t>-Marfim, pó e desperdícios de marfim</t>
  </si>
  <si>
    <t>Coral e matérias semelhantes, em bruto ou simplesmente preparados, mas não trabalhados de outro modo, conchas e carapaças de moluscos, crustáceos ou de equinodermes e ossos de sépias, em bruto ou simplesmente preparados, mas não cortados em forma determin</t>
  </si>
  <si>
    <t>Pâncreas de bovino</t>
  </si>
  <si>
    <t>Ovas de peixe fecundadas, para reprodução</t>
  </si>
  <si>
    <t>Embriões de animais</t>
  </si>
  <si>
    <t>Sêmen animal</t>
  </si>
  <si>
    <t>Ovos de bicho-da-sêda</t>
  </si>
  <si>
    <t>Crinas e seus desperdícios, mesmo em mantas, com ou sem suportes</t>
  </si>
  <si>
    <t>-Bulbos, tubérculos, raízes tuberosas, rebentos e rizomas, em repouso vegetativo</t>
  </si>
  <si>
    <t>-Árvores, arbustos e silvados, de frutos comestíveis, enxertados ou não</t>
  </si>
  <si>
    <t>-Rododendros e azaleias, enxertados ou não</t>
  </si>
  <si>
    <t>-Roseiras, enxertadas ou não</t>
  </si>
  <si>
    <t>Micélios de cogumelos</t>
  </si>
  <si>
    <t>De orquídea</t>
  </si>
  <si>
    <t>De cana-de-açúcar</t>
  </si>
  <si>
    <t>De videira</t>
  </si>
  <si>
    <t>De café</t>
  </si>
  <si>
    <t>Tomates, frescos ou refrigerados.</t>
  </si>
  <si>
    <t>Para semeadura</t>
  </si>
  <si>
    <t>Pepinos e pepininhos  cornichons , frescos ou refrigerados.</t>
  </si>
  <si>
    <t xml:space="preserve">-Feijões  Vigna spp., Phaseolus spp. </t>
  </si>
  <si>
    <t>-Aipo, exceto aipo-rábano</t>
  </si>
  <si>
    <t>-Espinafres, espinafres-da-nova-zelândia e espinafres gigantes</t>
  </si>
  <si>
    <t xml:space="preserve">--Abóboras, abobrinhas e cabaças  Curcubita spp. </t>
  </si>
  <si>
    <t xml:space="preserve">--Feijões  Vigna spp., Phaseolus spp. </t>
  </si>
  <si>
    <t>Com água salgada</t>
  </si>
  <si>
    <t>Com água sulfurada ou adicionada de outras substâncias</t>
  </si>
  <si>
    <t>Ex 01 - Com água salgada, sulfurada ou adiconada de outras substâncias</t>
  </si>
  <si>
    <t>-Outros produtos hortícolas, misturas de produtos hortícolas</t>
  </si>
  <si>
    <t>Alho em pó</t>
  </si>
  <si>
    <t>Ex 01 - Milho doce</t>
  </si>
  <si>
    <t>Sem casca, mesmo ralados</t>
  </si>
  <si>
    <t>Ex 01 - Acondicionados em embalagens de apresentação</t>
  </si>
  <si>
    <t>Ex 01 - Seca e acondicionada em embalagem de apresentação</t>
  </si>
  <si>
    <t>Ex 01 - Secas e acondicionadas em embalagens de apresentação</t>
  </si>
  <si>
    <t>Frescas</t>
  </si>
  <si>
    <t>Secas</t>
  </si>
  <si>
    <t>Frescos</t>
  </si>
  <si>
    <t>Secos</t>
  </si>
  <si>
    <t>Ex 01 - Secos e acondicionados em embalagens de apresentação</t>
  </si>
  <si>
    <t>Goiabas</t>
  </si>
  <si>
    <t>Mangas</t>
  </si>
  <si>
    <t>Mangostões</t>
  </si>
  <si>
    <t>Ex 01 - Secos</t>
  </si>
  <si>
    <t>Ex 01 - Secas</t>
  </si>
  <si>
    <t>-Tangerinas, mandarinas e satsumas, clementinas, wilkings e outros frutos cítricos híbridos semelhantes</t>
  </si>
  <si>
    <t>Ex 01 – Secos</t>
  </si>
  <si>
    <t xml:space="preserve">-Limões  Citrus limon, Citrus limonum  e limas  Citrus aurantifolia, Citrus latifolia </t>
  </si>
  <si>
    <t>Pêssegos, excluindo as nectarinas</t>
  </si>
  <si>
    <t>Nectarinas</t>
  </si>
  <si>
    <t>-Framboesas, amoras, incluindo as silvestres, e amoras-framboesas</t>
  </si>
  <si>
    <t>-Groselhas, incluindo o cassis</t>
  </si>
  <si>
    <t>-Airelas, mirtilos e outras frutas do gênero Vaccinium</t>
  </si>
  <si>
    <t>Ex 01 - Adicionados de açúcar ou de outros edulcorantes</t>
  </si>
  <si>
    <t>-Framboesas, amoras, incluindo as silvestres, amoras-framboesas e groselhas</t>
  </si>
  <si>
    <t>Ex 01 - Adicionadas de açúcar ou de outros edulcorantes</t>
  </si>
  <si>
    <t>Com caroço</t>
  </si>
  <si>
    <t>Sem caroço</t>
  </si>
  <si>
    <t>Pêras</t>
  </si>
  <si>
    <t>-Misturas de frutas secas ou de frutas de casca rija, do presente Capítulo</t>
  </si>
  <si>
    <t>Cascas de frutos cítricos, de melões ou de melancias, frescas, secas, congeladas ou apresentadas em água salgada, sulfurada ou adicionada de outras substâncias destinadas a assegurar transitoriamente a sua conservação.</t>
  </si>
  <si>
    <t>Em grão</t>
  </si>
  <si>
    <t>Ex 01 - Moídos</t>
  </si>
  <si>
    <t>Ex 01 - Cascas e películas de café</t>
  </si>
  <si>
    <t>-Chá verde  não fermentado  em embalagens imediatas de conteúdo não superior a 3 kg</t>
  </si>
  <si>
    <t>-Chá preto  fermentado  e chá parcialmente fermentado, em embalagens imediatas de conteúdo não superior a 3 kg</t>
  </si>
  <si>
    <t>-Chá preto  fermentado  e chá parcialmente fermentado, apresentados de qualquer outra forma</t>
  </si>
  <si>
    <t>Simplesmente cancheado</t>
  </si>
  <si>
    <t>Ex 01 - Embalagens imediatas de conteúdo não superior a 5 kg</t>
  </si>
  <si>
    <t>--Secos, não triturados nem em pó</t>
  </si>
  <si>
    <t xml:space="preserve">De anis  erva-doce </t>
  </si>
  <si>
    <t xml:space="preserve">De badiana  anis-estrelado </t>
  </si>
  <si>
    <t>--Misturas mencionadas na Nota 1 b  do presente Capítulo</t>
  </si>
  <si>
    <t>Cervejeira</t>
  </si>
  <si>
    <t>Outras, em grão</t>
  </si>
  <si>
    <t>Parboilizado</t>
  </si>
  <si>
    <t>Não parboilizado</t>
  </si>
  <si>
    <t>Polido ou brunido</t>
  </si>
  <si>
    <t>De trigo</t>
  </si>
  <si>
    <t xml:space="preserve">De mistura de trigo com centeio  méteil </t>
  </si>
  <si>
    <t>-Germes de cereais, inteiros, esmagados, em flocos ou moídos</t>
  </si>
  <si>
    <t>-Farinha, sêmola e pó</t>
  </si>
  <si>
    <t>-Flocos, grânulos e pellets</t>
  </si>
  <si>
    <t>-Dos legumes de vagem, secos, da posição 07.13</t>
  </si>
  <si>
    <t>-De sagu ou das raízes ou tubérculos, da posição 07.14</t>
  </si>
  <si>
    <t>-Dos produtos do Capítulo 8</t>
  </si>
  <si>
    <t>Inteiro ou partido</t>
  </si>
  <si>
    <t>Moído ou em farinha</t>
  </si>
  <si>
    <t>Glúten de trigo, mesmo seco.</t>
  </si>
  <si>
    <t>--Descascados, mesmo triturados</t>
  </si>
  <si>
    <t>Copra.</t>
  </si>
  <si>
    <t xml:space="preserve">--Sementes de azevém  Lolium multiflorum Lam., Lolium perenne L. </t>
  </si>
  <si>
    <t>-Cones de lúpulo, não triturados nem moídos nem em pellets</t>
  </si>
  <si>
    <t>Cones de lúpulo</t>
  </si>
  <si>
    <t>Lupulina</t>
  </si>
  <si>
    <t>Ex 01 - Seca</t>
  </si>
  <si>
    <t xml:space="preserve">Orégano  Origanum vulgare </t>
  </si>
  <si>
    <t>Ex 01 - Seco</t>
  </si>
  <si>
    <t>Ex 01 - Congeladas</t>
  </si>
  <si>
    <t>Ex 01 - Das espécies utilizadas principalmente em medicina, secas</t>
  </si>
  <si>
    <t>Ex 01 - Seca, incluídas as suas sementes</t>
  </si>
  <si>
    <t xml:space="preserve">Stevia rebaudiana  Ka’a He’? </t>
  </si>
  <si>
    <t>Palhas e cascas de cereais, em bruto, mesmo picadas, moídas, prensadas ou em pellets.</t>
  </si>
  <si>
    <t xml:space="preserve">-Farinha e pellets, de alfafa  luzerna </t>
  </si>
  <si>
    <t>Goma-laca</t>
  </si>
  <si>
    <t>Concentrados de palha de papoula</t>
  </si>
  <si>
    <t>De mamão  Carica papaya , seco</t>
  </si>
  <si>
    <t>De semente de toranja ou de pomelo</t>
  </si>
  <si>
    <t>De gin kgo biloba, seco</t>
  </si>
  <si>
    <t>Valepotriatos</t>
  </si>
  <si>
    <t>De ginseng</t>
  </si>
  <si>
    <t>Silimarina</t>
  </si>
  <si>
    <t>De piretro ou de raízes de plantas que contenha rotenona</t>
  </si>
  <si>
    <t xml:space="preserve">Matérias pécticas  pectinas </t>
  </si>
  <si>
    <t>Farinha de endosperma</t>
  </si>
  <si>
    <t>De sementes de guaré</t>
  </si>
  <si>
    <t xml:space="preserve">Carragenina  musgo-da-irlanda </t>
  </si>
  <si>
    <t>Em bruto</t>
  </si>
  <si>
    <t>Matérias vegetais das espécies principalmente utilizadas na fabricação de vassouras, escovas, pincéis e artigos semelhantes  por exemplo, sorgo, piaçaba, raiz de grama, tampico , mesmo torcidas ou em feixes</t>
  </si>
  <si>
    <t xml:space="preserve">Fundido  incluindo o premier jus </t>
  </si>
  <si>
    <t>Estearina solar, óleo de banha de porco, óleo-estearina, óleo-margarina e óleo de sebo, não emulsionados nem misturados, nem preparados de outro modo.</t>
  </si>
  <si>
    <t>Óleo em bruto</t>
  </si>
  <si>
    <t>-Gorduras e óleos de peixes e respectivas frações, exceto óleos de fígados</t>
  </si>
  <si>
    <t>Lanolina</t>
  </si>
  <si>
    <t>Outras gorduras e óleos animais, e respectivas frações, mesmo refinados, mas não quimicamente modificados.</t>
  </si>
  <si>
    <t>-Óleo em bruto, mesmo degomado</t>
  </si>
  <si>
    <t>Em recipientes com capacidade inferior ou igual a 5 l</t>
  </si>
  <si>
    <t>Refinado</t>
  </si>
  <si>
    <t>Outros óleos e respectivas frações, obtidos exclusivamente a partir de azeitonas, mesmo refinados, mas não quimicamente modificados, e misturas desses óleos ou frações com óleos ou frações da posição 15.09.</t>
  </si>
  <si>
    <t>De girassol</t>
  </si>
  <si>
    <t>De cártamo</t>
  </si>
  <si>
    <t>Refinado, em recipientes com capacidade inferior ou igual a 5 l</t>
  </si>
  <si>
    <t>--Óleo em bruto, mesmo desprovido de gossipol</t>
  </si>
  <si>
    <t xml:space="preserve">De amêndoa de palma  palmiste </t>
  </si>
  <si>
    <t>De babaçu</t>
  </si>
  <si>
    <t>Refinados</t>
  </si>
  <si>
    <t>Óleo de jojoba e respectivas frações</t>
  </si>
  <si>
    <t>-Margarina, exceto a margarina líquida</t>
  </si>
  <si>
    <t>Misturas de óleos refinados, em recipientes com capacidade inferior ou igual a 5 l</t>
  </si>
  <si>
    <t>Óleo vegetal epoxidado</t>
  </si>
  <si>
    <t>Glicerol em bruto</t>
  </si>
  <si>
    <t>Águas e lixívias, glicéricas</t>
  </si>
  <si>
    <t>Ex 01 - Refinadas, branqueadas ou coloridas artificialmente</t>
  </si>
  <si>
    <t>Ex 01 - Ceras de insetos, refinadas, branqueadas ou coloridas artificialmente</t>
  </si>
  <si>
    <t>Ex 02 - Espermacete, prensado ou refinado</t>
  </si>
  <si>
    <t>Dégras, resíduos provenientes do tratamento das substâncias gordas ou das ceras animais ou vegetais.</t>
  </si>
  <si>
    <t>Enchidos e produtos semelhantes, de carne, de miudezas ou de sangue, preparações alimentícias à base de tais produtos.</t>
  </si>
  <si>
    <t>Com conteúdo de carne ou de miudezas superior ou igual a 57%, em peso, não cozidas</t>
  </si>
  <si>
    <t>Com conteúdo de carne ou de miudezas superior ou igual a 57%, em peso, cozidas</t>
  </si>
  <si>
    <t>Com conteúdo de carne ou de miudezas superior ou igual a 25% e inferior a 57%, em peso</t>
  </si>
  <si>
    <t>--Outras, incluindo as misturas</t>
  </si>
  <si>
    <t>-Outras, incluindo as preparações de sangue de quaisquer animais</t>
  </si>
  <si>
    <t>Extratos e sucos de carne, de peixes ou de crustáceos, de moluscos ou de outros invertebrados aquáticos.</t>
  </si>
  <si>
    <t>Sardinhas</t>
  </si>
  <si>
    <t>Atuns</t>
  </si>
  <si>
    <t>Bonito-listrado</t>
  </si>
  <si>
    <t>Bonito-cachorro</t>
  </si>
  <si>
    <t>De atuns</t>
  </si>
  <si>
    <t>De bonito-listrado</t>
  </si>
  <si>
    <t>De sardinhas ou de anchoveta</t>
  </si>
  <si>
    <t>--Ameijoas, berbigões e arcas</t>
  </si>
  <si>
    <t>--Caracóis, exceto os do mar</t>
  </si>
  <si>
    <t>--Açúcar de cana mencionado na Nota 2 de subposição do presente Capítulo</t>
  </si>
  <si>
    <t>Ex 01 - Sacarose quimicamente pura</t>
  </si>
  <si>
    <t>--Que contenham, em peso, 99% ou mais de lactose, expresso em lactose anidra, calculado sobre a matéria seca</t>
  </si>
  <si>
    <t xml:space="preserve">-Açúcar e xarope, de bordo  ácer </t>
  </si>
  <si>
    <t>Quimicamente pura</t>
  </si>
  <si>
    <t>Xarope de glicose</t>
  </si>
  <si>
    <t>Glicose</t>
  </si>
  <si>
    <t xml:space="preserve">Frutose  levulose </t>
  </si>
  <si>
    <t xml:space="preserve">Xarope de frutose  levulose </t>
  </si>
  <si>
    <t xml:space="preserve">-Outros, incluindo o açúcar invertido e os outros açúcares e xaropes de açúcares, que contenham, em peso, no estado seco, 50% de frutose  levulose </t>
  </si>
  <si>
    <t>-Gomas de mascar, mesmo revestidas de açúcar</t>
  </si>
  <si>
    <t>Chocolate branco</t>
  </si>
  <si>
    <t>Caramelos, confeitos, dropes, pastilhas, e produtos semelhantes</t>
  </si>
  <si>
    <t>Cacau inteiro ou partido, em bruto ou torrado.</t>
  </si>
  <si>
    <t>Ex 01 - Torrado</t>
  </si>
  <si>
    <t>Cascas, películas e outros desperdícios de cacau.</t>
  </si>
  <si>
    <t>Manteiga, gordura e óleo, de cacau.</t>
  </si>
  <si>
    <t>Cacau em pó, sem adição de açúcar ou de outros edulcorantes.</t>
  </si>
  <si>
    <t>-Cacau em pó, com adição de açúcar ou de outros edulcorantes</t>
  </si>
  <si>
    <t>-Outras preparações em blocos ou em barras, com peso superior a 2 kg, ou no estado líquido, em pasta, em pó, grânulos ou formas semelhantes, em recipientes ou embalagens imediatas de conteúdo superior a 2 kg</t>
  </si>
  <si>
    <t>Chocolate</t>
  </si>
  <si>
    <t>Outras preparações</t>
  </si>
  <si>
    <t>Ex 01 - Achocolatados, assim entendidos os produtos à base de chocolate, em pó ou em grânulos, destinados à mistura com água ou leite</t>
  </si>
  <si>
    <t>Leite modificado</t>
  </si>
  <si>
    <t>Farinha láctea</t>
  </si>
  <si>
    <t>À base de farinha, grumos, sêmola ou amido</t>
  </si>
  <si>
    <t>-Misturas e pastas para a preparação de produtos de padaria, pastelaria e da indústria de bolachas e biscoitos, da posição 19.05</t>
  </si>
  <si>
    <t>Ex 01 – Pré-misturas próprias para fabricação de pão do tipo comum</t>
  </si>
  <si>
    <t>Extrato de malte</t>
  </si>
  <si>
    <t>Doce de leite</t>
  </si>
  <si>
    <t>Tapioca e seus sucedâneos preparados a partir de féculas, em flocos, grumos, grãos, pérolas ou formas semelhantes.</t>
  </si>
  <si>
    <t>-Produtos à base de cereais, obtidos por expansão ou por torrefação</t>
  </si>
  <si>
    <t>Panetone</t>
  </si>
  <si>
    <t>--Bolachas e biscoitos, adicionados de edulcorante</t>
  </si>
  <si>
    <t>-Torradas, pão torrado e produtos semelhantes torrados</t>
  </si>
  <si>
    <t>Pão de forma</t>
  </si>
  <si>
    <t>Bolachas</t>
  </si>
  <si>
    <t>Ex 01 – Pão do tipo comum</t>
  </si>
  <si>
    <t>Ex 01 - Cozidos  exceto em água ou vapor  e congelados</t>
  </si>
  <si>
    <t>Sucos</t>
  </si>
  <si>
    <t>Ex 02 - Trufas cozidas  exceto em água ou vapor  e congeladas</t>
  </si>
  <si>
    <t>Ex 03 - Outras trufas</t>
  </si>
  <si>
    <t xml:space="preserve">Ex 01 - Cozidas  exceto em água ou vapor </t>
  </si>
  <si>
    <t xml:space="preserve">Ex 01 - Cozidos  exceto em água ou vapor </t>
  </si>
  <si>
    <t>Produtos hortícolas, frutas, cascas de frutas e outras partes de plantas, conservados com açúcar  passados por calda, glaceados ou cristalizados .</t>
  </si>
  <si>
    <t>Geleias e marmelades</t>
  </si>
  <si>
    <t>--Outros, incluindo as misturas</t>
  </si>
  <si>
    <t>Ex 01 - Cozidos  exceto em água e vapor , congelados e sem adição de açúcar ou de outros edulcorantes, excluídas as misturas</t>
  </si>
  <si>
    <t>Em água edulcorada, incluindo os xaropes</t>
  </si>
  <si>
    <t>Ex 01 - Cozidos  exceto em água e vapor , congelados e sem adição de açúcar ou de outros edulcorantes</t>
  </si>
  <si>
    <t>Ex 01 - Cozidas  exceto em água e vapor , congeladas e sem adição de açúcar ou de outros edulcorantes</t>
  </si>
  <si>
    <t>Polpa com valor Brix igual ou superior a 20</t>
  </si>
  <si>
    <t xml:space="preserve">--Airelas vermelhas  Vaccinium macrocarpon, Vaccinium oxycoccos, Vaccinium vitis-idaea </t>
  </si>
  <si>
    <t>--Não congelado, com valor Brix não superior a 20</t>
  </si>
  <si>
    <t>--Com valor Brix não superior a 20</t>
  </si>
  <si>
    <t>--Com valor Brix não superior a 30</t>
  </si>
  <si>
    <t xml:space="preserve">--Suco  sumo  de airela vermelha  Vaccinium macrocarpon, Vaccinium oxycoccos, Vaccinium vitis-idaea </t>
  </si>
  <si>
    <t>Suco  sumo  de pêssego, com valor Brix igual ou superior a 60</t>
  </si>
  <si>
    <t>Café solúvel, mesmo descafeinado</t>
  </si>
  <si>
    <t>--Preparações à base de extratos, essências ou concentrados ou à base de café</t>
  </si>
  <si>
    <t>De chá</t>
  </si>
  <si>
    <t>De mate</t>
  </si>
  <si>
    <t>-Chicória torrada e outros sucedâneos torrados do café e respectivos extratos, essências e concentrados</t>
  </si>
  <si>
    <t>Saccharomyces boulardii</t>
  </si>
  <si>
    <t>-Leveduras mortas, outros microrganismos monocelulares mortos</t>
  </si>
  <si>
    <t>Ex 01 - Leveduras mortas</t>
  </si>
  <si>
    <t>-Pós para levedar, preparados</t>
  </si>
  <si>
    <t>Em embalagens imediatas de conteúdo inferior ou igual a 1 kg</t>
  </si>
  <si>
    <t>Farinha de mostarda</t>
  </si>
  <si>
    <t>Outra</t>
  </si>
  <si>
    <t>Em embalagens imediatas de conteúdo inferior ou igual a 2 kg</t>
  </si>
  <si>
    <t>Preparações dos tipos utilizados para elaboração de bebidas</t>
  </si>
  <si>
    <t>Ex 01 - Preparações compostas, não alcoólicas  extratos concentrados ou sabores concentrados , para elaboração de bebida da posição 22.02, com capacidade de diluição superior a 10 partes da bebida para cada parte do concentrado</t>
  </si>
  <si>
    <t>Ex 02 - Preparações compostas, não alcoólicas  extratos concentrados  ou sabores concentrados , para elaboração de bebida refrigerante do Capítulo 22, com capacidade de diluição  de até 10 partes da bebida para cada parte do concentrado</t>
  </si>
  <si>
    <t>Para a fabricação de pudins, em embalagens imediatas de conteúdo inferior ou igual a 1 kg</t>
  </si>
  <si>
    <t>Complementos alimentares</t>
  </si>
  <si>
    <t>Misturas à base de ascorbato de sódio e glucose próprias para embutidos</t>
  </si>
  <si>
    <t>Gomas de mascar, sem açúcar</t>
  </si>
  <si>
    <t>Caramelos, confeitos, pastilhas e produtos semelhantes, sem açúcar</t>
  </si>
  <si>
    <t>Ex 01 - Águas minerais naturais comercializadas em recipientes com capacidade nominal inferior a 10  dez  litros</t>
  </si>
  <si>
    <t>Ex 02 - Águas minerais naturais comercializadas em recipientes com capacidade nominal igual ou superior a 10  dez  litros</t>
  </si>
  <si>
    <t>-Águas, incluindo as águas minerais e as águas gaseificadas, adicionadas de açúcar ou de outros edulcorantes ou aromatizadas</t>
  </si>
  <si>
    <t>Ex 01 - Refrescos</t>
  </si>
  <si>
    <t>Ex 01 - Bebidas alimentares à base de soja ou de leite e cacau</t>
  </si>
  <si>
    <t>Ex 02 – Néctares de frutas</t>
  </si>
  <si>
    <t>Ex 03 - Cerveja sem álcool</t>
  </si>
  <si>
    <t>Ex 04 - Alimentos para praticantes de atividade física nos termos da Portaria no 222, de 24 de março de 1998, da extinta Secretaria de Vigilância Sanitária, atual Agência Nacional de Vigilância Sanitária, do Ministério da Saúde: repositores hidroeletrolít</t>
  </si>
  <si>
    <t>Ex 05 - Compostos líquidos pronto para consumo nos termos da Resolução RDC no 273, de 22 de setembro de 2005, da Agência Nacional de Vigilância Sanitária, do Ministério da Saúde</t>
  </si>
  <si>
    <t>Cervejas de malte.</t>
  </si>
  <si>
    <t>Ex 01 - Chope</t>
  </si>
  <si>
    <t xml:space="preserve">Tipo champanha  champagne </t>
  </si>
  <si>
    <t>--Em recipientes de capacidade não superior a 2 l</t>
  </si>
  <si>
    <t>Ex 01 - Vinhos da madeira, do porto e de xerez</t>
  </si>
  <si>
    <t>Em recipientes de capacidade não superior a 5 l</t>
  </si>
  <si>
    <t>Mostos</t>
  </si>
  <si>
    <t>-Em recipientes de capacidade não superior a 2 l</t>
  </si>
  <si>
    <t>Sidra</t>
  </si>
  <si>
    <t>Ex 01 - Com teor alcoólico superior a 14%</t>
  </si>
  <si>
    <t>Com um teor de água igual ou inferior a 1% vol</t>
  </si>
  <si>
    <t>Ex 01 - Para fins carburantes, com as especificações determinadas pela ANP</t>
  </si>
  <si>
    <t xml:space="preserve">Ex 02 - Retificado  álcool neutro </t>
  </si>
  <si>
    <t>Aguardente</t>
  </si>
  <si>
    <t>Com um teor alcoólico, em volume, superior a 50% vol, em recipientes de capacidade superior ou igual a 50 l</t>
  </si>
  <si>
    <t>Ex 01 - Destilado alcoólico chamado uísque de malte  “malt Whisky”  com teor alcoólico em volume superior a 54% e inferior a 70%, obtido de cevada maltada</t>
  </si>
  <si>
    <t>Ex 02 - Destilado alcoólico chamado uísque de cereais  “grain Whisky”  com teor alcoólico em volume superior a 54% e inferior a 70%, obtido de cereal não maltado adicionado ou não de cevada maltada</t>
  </si>
  <si>
    <t>Em embalagens de capacidade inferior ou igual a 2 l</t>
  </si>
  <si>
    <t>-Rum e outras aguardentes provenientes da destilação, após fermentação, de produtos da cana-de-açúcar</t>
  </si>
  <si>
    <t>Ex 01 - Álcool etílico</t>
  </si>
  <si>
    <t>Ex 02 - Bebida refrescante com teor alcoólico inferior a 8%</t>
  </si>
  <si>
    <t>Vinagres e seus sucedâneos obtidos a partir do ácido acético, para usos alimentares.</t>
  </si>
  <si>
    <t>De carne</t>
  </si>
  <si>
    <t>De peixes</t>
  </si>
  <si>
    <t>Farelo</t>
  </si>
  <si>
    <t>-Polpas de beterraba, bagaços de cana-de-açúcar e outros desperdícios da indústria do açúcar</t>
  </si>
  <si>
    <t>Farinhas e pellets</t>
  </si>
  <si>
    <t>Tortas e outros resíduos sólidos, mesmo triturados ou em pellets, da extração do óleo de amendoim.</t>
  </si>
  <si>
    <t>Tortas, farinhas e pellets</t>
  </si>
  <si>
    <t>De germe de milho</t>
  </si>
  <si>
    <t>Borras de vinho, tártaro em bruto.</t>
  </si>
  <si>
    <t>Matérias vegetais e desperdícios vegetais, resíduos e subprodutos vegetais, mesmo em pellets, dos tipos utilizados na alimentação de animais, não especificados nem compreendidos noutras posições.</t>
  </si>
  <si>
    <t>-Alimentos para cães ou gatos, acondicionados para venda a retalho</t>
  </si>
  <si>
    <t xml:space="preserve">Preparações destinadas a fornecer ao animal a totalidade dos elementos nutritivos necessários para uma alimentação diária racional e equilibrada  alimentos compostos completos </t>
  </si>
  <si>
    <t>Preparações à base de sal iodado, farinha de ossos, farinha de concha, cobre e cobalto</t>
  </si>
  <si>
    <t>Bolachas e biscoitos</t>
  </si>
  <si>
    <t>Preparações que contenham Diclazuril</t>
  </si>
  <si>
    <t>Preparações com teor de cloridrato de ractopamina igual ou superior a 2%, em peso, com suporte de farelo de soja</t>
  </si>
  <si>
    <t>Preparações que contenham xilanase e betagluconase, com suporte de farinha de trigo</t>
  </si>
  <si>
    <t>Ex 01 - Preparações alimentícias para cães ou gatos, não acondicionadas para a venda a retalho</t>
  </si>
  <si>
    <t>Em folhas, sem secar nem fermentar</t>
  </si>
  <si>
    <t>Em folhas secas ou fermentadas tipo capeiro</t>
  </si>
  <si>
    <t>Em folhas secas em secador de ar quente  flue cured , do tipo Virgínia</t>
  </si>
  <si>
    <t>Em folhas secas, com um conteúdo de óleos voláteis superior a 0,2%, em peso, do tipo turco</t>
  </si>
  <si>
    <t>Em folhas secas  light air cured , do tipo Burley</t>
  </si>
  <si>
    <t>-Charutos e cigarrilhas, que contenham tabaco</t>
  </si>
  <si>
    <t>Ex 01 - Cigarrillhas</t>
  </si>
  <si>
    <t>Ex 01 - Feitos à mão</t>
  </si>
  <si>
    <t>Ex 01 - Cigarros não contendo tabaco, exceto os feitos à mão</t>
  </si>
  <si>
    <t>--Tabaco para narguilé  cachimbo de água  mencionado na Nota 1 de subposição do presente Capítulo</t>
  </si>
  <si>
    <t>Extratos e molhos</t>
  </si>
  <si>
    <t>Sal marinho</t>
  </si>
  <si>
    <t>Sal de mesa</t>
  </si>
  <si>
    <t>Ex 01 - Cloreto de sódio puro</t>
  </si>
  <si>
    <t>Piritas de ferro não ustuladas.</t>
  </si>
  <si>
    <t>A granel</t>
  </si>
  <si>
    <t>Ex 01 - Em bruto ou não refinado</t>
  </si>
  <si>
    <t xml:space="preserve">Caulim  caulino </t>
  </si>
  <si>
    <t>Plásticas, com teor de Fe2O3, em peso, inferior a 1,5% e com perda por calcinação, em peso, superior a 12%</t>
  </si>
  <si>
    <t>-Andaluzita, cianita e silimanita</t>
  </si>
  <si>
    <t>Cré.</t>
  </si>
  <si>
    <t>Fosfatos de cálcio naturais</t>
  </si>
  <si>
    <t>Farinhas siliciosas fósseis  por exemplo, kieselguhr, tripolita, diatomita  e outras terras siliciosas análogas de densidade aparente não superior a 1, mesmo calcinadas.</t>
  </si>
  <si>
    <t>-Esmeril, corindo natural, granada natural e outros abrasivos naturais</t>
  </si>
  <si>
    <t>Ardósia, mesmo desbastada ou simplesmente cortada a serra ou por outro meio, em blocos ou placas de forma quadrada ou retangular.</t>
  </si>
  <si>
    <t>Mármores</t>
  </si>
  <si>
    <t>Travertinos</t>
  </si>
  <si>
    <t>-Granitos belgas e outras pedras calcárias de cantaria ou de construção, alabastro</t>
  </si>
  <si>
    <t>--Simplesmente cortado a serra ou por outro meio, em blocos ou placas de forma quadrada ou retangular</t>
  </si>
  <si>
    <t>-Macadame de escórias de altos-fornos, de outras escórias ou de resíduos industriais semelhantes, mesmo que contenham matérias incluídas na subposição 2517.10</t>
  </si>
  <si>
    <t>-Calhaus, cascalho, pedras britadas, dos tipos geralmente usados em concreto ou para empedramento de estradas, de vias férreas ou outros balastros, seixos rolados e sílex, mesmo tratados termicamente</t>
  </si>
  <si>
    <t>-Dolomita não calcinada nem sinterizada, denominada “crua”</t>
  </si>
  <si>
    <t>Magnésia eletrofundida</t>
  </si>
  <si>
    <t xml:space="preserve">Em pedaços irregulares  pedras </t>
  </si>
  <si>
    <t>Anidrita</t>
  </si>
  <si>
    <t>Moído, apto para uso odontológico</t>
  </si>
  <si>
    <t>Castinas, pedras calcárias utilizadas na fabricação de cal ou de cimento.</t>
  </si>
  <si>
    <t>-Cimentos não pulverizados, denominados clinkers</t>
  </si>
  <si>
    <t>--Cimentos brancos, mesmo corados artificialmente</t>
  </si>
  <si>
    <t>Cimento comum</t>
  </si>
  <si>
    <t>Boratos naturais e seus concentrados  calcinados ou não , exceto boratos extraídos de salmouras naturais, ácido bórico natural com um teor máximo de 85% de H3BO3, em produto seco.</t>
  </si>
  <si>
    <t>--Que contenha, em peso, 97% ou menos de fluoreto de cálcio</t>
  </si>
  <si>
    <t>--Que contenha, em peso, mais de 97% de fluoreto de cálcio</t>
  </si>
  <si>
    <t>-Leucita, nefelina e nefelina-sienito</t>
  </si>
  <si>
    <t>Perlita</t>
  </si>
  <si>
    <t xml:space="preserve">-Quieserita, epsomita  sulfatos de magnésio naturais </t>
  </si>
  <si>
    <t>Espodumênio</t>
  </si>
  <si>
    <t>Areia de zircônio micronizada, própria para a preparação de esmaltes cerâmicos</t>
  </si>
  <si>
    <t>Minerais de metais das terras raras</t>
  </si>
  <si>
    <t>Terras corantes</t>
  </si>
  <si>
    <t>Aglomerados</t>
  </si>
  <si>
    <t>Sulfetos</t>
  </si>
  <si>
    <t>Minérios de níquel e seus concentrados.</t>
  </si>
  <si>
    <t>Minérios de cobalto e seus concentrados.</t>
  </si>
  <si>
    <t>Não calcinada</t>
  </si>
  <si>
    <t>Calcinada</t>
  </si>
  <si>
    <t>Minérios de chumbo e seus concentrados.</t>
  </si>
  <si>
    <t>Minérios de estanho e seus concentrados.</t>
  </si>
  <si>
    <t>Cromita</t>
  </si>
  <si>
    <t>Minérios de tungstênio  volfrâmio  e seus concentrados.</t>
  </si>
  <si>
    <t>Molibdenita</t>
  </si>
  <si>
    <t>Ilmenita</t>
  </si>
  <si>
    <t>Badeleíta</t>
  </si>
  <si>
    <t>Zirconita</t>
  </si>
  <si>
    <t>Escória de altos-fornos granulada  areia de escória  proveniente da fabricação de ferro fundido, ferro ou aço.</t>
  </si>
  <si>
    <t>Escórias  exceto escória de altos-fornos granulada  e outros desperdícios da fabricação de ferro fundido, ferro ou aço.</t>
  </si>
  <si>
    <t>-Que contenham arsênio, mercúrio, tálio ou suas misturas, dos tipos utilizados para extração de arsênio ou destes metais ou para fabricação dos seus compostos químicos</t>
  </si>
  <si>
    <t>--Que contenham antimônio, berílio, cádmio, cromo ou suas misturas</t>
  </si>
  <si>
    <t>Que contenham principalmente titânio</t>
  </si>
  <si>
    <t>Cinzas de origem vegetal</t>
  </si>
  <si>
    <t>-Briquetes, bolas em aglomerados e combustíveis sólidos semelhantes, obtidos a partir da hulha</t>
  </si>
  <si>
    <t>-Linhitas, mesmo em pó, mas não aglomeradas</t>
  </si>
  <si>
    <t>Turfa  incluindo a turfa para cama de animais , mesmo aglomerada.</t>
  </si>
  <si>
    <t>Coques</t>
  </si>
  <si>
    <t>Gás de hulha, gás de água, gás pobre  gás de ar  e gases semelhantes, exceto gases de petróleo e outros hidrocarbonetos gasosos.</t>
  </si>
  <si>
    <t>Alcatrões de hulha, de linhita ou de turfa e outros alcatrões minerais, mesmo desidratados ou parcialmente destilados, incluindo os alcatrões reconstituídos.</t>
  </si>
  <si>
    <t>-Outras misturas de hidrocarbonetos aromáticos que destilem, incluindo as perdas, uma fração igual ou superior a 65%, em volume, a 250 °C, segundo o método ASTM D 86</t>
  </si>
  <si>
    <t>Cresóis</t>
  </si>
  <si>
    <t>De petróleo</t>
  </si>
  <si>
    <t>Hexano comercial</t>
  </si>
  <si>
    <t>Diisobutileno</t>
  </si>
  <si>
    <t xml:space="preserve">Aguarrás mineral  white spirit </t>
  </si>
  <si>
    <t>Para petroquímica</t>
  </si>
  <si>
    <t>De aviação</t>
  </si>
  <si>
    <t>Mistura de hidrocarbonetos acíclicos e cíclicos, saturados, derivados de frações de petróleo, contendo em peso, menos de 2%, de hidrocarbonetos aromáticos, cuja curva de destilação, segundo o método ASTM D 86, apresenta um ponto inicial mínimo de 70 °C e</t>
  </si>
  <si>
    <t>Ex 01 - Óleos parcialmente refinados</t>
  </si>
  <si>
    <t xml:space="preserve">Ex 02 - Óleos para lamparina de mecha  “signal-oil” </t>
  </si>
  <si>
    <t xml:space="preserve">“Gasóleo”  óleo diesel </t>
  </si>
  <si>
    <t>Fuel-oil</t>
  </si>
  <si>
    <t>Sem aditivos</t>
  </si>
  <si>
    <t>Com aditivos</t>
  </si>
  <si>
    <t xml:space="preserve">Óleos minerais brancos  óleos de vaselina ou de parafina </t>
  </si>
  <si>
    <t>Líquidos para transmissões hidráulicas</t>
  </si>
  <si>
    <t>Óleos para isolamento elétrico</t>
  </si>
  <si>
    <t>Mistura de hidrocarbonetos acíclicos e cíclicos, saturados, derivados de frações de petróleo, contendo, em peso, menos de 2%, de hidrocarbonetos aromáticos, que destila, segundo o método ASTM D 86, uma fração inferior a 90%, em volume, a 210 °C com um pon</t>
  </si>
  <si>
    <t>-Óleos de petróleo ou de minerais betuminosos  exceto óleos brutos  e preparações não especificadas nem compreendidas noutras posições, que contenham, como constituintes básicos, 70% ou mais, em peso, de óleos de petróleo ou de minerais betuminosos, que c</t>
  </si>
  <si>
    <t xml:space="preserve">Ex 01 - Óleos leves e preparações, exceto óleos para lamparina de mecha  “signal-oil” </t>
  </si>
  <si>
    <t xml:space="preserve">--Que contenham difenilas policloradas  PCB , terfenilas policloradas  PCT  ou difenilas polibromadas  PBB </t>
  </si>
  <si>
    <t>Bruto</t>
  </si>
  <si>
    <t>--Etileno, propileno, butileno e butadieno</t>
  </si>
  <si>
    <t xml:space="preserve">Gás liquefeito de petróleo  GLP </t>
  </si>
  <si>
    <t>Butanos</t>
  </si>
  <si>
    <t>-Parafina que contenha, em peso, menos de 0,75% de óleo</t>
  </si>
  <si>
    <t>Misturas betuminosas à base de asfalto ou de betume naturais, de betume de petróleo, de alcatrão mineral ou de breu de alcatrão mineral  por exemplo, mástiques betuminosos e cut-backs .</t>
  </si>
  <si>
    <t>Energia elétrica.</t>
  </si>
  <si>
    <t>Sublimado</t>
  </si>
  <si>
    <t>-Flúor, bromo</t>
  </si>
  <si>
    <t>Enxofre sublimado ou precipitado, enxofre coloidal.</t>
  </si>
  <si>
    <t>Negro de acetileno</t>
  </si>
  <si>
    <t>Hélio líquido</t>
  </si>
  <si>
    <t>-Boro, telúrio</t>
  </si>
  <si>
    <t>--Que contenham, em peso, pelo menos 99,99% de silício</t>
  </si>
  <si>
    <t>Branco</t>
  </si>
  <si>
    <t>Vermelho ou amorfo</t>
  </si>
  <si>
    <t>Negro</t>
  </si>
  <si>
    <t>Estrôncio</t>
  </si>
  <si>
    <t>Bário</t>
  </si>
  <si>
    <t xml:space="preserve">Liga de cério, com teor de ferro inferior ou igual a 5%, em peso  Mischmetal </t>
  </si>
  <si>
    <t>Em estado gasoso ou liquefeito</t>
  </si>
  <si>
    <t>Em solução aquosa</t>
  </si>
  <si>
    <t>Ácido sulfúrico</t>
  </si>
  <si>
    <t xml:space="preserve">Ácido sulfúrico fumante  óleum </t>
  </si>
  <si>
    <t>Ácido nítrico</t>
  </si>
  <si>
    <t>Ácidos sulfonítricos</t>
  </si>
  <si>
    <t>Com teor de ferro inferior a 750 ppm</t>
  </si>
  <si>
    <t>Ácidos metafosfóricos</t>
  </si>
  <si>
    <t>Ácido pirofosfórico</t>
  </si>
  <si>
    <t>Ácido ortobórico</t>
  </si>
  <si>
    <t xml:space="preserve">Ácido aminossulfônico  ácido sulfâmico </t>
  </si>
  <si>
    <t xml:space="preserve">Ácido fosfônico  ácido fosforoso </t>
  </si>
  <si>
    <t>Ácido perclórico</t>
  </si>
  <si>
    <t>Fluorácidos e outros compostos de flúor</t>
  </si>
  <si>
    <t>Cianeto de hidrogênio</t>
  </si>
  <si>
    <t>Obtido por precipitação química</t>
  </si>
  <si>
    <t>Tipo aerogel</t>
  </si>
  <si>
    <t>Gel de sílica</t>
  </si>
  <si>
    <t>Dióxido de enxofre</t>
  </si>
  <si>
    <t>Tricloreto de fósforo</t>
  </si>
  <si>
    <t>Pentacloreto de fósforo</t>
  </si>
  <si>
    <t>Monocloreto de enxofre</t>
  </si>
  <si>
    <t>Dicloreto de enxofre</t>
  </si>
  <si>
    <t>Tricloreto de arsênio</t>
  </si>
  <si>
    <t xml:space="preserve">Oxidicloreto de enxofre  cloreto de tionila </t>
  </si>
  <si>
    <t xml:space="preserve">Oxitricloreto de fósforo  cloreto de fosforila </t>
  </si>
  <si>
    <t xml:space="preserve">Oxidicloreto de carbono  fosgênio ou cloreto de carbonila </t>
  </si>
  <si>
    <t>Pentassulfeto de difósforo</t>
  </si>
  <si>
    <t>Hidróxido</t>
  </si>
  <si>
    <t>Peróxido</t>
  </si>
  <si>
    <t>Hidróxido de bário</t>
  </si>
  <si>
    <t xml:space="preserve">Óxido de zinco  branco de zinco </t>
  </si>
  <si>
    <t>Peróxido de zinco</t>
  </si>
  <si>
    <t>Branco, que passe através de uma peneira com abertura de malha de 63 micrômetros  mícrons  em proporção superior a 90%, em peso</t>
  </si>
  <si>
    <t>Alumina calcinada</t>
  </si>
  <si>
    <t>Óxidos</t>
  </si>
  <si>
    <t>Hidróxidos</t>
  </si>
  <si>
    <t>Óxido manganoso</t>
  </si>
  <si>
    <t xml:space="preserve">Trióxido de dimanganês  sesquióxido de manganês </t>
  </si>
  <si>
    <t xml:space="preserve">Tetraóxido de trimanganês  óxido salino de manganês </t>
  </si>
  <si>
    <t xml:space="preserve">Heptaóxido de dimanganês  anidrido permangânico </t>
  </si>
  <si>
    <t>Com teor de Fe2O3 superior ou igual a 85%, em peso</t>
  </si>
  <si>
    <t>Óxido ferroso-férrico  óxido magnético de ferro , com teor de Fe3O4 superior ou igual a 93%, em peso</t>
  </si>
  <si>
    <t>Hidróxidos de ferro</t>
  </si>
  <si>
    <t xml:space="preserve">Tetraóxido de tricobalto  óxido salino de cobalto </t>
  </si>
  <si>
    <t>Tipo anatase</t>
  </si>
  <si>
    <t xml:space="preserve">-Monóxido de chumbo  litargírio, massicote </t>
  </si>
  <si>
    <t xml:space="preserve">Mínio  zarcão  e mínio-laranja  mine-orange </t>
  </si>
  <si>
    <t>Hidrazina e seus sais inorgânicos</t>
  </si>
  <si>
    <t>Hidroxilamina e seus sais inorgânicos</t>
  </si>
  <si>
    <t>Óxido</t>
  </si>
  <si>
    <t>Pentóxido de divanádio</t>
  </si>
  <si>
    <t>Óxido niqueloso</t>
  </si>
  <si>
    <t>Óxido cúprico, com teor de CuO superior ou igual a 98%, em peso</t>
  </si>
  <si>
    <t>Óxidos de germânio</t>
  </si>
  <si>
    <t>Dióxido de zircônio</t>
  </si>
  <si>
    <t>Trióxido de molibdênio</t>
  </si>
  <si>
    <t>Trióxido de antimônio</t>
  </si>
  <si>
    <t>Óxido de cádmio</t>
  </si>
  <si>
    <t xml:space="preserve">Trióxido de tungstênio  volfrâmio </t>
  </si>
  <si>
    <t>Trifluoreto de cromo</t>
  </si>
  <si>
    <t>Fluoreto ácido de amônio</t>
  </si>
  <si>
    <t>Fluoroaluminato de potássio</t>
  </si>
  <si>
    <t>Fluorossilicatos de sódio ou de potássio</t>
  </si>
  <si>
    <t>Com teor de CaCl2 superior ou igual a 98%, em peso, em base seca</t>
  </si>
  <si>
    <t>Com teor de MgCl2 inferior a 98%, em peso, e de cálcio  Ca  inferior ou igual a 0,5%, em peso</t>
  </si>
  <si>
    <t xml:space="preserve">De cobre I  cloreto cuproso ou monocloreto de cobre </t>
  </si>
  <si>
    <t>De titânio</t>
  </si>
  <si>
    <t>De zircônio</t>
  </si>
  <si>
    <t>De antimônio</t>
  </si>
  <si>
    <t>De lítio</t>
  </si>
  <si>
    <t>De bismuto</t>
  </si>
  <si>
    <t>De cádmio</t>
  </si>
  <si>
    <t>De césio</t>
  </si>
  <si>
    <t>De cromo</t>
  </si>
  <si>
    <t>De estrôncio</t>
  </si>
  <si>
    <t>De manganês</t>
  </si>
  <si>
    <t>De ferro</t>
  </si>
  <si>
    <t>De cobalto</t>
  </si>
  <si>
    <t>De zinco</t>
  </si>
  <si>
    <t>Oxicloretos</t>
  </si>
  <si>
    <t>Hidroxicloretos</t>
  </si>
  <si>
    <t>De alumínio</t>
  </si>
  <si>
    <t>De sódio</t>
  </si>
  <si>
    <t>De potássio</t>
  </si>
  <si>
    <t>Clorito de sódio</t>
  </si>
  <si>
    <t>De cálcio</t>
  </si>
  <si>
    <t>Periodatos</t>
  </si>
  <si>
    <t>Percloratos</t>
  </si>
  <si>
    <t>De dissódio</t>
  </si>
  <si>
    <t xml:space="preserve">De monossódio  hidrogenossulfeto de sódio </t>
  </si>
  <si>
    <t xml:space="preserve">De molibdênio IV  dissulfeto de molibdênio </t>
  </si>
  <si>
    <t>De bário</t>
  </si>
  <si>
    <t>De chumbo</t>
  </si>
  <si>
    <t>Polissulfetos</t>
  </si>
  <si>
    <t>Estabilizados</t>
  </si>
  <si>
    <t>Estabilizados com formaldeído</t>
  </si>
  <si>
    <t>Ditionito de zinco</t>
  </si>
  <si>
    <t>De amônio</t>
  </si>
  <si>
    <t>Anidro</t>
  </si>
  <si>
    <t>Cuproso</t>
  </si>
  <si>
    <t>Cúprico</t>
  </si>
  <si>
    <t>Com teor de BaSO4 superior ou igual a 97,5%, em peso</t>
  </si>
  <si>
    <t>Sulfato ferroso</t>
  </si>
  <si>
    <t>Neutro de chumbo</t>
  </si>
  <si>
    <t>Com teor de KNO3 inferior ou igual a 98%, em peso</t>
  </si>
  <si>
    <t>De cálcio, com teor de nitrogênio  azoto  inferior ou igual a 16%, em peso</t>
  </si>
  <si>
    <t>Dibásico de chumbo</t>
  </si>
  <si>
    <t>De cobre</t>
  </si>
  <si>
    <t>De triamônio</t>
  </si>
  <si>
    <t>De trissódio</t>
  </si>
  <si>
    <t xml:space="preserve">Grau alimentício, de acordo com o estabelecido pela Food and Agriculture Organization - Organização Mundial da Saúde  FAO - OMS  ou pelo Food Chemical Codex  FCC </t>
  </si>
  <si>
    <t>Metafosfatos de sódio</t>
  </si>
  <si>
    <t>Pirofosfatos de sódio</t>
  </si>
  <si>
    <t>Pirofosfato de zinco</t>
  </si>
  <si>
    <t>De magnésio, de densidade aparente inferior a 200 kg/m3</t>
  </si>
  <si>
    <t>De amônio comercial e outros carbonatos de amônio</t>
  </si>
  <si>
    <t xml:space="preserve">Peroxocarbonatos  percarbonatos </t>
  </si>
  <si>
    <t xml:space="preserve">De cobre I  cianeto cuproso </t>
  </si>
  <si>
    <t xml:space="preserve">De cobre II  cianeto cúprico </t>
  </si>
  <si>
    <t>Oxicianetos</t>
  </si>
  <si>
    <t xml:space="preserve">De ferro II  ferrocianeto ferroso </t>
  </si>
  <si>
    <t xml:space="preserve">De ferro II  ferricianeto ferroso </t>
  </si>
  <si>
    <t xml:space="preserve">De ferro III  ferricianeto férrico </t>
  </si>
  <si>
    <t>De magnésio</t>
  </si>
  <si>
    <t>Cromato de amônio, dicromato de amônio</t>
  </si>
  <si>
    <t>Cromato de potássio</t>
  </si>
  <si>
    <t>Cromato de sódio</t>
  </si>
  <si>
    <t>Dicromato de potássio</t>
  </si>
  <si>
    <t>Cromato de zinco</t>
  </si>
  <si>
    <t>Cromato de chumbo</t>
  </si>
  <si>
    <t>Peroxocromatos</t>
  </si>
  <si>
    <t>Manganitos</t>
  </si>
  <si>
    <t>Manganatos</t>
  </si>
  <si>
    <t>Permanganatos</t>
  </si>
  <si>
    <t>De bário ou de bismuto</t>
  </si>
  <si>
    <t>De cálcio ou de estrôncio</t>
  </si>
  <si>
    <t>De lantânio ou de neodímio</t>
  </si>
  <si>
    <t>Ferrito de bário</t>
  </si>
  <si>
    <t>Ferrito de estrôncio</t>
  </si>
  <si>
    <t>Vanadatos</t>
  </si>
  <si>
    <t>Plumbatos</t>
  </si>
  <si>
    <t>Antimoniatos</t>
  </si>
  <si>
    <t>Zincatos</t>
  </si>
  <si>
    <t>Zeólitas dos tipos utilizados como trocadores de íons para o tratamento de águas</t>
  </si>
  <si>
    <t>Vitelinato de prata</t>
  </si>
  <si>
    <t>Sulfeto de ouro em dispersão de gelatina</t>
  </si>
  <si>
    <t>Apresentados como medicamentos</t>
  </si>
  <si>
    <t>-Urânio natural e seus compostos, ligas, dispersões  incluindo os ceramais  cermets  , produtos cerâmicos e misturas que contenham urânio natural ou compostos de urânio natural</t>
  </si>
  <si>
    <t>-Urânio enriquecido em U235 e seus compostos, plutônio e seus compostos, ligas, dispersões  incluindo os ceramais  cermets  , produtos cerâmicos e misturas que contenham urânio enriquecido em U235, plutônio ou compostos destes produtos</t>
  </si>
  <si>
    <t>-Urânio empobrecido em U235 e seus compostos, tório e seus compostos, ligas, dispersões  incluindo os ceramais  cermets  , produtos cerâmicos e misturas que contenham urânio empobrecido em U235, tório ou compostos destes produtos</t>
  </si>
  <si>
    <t xml:space="preserve">Molibdênio 99 absorvido em alumina, apto para a obtenção de Tecnécio 99  reativo de diagnóstico para medicina nuclear </t>
  </si>
  <si>
    <t>Cobalto 60</t>
  </si>
  <si>
    <t>Iodo 131</t>
  </si>
  <si>
    <t>Óxido cérico</t>
  </si>
  <si>
    <t>Óxido de praseodímio</t>
  </si>
  <si>
    <t>Cloretos dos demais metais das terras raras</t>
  </si>
  <si>
    <t>Gadopentetato de dimeglumina</t>
  </si>
  <si>
    <t>Peróxido de hidrogênio  água oxigenada , mesmo solidificado com ureia.</t>
  </si>
  <si>
    <t>De cobre  fosfetos de cobre , contendo mais de 15%, em peso, de fósforo</t>
  </si>
  <si>
    <t>De boro</t>
  </si>
  <si>
    <t>De tântalo</t>
  </si>
  <si>
    <t xml:space="preserve">De tungstênio  volfrâmio </t>
  </si>
  <si>
    <t>Nitreto de boro</t>
  </si>
  <si>
    <t>Silicieto de cálcio</t>
  </si>
  <si>
    <t xml:space="preserve">Cloreto de mercúrio I  cloreto mercuroso </t>
  </si>
  <si>
    <t>Cloreto de mercúrio II  cloreto mercúrico , para uso fotográfico, acondicionado para venda a retalho, pronto para utilização</t>
  </si>
  <si>
    <t>Cloreto de mercúrio II  cloreto mercúrico , apresentado de outro modo</t>
  </si>
  <si>
    <t>Acetato de mercúrio</t>
  </si>
  <si>
    <t>Timerosal</t>
  </si>
  <si>
    <t>Estearato de mercúrio</t>
  </si>
  <si>
    <t>Lactato de mercúrio</t>
  </si>
  <si>
    <t>Salicilato de mercúrio</t>
  </si>
  <si>
    <t>Cianamida e seus derivados metálicos</t>
  </si>
  <si>
    <t>Sulfocloretos de fósforo</t>
  </si>
  <si>
    <t>Cloreto de cianogênio</t>
  </si>
  <si>
    <t>Ex 01 - Ar comprimido</t>
  </si>
  <si>
    <t>Buta-1,3-dieno</t>
  </si>
  <si>
    <t>Isopreno</t>
  </si>
  <si>
    <t>Limoneno</t>
  </si>
  <si>
    <t xml:space="preserve">Difenila  1,1 -bifenila </t>
  </si>
  <si>
    <t>Naftaleno</t>
  </si>
  <si>
    <t>Antraceno</t>
  </si>
  <si>
    <t>alfa-Metilestireno</t>
  </si>
  <si>
    <t xml:space="preserve">Clorometano  cloreto de metila </t>
  </si>
  <si>
    <t xml:space="preserve">Cloroetano  cloreto de etila </t>
  </si>
  <si>
    <t xml:space="preserve">--Dicloreto de etileno  ISO   1,2-dicloroetano </t>
  </si>
  <si>
    <t xml:space="preserve">1,1,1-Tricloroetano  metilclorofórmio </t>
  </si>
  <si>
    <t>1,1,2-Tricloroetano</t>
  </si>
  <si>
    <t xml:space="preserve">--Dibrometo de etileno  ISO   1,2-dibromoetano </t>
  </si>
  <si>
    <t>1,1,1,2-Tetrafluoroetano</t>
  </si>
  <si>
    <t>1,1,3,3,3-Pentafluoro-2- trifluorometil prop-1-eno</t>
  </si>
  <si>
    <t>Bromometano</t>
  </si>
  <si>
    <t>Iodoetano</t>
  </si>
  <si>
    <t>Iodofórmio</t>
  </si>
  <si>
    <t>--Bromoclorodifluorometano, bromotrifluorometano e dibromotetrafluorometanos</t>
  </si>
  <si>
    <t>Triclorofluorometano</t>
  </si>
  <si>
    <t>Diclorodifluorometano</t>
  </si>
  <si>
    <t>Clorotrifluorometano</t>
  </si>
  <si>
    <t>Triclorotrifluoroetanos</t>
  </si>
  <si>
    <t>Diclorotetrafluoroetanos e cloropentafluoroetano</t>
  </si>
  <si>
    <t>Pentaclorofluoroetano</t>
  </si>
  <si>
    <t>Tetraclorodifluoroetanos</t>
  </si>
  <si>
    <t>Heptaclorofluoropropanos</t>
  </si>
  <si>
    <t>Hexaclorodifluoropropanos</t>
  </si>
  <si>
    <t>Pentaclorotrifluoropropanos</t>
  </si>
  <si>
    <t>Tetraclorotetrafluoropropanos</t>
  </si>
  <si>
    <t>Tricloropentafluoropropanos</t>
  </si>
  <si>
    <t>Dicloroexafluoropropanos</t>
  </si>
  <si>
    <t>Cloroeptafluoropropanos</t>
  </si>
  <si>
    <t>Clorofluoroetanos</t>
  </si>
  <si>
    <t>Clorotetrafluoroetanos</t>
  </si>
  <si>
    <t>Derivados do metano, etano ou propano, halogenados unicamente com flúor e bromo</t>
  </si>
  <si>
    <t>Halotano</t>
  </si>
  <si>
    <t>Lindano</t>
  </si>
  <si>
    <t>Aldrin</t>
  </si>
  <si>
    <t>Clordano</t>
  </si>
  <si>
    <t>Heptacloro</t>
  </si>
  <si>
    <t xml:space="preserve">Mirex  dodecacloro </t>
  </si>
  <si>
    <t>Clorobenzeno</t>
  </si>
  <si>
    <t>o-Diclorobenzeno</t>
  </si>
  <si>
    <t>p-Diclorobenzeno</t>
  </si>
  <si>
    <t>Hexaclorobenzeno</t>
  </si>
  <si>
    <t>DDT</t>
  </si>
  <si>
    <t>Cloreto de benzila</t>
  </si>
  <si>
    <t>p-Clorotolueno</t>
  </si>
  <si>
    <t>Cloreto de neofila</t>
  </si>
  <si>
    <t>Triclorobenzenos</t>
  </si>
  <si>
    <t>Cloronaftalenos</t>
  </si>
  <si>
    <t>Cloreto de benzilideno</t>
  </si>
  <si>
    <t>Cloretos de xilila</t>
  </si>
  <si>
    <t xml:space="preserve">Bifenilas policloradas  PCB , terfenilas policloradas  PCT </t>
  </si>
  <si>
    <t>Bromobenzeno</t>
  </si>
  <si>
    <t>Brometos de xilila</t>
  </si>
  <si>
    <t>Bromodifenilmetano</t>
  </si>
  <si>
    <t xml:space="preserve">Bifenilas polibromadas  PBB </t>
  </si>
  <si>
    <t>4-Cloro-alfa,alfa,alfa-trifluortolueno</t>
  </si>
  <si>
    <t>Ácido metanossulfônico</t>
  </si>
  <si>
    <t>Metanossulfonato de chumbo</t>
  </si>
  <si>
    <t>Metanossulfonato de estanho</t>
  </si>
  <si>
    <t>Ácido dodecilbenzenossulfônico e seus sais</t>
  </si>
  <si>
    <t>Ácidos toluenossulfônicos, ácidos xilenossulfônicos, sais destes ácidos</t>
  </si>
  <si>
    <t>Ácido etanossulfônico, ácido etilenossulfônico</t>
  </si>
  <si>
    <t>Naftalenossulfonatos de sódio</t>
  </si>
  <si>
    <t>Ácido beta-naftalenossulfônico</t>
  </si>
  <si>
    <t>Ácidos alquil- e dialquilnaftalenossulfônicos, sais destes ácidos</t>
  </si>
  <si>
    <t>Ácido benzenossulfônico e seus sais</t>
  </si>
  <si>
    <t xml:space="preserve">Mononitrotoluenos  MNT </t>
  </si>
  <si>
    <t>Nitropropanos</t>
  </si>
  <si>
    <t>Dinitrotoluenos</t>
  </si>
  <si>
    <t xml:space="preserve">2,4,6-Trinitrotolueno  TNT </t>
  </si>
  <si>
    <t>Nitrobenzeno</t>
  </si>
  <si>
    <t>1,3,5-Trinitrobenzeno</t>
  </si>
  <si>
    <t>Derivados nitrados do xileno</t>
  </si>
  <si>
    <t>Mononitroetano, nitrometanos</t>
  </si>
  <si>
    <t>1-Cloro-4-nitrobenzeno</t>
  </si>
  <si>
    <t>1-Cloro-2,4-dinitrobenzeno</t>
  </si>
  <si>
    <t>2-Cloro-1,3-dinitrobenzeno</t>
  </si>
  <si>
    <t>4-Cloro-alfa,alfa,alfa-trifluor-3,5-dinitrotolueno</t>
  </si>
  <si>
    <t>o-Nitroclorobenzeno, m-nitroclorobenzeno</t>
  </si>
  <si>
    <t>1,2-Dicloro-4-nitrobenzeno</t>
  </si>
  <si>
    <t xml:space="preserve">Tricloronitrometano  cloropicrina </t>
  </si>
  <si>
    <t>Ácidos dinitroestilbenodissulfônicos</t>
  </si>
  <si>
    <t xml:space="preserve">Cloreto de p-toluenossulfonila  cloreto de tosila </t>
  </si>
  <si>
    <t>Cloreto de o-toluenossulfonila</t>
  </si>
  <si>
    <t>Álcool propílico</t>
  </si>
  <si>
    <t>Álcool isopropílico</t>
  </si>
  <si>
    <t xml:space="preserve">Álcool isobutílico  2-metil-1-propanol </t>
  </si>
  <si>
    <t xml:space="preserve">Álcool sec-butílico  2-butanol </t>
  </si>
  <si>
    <t xml:space="preserve">Álcool ter-butílico  2-metil-2-propanol </t>
  </si>
  <si>
    <t>Álcool láurico</t>
  </si>
  <si>
    <t>Álcool cetílico</t>
  </si>
  <si>
    <t>Álcool esteárico</t>
  </si>
  <si>
    <t>n-Decanol</t>
  </si>
  <si>
    <t>Isodecanol</t>
  </si>
  <si>
    <t>Etilato de magnésio</t>
  </si>
  <si>
    <t>Metilato de sódio</t>
  </si>
  <si>
    <t>Etilato de sódio</t>
  </si>
  <si>
    <t>4-Metilpentan-2-ol</t>
  </si>
  <si>
    <t>Isononanol</t>
  </si>
  <si>
    <t>Isotridecanol</t>
  </si>
  <si>
    <t xml:space="preserve">Tetraidrolinalol  3,7-dimetiloctan-3-ol </t>
  </si>
  <si>
    <t xml:space="preserve">3,3-Dimetilbutan-2-ol  álcool pinacolílico </t>
  </si>
  <si>
    <t>Pentanol  álcool amílico  e seus isômeros</t>
  </si>
  <si>
    <t>Linalol</t>
  </si>
  <si>
    <t>Geraniol</t>
  </si>
  <si>
    <t xml:space="preserve">Diidromircenol  2,6-dimetil-7-octen-2-ol </t>
  </si>
  <si>
    <t>Álcool alílico</t>
  </si>
  <si>
    <t xml:space="preserve">2-Metil-2,4-pentanodiol  hexilenoglicol </t>
  </si>
  <si>
    <t xml:space="preserve">Trimetilenoglicol  1,3-propanodiol </t>
  </si>
  <si>
    <t xml:space="preserve">1,3-Butilenoglicol  1,3-butanodiol </t>
  </si>
  <si>
    <t>Hidrato de cloral</t>
  </si>
  <si>
    <t>--Cicloexanol, metilcicloexanóis e dimetilcicloexanóis</t>
  </si>
  <si>
    <t>Derivados do mentol</t>
  </si>
  <si>
    <t>Borneol, isoborneol</t>
  </si>
  <si>
    <t>Terpina e seu hidrato</t>
  </si>
  <si>
    <t xml:space="preserve">Álcool fenchílico  1,3,3-trimetil-2-norbornanol </t>
  </si>
  <si>
    <t>Terpineóis</t>
  </si>
  <si>
    <t>2-Feniletanol</t>
  </si>
  <si>
    <t>Dicofol</t>
  </si>
  <si>
    <t>--Octilfenol, nonilfenol, e seus isômeros, sais destes produtos</t>
  </si>
  <si>
    <t>beta-Naftol e seus sais</t>
  </si>
  <si>
    <t>2,6-Di-ter-butil-p-cresol e seus sais</t>
  </si>
  <si>
    <t>o-Fenilfenol e seus sais</t>
  </si>
  <si>
    <t>p-ter-Butilfenol e seus sais</t>
  </si>
  <si>
    <t>Xilenóis e seus sais</t>
  </si>
  <si>
    <t>--4,4 -Isopropilidenodifenol  bisfenol A, difenilolpropano  e seus sais</t>
  </si>
  <si>
    <t>4-Cloro-m-cresol e seus sais</t>
  </si>
  <si>
    <t>Diclorofenóis e seus sais</t>
  </si>
  <si>
    <t>p-Clorofenol</t>
  </si>
  <si>
    <t>Triclorofenóis e seus sais</t>
  </si>
  <si>
    <t>Tetraclorofenóis e seus sais</t>
  </si>
  <si>
    <t>2,4,6-Tribromofenol</t>
  </si>
  <si>
    <t>p-Nitrofenol e seus sais</t>
  </si>
  <si>
    <t>Ácido pícrico</t>
  </si>
  <si>
    <t>Disofenol</t>
  </si>
  <si>
    <t>Derivados sulfonados do fenol, seus sais e seus ésteres</t>
  </si>
  <si>
    <t xml:space="preserve">Éter metil-ter-butílico  MTBE </t>
  </si>
  <si>
    <t>-Éteres ciclânicos, ciclênicos, cicloterpênicos e seus derivados halogenados, sulfonados, nitrados ou nitrosados</t>
  </si>
  <si>
    <t>Anetol</t>
  </si>
  <si>
    <t xml:space="preserve">Éter difenílico  éter fenílico </t>
  </si>
  <si>
    <t xml:space="preserve">Éter dibenzílico  éter benzílico </t>
  </si>
  <si>
    <t>Éter feniletil-isoamílico</t>
  </si>
  <si>
    <t>Oxifluorfeno</t>
  </si>
  <si>
    <t>Do etilenoglicol</t>
  </si>
  <si>
    <t>Do dietilenoglicol</t>
  </si>
  <si>
    <t>Éter etílico</t>
  </si>
  <si>
    <t>Éter isobutílico</t>
  </si>
  <si>
    <t>Éter hexílico</t>
  </si>
  <si>
    <t>Guaifenesina</t>
  </si>
  <si>
    <t>Trietilenoglicol</t>
  </si>
  <si>
    <t>Tetraetilenoglicol</t>
  </si>
  <si>
    <t>Pentaetilenoglicol e seus éteres</t>
  </si>
  <si>
    <t>Éter fenílico do etilenoglicol</t>
  </si>
  <si>
    <t>Dipropilenoglicol</t>
  </si>
  <si>
    <t>Éteres do mono-, di- e tripropilenoglicol</t>
  </si>
  <si>
    <t>Éter etílico do butilenoglicol</t>
  </si>
  <si>
    <t>Álcoois fenoxibenzílicos</t>
  </si>
  <si>
    <t>Triclosan</t>
  </si>
  <si>
    <t>Eugenol</t>
  </si>
  <si>
    <t>Isoeugenol</t>
  </si>
  <si>
    <t>De diisopropilbenzeno</t>
  </si>
  <si>
    <t>De ter-butila</t>
  </si>
  <si>
    <t>De p-mentano</t>
  </si>
  <si>
    <t>Peróxidos</t>
  </si>
  <si>
    <t xml:space="preserve">-Dieldrin  ISO, DCI </t>
  </si>
  <si>
    <t>Óxido de estireno</t>
  </si>
  <si>
    <t>Endrin</t>
  </si>
  <si>
    <t>Dimetilacetal do 2-nitrobenzaldeído</t>
  </si>
  <si>
    <t>Glioxal</t>
  </si>
  <si>
    <t>Glutaraldeído</t>
  </si>
  <si>
    <t>Citral</t>
  </si>
  <si>
    <t xml:space="preserve">Citronelal  3,7-dimetil-6-octenal </t>
  </si>
  <si>
    <t xml:space="preserve">Bergamal  3,7-dimetil-2-metileno-6-octenal </t>
  </si>
  <si>
    <t>Heptanal</t>
  </si>
  <si>
    <t>Aldeído alfa-amilcinâmico</t>
  </si>
  <si>
    <t>Aldeído alfa-hexilcinâmico</t>
  </si>
  <si>
    <t>3-Fenoxibenzaldeído</t>
  </si>
  <si>
    <t>3-Hidroxibenzaldeído</t>
  </si>
  <si>
    <t>3,4,5-Trimetoxibenzaldeído</t>
  </si>
  <si>
    <t>4- 4-Hidroxi-4-metilpentil -3-cicloexeno-1-carboxialdeído</t>
  </si>
  <si>
    <t>Tricloroacetaldeído</t>
  </si>
  <si>
    <t>Forona</t>
  </si>
  <si>
    <t>Acetilacetona</t>
  </si>
  <si>
    <t>Acetonilacetona</t>
  </si>
  <si>
    <t>Diacetila</t>
  </si>
  <si>
    <t>Metilexilcetona</t>
  </si>
  <si>
    <t>Pseudoiononas</t>
  </si>
  <si>
    <t>Metilisopropilcetona</t>
  </si>
  <si>
    <t>Cicloexanona</t>
  </si>
  <si>
    <t>Metilcicloexanonas</t>
  </si>
  <si>
    <t>Iononas</t>
  </si>
  <si>
    <t>Metiliononas</t>
  </si>
  <si>
    <t>Carvona</t>
  </si>
  <si>
    <t>1-Mentona</t>
  </si>
  <si>
    <t>Acetofenona</t>
  </si>
  <si>
    <t xml:space="preserve">4-Hidroxi-4-metilpentan-2-ona  diacetona álcool </t>
  </si>
  <si>
    <t>Benzoína</t>
  </si>
  <si>
    <t>Nabumetona</t>
  </si>
  <si>
    <t xml:space="preserve">1,8-Diidroxi-3-metil-9-antrona e sua forma enólica  crisarobina ou chrysarobin </t>
  </si>
  <si>
    <t>Lapachol</t>
  </si>
  <si>
    <t>Menadiona</t>
  </si>
  <si>
    <t>1-Cloro-5-hexanona</t>
  </si>
  <si>
    <t>Bissulfito sódico de menadiona</t>
  </si>
  <si>
    <t xml:space="preserve">Ácido 2-hidroxi-4-metoxibenzofenona-5-sulfônico  sulisobenzona </t>
  </si>
  <si>
    <t>De geranila</t>
  </si>
  <si>
    <t>Acetato de sódio</t>
  </si>
  <si>
    <t>Acetatos de cobalto</t>
  </si>
  <si>
    <t>Acetato de linalila</t>
  </si>
  <si>
    <t>Triacetina</t>
  </si>
  <si>
    <t>De n-propila</t>
  </si>
  <si>
    <t>Acetato de 2-etoxietila</t>
  </si>
  <si>
    <t>De decila</t>
  </si>
  <si>
    <t>De hexenila</t>
  </si>
  <si>
    <t>De benzestrol</t>
  </si>
  <si>
    <t>De dienoestrol</t>
  </si>
  <si>
    <t>De hexestrol</t>
  </si>
  <si>
    <t>De mestilbol</t>
  </si>
  <si>
    <t>De estilbestrol</t>
  </si>
  <si>
    <t>De tricloro-alfa-feniletila</t>
  </si>
  <si>
    <t>De triclorometilfenilcarbinila</t>
  </si>
  <si>
    <t xml:space="preserve">Diacetato de etilenoglicol  diacetato de etileno </t>
  </si>
  <si>
    <t>De 2-ter-butilcicloexila</t>
  </si>
  <si>
    <t>De bornila</t>
  </si>
  <si>
    <t>De dimetilbenzilcarbinila</t>
  </si>
  <si>
    <t xml:space="preserve">Bis p-acetoxifenil cicloexilidenometano  ciclofenil </t>
  </si>
  <si>
    <t>Ácido monocloroacético</t>
  </si>
  <si>
    <t>Monocloroacetato de sódio</t>
  </si>
  <si>
    <t>Ácido propiônico</t>
  </si>
  <si>
    <t>Sais</t>
  </si>
  <si>
    <t>Ésteres</t>
  </si>
  <si>
    <t>Ácidos butanóicos e seus sais</t>
  </si>
  <si>
    <t>Butanoato de etila</t>
  </si>
  <si>
    <t>Ácido piválico</t>
  </si>
  <si>
    <t>Ácido palmítico</t>
  </si>
  <si>
    <t>Ácido esteárico</t>
  </si>
  <si>
    <t>Ésteres do ácido esteárico</t>
  </si>
  <si>
    <t>Cloreto de cloroacetila</t>
  </si>
  <si>
    <t xml:space="preserve">Ácido 2-etilexanóico  ácido 2-etilexóico </t>
  </si>
  <si>
    <t>2-Etilexanoato de estanho II</t>
  </si>
  <si>
    <t>Di 2-etilexanoato  de trietilenoglicol</t>
  </si>
  <si>
    <t>Cloreto de 2-etilexanoíla</t>
  </si>
  <si>
    <t>Ácido mirístico</t>
  </si>
  <si>
    <t>Ácido caprílico</t>
  </si>
  <si>
    <t>Miristato de isopropila</t>
  </si>
  <si>
    <t>Ácido láurico</t>
  </si>
  <si>
    <t>Sais e ésteres</t>
  </si>
  <si>
    <t>Peróxidos de ácidos</t>
  </si>
  <si>
    <t>Perácidos</t>
  </si>
  <si>
    <t>Ácido acrílico</t>
  </si>
  <si>
    <t>De metila</t>
  </si>
  <si>
    <t>De etila</t>
  </si>
  <si>
    <t>De butila</t>
  </si>
  <si>
    <t>De 2-etilexila</t>
  </si>
  <si>
    <t>Ácido metacrílico</t>
  </si>
  <si>
    <t>De n-butila</t>
  </si>
  <si>
    <t>Oleato de manitol</t>
  </si>
  <si>
    <t>Ácido linoleico, ácido linolênico, seus sais e seus ésteres</t>
  </si>
  <si>
    <t>Sorbato de potássio</t>
  </si>
  <si>
    <t>Ácido undecilênico</t>
  </si>
  <si>
    <t>Undecilenato de metila</t>
  </si>
  <si>
    <t>Undecilenato de zinco</t>
  </si>
  <si>
    <t>Ácido 3- 2,2-dibromovinil -2,2-dimetilciclopropanocarboxílico</t>
  </si>
  <si>
    <t xml:space="preserve">Cloreto do ácido 3- 2,2-diclorovinil -2,2-dimetilciclopropanocarboxílico  DVO </t>
  </si>
  <si>
    <t>Aletrinas</t>
  </si>
  <si>
    <t>Permetrina</t>
  </si>
  <si>
    <t>Bifentrin</t>
  </si>
  <si>
    <t>Ácido benzóico</t>
  </si>
  <si>
    <t>De benzila</t>
  </si>
  <si>
    <t>Peróxido de benzoíla</t>
  </si>
  <si>
    <t>Cloreto de benzoíla</t>
  </si>
  <si>
    <t>Cloreto de 4-cloro-alfa- 1-metiletil benzenoacetila</t>
  </si>
  <si>
    <t>Ácido 4-cloro-3-nitrobenzóico</t>
  </si>
  <si>
    <t>Perbenzoato de ter-butila</t>
  </si>
  <si>
    <t>Ácido oxálico e seus sais</t>
  </si>
  <si>
    <t>Ácido adípico</t>
  </si>
  <si>
    <t>Ácido azeláico, seus sais e seus ésteres</t>
  </si>
  <si>
    <t>Ácido sebácico</t>
  </si>
  <si>
    <t>Sebacato de dibutila</t>
  </si>
  <si>
    <t>Sebacato de dioctila</t>
  </si>
  <si>
    <t>Dioctilsulfossuccinato de sódio</t>
  </si>
  <si>
    <t>Ácido maléico</t>
  </si>
  <si>
    <t>Ácido fumárico, seus sais e seus ésteres</t>
  </si>
  <si>
    <t>-Ácidos policarboxílicos ciclânicos, ciclênicos ou cicloterpênicos, seus anidridos, halogenetos, peróxidos, perácidos e seus derivados</t>
  </si>
  <si>
    <t>Ácido ortoftálico e seus sais</t>
  </si>
  <si>
    <t>De dioctila</t>
  </si>
  <si>
    <t xml:space="preserve">Sais e ésteres do ácido trimelítico  sais e ésteres do ácido 1,2,4-benzenotricarboxílico </t>
  </si>
  <si>
    <t xml:space="preserve">Anidrido trimelítico  ácido 1,3-dioxo-5-isobenzofuranocarboxílico </t>
  </si>
  <si>
    <t>--Ácido láctico, seus sais e seus ésteres</t>
  </si>
  <si>
    <t>Gluconato de cálcio</t>
  </si>
  <si>
    <t>Bromopropilato</t>
  </si>
  <si>
    <t xml:space="preserve">Ursodiol  ácido ursodeoxicólico </t>
  </si>
  <si>
    <t>Ácido quenodeoxicólico</t>
  </si>
  <si>
    <t>Ácido 12-hidroxiesteárico</t>
  </si>
  <si>
    <t>Ácido benzílico</t>
  </si>
  <si>
    <t>Ácido salicílico</t>
  </si>
  <si>
    <t>Ácido O-acetilsalicílico</t>
  </si>
  <si>
    <t>O-Acetilsalicilato de alumínio</t>
  </si>
  <si>
    <t>Ácidos hidroxinaftóicos</t>
  </si>
  <si>
    <t>Ácido p-hidroxibenzóico</t>
  </si>
  <si>
    <t>Metilparabeno</t>
  </si>
  <si>
    <t>Propilparabeno</t>
  </si>
  <si>
    <t>Ácido gálico, seus sais e seus ésteres</t>
  </si>
  <si>
    <t>Tetrakis 3- 3,5-di-ter-butil-4-hidroxifenil propionato  de pentaeritritila</t>
  </si>
  <si>
    <t>3- 3,5-Di-ter-butil-4-hidroxifenil propionato de octadecila</t>
  </si>
  <si>
    <t>Cetoprofeno</t>
  </si>
  <si>
    <t>Butirilacetato de metila</t>
  </si>
  <si>
    <t>Ácido deidrocólico</t>
  </si>
  <si>
    <t>Deidrocolato de sódio</t>
  </si>
  <si>
    <t>Deidrocolato de magnésio</t>
  </si>
  <si>
    <t>Acetilacetato de 2-nitrometilbenzilideno</t>
  </si>
  <si>
    <t>--2,4,5-T  ISO   ácido 2,4,5-triclorofenoxiacético , seus sais e seus ésteres</t>
  </si>
  <si>
    <t>Ácido fenoxiacético, seus sais e seus ésteres</t>
  </si>
  <si>
    <t>Ácido 2,4-diclorofenoxiacético  2,4-D , seus sais e seus ésteres</t>
  </si>
  <si>
    <t>Ácidos diclorofenoxibutanóicos, seus sais e seus ésteres</t>
  </si>
  <si>
    <t>Acifluorfen sódico</t>
  </si>
  <si>
    <t>Naproxeno</t>
  </si>
  <si>
    <t>Ácido 3- 2-cloro-alfa, alfa, alfa-trifluor-p-toliloxi benzóico</t>
  </si>
  <si>
    <t>Diclofop-metila</t>
  </si>
  <si>
    <t>Fenofibrato</t>
  </si>
  <si>
    <t>Ácidos metilclorofenoxiacéticos, seus sais e seus ésteres</t>
  </si>
  <si>
    <t xml:space="preserve">5- 2-Cloro-4-trifluorometilfenoxi -2-nitrobenzoato de 1 - carboetoxi etila  lactofen </t>
  </si>
  <si>
    <t>Ácido 4- 4-hidroxifenoxi -3,5-diiodofenilacético</t>
  </si>
  <si>
    <t xml:space="preserve">-Fosfato de tris 2,3-dibromopropila </t>
  </si>
  <si>
    <t>De tributila</t>
  </si>
  <si>
    <t>De tricresila</t>
  </si>
  <si>
    <t>De trifenila</t>
  </si>
  <si>
    <t xml:space="preserve">Diclorvós  DDVP </t>
  </si>
  <si>
    <t>Lactofosfato de cálcio</t>
  </si>
  <si>
    <t>Clorfenvinfós</t>
  </si>
  <si>
    <t xml:space="preserve">Paration  etil paration </t>
  </si>
  <si>
    <t xml:space="preserve">Paration-metila  metil paration </t>
  </si>
  <si>
    <t>Fenitrotion</t>
  </si>
  <si>
    <t>Cloreto de fosforotioato de dimetila</t>
  </si>
  <si>
    <t>De alquila de C3 a C13 ou de alquil-arila</t>
  </si>
  <si>
    <t>De difenila</t>
  </si>
  <si>
    <t>Outros, de arila</t>
  </si>
  <si>
    <t>Fosetil Al</t>
  </si>
  <si>
    <t xml:space="preserve">De tris 2,4-di-ter-butilfenila </t>
  </si>
  <si>
    <t>Endossulfan</t>
  </si>
  <si>
    <t>Propargite</t>
  </si>
  <si>
    <t>De propatila</t>
  </si>
  <si>
    <t>Nitroglicerina</t>
  </si>
  <si>
    <t xml:space="preserve">Tetranitrato de pentaeritritol  PETN, nitropenta, pentrita </t>
  </si>
  <si>
    <t>De alquila de C6 a C22</t>
  </si>
  <si>
    <t>De monoalquildietilenoglicol ou de monoalquiltrietilenoglicol</t>
  </si>
  <si>
    <t>Fosfitos de dimetila</t>
  </si>
  <si>
    <t>Fosfitos de trimetila</t>
  </si>
  <si>
    <t>Fosfitos de dietila</t>
  </si>
  <si>
    <t>Fosfitos de trietila</t>
  </si>
  <si>
    <t>Monometilamina</t>
  </si>
  <si>
    <t>Dimetilamina</t>
  </si>
  <si>
    <t>2,4-Diclorofenoxiacetato de dimetilamina</t>
  </si>
  <si>
    <t>Metilclorofenoxiacetato de dimetilamina</t>
  </si>
  <si>
    <t>Trimetilamina</t>
  </si>
  <si>
    <t>Cloridrato de trimetilamina</t>
  </si>
  <si>
    <t>Monoetilamina e seus sais</t>
  </si>
  <si>
    <t>Trietilamina</t>
  </si>
  <si>
    <t>Bis 2-cloroetil etilamina</t>
  </si>
  <si>
    <t xml:space="preserve">Triclormetina  DCI   tris 2-cloroetil amina </t>
  </si>
  <si>
    <t xml:space="preserve">Dietilamina e seus sais, exceto etansilato  ethamsylate </t>
  </si>
  <si>
    <t>Mono-n-propilamina e seus sais</t>
  </si>
  <si>
    <t>Di-n-propilamina e seus sais</t>
  </si>
  <si>
    <t>Monoisopropilamina e seus sais</t>
  </si>
  <si>
    <t>Diisopropilamina e seus sais</t>
  </si>
  <si>
    <t>Diisobutilamina e seus sais</t>
  </si>
  <si>
    <t>Metildialquilaminas</t>
  </si>
  <si>
    <t xml:space="preserve">Clormetina  DCI   bis 2-cloroetil metilamina </t>
  </si>
  <si>
    <t>N,N-Dialquil-2-cloroetilamina, com grupos alquila de C1 a C3, e seus sais protonados</t>
  </si>
  <si>
    <t>Mucato de isometepteno</t>
  </si>
  <si>
    <t>Dietilenotriamina e seus sais</t>
  </si>
  <si>
    <t>Trietilenotetramina e seus sais</t>
  </si>
  <si>
    <t>Monocicloexilamina e seus sais</t>
  </si>
  <si>
    <t>Dicicloexilamina</t>
  </si>
  <si>
    <t>Propilexedrina</t>
  </si>
  <si>
    <t>Ácido sulfanílico e seus sais</t>
  </si>
  <si>
    <t>3,4-Dicloroanilina e seus sais</t>
  </si>
  <si>
    <t>4-Nitroanilina</t>
  </si>
  <si>
    <t>5-Cloro-2-nitroanilina</t>
  </si>
  <si>
    <t>o-Toluidina</t>
  </si>
  <si>
    <t>3-Nitro-4-toluidina e seus sais</t>
  </si>
  <si>
    <t>Trifluralina</t>
  </si>
  <si>
    <t>4-Cloro-2-toluidina</t>
  </si>
  <si>
    <t>Difenilamina e seus sais</t>
  </si>
  <si>
    <t>n-Octildifenilamina</t>
  </si>
  <si>
    <t>n-Nonildifenilamina</t>
  </si>
  <si>
    <t>--1-Naftilamina  alfa-naftilamina , 2-naftilamina  beta-naftilamina , e seus derivados, sais destes produtos</t>
  </si>
  <si>
    <t>Anfetamina e seus sais</t>
  </si>
  <si>
    <t>Benzofetamina e seus sais</t>
  </si>
  <si>
    <t>Dexanfetamina e seus sais</t>
  </si>
  <si>
    <t>Etilanfetamina e seus sais</t>
  </si>
  <si>
    <t>Fencanfamina e seus sais</t>
  </si>
  <si>
    <t>Fentermina e seus sais</t>
  </si>
  <si>
    <t>Lefetamina e seus sais</t>
  </si>
  <si>
    <t>Levanfetamina e seus sais</t>
  </si>
  <si>
    <t>Mefenorex e seus sais</t>
  </si>
  <si>
    <t>Cloridrato de fenfluramina</t>
  </si>
  <si>
    <t>2,4-Xilidina e seus sais</t>
  </si>
  <si>
    <t>Pendimetalina</t>
  </si>
  <si>
    <t>Sulfato de tranilcipromina</t>
  </si>
  <si>
    <t>m-Fenilenodiamina e seus sais</t>
  </si>
  <si>
    <t xml:space="preserve">Diaminotoluenos  toluilenodiaminas </t>
  </si>
  <si>
    <t>Derivados sulfonados das fenilenodiaminas e de seus derivados, sais destes produtos</t>
  </si>
  <si>
    <t>N,N -Di-sec-butil-p-fenilenodiamina</t>
  </si>
  <si>
    <t>N-Isopropil-N -fenil-p-fenilenodiamina</t>
  </si>
  <si>
    <t>N- 1,3-Dimetilbutil -N -fenil-p-fenilenodiamina</t>
  </si>
  <si>
    <t>N- 1,4-Dimetilpentil -N -fenil-p-fenilenodiamina</t>
  </si>
  <si>
    <t>N-Fenil-p-fenilenodiamina  4-aminodifenilamina  e seus sais</t>
  </si>
  <si>
    <t>3,3 -Diclorobenzidina</t>
  </si>
  <si>
    <t>4,4 -Diaminodifenilmetano</t>
  </si>
  <si>
    <t>4,4 -Diaminodifenilamina e seus sais</t>
  </si>
  <si>
    <t>Ácido 4,4 -diaminodifenilamino-2-sulfônico e seus sais</t>
  </si>
  <si>
    <t>Trietanolamina</t>
  </si>
  <si>
    <t>Monoisopropanolamina</t>
  </si>
  <si>
    <t>2,4-Diclorofenoxiacetato de triisopropanolamina</t>
  </si>
  <si>
    <t>2,4-Diclorofenoxiacetato de dimetilpropanolamina</t>
  </si>
  <si>
    <t>Citrato</t>
  </si>
  <si>
    <t>Cloridrato</t>
  </si>
  <si>
    <t>N,N-Dimetil-2-aminoetanol e seus sais protonados</t>
  </si>
  <si>
    <t>N,N-Dietil-2-aminoetanol e seus sais protonados</t>
  </si>
  <si>
    <t>Metildietanolamina e seus sais</t>
  </si>
  <si>
    <t>Etildietanolamina e seus sais</t>
  </si>
  <si>
    <t>1-p-Nitrofenil-2-amino-1,3-propanodiol</t>
  </si>
  <si>
    <t>Fumarato de benciclano</t>
  </si>
  <si>
    <t>Clembuterol  clenbuterol  e seu cloridrato</t>
  </si>
  <si>
    <t>Mirtecaína</t>
  </si>
  <si>
    <t>Tamoxifen e seu citrato</t>
  </si>
  <si>
    <t>p-Aminofenol</t>
  </si>
  <si>
    <t>Nitroanisidinas e seus sais</t>
  </si>
  <si>
    <t>Anfepramona</t>
  </si>
  <si>
    <t>Metadona e seus sais</t>
  </si>
  <si>
    <t>Normetadona e seus sais</t>
  </si>
  <si>
    <t>Aminoantraquinonas e seus sais</t>
  </si>
  <si>
    <t>Lisina</t>
  </si>
  <si>
    <t>Ácido glutâmico</t>
  </si>
  <si>
    <t>Tilidina</t>
  </si>
  <si>
    <t>Glicina e seus sais</t>
  </si>
  <si>
    <t>Ácido etilenodiaminotetracético  EDTA  e seus sais</t>
  </si>
  <si>
    <t>Ácido iminodiacético</t>
  </si>
  <si>
    <t>Ácido dietilenotriaminopentacético e seus sais</t>
  </si>
  <si>
    <t>alfa-Fenilglicina</t>
  </si>
  <si>
    <t>Cloridrato de cloreto de D - alfa-aminobenzenoacetila</t>
  </si>
  <si>
    <t>Diclofenaco de sódio</t>
  </si>
  <si>
    <t>Diclofenaco de potássio</t>
  </si>
  <si>
    <t>Diclofenaco de dietilamônio</t>
  </si>
  <si>
    <t>Diclofenaco</t>
  </si>
  <si>
    <t>Levodopa</t>
  </si>
  <si>
    <t>Metildopa</t>
  </si>
  <si>
    <t>Tartarato</t>
  </si>
  <si>
    <t>Propranolol e seus sais</t>
  </si>
  <si>
    <t xml:space="preserve">N- 1- Metoxicarbonil propen-2-il -alfa-amino-p-hidroxifenilacetato de sódio  NAPOH </t>
  </si>
  <si>
    <t>Betaína e seus sais</t>
  </si>
  <si>
    <t>Derivados da colina</t>
  </si>
  <si>
    <t>Cloreto de 3-cloro-2-hidroxipropiltrimetilamônio</t>
  </si>
  <si>
    <t>Halogenetos de alquil-trimetilamônio, com grupo alquila de C6 a C22</t>
  </si>
  <si>
    <t>Halogenetos de dialquil-dimetilamônio ou de alquil-benzil-dimetilamônio, com grupo alquila de C6 a C22</t>
  </si>
  <si>
    <t>Halogenetos de pentametil-alquil-propilenodiamônio, com grupo alquila de C6 a C22</t>
  </si>
  <si>
    <t>Fluoroacetamida</t>
  </si>
  <si>
    <t>Fosfamidona</t>
  </si>
  <si>
    <t>Monocrotofós</t>
  </si>
  <si>
    <t>2-Cloro-N-metilacetoacetamida</t>
  </si>
  <si>
    <t>N-Metilformamida</t>
  </si>
  <si>
    <t>N,N-Dimetilformamida</t>
  </si>
  <si>
    <t>Acrilamida</t>
  </si>
  <si>
    <t>Metacrilamidas</t>
  </si>
  <si>
    <t>Dicrotofós</t>
  </si>
  <si>
    <t>N,N -Dimetilureia</t>
  </si>
  <si>
    <t>Carisoprodol</t>
  </si>
  <si>
    <t xml:space="preserve">N,N - Diestearoil etilenodiamina  N,N -etilen-bis-estearamida </t>
  </si>
  <si>
    <t>Dietanolamidas de ácidos graxos de C12 a C18</t>
  </si>
  <si>
    <t>Hexanitrocarbanilidas</t>
  </si>
  <si>
    <t>Diuron</t>
  </si>
  <si>
    <t>--Ácido 2-acetamidobenzóico  ácido N-acetilantranílico  e seus sais</t>
  </si>
  <si>
    <t>Acetanilida</t>
  </si>
  <si>
    <t>4-Aminoacetanilida</t>
  </si>
  <si>
    <t xml:space="preserve">Acetaminofen  paracetamol </t>
  </si>
  <si>
    <t>Lidocaína e seu cloridrato</t>
  </si>
  <si>
    <t>2,5-Dimetoxiacetanilida</t>
  </si>
  <si>
    <t>Anilidas dos ácidos hidroxinaftóicos e seus derivados, sais destes produtos</t>
  </si>
  <si>
    <t>Carbaril</t>
  </si>
  <si>
    <t>Propoxur</t>
  </si>
  <si>
    <t>Teclozam</t>
  </si>
  <si>
    <t>Alaclor</t>
  </si>
  <si>
    <t>Atenolol, metolaclor</t>
  </si>
  <si>
    <t>Ácido ioxáglico</t>
  </si>
  <si>
    <t>Iodamida</t>
  </si>
  <si>
    <t>Cloreto do ácido p-acetamidobenzenossulfônico</t>
  </si>
  <si>
    <t>Ácido ioxitalâmico</t>
  </si>
  <si>
    <t>Metoclopramida e seu cloridrato</t>
  </si>
  <si>
    <t>Propanil</t>
  </si>
  <si>
    <t>Flutamida</t>
  </si>
  <si>
    <t>Prilocaína e seu cloridrato</t>
  </si>
  <si>
    <t>Iobitridol</t>
  </si>
  <si>
    <t>Aspartame</t>
  </si>
  <si>
    <t>Diflubenzuron</t>
  </si>
  <si>
    <t>Metalaxil</t>
  </si>
  <si>
    <t>Triflumuron</t>
  </si>
  <si>
    <t>Buclosamida</t>
  </si>
  <si>
    <t>Benzoato de denatônio</t>
  </si>
  <si>
    <t>Talidomida</t>
  </si>
  <si>
    <t>Aspartato de L-arginina</t>
  </si>
  <si>
    <t>Guanidina</t>
  </si>
  <si>
    <t>N,N -Difenilguanidina</t>
  </si>
  <si>
    <t>Clorexidina e seus sais</t>
  </si>
  <si>
    <t>Amitraz</t>
  </si>
  <si>
    <t>Isetionato de pentamidina</t>
  </si>
  <si>
    <t>N- 3,7-Dimetil-7-hidroxioctilideno antranilato de metila</t>
  </si>
  <si>
    <t>Fenproporex</t>
  </si>
  <si>
    <t>Intermediário da metadona</t>
  </si>
  <si>
    <t>Verapamil</t>
  </si>
  <si>
    <t>Álcool alfa-ciano-3-fenoxibenzílico</t>
  </si>
  <si>
    <t>Ciflutrin</t>
  </si>
  <si>
    <t>Cipermetrina</t>
  </si>
  <si>
    <t>Deltametrina</t>
  </si>
  <si>
    <t>Fenvalerato</t>
  </si>
  <si>
    <t xml:space="preserve">Cialotrin  cyhalothrin </t>
  </si>
  <si>
    <t>Sais de intermediário da metadona</t>
  </si>
  <si>
    <t xml:space="preserve">Adiponitrila  1,4-dicianobutano </t>
  </si>
  <si>
    <t xml:space="preserve">Cianidrina de acetona  acetona cianidrina </t>
  </si>
  <si>
    <t>Closantel</t>
  </si>
  <si>
    <t>Clorotalonil</t>
  </si>
  <si>
    <t>Cianoacrilatos de etila</t>
  </si>
  <si>
    <t>Compostos diazóicos</t>
  </si>
  <si>
    <t>Azodicarbonamida</t>
  </si>
  <si>
    <t>Compostos azóxicos</t>
  </si>
  <si>
    <t>Metiletilacetoxima</t>
  </si>
  <si>
    <t>Carbidopa</t>
  </si>
  <si>
    <t>2-Hidrazinoetanol</t>
  </si>
  <si>
    <t>Fenilidrazina</t>
  </si>
  <si>
    <t>Derivados</t>
  </si>
  <si>
    <t>Diisocianato de difenilmetano</t>
  </si>
  <si>
    <t>Mistura de isômeros</t>
  </si>
  <si>
    <t>Isocianato de 3,4-diclorofenila</t>
  </si>
  <si>
    <t>Dialogenetos de N,N-dialquilfosforoamidatos, com grupos alquila de C1 a C3</t>
  </si>
  <si>
    <t>N,N-Dialquilfosforoamidatos de dialquila, com grupos alquila de C1 a C3</t>
  </si>
  <si>
    <t>EPTC</t>
  </si>
  <si>
    <t>Cartap</t>
  </si>
  <si>
    <t xml:space="preserve">Tiobencarb  dietiltiocarbamato de S-4-clorobenzila </t>
  </si>
  <si>
    <t>Ziram, dimetilditiocarbamato de sódio</t>
  </si>
  <si>
    <t>Dietilditiocarbamato de zinco</t>
  </si>
  <si>
    <t>Dibutilditiocarbamato de zinco</t>
  </si>
  <si>
    <t>Metam sódio</t>
  </si>
  <si>
    <t>De tetrametiltiourama</t>
  </si>
  <si>
    <t>Sulfiram</t>
  </si>
  <si>
    <t>Thiram</t>
  </si>
  <si>
    <t>Dissulfiram</t>
  </si>
  <si>
    <t>DL-Metionina, com teor de cinzas sulfatadas superior a 0,1%, em peso</t>
  </si>
  <si>
    <t>Captafol</t>
  </si>
  <si>
    <t>Metamidofós</t>
  </si>
  <si>
    <t>Ácido tioglicólico e seus sais</t>
  </si>
  <si>
    <t>Cisteína</t>
  </si>
  <si>
    <t>N,N-Dialquil-2-aminoetanotiol, com grupos alquila de C1 a C3, e seus sais protonados</t>
  </si>
  <si>
    <t>Tioureia</t>
  </si>
  <si>
    <t>Tiofanato-Metila</t>
  </si>
  <si>
    <t>4-Metil-3-tiosemicarbazida</t>
  </si>
  <si>
    <t>2- Etiltio etanol, com uma concentração superior ou igual a 98%, em peso</t>
  </si>
  <si>
    <t>3- Metiltio propanal, aldicarb</t>
  </si>
  <si>
    <t>Clorotioformiato de S-etila</t>
  </si>
  <si>
    <t>Ácido 2-hidroxi-4- metiltio butanóico e seu sal cálcico</t>
  </si>
  <si>
    <t>Metomil</t>
  </si>
  <si>
    <t>Carbocisteína</t>
  </si>
  <si>
    <t>4-Sulfatoetilsulfonil-2,5-dimetoxianilina, 4-sulfatoetilsulfonil-2-metoxi-5-metilanilina, 4-sulfatoetilsulfonil-2-metoxianilina</t>
  </si>
  <si>
    <t xml:space="preserve">Tiodiglicol  DCI   sulfeto de bis 2-hidroxietila  </t>
  </si>
  <si>
    <t>Fosforotioato de O,O-dietila e de S-[2- dietilamino etila] e seus sais alquilados ou protonados</t>
  </si>
  <si>
    <t xml:space="preserve">Fosforotioato de O,O-dimetila e de S-[2- 1-metilcarbamoiletiltio -etila ]  vamidotion </t>
  </si>
  <si>
    <t xml:space="preserve">Fosforotioato de O- 4-bromo-2-clorofenila  O-etila e de S-propila  profenofós </t>
  </si>
  <si>
    <t>Forato</t>
  </si>
  <si>
    <t>Dissulfoton</t>
  </si>
  <si>
    <t>Etion</t>
  </si>
  <si>
    <t>Dimetoato</t>
  </si>
  <si>
    <t xml:space="preserve">Fosforoditioato de O,O-dimetila e de S-[2- etiltio etila]  tiometon </t>
  </si>
  <si>
    <t>Acefato</t>
  </si>
  <si>
    <t>Tiaprida</t>
  </si>
  <si>
    <t>Bicalutamida</t>
  </si>
  <si>
    <t>Sulfeto de 2-cloroetila e de clorometila</t>
  </si>
  <si>
    <t xml:space="preserve">Sulfeto de bis 2-cloroetila </t>
  </si>
  <si>
    <t>Bis 2-cloroetiltio metano</t>
  </si>
  <si>
    <t>1,2-Bis 2-cloroetiltio etano</t>
  </si>
  <si>
    <t>1,3-Bis 2-cloroetiltio -n-propano</t>
  </si>
  <si>
    <t>1,4-Bis 2-cloroetiltio -n-butano</t>
  </si>
  <si>
    <t>1,5-Bis 2-cloroetiltio -n-pentano</t>
  </si>
  <si>
    <t xml:space="preserve">Óxido de bis 2-cloroetiltiometila </t>
  </si>
  <si>
    <t xml:space="preserve">Óxido de bis 2-cloroetiltioetila </t>
  </si>
  <si>
    <t>Captan</t>
  </si>
  <si>
    <t>Metileno-bis-tiocianato</t>
  </si>
  <si>
    <t>Dimetiltiofosforamida</t>
  </si>
  <si>
    <t xml:space="preserve">Etilditiofosfonato de O-etila e de S-fenila  fonofós </t>
  </si>
  <si>
    <t>Hidrogênio alquil de C1 a C3 fosfonotioatos de [S-2- dialquil de C1 a C3 amino etila], seus ésteres de O-alquila  de até C10, incluindo os cicloalquila , sais alquilados ou protonados destes produtos</t>
  </si>
  <si>
    <t>Outros compostos que contenham um átomo de fósforo ligado a um grupo alquila  de C1 a C3 , sem outros átomos de carbono</t>
  </si>
  <si>
    <t xml:space="preserve">Ditiocarbonatos  xantatos e xantogenatos </t>
  </si>
  <si>
    <t>Bis trimetilsilil ureia</t>
  </si>
  <si>
    <t xml:space="preserve">Etefon, difenilfosfonato 4,4 -bis  dimetoxifosfinil metil difenila </t>
  </si>
  <si>
    <t>Glifosato e seu sal de monoisopropilamina</t>
  </si>
  <si>
    <t>Etidronato dissódico</t>
  </si>
  <si>
    <t>Triclorfon</t>
  </si>
  <si>
    <t>Glufosinato de amônio</t>
  </si>
  <si>
    <t xml:space="preserve">Hidrogenofosfonato de bis 2-etilexilo </t>
  </si>
  <si>
    <t>Ácido fosfonometiliminodiacético, ácido trimetilfosfônico</t>
  </si>
  <si>
    <t>Ácido clodrônico e seu sal dissódico, fotemustina</t>
  </si>
  <si>
    <t>Acetato de trifenilestanho</t>
  </si>
  <si>
    <t>Tetraoctilestanho</t>
  </si>
  <si>
    <t>Ciexatin</t>
  </si>
  <si>
    <t>Hidróxido de trifenilestanho</t>
  </si>
  <si>
    <t xml:space="preserve">Óxido de fembutatin  óxido de fenbutatin </t>
  </si>
  <si>
    <t>Sais de dimetil-estanho, de dibutil-estanho e de dioctil-estanho, dos ácidos carboxílicos ou tioglicólicos e de seus ésteres</t>
  </si>
  <si>
    <t>Ácido metilarsínico e seus sais</t>
  </si>
  <si>
    <t>2-Clorovinil-dicloroarsina</t>
  </si>
  <si>
    <t>Bis 2-clorovinil cloroarsina</t>
  </si>
  <si>
    <t>Tris 2-clorovinil arsina</t>
  </si>
  <si>
    <t xml:space="preserve">Tricloreto de etilalumínio  sesquicloreto de etilalumínio </t>
  </si>
  <si>
    <t>Cloreto de dietilalumínio</t>
  </si>
  <si>
    <t xml:space="preserve">Alquil de C1 a C3 fosfonofluoridatos de O-alquila  de até C10, incluindo os cicloalquila </t>
  </si>
  <si>
    <t>Metilfosfonocloridato de O-isopropila</t>
  </si>
  <si>
    <t>Metilfosfonocloridato de O-pinacolila</t>
  </si>
  <si>
    <t>Difluoreto de alquilfosfonila, com grupo alquila de C1 a C3</t>
  </si>
  <si>
    <t>Hidrogênio alquil de C1 a C3 fosfonitos de [O-2- dialquil de C1 a C3 amino etila], seus ésteres de O-alquila  de até C10, incluindo os cicloalquila , sais alquilados ou protonados destes produtos</t>
  </si>
  <si>
    <t xml:space="preserve">N,N-Dialquil de C1 a C3 fosforoamidocianidatos de O-alquila  de até C10, incluindo os cicloalquila </t>
  </si>
  <si>
    <t>Álcool furfurílico</t>
  </si>
  <si>
    <t>Álcool tetraidrofurfurílico</t>
  </si>
  <si>
    <t>Ranitidina e seus sais</t>
  </si>
  <si>
    <t>Nafronil</t>
  </si>
  <si>
    <t>Nitrovin</t>
  </si>
  <si>
    <t>Bioresmetrina</t>
  </si>
  <si>
    <t xml:space="preserve">Diacetato de 5-nitrofurfurilideno  NFDA </t>
  </si>
  <si>
    <t>Eucaliptol</t>
  </si>
  <si>
    <t>Quercetina</t>
  </si>
  <si>
    <t>Dinitrato de isossorbida</t>
  </si>
  <si>
    <t>Carbofurano</t>
  </si>
  <si>
    <t>Cloridrato de amiodarona</t>
  </si>
  <si>
    <t>1,3,4,6,7,8-Hexaidro-4,6,6,7,8,8-hexametilciclopenta-gama-2-benzopirano</t>
  </si>
  <si>
    <t>Dibenzilideno-sorbitol</t>
  </si>
  <si>
    <t xml:space="preserve">Carbosulfan   dibutilaminotio metilcarbamato de 2,3-diidro-2,2-dimetilbenzofuran-7-ila </t>
  </si>
  <si>
    <t>Dipirona</t>
  </si>
  <si>
    <t xml:space="preserve">Magnopirol  “dipirona magnésica” </t>
  </si>
  <si>
    <t>Metileno-bis 4-metilamino-1-fenil-2,3-dimetil pirazolona</t>
  </si>
  <si>
    <t>Fenilbutazona cálcica</t>
  </si>
  <si>
    <t>Iprodiona</t>
  </si>
  <si>
    <t>Fenitoína e seu sal sódico</t>
  </si>
  <si>
    <t>2-Metil-5-nitroimidazol</t>
  </si>
  <si>
    <t>Metronidazol e seus sais</t>
  </si>
  <si>
    <t>Tinidazol</t>
  </si>
  <si>
    <t>Econazol e seu nitrato</t>
  </si>
  <si>
    <t>Nitrato de miconazol</t>
  </si>
  <si>
    <t>Cloridrato de clonidina</t>
  </si>
  <si>
    <t>Nitrato de isoconazol</t>
  </si>
  <si>
    <t>Clotrimazol</t>
  </si>
  <si>
    <t>Cimetidina e seus sais</t>
  </si>
  <si>
    <t>4-Metil-5-hidroximetilimidazol e seus sais</t>
  </si>
  <si>
    <t>Imidazol</t>
  </si>
  <si>
    <t>Histidina e seus sais</t>
  </si>
  <si>
    <t>Ondansetron e seus sais</t>
  </si>
  <si>
    <t>1-Hidroxietil-2-undecanoilimidazolina</t>
  </si>
  <si>
    <t>1-Hidroxietil-2- 8-heptadecenoil imidazolina</t>
  </si>
  <si>
    <t>Piridina</t>
  </si>
  <si>
    <t>Alfentanilo</t>
  </si>
  <si>
    <t>Anileridina</t>
  </si>
  <si>
    <t>Bezitramida</t>
  </si>
  <si>
    <t>Bromazepam</t>
  </si>
  <si>
    <t>Cetobemidona e seus sais</t>
  </si>
  <si>
    <t>Difenoxilato</t>
  </si>
  <si>
    <t>Cloridrato de difenoxilato</t>
  </si>
  <si>
    <t>Difenoxina</t>
  </si>
  <si>
    <t>Dipipanona</t>
  </si>
  <si>
    <t>Fenciclidina</t>
  </si>
  <si>
    <t>Fenoperidina</t>
  </si>
  <si>
    <t>Fentanilo</t>
  </si>
  <si>
    <t>Metilfenidato</t>
  </si>
  <si>
    <t>Pentazocina</t>
  </si>
  <si>
    <t>Petidina</t>
  </si>
  <si>
    <t>Intermediário A da petidina</t>
  </si>
  <si>
    <t>Pipradrol</t>
  </si>
  <si>
    <t>Cloridrato de petidina</t>
  </si>
  <si>
    <t>Piritramida</t>
  </si>
  <si>
    <t>Propiram</t>
  </si>
  <si>
    <t>Trimeperidina</t>
  </si>
  <si>
    <t>Droperidol</t>
  </si>
  <si>
    <t>Ácido niflúmico</t>
  </si>
  <si>
    <t xml:space="preserve">Haloxifop  ácido  RS -2- 4- 3-cloro-5-trifluorometil-2-piridiloxi fenoxi propiônico </t>
  </si>
  <si>
    <t>Haloperidol</t>
  </si>
  <si>
    <t>Picloram</t>
  </si>
  <si>
    <t>Clorpirifós</t>
  </si>
  <si>
    <t xml:space="preserve">Malato ácido de cleboprida  malato de cleboprida </t>
  </si>
  <si>
    <t>Cloridrato de loperamida</t>
  </si>
  <si>
    <t>Ácido 2- 2-metil-3-cloroanilino nicotínico e seu sal de lisina</t>
  </si>
  <si>
    <t>Terfenadina</t>
  </si>
  <si>
    <t>Biperideno e seus sais</t>
  </si>
  <si>
    <t>Ácido isonicotínico</t>
  </si>
  <si>
    <t xml:space="preserve">5-Etil-2,3-dicarboxipiridina  5-EPDC </t>
  </si>
  <si>
    <t xml:space="preserve">Imazetapir  ácido  RS -5-etil-2- 4-isopropil-4-metil-5-oxo-2-imidazolin-2-il nicotínico </t>
  </si>
  <si>
    <t>Quinuclidin-3-ol</t>
  </si>
  <si>
    <t>Nifedipina</t>
  </si>
  <si>
    <t>Nitrendipina</t>
  </si>
  <si>
    <t>Maleato de pirilamina</t>
  </si>
  <si>
    <t>Omeprazol</t>
  </si>
  <si>
    <t>Benzilato de 3-quinuclidinila</t>
  </si>
  <si>
    <t>Nimodipina</t>
  </si>
  <si>
    <t>Cloridrato de benzetimida</t>
  </si>
  <si>
    <t>Cloridrato de mepivacaína</t>
  </si>
  <si>
    <t>Cloridrato de bupivacaína</t>
  </si>
  <si>
    <t>Dicloreto de paraquat</t>
  </si>
  <si>
    <t>Cloridrato de fenazopiridina</t>
  </si>
  <si>
    <t>Isoniazida</t>
  </si>
  <si>
    <t>3-Cianopiridina</t>
  </si>
  <si>
    <t>4,4 -Bipiridina</t>
  </si>
  <si>
    <t>Levorfanol</t>
  </si>
  <si>
    <t>Ácido 2,3-quinolinodicarboxílico</t>
  </si>
  <si>
    <t>Rosoxacina</t>
  </si>
  <si>
    <t>Imazaquin</t>
  </si>
  <si>
    <t>Oxaminiquina</t>
  </si>
  <si>
    <t>Broxiquinolina</t>
  </si>
  <si>
    <t>Ésteres do levorfanol</t>
  </si>
  <si>
    <t>Alobarbital e seus sais</t>
  </si>
  <si>
    <t>Amobarbital e seus sais</t>
  </si>
  <si>
    <t>Barbital e seus sais</t>
  </si>
  <si>
    <t>Butalbital e seus sais</t>
  </si>
  <si>
    <t>Butobarbital e seus sais</t>
  </si>
  <si>
    <t>Ciclobarbital e seus sais</t>
  </si>
  <si>
    <t>Fenobarbital e seus sais</t>
  </si>
  <si>
    <t>Metilfenobarbital e seus sais</t>
  </si>
  <si>
    <t>Pentobarbital e seus sais</t>
  </si>
  <si>
    <t>Secbutabarbital e seus sais</t>
  </si>
  <si>
    <t>Secobarbital e seus sais</t>
  </si>
  <si>
    <t>Venilbital e seus sais</t>
  </si>
  <si>
    <t>--Outros derivados de malonilureia  ácido barbitúrico , sais destes produtos</t>
  </si>
  <si>
    <t>Loprazolam e seus sais</t>
  </si>
  <si>
    <t>Mecloqualona e seus sais</t>
  </si>
  <si>
    <t>Metaqualona e seus sais</t>
  </si>
  <si>
    <t>Zipeprol e seus sais</t>
  </si>
  <si>
    <t>Oxatomida</t>
  </si>
  <si>
    <t>Praziquantel</t>
  </si>
  <si>
    <t>Norfloxacina e seu nicotinato</t>
  </si>
  <si>
    <t>Flunarizina e seu dicloridrato</t>
  </si>
  <si>
    <t>Enrofloxacina, sais de piperazina</t>
  </si>
  <si>
    <t>Cloridrato de buspirona</t>
  </si>
  <si>
    <t>Bromacil</t>
  </si>
  <si>
    <t>Terbacil</t>
  </si>
  <si>
    <t>Fluorouracil</t>
  </si>
  <si>
    <t>Propiltiouracil</t>
  </si>
  <si>
    <t>Diazinon</t>
  </si>
  <si>
    <t>Pirazofós</t>
  </si>
  <si>
    <t>Azatioprina</t>
  </si>
  <si>
    <t>6-Mercaptopurina</t>
  </si>
  <si>
    <t>Trimetoprima</t>
  </si>
  <si>
    <t>Aciclovir</t>
  </si>
  <si>
    <t>Tosilatos de dipiridamol</t>
  </si>
  <si>
    <t>Nicarbazina</t>
  </si>
  <si>
    <t>Bissulfito de menadiona dimetilpirimidinol</t>
  </si>
  <si>
    <t>Minoxidil</t>
  </si>
  <si>
    <t>2-Aminopirimidina</t>
  </si>
  <si>
    <t xml:space="preserve">2,4,6-Triclorotriazina  cloreto cianúrico </t>
  </si>
  <si>
    <t>Mercaptodiclorotriazina</t>
  </si>
  <si>
    <t>Atrazina</t>
  </si>
  <si>
    <t>Simazina</t>
  </si>
  <si>
    <t>Cianazina</t>
  </si>
  <si>
    <t>Anilazina</t>
  </si>
  <si>
    <t>N,N,N-Triidroxietilexaidrotriazina</t>
  </si>
  <si>
    <t>Hexazinona</t>
  </si>
  <si>
    <t>Metribuzim</t>
  </si>
  <si>
    <t>Ametrina</t>
  </si>
  <si>
    <t>Metenamina e seus sais</t>
  </si>
  <si>
    <t>Clobazam</t>
  </si>
  <si>
    <t>Metiprilona</t>
  </si>
  <si>
    <t>Piracetam</t>
  </si>
  <si>
    <t>Alprazolam</t>
  </si>
  <si>
    <t>Camazepam</t>
  </si>
  <si>
    <t>Clonazepam</t>
  </si>
  <si>
    <t>Clorazepato</t>
  </si>
  <si>
    <t>Clordiazepóxido</t>
  </si>
  <si>
    <t>Delorazepam</t>
  </si>
  <si>
    <t>Diazepam</t>
  </si>
  <si>
    <t>Estazolam</t>
  </si>
  <si>
    <t>Fludiazepam</t>
  </si>
  <si>
    <t>Flunitrazepam</t>
  </si>
  <si>
    <t>Flurazepam</t>
  </si>
  <si>
    <t>Halazepam</t>
  </si>
  <si>
    <t>Loflazepato de etila</t>
  </si>
  <si>
    <t>Lorazepam</t>
  </si>
  <si>
    <t>Lormetazepam</t>
  </si>
  <si>
    <t>Mazindol</t>
  </si>
  <si>
    <t>Medazepam</t>
  </si>
  <si>
    <t>Midazolam e seus sais</t>
  </si>
  <si>
    <t>Nimetazepam</t>
  </si>
  <si>
    <t>Nitrazepam</t>
  </si>
  <si>
    <t>Nordazepam</t>
  </si>
  <si>
    <t>Oxazepam</t>
  </si>
  <si>
    <t>Pinazepam</t>
  </si>
  <si>
    <t>Pirovalerona</t>
  </si>
  <si>
    <t>Prazepam</t>
  </si>
  <si>
    <t>Temazepam</t>
  </si>
  <si>
    <t>Tetrazepam</t>
  </si>
  <si>
    <t>Triazolam</t>
  </si>
  <si>
    <t>Pirazinamida</t>
  </si>
  <si>
    <t>Cloridrato de amilorida</t>
  </si>
  <si>
    <t>Pindolol</t>
  </si>
  <si>
    <t xml:space="preserve">Cuja estrutura contém um ciclo diazepina  hidrogenado ou não </t>
  </si>
  <si>
    <t xml:space="preserve">Dibenzoazepina  iminoestilbeno </t>
  </si>
  <si>
    <t>Carbamazepina</t>
  </si>
  <si>
    <t>Cloridrato de clomipramina</t>
  </si>
  <si>
    <t xml:space="preserve">Molinate  hexaidroazepin-1-carbotioato de S-etila </t>
  </si>
  <si>
    <t>Hexametilenoimina</t>
  </si>
  <si>
    <t>Clemastina e seus derivados, sais destes produtos</t>
  </si>
  <si>
    <t>Amisulprida</t>
  </si>
  <si>
    <t>Sultoprida</t>
  </si>
  <si>
    <t>Alizaprida</t>
  </si>
  <si>
    <t>Buflomedil e seus derivados, sais destes produtos</t>
  </si>
  <si>
    <t>Maleato de enalapril</t>
  </si>
  <si>
    <t>Ketorolac trometamina</t>
  </si>
  <si>
    <t>Benomil</t>
  </si>
  <si>
    <t>Oxifendazol</t>
  </si>
  <si>
    <t>Albendazol e seu sulfóxido</t>
  </si>
  <si>
    <t>Mebendazol</t>
  </si>
  <si>
    <t>Flubendazol</t>
  </si>
  <si>
    <t>Fembendazol</t>
  </si>
  <si>
    <t>Triadimenol</t>
  </si>
  <si>
    <t>Triadimefon</t>
  </si>
  <si>
    <t xml:space="preserve">Triazofós  fosforotioato de O,O-dietila O- 1-fenil-1H-1,2,4-triazol-3-ila  </t>
  </si>
  <si>
    <t>Azinfós etílico</t>
  </si>
  <si>
    <t>Ácido nalidíxico</t>
  </si>
  <si>
    <t>Clofazimina</t>
  </si>
  <si>
    <t>Metilssulfato de amezínio</t>
  </si>
  <si>
    <t>Hidrazida maléica e seus sais</t>
  </si>
  <si>
    <t>Fentiazac</t>
  </si>
  <si>
    <t>Cloridrato de tiazolidina</t>
  </si>
  <si>
    <t>Tiabendazol</t>
  </si>
  <si>
    <t>2-Mercaptobenzotiazol e seus sais</t>
  </si>
  <si>
    <t xml:space="preserve">2,2 -Ditio-bis benzotiazol   dissulfeto de benzotiazila </t>
  </si>
  <si>
    <t xml:space="preserve">2- Terbutilaminotio benzotiazol  N-terbutil-benzotiazol-sulfenamida </t>
  </si>
  <si>
    <t xml:space="preserve">2- Cicloexilaminotio benzotiazol  N-cicloexil-benzotiazol-sulfenamida </t>
  </si>
  <si>
    <t xml:space="preserve">2- Dicicloexilaminotio benzotiazol  N,N-dicicloexil-benzotiazol-sulfenamida </t>
  </si>
  <si>
    <t xml:space="preserve">2- 4-Morfoliniltio benzotiazol  N-oxidietileno-benzotiazol-sulfenamida </t>
  </si>
  <si>
    <t xml:space="preserve">2- Tiocianometiltio benzotiazol  TCMTB </t>
  </si>
  <si>
    <t xml:space="preserve">Maleato de metotrimeprazina  maleato de levomepromazina </t>
  </si>
  <si>
    <t>Enantato de flufenazina</t>
  </si>
  <si>
    <t>Prometazina</t>
  </si>
  <si>
    <t>Aminorex e seus sais</t>
  </si>
  <si>
    <t>Brotizolam e seus sais</t>
  </si>
  <si>
    <t>Clotiazepam</t>
  </si>
  <si>
    <t>Cloxazolam</t>
  </si>
  <si>
    <t>Dextromoramida</t>
  </si>
  <si>
    <t>Fendimetrazina e seus sais</t>
  </si>
  <si>
    <t>Fenmetrazina e seus sais</t>
  </si>
  <si>
    <t>Haloxazolam e seus sais</t>
  </si>
  <si>
    <t>Ketazolam</t>
  </si>
  <si>
    <t>Mesocarbo</t>
  </si>
  <si>
    <t>Oxazolam e seus sais</t>
  </si>
  <si>
    <t>Pemolina e seus sais</t>
  </si>
  <si>
    <t>Sufentanila e seus sais</t>
  </si>
  <si>
    <t>Morfolina e seus sais</t>
  </si>
  <si>
    <t xml:space="preserve">Pirenoxina sódica  catalino sódico </t>
  </si>
  <si>
    <t>Nimorazol</t>
  </si>
  <si>
    <t xml:space="preserve">Anidrido isatóico  2H-3,1-benzoxazina-2,4- 1H -diona </t>
  </si>
  <si>
    <t>4,4 -Ditiodimorfolina</t>
  </si>
  <si>
    <t xml:space="preserve">Zidovudina  AZT </t>
  </si>
  <si>
    <t>Timidina</t>
  </si>
  <si>
    <t>Furazolidona</t>
  </si>
  <si>
    <t>Citarabina</t>
  </si>
  <si>
    <t>Oxadiazona</t>
  </si>
  <si>
    <t>Estavudina</t>
  </si>
  <si>
    <t>Cetoconazol</t>
  </si>
  <si>
    <t>Cloridrato de prazosina</t>
  </si>
  <si>
    <t>Talniflumato</t>
  </si>
  <si>
    <t>Ácidos nucléicos e seus sais</t>
  </si>
  <si>
    <t>Propiconazol</t>
  </si>
  <si>
    <t>Tiofeno</t>
  </si>
  <si>
    <t>Ácido 6-aminopenicilânico</t>
  </si>
  <si>
    <t>Ácido 7-aminocefalosporânico</t>
  </si>
  <si>
    <t>Ácido 7-aminodesacetoxicefalosporânico</t>
  </si>
  <si>
    <t>Clormezanona</t>
  </si>
  <si>
    <t>9- N-Metil-4-piperidinilideno tioxanteno</t>
  </si>
  <si>
    <t>Tebutiuron</t>
  </si>
  <si>
    <t>Tetramisol</t>
  </si>
  <si>
    <t>Levamisol e seus sais</t>
  </si>
  <si>
    <t>Tioconazol</t>
  </si>
  <si>
    <t>Cloridrato de tizanidina</t>
  </si>
  <si>
    <t>Maleato ácido de timolol</t>
  </si>
  <si>
    <t>Lamivudina</t>
  </si>
  <si>
    <t>Sulfadiazina e seu sal sódico</t>
  </si>
  <si>
    <t>Clortalidona</t>
  </si>
  <si>
    <t>Sulpirida</t>
  </si>
  <si>
    <t>Veraliprida</t>
  </si>
  <si>
    <t>Sulfametazina  4,6-dimetil-2-sulfanilamidopirimidina  e seu sal sódico</t>
  </si>
  <si>
    <t>Furosemida</t>
  </si>
  <si>
    <t>Ftalilsulfatiazol</t>
  </si>
  <si>
    <t>Piroxicam</t>
  </si>
  <si>
    <t>Tenoxicam</t>
  </si>
  <si>
    <t>Sulfametoxazol</t>
  </si>
  <si>
    <t>Cloramina-B e cloramina-T</t>
  </si>
  <si>
    <t>Gliburida</t>
  </si>
  <si>
    <t>Toluenossulfonamidas</t>
  </si>
  <si>
    <t>Nimesulida</t>
  </si>
  <si>
    <t>Bumetanida</t>
  </si>
  <si>
    <t>Sulfaguanidina</t>
  </si>
  <si>
    <t>Sulfluramida</t>
  </si>
  <si>
    <t xml:space="preserve">Vitamina A1 álcool  retinol </t>
  </si>
  <si>
    <t>Acetato</t>
  </si>
  <si>
    <t>Palmitato</t>
  </si>
  <si>
    <t xml:space="preserve">Cloridrato de vitamina B1  cloridrato de tiamina </t>
  </si>
  <si>
    <t xml:space="preserve">Mononitrato de vitamina B1  mononitrato de tiamina </t>
  </si>
  <si>
    <t xml:space="preserve">Vitamina B2  riboflavina </t>
  </si>
  <si>
    <t xml:space="preserve">5 -Fosfato sódico de vitamina B2  5 -fosfato sódico de riboflavina </t>
  </si>
  <si>
    <t>D-Pantotenato de cálcio</t>
  </si>
  <si>
    <t>Vitamina B6</t>
  </si>
  <si>
    <t>Cloridrato de piridoxina</t>
  </si>
  <si>
    <t xml:space="preserve">Vitamina B12  cianocobalamina </t>
  </si>
  <si>
    <t>Cobamamida</t>
  </si>
  <si>
    <t>Hidroxocobalamina e seus sais</t>
  </si>
  <si>
    <t xml:space="preserve">Vitamina C  ácido L- ou DL-ascórbico </t>
  </si>
  <si>
    <t>Ascorbato de sódio</t>
  </si>
  <si>
    <t>D- ou DL-alfa-Tocoferol</t>
  </si>
  <si>
    <t>Acetato de D- ou DL-alfa-tocoferol</t>
  </si>
  <si>
    <t>Vitamina B9  ácido fólico  e seus sais</t>
  </si>
  <si>
    <t xml:space="preserve">Vitamina D3  colecalciferol </t>
  </si>
  <si>
    <t xml:space="preserve">Vitamina H  biotina </t>
  </si>
  <si>
    <t>Vitaminas K e seus derivados</t>
  </si>
  <si>
    <t>Ácido nicotínico</t>
  </si>
  <si>
    <t>Nicotinamida</t>
  </si>
  <si>
    <t>Nicotinato de sódio</t>
  </si>
  <si>
    <t>-Outras, incluindo os concentrados naturais</t>
  </si>
  <si>
    <t>--Somatotropina, seus derivados e análogos estruturais</t>
  </si>
  <si>
    <t xml:space="preserve">ACTH  corticotropina </t>
  </si>
  <si>
    <t xml:space="preserve">HCG  gonadotropina coriônica </t>
  </si>
  <si>
    <t xml:space="preserve">PMSG  gonadotropina sérica </t>
  </si>
  <si>
    <t>Menotropinas</t>
  </si>
  <si>
    <t>Oxitocina</t>
  </si>
  <si>
    <t>Cortisona</t>
  </si>
  <si>
    <t>Hidrocortisona</t>
  </si>
  <si>
    <t xml:space="preserve">Prednisona  deidrocortisona </t>
  </si>
  <si>
    <t xml:space="preserve">Prednisolona  deidroidrocortisona </t>
  </si>
  <si>
    <t>Dexametasona e seus acetatos</t>
  </si>
  <si>
    <t>Acetonida da triancinolona</t>
  </si>
  <si>
    <t>Valerato de diflucortolona</t>
  </si>
  <si>
    <t>Medroxiprogesterona e seus derivados</t>
  </si>
  <si>
    <t xml:space="preserve">L-Norgestrel  levonorgestrel </t>
  </si>
  <si>
    <t>DL-Norgestrel</t>
  </si>
  <si>
    <t>Estriol e seu succinato</t>
  </si>
  <si>
    <t>Hemissuccinato de estradiol</t>
  </si>
  <si>
    <t xml:space="preserve">Fempropionato de estradiol  17- 3-fenilpropionato  de estradiol </t>
  </si>
  <si>
    <t>Alilestrenol</t>
  </si>
  <si>
    <t>Linestrenol</t>
  </si>
  <si>
    <t>Acetato de etinodiol</t>
  </si>
  <si>
    <t>Gestodeno</t>
  </si>
  <si>
    <t>Metilprednisolona e seus derivados</t>
  </si>
  <si>
    <t>21-Succinato sódico de hidrocortisona</t>
  </si>
  <si>
    <t>Acetato de ciproterona</t>
  </si>
  <si>
    <t>Mesterolona e seus derivados</t>
  </si>
  <si>
    <t>Espironolactona</t>
  </si>
  <si>
    <t>Deflazacorte</t>
  </si>
  <si>
    <t>-Prostaglandinas, tromboxanas e leucotrienos, seus derivados e análogos estruturais</t>
  </si>
  <si>
    <t>Tiratricol  triac  e seu sal sódico</t>
  </si>
  <si>
    <t>Levotiroxina sódica</t>
  </si>
  <si>
    <t>Liotironina sódica</t>
  </si>
  <si>
    <t>Deslanosídio</t>
  </si>
  <si>
    <t>Esteviosídio</t>
  </si>
  <si>
    <t>Concentrados de palha de dormideira ou papoula</t>
  </si>
  <si>
    <t>Buprenorfina e seus sais</t>
  </si>
  <si>
    <t>Codeína e seus sais</t>
  </si>
  <si>
    <t>Diidrocodeína e seus sais</t>
  </si>
  <si>
    <t>Etilmorfina e seus sais</t>
  </si>
  <si>
    <t>Etorfina e seus sais</t>
  </si>
  <si>
    <t>Folcodina e seus sais</t>
  </si>
  <si>
    <t>Heroína e seus sais</t>
  </si>
  <si>
    <t>Hidrocodona e seus sais</t>
  </si>
  <si>
    <t>Hidromorfona e seus sais</t>
  </si>
  <si>
    <t>Morfina</t>
  </si>
  <si>
    <t>Cloridrato e sulfato de morfina</t>
  </si>
  <si>
    <t>Nicomorfina e seus sais</t>
  </si>
  <si>
    <t>Oxicodona e seus sais</t>
  </si>
  <si>
    <t>Oximorfona e seus sais</t>
  </si>
  <si>
    <t>Tebacona e seus sais</t>
  </si>
  <si>
    <t>Tebaína e seus sais</t>
  </si>
  <si>
    <t>-Alcalóides da quina e seus derivados, sais destes produtos</t>
  </si>
  <si>
    <t>Cafeína</t>
  </si>
  <si>
    <t>Teofilina</t>
  </si>
  <si>
    <t>Aminofilina</t>
  </si>
  <si>
    <t>Maleato de metilergometrina</t>
  </si>
  <si>
    <t>Mesilato de diidroergotamina</t>
  </si>
  <si>
    <t>Mesilato de diidroergocornina</t>
  </si>
  <si>
    <t>Mesilato de alfa-diidroergocriptina</t>
  </si>
  <si>
    <t>Mesilato de beta-diidroergocriptina</t>
  </si>
  <si>
    <t>Ergocristina</t>
  </si>
  <si>
    <t>Metanossulfonato de diidroergocristina</t>
  </si>
  <si>
    <t>Cocaína e seus sais</t>
  </si>
  <si>
    <t>Ecgonina e seus sais</t>
  </si>
  <si>
    <t>Levometanfetamina, seus sais, ésteres e outros derivados</t>
  </si>
  <si>
    <t>Metanfetamina, seus sais, ésteres e outros derivados</t>
  </si>
  <si>
    <t>Racemato de metanfetamina, seus sais, ésteres e outros derivados</t>
  </si>
  <si>
    <t>Brometo de N-butilescopolamônio</t>
  </si>
  <si>
    <t>Teobromina e seus derivados, sais destes produtos</t>
  </si>
  <si>
    <t>Pilocarpina, seu nitrato e seu cloridrato</t>
  </si>
  <si>
    <t>Tiocolquicósido</t>
  </si>
  <si>
    <t>Galactose</t>
  </si>
  <si>
    <t>Arabinose</t>
  </si>
  <si>
    <t>Ramnose</t>
  </si>
  <si>
    <t>Ácido lactobiônico</t>
  </si>
  <si>
    <t>Lactobionato de cálcio</t>
  </si>
  <si>
    <t>Bromolactobionato de cálcio</t>
  </si>
  <si>
    <t>Frutose-1,6-difosfato de cálcio ou de sódio</t>
  </si>
  <si>
    <t>Maltitol</t>
  </si>
  <si>
    <t>Lactogluconato de cálcio</t>
  </si>
  <si>
    <t>Ampicilina e seus sais</t>
  </si>
  <si>
    <t>Amoxicilina e seus sais</t>
  </si>
  <si>
    <t>Penicilina V potássica</t>
  </si>
  <si>
    <t>Penicilina G potássica</t>
  </si>
  <si>
    <t>Penicilina G benzatínica</t>
  </si>
  <si>
    <t>Penicilina G procaínica</t>
  </si>
  <si>
    <t>Sulfatos</t>
  </si>
  <si>
    <t>Cloridrato de tetraciclina</t>
  </si>
  <si>
    <t>Oxitetraciclina</t>
  </si>
  <si>
    <t>Minociclina</t>
  </si>
  <si>
    <t>Cloranfenicol, seu palmitato, seu succinato e seu hemissuccinato</t>
  </si>
  <si>
    <t>Tianfenicol e seus ésteres</t>
  </si>
  <si>
    <t>Claritromicina</t>
  </si>
  <si>
    <t>Eritromicina e seus sais</t>
  </si>
  <si>
    <t>Rifamicina S</t>
  </si>
  <si>
    <t xml:space="preserve">Rifampicina  rifamicina AMP </t>
  </si>
  <si>
    <t>Rifamicina SV sódica</t>
  </si>
  <si>
    <t>Cloridrato de lincomicina</t>
  </si>
  <si>
    <t>Fosfato de clindamicina</t>
  </si>
  <si>
    <t>Ceftriaxona e seus sais</t>
  </si>
  <si>
    <t>Cefoperazona e seus sais, cefazolina sódica</t>
  </si>
  <si>
    <t>Cefaclor e cefalexina monoidratados, cefalotina sódica</t>
  </si>
  <si>
    <t>Cefadroxil e seus sais</t>
  </si>
  <si>
    <t>Cefotaxima sódica</t>
  </si>
  <si>
    <t>Cefoxitina e seus sais</t>
  </si>
  <si>
    <t>Cefalosporina C</t>
  </si>
  <si>
    <t>Sulfato de neomicina</t>
  </si>
  <si>
    <t xml:space="preserve">Embonato de gentamicina  pamoato de gentamicina </t>
  </si>
  <si>
    <t>Sulfato de gentamicina</t>
  </si>
  <si>
    <t xml:space="preserve">Embonato de espiramicina  pamoato de espiramicina </t>
  </si>
  <si>
    <t>Nistatina e seus sais</t>
  </si>
  <si>
    <t>Anfotericina B e seus sais</t>
  </si>
  <si>
    <t>Monensina sódica</t>
  </si>
  <si>
    <t>Narasina</t>
  </si>
  <si>
    <t>Avilamicinas</t>
  </si>
  <si>
    <t>Polimixinas e seus sais</t>
  </si>
  <si>
    <t>Sulfato de colistina</t>
  </si>
  <si>
    <t>Virginiamicinas e seus sais</t>
  </si>
  <si>
    <t>Griseofulvina e seus sais</t>
  </si>
  <si>
    <t>Fumarato de tiamulina</t>
  </si>
  <si>
    <t>Outros compostos orgânicos.</t>
  </si>
  <si>
    <t>De fígado</t>
  </si>
  <si>
    <t>Heparina e seus sais</t>
  </si>
  <si>
    <t>Pedaços de pericárdio de origem bovina ou suína</t>
  </si>
  <si>
    <t>Fígados</t>
  </si>
  <si>
    <t>Antiofídicos e outros antivenenosos</t>
  </si>
  <si>
    <t>Antitetânico</t>
  </si>
  <si>
    <t>Anticatarral</t>
  </si>
  <si>
    <t>Antipiogênico</t>
  </si>
  <si>
    <t>Antidiftérico</t>
  </si>
  <si>
    <t>Polivalentes</t>
  </si>
  <si>
    <t>Imunoglobulina anti-Rh</t>
  </si>
  <si>
    <t>Outras imunoglobulinas séricas</t>
  </si>
  <si>
    <t>Concentrado de fator VIII</t>
  </si>
  <si>
    <t>Soroalbumina, em forma de gel, para preparação de reagentes de diagnóstico</t>
  </si>
  <si>
    <t>Anticorpos monoclonais em solução tampão, contendo albumina bovina</t>
  </si>
  <si>
    <t>Soroalbumina, exceto a humana</t>
  </si>
  <si>
    <t xml:space="preserve">Plasmina  fibrinolisina </t>
  </si>
  <si>
    <t>Uroquinase</t>
  </si>
  <si>
    <t>Imunoglobulina e cloridrato de histamina, associados</t>
  </si>
  <si>
    <t>Imunoglobulina G, liofilizada ou em solução</t>
  </si>
  <si>
    <t>Interferon beta, peg interferon alfa-2-a</t>
  </si>
  <si>
    <t>Soroalbumina humana</t>
  </si>
  <si>
    <t xml:space="preserve">Bevacizumab  DCI , daclizumab  DCI , etanercept  DCI , gemtuzumab  DCI -ozogamicin DCI , oprelvekin  DCI , rituximab  DCI , trastuzumab  DCI </t>
  </si>
  <si>
    <t>Contra a gripe</t>
  </si>
  <si>
    <t>Contra a poliomielite</t>
  </si>
  <si>
    <t>Contra a hepatite B</t>
  </si>
  <si>
    <t>Contra o sarampo</t>
  </si>
  <si>
    <t>Contra a meningite</t>
  </si>
  <si>
    <t xml:space="preserve">Contra a rubéola, sarampo e caxumba  tríplice </t>
  </si>
  <si>
    <t>Outras tríplices</t>
  </si>
  <si>
    <t>Anticatarral e antipiogênico</t>
  </si>
  <si>
    <t>Contra a raiva</t>
  </si>
  <si>
    <t>Contra a coccidiose</t>
  </si>
  <si>
    <t>Contra a querato-conjuntivite</t>
  </si>
  <si>
    <t>Contra a cinomose</t>
  </si>
  <si>
    <t>Contra a leptospirose</t>
  </si>
  <si>
    <t>Contra a febre aftosa</t>
  </si>
  <si>
    <t>Contra as seguintes enfermidades: de Newcastle, a vírus vivo ou vírus inativo, de Gumboro, a vírus vivo ou vírus inativo, bronquite, a vírus vivo ou vírus inativo, difteroviruela, a vírus vivo, síndrome de queda de postura  EDS , salmonelose aviária, elab</t>
  </si>
  <si>
    <t>Vacinas combinadas contra as enfermidades citadas no item 3002.30.70</t>
  </si>
  <si>
    <t>Reagentes de origem microbiana para diagnóstico</t>
  </si>
  <si>
    <t>Antitoxinas de origem microbiana</t>
  </si>
  <si>
    <t>Tuberculinas</t>
  </si>
  <si>
    <t>Para a saúde animal</t>
  </si>
  <si>
    <t>Para a saúde humana</t>
  </si>
  <si>
    <t>Saxitoxina</t>
  </si>
  <si>
    <t>Ricina</t>
  </si>
  <si>
    <t>Ampicilina ou seus sais</t>
  </si>
  <si>
    <t>Amoxicilina ou seus sais</t>
  </si>
  <si>
    <t>Que contenham estreptomicinas ou seus derivados</t>
  </si>
  <si>
    <t>Cloranfenicol, seu palmitato, seu succinato ou seu hemissuccinato</t>
  </si>
  <si>
    <t>Eritromicina ou seus sais</t>
  </si>
  <si>
    <t>Rifampicina</t>
  </si>
  <si>
    <t>Cefalotina sódica</t>
  </si>
  <si>
    <t>Cefaclor ou cefalexina monoidratados</t>
  </si>
  <si>
    <t>Daunorubicina</t>
  </si>
  <si>
    <t>Idarubicina, pirarubicina</t>
  </si>
  <si>
    <t>Vancomicina</t>
  </si>
  <si>
    <t>Actinomicinas</t>
  </si>
  <si>
    <t>Ciclosporina A</t>
  </si>
  <si>
    <t>Mitomicina</t>
  </si>
  <si>
    <t>Bleomicinas ou seus sais</t>
  </si>
  <si>
    <t>Imipenem</t>
  </si>
  <si>
    <t>Anfotericina B em lipossomas</t>
  </si>
  <si>
    <t>Somatotropina</t>
  </si>
  <si>
    <t xml:space="preserve">Gonadotropina coriônica  hCG </t>
  </si>
  <si>
    <t xml:space="preserve">Corticotropina  ACTH </t>
  </si>
  <si>
    <t xml:space="preserve">Gonadotropina sérica  PMSG </t>
  </si>
  <si>
    <t>Somatostatina ou seus sais</t>
  </si>
  <si>
    <t>Buserelina ou seu acetato</t>
  </si>
  <si>
    <t>Triptorelina ou seus sais</t>
  </si>
  <si>
    <t>Leuprolida ou seu acetato</t>
  </si>
  <si>
    <t xml:space="preserve">LH-RH  gonadorelina </t>
  </si>
  <si>
    <t>Sais de insulina</t>
  </si>
  <si>
    <t>Timosinas</t>
  </si>
  <si>
    <t>Octreotida</t>
  </si>
  <si>
    <t>Goserelina ou seu acetato</t>
  </si>
  <si>
    <t>Nafarelina ou seu acetato</t>
  </si>
  <si>
    <t>Fempropionato de estradiol</t>
  </si>
  <si>
    <t>Estriol ou seu succinato</t>
  </si>
  <si>
    <t>Acetato de megestrol, formestano, fulvestranto</t>
  </si>
  <si>
    <t xml:space="preserve">Sal sódico ou éster metílico do ácido 9,11,15-triidroxi-16- 3-clorofenoxi prosta-5,13-dien-1-óico  derivado da prostaglandina F2alfa </t>
  </si>
  <si>
    <t>Tiratricol  triac  ou seu sal sódico</t>
  </si>
  <si>
    <t>Exemestano</t>
  </si>
  <si>
    <t>Vimblastina, vincristina, derivados destes produtos, topotecan ou seu cloridrato</t>
  </si>
  <si>
    <t>Pilocarpina, seu nitrato ou seu cloridrato</t>
  </si>
  <si>
    <t>Codeína ou seus sais</t>
  </si>
  <si>
    <t>Granisetron, tropisetrona ou seu cloridrato</t>
  </si>
  <si>
    <t xml:space="preserve">Folinato de cálcio  leucovorina </t>
  </si>
  <si>
    <t>Hidroxocobalamina ou seus sais, cianocobalamina</t>
  </si>
  <si>
    <t>Vitamina A1  retinol  ou seus derivados, exceto o ácido retinóico</t>
  </si>
  <si>
    <t xml:space="preserve">D-Pantotenato de cálcio, vitamina D3  colecalciferol </t>
  </si>
  <si>
    <t>Ésteres das vitaminas A e D3, em concentração superior ou igual a 1.500.000 UI/g de vitamina A e superior ou igual a 50.000 UI/g de vitamina D3</t>
  </si>
  <si>
    <t xml:space="preserve">Ácido retinóico  tretinoína </t>
  </si>
  <si>
    <t>Estreptoquinase</t>
  </si>
  <si>
    <t>L-Asparaginase</t>
  </si>
  <si>
    <t>Deoxirribonuclease</t>
  </si>
  <si>
    <t>Permetrina, nitrato de propatila, benzoato de benzila, dioctilsulfossuccinato de sódio</t>
  </si>
  <si>
    <t>Ácido cólico, ácido deoxicólico, sal magnésico do ácido deidrocólico</t>
  </si>
  <si>
    <t>Ácido glucônico, seus sais ou seus ésteres</t>
  </si>
  <si>
    <t>Ácido O-acetilsalicílico, O-acetilsalicilato de alumínio, salicilato de metila, diclorvós</t>
  </si>
  <si>
    <t>Ácido láctico, seus sais ou seus ésteres, ácido 4- 4-hidroxifenoxi -3,5-diiodofenilacético</t>
  </si>
  <si>
    <t>Ácido fumárico, seus sais ou seus ésteres</t>
  </si>
  <si>
    <t>Etretinato, fosfestrol ou seus sais de di ou tetrassódio</t>
  </si>
  <si>
    <t>Sulfato de tranilcipromina, dietilpropiona</t>
  </si>
  <si>
    <t>Cloridrato de ketamina</t>
  </si>
  <si>
    <t>Clembuterol ou seu cloridrato</t>
  </si>
  <si>
    <t>Tamoxifen ou seu citrato</t>
  </si>
  <si>
    <t>Levodopa, alfa-metildopa</t>
  </si>
  <si>
    <t>Cloridrato de fenilefrina, mirtecaína, propranolol ou seus sais</t>
  </si>
  <si>
    <t>Diclofenaco de sódio, diclofenaco de potássio, diclofenaco de dietilamônio</t>
  </si>
  <si>
    <t>Clorambucil, clormetina  DCI  ou seu cloridrato, melfalano, toremifene ou seu citrato</t>
  </si>
  <si>
    <t>Metoclopramida ou seu cloridrato, closantel</t>
  </si>
  <si>
    <t>Atenolol, prilocaína ou seu cloridrato, talidomida</t>
  </si>
  <si>
    <t>Lidocaína ou seu cloridrato, flutamida</t>
  </si>
  <si>
    <t>Femproporex</t>
  </si>
  <si>
    <t>Paracetamol, bromoprida</t>
  </si>
  <si>
    <t>Amitraz, cipermetrina</t>
  </si>
  <si>
    <t>Clorexidina ou seus sais, isetionato de pentamidina</t>
  </si>
  <si>
    <t>Aminoglutetimida, carmustina, deferoxamina  desferrioxamina B  ou seus sais, derivados destes produtos, lomustina</t>
  </si>
  <si>
    <t>Nitrovin, moxidectina</t>
  </si>
  <si>
    <t>Ácido clodrônico ou seu sal dissódico, estreptozocina, fotemustina</t>
  </si>
  <si>
    <t>Carbocisteína, sulfiram</t>
  </si>
  <si>
    <t>Terfenadina, talniflumato, malato ácido de cleboprida, econazol ou seu nitrato, nitrato de isoconazol, flubendazol, cloridrato de mepivacaína, trimetoprima, cloridrato de bupivacaína</t>
  </si>
  <si>
    <t>Cloridrato de loperamida, fembendazol, ketorolac trometamina, nifedipina, nimodipina, nitrendipina</t>
  </si>
  <si>
    <t>Albendazol ou seu sulfóxido, mebendazol, 6-mercaptopurina, metilsulfato de amezínio, oxifendazol, praziquantel</t>
  </si>
  <si>
    <t>Alprazolam, bromazepam, clordiazepóxido, cloridrato de petidina, diazepam, droperidol, mazindol, triazolam</t>
  </si>
  <si>
    <t>Benzetimida ou seu cloridrato, fenitoína ou seu sal sódico, isoniazida, pirazinamida</t>
  </si>
  <si>
    <t>Ácido 2- 2-metil-3-cloroanilina nicotínico ou seu sal de lisina, metronidazol ou seus sais, azatioprina, nitrato de miconazol</t>
  </si>
  <si>
    <t>Enrofloxacina, maleato de enalapril, maleato de pirilamina, nicarbazina, norfloxacina, sais de piperazina</t>
  </si>
  <si>
    <t>Altretamina, bortezomib, dacarbazina, disoproxilfumarato de tenofovir, enfuvirtida, fluspirileno, letrozol, lopinavir, mesilato de imatinib, nelfinavir ou seu mesilato, nevirapine, pemetrexed, saquinavir, sulfato de abacavir, sulfato de atazanavir, sulfat</t>
  </si>
  <si>
    <t>Levamisol ou seus sais, tetramisol</t>
  </si>
  <si>
    <t>Sulfadiazina ou seu sal sódico, sulfametoxazol</t>
  </si>
  <si>
    <t>Cloxazolam, ketazolam, piroxicam, tenoxicam</t>
  </si>
  <si>
    <t>Ftalilsulfatiazol, inosina</t>
  </si>
  <si>
    <t>Enantato de flufenazina, prometazina, gliburida, rutosídio, deslanosídio</t>
  </si>
  <si>
    <t>Clortalidona, furosemida</t>
  </si>
  <si>
    <t>Cloridrato de tizanidina, cetoconazol, furazolidona</t>
  </si>
  <si>
    <t>Amprenavir, aprepitanto, delavirdina ou seu mesilato, efavirenz, emtricitabina, etopósido, everolimus, fosamprenavir cálcico, fosfato de fludarabina, gencitabina ou seu cloridrato, raltitrexida, ritonavir, sirolimus, tacrolimus, tenipósido</t>
  </si>
  <si>
    <t>Extrato de pólen</t>
  </si>
  <si>
    <t>Crisarobina, disofenol</t>
  </si>
  <si>
    <t>Diclofenaco resinato</t>
  </si>
  <si>
    <t>Complexo de ferro dextrana</t>
  </si>
  <si>
    <t>Bussulfano, dexormaplatina, dietilestilbestrol ou seu dipropionato, enloplatina, iproplatina, lobaplatina, miboplatina, miltefosina, mitotano, ormaplatina, procarbazina ou seu cloridrato, propofol, sebriplatina, zeniplatina</t>
  </si>
  <si>
    <t>Hormônios corticosteróides</t>
  </si>
  <si>
    <t>Calcitonina</t>
  </si>
  <si>
    <t>Ácido láctico, seus sais ou seus ésteres, ácido 4- 4-hidroxifenoxi -3,5-diiodofenilacético, ácido fumárico, seus sais ou seus ésteres</t>
  </si>
  <si>
    <t>Nitroglicerina, destinada a ser administrada por via percutânea</t>
  </si>
  <si>
    <t>Cloridrato de loperamida, fembendazol, ketorolac trometamina, nifedipina nimodipina, nitrendipina</t>
  </si>
  <si>
    <t>Impregnados ou recobertos de substâncias farmacêuticas</t>
  </si>
  <si>
    <t>Curativos  pensos  cirúrgicos que permitem a observação direta de feridas</t>
  </si>
  <si>
    <t>Curativos  pensos  impermeáveis aplicáveis sobre mucosas</t>
  </si>
  <si>
    <t xml:space="preserve">Curativos  pensos  com obturador próprios para colostomia  cones obturadores </t>
  </si>
  <si>
    <t>Curativos  pensos  com fecho de correr próprios para fechar ferimentos</t>
  </si>
  <si>
    <t>De ácido poliglicólico</t>
  </si>
  <si>
    <t>De copolímeros de ácido glicólico e ácido láctico</t>
  </si>
  <si>
    <t>Campos cirúrgicos, de falso tecido</t>
  </si>
  <si>
    <t>Materiais para suturas cirúrgicas, de polidiexanona</t>
  </si>
  <si>
    <t>Materiais para suturas cirúrgicas, de aço inoxidável</t>
  </si>
  <si>
    <t>À base de ioexol</t>
  </si>
  <si>
    <t>À base de iocarmato de dimeglumina ou de gadoterato de meglumina</t>
  </si>
  <si>
    <t>À base de iopamidol</t>
  </si>
  <si>
    <t>À base de dióxido de zircônio e sulfato de gentamicina</t>
  </si>
  <si>
    <t>À base de diatrizoato de sódio ou de meglumina</t>
  </si>
  <si>
    <t>À base de ioversol ou de iopromida</t>
  </si>
  <si>
    <t>À base de iotalamato de sódio, de iotalamato de meglumina ou de suas misturas</t>
  </si>
  <si>
    <t>À base de somatoliberina</t>
  </si>
  <si>
    <t>Cimentos</t>
  </si>
  <si>
    <t>Outros produtos para obturação dentária</t>
  </si>
  <si>
    <t>Cimentos para reconstituição óssea</t>
  </si>
  <si>
    <t>-Estojos e caixas de primeiros-socorros, guarnecidos</t>
  </si>
  <si>
    <t>-Preparações químicas contraceptivas à base de hormônios, de outros produtos da posição 29.37 ou de espermicidas</t>
  </si>
  <si>
    <t>-Preparações sob a forma de gel, concebidas para uso em medicina humana ou veterinária, como lubrificante para determinadas partes do corpo em intervenções cirúrgicas ou exames médicos, ou como meio de ligação entre o corpo e os instrumentos médicos</t>
  </si>
  <si>
    <t>Bolsas para colostomia, ileostomia e urostomia</t>
  </si>
  <si>
    <t>Adubos  fertilizantes  de origem animal ou vegetal, mesmo misturados entre si ou tratados quimicamente, adubos  fertilizantes  resultantes da mistura ou do tratamento químico de produtos de origem animal ou vegetal.</t>
  </si>
  <si>
    <t>Com teor de nitrogênio  azoto  superior a 45%, em peso, calculado sobre o produto anidro no estado seco</t>
  </si>
  <si>
    <t>Sulfonitrato de amônio</t>
  </si>
  <si>
    <t>-Nitrato de amônio, mesmo em solução aquosa</t>
  </si>
  <si>
    <t>Com teor de nitrogênio  azoto  não superior a 16,3%, em peso</t>
  </si>
  <si>
    <t>Outro</t>
  </si>
  <si>
    <t>Ex 01 - Com teor de nitrogênio superior a 16,3% em peso</t>
  </si>
  <si>
    <t>-Outros, incluindo as misturas não mencionadas nas subposições precedentes</t>
  </si>
  <si>
    <t>Ex 01 - Cianamida cálcica com teor de nitrogênio superior a 25% em peso</t>
  </si>
  <si>
    <t>Com teor de pentóxido de fósforo  P2O5  não superior a 22%, em peso</t>
  </si>
  <si>
    <t>Com teor de pentóxido de fósforo  P2O5  superior a 22% mas não superior a 45%, em peso</t>
  </si>
  <si>
    <t>Com teor de pentóxido de fósforo  P2O5  superior a 45%, em peso</t>
  </si>
  <si>
    <t>Com teor de pentóxido de fósforo  P2O5  não superior a 46%, em peso</t>
  </si>
  <si>
    <t>Com teor de óxido de potássio  K2O  não superior a 60%, em peso</t>
  </si>
  <si>
    <t>Com teor de óxido de potássio  K2O  não superior a 52%, em peso</t>
  </si>
  <si>
    <t>Sulfato duplo de potássio e magnésio, com teor de óxido de potássio  K2O  superior a 30%, em peso</t>
  </si>
  <si>
    <t>-Produtos do presente Capítulo apresentados em tabletes ou formas semelhantes, ou ainda em embalagens com peso bruto não superior a 10 kg</t>
  </si>
  <si>
    <t>Ex 01 - Nitrato de sódio com teor de nitrogênio superior a 16,3% em peso</t>
  </si>
  <si>
    <t>Ex 02 - Cianamida cálcica com teor de nitrogênio superior a 25% em peso</t>
  </si>
  <si>
    <t>Ex 03 - Sulfato de potássio com teor de óxido de potássio  K2O  superior a 52% em peso</t>
  </si>
  <si>
    <t>Ex 04 - Sulfato duplo de magnésio e potássio com teor de óxido de potássio  K2O  com teor superior a 30% em peso</t>
  </si>
  <si>
    <t>-Adubos  fertilizantes  minerais ou químicos, que contenham os três elementos fertilizantes: nitrogênio  azoto , fósforo e potássio</t>
  </si>
  <si>
    <t>Com teor de arsênio superior ou igual a 6 mg/kg</t>
  </si>
  <si>
    <t xml:space="preserve">-Diidrogeno-ortofosfato de amônio  fosfato monoamônico ou monoamoniacal , mesmo misturado com hidrogeno-ortofosfato de diamônio  fosfato diamônico ou diamoniacal </t>
  </si>
  <si>
    <t>-Adubos  fertilizantes  minerais ou químicos, que contenham os dois elementos fertilizantes: fósforo e potássio</t>
  </si>
  <si>
    <t>Com teor de nitrogênio  azoto  não superior a 15%, em peso, e de óxido de potássio  K2O  não superior a 15%, em peso</t>
  </si>
  <si>
    <t>De gambir</t>
  </si>
  <si>
    <t>De carvalho ou de castanheiro</t>
  </si>
  <si>
    <t>Taninos</t>
  </si>
  <si>
    <t>À base de sais de cromo</t>
  </si>
  <si>
    <t>À base de sais de titânio</t>
  </si>
  <si>
    <t>À base de sais de zircônio</t>
  </si>
  <si>
    <t>À base de compostos de cromo</t>
  </si>
  <si>
    <t>Preparações enzimáticas para a pré-curtimenta</t>
  </si>
  <si>
    <t>Hemateína</t>
  </si>
  <si>
    <t>Fisetina</t>
  </si>
  <si>
    <t>Morina</t>
  </si>
  <si>
    <t>Carmim de cochonilha</t>
  </si>
  <si>
    <t>Preparações indicadas na Nota 3 do presente Capítulo, à base de matérias corantes de origem vegetal ou animal</t>
  </si>
  <si>
    <t>Corantes ácidos, mesmo metalizados, e preparações à base desses corantes</t>
  </si>
  <si>
    <t>Corantes mordentes e preparações à base desses corantes</t>
  </si>
  <si>
    <t>Indigo blue segundo Colour Index 73.000</t>
  </si>
  <si>
    <t>Dibenzantrona</t>
  </si>
  <si>
    <t>12,12-Dimetoxidibenzantrona</t>
  </si>
  <si>
    <t>Carotenóides</t>
  </si>
  <si>
    <t>Preparações contendo beta-caroteno, ésteres metílico ou etílico do ácido 8’-apo-beta-carotenóico ou cantaxantina, com óleos ou gorduras vegetais, amido, gelatina, sacarose ou dextrina, próprias para colorir alimentos</t>
  </si>
  <si>
    <t>Outras preparações próprias para colorir alimentos</t>
  </si>
  <si>
    <t xml:space="preserve">Corantes solúveis em solventes  corantes solventes </t>
  </si>
  <si>
    <t>Corantes azóicos</t>
  </si>
  <si>
    <t>Derivados do ácido 4,4-bis- 1,3,5 triazinil-6-aminoestilbeno-2,2-dissulfônico</t>
  </si>
  <si>
    <t>Lacas corantes, preparações indicadas na Nota 3 do presente Capítulo, à base de lacas corantes.</t>
  </si>
  <si>
    <t>Com tamanho médio de partícula superior ou igual a 0,6 micrômetros  mícrons , com adição de modificadores</t>
  </si>
  <si>
    <t>Outros pigmentos</t>
  </si>
  <si>
    <t>Preparações</t>
  </si>
  <si>
    <t>Pigmento constituído por mica revestida com película de dióxido de titânio</t>
  </si>
  <si>
    <t>Litopônio</t>
  </si>
  <si>
    <t>Pigmentos e preparações à base de compostos de cádmio</t>
  </si>
  <si>
    <t xml:space="preserve">Pigmentos e preparações à base de hexacianoferratos  ferrocianetos e ferricianetos </t>
  </si>
  <si>
    <t>Halofosfatos de cálcio ou de estrôncio</t>
  </si>
  <si>
    <t>À base de zircônio ou seus sais</t>
  </si>
  <si>
    <t>Engobos</t>
  </si>
  <si>
    <t>Com um teor, em peso, de prata superior ou igual a 25% ou de bismuto superior ou igual a 40%, dos tipos utilizados na fabricação de circuitos impressos</t>
  </si>
  <si>
    <t>Fritas de vidro</t>
  </si>
  <si>
    <t>Tintas</t>
  </si>
  <si>
    <t>Vernizes</t>
  </si>
  <si>
    <t>Soluções definidas na Nota 4 do presente Capítulo</t>
  </si>
  <si>
    <t>À base de polímeros acrílicos, apresentadas em sortidos definidos na Nota 3 da Seção VI, dos tipos utilizados para a fabricação de circuitos impressos</t>
  </si>
  <si>
    <t>À base de derivados de celulose</t>
  </si>
  <si>
    <t>De silicones</t>
  </si>
  <si>
    <t>À base de politetrafluoretileno</t>
  </si>
  <si>
    <t>Pigmentos a água preparados, dos tipos utilizados para acabamento de couros</t>
  </si>
  <si>
    <t>Secantes preparados.</t>
  </si>
  <si>
    <t>Alumínio em pó ou em lamelas, empastado com solvente do tipo hidrocarbonetos, com teor de alumínio superior ou igual a 60%, em peso</t>
  </si>
  <si>
    <t>Mástique de vidraceiro, cimentos de resina e outros mástiques</t>
  </si>
  <si>
    <t>Indutos utilizados em pintura</t>
  </si>
  <si>
    <t>De petit grain</t>
  </si>
  <si>
    <t>De lima</t>
  </si>
  <si>
    <t xml:space="preserve">De menta japonesa  Mentha arvensis </t>
  </si>
  <si>
    <t xml:space="preserve">De mentha spearmint  Mentha viridis L. </t>
  </si>
  <si>
    <t>De citronela</t>
  </si>
  <si>
    <t>De cedro</t>
  </si>
  <si>
    <t xml:space="preserve">De pau-santo  Bulnesia sarmientoi </t>
  </si>
  <si>
    <t>De lemongrass</t>
  </si>
  <si>
    <t>De pau-rosa</t>
  </si>
  <si>
    <t>De palma rosa</t>
  </si>
  <si>
    <t>De coriandro</t>
  </si>
  <si>
    <t>De cabreúva</t>
  </si>
  <si>
    <t>De eucalipto</t>
  </si>
  <si>
    <t>De alfazema ou lavanda</t>
  </si>
  <si>
    <t>De vetiver</t>
  </si>
  <si>
    <t>Soluções concentradas de óleos essenciais em gorduras, em óleos fixos, em ceras ou em matérias análogas, obtidas por tratamento de flores através de substâncias gordas ou por maceração</t>
  </si>
  <si>
    <t>Subprodutos terpênicos residuais da desterpenação dos óleos essenciais</t>
  </si>
  <si>
    <t>Águas destiladas aromáticas e soluções aquosas de óleos essenciais</t>
  </si>
  <si>
    <t>Oleorresinas de extração</t>
  </si>
  <si>
    <t>Vetiverol</t>
  </si>
  <si>
    <t xml:space="preserve">Perfumes  extratos </t>
  </si>
  <si>
    <t>Águas-de-colônia</t>
  </si>
  <si>
    <t>Sombra, delineador, lápis para sobrancelhas e rímel</t>
  </si>
  <si>
    <t>--Pós, incluindo os compactos</t>
  </si>
  <si>
    <t>Ex 01 - Talco e polvilho com ou sem perfume</t>
  </si>
  <si>
    <t>Cremes de beleza e cremes nutritivos, loções tônicas</t>
  </si>
  <si>
    <t>Ex 01 - Preparados bronzeadores</t>
  </si>
  <si>
    <t>Ex 02 - Preparados anti-solares, exceto os que possuam propriedades de bronzeadores</t>
  </si>
  <si>
    <t>-Preparações para ondulação ou alisamento, permanentes, dos cabelos</t>
  </si>
  <si>
    <t>Ex 01 - Condicionadores</t>
  </si>
  <si>
    <t xml:space="preserve">-Preparações para barbear  antes, durante ou após </t>
  </si>
  <si>
    <t>Líquidos</t>
  </si>
  <si>
    <t>Ex 01 - Soluções para lentes de contato ou para olhos artificiais</t>
  </si>
  <si>
    <t>Sabões medicinais</t>
  </si>
  <si>
    <t>EX 01 - Sabão</t>
  </si>
  <si>
    <t>Ex 01 - Papel, pastas  “ouates” , feltros e falsos tecidos, impregnados, revestidos ou recobertos de sabão ou de detergentes</t>
  </si>
  <si>
    <t>Ex 02 - Produtos e preparações orgânicos tensoativos utilizados como sabão</t>
  </si>
  <si>
    <t>Ex 03 - Sabão</t>
  </si>
  <si>
    <t>De toucador</t>
  </si>
  <si>
    <t>-Produtos e preparações orgânicos tensoativos para lavagem da pele, em forma de líquido ou de creme, acondicionados para venda a retalho, mesmo que contenham sabão</t>
  </si>
  <si>
    <t>Dibutilnaftalenossulfato de sódio</t>
  </si>
  <si>
    <t>N-Metil-N-oleiltaurato de sódio</t>
  </si>
  <si>
    <t>Alquilsulfonato de sódio, secundário</t>
  </si>
  <si>
    <t>Misturas de ácidos alquilbenzenossulfônicos</t>
  </si>
  <si>
    <t>Acetato de oleilamina</t>
  </si>
  <si>
    <t>Que contenham exclusivamente produtos não iônicos</t>
  </si>
  <si>
    <t>Soluções ou emulsões hidroalcoólicas de  1-perfluoralquil-2-acetoxi propil-betaína</t>
  </si>
  <si>
    <t>À base de nonanoiloxibenzenossulfonato de sódio</t>
  </si>
  <si>
    <t>Soluções ou emulsões hidroalcoólicas de sulfonatos de perfluoralquiltrimetilamônio e de perfluoralquilacrilamida</t>
  </si>
  <si>
    <t>À base de nonilfenol etoxilado</t>
  </si>
  <si>
    <t>Para o tratamento de matérias têxteis</t>
  </si>
  <si>
    <t>Para o tratamento de couros e peles</t>
  </si>
  <si>
    <t>Ceras artificiais</t>
  </si>
  <si>
    <t>Ceras preparadas</t>
  </si>
  <si>
    <t>De polietileno, emulsionáveis</t>
  </si>
  <si>
    <t>Outras, de polietileno</t>
  </si>
  <si>
    <t>De polipropilenoglicóis</t>
  </si>
  <si>
    <t>De dímero de alquilceteno com dois grupos alternados n-alquila de C12, C14 e C16, em grânulos</t>
  </si>
  <si>
    <t xml:space="preserve">À base de vaselina e álcoois de lanolina  eucerina anidra </t>
  </si>
  <si>
    <t>-Pomadas, cremes e preparações semelhantes, para calçados ou para couros</t>
  </si>
  <si>
    <t>-Encáusticas e preparações semelhantes, para conservação e limpeza de móveis de madeira, soalhos e de outros artigos de madeira</t>
  </si>
  <si>
    <t>-Preparações para dar brilho a pinturas de carroçarias e produtos semelhantes, exceto preparações para dar brilho a metais</t>
  </si>
  <si>
    <t>-Pastas, pós e outras preparações para arear</t>
  </si>
  <si>
    <t>Velas, pavios, círios e artigos semelhantes.</t>
  </si>
  <si>
    <t>Pastas para modelar</t>
  </si>
  <si>
    <t>“Ceras para dentistas”</t>
  </si>
  <si>
    <t>Caseinato de sódio</t>
  </si>
  <si>
    <t>Colas de caseína</t>
  </si>
  <si>
    <t>-Lactalbumina, incluindo os concentrados de duas ou mais proteínas de soro de leite</t>
  </si>
  <si>
    <t>Soroalbumina</t>
  </si>
  <si>
    <t>De osseína, com grau de pureza superior ou igual a 99,98%, em peso</t>
  </si>
  <si>
    <t>De osseína, com grau de pureza inferior a 99,98%, em peso</t>
  </si>
  <si>
    <t>Peptonas e peptonatos</t>
  </si>
  <si>
    <t>Proteínas de soja em pó, com teor de proteínas superior ou igual a 90%, em peso, em base seca</t>
  </si>
  <si>
    <t>Proteínas de batata em pó, com teor de proteínas superior ou igual a 80%, em peso, em base seca</t>
  </si>
  <si>
    <t>À base de cianoacrilatos</t>
  </si>
  <si>
    <t>À base de borracha</t>
  </si>
  <si>
    <t>À base de polímeros das posições 39.01 a 39.13, dispersos ou para dispersar em meio aquoso</t>
  </si>
  <si>
    <t xml:space="preserve">Alfa-amilase  Aspergillus oryzae </t>
  </si>
  <si>
    <t>Fibrinucleases</t>
  </si>
  <si>
    <t>Bromelina</t>
  </si>
  <si>
    <t>Estreptodornase</t>
  </si>
  <si>
    <t>Mistura de estreptoquinase e estreptodornase</t>
  </si>
  <si>
    <t>Papaína</t>
  </si>
  <si>
    <t>Lisozima e seu cloridrato</t>
  </si>
  <si>
    <t>À base de celulases</t>
  </si>
  <si>
    <t>À base de transglutaminase</t>
  </si>
  <si>
    <t>Pólvoras propulsivas.</t>
  </si>
  <si>
    <t>Explosivos preparados, exceto pólvoras propulsivas.</t>
  </si>
  <si>
    <t>Ex 01 - À base de poliácoois  dinamite , outros explosivos preparados com efeito equivalente ao da dinamite</t>
  </si>
  <si>
    <t>Estopins e rastilhos, de segurança, cordéis detonantes, fulminantes e cápsulas fulminantes, escorvas, detonadores elétricos.</t>
  </si>
  <si>
    <t>Foguetes e cartuchos contra o granizo e semelhantes</t>
  </si>
  <si>
    <t>Ex 01 - Foguetes e artigos semelhantes para sinalização</t>
  </si>
  <si>
    <t>Fósforos, exceto os artigos de pirotecnia da posição 36.04.</t>
  </si>
  <si>
    <t>-Combustíveis líquidos e combustíveis gasosos liquefeitos, em recipientes dos tipos utilizados para carregar ou recarregar isqueiros ou acendedores, com capacidade não superior a 300 cm3</t>
  </si>
  <si>
    <t>Sensibilizados em uma face</t>
  </si>
  <si>
    <t>Próprios para uso odontológico</t>
  </si>
  <si>
    <t xml:space="preserve">Para fotografia a cores  policromo </t>
  </si>
  <si>
    <t>Para fotografia monocromática</t>
  </si>
  <si>
    <t>De poliéster</t>
  </si>
  <si>
    <t>Filmes para as artes gráficas</t>
  </si>
  <si>
    <t>Filmes heliográficos, de poliéster</t>
  </si>
  <si>
    <t>Sensibilizados em ambas as faces</t>
  </si>
  <si>
    <t>--Outros, que contenham uma emulsão de halogenetos de prata</t>
  </si>
  <si>
    <t xml:space="preserve">--De largura superior a 610 mm e comprimento superior a 200 m, para fotografia a cores  policromo </t>
  </si>
  <si>
    <t>Para as artes gráficas</t>
  </si>
  <si>
    <t>Heliográficos, de poliéster</t>
  </si>
  <si>
    <t>Fotopolimerizáveis, sensibilizadas à base de compostos acrílicos, dos tipos utilizados para a fabricação de circuitos impressos</t>
  </si>
  <si>
    <t>--De largura não superior a 16 mm</t>
  </si>
  <si>
    <t>Ex 01 - Filmes cinematográficos de 16 mm de largura e comprimento superior a 14m</t>
  </si>
  <si>
    <t>--De largura superior a 16 mm, mas não superior a 35 mm, e comprimento não superior a 30 m, para diapositivos</t>
  </si>
  <si>
    <t xml:space="preserve">Em bobinas  filmpacks </t>
  </si>
  <si>
    <t xml:space="preserve">De 12 exposições  0,5 m de comprimento , de 24 exposições  1,0 m de comprimento  ou de 36 exposições  1,5 m de comprimento </t>
  </si>
  <si>
    <t>De largura igual a 35 mm</t>
  </si>
  <si>
    <t>--De largura superior a 35 mm</t>
  </si>
  <si>
    <t>--De largura não superior a 35 mm e comprimento não superior a 30 m</t>
  </si>
  <si>
    <t>Ex 01 - De largura não superior a 16mm e comprimento superior a 14 metros</t>
  </si>
  <si>
    <t>--De largura não superior a 35 mm e comprimento superior a 30 m</t>
  </si>
  <si>
    <t>Ex 01 - De largura não superior a 16mm</t>
  </si>
  <si>
    <t>Papel heliográfico</t>
  </si>
  <si>
    <t xml:space="preserve">-Outros, para fotografia a cores  policromo </t>
  </si>
  <si>
    <t>Papel para fotocomposição</t>
  </si>
  <si>
    <t>Chapas, filmes, papéis, cartões e têxteis, fotográficos, impressionados mas não revelados.</t>
  </si>
  <si>
    <t>Ex 01 - Chapas e filmes</t>
  </si>
  <si>
    <t>Fotomáscaras sobre vidro plano, positivas, próprias para gravação em pastilhas de silício  chips  para fabricação de microestruturas eletrônicas</t>
  </si>
  <si>
    <t>-De largura igual ou superior a 35 mm</t>
  </si>
  <si>
    <t>Fixadores</t>
  </si>
  <si>
    <t>À base de negro-de-carbono ou de um corante e resinas termoplásticas, para a reprodução de documentos por processo eletrostático</t>
  </si>
  <si>
    <t>Compostos diazóicos fotossensíveis para preparação de emulsões</t>
  </si>
  <si>
    <t>Suspensão semicoloidal em óleos minerais</t>
  </si>
  <si>
    <t>Pasta carbonada para eletrodos</t>
  </si>
  <si>
    <t>Farinhas siliciosas fósseis</t>
  </si>
  <si>
    <t>Bentonita</t>
  </si>
  <si>
    <t>Atapulgita</t>
  </si>
  <si>
    <t>Outras argilas e terras</t>
  </si>
  <si>
    <t>Bauxita</t>
  </si>
  <si>
    <t>Tall oil, mesmo refinado.</t>
  </si>
  <si>
    <t>Ao sulfito</t>
  </si>
  <si>
    <t>À soda ou ao sulfato</t>
  </si>
  <si>
    <t>Lignossulfonatos</t>
  </si>
  <si>
    <t>-Essências de terebintina, de pinheiro ou provenientes da fabricação da pasta de papel ao sulfato</t>
  </si>
  <si>
    <t>Óleo de pinho</t>
  </si>
  <si>
    <t>-Sais de colofônias, de ácidos resínicos ou de derivados de colofônias ou de ácidos resínicos, exceto os sais de aductos de colofônias</t>
  </si>
  <si>
    <t>Colofônias oxidadas, hidrogenadas, desidrogenadas, polimerizadas ou modificadas com ácidos fumárico ou maléico ou com anidrido maléico</t>
  </si>
  <si>
    <t>Abietatos de metila ou de benzila, hidroabietato de metila</t>
  </si>
  <si>
    <t>Ex 01 - Gomas fundidas</t>
  </si>
  <si>
    <t>Alcatrões de madeira, óleos de alcatrão de madeira, creosoto de madeira, metileno, breu  pez  vegetal, breu  pez  para a indústria da cerveja e preparações semelhantes à base de colofônias, de ácidos resínicos ou de breu  pez  vegetal.</t>
  </si>
  <si>
    <t>Ex 01 - Solventes e diluentes compostos para vernizes ou produtos semelhantes</t>
  </si>
  <si>
    <t>Apresentados em formas ou embalagens exclusivamente para uso direto em aplicações domissanitárias</t>
  </si>
  <si>
    <t>À base de metamidofós ou monocrotofós</t>
  </si>
  <si>
    <t>Ex 01 - Desinfetantes sem propriedades acessórias odoríferas e desodorizantes de ambientes, exceto à base de hipoclorito de sódio</t>
  </si>
  <si>
    <t>Ex 02 - Desinfetantes com propriedades acessórias odoríferas ou desodorizantes de ambientes</t>
  </si>
  <si>
    <t>Que contenham bromometano  brometo de metila  ou bromoclorometano</t>
  </si>
  <si>
    <t>Apresentados de outro modo, contendo bromometano  brometo de metila  ou bromoclorometano</t>
  </si>
  <si>
    <t>À base de acefato ou de Bacillus thuringiensis</t>
  </si>
  <si>
    <t>À base de cipermetrinas ou de permetrina</t>
  </si>
  <si>
    <t>À base de dicrotofós</t>
  </si>
  <si>
    <t>À base de dissulfoton ou de endossulfan</t>
  </si>
  <si>
    <t>À base de fosfeto de alumínio</t>
  </si>
  <si>
    <t>À base de diclorvós ou de triclorfon</t>
  </si>
  <si>
    <t>À base de óleo mineral ou de tiometon</t>
  </si>
  <si>
    <t>À base de sulfluramida</t>
  </si>
  <si>
    <t>À base de hidróxido de cobre, de oxicloreto de cobre ou de óxido cuproso</t>
  </si>
  <si>
    <t>À base de enxofre ou de ziram</t>
  </si>
  <si>
    <t>À base de mancozeb ou de maneb</t>
  </si>
  <si>
    <t>À base de sulfiram</t>
  </si>
  <si>
    <t>À base de compostos de arsênio, cobre ou cromo, exceto os produtos do subitem 3808.92.91</t>
  </si>
  <si>
    <t>À base de thiram</t>
  </si>
  <si>
    <t>À base de propiconazol</t>
  </si>
  <si>
    <t>Outros, à base de ácido 2,4-diclorofenoxiacético  2,4-D , de ácido 4- 2,4-diclorofenoxi butírico  2,4-DB , de ácido  4-cloro-2-metil fenoxiacético  MCPA  ou de derivados de 2,4-D ou 2,4-DB</t>
  </si>
  <si>
    <t>Outros, à base de alaclor, de ametrina, de atrazina ou de diuron</t>
  </si>
  <si>
    <t>Outros, à base de glifosato ou seus sais, de imazaquim ou de lactofen</t>
  </si>
  <si>
    <t>Outros, à base de dicloreto de paraquat, de propanil ou de simazina</t>
  </si>
  <si>
    <t>Outros, à base de trifluralina</t>
  </si>
  <si>
    <t>Outros, à base de imazetapir</t>
  </si>
  <si>
    <t>Outros, apresentados em formas ou embalagens exclusivamente para uso direto em aplicações domissanitárias</t>
  </si>
  <si>
    <t>Outros, à base de hidrazida maléica</t>
  </si>
  <si>
    <t>Ex 01 - Com propriedades acessórias odoríferas ou desodorizantes de ambientes, apresentados em embalagem tipo aerossol</t>
  </si>
  <si>
    <t>Ex 02 - À base de hipoclorito de sódio</t>
  </si>
  <si>
    <t>Ex 01 - Com propriedades acessórias odoríferas ou desodorizantes de ambientes</t>
  </si>
  <si>
    <t>Outros, à base de 2- tiocianometiltio  benzotiazol</t>
  </si>
  <si>
    <t>Acaricidas à base de amitraz, de clorfenvinfós ou de propargite</t>
  </si>
  <si>
    <t xml:space="preserve">Acaricidas à base de ciexatin ou de óxido de fembutatin  óxido de fenbutatin </t>
  </si>
  <si>
    <t>Outros acaricidas</t>
  </si>
  <si>
    <t>Nematicidas à base de metam sódio</t>
  </si>
  <si>
    <t>Outros nematicidas</t>
  </si>
  <si>
    <t>Raticidas</t>
  </si>
  <si>
    <t>Dos tipos utilizados na indústria têxtil</t>
  </si>
  <si>
    <t>Aprestos preparados</t>
  </si>
  <si>
    <t>Preparações mordentes</t>
  </si>
  <si>
    <t>Produtos ignífugos</t>
  </si>
  <si>
    <t>À base de parafina ou de derivados de ácidos graxos</t>
  </si>
  <si>
    <t>Ex 01 - Preparações ignífugas</t>
  </si>
  <si>
    <t>Preparações para decapagem de metais</t>
  </si>
  <si>
    <t>Pastas e pós para soldar</t>
  </si>
  <si>
    <t>Melhoradores do índice de viscosidade</t>
  </si>
  <si>
    <t>Antidesgastes, anticorrosivos ou antioxidantes, contendo dialquilditiofosfato de zinco ou diarilditiofosfato de zinco</t>
  </si>
  <si>
    <t>Dispersantes sem cinzas</t>
  </si>
  <si>
    <t>Detergentes metálicos</t>
  </si>
  <si>
    <t>Outras preparações contendo, pelo menos, um de quaisquer dos produtos compreendidos nos itens 3811.21.10, 3811.21.20, 3811.21.30 e 3811.21.40</t>
  </si>
  <si>
    <t>Dispersantes sem cinzas, para óleos de petróleo combustíveis</t>
  </si>
  <si>
    <t>Que contenham derivados N-substituídos de p-fenilenodiamina</t>
  </si>
  <si>
    <t>Que contenham fosfitos de alquila, de arila ou de alquil-arila</t>
  </si>
  <si>
    <t>Que contenham 2,2,4-trimetil-1,2-diidroquinoleína polimerizada</t>
  </si>
  <si>
    <t>Que contenham bromoclorodifluorometano, bromotrifluorometano ou dibromotetrafluoroetanos</t>
  </si>
  <si>
    <t xml:space="preserve">Que contenham hidrobromofluorcarbonetos do metano, do etano ou do propano  HBFC </t>
  </si>
  <si>
    <t xml:space="preserve">Que contenham hidroclorofluorcarbonetos do metano, do etano ou do propano  HCFC </t>
  </si>
  <si>
    <t>Que contenham bromoclorometano</t>
  </si>
  <si>
    <t xml:space="preserve">Que contenham clorofluorcarbonetos do metano, do etano ou do propano  CFC , mesmo que contenham hidroclorofluorcarbonetos  HCFC </t>
  </si>
  <si>
    <t xml:space="preserve">Que contenham hidroclorofluorcarbonetos do metano, do etano ou do propano  HCFC , mas que não contenham clorofluorcarbonetos  CFC </t>
  </si>
  <si>
    <t xml:space="preserve">Que contenham tetracloreto de carbono, bromoclorometano ou 1,1,1-tricloroetano  metilclorofórmio </t>
  </si>
  <si>
    <t>Em colméia cerâmica ou metálica para conversão catalítica de gases de escape de veículos</t>
  </si>
  <si>
    <t xml:space="preserve">Com tamanho de partícula inferior a 500 micrômetros  mícrons </t>
  </si>
  <si>
    <t>Para craqueamento de petróleo</t>
  </si>
  <si>
    <t xml:space="preserve">Tendo como substância ativa o isoprenilalumínio  IPRA </t>
  </si>
  <si>
    <t>Tendo como substância ativa o óxido de zinco</t>
  </si>
  <si>
    <t>À base de magnesita calcinada</t>
  </si>
  <si>
    <t>À base de silimanita</t>
  </si>
  <si>
    <t>Que contenham grafita e 50% ou mais, em peso, de coríndon</t>
  </si>
  <si>
    <t>Misturas de alquilbenzenos</t>
  </si>
  <si>
    <t>Misturas de alquilnaftalenos</t>
  </si>
  <si>
    <t>De silício</t>
  </si>
  <si>
    <t>Fluidos para freios hidráulicos e outros líquidos preparados para transmissões hidráulicas, que não contenham óleos de petróleo nem de minerais betuminosos, ou que os contenham em proporção inferior a 70%, em peso.</t>
  </si>
  <si>
    <t>Preparações anticongelantes e líquidos preparados para descongelamento.</t>
  </si>
  <si>
    <t>Meios de cultura preparados para o desenvolvimento e a manutenção de microrganismos  incluindo os vírus e os organismos similares  ou de células vegetais, humanas ou animais.</t>
  </si>
  <si>
    <t>Reagentes para determinação de componentes do sangue ou da urina, sobre suporte de papel, em rolos, sem suporte adicional hidrófobo, impróprios para uso direto</t>
  </si>
  <si>
    <t>Esteárico</t>
  </si>
  <si>
    <t>Láurico</t>
  </si>
  <si>
    <t>Outras misturas de álcoois primários alifáticos</t>
  </si>
  <si>
    <t>Ex 01 - Com características de ceras artificiais</t>
  </si>
  <si>
    <t>-Carbonetos metálicos não aglomerados, misturados entre si ou com aglutinantes metálicos</t>
  </si>
  <si>
    <t>-Aditivos preparados para cimentos, argamassas ou concretos</t>
  </si>
  <si>
    <t>-Argamassas e concretos, não refratários</t>
  </si>
  <si>
    <t>-Sorbitol, exceto o da subposição 2905.44</t>
  </si>
  <si>
    <t>Que contenham triclorotrifluoroetanos</t>
  </si>
  <si>
    <t>--Que contenham bromoclorodifluorometano, bromotrifluorometano ou dibromotetrafluoroetanos</t>
  </si>
  <si>
    <t>Que contenham clorodifluormetano e pentafluoretano</t>
  </si>
  <si>
    <t>Que contenham clorodifluormetano e clorotetrafluoretano</t>
  </si>
  <si>
    <t xml:space="preserve">--Que contenham 1,1,1-tricloroetano  metilclorofórmio </t>
  </si>
  <si>
    <t>Que contenham tetrafluoretano e pentafluoretano</t>
  </si>
  <si>
    <t>Mistura de óxido de propileno com um conteúdo de óxido de etileno inferior ou igual a 30%, em peso</t>
  </si>
  <si>
    <t xml:space="preserve">--Que contenham polibromobifenilas  PBB , policloroterfenilas  PCT  ou policlorobifenilas  PCB </t>
  </si>
  <si>
    <t xml:space="preserve">--Que contenham fosfato de tris 2,3-dibromopropila </t>
  </si>
  <si>
    <t>Salinomicina micelial</t>
  </si>
  <si>
    <t>Com teor de cianocobalamina inferior ou igual a 55%, em peso</t>
  </si>
  <si>
    <t>Da fabricação da primicina amônica</t>
  </si>
  <si>
    <t>Senduramicina sódica, da fabricação da senduramicina</t>
  </si>
  <si>
    <t>Maduramicina amônica, em solução alcoólica, da fabricação da maduramicina</t>
  </si>
  <si>
    <t>Ácidos graxos dimerizados, preparações contendo ácidos graxos dimerizados</t>
  </si>
  <si>
    <t>Preparações contendo estearoilbenzoilmetano e palmitoilbenzoilmetano, preparações contendo caprilato e caprato de propilenoglicol</t>
  </si>
  <si>
    <t>Preparações contendo triglicerídios dos ácidos caprílico e cáprico</t>
  </si>
  <si>
    <t>Ésteres de álcoois graxos de C12 a C20 do ácido metacrílico e suas misturas, ésteres de ácidos monocarboxílicos de C10 ramificados com glicerol</t>
  </si>
  <si>
    <t>Misturas de ésteres dimetílicos dos ácidos adípico, glutárico e succínico, misturas de ácidos dibásicos de C11 e C12, ácidos naftênicos, seus sais insolúveis em água e seus ésteres</t>
  </si>
  <si>
    <t>Que contenham isocianatos de hexametileno ou outros isocianatos</t>
  </si>
  <si>
    <t>Que contenham aminas graxas de C8 a C22</t>
  </si>
  <si>
    <t>Que contenham polietilenoaminas e dietilenotriaminas, próprias para a coagulação do látex</t>
  </si>
  <si>
    <t>Outras, contendo polietilenoaminas</t>
  </si>
  <si>
    <t>Misturas de mono-, di- e triisopropanolaminas</t>
  </si>
  <si>
    <t>Reticulantes para silicones</t>
  </si>
  <si>
    <t>Preparações desincrustantes, anticorrosivas ou antioxidantes</t>
  </si>
  <si>
    <t>Mistura eutética de difenila e óxido de difenila</t>
  </si>
  <si>
    <t>À base de trimetil-3,9-dietildecano</t>
  </si>
  <si>
    <t>Antiespumantes contendo fosfato de tributila em solução de álcool isopropílico</t>
  </si>
  <si>
    <t>Misturas de polietilenoglicóis</t>
  </si>
  <si>
    <t>Polipropilenoglicol líquido</t>
  </si>
  <si>
    <t>Retardante de chama contendo misturas de trifenilfosfatos isopropilados</t>
  </si>
  <si>
    <t>Cal sodada, carbonato de cálcio hidrófugo</t>
  </si>
  <si>
    <t xml:space="preserve">Preparações à base de sílica em suspensão coloidal, nitreto de boro de estrutura cristalina cúbica, compactado com substrato de carbeto de tungstênio  volfrâmio </t>
  </si>
  <si>
    <t>Preparações à base de carbeto de tungstênio  volfrâmio  com níquel como aglomerante, brometo de hidrogênio em solução</t>
  </si>
  <si>
    <t>Preparações à base de hidróxido de níquel ou de cádmio, de óxido de cádmio ou de óxido ferroso férrico, próprios para a fabricação de acumuladores alcalinos</t>
  </si>
  <si>
    <t>Preparações utilizadas na elaboração de meios de cultura, trocadores de íons para o tratamento de águas, preparações à base de zeólitas artificiais</t>
  </si>
  <si>
    <t>Compostos absorventes à base de metais para aperfeiçoar o vácuo nos tubos ou válvulas elétricas</t>
  </si>
  <si>
    <t>Adubos  fertilizantes  foliares contendo zinco ou manganês</t>
  </si>
  <si>
    <t>Preparações à base de óxido de alumínio e óxido de zircônio, com um conteúdo de óxido de zircônio superior ou igual a 20%, em peso</t>
  </si>
  <si>
    <t>Ex 01 - Micronutrientes</t>
  </si>
  <si>
    <t>Preparações à base de anidrido poliisobutenilsuccínico, em óleo mineral</t>
  </si>
  <si>
    <t>Halquinol, tetraclorohidroxiglicina de alumínio e zircônio</t>
  </si>
  <si>
    <t>Triisocianato de tiofosfato de fenila ou de trifenilmetano, em solução de cloreto de metileno ou de acetato de etila, preparações à base de tetraacetiletilenodiamina  TAED , em grânulos</t>
  </si>
  <si>
    <t>Metilato de sódio em metanol</t>
  </si>
  <si>
    <t>Maneb, mancozeb, cloreto de benzalcônio</t>
  </si>
  <si>
    <t>Dispersão aquosa de microcápsulas de poliuretano ou de melamina-formaldeído contendo um precursor de corante em solventes orgânicos</t>
  </si>
  <si>
    <t>Misturas constituídas essencialmente pelos compostos seguintes: alquilfosfonofluoridatos de O-alquila  de até C10, incluindo os cicloalquilas , N,N-dialquilfosforoamidocianidatos de O-alquila  de até C10, incluindo os cicloalquilas , hidrogênio alquilfosf</t>
  </si>
  <si>
    <t>-Resíduos de soluções decapantes para metais, de fluidos hidráulicos, de fluidos para freios e de fluidos anticongelantes</t>
  </si>
  <si>
    <t>Biodiesel e suas misturas, que não contenham ou que contenham menos de 70%, em peso, de óleos de petróleo ou de óleos minerais betuminosos.</t>
  </si>
  <si>
    <t>Ex 01 - Biodiesel</t>
  </si>
  <si>
    <t>Linear</t>
  </si>
  <si>
    <t>Com carga</t>
  </si>
  <si>
    <t>Sem carga</t>
  </si>
  <si>
    <t>Vulcanizado, de densidade superior a 1,3</t>
  </si>
  <si>
    <t>Nas formas previstas na Nota 6 a  deste Capítulo</t>
  </si>
  <si>
    <t>Copolímeros de etileno e ácido acrílico</t>
  </si>
  <si>
    <t>Copolímeros de etileno e monômeros com radicais carboxílicos, inclusive com metacrilato de metila ou acrilato de metila como terceiro monômero</t>
  </si>
  <si>
    <t>Polietileno clorossulfonado</t>
  </si>
  <si>
    <t>Polietileno clorado</t>
  </si>
  <si>
    <t>Copolímeros de etileno - ácido metacrílico, com um conteúdo de etileno superior ou igual a 60%, em peso</t>
  </si>
  <si>
    <t xml:space="preserve">Copolímeros de metacrilato de metilbutadieno-estireno  MBS </t>
  </si>
  <si>
    <t xml:space="preserve">Copolímeros de acrilonitrilo-estireno-acrilato de butilo  ASA </t>
  </si>
  <si>
    <t>Obtido por processo de suspensão</t>
  </si>
  <si>
    <t>Obtido por processo de emulsão</t>
  </si>
  <si>
    <t>Com acetato de vinila, com um ácido dibásico ou com álcool vinílico, nas formas previstas na Nota 6 b  deste Capítulo</t>
  </si>
  <si>
    <t>Copolímeros de cloreto de vinilideno, sem emulsionante nem plastificante</t>
  </si>
  <si>
    <t>Copolímero de fluoreto de vinilideno e hexafluorpropileno</t>
  </si>
  <si>
    <t>Com grupos álcool vinílico, nas formas previstas na Nota 6 b  deste Capítulo</t>
  </si>
  <si>
    <t>-Poli álcool vinílico , mesmo que contenham grupos acetato não hidrolisados</t>
  </si>
  <si>
    <t>De vinilpirrolidona e acetato de vinila, em solução alcoólica</t>
  </si>
  <si>
    <t xml:space="preserve">Poli vinilformal </t>
  </si>
  <si>
    <t xml:space="preserve">Poli butiral de vinila </t>
  </si>
  <si>
    <t>Poli vinilpirrolidona  iodada</t>
  </si>
  <si>
    <t>Ex 01 - Em pó, de granulometria de 50 a 400 mesh, próprio para uso odontológico</t>
  </si>
  <si>
    <t>Poli ácido acrílico  e seus sais</t>
  </si>
  <si>
    <t>Sal sódico do poli ácido acrilamídico , solúvel em água</t>
  </si>
  <si>
    <t>Copolímero de metacrilato de 2-diisopropilaminoetila e metacrilato de n-decila, em suspensão de dimetilacetamida</t>
  </si>
  <si>
    <t>Ex 01 - Em pó, de granulometria de 50 a 400 mesh, próprios para uso odontológico</t>
  </si>
  <si>
    <t>Carboxipolimetileno, em pó</t>
  </si>
  <si>
    <t>Poli acrilato de sódio , com capacidade de absorção de uma solução aquosa de cloreto de sódio 0,9%, em peso, superior ou igual a vinte vezes seu próprio peso</t>
  </si>
  <si>
    <t>Copolímero de poli acrilato de potássio  e poli acrilamida , com capacidade de absorção de água destilada de até quatrocentas vezes seu próprio peso</t>
  </si>
  <si>
    <t>Copolímeros de acrilato de metila-etileno com um conteúdo de acrilato de metila superior ou igual a 50%, em peso</t>
  </si>
  <si>
    <t>Copolímero de acrilato de etila, acrilato de n-butila e acrilato de 2-metoxietila</t>
  </si>
  <si>
    <t>Com carga, nas formas previstas na Nota 6 a  deste Capítulo</t>
  </si>
  <si>
    <t>Com carga, nas formas previstas na Nota 6 b  deste Capítulo</t>
  </si>
  <si>
    <t>Polidextrose</t>
  </si>
  <si>
    <t>Outros, em pó que passe através de uma peneira com abertura de malha de 0,85 mm em proporção superior a 80%, em peso</t>
  </si>
  <si>
    <t>Em grânulos, com diâmetro de partícula superior a 2 mm, segundo a Norma ASTM E 11-70</t>
  </si>
  <si>
    <t>Politetrametilenoeterglicol</t>
  </si>
  <si>
    <t>Polietilenoglicol 400</t>
  </si>
  <si>
    <t xml:space="preserve">Poli epicloridrina </t>
  </si>
  <si>
    <t>Copolímeros de óxido de etileno</t>
  </si>
  <si>
    <t xml:space="preserve">Copolímero de tetrabromobisfenol A e epicloridrina  resina epóxida bromada </t>
  </si>
  <si>
    <t>Outras, nas formas previstas na Nota 6 a  deste Capítulo</t>
  </si>
  <si>
    <t>Nas formas previstas na Nota 6 b  deste Capítulo, com transmissão de luz de comprimento de onda de 550 nm ou 800 nm, superior a 89%, segundo Norma ASTM D 1003-00 e índice de fluidez de massa superior ou igual a 60 g/10 min e inferior ou igual a 80 g/10 mi</t>
  </si>
  <si>
    <t>Com carga de fibra de vidro</t>
  </si>
  <si>
    <t>Outros, nas formas previstas na Nota 6 a  deste Capítulo</t>
  </si>
  <si>
    <t xml:space="preserve">Poli epsilon caprolactona </t>
  </si>
  <si>
    <t>Poliamida-11</t>
  </si>
  <si>
    <t>Poliamida-12</t>
  </si>
  <si>
    <t>Poliamida-6 ou poliamida-6,6, com carga</t>
  </si>
  <si>
    <t>Poliamida-6 ou poliamida-6,6, sem carga</t>
  </si>
  <si>
    <t>Copolímero de lauril-lactama</t>
  </si>
  <si>
    <t>Obtidas por condensação de ácidos graxos dimerizados ou trimerizados com etilenaminas</t>
  </si>
  <si>
    <t>-Resinas ureicas, resinas de tioureia</t>
  </si>
  <si>
    <t>Melamina-formaldeído, em pó</t>
  </si>
  <si>
    <t>Fenol-formaldeído</t>
  </si>
  <si>
    <t>Soluções em solventes orgânicos</t>
  </si>
  <si>
    <t>Em dispersão aquosa</t>
  </si>
  <si>
    <t>Hidroxilados, com propriedades adesivas</t>
  </si>
  <si>
    <t>Misturas de pré-polímeros lineares e cíclicos, obtidos por hidrólise de dimetildiclorosilano, de peso molecular médio inferior ou igual a 8.800</t>
  </si>
  <si>
    <t>Polidimetilsiloxano, polimetilidrogenosiloxano ou misturas destes produtos, em dispersão</t>
  </si>
  <si>
    <t>Copolímeros de dimetilsiloxano com compostos vinílicos, de viscosidade superior ou igual a 1.000.000 cSt</t>
  </si>
  <si>
    <t>De vulcanização a quente</t>
  </si>
  <si>
    <t>Resinas</t>
  </si>
  <si>
    <t>Resinas de petróleo, total ou parcialmente hidrogenadas, de Cor Gardner inferior a 3, segundo Norma ASTM D 1544</t>
  </si>
  <si>
    <t>Politerpenos modificados quimicamente, exceto com fenóis</t>
  </si>
  <si>
    <t>Polieterimidas  PEI  e seus copolímeros</t>
  </si>
  <si>
    <t>Polietersulfonas  PES  e seus copolímeros</t>
  </si>
  <si>
    <t xml:space="preserve">Poli sulfeto de fenileno </t>
  </si>
  <si>
    <t>Polietilenaminas</t>
  </si>
  <si>
    <t>Polissulfonas</t>
  </si>
  <si>
    <t>Em álcool, com um teor de não voláteis superior ou igual a 65%, em peso</t>
  </si>
  <si>
    <t>Com um teor de carboximetilcelulose superior ou igual a 75%, em peso</t>
  </si>
  <si>
    <t>Com um teor de sais superior ou igual a 75%, em peso</t>
  </si>
  <si>
    <t>Metil-, etil- e propilcelulose, hidroxiladas</t>
  </si>
  <si>
    <t>Outras metilceluloses</t>
  </si>
  <si>
    <t>Outras etilceluloses</t>
  </si>
  <si>
    <t>Propionato de celulose</t>
  </si>
  <si>
    <t>Acetobutanoato de celulose</t>
  </si>
  <si>
    <t>Em pó</t>
  </si>
  <si>
    <t>Outras celuloses, em pó</t>
  </si>
  <si>
    <t>-Ácido algínico, seus sais e seus ésteres</t>
  </si>
  <si>
    <t>Borracha clorada ou cloridratada, nas formas previstas na Nota 6 b  deste Capítulo</t>
  </si>
  <si>
    <t>Borracha clorada, noutras formas</t>
  </si>
  <si>
    <t>Goma xantana</t>
  </si>
  <si>
    <t>Dextrana</t>
  </si>
  <si>
    <t>Proteínas endurecidas</t>
  </si>
  <si>
    <t>Quitosan  Chitosan , seus sais ou seus derivados</t>
  </si>
  <si>
    <t>Sulfato de condroitina</t>
  </si>
  <si>
    <t>De copolímeros de estireno-divinilbenzeno, sulfonados</t>
  </si>
  <si>
    <t>Ex 01 – Forros de policloreto de vinil  PVC  utilizados na construção civil.</t>
  </si>
  <si>
    <t>Monofilamentos</t>
  </si>
  <si>
    <t>De proteínas endurecidas</t>
  </si>
  <si>
    <t>Fibrosas, de celulose regenerada, de diâmetro superior ou igual a 150 mm</t>
  </si>
  <si>
    <t>--Tubos flexíveis podendo suportar uma pressão mínima de 27,6 MPa</t>
  </si>
  <si>
    <t>De copolímeros de etileno</t>
  </si>
  <si>
    <t>Tubos capilares, semipermeáveis, próprios para hemodiálise ou para oxigenação sanguínea</t>
  </si>
  <si>
    <t xml:space="preserve">De poli tereftalato de etileno </t>
  </si>
  <si>
    <t>Tubos capilares, semipermeáveis, próprios para hemodiálise</t>
  </si>
  <si>
    <t>--Outros, não reforçados com outras matérias, nem associados de outra forma com outras matérias, com acessórios</t>
  </si>
  <si>
    <t>Dos tipos utilizados em linhas de sangue para hemodiálise</t>
  </si>
  <si>
    <t>-Em rolos de largura não superior a 20 cm</t>
  </si>
  <si>
    <t>De densidade superior ou igual a 0,94, espessura inferior ou igual a 19 micrômetros  mícrons , em rolos de largura inferior ou igual a 66 cm</t>
  </si>
  <si>
    <t>De densidade inferior a 0,94, com óleo de parafina e carga  sílica e negro-de-carbono , apresentando nervuras paralelas entre si, com uma resistência elétrica superior ou igual a 0,030 ohms.cm2 mas inferior ou igual a 0,120 ohms.cm2, em rolos, dos tipos u</t>
  </si>
  <si>
    <t>De largura inferior ou igual a 12,5 cm e espessura inferior ou igual a 10 micrômetros  mícrons , metalizadas</t>
  </si>
  <si>
    <t>De largura inferior ou igual a 50 cm e espessura inferior ou igual a 25 micrômetros  mícrons , com uma ou ambas as faces rugosas de rugosidade relativa  relação entre a espessura média e a máxima  superior ou igual a 6%, de rigidez dielétrica superior ou</t>
  </si>
  <si>
    <t>Ex 01 - Substrato de polipropileno biaxialmente orientado, recoberto em ambas as faces da folha por camadas de tinta opacificante que propiciam receber as impressões ofsete seco, calcográfica, tipográfica e vernizes de proteção com cura a ultravioleta</t>
  </si>
  <si>
    <t>Ex 01 - De polímeros de estireno</t>
  </si>
  <si>
    <t xml:space="preserve">De poli cloreto de vinila , transparentes, termocontráteis, de espessura inferior ou igual a 250 micrômetros  mícrons </t>
  </si>
  <si>
    <t>Ex 01 - Laminados rígidos de policloreto de vinil  PVC  utilizados para revestimento de móveis</t>
  </si>
  <si>
    <t xml:space="preserve">De espessura inferior a 5 micrômetros  mícrons </t>
  </si>
  <si>
    <t>Com largura superior a 12 cm, sem qualquer trabalho à superfície</t>
  </si>
  <si>
    <t>Ex 01 – Laminados de politereftalato de etileno  PET  para revestimento</t>
  </si>
  <si>
    <t>De espessura inferior ou igual a 0,75 mm</t>
  </si>
  <si>
    <t>De fibra vulcanizada, de espessura inferior ou igual a 1 mm</t>
  </si>
  <si>
    <t>De silicone</t>
  </si>
  <si>
    <t xml:space="preserve">De poli álcool vinílico </t>
  </si>
  <si>
    <t>De polímeros de fluoreto de vinila</t>
  </si>
  <si>
    <t>De poliimida</t>
  </si>
  <si>
    <t xml:space="preserve">De poli clorotrifluoretileno </t>
  </si>
  <si>
    <t>Com base poliéster, de células abertas, com um número de poros por decímetro linear superior ou igual a 24 e inferior ou igual a 157  6 a 40 poros por polegada linear , com resistência à compressão 50%  RC50  superior ou igual a 3,0 kPa e inferior ou igua</t>
  </si>
  <si>
    <t>De resina melamina-formaldeído</t>
  </si>
  <si>
    <t>De polietileno, com reforço de napas de fibras de polietileno paralelizadas, superpostas entre si em ângulo de 90o e impregnadas com resinas</t>
  </si>
  <si>
    <t>De poli tereftalato de etileno , com camada antiestática à base de gelatina ou de látex em ambas as faces, mesmo com halogenetos de potássio</t>
  </si>
  <si>
    <t>-Banheiras, boxes para chuveiros, pias e lavatórios</t>
  </si>
  <si>
    <t>-Assentos e tampas, de sanitários</t>
  </si>
  <si>
    <t>Estojos de plástico, dos tipos utilizados para acondicionar discos para sistemas de leitura por raio laser</t>
  </si>
  <si>
    <t>De capacidade inferior ou igual a 1.000 cm3</t>
  </si>
  <si>
    <t>-Garrafões, garrafas, frascos e artigos semelhantes</t>
  </si>
  <si>
    <t>Ex 01 - Esboços de garrafas de plástico, fechados em uma extremidade e com a outra aberta e munida de uma rosca sobre a qual irá adaptar-se uma tampa roscada, devendo a parte abaixo da rosca ser transformada, posteriormente, para se obter a dimensão e for</t>
  </si>
  <si>
    <t>-Bobinas, carretéis, canelas e suportes semelhantes</t>
  </si>
  <si>
    <t>-Rolhas, tampas, cápsulas e outros dispositivos para fechar recipientes</t>
  </si>
  <si>
    <t>-Reservatórios, cisternas, cubas e recipientes análogos, de capacidade superior a 300 l</t>
  </si>
  <si>
    <t>-Portas, janelas e seus caixilhos, alizares e soleiras</t>
  </si>
  <si>
    <t>-Postigos, estores  incluindo as venezianas  e artefatos semelhantes, e suas partes</t>
  </si>
  <si>
    <t xml:space="preserve">De poliestireno expandido  EPS </t>
  </si>
  <si>
    <t xml:space="preserve">-Vestuário e seus acessórios  incluindo as luvas, mitenes e semelhantes </t>
  </si>
  <si>
    <t>Ex 01 - Cintos</t>
  </si>
  <si>
    <t>-Guarnições para móveis, carroçarias ou semelhantes</t>
  </si>
  <si>
    <t>Arruelas</t>
  </si>
  <si>
    <t>De transmissão</t>
  </si>
  <si>
    <t>Transportadoras</t>
  </si>
  <si>
    <t xml:space="preserve">Bolsas para uso em medicina  hemodiálise e usos semelhantes </t>
  </si>
  <si>
    <t>Artigos de laboratório ou de farmácia</t>
  </si>
  <si>
    <t>Ex 01 - Exclusivamente de laboratório de análises clínicas</t>
  </si>
  <si>
    <t>Acessórios dos tipos utilizados em linhas de sangue para hemodiálise, tais como: obturadores, incluindo os reguláveis  clamps , clipes e similares</t>
  </si>
  <si>
    <t>De tetrafluoretileno e éter perfluormetilvinil</t>
  </si>
  <si>
    <t>Ex 01 - Forma para fabricação de calçados</t>
  </si>
  <si>
    <t>Ex 02 - Máscara de proteção</t>
  </si>
  <si>
    <t>Ex 03 - Revestimento para canais de irrigação, de PVC flexível ou semelhante, com ilhoses para fixação no solo</t>
  </si>
  <si>
    <t>Ex 04 - Cinto, colete, bóia e equipamento semelhante de salvamento</t>
  </si>
  <si>
    <t>Ex 05 - Brincos e pulseiras para identificação de animais</t>
  </si>
  <si>
    <t>Ex 06 - Cabos para ferramentas, utensílios e aparelhos</t>
  </si>
  <si>
    <t>Ex 07 - Parafusos e porcas</t>
  </si>
  <si>
    <t>Ex 08 - Recipiente com serpentina e depósito para gelo, próprio para gelar bebidas</t>
  </si>
  <si>
    <t>Ex 09 - Leques e ventarolas</t>
  </si>
  <si>
    <t xml:space="preserve">Ex 10 - Bolsas para coleta de sangue e seus componentes e bolsas de diálise peritoneal  infusão e drenagem </t>
  </si>
  <si>
    <t>Ex 11 - Kits para aferese</t>
  </si>
  <si>
    <t>-Látex de borracha natural, mesmo pré-vulcanizado</t>
  </si>
  <si>
    <t>Crepadas</t>
  </si>
  <si>
    <t>Granuladas ou prensadas</t>
  </si>
  <si>
    <t>-Balata, guta-percha, guaiúle, chicle e gomas naturais análogas</t>
  </si>
  <si>
    <t xml:space="preserve">De estireno-butadieno  SBR </t>
  </si>
  <si>
    <t xml:space="preserve">De estireno-butadieno carboxilada  XSBR </t>
  </si>
  <si>
    <t>Em chapas, folhas ou tiras</t>
  </si>
  <si>
    <t>Grau alimentício de acordo com o estabelecido pelo Food Chemical Codex, em formas primárias</t>
  </si>
  <si>
    <t>Óleo</t>
  </si>
  <si>
    <t>-Misturas dos produtos da posição 40.01 com produtos da presente posição</t>
  </si>
  <si>
    <t>Borracha estireno-isopreno-estireno</t>
  </si>
  <si>
    <t xml:space="preserve">Borracha etileno-propileno-dieno não conjugado-propileno  EPDM-propileno </t>
  </si>
  <si>
    <t>Borracha acrilonitrila-butadieno hidrogenada</t>
  </si>
  <si>
    <t>Borracha regenerada, em formas primárias ou em chapas, folhas ou tiras.</t>
  </si>
  <si>
    <t>Desperdícios, resíduos e aparas, de borracha não endurecida, mesmo reduzidos a pó ou a grânulos.</t>
  </si>
  <si>
    <t>Borracha etileno-propileno-dieno não conjugado-propileno  EPDM-propileno , com sílica e plastificante, em grânulos</t>
  </si>
  <si>
    <t>-Soluções, dispersões, exceto as da subposição 4005.10</t>
  </si>
  <si>
    <t>Preparações base para a fabricação de gomas de mascar</t>
  </si>
  <si>
    <t>Recobertos com silicone, mesmo paralelizados</t>
  </si>
  <si>
    <t>Cordas</t>
  </si>
  <si>
    <t>--Chapas, folhas e tiras</t>
  </si>
  <si>
    <t>Ex 01 - Remendo e manchão, com superfície recoberta de produtos autovulcanizantes a frio e protegidos por papel, plástico ou outra matéria</t>
  </si>
  <si>
    <t>Com uma pressão de ruptura superior ou igual a 17,3 MPa</t>
  </si>
  <si>
    <t>--Correias de transmissão sem fim, de seção trapezoidal, estriadas, com uma circunferência externa superior a 60 cm, mas não superior a 180 cm</t>
  </si>
  <si>
    <t>--Correias de transmissão sem fim, de seção trapezoidal, não estriadas, com uma circunferência externa superior a 60 cm, mas não superior a 180 cm</t>
  </si>
  <si>
    <t>--Correias de transmissão sem fim, de seção trapezoidal, estriadas, com uma circunferência externa superior a 180 cm, mas não superior a 240 cm</t>
  </si>
  <si>
    <t>--Correias de transmissão sem fim, de seção trapezoidal, não estriadas, com uma circunferência externa superior a 180 cm, mas não superior a 240 cm</t>
  </si>
  <si>
    <t>--Correias de transmissão sem fim, síncronas, com uma circunferência externa superior a 60 cm, mas não superior a 150 cm</t>
  </si>
  <si>
    <t>--Correias de transmissão sem fim, síncronas, com uma circunferência externa superior a 150 cm, mas não superior a 198 cm</t>
  </si>
  <si>
    <t>De medida 11,00-24</t>
  </si>
  <si>
    <t>Ex 01 - Para máquinas e tratores agrícolas</t>
  </si>
  <si>
    <t>--Dos tipos utilizados em veículos e máquinas para a construção civil ou manutenção industrial, para aros de diâmetro inferior ou igual a 61 cm</t>
  </si>
  <si>
    <t xml:space="preserve">Radiais, para dumpers concebidos para serem utilizados fora de rodovias, com seção de largura superior ou igual a 940 mm  37” , para aros de diâmetro superior ou igual a 1.448 mm  57” </t>
  </si>
  <si>
    <t xml:space="preserve">Outros, com seção de largura superior ou igual a 1.143 mm  45” , para aros de diâmetro superior ou igual a 1.143 mm  45” </t>
  </si>
  <si>
    <t xml:space="preserve">Com seção de largura superior ou igual a 1.143 mm  45” , para aros de diâmetro superior ou igual a 1.143 mm  45” </t>
  </si>
  <si>
    <t>Nas seguintes medidas: 4,00-15, 4,00-18, 4,00-19, 5,00-15, 5,00-16, 5,50-16, 6,00-16, 6,00-19, 6,00-20, 6,50-16, 6,50-20, 7,50-16, 7,50-18, 7,50-20</t>
  </si>
  <si>
    <t>Ex 01 - Remoldados</t>
  </si>
  <si>
    <t>Ex 01 – Remoldados, exceto para máquinas e tratores agrícolas</t>
  </si>
  <si>
    <t>Ex 02 – Remoldados, para máquinas e tratores agrícolas</t>
  </si>
  <si>
    <t>Flaps</t>
  </si>
  <si>
    <t>Para pneumáticos do tipo dos utilizados em ônibus ou caminhões, de medida 11,00-24</t>
  </si>
  <si>
    <t>Ex 01 - Dos tipos utilizados em ônibus ou caminhões</t>
  </si>
  <si>
    <t>Ex 01 - Dos tipos utilizados em colheitadeiras ou tratores agrícolas</t>
  </si>
  <si>
    <t>Bolsas para gelo ou para água quente</t>
  </si>
  <si>
    <t>Ex 01 - De segurança e proteção</t>
  </si>
  <si>
    <t>Ex 01 - Vestuário de segurança e proteção, mesmo com seus acessórios</t>
  </si>
  <si>
    <t>Partes de veículos automóveis ou tratores e de máquinas ou aparelhos, não domésticos, dos Capítulos 84, 85 ou 90</t>
  </si>
  <si>
    <t>--Juntas, gaxetas e semelhantes</t>
  </si>
  <si>
    <t>--Defensas, mesmo infláveis, para atracação de embarcações</t>
  </si>
  <si>
    <t>De salvamento</t>
  </si>
  <si>
    <t>Tampões vedadores para capacitores, de EPDM, com perfurações para terminais</t>
  </si>
  <si>
    <t>Ex 01 - Sapatas</t>
  </si>
  <si>
    <t>Ex 02 - Partes dos produtos das posições 8608, 8710 e 8713</t>
  </si>
  <si>
    <t>Ex 03 - Tapetes próprios para ônibus ou caminhões</t>
  </si>
  <si>
    <t>Ex 04 - Viras para calçados</t>
  </si>
  <si>
    <t>Ex 05 - Tapetes próprios para veículos automóveis, exceto ônibus ou caminhões</t>
  </si>
  <si>
    <t>Borracha endurecida  ebonite, por exemplo  sob qualquer forma, incluindo os desperdícios e resíduos, obras de borracha endurecida.</t>
  </si>
  <si>
    <t>Ex 01 -Placas de borracha endurecida com encaixes de sobreposição, obtidas pela trituração de sucata de pneumáticos</t>
  </si>
  <si>
    <t>Ex 02 - Estrado de borracha endurecida, obtido pela trituração de sucata de pneumáticos</t>
  </si>
  <si>
    <t>Ex 03 - Borracha endurecida sob quaisquer formas, incluídos os desperdícios e resíduos</t>
  </si>
  <si>
    <t>-Couros e peles em bruto, inteiros, não divididos, de peso unitário não superior a 8 kg quando secos, a 10 kg quando salgados a seco e a 16 kg quando frescos, salgados a úmido ou conservados de outro modo</t>
  </si>
  <si>
    <t>Sem dividir</t>
  </si>
  <si>
    <t>Divididos, com o lado flor</t>
  </si>
  <si>
    <t>Divididos, sem o lado flor</t>
  </si>
  <si>
    <t xml:space="preserve">Couros e peles inteiros, de bovinos  incluindo os búfalos , de superfície unitária não superior a 2,6 m2, simplesmente curtidos ao cromo  wet-blue </t>
  </si>
  <si>
    <t>Outros couros e peles inteiros, de bovinos  incluindo os búfalos , de superfície unitária não superior a 2,6 m2</t>
  </si>
  <si>
    <t>Outros couros e peles de bovinos  incluindo os búfalos , com pré-curtimenta vegetal</t>
  </si>
  <si>
    <t xml:space="preserve">Outros couros e peles de bovinos  incluindo os búfalos </t>
  </si>
  <si>
    <t>Couros e peles inteiros, de bovinos  incluindo os búfalos , de superfície unitária não superior a 2,6 m2</t>
  </si>
  <si>
    <t>Outros couros e peles de bovinos  incluindo os búfalos , curtidos ao vegetal, para solas</t>
  </si>
  <si>
    <t>Com pré-curtimenta vegetal</t>
  </si>
  <si>
    <t xml:space="preserve">Ao cromo  wet-blue </t>
  </si>
  <si>
    <t xml:space="preserve">Simplesmente curtidos ao cromo  wet-blue </t>
  </si>
  <si>
    <t>Couros e peles de bovinos  incluindo os búfalos , de superfície unitária não superior a 2,6 m2</t>
  </si>
  <si>
    <t xml:space="preserve">De bovinos  incluindo os búfalos </t>
  </si>
  <si>
    <t>Couros preparados após curtimenta ou após secagem e couros e peles apergaminhados, de ovinos, depilados, mesmo divididos, exceto os da posição 41.14.</t>
  </si>
  <si>
    <t>Curtidos ao cromo, com acabamento</t>
  </si>
  <si>
    <t>Envernizados ou revestidos</t>
  </si>
  <si>
    <t>Metalizados</t>
  </si>
  <si>
    <t>-Couro reconstituído à base de couro ou de fibras de couro, em chapas, folhas ou tiras, mesmo enroladas</t>
  </si>
  <si>
    <t>-Aparas e outros desperdícios de couros ou de peles preparados ou de couro reconstituído, não utilizáveis para fabricação de obras de couro, serragem, pó e farinha de couro</t>
  </si>
  <si>
    <t>De couro natural ou reconstituído</t>
  </si>
  <si>
    <t>De plásticos</t>
  </si>
  <si>
    <t>De matérias têxteis</t>
  </si>
  <si>
    <t>De folhas de plásticos</t>
  </si>
  <si>
    <t>Ex 01 - De proteção, para trabalho manual</t>
  </si>
  <si>
    <t>-Cintos, cinturões e bandoleiras ou talabartes</t>
  </si>
  <si>
    <t>Outras obras de couro natural ou reconstituído.</t>
  </si>
  <si>
    <t>Obras de tripa, de baudruches, de bexiga ou de tendões.</t>
  </si>
  <si>
    <t>Ex 01 - Cordas de tripa</t>
  </si>
  <si>
    <t>-De visons, inteiras, com ou sem cabeça, cauda ou patas</t>
  </si>
  <si>
    <t>-De cordeiros denominados astracã, breitschwanz, caracul, persianer ou semelhantes, de cordeiros da Índia, da China, da Mongólia ou do Tibete, inteiras, com ou sem cabeça, cauda ou patas</t>
  </si>
  <si>
    <t>-De raposas, inteiras, com ou sem cabeça, cauda ou patas</t>
  </si>
  <si>
    <t>-De outros animais, inteiras, com ou sem cabeça, cauda ou patas</t>
  </si>
  <si>
    <t>-Cabeças, caudas, patas e outras partes utilizáveis na indústria de peles</t>
  </si>
  <si>
    <t>Ex 01 - Esquadriada</t>
  </si>
  <si>
    <t xml:space="preserve">-Cabeças, caudas, patas e outras partes, desperdícios e aparas, não reunidos  não montados </t>
  </si>
  <si>
    <t>Ex 01 - Cabeças, caudas, patas e outras partes, desperdícios e aparas, de coelho ou de lebre</t>
  </si>
  <si>
    <t>Ex 02 - Cabeças, caudas, patas e outras partes, desperdícios e aparas, de bovino, de ovino ou de caprino</t>
  </si>
  <si>
    <t xml:space="preserve">-Peles com pelo inteiras e respectivos pedaços e aparas, reunidos  montados </t>
  </si>
  <si>
    <t>Ex 01 - De bovino, ovino, caprino, coelho ou de lebre</t>
  </si>
  <si>
    <t>Ex 02 - Peles “alongadas”, exceto de bovino, ovino, caprino, coelho ou de lebre</t>
  </si>
  <si>
    <t>Peles com pelo artificiais, e suas obras.</t>
  </si>
  <si>
    <t>-Tratada com tinta, creosoto ou com outros agentes de conservação</t>
  </si>
  <si>
    <t>-Outras, de coníferas</t>
  </si>
  <si>
    <t>Ex 01 - Esquadriadas</t>
  </si>
  <si>
    <t>--Dark Red Meranti, Light Red Meranti e Meranti Bakau</t>
  </si>
  <si>
    <t>Lã de madeira, farinha de madeira.</t>
  </si>
  <si>
    <t>--Virola, Imbuia e Balsa</t>
  </si>
  <si>
    <t>--White Lauan, White Meranti, White Seraya, Yellow Meranti e Alan</t>
  </si>
  <si>
    <t>De ipê</t>
  </si>
  <si>
    <t>De pau-marfim</t>
  </si>
  <si>
    <t>De louro</t>
  </si>
  <si>
    <t xml:space="preserve">De canafístula  Pelthophorum vogelianum </t>
  </si>
  <si>
    <t xml:space="preserve">De peroba  Paratecoma peroba </t>
  </si>
  <si>
    <t xml:space="preserve">De guaiuvira  Patagonula americana </t>
  </si>
  <si>
    <t xml:space="preserve">De cabreúva Parda  Myrocarpus spp. </t>
  </si>
  <si>
    <t xml:space="preserve">De urundei  Astronium balansae </t>
  </si>
  <si>
    <t xml:space="preserve">De amendoim  Pterogyne nitens </t>
  </si>
  <si>
    <t xml:space="preserve">De angico preto  Piptadenia macrocarpa </t>
  </si>
  <si>
    <t>Obtidas por corte de madeira estratificada</t>
  </si>
  <si>
    <t xml:space="preserve">De pinho brasil  Araucaria angustifolia </t>
  </si>
  <si>
    <t>Em bruto ou simplesmente polidos</t>
  </si>
  <si>
    <t xml:space="preserve">Em ambas as faces, com película protetora na face superior e trabalho de encaixe nas quatro laterais, dos tipos utilizados para pisos  pavimentos </t>
  </si>
  <si>
    <t>Recobertos na superfície com papel impregnado de melamina</t>
  </si>
  <si>
    <t>Não trabalhados mecanicamente nem recobertos à superfície</t>
  </si>
  <si>
    <t xml:space="preserve">Recobertos em ambas as faces com papel impregnado de melamina, película protetora na face superior e trabalho de encaixe nas quatro laterais, dos tipos utilizados para pisos  pavimentos </t>
  </si>
  <si>
    <t>--Com pelo menos uma face de madeiras tropicais mencionadas na Nota 2 de subposições do presente Capítulo</t>
  </si>
  <si>
    <t>--Outras, com pelo menos uma face de madeira não conífera</t>
  </si>
  <si>
    <t>--Com alma aglomerada, alveolada ou lamelada</t>
  </si>
  <si>
    <t>Madeira densificada, em blocos, pranchas, lâminas ou perfis.</t>
  </si>
  <si>
    <t>Molduras de madeira para quadros, fotografias, espelhos ou objetos semelhantes.</t>
  </si>
  <si>
    <t>-Caixotes, caixas, engradados, barricas e embalagens semelhantes, carretéis para cabos</t>
  </si>
  <si>
    <t>-Paletes simples, paletes-caixas e outros estrados para carga, taipais de paletes</t>
  </si>
  <si>
    <t xml:space="preserve">De carvalho  Quercus spp. </t>
  </si>
  <si>
    <t>Ferramentas</t>
  </si>
  <si>
    <t>Formas, alargadeiras e esticadores, para calçados</t>
  </si>
  <si>
    <t>-Janelas, janelas de sacada e respectivos caixilhos e alizares</t>
  </si>
  <si>
    <t>-Portas e respectivos caixilhos, alizares e soleiras</t>
  </si>
  <si>
    <t>--Outros, de camadas múltiplas</t>
  </si>
  <si>
    <t>Artefatos de madeira para mesa ou cozinha.</t>
  </si>
  <si>
    <t>-Estatuetas e outros objetos de ornamentação, de madeira</t>
  </si>
  <si>
    <t>-Cortiça natural, em bruto ou simplesmente preparada</t>
  </si>
  <si>
    <t>Ex 01 - Cortiça triturada, granulada ou pulverizada</t>
  </si>
  <si>
    <t>Cortiça natural, sem a crosta ou simplesmente esquadriada, ou em cubos, chapas, folhas ou tiras, de forma quadrada ou retangular  incluindo os esboços com arestas vivas, para rolhas .</t>
  </si>
  <si>
    <t>-Cubos, blocos, chapas, folhas e tiras, ladrilhos de qualquer formato, cilindros maciços, incluindo os discos</t>
  </si>
  <si>
    <t>Pastas mecânicas de madeira.</t>
  </si>
  <si>
    <t>Pastas químicas de madeira, para dissolução.</t>
  </si>
  <si>
    <t>Pastas de madeira obtidas por combinação de um tratamento mecânico com um tratamento químico.</t>
  </si>
  <si>
    <t>-Outras, de bambu</t>
  </si>
  <si>
    <t>-Papéis ou cartões, Kraft, crus, ou papéis ou cartões ondulados</t>
  </si>
  <si>
    <t>-Outros papéis ou cartões, obtidos principalmente a partir de pasta química branqueada, não corada na massa</t>
  </si>
  <si>
    <t xml:space="preserve">-Papéis ou cartões, obtidos principalmente a partir de pasta mecânica  por exemplo, jornais, periódicos e impressos semelhantes </t>
  </si>
  <si>
    <t>-Outros, incluindo os desperdícios e aparas não selecionados</t>
  </si>
  <si>
    <t>De peso inferior ou igual a 57 g/m2, em que 65% ou mais, em peso, do conteúdo total de fibras seja constituído por fibras de madeiras obtidas por processo mecânico</t>
  </si>
  <si>
    <t>Em tiras ou rolos de largura não superior a 15 cm ou em folhas em que nenhum lado exceda 360 mm, quando não dobradas</t>
  </si>
  <si>
    <t>Em tiras ou rolos de largura não superior a 15 cm</t>
  </si>
  <si>
    <t>Fabricado principalmente a partir de pasta branqueada ou pasta obtida por um processo mecânico, de peso inferior a 19 g/m2</t>
  </si>
  <si>
    <t>De largura não superior a 15 cm</t>
  </si>
  <si>
    <t>De desenho</t>
  </si>
  <si>
    <t>Kraft</t>
  </si>
  <si>
    <t>Em que nenhum lado exceda 360 mm, quando não dobradas</t>
  </si>
  <si>
    <t>Para impressão de papel-moeda</t>
  </si>
  <si>
    <t>Em tiras de largura não superior a 15 cm ou em folhas em que nenhum lado exceda 360 mm, quando não dobradas</t>
  </si>
  <si>
    <t>De peso inferior ou igual a 57 g/m2, em que 65% ou mais, em peso, do conteúdo total de fibras seja constituído por fibras de madeira obtidas por processo mecânico</t>
  </si>
  <si>
    <t>Pasta  ouate  de celulose e mantas de fibras de celulose</t>
  </si>
  <si>
    <t xml:space="preserve">De rigidez dielétrica igual ou superior a 600 V  método ASTM D 202 ou equivalente </t>
  </si>
  <si>
    <t>--Branqueados uniformemente na massa e em que mais de 95%, em peso, do conteúdo total de fibras seja constituído por fibras de madeira obtidas por processo químico</t>
  </si>
  <si>
    <t>Semibranqueados, com um conteúdo de 100%, em peso, de fibras de madeira obtidas por processo químico</t>
  </si>
  <si>
    <t>--De peso não superior a 150 g/m2</t>
  </si>
  <si>
    <t>--De peso superior a 150 g/m2</t>
  </si>
  <si>
    <t>De peso superior a 15 g/m2 mas inferior ou igual a 25 g/m2, com um conteúdo de fibras sintéticas termossoldáveis igual ou superior a 20% mas inferior ou igual a 25%, em peso, do conteúdo total de fibras</t>
  </si>
  <si>
    <t>-Papel-feltro e cartão-feltro, papel e cartão lanosos</t>
  </si>
  <si>
    <t>Com fibras de vidro</t>
  </si>
  <si>
    <t>--De peso igual ou superior a 225 g/m2</t>
  </si>
  <si>
    <t>Papel e cartão obtidos por colagem de folhas sobrepostas, não revestidos na superfície nem impregnados, mesmo reforçados interiormente, em rolos ou em folhas.</t>
  </si>
  <si>
    <t>-Papel e cartão ondulados, mesmo perfurados</t>
  </si>
  <si>
    <t>-Papéis Kraft, encrespados ou plissados, mesmo gofrados, estampados ou perfurados</t>
  </si>
  <si>
    <t xml:space="preserve">Baritados  revestidos de óxido ou sulfato de bário </t>
  </si>
  <si>
    <t>De silicone, exceto gofrados na face recoberta ou revestida</t>
  </si>
  <si>
    <t>De polietileno, estratificado com alumínio, impresso</t>
  </si>
  <si>
    <t>De polietileno ou polipropileno, em ambas as faces, base para papel fotográfico</t>
  </si>
  <si>
    <t>Outros, gofrados na face recoberta ou revestida</t>
  </si>
  <si>
    <t>Outros, impregnados</t>
  </si>
  <si>
    <t>Blocos e chapas, filtrantes, de pasta de papel.</t>
  </si>
  <si>
    <t>-Em rolos de largura não superior a 5 cm</t>
  </si>
  <si>
    <t>-Papel de parede e revestimentos de parede semelhantes, constituídos por papel revestido ou recoberto, no lado da face, por uma camada de plástico granida, gofrada, colorida, impressa com desenhos ou decorada de qualquer outra forma</t>
  </si>
  <si>
    <t>Papel-carbono e semelhantes</t>
  </si>
  <si>
    <t>-Aerogramas, bilhetes-postais não ilustrados e cartões para correspondência</t>
  </si>
  <si>
    <t>-Caixas, sacos e semelhantes, de papel ou cartão, que contenham um sortido de artigos para correspondência</t>
  </si>
  <si>
    <t>-Lenços, incluindo os de desmaquiar, e toalhas de mão</t>
  </si>
  <si>
    <t>Almofadas absorventes dos tipos utilizados em embalagens de produtos alimentícios</t>
  </si>
  <si>
    <t>-Caixas de papel ou cartão, ondulados</t>
  </si>
  <si>
    <t>-Caixas e cartonagens, dobráveis, de papel ou cartão, não ondulados</t>
  </si>
  <si>
    <t>-Sacos cuja base tenha largura igual ou superior a 40 cm</t>
  </si>
  <si>
    <t>-Outros sacos, bolsas e cartuchos</t>
  </si>
  <si>
    <t>-Outras embalagens, incluindo as capas para discos</t>
  </si>
  <si>
    <t>-Cartonagens para escritórios, lojas e estabelecimentos semelhantes</t>
  </si>
  <si>
    <t>-Livros de registro e de contabilidade, blocos de notas, de encomendas, de recibos, de apontamentos, de papel para cartas, agendas e artigos semelhantes</t>
  </si>
  <si>
    <t>-Classificadores, capas para encadernação  exceto as capas para livros  e capas de processos</t>
  </si>
  <si>
    <t>-Formulários em blocos tipo manifold, mesmo com folhas intercaladas de papel-carbono</t>
  </si>
  <si>
    <t>Em tiras ou rolos de largura superior a 15 cm mas não superior a 36 cm</t>
  </si>
  <si>
    <t>-Papéis-diagrama para aparelhos registradores, em bobinas, em folhas ou em discos</t>
  </si>
  <si>
    <t>-Artigos moldados ou prensados, de pasta de papel</t>
  </si>
  <si>
    <t>Cartões perfurados para mecanismos Jacquard</t>
  </si>
  <si>
    <t>De rigidez dielétrica superior ou igual a 600 V  método ASTM D 202 ou equivalente  e de peso inferior ou igual a 60 g/m2</t>
  </si>
  <si>
    <t>-Em folhas soltas, mesmo dobradas</t>
  </si>
  <si>
    <t>--Dicionários e enciclopédias, mesmo em fascículos</t>
  </si>
  <si>
    <t>Ex 01 - Com publicidade</t>
  </si>
  <si>
    <t>Álbuns ou livros de ilustrações e álbuns para desenhar ou colorir, para crianças.</t>
  </si>
  <si>
    <t>Música manuscrita ou impressa, ilustrada ou não, mesmo encadernada.</t>
  </si>
  <si>
    <t>Planos, plantas e desenhos, de arquitetura, de engenharia e outros planos e desenhos industriais, comerciais, topográficos ou semelhantes, originais, feitos a mão, textos manuscritos, reproduções fotográficas em papel sensibilizado e cópias a papel-carbon</t>
  </si>
  <si>
    <t>Papéis-moeda</t>
  </si>
  <si>
    <t>Cheques de viagem</t>
  </si>
  <si>
    <t>Títulos de ações ou de obrigações e títulos semelhantes, convalidados e firmados</t>
  </si>
  <si>
    <t>Cartões-postais impressos ou ilustrados, cartões impressos com votos ou mensagens pessoais, mesmo ilustrados, com ou sem envelopes, guarnições ou aplicações.</t>
  </si>
  <si>
    <t>Calendários de qualquer espécie, impressos, incluindo os blocos-calendários para desfolhar.</t>
  </si>
  <si>
    <t>Que contenham informações relativas ao funcionamento, manutenção, reparo ou utilização de máquinas, aparelhos, veículos e outras mercadorias de origem extrazona</t>
  </si>
  <si>
    <t>--Estampas, gravuras e fotografias</t>
  </si>
  <si>
    <t>Ex 01 - Fotografias tiradas diretamente</t>
  </si>
  <si>
    <t>Ex 01 - Textos manuscritos ou datilografados, e suas cópias obtidas por meio de papel carbono ou fotocópia</t>
  </si>
  <si>
    <t>Casulos de bicho-da-seda próprios para dobar.</t>
  </si>
  <si>
    <t>Seda crua  não fiada .</t>
  </si>
  <si>
    <t>Não cardados nem penteados</t>
  </si>
  <si>
    <t>Fios de seda  exceto fios de desperdícios de seda  não acondicionados para venda a retalho.</t>
  </si>
  <si>
    <t>Fios de desperdícios de seda, não acondicionados para venda a retalho.</t>
  </si>
  <si>
    <t>Fios de seda ou de desperdícios de seda, acondicionados para venda a retalho, pelo de Messina  crina de Florença .</t>
  </si>
  <si>
    <t>Estampados, tintos ou de fios de diversas cores</t>
  </si>
  <si>
    <t xml:space="preserve">De finura superior ou igual 22,05 micrômetros  mícrons  mas inferior ou igual a 32,6 micrômetros  mícrons </t>
  </si>
  <si>
    <t>Fiapos de lã ou de pelos finos ou grosseiros.</t>
  </si>
  <si>
    <t>Tops</t>
  </si>
  <si>
    <t xml:space="preserve">De finura inferior a 22,5 micrômetros  mícrons </t>
  </si>
  <si>
    <t>-Pelos grosseiros, cardados ou penteados</t>
  </si>
  <si>
    <t>-Que contenham pelo menos 85%, em peso, de lã</t>
  </si>
  <si>
    <t>-Que contenham menos de 85%, em peso, de lã</t>
  </si>
  <si>
    <t>De dois cabos, de título inferior ou igual a 184,58 decitex por cabo</t>
  </si>
  <si>
    <t>-Que contenham pelo menos 85%, em peso, de lã ou de pelos finos</t>
  </si>
  <si>
    <t>Fios de pelos grosseiros ou de crina  incluindo os fios de crina revestidos por enrolamento , mesmo acondicionados para venda a retalho.</t>
  </si>
  <si>
    <t>De lã</t>
  </si>
  <si>
    <t>De pelos finos</t>
  </si>
  <si>
    <t>-Outros, combinados, principal ou unicamente, com filamentos sintéticos ou artificiais</t>
  </si>
  <si>
    <t>De lã, feltrados, com trama combinada exclusivamente com fibras sintéticas e urdidura exclusivamente de algodão, de peso superior ou igual a 600 g/m2, próprios para fabricação de bolas de tênis</t>
  </si>
  <si>
    <t>--De peso não superior a 200 g/m2</t>
  </si>
  <si>
    <t>Que contenham pelo menos 85%, em peso, de pelos grosseiros</t>
  </si>
  <si>
    <t>Que contenham menos de 85%, em peso, de pelos grosseiros e que contenham algodão</t>
  </si>
  <si>
    <t>Que contenham menos de 85%, em peso, de pelos grosseiros e que não contenham algodão</t>
  </si>
  <si>
    <t>De crina</t>
  </si>
  <si>
    <t>Não debulhado</t>
  </si>
  <si>
    <t>Simplesmente debulhado</t>
  </si>
  <si>
    <t>Algodão cardado ou penteado.</t>
  </si>
  <si>
    <t>De dois cabos</t>
  </si>
  <si>
    <t>De três ou mais cabos</t>
  </si>
  <si>
    <t>De algodão cru, de título superior a 5.000 decitex por fio simples</t>
  </si>
  <si>
    <t>De algodão branqueado ou colorido, de título superior a 5.000 decitex por fio simples</t>
  </si>
  <si>
    <t xml:space="preserve">--De título igual ou superior a 714,29 decitex  número métrico não superior a 14 </t>
  </si>
  <si>
    <t xml:space="preserve">--De título inferior a 714,29 decitex mas não inferior a 232,56 decitex  número métrico superior a 14 mas não superior a 43 </t>
  </si>
  <si>
    <t>Crus</t>
  </si>
  <si>
    <t xml:space="preserve">--De título inferior a 192,31 decitex mas não inferior a 125 decitex  número métrico superior a 52 mas não superior a 80 </t>
  </si>
  <si>
    <t xml:space="preserve">--De título inferior a 125 decitex  número métrico superior a 80 </t>
  </si>
  <si>
    <t xml:space="preserve">--De título inferior a 125 decitex mas não inferior a 106,38 decitex  número métrico superior a 80 mas não superior a 94 </t>
  </si>
  <si>
    <t xml:space="preserve">--De título inferior a 106,38 decitex mas não inferior a 83,33 decitex  número métrico superior a 94 mas não superior a 120 </t>
  </si>
  <si>
    <t xml:space="preserve">--De título inferior a 83,33 decitex  número métrico superior a 120 </t>
  </si>
  <si>
    <t xml:space="preserve">--De título igual ou superior a 714,29 decitex por fio simples  número métrico não superior a 14, por fio simples </t>
  </si>
  <si>
    <t xml:space="preserve">--De título inferior a 714,29 decitex mas não inferior a 232,56 decitex, por fio simples  número métrico superior a 14 mas não superior a 43, por fio simples </t>
  </si>
  <si>
    <t xml:space="preserve">--De título inferior a 232,56 decitex mas não inferior a 192,31 decitex, por fio simples  número métrico superior a 43 mas não superior a 52, por fio simples </t>
  </si>
  <si>
    <t xml:space="preserve">--De título inferior a 192,31 decitex mas não inferior a 125 decitex, por fio simples  número métrico superior a 52 mas não superior a 80, por fio simples </t>
  </si>
  <si>
    <t xml:space="preserve">--De título inferior a 125 decitex por fio simples  número métrico superior a 80, por fio simples </t>
  </si>
  <si>
    <t xml:space="preserve">--De título inferior a 125 decitex mas não inferior a 106,38 decitex, por fio simples  número métrico superior a 80 mas não superior a 94, por fio simples </t>
  </si>
  <si>
    <t xml:space="preserve">--De título inferior a 106,38 decitex mas não inferior a 83,33 decitex, por fio simples  número métrico superior a 94 mas não superior a 120, por fio simples </t>
  </si>
  <si>
    <t xml:space="preserve">--De título inferior a 83,33 decitex por fio simples  número métrico superior a 120, por fio simples </t>
  </si>
  <si>
    <t xml:space="preserve">--De título inferior a 232,56 decitex mas não inferior a 192,31 decitex  número métrico superior a 43 mas não superior a 52 </t>
  </si>
  <si>
    <t>-Que contenham pelo menos 85%, em peso, de algodão</t>
  </si>
  <si>
    <t>--Em ponto de tafetá, com peso não superior a 100 g/m2</t>
  </si>
  <si>
    <t>--Em ponto de tafetá, com peso superior a 100 g/m2</t>
  </si>
  <si>
    <t>--Em ponto sarjado, incluindo o diagonal, cuja relação de textura não seja superior a 4</t>
  </si>
  <si>
    <t>Em ponto sarjado, incluindo o diagonal, cuja relação de textura não seja superior a 4</t>
  </si>
  <si>
    <t>Com fios tintos em indigo blue segundo Color Index 73.000</t>
  </si>
  <si>
    <t>--Outros tecidos em ponto sarjado, incluindo o diagonal, cuja relação de textura não seja superior a 4</t>
  </si>
  <si>
    <t>Em ponto de tafetá</t>
  </si>
  <si>
    <t>Ex 01 - Em bruto</t>
  </si>
  <si>
    <t>Quebrado</t>
  </si>
  <si>
    <t>Espadelado</t>
  </si>
  <si>
    <t>Penteado</t>
  </si>
  <si>
    <t>Juta</t>
  </si>
  <si>
    <t>Ex 01 - Macerada</t>
  </si>
  <si>
    <t>De abacá, em bruto</t>
  </si>
  <si>
    <t>Ex 01 - Estopas e desperdícios, exceto de sisal</t>
  </si>
  <si>
    <t>Ex 02 - Em bruto, exceto sisal</t>
  </si>
  <si>
    <t>De juta</t>
  </si>
  <si>
    <t>Aniagem de juta</t>
  </si>
  <si>
    <t>Tecidos de outras fibras têxteis vegetais, tecidos de fios de papel.</t>
  </si>
  <si>
    <t>Não acondicionadas para venda a retalho</t>
  </si>
  <si>
    <t>Acondicionadas para venda a retalho</t>
  </si>
  <si>
    <t>De náilon</t>
  </si>
  <si>
    <t>-Fios de alta tenacidade, de poliésteres</t>
  </si>
  <si>
    <t>Tintos</t>
  </si>
  <si>
    <t>Multifilamento com efeito antiestático permanente, de título superior a 110 tex</t>
  </si>
  <si>
    <t xml:space="preserve">                            Crus</t>
  </si>
  <si>
    <t xml:space="preserve">                            Tintos</t>
  </si>
  <si>
    <t xml:space="preserve">                            Outros</t>
  </si>
  <si>
    <t>De aramidas</t>
  </si>
  <si>
    <t>--Outros, de poliésteres, parcialmente orientados</t>
  </si>
  <si>
    <t>--Outros, de poliésteres</t>
  </si>
  <si>
    <t>--Outros, de polipropileno</t>
  </si>
  <si>
    <t>De polietileno, com tenacidade superior ou igual a 26 cN/tex</t>
  </si>
  <si>
    <t>-Fios de alta tenacidade, de raiom viscose</t>
  </si>
  <si>
    <t>--De raiom viscose, sem torção ou com torção não superior a 120 voltas por metro</t>
  </si>
  <si>
    <t>--De raiom viscose, com torção superior a 120 voltas por metro</t>
  </si>
  <si>
    <t>Reabsorvíveis</t>
  </si>
  <si>
    <t>Monofilamentos artificiais, de título superior ou igual a 67 decitex e cuja maior dimensão da seção transversal não seja superior a 1 mm, lâminas e formas semelhantes  palha artificial, por exemplo  de matérias têxteis artificiais, cuja largura aparente n</t>
  </si>
  <si>
    <t>Fios de filamentos sintéticos</t>
  </si>
  <si>
    <t>Fios de filamentos artificiais</t>
  </si>
  <si>
    <t>-“Tecidos” mencionados na Nota 9 da Seção XI</t>
  </si>
  <si>
    <t>Sem fios de borracha</t>
  </si>
  <si>
    <t>Com fios de borracha</t>
  </si>
  <si>
    <t>--Que contenham pelo menos 85%, em peso, de filamentos de poliéster não texturizados</t>
  </si>
  <si>
    <t>-Tecidos obtidos a partir de fios de alta tenacidade, de raiom viscose</t>
  </si>
  <si>
    <t>De acetato de celulose</t>
  </si>
  <si>
    <t>De raiom viscose</t>
  </si>
  <si>
    <t>Bicomponentes, de diferentes pontos de fusão</t>
  </si>
  <si>
    <t>Celulósicas, obtidas por extrusão com óxido de N-metilmorfolina</t>
  </si>
  <si>
    <t>Fibras artificiais descontínuas, cardadas, penteadas ou transformadas de outro modo para fiação.</t>
  </si>
  <si>
    <t>--Combinadas, principal ou unicamente, com fibras artificiais descontínuas</t>
  </si>
  <si>
    <t>--Combinadas, principal ou unicamente, com lã ou pelos finos</t>
  </si>
  <si>
    <t>--Combinadas, principal ou unicamente, com algodão</t>
  </si>
  <si>
    <t>--Combinados, principal ou unicamente, com lã ou pelos finos</t>
  </si>
  <si>
    <t>--Combinados, principal ou unicamente, com algodão</t>
  </si>
  <si>
    <t>-Outros fios, combinados, principal ou unicamente, com lã ou pelos finos</t>
  </si>
  <si>
    <t>-Outros fios, combinados, principal ou unicamente, com algodão</t>
  </si>
  <si>
    <t>-De fibras sintéticas descontínuas, que contenham pelo menos 85%, em peso, destas fibras</t>
  </si>
  <si>
    <t>-De fibras sintéticas descontínuas, que contenham menos de 85%, em peso, destas fibras</t>
  </si>
  <si>
    <t>--De fibras descontínuas de poliéster, em ponto de tafetá</t>
  </si>
  <si>
    <t>--De fibras descontínuas de poliéster, em ponto sarjado, incluindo o diagonal, cuja relação de textura não seja superior a 4</t>
  </si>
  <si>
    <t>De fibras descontínuas de poliéster</t>
  </si>
  <si>
    <t>--Combinadas, principal ou unicamente, com fibras descontínuas de raiom viscose</t>
  </si>
  <si>
    <t>--Combinadas, principal ou unicamente, com filamentos sintéticos ou artificiais</t>
  </si>
  <si>
    <t>--Combinados, principal ou unicamente, com filamentos sintéticos ou artificiais</t>
  </si>
  <si>
    <t>Combinados, principal ou unicamente, com lã ou pelos finos</t>
  </si>
  <si>
    <t xml:space="preserve">Pastas  ouates </t>
  </si>
  <si>
    <t xml:space="preserve">Outros artigos de pastas  ouates </t>
  </si>
  <si>
    <t>Cilindros para filtros de cigarros</t>
  </si>
  <si>
    <t>De polipropileno</t>
  </si>
  <si>
    <t>De polietileno de alta densidade</t>
  </si>
  <si>
    <t>-Fios e cordas, de borracha, recobertos de têxteis</t>
  </si>
  <si>
    <t>Imitações de categute constituídas por fios de seda</t>
  </si>
  <si>
    <t>Com borracha</t>
  </si>
  <si>
    <t>Com plástico</t>
  </si>
  <si>
    <t>Com metais preciosos</t>
  </si>
  <si>
    <t>Revestidos por enrolamento, exceto com metais preciosos</t>
  </si>
  <si>
    <t>Fios revestidos por enrolamento, lâminas e formas semelhantes das posições 54.04 ou 54.05, revestidas por enrolamento, exceto os da posição 56.05 e os fios de crina revestidos por enrolamento, fios de froco  chenille , fios denominados “de cadeia”  chaîne</t>
  </si>
  <si>
    <t>De algodão</t>
  </si>
  <si>
    <t>De juta, inferior ao número métrico 0,75 por fio simples</t>
  </si>
  <si>
    <t>Feitos a mão</t>
  </si>
  <si>
    <t>Feitos a máquina</t>
  </si>
  <si>
    <t>-Tapetes denominados Kelim ou Kilim, Schumacks ou Soumak, Karamanie e tapetes semelhantes tecidos a mão</t>
  </si>
  <si>
    <t xml:space="preserve">-Revestimentos para pisos  pavimentos , de cairo  fibras de coco </t>
  </si>
  <si>
    <t>De lã ou de pelos finos</t>
  </si>
  <si>
    <t>De matérias têxteis sintéticas ou artificiais</t>
  </si>
  <si>
    <t>-“Ladrilhos” de superfície não superior a 0,3 m2</t>
  </si>
  <si>
    <t>Outros tapetes e revestimentos para pisos  pavimentos , de matérias têxteis, mesmo confeccionados.</t>
  </si>
  <si>
    <t>--Veludos e pelúcias obtidos por trama, não cortados</t>
  </si>
  <si>
    <t xml:space="preserve">--Veludos e pelúcias obtidos por trama, cortados, canelados  côtelés </t>
  </si>
  <si>
    <t>-Tecidos atoalhados, de outras matérias têxteis</t>
  </si>
  <si>
    <t>De fibras sintéticas ou artificiais</t>
  </si>
  <si>
    <t>De outras matérias têxteis</t>
  </si>
  <si>
    <t>-Fitas de veludo, de pelúcias, de tecidos de froco  chenille  ou de tecidos atoalhados</t>
  </si>
  <si>
    <t>-Outras fitas que contenham, em peso, 5% ou mais de fios de elastômeros ou de fios de borracha</t>
  </si>
  <si>
    <t xml:space="preserve">-Fitas sem trama, de fios ou fibras paralelizados e colados  bolducs </t>
  </si>
  <si>
    <t>Tecidos de fios de metal e tecidos de fios metálicos ou de fios têxteis metalizados da posição 56.05, dos tipos utilizados em vestuário, para guarnição de interiores ou usos semelhantes, não especificados nem compreendidos noutras posições.</t>
  </si>
  <si>
    <t>Artefatos têxteis matelassês em peça, constituídos por uma ou várias camadas de matérias têxteis associadas a uma matéria de enchimento ou estofamento, acolchoados por qualquer processo, exceto os bordados da posição 58.10.</t>
  </si>
  <si>
    <t>-Tecidos revestidos de cola ou de matérias amiláceas, dos tipos utilizados na encadernação, cartonagem ou usos semelhantes</t>
  </si>
  <si>
    <t>Impregnadas, recobertas ou revestidas com borracha</t>
  </si>
  <si>
    <t>Revestimentos para paredes, de matérias têxteis.</t>
  </si>
  <si>
    <t>-Fitas adesivas de largura não superior a 20 cm</t>
  </si>
  <si>
    <t>Outros tecidos impregnados, revestidos ou recobertos, telas pintadas para cenários teatrais, para fundos de estúdio ou para usos semelhantes.</t>
  </si>
  <si>
    <t>Mechas de matérias têxteis, tecidas, entrançadas ou tricotadas, para candeeiros, fogareiros, isqueiros, velas e semelhantes, camisas de incandescência e tecidos tubulares tricotados para a sua fabricação, mesmo impregnados.</t>
  </si>
  <si>
    <t>Mangueiras e tubos semelhantes, de matérias têxteis, mesmo com reforço ou acessórios de outras matérias.</t>
  </si>
  <si>
    <t>Correias transportadoras ou de transmissão, de matérias têxteis, mesmo impregnadas, revestidas ou recobertas, de plástico, ou estratificadas com plástico ou reforçadas com metal ou com outras matérias.</t>
  </si>
  <si>
    <t>-Tecidos, feltros e tecidos forrados de feltro, combinados com uma ou mais camadas de borracha, couro ou de outras matérias, dos tipos utilizados na fabricação de guarnições de cardas, e produtos análogos para outros usos técnicos, incluindo as fitas de v</t>
  </si>
  <si>
    <t>De matéria têxtil sintética ou artificial, em peça</t>
  </si>
  <si>
    <t>--De peso inferior a 650 g/m2</t>
  </si>
  <si>
    <t>--De peso igual ou superior a 650 g/m2</t>
  </si>
  <si>
    <t>-Tecidos filtrantes e tecidos espessos, compreendendo os de cabelo, dos tipos usados em prensas de óleo ou outros usos técnicos análogos</t>
  </si>
  <si>
    <t>Crus ou branqueados</t>
  </si>
  <si>
    <t>De fios de diversas cores</t>
  </si>
  <si>
    <t>Estampados</t>
  </si>
  <si>
    <t>De fibras sintéticas</t>
  </si>
  <si>
    <t>De fibras artificiais</t>
  </si>
  <si>
    <t>Vestuário confeccionado com tecidos de malha das posições 59.03, 59.06 ou 59.07.</t>
  </si>
  <si>
    <t>De fibras sintéticas, de título inferior a 67 decitex, por fio simples</t>
  </si>
  <si>
    <t>De fibras sintéticas, de título igual ou superior a 67 decitex, por fio simples</t>
  </si>
  <si>
    <t>--De fibras sintéticas, de título inferior a 67 decitex, por fio simples</t>
  </si>
  <si>
    <t>--De fibras sintéticas, de título igual ou superior a 67 decitex, por fio simples</t>
  </si>
  <si>
    <t>-Impregnadas, revestidas ou recobertas, de plásticos ou de borracha</t>
  </si>
  <si>
    <t>-Xales, echarpes, lenços de pescoço, cachenês, cachecóis, mantilhas, véus e semelhantes</t>
  </si>
  <si>
    <t>Gravatas, gravatas-borboletas e plastrons</t>
  </si>
  <si>
    <t>-Com as matérias das posições 56.02 ou 56.03</t>
  </si>
  <si>
    <t>-Outro vestuário, dos tipos abrangidos pelas subposições 6201.11 a 6201.19</t>
  </si>
  <si>
    <t>-Outro vestuário, dos tipos abrangidos pelas subposições 6202.11 a 6202.19</t>
  </si>
  <si>
    <t>De seda ou de desperdícios de seda</t>
  </si>
  <si>
    <t>Luvas, mitenes e semelhantes.</t>
  </si>
  <si>
    <t>-Cobertores e mantas, elétricos</t>
  </si>
  <si>
    <t>-Cobertores e mantas  exceto os elétricos , de lã ou de pelos finos</t>
  </si>
  <si>
    <t>-Cobertores e mantas  exceto os elétricos , de algodão</t>
  </si>
  <si>
    <t>-Cobertores e mantas  exceto os elétricos , de fibras sintéticas</t>
  </si>
  <si>
    <t>-Roupas de cama, de malha</t>
  </si>
  <si>
    <t>-Roupas de mesa, de malha</t>
  </si>
  <si>
    <t>De linho</t>
  </si>
  <si>
    <t>-Roupas de toucador ou de cozinha, de tecidos atoalhados de algodão</t>
  </si>
  <si>
    <t>--De algodão, exceto de malha</t>
  </si>
  <si>
    <t>--De fibras sintéticas, exceto de malha</t>
  </si>
  <si>
    <t>--De outras matérias têxteis, exceto de malha</t>
  </si>
  <si>
    <t>-De juta ou de outras fibras têxteis liberianas da posição 53.03</t>
  </si>
  <si>
    <t>De malha</t>
  </si>
  <si>
    <t>-Rodilhas, esfregões, panos de prato ou de cozinha, flanelas e artefatos de limpeza semelhantes</t>
  </si>
  <si>
    <t>De falso tecido</t>
  </si>
  <si>
    <t>Artefato tubular com tratamento ignífugo, próprio para saída de emergência de pessoas, mesmo com seus elementos de montagem</t>
  </si>
  <si>
    <t>Sortidos constituídos por cortes de tecido e fios, mesmo com acessórios, para confecção de tapetes, tapeçarias, toalhas de mesa ou guardanapos, bordados, ou artefatos têxteis semelhantes, em embalagens para venda a retalho.</t>
  </si>
  <si>
    <t>Vestuário, seus acessórios, e suas partes</t>
  </si>
  <si>
    <t>--Cobrindo o tornozelo, mas não o joelho</t>
  </si>
  <si>
    <t>Cobrindo o joelho</t>
  </si>
  <si>
    <t>-Calçados com parte superior em tiras ou correias, fixados à sola por pregos, tachas, pinos e semelhantes</t>
  </si>
  <si>
    <t>Com biqueira protetora de metal</t>
  </si>
  <si>
    <t>-Outros calçados, com biqueira protetora de metal</t>
  </si>
  <si>
    <t>Com sola de madeira e desprovidos de palmilhas</t>
  </si>
  <si>
    <t>--Calçados para esporte, calçados para tênis, basquetebol, ginástica, treino e semelhantes</t>
  </si>
  <si>
    <t>Com sola exterior de borracha ou plástico e parte superior de couro reconstituído</t>
  </si>
  <si>
    <t>Com sola exterior de couro natural ou reconstituído e parte superior de couro reconstituído</t>
  </si>
  <si>
    <t>-Partes superiores de calçados e seus componentes, exceto contrafortes e biqueiras rígidas</t>
  </si>
  <si>
    <t>-Solas exteriores e saltos, de borracha ou plásticos</t>
  </si>
  <si>
    <t>Solas exteriores e saltos, de couro natural ou reconstituído</t>
  </si>
  <si>
    <t>Palmilhas</t>
  </si>
  <si>
    <t>Esboços não enformados nem na copa nem na aba, discos e cilindros, mesmo cortados no sentido da altura, de feltro, para chapéus.</t>
  </si>
  <si>
    <t xml:space="preserve">De palha fina  manila, panamá e semelhantes </t>
  </si>
  <si>
    <t>-Capacetes e artefatos de uso semelhante, de proteção</t>
  </si>
  <si>
    <t>Carneiras, forros, capas, armações, palas e barbicachos, para chapéus e artefatos de uso semelhante.</t>
  </si>
  <si>
    <t>Cobertos de tecido de seda ou de matérias têxteis sintéticas ou artificiais</t>
  </si>
  <si>
    <t>Bengalas, bengalas-assentos, chicotes, pingalins e artefatos semelhantes.</t>
  </si>
  <si>
    <t>-Armações montadas, mesmo com hastes ou cabos, para guarda-chuvas, sombrinhas ou guarda-sóis</t>
  </si>
  <si>
    <t>Peles e outras partes de aves, com as suas penas ou penugem, penas, partes de penas, penugem e artefatos destas matérias, exceto os produtos da posição 05.05, bem como os cálamos e outros canos de penas, trabalhados.</t>
  </si>
  <si>
    <t>Ex 01 - Pena solta, pele com pena, inteira, em parte, emendada ou não</t>
  </si>
  <si>
    <t>Ex 02 - Artefatos de peles de aves providas de suas penas, de penas, de partes de penas e de penugem, exceto leques e ventarolas</t>
  </si>
  <si>
    <t>Ex 03 - Leques e ventarolas</t>
  </si>
  <si>
    <t>Cabelos dispostos no mesmo sentido, adelgaçados, branqueados ou preparados de outro modo, lã, pelos e outras matérias têxteis, preparados para a fabricação de perucas ou de artefatos semelhantes.</t>
  </si>
  <si>
    <t>Pedras para calcetar, meios-fios e placas  lajes  para pavimentação, de pedra natural  exceto a ardósia .</t>
  </si>
  <si>
    <t>-Ladrilhos, cubos, pastilhas e artigos semelhantes, mesmo de forma diferente da quadrada ou retangular, cuja maior superfície possa ser inscrita num quadrado de lado inferior a 7 cm, grânulos, fragmentos e pós, corados artificialmente</t>
  </si>
  <si>
    <t>--Mármore, travertino e alabastro</t>
  </si>
  <si>
    <t>Esferas para moinho</t>
  </si>
  <si>
    <t>Ardósia natural trabalhada e obras de ardósia natural ou aglomerada.</t>
  </si>
  <si>
    <t>Aglomerados com resina</t>
  </si>
  <si>
    <t>-Pedras para amolar ou para polir, manualmente</t>
  </si>
  <si>
    <t>Com suporte de papel ou cartão combinados com matérias têxteis</t>
  </si>
  <si>
    <t>Discos de fibra vulcanizada recobertos com óxido de alumínio ou carboneto de silício</t>
  </si>
  <si>
    <t>-Lãs de escórias de altos-fornos, lãs de outras escórias, lã de rocha e lãs minerais semelhantes, mesmo misturadas entre si, a granel, em folhas ou em rolos</t>
  </si>
  <si>
    <t>Ex 01 - Lã de rocha e lã mineral</t>
  </si>
  <si>
    <t>-Vermiculita e argilas, expandidas, espuma de escórias e produtos minerais semelhantes, expandidos, mesmo misturados entre si</t>
  </si>
  <si>
    <t>Aluminosos ou silicoaluminosos</t>
  </si>
  <si>
    <t>Ex 01 - Obras de lã de rocha e de lã mineral</t>
  </si>
  <si>
    <t>Telhas onduladas</t>
  </si>
  <si>
    <t>Painéis, chapas, ladrilhos, blocos e semelhantes, de fibras vegetais, de palha ou de aparas, partículas, serragem ou de outros desperdícios de madeira, aglomerados com cimento, gesso ou outros aglutinantes minerais.</t>
  </si>
  <si>
    <t>--Outras chapas, painéis, ladrilhos, telhas e artigos semelhantes</t>
  </si>
  <si>
    <t>--Vestuário, acessórios de vestuário, calçados e chapéus</t>
  </si>
  <si>
    <t>--Papéis, cartões e feltros</t>
  </si>
  <si>
    <t>--Folhas de amianto e elastômeros, comprimidos, para juntas, mesmo apresentadas em rolos</t>
  </si>
  <si>
    <t>Juntas e outros elementos com função semelhante de vedação</t>
  </si>
  <si>
    <t>Amianto trabalhado, em fibras</t>
  </si>
  <si>
    <t>Misturas à base de amianto ou à base de amianto e carbonato de magnésio</t>
  </si>
  <si>
    <t>Ex 01 - Guarnições para freios e disco de fricção para embreagens</t>
  </si>
  <si>
    <t>Pastilhas</t>
  </si>
  <si>
    <t>Disco de fricção para embreagens</t>
  </si>
  <si>
    <t>-Placas, folhas ou tiras, de mica aglomerada ou reconstituída, mesmo com suporte</t>
  </si>
  <si>
    <t>Fibras de carbono</t>
  </si>
  <si>
    <t>Tecidos de fibras de carbono</t>
  </si>
  <si>
    <t>Crus, aglomerados com aglutinante químico</t>
  </si>
  <si>
    <t>Com um teor de alumina  Al2O3 , superior ou igual a 90%, em peso</t>
  </si>
  <si>
    <t>Com um teor de silica  SiO2  superior ou igual a 90%, em peso</t>
  </si>
  <si>
    <t>Com um teor, em peso, de óxido de zircônio  ZrO2  superior ou igual a 50% mesmo com um conteúdo de alumina inferior a 45%</t>
  </si>
  <si>
    <t>Constituídas por uma mistura ou combinação de alumina  Al2O3 , silica  SiO2  e óxido de zircônio  ZrO2 , com um teor, em peso, de alumina superior ou igual a 45% mas inferior a 90% ou com um conteúdo, em peso, de óxido de zircônio  ZrO2  superior ou igual</t>
  </si>
  <si>
    <t>Tijolos, placas  lajes , ladrilhos e outras peças cerâmicas de farinhas siliciosas fósseis  por exemplo, kieselguhr, tripolita, diatomita  ou de terras siliciosas semelhantes.</t>
  </si>
  <si>
    <t>Tijolos ou placas, contendo, em peso, mais de 90% de trióxido de dicromo</t>
  </si>
  <si>
    <t>Outros tijolos</t>
  </si>
  <si>
    <t>Tijolos sílico-aluminosos</t>
  </si>
  <si>
    <t>Sílico-aluminosos</t>
  </si>
  <si>
    <t>Silicoso, semi-silicoso ou de sílica</t>
  </si>
  <si>
    <t>De silimanita</t>
  </si>
  <si>
    <t>De grafita</t>
  </si>
  <si>
    <t>Não fundidos, com um teor de óxido de zircônio  ZrO2  superior a 25%, em peso</t>
  </si>
  <si>
    <t>Com um teor de carbono superior a 85%, em peso, e diâmetro médio de poro inferior ou igual a 5 micrômetros  mícrons , do tipo dos utilizados em altos-fornos</t>
  </si>
  <si>
    <t>De carboneto de silício</t>
  </si>
  <si>
    <t>De grafita, exceto os do subitem 6903.10.12</t>
  </si>
  <si>
    <t>Elaborados com uma mistura de grafita e carboneto de silício</t>
  </si>
  <si>
    <t>Retortas elaboradas com uma mistura de grafita e carboneto de silício</t>
  </si>
  <si>
    <t>Tampas e tampões</t>
  </si>
  <si>
    <t>Tubos</t>
  </si>
  <si>
    <t>Cadinhos</t>
  </si>
  <si>
    <t>De compostos de zircônio</t>
  </si>
  <si>
    <t>Tubos, calhas ou algerozes e acessórios para canalizações, de cerâmica.</t>
  </si>
  <si>
    <t>-Ladrilhos, cubos, pastilhas e artigos semelhantes, mesmo de forma diferente da quadrada ou retangular, cuja maior superfície possa ser inscrita num quadrado de lado inferior a 7 cm</t>
  </si>
  <si>
    <t>Guia-fios para máquina têxtil</t>
  </si>
  <si>
    <t>Guias de agulhas para cabeças de impressão</t>
  </si>
  <si>
    <t>Anéis de carboneto de silício para juntas de vedação mecânicas</t>
  </si>
  <si>
    <t>Colméia de cerâmica à base de alumina  Al2O3 , sílica  SiO2  e óxido de magnésio  MgO , de depuradores por conversão catalítica de gases de escape de veículos</t>
  </si>
  <si>
    <t>Conjunto  jogo ou aparelho  para jantar, café ou chá, apresentado em embalagem comum</t>
  </si>
  <si>
    <t>Louça, outros artigos de uso doméstico e artigos de higiene ou de toucador, de cerâmica, exceto de porcelana.</t>
  </si>
  <si>
    <t>Cacos, fragmentos e outros desperdícios e resíduos de vidro, vidro em blocos ou massas.</t>
  </si>
  <si>
    <t>Ex 01 - Cacos, fragmentos e outros desperdícios e resíduos, exceto os de vidro óptico</t>
  </si>
  <si>
    <t>Ex 02 - De vidro óptico, inclusive cacos, fragmentos e outros desperdícios e resíduos</t>
  </si>
  <si>
    <t>Ex 01 - De vidro óptico</t>
  </si>
  <si>
    <t>--De outro vidro com um coeficiente de dilatação linear não superior a 5x10-6 por Kelvin, entre 0 °C e 300 °C</t>
  </si>
  <si>
    <t>--Coradas na massa, opacificadas, folheadas  chapeadas , ou com camada absorvente, refletora ou não</t>
  </si>
  <si>
    <t>-Chapas e folhas, armadas</t>
  </si>
  <si>
    <t>-Vidro corado na massa, opacificado, folheado  chapeado , ou com camada absorvente, refletora ou não</t>
  </si>
  <si>
    <t>-Vidro não armado, com camada absorvente, refletora ou não</t>
  </si>
  <si>
    <t>--Corado na massa, opacificado, folheado  chapeado  ou simplesmente desbastado</t>
  </si>
  <si>
    <t>Vidro das posições 70.03, 70.04 ou 70.05, recurvado, biselado, gravado, brocado, esmaltado ou trabalhado de outro modo, mas não emoldurado nem associado a outras matérias.</t>
  </si>
  <si>
    <t>--De dimensões e formatos que permitam a sua aplicação em automóveis, veículos aéreos, barcos ou outros veículos</t>
  </si>
  <si>
    <t>Ex 01 - Para ônibus ou caminhões, nas seguintes dimensões  admitida a tolerância de até 5%, para mais ou para menos : 1.693 x 575 x 6,75mm, 1.305 x 489 x 6mm, 728 x 489 x 6mm, 640 x 220 x 4,8mm, e 600 x 595 x 4,8mm</t>
  </si>
  <si>
    <t>Ex 01 - Para ônibus ou caminhões, nas seguintes dimensões  admitida a tolerância de até 5%, para mais ou para menos : 2.075 x 787 x 6,76mm, 1.950 x 800 x 6mm, 1.800 x 800 x 6mm, 1.693 x 575 x 6,75mm, e 1.300 x 1.235 x 6mm</t>
  </si>
  <si>
    <t>Vidros isolantes de paredes múltiplas.</t>
  </si>
  <si>
    <t>Ex 01 - Para ônibus ou caminhões</t>
  </si>
  <si>
    <t>-Rolhas, tampas e outros dispositivos de uso semelhante</t>
  </si>
  <si>
    <t>Garrafões e garrafas</t>
  </si>
  <si>
    <t>Frascos, boiões, vasos, embalagens tubulares e outros recipientes próprios para transporte ou embalagem, boiões para conservas</t>
  </si>
  <si>
    <t xml:space="preserve">Para lâmpadas ou tubos de descarga, incluindo os de luz-relâmpago  flash </t>
  </si>
  <si>
    <t>Bulbos de diâmetro inferior ou igual a 90 mm</t>
  </si>
  <si>
    <t>Cafeteiras e chaleiras</t>
  </si>
  <si>
    <t>Ex 01 - Decantadores de vinho</t>
  </si>
  <si>
    <t>Para ornamentação de interiores</t>
  </si>
  <si>
    <t>Artefatos de vidro para sinalização e elementos de óptica de vidro  exceto os da posição 70.15 , não trabalhados opticamente.</t>
  </si>
  <si>
    <t>Fotocromáticos</t>
  </si>
  <si>
    <t>Brancos</t>
  </si>
  <si>
    <t>Coloridos</t>
  </si>
  <si>
    <t>Vidros de relojoaria</t>
  </si>
  <si>
    <t>Vidros para máscaras, óculos ou anteparos, protetores</t>
  </si>
  <si>
    <t>Vidros para os demais óculos</t>
  </si>
  <si>
    <t>-Cubos, pastilhas e outros artigos semelhantes de vidro, mesmo com suporte, para mosaicos ou decorações semelhantes</t>
  </si>
  <si>
    <t>-De quartzo ou de outras sílicas, fundidos</t>
  </si>
  <si>
    <t>-De outro vidro com um coeficiente de dilatação linear não superior a 5x10-6 por Kelvin, entre 0 °C e 300 °C</t>
  </si>
  <si>
    <t>Contas de vidro</t>
  </si>
  <si>
    <t>Imitações de pérolas naturais ou cultivadas, pedras preciosas ou semipreciosas</t>
  </si>
  <si>
    <t>-Microsferas de vidro, de diâmetro não superior a 1 mm</t>
  </si>
  <si>
    <t>--Fios cortados  chopped strands , de comprimento não superior a 50 mm</t>
  </si>
  <si>
    <t>Impregnadas ou recobertas com resina de poliuretano ou borracha de estireno-butadieno</t>
  </si>
  <si>
    <t>--De largura não superior a 30 cm</t>
  </si>
  <si>
    <t>Com um teor de matéria orgânica superior ou igual a 0,075% e inferior ou igual a 0,3%, em peso, segundo Norma ANSI/IPC-EG-140, próprios para fabricação de placas para circuitos impressos</t>
  </si>
  <si>
    <t>Rede constituída por fios paralelizados e superpostos entre si em ângulo de 90°, impregnados e soldados nos pontos de interseção com resina termoplástica, com densidade superior ou igual a 3 e inferior ou igual a 7 fios por centímetro</t>
  </si>
  <si>
    <t>Ampolas de vidro para garrrafas térmicas ou para outros recipientes isotérmicos, cujo isolamento seja assegurado pelo vácuo</t>
  </si>
  <si>
    <t>--Em bruto ou simplesmente serrados, clivados ou desbastados</t>
  </si>
  <si>
    <t>--Rubis, safiras e esmeraldas</t>
  </si>
  <si>
    <t>Diamantes</t>
  </si>
  <si>
    <t>Barras, fios e perfis de seção maciça</t>
  </si>
  <si>
    <t>Chapas, lâminas, folhas e tiras</t>
  </si>
  <si>
    <t>Metais comuns folheados ou chapeados  plaquê  de prata, em formas brutas ou semimanufaturadas.</t>
  </si>
  <si>
    <t xml:space="preserve">Bulhão dourado  bullion doré </t>
  </si>
  <si>
    <t>Metais comuns ou prata, folheados ou chapeados  plaquê  de ouro, em formas brutas ou semimanufaturadas.</t>
  </si>
  <si>
    <t>Metais comuns, prata ou ouro, folheados ou chapeados  plaquê  de platina, em formas brutas ou semimanufaturadas.</t>
  </si>
  <si>
    <t>Que contenham ouro, mas que não contenham outros metais preciosos</t>
  </si>
  <si>
    <t>Ex 01 - Do tipo dos utilizados principalmente para recuperação de metal precioso, exceto cinzas ou lixo de ourivessaria</t>
  </si>
  <si>
    <t>Que contenham platina, mas que não contenham outros metais preciosos</t>
  </si>
  <si>
    <t>--De ouro, de metais folheados ou chapeados  plaquê  de ouro, exceto varreduras que contenham outros metais preciosos</t>
  </si>
  <si>
    <t>Ex 01 - Resíduos do tipo dos utilizados para recuperação desse metal</t>
  </si>
  <si>
    <t>--De platina, de metais folheados ou chapeados  plaquê  de platina, exceto varreduras que contenham outros metais preciosos</t>
  </si>
  <si>
    <t>Ex 01 - Resíduos do tipo dos utilizados para recuperação de metal precioso</t>
  </si>
  <si>
    <t xml:space="preserve">--De prata, mesmo revestida, folheada ou chapeada de outros metais preciosos  plaquê </t>
  </si>
  <si>
    <t xml:space="preserve">--De outros metais preciosos, mesmo revestidos, folheados ou chapeados de metais preciosos  plaquê </t>
  </si>
  <si>
    <t>-Telas ou grades catalisadoras, de platina</t>
  </si>
  <si>
    <t>De diamantes sintéticos</t>
  </si>
  <si>
    <t>Guias de agulhas, de rubi, para cabeças de impressão</t>
  </si>
  <si>
    <t>Destinadas a ter curso legal no país importador</t>
  </si>
  <si>
    <t>-Ferro fundido bruto não ligado, que contenha, em peso, 0,5% ou menos de fósforo</t>
  </si>
  <si>
    <t>-Ferro fundido bruto não ligado, que contenha, em peso, mais de 0,5% de fósforo</t>
  </si>
  <si>
    <t xml:space="preserve">-Ligas de ferro fundido bruto, ferro spiegel  especular </t>
  </si>
  <si>
    <t>--Que contenham, em peso, mais de 2% de carbono</t>
  </si>
  <si>
    <t>--Que contenham, em peso, mais de 55% de silício</t>
  </si>
  <si>
    <t>--Que contenham, em peso, mais de 4% de carbono</t>
  </si>
  <si>
    <t>Ferrofósforo</t>
  </si>
  <si>
    <t>-Desperdícios e resíduos de ferro ou aço, estanhados</t>
  </si>
  <si>
    <t>--Resíduos do torno e da fresa, aparas, lascas  meulures , pó de serra, limalhas e desperdícios da estampagem ou do corte, mesmo em fardos</t>
  </si>
  <si>
    <t>De ferro esponjoso, com um teor de ferro superior ou igual a 98%, em peso</t>
  </si>
  <si>
    <t>De ferro revestido com resina termoplástica, com um teor de ferro superior ou igual a 98%, em peso</t>
  </si>
  <si>
    <t>Billets</t>
  </si>
  <si>
    <t>--Outros, de seção transversal retangular</t>
  </si>
  <si>
    <t>-Que contenham, em peso, 0,25% ou mais de carbono</t>
  </si>
  <si>
    <t>-Em rolos, simplesmente laminados a quente, apresentando motivos em relevo</t>
  </si>
  <si>
    <t>--De espessura igual ou superior a 4,75 mm</t>
  </si>
  <si>
    <t>Com um limite mínimo de elasticidade de 355 MPa</t>
  </si>
  <si>
    <t>Com um limite mínimo de elasticidade de 275 MPa</t>
  </si>
  <si>
    <t>--De espessura igual ou superior a 4,75 mm, mas não superior a 10 mm</t>
  </si>
  <si>
    <t>-Não enrolados, simplesmente laminados a quente, apresentando motivos em relevo</t>
  </si>
  <si>
    <t>--De espessura superior a 10 mm</t>
  </si>
  <si>
    <t>--De espessura igual ou superior a 3 mm, mas inferior a 4,75 mm</t>
  </si>
  <si>
    <t>--De espessura inferior a 3 mm</t>
  </si>
  <si>
    <t>--De espessura igual ou superior a 3 mm</t>
  </si>
  <si>
    <t>--De espessura superior a 1 mm, mas inferior a 3 mm</t>
  </si>
  <si>
    <t>--De espessura igual ou superior a 0,5 mm, mas não superior a 1 mm</t>
  </si>
  <si>
    <t>--De espessura inferior a 0,5 mm</t>
  </si>
  <si>
    <t>--De espessura igual ou superior a 0,5 mm</t>
  </si>
  <si>
    <t>-Revestidos de chumbo, incluindo os revestidos de uma liga de chumbo-estanho</t>
  </si>
  <si>
    <t>De espessura inferior a 4,75 mm</t>
  </si>
  <si>
    <t>Com peso superior ou igual a 120 g/m2 e com conteúdo de silício superior ou igual a 5% porém inferior ou igual a 11%, em peso</t>
  </si>
  <si>
    <t>Pintados ou envernizados</t>
  </si>
  <si>
    <t>Revestidos de plásticos</t>
  </si>
  <si>
    <t>--Laminados nas quatro faces ou em caixa fechada, de largura superior a 150 mm e de espessura igual ou superior a 4 mm, não enrolados e não apresentando motivos em relevo</t>
  </si>
  <si>
    <t>--Outros, de espessura igual ou superior a 4,75 mm</t>
  </si>
  <si>
    <t>--Que contenham, em peso, menos de 0,25% de carbono</t>
  </si>
  <si>
    <t>Com um teor de carbono superior ou igual a 0,25%, mas inferior a 0,6%, em peso</t>
  </si>
  <si>
    <t>Com um teor de carbono superior ou igual a 0,6%, em peso</t>
  </si>
  <si>
    <t>Com uma camada intermediária de liga cobre-estanho ou cobre-estanho-chumbo, aplicada por sinterização</t>
  </si>
  <si>
    <t>Com uma camada de liga cobre-estanho ou cobre-estanho-chumbo, aplicada por sinterização, inclusive com revestimento misto metal-plástico ou metal-plástico-fibra de carbono</t>
  </si>
  <si>
    <t>-Dentados, com nervuras, sulcos ou relevos, obtidos durante a laminagem</t>
  </si>
  <si>
    <t>-Outros, de aços para tornear</t>
  </si>
  <si>
    <t>Com um teor de carbono inferior ou igual a 0,6%, em peso</t>
  </si>
  <si>
    <t>-Dentadas, com nervuras, sulcos ou relevos, obtidos durante a laminagem, ou torcidas após laminagem</t>
  </si>
  <si>
    <t>-Outras, de aços para tornear</t>
  </si>
  <si>
    <t>De seção circular</t>
  </si>
  <si>
    <t>-De aços para tornear, simplesmente obtidas ou completamente acabadas a frio</t>
  </si>
  <si>
    <t>-Outras, simplesmente obtidas ou completamente acabadas a frio</t>
  </si>
  <si>
    <t>-Perfis em U, I ou H, simplesmente laminados, estirados ou extrudados, a quente, de altura inferior a 80 mm</t>
  </si>
  <si>
    <t>--Perfis em L</t>
  </si>
  <si>
    <t>De altura inferior ou igual a 200 mm</t>
  </si>
  <si>
    <t>-Outros perfis, simplesmente laminados, estirados ou extrudados, a quente</t>
  </si>
  <si>
    <t>De altura inferior a 80 mm</t>
  </si>
  <si>
    <t>Com um teor, em peso, de fósforo inferior a 0,035% e de enxofre inferior a 0,035%, temperado e revenido, flexa máxima sem carga de 1 cm em 1 m, resistência à tração superior ou igual a 1.960 MPa e cuja maior dimensão da seção transversal seja inferior ou</t>
  </si>
  <si>
    <t>De espessura inferior a 4,75 mm e dureza superior ou igual a 42 HRC</t>
  </si>
  <si>
    <t>De espessura inferior ou igual a 1,5 mm</t>
  </si>
  <si>
    <t>De espessura superior a 1,5 mm, mas inferior ou igual a 3 mm</t>
  </si>
  <si>
    <t>De largura inferior ou igual a 23 mm e espessura inferior ou igual a 0,1 mm</t>
  </si>
  <si>
    <t>Fio-máquina de aço inoxidável.</t>
  </si>
  <si>
    <t>De seção transversal retangular</t>
  </si>
  <si>
    <t>De altura superior ou igual a 80 mm</t>
  </si>
  <si>
    <t>Fios de aço inoxidável.</t>
  </si>
  <si>
    <t>-Outros, simplesmente laminados a quente, em rolos</t>
  </si>
  <si>
    <t>De aço, segundo normas AISI D2, D3 ou D6, de espessura inferior ou igual a 7 mm</t>
  </si>
  <si>
    <t>De aços de corte rápido</t>
  </si>
  <si>
    <t>De espessura superior ou igual a 1 mm mas inferior ou igual a 4 mm</t>
  </si>
  <si>
    <t>Simplesmente laminadas, estiradas ou extrudadas, a quente</t>
  </si>
  <si>
    <t>-Outras barras, simplesmente laminadas, estiradas ou extrudadas, a quente</t>
  </si>
  <si>
    <t>-Outras barras, simplesmente forjadas</t>
  </si>
  <si>
    <t>-Outras barras, simplesmente obtidas ou completamente acabadas a frio</t>
  </si>
  <si>
    <t>De aço, de peso linear superior ou igual a 44,5 kg/m</t>
  </si>
  <si>
    <t>-Agulhas, cróssimas, alavancas para comando de agulhas e outros elementos de cruzamentos e desvios</t>
  </si>
  <si>
    <t>Tubos e perfis ocos, de ferro fundido.</t>
  </si>
  <si>
    <t>De aço não ligado</t>
  </si>
  <si>
    <t>--Outros, de aço inoxidável</t>
  </si>
  <si>
    <t>De diâmetro exterior inferior ou igual a 229 mm</t>
  </si>
  <si>
    <t>Tubos não revestidos</t>
  </si>
  <si>
    <t>Tubos não revestidos, de diâmetro exterior inferior ou igual a 229 mm</t>
  </si>
  <si>
    <t>Tubos revestidos, de diâmetro exterior inferior ou igual a 229 mm</t>
  </si>
  <si>
    <t>Tubos capilares de diâmetro exterior inferior ou igual a 3 mm e diâmetro interior inferior ou igual a 0,2 mm</t>
  </si>
  <si>
    <t>Com um teor, em peso, de carbono superior ou igual a 0,98% e inferior ou igual a 1,10%, de cromo superior ou igual a 1,30% e inferior ou igual a 1,60%, de silício superior ou igual a 0,15% e inferior ou igual a 0,35%, de manganês superior ou igual a 0,25%</t>
  </si>
  <si>
    <t>De aço inoxidável</t>
  </si>
  <si>
    <t>--Outros, soldados longitudinalmente</t>
  </si>
  <si>
    <t>-Tubos para revestimento de poços, dos tipos utilizados na extração de petróleo ou de gás</t>
  </si>
  <si>
    <t>--Soldados, de aço inoxidável</t>
  </si>
  <si>
    <t>-Outros, soldados, de seção circular, de ferro ou aço não ligado</t>
  </si>
  <si>
    <t>-Outros, soldados, de seção circular, de aço inoxidável</t>
  </si>
  <si>
    <t>-Outros, soldados, de seção circular, de outras ligas de aço</t>
  </si>
  <si>
    <t>De ferro ou aço não ligado</t>
  </si>
  <si>
    <t>De ferro fundido maleável, de diâmetro interior superior a 50,8 mm</t>
  </si>
  <si>
    <t>De aço</t>
  </si>
  <si>
    <t>--Cotovelos, curvas e luvas, roscados</t>
  </si>
  <si>
    <t>-Portas e janelas, e seus caixilhos, alizares e soleiras</t>
  </si>
  <si>
    <t>-Material para andaimes, para armações ou para escoramentos</t>
  </si>
  <si>
    <t>Chapas, barras, perfis, tubos e semelhantes, próprios para construções</t>
  </si>
  <si>
    <t>Telhas de aço</t>
  </si>
  <si>
    <t>Para armazenamento de grãos e outras matérias sólidas</t>
  </si>
  <si>
    <t>Ex 01 - Para armazenamento de grãos de produtos agrícolas</t>
  </si>
  <si>
    <t>Recipientes isotérmicos refrigerados a nitrogênio  azoto  líquido, dos tipos utilizados para sêmen, sangue, tecidos biológicos e outros produtos similares</t>
  </si>
  <si>
    <t>Próprias para acondicionar produtos alimentícios</t>
  </si>
  <si>
    <t>Próprios para acondicionar produtos alimentícios</t>
  </si>
  <si>
    <t>Recipientes para gases comprimidos ou liquefeitos, de ferro fundido, ferro ou aço.</t>
  </si>
  <si>
    <t>De fios de aço revestidos de bronze ou latão</t>
  </si>
  <si>
    <t>Ex 01 - Cordoalha de aço para concreto protendido</t>
  </si>
  <si>
    <t>Arame farpado, de ferro ou aço, arames ou tiras, retorcidos, mesmo farpados, de ferro ou aço, dos tipos utilizados em cercas.</t>
  </si>
  <si>
    <t>--Telas metálicas, contínuas ou sem fim, para máquinas, de aço inoxidável</t>
  </si>
  <si>
    <t>--Outras telas metálicas tecidas, de aço inoxidável</t>
  </si>
  <si>
    <t>-Grades e redes, soldadas nos pontos de interseção, de fios com, pelo menos, 3 mm na maior dimensão do corte transversal e com malhas de 100 cm2 ou mais, de superfície</t>
  </si>
  <si>
    <t>Ex 01 - De aço, não revestidas, para estruturas ou obras de concreto armado ou argamassa  armada</t>
  </si>
  <si>
    <t>-Chapas e tiras, distendidas</t>
  </si>
  <si>
    <t>--Outras correntes, de elos soldados</t>
  </si>
  <si>
    <t>Âncoras, fateixas, e suas partes, de ferro fundido, ferro ou aço.</t>
  </si>
  <si>
    <t>Tachas</t>
  </si>
  <si>
    <t>Grampos de fio curvado</t>
  </si>
  <si>
    <t>Pontas ou dentes para máquinas têxteis</t>
  </si>
  <si>
    <t>--Outros parafusos e pinos ou pernos, mesmo com as porcas e arruelas</t>
  </si>
  <si>
    <t>--Chavetas, cavilhas e contrapinos ou troços</t>
  </si>
  <si>
    <t>Ex 01 - Para ônibus ou caminhões, com espessura da folha igual ou superior a 9 mm</t>
  </si>
  <si>
    <t>Cilíndricas</t>
  </si>
  <si>
    <t>--A combustíveis gasosos, ou a gás e outros combustíveis</t>
  </si>
  <si>
    <t>Ex 01 - Fogões de cozinha</t>
  </si>
  <si>
    <t>--Outros, incluindo os aparelhos a combustíveis sólidos</t>
  </si>
  <si>
    <t>Ex 01 – De fogões de cozinha</t>
  </si>
  <si>
    <t>Geradores de ar quente a combustível líquido, com capacidade superior ou igual a 1.500 kcal/h, mas inferior ou igual a 10.400 kcal/h, do tipo dos utilizados em veículos automóveis</t>
  </si>
  <si>
    <t>-Palha de ferro ou aço, esponjas, esfregões, luvas e artefatos semelhantes para limpeza, polimento ou usos semelhantes</t>
  </si>
  <si>
    <t>Ex 01 - Esponja de lã de aço</t>
  </si>
  <si>
    <t>--De ferro fundido, não esmaltados</t>
  </si>
  <si>
    <t>--De ferro fundido, esmaltados</t>
  </si>
  <si>
    <t>--De ferro ou aço, esmaltados</t>
  </si>
  <si>
    <t>-Pias e lavatórios, de aço inoxidável</t>
  </si>
  <si>
    <t>--De ferro fundido, mesmo esmaltadas</t>
  </si>
  <si>
    <t>-Outros, incluindo as partes</t>
  </si>
  <si>
    <t>-De ferro fundido, não maleável</t>
  </si>
  <si>
    <t>--Esferas e artefatos semelhantes, para moinhos</t>
  </si>
  <si>
    <t>Calotas elípticas de aço ao níquel, segundo Norma ASME SA 353, dos tipos utilizados na fabricação de recipientes para gases comprimidos ou liquefeitos</t>
  </si>
  <si>
    <t>Mates de cobre, cobre de cementação  precipitado de cobre .</t>
  </si>
  <si>
    <t>Cobre não refinado, ânodos de cobre para refinação eletrolítica.</t>
  </si>
  <si>
    <t xml:space="preserve">--Outras ligas de cobre  exceto ligas-mãe da posição 74.05 </t>
  </si>
  <si>
    <t>Desperdícios e resíduos, de cobre.</t>
  </si>
  <si>
    <t>Ligas-mãe de cobre.</t>
  </si>
  <si>
    <t>-Pós de estrutura lamelar, escamas</t>
  </si>
  <si>
    <t>Barras</t>
  </si>
  <si>
    <t>Ocos</t>
  </si>
  <si>
    <t>Perfis</t>
  </si>
  <si>
    <t>--Com a maior dimensão da seção transversal superior a 6 mm</t>
  </si>
  <si>
    <t>Fosforoso</t>
  </si>
  <si>
    <t>Com uma camada intermediária de liga de cobre-estanho ou cobre-estanho-chumbo, aplicada por sinterização</t>
  </si>
  <si>
    <t>Em rolos</t>
  </si>
  <si>
    <t>De espessura inferior ou igual a 0,04 mm e uma resistividade elétrica inferior ou igual a 0,017241 ohm.mm2/m</t>
  </si>
  <si>
    <t>Outras, de espessura inferior ou igual a 0,04 mm</t>
  </si>
  <si>
    <t>Com suporte isolante de resina epóxida e fibra de vidro, dos tipos utilizados para circuitos impressos</t>
  </si>
  <si>
    <t>Com espessura superior a 0,012 mm, sobre suporte de poliéster ou poliimida e com espessura total, incluindo o suporte, inferior ou igual a 0,195 mm</t>
  </si>
  <si>
    <t>Com suporte isolante de resina fenólica e papel, dos tipos utilizados para circuitos impressos</t>
  </si>
  <si>
    <t>Não aletados nem ranhurados</t>
  </si>
  <si>
    <t>Cordas, cabos, tranças e artefatos semelhantes, de cobre, não isolados para usos elétricos.</t>
  </si>
  <si>
    <t>-Tachas, pregos, percevejos, escápulas e artefatos semelhantes</t>
  </si>
  <si>
    <t>--Parafusos, pinos ou pernos e porcas</t>
  </si>
  <si>
    <t>-Artefatos de uso doméstico e suas partes, esponjas, esfregões, luvas e artefatos semelhantes, para limpeza, polimento ou usos semelhantes</t>
  </si>
  <si>
    <t>-Artefatos de higiene ou de toucador, e suas partes</t>
  </si>
  <si>
    <t>-Correntes, cadeias, e suas partes</t>
  </si>
  <si>
    <t>--Vazadas, moldadas, estampadas ou forjadas, mas não trabalhadas de outro modo</t>
  </si>
  <si>
    <t>Telas metálicas de fio de cobre</t>
  </si>
  <si>
    <t>Grades e redes, de fio de cobre, chapas e tiras, distendidas</t>
  </si>
  <si>
    <t>Molas</t>
  </si>
  <si>
    <t>Ex 01 - Aparelhos não elétricos, para cozinhar ou aquecer, dos tipos utilizados para uso doméstico, e suas partes</t>
  </si>
  <si>
    <t>Catodos</t>
  </si>
  <si>
    <t>Desperdícios e resíduos, de níquel.</t>
  </si>
  <si>
    <t>Não ligado</t>
  </si>
  <si>
    <t>-Telas metálicas e grades, de fios de níquel</t>
  </si>
  <si>
    <t>Cilindros ocos de seção variável, obtidos por centrifugação, dos tipos utilizados em reformadores estequiométricos de gás natural</t>
  </si>
  <si>
    <t>Desperdícios e resíduos, de alumínio.</t>
  </si>
  <si>
    <t>Forjadas, de seção transversal circular, de diâmetro superior ou igual a 400 mm mas inferior ou igual a 760 mm</t>
  </si>
  <si>
    <t>Com um teor de alumínio superior ou igual a 99,45%, em peso, e uma resistividade elétrica inferior ou igual a 0,0283 ohm.mm2/m</t>
  </si>
  <si>
    <t>Com um teor, em peso, de alumínio superior ou igual a 98,45%, e de magnésio e silício, considerados individualmente, superior ou igual a 0,45% e inferior ou igual a 0,55% e uma resistividade elétrica inferior ou igual a 0,0328 ohm.mm2/m</t>
  </si>
  <si>
    <t>Com um teor, em peso, de silício superior ou igual a 0,05% e inferior ou igual a 0,20%, de ferro superior ou igual a 0,20% e inferior ou igual a 0,40%, de cobre inferior ou igual a 0,05%, de zinco inferior ou igual a 0,05%, de manganês inferior ou igual a</t>
  </si>
  <si>
    <t>Com teores, em peso, de magnésio superior ou igual a 4% e inferior ou igual a 5%, de manganês superior ou igual a 0,20% e inferior ou igual a 0,50%, de ferro inferior ou igual a 0,35%, de silício inferior ou igual a 0,20% e de outros metais, em conjunto,</t>
  </si>
  <si>
    <t>Com um teor, em peso, de silício superior ou igual a 0,05% e inferior ou igual a 0,20%, de ferro superior ou igual a 0,20% e inferior ou igual a 0,40%, de cobre inferior ou igual a 0,05%, de zinco inferior ou igual a 0,05%, de manganês superior a 0,1% e i</t>
  </si>
  <si>
    <t>Gravadas, mesmo com camada de óxido de alumínio, de espessura inferior ou igual a 110 micrômetros  mícrons  e com um conteúdo de alumínio superior ou igual a 99,9%, em peso</t>
  </si>
  <si>
    <t>Sem costura, extrudados e trefilados, segundo Norma ASTM B210, de seção circular, de liga AA 6061  Aluminium Association , com limite elástico aparente de Johnson  JAEL  superior a 3.000 Nm, segundo Norma SAE AE7, diâmetro externo superior ou igual a 85 m</t>
  </si>
  <si>
    <t>Acessórios para tubos  por exemplo, uniões, cotovelos, luvas , de alumínio.</t>
  </si>
  <si>
    <t>Reservatórios, tonéis, cubas e recipientes semelhantes para quaisquer matérias  exceto gases comprimidos ou liquefeitos , de alumínio, de capacidade superior a 300 l, sem dispositivos mecânicos ou térmicos, mesmo com revestimento interior ou calorífugo.</t>
  </si>
  <si>
    <t>-Recipientes tubulares, flexíveis</t>
  </si>
  <si>
    <t>Para aerossóis, com capacidade inferior ou igual a 700 cm3</t>
  </si>
  <si>
    <t>Isotérmicos, refrigerados a nitrogênio  azoto  líquido, dos tipos utilizados para sêmen, sangue, tecidos biológicos e outros produtos similares</t>
  </si>
  <si>
    <t>Recipientes para gases comprimidos ou liquefeitos, de alumínio.</t>
  </si>
  <si>
    <t>Cordas e cabos</t>
  </si>
  <si>
    <t>Cabos</t>
  </si>
  <si>
    <t>-Tachas, pregos, escápulas, parafusos, pinos ou pernos roscados, porcas, ganchos roscados, rebites, chavetas, cavilhas, contrapinos ou troços, arruelas e artefatos semelhantes</t>
  </si>
  <si>
    <t>--Telas metálicas, grades e redes, de fios de alumínio</t>
  </si>
  <si>
    <t>Em lingotes</t>
  </si>
  <si>
    <t>Desperdícios e resíduos, de chumbo.</t>
  </si>
  <si>
    <t xml:space="preserve">--Folhas e tiras, de espessura não superior a 0,2 mm  excluindo o suporte </t>
  </si>
  <si>
    <t>Barras, perfis e fios</t>
  </si>
  <si>
    <t>Tubos e seus acessórios</t>
  </si>
  <si>
    <t>Desperdícios e resíduos, de zinco.</t>
  </si>
  <si>
    <t>Barras, perfis e fios, de zinco.</t>
  </si>
  <si>
    <t>Chapas, folhas e tiras, de zinco.</t>
  </si>
  <si>
    <t>Desperdícios e resíduos, de estanho.</t>
  </si>
  <si>
    <t>Barras, perfis e fios, de estanho.</t>
  </si>
  <si>
    <t>Chapas, folhas e tiras</t>
  </si>
  <si>
    <t>Pós e escamas</t>
  </si>
  <si>
    <t>--Tungstênio  volfrâmio  em formas brutas, incluindo as barras simplesmente obtidas por sinterização</t>
  </si>
  <si>
    <t>Do tipo dos utilizados na fabricação de contatos elétricos</t>
  </si>
  <si>
    <t>--Molibdênio em formas brutas, incluindo as barras simplesmente obtidas por sinterização</t>
  </si>
  <si>
    <t>--Barras, exceto as simplesmente obtidas por sinterização, perfis, chapas, tiras e folhas</t>
  </si>
  <si>
    <t>-Tântalo em formas brutas, incluindo as barras simplesmente obtidas por sinterização, pós</t>
  </si>
  <si>
    <t>--Que contenha pelo menos 99,8%, em peso, de magnésio</t>
  </si>
  <si>
    <t>-Aparas, resíduos de torno e grânulos, calibrados, pós</t>
  </si>
  <si>
    <t>Em formas brutas</t>
  </si>
  <si>
    <t xml:space="preserve">De ligas à base de cobalto-cromo-tungstênio  volfrâmio   estelites </t>
  </si>
  <si>
    <t>Chapas, folhas, tiras, fios, hastes, pastilhas e plaquetas</t>
  </si>
  <si>
    <t>Pós</t>
  </si>
  <si>
    <t>-Titânio em formas brutas, pós</t>
  </si>
  <si>
    <t>-Zircônio em formas brutas, pós</t>
  </si>
  <si>
    <t>--Em formas brutas, pós</t>
  </si>
  <si>
    <t>--Em formas brutas, desperdícios e resíduos, pós</t>
  </si>
  <si>
    <t>-Alviões, picaretas, enxadas, sachos, ancinhos e raspadeiras</t>
  </si>
  <si>
    <t>-Machados, podões e ferramentas semelhantes com gume</t>
  </si>
  <si>
    <t>-Tesouras para sebes, tesouras de podar e ferramentas semelhantes, manipuladas com as duas mãos</t>
  </si>
  <si>
    <t>-Outras ferramentas manuais para agricultura, horticultura e silvicultura</t>
  </si>
  <si>
    <t>--Outras, incluindo as partes</t>
  </si>
  <si>
    <t>--Folhas de serras retilíneas, para trabalhar metais</t>
  </si>
  <si>
    <t>Retas, não denteadas, para serrar pedras</t>
  </si>
  <si>
    <t>Limas e grosas</t>
  </si>
  <si>
    <t xml:space="preserve">Alicates  mesmo cortantes </t>
  </si>
  <si>
    <t>-Corta-tubos, corta-pinos, saca-bocados e ferramentas semelhantes</t>
  </si>
  <si>
    <t>-Chaves de caixa intercambiáveis, mesmo com cabos</t>
  </si>
  <si>
    <t>-Plainas, formões, goivas e ferramentas cortantes semelhantes, para trabalhar madeira</t>
  </si>
  <si>
    <t>-Lâmpadas ou lamparinas, de soldar  maçaricos  e semelhantes</t>
  </si>
  <si>
    <t>-Tornos de apertar, sargentos e semelhantes</t>
  </si>
  <si>
    <t>-Outros, incluindo os sortidos constituídos por artefatos incluídos em pelo menos duas das subposições da presente posição</t>
  </si>
  <si>
    <t>Ferramentas de pelo menos duas das posições 82.02 a 82.05, acondicionadas em sortidos para venda a retalho.</t>
  </si>
  <si>
    <t>-Fieiras de estiramento ou de extrusão, para metais</t>
  </si>
  <si>
    <t>-Ferramentas de embutir, de estampar ou de puncionar</t>
  </si>
  <si>
    <t>De roscar interiormente</t>
  </si>
  <si>
    <t>De roscar exteriormente</t>
  </si>
  <si>
    <t>Helicoidais, com diâmetro inferior ou igual a 52 mm</t>
  </si>
  <si>
    <t>De topo</t>
  </si>
  <si>
    <t>Para cortar engrenagens</t>
  </si>
  <si>
    <t>-Para máquinas de agricultura, horticultura ou silvicultura</t>
  </si>
  <si>
    <t>Ex 01 - Navalhas triangulares  faquinhas serrilhadas  de uso em colheitadeiras agrícolas</t>
  </si>
  <si>
    <t>Intercambiáveis</t>
  </si>
  <si>
    <t>Moinhos</t>
  </si>
  <si>
    <t>--Facas de mesa, de lâmina fixa</t>
  </si>
  <si>
    <t>Para cozinha e açougue</t>
  </si>
  <si>
    <t>Para caça</t>
  </si>
  <si>
    <t>Podadeiras e suas partes</t>
  </si>
  <si>
    <t>Canivetes com uma ou várias lâminas ou outras peças</t>
  </si>
  <si>
    <t>Navalhas</t>
  </si>
  <si>
    <t>Aparelhos</t>
  </si>
  <si>
    <t>Lâminas</t>
  </si>
  <si>
    <t>Esboços em tiras</t>
  </si>
  <si>
    <t>Tesouras e suas lâminas.</t>
  </si>
  <si>
    <t>-Espátulas, abre-cartas, raspadeiras, apontadores de lápis e suas lâminas</t>
  </si>
  <si>
    <t>Máquinas de tosquiar e suas partes</t>
  </si>
  <si>
    <t>-Sortidos que contenham pelo menos um objeto prateado, dourado ou platinado</t>
  </si>
  <si>
    <t>--Prateados, dourados ou platinados</t>
  </si>
  <si>
    <t>-Outras fechaduras, ferrolhos</t>
  </si>
  <si>
    <t>-Fechos e armações com fecho, com fechadura</t>
  </si>
  <si>
    <t>-Outras guarnições, ferragens e artigos semelhantes, para veículos automóveis</t>
  </si>
  <si>
    <t>--Outros, para móveis</t>
  </si>
  <si>
    <t>-Pateras, porta-chapéus, cabides e artigos semelhantes</t>
  </si>
  <si>
    <t>Cofres-fortes, portas blindadas e compartimentos para casas-fortes, cofres e caixas de segurança e artefatos semelhantes, de metais comuns.</t>
  </si>
  <si>
    <t>Classificadores, fichários, caixas de classificação, porta-cópias, porta-canetas, porta-carimbos e artefatos semelhantes, de escritório, de metais comuns, excluindo os móveis de escritório da posição 94.03.</t>
  </si>
  <si>
    <t>-Sinos, campainhas, gongos e artefatos semelhantes</t>
  </si>
  <si>
    <t>Ex 01 - Sinos e carrilhões</t>
  </si>
  <si>
    <t>-Molduras para fotografias, gravuras ou semelhantes, espelhos</t>
  </si>
  <si>
    <t>Dos tipos utilizados na explotação submarina de petróleo ou gás, constituídos por camadas flexíveis de aço e camadas de plástico, de diâmetro interior superior a 254 mm</t>
  </si>
  <si>
    <t>-Grampos, colchetes e ilhoses</t>
  </si>
  <si>
    <t>Fivelas</t>
  </si>
  <si>
    <t>Contas e lantejoulas</t>
  </si>
  <si>
    <t>Ex 01 - Partes</t>
  </si>
  <si>
    <t>Placas indicadoras, placas sinalizadoras, placas-endereços e placas semelhantes, números, letras e sinais diversos, de metais comuns, exceto os da posição 94.05.</t>
  </si>
  <si>
    <t>Ex 01 - Triângulo de segurança</t>
  </si>
  <si>
    <t>De aparelhos auxiliares para caldeiras da posição 84.02</t>
  </si>
  <si>
    <t>-Geradores de gás de ar  gás pobre  ou de gás de água, com ou sem depuradores, geradores de acetileno e geradores semelhantes de gás, operados a água, com ou sem depuradores</t>
  </si>
  <si>
    <t>-Eletrodos revestidos exteriormente para soldar a arco, de metais comuns</t>
  </si>
  <si>
    <t>-Fios revestidos interiormente para soldar a arco, de metais comuns</t>
  </si>
  <si>
    <t>-Varetas revestidas exteriormente e fios revestidos interiormente, para soldar à chama, de metais comuns</t>
  </si>
  <si>
    <t>-Máquinas e aparelhos para a separação de isótopos, e suas partes</t>
  </si>
  <si>
    <t>--Caldeiras aquatubulares com produção de vapor superior a 45 t por hora</t>
  </si>
  <si>
    <t>--Caldeiras aquatubulares com produção de vapor não superior a 45 t por hora</t>
  </si>
  <si>
    <t>--Outras caldeiras para produção de vapor, incluindo as caldeiras mistas</t>
  </si>
  <si>
    <t>Com capacidade inferior ou igual a 200.000 kcal/hora</t>
  </si>
  <si>
    <t>Da posição 84.02</t>
  </si>
  <si>
    <t>Da posição 84.03</t>
  </si>
  <si>
    <t>--De potência superior a 40 MW</t>
  </si>
  <si>
    <t>--De potência não superior a 40 MW</t>
  </si>
  <si>
    <t>De turbinas a reação, de múltiplos estágios</t>
  </si>
  <si>
    <t xml:space="preserve">Fixas  de estator </t>
  </si>
  <si>
    <t>Monocilíndricos</t>
  </si>
  <si>
    <t>--De cilindrada superior a 50 cm3, mas não superior a 250 cm3</t>
  </si>
  <si>
    <t>Do tipo fora-de-borda</t>
  </si>
  <si>
    <t>De cilindrada inferior ou igual a 1.500 cm3</t>
  </si>
  <si>
    <t>De cilindrada superior a 1.500 cm3, mas inferior ou igual a 2.500 cm3</t>
  </si>
  <si>
    <t>Ex 01 - De ônibus ou caminhões, de potência igual ou superior a 125HP</t>
  </si>
  <si>
    <t>Ex 02 - De tratores agrícolas, com até 2.600 rpm em potência máxima</t>
  </si>
  <si>
    <t>De cilindrada superior a 2.500 cm3, mas inferior ou igual a 3.500 cm3</t>
  </si>
  <si>
    <t>Estacionários, de potência normal ISO superior a 412,5 kW  550 HP , segundo Norma ISO 3046/1</t>
  </si>
  <si>
    <t>Bielas</t>
  </si>
  <si>
    <t>Blocos de cilindros, cabeçotes e cárteres</t>
  </si>
  <si>
    <t>Carburadores, com bomba e dispositivo de compensação de nível de combustível incorporados, ambos a membrana, de diâmetro de venturi inferior ou igual a 22,8 mm e peso inferior ou igual a 280 g</t>
  </si>
  <si>
    <t>Válvulas de admissão ou de escape</t>
  </si>
  <si>
    <t>Coletores de admissão ou de escape</t>
  </si>
  <si>
    <t>Anéis de segmento</t>
  </si>
  <si>
    <t>Guias de válvulas</t>
  </si>
  <si>
    <t>Outros carburadores</t>
  </si>
  <si>
    <t>Pistões ou êmbolos</t>
  </si>
  <si>
    <t>Camisas de cilindro</t>
  </si>
  <si>
    <t>Injeção eletrônica</t>
  </si>
  <si>
    <t>Blocos de cilindros e cárteres</t>
  </si>
  <si>
    <t>Ex 01 - De motores de ônibus ou caminhões, de potência igual ou superior a 125HP</t>
  </si>
  <si>
    <t>Com diâmetro superior ou igual a 200 mm</t>
  </si>
  <si>
    <t>Com peso superior ou igual a 30 kg</t>
  </si>
  <si>
    <t>Com diâmetro superior ou igual a 20 mm</t>
  </si>
  <si>
    <t>Camisas de cilindro soldadas a cabeçotes, com diâmetro superior ou igual a 200 mm</t>
  </si>
  <si>
    <t>Ex 01 - Carcaças de motores de ônibus ou caminhões, de potência igual ou superior a 125HP</t>
  </si>
  <si>
    <t>--De potência não superior a 1.000 kW</t>
  </si>
  <si>
    <t>--De potência superior a 1.000 kW, mas não superior a 10.000 kW</t>
  </si>
  <si>
    <t>--De potência superior a 10.000 kW</t>
  </si>
  <si>
    <t>-Partes, incluindo os reguladores</t>
  </si>
  <si>
    <t>--De empuxo não superior a 25 kN</t>
  </si>
  <si>
    <t>--De empuxo superior a 25 kN</t>
  </si>
  <si>
    <t>--De potência não superior a 1.100 kW</t>
  </si>
  <si>
    <t>--De potência superior a 1.100 kW</t>
  </si>
  <si>
    <t>--De potência não superior a 5.000 kW</t>
  </si>
  <si>
    <t>--De potência superior a 5.000 kW</t>
  </si>
  <si>
    <t>-Propulsores a reação, excluindo os turborreatores</t>
  </si>
  <si>
    <t>Cilindros hidráulicos</t>
  </si>
  <si>
    <t>Cilindros pneumáticos</t>
  </si>
  <si>
    <t>De propulsores a reação</t>
  </si>
  <si>
    <t xml:space="preserve">De máquinas a vapor de movimento retilíneo  cilindros </t>
  </si>
  <si>
    <t>Outras, de máquinas das subposições 8412.21 ou 8412.31</t>
  </si>
  <si>
    <t>--Bombas para distribuição de combustíveis ou lubrificantes, dos tipos utilizados em postos de serviço ou garagens</t>
  </si>
  <si>
    <t>-Bombas manuais, exceto das subposições 8413.11 ou 8413.19</t>
  </si>
  <si>
    <t>Para gasolina ou álcool</t>
  </si>
  <si>
    <t>Injetoras de combustível para motor de ignição por compressão</t>
  </si>
  <si>
    <t>Ex 01 - Em linha , com elementos de injeção de diâmetro igual ou superior a 9,5 mm, para motores de potência igual ou superior a 125HP, próprios para ônibus ou caminhões</t>
  </si>
  <si>
    <t>Para óleo lubrificante</t>
  </si>
  <si>
    <t>De potência superior a 3,73 kW  5 HP  e inferior ou igual a 447,42 kW  600 HP , excluídas as para oxigênio líquido</t>
  </si>
  <si>
    <t>De engrenagem</t>
  </si>
  <si>
    <t>Eletrobombas submersíveis</t>
  </si>
  <si>
    <t>Outras, de vazão inferior ou igual a 300 l/min</t>
  </si>
  <si>
    <t>Hastes de bombeamento, dos tipos utilizados para extração de petróleo</t>
  </si>
  <si>
    <t>Ex 01 - De bombas injetoras em linha, com elementos de injeção de diâmetro igual ou superior a 9,5 mm, para motores de ignição por compressão de potência igual ou superior a 125HP, próprios para ônibus ou caminhões</t>
  </si>
  <si>
    <t>-Bombas de ar, de mão ou de pé</t>
  </si>
  <si>
    <t>Com capacidade inferior a 4.700 frigorias/hora</t>
  </si>
  <si>
    <t>Com capacidade inferior ou igual a 16.000 frigorias/hora</t>
  </si>
  <si>
    <t>De deslocamento alternativo</t>
  </si>
  <si>
    <t>De parafuso</t>
  </si>
  <si>
    <t>De mesa</t>
  </si>
  <si>
    <t>De teto</t>
  </si>
  <si>
    <t>Microventiladores com área de carcaça inferior a 90 cm2</t>
  </si>
  <si>
    <t>-Coifas com dimensão horizontal máxima não superior a 120 cm</t>
  </si>
  <si>
    <t>Ex 01 - Do tipo doméstico</t>
  </si>
  <si>
    <t>Estacionários, de pistão</t>
  </si>
  <si>
    <t xml:space="preserve">De lóbulos paralelos  tipo Roots </t>
  </si>
  <si>
    <t>Turboalimentadores de ar, de peso inferior ou igual a 50 kg para motores das posições 84.07 ou 84.08, acionado pelos gases de escapamento dos mesmos</t>
  </si>
  <si>
    <t>Turboalimentadores de ar, de peso superior a 50 kg para motores das posições 84.07 ou 84.08, acionados pelos gases de escapamento dos mesmos</t>
  </si>
  <si>
    <t>De pistão</t>
  </si>
  <si>
    <t>Centrífugos, de vazão máxima inferior a 22.000 m3/h</t>
  </si>
  <si>
    <t>Outros compressores centrífugos</t>
  </si>
  <si>
    <t>De bombas</t>
  </si>
  <si>
    <t>De ventiladores ou coifas aspirantes</t>
  </si>
  <si>
    <t>Válvulas</t>
  </si>
  <si>
    <t xml:space="preserve">Do tipo split-system  sistema com elementos separados </t>
  </si>
  <si>
    <t>Ex 01 - Com capacidade inferior a 7.500 frigorias/hora</t>
  </si>
  <si>
    <t>Com capacidade inferior ou igual a 30.000 frigorias/hora</t>
  </si>
  <si>
    <t>Unidades evaporadoras  internas  de aparelho de ar-condicionado do tipo split-system  sistema com elementos separados , com capacidade inferior ou igual a 30.000 frigorias/hora</t>
  </si>
  <si>
    <t>Unidades condensadoras  externas  de aparelho de ar-condicionado do tipo split-system  sistema com elementos separados , com capacidade inferior ou igual a 30.000 frigorias/hora</t>
  </si>
  <si>
    <t>De gases</t>
  </si>
  <si>
    <t>-Fornalhas automáticas, incluindo as antefornalhas, grelhas mecânicas, descarregadores mecânicos de cinzas e dispositivos semelhantes</t>
  </si>
  <si>
    <t>Fornos industriais para fusão de metais</t>
  </si>
  <si>
    <t>Fornos industriais para tratamento térmico de metais</t>
  </si>
  <si>
    <t>-Fornos de padaria, pastelaria ou para a indústria de bolachas e biscoitos</t>
  </si>
  <si>
    <t>Fornos industriais para cerâmica</t>
  </si>
  <si>
    <t>Fornos industriais para fusão de vidro</t>
  </si>
  <si>
    <t>-Combinações de refrigeradores e congeladores  freezers , munidos de portas exteriores separadas</t>
  </si>
  <si>
    <t>Ex 01 - Próprios para conservação de sangue humano, funcionando com temperatura estável entre 2°C e 6°C</t>
  </si>
  <si>
    <t>-Congeladores  freezers  horizontais tipo arca, de capacidade não superior a 800 l</t>
  </si>
  <si>
    <t>Ex 01 - De capacidade não superior a 400 litros</t>
  </si>
  <si>
    <t>-Congeladores  freezers  verticais tipo armário, de capacidade não superior a 900 l</t>
  </si>
  <si>
    <t xml:space="preserve">Congeladores  freezers </t>
  </si>
  <si>
    <t>Ex 01 - Refrigeradores próprios para conservação de sangue humano, funcionando com temperatura estável entre 2°C e 6°C</t>
  </si>
  <si>
    <t>--Bombas de calor, exceto as máquinas e aparelhos de ar-condicionado da posição 84.15</t>
  </si>
  <si>
    <t>Máquinas não domésticas para preparação de sorvetes</t>
  </si>
  <si>
    <t>Resfriadores de leite</t>
  </si>
  <si>
    <t>De água ou sucos</t>
  </si>
  <si>
    <t>Ex 01 - Bebedouros refrigerados</t>
  </si>
  <si>
    <t>De bebidas carbonatadas</t>
  </si>
  <si>
    <t>Grupos frigoríficos de compressão para refrigeração ou para ar-condicionado, com capacidade inferior ou igual a 30.000 frigorias/hora</t>
  </si>
  <si>
    <t>Ex 01 - Para ar-condicionado</t>
  </si>
  <si>
    <t>Resfriadores de água, de absorção por brometo de lítio</t>
  </si>
  <si>
    <t>Ex 01 - Máquinas para produção de gelo em embarcações pesqueiras</t>
  </si>
  <si>
    <t>Ex 02 - Grupos de compressão, exceto para ar condicionado, ou de absorção</t>
  </si>
  <si>
    <t>Ex 03 - Máquinas para produção de gelo em cubos ou escamas</t>
  </si>
  <si>
    <t>Ex 04 - Instalações frigoríficas industriais, formadas por elementos não reunidos em corpo único nem montados sobre base comum, com câmara frigorífica de capacidade superior a 30m³</t>
  </si>
  <si>
    <t>Ex 01 - Condensador frigorífico e evaporador frigorífico</t>
  </si>
  <si>
    <t>--De aquecimento instantâneo, a gás</t>
  </si>
  <si>
    <t>Ex 01 - Para uso doméstico</t>
  </si>
  <si>
    <t>Aquecedores solares de água</t>
  </si>
  <si>
    <t>--Para madeiras, pastas de papel, papéis ou cartões</t>
  </si>
  <si>
    <t>De destilação de água</t>
  </si>
  <si>
    <t>De destilação ou retificação de álcoois e outros fluídos voláteis ou de hidrocarbonetos</t>
  </si>
  <si>
    <t>De placas</t>
  </si>
  <si>
    <t>Metálicos</t>
  </si>
  <si>
    <t>Autoclaves</t>
  </si>
  <si>
    <t>De alimentos, mediante Ultra Alta Temperatura  UHT - Ultra High Temperature  por injeção direta de vapor, com capacidade superior ou igual a 6.500 l/h</t>
  </si>
  <si>
    <t>Ex 01 - Dos tipos utilizados em bares, restaurantes, cantinas e semelhantes</t>
  </si>
  <si>
    <t>Estufas</t>
  </si>
  <si>
    <t>Torrefadores</t>
  </si>
  <si>
    <t>Evaporadores</t>
  </si>
  <si>
    <t>Recipiente refrigerador, com dispositivo de circulação de fluido refrigerante</t>
  </si>
  <si>
    <t>Ex 01 - Torres de resfriamento de água</t>
  </si>
  <si>
    <t>De aquecedores de água das subposições 8419.11 ou 8419.19</t>
  </si>
  <si>
    <t>De colunas de destilação ou de retificação</t>
  </si>
  <si>
    <t>Placa corrugada, de aço inoxidável ou de alumínio, com superfície de troca térmica de área superior a 0,4 m2</t>
  </si>
  <si>
    <t>De aparelhos ou dispositivos das subposições 8419.81 ou 8419.89</t>
  </si>
  <si>
    <t>Para papel ou cartão</t>
  </si>
  <si>
    <t>Com capacidade de processamento de leite superior ou igual a 30.000 l/h</t>
  </si>
  <si>
    <t>Com capacidade, expressa em peso de roupa seca, inferior ou igual a 6 kg</t>
  </si>
  <si>
    <t>Centrifugadores para laboratórios de análises, ensaios ou pesquisas científicas</t>
  </si>
  <si>
    <t>Ex 01 - Centrifugadores para uso doméstico</t>
  </si>
  <si>
    <t>--Para filtrar ou depurar bebidas, exceto água</t>
  </si>
  <si>
    <t>Ex 01 - Filtro de óleo lubrificante, não descartável, equipado com elemento filtrante de papel  substituível , para uso em motores de ignição por compressão, de potência igual ou superior a 125HP, próprios para ônibus ou caminhões</t>
  </si>
  <si>
    <t>Ex 02 - Filtro de óleo lubrificante, não descartável, equipado com elemento filtrante de papel  substituível , para uso em motores de ignição por compressão, com até 2.600 rpm em potência máxima, próprios para colheitadeiras ou tratores agrícolas</t>
  </si>
  <si>
    <t>Capilares</t>
  </si>
  <si>
    <t>Aparelho de osmose inversa</t>
  </si>
  <si>
    <t>Filtros-prensa</t>
  </si>
  <si>
    <t>Filtros eletrostáticos</t>
  </si>
  <si>
    <t>Depuradores por conversão catalítica de gases de escape de veículos</t>
  </si>
  <si>
    <t>Concentradores de oxigênio por depuração do ar, com capacidade de saída inferior ou igual a 6 l/min</t>
  </si>
  <si>
    <t>De secadores de roupa do item 8421.12.10</t>
  </si>
  <si>
    <t>Tambores rotativos com pratos ou discos separadores, de peso superior a 300 kg</t>
  </si>
  <si>
    <t>De aparelhos para filtrar ou depurar gases, da subposição 8421.39</t>
  </si>
  <si>
    <t>Cartuchos de membrana de aparelhos de osmose inversa</t>
  </si>
  <si>
    <t>Ex 01 – Com capacidade de lavagem superior a 1000 pratos por hora</t>
  </si>
  <si>
    <t>Máquinas e aparelhos para encher, fechar, arrolhar, capsular ou rotular garrafas</t>
  </si>
  <si>
    <t>Para encher caixas ou sacos com pó ou grãos</t>
  </si>
  <si>
    <t>Para encher e fechar embalagens confeccionadas com papel ou cartão dos subitens 4811.51.22 ou 4811.59.23, mesmo com dispositivo de rotulagem</t>
  </si>
  <si>
    <t>Para encher e fechar recipientes tubulares flexíveis  bisnagas , com capacidade superior ou igual a 100 unidades por minuto</t>
  </si>
  <si>
    <t>Para gaseificar bebidas</t>
  </si>
  <si>
    <t xml:space="preserve">Horizontais, próprias para empacotamento de massas alimentícias longas  comprimento superior a 200 mm  em pacotes tipo almofadas  pillow pack , com capacidade de produção superior a 100 pacotes por minuto e controlador lógico programável  CLP </t>
  </si>
  <si>
    <t>Automática, para embalar tubos ou barras de metal, em atados de peso inferior ou igual a 2.000 kg e comprimento inferior ou igual a 12 m</t>
  </si>
  <si>
    <t>De máquinas de lavar louça, de uso doméstico</t>
  </si>
  <si>
    <t>De empacotar embalagens confeccionadas com papel ou cartão dos subitens 4811.51.22 ou 4811.59.23 em caixas ou bandejas de papel ou cartão dobráveis, com capacidade superior ou igual a 5.000 embalagens por hora</t>
  </si>
  <si>
    <t>-Balanças para pessoas, incluindo as balanças para bebês, balanças de uso doméstico</t>
  </si>
  <si>
    <t>Ex 01 - De uso doméstico</t>
  </si>
  <si>
    <t>Com aparelhos periféricos, que constituam unidade funcional</t>
  </si>
  <si>
    <t>De mesa, com dipositivo registrador ou impressor de etiquetas</t>
  </si>
  <si>
    <t>--De capacidade superior a 30 kg, mas não superior a 5.000 kg</t>
  </si>
  <si>
    <t>Pesos</t>
  </si>
  <si>
    <t>De aparelhos ou instrumentos da subposição 8423.10</t>
  </si>
  <si>
    <t>-Extintores, mesmo carregados</t>
  </si>
  <si>
    <t>Máquinas e aparelhos de desobstrução de tubulação ou de limpeza, por jato de água</t>
  </si>
  <si>
    <t>De jato de areia própria para desgaste localizado de peças de vestuário</t>
  </si>
  <si>
    <t>Perfuradoras por jato de água com pressão de trabalho máxima superior ou igual a 10 MPa</t>
  </si>
  <si>
    <t>Aparelhos manuais</t>
  </si>
  <si>
    <t>Por aspersão</t>
  </si>
  <si>
    <t>Aparelhos de pulverização constituídos por botão de pressão com bocal  tampa “spray” , válvula do tipo aerossol, junta de estanqueidade  junta de canopla  e tubo de imersão, montados sobre um corpo metálico  canopla , dos tipos utilizados para serem monta</t>
  </si>
  <si>
    <t>Aparelhos automáticos para projetar lubrificantes sobre pneumáticos, contendo uma estação de secagem por ar pré-aquecido e dispositivos para agarrar e movimentar pneumáticos</t>
  </si>
  <si>
    <t>De aparelhos da subposição 8424.10 ou do subitem 8424.81.11</t>
  </si>
  <si>
    <t>Talhas, cadernais e moitões, manuais</t>
  </si>
  <si>
    <t>Com capacidade inferior ou igual a 100 t</t>
  </si>
  <si>
    <t xml:space="preserve">--Elevadores fixos de veículos, para garagens  oficinas </t>
  </si>
  <si>
    <t>--Outros macacos, hidráulicos</t>
  </si>
  <si>
    <t>Manuais</t>
  </si>
  <si>
    <t>--Pontes e vigas, rolantes, de suportes fixos</t>
  </si>
  <si>
    <t>Com deslocamento em sentido longitudinal, transversal e diagonal  tipo caranguejo  com capacidade de carga superior ou igual a 60 t</t>
  </si>
  <si>
    <t>De lagartas, com capacidade de elevação superior ou igual a 70 t</t>
  </si>
  <si>
    <t>De capacidade de carga superior a 6,5 t</t>
  </si>
  <si>
    <t>Empilhadeiras com capacidade de carga superior a 6,5 t</t>
  </si>
  <si>
    <t xml:space="preserve">Transportadores tubulares  transvasadores  móveis, acionados com motor de potência superior a 90 kW  120 HP </t>
  </si>
  <si>
    <t>--Outros, de caçamba</t>
  </si>
  <si>
    <t>--Outros, de tira ou correia</t>
  </si>
  <si>
    <t>De correntes</t>
  </si>
  <si>
    <t>De rolos motores</t>
  </si>
  <si>
    <t>De pinças laterais, do tipo dos utilizados para o transporte de jornais</t>
  </si>
  <si>
    <t>-Escadas e tapetes, rolantes</t>
  </si>
  <si>
    <t>-Teleféricos  incluindo as telecadeiras e os telesquis , mecanismos de tração para funiculares</t>
  </si>
  <si>
    <t>Ex 01 - Telecadeiras e telesquis</t>
  </si>
  <si>
    <t>Do tipo dos utilizados para desembarque de botes salva-vidas, motorizados ou providos de dispositivo de compensação de inclinação</t>
  </si>
  <si>
    <t>Transportadores-elevadores  transelevadores  automáticos, de deslocamento horizontal sobre guias</t>
  </si>
  <si>
    <t>Máquina para formação de pilhas de jornais, dispostos em sentido alternado, de capacidade superior ou igual a 80.000 exemplares/h</t>
  </si>
  <si>
    <t xml:space="preserve">De potência no volante superior ou igual a 387,76 kW  520 HP </t>
  </si>
  <si>
    <t xml:space="preserve">Bulldozers de potência no volante superior ou igual a 234,90 kW  315 HP </t>
  </si>
  <si>
    <t xml:space="preserve">Motoniveladores articulados, de potência no volante superior ou igual a 205,07 kW  275 HP </t>
  </si>
  <si>
    <t>Do tipo das utilizadas em minas subterrâneas</t>
  </si>
  <si>
    <t xml:space="preserve">De potência no volante superior ou igual a 454,13 kW  609 HP </t>
  </si>
  <si>
    <t xml:space="preserve">De potência no volante superior ou igual a 297,5 kW  399 HP </t>
  </si>
  <si>
    <t xml:space="preserve">De potência no volante inferior ou igual a 43,99 kW  59 HP </t>
  </si>
  <si>
    <t xml:space="preserve">De potência no volante superior ou igual a 484,7 kW  650 HP </t>
  </si>
  <si>
    <t xml:space="preserve">De potência no volante inferior ou igual a 40,3 kW  54 HP </t>
  </si>
  <si>
    <t>Infraestruturas motoras, próprias para receber equipamentos das subposições 8430.49, 8430.61 ou 8430.69, mesmo com dispositivo de deslocamento sobre trilhos</t>
  </si>
  <si>
    <t>Cortadores de carvão ou de rocha</t>
  </si>
  <si>
    <t>Perfuratriz de percussão</t>
  </si>
  <si>
    <t>Perfuratriz rotativa</t>
  </si>
  <si>
    <t>Máquinas de sondagem, rotativas</t>
  </si>
  <si>
    <t>-Outras máquinas e aparelhos, autopropulsados</t>
  </si>
  <si>
    <t>Com capacidade de carga superior a 4 m3</t>
  </si>
  <si>
    <t>Do item 8425.19.10 ou das subposições 8425.39, 8425.42 ou 8425.49</t>
  </si>
  <si>
    <t>Autopropulsadas</t>
  </si>
  <si>
    <t>De outras empilhadeiras</t>
  </si>
  <si>
    <t>De elevadores</t>
  </si>
  <si>
    <t>--Caçambas, mesmo de mandíbulas, pás, ganchos e tenazes</t>
  </si>
  <si>
    <t>De máquinas de sondagem rotativas</t>
  </si>
  <si>
    <t>De máquinas ou aparelhos da posição 84.26</t>
  </si>
  <si>
    <t>Cabinas</t>
  </si>
  <si>
    <t>Lagartas</t>
  </si>
  <si>
    <t>Tanques de combustível e demais reservatórios</t>
  </si>
  <si>
    <t>Semeadores-adubadores</t>
  </si>
  <si>
    <t>Ex 01- Rolos para gramados</t>
  </si>
  <si>
    <t>--Motorizados, cujo dispositivo de corte gira num plano horizontal</t>
  </si>
  <si>
    <t>Com dispositivo de acondicionamento em fileiras constituído por rotor de dedos e pente</t>
  </si>
  <si>
    <t>-Enfardadeiras de palha ou de forragem, incluindo as enfardadeiras-apanhadeiras</t>
  </si>
  <si>
    <t xml:space="preserve">Com capacidade para trabalhar até dois sulcos de colheita e potência no volante inferior ou igual a 59,7 kW  80 HP </t>
  </si>
  <si>
    <t>Selecionadores de frutas</t>
  </si>
  <si>
    <t>Com capacidade superior a 250.000 ovos por hora</t>
  </si>
  <si>
    <t>De cortadores de grama</t>
  </si>
  <si>
    <t>Ex 01 - De colheitadeiras</t>
  </si>
  <si>
    <t>Para tratamento do leite</t>
  </si>
  <si>
    <t>-Máquinas para limpeza, seleção ou peneiração de grãos ou de produtos hortícolas secos</t>
  </si>
  <si>
    <t>Para trituração ou moagem de grãos</t>
  </si>
  <si>
    <t>-Máquinas e aparelhos para as indústrias de panificação, pastelaria, bolachas e biscoitos e de massas alimentícias</t>
  </si>
  <si>
    <t>Para fabricar bombons de chocolate por moldagem, de capacidade de produção superior ou igual a 150 kg/h</t>
  </si>
  <si>
    <t>Máquinas para extração de óleo essencial de cítricos</t>
  </si>
  <si>
    <t>Automática, para descabeçar, cortar a cauda e eviscerar peixes, com capacidade superior a 350 unidades por minuto</t>
  </si>
  <si>
    <t>Para tratamento preliminar das matérias primas</t>
  </si>
  <si>
    <t>Classificadoras e classificadoras-depuradoras de pasta</t>
  </si>
  <si>
    <t>Refinadoras</t>
  </si>
  <si>
    <t>Bobinadoras-esticadoras</t>
  </si>
  <si>
    <t>Para impregnar</t>
  </si>
  <si>
    <t>Para ondular</t>
  </si>
  <si>
    <t>Rolos, corrugadores ou de pressão, de máquinas para ondular, com largura útil superior ou igual a 2.500 mm</t>
  </si>
  <si>
    <t>Com alimentação automática</t>
  </si>
  <si>
    <t>Máquinas para fabricar capas de papelão, com dispositivo de colagem e capacidade de produção superior a 60 unidades por minuto</t>
  </si>
  <si>
    <t>Cortadeiras bobinadoras com velocidade de bobinado superior a 2.000 m/min</t>
  </si>
  <si>
    <t>De dobrar e colar, para fabricação de caixas</t>
  </si>
  <si>
    <t>-Máquinas de moldar artigos de pasta de papel, papel ou cartão</t>
  </si>
  <si>
    <t>De compor por processo fotográfico</t>
  </si>
  <si>
    <t>De compor caracteres tipográficos por outros processos, mesmo com dispositivo de fundir</t>
  </si>
  <si>
    <t>De máquinas do item 8442.30.10</t>
  </si>
  <si>
    <t>De máquinas do item 8442.30.20</t>
  </si>
  <si>
    <t xml:space="preserve">-Clichês, blocos, cilindros e outros elementos de impressão, pedras litográficas, blocos, placas e cilindros, preparados para impressão  por exemplo, aplainados, granulados ou polidos </t>
  </si>
  <si>
    <t>Para impressão multicolor de jornais, de largura superior ou igual a 900 mm, com unidades de impressão em configuração torre e dispositivos automáticos de emendar bobinas</t>
  </si>
  <si>
    <t>--Máquinas e aparelhos de impressão, por ofsete, dos tipos utilizados em escritórios, alimentados por folhas em que um lado não seja superior a 22 cm e que o outro não seja superior a 36 cm, quando não dobradas</t>
  </si>
  <si>
    <t>Para impressão multicolor de recipientes de matérias plásticas, cilíndricos, cônicos ou de faces planas</t>
  </si>
  <si>
    <t>Com velocidade de impressão superior ou igual a 12.000 folhas por hora</t>
  </si>
  <si>
    <t>--Máquinas e aparelhos de impressão, tipográficos, alimentados por bobinas, excluindo as máquinas e aparelhos flexográficos</t>
  </si>
  <si>
    <t>--Máquinas e aparelhos de impressão, tipográficos, não alimentados por bobinas, excluindo as máquinas e aparelhos flexográficos</t>
  </si>
  <si>
    <t>--Máquinas e aparelhos de impressão, flexográficos</t>
  </si>
  <si>
    <t>Rotativas para heliogravura</t>
  </si>
  <si>
    <t>Para serigrafia</t>
  </si>
  <si>
    <t>De jato de tinta líquida, com largura de impressão inferior ou igual a 420 mm</t>
  </si>
  <si>
    <t xml:space="preserve">De transferência térmica de cera sólida  por exemplo, solid ink e dye sublimation </t>
  </si>
  <si>
    <t>A laser, LED  Diodos Emissores de Luz  ou LCS  Sistema de Cristal Líquido , monocromáticas, com largura de impressão inferior ou igual a 280 mm</t>
  </si>
  <si>
    <t>A laser, LED  Diodos Emissores de Luz  ou LCS  Sistema de Cristal Líquido , monocromáticas, com largura de impressão superior a 280 mm e inferior ou igual a 420 mm</t>
  </si>
  <si>
    <t>A laser, LED  Diodos Emissores de Luz  ou LCS  Sistema de Cristal Líquido , policromáticas</t>
  </si>
  <si>
    <t>Outras, com largura de impressão superior a 420 mm</t>
  </si>
  <si>
    <t>Com impressão por sistema térmico</t>
  </si>
  <si>
    <t>De linha</t>
  </si>
  <si>
    <t>De caracteres Braille</t>
  </si>
  <si>
    <t xml:space="preserve">Outras matriciais  por pontos </t>
  </si>
  <si>
    <t xml:space="preserve">A laser, LED  Diodos Emissores de Luz  ou LCS  Sistema de Cristal Líquido , policromáticas, com velocidade de impressão inferior ou igual a 20 páginas por minuto  ppm </t>
  </si>
  <si>
    <t xml:space="preserve">A laser, LED  Diodos Emissores de Luz  ou LCS  Sistema de Cristal Líquido , policromáticas, com velocidade de impressão superior a 20 páginas por minuto  ppm </t>
  </si>
  <si>
    <t>Térmicas, dos tipos utilizados em impressão de imagens para diagnóstico médico em folhas revestidas com camada termossensível</t>
  </si>
  <si>
    <t>Outras impressoras alimentadas por folhas</t>
  </si>
  <si>
    <t>Por meio de penas</t>
  </si>
  <si>
    <t>Outros, com largura de impressão superior a 580 mm</t>
  </si>
  <si>
    <t>Impressoras de código de barras postais, tipo 3 em 5, a jato de tinta fluorescente, com velocidade de até 4,5 m/s e passo de 1,4 mm</t>
  </si>
  <si>
    <t>Máquinas de impressão por jato de tinta</t>
  </si>
  <si>
    <t>De reprodução da imagem do original sobre a cópia por meio de um suporte intermediário  processo indireto , monocromáticas, para cópias de superfície inferior ou igual a 1 m2, com velocidade inferior a 100 cópias por minuto</t>
  </si>
  <si>
    <t>Outras, por processo indireto</t>
  </si>
  <si>
    <t>Outras máquinas copiadoras</t>
  </si>
  <si>
    <t>Partes de máquinas e aparelhos da subposição 8443.12</t>
  </si>
  <si>
    <t>Dobradoras</t>
  </si>
  <si>
    <t>Numeradores automáticos</t>
  </si>
  <si>
    <t>Mecanismos de impressão, mesmo sem cabeça de impressão incorporada</t>
  </si>
  <si>
    <t>Cabeças de impressão</t>
  </si>
  <si>
    <t>Cartuchos de tinta</t>
  </si>
  <si>
    <t>Mecanismos de impressão, mesmo sem cilindro fotossensível incorporado</t>
  </si>
  <si>
    <t>Cilindros recobertos de matéria semicondutora fotoelétrica</t>
  </si>
  <si>
    <t xml:space="preserve">Cartuchos de revelador  toners </t>
  </si>
  <si>
    <t>Outros mecanismos de impressão, suas partes e acessórios</t>
  </si>
  <si>
    <t>Circuitos impressos com componentes elétricos ou eletrônicos, montados</t>
  </si>
  <si>
    <t>Bandejas e gavetas, suas partes e acessórios</t>
  </si>
  <si>
    <t>Mecanismos de alimentação ou de triagem de papéis ou documentos, suas partes e acessórios</t>
  </si>
  <si>
    <t>Para extrudar</t>
  </si>
  <si>
    <t>Para corte ou ruptura de fibras</t>
  </si>
  <si>
    <t>Para lã</t>
  </si>
  <si>
    <t>Para fibras do Capítulo 53</t>
  </si>
  <si>
    <t>Máquinas para a preparação da seda</t>
  </si>
  <si>
    <t>Para recuperação de cordas, fios, trapos ou qualquer outro desperdício, transformando-os em fibras adequadas para cardagem</t>
  </si>
  <si>
    <t>Descaroçadeiras e deslintadeiras de algodão</t>
  </si>
  <si>
    <t>Para desengordurar, lavar, alvejar ou tingir fibras têxteis em massa ou rama</t>
  </si>
  <si>
    <t>Abridoras de fibras de lã</t>
  </si>
  <si>
    <t>Abridoras de fibras do Capítulo 53</t>
  </si>
  <si>
    <t>Máquinas de carbonizar a lã</t>
  </si>
  <si>
    <t>Para estirar a lã</t>
  </si>
  <si>
    <t>Retorcedeiras</t>
  </si>
  <si>
    <t xml:space="preserve">Bobinadeiras de trama  espuladeiras </t>
  </si>
  <si>
    <t>Para fios elastanos</t>
  </si>
  <si>
    <t>Outras, com atador automático</t>
  </si>
  <si>
    <t>Com velocidade de bobinado superior ou igual a 4.000 m/min</t>
  </si>
  <si>
    <t>Com controle de comprimento ou peso e atador automático</t>
  </si>
  <si>
    <t>Noveleiras automáticas</t>
  </si>
  <si>
    <t>Urdideiras</t>
  </si>
  <si>
    <t>Passadeiras para liço e pente</t>
  </si>
  <si>
    <t>Para amarrar urdideiras</t>
  </si>
  <si>
    <t>Automáticas, para colocar lamelas</t>
  </si>
  <si>
    <t>Com mecanismo Jacquard</t>
  </si>
  <si>
    <t>A jato de ar</t>
  </si>
  <si>
    <t>A jato de água</t>
  </si>
  <si>
    <t>De projétil</t>
  </si>
  <si>
    <t>De pinças</t>
  </si>
  <si>
    <t>--Com cilindro de diâmetro não superior a 165 mm</t>
  </si>
  <si>
    <t>--Com cilindro de diâmetro superior a 165 mm</t>
  </si>
  <si>
    <t>Teares manuais</t>
  </si>
  <si>
    <t>Para fabricação de malhas de urdidura</t>
  </si>
  <si>
    <t xml:space="preserve">Máquinas de costura por entrelaçamento  couture-tricotage </t>
  </si>
  <si>
    <t>Máquinas para fabricação de redes, tules ou filós</t>
  </si>
  <si>
    <t>Máquinas automáticas para bordar</t>
  </si>
  <si>
    <t>Ratieras</t>
  </si>
  <si>
    <t>Mecanismos Jacquard</t>
  </si>
  <si>
    <t>Fieiras para a extrusão</t>
  </si>
  <si>
    <t>Outras partes e acessórios de máquinas para a extrusão</t>
  </si>
  <si>
    <t>De máquinas para corte ou ruptura de fibras</t>
  </si>
  <si>
    <t xml:space="preserve">Chapéus  flats </t>
  </si>
  <si>
    <t>De penteadoras</t>
  </si>
  <si>
    <t xml:space="preserve">De bancas de estiramento  bancas de fusos </t>
  </si>
  <si>
    <t>De máquinas para a preparação da seda</t>
  </si>
  <si>
    <t>De máquinas para carbonizar lã</t>
  </si>
  <si>
    <t>Cursores</t>
  </si>
  <si>
    <t xml:space="preserve">De filatórios intermitentes  selfatinas </t>
  </si>
  <si>
    <t>De máquinas do tipo tow-to-yarn</t>
  </si>
  <si>
    <t>De outros filatórios</t>
  </si>
  <si>
    <t xml:space="preserve">De bobinadeiras de trama  espuladeiras </t>
  </si>
  <si>
    <t>De bobinadeiras automáticas para fios elastanos, ou com atador automático</t>
  </si>
  <si>
    <t>Outras, de bobinadeiras automáticas</t>
  </si>
  <si>
    <t>De urdideiras</t>
  </si>
  <si>
    <t>De passadeiras para liço e pente</t>
  </si>
  <si>
    <t>--Pentes, liços e quadros de liços</t>
  </si>
  <si>
    <t>De máquinas ou aparelhos auxiliares de teares</t>
  </si>
  <si>
    <t>De teares para tecidos de largura superior a 30 cm, sem lançadeiras, a jato de água ou de projétil</t>
  </si>
  <si>
    <t>--Platinas, agulhas e outros artigos, utilizados na formação das malhas</t>
  </si>
  <si>
    <t>De teares circulares para malhas</t>
  </si>
  <si>
    <t>De máquinas para fabricação de redes, tules ou filós, ou automáticas para bordar</t>
  </si>
  <si>
    <t>De máquinas do item 8447.90.90</t>
  </si>
  <si>
    <t>Máquinas e aparelhos para fabricação ou acabamento de feltros</t>
  </si>
  <si>
    <t>Máquinas e aparelhos para fabricação de falsos tecidos</t>
  </si>
  <si>
    <t>De máquinas ou aparelhos para fabricação de falsos tecidos</t>
  </si>
  <si>
    <t>--Outras máquinas, com secador centrífugo incorporado</t>
  </si>
  <si>
    <t>Túneis contínuos</t>
  </si>
  <si>
    <t>Ex 01 – De capacidade superior a 20Kg, em peso de roupa seca</t>
  </si>
  <si>
    <t>De máquinas da subposição 8450.20</t>
  </si>
  <si>
    <t>--De capacidade, expressa em peso de roupa seca, não superior a 10 kg</t>
  </si>
  <si>
    <t>Que funcionem por meio de ondas eletromagnéticas  micro-ondas , cuja produção seja superior ou igual a 120 kg/h de produto seco</t>
  </si>
  <si>
    <t>Automáticas</t>
  </si>
  <si>
    <t>Prensas para passar de peso inferior ou igual a 14 kg</t>
  </si>
  <si>
    <t>Para lavar</t>
  </si>
  <si>
    <t>Para tingir tecidos em rolos, para tingir por pressão estática, com molinete  rotor de pás , jato de água  jet  ou combinada</t>
  </si>
  <si>
    <t>Para inspecionar tecidos</t>
  </si>
  <si>
    <t>Automáticas, para enfestar ou cortar</t>
  </si>
  <si>
    <t>Para as máquinas da subposição 8451.21</t>
  </si>
  <si>
    <t>Para costurar couros ou peles</t>
  </si>
  <si>
    <t>Para costurar tecidos</t>
  </si>
  <si>
    <t>Remalhadeiras</t>
  </si>
  <si>
    <t>Para casear</t>
  </si>
  <si>
    <t>Tipo zigue-zague para inserir elástico</t>
  </si>
  <si>
    <t>De costura reta</t>
  </si>
  <si>
    <t>Galoneiras</t>
  </si>
  <si>
    <t>Móveis, bases e tampas, para máquinas de costura, e suas partes</t>
  </si>
  <si>
    <t>Ex 01 - Para máquinas de costura de uso doméstico</t>
  </si>
  <si>
    <t>Guia-fios, lançadeiras e porta-bobinas</t>
  </si>
  <si>
    <t>Guia-fios, lançadeiras não rotativas e porta-bobinas</t>
  </si>
  <si>
    <t>Para remalhadeiras</t>
  </si>
  <si>
    <t>Lançadeiras rotativas</t>
  </si>
  <si>
    <t>Corpos moldados por fundição</t>
  </si>
  <si>
    <t>Máquinas para dividir couros com largura útil inferior ou igual a 3.000 mm, com lâmina sem fim, com controle eletrônico programável</t>
  </si>
  <si>
    <t>Lingoteiras</t>
  </si>
  <si>
    <t>Sob pressão</t>
  </si>
  <si>
    <t>Por centrifugação</t>
  </si>
  <si>
    <t>De máquinas de vazar  moldar  por centrifugação</t>
  </si>
  <si>
    <t>De cilindros lisos</t>
  </si>
  <si>
    <t>Fundidos, de aço ou ferro fundido nodular</t>
  </si>
  <si>
    <t>Forjados, de aço de corte rápido, com um teor, em peso, de carbono superior ou igual a 0,80% e inferior ou igual a 0,90%, de cromo superior ou igual a 3,50% e inferior ou igual a 4%, de vanádio superior ou igual a 1,60% e inferior ou igual a 2,30%, de mol</t>
  </si>
  <si>
    <t>Para corte de chapas metálicas de espessura superior a 8 mm</t>
  </si>
  <si>
    <t>De comando numérico</t>
  </si>
  <si>
    <t>Para texturizar superfícies cilíndricas</t>
  </si>
  <si>
    <t>Revólver</t>
  </si>
  <si>
    <t>De 6 ou mais fusos porta-peças</t>
  </si>
  <si>
    <t>Radiais</t>
  </si>
  <si>
    <t>De mais de um cabeçote mono ou multifuso</t>
  </si>
  <si>
    <t>Brunidoras para cilindros de diâmetro inferior ou igual a 312 mm</t>
  </si>
  <si>
    <t>De polir, com cinco ou mais cabeças e porta -peças rotativo</t>
  </si>
  <si>
    <t>De esmerilhar, com duas ou mais cabeças e porta-peças rotativo</t>
  </si>
  <si>
    <t>Para escatelar</t>
  </si>
  <si>
    <t>Redondeadoras de dentes</t>
  </si>
  <si>
    <t>De fitas sem fim</t>
  </si>
  <si>
    <t>Circulares</t>
  </si>
  <si>
    <t>Máquinas para estampar</t>
  </si>
  <si>
    <t>Tipo guilhotina</t>
  </si>
  <si>
    <t>Para moldagem de pós metálicos por sinterização</t>
  </si>
  <si>
    <t>Prensas para moldagem de pós metálicos por sinterização</t>
  </si>
  <si>
    <t>Prensas para extrusão</t>
  </si>
  <si>
    <t>Para estirar tubos</t>
  </si>
  <si>
    <t>De pente plano, com capacidade de produção superior ou igual a 160 unidades por minuto, de diâmetro de rosca compreendido entre 3 mm e 10 mm</t>
  </si>
  <si>
    <t>Para vidro</t>
  </si>
  <si>
    <t>De polir placas, para pavimentação ou revestimento, com oito ou mais cabeças</t>
  </si>
  <si>
    <t>De comando numérico, para retificar, fresar e perfurar</t>
  </si>
  <si>
    <t>De fita sem fim</t>
  </si>
  <si>
    <t>Fresadoras</t>
  </si>
  <si>
    <t>Lixadeiras</t>
  </si>
  <si>
    <t>Para furar</t>
  </si>
  <si>
    <t>--Máquinas para fender, seccionar ou desenrolar</t>
  </si>
  <si>
    <t>Para tornos</t>
  </si>
  <si>
    <t>-Dispositivos divisores e outros dispositivos especiais, para máquinas-ferramentas</t>
  </si>
  <si>
    <t>--Para máquinas da posição 84.64</t>
  </si>
  <si>
    <t>--Para máquinas da posição 84.65</t>
  </si>
  <si>
    <t>Para máquinas da subposição 8456.20</t>
  </si>
  <si>
    <t>Para máquinas da posição 84.57</t>
  </si>
  <si>
    <t>Para máquinas da posição 84.58</t>
  </si>
  <si>
    <t>Para máquinas da posição 84.59</t>
  </si>
  <si>
    <t>Para máquinas da posição 84.60</t>
  </si>
  <si>
    <t>Para máquinas da posição 84.61</t>
  </si>
  <si>
    <t>Para máquinas da subposição 8462.10</t>
  </si>
  <si>
    <t>Para máquinas das subposições 8462.21 ou 8462.29</t>
  </si>
  <si>
    <t>Para prensas para extrusão</t>
  </si>
  <si>
    <t>Furadeiras</t>
  </si>
  <si>
    <t>--Furadeiras de todos os tipos, incluindo as perfuratrizes rotativas</t>
  </si>
  <si>
    <t>Tesouras</t>
  </si>
  <si>
    <t>Cortadoras de tecidos</t>
  </si>
  <si>
    <t>Parafusadeiras e rosqueadeiras</t>
  </si>
  <si>
    <t>Martelos</t>
  </si>
  <si>
    <t>Para soldar por fricção</t>
  </si>
  <si>
    <t>De maçaricos de uso manual</t>
  </si>
  <si>
    <t>De máquinas ou aparelhos para soldar por fricção</t>
  </si>
  <si>
    <t>Máquinas de tratamento de textos</t>
  </si>
  <si>
    <t>Eletrônicas, com velocidade de impressão inferior ou igual a 40 caracteres por segundo</t>
  </si>
  <si>
    <t>De estenotipar, de peso não superior a 12 kg, excluindo o estojo, não elétricas</t>
  </si>
  <si>
    <t>Ex 01 – Em Braille</t>
  </si>
  <si>
    <t>-Calculadoras eletrônicas capazes de funcionar sem fonte externa de energia elétrica e máquinas de bolso com função de cálculo incorporada que permitam gravar, reproduzir e visualizar informações</t>
  </si>
  <si>
    <t>Ex 01 - Calculadora equipada com sintetizador de voz</t>
  </si>
  <si>
    <t>Com capacidade de comunicação bidirecional com computadores ou outras máquinas digitais</t>
  </si>
  <si>
    <t>Máquinas de franquear correspondência</t>
  </si>
  <si>
    <t>De peso inferior a 350 g, com teclado alfanumérico de no mínimo 70 teclas e com uma tela de área não superior a 140 cm2</t>
  </si>
  <si>
    <t>De peso inferior a 3,5 kg com teclado alfanumérico de no mínimo 70 teclas e com uma tela de área superior a 140 cm2 e inferior a 560 cm2</t>
  </si>
  <si>
    <t>De peso inferior a 750 g, sem teclado, com reconhecimento de escrita, entrada de dados e de comandos por meio de uma tela de área inferior a 280 cm2</t>
  </si>
  <si>
    <t>--Outras, apresentadas sob a forma de sistemas</t>
  </si>
  <si>
    <t>De pequena capacidade, baseadas em microprocessadores, com capacidade de instalação, dentro do mesmo gabinete, de unidades de memória da subposição 8471.70, podendo conter múltiplos conectores de expansão  slots , e valor FOB inferior ou igual a US$ 12.50</t>
  </si>
  <si>
    <t>De média capacidade, podendo conter no máximo uma unidade de entrada e outra de saída da subposição 8471.60, com capacidade de instalação, dentro do mesmo gabinete, de unidades de memória da subposição 8471.70, podendo conter múltiplos conectores de expan</t>
  </si>
  <si>
    <t>De grande capacidade, podendo conter no máximo uma unidade de entrada e outra de saída da subposição 8471.60, com capacidade de instalação interna, ou em módulos separados do gabinete do processador central, de unidades de memória da subposição 8471.70, e</t>
  </si>
  <si>
    <t>De muito grande capacidade, podendo conter no máximo uma unidade de entrada e outra de saída da subposição 8471.60, com capacidade de instalação interna, ou em módulos separados do gabinete do processador central, de unidades de memória da subposição 8471</t>
  </si>
  <si>
    <t>Teclados</t>
  </si>
  <si>
    <t>Ex 01 - Com colmeia</t>
  </si>
  <si>
    <t xml:space="preserve">Indicadores ou apontadores  mouse e track-ball, por exemplo </t>
  </si>
  <si>
    <t>Ex 01 - Indicador ou apontador  mouse  com entrada para acionador</t>
  </si>
  <si>
    <t>Ex 02 - Acionador de pressão</t>
  </si>
  <si>
    <t>Mesas digitalizadoras</t>
  </si>
  <si>
    <t>Com unidade de saída por vídeo monocromático</t>
  </si>
  <si>
    <t>Com unidade de saída por vídeo policromático</t>
  </si>
  <si>
    <t>Terminais de auto-atendimento bancário</t>
  </si>
  <si>
    <t>Ex 01 - Linha Braille</t>
  </si>
  <si>
    <t>Para discos flexíveis</t>
  </si>
  <si>
    <t xml:space="preserve">Para discos rígidos, com um só conjunto cabeça-disco  HDA - Head Disk Assembly </t>
  </si>
  <si>
    <t>Exclusivamente para leitura</t>
  </si>
  <si>
    <t>Para cartuchos</t>
  </si>
  <si>
    <t>Para cassetes</t>
  </si>
  <si>
    <t>De cartões magnéticos</t>
  </si>
  <si>
    <t>Leitores de códigos de barras</t>
  </si>
  <si>
    <t>Leitores de caracteres magnetizáveis</t>
  </si>
  <si>
    <t xml:space="preserve">Digitalizadores de imagens  scanners </t>
  </si>
  <si>
    <t>Ex 01 - Equipados com sintetizador de voz</t>
  </si>
  <si>
    <t>Ex 01 - Duplicador Braille</t>
  </si>
  <si>
    <t>Máquinas automáticas para obliterar selos postais</t>
  </si>
  <si>
    <t>Máquinas automáticas para seleção de correspondência por formato e classificação e distribuição da mesma por leitura óptica do código postal</t>
  </si>
  <si>
    <t>Máquinas automáticas para seleção e distribuição de encomendas, por leitura óptica do código postal</t>
  </si>
  <si>
    <t>Distribuidores  dispensadores  automáticos de papéis-moeda, incluindo os que efetuam outras operações bancárias</t>
  </si>
  <si>
    <t>Eletrônicas, com capacidade de comunicação bidirecional com computadores ou outras máquinas digitais</t>
  </si>
  <si>
    <t>Máquinas para selecionar e contar moedas ou papéis-moeda</t>
  </si>
  <si>
    <t>Máquinas para apontar lápis, perfuradores, grampeadores e desgrampeadores</t>
  </si>
  <si>
    <t>Com capacidade de classificação superior a 400 documentos por minuto</t>
  </si>
  <si>
    <t>Máquinas para imprimir endereços ou para estampar placas de endereços</t>
  </si>
  <si>
    <t>De máquinas para tratamento de textos</t>
  </si>
  <si>
    <t>--Das calculadoras eletrônicas das subposições 8470.10, 8470.21 ou 8470.29</t>
  </si>
  <si>
    <t>Circuitos impressos com componentes elétricos ou eletrônicos montados, para caixas registradoras</t>
  </si>
  <si>
    <t>De máquinas da subposição 8470.30</t>
  </si>
  <si>
    <t>Com fonte de alimentação, com ou sem módulo display numérico</t>
  </si>
  <si>
    <t>Conjuntos cabeça-disco  HDA - Head Disk Assembly  de unidades de discos rígidos, montados</t>
  </si>
  <si>
    <t>Braços posicionadores de cabeças magnéticas</t>
  </si>
  <si>
    <t>Cabeças magnéticas</t>
  </si>
  <si>
    <t xml:space="preserve">Mecanismos bobinadores para unidades de fitas magnéticas  magnetic tape transporter </t>
  </si>
  <si>
    <t xml:space="preserve">Placas-mãe  mother boards </t>
  </si>
  <si>
    <t>Placas  módulos  de memória com uma superfície inferior ou igual a 50 cm2</t>
  </si>
  <si>
    <t>Placas de microprocessamento, mesmo com dispositivo de dissipação de calor</t>
  </si>
  <si>
    <t>Telas  displays  para máquinas automáticas para processamento de dados, portáteis</t>
  </si>
  <si>
    <t>Outras partes e acessórios das máquinas do item 8472.90.10 e dos subitens 8472.90.21 ou 8472.90.29</t>
  </si>
  <si>
    <t>-Máquinas e aparelhos para selecionar, peneirar, separar ou lavar</t>
  </si>
  <si>
    <t>De bolas</t>
  </si>
  <si>
    <t>Para fabricação de moldes de areia para fundição</t>
  </si>
  <si>
    <t>-Máquinas para montagem de lâmpadas, tubos ou válvulas, elétricos ou eletrônicos, ou de lâmpadas de luz relâmpago  flash , que tenham invólucro de vidro</t>
  </si>
  <si>
    <t>Para fabricação de recipientes da posição 70.10, exceto ampolas</t>
  </si>
  <si>
    <t>Máquinas automáticas de venda de selos postais</t>
  </si>
  <si>
    <t>Monocolor, para materiais termoplásticos, com capacidade de injeção inferior ou igual a 5.000 g e força de fechamento inferior ou igual a 12.000 kN</t>
  </si>
  <si>
    <t>Para materiais termoplásticos, com diâmetro da rosca inferior ou igual a 300 mm</t>
  </si>
  <si>
    <t>Para fabricação de recipientes termoplásticos de capacidade inferior ou igual a 5 l, com uma produção inferior ou igual a 1.000 unidades por hora, referente a recipiente de 1 l</t>
  </si>
  <si>
    <t xml:space="preserve">De moldar a vácuo poliestireno expandido  EPS  ou polipropileno expandido  EPP </t>
  </si>
  <si>
    <t>Com capacidade inferior ou igual a 30.000 kN</t>
  </si>
  <si>
    <t>Máquina de unir lâminas de borracha entre si ou com tecidos com borracha, para fabricação de pneumáticos</t>
  </si>
  <si>
    <t>Batedoras-separadoras automáticas de talos e folhas</t>
  </si>
  <si>
    <t>Automotrizes para espalhar e calcar pisos  pavimentos  betuminosos</t>
  </si>
  <si>
    <t>-Prensas para fabricação de painéis de partículas, de fibras de madeira ou de outras matérias lenhosas, e outras máquinas e aparelhos para tratamento de madeira ou de cortiça</t>
  </si>
  <si>
    <t>-Robôs industriais, não especificados nem compreendidos noutras posições</t>
  </si>
  <si>
    <t>Diferenciadores das tensões de tração de entrada e saída da chapa, em instalações de galvanoplastia</t>
  </si>
  <si>
    <t>Misturadores</t>
  </si>
  <si>
    <t>Prensas</t>
  </si>
  <si>
    <t>Distribuidores e doseadores de sólidos ou de líquidos</t>
  </si>
  <si>
    <t>Máquinas e aparelhos para cestaria ou espartaria</t>
  </si>
  <si>
    <t>Máquinas e aparelhos para fabricação de pincéis, brochas ou escovas</t>
  </si>
  <si>
    <t>Limpadores de pára-brisas</t>
  </si>
  <si>
    <t>Acumuladores</t>
  </si>
  <si>
    <t>Silos metálicos para cereais, fixos  não transportáveis , incluindo as baterias, com mecanismos elevadores ou extratores incorporados</t>
  </si>
  <si>
    <t>Aparelhos para limpar peças por ultrassom</t>
  </si>
  <si>
    <t>Máquinas de leme para embarcações</t>
  </si>
  <si>
    <t>De limpadores de pára-brisas elétricos ou de acumuladores hidráulicos para aeronaves</t>
  </si>
  <si>
    <t>Coquilhas</t>
  </si>
  <si>
    <t>Com pinhão</t>
  </si>
  <si>
    <t>Válvulas para escoamento</t>
  </si>
  <si>
    <t>Válvulas de expansão termostáticas ou pressostáticas</t>
  </si>
  <si>
    <t>Ex 01 - Do tipo gaveta ou do tipo esfera, de ferro ou aço ou de cobre e suas ligas, e do tipo globo, do tipo borboleta, do tipo agulha ou do tipo diafragma, de ferro ou aço</t>
  </si>
  <si>
    <t>Com uma pressão de trabalho inferior ou igual a 50 mbar e dispositivo de segurança termoelétrico incorporado, dos tipos utilizados em aparelhos domésticos</t>
  </si>
  <si>
    <t>Válvulas tipo aerossol</t>
  </si>
  <si>
    <t>Válvulas solenóides</t>
  </si>
  <si>
    <t>Válvulas tipo gaveta</t>
  </si>
  <si>
    <t>Válvulas tipo globo</t>
  </si>
  <si>
    <t>Válvulas tipo esfera</t>
  </si>
  <si>
    <t>Válvulas tipo macho</t>
  </si>
  <si>
    <t>Válvulas tipo borboleta</t>
  </si>
  <si>
    <t>De válvulas tipo aerossol ou dos dispositivos do item 8481.80.1</t>
  </si>
  <si>
    <t>Dos dispositivos do item 8481.80.1</t>
  </si>
  <si>
    <t>De carga radial</t>
  </si>
  <si>
    <t>-Outros, incluindo os rolamentos combinados</t>
  </si>
  <si>
    <t>Para carga de canetas esferográficas</t>
  </si>
  <si>
    <t>Roletes cilíndricos</t>
  </si>
  <si>
    <t>Roletes cônicos</t>
  </si>
  <si>
    <t>Selos, capas e porta-esferas de aço</t>
  </si>
  <si>
    <t>Forjados, de peso superior ou igual a 900 kg e comprimento superior ou igual a 2.000 mm</t>
  </si>
  <si>
    <t>Ex 01 - Para motores de ignição por compressão de potência igual ou superior a 125HP, próprios para ônibus ou caminhões</t>
  </si>
  <si>
    <t>Árvores de cames para comando de válvulas</t>
  </si>
  <si>
    <t>Veios flexíveis</t>
  </si>
  <si>
    <t>Manivelas</t>
  </si>
  <si>
    <t>Árvores de transmissão providas de acoplamentos dentados com entalhes de proteção contra sobrecarga, de comprimento superior ou igual a 1500 mm e diâmetro do eixo superior ou igual a 400 mm</t>
  </si>
  <si>
    <t>Montados com “bronzes” de metal antifricção</t>
  </si>
  <si>
    <t>Com diâmetro interno superior ou igual a 200 mm</t>
  </si>
  <si>
    <t>Redutores, multiplicadores, caixas de transmissão e variadores de velocidade, incluindo os conversores de torque</t>
  </si>
  <si>
    <t>Polias, exceto as de rolamentos reguladoras de tensão</t>
  </si>
  <si>
    <t>De fricção</t>
  </si>
  <si>
    <t>-Rodas dentadas e outros órgãos elementares de transmissão apresentados separadamente, partes</t>
  </si>
  <si>
    <t>-Máquinas e aparelhos especificados na Nota 9 C  do presente Capítulo</t>
  </si>
  <si>
    <t>De passo inferior ou igual a 1,8°</t>
  </si>
  <si>
    <t>Ex 01 - Próprios para utilização em brinquedos</t>
  </si>
  <si>
    <t>Síncronos</t>
  </si>
  <si>
    <t>Universais</t>
  </si>
  <si>
    <t>-Motores universais de potência superior a 37,5 W</t>
  </si>
  <si>
    <t>Motores</t>
  </si>
  <si>
    <t>Geradores</t>
  </si>
  <si>
    <t>De potência inferior ou igual a 3.000 kW</t>
  </si>
  <si>
    <t>Trifásicos, com rotor de gaiola</t>
  </si>
  <si>
    <t>Ex 01 - De alto rendimento, segundo norma NBR 17094</t>
  </si>
  <si>
    <t>Trifásicos, com rotor de anéis</t>
  </si>
  <si>
    <t>Trifásicos, de potência inferior ou igual a 7.500 kW</t>
  </si>
  <si>
    <t>Trifásicos, de potência superior a 7.500 kW mas não superior a 30.000 kW</t>
  </si>
  <si>
    <t>Trifásicos, de potência superior a 30.000 kW mas não superior a 50.000 kW</t>
  </si>
  <si>
    <t>--De potência não superior a 75 kVA</t>
  </si>
  <si>
    <t>--De potência superior a 75 kVA, mas não superior a 375 kVA</t>
  </si>
  <si>
    <t>--De potência superior a 375 kVA, mas não superior a 750 kVA</t>
  </si>
  <si>
    <t>--De potência superior a 750 kVA</t>
  </si>
  <si>
    <t>De corrente alternada</t>
  </si>
  <si>
    <t>De potência inferior ou igual a 430 kVA</t>
  </si>
  <si>
    <t>De potência inferior ou igual a 210 kVA</t>
  </si>
  <si>
    <t>De frequência</t>
  </si>
  <si>
    <t>De motores ou geradores das subposições 8501.10, 8501.20, 8501.31, 8501.32 ou do item 8501.40.1</t>
  </si>
  <si>
    <t>Ex 01 - Partes utilizadas exclusiva ou principalmente em aerogeradores classificados no código 8502.31.00</t>
  </si>
  <si>
    <t>--De potência não superior a 650 kVA</t>
  </si>
  <si>
    <t>--De potência superior a 650 kVA, mas não superior a 10.000 kVA</t>
  </si>
  <si>
    <t>--De potência superior a 10.000 kVA</t>
  </si>
  <si>
    <t>Transformadores de corrente</t>
  </si>
  <si>
    <t>Transformador de saída horizontal  fly back , com tensão de saída superior a 18 kV e frequência de varredura horizontal superior ou igual a 32 kHz</t>
  </si>
  <si>
    <t>Transformadores de FI, de detecção, de relação, de linearidade ou de foco</t>
  </si>
  <si>
    <t>Ex 01 - Transformadores de deflexão  “yokes” , para tubos de raios catódicos</t>
  </si>
  <si>
    <t>Para frequências inferiores ou iguais a 60 Hz</t>
  </si>
  <si>
    <t>--De potência superior a 16 kVA, mas não superior a 500 kVA</t>
  </si>
  <si>
    <t>--De potência superior a 500 kVA</t>
  </si>
  <si>
    <t>Carregadores de acumuladores</t>
  </si>
  <si>
    <t xml:space="preserve">De cristal  semicondutores </t>
  </si>
  <si>
    <t>Eletrolíticos</t>
  </si>
  <si>
    <t>Conversores de corrente contínua</t>
  </si>
  <si>
    <t xml:space="preserve">Equipamento de alimentação ininterrupta de energia  UPS ou no break </t>
  </si>
  <si>
    <t>Conversores eletrônicos de frequência, para variação de velocidade de motores elétricos</t>
  </si>
  <si>
    <t>Aparelhos eletrônicos de alimentação de energia dos tipos utilizados para iluminação de emergência</t>
  </si>
  <si>
    <t>Núcleos de pó ferromagnético</t>
  </si>
  <si>
    <t>De reatores para lâmpadas ou tubos de descarga</t>
  </si>
  <si>
    <t>De transformadores das subposições 8504.21, 8504.22, 8504.23, 8504.33 ou 8504.34</t>
  </si>
  <si>
    <t>De conversores estáticos, exceto de carregadores de acumuladores e de retificadores</t>
  </si>
  <si>
    <t xml:space="preserve">De ferrita  cerâmicos </t>
  </si>
  <si>
    <t>Freios que atuam por corrente de Foucault, do tipo dos utilizados nos veículos das posições 87.01 a 87.05</t>
  </si>
  <si>
    <t>Ex 01 - Embreagem eletromagnética para colheitadeiras</t>
  </si>
  <si>
    <t>Eletroímãs</t>
  </si>
  <si>
    <t>Partes</t>
  </si>
  <si>
    <t>Pilhas alcalinas</t>
  </si>
  <si>
    <t>Outras pilhas</t>
  </si>
  <si>
    <t>Baterias de pilhas</t>
  </si>
  <si>
    <t>Com volume exterior não superior a 300 cm3</t>
  </si>
  <si>
    <t>De capacidade inferior ou igual a 20 Ah e tensão inferior ou igual a 12 V</t>
  </si>
  <si>
    <t>Ex 01 - Do tipo utilizado para o arranque dos motores de ignição por compressão, com intensidade de corrente igual ou superior a 90 Ah</t>
  </si>
  <si>
    <t>De peso inferior ou igual a 1.000 kg</t>
  </si>
  <si>
    <t>De capacidade inferior ou igual a 15 Ah</t>
  </si>
  <si>
    <t>Separadores</t>
  </si>
  <si>
    <t>Recipientes de plástico, suas tampas e tampões</t>
  </si>
  <si>
    <t>--De potência não superior a 1.500 W e cujo volume do reservatório não exceda 20 l</t>
  </si>
  <si>
    <t>Liquidificadores</t>
  </si>
  <si>
    <t>Batedeiras</t>
  </si>
  <si>
    <t>Moedores de carne</t>
  </si>
  <si>
    <t>Extratores centrífugos de sucos</t>
  </si>
  <si>
    <t>Aparelhos de funções múltiplas, providos de acessórios intercambiáveis, para processar alimentos</t>
  </si>
  <si>
    <t>Enceradeiras de pisos</t>
  </si>
  <si>
    <t>Pentes e contrapentes para máquinas de tosquiar</t>
  </si>
  <si>
    <t>Magnetos</t>
  </si>
  <si>
    <t>Distribuidores</t>
  </si>
  <si>
    <t>Bobinas de ignição</t>
  </si>
  <si>
    <t>-Motores de arranque, mesmo funcionando como geradores</t>
  </si>
  <si>
    <t>Ex 01 - Para sistema elétrico em 24V, com potência igual ou superior a 3kW</t>
  </si>
  <si>
    <t>Dínamos e alternadores</t>
  </si>
  <si>
    <t>Ex 01 - Para sistema elétrico em 24V, exceto para uso em aeronáutica</t>
  </si>
  <si>
    <t>Velas de aquecimento</t>
  </si>
  <si>
    <t xml:space="preserve">Reguladores de voltagem  conjuntores-disjuntores </t>
  </si>
  <si>
    <t>Ignição eletrônica digital</t>
  </si>
  <si>
    <t>Faróis</t>
  </si>
  <si>
    <t>Ex 01 - Para colheitadeiras ou tratores agrícolas</t>
  </si>
  <si>
    <t>Luzes fixas</t>
  </si>
  <si>
    <t>Ex 01 - Lanternas para tratores agrícolas</t>
  </si>
  <si>
    <t>Luzes indicadoras de manobras</t>
  </si>
  <si>
    <t>Caixas de luzes combinadas</t>
  </si>
  <si>
    <t>Degeladores e desembaçadores</t>
  </si>
  <si>
    <t>Industriais</t>
  </si>
  <si>
    <t>Por perdas dielétricas</t>
  </si>
  <si>
    <t>Ex 01 - Industriais</t>
  </si>
  <si>
    <t>Robôs para soldar, por arco, em atmosfera inerte  MIG - Metal Inert Gas  ou atmosfera ativa  MAG - Metal Active Gas , de comando numérico</t>
  </si>
  <si>
    <t>Para soldar a laser</t>
  </si>
  <si>
    <t>-Aquecedores elétricos de água, incluindo os de imersão</t>
  </si>
  <si>
    <t>Ex 01 - Chuveiro elétrico</t>
  </si>
  <si>
    <t>-Outros fornos, fogões de cozinha, fogareiros  incluindo as chapas de cocção , grelhas e assadeiras</t>
  </si>
  <si>
    <t>Panelas</t>
  </si>
  <si>
    <t>Fritadoras</t>
  </si>
  <si>
    <t>Para aparelhos da presente posição</t>
  </si>
  <si>
    <t>Ex 01 - De fogões de cozinha</t>
  </si>
  <si>
    <t xml:space="preserve">Portáteis  por exemplo, walkie talkie e handle talkie </t>
  </si>
  <si>
    <t>Fixos, sem fonte própria de energia, monocanais</t>
  </si>
  <si>
    <t>Móveis, do tipo dos utilizados em veículos automóveis</t>
  </si>
  <si>
    <t>Portáteis</t>
  </si>
  <si>
    <t>Fixos, sem fonte própria de energia</t>
  </si>
  <si>
    <t>Do tipo dos utilizados em veículos automóveis</t>
  </si>
  <si>
    <t>Digitais, operando em banda C, Ku, L ou S</t>
  </si>
  <si>
    <t>Interfones</t>
  </si>
  <si>
    <t>Telefones públicos</t>
  </si>
  <si>
    <t>Não combinados com outros aparelhos</t>
  </si>
  <si>
    <t>De taxa de transmissão inferior ou igual a 112 kbits/s</t>
  </si>
  <si>
    <t xml:space="preserve">De sistema troncalizado  trunking </t>
  </si>
  <si>
    <t>De telefonia celular</t>
  </si>
  <si>
    <t>Principal terrena fixa, sem conjunto antena-refletor</t>
  </si>
  <si>
    <t>VSAT  Very Small Aperture Terminal , sem conjunto antena-refletor</t>
  </si>
  <si>
    <t>Digitais, de frequência superior ou igual a 15 GHz e inferior ou igual a 23 GHz e taxa de transmissão inferior ou igual a 8 Mbits/s</t>
  </si>
  <si>
    <t>Digitais, de frequência superior a 23 GHz</t>
  </si>
  <si>
    <t>Multiplexadores por divisão de frequência</t>
  </si>
  <si>
    <t>Multiplexadores por divisão de tempo, digitais síncronos, com velocidade de transmissão igual ou superior a 155 Mbits/s</t>
  </si>
  <si>
    <t>Outros multiplexadores por divisão de tempo</t>
  </si>
  <si>
    <t>Ex 01 - Moduladores OFDM  “Orthogonal Frequency Division Multiplex” , com sintaxe MPEG-TS  “MPEG-Transport Stream” , para sistemas de televisão digital terrestre</t>
  </si>
  <si>
    <t xml:space="preserve">Ex 02 - Multiplexadores de sinais de áudio, vídeo e dados para sistemas de televisão digital terrestre, com entrada ASI e saída TS  “Transport Stream” </t>
  </si>
  <si>
    <t xml:space="preserve">Concentradores de linhas de assinantes  terminais de central ou terminal remoto </t>
  </si>
  <si>
    <t>Centrais automáticas públicas, para comutação eletrônica, incluindo as de trânsito</t>
  </si>
  <si>
    <t>Centrais automáticas privadas, de capacidade inferior ou igual a 25 ramais</t>
  </si>
  <si>
    <t>Centrais automáticas privadas, de capacidade superior a 25 ramais e inferior ou igual a 200 ramais</t>
  </si>
  <si>
    <t>Centrais automáticas privadas, de capacidade superior a 200 ramais</t>
  </si>
  <si>
    <t>Centrais automáticas para comutação por pacote com velocidade de tronco superior a 72 kbits/s e de comutação superior a 3.600 pacotes por segundo, sem multiplexação determinística</t>
  </si>
  <si>
    <t>Outras centrais automáticas para comutação por pacote</t>
  </si>
  <si>
    <t xml:space="preserve">Centrais automáticas de sistema troncalizado  trunking </t>
  </si>
  <si>
    <t>Com capacidade de conexão sem fio</t>
  </si>
  <si>
    <t>Outros, com velocidade de interface serial de pelo menos 4 Mbits/s, próprios para interconexão de redes locais com protocolos distintos</t>
  </si>
  <si>
    <t>Terminais ou repetidores sobre linhas metálicas</t>
  </si>
  <si>
    <t>Terminais sobre linhas de fibras ópticas, com velocidade de transmissão superior a 2,5 Gbits/s</t>
  </si>
  <si>
    <t>Terminais de texto que operem com código de transmissão Baudot, providos de teclado alfanumérico e visor, mesmo com telefone incorporado</t>
  </si>
  <si>
    <t xml:space="preserve">Distribuidores de conexões para redes  hubs </t>
  </si>
  <si>
    <t xml:space="preserve">Moduladores/demoduladores  modems </t>
  </si>
  <si>
    <t>De tecnologia celular</t>
  </si>
  <si>
    <t>Por satélite, digitais, operando em banda C, Ku, L ou S</t>
  </si>
  <si>
    <t>Outros, por satélite</t>
  </si>
  <si>
    <t>Terminais portáteis de sistema bidirecional de radiomensagens, de taxa de transmissão inferior ou igual a 112 kbits/s</t>
  </si>
  <si>
    <t>De frequência inferior a 15 GHz e de taxa de transmissão inferior ou igual a 34 Mbits/s, exceto os de sistema bidirecional de radiomensagens de taxa de transmissão inferior ou igual a 112 kbits/s</t>
  </si>
  <si>
    <t>Outros, de frequência inferior a 15 GHz</t>
  </si>
  <si>
    <t>De frequência superior ou igual a 15 GHz, mas inferior ou igual a 23 GHz e taxa de transmissão inferior ou igual a 8 Mbit/s</t>
  </si>
  <si>
    <t xml:space="preserve">Aparelhos transmissores  emissores </t>
  </si>
  <si>
    <t>Receptores pessoais de radiomensagens com apresentação alfanumérica da mensagem em visor</t>
  </si>
  <si>
    <t>Outros receptores pessoais de radiomensagens</t>
  </si>
  <si>
    <t xml:space="preserve">Tradutores  conversores  de protocolos para interconexão de redes  gateways </t>
  </si>
  <si>
    <t>Terminais fixos, analógicos, sem fonte própria de energia, monocanais</t>
  </si>
  <si>
    <t>Outros, analógicos</t>
  </si>
  <si>
    <t>Antenas próprias para telefones celulares portáteis, exceto as telescópicas</t>
  </si>
  <si>
    <t>Gabinetes, bastidores e armações</t>
  </si>
  <si>
    <t>Registradores e seletores para centrais automáticas</t>
  </si>
  <si>
    <t>Piezelétricos próprios para aparelhos telefônicos</t>
  </si>
  <si>
    <t xml:space="preserve">-Fones de ouvido, mesmo combinados com um microfone, e conjuntos ou sortidos constituídos por um microfone e um ou mais alto-falantes  altifalantes </t>
  </si>
  <si>
    <t xml:space="preserve">De alto-falantes  altifalantes </t>
  </si>
  <si>
    <t>-Aparelhos que funcionem por introdução de moedas, papéis-moeda, cartões de banco, fichas ou por outros meios de pagamento</t>
  </si>
  <si>
    <t xml:space="preserve">Com sistema de leitura óptica por laser  leitores de discos compactos </t>
  </si>
  <si>
    <t>Gravadores de som de cabines de aeronaves</t>
  </si>
  <si>
    <t>Gravados</t>
  </si>
  <si>
    <t>Dos tipos utilizados em unidades de discos rígidos</t>
  </si>
  <si>
    <t>Ex 01 - Aparelho gravador de som para cinema, utilizando fita magnética em rolo aberto ou cartucho selado, registrando ao mesmo tempo, em pista de som auxiliar, um sinal de referência de sincronismo para possibilitar a reprodução sincrônica, em tempo real</t>
  </si>
  <si>
    <t>Ex 02 -  Toca-fitas</t>
  </si>
  <si>
    <t>Ex 03 -  Aparelhos de gravação e de reprodução de som, de fitas magnética</t>
  </si>
  <si>
    <t>Ex 01 - Aparelhos cinematográficos de reprodução de som</t>
  </si>
  <si>
    <t>Gravador-reprodutor, sem sintonizador</t>
  </si>
  <si>
    <t xml:space="preserve">Em cassete, de largura de fita igual a 12,65 mm  1/2” </t>
  </si>
  <si>
    <t xml:space="preserve">Outros, para fitas de largura superior ou igual a 19,05 mm  3/4” </t>
  </si>
  <si>
    <t>Gravador-reprodutor e editor de imagem e som, em discos, por meio magnético, óptico ou optomagnético</t>
  </si>
  <si>
    <t>Ex 01 - Aparelho de gravação ou reprodução, e edição, de imagem e som de televisão em disco rígido, por meio magnético, óptico ou optomagnético</t>
  </si>
  <si>
    <t>Ex 02 - Aparelhos de reprodução de imagem e som em disco por meio óptico ou optomagnético</t>
  </si>
  <si>
    <t>Agulhas com ponta de pedra preciosa</t>
  </si>
  <si>
    <t>Gabinetes</t>
  </si>
  <si>
    <t>Chassis ou suportes</t>
  </si>
  <si>
    <t xml:space="preserve">Leitores de som, magnéticos  cabeças magnéticas </t>
  </si>
  <si>
    <t>Mecanismos toca-discos, mesmo com cambiador</t>
  </si>
  <si>
    <t>Não gravados</t>
  </si>
  <si>
    <t>De largura não superior a 4 mm, em cassetes</t>
  </si>
  <si>
    <t>De largura superior a 4 mm mas inferior ou igual a 6,5 mm</t>
  </si>
  <si>
    <t>De largura superior a 6,5 mm mas inferior ou igual a 50,8 mm  2” , em rolos ou carretéis</t>
  </si>
  <si>
    <t>De largura superior a 6,5 mm, em cassetes para gravação de vídeo</t>
  </si>
  <si>
    <t>Para reprodução de fenômenos diferentes do som ou da imagem</t>
  </si>
  <si>
    <t>De largura não superior a 4 mm, em cartuchos ou cassetes, exceto as do subitem 8523.29.31</t>
  </si>
  <si>
    <t>Ex  01 - Gravadas com matéria didática</t>
  </si>
  <si>
    <t>Ex 02 - Para gravação simultânea de imagem e som, próprias para televisão  vídeo-tape , gravadas com matéria de natureza científica ou educativa</t>
  </si>
  <si>
    <t>De largura superior a 6,5 mm, exceto as do subitem 8523.29.31</t>
  </si>
  <si>
    <t>Ex  01 - Gravadas com matéria didática, em cartuchos ou cassetes</t>
  </si>
  <si>
    <t>Ex 02 - Para gravação simultânea de imagem e som, próprias para televisão  vídeo-tape , gravadas com matéria de natureza científica ou educativa, em cartuchos, cassetes e semelhantes</t>
  </si>
  <si>
    <t>Ex  01 - Gravadas com matéria didática, apresentadas em artefatos semelhantes a cartuchos ou cassetes</t>
  </si>
  <si>
    <t>Ex  02 - Gravadas com matéria didática, em cartuchos ou cassetes</t>
  </si>
  <si>
    <t>Ex 03 - Para gravação simultânea de imagem e som, próprias para televisão  vídeo-tape , gravadas com matéria de natureza científica ou educativa, apresentadas em artefatos semelhantes a cartuchos ou cassetes</t>
  </si>
  <si>
    <t>Discos para sistema de leitura por raios laser com possibilidade de serem gravados uma única vez</t>
  </si>
  <si>
    <t>Para reprodução apenas do som</t>
  </si>
  <si>
    <t xml:space="preserve">Cartões de memória  memory cards </t>
  </si>
  <si>
    <t>Ex 01 - Das máquinas da posição 84.71</t>
  </si>
  <si>
    <t>Ex 02 - Que possam ser utilizados indiferentemente com as máquinas ou aparelhos de duas ou mais das posições 84.69 a 84.72</t>
  </si>
  <si>
    <t>Cartões e etiquetas de acionamento por aproximação</t>
  </si>
  <si>
    <t>Em AM, com modulação por código ou largura de pulso, totalmente a semicondutor e com potência de saída superior a 10 kW</t>
  </si>
  <si>
    <t>Em FM, com etapa de saída valvular e potência superior a 30 kW</t>
  </si>
  <si>
    <t>De frequência superior a 7 GHz</t>
  </si>
  <si>
    <t>Em banda UHF, de frequência superior ou igual a 2,0 GHz e inferior ou igual a 2,7 GHz, com potência de saída superior ou igual a 10 W e inferior ou igual a 100 W</t>
  </si>
  <si>
    <t>Em banda UHF, com potência de saída superior a 10 kW</t>
  </si>
  <si>
    <t>Em banda VHF, com potência de saída superior ou igual a 20 kW</t>
  </si>
  <si>
    <t>Ex 01 - Transmissores digitais de televisão, em VHF ou UHF, com potência maior ou igual a 1 kW e intermodulação maior que 36 dB</t>
  </si>
  <si>
    <t>De radiodifusão</t>
  </si>
  <si>
    <t>Ex 01 - Transmissores-receptores  transceptores  de rádio digital para televisão digital terrestre, com interfaces digitais “DVB-ASI” e/ou “ISDB-T clock data”</t>
  </si>
  <si>
    <t>De televisão, de frequência superior a 7 GHz</t>
  </si>
  <si>
    <t>Ex 02 - Sistema irradiante configurável, dedicado à transmissão de sinais de televisão digitais na faixa de freqüência de VHF e/ou UHF, com potências irradiadas de até 1MW RMS e constituídos por: antenas, cabos e/ou linhas rígidas de alimentação, combinad</t>
  </si>
  <si>
    <t>Ex 01 - Transmissores-receptores  transceptores  de sinal de televisão digital através de fibra ótica</t>
  </si>
  <si>
    <t>Ex 01 - Equipamento de sinalização, controle e/ou corte  “slicer”  do fluxo de dados MPEG</t>
  </si>
  <si>
    <t>Com três ou mais captadores de imagem</t>
  </si>
  <si>
    <t>Com sensor de imagem a semicondutor tipo CCD, de mais de 490 x 580 elementos de imagem  pixels  ativos, sensíveis a intensidades de iluminação inferiores a 0,20 lux</t>
  </si>
  <si>
    <t xml:space="preserve">Outras, próprias para captar imagens exclusivamente no espectro infravermelho de comprimento de onda superior ou igual a 2 micrômetros  mícrons  e inferior ou igual a 14 micrômetros  mícrons </t>
  </si>
  <si>
    <t>Ex 01 - Lupa eletrônica do tipo utilizado por pessoas com deficiência visual</t>
  </si>
  <si>
    <t>Com toca-fitas</t>
  </si>
  <si>
    <t>Com toca-fitas e gravador</t>
  </si>
  <si>
    <t>Com toca-fitas, gravador e toca-discos</t>
  </si>
  <si>
    <t>Combinado com relógio</t>
  </si>
  <si>
    <t>--Não combinados com um aparelho de gravação ou de reprodução de som, mas combinados com um relógio</t>
  </si>
  <si>
    <t xml:space="preserve">Amplificador com sintonizador  receiver </t>
  </si>
  <si>
    <t>Monocromáticos</t>
  </si>
  <si>
    <t>Policromáticos</t>
  </si>
  <si>
    <t xml:space="preserve">Com dispositivos de seleção de varredura  underscanning  e de retardo de sincronismo horizontal e vertical  H/V delay ou pulse cross </t>
  </si>
  <si>
    <t>--Dos tipos exclusiva ou principalmente utilizados num sistema automático para processamento de dados da posição 84.71</t>
  </si>
  <si>
    <t xml:space="preserve">Com tecnologia de dispositivo digital de microespelhos  DMD - Digital Micromirror Device </t>
  </si>
  <si>
    <t>Sem saída de radiofrequência  RF  modulada nos canais 3 ou 4, com saídas de áudio balanceadas com impedância de 600 Ohms, próprio para montagem em racks e com saída de vídeo com conector BNC</t>
  </si>
  <si>
    <t xml:space="preserve">--Outros, a cores  policromo </t>
  </si>
  <si>
    <t>--Outros, a preto e branco ou outros monocromos</t>
  </si>
  <si>
    <t>Com refletor parabólico</t>
  </si>
  <si>
    <t>Gabinetes e bastidores</t>
  </si>
  <si>
    <t>Ex 01 - Codificadores para sinais de áudio, vídeo de alta definição MPEG-2 e/ou MPEG-4  protocolo H.264  para sistema de transmissão de sinais de televisão digital terrestre</t>
  </si>
  <si>
    <t>De aparelhos das posições 85.27 ou 85.28</t>
  </si>
  <si>
    <t>De aparelhos da subposição 8526.10</t>
  </si>
  <si>
    <t>De aparelhos da subposição 8526.91</t>
  </si>
  <si>
    <t>Digitais, para controle de tráfego</t>
  </si>
  <si>
    <t>Digitais, para controle de tráfego de automotores</t>
  </si>
  <si>
    <t>Alarmes contra incêndio ou sobreaquecimento</t>
  </si>
  <si>
    <t xml:space="preserve">Ex 01 - Quadro de sinalização, próprio para dar informações relativas à venda de mercadorias, constituído de painel eletrônico e respectivos dispositivos de comando e controle  unidade funcional </t>
  </si>
  <si>
    <t xml:space="preserve">-Condensadores fixos concebidos para linhas elétricas de 50/60 Hz e capazes de absorver uma potência reativa igual ou superior a 0,5 kvar  condensadores de potência </t>
  </si>
  <si>
    <t>Com tensão de isolação inferior ou igual a 125 V</t>
  </si>
  <si>
    <t xml:space="preserve">Próprios para montagem em superfície  SMD - Surface Mounted Device </t>
  </si>
  <si>
    <t>-Resistências fixas de carbono, aglomeradas ou de camada</t>
  </si>
  <si>
    <t>De fio</t>
  </si>
  <si>
    <t xml:space="preserve">Próprias para montagem em superfície  SMD - Surface Mounted Device </t>
  </si>
  <si>
    <t>Potenciômetros</t>
  </si>
  <si>
    <t>Termistores</t>
  </si>
  <si>
    <t>Varistores</t>
  </si>
  <si>
    <t>Potenciômetro de carvão, do tipo dos utilizados para determinar o ângulo de abertura da borboleta, em sistemas de injeção de combustível controlados eletronicamente</t>
  </si>
  <si>
    <t>Outros potenciômetros de carvão</t>
  </si>
  <si>
    <t>Com isolante de resina fenólica e papel celulósico</t>
  </si>
  <si>
    <t>Com isolante de resina epóxida e papel celulósico</t>
  </si>
  <si>
    <t>Com isolante de resina epóxida e tecido de fibra de vidro</t>
  </si>
  <si>
    <t>Simples face, flexíveis</t>
  </si>
  <si>
    <t>Dupla face, flexíveis</t>
  </si>
  <si>
    <t>--Para uma tensão inferior a 72,5 kV</t>
  </si>
  <si>
    <t xml:space="preserve">Interruptores a vácuo, sem dispositivo de acionamento  ampolas a vácuo </t>
  </si>
  <si>
    <t>Outros, com dispositivo de acionamento não automático</t>
  </si>
  <si>
    <t>Outros, com dispositivo de acionamento automático, exceto os de contatos imersos em meio líquido</t>
  </si>
  <si>
    <t>Pára-raios para proteção de linhas de transmissão de eletricidade</t>
  </si>
  <si>
    <t>Ex 01 - Dispositivos de transientes de tensão, para proteção de transmissores, de potência igual ou superior a 20kW</t>
  </si>
  <si>
    <t>--Para uma tensão não superior a 60 V</t>
  </si>
  <si>
    <t>Unidade chaveadora de conversor de subida e descida para sistema de telecomunicações via satélite</t>
  </si>
  <si>
    <t>Unidade chaveadora de amplificador de alta potência  HPA  para sistema de telecomunicações via satélite</t>
  </si>
  <si>
    <t>Comutadores codificadores digitais, próprios para montagem em circuitos impressos</t>
  </si>
  <si>
    <t>Ex 01 - Interruptor de embutir ou sobrepor, rotativo ou de alavanca, para sistema elétrico em 24V, próprio para ônibus ou caminhões</t>
  </si>
  <si>
    <t>Ex 02 - Chaves de faca</t>
  </si>
  <si>
    <t>Ex 03 - Do tipo utilizado em residências</t>
  </si>
  <si>
    <t>Tomada polarizada e tomada blindada</t>
  </si>
  <si>
    <t>-Conectores para fibras ópticas, feixes ou cabos de fibras ópticas</t>
  </si>
  <si>
    <t>Conectores para cabos planos constituídos por condutores paralelos isolados individualmente</t>
  </si>
  <si>
    <t>Tomadas de contato deslizante em condutores aéreos</t>
  </si>
  <si>
    <t>Soquetes para microestruturas eletrônicas</t>
  </si>
  <si>
    <t>Conectores para circuito impresso</t>
  </si>
  <si>
    <t>Terminais de conexão para capacitores, mesmo montados em suporte isolante</t>
  </si>
  <si>
    <t>Com processador e barramento de 32 bits ou superior, incorporando recursos gráficos e execução de macros, resolução inferior ou igual a 1 micrômetro e capacidade de conexão digital para servo-acionamento, com monitor policromático</t>
  </si>
  <si>
    <t>Controladores programáveis</t>
  </si>
  <si>
    <t>Controladores de demanda de energia elétrica</t>
  </si>
  <si>
    <t>Subestações isoladas a gás  GIS - Gas-Insulated Switchgear ou HIS - Highly Integrated Switchgear , para uma tensão superior a 52 kV</t>
  </si>
  <si>
    <t>-Quadros, painéis, consoles, cabinas, armários e outros suportes, da posição 85.37, desprovidos dos seus aparelhos</t>
  </si>
  <si>
    <t>De disjuntores, para uma tensão superior ou igual a 72,5 kV</t>
  </si>
  <si>
    <t>Para uma tensão inferior ou igual a 15 V</t>
  </si>
  <si>
    <t>Ex 01 - Lâmpadas dicróicas</t>
  </si>
  <si>
    <t>--Outros, de potência não superior a 200 W e uma tensão superior a 100 V</t>
  </si>
  <si>
    <t>Ex 01 - Lâmpadas incandescentes, de tensão superior a 100V</t>
  </si>
  <si>
    <t>Ex 01 - Para iluminação e projeção, de temperatura de cor superior a 3.000°K, exclusivamente para cinematografia, cinema e atividades semelhantes, em qualquer base</t>
  </si>
  <si>
    <t>Ex 02 - Lâmpadas incandescentes, de tensão superior a 100V</t>
  </si>
  <si>
    <t>--Fluorescentes, de cátodo quente</t>
  </si>
  <si>
    <t xml:space="preserve">Ex 01 - De descarga em baixa pressão, de base única, com ou sem reator eletrônico incorporado, com eficiência superior a 40 lúmens/W  lâmpada fluorescente compacta </t>
  </si>
  <si>
    <t>--Lâmpadas de vapor de mercúrio ou de sódio, lâmpadas de halogeneto metálico</t>
  </si>
  <si>
    <t>Ex 01 - De vapor de sódio, de alta pressão</t>
  </si>
  <si>
    <t>Ex 01 - Lâmpadas mistas</t>
  </si>
  <si>
    <t>De potência superior ou igual a 1.000 W</t>
  </si>
  <si>
    <t>Eletrodos</t>
  </si>
  <si>
    <t>Bases</t>
  </si>
  <si>
    <t>Em preto e branco ou outros monocromos</t>
  </si>
  <si>
    <t>Tubos conversores ou intensificadores de imagens, de raios X</t>
  </si>
  <si>
    <t>-Tubos de visualização de dados gráficos, em monocromos, tubos de visualização de dados gráficos, a cores  policromo , com uma tela fosfórica de espaçamento entre os pontos inferior a 0,4 mm</t>
  </si>
  <si>
    <t>Tubos de visualização de dados gráficos, em cores, com uma tela de espaçamento entre os pontos superior ou igual a 0,4 mm</t>
  </si>
  <si>
    <t>Válvulas de potência para transmissores</t>
  </si>
  <si>
    <t xml:space="preserve">Bobinas de deflexão  yokes </t>
  </si>
  <si>
    <t xml:space="preserve">Núcleos de pó ferromagnético para bobinas de deflexão  yokes </t>
  </si>
  <si>
    <t>Canhões eletrônicos</t>
  </si>
  <si>
    <t>Painel de vidro, máscara de sombra e blindagem interna, reunidos, para tubos tricromáticos</t>
  </si>
  <si>
    <t>Zener</t>
  </si>
  <si>
    <t>Outros, de intensidade de corrente inferior ou igual a 3 A</t>
  </si>
  <si>
    <t>Não montados</t>
  </si>
  <si>
    <t xml:space="preserve">Montados, próprios para montagem em superfície  SMD - Surface Mounted Device </t>
  </si>
  <si>
    <t xml:space="preserve">De efeito de campo, com junção heterogênea  HJFET ou HEMT </t>
  </si>
  <si>
    <t>Montados</t>
  </si>
  <si>
    <t>De intensidade de corrente inferior ou igual a 3 A</t>
  </si>
  <si>
    <t>Diodos emissores de luz  LED , exceto diodos laser</t>
  </si>
  <si>
    <t>Diodos laser</t>
  </si>
  <si>
    <t>Fotodiodos</t>
  </si>
  <si>
    <t>Fototransistores</t>
  </si>
  <si>
    <t>Fototiristores</t>
  </si>
  <si>
    <t>Células solares</t>
  </si>
  <si>
    <t xml:space="preserve">Diodos emissores de luz  LED , exceto diodos laser, próprios para montagem em superfície  SMD - Surface Mounted Device </t>
  </si>
  <si>
    <t>Outros diodos emissores de luz  LED , exceto diodos laser</t>
  </si>
  <si>
    <t>Diodos laser com comprimento de onda de 1.300 nm ou 1.500 nm</t>
  </si>
  <si>
    <t>Outros diodos laser</t>
  </si>
  <si>
    <t>Fotodiodos, fototransistores e fototiristores</t>
  </si>
  <si>
    <t>Fotorresistores</t>
  </si>
  <si>
    <t xml:space="preserve">Acopladores óticos, próprios para montagem em superfície  SMD - Surface Mounted Device </t>
  </si>
  <si>
    <t>De quartzo, de frequência superior ou igual a 1 MHz, mas inferior ou igual a 100 MHz</t>
  </si>
  <si>
    <t xml:space="preserve">Suportes-conectores apresentados em tiras  lead frames </t>
  </si>
  <si>
    <t xml:space="preserve">Coberturas para encapsulamento  cápsulas </t>
  </si>
  <si>
    <t>Ex 01 - Obtidos por tecnologia bipolar</t>
  </si>
  <si>
    <t>Não montadas</t>
  </si>
  <si>
    <t>Dos tipos RAM estáticas  SRAM  com tempo de acesso inferior ou igual a 25 ns, EPROM, EEPROM, PROM, ROM e FLASH</t>
  </si>
  <si>
    <t>Ex 01 - De óxido metálico</t>
  </si>
  <si>
    <t>De espessura de camada inferior ou igual a 1 micrômetro  mícron  com frequência de operação superior ou igual a 800 MHz</t>
  </si>
  <si>
    <t>Outros, não montados</t>
  </si>
  <si>
    <t>Circuitos do tipo chipset</t>
  </si>
  <si>
    <t>Ex 01 - Geradores de sinais de teste e referência de vídeo nos padrões SDI e HD-SDI, com capacidade de geração de diferentes sinais de teste, dentre eles o “color bars” e “zoneplate”</t>
  </si>
  <si>
    <t>-Máquinas e aparelhos de galvanoplastia, eletrólise ou eletroforese</t>
  </si>
  <si>
    <t>Para transmissão de sinais de micro-ondas de alta potência  HPA , a válvula TWT do tipo Phase Combiner, com potência de saída superior a 2,7 kW</t>
  </si>
  <si>
    <t>Ex 01 - De média ou de alta freqüência</t>
  </si>
  <si>
    <t>Para recepção de sinais de micro-ondas de baixo ruído  LNA  na banda de 3.600 a 4.200 MHz, com temperatura menor ou igual a 55 Kelvin, para telecomunicações via satélite</t>
  </si>
  <si>
    <t>Para distribuição de sinais de televisão</t>
  </si>
  <si>
    <t>Outros para recepção de sinais de micro-ondas</t>
  </si>
  <si>
    <t>Outros para transmissão de sinais de micro-ondas</t>
  </si>
  <si>
    <t>Aparelhos para eletrocutar insetos</t>
  </si>
  <si>
    <t>Geradores de efeitos especiais com manipulação em 2 ou 3 dimensões, mesmo combinados com dispositivo de comutação, de mais de 10 entradas de áudio ou de vídeo</t>
  </si>
  <si>
    <t>Geradores de caracteres, digitais</t>
  </si>
  <si>
    <t>Sincronizadores de quadro armazenadores ou corretores de base de tempo</t>
  </si>
  <si>
    <t>Controladores de edição</t>
  </si>
  <si>
    <t>Misturador digital, em tempo real, com oito ou mais entradas</t>
  </si>
  <si>
    <t>Roteador-comutador  routing switcher  de mais de 20 entradas e mais de 16 saídas, de áudio ou de vídeo</t>
  </si>
  <si>
    <t>Ex 01 - Roteadores-comutadores  “trouting switcher” , contendo mais de 20 entradas e mais de 16 saídas de áudio e/ou vídeo, com interface de entrada de vídeo SDI e HD-SDI e saídas em SDI e HD-SDI, entradas de áudio analógico e/ou digital ou capacidade par</t>
  </si>
  <si>
    <t>Transcodificadores ou conversores de padrões de televisão</t>
  </si>
  <si>
    <t xml:space="preserve">Simulador de antenas para transmissores com potência igual ou superior a 25 kW  carga fantasma </t>
  </si>
  <si>
    <t>Terminais de texto que operem com código de transmissão Baudot, providos de teclado alfanumérico e visor, para acoplamento exclusivamente acústico a telefone</t>
  </si>
  <si>
    <t>Eletrificadores de cercas</t>
  </si>
  <si>
    <t>Ex 01 - Amplificadores seriais digitais para distribuição de sinais de vídeo, com retemporizador</t>
  </si>
  <si>
    <t>Das máquinas ou aparelhos da subposição 8543.70</t>
  </si>
  <si>
    <t>Ex 01 - Para sistema elétrico em 24 V</t>
  </si>
  <si>
    <t>Ex 01 - Para tensão não superior a 80 V</t>
  </si>
  <si>
    <t>-Outros condutores elétricos, para uma tensão superior a 1.000 V</t>
  </si>
  <si>
    <t>Com revestimento externo de material dielétrico</t>
  </si>
  <si>
    <t xml:space="preserve">Com revestimento externo de aço, próprios para instalação submarina  cabo submarino </t>
  </si>
  <si>
    <t>Com revestimento externo de alumínio</t>
  </si>
  <si>
    <t>De grafita, com teor de carbono superior ou igual a 99,9%, em peso</t>
  </si>
  <si>
    <t>Blocos de grafite, dos tipos utilizados como cátodos em cubas eletrolíticas</t>
  </si>
  <si>
    <t>Carvões para pilhas elétricas</t>
  </si>
  <si>
    <t>Resistências aquecedoras desprovidas de revestimento e de terminais</t>
  </si>
  <si>
    <t>Suportes de conexão  nipples , para eletrodos</t>
  </si>
  <si>
    <t>Tampões vedadores para capacitores, com perfurações para terminais</t>
  </si>
  <si>
    <t>Desperdícios e resíduos de acumuladores elétricos de chumbo, acumuladores elétricos de chumbo, inservíveis</t>
  </si>
  <si>
    <t>Ex 01 - Acumuladores inservíveis</t>
  </si>
  <si>
    <t>Ex 01 - Desperdícios e resíduos, à base de cádmio, exceto seus compostos químicos</t>
  </si>
  <si>
    <t>Ex 02 - Desperdícios e resíduos, contendo compostos químicos de níquel, cádmio, mercúrio ou de lítio</t>
  </si>
  <si>
    <t>Ex 03 - Pilhas, baterias de pilhas e acumuladores elétricos, inservíveis, exceto acumuladores de chumbo</t>
  </si>
  <si>
    <t>Termopares dos tipos utilizados em dispositivos termoelétricos de segurança de aparelhos alimentados a gás</t>
  </si>
  <si>
    <t>Autopropulsados, equipados com batedores de balastro e alinhadores de vias férreas</t>
  </si>
  <si>
    <t>Vagões de passageiros</t>
  </si>
  <si>
    <t>-Vagões de descarga automática, exceto os da subposição 8606.10</t>
  </si>
  <si>
    <t>--Abertos, com paredes fixas de altura superior a 60 cm</t>
  </si>
  <si>
    <t>Bogies</t>
  </si>
  <si>
    <t>Bissels</t>
  </si>
  <si>
    <t>Com rolamentos incorporados, de diâmetro exterior superior a 190 mm, do tipo dos utilizados em eixos de rodas de vagões ferroviários</t>
  </si>
  <si>
    <t>-Ganchos e outros sistemas de engate, pára-choques, e suas partes</t>
  </si>
  <si>
    <t>Mecânicos</t>
  </si>
  <si>
    <t>Eletromecânicos</t>
  </si>
  <si>
    <t>Contêineres, incluindo os de transporte de fluidos, especialmente concebidos e equipados para um ou vários meios de transporte.</t>
  </si>
  <si>
    <t xml:space="preserve">Tratores especialmente concebidos para arrastar troncos  log skidders </t>
  </si>
  <si>
    <t>Ex 01 – Com tomada de força mecânica ou hidráulica</t>
  </si>
  <si>
    <t xml:space="preserve">-Com motor de pistão, de ignição por compressão  diesel ou semidiesel </t>
  </si>
  <si>
    <t>Ex 01 - Com volume interno de habitáculo, destinado a passageiros e motorista, superior a 6m³, mas inferior a 9m³</t>
  </si>
  <si>
    <t>Ex 02 - Com volume interno de habitáculo, destinado a passageiros e motorista, igual ou superior a 9m³</t>
  </si>
  <si>
    <t>Trólebus</t>
  </si>
  <si>
    <t>-Veículos especialmente concebidos para se deslocar sobre a neve, veículos especiais para transporte de pessoas nos campos de golfe e veículos semelhantes</t>
  </si>
  <si>
    <t>--De cilindrada não superior a 1.000 cm3</t>
  </si>
  <si>
    <t>Com capacidade de transporte de pessoas sentadas inferior ou igual a seis, incluindo o motorista</t>
  </si>
  <si>
    <t>Ex 01 – De cilindrada superior a 1.500 cm³, mas não superior a 2.000 cm³</t>
  </si>
  <si>
    <t>Com capacidade de carga superior ou igual a 85 toneladas</t>
  </si>
  <si>
    <t>Chassis com motor e cabina</t>
  </si>
  <si>
    <t>Ex 01 - De camionetas, furgões, “pick-ups” e semelhantes</t>
  </si>
  <si>
    <t>Com caixa basculante</t>
  </si>
  <si>
    <t>Frigoríficos ou isotérmicos</t>
  </si>
  <si>
    <t>Ex 02 - Carro-forte para transporte de valores</t>
  </si>
  <si>
    <t>Ex 01 - Veículo automóvel para transporte de toras de madeira, denominado comercialmente “trator florestal” e, tecnicamente, “forwarder”</t>
  </si>
  <si>
    <t>Ex 01 - De caminhão</t>
  </si>
  <si>
    <t>Ex 01 - Caminhão</t>
  </si>
  <si>
    <t>Com haste telescópica de altura máxima superior ou igual a 42 m, capacidade máxima de elevação superior ou igual a 60 toneladas, segundo a Norma DIN 15019, Parte 2, e com 2 ou mais eixos de rodas direcionáveis</t>
  </si>
  <si>
    <t>-Torres  derricks  automóveis, para sondagem ou perfuração</t>
  </si>
  <si>
    <t>Caminhões para a determinação de parâmetros físicos característicos  perfilagem  de poços petrolíferos</t>
  </si>
  <si>
    <t>Dos veículos da posição 87.02</t>
  </si>
  <si>
    <t>Ex 01 - De veículos dos Ex 01 e 02 dos códigos 8702.10.00 e 8702.90.90</t>
  </si>
  <si>
    <t>Dos veículos das subposições 8701.10, 8701.30, 8701.90 ou 8704.10</t>
  </si>
  <si>
    <t>Ex 01 - De caminhões</t>
  </si>
  <si>
    <t>-Para os veículos da posição 87.03</t>
  </si>
  <si>
    <t>Pára-lamas</t>
  </si>
  <si>
    <t>Grades de radiadores</t>
  </si>
  <si>
    <t>Portas</t>
  </si>
  <si>
    <t>Painéis de instrumentos</t>
  </si>
  <si>
    <t>Geradores de gás para acionar retratores de cintos de segurança</t>
  </si>
  <si>
    <t>Servo-assistidas, próprias para torques de entrada superiores ou iguais a 750 Nm</t>
  </si>
  <si>
    <t>Outras caixas de marchas</t>
  </si>
  <si>
    <t>Eixos com diferencial com capacidade de suportar cargas superiores ou iguais a 14.000 kg, redutores planetários nos extremos e dispositivo de freio incorporado, do tipo dos utilizados em veículos da subposição 8704.10</t>
  </si>
  <si>
    <t>Eixos não motores</t>
  </si>
  <si>
    <t>De eixos não motores, dos veículos das subposições 8701.10, 8701.30, 8701.90 ou 8704.10</t>
  </si>
  <si>
    <t>De eixos propulsores dos veículos das subposições 8701.10, 8701.30, 8701.90 ou 8704.10</t>
  </si>
  <si>
    <t>Ex 01 - Amortecedores de suspensão de veículos das posições 87.02, 87.04  exceto a subposição 8704.10  e 87.05 e da subposição 8701.20</t>
  </si>
  <si>
    <t>Ex 02 - Outros amortecedores de suspensão</t>
  </si>
  <si>
    <t>--Silenciosos e tubos de escape, suas partes</t>
  </si>
  <si>
    <t xml:space="preserve">Ex 01 - De veículos das posições 87.01, 87.02, 87.04 e 87.05  exceto partes </t>
  </si>
  <si>
    <t>Ex 02 - Partes</t>
  </si>
  <si>
    <t>Ex 01 - De veículos das posições 87.01, 87.02, 87.04 e 87.05</t>
  </si>
  <si>
    <t>Volantes</t>
  </si>
  <si>
    <t>Colunas</t>
  </si>
  <si>
    <t>Caixas</t>
  </si>
  <si>
    <t xml:space="preserve">Bolsas infláveis de segurança com sistema de insuflação  airbags </t>
  </si>
  <si>
    <t>Bolsas infláveis para airbags</t>
  </si>
  <si>
    <t>Sistema de insuflação</t>
  </si>
  <si>
    <t>Dispositivos para comando de acelerador, freio, embreagem, direção ou caixa de marchas mesmo os de adaptação dos preexistentes, do tipo dos utilizados por pessoas incapacitadas</t>
  </si>
  <si>
    <t>Veículos e carros blindados de combate, armados ou não, e suas partes.</t>
  </si>
  <si>
    <t>-Com motor de pistão alternativo de cilindrada não superior a 50 cm3</t>
  </si>
  <si>
    <t>Motocicletas de cilindrada inferior ou igual a 125 cm3</t>
  </si>
  <si>
    <t>Motocicleta de cilindrada superior a 125 cm3</t>
  </si>
  <si>
    <t>-Com motor de pistão alternativo de cilindrada superior a 250 cm3, mas não superior a 500 cm3</t>
  </si>
  <si>
    <t>-Com motor de pistão alternativo de cilindrada superior a 500 cm3, mas não superior a 800 cm3</t>
  </si>
  <si>
    <t>-Com motor de pistão alternativo de cilindrada superior a 800 cm3</t>
  </si>
  <si>
    <t>Bicicletas</t>
  </si>
  <si>
    <t>--Quadros e garfos, e suas partes</t>
  </si>
  <si>
    <t>Cubos, exceto de freios</t>
  </si>
  <si>
    <t>Pinhões de rodas livres</t>
  </si>
  <si>
    <t>Cubos de freios</t>
  </si>
  <si>
    <t>--Pedais e pedaleiros, e suas partes</t>
  </si>
  <si>
    <t>Câmbio de velocidades</t>
  </si>
  <si>
    <t>Carrinhos e veículos semelhantes para transporte de crianças, e suas partes.</t>
  </si>
  <si>
    <t>-Reboques e semirreboques, para habitação ou para acampar, do tipo trailer</t>
  </si>
  <si>
    <t>-Reboques e semirreboques, autocarregáveis ou autodescarregáveis, para usos agrícolas</t>
  </si>
  <si>
    <t>Ex 01 - Carrinhos de tração manual, de ferro, para construção</t>
  </si>
  <si>
    <t>Ex 02 - Veículos de tração animal</t>
  </si>
  <si>
    <t>Chassis de reboques e semirreboques</t>
  </si>
  <si>
    <t>Balões e dirigíveis, planadores, asas voadoras e outros veículos aéreos, não concebidos para propulsão a motor.</t>
  </si>
  <si>
    <t>--De peso não superior a 2.000 kg, vazios</t>
  </si>
  <si>
    <t>De peso inferior ou igual a 3.500 kg</t>
  </si>
  <si>
    <t>A hélice</t>
  </si>
  <si>
    <t>Monomotores</t>
  </si>
  <si>
    <t>Multimotores</t>
  </si>
  <si>
    <t>Multimotores, de peso inferior ou igual a 7.000 kg, vazios</t>
  </si>
  <si>
    <t>De peso inferior ou igual a 7.000 kg, vazios</t>
  </si>
  <si>
    <t>A turboélice</t>
  </si>
  <si>
    <t>-Veículos espaciais  incluindo os satélites  e seus veículos de lançamento, e veículos suborbitais</t>
  </si>
  <si>
    <t>-Hélices e rotores, e suas partes</t>
  </si>
  <si>
    <t>Pára-quedas  incluindo os pára-quedas dirigíveis e os parapentes  e os pára-quedas giratórios, suas partes e acessórios.</t>
  </si>
  <si>
    <t>-Aparelhos e dispositivos para lançamento de veículos aéreos, e suas partes, aparelhos e dispositivos para aterrissagem de veículos aéreos em porta-aviões e aparelhos e dispositivos semelhantes, e suas partes</t>
  </si>
  <si>
    <t>-Transatlânticos, barcos de excursão e embarcações semelhantes principalmente concebidas para o transporte de pessoas, ferryboats</t>
  </si>
  <si>
    <t>-Barcos frigoríficos, exceto os da subposição 8901.20</t>
  </si>
  <si>
    <t>De comprimento, de proa a popa, superior ou igual a 35 m</t>
  </si>
  <si>
    <t>--Barcos a vela, mesmo com motor auxiliar</t>
  </si>
  <si>
    <t>--Barcos a motor, exceto com motor fora-de-borda</t>
  </si>
  <si>
    <t>Rebocadores e barcos concebidos para empurrar outras embarcações.</t>
  </si>
  <si>
    <t>-Plataformas de perfuração ou de exploração, flutuantes ou submersíveis</t>
  </si>
  <si>
    <t>Ex 01 - Docas flutuantes</t>
  </si>
  <si>
    <t>Embarcações e outras estruturas flutuantes, a serem desmanteladas.</t>
  </si>
  <si>
    <t>Ex 01 - Estruturas flutuantes</t>
  </si>
  <si>
    <t xml:space="preserve">Com diâmetro de núcleo inferior a 11 micrômetros  mícrons </t>
  </si>
  <si>
    <t>Feixes e cabos de fibras ópticas</t>
  </si>
  <si>
    <t>-Matérias polarizantes, em folhas ou em placas</t>
  </si>
  <si>
    <t>-Lentes de vidro, para óculos</t>
  </si>
  <si>
    <t>-Lentes de outras matérias, para óculos</t>
  </si>
  <si>
    <t>Lentes</t>
  </si>
  <si>
    <t>Para câmeras fotográficas ou cinematográficas ou para projetores</t>
  </si>
  <si>
    <t>Ex 01 - Para câmeras cinematográficas</t>
  </si>
  <si>
    <t>De aproximação  zoom  para câmeras de televisão, de 20 ou mais aumentos</t>
  </si>
  <si>
    <t>Polarizantes</t>
  </si>
  <si>
    <t xml:space="preserve">De metais comuns, mesmo folheados ou chapeados de metais preciosos  plaquê </t>
  </si>
  <si>
    <t>Charneiras</t>
  </si>
  <si>
    <t>Óculos para correção</t>
  </si>
  <si>
    <t>Óculos de segurança</t>
  </si>
  <si>
    <t>De binóculos</t>
  </si>
  <si>
    <t>Fotocompositoras a laser para preparação de clichês</t>
  </si>
  <si>
    <t>-Câmeras fotográficas especialmente concebidas para fotografia submarina ou aérea, para exame médico de órgãos internos ou para laboratórios de medicina legal ou de investigação judicial</t>
  </si>
  <si>
    <t>--Com visor de reflexão através da objetiva  reflex , para filmes em rolos de largura não superior a 35 mm</t>
  </si>
  <si>
    <t>--Outras, para filmes em rolos de largura inferior a 35 mm</t>
  </si>
  <si>
    <t>De foco fixo</t>
  </si>
  <si>
    <t>De foco ajustável</t>
  </si>
  <si>
    <t>Para obtenção de negativos de 45 mm x 60 mm ou de dimensões superiores</t>
  </si>
  <si>
    <t xml:space="preserve">Ex 01 - Lâmpadas de luz relâmpago  “flash” </t>
  </si>
  <si>
    <t>Corpos</t>
  </si>
  <si>
    <t>Ex 01 - Para filmes de 16 mm de largura ou de largura não inferior a 35 mm</t>
  </si>
  <si>
    <t>Para filmes de largura superior ou igual a 35 mm mas inferior ou igual a 70 mm</t>
  </si>
  <si>
    <t>Ex 01 - Tripés de câmeras cinematográficas</t>
  </si>
  <si>
    <t>Cubas e cubetas, de operação automática e programáveis</t>
  </si>
  <si>
    <t>Ampliadoras-copiadoras automáticas para papel fotográfico, com capacidade superior a 1.000 cópias por hora</t>
  </si>
  <si>
    <t>Processadores fotográficos para o tratamento eletrônico de imagens, mesmo com saída digital</t>
  </si>
  <si>
    <t>Aparelhos para revelação automática de chapas de fotopolímeros com suporte metálico</t>
  </si>
  <si>
    <t>Ex 01 - Moviolas</t>
  </si>
  <si>
    <t>De aparelhos ou material da subposição 9010.10 ou do item 9010.50.10</t>
  </si>
  <si>
    <t>Para fotomicrografia</t>
  </si>
  <si>
    <t>Para cinefotomicrografia</t>
  </si>
  <si>
    <t>Para microprojeção</t>
  </si>
  <si>
    <t>Binoculares de platina móvel</t>
  </si>
  <si>
    <t>Dos artigos da subposição 9011.20</t>
  </si>
  <si>
    <t>Microscópios eletrônicos</t>
  </si>
  <si>
    <t>De microscópios eletrônicos</t>
  </si>
  <si>
    <t>Miras telescópicas para armas</t>
  </si>
  <si>
    <t>-Lasers, exceto diodos laser</t>
  </si>
  <si>
    <t xml:space="preserve">Dispositivos de cristais líquidos  LCD </t>
  </si>
  <si>
    <t>Ex 01 - Conta-fios</t>
  </si>
  <si>
    <t>-Bússolas, incluindo as agulhas de marear</t>
  </si>
  <si>
    <t>Altímetros</t>
  </si>
  <si>
    <t>Pilotos automáticos</t>
  </si>
  <si>
    <t>Inclinômetros</t>
  </si>
  <si>
    <t xml:space="preserve">Sondas acústicas  ecobatímetros  ou de ultrassom  sonar e semelhantes </t>
  </si>
  <si>
    <t>Com sistema de leitura por meio de prisma ou micrômetro óptico e precisão de leitura de 1 segundo</t>
  </si>
  <si>
    <t>Molinetes hidrométricos</t>
  </si>
  <si>
    <t>De instrumentos ou aparelhos da subposição 9015.40</t>
  </si>
  <si>
    <t>Sensíveis a pesos não superiores a 0,2 mg</t>
  </si>
  <si>
    <t>-Outros instrumentos de desenho, de traçado ou de cálculo</t>
  </si>
  <si>
    <t>Micrômetros</t>
  </si>
  <si>
    <t>Paquímetros</t>
  </si>
  <si>
    <t>Metros</t>
  </si>
  <si>
    <t>De mesas ou máquinas de desenhar, automáticas</t>
  </si>
  <si>
    <t>Ecógrafos com análise espectral Doppler</t>
  </si>
  <si>
    <t xml:space="preserve">Scanner de tomografia por emissão de posítrons  PET - Positron Emission Tomography </t>
  </si>
  <si>
    <t>Câmaras gama</t>
  </si>
  <si>
    <t>Endoscópios</t>
  </si>
  <si>
    <t>Audiômetros</t>
  </si>
  <si>
    <t>Para cirurgia, que operem por laser</t>
  </si>
  <si>
    <t>Outros, para tratamento bucal, que operem por laser</t>
  </si>
  <si>
    <t>De capacidade inferior ou igual a 2 cm3</t>
  </si>
  <si>
    <t>Gengivais</t>
  </si>
  <si>
    <t>De aço cromo-níquel, bisel trifacetado e diâmetro exterior superior ou igual a 1,6 mm, do tipo das utilizadas com bolsas de sangue</t>
  </si>
  <si>
    <t>Para suturas</t>
  </si>
  <si>
    <t>Agulhas</t>
  </si>
  <si>
    <t>De borracha</t>
  </si>
  <si>
    <t>Cateteres de poli cloreto de vinila , para embolectomia arterial</t>
  </si>
  <si>
    <t>Cateteres de poli cloreto de vinila , para termodiluição</t>
  </si>
  <si>
    <t xml:space="preserve">Cateteres intravenosos periféricos, de poliuretano ou de copolímero de etileno-tetrafluoretileno  ETFE </t>
  </si>
  <si>
    <t>Lancetas para vacinação e cautérios</t>
  </si>
  <si>
    <t>Artigo para fístula arteriovenosa, composto de agulha, base de fixação tipo borboleta, tubo plástico com conector e obturador</t>
  </si>
  <si>
    <t>Ex 01 - Para transfusão de sangue ou infusão intravenosa</t>
  </si>
  <si>
    <t>--Aparelhos dentários de brocar, mesmo combinados numa base comum com outros equipamentos dentários</t>
  </si>
  <si>
    <t xml:space="preserve">De carboneto de tungstênio  volfrâmio </t>
  </si>
  <si>
    <t>De aço-vanádio</t>
  </si>
  <si>
    <t>Limas</t>
  </si>
  <si>
    <t>Para tratamento bucal, que operem por projeção cinética de partículas</t>
  </si>
  <si>
    <t>Para desenho e construção de peças cerâmicas para restaurações dentárias, computadorizados</t>
  </si>
  <si>
    <t>Ex 01 - Cadeiras de dentista equipadas com aparelhos de odontologia</t>
  </si>
  <si>
    <t>Microscópios binoculares, dos tipos utilizados em cirurgia oftalmológica</t>
  </si>
  <si>
    <t>Para transfusão de sangue ou infusão intravenosa</t>
  </si>
  <si>
    <t>Elétricos</t>
  </si>
  <si>
    <t>Litotritores por onda de choque</t>
  </si>
  <si>
    <t>Rins artificiais</t>
  </si>
  <si>
    <t>Aparelhos de diatermia</t>
  </si>
  <si>
    <t>Incubadoras para bebês</t>
  </si>
  <si>
    <t>Aparelhos para medida da pressão arterial</t>
  </si>
  <si>
    <t>Aparelhos para terapia intra-uretral por micro-ondas  TUMT , próprios para o tratamento de afecções prostáticas, computadorizados</t>
  </si>
  <si>
    <t>Grampos e clipes, seus aplicadores e extratores</t>
  </si>
  <si>
    <t xml:space="preserve">Desfibriladores externos que operem unicamente em modo automático  AED - Automatic External Defibrillator </t>
  </si>
  <si>
    <t>Ex 01 - Conjunto descartável de circulação assistida e conjunto descartável de balão intra-aórtico</t>
  </si>
  <si>
    <t>Ex 02 - Máquinas cicladoras para diálise peritoneal e seus acessórios</t>
  </si>
  <si>
    <t>Ex 03 - Equipamento de drenagem, cápsula protetora do adaptador de titânio, equipamentos de transferência ou similar e equipamento cassete cicladora, para diálise peritoneal</t>
  </si>
  <si>
    <t>-Aparelhos de mecanoterapia, aparelhos de massagem, aparelhos de psicotécnica</t>
  </si>
  <si>
    <t>De oxigenoterapia</t>
  </si>
  <si>
    <t>De aerossolterapia</t>
  </si>
  <si>
    <t>Respiratórios de reanimação</t>
  </si>
  <si>
    <t xml:space="preserve">Respiradores automáticos  pulmões de aço </t>
  </si>
  <si>
    <t>Máscaras contra gases</t>
  </si>
  <si>
    <t>Artigos e aparelhos ortopédicos</t>
  </si>
  <si>
    <t>Artigos e aparelhos para fraturas</t>
  </si>
  <si>
    <t>De artigos e aparelhos de ortopedia, articulados</t>
  </si>
  <si>
    <t>De acrílico</t>
  </si>
  <si>
    <t>Femurais</t>
  </si>
  <si>
    <t>Mioelétricas</t>
  </si>
  <si>
    <t>Mecânicas</t>
  </si>
  <si>
    <t>Lentes intraoculares</t>
  </si>
  <si>
    <t>Próteses de artérias vasculares revestidas</t>
  </si>
  <si>
    <t>Próteses mamárias não implantáveis</t>
  </si>
  <si>
    <t>Partes de próteses modulares que substituem membros superiores ou inferiores</t>
  </si>
  <si>
    <t>-Aparelhos para facilitar a audição dos surdos, exceto as partes e acessórios</t>
  </si>
  <si>
    <t>-Marca-passos cardíacos, exceto as partes e acessórios</t>
  </si>
  <si>
    <t>Cardiodesfibriladores automáticos</t>
  </si>
  <si>
    <t>Implantes expansíveis  stents , mesmo montados sobre cateter do tipo balão</t>
  </si>
  <si>
    <t>Oclusores interauriculares constituídos por uma malha de fios de níquel e titânio preenchida com tecido de poliéster, mesmo apresentados com seu respectivo cateter</t>
  </si>
  <si>
    <t>De marca-passos cardíacos</t>
  </si>
  <si>
    <t>De aparelhos para facilitar a audição dos surdos</t>
  </si>
  <si>
    <t>De tomadas maxilares panorâmicas</t>
  </si>
  <si>
    <t>Para mamografia</t>
  </si>
  <si>
    <t>Para angiografia</t>
  </si>
  <si>
    <t>Para densitometria óssea, computadorizados</t>
  </si>
  <si>
    <t>Espectrômetros ou espectrógrafos de raios X</t>
  </si>
  <si>
    <t>Dos tipos utilizados para inspeção de bagagens, com túnel de altura inferior ou igual a 0,4 m, largura inferior ou igual a 0,6 m e comprimento inferior ou igual a 1,2 m</t>
  </si>
  <si>
    <t xml:space="preserve">Aparelhos de radiocobalto  bombas de cobalto </t>
  </si>
  <si>
    <t>Outros, para gamaterapia</t>
  </si>
  <si>
    <t>Para detecção do nível de enchimento ou tampas faltantes, em latas de bebidas, por meio de raios gama</t>
  </si>
  <si>
    <t>Geradores de tensão</t>
  </si>
  <si>
    <t>Telas radiológicas</t>
  </si>
  <si>
    <t>Partes e acessórios de aparelhos de raios X</t>
  </si>
  <si>
    <t>Instrumentos, aparelhos e modelos, concebidos para demonstração  por exemplo, no ensino e nas exposições , não suscetíveis de outros usos.</t>
  </si>
  <si>
    <t xml:space="preserve">Ex 01 - Lâmina preparada  preparação microscópica </t>
  </si>
  <si>
    <t>Ex 02 - Modelos de anatomia para ensino</t>
  </si>
  <si>
    <t>Para ensaios de tração ou compressão</t>
  </si>
  <si>
    <t>Para ensaios de dureza</t>
  </si>
  <si>
    <t>Automáticos, para fios</t>
  </si>
  <si>
    <t>Máquinas para ensaios de pneumáticos</t>
  </si>
  <si>
    <t>Termômetros clínicos</t>
  </si>
  <si>
    <t>Pirômetros ópticos</t>
  </si>
  <si>
    <t>De termômetros</t>
  </si>
  <si>
    <t>Medidores-transmissores eletrônicos, que funcionem pelo princípio de indução eletromagnética</t>
  </si>
  <si>
    <t>De metais, mediante correntes parasitas</t>
  </si>
  <si>
    <t>Manômetros</t>
  </si>
  <si>
    <t>De instrumentos e aparelhos para medida ou controle do nível</t>
  </si>
  <si>
    <t>De manômetros</t>
  </si>
  <si>
    <t>De fase gasosa</t>
  </si>
  <si>
    <t>De fase líquida</t>
  </si>
  <si>
    <t>Sequenciadores automáticos de ADN mediante eletroforese capilar</t>
  </si>
  <si>
    <t>De emissão atômica</t>
  </si>
  <si>
    <t>Espectrofotômetros</t>
  </si>
  <si>
    <t>Colorímetros</t>
  </si>
  <si>
    <t>Fotômetros</t>
  </si>
  <si>
    <t>Refratômetros</t>
  </si>
  <si>
    <t>Sacarímetros</t>
  </si>
  <si>
    <t>Citômetro de fluxo</t>
  </si>
  <si>
    <t>Calorímetros</t>
  </si>
  <si>
    <t>Viscosímetros</t>
  </si>
  <si>
    <t>Densitômetros</t>
  </si>
  <si>
    <t>Aparelhos medidores de pH</t>
  </si>
  <si>
    <t>Espectrômetros de massa</t>
  </si>
  <si>
    <t>Polarógrafos</t>
  </si>
  <si>
    <t>Exposímetros</t>
  </si>
  <si>
    <t>Micrótomos</t>
  </si>
  <si>
    <t>De espectrômetros e espectrógrafos, de emissão atômica</t>
  </si>
  <si>
    <t>De polarógrafos</t>
  </si>
  <si>
    <t>Dos tipos utilizados em postos  estações  de serviço ou garagens</t>
  </si>
  <si>
    <t>De peso inferior ou igual a 50 kg</t>
  </si>
  <si>
    <t>De peso superior a 50 kg</t>
  </si>
  <si>
    <t>Digitais</t>
  </si>
  <si>
    <t>De contadores de eletricidade</t>
  </si>
  <si>
    <t>Contadores de voltas, contadores de produção ou de horas de trabalho</t>
  </si>
  <si>
    <t>Indicadores de velocidade e tacômetros</t>
  </si>
  <si>
    <t>Ex 01 - Para veículos com sistema elétrico em 24V</t>
  </si>
  <si>
    <t>Estroboscópios</t>
  </si>
  <si>
    <t>De indicadores de velocidade e tacômetros</t>
  </si>
  <si>
    <t>Medidores de radioatividade</t>
  </si>
  <si>
    <t>Osciloscópios digitais</t>
  </si>
  <si>
    <t>De frequência superior ou igual a 60 MHz</t>
  </si>
  <si>
    <t>Vetorscópios</t>
  </si>
  <si>
    <t>Oscilógrafos</t>
  </si>
  <si>
    <t>--Multímetros, sem dispositivo registrador</t>
  </si>
  <si>
    <t>--Multímetros, com dispositivo registrador</t>
  </si>
  <si>
    <t>De teste de continuidade em circuitos impressos</t>
  </si>
  <si>
    <t>Analisadores de protocolo</t>
  </si>
  <si>
    <t>Analisadores de nível seletivo</t>
  </si>
  <si>
    <t>Analisadores digitais de transmissão</t>
  </si>
  <si>
    <t>De testes de circuitos integrados</t>
  </si>
  <si>
    <t xml:space="preserve">De teste automático de circuito impresso montado  ATE </t>
  </si>
  <si>
    <t>De medidas de parâmetros característicos de sinais de televisão ou de vídeo</t>
  </si>
  <si>
    <t>Analisadores lógicos de circuitos digitais</t>
  </si>
  <si>
    <t>Analisadores de espectro de frequência</t>
  </si>
  <si>
    <t>Frequencímetros</t>
  </si>
  <si>
    <t>Fasímetros</t>
  </si>
  <si>
    <t>De instrumentos e aparelhos da subposição 9030.10</t>
  </si>
  <si>
    <t>Para motores</t>
  </si>
  <si>
    <t>Para medida de parâmetros dimensionais de fibras de celulose, por meio de raios laser</t>
  </si>
  <si>
    <t>Para medida da espessura de pneumáticos de veículos automóveis, por meio de raios laser</t>
  </si>
  <si>
    <t>Ex 01 - Projetores de perfis</t>
  </si>
  <si>
    <t>Dinamômetros</t>
  </si>
  <si>
    <t>Rugosímetros</t>
  </si>
  <si>
    <t>Máquinas para medição tridimensional</t>
  </si>
  <si>
    <t>Metros padrões</t>
  </si>
  <si>
    <t>Aparelhos para análise de têxteis, computadorizados</t>
  </si>
  <si>
    <t>Células de carga</t>
  </si>
  <si>
    <t>Para controle dimensional de pneumáticos, em condições de carga</t>
  </si>
  <si>
    <t xml:space="preserve">Aparelhos digitais, de uso em veículos automóveis, para medida e indicação de múltiplas grandezas tais como: velocidade média, consumos instantâneo e médio e autonomia  computador de bordo </t>
  </si>
  <si>
    <t>De bancos de ensaio</t>
  </si>
  <si>
    <t>De expansão de fluidos</t>
  </si>
  <si>
    <t>Eletrônicos</t>
  </si>
  <si>
    <t xml:space="preserve">De sistemas antibloqueantes de freio  ABS </t>
  </si>
  <si>
    <t>De sistemas de suspensão</t>
  </si>
  <si>
    <t>De sistemas de transmissão</t>
  </si>
  <si>
    <t>De sistemas de ignição</t>
  </si>
  <si>
    <t>De sistemas de injeção</t>
  </si>
  <si>
    <t>Equipamentos digitais para controle de veículos ferroviários</t>
  </si>
  <si>
    <t>De pressão</t>
  </si>
  <si>
    <t>De temperatura</t>
  </si>
  <si>
    <t>De umidade</t>
  </si>
  <si>
    <t>De velocidade de motores elétricos por variação de frequência</t>
  </si>
  <si>
    <t>De termostatos</t>
  </si>
  <si>
    <t>Partes e acessórios não especificados nem compreendidos noutras posições do presente Capítulo, para máquinas, aparelhos, instrumentos ou artigos do Capítulo 90.</t>
  </si>
  <si>
    <t>Com caixa de metal comum</t>
  </si>
  <si>
    <t>Com caixa de plástico, exceto as reforçadas com fibra de vidro</t>
  </si>
  <si>
    <t>Ex 01 - Com caixa de metal comum, mesmo dourado, prateado ou platinado</t>
  </si>
  <si>
    <t>Ex 02 - Com caixa de plásticos sem carga ou reforço de fibras de vidro</t>
  </si>
  <si>
    <t>Relógios para painéis de instrumentos e relógios semelhantes, para automóveis, veículos aéreos, embarcações ou para outros veículos.</t>
  </si>
  <si>
    <t>-Relógios de ponto, relógios datadores e contadores de horas</t>
  </si>
  <si>
    <t>Interruptores horários</t>
  </si>
  <si>
    <t>Para relógios das posições 91.01 ou 91.02</t>
  </si>
  <si>
    <t>--Maquinismos incompletos, montados</t>
  </si>
  <si>
    <t>De latão, em esboço</t>
  </si>
  <si>
    <t>Fundos de metais comuns</t>
  </si>
  <si>
    <t>-De metais comuns, mesmo dourados ou prateados</t>
  </si>
  <si>
    <t>-Molas, incluindo as espirais</t>
  </si>
  <si>
    <t>Coroas</t>
  </si>
  <si>
    <t>Ponteiros</t>
  </si>
  <si>
    <t>Hastes</t>
  </si>
  <si>
    <t>Básculas</t>
  </si>
  <si>
    <t>Eixos e pinhões</t>
  </si>
  <si>
    <t>Rodas</t>
  </si>
  <si>
    <t>Rotores</t>
  </si>
  <si>
    <t>-De cordas, tocados com o auxílio de um arco</t>
  </si>
  <si>
    <t>Instrumentos musicais de percussão  por exemplo, tambores, caixas, xilofones, pratos, castanholas, maracás .</t>
  </si>
  <si>
    <t>Sintetizadores</t>
  </si>
  <si>
    <t>Guitarras e contrabaixos</t>
  </si>
  <si>
    <t>--Partes e acessórios de instrumentos musicais da posição 92.02</t>
  </si>
  <si>
    <t>--Partes e acessórios de instrumentos musicais da posição 92.07</t>
  </si>
  <si>
    <t xml:space="preserve">-Peças de artilharia  por exemplo, canhões, obuses e morteiros </t>
  </si>
  <si>
    <t>-Lança-mísseis, lança-chamas, lança-granadas, lança-torpedos e lançadores semelhantes</t>
  </si>
  <si>
    <t>Revólveres e pistolas, exceto os das posições 93.03 ou 93.04.</t>
  </si>
  <si>
    <t>-Outras espingardas e carabinas de caça ou de tiro ao alvo, com pelo menos um cano liso</t>
  </si>
  <si>
    <t>Ex 01 - Pistolas de sinalização</t>
  </si>
  <si>
    <t>Outras armas  por exemplo, espingardas, carabinas e pistolas, de mola, de ar comprimido ou de gás, cassetetes , exceto as da posição 93.07.</t>
  </si>
  <si>
    <t>-De espingardas ou carabinas da posição 93.03</t>
  </si>
  <si>
    <t>--De armas de guerra da posição 93.01</t>
  </si>
  <si>
    <t>Ex 01 - Partes de cartuchos</t>
  </si>
  <si>
    <t>Ex 01 - Cartuchos sem projétil ou carga de chumbo, para uso técnico, e suas partes</t>
  </si>
  <si>
    <t>Ex 02 - Para pistolas de rebitar ou de usos semelhantes ou para pistolas de êmbolo cativo para abate de animais</t>
  </si>
  <si>
    <t>Sabres, espadas, baionetas, lanças e outras armas brancas, suas partes e bainhas.</t>
  </si>
  <si>
    <t>Ejetáveis</t>
  </si>
  <si>
    <t>Ex 01 - De ônibus</t>
  </si>
  <si>
    <t>Ex 02 - De caminhões</t>
  </si>
  <si>
    <t>Ex 03 - De tratores agrícolas ou de colheitadeiras</t>
  </si>
  <si>
    <t>Ex 04 - De ferro ou aço, dos tipos usados em colheitadeiras</t>
  </si>
  <si>
    <t>De madeira</t>
  </si>
  <si>
    <t>-Cadeiras de dentista, cadeiras para salões de cabeleireiro e cadeiras semelhantes, e suas partes</t>
  </si>
  <si>
    <t>Mesas de operação</t>
  </si>
  <si>
    <t>Camas dotadas de mecanismos para usos clínicos</t>
  </si>
  <si>
    <t>-Móveis de metal, do tipo utilizado em escritórios</t>
  </si>
  <si>
    <t>-Móveis de madeira, do tipo utilizado em escritórios</t>
  </si>
  <si>
    <t>-Móveis de madeira, do tipo utilizado em cozinhas</t>
  </si>
  <si>
    <t>-Móveis de madeira, do tipo utilizado em quartos de dormir</t>
  </si>
  <si>
    <t>--De borracha alveolar ou de plásticos alveolares, mesmo recobertos</t>
  </si>
  <si>
    <t xml:space="preserve">Lâmpadas escialíticas  luzes sem sombra, do tipo utilizado em medicina, cirurgia, odontologia </t>
  </si>
  <si>
    <t>De pedra</t>
  </si>
  <si>
    <t>De vidro</t>
  </si>
  <si>
    <t>De metais comuns</t>
  </si>
  <si>
    <t>-Abajures de cabeceira, de escritório e lampadários de interior, elétricos</t>
  </si>
  <si>
    <t>Ex 01 - Refletores  projetores  de lâmpadas halógenas ou HMI, abertos ou com lentes de Fresnel</t>
  </si>
  <si>
    <t>-Anúncios, cartazes ou tabuletas e placas indicadoras luminosos, e artigos semelhantes</t>
  </si>
  <si>
    <t>Com estrutura de madeira e paredes exteriores constituídas essencialmente dessa matéria</t>
  </si>
  <si>
    <t>Com estrutura de ferro ou aço e paredes exteriores constituídas essencialmente dessas matérias</t>
  </si>
  <si>
    <t>Triciclos, patinetes, carros de pedais e outros brinquedos semelhantes com rodas, carrinhos para bonecos</t>
  </si>
  <si>
    <t>Bonecos, mesmo vestidos, com mecanismo a corda ou elétrico</t>
  </si>
  <si>
    <t>Outros bonecos, mesmo vestidos</t>
  </si>
  <si>
    <t>Partes e acessórios</t>
  </si>
  <si>
    <t>Com enchimento</t>
  </si>
  <si>
    <t>Trens elétricos, incluindo os trilhos, sinais e outros acessórios</t>
  </si>
  <si>
    <t>Modelos reduzidos, mesmo animados, em conjuntos para montagem, exceto os do item 9503.00.40</t>
  </si>
  <si>
    <t>Outros conjuntos e brinquedos, para construção</t>
  </si>
  <si>
    <t xml:space="preserve">Quebra-cabeças  puzzles </t>
  </si>
  <si>
    <t>Outros brinquedos, apresentados em sortidos ou em panóplias</t>
  </si>
  <si>
    <t>Instrumentos e aparelhos musicais, de brinquedo</t>
  </si>
  <si>
    <t>Outros brinquedos, com motor elétrico</t>
  </si>
  <si>
    <t>Outros brinquedos, com motor não elétrico</t>
  </si>
  <si>
    <t>Ex 01 - Gizes</t>
  </si>
  <si>
    <t xml:space="preserve">-Outros jogos que funcionem por introdução de moedas, papéis-moeda, cartões de banco, fichas ou por outros meios de pagamento, exceto os jogos de balizas automáticos  boliche </t>
  </si>
  <si>
    <t>-Consoles e máquinas de jogos de vídeo, exceto os classificados na subposição 9504.30</t>
  </si>
  <si>
    <t>Ex 02 - Máquinas de jogos de vídeo com tela incorporada, portáteis ou não, e suas partes e acessórios</t>
  </si>
  <si>
    <t>Ex 01 - Partes e acessórios dos consoles e das máquinas de jogos de vídeo cujas imagens são reproduzidas numa tela de um receptor de televisão, num monitor ou noutra tela ou superfície externa</t>
  </si>
  <si>
    <t>Jogos de balizas automáticos</t>
  </si>
  <si>
    <t>Ex 01 - Dados e copos para dados</t>
  </si>
  <si>
    <t>Ex 02 - Ficha, marca  escore  ou tento</t>
  </si>
  <si>
    <t>--Raquetes de tênis, mesmo não encordoadas</t>
  </si>
  <si>
    <t>-Patins para gelo e patins de rodas, incluindo os fixados em calçados</t>
  </si>
  <si>
    <t>--Artigos e equipamentos para cultura física, ginástica ou atletismo</t>
  </si>
  <si>
    <t>-Anzóis, mesmo montados em sedelas</t>
  </si>
  <si>
    <t>Ex 01 - Coleções de animais de zoológicos, de circos ou de outras atrações itinerantes</t>
  </si>
  <si>
    <t>Montanha-russa com percurso superior ou igual a 300 m</t>
  </si>
  <si>
    <t>Carrosséis, mesmo dotados de dispositivo de elevação, com diâmetro superior ou igual a 16 m</t>
  </si>
  <si>
    <t>Vagonetes dos tipos utilizados em montanha-russa e similares, com capacidade superior ou igual a 6 pessoas</t>
  </si>
  <si>
    <t>Cápsulas de gelatinas digeríveis</t>
  </si>
  <si>
    <t>Colméias artificiais</t>
  </si>
  <si>
    <t>-Vassouras e escovas constituídas por pequenos ramos ou outras matérias vegetais reunidas em feixes, com ou sem cabo</t>
  </si>
  <si>
    <t>--Escovas de dentes, incluindo as escovas para dentaduras</t>
  </si>
  <si>
    <t>-Pincéis e escovas, para artistas, pincéis de escrever e pincéis semelhantes para aplicação de produtos cosméticos</t>
  </si>
  <si>
    <t>Rolos</t>
  </si>
  <si>
    <t>-Outras escovas que constituam partes de máquinas, aparelhos ou veículos</t>
  </si>
  <si>
    <t>Peneiras e crivos, manuais.</t>
  </si>
  <si>
    <t>Conjuntos de viagem para toucador de pessoas, para costura ou para limpeza de calçados ou de roupas.</t>
  </si>
  <si>
    <t>--De plásticos, não recobertos de matérias têxteis</t>
  </si>
  <si>
    <t>--De metais comuns, não recobertos de matérias têxteis</t>
  </si>
  <si>
    <t>-Formas e outras partes, de botões, esboços de botões</t>
  </si>
  <si>
    <t>-Canetas e marcadores, com ponta de feltro ou com outras pontas porosas</t>
  </si>
  <si>
    <t>-Sortidos de artigos de, pelo menos, duas das subposições precedentes</t>
  </si>
  <si>
    <t>-Cargas com ponta, para canetas esferográficas</t>
  </si>
  <si>
    <t>Pontas porosas para os artigos da subposição 9608.20</t>
  </si>
  <si>
    <t>Lousas e quadros para escrever ou desenhar, mesmo emoldurados.</t>
  </si>
  <si>
    <t>Carimbos, incluindo os datadores e numeradores, sinetes e artigos semelhantes  incluindo os aparelhos para impressão de etiquetas , manuais, dispositivos manuais de composição tipográfica e jogos de impressão manuais que contenham tais dispositivos.</t>
  </si>
  <si>
    <t>Com tinta magnetizável à base de óxido de ferro, para impressão de caracteres</t>
  </si>
  <si>
    <t>Corretivas  tipo cover up , para máquinas de escrever</t>
  </si>
  <si>
    <t>Outras, apresentadas em cartucho, para máquinas de escrever</t>
  </si>
  <si>
    <t>-Isqueiros de bolso, a gás, não recarregáveis</t>
  </si>
  <si>
    <t>-Isqueiros de bolso, a gás, recarregáveis</t>
  </si>
  <si>
    <t>Cachimbos  incluindo os seus fornilhos , piteiras  boquilhas  para charutos ou cigarros, e suas partes.</t>
  </si>
  <si>
    <t>-Vaporizadores de toucador, suas armações e cabeças de armações</t>
  </si>
  <si>
    <t>Garrafas térmicas e outros recipientes isotérmicos</t>
  </si>
  <si>
    <t>Manequins e artigos semelhantes, autômatos e cenas animadas, para vitrines e mostruários.</t>
  </si>
  <si>
    <t>Absorventes e tampões higiênicos, cueiros e fraldas para bebês e artigos higiênicos semelhantes, de qualquer matéria.</t>
  </si>
  <si>
    <t>Ex 01 - Artigos de vestuário, de plástico</t>
  </si>
  <si>
    <t>Ex 02 - Outros artigos higiênicos, de plástico</t>
  </si>
  <si>
    <t>-Quadros, pinturas e desenhos</t>
  </si>
  <si>
    <t>Ex 01 - De flores, botões de flores ou de outras partes de plantas naturais, ervas, musgos e líquens</t>
  </si>
  <si>
    <t>Gravuras, estampas e litografias, originais.</t>
  </si>
  <si>
    <t>Produções originais de arte estatuária ou de escultura, de quaisquer matérias.</t>
  </si>
  <si>
    <t>Selos postais, selos fiscais, marcas postais, envelopes de primeiro dia  first-day covers , inteiros postais e semelhantes, obliterados, ou não obliterados, exceto os artigos da posição 49.07.</t>
  </si>
  <si>
    <t>Coleções e espécimes para coleções, de zoologia, botânica, mineralogia, anatomia, ou apresentando interesse histórico, arqueológico, paleontológico, etnográfico ou numismático.</t>
  </si>
  <si>
    <t>Antiguidades com mais de 100 anos.</t>
  </si>
  <si>
    <t>02072400</t>
  </si>
  <si>
    <t>02072500</t>
  </si>
  <si>
    <t>02072600</t>
  </si>
  <si>
    <t>02072700</t>
  </si>
  <si>
    <t>02074100</t>
  </si>
  <si>
    <t>02074200</t>
  </si>
  <si>
    <t>02074300</t>
  </si>
  <si>
    <t>02074400</t>
  </si>
  <si>
    <t>02074500</t>
  </si>
  <si>
    <t>02075100</t>
  </si>
  <si>
    <t>02075200</t>
  </si>
  <si>
    <t>02075300</t>
  </si>
  <si>
    <t>02075400</t>
  </si>
  <si>
    <t>02075500</t>
  </si>
  <si>
    <t>02076000</t>
  </si>
  <si>
    <t>02081000</t>
  </si>
  <si>
    <t>02083000</t>
  </si>
  <si>
    <t>02084000</t>
  </si>
  <si>
    <t>02085000</t>
  </si>
  <si>
    <t>02086000</t>
  </si>
  <si>
    <t>02089000</t>
  </si>
  <si>
    <t>02091011</t>
  </si>
  <si>
    <t>01012100</t>
  </si>
  <si>
    <t>01012900</t>
  </si>
  <si>
    <t>01013000</t>
  </si>
  <si>
    <t>01019000</t>
  </si>
  <si>
    <t>01022110</t>
  </si>
  <si>
    <t>01022190</t>
  </si>
  <si>
    <t>01022911</t>
  </si>
  <si>
    <t>01022919</t>
  </si>
  <si>
    <t>01022990</t>
  </si>
  <si>
    <t>01023110</t>
  </si>
  <si>
    <t>01023190</t>
  </si>
  <si>
    <t>01023911</t>
  </si>
  <si>
    <t>01023919</t>
  </si>
  <si>
    <t>01023990</t>
  </si>
  <si>
    <t>01029000</t>
  </si>
  <si>
    <t>01031000</t>
  </si>
  <si>
    <t>01039100</t>
  </si>
  <si>
    <t>01039200</t>
  </si>
  <si>
    <t>01041011</t>
  </si>
  <si>
    <t>01041019</t>
  </si>
  <si>
    <t>01041090</t>
  </si>
  <si>
    <t>01042010</t>
  </si>
  <si>
    <t>01042090</t>
  </si>
  <si>
    <t>01051110</t>
  </si>
  <si>
    <t>01051190</t>
  </si>
  <si>
    <t>01051200</t>
  </si>
  <si>
    <t>01051300</t>
  </si>
  <si>
    <t>01051400</t>
  </si>
  <si>
    <t>01051500</t>
  </si>
  <si>
    <t>01059400</t>
  </si>
  <si>
    <t>01059900</t>
  </si>
  <si>
    <t>01061100</t>
  </si>
  <si>
    <t>01061200</t>
  </si>
  <si>
    <t>01061300</t>
  </si>
  <si>
    <t>01061400</t>
  </si>
  <si>
    <t>01061900</t>
  </si>
  <si>
    <t>01062000</t>
  </si>
  <si>
    <t>01063100</t>
  </si>
  <si>
    <t>01063200</t>
  </si>
  <si>
    <t>01063310</t>
  </si>
  <si>
    <t>01063390</t>
  </si>
  <si>
    <t>01063900</t>
  </si>
  <si>
    <t>01064100</t>
  </si>
  <si>
    <t>01064900</t>
  </si>
  <si>
    <t>01069000</t>
  </si>
  <si>
    <t>02011000</t>
  </si>
  <si>
    <t>02012010</t>
  </si>
  <si>
    <t>02012020</t>
  </si>
  <si>
    <t>02012090</t>
  </si>
  <si>
    <t>02013000</t>
  </si>
  <si>
    <t>02021000</t>
  </si>
  <si>
    <t>02022010</t>
  </si>
  <si>
    <t>02022020</t>
  </si>
  <si>
    <t>02022090</t>
  </si>
  <si>
    <t>02023000</t>
  </si>
  <si>
    <t>02031100</t>
  </si>
  <si>
    <t>02031200</t>
  </si>
  <si>
    <t>02031900</t>
  </si>
  <si>
    <t>02032100</t>
  </si>
  <si>
    <t>02032200</t>
  </si>
  <si>
    <t>02032900</t>
  </si>
  <si>
    <t>02041000</t>
  </si>
  <si>
    <t>02042100</t>
  </si>
  <si>
    <t>02042200</t>
  </si>
  <si>
    <t>02042300</t>
  </si>
  <si>
    <t>02043000</t>
  </si>
  <si>
    <t>02044100</t>
  </si>
  <si>
    <t>02044200</t>
  </si>
  <si>
    <t>02044300</t>
  </si>
  <si>
    <t>02045000</t>
  </si>
  <si>
    <t>02050000</t>
  </si>
  <si>
    <t>02061000</t>
  </si>
  <si>
    <t>02062100</t>
  </si>
  <si>
    <t>02062200</t>
  </si>
  <si>
    <t>02062910</t>
  </si>
  <si>
    <t>02062990</t>
  </si>
  <si>
    <t>02063000</t>
  </si>
  <si>
    <t>02064100</t>
  </si>
  <si>
    <t>02064900</t>
  </si>
  <si>
    <t>02068000</t>
  </si>
  <si>
    <t>02069000</t>
  </si>
  <si>
    <t>02071100</t>
  </si>
  <si>
    <t>02071200</t>
  </si>
  <si>
    <t>02071300</t>
  </si>
  <si>
    <t>02071400</t>
  </si>
  <si>
    <t>02091019</t>
  </si>
  <si>
    <t>02091021</t>
  </si>
  <si>
    <t>02091029</t>
  </si>
  <si>
    <t>02099000</t>
  </si>
  <si>
    <t>02101100</t>
  </si>
  <si>
    <t>02101200</t>
  </si>
  <si>
    <t>02101900</t>
  </si>
  <si>
    <t>02102000</t>
  </si>
  <si>
    <t>02109100</t>
  </si>
  <si>
    <t>02109200</t>
  </si>
  <si>
    <t>02109300</t>
  </si>
  <si>
    <t>02109900</t>
  </si>
  <si>
    <t>03011110</t>
  </si>
  <si>
    <t>03011190</t>
  </si>
  <si>
    <t>03011900</t>
  </si>
  <si>
    <t>03019110</t>
  </si>
  <si>
    <t>03019190</t>
  </si>
  <si>
    <t>03019210</t>
  </si>
  <si>
    <t>03019290</t>
  </si>
  <si>
    <t>03019310</t>
  </si>
  <si>
    <t>03019390</t>
  </si>
  <si>
    <t>03019410</t>
  </si>
  <si>
    <t>03019490</t>
  </si>
  <si>
    <t>03019510</t>
  </si>
  <si>
    <t>03019590</t>
  </si>
  <si>
    <t>03019911</t>
  </si>
  <si>
    <t>03019912</t>
  </si>
  <si>
    <t>03019919</t>
  </si>
  <si>
    <t>03019991</t>
  </si>
  <si>
    <t>03019992</t>
  </si>
  <si>
    <t>03019999</t>
  </si>
  <si>
    <t>03021100</t>
  </si>
  <si>
    <t>03021300</t>
  </si>
  <si>
    <t>03021400</t>
  </si>
  <si>
    <t>03021900</t>
  </si>
  <si>
    <t>03022100</t>
  </si>
  <si>
    <t>03022200</t>
  </si>
  <si>
    <t>03022300</t>
  </si>
  <si>
    <t>03022400</t>
  </si>
  <si>
    <t>03022900</t>
  </si>
  <si>
    <t>03023100</t>
  </si>
  <si>
    <t>03023200</t>
  </si>
  <si>
    <t>03023300</t>
  </si>
  <si>
    <t>03023400</t>
  </si>
  <si>
    <t>03023500</t>
  </si>
  <si>
    <t>03023600</t>
  </si>
  <si>
    <t>03023900</t>
  </si>
  <si>
    <t>03024100</t>
  </si>
  <si>
    <t>03024210</t>
  </si>
  <si>
    <t>03024290</t>
  </si>
  <si>
    <t>03024300</t>
  </si>
  <si>
    <t>03024400</t>
  </si>
  <si>
    <t>03024500</t>
  </si>
  <si>
    <t>03024600</t>
  </si>
  <si>
    <t>03024700</t>
  </si>
  <si>
    <t>03025100</t>
  </si>
  <si>
    <t>03025200</t>
  </si>
  <si>
    <t>03025300</t>
  </si>
  <si>
    <t>03025400</t>
  </si>
  <si>
    <t>03025500</t>
  </si>
  <si>
    <t>03025600</t>
  </si>
  <si>
    <t>03025900</t>
  </si>
  <si>
    <t>03027100</t>
  </si>
  <si>
    <t>03027210</t>
  </si>
  <si>
    <t>03027290</t>
  </si>
  <si>
    <t>03027300</t>
  </si>
  <si>
    <t>03027400</t>
  </si>
  <si>
    <t>03027900</t>
  </si>
  <si>
    <t>03028100</t>
  </si>
  <si>
    <t>03028200</t>
  </si>
  <si>
    <t>03028310</t>
  </si>
  <si>
    <t>03028320</t>
  </si>
  <si>
    <t>03028400</t>
  </si>
  <si>
    <t>03028500</t>
  </si>
  <si>
    <t>03028911</t>
  </si>
  <si>
    <t>03028912</t>
  </si>
  <si>
    <t>03028921</t>
  </si>
  <si>
    <t>03028922</t>
  </si>
  <si>
    <t>03028923</t>
  </si>
  <si>
    <t>03028924</t>
  </si>
  <si>
    <t>03028931</t>
  </si>
  <si>
    <t>03028932</t>
  </si>
  <si>
    <t>03028933</t>
  </si>
  <si>
    <t>03028934</t>
  </si>
  <si>
    <t>03028935</t>
  </si>
  <si>
    <t>03028936</t>
  </si>
  <si>
    <t>03028937</t>
  </si>
  <si>
    <t>03028938</t>
  </si>
  <si>
    <t>03028941</t>
  </si>
  <si>
    <t>03028942</t>
  </si>
  <si>
    <t>03028943</t>
  </si>
  <si>
    <t>03028944</t>
  </si>
  <si>
    <t>03028945</t>
  </si>
  <si>
    <t>03028990</t>
  </si>
  <si>
    <t>03029000</t>
  </si>
  <si>
    <t>03031100</t>
  </si>
  <si>
    <t>03031200</t>
  </si>
  <si>
    <t>03031300</t>
  </si>
  <si>
    <t>03031400</t>
  </si>
  <si>
    <t>03031900</t>
  </si>
  <si>
    <t>03032300</t>
  </si>
  <si>
    <t>03032410</t>
  </si>
  <si>
    <t>03032490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</si>
  <si>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</si>
  <si>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</si>
  <si>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</si>
  <si>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</si>
  <si>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</si>
  <si>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</si>
  <si>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</si>
  <si>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</si>
  <si>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</si>
  <si>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</si>
  <si>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</si>
  <si>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</si>
  <si>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</si>
  <si>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</si>
  <si>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</si>
  <si>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</si>
  <si>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</si>
  <si>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</si>
  <si>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</si>
  <si>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</si>
  <si>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</si>
  <si>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03036300</t>
  </si>
  <si>
    <t>03036400</t>
  </si>
  <si>
    <t>03036500</t>
  </si>
  <si>
    <t>03036600</t>
  </si>
  <si>
    <t>03036700</t>
  </si>
  <si>
    <t>03036800</t>
  </si>
  <si>
    <t>03036910</t>
  </si>
  <si>
    <t>03036990</t>
  </si>
  <si>
    <t>03038111</t>
  </si>
  <si>
    <t>03038112</t>
  </si>
  <si>
    <t>03038113</t>
  </si>
  <si>
    <t>03038114</t>
  </si>
  <si>
    <t>03038119</t>
  </si>
  <si>
    <t>03038190</t>
  </si>
  <si>
    <t>03038200</t>
  </si>
  <si>
    <t>03038311</t>
  </si>
  <si>
    <t>03038312</t>
  </si>
  <si>
    <t>03038319</t>
  </si>
  <si>
    <t>03038321</t>
  </si>
  <si>
    <t>03038322</t>
  </si>
  <si>
    <t>03038329</t>
  </si>
  <si>
    <t>03038400</t>
  </si>
  <si>
    <t>03038910</t>
  </si>
  <si>
    <t>03038920</t>
  </si>
  <si>
    <t>03038931</t>
  </si>
  <si>
    <t>03038932</t>
  </si>
  <si>
    <t>03038933</t>
  </si>
  <si>
    <t>03038941</t>
  </si>
  <si>
    <t>03038942</t>
  </si>
  <si>
    <t>03038943</t>
  </si>
  <si>
    <t>03038944</t>
  </si>
  <si>
    <t>03038945</t>
  </si>
  <si>
    <t>03038946</t>
  </si>
  <si>
    <t>03038951</t>
  </si>
  <si>
    <t>03038952</t>
  </si>
  <si>
    <t>03038953</t>
  </si>
  <si>
    <t>03038954</t>
  </si>
  <si>
    <t>03038955</t>
  </si>
  <si>
    <t>03038956</t>
  </si>
  <si>
    <t>03038957</t>
  </si>
  <si>
    <t>03038961</t>
  </si>
  <si>
    <t>03038962</t>
  </si>
  <si>
    <t>03038963</t>
  </si>
  <si>
    <t>03038964</t>
  </si>
  <si>
    <t>03038965</t>
  </si>
  <si>
    <t>03038990</t>
  </si>
  <si>
    <t>03039000</t>
  </si>
  <si>
    <t>03043100</t>
  </si>
  <si>
    <t>03043210</t>
  </si>
  <si>
    <t>03043290</t>
  </si>
  <si>
    <t>03043300</t>
  </si>
  <si>
    <t>03043900</t>
  </si>
  <si>
    <t>03044100</t>
  </si>
  <si>
    <t>03044200</t>
  </si>
  <si>
    <t>03044300</t>
  </si>
  <si>
    <t>03044400</t>
  </si>
  <si>
    <t>03044500</t>
  </si>
  <si>
    <t>03044600</t>
  </si>
  <si>
    <t>03044910</t>
  </si>
  <si>
    <t>03044920</t>
  </si>
  <si>
    <t>03044990</t>
  </si>
  <si>
    <t>03045100</t>
  </si>
  <si>
    <t>03045200</t>
  </si>
  <si>
    <t>03045300</t>
  </si>
  <si>
    <t>03045400</t>
  </si>
  <si>
    <t>03045500</t>
  </si>
  <si>
    <t>03045900</t>
  </si>
  <si>
    <t>03046100</t>
  </si>
  <si>
    <t>03046210</t>
  </si>
  <si>
    <t>03046290</t>
  </si>
  <si>
    <t>03046300</t>
  </si>
  <si>
    <t>03046900</t>
  </si>
  <si>
    <t>03047100</t>
  </si>
  <si>
    <t>03047200</t>
  </si>
  <si>
    <t>03047300</t>
  </si>
  <si>
    <t>03047400</t>
  </si>
  <si>
    <t>03047500</t>
  </si>
  <si>
    <t>03047900</t>
  </si>
  <si>
    <t>03048100</t>
  </si>
  <si>
    <t>03048200</t>
  </si>
  <si>
    <t>03048300</t>
  </si>
  <si>
    <t>03048400</t>
  </si>
  <si>
    <t>03048510</t>
  </si>
  <si>
    <t>03048520</t>
  </si>
  <si>
    <t>03048600</t>
  </si>
  <si>
    <t>03048700</t>
  </si>
  <si>
    <t>03048910</t>
  </si>
  <si>
    <t>03048920</t>
  </si>
  <si>
    <t>03048930</t>
  </si>
  <si>
    <t>03048940</t>
  </si>
  <si>
    <t>03048990</t>
  </si>
  <si>
    <t>03049100</t>
  </si>
  <si>
    <t>03049211</t>
  </si>
  <si>
    <t>03049212</t>
  </si>
  <si>
    <t>03049219</t>
  </si>
  <si>
    <t>03049221</t>
  </si>
  <si>
    <t>03049222</t>
  </si>
  <si>
    <t>03049229</t>
  </si>
  <si>
    <t>03049300</t>
  </si>
  <si>
    <t>03049400</t>
  </si>
  <si>
    <t>03049500</t>
  </si>
  <si>
    <t>03049900</t>
  </si>
  <si>
    <t>03051000</t>
  </si>
  <si>
    <t>03052000</t>
  </si>
  <si>
    <t>03053100</t>
  </si>
  <si>
    <t>03053210</t>
  </si>
  <si>
    <t>03053220</t>
  </si>
  <si>
    <t>03053290</t>
  </si>
  <si>
    <t>03053910</t>
  </si>
  <si>
    <t>03053990</t>
  </si>
  <si>
    <t>03054200</t>
  </si>
  <si>
    <t>03054300</t>
  </si>
  <si>
    <t>03054100</t>
  </si>
  <si>
    <t>03054400</t>
  </si>
  <si>
    <t>03054910</t>
  </si>
  <si>
    <t>03054920</t>
  </si>
  <si>
    <t>03054990</t>
  </si>
  <si>
    <t>03055100</t>
  </si>
  <si>
    <t>03055910</t>
  </si>
  <si>
    <t>03055990</t>
  </si>
  <si>
    <t>03056100</t>
  </si>
  <si>
    <t>03056200</t>
  </si>
  <si>
    <t>03056300</t>
  </si>
  <si>
    <t>03056400</t>
  </si>
  <si>
    <t>03056910</t>
  </si>
  <si>
    <t>03056990</t>
  </si>
  <si>
    <t>03057100</t>
  </si>
  <si>
    <t>03057200</t>
  </si>
  <si>
    <t>03057900</t>
  </si>
  <si>
    <t>03061110</t>
  </si>
  <si>
    <t>03061190</t>
  </si>
  <si>
    <t>03061200</t>
  </si>
  <si>
    <t>03061400</t>
  </si>
  <si>
    <t>03061500</t>
  </si>
  <si>
    <t>03061610</t>
  </si>
  <si>
    <t>03061690</t>
  </si>
  <si>
    <t>03061710</t>
  </si>
  <si>
    <t>03061790</t>
  </si>
  <si>
    <t>03061910</t>
  </si>
  <si>
    <t>03061990</t>
  </si>
  <si>
    <t>03062100</t>
  </si>
  <si>
    <t>03062200</t>
  </si>
  <si>
    <t>03062400</t>
  </si>
  <si>
    <t>03062500</t>
  </si>
  <si>
    <t>03062600</t>
  </si>
  <si>
    <t>03062700</t>
  </si>
  <si>
    <t>03062910</t>
  </si>
  <si>
    <t>03062990</t>
  </si>
  <si>
    <t>03071100</t>
  </si>
  <si>
    <t>03071900</t>
  </si>
  <si>
    <t>03072100</t>
  </si>
  <si>
    <t>03072900</t>
  </si>
  <si>
    <t>03073100</t>
  </si>
  <si>
    <t>03073900</t>
  </si>
  <si>
    <t>03074100</t>
  </si>
  <si>
    <t>03074911</t>
  </si>
  <si>
    <t>03074919</t>
  </si>
  <si>
    <t>03074990</t>
  </si>
  <si>
    <t>03075100</t>
  </si>
  <si>
    <t>03075910</t>
  </si>
  <si>
    <t>03075990</t>
  </si>
  <si>
    <t>03076000</t>
  </si>
  <si>
    <t>03077100</t>
  </si>
  <si>
    <t>03077900</t>
  </si>
  <si>
    <t>03078100</t>
  </si>
  <si>
    <t>03078900</t>
  </si>
  <si>
    <t>03079100</t>
  </si>
  <si>
    <t>03079900</t>
  </si>
  <si>
    <t>03081100</t>
  </si>
  <si>
    <t>03081900</t>
  </si>
  <si>
    <t>03082100</t>
  </si>
  <si>
    <t>03082900</t>
  </si>
  <si>
    <t>03083000</t>
  </si>
  <si>
    <t>03089000</t>
  </si>
  <si>
    <t>04011010</t>
  </si>
  <si>
    <t>04011090</t>
  </si>
  <si>
    <t>04012010</t>
  </si>
  <si>
    <t>04012090</t>
  </si>
  <si>
    <t>04014010</t>
  </si>
  <si>
    <t>04014021</t>
  </si>
  <si>
    <t>04014029</t>
  </si>
  <si>
    <t>04015010</t>
  </si>
  <si>
    <t>04015021</t>
  </si>
  <si>
    <t>04015029</t>
  </si>
  <si>
    <t>04021010</t>
  </si>
  <si>
    <t>04021090</t>
  </si>
  <si>
    <t>04022110</t>
  </si>
  <si>
    <t>04022120</t>
  </si>
  <si>
    <t>04022130</t>
  </si>
  <si>
    <t>04022910</t>
  </si>
  <si>
    <t>04022920</t>
  </si>
  <si>
    <t>04022930</t>
  </si>
  <si>
    <t>04029100</t>
  </si>
  <si>
    <t>04029900</t>
  </si>
  <si>
    <t>04031000</t>
  </si>
  <si>
    <t>04039000</t>
  </si>
  <si>
    <t>04041000</t>
  </si>
  <si>
    <t>04049000</t>
  </si>
  <si>
    <t>04051000</t>
  </si>
  <si>
    <t>04052000</t>
  </si>
  <si>
    <t>04059010</t>
  </si>
  <si>
    <t>04059090</t>
  </si>
  <si>
    <t>04061010</t>
  </si>
  <si>
    <t>04061090</t>
  </si>
  <si>
    <t>04062000</t>
  </si>
  <si>
    <t>04063000</t>
  </si>
  <si>
    <t>04064000</t>
  </si>
  <si>
    <t>04069010</t>
  </si>
  <si>
    <t>04069020</t>
  </si>
  <si>
    <t>04069030</t>
  </si>
  <si>
    <t>04069090</t>
  </si>
  <si>
    <t>04071100</t>
  </si>
  <si>
    <t>04071900</t>
  </si>
  <si>
    <t>04072100</t>
  </si>
  <si>
    <t>04072900</t>
  </si>
  <si>
    <t>04079000</t>
  </si>
  <si>
    <t>04081100</t>
  </si>
  <si>
    <t>04081900</t>
  </si>
  <si>
    <t>04089100</t>
  </si>
  <si>
    <t>04089900</t>
  </si>
  <si>
    <t>04090000</t>
  </si>
  <si>
    <t>04100000</t>
  </si>
  <si>
    <t>05010000</t>
  </si>
  <si>
    <t>05021011</t>
  </si>
  <si>
    <t>05021019</t>
  </si>
  <si>
    <t>05021090</t>
  </si>
  <si>
    <t>05029010</t>
  </si>
  <si>
    <t>05029020</t>
  </si>
  <si>
    <t>05040011</t>
  </si>
  <si>
    <t>05040012</t>
  </si>
  <si>
    <t>05040013</t>
  </si>
  <si>
    <t>05040019</t>
  </si>
  <si>
    <t>05040090</t>
  </si>
  <si>
    <t>05051000</t>
  </si>
  <si>
    <t>05059000</t>
  </si>
  <si>
    <t>06012000</t>
  </si>
  <si>
    <t>05061000</t>
  </si>
  <si>
    <t>05069000</t>
  </si>
  <si>
    <t>05071000</t>
  </si>
  <si>
    <t>05079000</t>
  </si>
  <si>
    <t>05080000</t>
  </si>
  <si>
    <t>05100010</t>
  </si>
  <si>
    <t>05100090</t>
  </si>
  <si>
    <t>05111000</t>
  </si>
  <si>
    <t>05119110</t>
  </si>
  <si>
    <t>05119190</t>
  </si>
  <si>
    <t>05119910</t>
  </si>
  <si>
    <t>05119920</t>
  </si>
  <si>
    <t>05119930</t>
  </si>
  <si>
    <t>05119991</t>
  </si>
  <si>
    <t>05119999</t>
  </si>
  <si>
    <t>06011000</t>
  </si>
  <si>
    <t>06021000</t>
  </si>
  <si>
    <t>06022000</t>
  </si>
  <si>
    <t>06023000</t>
  </si>
  <si>
    <t>06024000</t>
  </si>
  <si>
    <t>06029010</t>
  </si>
  <si>
    <t>06029021</t>
  </si>
  <si>
    <t>06029029</t>
  </si>
  <si>
    <t>06029081</t>
  </si>
  <si>
    <t>06029082</t>
  </si>
  <si>
    <t>06029083</t>
  </si>
  <si>
    <t>06029089</t>
  </si>
  <si>
    <t>06029090</t>
  </si>
  <si>
    <t>06031100</t>
  </si>
  <si>
    <t>06031200</t>
  </si>
  <si>
    <t>06031300</t>
  </si>
  <si>
    <t>06031400</t>
  </si>
  <si>
    <t>06031500</t>
  </si>
  <si>
    <t>06031900</t>
  </si>
  <si>
    <t>06039000</t>
  </si>
  <si>
    <t>06042000</t>
  </si>
  <si>
    <t>06049000</t>
  </si>
  <si>
    <t>07011000</t>
  </si>
  <si>
    <t>07019000</t>
  </si>
  <si>
    <t>07020000</t>
  </si>
  <si>
    <t>07031011</t>
  </si>
  <si>
    <t>07031019</t>
  </si>
  <si>
    <t>07031021</t>
  </si>
  <si>
    <t>07031029</t>
  </si>
  <si>
    <t>07032010</t>
  </si>
  <si>
    <t>07032090</t>
  </si>
  <si>
    <t>07039010</t>
  </si>
  <si>
    <t>07039090</t>
  </si>
  <si>
    <t>07041000</t>
  </si>
  <si>
    <t>07042000</t>
  </si>
  <si>
    <t>07049000</t>
  </si>
  <si>
    <t>07051100</t>
  </si>
  <si>
    <t>07051900</t>
  </si>
  <si>
    <t>07052100</t>
  </si>
  <si>
    <t>07052900</t>
  </si>
  <si>
    <t>07061000</t>
  </si>
  <si>
    <t>07069000</t>
  </si>
  <si>
    <t>07070000</t>
  </si>
  <si>
    <t>07081000</t>
  </si>
  <si>
    <t>07082000</t>
  </si>
  <si>
    <t>07089000</t>
  </si>
  <si>
    <t>07092000</t>
  </si>
  <si>
    <t>07093000</t>
  </si>
  <si>
    <t>07094000</t>
  </si>
  <si>
    <t>07095100</t>
  </si>
  <si>
    <t>07095900</t>
  </si>
  <si>
    <t>07096000</t>
  </si>
  <si>
    <t>07097000</t>
  </si>
  <si>
    <t>07099100</t>
  </si>
  <si>
    <t>07099200</t>
  </si>
  <si>
    <t>07099300</t>
  </si>
  <si>
    <t>07099911</t>
  </si>
  <si>
    <t>07099919</t>
  </si>
  <si>
    <t>07099990</t>
  </si>
  <si>
    <t>07101000</t>
  </si>
  <si>
    <t>07102100</t>
  </si>
  <si>
    <t>07102200</t>
  </si>
  <si>
    <t>07102900</t>
  </si>
  <si>
    <t>07103000</t>
  </si>
  <si>
    <t>07104000</t>
  </si>
  <si>
    <t>07108000</t>
  </si>
  <si>
    <t>07109000</t>
  </si>
  <si>
    <t>07112010</t>
  </si>
  <si>
    <t>07112020</t>
  </si>
  <si>
    <t>07112090</t>
  </si>
  <si>
    <t>07114000</t>
  </si>
  <si>
    <t>07115100</t>
  </si>
  <si>
    <t>07115900</t>
  </si>
  <si>
    <t>07119000</t>
  </si>
  <si>
    <t>07122000</t>
  </si>
  <si>
    <t>07123100</t>
  </si>
  <si>
    <t>07123200</t>
  </si>
  <si>
    <t>07123300</t>
  </si>
  <si>
    <t>07123900</t>
  </si>
  <si>
    <t>07129010</t>
  </si>
  <si>
    <t>07129090</t>
  </si>
  <si>
    <t>07131010</t>
  </si>
  <si>
    <t>07131090</t>
  </si>
  <si>
    <t>07132010</t>
  </si>
  <si>
    <t>07132090</t>
  </si>
  <si>
    <t>07133110</t>
  </si>
  <si>
    <t>07133190</t>
  </si>
  <si>
    <t>07133210</t>
  </si>
  <si>
    <t>07133290</t>
  </si>
  <si>
    <t>07133311</t>
  </si>
  <si>
    <t>07133319</t>
  </si>
  <si>
    <t>07133321</t>
  </si>
  <si>
    <t>07133329</t>
  </si>
  <si>
    <t>07133391</t>
  </si>
  <si>
    <t>07133399</t>
  </si>
  <si>
    <t>07133410</t>
  </si>
  <si>
    <t>07133490</t>
  </si>
  <si>
    <t>07133510</t>
  </si>
  <si>
    <t>07133590</t>
  </si>
  <si>
    <t>07133910</t>
  </si>
  <si>
    <t>07133990</t>
  </si>
  <si>
    <t>07134010</t>
  </si>
  <si>
    <t>07134090</t>
  </si>
  <si>
    <t>07135010</t>
  </si>
  <si>
    <t>07135090</t>
  </si>
  <si>
    <t>07136010</t>
  </si>
  <si>
    <t>07136090</t>
  </si>
  <si>
    <t>07139010</t>
  </si>
  <si>
    <t>07139090</t>
  </si>
  <si>
    <t>07141000</t>
  </si>
  <si>
    <t>07142000</t>
  </si>
  <si>
    <t>07143000</t>
  </si>
  <si>
    <t>07144000</t>
  </si>
  <si>
    <t>07145000</t>
  </si>
  <si>
    <t>07149000</t>
  </si>
  <si>
    <t>08011110</t>
  </si>
  <si>
    <t>08011190</t>
  </si>
  <si>
    <t>08011200</t>
  </si>
  <si>
    <t>08011900</t>
  </si>
  <si>
    <t>08012100</t>
  </si>
  <si>
    <t>08012200</t>
  </si>
  <si>
    <t>08013100</t>
  </si>
  <si>
    <t>08013200</t>
  </si>
  <si>
    <t>08021100</t>
  </si>
  <si>
    <t>08021200</t>
  </si>
  <si>
    <t>08022100</t>
  </si>
  <si>
    <t>08022200</t>
  </si>
  <si>
    <t>08023100</t>
  </si>
  <si>
    <t>08023200</t>
  </si>
  <si>
    <t>08024100</t>
  </si>
  <si>
    <t>08024200</t>
  </si>
  <si>
    <t>08025100</t>
  </si>
  <si>
    <t>08025200</t>
  </si>
  <si>
    <t>08026100</t>
  </si>
  <si>
    <t>08026200</t>
  </si>
  <si>
    <t>08027000</t>
  </si>
  <si>
    <t>08028000</t>
  </si>
  <si>
    <t>08029000</t>
  </si>
  <si>
    <t>08031000</t>
  </si>
  <si>
    <t>08039000</t>
  </si>
  <si>
    <t>08041010</t>
  </si>
  <si>
    <t>08041020</t>
  </si>
  <si>
    <t>08042010</t>
  </si>
  <si>
    <t>08042020</t>
  </si>
  <si>
    <t>08043000</t>
  </si>
  <si>
    <t>08044000</t>
  </si>
  <si>
    <t>08045010</t>
  </si>
  <si>
    <t>08045020</t>
  </si>
  <si>
    <t>08045030</t>
  </si>
  <si>
    <t>08051000</t>
  </si>
  <si>
    <t>08052000</t>
  </si>
  <si>
    <t>08054000</t>
  </si>
  <si>
    <t>08055000</t>
  </si>
  <si>
    <t>08059000</t>
  </si>
  <si>
    <t>08061000</t>
  </si>
  <si>
    <t>08062000</t>
  </si>
  <si>
    <t>08071100</t>
  </si>
  <si>
    <t>08071900</t>
  </si>
  <si>
    <t>08072000</t>
  </si>
  <si>
    <t>08081000</t>
  </si>
  <si>
    <t>08083000</t>
  </si>
  <si>
    <t>08084000</t>
  </si>
  <si>
    <t>08091000</t>
  </si>
  <si>
    <t>08092100</t>
  </si>
  <si>
    <t>08092900</t>
  </si>
  <si>
    <t>08093010</t>
  </si>
  <si>
    <t>08093020</t>
  </si>
  <si>
    <t>08094000</t>
  </si>
  <si>
    <t>08101000</t>
  </si>
  <si>
    <t>08102000</t>
  </si>
  <si>
    <t>08103000</t>
  </si>
  <si>
    <t>08104000</t>
  </si>
  <si>
    <t>08105000</t>
  </si>
  <si>
    <t>08106000</t>
  </si>
  <si>
    <t>08107000</t>
  </si>
  <si>
    <t>08109000</t>
  </si>
  <si>
    <t>08111000</t>
  </si>
  <si>
    <t>08112000</t>
  </si>
  <si>
    <t>08119000</t>
  </si>
  <si>
    <t>08121000</t>
  </si>
  <si>
    <t>08129000</t>
  </si>
  <si>
    <t>08131000</t>
  </si>
  <si>
    <t>08132010</t>
  </si>
  <si>
    <t>08132020</t>
  </si>
  <si>
    <t>08133000</t>
  </si>
  <si>
    <t>08134010</t>
  </si>
  <si>
    <t>08134090</t>
  </si>
  <si>
    <t>08135000</t>
  </si>
  <si>
    <t>08140000</t>
  </si>
  <si>
    <t>09011110</t>
  </si>
  <si>
    <t>09011190</t>
  </si>
  <si>
    <t>09011200</t>
  </si>
  <si>
    <t>09012100</t>
  </si>
  <si>
    <t>09012200</t>
  </si>
  <si>
    <t>09019000</t>
  </si>
  <si>
    <t>09021000</t>
  </si>
  <si>
    <t>09022000</t>
  </si>
  <si>
    <t>09023000</t>
  </si>
  <si>
    <t>09024000</t>
  </si>
  <si>
    <t>09030010</t>
  </si>
  <si>
    <t>09030090</t>
  </si>
  <si>
    <t>09041100</t>
  </si>
  <si>
    <t>09041200</t>
  </si>
  <si>
    <t>09042100</t>
  </si>
  <si>
    <t>09042200</t>
  </si>
  <si>
    <t>09051000</t>
  </si>
  <si>
    <t>09052000</t>
  </si>
  <si>
    <t>09061100</t>
  </si>
  <si>
    <t>09061900</t>
  </si>
  <si>
    <t>09062000</t>
  </si>
  <si>
    <t>09071000</t>
  </si>
  <si>
    <t>09072000</t>
  </si>
  <si>
    <t>09081100</t>
  </si>
  <si>
    <t>09081200</t>
  </si>
  <si>
    <t>09082100</t>
  </si>
  <si>
    <t>09082200</t>
  </si>
  <si>
    <t>09083100</t>
  </si>
  <si>
    <t>09083200</t>
  </si>
  <si>
    <t>09092100</t>
  </si>
  <si>
    <t>09092200</t>
  </si>
  <si>
    <t>09093100</t>
  </si>
  <si>
    <t>09093200</t>
  </si>
  <si>
    <t>09096110</t>
  </si>
  <si>
    <t>09096120</t>
  </si>
  <si>
    <t>09096190</t>
  </si>
  <si>
    <t>09096210</t>
  </si>
  <si>
    <t>09096220</t>
  </si>
  <si>
    <t>09096290</t>
  </si>
  <si>
    <t>09101100</t>
  </si>
  <si>
    <t>09101200</t>
  </si>
  <si>
    <t>09102000</t>
  </si>
  <si>
    <t>09103000</t>
  </si>
  <si>
    <t>09109100</t>
  </si>
  <si>
    <t>09109900</t>
  </si>
  <si>
    <t>10011100</t>
  </si>
  <si>
    <t>10011900</t>
  </si>
  <si>
    <t>10019100</t>
  </si>
  <si>
    <t>10019900</t>
  </si>
  <si>
    <t>10021000</t>
  </si>
  <si>
    <t>10029000</t>
  </si>
  <si>
    <t>10031000</t>
  </si>
  <si>
    <t>10039010</t>
  </si>
  <si>
    <t>10039080</t>
  </si>
  <si>
    <t>10039090</t>
  </si>
  <si>
    <t>10041000</t>
  </si>
  <si>
    <t>10049000</t>
  </si>
  <si>
    <t>10051000</t>
  </si>
  <si>
    <t>10059010</t>
  </si>
  <si>
    <t>10059090</t>
  </si>
  <si>
    <t>10061010</t>
  </si>
  <si>
    <t>10061091</t>
  </si>
  <si>
    <t>10061092</t>
  </si>
  <si>
    <t>10062010</t>
  </si>
  <si>
    <t>10062020</t>
  </si>
  <si>
    <t>10063011</t>
  </si>
  <si>
    <t>10063019</t>
  </si>
  <si>
    <t>10063021</t>
  </si>
  <si>
    <t>10063029</t>
  </si>
  <si>
    <t>10064000</t>
  </si>
  <si>
    <t>10071000</t>
  </si>
  <si>
    <t>10079000</t>
  </si>
  <si>
    <t>10081010</t>
  </si>
  <si>
    <t>10081090</t>
  </si>
  <si>
    <t>10082110</t>
  </si>
  <si>
    <t>10082190</t>
  </si>
  <si>
    <t>10083010</t>
  </si>
  <si>
    <t>10083090</t>
  </si>
  <si>
    <t>10084010</t>
  </si>
  <si>
    <t>10084090</t>
  </si>
  <si>
    <t>10085010</t>
  </si>
  <si>
    <t>10085090</t>
  </si>
  <si>
    <t>10086010</t>
  </si>
  <si>
    <t>10086090</t>
  </si>
  <si>
    <t>10089010</t>
  </si>
  <si>
    <t>10089090</t>
  </si>
  <si>
    <t>11010010</t>
  </si>
  <si>
    <t>11010020</t>
  </si>
  <si>
    <t>11022000</t>
  </si>
  <si>
    <t>11029000</t>
  </si>
  <si>
    <t>11031100</t>
  </si>
  <si>
    <t>11031300</t>
  </si>
  <si>
    <t>11031900</t>
  </si>
  <si>
    <t>11032000</t>
  </si>
  <si>
    <t>11041200</t>
  </si>
  <si>
    <t>11041900</t>
  </si>
  <si>
    <t>11042200</t>
  </si>
  <si>
    <t>11042300</t>
  </si>
  <si>
    <t>11042900</t>
  </si>
  <si>
    <t>11043000</t>
  </si>
  <si>
    <t>11051000</t>
  </si>
  <si>
    <t>11052000</t>
  </si>
  <si>
    <t>11061000</t>
  </si>
  <si>
    <t>11062000</t>
  </si>
  <si>
    <t>11063000</t>
  </si>
  <si>
    <t>11071010</t>
  </si>
  <si>
    <t>11071020</t>
  </si>
  <si>
    <t>11072010</t>
  </si>
  <si>
    <t>11072020</t>
  </si>
  <si>
    <t>11081100</t>
  </si>
  <si>
    <t>11081200</t>
  </si>
  <si>
    <t>11081300</t>
  </si>
  <si>
    <t>11081400</t>
  </si>
  <si>
    <t>11081900</t>
  </si>
  <si>
    <t>11082000</t>
  </si>
  <si>
    <t>11090000</t>
  </si>
  <si>
    <t>12011000</t>
  </si>
  <si>
    <t>12019000</t>
  </si>
  <si>
    <t>12023000</t>
  </si>
  <si>
    <t>12024100</t>
  </si>
  <si>
    <t>12024200</t>
  </si>
  <si>
    <t>12030000</t>
  </si>
  <si>
    <t>12040010</t>
  </si>
  <si>
    <t>12040090</t>
  </si>
  <si>
    <t>12051010</t>
  </si>
  <si>
    <t>12051090</t>
  </si>
  <si>
    <t>12059010</t>
  </si>
  <si>
    <t>12059090</t>
  </si>
  <si>
    <t>12060010</t>
  </si>
  <si>
    <t>12060090</t>
  </si>
  <si>
    <t>12071010</t>
  </si>
  <si>
    <t>12071090</t>
  </si>
  <si>
    <t>12072100</t>
  </si>
  <si>
    <t>12072900</t>
  </si>
  <si>
    <t>12073010</t>
  </si>
  <si>
    <t>12073090</t>
  </si>
  <si>
    <t>12074010</t>
  </si>
  <si>
    <t>12074090</t>
  </si>
  <si>
    <t>12075010</t>
  </si>
  <si>
    <t>12075090</t>
  </si>
  <si>
    <t>12076010</t>
  </si>
  <si>
    <t>12076090</t>
  </si>
  <si>
    <t>12077010</t>
  </si>
  <si>
    <t>12077090</t>
  </si>
  <si>
    <t>12079110</t>
  </si>
  <si>
    <t>12079190</t>
  </si>
  <si>
    <t>12079910</t>
  </si>
  <si>
    <t>12079990</t>
  </si>
  <si>
    <t>12081000</t>
  </si>
  <si>
    <t>12089000</t>
  </si>
  <si>
    <t>12091000</t>
  </si>
  <si>
    <t>12092100</t>
  </si>
  <si>
    <t>12092200</t>
  </si>
  <si>
    <t>12092300</t>
  </si>
  <si>
    <t>12092400</t>
  </si>
  <si>
    <t>12092500</t>
  </si>
  <si>
    <t>12092900</t>
  </si>
  <si>
    <t>12093000</t>
  </si>
  <si>
    <t>12099100</t>
  </si>
  <si>
    <t>12099900</t>
  </si>
  <si>
    <t>12101000</t>
  </si>
  <si>
    <t>12102010</t>
  </si>
  <si>
    <t>12102020</t>
  </si>
  <si>
    <t>12112000</t>
  </si>
  <si>
    <t>12113000</t>
  </si>
  <si>
    <t>12114000</t>
  </si>
  <si>
    <t>12119010</t>
  </si>
  <si>
    <t>12119090</t>
  </si>
  <si>
    <t>12122100</t>
  </si>
  <si>
    <t>12122900</t>
  </si>
  <si>
    <t>12129100</t>
  </si>
  <si>
    <t>12129200</t>
  </si>
  <si>
    <t>12129300</t>
  </si>
  <si>
    <t>12129400</t>
  </si>
  <si>
    <t>12129910</t>
  </si>
  <si>
    <t>12129990</t>
  </si>
  <si>
    <t>12130000</t>
  </si>
  <si>
    <t>12141000</t>
  </si>
  <si>
    <t>12149000</t>
  </si>
  <si>
    <t>13012000</t>
  </si>
  <si>
    <t>13019010</t>
  </si>
  <si>
    <t>13019090</t>
  </si>
  <si>
    <t>13021110</t>
  </si>
  <si>
    <t>13021190</t>
  </si>
  <si>
    <t>13021200</t>
  </si>
  <si>
    <t>13021300</t>
  </si>
  <si>
    <t>13021910</t>
  </si>
  <si>
    <t>13021920</t>
  </si>
  <si>
    <t>13021930</t>
  </si>
  <si>
    <t>13021940</t>
  </si>
  <si>
    <t>13021950</t>
  </si>
  <si>
    <t>13021960</t>
  </si>
  <si>
    <t>13021991</t>
  </si>
  <si>
    <t>13021999</t>
  </si>
  <si>
    <t>13022010</t>
  </si>
  <si>
    <t>13022090</t>
  </si>
  <si>
    <t>13023100</t>
  </si>
  <si>
    <t>13023211</t>
  </si>
  <si>
    <t>13023219</t>
  </si>
  <si>
    <t>13023220</t>
  </si>
  <si>
    <t>13023910</t>
  </si>
  <si>
    <t>13023990</t>
  </si>
  <si>
    <t>14011000</t>
  </si>
  <si>
    <t>14012000</t>
  </si>
  <si>
    <t>14019000</t>
  </si>
  <si>
    <t>14042010</t>
  </si>
  <si>
    <t>14042090</t>
  </si>
  <si>
    <t>14049010</t>
  </si>
  <si>
    <t>14049090</t>
  </si>
  <si>
    <t>15011000</t>
  </si>
  <si>
    <t>15012000</t>
  </si>
  <si>
    <t>15019000</t>
  </si>
  <si>
    <t>15021011</t>
  </si>
  <si>
    <t>15021012</t>
  </si>
  <si>
    <t>15021019</t>
  </si>
  <si>
    <t>15021090</t>
  </si>
  <si>
    <t>15029000</t>
  </si>
  <si>
    <t>15030000</t>
  </si>
  <si>
    <t>15041011</t>
  </si>
  <si>
    <t>15041019</t>
  </si>
  <si>
    <t>15041090</t>
  </si>
  <si>
    <t>15042000</t>
  </si>
  <si>
    <t>15043000</t>
  </si>
  <si>
    <t>15050010</t>
  </si>
  <si>
    <t>15050090</t>
  </si>
  <si>
    <t>15060000</t>
  </si>
  <si>
    <t>15071000</t>
  </si>
  <si>
    <t>15079011</t>
  </si>
  <si>
    <t>15079019</t>
  </si>
  <si>
    <t>15079090</t>
  </si>
  <si>
    <t>15081000</t>
  </si>
  <si>
    <t>15089000</t>
  </si>
  <si>
    <t>15091000</t>
  </si>
  <si>
    <t>15099010</t>
  </si>
  <si>
    <t>15099090</t>
  </si>
  <si>
    <t>15100000</t>
  </si>
  <si>
    <t>15111000</t>
  </si>
  <si>
    <t>15119000</t>
  </si>
  <si>
    <t>15121110</t>
  </si>
  <si>
    <t>15121120</t>
  </si>
  <si>
    <t>15121911</t>
  </si>
  <si>
    <t>15121919</t>
  </si>
  <si>
    <t>15121920</t>
  </si>
  <si>
    <t>15122100</t>
  </si>
  <si>
    <t>15122910</t>
  </si>
  <si>
    <t>15122990</t>
  </si>
  <si>
    <t>15131100</t>
  </si>
  <si>
    <t>15131900</t>
  </si>
  <si>
    <t>15132110</t>
  </si>
  <si>
    <t>15132120</t>
  </si>
  <si>
    <t>15132910</t>
  </si>
  <si>
    <t>15132920</t>
  </si>
  <si>
    <t>15141100</t>
  </si>
  <si>
    <t>15141910</t>
  </si>
  <si>
    <t>15141990</t>
  </si>
  <si>
    <t>15149100</t>
  </si>
  <si>
    <t>15149910</t>
  </si>
  <si>
    <t>15149990</t>
  </si>
  <si>
    <t>15151100</t>
  </si>
  <si>
    <t>15151900</t>
  </si>
  <si>
    <t>15152100</t>
  </si>
  <si>
    <t>15152910</t>
  </si>
  <si>
    <t>15152990</t>
  </si>
  <si>
    <t>15153000</t>
  </si>
  <si>
    <t>15155000</t>
  </si>
  <si>
    <t>15159010</t>
  </si>
  <si>
    <t>15159021</t>
  </si>
  <si>
    <t>15159022</t>
  </si>
  <si>
    <t>15159090</t>
  </si>
  <si>
    <t>15161000</t>
  </si>
  <si>
    <t>15162000</t>
  </si>
  <si>
    <t>15171000</t>
  </si>
  <si>
    <t>15179010</t>
  </si>
  <si>
    <t>15179090</t>
  </si>
  <si>
    <t>15180010</t>
  </si>
  <si>
    <t>15180090</t>
  </si>
  <si>
    <t>15200010</t>
  </si>
  <si>
    <t>15200020</t>
  </si>
  <si>
    <t>15211000</t>
  </si>
  <si>
    <t>15219011</t>
  </si>
  <si>
    <t>15219019</t>
  </si>
  <si>
    <t>15219090</t>
  </si>
  <si>
    <t>15220000</t>
  </si>
  <si>
    <t>16010000</t>
  </si>
  <si>
    <t>16021000</t>
  </si>
  <si>
    <t>16022000</t>
  </si>
  <si>
    <t>16023100</t>
  </si>
  <si>
    <t>16023210</t>
  </si>
  <si>
    <t>16023220</t>
  </si>
  <si>
    <t>16023230</t>
  </si>
  <si>
    <t>16023290</t>
  </si>
  <si>
    <t>16023900</t>
  </si>
  <si>
    <t>16024100</t>
  </si>
  <si>
    <t>16024200</t>
  </si>
  <si>
    <t>16024900</t>
  </si>
  <si>
    <t>16025000</t>
  </si>
  <si>
    <t>16029000</t>
  </si>
  <si>
    <t>16030000</t>
  </si>
  <si>
    <t>16041100</t>
  </si>
  <si>
    <t>16041200</t>
  </si>
  <si>
    <t>16041310</t>
  </si>
  <si>
    <t>16041390</t>
  </si>
  <si>
    <t>16041410</t>
  </si>
  <si>
    <t>16041420</t>
  </si>
  <si>
    <t>16041430</t>
  </si>
  <si>
    <t>16041500</t>
  </si>
  <si>
    <t>16041600</t>
  </si>
  <si>
    <t>16041700</t>
  </si>
  <si>
    <t>16041900</t>
  </si>
  <si>
    <t>16042010</t>
  </si>
  <si>
    <t>16042020</t>
  </si>
  <si>
    <t>16042030</t>
  </si>
  <si>
    <t>16042090</t>
  </si>
  <si>
    <t>16043100</t>
  </si>
  <si>
    <t>16043200</t>
  </si>
  <si>
    <t>16051000</t>
  </si>
  <si>
    <t>16052100</t>
  </si>
  <si>
    <t>16052900</t>
  </si>
  <si>
    <t>16053000</t>
  </si>
  <si>
    <t>16054000</t>
  </si>
  <si>
    <t>16055100</t>
  </si>
  <si>
    <t>16055200</t>
  </si>
  <si>
    <t>16055300</t>
  </si>
  <si>
    <t>16055400</t>
  </si>
  <si>
    <t>16055500</t>
  </si>
  <si>
    <t>16055600</t>
  </si>
  <si>
    <t>16055700</t>
  </si>
  <si>
    <t>16055800</t>
  </si>
  <si>
    <t>16055900</t>
  </si>
  <si>
    <t>16056100</t>
  </si>
  <si>
    <t>16056200</t>
  </si>
  <si>
    <t>16056300</t>
  </si>
  <si>
    <t>16056900</t>
  </si>
  <si>
    <t>17011200</t>
  </si>
  <si>
    <t>17011300</t>
  </si>
  <si>
    <t>17011400</t>
  </si>
  <si>
    <t>17019100</t>
  </si>
  <si>
    <t>17019900</t>
  </si>
  <si>
    <t>17021100</t>
  </si>
  <si>
    <t>17021900</t>
  </si>
  <si>
    <t>17022000</t>
  </si>
  <si>
    <t>17023011</t>
  </si>
  <si>
    <t>17023019</t>
  </si>
  <si>
    <t>17023020</t>
  </si>
  <si>
    <t>17024010</t>
  </si>
  <si>
    <t>17024020</t>
  </si>
  <si>
    <t>17025000</t>
  </si>
  <si>
    <t>17026010</t>
  </si>
  <si>
    <t>17026020</t>
  </si>
  <si>
    <t>17029000</t>
  </si>
  <si>
    <t>17031000</t>
  </si>
  <si>
    <t>17039000</t>
  </si>
  <si>
    <t>17041000</t>
  </si>
  <si>
    <t>17049010</t>
  </si>
  <si>
    <t>17049020</t>
  </si>
  <si>
    <t>17049090</t>
  </si>
  <si>
    <t>18010000</t>
  </si>
  <si>
    <t>18020000</t>
  </si>
  <si>
    <t>18031000</t>
  </si>
  <si>
    <t>18032000</t>
  </si>
  <si>
    <t>18040000</t>
  </si>
  <si>
    <t>18050000</t>
  </si>
  <si>
    <t>18061000</t>
  </si>
  <si>
    <t>18062000</t>
  </si>
  <si>
    <t>18063110</t>
  </si>
  <si>
    <t>18063120</t>
  </si>
  <si>
    <t>18063210</t>
  </si>
  <si>
    <t>18063220</t>
  </si>
  <si>
    <t>18069000</t>
  </si>
  <si>
    <t>19011010</t>
  </si>
  <si>
    <t>19011020</t>
  </si>
  <si>
    <t>19011030</t>
  </si>
  <si>
    <t>19011090</t>
  </si>
  <si>
    <t>19012000</t>
  </si>
  <si>
    <t>19019010</t>
  </si>
  <si>
    <t>19019020</t>
  </si>
  <si>
    <t>19019090</t>
  </si>
  <si>
    <t>19021100</t>
  </si>
  <si>
    <t>19021900</t>
  </si>
  <si>
    <t>19022000</t>
  </si>
  <si>
    <t>19023000</t>
  </si>
  <si>
    <t>19024000</t>
  </si>
  <si>
    <t>19030000</t>
  </si>
  <si>
    <t>19041000</t>
  </si>
  <si>
    <t>19042000</t>
  </si>
  <si>
    <t>19043000</t>
  </si>
  <si>
    <t>19049000</t>
  </si>
  <si>
    <t>19051000</t>
  </si>
  <si>
    <t>19052010</t>
  </si>
  <si>
    <t>19052090</t>
  </si>
  <si>
    <t>19053100</t>
  </si>
  <si>
    <t>19053200</t>
  </si>
  <si>
    <t>19054000</t>
  </si>
  <si>
    <t>19059010</t>
  </si>
  <si>
    <t>19059020</t>
  </si>
  <si>
    <t>19059090</t>
  </si>
  <si>
    <t>20011000</t>
  </si>
  <si>
    <t>20019000</t>
  </si>
  <si>
    <t>20021000</t>
  </si>
  <si>
    <t>20029010</t>
  </si>
  <si>
    <t>20029090</t>
  </si>
  <si>
    <t>20031000</t>
  </si>
  <si>
    <t>20039000</t>
  </si>
  <si>
    <t>20041000</t>
  </si>
  <si>
    <t>20049000</t>
  </si>
  <si>
    <t>20051000</t>
  </si>
  <si>
    <t>20052000</t>
  </si>
  <si>
    <t>20054000</t>
  </si>
  <si>
    <t>20055100</t>
  </si>
  <si>
    <t>20055900</t>
  </si>
  <si>
    <t>20056000</t>
  </si>
  <si>
    <t>20057000</t>
  </si>
  <si>
    <t>20058000</t>
  </si>
  <si>
    <t>20059100</t>
  </si>
  <si>
    <t>20059900</t>
  </si>
  <si>
    <t>20060000</t>
  </si>
  <si>
    <t>20071000</t>
  </si>
  <si>
    <t>20079100</t>
  </si>
  <si>
    <t>20079910</t>
  </si>
  <si>
    <t>20079990</t>
  </si>
  <si>
    <t>20081100</t>
  </si>
  <si>
    <t>20081900</t>
  </si>
  <si>
    <t>20082010</t>
  </si>
  <si>
    <t>20082090</t>
  </si>
  <si>
    <t>20083000</t>
  </si>
  <si>
    <t>20084010</t>
  </si>
  <si>
    <t>20084090</t>
  </si>
  <si>
    <t>20085000</t>
  </si>
  <si>
    <t>20086010</t>
  </si>
  <si>
    <t>20086090</t>
  </si>
  <si>
    <t>20087010</t>
  </si>
  <si>
    <t>20087020</t>
  </si>
  <si>
    <t>20087090</t>
  </si>
  <si>
    <t>20088000</t>
  </si>
  <si>
    <t>20089100</t>
  </si>
  <si>
    <t>20089300</t>
  </si>
  <si>
    <t>20089710</t>
  </si>
  <si>
    <t>20089790</t>
  </si>
  <si>
    <t>20089900</t>
  </si>
  <si>
    <t>20091100</t>
  </si>
  <si>
    <t>20091200</t>
  </si>
  <si>
    <t>20091900</t>
  </si>
  <si>
    <t>20092100</t>
  </si>
  <si>
    <t>20092900</t>
  </si>
  <si>
    <t>20093100</t>
  </si>
  <si>
    <t>20093900</t>
  </si>
  <si>
    <t>20094100</t>
  </si>
  <si>
    <t>20094900</t>
  </si>
  <si>
    <t>20095000</t>
  </si>
  <si>
    <t>20096100</t>
  </si>
  <si>
    <t>20096900</t>
  </si>
  <si>
    <t>20097100</t>
  </si>
  <si>
    <t>20097900</t>
  </si>
  <si>
    <t>20098100</t>
  </si>
  <si>
    <t>20098910</t>
  </si>
  <si>
    <t>20098990</t>
  </si>
  <si>
    <t>20099000</t>
  </si>
  <si>
    <t>21011110</t>
  </si>
  <si>
    <t>21011190</t>
  </si>
  <si>
    <t>21011200</t>
  </si>
  <si>
    <t>21012010</t>
  </si>
  <si>
    <t>21012020</t>
  </si>
  <si>
    <t>21013000</t>
  </si>
  <si>
    <t>21021010</t>
  </si>
  <si>
    <t>21021090</t>
  </si>
  <si>
    <t>21022000</t>
  </si>
  <si>
    <t>21023000</t>
  </si>
  <si>
    <t>21031010</t>
  </si>
  <si>
    <t>21031090</t>
  </si>
  <si>
    <t>21032010</t>
  </si>
  <si>
    <t>21032090</t>
  </si>
  <si>
    <t>21033010</t>
  </si>
  <si>
    <t>21033021</t>
  </si>
  <si>
    <t>21033029</t>
  </si>
  <si>
    <t>21039011</t>
  </si>
  <si>
    <t>21039019</t>
  </si>
  <si>
    <t>21039021</t>
  </si>
  <si>
    <t>21039029</t>
  </si>
  <si>
    <t>21039091</t>
  </si>
  <si>
    <t>21039099</t>
  </si>
  <si>
    <t>21041011</t>
  </si>
  <si>
    <t>21041019</t>
  </si>
  <si>
    <t>21041021</t>
  </si>
  <si>
    <t>21041029</t>
  </si>
  <si>
    <t>21042000</t>
  </si>
  <si>
    <t>21050010</t>
  </si>
  <si>
    <t>21050090</t>
  </si>
  <si>
    <t>21061000</t>
  </si>
  <si>
    <t>21069010</t>
  </si>
  <si>
    <t>21069021</t>
  </si>
  <si>
    <t>21069029</t>
  </si>
  <si>
    <t>21069030</t>
  </si>
  <si>
    <t>21069040</t>
  </si>
  <si>
    <t>21069050</t>
  </si>
  <si>
    <t>21069060</t>
  </si>
  <si>
    <t>21069090</t>
  </si>
  <si>
    <t>22011000</t>
  </si>
  <si>
    <t>22019000</t>
  </si>
  <si>
    <t>22021000</t>
  </si>
  <si>
    <t>22029000</t>
  </si>
  <si>
    <t>22030000</t>
  </si>
  <si>
    <t>22041010</t>
  </si>
  <si>
    <t>22041090</t>
  </si>
  <si>
    <t>22042100</t>
  </si>
  <si>
    <t>22042911</t>
  </si>
  <si>
    <t>22042919</t>
  </si>
  <si>
    <t>22042920</t>
  </si>
  <si>
    <t>22043000</t>
  </si>
  <si>
    <t>22051000</t>
  </si>
  <si>
    <t>22059000</t>
  </si>
  <si>
    <t>22060010</t>
  </si>
  <si>
    <t>22060090</t>
  </si>
  <si>
    <t>22071010</t>
  </si>
  <si>
    <t>22071090</t>
  </si>
  <si>
    <t>22072011</t>
  </si>
  <si>
    <t>22072019</t>
  </si>
  <si>
    <t>22072020</t>
  </si>
  <si>
    <t>22082000</t>
  </si>
  <si>
    <t>22083010</t>
  </si>
  <si>
    <t>22083020</t>
  </si>
  <si>
    <t>22083090</t>
  </si>
  <si>
    <t>22084000</t>
  </si>
  <si>
    <t>22085000</t>
  </si>
  <si>
    <t>22086000</t>
  </si>
  <si>
    <t>22087000</t>
  </si>
  <si>
    <t>22089000</t>
  </si>
  <si>
    <t>22090000</t>
  </si>
  <si>
    <t>23011010</t>
  </si>
  <si>
    <t>23011090</t>
  </si>
  <si>
    <t>23012010</t>
  </si>
  <si>
    <t>23012090</t>
  </si>
  <si>
    <t>23021000</t>
  </si>
  <si>
    <t>23023010</t>
  </si>
  <si>
    <t>23023090</t>
  </si>
  <si>
    <t>23024000</t>
  </si>
  <si>
    <t>23025000</t>
  </si>
  <si>
    <t>23031000</t>
  </si>
  <si>
    <t>23032000</t>
  </si>
  <si>
    <t>23033000</t>
  </si>
  <si>
    <t>23040010</t>
  </si>
  <si>
    <t>23040090</t>
  </si>
  <si>
    <t>23050000</t>
  </si>
  <si>
    <t>23061000</t>
  </si>
  <si>
    <t>23062000</t>
  </si>
  <si>
    <t>23063010</t>
  </si>
  <si>
    <t>23063090</t>
  </si>
  <si>
    <t>23064100</t>
  </si>
  <si>
    <t>23064900</t>
  </si>
  <si>
    <t>23065000</t>
  </si>
  <si>
    <t>23066000</t>
  </si>
  <si>
    <t>23069010</t>
  </si>
  <si>
    <t>23069090</t>
  </si>
  <si>
    <t>23070000</t>
  </si>
  <si>
    <t>23080000</t>
  </si>
  <si>
    <t>23091000</t>
  </si>
  <si>
    <t>23099010</t>
  </si>
  <si>
    <t>23099020</t>
  </si>
  <si>
    <t>23099030</t>
  </si>
  <si>
    <t>23099040</t>
  </si>
  <si>
    <t>23099050</t>
  </si>
  <si>
    <t>23099060</t>
  </si>
  <si>
    <t>23099090</t>
  </si>
  <si>
    <t>24011010</t>
  </si>
  <si>
    <t>24011020</t>
  </si>
  <si>
    <t>24011030</t>
  </si>
  <si>
    <t>24011040</t>
  </si>
  <si>
    <t>24011090</t>
  </si>
  <si>
    <t>24012010</t>
  </si>
  <si>
    <t>24012020</t>
  </si>
  <si>
    <t>24012030</t>
  </si>
  <si>
    <t>24012040</t>
  </si>
  <si>
    <t>24012090</t>
  </si>
  <si>
    <t>24013000</t>
  </si>
  <si>
    <t>24021000</t>
  </si>
  <si>
    <t>24022000</t>
  </si>
  <si>
    <t>24029000</t>
  </si>
  <si>
    <t>24031100</t>
  </si>
  <si>
    <t>24031900</t>
  </si>
  <si>
    <t>24039100</t>
  </si>
  <si>
    <t>24039910</t>
  </si>
  <si>
    <t>24039990</t>
  </si>
  <si>
    <t>25010011</t>
  </si>
  <si>
    <t>25010019</t>
  </si>
  <si>
    <t>25010020</t>
  </si>
  <si>
    <t>25010090</t>
  </si>
  <si>
    <t>25020000</t>
  </si>
  <si>
    <t>25030010</t>
  </si>
  <si>
    <t>25030090</t>
  </si>
  <si>
    <t>25041000</t>
  </si>
  <si>
    <t>25049000</t>
  </si>
  <si>
    <t>25051000</t>
  </si>
  <si>
    <t>25059000</t>
  </si>
  <si>
    <t>25061000</t>
  </si>
  <si>
    <t>25062000</t>
  </si>
  <si>
    <t>25070010</t>
  </si>
  <si>
    <t>25070090</t>
  </si>
  <si>
    <t>25081000</t>
  </si>
  <si>
    <t>25083000</t>
  </si>
  <si>
    <t>25084010</t>
  </si>
  <si>
    <t>25084090</t>
  </si>
  <si>
    <t>25085000</t>
  </si>
  <si>
    <t>25086000</t>
  </si>
  <si>
    <t>25087000</t>
  </si>
  <si>
    <t>25090000</t>
  </si>
  <si>
    <t>25101010</t>
  </si>
  <si>
    <t>25101090</t>
  </si>
  <si>
    <t>25102010</t>
  </si>
  <si>
    <t>25102090</t>
  </si>
  <si>
    <t>25111000</t>
  </si>
  <si>
    <t>25112000</t>
  </si>
  <si>
    <t>25120000</t>
  </si>
  <si>
    <t>25131000</t>
  </si>
  <si>
    <t>25132000</t>
  </si>
  <si>
    <t>25140000</t>
  </si>
  <si>
    <t>25151100</t>
  </si>
  <si>
    <t>25151210</t>
  </si>
  <si>
    <t>25151220</t>
  </si>
  <si>
    <t>25152000</t>
  </si>
  <si>
    <t>25161100</t>
  </si>
  <si>
    <t>25161200</t>
  </si>
  <si>
    <t>25162000</t>
  </si>
  <si>
    <t>25169000</t>
  </si>
  <si>
    <t>25172000</t>
  </si>
  <si>
    <t>25171000</t>
  </si>
  <si>
    <t>25173000</t>
  </si>
  <si>
    <t>25174100</t>
  </si>
  <si>
    <t>25174900</t>
  </si>
  <si>
    <t>25181000</t>
  </si>
  <si>
    <t>25182000</t>
  </si>
  <si>
    <t>25183000</t>
  </si>
  <si>
    <t>25191000</t>
  </si>
  <si>
    <t>25199010</t>
  </si>
  <si>
    <t>25199090</t>
  </si>
  <si>
    <t>25201011</t>
  </si>
  <si>
    <t>25201019</t>
  </si>
  <si>
    <t>25201020</t>
  </si>
  <si>
    <t>25202010</t>
  </si>
  <si>
    <t>25202090</t>
  </si>
  <si>
    <t>25210000</t>
  </si>
  <si>
    <t>25221000</t>
  </si>
  <si>
    <t>25222000</t>
  </si>
  <si>
    <t>25223000</t>
  </si>
  <si>
    <t>25231000</t>
  </si>
  <si>
    <t>25232100</t>
  </si>
  <si>
    <t>25232910</t>
  </si>
  <si>
    <t>25232990</t>
  </si>
  <si>
    <t>25233000</t>
  </si>
  <si>
    <t>25239000</t>
  </si>
  <si>
    <t>25241000</t>
  </si>
  <si>
    <t>25249000</t>
  </si>
  <si>
    <t>25251000</t>
  </si>
  <si>
    <t>25252000</t>
  </si>
  <si>
    <t>25253000</t>
  </si>
  <si>
    <t>25261000</t>
  </si>
  <si>
    <t>25262000</t>
  </si>
  <si>
    <t>25280000</t>
  </si>
  <si>
    <t>25291000</t>
  </si>
  <si>
    <t>25292100</t>
  </si>
  <si>
    <t>25292200</t>
  </si>
  <si>
    <t>25293000</t>
  </si>
  <si>
    <t>25301010</t>
  </si>
  <si>
    <t>25301090</t>
  </si>
  <si>
    <t>25302000</t>
  </si>
  <si>
    <t>25309010</t>
  </si>
  <si>
    <t>25309020</t>
  </si>
  <si>
    <t>25309030</t>
  </si>
  <si>
    <t>25309040</t>
  </si>
  <si>
    <t>25309090</t>
  </si>
  <si>
    <t>26011100</t>
  </si>
  <si>
    <t>26011200</t>
  </si>
  <si>
    <t>26012000</t>
  </si>
  <si>
    <t>26020010</t>
  </si>
  <si>
    <t>26020090</t>
  </si>
  <si>
    <t>26030010</t>
  </si>
  <si>
    <t>26030090</t>
  </si>
  <si>
    <t>26040000</t>
  </si>
  <si>
    <t>26050000</t>
  </si>
  <si>
    <t>26060011</t>
  </si>
  <si>
    <t>26060012</t>
  </si>
  <si>
    <t>26060090</t>
  </si>
  <si>
    <t>26070000</t>
  </si>
  <si>
    <t>26080010</t>
  </si>
  <si>
    <t>26080090</t>
  </si>
  <si>
    <t>26090000</t>
  </si>
  <si>
    <t>26100010</t>
  </si>
  <si>
    <t>26100090</t>
  </si>
  <si>
    <t>26110000</t>
  </si>
  <si>
    <t>26121000</t>
  </si>
  <si>
    <t>26122000</t>
  </si>
  <si>
    <t>26131010</t>
  </si>
  <si>
    <t>26131090</t>
  </si>
  <si>
    <t>26139010</t>
  </si>
  <si>
    <t>26139090</t>
  </si>
  <si>
    <t>26140010</t>
  </si>
  <si>
    <t>26140090</t>
  </si>
  <si>
    <t>26151010</t>
  </si>
  <si>
    <t>26151020</t>
  </si>
  <si>
    <t>26151090</t>
  </si>
  <si>
    <t>26159000</t>
  </si>
  <si>
    <t>26161000</t>
  </si>
  <si>
    <t>26169000</t>
  </si>
  <si>
    <t>26171000</t>
  </si>
  <si>
    <t>26179000</t>
  </si>
  <si>
    <t>26180000</t>
  </si>
  <si>
    <t>26190000</t>
  </si>
  <si>
    <t>26201100</t>
  </si>
  <si>
    <t>26201900</t>
  </si>
  <si>
    <t>26202100</t>
  </si>
  <si>
    <t>26202900</t>
  </si>
  <si>
    <t>26203000</t>
  </si>
  <si>
    <t>26204000</t>
  </si>
  <si>
    <t>26206000</t>
  </si>
  <si>
    <t>26209100</t>
  </si>
  <si>
    <t>26209910</t>
  </si>
  <si>
    <t>26209990</t>
  </si>
  <si>
    <t>26211000</t>
  </si>
  <si>
    <t>26219010</t>
  </si>
  <si>
    <t>26219090</t>
  </si>
  <si>
    <t>27011100</t>
  </si>
  <si>
    <t>27011200</t>
  </si>
  <si>
    <t>27011900</t>
  </si>
  <si>
    <t>27012000</t>
  </si>
  <si>
    <t>27021000</t>
  </si>
  <si>
    <t>27022000</t>
  </si>
  <si>
    <t>27030000</t>
  </si>
  <si>
    <t>27040010</t>
  </si>
  <si>
    <t>27040090</t>
  </si>
  <si>
    <t>27050000</t>
  </si>
  <si>
    <t>27060000</t>
  </si>
  <si>
    <t>27071000</t>
  </si>
  <si>
    <t>27072000</t>
  </si>
  <si>
    <t>27073000</t>
  </si>
  <si>
    <t>27074000</t>
  </si>
  <si>
    <t>27075000</t>
  </si>
  <si>
    <t>27079100</t>
  </si>
  <si>
    <t>27079910</t>
  </si>
  <si>
    <t>27079990</t>
  </si>
  <si>
    <t>27081000</t>
  </si>
  <si>
    <t>27082000</t>
  </si>
  <si>
    <t>27090010</t>
  </si>
  <si>
    <t>27090090</t>
  </si>
  <si>
    <t>27101210</t>
  </si>
  <si>
    <t>27101221</t>
  </si>
  <si>
    <t>27101229</t>
  </si>
  <si>
    <t>27101230</t>
  </si>
  <si>
    <t>27101241</t>
  </si>
  <si>
    <t>27101249</t>
  </si>
  <si>
    <t>27101251</t>
  </si>
  <si>
    <t>27101259</t>
  </si>
  <si>
    <t>27101260</t>
  </si>
  <si>
    <t>27101290</t>
  </si>
  <si>
    <t>27101911</t>
  </si>
  <si>
    <t>27101919</t>
  </si>
  <si>
    <t>27101921</t>
  </si>
  <si>
    <t>27101922</t>
  </si>
  <si>
    <t>27101929</t>
  </si>
  <si>
    <t>27101931</t>
  </si>
  <si>
    <t>27101932</t>
  </si>
  <si>
    <t>27101991</t>
  </si>
  <si>
    <t>27101992</t>
  </si>
  <si>
    <t>27101993</t>
  </si>
  <si>
    <t>27131100</t>
  </si>
  <si>
    <t>27131200</t>
  </si>
  <si>
    <t>27132000</t>
  </si>
  <si>
    <t>27101994</t>
  </si>
  <si>
    <t>27101999</t>
  </si>
  <si>
    <t>27102000</t>
  </si>
  <si>
    <t>27109100</t>
  </si>
  <si>
    <t>27109900</t>
  </si>
  <si>
    <t>27111100</t>
  </si>
  <si>
    <t>27111210</t>
  </si>
  <si>
    <t>27111290</t>
  </si>
  <si>
    <t>27111300</t>
  </si>
  <si>
    <t>27111400</t>
  </si>
  <si>
    <t>27111910</t>
  </si>
  <si>
    <t>27111990</t>
  </si>
  <si>
    <t>27112100</t>
  </si>
  <si>
    <t>27112910</t>
  </si>
  <si>
    <t>27112990</t>
  </si>
  <si>
    <t>27121000</t>
  </si>
  <si>
    <t>27122000</t>
  </si>
  <si>
    <t>27129000</t>
  </si>
  <si>
    <t>27139000</t>
  </si>
  <si>
    <t>27141000</t>
  </si>
  <si>
    <t>27149000</t>
  </si>
  <si>
    <t>27150000</t>
  </si>
  <si>
    <t>27160000</t>
  </si>
  <si>
    <t>28011000</t>
  </si>
  <si>
    <t>28012010</t>
  </si>
  <si>
    <t>28012090</t>
  </si>
  <si>
    <t>28013000</t>
  </si>
  <si>
    <t>28020000</t>
  </si>
  <si>
    <t>28030011</t>
  </si>
  <si>
    <t>28030019</t>
  </si>
  <si>
    <t>28030090</t>
  </si>
  <si>
    <t>28041000</t>
  </si>
  <si>
    <t>28042100</t>
  </si>
  <si>
    <t>28042910</t>
  </si>
  <si>
    <t>28042990</t>
  </si>
  <si>
    <t>28043000</t>
  </si>
  <si>
    <t>28044000</t>
  </si>
  <si>
    <t>28045000</t>
  </si>
  <si>
    <t>28046100</t>
  </si>
  <si>
    <t>28046900</t>
  </si>
  <si>
    <t>28047010</t>
  </si>
  <si>
    <t>28047020</t>
  </si>
  <si>
    <t>28047030</t>
  </si>
  <si>
    <t>28048000</t>
  </si>
  <si>
    <t>28049000</t>
  </si>
  <si>
    <t>28051100</t>
  </si>
  <si>
    <t>28051200</t>
  </si>
  <si>
    <t>28051910</t>
  </si>
  <si>
    <t>28051920</t>
  </si>
  <si>
    <t>28051990</t>
  </si>
  <si>
    <t>28053010</t>
  </si>
  <si>
    <t>28053090</t>
  </si>
  <si>
    <t>28054000</t>
  </si>
  <si>
    <t>28061010</t>
  </si>
  <si>
    <t>28061020</t>
  </si>
  <si>
    <t>28062000</t>
  </si>
  <si>
    <t>28070010</t>
  </si>
  <si>
    <t>28070020</t>
  </si>
  <si>
    <t>28080010</t>
  </si>
  <si>
    <t>28080020</t>
  </si>
  <si>
    <t>28091000</t>
  </si>
  <si>
    <t>28092011</t>
  </si>
  <si>
    <t>28092019</t>
  </si>
  <si>
    <t>28092020</t>
  </si>
  <si>
    <t>28092030</t>
  </si>
  <si>
    <t>28092090</t>
  </si>
  <si>
    <t>28100010</t>
  </si>
  <si>
    <t>28100090</t>
  </si>
  <si>
    <t>28111100</t>
  </si>
  <si>
    <t>28111910</t>
  </si>
  <si>
    <t>28111920</t>
  </si>
  <si>
    <t>28111930</t>
  </si>
  <si>
    <t>28111940</t>
  </si>
  <si>
    <t>28111950</t>
  </si>
  <si>
    <t>28111990</t>
  </si>
  <si>
    <t>28112100</t>
  </si>
  <si>
    <t>28112210</t>
  </si>
  <si>
    <t>28112220</t>
  </si>
  <si>
    <t>28112230</t>
  </si>
  <si>
    <t>28112290</t>
  </si>
  <si>
    <t>28112910</t>
  </si>
  <si>
    <t>28112990</t>
  </si>
  <si>
    <t>28121011</t>
  </si>
  <si>
    <t>28121012</t>
  </si>
  <si>
    <t>28121013</t>
  </si>
  <si>
    <t>28121014</t>
  </si>
  <si>
    <t>28121015</t>
  </si>
  <si>
    <t>28121019</t>
  </si>
  <si>
    <t>28121021</t>
  </si>
  <si>
    <t>28121022</t>
  </si>
  <si>
    <t>28121023</t>
  </si>
  <si>
    <t>28121029</t>
  </si>
  <si>
    <t>28129000</t>
  </si>
  <si>
    <t>28131000</t>
  </si>
  <si>
    <t>28139010</t>
  </si>
  <si>
    <t>28139090</t>
  </si>
  <si>
    <t>28141000</t>
  </si>
  <si>
    <t>28142000</t>
  </si>
  <si>
    <t>28151100</t>
  </si>
  <si>
    <t>28151200</t>
  </si>
  <si>
    <t>28152000</t>
  </si>
  <si>
    <t>28153000</t>
  </si>
  <si>
    <t>28161010</t>
  </si>
  <si>
    <t>28161020</t>
  </si>
  <si>
    <t>28164010</t>
  </si>
  <si>
    <t>28164090</t>
  </si>
  <si>
    <t>28170010</t>
  </si>
  <si>
    <t>28170020</t>
  </si>
  <si>
    <t>28181010</t>
  </si>
  <si>
    <t>28181090</t>
  </si>
  <si>
    <t>28182010</t>
  </si>
  <si>
    <t>28182090</t>
  </si>
  <si>
    <t>28183000</t>
  </si>
  <si>
    <t>28191000</t>
  </si>
  <si>
    <t>28199010</t>
  </si>
  <si>
    <t>28199020</t>
  </si>
  <si>
    <t>28201000</t>
  </si>
  <si>
    <t>28209010</t>
  </si>
  <si>
    <t>28209020</t>
  </si>
  <si>
    <t>28209030</t>
  </si>
  <si>
    <t>28209040</t>
  </si>
  <si>
    <t>28211011</t>
  </si>
  <si>
    <t>28211019</t>
  </si>
  <si>
    <t>28211020</t>
  </si>
  <si>
    <t>28211030</t>
  </si>
  <si>
    <t>28211090</t>
  </si>
  <si>
    <t>28212000</t>
  </si>
  <si>
    <t>28220010</t>
  </si>
  <si>
    <t>28220090</t>
  </si>
  <si>
    <t>28230010</t>
  </si>
  <si>
    <t>28230090</t>
  </si>
  <si>
    <t>28241000</t>
  </si>
  <si>
    <t>28249010</t>
  </si>
  <si>
    <t>28249090</t>
  </si>
  <si>
    <t>28251010</t>
  </si>
  <si>
    <t>28251020</t>
  </si>
  <si>
    <t>28252010</t>
  </si>
  <si>
    <t>28252020</t>
  </si>
  <si>
    <t>28253010</t>
  </si>
  <si>
    <t>28253090</t>
  </si>
  <si>
    <t>28254010</t>
  </si>
  <si>
    <t>28254090</t>
  </si>
  <si>
    <t>28255010</t>
  </si>
  <si>
    <t>28255090</t>
  </si>
  <si>
    <t>28256010</t>
  </si>
  <si>
    <t>28256020</t>
  </si>
  <si>
    <t>28257010</t>
  </si>
  <si>
    <t>28257090</t>
  </si>
  <si>
    <t>28258010</t>
  </si>
  <si>
    <t>28258090</t>
  </si>
  <si>
    <t>28259010</t>
  </si>
  <si>
    <t>28259020</t>
  </si>
  <si>
    <t>28259090</t>
  </si>
  <si>
    <t>28261200</t>
  </si>
  <si>
    <t>28261910</t>
  </si>
  <si>
    <t>28261920</t>
  </si>
  <si>
    <t>28261990</t>
  </si>
  <si>
    <t>28263000</t>
  </si>
  <si>
    <t>28269010</t>
  </si>
  <si>
    <t>28269020</t>
  </si>
  <si>
    <t>28269090</t>
  </si>
  <si>
    <t>28271000</t>
  </si>
  <si>
    <t>28272010</t>
  </si>
  <si>
    <t>28272090</t>
  </si>
  <si>
    <t>28273110</t>
  </si>
  <si>
    <t>28273190</t>
  </si>
  <si>
    <t>28273200</t>
  </si>
  <si>
    <t>28273500</t>
  </si>
  <si>
    <t>28273910</t>
  </si>
  <si>
    <t>28273920</t>
  </si>
  <si>
    <t>28273940</t>
  </si>
  <si>
    <t>28273950</t>
  </si>
  <si>
    <t>28273960</t>
  </si>
  <si>
    <t>28273970</t>
  </si>
  <si>
    <t>28273991</t>
  </si>
  <si>
    <t>28273992</t>
  </si>
  <si>
    <t>28273993</t>
  </si>
  <si>
    <t>28273994</t>
  </si>
  <si>
    <t>28273995</t>
  </si>
  <si>
    <t>28273996</t>
  </si>
  <si>
    <t>28273997</t>
  </si>
  <si>
    <t>28273998</t>
  </si>
  <si>
    <t>28273999</t>
  </si>
  <si>
    <t>28274110</t>
  </si>
  <si>
    <t>28274120</t>
  </si>
  <si>
    <t>28274911</t>
  </si>
  <si>
    <t>28274912</t>
  </si>
  <si>
    <t>28274919</t>
  </si>
  <si>
    <t>28274921</t>
  </si>
  <si>
    <t>28274929</t>
  </si>
  <si>
    <t>28275100</t>
  </si>
  <si>
    <t>28275900</t>
  </si>
  <si>
    <t>28276011</t>
  </si>
  <si>
    <t>28276012</t>
  </si>
  <si>
    <t>28276019</t>
  </si>
  <si>
    <t>28276021</t>
  </si>
  <si>
    <t>28276029</t>
  </si>
  <si>
    <t>28281000</t>
  </si>
  <si>
    <t>28289011</t>
  </si>
  <si>
    <t>28289019</t>
  </si>
  <si>
    <t>28289020</t>
  </si>
  <si>
    <t>28289090</t>
  </si>
  <si>
    <t>28291100</t>
  </si>
  <si>
    <t>28291910</t>
  </si>
  <si>
    <t>28291920</t>
  </si>
  <si>
    <t>28291990</t>
  </si>
  <si>
    <t>28299011</t>
  </si>
  <si>
    <t>28299012</t>
  </si>
  <si>
    <t>28299019</t>
  </si>
  <si>
    <t>28299021</t>
  </si>
  <si>
    <t>28299022</t>
  </si>
  <si>
    <t>28299029</t>
  </si>
  <si>
    <t>28299031</t>
  </si>
  <si>
    <t>28299032</t>
  </si>
  <si>
    <t>28299039</t>
  </si>
  <si>
    <t>28299040</t>
  </si>
  <si>
    <t>28299050</t>
  </si>
  <si>
    <t>28301010</t>
  </si>
  <si>
    <t>28301020</t>
  </si>
  <si>
    <t>28309011</t>
  </si>
  <si>
    <t>28309012</t>
  </si>
  <si>
    <t>28309013</t>
  </si>
  <si>
    <t>28309014</t>
  </si>
  <si>
    <t>28309015</t>
  </si>
  <si>
    <t>28309016</t>
  </si>
  <si>
    <t>28309019</t>
  </si>
  <si>
    <t>28309020</t>
  </si>
  <si>
    <t>28311011</t>
  </si>
  <si>
    <t>28311019</t>
  </si>
  <si>
    <t>28311021</t>
  </si>
  <si>
    <t>28311029</t>
  </si>
  <si>
    <t>28319010</t>
  </si>
  <si>
    <t>28319090</t>
  </si>
  <si>
    <t>28321010</t>
  </si>
  <si>
    <t>28321090</t>
  </si>
  <si>
    <t>28322000</t>
  </si>
  <si>
    <t>28323010</t>
  </si>
  <si>
    <t>28323020</t>
  </si>
  <si>
    <t>28323090</t>
  </si>
  <si>
    <t>28331110</t>
  </si>
  <si>
    <t>28331190</t>
  </si>
  <si>
    <t>28331900</t>
  </si>
  <si>
    <t>28332100</t>
  </si>
  <si>
    <t>28332200</t>
  </si>
  <si>
    <t>28332400</t>
  </si>
  <si>
    <t>28332510</t>
  </si>
  <si>
    <t>28332520</t>
  </si>
  <si>
    <t>28332710</t>
  </si>
  <si>
    <t>28332790</t>
  </si>
  <si>
    <t>28332910</t>
  </si>
  <si>
    <t>28332920</t>
  </si>
  <si>
    <t>28332930</t>
  </si>
  <si>
    <t>28332940</t>
  </si>
  <si>
    <t>28332950</t>
  </si>
  <si>
    <t>28332960</t>
  </si>
  <si>
    <t>28332970</t>
  </si>
  <si>
    <t>28332990</t>
  </si>
  <si>
    <t>28333000</t>
  </si>
  <si>
    <t>28334010</t>
  </si>
  <si>
    <t>28334020</t>
  </si>
  <si>
    <t>28334090</t>
  </si>
  <si>
    <t>28341010</t>
  </si>
  <si>
    <t>28341090</t>
  </si>
  <si>
    <t>28342110</t>
  </si>
  <si>
    <t>28342190</t>
  </si>
  <si>
    <t>28342910</t>
  </si>
  <si>
    <t>28342930</t>
  </si>
  <si>
    <t>28342940</t>
  </si>
  <si>
    <t>28342990</t>
  </si>
  <si>
    <t>28351011</t>
  </si>
  <si>
    <t>28351019</t>
  </si>
  <si>
    <t>28351021</t>
  </si>
  <si>
    <t>28351029</t>
  </si>
  <si>
    <t>28352200</t>
  </si>
  <si>
    <t>28352400</t>
  </si>
  <si>
    <t>28352500</t>
  </si>
  <si>
    <t>28352600</t>
  </si>
  <si>
    <t>28352910</t>
  </si>
  <si>
    <t>28352920</t>
  </si>
  <si>
    <t>28352930</t>
  </si>
  <si>
    <t>28352940</t>
  </si>
  <si>
    <t>28352950</t>
  </si>
  <si>
    <t>28352960</t>
  </si>
  <si>
    <t>28352970</t>
  </si>
  <si>
    <t>28352980</t>
  </si>
  <si>
    <t>28352990</t>
  </si>
  <si>
    <t>28353110</t>
  </si>
  <si>
    <t>28353190</t>
  </si>
  <si>
    <t>28353910</t>
  </si>
  <si>
    <t>28353920</t>
  </si>
  <si>
    <t>28353930</t>
  </si>
  <si>
    <t>28353990</t>
  </si>
  <si>
    <t>28362010</t>
  </si>
  <si>
    <t>28362090</t>
  </si>
  <si>
    <t>28363000</t>
  </si>
  <si>
    <t>28364000</t>
  </si>
  <si>
    <t>28365000</t>
  </si>
  <si>
    <t>28366000</t>
  </si>
  <si>
    <t>28369100</t>
  </si>
  <si>
    <t>28369200</t>
  </si>
  <si>
    <t>28369911</t>
  </si>
  <si>
    <t>28369912</t>
  </si>
  <si>
    <t>28369913</t>
  </si>
  <si>
    <t>28369919</t>
  </si>
  <si>
    <t>28369920</t>
  </si>
  <si>
    <t>28371100</t>
  </si>
  <si>
    <t>28371911</t>
  </si>
  <si>
    <t>28371912</t>
  </si>
  <si>
    <t>28371914</t>
  </si>
  <si>
    <t>28371915</t>
  </si>
  <si>
    <t>28371919</t>
  </si>
  <si>
    <t>28371920</t>
  </si>
  <si>
    <t>28372011</t>
  </si>
  <si>
    <t>28372012</t>
  </si>
  <si>
    <t>28372019</t>
  </si>
  <si>
    <t>28372021</t>
  </si>
  <si>
    <t>28372022</t>
  </si>
  <si>
    <t>28372023</t>
  </si>
  <si>
    <t>28372029</t>
  </si>
  <si>
    <t>28372090</t>
  </si>
  <si>
    <t>28391100</t>
  </si>
  <si>
    <t>28391900</t>
  </si>
  <si>
    <t>28399010</t>
  </si>
  <si>
    <t>28399020</t>
  </si>
  <si>
    <t>28399030</t>
  </si>
  <si>
    <t>28399040</t>
  </si>
  <si>
    <t>28399050</t>
  </si>
  <si>
    <t>28399090</t>
  </si>
  <si>
    <t>28401100</t>
  </si>
  <si>
    <t>28401900</t>
  </si>
  <si>
    <t>28402000</t>
  </si>
  <si>
    <t>28403000</t>
  </si>
  <si>
    <t>28413000</t>
  </si>
  <si>
    <t>28415011</t>
  </si>
  <si>
    <t>28415012</t>
  </si>
  <si>
    <t>28415013</t>
  </si>
  <si>
    <t>28415014</t>
  </si>
  <si>
    <t>28415015</t>
  </si>
  <si>
    <t>28415016</t>
  </si>
  <si>
    <t>28415019</t>
  </si>
  <si>
    <t>28415020</t>
  </si>
  <si>
    <t>28416100</t>
  </si>
  <si>
    <t>28416910</t>
  </si>
  <si>
    <t>28416920</t>
  </si>
  <si>
    <t>28416930</t>
  </si>
  <si>
    <t>28417010</t>
  </si>
  <si>
    <t>28417020</t>
  </si>
  <si>
    <t>28417090</t>
  </si>
  <si>
    <t>28418010</t>
  </si>
  <si>
    <t>28418020</t>
  </si>
  <si>
    <t>28418090</t>
  </si>
  <si>
    <t>28419011</t>
  </si>
  <si>
    <t>28419012</t>
  </si>
  <si>
    <t>28419013</t>
  </si>
  <si>
    <t>28419014</t>
  </si>
  <si>
    <t>28419015</t>
  </si>
  <si>
    <t>28419019</t>
  </si>
  <si>
    <t>28419021</t>
  </si>
  <si>
    <t>28419022</t>
  </si>
  <si>
    <t>28419029</t>
  </si>
  <si>
    <t>28419030</t>
  </si>
  <si>
    <t>28419041</t>
  </si>
  <si>
    <t>28419042</t>
  </si>
  <si>
    <t>28419043</t>
  </si>
  <si>
    <t>28419049</t>
  </si>
  <si>
    <t>28419050</t>
  </si>
  <si>
    <t>28419060</t>
  </si>
  <si>
    <t>28419070</t>
  </si>
  <si>
    <t>28419081</t>
  </si>
  <si>
    <t>28419082</t>
  </si>
  <si>
    <t>28419083</t>
  </si>
  <si>
    <t>28419089</t>
  </si>
  <si>
    <t>28419090</t>
  </si>
  <si>
    <t>28421010</t>
  </si>
  <si>
    <t>28421090</t>
  </si>
  <si>
    <t>28429000</t>
  </si>
  <si>
    <t>28431000</t>
  </si>
  <si>
    <t>28432100</t>
  </si>
  <si>
    <t>28432910</t>
  </si>
  <si>
    <t>28432990</t>
  </si>
  <si>
    <t>28433010</t>
  </si>
  <si>
    <t>28433090</t>
  </si>
  <si>
    <t>28439011</t>
  </si>
  <si>
    <t>28439019</t>
  </si>
  <si>
    <t>28439090</t>
  </si>
  <si>
    <t>28441000</t>
  </si>
  <si>
    <t>28442000</t>
  </si>
  <si>
    <t>28443000</t>
  </si>
  <si>
    <t>28444010</t>
  </si>
  <si>
    <t>28444020</t>
  </si>
  <si>
    <t>28444030</t>
  </si>
  <si>
    <t>28444090</t>
  </si>
  <si>
    <t>28445000</t>
  </si>
  <si>
    <t>28451000</t>
  </si>
  <si>
    <t>28459000</t>
  </si>
  <si>
    <t>28461010</t>
  </si>
  <si>
    <t>28461090</t>
  </si>
  <si>
    <t>28469010</t>
  </si>
  <si>
    <t>28469020</t>
  </si>
  <si>
    <t>28469030</t>
  </si>
  <si>
    <t>28469090</t>
  </si>
  <si>
    <t>28470000</t>
  </si>
  <si>
    <t>28480010</t>
  </si>
  <si>
    <t>28480020</t>
  </si>
  <si>
    <t>28480030</t>
  </si>
  <si>
    <t>28480090</t>
  </si>
  <si>
    <t>28491000</t>
  </si>
  <si>
    <t>28492000</t>
  </si>
  <si>
    <t>28499010</t>
  </si>
  <si>
    <t>28499020</t>
  </si>
  <si>
    <t>28499030</t>
  </si>
  <si>
    <t>28499090</t>
  </si>
  <si>
    <t>28500010</t>
  </si>
  <si>
    <t>28500020</t>
  </si>
  <si>
    <t>28500090</t>
  </si>
  <si>
    <t>28521011</t>
  </si>
  <si>
    <t>28521012</t>
  </si>
  <si>
    <t>28521013</t>
  </si>
  <si>
    <t>28521014</t>
  </si>
  <si>
    <t>28521019</t>
  </si>
  <si>
    <t>28521021</t>
  </si>
  <si>
    <t>28521022</t>
  </si>
  <si>
    <t>28521023</t>
  </si>
  <si>
    <t>28521024</t>
  </si>
  <si>
    <t>28521025</t>
  </si>
  <si>
    <t>28521029</t>
  </si>
  <si>
    <t>28529000</t>
  </si>
  <si>
    <t>28530010</t>
  </si>
  <si>
    <t>28530020</t>
  </si>
  <si>
    <t>28530031</t>
  </si>
  <si>
    <t>28530039</t>
  </si>
  <si>
    <t>28530090</t>
  </si>
  <si>
    <t>29011000</t>
  </si>
  <si>
    <t>29012100</t>
  </si>
  <si>
    <t>29012200</t>
  </si>
  <si>
    <t>29012300</t>
  </si>
  <si>
    <t>29012410</t>
  </si>
  <si>
    <t>29012420</t>
  </si>
  <si>
    <t>29012900</t>
  </si>
  <si>
    <t>29021100</t>
  </si>
  <si>
    <t>29021910</t>
  </si>
  <si>
    <t>29021990</t>
  </si>
  <si>
    <t>29022000</t>
  </si>
  <si>
    <t>29023000</t>
  </si>
  <si>
    <t>29024100</t>
  </si>
  <si>
    <t>29024200</t>
  </si>
  <si>
    <t>29024300</t>
  </si>
  <si>
    <t>29024400</t>
  </si>
  <si>
    <t>29025000</t>
  </si>
  <si>
    <t>29026000</t>
  </si>
  <si>
    <t>29027000</t>
  </si>
  <si>
    <t>29029010</t>
  </si>
  <si>
    <t>29029020</t>
  </si>
  <si>
    <t>29029030</t>
  </si>
  <si>
    <t>29029040</t>
  </si>
  <si>
    <t>29029090</t>
  </si>
  <si>
    <t>29031110</t>
  </si>
  <si>
    <t>29031120</t>
  </si>
  <si>
    <t>29031200</t>
  </si>
  <si>
    <t>29031300</t>
  </si>
  <si>
    <t>29031400</t>
  </si>
  <si>
    <t>29031500</t>
  </si>
  <si>
    <t>29031910</t>
  </si>
  <si>
    <t>29031920</t>
  </si>
  <si>
    <t>29031990</t>
  </si>
  <si>
    <t>29032100</t>
  </si>
  <si>
    <t>29032200</t>
  </si>
  <si>
    <t>29032300</t>
  </si>
  <si>
    <t>29032900</t>
  </si>
  <si>
    <t>29033100</t>
  </si>
  <si>
    <t>29033911</t>
  </si>
  <si>
    <t>29033912</t>
  </si>
  <si>
    <t>29033919</t>
  </si>
  <si>
    <t>29033921</t>
  </si>
  <si>
    <t>29033929</t>
  </si>
  <si>
    <t>29033931</t>
  </si>
  <si>
    <t>29033932</t>
  </si>
  <si>
    <t>29033939</t>
  </si>
  <si>
    <t>29037100</t>
  </si>
  <si>
    <t>29037200</t>
  </si>
  <si>
    <t>29037300</t>
  </si>
  <si>
    <t>29037400</t>
  </si>
  <si>
    <t>29037500</t>
  </si>
  <si>
    <t>29037600</t>
  </si>
  <si>
    <t>29037711</t>
  </si>
  <si>
    <t>29037712</t>
  </si>
  <si>
    <t>29037713</t>
  </si>
  <si>
    <t>29037721</t>
  </si>
  <si>
    <t>29037722</t>
  </si>
  <si>
    <t>29037723</t>
  </si>
  <si>
    <t>29037724</t>
  </si>
  <si>
    <t>29037731</t>
  </si>
  <si>
    <t>29037732</t>
  </si>
  <si>
    <t>29037733</t>
  </si>
  <si>
    <t>29037734</t>
  </si>
  <si>
    <t>29037735</t>
  </si>
  <si>
    <t>29037736</t>
  </si>
  <si>
    <t>29037737</t>
  </si>
  <si>
    <t>29037790</t>
  </si>
  <si>
    <t>29037800</t>
  </si>
  <si>
    <t>29037911</t>
  </si>
  <si>
    <t>29037912</t>
  </si>
  <si>
    <t>29037919</t>
  </si>
  <si>
    <t>29037920</t>
  </si>
  <si>
    <t>29037931</t>
  </si>
  <si>
    <t>29037939</t>
  </si>
  <si>
    <t>29037990</t>
  </si>
  <si>
    <t>29038110</t>
  </si>
  <si>
    <t>29038190</t>
  </si>
  <si>
    <t>29038210</t>
  </si>
  <si>
    <t>29038220</t>
  </si>
  <si>
    <t>29038230</t>
  </si>
  <si>
    <t>29038910</t>
  </si>
  <si>
    <t>29038990</t>
  </si>
  <si>
    <t>29039110</t>
  </si>
  <si>
    <t>29039120</t>
  </si>
  <si>
    <t>29039130</t>
  </si>
  <si>
    <t>29039210</t>
  </si>
  <si>
    <t>29039220</t>
  </si>
  <si>
    <t>29039911</t>
  </si>
  <si>
    <t>29039912</t>
  </si>
  <si>
    <t>29039913</t>
  </si>
  <si>
    <t>29039914</t>
  </si>
  <si>
    <t>29039915</t>
  </si>
  <si>
    <t>29039916</t>
  </si>
  <si>
    <t>29039917</t>
  </si>
  <si>
    <t>29039918</t>
  </si>
  <si>
    <t>29039919</t>
  </si>
  <si>
    <t>29039921</t>
  </si>
  <si>
    <t>29039922</t>
  </si>
  <si>
    <t>29039923</t>
  </si>
  <si>
    <t>29039924</t>
  </si>
  <si>
    <t>29039929</t>
  </si>
  <si>
    <t>29039931</t>
  </si>
  <si>
    <t>29039939</t>
  </si>
  <si>
    <t>29039990</t>
  </si>
  <si>
    <t>29041011</t>
  </si>
  <si>
    <t>29041012</t>
  </si>
  <si>
    <t>29041013</t>
  </si>
  <si>
    <t>29041019</t>
  </si>
  <si>
    <t>29041020</t>
  </si>
  <si>
    <t>29041030</t>
  </si>
  <si>
    <t>29041040</t>
  </si>
  <si>
    <t>29041051</t>
  </si>
  <si>
    <t>29041052</t>
  </si>
  <si>
    <t>29041053</t>
  </si>
  <si>
    <t>29041059</t>
  </si>
  <si>
    <t>29041060</t>
  </si>
  <si>
    <t>29041090</t>
  </si>
  <si>
    <t>29042010</t>
  </si>
  <si>
    <t>29042020</t>
  </si>
  <si>
    <t>29042030</t>
  </si>
  <si>
    <t>29042041</t>
  </si>
  <si>
    <t>29042049</t>
  </si>
  <si>
    <t>29042051</t>
  </si>
  <si>
    <t>29042052</t>
  </si>
  <si>
    <t>29042059</t>
  </si>
  <si>
    <t>29042060</t>
  </si>
  <si>
    <t>29042070</t>
  </si>
  <si>
    <t>29042090</t>
  </si>
  <si>
    <t>29049011</t>
  </si>
  <si>
    <t>29049012</t>
  </si>
  <si>
    <t>29049013</t>
  </si>
  <si>
    <t>29049014</t>
  </si>
  <si>
    <t>29049015</t>
  </si>
  <si>
    <t>29049016</t>
  </si>
  <si>
    <t>29049017</t>
  </si>
  <si>
    <t>29049019</t>
  </si>
  <si>
    <t>29049021</t>
  </si>
  <si>
    <t>29049029</t>
  </si>
  <si>
    <t>29049030</t>
  </si>
  <si>
    <t>29049040</t>
  </si>
  <si>
    <t>29049090</t>
  </si>
  <si>
    <t>29051100</t>
  </si>
  <si>
    <t>29051210</t>
  </si>
  <si>
    <t>29051220</t>
  </si>
  <si>
    <t>29051300</t>
  </si>
  <si>
    <t>29051410</t>
  </si>
  <si>
    <t>29051420</t>
  </si>
  <si>
    <t>29051430</t>
  </si>
  <si>
    <t>29051600</t>
  </si>
  <si>
    <t>29051710</t>
  </si>
  <si>
    <t>29051720</t>
  </si>
  <si>
    <t>29051730</t>
  </si>
  <si>
    <t>29051911</t>
  </si>
  <si>
    <t>29051912</t>
  </si>
  <si>
    <t>29051919</t>
  </si>
  <si>
    <t>29051921</t>
  </si>
  <si>
    <t>29051922</t>
  </si>
  <si>
    <t>29051923</t>
  </si>
  <si>
    <t>29051929</t>
  </si>
  <si>
    <t>29051991</t>
  </si>
  <si>
    <t>29051992</t>
  </si>
  <si>
    <t>29051993</t>
  </si>
  <si>
    <t>29051994</t>
  </si>
  <si>
    <t>29051995</t>
  </si>
  <si>
    <t>29051996</t>
  </si>
  <si>
    <t>29051999</t>
  </si>
  <si>
    <t>29052210</t>
  </si>
  <si>
    <t>29052220</t>
  </si>
  <si>
    <t>29052230</t>
  </si>
  <si>
    <t>29052290</t>
  </si>
  <si>
    <t>29052910</t>
  </si>
  <si>
    <t>29052990</t>
  </si>
  <si>
    <t>29053100</t>
  </si>
  <si>
    <t>29053200</t>
  </si>
  <si>
    <t>29053910</t>
  </si>
  <si>
    <t>29053920</t>
  </si>
  <si>
    <t>29053930</t>
  </si>
  <si>
    <t>29053990</t>
  </si>
  <si>
    <t>29054100</t>
  </si>
  <si>
    <t>29054200</t>
  </si>
  <si>
    <t>29054300</t>
  </si>
  <si>
    <t>29054400</t>
  </si>
  <si>
    <t>29054500</t>
  </si>
  <si>
    <t>29054900</t>
  </si>
  <si>
    <t>29055100</t>
  </si>
  <si>
    <t>29055910</t>
  </si>
  <si>
    <t>29055990</t>
  </si>
  <si>
    <t>29061100</t>
  </si>
  <si>
    <t>29061200</t>
  </si>
  <si>
    <t>29061300</t>
  </si>
  <si>
    <t>29061910</t>
  </si>
  <si>
    <t>29061920</t>
  </si>
  <si>
    <t>29061930</t>
  </si>
  <si>
    <t>29061940</t>
  </si>
  <si>
    <t>29061950</t>
  </si>
  <si>
    <t>29061990</t>
  </si>
  <si>
    <t>29062100</t>
  </si>
  <si>
    <t>29062910</t>
  </si>
  <si>
    <t>29062920</t>
  </si>
  <si>
    <t>29062990</t>
  </si>
  <si>
    <t>29071100</t>
  </si>
  <si>
    <t>29071200</t>
  </si>
  <si>
    <t>29071300</t>
  </si>
  <si>
    <t>29071510</t>
  </si>
  <si>
    <t>29071590</t>
  </si>
  <si>
    <t>29071910</t>
  </si>
  <si>
    <t>29071920</t>
  </si>
  <si>
    <t>29071930</t>
  </si>
  <si>
    <t>29071940</t>
  </si>
  <si>
    <t>29071990</t>
  </si>
  <si>
    <t>29072100</t>
  </si>
  <si>
    <t>29072200</t>
  </si>
  <si>
    <t>29072300</t>
  </si>
  <si>
    <t>29072900</t>
  </si>
  <si>
    <t>29081100</t>
  </si>
  <si>
    <t>29081911</t>
  </si>
  <si>
    <t>29081912</t>
  </si>
  <si>
    <t>29081913</t>
  </si>
  <si>
    <t>29081914</t>
  </si>
  <si>
    <t>29081915</t>
  </si>
  <si>
    <t>29081919</t>
  </si>
  <si>
    <t>29081921</t>
  </si>
  <si>
    <t>29081929</t>
  </si>
  <si>
    <t>29081990</t>
  </si>
  <si>
    <t>29089100</t>
  </si>
  <si>
    <t>29089200</t>
  </si>
  <si>
    <t>29089912</t>
  </si>
  <si>
    <t>29089913</t>
  </si>
  <si>
    <t>29089919</t>
  </si>
  <si>
    <t>29089921</t>
  </si>
  <si>
    <t>29089929</t>
  </si>
  <si>
    <t>29089930</t>
  </si>
  <si>
    <t>29089990</t>
  </si>
  <si>
    <t>29091100</t>
  </si>
  <si>
    <t>29091910</t>
  </si>
  <si>
    <t>29091990</t>
  </si>
  <si>
    <t>29092000</t>
  </si>
  <si>
    <t>29093011</t>
  </si>
  <si>
    <t>29093012</t>
  </si>
  <si>
    <t>29093013</t>
  </si>
  <si>
    <t>29093014</t>
  </si>
  <si>
    <t>29093019</t>
  </si>
  <si>
    <t>29093021</t>
  </si>
  <si>
    <t>29093029</t>
  </si>
  <si>
    <t>29094100</t>
  </si>
  <si>
    <t>29094310</t>
  </si>
  <si>
    <t>29094320</t>
  </si>
  <si>
    <t>29094411</t>
  </si>
  <si>
    <t>29094412</t>
  </si>
  <si>
    <t>29094413</t>
  </si>
  <si>
    <t>29094419</t>
  </si>
  <si>
    <t>29094421</t>
  </si>
  <si>
    <t>29094429</t>
  </si>
  <si>
    <t>29094910</t>
  </si>
  <si>
    <t>29094921</t>
  </si>
  <si>
    <t>29094922</t>
  </si>
  <si>
    <t>29094923</t>
  </si>
  <si>
    <t>29094924</t>
  </si>
  <si>
    <t>29094929</t>
  </si>
  <si>
    <t>29094931</t>
  </si>
  <si>
    <t>29094932</t>
  </si>
  <si>
    <t>29094939</t>
  </si>
  <si>
    <t>29094941</t>
  </si>
  <si>
    <t>29094949</t>
  </si>
  <si>
    <t>29094950</t>
  </si>
  <si>
    <t>29094990</t>
  </si>
  <si>
    <t>29095011</t>
  </si>
  <si>
    <t>29095012</t>
  </si>
  <si>
    <t>29095013</t>
  </si>
  <si>
    <t>29095019</t>
  </si>
  <si>
    <t>29095090</t>
  </si>
  <si>
    <t>29096011</t>
  </si>
  <si>
    <t>29096012</t>
  </si>
  <si>
    <t>29096013</t>
  </si>
  <si>
    <t>29096019</t>
  </si>
  <si>
    <t>29096020</t>
  </si>
  <si>
    <t>29101000</t>
  </si>
  <si>
    <t>29102000</t>
  </si>
  <si>
    <t>29103000</t>
  </si>
  <si>
    <t>29104000</t>
  </si>
  <si>
    <t>29109010</t>
  </si>
  <si>
    <t>29109030</t>
  </si>
  <si>
    <t>29109090</t>
  </si>
  <si>
    <t>29110010</t>
  </si>
  <si>
    <t>29110090</t>
  </si>
  <si>
    <t>29121100</t>
  </si>
  <si>
    <t>29121200</t>
  </si>
  <si>
    <t>29121911</t>
  </si>
  <si>
    <t>29121912</t>
  </si>
  <si>
    <t>29121919</t>
  </si>
  <si>
    <t>29121921</t>
  </si>
  <si>
    <t>29121922</t>
  </si>
  <si>
    <t>29121923</t>
  </si>
  <si>
    <t>29121929</t>
  </si>
  <si>
    <t>29121991</t>
  </si>
  <si>
    <t>29121999</t>
  </si>
  <si>
    <t>29122100</t>
  </si>
  <si>
    <t>29122910</t>
  </si>
  <si>
    <t>29122920</t>
  </si>
  <si>
    <t>29122990</t>
  </si>
  <si>
    <t>29124100</t>
  </si>
  <si>
    <t>29124200</t>
  </si>
  <si>
    <t>29124910</t>
  </si>
  <si>
    <t>29124920</t>
  </si>
  <si>
    <t>29124930</t>
  </si>
  <si>
    <t>29124941</t>
  </si>
  <si>
    <t>29124949</t>
  </si>
  <si>
    <t>29124990</t>
  </si>
  <si>
    <t>29125000</t>
  </si>
  <si>
    <t>29126000</t>
  </si>
  <si>
    <t>29130010</t>
  </si>
  <si>
    <t>29130090</t>
  </si>
  <si>
    <t>29141100</t>
  </si>
  <si>
    <t>29141200</t>
  </si>
  <si>
    <t>29141300</t>
  </si>
  <si>
    <t>29141910</t>
  </si>
  <si>
    <t>29141921</t>
  </si>
  <si>
    <t>29141922</t>
  </si>
  <si>
    <t>29141923</t>
  </si>
  <si>
    <t>29141929</t>
  </si>
  <si>
    <t>29141930</t>
  </si>
  <si>
    <t>29141940</t>
  </si>
  <si>
    <t>29141950</t>
  </si>
  <si>
    <t>29141990</t>
  </si>
  <si>
    <t>29142210</t>
  </si>
  <si>
    <t>29142220</t>
  </si>
  <si>
    <t>29142310</t>
  </si>
  <si>
    <t>29142320</t>
  </si>
  <si>
    <t>29142910</t>
  </si>
  <si>
    <t>29142920</t>
  </si>
  <si>
    <t>29142990</t>
  </si>
  <si>
    <t>29143100</t>
  </si>
  <si>
    <t>29143910</t>
  </si>
  <si>
    <t>29143990</t>
  </si>
  <si>
    <t>29144010</t>
  </si>
  <si>
    <t>29144091</t>
  </si>
  <si>
    <t>29144099</t>
  </si>
  <si>
    <t>29145010</t>
  </si>
  <si>
    <t>29145020</t>
  </si>
  <si>
    <t>29145090</t>
  </si>
  <si>
    <t>29146100</t>
  </si>
  <si>
    <t>29146910</t>
  </si>
  <si>
    <t>29146920</t>
  </si>
  <si>
    <t>29146990</t>
  </si>
  <si>
    <t>29147011</t>
  </si>
  <si>
    <t>29147019</t>
  </si>
  <si>
    <t>29147021</t>
  </si>
  <si>
    <t>29147022</t>
  </si>
  <si>
    <t>29147029</t>
  </si>
  <si>
    <t>29147090</t>
  </si>
  <si>
    <t>29151100</t>
  </si>
  <si>
    <t>29151210</t>
  </si>
  <si>
    <t>29151290</t>
  </si>
  <si>
    <t>29151310</t>
  </si>
  <si>
    <t>29151390</t>
  </si>
  <si>
    <t>29152100</t>
  </si>
  <si>
    <t>29152400</t>
  </si>
  <si>
    <t>29152910</t>
  </si>
  <si>
    <t>29152920</t>
  </si>
  <si>
    <t>29152990</t>
  </si>
  <si>
    <t>29153100</t>
  </si>
  <si>
    <t>29153200</t>
  </si>
  <si>
    <t>29153300</t>
  </si>
  <si>
    <t>29153600</t>
  </si>
  <si>
    <t>29153910</t>
  </si>
  <si>
    <t>29153921</t>
  </si>
  <si>
    <t>29153929</t>
  </si>
  <si>
    <t>29153931</t>
  </si>
  <si>
    <t>29153932</t>
  </si>
  <si>
    <t>29153939</t>
  </si>
  <si>
    <t>29153941</t>
  </si>
  <si>
    <t>29153942</t>
  </si>
  <si>
    <t>29153951</t>
  </si>
  <si>
    <t>29153952</t>
  </si>
  <si>
    <t>29153953</t>
  </si>
  <si>
    <t>29153954</t>
  </si>
  <si>
    <t>29153955</t>
  </si>
  <si>
    <t>29153961</t>
  </si>
  <si>
    <t>29153962</t>
  </si>
  <si>
    <t>29153963</t>
  </si>
  <si>
    <t>29153991</t>
  </si>
  <si>
    <t>29153992</t>
  </si>
  <si>
    <t>29153993</t>
  </si>
  <si>
    <t>29153994</t>
  </si>
  <si>
    <t>29153999</t>
  </si>
  <si>
    <t>29154010</t>
  </si>
  <si>
    <t>29154020</t>
  </si>
  <si>
    <t>29154090</t>
  </si>
  <si>
    <t>29155010</t>
  </si>
  <si>
    <t>29155020</t>
  </si>
  <si>
    <t>29155030</t>
  </si>
  <si>
    <t>29156011</t>
  </si>
  <si>
    <t>29156012</t>
  </si>
  <si>
    <t>29156019</t>
  </si>
  <si>
    <t>29156021</t>
  </si>
  <si>
    <t>29156029</t>
  </si>
  <si>
    <t>29157011</t>
  </si>
  <si>
    <t>29157019</t>
  </si>
  <si>
    <t>29157020</t>
  </si>
  <si>
    <t>29157031</t>
  </si>
  <si>
    <t>29157039</t>
  </si>
  <si>
    <t>29157040</t>
  </si>
  <si>
    <t>29159010</t>
  </si>
  <si>
    <t>29159021</t>
  </si>
  <si>
    <t>29159022</t>
  </si>
  <si>
    <t>29159023</t>
  </si>
  <si>
    <t>29159024</t>
  </si>
  <si>
    <t>29159029</t>
  </si>
  <si>
    <t>29159031</t>
  </si>
  <si>
    <t>29159032</t>
  </si>
  <si>
    <t>29159033</t>
  </si>
  <si>
    <t>29159039</t>
  </si>
  <si>
    <t>29159041</t>
  </si>
  <si>
    <t>29159042</t>
  </si>
  <si>
    <t>29159050</t>
  </si>
  <si>
    <t>29159060</t>
  </si>
  <si>
    <t>29159090</t>
  </si>
  <si>
    <t>29161110</t>
  </si>
  <si>
    <t>29161120</t>
  </si>
  <si>
    <t>29161210</t>
  </si>
  <si>
    <t>29161220</t>
  </si>
  <si>
    <t>29161230</t>
  </si>
  <si>
    <t>29161240</t>
  </si>
  <si>
    <t>29161290</t>
  </si>
  <si>
    <t>29161310</t>
  </si>
  <si>
    <t>29161320</t>
  </si>
  <si>
    <t>29161410</t>
  </si>
  <si>
    <t>29161420</t>
  </si>
  <si>
    <t>29161430</t>
  </si>
  <si>
    <t>29161490</t>
  </si>
  <si>
    <t>29161511</t>
  </si>
  <si>
    <t>29161519</t>
  </si>
  <si>
    <t>29161520</t>
  </si>
  <si>
    <t>29161600</t>
  </si>
  <si>
    <t>29161911</t>
  </si>
  <si>
    <t>29161919</t>
  </si>
  <si>
    <t>29161921</t>
  </si>
  <si>
    <t>29161922</t>
  </si>
  <si>
    <t>29161923</t>
  </si>
  <si>
    <t>29161929</t>
  </si>
  <si>
    <t>29161990</t>
  </si>
  <si>
    <t>29162011</t>
  </si>
  <si>
    <t>29162012</t>
  </si>
  <si>
    <t>29162013</t>
  </si>
  <si>
    <t>29162014</t>
  </si>
  <si>
    <t>29162015</t>
  </si>
  <si>
    <t>29162019</t>
  </si>
  <si>
    <t>29162090</t>
  </si>
  <si>
    <t>29163110</t>
  </si>
  <si>
    <t>29163121</t>
  </si>
  <si>
    <t>29163122</t>
  </si>
  <si>
    <t>29163129</t>
  </si>
  <si>
    <t>29163131</t>
  </si>
  <si>
    <t>29163132</t>
  </si>
  <si>
    <t>29163139</t>
  </si>
  <si>
    <t>29163210</t>
  </si>
  <si>
    <t>29163220</t>
  </si>
  <si>
    <t>29163400</t>
  </si>
  <si>
    <t>29163910</t>
  </si>
  <si>
    <t>29163920</t>
  </si>
  <si>
    <t>29163930</t>
  </si>
  <si>
    <t>29163940</t>
  </si>
  <si>
    <t>29163990</t>
  </si>
  <si>
    <t>29171110</t>
  </si>
  <si>
    <t>29171120</t>
  </si>
  <si>
    <t>29171210</t>
  </si>
  <si>
    <t>29171220</t>
  </si>
  <si>
    <t>29171310</t>
  </si>
  <si>
    <t>29171321</t>
  </si>
  <si>
    <t>29171322</t>
  </si>
  <si>
    <t>29171323</t>
  </si>
  <si>
    <t>29171329</t>
  </si>
  <si>
    <t>29171400</t>
  </si>
  <si>
    <t>29171910</t>
  </si>
  <si>
    <t>29171921</t>
  </si>
  <si>
    <t>29171922</t>
  </si>
  <si>
    <t>29171930</t>
  </si>
  <si>
    <t>29171990</t>
  </si>
  <si>
    <t>29172000</t>
  </si>
  <si>
    <t>29173200</t>
  </si>
  <si>
    <t>29173300</t>
  </si>
  <si>
    <t>29173400</t>
  </si>
  <si>
    <t>29173500</t>
  </si>
  <si>
    <t>29173600</t>
  </si>
  <si>
    <t>29173700</t>
  </si>
  <si>
    <t>29173911</t>
  </si>
  <si>
    <t>29173919</t>
  </si>
  <si>
    <t>29173920</t>
  </si>
  <si>
    <t>29173931</t>
  </si>
  <si>
    <t>29173939</t>
  </si>
  <si>
    <t>29173940</t>
  </si>
  <si>
    <t>29173950</t>
  </si>
  <si>
    <t>29173990</t>
  </si>
  <si>
    <t>29181100</t>
  </si>
  <si>
    <t>29181200</t>
  </si>
  <si>
    <t>29181310</t>
  </si>
  <si>
    <t>29181320</t>
  </si>
  <si>
    <t>29181400</t>
  </si>
  <si>
    <t>29181500</t>
  </si>
  <si>
    <t>29181610</t>
  </si>
  <si>
    <t>29181690</t>
  </si>
  <si>
    <t>29181800</t>
  </si>
  <si>
    <t>29181910</t>
  </si>
  <si>
    <t>29181921</t>
  </si>
  <si>
    <t>29181922</t>
  </si>
  <si>
    <t>29181929</t>
  </si>
  <si>
    <t>29181930</t>
  </si>
  <si>
    <t>29181941</t>
  </si>
  <si>
    <t>29181942</t>
  </si>
  <si>
    <t>29181943</t>
  </si>
  <si>
    <t>29181990</t>
  </si>
  <si>
    <t>29182110</t>
  </si>
  <si>
    <t>29182120</t>
  </si>
  <si>
    <t>29182211</t>
  </si>
  <si>
    <t>29182212</t>
  </si>
  <si>
    <t>29182219</t>
  </si>
  <si>
    <t>29182220</t>
  </si>
  <si>
    <t>29182300</t>
  </si>
  <si>
    <t>29182910</t>
  </si>
  <si>
    <t>29182921</t>
  </si>
  <si>
    <t>29182922</t>
  </si>
  <si>
    <t>29182923</t>
  </si>
  <si>
    <t>29182929</t>
  </si>
  <si>
    <t>29182930</t>
  </si>
  <si>
    <t>29182940</t>
  </si>
  <si>
    <t>29182950</t>
  </si>
  <si>
    <t>29182990</t>
  </si>
  <si>
    <t>29183010</t>
  </si>
  <si>
    <t>29183020</t>
  </si>
  <si>
    <t>29183031</t>
  </si>
  <si>
    <t>29183032</t>
  </si>
  <si>
    <t>29183033</t>
  </si>
  <si>
    <t>29183039</t>
  </si>
  <si>
    <t>29183040</t>
  </si>
  <si>
    <t>29183090</t>
  </si>
  <si>
    <t>29189100</t>
  </si>
  <si>
    <t>29189911</t>
  </si>
  <si>
    <t>29189912</t>
  </si>
  <si>
    <t>29189919</t>
  </si>
  <si>
    <t>29189921</t>
  </si>
  <si>
    <t>29189929</t>
  </si>
  <si>
    <t>29189930</t>
  </si>
  <si>
    <t>29189940</t>
  </si>
  <si>
    <t>29189950</t>
  </si>
  <si>
    <t>29189960</t>
  </si>
  <si>
    <t>29189991</t>
  </si>
  <si>
    <t>29189992</t>
  </si>
  <si>
    <t>29189993</t>
  </si>
  <si>
    <t>29189994</t>
  </si>
  <si>
    <t>29189999</t>
  </si>
  <si>
    <t>29191000</t>
  </si>
  <si>
    <t>29199010</t>
  </si>
  <si>
    <t>29199020</t>
  </si>
  <si>
    <t>29199030</t>
  </si>
  <si>
    <t>29199040</t>
  </si>
  <si>
    <t>29199050</t>
  </si>
  <si>
    <t>29199060</t>
  </si>
  <si>
    <t>29199090</t>
  </si>
  <si>
    <t>29201110</t>
  </si>
  <si>
    <t>29201120</t>
  </si>
  <si>
    <t>29201910</t>
  </si>
  <si>
    <t>29201920</t>
  </si>
  <si>
    <t>29201990</t>
  </si>
  <si>
    <t>29209013</t>
  </si>
  <si>
    <t>29209014</t>
  </si>
  <si>
    <t>29209015</t>
  </si>
  <si>
    <t>29209016</t>
  </si>
  <si>
    <t>29209017</t>
  </si>
  <si>
    <t>29209019</t>
  </si>
  <si>
    <t>29209021</t>
  </si>
  <si>
    <t>29209022</t>
  </si>
  <si>
    <t>29209029</t>
  </si>
  <si>
    <t>29209031</t>
  </si>
  <si>
    <t>29209032</t>
  </si>
  <si>
    <t>29209033</t>
  </si>
  <si>
    <t>29209039</t>
  </si>
  <si>
    <t>29209041</t>
  </si>
  <si>
    <t>29209042</t>
  </si>
  <si>
    <t>29209049</t>
  </si>
  <si>
    <t>29209051</t>
  </si>
  <si>
    <t>29209059</t>
  </si>
  <si>
    <t>29209061</t>
  </si>
  <si>
    <t>29209062</t>
  </si>
  <si>
    <t>29209063</t>
  </si>
  <si>
    <t>29209064</t>
  </si>
  <si>
    <t>29209069</t>
  </si>
  <si>
    <t>29209090</t>
  </si>
  <si>
    <t>29211111</t>
  </si>
  <si>
    <t>29211112</t>
  </si>
  <si>
    <t>29211121</t>
  </si>
  <si>
    <t>29211122</t>
  </si>
  <si>
    <t>29211123</t>
  </si>
  <si>
    <t>29211129</t>
  </si>
  <si>
    <t>29211131</t>
  </si>
  <si>
    <t>29211132</t>
  </si>
  <si>
    <t>29211139</t>
  </si>
  <si>
    <t>29211911</t>
  </si>
  <si>
    <t>29211912</t>
  </si>
  <si>
    <t>29211913</t>
  </si>
  <si>
    <t>29211914</t>
  </si>
  <si>
    <t>29211915</t>
  </si>
  <si>
    <t>29211919</t>
  </si>
  <si>
    <t>29211921</t>
  </si>
  <si>
    <t>29211922</t>
  </si>
  <si>
    <t>29211923</t>
  </si>
  <si>
    <t>29211924</t>
  </si>
  <si>
    <t>29211929</t>
  </si>
  <si>
    <t>29211931</t>
  </si>
  <si>
    <t>29211939</t>
  </si>
  <si>
    <t>29211941</t>
  </si>
  <si>
    <t>29211949</t>
  </si>
  <si>
    <t>29211991</t>
  </si>
  <si>
    <t>29211992</t>
  </si>
  <si>
    <t>29211993</t>
  </si>
  <si>
    <t>29211999</t>
  </si>
  <si>
    <t>29212100</t>
  </si>
  <si>
    <t>29212200</t>
  </si>
  <si>
    <t>29212910</t>
  </si>
  <si>
    <t>29212920</t>
  </si>
  <si>
    <t>29212990</t>
  </si>
  <si>
    <t>29213011</t>
  </si>
  <si>
    <t>29213012</t>
  </si>
  <si>
    <t>29213019</t>
  </si>
  <si>
    <t>29213020</t>
  </si>
  <si>
    <t>29213090</t>
  </si>
  <si>
    <t>29214100</t>
  </si>
  <si>
    <t>29214211</t>
  </si>
  <si>
    <t>29214219</t>
  </si>
  <si>
    <t>29214221</t>
  </si>
  <si>
    <t>29214229</t>
  </si>
  <si>
    <t>29214231</t>
  </si>
  <si>
    <t>29214239</t>
  </si>
  <si>
    <t>29214241</t>
  </si>
  <si>
    <t>29214249</t>
  </si>
  <si>
    <t>29214290</t>
  </si>
  <si>
    <t>29214311</t>
  </si>
  <si>
    <t>29214319</t>
  </si>
  <si>
    <t>29214321</t>
  </si>
  <si>
    <t>29214322</t>
  </si>
  <si>
    <t>29214323</t>
  </si>
  <si>
    <t>29214329</t>
  </si>
  <si>
    <t>29214410</t>
  </si>
  <si>
    <t>29214421</t>
  </si>
  <si>
    <t>29214422</t>
  </si>
  <si>
    <t>29214429</t>
  </si>
  <si>
    <t>29214500</t>
  </si>
  <si>
    <t>29214610</t>
  </si>
  <si>
    <t>29214620</t>
  </si>
  <si>
    <t>29214630</t>
  </si>
  <si>
    <t>29214640</t>
  </si>
  <si>
    <t>29214650</t>
  </si>
  <si>
    <t>29214660</t>
  </si>
  <si>
    <t>29214670</t>
  </si>
  <si>
    <t>29214680</t>
  </si>
  <si>
    <t>29214690</t>
  </si>
  <si>
    <t>29214910</t>
  </si>
  <si>
    <t>29214921</t>
  </si>
  <si>
    <t>29214922</t>
  </si>
  <si>
    <t>29214929</t>
  </si>
  <si>
    <t>29214931</t>
  </si>
  <si>
    <t>29214939</t>
  </si>
  <si>
    <t>29214990</t>
  </si>
  <si>
    <t>29215111</t>
  </si>
  <si>
    <t>29215112</t>
  </si>
  <si>
    <t>29215119</t>
  </si>
  <si>
    <t>29215120</t>
  </si>
  <si>
    <t>29215131</t>
  </si>
  <si>
    <t>29215132</t>
  </si>
  <si>
    <t>29215133</t>
  </si>
  <si>
    <t>29215134</t>
  </si>
  <si>
    <t>29215135</t>
  </si>
  <si>
    <t>29215139</t>
  </si>
  <si>
    <t>29215190</t>
  </si>
  <si>
    <t>29215911</t>
  </si>
  <si>
    <t>29215919</t>
  </si>
  <si>
    <t>29215921</t>
  </si>
  <si>
    <t>29215929</t>
  </si>
  <si>
    <t>29215931</t>
  </si>
  <si>
    <t>29215932</t>
  </si>
  <si>
    <t>29215939</t>
  </si>
  <si>
    <t>29215990</t>
  </si>
  <si>
    <t>29221100</t>
  </si>
  <si>
    <t>29221200</t>
  </si>
  <si>
    <t>29221310</t>
  </si>
  <si>
    <t>29221320</t>
  </si>
  <si>
    <t>29221400</t>
  </si>
  <si>
    <t>29221911</t>
  </si>
  <si>
    <t>29221912</t>
  </si>
  <si>
    <t>29221913</t>
  </si>
  <si>
    <t>29221919</t>
  </si>
  <si>
    <t>29221921</t>
  </si>
  <si>
    <t>29221929</t>
  </si>
  <si>
    <t>29221931</t>
  </si>
  <si>
    <t>29221939</t>
  </si>
  <si>
    <t>29221941</t>
  </si>
  <si>
    <t>29221949</t>
  </si>
  <si>
    <t>29221951</t>
  </si>
  <si>
    <t>29221952</t>
  </si>
  <si>
    <t>29221959</t>
  </si>
  <si>
    <t>29221961</t>
  </si>
  <si>
    <t>29221962</t>
  </si>
  <si>
    <t>29221969</t>
  </si>
  <si>
    <t>29221991</t>
  </si>
  <si>
    <t>29221992</t>
  </si>
  <si>
    <t>29221993</t>
  </si>
  <si>
    <t>29221994</t>
  </si>
  <si>
    <t>29221995</t>
  </si>
  <si>
    <t>29221999</t>
  </si>
  <si>
    <t>29222100</t>
  </si>
  <si>
    <t>29222911</t>
  </si>
  <si>
    <t>29222919</t>
  </si>
  <si>
    <t>29222920</t>
  </si>
  <si>
    <t>29222990</t>
  </si>
  <si>
    <t>29223111</t>
  </si>
  <si>
    <t>29223112</t>
  </si>
  <si>
    <t>29223120</t>
  </si>
  <si>
    <t>29223130</t>
  </si>
  <si>
    <t>29223910</t>
  </si>
  <si>
    <t>29223921</t>
  </si>
  <si>
    <t>29223929</t>
  </si>
  <si>
    <t>29223990</t>
  </si>
  <si>
    <t>29224110</t>
  </si>
  <si>
    <t>29224190</t>
  </si>
  <si>
    <t>29224210</t>
  </si>
  <si>
    <t>29224220</t>
  </si>
  <si>
    <t>29224300</t>
  </si>
  <si>
    <t>29224410</t>
  </si>
  <si>
    <t>29224420</t>
  </si>
  <si>
    <t>29224910</t>
  </si>
  <si>
    <t>29224920</t>
  </si>
  <si>
    <t>29224931</t>
  </si>
  <si>
    <t>29224932</t>
  </si>
  <si>
    <t>29224940</t>
  </si>
  <si>
    <t>29224951</t>
  </si>
  <si>
    <t>29224952</t>
  </si>
  <si>
    <t>29224959</t>
  </si>
  <si>
    <t>29224961</t>
  </si>
  <si>
    <t>29224962</t>
  </si>
  <si>
    <t>29224963</t>
  </si>
  <si>
    <t>29224964</t>
  </si>
  <si>
    <t>29224969</t>
  </si>
  <si>
    <t>29224990</t>
  </si>
  <si>
    <t>29225011</t>
  </si>
  <si>
    <t>29225019</t>
  </si>
  <si>
    <t>29225021</t>
  </si>
  <si>
    <t>29225029</t>
  </si>
  <si>
    <t>29225031</t>
  </si>
  <si>
    <t>29225032</t>
  </si>
  <si>
    <t>29225039</t>
  </si>
  <si>
    <t>29225041</t>
  </si>
  <si>
    <t>29225049</t>
  </si>
  <si>
    <t>29225050</t>
  </si>
  <si>
    <t>29225091</t>
  </si>
  <si>
    <t>29225099</t>
  </si>
  <si>
    <t>29231000</t>
  </si>
  <si>
    <t>29232000</t>
  </si>
  <si>
    <t>29239010</t>
  </si>
  <si>
    <t>29239020</t>
  </si>
  <si>
    <t>29239030</t>
  </si>
  <si>
    <t>29239040</t>
  </si>
  <si>
    <t>29239050</t>
  </si>
  <si>
    <t>29239060</t>
  </si>
  <si>
    <t>29239090</t>
  </si>
  <si>
    <t>29241100</t>
  </si>
  <si>
    <t>29241210</t>
  </si>
  <si>
    <t>29241220</t>
  </si>
  <si>
    <t>29241230</t>
  </si>
  <si>
    <t>29241911</t>
  </si>
  <si>
    <t>29241919</t>
  </si>
  <si>
    <t>29241921</t>
  </si>
  <si>
    <t>29241922</t>
  </si>
  <si>
    <t>29241929</t>
  </si>
  <si>
    <t>29241931</t>
  </si>
  <si>
    <t>29241932</t>
  </si>
  <si>
    <t>29241939</t>
  </si>
  <si>
    <t>29241942</t>
  </si>
  <si>
    <t>29241949</t>
  </si>
  <si>
    <t>29241991</t>
  </si>
  <si>
    <t>29241992</t>
  </si>
  <si>
    <t>29241993</t>
  </si>
  <si>
    <t>29241994</t>
  </si>
  <si>
    <t>29241999</t>
  </si>
  <si>
    <t>29242111</t>
  </si>
  <si>
    <t>29242119</t>
  </si>
  <si>
    <t>29242120</t>
  </si>
  <si>
    <t>29242190</t>
  </si>
  <si>
    <t>29242300</t>
  </si>
  <si>
    <t>29242400</t>
  </si>
  <si>
    <t>29242911</t>
  </si>
  <si>
    <t>29242912</t>
  </si>
  <si>
    <t>29242913</t>
  </si>
  <si>
    <t>29242914</t>
  </si>
  <si>
    <t>29242915</t>
  </si>
  <si>
    <t>29242919</t>
  </si>
  <si>
    <t>29242920</t>
  </si>
  <si>
    <t>29242931</t>
  </si>
  <si>
    <t>29242932</t>
  </si>
  <si>
    <t>29242939</t>
  </si>
  <si>
    <t>29242941</t>
  </si>
  <si>
    <t>29242942</t>
  </si>
  <si>
    <t>29242943</t>
  </si>
  <si>
    <t>29242944</t>
  </si>
  <si>
    <t>29242945</t>
  </si>
  <si>
    <t>29242946</t>
  </si>
  <si>
    <t>29242947</t>
  </si>
  <si>
    <t>29242949</t>
  </si>
  <si>
    <t>29242951</t>
  </si>
  <si>
    <t>29242952</t>
  </si>
  <si>
    <t>29242959</t>
  </si>
  <si>
    <t>29242961</t>
  </si>
  <si>
    <t>29242962</t>
  </si>
  <si>
    <t>29242963</t>
  </si>
  <si>
    <t>29242964</t>
  </si>
  <si>
    <t>29242969</t>
  </si>
  <si>
    <t>29242991</t>
  </si>
  <si>
    <t>29242992</t>
  </si>
  <si>
    <t>29242993</t>
  </si>
  <si>
    <t>29242994</t>
  </si>
  <si>
    <t>29242995</t>
  </si>
  <si>
    <t>29242996</t>
  </si>
  <si>
    <t>29242999</t>
  </si>
  <si>
    <t>29251100</t>
  </si>
  <si>
    <t>29251200</t>
  </si>
  <si>
    <t>29251910</t>
  </si>
  <si>
    <t>29251990</t>
  </si>
  <si>
    <t>29252100</t>
  </si>
  <si>
    <t>29252911</t>
  </si>
  <si>
    <t>29252919</t>
  </si>
  <si>
    <t>29252921</t>
  </si>
  <si>
    <t>29252922</t>
  </si>
  <si>
    <t>29252923</t>
  </si>
  <si>
    <t>29252929</t>
  </si>
  <si>
    <t>29252930</t>
  </si>
  <si>
    <t>29252940</t>
  </si>
  <si>
    <t>29252950</t>
  </si>
  <si>
    <t>29252990</t>
  </si>
  <si>
    <t>29261000</t>
  </si>
  <si>
    <t>29262000</t>
  </si>
  <si>
    <t>29263011</t>
  </si>
  <si>
    <t>29263012</t>
  </si>
  <si>
    <t>29263020</t>
  </si>
  <si>
    <t>29269011</t>
  </si>
  <si>
    <t>29269012</t>
  </si>
  <si>
    <t>29269019</t>
  </si>
  <si>
    <t>29269021</t>
  </si>
  <si>
    <t>29269022</t>
  </si>
  <si>
    <t>29269023</t>
  </si>
  <si>
    <t>29269024</t>
  </si>
  <si>
    <t>29269025</t>
  </si>
  <si>
    <t>29269026</t>
  </si>
  <si>
    <t>29269029</t>
  </si>
  <si>
    <t>29269030</t>
  </si>
  <si>
    <t>29269091</t>
  </si>
  <si>
    <t>29269092</t>
  </si>
  <si>
    <t>29269093</t>
  </si>
  <si>
    <t>29269095</t>
  </si>
  <si>
    <t>29269096</t>
  </si>
  <si>
    <t>29269099</t>
  </si>
  <si>
    <t>29270010</t>
  </si>
  <si>
    <t>29270021</t>
  </si>
  <si>
    <t>29270029</t>
  </si>
  <si>
    <t>29270030</t>
  </si>
  <si>
    <t>29280011</t>
  </si>
  <si>
    <t>29280019</t>
  </si>
  <si>
    <t>29280020</t>
  </si>
  <si>
    <t>29280030</t>
  </si>
  <si>
    <t>29280041</t>
  </si>
  <si>
    <t>29280042</t>
  </si>
  <si>
    <t>29280090</t>
  </si>
  <si>
    <t>29291010</t>
  </si>
  <si>
    <t>29291021</t>
  </si>
  <si>
    <t>29291029</t>
  </si>
  <si>
    <t>29291030</t>
  </si>
  <si>
    <t>29291090</t>
  </si>
  <si>
    <t>29299011</t>
  </si>
  <si>
    <t>29299012</t>
  </si>
  <si>
    <t>29299019</t>
  </si>
  <si>
    <t>29299021</t>
  </si>
  <si>
    <t>29299022</t>
  </si>
  <si>
    <t>29299029</t>
  </si>
  <si>
    <t>29299090</t>
  </si>
  <si>
    <t>29302011</t>
  </si>
  <si>
    <t>29302012</t>
  </si>
  <si>
    <t>29302013</t>
  </si>
  <si>
    <t>29302019</t>
  </si>
  <si>
    <t>29302021</t>
  </si>
  <si>
    <t>29302022</t>
  </si>
  <si>
    <t>29302023</t>
  </si>
  <si>
    <t>29302024</t>
  </si>
  <si>
    <t>29302029</t>
  </si>
  <si>
    <t>29303011</t>
  </si>
  <si>
    <t>29303012</t>
  </si>
  <si>
    <t>29303019</t>
  </si>
  <si>
    <t>29303021</t>
  </si>
  <si>
    <t>29303022</t>
  </si>
  <si>
    <t>29303029</t>
  </si>
  <si>
    <t>29303090</t>
  </si>
  <si>
    <t>29304010</t>
  </si>
  <si>
    <t>29304090</t>
  </si>
  <si>
    <t>29305010</t>
  </si>
  <si>
    <t>29305020</t>
  </si>
  <si>
    <t>29309011</t>
  </si>
  <si>
    <t>29309012</t>
  </si>
  <si>
    <t>29309013</t>
  </si>
  <si>
    <t>29309019</t>
  </si>
  <si>
    <t>29309021</t>
  </si>
  <si>
    <t>29309022</t>
  </si>
  <si>
    <t>29309023</t>
  </si>
  <si>
    <t>29309029</t>
  </si>
  <si>
    <t>29309031</t>
  </si>
  <si>
    <t>29309032</t>
  </si>
  <si>
    <t>29309033</t>
  </si>
  <si>
    <t>29309034</t>
  </si>
  <si>
    <t>29309035</t>
  </si>
  <si>
    <t>29309036</t>
  </si>
  <si>
    <t>29309037</t>
  </si>
  <si>
    <t>29309038</t>
  </si>
  <si>
    <t>29309039</t>
  </si>
  <si>
    <t>29309041</t>
  </si>
  <si>
    <t>29309042</t>
  </si>
  <si>
    <t>29309043</t>
  </si>
  <si>
    <t>29309049</t>
  </si>
  <si>
    <t>29309051</t>
  </si>
  <si>
    <t>29309052</t>
  </si>
  <si>
    <t>29309053</t>
  </si>
  <si>
    <t>29309054</t>
  </si>
  <si>
    <t>29309057</t>
  </si>
  <si>
    <t>29309059</t>
  </si>
  <si>
    <t>29309061</t>
  </si>
  <si>
    <t>29309069</t>
  </si>
  <si>
    <t>29309071</t>
  </si>
  <si>
    <t>29309072</t>
  </si>
  <si>
    <t>29309079</t>
  </si>
  <si>
    <t>29309081</t>
  </si>
  <si>
    <t>29309082</t>
  </si>
  <si>
    <t>29309083</t>
  </si>
  <si>
    <t>29309084</t>
  </si>
  <si>
    <t>29309085</t>
  </si>
  <si>
    <t>29309086</t>
  </si>
  <si>
    <t>29309087</t>
  </si>
  <si>
    <t>29309088</t>
  </si>
  <si>
    <t>29309089</t>
  </si>
  <si>
    <t>29309091</t>
  </si>
  <si>
    <t>29309093</t>
  </si>
  <si>
    <t>29309094</t>
  </si>
  <si>
    <t>29309095</t>
  </si>
  <si>
    <t>29309096</t>
  </si>
  <si>
    <t>29309097</t>
  </si>
  <si>
    <t>29309098</t>
  </si>
  <si>
    <t>29309099</t>
  </si>
  <si>
    <t>29311000</t>
  </si>
  <si>
    <t>29312000</t>
  </si>
  <si>
    <t>29319021</t>
  </si>
  <si>
    <t>29319029</t>
  </si>
  <si>
    <t>29319031</t>
  </si>
  <si>
    <t>29319032</t>
  </si>
  <si>
    <t>29319033</t>
  </si>
  <si>
    <t>29319034</t>
  </si>
  <si>
    <t>29319035</t>
  </si>
  <si>
    <t>29319036</t>
  </si>
  <si>
    <t>29319037</t>
  </si>
  <si>
    <t>29319038</t>
  </si>
  <si>
    <t>29319041</t>
  </si>
  <si>
    <t>29319042</t>
  </si>
  <si>
    <t>29319043</t>
  </si>
  <si>
    <t>29319044</t>
  </si>
  <si>
    <t>29319045</t>
  </si>
  <si>
    <t>29319046</t>
  </si>
  <si>
    <t>29319049</t>
  </si>
  <si>
    <t>29319051</t>
  </si>
  <si>
    <t>29319052</t>
  </si>
  <si>
    <t>29319053</t>
  </si>
  <si>
    <t>29319054</t>
  </si>
  <si>
    <t>29319059</t>
  </si>
  <si>
    <t>29319061</t>
  </si>
  <si>
    <t>29319062</t>
  </si>
  <si>
    <t>29319069</t>
  </si>
  <si>
    <t>29319071</t>
  </si>
  <si>
    <t>29319072</t>
  </si>
  <si>
    <t>29319073</t>
  </si>
  <si>
    <t>29319074</t>
  </si>
  <si>
    <t>29319075</t>
  </si>
  <si>
    <t>29319076</t>
  </si>
  <si>
    <t>29319077</t>
  </si>
  <si>
    <t>29319079</t>
  </si>
  <si>
    <t>29319090</t>
  </si>
  <si>
    <t>29321100</t>
  </si>
  <si>
    <t>29321200</t>
  </si>
  <si>
    <t>29321310</t>
  </si>
  <si>
    <t>29321320</t>
  </si>
  <si>
    <t>29321910</t>
  </si>
  <si>
    <t>29321920</t>
  </si>
  <si>
    <t>29321930</t>
  </si>
  <si>
    <t>29321940</t>
  </si>
  <si>
    <t>29321950</t>
  </si>
  <si>
    <t>29321990</t>
  </si>
  <si>
    <t>29322000</t>
  </si>
  <si>
    <t>29329100</t>
  </si>
  <si>
    <t>29329200</t>
  </si>
  <si>
    <t>29329300</t>
  </si>
  <si>
    <t>29329400</t>
  </si>
  <si>
    <t>29329500</t>
  </si>
  <si>
    <t>29329911</t>
  </si>
  <si>
    <t>29329912</t>
  </si>
  <si>
    <t>29329913</t>
  </si>
  <si>
    <t>29329914</t>
  </si>
  <si>
    <t>29329991</t>
  </si>
  <si>
    <t>29329992</t>
  </si>
  <si>
    <t>29329993</t>
  </si>
  <si>
    <t>29329994</t>
  </si>
  <si>
    <t>29329999</t>
  </si>
  <si>
    <t>29331111</t>
  </si>
  <si>
    <t>29331112</t>
  </si>
  <si>
    <t>29331119</t>
  </si>
  <si>
    <t>29331120</t>
  </si>
  <si>
    <t>29331190</t>
  </si>
  <si>
    <t>29331911</t>
  </si>
  <si>
    <t>29331919</t>
  </si>
  <si>
    <t>29331990</t>
  </si>
  <si>
    <t>29332110</t>
  </si>
  <si>
    <t>29332121</t>
  </si>
  <si>
    <t>29332129</t>
  </si>
  <si>
    <t>29332190</t>
  </si>
  <si>
    <t>29332911</t>
  </si>
  <si>
    <t>29332912</t>
  </si>
  <si>
    <t>29332913</t>
  </si>
  <si>
    <t>29332919</t>
  </si>
  <si>
    <t>29332921</t>
  </si>
  <si>
    <t>29332922</t>
  </si>
  <si>
    <t>29332923</t>
  </si>
  <si>
    <t>29332924</t>
  </si>
  <si>
    <t>29332925</t>
  </si>
  <si>
    <t>29332929</t>
  </si>
  <si>
    <t>29332930</t>
  </si>
  <si>
    <t>29332940</t>
  </si>
  <si>
    <t>29332991</t>
  </si>
  <si>
    <t>29332992</t>
  </si>
  <si>
    <t>29332993</t>
  </si>
  <si>
    <t>29332994</t>
  </si>
  <si>
    <t>29332995</t>
  </si>
  <si>
    <t>29332999</t>
  </si>
  <si>
    <t>29333110</t>
  </si>
  <si>
    <t>29333120</t>
  </si>
  <si>
    <t>29333200</t>
  </si>
  <si>
    <t>29333311</t>
  </si>
  <si>
    <t>29333312</t>
  </si>
  <si>
    <t>29333319</t>
  </si>
  <si>
    <t>29333321</t>
  </si>
  <si>
    <t>29333322</t>
  </si>
  <si>
    <t>29333329</t>
  </si>
  <si>
    <t>29333330</t>
  </si>
  <si>
    <t>29333341</t>
  </si>
  <si>
    <t>29333342</t>
  </si>
  <si>
    <t>29333349</t>
  </si>
  <si>
    <t>29333351</t>
  </si>
  <si>
    <t>29333352</t>
  </si>
  <si>
    <t>29333359</t>
  </si>
  <si>
    <t>29333361</t>
  </si>
  <si>
    <t>29333362</t>
  </si>
  <si>
    <t>29333363</t>
  </si>
  <si>
    <t>29333369</t>
  </si>
  <si>
    <t>29333371</t>
  </si>
  <si>
    <t>29333372</t>
  </si>
  <si>
    <t>29333379</t>
  </si>
  <si>
    <t>29333381</t>
  </si>
  <si>
    <t>29333382</t>
  </si>
  <si>
    <t>29333383</t>
  </si>
  <si>
    <t>29333384</t>
  </si>
  <si>
    <t>29333389</t>
  </si>
  <si>
    <t>29333391</t>
  </si>
  <si>
    <t>29333392</t>
  </si>
  <si>
    <t>29333393</t>
  </si>
  <si>
    <t>29333399</t>
  </si>
  <si>
    <t>29333912</t>
  </si>
  <si>
    <t>29333913</t>
  </si>
  <si>
    <t>29333914</t>
  </si>
  <si>
    <t>29333915</t>
  </si>
  <si>
    <t>29333919</t>
  </si>
  <si>
    <t>29333921</t>
  </si>
  <si>
    <t>29333922</t>
  </si>
  <si>
    <t>29333923</t>
  </si>
  <si>
    <t>29333924</t>
  </si>
  <si>
    <t>29333925</t>
  </si>
  <si>
    <t>29333929</t>
  </si>
  <si>
    <t>29333931</t>
  </si>
  <si>
    <t>29333932</t>
  </si>
  <si>
    <t>29333933</t>
  </si>
  <si>
    <t>29333934</t>
  </si>
  <si>
    <t>29333935</t>
  </si>
  <si>
    <t>29333936</t>
  </si>
  <si>
    <t>29333939</t>
  </si>
  <si>
    <t>29333943</t>
  </si>
  <si>
    <t>29333944</t>
  </si>
  <si>
    <t>29333945</t>
  </si>
  <si>
    <t>29333946</t>
  </si>
  <si>
    <t>29333947</t>
  </si>
  <si>
    <t>29333948</t>
  </si>
  <si>
    <t>29333949</t>
  </si>
  <si>
    <t>29333981</t>
  </si>
  <si>
    <t>29333982</t>
  </si>
  <si>
    <t>29333983</t>
  </si>
  <si>
    <t>29333984</t>
  </si>
  <si>
    <t>29333989</t>
  </si>
  <si>
    <t>29333991</t>
  </si>
  <si>
    <t>29333992</t>
  </si>
  <si>
    <t>29333993</t>
  </si>
  <si>
    <t>29333994</t>
  </si>
  <si>
    <t>29333999</t>
  </si>
  <si>
    <t>29334110</t>
  </si>
  <si>
    <t>29334120</t>
  </si>
  <si>
    <t>29334911</t>
  </si>
  <si>
    <t>29334912</t>
  </si>
  <si>
    <t>29334913</t>
  </si>
  <si>
    <t>29334919</t>
  </si>
  <si>
    <t>29334920</t>
  </si>
  <si>
    <t>29334930</t>
  </si>
  <si>
    <t>29334940</t>
  </si>
  <si>
    <t>29334990</t>
  </si>
  <si>
    <t>29335200</t>
  </si>
  <si>
    <t>29335311</t>
  </si>
  <si>
    <t>29335312</t>
  </si>
  <si>
    <t>29335321</t>
  </si>
  <si>
    <t>29335322</t>
  </si>
  <si>
    <t>29335323</t>
  </si>
  <si>
    <t>29335330</t>
  </si>
  <si>
    <t>29335340</t>
  </si>
  <si>
    <t>29335350</t>
  </si>
  <si>
    <t>29335360</t>
  </si>
  <si>
    <t>29335371</t>
  </si>
  <si>
    <t>29335372</t>
  </si>
  <si>
    <t>29335380</t>
  </si>
  <si>
    <t>29335400</t>
  </si>
  <si>
    <t>29335510</t>
  </si>
  <si>
    <t>29335520</t>
  </si>
  <si>
    <t>29335530</t>
  </si>
  <si>
    <t>29335540</t>
  </si>
  <si>
    <t>29335911</t>
  </si>
  <si>
    <t>29335912</t>
  </si>
  <si>
    <t>29335913</t>
  </si>
  <si>
    <t>29335914</t>
  </si>
  <si>
    <t>29335915</t>
  </si>
  <si>
    <t>29335916</t>
  </si>
  <si>
    <t>29335919</t>
  </si>
  <si>
    <t>29335921</t>
  </si>
  <si>
    <t>29335922</t>
  </si>
  <si>
    <t>29335923</t>
  </si>
  <si>
    <t>29335929</t>
  </si>
  <si>
    <t>29335931</t>
  </si>
  <si>
    <t>29335932</t>
  </si>
  <si>
    <t>29335933</t>
  </si>
  <si>
    <t>29335934</t>
  </si>
  <si>
    <t>29335935</t>
  </si>
  <si>
    <t>29335939</t>
  </si>
  <si>
    <t>29335941</t>
  </si>
  <si>
    <t>29335942</t>
  </si>
  <si>
    <t>29335943</t>
  </si>
  <si>
    <t>29335944</t>
  </si>
  <si>
    <t>29335945</t>
  </si>
  <si>
    <t>29335949</t>
  </si>
  <si>
    <t>29335991</t>
  </si>
  <si>
    <t>29335992</t>
  </si>
  <si>
    <t>29335999</t>
  </si>
  <si>
    <t>29336100</t>
  </si>
  <si>
    <t>29336911</t>
  </si>
  <si>
    <t>29336912</t>
  </si>
  <si>
    <t>29336913</t>
  </si>
  <si>
    <t>29336914</t>
  </si>
  <si>
    <t>29336915</t>
  </si>
  <si>
    <t>29336916</t>
  </si>
  <si>
    <t>29336919</t>
  </si>
  <si>
    <t>29336921</t>
  </si>
  <si>
    <t>29336922</t>
  </si>
  <si>
    <t>29336923</t>
  </si>
  <si>
    <t>29336929</t>
  </si>
  <si>
    <t>29336991</t>
  </si>
  <si>
    <t>29336992</t>
  </si>
  <si>
    <t>29336999</t>
  </si>
  <si>
    <t>29337100</t>
  </si>
  <si>
    <t>29337210</t>
  </si>
  <si>
    <t>29337220</t>
  </si>
  <si>
    <t>29337910</t>
  </si>
  <si>
    <t>29337990</t>
  </si>
  <si>
    <t>29339111</t>
  </si>
  <si>
    <t>29339112</t>
  </si>
  <si>
    <t>29339113</t>
  </si>
  <si>
    <t>29339114</t>
  </si>
  <si>
    <t>29339115</t>
  </si>
  <si>
    <t>29339119</t>
  </si>
  <si>
    <t>29339121</t>
  </si>
  <si>
    <t>29339122</t>
  </si>
  <si>
    <t>29339123</t>
  </si>
  <si>
    <t>29339129</t>
  </si>
  <si>
    <t>29339131</t>
  </si>
  <si>
    <t>29339132</t>
  </si>
  <si>
    <t>29339133</t>
  </si>
  <si>
    <t>29339134</t>
  </si>
  <si>
    <t>29339139</t>
  </si>
  <si>
    <t>29339141</t>
  </si>
  <si>
    <t>29339142</t>
  </si>
  <si>
    <t>29339143</t>
  </si>
  <si>
    <t>29339149</t>
  </si>
  <si>
    <t>29339151</t>
  </si>
  <si>
    <t>29339152</t>
  </si>
  <si>
    <t>29339153</t>
  </si>
  <si>
    <t>29339159</t>
  </si>
  <si>
    <t>29339161</t>
  </si>
  <si>
    <t>29339162</t>
  </si>
  <si>
    <t>29339163</t>
  </si>
  <si>
    <t>29339164</t>
  </si>
  <si>
    <t>29339169</t>
  </si>
  <si>
    <t>29339171</t>
  </si>
  <si>
    <t>29339172</t>
  </si>
  <si>
    <t>29339173</t>
  </si>
  <si>
    <t>29339179</t>
  </si>
  <si>
    <t>29339181</t>
  </si>
  <si>
    <t>29339182</t>
  </si>
  <si>
    <t>29339183</t>
  </si>
  <si>
    <t>29339189</t>
  </si>
  <si>
    <t>29339911</t>
  </si>
  <si>
    <t>29339912</t>
  </si>
  <si>
    <t>29339913</t>
  </si>
  <si>
    <t>29339919</t>
  </si>
  <si>
    <t>29339920</t>
  </si>
  <si>
    <t>29339931</t>
  </si>
  <si>
    <t>29339932</t>
  </si>
  <si>
    <t>29339933</t>
  </si>
  <si>
    <t>29339934</t>
  </si>
  <si>
    <t>29339935</t>
  </si>
  <si>
    <t>29339939</t>
  </si>
  <si>
    <t>29339941</t>
  </si>
  <si>
    <t>29339942</t>
  </si>
  <si>
    <t>29339943</t>
  </si>
  <si>
    <t>29339944</t>
  </si>
  <si>
    <t>29339945</t>
  </si>
  <si>
    <t>29339946</t>
  </si>
  <si>
    <t>29339947</t>
  </si>
  <si>
    <t>29339949</t>
  </si>
  <si>
    <t>29339951</t>
  </si>
  <si>
    <t>29339952</t>
  </si>
  <si>
    <t>29339953</t>
  </si>
  <si>
    <t>29339954</t>
  </si>
  <si>
    <t>29339955</t>
  </si>
  <si>
    <t>29339956</t>
  </si>
  <si>
    <t>29339959</t>
  </si>
  <si>
    <t>29339961</t>
  </si>
  <si>
    <t>29339962</t>
  </si>
  <si>
    <t>29339963</t>
  </si>
  <si>
    <t>29339969</t>
  </si>
  <si>
    <t>29339991</t>
  </si>
  <si>
    <t>29339992</t>
  </si>
  <si>
    <t>29339993</t>
  </si>
  <si>
    <t>29339995</t>
  </si>
  <si>
    <t>29339996</t>
  </si>
  <si>
    <t>29339999</t>
  </si>
  <si>
    <t>29341010</t>
  </si>
  <si>
    <t>29341020</t>
  </si>
  <si>
    <t>29341030</t>
  </si>
  <si>
    <t>29341090</t>
  </si>
  <si>
    <t>29342010</t>
  </si>
  <si>
    <t>29342020</t>
  </si>
  <si>
    <t>29342031</t>
  </si>
  <si>
    <t>29342032</t>
  </si>
  <si>
    <t>29342033</t>
  </si>
  <si>
    <t>29342034</t>
  </si>
  <si>
    <t>29342039</t>
  </si>
  <si>
    <t>29342040</t>
  </si>
  <si>
    <t>29342090</t>
  </si>
  <si>
    <t>29343010</t>
  </si>
  <si>
    <t>29343020</t>
  </si>
  <si>
    <t>29343030</t>
  </si>
  <si>
    <t>29343090</t>
  </si>
  <si>
    <t>29349111</t>
  </si>
  <si>
    <t>29349112</t>
  </si>
  <si>
    <t>29349121</t>
  </si>
  <si>
    <t>29349122</t>
  </si>
  <si>
    <t>29349123</t>
  </si>
  <si>
    <t>29349129</t>
  </si>
  <si>
    <t>29349131</t>
  </si>
  <si>
    <t>29349132</t>
  </si>
  <si>
    <t>29349133</t>
  </si>
  <si>
    <t>29349141</t>
  </si>
  <si>
    <t>29349142</t>
  </si>
  <si>
    <t>29349149</t>
  </si>
  <si>
    <t>29349150</t>
  </si>
  <si>
    <t>29349160</t>
  </si>
  <si>
    <t>29349170</t>
  </si>
  <si>
    <t>29349911</t>
  </si>
  <si>
    <t>29349912</t>
  </si>
  <si>
    <t>29349913</t>
  </si>
  <si>
    <t>29349914</t>
  </si>
  <si>
    <t>29349915</t>
  </si>
  <si>
    <t>29349919</t>
  </si>
  <si>
    <t>29349922</t>
  </si>
  <si>
    <t>29349923</t>
  </si>
  <si>
    <t>29349924</t>
  </si>
  <si>
    <t>29349925</t>
  </si>
  <si>
    <t>29349926</t>
  </si>
  <si>
    <t>29349927</t>
  </si>
  <si>
    <t>29349929</t>
  </si>
  <si>
    <t>29349931</t>
  </si>
  <si>
    <t>29349932</t>
  </si>
  <si>
    <t>29349933</t>
  </si>
  <si>
    <t>29349934</t>
  </si>
  <si>
    <t>29349935</t>
  </si>
  <si>
    <t>29349939</t>
  </si>
  <si>
    <t>29349941</t>
  </si>
  <si>
    <t>29349942</t>
  </si>
  <si>
    <t>29349943</t>
  </si>
  <si>
    <t>29349944</t>
  </si>
  <si>
    <t>29349945</t>
  </si>
  <si>
    <t>29349946</t>
  </si>
  <si>
    <t>29349949</t>
  </si>
  <si>
    <t>29349951</t>
  </si>
  <si>
    <t>29349952</t>
  </si>
  <si>
    <t>29349953</t>
  </si>
  <si>
    <t>29349954</t>
  </si>
  <si>
    <t>29349959</t>
  </si>
  <si>
    <t>29349961</t>
  </si>
  <si>
    <t>29349969</t>
  </si>
  <si>
    <t>29349991</t>
  </si>
  <si>
    <t>29349992</t>
  </si>
  <si>
    <t>29349993</t>
  </si>
  <si>
    <t>29349999</t>
  </si>
  <si>
    <t>29350011</t>
  </si>
  <si>
    <t>29350012</t>
  </si>
  <si>
    <t>29350013</t>
  </si>
  <si>
    <t>29350014</t>
  </si>
  <si>
    <t>29350015</t>
  </si>
  <si>
    <t>29350019</t>
  </si>
  <si>
    <t>29350021</t>
  </si>
  <si>
    <t>29350022</t>
  </si>
  <si>
    <t>29350023</t>
  </si>
  <si>
    <t>29350024</t>
  </si>
  <si>
    <t>29350025</t>
  </si>
  <si>
    <t>29350029</t>
  </si>
  <si>
    <t>29350091</t>
  </si>
  <si>
    <t>29350092</t>
  </si>
  <si>
    <t>29350093</t>
  </si>
  <si>
    <t>29350094</t>
  </si>
  <si>
    <t>29350095</t>
  </si>
  <si>
    <t>29350096</t>
  </si>
  <si>
    <t>29350097</t>
  </si>
  <si>
    <t>29350099</t>
  </si>
  <si>
    <t>29362111</t>
  </si>
  <si>
    <t>29362112</t>
  </si>
  <si>
    <t>29362113</t>
  </si>
  <si>
    <t>29362119</t>
  </si>
  <si>
    <t>29362190</t>
  </si>
  <si>
    <t>29362210</t>
  </si>
  <si>
    <t>29362220</t>
  </si>
  <si>
    <t>29362290</t>
  </si>
  <si>
    <t>29362310</t>
  </si>
  <si>
    <t>29362320</t>
  </si>
  <si>
    <t>29362390</t>
  </si>
  <si>
    <t>29362410</t>
  </si>
  <si>
    <t>29362490</t>
  </si>
  <si>
    <t>29362510</t>
  </si>
  <si>
    <t>29362520</t>
  </si>
  <si>
    <t>29362590</t>
  </si>
  <si>
    <t>29362610</t>
  </si>
  <si>
    <t>29362620</t>
  </si>
  <si>
    <t>29362630</t>
  </si>
  <si>
    <t>29362690</t>
  </si>
  <si>
    <t>29362710</t>
  </si>
  <si>
    <t>29362720</t>
  </si>
  <si>
    <t>29362790</t>
  </si>
  <si>
    <t>29362811</t>
  </si>
  <si>
    <t>29362812</t>
  </si>
  <si>
    <t>29362819</t>
  </si>
  <si>
    <t>29362890</t>
  </si>
  <si>
    <t>29362911</t>
  </si>
  <si>
    <t>29362919</t>
  </si>
  <si>
    <t>29362921</t>
  </si>
  <si>
    <t>29362929</t>
  </si>
  <si>
    <t>29362931</t>
  </si>
  <si>
    <t>29362939</t>
  </si>
  <si>
    <t>29362940</t>
  </si>
  <si>
    <t>29362951</t>
  </si>
  <si>
    <t>29362952</t>
  </si>
  <si>
    <t>29362953</t>
  </si>
  <si>
    <t>29362959</t>
  </si>
  <si>
    <t>29362990</t>
  </si>
  <si>
    <t>29369000</t>
  </si>
  <si>
    <t>29371100</t>
  </si>
  <si>
    <t>29371200</t>
  </si>
  <si>
    <t>29371910</t>
  </si>
  <si>
    <t>29371920</t>
  </si>
  <si>
    <t>29371930</t>
  </si>
  <si>
    <t>29371940</t>
  </si>
  <si>
    <t>29371950</t>
  </si>
  <si>
    <t>29371990</t>
  </si>
  <si>
    <t>29372110</t>
  </si>
  <si>
    <t>29372120</t>
  </si>
  <si>
    <t>29372130</t>
  </si>
  <si>
    <t>29372140</t>
  </si>
  <si>
    <t>29372210</t>
  </si>
  <si>
    <t>29372221</t>
  </si>
  <si>
    <t>29372229</t>
  </si>
  <si>
    <t>29372231</t>
  </si>
  <si>
    <t>29372239</t>
  </si>
  <si>
    <t>29372290</t>
  </si>
  <si>
    <t>29372310</t>
  </si>
  <si>
    <t>29372321</t>
  </si>
  <si>
    <t>29372322</t>
  </si>
  <si>
    <t>29372329</t>
  </si>
  <si>
    <t>29372331</t>
  </si>
  <si>
    <t>29372339</t>
  </si>
  <si>
    <t>29372341</t>
  </si>
  <si>
    <t>29372342</t>
  </si>
  <si>
    <t>29372349</t>
  </si>
  <si>
    <t>29372351</t>
  </si>
  <si>
    <t>29372359</t>
  </si>
  <si>
    <t>29372360</t>
  </si>
  <si>
    <t>29372370</t>
  </si>
  <si>
    <t>29372391</t>
  </si>
  <si>
    <t>29372392</t>
  </si>
  <si>
    <t>29372399</t>
  </si>
  <si>
    <t>29372910</t>
  </si>
  <si>
    <t>29372920</t>
  </si>
  <si>
    <t>29372931</t>
  </si>
  <si>
    <t>29372939</t>
  </si>
  <si>
    <t>29372940</t>
  </si>
  <si>
    <t>29372950</t>
  </si>
  <si>
    <t>29372960</t>
  </si>
  <si>
    <t>29372990</t>
  </si>
  <si>
    <t>29375000</t>
  </si>
  <si>
    <t>29379010</t>
  </si>
  <si>
    <t>29379030</t>
  </si>
  <si>
    <t>29379040</t>
  </si>
  <si>
    <t>29379090</t>
  </si>
  <si>
    <t>29381000</t>
  </si>
  <si>
    <t>29389010</t>
  </si>
  <si>
    <t>29389020</t>
  </si>
  <si>
    <t>29389090</t>
  </si>
  <si>
    <t>29391110</t>
  </si>
  <si>
    <t>29391121</t>
  </si>
  <si>
    <t>29391122</t>
  </si>
  <si>
    <t>29391123</t>
  </si>
  <si>
    <t>29391131</t>
  </si>
  <si>
    <t>29391132</t>
  </si>
  <si>
    <t>29391140</t>
  </si>
  <si>
    <t>29391151</t>
  </si>
  <si>
    <t>29391152</t>
  </si>
  <si>
    <t>29391153</t>
  </si>
  <si>
    <t>29391161</t>
  </si>
  <si>
    <t>29391162</t>
  </si>
  <si>
    <t>29391169</t>
  </si>
  <si>
    <t>29391170</t>
  </si>
  <si>
    <t>29391181</t>
  </si>
  <si>
    <t>29391182</t>
  </si>
  <si>
    <t>29391191</t>
  </si>
  <si>
    <t>29391192</t>
  </si>
  <si>
    <t>29391900</t>
  </si>
  <si>
    <t>29392000</t>
  </si>
  <si>
    <t>29393010</t>
  </si>
  <si>
    <t>29393020</t>
  </si>
  <si>
    <t>29394100</t>
  </si>
  <si>
    <t>29394200</t>
  </si>
  <si>
    <t>29394300</t>
  </si>
  <si>
    <t>29394400</t>
  </si>
  <si>
    <t>29394900</t>
  </si>
  <si>
    <t>29395100</t>
  </si>
  <si>
    <t>29395910</t>
  </si>
  <si>
    <t>29395920</t>
  </si>
  <si>
    <t>29395990</t>
  </si>
  <si>
    <t>29396100</t>
  </si>
  <si>
    <t>29396200</t>
  </si>
  <si>
    <t>29396300</t>
  </si>
  <si>
    <t>29396911</t>
  </si>
  <si>
    <t>29396919</t>
  </si>
  <si>
    <t>29396921</t>
  </si>
  <si>
    <t>29396929</t>
  </si>
  <si>
    <t>29396931</t>
  </si>
  <si>
    <t>29396939</t>
  </si>
  <si>
    <t>29396941</t>
  </si>
  <si>
    <t>29396942</t>
  </si>
  <si>
    <t>29396949</t>
  </si>
  <si>
    <t>29396951</t>
  </si>
  <si>
    <t>29396952</t>
  </si>
  <si>
    <t>29396959</t>
  </si>
  <si>
    <t>29396990</t>
  </si>
  <si>
    <t>29399111</t>
  </si>
  <si>
    <t>29399112</t>
  </si>
  <si>
    <t>29399119</t>
  </si>
  <si>
    <t>29399120</t>
  </si>
  <si>
    <t>29399130</t>
  </si>
  <si>
    <t>29399140</t>
  </si>
  <si>
    <t>29399911</t>
  </si>
  <si>
    <t>29399919</t>
  </si>
  <si>
    <t>29399920</t>
  </si>
  <si>
    <t>29399931</t>
  </si>
  <si>
    <t>29399939</t>
  </si>
  <si>
    <t>29399940</t>
  </si>
  <si>
    <t>29399990</t>
  </si>
  <si>
    <t>29400011</t>
  </si>
  <si>
    <t>29400012</t>
  </si>
  <si>
    <t>29400013</t>
  </si>
  <si>
    <t>29400019</t>
  </si>
  <si>
    <t>29400021</t>
  </si>
  <si>
    <t>29400022</t>
  </si>
  <si>
    <t>29400023</t>
  </si>
  <si>
    <t>29400029</t>
  </si>
  <si>
    <t>29400092</t>
  </si>
  <si>
    <t>29400093</t>
  </si>
  <si>
    <t>29400094</t>
  </si>
  <si>
    <t>29400099</t>
  </si>
  <si>
    <t>29411010</t>
  </si>
  <si>
    <t>29411020</t>
  </si>
  <si>
    <t>29411031</t>
  </si>
  <si>
    <t>29411039</t>
  </si>
  <si>
    <t>29411041</t>
  </si>
  <si>
    <t>29411042</t>
  </si>
  <si>
    <t>29411043</t>
  </si>
  <si>
    <t>29411049</t>
  </si>
  <si>
    <t>29411090</t>
  </si>
  <si>
    <t>29412010</t>
  </si>
  <si>
    <t>29412090</t>
  </si>
  <si>
    <t>29413010</t>
  </si>
  <si>
    <t>29413020</t>
  </si>
  <si>
    <t>29413031</t>
  </si>
  <si>
    <t>29413032</t>
  </si>
  <si>
    <t>29413090</t>
  </si>
  <si>
    <t>29414011</t>
  </si>
  <si>
    <t>29414019</t>
  </si>
  <si>
    <t>29414020</t>
  </si>
  <si>
    <t>29414090</t>
  </si>
  <si>
    <t>29415010</t>
  </si>
  <si>
    <t>29415020</t>
  </si>
  <si>
    <t>29415090</t>
  </si>
  <si>
    <t>29419011</t>
  </si>
  <si>
    <t>29419012</t>
  </si>
  <si>
    <t>29419013</t>
  </si>
  <si>
    <t>29419019</t>
  </si>
  <si>
    <t>29419021</t>
  </si>
  <si>
    <t>29419022</t>
  </si>
  <si>
    <t>29419029</t>
  </si>
  <si>
    <t>29419031</t>
  </si>
  <si>
    <t>29419032</t>
  </si>
  <si>
    <t>29419033</t>
  </si>
  <si>
    <t>29419034</t>
  </si>
  <si>
    <t>29419035</t>
  </si>
  <si>
    <t>29419036</t>
  </si>
  <si>
    <t>29419037</t>
  </si>
  <si>
    <t>29419039</t>
  </si>
  <si>
    <t>29419041</t>
  </si>
  <si>
    <t>29419042</t>
  </si>
  <si>
    <t>29419043</t>
  </si>
  <si>
    <t>29419049</t>
  </si>
  <si>
    <t>29419051</t>
  </si>
  <si>
    <t>29419059</t>
  </si>
  <si>
    <t>29419061</t>
  </si>
  <si>
    <t>29419062</t>
  </si>
  <si>
    <t>29419069</t>
  </si>
  <si>
    <t>29419071</t>
  </si>
  <si>
    <t>29419072</t>
  </si>
  <si>
    <t>29419073</t>
  </si>
  <si>
    <t>29419079</t>
  </si>
  <si>
    <t>29419081</t>
  </si>
  <si>
    <t>29419082</t>
  </si>
  <si>
    <t>29419083</t>
  </si>
  <si>
    <t>29419089</t>
  </si>
  <si>
    <t>29419091</t>
  </si>
  <si>
    <t>29419092</t>
  </si>
  <si>
    <t>29419099</t>
  </si>
  <si>
    <t>29420000</t>
  </si>
  <si>
    <t>30012010</t>
  </si>
  <si>
    <t>30012090</t>
  </si>
  <si>
    <t>30019010</t>
  </si>
  <si>
    <t>30019020</t>
  </si>
  <si>
    <t>30019031</t>
  </si>
  <si>
    <t>30019039</t>
  </si>
  <si>
    <t>30019090</t>
  </si>
  <si>
    <t>30021011</t>
  </si>
  <si>
    <t>30021012</t>
  </si>
  <si>
    <t>30021013</t>
  </si>
  <si>
    <t>30021014</t>
  </si>
  <si>
    <t>30021015</t>
  </si>
  <si>
    <t>30021016</t>
  </si>
  <si>
    <t>30021019</t>
  </si>
  <si>
    <t>30021022</t>
  </si>
  <si>
    <t>30021023</t>
  </si>
  <si>
    <t>30021024</t>
  </si>
  <si>
    <t>30021025</t>
  </si>
  <si>
    <t>30021026</t>
  </si>
  <si>
    <t>30021029</t>
  </si>
  <si>
    <t>30021031</t>
  </si>
  <si>
    <t>30021032</t>
  </si>
  <si>
    <t>30021033</t>
  </si>
  <si>
    <t>30021034</t>
  </si>
  <si>
    <t>30021035</t>
  </si>
  <si>
    <t>30021036</t>
  </si>
  <si>
    <t>30021037</t>
  </si>
  <si>
    <t>30021038</t>
  </si>
  <si>
    <t>30021039</t>
  </si>
  <si>
    <t>30022011</t>
  </si>
  <si>
    <t>30022012</t>
  </si>
  <si>
    <t>30022013</t>
  </si>
  <si>
    <t>30022014</t>
  </si>
  <si>
    <t>30022015</t>
  </si>
  <si>
    <t>30022016</t>
  </si>
  <si>
    <t>30022017</t>
  </si>
  <si>
    <t>30022018</t>
  </si>
  <si>
    <t>30022019</t>
  </si>
  <si>
    <t>30022021</t>
  </si>
  <si>
    <t>30022022</t>
  </si>
  <si>
    <t>30022023</t>
  </si>
  <si>
    <t>30022024</t>
  </si>
  <si>
    <t>30022025</t>
  </si>
  <si>
    <t>30022026</t>
  </si>
  <si>
    <t>30022027</t>
  </si>
  <si>
    <t>30022028</t>
  </si>
  <si>
    <t>30022029</t>
  </si>
  <si>
    <t>30023010</t>
  </si>
  <si>
    <t>30023020</t>
  </si>
  <si>
    <t>30023030</t>
  </si>
  <si>
    <t>30023040</t>
  </si>
  <si>
    <t>30023050</t>
  </si>
  <si>
    <t>30023060</t>
  </si>
  <si>
    <t>30023070</t>
  </si>
  <si>
    <t>30023080</t>
  </si>
  <si>
    <t>30023090</t>
  </si>
  <si>
    <t>30029010</t>
  </si>
  <si>
    <t>30029020</t>
  </si>
  <si>
    <t>30029030</t>
  </si>
  <si>
    <t>30029091</t>
  </si>
  <si>
    <t>30029092</t>
  </si>
  <si>
    <t>30029093</t>
  </si>
  <si>
    <t>30029094</t>
  </si>
  <si>
    <t>30029099</t>
  </si>
  <si>
    <t>30031011</t>
  </si>
  <si>
    <t>30031012</t>
  </si>
  <si>
    <t>30031013</t>
  </si>
  <si>
    <t>30031014</t>
  </si>
  <si>
    <t>30031015</t>
  </si>
  <si>
    <t>30031019</t>
  </si>
  <si>
    <t>30031020</t>
  </si>
  <si>
    <t>30032011</t>
  </si>
  <si>
    <t>30032019</t>
  </si>
  <si>
    <t>30032021</t>
  </si>
  <si>
    <t>30032029</t>
  </si>
  <si>
    <t>30032031</t>
  </si>
  <si>
    <t>30032032</t>
  </si>
  <si>
    <t>30032039</t>
  </si>
  <si>
    <t>30032041</t>
  </si>
  <si>
    <t>30032049</t>
  </si>
  <si>
    <t>30032051</t>
  </si>
  <si>
    <t>30032052</t>
  </si>
  <si>
    <t>30032059</t>
  </si>
  <si>
    <t>30032061</t>
  </si>
  <si>
    <t>30032062</t>
  </si>
  <si>
    <t>30032063</t>
  </si>
  <si>
    <t>30032069</t>
  </si>
  <si>
    <t>30032071</t>
  </si>
  <si>
    <t>30032072</t>
  </si>
  <si>
    <t>30032073</t>
  </si>
  <si>
    <t>30032079</t>
  </si>
  <si>
    <t>30032091</t>
  </si>
  <si>
    <t>30032092</t>
  </si>
  <si>
    <t>30032093</t>
  </si>
  <si>
    <t>30032094</t>
  </si>
  <si>
    <t>30032095</t>
  </si>
  <si>
    <t>30032099</t>
  </si>
  <si>
    <t>30033100</t>
  </si>
  <si>
    <t>30033911</t>
  </si>
  <si>
    <t>30033912</t>
  </si>
  <si>
    <t>30033913</t>
  </si>
  <si>
    <t>30033914</t>
  </si>
  <si>
    <t>30033915</t>
  </si>
  <si>
    <t>30033916</t>
  </si>
  <si>
    <t>30033917</t>
  </si>
  <si>
    <t>30033918</t>
  </si>
  <si>
    <t>30033919</t>
  </si>
  <si>
    <t>30033921</t>
  </si>
  <si>
    <t>30033922</t>
  </si>
  <si>
    <t>30033923</t>
  </si>
  <si>
    <t>30033924</t>
  </si>
  <si>
    <t>30033925</t>
  </si>
  <si>
    <t>30033926</t>
  </si>
  <si>
    <t>30033927</t>
  </si>
  <si>
    <t>30033929</t>
  </si>
  <si>
    <t>30033931</t>
  </si>
  <si>
    <t>30033932</t>
  </si>
  <si>
    <t>30033933</t>
  </si>
  <si>
    <t>30033934</t>
  </si>
  <si>
    <t>30033935</t>
  </si>
  <si>
    <t>30033936</t>
  </si>
  <si>
    <t>30033937</t>
  </si>
  <si>
    <t>30033939</t>
  </si>
  <si>
    <t>30033981</t>
  </si>
  <si>
    <t>30033982</t>
  </si>
  <si>
    <t>30033991</t>
  </si>
  <si>
    <t>30033992</t>
  </si>
  <si>
    <t>30033994</t>
  </si>
  <si>
    <t>30033995</t>
  </si>
  <si>
    <t>30033999</t>
  </si>
  <si>
    <t>30034010</t>
  </si>
  <si>
    <t>30034020</t>
  </si>
  <si>
    <t>30034030</t>
  </si>
  <si>
    <t>30034040</t>
  </si>
  <si>
    <t>30034050</t>
  </si>
  <si>
    <t>30034090</t>
  </si>
  <si>
    <t>30039011</t>
  </si>
  <si>
    <t>30039012</t>
  </si>
  <si>
    <t>30039013</t>
  </si>
  <si>
    <t>30039014</t>
  </si>
  <si>
    <t>30039015</t>
  </si>
  <si>
    <t>30039016</t>
  </si>
  <si>
    <t>30039017</t>
  </si>
  <si>
    <t>30039019</t>
  </si>
  <si>
    <t>30039021</t>
  </si>
  <si>
    <t>30039022</t>
  </si>
  <si>
    <t>30039023</t>
  </si>
  <si>
    <t>30039029</t>
  </si>
  <si>
    <t>30039031</t>
  </si>
  <si>
    <t>30039032</t>
  </si>
  <si>
    <t>30039033</t>
  </si>
  <si>
    <t>30039034</t>
  </si>
  <si>
    <t>30039035</t>
  </si>
  <si>
    <t>30039036</t>
  </si>
  <si>
    <t>30039037</t>
  </si>
  <si>
    <t>30039038</t>
  </si>
  <si>
    <t>30039039</t>
  </si>
  <si>
    <t>30039041</t>
  </si>
  <si>
    <t>30039042</t>
  </si>
  <si>
    <t>30039043</t>
  </si>
  <si>
    <t>30039044</t>
  </si>
  <si>
    <t>30039045</t>
  </si>
  <si>
    <t>30039046</t>
  </si>
  <si>
    <t>30039047</t>
  </si>
  <si>
    <t>30039048</t>
  </si>
  <si>
    <t>30039049</t>
  </si>
  <si>
    <t>30039051</t>
  </si>
  <si>
    <t>30039052</t>
  </si>
  <si>
    <t>30039053</t>
  </si>
  <si>
    <t>30039054</t>
  </si>
  <si>
    <t>30039055</t>
  </si>
  <si>
    <t>30039056</t>
  </si>
  <si>
    <t>30039057</t>
  </si>
  <si>
    <t>30039058</t>
  </si>
  <si>
    <t>30039059</t>
  </si>
  <si>
    <t>30039061</t>
  </si>
  <si>
    <t>30039062</t>
  </si>
  <si>
    <t>30039063</t>
  </si>
  <si>
    <t>30039064</t>
  </si>
  <si>
    <t>30039065</t>
  </si>
  <si>
    <t>30039066</t>
  </si>
  <si>
    <t>30039067</t>
  </si>
  <si>
    <t>30039069</t>
  </si>
  <si>
    <t>30039071</t>
  </si>
  <si>
    <t>30039072</t>
  </si>
  <si>
    <t>30039073</t>
  </si>
  <si>
    <t>30039074</t>
  </si>
  <si>
    <t>30039075</t>
  </si>
  <si>
    <t>30039076</t>
  </si>
  <si>
    <t>30039077</t>
  </si>
  <si>
    <t>30039078</t>
  </si>
  <si>
    <t>30039079</t>
  </si>
  <si>
    <t>30039081</t>
  </si>
  <si>
    <t>30039082</t>
  </si>
  <si>
    <t>30039083</t>
  </si>
  <si>
    <t>30039084</t>
  </si>
  <si>
    <t>30039085</t>
  </si>
  <si>
    <t>30039086</t>
  </si>
  <si>
    <t>30039087</t>
  </si>
  <si>
    <t>30039088</t>
  </si>
  <si>
    <t>30039089</t>
  </si>
  <si>
    <t>30039091</t>
  </si>
  <si>
    <t>30039092</t>
  </si>
  <si>
    <t>30039093</t>
  </si>
  <si>
    <t>30039094</t>
  </si>
  <si>
    <t>30039096</t>
  </si>
  <si>
    <t>30039095</t>
  </si>
  <si>
    <t>30039099</t>
  </si>
  <si>
    <t>30041011</t>
  </si>
  <si>
    <t>30041012</t>
  </si>
  <si>
    <t>30041013</t>
  </si>
  <si>
    <t>30041014</t>
  </si>
  <si>
    <t>30041015</t>
  </si>
  <si>
    <t>30041019</t>
  </si>
  <si>
    <t>30041020</t>
  </si>
  <si>
    <t>30042011</t>
  </si>
  <si>
    <t>30042019</t>
  </si>
  <si>
    <t>30042021</t>
  </si>
  <si>
    <t>30042029</t>
  </si>
  <si>
    <t>30042031</t>
  </si>
  <si>
    <t>30042032</t>
  </si>
  <si>
    <t>30042039</t>
  </si>
  <si>
    <t>30042041</t>
  </si>
  <si>
    <t>30042049</t>
  </si>
  <si>
    <t>30042051</t>
  </si>
  <si>
    <t>30042052</t>
  </si>
  <si>
    <t>30042059</t>
  </si>
  <si>
    <t>30042061</t>
  </si>
  <si>
    <t>30042062</t>
  </si>
  <si>
    <t>30042063</t>
  </si>
  <si>
    <t>30042069</t>
  </si>
  <si>
    <t>30042071</t>
  </si>
  <si>
    <t>30042072</t>
  </si>
  <si>
    <t>30042073</t>
  </si>
  <si>
    <t>30042079</t>
  </si>
  <si>
    <t>30042091</t>
  </si>
  <si>
    <t>30042092</t>
  </si>
  <si>
    <t>30042093</t>
  </si>
  <si>
    <t>30042094</t>
  </si>
  <si>
    <t>30042095</t>
  </si>
  <si>
    <t>30042099</t>
  </si>
  <si>
    <t>30043100</t>
  </si>
  <si>
    <t>30043210</t>
  </si>
  <si>
    <t>30043220</t>
  </si>
  <si>
    <t>30043290</t>
  </si>
  <si>
    <t>30043911</t>
  </si>
  <si>
    <t>30043912</t>
  </si>
  <si>
    <t>30043913</t>
  </si>
  <si>
    <t>30043914</t>
  </si>
  <si>
    <t>30043915</t>
  </si>
  <si>
    <t>30043916</t>
  </si>
  <si>
    <t>30043917</t>
  </si>
  <si>
    <t>30043918</t>
  </si>
  <si>
    <t>30043919</t>
  </si>
  <si>
    <t>30043921</t>
  </si>
  <si>
    <t>30043922</t>
  </si>
  <si>
    <t>30043923</t>
  </si>
  <si>
    <t>30043924</t>
  </si>
  <si>
    <t>30043925</t>
  </si>
  <si>
    <t>30043926</t>
  </si>
  <si>
    <t>30043927</t>
  </si>
  <si>
    <t>30043928</t>
  </si>
  <si>
    <t>30043929</t>
  </si>
  <si>
    <t>30043931</t>
  </si>
  <si>
    <t>30043932</t>
  </si>
  <si>
    <t>30043933</t>
  </si>
  <si>
    <t>30043934</t>
  </si>
  <si>
    <t>30043935</t>
  </si>
  <si>
    <t>30043936</t>
  </si>
  <si>
    <t>30043937</t>
  </si>
  <si>
    <t>30043939</t>
  </si>
  <si>
    <t>30043981</t>
  </si>
  <si>
    <t>30043982</t>
  </si>
  <si>
    <t>30043991</t>
  </si>
  <si>
    <t>30043992</t>
  </si>
  <si>
    <t>30043994</t>
  </si>
  <si>
    <t>30043999</t>
  </si>
  <si>
    <t>30044010</t>
  </si>
  <si>
    <t>30044020</t>
  </si>
  <si>
    <t>30044030</t>
  </si>
  <si>
    <t>30044040</t>
  </si>
  <si>
    <t>30044050</t>
  </si>
  <si>
    <t>30044090</t>
  </si>
  <si>
    <t>30045010</t>
  </si>
  <si>
    <t>30045020</t>
  </si>
  <si>
    <t>30045030</t>
  </si>
  <si>
    <t>30045040</t>
  </si>
  <si>
    <t>30045050</t>
  </si>
  <si>
    <t>30045060</t>
  </si>
  <si>
    <t>30045090</t>
  </si>
  <si>
    <t>30049011</t>
  </si>
  <si>
    <t>30049012</t>
  </si>
  <si>
    <t>30049013</t>
  </si>
  <si>
    <t>30049019</t>
  </si>
  <si>
    <t>30049021</t>
  </si>
  <si>
    <t>30049022</t>
  </si>
  <si>
    <t>30049023</t>
  </si>
  <si>
    <t>30049024</t>
  </si>
  <si>
    <t>30049025</t>
  </si>
  <si>
    <t>30049026</t>
  </si>
  <si>
    <t>30049027</t>
  </si>
  <si>
    <t>30049028</t>
  </si>
  <si>
    <t>30049029</t>
  </si>
  <si>
    <t>30049031</t>
  </si>
  <si>
    <t>30049032</t>
  </si>
  <si>
    <t>30049033</t>
  </si>
  <si>
    <t>30049034</t>
  </si>
  <si>
    <t>30049035</t>
  </si>
  <si>
    <t>30049036</t>
  </si>
  <si>
    <t>30049037</t>
  </si>
  <si>
    <t>30049038</t>
  </si>
  <si>
    <t>30049039</t>
  </si>
  <si>
    <t>30049041</t>
  </si>
  <si>
    <t>30049042</t>
  </si>
  <si>
    <t>30049043</t>
  </si>
  <si>
    <t>30049044</t>
  </si>
  <si>
    <t>30049045</t>
  </si>
  <si>
    <t>30049046</t>
  </si>
  <si>
    <t>30049047</t>
  </si>
  <si>
    <t>30049048</t>
  </si>
  <si>
    <t>30049049</t>
  </si>
  <si>
    <t>30049051</t>
  </si>
  <si>
    <t>30049052</t>
  </si>
  <si>
    <t>30049053</t>
  </si>
  <si>
    <t>30049054</t>
  </si>
  <si>
    <t>30049055</t>
  </si>
  <si>
    <t>30049057</t>
  </si>
  <si>
    <t>30049058</t>
  </si>
  <si>
    <t>30049059</t>
  </si>
  <si>
    <t>30049061</t>
  </si>
  <si>
    <t>30049062</t>
  </si>
  <si>
    <t>30049063</t>
  </si>
  <si>
    <t>30049064</t>
  </si>
  <si>
    <t>30049065</t>
  </si>
  <si>
    <t>30049066</t>
  </si>
  <si>
    <t>30049067</t>
  </si>
  <si>
    <t>30049068</t>
  </si>
  <si>
    <t>30049069</t>
  </si>
  <si>
    <t>30049071</t>
  </si>
  <si>
    <t>30049072</t>
  </si>
  <si>
    <t>30049073</t>
  </si>
  <si>
    <t>30049074</t>
  </si>
  <si>
    <t>30049075</t>
  </si>
  <si>
    <t>30049076</t>
  </si>
  <si>
    <t>30049077</t>
  </si>
  <si>
    <t>30049078</t>
  </si>
  <si>
    <t>30049079</t>
  </si>
  <si>
    <t>30049091</t>
  </si>
  <si>
    <t>30049092</t>
  </si>
  <si>
    <t>30049093</t>
  </si>
  <si>
    <t>30049094</t>
  </si>
  <si>
    <t>30049096</t>
  </si>
  <si>
    <t>30049099</t>
  </si>
  <si>
    <t>30049095</t>
  </si>
  <si>
    <t>30051010</t>
  </si>
  <si>
    <t>30051020</t>
  </si>
  <si>
    <t>30051030</t>
  </si>
  <si>
    <t>30051040</t>
  </si>
  <si>
    <t>30051050</t>
  </si>
  <si>
    <t>30051090</t>
  </si>
  <si>
    <t>30059011</t>
  </si>
  <si>
    <t>30059012</t>
  </si>
  <si>
    <t>30059019</t>
  </si>
  <si>
    <t>30059020</t>
  </si>
  <si>
    <t>30059090</t>
  </si>
  <si>
    <t>30061010</t>
  </si>
  <si>
    <t>30061020</t>
  </si>
  <si>
    <t>30061090</t>
  </si>
  <si>
    <t>30062000</t>
  </si>
  <si>
    <t>30063011</t>
  </si>
  <si>
    <t>30063012</t>
  </si>
  <si>
    <t>30063013</t>
  </si>
  <si>
    <t>30063015</t>
  </si>
  <si>
    <t>30063016</t>
  </si>
  <si>
    <t>30063017</t>
  </si>
  <si>
    <t>30063018</t>
  </si>
  <si>
    <t>30063019</t>
  </si>
  <si>
    <t>30063021</t>
  </si>
  <si>
    <t>30063029</t>
  </si>
  <si>
    <t>30064011</t>
  </si>
  <si>
    <t>30064012</t>
  </si>
  <si>
    <t>30064020</t>
  </si>
  <si>
    <t>30065000</t>
  </si>
  <si>
    <t>30066000</t>
  </si>
  <si>
    <t>30067000</t>
  </si>
  <si>
    <t>30069110</t>
  </si>
  <si>
    <t>30069190</t>
  </si>
  <si>
    <t>30069200</t>
  </si>
  <si>
    <t>31010000</t>
  </si>
  <si>
    <t>31021010</t>
  </si>
  <si>
    <t>31021090</t>
  </si>
  <si>
    <t>31022100</t>
  </si>
  <si>
    <t>31022910</t>
  </si>
  <si>
    <t>31022990</t>
  </si>
  <si>
    <t>31023000</t>
  </si>
  <si>
    <t>31024000</t>
  </si>
  <si>
    <t>31025011</t>
  </si>
  <si>
    <t>31025019</t>
  </si>
  <si>
    <t>31025090</t>
  </si>
  <si>
    <t>31026000</t>
  </si>
  <si>
    <t>31028000</t>
  </si>
  <si>
    <t>31029000</t>
  </si>
  <si>
    <t>31031010</t>
  </si>
  <si>
    <t>31031020</t>
  </si>
  <si>
    <t>31031030</t>
  </si>
  <si>
    <t>31039011</t>
  </si>
  <si>
    <t>31039019</t>
  </si>
  <si>
    <t>31039090</t>
  </si>
  <si>
    <t>31042010</t>
  </si>
  <si>
    <t>31042090</t>
  </si>
  <si>
    <t>31043010</t>
  </si>
  <si>
    <t>31043090</t>
  </si>
  <si>
    <t>31049010</t>
  </si>
  <si>
    <t>31049090</t>
  </si>
  <si>
    <t>31051000</t>
  </si>
  <si>
    <t>31052000</t>
  </si>
  <si>
    <t>31053010</t>
  </si>
  <si>
    <t>31053090</t>
  </si>
  <si>
    <t>31054000</t>
  </si>
  <si>
    <t>31055100</t>
  </si>
  <si>
    <t>31055900</t>
  </si>
  <si>
    <t>31056000</t>
  </si>
  <si>
    <t>31059011</t>
  </si>
  <si>
    <t>31059019</t>
  </si>
  <si>
    <t>31059090</t>
  </si>
  <si>
    <t>32011000</t>
  </si>
  <si>
    <t>32012000</t>
  </si>
  <si>
    <t>32019011</t>
  </si>
  <si>
    <t>32019012</t>
  </si>
  <si>
    <t>32019019</t>
  </si>
  <si>
    <t>32019020</t>
  </si>
  <si>
    <t>32019090</t>
  </si>
  <si>
    <t>32021000</t>
  </si>
  <si>
    <t>32029011</t>
  </si>
  <si>
    <t>32029012</t>
  </si>
  <si>
    <t>32029013</t>
  </si>
  <si>
    <t>32029019</t>
  </si>
  <si>
    <t>32029021</t>
  </si>
  <si>
    <t>32029029</t>
  </si>
  <si>
    <t>32029030</t>
  </si>
  <si>
    <t>32030011</t>
  </si>
  <si>
    <t>32030012</t>
  </si>
  <si>
    <t>32030013</t>
  </si>
  <si>
    <t>32030019</t>
  </si>
  <si>
    <t>32030021</t>
  </si>
  <si>
    <t>32030029</t>
  </si>
  <si>
    <t>32030030</t>
  </si>
  <si>
    <t>32041100</t>
  </si>
  <si>
    <t>32041210</t>
  </si>
  <si>
    <t>32041220</t>
  </si>
  <si>
    <t>32041300</t>
  </si>
  <si>
    <t>32041400</t>
  </si>
  <si>
    <t>32041510</t>
  </si>
  <si>
    <t>32041520</t>
  </si>
  <si>
    <t>32041530</t>
  </si>
  <si>
    <t>32041590</t>
  </si>
  <si>
    <t>32041600</t>
  </si>
  <si>
    <t>32041700</t>
  </si>
  <si>
    <t>32041911</t>
  </si>
  <si>
    <t>32041912</t>
  </si>
  <si>
    <t>32041913</t>
  </si>
  <si>
    <t>32041919</t>
  </si>
  <si>
    <t>32041920</t>
  </si>
  <si>
    <t>32041930</t>
  </si>
  <si>
    <t>32041990</t>
  </si>
  <si>
    <t>32042011</t>
  </si>
  <si>
    <t>32042019</t>
  </si>
  <si>
    <t>32042090</t>
  </si>
  <si>
    <t>32049000</t>
  </si>
  <si>
    <t>32050000</t>
  </si>
  <si>
    <t>32061111</t>
  </si>
  <si>
    <t>32061119</t>
  </si>
  <si>
    <t>32061120</t>
  </si>
  <si>
    <t>32061130</t>
  </si>
  <si>
    <t>32061910</t>
  </si>
  <si>
    <t>32061990</t>
  </si>
  <si>
    <t>32062000</t>
  </si>
  <si>
    <t>32064100</t>
  </si>
  <si>
    <t>32064210</t>
  </si>
  <si>
    <t>32064290</t>
  </si>
  <si>
    <t>32064910</t>
  </si>
  <si>
    <t>32064920</t>
  </si>
  <si>
    <t>32064990</t>
  </si>
  <si>
    <t>32065011</t>
  </si>
  <si>
    <t>32065019</t>
  </si>
  <si>
    <t>32065021</t>
  </si>
  <si>
    <t>32065029</t>
  </si>
  <si>
    <t>32071010</t>
  </si>
  <si>
    <t>32071090</t>
  </si>
  <si>
    <t>32072010</t>
  </si>
  <si>
    <t>32072091</t>
  </si>
  <si>
    <t>32072099</t>
  </si>
  <si>
    <t>32073000</t>
  </si>
  <si>
    <t>32074010</t>
  </si>
  <si>
    <t>32074090</t>
  </si>
  <si>
    <t>32081010</t>
  </si>
  <si>
    <t>32081020</t>
  </si>
  <si>
    <t>32081030</t>
  </si>
  <si>
    <t>32082011</t>
  </si>
  <si>
    <t>32082019</t>
  </si>
  <si>
    <t>32082020</t>
  </si>
  <si>
    <t>32082030</t>
  </si>
  <si>
    <t>32089010</t>
  </si>
  <si>
    <t>32089021</t>
  </si>
  <si>
    <t>32089029</t>
  </si>
  <si>
    <t>32089031</t>
  </si>
  <si>
    <t>32089039</t>
  </si>
  <si>
    <t>32091010</t>
  </si>
  <si>
    <t>32091020</t>
  </si>
  <si>
    <t>32099011</t>
  </si>
  <si>
    <t>32099019</t>
  </si>
  <si>
    <t>32099020</t>
  </si>
  <si>
    <t>32100010</t>
  </si>
  <si>
    <t>32100020</t>
  </si>
  <si>
    <t>32100030</t>
  </si>
  <si>
    <t>32110000</t>
  </si>
  <si>
    <t>32121000</t>
  </si>
  <si>
    <t>32129010</t>
  </si>
  <si>
    <t>32129090</t>
  </si>
  <si>
    <t>32131000</t>
  </si>
  <si>
    <t>32139000</t>
  </si>
  <si>
    <t>32141010</t>
  </si>
  <si>
    <t>32141020</t>
  </si>
  <si>
    <t>32149000</t>
  </si>
  <si>
    <t>32151100</t>
  </si>
  <si>
    <t>32151900</t>
  </si>
  <si>
    <t>32159000</t>
  </si>
  <si>
    <t>33011210</t>
  </si>
  <si>
    <t>33011290</t>
  </si>
  <si>
    <t>33011300</t>
  </si>
  <si>
    <t>33011910</t>
  </si>
  <si>
    <t>33011990</t>
  </si>
  <si>
    <t>33012400</t>
  </si>
  <si>
    <t>33012510</t>
  </si>
  <si>
    <t>33012520</t>
  </si>
  <si>
    <t>33012590</t>
  </si>
  <si>
    <t>33012911</t>
  </si>
  <si>
    <t>33012912</t>
  </si>
  <si>
    <t>33012913</t>
  </si>
  <si>
    <t>33012914</t>
  </si>
  <si>
    <t>33012915</t>
  </si>
  <si>
    <t>33012916</t>
  </si>
  <si>
    <t>33012917</t>
  </si>
  <si>
    <t>33012918</t>
  </si>
  <si>
    <t>33012919</t>
  </si>
  <si>
    <t>33012921</t>
  </si>
  <si>
    <t>33012922</t>
  </si>
  <si>
    <t>33012990</t>
  </si>
  <si>
    <t>33013000</t>
  </si>
  <si>
    <t>33019010</t>
  </si>
  <si>
    <t>33019020</t>
  </si>
  <si>
    <t>33019030</t>
  </si>
  <si>
    <t>33019040</t>
  </si>
  <si>
    <t>33021000</t>
  </si>
  <si>
    <t>33029011</t>
  </si>
  <si>
    <t>33029019</t>
  </si>
  <si>
    <t>33029090</t>
  </si>
  <si>
    <t>33030010</t>
  </si>
  <si>
    <t>33030020</t>
  </si>
  <si>
    <t>33041000</t>
  </si>
  <si>
    <t>33042010</t>
  </si>
  <si>
    <t>33042090</t>
  </si>
  <si>
    <t>33043000</t>
  </si>
  <si>
    <t>33049100</t>
  </si>
  <si>
    <t>33049910</t>
  </si>
  <si>
    <t>33049990</t>
  </si>
  <si>
    <t>33051000</t>
  </si>
  <si>
    <t>33052000</t>
  </si>
  <si>
    <t>33053000</t>
  </si>
  <si>
    <t>33059000</t>
  </si>
  <si>
    <t>33061000</t>
  </si>
  <si>
    <t>33062000</t>
  </si>
  <si>
    <t>33069000</t>
  </si>
  <si>
    <t>33071000</t>
  </si>
  <si>
    <t>33072010</t>
  </si>
  <si>
    <t>33072090</t>
  </si>
  <si>
    <t>33073000</t>
  </si>
  <si>
    <t>33074100</t>
  </si>
  <si>
    <t>33074900</t>
  </si>
  <si>
    <t>33079000</t>
  </si>
  <si>
    <t>34011110</t>
  </si>
  <si>
    <t>34011190</t>
  </si>
  <si>
    <t>34011900</t>
  </si>
  <si>
    <t>34012010</t>
  </si>
  <si>
    <t>34012090</t>
  </si>
  <si>
    <t>34013000</t>
  </si>
  <si>
    <t>34021110</t>
  </si>
  <si>
    <t>34021120</t>
  </si>
  <si>
    <t>34021130</t>
  </si>
  <si>
    <t>34021140</t>
  </si>
  <si>
    <t>34021190</t>
  </si>
  <si>
    <t>34021210</t>
  </si>
  <si>
    <t>34021290</t>
  </si>
  <si>
    <t>34021300</t>
  </si>
  <si>
    <t>34021900</t>
  </si>
  <si>
    <t>34022000</t>
  </si>
  <si>
    <t>34029011</t>
  </si>
  <si>
    <t>34029019</t>
  </si>
  <si>
    <t>34029021</t>
  </si>
  <si>
    <t>34029022</t>
  </si>
  <si>
    <t>34029023</t>
  </si>
  <si>
    <t>34029029</t>
  </si>
  <si>
    <t>34029031</t>
  </si>
  <si>
    <t>34029039</t>
  </si>
  <si>
    <t>34029090</t>
  </si>
  <si>
    <t>34031110</t>
  </si>
  <si>
    <t>34031120</t>
  </si>
  <si>
    <t>34031190</t>
  </si>
  <si>
    <t>34031900</t>
  </si>
  <si>
    <t>34039110</t>
  </si>
  <si>
    <t>34039120</t>
  </si>
  <si>
    <t>34039190</t>
  </si>
  <si>
    <t>34039900</t>
  </si>
  <si>
    <t>34042010</t>
  </si>
  <si>
    <t>34042020</t>
  </si>
  <si>
    <t>34049011</t>
  </si>
  <si>
    <t>34049012</t>
  </si>
  <si>
    <t>34049013</t>
  </si>
  <si>
    <t>34049014</t>
  </si>
  <si>
    <t>34049019</t>
  </si>
  <si>
    <t>34049021</t>
  </si>
  <si>
    <t>34049029</t>
  </si>
  <si>
    <t>34051000</t>
  </si>
  <si>
    <t>34052000</t>
  </si>
  <si>
    <t>34053000</t>
  </si>
  <si>
    <t>34054000</t>
  </si>
  <si>
    <t>34059000</t>
  </si>
  <si>
    <t>34060000</t>
  </si>
  <si>
    <t>34070010</t>
  </si>
  <si>
    <t>34070020</t>
  </si>
  <si>
    <t>34070090</t>
  </si>
  <si>
    <t>35011000</t>
  </si>
  <si>
    <t>35019011</t>
  </si>
  <si>
    <t>35019019</t>
  </si>
  <si>
    <t>35019020</t>
  </si>
  <si>
    <t>35021100</t>
  </si>
  <si>
    <t>35021900</t>
  </si>
  <si>
    <t>35022000</t>
  </si>
  <si>
    <t>35029010</t>
  </si>
  <si>
    <t>35029090</t>
  </si>
  <si>
    <t>35030011</t>
  </si>
  <si>
    <t>35030012</t>
  </si>
  <si>
    <t>35030019</t>
  </si>
  <si>
    <t>35030090</t>
  </si>
  <si>
    <t>35040011</t>
  </si>
  <si>
    <t>35040019</t>
  </si>
  <si>
    <t>35040020</t>
  </si>
  <si>
    <t>35040030</t>
  </si>
  <si>
    <t>35040090</t>
  </si>
  <si>
    <t>35051000</t>
  </si>
  <si>
    <t>35052000</t>
  </si>
  <si>
    <t>35061010</t>
  </si>
  <si>
    <t>35061090</t>
  </si>
  <si>
    <t>35069110</t>
  </si>
  <si>
    <t>35069120</t>
  </si>
  <si>
    <t>35069190</t>
  </si>
  <si>
    <t>35069900</t>
  </si>
  <si>
    <t>35071000</t>
  </si>
  <si>
    <t>35079011</t>
  </si>
  <si>
    <t>35079019</t>
  </si>
  <si>
    <t>35079021</t>
  </si>
  <si>
    <t>35079022</t>
  </si>
  <si>
    <t>35079023</t>
  </si>
  <si>
    <t>35079024</t>
  </si>
  <si>
    <t>35079025</t>
  </si>
  <si>
    <t>35079026</t>
  </si>
  <si>
    <t>35079029</t>
  </si>
  <si>
    <t>35079031</t>
  </si>
  <si>
    <t>35079032</t>
  </si>
  <si>
    <t>35079039</t>
  </si>
  <si>
    <t>35079041</t>
  </si>
  <si>
    <t>35079042</t>
  </si>
  <si>
    <t>35079049</t>
  </si>
  <si>
    <t>36010000</t>
  </si>
  <si>
    <t>36020000</t>
  </si>
  <si>
    <t>36030000</t>
  </si>
  <si>
    <t>36041000</t>
  </si>
  <si>
    <t>36049010</t>
  </si>
  <si>
    <t>36049090</t>
  </si>
  <si>
    <t>36050000</t>
  </si>
  <si>
    <t>36061000</t>
  </si>
  <si>
    <t>36069000</t>
  </si>
  <si>
    <t>37011010</t>
  </si>
  <si>
    <t>37011021</t>
  </si>
  <si>
    <t>37011029</t>
  </si>
  <si>
    <t>37012010</t>
  </si>
  <si>
    <t>37012020</t>
  </si>
  <si>
    <t>37013010</t>
  </si>
  <si>
    <t>37013021</t>
  </si>
  <si>
    <t>37013022</t>
  </si>
  <si>
    <t>37013029</t>
  </si>
  <si>
    <t>37013031</t>
  </si>
  <si>
    <t>37013039</t>
  </si>
  <si>
    <t>37013040</t>
  </si>
  <si>
    <t>37013050</t>
  </si>
  <si>
    <t>37013090</t>
  </si>
  <si>
    <t>37019100</t>
  </si>
  <si>
    <t>37019900</t>
  </si>
  <si>
    <t>37021010</t>
  </si>
  <si>
    <t>37021020</t>
  </si>
  <si>
    <t>37023100</t>
  </si>
  <si>
    <t>37023200</t>
  </si>
  <si>
    <t>37023900</t>
  </si>
  <si>
    <t>37024100</t>
  </si>
  <si>
    <t>37024210</t>
  </si>
  <si>
    <t>37024290</t>
  </si>
  <si>
    <t>37024310</t>
  </si>
  <si>
    <t>37024320</t>
  </si>
  <si>
    <t>37024390</t>
  </si>
  <si>
    <t>37024410</t>
  </si>
  <si>
    <t>37024421</t>
  </si>
  <si>
    <t>37024422</t>
  </si>
  <si>
    <t>37024429</t>
  </si>
  <si>
    <t>37025200</t>
  </si>
  <si>
    <t>37025300</t>
  </si>
  <si>
    <t>37025411</t>
  </si>
  <si>
    <t>37025412</t>
  </si>
  <si>
    <t>37025419</t>
  </si>
  <si>
    <t>37025491</t>
  </si>
  <si>
    <t>37025499</t>
  </si>
  <si>
    <t>37025510</t>
  </si>
  <si>
    <t>37025590</t>
  </si>
  <si>
    <t>37025600</t>
  </si>
  <si>
    <t>37029600</t>
  </si>
  <si>
    <t>37029700</t>
  </si>
  <si>
    <t>37029800</t>
  </si>
  <si>
    <t>37031010</t>
  </si>
  <si>
    <t>37031021</t>
  </si>
  <si>
    <t>37031029</t>
  </si>
  <si>
    <t>37032000</t>
  </si>
  <si>
    <t>37039010</t>
  </si>
  <si>
    <t>37039090</t>
  </si>
  <si>
    <t>37040000</t>
  </si>
  <si>
    <t>37051000</t>
  </si>
  <si>
    <t>37059010</t>
  </si>
  <si>
    <t>37059090</t>
  </si>
  <si>
    <t>37061000</t>
  </si>
  <si>
    <t>37069000</t>
  </si>
  <si>
    <t>37071000</t>
  </si>
  <si>
    <t>37079010</t>
  </si>
  <si>
    <t>37079021</t>
  </si>
  <si>
    <t>37079029</t>
  </si>
  <si>
    <t>37079030</t>
  </si>
  <si>
    <t>37079090</t>
  </si>
  <si>
    <t>38011000</t>
  </si>
  <si>
    <t>38012010</t>
  </si>
  <si>
    <t>38012090</t>
  </si>
  <si>
    <t>38013010</t>
  </si>
  <si>
    <t>38013090</t>
  </si>
  <si>
    <t>38019000</t>
  </si>
  <si>
    <t>38021000</t>
  </si>
  <si>
    <t>38029010</t>
  </si>
  <si>
    <t>38029020</t>
  </si>
  <si>
    <t>38029030</t>
  </si>
  <si>
    <t>38029040</t>
  </si>
  <si>
    <t>38029050</t>
  </si>
  <si>
    <t>38029090</t>
  </si>
  <si>
    <t>38030000</t>
  </si>
  <si>
    <t>38040011</t>
  </si>
  <si>
    <t>38040012</t>
  </si>
  <si>
    <t>38040020</t>
  </si>
  <si>
    <t>38051000</t>
  </si>
  <si>
    <t>38059010</t>
  </si>
  <si>
    <t>38059090</t>
  </si>
  <si>
    <t>38061000</t>
  </si>
  <si>
    <t>38062000</t>
  </si>
  <si>
    <t>38063000</t>
  </si>
  <si>
    <t>38069011</t>
  </si>
  <si>
    <t>38069012</t>
  </si>
  <si>
    <t>38069019</t>
  </si>
  <si>
    <t>38069090</t>
  </si>
  <si>
    <t>38070000</t>
  </si>
  <si>
    <t>38085010</t>
  </si>
  <si>
    <t>38085021</t>
  </si>
  <si>
    <t>38085029</t>
  </si>
  <si>
    <t>38089111</t>
  </si>
  <si>
    <t>38089119</t>
  </si>
  <si>
    <t>38089120</t>
  </si>
  <si>
    <t>38089191</t>
  </si>
  <si>
    <t>38089192</t>
  </si>
  <si>
    <t>38089193</t>
  </si>
  <si>
    <t>38089194</t>
  </si>
  <si>
    <t>38089195</t>
  </si>
  <si>
    <t>38089196</t>
  </si>
  <si>
    <t>38089197</t>
  </si>
  <si>
    <t>38089198</t>
  </si>
  <si>
    <t>38089199</t>
  </si>
  <si>
    <t>38089211</t>
  </si>
  <si>
    <t>38089219</t>
  </si>
  <si>
    <t>38089220</t>
  </si>
  <si>
    <t>10082910</t>
  </si>
  <si>
    <t>38089291</t>
  </si>
  <si>
    <t>38089292</t>
  </si>
  <si>
    <t>38089293</t>
  </si>
  <si>
    <t>38089294</t>
  </si>
  <si>
    <t>38089295</t>
  </si>
  <si>
    <t>38089296</t>
  </si>
  <si>
    <t>38089297</t>
  </si>
  <si>
    <t>38089299</t>
  </si>
  <si>
    <t>38089311</t>
  </si>
  <si>
    <t>38089319</t>
  </si>
  <si>
    <t>38089321</t>
  </si>
  <si>
    <t>38089322</t>
  </si>
  <si>
    <t>38089323</t>
  </si>
  <si>
    <t>38089324</t>
  </si>
  <si>
    <t>38089325</t>
  </si>
  <si>
    <t>38089326</t>
  </si>
  <si>
    <t>38089327</t>
  </si>
  <si>
    <t>38089329</t>
  </si>
  <si>
    <t>38089331</t>
  </si>
  <si>
    <t>38089332</t>
  </si>
  <si>
    <t>38089333</t>
  </si>
  <si>
    <t>38089341</t>
  </si>
  <si>
    <t>38089349</t>
  </si>
  <si>
    <t>38089351</t>
  </si>
  <si>
    <t>38089352</t>
  </si>
  <si>
    <t>38089359</t>
  </si>
  <si>
    <t>38089411</t>
  </si>
  <si>
    <t>38089419</t>
  </si>
  <si>
    <t>38089421</t>
  </si>
  <si>
    <t>38089422</t>
  </si>
  <si>
    <t>38089429</t>
  </si>
  <si>
    <t>38089911</t>
  </si>
  <si>
    <t>38089919</t>
  </si>
  <si>
    <t>38089920</t>
  </si>
  <si>
    <t>38089991</t>
  </si>
  <si>
    <t>38089992</t>
  </si>
  <si>
    <t>38089993</t>
  </si>
  <si>
    <t>38089994</t>
  </si>
  <si>
    <t>38089995</t>
  </si>
  <si>
    <t>38089996</t>
  </si>
  <si>
    <t>38089999</t>
  </si>
  <si>
    <t>38091010</t>
  </si>
  <si>
    <t>38091090</t>
  </si>
  <si>
    <t>38099110</t>
  </si>
  <si>
    <t>38099120</t>
  </si>
  <si>
    <t>38099130</t>
  </si>
  <si>
    <t>38099141</t>
  </si>
  <si>
    <t>38099149</t>
  </si>
  <si>
    <t>38099190</t>
  </si>
  <si>
    <t>38099211</t>
  </si>
  <si>
    <t>38099219</t>
  </si>
  <si>
    <t>38099290</t>
  </si>
  <si>
    <t>38099311</t>
  </si>
  <si>
    <t>38099319</t>
  </si>
  <si>
    <t>38099390</t>
  </si>
  <si>
    <t>38101010</t>
  </si>
  <si>
    <t>38101020</t>
  </si>
  <si>
    <t>38109000</t>
  </si>
  <si>
    <t>38111100</t>
  </si>
  <si>
    <t>38111900</t>
  </si>
  <si>
    <t>38112110</t>
  </si>
  <si>
    <t>38112120</t>
  </si>
  <si>
    <t>38112130</t>
  </si>
  <si>
    <t>38112140</t>
  </si>
  <si>
    <t>38112150</t>
  </si>
  <si>
    <t>38112190</t>
  </si>
  <si>
    <t>38112910</t>
  </si>
  <si>
    <t>38112920</t>
  </si>
  <si>
    <t>38112990</t>
  </si>
  <si>
    <t>38119010</t>
  </si>
  <si>
    <t>38119090</t>
  </si>
  <si>
    <t>38121000</t>
  </si>
  <si>
    <t>38122000</t>
  </si>
  <si>
    <t>38123011</t>
  </si>
  <si>
    <t>38123012</t>
  </si>
  <si>
    <t>38123013</t>
  </si>
  <si>
    <t>38123019</t>
  </si>
  <si>
    <t>38123021</t>
  </si>
  <si>
    <t>38123029</t>
  </si>
  <si>
    <t>38130010</t>
  </si>
  <si>
    <t>38130020</t>
  </si>
  <si>
    <t>38130030</t>
  </si>
  <si>
    <t>38130040</t>
  </si>
  <si>
    <t>38130090</t>
  </si>
  <si>
    <t>38140010</t>
  </si>
  <si>
    <t>38140020</t>
  </si>
  <si>
    <t>38140030</t>
  </si>
  <si>
    <t>38140090</t>
  </si>
  <si>
    <t>38151100</t>
  </si>
  <si>
    <t>38151210</t>
  </si>
  <si>
    <t>38151220</t>
  </si>
  <si>
    <t>38151290</t>
  </si>
  <si>
    <t>38151900</t>
  </si>
  <si>
    <t>38159010</t>
  </si>
  <si>
    <t>38159091</t>
  </si>
  <si>
    <t>38159092</t>
  </si>
  <si>
    <t>38159099</t>
  </si>
  <si>
    <t>38160011</t>
  </si>
  <si>
    <t>38160012</t>
  </si>
  <si>
    <t>38160019</t>
  </si>
  <si>
    <t>38160021</t>
  </si>
  <si>
    <t>38160029</t>
  </si>
  <si>
    <t>38160090</t>
  </si>
  <si>
    <t>38170010</t>
  </si>
  <si>
    <t>38170020</t>
  </si>
  <si>
    <t>38180010</t>
  </si>
  <si>
    <t>38180090</t>
  </si>
  <si>
    <t>38190000</t>
  </si>
  <si>
    <t>38200000</t>
  </si>
  <si>
    <t>38210000</t>
  </si>
  <si>
    <t>38220010</t>
  </si>
  <si>
    <t>38220090</t>
  </si>
  <si>
    <t>38231100</t>
  </si>
  <si>
    <t>38231200</t>
  </si>
  <si>
    <t>38231300</t>
  </si>
  <si>
    <t>38231900</t>
  </si>
  <si>
    <t>38237010</t>
  </si>
  <si>
    <t>38237020</t>
  </si>
  <si>
    <t>38237030</t>
  </si>
  <si>
    <t>38237090</t>
  </si>
  <si>
    <t>38241000</t>
  </si>
  <si>
    <t>38243000</t>
  </si>
  <si>
    <t>38244000</t>
  </si>
  <si>
    <t>38245000</t>
  </si>
  <si>
    <t>38246000</t>
  </si>
  <si>
    <t>38247110</t>
  </si>
  <si>
    <t>38247190</t>
  </si>
  <si>
    <t>38247200</t>
  </si>
  <si>
    <t>38247300</t>
  </si>
  <si>
    <t>38247410</t>
  </si>
  <si>
    <t>38247420</t>
  </si>
  <si>
    <t>38247490</t>
  </si>
  <si>
    <t>38247500</t>
  </si>
  <si>
    <t>38247600</t>
  </si>
  <si>
    <t>38247700</t>
  </si>
  <si>
    <t>38247810</t>
  </si>
  <si>
    <t>38247890</t>
  </si>
  <si>
    <t>38247900</t>
  </si>
  <si>
    <t>38248110</t>
  </si>
  <si>
    <t>38248190</t>
  </si>
  <si>
    <t>38248200</t>
  </si>
  <si>
    <t>38248300</t>
  </si>
  <si>
    <t>38249011</t>
  </si>
  <si>
    <t>38249012</t>
  </si>
  <si>
    <t>38249013</t>
  </si>
  <si>
    <t>38249014</t>
  </si>
  <si>
    <t>38249015</t>
  </si>
  <si>
    <t>38249019</t>
  </si>
  <si>
    <t>38249021</t>
  </si>
  <si>
    <t>38249022</t>
  </si>
  <si>
    <t>38249023</t>
  </si>
  <si>
    <t>38249024</t>
  </si>
  <si>
    <t>38249025</t>
  </si>
  <si>
    <t>38249029</t>
  </si>
  <si>
    <t>38249031</t>
  </si>
  <si>
    <t>38249032</t>
  </si>
  <si>
    <t>38249033</t>
  </si>
  <si>
    <t>38249034</t>
  </si>
  <si>
    <t>38249035</t>
  </si>
  <si>
    <t>38249036</t>
  </si>
  <si>
    <t>38249039</t>
  </si>
  <si>
    <t>38249041</t>
  </si>
  <si>
    <t>38249042</t>
  </si>
  <si>
    <t>38249043</t>
  </si>
  <si>
    <t>38249049</t>
  </si>
  <si>
    <t>38249051</t>
  </si>
  <si>
    <t>38249052</t>
  </si>
  <si>
    <t>38249053</t>
  </si>
  <si>
    <t>38249054</t>
  </si>
  <si>
    <t>38249059</t>
  </si>
  <si>
    <t>38249071</t>
  </si>
  <si>
    <t>38249072</t>
  </si>
  <si>
    <t>38249073</t>
  </si>
  <si>
    <t>38249074</t>
  </si>
  <si>
    <t>38249075</t>
  </si>
  <si>
    <t>38249076</t>
  </si>
  <si>
    <t>38249077</t>
  </si>
  <si>
    <t>38249078</t>
  </si>
  <si>
    <t>38249079</t>
  </si>
  <si>
    <t>38249081</t>
  </si>
  <si>
    <t>38249082</t>
  </si>
  <si>
    <t>38249083</t>
  </si>
  <si>
    <t>38249085</t>
  </si>
  <si>
    <t>38249086</t>
  </si>
  <si>
    <t>38249087</t>
  </si>
  <si>
    <t>38249088</t>
  </si>
  <si>
    <t>38249089</t>
  </si>
  <si>
    <t>38251000</t>
  </si>
  <si>
    <t>38252000</t>
  </si>
  <si>
    <t>38253000</t>
  </si>
  <si>
    <t>38254100</t>
  </si>
  <si>
    <t>38254900</t>
  </si>
  <si>
    <t>38255000</t>
  </si>
  <si>
    <t>38256100</t>
  </si>
  <si>
    <t>38256900</t>
  </si>
  <si>
    <t>38259000</t>
  </si>
  <si>
    <t>38260000</t>
  </si>
  <si>
    <t>39011010</t>
  </si>
  <si>
    <t>39011091</t>
  </si>
  <si>
    <t>39011092</t>
  </si>
  <si>
    <t>39012011</t>
  </si>
  <si>
    <t>39012019</t>
  </si>
  <si>
    <t>39012021</t>
  </si>
  <si>
    <t>39012029</t>
  </si>
  <si>
    <t>39013010</t>
  </si>
  <si>
    <t>39013090</t>
  </si>
  <si>
    <t>39019010</t>
  </si>
  <si>
    <t>39019020</t>
  </si>
  <si>
    <t>39019030</t>
  </si>
  <si>
    <t>39019040</t>
  </si>
  <si>
    <t>39019050</t>
  </si>
  <si>
    <t>39019090</t>
  </si>
  <si>
    <t>39021010</t>
  </si>
  <si>
    <t>39021020</t>
  </si>
  <si>
    <t>39022000</t>
  </si>
  <si>
    <t>39023000</t>
  </si>
  <si>
    <t>39029000</t>
  </si>
  <si>
    <t>39031110</t>
  </si>
  <si>
    <t>39031120</t>
  </si>
  <si>
    <t>39031900</t>
  </si>
  <si>
    <t>39032000</t>
  </si>
  <si>
    <t>39033010</t>
  </si>
  <si>
    <t>39033020</t>
  </si>
  <si>
    <t>39039010</t>
  </si>
  <si>
    <t>39039020</t>
  </si>
  <si>
    <t>39039090</t>
  </si>
  <si>
    <t>39041010</t>
  </si>
  <si>
    <t>39041020</t>
  </si>
  <si>
    <t>39041090</t>
  </si>
  <si>
    <t>39042100</t>
  </si>
  <si>
    <t>39042200</t>
  </si>
  <si>
    <t>39043000</t>
  </si>
  <si>
    <t>39044010</t>
  </si>
  <si>
    <t>39044090</t>
  </si>
  <si>
    <t>39045010</t>
  </si>
  <si>
    <t>39045090</t>
  </si>
  <si>
    <t>39046110</t>
  </si>
  <si>
    <t>39046190</t>
  </si>
  <si>
    <t>39046910</t>
  </si>
  <si>
    <t>39046990</t>
  </si>
  <si>
    <t>39049000</t>
  </si>
  <si>
    <t>39051200</t>
  </si>
  <si>
    <t>39051910</t>
  </si>
  <si>
    <t>39051990</t>
  </si>
  <si>
    <t>39052100</t>
  </si>
  <si>
    <t>39052900</t>
  </si>
  <si>
    <t>39053000</t>
  </si>
  <si>
    <t>39059130</t>
  </si>
  <si>
    <t>39059190</t>
  </si>
  <si>
    <t>39059910</t>
  </si>
  <si>
    <t>39059920</t>
  </si>
  <si>
    <t>39059930</t>
  </si>
  <si>
    <t>39059990</t>
  </si>
  <si>
    <t>39061000</t>
  </si>
  <si>
    <t>39069011</t>
  </si>
  <si>
    <t>39069012</t>
  </si>
  <si>
    <t>39069019</t>
  </si>
  <si>
    <t>39069021</t>
  </si>
  <si>
    <t>39069022</t>
  </si>
  <si>
    <t>39069029</t>
  </si>
  <si>
    <t>39069031</t>
  </si>
  <si>
    <t>39069032</t>
  </si>
  <si>
    <t>39069039</t>
  </si>
  <si>
    <t>39069041</t>
  </si>
  <si>
    <t>39069042</t>
  </si>
  <si>
    <t>39069043</t>
  </si>
  <si>
    <t>39069044</t>
  </si>
  <si>
    <t>39069045</t>
  </si>
  <si>
    <t>39069046</t>
  </si>
  <si>
    <t>39069047</t>
  </si>
  <si>
    <t>39069049</t>
  </si>
  <si>
    <t>39071010</t>
  </si>
  <si>
    <t>39071020</t>
  </si>
  <si>
    <t>39071031</t>
  </si>
  <si>
    <t>39071039</t>
  </si>
  <si>
    <t>39071041</t>
  </si>
  <si>
    <t>39071042</t>
  </si>
  <si>
    <t>39071049</t>
  </si>
  <si>
    <t>39071091</t>
  </si>
  <si>
    <t>39071099</t>
  </si>
  <si>
    <t>39072011</t>
  </si>
  <si>
    <t>39072012</t>
  </si>
  <si>
    <t>39072020</t>
  </si>
  <si>
    <t>39072031</t>
  </si>
  <si>
    <t>39072039</t>
  </si>
  <si>
    <t>39072041</t>
  </si>
  <si>
    <t>39072042</t>
  </si>
  <si>
    <t>39072049</t>
  </si>
  <si>
    <t>39072090</t>
  </si>
  <si>
    <t>39073011</t>
  </si>
  <si>
    <t>39073019</t>
  </si>
  <si>
    <t>39073021</t>
  </si>
  <si>
    <t>39073022</t>
  </si>
  <si>
    <t>39073029</t>
  </si>
  <si>
    <t>39074090</t>
  </si>
  <si>
    <t>39075010</t>
  </si>
  <si>
    <t>39075090</t>
  </si>
  <si>
    <t>39074010</t>
  </si>
  <si>
    <t>39076000</t>
  </si>
  <si>
    <t>39077000</t>
  </si>
  <si>
    <t>39079100</t>
  </si>
  <si>
    <t>39079911</t>
  </si>
  <si>
    <t>39079912</t>
  </si>
  <si>
    <t>39079919</t>
  </si>
  <si>
    <t>39079991</t>
  </si>
  <si>
    <t>39079992</t>
  </si>
  <si>
    <t>39079999</t>
  </si>
  <si>
    <t>39081011</t>
  </si>
  <si>
    <t>39081012</t>
  </si>
  <si>
    <t>39081013</t>
  </si>
  <si>
    <t>39081014</t>
  </si>
  <si>
    <t>39081019</t>
  </si>
  <si>
    <t>39081021</t>
  </si>
  <si>
    <t>39081022</t>
  </si>
  <si>
    <t>39081023</t>
  </si>
  <si>
    <t>39081024</t>
  </si>
  <si>
    <t>39081029</t>
  </si>
  <si>
    <t>39089010</t>
  </si>
  <si>
    <t>39089020</t>
  </si>
  <si>
    <t>39089090</t>
  </si>
  <si>
    <t>39091000</t>
  </si>
  <si>
    <t>39092011</t>
  </si>
  <si>
    <t>39092019</t>
  </si>
  <si>
    <t>39092021</t>
  </si>
  <si>
    <t>39092029</t>
  </si>
  <si>
    <t>39093010</t>
  </si>
  <si>
    <t>39093020</t>
  </si>
  <si>
    <t>39094011</t>
  </si>
  <si>
    <t>39094019</t>
  </si>
  <si>
    <t>39094091</t>
  </si>
  <si>
    <t>39094099</t>
  </si>
  <si>
    <t>39095011</t>
  </si>
  <si>
    <t>39095012</t>
  </si>
  <si>
    <t>39095019</t>
  </si>
  <si>
    <t>39095021</t>
  </si>
  <si>
    <t>39095029</t>
  </si>
  <si>
    <t>39100011</t>
  </si>
  <si>
    <t>39100012</t>
  </si>
  <si>
    <t>39100013</t>
  </si>
  <si>
    <t>39100019</t>
  </si>
  <si>
    <t>39100021</t>
  </si>
  <si>
    <t>39100029</t>
  </si>
  <si>
    <t>39100030</t>
  </si>
  <si>
    <t>39100090</t>
  </si>
  <si>
    <t>39111010</t>
  </si>
  <si>
    <t>39111021</t>
  </si>
  <si>
    <t>39111029</t>
  </si>
  <si>
    <t>39119011</t>
  </si>
  <si>
    <t>39119012</t>
  </si>
  <si>
    <t>39119013</t>
  </si>
  <si>
    <t>39119014</t>
  </si>
  <si>
    <t>39119019</t>
  </si>
  <si>
    <t>39119021</t>
  </si>
  <si>
    <t>39119022</t>
  </si>
  <si>
    <t>39119023</t>
  </si>
  <si>
    <t>39119024</t>
  </si>
  <si>
    <t>39119025</t>
  </si>
  <si>
    <t>39119026</t>
  </si>
  <si>
    <t>39119029</t>
  </si>
  <si>
    <t>39121110</t>
  </si>
  <si>
    <t>39121120</t>
  </si>
  <si>
    <t>39121200</t>
  </si>
  <si>
    <t>39122010</t>
  </si>
  <si>
    <t>39122021</t>
  </si>
  <si>
    <t>39122029</t>
  </si>
  <si>
    <t>39123111</t>
  </si>
  <si>
    <t>39123119</t>
  </si>
  <si>
    <t>39123121</t>
  </si>
  <si>
    <t>39123129</t>
  </si>
  <si>
    <t>39123910</t>
  </si>
  <si>
    <t>39123920</t>
  </si>
  <si>
    <t>39123930</t>
  </si>
  <si>
    <t>39123990</t>
  </si>
  <si>
    <t>39129010</t>
  </si>
  <si>
    <t>39129020</t>
  </si>
  <si>
    <t>39129031</t>
  </si>
  <si>
    <t>39129039</t>
  </si>
  <si>
    <t>39129040</t>
  </si>
  <si>
    <t>39129090</t>
  </si>
  <si>
    <t>39131000</t>
  </si>
  <si>
    <t>39139011</t>
  </si>
  <si>
    <t>39139012</t>
  </si>
  <si>
    <t>39139019</t>
  </si>
  <si>
    <t>39139020</t>
  </si>
  <si>
    <t>39139030</t>
  </si>
  <si>
    <t>39139040</t>
  </si>
  <si>
    <t>39139050</t>
  </si>
  <si>
    <t>39139060</t>
  </si>
  <si>
    <t>39139090</t>
  </si>
  <si>
    <t>39140011</t>
  </si>
  <si>
    <t>39140019</t>
  </si>
  <si>
    <t>39140090</t>
  </si>
  <si>
    <t>39151000</t>
  </si>
  <si>
    <t>39152000</t>
  </si>
  <si>
    <t>39153000</t>
  </si>
  <si>
    <t>39159000</t>
  </si>
  <si>
    <t>39161000</t>
  </si>
  <si>
    <t>39162000</t>
  </si>
  <si>
    <t>39169010</t>
  </si>
  <si>
    <t>39169090</t>
  </si>
  <si>
    <t>39171010</t>
  </si>
  <si>
    <t>39171021</t>
  </si>
  <si>
    <t>39171029</t>
  </si>
  <si>
    <t>39172100</t>
  </si>
  <si>
    <t>39172200</t>
  </si>
  <si>
    <t>39172300</t>
  </si>
  <si>
    <t>39172900</t>
  </si>
  <si>
    <t>39173100</t>
  </si>
  <si>
    <t>39173210</t>
  </si>
  <si>
    <t>39173221</t>
  </si>
  <si>
    <t>39173229</t>
  </si>
  <si>
    <t>39173230</t>
  </si>
  <si>
    <t>39173240</t>
  </si>
  <si>
    <t>39173251</t>
  </si>
  <si>
    <t>39173259</t>
  </si>
  <si>
    <t>39173290</t>
  </si>
  <si>
    <t>39173300</t>
  </si>
  <si>
    <t>39173900</t>
  </si>
  <si>
    <t>39174010</t>
  </si>
  <si>
    <t>39174090</t>
  </si>
  <si>
    <t>39181000</t>
  </si>
  <si>
    <t>39189000</t>
  </si>
  <si>
    <t>39191000</t>
  </si>
  <si>
    <t>39199000</t>
  </si>
  <si>
    <t>39201010</t>
  </si>
  <si>
    <t>39201091</t>
  </si>
  <si>
    <t>39201099</t>
  </si>
  <si>
    <t>39202011</t>
  </si>
  <si>
    <t>39202012</t>
  </si>
  <si>
    <t>39202019</t>
  </si>
  <si>
    <t>39202090</t>
  </si>
  <si>
    <t>39203000</t>
  </si>
  <si>
    <t>39204310</t>
  </si>
  <si>
    <t>39204390</t>
  </si>
  <si>
    <t>39204900</t>
  </si>
  <si>
    <t>39205100</t>
  </si>
  <si>
    <t>39205900</t>
  </si>
  <si>
    <t>39206100</t>
  </si>
  <si>
    <t>39206211</t>
  </si>
  <si>
    <t>39206219</t>
  </si>
  <si>
    <t>39206291</t>
  </si>
  <si>
    <t>39206299</t>
  </si>
  <si>
    <t>39206300</t>
  </si>
  <si>
    <t>39206900</t>
  </si>
  <si>
    <t>39207100</t>
  </si>
  <si>
    <t>39207310</t>
  </si>
  <si>
    <t>39207390</t>
  </si>
  <si>
    <t>39207910</t>
  </si>
  <si>
    <t>39207990</t>
  </si>
  <si>
    <t>39209100</t>
  </si>
  <si>
    <t>39209200</t>
  </si>
  <si>
    <t>39209300</t>
  </si>
  <si>
    <t>39209400</t>
  </si>
  <si>
    <t>39209910</t>
  </si>
  <si>
    <t>39209920</t>
  </si>
  <si>
    <t>39209930</t>
  </si>
  <si>
    <t>39209940</t>
  </si>
  <si>
    <t>39209950</t>
  </si>
  <si>
    <t>39209990</t>
  </si>
  <si>
    <t>39211100</t>
  </si>
  <si>
    <t>39211200</t>
  </si>
  <si>
    <t>39211310</t>
  </si>
  <si>
    <t>39211390</t>
  </si>
  <si>
    <t>39211400</t>
  </si>
  <si>
    <t>39211900</t>
  </si>
  <si>
    <t>39219011</t>
  </si>
  <si>
    <t>39219012</t>
  </si>
  <si>
    <t>39219019</t>
  </si>
  <si>
    <t>39219020</t>
  </si>
  <si>
    <t>39219090</t>
  </si>
  <si>
    <t>39221000</t>
  </si>
  <si>
    <t>39222000</t>
  </si>
  <si>
    <t>39229000</t>
  </si>
  <si>
    <t>39231010</t>
  </si>
  <si>
    <t>39231090</t>
  </si>
  <si>
    <t>39232110</t>
  </si>
  <si>
    <t>39232190</t>
  </si>
  <si>
    <t>39232910</t>
  </si>
  <si>
    <t>39232990</t>
  </si>
  <si>
    <t>39233000</t>
  </si>
  <si>
    <t>39234000</t>
  </si>
  <si>
    <t>39235000</t>
  </si>
  <si>
    <t>39239000</t>
  </si>
  <si>
    <t>39241000</t>
  </si>
  <si>
    <t>39249000</t>
  </si>
  <si>
    <t>39251000</t>
  </si>
  <si>
    <t>39252000</t>
  </si>
  <si>
    <t>39253000</t>
  </si>
  <si>
    <t>39259010</t>
  </si>
  <si>
    <t>39259090</t>
  </si>
  <si>
    <t>39261000</t>
  </si>
  <si>
    <t>39262000</t>
  </si>
  <si>
    <t>39263000</t>
  </si>
  <si>
    <t>39264000</t>
  </si>
  <si>
    <t>39269010</t>
  </si>
  <si>
    <t>39269021</t>
  </si>
  <si>
    <t>39269022</t>
  </si>
  <si>
    <t>39269030</t>
  </si>
  <si>
    <t>39269040</t>
  </si>
  <si>
    <t>39269050</t>
  </si>
  <si>
    <t>39269061</t>
  </si>
  <si>
    <t>39269069</t>
  </si>
  <si>
    <t>39269090</t>
  </si>
  <si>
    <t>40011000</t>
  </si>
  <si>
    <t>40012100</t>
  </si>
  <si>
    <t>40012200</t>
  </si>
  <si>
    <t>40012910</t>
  </si>
  <si>
    <t>40012920</t>
  </si>
  <si>
    <t>40012990</t>
  </si>
  <si>
    <t>40013000</t>
  </si>
  <si>
    <t>40021110</t>
  </si>
  <si>
    <t>40021120</t>
  </si>
  <si>
    <t>40021911</t>
  </si>
  <si>
    <t>40021912</t>
  </si>
  <si>
    <t>40021919</t>
  </si>
  <si>
    <t>40021920</t>
  </si>
  <si>
    <t>40022010</t>
  </si>
  <si>
    <t>40022090</t>
  </si>
  <si>
    <t>40023100</t>
  </si>
  <si>
    <t>40023900</t>
  </si>
  <si>
    <t>40024100</t>
  </si>
  <si>
    <t>40024900</t>
  </si>
  <si>
    <t>40025100</t>
  </si>
  <si>
    <t>40025900</t>
  </si>
  <si>
    <t>40026000</t>
  </si>
  <si>
    <t>40027000</t>
  </si>
  <si>
    <t>40028000</t>
  </si>
  <si>
    <t>40029100</t>
  </si>
  <si>
    <t>40029910</t>
  </si>
  <si>
    <t>40029920</t>
  </si>
  <si>
    <t>40029930</t>
  </si>
  <si>
    <t>40029990</t>
  </si>
  <si>
    <t>40030000</t>
  </si>
  <si>
    <t>40040000</t>
  </si>
  <si>
    <t>40051010</t>
  </si>
  <si>
    <t>40051090</t>
  </si>
  <si>
    <t>40052000</t>
  </si>
  <si>
    <t>40059110</t>
  </si>
  <si>
    <t>40059190</t>
  </si>
  <si>
    <t>40059910</t>
  </si>
  <si>
    <t>40059990</t>
  </si>
  <si>
    <t>40061000</t>
  </si>
  <si>
    <t>40069000</t>
  </si>
  <si>
    <t>40070011</t>
  </si>
  <si>
    <t>40070019</t>
  </si>
  <si>
    <t>40070020</t>
  </si>
  <si>
    <t>40081100</t>
  </si>
  <si>
    <t>40081900</t>
  </si>
  <si>
    <t>40082100</t>
  </si>
  <si>
    <t>40082900</t>
  </si>
  <si>
    <t>40091100</t>
  </si>
  <si>
    <t>40091210</t>
  </si>
  <si>
    <t>40091290</t>
  </si>
  <si>
    <t>40092110</t>
  </si>
  <si>
    <t>40092190</t>
  </si>
  <si>
    <t>40092210</t>
  </si>
  <si>
    <t>40092290</t>
  </si>
  <si>
    <t>40093100</t>
  </si>
  <si>
    <t>40093210</t>
  </si>
  <si>
    <t>40093290</t>
  </si>
  <si>
    <t>40094100</t>
  </si>
  <si>
    <t>40094210</t>
  </si>
  <si>
    <t>40094290</t>
  </si>
  <si>
    <t>40101100</t>
  </si>
  <si>
    <t>40101200</t>
  </si>
  <si>
    <t>40101900</t>
  </si>
  <si>
    <t>40103100</t>
  </si>
  <si>
    <t>40103200</t>
  </si>
  <si>
    <t>40103300</t>
  </si>
  <si>
    <t>40103400</t>
  </si>
  <si>
    <t>40103500</t>
  </si>
  <si>
    <t>40103600</t>
  </si>
  <si>
    <t>40103900</t>
  </si>
  <si>
    <t>40111000</t>
  </si>
  <si>
    <t>40112010</t>
  </si>
  <si>
    <t>40112090</t>
  </si>
  <si>
    <t>40113000</t>
  </si>
  <si>
    <t>40114000</t>
  </si>
  <si>
    <t>40115000</t>
  </si>
  <si>
    <t>40116100</t>
  </si>
  <si>
    <t>40116200</t>
  </si>
  <si>
    <t>40116310</t>
  </si>
  <si>
    <t>40116320</t>
  </si>
  <si>
    <t>40116390</t>
  </si>
  <si>
    <t>40116910</t>
  </si>
  <si>
    <t>40116990</t>
  </si>
  <si>
    <t>40119210</t>
  </si>
  <si>
    <t>40119290</t>
  </si>
  <si>
    <t>40119300</t>
  </si>
  <si>
    <t>40119410</t>
  </si>
  <si>
    <t>40119420</t>
  </si>
  <si>
    <t>40119490</t>
  </si>
  <si>
    <t>40119910</t>
  </si>
  <si>
    <t>40119990</t>
  </si>
  <si>
    <t>40121100</t>
  </si>
  <si>
    <t>40121200</t>
  </si>
  <si>
    <t>40121300</t>
  </si>
  <si>
    <t>40121900</t>
  </si>
  <si>
    <t>40122000</t>
  </si>
  <si>
    <t>40129010</t>
  </si>
  <si>
    <t>40129090</t>
  </si>
  <si>
    <t>40131010</t>
  </si>
  <si>
    <t>40131090</t>
  </si>
  <si>
    <t>40132000</t>
  </si>
  <si>
    <t>40139000</t>
  </si>
  <si>
    <t>40141000</t>
  </si>
  <si>
    <t>40149010</t>
  </si>
  <si>
    <t>40149090</t>
  </si>
  <si>
    <t>40151100</t>
  </si>
  <si>
    <t>40151900</t>
  </si>
  <si>
    <t>40159000</t>
  </si>
  <si>
    <t>40161010</t>
  </si>
  <si>
    <t>40161090</t>
  </si>
  <si>
    <t>40169100</t>
  </si>
  <si>
    <t>40169200</t>
  </si>
  <si>
    <t>40169300</t>
  </si>
  <si>
    <t>40169400</t>
  </si>
  <si>
    <t>40169510</t>
  </si>
  <si>
    <t>40169590</t>
  </si>
  <si>
    <t>40169910</t>
  </si>
  <si>
    <t>40169990</t>
  </si>
  <si>
    <t>40170000</t>
  </si>
  <si>
    <t>41012000</t>
  </si>
  <si>
    <t>41015010</t>
  </si>
  <si>
    <t>41015020</t>
  </si>
  <si>
    <t>41015030</t>
  </si>
  <si>
    <t>41019010</t>
  </si>
  <si>
    <t>41019020</t>
  </si>
  <si>
    <t>41019030</t>
  </si>
  <si>
    <t>41021000</t>
  </si>
  <si>
    <t>41022100</t>
  </si>
  <si>
    <t>41022900</t>
  </si>
  <si>
    <t>41032000</t>
  </si>
  <si>
    <t>41033000</t>
  </si>
  <si>
    <t>41039000</t>
  </si>
  <si>
    <t>41041111</t>
  </si>
  <si>
    <t>41041112</t>
  </si>
  <si>
    <t>41041113</t>
  </si>
  <si>
    <t>41041114</t>
  </si>
  <si>
    <t>41041119</t>
  </si>
  <si>
    <t>41041121</t>
  </si>
  <si>
    <t>41041122</t>
  </si>
  <si>
    <t>41041123</t>
  </si>
  <si>
    <t>41041124</t>
  </si>
  <si>
    <t>41041129</t>
  </si>
  <si>
    <t>41041910</t>
  </si>
  <si>
    <t>41041920</t>
  </si>
  <si>
    <t>41041930</t>
  </si>
  <si>
    <t>41041940</t>
  </si>
  <si>
    <t>41041990</t>
  </si>
  <si>
    <t>41044110</t>
  </si>
  <si>
    <t>41044120</t>
  </si>
  <si>
    <t>41044130</t>
  </si>
  <si>
    <t>41044190</t>
  </si>
  <si>
    <t>41044910</t>
  </si>
  <si>
    <t>41044920</t>
  </si>
  <si>
    <t>41044990</t>
  </si>
  <si>
    <t>41051010</t>
  </si>
  <si>
    <t>41051021</t>
  </si>
  <si>
    <t>41051029</t>
  </si>
  <si>
    <t>41051090</t>
  </si>
  <si>
    <t>41053000</t>
  </si>
  <si>
    <t>41062110</t>
  </si>
  <si>
    <t>41062121</t>
  </si>
  <si>
    <t>41062129</t>
  </si>
  <si>
    <t>41062190</t>
  </si>
  <si>
    <t>41062200</t>
  </si>
  <si>
    <t>41063110</t>
  </si>
  <si>
    <t>41063190</t>
  </si>
  <si>
    <t>41063200</t>
  </si>
  <si>
    <t>41064000</t>
  </si>
  <si>
    <t>41069100</t>
  </si>
  <si>
    <t>41069200</t>
  </si>
  <si>
    <t>41071110</t>
  </si>
  <si>
    <t>41071120</t>
  </si>
  <si>
    <t>41071190</t>
  </si>
  <si>
    <t>41071210</t>
  </si>
  <si>
    <t>41071220</t>
  </si>
  <si>
    <t>41071290</t>
  </si>
  <si>
    <t>41071910</t>
  </si>
  <si>
    <t>41071920</t>
  </si>
  <si>
    <t>41071990</t>
  </si>
  <si>
    <t>41079110</t>
  </si>
  <si>
    <t>41079190</t>
  </si>
  <si>
    <t>41079210</t>
  </si>
  <si>
    <t>41079290</t>
  </si>
  <si>
    <t>41079910</t>
  </si>
  <si>
    <t>41079990</t>
  </si>
  <si>
    <t>41120000</t>
  </si>
  <si>
    <t>41131010</t>
  </si>
  <si>
    <t>41131090</t>
  </si>
  <si>
    <t>41132000</t>
  </si>
  <si>
    <t>41133000</t>
  </si>
  <si>
    <t>41139000</t>
  </si>
  <si>
    <t>41141000</t>
  </si>
  <si>
    <t>41142010</t>
  </si>
  <si>
    <t>41142020</t>
  </si>
  <si>
    <t>41151000</t>
  </si>
  <si>
    <t>41152000</t>
  </si>
  <si>
    <t>42010010</t>
  </si>
  <si>
    <t>42010090</t>
  </si>
  <si>
    <t>42021100</t>
  </si>
  <si>
    <t>42021210</t>
  </si>
  <si>
    <t>42021220</t>
  </si>
  <si>
    <t>42021900</t>
  </si>
  <si>
    <t>42022100</t>
  </si>
  <si>
    <t>42022210</t>
  </si>
  <si>
    <t>42022220</t>
  </si>
  <si>
    <t>42022900</t>
  </si>
  <si>
    <t>42023100</t>
  </si>
  <si>
    <t>42023200</t>
  </si>
  <si>
    <t>42023900</t>
  </si>
  <si>
    <t>42029100</t>
  </si>
  <si>
    <t>42029200</t>
  </si>
  <si>
    <t>42029900</t>
  </si>
  <si>
    <t>42031000</t>
  </si>
  <si>
    <t>42032100</t>
  </si>
  <si>
    <t>42032900</t>
  </si>
  <si>
    <t>42033000</t>
  </si>
  <si>
    <t>42034000</t>
  </si>
  <si>
    <t>42050000</t>
  </si>
  <si>
    <t>42060000</t>
  </si>
  <si>
    <t>43011000</t>
  </si>
  <si>
    <t>43013000</t>
  </si>
  <si>
    <t>43016000</t>
  </si>
  <si>
    <t>43018000</t>
  </si>
  <si>
    <t>43019000</t>
  </si>
  <si>
    <t>43021100</t>
  </si>
  <si>
    <t>43021910</t>
  </si>
  <si>
    <t>43021990</t>
  </si>
  <si>
    <t>44031000</t>
  </si>
  <si>
    <t>43022000</t>
  </si>
  <si>
    <t>43023000</t>
  </si>
  <si>
    <t>43031000</t>
  </si>
  <si>
    <t>43039000</t>
  </si>
  <si>
    <t>43040000</t>
  </si>
  <si>
    <t>44011000</t>
  </si>
  <si>
    <t>44012100</t>
  </si>
  <si>
    <t>44012200</t>
  </si>
  <si>
    <t>44013100</t>
  </si>
  <si>
    <t>44013900</t>
  </si>
  <si>
    <t>44021000</t>
  </si>
  <si>
    <t>44029000</t>
  </si>
  <si>
    <t>44032000</t>
  </si>
  <si>
    <t>44034100</t>
  </si>
  <si>
    <t>44034900</t>
  </si>
  <si>
    <t>44039100</t>
  </si>
  <si>
    <t>44039200</t>
  </si>
  <si>
    <t>44039900</t>
  </si>
  <si>
    <t>44041000</t>
  </si>
  <si>
    <t>44042000</t>
  </si>
  <si>
    <t>44050000</t>
  </si>
  <si>
    <t>44061000</t>
  </si>
  <si>
    <t>44069000</t>
  </si>
  <si>
    <t>44071000</t>
  </si>
  <si>
    <t>44072100</t>
  </si>
  <si>
    <t>44072200</t>
  </si>
  <si>
    <t>44072500</t>
  </si>
  <si>
    <t>44072600</t>
  </si>
  <si>
    <t>44072700</t>
  </si>
  <si>
    <t>44072800</t>
  </si>
  <si>
    <t>44072910</t>
  </si>
  <si>
    <t>44072920</t>
  </si>
  <si>
    <t>44072930</t>
  </si>
  <si>
    <t>44072940</t>
  </si>
  <si>
    <t>44072990</t>
  </si>
  <si>
    <t>44079100</t>
  </si>
  <si>
    <t>44079200</t>
  </si>
  <si>
    <t>44079300</t>
  </si>
  <si>
    <t>44079400</t>
  </si>
  <si>
    <t>44079500</t>
  </si>
  <si>
    <t>44079910</t>
  </si>
  <si>
    <t>44079920</t>
  </si>
  <si>
    <t>44079930</t>
  </si>
  <si>
    <t>44079940</t>
  </si>
  <si>
    <t>44079950</t>
  </si>
  <si>
    <t>44079960</t>
  </si>
  <si>
    <t>44079970</t>
  </si>
  <si>
    <t>44079990</t>
  </si>
  <si>
    <t>44081010</t>
  </si>
  <si>
    <t>44081091</t>
  </si>
  <si>
    <t>44081099</t>
  </si>
  <si>
    <t>44083110</t>
  </si>
  <si>
    <t>44083190</t>
  </si>
  <si>
    <t>44083910</t>
  </si>
  <si>
    <t>44083991</t>
  </si>
  <si>
    <t>44083992</t>
  </si>
  <si>
    <t>44083999</t>
  </si>
  <si>
    <t>44089010</t>
  </si>
  <si>
    <t>44089090</t>
  </si>
  <si>
    <t>44091000</t>
  </si>
  <si>
    <t>44092100</t>
  </si>
  <si>
    <t>44092900</t>
  </si>
  <si>
    <t>44101110</t>
  </si>
  <si>
    <t>44101121</t>
  </si>
  <si>
    <t>44101129</t>
  </si>
  <si>
    <t>44101190</t>
  </si>
  <si>
    <t>44101210</t>
  </si>
  <si>
    <t>44101290</t>
  </si>
  <si>
    <t>44101911</t>
  </si>
  <si>
    <t>44101919</t>
  </si>
  <si>
    <t>44101991</t>
  </si>
  <si>
    <t>44101992</t>
  </si>
  <si>
    <t>44101999</t>
  </si>
  <si>
    <t>44109000</t>
  </si>
  <si>
    <t>44111210</t>
  </si>
  <si>
    <t>44111290</t>
  </si>
  <si>
    <t>44111310</t>
  </si>
  <si>
    <t>44111391</t>
  </si>
  <si>
    <t>44111399</t>
  </si>
  <si>
    <t>44111410</t>
  </si>
  <si>
    <t>44111490</t>
  </si>
  <si>
    <t>44119210</t>
  </si>
  <si>
    <t>44119290</t>
  </si>
  <si>
    <t>44119310</t>
  </si>
  <si>
    <t>44119390</t>
  </si>
  <si>
    <t>44119410</t>
  </si>
  <si>
    <t>44119490</t>
  </si>
  <si>
    <t>44121000</t>
  </si>
  <si>
    <t>44123100</t>
  </si>
  <si>
    <t>44123200</t>
  </si>
  <si>
    <t>44123900</t>
  </si>
  <si>
    <t>44129400</t>
  </si>
  <si>
    <t>44129900</t>
  </si>
  <si>
    <t>44130000</t>
  </si>
  <si>
    <t>44140000</t>
  </si>
  <si>
    <t>44151000</t>
  </si>
  <si>
    <t>44152000</t>
  </si>
  <si>
    <t>44160010</t>
  </si>
  <si>
    <t>44160090</t>
  </si>
  <si>
    <t>44170010</t>
  </si>
  <si>
    <t>44170020</t>
  </si>
  <si>
    <t>44170090</t>
  </si>
  <si>
    <t>44181000</t>
  </si>
  <si>
    <t>44182000</t>
  </si>
  <si>
    <t>44184000</t>
  </si>
  <si>
    <t>44185000</t>
  </si>
  <si>
    <t>44186000</t>
  </si>
  <si>
    <t>44187100</t>
  </si>
  <si>
    <t>44187200</t>
  </si>
  <si>
    <t>44187900</t>
  </si>
  <si>
    <t>44189000</t>
  </si>
  <si>
    <t>44190000</t>
  </si>
  <si>
    <t>44201000</t>
  </si>
  <si>
    <t>44209000</t>
  </si>
  <si>
    <t>44211000</t>
  </si>
  <si>
    <t>44219000</t>
  </si>
  <si>
    <t>45011000</t>
  </si>
  <si>
    <t>45019000</t>
  </si>
  <si>
    <t>45020000</t>
  </si>
  <si>
    <t>45031000</t>
  </si>
  <si>
    <t>45039000</t>
  </si>
  <si>
    <t>45041000</t>
  </si>
  <si>
    <t>45049000</t>
  </si>
  <si>
    <t>46012100</t>
  </si>
  <si>
    <t>46012200</t>
  </si>
  <si>
    <t>46012900</t>
  </si>
  <si>
    <t>46019200</t>
  </si>
  <si>
    <t>46019300</t>
  </si>
  <si>
    <t>46019400</t>
  </si>
  <si>
    <t>46019900</t>
  </si>
  <si>
    <t>46021100</t>
  </si>
  <si>
    <t>46021200</t>
  </si>
  <si>
    <t>46021900</t>
  </si>
  <si>
    <t>46029000</t>
  </si>
  <si>
    <t>47010000</t>
  </si>
  <si>
    <t>47020000</t>
  </si>
  <si>
    <t>47031100</t>
  </si>
  <si>
    <t>47031900</t>
  </si>
  <si>
    <t>47032100</t>
  </si>
  <si>
    <t>47032900</t>
  </si>
  <si>
    <t>47041100</t>
  </si>
  <si>
    <t>47041900</t>
  </si>
  <si>
    <t>47042100</t>
  </si>
  <si>
    <t>47042900</t>
  </si>
  <si>
    <t>47050000</t>
  </si>
  <si>
    <t>47061000</t>
  </si>
  <si>
    <t>47062000</t>
  </si>
  <si>
    <t>47063000</t>
  </si>
  <si>
    <t>47069100</t>
  </si>
  <si>
    <t>47069200</t>
  </si>
  <si>
    <t>47069300</t>
  </si>
  <si>
    <t>47071000</t>
  </si>
  <si>
    <t>47072000</t>
  </si>
  <si>
    <t>47073000</t>
  </si>
  <si>
    <t>47079000</t>
  </si>
  <si>
    <t>48010010</t>
  </si>
  <si>
    <t>48010090</t>
  </si>
  <si>
    <t>48021000</t>
  </si>
  <si>
    <t>48022010</t>
  </si>
  <si>
    <t>48022090</t>
  </si>
  <si>
    <t>48024010</t>
  </si>
  <si>
    <t>48024090</t>
  </si>
  <si>
    <t>48025410</t>
  </si>
  <si>
    <t>48025491</t>
  </si>
  <si>
    <t>48025499</t>
  </si>
  <si>
    <t>48025510</t>
  </si>
  <si>
    <t>48025591</t>
  </si>
  <si>
    <t>48025592</t>
  </si>
  <si>
    <t>48025599</t>
  </si>
  <si>
    <t>48025610</t>
  </si>
  <si>
    <t>48025691</t>
  </si>
  <si>
    <t>48025692</t>
  </si>
  <si>
    <t>48025693</t>
  </si>
  <si>
    <t>48025699</t>
  </si>
  <si>
    <t>48025710</t>
  </si>
  <si>
    <t>48025791</t>
  </si>
  <si>
    <t>48025792</t>
  </si>
  <si>
    <t>48025793</t>
  </si>
  <si>
    <t>48025799</t>
  </si>
  <si>
    <t>48025810</t>
  </si>
  <si>
    <t>48025891</t>
  </si>
  <si>
    <t>48025892</t>
  </si>
  <si>
    <t>48025899</t>
  </si>
  <si>
    <t>48026110</t>
  </si>
  <si>
    <t>48026191</t>
  </si>
  <si>
    <t>48026192</t>
  </si>
  <si>
    <t>48026199</t>
  </si>
  <si>
    <t>48026210</t>
  </si>
  <si>
    <t>48026291</t>
  </si>
  <si>
    <t>48026292</t>
  </si>
  <si>
    <t>48026299</t>
  </si>
  <si>
    <t>48026910</t>
  </si>
  <si>
    <t>48026991</t>
  </si>
  <si>
    <t>48026992</t>
  </si>
  <si>
    <t>48026999</t>
  </si>
  <si>
    <t>48030010</t>
  </si>
  <si>
    <t>48030090</t>
  </si>
  <si>
    <t>48041100</t>
  </si>
  <si>
    <t>48041900</t>
  </si>
  <si>
    <t>48042100</t>
  </si>
  <si>
    <t>48042900</t>
  </si>
  <si>
    <t>48043110</t>
  </si>
  <si>
    <t>48043190</t>
  </si>
  <si>
    <t>48043910</t>
  </si>
  <si>
    <t>48043990</t>
  </si>
  <si>
    <t>48044100</t>
  </si>
  <si>
    <t>48044200</t>
  </si>
  <si>
    <t>48044900</t>
  </si>
  <si>
    <t>48045100</t>
  </si>
  <si>
    <t>48045200</t>
  </si>
  <si>
    <t>48045910</t>
  </si>
  <si>
    <t>48045990</t>
  </si>
  <si>
    <t>48051100</t>
  </si>
  <si>
    <t>48051200</t>
  </si>
  <si>
    <t>48051900</t>
  </si>
  <si>
    <t>48052400</t>
  </si>
  <si>
    <t>48052500</t>
  </si>
  <si>
    <t>48053000</t>
  </si>
  <si>
    <t>48054010</t>
  </si>
  <si>
    <t>48054090</t>
  </si>
  <si>
    <t>48055000</t>
  </si>
  <si>
    <t>48059100</t>
  </si>
  <si>
    <t>48059210</t>
  </si>
  <si>
    <t>48059290</t>
  </si>
  <si>
    <t>48059300</t>
  </si>
  <si>
    <t>48061000</t>
  </si>
  <si>
    <t>48062000</t>
  </si>
  <si>
    <t>48063000</t>
  </si>
  <si>
    <t>48064000</t>
  </si>
  <si>
    <t>48070000</t>
  </si>
  <si>
    <t>48081000</t>
  </si>
  <si>
    <t>48084000</t>
  </si>
  <si>
    <t>48089000</t>
  </si>
  <si>
    <t>48092000</t>
  </si>
  <si>
    <t>48099000</t>
  </si>
  <si>
    <t>48102990</t>
  </si>
  <si>
    <t>48101310</t>
  </si>
  <si>
    <t>48101381</t>
  </si>
  <si>
    <t>48101382</t>
  </si>
  <si>
    <t>48101389</t>
  </si>
  <si>
    <t>48101390</t>
  </si>
  <si>
    <t>48101410</t>
  </si>
  <si>
    <t>48101481</t>
  </si>
  <si>
    <t>48101482</t>
  </si>
  <si>
    <t>48101489</t>
  </si>
  <si>
    <t>48101490</t>
  </si>
  <si>
    <t>48101910</t>
  </si>
  <si>
    <t>48101981</t>
  </si>
  <si>
    <t>48101982</t>
  </si>
  <si>
    <t>48101989</t>
  </si>
  <si>
    <t>48101990</t>
  </si>
  <si>
    <t>48102210</t>
  </si>
  <si>
    <t>48102290</t>
  </si>
  <si>
    <t>48102910</t>
  </si>
  <si>
    <t>48103110</t>
  </si>
  <si>
    <t>48103190</t>
  </si>
  <si>
    <t>48103210</t>
  </si>
  <si>
    <t>48103290</t>
  </si>
  <si>
    <t>48103910</t>
  </si>
  <si>
    <t>48103990</t>
  </si>
  <si>
    <t>48109210</t>
  </si>
  <si>
    <t>48109290</t>
  </si>
  <si>
    <t>48109910</t>
  </si>
  <si>
    <t>48109990</t>
  </si>
  <si>
    <t>48111010</t>
  </si>
  <si>
    <t>48111090</t>
  </si>
  <si>
    <t>48114110</t>
  </si>
  <si>
    <t>48114190</t>
  </si>
  <si>
    <t>48114910</t>
  </si>
  <si>
    <t>48114990</t>
  </si>
  <si>
    <t>48115110</t>
  </si>
  <si>
    <t>48115121</t>
  </si>
  <si>
    <t>48115122</t>
  </si>
  <si>
    <t>48115123</t>
  </si>
  <si>
    <t>48115128</t>
  </si>
  <si>
    <t>48115129</t>
  </si>
  <si>
    <t>48115130</t>
  </si>
  <si>
    <t>48115910</t>
  </si>
  <si>
    <t>48115921</t>
  </si>
  <si>
    <t>48115922</t>
  </si>
  <si>
    <t>48115923</t>
  </si>
  <si>
    <t>48115929</t>
  </si>
  <si>
    <t>48115930</t>
  </si>
  <si>
    <t>48116010</t>
  </si>
  <si>
    <t>48116090</t>
  </si>
  <si>
    <t>48119010</t>
  </si>
  <si>
    <t>48119090</t>
  </si>
  <si>
    <t>48120000</t>
  </si>
  <si>
    <t>48131000</t>
  </si>
  <si>
    <t>48132000</t>
  </si>
  <si>
    <t>48139000</t>
  </si>
  <si>
    <t>48142000</t>
  </si>
  <si>
    <t>48149000</t>
  </si>
  <si>
    <t>48162000</t>
  </si>
  <si>
    <t>48169010</t>
  </si>
  <si>
    <t>48169090</t>
  </si>
  <si>
    <t>48171000</t>
  </si>
  <si>
    <t>48172000</t>
  </si>
  <si>
    <t>48173000</t>
  </si>
  <si>
    <t>48181000</t>
  </si>
  <si>
    <t>48182000</t>
  </si>
  <si>
    <t>48183000</t>
  </si>
  <si>
    <t>48185000</t>
  </si>
  <si>
    <t>48189010</t>
  </si>
  <si>
    <t>48189090</t>
  </si>
  <si>
    <t>48191000</t>
  </si>
  <si>
    <t>48192000</t>
  </si>
  <si>
    <t>48193000</t>
  </si>
  <si>
    <t>48194000</t>
  </si>
  <si>
    <t>48195000</t>
  </si>
  <si>
    <t>48196000</t>
  </si>
  <si>
    <t>48201000</t>
  </si>
  <si>
    <t>48202000</t>
  </si>
  <si>
    <t>48203000</t>
  </si>
  <si>
    <t>48204000</t>
  </si>
  <si>
    <t>48205000</t>
  </si>
  <si>
    <t>48209000</t>
  </si>
  <si>
    <t>48211000</t>
  </si>
  <si>
    <t>48219000</t>
  </si>
  <si>
    <t>48221000</t>
  </si>
  <si>
    <t>48229000</t>
  </si>
  <si>
    <t>48232010</t>
  </si>
  <si>
    <t>48232091</t>
  </si>
  <si>
    <t>48232099</t>
  </si>
  <si>
    <t>48234000</t>
  </si>
  <si>
    <t>48236100</t>
  </si>
  <si>
    <t>48236900</t>
  </si>
  <si>
    <t>48237000</t>
  </si>
  <si>
    <t>48239010</t>
  </si>
  <si>
    <t>48239020</t>
  </si>
  <si>
    <t>48239091</t>
  </si>
  <si>
    <t>48239099</t>
  </si>
  <si>
    <t>49011000</t>
  </si>
  <si>
    <t>49019100</t>
  </si>
  <si>
    <t>49019900</t>
  </si>
  <si>
    <t>49021000</t>
  </si>
  <si>
    <t>49029000</t>
  </si>
  <si>
    <t>49030000</t>
  </si>
  <si>
    <t>49040000</t>
  </si>
  <si>
    <t>49051000</t>
  </si>
  <si>
    <t>49059100</t>
  </si>
  <si>
    <t>49059900</t>
  </si>
  <si>
    <t>49060000</t>
  </si>
  <si>
    <t>49070010</t>
  </si>
  <si>
    <t>49070020</t>
  </si>
  <si>
    <t>49070030</t>
  </si>
  <si>
    <t>49070090</t>
  </si>
  <si>
    <t>49081000</t>
  </si>
  <si>
    <t>49089000</t>
  </si>
  <si>
    <t>49090000</t>
  </si>
  <si>
    <t>49100000</t>
  </si>
  <si>
    <t>49111010</t>
  </si>
  <si>
    <t>49111090</t>
  </si>
  <si>
    <t>49119100</t>
  </si>
  <si>
    <t>49119900</t>
  </si>
  <si>
    <t>50010000</t>
  </si>
  <si>
    <t>50020000</t>
  </si>
  <si>
    <t>50030010</t>
  </si>
  <si>
    <t>50030090</t>
  </si>
  <si>
    <t>50040000</t>
  </si>
  <si>
    <t>50050000</t>
  </si>
  <si>
    <t>50060000</t>
  </si>
  <si>
    <t>50071010</t>
  </si>
  <si>
    <t>50071090</t>
  </si>
  <si>
    <t>50072010</t>
  </si>
  <si>
    <t>50072090</t>
  </si>
  <si>
    <t>50079000</t>
  </si>
  <si>
    <t>51011110</t>
  </si>
  <si>
    <t>51011190</t>
  </si>
  <si>
    <t>51011900</t>
  </si>
  <si>
    <t>51012100</t>
  </si>
  <si>
    <t>51012900</t>
  </si>
  <si>
    <t>51013000</t>
  </si>
  <si>
    <t>51021100</t>
  </si>
  <si>
    <t>51021900</t>
  </si>
  <si>
    <t>51022000</t>
  </si>
  <si>
    <t>51031000</t>
  </si>
  <si>
    <t>51032000</t>
  </si>
  <si>
    <t>51033000</t>
  </si>
  <si>
    <t>51040000</t>
  </si>
  <si>
    <t>51051000</t>
  </si>
  <si>
    <t>51052100</t>
  </si>
  <si>
    <t>51052910</t>
  </si>
  <si>
    <t>51052991</t>
  </si>
  <si>
    <t>51052999</t>
  </si>
  <si>
    <t>51053100</t>
  </si>
  <si>
    <t>51053900</t>
  </si>
  <si>
    <t>51054000</t>
  </si>
  <si>
    <t>51061000</t>
  </si>
  <si>
    <t>51062000</t>
  </si>
  <si>
    <t>51071011</t>
  </si>
  <si>
    <t>51071019</t>
  </si>
  <si>
    <t>51071090</t>
  </si>
  <si>
    <t>51072000</t>
  </si>
  <si>
    <t>51081000</t>
  </si>
  <si>
    <t>51082000</t>
  </si>
  <si>
    <t>51091000</t>
  </si>
  <si>
    <t>51099000</t>
  </si>
  <si>
    <t>51100000</t>
  </si>
  <si>
    <t>51111110</t>
  </si>
  <si>
    <t>51111120</t>
  </si>
  <si>
    <t>51111900</t>
  </si>
  <si>
    <t>51112000</t>
  </si>
  <si>
    <t>51113010</t>
  </si>
  <si>
    <t>51113090</t>
  </si>
  <si>
    <t>51119000</t>
  </si>
  <si>
    <t>51121100</t>
  </si>
  <si>
    <t>51121910</t>
  </si>
  <si>
    <t>51121920</t>
  </si>
  <si>
    <t>51122010</t>
  </si>
  <si>
    <t>51122020</t>
  </si>
  <si>
    <t>51123010</t>
  </si>
  <si>
    <t>51123020</t>
  </si>
  <si>
    <t>51129000</t>
  </si>
  <si>
    <t>51130011</t>
  </si>
  <si>
    <t>51130012</t>
  </si>
  <si>
    <t>51130013</t>
  </si>
  <si>
    <t>51130020</t>
  </si>
  <si>
    <t>52010010</t>
  </si>
  <si>
    <t>52010020</t>
  </si>
  <si>
    <t>52010090</t>
  </si>
  <si>
    <t>52021000</t>
  </si>
  <si>
    <t>52029100</t>
  </si>
  <si>
    <t>52029900</t>
  </si>
  <si>
    <t>52030000</t>
  </si>
  <si>
    <t>52041111</t>
  </si>
  <si>
    <t>52041112</t>
  </si>
  <si>
    <t>52041120</t>
  </si>
  <si>
    <t>52041131</t>
  </si>
  <si>
    <t>52041132</t>
  </si>
  <si>
    <t>52041140</t>
  </si>
  <si>
    <t>52041911</t>
  </si>
  <si>
    <t>52041912</t>
  </si>
  <si>
    <t>52041920</t>
  </si>
  <si>
    <t>52041931</t>
  </si>
  <si>
    <t>52041932</t>
  </si>
  <si>
    <t>52041940</t>
  </si>
  <si>
    <t>52042000</t>
  </si>
  <si>
    <t>52051100</t>
  </si>
  <si>
    <t>52051200</t>
  </si>
  <si>
    <t>52051310</t>
  </si>
  <si>
    <t>52051390</t>
  </si>
  <si>
    <t>52051400</t>
  </si>
  <si>
    <t>52051500</t>
  </si>
  <si>
    <t>52052100</t>
  </si>
  <si>
    <t>52052200</t>
  </si>
  <si>
    <t>52052310</t>
  </si>
  <si>
    <t>52052390</t>
  </si>
  <si>
    <t>52052400</t>
  </si>
  <si>
    <t>52052600</t>
  </si>
  <si>
    <t>52052700</t>
  </si>
  <si>
    <t>52052800</t>
  </si>
  <si>
    <t>52053100</t>
  </si>
  <si>
    <t>52053200</t>
  </si>
  <si>
    <t>52053300</t>
  </si>
  <si>
    <t>52053400</t>
  </si>
  <si>
    <t>52053500</t>
  </si>
  <si>
    <t>52054100</t>
  </si>
  <si>
    <t>52054200</t>
  </si>
  <si>
    <t>52054300</t>
  </si>
  <si>
    <t>52054400</t>
  </si>
  <si>
    <t>52054600</t>
  </si>
  <si>
    <t>52054700</t>
  </si>
  <si>
    <t>52054800</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</si>
  <si>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</si>
  <si>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</si>
  <si>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</si>
  <si>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</si>
  <si>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</si>
  <si>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</si>
  <si>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</si>
  <si>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</si>
  <si>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</si>
  <si>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</si>
  <si>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</si>
  <si>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</si>
  <si>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</si>
  <si>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</si>
  <si>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</si>
  <si>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</si>
  <si>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</si>
  <si>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</si>
  <si>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</si>
  <si>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</si>
  <si>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</si>
  <si>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</si>
  <si>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</si>
  <si>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52081200</t>
  </si>
  <si>
    <t>52081300</t>
  </si>
  <si>
    <t>52081900</t>
  </si>
  <si>
    <t>52082100</t>
  </si>
  <si>
    <t>52082200</t>
  </si>
  <si>
    <t>52082300</t>
  </si>
  <si>
    <t>52082900</t>
  </si>
  <si>
    <t>52083100</t>
  </si>
  <si>
    <t>52083200</t>
  </si>
  <si>
    <t>52083300</t>
  </si>
  <si>
    <t>52083900</t>
  </si>
  <si>
    <t>52084100</t>
  </si>
  <si>
    <t>52084200</t>
  </si>
  <si>
    <t>52084300</t>
  </si>
  <si>
    <t>52084900</t>
  </si>
  <si>
    <t>52085100</t>
  </si>
  <si>
    <t>52085200</t>
  </si>
  <si>
    <t>52085910</t>
  </si>
  <si>
    <t>52085990</t>
  </si>
  <si>
    <t>52091100</t>
  </si>
  <si>
    <t>52091200</t>
  </si>
  <si>
    <t>52091900</t>
  </si>
  <si>
    <t>52092100</t>
  </si>
  <si>
    <t>52092200</t>
  </si>
  <si>
    <t>52092900</t>
  </si>
  <si>
    <t>52093100</t>
  </si>
  <si>
    <t>52093200</t>
  </si>
  <si>
    <t>52093900</t>
  </si>
  <si>
    <t>52094100</t>
  </si>
  <si>
    <t>52094210</t>
  </si>
  <si>
    <t>52094290</t>
  </si>
  <si>
    <t>52094300</t>
  </si>
  <si>
    <t>52094900</t>
  </si>
  <si>
    <t>52095100</t>
  </si>
  <si>
    <t>52095200</t>
  </si>
  <si>
    <t>52095900</t>
  </si>
  <si>
    <t>52101100</t>
  </si>
  <si>
    <t>52101910</t>
  </si>
  <si>
    <t>52101990</t>
  </si>
  <si>
    <t>52102100</t>
  </si>
  <si>
    <t>52102910</t>
  </si>
  <si>
    <t>52102990</t>
  </si>
  <si>
    <t>52103100</t>
  </si>
  <si>
    <t>52103200</t>
  </si>
  <si>
    <t>52103900</t>
  </si>
  <si>
    <t>52104100</t>
  </si>
  <si>
    <t>52104910</t>
  </si>
  <si>
    <t>52104990</t>
  </si>
  <si>
    <t>52105100</t>
  </si>
  <si>
    <t>52105910</t>
  </si>
  <si>
    <t>52105990</t>
  </si>
  <si>
    <t>52111100</t>
  </si>
  <si>
    <t>52111200</t>
  </si>
  <si>
    <t>52111900</t>
  </si>
  <si>
    <t>52112010</t>
  </si>
  <si>
    <t>52112020</t>
  </si>
  <si>
    <t>52112090</t>
  </si>
  <si>
    <t>52113100</t>
  </si>
  <si>
    <t>52113200</t>
  </si>
  <si>
    <t>52113900</t>
  </si>
  <si>
    <t>52114100</t>
  </si>
  <si>
    <t>52114210</t>
  </si>
  <si>
    <t>52114290</t>
  </si>
  <si>
    <t>52114300</t>
  </si>
  <si>
    <t>52114900</t>
  </si>
  <si>
    <t>52115100</t>
  </si>
  <si>
    <t>52115200</t>
  </si>
  <si>
    <t>52115900</t>
  </si>
  <si>
    <t>52121100</t>
  </si>
  <si>
    <t>52121200</t>
  </si>
  <si>
    <t>52121300</t>
  </si>
  <si>
    <t>52121400</t>
  </si>
  <si>
    <t>52121500</t>
  </si>
  <si>
    <t>52122100</t>
  </si>
  <si>
    <t>52122200</t>
  </si>
  <si>
    <t>52122300</t>
  </si>
  <si>
    <t>52122400</t>
  </si>
  <si>
    <t>52122500</t>
  </si>
  <si>
    <t>53011000</t>
  </si>
  <si>
    <t>53012110</t>
  </si>
  <si>
    <t>53012120</t>
  </si>
  <si>
    <t>53012910</t>
  </si>
  <si>
    <t>53012990</t>
  </si>
  <si>
    <t>53013000</t>
  </si>
  <si>
    <t>53021000</t>
  </si>
  <si>
    <t>53029000</t>
  </si>
  <si>
    <t>53031010</t>
  </si>
  <si>
    <t>53031090</t>
  </si>
  <si>
    <t>53039010</t>
  </si>
  <si>
    <t>53039090</t>
  </si>
  <si>
    <t>53050010</t>
  </si>
  <si>
    <t>53050090</t>
  </si>
  <si>
    <t>53061000</t>
  </si>
  <si>
    <t>53062000</t>
  </si>
  <si>
    <t>53071010</t>
  </si>
  <si>
    <t>53071090</t>
  </si>
  <si>
    <t>53072010</t>
  </si>
  <si>
    <t>53072090</t>
  </si>
  <si>
    <t>53081000</t>
  </si>
  <si>
    <t>53082000</t>
  </si>
  <si>
    <t>53089000</t>
  </si>
  <si>
    <t>53091100</t>
  </si>
  <si>
    <t>53091900</t>
  </si>
  <si>
    <t>53092100</t>
  </si>
  <si>
    <t>53092900</t>
  </si>
  <si>
    <t>53101010</t>
  </si>
  <si>
    <t>53101090</t>
  </si>
  <si>
    <t>53109000</t>
  </si>
  <si>
    <t>53110000</t>
  </si>
  <si>
    <t>54011011</t>
  </si>
  <si>
    <t>54011012</t>
  </si>
  <si>
    <t>54011090</t>
  </si>
  <si>
    <t>54012011</t>
  </si>
  <si>
    <t>54012012</t>
  </si>
  <si>
    <t>54012090</t>
  </si>
  <si>
    <t>54021100</t>
  </si>
  <si>
    <t>54021910</t>
  </si>
  <si>
    <t>54021990</t>
  </si>
  <si>
    <t>54022000</t>
  </si>
  <si>
    <t>54023111</t>
  </si>
  <si>
    <t>54023119</t>
  </si>
  <si>
    <t>54023190</t>
  </si>
  <si>
    <t>54023211</t>
  </si>
  <si>
    <t>54023219</t>
  </si>
  <si>
    <t>54023290</t>
  </si>
  <si>
    <t>54023310</t>
  </si>
  <si>
    <t>54023320</t>
  </si>
  <si>
    <t>54023390</t>
  </si>
  <si>
    <t>54023400</t>
  </si>
  <si>
    <t>54023900</t>
  </si>
  <si>
    <t>54024400</t>
  </si>
  <si>
    <t>54024510</t>
  </si>
  <si>
    <t>54024520</t>
  </si>
  <si>
    <t>54024590</t>
  </si>
  <si>
    <t>54024600</t>
  </si>
  <si>
    <t>54024700</t>
  </si>
  <si>
    <t>54024800</t>
  </si>
  <si>
    <t>54024910</t>
  </si>
  <si>
    <t>54024990</t>
  </si>
  <si>
    <t>54025110</t>
  </si>
  <si>
    <t>54025190</t>
  </si>
  <si>
    <t>54025200</t>
  </si>
  <si>
    <t>54025900</t>
  </si>
  <si>
    <t>54026110</t>
  </si>
  <si>
    <t>54026190</t>
  </si>
  <si>
    <t>54026200</t>
  </si>
  <si>
    <t>54026900</t>
  </si>
  <si>
    <t>54031000</t>
  </si>
  <si>
    <t>54033100</t>
  </si>
  <si>
    <t>54033200</t>
  </si>
  <si>
    <t>54033300</t>
  </si>
  <si>
    <t>54033900</t>
  </si>
  <si>
    <t>54034100</t>
  </si>
  <si>
    <t>54034200</t>
  </si>
  <si>
    <t>54034900</t>
  </si>
  <si>
    <t>54041100</t>
  </si>
  <si>
    <t>54041200</t>
  </si>
  <si>
    <t>54041911</t>
  </si>
  <si>
    <t>54041919</t>
  </si>
  <si>
    <t>54041990</t>
  </si>
  <si>
    <t>54049000</t>
  </si>
  <si>
    <t>54050000</t>
  </si>
  <si>
    <t>54060010</t>
  </si>
  <si>
    <t>54060020</t>
  </si>
  <si>
    <t>54071011</t>
  </si>
  <si>
    <t>54071019</t>
  </si>
  <si>
    <t>54071021</t>
  </si>
  <si>
    <t>54071029</t>
  </si>
  <si>
    <t>54072000</t>
  </si>
  <si>
    <t>54073000</t>
  </si>
  <si>
    <t>54074100</t>
  </si>
  <si>
    <t>54074200</t>
  </si>
  <si>
    <t>54074300</t>
  </si>
  <si>
    <t>54074400</t>
  </si>
  <si>
    <t>54075100</t>
  </si>
  <si>
    <t>54075210</t>
  </si>
  <si>
    <t>54075220</t>
  </si>
  <si>
    <t>54075300</t>
  </si>
  <si>
    <t>54075400</t>
  </si>
  <si>
    <t>54076100</t>
  </si>
  <si>
    <t>54076900</t>
  </si>
  <si>
    <t>54077100</t>
  </si>
  <si>
    <t>54077200</t>
  </si>
  <si>
    <t>54077300</t>
  </si>
  <si>
    <t>54077400</t>
  </si>
  <si>
    <t>54078100</t>
  </si>
  <si>
    <t>54078200</t>
  </si>
  <si>
    <t>54078300</t>
  </si>
  <si>
    <t>54078400</t>
  </si>
  <si>
    <t>54079100</t>
  </si>
  <si>
    <t>54079200</t>
  </si>
  <si>
    <t>54079300</t>
  </si>
  <si>
    <t>54079400</t>
  </si>
  <si>
    <t>54081000</t>
  </si>
  <si>
    <t>54082100</t>
  </si>
  <si>
    <t>54082200</t>
  </si>
  <si>
    <t>54082300</t>
  </si>
  <si>
    <t>54082400</t>
  </si>
  <si>
    <t>54083100</t>
  </si>
  <si>
    <t>54083200</t>
  </si>
  <si>
    <t>54083300</t>
  </si>
  <si>
    <t>54083400</t>
  </si>
  <si>
    <t>55011000</t>
  </si>
  <si>
    <t>55012000</t>
  </si>
  <si>
    <t>55013000</t>
  </si>
  <si>
    <t>55014000</t>
  </si>
  <si>
    <t>55019000</t>
  </si>
  <si>
    <t>55020010</t>
  </si>
  <si>
    <t>55020020</t>
  </si>
  <si>
    <t>55020090</t>
  </si>
  <si>
    <t>55031100</t>
  </si>
  <si>
    <t>55031910</t>
  </si>
  <si>
    <t>55031990</t>
  </si>
  <si>
    <t>55032010</t>
  </si>
  <si>
    <t>55032090</t>
  </si>
  <si>
    <t>55033000</t>
  </si>
  <si>
    <t>55034000</t>
  </si>
  <si>
    <t>55039010</t>
  </si>
  <si>
    <t>55039020</t>
  </si>
  <si>
    <t>55039090</t>
  </si>
  <si>
    <t>55041000</t>
  </si>
  <si>
    <t>55049010</t>
  </si>
  <si>
    <t>55049090</t>
  </si>
  <si>
    <t>55051000</t>
  </si>
  <si>
    <t>55052000</t>
  </si>
  <si>
    <t>55061000</t>
  </si>
  <si>
    <t>55062000</t>
  </si>
  <si>
    <t>55063000</t>
  </si>
  <si>
    <t>55069000</t>
  </si>
  <si>
    <t>55070000</t>
  </si>
  <si>
    <t>55081000</t>
  </si>
  <si>
    <t>55082000</t>
  </si>
  <si>
    <t>55091100</t>
  </si>
  <si>
    <t>55091210</t>
  </si>
  <si>
    <t>55091290</t>
  </si>
  <si>
    <t>55092100</t>
  </si>
  <si>
    <t>55092200</t>
  </si>
  <si>
    <t>55093100</t>
  </si>
  <si>
    <t>55093200</t>
  </si>
  <si>
    <t>55094100</t>
  </si>
  <si>
    <t>55094200</t>
  </si>
  <si>
    <t>55095100</t>
  </si>
  <si>
    <t>55095200</t>
  </si>
  <si>
    <t>55095300</t>
  </si>
  <si>
    <t>55095900</t>
  </si>
  <si>
    <t>55096100</t>
  </si>
  <si>
    <t>55096200</t>
  </si>
  <si>
    <t>55096900</t>
  </si>
  <si>
    <t>55099100</t>
  </si>
  <si>
    <t>55099200</t>
  </si>
  <si>
    <t>55099900</t>
  </si>
  <si>
    <t>55101100</t>
  </si>
  <si>
    <t>55101200</t>
  </si>
  <si>
    <t>55102000</t>
  </si>
  <si>
    <t>55103000</t>
  </si>
  <si>
    <t>55109000</t>
  </si>
  <si>
    <t>55111000</t>
  </si>
  <si>
    <t>55112000</t>
  </si>
  <si>
    <t>55113000</t>
  </si>
  <si>
    <t>55121100</t>
  </si>
  <si>
    <t>55121900</t>
  </si>
  <si>
    <t>55122100</t>
  </si>
  <si>
    <t>55122900</t>
  </si>
  <si>
    <t>55129110</t>
  </si>
  <si>
    <t>55129190</t>
  </si>
  <si>
    <t>55129910</t>
  </si>
  <si>
    <t>55129990</t>
  </si>
  <si>
    <t>55131100</t>
  </si>
  <si>
    <t>55131200</t>
  </si>
  <si>
    <t>55131300</t>
  </si>
  <si>
    <t>55131900</t>
  </si>
  <si>
    <t>55132100</t>
  </si>
  <si>
    <t>55132310</t>
  </si>
  <si>
    <t>55132390</t>
  </si>
  <si>
    <t>55132900</t>
  </si>
  <si>
    <t>55133100</t>
  </si>
  <si>
    <t>55133911</t>
  </si>
  <si>
    <t>55133919</t>
  </si>
  <si>
    <t>55133990</t>
  </si>
  <si>
    <t>55134100</t>
  </si>
  <si>
    <t>55134911</t>
  </si>
  <si>
    <t>55134919</t>
  </si>
  <si>
    <t>55134990</t>
  </si>
  <si>
    <t>55141100</t>
  </si>
  <si>
    <t>55141200</t>
  </si>
  <si>
    <t>55141910</t>
  </si>
  <si>
    <t>55141990</t>
  </si>
  <si>
    <t>55142100</t>
  </si>
  <si>
    <t>55142200</t>
  </si>
  <si>
    <t>55142300</t>
  </si>
  <si>
    <t>55142900</t>
  </si>
  <si>
    <t>55143011</t>
  </si>
  <si>
    <t>55143012</t>
  </si>
  <si>
    <t>55143019</t>
  </si>
  <si>
    <t>55143090</t>
  </si>
  <si>
    <t>55144100</t>
  </si>
  <si>
    <t>55144200</t>
  </si>
  <si>
    <t>55144300</t>
  </si>
  <si>
    <t>55144900</t>
  </si>
  <si>
    <t>55151100</t>
  </si>
  <si>
    <t>55151200</t>
  </si>
  <si>
    <t>55151300</t>
  </si>
  <si>
    <t>55151900</t>
  </si>
  <si>
    <t>55152100</t>
  </si>
  <si>
    <t>55152200</t>
  </si>
  <si>
    <t>55152900</t>
  </si>
  <si>
    <t>55159100</t>
  </si>
  <si>
    <t>55159910</t>
  </si>
  <si>
    <t>55159990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</si>
  <si>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</si>
  <si>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</si>
  <si>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</si>
  <si>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</si>
  <si>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</si>
  <si>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</si>
  <si>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</si>
  <si>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</si>
  <si>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</si>
  <si>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</si>
  <si>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</si>
  <si>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</si>
  <si>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</si>
  <si>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</si>
  <si>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</si>
  <si>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</si>
  <si>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</si>
  <si>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</si>
  <si>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</si>
  <si>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</si>
  <si>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56012110</t>
  </si>
  <si>
    <t>56012190</t>
  </si>
  <si>
    <t>56012211</t>
  </si>
  <si>
    <t>56012219</t>
  </si>
  <si>
    <t>56012291</t>
  </si>
  <si>
    <t>56012299</t>
  </si>
  <si>
    <t>56012900</t>
  </si>
  <si>
    <t>56013010</t>
  </si>
  <si>
    <t>56013090</t>
  </si>
  <si>
    <t>56021000</t>
  </si>
  <si>
    <t>56022100</t>
  </si>
  <si>
    <t>56022900</t>
  </si>
  <si>
    <t>56029000</t>
  </si>
  <si>
    <t>56031110</t>
  </si>
  <si>
    <t>56031120</t>
  </si>
  <si>
    <t>56031130</t>
  </si>
  <si>
    <t>56031140</t>
  </si>
  <si>
    <t>56031190</t>
  </si>
  <si>
    <t>56031210</t>
  </si>
  <si>
    <t>56031220</t>
  </si>
  <si>
    <t>56031230</t>
  </si>
  <si>
    <t>56031240</t>
  </si>
  <si>
    <t>56031250</t>
  </si>
  <si>
    <t>56031290</t>
  </si>
  <si>
    <t>56031310</t>
  </si>
  <si>
    <t>56031320</t>
  </si>
  <si>
    <t>56031330</t>
  </si>
  <si>
    <t>56031340</t>
  </si>
  <si>
    <t>56031350</t>
  </si>
  <si>
    <t>56031390</t>
  </si>
  <si>
    <t>56031410</t>
  </si>
  <si>
    <t>56031420</t>
  </si>
  <si>
    <t>56031430</t>
  </si>
  <si>
    <t>56031440</t>
  </si>
  <si>
    <t>56031490</t>
  </si>
  <si>
    <t>56039110</t>
  </si>
  <si>
    <t>56039120</t>
  </si>
  <si>
    <t>56039130</t>
  </si>
  <si>
    <t>56039190</t>
  </si>
  <si>
    <t>56039210</t>
  </si>
  <si>
    <t>56039220</t>
  </si>
  <si>
    <t>56039230</t>
  </si>
  <si>
    <t>56039240</t>
  </si>
  <si>
    <t>56039290</t>
  </si>
  <si>
    <t>56039310</t>
  </si>
  <si>
    <t>56039320</t>
  </si>
  <si>
    <t>56039330</t>
  </si>
  <si>
    <t>56039340</t>
  </si>
  <si>
    <t>56039390</t>
  </si>
  <si>
    <t>56039410</t>
  </si>
  <si>
    <t>56039420</t>
  </si>
  <si>
    <t>56039430</t>
  </si>
  <si>
    <t>56039490</t>
  </si>
  <si>
    <t>56041000</t>
  </si>
  <si>
    <t>56049010</t>
  </si>
  <si>
    <t>56049021</t>
  </si>
  <si>
    <t>56049022</t>
  </si>
  <si>
    <t>56049090</t>
  </si>
  <si>
    <t>56050010</t>
  </si>
  <si>
    <t>56050020</t>
  </si>
  <si>
    <t>56050090</t>
  </si>
  <si>
    <t>56060000</t>
  </si>
  <si>
    <t>56072100</t>
  </si>
  <si>
    <t>56072900</t>
  </si>
  <si>
    <t>56074100</t>
  </si>
  <si>
    <t>56074900</t>
  </si>
  <si>
    <t>56075011</t>
  </si>
  <si>
    <t>56075019</t>
  </si>
  <si>
    <t>56075090</t>
  </si>
  <si>
    <t>56079010</t>
  </si>
  <si>
    <t>56079020</t>
  </si>
  <si>
    <t>56079090</t>
  </si>
  <si>
    <t>56081100</t>
  </si>
  <si>
    <t>56081900</t>
  </si>
  <si>
    <t>56089000</t>
  </si>
  <si>
    <t>56090010</t>
  </si>
  <si>
    <t>56090090</t>
  </si>
  <si>
    <t>57011011</t>
  </si>
  <si>
    <t>57011012</t>
  </si>
  <si>
    <t>57011020</t>
  </si>
  <si>
    <t>57019000</t>
  </si>
  <si>
    <t>57021000</t>
  </si>
  <si>
    <t>57022000</t>
  </si>
  <si>
    <t>57023100</t>
  </si>
  <si>
    <t>57023200</t>
  </si>
  <si>
    <t>57023900</t>
  </si>
  <si>
    <t>57024100</t>
  </si>
  <si>
    <t>57024200</t>
  </si>
  <si>
    <t>57024900</t>
  </si>
  <si>
    <t>57025010</t>
  </si>
  <si>
    <t>57025020</t>
  </si>
  <si>
    <t>57025090</t>
  </si>
  <si>
    <t>57029100</t>
  </si>
  <si>
    <t>57029200</t>
  </si>
  <si>
    <t>57029900</t>
  </si>
  <si>
    <t>57031000</t>
  </si>
  <si>
    <t>57032000</t>
  </si>
  <si>
    <t>57033000</t>
  </si>
  <si>
    <t>57039000</t>
  </si>
  <si>
    <t>57041000</t>
  </si>
  <si>
    <t>57049000</t>
  </si>
  <si>
    <t>57050000</t>
  </si>
  <si>
    <t>58011000</t>
  </si>
  <si>
    <t>58012100</t>
  </si>
  <si>
    <t>58012200</t>
  </si>
  <si>
    <t>58012300</t>
  </si>
  <si>
    <t>58012600</t>
  </si>
  <si>
    <t>58012700</t>
  </si>
  <si>
    <t>58013100</t>
  </si>
  <si>
    <t>58013200</t>
  </si>
  <si>
    <t>58013300</t>
  </si>
  <si>
    <t>58013600</t>
  </si>
  <si>
    <t>58013700</t>
  </si>
  <si>
    <t>58019000</t>
  </si>
  <si>
    <t>58021100</t>
  </si>
  <si>
    <t>58021900</t>
  </si>
  <si>
    <t>58022000</t>
  </si>
  <si>
    <t>58023000</t>
  </si>
  <si>
    <t>58030010</t>
  </si>
  <si>
    <t>58030090</t>
  </si>
  <si>
    <t>58041010</t>
  </si>
  <si>
    <t>58041090</t>
  </si>
  <si>
    <t>58042100</t>
  </si>
  <si>
    <t>58042910</t>
  </si>
  <si>
    <t>58042990</t>
  </si>
  <si>
    <t>58043010</t>
  </si>
  <si>
    <t>58043090</t>
  </si>
  <si>
    <t>58050010</t>
  </si>
  <si>
    <t>58050020</t>
  </si>
  <si>
    <t>58050090</t>
  </si>
  <si>
    <t>58061000</t>
  </si>
  <si>
    <t>58062000</t>
  </si>
  <si>
    <t>58063100</t>
  </si>
  <si>
    <t>58063200</t>
  </si>
  <si>
    <t>58063900</t>
  </si>
  <si>
    <t>58064000</t>
  </si>
  <si>
    <t>58071000</t>
  </si>
  <si>
    <t>58079000</t>
  </si>
  <si>
    <t>58081000</t>
  </si>
  <si>
    <t>58089000</t>
  </si>
  <si>
    <t>58090000</t>
  </si>
  <si>
    <t>58101000</t>
  </si>
  <si>
    <t>58109100</t>
  </si>
  <si>
    <t>58109200</t>
  </si>
  <si>
    <t>58109900</t>
  </si>
  <si>
    <t>58110000</t>
  </si>
  <si>
    <t>59011000</t>
  </si>
  <si>
    <t>59019000</t>
  </si>
  <si>
    <t>59021010</t>
  </si>
  <si>
    <t>59021090</t>
  </si>
  <si>
    <t>59022000</t>
  </si>
  <si>
    <t>59029000</t>
  </si>
  <si>
    <t>59031000</t>
  </si>
  <si>
    <t>59032000</t>
  </si>
  <si>
    <t>59039000</t>
  </si>
  <si>
    <t>59041000</t>
  </si>
  <si>
    <t>59049000</t>
  </si>
  <si>
    <t>59050000</t>
  </si>
  <si>
    <t>59061000</t>
  </si>
  <si>
    <t>59069100</t>
  </si>
  <si>
    <t>59069900</t>
  </si>
  <si>
    <t>59070000</t>
  </si>
  <si>
    <t>59080000</t>
  </si>
  <si>
    <t>59090000</t>
  </si>
  <si>
    <t>59100000</t>
  </si>
  <si>
    <t>59111000</t>
  </si>
  <si>
    <t>59112010</t>
  </si>
  <si>
    <t>59112090</t>
  </si>
  <si>
    <t>59113100</t>
  </si>
  <si>
    <t>59113200</t>
  </si>
  <si>
    <t>59114000</t>
  </si>
  <si>
    <t>59119000</t>
  </si>
  <si>
    <t>60011010</t>
  </si>
  <si>
    <t>60011020</t>
  </si>
  <si>
    <t>60011090</t>
  </si>
  <si>
    <t>60012100</t>
  </si>
  <si>
    <t>60012200</t>
  </si>
  <si>
    <t>60012900</t>
  </si>
  <si>
    <t>60019100</t>
  </si>
  <si>
    <t>60019200</t>
  </si>
  <si>
    <t>60019900</t>
  </si>
  <si>
    <t>60024010</t>
  </si>
  <si>
    <t>60024020</t>
  </si>
  <si>
    <t>60024090</t>
  </si>
  <si>
    <t>60029010</t>
  </si>
  <si>
    <t>60029020</t>
  </si>
  <si>
    <t>60029090</t>
  </si>
  <si>
    <t>60031000</t>
  </si>
  <si>
    <t>60032000</t>
  </si>
  <si>
    <t>60033000</t>
  </si>
  <si>
    <t>60034000</t>
  </si>
  <si>
    <t>60039000</t>
  </si>
  <si>
    <t>60041011</t>
  </si>
  <si>
    <t>60041012</t>
  </si>
  <si>
    <t>60041013</t>
  </si>
  <si>
    <t>60041014</t>
  </si>
  <si>
    <t>60041031</t>
  </si>
  <si>
    <t>60041032</t>
  </si>
  <si>
    <t>60041033</t>
  </si>
  <si>
    <t>60041034</t>
  </si>
  <si>
    <t>60041041</t>
  </si>
  <si>
    <t>60041042</t>
  </si>
  <si>
    <t>60041043</t>
  </si>
  <si>
    <t>60041044</t>
  </si>
  <si>
    <t>60041091</t>
  </si>
  <si>
    <t>60041092</t>
  </si>
  <si>
    <t>60041093</t>
  </si>
  <si>
    <t>60041094</t>
  </si>
  <si>
    <t>60049010</t>
  </si>
  <si>
    <t>60049030</t>
  </si>
  <si>
    <t>60049040</t>
  </si>
  <si>
    <t>60049090</t>
  </si>
  <si>
    <t>60052100</t>
  </si>
  <si>
    <t>60052200</t>
  </si>
  <si>
    <t>60052300</t>
  </si>
  <si>
    <t>60052400</t>
  </si>
  <si>
    <t>60053100</t>
  </si>
  <si>
    <t>60053200</t>
  </si>
  <si>
    <t>60053300</t>
  </si>
  <si>
    <t>60053400</t>
  </si>
  <si>
    <t>60054100</t>
  </si>
  <si>
    <t>60054200</t>
  </si>
  <si>
    <t>60054300</t>
  </si>
  <si>
    <t>60054400</t>
  </si>
  <si>
    <t>60059010</t>
  </si>
  <si>
    <t>60059090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</si>
  <si>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</si>
  <si>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</si>
  <si>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</si>
  <si>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</si>
  <si>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</si>
  <si>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</si>
  <si>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</si>
  <si>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</si>
  <si>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</si>
  <si>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</si>
  <si>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</si>
  <si>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</si>
  <si>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</si>
  <si>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</si>
  <si>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</si>
  <si>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</si>
  <si>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61019010</t>
  </si>
  <si>
    <t>61019090</t>
  </si>
  <si>
    <t>61021000</t>
  </si>
  <si>
    <t>61022000</t>
  </si>
  <si>
    <t>61023000</t>
  </si>
  <si>
    <t>61029000</t>
  </si>
  <si>
    <t>61031010</t>
  </si>
  <si>
    <t>61031020</t>
  </si>
  <si>
    <t>61031090</t>
  </si>
  <si>
    <t>61032200</t>
  </si>
  <si>
    <t>61032300</t>
  </si>
  <si>
    <t>61032910</t>
  </si>
  <si>
    <t>61032990</t>
  </si>
  <si>
    <t>61033100</t>
  </si>
  <si>
    <t>61033200</t>
  </si>
  <si>
    <t>61033300</t>
  </si>
  <si>
    <t>61033900</t>
  </si>
  <si>
    <t>61034100</t>
  </si>
  <si>
    <t>61034200</t>
  </si>
  <si>
    <t>61034300</t>
  </si>
  <si>
    <t>61034900</t>
  </si>
  <si>
    <t>61041300</t>
  </si>
  <si>
    <t>61041910</t>
  </si>
  <si>
    <t>61041920</t>
  </si>
  <si>
    <t>61041990</t>
  </si>
  <si>
    <t>61042200</t>
  </si>
  <si>
    <t>61042300</t>
  </si>
  <si>
    <t>61042910</t>
  </si>
  <si>
    <t>61042990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</si>
  <si>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</si>
  <si>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</si>
  <si>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</si>
  <si>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</si>
  <si>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</si>
  <si>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</si>
  <si>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</si>
  <si>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</si>
  <si>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</si>
  <si>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</si>
  <si>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</si>
  <si>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</si>
  <si>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</si>
  <si>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</si>
  <si>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</si>
  <si>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</si>
  <si>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</si>
  <si>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</si>
  <si>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</si>
  <si>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</si>
  <si>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</si>
  <si>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</si>
  <si>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</si>
  <si>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</si>
  <si>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</si>
  <si>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</si>
  <si>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</si>
  <si>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</si>
  <si>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</si>
  <si>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</si>
  <si>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61079910</t>
  </si>
  <si>
    <t>61079990</t>
  </si>
  <si>
    <t>61081100</t>
  </si>
  <si>
    <t>61081900</t>
  </si>
  <si>
    <t>61082100</t>
  </si>
  <si>
    <t>61082200</t>
  </si>
  <si>
    <t>61082900</t>
  </si>
  <si>
    <t>61083100</t>
  </si>
  <si>
    <t>61083200</t>
  </si>
  <si>
    <t>61083900</t>
  </si>
  <si>
    <t>61089100</t>
  </si>
  <si>
    <t>61089200</t>
  </si>
  <si>
    <t>61089900</t>
  </si>
  <si>
    <t>61091000</t>
  </si>
  <si>
    <t>61099000</t>
  </si>
  <si>
    <t>61101100</t>
  </si>
  <si>
    <t>61101200</t>
  </si>
  <si>
    <t>61101900</t>
  </si>
  <si>
    <t>61102000</t>
  </si>
  <si>
    <t>61103000</t>
  </si>
  <si>
    <t>61109000</t>
  </si>
  <si>
    <t>61112000</t>
  </si>
  <si>
    <t>61113000</t>
  </si>
  <si>
    <t>61119010</t>
  </si>
  <si>
    <t>61119090</t>
  </si>
  <si>
    <t>61121100</t>
  </si>
  <si>
    <t>61121200</t>
  </si>
  <si>
    <t>61121900</t>
  </si>
  <si>
    <t>61122000</t>
  </si>
  <si>
    <t>61123100</t>
  </si>
  <si>
    <t>61123900</t>
  </si>
  <si>
    <t>61124100</t>
  </si>
  <si>
    <t>61124900</t>
  </si>
  <si>
    <t>61130000</t>
  </si>
  <si>
    <t>61142000</t>
  </si>
  <si>
    <t>61143000</t>
  </si>
  <si>
    <t>61149010</t>
  </si>
  <si>
    <t>61149090</t>
  </si>
  <si>
    <t>61151011</t>
  </si>
  <si>
    <t>61151012</t>
  </si>
  <si>
    <t>61151013</t>
  </si>
  <si>
    <t>61151014</t>
  </si>
  <si>
    <t>61151019</t>
  </si>
  <si>
    <t>61151021</t>
  </si>
  <si>
    <t>61151022</t>
  </si>
  <si>
    <t>61151029</t>
  </si>
  <si>
    <t>61151091</t>
  </si>
  <si>
    <t>61151092</t>
  </si>
  <si>
    <t>61151093</t>
  </si>
  <si>
    <t>61151099</t>
  </si>
  <si>
    <t>61152100</t>
  </si>
  <si>
    <t>61152200</t>
  </si>
  <si>
    <t>61152910</t>
  </si>
  <si>
    <t>61152920</t>
  </si>
  <si>
    <t>61152990</t>
  </si>
  <si>
    <t>61153010</t>
  </si>
  <si>
    <t>61153020</t>
  </si>
  <si>
    <t>61153090</t>
  </si>
  <si>
    <t>61159400</t>
  </si>
  <si>
    <t>61159500</t>
  </si>
  <si>
    <t>61159600</t>
  </si>
  <si>
    <t>61159900</t>
  </si>
  <si>
    <t>61161000</t>
  </si>
  <si>
    <t>61169100</t>
  </si>
  <si>
    <t>61169200</t>
  </si>
  <si>
    <t>61169300</t>
  </si>
  <si>
    <t>61169900</t>
  </si>
  <si>
    <t>61171000</t>
  </si>
  <si>
    <t>61178010</t>
  </si>
  <si>
    <t>61178090</t>
  </si>
  <si>
    <t>61179000</t>
  </si>
  <si>
    <t>62011100</t>
  </si>
  <si>
    <t>62011200</t>
  </si>
  <si>
    <t>62011300</t>
  </si>
  <si>
    <t>62011900</t>
  </si>
  <si>
    <t>62019100</t>
  </si>
  <si>
    <t>62019200</t>
  </si>
  <si>
    <t>62019300</t>
  </si>
  <si>
    <t>62019900</t>
  </si>
  <si>
    <t>62021100</t>
  </si>
  <si>
    <t>62021200</t>
  </si>
  <si>
    <t>62021300</t>
  </si>
  <si>
    <t>62021900</t>
  </si>
  <si>
    <t>62029100</t>
  </si>
  <si>
    <t>62029200</t>
  </si>
  <si>
    <t>62029300</t>
  </si>
  <si>
    <t>62029900</t>
  </si>
  <si>
    <t>62031100</t>
  </si>
  <si>
    <t>62031200</t>
  </si>
  <si>
    <t>62031900</t>
  </si>
  <si>
    <t>62032200</t>
  </si>
  <si>
    <t>62032300</t>
  </si>
  <si>
    <t>62032910</t>
  </si>
  <si>
    <t>62032990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</si>
  <si>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</si>
  <si>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</si>
  <si>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</si>
  <si>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</si>
  <si>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</si>
  <si>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</si>
  <si>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</si>
  <si>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</si>
  <si>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</si>
  <si>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</si>
  <si>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</si>
  <si>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</si>
  <si>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</si>
  <si>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</si>
  <si>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</si>
  <si>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</si>
  <si>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</si>
  <si>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</si>
  <si>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</si>
  <si>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</si>
  <si>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</si>
  <si>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</si>
  <si>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</si>
  <si>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</si>
  <si>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</si>
  <si>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</si>
  <si>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</si>
  <si>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</si>
  <si>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</si>
  <si>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</si>
  <si>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</si>
  <si>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</si>
  <si>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</si>
  <si>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</si>
  <si>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</si>
  <si>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62059010</t>
  </si>
  <si>
    <t>62059090</t>
  </si>
  <si>
    <t>62061000</t>
  </si>
  <si>
    <t>62062000</t>
  </si>
  <si>
    <t>62063000</t>
  </si>
  <si>
    <t>62064000</t>
  </si>
  <si>
    <t>62069000</t>
  </si>
  <si>
    <t>62071100</t>
  </si>
  <si>
    <t>62071900</t>
  </si>
  <si>
    <t>62072100</t>
  </si>
  <si>
    <t>62072200</t>
  </si>
  <si>
    <t>62072900</t>
  </si>
  <si>
    <t>62079100</t>
  </si>
  <si>
    <t>62079910</t>
  </si>
  <si>
    <t>62079990</t>
  </si>
  <si>
    <t>62081100</t>
  </si>
  <si>
    <t>62081900</t>
  </si>
  <si>
    <t>62082100</t>
  </si>
  <si>
    <t>62082200</t>
  </si>
  <si>
    <t>62082900</t>
  </si>
  <si>
    <t>62089100</t>
  </si>
  <si>
    <t>62089200</t>
  </si>
  <si>
    <t>62089900</t>
  </si>
  <si>
    <t>62092000</t>
  </si>
  <si>
    <t>62093000</t>
  </si>
  <si>
    <t>62099010</t>
  </si>
  <si>
    <t>62099090</t>
  </si>
  <si>
    <t>62101000</t>
  </si>
  <si>
    <t>62102000</t>
  </si>
  <si>
    <t>62103000</t>
  </si>
  <si>
    <t>62104000</t>
  </si>
  <si>
    <t>62105000</t>
  </si>
  <si>
    <t>62111100</t>
  </si>
  <si>
    <t>62111200</t>
  </si>
  <si>
    <t>62112000</t>
  </si>
  <si>
    <t>62113200</t>
  </si>
  <si>
    <t>62113300</t>
  </si>
  <si>
    <t>62113910</t>
  </si>
  <si>
    <t>62113990</t>
  </si>
  <si>
    <t>62114200</t>
  </si>
  <si>
    <t>62114300</t>
  </si>
  <si>
    <t>62114900</t>
  </si>
  <si>
    <t>62121000</t>
  </si>
  <si>
    <t>62122000</t>
  </si>
  <si>
    <t>62123000</t>
  </si>
  <si>
    <t>62129000</t>
  </si>
  <si>
    <t>62132000</t>
  </si>
  <si>
    <t>62139010</t>
  </si>
  <si>
    <t>62139090</t>
  </si>
  <si>
    <t>62141000</t>
  </si>
  <si>
    <t>62142000</t>
  </si>
  <si>
    <t>62143000</t>
  </si>
  <si>
    <t>62144000</t>
  </si>
  <si>
    <t>62149010</t>
  </si>
  <si>
    <t>62149090</t>
  </si>
  <si>
    <t>62151000</t>
  </si>
  <si>
    <t>62152000</t>
  </si>
  <si>
    <t>62159000</t>
  </si>
  <si>
    <t>62160000</t>
  </si>
  <si>
    <t>62171000</t>
  </si>
  <si>
    <t>62179000</t>
  </si>
  <si>
    <t>63011000</t>
  </si>
  <si>
    <t>63012000</t>
  </si>
  <si>
    <t>63013000</t>
  </si>
  <si>
    <t>63014000</t>
  </si>
  <si>
    <t>63019000</t>
  </si>
  <si>
    <t>63021000</t>
  </si>
  <si>
    <t>63022100</t>
  </si>
  <si>
    <t>63022200</t>
  </si>
  <si>
    <t>63022900</t>
  </si>
  <si>
    <t>63023100</t>
  </si>
  <si>
    <t>63023200</t>
  </si>
  <si>
    <t>63023900</t>
  </si>
  <si>
    <t>63024000</t>
  </si>
  <si>
    <t>63025100</t>
  </si>
  <si>
    <t>63025300</t>
  </si>
  <si>
    <t>63025910</t>
  </si>
  <si>
    <t>63025990</t>
  </si>
  <si>
    <t>63026000</t>
  </si>
  <si>
    <t>63029100</t>
  </si>
  <si>
    <t>63029300</t>
  </si>
  <si>
    <t>63029910</t>
  </si>
  <si>
    <t>63029990</t>
  </si>
  <si>
    <t>63031200</t>
  </si>
  <si>
    <t>63031910</t>
  </si>
  <si>
    <t>63031990</t>
  </si>
  <si>
    <t>63039100</t>
  </si>
  <si>
    <t>63039200</t>
  </si>
  <si>
    <t>63039900</t>
  </si>
  <si>
    <t>63041100</t>
  </si>
  <si>
    <t>63041910</t>
  </si>
  <si>
    <t>63041990</t>
  </si>
  <si>
    <t>63049100</t>
  </si>
  <si>
    <t>63049200</t>
  </si>
  <si>
    <t>63049300</t>
  </si>
  <si>
    <t>63049900</t>
  </si>
  <si>
    <t>63051000</t>
  </si>
  <si>
    <t>63052000</t>
  </si>
  <si>
    <t>63053200</t>
  </si>
  <si>
    <t>63053310</t>
  </si>
  <si>
    <t>63053390</t>
  </si>
  <si>
    <t>63053900</t>
  </si>
  <si>
    <t>63059000</t>
  </si>
  <si>
    <t>63061200</t>
  </si>
  <si>
    <t>63061910</t>
  </si>
  <si>
    <t>63061990</t>
  </si>
  <si>
    <t>63062200</t>
  </si>
  <si>
    <t>63062910</t>
  </si>
  <si>
    <t>63062990</t>
  </si>
  <si>
    <t>63063010</t>
  </si>
  <si>
    <t>63063090</t>
  </si>
  <si>
    <t>63064010</t>
  </si>
  <si>
    <t>63064090</t>
  </si>
  <si>
    <t>63069000</t>
  </si>
  <si>
    <t>63071000</t>
  </si>
  <si>
    <t>63072000</t>
  </si>
  <si>
    <t>63079010</t>
  </si>
  <si>
    <t>63079020</t>
  </si>
  <si>
    <t>63079090</t>
  </si>
  <si>
    <t>63080000</t>
  </si>
  <si>
    <t>63090010</t>
  </si>
  <si>
    <t>63090090</t>
  </si>
  <si>
    <t>63101000</t>
  </si>
  <si>
    <t>63109000</t>
  </si>
  <si>
    <t>64011000</t>
  </si>
  <si>
    <t>64019200</t>
  </si>
  <si>
    <t>64019910</t>
  </si>
  <si>
    <t>64019990</t>
  </si>
  <si>
    <t>64021200</t>
  </si>
  <si>
    <t>64021900</t>
  </si>
  <si>
    <t>64022000</t>
  </si>
  <si>
    <t>64029110</t>
  </si>
  <si>
    <t>64029190</t>
  </si>
  <si>
    <t>64029910</t>
  </si>
  <si>
    <t>64029990</t>
  </si>
  <si>
    <t>64031200</t>
  </si>
  <si>
    <t>64031900</t>
  </si>
  <si>
    <t>64032000</t>
  </si>
  <si>
    <t>64034000</t>
  </si>
  <si>
    <t>64035110</t>
  </si>
  <si>
    <t>64035190</t>
  </si>
  <si>
    <t>64035910</t>
  </si>
  <si>
    <t>64035990</t>
  </si>
  <si>
    <t>64039110</t>
  </si>
  <si>
    <t>64039190</t>
  </si>
  <si>
    <t>64039910</t>
  </si>
  <si>
    <t>64039990</t>
  </si>
  <si>
    <t>64041100</t>
  </si>
  <si>
    <t>64041900</t>
  </si>
  <si>
    <t>64042000</t>
  </si>
  <si>
    <t>64051010</t>
  </si>
  <si>
    <t>64051020</t>
  </si>
  <si>
    <t>64051090</t>
  </si>
  <si>
    <t>64052000</t>
  </si>
  <si>
    <t>64059000</t>
  </si>
  <si>
    <t>64061000</t>
  </si>
  <si>
    <t>64062000</t>
  </si>
  <si>
    <t>64069010</t>
  </si>
  <si>
    <t>64069020</t>
  </si>
  <si>
    <t>64069090</t>
  </si>
  <si>
    <t>65010000</t>
  </si>
  <si>
    <t>65020010</t>
  </si>
  <si>
    <t>65020090</t>
  </si>
  <si>
    <t>65040010</t>
  </si>
  <si>
    <t>65040090</t>
  </si>
  <si>
    <t>65050011</t>
  </si>
  <si>
    <t>65050012</t>
  </si>
  <si>
    <t>65050019</t>
  </si>
  <si>
    <t>65050021</t>
  </si>
  <si>
    <t>65050022</t>
  </si>
  <si>
    <t>65050029</t>
  </si>
  <si>
    <t>65050031</t>
  </si>
  <si>
    <t>65050032</t>
  </si>
  <si>
    <t>65050039</t>
  </si>
  <si>
    <t>65050090</t>
  </si>
  <si>
    <t>65061000</t>
  </si>
  <si>
    <t>65069100</t>
  </si>
  <si>
    <t>65069900</t>
  </si>
  <si>
    <t>65070000</t>
  </si>
  <si>
    <t>66011000</t>
  </si>
  <si>
    <t>66019110</t>
  </si>
  <si>
    <t>66019190</t>
  </si>
  <si>
    <t>66019900</t>
  </si>
  <si>
    <t>66020000</t>
  </si>
  <si>
    <t>66032000</t>
  </si>
  <si>
    <t>66039000</t>
  </si>
  <si>
    <t>67010000</t>
  </si>
  <si>
    <t>67021000</t>
  </si>
  <si>
    <t>67029000</t>
  </si>
  <si>
    <t>67030000</t>
  </si>
  <si>
    <t>67041100</t>
  </si>
  <si>
    <t>67041900</t>
  </si>
  <si>
    <t>67042000</t>
  </si>
  <si>
    <t>67049000</t>
  </si>
  <si>
    <t>68010000</t>
  </si>
  <si>
    <t>68021000</t>
  </si>
  <si>
    <t>68022100</t>
  </si>
  <si>
    <t>68022300</t>
  </si>
  <si>
    <t>68022900</t>
  </si>
  <si>
    <t>68029100</t>
  </si>
  <si>
    <t>68029200</t>
  </si>
  <si>
    <t>68029310</t>
  </si>
  <si>
    <t>68029390</t>
  </si>
  <si>
    <t>68029910</t>
  </si>
  <si>
    <t>68029990</t>
  </si>
  <si>
    <t>68030000</t>
  </si>
  <si>
    <t>68041000</t>
  </si>
  <si>
    <t>68042111</t>
  </si>
  <si>
    <t>68042119</t>
  </si>
  <si>
    <t>68042190</t>
  </si>
  <si>
    <t>68042211</t>
  </si>
  <si>
    <t>68042219</t>
  </si>
  <si>
    <t>68042290</t>
  </si>
  <si>
    <t>68042300</t>
  </si>
  <si>
    <t>68043000</t>
  </si>
  <si>
    <t>68051000</t>
  </si>
  <si>
    <t>68052000</t>
  </si>
  <si>
    <t>68053010</t>
  </si>
  <si>
    <t>68053020</t>
  </si>
  <si>
    <t>68053090</t>
  </si>
  <si>
    <t>68061000</t>
  </si>
  <si>
    <t>68062000</t>
  </si>
  <si>
    <t>68069010</t>
  </si>
  <si>
    <t>68069090</t>
  </si>
  <si>
    <t>68071000</t>
  </si>
  <si>
    <t>68079000</t>
  </si>
  <si>
    <t>68080000</t>
  </si>
  <si>
    <t>68091100</t>
  </si>
  <si>
    <t>68091900</t>
  </si>
  <si>
    <t>68099000</t>
  </si>
  <si>
    <t>68101100</t>
  </si>
  <si>
    <t>68101900</t>
  </si>
  <si>
    <t>68109100</t>
  </si>
  <si>
    <t>68109900</t>
  </si>
  <si>
    <t>68114000</t>
  </si>
  <si>
    <t>68118100</t>
  </si>
  <si>
    <t>68118200</t>
  </si>
  <si>
    <t>68118900</t>
  </si>
  <si>
    <t>68128000</t>
  </si>
  <si>
    <t>68129100</t>
  </si>
  <si>
    <t>68129200</t>
  </si>
  <si>
    <t>68129300</t>
  </si>
  <si>
    <t>68129910</t>
  </si>
  <si>
    <t>68129920</t>
  </si>
  <si>
    <t>68129930</t>
  </si>
  <si>
    <t>68129990</t>
  </si>
  <si>
    <t>68132000</t>
  </si>
  <si>
    <t>68138110</t>
  </si>
  <si>
    <t>68138190</t>
  </si>
  <si>
    <t>68138910</t>
  </si>
  <si>
    <t>68138990</t>
  </si>
  <si>
    <t>68141000</t>
  </si>
  <si>
    <t>68149000</t>
  </si>
  <si>
    <t>68151010</t>
  </si>
  <si>
    <t>68151020</t>
  </si>
  <si>
    <t>68151090</t>
  </si>
  <si>
    <t>68152000</t>
  </si>
  <si>
    <t>68159110</t>
  </si>
  <si>
    <t>68159190</t>
  </si>
  <si>
    <t>68159911</t>
  </si>
  <si>
    <t>68159912</t>
  </si>
  <si>
    <t>68159913</t>
  </si>
  <si>
    <t>68159914</t>
  </si>
  <si>
    <t>68159919</t>
  </si>
  <si>
    <t>68159990</t>
  </si>
  <si>
    <t>69010000</t>
  </si>
  <si>
    <t>69021011</t>
  </si>
  <si>
    <t>69021018</t>
  </si>
  <si>
    <t>69021019</t>
  </si>
  <si>
    <t>69021090</t>
  </si>
  <si>
    <t>69022010</t>
  </si>
  <si>
    <t>69022091</t>
  </si>
  <si>
    <t>69022092</t>
  </si>
  <si>
    <t>69022093</t>
  </si>
  <si>
    <t>69022099</t>
  </si>
  <si>
    <t>69029010</t>
  </si>
  <si>
    <t>69029020</t>
  </si>
  <si>
    <t>69029030</t>
  </si>
  <si>
    <t>69029040</t>
  </si>
  <si>
    <t>69029090</t>
  </si>
  <si>
    <t>69031011</t>
  </si>
  <si>
    <t>69031012</t>
  </si>
  <si>
    <t>69031019</t>
  </si>
  <si>
    <t>69031020</t>
  </si>
  <si>
    <t>69031030</t>
  </si>
  <si>
    <t>69031040</t>
  </si>
  <si>
    <t>69031090</t>
  </si>
  <si>
    <t>69032010</t>
  </si>
  <si>
    <t>69032020</t>
  </si>
  <si>
    <t>69032030</t>
  </si>
  <si>
    <t>69032090</t>
  </si>
  <si>
    <t>69039011</t>
  </si>
  <si>
    <t>69039012</t>
  </si>
  <si>
    <t>69039019</t>
  </si>
  <si>
    <t>69039091</t>
  </si>
  <si>
    <t>69039092</t>
  </si>
  <si>
    <t>69039099</t>
  </si>
  <si>
    <t>69041000</t>
  </si>
  <si>
    <t>69049000</t>
  </si>
  <si>
    <t>69051000</t>
  </si>
  <si>
    <t>69059000</t>
  </si>
  <si>
    <t>69060000</t>
  </si>
  <si>
    <t>69071000</t>
  </si>
  <si>
    <t>69079000</t>
  </si>
  <si>
    <t>69081000</t>
  </si>
  <si>
    <t>69089000</t>
  </si>
  <si>
    <t>69091100</t>
  </si>
  <si>
    <t>69091210</t>
  </si>
  <si>
    <t>69091220</t>
  </si>
  <si>
    <t>69091230</t>
  </si>
  <si>
    <t>69091290</t>
  </si>
  <si>
    <t>69091910</t>
  </si>
  <si>
    <t>69091920</t>
  </si>
  <si>
    <t>69091930</t>
  </si>
  <si>
    <t>69091990</t>
  </si>
  <si>
    <t>69099000</t>
  </si>
  <si>
    <t>69101000</t>
  </si>
  <si>
    <t>69109000</t>
  </si>
  <si>
    <t>69111010</t>
  </si>
  <si>
    <t>69111090</t>
  </si>
  <si>
    <t>69119000</t>
  </si>
  <si>
    <t>69120000</t>
  </si>
  <si>
    <t>69131000</t>
  </si>
  <si>
    <t>69139000</t>
  </si>
  <si>
    <t>69141000</t>
  </si>
  <si>
    <t>69149000</t>
  </si>
  <si>
    <t>70010000</t>
  </si>
  <si>
    <t>70021000</t>
  </si>
  <si>
    <t>70022000</t>
  </si>
  <si>
    <t>70023100</t>
  </si>
  <si>
    <t>70023200</t>
  </si>
  <si>
    <t>70023900</t>
  </si>
  <si>
    <t>70031200</t>
  </si>
  <si>
    <t>70031900</t>
  </si>
  <si>
    <t>70032000</t>
  </si>
  <si>
    <t>70033000</t>
  </si>
  <si>
    <t>70042000</t>
  </si>
  <si>
    <t>70049000</t>
  </si>
  <si>
    <t>70051000</t>
  </si>
  <si>
    <t>70052100</t>
  </si>
  <si>
    <t>70052900</t>
  </si>
  <si>
    <t>70053000</t>
  </si>
  <si>
    <t>70060000</t>
  </si>
  <si>
    <t>70071100</t>
  </si>
  <si>
    <t>70071900</t>
  </si>
  <si>
    <t>70072100</t>
  </si>
  <si>
    <t>70072900</t>
  </si>
  <si>
    <t>70080000</t>
  </si>
  <si>
    <t>70091000</t>
  </si>
  <si>
    <t>70099100</t>
  </si>
  <si>
    <t>70099200</t>
  </si>
  <si>
    <t>70101000</t>
  </si>
  <si>
    <t>70102000</t>
  </si>
  <si>
    <t>70109011</t>
  </si>
  <si>
    <t>70109012</t>
  </si>
  <si>
    <t>70109021</t>
  </si>
  <si>
    <t>70109022</t>
  </si>
  <si>
    <t>70109090</t>
  </si>
  <si>
    <t>70111010</t>
  </si>
  <si>
    <t>70111021</t>
  </si>
  <si>
    <t>70111029</t>
  </si>
  <si>
    <t>70111090</t>
  </si>
  <si>
    <t>70112000</t>
  </si>
  <si>
    <t>70119000</t>
  </si>
  <si>
    <t>70131000</t>
  </si>
  <si>
    <t>70132200</t>
  </si>
  <si>
    <t>70132800</t>
  </si>
  <si>
    <t>70133300</t>
  </si>
  <si>
    <t>70133700</t>
  </si>
  <si>
    <t>70134100</t>
  </si>
  <si>
    <t>70134210</t>
  </si>
  <si>
    <t>70134290</t>
  </si>
  <si>
    <t>70134900</t>
  </si>
  <si>
    <t>70139110</t>
  </si>
  <si>
    <t>70139190</t>
  </si>
  <si>
    <t>70139900</t>
  </si>
  <si>
    <t>70140000</t>
  </si>
  <si>
    <t>70151010</t>
  </si>
  <si>
    <t>70151091</t>
  </si>
  <si>
    <t>70151092</t>
  </si>
  <si>
    <t>70159010</t>
  </si>
  <si>
    <t>70159020</t>
  </si>
  <si>
    <t>70159030</t>
  </si>
  <si>
    <t>70159090</t>
  </si>
  <si>
    <t>70161000</t>
  </si>
  <si>
    <t>70169000</t>
  </si>
  <si>
    <t>70171000</t>
  </si>
  <si>
    <t>70172000</t>
  </si>
  <si>
    <t>70179000</t>
  </si>
  <si>
    <t>70181010</t>
  </si>
  <si>
    <t>70181020</t>
  </si>
  <si>
    <t>70181090</t>
  </si>
  <si>
    <t>70182000</t>
  </si>
  <si>
    <t>70189000</t>
  </si>
  <si>
    <t>70191100</t>
  </si>
  <si>
    <t>70191210</t>
  </si>
  <si>
    <t>70191290</t>
  </si>
  <si>
    <t>70191900</t>
  </si>
  <si>
    <t>70193100</t>
  </si>
  <si>
    <t>70193200</t>
  </si>
  <si>
    <t>70193900</t>
  </si>
  <si>
    <t>70194000</t>
  </si>
  <si>
    <t>70195100</t>
  </si>
  <si>
    <t>70195210</t>
  </si>
  <si>
    <t>70195290</t>
  </si>
  <si>
    <t>70195900</t>
  </si>
  <si>
    <t>70199010</t>
  </si>
  <si>
    <t>70199090</t>
  </si>
  <si>
    <t>70200010</t>
  </si>
  <si>
    <t>70200090</t>
  </si>
  <si>
    <t>71011000</t>
  </si>
  <si>
    <t>71012100</t>
  </si>
  <si>
    <t>71012200</t>
  </si>
  <si>
    <t>71021000</t>
  </si>
  <si>
    <t>71022100</t>
  </si>
  <si>
    <t>71022900</t>
  </si>
  <si>
    <t>71023100</t>
  </si>
  <si>
    <t>71023900</t>
  </si>
  <si>
    <t>71031000</t>
  </si>
  <si>
    <t>71039100</t>
  </si>
  <si>
    <t>71039900</t>
  </si>
  <si>
    <t>71041000</t>
  </si>
  <si>
    <t>71042010</t>
  </si>
  <si>
    <t>71042090</t>
  </si>
  <si>
    <t>71049000</t>
  </si>
  <si>
    <t>71051000</t>
  </si>
  <si>
    <t>71059000</t>
  </si>
  <si>
    <t>71061000</t>
  </si>
  <si>
    <t>71069100</t>
  </si>
  <si>
    <t>71069210</t>
  </si>
  <si>
    <t>71069220</t>
  </si>
  <si>
    <t>71069290</t>
  </si>
  <si>
    <t>71070000</t>
  </si>
  <si>
    <t>71081100</t>
  </si>
  <si>
    <t>71081210</t>
  </si>
  <si>
    <t>71081290</t>
  </si>
  <si>
    <t>71081310</t>
  </si>
  <si>
    <t>71081390</t>
  </si>
  <si>
    <t>71082000</t>
  </si>
  <si>
    <t>71090000</t>
  </si>
  <si>
    <t>71101100</t>
  </si>
  <si>
    <t>71101910</t>
  </si>
  <si>
    <t>71101990</t>
  </si>
  <si>
    <t>71102100</t>
  </si>
  <si>
    <t>71102900</t>
  </si>
  <si>
    <t>71103100</t>
  </si>
  <si>
    <t>71103900</t>
  </si>
  <si>
    <t>71104100</t>
  </si>
  <si>
    <t>71104900</t>
  </si>
  <si>
    <t>71110000</t>
  </si>
  <si>
    <t>71123010</t>
  </si>
  <si>
    <t>71123020</t>
  </si>
  <si>
    <t>71123090</t>
  </si>
  <si>
    <t>71129100</t>
  </si>
  <si>
    <t>71129200</t>
  </si>
  <si>
    <t>71129900</t>
  </si>
  <si>
    <t>71131100</t>
  </si>
  <si>
    <t>71131900</t>
  </si>
  <si>
    <t>71132000</t>
  </si>
  <si>
    <t>71141100</t>
  </si>
  <si>
    <t>71141900</t>
  </si>
  <si>
    <t>71142000</t>
  </si>
  <si>
    <t>71151000</t>
  </si>
  <si>
    <t>71159000</t>
  </si>
  <si>
    <t>71161000</t>
  </si>
  <si>
    <t>71162010</t>
  </si>
  <si>
    <t>71162020</t>
  </si>
  <si>
    <t>71162090</t>
  </si>
  <si>
    <t>71171100</t>
  </si>
  <si>
    <t>71171900</t>
  </si>
  <si>
    <t>71179000</t>
  </si>
  <si>
    <t>71181010</t>
  </si>
  <si>
    <t>71181090</t>
  </si>
  <si>
    <t>71189000</t>
  </si>
  <si>
    <t>72011000</t>
  </si>
  <si>
    <t>72012000</t>
  </si>
  <si>
    <t>72015000</t>
  </si>
  <si>
    <t>72021100</t>
  </si>
  <si>
    <t>72021900</t>
  </si>
  <si>
    <t>72022100</t>
  </si>
  <si>
    <t>72022900</t>
  </si>
  <si>
    <t>72023000</t>
  </si>
  <si>
    <t>72024100</t>
  </si>
  <si>
    <t>72024900</t>
  </si>
  <si>
    <t>72025000</t>
  </si>
  <si>
    <t>72026000</t>
  </si>
  <si>
    <t>72027000</t>
  </si>
  <si>
    <t>72028000</t>
  </si>
  <si>
    <t>72029100</t>
  </si>
  <si>
    <t>72029200</t>
  </si>
  <si>
    <t>72029300</t>
  </si>
  <si>
    <t>72029910</t>
  </si>
  <si>
    <t>72029990</t>
  </si>
  <si>
    <t>72031000</t>
  </si>
  <si>
    <t>72039000</t>
  </si>
  <si>
    <t>72041000</t>
  </si>
  <si>
    <t>72042100</t>
  </si>
  <si>
    <t>72042900</t>
  </si>
  <si>
    <t>72043000</t>
  </si>
  <si>
    <t>72044100</t>
  </si>
  <si>
    <t>72044900</t>
  </si>
  <si>
    <t>72045000</t>
  </si>
  <si>
    <t>72051000</t>
  </si>
  <si>
    <t>72052100</t>
  </si>
  <si>
    <t>72052910</t>
  </si>
  <si>
    <t>72052920</t>
  </si>
  <si>
    <t>72052990</t>
  </si>
  <si>
    <t>72061000</t>
  </si>
  <si>
    <t>72069000</t>
  </si>
  <si>
    <t>72071110</t>
  </si>
  <si>
    <t>72071190</t>
  </si>
  <si>
    <t>72071200</t>
  </si>
  <si>
    <t>72071900</t>
  </si>
  <si>
    <t>72072000</t>
  </si>
  <si>
    <t>72081000</t>
  </si>
  <si>
    <t>72082500</t>
  </si>
  <si>
    <t>72082610</t>
  </si>
  <si>
    <t>72082690</t>
  </si>
  <si>
    <t>72082710</t>
  </si>
  <si>
    <t>72082790</t>
  </si>
  <si>
    <t>72083610</t>
  </si>
  <si>
    <t>72083690</t>
  </si>
  <si>
    <t>72083700</t>
  </si>
  <si>
    <t>72083810</t>
  </si>
  <si>
    <t>72083890</t>
  </si>
  <si>
    <t>72083910</t>
  </si>
  <si>
    <t>72083990</t>
  </si>
  <si>
    <t>72084000</t>
  </si>
  <si>
    <t>72085100</t>
  </si>
  <si>
    <t>72085200</t>
  </si>
  <si>
    <t>72085300</t>
  </si>
  <si>
    <t>72085400</t>
  </si>
  <si>
    <t>72089000</t>
  </si>
  <si>
    <t>72091500</t>
  </si>
  <si>
    <t>72091600</t>
  </si>
  <si>
    <t>72091700</t>
  </si>
  <si>
    <t>72091800</t>
  </si>
  <si>
    <t>72092500</t>
  </si>
  <si>
    <t>72092600</t>
  </si>
  <si>
    <t>72092700</t>
  </si>
  <si>
    <t>72092800</t>
  </si>
  <si>
    <t>72099000</t>
  </si>
  <si>
    <t>72101100</t>
  </si>
  <si>
    <t>72101200</t>
  </si>
  <si>
    <t>72102000</t>
  </si>
  <si>
    <t>72103010</t>
  </si>
  <si>
    <t>72103090</t>
  </si>
  <si>
    <t>72104110</t>
  </si>
  <si>
    <t>72104190</t>
  </si>
  <si>
    <t>72104910</t>
  </si>
  <si>
    <t>72104990</t>
  </si>
  <si>
    <t>72105000</t>
  </si>
  <si>
    <t>72106100</t>
  </si>
  <si>
    <t>72106911</t>
  </si>
  <si>
    <t>72106919</t>
  </si>
  <si>
    <t>72106990</t>
  </si>
  <si>
    <t>72107010</t>
  </si>
  <si>
    <t>72107020</t>
  </si>
  <si>
    <t>72109000</t>
  </si>
  <si>
    <t>72111300</t>
  </si>
  <si>
    <t>72111400</t>
  </si>
  <si>
    <t>72111900</t>
  </si>
  <si>
    <t>72112300</t>
  </si>
  <si>
    <t>72112910</t>
  </si>
  <si>
    <t>72112920</t>
  </si>
  <si>
    <t>72119010</t>
  </si>
  <si>
    <t>72119090</t>
  </si>
  <si>
    <t>72121000</t>
  </si>
  <si>
    <t>72122010</t>
  </si>
  <si>
    <t>72122090</t>
  </si>
  <si>
    <t>72123000</t>
  </si>
  <si>
    <t>72124010</t>
  </si>
  <si>
    <t>72124021</t>
  </si>
  <si>
    <t>72124029</t>
  </si>
  <si>
    <t>72125010</t>
  </si>
  <si>
    <t>72125090</t>
  </si>
  <si>
    <t>72126000</t>
  </si>
  <si>
    <t>72131000</t>
  </si>
  <si>
    <t>72132000</t>
  </si>
  <si>
    <t>72139110</t>
  </si>
  <si>
    <t>72139190</t>
  </si>
  <si>
    <t>72139910</t>
  </si>
  <si>
    <t>72139990</t>
  </si>
  <si>
    <t>72141010</t>
  </si>
  <si>
    <t>72141090</t>
  </si>
  <si>
    <t>72142000</t>
  </si>
  <si>
    <t>72143000</t>
  </si>
  <si>
    <t>72149100</t>
  </si>
  <si>
    <t>72149910</t>
  </si>
  <si>
    <t>72149990</t>
  </si>
  <si>
    <t>72151000</t>
  </si>
  <si>
    <t>72155000</t>
  </si>
  <si>
    <t>72159010</t>
  </si>
  <si>
    <t>72159090</t>
  </si>
  <si>
    <t>72161000</t>
  </si>
  <si>
    <t>72162100</t>
  </si>
  <si>
    <t>72162200</t>
  </si>
  <si>
    <t>72163100</t>
  </si>
  <si>
    <t>72163200</t>
  </si>
  <si>
    <t>72163300</t>
  </si>
  <si>
    <t>72164010</t>
  </si>
  <si>
    <t>72164090</t>
  </si>
  <si>
    <t>72165000</t>
  </si>
  <si>
    <t>72166110</t>
  </si>
  <si>
    <t>72166190</t>
  </si>
  <si>
    <t>72166910</t>
  </si>
  <si>
    <t>72166990</t>
  </si>
  <si>
    <t>72169100</t>
  </si>
  <si>
    <t>72169900</t>
  </si>
  <si>
    <t>72171011</t>
  </si>
  <si>
    <t>72171019</t>
  </si>
  <si>
    <t>72171090</t>
  </si>
  <si>
    <t>72172010</t>
  </si>
  <si>
    <t>72172090</t>
  </si>
  <si>
    <t>72173010</t>
  </si>
  <si>
    <t>72173090</t>
  </si>
  <si>
    <t>72179000</t>
  </si>
  <si>
    <t>72181000</t>
  </si>
  <si>
    <t>72189100</t>
  </si>
  <si>
    <t>72189900</t>
  </si>
  <si>
    <t>72191100</t>
  </si>
  <si>
    <t>72191200</t>
  </si>
  <si>
    <t>72191300</t>
  </si>
  <si>
    <t>72191400</t>
  </si>
  <si>
    <t>72192100</t>
  </si>
  <si>
    <t>72192200</t>
  </si>
  <si>
    <t>72192300</t>
  </si>
  <si>
    <t>72192400</t>
  </si>
  <si>
    <t>72193100</t>
  </si>
  <si>
    <t>72193200</t>
  </si>
  <si>
    <t>72193300</t>
  </si>
  <si>
    <t>72193400</t>
  </si>
  <si>
    <t>72193500</t>
  </si>
  <si>
    <t>72199010</t>
  </si>
  <si>
    <t>72199090</t>
  </si>
  <si>
    <t>72201100</t>
  </si>
  <si>
    <t>72201210</t>
  </si>
  <si>
    <t>72201220</t>
  </si>
  <si>
    <t>72201290</t>
  </si>
  <si>
    <t>72202010</t>
  </si>
  <si>
    <t>72202090</t>
  </si>
  <si>
    <t>72209000</t>
  </si>
  <si>
    <t>72210000</t>
  </si>
  <si>
    <t>72221100</t>
  </si>
  <si>
    <t>72221910</t>
  </si>
  <si>
    <t>72221990</t>
  </si>
  <si>
    <t>72222000</t>
  </si>
  <si>
    <t>72223000</t>
  </si>
  <si>
    <t>72224010</t>
  </si>
  <si>
    <t>72224090</t>
  </si>
  <si>
    <t>72230000</t>
  </si>
  <si>
    <t>72241000</t>
  </si>
  <si>
    <t>72249000</t>
  </si>
  <si>
    <t>72251100</t>
  </si>
  <si>
    <t>72251900</t>
  </si>
  <si>
    <t>72253000</t>
  </si>
  <si>
    <t>72254010</t>
  </si>
  <si>
    <t>72254020</t>
  </si>
  <si>
    <t>72254090</t>
  </si>
  <si>
    <t>72255010</t>
  </si>
  <si>
    <t>72255090</t>
  </si>
  <si>
    <t>72259100</t>
  </si>
  <si>
    <t>72259200</t>
  </si>
  <si>
    <t>72259910</t>
  </si>
  <si>
    <t>72259990</t>
  </si>
  <si>
    <t>72261100</t>
  </si>
  <si>
    <t>72261900</t>
  </si>
  <si>
    <t>72262010</t>
  </si>
  <si>
    <t>72262090</t>
  </si>
  <si>
    <t>72269100</t>
  </si>
  <si>
    <t>72269200</t>
  </si>
  <si>
    <t>72269900</t>
  </si>
  <si>
    <t>72271000</t>
  </si>
  <si>
    <t>72272000</t>
  </si>
  <si>
    <t>72279000</t>
  </si>
  <si>
    <t>72281010</t>
  </si>
  <si>
    <t>72281090</t>
  </si>
  <si>
    <t>72282000</t>
  </si>
  <si>
    <t>72283000</t>
  </si>
  <si>
    <t>72284000</t>
  </si>
  <si>
    <t>72285000</t>
  </si>
  <si>
    <t>72286000</t>
  </si>
  <si>
    <t>72287000</t>
  </si>
  <si>
    <t>72288000</t>
  </si>
  <si>
    <t>72292000</t>
  </si>
  <si>
    <t>72299000</t>
  </si>
  <si>
    <t>73011000</t>
  </si>
  <si>
    <t>73012000</t>
  </si>
  <si>
    <t>73021010</t>
  </si>
  <si>
    <t>73021090</t>
  </si>
  <si>
    <t>73023000</t>
  </si>
  <si>
    <t>73024000</t>
  </si>
  <si>
    <t>73029000</t>
  </si>
  <si>
    <t>73030000</t>
  </si>
  <si>
    <t>73041100</t>
  </si>
  <si>
    <t>73041900</t>
  </si>
  <si>
    <t>73042200</t>
  </si>
  <si>
    <t>73042310</t>
  </si>
  <si>
    <t>73042390</t>
  </si>
  <si>
    <t>73042400</t>
  </si>
  <si>
    <t>73042910</t>
  </si>
  <si>
    <t>73042931</t>
  </si>
  <si>
    <t>73042939</t>
  </si>
  <si>
    <t>73042990</t>
  </si>
  <si>
    <t>73043110</t>
  </si>
  <si>
    <t>73043190</t>
  </si>
  <si>
    <t>73043910</t>
  </si>
  <si>
    <t>73043920</t>
  </si>
  <si>
    <t>73043990</t>
  </si>
  <si>
    <t>73044110</t>
  </si>
  <si>
    <t>73044190</t>
  </si>
  <si>
    <t>73044900</t>
  </si>
  <si>
    <t>73045111</t>
  </si>
  <si>
    <t>73045119</t>
  </si>
  <si>
    <t>73045190</t>
  </si>
  <si>
    <t>73045911</t>
  </si>
  <si>
    <t>73045919</t>
  </si>
  <si>
    <t>73045990</t>
  </si>
  <si>
    <t>73049011</t>
  </si>
  <si>
    <t>73049019</t>
  </si>
  <si>
    <t>73049090</t>
  </si>
  <si>
    <t>73051100</t>
  </si>
  <si>
    <t>73051200</t>
  </si>
  <si>
    <t>73051900</t>
  </si>
  <si>
    <t>73052000</t>
  </si>
  <si>
    <t>73053100</t>
  </si>
  <si>
    <t>73053900</t>
  </si>
  <si>
    <t>73059000</t>
  </si>
  <si>
    <t>73061100</t>
  </si>
  <si>
    <t>73061900</t>
  </si>
  <si>
    <t>73062100</t>
  </si>
  <si>
    <t>73062900</t>
  </si>
  <si>
    <t>73063000</t>
  </si>
  <si>
    <t>73064000</t>
  </si>
  <si>
    <t>73065000</t>
  </si>
  <si>
    <t>73066100</t>
  </si>
  <si>
    <t>73066900</t>
  </si>
  <si>
    <t>73069010</t>
  </si>
  <si>
    <t>73069020</t>
  </si>
  <si>
    <t>73069090</t>
  </si>
  <si>
    <t>73071100</t>
  </si>
  <si>
    <t>73071910</t>
  </si>
  <si>
    <t>73071920</t>
  </si>
  <si>
    <t>73071990</t>
  </si>
  <si>
    <t>73072100</t>
  </si>
  <si>
    <t>73072200</t>
  </si>
  <si>
    <t>73072300</t>
  </si>
  <si>
    <t>73072900</t>
  </si>
  <si>
    <t>73079100</t>
  </si>
  <si>
    <t>73079200</t>
  </si>
  <si>
    <t>73079300</t>
  </si>
  <si>
    <t>73079900</t>
  </si>
  <si>
    <t>73081000</t>
  </si>
  <si>
    <t>73082000</t>
  </si>
  <si>
    <t>73083000</t>
  </si>
  <si>
    <t>73084000</t>
  </si>
  <si>
    <t>73089010</t>
  </si>
  <si>
    <t>73089090</t>
  </si>
  <si>
    <t>73090010</t>
  </si>
  <si>
    <t>73090020</t>
  </si>
  <si>
    <t>73090090</t>
  </si>
  <si>
    <t>73101010</t>
  </si>
  <si>
    <t>73101090</t>
  </si>
  <si>
    <t>73102110</t>
  </si>
  <si>
    <t>73102190</t>
  </si>
  <si>
    <t>73102910</t>
  </si>
  <si>
    <t>73102920</t>
  </si>
  <si>
    <t>73102990</t>
  </si>
  <si>
    <t>73110000</t>
  </si>
  <si>
    <t>73121010</t>
  </si>
  <si>
    <t>73121090</t>
  </si>
  <si>
    <t>73129000</t>
  </si>
  <si>
    <t>73130000</t>
  </si>
  <si>
    <t>73141200</t>
  </si>
  <si>
    <t>73141400</t>
  </si>
  <si>
    <t>73141900</t>
  </si>
  <si>
    <t>73142000</t>
  </si>
  <si>
    <t>73143100</t>
  </si>
  <si>
    <t>73143900</t>
  </si>
  <si>
    <t>73144100</t>
  </si>
  <si>
    <t>73144200</t>
  </si>
  <si>
    <t>73144900</t>
  </si>
  <si>
    <t>73145000</t>
  </si>
  <si>
    <t>73151100</t>
  </si>
  <si>
    <t>73151210</t>
  </si>
  <si>
    <t>73151290</t>
  </si>
  <si>
    <t>73151900</t>
  </si>
  <si>
    <t>73152000</t>
  </si>
  <si>
    <t>73158100</t>
  </si>
  <si>
    <t>73158200</t>
  </si>
  <si>
    <t>73158900</t>
  </si>
  <si>
    <t>73159000</t>
  </si>
  <si>
    <t>73160000</t>
  </si>
  <si>
    <t>73170010</t>
  </si>
  <si>
    <t>73170020</t>
  </si>
  <si>
    <t>73170030</t>
  </si>
  <si>
    <t>73170090</t>
  </si>
  <si>
    <t>73181100</t>
  </si>
  <si>
    <t>73181200</t>
  </si>
  <si>
    <t>73181300</t>
  </si>
  <si>
    <t>73181400</t>
  </si>
  <si>
    <t>73181500</t>
  </si>
  <si>
    <t>73181600</t>
  </si>
  <si>
    <t>73181900</t>
  </si>
  <si>
    <t>73182100</t>
  </si>
  <si>
    <t>73182200</t>
  </si>
  <si>
    <t>73182300</t>
  </si>
  <si>
    <t>73182400</t>
  </si>
  <si>
    <t>73182900</t>
  </si>
  <si>
    <t>73194000</t>
  </si>
  <si>
    <t>73199000</t>
  </si>
  <si>
    <t>73201000</t>
  </si>
  <si>
    <t>73202010</t>
  </si>
  <si>
    <t>73202090</t>
  </si>
  <si>
    <t>73209000</t>
  </si>
  <si>
    <t>73211100</t>
  </si>
  <si>
    <t>73211200</t>
  </si>
  <si>
    <t>73211900</t>
  </si>
  <si>
    <t>73218100</t>
  </si>
  <si>
    <t>73218200</t>
  </si>
  <si>
    <t>73218900</t>
  </si>
  <si>
    <t>73219000</t>
  </si>
  <si>
    <t>73221100</t>
  </si>
  <si>
    <t>73221900</t>
  </si>
  <si>
    <t>73229010</t>
  </si>
  <si>
    <t>73229090</t>
  </si>
  <si>
    <t>73231000</t>
  </si>
  <si>
    <t>73239100</t>
  </si>
  <si>
    <t>73239200</t>
  </si>
  <si>
    <t>73239300</t>
  </si>
  <si>
    <t>73239400</t>
  </si>
  <si>
    <t>73239900</t>
  </si>
  <si>
    <t>73241000</t>
  </si>
  <si>
    <t>73242100</t>
  </si>
  <si>
    <t>73242900</t>
  </si>
  <si>
    <t>73249000</t>
  </si>
  <si>
    <t>73251000</t>
  </si>
  <si>
    <t>73259100</t>
  </si>
  <si>
    <t>73259910</t>
  </si>
  <si>
    <t>73259990</t>
  </si>
  <si>
    <t>73261100</t>
  </si>
  <si>
    <t>73261900</t>
  </si>
  <si>
    <t>73262000</t>
  </si>
  <si>
    <t>73269010</t>
  </si>
  <si>
    <t>73269090</t>
  </si>
  <si>
    <t>74010000</t>
  </si>
  <si>
    <t>74020000</t>
  </si>
  <si>
    <t>74031100</t>
  </si>
  <si>
    <t>74031200</t>
  </si>
  <si>
    <t>74031300</t>
  </si>
  <si>
    <t>74031900</t>
  </si>
  <si>
    <t>74032100</t>
  </si>
  <si>
    <t>74032200</t>
  </si>
  <si>
    <t>74032900</t>
  </si>
  <si>
    <t>74040000</t>
  </si>
  <si>
    <t>74050000</t>
  </si>
  <si>
    <t>74061000</t>
  </si>
  <si>
    <t>74062000</t>
  </si>
  <si>
    <t>74071010</t>
  </si>
  <si>
    <t>74071021</t>
  </si>
  <si>
    <t>74071029</t>
  </si>
  <si>
    <t>74072110</t>
  </si>
  <si>
    <t>74072120</t>
  </si>
  <si>
    <t>74072910</t>
  </si>
  <si>
    <t>74072921</t>
  </si>
  <si>
    <t>74072929</t>
  </si>
  <si>
    <t>74081100</t>
  </si>
  <si>
    <t>74081900</t>
  </si>
  <si>
    <t>74082100</t>
  </si>
  <si>
    <t>74082200</t>
  </si>
  <si>
    <t>74082911</t>
  </si>
  <si>
    <t>74082919</t>
  </si>
  <si>
    <t>74082990</t>
  </si>
  <si>
    <t>74091100</t>
  </si>
  <si>
    <t>74091900</t>
  </si>
  <si>
    <t>74092100</t>
  </si>
  <si>
    <t>74092900</t>
  </si>
  <si>
    <t>74093111</t>
  </si>
  <si>
    <t>74093119</t>
  </si>
  <si>
    <t>74093190</t>
  </si>
  <si>
    <t>74093900</t>
  </si>
  <si>
    <t>74094010</t>
  </si>
  <si>
    <t>74094090</t>
  </si>
  <si>
    <t>74099000</t>
  </si>
  <si>
    <t>74101112</t>
  </si>
  <si>
    <t>74101113</t>
  </si>
  <si>
    <t>74101119</t>
  </si>
  <si>
    <t>74101190</t>
  </si>
  <si>
    <t>74101200</t>
  </si>
  <si>
    <t>74102110</t>
  </si>
  <si>
    <t>74102120</t>
  </si>
  <si>
    <t>74102130</t>
  </si>
  <si>
    <t>74102190</t>
  </si>
  <si>
    <t>74102200</t>
  </si>
  <si>
    <t>74111010</t>
  </si>
  <si>
    <t>74111090</t>
  </si>
  <si>
    <t>74112110</t>
  </si>
  <si>
    <t>74112190</t>
  </si>
  <si>
    <t>74112210</t>
  </si>
  <si>
    <t>74112290</t>
  </si>
  <si>
    <t>74112910</t>
  </si>
  <si>
    <t>74112990</t>
  </si>
  <si>
    <t>74121000</t>
  </si>
  <si>
    <t>74122000</t>
  </si>
  <si>
    <t>74130000</t>
  </si>
  <si>
    <t>74151000</t>
  </si>
  <si>
    <t>74152100</t>
  </si>
  <si>
    <t>74152900</t>
  </si>
  <si>
    <t>74153300</t>
  </si>
  <si>
    <t>74153900</t>
  </si>
  <si>
    <t>74181000</t>
  </si>
  <si>
    <t>74182000</t>
  </si>
  <si>
    <t>74191000</t>
  </si>
  <si>
    <t>74199100</t>
  </si>
  <si>
    <t>74199910</t>
  </si>
  <si>
    <t>74199920</t>
  </si>
  <si>
    <t>74199930</t>
  </si>
  <si>
    <t>74199990</t>
  </si>
  <si>
    <t>75011000</t>
  </si>
  <si>
    <t>75012000</t>
  </si>
  <si>
    <t>75021010</t>
  </si>
  <si>
    <t>75021090</t>
  </si>
  <si>
    <t>75022000</t>
  </si>
  <si>
    <t>75030000</t>
  </si>
  <si>
    <t>75040010</t>
  </si>
  <si>
    <t>75040090</t>
  </si>
  <si>
    <t>75051110</t>
  </si>
  <si>
    <t>75051121</t>
  </si>
  <si>
    <t>75051129</t>
  </si>
  <si>
    <t>75051210</t>
  </si>
  <si>
    <t>75051221</t>
  </si>
  <si>
    <t>75051229</t>
  </si>
  <si>
    <t>75052100</t>
  </si>
  <si>
    <t>75052200</t>
  </si>
  <si>
    <t>75061000</t>
  </si>
  <si>
    <t>75062000</t>
  </si>
  <si>
    <t>75071100</t>
  </si>
  <si>
    <t>75071200</t>
  </si>
  <si>
    <t>75072000</t>
  </si>
  <si>
    <t>75081000</t>
  </si>
  <si>
    <t>75089010</t>
  </si>
  <si>
    <t>75089090</t>
  </si>
  <si>
    <t>76011000</t>
  </si>
  <si>
    <t>76012000</t>
  </si>
  <si>
    <t>76020000</t>
  </si>
  <si>
    <t>76031000</t>
  </si>
  <si>
    <t>76032000</t>
  </si>
  <si>
    <t>76041010</t>
  </si>
  <si>
    <t>76041021</t>
  </si>
  <si>
    <t>76041029</t>
  </si>
  <si>
    <t>76042100</t>
  </si>
  <si>
    <t>76042911</t>
  </si>
  <si>
    <t>76042919</t>
  </si>
  <si>
    <t>76042920</t>
  </si>
  <si>
    <t>76051110</t>
  </si>
  <si>
    <t>76051190</t>
  </si>
  <si>
    <t>76051910</t>
  </si>
  <si>
    <t>76051990</t>
  </si>
  <si>
    <t>76052110</t>
  </si>
  <si>
    <t>76052190</t>
  </si>
  <si>
    <t>76052910</t>
  </si>
  <si>
    <t>76052990</t>
  </si>
  <si>
    <t>76061110</t>
  </si>
  <si>
    <t>76061190</t>
  </si>
  <si>
    <t>76061210</t>
  </si>
  <si>
    <t>76061220</t>
  </si>
  <si>
    <t>76061290</t>
  </si>
  <si>
    <t>76069100</t>
  </si>
  <si>
    <t>76069200</t>
  </si>
  <si>
    <t>76071110</t>
  </si>
  <si>
    <t>76071190</t>
  </si>
  <si>
    <t>76071910</t>
  </si>
  <si>
    <t>76071990</t>
  </si>
  <si>
    <t>76072000</t>
  </si>
  <si>
    <t>76081000</t>
  </si>
  <si>
    <t>76082010</t>
  </si>
  <si>
    <t>76082090</t>
  </si>
  <si>
    <t>76090000</t>
  </si>
  <si>
    <t>76101000</t>
  </si>
  <si>
    <t>76109000</t>
  </si>
  <si>
    <t>76110000</t>
  </si>
  <si>
    <t>76121000</t>
  </si>
  <si>
    <t>76129011</t>
  </si>
  <si>
    <t>76129012</t>
  </si>
  <si>
    <t>76129019</t>
  </si>
  <si>
    <t>76129090</t>
  </si>
  <si>
    <t>76130000</t>
  </si>
  <si>
    <t>76141010</t>
  </si>
  <si>
    <t>76141090</t>
  </si>
  <si>
    <t>76149010</t>
  </si>
  <si>
    <t>76149090</t>
  </si>
  <si>
    <t>76151000</t>
  </si>
  <si>
    <t>76152000</t>
  </si>
  <si>
    <t>76161000</t>
  </si>
  <si>
    <t>76169100</t>
  </si>
  <si>
    <t>76169900</t>
  </si>
  <si>
    <t>78011011</t>
  </si>
  <si>
    <t>78011019</t>
  </si>
  <si>
    <t>78011090</t>
  </si>
  <si>
    <t>78019100</t>
  </si>
  <si>
    <t>78019900</t>
  </si>
  <si>
    <t>78020000</t>
  </si>
  <si>
    <t>78041100</t>
  </si>
  <si>
    <t>78041900</t>
  </si>
  <si>
    <t>78042000</t>
  </si>
  <si>
    <t>78060010</t>
  </si>
  <si>
    <t>78060020</t>
  </si>
  <si>
    <t>78060090</t>
  </si>
  <si>
    <t>79011111</t>
  </si>
  <si>
    <t>79011119</t>
  </si>
  <si>
    <t>79011191</t>
  </si>
  <si>
    <t>79011199</t>
  </si>
  <si>
    <t>79011210</t>
  </si>
  <si>
    <t>79011290</t>
  </si>
  <si>
    <t>79012010</t>
  </si>
  <si>
    <t>79012090</t>
  </si>
  <si>
    <t>79020000</t>
  </si>
  <si>
    <t>79031000</t>
  </si>
  <si>
    <t>79039000</t>
  </si>
  <si>
    <t>79040000</t>
  </si>
  <si>
    <t>79050000</t>
  </si>
  <si>
    <t>79070010</t>
  </si>
  <si>
    <t>79070090</t>
  </si>
  <si>
    <t>80011000</t>
  </si>
  <si>
    <t>80012000</t>
  </si>
  <si>
    <t>80020000</t>
  </si>
  <si>
    <t>80030000</t>
  </si>
  <si>
    <t>80070010</t>
  </si>
  <si>
    <t>80070020</t>
  </si>
  <si>
    <t>80070030</t>
  </si>
  <si>
    <t>80070090</t>
  </si>
  <si>
    <t>81011000</t>
  </si>
  <si>
    <t>81019400</t>
  </si>
  <si>
    <t>81019600</t>
  </si>
  <si>
    <t>81019700</t>
  </si>
  <si>
    <t>81019910</t>
  </si>
  <si>
    <t>81019990</t>
  </si>
  <si>
    <t>81021000</t>
  </si>
  <si>
    <t>81029400</t>
  </si>
  <si>
    <t>81029500</t>
  </si>
  <si>
    <t>81029600</t>
  </si>
  <si>
    <t>81029700</t>
  </si>
  <si>
    <t>81029900</t>
  </si>
  <si>
    <t>81032000</t>
  </si>
  <si>
    <t>81033000</t>
  </si>
  <si>
    <t>81039000</t>
  </si>
  <si>
    <t>81041100</t>
  </si>
  <si>
    <t>81041900</t>
  </si>
  <si>
    <t>81042000</t>
  </si>
  <si>
    <t>81043000</t>
  </si>
  <si>
    <t>81049000</t>
  </si>
  <si>
    <t>81052010</t>
  </si>
  <si>
    <t>81052021</t>
  </si>
  <si>
    <t>81052029</t>
  </si>
  <si>
    <t>81052090</t>
  </si>
  <si>
    <t>81053000</t>
  </si>
  <si>
    <t>81059010</t>
  </si>
  <si>
    <t>81059090</t>
  </si>
  <si>
    <t>81060010</t>
  </si>
  <si>
    <t>81060090</t>
  </si>
  <si>
    <t>81072010</t>
  </si>
  <si>
    <t>81072020</t>
  </si>
  <si>
    <t>81073000</t>
  </si>
  <si>
    <t>81079000</t>
  </si>
  <si>
    <t>81082000</t>
  </si>
  <si>
    <t>81083000</t>
  </si>
  <si>
    <t>81089000</t>
  </si>
  <si>
    <t>81092000</t>
  </si>
  <si>
    <t>81093000</t>
  </si>
  <si>
    <t>81099000</t>
  </si>
  <si>
    <t>81101010</t>
  </si>
  <si>
    <t>81101020</t>
  </si>
  <si>
    <t>81102000</t>
  </si>
  <si>
    <t>81109000</t>
  </si>
  <si>
    <t>81110010</t>
  </si>
  <si>
    <t>81110020</t>
  </si>
  <si>
    <t>81110090</t>
  </si>
  <si>
    <t>81121200</t>
  </si>
  <si>
    <t>81121300</t>
  </si>
  <si>
    <t>81121900</t>
  </si>
  <si>
    <t>81122110</t>
  </si>
  <si>
    <t>81122120</t>
  </si>
  <si>
    <t>81122200</t>
  </si>
  <si>
    <t>81122900</t>
  </si>
  <si>
    <t>81125100</t>
  </si>
  <si>
    <t>81125200</t>
  </si>
  <si>
    <t>81125900</t>
  </si>
  <si>
    <t>81129200</t>
  </si>
  <si>
    <t>81129900</t>
  </si>
  <si>
    <t>81130010</t>
  </si>
  <si>
    <t>81130090</t>
  </si>
  <si>
    <t>82011000</t>
  </si>
  <si>
    <t>82013000</t>
  </si>
  <si>
    <t>82014000</t>
  </si>
  <si>
    <t>82015000</t>
  </si>
  <si>
    <t>82016000</t>
  </si>
  <si>
    <t>82019000</t>
  </si>
  <si>
    <t>82021000</t>
  </si>
  <si>
    <t>82022000</t>
  </si>
  <si>
    <t>82023100</t>
  </si>
  <si>
    <t>82023900</t>
  </si>
  <si>
    <t>82024000</t>
  </si>
  <si>
    <t>82029100</t>
  </si>
  <si>
    <t>82029910</t>
  </si>
  <si>
    <t>82029990</t>
  </si>
  <si>
    <t>82031010</t>
  </si>
  <si>
    <t>82031090</t>
  </si>
  <si>
    <t>82032010</t>
  </si>
  <si>
    <t>82032090</t>
  </si>
  <si>
    <t>82033000</t>
  </si>
  <si>
    <t>82034000</t>
  </si>
  <si>
    <t>82041100</t>
  </si>
  <si>
    <t>82041200</t>
  </si>
  <si>
    <t>82042000</t>
  </si>
  <si>
    <t>82051000</t>
  </si>
  <si>
    <t>82052000</t>
  </si>
  <si>
    <t>82053000</t>
  </si>
  <si>
    <t>82054000</t>
  </si>
  <si>
    <t>82055100</t>
  </si>
  <si>
    <t>82055900</t>
  </si>
  <si>
    <t>82056000</t>
  </si>
  <si>
    <t>82057000</t>
  </si>
  <si>
    <t>82059000</t>
  </si>
  <si>
    <t>82060000</t>
  </si>
  <si>
    <t>82071300</t>
  </si>
  <si>
    <t>82071900</t>
  </si>
  <si>
    <t>82072000</t>
  </si>
  <si>
    <t>82073000</t>
  </si>
  <si>
    <t>82074010</t>
  </si>
  <si>
    <t>82074020</t>
  </si>
  <si>
    <t>82075011</t>
  </si>
  <si>
    <t>82075019</t>
  </si>
  <si>
    <t>82075090</t>
  </si>
  <si>
    <t>82076000</t>
  </si>
  <si>
    <t>82077010</t>
  </si>
  <si>
    <t>82077020</t>
  </si>
  <si>
    <t>82077090</t>
  </si>
  <si>
    <t>82078000</t>
  </si>
  <si>
    <t>82079000</t>
  </si>
  <si>
    <t>82081000</t>
  </si>
  <si>
    <t>82082000</t>
  </si>
  <si>
    <t>82083000</t>
  </si>
  <si>
    <t>82084000</t>
  </si>
  <si>
    <t>82089000</t>
  </si>
  <si>
    <t>82090011</t>
  </si>
  <si>
    <t>82090019</t>
  </si>
  <si>
    <t>82090090</t>
  </si>
  <si>
    <t>82100010</t>
  </si>
  <si>
    <t>82100090</t>
  </si>
  <si>
    <t>82111000</t>
  </si>
  <si>
    <t>82119100</t>
  </si>
  <si>
    <t>82119210</t>
  </si>
  <si>
    <t>82119220</t>
  </si>
  <si>
    <t>82119290</t>
  </si>
  <si>
    <t>82119310</t>
  </si>
  <si>
    <t>82119320</t>
  </si>
  <si>
    <t>82119390</t>
  </si>
  <si>
    <t>82119400</t>
  </si>
  <si>
    <t>82119500</t>
  </si>
  <si>
    <t>82121010</t>
  </si>
  <si>
    <t>82121020</t>
  </si>
  <si>
    <t>82122010</t>
  </si>
  <si>
    <t>82122020</t>
  </si>
  <si>
    <t>82129000</t>
  </si>
  <si>
    <t>82130000</t>
  </si>
  <si>
    <t>82141000</t>
  </si>
  <si>
    <t>82142000</t>
  </si>
  <si>
    <t>82149010</t>
  </si>
  <si>
    <t>82149090</t>
  </si>
  <si>
    <t>82151000</t>
  </si>
  <si>
    <t>82152000</t>
  </si>
  <si>
    <t>82159100</t>
  </si>
  <si>
    <t>82159910</t>
  </si>
  <si>
    <t>82159990</t>
  </si>
  <si>
    <t>83011000</t>
  </si>
  <si>
    <t>83012000</t>
  </si>
  <si>
    <t>83013000</t>
  </si>
  <si>
    <t>83014000</t>
  </si>
  <si>
    <t>83015000</t>
  </si>
  <si>
    <t>83016000</t>
  </si>
  <si>
    <t>83017000</t>
  </si>
  <si>
    <t>83021000</t>
  </si>
  <si>
    <t>83022000</t>
  </si>
  <si>
    <t>83023000</t>
  </si>
  <si>
    <t>83024100</t>
  </si>
  <si>
    <t>83024200</t>
  </si>
  <si>
    <t>83024900</t>
  </si>
  <si>
    <t>83025000</t>
  </si>
  <si>
    <t>83026000</t>
  </si>
  <si>
    <t>83030000</t>
  </si>
  <si>
    <t>83040000</t>
  </si>
  <si>
    <t>83051000</t>
  </si>
  <si>
    <t>83052000</t>
  </si>
  <si>
    <t>83059000</t>
  </si>
  <si>
    <t>83061000</t>
  </si>
  <si>
    <t>83062100</t>
  </si>
  <si>
    <t>83062900</t>
  </si>
  <si>
    <t>83063000</t>
  </si>
  <si>
    <t>83071010</t>
  </si>
  <si>
    <t>83071090</t>
  </si>
  <si>
    <t>83079000</t>
  </si>
  <si>
    <t>83081000</t>
  </si>
  <si>
    <t>83082000</t>
  </si>
  <si>
    <t>83089010</t>
  </si>
  <si>
    <t>83089020</t>
  </si>
  <si>
    <t>83089090</t>
  </si>
  <si>
    <t>83091000</t>
  </si>
  <si>
    <t>83099000</t>
  </si>
  <si>
    <t>83100000</t>
  </si>
  <si>
    <t>84049010</t>
  </si>
  <si>
    <t>84049090</t>
  </si>
  <si>
    <t>84051000</t>
  </si>
  <si>
    <t>83111000</t>
  </si>
  <si>
    <t>83112000</t>
  </si>
  <si>
    <t>83113000</t>
  </si>
  <si>
    <t>83119000</t>
  </si>
  <si>
    <t>84011000</t>
  </si>
  <si>
    <t>84012000</t>
  </si>
  <si>
    <t>84013000</t>
  </si>
  <si>
    <t>84014000</t>
  </si>
  <si>
    <t>84021100</t>
  </si>
  <si>
    <t>84021200</t>
  </si>
  <si>
    <t>84021900</t>
  </si>
  <si>
    <t>84022000</t>
  </si>
  <si>
    <t>84029000</t>
  </si>
  <si>
    <t>84031010</t>
  </si>
  <si>
    <t>84031090</t>
  </si>
  <si>
    <t>84039000</t>
  </si>
  <si>
    <t>84041010</t>
  </si>
  <si>
    <t>84041020</t>
  </si>
  <si>
    <t>84042000</t>
  </si>
  <si>
    <t>84059000</t>
  </si>
  <si>
    <t>84061000</t>
  </si>
  <si>
    <t>84068100</t>
  </si>
  <si>
    <t>84068200</t>
  </si>
  <si>
    <t>84069011</t>
  </si>
  <si>
    <t>84069019</t>
  </si>
  <si>
    <t>84069021</t>
  </si>
  <si>
    <t>84069029</t>
  </si>
  <si>
    <t>84069090</t>
  </si>
  <si>
    <t>84071000</t>
  </si>
  <si>
    <t>84072110</t>
  </si>
  <si>
    <t>84072190</t>
  </si>
  <si>
    <t>84072910</t>
  </si>
  <si>
    <t>84072990</t>
  </si>
  <si>
    <t>84073110</t>
  </si>
  <si>
    <t>84073190</t>
  </si>
  <si>
    <t>84073200</t>
  </si>
  <si>
    <t>84073310</t>
  </si>
  <si>
    <t>84073390</t>
  </si>
  <si>
    <t>84073410</t>
  </si>
  <si>
    <t>84073490</t>
  </si>
  <si>
    <t>84079000</t>
  </si>
  <si>
    <t>84081010</t>
  </si>
  <si>
    <t>84081090</t>
  </si>
  <si>
    <t>84082010</t>
  </si>
  <si>
    <t>84082020</t>
  </si>
  <si>
    <t>84082030</t>
  </si>
  <si>
    <t>84082090</t>
  </si>
  <si>
    <t>84089010</t>
  </si>
  <si>
    <t>84089090</t>
  </si>
  <si>
    <t>84091000</t>
  </si>
  <si>
    <t>84099111</t>
  </si>
  <si>
    <t>84099112</t>
  </si>
  <si>
    <t>84099113</t>
  </si>
  <si>
    <t>84099114</t>
  </si>
  <si>
    <t>84099115</t>
  </si>
  <si>
    <t>84099116</t>
  </si>
  <si>
    <t>84099117</t>
  </si>
  <si>
    <t>84099118</t>
  </si>
  <si>
    <t>84099120</t>
  </si>
  <si>
    <t>84099130</t>
  </si>
  <si>
    <t>84099140</t>
  </si>
  <si>
    <t>84099190</t>
  </si>
  <si>
    <t>84099912</t>
  </si>
  <si>
    <t>84099914</t>
  </si>
  <si>
    <t>84099915</t>
  </si>
  <si>
    <t>84099917</t>
  </si>
  <si>
    <t>84099921</t>
  </si>
  <si>
    <t>84099929</t>
  </si>
  <si>
    <t>84099930</t>
  </si>
  <si>
    <t>84099941</t>
  </si>
  <si>
    <t>84099949</t>
  </si>
  <si>
    <t>84099951</t>
  </si>
  <si>
    <t>84099959</t>
  </si>
  <si>
    <t>84099961</t>
  </si>
  <si>
    <t>84099969</t>
  </si>
  <si>
    <t>84099971</t>
  </si>
  <si>
    <t>84099979</t>
  </si>
  <si>
    <t>84099991</t>
  </si>
  <si>
    <t>84099999</t>
  </si>
  <si>
    <t>84101100</t>
  </si>
  <si>
    <t>84101200</t>
  </si>
  <si>
    <t>84101300</t>
  </si>
  <si>
    <t>84109000</t>
  </si>
  <si>
    <t>84111100</t>
  </si>
  <si>
    <t>84111200</t>
  </si>
  <si>
    <t>84112100</t>
  </si>
  <si>
    <t>84112200</t>
  </si>
  <si>
    <t>84118100</t>
  </si>
  <si>
    <t>84118200</t>
  </si>
  <si>
    <t>84119100</t>
  </si>
  <si>
    <t>84119900</t>
  </si>
  <si>
    <t>84121000</t>
  </si>
  <si>
    <t>84122110</t>
  </si>
  <si>
    <t>84122190</t>
  </si>
  <si>
    <t>84122900</t>
  </si>
  <si>
    <t>84123110</t>
  </si>
  <si>
    <t>84123190</t>
  </si>
  <si>
    <t>84123900</t>
  </si>
  <si>
    <t>84128000</t>
  </si>
  <si>
    <t>84129010</t>
  </si>
  <si>
    <t>84129020</t>
  </si>
  <si>
    <t>84129080</t>
  </si>
  <si>
    <t>84129090</t>
  </si>
  <si>
    <t>84131100</t>
  </si>
  <si>
    <t>84131900</t>
  </si>
  <si>
    <t>84132000</t>
  </si>
  <si>
    <t>84133010</t>
  </si>
  <si>
    <t>84133020</t>
  </si>
  <si>
    <t>84133030</t>
  </si>
  <si>
    <t>84133090</t>
  </si>
  <si>
    <t>84134000</t>
  </si>
  <si>
    <t>84135010</t>
  </si>
  <si>
    <t>84135090</t>
  </si>
  <si>
    <t>84136011</t>
  </si>
  <si>
    <t>84136019</t>
  </si>
  <si>
    <t>84136090</t>
  </si>
  <si>
    <t>84137010</t>
  </si>
  <si>
    <t>84137080</t>
  </si>
  <si>
    <t>84137090</t>
  </si>
  <si>
    <t>84138100</t>
  </si>
  <si>
    <t>84138200</t>
  </si>
  <si>
    <t>84139110</t>
  </si>
  <si>
    <t>84139190</t>
  </si>
  <si>
    <t>84139200</t>
  </si>
  <si>
    <t>84141000</t>
  </si>
  <si>
    <t>84142000</t>
  </si>
  <si>
    <t>84143011</t>
  </si>
  <si>
    <t>84143019</t>
  </si>
  <si>
    <t>84143091</t>
  </si>
  <si>
    <t>84143099</t>
  </si>
  <si>
    <t>84144010</t>
  </si>
  <si>
    <t>84144020</t>
  </si>
  <si>
    <t>84144090</t>
  </si>
  <si>
    <t>84145110</t>
  </si>
  <si>
    <t>84145120</t>
  </si>
  <si>
    <t>84145190</t>
  </si>
  <si>
    <t>84145910</t>
  </si>
  <si>
    <t>84145990</t>
  </si>
  <si>
    <t>84146000</t>
  </si>
  <si>
    <t>84148011</t>
  </si>
  <si>
    <t>84148012</t>
  </si>
  <si>
    <t>84148013</t>
  </si>
  <si>
    <t>84148019</t>
  </si>
  <si>
    <t>84148021</t>
  </si>
  <si>
    <t>84148022</t>
  </si>
  <si>
    <t>84148029</t>
  </si>
  <si>
    <t>84148031</t>
  </si>
  <si>
    <t>84148032</t>
  </si>
  <si>
    <t>84148033</t>
  </si>
  <si>
    <t>84148038</t>
  </si>
  <si>
    <t>84148039</t>
  </si>
  <si>
    <t>84148090</t>
  </si>
  <si>
    <t>84149010</t>
  </si>
  <si>
    <t>84149020</t>
  </si>
  <si>
    <t>84149031</t>
  </si>
  <si>
    <t>84149032</t>
  </si>
  <si>
    <t>84149033</t>
  </si>
  <si>
    <t>84149034</t>
  </si>
  <si>
    <t>84149039</t>
  </si>
  <si>
    <t>84151011</t>
  </si>
  <si>
    <t>84151019</t>
  </si>
  <si>
    <t>84151090</t>
  </si>
  <si>
    <t>84152010</t>
  </si>
  <si>
    <t>84152090</t>
  </si>
  <si>
    <t>84158110</t>
  </si>
  <si>
    <t>84158190</t>
  </si>
  <si>
    <t>84158210</t>
  </si>
  <si>
    <t>84158290</t>
  </si>
  <si>
    <t>84158300</t>
  </si>
  <si>
    <t>84159010</t>
  </si>
  <si>
    <t>84159020</t>
  </si>
  <si>
    <t>84159090</t>
  </si>
  <si>
    <t>84161000</t>
  </si>
  <si>
    <t>84162010</t>
  </si>
  <si>
    <t>84162090</t>
  </si>
  <si>
    <t>84163000</t>
  </si>
  <si>
    <t>84169000</t>
  </si>
  <si>
    <t>84171010</t>
  </si>
  <si>
    <t>84171020</t>
  </si>
  <si>
    <t>84171090</t>
  </si>
  <si>
    <t>84172000</t>
  </si>
  <si>
    <t>84178010</t>
  </si>
  <si>
    <t>84178020</t>
  </si>
  <si>
    <t>84178090</t>
  </si>
  <si>
    <t>84179000</t>
  </si>
  <si>
    <t>84181000</t>
  </si>
  <si>
    <t>84182100</t>
  </si>
  <si>
    <t>84182900</t>
  </si>
  <si>
    <t>84183000</t>
  </si>
  <si>
    <t>84184000</t>
  </si>
  <si>
    <t>84185010</t>
  </si>
  <si>
    <t>84185090</t>
  </si>
  <si>
    <t>84186100</t>
  </si>
  <si>
    <t>84186910</t>
  </si>
  <si>
    <t>84186920</t>
  </si>
  <si>
    <t>84186931</t>
  </si>
  <si>
    <t>84186932</t>
  </si>
  <si>
    <t>84186940</t>
  </si>
  <si>
    <t>84186991</t>
  </si>
  <si>
    <t>84186999</t>
  </si>
  <si>
    <t>84189100</t>
  </si>
  <si>
    <t>84189900</t>
  </si>
  <si>
    <t>84191100</t>
  </si>
  <si>
    <t>84191910</t>
  </si>
  <si>
    <t>84191990</t>
  </si>
  <si>
    <t>84192000</t>
  </si>
  <si>
    <t>84193100</t>
  </si>
  <si>
    <t>84193200</t>
  </si>
  <si>
    <t>84193900</t>
  </si>
  <si>
    <t>84194010</t>
  </si>
  <si>
    <t>84194020</t>
  </si>
  <si>
    <t>84194090</t>
  </si>
  <si>
    <t>84195010</t>
  </si>
  <si>
    <t>84195021</t>
  </si>
  <si>
    <t>84195022</t>
  </si>
  <si>
    <t>84195029</t>
  </si>
  <si>
    <t>84195090</t>
  </si>
  <si>
    <t>84196000</t>
  </si>
  <si>
    <t>84198110</t>
  </si>
  <si>
    <t>84198190</t>
  </si>
  <si>
    <t>84198911</t>
  </si>
  <si>
    <t>84198919</t>
  </si>
  <si>
    <t>84198920</t>
  </si>
  <si>
    <t>84198930</t>
  </si>
  <si>
    <t>84198940</t>
  </si>
  <si>
    <t>84198991</t>
  </si>
  <si>
    <t>84198999</t>
  </si>
  <si>
    <t>84199010</t>
  </si>
  <si>
    <t>84199020</t>
  </si>
  <si>
    <t>84199031</t>
  </si>
  <si>
    <t>84199039</t>
  </si>
  <si>
    <t>84199040</t>
  </si>
  <si>
    <t>84199090</t>
  </si>
  <si>
    <t>84201010</t>
  </si>
  <si>
    <t>84201090</t>
  </si>
  <si>
    <t>84209100</t>
  </si>
  <si>
    <t>84209900</t>
  </si>
  <si>
    <t>84211110</t>
  </si>
  <si>
    <t>84211190</t>
  </si>
  <si>
    <t>84211210</t>
  </si>
  <si>
    <t>84211290</t>
  </si>
  <si>
    <t>84211910</t>
  </si>
  <si>
    <t>84211990</t>
  </si>
  <si>
    <t>84212100</t>
  </si>
  <si>
    <t>84212200</t>
  </si>
  <si>
    <t>84212300</t>
  </si>
  <si>
    <t>84212911</t>
  </si>
  <si>
    <t>84212919</t>
  </si>
  <si>
    <t>84212920</t>
  </si>
  <si>
    <t>84212930</t>
  </si>
  <si>
    <t>84212990</t>
  </si>
  <si>
    <t>84213100</t>
  </si>
  <si>
    <t>84213910</t>
  </si>
  <si>
    <t>84213920</t>
  </si>
  <si>
    <t>84213930</t>
  </si>
  <si>
    <t>84213990</t>
  </si>
  <si>
    <t>84219110</t>
  </si>
  <si>
    <t>84219191</t>
  </si>
  <si>
    <t>84219199</t>
  </si>
  <si>
    <t>84219910</t>
  </si>
  <si>
    <t>84219920</t>
  </si>
  <si>
    <t>84219991</t>
  </si>
  <si>
    <t>84219999</t>
  </si>
  <si>
    <t>84221100</t>
  </si>
  <si>
    <t>84221900</t>
  </si>
  <si>
    <t>84222000</t>
  </si>
  <si>
    <t>84223010</t>
  </si>
  <si>
    <t>84223021</t>
  </si>
  <si>
    <t>84223022</t>
  </si>
  <si>
    <t>84223023</t>
  </si>
  <si>
    <t>84223029</t>
  </si>
  <si>
    <t>84223030</t>
  </si>
  <si>
    <t>84224010</t>
  </si>
  <si>
    <t>84224020</t>
  </si>
  <si>
    <t>84224090</t>
  </si>
  <si>
    <t>84229010</t>
  </si>
  <si>
    <t>84224030</t>
  </si>
  <si>
    <t>84229090</t>
  </si>
  <si>
    <t>84231000</t>
  </si>
  <si>
    <t>84232000</t>
  </si>
  <si>
    <t>84233011</t>
  </si>
  <si>
    <t>84233019</t>
  </si>
  <si>
    <t>84233090</t>
  </si>
  <si>
    <t>84238110</t>
  </si>
  <si>
    <t>84238190</t>
  </si>
  <si>
    <t>84238200</t>
  </si>
  <si>
    <t>84238900</t>
  </si>
  <si>
    <t>84239010</t>
  </si>
  <si>
    <t>84239021</t>
  </si>
  <si>
    <t>84239029</t>
  </si>
  <si>
    <t>84241000</t>
  </si>
  <si>
    <t>84242000</t>
  </si>
  <si>
    <t>84243010</t>
  </si>
  <si>
    <t>84243020</t>
  </si>
  <si>
    <t>84243030</t>
  </si>
  <si>
    <t>84243090</t>
  </si>
  <si>
    <t>84248111</t>
  </si>
  <si>
    <t>84248119</t>
  </si>
  <si>
    <t>84248121</t>
  </si>
  <si>
    <t>84248129</t>
  </si>
  <si>
    <t>84248190</t>
  </si>
  <si>
    <t>84248910</t>
  </si>
  <si>
    <t>84248920</t>
  </si>
  <si>
    <t>84248990</t>
  </si>
  <si>
    <t>84249010</t>
  </si>
  <si>
    <t>84249090</t>
  </si>
  <si>
    <t>84251100</t>
  </si>
  <si>
    <t>84251910</t>
  </si>
  <si>
    <t>84251990</t>
  </si>
  <si>
    <t>84253110</t>
  </si>
  <si>
    <t>84253190</t>
  </si>
  <si>
    <t>84253910</t>
  </si>
  <si>
    <t>84253990</t>
  </si>
  <si>
    <t>84254100</t>
  </si>
  <si>
    <t>84254200</t>
  </si>
  <si>
    <t>84254910</t>
  </si>
  <si>
    <t>84254990</t>
  </si>
  <si>
    <t>84261100</t>
  </si>
  <si>
    <t>84261200</t>
  </si>
  <si>
    <t>84261900</t>
  </si>
  <si>
    <t>84262000</t>
  </si>
  <si>
    <t>84263000</t>
  </si>
  <si>
    <t>84264110</t>
  </si>
  <si>
    <t>84264190</t>
  </si>
  <si>
    <t>84264910</t>
  </si>
  <si>
    <t>84264990</t>
  </si>
  <si>
    <t>84269100</t>
  </si>
  <si>
    <t>84269900</t>
  </si>
  <si>
    <t>84271011</t>
  </si>
  <si>
    <t>84271019</t>
  </si>
  <si>
    <t>84271090</t>
  </si>
  <si>
    <t>84272010</t>
  </si>
  <si>
    <t>84272090</t>
  </si>
  <si>
    <t>84279000</t>
  </si>
  <si>
    <t>84281000</t>
  </si>
  <si>
    <t>84282010</t>
  </si>
  <si>
    <t>84282090</t>
  </si>
  <si>
    <t>84283100</t>
  </si>
  <si>
    <t>84283200</t>
  </si>
  <si>
    <t>84283300</t>
  </si>
  <si>
    <t>84283910</t>
  </si>
  <si>
    <t>84283920</t>
  </si>
  <si>
    <t>84283930</t>
  </si>
  <si>
    <t>84283990</t>
  </si>
  <si>
    <t>84284000</t>
  </si>
  <si>
    <t>84286000</t>
  </si>
  <si>
    <t>84289010</t>
  </si>
  <si>
    <t>84289020</t>
  </si>
  <si>
    <t>84289030</t>
  </si>
  <si>
    <t>84289090</t>
  </si>
  <si>
    <t>84291110</t>
  </si>
  <si>
    <t>84291190</t>
  </si>
  <si>
    <t>84291910</t>
  </si>
  <si>
    <t>84291990</t>
  </si>
  <si>
    <t>84292010</t>
  </si>
  <si>
    <t>84292090</t>
  </si>
  <si>
    <t>84293000</t>
  </si>
  <si>
    <t>84294000</t>
  </si>
  <si>
    <t>84295111</t>
  </si>
  <si>
    <t>84295119</t>
  </si>
  <si>
    <t>84295121</t>
  </si>
  <si>
    <t>84295129</t>
  </si>
  <si>
    <t>84295191</t>
  </si>
  <si>
    <t>84295192</t>
  </si>
  <si>
    <t>84295199</t>
  </si>
  <si>
    <t>84295211</t>
  </si>
  <si>
    <t>84295212</t>
  </si>
  <si>
    <t>84295219</t>
  </si>
  <si>
    <t>84295220</t>
  </si>
  <si>
    <t>84295290</t>
  </si>
  <si>
    <t>84295900</t>
  </si>
  <si>
    <t>84301000</t>
  </si>
  <si>
    <t>84302000</t>
  </si>
  <si>
    <t>84303110</t>
  </si>
  <si>
    <t>84303190</t>
  </si>
  <si>
    <t>84303910</t>
  </si>
  <si>
    <t>84303990</t>
  </si>
  <si>
    <t>84304110</t>
  </si>
  <si>
    <t>84304120</t>
  </si>
  <si>
    <t>84304130</t>
  </si>
  <si>
    <t>84304190</t>
  </si>
  <si>
    <t>84304910</t>
  </si>
  <si>
    <t>84304920</t>
  </si>
  <si>
    <t>84304990</t>
  </si>
  <si>
    <t>84305000</t>
  </si>
  <si>
    <t>84306100</t>
  </si>
  <si>
    <t>84306911</t>
  </si>
  <si>
    <t>84306919</t>
  </si>
  <si>
    <t>84306990</t>
  </si>
  <si>
    <t>84311010</t>
  </si>
  <si>
    <t>84311090</t>
  </si>
  <si>
    <t>84312011</t>
  </si>
  <si>
    <t>84312019</t>
  </si>
  <si>
    <t>84312090</t>
  </si>
  <si>
    <t>84313110</t>
  </si>
  <si>
    <t>84313190</t>
  </si>
  <si>
    <t>84313900</t>
  </si>
  <si>
    <t>84314100</t>
  </si>
  <si>
    <t>84314200</t>
  </si>
  <si>
    <t>84314310</t>
  </si>
  <si>
    <t>84314390</t>
  </si>
  <si>
    <t>84314910</t>
  </si>
  <si>
    <t>84314921</t>
  </si>
  <si>
    <t>84314922</t>
  </si>
  <si>
    <t>84314923</t>
  </si>
  <si>
    <t>84314929</t>
  </si>
  <si>
    <t>84321000</t>
  </si>
  <si>
    <t>84322100</t>
  </si>
  <si>
    <t>84322900</t>
  </si>
  <si>
    <t>84323010</t>
  </si>
  <si>
    <t>84323090</t>
  </si>
  <si>
    <t>84324000</t>
  </si>
  <si>
    <t>84328000</t>
  </si>
  <si>
    <t>84329000</t>
  </si>
  <si>
    <t>84331100</t>
  </si>
  <si>
    <t>84331900</t>
  </si>
  <si>
    <t>84332010</t>
  </si>
  <si>
    <t>84332090</t>
  </si>
  <si>
    <t>84333000</t>
  </si>
  <si>
    <t>84334000</t>
  </si>
  <si>
    <t>84335100</t>
  </si>
  <si>
    <t>84335200</t>
  </si>
  <si>
    <t>84335300</t>
  </si>
  <si>
    <t>84335911</t>
  </si>
  <si>
    <t>84335919</t>
  </si>
  <si>
    <t>84335990</t>
  </si>
  <si>
    <t>84336010</t>
  </si>
  <si>
    <t>84336021</t>
  </si>
  <si>
    <t>84336029</t>
  </si>
  <si>
    <t>84336090</t>
  </si>
  <si>
    <t>84339010</t>
  </si>
  <si>
    <t>84339090</t>
  </si>
  <si>
    <t>84341000</t>
  </si>
  <si>
    <t>84342010</t>
  </si>
  <si>
    <t>84342090</t>
  </si>
  <si>
    <t>84349000</t>
  </si>
  <si>
    <t>84351000</t>
  </si>
  <si>
    <t>84359000</t>
  </si>
  <si>
    <t>84361000</t>
  </si>
  <si>
    <t>84362100</t>
  </si>
  <si>
    <t>84362900</t>
  </si>
  <si>
    <t>84368000</t>
  </si>
  <si>
    <t>84369100</t>
  </si>
  <si>
    <t>84369900</t>
  </si>
  <si>
    <t>84371000</t>
  </si>
  <si>
    <t>84378010</t>
  </si>
  <si>
    <t>84378090</t>
  </si>
  <si>
    <t>84379000</t>
  </si>
  <si>
    <t>84381000</t>
  </si>
  <si>
    <t>84382011</t>
  </si>
  <si>
    <t>84382019</t>
  </si>
  <si>
    <t>84382090</t>
  </si>
  <si>
    <t>84383000</t>
  </si>
  <si>
    <t>84384000</t>
  </si>
  <si>
    <t>84385000</t>
  </si>
  <si>
    <t>84386000</t>
  </si>
  <si>
    <t>84388010</t>
  </si>
  <si>
    <t>84388020</t>
  </si>
  <si>
    <t>84388090</t>
  </si>
  <si>
    <t>84389000</t>
  </si>
  <si>
    <t>84391010</t>
  </si>
  <si>
    <t>84391020</t>
  </si>
  <si>
    <t>84391030</t>
  </si>
  <si>
    <t>84391090</t>
  </si>
  <si>
    <t>84392000</t>
  </si>
  <si>
    <t>84393010</t>
  </si>
  <si>
    <t>84393020</t>
  </si>
  <si>
    <t>84393030</t>
  </si>
  <si>
    <t>84393090</t>
  </si>
  <si>
    <t>84399100</t>
  </si>
  <si>
    <t>84399910</t>
  </si>
  <si>
    <t>84399990</t>
  </si>
  <si>
    <t>84401011</t>
  </si>
  <si>
    <t>84401019</t>
  </si>
  <si>
    <t>84401020</t>
  </si>
  <si>
    <t>84401090</t>
  </si>
  <si>
    <t>84409000</t>
  </si>
  <si>
    <t>84411010</t>
  </si>
  <si>
    <t>84411090</t>
  </si>
  <si>
    <t>84412000</t>
  </si>
  <si>
    <t>84413010</t>
  </si>
  <si>
    <t>84413090</t>
  </si>
  <si>
    <t>84414000</t>
  </si>
  <si>
    <t>84418000</t>
  </si>
  <si>
    <t>84419000</t>
  </si>
  <si>
    <t>84423010</t>
  </si>
  <si>
    <t>84423020</t>
  </si>
  <si>
    <t>84423090</t>
  </si>
  <si>
    <t>84424010</t>
  </si>
  <si>
    <t>84424020</t>
  </si>
  <si>
    <t>84424090</t>
  </si>
  <si>
    <t>84425000</t>
  </si>
  <si>
    <t>84431110</t>
  </si>
  <si>
    <t>84431190</t>
  </si>
  <si>
    <t>84431200</t>
  </si>
  <si>
    <t>84431310</t>
  </si>
  <si>
    <t>84431321</t>
  </si>
  <si>
    <t>84431329</t>
  </si>
  <si>
    <t>84431390</t>
  </si>
  <si>
    <t>84431400</t>
  </si>
  <si>
    <t>84431500</t>
  </si>
  <si>
    <t>84431600</t>
  </si>
  <si>
    <t>84431710</t>
  </si>
  <si>
    <t>84431790</t>
  </si>
  <si>
    <t>84431910</t>
  </si>
  <si>
    <t>84431990</t>
  </si>
  <si>
    <t>84433111</t>
  </si>
  <si>
    <t>84433112</t>
  </si>
  <si>
    <t>84433113</t>
  </si>
  <si>
    <t>84433114</t>
  </si>
  <si>
    <t>84433115</t>
  </si>
  <si>
    <t>84433116</t>
  </si>
  <si>
    <t>84433119</t>
  </si>
  <si>
    <t>84433191</t>
  </si>
  <si>
    <t>84433199</t>
  </si>
  <si>
    <t>84433221</t>
  </si>
  <si>
    <t>84433222</t>
  </si>
  <si>
    <t>84433223</t>
  </si>
  <si>
    <t>84433229</t>
  </si>
  <si>
    <t>84433231</t>
  </si>
  <si>
    <t>84433232</t>
  </si>
  <si>
    <t>84433233</t>
  </si>
  <si>
    <t>84433234</t>
  </si>
  <si>
    <t>84433235</t>
  </si>
  <si>
    <t>84433236</t>
  </si>
  <si>
    <t>84433237</t>
  </si>
  <si>
    <t>84433238</t>
  </si>
  <si>
    <t>84433239</t>
  </si>
  <si>
    <t>84433240</t>
  </si>
  <si>
    <t>84433251</t>
  </si>
  <si>
    <t>84433252</t>
  </si>
  <si>
    <t>84433259</t>
  </si>
  <si>
    <t>84433291</t>
  </si>
  <si>
    <t>84433299</t>
  </si>
  <si>
    <t>84433910</t>
  </si>
  <si>
    <t>84433921</t>
  </si>
  <si>
    <t>84433928</t>
  </si>
  <si>
    <t>84433929</t>
  </si>
  <si>
    <t>84433930</t>
  </si>
  <si>
    <t>84433990</t>
  </si>
  <si>
    <t>84439110</t>
  </si>
  <si>
    <t>84439191</t>
  </si>
  <si>
    <t>84439192</t>
  </si>
  <si>
    <t>84439199</t>
  </si>
  <si>
    <t>84439911</t>
  </si>
  <si>
    <t>84439912</t>
  </si>
  <si>
    <t>84439919</t>
  </si>
  <si>
    <t>84439921</t>
  </si>
  <si>
    <t>84439922</t>
  </si>
  <si>
    <t>84439923</t>
  </si>
  <si>
    <t>84439929</t>
  </si>
  <si>
    <t>84439931</t>
  </si>
  <si>
    <t>84439932</t>
  </si>
  <si>
    <t>84439933</t>
  </si>
  <si>
    <t>84439939</t>
  </si>
  <si>
    <t>84439941</t>
  </si>
  <si>
    <t>84439942</t>
  </si>
  <si>
    <t>84439949</t>
  </si>
  <si>
    <t>84439950</t>
  </si>
  <si>
    <t>84439960</t>
  </si>
  <si>
    <t>84439970</t>
  </si>
  <si>
    <t>84439980</t>
  </si>
  <si>
    <t>84439990</t>
  </si>
  <si>
    <t>84440010</t>
  </si>
  <si>
    <t>84440020</t>
  </si>
  <si>
    <t>84440090</t>
  </si>
  <si>
    <t>84451110</t>
  </si>
  <si>
    <t>84451120</t>
  </si>
  <si>
    <t>84451190</t>
  </si>
  <si>
    <t>84451200</t>
  </si>
  <si>
    <t>84451300</t>
  </si>
  <si>
    <t>84451910</t>
  </si>
  <si>
    <t>84451921</t>
  </si>
  <si>
    <t>84451922</t>
  </si>
  <si>
    <t>84451923</t>
  </si>
  <si>
    <t>84451924</t>
  </si>
  <si>
    <t>84451925</t>
  </si>
  <si>
    <t>84451926</t>
  </si>
  <si>
    <t>84451927</t>
  </si>
  <si>
    <t>84451929</t>
  </si>
  <si>
    <t>84452000</t>
  </si>
  <si>
    <t>84453010</t>
  </si>
  <si>
    <t>84453090</t>
  </si>
  <si>
    <t>84454011</t>
  </si>
  <si>
    <t>84454012</t>
  </si>
  <si>
    <t>84454018</t>
  </si>
  <si>
    <t>84454019</t>
  </si>
  <si>
    <t>84454021</t>
  </si>
  <si>
    <t>84454029</t>
  </si>
  <si>
    <t>84454031</t>
  </si>
  <si>
    <t>84454039</t>
  </si>
  <si>
    <t>84454040</t>
  </si>
  <si>
    <t>84454090</t>
  </si>
  <si>
    <t>84459010</t>
  </si>
  <si>
    <t>84459020</t>
  </si>
  <si>
    <t>84459030</t>
  </si>
  <si>
    <t>84459040</t>
  </si>
  <si>
    <t>84459090</t>
  </si>
  <si>
    <t>84461010</t>
  </si>
  <si>
    <t>84461090</t>
  </si>
  <si>
    <t>84462100</t>
  </si>
  <si>
    <t>84462900</t>
  </si>
  <si>
    <t>84463010</t>
  </si>
  <si>
    <t>84463020</t>
  </si>
  <si>
    <t>84463030</t>
  </si>
  <si>
    <t>84463040</t>
  </si>
  <si>
    <t>84463090</t>
  </si>
  <si>
    <t>84471100</t>
  </si>
  <si>
    <t>84471200</t>
  </si>
  <si>
    <t>84472010</t>
  </si>
  <si>
    <t>84472021</t>
  </si>
  <si>
    <t>84472029</t>
  </si>
  <si>
    <t>84472030</t>
  </si>
  <si>
    <t>84479010</t>
  </si>
  <si>
    <t>84479020</t>
  </si>
  <si>
    <t>84479090</t>
  </si>
  <si>
    <t>84481110</t>
  </si>
  <si>
    <t>84481120</t>
  </si>
  <si>
    <t>84481190</t>
  </si>
  <si>
    <t>84481900</t>
  </si>
  <si>
    <t>84482010</t>
  </si>
  <si>
    <t>84482020</t>
  </si>
  <si>
    <t>84482030</t>
  </si>
  <si>
    <t>84482090</t>
  </si>
  <si>
    <t>84483100</t>
  </si>
  <si>
    <t>84483211</t>
  </si>
  <si>
    <t>84483219</t>
  </si>
  <si>
    <t>84483220</t>
  </si>
  <si>
    <t>84483230</t>
  </si>
  <si>
    <t>84483240</t>
  </si>
  <si>
    <t>84483250</t>
  </si>
  <si>
    <t>84483290</t>
  </si>
  <si>
    <t>84483310</t>
  </si>
  <si>
    <t>84483390</t>
  </si>
  <si>
    <t>84483911</t>
  </si>
  <si>
    <t>84483912</t>
  </si>
  <si>
    <t>84483917</t>
  </si>
  <si>
    <t>84483919</t>
  </si>
  <si>
    <t>84483921</t>
  </si>
  <si>
    <t>84483922</t>
  </si>
  <si>
    <t>84483923</t>
  </si>
  <si>
    <t>84483929</t>
  </si>
  <si>
    <t>84483991</t>
  </si>
  <si>
    <t>84483992</t>
  </si>
  <si>
    <t>84483999</t>
  </si>
  <si>
    <t>84484200</t>
  </si>
  <si>
    <t>84484910</t>
  </si>
  <si>
    <t>84484920</t>
  </si>
  <si>
    <t>84484990</t>
  </si>
  <si>
    <t>84485100</t>
  </si>
  <si>
    <t>84485910</t>
  </si>
  <si>
    <t>84485921</t>
  </si>
  <si>
    <t>84485922</t>
  </si>
  <si>
    <t>84485929</t>
  </si>
  <si>
    <t>84485930</t>
  </si>
  <si>
    <t>84485940</t>
  </si>
  <si>
    <t>84485990</t>
  </si>
  <si>
    <t>84490010</t>
  </si>
  <si>
    <t>84490020</t>
  </si>
  <si>
    <t>84490080</t>
  </si>
  <si>
    <t>84490091</t>
  </si>
  <si>
    <t>84490099</t>
  </si>
  <si>
    <t>84501100</t>
  </si>
  <si>
    <t>84501200</t>
  </si>
  <si>
    <t>84501900</t>
  </si>
  <si>
    <t>84502010</t>
  </si>
  <si>
    <t>84502090</t>
  </si>
  <si>
    <t>84509010</t>
  </si>
  <si>
    <t>84509090</t>
  </si>
  <si>
    <t>84511000</t>
  </si>
  <si>
    <t>84512100</t>
  </si>
  <si>
    <t>84512910</t>
  </si>
  <si>
    <t>84512990</t>
  </si>
  <si>
    <t>84513010</t>
  </si>
  <si>
    <t>84513091</t>
  </si>
  <si>
    <t>84513099</t>
  </si>
  <si>
    <t>84514010</t>
  </si>
  <si>
    <t>84514021</t>
  </si>
  <si>
    <t>84514029</t>
  </si>
  <si>
    <t>84514090</t>
  </si>
  <si>
    <t>84515010</t>
  </si>
  <si>
    <t>84515020</t>
  </si>
  <si>
    <t>84515090</t>
  </si>
  <si>
    <t>84518000</t>
  </si>
  <si>
    <t>84519010</t>
  </si>
  <si>
    <t>84519090</t>
  </si>
  <si>
    <t>84521000</t>
  </si>
  <si>
    <t>84522110</t>
  </si>
  <si>
    <t>84522120</t>
  </si>
  <si>
    <t>84522190</t>
  </si>
  <si>
    <t>84522910</t>
  </si>
  <si>
    <t>84522921</t>
  </si>
  <si>
    <t>84522922</t>
  </si>
  <si>
    <t>84522923</t>
  </si>
  <si>
    <t>84522924</t>
  </si>
  <si>
    <t>84522925</t>
  </si>
  <si>
    <t>84522929</t>
  </si>
  <si>
    <t>84522990</t>
  </si>
  <si>
    <t>84523000</t>
  </si>
  <si>
    <t>84529020</t>
  </si>
  <si>
    <t>84529081</t>
  </si>
  <si>
    <t>84529089</t>
  </si>
  <si>
    <t>84529091</t>
  </si>
  <si>
    <t>84529092</t>
  </si>
  <si>
    <t>84529093</t>
  </si>
  <si>
    <t>84529094</t>
  </si>
  <si>
    <t>84529099</t>
  </si>
  <si>
    <t>84531010</t>
  </si>
  <si>
    <t>84531090</t>
  </si>
  <si>
    <t>84532000</t>
  </si>
  <si>
    <t>84538000</t>
  </si>
  <si>
    <t>84539000</t>
  </si>
  <si>
    <t>84541000</t>
  </si>
  <si>
    <t>84542010</t>
  </si>
  <si>
    <t>84542090</t>
  </si>
  <si>
    <t>84543010</t>
  </si>
  <si>
    <t>84543020</t>
  </si>
  <si>
    <t>84543090</t>
  </si>
  <si>
    <t>84549010</t>
  </si>
  <si>
    <t>84549090</t>
  </si>
  <si>
    <t>84551000</t>
  </si>
  <si>
    <t>84552110</t>
  </si>
  <si>
    <t>84552190</t>
  </si>
  <si>
    <t>84552210</t>
  </si>
  <si>
    <t>84552290</t>
  </si>
  <si>
    <t>84553010</t>
  </si>
  <si>
    <t>84553020</t>
  </si>
  <si>
    <t>84553090</t>
  </si>
  <si>
    <t>84559000</t>
  </si>
  <si>
    <t>84561011</t>
  </si>
  <si>
    <t>84561019</t>
  </si>
  <si>
    <t>84561090</t>
  </si>
  <si>
    <t>84562010</t>
  </si>
  <si>
    <t>84562090</t>
  </si>
  <si>
    <t>84563011</t>
  </si>
  <si>
    <t>84563019</t>
  </si>
  <si>
    <t>84563090</t>
  </si>
  <si>
    <t>84569000</t>
  </si>
  <si>
    <t>84571000</t>
  </si>
  <si>
    <t>84572010</t>
  </si>
  <si>
    <t>84572090</t>
  </si>
  <si>
    <t>84573010</t>
  </si>
  <si>
    <t>84573090</t>
  </si>
  <si>
    <t>84581110</t>
  </si>
  <si>
    <t>84581191</t>
  </si>
  <si>
    <t>84581199</t>
  </si>
  <si>
    <t>84581910</t>
  </si>
  <si>
    <t>84581990</t>
  </si>
  <si>
    <t>84589100</t>
  </si>
  <si>
    <t>84589900</t>
  </si>
  <si>
    <t>84591000</t>
  </si>
  <si>
    <t>84592110</t>
  </si>
  <si>
    <t>84592191</t>
  </si>
  <si>
    <t>84592199</t>
  </si>
  <si>
    <t>84592900</t>
  </si>
  <si>
    <t>84593100</t>
  </si>
  <si>
    <t>84593900</t>
  </si>
  <si>
    <t>84594000</t>
  </si>
  <si>
    <t>84595100</t>
  </si>
  <si>
    <t>84595900</t>
  </si>
  <si>
    <t>84596100</t>
  </si>
  <si>
    <t>84596900</t>
  </si>
  <si>
    <t>84597000</t>
  </si>
  <si>
    <t>84601100</t>
  </si>
  <si>
    <t>84601900</t>
  </si>
  <si>
    <t>84602100</t>
  </si>
  <si>
    <t>84602900</t>
  </si>
  <si>
    <t>84603100</t>
  </si>
  <si>
    <t>84603900</t>
  </si>
  <si>
    <t>84604011</t>
  </si>
  <si>
    <t>84604019</t>
  </si>
  <si>
    <t>84604091</t>
  </si>
  <si>
    <t>84604099</t>
  </si>
  <si>
    <t>84609011</t>
  </si>
  <si>
    <t>84609012</t>
  </si>
  <si>
    <t>84609019</t>
  </si>
  <si>
    <t>84609090</t>
  </si>
  <si>
    <t>84612010</t>
  </si>
  <si>
    <t>84612090</t>
  </si>
  <si>
    <t>84613010</t>
  </si>
  <si>
    <t>84613090</t>
  </si>
  <si>
    <t>84614010</t>
  </si>
  <si>
    <t>84614091</t>
  </si>
  <si>
    <t>84614099</t>
  </si>
  <si>
    <t>84615010</t>
  </si>
  <si>
    <t>84615020</t>
  </si>
  <si>
    <t>84615090</t>
  </si>
  <si>
    <t>84619010</t>
  </si>
  <si>
    <t>84619090</t>
  </si>
  <si>
    <t>84621011</t>
  </si>
  <si>
    <t>84621019</t>
  </si>
  <si>
    <t>84621090</t>
  </si>
  <si>
    <t>84622100</t>
  </si>
  <si>
    <t>84622900</t>
  </si>
  <si>
    <t>84623100</t>
  </si>
  <si>
    <t>84623910</t>
  </si>
  <si>
    <t>84623990</t>
  </si>
  <si>
    <t>84624100</t>
  </si>
  <si>
    <t>84624900</t>
  </si>
  <si>
    <t>84629111</t>
  </si>
  <si>
    <t>84629119</t>
  </si>
  <si>
    <t>84629191</t>
  </si>
  <si>
    <t>84629199</t>
  </si>
  <si>
    <t>84629910</t>
  </si>
  <si>
    <t>84629920</t>
  </si>
  <si>
    <t>84629990</t>
  </si>
  <si>
    <t>84631010</t>
  </si>
  <si>
    <t>84631090</t>
  </si>
  <si>
    <t>84632010</t>
  </si>
  <si>
    <t>84632091</t>
  </si>
  <si>
    <t>84632099</t>
  </si>
  <si>
    <t>84633000</t>
  </si>
  <si>
    <t>84639010</t>
  </si>
  <si>
    <t>84639090</t>
  </si>
  <si>
    <t>84641000</t>
  </si>
  <si>
    <t>84642010</t>
  </si>
  <si>
    <t>84642021</t>
  </si>
  <si>
    <t>84642029</t>
  </si>
  <si>
    <t>84642090</t>
  </si>
  <si>
    <t>84649011</t>
  </si>
  <si>
    <t>84649019</t>
  </si>
  <si>
    <t>84649090</t>
  </si>
  <si>
    <t>84651000</t>
  </si>
  <si>
    <t>84659110</t>
  </si>
  <si>
    <t>84659120</t>
  </si>
  <si>
    <t>84659190</t>
  </si>
  <si>
    <t>84659211</t>
  </si>
  <si>
    <t>84659219</t>
  </si>
  <si>
    <t>84659290</t>
  </si>
  <si>
    <t>84659310</t>
  </si>
  <si>
    <t>84659390</t>
  </si>
  <si>
    <t>84659400</t>
  </si>
  <si>
    <t>84659511</t>
  </si>
  <si>
    <t>84659512</t>
  </si>
  <si>
    <t>84659591</t>
  </si>
  <si>
    <t>84659592</t>
  </si>
  <si>
    <t>84659600</t>
  </si>
  <si>
    <t>84659900</t>
  </si>
  <si>
    <t>84661000</t>
  </si>
  <si>
    <t>84662010</t>
  </si>
  <si>
    <t>84662090</t>
  </si>
  <si>
    <t>84663000</t>
  </si>
  <si>
    <t>84669100</t>
  </si>
  <si>
    <t>84669200</t>
  </si>
  <si>
    <t>84669311</t>
  </si>
  <si>
    <t>84669319</t>
  </si>
  <si>
    <t>84669320</t>
  </si>
  <si>
    <t>84669330</t>
  </si>
  <si>
    <t>84669340</t>
  </si>
  <si>
    <t>84669350</t>
  </si>
  <si>
    <t>84669360</t>
  </si>
  <si>
    <t>84669410</t>
  </si>
  <si>
    <t>84669420</t>
  </si>
  <si>
    <t>84669430</t>
  </si>
  <si>
    <t>84669490</t>
  </si>
  <si>
    <t>84671110</t>
  </si>
  <si>
    <t>84671190</t>
  </si>
  <si>
    <t>84671900</t>
  </si>
  <si>
    <t>84672100</t>
  </si>
  <si>
    <t>84672200</t>
  </si>
  <si>
    <t>84672910</t>
  </si>
  <si>
    <t>84672991</t>
  </si>
  <si>
    <t>84672992</t>
  </si>
  <si>
    <t>84672993</t>
  </si>
  <si>
    <t>84672999</t>
  </si>
  <si>
    <t>84678100</t>
  </si>
  <si>
    <t>84678900</t>
  </si>
  <si>
    <t>84679100</t>
  </si>
  <si>
    <t>84679200</t>
  </si>
  <si>
    <t>84679900</t>
  </si>
  <si>
    <t>84681000</t>
  </si>
  <si>
    <t>84682000</t>
  </si>
  <si>
    <t>84688010</t>
  </si>
  <si>
    <t>84688090</t>
  </si>
  <si>
    <t>84689010</t>
  </si>
  <si>
    <t>84689020</t>
  </si>
  <si>
    <t>84689090</t>
  </si>
  <si>
    <t>84690010</t>
  </si>
  <si>
    <t>84690021</t>
  </si>
  <si>
    <t>84690029</t>
  </si>
  <si>
    <t>84690031</t>
  </si>
  <si>
    <t>84690039</t>
  </si>
  <si>
    <t>84701000</t>
  </si>
  <si>
    <t>84702100</t>
  </si>
  <si>
    <t>84702900</t>
  </si>
  <si>
    <t>84703000</t>
  </si>
  <si>
    <t>84705011</t>
  </si>
  <si>
    <t>84705019</t>
  </si>
  <si>
    <t>84705090</t>
  </si>
  <si>
    <t>84709010</t>
  </si>
  <si>
    <t>84709090</t>
  </si>
  <si>
    <t>84713011</t>
  </si>
  <si>
    <t>84713012</t>
  </si>
  <si>
    <t>84713019</t>
  </si>
  <si>
    <t>84713090</t>
  </si>
  <si>
    <t>84714110</t>
  </si>
  <si>
    <t>84714190</t>
  </si>
  <si>
    <t>84714900</t>
  </si>
  <si>
    <t>84715010</t>
  </si>
  <si>
    <t>84715020</t>
  </si>
  <si>
    <t>84715030</t>
  </si>
  <si>
    <t>84715040</t>
  </si>
  <si>
    <t>84715090</t>
  </si>
  <si>
    <t>84716052</t>
  </si>
  <si>
    <t>84716053</t>
  </si>
  <si>
    <t>84716054</t>
  </si>
  <si>
    <t>84716059</t>
  </si>
  <si>
    <t>84716061</t>
  </si>
  <si>
    <t>84716062</t>
  </si>
  <si>
    <t>84716080</t>
  </si>
  <si>
    <t>84716090</t>
  </si>
  <si>
    <t>84717011</t>
  </si>
  <si>
    <t>84717012</t>
  </si>
  <si>
    <t>84717019</t>
  </si>
  <si>
    <t>84717021</t>
  </si>
  <si>
    <t>84717029</t>
  </si>
  <si>
    <t>84717032</t>
  </si>
  <si>
    <t>84717033</t>
  </si>
  <si>
    <t>84717039</t>
  </si>
  <si>
    <t>84717090</t>
  </si>
  <si>
    <t>84718000</t>
  </si>
  <si>
    <t>84719011</t>
  </si>
  <si>
    <t>84719012</t>
  </si>
  <si>
    <t>84719013</t>
  </si>
  <si>
    <t>84719014</t>
  </si>
  <si>
    <t>84719019</t>
  </si>
  <si>
    <t>84719090</t>
  </si>
  <si>
    <t>84721000</t>
  </si>
  <si>
    <t>84723010</t>
  </si>
  <si>
    <t>84723020</t>
  </si>
  <si>
    <t>84723030</t>
  </si>
  <si>
    <t>84723090</t>
  </si>
  <si>
    <t>84729010</t>
  </si>
  <si>
    <t>84729021</t>
  </si>
  <si>
    <t>84729029</t>
  </si>
  <si>
    <t>84729030</t>
  </si>
  <si>
    <t>84729040</t>
  </si>
  <si>
    <t>84729051</t>
  </si>
  <si>
    <t>84729059</t>
  </si>
  <si>
    <t>84729091</t>
  </si>
  <si>
    <t>84729099</t>
  </si>
  <si>
    <t>84731010</t>
  </si>
  <si>
    <t>84731090</t>
  </si>
  <si>
    <t>84732100</t>
  </si>
  <si>
    <t>84732910</t>
  </si>
  <si>
    <t>84732920</t>
  </si>
  <si>
    <t>84732990</t>
  </si>
  <si>
    <t>84733011</t>
  </si>
  <si>
    <t>84733019</t>
  </si>
  <si>
    <t>84733031</t>
  </si>
  <si>
    <t>84733032</t>
  </si>
  <si>
    <t>84733033</t>
  </si>
  <si>
    <t>84733034</t>
  </si>
  <si>
    <t>84733039</t>
  </si>
  <si>
    <t>84733041</t>
  </si>
  <si>
    <t>84733042</t>
  </si>
  <si>
    <t>84733043</t>
  </si>
  <si>
    <t>84733049</t>
  </si>
  <si>
    <t>84733092</t>
  </si>
  <si>
    <t>84733099</t>
  </si>
  <si>
    <t>84734010</t>
  </si>
  <si>
    <t>84734070</t>
  </si>
  <si>
    <t>84734090</t>
  </si>
  <si>
    <t>84735010</t>
  </si>
  <si>
    <t>84735040</t>
  </si>
  <si>
    <t>84735050</t>
  </si>
  <si>
    <t>84735090</t>
  </si>
  <si>
    <t>84741000</t>
  </si>
  <si>
    <t>84742010</t>
  </si>
  <si>
    <t>84742090</t>
  </si>
  <si>
    <t>84743100</t>
  </si>
  <si>
    <t>84743200</t>
  </si>
  <si>
    <t>84743900</t>
  </si>
  <si>
    <t>84748010</t>
  </si>
  <si>
    <t>84748090</t>
  </si>
  <si>
    <t>84749000</t>
  </si>
  <si>
    <t>84751000</t>
  </si>
  <si>
    <t>84752100</t>
  </si>
  <si>
    <t>84752910</t>
  </si>
  <si>
    <t>84752990</t>
  </si>
  <si>
    <t>84759000</t>
  </si>
  <si>
    <t>84762100</t>
  </si>
  <si>
    <t>84762900</t>
  </si>
  <si>
    <t>84768100</t>
  </si>
  <si>
    <t>84768910</t>
  </si>
  <si>
    <t>84768990</t>
  </si>
  <si>
    <t>84769000</t>
  </si>
  <si>
    <t>84771011</t>
  </si>
  <si>
    <t>84771019</t>
  </si>
  <si>
    <t>84771021</t>
  </si>
  <si>
    <t>84771029</t>
  </si>
  <si>
    <t>84771091</t>
  </si>
  <si>
    <t>84771099</t>
  </si>
  <si>
    <t>84772010</t>
  </si>
  <si>
    <t>84772090</t>
  </si>
  <si>
    <t>84773010</t>
  </si>
  <si>
    <t>84773090</t>
  </si>
  <si>
    <t>84774010</t>
  </si>
  <si>
    <t>84774090</t>
  </si>
  <si>
    <t>84775100</t>
  </si>
  <si>
    <t>84775911</t>
  </si>
  <si>
    <t>84775919</t>
  </si>
  <si>
    <t>84775990</t>
  </si>
  <si>
    <t>84778010</t>
  </si>
  <si>
    <t>84778090</t>
  </si>
  <si>
    <t>84779000</t>
  </si>
  <si>
    <t>84781010</t>
  </si>
  <si>
    <t>84781090</t>
  </si>
  <si>
    <t>84789000</t>
  </si>
  <si>
    <t>84791010</t>
  </si>
  <si>
    <t>84791090</t>
  </si>
  <si>
    <t>84792000</t>
  </si>
  <si>
    <t>84793000</t>
  </si>
  <si>
    <t>84794000</t>
  </si>
  <si>
    <t>84795000</t>
  </si>
  <si>
    <t>84796000</t>
  </si>
  <si>
    <t>84797100</t>
  </si>
  <si>
    <t>84797900</t>
  </si>
  <si>
    <t>84798110</t>
  </si>
  <si>
    <t>84798190</t>
  </si>
  <si>
    <t>84798210</t>
  </si>
  <si>
    <t>84798290</t>
  </si>
  <si>
    <t>84798911</t>
  </si>
  <si>
    <t>84798912</t>
  </si>
  <si>
    <t>84798921</t>
  </si>
  <si>
    <t>84798922</t>
  </si>
  <si>
    <t>84798931</t>
  </si>
  <si>
    <t>84798932</t>
  </si>
  <si>
    <t>84798940</t>
  </si>
  <si>
    <t>84798991</t>
  </si>
  <si>
    <t>84798992</t>
  </si>
  <si>
    <t>84798999</t>
  </si>
  <si>
    <t>84799010</t>
  </si>
  <si>
    <t>84799090</t>
  </si>
  <si>
    <t>84801000</t>
  </si>
  <si>
    <t>84802000</t>
  </si>
  <si>
    <t>84803000</t>
  </si>
  <si>
    <t>84804100</t>
  </si>
  <si>
    <t>84804910</t>
  </si>
  <si>
    <t>84804990</t>
  </si>
  <si>
    <t>84805000</t>
  </si>
  <si>
    <t>84806000</t>
  </si>
  <si>
    <t>84807100</t>
  </si>
  <si>
    <t>84807900</t>
  </si>
  <si>
    <t>84811000</t>
  </si>
  <si>
    <t>84812011</t>
  </si>
  <si>
    <t>84812019</t>
  </si>
  <si>
    <t>84812090</t>
  </si>
  <si>
    <t>84813000</t>
  </si>
  <si>
    <t>84814000</t>
  </si>
  <si>
    <t>84818011</t>
  </si>
  <si>
    <t>84818019</t>
  </si>
  <si>
    <t>84818021</t>
  </si>
  <si>
    <t>84818029</t>
  </si>
  <si>
    <t>84818031</t>
  </si>
  <si>
    <t>84818039</t>
  </si>
  <si>
    <t>84818091</t>
  </si>
  <si>
    <t>84818092</t>
  </si>
  <si>
    <t>84818093</t>
  </si>
  <si>
    <t>84818094</t>
  </si>
  <si>
    <t>84818095</t>
  </si>
  <si>
    <t>84818096</t>
  </si>
  <si>
    <t>84818097</t>
  </si>
  <si>
    <t>84818099</t>
  </si>
  <si>
    <t>84819010</t>
  </si>
  <si>
    <t>84819090</t>
  </si>
  <si>
    <t>84821010</t>
  </si>
  <si>
    <t>84821090</t>
  </si>
  <si>
    <t>84822010</t>
  </si>
  <si>
    <t>84822090</t>
  </si>
  <si>
    <t>84823000</t>
  </si>
  <si>
    <t>84824000</t>
  </si>
  <si>
    <t>84825010</t>
  </si>
  <si>
    <t>84825090</t>
  </si>
  <si>
    <t>84828000</t>
  </si>
  <si>
    <t>84829111</t>
  </si>
  <si>
    <t>84829119</t>
  </si>
  <si>
    <t>84829120</t>
  </si>
  <si>
    <t>84829130</t>
  </si>
  <si>
    <t>84829190</t>
  </si>
  <si>
    <t>84829910</t>
  </si>
  <si>
    <t>84829990</t>
  </si>
  <si>
    <t>84831011</t>
  </si>
  <si>
    <t>84831019</t>
  </si>
  <si>
    <t>84831020</t>
  </si>
  <si>
    <t>84831030</t>
  </si>
  <si>
    <t>84831040</t>
  </si>
  <si>
    <t>84831090</t>
  </si>
  <si>
    <t>84832000</t>
  </si>
  <si>
    <t>84831050</t>
  </si>
  <si>
    <t>84833010</t>
  </si>
  <si>
    <t>84833021</t>
  </si>
  <si>
    <t>84833029</t>
  </si>
  <si>
    <t>84833090</t>
  </si>
  <si>
    <t>84834010</t>
  </si>
  <si>
    <t>84834090</t>
  </si>
  <si>
    <t>84835010</t>
  </si>
  <si>
    <t>84835090</t>
  </si>
  <si>
    <t>84836011</t>
  </si>
  <si>
    <t>84836019</t>
  </si>
  <si>
    <t>84836090</t>
  </si>
  <si>
    <t>84839000</t>
  </si>
  <si>
    <t>84841000</t>
  </si>
  <si>
    <t>84842000</t>
  </si>
  <si>
    <t>84849000</t>
  </si>
  <si>
    <t>84861000</t>
  </si>
  <si>
    <t>84862000</t>
  </si>
  <si>
    <t>84863000</t>
  </si>
  <si>
    <t>84864000</t>
  </si>
  <si>
    <t>84869000</t>
  </si>
  <si>
    <t>84871000</t>
  </si>
  <si>
    <t>84879000</t>
  </si>
  <si>
    <t>85011011</t>
  </si>
  <si>
    <t>85011019</t>
  </si>
  <si>
    <t>85011021</t>
  </si>
  <si>
    <t>85011029</t>
  </si>
  <si>
    <t>85011030</t>
  </si>
  <si>
    <t>85012000</t>
  </si>
  <si>
    <t>85013110</t>
  </si>
  <si>
    <t>85013120</t>
  </si>
  <si>
    <t>85013210</t>
  </si>
  <si>
    <t>85013220</t>
  </si>
  <si>
    <t>85013310</t>
  </si>
  <si>
    <t>85013320</t>
  </si>
  <si>
    <t>85013411</t>
  </si>
  <si>
    <t>85013419</t>
  </si>
  <si>
    <t>85013420</t>
  </si>
  <si>
    <t>85014011</t>
  </si>
  <si>
    <t>85014019</t>
  </si>
  <si>
    <t>85014021</t>
  </si>
  <si>
    <t>85014029</t>
  </si>
  <si>
    <t>85015110</t>
  </si>
  <si>
    <t>85015120</t>
  </si>
  <si>
    <t>85015190</t>
  </si>
  <si>
    <t>85015210</t>
  </si>
  <si>
    <t>85015220</t>
  </si>
  <si>
    <t>85015290</t>
  </si>
  <si>
    <t>85015310</t>
  </si>
  <si>
    <t>85015320</t>
  </si>
  <si>
    <t>85015330</t>
  </si>
  <si>
    <t>85015390</t>
  </si>
  <si>
    <t>85016100</t>
  </si>
  <si>
    <t>85016200</t>
  </si>
  <si>
    <t>85016300</t>
  </si>
  <si>
    <t>85016400</t>
  </si>
  <si>
    <t>85021110</t>
  </si>
  <si>
    <t>85021190</t>
  </si>
  <si>
    <t>85021210</t>
  </si>
  <si>
    <t>85021290</t>
  </si>
  <si>
    <t>85021311</t>
  </si>
  <si>
    <t>85021319</t>
  </si>
  <si>
    <t>85021390</t>
  </si>
  <si>
    <t>85022011</t>
  </si>
  <si>
    <t>85022019</t>
  </si>
  <si>
    <t>85022090</t>
  </si>
  <si>
    <t>85023100</t>
  </si>
  <si>
    <t>85023900</t>
  </si>
  <si>
    <t>85024010</t>
  </si>
  <si>
    <t>85024090</t>
  </si>
  <si>
    <t>85030010</t>
  </si>
  <si>
    <t>85030090</t>
  </si>
  <si>
    <t>85041000</t>
  </si>
  <si>
    <t>85042100</t>
  </si>
  <si>
    <t>85042200</t>
  </si>
  <si>
    <t>85042300</t>
  </si>
  <si>
    <t>85043111</t>
  </si>
  <si>
    <t>85043119</t>
  </si>
  <si>
    <t>85043191</t>
  </si>
  <si>
    <t>85043192</t>
  </si>
  <si>
    <t>85043199</t>
  </si>
  <si>
    <t>85043211</t>
  </si>
  <si>
    <t>85043219</t>
  </si>
  <si>
    <t>85043221</t>
  </si>
  <si>
    <t>85043229</t>
  </si>
  <si>
    <t>85043300</t>
  </si>
  <si>
    <t>85043400</t>
  </si>
  <si>
    <t>85044010</t>
  </si>
  <si>
    <t>85044021</t>
  </si>
  <si>
    <t>85044022</t>
  </si>
  <si>
    <t>85044029</t>
  </si>
  <si>
    <t>85044030</t>
  </si>
  <si>
    <t>85044040</t>
  </si>
  <si>
    <t>85044050</t>
  </si>
  <si>
    <t>85044060</t>
  </si>
  <si>
    <t>85044090</t>
  </si>
  <si>
    <t>85045000</t>
  </si>
  <si>
    <t>85049010</t>
  </si>
  <si>
    <t>85049020</t>
  </si>
  <si>
    <t>85049030</t>
  </si>
  <si>
    <t>85049040</t>
  </si>
  <si>
    <t>85049090</t>
  </si>
  <si>
    <t>85051100</t>
  </si>
  <si>
    <t>85051910</t>
  </si>
  <si>
    <t>85051990</t>
  </si>
  <si>
    <t>85052010</t>
  </si>
  <si>
    <t>85052090</t>
  </si>
  <si>
    <t>85059010</t>
  </si>
  <si>
    <t>85059080</t>
  </si>
  <si>
    <t>85059090</t>
  </si>
  <si>
    <t>85061010</t>
  </si>
  <si>
    <t>85061020</t>
  </si>
  <si>
    <t>85061030</t>
  </si>
  <si>
    <t>85063010</t>
  </si>
  <si>
    <t>85063090</t>
  </si>
  <si>
    <t>85064010</t>
  </si>
  <si>
    <t>85064090</t>
  </si>
  <si>
    <t>85065010</t>
  </si>
  <si>
    <t>85065090</t>
  </si>
  <si>
    <t>85066010</t>
  </si>
  <si>
    <t>85066090</t>
  </si>
  <si>
    <t>85068010</t>
  </si>
  <si>
    <t>85068090</t>
  </si>
  <si>
    <t>85069000</t>
  </si>
  <si>
    <t>85071010</t>
  </si>
  <si>
    <t>85071090</t>
  </si>
  <si>
    <t>85072010</t>
  </si>
  <si>
    <t>85072090</t>
  </si>
  <si>
    <t>85073011</t>
  </si>
  <si>
    <t>85073019</t>
  </si>
  <si>
    <t>85073090</t>
  </si>
  <si>
    <t>85074000</t>
  </si>
  <si>
    <t>85075000</t>
  </si>
  <si>
    <t>85076000</t>
  </si>
  <si>
    <t>85078000</t>
  </si>
  <si>
    <t>85079010</t>
  </si>
  <si>
    <t>85079020</t>
  </si>
  <si>
    <t>85079090</t>
  </si>
  <si>
    <t>85081100</t>
  </si>
  <si>
    <t>85081900</t>
  </si>
  <si>
    <t>85086000</t>
  </si>
  <si>
    <t>85087000</t>
  </si>
  <si>
    <t>85094010</t>
  </si>
  <si>
    <t>85094020</t>
  </si>
  <si>
    <t>85094030</t>
  </si>
  <si>
    <t>85094040</t>
  </si>
  <si>
    <t>85094050</t>
  </si>
  <si>
    <t>85094090</t>
  </si>
  <si>
    <t>85098010</t>
  </si>
  <si>
    <t>85098090</t>
  </si>
  <si>
    <t>85099000</t>
  </si>
  <si>
    <t>85101000</t>
  </si>
  <si>
    <t>85102000</t>
  </si>
  <si>
    <t>85103000</t>
  </si>
  <si>
    <t>85109011</t>
  </si>
  <si>
    <t>85109019</t>
  </si>
  <si>
    <t>85109020</t>
  </si>
  <si>
    <t>85109090</t>
  </si>
  <si>
    <t>85111000</t>
  </si>
  <si>
    <t>85112010</t>
  </si>
  <si>
    <t>85112090</t>
  </si>
  <si>
    <t>85113010</t>
  </si>
  <si>
    <t>85113020</t>
  </si>
  <si>
    <t>85114000</t>
  </si>
  <si>
    <t>85115010</t>
  </si>
  <si>
    <t>85115090</t>
  </si>
  <si>
    <t>85118010</t>
  </si>
  <si>
    <t>85118020</t>
  </si>
  <si>
    <t>85118030</t>
  </si>
  <si>
    <t>85118090</t>
  </si>
  <si>
    <t>85119000</t>
  </si>
  <si>
    <t>85121000</t>
  </si>
  <si>
    <t>85122011</t>
  </si>
  <si>
    <t>85122019</t>
  </si>
  <si>
    <t>85122021</t>
  </si>
  <si>
    <t>85122022</t>
  </si>
  <si>
    <t>85122023</t>
  </si>
  <si>
    <t>85122029</t>
  </si>
  <si>
    <t>85123000</t>
  </si>
  <si>
    <t>85124010</t>
  </si>
  <si>
    <t>85124020</t>
  </si>
  <si>
    <t>85129000</t>
  </si>
  <si>
    <t>85131010</t>
  </si>
  <si>
    <t>85131090</t>
  </si>
  <si>
    <t>85139000</t>
  </si>
  <si>
    <t>85141010</t>
  </si>
  <si>
    <t>85141090</t>
  </si>
  <si>
    <t>85142011</t>
  </si>
  <si>
    <t>85142019</t>
  </si>
  <si>
    <t>85142020</t>
  </si>
  <si>
    <t>85143011</t>
  </si>
  <si>
    <t>85143019</t>
  </si>
  <si>
    <t>85143021</t>
  </si>
  <si>
    <t>85143029</t>
  </si>
  <si>
    <t>85143090</t>
  </si>
  <si>
    <t>85144000</t>
  </si>
  <si>
    <t>85149000</t>
  </si>
  <si>
    <t>85151100</t>
  </si>
  <si>
    <t>85151900</t>
  </si>
  <si>
    <t>85152100</t>
  </si>
  <si>
    <t>85152900</t>
  </si>
  <si>
    <t>85153110</t>
  </si>
  <si>
    <t>85153190</t>
  </si>
  <si>
    <t>85153900</t>
  </si>
  <si>
    <t>85158010</t>
  </si>
  <si>
    <t>85158090</t>
  </si>
  <si>
    <t>85159000</t>
  </si>
  <si>
    <t>85161000</t>
  </si>
  <si>
    <t>85162100</t>
  </si>
  <si>
    <t>85162900</t>
  </si>
  <si>
    <t>85163100</t>
  </si>
  <si>
    <t>85163200</t>
  </si>
  <si>
    <t>85163300</t>
  </si>
  <si>
    <t>85164000</t>
  </si>
  <si>
    <t>85165000</t>
  </si>
  <si>
    <t>85166000</t>
  </si>
  <si>
    <t>85167100</t>
  </si>
  <si>
    <t>85167200</t>
  </si>
  <si>
    <t>85167910</t>
  </si>
  <si>
    <t>85167920</t>
  </si>
  <si>
    <t>85167990</t>
  </si>
  <si>
    <t>85168010</t>
  </si>
  <si>
    <t>85168090</t>
  </si>
  <si>
    <t>85169000</t>
  </si>
  <si>
    <t>85171100</t>
  </si>
  <si>
    <t>85171211</t>
  </si>
  <si>
    <t>85171212</t>
  </si>
  <si>
    <t>85171213</t>
  </si>
  <si>
    <t>85171219</t>
  </si>
  <si>
    <t>85171221</t>
  </si>
  <si>
    <t>85171222</t>
  </si>
  <si>
    <t>85171223</t>
  </si>
  <si>
    <t>85171229</t>
  </si>
  <si>
    <t>85171231</t>
  </si>
  <si>
    <t>85171232</t>
  </si>
  <si>
    <t>85171233</t>
  </si>
  <si>
    <t>85171239</t>
  </si>
  <si>
    <t>85171241</t>
  </si>
  <si>
    <t>85171249</t>
  </si>
  <si>
    <t>85171290</t>
  </si>
  <si>
    <t>85171810</t>
  </si>
  <si>
    <t>85171820</t>
  </si>
  <si>
    <t>85171891</t>
  </si>
  <si>
    <t>85171899</t>
  </si>
  <si>
    <t>85176111</t>
  </si>
  <si>
    <t>85176119</t>
  </si>
  <si>
    <t>85176120</t>
  </si>
  <si>
    <t>85176130</t>
  </si>
  <si>
    <t>85176141</t>
  </si>
  <si>
    <t>85176142</t>
  </si>
  <si>
    <t>85176143</t>
  </si>
  <si>
    <t>85176149</t>
  </si>
  <si>
    <t>85176191</t>
  </si>
  <si>
    <t>85176192</t>
  </si>
  <si>
    <t>85176199</t>
  </si>
  <si>
    <t>85176211</t>
  </si>
  <si>
    <t>85176212</t>
  </si>
  <si>
    <t>85176213</t>
  </si>
  <si>
    <t>85176214</t>
  </si>
  <si>
    <t>85176219</t>
  </si>
  <si>
    <t>85176221</t>
  </si>
  <si>
    <t>85176222</t>
  </si>
  <si>
    <t>85176223</t>
  </si>
  <si>
    <t>85176224</t>
  </si>
  <si>
    <t>85176229</t>
  </si>
  <si>
    <t>85176231</t>
  </si>
  <si>
    <t>85176232</t>
  </si>
  <si>
    <t>85176233</t>
  </si>
  <si>
    <t>85176239</t>
  </si>
  <si>
    <t>85176241</t>
  </si>
  <si>
    <t>85176248</t>
  </si>
  <si>
    <t>85176249</t>
  </si>
  <si>
    <t>85176251</t>
  </si>
  <si>
    <t>85176252</t>
  </si>
  <si>
    <t>85176253</t>
  </si>
  <si>
    <t>85176254</t>
  </si>
  <si>
    <t>85176255</t>
  </si>
  <si>
    <t>85176259</t>
  </si>
  <si>
    <t>85176261</t>
  </si>
  <si>
    <t>85176262</t>
  </si>
  <si>
    <t>85176264</t>
  </si>
  <si>
    <t>85176265</t>
  </si>
  <si>
    <t>85176271</t>
  </si>
  <si>
    <t>85176272</t>
  </si>
  <si>
    <t>85176277</t>
  </si>
  <si>
    <t>85176278</t>
  </si>
  <si>
    <t>85176279</t>
  </si>
  <si>
    <t>85176291</t>
  </si>
  <si>
    <t>85176292</t>
  </si>
  <si>
    <t>85176293</t>
  </si>
  <si>
    <t>85176294</t>
  </si>
  <si>
    <t>85176295</t>
  </si>
  <si>
    <t>85176296</t>
  </si>
  <si>
    <t>85176299</t>
  </si>
  <si>
    <t>85176900</t>
  </si>
  <si>
    <t>85177010</t>
  </si>
  <si>
    <t>85177021</t>
  </si>
  <si>
    <t>85177029</t>
  </si>
  <si>
    <t>85177091</t>
  </si>
  <si>
    <t>85177092</t>
  </si>
  <si>
    <t>85177099</t>
  </si>
  <si>
    <t>85181010</t>
  </si>
  <si>
    <t>85181090</t>
  </si>
  <si>
    <t>85182100</t>
  </si>
  <si>
    <t>85182200</t>
  </si>
  <si>
    <t>85182910</t>
  </si>
  <si>
    <t>85182990</t>
  </si>
  <si>
    <t>85183000</t>
  </si>
  <si>
    <t>85184000</t>
  </si>
  <si>
    <t>85185000</t>
  </si>
  <si>
    <t>85189010</t>
  </si>
  <si>
    <t>85189090</t>
  </si>
  <si>
    <t>85192000</t>
  </si>
  <si>
    <t>85193000</t>
  </si>
  <si>
    <t>85195000</t>
  </si>
  <si>
    <t>85198110</t>
  </si>
  <si>
    <t>85198120</t>
  </si>
  <si>
    <t>85198190</t>
  </si>
  <si>
    <t>85232120</t>
  </si>
  <si>
    <t>85232911</t>
  </si>
  <si>
    <t>85232919</t>
  </si>
  <si>
    <t>85198900</t>
  </si>
  <si>
    <t>85211010</t>
  </si>
  <si>
    <t>85211081</t>
  </si>
  <si>
    <t>85211089</t>
  </si>
  <si>
    <t>85211090</t>
  </si>
  <si>
    <t>85219010</t>
  </si>
  <si>
    <t>85219090</t>
  </si>
  <si>
    <t>85221000</t>
  </si>
  <si>
    <t>85229010</t>
  </si>
  <si>
    <t>85229020</t>
  </si>
  <si>
    <t>85229030</t>
  </si>
  <si>
    <t>85229040</t>
  </si>
  <si>
    <t>85229050</t>
  </si>
  <si>
    <t>85229090</t>
  </si>
  <si>
    <t>85232110</t>
  </si>
  <si>
    <t>85232921</t>
  </si>
  <si>
    <t>85232922</t>
  </si>
  <si>
    <t>85232923</t>
  </si>
  <si>
    <t>85232924</t>
  </si>
  <si>
    <t>85232929</t>
  </si>
  <si>
    <t>85232931</t>
  </si>
  <si>
    <t>85232932</t>
  </si>
  <si>
    <t>85232933</t>
  </si>
  <si>
    <t>85232939</t>
  </si>
  <si>
    <t>85232990</t>
  </si>
  <si>
    <t>85234110</t>
  </si>
  <si>
    <t>85234190</t>
  </si>
  <si>
    <t>85234910</t>
  </si>
  <si>
    <t>85234920</t>
  </si>
  <si>
    <t>85234990</t>
  </si>
  <si>
    <t>85235110</t>
  </si>
  <si>
    <t>85235190</t>
  </si>
  <si>
    <t>85235200</t>
  </si>
  <si>
    <t>85235910</t>
  </si>
  <si>
    <t>85235990</t>
  </si>
  <si>
    <t>85238000</t>
  </si>
  <si>
    <t>85255011</t>
  </si>
  <si>
    <t>85255012</t>
  </si>
  <si>
    <t>85255019</t>
  </si>
  <si>
    <t>85255021</t>
  </si>
  <si>
    <t>85255022</t>
  </si>
  <si>
    <t>85255023</t>
  </si>
  <si>
    <t>85255024</t>
  </si>
  <si>
    <t>85255029</t>
  </si>
  <si>
    <t>85256010</t>
  </si>
  <si>
    <t>85256020</t>
  </si>
  <si>
    <t>85256090</t>
  </si>
  <si>
    <t>85258011</t>
  </si>
  <si>
    <t>85258012</t>
  </si>
  <si>
    <t>85258013</t>
  </si>
  <si>
    <t>85258019</t>
  </si>
  <si>
    <t>85258021</t>
  </si>
  <si>
    <t>85258022</t>
  </si>
  <si>
    <t>85258029</t>
  </si>
  <si>
    <t>85261000</t>
  </si>
  <si>
    <t>85269100</t>
  </si>
  <si>
    <t>85269200</t>
  </si>
  <si>
    <t>85271200</t>
  </si>
  <si>
    <t>85271310</t>
  </si>
  <si>
    <t>85271320</t>
  </si>
  <si>
    <t>85271330</t>
  </si>
  <si>
    <t>85271390</t>
  </si>
  <si>
    <t>85271910</t>
  </si>
  <si>
    <t>85271990</t>
  </si>
  <si>
    <t>85272110</t>
  </si>
  <si>
    <t>85272190</t>
  </si>
  <si>
    <t>85272900</t>
  </si>
  <si>
    <t>85279110</t>
  </si>
  <si>
    <t>85279120</t>
  </si>
  <si>
    <t>85279190</t>
  </si>
  <si>
    <t>85279200</t>
  </si>
  <si>
    <t>85279910</t>
  </si>
  <si>
    <t>85279990</t>
  </si>
  <si>
    <t>85284110</t>
  </si>
  <si>
    <t>85284120</t>
  </si>
  <si>
    <t>85284910</t>
  </si>
  <si>
    <t>85284921</t>
  </si>
  <si>
    <t>85284929</t>
  </si>
  <si>
    <t>85285110</t>
  </si>
  <si>
    <t>85285120</t>
  </si>
  <si>
    <t>85285910</t>
  </si>
  <si>
    <t>85285920</t>
  </si>
  <si>
    <t>85286100</t>
  </si>
  <si>
    <t>85286910</t>
  </si>
  <si>
    <t>85286990</t>
  </si>
  <si>
    <t>85287111</t>
  </si>
  <si>
    <t>85287119</t>
  </si>
  <si>
    <t>85287190</t>
  </si>
  <si>
    <t>85287200</t>
  </si>
  <si>
    <t>85287300</t>
  </si>
  <si>
    <t>85291011</t>
  </si>
  <si>
    <t>85291019</t>
  </si>
  <si>
    <t>85291090</t>
  </si>
  <si>
    <t>85299011</t>
  </si>
  <si>
    <t>85299012</t>
  </si>
  <si>
    <t>85299019</t>
  </si>
  <si>
    <t>85299020</t>
  </si>
  <si>
    <t>85299030</t>
  </si>
  <si>
    <t>85299040</t>
  </si>
  <si>
    <t>85299090</t>
  </si>
  <si>
    <t>85301010</t>
  </si>
  <si>
    <t>85301090</t>
  </si>
  <si>
    <t>85308010</t>
  </si>
  <si>
    <t>85308090</t>
  </si>
  <si>
    <t>85309000</t>
  </si>
  <si>
    <t>85311010</t>
  </si>
  <si>
    <t>85311090</t>
  </si>
  <si>
    <t>85312000</t>
  </si>
  <si>
    <t>85318000</t>
  </si>
  <si>
    <t>85319000</t>
  </si>
  <si>
    <t>85321000</t>
  </si>
  <si>
    <t>85322111</t>
  </si>
  <si>
    <t>85322119</t>
  </si>
  <si>
    <t>85322190</t>
  </si>
  <si>
    <t>85322200</t>
  </si>
  <si>
    <t>85322310</t>
  </si>
  <si>
    <t>85322390</t>
  </si>
  <si>
    <t>85322410</t>
  </si>
  <si>
    <t>85322490</t>
  </si>
  <si>
    <t>85322510</t>
  </si>
  <si>
    <t>85322590</t>
  </si>
  <si>
    <t>85322910</t>
  </si>
  <si>
    <t>85322990</t>
  </si>
  <si>
    <t>85323010</t>
  </si>
  <si>
    <t>85323090</t>
  </si>
  <si>
    <t>85329000</t>
  </si>
  <si>
    <t>85331000</t>
  </si>
  <si>
    <t>85332110</t>
  </si>
  <si>
    <t>85332120</t>
  </si>
  <si>
    <t>85332190</t>
  </si>
  <si>
    <t>85332900</t>
  </si>
  <si>
    <t>85333110</t>
  </si>
  <si>
    <t>85333190</t>
  </si>
  <si>
    <t>85333910</t>
  </si>
  <si>
    <t>85333990</t>
  </si>
  <si>
    <t>85334011</t>
  </si>
  <si>
    <t>85334012</t>
  </si>
  <si>
    <t>85334019</t>
  </si>
  <si>
    <t>85334091</t>
  </si>
  <si>
    <t>85334092</t>
  </si>
  <si>
    <t>85334099</t>
  </si>
  <si>
    <t>85339000</t>
  </si>
  <si>
    <t>85340011</t>
  </si>
  <si>
    <t>85340012</t>
  </si>
  <si>
    <t>85340013</t>
  </si>
  <si>
    <t>85340019</t>
  </si>
  <si>
    <t>85340020</t>
  </si>
  <si>
    <t>85340031</t>
  </si>
  <si>
    <t>85340032</t>
  </si>
  <si>
    <t>85340033</t>
  </si>
  <si>
    <t>85340039</t>
  </si>
  <si>
    <t>85340040</t>
  </si>
  <si>
    <t>85340051</t>
  </si>
  <si>
    <t>85340059</t>
  </si>
  <si>
    <t>85351000</t>
  </si>
  <si>
    <t>85352100</t>
  </si>
  <si>
    <t>85352900</t>
  </si>
  <si>
    <t>85353013</t>
  </si>
  <si>
    <t>85353017</t>
  </si>
  <si>
    <t>85353018</t>
  </si>
  <si>
    <t>85353019</t>
  </si>
  <si>
    <t>85353023</t>
  </si>
  <si>
    <t>85353027</t>
  </si>
  <si>
    <t>85353028</t>
  </si>
  <si>
    <t>85353029</t>
  </si>
  <si>
    <t>85354010</t>
  </si>
  <si>
    <t>85354090</t>
  </si>
  <si>
    <t>85359000</t>
  </si>
  <si>
    <t>85361000</t>
  </si>
  <si>
    <t>85362000</t>
  </si>
  <si>
    <t>85363000</t>
  </si>
  <si>
    <t>85364100</t>
  </si>
  <si>
    <t>85364900</t>
  </si>
  <si>
    <t>85365010</t>
  </si>
  <si>
    <t>85365020</t>
  </si>
  <si>
    <t>85365030</t>
  </si>
  <si>
    <t>85365090</t>
  </si>
  <si>
    <t>85366100</t>
  </si>
  <si>
    <t>85366910</t>
  </si>
  <si>
    <t>85366990</t>
  </si>
  <si>
    <t>85367000</t>
  </si>
  <si>
    <t>85369010</t>
  </si>
  <si>
    <t>85369020</t>
  </si>
  <si>
    <t>85369030</t>
  </si>
  <si>
    <t>85369040</t>
  </si>
  <si>
    <t>85369050</t>
  </si>
  <si>
    <t>85369090</t>
  </si>
  <si>
    <t>85371011</t>
  </si>
  <si>
    <t>85371019</t>
  </si>
  <si>
    <t>85371020</t>
  </si>
  <si>
    <t>85371030</t>
  </si>
  <si>
    <t>85371090</t>
  </si>
  <si>
    <t>85372010</t>
  </si>
  <si>
    <t>85372090</t>
  </si>
  <si>
    <t>85381000</t>
  </si>
  <si>
    <t>85389010</t>
  </si>
  <si>
    <t>85389020</t>
  </si>
  <si>
    <t>85389090</t>
  </si>
  <si>
    <t>85391010</t>
  </si>
  <si>
    <t>85391090</t>
  </si>
  <si>
    <t>85392110</t>
  </si>
  <si>
    <t>85392190</t>
  </si>
  <si>
    <t>85392200</t>
  </si>
  <si>
    <t>85392910</t>
  </si>
  <si>
    <t>85392990</t>
  </si>
  <si>
    <t>85393100</t>
  </si>
  <si>
    <t>85393200</t>
  </si>
  <si>
    <t>85393900</t>
  </si>
  <si>
    <t>85394110</t>
  </si>
  <si>
    <t>85394190</t>
  </si>
  <si>
    <t>85394900</t>
  </si>
  <si>
    <t>85399010</t>
  </si>
  <si>
    <t>85399020</t>
  </si>
  <si>
    <t>85399090</t>
  </si>
  <si>
    <t>85401100</t>
  </si>
  <si>
    <t>85401200</t>
  </si>
  <si>
    <t>85402011</t>
  </si>
  <si>
    <t>85402019</t>
  </si>
  <si>
    <t>85402020</t>
  </si>
  <si>
    <t>85402090</t>
  </si>
  <si>
    <t>85404000</t>
  </si>
  <si>
    <t>85406010</t>
  </si>
  <si>
    <t>85406090</t>
  </si>
  <si>
    <t>85407100</t>
  </si>
  <si>
    <t>85407900</t>
  </si>
  <si>
    <t>85408100</t>
  </si>
  <si>
    <t>85408910</t>
  </si>
  <si>
    <t>85408990</t>
  </si>
  <si>
    <t>85409110</t>
  </si>
  <si>
    <t>85409120</t>
  </si>
  <si>
    <t>85409130</t>
  </si>
  <si>
    <t>85409140</t>
  </si>
  <si>
    <t>85409190</t>
  </si>
  <si>
    <t>85409900</t>
  </si>
  <si>
    <t>85411011</t>
  </si>
  <si>
    <t>85411012</t>
  </si>
  <si>
    <t>85411019</t>
  </si>
  <si>
    <t>85411021</t>
  </si>
  <si>
    <t>85411022</t>
  </si>
  <si>
    <t>85411029</t>
  </si>
  <si>
    <t>85411091</t>
  </si>
  <si>
    <t>85411092</t>
  </si>
  <si>
    <t>85411099</t>
  </si>
  <si>
    <t>85412110</t>
  </si>
  <si>
    <t>85412120</t>
  </si>
  <si>
    <t>85412191</t>
  </si>
  <si>
    <t>85412199</t>
  </si>
  <si>
    <t>85412910</t>
  </si>
  <si>
    <t>85412920</t>
  </si>
  <si>
    <t>85413011</t>
  </si>
  <si>
    <t>85413019</t>
  </si>
  <si>
    <t>85413021</t>
  </si>
  <si>
    <t>85413029</t>
  </si>
  <si>
    <t>85414011</t>
  </si>
  <si>
    <t>85414012</t>
  </si>
  <si>
    <t>85414013</t>
  </si>
  <si>
    <t>85414014</t>
  </si>
  <si>
    <t>85414015</t>
  </si>
  <si>
    <t>85414016</t>
  </si>
  <si>
    <t>85414019</t>
  </si>
  <si>
    <t>85414021</t>
  </si>
  <si>
    <t>85414022</t>
  </si>
  <si>
    <t>85414023</t>
  </si>
  <si>
    <t>85414024</t>
  </si>
  <si>
    <t>85414025</t>
  </si>
  <si>
    <t>85414026</t>
  </si>
  <si>
    <t>85414027</t>
  </si>
  <si>
    <t>85414029</t>
  </si>
  <si>
    <t>85414031</t>
  </si>
  <si>
    <t>85414032</t>
  </si>
  <si>
    <t>85414039</t>
  </si>
  <si>
    <t>85415010</t>
  </si>
  <si>
    <t>85415020</t>
  </si>
  <si>
    <t>85416010</t>
  </si>
  <si>
    <t>85416090</t>
  </si>
  <si>
    <t>85419010</t>
  </si>
  <si>
    <t>85419020</t>
  </si>
  <si>
    <t>85419090</t>
  </si>
  <si>
    <t>85423110</t>
  </si>
  <si>
    <t>85423120</t>
  </si>
  <si>
    <t>85423190</t>
  </si>
  <si>
    <t>85423210</t>
  </si>
  <si>
    <t>85423221</t>
  </si>
  <si>
    <t>85423229</t>
  </si>
  <si>
    <t>85423291</t>
  </si>
  <si>
    <t>85423299</t>
  </si>
  <si>
    <t>85423311</t>
  </si>
  <si>
    <t>85423319</t>
  </si>
  <si>
    <t>85423320</t>
  </si>
  <si>
    <t>85423390</t>
  </si>
  <si>
    <t>85423911</t>
  </si>
  <si>
    <t>85423919</t>
  </si>
  <si>
    <t>85423920</t>
  </si>
  <si>
    <t>85423931</t>
  </si>
  <si>
    <t>85423939</t>
  </si>
  <si>
    <t>85423991</t>
  </si>
  <si>
    <t>85423999</t>
  </si>
  <si>
    <t>85429010</t>
  </si>
  <si>
    <t>85429020</t>
  </si>
  <si>
    <t>85429090</t>
  </si>
  <si>
    <t>85431000</t>
  </si>
  <si>
    <t>85432000</t>
  </si>
  <si>
    <t>85433000</t>
  </si>
  <si>
    <t>85437011</t>
  </si>
  <si>
    <t>85437012</t>
  </si>
  <si>
    <t>85437013</t>
  </si>
  <si>
    <t>85437014</t>
  </si>
  <si>
    <t>85437015</t>
  </si>
  <si>
    <t>85437019</t>
  </si>
  <si>
    <t>85437020</t>
  </si>
  <si>
    <t>85437031</t>
  </si>
  <si>
    <t>85437032</t>
  </si>
  <si>
    <t>85437033</t>
  </si>
  <si>
    <t>85437034</t>
  </si>
  <si>
    <t>85437035</t>
  </si>
  <si>
    <t>85437036</t>
  </si>
  <si>
    <t>85437039</t>
  </si>
  <si>
    <t>85437040</t>
  </si>
  <si>
    <t>85437050</t>
  </si>
  <si>
    <t>85437091</t>
  </si>
  <si>
    <t>85437092</t>
  </si>
  <si>
    <t>85437099</t>
  </si>
  <si>
    <t>85439010</t>
  </si>
  <si>
    <t>85439090</t>
  </si>
  <si>
    <t>85441100</t>
  </si>
  <si>
    <t>85441910</t>
  </si>
  <si>
    <t>85441990</t>
  </si>
  <si>
    <t>85442000</t>
  </si>
  <si>
    <t>85443000</t>
  </si>
  <si>
    <t>85444200</t>
  </si>
  <si>
    <t>85444900</t>
  </si>
  <si>
    <t>85446000</t>
  </si>
  <si>
    <t>85447010</t>
  </si>
  <si>
    <t>85447020</t>
  </si>
  <si>
    <t>85447030</t>
  </si>
  <si>
    <t>85447090</t>
  </si>
  <si>
    <t>85451100</t>
  </si>
  <si>
    <t>85451910</t>
  </si>
  <si>
    <t>85451920</t>
  </si>
  <si>
    <t>85451990</t>
  </si>
  <si>
    <t>85452000</t>
  </si>
  <si>
    <t>85459010</t>
  </si>
  <si>
    <t>85459020</t>
  </si>
  <si>
    <t>85459030</t>
  </si>
  <si>
    <t>85459090</t>
  </si>
  <si>
    <t>85461000</t>
  </si>
  <si>
    <t>85462000</t>
  </si>
  <si>
    <t>85469000</t>
  </si>
  <si>
    <t>85471000</t>
  </si>
  <si>
    <t>85472010</t>
  </si>
  <si>
    <t>85472090</t>
  </si>
  <si>
    <t>85479000</t>
  </si>
  <si>
    <t>85481010</t>
  </si>
  <si>
    <t>85481090</t>
  </si>
  <si>
    <t>85489010</t>
  </si>
  <si>
    <t>85489090</t>
  </si>
  <si>
    <t>86011000</t>
  </si>
  <si>
    <t>86012000</t>
  </si>
  <si>
    <t>86021000</t>
  </si>
  <si>
    <t>86029000</t>
  </si>
  <si>
    <t>86031000</t>
  </si>
  <si>
    <t>86039000</t>
  </si>
  <si>
    <t>86040010</t>
  </si>
  <si>
    <t>86040090</t>
  </si>
  <si>
    <t>86050010</t>
  </si>
  <si>
    <t>86050090</t>
  </si>
  <si>
    <t>86061000</t>
  </si>
  <si>
    <t>86063000</t>
  </si>
  <si>
    <t>86069100</t>
  </si>
  <si>
    <t>86069200</t>
  </si>
  <si>
    <t>86069900</t>
  </si>
  <si>
    <t>86071110</t>
  </si>
  <si>
    <t>86071120</t>
  </si>
  <si>
    <t>86071200</t>
  </si>
  <si>
    <t>86071911</t>
  </si>
  <si>
    <t>86071919</t>
  </si>
  <si>
    <t>86071990</t>
  </si>
  <si>
    <t>86072100</t>
  </si>
  <si>
    <t>86072900</t>
  </si>
  <si>
    <t>86073000</t>
  </si>
  <si>
    <t>86079100</t>
  </si>
  <si>
    <t>86079900</t>
  </si>
  <si>
    <t>86080011</t>
  </si>
  <si>
    <t>86080012</t>
  </si>
  <si>
    <t>86080090</t>
  </si>
  <si>
    <t>86090000</t>
  </si>
  <si>
    <t>87011000</t>
  </si>
  <si>
    <t>87012000</t>
  </si>
  <si>
    <t>87013000</t>
  </si>
  <si>
    <t>87019010</t>
  </si>
  <si>
    <t>87019090</t>
  </si>
  <si>
    <t>87021000</t>
  </si>
  <si>
    <t>87029010</t>
  </si>
  <si>
    <t>87029090</t>
  </si>
  <si>
    <t>87031000</t>
  </si>
  <si>
    <t>87032100</t>
  </si>
  <si>
    <t>87032210</t>
  </si>
  <si>
    <t>87032290</t>
  </si>
  <si>
    <t>87032310</t>
  </si>
  <si>
    <t>87032390</t>
  </si>
  <si>
    <t>87032410</t>
  </si>
  <si>
    <t>87032490</t>
  </si>
  <si>
    <t>87033110</t>
  </si>
  <si>
    <t>87033190</t>
  </si>
  <si>
    <t>87033210</t>
  </si>
  <si>
    <t>87033290</t>
  </si>
  <si>
    <t>87033310</t>
  </si>
  <si>
    <t>87033390</t>
  </si>
  <si>
    <t>87039000</t>
  </si>
  <si>
    <t>87041010</t>
  </si>
  <si>
    <t>87041090</t>
  </si>
  <si>
    <t>87042110</t>
  </si>
  <si>
    <t>87042120</t>
  </si>
  <si>
    <t>87042130</t>
  </si>
  <si>
    <t>87042190</t>
  </si>
  <si>
    <t>87042210</t>
  </si>
  <si>
    <t>87042220</t>
  </si>
  <si>
    <t>87042230</t>
  </si>
  <si>
    <t>87042290</t>
  </si>
  <si>
    <t>87042310</t>
  </si>
  <si>
    <t>87042320</t>
  </si>
  <si>
    <t>87042330</t>
  </si>
  <si>
    <t>87042390</t>
  </si>
  <si>
    <t>87043110</t>
  </si>
  <si>
    <t>87043120</t>
  </si>
  <si>
    <t>87043130</t>
  </si>
  <si>
    <t>87043190</t>
  </si>
  <si>
    <t>87043210</t>
  </si>
  <si>
    <t>87043220</t>
  </si>
  <si>
    <t>87043230</t>
  </si>
  <si>
    <t>87043290</t>
  </si>
  <si>
    <t>87049000</t>
  </si>
  <si>
    <t>87051010</t>
  </si>
  <si>
    <t>87051090</t>
  </si>
  <si>
    <t>87052000</t>
  </si>
  <si>
    <t>87053000</t>
  </si>
  <si>
    <t>87054000</t>
  </si>
  <si>
    <t>87059010</t>
  </si>
  <si>
    <t>87059090</t>
  </si>
  <si>
    <t>87060010</t>
  </si>
  <si>
    <t>87060020</t>
  </si>
  <si>
    <t>87060090</t>
  </si>
  <si>
    <t>87071000</t>
  </si>
  <si>
    <t>87079010</t>
  </si>
  <si>
    <t>87079090</t>
  </si>
  <si>
    <t>87081000</t>
  </si>
  <si>
    <t>87082100</t>
  </si>
  <si>
    <t>87082911</t>
  </si>
  <si>
    <t>87082912</t>
  </si>
  <si>
    <t>87082913</t>
  </si>
  <si>
    <t>87082914</t>
  </si>
  <si>
    <t>87082919</t>
  </si>
  <si>
    <t>87082991</t>
  </si>
  <si>
    <t>87082992</t>
  </si>
  <si>
    <t>87082993</t>
  </si>
  <si>
    <t>87082994</t>
  </si>
  <si>
    <t>87082995</t>
  </si>
  <si>
    <t>87082999</t>
  </si>
  <si>
    <t>87083011</t>
  </si>
  <si>
    <t>87083019</t>
  </si>
  <si>
    <t>87083090</t>
  </si>
  <si>
    <t>87084011</t>
  </si>
  <si>
    <t>87084019</t>
  </si>
  <si>
    <t>87084080</t>
  </si>
  <si>
    <t>87084090</t>
  </si>
  <si>
    <t>87085011</t>
  </si>
  <si>
    <t>87085012</t>
  </si>
  <si>
    <t>87085019</t>
  </si>
  <si>
    <t>87085080</t>
  </si>
  <si>
    <t>87085091</t>
  </si>
  <si>
    <t>87085099</t>
  </si>
  <si>
    <t>87087010</t>
  </si>
  <si>
    <t>87087090</t>
  </si>
  <si>
    <t>87088000</t>
  </si>
  <si>
    <t>87089100</t>
  </si>
  <si>
    <t>87089200</t>
  </si>
  <si>
    <t>87089300</t>
  </si>
  <si>
    <t>87089411</t>
  </si>
  <si>
    <t>87089412</t>
  </si>
  <si>
    <t>87089413</t>
  </si>
  <si>
    <t>87089481</t>
  </si>
  <si>
    <t>87089482</t>
  </si>
  <si>
    <t>87089483</t>
  </si>
  <si>
    <t>87089490</t>
  </si>
  <si>
    <t>87089510</t>
  </si>
  <si>
    <t>87089521</t>
  </si>
  <si>
    <t>87089522</t>
  </si>
  <si>
    <t>87089529</t>
  </si>
  <si>
    <t>87089910</t>
  </si>
  <si>
    <t>87089990</t>
  </si>
  <si>
    <t>87091100</t>
  </si>
  <si>
    <t>87091900</t>
  </si>
  <si>
    <t>87099000</t>
  </si>
  <si>
    <t>87100000</t>
  </si>
  <si>
    <t>87111000</t>
  </si>
  <si>
    <t>87112010</t>
  </si>
  <si>
    <t>87112020</t>
  </si>
  <si>
    <t>87112090</t>
  </si>
  <si>
    <t>87113000</t>
  </si>
  <si>
    <t>87114000</t>
  </si>
  <si>
    <t>87115000</t>
  </si>
  <si>
    <t>87119000</t>
  </si>
  <si>
    <t>87120010</t>
  </si>
  <si>
    <t>87120090</t>
  </si>
  <si>
    <t>87131000</t>
  </si>
  <si>
    <t>87139000</t>
  </si>
  <si>
    <t>87141000</t>
  </si>
  <si>
    <t>87142000</t>
  </si>
  <si>
    <t>87149100</t>
  </si>
  <si>
    <t>87149200</t>
  </si>
  <si>
    <t>87149310</t>
  </si>
  <si>
    <t>87149320</t>
  </si>
  <si>
    <t>87149410</t>
  </si>
  <si>
    <t>87149490</t>
  </si>
  <si>
    <t>87149500</t>
  </si>
  <si>
    <t>87149600</t>
  </si>
  <si>
    <t>87149910</t>
  </si>
  <si>
    <t>87149990</t>
  </si>
  <si>
    <t>87150000</t>
  </si>
  <si>
    <t>87161000</t>
  </si>
  <si>
    <t>87162000</t>
  </si>
  <si>
    <t>87163100</t>
  </si>
  <si>
    <t>87163900</t>
  </si>
  <si>
    <t>87164000</t>
  </si>
  <si>
    <t>87168000</t>
  </si>
  <si>
    <t>87169010</t>
  </si>
  <si>
    <t>87169090</t>
  </si>
  <si>
    <t>88010000</t>
  </si>
  <si>
    <t>88021100</t>
  </si>
  <si>
    <t>88021210</t>
  </si>
  <si>
    <t>88021290</t>
  </si>
  <si>
    <t>88022010</t>
  </si>
  <si>
    <t>88022021</t>
  </si>
  <si>
    <t>88022022</t>
  </si>
  <si>
    <t>88022090</t>
  </si>
  <si>
    <t>88023010</t>
  </si>
  <si>
    <t>88023021</t>
  </si>
  <si>
    <t>88023029</t>
  </si>
  <si>
    <t>88023031</t>
  </si>
  <si>
    <t>88023039</t>
  </si>
  <si>
    <t>88023090</t>
  </si>
  <si>
    <t>88024010</t>
  </si>
  <si>
    <t>88024090</t>
  </si>
  <si>
    <t>88026000</t>
  </si>
  <si>
    <t>88031000</t>
  </si>
  <si>
    <t>88032000</t>
  </si>
  <si>
    <t>88033000</t>
  </si>
  <si>
    <t>88039000</t>
  </si>
  <si>
    <t>88040000</t>
  </si>
  <si>
    <t>88051000</t>
  </si>
  <si>
    <t>88052100</t>
  </si>
  <si>
    <t>88052900</t>
  </si>
  <si>
    <t>89011000</t>
  </si>
  <si>
    <t>89012000</t>
  </si>
  <si>
    <t>89013000</t>
  </si>
  <si>
    <t>89019000</t>
  </si>
  <si>
    <t>89020010</t>
  </si>
  <si>
    <t>89020090</t>
  </si>
  <si>
    <t>89031000</t>
  </si>
  <si>
    <t>89039100</t>
  </si>
  <si>
    <t>89039200</t>
  </si>
  <si>
    <t>89039900</t>
  </si>
  <si>
    <t>89040000</t>
  </si>
  <si>
    <t>89051000</t>
  </si>
  <si>
    <t>89052000</t>
  </si>
  <si>
    <t>89059000</t>
  </si>
  <si>
    <t>89061000</t>
  </si>
  <si>
    <t>89069000</t>
  </si>
  <si>
    <t>89071000</t>
  </si>
  <si>
    <t>89079000</t>
  </si>
  <si>
    <t>89080000</t>
  </si>
  <si>
    <t>90011011</t>
  </si>
  <si>
    <t>90011019</t>
  </si>
  <si>
    <t>90011020</t>
  </si>
  <si>
    <t>90012000</t>
  </si>
  <si>
    <t>90013000</t>
  </si>
  <si>
    <t>90014000</t>
  </si>
  <si>
    <t>90015000</t>
  </si>
  <si>
    <t>90019010</t>
  </si>
  <si>
    <t>90019090</t>
  </si>
  <si>
    <t>90021110</t>
  </si>
  <si>
    <t>90021120</t>
  </si>
  <si>
    <t>90021190</t>
  </si>
  <si>
    <t>90021900</t>
  </si>
  <si>
    <t>90022010</t>
  </si>
  <si>
    <t>90022090</t>
  </si>
  <si>
    <t>90029000</t>
  </si>
  <si>
    <t>90031100</t>
  </si>
  <si>
    <t>90031910</t>
  </si>
  <si>
    <t>90031990</t>
  </si>
  <si>
    <t>90039010</t>
  </si>
  <si>
    <t>90039090</t>
  </si>
  <si>
    <t>90041000</t>
  </si>
  <si>
    <t>90049010</t>
  </si>
  <si>
    <t>90049020</t>
  </si>
  <si>
    <t>90049090</t>
  </si>
  <si>
    <t>90051000</t>
  </si>
  <si>
    <t>90058000</t>
  </si>
  <si>
    <t>90059010</t>
  </si>
  <si>
    <t>90059090</t>
  </si>
  <si>
    <t>90061010</t>
  </si>
  <si>
    <t>90061090</t>
  </si>
  <si>
    <t>90063000</t>
  </si>
  <si>
    <t>90064000</t>
  </si>
  <si>
    <t>90065100</t>
  </si>
  <si>
    <t>90065200</t>
  </si>
  <si>
    <t>90065310</t>
  </si>
  <si>
    <t>90065320</t>
  </si>
  <si>
    <t>90065910</t>
  </si>
  <si>
    <t>90065921</t>
  </si>
  <si>
    <t>90065929</t>
  </si>
  <si>
    <t>90066100</t>
  </si>
  <si>
    <t>90066900</t>
  </si>
  <si>
    <t>90069110</t>
  </si>
  <si>
    <t>90069190</t>
  </si>
  <si>
    <t>90069900</t>
  </si>
  <si>
    <t>90071000</t>
  </si>
  <si>
    <t>90072020</t>
  </si>
  <si>
    <t>90072090</t>
  </si>
  <si>
    <t>90079100</t>
  </si>
  <si>
    <t>90079200</t>
  </si>
  <si>
    <t>90085000</t>
  </si>
  <si>
    <t>90089000</t>
  </si>
  <si>
    <t>90101010</t>
  </si>
  <si>
    <t>90101020</t>
  </si>
  <si>
    <t>90101090</t>
  </si>
  <si>
    <t>90105010</t>
  </si>
  <si>
    <t>90105020</t>
  </si>
  <si>
    <t>90105090</t>
  </si>
  <si>
    <t>90106000</t>
  </si>
  <si>
    <t>90109010</t>
  </si>
  <si>
    <t>90109090</t>
  </si>
  <si>
    <t>90111000</t>
  </si>
  <si>
    <t>90112010</t>
  </si>
  <si>
    <t>90112020</t>
  </si>
  <si>
    <t>90112030</t>
  </si>
  <si>
    <t>90118010</t>
  </si>
  <si>
    <t>90118090</t>
  </si>
  <si>
    <t>90119010</t>
  </si>
  <si>
    <t>90119090</t>
  </si>
  <si>
    <t>90121010</t>
  </si>
  <si>
    <t>90121090</t>
  </si>
  <si>
    <t>90129010</t>
  </si>
  <si>
    <t>90129090</t>
  </si>
  <si>
    <t>90131010</t>
  </si>
  <si>
    <t>90131090</t>
  </si>
  <si>
    <t>90132000</t>
  </si>
  <si>
    <t>90138010</t>
  </si>
  <si>
    <t>90138090</t>
  </si>
  <si>
    <t>90139000</t>
  </si>
  <si>
    <t>90141000</t>
  </si>
  <si>
    <t>90142010</t>
  </si>
  <si>
    <t>90142020</t>
  </si>
  <si>
    <t>90142030</t>
  </si>
  <si>
    <t>90142090</t>
  </si>
  <si>
    <t>90148010</t>
  </si>
  <si>
    <t>90148090</t>
  </si>
  <si>
    <t>90149000</t>
  </si>
  <si>
    <t>90151000</t>
  </si>
  <si>
    <t>90152010</t>
  </si>
  <si>
    <t>90152090</t>
  </si>
  <si>
    <t>90153000</t>
  </si>
  <si>
    <t>90154000</t>
  </si>
  <si>
    <t>90158010</t>
  </si>
  <si>
    <t>90158090</t>
  </si>
  <si>
    <t>90159010</t>
  </si>
  <si>
    <t>90159090</t>
  </si>
  <si>
    <t>90160010</t>
  </si>
  <si>
    <t>90160090</t>
  </si>
  <si>
    <t>90171010</t>
  </si>
  <si>
    <t>90171090</t>
  </si>
  <si>
    <t>90172000</t>
  </si>
  <si>
    <t>90173010</t>
  </si>
  <si>
    <t>90173020</t>
  </si>
  <si>
    <t>90173090</t>
  </si>
  <si>
    <t>90178010</t>
  </si>
  <si>
    <t>90178090</t>
  </si>
  <si>
    <t>90179010</t>
  </si>
  <si>
    <t>90179090</t>
  </si>
  <si>
    <t>90181100</t>
  </si>
  <si>
    <t>90181210</t>
  </si>
  <si>
    <t>90181290</t>
  </si>
  <si>
    <t>90181300</t>
  </si>
  <si>
    <t>90181410</t>
  </si>
  <si>
    <t>90181420</t>
  </si>
  <si>
    <t>90181490</t>
  </si>
  <si>
    <t>90181910</t>
  </si>
  <si>
    <t>90181920</t>
  </si>
  <si>
    <t>90181980</t>
  </si>
  <si>
    <t>90181990</t>
  </si>
  <si>
    <t>90182010</t>
  </si>
  <si>
    <t>90182020</t>
  </si>
  <si>
    <t>90182090</t>
  </si>
  <si>
    <t>90183111</t>
  </si>
  <si>
    <t>90183119</t>
  </si>
  <si>
    <t>90183190</t>
  </si>
  <si>
    <t>90183211</t>
  </si>
  <si>
    <t>90183212</t>
  </si>
  <si>
    <t>90183219</t>
  </si>
  <si>
    <t>90183220</t>
  </si>
  <si>
    <t>90183910</t>
  </si>
  <si>
    <t>90183921</t>
  </si>
  <si>
    <t>90183922</t>
  </si>
  <si>
    <t>90183923</t>
  </si>
  <si>
    <t>90183924</t>
  </si>
  <si>
    <t>90183929</t>
  </si>
  <si>
    <t>90183930</t>
  </si>
  <si>
    <t>90183991</t>
  </si>
  <si>
    <t>90183999</t>
  </si>
  <si>
    <t>90184100</t>
  </si>
  <si>
    <t>90184911</t>
  </si>
  <si>
    <t>90184912</t>
  </si>
  <si>
    <t>90184919</t>
  </si>
  <si>
    <t>90184920</t>
  </si>
  <si>
    <t>90184940</t>
  </si>
  <si>
    <t>90184991</t>
  </si>
  <si>
    <t>90184999</t>
  </si>
  <si>
    <t>90185010</t>
  </si>
  <si>
    <t>90185090</t>
  </si>
  <si>
    <t>90189010</t>
  </si>
  <si>
    <t>90189021</t>
  </si>
  <si>
    <t>90189029</t>
  </si>
  <si>
    <t>90189031</t>
  </si>
  <si>
    <t>90189039</t>
  </si>
  <si>
    <t>90189040</t>
  </si>
  <si>
    <t>90189050</t>
  </si>
  <si>
    <t>90189091</t>
  </si>
  <si>
    <t>90189092</t>
  </si>
  <si>
    <t>90189093</t>
  </si>
  <si>
    <t>90189094</t>
  </si>
  <si>
    <t>90189095</t>
  </si>
  <si>
    <t>90189096</t>
  </si>
  <si>
    <t>90189099</t>
  </si>
  <si>
    <t>90191000</t>
  </si>
  <si>
    <t>90192010</t>
  </si>
  <si>
    <t>90192020</t>
  </si>
  <si>
    <t>90192030</t>
  </si>
  <si>
    <t>90192040</t>
  </si>
  <si>
    <t>90192090</t>
  </si>
  <si>
    <t>90200010</t>
  </si>
  <si>
    <t>90200090</t>
  </si>
  <si>
    <t>90211010</t>
  </si>
  <si>
    <t>90211020</t>
  </si>
  <si>
    <t>90211091</t>
  </si>
  <si>
    <t>90211099</t>
  </si>
  <si>
    <t>90212110</t>
  </si>
  <si>
    <t>90212190</t>
  </si>
  <si>
    <t>90212900</t>
  </si>
  <si>
    <t>90213110</t>
  </si>
  <si>
    <t>90213120</t>
  </si>
  <si>
    <t>90213190</t>
  </si>
  <si>
    <t>90213911</t>
  </si>
  <si>
    <t>90213919</t>
  </si>
  <si>
    <t>90213920</t>
  </si>
  <si>
    <t>90213930</t>
  </si>
  <si>
    <t>90213940</t>
  </si>
  <si>
    <t>90213980</t>
  </si>
  <si>
    <t>90213991</t>
  </si>
  <si>
    <t>90213999</t>
  </si>
  <si>
    <t>90214000</t>
  </si>
  <si>
    <t>90215000</t>
  </si>
  <si>
    <t>90219011</t>
  </si>
  <si>
    <t>90219019</t>
  </si>
  <si>
    <t>90219081</t>
  </si>
  <si>
    <t>90219082</t>
  </si>
  <si>
    <t>90219089</t>
  </si>
  <si>
    <t>90219091</t>
  </si>
  <si>
    <t>90219092</t>
  </si>
  <si>
    <t>90219099</t>
  </si>
  <si>
    <t>90221200</t>
  </si>
  <si>
    <t>90221311</t>
  </si>
  <si>
    <t>90221319</t>
  </si>
  <si>
    <t>90221390</t>
  </si>
  <si>
    <t>90221411</t>
  </si>
  <si>
    <t>90221412</t>
  </si>
  <si>
    <t>90221413</t>
  </si>
  <si>
    <t>90221419</t>
  </si>
  <si>
    <t>90221490</t>
  </si>
  <si>
    <t>90221910</t>
  </si>
  <si>
    <t>90221991</t>
  </si>
  <si>
    <t>90221999</t>
  </si>
  <si>
    <t>90222110</t>
  </si>
  <si>
    <t>90222120</t>
  </si>
  <si>
    <t>90222190</t>
  </si>
  <si>
    <t>90222910</t>
  </si>
  <si>
    <t>90222990</t>
  </si>
  <si>
    <t>90223000</t>
  </si>
  <si>
    <t>90229011</t>
  </si>
  <si>
    <t>90229012</t>
  </si>
  <si>
    <t>90229019</t>
  </si>
  <si>
    <t>90229080</t>
  </si>
  <si>
    <t>90229090</t>
  </si>
  <si>
    <t>90230000</t>
  </si>
  <si>
    <t>90241010</t>
  </si>
  <si>
    <t>90241020</t>
  </si>
  <si>
    <t>90241090</t>
  </si>
  <si>
    <t>90248011</t>
  </si>
  <si>
    <t>90248019</t>
  </si>
  <si>
    <t>90248021</t>
  </si>
  <si>
    <t>90248029</t>
  </si>
  <si>
    <t>90248090</t>
  </si>
  <si>
    <t>90249000</t>
  </si>
  <si>
    <t>90251110</t>
  </si>
  <si>
    <t>90251190</t>
  </si>
  <si>
    <t>90251910</t>
  </si>
  <si>
    <t>90251990</t>
  </si>
  <si>
    <t>90258000</t>
  </si>
  <si>
    <t>90259010</t>
  </si>
  <si>
    <t>90259090</t>
  </si>
  <si>
    <t>90261011</t>
  </si>
  <si>
    <t>90261019</t>
  </si>
  <si>
    <t>90261021</t>
  </si>
  <si>
    <t>90261029</t>
  </si>
  <si>
    <t>90262010</t>
  </si>
  <si>
    <t>90262090</t>
  </si>
  <si>
    <t>90268000</t>
  </si>
  <si>
    <t>90269010</t>
  </si>
  <si>
    <t>90269020</t>
  </si>
  <si>
    <t>90269090</t>
  </si>
  <si>
    <t>90271000</t>
  </si>
  <si>
    <t>90272011</t>
  </si>
  <si>
    <t>90272012</t>
  </si>
  <si>
    <t>90272019</t>
  </si>
  <si>
    <t>90272021</t>
  </si>
  <si>
    <t>90272029</t>
  </si>
  <si>
    <t>90273011</t>
  </si>
  <si>
    <t>90273019</t>
  </si>
  <si>
    <t>90273020</t>
  </si>
  <si>
    <t>90275010</t>
  </si>
  <si>
    <t>90275020</t>
  </si>
  <si>
    <t>90275030</t>
  </si>
  <si>
    <t>90275040</t>
  </si>
  <si>
    <t>90275050</t>
  </si>
  <si>
    <t>90275090</t>
  </si>
  <si>
    <t>90278011</t>
  </si>
  <si>
    <t>90278012</t>
  </si>
  <si>
    <t>90278013</t>
  </si>
  <si>
    <t>90278014</t>
  </si>
  <si>
    <t>90278020</t>
  </si>
  <si>
    <t>90278030</t>
  </si>
  <si>
    <t>90278091</t>
  </si>
  <si>
    <t>90278099</t>
  </si>
  <si>
    <t>90279010</t>
  </si>
  <si>
    <t>90279091</t>
  </si>
  <si>
    <t>90279093</t>
  </si>
  <si>
    <t>90279099</t>
  </si>
  <si>
    <t>90281011</t>
  </si>
  <si>
    <t>90281019</t>
  </si>
  <si>
    <t>90281090</t>
  </si>
  <si>
    <t>90282010</t>
  </si>
  <si>
    <t>90282020</t>
  </si>
  <si>
    <t>90283011</t>
  </si>
  <si>
    <t>90283019</t>
  </si>
  <si>
    <t>90283021</t>
  </si>
  <si>
    <t>90283029</t>
  </si>
  <si>
    <t>90283031</t>
  </si>
  <si>
    <t>90283039</t>
  </si>
  <si>
    <t>90283090</t>
  </si>
  <si>
    <t>90289010</t>
  </si>
  <si>
    <t>90289090</t>
  </si>
  <si>
    <t>90291010</t>
  </si>
  <si>
    <t>90291090</t>
  </si>
  <si>
    <t>90292010</t>
  </si>
  <si>
    <t>90292020</t>
  </si>
  <si>
    <t>90299010</t>
  </si>
  <si>
    <t>90299090</t>
  </si>
  <si>
    <t>90301010</t>
  </si>
  <si>
    <t>90301090</t>
  </si>
  <si>
    <t>90302010</t>
  </si>
  <si>
    <t>90302021</t>
  </si>
  <si>
    <t>90302022</t>
  </si>
  <si>
    <t>90302029</t>
  </si>
  <si>
    <t>90302030</t>
  </si>
  <si>
    <t>90303100</t>
  </si>
  <si>
    <t>90303200</t>
  </si>
  <si>
    <t>90303311</t>
  </si>
  <si>
    <t>90303319</t>
  </si>
  <si>
    <t>90303321</t>
  </si>
  <si>
    <t>90303329</t>
  </si>
  <si>
    <t>90303390</t>
  </si>
  <si>
    <t>90303910</t>
  </si>
  <si>
    <t>90303990</t>
  </si>
  <si>
    <t>90304010</t>
  </si>
  <si>
    <t>90304020</t>
  </si>
  <si>
    <t>90304030</t>
  </si>
  <si>
    <t>90304090</t>
  </si>
  <si>
    <t>90308210</t>
  </si>
  <si>
    <t>90308290</t>
  </si>
  <si>
    <t>90308410</t>
  </si>
  <si>
    <t>90308420</t>
  </si>
  <si>
    <t>90308490</t>
  </si>
  <si>
    <t>90308910</t>
  </si>
  <si>
    <t>90308920</t>
  </si>
  <si>
    <t>90308930</t>
  </si>
  <si>
    <t>90308940</t>
  </si>
  <si>
    <t>90308990</t>
  </si>
  <si>
    <t>90309010</t>
  </si>
  <si>
    <t>90309090</t>
  </si>
  <si>
    <t>90311000</t>
  </si>
  <si>
    <t>90312010</t>
  </si>
  <si>
    <t>90312090</t>
  </si>
  <si>
    <t>90314100</t>
  </si>
  <si>
    <t>90314910</t>
  </si>
  <si>
    <t>90314920</t>
  </si>
  <si>
    <t>90314990</t>
  </si>
  <si>
    <t>90318011</t>
  </si>
  <si>
    <t>90318012</t>
  </si>
  <si>
    <t>90318020</t>
  </si>
  <si>
    <t>90318030</t>
  </si>
  <si>
    <t>90318050</t>
  </si>
  <si>
    <t>90318060</t>
  </si>
  <si>
    <t>90318091</t>
  </si>
  <si>
    <t>90318099</t>
  </si>
  <si>
    <t>90318040</t>
  </si>
  <si>
    <t>90319010</t>
  </si>
  <si>
    <t>90319090</t>
  </si>
  <si>
    <t>90321010</t>
  </si>
  <si>
    <t>90321090</t>
  </si>
  <si>
    <t>90322000</t>
  </si>
  <si>
    <t>90328100</t>
  </si>
  <si>
    <t>90328911</t>
  </si>
  <si>
    <t>90328919</t>
  </si>
  <si>
    <t>90328921</t>
  </si>
  <si>
    <t>90328922</t>
  </si>
  <si>
    <t>90328923</t>
  </si>
  <si>
    <t>90328924</t>
  </si>
  <si>
    <t>90328925</t>
  </si>
  <si>
    <t>90328929</t>
  </si>
  <si>
    <t>90328930</t>
  </si>
  <si>
    <t>90328981</t>
  </si>
  <si>
    <t>90328982</t>
  </si>
  <si>
    <t>90328983</t>
  </si>
  <si>
    <t>90328984</t>
  </si>
  <si>
    <t>90328989</t>
  </si>
  <si>
    <t>90328990</t>
  </si>
  <si>
    <t>90329010</t>
  </si>
  <si>
    <t>90329091</t>
  </si>
  <si>
    <t>90329099</t>
  </si>
  <si>
    <t>90330000</t>
  </si>
  <si>
    <t>91011100</t>
  </si>
  <si>
    <t>91011900</t>
  </si>
  <si>
    <t>91012100</t>
  </si>
  <si>
    <t>91012900</t>
  </si>
  <si>
    <t>91019100</t>
  </si>
  <si>
    <t>91019900</t>
  </si>
  <si>
    <t>91021110</t>
  </si>
  <si>
    <t>91021190</t>
  </si>
  <si>
    <t>91021210</t>
  </si>
  <si>
    <t>91021220</t>
  </si>
  <si>
    <t>91021290</t>
  </si>
  <si>
    <t>91021900</t>
  </si>
  <si>
    <t>91022100</t>
  </si>
  <si>
    <t>91022900</t>
  </si>
  <si>
    <t>91029100</t>
  </si>
  <si>
    <t>91029900</t>
  </si>
  <si>
    <t>91031000</t>
  </si>
  <si>
    <t>91039000</t>
  </si>
  <si>
    <t>91040000</t>
  </si>
  <si>
    <t>91051100</t>
  </si>
  <si>
    <t>91051900</t>
  </si>
  <si>
    <t>91052100</t>
  </si>
  <si>
    <t>91052900</t>
  </si>
  <si>
    <t>91059100</t>
  </si>
  <si>
    <t>91059900</t>
  </si>
  <si>
    <t>91061000</t>
  </si>
  <si>
    <t>91069000</t>
  </si>
  <si>
    <t>91070010</t>
  </si>
  <si>
    <t>91070090</t>
  </si>
  <si>
    <t>91081110</t>
  </si>
  <si>
    <t>91081190</t>
  </si>
  <si>
    <t>91081200</t>
  </si>
  <si>
    <t>91081900</t>
  </si>
  <si>
    <t>91082000</t>
  </si>
  <si>
    <t>91089000</t>
  </si>
  <si>
    <t>91091000</t>
  </si>
  <si>
    <t>91099000</t>
  </si>
  <si>
    <t>91101110</t>
  </si>
  <si>
    <t>91101190</t>
  </si>
  <si>
    <t>91101200</t>
  </si>
  <si>
    <t>91101900</t>
  </si>
  <si>
    <t>91109000</t>
  </si>
  <si>
    <t>91111000</t>
  </si>
  <si>
    <t>91112010</t>
  </si>
  <si>
    <t>91112090</t>
  </si>
  <si>
    <t>91118000</t>
  </si>
  <si>
    <t>91119010</t>
  </si>
  <si>
    <t>91119090</t>
  </si>
  <si>
    <t>91122000</t>
  </si>
  <si>
    <t>91129000</t>
  </si>
  <si>
    <t>91131000</t>
  </si>
  <si>
    <t>91132000</t>
  </si>
  <si>
    <t>91139000</t>
  </si>
  <si>
    <t>91141000</t>
  </si>
  <si>
    <t>91143000</t>
  </si>
  <si>
    <t>91144000</t>
  </si>
  <si>
    <t>91149010</t>
  </si>
  <si>
    <t>91149020</t>
  </si>
  <si>
    <t>91149030</t>
  </si>
  <si>
    <t>91149040</t>
  </si>
  <si>
    <t>91149050</t>
  </si>
  <si>
    <t>91149060</t>
  </si>
  <si>
    <t>91149070</t>
  </si>
  <si>
    <t>91149090</t>
  </si>
  <si>
    <t>92011000</t>
  </si>
  <si>
    <t>92012000</t>
  </si>
  <si>
    <t>92019000</t>
  </si>
  <si>
    <t>92021000</t>
  </si>
  <si>
    <t>92029000</t>
  </si>
  <si>
    <t>92051000</t>
  </si>
  <si>
    <t>92059000</t>
  </si>
  <si>
    <t>92060000</t>
  </si>
  <si>
    <t>92071010</t>
  </si>
  <si>
    <t>92071090</t>
  </si>
  <si>
    <t>92079010</t>
  </si>
  <si>
    <t>92079090</t>
  </si>
  <si>
    <t>92081000</t>
  </si>
  <si>
    <t>92089000</t>
  </si>
  <si>
    <t>92093000</t>
  </si>
  <si>
    <t>92099100</t>
  </si>
  <si>
    <t>92099200</t>
  </si>
  <si>
    <t>92099400</t>
  </si>
  <si>
    <t>92099900</t>
  </si>
  <si>
    <t>93011000</t>
  </si>
  <si>
    <t>93012000</t>
  </si>
  <si>
    <t>93019000</t>
  </si>
  <si>
    <t>93020000</t>
  </si>
  <si>
    <t>93031000</t>
  </si>
  <si>
    <t>93032000</t>
  </si>
  <si>
    <t>93033000</t>
  </si>
  <si>
    <t>93039000</t>
  </si>
  <si>
    <t>93040000</t>
  </si>
  <si>
    <t>93051000</t>
  </si>
  <si>
    <t>93052000</t>
  </si>
  <si>
    <t>93059100</t>
  </si>
  <si>
    <t>93059900</t>
  </si>
  <si>
    <t>93062100</t>
  </si>
  <si>
    <t>93062900</t>
  </si>
  <si>
    <t>93063000</t>
  </si>
  <si>
    <t>93069000</t>
  </si>
  <si>
    <t>93070000</t>
  </si>
  <si>
    <t>94011010</t>
  </si>
  <si>
    <t>94011090</t>
  </si>
  <si>
    <t>94012000</t>
  </si>
  <si>
    <t>94013010</t>
  </si>
  <si>
    <t>94013090</t>
  </si>
  <si>
    <t>94014010</t>
  </si>
  <si>
    <t>94014090</t>
  </si>
  <si>
    <t>94015100</t>
  </si>
  <si>
    <t>94015900</t>
  </si>
  <si>
    <t>94016100</t>
  </si>
  <si>
    <t>94016900</t>
  </si>
  <si>
    <t>94017100</t>
  </si>
  <si>
    <t>94017900</t>
  </si>
  <si>
    <t>94018000</t>
  </si>
  <si>
    <t>94019010</t>
  </si>
  <si>
    <t>94019090</t>
  </si>
  <si>
    <t>94021000</t>
  </si>
  <si>
    <t>94029010</t>
  </si>
  <si>
    <t>94029020</t>
  </si>
  <si>
    <t>94029090</t>
  </si>
  <si>
    <t>94031000</t>
  </si>
  <si>
    <t>94032000</t>
  </si>
  <si>
    <t>94033000</t>
  </si>
  <si>
    <t>94034000</t>
  </si>
  <si>
    <t>94035000</t>
  </si>
  <si>
    <t>94036000</t>
  </si>
  <si>
    <t>94037000</t>
  </si>
  <si>
    <t>94038100</t>
  </si>
  <si>
    <t>94038900</t>
  </si>
  <si>
    <t>94039010</t>
  </si>
  <si>
    <t>94039090</t>
  </si>
  <si>
    <t>94041000</t>
  </si>
  <si>
    <t>94042100</t>
  </si>
  <si>
    <t>94042900</t>
  </si>
  <si>
    <t>94043000</t>
  </si>
  <si>
    <t>94049000</t>
  </si>
  <si>
    <t>94051010</t>
  </si>
  <si>
    <t>94051091</t>
  </si>
  <si>
    <t>94051092</t>
  </si>
  <si>
    <t>94051093</t>
  </si>
  <si>
    <t>94051099</t>
  </si>
  <si>
    <t>94052000</t>
  </si>
  <si>
    <t>94053000</t>
  </si>
  <si>
    <t>94054010</t>
  </si>
  <si>
    <t>94054090</t>
  </si>
  <si>
    <t>94055000</t>
  </si>
  <si>
    <t>94056000</t>
  </si>
  <si>
    <t>94059100</t>
  </si>
  <si>
    <t>94059200</t>
  </si>
  <si>
    <t>94059900</t>
  </si>
  <si>
    <t>94060010</t>
  </si>
  <si>
    <t>94060091</t>
  </si>
  <si>
    <t>94060092</t>
  </si>
  <si>
    <t>94060099</t>
  </si>
  <si>
    <t>95030010</t>
  </si>
  <si>
    <t>95030021</t>
  </si>
  <si>
    <t>95030022</t>
  </si>
  <si>
    <t>95030029</t>
  </si>
  <si>
    <t>95030031</t>
  </si>
  <si>
    <t>95030039</t>
  </si>
  <si>
    <t>95030040</t>
  </si>
  <si>
    <t>95030050</t>
  </si>
  <si>
    <t>95030060</t>
  </si>
  <si>
    <t>95030070</t>
  </si>
  <si>
    <t>95030080</t>
  </si>
  <si>
    <t>95030091</t>
  </si>
  <si>
    <t>95030097</t>
  </si>
  <si>
    <t>95030098</t>
  </si>
  <si>
    <t>95030099</t>
  </si>
  <si>
    <t>95042000</t>
  </si>
  <si>
    <t>95043000</t>
  </si>
  <si>
    <t>95044000</t>
  </si>
  <si>
    <t>95045000</t>
  </si>
  <si>
    <t>95049010</t>
  </si>
  <si>
    <t>95049090</t>
  </si>
  <si>
    <t>95051000</t>
  </si>
  <si>
    <t>95059000</t>
  </si>
  <si>
    <t>95061100</t>
  </si>
  <si>
    <t>95061200</t>
  </si>
  <si>
    <t>95061900</t>
  </si>
  <si>
    <t>95062100</t>
  </si>
  <si>
    <t>95062900</t>
  </si>
  <si>
    <t>95063100</t>
  </si>
  <si>
    <t>95063200</t>
  </si>
  <si>
    <t>95063900</t>
  </si>
  <si>
    <t>95064000</t>
  </si>
  <si>
    <t>95065100</t>
  </si>
  <si>
    <t>95065900</t>
  </si>
  <si>
    <t>95066100</t>
  </si>
  <si>
    <t>95066200</t>
  </si>
  <si>
    <t>95066900</t>
  </si>
  <si>
    <t>95067000</t>
  </si>
  <si>
    <t>95069100</t>
  </si>
  <si>
    <t>95069900</t>
  </si>
  <si>
    <t>95071000</t>
  </si>
  <si>
    <t>95072000</t>
  </si>
  <si>
    <t>95073000</t>
  </si>
  <si>
    <t>95079000</t>
  </si>
  <si>
    <t>95081000</t>
  </si>
  <si>
    <t>95089010</t>
  </si>
  <si>
    <t>95089020</t>
  </si>
  <si>
    <t>95089030</t>
  </si>
  <si>
    <t>95089090</t>
  </si>
  <si>
    <t>96011000</t>
  </si>
  <si>
    <t>96019000</t>
  </si>
  <si>
    <t>96071100</t>
  </si>
  <si>
    <t>96020010</t>
  </si>
  <si>
    <t>96020020</t>
  </si>
  <si>
    <t>96020090</t>
  </si>
  <si>
    <t>96031000</t>
  </si>
  <si>
    <t>96032100</t>
  </si>
  <si>
    <t>96032900</t>
  </si>
  <si>
    <t>96033000</t>
  </si>
  <si>
    <t>96034010</t>
  </si>
  <si>
    <t>96034090</t>
  </si>
  <si>
    <t>96035000</t>
  </si>
  <si>
    <t>96039000</t>
  </si>
  <si>
    <t>96040000</t>
  </si>
  <si>
    <t>96050000</t>
  </si>
  <si>
    <t>96061000</t>
  </si>
  <si>
    <t>96062100</t>
  </si>
  <si>
    <t>96062200</t>
  </si>
  <si>
    <t>96062900</t>
  </si>
  <si>
    <t>96063000</t>
  </si>
  <si>
    <t>96071900</t>
  </si>
  <si>
    <t>96072000</t>
  </si>
  <si>
    <t>96081000</t>
  </si>
  <si>
    <t>96082000</t>
  </si>
  <si>
    <t>96083000</t>
  </si>
  <si>
    <t>96084000</t>
  </si>
  <si>
    <t>96085000</t>
  </si>
  <si>
    <t>96086000</t>
  </si>
  <si>
    <t>96089100</t>
  </si>
  <si>
    <t>96089981</t>
  </si>
  <si>
    <t>96089989</t>
  </si>
  <si>
    <t>96089990</t>
  </si>
  <si>
    <t>96091000</t>
  </si>
  <si>
    <t>96092000</t>
  </si>
  <si>
    <t>96099000</t>
  </si>
  <si>
    <t>96100000</t>
  </si>
  <si>
    <t>96110000</t>
  </si>
  <si>
    <t>96121011</t>
  </si>
  <si>
    <t>96121012</t>
  </si>
  <si>
    <t>96121013</t>
  </si>
  <si>
    <t>96121019</t>
  </si>
  <si>
    <t>96121090</t>
  </si>
  <si>
    <t>96122000</t>
  </si>
  <si>
    <t>96131000</t>
  </si>
  <si>
    <t>96132000</t>
  </si>
  <si>
    <t>96138000</t>
  </si>
  <si>
    <t>96139000</t>
  </si>
  <si>
    <t>96140000</t>
  </si>
  <si>
    <t>96151100</t>
  </si>
  <si>
    <t>96151900</t>
  </si>
  <si>
    <t>96159000</t>
  </si>
  <si>
    <t>96161000</t>
  </si>
  <si>
    <t>96162000</t>
  </si>
  <si>
    <t>96170010</t>
  </si>
  <si>
    <t>96170020</t>
  </si>
  <si>
    <t>96180000</t>
  </si>
  <si>
    <t>96190000</t>
  </si>
  <si>
    <t>97011000</t>
  </si>
  <si>
    <t>97019000</t>
  </si>
  <si>
    <t>97020000</t>
  </si>
  <si>
    <t>97030000</t>
  </si>
  <si>
    <t>97040000</t>
  </si>
  <si>
    <t>97050000</t>
  </si>
  <si>
    <t>97060000</t>
  </si>
  <si>
    <t>10082990</t>
  </si>
  <si>
    <t>01</t>
  </si>
  <si>
    <t>02</t>
  </si>
  <si>
    <t>03</t>
  </si>
  <si>
    <t>04</t>
  </si>
  <si>
    <t>05</t>
  </si>
  <si>
    <t>06</t>
  </si>
  <si>
    <t>07</t>
  </si>
  <si>
    <t>08</t>
  </si>
  <si>
    <t>09</t>
  </si>
  <si>
    <t>10</t>
  </si>
  <si>
    <t>11</t>
  </si>
  <si>
    <t>UF</t>
  </si>
  <si>
    <t>EX_TIPI</t>
  </si>
  <si>
    <t>MVA</t>
  </si>
  <si>
    <t>IPI</t>
  </si>
  <si>
    <t>II</t>
  </si>
  <si>
    <t>AC</t>
  </si>
  <si>
    <t>NULL</t>
  </si>
  <si>
    <t>AL</t>
  </si>
  <si>
    <t>AP</t>
  </si>
  <si>
    <t>MA</t>
  </si>
  <si>
    <t>PB</t>
  </si>
  <si>
    <t>PI</t>
  </si>
  <si>
    <t>RN</t>
  </si>
  <si>
    <t>RO</t>
  </si>
  <si>
    <t>RR</t>
  </si>
  <si>
    <t>SE</t>
  </si>
  <si>
    <t>TO</t>
  </si>
  <si>
    <t>CONTRIB. FOLHA</t>
  </si>
  <si>
    <t>TRIBUTOS S/ LUCRO</t>
  </si>
  <si>
    <t>TOTAL SP</t>
  </si>
  <si>
    <t>TOTAL PR</t>
  </si>
  <si>
    <t>TOTAL SC</t>
  </si>
  <si>
    <t>TOTAL RS</t>
  </si>
  <si>
    <t>TOTAL RJ</t>
  </si>
  <si>
    <t>TOTAL MG</t>
  </si>
  <si>
    <t>TOTAL ES</t>
  </si>
  <si>
    <t>TOTAL GO</t>
  </si>
  <si>
    <t>TOTAL MT</t>
  </si>
  <si>
    <t>TOTAL MS</t>
  </si>
  <si>
    <t>TOTAL DF</t>
  </si>
  <si>
    <t>TOTAL BA</t>
  </si>
  <si>
    <t>TOTAL CE</t>
  </si>
  <si>
    <t>TOTAL PE</t>
  </si>
  <si>
    <t>TOTAL PA</t>
  </si>
  <si>
    <t>TOTAL AM</t>
  </si>
  <si>
    <t>MÉDIA GERAL</t>
  </si>
  <si>
    <t>Total Geral</t>
  </si>
  <si>
    <t xml:space="preserve">SP </t>
  </si>
  <si>
    <t xml:space="preserve">RS </t>
  </si>
  <si>
    <t xml:space="preserve">RJ </t>
  </si>
  <si>
    <t xml:space="preserve">PR </t>
  </si>
  <si>
    <t xml:space="preserve">ES </t>
  </si>
  <si>
    <t xml:space="preserve">MG </t>
  </si>
  <si>
    <t xml:space="preserve">SC </t>
  </si>
  <si>
    <t xml:space="preserve">GO </t>
  </si>
  <si>
    <t xml:space="preserve">MT </t>
  </si>
  <si>
    <t xml:space="preserve">MS </t>
  </si>
  <si>
    <t xml:space="preserve">DF </t>
  </si>
  <si>
    <t xml:space="preserve">BA </t>
  </si>
  <si>
    <t xml:space="preserve">CE </t>
  </si>
  <si>
    <t xml:space="preserve">PE </t>
  </si>
  <si>
    <t xml:space="preserve">PA </t>
  </si>
  <si>
    <t xml:space="preserve">AM </t>
  </si>
  <si>
    <t>DOENÇA</t>
  </si>
  <si>
    <t>Menor</t>
  </si>
  <si>
    <t>Maior</t>
  </si>
  <si>
    <t>Média</t>
  </si>
  <si>
    <t>Amplitude</t>
  </si>
  <si>
    <t>FOLHA</t>
  </si>
  <si>
    <t>LUCRO</t>
  </si>
  <si>
    <t>Cofins</t>
  </si>
  <si>
    <t>Preço</t>
  </si>
  <si>
    <t>Tributo</t>
  </si>
  <si>
    <t>Impacto</t>
  </si>
  <si>
    <t>s/lucro</t>
  </si>
  <si>
    <t>s/folha</t>
  </si>
  <si>
    <t>VISÃO DOENÇA E LABORATÓRIO</t>
  </si>
  <si>
    <t>MÉDIA DE TODAS AS DOENÇAS</t>
  </si>
  <si>
    <t>Ranking</t>
  </si>
  <si>
    <t>Doença</t>
  </si>
  <si>
    <t xml:space="preserve">PIS </t>
  </si>
  <si>
    <t xml:space="preserve">COFINS </t>
  </si>
  <si>
    <t xml:space="preserve">OUTROS </t>
  </si>
  <si>
    <t xml:space="preserve"> </t>
  </si>
  <si>
    <t>TABELAS</t>
  </si>
  <si>
    <t>VENDAS APRESENTACOES MEDICAMENTOS</t>
  </si>
  <si>
    <t>MEDICAMENTOS_EAN_NCM</t>
  </si>
  <si>
    <t>REGISTROS</t>
  </si>
  <si>
    <t>EAN</t>
  </si>
  <si>
    <t>MedicamentoNegPos</t>
  </si>
  <si>
    <t>(Nenhum nome de coluna)</t>
  </si>
  <si>
    <t>O</t>
  </si>
  <si>
    <t>N</t>
  </si>
  <si>
    <t>-</t>
  </si>
  <si>
    <t>+</t>
  </si>
  <si>
    <t>LISTA DE POSIVITO NEGATIVO</t>
  </si>
  <si>
    <t>N- NEUTRA</t>
  </si>
  <si>
    <t>EAN ABCFARMA=ANVISA</t>
  </si>
  <si>
    <t>ANVISA PRECOS MEDICAMENTOS CONSUMIDOR (20140108)</t>
  </si>
  <si>
    <t xml:space="preserve">ABCFARMA_TABELA </t>
  </si>
  <si>
    <t>LIGAR LABORATORIOS</t>
  </si>
  <si>
    <t>LISTA POSTIVA POR EAN</t>
  </si>
  <si>
    <t>GERAR LISTA EAN-DESCRIÇÃO DO PRODUTO POR LABORATORIO QUE NÃO TEM NCM</t>
  </si>
  <si>
    <t>TENHO TODAS ?</t>
  </si>
  <si>
    <t xml:space="preserve">GERAR TABELA EXCEL COM PRODUTOS ANVISA NCM EAN + - </t>
  </si>
  <si>
    <t>NFE</t>
  </si>
  <si>
    <t>EAN2</t>
  </si>
  <si>
    <t>BASE ÚNICA</t>
  </si>
  <si>
    <t>SINDUSFARMA LIGAR DIRETOR</t>
  </si>
  <si>
    <t>GERAR ARQUIVO COM 7000 ITENS COM OS DADOS QUE EXISTEM</t>
  </si>
  <si>
    <t xml:space="preserve">O QUE FALTA </t>
  </si>
  <si>
    <t>CLASSE TERAPEUTICA</t>
  </si>
  <si>
    <t>LABORATORIOS</t>
  </si>
  <si>
    <t>GENERICO</t>
  </si>
  <si>
    <t>BETAEPOETINA-METOXIPOLIETILENOGLICOL</t>
  </si>
  <si>
    <t>IMUNOGLOBULINA ANTI-RHO(D)</t>
  </si>
  <si>
    <t>ID</t>
  </si>
  <si>
    <t>PATIVO</t>
  </si>
  <si>
    <t>BINODENOSON</t>
  </si>
  <si>
    <t>DITOSILATO DE LAPATINIB</t>
  </si>
  <si>
    <t>SORO ANTI-AB (O)</t>
  </si>
  <si>
    <t>SORO ANTICELLANO (ANTI-K)</t>
  </si>
  <si>
    <t>ACEFILINATO DE HEPTAMINOL + CINARIZINA</t>
  </si>
  <si>
    <t>ACETATO DE CIPROTERONA + ETINILESTRADIOL</t>
  </si>
  <si>
    <t>ACETATO DE CIPROTERONA + VALERATO DE ESTRADIOL</t>
  </si>
  <si>
    <t>ACETATO DE CLORMADINONA + ETINILESTRADIOL</t>
  </si>
  <si>
    <t>ACETATO DE CORTISONA + CLORIDRATO DE CLORTETRACICLINA + LORETINATO DE BISMUTO</t>
  </si>
  <si>
    <t>ACETATO DE DEXAMETASONA + CIANOCOBALAMINA + CLORIDRATO DE PIRIDOXINA + CLORIDRATO DE TIAMINA</t>
  </si>
  <si>
    <t>ACETATO DE MEDROXIPROGESTERONA + CIPIONATO DE ESTRADIOL</t>
  </si>
  <si>
    <t>ACETATO DE MEDROXIPROGESTERONA + VALERATO DE ESTRADIOL</t>
  </si>
  <si>
    <t>ACETATO DE NORETISTERONA + ESTRADIOL</t>
  </si>
  <si>
    <t>ACETATO DE NORETISTERONA + ESTRADIOL HEMIIDRATADO</t>
  </si>
  <si>
    <t>ACETATO DE NORETISTERONA + ETINILESTRADIOL</t>
  </si>
  <si>
    <t>ACETATO DE PREDNISOLONA + GATIFLOXACINO</t>
  </si>
  <si>
    <t>ACETATO DE PREDNISOLONA + SULFATO DE NEOMICINA + SULFATO DE POLIMIXINA B</t>
  </si>
  <si>
    <t>ALFAMILASE + BROMOPRIDA + DIMETICONA + LIPASE + PEPSINA</t>
  </si>
  <si>
    <t>ALFAMILASE + PEPSINA</t>
  </si>
  <si>
    <t>ALFAPEGINTERFERONA 2A + RIBAVIRINA</t>
  </si>
  <si>
    <t>ALFAPEGINTERFERONA 2B + RIBAVIRINA</t>
  </si>
  <si>
    <t>ALGESTONA ACETONIDA + ENANTATO DE ESTRADIOL</t>
  </si>
  <si>
    <t>AMBUFILINA + CLORIDRATO DE ETAFEDRINA + CLORIDRATO DE FENILEFRINA + SUCCINATO DE DOXILAMINA</t>
  </si>
  <si>
    <t>AMBUFILINA + CLORIDRATO DE ETAFEDRINA + GUAIFENESINA + SUCCINATO DE DOXILAMINA</t>
  </si>
  <si>
    <t>AMBUFILINA + CLORIDRATO DE ETAFEDRINA + SUCCINATO DE DOXILAMINA</t>
  </si>
  <si>
    <t>AMILORIDA + CLORTALIDONA</t>
  </si>
  <si>
    <t>AMOXICILINA + CLARITROMICINA + LANSOPRAZOL</t>
  </si>
  <si>
    <t>AMOXICILINA + CLARITROMICINA + OMEPRAZOL</t>
  </si>
  <si>
    <t>AMOXICILINA + CLARITROMICINA + PANTOPRAZOL</t>
  </si>
  <si>
    <t>AMOXICILINA + LEVOFLOXACINO  + LANSOPRAZOL</t>
  </si>
  <si>
    <t>AMOXICILINA + SULBACTAM</t>
  </si>
  <si>
    <t>AMPICILINA + PROBENECIDA</t>
  </si>
  <si>
    <t>AMPICILINA + SULBACTAM</t>
  </si>
  <si>
    <t>ARGININA + AZTREONAM</t>
  </si>
  <si>
    <t>ARGININA + CEFEPIMA</t>
  </si>
  <si>
    <t>ARGININA + CLORIDRATO DE CEFEPIMA</t>
  </si>
  <si>
    <t>ARGININA + IBUPROFENO</t>
  </si>
  <si>
    <t>ATENOLOL + BESILATO DE ANLODIPINO</t>
  </si>
  <si>
    <t>ATENOLOL + CLORTALIDONA</t>
  </si>
  <si>
    <t>ATENOLOL + NIFEDIPINO</t>
  </si>
  <si>
    <t>ATORVASTATINA + NIACINA</t>
  </si>
  <si>
    <t>ATORVASTATINA + TORCETRAPIBE</t>
  </si>
  <si>
    <t>BACITRACINA + NEOMICINA</t>
  </si>
  <si>
    <t>BACITRACINA + SULFATO DE NEOMICINA</t>
  </si>
  <si>
    <t>BENZOATO DE ESTRADIOL + PROGESTERONA</t>
  </si>
  <si>
    <t>BESILATO DE ANLODIPINO + CLORIDRATO DE BENAZEPRIL</t>
  </si>
  <si>
    <t>BESILATO DE ANLODIPINO + HEMIFUMARATO DE ALISQUIRENO</t>
  </si>
  <si>
    <t>BESILATO DE ANLODIPINO + HIDROCLOROTIAZIDA + IRBESARTANA</t>
  </si>
  <si>
    <t>BESILATO DE ANLODIPINO + HIDROCLOROTIAZIDA + VALSARTANA</t>
  </si>
  <si>
    <t>BESILATO DE ANLODIPINO + IRBESARTANA</t>
  </si>
  <si>
    <t>BESILATO DE ANLODIPINO + MALEATO DE ENALAPRIL</t>
  </si>
  <si>
    <t>BESILATO DE ANLODIPINO + OLMESARTANA MEDOXOMILA</t>
  </si>
  <si>
    <t>BESILATO DE ANLODIPINO + RAMIPRIL</t>
  </si>
  <si>
    <t>BESILATO DE ANLODIPINO + VALSARTANA</t>
  </si>
  <si>
    <t>BIMATOPROSTA + MALEATO DE TIMOLOL</t>
  </si>
  <si>
    <t>BIMATOPROSTA + MALEATO DE TIMOLOL + TARTARATO DE BRIMONIDINA</t>
  </si>
  <si>
    <t>BISOPROLOL + HIDROCLOROTIAZIDA</t>
  </si>
  <si>
    <t>BROMAZEPAM + SULPIRIDA</t>
  </si>
  <si>
    <t>BROMOPRIDA + CELULASE + DIMETICONA + PANCREATINA</t>
  </si>
  <si>
    <t>BUDESONIDA + FUMARATO DE FORMOTEROL</t>
  </si>
  <si>
    <t>CAMBENDAZOL + MEBENDAZOL</t>
  </si>
  <si>
    <t>CANDESARTANA CILEXETILA + FELODIPINO</t>
  </si>
  <si>
    <t>CANDESARTANA CILEXETILA + HIDROCLOROTIAZIDA</t>
  </si>
  <si>
    <t>CAPROATO DE HIDROXIPROGESTERONA + VALERATO DE ESTRADIOL</t>
  </si>
  <si>
    <t>CAPTOPRIL + HIDROCLOROTIAZIDA</t>
  </si>
  <si>
    <t>CARBIDOPA + ENTACAPONA + LEVODOPA</t>
  </si>
  <si>
    <t>CARBIDOPA + LEVODOPA</t>
  </si>
  <si>
    <t>CEFOPERAZONA + SULBACTAM</t>
  </si>
  <si>
    <t>CETRIMIDA + GLICONATO DE CLOREXIDINA</t>
  </si>
  <si>
    <t>CIANOCOBALAMINA + CITRATO DE ORFENADRINA + DEXAMETASONA + PIROXICAM</t>
  </si>
  <si>
    <t>CIANOCOBALAMINA + CLORIDRATO DE PIRIDOXINA + CLORIDRATO DE TIAMINA</t>
  </si>
  <si>
    <t>CIANOCOBALAMINA + CLORIDRATO DE PIRIDOXINA + NITRATO DE TIAMINA</t>
  </si>
  <si>
    <t>CILAZAPRIL + HIDROCLOROTIAZIDA</t>
  </si>
  <si>
    <t>CINARIZINA + PIRACETAM</t>
  </si>
  <si>
    <t>CIPROFLOXACINO + CLORIDRATO DE CIPROFLOXACINO</t>
  </si>
  <si>
    <t>CITRATO DE FENTANILA + DROPERIDOL</t>
  </si>
  <si>
    <t>CLARITROMICINA + OMEPRAZOL + TINIDAZOL</t>
  </si>
  <si>
    <t>CLOFIBRATO DE ETILA + TARTARATO DE NICOTINILA</t>
  </si>
  <si>
    <t>CLOPAMIDA + PINDOLOL</t>
  </si>
  <si>
    <t>CLORANFENICOL + CLORIDRATO DE TETRIZOLINA + DEXAMETASONA</t>
  </si>
  <si>
    <t>CLORANFENICOL + DESOXIRRIBONUCLEASE + FIBRINOLISINA</t>
  </si>
  <si>
    <t>CLORANFENICOL + DEXAMETASONA</t>
  </si>
  <si>
    <t>CLORANFENICOL + FLUOCINOLONA ACETONIDA</t>
  </si>
  <si>
    <t>CLORIDRATO DE AMILORIDA + FUROSEMIDA</t>
  </si>
  <si>
    <t>CLORIDRATO DE AMILORIDA + HIDROCLOROTIAZIDA</t>
  </si>
  <si>
    <t>CLORIDRATO DE BENAZEPRIL + HIDROCLOROTIAZIDA</t>
  </si>
  <si>
    <t>CLORIDRATO DE BENSERAZIDA + LEVODOPA</t>
  </si>
  <si>
    <t>CLORIDRATO DE CIPROFLOXACINO + DEXAMETASONA</t>
  </si>
  <si>
    <t>CLORIDRATO DE CIPROFLOXACINO + HIDROCORTISONA</t>
  </si>
  <si>
    <t>CLORIDRATO DE DELAPRIL + DICLORIDRATO DE MANIDIPINO</t>
  </si>
  <si>
    <t>CLORIDRATO DE DOPAMINA + GLICOSE</t>
  </si>
  <si>
    <t>CLORIDRATO DE DORZOLAMIDA + MALEATO DE TIMOLOL</t>
  </si>
  <si>
    <t>CLORIDRATO DE FLUOXETINA + OLANZAPINA</t>
  </si>
  <si>
    <t>CLORIDRATO DE HIDROXIZINA + SULFATO DE EFEDRINA + TEOFILINA</t>
  </si>
  <si>
    <t>CLORIDRATO DE METFORMINA + CLORIDRATO DE PIOGLITAZONA</t>
  </si>
  <si>
    <t>CLORIDRATO DE METFORMINA + FOSFATO DE SITAGLIPTINA</t>
  </si>
  <si>
    <t>CLORIDRATO DE METFORMINA + GLIBENCLAMIDA</t>
  </si>
  <si>
    <t>CLORIDRATO DE METFORMINA + GLIMEPIRIDA</t>
  </si>
  <si>
    <t>CLORIDRATO DE METFORMINA + MALEATO DE ROSIGLITAZONA</t>
  </si>
  <si>
    <t>CLORIDRATO DE METFORMINA + NATEGLINIDA</t>
  </si>
  <si>
    <t>CLORIDRATO DE METFORMINA + SAXAGLIPTINA</t>
  </si>
  <si>
    <t>CLORIDRATO DE METFORMINA + VILDAGLIPTINA</t>
  </si>
  <si>
    <t>CLORIDRATO DE NAFAZOLINA + FLUOCINOLONA ACETONIDA + SULFATO DE NEOMICINA + SULFATO DE ZINCO</t>
  </si>
  <si>
    <t>CLORIDRATO DE OXITETRACICLINA + SULFATO DE POLIMIXINA B</t>
  </si>
  <si>
    <t>CLORIDRATO DE PROPRANOLOL + HIDROCLOROTIAZIDA</t>
  </si>
  <si>
    <t>CLORIDRATO DE VERAPAMIL + TRANDOLAPRIL</t>
  </si>
  <si>
    <t>CLOROBUTANOL + METABORATO DE ETILA + TIROTRICINA</t>
  </si>
  <si>
    <t>CLORTALIDONA + RESERPINA</t>
  </si>
  <si>
    <t>DALFOPRISTINA + QUINUPRISTINA</t>
  </si>
  <si>
    <t>DECANOATO DE TESTOSTERONA + FEMPROPIONATO DE TESTOSTERONA + ISOCAPROATO DE TESTOSTERONA + PROPIONATO DE TESTOSTERONA</t>
  </si>
  <si>
    <t>DESOGESTREL + ETINILESTRADIOL</t>
  </si>
  <si>
    <t>DESOXIMETASONA + SULFATO DE NEOMICINA</t>
  </si>
  <si>
    <t>DESOXIRRIBONUCLEASE + FIBRINOLISINA</t>
  </si>
  <si>
    <t>DESOXIRRIBONUCLEASE + FIBRINOLISINA + GENTAMICINA</t>
  </si>
  <si>
    <t>DEXAMETASONA + HIPROMELOSE + SULFATO DE NEOMICINA + SULFATO DE POLIMIXINA B</t>
  </si>
  <si>
    <t>DEXAMETASONA + SULFATO DE GENTAMICINA</t>
  </si>
  <si>
    <t>DEXAMETASONA + SULFATO DE NEOMICINA + SULFATO DE POLIMIXINA B</t>
  </si>
  <si>
    <t>DEXAMETASONA + TOBRAMICINA</t>
  </si>
  <si>
    <t>DIACETATO DE ETINODIOL + ETINILESTRADIOL</t>
  </si>
  <si>
    <t>DIASTASE + DIMETICONA + PANCREATINA + PEPSINA</t>
  </si>
  <si>
    <t>DIASTASE + PANCREATINA + PEPSINA</t>
  </si>
  <si>
    <t>DICLORIDRATO DE FLUNARIZINA + MESILATO DE DIIDROERGOCRISTINA</t>
  </si>
  <si>
    <t>DICLORIDRATO DE TRIFLUOPERAZINA + SULFATO DE TRANILCIPROMINA</t>
  </si>
  <si>
    <t>DIDROGESTERONA + ESTRADIOL</t>
  </si>
  <si>
    <t>DIMETICONA + METILBROMETO DE HOMATROPINA</t>
  </si>
  <si>
    <t>DIMETICONA + PANCREATINA</t>
  </si>
  <si>
    <t>DIPROPIONATO DE BECLOMETASONA + FUMARATO DE FORMOTEROL</t>
  </si>
  <si>
    <t>DIPROPIONATO DE BECLOMETASONA + SALBUTAMOL</t>
  </si>
  <si>
    <t>DROSPIRENONA + ESTRADIOL</t>
  </si>
  <si>
    <t>DROSPIRENONA + ETINILESTRADIOL</t>
  </si>
  <si>
    <t>EFAVIRENZ + ENTRICITABINA + FUMARATO DE TENOFOVIR DESOPROXILA</t>
  </si>
  <si>
    <t>ENANTATO DE HIDROXIPROGESTERONA + HEXAHIDROBENZOATO DE TESTOSTERONA + HEXAIDROBENZOATO DE ESTRADIOL</t>
  </si>
  <si>
    <t>ENANTATO DE NORETISTERONA + VALERATO DE ESTRADIOL</t>
  </si>
  <si>
    <t>ESPIRAMICINA + METRONIDAZOL</t>
  </si>
  <si>
    <t>ESPIRONOLACTONA + FUROSEMIDA</t>
  </si>
  <si>
    <t>ESPIRONOLACTONA + HIDROCLOROTIAZIDA</t>
  </si>
  <si>
    <t>ESTRADIOL + GESTODENO</t>
  </si>
  <si>
    <t>ESTRADIOL + LEVONORGESTREL</t>
  </si>
  <si>
    <t>ESTRADIOL + MEDROXIPROGESTERONA</t>
  </si>
  <si>
    <t>ESTRADIOL + NORGESTIMATO</t>
  </si>
  <si>
    <t>ESTRADIOL + TRIMEGESTONA</t>
  </si>
  <si>
    <t>ETINILESTRADIOL + ETONOGESTREL</t>
  </si>
  <si>
    <t>ETINILESTRADIOL + GESTODENO</t>
  </si>
  <si>
    <t>ETINILESTRADIOL + HIDROXIPROGESTERONA</t>
  </si>
  <si>
    <t>ETINILESTRADIOL + LEVONORGESTREL</t>
  </si>
  <si>
    <t>ETINILESTRADIOL + LEVONORGESTREL + PIRIDOXINA</t>
  </si>
  <si>
    <t>ETINILESTRADIOL + LINESTRENOL</t>
  </si>
  <si>
    <t>ETINILESTRADIOL + NORELGESTROMINA</t>
  </si>
  <si>
    <t>ETINILESTRADIOL + NORETISTERONA</t>
  </si>
  <si>
    <t>ETINILESTRADIOL + NORGESTIMATO</t>
  </si>
  <si>
    <t>ETINILESTRADIOL + NORGESTREL</t>
  </si>
  <si>
    <t>ETINILESTRADIOL + NORMETADONA</t>
  </si>
  <si>
    <t>EZETIMIBA + SINVASTATINA</t>
  </si>
  <si>
    <t>FELODIPINO + SUCCINATO DE METOPROLOL</t>
  </si>
  <si>
    <t>FLUORMETOLONA + SULFATO DE GENTAMICINA</t>
  </si>
  <si>
    <t>FLUORMETOLONA + SULFATO DE NEOMICINA</t>
  </si>
  <si>
    <t>FUMARATO DE BISOPROLOL + HIDROCLOROTIAZIDA</t>
  </si>
  <si>
    <t>FUROSEMIDA + TRIANTERENO</t>
  </si>
  <si>
    <t>GLIMEPIRIDA + MALEATO DE ROSIGLITAZONA</t>
  </si>
  <si>
    <t>GUAIFENESINA + SULFATO DE TERBUTALINA</t>
  </si>
  <si>
    <t>HEMIFUMARATO DE ALISQUIRENO + HIDROCLOROTIAZIDA</t>
  </si>
  <si>
    <t>HIDROCLOROTIAZIDA + IRBESARTANA</t>
  </si>
  <si>
    <t>HIDROCLOROTIAZIDA + LISINOPRIL</t>
  </si>
  <si>
    <t>HIDROCLOROTIAZIDA + LOSARTANA</t>
  </si>
  <si>
    <t>HIDROCLOROTIAZIDA + MALEATO DE ENALAPRIL</t>
  </si>
  <si>
    <t>HIDROCLOROTIAZIDA + MESILATO DE EPROSARTANA</t>
  </si>
  <si>
    <t>HIDROCLOROTIAZIDA + METILDOPA</t>
  </si>
  <si>
    <t>HIDROCLOROTIAZIDA + OLMESARTANA MEDOXOMILA</t>
  </si>
  <si>
    <t>HIDROCLOROTIAZIDA + RAMIPRIL</t>
  </si>
  <si>
    <t>HIDROCLOROTIAZIDA + RESERPINA + SULFATO DE DIIDRALAZINA</t>
  </si>
  <si>
    <t>HIDROCLOROTIAZIDA + SUCCINATO DE METOPROLOL</t>
  </si>
  <si>
    <t>HIDROCLOROTIAZIDA + TARTARATO DE METOPROLOL</t>
  </si>
  <si>
    <t>HIDROCLOROTIAZIDA + TELMISARTANA</t>
  </si>
  <si>
    <t>HIDROCLOROTIAZIDA + TRIANTERENO</t>
  </si>
  <si>
    <t>HIDROCLOROTIAZIDA + VALSARTANA</t>
  </si>
  <si>
    <t>HIDROCORTISONA + SULFATO DE NEOMICINA + SULFATO DE POLIMIXINA B</t>
  </si>
  <si>
    <t>INDAPAMIDA + PERINDOPRIL ERBUMINA</t>
  </si>
  <si>
    <t>IOPIDOL + IOPIDONA</t>
  </si>
  <si>
    <t>IOXITALAMATO DE MEGLUMINA + POVIDONA</t>
  </si>
  <si>
    <t>ISONIAZIDA + RIFAMPICINA</t>
  </si>
  <si>
    <t>LAMIVUDINA + SULFATO DE ABACAVIR</t>
  </si>
  <si>
    <t>LAMIVUDINA + SULFATO DE ABACAVIR + ZIDOVUDINA</t>
  </si>
  <si>
    <t>LAMIVUDINA + ZIDOVUDINA</t>
  </si>
  <si>
    <t>LATANOPROSTA + MALEATO DE TIMOLOL</t>
  </si>
  <si>
    <t>LEVONORGESTREL + VALERATO DE ESTRADIOL</t>
  </si>
  <si>
    <t>LOMIFILINA + MESILATO DE DIIDROERGOCRISTINA</t>
  </si>
  <si>
    <t>LOPINAVIR + RITONAVIR</t>
  </si>
  <si>
    <t>MALEATO DE TIMOLOL + TARTARATO DE BRIMONIDINA</t>
  </si>
  <si>
    <t>MALEATO DE TIMOLOL + TRAVOPROSTA</t>
  </si>
  <si>
    <t>MEBENDAZOL + TIABENDAZOL</t>
  </si>
  <si>
    <t>MEGLUMINA + POVIDONA</t>
  </si>
  <si>
    <t>MESILATO DE CODERGOCRINA + PIRACETAM</t>
  </si>
  <si>
    <t>MESILATO DE DIIDROERGOCRISTINA + PIRACETAM</t>
  </si>
  <si>
    <t>METFORMINA + NATEGLINIDA</t>
  </si>
  <si>
    <t>NEOMICINA + TIABENDAZOL</t>
  </si>
  <si>
    <t>NORETISTERONA + VALERATO DE ESTRADIOL</t>
  </si>
  <si>
    <t>PIRIMETAMINA + SULFADOXINA</t>
  </si>
  <si>
    <t>PROPIONATO DE FLUTICASONA + XINAFOATO DE SALMETEROL</t>
  </si>
  <si>
    <t>PROPOFOL + REMIFENTANILA</t>
  </si>
  <si>
    <t>RIFAMPICINA + TEICOPLANINA</t>
  </si>
  <si>
    <t>SINVASTATINA + VALSARTANA</t>
  </si>
  <si>
    <t>SULFADIAZINA + TRIMETOPRIMA</t>
  </si>
  <si>
    <t>SULFAMETOXAZOL + TRIMETOPRIMA</t>
  </si>
  <si>
    <t>SULFATO DE CONDROITINA + SULFATO DE GLICOSAMINA</t>
  </si>
  <si>
    <t>SULFATO DE EFEDRINA + TEOFILINA</t>
  </si>
  <si>
    <t>SULFATO DE NEOMICINA + SULFATO DE POLIMIXINA B</t>
  </si>
  <si>
    <t>TEGAFUR + URACILA</t>
  </si>
  <si>
    <t>VACINA CONTRA HAEMOPHYLUS INFLUENZAE TIPO A + TIPO B</t>
  </si>
  <si>
    <t xml:space="preserve">ALFALGLICOSIDASE </t>
  </si>
  <si>
    <t xml:space="preserve">ANIDULAFUNGINA </t>
  </si>
  <si>
    <t xml:space="preserve">CEDIRANIBE </t>
  </si>
  <si>
    <t xml:space="preserve">SAXAGLIPTINA </t>
  </si>
  <si>
    <t xml:space="preserve">TREMELIMUMABE </t>
  </si>
  <si>
    <t xml:space="preserve">ARGININA + CEFEPIMA </t>
  </si>
  <si>
    <t>ALFAMILASE + LIPASE + PROTEASE PANCREATICA</t>
  </si>
  <si>
    <t>AMOXICILINA + CLAVULANATO DE POTASSIO</t>
  </si>
  <si>
    <t>ATORVASTATINA CALCICA + BESILATO DE ANLODIPINO</t>
  </si>
  <si>
    <t>ATORVASTATINA CALCICA + TORCETRAPIBE</t>
  </si>
  <si>
    <t>BESILATO DE ANLODIPINO + LOSARTANA POTASSICA</t>
  </si>
  <si>
    <t>CARMELOSE + SULFATO DE BARIO</t>
  </si>
  <si>
    <t>CLAVULANATO DE POTASSIO + TICARCILINA</t>
  </si>
  <si>
    <t>CLORETO DE POTASSIO + FUROSEMIDA</t>
  </si>
  <si>
    <t>DIMETICONA + SULFATO DE BARIO</t>
  </si>
  <si>
    <t>HIDROCLOROTIAZIDA + LOSARTANA POTASSICA</t>
  </si>
  <si>
    <t>LOSARTANA POTASSICA + NIFEDIPINO</t>
  </si>
  <si>
    <t>C-GUERIN (BCG – CEPA CONNAUGHT)</t>
  </si>
  <si>
    <t>NICOTINA (APRESENTADA EM ADESIVO TRANSDERMICO)</t>
  </si>
  <si>
    <t>TESTOSTERONA (APRESENTADA EM ADESIVO TRANSDERMICO)</t>
  </si>
  <si>
    <t>ARTEMETER + LUMEFANTRINA</t>
  </si>
  <si>
    <t>CLOROBUTANOL + TIROTRICINA + UREIA</t>
  </si>
  <si>
    <t>ESOMEPRAZOL MAGNESIO + NAPROXENO</t>
  </si>
  <si>
    <t xml:space="preserve">ESOMEPRAZOL MAGNESIO + NAPROXENO </t>
  </si>
  <si>
    <t>ACETATO DE MEDROXIPROGESTERONA + ESTROGENIOS CONJUGADOS</t>
  </si>
  <si>
    <t>APROTININA + CLORETO DE CALCIO + FIBRINOGENIO + TROMBINA</t>
  </si>
  <si>
    <t>CLORETO DE CALCIO + FIBRINOGENIO + TROMBINA</t>
  </si>
  <si>
    <t>FIBRINOGENIO HUMANO + TROMBINA  HUMANA</t>
  </si>
  <si>
    <t>VACINA ANTICATARRAL + VACINA ANTIPIOGENICA</t>
  </si>
  <si>
    <t>ACETATO DE FLUDROCORTISONA + CLORIDRATO DE LIDOCAINA + NITROFURAL + SULFATO DE NEOMICINA + SULFATO DE POLIMIXINA B</t>
  </si>
  <si>
    <t>ACIDO ACETIL SALICILICO + BISSULFATO DE CLOPIDOGREL</t>
  </si>
  <si>
    <t>ACIDO ACETILSALICILICO + MONONITRATO DE ISOSSORBIDA</t>
  </si>
  <si>
    <t>ACIDO ACETILSALICILICO + NIFEDIPINO</t>
  </si>
  <si>
    <t>ACIDO ACETILSALICILICO + SINVASTATINA</t>
  </si>
  <si>
    <t>ACIDO FENOFIBRICO + ROSUVASTATINA CALCIA</t>
  </si>
  <si>
    <t>ACIDO NICOTINICO + LAROPIPRANTO</t>
  </si>
  <si>
    <t>ACIDO NICOTINICO + LOVASTATINA</t>
  </si>
  <si>
    <t>ALCOOL POLIVINILICO + FLUORMETOLONA</t>
  </si>
  <si>
    <t>BACITRACINA ZINCICA + SULFATO DE NEOMICINA</t>
  </si>
  <si>
    <t>BENZILPENICILINA POTASSICA + BENZILPENICILINA PROCAINA</t>
  </si>
  <si>
    <t>CLORANFENICOL + CLORFENESINA + CLORIDRATO DE LIDOCAINA + UREIA</t>
  </si>
  <si>
    <t>CLORANFENICOL + CLORIDRATO DE LIDOCAINA</t>
  </si>
  <si>
    <t>CLORANFENICOL + CLORIDRATO DE LIDOCAINA + DEXAMETASONA</t>
  </si>
  <si>
    <t>CLORFENESINA + CLORIDRATO DE TETRACAINA + VALERATO DE BETAMETASONA</t>
  </si>
  <si>
    <t>CLORIDRATO DE ARTICAINA + HEMITARTARATO DE EPINEFRINA</t>
  </si>
  <si>
    <t>CLORIDRATO DE BUPIVACAINA + EPINEFRINA</t>
  </si>
  <si>
    <t>CLORIDRATO DE BUPIVACAINA + GLICOSE</t>
  </si>
  <si>
    <t>CLORIDRATO DE FENILEFRINA + CLORIDRATO DE LIDOCAINA</t>
  </si>
  <si>
    <t>CLORIDRATO DE LIDOCAINA + EPINEFRINA</t>
  </si>
  <si>
    <t>CLORIDRATO DE LIDOCAINA + FLUOCINOLONA ACETONIDA + SULFATO DE NEOMICINA + SULFATO DE POLIMIXINA B</t>
  </si>
  <si>
    <t>CLORIDRATO DE LIDOCAINA + GLICOSE</t>
  </si>
  <si>
    <t>CLORIDRATO DE LIDOCAINA + HEMITARTARATO DE EPINEFRINA</t>
  </si>
  <si>
    <t>CLORIDRATO DE LIDOCAINA + HEMITARTARATO DE NOREPINEFRINA</t>
  </si>
  <si>
    <t>CLORIDRATO DE LIDOCAINA + SULFATO DE GLICOSAMINA</t>
  </si>
  <si>
    <t>CLORIDRATO DE LIDOCAINA + SULFATO DE NEOMICINA</t>
  </si>
  <si>
    <t>CLORIDRATO DE LIDOCAINA + SULFATO DE NEOMICINA + SULFATO DE POLIMIXINA B + TRIANCINOLONA ACETONIDA</t>
  </si>
  <si>
    <t>CLORIDRATO DE LIDOCAINA + SULFATO DE POLIMIXINA B</t>
  </si>
  <si>
    <t>CLORIDRATO DE MEPIVACAINA + CORBADRINA</t>
  </si>
  <si>
    <t>CLORIDRATO DE MEPIVACAINA + EPINEFRINA</t>
  </si>
  <si>
    <t>CLORIDRATO DE MEPIVACAINA + HEMITARTARATO DE EPINEFRINA</t>
  </si>
  <si>
    <t>CLORIDRATO DE MEPIVACAINA + HEMITARTARATO DE NOREPINEFRINA</t>
  </si>
  <si>
    <t>CLORIDRATO DE OXITETRACICLINA + LIDOCAINA</t>
  </si>
  <si>
    <t>CLORIDRATO DE PRILOCAINA + FELIPRESSINA</t>
  </si>
  <si>
    <t>HEPARINA + HIALURONIDASE + LIDOCAINA</t>
  </si>
  <si>
    <t>HIALURONIDASE + LIDOCAINA + SULFATO DE NEOMICINA</t>
  </si>
  <si>
    <t>LIDOCAINA + PRILOCAINA</t>
  </si>
  <si>
    <t>SINVASTATINA + ACIDO ACETILSALICILICO</t>
  </si>
  <si>
    <t>FOSFOLIPIDEOS (LECITINA) DA GEMA DO OVO</t>
  </si>
  <si>
    <t>DIFOSFATO DE DIETILESTILBESTROL TETRASSODIC</t>
  </si>
  <si>
    <t>SACARATO DE HIDROXIDO FERRICO (ENDOVENOSO)</t>
  </si>
  <si>
    <t>SUGAMADEX SODICO</t>
  </si>
  <si>
    <t>ACETATO DE BETAMETASONA + FOSFATO DISSODICO DE BETAMETASONA</t>
  </si>
  <si>
    <t>ACETATO DE DEXAMETASONA + FOSFATO DISSODICO DE DEXAMETASONA</t>
  </si>
  <si>
    <t>ACETATO DE FLUDROCORTISONA + CLORIDRATO DE LIDOCAINA + DIMETILSULFOXIDO + MENTOL + NITROFURAL + SULFATO DE NEOMICINA</t>
  </si>
  <si>
    <t>ACETATO DE PREDNISOLONA + HIPROMELOSE + SULFACETAMIDA SODICA</t>
  </si>
  <si>
    <t>ACETATO DE PREDNISOLONA + SULFACETAMIDA SODICA</t>
  </si>
  <si>
    <t>ACIDO AMINOCAPROICO + ANTIGENOS BACTERIANOS + BENZILPENICILINA</t>
  </si>
  <si>
    <t>ACIDO BENZOICO + ACIDO SALICILICO</t>
  </si>
  <si>
    <t>ACIDO BORICO + ACIDO SALICILICO + CLORIDRATO DE PROCAINA + TIROTRICINA</t>
  </si>
  <si>
    <t>ACIDO BORICO + CLORANFENICOL + CLORIDRATO DE TETRACAINA + SULFACETAMIDA SODICA + UREIA</t>
  </si>
  <si>
    <t>ACIDO DESIDROCOLICO + CELULASE + CLORIDRATO DE METOCLOPRAMIDA + DIMETICONA + PANCREATINA + PEPSINA</t>
  </si>
  <si>
    <t>ACIDO VALPROICO + VALPROATO DE SODIO</t>
  </si>
  <si>
    <t>ALENDRONATO DE SODIO + CARBONATO DE CALCIO + COLECALCIFEROL</t>
  </si>
  <si>
    <t>ALENDRONATO DE SODIO + COLECALCIFEROL</t>
  </si>
  <si>
    <t>AMOXICILINA SODICA + CLAVULANATO DE POTASSIO</t>
  </si>
  <si>
    <t>AMPICILINA BENZATINA + AMPICILINA SODICA</t>
  </si>
  <si>
    <t>BETAESCINA + HEPARINA SODICA + SALICILATO DE ETILENOGLICOL</t>
  </si>
  <si>
    <t>BROMELAINA + DESIDROCOLATO DE SODIO + DIMETICONA + METOCLOPRAMIDA + PANCREATINA</t>
  </si>
  <si>
    <t>BROMETO DE IPRATROPIO + BROMIDRATO DE FENOTEROL</t>
  </si>
  <si>
    <t>BROMETO DE IPRATROPIO + SULFATO DE SALBUTAMOL</t>
  </si>
  <si>
    <t>CARBONATO DE CALCIO + COLECALCIFEROL + RISEDRONATO SODICO</t>
  </si>
  <si>
    <t>CARBONATO DE SODIO + CLORIDRATO DE PROCAINA + FENOL</t>
  </si>
  <si>
    <t>CIANOCOBALAMINA + CLORIDRATO DE PIRIDOXINA + CLORIDRATO DE TIAMINA + DICLOFENACO SODICO</t>
  </si>
  <si>
    <t>CIANOCOBALAMINA + CLORIDRATO DE PIRIDOXINA + DICLOFENACO SODICO + NITRATO DE TIAMINA</t>
  </si>
  <si>
    <t>CILASTATINA SODICA + IMIPENEM</t>
  </si>
  <si>
    <t>CLORANFENICOL + CLORIDRATO DE TETRACAINA + SULFACETAMIDA SODICA</t>
  </si>
  <si>
    <t>CLORANFENICOL + SULFACETAMIDA SODICA</t>
  </si>
  <si>
    <t>CLORDIAZEPOXIDO + CLORIDRATO DE AMITRIPTILINA</t>
  </si>
  <si>
    <t>CLORETO DE MAGNESIO + DESIDROCOLATO DE SODIO + DIASTASE + HOMOCISTEINATIOLACTONA + NICOTINAMIDA + PANCREATINA + PAPAINA + PEPSINA + PIRIDOXINA + RIBOFLAVINA + TIAMINA</t>
  </si>
  <si>
    <t>CLORIDRATO DE ADIFENINA + CLORIDRATO DE PROMETAZINA + DIPIRONA SODICA</t>
  </si>
  <si>
    <t>CLORIDRATO DE MOXIFLOXACINO + FOSFATO DISSODICO DE DEXAMETASONA</t>
  </si>
  <si>
    <t>CUMARINA + HEPARINA SODICA</t>
  </si>
  <si>
    <t>DEXPANTENOL + DIMETILSULFOXIDO + HEPARINA SODICA</t>
  </si>
  <si>
    <t>DIATRIZOATO DE MEGLUMINA + DIATRIZOATO DE SODIO</t>
  </si>
  <si>
    <t>DIPROPIONATO DE BETAMETASONA + FOSFATO DISSODICO DE BETAMETASONA</t>
  </si>
  <si>
    <t>EXTRATO DE CARTILAGEM + EXTRATO DE MEDULA OSSEA</t>
  </si>
  <si>
    <t>FOSFATO DISSODICO DE BETAMETASONA + SULFATO DE GENTAMICINA</t>
  </si>
  <si>
    <t>FOSFATO DISSODICO DE DEXAMETASONA + SULFATO DE NEOMICINA</t>
  </si>
  <si>
    <t>FOSINOPRIL SODICO + HIDROCLOROTIAZIDA</t>
  </si>
  <si>
    <t>HEPARINA SODICA + NICOTINATO DE BENZILA</t>
  </si>
  <si>
    <t>IOXAGLATO DE MEGLUMINA  + IOXAGLATO DE SODIO</t>
  </si>
  <si>
    <t>IOXITALAMATO DE MEGLUMINA + IOXITALAMATO DE SODIO</t>
  </si>
  <si>
    <t>LEVOTIROXINA SODICA + LIOTIRONINA SODICA</t>
  </si>
  <si>
    <t>NAPROXENO SODICO + SUCCINATO DE SUMATRIPTANA</t>
  </si>
  <si>
    <t>PIPERACILINA SODICA + TAZOBACTAM SODICO</t>
  </si>
  <si>
    <t>SORO ANTIBOTROPICO + SORO ANTICROTALICO</t>
  </si>
  <si>
    <t>SORO ANTIBOTROPICO + SORO LAQUETICO</t>
  </si>
  <si>
    <t>SULFATO DE GLICOSAMINA + SULFATO SODICO DE CONDROITINA</t>
  </si>
  <si>
    <t>TOXOIDE DIFTERICO + TOXOIDE TETANICO + TOXOIDE PERTUSSIS + HEMAGLUTININA FILAMENTOSA + PERTACTINA + AGG 2+3 + VIRUS INATIVADOS DA POLIOMIELITE E POLISSACARIDEO DE HIB CONJUGADO COM PROTEINA TETANICA</t>
  </si>
  <si>
    <t>TOXOIDE DIFTERICO + TOXOIDE TETANICO + TOXOIDE PERTUSSIS + HEMAGLUTININA FILAMENTOSA + VIRUS INATIVADOS DA POLIOMIELITE + VIRUS DA HEPATITE B RECOMBINANTE E POLISSACARIDEO DE HIB CONJUGADO COM PROTEINA TETANICA</t>
  </si>
  <si>
    <t>HORMONIO FOLICULO ESTIMULANTE + HORMONIO LUTEINIZANTE</t>
  </si>
  <si>
    <t>ACICLOVIR  (EXCETO QUANDO DESTINADO À FORMULACAO DERMATOLOGICA)</t>
  </si>
  <si>
    <t>ALPROSTADIL (EXCETO QUANDO DESTINADO À FORMULACAO PARA DIAGNOSTICO E TRATAMENTO DA DISFUNCAO ERETIL)</t>
  </si>
  <si>
    <t>ANTIINIBIDOR DOS FATORES DE COAGULACAO VIII E IX</t>
  </si>
  <si>
    <t>CETOCONAZOL (EXCETO QUANDO DESTINADO À FORMULACAO DERMATOLOGICA)</t>
  </si>
  <si>
    <t>CITRATO DE SILDENAFILA EXCETO QUANDO DESTINADO À FORMULACAO PARA DIAGNOSTICO E TRATAMENTO DA DISFUNCAO ERETIL</t>
  </si>
  <si>
    <t>CLORIDRATO DE BENZIDAMINA (EXCETO QUANDO DESTINADO ÀS FORMULACOES TOPICAS)</t>
  </si>
  <si>
    <t>CLORIDRATO DE CLINDAMICINA (EXCETO QUANDO DESTINADO A FORMULACOES TOPICAS)</t>
  </si>
  <si>
    <t>CLORIDRATO DE DULOXETINA (EXCETO QUANDO DESTINADO À FORMULACAO PARA TRATAMENTO DA INCONTINENCIA URINARIA)</t>
  </si>
  <si>
    <t>FATOR DE COAGULACAO VIIA</t>
  </si>
  <si>
    <t>FATOR VIII DE COAGULACAO</t>
  </si>
  <si>
    <t>FATOR XIII DE COAGULACAO</t>
  </si>
  <si>
    <t>FINASTERIDA (EXCETO QUANDO DESTINADO EM FORMULACOES PARA TRATAMENTO DA ALOPECIA)</t>
  </si>
  <si>
    <t>FOSFATO DE CLINDAMICINA (EXCETO QUANDO DESTINADO A FORMULACOES TOPICAS)</t>
  </si>
  <si>
    <t>FRACAO FOSFOLIPIDICA DE PULMAO</t>
  </si>
  <si>
    <t>MINOXIDIL (EXCETO QUANDO DESTINADO EM FORMULACOES PARA TRATAMENTO DA ALOPECIA)</t>
  </si>
  <si>
    <t>SULFATO DE ATROPINA (QUANDO DESTINADO À FORMULACAO INJETAVEL)</t>
  </si>
  <si>
    <t>APROTININA + FATOR XIII DE COAGULACAO + FIBRINOGENIO + TROMBINA</t>
  </si>
  <si>
    <t>FATOR II DE COAGULACAO + FATOR IX DE COAGULACAO</t>
  </si>
  <si>
    <t>FATOR II DE COAGULACAO + FATOR IX DE COAGULACAO + FATOR VII DE COAGULACAO + FATOR X DE COAGULACAO</t>
  </si>
  <si>
    <t>FATOR IX DE COAGULACAO + FATOR VIII DE COAGULACAO</t>
  </si>
  <si>
    <t>AGUA PARA INJECAO</t>
  </si>
  <si>
    <t>18.00</t>
  </si>
  <si>
    <t>0.00</t>
  </si>
  <si>
    <t>2.00</t>
  </si>
  <si>
    <t>4.00</t>
  </si>
  <si>
    <t>12.00</t>
  </si>
  <si>
    <t>10.00</t>
  </si>
  <si>
    <t>7.60</t>
  </si>
  <si>
    <t>1.65</t>
  </si>
  <si>
    <t>6.00</t>
  </si>
  <si>
    <t>7.00</t>
  </si>
  <si>
    <t>5.00</t>
  </si>
  <si>
    <t>33.00</t>
  </si>
  <si>
    <t>14.00</t>
  </si>
  <si>
    <t>28.00</t>
  </si>
  <si>
    <t>16.00</t>
  </si>
  <si>
    <t>34.56</t>
  </si>
  <si>
    <t>42.17</t>
  </si>
  <si>
    <t>38.09</t>
  </si>
  <si>
    <t>18.75</t>
  </si>
  <si>
    <t>8.00</t>
  </si>
  <si>
    <t>35.00</t>
  </si>
  <si>
    <t>42.33</t>
  </si>
  <si>
    <t>55.00</t>
  </si>
  <si>
    <t>40.00</t>
  </si>
  <si>
    <t>21.61</t>
  </si>
  <si>
    <t>45.08</t>
  </si>
  <si>
    <t>59.49</t>
  </si>
  <si>
    <t>177.19</t>
  </si>
  <si>
    <t>43.76</t>
  </si>
  <si>
    <t>15.81</t>
  </si>
  <si>
    <t>24.51</t>
  </si>
  <si>
    <t>18.41</t>
  </si>
  <si>
    <t>21.73</t>
  </si>
  <si>
    <t>19.59</t>
  </si>
  <si>
    <t>30.00</t>
  </si>
  <si>
    <t>20.00</t>
  </si>
  <si>
    <t>28.08</t>
  </si>
  <si>
    <t>35.31</t>
  </si>
  <si>
    <t>40.83</t>
  </si>
  <si>
    <t>37.01</t>
  </si>
  <si>
    <t>47.68</t>
  </si>
  <si>
    <t>35.87</t>
  </si>
  <si>
    <t>32.00</t>
  </si>
  <si>
    <t>19.05</t>
  </si>
  <si>
    <t>48.60</t>
  </si>
  <si>
    <t>64.36</t>
  </si>
  <si>
    <t>42.83</t>
  </si>
  <si>
    <t>38.89</t>
  </si>
  <si>
    <t>56.68</t>
  </si>
  <si>
    <t>37.95</t>
  </si>
  <si>
    <t>328.00</t>
  </si>
  <si>
    <t>38.85</t>
  </si>
  <si>
    <t>81.42</t>
  </si>
  <si>
    <t>56.55</t>
  </si>
  <si>
    <t>46.98</t>
  </si>
  <si>
    <t>56.06</t>
  </si>
  <si>
    <t>30.69</t>
  </si>
  <si>
    <t>37.59</t>
  </si>
  <si>
    <t>50.51</t>
  </si>
  <si>
    <t>34.17</t>
  </si>
  <si>
    <t>35.20</t>
  </si>
  <si>
    <t>50.04</t>
  </si>
  <si>
    <t>83.07</t>
  </si>
  <si>
    <t>43.39</t>
  </si>
  <si>
    <t>58.61</t>
  </si>
  <si>
    <t>48.28</t>
  </si>
  <si>
    <t>51.62</t>
  </si>
  <si>
    <t>64.41</t>
  </si>
  <si>
    <t>55.61</t>
  </si>
  <si>
    <t>49.58</t>
  </si>
  <si>
    <t>58.36</t>
  </si>
  <si>
    <t>52.29</t>
  </si>
  <si>
    <t>51.52</t>
  </si>
  <si>
    <t>73.16</t>
  </si>
  <si>
    <t>56.04</t>
  </si>
  <si>
    <t>59.97</t>
  </si>
  <si>
    <t>66.50</t>
  </si>
  <si>
    <t>28.74</t>
  </si>
  <si>
    <t>60.61</t>
  </si>
  <si>
    <t>49.72</t>
  </si>
  <si>
    <t>41.23</t>
  </si>
  <si>
    <t>70.00</t>
  </si>
  <si>
    <t>250.00</t>
  </si>
  <si>
    <t>25.00</t>
  </si>
  <si>
    <t>15.00</t>
  </si>
  <si>
    <t>16.65</t>
  </si>
  <si>
    <t>3.50</t>
  </si>
  <si>
    <t>140.00</t>
  </si>
  <si>
    <t>27.00</t>
  </si>
  <si>
    <t>72.25</t>
  </si>
  <si>
    <t>61.05</t>
  </si>
  <si>
    <t>38.86</t>
  </si>
  <si>
    <t>17.25</t>
  </si>
  <si>
    <t>3.75</t>
  </si>
  <si>
    <t>60.00</t>
  </si>
  <si>
    <t>109.63</t>
  </si>
  <si>
    <t>51.90</t>
  </si>
  <si>
    <t>51.87</t>
  </si>
  <si>
    <t>3.00</t>
  </si>
  <si>
    <t>0.65</t>
  </si>
  <si>
    <t>45.00</t>
  </si>
  <si>
    <t>50.00</t>
  </si>
  <si>
    <t>43.00</t>
  </si>
  <si>
    <t>59.00</t>
  </si>
  <si>
    <t>26.08</t>
  </si>
  <si>
    <t>73.90</t>
  </si>
  <si>
    <t>4.60</t>
  </si>
  <si>
    <t>1.00</t>
  </si>
  <si>
    <t>16.25</t>
  </si>
  <si>
    <t>38.00</t>
  </si>
  <si>
    <t>23.44</t>
  </si>
  <si>
    <t>5.08</t>
  </si>
  <si>
    <t>23.20</t>
  </si>
  <si>
    <t>19.42</t>
  </si>
  <si>
    <t>4.21</t>
  </si>
  <si>
    <t>61.31</t>
  </si>
  <si>
    <t>0.82</t>
  </si>
  <si>
    <t>0.18</t>
  </si>
  <si>
    <t>47.40</t>
  </si>
  <si>
    <t>10.20</t>
  </si>
  <si>
    <t>57.94</t>
  </si>
  <si>
    <t>87.01</t>
  </si>
  <si>
    <t>82.12</t>
  </si>
  <si>
    <t>54.89</t>
  </si>
  <si>
    <t>70.33</t>
  </si>
  <si>
    <t>56.82</t>
  </si>
  <si>
    <t>66.70</t>
  </si>
  <si>
    <t>67.42</t>
  </si>
  <si>
    <t>62.40</t>
  </si>
  <si>
    <t>68.82</t>
  </si>
  <si>
    <t>57.30</t>
  </si>
  <si>
    <t>58.48</t>
  </si>
  <si>
    <t>54.07</t>
  </si>
  <si>
    <t>286.37</t>
  </si>
  <si>
    <t>9.90</t>
  </si>
  <si>
    <t>2.10</t>
  </si>
  <si>
    <t>298.80</t>
  </si>
  <si>
    <t>57.60</t>
  </si>
  <si>
    <t>53.00</t>
  </si>
  <si>
    <t>48.43</t>
  </si>
  <si>
    <t>39.00</t>
  </si>
  <si>
    <t>41.00</t>
  </si>
  <si>
    <t>42.00</t>
  </si>
  <si>
    <t>10.30</t>
  </si>
  <si>
    <t>2.20</t>
  </si>
  <si>
    <t>22.00</t>
  </si>
  <si>
    <t>55.57</t>
  </si>
  <si>
    <t>20.90</t>
  </si>
  <si>
    <t>29.87</t>
  </si>
  <si>
    <t>65.10</t>
  </si>
  <si>
    <t>68.73</t>
  </si>
  <si>
    <t>67.50</t>
  </si>
  <si>
    <t>56.74</t>
  </si>
  <si>
    <t>66.30</t>
  </si>
  <si>
    <t>68.04</t>
  </si>
  <si>
    <t>77.63</t>
  </si>
  <si>
    <t>112.46</t>
  </si>
  <si>
    <t>71.78</t>
  </si>
  <si>
    <t>70.70</t>
  </si>
  <si>
    <t>62.70</t>
  </si>
  <si>
    <t>41.37</t>
  </si>
  <si>
    <t>63.33</t>
  </si>
  <si>
    <t>28.32</t>
  </si>
  <si>
    <t>6.15</t>
  </si>
  <si>
    <t>80.00</t>
  </si>
  <si>
    <t>57.00</t>
  </si>
  <si>
    <t>56.00</t>
  </si>
  <si>
    <t>52.00</t>
  </si>
  <si>
    <t>49.00</t>
  </si>
  <si>
    <t>52.97</t>
  </si>
  <si>
    <t>0.04</t>
  </si>
  <si>
    <t>0.01</t>
  </si>
  <si>
    <t>46.00</t>
  </si>
  <si>
    <t>75.00</t>
  </si>
  <si>
    <t>94.34</t>
  </si>
  <si>
    <t>10.80</t>
  </si>
  <si>
    <t>2.30</t>
  </si>
  <si>
    <t>65.23</t>
  </si>
  <si>
    <t>9.50</t>
  </si>
  <si>
    <t>105.00</t>
  </si>
  <si>
    <t>51.31</t>
  </si>
  <si>
    <t>68.54</t>
  </si>
  <si>
    <t>101.00</t>
  </si>
  <si>
    <t>72.18</t>
  </si>
  <si>
    <t>74.00</t>
  </si>
  <si>
    <t>72.02</t>
  </si>
  <si>
    <t>67.19</t>
  </si>
  <si>
    <t>77.00</t>
  </si>
  <si>
    <t>36.00</t>
  </si>
  <si>
    <t>126.00</t>
  </si>
  <si>
    <t>3.20</t>
  </si>
  <si>
    <t>0.80</t>
  </si>
  <si>
    <t>37.75</t>
  </si>
  <si>
    <t>57.42</t>
  </si>
  <si>
    <t>69.11</t>
  </si>
  <si>
    <t>64.60</t>
  </si>
  <si>
    <t>44.60</t>
  </si>
  <si>
    <t>45.50</t>
  </si>
  <si>
    <t>79.00</t>
  </si>
  <si>
    <t>52.36</t>
  </si>
  <si>
    <t>67.75</t>
  </si>
  <si>
    <t>62.78</t>
  </si>
  <si>
    <t>58.42</t>
  </si>
  <si>
    <t>61.28</t>
  </si>
  <si>
    <t>64.02</t>
  </si>
  <si>
    <t>64.52</t>
  </si>
  <si>
    <t>92.00</t>
  </si>
  <si>
    <t>127.00</t>
  </si>
  <si>
    <t>126.67</t>
  </si>
  <si>
    <t>26.00</t>
  </si>
  <si>
    <t>54.00</t>
  </si>
  <si>
    <t>93.00</t>
  </si>
  <si>
    <t>69.09</t>
  </si>
  <si>
    <t>48.00</t>
  </si>
  <si>
    <t>71.00</t>
  </si>
  <si>
    <t>67.00</t>
  </si>
  <si>
    <t>34.00</t>
  </si>
  <si>
    <t>58.00</t>
  </si>
  <si>
    <t>81.00</t>
  </si>
  <si>
    <t>76.00</t>
  </si>
  <si>
    <t>69.00</t>
  </si>
  <si>
    <t>91.00</t>
  </si>
  <si>
    <t>99.00</t>
  </si>
  <si>
    <t>44.00</t>
  </si>
  <si>
    <t>0.75</t>
  </si>
  <si>
    <t>0.16</t>
  </si>
  <si>
    <t>72.00</t>
  </si>
  <si>
    <t>37.00</t>
  </si>
  <si>
    <t>8.80</t>
  </si>
  <si>
    <t>65.00</t>
  </si>
  <si>
    <t>9.60</t>
  </si>
  <si>
    <t>89.00</t>
  </si>
  <si>
    <t>0.07</t>
  </si>
  <si>
    <t>0.02</t>
  </si>
  <si>
    <t>5.60</t>
  </si>
  <si>
    <t>41.79</t>
  </si>
  <si>
    <t>68.00</t>
  </si>
  <si>
    <t>51.00</t>
  </si>
  <si>
    <t>56.28</t>
  </si>
  <si>
    <t>147.97</t>
  </si>
  <si>
    <t>62.00</t>
  </si>
  <si>
    <t>86.00</t>
  </si>
  <si>
    <t>88.00</t>
  </si>
  <si>
    <t>44.53</t>
  </si>
  <si>
    <t>66.00</t>
  </si>
  <si>
    <t>47.00</t>
  </si>
  <si>
    <t>46.63</t>
  </si>
  <si>
    <t>73.00</t>
  </si>
  <si>
    <t>60.42</t>
  </si>
  <si>
    <t>52.61</t>
  </si>
  <si>
    <t>66.54</t>
  </si>
  <si>
    <t>50.82</t>
  </si>
  <si>
    <t>46.82</t>
  </si>
  <si>
    <t>69.14</t>
  </si>
  <si>
    <t>67.95</t>
  </si>
  <si>
    <t>43.42</t>
  </si>
  <si>
    <t>42.06</t>
  </si>
  <si>
    <t>38.07</t>
  </si>
  <si>
    <t>51.03</t>
  </si>
  <si>
    <t>42.13</t>
  </si>
  <si>
    <t>8.50</t>
  </si>
  <si>
    <t>43.06</t>
  </si>
  <si>
    <t>80.80</t>
  </si>
  <si>
    <t>41.34</t>
  </si>
  <si>
    <t>77.04</t>
  </si>
  <si>
    <t>37.33</t>
  </si>
  <si>
    <t>71.17</t>
  </si>
  <si>
    <t>24.00</t>
  </si>
  <si>
    <t>42.14</t>
  </si>
  <si>
    <t>64.00</t>
  </si>
  <si>
    <t>67.60</t>
  </si>
  <si>
    <t>23.70</t>
  </si>
  <si>
    <t>41.05</t>
  </si>
  <si>
    <t>36.75</t>
  </si>
  <si>
    <t>56.76</t>
  </si>
  <si>
    <t>63.36</t>
  </si>
  <si>
    <t>65.84</t>
  </si>
  <si>
    <t>46.12</t>
  </si>
  <si>
    <t>61.89</t>
  </si>
  <si>
    <t>75.74</t>
  </si>
  <si>
    <t>42.69</t>
  </si>
  <si>
    <t>88.75</t>
  </si>
  <si>
    <t>42.53</t>
  </si>
  <si>
    <t>29.59</t>
  </si>
  <si>
    <t>29.88</t>
  </si>
  <si>
    <t>27.46</t>
  </si>
  <si>
    <t>33.74</t>
  </si>
  <si>
    <t>71.26</t>
  </si>
  <si>
    <t>62.14</t>
  </si>
  <si>
    <t>62.33</t>
  </si>
  <si>
    <t>52.57</t>
  </si>
  <si>
    <t>36.07</t>
  </si>
  <si>
    <t>53.13</t>
  </si>
  <si>
    <t>63.91</t>
  </si>
  <si>
    <t>37.73</t>
  </si>
  <si>
    <t>43.79</t>
  </si>
  <si>
    <t>81.84</t>
  </si>
  <si>
    <t>51.30</t>
  </si>
  <si>
    <t>50.53</t>
  </si>
  <si>
    <t>52.33</t>
  </si>
  <si>
    <t>72.23</t>
  </si>
  <si>
    <t>75.52</t>
  </si>
  <si>
    <t>67.04</t>
  </si>
  <si>
    <t>67.28</t>
  </si>
  <si>
    <t>98.43</t>
  </si>
  <si>
    <t>43.74</t>
  </si>
  <si>
    <t>59.82</t>
  </si>
  <si>
    <t>52.65</t>
  </si>
  <si>
    <t>25.11</t>
  </si>
  <si>
    <t>90.15</t>
  </si>
  <si>
    <t>32.07</t>
  </si>
  <si>
    <t>33.03</t>
  </si>
  <si>
    <t>84.00</t>
  </si>
  <si>
    <t>102.31</t>
  </si>
  <si>
    <t>60.03</t>
  </si>
  <si>
    <t>55.99</t>
  </si>
  <si>
    <t>42.68</t>
  </si>
  <si>
    <t>62.67</t>
  </si>
  <si>
    <t>60.72</t>
  </si>
  <si>
    <t>58.08</t>
  </si>
  <si>
    <t>60.23</t>
  </si>
  <si>
    <t>63.17</t>
  </si>
  <si>
    <t>107.47</t>
  </si>
  <si>
    <t>85.31</t>
  </si>
  <si>
    <t>80.74</t>
  </si>
  <si>
    <t>73.22</t>
  </si>
  <si>
    <t>33.54</t>
  </si>
  <si>
    <t>71.98</t>
  </si>
  <si>
    <t>61.86</t>
  </si>
  <si>
    <t>46.65</t>
  </si>
  <si>
    <t>83.99</t>
  </si>
  <si>
    <t>94.43</t>
  </si>
  <si>
    <t>53.21</t>
  </si>
  <si>
    <t>77.38</t>
  </si>
  <si>
    <t>30049100</t>
  </si>
  <si>
    <t>ACNASE CREME 25 G x 1</t>
  </si>
  <si>
    <t>ACNASE GEL. 20 G x 1</t>
  </si>
  <si>
    <t xml:space="preserve"> AVERT LABORATORIOS</t>
  </si>
  <si>
    <t>SUBST_52</t>
  </si>
  <si>
    <t>DATA REFERENCIA</t>
  </si>
  <si>
    <t>CodigoGGREM</t>
  </si>
  <si>
    <t>CodigoEAN</t>
  </si>
  <si>
    <t>RegitroMinisterioDaSaude</t>
  </si>
  <si>
    <t>ProdutoNome</t>
  </si>
  <si>
    <t>500209701112314</t>
  </si>
  <si>
    <t>7896255711005</t>
  </si>
  <si>
    <t>1055303340021</t>
  </si>
  <si>
    <t>AKINETON</t>
  </si>
  <si>
    <t>500212090030205</t>
  </si>
  <si>
    <t>7896255766081</t>
  </si>
  <si>
    <t>1055303420033</t>
  </si>
  <si>
    <t>PEDIALYTE 45 ZINCO</t>
  </si>
  <si>
    <t>500212090030105</t>
  </si>
  <si>
    <t>7896255766012</t>
  </si>
  <si>
    <t>1055303420025</t>
  </si>
  <si>
    <t>500208604113311</t>
  </si>
  <si>
    <t>7896255716438</t>
  </si>
  <si>
    <t>RITMONORM</t>
  </si>
  <si>
    <t>500208606116318</t>
  </si>
  <si>
    <t>7896255764858</t>
  </si>
  <si>
    <t>1055303090327</t>
  </si>
  <si>
    <t>521100404175413</t>
  </si>
  <si>
    <t>7896181911784</t>
  </si>
  <si>
    <t>1121303080153</t>
  </si>
  <si>
    <t>ALENIA</t>
  </si>
  <si>
    <t>521102912135412</t>
  </si>
  <si>
    <t>7896181909156</t>
  </si>
  <si>
    <t>BUSONID</t>
  </si>
  <si>
    <t>521102906178415</t>
  </si>
  <si>
    <t>7896181907176</t>
  </si>
  <si>
    <t>1121301730282</t>
  </si>
  <si>
    <t>500501901118417</t>
  </si>
  <si>
    <t>7896658002205</t>
  </si>
  <si>
    <t>1057300050061</t>
  </si>
  <si>
    <t>CEFALIUM</t>
  </si>
  <si>
    <t>500502001110418</t>
  </si>
  <si>
    <t>7896658001079</t>
  </si>
  <si>
    <t>1057300690052</t>
  </si>
  <si>
    <t>CEFALIV</t>
  </si>
  <si>
    <t>521103501112115</t>
  </si>
  <si>
    <t>7896181904830</t>
  </si>
  <si>
    <t>1121302600013</t>
  </si>
  <si>
    <t>500512101118418</t>
  </si>
  <si>
    <t>7896658003653</t>
  </si>
  <si>
    <t>1057303670036</t>
  </si>
  <si>
    <t>COMBIRON FÓLICO</t>
  </si>
  <si>
    <t>500502402115410</t>
  </si>
  <si>
    <t>7896658001901</t>
  </si>
  <si>
    <t>1057302310011</t>
  </si>
  <si>
    <t>DECONGEX PLUS</t>
  </si>
  <si>
    <t>500502403138414</t>
  </si>
  <si>
    <t>7896658001925</t>
  </si>
  <si>
    <t>1057302310060</t>
  </si>
  <si>
    <t>500502401135418</t>
  </si>
  <si>
    <t>7896658001918</t>
  </si>
  <si>
    <t>1057302310052</t>
  </si>
  <si>
    <t>500512050043006</t>
  </si>
  <si>
    <t>7896658016790</t>
  </si>
  <si>
    <t>1057304270066</t>
  </si>
  <si>
    <t>DICLORIDRATO DE BETAISTINA</t>
  </si>
  <si>
    <t>500502901111410</t>
  </si>
  <si>
    <t>7896658006043</t>
  </si>
  <si>
    <t>1057302480012</t>
  </si>
  <si>
    <t>DIOSMIN</t>
  </si>
  <si>
    <t>528502921139119</t>
  </si>
  <si>
    <t>7898148296552</t>
  </si>
  <si>
    <t>1256801290213</t>
  </si>
  <si>
    <t>FOSFATO SÓDICO DE PREDNISOLONA</t>
  </si>
  <si>
    <t>521107405150411</t>
  </si>
  <si>
    <t>7896181904250</t>
  </si>
  <si>
    <t>1121300490024</t>
  </si>
  <si>
    <t>HEMAX</t>
  </si>
  <si>
    <t>500508301132416</t>
  </si>
  <si>
    <t>7896658005107</t>
  </si>
  <si>
    <t>1057303330091</t>
  </si>
  <si>
    <t>LABEL</t>
  </si>
  <si>
    <t>508019202110111</t>
  </si>
  <si>
    <t>7891317427542</t>
  </si>
  <si>
    <t>1004309110041</t>
  </si>
  <si>
    <t>LOSARTANA POTÁSSICA</t>
  </si>
  <si>
    <t>501003703177115</t>
  </si>
  <si>
    <t>7897316804261</t>
  </si>
  <si>
    <t>1014701570011</t>
  </si>
  <si>
    <t>521122002118114</t>
  </si>
  <si>
    <t>7896181908302</t>
  </si>
  <si>
    <t>1121303400026</t>
  </si>
  <si>
    <t>521122003114112</t>
  </si>
  <si>
    <t>7896181906384</t>
  </si>
  <si>
    <t>1121303400069</t>
  </si>
  <si>
    <t>500515102115417</t>
  </si>
  <si>
    <t>7896658014215</t>
  </si>
  <si>
    <t>1057304050041</t>
  </si>
  <si>
    <t>MONTELAIR</t>
  </si>
  <si>
    <t>500512050041804</t>
  </si>
  <si>
    <t>7896658019531</t>
  </si>
  <si>
    <t>1057304050066</t>
  </si>
  <si>
    <t>500506702172315</t>
  </si>
  <si>
    <t>7896658000652</t>
  </si>
  <si>
    <t>1057300500024</t>
  </si>
  <si>
    <t>SORINE INFANTIL</t>
  </si>
  <si>
    <t>500506901116318</t>
  </si>
  <si>
    <t>7896658004704</t>
  </si>
  <si>
    <t>1057300550056</t>
  </si>
  <si>
    <t>TANDRILAX</t>
  </si>
  <si>
    <t>500506902112316</t>
  </si>
  <si>
    <t>7896658001666</t>
  </si>
  <si>
    <t>1057300550048</t>
  </si>
  <si>
    <t>500903601178114</t>
  </si>
  <si>
    <t>7896548165614</t>
  </si>
  <si>
    <t>1002302450019</t>
  </si>
  <si>
    <t>500507401117410</t>
  </si>
  <si>
    <t>7896658000713</t>
  </si>
  <si>
    <t>1057300800036</t>
  </si>
  <si>
    <t>VERTIX</t>
  </si>
  <si>
    <t>500507501111414</t>
  </si>
  <si>
    <t>7896658002700</t>
  </si>
  <si>
    <t>1057300880218</t>
  </si>
  <si>
    <t>VERTIZINE</t>
  </si>
  <si>
    <t>500900401178310</t>
  </si>
  <si>
    <t>7896548168745</t>
  </si>
  <si>
    <t>1002302250011</t>
  </si>
  <si>
    <t>AZOPT</t>
  </si>
  <si>
    <t>500905001135313</t>
  </si>
  <si>
    <t>7896548197967</t>
  </si>
  <si>
    <t>1002302700015</t>
  </si>
  <si>
    <t>AZORGA</t>
  </si>
  <si>
    <t>500900601177318</t>
  </si>
  <si>
    <t>7896548140284</t>
  </si>
  <si>
    <t>1002300250017</t>
  </si>
  <si>
    <t>CERUMIN</t>
  </si>
  <si>
    <t>500902502176311</t>
  </si>
  <si>
    <t>7896548111727</t>
  </si>
  <si>
    <t>1002300800020</t>
  </si>
  <si>
    <t>MAXIDEX</t>
  </si>
  <si>
    <t>500902602170313</t>
  </si>
  <si>
    <t>7896548111987</t>
  </si>
  <si>
    <t>1002300810026</t>
  </si>
  <si>
    <t>MAXITROL</t>
  </si>
  <si>
    <t>500903702179310</t>
  </si>
  <si>
    <t>7896548112717</t>
  </si>
  <si>
    <t>1002301820017</t>
  </si>
  <si>
    <t>TOBREX</t>
  </si>
  <si>
    <t>500904801138319</t>
  </si>
  <si>
    <t>7896548197554</t>
  </si>
  <si>
    <t>1002302680014</t>
  </si>
  <si>
    <t>VIGADEXA</t>
  </si>
  <si>
    <t>500904201130317</t>
  </si>
  <si>
    <t>7896548139585</t>
  </si>
  <si>
    <t>1002302600029</t>
  </si>
  <si>
    <t>VIGAMOX</t>
  </si>
  <si>
    <t>501006401171313</t>
  </si>
  <si>
    <t>7897316805268</t>
  </si>
  <si>
    <t>1014701420087</t>
  </si>
  <si>
    <t>ALPHAGAN Z</t>
  </si>
  <si>
    <t>501004601173313</t>
  </si>
  <si>
    <t>7897316800300</t>
  </si>
  <si>
    <t>1014700060018</t>
  </si>
  <si>
    <t>PRED-FORT</t>
  </si>
  <si>
    <t>501005202175418</t>
  </si>
  <si>
    <t>7897316802335</t>
  </si>
  <si>
    <t>1014700900018</t>
  </si>
  <si>
    <t>STILL</t>
  </si>
  <si>
    <t>501603901115319</t>
  </si>
  <si>
    <t>7896637023375</t>
  </si>
  <si>
    <t>1011805920014</t>
  </si>
  <si>
    <t>ALOIS</t>
  </si>
  <si>
    <t>501603902111414</t>
  </si>
  <si>
    <t>7896637024402</t>
  </si>
  <si>
    <t>1011805920022</t>
  </si>
  <si>
    <t>501604902115310</t>
  </si>
  <si>
    <t>7896637018029</t>
  </si>
  <si>
    <t>1011806040026</t>
  </si>
  <si>
    <t>ARTANE</t>
  </si>
  <si>
    <t>501600101118319</t>
  </si>
  <si>
    <t>7896637022729</t>
  </si>
  <si>
    <t>1011801240051</t>
  </si>
  <si>
    <t>AZULFIN</t>
  </si>
  <si>
    <t>501600304116310</t>
  </si>
  <si>
    <t>7896637024358</t>
  </si>
  <si>
    <t>1011801090041</t>
  </si>
  <si>
    <t>COLCHIS</t>
  </si>
  <si>
    <t>501600601110317</t>
  </si>
  <si>
    <t>7896637022767</t>
  </si>
  <si>
    <t>1011801300021</t>
  </si>
  <si>
    <t>DONAREN</t>
  </si>
  <si>
    <t>501601201116413</t>
  </si>
  <si>
    <t>7896637022903</t>
  </si>
  <si>
    <t>1011801570094</t>
  </si>
  <si>
    <t>LABIRIN</t>
  </si>
  <si>
    <t>501601205111319</t>
  </si>
  <si>
    <t>7896637023771</t>
  </si>
  <si>
    <t>1011805960024</t>
  </si>
  <si>
    <t>501603401112310</t>
  </si>
  <si>
    <t>7896637023115</t>
  </si>
  <si>
    <t>1011801650063</t>
  </si>
  <si>
    <t>MECLIN</t>
  </si>
  <si>
    <t>501602101174312</t>
  </si>
  <si>
    <t>7896637022439</t>
  </si>
  <si>
    <t>1011800210022</t>
  </si>
  <si>
    <t>OTO-XILODASE</t>
  </si>
  <si>
    <t>501602501113418</t>
  </si>
  <si>
    <t>7896637023047</t>
  </si>
  <si>
    <t>1011801620067</t>
  </si>
  <si>
    <t>REUQUINOL</t>
  </si>
  <si>
    <t>510602302111317</t>
  </si>
  <si>
    <t>7896269901072</t>
  </si>
  <si>
    <t>1010702000038</t>
  </si>
  <si>
    <t>505609601116310</t>
  </si>
  <si>
    <t>7895858010324</t>
  </si>
  <si>
    <t>1376401220014</t>
  </si>
  <si>
    <t>ZYLORIC</t>
  </si>
  <si>
    <t>502304701163314</t>
  </si>
  <si>
    <t>7896206401979</t>
  </si>
  <si>
    <t>1161800980011</t>
  </si>
  <si>
    <t>XYLOPROCT</t>
  </si>
  <si>
    <t>534300103162413</t>
  </si>
  <si>
    <t>ACNASE</t>
  </si>
  <si>
    <t>534300102166415</t>
  </si>
  <si>
    <t>7896082900047</t>
  </si>
  <si>
    <t>1017400460017</t>
  </si>
  <si>
    <t>521001402115318</t>
  </si>
  <si>
    <t>7897851250561</t>
  </si>
  <si>
    <t>1014600520205</t>
  </si>
  <si>
    <t>MONOCORDIL</t>
  </si>
  <si>
    <t>521001902118413</t>
  </si>
  <si>
    <t>7897851250530</t>
  </si>
  <si>
    <t>1014600610050</t>
  </si>
  <si>
    <t>SINVASCOR</t>
  </si>
  <si>
    <t>538912080018714</t>
  </si>
  <si>
    <t>4260085521234</t>
  </si>
  <si>
    <t>1705600830031</t>
  </si>
  <si>
    <t>ULTRAPROCT LDO</t>
  </si>
  <si>
    <t>538901901112314</t>
  </si>
  <si>
    <t>7891106904155</t>
  </si>
  <si>
    <t>1705600390013</t>
  </si>
  <si>
    <t>ANGELIQ</t>
  </si>
  <si>
    <t>538912050014113</t>
  </si>
  <si>
    <t>7891106905886</t>
  </si>
  <si>
    <t>1705600540015</t>
  </si>
  <si>
    <t>CICLOPRIMOGYNA</t>
  </si>
  <si>
    <t>538912040011614</t>
  </si>
  <si>
    <t>7891106905961</t>
  </si>
  <si>
    <t>1705600640011</t>
  </si>
  <si>
    <t>MICROVLAR</t>
  </si>
  <si>
    <t>538912050015913</t>
  </si>
  <si>
    <t>7891106905992</t>
  </si>
  <si>
    <t>1705600620019</t>
  </si>
  <si>
    <t>NEOVLAR</t>
  </si>
  <si>
    <t>538902501118313</t>
  </si>
  <si>
    <t>7891106906005</t>
  </si>
  <si>
    <t>1705600680011</t>
  </si>
  <si>
    <t>PRIMOGYNA</t>
  </si>
  <si>
    <t>538912050016113</t>
  </si>
  <si>
    <t>7891106906029</t>
  </si>
  <si>
    <t>1705600710018</t>
  </si>
  <si>
    <t>PRIMOSISTON</t>
  </si>
  <si>
    <t>530904201116318</t>
  </si>
  <si>
    <t>7896116801609</t>
  </si>
  <si>
    <t>1002000540015</t>
  </si>
  <si>
    <t>TRIQUILAR</t>
  </si>
  <si>
    <t>538912050016313</t>
  </si>
  <si>
    <t>7891106906074</t>
  </si>
  <si>
    <t>1705600690017</t>
  </si>
  <si>
    <t>YAZ</t>
  </si>
  <si>
    <t>503405805116411</t>
  </si>
  <si>
    <t>7897917002608</t>
  </si>
  <si>
    <t>1057100040097</t>
  </si>
  <si>
    <t>SULFERBEL</t>
  </si>
  <si>
    <t>542213020000114</t>
  </si>
  <si>
    <t>7898948648148</t>
  </si>
  <si>
    <t>1875900010043</t>
  </si>
  <si>
    <t>UTROGESTAN</t>
  </si>
  <si>
    <t>504100601116417</t>
  </si>
  <si>
    <t>7896112486787</t>
  </si>
  <si>
    <t>1097401210144</t>
  </si>
  <si>
    <t>ARADOIS</t>
  </si>
  <si>
    <t>504110501114411</t>
  </si>
  <si>
    <t>7896241296523</t>
  </si>
  <si>
    <t>1097401940010</t>
  </si>
  <si>
    <t>VONAU</t>
  </si>
  <si>
    <t>504110601119413</t>
  </si>
  <si>
    <t>7896241296400</t>
  </si>
  <si>
    <t>1097401940037</t>
  </si>
  <si>
    <t>504501001111310</t>
  </si>
  <si>
    <t>7795304000056</t>
  </si>
  <si>
    <t>1036700960041</t>
  </si>
  <si>
    <t>BUSCODUO</t>
  </si>
  <si>
    <t>504504901111311</t>
  </si>
  <si>
    <t>7896026303002</t>
  </si>
  <si>
    <t>1036701590099</t>
  </si>
  <si>
    <t>BUSCOFEM</t>
  </si>
  <si>
    <t>504500902113315</t>
  </si>
  <si>
    <t>7896026301428</t>
  </si>
  <si>
    <t>1036700130213</t>
  </si>
  <si>
    <t>BUSCOPAN COMPOSTO</t>
  </si>
  <si>
    <t>504500904132317</t>
  </si>
  <si>
    <t>7896026300117</t>
  </si>
  <si>
    <t>1036700130146</t>
  </si>
  <si>
    <t>504500801112313</t>
  </si>
  <si>
    <t>7896026300308</t>
  </si>
  <si>
    <t>1036700140014</t>
  </si>
  <si>
    <t>BUSCOPAN</t>
  </si>
  <si>
    <t>504500802135317</t>
  </si>
  <si>
    <t>7896026300315</t>
  </si>
  <si>
    <t>1036700140022</t>
  </si>
  <si>
    <t>504503802111218</t>
  </si>
  <si>
    <t>7896026301381</t>
  </si>
  <si>
    <t>1036701070036</t>
  </si>
  <si>
    <t>SIFROL</t>
  </si>
  <si>
    <t>505504701110414</t>
  </si>
  <si>
    <t>7893736010053</t>
  </si>
  <si>
    <t>1071500900021</t>
  </si>
  <si>
    <t>ENXAK</t>
  </si>
  <si>
    <t>508501104132411</t>
  </si>
  <si>
    <t>7896672202384</t>
  </si>
  <si>
    <t>1005800770044</t>
  </si>
  <si>
    <t>CLENIL COMPOSITUM A</t>
  </si>
  <si>
    <t>508504102173318</t>
  </si>
  <si>
    <t>7896672200399</t>
  </si>
  <si>
    <t>CLENIL COMPOSITUM HFA</t>
  </si>
  <si>
    <t>506402402112426</t>
  </si>
  <si>
    <t>7896523200576</t>
  </si>
  <si>
    <t>1438100570011</t>
  </si>
  <si>
    <t>CIMEGRIPE</t>
  </si>
  <si>
    <t>506402501110413</t>
  </si>
  <si>
    <t>7896523206110</t>
  </si>
  <si>
    <t>1438100590010</t>
  </si>
  <si>
    <t>CIMELIDE</t>
  </si>
  <si>
    <t>506402901119418</t>
  </si>
  <si>
    <t>7896523202686</t>
  </si>
  <si>
    <t>DIAD</t>
  </si>
  <si>
    <t>506403701113414</t>
  </si>
  <si>
    <t>7896523206431</t>
  </si>
  <si>
    <t>1438100710016</t>
  </si>
  <si>
    <t>FLUCOMED</t>
  </si>
  <si>
    <t>506404502114419</t>
  </si>
  <si>
    <t>7896523202822</t>
  </si>
  <si>
    <t>1438100410020</t>
  </si>
  <si>
    <t>LORATAMED</t>
  </si>
  <si>
    <t>506407004115418</t>
  </si>
  <si>
    <t>7896523206660</t>
  </si>
  <si>
    <t>1438100690058</t>
  </si>
  <si>
    <t>SINVASTAMED</t>
  </si>
  <si>
    <t>506710101156416</t>
  </si>
  <si>
    <t>7896676402155</t>
  </si>
  <si>
    <t>1029801240010</t>
  </si>
  <si>
    <t>NAUSEDRON</t>
  </si>
  <si>
    <t>506710104112411</t>
  </si>
  <si>
    <t>7896676404241</t>
  </si>
  <si>
    <t>1029801240037</t>
  </si>
  <si>
    <t>540912030004903</t>
  </si>
  <si>
    <t>7896094903036</t>
  </si>
  <si>
    <t>1781700920036</t>
  </si>
  <si>
    <t>BENEGRIP</t>
  </si>
  <si>
    <t>540912100007514</t>
  </si>
  <si>
    <t>7896094901117</t>
  </si>
  <si>
    <t>MERTHIOLATE</t>
  </si>
  <si>
    <t>530400802167311</t>
  </si>
  <si>
    <t>7897411610101</t>
  </si>
  <si>
    <t>HIRUDOID</t>
  </si>
  <si>
    <t>514000101135410</t>
  </si>
  <si>
    <t>7893454300115</t>
  </si>
  <si>
    <t>1044000050021</t>
  </si>
  <si>
    <t>ACERATUM</t>
  </si>
  <si>
    <t>507700301118419</t>
  </si>
  <si>
    <t>7896004715698</t>
  </si>
  <si>
    <t>1023500360013</t>
  </si>
  <si>
    <t>ACETOFLUX</t>
  </si>
  <si>
    <t>507726903115411</t>
  </si>
  <si>
    <t>7896004705408</t>
  </si>
  <si>
    <t>1023508600035</t>
  </si>
  <si>
    <t>ALLEXOFEDRIN</t>
  </si>
  <si>
    <t>507701603118118</t>
  </si>
  <si>
    <t>7896004703404</t>
  </si>
  <si>
    <t>1023505320015</t>
  </si>
  <si>
    <t>AMOXICILINA + CLAVULANATO DE POTÁSSIO</t>
  </si>
  <si>
    <t>507726301131117</t>
  </si>
  <si>
    <t>7896004711676</t>
  </si>
  <si>
    <t>1023507030022</t>
  </si>
  <si>
    <t>BUTILBROMETO DE ESCOPOLAMINA</t>
  </si>
  <si>
    <t>507742706116115</t>
  </si>
  <si>
    <t>7896004734248</t>
  </si>
  <si>
    <t>1023509860057</t>
  </si>
  <si>
    <t>507742708119111</t>
  </si>
  <si>
    <t>7896004730097</t>
  </si>
  <si>
    <t>1023509860065</t>
  </si>
  <si>
    <t>507746001117113</t>
  </si>
  <si>
    <t>7896004733302</t>
  </si>
  <si>
    <t>1023510100028</t>
  </si>
  <si>
    <t>507738801118113</t>
  </si>
  <si>
    <t>7896004727776</t>
  </si>
  <si>
    <t>1023508850041</t>
  </si>
  <si>
    <t>507707004119116</t>
  </si>
  <si>
    <t>7896004701271</t>
  </si>
  <si>
    <t>1023504780136</t>
  </si>
  <si>
    <t>CLOR. CIPROFLOXACIN0</t>
  </si>
  <si>
    <t>500512040041106</t>
  </si>
  <si>
    <t>7896658013362</t>
  </si>
  <si>
    <t>507708901114411</t>
  </si>
  <si>
    <t>7896004801216</t>
  </si>
  <si>
    <t>1023506540019</t>
  </si>
  <si>
    <t>CYSTEX</t>
  </si>
  <si>
    <t>531601105119419</t>
  </si>
  <si>
    <t>7894916203500</t>
  </si>
  <si>
    <t>DAFORIN</t>
  </si>
  <si>
    <t>507710703138128</t>
  </si>
  <si>
    <t>7896004715841</t>
  </si>
  <si>
    <t>1023504350018</t>
  </si>
  <si>
    <t>DIPIRONA SÓDICA</t>
  </si>
  <si>
    <t>507710704134126</t>
  </si>
  <si>
    <t>7896004718446</t>
  </si>
  <si>
    <t>1023504350034</t>
  </si>
  <si>
    <t>507741901136415</t>
  </si>
  <si>
    <t>7896004727806</t>
  </si>
  <si>
    <t>1023509130016</t>
  </si>
  <si>
    <t>EMSEXPECTOR</t>
  </si>
  <si>
    <t>507730201111112</t>
  </si>
  <si>
    <t>7896004706474</t>
  </si>
  <si>
    <t>1023506610017</t>
  </si>
  <si>
    <t>507715501134114</t>
  </si>
  <si>
    <t>7896004701288</t>
  </si>
  <si>
    <t>HIDRÓXIDO DE ALUMÍNIO</t>
  </si>
  <si>
    <t>531601801115314</t>
  </si>
  <si>
    <t>7894916550086</t>
  </si>
  <si>
    <t>1356900150025</t>
  </si>
  <si>
    <t>ISORDIL</t>
  </si>
  <si>
    <t>507733502112112</t>
  </si>
  <si>
    <t>7896004713137</t>
  </si>
  <si>
    <t>1023507570167</t>
  </si>
  <si>
    <t>507737602111110</t>
  </si>
  <si>
    <t>7896004706795</t>
  </si>
  <si>
    <t>1023508100547</t>
  </si>
  <si>
    <t>507733602133111</t>
  </si>
  <si>
    <t>7896004715711</t>
  </si>
  <si>
    <t>1023507740186</t>
  </si>
  <si>
    <t>507731902113111</t>
  </si>
  <si>
    <t>7896004712963</t>
  </si>
  <si>
    <t>1023507680086</t>
  </si>
  <si>
    <t>507718101171416</t>
  </si>
  <si>
    <t>7896004714578</t>
  </si>
  <si>
    <t>1023501450054</t>
  </si>
  <si>
    <t>NARIDRIN</t>
  </si>
  <si>
    <t>531625401117414</t>
  </si>
  <si>
    <t>7894916500425</t>
  </si>
  <si>
    <t>1356905920015</t>
  </si>
  <si>
    <t>NEUTROFER FÓLICO</t>
  </si>
  <si>
    <t>531625403136416</t>
  </si>
  <si>
    <t>7894916501736</t>
  </si>
  <si>
    <t>1356905920058</t>
  </si>
  <si>
    <t>507718601113113</t>
  </si>
  <si>
    <t>7896004704036</t>
  </si>
  <si>
    <t>1023505340016</t>
  </si>
  <si>
    <t>507719601133414</t>
  </si>
  <si>
    <t>7896004707600</t>
  </si>
  <si>
    <t>1023501570025</t>
  </si>
  <si>
    <t>OTOMIXYN</t>
  </si>
  <si>
    <t>507720103117119</t>
  </si>
  <si>
    <t>7896004713571</t>
  </si>
  <si>
    <t>1023504960061</t>
  </si>
  <si>
    <t>531619502111417</t>
  </si>
  <si>
    <t>7894916505178</t>
  </si>
  <si>
    <t>1356905580036</t>
  </si>
  <si>
    <t>RISEDROSS</t>
  </si>
  <si>
    <t>507722508114111</t>
  </si>
  <si>
    <t>7869004710761</t>
  </si>
  <si>
    <t>531626901131414</t>
  </si>
  <si>
    <t>7894916500746</t>
  </si>
  <si>
    <t>1356906170011</t>
  </si>
  <si>
    <t>SUCRAFILM</t>
  </si>
  <si>
    <t>531613202114411</t>
  </si>
  <si>
    <t>7894916501415</t>
  </si>
  <si>
    <t>1356906110017</t>
  </si>
  <si>
    <t>TORAGESIC</t>
  </si>
  <si>
    <t>508000703114419</t>
  </si>
  <si>
    <t>7891317412708</t>
  </si>
  <si>
    <t>1004308130020</t>
  </si>
  <si>
    <t>ASTRO</t>
  </si>
  <si>
    <t>508000704110417</t>
  </si>
  <si>
    <t>7891317420840</t>
  </si>
  <si>
    <t>1004308130071</t>
  </si>
  <si>
    <t>508029304110116</t>
  </si>
  <si>
    <t>7891317477578</t>
  </si>
  <si>
    <t>1004310340061</t>
  </si>
  <si>
    <t>508029305117114</t>
  </si>
  <si>
    <t>7891317477585</t>
  </si>
  <si>
    <t>1004310340071</t>
  </si>
  <si>
    <t>508029303114118</t>
  </si>
  <si>
    <t>7891317477592</t>
  </si>
  <si>
    <t>1004310340088</t>
  </si>
  <si>
    <t>508029801114111</t>
  </si>
  <si>
    <t>7891317472122</t>
  </si>
  <si>
    <t>1004310390050</t>
  </si>
  <si>
    <t>508029802110118</t>
  </si>
  <si>
    <t>7891317472139</t>
  </si>
  <si>
    <t>1004310390069</t>
  </si>
  <si>
    <t>508002901118115</t>
  </si>
  <si>
    <t>7891317408060</t>
  </si>
  <si>
    <t>1004308960015</t>
  </si>
  <si>
    <t>508003505119117</t>
  </si>
  <si>
    <t>7891317446031</t>
  </si>
  <si>
    <t>1004307440077</t>
  </si>
  <si>
    <t>508006001154411</t>
  </si>
  <si>
    <t>7891317000295</t>
  </si>
  <si>
    <t>1004305500013</t>
  </si>
  <si>
    <t>DEXALGEN</t>
  </si>
  <si>
    <t>508029603118410</t>
  </si>
  <si>
    <t>7891317472054</t>
  </si>
  <si>
    <t>1004310400056</t>
  </si>
  <si>
    <t>HEIMER</t>
  </si>
  <si>
    <t>508029601115414</t>
  </si>
  <si>
    <t>7891317472061</t>
  </si>
  <si>
    <t>1004310400064</t>
  </si>
  <si>
    <t>508008704111117</t>
  </si>
  <si>
    <t>7891317414139</t>
  </si>
  <si>
    <t>1004308870032</t>
  </si>
  <si>
    <t>508013603113110</t>
  </si>
  <si>
    <t>7891317422028</t>
  </si>
  <si>
    <t>1004309090014</t>
  </si>
  <si>
    <t>508020204172418</t>
  </si>
  <si>
    <t>7891317439323</t>
  </si>
  <si>
    <t>NOEX</t>
  </si>
  <si>
    <t>508017104111417</t>
  </si>
  <si>
    <t>7891317003715</t>
  </si>
  <si>
    <t>1004306710011</t>
  </si>
  <si>
    <t>TAMIRAM</t>
  </si>
  <si>
    <t>509002401172310</t>
  </si>
  <si>
    <t>7898040320904</t>
  </si>
  <si>
    <t>1491600170017</t>
  </si>
  <si>
    <t>LIDOSPORIN</t>
  </si>
  <si>
    <t>509002902171414</t>
  </si>
  <si>
    <t>7898040321390</t>
  </si>
  <si>
    <t>1039001620021</t>
  </si>
  <si>
    <t>OTO BETNOVATE</t>
  </si>
  <si>
    <t>509003601175419</t>
  </si>
  <si>
    <t>7898040321079</t>
  </si>
  <si>
    <t>1039001420012</t>
  </si>
  <si>
    <t>OTOCIRIAX</t>
  </si>
  <si>
    <t>509003001135319</t>
  </si>
  <si>
    <t>7898040320942</t>
  </si>
  <si>
    <t>1039001540018</t>
  </si>
  <si>
    <t>OTOSPORIN</t>
  </si>
  <si>
    <t>509004801119316</t>
  </si>
  <si>
    <t>7898040323141</t>
  </si>
  <si>
    <t>1039001820029</t>
  </si>
  <si>
    <t>SUSTRATE</t>
  </si>
  <si>
    <t>510400102111411</t>
  </si>
  <si>
    <t>7899095200456</t>
  </si>
  <si>
    <t>1542300020034</t>
  </si>
  <si>
    <t>AMIORON</t>
  </si>
  <si>
    <t>510405301110416</t>
  </si>
  <si>
    <t>7899095201712</t>
  </si>
  <si>
    <t>1542300360013</t>
  </si>
  <si>
    <t>CIXIN</t>
  </si>
  <si>
    <t>526128602118111</t>
  </si>
  <si>
    <t>7896004727493</t>
  </si>
  <si>
    <t>1058305820041</t>
  </si>
  <si>
    <t>526123001175111</t>
  </si>
  <si>
    <t>7896004716046</t>
  </si>
  <si>
    <t>517604605117413</t>
  </si>
  <si>
    <t>7898060131382</t>
  </si>
  <si>
    <t>1053500900058</t>
  </si>
  <si>
    <t>NOVOPRAZOL</t>
  </si>
  <si>
    <t>517607602119411</t>
  </si>
  <si>
    <t>7898060138114</t>
  </si>
  <si>
    <t>1053501340056</t>
  </si>
  <si>
    <t>SINVASMAX</t>
  </si>
  <si>
    <t>517607603115418</t>
  </si>
  <si>
    <t>7898060138091</t>
  </si>
  <si>
    <t>1053501340072</t>
  </si>
  <si>
    <t>517701301119418</t>
  </si>
  <si>
    <t>7890282800701</t>
  </si>
  <si>
    <t>1044400660026</t>
  </si>
  <si>
    <t>SEPURIN</t>
  </si>
  <si>
    <t>510605401178414</t>
  </si>
  <si>
    <t>7896015500115</t>
  </si>
  <si>
    <t>1010701530033</t>
  </si>
  <si>
    <t>NIQUITIN</t>
  </si>
  <si>
    <t>510605402174412</t>
  </si>
  <si>
    <t>7896015500122</t>
  </si>
  <si>
    <t>1010701530051</t>
  </si>
  <si>
    <t>510605404177419</t>
  </si>
  <si>
    <t>7896015500139</t>
  </si>
  <si>
    <t>1010701530017</t>
  </si>
  <si>
    <t>510605405114313</t>
  </si>
  <si>
    <t>7896015517670</t>
  </si>
  <si>
    <t>1010701820139</t>
  </si>
  <si>
    <t>510605407117311</t>
  </si>
  <si>
    <t>7896015517779</t>
  </si>
  <si>
    <t>1010701820295</t>
  </si>
  <si>
    <t>510606908136412</t>
  </si>
  <si>
    <t>7896015560300</t>
  </si>
  <si>
    <t>1010700560123</t>
  </si>
  <si>
    <t>SAL DE FRUTA ENO</t>
  </si>
  <si>
    <t>510606912133414</t>
  </si>
  <si>
    <t>7896015517045</t>
  </si>
  <si>
    <t>1010700560461</t>
  </si>
  <si>
    <t>510606906133416</t>
  </si>
  <si>
    <t>7896015560027</t>
  </si>
  <si>
    <t>1010700560291</t>
  </si>
  <si>
    <t>510611301139217</t>
  </si>
  <si>
    <t>7896015518875</t>
  </si>
  <si>
    <t>1010702710035</t>
  </si>
  <si>
    <t>AVAMYS</t>
  </si>
  <si>
    <t>510605201111316</t>
  </si>
  <si>
    <t>7896269900983</t>
  </si>
  <si>
    <t>1010702590021</t>
  </si>
  <si>
    <t>NARAMIG</t>
  </si>
  <si>
    <t>510607004176314</t>
  </si>
  <si>
    <t>7896269955204</t>
  </si>
  <si>
    <t>1010702300015</t>
  </si>
  <si>
    <t>SERETIDE SPRAY</t>
  </si>
  <si>
    <t>510607002173318</t>
  </si>
  <si>
    <t>7896269901720</t>
  </si>
  <si>
    <t>1010702300074</t>
  </si>
  <si>
    <t>SERETIDE DISKUS</t>
  </si>
  <si>
    <t>515102409110313</t>
  </si>
  <si>
    <t>7896331703443</t>
  </si>
  <si>
    <t>1068901350197</t>
  </si>
  <si>
    <t>RESFENOL</t>
  </si>
  <si>
    <t>511700101176417</t>
  </si>
  <si>
    <t>7896227800027</t>
  </si>
  <si>
    <t>1105200010088</t>
  </si>
  <si>
    <t>EMPLASTRO SALONPAS</t>
  </si>
  <si>
    <t>511700102172415</t>
  </si>
  <si>
    <t>7896227800010</t>
  </si>
  <si>
    <t>1105200010142</t>
  </si>
  <si>
    <t>514502403111318</t>
  </si>
  <si>
    <t>7896212429738</t>
  </si>
  <si>
    <t>1123600220061</t>
  </si>
  <si>
    <t>MOTILIUM</t>
  </si>
  <si>
    <t>539600504112316</t>
  </si>
  <si>
    <t>7891268402025</t>
  </si>
  <si>
    <t>1572100120207</t>
  </si>
  <si>
    <t>BENALET</t>
  </si>
  <si>
    <t>539600505119314</t>
  </si>
  <si>
    <t>7891268402018</t>
  </si>
  <si>
    <t>1572100120126</t>
  </si>
  <si>
    <t>539600108111317</t>
  </si>
  <si>
    <t>7981010970871</t>
  </si>
  <si>
    <t>NICORETTE</t>
  </si>
  <si>
    <t>539600107113316</t>
  </si>
  <si>
    <t>7981010970888</t>
  </si>
  <si>
    <t>514505110115314</t>
  </si>
  <si>
    <t>7896212450329</t>
  </si>
  <si>
    <t>514505601119311</t>
  </si>
  <si>
    <t>7896212415618</t>
  </si>
  <si>
    <t>1123633650057</t>
  </si>
  <si>
    <t>TYLENOL SINUS</t>
  </si>
  <si>
    <t>538806304110413</t>
  </si>
  <si>
    <t>7896004736778</t>
  </si>
  <si>
    <t>1677301360059</t>
  </si>
  <si>
    <t>AH-ZUL</t>
  </si>
  <si>
    <t>526101301133411</t>
  </si>
  <si>
    <t>7896004810140</t>
  </si>
  <si>
    <t>1677303440017</t>
  </si>
  <si>
    <t>BISMU-JET</t>
  </si>
  <si>
    <t>538815301137417</t>
  </si>
  <si>
    <t>7896004706535</t>
  </si>
  <si>
    <t>1677301700038</t>
  </si>
  <si>
    <t>ESPASMO FLATOL</t>
  </si>
  <si>
    <t>538818301138418</t>
  </si>
  <si>
    <t>7896004812168</t>
  </si>
  <si>
    <t>1677302710010</t>
  </si>
  <si>
    <t>EXPEC</t>
  </si>
  <si>
    <t>538817001130413</t>
  </si>
  <si>
    <t>7896004731674</t>
  </si>
  <si>
    <t>1677301980022</t>
  </si>
  <si>
    <t>EXPECTAMIN</t>
  </si>
  <si>
    <t>507722002113416</t>
  </si>
  <si>
    <t>7896004715247</t>
  </si>
  <si>
    <t>1023504200016</t>
  </si>
  <si>
    <t>REPOFLOR</t>
  </si>
  <si>
    <t>507722003111417</t>
  </si>
  <si>
    <t>7896004720838</t>
  </si>
  <si>
    <t>1023504200040</t>
  </si>
  <si>
    <t>507722001133413</t>
  </si>
  <si>
    <t>7896004715230</t>
  </si>
  <si>
    <t>1023504200024</t>
  </si>
  <si>
    <t>523700201115415</t>
  </si>
  <si>
    <t>7896094200463</t>
  </si>
  <si>
    <t>1003300010022</t>
  </si>
  <si>
    <t>ANCORON</t>
  </si>
  <si>
    <t>523712010025203</t>
  </si>
  <si>
    <t>7896094207844</t>
  </si>
  <si>
    <t>1003300010133</t>
  </si>
  <si>
    <t>523712010025303</t>
  </si>
  <si>
    <t>7896094207851</t>
  </si>
  <si>
    <t>1003300010141</t>
  </si>
  <si>
    <t>523707001111413</t>
  </si>
  <si>
    <t>7896094202900</t>
  </si>
  <si>
    <t>1003301440018</t>
  </si>
  <si>
    <t>ELANI CICLO</t>
  </si>
  <si>
    <t>523709001119410</t>
  </si>
  <si>
    <t>7896094208094</t>
  </si>
  <si>
    <t>1003301540012</t>
  </si>
  <si>
    <t>IUMI</t>
  </si>
  <si>
    <t>523702101118419</t>
  </si>
  <si>
    <t>7896094201378</t>
  </si>
  <si>
    <t>1003301280010</t>
  </si>
  <si>
    <t>LIBIAM</t>
  </si>
  <si>
    <t>523703101111412</t>
  </si>
  <si>
    <t>7896094201460</t>
  </si>
  <si>
    <t>1003301030014</t>
  </si>
  <si>
    <t>NATIFA</t>
  </si>
  <si>
    <t>523703201116416</t>
  </si>
  <si>
    <t>7896094201477</t>
  </si>
  <si>
    <t>1003301060010</t>
  </si>
  <si>
    <t>NATIFA PRO</t>
  </si>
  <si>
    <t>523704002117410</t>
  </si>
  <si>
    <t>7896094201538</t>
  </si>
  <si>
    <t>1003301070032</t>
  </si>
  <si>
    <t>PROCIMAX</t>
  </si>
  <si>
    <t>507600502111210</t>
  </si>
  <si>
    <t>7896382703614</t>
  </si>
  <si>
    <t>1126000740018</t>
  </si>
  <si>
    <t>CIALIS</t>
  </si>
  <si>
    <t>507612110017403</t>
  </si>
  <si>
    <t>7896382706769</t>
  </si>
  <si>
    <t>1126000790023</t>
  </si>
  <si>
    <t>FORTEO</t>
  </si>
  <si>
    <t>507601613154412</t>
  </si>
  <si>
    <t>7896382700583</t>
  </si>
  <si>
    <t>1126000570031</t>
  </si>
  <si>
    <t>HUMULIN N</t>
  </si>
  <si>
    <t>507601614150410</t>
  </si>
  <si>
    <t>7896382703317</t>
  </si>
  <si>
    <t>1126000570333</t>
  </si>
  <si>
    <t>524200601112417</t>
  </si>
  <si>
    <t>5702157127054</t>
  </si>
  <si>
    <t>1047500500063</t>
  </si>
  <si>
    <t>EBIX</t>
  </si>
  <si>
    <t>538513120021513</t>
  </si>
  <si>
    <t>7891142115492</t>
  </si>
  <si>
    <t>1009302180221</t>
  </si>
  <si>
    <t>ALIVIUM</t>
  </si>
  <si>
    <t>512400601112317</t>
  </si>
  <si>
    <t>7891142126139</t>
  </si>
  <si>
    <t>1009300170052</t>
  </si>
  <si>
    <t>CELESTAMINE</t>
  </si>
  <si>
    <t>512402802115311</t>
  </si>
  <si>
    <t>7891142165770</t>
  </si>
  <si>
    <t>1009300620062</t>
  </si>
  <si>
    <t>MACRODANTINA</t>
  </si>
  <si>
    <t>524803501111314</t>
  </si>
  <si>
    <t>7896226102542</t>
  </si>
  <si>
    <t>1015502330035</t>
  </si>
  <si>
    <t>VICOG</t>
  </si>
  <si>
    <t>525071002119114</t>
  </si>
  <si>
    <t>7896422516921</t>
  </si>
  <si>
    <t>1018105690013</t>
  </si>
  <si>
    <t>525071001112116</t>
  </si>
  <si>
    <t>7896422516945</t>
  </si>
  <si>
    <t>1018105690031</t>
  </si>
  <si>
    <t>525001502112118</t>
  </si>
  <si>
    <t>7896422507158</t>
  </si>
  <si>
    <t>1018104460022</t>
  </si>
  <si>
    <t>525003510112111</t>
  </si>
  <si>
    <t>7896422507950</t>
  </si>
  <si>
    <t>1018104470052</t>
  </si>
  <si>
    <t>525012040099906</t>
  </si>
  <si>
    <t>7896422517324</t>
  </si>
  <si>
    <t>1018103570088</t>
  </si>
  <si>
    <t>525004601162118</t>
  </si>
  <si>
    <t>7896422504256</t>
  </si>
  <si>
    <t>1018103330011</t>
  </si>
  <si>
    <t>DICLOFENACO DIETILAMÔNIO</t>
  </si>
  <si>
    <t>525007701117119</t>
  </si>
  <si>
    <t>7896422507738</t>
  </si>
  <si>
    <t>1018104340027</t>
  </si>
  <si>
    <t>525009205117110</t>
  </si>
  <si>
    <t>7896422507400</t>
  </si>
  <si>
    <t>1018104090039</t>
  </si>
  <si>
    <t>POLICRESULENO + CLORIDRATO DE CINCHOCAÍNA</t>
  </si>
  <si>
    <t>525005201133119</t>
  </si>
  <si>
    <t>7896422505673</t>
  </si>
  <si>
    <t>1018103810021</t>
  </si>
  <si>
    <t>525101305130411</t>
  </si>
  <si>
    <t>7896862940027</t>
  </si>
  <si>
    <t>DIPIMED</t>
  </si>
  <si>
    <t>525101306137411</t>
  </si>
  <si>
    <t>7896862940058</t>
  </si>
  <si>
    <t>525102402131417</t>
  </si>
  <si>
    <t>7896862960049</t>
  </si>
  <si>
    <t>1091700380018</t>
  </si>
  <si>
    <t>GASTROGEL</t>
  </si>
  <si>
    <t>525419601136412</t>
  </si>
  <si>
    <t>7891721016226</t>
  </si>
  <si>
    <t>1008903360031</t>
  </si>
  <si>
    <t>FLORALYTE</t>
  </si>
  <si>
    <t>525404711119417</t>
  </si>
  <si>
    <t>7891721020940</t>
  </si>
  <si>
    <t>1008900900483</t>
  </si>
  <si>
    <t>FLORATIL</t>
  </si>
  <si>
    <t>525420305111315</t>
  </si>
  <si>
    <t>7891721027468</t>
  </si>
  <si>
    <t>1008903400031</t>
  </si>
  <si>
    <t>GLIFAGE XR</t>
  </si>
  <si>
    <t>508027602130410</t>
  </si>
  <si>
    <t>7891317421434</t>
  </si>
  <si>
    <t>1004309420022</t>
  </si>
  <si>
    <t>KOIDE D</t>
  </si>
  <si>
    <t>508012120095203</t>
  </si>
  <si>
    <t>7891317000714</t>
  </si>
  <si>
    <t>1004305190049</t>
  </si>
  <si>
    <t>MANTIDAN</t>
  </si>
  <si>
    <t>525500204117212</t>
  </si>
  <si>
    <t>7897337704984</t>
  </si>
  <si>
    <t>1002900350042</t>
  </si>
  <si>
    <t>ARCOXIA</t>
  </si>
  <si>
    <t>527300201110312</t>
  </si>
  <si>
    <t>CERAZETTE</t>
  </si>
  <si>
    <t>537700801171312</t>
  </si>
  <si>
    <t>NASONEX</t>
  </si>
  <si>
    <t>525503402114214</t>
  </si>
  <si>
    <t>7897337706155</t>
  </si>
  <si>
    <t>1002901350046</t>
  </si>
  <si>
    <t>VYTORIN</t>
  </si>
  <si>
    <t>525904004111413</t>
  </si>
  <si>
    <t>7896472502776</t>
  </si>
  <si>
    <t>1181900610016</t>
  </si>
  <si>
    <t>BUPROVIL</t>
  </si>
  <si>
    <t>525900601164417</t>
  </si>
  <si>
    <t>7896472502110</t>
  </si>
  <si>
    <t>1181900370015</t>
  </si>
  <si>
    <t>CORTITOP</t>
  </si>
  <si>
    <t>525903202112418</t>
  </si>
  <si>
    <t>7896472502264</t>
  </si>
  <si>
    <t>1181900430077</t>
  </si>
  <si>
    <t>LOZEPREL</t>
  </si>
  <si>
    <t>525903204115414</t>
  </si>
  <si>
    <t>7896472503537</t>
  </si>
  <si>
    <t>1181900430085</t>
  </si>
  <si>
    <t>525901801116414</t>
  </si>
  <si>
    <t>7896472501823</t>
  </si>
  <si>
    <t>1181900210018</t>
  </si>
  <si>
    <t>MULTIGRIP</t>
  </si>
  <si>
    <t>525904401119119</t>
  </si>
  <si>
    <t>7896472505586</t>
  </si>
  <si>
    <t>1181900680030</t>
  </si>
  <si>
    <t>525902402118411</t>
  </si>
  <si>
    <t>7896472502059</t>
  </si>
  <si>
    <t>1181900360095</t>
  </si>
  <si>
    <t>OCYLIN</t>
  </si>
  <si>
    <t>525905201164410</t>
  </si>
  <si>
    <t>7896472504350</t>
  </si>
  <si>
    <t>1181900740033</t>
  </si>
  <si>
    <t>PROCTOX-H</t>
  </si>
  <si>
    <t>540400302137418</t>
  </si>
  <si>
    <t>7898133130403</t>
  </si>
  <si>
    <t>MAXALGINA</t>
  </si>
  <si>
    <t>538509301117110</t>
  </si>
  <si>
    <t>7896714215976</t>
  </si>
  <si>
    <t>1558401950033</t>
  </si>
  <si>
    <t>542113040000406</t>
  </si>
  <si>
    <t>7898945030151</t>
  </si>
  <si>
    <t>1351700030025</t>
  </si>
  <si>
    <t>542113040000506</t>
  </si>
  <si>
    <t>7898945030168</t>
  </si>
  <si>
    <t>1351700030068</t>
  </si>
  <si>
    <t>519002902111416</t>
  </si>
  <si>
    <t>7896714200699</t>
  </si>
  <si>
    <t>1046501790059</t>
  </si>
  <si>
    <t>CORTICORTEN</t>
  </si>
  <si>
    <t>519018601165114</t>
  </si>
  <si>
    <t>7896714204413</t>
  </si>
  <si>
    <t>DICLOFENACO DIETILAMÔNICO</t>
  </si>
  <si>
    <t>504612120014716</t>
  </si>
  <si>
    <t>7896714201177</t>
  </si>
  <si>
    <t>1046502630012</t>
  </si>
  <si>
    <t>519004201119417</t>
  </si>
  <si>
    <t>7896714203768</t>
  </si>
  <si>
    <t>1046502540021</t>
  </si>
  <si>
    <t>FLAVONID</t>
  </si>
  <si>
    <t>519004701111415</t>
  </si>
  <si>
    <t>7896714203515</t>
  </si>
  <si>
    <t>FLUXON</t>
  </si>
  <si>
    <t>519004702118413</t>
  </si>
  <si>
    <t>7896714203492</t>
  </si>
  <si>
    <t>519031101111111</t>
  </si>
  <si>
    <t>7896714217093</t>
  </si>
  <si>
    <t>1046505120041</t>
  </si>
  <si>
    <t>519005901114416</t>
  </si>
  <si>
    <t>7896714219301</t>
  </si>
  <si>
    <t>1046500240019</t>
  </si>
  <si>
    <t>HISTAMIN</t>
  </si>
  <si>
    <t>519005902137411</t>
  </si>
  <si>
    <t>7896714219318</t>
  </si>
  <si>
    <t>1046500240047</t>
  </si>
  <si>
    <t>519029901114111</t>
  </si>
  <si>
    <t>7896714208565</t>
  </si>
  <si>
    <t>1046505050041</t>
  </si>
  <si>
    <t>519022501110111</t>
  </si>
  <si>
    <t>7896714205823</t>
  </si>
  <si>
    <t>1046503920030</t>
  </si>
  <si>
    <t>519027401173112</t>
  </si>
  <si>
    <t>7896714225753</t>
  </si>
  <si>
    <t>1046504620030</t>
  </si>
  <si>
    <t>7896714273006</t>
  </si>
  <si>
    <t>MASSAGEOL</t>
  </si>
  <si>
    <t>519011601119417</t>
  </si>
  <si>
    <t>7896714201108</t>
  </si>
  <si>
    <t>1046503270044</t>
  </si>
  <si>
    <t>NEO-FOLICO</t>
  </si>
  <si>
    <t>538508602113418</t>
  </si>
  <si>
    <t>7896714233833</t>
  </si>
  <si>
    <t>NEOCOPAN</t>
  </si>
  <si>
    <t>538508801116417</t>
  </si>
  <si>
    <t>7896714283005</t>
  </si>
  <si>
    <t>1558403670038</t>
  </si>
  <si>
    <t>NEOPIRIDIN</t>
  </si>
  <si>
    <t>7896714218205</t>
  </si>
  <si>
    <t>1558402900129</t>
  </si>
  <si>
    <t>NEOPRAZOL</t>
  </si>
  <si>
    <t>519012801170414</t>
  </si>
  <si>
    <t>7896714231143</t>
  </si>
  <si>
    <t>1046502930040</t>
  </si>
  <si>
    <t>NEOSORO</t>
  </si>
  <si>
    <t>519013001119412</t>
  </si>
  <si>
    <t>7896714200361</t>
  </si>
  <si>
    <t>1046501940018</t>
  </si>
  <si>
    <t>NEOSULIDA</t>
  </si>
  <si>
    <t>519013201118411</t>
  </si>
  <si>
    <t>7896714200217</t>
  </si>
  <si>
    <t>1046500900055</t>
  </si>
  <si>
    <t>NEOTAREN</t>
  </si>
  <si>
    <t>519013901179411</t>
  </si>
  <si>
    <t>7896714270661</t>
  </si>
  <si>
    <t>1046500510016</t>
  </si>
  <si>
    <t>OUVIDONAL</t>
  </si>
  <si>
    <t>519014904112413</t>
  </si>
  <si>
    <t>7896714216393</t>
  </si>
  <si>
    <t>1046503120107</t>
  </si>
  <si>
    <t>RESFRYNEO</t>
  </si>
  <si>
    <t>519019101115418</t>
  </si>
  <si>
    <t>7896714203720</t>
  </si>
  <si>
    <t>1046502300012</t>
  </si>
  <si>
    <t>TIBIAL</t>
  </si>
  <si>
    <t>519026501131413</t>
  </si>
  <si>
    <t>7896714225562</t>
  </si>
  <si>
    <t>1046504010011</t>
  </si>
  <si>
    <t>TILUGEN</t>
  </si>
  <si>
    <t>519016301113414</t>
  </si>
  <si>
    <t>7896714205236</t>
  </si>
  <si>
    <t>1046502200026</t>
  </si>
  <si>
    <t>TORSILAX</t>
  </si>
  <si>
    <t>519016303116410</t>
  </si>
  <si>
    <t>7896714218267</t>
  </si>
  <si>
    <t>1046502200042</t>
  </si>
  <si>
    <t>519016302111415</t>
  </si>
  <si>
    <t>7896714200804</t>
  </si>
  <si>
    <t>1046502200018</t>
  </si>
  <si>
    <t>519016701111419</t>
  </si>
  <si>
    <t>VERTIGIUM</t>
  </si>
  <si>
    <t>525312050035306</t>
  </si>
  <si>
    <t>7895296043069</t>
  </si>
  <si>
    <t>1267501420036</t>
  </si>
  <si>
    <t>526529602178312</t>
  </si>
  <si>
    <t>7896261013766</t>
  </si>
  <si>
    <t>1006800990281</t>
  </si>
  <si>
    <t>EXELON PATCH</t>
  </si>
  <si>
    <t>526506802170413</t>
  </si>
  <si>
    <t>7896261005587</t>
  </si>
  <si>
    <t>1006801560084</t>
  </si>
  <si>
    <t>FORASEQ</t>
  </si>
  <si>
    <t>526510402173413</t>
  </si>
  <si>
    <t>7896261001640</t>
  </si>
  <si>
    <t>1006800500053</t>
  </si>
  <si>
    <t>MIACALCIC</t>
  </si>
  <si>
    <t>526510501171419</t>
  </si>
  <si>
    <t>7896261004009</t>
  </si>
  <si>
    <t>1006800980047</t>
  </si>
  <si>
    <t>MIFLASONA</t>
  </si>
  <si>
    <t>526515202113418</t>
  </si>
  <si>
    <t>7896261000254</t>
  </si>
  <si>
    <t>1006800830029</t>
  </si>
  <si>
    <t>TOFRANIL</t>
  </si>
  <si>
    <t>526532102172412</t>
  </si>
  <si>
    <t>7896261015890</t>
  </si>
  <si>
    <t>1006810700081</t>
  </si>
  <si>
    <t>NICOTINELL</t>
  </si>
  <si>
    <t>526532101176414</t>
  </si>
  <si>
    <t>7896261015968</t>
  </si>
  <si>
    <t>1006810700152</t>
  </si>
  <si>
    <t>526512804163419</t>
  </si>
  <si>
    <t>7896261009226</t>
  </si>
  <si>
    <t>1006800700060</t>
  </si>
  <si>
    <t>PROCTO-GLYVENOL</t>
  </si>
  <si>
    <t>526515502117419</t>
  </si>
  <si>
    <t>7896261010222</t>
  </si>
  <si>
    <t>1006808690048</t>
  </si>
  <si>
    <t>TRIMEDAL</t>
  </si>
  <si>
    <t>526601110159418</t>
  </si>
  <si>
    <t>7897705200087</t>
  </si>
  <si>
    <t>1176600040021</t>
  </si>
  <si>
    <t>NOVOLIN N</t>
  </si>
  <si>
    <t>522234502110411</t>
  </si>
  <si>
    <t>7891268100815</t>
  </si>
  <si>
    <t>1021601350081</t>
  </si>
  <si>
    <t>CELEBRA</t>
  </si>
  <si>
    <t>522241810119216</t>
  </si>
  <si>
    <t>7891268101171</t>
  </si>
  <si>
    <t>CHAMPIX</t>
  </si>
  <si>
    <t>522702204113317</t>
  </si>
  <si>
    <t>7891045008679</t>
  </si>
  <si>
    <t>NORDETTE</t>
  </si>
  <si>
    <t>522702703111311</t>
  </si>
  <si>
    <t>7891045008716</t>
  </si>
  <si>
    <t>1211000150068</t>
  </si>
  <si>
    <t>PREMARIN</t>
  </si>
  <si>
    <t>522240001179314</t>
  </si>
  <si>
    <t>7891268107609</t>
  </si>
  <si>
    <t>1021601290011</t>
  </si>
  <si>
    <t>XALATAN</t>
  </si>
  <si>
    <t>522708904117411</t>
  </si>
  <si>
    <t>7891045040426</t>
  </si>
  <si>
    <t>1211000560220</t>
  </si>
  <si>
    <t>ADVIL</t>
  </si>
  <si>
    <t>528530001111110</t>
  </si>
  <si>
    <t>7899547503845</t>
  </si>
  <si>
    <t>1256801910017</t>
  </si>
  <si>
    <t>528530301115111</t>
  </si>
  <si>
    <t>7898148291298</t>
  </si>
  <si>
    <t>1256801510019</t>
  </si>
  <si>
    <t>528529603111115</t>
  </si>
  <si>
    <t>7898148301720</t>
  </si>
  <si>
    <t>1256802020023</t>
  </si>
  <si>
    <t>528700801131419</t>
  </si>
  <si>
    <t>7590002023228</t>
  </si>
  <si>
    <t>1214200040020</t>
  </si>
  <si>
    <t>XAROPE 44E</t>
  </si>
  <si>
    <t>505103002130315</t>
  </si>
  <si>
    <t>7896016804915</t>
  </si>
  <si>
    <t>1018001200079</t>
  </si>
  <si>
    <t>LUFTAL</t>
  </si>
  <si>
    <t>529203901177311</t>
  </si>
  <si>
    <t>7896226503363</t>
  </si>
  <si>
    <t>1010005620018</t>
  </si>
  <si>
    <t>OTOSYNALAR</t>
  </si>
  <si>
    <t>529204103118316</t>
  </si>
  <si>
    <t>7896226500362</t>
  </si>
  <si>
    <t>1010000640071</t>
  </si>
  <si>
    <t>PROLOPA</t>
  </si>
  <si>
    <t>529204102111318</t>
  </si>
  <si>
    <t>7896226500515</t>
  </si>
  <si>
    <t>1010000640066</t>
  </si>
  <si>
    <t>529212090024203</t>
  </si>
  <si>
    <t>7896226506371</t>
  </si>
  <si>
    <t>1010000640142</t>
  </si>
  <si>
    <t>529212090024303</t>
  </si>
  <si>
    <t>7896226506388</t>
  </si>
  <si>
    <t>1010000640150</t>
  </si>
  <si>
    <t>529204101115311</t>
  </si>
  <si>
    <t>7896226503721</t>
  </si>
  <si>
    <t>1010000640126</t>
  </si>
  <si>
    <t>529204902118317</t>
  </si>
  <si>
    <t>7896226500027</t>
  </si>
  <si>
    <t>1010001820049</t>
  </si>
  <si>
    <t>ROACUTAN</t>
  </si>
  <si>
    <t>511516202119110</t>
  </si>
  <si>
    <t>7897595610089</t>
  </si>
  <si>
    <t>1004704740026</t>
  </si>
  <si>
    <t>ALENDRONATO DE SÓDIO</t>
  </si>
  <si>
    <t>511500201118114</t>
  </si>
  <si>
    <t>7897595602114</t>
  </si>
  <si>
    <t>1004703310079</t>
  </si>
  <si>
    <t>511512120056603</t>
  </si>
  <si>
    <t>7897595601186</t>
  </si>
  <si>
    <t>1004700090558</t>
  </si>
  <si>
    <t>AMIDALIN</t>
  </si>
  <si>
    <t>511516703118117</t>
  </si>
  <si>
    <t>7897595618603</t>
  </si>
  <si>
    <t>1004704790090</t>
  </si>
  <si>
    <t>511502003119110</t>
  </si>
  <si>
    <t>7897595602404</t>
  </si>
  <si>
    <t>1004703510116</t>
  </si>
  <si>
    <t>511502802119413</t>
  </si>
  <si>
    <t>7897595608208</t>
  </si>
  <si>
    <t>1004702070066</t>
  </si>
  <si>
    <t>COR MIO</t>
  </si>
  <si>
    <t>511503001111412</t>
  </si>
  <si>
    <t>7897595600851</t>
  </si>
  <si>
    <t>1004703180019</t>
  </si>
  <si>
    <t>DIASEC</t>
  </si>
  <si>
    <t>511508502117414</t>
  </si>
  <si>
    <t>7897595601773</t>
  </si>
  <si>
    <t>1004702700140</t>
  </si>
  <si>
    <t>SINVASTACOR</t>
  </si>
  <si>
    <t>511508611110119</t>
  </si>
  <si>
    <t>7897595609854</t>
  </si>
  <si>
    <t>1004704720114</t>
  </si>
  <si>
    <t>511508609116113</t>
  </si>
  <si>
    <t>7897595609892</t>
  </si>
  <si>
    <t>1004704720157</t>
  </si>
  <si>
    <t>502800105115312</t>
  </si>
  <si>
    <t>7891058004217</t>
  </si>
  <si>
    <t>1130002690172</t>
  </si>
  <si>
    <t>ACTONEL</t>
  </si>
  <si>
    <t>502800502114312</t>
  </si>
  <si>
    <t>7891058006716</t>
  </si>
  <si>
    <t>1130002620115</t>
  </si>
  <si>
    <t>ALLEGRA D</t>
  </si>
  <si>
    <t>502822001118316</t>
  </si>
  <si>
    <t>7897595901439</t>
  </si>
  <si>
    <t>1130010680016</t>
  </si>
  <si>
    <t>ATLANSIL</t>
  </si>
  <si>
    <t>502822004117310</t>
  </si>
  <si>
    <t>502803301111310</t>
  </si>
  <si>
    <t>7896185932013</t>
  </si>
  <si>
    <t>1130002140024</t>
  </si>
  <si>
    <t>DACTIL OB</t>
  </si>
  <si>
    <t>502804002116319</t>
  </si>
  <si>
    <t>7891058008628</t>
  </si>
  <si>
    <t>1130001830086</t>
  </si>
  <si>
    <t>DORFLEX</t>
  </si>
  <si>
    <t>502804003112317</t>
  </si>
  <si>
    <t>7891058008611</t>
  </si>
  <si>
    <t>1130001830108</t>
  </si>
  <si>
    <t>502804401118315</t>
  </si>
  <si>
    <t>7896070600447</t>
  </si>
  <si>
    <t>1130003190031</t>
  </si>
  <si>
    <t>FENERGAN</t>
  </si>
  <si>
    <t>502805902137310</t>
  </si>
  <si>
    <t>7891058018382</t>
  </si>
  <si>
    <t>1130000760025</t>
  </si>
  <si>
    <t>HEXOMEDINE</t>
  </si>
  <si>
    <t>502807102154217</t>
  </si>
  <si>
    <t>7891058009212</t>
  </si>
  <si>
    <t>LANTUS</t>
  </si>
  <si>
    <t>502809802110316</t>
  </si>
  <si>
    <t>7891058059149</t>
  </si>
  <si>
    <t>1130001930031</t>
  </si>
  <si>
    <t>PLASIL</t>
  </si>
  <si>
    <t>502809803133311</t>
  </si>
  <si>
    <t>7891058059019</t>
  </si>
  <si>
    <t>1130001930021</t>
  </si>
  <si>
    <t>531300404117313</t>
  </si>
  <si>
    <t>7898029551770</t>
  </si>
  <si>
    <t>1127800030012</t>
  </si>
  <si>
    <t>DAFLON 500</t>
  </si>
  <si>
    <t>531302002172316</t>
  </si>
  <si>
    <t>7898029557222</t>
  </si>
  <si>
    <t>1127800700019</t>
  </si>
  <si>
    <t>PROTOS</t>
  </si>
  <si>
    <t>531312050005703</t>
  </si>
  <si>
    <t>7898029557246</t>
  </si>
  <si>
    <t>531302201116416</t>
  </si>
  <si>
    <t>7898029558809</t>
  </si>
  <si>
    <t>1127800550062</t>
  </si>
  <si>
    <t>VASTAREL MR</t>
  </si>
  <si>
    <t>531302202112414</t>
  </si>
  <si>
    <t>7898029558816</t>
  </si>
  <si>
    <t>1127800550089</t>
  </si>
  <si>
    <t>506700401114411</t>
  </si>
  <si>
    <t>7896676400083</t>
  </si>
  <si>
    <t>1029802250045</t>
  </si>
  <si>
    <t>AMYTRIL</t>
  </si>
  <si>
    <t>508016801137411</t>
  </si>
  <si>
    <t>7891317411909</t>
  </si>
  <si>
    <t>1004306450036</t>
  </si>
  <si>
    <t>PERCOF</t>
  </si>
  <si>
    <t>508011403133413</t>
  </si>
  <si>
    <t>7891317007508</t>
  </si>
  <si>
    <t>1004306900041</t>
  </si>
  <si>
    <t>REHIDRAT</t>
  </si>
  <si>
    <t>508011802135411</t>
  </si>
  <si>
    <t>7891317006570</t>
  </si>
  <si>
    <t>1004306960050</t>
  </si>
  <si>
    <t>SIMECO PLUS</t>
  </si>
  <si>
    <t>501100907113311</t>
  </si>
  <si>
    <t>7896641805943</t>
  </si>
  <si>
    <t>1063902420112</t>
  </si>
  <si>
    <t>DRAMIN B6</t>
  </si>
  <si>
    <t>501100908136315</t>
  </si>
  <si>
    <t>7896641806483</t>
  </si>
  <si>
    <t>1063902420120</t>
  </si>
  <si>
    <t>501101411138411</t>
  </si>
  <si>
    <t>7896641804717</t>
  </si>
  <si>
    <t>1063901620347</t>
  </si>
  <si>
    <t>HIDRAFIX</t>
  </si>
  <si>
    <t>501113050020803</t>
  </si>
  <si>
    <t>7896641808630</t>
  </si>
  <si>
    <t>1063902310112</t>
  </si>
  <si>
    <t>NEOSALDINA</t>
  </si>
  <si>
    <t>501104301112412</t>
  </si>
  <si>
    <t>7896641805929</t>
  </si>
  <si>
    <t>1063901310089</t>
  </si>
  <si>
    <t>NORIPURUM FÓLICO</t>
  </si>
  <si>
    <t>501102210136411</t>
  </si>
  <si>
    <t>7896641805479</t>
  </si>
  <si>
    <t>1063900990264</t>
  </si>
  <si>
    <t>NORIPURUM SOLUÇÃO ORAL</t>
  </si>
  <si>
    <t>501104701171319</t>
  </si>
  <si>
    <t>7896641806568</t>
  </si>
  <si>
    <t>1063902510022</t>
  </si>
  <si>
    <t>OMNARIS</t>
  </si>
  <si>
    <t>501102802165415</t>
  </si>
  <si>
    <t>7896641801792</t>
  </si>
  <si>
    <t>1063901110039</t>
  </si>
  <si>
    <t>PROCTYL</t>
  </si>
  <si>
    <t>501102801169417</t>
  </si>
  <si>
    <t>7896641803642</t>
  </si>
  <si>
    <t>1063901110071</t>
  </si>
  <si>
    <t>501102804141416</t>
  </si>
  <si>
    <t>7896641806339</t>
  </si>
  <si>
    <t>501103601171319</t>
  </si>
  <si>
    <t>7896641804205</t>
  </si>
  <si>
    <t>1063900520187</t>
  </si>
  <si>
    <t>REPARIL</t>
  </si>
  <si>
    <t>501103205111313</t>
  </si>
  <si>
    <t>7896641805776</t>
  </si>
  <si>
    <t>1063901170058</t>
  </si>
  <si>
    <t>VENALOT</t>
  </si>
  <si>
    <t>520728501161114</t>
  </si>
  <si>
    <t>7896112123026</t>
  </si>
  <si>
    <t>1037004790019</t>
  </si>
  <si>
    <t>520700401111417</t>
  </si>
  <si>
    <t>7896112141846</t>
  </si>
  <si>
    <t>1037001570018</t>
  </si>
  <si>
    <t>AFOPIC</t>
  </si>
  <si>
    <t>520723402112114</t>
  </si>
  <si>
    <t>7896112113737</t>
  </si>
  <si>
    <t>1037004470057</t>
  </si>
  <si>
    <t>520704501119412</t>
  </si>
  <si>
    <t>7896112143994</t>
  </si>
  <si>
    <t>1037002370012</t>
  </si>
  <si>
    <t>CARBIDOL</t>
  </si>
  <si>
    <t>520726901111118</t>
  </si>
  <si>
    <t>7896112123316</t>
  </si>
  <si>
    <t>1037004870020</t>
  </si>
  <si>
    <t>520728003119116</t>
  </si>
  <si>
    <t>7896112126485</t>
  </si>
  <si>
    <t>1037005060022</t>
  </si>
  <si>
    <t>520707508114119</t>
  </si>
  <si>
    <t>7896112132721</t>
  </si>
  <si>
    <t>520708401151414</t>
  </si>
  <si>
    <t>7896112140221</t>
  </si>
  <si>
    <t>1037000170039</t>
  </si>
  <si>
    <t>DEXADOZE</t>
  </si>
  <si>
    <t>520708701171410</t>
  </si>
  <si>
    <t>7896112140306</t>
  </si>
  <si>
    <t>1037001710014</t>
  </si>
  <si>
    <t>DEXAVISON</t>
  </si>
  <si>
    <t>520708901162113</t>
  </si>
  <si>
    <t>7896112147701</t>
  </si>
  <si>
    <t>1037003440014</t>
  </si>
  <si>
    <t>520724802114112</t>
  </si>
  <si>
    <t>7896112123170</t>
  </si>
  <si>
    <t>1037004580030</t>
  </si>
  <si>
    <t>520712304114419</t>
  </si>
  <si>
    <t>IBUPRIL</t>
  </si>
  <si>
    <t>520727901113119</t>
  </si>
  <si>
    <t>7896112114185</t>
  </si>
  <si>
    <t>1037005050027</t>
  </si>
  <si>
    <t>520714001119119</t>
  </si>
  <si>
    <t>7896112126225</t>
  </si>
  <si>
    <t>1037004420221</t>
  </si>
  <si>
    <t>520727201170111</t>
  </si>
  <si>
    <t>7896112126669</t>
  </si>
  <si>
    <t>1037004930015</t>
  </si>
  <si>
    <t>520715803111118</t>
  </si>
  <si>
    <t>7896112148715</t>
  </si>
  <si>
    <t>1037003570041</t>
  </si>
  <si>
    <t>520716104111125</t>
  </si>
  <si>
    <t>7896112149705</t>
  </si>
  <si>
    <t>1037003880111</t>
  </si>
  <si>
    <t>520717501112411</t>
  </si>
  <si>
    <t>7896112148685</t>
  </si>
  <si>
    <t>1037003210027</t>
  </si>
  <si>
    <t>PROFERGAN</t>
  </si>
  <si>
    <t>520718501116413</t>
  </si>
  <si>
    <t>7896112141839</t>
  </si>
  <si>
    <t>1037001500036</t>
  </si>
  <si>
    <t>SEDILAX</t>
  </si>
  <si>
    <t>520718504115418</t>
  </si>
  <si>
    <t>7896112154389</t>
  </si>
  <si>
    <t>1037001500044</t>
  </si>
  <si>
    <t>520723801114412</t>
  </si>
  <si>
    <t>7896112115151</t>
  </si>
  <si>
    <t>1037002670016</t>
  </si>
  <si>
    <t>VENAFLON</t>
  </si>
  <si>
    <t>537501502174412</t>
  </si>
  <si>
    <t>7898919603138</t>
  </si>
  <si>
    <t>1557300170018</t>
  </si>
  <si>
    <t>ESTREVA</t>
  </si>
  <si>
    <t>532702902111411</t>
  </si>
  <si>
    <t>8902220108417</t>
  </si>
  <si>
    <t>1052500400065</t>
  </si>
  <si>
    <t>EPÉZ</t>
  </si>
  <si>
    <t>532702903116417</t>
  </si>
  <si>
    <t>8902220108370</t>
  </si>
  <si>
    <t>1052500400030</t>
  </si>
  <si>
    <t>504101103111411</t>
  </si>
  <si>
    <t>7896241217672</t>
  </si>
  <si>
    <t>1097400820100</t>
  </si>
  <si>
    <t>BONALEN</t>
  </si>
  <si>
    <t>533002102119419</t>
  </si>
  <si>
    <t>7896006234067</t>
  </si>
  <si>
    <t>1049702860016</t>
  </si>
  <si>
    <t>CICLO 21</t>
  </si>
  <si>
    <t>533006702171414</t>
  </si>
  <si>
    <t>7896006290162</t>
  </si>
  <si>
    <t>1049712790071</t>
  </si>
  <si>
    <t>GLAUCOTRAT</t>
  </si>
  <si>
    <t>533007004115411</t>
  </si>
  <si>
    <t>7896006248316</t>
  </si>
  <si>
    <t>1049711940019</t>
  </si>
  <si>
    <t>HISTADIN</t>
  </si>
  <si>
    <t>533007102133412</t>
  </si>
  <si>
    <t>7896006259701</t>
  </si>
  <si>
    <t>1049702260019</t>
  </si>
  <si>
    <t>HYTOS PLUS</t>
  </si>
  <si>
    <t>536400201111111</t>
  </si>
  <si>
    <t>7898907401197</t>
  </si>
  <si>
    <t>1326500300011</t>
  </si>
  <si>
    <t>ISOTRETINOÍNA</t>
  </si>
  <si>
    <t>533801803134311</t>
  </si>
  <si>
    <t>7898074618183</t>
  </si>
  <si>
    <t>1008401400043</t>
  </si>
  <si>
    <t>SEKI</t>
  </si>
  <si>
    <t>534203701115311</t>
  </si>
  <si>
    <t>7892953001370</t>
  </si>
  <si>
    <t>1221400750024</t>
  </si>
  <si>
    <t>PYRIDIUM</t>
  </si>
  <si>
    <t>LaboratorioNome</t>
  </si>
  <si>
    <t>LaboratorioCNPJ</t>
  </si>
  <si>
    <t>ABBOTT LABORATÓRIOS DO BRASIL LTDA</t>
  </si>
  <si>
    <t>56998701000116</t>
  </si>
  <si>
    <t>BIOSINTÉTICA FARMACÊUTICA LTDA</t>
  </si>
  <si>
    <t>53162095000106</t>
  </si>
  <si>
    <t>ACHÉ LABORATÓRIOS FARMACÊUTICOS S.A.</t>
  </si>
  <si>
    <t>60659463000191</t>
  </si>
  <si>
    <t>PRATI DONADUZZI &amp; CIA LTDA</t>
  </si>
  <si>
    <t>73856593000166</t>
  </si>
  <si>
    <t>EUROFARMA LABORATÓRIOS S.A.</t>
  </si>
  <si>
    <t>61190096000192</t>
  </si>
  <si>
    <t>ALLERGAN PRODUTOS FARMACÊUTICOS LTDA</t>
  </si>
  <si>
    <t>43426626000177</t>
  </si>
  <si>
    <t>ALCON LABORATÓRIOS DO BRASIL LTDA.</t>
  </si>
  <si>
    <t>60412327000100</t>
  </si>
  <si>
    <t>APSEN FARMACEUTICA S/A</t>
  </si>
  <si>
    <t>62462015000129</t>
  </si>
  <si>
    <t>GLAXOSMITHKLINE BRASIL LTDA</t>
  </si>
  <si>
    <t>33247743000110</t>
  </si>
  <si>
    <t>ASPEN PHARMA INDÚSTRIA FARMACÊUTICA LTDA</t>
  </si>
  <si>
    <t>02433631000120</t>
  </si>
  <si>
    <t>ASTRAZENECA DO BRASIL LTDA</t>
  </si>
  <si>
    <t>60318797000100</t>
  </si>
  <si>
    <t>AVERT LABORATÓRIOS LTDA</t>
  </si>
  <si>
    <t>44211936000137</t>
  </si>
  <si>
    <t>LABORATÓRIOS BALDACCI LTDA</t>
  </si>
  <si>
    <t>61150447000131</t>
  </si>
  <si>
    <t>BAYER S.A.</t>
  </si>
  <si>
    <t>18459628000115</t>
  </si>
  <si>
    <t>SCHERING DO BRASIL QUÍMICA E FARMACÊUTICA LTDA</t>
  </si>
  <si>
    <t>56990534000167</t>
  </si>
  <si>
    <t>BELFAR LTDA</t>
  </si>
  <si>
    <t>18324343000177</t>
  </si>
  <si>
    <t>BESINS HEALTHCARE BRASIL COMERCIAL E DISTRIBUIDORA DE MEDICAMENTOS LTDA</t>
  </si>
  <si>
    <t>11082598000121</t>
  </si>
  <si>
    <t>BIOLAB SANUS FARMACÊUTICA LTDA</t>
  </si>
  <si>
    <t>49475833000106</t>
  </si>
  <si>
    <t>BOEHRINGER INGELHEIM DO BRASIL QUÍMICA E FARMACÊUTICA LTDA.</t>
  </si>
  <si>
    <t>60831658000177</t>
  </si>
  <si>
    <t>CAZI QUIMICA FARMACEUTICA INDUSTRIA E COMERCIO LTDA</t>
  </si>
  <si>
    <t>44010437000181</t>
  </si>
  <si>
    <t>CHIESI FARMACÊUTICA LTDA</t>
  </si>
  <si>
    <t>61363032000146</t>
  </si>
  <si>
    <t>CIMED INDÚSTRIA DE MEDICAMENTOS LTDA</t>
  </si>
  <si>
    <t>02814497000107</t>
  </si>
  <si>
    <t>CRISTÁLIA PRODUTOS QUÍMICOS FARMACÊUTICOS LTDA.</t>
  </si>
  <si>
    <t>44734671000151</t>
  </si>
  <si>
    <t>COSMED INDUSTRIA DE COSMETICOS E MEDICAMENTOS S.A.</t>
  </si>
  <si>
    <t>61082426000207</t>
  </si>
  <si>
    <t>DAIICHI SANKYO BRASIL FARMACÊUTICA LTDA</t>
  </si>
  <si>
    <t>60874187000184</t>
  </si>
  <si>
    <t>INSTITUTO TERAPEUTICO DELTA LTDA</t>
  </si>
  <si>
    <t>33173097000193</t>
  </si>
  <si>
    <t>EMS S/A</t>
  </si>
  <si>
    <t>57507378000101</t>
  </si>
  <si>
    <t>EMS SIGMA PHARMA LTDA</t>
  </si>
  <si>
    <t>00923140000131</t>
  </si>
  <si>
    <t>FARMOQUÍMICA S/A</t>
  </si>
  <si>
    <t>33349473000158</t>
  </si>
  <si>
    <t>GEOLAB INDÚSTRIA FARMACÊUTICA S/A</t>
  </si>
  <si>
    <t>03485572000104</t>
  </si>
  <si>
    <t>GERMED FARMACEUTICA LTDA</t>
  </si>
  <si>
    <t>45992062000165</t>
  </si>
  <si>
    <t>LABORATÓRIO GLOBO LTDA</t>
  </si>
  <si>
    <t>17115437000173</t>
  </si>
  <si>
    <t>LABORATÓRIO GROSS S. A.</t>
  </si>
  <si>
    <t>33145194000172</t>
  </si>
  <si>
    <t>KLEY HERTZ S/A INDÚSTRIA E COMÉRCIO</t>
  </si>
  <si>
    <t>92695691000103</t>
  </si>
  <si>
    <t>HISAMITSU FARMACÊUTICA DO BRASIL LTDA</t>
  </si>
  <si>
    <t>49383250000147</t>
  </si>
  <si>
    <t>JANSSEN-CILAG FARMACÊUTICA LTDA</t>
  </si>
  <si>
    <t>51780468000187</t>
  </si>
  <si>
    <t>JOHNSON &amp; JOHNSON INDUSTRIAL LTDA.</t>
  </si>
  <si>
    <t>59748988000114</t>
  </si>
  <si>
    <t>LEGRAND PHARMA INDÚSTRIA FARMACÊUTICA LTDA</t>
  </si>
  <si>
    <t>05044984000126</t>
  </si>
  <si>
    <t>LIBBS FARMACÊUTICA LTDA</t>
  </si>
  <si>
    <t>61230314000175</t>
  </si>
  <si>
    <t>ELI LILLY DO BRASIL LTDA</t>
  </si>
  <si>
    <t>43940618000144</t>
  </si>
  <si>
    <t>LUNDBECK BRASIL LTDA</t>
  </si>
  <si>
    <t>04522600000170</t>
  </si>
  <si>
    <t>HYPERMARCAS S/A</t>
  </si>
  <si>
    <t>02932074000191</t>
  </si>
  <si>
    <t>MANTECORP INDÚSTRIA QUÍMICA E FARMACÊUTICA S.A.</t>
  </si>
  <si>
    <t>33060740000172</t>
  </si>
  <si>
    <t>MARJAN INDÚSTRIA E COMÉRCIO LTDA</t>
  </si>
  <si>
    <t>60726692000181</t>
  </si>
  <si>
    <t>MEDLEY INDÚSTRIA FARMACÊUTICA LTDA</t>
  </si>
  <si>
    <t>50929710000179</t>
  </si>
  <si>
    <t>MEDQUIMICA INDÚSTRIA FARMACÊUTICA S.A</t>
  </si>
  <si>
    <t>17875154000120</t>
  </si>
  <si>
    <t>MERCK S/A</t>
  </si>
  <si>
    <t>33069212000184</t>
  </si>
  <si>
    <t>MERCK SHARP &amp; DOHME FARMACEUTICA  LTDA</t>
  </si>
  <si>
    <t>45987013000134</t>
  </si>
  <si>
    <t>SCHERING-PLOUGH INDÚSTRIA FARMACÊUTICA LTDA</t>
  </si>
  <si>
    <t>03560974000118</t>
  </si>
  <si>
    <t>SCHERING-PLOUGH PRODUTOS FARMACÊUTICOS LTDA</t>
  </si>
  <si>
    <t>07845173000150</t>
  </si>
  <si>
    <t>MULTILAB INDÚSTRIA E COMÉRCIO DE PRODUTOS FARMACÊUTICOS LTDA</t>
  </si>
  <si>
    <t>92265552000140</t>
  </si>
  <si>
    <t>NATULAB LABORATÓRIO S.A</t>
  </si>
  <si>
    <t>02456955000183</t>
  </si>
  <si>
    <t>ALTHAIA S.A. INDÚSTRIA FARMACÊUTICA.</t>
  </si>
  <si>
    <t>48344725000123</t>
  </si>
  <si>
    <t>LABORATÓRIO NEO QUÍMICA COMÉRCIO E INDÚSTRIA LTDA</t>
  </si>
  <si>
    <t>29785870000103</t>
  </si>
  <si>
    <t>BRAINFARMA INDÚSTRIA QUÍMICA E FARMACÊUTICA S.A</t>
  </si>
  <si>
    <t>05161069000110</t>
  </si>
  <si>
    <t>NOVA QUIMICA FARMACÊUTICA LTDA</t>
  </si>
  <si>
    <t>72593791000111</t>
  </si>
  <si>
    <t>NOVARTIS BIOCIENCIAS S.A</t>
  </si>
  <si>
    <t>56994502000130</t>
  </si>
  <si>
    <t>NOVO NORDISK FARMACÊUTICA DO BRASIL LTDA</t>
  </si>
  <si>
    <t>82277955000155</t>
  </si>
  <si>
    <t>LABORATORIOS PFIZER LTDA.</t>
  </si>
  <si>
    <t>46070868000169</t>
  </si>
  <si>
    <t>WYETH INDÚSTRIA FARMACÊUTICA LTDA</t>
  </si>
  <si>
    <t>61072393000133</t>
  </si>
  <si>
    <t>PROCTER &amp; GAMBLE DO BRASIL S/A</t>
  </si>
  <si>
    <t>59476770000158</t>
  </si>
  <si>
    <t>BRISTOL-MYERS SQUIBB FARMACÊUTICA S.A.</t>
  </si>
  <si>
    <t>56998982000107</t>
  </si>
  <si>
    <t>PRODUTOS ROCHE QUÍMICOS E FARMACÊUTICOS S.A.</t>
  </si>
  <si>
    <t>33009945000123</t>
  </si>
  <si>
    <t>SANDOZ DO BRASIL INDÚSTRIA FARMACÊUTICA LTDA</t>
  </si>
  <si>
    <t>61286647000116</t>
  </si>
  <si>
    <t>SANOFI-AVENTIS FARMACÊUTICA LTDA</t>
  </si>
  <si>
    <t>02685377000157</t>
  </si>
  <si>
    <t>LABORATÓRIOS SERVIER DO BRASIL LTDA</t>
  </si>
  <si>
    <t>42374207000176</t>
  </si>
  <si>
    <t>TAKEDA PHARMA LTDA.</t>
  </si>
  <si>
    <t>60397775000174</t>
  </si>
  <si>
    <t>LABORATÓRIO TEUTO BRASILEIRO S/A</t>
  </si>
  <si>
    <t>17159229000176</t>
  </si>
  <si>
    <t>TEVA FARMACÊUTICA LTDA.</t>
  </si>
  <si>
    <t>05333542000108</t>
  </si>
  <si>
    <t>TORRENT DO BRASIL LTDA</t>
  </si>
  <si>
    <t>33078528000132</t>
  </si>
  <si>
    <t>UNIÃO QUÍMICA FARMACÊUTICA NACIONAL S/A</t>
  </si>
  <si>
    <t>60665981000118</t>
  </si>
  <si>
    <t>COLBRÁS INDÚSTRIA E COMÉRCIO LTDA</t>
  </si>
  <si>
    <t>00413925000164</t>
  </si>
  <si>
    <t>ZAMBON LABORATÓRIOS FARMACÊUTICOS LTDA.</t>
  </si>
  <si>
    <t>61100004000136</t>
  </si>
  <si>
    <t>ZODIAC PRODUTOS FARMACÊUTICOS S/A</t>
  </si>
  <si>
    <t>55980684000127</t>
  </si>
  <si>
    <t>I = Lista Positiva – Monodroga</t>
  </si>
  <si>
    <t>II = Lista Positiva - Associações</t>
  </si>
  <si>
    <t>III – Lista Positiva – Soluções Parenterais</t>
  </si>
  <si>
    <t>N = Lista Negativa</t>
  </si>
  <si>
    <t>NA = Lista Neutra</t>
  </si>
  <si>
    <t>CAS</t>
  </si>
  <si>
    <t>TARJA</t>
  </si>
  <si>
    <t>LCCT</t>
  </si>
  <si>
    <t xml:space="preserve"> 4759-48-2</t>
  </si>
  <si>
    <t>Tarja Vermelha</t>
  </si>
  <si>
    <t>I</t>
  </si>
  <si>
    <t>Colunas3</t>
  </si>
  <si>
    <t xml:space="preserve"> 79794-75-5</t>
  </si>
  <si>
    <t>III</t>
  </si>
  <si>
    <t xml:space="preserve"> 2438-32-6</t>
  </si>
  <si>
    <t>NA</t>
  </si>
  <si>
    <t xml:space="preserve"> 58-33-3</t>
  </si>
  <si>
    <t xml:space="preserve"> 378-44-9</t>
  </si>
  <si>
    <t xml:space="preserve"> 68-89-3</t>
  </si>
  <si>
    <t xml:space="preserve"> 1177-87-3</t>
  </si>
  <si>
    <t xml:space="preserve"> 142057-77-0</t>
  </si>
  <si>
    <t xml:space="preserve"> 123441-03-2</t>
  </si>
  <si>
    <t xml:space="preserve"> 19982-08-2</t>
  </si>
  <si>
    <t xml:space="preserve"> 41100-52-1</t>
  </si>
  <si>
    <t xml:space="preserve"> 59-30-3</t>
  </si>
  <si>
    <t xml:space="preserve"> 83-88-5</t>
  </si>
  <si>
    <t xml:space="preserve"> 11096-26-7</t>
  </si>
  <si>
    <t xml:space="preserve"> 7720-78-7</t>
  </si>
  <si>
    <t>Venda Livre</t>
  </si>
  <si>
    <t xml:space="preserve"> 797-63-7</t>
  </si>
  <si>
    <t xml:space="preserve"> 57-63-6</t>
  </si>
  <si>
    <t xml:space="preserve"> 54024-22-5</t>
  </si>
  <si>
    <t xml:space="preserve"> 19774-82-4</t>
  </si>
  <si>
    <t xml:space="preserve"> 34183-22-7</t>
  </si>
  <si>
    <t xml:space="preserve"> 151767-02-1</t>
  </si>
  <si>
    <t xml:space="preserve"> 5534-09-8</t>
  </si>
  <si>
    <t xml:space="preserve"> 18559-94-9</t>
  </si>
  <si>
    <t xml:space="preserve"> 183814-30-4</t>
  </si>
  <si>
    <t xml:space="preserve"> 94749-08-3</t>
  </si>
  <si>
    <t xml:space="preserve"> 9006-65-9</t>
  </si>
  <si>
    <t xml:space="preserve"> 77-92-9</t>
  </si>
  <si>
    <t xml:space="preserve"> 21645-51-2</t>
  </si>
  <si>
    <t xml:space="preserve"> 8050-81-5</t>
  </si>
  <si>
    <t xml:space="preserve"> 51803-78-2</t>
  </si>
  <si>
    <t xml:space="preserve"> 4784-40-1</t>
  </si>
  <si>
    <t xml:space="preserve"> 980-71-2</t>
  </si>
  <si>
    <t xml:space="preserve"> 20830-75-5</t>
  </si>
  <si>
    <t xml:space="preserve"> 87-33-2</t>
  </si>
  <si>
    <t xml:space="preserve"> 16051-77-7</t>
  </si>
  <si>
    <t xml:space="preserve"> 2921-92-8</t>
  </si>
  <si>
    <t xml:space="preserve"> 13171-25-0</t>
  </si>
  <si>
    <t xml:space="preserve"> 79902-63-9</t>
  </si>
  <si>
    <t xml:space="preserve"> 163222-33-1</t>
  </si>
  <si>
    <t xml:space="preserve"> 15687-27-1</t>
  </si>
  <si>
    <t xml:space="preserve"> 149-64-4</t>
  </si>
  <si>
    <t xml:space="preserve"> 15307-79-6</t>
  </si>
  <si>
    <t xml:space="preserve"> 186826-86-8</t>
  </si>
  <si>
    <t xml:space="preserve"> 32986-56-4</t>
  </si>
  <si>
    <t xml:space="preserve"> 50-02-2</t>
  </si>
  <si>
    <t xml:space="preserve"> 2392-39-4</t>
  </si>
  <si>
    <t xml:space="preserve"> 151096-09-2</t>
  </si>
  <si>
    <t xml:space="preserve"> 52-21-1</t>
  </si>
  <si>
    <t xml:space="preserve"> 549-18-8</t>
  </si>
  <si>
    <t xml:space="preserve"> 113-52-0</t>
  </si>
  <si>
    <t xml:space="preserve"> 25332-39-2</t>
  </si>
  <si>
    <t xml:space="preserve"> 59729-33-8</t>
  </si>
  <si>
    <t xml:space="preserve"> 59333-67-4</t>
  </si>
  <si>
    <t>Tarja Preta</t>
  </si>
  <si>
    <t xml:space="preserve"> 79559-97-0</t>
  </si>
  <si>
    <t xml:space="preserve"> 1115-70-4</t>
  </si>
  <si>
    <t xml:space="preserve"> 11061-68-0</t>
  </si>
  <si>
    <t xml:space="preserve"> 160337-95-1</t>
  </si>
  <si>
    <t xml:space="preserve"> 10238-21-8</t>
  </si>
  <si>
    <t xml:space="preserve"> 89-57-6</t>
  </si>
  <si>
    <t xml:space="preserve"> 599-79-1</t>
  </si>
  <si>
    <t xml:space="preserve"> 99999-99-9</t>
  </si>
  <si>
    <t>514501601114315</t>
  </si>
  <si>
    <t xml:space="preserve"> 34552-83-5</t>
  </si>
  <si>
    <t xml:space="preserve"> 4468-02-4</t>
  </si>
  <si>
    <t xml:space="preserve"> 171599-83-0</t>
  </si>
  <si>
    <t xml:space="preserve"> 171596-29-5</t>
  </si>
  <si>
    <t xml:space="preserve"> 91-64-5</t>
  </si>
  <si>
    <t xml:space="preserve"> 520-27-4</t>
  </si>
  <si>
    <t xml:space="preserve"> 6493-05-6</t>
  </si>
  <si>
    <t xml:space="preserve"> 42971-09-5</t>
  </si>
  <si>
    <t xml:space="preserve"> 61-76-7</t>
  </si>
  <si>
    <t xml:space="preserve"> 90566-53-3</t>
  </si>
  <si>
    <t xml:space="preserve"> 8001-54-5</t>
  </si>
  <si>
    <t xml:space="preserve"> 117772-70-0</t>
  </si>
  <si>
    <t xml:space="preserve"> 61336-70-7</t>
  </si>
  <si>
    <t xml:space="preserve"> 80-49-9</t>
  </si>
  <si>
    <t>540915010013817</t>
  </si>
  <si>
    <t xml:space="preserve"> 50-81-7</t>
  </si>
  <si>
    <t xml:space="preserve"> 7492-31-1</t>
  </si>
  <si>
    <t xml:space="preserve"> 113-15-5</t>
  </si>
  <si>
    <t xml:space="preserve"> 6190-39-2</t>
  </si>
  <si>
    <t xml:space="preserve"> 7232-21-5</t>
  </si>
  <si>
    <t xml:space="preserve"> 143388-64-1</t>
  </si>
  <si>
    <t xml:space="preserve"> 123-03-5</t>
  </si>
  <si>
    <t xml:space="preserve"> 94-09-7</t>
  </si>
  <si>
    <t xml:space="preserve"> 147-24-0</t>
  </si>
  <si>
    <t xml:space="preserve"> 3811-75-4</t>
  </si>
  <si>
    <t xml:space="preserve"> 1404-04-2</t>
  </si>
  <si>
    <t xml:space="preserve"> 73-78-9</t>
  </si>
  <si>
    <t xml:space="preserve"> 137-58-6</t>
  </si>
  <si>
    <t xml:space="preserve"> 2152-44-5</t>
  </si>
  <si>
    <t xml:space="preserve"> 50-23-7</t>
  </si>
  <si>
    <t xml:space="preserve"> 67-73-2</t>
  </si>
  <si>
    <t xml:space="preserve"> 1405-10-3</t>
  </si>
  <si>
    <t xml:space="preserve"> 102-71-6</t>
  </si>
  <si>
    <t xml:space="preserve"> 124-43-6</t>
  </si>
  <si>
    <t xml:space="preserve"> 78-44-4</t>
  </si>
  <si>
    <t xml:space="preserve"> 4682-36-4</t>
  </si>
  <si>
    <t xml:space="preserve"> 86386-73-4</t>
  </si>
  <si>
    <t xml:space="preserve"> 99614-01-4</t>
  </si>
  <si>
    <t xml:space="preserve"> 53-03-2</t>
  </si>
  <si>
    <t xml:space="preserve"> 523-87-5</t>
  </si>
  <si>
    <t xml:space="preserve"> 569-65-3</t>
  </si>
  <si>
    <t xml:space="preserve"> 103-90-2</t>
  </si>
  <si>
    <t xml:space="preserve"> 74103-07-4</t>
  </si>
  <si>
    <t xml:space="preserve"> 66357-59-3</t>
  </si>
  <si>
    <t xml:space="preserve"> 73590-58-6</t>
  </si>
  <si>
    <t xml:space="preserve"> 54182-58-0</t>
  </si>
  <si>
    <t xml:space="preserve"> 138890-62-7</t>
  </si>
  <si>
    <t xml:space="preserve"> 130209-82-4</t>
  </si>
  <si>
    <t xml:space="preserve"> 26921-17-5</t>
  </si>
  <si>
    <t xml:space="preserve"> 70359-46-5</t>
  </si>
  <si>
    <t xml:space="preserve"> 315-30-0</t>
  </si>
  <si>
    <t xml:space="preserve"> 64-86-8</t>
  </si>
  <si>
    <t>525914090020617</t>
  </si>
  <si>
    <t>7896112158370</t>
  </si>
  <si>
    <t>1037000760131</t>
  </si>
  <si>
    <t xml:space="preserve"> 69-22-7</t>
  </si>
  <si>
    <t xml:space="preserve"> 345-78-8</t>
  </si>
  <si>
    <t xml:space="preserve"> 59-33-6</t>
  </si>
  <si>
    <t xml:space="preserve"> 29205-06-9</t>
  </si>
  <si>
    <t xml:space="preserve"> 8000-61-1</t>
  </si>
  <si>
    <t xml:space="preserve"> 61-12-1</t>
  </si>
  <si>
    <t xml:space="preserve"> 124750-99-8</t>
  </si>
  <si>
    <t xml:space="preserve"> 114798-26-4</t>
  </si>
  <si>
    <t xml:space="preserve"> 76095-16-4</t>
  </si>
  <si>
    <t xml:space="preserve"> 86393-32-0</t>
  </si>
  <si>
    <t xml:space="preserve"> 100986-85-4</t>
  </si>
  <si>
    <t xml:space="preserve"> 70458-96-7</t>
  </si>
  <si>
    <t xml:space="preserve"> 8018-07-3</t>
  </si>
  <si>
    <t xml:space="preserve"> 61-73-4</t>
  </si>
  <si>
    <t xml:space="preserve"> 67-20-9</t>
  </si>
  <si>
    <t xml:space="preserve"> 94-36-0</t>
  </si>
  <si>
    <t xml:space="preserve"> 30484-77-6</t>
  </si>
  <si>
    <t xml:space="preserve"> 24730-10-7</t>
  </si>
  <si>
    <t xml:space="preserve"> 5638-76-6</t>
  </si>
  <si>
    <t xml:space="preserve"> 6805-41-0</t>
  </si>
  <si>
    <t xml:space="preserve"> Ref2-01</t>
  </si>
  <si>
    <t xml:space="preserve"> 119-36-8</t>
  </si>
  <si>
    <t xml:space="preserve"> 78213-16-8</t>
  </si>
  <si>
    <t xml:space="preserve"> 4093-35-0</t>
  </si>
  <si>
    <t xml:space="preserve"> 57808-66-9</t>
  </si>
  <si>
    <t xml:space="preserve"> 665-66-7</t>
  </si>
  <si>
    <t xml:space="preserve"> 59-92-7</t>
  </si>
  <si>
    <t xml:space="preserve"> 1235-82-1</t>
  </si>
  <si>
    <t xml:space="preserve"> 52-49-3</t>
  </si>
  <si>
    <t xml:space="preserve"> 191217-81-9</t>
  </si>
  <si>
    <t xml:space="preserve"> 747-36-4</t>
  </si>
  <si>
    <t>502401502153418</t>
  </si>
  <si>
    <t xml:space="preserve"> 68-19-9</t>
  </si>
  <si>
    <t xml:space="preserve"> 169590-42-5</t>
  </si>
  <si>
    <t xml:space="preserve"> 202409-33-4</t>
  </si>
  <si>
    <t xml:space="preserve"> 51333-22-3</t>
  </si>
  <si>
    <t xml:space="preserve"> 141845-82-1</t>
  </si>
  <si>
    <t xml:space="preserve"> 83919-23-7</t>
  </si>
  <si>
    <t xml:space="preserve"> 7447-40-7</t>
  </si>
  <si>
    <t xml:space="preserve"> 7647-14-5</t>
  </si>
  <si>
    <t xml:space="preserve"> 125-02-0</t>
  </si>
  <si>
    <t xml:space="preserve"> 85187-37-7</t>
  </si>
  <si>
    <t xml:space="preserve"> 99291-25-5</t>
  </si>
  <si>
    <t xml:space="preserve"> 1215-83-4</t>
  </si>
  <si>
    <t xml:space="preserve"> 93-14-1</t>
  </si>
  <si>
    <t xml:space="preserve"> 54-11-5</t>
  </si>
  <si>
    <t xml:space="preserve"> 375815-87-5</t>
  </si>
  <si>
    <t xml:space="preserve"> 121268-17-5</t>
  </si>
  <si>
    <t xml:space="preserve"> 115436-72-1</t>
  </si>
  <si>
    <t xml:space="preserve"> 47931-85-1</t>
  </si>
  <si>
    <t xml:space="preserve"> 52232-67-4</t>
  </si>
  <si>
    <t xml:space="preserve"> 135459-87-9</t>
  </si>
  <si>
    <t xml:space="preserve"> 5630-53-5</t>
  </si>
  <si>
    <t xml:space="preserve"> 67392-87-4</t>
  </si>
  <si>
    <t xml:space="preserve"> 50-28-2</t>
  </si>
  <si>
    <t xml:space="preserve"> 979-32-8</t>
  </si>
  <si>
    <t xml:space="preserve"> Ref5-16</t>
  </si>
  <si>
    <t xml:space="preserve"> 12126-59-9</t>
  </si>
  <si>
    <t xml:space="preserve"> 57-83-0</t>
  </si>
  <si>
    <t xml:space="preserve"> 71-58-9</t>
  </si>
  <si>
    <t>7896082900351</t>
  </si>
  <si>
    <t>1017400010097</t>
  </si>
  <si>
    <t>50 MG+ 20 MG/G CREM DERM CT BG AL X 25 G</t>
  </si>
  <si>
    <t>100 MG DRG CT BL AL PLAS INC X 25</t>
  </si>
  <si>
    <t xml:space="preserve"> 136-40-3</t>
  </si>
  <si>
    <t>1221400750040</t>
  </si>
  <si>
    <t>7892953001387</t>
  </si>
  <si>
    <t>DEXADOR</t>
  </si>
  <si>
    <t>ATROVERAN</t>
  </si>
  <si>
    <t>IMOSEC</t>
  </si>
  <si>
    <t>COCICHIMIL</t>
  </si>
  <si>
    <t>SALONSIP</t>
  </si>
  <si>
    <t>AVERT</t>
  </si>
  <si>
    <t>Unidades (Caixas)</t>
  </si>
  <si>
    <t>MAT Reais (R$)</t>
  </si>
  <si>
    <t>MAT Dólares (US$)</t>
  </si>
  <si>
    <t>MÉDIA EM CAIXAS EM R$</t>
  </si>
  <si>
    <t xml:space="preserve">MÉDIA EM CAIXAS EM R$ </t>
  </si>
  <si>
    <t>ZODIAC</t>
  </si>
  <si>
    <t>7896317900415</t>
  </si>
  <si>
    <t>7891104195067</t>
  </si>
  <si>
    <t>7896212478750</t>
  </si>
  <si>
    <t>1181901090067</t>
  </si>
  <si>
    <t>1781700420076</t>
  </si>
  <si>
    <t xml:space="preserve"> 61-25-6</t>
  </si>
  <si>
    <t>COSMED</t>
  </si>
  <si>
    <t>ATROPA BELLADONNA; CLORIDRATO DE PAPAVERINA; DIPIRONA SÓDICA; EXTRATO DE HYOSCYAMUS NIGER LINNÉ; ILLICIUM VERUM HOOK. F.; PEUMUS BOLDUS</t>
  </si>
  <si>
    <t>1186100100017</t>
  </si>
  <si>
    <t>5000 MCG SOL INJ CT 3 AMP A VD AMB X 2 ML + 3 AMP B VD INC X 1 ML</t>
  </si>
  <si>
    <t>ATIVUS FARMACÊUTICA LTDA</t>
  </si>
  <si>
    <t>ATIVUS</t>
  </si>
  <si>
    <t>64088172000141</t>
  </si>
  <si>
    <t>1123600150098</t>
  </si>
  <si>
    <t>2 MG COM CT BL AL PLAS INC X 12</t>
  </si>
  <si>
    <t>511700205176413</t>
  </si>
  <si>
    <t>1105200010118</t>
  </si>
  <si>
    <t>7896472512843</t>
  </si>
  <si>
    <t>7896227800171</t>
  </si>
  <si>
    <t>7897572001923</t>
  </si>
  <si>
    <t>1017100890016</t>
  </si>
  <si>
    <t>519006901177416</t>
  </si>
  <si>
    <t>1046500090000</t>
  </si>
  <si>
    <t>7896422509817</t>
  </si>
  <si>
    <t>1018104800011</t>
  </si>
  <si>
    <t>525064403162115</t>
  </si>
  <si>
    <t>7898926572113</t>
  </si>
  <si>
    <t>7897595900654</t>
  </si>
  <si>
    <t>1130010680024</t>
  </si>
  <si>
    <t>1661400060014</t>
  </si>
  <si>
    <t>MAXALGINA GOTAS 500 MG 10 ML x 1 (/ML) -FEBRE</t>
  </si>
  <si>
    <t>1123633260046</t>
  </si>
  <si>
    <t>1781700860017</t>
  </si>
  <si>
    <t>1045400130111</t>
  </si>
  <si>
    <t>MAXALGINA GOTAS 500 MG 10 ML x 1 (/ML) - PNEUMO</t>
  </si>
  <si>
    <t>1384100020017</t>
  </si>
  <si>
    <t>1091700150047</t>
  </si>
  <si>
    <t>1005801160037</t>
  </si>
  <si>
    <t>1004300360051</t>
  </si>
  <si>
    <t>1121301730290</t>
  </si>
  <si>
    <t>1127800700035</t>
  </si>
  <si>
    <t>1211000010049</t>
  </si>
  <si>
    <t>1023504870496</t>
  </si>
  <si>
    <t>1021602090121</t>
  </si>
  <si>
    <t>1023504940011</t>
  </si>
  <si>
    <t>1130002850064</t>
  </si>
  <si>
    <t>500512102114416</t>
  </si>
  <si>
    <t>7896658012198</t>
  </si>
  <si>
    <t>1057303670011</t>
  </si>
  <si>
    <t>COM REV CT BL AL PLAS INC X 15 </t>
  </si>
  <si>
    <t>1063901110111</t>
  </si>
  <si>
    <t>1438100880019</t>
  </si>
  <si>
    <t>1356905980077</t>
  </si>
  <si>
    <t>1058304440083</t>
  </si>
  <si>
    <t>1055303090033</t>
  </si>
  <si>
    <t>1037004490211</t>
  </si>
  <si>
    <t>1057304110026</t>
  </si>
  <si>
    <t>1572100080418</t>
  </si>
  <si>
    <t>1572100080450</t>
  </si>
  <si>
    <t>504612040012314</t>
  </si>
  <si>
    <t>1728703200011</t>
  </si>
  <si>
    <t>7896714203782</t>
  </si>
  <si>
    <t>1558400860022</t>
  </si>
  <si>
    <t>1558400750014</t>
  </si>
  <si>
    <t>1558401870013</t>
  </si>
  <si>
    <t>1558401870021</t>
  </si>
  <si>
    <t>ANTIACNEICO SISTEMICO</t>
  </si>
  <si>
    <t>Carga Tributária Média</t>
  </si>
  <si>
    <t>Valores</t>
  </si>
  <si>
    <t>Média de TOTAL AM</t>
  </si>
  <si>
    <t>Média de MÉDIA GERAL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</si>
</sst>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_-* #,##0_-;\-* #,##0_-;_-* &quot;-&quot;??_-;_-@_-"/>
    <numFmt numFmtId="165" formatCode="0.000"/>
    <numFmt numFmtId="166" formatCode="_-* #,##0.0000_-;\-* #,##0.0000_-;_-* &quot;-&quot;??_-;_-@_-"/>
    <numFmt numFmtId="167" formatCode="_-* #,##0.0000_-;\-* #,##0.0000_-;_-* &quot;-&quot;????_-;_-@_-"/>
  </numFmts>
  <fonts count="24" x14ac:knownFonts="1">
    <font>
      <sz val="11"/>
      <color theme="1"/>
      <name val="Calibri"/>
      <family val="2"/>
      <scheme val="minor"/>
    </font>
    <font>
      <sz val="9"/>
      <color indexed="63"/>
      <name val="Arial"/>
      <family val="2"/>
    </font>
    <font>
      <sz val="10"/>
      <color indexed="8"/>
      <name val="Arial"/>
      <family val="2"/>
    </font>
    <font>
      <sz val="10"/>
      <name val="Arial"/>
      <family val="2"/>
    </font>
    <font>
      <sz val="9"/>
      <name val="Arial"/>
      <family val="2"/>
    </font>
    <font>
      <sz val="10"/>
      <name val="MS Sans Serif"/>
    </font>
    <font>
      <b/>
      <sz val="9"/>
      <name val="Arial"/>
      <family val="2"/>
    </font>
    <font>
      <sz val="11"/>
      <color theme="1"/>
      <name val="Calibri"/>
      <family val="2"/>
      <scheme val="minor"/>
    </font>
    <font>
      <u/>
      <sz val="11"/>
      <color theme="10"/>
      <name val="Calibri"/>
      <family val="2"/>
      <scheme val="minor"/>
    </font>
    <font>
      <sz val="9"/>
      <color rgb="FF000000"/>
      <name val="Arial"/>
      <family val="2"/>
    </font>
    <font>
      <sz val="11"/>
      <name val="Calibri"/>
      <family val="2"/>
      <scheme val="minor"/>
    </font>
    <font>
      <sz val="11"/>
      <color rgb="FF000000"/>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1"/>
      <name val="Calibri"/>
      <family val="2"/>
      <scheme val="minor"/>
    </font>
    <font>
      <sz val="18"/>
      <color theme="4" tint="-0.249977111117893"/>
      <name val="Calibri"/>
      <family val="2"/>
      <scheme val="minor"/>
    </font>
    <font>
      <sz val="8"/>
      <color theme="1"/>
      <name val="Calibri"/>
      <family val="2"/>
      <scheme val="minor"/>
    </font>
    <font>
      <b/>
      <sz val="8"/>
      <color theme="0"/>
      <name val="Calibri"/>
      <family val="2"/>
      <scheme val="minor"/>
    </font>
    <font>
      <u/>
      <sz val="11"/>
      <name val="Calibri"/>
      <family val="2"/>
      <scheme val="minor"/>
    </font>
    <font>
      <sz val="12"/>
      <color theme="4" tint="-0.249977111117893"/>
      <name val="Calibri"/>
      <family val="2"/>
      <scheme val="minor"/>
    </font>
    <font>
      <b/>
      <sz val="11"/>
      <color theme="1"/>
      <name val="Calibri"/>
      <scheme val="minor"/>
    </font>
    <font>
      <sz val="11"/>
      <color theme="1"/>
      <name val="Calibri"/>
      <scheme val="minor"/>
    </font>
    <font>
      <sz val="10"/>
      <color indexed="8"/>
      <name val="Arial"/>
    </font>
  </fonts>
  <fills count="11">
    <fill>
      <patternFill patternType="none"/>
    </fill>
    <fill>
      <patternFill patternType="gray125"/>
    </fill>
    <fill>
      <patternFill patternType="solid">
        <fgColor theme="0" tint="-0.14999847407452621"/>
        <bgColor theme="0" tint="-0.14999847407452621"/>
      </patternFill>
    </fill>
    <fill>
      <patternFill patternType="solid">
        <fgColor theme="4"/>
        <bgColor theme="4"/>
      </patternFill>
    </fill>
    <fill>
      <patternFill patternType="solid">
        <fgColor theme="4" tint="0.79998168889431442"/>
        <bgColor theme="4" tint="0.79998168889431442"/>
      </patternFill>
    </fill>
    <fill>
      <patternFill patternType="solid">
        <fgColor rgb="FF012F53"/>
        <bgColor indexed="64"/>
      </patternFill>
    </fill>
    <fill>
      <patternFill patternType="solid">
        <fgColor rgb="FFFFFF00"/>
        <bgColor indexed="64"/>
      </patternFill>
    </fill>
    <fill>
      <patternFill patternType="solid">
        <fgColor theme="9" tint="-0.249977111117893"/>
        <bgColor indexed="64"/>
      </patternFill>
    </fill>
    <fill>
      <patternFill patternType="solid">
        <fgColor rgb="FFFFFF00"/>
        <bgColor theme="4" tint="0.79998168889431442"/>
      </patternFill>
    </fill>
    <fill>
      <patternFill patternType="solid">
        <fgColor theme="9" tint="0.39997558519241921"/>
        <bgColor indexed="64"/>
      </patternFill>
    </fill>
    <fill>
      <patternFill patternType="solid">
        <fgColor theme="9" tint="0.79998168889431442"/>
        <bgColor indexed="64"/>
      </patternFill>
    </fill>
  </fills>
  <borders count="9">
    <border>
      <left/>
      <right/>
      <top/>
      <bottom/>
      <diagonal/>
    </border>
    <border>
      <left/>
      <right/>
      <top style="medium">
        <color theme="1"/>
      </top>
      <bottom/>
      <diagonal/>
    </border>
    <border>
      <left/>
      <right/>
      <top/>
      <bottom style="medium">
        <color theme="1"/>
      </bottom>
      <diagonal/>
    </border>
    <border>
      <left/>
      <right/>
      <top style="medium">
        <color theme="4" tint="-0.249977111117893"/>
      </top>
      <bottom/>
      <diagonal/>
    </border>
    <border>
      <left/>
      <right/>
      <top style="medium">
        <color theme="4" tint="-0.249977111117893"/>
      </top>
      <bottom style="thin">
        <color theme="4" tint="0.39997558519241921"/>
      </bottom>
      <diagonal/>
    </border>
    <border>
      <left/>
      <right/>
      <top style="thin">
        <color theme="0"/>
      </top>
      <bottom/>
      <diagonal/>
    </border>
    <border>
      <left/>
      <right/>
      <top style="thin">
        <color theme="0"/>
      </top>
      <bottom style="thin">
        <color theme="0"/>
      </bottom>
      <diagonal/>
    </border>
    <border>
      <left/>
      <right/>
      <top style="thin">
        <color theme="4" tint="-0.24994659260841701"/>
      </top>
      <bottom style="thin">
        <color theme="4" tint="-0.24994659260841701"/>
      </bottom>
      <diagonal/>
    </border>
    <border>
      <left/>
      <right/>
      <top style="medium">
        <color theme="1"/>
      </top>
      <bottom style="medium">
        <color theme="1"/>
      </bottom>
      <diagonal/>
    </border>
  </borders>
  <cellStyleXfs count="8">
    <xf numFmtId="0" fontId="0" fillId="0" borderId="0"/>
    <xf numFmtId="0" fontId="8" fillId="0" borderId="0" applyNumberFormat="0" applyFill="0" applyBorder="0" applyAlignment="0" applyProtection="0"/>
    <xf numFmtId="0" fontId="7" fillId="0" borderId="0"/>
    <xf numFmtId="0" fontId="2" fillId="0" borderId="0"/>
    <xf numFmtId="0" fontId="5" fillId="0" borderId="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cellStyleXfs>
  <cellXfs count="132">
    <xf numFmtId="0" fontId="0" fillId="0" borderId="0" xfId="0"/>
    <xf numFmtId="0" fontId="0" fillId="0" borderId="0" xfId="0" applyFont="1"/>
    <xf numFmtId="0" fontId="0" fillId="2" borderId="0" xfId="0" applyFont="1" applyFill="1"/>
    <xf numFmtId="0" fontId="0" fillId="0" borderId="0" xfId="0" applyFont="1" applyAlignment="1">
      <alignment wrapText="1"/>
    </xf>
    <xf numFmtId="0" fontId="0" fillId="2" borderId="0" xfId="0" applyFont="1" applyFill="1" applyAlignment="1">
      <alignment wrapText="1"/>
    </xf>
    <xf numFmtId="0" fontId="0" fillId="2" borderId="1" xfId="0" applyFont="1" applyFill="1" applyBorder="1" applyAlignment="1">
      <alignment wrapText="1"/>
    </xf>
    <xf numFmtId="0" fontId="0" fillId="2" borderId="1" xfId="0" applyFont="1" applyFill="1" applyBorder="1"/>
    <xf numFmtId="0" fontId="9" fillId="0" borderId="0" xfId="0" applyFont="1"/>
    <xf numFmtId="0" fontId="10" fillId="0" borderId="0" xfId="1" applyFont="1"/>
    <xf numFmtId="0" fontId="11" fillId="0" borderId="0" xfId="0" applyFont="1"/>
    <xf numFmtId="0" fontId="0" fillId="2" borderId="0" xfId="0" applyFont="1" applyFill="1" applyBorder="1"/>
    <xf numFmtId="0" fontId="0" fillId="2" borderId="2" xfId="0" applyFont="1" applyFill="1" applyBorder="1"/>
    <xf numFmtId="0" fontId="0" fillId="2" borderId="0" xfId="0" applyFont="1" applyFill="1" applyBorder="1" applyAlignment="1">
      <alignment wrapText="1"/>
    </xf>
    <xf numFmtId="0" fontId="0" fillId="0" borderId="0" xfId="0" applyFont="1" applyBorder="1" applyAlignment="1">
      <alignment wrapText="1"/>
    </xf>
    <xf numFmtId="0" fontId="0" fillId="2" borderId="2" xfId="0" applyFont="1" applyFill="1" applyBorder="1" applyAlignment="1">
      <alignment wrapText="1"/>
    </xf>
    <xf numFmtId="0" fontId="12" fillId="3" borderId="0" xfId="0" applyFont="1" applyFill="1" applyBorder="1"/>
    <xf numFmtId="49" fontId="0" fillId="0" borderId="0" xfId="0" applyNumberFormat="1"/>
    <xf numFmtId="0" fontId="0" fillId="0" borderId="0" xfId="0" applyAlignment="1">
      <alignment horizontal="left"/>
    </xf>
    <xf numFmtId="0" fontId="0" fillId="0" borderId="0" xfId="0" applyAlignment="1">
      <alignment horizontal="right" vertical="center" wrapText="1"/>
    </xf>
    <xf numFmtId="164" fontId="13" fillId="4" borderId="0" xfId="0" applyNumberFormat="1" applyFont="1" applyFill="1" applyAlignment="1">
      <alignment horizontal="center"/>
    </xf>
    <xf numFmtId="43" fontId="0" fillId="0" borderId="0" xfId="0" applyNumberFormat="1"/>
    <xf numFmtId="43" fontId="0" fillId="0" borderId="0" xfId="0" applyNumberFormat="1" applyAlignment="1">
      <alignment horizontal="center"/>
    </xf>
    <xf numFmtId="0" fontId="13" fillId="0" borderId="0" xfId="0" applyFont="1" applyFill="1" applyAlignment="1">
      <alignment horizontal="left"/>
    </xf>
    <xf numFmtId="9" fontId="7" fillId="0" borderId="0" xfId="5" applyFont="1"/>
    <xf numFmtId="0" fontId="0" fillId="5" borderId="0" xfId="0" applyFill="1"/>
    <xf numFmtId="164" fontId="0" fillId="0" borderId="0" xfId="0" applyNumberFormat="1" applyFont="1"/>
    <xf numFmtId="0" fontId="10" fillId="0" borderId="0" xfId="0" applyFont="1" applyFill="1" applyBorder="1"/>
    <xf numFmtId="0" fontId="14" fillId="5" borderId="0" xfId="0" applyFont="1" applyFill="1"/>
    <xf numFmtId="0" fontId="12" fillId="3" borderId="3" xfId="0" applyFont="1" applyFill="1" applyBorder="1"/>
    <xf numFmtId="43" fontId="13" fillId="4" borderId="0" xfId="0" applyNumberFormat="1" applyFont="1" applyFill="1" applyAlignment="1">
      <alignment horizontal="center"/>
    </xf>
    <xf numFmtId="164" fontId="12" fillId="3" borderId="3" xfId="0" applyNumberFormat="1" applyFont="1" applyFill="1" applyBorder="1" applyAlignment="1">
      <alignment horizontal="center" vertical="top" wrapText="1"/>
    </xf>
    <xf numFmtId="0" fontId="12" fillId="3" borderId="3" xfId="0" applyFont="1" applyFill="1" applyBorder="1" applyAlignment="1">
      <alignment vertical="top"/>
    </xf>
    <xf numFmtId="0" fontId="12" fillId="3" borderId="4" xfId="0" applyFont="1" applyFill="1" applyBorder="1"/>
    <xf numFmtId="4" fontId="0" fillId="0" borderId="0" xfId="0" applyNumberFormat="1"/>
    <xf numFmtId="0" fontId="14" fillId="5" borderId="0" xfId="0" applyFont="1" applyFill="1" applyAlignment="1">
      <alignment horizontal="left" vertical="top" wrapText="1"/>
    </xf>
    <xf numFmtId="10" fontId="7" fillId="0" borderId="0" xfId="5" applyNumberFormat="1" applyFont="1"/>
    <xf numFmtId="0" fontId="13" fillId="0" borderId="0" xfId="0" applyFont="1" applyFill="1" applyAlignment="1">
      <alignment horizontal="left"/>
    </xf>
    <xf numFmtId="164" fontId="12" fillId="3" borderId="0" xfId="0" applyNumberFormat="1" applyFont="1" applyFill="1" applyBorder="1" applyAlignment="1">
      <alignment horizontal="center" vertical="top" wrapText="1"/>
    </xf>
    <xf numFmtId="0" fontId="12" fillId="3" borderId="0" xfId="0" applyFont="1" applyFill="1" applyBorder="1" applyAlignment="1">
      <alignment vertical="top"/>
    </xf>
    <xf numFmtId="164" fontId="12" fillId="0" borderId="0" xfId="0" applyNumberFormat="1" applyFont="1" applyFill="1" applyBorder="1" applyAlignment="1">
      <alignment horizontal="center" vertical="top" wrapText="1"/>
    </xf>
    <xf numFmtId="0" fontId="0" fillId="0" borderId="0" xfId="0" applyAlignment="1">
      <alignment vertical="top"/>
    </xf>
    <xf numFmtId="0" fontId="14" fillId="0" borderId="0" xfId="0" applyFont="1" applyFill="1" applyBorder="1" applyAlignment="1">
      <alignment vertical="top"/>
    </xf>
    <xf numFmtId="43" fontId="13" fillId="0" borderId="0" xfId="0" applyNumberFormat="1" applyFont="1" applyFill="1" applyAlignment="1">
      <alignment horizontal="center"/>
    </xf>
    <xf numFmtId="0" fontId="14" fillId="5" borderId="0" xfId="0" applyFont="1" applyFill="1" applyAlignment="1">
      <alignment horizontal="center" vertical="center"/>
    </xf>
    <xf numFmtId="0" fontId="14" fillId="5" borderId="5" xfId="0" applyFont="1" applyFill="1" applyBorder="1" applyAlignment="1">
      <alignment horizontal="center" vertical="center"/>
    </xf>
    <xf numFmtId="0" fontId="14" fillId="5" borderId="6" xfId="0" applyFont="1" applyFill="1" applyBorder="1" applyAlignment="1">
      <alignment horizontal="center" vertical="center"/>
    </xf>
    <xf numFmtId="0" fontId="14" fillId="5" borderId="6" xfId="0" applyFont="1" applyFill="1" applyBorder="1" applyAlignment="1">
      <alignment vertical="center"/>
    </xf>
    <xf numFmtId="0" fontId="14" fillId="5" borderId="6" xfId="0" applyFont="1" applyFill="1" applyBorder="1" applyAlignment="1">
      <alignment vertical="center" wrapText="1"/>
    </xf>
    <xf numFmtId="0" fontId="0" fillId="0" borderId="0" xfId="0" applyAlignment="1">
      <alignment wrapText="1"/>
    </xf>
    <xf numFmtId="0" fontId="0" fillId="2" borderId="0" xfId="0" applyNumberFormat="1" applyFont="1" applyFill="1"/>
    <xf numFmtId="0" fontId="0" fillId="0" borderId="0" xfId="0" applyNumberFormat="1" applyFont="1"/>
    <xf numFmtId="165" fontId="0" fillId="0" borderId="0" xfId="0" applyNumberFormat="1"/>
    <xf numFmtId="165" fontId="0" fillId="0" borderId="0" xfId="0" applyNumberFormat="1" applyFont="1"/>
    <xf numFmtId="165" fontId="7" fillId="0" borderId="0" xfId="5" applyNumberFormat="1" applyFont="1"/>
    <xf numFmtId="165" fontId="15" fillId="0" borderId="0" xfId="0" applyNumberFormat="1" applyFont="1" applyFill="1" applyAlignment="1">
      <alignment horizontal="center" vertical="top" wrapText="1"/>
    </xf>
    <xf numFmtId="165" fontId="13" fillId="0" borderId="0" xfId="0" applyNumberFormat="1" applyFont="1" applyFill="1" applyAlignment="1">
      <alignment horizontal="center"/>
    </xf>
    <xf numFmtId="0" fontId="13" fillId="6" borderId="0" xfId="0" applyFont="1" applyFill="1" applyAlignment="1">
      <alignment horizontal="left"/>
    </xf>
    <xf numFmtId="0" fontId="7" fillId="0" borderId="0" xfId="2"/>
    <xf numFmtId="0" fontId="16" fillId="0" borderId="0" xfId="2" applyFont="1" applyAlignment="1">
      <alignment vertical="top"/>
    </xf>
    <xf numFmtId="166" fontId="7" fillId="0" borderId="0" xfId="2" applyNumberFormat="1"/>
    <xf numFmtId="167" fontId="7" fillId="0" borderId="0" xfId="2" applyNumberFormat="1"/>
    <xf numFmtId="0" fontId="7" fillId="0" borderId="0" xfId="2" applyAlignment="1">
      <alignment horizontal="right" vertical="top" wrapText="1"/>
    </xf>
    <xf numFmtId="0" fontId="7" fillId="0" borderId="0" xfId="2" applyNumberFormat="1" applyAlignment="1">
      <alignment horizontal="right" vertical="top" wrapText="1"/>
    </xf>
    <xf numFmtId="0" fontId="7" fillId="0" borderId="0" xfId="2" applyAlignment="1">
      <alignment horizontal="center" vertical="top" wrapText="1"/>
    </xf>
    <xf numFmtId="0" fontId="7" fillId="0" borderId="0" xfId="2" applyFill="1"/>
    <xf numFmtId="0" fontId="7" fillId="0" borderId="0" xfId="2" quotePrefix="1"/>
    <xf numFmtId="49" fontId="3" fillId="0" borderId="0" xfId="3" applyNumberFormat="1" applyFont="1"/>
    <xf numFmtId="43" fontId="7" fillId="0" borderId="0" xfId="6" applyNumberFormat="1" applyFont="1" applyAlignment="1">
      <alignment horizontal="right" vertical="top" wrapText="1"/>
    </xf>
    <xf numFmtId="43" fontId="7" fillId="0" borderId="0" xfId="6" quotePrefix="1" applyNumberFormat="1" applyFont="1" applyAlignment="1">
      <alignment horizontal="right" vertical="top" wrapText="1"/>
    </xf>
    <xf numFmtId="43" fontId="7" fillId="7" borderId="0" xfId="6" applyNumberFormat="1" applyFill="1" applyAlignment="1">
      <alignment horizontal="right" vertical="top" wrapText="1"/>
    </xf>
    <xf numFmtId="43" fontId="7" fillId="0" borderId="0" xfId="6" applyNumberFormat="1" applyAlignment="1">
      <alignment horizontal="right" vertical="top" wrapText="1"/>
    </xf>
    <xf numFmtId="0" fontId="4" fillId="0" borderId="0" xfId="0" quotePrefix="1" applyFont="1"/>
    <xf numFmtId="43" fontId="13" fillId="0" borderId="0" xfId="6" applyFont="1" applyFill="1" applyAlignment="1">
      <alignment horizontal="center"/>
    </xf>
    <xf numFmtId="43" fontId="13" fillId="4" borderId="0" xfId="6" applyFont="1" applyFill="1" applyAlignment="1">
      <alignment horizontal="center"/>
    </xf>
    <xf numFmtId="43" fontId="13" fillId="6" borderId="0" xfId="6" applyFont="1" applyFill="1" applyAlignment="1">
      <alignment horizontal="center"/>
    </xf>
    <xf numFmtId="43" fontId="13" fillId="8" borderId="0" xfId="6" applyFont="1" applyFill="1" applyAlignment="1">
      <alignment horizontal="center"/>
    </xf>
    <xf numFmtId="43" fontId="13" fillId="0" borderId="0" xfId="6" applyFont="1" applyFill="1" applyAlignment="1">
      <alignment horizontal="center"/>
    </xf>
    <xf numFmtId="43" fontId="13" fillId="4" borderId="0" xfId="6" applyFont="1" applyFill="1" applyAlignment="1">
      <alignment horizontal="center"/>
    </xf>
    <xf numFmtId="164" fontId="15" fillId="0" borderId="7" xfId="0" applyNumberFormat="1" applyFont="1" applyFill="1" applyBorder="1" applyAlignment="1">
      <alignment horizontal="center" vertical="top" wrapText="1"/>
    </xf>
    <xf numFmtId="0" fontId="0" fillId="0" borderId="0" xfId="0" applyAlignment="1">
      <alignment horizontal="right"/>
    </xf>
    <xf numFmtId="3" fontId="0" fillId="0" borderId="0" xfId="0" applyNumberFormat="1" applyAlignment="1">
      <alignment horizontal="right"/>
    </xf>
    <xf numFmtId="0" fontId="0" fillId="0" borderId="0" xfId="0" applyAlignment="1">
      <alignment horizontal="right" vertical="center"/>
    </xf>
    <xf numFmtId="4" fontId="0" fillId="0" borderId="0" xfId="0" applyNumberFormat="1" applyAlignment="1">
      <alignment horizontal="right"/>
    </xf>
    <xf numFmtId="0" fontId="17" fillId="0" borderId="0" xfId="0" applyFont="1"/>
    <xf numFmtId="0" fontId="18" fillId="3" borderId="4" xfId="0" applyFont="1" applyFill="1" applyBorder="1"/>
    <xf numFmtId="43" fontId="17" fillId="0" borderId="0" xfId="6" applyFont="1"/>
    <xf numFmtId="0" fontId="7" fillId="0" borderId="0" xfId="2" applyFont="1" applyAlignment="1">
      <alignment horizontal="right" vertical="top" wrapText="1"/>
    </xf>
    <xf numFmtId="43" fontId="12" fillId="3" borderId="8" xfId="6" applyNumberFormat="1" applyFont="1" applyFill="1" applyBorder="1" applyAlignment="1">
      <alignment horizontal="right" vertical="top" wrapText="1"/>
    </xf>
    <xf numFmtId="0" fontId="7" fillId="0" borderId="0" xfId="2" applyNumberFormat="1" applyFont="1" applyAlignment="1">
      <alignment horizontal="right" vertical="top" wrapText="1"/>
    </xf>
    <xf numFmtId="0" fontId="10" fillId="0" borderId="0" xfId="2" applyFont="1"/>
    <xf numFmtId="0" fontId="10" fillId="6" borderId="0" xfId="2" applyFont="1" applyFill="1"/>
    <xf numFmtId="0" fontId="10" fillId="0" borderId="0" xfId="2" applyNumberFormat="1" applyFont="1"/>
    <xf numFmtId="0" fontId="10" fillId="0" borderId="0" xfId="2" applyFont="1" applyAlignment="1">
      <alignment horizontal="center"/>
    </xf>
    <xf numFmtId="49" fontId="10" fillId="0" borderId="0" xfId="2" applyNumberFormat="1" applyFont="1"/>
    <xf numFmtId="164" fontId="10" fillId="0" borderId="0" xfId="7" applyNumberFormat="1" applyFont="1"/>
    <xf numFmtId="43" fontId="10" fillId="0" borderId="0" xfId="7" applyFont="1"/>
    <xf numFmtId="43" fontId="10" fillId="0" borderId="0" xfId="6" applyNumberFormat="1" applyFont="1" applyFill="1"/>
    <xf numFmtId="43" fontId="10" fillId="0" borderId="0" xfId="6" applyNumberFormat="1" applyFont="1"/>
    <xf numFmtId="0" fontId="10" fillId="0" borderId="0" xfId="2" quotePrefix="1" applyFont="1"/>
    <xf numFmtId="0" fontId="3" fillId="0" borderId="0" xfId="3" applyFont="1"/>
    <xf numFmtId="0" fontId="6" fillId="0" borderId="0" xfId="2" applyFont="1"/>
    <xf numFmtId="0" fontId="19" fillId="0" borderId="0" xfId="1" applyFont="1"/>
    <xf numFmtId="0" fontId="10" fillId="0" borderId="0" xfId="2" applyNumberFormat="1" applyFont="1" applyAlignment="1">
      <alignment horizontal="center"/>
    </xf>
    <xf numFmtId="0" fontId="10" fillId="9" borderId="0" xfId="2" applyFont="1" applyFill="1"/>
    <xf numFmtId="43" fontId="10" fillId="0" borderId="0" xfId="7" applyNumberFormat="1" applyFont="1"/>
    <xf numFmtId="0" fontId="4" fillId="0" borderId="0" xfId="2" applyFont="1"/>
    <xf numFmtId="0" fontId="10" fillId="0" borderId="0" xfId="2" quotePrefix="1" applyNumberFormat="1" applyFont="1"/>
    <xf numFmtId="0" fontId="10" fillId="0" borderId="0" xfId="2" applyFont="1" applyFill="1"/>
    <xf numFmtId="0" fontId="10" fillId="10" borderId="0" xfId="2" applyFont="1" applyFill="1"/>
    <xf numFmtId="43" fontId="13" fillId="4" borderId="0" xfId="6" applyNumberFormat="1" applyFont="1" applyFill="1" applyAlignment="1">
      <alignment horizontal="center"/>
    </xf>
    <xf numFmtId="0" fontId="0" fillId="0" borderId="0" xfId="0" pivotButton="1"/>
    <xf numFmtId="43" fontId="14" fillId="5" borderId="0" xfId="0" applyNumberFormat="1" applyFont="1" applyFill="1" applyAlignment="1">
      <alignment horizontal="center" vertical="top" wrapText="1"/>
    </xf>
    <xf numFmtId="43" fontId="14" fillId="5" borderId="0" xfId="0" applyNumberFormat="1" applyFont="1" applyFill="1" applyAlignment="1">
      <alignment vertical="top"/>
    </xf>
    <xf numFmtId="9" fontId="0" fillId="0" borderId="0" xfId="5" applyFont="1"/>
    <xf numFmtId="0" fontId="0" fillId="0" borderId="0" xfId="0" applyNumberFormat="1" applyFont="1" applyFill="1" applyAlignment="1">
      <alignment horizontal="center"/>
    </xf>
    <xf numFmtId="0" fontId="21" fillId="0" borderId="0" xfId="0" applyFont="1" applyFill="1" applyAlignment="1">
      <alignment horizontal="left"/>
    </xf>
    <xf numFmtId="164" fontId="21" fillId="0" borderId="0" xfId="0" applyNumberFormat="1" applyFont="1" applyFill="1" applyAlignment="1">
      <alignment horizontal="center"/>
    </xf>
    <xf numFmtId="10" fontId="0" fillId="0" borderId="0" xfId="5" applyNumberFormat="1" applyFont="1"/>
    <xf numFmtId="164" fontId="21" fillId="4" borderId="0" xfId="0" applyNumberFormat="1" applyFont="1" applyFill="1" applyAlignment="1">
      <alignment horizontal="center"/>
    </xf>
    <xf numFmtId="3" fontId="21" fillId="4" borderId="0" xfId="0" applyNumberFormat="1" applyFont="1" applyFill="1" applyAlignment="1">
      <alignment horizontal="center"/>
    </xf>
    <xf numFmtId="43" fontId="21" fillId="4" borderId="0" xfId="0" applyNumberFormat="1" applyFont="1" applyFill="1" applyAlignment="1">
      <alignment horizontal="center"/>
    </xf>
    <xf numFmtId="165" fontId="21" fillId="0" borderId="0" xfId="0" applyNumberFormat="1" applyFont="1" applyFill="1" applyAlignment="1">
      <alignment horizontal="center"/>
    </xf>
    <xf numFmtId="0" fontId="22" fillId="0" borderId="0" xfId="0" applyNumberFormat="1" applyFont="1" applyFill="1" applyBorder="1" applyAlignment="1" applyProtection="1"/>
    <xf numFmtId="0" fontId="23" fillId="0" borderId="0" xfId="0" applyNumberFormat="1" applyFont="1" applyFill="1" applyBorder="1" applyAlignment="1" applyProtection="1"/>
    <xf numFmtId="0" fontId="22" fillId="0" borderId="0" xfId="0" applyNumberFormat="1" applyFont="1" applyFill="1" applyBorder="1" applyAlignment="1" applyProtection="1">
      <alignment horizontal="center"/>
    </xf>
    <xf numFmtId="43" fontId="22" fillId="0" borderId="0" xfId="0" applyNumberFormat="1" applyFont="1" applyFill="1" applyBorder="1" applyAlignment="1" applyProtection="1"/>
    <xf numFmtId="0" fontId="22" fillId="0" borderId="0" xfId="0" applyFont="1" applyFill="1" applyBorder="1" applyAlignment="1" applyProtection="1"/>
    <xf numFmtId="0" fontId="14" fillId="5" borderId="5" xfId="0" applyFont="1" applyFill="1" applyBorder="1" applyAlignment="1">
      <alignment vertical="center"/>
    </xf>
    <xf numFmtId="10" fontId="14" fillId="5" borderId="5" xfId="5" applyNumberFormat="1" applyFont="1" applyFill="1" applyBorder="1" applyAlignment="1">
      <alignment vertical="center"/>
    </xf>
    <xf numFmtId="0" fontId="14" fillId="5" borderId="0" xfId="0" applyFont="1" applyFill="1" applyAlignment="1">
      <alignment vertical="center"/>
    </xf>
    <xf numFmtId="10" fontId="14" fillId="5" borderId="0" xfId="5" applyNumberFormat="1" applyFont="1" applyFill="1" applyAlignment="1">
      <alignment vertical="center"/>
    </xf>
    <xf numFmtId="0" fontId="20" fillId="0" borderId="0" xfId="0" applyFont="1" applyAlignment="1">
      <alignment horizontal="center" wrapText="1"/>
    </xf>
  </cellXfs>
  <cellStyles count="8">
    <cellStyle name="Hiperlink" xfId="1" builtinId="8"/>
    <cellStyle name="Normal" xfId="0" builtinId="0"/>
    <cellStyle name="Normal 2" xfId="2"/>
    <cellStyle name="Normal 3" xfId="3"/>
    <cellStyle name="Normal 4" xfId="4"/>
    <cellStyle name="Porcentagem" xfId="5" builtinId="5"/>
    <cellStyle name="Vírgula" xfId="6" builtinId="3"/>
    <cellStyle name="Vírgula 2" xfId="7"/>
  </cellStyles>
  <dxfs count="334">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indexed="8"/>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indexed="8"/>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indexed="8"/>
        <name val="Arial"/>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numFmt numFmtId="0" formatCode="General"/>
    </dxf>
    <dxf>
      <font>
        <b val="0"/>
        <i val="0"/>
        <strike val="0"/>
        <condense val="0"/>
        <extend val="0"/>
        <outline val="0"/>
        <shadow val="0"/>
        <u val="none"/>
        <vertAlign val="baseline"/>
        <sz val="11"/>
        <color theme="1"/>
        <name val="Calibri"/>
        <scheme val="minor"/>
      </font>
      <numFmt numFmtId="0" formatCode="General"/>
    </dxf>
    <dxf>
      <font>
        <b val="0"/>
        <i val="0"/>
        <strike val="0"/>
        <condense val="0"/>
        <extend val="0"/>
        <outline val="0"/>
        <shadow val="0"/>
        <u val="none"/>
        <vertAlign val="baseline"/>
        <sz val="11"/>
        <color theme="1"/>
        <name val="Calibri"/>
        <scheme val="minor"/>
      </font>
      <numFmt numFmtId="0" formatCode="General"/>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numFmt numFmtId="0" formatCode="General"/>
      <fill>
        <patternFill patternType="solid">
          <fgColor theme="0" tint="-0.14999847407452621"/>
          <bgColor theme="0" tint="-0.14999847407452621"/>
        </patternFill>
      </fill>
    </dxf>
    <dxf>
      <numFmt numFmtId="0" formatCode="General"/>
    </dxf>
    <dxf>
      <numFmt numFmtId="30" formatCode="@"/>
    </dxf>
    <dxf>
      <numFmt numFmtId="30" formatCode="@"/>
    </dxf>
    <dxf>
      <numFmt numFmtId="0" formatCode="General"/>
    </dxf>
    <dxf>
      <numFmt numFmtId="0" formatCode="General"/>
    </dxf>
    <dxf>
      <numFmt numFmtId="30" formatCode="@"/>
    </dxf>
    <dxf>
      <numFmt numFmtId="30" formatCode="@"/>
    </dxf>
    <dxf>
      <font>
        <b val="0"/>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fill>
        <patternFill patternType="solid">
          <fgColor theme="0" tint="-0.14999847407452621"/>
          <bgColor theme="0" tint="-0.14999847407452621"/>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fill>
        <patternFill patternType="solid">
          <fgColor theme="0" tint="-0.14999847407452621"/>
          <bgColor theme="0" tint="-0.14999847407452621"/>
        </patternFill>
      </fill>
    </dxf>
    <dxf>
      <font>
        <b val="0"/>
        <i val="0"/>
        <strike val="0"/>
        <condense val="0"/>
        <extend val="0"/>
        <outline val="0"/>
        <shadow val="0"/>
        <u val="none"/>
        <vertAlign val="baseline"/>
        <sz val="11"/>
        <color theme="1"/>
        <name val="Calibri"/>
        <scheme val="minor"/>
      </font>
      <fill>
        <patternFill patternType="solid">
          <fgColor theme="0" tint="-0.14999847407452621"/>
          <bgColor theme="0" tint="-0.14999847407452621"/>
        </patternFill>
      </fill>
    </dxf>
    <dxf>
      <font>
        <b val="0"/>
        <i val="0"/>
        <strike val="0"/>
        <condense val="0"/>
        <extend val="0"/>
        <outline val="0"/>
        <shadow val="0"/>
        <u val="none"/>
        <vertAlign val="baseline"/>
        <sz val="11"/>
        <color theme="1"/>
        <name val="Calibri"/>
        <scheme val="minor"/>
      </font>
      <fill>
        <patternFill patternType="solid">
          <fgColor theme="0" tint="-0.14999847407452621"/>
          <bgColor theme="0" tint="-0.14999847407452621"/>
        </patternFill>
      </fill>
    </dxf>
    <dxf>
      <border outline="0">
        <top style="medium">
          <color theme="1"/>
        </top>
      </border>
    </dxf>
    <dxf>
      <font>
        <b/>
        <i val="0"/>
        <strike val="0"/>
        <condense val="0"/>
        <extend val="0"/>
        <outline val="0"/>
        <shadow val="0"/>
        <u val="none"/>
        <vertAlign val="baseline"/>
        <sz val="11"/>
        <color theme="0"/>
        <name val="Calibri"/>
        <scheme val="minor"/>
      </font>
      <fill>
        <patternFill patternType="solid">
          <fgColor theme="4"/>
          <bgColor theme="4"/>
        </patternFill>
      </fill>
    </dxf>
    <dxf>
      <alignment horizontal="right" readingOrder="0"/>
    </dxf>
    <dxf>
      <alignment horizontal="right" readingOrder="0"/>
    </dxf>
    <dxf>
      <numFmt numFmtId="4" formatCode="#,##0.00"/>
    </dxf>
    <dxf>
      <numFmt numFmtId="4" formatCode="#,##0.00"/>
    </dxf>
    <dxf>
      <alignment vertical="center" readingOrder="0"/>
    </dxf>
    <dxf>
      <alignment horizontal="right" readingOrder="0"/>
    </dxf>
    <dxf>
      <numFmt numFmtId="3" formatCode="#,##0"/>
    </dxf>
    <dxf>
      <fill>
        <patternFill patternType="solid">
          <bgColor rgb="FF012F53"/>
        </patternFill>
      </fill>
    </dxf>
    <dxf>
      <alignment horizontal="left" readingOrder="0"/>
    </dxf>
    <dxf>
      <alignment vertical="top" readingOrder="0"/>
    </dxf>
    <dxf>
      <font>
        <color theme="0"/>
      </font>
    </dxf>
    <dxf>
      <alignment horizontal="center" readingOrder="0"/>
    </dxf>
    <dxf>
      <alignment vertical="top" readingOrder="0"/>
    </dxf>
    <dxf>
      <font>
        <color rgb="FFFF0000"/>
      </font>
    </dxf>
    <dxf>
      <alignment vertical="center" readingOrder="0"/>
    </dxf>
    <dxf>
      <alignment wrapText="1" readingOrder="0"/>
    </dxf>
    <dxf>
      <alignment horizontal="right" readingOrder="0"/>
    </dxf>
    <dxf>
      <numFmt numFmtId="35" formatCode="_-* #,##0.00_-;\-* #,##0.00_-;_-* &quot;-&quot;??_-;_-@_-"/>
    </dxf>
    <dxf>
      <font>
        <b/>
        <i val="0"/>
        <strike val="0"/>
        <condense val="0"/>
        <extend val="0"/>
        <outline val="0"/>
        <shadow val="0"/>
        <u val="none"/>
        <vertAlign val="baseline"/>
        <sz val="11"/>
        <color theme="1"/>
        <name val="Calibri"/>
        <scheme val="minor"/>
      </font>
      <numFmt numFmtId="165" formatCode="0.000"/>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35" formatCode="_-* #,##0.00_-;\-* #,##0.00_-;_-* &quot;-&quot;??_-;_-@_-"/>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35" formatCode="_-* #,##0.00_-;\-* #,##0.00_-;_-* &quot;-&quot;??_-;_-@_-"/>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164" formatCode="_-* #,##0_-;\-* #,##0_-;_-* &quot;-&quot;??_-;_-@_-"/>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164" formatCode="_-* #,##0_-;\-* #,##0_-;_-* &quot;-&quot;??_-;_-@_-"/>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164" formatCode="_-* #,##0_-;\-* #,##0_-;_-* &quot;-&quot;??_-;_-@_-"/>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1"/>
        <color rgb="FF000000"/>
        <name val="Calibri"/>
        <scheme val="none"/>
      </font>
      <numFmt numFmtId="168" formatCode="_-* #.##0_-;\-* #.##0_-;_-* &quot;-&quot;??_-;_-@_-"/>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auto="1"/>
        <name val="Calibri"/>
        <scheme val="minor"/>
      </font>
      <numFmt numFmtId="164" formatCode="_-* #,##0_-;\-* #,##0_-;_-* &quot;-&quot;??_-;_-@_-"/>
      <fill>
        <patternFill patternType="none">
          <fgColor indexed="64"/>
          <bgColor indexed="65"/>
        </patternFill>
      </fill>
      <alignment horizontal="center" vertical="top" textRotation="0" wrapText="1" indent="0" justifyLastLine="0" shrinkToFit="0" readingOrder="0"/>
    </dxf>
    <dxf>
      <font>
        <b val="0"/>
        <i val="0"/>
        <strike val="0"/>
        <condense val="0"/>
        <extend val="0"/>
        <outline val="0"/>
        <shadow val="0"/>
        <u val="none"/>
        <vertAlign val="baseline"/>
        <sz val="11"/>
        <color auto="1"/>
        <name val="Calibri"/>
        <scheme val="minor"/>
      </font>
      <numFmt numFmtId="35" formatCode="_-* #,##0.00_-;\-* #,##0.00_-;_-* &quot;-&quot;??_-;_-@_-"/>
    </dxf>
    <dxf>
      <font>
        <b val="0"/>
        <i val="0"/>
        <strike val="0"/>
        <condense val="0"/>
        <extend val="0"/>
        <outline val="0"/>
        <shadow val="0"/>
        <u val="none"/>
        <vertAlign val="baseline"/>
        <sz val="11"/>
        <color auto="1"/>
        <name val="Calibri"/>
        <scheme val="minor"/>
      </font>
      <numFmt numFmtId="35" formatCode="_-* #,##0.00_-;\-* #,##0.00_-;_-* &quot;-&quot;??_-;_-@_-"/>
    </dxf>
    <dxf>
      <font>
        <b val="0"/>
        <i val="0"/>
        <strike val="0"/>
        <condense val="0"/>
        <extend val="0"/>
        <outline val="0"/>
        <shadow val="0"/>
        <u val="none"/>
        <vertAlign val="baseline"/>
        <sz val="11"/>
        <color auto="1"/>
        <name val="Calibri"/>
        <scheme val="minor"/>
      </font>
      <numFmt numFmtId="35" formatCode="_-* #,##0.00_-;\-* #,##0.00_-;_-* &quot;-&quot;??_-;_-@_-"/>
    </dxf>
    <dxf>
      <font>
        <b val="0"/>
        <i val="0"/>
        <strike val="0"/>
        <condense val="0"/>
        <extend val="0"/>
        <outline val="0"/>
        <shadow val="0"/>
        <u val="none"/>
        <vertAlign val="baseline"/>
        <sz val="11"/>
        <color auto="1"/>
        <name val="Calibri"/>
        <scheme val="minor"/>
      </font>
      <numFmt numFmtId="35" formatCode="_-* #,##0.00_-;\-* #,##0.00_-;_-* &quot;-&quot;??_-;_-@_-"/>
    </dxf>
    <dxf>
      <font>
        <b val="0"/>
        <i val="0"/>
        <strike val="0"/>
        <condense val="0"/>
        <extend val="0"/>
        <outline val="0"/>
        <shadow val="0"/>
        <u val="none"/>
        <vertAlign val="baseline"/>
        <sz val="11"/>
        <color auto="1"/>
        <name val="Calibri"/>
        <scheme val="minor"/>
      </font>
      <numFmt numFmtId="35" formatCode="_-* #,##0.00_-;\-* #,##0.00_-;_-* &quot;-&quot;??_-;_-@_-"/>
    </dxf>
    <dxf>
      <font>
        <b val="0"/>
        <i val="0"/>
        <strike val="0"/>
        <condense val="0"/>
        <extend val="0"/>
        <outline val="0"/>
        <shadow val="0"/>
        <u val="none"/>
        <vertAlign val="baseline"/>
        <sz val="11"/>
        <color auto="1"/>
        <name val="Calibri"/>
        <scheme val="minor"/>
      </font>
      <numFmt numFmtId="35" formatCode="_-* #,##0.00_-;\-* #,##0.00_-;_-* &quot;-&quot;??_-;_-@_-"/>
    </dxf>
    <dxf>
      <font>
        <b val="0"/>
        <i val="0"/>
        <strike val="0"/>
        <condense val="0"/>
        <extend val="0"/>
        <outline val="0"/>
        <shadow val="0"/>
        <u val="none"/>
        <vertAlign val="baseline"/>
        <sz val="11"/>
        <color auto="1"/>
        <name val="Calibri"/>
        <scheme val="minor"/>
      </font>
      <numFmt numFmtId="35" formatCode="_-* #,##0.00_-;\-* #,##0.00_-;_-* &quot;-&quot;??_-;_-@_-"/>
    </dxf>
    <dxf>
      <font>
        <b val="0"/>
        <i val="0"/>
        <strike val="0"/>
        <condense val="0"/>
        <extend val="0"/>
        <outline val="0"/>
        <shadow val="0"/>
        <u val="none"/>
        <vertAlign val="baseline"/>
        <sz val="11"/>
        <color auto="1"/>
        <name val="Calibri"/>
        <scheme val="minor"/>
      </font>
      <numFmt numFmtId="35" formatCode="_-* #,##0.00_-;\-* #,##0.00_-;_-* &quot;-&quot;??_-;_-@_-"/>
    </dxf>
    <dxf>
      <font>
        <b val="0"/>
        <i val="0"/>
        <strike val="0"/>
        <condense val="0"/>
        <extend val="0"/>
        <outline val="0"/>
        <shadow val="0"/>
        <u val="none"/>
        <vertAlign val="baseline"/>
        <sz val="11"/>
        <color auto="1"/>
        <name val="Calibri"/>
        <scheme val="minor"/>
      </font>
      <numFmt numFmtId="35" formatCode="_-* #,##0.00_-;\-* #,##0.00_-;_-* &quot;-&quot;??_-;_-@_-"/>
    </dxf>
    <dxf>
      <font>
        <b val="0"/>
        <i val="0"/>
        <strike val="0"/>
        <condense val="0"/>
        <extend val="0"/>
        <outline val="0"/>
        <shadow val="0"/>
        <u val="none"/>
        <vertAlign val="baseline"/>
        <sz val="11"/>
        <color auto="1"/>
        <name val="Calibri"/>
        <scheme val="minor"/>
      </font>
      <numFmt numFmtId="35" formatCode="_-* #,##0.00_-;\-* #,##0.00_-;_-* &quot;-&quot;??_-;_-@_-"/>
    </dxf>
    <dxf>
      <font>
        <b val="0"/>
        <i val="0"/>
        <strike val="0"/>
        <condense val="0"/>
        <extend val="0"/>
        <outline val="0"/>
        <shadow val="0"/>
        <u val="none"/>
        <vertAlign val="baseline"/>
        <sz val="11"/>
        <color auto="1"/>
        <name val="Calibri"/>
        <scheme val="minor"/>
      </font>
      <numFmt numFmtId="35" formatCode="_-* #,##0.00_-;\-* #,##0.00_-;_-* &quot;-&quot;??_-;_-@_-"/>
    </dxf>
    <dxf>
      <font>
        <b val="0"/>
        <i val="0"/>
        <strike val="0"/>
        <condense val="0"/>
        <extend val="0"/>
        <outline val="0"/>
        <shadow val="0"/>
        <u val="none"/>
        <vertAlign val="baseline"/>
        <sz val="11"/>
        <color auto="1"/>
        <name val="Calibri"/>
        <scheme val="minor"/>
      </font>
      <numFmt numFmtId="35" formatCode="_-* #,##0.00_-;\-* #,##0.00_-;_-* &quot;-&quot;??_-;_-@_-"/>
    </dxf>
    <dxf>
      <font>
        <b val="0"/>
        <i val="0"/>
        <strike val="0"/>
        <condense val="0"/>
        <extend val="0"/>
        <outline val="0"/>
        <shadow val="0"/>
        <u val="none"/>
        <vertAlign val="baseline"/>
        <sz val="11"/>
        <color auto="1"/>
        <name val="Calibri"/>
        <scheme val="minor"/>
      </font>
      <numFmt numFmtId="35" formatCode="_-* #,##0.00_-;\-* #,##0.00_-;_-* &quot;-&quot;??_-;_-@_-"/>
    </dxf>
    <dxf>
      <font>
        <b val="0"/>
        <i val="0"/>
        <strike val="0"/>
        <condense val="0"/>
        <extend val="0"/>
        <outline val="0"/>
        <shadow val="0"/>
        <u val="none"/>
        <vertAlign val="baseline"/>
        <sz val="11"/>
        <color auto="1"/>
        <name val="Calibri"/>
        <scheme val="minor"/>
      </font>
      <numFmt numFmtId="35" formatCode="_-* #,##0.00_-;\-* #,##0.00_-;_-* &quot;-&quot;??_-;_-@_-"/>
    </dxf>
    <dxf>
      <font>
        <b val="0"/>
        <i val="0"/>
        <strike val="0"/>
        <condense val="0"/>
        <extend val="0"/>
        <outline val="0"/>
        <shadow val="0"/>
        <u val="none"/>
        <vertAlign val="baseline"/>
        <sz val="11"/>
        <color auto="1"/>
        <name val="Calibri"/>
        <scheme val="minor"/>
      </font>
      <numFmt numFmtId="35" formatCode="_-* #,##0.00_-;\-* #,##0.00_-;_-* &quot;-&quot;??_-;_-@_-"/>
    </dxf>
    <dxf>
      <font>
        <b val="0"/>
        <i val="0"/>
        <strike val="0"/>
        <condense val="0"/>
        <extend val="0"/>
        <outline val="0"/>
        <shadow val="0"/>
        <u val="none"/>
        <vertAlign val="baseline"/>
        <sz val="11"/>
        <color auto="1"/>
        <name val="Calibri"/>
        <scheme val="minor"/>
      </font>
      <numFmt numFmtId="35" formatCode="_-* #,##0.00_-;\-* #,##0.00_-;_-* &quot;-&quot;??_-;_-@_-"/>
    </dxf>
    <dxf>
      <font>
        <b val="0"/>
        <i val="0"/>
        <strike val="0"/>
        <condense val="0"/>
        <extend val="0"/>
        <outline val="0"/>
        <shadow val="0"/>
        <u val="none"/>
        <vertAlign val="baseline"/>
        <sz val="11"/>
        <color auto="1"/>
        <name val="Calibri"/>
        <scheme val="minor"/>
      </font>
      <numFmt numFmtId="35" formatCode="_-* #,##0.00_-;\-* #,##0.00_-;_-* &quot;-&quot;??_-;_-@_-"/>
    </dxf>
    <dxf>
      <font>
        <b val="0"/>
        <i val="0"/>
        <strike val="0"/>
        <condense val="0"/>
        <extend val="0"/>
        <outline val="0"/>
        <shadow val="0"/>
        <u val="none"/>
        <vertAlign val="baseline"/>
        <sz val="11"/>
        <color auto="1"/>
        <name val="Calibri"/>
        <scheme val="minor"/>
      </font>
      <numFmt numFmtId="35" formatCode="_-* #,##0.00_-;\-* #,##0.00_-;_-* &quot;-&quot;??_-;_-@_-"/>
    </dxf>
    <dxf>
      <font>
        <b val="0"/>
        <i val="0"/>
        <strike val="0"/>
        <condense val="0"/>
        <extend val="0"/>
        <outline val="0"/>
        <shadow val="0"/>
        <u val="none"/>
        <vertAlign val="baseline"/>
        <sz val="11"/>
        <color auto="1"/>
        <name val="Calibri"/>
        <scheme val="minor"/>
      </font>
      <numFmt numFmtId="35" formatCode="_-* #,##0.00_-;\-* #,##0.00_-;_-* &quot;-&quot;??_-;_-@_-"/>
    </dxf>
    <dxf>
      <font>
        <strike val="0"/>
        <outline val="0"/>
        <shadow val="0"/>
        <vertAlign val="baseline"/>
        <color auto="1"/>
      </font>
      <numFmt numFmtId="35" formatCode="_-* #,##0.00_-;\-* #,##0.00_-;_-* &quot;-&quot;??_-;_-@_-"/>
    </dxf>
    <dxf>
      <font>
        <strike val="0"/>
        <outline val="0"/>
        <shadow val="0"/>
        <vertAlign val="baseline"/>
        <color auto="1"/>
      </font>
      <numFmt numFmtId="35" formatCode="_-* #,##0.00_-;\-* #,##0.00_-;_-* &quot;-&quot;??_-;_-@_-"/>
    </dxf>
    <dxf>
      <font>
        <b val="0"/>
        <i val="0"/>
        <strike val="0"/>
        <condense val="0"/>
        <extend val="0"/>
        <outline val="0"/>
        <shadow val="0"/>
        <u val="none"/>
        <vertAlign val="baseline"/>
        <sz val="11"/>
        <color auto="1"/>
        <name val="Calibri"/>
        <scheme val="minor"/>
      </font>
      <numFmt numFmtId="35" formatCode="_-* #,##0.00_-;\-* #,##0.00_-;_-* &quot;-&quot;??_-;_-@_-"/>
    </dxf>
    <dxf>
      <font>
        <b val="0"/>
        <i val="0"/>
        <strike val="0"/>
        <condense val="0"/>
        <extend val="0"/>
        <outline val="0"/>
        <shadow val="0"/>
        <u val="none"/>
        <vertAlign val="baseline"/>
        <sz val="11"/>
        <color auto="1"/>
        <name val="Calibri"/>
        <scheme val="minor"/>
      </font>
      <numFmt numFmtId="35" formatCode="_-* #,##0.00_-;\-* #,##0.00_-;_-* &quot;-&quot;??_-;_-@_-"/>
    </dxf>
    <dxf>
      <font>
        <b val="0"/>
        <i val="0"/>
        <strike val="0"/>
        <condense val="0"/>
        <extend val="0"/>
        <outline val="0"/>
        <shadow val="0"/>
        <u val="none"/>
        <vertAlign val="baseline"/>
        <sz val="11"/>
        <color auto="1"/>
        <name val="Calibri"/>
        <scheme val="minor"/>
      </font>
      <numFmt numFmtId="35" formatCode="_-* #,##0.00_-;\-* #,##0.00_-;_-* &quot;-&quot;??_-;_-@_-"/>
    </dxf>
    <dxf>
      <font>
        <b val="0"/>
        <i val="0"/>
        <strike val="0"/>
        <condense val="0"/>
        <extend val="0"/>
        <outline val="0"/>
        <shadow val="0"/>
        <u val="none"/>
        <vertAlign val="baseline"/>
        <sz val="11"/>
        <color auto="1"/>
        <name val="Calibri"/>
        <scheme val="minor"/>
      </font>
      <numFmt numFmtId="35" formatCode="_-* #,##0.00_-;\-* #,##0.00_-;_-* &quot;-&quot;??_-;_-@_-"/>
    </dxf>
    <dxf>
      <font>
        <b val="0"/>
        <i val="0"/>
        <strike val="0"/>
        <condense val="0"/>
        <extend val="0"/>
        <outline val="0"/>
        <shadow val="0"/>
        <u val="none"/>
        <vertAlign val="baseline"/>
        <sz val="11"/>
        <color auto="1"/>
        <name val="Calibri"/>
        <scheme val="minor"/>
      </font>
      <numFmt numFmtId="35" formatCode="_-* #,##0.00_-;\-* #,##0.00_-;_-* &quot;-&quot;??_-;_-@_-"/>
    </dxf>
    <dxf>
      <font>
        <b val="0"/>
        <i val="0"/>
        <strike val="0"/>
        <condense val="0"/>
        <extend val="0"/>
        <outline val="0"/>
        <shadow val="0"/>
        <u val="none"/>
        <vertAlign val="baseline"/>
        <sz val="11"/>
        <color auto="1"/>
        <name val="Calibri"/>
        <scheme val="minor"/>
      </font>
      <numFmt numFmtId="35" formatCode="_-* #,##0.00_-;\-* #,##0.00_-;_-* &quot;-&quot;??_-;_-@_-"/>
    </dxf>
    <dxf>
      <font>
        <b val="0"/>
        <i val="0"/>
        <strike val="0"/>
        <condense val="0"/>
        <extend val="0"/>
        <outline val="0"/>
        <shadow val="0"/>
        <u val="none"/>
        <vertAlign val="baseline"/>
        <sz val="11"/>
        <color auto="1"/>
        <name val="Calibri"/>
        <scheme val="minor"/>
      </font>
      <numFmt numFmtId="35" formatCode="_-* #,##0.00_-;\-* #,##0.00_-;_-* &quot;-&quot;??_-;_-@_-"/>
    </dxf>
    <dxf>
      <font>
        <b val="0"/>
        <i val="0"/>
        <strike val="0"/>
        <condense val="0"/>
        <extend val="0"/>
        <outline val="0"/>
        <shadow val="0"/>
        <u val="none"/>
        <vertAlign val="baseline"/>
        <sz val="11"/>
        <color auto="1"/>
        <name val="Calibri"/>
        <scheme val="minor"/>
      </font>
      <numFmt numFmtId="35" formatCode="_-* #,##0.00_-;\-* #,##0.00_-;_-* &quot;-&quot;??_-;_-@_-"/>
    </dxf>
    <dxf>
      <font>
        <b val="0"/>
        <i val="0"/>
        <strike val="0"/>
        <condense val="0"/>
        <extend val="0"/>
        <outline val="0"/>
        <shadow val="0"/>
        <u val="none"/>
        <vertAlign val="baseline"/>
        <sz val="11"/>
        <color auto="1"/>
        <name val="Calibri"/>
        <scheme val="minor"/>
      </font>
      <numFmt numFmtId="35" formatCode="_-* #,##0.00_-;\-* #,##0.00_-;_-* &quot;-&quot;??_-;_-@_-"/>
    </dxf>
    <dxf>
      <font>
        <b val="0"/>
        <i val="0"/>
        <strike val="0"/>
        <condense val="0"/>
        <extend val="0"/>
        <outline val="0"/>
        <shadow val="0"/>
        <u val="none"/>
        <vertAlign val="baseline"/>
        <sz val="11"/>
        <color auto="1"/>
        <name val="Calibri"/>
        <scheme val="minor"/>
      </font>
      <numFmt numFmtId="35" formatCode="_-* #,##0.00_-;\-* #,##0.00_-;_-* &quot;-&quot;??_-;_-@_-"/>
    </dxf>
    <dxf>
      <font>
        <b val="0"/>
        <i val="0"/>
        <strike val="0"/>
        <condense val="0"/>
        <extend val="0"/>
        <outline val="0"/>
        <shadow val="0"/>
        <u val="none"/>
        <vertAlign val="baseline"/>
        <sz val="11"/>
        <color auto="1"/>
        <name val="Calibri"/>
        <scheme val="minor"/>
      </font>
      <numFmt numFmtId="35" formatCode="_-* #,##0.00_-;\-* #,##0.00_-;_-* &quot;-&quot;??_-;_-@_-"/>
    </dxf>
    <dxf>
      <font>
        <b val="0"/>
        <i val="0"/>
        <strike val="0"/>
        <condense val="0"/>
        <extend val="0"/>
        <outline val="0"/>
        <shadow val="0"/>
        <u val="none"/>
        <vertAlign val="baseline"/>
        <sz val="11"/>
        <color auto="1"/>
        <name val="Calibri"/>
        <scheme val="minor"/>
      </font>
      <numFmt numFmtId="35" formatCode="_-* #,##0.00_-;\-* #,##0.00_-;_-* &quot;-&quot;??_-;_-@_-"/>
      <fill>
        <patternFill patternType="none">
          <fgColor indexed="64"/>
          <bgColor indexed="65"/>
        </patternFill>
      </fill>
    </dxf>
    <dxf>
      <font>
        <b val="0"/>
        <i val="0"/>
        <strike val="0"/>
        <condense val="0"/>
        <extend val="0"/>
        <outline val="0"/>
        <shadow val="0"/>
        <u val="none"/>
        <vertAlign val="baseline"/>
        <sz val="11"/>
        <color auto="1"/>
        <name val="Calibri"/>
        <scheme val="minor"/>
      </font>
      <numFmt numFmtId="35" formatCode="_-* #,##0.00_-;\-* #,##0.00_-;_-* &quot;-&quot;??_-;_-@_-"/>
    </dxf>
    <dxf>
      <font>
        <b val="0"/>
        <i val="0"/>
        <strike val="0"/>
        <condense val="0"/>
        <extend val="0"/>
        <outline val="0"/>
        <shadow val="0"/>
        <u val="none"/>
        <vertAlign val="baseline"/>
        <sz val="11"/>
        <color auto="1"/>
        <name val="Calibri"/>
        <scheme val="minor"/>
      </font>
      <numFmt numFmtId="35" formatCode="_-* #,##0.00_-;\-* #,##0.00_-;_-* &quot;-&quot;??_-;_-@_-"/>
      <fill>
        <patternFill patternType="none">
          <fgColor indexed="64"/>
          <bgColor indexed="65"/>
        </patternFill>
      </fill>
    </dxf>
    <dxf>
      <font>
        <strike val="0"/>
        <outline val="0"/>
        <shadow val="0"/>
        <vertAlign val="baseline"/>
        <color auto="1"/>
      </font>
      <numFmt numFmtId="35" formatCode="_-* #,##0.00_-;\-* #,##0.00_-;_-* &quot;-&quot;??_-;_-@_-"/>
    </dxf>
    <dxf>
      <font>
        <strike val="0"/>
        <outline val="0"/>
        <shadow val="0"/>
        <vertAlign val="baseline"/>
        <color auto="1"/>
      </font>
      <numFmt numFmtId="35" formatCode="_-* #,##0.00_-;\-* #,##0.00_-;_-* &quot;-&quot;??_-;_-@_-"/>
    </dxf>
    <dxf>
      <font>
        <strike val="0"/>
        <outline val="0"/>
        <shadow val="0"/>
        <vertAlign val="baseline"/>
        <color auto="1"/>
      </font>
      <numFmt numFmtId="35" formatCode="_-* #,##0.00_-;\-* #,##0.00_-;_-* &quot;-&quot;??_-;_-@_-"/>
    </dxf>
    <dxf>
      <font>
        <strike val="0"/>
        <outline val="0"/>
        <shadow val="0"/>
        <vertAlign val="baseline"/>
        <color auto="1"/>
      </font>
      <numFmt numFmtId="0" formatCode="General"/>
    </dxf>
    <dxf>
      <font>
        <strike val="0"/>
        <outline val="0"/>
        <shadow val="0"/>
        <vertAlign val="baseline"/>
        <color auto="1"/>
      </font>
      <numFmt numFmtId="0" formatCode="General"/>
    </dxf>
    <dxf>
      <font>
        <strike val="0"/>
        <outline val="0"/>
        <shadow val="0"/>
        <vertAlign val="baseline"/>
        <color auto="1"/>
      </font>
    </dxf>
    <dxf>
      <font>
        <strike val="0"/>
        <outline val="0"/>
        <shadow val="0"/>
        <vertAlign val="baseline"/>
        <color auto="1"/>
      </font>
    </dxf>
    <dxf>
      <font>
        <strike val="0"/>
        <outline val="0"/>
        <shadow val="0"/>
        <vertAlign val="baseline"/>
        <color auto="1"/>
      </font>
    </dxf>
    <dxf>
      <font>
        <strike val="0"/>
        <outline val="0"/>
        <shadow val="0"/>
        <vertAlign val="baseline"/>
        <color auto="1"/>
      </font>
      <numFmt numFmtId="164" formatCode="_-* #,##0_-;\-* #,##0_-;_-* &quot;-&quot;??_-;_-@_-"/>
    </dxf>
    <dxf>
      <font>
        <strike val="0"/>
        <outline val="0"/>
        <shadow val="0"/>
        <vertAlign val="baseline"/>
        <color auto="1"/>
      </font>
      <alignment horizontal="center" vertical="bottom" textRotation="0" wrapText="0" indent="0" justifyLastLine="0" shrinkToFit="0" readingOrder="0"/>
    </dxf>
    <dxf>
      <font>
        <strike val="0"/>
        <outline val="0"/>
        <shadow val="0"/>
        <vertAlign val="baseline"/>
        <color auto="1"/>
      </font>
      <alignment horizontal="center" textRotation="0" wrapText="0" indent="0" justifyLastLine="0" shrinkToFit="0" readingOrder="0"/>
    </dxf>
    <dxf>
      <font>
        <strike val="0"/>
        <outline val="0"/>
        <shadow val="0"/>
        <vertAlign val="baseline"/>
        <color auto="1"/>
      </font>
      <numFmt numFmtId="30" formatCode="@"/>
    </dxf>
    <dxf>
      <font>
        <strike val="0"/>
        <outline val="0"/>
        <shadow val="0"/>
        <vertAlign val="baseline"/>
        <color auto="1"/>
      </font>
      <numFmt numFmtId="0" formatCode="General"/>
    </dxf>
    <dxf>
      <font>
        <strike val="0"/>
        <outline val="0"/>
        <shadow val="0"/>
        <vertAlign val="baseline"/>
        <color auto="1"/>
      </font>
      <numFmt numFmtId="0" formatCode="General"/>
    </dxf>
    <dxf>
      <font>
        <strike val="0"/>
        <outline val="0"/>
        <shadow val="0"/>
        <vertAlign val="baseline"/>
        <color auto="1"/>
      </font>
    </dxf>
    <dxf>
      <font>
        <strike val="0"/>
        <outline val="0"/>
        <shadow val="0"/>
        <vertAlign val="baseline"/>
        <color auto="1"/>
      </font>
      <numFmt numFmtId="0" formatCode="General"/>
      <alignment horizontal="center" vertical="bottom" textRotation="0" wrapText="0" indent="0" justifyLastLine="0" shrinkToFit="0" readingOrder="0"/>
    </dxf>
    <dxf>
      <font>
        <strike val="0"/>
        <outline val="0"/>
        <shadow val="0"/>
        <vertAlign val="baseline"/>
        <color auto="1"/>
      </font>
      <numFmt numFmtId="0" formatCode="General"/>
    </dxf>
    <dxf>
      <font>
        <strike val="0"/>
        <outline val="0"/>
        <shadow val="0"/>
        <vertAlign val="baseline"/>
        <color auto="1"/>
      </font>
      <numFmt numFmtId="0" formatCode="General"/>
    </dxf>
    <dxf>
      <font>
        <strike val="0"/>
        <outline val="0"/>
        <shadow val="0"/>
        <vertAlign val="baseline"/>
        <color auto="1"/>
      </font>
      <numFmt numFmtId="0" formatCode="General"/>
    </dxf>
    <dxf>
      <font>
        <strike val="0"/>
        <outline val="0"/>
        <shadow val="0"/>
        <vertAlign val="baseline"/>
        <color auto="1"/>
      </font>
      <numFmt numFmtId="0" formatCode="General"/>
    </dxf>
    <dxf>
      <font>
        <strike val="0"/>
        <outline val="0"/>
        <shadow val="0"/>
        <vertAlign val="baseline"/>
        <color auto="1"/>
      </font>
      <numFmt numFmtId="0" formatCode="General"/>
    </dxf>
    <dxf>
      <font>
        <strike val="0"/>
        <outline val="0"/>
        <shadow val="0"/>
        <vertAlign val="baseline"/>
        <color auto="1"/>
      </font>
    </dxf>
    <dxf>
      <font>
        <strike val="0"/>
        <outline val="0"/>
        <shadow val="0"/>
        <vertAlign val="baseline"/>
        <color auto="1"/>
      </font>
    </dxf>
    <dxf>
      <font>
        <strike val="0"/>
        <outline val="0"/>
        <shadow val="0"/>
        <vertAlign val="baseline"/>
        <color auto="1"/>
      </font>
    </dxf>
    <dxf>
      <font>
        <strike val="0"/>
        <outline val="0"/>
        <shadow val="0"/>
        <vertAlign val="baseline"/>
        <color auto="1"/>
      </font>
    </dxf>
    <dxf>
      <font>
        <strike val="0"/>
        <outline val="0"/>
        <shadow val="0"/>
        <vertAlign val="baseline"/>
        <color auto="1"/>
      </font>
    </dxf>
    <dxf>
      <font>
        <strike val="0"/>
        <outline val="0"/>
        <shadow val="0"/>
        <vertAlign val="baseline"/>
        <color auto="1"/>
      </font>
    </dxf>
    <dxf>
      <font>
        <strike val="0"/>
        <outline val="0"/>
        <shadow val="0"/>
        <vertAlign val="baseline"/>
        <color auto="1"/>
      </font>
    </dxf>
    <dxf>
      <font>
        <strike val="0"/>
        <outline val="0"/>
        <shadow val="0"/>
        <vertAlign val="baseline"/>
        <color auto="1"/>
      </font>
    </dxf>
    <dxf>
      <font>
        <strike val="0"/>
        <outline val="0"/>
        <shadow val="0"/>
        <vertAlign val="baseline"/>
        <color auto="1"/>
      </font>
      <numFmt numFmtId="0" formatCode="General"/>
    </dxf>
    <dxf>
      <font>
        <strike val="0"/>
        <outline val="0"/>
        <shadow val="0"/>
        <vertAlign val="baseline"/>
        <color auto="1"/>
      </font>
    </dxf>
    <dxf>
      <font>
        <strike val="0"/>
        <outline val="0"/>
        <shadow val="0"/>
        <vertAlign val="baseline"/>
        <color auto="1"/>
      </font>
    </dxf>
    <dxf>
      <font>
        <strike val="0"/>
        <outline val="0"/>
        <shadow val="0"/>
        <vertAlign val="baseline"/>
        <color auto="1"/>
      </font>
    </dxf>
    <dxf>
      <font>
        <strike val="0"/>
        <outline val="0"/>
        <shadow val="0"/>
        <vertAlign val="baseline"/>
        <color auto="1"/>
      </font>
    </dxf>
    <dxf>
      <font>
        <strike val="0"/>
        <outline val="0"/>
        <shadow val="0"/>
        <vertAlign val="baseline"/>
        <color auto="1"/>
      </font>
    </dxf>
    <dxf>
      <font>
        <strike val="0"/>
        <outline val="0"/>
        <shadow val="0"/>
        <vertAlign val="baseline"/>
        <color auto="1"/>
      </font>
    </dxf>
    <dxf>
      <font>
        <strike val="0"/>
        <outline val="0"/>
        <shadow val="0"/>
        <vertAlign val="baseline"/>
        <color auto="1"/>
      </font>
    </dxf>
    <dxf>
      <font>
        <strike val="0"/>
        <outline val="0"/>
        <shadow val="0"/>
        <vertAlign val="baseline"/>
        <color auto="1"/>
      </font>
      <numFmt numFmtId="0" formatCode="General"/>
    </dxf>
    <dxf>
      <font>
        <strike val="0"/>
        <outline val="0"/>
        <shadow val="0"/>
        <vertAlign val="baseline"/>
        <color auto="1"/>
      </font>
      <numFmt numFmtId="0" formatCode="General"/>
    </dxf>
    <dxf>
      <font>
        <strike val="0"/>
        <outline val="0"/>
        <shadow val="0"/>
        <u val="none"/>
        <vertAlign val="baseline"/>
        <sz val="11"/>
        <color auto="1"/>
        <name val="Calibri"/>
        <scheme val="minor"/>
      </font>
    </dxf>
    <dxf>
      <font>
        <strike val="0"/>
        <outline val="0"/>
        <shadow val="0"/>
        <vertAlign val="baseline"/>
        <color auto="1"/>
      </font>
    </dxf>
    <dxf>
      <alignment horizontal="right" vertical="top" textRotation="0" wrapText="1" indent="0" justifyLastLine="0" shrinkToFit="0" readingOrder="0"/>
    </dxf>
    <dxf>
      <numFmt numFmtId="35" formatCode="_-* #,##0.00_-;\-* #,##0.00_-;_-* &quot;-&quot;??_-;_-@_-"/>
    </dxf>
    <dxf>
      <fill>
        <patternFill patternType="solid">
          <bgColor rgb="FF012F53"/>
        </patternFill>
      </fill>
    </dxf>
    <dxf>
      <fill>
        <patternFill patternType="solid">
          <bgColor rgb="FF012F53"/>
        </patternFill>
      </fill>
    </dxf>
    <dxf>
      <alignment horizontal="left" readingOrder="0"/>
    </dxf>
    <dxf>
      <alignment vertical="top" readingOrder="0"/>
    </dxf>
    <dxf>
      <alignment vertical="top" readingOrder="0"/>
    </dxf>
    <dxf>
      <font>
        <color theme="0"/>
      </font>
    </dxf>
    <dxf>
      <font>
        <color theme="0"/>
      </font>
    </dxf>
    <dxf>
      <numFmt numFmtId="3" formatCode="#,##0"/>
    </dxf>
    <dxf>
      <alignment horizontal="center" readingOrder="0"/>
    </dxf>
    <dxf>
      <alignment horizontal="center" readingOrder="0"/>
    </dxf>
    <dxf>
      <alignment vertical="top" readingOrder="0"/>
    </dxf>
    <dxf>
      <alignment vertical="top" readingOrder="0"/>
    </dxf>
    <dxf>
      <font>
        <color rgb="FFFF0000"/>
      </font>
    </dxf>
    <dxf>
      <font>
        <color rgb="FFFF0000"/>
      </font>
    </dxf>
    <dxf>
      <alignment vertical="center" readingOrder="0"/>
    </dxf>
    <dxf>
      <alignment vertical="center" readingOrder="0"/>
    </dxf>
    <dxf>
      <alignment wrapText="1" readingOrder="0"/>
    </dxf>
    <dxf>
      <alignment wrapText="1" readingOrder="0"/>
    </dxf>
    <dxf>
      <alignment horizontal="right" readingOrder="0"/>
    </dxf>
    <dxf>
      <alignment horizontal="right" readingOrder="0"/>
    </dxf>
    <dxf>
      <numFmt numFmtId="164" formatCode="_-* #,##0_-;\-* #,##0_-;_-* &quot;-&quot;??_-;_-@_-"/>
    </dxf>
    <dxf>
      <alignment horizontal="center" readingOrder="0"/>
    </dxf>
    <dxf>
      <numFmt numFmtId="35" formatCode="_-* #,##0.00_-;\-* #,##0.00_-;_-* &quot;-&quot;??_-;_-@_-"/>
    </dxf>
    <dxf>
      <numFmt numFmtId="35" formatCode="_-* #,##0.00_-;\-* #,##0.00_-;_-* &quot;-&quot;??_-;_-@_-"/>
    </dxf>
    <dxf>
      <alignment horizontal="center" readingOrder="0"/>
    </dxf>
    <dxf>
      <alignment vertical="center" readingOrder="0"/>
    </dxf>
    <dxf>
      <fill>
        <patternFill patternType="solid">
          <bgColor rgb="FF012F53"/>
        </patternFill>
      </fill>
    </dxf>
    <dxf>
      <alignment horizontal="left" readingOrder="0"/>
    </dxf>
    <dxf>
      <alignment vertical="top" readingOrder="0"/>
    </dxf>
    <dxf>
      <font>
        <color theme="0"/>
      </font>
    </dxf>
    <dxf>
      <alignment horizontal="center" readingOrder="0"/>
    </dxf>
    <dxf>
      <alignment vertical="top" readingOrder="0"/>
    </dxf>
    <dxf>
      <font>
        <color rgb="FFFF0000"/>
      </font>
    </dxf>
    <dxf>
      <alignment vertical="center" readingOrder="0"/>
    </dxf>
    <dxf>
      <alignment wrapText="1" readingOrder="0"/>
    </dxf>
    <dxf>
      <alignment horizontal="right" readingOrder="0"/>
    </dxf>
    <dxf>
      <alignment horizontal="center" readingOrder="0"/>
    </dxf>
    <dxf>
      <numFmt numFmtId="35" formatCode="_-* #,##0.00_-;\-* #,##0.00_-;_-* &quot;-&quot;??_-;_-@_-"/>
    </dxf>
    <dxf>
      <font>
        <b/>
        <i val="0"/>
        <strike val="0"/>
        <condense val="0"/>
        <extend val="0"/>
        <outline val="0"/>
        <shadow val="0"/>
        <u val="none"/>
        <vertAlign val="baseline"/>
        <sz val="11"/>
        <color theme="1"/>
        <name val="Calibri"/>
        <scheme val="minor"/>
      </font>
      <numFmt numFmtId="165" formatCode="0.000"/>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35" formatCode="_-* #,##0.00_-;\-* #,##0.00_-;_-* &quot;-&quot;??_-;_-@_-"/>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35" formatCode="_-* #,##0.00_-;\-* #,##0.00_-;_-* &quot;-&quot;??_-;_-@_-"/>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35" formatCode="_-* #,##0.00_-;\-* #,##0.00_-;_-* &quot;-&quot;??_-;_-@_-"/>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35" formatCode="_-* #,##0.00_-;\-* #,##0.00_-;_-* &quot;-&quot;??_-;_-@_-"/>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35" formatCode="_-* #,##0.00_-;\-* #,##0.00_-;_-* &quot;-&quot;??_-;_-@_-"/>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164" formatCode="_-* #,##0_-;\-* #,##0_-;_-* &quot;-&quot;??_-;_-@_-"/>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164" formatCode="_-* #,##0_-;\-* #,##0_-;_-* &quot;-&quot;??_-;_-@_-"/>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164" formatCode="_-* #,##0_-;\-* #,##0_-;_-* &quot;-&quot;??_-;_-@_-"/>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164" formatCode="_-* #,##0_-;\-* #,##0_-;_-* &quot;-&quot;??_-;_-@_-"/>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164" formatCode="_-* #,##0_-;\-* #,##0_-;_-* &quot;-&quot;??_-;_-@_-"/>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164" formatCode="_-* #,##0_-;\-* #,##0_-;_-* &quot;-&quot;??_-;_-@_-"/>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3" formatCode="#,##0"/>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164" formatCode="_-* #,##0_-;\-* #,##0_-;_-* &quot;-&quot;??_-;_-@_-"/>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164" formatCode="_-* #,##0_-;\-* #,##0_-;_-* &quot;-&quot;??_-;_-@_-"/>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164" formatCode="_-* #,##0_-;\-* #,##0_-;_-* &quot;-&quot;??_-;_-@_-"/>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164" formatCode="_-* #,##0_-;\-* #,##0_-;_-* &quot;-&quot;??_-;_-@_-"/>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164" formatCode="_-* #,##0_-;\-* #,##0_-;_-* &quot;-&quot;??_-;_-@_-"/>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164" formatCode="_-* #,##0_-;\-* #,##0_-;_-* &quot;-&quot;??_-;_-@_-"/>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164" formatCode="_-* #,##0_-;\-* #,##0_-;_-* &quot;-&quot;??_-;_-@_-"/>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164" formatCode="_-* #,##0_-;\-* #,##0_-;_-* &quot;-&quot;??_-;_-@_-"/>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164" formatCode="_-* #,##0_-;\-* #,##0_-;_-* &quot;-&quot;??_-;_-@_-"/>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164" formatCode="_-* #,##0_-;\-* #,##0_-;_-* &quot;-&quot;??_-;_-@_-"/>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164" formatCode="_-* #,##0_-;\-* #,##0_-;_-* &quot;-&quot;??_-;_-@_-"/>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164" formatCode="_-* #,##0_-;\-* #,##0_-;_-* &quot;-&quot;??_-;_-@_-"/>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164" formatCode="_-* #,##0_-;\-* #,##0_-;_-* &quot;-&quot;??_-;_-@_-"/>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168" formatCode="_-* #.##0_-;\-* #.##0_-;_-* &quot;-&quot;??_-;_-@_-"/>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auto="1"/>
        <name val="Calibri"/>
        <scheme val="minor"/>
      </font>
      <numFmt numFmtId="164" formatCode="_-* #,##0_-;\-* #,##0_-;_-* &quot;-&quot;??_-;_-@_-"/>
      <fill>
        <patternFill patternType="none">
          <fgColor indexed="64"/>
          <bgColor indexed="65"/>
        </patternFill>
      </fill>
      <alignment horizontal="center" vertical="top" textRotation="0" wrapText="1" indent="0" justifyLastLine="0" shrinkToFit="0" readingOrder="0"/>
    </dxf>
    <dxf>
      <font>
        <b val="0"/>
        <i val="0"/>
        <strike val="0"/>
        <condense val="0"/>
        <extend val="0"/>
        <outline val="0"/>
        <shadow val="0"/>
        <u val="none"/>
        <vertAlign val="baseline"/>
        <sz val="11"/>
        <color theme="0"/>
        <name val="Calibri"/>
        <scheme val="minor"/>
      </font>
      <numFmt numFmtId="14" formatCode="0.00%"/>
      <fill>
        <patternFill patternType="solid">
          <fgColor indexed="64"/>
          <bgColor rgb="FF012F53"/>
        </patternFill>
      </fill>
      <alignment vertical="center" textRotation="0" wrapText="0" indent="0" justifyLastLine="0" shrinkToFit="0" readingOrder="0"/>
    </dxf>
    <dxf>
      <font>
        <strike val="0"/>
        <outline val="0"/>
        <shadow val="0"/>
        <u val="none"/>
        <vertAlign val="baseline"/>
        <sz val="11"/>
        <color theme="0"/>
        <name val="Calibri"/>
        <scheme val="minor"/>
      </font>
      <fill>
        <patternFill patternType="solid">
          <fgColor indexed="64"/>
          <bgColor rgb="FF012F53"/>
        </patternFill>
      </fill>
      <alignment vertical="center" textRotation="0" wrapText="0" indent="0" justifyLastLine="0" shrinkToFit="0" readingOrder="0"/>
    </dxf>
    <dxf>
      <font>
        <strike val="0"/>
        <outline val="0"/>
        <shadow val="0"/>
        <u val="none"/>
        <vertAlign val="baseline"/>
        <sz val="11"/>
        <color theme="0"/>
        <name val="Calibri"/>
        <scheme val="minor"/>
      </font>
      <fill>
        <patternFill patternType="solid">
          <fgColor indexed="64"/>
          <bgColor rgb="FF012F53"/>
        </patternFill>
      </fill>
      <alignment horizontal="center" vertical="center" textRotation="0" wrapText="0" indent="0" justifyLastLine="0" shrinkToFit="0" readingOrder="0"/>
    </dxf>
    <dxf>
      <font>
        <strike val="0"/>
        <outline val="0"/>
        <shadow val="0"/>
        <u val="none"/>
        <vertAlign val="baseline"/>
        <sz val="11"/>
        <color theme="0"/>
        <name val="Calibri"/>
        <scheme val="minor"/>
      </font>
      <fill>
        <patternFill patternType="solid">
          <fgColor indexed="64"/>
          <bgColor rgb="FF012F53"/>
        </patternFill>
      </fill>
      <alignment vertical="center" textRotation="0" wrapText="0" indent="0" justifyLastLine="0" shrinkToFit="0" readingOrder="0"/>
    </dxf>
    <dxf>
      <border>
        <bottom style="thin">
          <color theme="0"/>
        </bottom>
      </border>
    </dxf>
    <dxf>
      <font>
        <strike val="0"/>
        <outline val="0"/>
        <shadow val="0"/>
        <u val="none"/>
        <vertAlign val="baseline"/>
        <sz val="11"/>
        <color theme="0"/>
        <name val="Calibri"/>
        <scheme val="minor"/>
      </font>
      <fill>
        <patternFill patternType="solid">
          <fgColor indexed="64"/>
          <bgColor rgb="FF012F53"/>
        </patternFill>
      </fill>
      <alignment vertical="center" textRotation="0" wrapText="0" indent="0" justifyLastLine="0" shrinkToFit="0" readingOrder="0"/>
    </dxf>
    <dxf>
      <font>
        <b/>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numFmt numFmtId="35" formatCode="_-* #,##0.00_-;\-* #,##0.00_-;_-* &quot;-&quot;??_-;_-@_-"/>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0" indent="0" justifyLastLine="0" shrinkToFit="0" readingOrder="0"/>
    </dxf>
    <dxf>
      <font>
        <b/>
        <i val="0"/>
        <strike val="0"/>
        <condense val="0"/>
        <extend val="0"/>
        <outline val="0"/>
        <shadow val="0"/>
        <u val="none"/>
        <vertAlign val="baseline"/>
        <sz val="11"/>
        <color rgb="FF000000"/>
        <name val="Calibri"/>
        <scheme val="none"/>
      </font>
      <numFmt numFmtId="0" formatCode="General"/>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rgb="FF000000"/>
        <name val="Calibri"/>
        <scheme val="none"/>
      </font>
      <numFmt numFmtId="168" formatCode="_-* #.##0_-;\-* #.##0_-;_-* &quot;-&quot;??_-;_-@_-"/>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0"/>
        <name val="Calibri"/>
        <scheme val="minor"/>
      </font>
      <numFmt numFmtId="164" formatCode="_-* #,##0_-;\-* #,##0_-;_-* &quot;-&quot;??_-;_-@_-"/>
      <fill>
        <patternFill patternType="none">
          <fgColor indexed="64"/>
          <bgColor indexed="65"/>
        </patternFill>
      </fill>
      <alignment horizontal="center" vertical="top" textRotation="0" wrapText="1" indent="0" justifyLastLine="0" shrinkToFit="0" readingOrder="0"/>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pivotCacheDefinition" Target="pivotCache/pivotCacheDefinition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4755197853789398E-2"/>
          <c:y val="0.15615615615615622"/>
          <c:w val="0.97048960429242115"/>
          <c:h val="0.62650587595469509"/>
        </c:manualLayout>
      </c:layout>
      <c:barChart>
        <c:barDir val="col"/>
        <c:grouping val="clustered"/>
        <c:varyColors val="0"/>
        <c:ser>
          <c:idx val="0"/>
          <c:order val="0"/>
          <c:tx>
            <c:strRef>
              <c:f>bdGraficoDoenças!$C$3</c:f>
              <c:strCache>
                <c:ptCount val="1"/>
                <c:pt idx="0">
                  <c:v>MÉDIA DE TODAS AS DOENÇAS</c:v>
                </c:pt>
              </c:strCache>
            </c:strRef>
          </c:tx>
          <c:spPr>
            <a:solidFill>
              <a:schemeClr val="bg1"/>
            </a:solidFill>
            <a:ln>
              <a:noFill/>
            </a:ln>
            <a:effectLst>
              <a:outerShdw blurRad="57150" dist="19050" dir="5400000" algn="ctr" rotWithShape="0">
                <a:srgbClr val="000000">
                  <a:alpha val="63000"/>
                </a:srgbClr>
              </a:outerShdw>
            </a:effectLst>
          </c:spPr>
          <c:invertIfNegative val="0"/>
          <c:dLbls>
            <c:numFmt formatCode="0.00%" sourceLinked="0"/>
            <c:spPr>
              <a:noFill/>
              <a:ln w="25400">
                <a:noFill/>
              </a:ln>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mn-lt"/>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bdGraficoDoenças!$D$2:$S$2</c:f>
              <c:strCache>
                <c:ptCount val="16"/>
                <c:pt idx="0">
                  <c:v> AM  </c:v>
                </c:pt>
                <c:pt idx="1">
                  <c:v> BA  </c:v>
                </c:pt>
                <c:pt idx="2">
                  <c:v> CE  </c:v>
                </c:pt>
                <c:pt idx="3">
                  <c:v> DF  </c:v>
                </c:pt>
                <c:pt idx="4">
                  <c:v> ES  </c:v>
                </c:pt>
                <c:pt idx="5">
                  <c:v> GO  </c:v>
                </c:pt>
                <c:pt idx="6">
                  <c:v> MG  </c:v>
                </c:pt>
                <c:pt idx="7">
                  <c:v> MS  </c:v>
                </c:pt>
                <c:pt idx="8">
                  <c:v> MT  </c:v>
                </c:pt>
                <c:pt idx="9">
                  <c:v> PA  </c:v>
                </c:pt>
                <c:pt idx="10">
                  <c:v> PE  </c:v>
                </c:pt>
                <c:pt idx="11">
                  <c:v> PR  </c:v>
                </c:pt>
                <c:pt idx="12">
                  <c:v> RJ  </c:v>
                </c:pt>
                <c:pt idx="13">
                  <c:v> RS  </c:v>
                </c:pt>
                <c:pt idx="14">
                  <c:v> SC  </c:v>
                </c:pt>
                <c:pt idx="15">
                  <c:v> SP  </c:v>
                </c:pt>
              </c:strCache>
            </c:strRef>
          </c:cat>
          <c:val>
            <c:numRef>
              <c:f>bdGraficoDoenças!$D$3:$S$3</c:f>
              <c:numCache>
                <c:formatCode>0%</c:formatCode>
                <c:ptCount val="16"/>
                <c:pt idx="0">
                  <c:v>0.30716072840203285</c:v>
                </c:pt>
                <c:pt idx="1">
                  <c:v>0.30716072840203285</c:v>
                </c:pt>
                <c:pt idx="2">
                  <c:v>0.30716072840203285</c:v>
                </c:pt>
                <c:pt idx="3">
                  <c:v>0.30716072840203285</c:v>
                </c:pt>
                <c:pt idx="4">
                  <c:v>0.30716072840203285</c:v>
                </c:pt>
                <c:pt idx="5">
                  <c:v>0.30716072840203285</c:v>
                </c:pt>
                <c:pt idx="6">
                  <c:v>0.3049503482025222</c:v>
                </c:pt>
                <c:pt idx="7">
                  <c:v>0.30716072840203285</c:v>
                </c:pt>
                <c:pt idx="8">
                  <c:v>0.30716072840203285</c:v>
                </c:pt>
                <c:pt idx="9">
                  <c:v>0.30716072840203285</c:v>
                </c:pt>
                <c:pt idx="10">
                  <c:v>0.30716072840203285</c:v>
                </c:pt>
                <c:pt idx="11">
                  <c:v>0.25716072840203291</c:v>
                </c:pt>
                <c:pt idx="12">
                  <c:v>0.32716072840203275</c:v>
                </c:pt>
                <c:pt idx="13">
                  <c:v>0.30716072840203285</c:v>
                </c:pt>
                <c:pt idx="14">
                  <c:v>0.30716072840203285</c:v>
                </c:pt>
                <c:pt idx="15">
                  <c:v>0.3171607284020328</c:v>
                </c:pt>
              </c:numCache>
            </c:numRef>
          </c:val>
        </c:ser>
        <c:dLbls>
          <c:showLegendKey val="0"/>
          <c:showVal val="0"/>
          <c:showCatName val="0"/>
          <c:showSerName val="0"/>
          <c:showPercent val="0"/>
          <c:showBubbleSize val="0"/>
        </c:dLbls>
        <c:gapWidth val="100"/>
        <c:overlap val="-24"/>
        <c:axId val="217255520"/>
        <c:axId val="217254960"/>
      </c:barChart>
      <c:catAx>
        <c:axId val="21725552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bg1"/>
                </a:solidFill>
                <a:latin typeface="+mn-lt"/>
                <a:ea typeface="+mn-ea"/>
                <a:cs typeface="+mn-cs"/>
              </a:defRPr>
            </a:pPr>
            <a:endParaRPr lang="pt-BR"/>
          </a:p>
        </c:txPr>
        <c:crossAx val="217254960"/>
        <c:crosses val="autoZero"/>
        <c:auto val="1"/>
        <c:lblAlgn val="ctr"/>
        <c:lblOffset val="100"/>
        <c:noMultiLvlLbl val="0"/>
      </c:catAx>
      <c:valAx>
        <c:axId val="217254960"/>
        <c:scaling>
          <c:orientation val="minMax"/>
        </c:scaling>
        <c:delete val="1"/>
        <c:axPos val="l"/>
        <c:numFmt formatCode="0%" sourceLinked="1"/>
        <c:majorTickMark val="out"/>
        <c:minorTickMark val="none"/>
        <c:tickLblPos val="nextTo"/>
        <c:crossAx val="217255520"/>
        <c:crosses val="autoZero"/>
        <c:crossBetween val="between"/>
      </c:valAx>
      <c:spPr>
        <a:noFill/>
        <a:ln w="25400">
          <a:noFill/>
        </a:ln>
      </c:spPr>
    </c:plotArea>
    <c:plotVisOnly val="1"/>
    <c:dispBlanksAs val="gap"/>
    <c:showDLblsOverMax val="0"/>
  </c:chart>
  <c:spPr>
    <a:noFill/>
    <a:ln w="6350">
      <a:noFill/>
    </a:ln>
  </c:spPr>
  <c:txPr>
    <a:bodyPr/>
    <a:lstStyle/>
    <a:p>
      <a:pPr>
        <a:defRPr/>
      </a:pPr>
      <a:endParaRPr lang="pt-BR"/>
    </a:p>
  </c:txPr>
  <c:printSettings>
    <c:headerFooter/>
    <c:pageMargins b="0.78740157499999996" l="0.511811024" r="0.511811024" t="0.78740157499999996" header="0.31496062000000014" footer="0.3149606200000001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1187335958005258"/>
          <c:y val="7.7601410934744305E-2"/>
          <c:w val="0.50103429218870865"/>
          <c:h val="0.84479717813051181"/>
        </c:manualLayout>
      </c:layout>
      <c:barChart>
        <c:barDir val="bar"/>
        <c:grouping val="clustered"/>
        <c:varyColors val="0"/>
        <c:ser>
          <c:idx val="0"/>
          <c:order val="0"/>
          <c:spPr>
            <a:solidFill>
              <a:srgbClr val="70AD47"/>
            </a:solidFill>
            <a:ln w="25400">
              <a:noFill/>
            </a:ln>
          </c:spPr>
          <c:invertIfNegative val="0"/>
          <c:dPt>
            <c:idx val="0"/>
            <c:invertIfNegative val="0"/>
            <c:bubble3D val="0"/>
            <c:spPr>
              <a:solidFill>
                <a:schemeClr val="accent1">
                  <a:lumMod val="75000"/>
                </a:schemeClr>
              </a:solidFill>
              <a:ln>
                <a:noFill/>
              </a:ln>
              <a:effectLst/>
            </c:spPr>
          </c:dPt>
          <c:dPt>
            <c:idx val="1"/>
            <c:invertIfNegative val="0"/>
            <c:bubble3D val="0"/>
            <c:spPr>
              <a:solidFill>
                <a:srgbClr val="FFFF00"/>
              </a:solidFill>
              <a:ln w="25400">
                <a:noFill/>
              </a:ln>
            </c:spPr>
          </c:dPt>
          <c:dLbls>
            <c:numFmt formatCode="0.00%" sourceLinked="0"/>
            <c:spPr>
              <a:noFill/>
              <a:ln w="25400">
                <a:noFill/>
              </a:ln>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mn-lt"/>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bdGraficoDoenças!$T$2:$V$2</c:f>
              <c:strCache>
                <c:ptCount val="3"/>
                <c:pt idx="0">
                  <c:v> Menor </c:v>
                </c:pt>
                <c:pt idx="1">
                  <c:v> Maior </c:v>
                </c:pt>
                <c:pt idx="2">
                  <c:v> Média </c:v>
                </c:pt>
              </c:strCache>
            </c:strRef>
          </c:cat>
          <c:val>
            <c:numRef>
              <c:f>bdGraficoDoenças!$T$3:$V$3</c:f>
              <c:numCache>
                <c:formatCode>0%</c:formatCode>
                <c:ptCount val="3"/>
                <c:pt idx="0">
                  <c:v>0.25716072840203291</c:v>
                </c:pt>
                <c:pt idx="1">
                  <c:v>0.32716072840203275</c:v>
                </c:pt>
                <c:pt idx="2">
                  <c:v>0.3057725796395635</c:v>
                </c:pt>
              </c:numCache>
            </c:numRef>
          </c:val>
        </c:ser>
        <c:dLbls>
          <c:showLegendKey val="0"/>
          <c:showVal val="1"/>
          <c:showCatName val="0"/>
          <c:showSerName val="0"/>
          <c:showPercent val="0"/>
          <c:showBubbleSize val="0"/>
        </c:dLbls>
        <c:gapWidth val="182"/>
        <c:axId val="217252720"/>
        <c:axId val="217252160"/>
      </c:barChart>
      <c:catAx>
        <c:axId val="21725272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bg1"/>
                </a:solidFill>
                <a:latin typeface="+mn-lt"/>
                <a:ea typeface="+mn-ea"/>
                <a:cs typeface="+mn-cs"/>
              </a:defRPr>
            </a:pPr>
            <a:endParaRPr lang="pt-BR"/>
          </a:p>
        </c:txPr>
        <c:crossAx val="217252160"/>
        <c:crosses val="autoZero"/>
        <c:auto val="1"/>
        <c:lblAlgn val="ctr"/>
        <c:lblOffset val="100"/>
        <c:noMultiLvlLbl val="0"/>
      </c:catAx>
      <c:valAx>
        <c:axId val="217252160"/>
        <c:scaling>
          <c:orientation val="minMax"/>
        </c:scaling>
        <c:delete val="1"/>
        <c:axPos val="b"/>
        <c:numFmt formatCode="0%" sourceLinked="1"/>
        <c:majorTickMark val="out"/>
        <c:minorTickMark val="none"/>
        <c:tickLblPos val="nextTo"/>
        <c:crossAx val="217252720"/>
        <c:crosses val="autoZero"/>
        <c:crossBetween val="between"/>
      </c:valAx>
      <c:spPr>
        <a:noFill/>
        <a:ln w="25400">
          <a:noFill/>
        </a:ln>
      </c:spPr>
    </c:plotArea>
    <c:plotVisOnly val="1"/>
    <c:dispBlanksAs val="gap"/>
    <c:showDLblsOverMax val="0"/>
  </c:chart>
  <c:spPr>
    <a:noFill/>
    <a:ln w="6350">
      <a:noFill/>
    </a:ln>
  </c:spPr>
  <c:txPr>
    <a:bodyPr/>
    <a:lstStyle/>
    <a:p>
      <a:pPr>
        <a:defRPr>
          <a:solidFill>
            <a:schemeClr val="bg1"/>
          </a:solidFill>
        </a:defRPr>
      </a:pPr>
      <a:endParaRPr lang="pt-BR"/>
    </a:p>
  </c:txPr>
  <c:printSettings>
    <c:headerFooter/>
    <c:pageMargins b="0.78740157499999996" l="0.511811024" r="0.511811024" t="0.78740157499999996" header="0.31496062000000014" footer="0.3149606200000001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474870314531927"/>
          <c:y val="0.18064321073789838"/>
          <c:w val="0.32471278658225816"/>
          <c:h val="0.56619223230007676"/>
        </c:manualLayout>
      </c:layout>
      <c:pieChart>
        <c:varyColors val="1"/>
        <c:ser>
          <c:idx val="0"/>
          <c:order val="0"/>
          <c:spPr>
            <a:solidFill>
              <a:schemeClr val="lt1"/>
            </a:solidFill>
            <a:ln w="19050">
              <a:solidFill>
                <a:srgbClr val="012F53"/>
              </a:solidFill>
            </a:ln>
            <a:effectLst/>
          </c:spPr>
          <c:dLbls>
            <c:numFmt formatCode="0.00%" sourceLinked="0"/>
            <c:spPr>
              <a:noFill/>
              <a:ln w="25400">
                <a:noFill/>
              </a:ln>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Segoe UI" panose="020B0502040204020203" pitchFamily="34" charset="0"/>
                    <a:ea typeface="Segoe UI" panose="020B0502040204020203" pitchFamily="34" charset="0"/>
                    <a:cs typeface="Segoe UI" panose="020B0502040204020203" pitchFamily="34" charset="0"/>
                  </a:defRPr>
                </a:pPr>
                <a:endParaRPr lang="pt-BR"/>
              </a:p>
            </c:txPr>
            <c:dLblPos val="outEnd"/>
            <c:showLegendKey val="0"/>
            <c:showVal val="1"/>
            <c:showCatName val="1"/>
            <c:showSerName val="0"/>
            <c:showPercent val="0"/>
            <c:showBubbleSize val="0"/>
            <c:separator> </c:separator>
            <c:showLeaderLines val="1"/>
            <c:leaderLines>
              <c:spPr>
                <a:ln w="9525">
                  <a:solidFill>
                    <a:schemeClr val="accent1">
                      <a:lumMod val="60000"/>
                      <a:lumOff val="40000"/>
                    </a:schemeClr>
                  </a:solidFill>
                </a:ln>
                <a:effectLst/>
              </c:spPr>
            </c:leaderLines>
            <c:extLst>
              <c:ext xmlns:c15="http://schemas.microsoft.com/office/drawing/2012/chart" uri="{CE6537A1-D6FC-4f65-9D91-7224C49458BB}">
                <c15:layout/>
              </c:ext>
            </c:extLst>
          </c:dLbls>
          <c:cat>
            <c:strRef>
              <c:f>bdGraficoDoenças!$X$2:$AC$2</c:f>
              <c:strCache>
                <c:ptCount val="6"/>
                <c:pt idx="0">
                  <c:v>Cofins</c:v>
                </c:pt>
                <c:pt idx="1">
                  <c:v>s/folha</c:v>
                </c:pt>
                <c:pt idx="2">
                  <c:v>Outros</c:v>
                </c:pt>
                <c:pt idx="3">
                  <c:v> PIS </c:v>
                </c:pt>
                <c:pt idx="4">
                  <c:v>s/lucro</c:v>
                </c:pt>
                <c:pt idx="5">
                  <c:v>ICMS</c:v>
                </c:pt>
              </c:strCache>
            </c:strRef>
          </c:cat>
          <c:val>
            <c:numRef>
              <c:f>bdGraficoDoenças!$X$3:$AC$3</c:f>
              <c:numCache>
                <c:formatCode>0.00%</c:formatCode>
                <c:ptCount val="6"/>
                <c:pt idx="0">
                  <c:v>4.9301242236024841E-2</c:v>
                </c:pt>
                <c:pt idx="1">
                  <c:v>3.2700000000000007E-2</c:v>
                </c:pt>
                <c:pt idx="2">
                  <c:v>1.350000000000001E-2</c:v>
                </c:pt>
                <c:pt idx="3">
                  <c:v>1.0459486166007906E-2</c:v>
                </c:pt>
                <c:pt idx="4">
                  <c:v>3.1200000000000019E-2</c:v>
                </c:pt>
                <c:pt idx="5" formatCode="0.000">
                  <c:v>0.18000000000000008</c:v>
                </c:pt>
              </c:numCache>
            </c:numRef>
          </c:val>
        </c:ser>
        <c:dLbls>
          <c:showLegendKey val="0"/>
          <c:showVal val="0"/>
          <c:showCatName val="0"/>
          <c:showSerName val="0"/>
          <c:showPercent val="1"/>
          <c:showBubbleSize val="0"/>
          <c:showLeaderLines val="1"/>
        </c:dLbls>
        <c:firstSliceAng val="0"/>
      </c:pieChart>
      <c:spPr>
        <a:noFill/>
        <a:ln w="25400">
          <a:noFill/>
        </a:ln>
      </c:spPr>
    </c:plotArea>
    <c:plotVisOnly val="1"/>
    <c:dispBlanksAs val="zero"/>
    <c:showDLblsOverMax val="0"/>
  </c:chart>
  <c:spPr>
    <a:noFill/>
    <a:ln w="9525" cap="flat" cmpd="sng" algn="ctr">
      <a:solidFill>
        <a:srgbClr val="012F53"/>
      </a:solidFill>
      <a:round/>
    </a:ln>
    <a:effectLst/>
  </c:spPr>
  <c:txPr>
    <a:bodyPr/>
    <a:lstStyle/>
    <a:p>
      <a:pPr>
        <a:defRPr/>
      </a:pPr>
      <a:endParaRPr lang="pt-BR"/>
    </a:p>
  </c:txPr>
  <c:printSettings>
    <c:headerFooter/>
    <c:pageMargins b="0.78740157499999996" l="0.511811024" r="0.511811024" t="0.78740157499999996" header="0.31496062000000014" footer="0.3149606200000001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4755197853789398E-2"/>
          <c:y val="0.15615615615615622"/>
          <c:w val="0.97048960429242115"/>
          <c:h val="0.62650587595469509"/>
        </c:manualLayout>
      </c:layout>
      <c:barChart>
        <c:barDir val="col"/>
        <c:grouping val="clustered"/>
        <c:varyColors val="0"/>
        <c:ser>
          <c:idx val="0"/>
          <c:order val="0"/>
          <c:tx>
            <c:strRef>
              <c:f>bdGraficoMAT!$C$7</c:f>
              <c:strCache>
                <c:ptCount val="1"/>
                <c:pt idx="0">
                  <c:v> ABBOTT</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bdGraficoMAT!$D$7:$G$7</c:f>
              <c:numCache>
                <c:formatCode>#,##0.00</c:formatCode>
                <c:ptCount val="4"/>
                <c:pt idx="0" formatCode="#,##0">
                  <c:v>1849875</c:v>
                </c:pt>
                <c:pt idx="1">
                  <c:v>30202043</c:v>
                </c:pt>
                <c:pt idx="2">
                  <c:v>68970092.030000001</c:v>
                </c:pt>
                <c:pt idx="3" formatCode="_(* #,##0.00_);_(* \(#,##0.00\);_(* &quot;-&quot;??_);_(@_)">
                  <c:v>37.283649992567064</c:v>
                </c:pt>
              </c:numCache>
            </c:numRef>
          </c:val>
        </c:ser>
        <c:ser>
          <c:idx val="1"/>
          <c:order val="1"/>
          <c:tx>
            <c:strRef>
              <c:f>bdGraficoMAT!$C$8</c:f>
              <c:strCache>
                <c:ptCount val="1"/>
                <c:pt idx="0">
                  <c:v> ACHE</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bdGraficoMAT!$D$8:$G$8</c:f>
              <c:numCache>
                <c:formatCode>#,##0.00</c:formatCode>
                <c:ptCount val="4"/>
                <c:pt idx="0" formatCode="#,##0">
                  <c:v>55261769</c:v>
                </c:pt>
                <c:pt idx="1">
                  <c:v>427276476</c:v>
                </c:pt>
                <c:pt idx="2">
                  <c:v>973891029.21000016</c:v>
                </c:pt>
                <c:pt idx="3" formatCode="_(* #,##0.00_);_(* \(#,##0.00\);_(* &quot;-&quot;??_);_(@_)">
                  <c:v>17.623232966175951</c:v>
                </c:pt>
              </c:numCache>
            </c:numRef>
          </c:val>
        </c:ser>
        <c:ser>
          <c:idx val="2"/>
          <c:order val="2"/>
          <c:tx>
            <c:strRef>
              <c:f>bdGraficoMAT!$C$9</c:f>
              <c:strCache>
                <c:ptCount val="1"/>
                <c:pt idx="0">
                  <c:v> ALCON</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bdGraficoMAT!$D$9:$G$9</c:f>
              <c:numCache>
                <c:formatCode>#,##0.00</c:formatCode>
                <c:ptCount val="4"/>
                <c:pt idx="0" formatCode="#,##0">
                  <c:v>7489596</c:v>
                </c:pt>
                <c:pt idx="1">
                  <c:v>51099783</c:v>
                </c:pt>
                <c:pt idx="2">
                  <c:v>116623313.35000001</c:v>
                </c:pt>
                <c:pt idx="3" formatCode="_(* #,##0.00_);_(* \(#,##0.00\);_(* &quot;-&quot;??_);_(@_)">
                  <c:v>15.571375725740081</c:v>
                </c:pt>
              </c:numCache>
            </c:numRef>
          </c:val>
        </c:ser>
        <c:ser>
          <c:idx val="3"/>
          <c:order val="3"/>
          <c:tx>
            <c:strRef>
              <c:f>bdGraficoMAT!$C$10</c:f>
              <c:strCache>
                <c:ptCount val="1"/>
                <c:pt idx="0">
                  <c:v> ALLERGAN</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bdGraficoMAT!$D$10:$G$10</c:f>
              <c:numCache>
                <c:formatCode>#,##0.00</c:formatCode>
                <c:ptCount val="4"/>
                <c:pt idx="0" formatCode="#,##0">
                  <c:v>1744069</c:v>
                </c:pt>
                <c:pt idx="1">
                  <c:v>16732207</c:v>
                </c:pt>
                <c:pt idx="2">
                  <c:v>38180794.019999996</c:v>
                </c:pt>
                <c:pt idx="3" formatCode="_(* #,##0.00_);_(* \(#,##0.00\);_(* &quot;-&quot;??_);_(@_)">
                  <c:v>21.891790989920693</c:v>
                </c:pt>
              </c:numCache>
            </c:numRef>
          </c:val>
        </c:ser>
        <c:ser>
          <c:idx val="4"/>
          <c:order val="4"/>
          <c:tx>
            <c:strRef>
              <c:f>bdGraficoMAT!$C$11</c:f>
              <c:strCache>
                <c:ptCount val="1"/>
                <c:pt idx="0">
                  <c:v> APSEN</c:v>
                </c:pt>
              </c:strCache>
            </c:strRef>
          </c:tx>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bdGraficoMAT!$D$11:$G$11</c:f>
              <c:numCache>
                <c:formatCode>#,##0.00</c:formatCode>
                <c:ptCount val="4"/>
                <c:pt idx="0" formatCode="#,##0">
                  <c:v>6971777</c:v>
                </c:pt>
                <c:pt idx="1">
                  <c:v>83146022</c:v>
                </c:pt>
                <c:pt idx="2">
                  <c:v>189758072.02000001</c:v>
                </c:pt>
                <c:pt idx="3" formatCode="_(* #,##0.00_);_(* \(#,##0.00\);_(* &quot;-&quot;??_);_(@_)">
                  <c:v>27.218035232624338</c:v>
                </c:pt>
              </c:numCache>
            </c:numRef>
          </c:val>
        </c:ser>
        <c:ser>
          <c:idx val="5"/>
          <c:order val="5"/>
          <c:tx>
            <c:strRef>
              <c:f>bdGraficoMAT!$C$12</c:f>
              <c:strCache>
                <c:ptCount val="1"/>
                <c:pt idx="0">
                  <c:v> ASPEN PHARMA</c:v>
                </c:pt>
              </c:strCache>
            </c:strRef>
          </c:tx>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bdGraficoMAT!$D$12:$G$12</c:f>
              <c:numCache>
                <c:formatCode>#,##0.00</c:formatCode>
                <c:ptCount val="4"/>
                <c:pt idx="0" formatCode="#,##0">
                  <c:v>1010670</c:v>
                </c:pt>
                <c:pt idx="1">
                  <c:v>4021967</c:v>
                </c:pt>
                <c:pt idx="2">
                  <c:v>9203039.0299999993</c:v>
                </c:pt>
                <c:pt idx="3" formatCode="_(* #,##0.00_);_(* \(#,##0.00\);_(* &quot;-&quot;??_);_(@_)">
                  <c:v>9.1058792978914962</c:v>
                </c:pt>
              </c:numCache>
            </c:numRef>
          </c:val>
        </c:ser>
        <c:ser>
          <c:idx val="6"/>
          <c:order val="6"/>
          <c:tx>
            <c:strRef>
              <c:f>bdGraficoMAT!$C$13</c:f>
              <c:strCache>
                <c:ptCount val="1"/>
                <c:pt idx="0">
                  <c:v> ASTRAZENECA BRASIL</c:v>
                </c:pt>
              </c:strCache>
            </c:strRef>
          </c:tx>
          <c:spPr>
            <a:gradFill rotWithShape="1">
              <a:gsLst>
                <a:gs pos="0">
                  <a:schemeClr val="accent1">
                    <a:lumMod val="60000"/>
                    <a:satMod val="103000"/>
                    <a:lumMod val="102000"/>
                    <a:tint val="94000"/>
                  </a:schemeClr>
                </a:gs>
                <a:gs pos="50000">
                  <a:schemeClr val="accent1">
                    <a:lumMod val="60000"/>
                    <a:satMod val="110000"/>
                    <a:lumMod val="100000"/>
                    <a:shade val="100000"/>
                  </a:schemeClr>
                </a:gs>
                <a:gs pos="100000">
                  <a:schemeClr val="accent1">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bdGraficoMAT!$D$13:$G$13</c:f>
              <c:numCache>
                <c:formatCode>#,##0.00</c:formatCode>
                <c:ptCount val="4"/>
                <c:pt idx="0" formatCode="#,##0">
                  <c:v>226601</c:v>
                </c:pt>
                <c:pt idx="1">
                  <c:v>1966052</c:v>
                </c:pt>
                <c:pt idx="2">
                  <c:v>4482907.47</c:v>
                </c:pt>
                <c:pt idx="3" formatCode="_(* #,##0.00_);_(* \(#,##0.00\);_(* &quot;-&quot;??_);_(@_)">
                  <c:v>19.783264283917546</c:v>
                </c:pt>
              </c:numCache>
            </c:numRef>
          </c:val>
        </c:ser>
        <c:ser>
          <c:idx val="7"/>
          <c:order val="7"/>
          <c:tx>
            <c:strRef>
              <c:f>bdGraficoMAT!$C$14</c:f>
              <c:strCache>
                <c:ptCount val="1"/>
                <c:pt idx="0">
                  <c:v> BALDACCI</c:v>
                </c:pt>
              </c:strCache>
            </c:strRef>
          </c:tx>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bdGraficoMAT!$D$14:$G$14</c:f>
              <c:numCache>
                <c:formatCode>#,##0.00</c:formatCode>
                <c:ptCount val="4"/>
                <c:pt idx="0" formatCode="#,##0">
                  <c:v>2779989</c:v>
                </c:pt>
                <c:pt idx="1">
                  <c:v>25844382</c:v>
                </c:pt>
                <c:pt idx="2">
                  <c:v>58955587.350000001</c:v>
                </c:pt>
                <c:pt idx="3" formatCode="_(* #,##0.00_);_(* \(#,##0.00\);_(* &quot;-&quot;??_);_(@_)">
                  <c:v>21.207129722455736</c:v>
                </c:pt>
              </c:numCache>
            </c:numRef>
          </c:val>
        </c:ser>
        <c:ser>
          <c:idx val="8"/>
          <c:order val="8"/>
          <c:tx>
            <c:strRef>
              <c:f>bdGraficoMAT!$C$15</c:f>
              <c:strCache>
                <c:ptCount val="1"/>
                <c:pt idx="0">
                  <c:v> BAYER DERMATOLOGY</c:v>
                </c:pt>
              </c:strCache>
            </c:strRef>
          </c:tx>
          <c:spPr>
            <a:gradFill rotWithShape="1">
              <a:gsLst>
                <a:gs pos="0">
                  <a:schemeClr val="accent3">
                    <a:lumMod val="60000"/>
                    <a:satMod val="103000"/>
                    <a:lumMod val="102000"/>
                    <a:tint val="94000"/>
                  </a:schemeClr>
                </a:gs>
                <a:gs pos="50000">
                  <a:schemeClr val="accent3">
                    <a:lumMod val="60000"/>
                    <a:satMod val="110000"/>
                    <a:lumMod val="100000"/>
                    <a:shade val="100000"/>
                  </a:schemeClr>
                </a:gs>
                <a:gs pos="100000">
                  <a:schemeClr val="accent3">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bdGraficoMAT!$D$15:$G$15</c:f>
              <c:numCache>
                <c:formatCode>#,##0.00</c:formatCode>
                <c:ptCount val="4"/>
                <c:pt idx="0" formatCode="#,##0">
                  <c:v>349439</c:v>
                </c:pt>
                <c:pt idx="1">
                  <c:v>3104943</c:v>
                </c:pt>
                <c:pt idx="2">
                  <c:v>7088422.9299999997</c:v>
                </c:pt>
                <c:pt idx="3" formatCode="_(* #,##0.00_);_(* \(#,##0.00\);_(* &quot;-&quot;??_);_(@_)">
                  <c:v>20.285151142259448</c:v>
                </c:pt>
              </c:numCache>
            </c:numRef>
          </c:val>
        </c:ser>
        <c:ser>
          <c:idx val="9"/>
          <c:order val="9"/>
          <c:tx>
            <c:strRef>
              <c:f>bdGraficoMAT!$C$16</c:f>
              <c:strCache>
                <c:ptCount val="1"/>
                <c:pt idx="0">
                  <c:v> BAYER PHARMA</c:v>
                </c:pt>
              </c:strCache>
            </c:strRef>
          </c:tx>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bdGraficoMAT!$D$16:$G$16</c:f>
              <c:numCache>
                <c:formatCode>#,##0.00</c:formatCode>
                <c:ptCount val="4"/>
                <c:pt idx="0" formatCode="#,##0">
                  <c:v>33211207</c:v>
                </c:pt>
                <c:pt idx="1">
                  <c:v>140466562</c:v>
                </c:pt>
                <c:pt idx="2">
                  <c:v>320784368.87</c:v>
                </c:pt>
                <c:pt idx="3" formatCode="_(* #,##0.00_);_(* \(#,##0.00\);_(* &quot;-&quot;??_);_(@_)">
                  <c:v>9.6589193181084934</c:v>
                </c:pt>
              </c:numCache>
            </c:numRef>
          </c:val>
        </c:ser>
        <c:ser>
          <c:idx val="10"/>
          <c:order val="10"/>
          <c:tx>
            <c:strRef>
              <c:f>bdGraficoMAT!$C$17</c:f>
              <c:strCache>
                <c:ptCount val="1"/>
                <c:pt idx="0">
                  <c:v> BELFAR</c:v>
                </c:pt>
              </c:strCache>
            </c:strRef>
          </c:tx>
          <c:spPr>
            <a:gradFill rotWithShape="1">
              <a:gsLst>
                <a:gs pos="0">
                  <a:schemeClr val="accent5">
                    <a:lumMod val="60000"/>
                    <a:satMod val="103000"/>
                    <a:lumMod val="102000"/>
                    <a:tint val="94000"/>
                  </a:schemeClr>
                </a:gs>
                <a:gs pos="50000">
                  <a:schemeClr val="accent5">
                    <a:lumMod val="60000"/>
                    <a:satMod val="110000"/>
                    <a:lumMod val="100000"/>
                    <a:shade val="100000"/>
                  </a:schemeClr>
                </a:gs>
                <a:gs pos="100000">
                  <a:schemeClr val="accent5">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bdGraficoMAT!$D$17:$G$17</c:f>
              <c:numCache>
                <c:formatCode>#,##0.00</c:formatCode>
                <c:ptCount val="4"/>
                <c:pt idx="0" formatCode="#,##0">
                  <c:v>628094</c:v>
                </c:pt>
                <c:pt idx="1">
                  <c:v>2358810</c:v>
                </c:pt>
                <c:pt idx="2">
                  <c:v>5387203.5</c:v>
                </c:pt>
                <c:pt idx="3" formatCode="_(* #,##0.00_);_(* \(#,##0.00\);_(* &quot;-&quot;??_);_(@_)">
                  <c:v>8.5770656939884802</c:v>
                </c:pt>
              </c:numCache>
            </c:numRef>
          </c:val>
        </c:ser>
        <c:ser>
          <c:idx val="11"/>
          <c:order val="11"/>
          <c:tx>
            <c:strRef>
              <c:f>bdGraficoMAT!$C$18</c:f>
              <c:strCache>
                <c:ptCount val="1"/>
                <c:pt idx="0">
                  <c:v> BESINS HEALTHCARE</c:v>
                </c:pt>
              </c:strCache>
            </c:strRef>
          </c:tx>
          <c:spPr>
            <a:gradFill rotWithShape="1">
              <a:gsLst>
                <a:gs pos="0">
                  <a:schemeClr val="accent6">
                    <a:lumMod val="60000"/>
                    <a:satMod val="103000"/>
                    <a:lumMod val="102000"/>
                    <a:tint val="94000"/>
                  </a:schemeClr>
                </a:gs>
                <a:gs pos="50000">
                  <a:schemeClr val="accent6">
                    <a:lumMod val="60000"/>
                    <a:satMod val="110000"/>
                    <a:lumMod val="100000"/>
                    <a:shade val="100000"/>
                  </a:schemeClr>
                </a:gs>
                <a:gs pos="100000">
                  <a:schemeClr val="accent6">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bdGraficoMAT!$D$18:$G$18</c:f>
              <c:numCache>
                <c:formatCode>#,##0.00</c:formatCode>
                <c:ptCount val="4"/>
                <c:pt idx="0" formatCode="#,##0">
                  <c:v>1257419</c:v>
                </c:pt>
                <c:pt idx="1">
                  <c:v>17826176</c:v>
                </c:pt>
                <c:pt idx="2">
                  <c:v>40686821.450000003</c:v>
                </c:pt>
                <c:pt idx="3" formatCode="_(* #,##0.00_);_(* \(#,##0.00\);_(* &quot;-&quot;??_);_(@_)">
                  <c:v>32.357409463353108</c:v>
                </c:pt>
              </c:numCache>
            </c:numRef>
          </c:val>
        </c:ser>
        <c:ser>
          <c:idx val="12"/>
          <c:order val="12"/>
          <c:tx>
            <c:strRef>
              <c:f>bdGraficoMAT!$C$19</c:f>
              <c:strCache>
                <c:ptCount val="1"/>
                <c:pt idx="0">
                  <c:v> BIOLAB-SANUS FARMA</c:v>
                </c:pt>
              </c:strCache>
            </c:strRef>
          </c:tx>
          <c:spPr>
            <a:gradFill rotWithShape="1">
              <a:gsLst>
                <a:gs pos="0">
                  <a:schemeClr val="accent1">
                    <a:lumMod val="80000"/>
                    <a:lumOff val="20000"/>
                    <a:satMod val="103000"/>
                    <a:lumMod val="102000"/>
                    <a:tint val="94000"/>
                  </a:schemeClr>
                </a:gs>
                <a:gs pos="50000">
                  <a:schemeClr val="accent1">
                    <a:lumMod val="80000"/>
                    <a:lumOff val="20000"/>
                    <a:satMod val="110000"/>
                    <a:lumMod val="100000"/>
                    <a:shade val="100000"/>
                  </a:schemeClr>
                </a:gs>
                <a:gs pos="100000">
                  <a:schemeClr val="accent1">
                    <a:lumMod val="80000"/>
                    <a:lumOff val="2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bdGraficoMAT!$D$19:$G$19</c:f>
              <c:numCache>
                <c:formatCode>#,##0.00</c:formatCode>
                <c:ptCount val="4"/>
                <c:pt idx="0" formatCode="#,##0">
                  <c:v>6698065</c:v>
                </c:pt>
                <c:pt idx="1">
                  <c:v>87644979</c:v>
                </c:pt>
                <c:pt idx="2">
                  <c:v>200170538.88999999</c:v>
                </c:pt>
                <c:pt idx="3" formatCode="_(* #,##0.00_);_(* \(#,##0.00\);_(* &quot;-&quot;??_);_(@_)">
                  <c:v>29.884830751866396</c:v>
                </c:pt>
              </c:numCache>
            </c:numRef>
          </c:val>
        </c:ser>
        <c:ser>
          <c:idx val="13"/>
          <c:order val="13"/>
          <c:tx>
            <c:strRef>
              <c:f>bdGraficoMAT!$C$20</c:f>
              <c:strCache>
                <c:ptCount val="1"/>
                <c:pt idx="0">
                  <c:v> BOEHRINGER ING</c:v>
                </c:pt>
              </c:strCache>
            </c:strRef>
          </c:tx>
          <c:spPr>
            <a:gradFill rotWithShape="1">
              <a:gsLst>
                <a:gs pos="0">
                  <a:schemeClr val="accent2">
                    <a:lumMod val="80000"/>
                    <a:lumOff val="20000"/>
                    <a:satMod val="103000"/>
                    <a:lumMod val="102000"/>
                    <a:tint val="94000"/>
                  </a:schemeClr>
                </a:gs>
                <a:gs pos="50000">
                  <a:schemeClr val="accent2">
                    <a:lumMod val="80000"/>
                    <a:lumOff val="20000"/>
                    <a:satMod val="110000"/>
                    <a:lumMod val="100000"/>
                    <a:shade val="100000"/>
                  </a:schemeClr>
                </a:gs>
                <a:gs pos="100000">
                  <a:schemeClr val="accent2">
                    <a:lumMod val="80000"/>
                    <a:lumOff val="2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bdGraficoMAT!$D$20:$G$20</c:f>
              <c:numCache>
                <c:formatCode>#,##0.00</c:formatCode>
                <c:ptCount val="4"/>
                <c:pt idx="0" formatCode="#,##0">
                  <c:v>45992315</c:v>
                </c:pt>
                <c:pt idx="1">
                  <c:v>184696341</c:v>
                </c:pt>
                <c:pt idx="2">
                  <c:v>421911151.66000003</c:v>
                </c:pt>
                <c:pt idx="3" formatCode="_(* #,##0.00_);_(* \(#,##0.00\);_(* &quot;-&quot;??_);_(@_)">
                  <c:v>9.1735141329589531</c:v>
                </c:pt>
              </c:numCache>
            </c:numRef>
          </c:val>
        </c:ser>
        <c:ser>
          <c:idx val="14"/>
          <c:order val="14"/>
          <c:tx>
            <c:strRef>
              <c:f>bdGraficoMAT!$C$21</c:f>
              <c:strCache>
                <c:ptCount val="1"/>
                <c:pt idx="0">
                  <c:v> CAZI</c:v>
                </c:pt>
              </c:strCache>
            </c:strRef>
          </c:tx>
          <c:spPr>
            <a:gradFill rotWithShape="1">
              <a:gsLst>
                <a:gs pos="0">
                  <a:schemeClr val="accent3">
                    <a:lumMod val="80000"/>
                    <a:lumOff val="20000"/>
                    <a:satMod val="103000"/>
                    <a:lumMod val="102000"/>
                    <a:tint val="94000"/>
                  </a:schemeClr>
                </a:gs>
                <a:gs pos="50000">
                  <a:schemeClr val="accent3">
                    <a:lumMod val="80000"/>
                    <a:lumOff val="20000"/>
                    <a:satMod val="110000"/>
                    <a:lumMod val="100000"/>
                    <a:shade val="100000"/>
                  </a:schemeClr>
                </a:gs>
                <a:gs pos="100000">
                  <a:schemeClr val="accent3">
                    <a:lumMod val="80000"/>
                    <a:lumOff val="2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bdGraficoMAT!$D$21:$G$21</c:f>
              <c:numCache>
                <c:formatCode>#,##0.00</c:formatCode>
                <c:ptCount val="4"/>
                <c:pt idx="0" formatCode="#,##0">
                  <c:v>1817060</c:v>
                </c:pt>
                <c:pt idx="1">
                  <c:v>7663035</c:v>
                </c:pt>
                <c:pt idx="2">
                  <c:v>17480116.969999999</c:v>
                </c:pt>
                <c:pt idx="3" formatCode="_(* #,##0.00_);_(* \(#,##0.00\);_(* &quot;-&quot;??_);_(@_)">
                  <c:v>9.6199998734219001</c:v>
                </c:pt>
              </c:numCache>
            </c:numRef>
          </c:val>
        </c:ser>
        <c:ser>
          <c:idx val="15"/>
          <c:order val="15"/>
          <c:tx>
            <c:strRef>
              <c:f>bdGraficoMAT!$C$22</c:f>
              <c:strCache>
                <c:ptCount val="1"/>
                <c:pt idx="0">
                  <c:v> CHIESI FARMACEUTIC</c:v>
                </c:pt>
              </c:strCache>
            </c:strRef>
          </c:tx>
          <c:spPr>
            <a:gradFill rotWithShape="1">
              <a:gsLst>
                <a:gs pos="0">
                  <a:schemeClr val="accent4">
                    <a:lumMod val="80000"/>
                    <a:lumOff val="20000"/>
                    <a:satMod val="103000"/>
                    <a:lumMod val="102000"/>
                    <a:tint val="94000"/>
                  </a:schemeClr>
                </a:gs>
                <a:gs pos="50000">
                  <a:schemeClr val="accent4">
                    <a:lumMod val="80000"/>
                    <a:lumOff val="20000"/>
                    <a:satMod val="110000"/>
                    <a:lumMod val="100000"/>
                    <a:shade val="100000"/>
                  </a:schemeClr>
                </a:gs>
                <a:gs pos="100000">
                  <a:schemeClr val="accent4">
                    <a:lumMod val="80000"/>
                    <a:lumOff val="2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bdGraficoMAT!$D$22:$G$22</c:f>
              <c:numCache>
                <c:formatCode>#,##0.00</c:formatCode>
                <c:ptCount val="4"/>
                <c:pt idx="0" formatCode="#,##0">
                  <c:v>3880745</c:v>
                </c:pt>
                <c:pt idx="1">
                  <c:v>67478290</c:v>
                </c:pt>
                <c:pt idx="2">
                  <c:v>153131451.73000002</c:v>
                </c:pt>
                <c:pt idx="3" formatCode="_(* #,##0.00_);_(* \(#,##0.00\);_(* &quot;-&quot;??_);_(@_)">
                  <c:v>39.459292411637463</c:v>
                </c:pt>
              </c:numCache>
            </c:numRef>
          </c:val>
        </c:ser>
        <c:ser>
          <c:idx val="16"/>
          <c:order val="16"/>
          <c:tx>
            <c:strRef>
              <c:f>bdGraficoMAT!$C$23</c:f>
              <c:strCache>
                <c:ptCount val="1"/>
                <c:pt idx="0">
                  <c:v> CIMED</c:v>
                </c:pt>
              </c:strCache>
            </c:strRef>
          </c:tx>
          <c:spPr>
            <a:gradFill rotWithShape="1">
              <a:gsLst>
                <a:gs pos="0">
                  <a:schemeClr val="accent5">
                    <a:lumMod val="80000"/>
                    <a:lumOff val="20000"/>
                    <a:satMod val="103000"/>
                    <a:lumMod val="102000"/>
                    <a:tint val="94000"/>
                  </a:schemeClr>
                </a:gs>
                <a:gs pos="50000">
                  <a:schemeClr val="accent5">
                    <a:lumMod val="80000"/>
                    <a:lumOff val="20000"/>
                    <a:satMod val="110000"/>
                    <a:lumMod val="100000"/>
                    <a:shade val="100000"/>
                  </a:schemeClr>
                </a:gs>
                <a:gs pos="100000">
                  <a:schemeClr val="accent5">
                    <a:lumMod val="80000"/>
                    <a:lumOff val="2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bdGraficoMAT!$D$23:$G$23</c:f>
              <c:numCache>
                <c:formatCode>#,##0.00</c:formatCode>
                <c:ptCount val="4"/>
                <c:pt idx="0" formatCode="#,##0">
                  <c:v>37703384</c:v>
                </c:pt>
                <c:pt idx="1">
                  <c:v>182816770</c:v>
                </c:pt>
                <c:pt idx="2">
                  <c:v>416625800.13999999</c:v>
                </c:pt>
                <c:pt idx="3" formatCode="_(* #,##0.00_);_(* \(#,##0.00\);_(* &quot;-&quot;??_);_(@_)">
                  <c:v>11.050090361650296</c:v>
                </c:pt>
              </c:numCache>
            </c:numRef>
          </c:val>
        </c:ser>
        <c:ser>
          <c:idx val="17"/>
          <c:order val="17"/>
          <c:tx>
            <c:strRef>
              <c:f>bdGraficoMAT!$C$24</c:f>
              <c:strCache>
                <c:ptCount val="1"/>
                <c:pt idx="0">
                  <c:v> CRISTALIA</c:v>
                </c:pt>
              </c:strCache>
            </c:strRef>
          </c:tx>
          <c:spPr>
            <a:gradFill rotWithShape="1">
              <a:gsLst>
                <a:gs pos="0">
                  <a:schemeClr val="accent6">
                    <a:lumMod val="80000"/>
                    <a:lumOff val="20000"/>
                    <a:satMod val="103000"/>
                    <a:lumMod val="102000"/>
                    <a:tint val="94000"/>
                  </a:schemeClr>
                </a:gs>
                <a:gs pos="50000">
                  <a:schemeClr val="accent6">
                    <a:lumMod val="80000"/>
                    <a:lumOff val="20000"/>
                    <a:satMod val="110000"/>
                    <a:lumMod val="100000"/>
                    <a:shade val="100000"/>
                  </a:schemeClr>
                </a:gs>
                <a:gs pos="100000">
                  <a:schemeClr val="accent6">
                    <a:lumMod val="80000"/>
                    <a:lumOff val="2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bdGraficoMAT!$D$24:$G$24</c:f>
              <c:numCache>
                <c:formatCode>#,##0.00</c:formatCode>
                <c:ptCount val="4"/>
                <c:pt idx="0" formatCode="#,##0">
                  <c:v>62401</c:v>
                </c:pt>
                <c:pt idx="1">
                  <c:v>2904614</c:v>
                </c:pt>
                <c:pt idx="2">
                  <c:v>6625668.3399999999</c:v>
                </c:pt>
                <c:pt idx="3" formatCode="_(* #,##0.00_);_(* \(#,##0.00\);_(* &quot;-&quot;??_);_(@_)">
                  <c:v>106.17888078716688</c:v>
                </c:pt>
              </c:numCache>
            </c:numRef>
          </c:val>
        </c:ser>
        <c:ser>
          <c:idx val="18"/>
          <c:order val="18"/>
          <c:tx>
            <c:strRef>
              <c:f>bdGraficoMAT!$C$25</c:f>
              <c:strCache>
                <c:ptCount val="1"/>
                <c:pt idx="0">
                  <c:v> D M IND.FTCA</c:v>
                </c:pt>
              </c:strCache>
            </c:strRef>
          </c:tx>
          <c:spPr>
            <a:gradFill rotWithShape="1">
              <a:gsLst>
                <a:gs pos="0">
                  <a:schemeClr val="accent1">
                    <a:lumMod val="80000"/>
                    <a:satMod val="103000"/>
                    <a:lumMod val="102000"/>
                    <a:tint val="94000"/>
                  </a:schemeClr>
                </a:gs>
                <a:gs pos="50000">
                  <a:schemeClr val="accent1">
                    <a:lumMod val="80000"/>
                    <a:satMod val="110000"/>
                    <a:lumMod val="100000"/>
                    <a:shade val="100000"/>
                  </a:schemeClr>
                </a:gs>
                <a:gs pos="100000">
                  <a:schemeClr val="accent1">
                    <a:lumMod val="8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bdGraficoMAT!$D$25:$G$25</c:f>
              <c:numCache>
                <c:formatCode>#,##0.00</c:formatCode>
                <c:ptCount val="4"/>
                <c:pt idx="0" formatCode="#,##0">
                  <c:v>3879488</c:v>
                </c:pt>
                <c:pt idx="1">
                  <c:v>64099256</c:v>
                </c:pt>
                <c:pt idx="2">
                  <c:v>145713442.99000001</c:v>
                </c:pt>
                <c:pt idx="3" formatCode="_(* #,##0.00_);_(* \(#,##0.00\);_(* &quot;-&quot;??_);_(@_)">
                  <c:v>37.559967446735243</c:v>
                </c:pt>
              </c:numCache>
            </c:numRef>
          </c:val>
        </c:ser>
        <c:ser>
          <c:idx val="19"/>
          <c:order val="19"/>
          <c:tx>
            <c:strRef>
              <c:f>bdGraficoMAT!$C$26</c:f>
              <c:strCache>
                <c:ptCount val="1"/>
                <c:pt idx="0">
                  <c:v> DAIICHI SANKYO</c:v>
                </c:pt>
              </c:strCache>
            </c:strRef>
          </c:tx>
          <c:spPr>
            <a:gradFill rotWithShape="1">
              <a:gsLst>
                <a:gs pos="0">
                  <a:schemeClr val="accent2">
                    <a:lumMod val="80000"/>
                    <a:satMod val="103000"/>
                    <a:lumMod val="102000"/>
                    <a:tint val="94000"/>
                  </a:schemeClr>
                </a:gs>
                <a:gs pos="50000">
                  <a:schemeClr val="accent2">
                    <a:lumMod val="80000"/>
                    <a:satMod val="110000"/>
                    <a:lumMod val="100000"/>
                    <a:shade val="100000"/>
                  </a:schemeClr>
                </a:gs>
                <a:gs pos="100000">
                  <a:schemeClr val="accent2">
                    <a:lumMod val="8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bdGraficoMAT!$D$26:$G$26</c:f>
              <c:numCache>
                <c:formatCode>#,##0.00</c:formatCode>
                <c:ptCount val="4"/>
                <c:pt idx="0" formatCode="#,##0">
                  <c:v>985961</c:v>
                </c:pt>
                <c:pt idx="1">
                  <c:v>6902673</c:v>
                </c:pt>
                <c:pt idx="2">
                  <c:v>15808361.5</c:v>
                </c:pt>
                <c:pt idx="3" formatCode="_(* #,##0.00_);_(* \(#,##0.00\);_(* &quot;-&quot;??_);_(@_)">
                  <c:v>16.033455177233176</c:v>
                </c:pt>
              </c:numCache>
            </c:numRef>
          </c:val>
        </c:ser>
        <c:ser>
          <c:idx val="20"/>
          <c:order val="20"/>
          <c:tx>
            <c:strRef>
              <c:f>bdGraficoMAT!$C$27</c:f>
              <c:strCache>
                <c:ptCount val="1"/>
                <c:pt idx="0">
                  <c:v> DELTA</c:v>
                </c:pt>
              </c:strCache>
            </c:strRef>
          </c:tx>
          <c:spPr>
            <a:gradFill rotWithShape="1">
              <a:gsLst>
                <a:gs pos="0">
                  <a:schemeClr val="accent3">
                    <a:lumMod val="80000"/>
                    <a:satMod val="103000"/>
                    <a:lumMod val="102000"/>
                    <a:tint val="94000"/>
                  </a:schemeClr>
                </a:gs>
                <a:gs pos="50000">
                  <a:schemeClr val="accent3">
                    <a:lumMod val="80000"/>
                    <a:satMod val="110000"/>
                    <a:lumMod val="100000"/>
                    <a:shade val="100000"/>
                  </a:schemeClr>
                </a:gs>
                <a:gs pos="100000">
                  <a:schemeClr val="accent3">
                    <a:lumMod val="8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bdGraficoMAT!$D$27:$G$27</c:f>
              <c:numCache>
                <c:formatCode>#,##0.00</c:formatCode>
                <c:ptCount val="4"/>
                <c:pt idx="0" formatCode="#,##0">
                  <c:v>485233</c:v>
                </c:pt>
                <c:pt idx="1">
                  <c:v>2191922</c:v>
                </c:pt>
                <c:pt idx="2">
                  <c:v>5011942.2</c:v>
                </c:pt>
                <c:pt idx="3" formatCode="_(* #,##0.00_);_(* \(#,##0.00\);_(* &quot;-&quot;??_);_(@_)">
                  <c:v>10.328939293081881</c:v>
                </c:pt>
              </c:numCache>
            </c:numRef>
          </c:val>
        </c:ser>
        <c:ser>
          <c:idx val="21"/>
          <c:order val="21"/>
          <c:tx>
            <c:strRef>
              <c:f>bdGraficoMAT!$C$28</c:f>
              <c:strCache>
                <c:ptCount val="1"/>
                <c:pt idx="0">
                  <c:v> EMS PHARMA</c:v>
                </c:pt>
              </c:strCache>
            </c:strRef>
          </c:tx>
          <c:spPr>
            <a:gradFill rotWithShape="1">
              <a:gsLst>
                <a:gs pos="0">
                  <a:schemeClr val="accent4">
                    <a:lumMod val="80000"/>
                    <a:satMod val="103000"/>
                    <a:lumMod val="102000"/>
                    <a:tint val="94000"/>
                  </a:schemeClr>
                </a:gs>
                <a:gs pos="50000">
                  <a:schemeClr val="accent4">
                    <a:lumMod val="80000"/>
                    <a:satMod val="110000"/>
                    <a:lumMod val="100000"/>
                    <a:shade val="100000"/>
                  </a:schemeClr>
                </a:gs>
                <a:gs pos="100000">
                  <a:schemeClr val="accent4">
                    <a:lumMod val="8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bdGraficoMAT!$D$28:$G$28</c:f>
              <c:numCache>
                <c:formatCode>#,##0.00</c:formatCode>
                <c:ptCount val="4"/>
                <c:pt idx="0" formatCode="#,##0">
                  <c:v>63135843</c:v>
                </c:pt>
                <c:pt idx="1">
                  <c:v>418333089</c:v>
                </c:pt>
                <c:pt idx="2">
                  <c:v>954029131.56000006</c:v>
                </c:pt>
                <c:pt idx="3" formatCode="_(* #,##0.00_);_(* \(#,##0.00\);_(* &quot;-&quot;??_);_(@_)">
                  <c:v>15.110737201370702</c:v>
                </c:pt>
              </c:numCache>
            </c:numRef>
          </c:val>
        </c:ser>
        <c:ser>
          <c:idx val="22"/>
          <c:order val="22"/>
          <c:tx>
            <c:strRef>
              <c:f>bdGraficoMAT!$C$29</c:f>
              <c:strCache>
                <c:ptCount val="1"/>
                <c:pt idx="0">
                  <c:v> EUROFARMA</c:v>
                </c:pt>
              </c:strCache>
            </c:strRef>
          </c:tx>
          <c:spPr>
            <a:gradFill rotWithShape="1">
              <a:gsLst>
                <a:gs pos="0">
                  <a:schemeClr val="accent5">
                    <a:lumMod val="80000"/>
                    <a:satMod val="103000"/>
                    <a:lumMod val="102000"/>
                    <a:tint val="94000"/>
                  </a:schemeClr>
                </a:gs>
                <a:gs pos="50000">
                  <a:schemeClr val="accent5">
                    <a:lumMod val="80000"/>
                    <a:satMod val="110000"/>
                    <a:lumMod val="100000"/>
                    <a:shade val="100000"/>
                  </a:schemeClr>
                </a:gs>
                <a:gs pos="100000">
                  <a:schemeClr val="accent5">
                    <a:lumMod val="8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bdGraficoMAT!$D$29:$G$29</c:f>
              <c:numCache>
                <c:formatCode>#,##0.00</c:formatCode>
                <c:ptCount val="4"/>
                <c:pt idx="0" formatCode="#,##0">
                  <c:v>25166144</c:v>
                </c:pt>
                <c:pt idx="1">
                  <c:v>259950833</c:v>
                </c:pt>
                <c:pt idx="2">
                  <c:v>593906864.81999993</c:v>
                </c:pt>
                <c:pt idx="3" formatCode="_(* #,##0.00_);_(* \(#,##0.00\);_(* &quot;-&quot;??_);_(@_)">
                  <c:v>23.599438389131045</c:v>
                </c:pt>
              </c:numCache>
            </c:numRef>
          </c:val>
        </c:ser>
        <c:ser>
          <c:idx val="23"/>
          <c:order val="23"/>
          <c:tx>
            <c:strRef>
              <c:f>bdGraficoMAT!$C$30</c:f>
              <c:strCache>
                <c:ptCount val="1"/>
                <c:pt idx="0">
                  <c:v> FARMOQUIMICA</c:v>
                </c:pt>
              </c:strCache>
            </c:strRef>
          </c:tx>
          <c:spPr>
            <a:gradFill rotWithShape="1">
              <a:gsLst>
                <a:gs pos="0">
                  <a:schemeClr val="accent6">
                    <a:lumMod val="80000"/>
                    <a:satMod val="103000"/>
                    <a:lumMod val="102000"/>
                    <a:tint val="94000"/>
                  </a:schemeClr>
                </a:gs>
                <a:gs pos="50000">
                  <a:schemeClr val="accent6">
                    <a:lumMod val="80000"/>
                    <a:satMod val="110000"/>
                    <a:lumMod val="100000"/>
                    <a:shade val="100000"/>
                  </a:schemeClr>
                </a:gs>
                <a:gs pos="100000">
                  <a:schemeClr val="accent6">
                    <a:lumMod val="8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bdGraficoMAT!$D$30:$G$30</c:f>
              <c:numCache>
                <c:formatCode>#,##0.00</c:formatCode>
                <c:ptCount val="4"/>
                <c:pt idx="0" formatCode="#,##0">
                  <c:v>4799707</c:v>
                </c:pt>
                <c:pt idx="1">
                  <c:v>29893751</c:v>
                </c:pt>
                <c:pt idx="2">
                  <c:v>68303485.960000008</c:v>
                </c:pt>
                <c:pt idx="3" formatCode="_(* #,##0.00_);_(* \(#,##0.00\);_(* &quot;-&quot;??_);_(@_)">
                  <c:v>14.230761577737976</c:v>
                </c:pt>
              </c:numCache>
            </c:numRef>
          </c:val>
        </c:ser>
        <c:ser>
          <c:idx val="24"/>
          <c:order val="24"/>
          <c:tx>
            <c:strRef>
              <c:f>bdGraficoMAT!$C$31</c:f>
              <c:strCache>
                <c:ptCount val="1"/>
                <c:pt idx="0">
                  <c:v> GEOLAB</c:v>
                </c:pt>
              </c:strCache>
            </c:strRef>
          </c:tx>
          <c:spPr>
            <a:gradFill rotWithShape="1">
              <a:gsLst>
                <a:gs pos="0">
                  <a:schemeClr val="accent1">
                    <a:lumMod val="60000"/>
                    <a:lumOff val="40000"/>
                    <a:satMod val="103000"/>
                    <a:lumMod val="102000"/>
                    <a:tint val="94000"/>
                  </a:schemeClr>
                </a:gs>
                <a:gs pos="50000">
                  <a:schemeClr val="accent1">
                    <a:lumMod val="60000"/>
                    <a:lumOff val="40000"/>
                    <a:satMod val="110000"/>
                    <a:lumMod val="100000"/>
                    <a:shade val="100000"/>
                  </a:schemeClr>
                </a:gs>
                <a:gs pos="100000">
                  <a:schemeClr val="accent1">
                    <a:lumMod val="60000"/>
                    <a:lumOff val="4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bdGraficoMAT!$D$31:$G$31</c:f>
              <c:numCache>
                <c:formatCode>#,##0.00</c:formatCode>
                <c:ptCount val="4"/>
                <c:pt idx="0" formatCode="#,##0">
                  <c:v>589622</c:v>
                </c:pt>
                <c:pt idx="1">
                  <c:v>3791658</c:v>
                </c:pt>
                <c:pt idx="2">
                  <c:v>8618480.8499999996</c:v>
                </c:pt>
                <c:pt idx="3" formatCode="_(* #,##0.00_);_(* \(#,##0.00\);_(* &quot;-&quot;??_);_(@_)">
                  <c:v>14.616959424851853</c:v>
                </c:pt>
              </c:numCache>
            </c:numRef>
          </c:val>
        </c:ser>
        <c:ser>
          <c:idx val="25"/>
          <c:order val="25"/>
          <c:tx>
            <c:strRef>
              <c:f>bdGraficoMAT!$C$32</c:f>
              <c:strCache>
                <c:ptCount val="1"/>
                <c:pt idx="0">
                  <c:v> GERMED PHARMA</c:v>
                </c:pt>
              </c:strCache>
            </c:strRef>
          </c:tx>
          <c:spPr>
            <a:gradFill rotWithShape="1">
              <a:gsLst>
                <a:gs pos="0">
                  <a:schemeClr val="accent2">
                    <a:lumMod val="60000"/>
                    <a:lumOff val="40000"/>
                    <a:satMod val="103000"/>
                    <a:lumMod val="102000"/>
                    <a:tint val="94000"/>
                  </a:schemeClr>
                </a:gs>
                <a:gs pos="50000">
                  <a:schemeClr val="accent2">
                    <a:lumMod val="60000"/>
                    <a:lumOff val="40000"/>
                    <a:satMod val="110000"/>
                    <a:lumMod val="100000"/>
                    <a:shade val="100000"/>
                  </a:schemeClr>
                </a:gs>
                <a:gs pos="100000">
                  <a:schemeClr val="accent2">
                    <a:lumMod val="60000"/>
                    <a:lumOff val="4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bdGraficoMAT!$D$32:$G$32</c:f>
              <c:numCache>
                <c:formatCode>#,##0.00</c:formatCode>
                <c:ptCount val="4"/>
                <c:pt idx="0" formatCode="#,##0">
                  <c:v>1124953</c:v>
                </c:pt>
                <c:pt idx="1">
                  <c:v>3372325</c:v>
                </c:pt>
                <c:pt idx="2">
                  <c:v>7701198.5700000003</c:v>
                </c:pt>
                <c:pt idx="3" formatCode="_(* #,##0.00_);_(* \(#,##0.00\);_(* &quot;-&quot;??_);_(@_)">
                  <c:v>6.845795842137405</c:v>
                </c:pt>
              </c:numCache>
            </c:numRef>
          </c:val>
        </c:ser>
        <c:ser>
          <c:idx val="26"/>
          <c:order val="26"/>
          <c:tx>
            <c:strRef>
              <c:f>bdGraficoMAT!$C$33</c:f>
              <c:strCache>
                <c:ptCount val="1"/>
                <c:pt idx="0">
                  <c:v> GLOBO</c:v>
                </c:pt>
              </c:strCache>
            </c:strRef>
          </c:tx>
          <c:spPr>
            <a:gradFill rotWithShape="1">
              <a:gsLst>
                <a:gs pos="0">
                  <a:schemeClr val="accent3">
                    <a:lumMod val="60000"/>
                    <a:lumOff val="40000"/>
                    <a:satMod val="103000"/>
                    <a:lumMod val="102000"/>
                    <a:tint val="94000"/>
                  </a:schemeClr>
                </a:gs>
                <a:gs pos="50000">
                  <a:schemeClr val="accent3">
                    <a:lumMod val="60000"/>
                    <a:lumOff val="40000"/>
                    <a:satMod val="110000"/>
                    <a:lumMod val="100000"/>
                    <a:shade val="100000"/>
                  </a:schemeClr>
                </a:gs>
                <a:gs pos="100000">
                  <a:schemeClr val="accent3">
                    <a:lumMod val="60000"/>
                    <a:lumOff val="4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bdGraficoMAT!$D$33:$G$33</c:f>
              <c:numCache>
                <c:formatCode>#,##0.00</c:formatCode>
                <c:ptCount val="4"/>
                <c:pt idx="0" formatCode="#,##0">
                  <c:v>5923766</c:v>
                </c:pt>
                <c:pt idx="1">
                  <c:v>66685131</c:v>
                </c:pt>
                <c:pt idx="2">
                  <c:v>152115767.25999999</c:v>
                </c:pt>
                <c:pt idx="3" formatCode="_(* #,##0.00_);_(* \(#,##0.00\);_(* &quot;-&quot;??_);_(@_)">
                  <c:v>25.678895361498071</c:v>
                </c:pt>
              </c:numCache>
            </c:numRef>
          </c:val>
        </c:ser>
        <c:ser>
          <c:idx val="27"/>
          <c:order val="27"/>
          <c:tx>
            <c:strRef>
              <c:f>bdGraficoMAT!$C$34</c:f>
              <c:strCache>
                <c:ptCount val="1"/>
                <c:pt idx="0">
                  <c:v> GROSS</c:v>
                </c:pt>
              </c:strCache>
            </c:strRef>
          </c:tx>
          <c:spPr>
            <a:gradFill rotWithShape="1">
              <a:gsLst>
                <a:gs pos="0">
                  <a:schemeClr val="accent4">
                    <a:lumMod val="60000"/>
                    <a:lumOff val="40000"/>
                    <a:satMod val="103000"/>
                    <a:lumMod val="102000"/>
                    <a:tint val="94000"/>
                  </a:schemeClr>
                </a:gs>
                <a:gs pos="50000">
                  <a:schemeClr val="accent4">
                    <a:lumMod val="60000"/>
                    <a:lumOff val="40000"/>
                    <a:satMod val="110000"/>
                    <a:lumMod val="100000"/>
                    <a:shade val="100000"/>
                  </a:schemeClr>
                </a:gs>
                <a:gs pos="100000">
                  <a:schemeClr val="accent4">
                    <a:lumMod val="60000"/>
                    <a:lumOff val="4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bdGraficoMAT!$D$34:$G$34</c:f>
              <c:numCache>
                <c:formatCode>#,##0.00</c:formatCode>
                <c:ptCount val="4"/>
                <c:pt idx="0" formatCode="#,##0">
                  <c:v>762541</c:v>
                </c:pt>
                <c:pt idx="1">
                  <c:v>4241429</c:v>
                </c:pt>
                <c:pt idx="2">
                  <c:v>9691470.5700000003</c:v>
                </c:pt>
                <c:pt idx="3" formatCode="_(* #,##0.00_);_(* \(#,##0.00\);_(* &quot;-&quot;??_);_(@_)">
                  <c:v>12.709441944761004</c:v>
                </c:pt>
              </c:numCache>
            </c:numRef>
          </c:val>
        </c:ser>
        <c:ser>
          <c:idx val="28"/>
          <c:order val="28"/>
          <c:tx>
            <c:strRef>
              <c:f>bdGraficoMAT!$C$35</c:f>
              <c:strCache>
                <c:ptCount val="1"/>
                <c:pt idx="0">
                  <c:v> GSK CONSUMO</c:v>
                </c:pt>
              </c:strCache>
            </c:strRef>
          </c:tx>
          <c:spPr>
            <a:gradFill rotWithShape="1">
              <a:gsLst>
                <a:gs pos="0">
                  <a:schemeClr val="accent5">
                    <a:lumMod val="60000"/>
                    <a:lumOff val="40000"/>
                    <a:satMod val="103000"/>
                    <a:lumMod val="102000"/>
                    <a:tint val="94000"/>
                  </a:schemeClr>
                </a:gs>
                <a:gs pos="50000">
                  <a:schemeClr val="accent5">
                    <a:lumMod val="60000"/>
                    <a:lumOff val="40000"/>
                    <a:satMod val="110000"/>
                    <a:lumMod val="100000"/>
                    <a:shade val="100000"/>
                  </a:schemeClr>
                </a:gs>
                <a:gs pos="100000">
                  <a:schemeClr val="accent5">
                    <a:lumMod val="60000"/>
                    <a:lumOff val="4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bdGraficoMAT!$D$35:$G$35</c:f>
              <c:numCache>
                <c:formatCode>#,##0.00</c:formatCode>
                <c:ptCount val="4"/>
                <c:pt idx="0" formatCode="#,##0">
                  <c:v>7168329</c:v>
                </c:pt>
                <c:pt idx="1">
                  <c:v>49417520</c:v>
                </c:pt>
                <c:pt idx="2">
                  <c:v>112882887.32000001</c:v>
                </c:pt>
                <c:pt idx="3" formatCode="_(* #,##0.00_);_(* \(#,##0.00\);_(* &quot;-&quot;??_);_(@_)">
                  <c:v>15.747447880810158</c:v>
                </c:pt>
              </c:numCache>
            </c:numRef>
          </c:val>
        </c:ser>
        <c:ser>
          <c:idx val="29"/>
          <c:order val="29"/>
          <c:tx>
            <c:strRef>
              <c:f>bdGraficoMAT!$C$36</c:f>
              <c:strCache>
                <c:ptCount val="1"/>
                <c:pt idx="0">
                  <c:v> GSK FARMA</c:v>
                </c:pt>
              </c:strCache>
            </c:strRef>
          </c:tx>
          <c:spPr>
            <a:gradFill rotWithShape="1">
              <a:gsLst>
                <a:gs pos="0">
                  <a:schemeClr val="accent6">
                    <a:lumMod val="60000"/>
                    <a:lumOff val="40000"/>
                    <a:satMod val="103000"/>
                    <a:lumMod val="102000"/>
                    <a:tint val="94000"/>
                  </a:schemeClr>
                </a:gs>
                <a:gs pos="50000">
                  <a:schemeClr val="accent6">
                    <a:lumMod val="60000"/>
                    <a:lumOff val="40000"/>
                    <a:satMod val="110000"/>
                    <a:lumMod val="100000"/>
                    <a:shade val="100000"/>
                  </a:schemeClr>
                </a:gs>
                <a:gs pos="100000">
                  <a:schemeClr val="accent6">
                    <a:lumMod val="60000"/>
                    <a:lumOff val="4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bdGraficoMAT!$D$36:$G$36</c:f>
              <c:numCache>
                <c:formatCode>#,##0.00</c:formatCode>
                <c:ptCount val="4"/>
                <c:pt idx="0" formatCode="#,##0">
                  <c:v>9212199</c:v>
                </c:pt>
                <c:pt idx="1">
                  <c:v>111996194</c:v>
                </c:pt>
                <c:pt idx="2">
                  <c:v>254960536.16000003</c:v>
                </c:pt>
                <c:pt idx="3" formatCode="_(* #,##0.00_);_(* \(#,##0.00\);_(* &quot;-&quot;??_);_(@_)">
                  <c:v>27.676403447211683</c:v>
                </c:pt>
              </c:numCache>
            </c:numRef>
          </c:val>
        </c:ser>
        <c:ser>
          <c:idx val="30"/>
          <c:order val="30"/>
          <c:tx>
            <c:strRef>
              <c:f>bdGraficoMAT!$C$37</c:f>
              <c:strCache>
                <c:ptCount val="1"/>
                <c:pt idx="0">
                  <c:v> HERTZ</c:v>
                </c:pt>
              </c:strCache>
            </c:strRef>
          </c:tx>
          <c:spPr>
            <a:gradFill rotWithShape="1">
              <a:gsLst>
                <a:gs pos="0">
                  <a:schemeClr val="accent1">
                    <a:lumMod val="50000"/>
                    <a:satMod val="103000"/>
                    <a:lumMod val="102000"/>
                    <a:tint val="94000"/>
                  </a:schemeClr>
                </a:gs>
                <a:gs pos="50000">
                  <a:schemeClr val="accent1">
                    <a:lumMod val="50000"/>
                    <a:satMod val="110000"/>
                    <a:lumMod val="100000"/>
                    <a:shade val="100000"/>
                  </a:schemeClr>
                </a:gs>
                <a:gs pos="100000">
                  <a:schemeClr val="accent1">
                    <a:lumMod val="5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bdGraficoMAT!$D$37:$G$37</c:f>
              <c:numCache>
                <c:formatCode>#,##0.00</c:formatCode>
                <c:ptCount val="4"/>
                <c:pt idx="0" formatCode="#,##0">
                  <c:v>3050920</c:v>
                </c:pt>
                <c:pt idx="1">
                  <c:v>33537009</c:v>
                </c:pt>
                <c:pt idx="2">
                  <c:v>76211978.590000004</c:v>
                </c:pt>
                <c:pt idx="3" formatCode="_(* #,##0.00_);_(* \(#,##0.00\);_(* &quot;-&quot;??_);_(@_)">
                  <c:v>24.97999901341235</c:v>
                </c:pt>
              </c:numCache>
            </c:numRef>
          </c:val>
        </c:ser>
        <c:ser>
          <c:idx val="31"/>
          <c:order val="31"/>
          <c:tx>
            <c:strRef>
              <c:f>bdGraficoMAT!$C$38</c:f>
              <c:strCache>
                <c:ptCount val="1"/>
                <c:pt idx="0">
                  <c:v> HISAMITSU</c:v>
                </c:pt>
              </c:strCache>
            </c:strRef>
          </c:tx>
          <c:spPr>
            <a:gradFill rotWithShape="1">
              <a:gsLst>
                <a:gs pos="0">
                  <a:schemeClr val="accent2">
                    <a:lumMod val="50000"/>
                    <a:satMod val="103000"/>
                    <a:lumMod val="102000"/>
                    <a:tint val="94000"/>
                  </a:schemeClr>
                </a:gs>
                <a:gs pos="50000">
                  <a:schemeClr val="accent2">
                    <a:lumMod val="50000"/>
                    <a:satMod val="110000"/>
                    <a:lumMod val="100000"/>
                    <a:shade val="100000"/>
                  </a:schemeClr>
                </a:gs>
                <a:gs pos="100000">
                  <a:schemeClr val="accent2">
                    <a:lumMod val="5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bdGraficoMAT!$D$38:$G$38</c:f>
              <c:numCache>
                <c:formatCode>#,##0.00</c:formatCode>
                <c:ptCount val="4"/>
                <c:pt idx="0" formatCode="#,##0">
                  <c:v>28239857</c:v>
                </c:pt>
                <c:pt idx="1">
                  <c:v>46159504</c:v>
                </c:pt>
                <c:pt idx="2">
                  <c:v>105323896.13</c:v>
                </c:pt>
                <c:pt idx="3" formatCode="_(* #,##0.00_);_(* \(#,##0.00\);_(* &quot;-&quot;??_);_(@_)">
                  <c:v>3.7296186071338817</c:v>
                </c:pt>
              </c:numCache>
            </c:numRef>
          </c:val>
        </c:ser>
        <c:ser>
          <c:idx val="32"/>
          <c:order val="32"/>
          <c:tx>
            <c:strRef>
              <c:f>bdGraficoMAT!$C$39</c:f>
              <c:strCache>
                <c:ptCount val="1"/>
                <c:pt idx="0">
                  <c:v> JANSSEN CILAG</c:v>
                </c:pt>
              </c:strCache>
            </c:strRef>
          </c:tx>
          <c:spPr>
            <a:gradFill rotWithShape="1">
              <a:gsLst>
                <a:gs pos="0">
                  <a:schemeClr val="accent3">
                    <a:lumMod val="50000"/>
                    <a:satMod val="103000"/>
                    <a:lumMod val="102000"/>
                    <a:tint val="94000"/>
                  </a:schemeClr>
                </a:gs>
                <a:gs pos="50000">
                  <a:schemeClr val="accent3">
                    <a:lumMod val="50000"/>
                    <a:satMod val="110000"/>
                    <a:lumMod val="100000"/>
                    <a:shade val="100000"/>
                  </a:schemeClr>
                </a:gs>
                <a:gs pos="100000">
                  <a:schemeClr val="accent3">
                    <a:lumMod val="5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bdGraficoMAT!$D$39:$G$39</c:f>
              <c:numCache>
                <c:formatCode>#,##0.00</c:formatCode>
                <c:ptCount val="4"/>
                <c:pt idx="0" formatCode="#,##0">
                  <c:v>3322981</c:v>
                </c:pt>
                <c:pt idx="1">
                  <c:v>10907563</c:v>
                </c:pt>
                <c:pt idx="2">
                  <c:v>24913322.789999999</c:v>
                </c:pt>
                <c:pt idx="3" formatCode="_(* #,##0.00_);_(* \(#,##0.00\);_(* &quot;-&quot;??_);_(@_)">
                  <c:v>7.4972811430459574</c:v>
                </c:pt>
              </c:numCache>
            </c:numRef>
          </c:val>
        </c:ser>
        <c:ser>
          <c:idx val="33"/>
          <c:order val="33"/>
          <c:tx>
            <c:strRef>
              <c:f>bdGraficoMAT!$C$40</c:f>
              <c:strCache>
                <c:ptCount val="1"/>
                <c:pt idx="0">
                  <c:v> JOHNSON JOHNSON</c:v>
                </c:pt>
              </c:strCache>
            </c:strRef>
          </c:tx>
          <c:spPr>
            <a:gradFill rotWithShape="1">
              <a:gsLst>
                <a:gs pos="0">
                  <a:schemeClr val="accent4">
                    <a:lumMod val="50000"/>
                    <a:satMod val="103000"/>
                    <a:lumMod val="102000"/>
                    <a:tint val="94000"/>
                  </a:schemeClr>
                </a:gs>
                <a:gs pos="50000">
                  <a:schemeClr val="accent4">
                    <a:lumMod val="50000"/>
                    <a:satMod val="110000"/>
                    <a:lumMod val="100000"/>
                    <a:shade val="100000"/>
                  </a:schemeClr>
                </a:gs>
                <a:gs pos="100000">
                  <a:schemeClr val="accent4">
                    <a:lumMod val="5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bdGraficoMAT!$D$40:$G$40</c:f>
              <c:numCache>
                <c:formatCode>#,##0.00</c:formatCode>
                <c:ptCount val="4"/>
                <c:pt idx="0" formatCode="#,##0">
                  <c:v>10132149</c:v>
                </c:pt>
                <c:pt idx="1">
                  <c:v>51107608</c:v>
                </c:pt>
                <c:pt idx="2">
                  <c:v>116208860.42</c:v>
                </c:pt>
                <c:pt idx="3" formatCode="_(* #,##0.00_);_(* \(#,##0.00\);_(* &quot;-&quot;??_);_(@_)">
                  <c:v>11.46932012349996</c:v>
                </c:pt>
              </c:numCache>
            </c:numRef>
          </c:val>
        </c:ser>
        <c:ser>
          <c:idx val="34"/>
          <c:order val="34"/>
          <c:tx>
            <c:strRef>
              <c:f>bdGraficoMAT!$C$41</c:f>
              <c:strCache>
                <c:ptCount val="1"/>
                <c:pt idx="0">
                  <c:v> LEGRAND</c:v>
                </c:pt>
              </c:strCache>
            </c:strRef>
          </c:tx>
          <c:spPr>
            <a:gradFill rotWithShape="1">
              <a:gsLst>
                <a:gs pos="0">
                  <a:schemeClr val="accent5">
                    <a:lumMod val="50000"/>
                    <a:satMod val="103000"/>
                    <a:lumMod val="102000"/>
                    <a:tint val="94000"/>
                  </a:schemeClr>
                </a:gs>
                <a:gs pos="50000">
                  <a:schemeClr val="accent5">
                    <a:lumMod val="50000"/>
                    <a:satMod val="110000"/>
                    <a:lumMod val="100000"/>
                    <a:shade val="100000"/>
                  </a:schemeClr>
                </a:gs>
                <a:gs pos="100000">
                  <a:schemeClr val="accent5">
                    <a:lumMod val="5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bdGraficoMAT!$D$41:$G$41</c:f>
              <c:numCache>
                <c:formatCode>#,##0.00</c:formatCode>
                <c:ptCount val="4"/>
                <c:pt idx="0" formatCode="#,##0">
                  <c:v>41276605</c:v>
                </c:pt>
                <c:pt idx="1">
                  <c:v>315080773</c:v>
                </c:pt>
                <c:pt idx="2">
                  <c:v>716188300.6400001</c:v>
                </c:pt>
                <c:pt idx="3" formatCode="_(* #,##0.00_);_(* \(#,##0.00\);_(* &quot;-&quot;??_);_(@_)">
                  <c:v>17.350949784750952</c:v>
                </c:pt>
              </c:numCache>
            </c:numRef>
          </c:val>
        </c:ser>
        <c:ser>
          <c:idx val="35"/>
          <c:order val="35"/>
          <c:tx>
            <c:strRef>
              <c:f>bdGraficoMAT!$C$42</c:f>
              <c:strCache>
                <c:ptCount val="1"/>
                <c:pt idx="0">
                  <c:v> LIBBS</c:v>
                </c:pt>
              </c:strCache>
            </c:strRef>
          </c:tx>
          <c:spPr>
            <a:gradFill rotWithShape="1">
              <a:gsLst>
                <a:gs pos="0">
                  <a:schemeClr val="accent6">
                    <a:lumMod val="50000"/>
                    <a:satMod val="103000"/>
                    <a:lumMod val="102000"/>
                    <a:tint val="94000"/>
                  </a:schemeClr>
                </a:gs>
                <a:gs pos="50000">
                  <a:schemeClr val="accent6">
                    <a:lumMod val="50000"/>
                    <a:satMod val="110000"/>
                    <a:lumMod val="100000"/>
                    <a:shade val="100000"/>
                  </a:schemeClr>
                </a:gs>
                <a:gs pos="100000">
                  <a:schemeClr val="accent6">
                    <a:lumMod val="5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bdGraficoMAT!$D$42:$G$42</c:f>
              <c:numCache>
                <c:formatCode>#,##0.00</c:formatCode>
                <c:ptCount val="4"/>
                <c:pt idx="0" formatCode="#,##0">
                  <c:v>8737872</c:v>
                </c:pt>
                <c:pt idx="1">
                  <c:v>105553891.09</c:v>
                </c:pt>
                <c:pt idx="2">
                  <c:v>240978009.12</c:v>
                </c:pt>
                <c:pt idx="3" formatCode="_(* #,##0.00_);_(* \(#,##0.00\);_(* &quot;-&quot;??_);_(@_)">
                  <c:v>27.578569372497103</c:v>
                </c:pt>
              </c:numCache>
            </c:numRef>
          </c:val>
        </c:ser>
        <c:ser>
          <c:idx val="36"/>
          <c:order val="36"/>
          <c:tx>
            <c:strRef>
              <c:f>bdGraficoMAT!$C$43</c:f>
              <c:strCache>
                <c:ptCount val="1"/>
                <c:pt idx="0">
                  <c:v> LILLY</c:v>
                </c:pt>
              </c:strCache>
            </c:strRef>
          </c:tx>
          <c:spPr>
            <a:gradFill rotWithShape="1">
              <a:gsLst>
                <a:gs pos="0">
                  <a:schemeClr val="accent1">
                    <a:lumMod val="70000"/>
                    <a:lumOff val="30000"/>
                    <a:satMod val="103000"/>
                    <a:lumMod val="102000"/>
                    <a:tint val="94000"/>
                  </a:schemeClr>
                </a:gs>
                <a:gs pos="50000">
                  <a:schemeClr val="accent1">
                    <a:lumMod val="70000"/>
                    <a:lumOff val="30000"/>
                    <a:satMod val="110000"/>
                    <a:lumMod val="100000"/>
                    <a:shade val="100000"/>
                  </a:schemeClr>
                </a:gs>
                <a:gs pos="100000">
                  <a:schemeClr val="accent1">
                    <a:lumMod val="70000"/>
                    <a:lumOff val="3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bdGraficoMAT!$D$43:$G$43</c:f>
              <c:numCache>
                <c:formatCode>#,##0.00</c:formatCode>
                <c:ptCount val="4"/>
                <c:pt idx="0" formatCode="#,##0">
                  <c:v>4071253</c:v>
                </c:pt>
                <c:pt idx="1">
                  <c:v>87945479</c:v>
                </c:pt>
                <c:pt idx="2">
                  <c:v>200751202.90999997</c:v>
                </c:pt>
                <c:pt idx="3" formatCode="_(* #,##0.00_);_(* \(#,##0.00\);_(* &quot;-&quot;??_);_(@_)">
                  <c:v>49.309439356876119</c:v>
                </c:pt>
              </c:numCache>
            </c:numRef>
          </c:val>
        </c:ser>
        <c:ser>
          <c:idx val="37"/>
          <c:order val="37"/>
          <c:tx>
            <c:strRef>
              <c:f>bdGraficoMAT!$C$44</c:f>
              <c:strCache>
                <c:ptCount val="1"/>
                <c:pt idx="0">
                  <c:v> LUNDBECK</c:v>
                </c:pt>
              </c:strCache>
            </c:strRef>
          </c:tx>
          <c:spPr>
            <a:gradFill rotWithShape="1">
              <a:gsLst>
                <a:gs pos="0">
                  <a:schemeClr val="accent2">
                    <a:lumMod val="70000"/>
                    <a:lumOff val="30000"/>
                    <a:satMod val="103000"/>
                    <a:lumMod val="102000"/>
                    <a:tint val="94000"/>
                  </a:schemeClr>
                </a:gs>
                <a:gs pos="50000">
                  <a:schemeClr val="accent2">
                    <a:lumMod val="70000"/>
                    <a:lumOff val="30000"/>
                    <a:satMod val="110000"/>
                    <a:lumMod val="100000"/>
                    <a:shade val="100000"/>
                  </a:schemeClr>
                </a:gs>
                <a:gs pos="100000">
                  <a:schemeClr val="accent2">
                    <a:lumMod val="70000"/>
                    <a:lumOff val="3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bdGraficoMAT!$D$44:$G$44</c:f>
              <c:numCache>
                <c:formatCode>#,##0.00</c:formatCode>
                <c:ptCount val="4"/>
                <c:pt idx="0" formatCode="#,##0">
                  <c:v>151644</c:v>
                </c:pt>
                <c:pt idx="1">
                  <c:v>2967861</c:v>
                </c:pt>
                <c:pt idx="2">
                  <c:v>6764938.5899999999</c:v>
                </c:pt>
                <c:pt idx="3" formatCode="_(* #,##0.00_);_(* \(#,##0.00\);_(* &quot;-&quot;??_);_(@_)">
                  <c:v>44.610657790614859</c:v>
                </c:pt>
              </c:numCache>
            </c:numRef>
          </c:val>
        </c:ser>
        <c:ser>
          <c:idx val="38"/>
          <c:order val="38"/>
          <c:tx>
            <c:strRef>
              <c:f>bdGraficoMAT!$C$45</c:f>
              <c:strCache>
                <c:ptCount val="1"/>
                <c:pt idx="0">
                  <c:v> MANTECORP I Q FARM</c:v>
                </c:pt>
              </c:strCache>
            </c:strRef>
          </c:tx>
          <c:spPr>
            <a:gradFill rotWithShape="1">
              <a:gsLst>
                <a:gs pos="0">
                  <a:schemeClr val="accent3">
                    <a:lumMod val="70000"/>
                    <a:lumOff val="30000"/>
                    <a:satMod val="103000"/>
                    <a:lumMod val="102000"/>
                    <a:tint val="94000"/>
                  </a:schemeClr>
                </a:gs>
                <a:gs pos="50000">
                  <a:schemeClr val="accent3">
                    <a:lumMod val="70000"/>
                    <a:lumOff val="30000"/>
                    <a:satMod val="110000"/>
                    <a:lumMod val="100000"/>
                    <a:shade val="100000"/>
                  </a:schemeClr>
                </a:gs>
                <a:gs pos="100000">
                  <a:schemeClr val="accent3">
                    <a:lumMod val="70000"/>
                    <a:lumOff val="3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bdGraficoMAT!$D$45:$G$45</c:f>
              <c:numCache>
                <c:formatCode>#,##0.00</c:formatCode>
                <c:ptCount val="4"/>
                <c:pt idx="0" formatCode="#,##0">
                  <c:v>10253780</c:v>
                </c:pt>
                <c:pt idx="1">
                  <c:v>67830508</c:v>
                </c:pt>
                <c:pt idx="2">
                  <c:v>154505949.69999999</c:v>
                </c:pt>
                <c:pt idx="3" formatCode="_(* #,##0.00_);_(* \(#,##0.00\);_(* &quot;-&quot;??_);_(@_)">
                  <c:v>15.068194334187002</c:v>
                </c:pt>
              </c:numCache>
            </c:numRef>
          </c:val>
        </c:ser>
        <c:ser>
          <c:idx val="39"/>
          <c:order val="39"/>
          <c:tx>
            <c:strRef>
              <c:f>bdGraficoMAT!$C$46</c:f>
              <c:strCache>
                <c:ptCount val="1"/>
                <c:pt idx="0">
                  <c:v> MARJAN</c:v>
                </c:pt>
              </c:strCache>
            </c:strRef>
          </c:tx>
          <c:spPr>
            <a:gradFill rotWithShape="1">
              <a:gsLst>
                <a:gs pos="0">
                  <a:schemeClr val="accent4">
                    <a:lumMod val="70000"/>
                    <a:lumOff val="30000"/>
                    <a:satMod val="103000"/>
                    <a:lumMod val="102000"/>
                    <a:tint val="94000"/>
                  </a:schemeClr>
                </a:gs>
                <a:gs pos="50000">
                  <a:schemeClr val="accent4">
                    <a:lumMod val="70000"/>
                    <a:lumOff val="30000"/>
                    <a:satMod val="110000"/>
                    <a:lumMod val="100000"/>
                    <a:shade val="100000"/>
                  </a:schemeClr>
                </a:gs>
                <a:gs pos="100000">
                  <a:schemeClr val="accent4">
                    <a:lumMod val="70000"/>
                    <a:lumOff val="3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bdGraficoMAT!$D$46:$G$46</c:f>
              <c:numCache>
                <c:formatCode>#,##0.00</c:formatCode>
                <c:ptCount val="4"/>
                <c:pt idx="0" formatCode="#,##0">
                  <c:v>932454</c:v>
                </c:pt>
                <c:pt idx="1">
                  <c:v>5794529</c:v>
                </c:pt>
                <c:pt idx="2">
                  <c:v>13224997.359999999</c:v>
                </c:pt>
                <c:pt idx="3" formatCode="_(* #,##0.00_);_(* \(#,##0.00\);_(* &quot;-&quot;??_);_(@_)">
                  <c:v>14.183002443015955</c:v>
                </c:pt>
              </c:numCache>
            </c:numRef>
          </c:val>
        </c:ser>
        <c:ser>
          <c:idx val="40"/>
          <c:order val="40"/>
          <c:tx>
            <c:strRef>
              <c:f>bdGraficoMAT!$C$47</c:f>
              <c:strCache>
                <c:ptCount val="1"/>
                <c:pt idx="0">
                  <c:v> MEDLEY</c:v>
                </c:pt>
              </c:strCache>
            </c:strRef>
          </c:tx>
          <c:spPr>
            <a:gradFill rotWithShape="1">
              <a:gsLst>
                <a:gs pos="0">
                  <a:schemeClr val="accent5">
                    <a:lumMod val="70000"/>
                    <a:lumOff val="30000"/>
                    <a:satMod val="103000"/>
                    <a:lumMod val="102000"/>
                    <a:tint val="94000"/>
                  </a:schemeClr>
                </a:gs>
                <a:gs pos="50000">
                  <a:schemeClr val="accent5">
                    <a:lumMod val="70000"/>
                    <a:lumOff val="30000"/>
                    <a:satMod val="110000"/>
                    <a:lumMod val="100000"/>
                    <a:shade val="100000"/>
                  </a:schemeClr>
                </a:gs>
                <a:gs pos="100000">
                  <a:schemeClr val="accent5">
                    <a:lumMod val="70000"/>
                    <a:lumOff val="3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bdGraficoMAT!$D$47:$G$47</c:f>
              <c:numCache>
                <c:formatCode>#,##0.00</c:formatCode>
                <c:ptCount val="4"/>
                <c:pt idx="0" formatCode="#,##0">
                  <c:v>15956209</c:v>
                </c:pt>
                <c:pt idx="1">
                  <c:v>99865757</c:v>
                </c:pt>
                <c:pt idx="2">
                  <c:v>227662448.16999996</c:v>
                </c:pt>
                <c:pt idx="3" formatCode="_(* #,##0.00_);_(* \(#,##0.00\);_(* &quot;-&quot;??_);_(@_)">
                  <c:v>14.267953507628281</c:v>
                </c:pt>
              </c:numCache>
            </c:numRef>
          </c:val>
        </c:ser>
        <c:ser>
          <c:idx val="41"/>
          <c:order val="41"/>
          <c:tx>
            <c:strRef>
              <c:f>bdGraficoMAT!$C$48</c:f>
              <c:strCache>
                <c:ptCount val="1"/>
                <c:pt idx="0">
                  <c:v> MEDQUIMICA</c:v>
                </c:pt>
              </c:strCache>
            </c:strRef>
          </c:tx>
          <c:spPr>
            <a:gradFill rotWithShape="1">
              <a:gsLst>
                <a:gs pos="0">
                  <a:schemeClr val="accent6">
                    <a:lumMod val="70000"/>
                    <a:lumOff val="30000"/>
                    <a:satMod val="103000"/>
                    <a:lumMod val="102000"/>
                    <a:tint val="94000"/>
                  </a:schemeClr>
                </a:gs>
                <a:gs pos="50000">
                  <a:schemeClr val="accent6">
                    <a:lumMod val="70000"/>
                    <a:lumOff val="30000"/>
                    <a:satMod val="110000"/>
                    <a:lumMod val="100000"/>
                    <a:shade val="100000"/>
                  </a:schemeClr>
                </a:gs>
                <a:gs pos="100000">
                  <a:schemeClr val="accent6">
                    <a:lumMod val="70000"/>
                    <a:lumOff val="3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bdGraficoMAT!$D$48:$G$48</c:f>
              <c:numCache>
                <c:formatCode>#,##0.00</c:formatCode>
                <c:ptCount val="4"/>
                <c:pt idx="0" formatCode="#,##0">
                  <c:v>70255421</c:v>
                </c:pt>
                <c:pt idx="1">
                  <c:v>105453633</c:v>
                </c:pt>
                <c:pt idx="2">
                  <c:v>240130893.15000001</c:v>
                </c:pt>
                <c:pt idx="3" formatCode="_(* #,##0.00_);_(* \(#,##0.00\);_(* &quot;-&quot;??_);_(@_)">
                  <c:v>3.4179695991004024</c:v>
                </c:pt>
              </c:numCache>
            </c:numRef>
          </c:val>
        </c:ser>
        <c:ser>
          <c:idx val="42"/>
          <c:order val="42"/>
          <c:tx>
            <c:strRef>
              <c:f>bdGraficoMAT!$C$49</c:f>
              <c:strCache>
                <c:ptCount val="1"/>
                <c:pt idx="0">
                  <c:v> MERCK SERONO</c:v>
                </c:pt>
              </c:strCache>
            </c:strRef>
          </c:tx>
          <c:spPr>
            <a:gradFill rotWithShape="1">
              <a:gsLst>
                <a:gs pos="0">
                  <a:schemeClr val="accent1">
                    <a:lumMod val="70000"/>
                    <a:satMod val="103000"/>
                    <a:lumMod val="102000"/>
                    <a:tint val="94000"/>
                  </a:schemeClr>
                </a:gs>
                <a:gs pos="50000">
                  <a:schemeClr val="accent1">
                    <a:lumMod val="70000"/>
                    <a:satMod val="110000"/>
                    <a:lumMod val="100000"/>
                    <a:shade val="100000"/>
                  </a:schemeClr>
                </a:gs>
                <a:gs pos="100000">
                  <a:schemeClr val="accent1">
                    <a:lumMod val="7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bdGraficoMAT!$D$49:$G$49</c:f>
              <c:numCache>
                <c:formatCode>#,##0.00</c:formatCode>
                <c:ptCount val="4"/>
                <c:pt idx="0" formatCode="#,##0">
                  <c:v>20192318</c:v>
                </c:pt>
                <c:pt idx="1">
                  <c:v>99883915</c:v>
                </c:pt>
                <c:pt idx="2">
                  <c:v>228270354.49000001</c:v>
                </c:pt>
                <c:pt idx="3" formatCode="_(* #,##0.00_);_(* \(#,##0.00\);_(* &quot;-&quot;??_);_(@_)">
                  <c:v>11.304811784857984</c:v>
                </c:pt>
              </c:numCache>
            </c:numRef>
          </c:val>
        </c:ser>
        <c:ser>
          <c:idx val="43"/>
          <c:order val="43"/>
          <c:tx>
            <c:strRef>
              <c:f>bdGraficoMAT!$C$50</c:f>
              <c:strCache>
                <c:ptCount val="1"/>
                <c:pt idx="0">
                  <c:v> MOMENTA FARMACEUTI</c:v>
                </c:pt>
              </c:strCache>
            </c:strRef>
          </c:tx>
          <c:spPr>
            <a:gradFill rotWithShape="1">
              <a:gsLst>
                <a:gs pos="0">
                  <a:schemeClr val="accent2">
                    <a:lumMod val="70000"/>
                    <a:satMod val="103000"/>
                    <a:lumMod val="102000"/>
                    <a:tint val="94000"/>
                  </a:schemeClr>
                </a:gs>
                <a:gs pos="50000">
                  <a:schemeClr val="accent2">
                    <a:lumMod val="70000"/>
                    <a:satMod val="110000"/>
                    <a:lumMod val="100000"/>
                    <a:shade val="100000"/>
                  </a:schemeClr>
                </a:gs>
                <a:gs pos="100000">
                  <a:schemeClr val="accent2">
                    <a:lumMod val="7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bdGraficoMAT!$D$50:$G$50</c:f>
              <c:numCache>
                <c:formatCode>#,##0.00</c:formatCode>
                <c:ptCount val="4"/>
                <c:pt idx="0" formatCode="#,##0">
                  <c:v>2339364</c:v>
                </c:pt>
                <c:pt idx="1">
                  <c:v>17689510</c:v>
                </c:pt>
                <c:pt idx="2">
                  <c:v>40190149.469999999</c:v>
                </c:pt>
                <c:pt idx="3" formatCode="_(* #,##0.00_);_(* \(#,##0.00\);_(* &quot;-&quot;??_);_(@_)">
                  <c:v>17.179946972766956</c:v>
                </c:pt>
              </c:numCache>
            </c:numRef>
          </c:val>
        </c:ser>
        <c:ser>
          <c:idx val="44"/>
          <c:order val="44"/>
          <c:tx>
            <c:strRef>
              <c:f>bdGraficoMAT!$C$51</c:f>
              <c:strCache>
                <c:ptCount val="1"/>
                <c:pt idx="0">
                  <c:v> MSD</c:v>
                </c:pt>
              </c:strCache>
            </c:strRef>
          </c:tx>
          <c:spPr>
            <a:gradFill rotWithShape="1">
              <a:gsLst>
                <a:gs pos="0">
                  <a:schemeClr val="accent3">
                    <a:lumMod val="70000"/>
                    <a:satMod val="103000"/>
                    <a:lumMod val="102000"/>
                    <a:tint val="94000"/>
                  </a:schemeClr>
                </a:gs>
                <a:gs pos="50000">
                  <a:schemeClr val="accent3">
                    <a:lumMod val="70000"/>
                    <a:satMod val="110000"/>
                    <a:lumMod val="100000"/>
                    <a:shade val="100000"/>
                  </a:schemeClr>
                </a:gs>
                <a:gs pos="100000">
                  <a:schemeClr val="accent3">
                    <a:lumMod val="7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bdGraficoMAT!$D$51:$G$51</c:f>
              <c:numCache>
                <c:formatCode>#,##0.00</c:formatCode>
                <c:ptCount val="4"/>
                <c:pt idx="0" formatCode="#,##0">
                  <c:v>6574678</c:v>
                </c:pt>
                <c:pt idx="1">
                  <c:v>119656246</c:v>
                </c:pt>
                <c:pt idx="2">
                  <c:v>272753687.54000002</c:v>
                </c:pt>
                <c:pt idx="3" formatCode="_(* #,##0.00_);_(* \(#,##0.00\);_(* &quot;-&quot;??_);_(@_)">
                  <c:v>41.48548226088031</c:v>
                </c:pt>
              </c:numCache>
            </c:numRef>
          </c:val>
        </c:ser>
        <c:ser>
          <c:idx val="45"/>
          <c:order val="45"/>
          <c:tx>
            <c:strRef>
              <c:f>bdGraficoMAT!$C$52</c:f>
              <c:strCache>
                <c:ptCount val="1"/>
                <c:pt idx="0">
                  <c:v> MULTILAB</c:v>
                </c:pt>
              </c:strCache>
            </c:strRef>
          </c:tx>
          <c:spPr>
            <a:gradFill rotWithShape="1">
              <a:gsLst>
                <a:gs pos="0">
                  <a:schemeClr val="accent4">
                    <a:lumMod val="70000"/>
                    <a:satMod val="103000"/>
                    <a:lumMod val="102000"/>
                    <a:tint val="94000"/>
                  </a:schemeClr>
                </a:gs>
                <a:gs pos="50000">
                  <a:schemeClr val="accent4">
                    <a:lumMod val="70000"/>
                    <a:satMod val="110000"/>
                    <a:lumMod val="100000"/>
                    <a:shade val="100000"/>
                  </a:schemeClr>
                </a:gs>
                <a:gs pos="100000">
                  <a:schemeClr val="accent4">
                    <a:lumMod val="7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bdGraficoMAT!$D$52:$G$52</c:f>
              <c:numCache>
                <c:formatCode>#,##0.00</c:formatCode>
                <c:ptCount val="4"/>
                <c:pt idx="0" formatCode="#,##0">
                  <c:v>25958998</c:v>
                </c:pt>
                <c:pt idx="1">
                  <c:v>203050552</c:v>
                </c:pt>
                <c:pt idx="2">
                  <c:v>462974886.76999998</c:v>
                </c:pt>
                <c:pt idx="3" formatCode="_(* #,##0.00_);_(* \(#,##0.00\);_(* &quot;-&quot;??_);_(@_)">
                  <c:v>17.8348519757966</c:v>
                </c:pt>
              </c:numCache>
            </c:numRef>
          </c:val>
        </c:ser>
        <c:ser>
          <c:idx val="46"/>
          <c:order val="46"/>
          <c:tx>
            <c:strRef>
              <c:f>bdGraficoMAT!$C$53</c:f>
              <c:strCache>
                <c:ptCount val="1"/>
                <c:pt idx="0">
                  <c:v> NATULAB</c:v>
                </c:pt>
              </c:strCache>
            </c:strRef>
          </c:tx>
          <c:spPr>
            <a:gradFill rotWithShape="1">
              <a:gsLst>
                <a:gs pos="0">
                  <a:schemeClr val="accent5">
                    <a:lumMod val="70000"/>
                    <a:satMod val="103000"/>
                    <a:lumMod val="102000"/>
                    <a:tint val="94000"/>
                  </a:schemeClr>
                </a:gs>
                <a:gs pos="50000">
                  <a:schemeClr val="accent5">
                    <a:lumMod val="70000"/>
                    <a:satMod val="110000"/>
                    <a:lumMod val="100000"/>
                    <a:shade val="100000"/>
                  </a:schemeClr>
                </a:gs>
                <a:gs pos="100000">
                  <a:schemeClr val="accent5">
                    <a:lumMod val="7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bdGraficoMAT!$D$53:$G$53</c:f>
              <c:numCache>
                <c:formatCode>#,##0.00</c:formatCode>
                <c:ptCount val="4"/>
                <c:pt idx="0" formatCode="#,##0">
                  <c:v>14459013</c:v>
                </c:pt>
                <c:pt idx="1">
                  <c:v>18245931</c:v>
                </c:pt>
                <c:pt idx="2">
                  <c:v>41471246.160000004</c:v>
                </c:pt>
                <c:pt idx="3" formatCode="_(* #,##0.00_);_(* \(#,##0.00\);_(* &quot;-&quot;??_);_(@_)">
                  <c:v>2.8681934347800921</c:v>
                </c:pt>
              </c:numCache>
            </c:numRef>
          </c:val>
        </c:ser>
        <c:ser>
          <c:idx val="47"/>
          <c:order val="47"/>
          <c:tx>
            <c:strRef>
              <c:f>bdGraficoMAT!$C$54</c:f>
              <c:strCache>
                <c:ptCount val="1"/>
                <c:pt idx="0">
                  <c:v> NEO QUIMICA</c:v>
                </c:pt>
              </c:strCache>
            </c:strRef>
          </c:tx>
          <c:spPr>
            <a:gradFill rotWithShape="1">
              <a:gsLst>
                <a:gs pos="0">
                  <a:schemeClr val="accent6">
                    <a:lumMod val="70000"/>
                    <a:satMod val="103000"/>
                    <a:lumMod val="102000"/>
                    <a:tint val="94000"/>
                  </a:schemeClr>
                </a:gs>
                <a:gs pos="50000">
                  <a:schemeClr val="accent6">
                    <a:lumMod val="70000"/>
                    <a:satMod val="110000"/>
                    <a:lumMod val="100000"/>
                    <a:shade val="100000"/>
                  </a:schemeClr>
                </a:gs>
                <a:gs pos="100000">
                  <a:schemeClr val="accent6">
                    <a:lumMod val="7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bdGraficoMAT!$D$54:$G$54</c:f>
              <c:numCache>
                <c:formatCode>#,##0.00</c:formatCode>
                <c:ptCount val="4"/>
                <c:pt idx="0" formatCode="#,##0">
                  <c:v>224577943</c:v>
                </c:pt>
                <c:pt idx="1">
                  <c:v>1032098423</c:v>
                </c:pt>
                <c:pt idx="2">
                  <c:v>2354654882.25</c:v>
                </c:pt>
                <c:pt idx="3" formatCode="_(* #,##0.00_);_(* \(#,##0.00\);_(* &quot;-&quot;??_);_(@_)">
                  <c:v>10.484800291585181</c:v>
                </c:pt>
              </c:numCache>
            </c:numRef>
          </c:val>
        </c:ser>
        <c:ser>
          <c:idx val="48"/>
          <c:order val="48"/>
          <c:tx>
            <c:strRef>
              <c:f>bdGraficoMAT!$C$55</c:f>
              <c:strCache>
                <c:ptCount val="1"/>
                <c:pt idx="0">
                  <c:v> NOVA QUIMICA</c:v>
                </c:pt>
              </c:strCache>
            </c:strRef>
          </c:tx>
          <c:spPr>
            <a:gradFill rotWithShape="1">
              <a:gsLst>
                <a:gs pos="0">
                  <a:schemeClr val="accent1">
                    <a:lumMod val="50000"/>
                    <a:lumOff val="50000"/>
                    <a:satMod val="103000"/>
                    <a:lumMod val="102000"/>
                    <a:tint val="94000"/>
                  </a:schemeClr>
                </a:gs>
                <a:gs pos="50000">
                  <a:schemeClr val="accent1">
                    <a:lumMod val="50000"/>
                    <a:lumOff val="50000"/>
                    <a:satMod val="110000"/>
                    <a:lumMod val="100000"/>
                    <a:shade val="100000"/>
                  </a:schemeClr>
                </a:gs>
                <a:gs pos="100000">
                  <a:schemeClr val="accent1">
                    <a:lumMod val="50000"/>
                    <a:lumOff val="5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bdGraficoMAT!$D$55:$G$55</c:f>
              <c:numCache>
                <c:formatCode>#,##0.00</c:formatCode>
                <c:ptCount val="4"/>
                <c:pt idx="0" formatCode="#,##0">
                  <c:v>308049</c:v>
                </c:pt>
                <c:pt idx="1">
                  <c:v>10997525</c:v>
                </c:pt>
                <c:pt idx="2">
                  <c:v>25054038.489999998</c:v>
                </c:pt>
                <c:pt idx="3" formatCode="_(* #,##0.00_);_(* \(#,##0.00\);_(* &quot;-&quot;??_);_(@_)">
                  <c:v>81.331341734594162</c:v>
                </c:pt>
              </c:numCache>
            </c:numRef>
          </c:val>
        </c:ser>
        <c:ser>
          <c:idx val="49"/>
          <c:order val="49"/>
          <c:tx>
            <c:strRef>
              <c:f>bdGraficoMAT!$C$56</c:f>
              <c:strCache>
                <c:ptCount val="1"/>
                <c:pt idx="0">
                  <c:v> NOVARTIS</c:v>
                </c:pt>
              </c:strCache>
            </c:strRef>
          </c:tx>
          <c:spPr>
            <a:gradFill rotWithShape="1">
              <a:gsLst>
                <a:gs pos="0">
                  <a:schemeClr val="accent2">
                    <a:lumMod val="50000"/>
                    <a:lumOff val="50000"/>
                    <a:satMod val="103000"/>
                    <a:lumMod val="102000"/>
                    <a:tint val="94000"/>
                  </a:schemeClr>
                </a:gs>
                <a:gs pos="50000">
                  <a:schemeClr val="accent2">
                    <a:lumMod val="50000"/>
                    <a:lumOff val="50000"/>
                    <a:satMod val="110000"/>
                    <a:lumMod val="100000"/>
                    <a:shade val="100000"/>
                  </a:schemeClr>
                </a:gs>
                <a:gs pos="100000">
                  <a:schemeClr val="accent2">
                    <a:lumMod val="50000"/>
                    <a:lumOff val="5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bdGraficoMAT!$D$56:$G$56</c:f>
              <c:numCache>
                <c:formatCode>#,##0.00</c:formatCode>
                <c:ptCount val="4"/>
                <c:pt idx="0" formatCode="#,##0">
                  <c:v>1699195</c:v>
                </c:pt>
                <c:pt idx="1">
                  <c:v>48620863</c:v>
                </c:pt>
                <c:pt idx="2">
                  <c:v>110971638.74000001</c:v>
                </c:pt>
                <c:pt idx="3" formatCode="_(* #,##0.00_);_(* \(#,##0.00\);_(* &quot;-&quot;??_);_(@_)">
                  <c:v>65.308359982226889</c:v>
                </c:pt>
              </c:numCache>
            </c:numRef>
          </c:val>
        </c:ser>
        <c:ser>
          <c:idx val="50"/>
          <c:order val="50"/>
          <c:tx>
            <c:strRef>
              <c:f>bdGraficoMAT!$C$57</c:f>
              <c:strCache>
                <c:ptCount val="1"/>
                <c:pt idx="0">
                  <c:v> NOVARTIS CONSUMER</c:v>
                </c:pt>
              </c:strCache>
            </c:strRef>
          </c:tx>
          <c:spPr>
            <a:gradFill rotWithShape="1">
              <a:gsLst>
                <a:gs pos="0">
                  <a:schemeClr val="accent3">
                    <a:lumMod val="50000"/>
                    <a:lumOff val="50000"/>
                    <a:satMod val="103000"/>
                    <a:lumMod val="102000"/>
                    <a:tint val="94000"/>
                  </a:schemeClr>
                </a:gs>
                <a:gs pos="50000">
                  <a:schemeClr val="accent3">
                    <a:lumMod val="50000"/>
                    <a:lumOff val="50000"/>
                    <a:satMod val="110000"/>
                    <a:lumMod val="100000"/>
                    <a:shade val="100000"/>
                  </a:schemeClr>
                </a:gs>
                <a:gs pos="100000">
                  <a:schemeClr val="accent3">
                    <a:lumMod val="50000"/>
                    <a:lumOff val="5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bdGraficoMAT!$D$57:$G$57</c:f>
              <c:numCache>
                <c:formatCode>#,##0.00</c:formatCode>
                <c:ptCount val="4"/>
                <c:pt idx="0" formatCode="#,##0">
                  <c:v>2045627</c:v>
                </c:pt>
                <c:pt idx="1">
                  <c:v>14078601</c:v>
                </c:pt>
                <c:pt idx="2">
                  <c:v>32000522.310000002</c:v>
                </c:pt>
                <c:pt idx="3" formatCode="_(* #,##0.00_);_(* \(#,##0.00\);_(* &quot;-&quot;??_);_(@_)">
                  <c:v>15.643380885176038</c:v>
                </c:pt>
              </c:numCache>
            </c:numRef>
          </c:val>
        </c:ser>
        <c:ser>
          <c:idx val="51"/>
          <c:order val="51"/>
          <c:tx>
            <c:strRef>
              <c:f>bdGraficoMAT!$C$58</c:f>
              <c:strCache>
                <c:ptCount val="1"/>
                <c:pt idx="0">
                  <c:v> NOVO NORDISK</c:v>
                </c:pt>
              </c:strCache>
            </c:strRef>
          </c:tx>
          <c:spPr>
            <a:gradFill rotWithShape="1">
              <a:gsLst>
                <a:gs pos="0">
                  <a:schemeClr val="accent4">
                    <a:lumMod val="50000"/>
                    <a:lumOff val="50000"/>
                    <a:satMod val="103000"/>
                    <a:lumMod val="102000"/>
                    <a:tint val="94000"/>
                  </a:schemeClr>
                </a:gs>
                <a:gs pos="50000">
                  <a:schemeClr val="accent4">
                    <a:lumMod val="50000"/>
                    <a:lumOff val="50000"/>
                    <a:satMod val="110000"/>
                    <a:lumMod val="100000"/>
                    <a:shade val="100000"/>
                  </a:schemeClr>
                </a:gs>
                <a:gs pos="100000">
                  <a:schemeClr val="accent4">
                    <a:lumMod val="50000"/>
                    <a:lumOff val="5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bdGraficoMAT!$D$58:$G$58</c:f>
              <c:numCache>
                <c:formatCode>#,##0.00</c:formatCode>
                <c:ptCount val="4"/>
                <c:pt idx="0" formatCode="#,##0">
                  <c:v>1010864</c:v>
                </c:pt>
                <c:pt idx="1">
                  <c:v>15672072</c:v>
                </c:pt>
                <c:pt idx="2">
                  <c:v>35824679.390000001</c:v>
                </c:pt>
                <c:pt idx="3" formatCode="_(* #,##0.00_);_(* \(#,##0.00\);_(* &quot;-&quot;??_);_(@_)">
                  <c:v>35.439662892337644</c:v>
                </c:pt>
              </c:numCache>
            </c:numRef>
          </c:val>
        </c:ser>
        <c:ser>
          <c:idx val="52"/>
          <c:order val="52"/>
          <c:tx>
            <c:strRef>
              <c:f>bdGraficoMAT!$C$59</c:f>
              <c:strCache>
                <c:ptCount val="1"/>
                <c:pt idx="0">
                  <c:v> PFIZER</c:v>
                </c:pt>
              </c:strCache>
            </c:strRef>
          </c:tx>
          <c:spPr>
            <a:gradFill rotWithShape="1">
              <a:gsLst>
                <a:gs pos="0">
                  <a:schemeClr val="accent5">
                    <a:lumMod val="50000"/>
                    <a:lumOff val="50000"/>
                    <a:satMod val="103000"/>
                    <a:lumMod val="102000"/>
                    <a:tint val="94000"/>
                  </a:schemeClr>
                </a:gs>
                <a:gs pos="50000">
                  <a:schemeClr val="accent5">
                    <a:lumMod val="50000"/>
                    <a:lumOff val="50000"/>
                    <a:satMod val="110000"/>
                    <a:lumMod val="100000"/>
                    <a:shade val="100000"/>
                  </a:schemeClr>
                </a:gs>
                <a:gs pos="100000">
                  <a:schemeClr val="accent5">
                    <a:lumMod val="50000"/>
                    <a:lumOff val="5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bdGraficoMAT!$D$59:$G$59</c:f>
              <c:numCache>
                <c:formatCode>#,##0.00</c:formatCode>
                <c:ptCount val="4"/>
                <c:pt idx="0" formatCode="#,##0">
                  <c:v>4719351</c:v>
                </c:pt>
                <c:pt idx="1">
                  <c:v>46550148</c:v>
                </c:pt>
                <c:pt idx="2">
                  <c:v>106253789.37</c:v>
                </c:pt>
                <c:pt idx="3" formatCode="_(* #,##0.00_);_(* \(#,##0.00\);_(* &quot;-&quot;??_);_(@_)">
                  <c:v>22.514491795587997</c:v>
                </c:pt>
              </c:numCache>
            </c:numRef>
          </c:val>
        </c:ser>
        <c:ser>
          <c:idx val="53"/>
          <c:order val="53"/>
          <c:tx>
            <c:strRef>
              <c:f>bdGraficoMAT!$C$60</c:f>
              <c:strCache>
                <c:ptCount val="1"/>
                <c:pt idx="0">
                  <c:v> PFIZER CONSUMER</c:v>
                </c:pt>
              </c:strCache>
            </c:strRef>
          </c:tx>
          <c:spPr>
            <a:gradFill rotWithShape="1">
              <a:gsLst>
                <a:gs pos="0">
                  <a:schemeClr val="accent6">
                    <a:lumMod val="50000"/>
                    <a:lumOff val="50000"/>
                    <a:satMod val="103000"/>
                    <a:lumMod val="102000"/>
                    <a:tint val="94000"/>
                  </a:schemeClr>
                </a:gs>
                <a:gs pos="50000">
                  <a:schemeClr val="accent6">
                    <a:lumMod val="50000"/>
                    <a:lumOff val="50000"/>
                    <a:satMod val="110000"/>
                    <a:lumMod val="100000"/>
                    <a:shade val="100000"/>
                  </a:schemeClr>
                </a:gs>
                <a:gs pos="100000">
                  <a:schemeClr val="accent6">
                    <a:lumMod val="50000"/>
                    <a:lumOff val="5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bdGraficoMAT!$D$60:$G$60</c:f>
              <c:numCache>
                <c:formatCode>#,##0.00</c:formatCode>
                <c:ptCount val="4"/>
                <c:pt idx="0" formatCode="#,##0">
                  <c:v>9313323</c:v>
                </c:pt>
                <c:pt idx="1">
                  <c:v>45381876</c:v>
                </c:pt>
                <c:pt idx="2">
                  <c:v>103709917.14000002</c:v>
                </c:pt>
                <c:pt idx="3" formatCode="_(* #,##0.00_);_(* \(#,##0.00\);_(* &quot;-&quot;??_);_(@_)">
                  <c:v>11.135651275060471</c:v>
                </c:pt>
              </c:numCache>
            </c:numRef>
          </c:val>
        </c:ser>
        <c:ser>
          <c:idx val="54"/>
          <c:order val="54"/>
          <c:tx>
            <c:strRef>
              <c:f>bdGraficoMAT!$C$61</c:f>
              <c:strCache>
                <c:ptCount val="1"/>
                <c:pt idx="0">
                  <c:v> PRATI DONADUZZI</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bdGraficoMAT!$D$61:$G$61</c:f>
              <c:numCache>
                <c:formatCode>#,##0.00</c:formatCode>
                <c:ptCount val="4"/>
                <c:pt idx="0" formatCode="#,##0">
                  <c:v>9571581</c:v>
                </c:pt>
                <c:pt idx="1">
                  <c:v>29768538</c:v>
                </c:pt>
                <c:pt idx="2">
                  <c:v>67832955.680000007</c:v>
                </c:pt>
                <c:pt idx="3" formatCode="_(* #,##0.00_);_(* \(#,##0.00\);_(* &quot;-&quot;??_);_(@_)">
                  <c:v>7.0869123585748275</c:v>
                </c:pt>
              </c:numCache>
            </c:numRef>
          </c:val>
        </c:ser>
        <c:ser>
          <c:idx val="55"/>
          <c:order val="55"/>
          <c:tx>
            <c:strRef>
              <c:f>bdGraficoMAT!$C$62</c:f>
              <c:strCache>
                <c:ptCount val="1"/>
                <c:pt idx="0">
                  <c:v> PROCTER GAMBLE</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bdGraficoMAT!$D$62:$G$62</c:f>
              <c:numCache>
                <c:formatCode>#,##0.00</c:formatCode>
                <c:ptCount val="4"/>
                <c:pt idx="0" formatCode="#,##0">
                  <c:v>1182313</c:v>
                </c:pt>
                <c:pt idx="1">
                  <c:v>6314178</c:v>
                </c:pt>
                <c:pt idx="2">
                  <c:v>14313857.699999999</c:v>
                </c:pt>
                <c:pt idx="3" formatCode="_(* #,##0.00_);_(* \(#,##0.00\);_(* &quot;-&quot;??_);_(@_)">
                  <c:v>12.106656782087315</c:v>
                </c:pt>
              </c:numCache>
            </c:numRef>
          </c:val>
        </c:ser>
        <c:ser>
          <c:idx val="56"/>
          <c:order val="56"/>
          <c:tx>
            <c:strRef>
              <c:f>bdGraficoMAT!$C$63</c:f>
              <c:strCache>
                <c:ptCount val="1"/>
                <c:pt idx="0">
                  <c:v> RECKITT BENCKISER</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bdGraficoMAT!$D$63:$G$63</c:f>
              <c:numCache>
                <c:formatCode>#,##0.00</c:formatCode>
                <c:ptCount val="4"/>
                <c:pt idx="0" formatCode="#,##0">
                  <c:v>4556765</c:v>
                </c:pt>
                <c:pt idx="1">
                  <c:v>25309472</c:v>
                </c:pt>
                <c:pt idx="2">
                  <c:v>57768187.609999999</c:v>
                </c:pt>
                <c:pt idx="3" formatCode="_(* #,##0.00_);_(* \(#,##0.00\);_(* &quot;-&quot;??_);_(@_)">
                  <c:v>12.677455960533404</c:v>
                </c:pt>
              </c:numCache>
            </c:numRef>
          </c:val>
        </c:ser>
        <c:ser>
          <c:idx val="57"/>
          <c:order val="57"/>
          <c:tx>
            <c:strRef>
              <c:f>bdGraficoMAT!$C$64</c:f>
              <c:strCache>
                <c:ptCount val="1"/>
                <c:pt idx="0">
                  <c:v> ROCHE</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bdGraficoMAT!$D$64:$G$64</c:f>
              <c:numCache>
                <c:formatCode>#,##0.00</c:formatCode>
                <c:ptCount val="4"/>
                <c:pt idx="0" formatCode="#,##0">
                  <c:v>2663964</c:v>
                </c:pt>
                <c:pt idx="1">
                  <c:v>52273076</c:v>
                </c:pt>
                <c:pt idx="2">
                  <c:v>119261566.34</c:v>
                </c:pt>
                <c:pt idx="3" formatCode="_(* #,##0.00_);_(* \(#,##0.00\);_(* &quot;-&quot;??_);_(@_)">
                  <c:v>44.76846021192479</c:v>
                </c:pt>
              </c:numCache>
            </c:numRef>
          </c:val>
        </c:ser>
        <c:ser>
          <c:idx val="58"/>
          <c:order val="58"/>
          <c:tx>
            <c:strRef>
              <c:f>bdGraficoMAT!$C$65</c:f>
              <c:strCache>
                <c:ptCount val="1"/>
                <c:pt idx="0">
                  <c:v> SANDOZ DO BRASIL</c:v>
                </c:pt>
              </c:strCache>
            </c:strRef>
          </c:tx>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bdGraficoMAT!$D$65:$G$65</c:f>
              <c:numCache>
                <c:formatCode>#,##0.00</c:formatCode>
                <c:ptCount val="4"/>
                <c:pt idx="0" formatCode="#,##0">
                  <c:v>15701758</c:v>
                </c:pt>
                <c:pt idx="1">
                  <c:v>214917524.81</c:v>
                </c:pt>
                <c:pt idx="2">
                  <c:v>490417009.60999995</c:v>
                </c:pt>
                <c:pt idx="3" formatCode="_(* #,##0.00_);_(* \(#,##0.00\);_(* &quot;-&quot;??_);_(@_)">
                  <c:v>31.233254875664237</c:v>
                </c:pt>
              </c:numCache>
            </c:numRef>
          </c:val>
        </c:ser>
        <c:ser>
          <c:idx val="59"/>
          <c:order val="59"/>
          <c:tx>
            <c:strRef>
              <c:f>bdGraficoMAT!$C$66</c:f>
              <c:strCache>
                <c:ptCount val="1"/>
                <c:pt idx="0">
                  <c:v> SANOFI</c:v>
                </c:pt>
              </c:strCache>
            </c:strRef>
          </c:tx>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bdGraficoMAT!$D$66:$G$66</c:f>
              <c:numCache>
                <c:formatCode>#,##0.00</c:formatCode>
                <c:ptCount val="4"/>
                <c:pt idx="0" formatCode="#,##0">
                  <c:v>30387068</c:v>
                </c:pt>
                <c:pt idx="1">
                  <c:v>312047232</c:v>
                </c:pt>
                <c:pt idx="2">
                  <c:v>712241055.29999995</c:v>
                </c:pt>
                <c:pt idx="3" formatCode="_(* #,##0.00_);_(* \(#,##0.00\);_(* &quot;-&quot;??_);_(@_)">
                  <c:v>23.438952889433097</c:v>
                </c:pt>
              </c:numCache>
            </c:numRef>
          </c:val>
        </c:ser>
        <c:ser>
          <c:idx val="60"/>
          <c:order val="60"/>
          <c:tx>
            <c:strRef>
              <c:f>bdGraficoMAT!$C$67</c:f>
              <c:strCache>
                <c:ptCount val="1"/>
                <c:pt idx="0">
                  <c:v> SERVIER DO BRASIL</c:v>
                </c:pt>
              </c:strCache>
            </c:strRef>
          </c:tx>
          <c:spPr>
            <a:gradFill rotWithShape="1">
              <a:gsLst>
                <a:gs pos="0">
                  <a:schemeClr val="accent1">
                    <a:lumMod val="60000"/>
                    <a:satMod val="103000"/>
                    <a:lumMod val="102000"/>
                    <a:tint val="94000"/>
                  </a:schemeClr>
                </a:gs>
                <a:gs pos="50000">
                  <a:schemeClr val="accent1">
                    <a:lumMod val="60000"/>
                    <a:satMod val="110000"/>
                    <a:lumMod val="100000"/>
                    <a:shade val="100000"/>
                  </a:schemeClr>
                </a:gs>
                <a:gs pos="100000">
                  <a:schemeClr val="accent1">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bdGraficoMAT!$D$67:$G$67</c:f>
              <c:numCache>
                <c:formatCode>#,##0.00</c:formatCode>
                <c:ptCount val="4"/>
                <c:pt idx="0" formatCode="#,##0">
                  <c:v>1867716</c:v>
                </c:pt>
                <c:pt idx="1">
                  <c:v>55287347</c:v>
                </c:pt>
                <c:pt idx="2">
                  <c:v>126296141.19</c:v>
                </c:pt>
                <c:pt idx="3" formatCode="_(* #,##0.00_);_(* \(#,##0.00\);_(* &quot;-&quot;??_);_(@_)">
                  <c:v>67.620634609330324</c:v>
                </c:pt>
              </c:numCache>
            </c:numRef>
          </c:val>
        </c:ser>
        <c:ser>
          <c:idx val="61"/>
          <c:order val="61"/>
          <c:tx>
            <c:strRef>
              <c:f>bdGraficoMAT!$C$68</c:f>
              <c:strCache>
                <c:ptCount val="1"/>
                <c:pt idx="0">
                  <c:v> SUPERA RX</c:v>
                </c:pt>
              </c:strCache>
            </c:strRef>
          </c:tx>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bdGraficoMAT!$D$68:$G$68</c:f>
              <c:numCache>
                <c:formatCode>#,##0.00</c:formatCode>
                <c:ptCount val="4"/>
                <c:pt idx="0" formatCode="#,##0">
                  <c:v>2992267</c:v>
                </c:pt>
                <c:pt idx="1">
                  <c:v>21344561</c:v>
                </c:pt>
                <c:pt idx="2">
                  <c:v>48545311.100000001</c:v>
                </c:pt>
                <c:pt idx="3" formatCode="_(* #,##0.00_);_(* \(#,##0.00\);_(* &quot;-&quot;??_);_(@_)">
                  <c:v>16.223589372205087</c:v>
                </c:pt>
              </c:numCache>
            </c:numRef>
          </c:val>
        </c:ser>
        <c:ser>
          <c:idx val="62"/>
          <c:order val="62"/>
          <c:tx>
            <c:strRef>
              <c:f>bdGraficoMAT!$C$69</c:f>
              <c:strCache>
                <c:ptCount val="1"/>
                <c:pt idx="0">
                  <c:v> TAKEDA PHARMA</c:v>
                </c:pt>
              </c:strCache>
            </c:strRef>
          </c:tx>
          <c:spPr>
            <a:gradFill rotWithShape="1">
              <a:gsLst>
                <a:gs pos="0">
                  <a:schemeClr val="accent3">
                    <a:lumMod val="60000"/>
                    <a:satMod val="103000"/>
                    <a:lumMod val="102000"/>
                    <a:tint val="94000"/>
                  </a:schemeClr>
                </a:gs>
                <a:gs pos="50000">
                  <a:schemeClr val="accent3">
                    <a:lumMod val="60000"/>
                    <a:satMod val="110000"/>
                    <a:lumMod val="100000"/>
                    <a:shade val="100000"/>
                  </a:schemeClr>
                </a:gs>
                <a:gs pos="100000">
                  <a:schemeClr val="accent3">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bdGraficoMAT!$D$69:$G$69</c:f>
              <c:numCache>
                <c:formatCode>#,##0.00</c:formatCode>
                <c:ptCount val="4"/>
                <c:pt idx="0" formatCode="#,##0">
                  <c:v>41551775</c:v>
                </c:pt>
                <c:pt idx="1">
                  <c:v>280514047</c:v>
                </c:pt>
                <c:pt idx="2">
                  <c:v>640533109.18000007</c:v>
                </c:pt>
                <c:pt idx="3" formatCode="_(* #,##0.00_);_(* \(#,##0.00\);_(* &quot;-&quot;??_);_(@_)">
                  <c:v>15.415300770665034</c:v>
                </c:pt>
              </c:numCache>
            </c:numRef>
          </c:val>
        </c:ser>
        <c:ser>
          <c:idx val="63"/>
          <c:order val="63"/>
          <c:tx>
            <c:strRef>
              <c:f>bdGraficoMAT!$C$70</c:f>
              <c:strCache>
                <c:ptCount val="1"/>
                <c:pt idx="0">
                  <c:v> TEUTO BRASILEIRO</c:v>
                </c:pt>
              </c:strCache>
            </c:strRef>
          </c:tx>
          <c:spPr>
            <a:gradFill rotWithShape="1">
              <a:gsLst>
                <a:gs pos="0">
                  <a:schemeClr val="accent4">
                    <a:lumMod val="60000"/>
                    <a:satMod val="103000"/>
                    <a:lumMod val="102000"/>
                    <a:tint val="94000"/>
                  </a:schemeClr>
                </a:gs>
                <a:gs pos="50000">
                  <a:schemeClr val="accent4">
                    <a:lumMod val="60000"/>
                    <a:satMod val="110000"/>
                    <a:lumMod val="100000"/>
                    <a:shade val="100000"/>
                  </a:schemeClr>
                </a:gs>
                <a:gs pos="100000">
                  <a:schemeClr val="accent4">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bdGraficoMAT!$D$70:$G$70</c:f>
              <c:numCache>
                <c:formatCode>#,##0.00</c:formatCode>
                <c:ptCount val="4"/>
                <c:pt idx="0" formatCode="#,##0">
                  <c:v>47789758</c:v>
                </c:pt>
                <c:pt idx="1">
                  <c:v>245505764</c:v>
                </c:pt>
                <c:pt idx="2">
                  <c:v>560435730.51000011</c:v>
                </c:pt>
                <c:pt idx="3" formatCode="_(* #,##0.00_);_(* \(#,##0.00\);_(* &quot;-&quot;??_);_(@_)">
                  <c:v>11.72710961436549</c:v>
                </c:pt>
              </c:numCache>
            </c:numRef>
          </c:val>
        </c:ser>
        <c:ser>
          <c:idx val="64"/>
          <c:order val="64"/>
          <c:tx>
            <c:strRef>
              <c:f>bdGraficoMAT!$C$71</c:f>
              <c:strCache>
                <c:ptCount val="1"/>
                <c:pt idx="0">
                  <c:v> TEVA</c:v>
                </c:pt>
              </c:strCache>
            </c:strRef>
          </c:tx>
          <c:spPr>
            <a:gradFill rotWithShape="1">
              <a:gsLst>
                <a:gs pos="0">
                  <a:schemeClr val="accent5">
                    <a:lumMod val="60000"/>
                    <a:satMod val="103000"/>
                    <a:lumMod val="102000"/>
                    <a:tint val="94000"/>
                  </a:schemeClr>
                </a:gs>
                <a:gs pos="50000">
                  <a:schemeClr val="accent5">
                    <a:lumMod val="60000"/>
                    <a:satMod val="110000"/>
                    <a:lumMod val="100000"/>
                    <a:shade val="100000"/>
                  </a:schemeClr>
                </a:gs>
                <a:gs pos="100000">
                  <a:schemeClr val="accent5">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bdGraficoMAT!$D$71:$G$71</c:f>
              <c:numCache>
                <c:formatCode>#,##0.00</c:formatCode>
                <c:ptCount val="4"/>
                <c:pt idx="0" formatCode="#,##0">
                  <c:v>286986</c:v>
                </c:pt>
                <c:pt idx="1">
                  <c:v>4689132</c:v>
                </c:pt>
                <c:pt idx="2">
                  <c:v>10708263.66</c:v>
                </c:pt>
                <c:pt idx="3" formatCode="_(* #,##0.00_);_(* \(#,##0.00\);_(* &quot;-&quot;??_);_(@_)">
                  <c:v>37.312843344274633</c:v>
                </c:pt>
              </c:numCache>
            </c:numRef>
          </c:val>
        </c:ser>
        <c:ser>
          <c:idx val="65"/>
          <c:order val="65"/>
          <c:tx>
            <c:strRef>
              <c:f>bdGraficoMAT!$C$72</c:f>
              <c:strCache>
                <c:ptCount val="1"/>
                <c:pt idx="0">
                  <c:v> TORRENT</c:v>
                </c:pt>
              </c:strCache>
            </c:strRef>
          </c:tx>
          <c:spPr>
            <a:gradFill rotWithShape="1">
              <a:gsLst>
                <a:gs pos="0">
                  <a:schemeClr val="accent6">
                    <a:lumMod val="60000"/>
                    <a:satMod val="103000"/>
                    <a:lumMod val="102000"/>
                    <a:tint val="94000"/>
                  </a:schemeClr>
                </a:gs>
                <a:gs pos="50000">
                  <a:schemeClr val="accent6">
                    <a:lumMod val="60000"/>
                    <a:satMod val="110000"/>
                    <a:lumMod val="100000"/>
                    <a:shade val="100000"/>
                  </a:schemeClr>
                </a:gs>
                <a:gs pos="100000">
                  <a:schemeClr val="accent6">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bdGraficoMAT!$D$72:$G$72</c:f>
              <c:numCache>
                <c:formatCode>#,##0.00</c:formatCode>
                <c:ptCount val="4"/>
                <c:pt idx="0" formatCode="#,##0">
                  <c:v>271104</c:v>
                </c:pt>
                <c:pt idx="1">
                  <c:v>8601211</c:v>
                </c:pt>
                <c:pt idx="2">
                  <c:v>19639231.219999999</c:v>
                </c:pt>
                <c:pt idx="3" formatCode="_(* #,##0.00_);_(* \(#,##0.00\);_(* &quot;-&quot;??_);_(@_)">
                  <c:v>72.441687396718592</c:v>
                </c:pt>
              </c:numCache>
            </c:numRef>
          </c:val>
        </c:ser>
        <c:ser>
          <c:idx val="66"/>
          <c:order val="66"/>
          <c:tx>
            <c:strRef>
              <c:f>bdGraficoMAT!$C$73</c:f>
              <c:strCache>
                <c:ptCount val="1"/>
                <c:pt idx="0">
                  <c:v> UNIAO QUIMICA F N</c:v>
                </c:pt>
              </c:strCache>
            </c:strRef>
          </c:tx>
          <c:spPr>
            <a:gradFill rotWithShape="1">
              <a:gsLst>
                <a:gs pos="0">
                  <a:schemeClr val="accent1">
                    <a:lumMod val="80000"/>
                    <a:lumOff val="20000"/>
                    <a:satMod val="103000"/>
                    <a:lumMod val="102000"/>
                    <a:tint val="94000"/>
                  </a:schemeClr>
                </a:gs>
                <a:gs pos="50000">
                  <a:schemeClr val="accent1">
                    <a:lumMod val="80000"/>
                    <a:lumOff val="20000"/>
                    <a:satMod val="110000"/>
                    <a:lumMod val="100000"/>
                    <a:shade val="100000"/>
                  </a:schemeClr>
                </a:gs>
                <a:gs pos="100000">
                  <a:schemeClr val="accent1">
                    <a:lumMod val="80000"/>
                    <a:lumOff val="2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bdGraficoMAT!$D$73:$G$73</c:f>
              <c:numCache>
                <c:formatCode>#,##0.00</c:formatCode>
                <c:ptCount val="4"/>
                <c:pt idx="0" formatCode="#,##0">
                  <c:v>24904179</c:v>
                </c:pt>
                <c:pt idx="1">
                  <c:v>70306649</c:v>
                </c:pt>
                <c:pt idx="2">
                  <c:v>160316974.15000001</c:v>
                </c:pt>
                <c:pt idx="3" formatCode="_(* #,##0.00_);_(* \(#,##0.00\);_(* &quot;-&quot;??_);_(@_)">
                  <c:v>6.4373523074179637</c:v>
                </c:pt>
              </c:numCache>
            </c:numRef>
          </c:val>
        </c:ser>
        <c:ser>
          <c:idx val="67"/>
          <c:order val="67"/>
          <c:tx>
            <c:strRef>
              <c:f>bdGraficoMAT!$C$74</c:f>
              <c:strCache>
                <c:ptCount val="1"/>
                <c:pt idx="0">
                  <c:v> VALEANT</c:v>
                </c:pt>
              </c:strCache>
            </c:strRef>
          </c:tx>
          <c:spPr>
            <a:gradFill rotWithShape="1">
              <a:gsLst>
                <a:gs pos="0">
                  <a:schemeClr val="accent2">
                    <a:lumMod val="80000"/>
                    <a:lumOff val="20000"/>
                    <a:satMod val="103000"/>
                    <a:lumMod val="102000"/>
                    <a:tint val="94000"/>
                  </a:schemeClr>
                </a:gs>
                <a:gs pos="50000">
                  <a:schemeClr val="accent2">
                    <a:lumMod val="80000"/>
                    <a:lumOff val="20000"/>
                    <a:satMod val="110000"/>
                    <a:lumMod val="100000"/>
                    <a:shade val="100000"/>
                  </a:schemeClr>
                </a:gs>
                <a:gs pos="100000">
                  <a:schemeClr val="accent2">
                    <a:lumMod val="80000"/>
                    <a:lumOff val="2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bdGraficoMAT!$D$74:$G$74</c:f>
              <c:numCache>
                <c:formatCode>#,##0.00</c:formatCode>
                <c:ptCount val="4"/>
                <c:pt idx="0" formatCode="#,##0">
                  <c:v>654144</c:v>
                </c:pt>
                <c:pt idx="1">
                  <c:v>23305214</c:v>
                </c:pt>
                <c:pt idx="2">
                  <c:v>53108774.409999996</c:v>
                </c:pt>
                <c:pt idx="3" formatCode="_(* #,##0.00_);_(* \(#,##0.00\);_(* &quot;-&quot;??_);_(@_)">
                  <c:v>81.188200778421873</c:v>
                </c:pt>
              </c:numCache>
            </c:numRef>
          </c:val>
        </c:ser>
        <c:ser>
          <c:idx val="68"/>
          <c:order val="68"/>
          <c:tx>
            <c:strRef>
              <c:f>bdGraficoMAT!$C$75</c:f>
              <c:strCache>
                <c:ptCount val="1"/>
                <c:pt idx="0">
                  <c:v> ZAMBON</c:v>
                </c:pt>
              </c:strCache>
            </c:strRef>
          </c:tx>
          <c:spPr>
            <a:gradFill rotWithShape="1">
              <a:gsLst>
                <a:gs pos="0">
                  <a:schemeClr val="accent3">
                    <a:lumMod val="80000"/>
                    <a:lumOff val="20000"/>
                    <a:satMod val="103000"/>
                    <a:lumMod val="102000"/>
                    <a:tint val="94000"/>
                  </a:schemeClr>
                </a:gs>
                <a:gs pos="50000">
                  <a:schemeClr val="accent3">
                    <a:lumMod val="80000"/>
                    <a:lumOff val="20000"/>
                    <a:satMod val="110000"/>
                    <a:lumMod val="100000"/>
                    <a:shade val="100000"/>
                  </a:schemeClr>
                </a:gs>
                <a:gs pos="100000">
                  <a:schemeClr val="accent3">
                    <a:lumMod val="80000"/>
                    <a:lumOff val="2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bdGraficoMAT!$D$75:$G$75</c:f>
              <c:numCache>
                <c:formatCode>#,##0.00</c:formatCode>
                <c:ptCount val="4"/>
                <c:pt idx="0" formatCode="#,##0">
                  <c:v>1371908</c:v>
                </c:pt>
                <c:pt idx="1">
                  <c:v>11074964</c:v>
                </c:pt>
                <c:pt idx="2">
                  <c:v>25118388.309999999</c:v>
                </c:pt>
                <c:pt idx="3" formatCode="_(* #,##0.00_);_(* \(#,##0.00\);_(* &quot;-&quot;??_);_(@_)">
                  <c:v>18.309090923006497</c:v>
                </c:pt>
              </c:numCache>
            </c:numRef>
          </c:val>
        </c:ser>
        <c:ser>
          <c:idx val="69"/>
          <c:order val="69"/>
          <c:tx>
            <c:strRef>
              <c:f>bdGraficoMAT!$C$76</c:f>
              <c:strCache>
                <c:ptCount val="1"/>
                <c:pt idx="0">
                  <c:v> ZODIAC</c:v>
                </c:pt>
              </c:strCache>
            </c:strRef>
          </c:tx>
          <c:spPr>
            <a:gradFill rotWithShape="1">
              <a:gsLst>
                <a:gs pos="0">
                  <a:schemeClr val="accent4">
                    <a:lumMod val="80000"/>
                    <a:lumOff val="20000"/>
                    <a:satMod val="103000"/>
                    <a:lumMod val="102000"/>
                    <a:tint val="94000"/>
                  </a:schemeClr>
                </a:gs>
                <a:gs pos="50000">
                  <a:schemeClr val="accent4">
                    <a:lumMod val="80000"/>
                    <a:lumOff val="20000"/>
                    <a:satMod val="110000"/>
                    <a:lumMod val="100000"/>
                    <a:shade val="100000"/>
                  </a:schemeClr>
                </a:gs>
                <a:gs pos="100000">
                  <a:schemeClr val="accent4">
                    <a:lumMod val="80000"/>
                    <a:lumOff val="2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bdGraficoMAT!$D$76:$G$76</c:f>
              <c:numCache>
                <c:formatCode>#,##0.00</c:formatCode>
                <c:ptCount val="4"/>
                <c:pt idx="0" formatCode="#,##0">
                  <c:v>1142844</c:v>
                </c:pt>
                <c:pt idx="1">
                  <c:v>4123474</c:v>
                </c:pt>
                <c:pt idx="2">
                  <c:v>9409235.5999999996</c:v>
                </c:pt>
                <c:pt idx="3" formatCode="_(* #,##0.00_);_(* \(#,##0.00\);_(* &quot;-&quot;??_);_(@_)">
                  <c:v>8.2331758315220629</c:v>
                </c:pt>
              </c:numCache>
            </c:numRef>
          </c:val>
        </c:ser>
        <c:ser>
          <c:idx val="70"/>
          <c:order val="70"/>
          <c:tx>
            <c:strRef>
              <c:f>bdGraficoMAT!$C$77</c:f>
              <c:strCache>
                <c:ptCount val="1"/>
                <c:pt idx="0">
                  <c:v> AVERT LABORATORIOS</c:v>
                </c:pt>
              </c:strCache>
            </c:strRef>
          </c:tx>
          <c:spPr>
            <a:gradFill rotWithShape="1">
              <a:gsLst>
                <a:gs pos="0">
                  <a:schemeClr val="accent5">
                    <a:lumMod val="80000"/>
                    <a:lumOff val="20000"/>
                    <a:satMod val="103000"/>
                    <a:lumMod val="102000"/>
                    <a:tint val="94000"/>
                  </a:schemeClr>
                </a:gs>
                <a:gs pos="50000">
                  <a:schemeClr val="accent5">
                    <a:lumMod val="80000"/>
                    <a:lumOff val="20000"/>
                    <a:satMod val="110000"/>
                    <a:lumMod val="100000"/>
                    <a:shade val="100000"/>
                  </a:schemeClr>
                </a:gs>
                <a:gs pos="100000">
                  <a:schemeClr val="accent5">
                    <a:lumMod val="80000"/>
                    <a:lumOff val="2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bdGraficoMAT!$D$77:$G$77</c:f>
              <c:numCache>
                <c:formatCode>#,##0.00</c:formatCode>
                <c:ptCount val="4"/>
                <c:pt idx="0" formatCode="#,##0">
                  <c:v>716378</c:v>
                </c:pt>
                <c:pt idx="1">
                  <c:v>6159245</c:v>
                </c:pt>
                <c:pt idx="2">
                  <c:v>14048415.060000001</c:v>
                </c:pt>
                <c:pt idx="3" formatCode="_(* #,##0.00_);_(* \(#,##0.00\);_(* &quot;-&quot;??_);_(@_)">
                  <c:v>19.610338480522852</c:v>
                </c:pt>
              </c:numCache>
            </c:numRef>
          </c:val>
        </c:ser>
        <c:ser>
          <c:idx val="71"/>
          <c:order val="71"/>
          <c:tx>
            <c:strRef>
              <c:f>bdGraficoMAT!$C$78</c:f>
              <c:strCache>
                <c:ptCount val="1"/>
                <c:pt idx="0">
                  <c:v>AVERT</c:v>
                </c:pt>
              </c:strCache>
            </c:strRef>
          </c:tx>
          <c:spPr>
            <a:gradFill rotWithShape="1">
              <a:gsLst>
                <a:gs pos="0">
                  <a:schemeClr val="accent6">
                    <a:lumMod val="80000"/>
                    <a:lumOff val="20000"/>
                    <a:satMod val="103000"/>
                    <a:lumMod val="102000"/>
                    <a:tint val="94000"/>
                  </a:schemeClr>
                </a:gs>
                <a:gs pos="50000">
                  <a:schemeClr val="accent6">
                    <a:lumMod val="80000"/>
                    <a:lumOff val="20000"/>
                    <a:satMod val="110000"/>
                    <a:lumMod val="100000"/>
                    <a:shade val="100000"/>
                  </a:schemeClr>
                </a:gs>
                <a:gs pos="100000">
                  <a:schemeClr val="accent6">
                    <a:lumMod val="80000"/>
                    <a:lumOff val="2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bdGraficoMAT!$D$78:$G$78</c:f>
              <c:numCache>
                <c:formatCode>#,##0.00</c:formatCode>
                <c:ptCount val="4"/>
                <c:pt idx="0" formatCode="#,##0">
                  <c:v>2</c:v>
                </c:pt>
                <c:pt idx="1">
                  <c:v>100</c:v>
                </c:pt>
                <c:pt idx="2">
                  <c:v>200</c:v>
                </c:pt>
                <c:pt idx="3" formatCode="_(* #,##0.00_);_(* \(#,##0.00\);_(* &quot;-&quot;??_);_(@_)">
                  <c:v>100</c:v>
                </c:pt>
              </c:numCache>
            </c:numRef>
          </c:val>
        </c:ser>
        <c:ser>
          <c:idx val="72"/>
          <c:order val="72"/>
          <c:tx>
            <c:strRef>
              <c:f>bdGraficoMAT!$C$79</c:f>
              <c:strCache>
                <c:ptCount val="1"/>
                <c:pt idx="0">
                  <c:v>ZODIAC</c:v>
                </c:pt>
              </c:strCache>
            </c:strRef>
          </c:tx>
          <c:spPr>
            <a:gradFill rotWithShape="1">
              <a:gsLst>
                <a:gs pos="0">
                  <a:schemeClr val="accent1">
                    <a:lumMod val="80000"/>
                    <a:satMod val="103000"/>
                    <a:lumMod val="102000"/>
                    <a:tint val="94000"/>
                  </a:schemeClr>
                </a:gs>
                <a:gs pos="50000">
                  <a:schemeClr val="accent1">
                    <a:lumMod val="80000"/>
                    <a:satMod val="110000"/>
                    <a:lumMod val="100000"/>
                    <a:shade val="100000"/>
                  </a:schemeClr>
                </a:gs>
                <a:gs pos="100000">
                  <a:schemeClr val="accent1">
                    <a:lumMod val="8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bdGraficoMAT!$D$79:$G$79</c:f>
              <c:numCache>
                <c:formatCode>#,##0.00</c:formatCode>
                <c:ptCount val="4"/>
                <c:pt idx="0" formatCode="#,##0">
                  <c:v>2</c:v>
                </c:pt>
                <c:pt idx="1">
                  <c:v>100</c:v>
                </c:pt>
                <c:pt idx="2">
                  <c:v>200</c:v>
                </c:pt>
                <c:pt idx="3" formatCode="_(* #,##0.00_);_(* \(#,##0.00\);_(* &quot;-&quot;??_);_(@_)">
                  <c:v>100</c:v>
                </c:pt>
              </c:numCache>
            </c:numRef>
          </c:val>
        </c:ser>
        <c:ser>
          <c:idx val="73"/>
          <c:order val="73"/>
          <c:tx>
            <c:strRef>
              <c:f>bdGraficoMAT!$C$80</c:f>
              <c:strCache>
                <c:ptCount val="1"/>
                <c:pt idx="0">
                  <c:v>COSMED</c:v>
                </c:pt>
              </c:strCache>
            </c:strRef>
          </c:tx>
          <c:spPr>
            <a:gradFill rotWithShape="1">
              <a:gsLst>
                <a:gs pos="0">
                  <a:schemeClr val="accent2">
                    <a:lumMod val="80000"/>
                    <a:satMod val="103000"/>
                    <a:lumMod val="102000"/>
                    <a:tint val="94000"/>
                  </a:schemeClr>
                </a:gs>
                <a:gs pos="50000">
                  <a:schemeClr val="accent2">
                    <a:lumMod val="80000"/>
                    <a:satMod val="110000"/>
                    <a:lumMod val="100000"/>
                    <a:shade val="100000"/>
                  </a:schemeClr>
                </a:gs>
                <a:gs pos="100000">
                  <a:schemeClr val="accent2">
                    <a:lumMod val="8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bdGraficoMAT!$D$80:$G$80</c:f>
              <c:numCache>
                <c:formatCode>#,##0.00</c:formatCode>
                <c:ptCount val="4"/>
                <c:pt idx="0" formatCode="#,##0">
                  <c:v>691593</c:v>
                </c:pt>
                <c:pt idx="1">
                  <c:v>4067077</c:v>
                </c:pt>
                <c:pt idx="2">
                  <c:v>9289265.9499999993</c:v>
                </c:pt>
                <c:pt idx="3" formatCode="_(* #,##0.00_);_(* \(#,##0.00\);_(* &quot;-&quot;??_);_(@_)">
                  <c:v>13.431694580483029</c:v>
                </c:pt>
              </c:numCache>
            </c:numRef>
          </c:val>
        </c:ser>
        <c:ser>
          <c:idx val="74"/>
          <c:order val="74"/>
          <c:tx>
            <c:strRef>
              <c:f>bdGraficoMAT!$C$81</c:f>
              <c:strCache>
                <c:ptCount val="1"/>
                <c:pt idx="0">
                  <c:v>ATIVUS</c:v>
                </c:pt>
              </c:strCache>
            </c:strRef>
          </c:tx>
          <c:spPr>
            <a:gradFill rotWithShape="1">
              <a:gsLst>
                <a:gs pos="0">
                  <a:schemeClr val="accent3">
                    <a:lumMod val="80000"/>
                    <a:satMod val="103000"/>
                    <a:lumMod val="102000"/>
                    <a:tint val="94000"/>
                  </a:schemeClr>
                </a:gs>
                <a:gs pos="50000">
                  <a:schemeClr val="accent3">
                    <a:lumMod val="80000"/>
                    <a:satMod val="110000"/>
                    <a:lumMod val="100000"/>
                    <a:shade val="100000"/>
                  </a:schemeClr>
                </a:gs>
                <a:gs pos="100000">
                  <a:schemeClr val="accent3">
                    <a:lumMod val="8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bdGraficoMAT!$D$81:$G$81</c:f>
              <c:numCache>
                <c:formatCode>#,##0.00</c:formatCode>
                <c:ptCount val="4"/>
                <c:pt idx="0" formatCode="#,##0">
                  <c:v>283744</c:v>
                </c:pt>
                <c:pt idx="1">
                  <c:v>2617008</c:v>
                </c:pt>
                <c:pt idx="2">
                  <c:v>5998263.9699999997</c:v>
                </c:pt>
                <c:pt idx="3" formatCode="_(* #,##0.00_);_(* \(#,##0.00\);_(* &quot;-&quot;??_);_(@_)">
                  <c:v>21.139703288880117</c:v>
                </c:pt>
              </c:numCache>
            </c:numRef>
          </c:val>
        </c:ser>
        <c:ser>
          <c:idx val="75"/>
          <c:order val="75"/>
          <c:tx>
            <c:strRef>
              <c:f>bdGraficoMAT!$C$82</c:f>
              <c:strCache>
                <c:ptCount val="1"/>
                <c:pt idx="0">
                  <c:v>INFECÇÃO URINÁRIA</c:v>
                </c:pt>
              </c:strCache>
            </c:strRef>
          </c:tx>
          <c:spPr>
            <a:gradFill rotWithShape="1">
              <a:gsLst>
                <a:gs pos="0">
                  <a:schemeClr val="accent4">
                    <a:lumMod val="80000"/>
                    <a:satMod val="103000"/>
                    <a:lumMod val="102000"/>
                    <a:tint val="94000"/>
                  </a:schemeClr>
                </a:gs>
                <a:gs pos="50000">
                  <a:schemeClr val="accent4">
                    <a:lumMod val="80000"/>
                    <a:satMod val="110000"/>
                    <a:lumMod val="100000"/>
                    <a:shade val="100000"/>
                  </a:schemeClr>
                </a:gs>
                <a:gs pos="100000">
                  <a:schemeClr val="accent4">
                    <a:lumMod val="8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bdGraficoMAT!$D$82:$G$82</c:f>
              <c:numCache>
                <c:formatCode>_(* #,##0.00_);_(* \(#,##0.00\);_(* "-"??_);_(@_)</c:formatCode>
                <c:ptCount val="4"/>
                <c:pt idx="0">
                  <c:v>2</c:v>
                </c:pt>
                <c:pt idx="1">
                  <c:v>100</c:v>
                </c:pt>
                <c:pt idx="2">
                  <c:v>200</c:v>
                </c:pt>
                <c:pt idx="3">
                  <c:v>100</c:v>
                </c:pt>
              </c:numCache>
            </c:numRef>
          </c:val>
        </c:ser>
        <c:dLbls>
          <c:showLegendKey val="0"/>
          <c:showVal val="0"/>
          <c:showCatName val="0"/>
          <c:showSerName val="0"/>
          <c:showPercent val="0"/>
          <c:showBubbleSize val="0"/>
        </c:dLbls>
        <c:gapWidth val="100"/>
        <c:overlap val="-24"/>
        <c:axId val="364399520"/>
        <c:axId val="364400080"/>
      </c:barChart>
      <c:catAx>
        <c:axId val="36439952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bg1"/>
                </a:solidFill>
                <a:latin typeface="+mn-lt"/>
                <a:ea typeface="+mn-ea"/>
                <a:cs typeface="+mn-cs"/>
              </a:defRPr>
            </a:pPr>
            <a:endParaRPr lang="pt-BR"/>
          </a:p>
        </c:txPr>
        <c:crossAx val="364400080"/>
        <c:crosses val="autoZero"/>
        <c:auto val="1"/>
        <c:lblAlgn val="ctr"/>
        <c:lblOffset val="100"/>
        <c:noMultiLvlLbl val="0"/>
      </c:catAx>
      <c:valAx>
        <c:axId val="364400080"/>
        <c:scaling>
          <c:orientation val="minMax"/>
        </c:scaling>
        <c:delete val="1"/>
        <c:axPos val="l"/>
        <c:numFmt formatCode="#,##0" sourceLinked="1"/>
        <c:majorTickMark val="out"/>
        <c:minorTickMark val="none"/>
        <c:tickLblPos val="nextTo"/>
        <c:crossAx val="364399520"/>
        <c:crosses val="autoZero"/>
        <c:crossBetween val="between"/>
      </c:valAx>
      <c:spPr>
        <a:noFill/>
        <a:ln w="25400">
          <a:noFill/>
        </a:ln>
      </c:spPr>
    </c:plotArea>
    <c:plotVisOnly val="1"/>
    <c:dispBlanksAs val="gap"/>
    <c:showDLblsOverMax val="0"/>
  </c:chart>
  <c:spPr>
    <a:noFill/>
    <a:ln w="6350">
      <a:noFill/>
    </a:ln>
  </c:spPr>
  <c:txPr>
    <a:bodyPr/>
    <a:lstStyle/>
    <a:p>
      <a:pPr>
        <a:defRPr/>
      </a:pPr>
      <a:endParaRPr lang="pt-BR"/>
    </a:p>
  </c:txPr>
  <c:printSettings>
    <c:headerFooter/>
    <c:pageMargins b="0.78740157499999996" l="0.511811024" r="0.511811024" t="0.78740157499999996" header="0.31496062000000014" footer="0.3149606200000001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1187335958005258"/>
          <c:y val="7.7601410934744305E-2"/>
          <c:w val="0.50103429218870865"/>
          <c:h val="0.84479717813051181"/>
        </c:manualLayout>
      </c:layout>
      <c:barChart>
        <c:barDir val="bar"/>
        <c:grouping val="clustered"/>
        <c:varyColors val="0"/>
        <c:ser>
          <c:idx val="0"/>
          <c:order val="0"/>
          <c:spPr>
            <a:solidFill>
              <a:schemeClr val="bg1"/>
            </a:solidFill>
            <a:ln>
              <a:noFill/>
            </a:ln>
            <a:effectLst/>
          </c:spPr>
          <c:invertIfNegative val="0"/>
          <c:dLbls>
            <c:spPr>
              <a:noFill/>
              <a:ln w="25400">
                <a:noFill/>
              </a:ln>
            </c:spPr>
            <c:txPr>
              <a:bodyPr rot="0" spcFirstLastPara="1" vertOverflow="ellipsis" vert="horz" wrap="square" lIns="38100" tIns="19050" rIns="38100" bIns="19050" anchor="ctr" anchorCtr="1">
                <a:spAutoFit/>
              </a:bodyPr>
              <a:lstStyle/>
              <a:p>
                <a:pPr>
                  <a:defRPr sz="1600" b="0" i="0" u="none" strike="noStrike" kern="1200" baseline="0">
                    <a:solidFill>
                      <a:schemeClr val="bg1"/>
                    </a:solidFill>
                    <a:latin typeface="+mn-lt"/>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bdGraficoDoenças!$T$2:$W$2</c:f>
              <c:strCache>
                <c:ptCount val="4"/>
                <c:pt idx="0">
                  <c:v> Menor </c:v>
                </c:pt>
                <c:pt idx="1">
                  <c:v> Maior </c:v>
                </c:pt>
                <c:pt idx="2">
                  <c:v> Média </c:v>
                </c:pt>
                <c:pt idx="3">
                  <c:v> Amplitude </c:v>
                </c:pt>
              </c:strCache>
            </c:strRef>
          </c:cat>
          <c:val>
            <c:numRef>
              <c:f>bdGraficoDoenças!$T$3:$W$3</c:f>
              <c:numCache>
                <c:formatCode>0%</c:formatCode>
                <c:ptCount val="4"/>
                <c:pt idx="0">
                  <c:v>0.25716072840203291</c:v>
                </c:pt>
                <c:pt idx="1">
                  <c:v>0.32716072840203275</c:v>
                </c:pt>
                <c:pt idx="2">
                  <c:v>0.3057725796395635</c:v>
                </c:pt>
                <c:pt idx="3">
                  <c:v>6.9999999999999854E-2</c:v>
                </c:pt>
              </c:numCache>
            </c:numRef>
          </c:val>
        </c:ser>
        <c:dLbls>
          <c:showLegendKey val="0"/>
          <c:showVal val="1"/>
          <c:showCatName val="0"/>
          <c:showSerName val="0"/>
          <c:showPercent val="0"/>
          <c:showBubbleSize val="0"/>
        </c:dLbls>
        <c:gapWidth val="182"/>
        <c:axId val="364402320"/>
        <c:axId val="364402880"/>
      </c:barChart>
      <c:catAx>
        <c:axId val="36440232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bg1"/>
                </a:solidFill>
                <a:latin typeface="+mn-lt"/>
                <a:ea typeface="+mn-ea"/>
                <a:cs typeface="+mn-cs"/>
              </a:defRPr>
            </a:pPr>
            <a:endParaRPr lang="pt-BR"/>
          </a:p>
        </c:txPr>
        <c:crossAx val="364402880"/>
        <c:crosses val="autoZero"/>
        <c:auto val="1"/>
        <c:lblAlgn val="ctr"/>
        <c:lblOffset val="100"/>
        <c:noMultiLvlLbl val="0"/>
      </c:catAx>
      <c:valAx>
        <c:axId val="364402880"/>
        <c:scaling>
          <c:orientation val="minMax"/>
        </c:scaling>
        <c:delete val="1"/>
        <c:axPos val="b"/>
        <c:numFmt formatCode="0%" sourceLinked="1"/>
        <c:majorTickMark val="out"/>
        <c:minorTickMark val="none"/>
        <c:tickLblPos val="nextTo"/>
        <c:crossAx val="364402320"/>
        <c:crosses val="autoZero"/>
        <c:crossBetween val="between"/>
      </c:valAx>
      <c:spPr>
        <a:noFill/>
        <a:ln w="25400">
          <a:noFill/>
        </a:ln>
      </c:spPr>
    </c:plotArea>
    <c:plotVisOnly val="1"/>
    <c:dispBlanksAs val="gap"/>
    <c:showDLblsOverMax val="0"/>
  </c:chart>
  <c:spPr>
    <a:noFill/>
    <a:ln w="6350">
      <a:noFill/>
    </a:ln>
  </c:spPr>
  <c:txPr>
    <a:bodyPr/>
    <a:lstStyle/>
    <a:p>
      <a:pPr>
        <a:defRPr>
          <a:solidFill>
            <a:schemeClr val="bg1"/>
          </a:solidFill>
        </a:defRPr>
      </a:pPr>
      <a:endParaRPr lang="pt-BR"/>
    </a:p>
  </c:txPr>
  <c:printSettings>
    <c:headerFooter/>
    <c:pageMargins b="0.78740157499999996" l="0.511811024" r="0.511811024" t="0.78740157499999996" header="0.31496062000000014" footer="0.3149606200000001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474870314531927"/>
          <c:y val="0.18064321073789838"/>
          <c:w val="0.32471278658225816"/>
          <c:h val="0.56619223230007676"/>
        </c:manualLayout>
      </c:layout>
      <c:pieChart>
        <c:varyColors val="1"/>
        <c:ser>
          <c:idx val="0"/>
          <c:order val="0"/>
          <c:spPr>
            <a:solidFill>
              <a:schemeClr val="lt1"/>
            </a:solidFill>
            <a:ln w="19050">
              <a:solidFill>
                <a:srgbClr val="012F53"/>
              </a:solidFill>
            </a:ln>
            <a:effectLst/>
          </c:spPr>
          <c:dLbls>
            <c:numFmt formatCode="0.00%" sourceLinked="0"/>
            <c:spPr>
              <a:noFill/>
              <a:ln w="25400">
                <a:noFill/>
              </a:ln>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Segoe UI" panose="020B0502040204020203" pitchFamily="34" charset="0"/>
                    <a:ea typeface="Segoe UI" panose="020B0502040204020203" pitchFamily="34" charset="0"/>
                    <a:cs typeface="Segoe UI" panose="020B0502040204020203" pitchFamily="34" charset="0"/>
                  </a:defRPr>
                </a:pPr>
                <a:endParaRPr lang="pt-BR"/>
              </a:p>
            </c:txPr>
            <c:dLblPos val="outEnd"/>
            <c:showLegendKey val="0"/>
            <c:showVal val="1"/>
            <c:showCatName val="1"/>
            <c:showSerName val="0"/>
            <c:showPercent val="0"/>
            <c:showBubbleSize val="0"/>
            <c:separator> </c:separator>
            <c:showLeaderLines val="1"/>
            <c:leaderLines>
              <c:spPr>
                <a:ln w="9525">
                  <a:solidFill>
                    <a:schemeClr val="accent1">
                      <a:lumMod val="60000"/>
                      <a:lumOff val="40000"/>
                    </a:schemeClr>
                  </a:solidFill>
                </a:ln>
                <a:effectLst/>
              </c:spPr>
            </c:leaderLines>
            <c:extLst>
              <c:ext xmlns:c15="http://schemas.microsoft.com/office/drawing/2012/chart" uri="{CE6537A1-D6FC-4f65-9D91-7224C49458BB}">
                <c15:layout/>
              </c:ext>
            </c:extLst>
          </c:dLbls>
          <c:cat>
            <c:strRef>
              <c:f>bdGraficoDoenças!$X$2:$AC$2</c:f>
              <c:strCache>
                <c:ptCount val="6"/>
                <c:pt idx="0">
                  <c:v>Cofins</c:v>
                </c:pt>
                <c:pt idx="1">
                  <c:v>s/folha</c:v>
                </c:pt>
                <c:pt idx="2">
                  <c:v>Outros</c:v>
                </c:pt>
                <c:pt idx="3">
                  <c:v> PIS </c:v>
                </c:pt>
                <c:pt idx="4">
                  <c:v>s/lucro</c:v>
                </c:pt>
                <c:pt idx="5">
                  <c:v>ICMS</c:v>
                </c:pt>
              </c:strCache>
            </c:strRef>
          </c:cat>
          <c:val>
            <c:numRef>
              <c:f>bdGraficoDoenças!$X$3:$AC$3</c:f>
              <c:numCache>
                <c:formatCode>0.00%</c:formatCode>
                <c:ptCount val="6"/>
                <c:pt idx="0">
                  <c:v>4.9301242236024841E-2</c:v>
                </c:pt>
                <c:pt idx="1">
                  <c:v>3.2700000000000007E-2</c:v>
                </c:pt>
                <c:pt idx="2">
                  <c:v>1.350000000000001E-2</c:v>
                </c:pt>
                <c:pt idx="3">
                  <c:v>1.0459486166007906E-2</c:v>
                </c:pt>
                <c:pt idx="4">
                  <c:v>3.1200000000000019E-2</c:v>
                </c:pt>
                <c:pt idx="5" formatCode="0.000">
                  <c:v>0.18000000000000008</c:v>
                </c:pt>
              </c:numCache>
            </c:numRef>
          </c:val>
        </c:ser>
        <c:dLbls>
          <c:showLegendKey val="0"/>
          <c:showVal val="0"/>
          <c:showCatName val="0"/>
          <c:showSerName val="0"/>
          <c:showPercent val="1"/>
          <c:showBubbleSize val="0"/>
          <c:showLeaderLines val="1"/>
        </c:dLbls>
        <c:firstSliceAng val="0"/>
      </c:pieChart>
      <c:spPr>
        <a:noFill/>
        <a:ln w="25400">
          <a:noFill/>
        </a:ln>
      </c:spPr>
    </c:plotArea>
    <c:plotVisOnly val="1"/>
    <c:dispBlanksAs val="zero"/>
    <c:showDLblsOverMax val="0"/>
  </c:chart>
  <c:spPr>
    <a:noFill/>
    <a:ln w="9525" cap="flat" cmpd="sng" algn="ctr">
      <a:solidFill>
        <a:srgbClr val="012F53"/>
      </a:solidFill>
      <a:round/>
    </a:ln>
    <a:effectLst/>
  </c:spPr>
  <c:txPr>
    <a:bodyPr/>
    <a:lstStyle/>
    <a:p>
      <a:pPr>
        <a:defRPr/>
      </a:pPr>
      <a:endParaRPr lang="pt-BR"/>
    </a:p>
  </c:txPr>
  <c:printSettings>
    <c:headerFooter/>
    <c:pageMargins b="0.78740157499999996" l="0.511811024" r="0.511811024" t="0.78740157499999996" header="0.31496062000000014" footer="0.31496062000000014"/>
    <c:pageSetup/>
  </c:printSettings>
</c:chartSpace>
</file>

<file path=xl/ctrlProps/ctrlProp1.xml><?xml version="1.0" encoding="utf-8"?>
<formControlPr xmlns="http://schemas.microsoft.com/office/spreadsheetml/2009/9/main" objectType="Scroll" dx="22" fmlaLink="$AE$12" max="37" min="1" page="10"/>
</file>

<file path=xl/ctrlProps/ctrlProp2.xml><?xml version="1.0" encoding="utf-8"?>
<formControlPr xmlns="http://schemas.microsoft.com/office/spreadsheetml/2009/9/main" objectType="List" dx="16" fmlaLink="bdGraficoDoenças!$B$3" fmlaRange="bdGraficoDoenças!$C$7:$C$53" sel="47" val="8"/>
</file>

<file path=xl/ctrlProps/ctrlProp3.xml><?xml version="1.0" encoding="utf-8"?>
<formControlPr xmlns="http://schemas.microsoft.com/office/spreadsheetml/2009/9/main" objectType="Radio" firstButton="1" fmlaLink="bdGraficoDoenças!$AC$5"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Radio" lockText="1"/>
</file>

<file path=xl/ctrlProps/ctrlProp6.xml><?xml version="1.0" encoding="utf-8"?>
<formControlPr xmlns="http://schemas.microsoft.com/office/spreadsheetml/2009/9/main" objectType="Radio" lockText="1"/>
</file>

<file path=xl/ctrlProps/ctrlProp7.xml><?xml version="1.0" encoding="utf-8"?>
<formControlPr xmlns="http://schemas.microsoft.com/office/spreadsheetml/2009/9/main" objectType="Radio" lockText="1"/>
</file>

<file path=xl/ctrlProps/ctrlProp8.xml><?xml version="1.0" encoding="utf-8"?>
<formControlPr xmlns="http://schemas.microsoft.com/office/spreadsheetml/2009/9/main" objectType="Radio" lockText="1"/>
</file>

<file path=xl/ctrlProps/ctrlProp9.xml><?xml version="1.0" encoding="utf-8"?>
<formControlPr xmlns="http://schemas.microsoft.com/office/spreadsheetml/2009/9/main" objectType="Radio" lockText="1"/>
</file>

<file path=xl/ctrlProps/ctrlProp10.xml><?xml version="1.0" encoding="utf-8"?>
<formControlPr xmlns="http://schemas.microsoft.com/office/spreadsheetml/2009/9/main" objectType="Radio" lockText="1"/>
</file>

<file path=xl/ctrlProps/ctrlProp11.xml><?xml version="1.0" encoding="utf-8"?>
<formControlPr xmlns="http://schemas.microsoft.com/office/spreadsheetml/2009/9/main" objectType="Radio" lockText="1"/>
</file>

<file path=xl/ctrlProps/ctrlProp12.xml><?xml version="1.0" encoding="utf-8"?>
<formControlPr xmlns="http://schemas.microsoft.com/office/spreadsheetml/2009/9/main" objectType="Radio" lockText="1"/>
</file>

<file path=xl/ctrlProps/ctrlProp13.xml><?xml version="1.0" encoding="utf-8"?>
<formControlPr xmlns="http://schemas.microsoft.com/office/spreadsheetml/2009/9/main" objectType="Radio" lockText="1"/>
</file>

<file path=xl/ctrlProps/ctrlProp14.xml><?xml version="1.0" encoding="utf-8"?>
<formControlPr xmlns="http://schemas.microsoft.com/office/spreadsheetml/2009/9/main" objectType="Radio" lockText="1"/>
</file>

<file path=xl/ctrlProps/ctrlProp15.xml><?xml version="1.0" encoding="utf-8"?>
<formControlPr xmlns="http://schemas.microsoft.com/office/spreadsheetml/2009/9/main" objectType="Radio" lockText="1"/>
</file>

<file path=xl/ctrlProps/ctrlProp16.xml><?xml version="1.0" encoding="utf-8"?>
<formControlPr xmlns="http://schemas.microsoft.com/office/spreadsheetml/2009/9/main" objectType="Radio" lockText="1"/>
</file>

<file path=xl/ctrlProps/ctrlProp17.xml><?xml version="1.0" encoding="utf-8"?>
<formControlPr xmlns="http://schemas.microsoft.com/office/spreadsheetml/2009/9/main" objectType="Radio" lockText="1"/>
</file>

<file path=xl/ctrlProps/ctrlProp18.xml><?xml version="1.0" encoding="utf-8"?>
<formControlPr xmlns="http://schemas.microsoft.com/office/spreadsheetml/2009/9/main" objectType="Radio" checked="Checked" lockText="1"/>
</file>

<file path=xl/ctrlProps/ctrlProp19.xml><?xml version="1.0" encoding="utf-8"?>
<formControlPr xmlns="http://schemas.microsoft.com/office/spreadsheetml/2009/9/main" objectType="Scroll" dx="22" fmlaLink="RANKING!$AE$12" max="37" min="1" page="10"/>
</file>

<file path=xl/ctrlProps/ctrlProp20.xml><?xml version="1.0" encoding="utf-8"?>
<formControlPr xmlns="http://schemas.microsoft.com/office/spreadsheetml/2009/9/main" objectType="List" dx="16" fmlaLink="bdGraficoMAT!$B$3" fmlaRange="bdGraficoMAT!$C$7:$C$82" sel="23" val="0"/>
</file>

<file path=xl/ctrlProps/ctrlProp21.xml><?xml version="1.0" encoding="utf-8"?>
<formControlPr xmlns="http://schemas.microsoft.com/office/spreadsheetml/2009/9/main" objectType="Radio" firstButton="1" fmlaLink="bdGraficoDoenças!$AC$5" lockText="1"/>
</file>

<file path=xl/ctrlProps/ctrlProp22.xml><?xml version="1.0" encoding="utf-8"?>
<formControlPr xmlns="http://schemas.microsoft.com/office/spreadsheetml/2009/9/main" objectType="Radio" lockText="1"/>
</file>

<file path=xl/ctrlProps/ctrlProp23.xml><?xml version="1.0" encoding="utf-8"?>
<formControlPr xmlns="http://schemas.microsoft.com/office/spreadsheetml/2009/9/main" objectType="Radio" lockText="1"/>
</file>

<file path=xl/ctrlProps/ctrlProp24.xml><?xml version="1.0" encoding="utf-8"?>
<formControlPr xmlns="http://schemas.microsoft.com/office/spreadsheetml/2009/9/main" objectType="Radio" lockText="1"/>
</file>

<file path=xl/ctrlProps/ctrlProp25.xml><?xml version="1.0" encoding="utf-8"?>
<formControlPr xmlns="http://schemas.microsoft.com/office/spreadsheetml/2009/9/main" objectType="Radio" lockText="1"/>
</file>

<file path=xl/ctrlProps/ctrlProp26.xml><?xml version="1.0" encoding="utf-8"?>
<formControlPr xmlns="http://schemas.microsoft.com/office/spreadsheetml/2009/9/main" objectType="Radio" lockText="1"/>
</file>

<file path=xl/ctrlProps/ctrlProp27.xml><?xml version="1.0" encoding="utf-8"?>
<formControlPr xmlns="http://schemas.microsoft.com/office/spreadsheetml/2009/9/main" objectType="Radio" lockText="1"/>
</file>

<file path=xl/ctrlProps/ctrlProp28.xml><?xml version="1.0" encoding="utf-8"?>
<formControlPr xmlns="http://schemas.microsoft.com/office/spreadsheetml/2009/9/main" objectType="Radio" lockText="1"/>
</file>

<file path=xl/ctrlProps/ctrlProp29.xml><?xml version="1.0" encoding="utf-8"?>
<formControlPr xmlns="http://schemas.microsoft.com/office/spreadsheetml/2009/9/main" objectType="Radio" lockText="1"/>
</file>

<file path=xl/ctrlProps/ctrlProp30.xml><?xml version="1.0" encoding="utf-8"?>
<formControlPr xmlns="http://schemas.microsoft.com/office/spreadsheetml/2009/9/main" objectType="Radio" lockText="1"/>
</file>

<file path=xl/ctrlProps/ctrlProp31.xml><?xml version="1.0" encoding="utf-8"?>
<formControlPr xmlns="http://schemas.microsoft.com/office/spreadsheetml/2009/9/main" objectType="Radio" lockText="1"/>
</file>

<file path=xl/ctrlProps/ctrlProp32.xml><?xml version="1.0" encoding="utf-8"?>
<formControlPr xmlns="http://schemas.microsoft.com/office/spreadsheetml/2009/9/main" objectType="Radio" lockText="1"/>
</file>

<file path=xl/ctrlProps/ctrlProp33.xml><?xml version="1.0" encoding="utf-8"?>
<formControlPr xmlns="http://schemas.microsoft.com/office/spreadsheetml/2009/9/main" objectType="Radio" lockText="1"/>
</file>

<file path=xl/ctrlProps/ctrlProp34.xml><?xml version="1.0" encoding="utf-8"?>
<formControlPr xmlns="http://schemas.microsoft.com/office/spreadsheetml/2009/9/main" objectType="Radio" lockText="1"/>
</file>

<file path=xl/ctrlProps/ctrlProp35.xml><?xml version="1.0" encoding="utf-8"?>
<formControlPr xmlns="http://schemas.microsoft.com/office/spreadsheetml/2009/9/main" objectType="Radio" lockText="1"/>
</file>

<file path=xl/ctrlProps/ctrlProp36.xml><?xml version="1.0" encoding="utf-8"?>
<formControlPr xmlns="http://schemas.microsoft.com/office/spreadsheetml/2009/9/main" objectType="Radio" checked="Checked" lockText="1"/>
</file>

<file path=xl/ctrlProps/ctrlProp37.xml><?xml version="1.0" encoding="utf-8"?>
<formControlPr xmlns="http://schemas.microsoft.com/office/spreadsheetml/2009/9/main" objectType="Scroll" dx="22" fmlaLink="RANKING!$AE$12" max="37" min="1" page="10"/>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3.jpeg"/><Relationship Id="rId1" Type="http://schemas.openxmlformats.org/officeDocument/2006/relationships/chart" Target="../charts/chart1.xml"/><Relationship Id="rId6" Type="http://schemas.openxmlformats.org/officeDocument/2006/relationships/image" Target="../media/image4.emf"/><Relationship Id="rId5" Type="http://schemas.openxmlformats.org/officeDocument/2006/relationships/chart" Target="../charts/chart3.xml"/><Relationship Id="rId4"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jpeg"/><Relationship Id="rId1" Type="http://schemas.openxmlformats.org/officeDocument/2006/relationships/chart" Target="../charts/chart4.xml"/><Relationship Id="rId6" Type="http://schemas.openxmlformats.org/officeDocument/2006/relationships/image" Target="../media/image4.emf"/><Relationship Id="rId5" Type="http://schemas.openxmlformats.org/officeDocument/2006/relationships/chart" Target="../charts/chart6.xml"/><Relationship Id="rId4" Type="http://schemas.openxmlformats.org/officeDocument/2006/relationships/chart" Target="../charts/chart5.xml"/></Relationships>
</file>

<file path=xl/drawings/_rels/drawing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28</xdr:col>
          <xdr:colOff>371475</xdr:colOff>
          <xdr:row>8</xdr:row>
          <xdr:rowOff>76200</xdr:rowOff>
        </xdr:from>
        <xdr:to>
          <xdr:col>29</xdr:col>
          <xdr:colOff>152400</xdr:colOff>
          <xdr:row>21</xdr:row>
          <xdr:rowOff>161925</xdr:rowOff>
        </xdr:to>
        <xdr:sp macro="" textlink="">
          <xdr:nvSpPr>
            <xdr:cNvPr id="22549" name="Scroll Bar 21" hidden="1">
              <a:extLst>
                <a:ext uri="{63B3BB69-23CF-44E3-9099-C40C66FF867C}">
                  <a14:compatExt spid="_x0000_s22549"/>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0</xdr:col>
      <xdr:colOff>1333500</xdr:colOff>
      <xdr:row>4</xdr:row>
      <xdr:rowOff>0</xdr:rowOff>
    </xdr:to>
    <xdr:pic>
      <xdr:nvPicPr>
        <xdr:cNvPr id="2" name="Imagem 3" descr="Logo 01.jpg"/>
        <xdr:cNvPicPr>
          <a:picLocks noChangeAspect="1"/>
        </xdr:cNvPicPr>
      </xdr:nvPicPr>
      <xdr:blipFill>
        <a:blip xmlns:r="http://schemas.openxmlformats.org/officeDocument/2006/relationships" r:embed="rId1"/>
        <a:srcRect/>
        <a:stretch>
          <a:fillRect/>
        </a:stretch>
      </xdr:blipFill>
      <xdr:spPr bwMode="auto">
        <a:xfrm>
          <a:off x="0" y="95250"/>
          <a:ext cx="1333500" cy="676275"/>
        </a:xfrm>
        <a:prstGeom prst="rect">
          <a:avLst/>
        </a:prstGeom>
        <a:noFill/>
        <a:ln w="9525">
          <a:noFill/>
          <a:miter lim="800000"/>
          <a:headEnd/>
          <a:tailEnd/>
        </a:ln>
      </xdr:spPr>
    </xdr:pic>
    <xdr:clientData/>
  </xdr:twoCellAnchor>
  <xdr:oneCellAnchor>
    <xdr:from>
      <xdr:col>0</xdr:col>
      <xdr:colOff>1719311</xdr:colOff>
      <xdr:row>0</xdr:row>
      <xdr:rowOff>14654</xdr:rowOff>
    </xdr:from>
    <xdr:ext cx="2625555" cy="774571"/>
    <xdr:sp macro="" textlink="">
      <xdr:nvSpPr>
        <xdr:cNvPr id="3" name="CaixaDeTexto 2"/>
        <xdr:cNvSpPr txBox="1"/>
      </xdr:nvSpPr>
      <xdr:spPr>
        <a:xfrm>
          <a:off x="1719311" y="14654"/>
          <a:ext cx="2625555" cy="7745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BR" sz="2000">
              <a:solidFill>
                <a:srgbClr val="012F53"/>
              </a:solidFill>
              <a:latin typeface="Segoe UI" panose="020B0502040204020203" pitchFamily="34" charset="0"/>
              <a:ea typeface="Segoe UI" panose="020B0502040204020203" pitchFamily="34" charset="0"/>
              <a:cs typeface="Segoe UI" panose="020B0502040204020203" pitchFamily="34" charset="0"/>
            </a:rPr>
            <a:t>Média por doenças mais populares</a:t>
          </a:r>
        </a:p>
      </xdr:txBody>
    </xdr:sp>
    <xdr:clientData/>
  </xdr:oneCellAnchor>
  <xdr:twoCellAnchor editAs="oneCell">
    <xdr:from>
      <xdr:col>12</xdr:col>
      <xdr:colOff>276225</xdr:colOff>
      <xdr:row>0</xdr:row>
      <xdr:rowOff>142875</xdr:rowOff>
    </xdr:from>
    <xdr:to>
      <xdr:col>14</xdr:col>
      <xdr:colOff>314325</xdr:colOff>
      <xdr:row>4</xdr:row>
      <xdr:rowOff>85725</xdr:rowOff>
    </xdr:to>
    <xdr:pic>
      <xdr:nvPicPr>
        <xdr:cNvPr id="4" name="Imagem 5"/>
        <xdr:cNvPicPr>
          <a:picLocks noChangeAspect="1"/>
        </xdr:cNvPicPr>
      </xdr:nvPicPr>
      <xdr:blipFill>
        <a:blip xmlns:r="http://schemas.openxmlformats.org/officeDocument/2006/relationships" r:embed="rId2"/>
        <a:srcRect/>
        <a:stretch>
          <a:fillRect/>
        </a:stretch>
      </xdr:blipFill>
      <xdr:spPr bwMode="auto">
        <a:xfrm>
          <a:off x="9086850" y="142875"/>
          <a:ext cx="1143000" cy="71437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0</xdr:col>
      <xdr:colOff>1333500</xdr:colOff>
      <xdr:row>4</xdr:row>
      <xdr:rowOff>0</xdr:rowOff>
    </xdr:to>
    <xdr:pic>
      <xdr:nvPicPr>
        <xdr:cNvPr id="43012" name="Imagem 3" descr="Logo 01.jpg"/>
        <xdr:cNvPicPr>
          <a:picLocks noChangeAspect="1"/>
        </xdr:cNvPicPr>
      </xdr:nvPicPr>
      <xdr:blipFill>
        <a:blip xmlns:r="http://schemas.openxmlformats.org/officeDocument/2006/relationships" r:embed="rId1"/>
        <a:srcRect/>
        <a:stretch>
          <a:fillRect/>
        </a:stretch>
      </xdr:blipFill>
      <xdr:spPr bwMode="auto">
        <a:xfrm>
          <a:off x="0" y="95250"/>
          <a:ext cx="1333500" cy="676275"/>
        </a:xfrm>
        <a:prstGeom prst="rect">
          <a:avLst/>
        </a:prstGeom>
        <a:noFill/>
        <a:ln w="9525">
          <a:noFill/>
          <a:miter lim="800000"/>
          <a:headEnd/>
          <a:tailEnd/>
        </a:ln>
      </xdr:spPr>
    </xdr:pic>
    <xdr:clientData/>
  </xdr:twoCellAnchor>
  <xdr:oneCellAnchor>
    <xdr:from>
      <xdr:col>0</xdr:col>
      <xdr:colOff>1719311</xdr:colOff>
      <xdr:row>0</xdr:row>
      <xdr:rowOff>14654</xdr:rowOff>
    </xdr:from>
    <xdr:ext cx="2625555" cy="774571"/>
    <xdr:sp macro="" textlink="">
      <xdr:nvSpPr>
        <xdr:cNvPr id="5" name="CaixaDeTexto 4"/>
        <xdr:cNvSpPr txBox="1"/>
      </xdr:nvSpPr>
      <xdr:spPr>
        <a:xfrm>
          <a:off x="1719311" y="14654"/>
          <a:ext cx="2625555" cy="7745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BR" sz="2000">
              <a:solidFill>
                <a:srgbClr val="012F53"/>
              </a:solidFill>
              <a:latin typeface="Segoe UI" panose="020B0502040204020203" pitchFamily="34" charset="0"/>
              <a:ea typeface="Segoe UI" panose="020B0502040204020203" pitchFamily="34" charset="0"/>
              <a:cs typeface="Segoe UI" panose="020B0502040204020203" pitchFamily="34" charset="0"/>
            </a:rPr>
            <a:t>Média por doenças mais populares</a:t>
          </a:r>
        </a:p>
      </xdr:txBody>
    </xdr:sp>
    <xdr:clientData/>
  </xdr:oneCellAnchor>
  <xdr:twoCellAnchor editAs="oneCell">
    <xdr:from>
      <xdr:col>12</xdr:col>
      <xdr:colOff>276225</xdr:colOff>
      <xdr:row>0</xdr:row>
      <xdr:rowOff>142875</xdr:rowOff>
    </xdr:from>
    <xdr:to>
      <xdr:col>14</xdr:col>
      <xdr:colOff>314325</xdr:colOff>
      <xdr:row>4</xdr:row>
      <xdr:rowOff>85725</xdr:rowOff>
    </xdr:to>
    <xdr:pic>
      <xdr:nvPicPr>
        <xdr:cNvPr id="43014" name="Imagem 5"/>
        <xdr:cNvPicPr>
          <a:picLocks noChangeAspect="1"/>
        </xdr:cNvPicPr>
      </xdr:nvPicPr>
      <xdr:blipFill>
        <a:blip xmlns:r="http://schemas.openxmlformats.org/officeDocument/2006/relationships" r:embed="rId2"/>
        <a:srcRect/>
        <a:stretch>
          <a:fillRect/>
        </a:stretch>
      </xdr:blipFill>
      <xdr:spPr bwMode="auto">
        <a:xfrm>
          <a:off x="8943975" y="142875"/>
          <a:ext cx="1143000" cy="71437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228600</xdr:colOff>
      <xdr:row>5</xdr:row>
      <xdr:rowOff>123825</xdr:rowOff>
    </xdr:from>
    <xdr:to>
      <xdr:col>19</xdr:col>
      <xdr:colOff>552450</xdr:colOff>
      <xdr:row>16</xdr:row>
      <xdr:rowOff>142875</xdr:rowOff>
    </xdr:to>
    <xdr:graphicFrame macro="">
      <xdr:nvGraphicFramePr>
        <xdr:cNvPr id="11571" name="Gráfico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171450</xdr:colOff>
      <xdr:row>0</xdr:row>
      <xdr:rowOff>47625</xdr:rowOff>
    </xdr:from>
    <xdr:to>
      <xdr:col>2</xdr:col>
      <xdr:colOff>276225</xdr:colOff>
      <xdr:row>3</xdr:row>
      <xdr:rowOff>152400</xdr:rowOff>
    </xdr:to>
    <xdr:pic>
      <xdr:nvPicPr>
        <xdr:cNvPr id="11572" name="Imagem 3" descr="Logo 01.jpg"/>
        <xdr:cNvPicPr>
          <a:picLocks noChangeAspect="1"/>
        </xdr:cNvPicPr>
      </xdr:nvPicPr>
      <xdr:blipFill>
        <a:blip xmlns:r="http://schemas.openxmlformats.org/officeDocument/2006/relationships" r:embed="rId2" cstate="print"/>
        <a:srcRect/>
        <a:stretch>
          <a:fillRect/>
        </a:stretch>
      </xdr:blipFill>
      <xdr:spPr bwMode="auto">
        <a:xfrm>
          <a:off x="171450" y="47625"/>
          <a:ext cx="1323975" cy="676275"/>
        </a:xfrm>
        <a:prstGeom prst="rect">
          <a:avLst/>
        </a:prstGeom>
        <a:noFill/>
        <a:ln w="9525">
          <a:noFill/>
          <a:miter lim="800000"/>
          <a:headEnd/>
          <a:tailEnd/>
        </a:ln>
      </xdr:spPr>
    </xdr:pic>
    <xdr:clientData/>
  </xdr:twoCellAnchor>
  <xdr:oneCellAnchor>
    <xdr:from>
      <xdr:col>3</xdr:col>
      <xdr:colOff>66675</xdr:colOff>
      <xdr:row>0</xdr:row>
      <xdr:rowOff>0</xdr:rowOff>
    </xdr:from>
    <xdr:ext cx="6522548" cy="471143"/>
    <xdr:sp macro="" textlink="">
      <xdr:nvSpPr>
        <xdr:cNvPr id="2" name="CaixaDeTexto 1"/>
        <xdr:cNvSpPr txBox="1"/>
      </xdr:nvSpPr>
      <xdr:spPr>
        <a:xfrm>
          <a:off x="1895475" y="0"/>
          <a:ext cx="6627905" cy="433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2000">
              <a:solidFill>
                <a:srgbClr val="012F53"/>
              </a:solidFill>
              <a:latin typeface="Segoe UI" panose="020B0502040204020203" pitchFamily="34" charset="0"/>
              <a:ea typeface="Segoe UI" panose="020B0502040204020203" pitchFamily="34" charset="0"/>
              <a:cs typeface="Segoe UI" panose="020B0502040204020203" pitchFamily="34" charset="0"/>
            </a:rPr>
            <a:t>Carga</a:t>
          </a:r>
          <a:r>
            <a:rPr lang="pt-BR" sz="2000" baseline="0">
              <a:solidFill>
                <a:srgbClr val="012F53"/>
              </a:solidFill>
              <a:latin typeface="Segoe UI" panose="020B0502040204020203" pitchFamily="34" charset="0"/>
              <a:ea typeface="Segoe UI" panose="020B0502040204020203" pitchFamily="34" charset="0"/>
              <a:cs typeface="Segoe UI" panose="020B0502040204020203" pitchFamily="34" charset="0"/>
            </a:rPr>
            <a:t> tributária de acordo com a classificação da doença</a:t>
          </a:r>
          <a:endParaRPr lang="pt-BR" sz="2000">
            <a:solidFill>
              <a:srgbClr val="012F53"/>
            </a:solidFill>
            <a:latin typeface="Segoe UI" panose="020B0502040204020203" pitchFamily="34" charset="0"/>
            <a:ea typeface="Segoe UI" panose="020B0502040204020203" pitchFamily="34" charset="0"/>
            <a:cs typeface="Segoe UI" panose="020B0502040204020203" pitchFamily="34" charset="0"/>
          </a:endParaRPr>
        </a:p>
      </xdr:txBody>
    </xdr:sp>
    <xdr:clientData/>
  </xdr:oneCellAnchor>
  <xdr:twoCellAnchor editAs="oneCell">
    <xdr:from>
      <xdr:col>17</xdr:col>
      <xdr:colOff>533400</xdr:colOff>
      <xdr:row>0</xdr:row>
      <xdr:rowOff>47625</xdr:rowOff>
    </xdr:from>
    <xdr:to>
      <xdr:col>19</xdr:col>
      <xdr:colOff>457200</xdr:colOff>
      <xdr:row>3</xdr:row>
      <xdr:rowOff>190500</xdr:rowOff>
    </xdr:to>
    <xdr:pic>
      <xdr:nvPicPr>
        <xdr:cNvPr id="11574" name="Imagem 6"/>
        <xdr:cNvPicPr>
          <a:picLocks noChangeAspect="1"/>
        </xdr:cNvPicPr>
      </xdr:nvPicPr>
      <xdr:blipFill>
        <a:blip xmlns:r="http://schemas.openxmlformats.org/officeDocument/2006/relationships" r:embed="rId3"/>
        <a:srcRect/>
        <a:stretch>
          <a:fillRect/>
        </a:stretch>
      </xdr:blipFill>
      <xdr:spPr bwMode="auto">
        <a:xfrm>
          <a:off x="10896600" y="47625"/>
          <a:ext cx="1143000" cy="714375"/>
        </a:xfrm>
        <a:prstGeom prst="rect">
          <a:avLst/>
        </a:prstGeom>
        <a:noFill/>
        <a:ln w="9525">
          <a:noFill/>
          <a:miter lim="800000"/>
          <a:headEnd/>
          <a:tailEnd/>
        </a:ln>
      </xdr:spPr>
    </xdr:pic>
    <xdr:clientData/>
  </xdr:twoCellAnchor>
  <xdr:oneCellAnchor>
    <xdr:from>
      <xdr:col>3</xdr:col>
      <xdr:colOff>66675</xdr:colOff>
      <xdr:row>2</xdr:row>
      <xdr:rowOff>0</xdr:rowOff>
    </xdr:from>
    <xdr:ext cx="6496050" cy="399405"/>
    <xdr:sp macro="" textlink="bdGraficoDoenças!C4">
      <xdr:nvSpPr>
        <xdr:cNvPr id="8" name="CaixaDeTexto 7"/>
        <xdr:cNvSpPr txBox="1"/>
      </xdr:nvSpPr>
      <xdr:spPr>
        <a:xfrm>
          <a:off x="1895475" y="381000"/>
          <a:ext cx="6496050" cy="3994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fld id="{7FC08951-DB51-4A14-8740-FAAABAFDF40B}" type="TxLink">
            <a:rPr lang="en-US" sz="1800" b="0" i="0" u="none" strike="noStrike">
              <a:solidFill>
                <a:srgbClr val="012F53"/>
              </a:solidFill>
              <a:latin typeface="Segoe UI" panose="020B0502040204020203" pitchFamily="34" charset="0"/>
              <a:ea typeface="Segoe UI" panose="020B0502040204020203" pitchFamily="34" charset="0"/>
              <a:cs typeface="Segoe UI" panose="020B0502040204020203" pitchFamily="34" charset="0"/>
            </a:rPr>
            <a:pPr/>
            <a:t>Grupo: Média De Todas As Doenças</a:t>
          </a:fld>
          <a:endParaRPr lang="pt-BR" sz="1800">
            <a:solidFill>
              <a:srgbClr val="012F53"/>
            </a:solidFill>
            <a:latin typeface="Segoe UI" panose="020B0502040204020203" pitchFamily="34" charset="0"/>
            <a:ea typeface="Segoe UI" panose="020B0502040204020203" pitchFamily="34" charset="0"/>
            <a:cs typeface="Segoe UI" panose="020B0502040204020203" pitchFamily="34" charset="0"/>
          </a:endParaRPr>
        </a:p>
      </xdr:txBody>
    </xdr:sp>
    <xdr:clientData/>
  </xdr:oneCellAnchor>
  <xdr:oneCellAnchor>
    <xdr:from>
      <xdr:col>9</xdr:col>
      <xdr:colOff>281609</xdr:colOff>
      <xdr:row>3</xdr:row>
      <xdr:rowOff>189258</xdr:rowOff>
    </xdr:from>
    <xdr:ext cx="2885691" cy="413284"/>
    <xdr:sp macro="" textlink="">
      <xdr:nvSpPr>
        <xdr:cNvPr id="9" name="CaixaDeTexto 8"/>
        <xdr:cNvSpPr txBox="1"/>
      </xdr:nvSpPr>
      <xdr:spPr>
        <a:xfrm>
          <a:off x="5797826" y="760758"/>
          <a:ext cx="2914452" cy="3652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600" u="sng">
              <a:solidFill>
                <a:schemeClr val="bg1"/>
              </a:solidFill>
              <a:latin typeface="Segoe UI" panose="020B0502040204020203" pitchFamily="34" charset="0"/>
              <a:ea typeface="Segoe UI" panose="020B0502040204020203" pitchFamily="34" charset="0"/>
              <a:cs typeface="Segoe UI" panose="020B0502040204020203" pitchFamily="34" charset="0"/>
            </a:rPr>
            <a:t>Carga Tributária média por UF</a:t>
          </a:r>
        </a:p>
      </xdr:txBody>
    </xdr:sp>
    <xdr:clientData/>
  </xdr:oneCellAnchor>
  <xdr:twoCellAnchor>
    <xdr:from>
      <xdr:col>9</xdr:col>
      <xdr:colOff>19050</xdr:colOff>
      <xdr:row>21</xdr:row>
      <xdr:rowOff>57150</xdr:rowOff>
    </xdr:from>
    <xdr:to>
      <xdr:col>14</xdr:col>
      <xdr:colOff>190500</xdr:colOff>
      <xdr:row>30</xdr:row>
      <xdr:rowOff>142875</xdr:rowOff>
    </xdr:to>
    <xdr:graphicFrame macro="">
      <xdr:nvGraphicFramePr>
        <xdr:cNvPr id="11577" name="Gráfico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13</xdr:col>
      <xdr:colOff>304800</xdr:colOff>
      <xdr:row>19</xdr:row>
      <xdr:rowOff>180975</xdr:rowOff>
    </xdr:from>
    <xdr:to>
      <xdr:col>21</xdr:col>
      <xdr:colOff>180975</xdr:colOff>
      <xdr:row>33</xdr:row>
      <xdr:rowOff>114300</xdr:rowOff>
    </xdr:to>
    <xdr:graphicFrame macro="">
      <xdr:nvGraphicFramePr>
        <xdr:cNvPr id="11578" name="Gráfico 2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oneCellAnchor>
    <xdr:from>
      <xdr:col>15</xdr:col>
      <xdr:colOff>33954</xdr:colOff>
      <xdr:row>19</xdr:row>
      <xdr:rowOff>8695</xdr:rowOff>
    </xdr:from>
    <xdr:ext cx="2533650" cy="365228"/>
    <xdr:sp macro="" textlink="bdGraficoDoenças!AC4">
      <xdr:nvSpPr>
        <xdr:cNvPr id="28" name="CaixaDeTexto 27"/>
        <xdr:cNvSpPr txBox="1"/>
      </xdr:nvSpPr>
      <xdr:spPr>
        <a:xfrm>
          <a:off x="9227650" y="3628195"/>
          <a:ext cx="2533650" cy="3652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fld id="{E4F366AF-1FD5-42B3-A68F-24B3ED7A63F0}" type="TxLink">
            <a:rPr lang="en-US" sz="1600" b="0" i="0" u="sng" strike="noStrike">
              <a:solidFill>
                <a:schemeClr val="bg1"/>
              </a:solidFill>
              <a:latin typeface="Segoe UI" panose="020B0502040204020203" pitchFamily="34" charset="0"/>
              <a:ea typeface="Segoe UI" panose="020B0502040204020203" pitchFamily="34" charset="0"/>
              <a:cs typeface="Segoe UI" panose="020B0502040204020203" pitchFamily="34" charset="0"/>
            </a:rPr>
            <a:pPr algn="ctr"/>
            <a:t>Composição na UF: SP </a:t>
          </a:fld>
          <a:endParaRPr lang="pt-BR" sz="2400" u="sng">
            <a:solidFill>
              <a:schemeClr val="bg1"/>
            </a:solidFill>
            <a:latin typeface="Segoe UI" panose="020B0502040204020203" pitchFamily="34" charset="0"/>
            <a:ea typeface="Segoe UI" panose="020B0502040204020203" pitchFamily="34" charset="0"/>
            <a:cs typeface="Segoe UI" panose="020B0502040204020203" pitchFamily="34" charset="0"/>
          </a:endParaRPr>
        </a:p>
      </xdr:txBody>
    </xdr:sp>
    <xdr:clientData/>
  </xdr:oneCellAnchor>
  <xdr:oneCellAnchor>
    <xdr:from>
      <xdr:col>9</xdr:col>
      <xdr:colOff>371885</xdr:colOff>
      <xdr:row>18</xdr:row>
      <xdr:rowOff>181841</xdr:rowOff>
    </xdr:from>
    <xdr:ext cx="2251820" cy="365228"/>
    <xdr:sp macro="" textlink="">
      <xdr:nvSpPr>
        <xdr:cNvPr id="29" name="CaixaDeTexto 28"/>
        <xdr:cNvSpPr txBox="1"/>
      </xdr:nvSpPr>
      <xdr:spPr>
        <a:xfrm>
          <a:off x="5827112" y="3610841"/>
          <a:ext cx="2251820" cy="3652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BR" sz="1600" u="sng">
              <a:solidFill>
                <a:schemeClr val="bg1"/>
              </a:solidFill>
              <a:latin typeface="Segoe UI" panose="020B0502040204020203" pitchFamily="34" charset="0"/>
              <a:ea typeface="Segoe UI" panose="020B0502040204020203" pitchFamily="34" charset="0"/>
              <a:cs typeface="Segoe UI" panose="020B0502040204020203" pitchFamily="34" charset="0"/>
            </a:rPr>
            <a:t>Carga Tributária Média</a:t>
          </a:r>
        </a:p>
      </xdr:txBody>
    </xdr:sp>
    <xdr:clientData/>
  </xdr:oneCellAnchor>
  <mc:AlternateContent xmlns:mc="http://schemas.openxmlformats.org/markup-compatibility/2006">
    <mc:Choice xmlns:a14="http://schemas.microsoft.com/office/drawing/2010/main" Requires="a14">
      <xdr:twoCellAnchor editAs="absolute">
        <xdr:from>
          <xdr:col>0</xdr:col>
          <xdr:colOff>323850</xdr:colOff>
          <xdr:row>5</xdr:row>
          <xdr:rowOff>85725</xdr:rowOff>
        </xdr:from>
        <xdr:to>
          <xdr:col>3</xdr:col>
          <xdr:colOff>552450</xdr:colOff>
          <xdr:row>30</xdr:row>
          <xdr:rowOff>161925</xdr:rowOff>
        </xdr:to>
        <xdr:sp macro="" textlink="">
          <xdr:nvSpPr>
            <xdr:cNvPr id="11266" name="List Box 2" hidden="1">
              <a:extLst>
                <a:ext uri="{63B3BB69-23CF-44E3-9099-C40C66FF867C}">
                  <a14:compatExt spid="_x0000_s1126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16</xdr:row>
          <xdr:rowOff>9525</xdr:rowOff>
        </xdr:from>
        <xdr:to>
          <xdr:col>5</xdr:col>
          <xdr:colOff>219075</xdr:colOff>
          <xdr:row>17</xdr:row>
          <xdr:rowOff>9525</xdr:rowOff>
        </xdr:to>
        <xdr:sp macro="" textlink="">
          <xdr:nvSpPr>
            <xdr:cNvPr id="11267" name="Option Button 3" hidden="1">
              <a:extLst>
                <a:ext uri="{63B3BB69-23CF-44E3-9099-C40C66FF867C}">
                  <a14:compatExt spid="_x0000_s112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495300</xdr:colOff>
          <xdr:row>16</xdr:row>
          <xdr:rowOff>19050</xdr:rowOff>
        </xdr:from>
        <xdr:to>
          <xdr:col>6</xdr:col>
          <xdr:colOff>180975</xdr:colOff>
          <xdr:row>17</xdr:row>
          <xdr:rowOff>19050</xdr:rowOff>
        </xdr:to>
        <xdr:sp macro="" textlink="">
          <xdr:nvSpPr>
            <xdr:cNvPr id="11268" name="Option Button 4" hidden="1">
              <a:extLst>
                <a:ext uri="{63B3BB69-23CF-44E3-9099-C40C66FF867C}">
                  <a14:compatExt spid="_x0000_s112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466725</xdr:colOff>
          <xdr:row>16</xdr:row>
          <xdr:rowOff>9525</xdr:rowOff>
        </xdr:from>
        <xdr:to>
          <xdr:col>7</xdr:col>
          <xdr:colOff>152400</xdr:colOff>
          <xdr:row>17</xdr:row>
          <xdr:rowOff>9525</xdr:rowOff>
        </xdr:to>
        <xdr:sp macro="" textlink="">
          <xdr:nvSpPr>
            <xdr:cNvPr id="11269" name="Option Button 5" hidden="1">
              <a:extLst>
                <a:ext uri="{63B3BB69-23CF-44E3-9099-C40C66FF867C}">
                  <a14:compatExt spid="_x0000_s112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428625</xdr:colOff>
          <xdr:row>16</xdr:row>
          <xdr:rowOff>19050</xdr:rowOff>
        </xdr:from>
        <xdr:to>
          <xdr:col>8</xdr:col>
          <xdr:colOff>114300</xdr:colOff>
          <xdr:row>17</xdr:row>
          <xdr:rowOff>19050</xdr:rowOff>
        </xdr:to>
        <xdr:sp macro="" textlink="">
          <xdr:nvSpPr>
            <xdr:cNvPr id="11270" name="Option Button 6" hidden="1">
              <a:extLst>
                <a:ext uri="{63B3BB69-23CF-44E3-9099-C40C66FF867C}">
                  <a14:compatExt spid="_x0000_s112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390525</xdr:colOff>
          <xdr:row>16</xdr:row>
          <xdr:rowOff>19050</xdr:rowOff>
        </xdr:from>
        <xdr:to>
          <xdr:col>9</xdr:col>
          <xdr:colOff>76200</xdr:colOff>
          <xdr:row>17</xdr:row>
          <xdr:rowOff>19050</xdr:rowOff>
        </xdr:to>
        <xdr:sp macro="" textlink="">
          <xdr:nvSpPr>
            <xdr:cNvPr id="11271" name="Option Button 7" hidden="1">
              <a:extLst>
                <a:ext uri="{63B3BB69-23CF-44E3-9099-C40C66FF867C}">
                  <a14:compatExt spid="_x0000_s112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352425</xdr:colOff>
          <xdr:row>16</xdr:row>
          <xdr:rowOff>9525</xdr:rowOff>
        </xdr:from>
        <xdr:to>
          <xdr:col>10</xdr:col>
          <xdr:colOff>38100</xdr:colOff>
          <xdr:row>17</xdr:row>
          <xdr:rowOff>9525</xdr:rowOff>
        </xdr:to>
        <xdr:sp macro="" textlink="">
          <xdr:nvSpPr>
            <xdr:cNvPr id="11272" name="Option Button 8" hidden="1">
              <a:extLst>
                <a:ext uri="{63B3BB69-23CF-44E3-9099-C40C66FF867C}">
                  <a14:compatExt spid="_x0000_s112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314325</xdr:colOff>
          <xdr:row>16</xdr:row>
          <xdr:rowOff>9525</xdr:rowOff>
        </xdr:from>
        <xdr:to>
          <xdr:col>11</xdr:col>
          <xdr:colOff>0</xdr:colOff>
          <xdr:row>17</xdr:row>
          <xdr:rowOff>9525</xdr:rowOff>
        </xdr:to>
        <xdr:sp macro="" textlink="">
          <xdr:nvSpPr>
            <xdr:cNvPr id="11273" name="Option Button 9" hidden="1">
              <a:extLst>
                <a:ext uri="{63B3BB69-23CF-44E3-9099-C40C66FF867C}">
                  <a14:compatExt spid="_x0000_s112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295275</xdr:colOff>
          <xdr:row>16</xdr:row>
          <xdr:rowOff>19050</xdr:rowOff>
        </xdr:from>
        <xdr:to>
          <xdr:col>11</xdr:col>
          <xdr:colOff>590550</xdr:colOff>
          <xdr:row>17</xdr:row>
          <xdr:rowOff>19050</xdr:rowOff>
        </xdr:to>
        <xdr:sp macro="" textlink="">
          <xdr:nvSpPr>
            <xdr:cNvPr id="11274" name="Option Button 10" hidden="1">
              <a:extLst>
                <a:ext uri="{63B3BB69-23CF-44E3-9099-C40C66FF867C}">
                  <a14:compatExt spid="_x0000_s112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16</xdr:row>
          <xdr:rowOff>9525</xdr:rowOff>
        </xdr:from>
        <xdr:to>
          <xdr:col>12</xdr:col>
          <xdr:colOff>542925</xdr:colOff>
          <xdr:row>17</xdr:row>
          <xdr:rowOff>9525</xdr:rowOff>
        </xdr:to>
        <xdr:sp macro="" textlink="">
          <xdr:nvSpPr>
            <xdr:cNvPr id="11275" name="Option Button 11" hidden="1">
              <a:extLst>
                <a:ext uri="{63B3BB69-23CF-44E3-9099-C40C66FF867C}">
                  <a14:compatExt spid="_x0000_s112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219075</xdr:colOff>
          <xdr:row>16</xdr:row>
          <xdr:rowOff>9525</xdr:rowOff>
        </xdr:from>
        <xdr:to>
          <xdr:col>13</xdr:col>
          <xdr:colOff>514350</xdr:colOff>
          <xdr:row>17</xdr:row>
          <xdr:rowOff>9525</xdr:rowOff>
        </xdr:to>
        <xdr:sp macro="" textlink="">
          <xdr:nvSpPr>
            <xdr:cNvPr id="11276" name="Option Button 12" hidden="1">
              <a:extLst>
                <a:ext uri="{63B3BB69-23CF-44E3-9099-C40C66FF867C}">
                  <a14:compatExt spid="_x0000_s112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16</xdr:row>
          <xdr:rowOff>9525</xdr:rowOff>
        </xdr:from>
        <xdr:to>
          <xdr:col>14</xdr:col>
          <xdr:colOff>476250</xdr:colOff>
          <xdr:row>17</xdr:row>
          <xdr:rowOff>9525</xdr:rowOff>
        </xdr:to>
        <xdr:sp macro="" textlink="">
          <xdr:nvSpPr>
            <xdr:cNvPr id="11277" name="Option Button 13" hidden="1">
              <a:extLst>
                <a:ext uri="{63B3BB69-23CF-44E3-9099-C40C66FF867C}">
                  <a14:compatExt spid="_x0000_s112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152400</xdr:colOff>
          <xdr:row>16</xdr:row>
          <xdr:rowOff>9525</xdr:rowOff>
        </xdr:from>
        <xdr:to>
          <xdr:col>15</xdr:col>
          <xdr:colOff>447675</xdr:colOff>
          <xdr:row>17</xdr:row>
          <xdr:rowOff>9525</xdr:rowOff>
        </xdr:to>
        <xdr:sp macro="" textlink="">
          <xdr:nvSpPr>
            <xdr:cNvPr id="11278" name="Option Button 14" hidden="1">
              <a:extLst>
                <a:ext uri="{63B3BB69-23CF-44E3-9099-C40C66FF867C}">
                  <a14:compatExt spid="_x0000_s112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16</xdr:row>
          <xdr:rowOff>0</xdr:rowOff>
        </xdr:from>
        <xdr:to>
          <xdr:col>16</xdr:col>
          <xdr:colOff>409575</xdr:colOff>
          <xdr:row>17</xdr:row>
          <xdr:rowOff>0</xdr:rowOff>
        </xdr:to>
        <xdr:sp macro="" textlink="">
          <xdr:nvSpPr>
            <xdr:cNvPr id="11279" name="Option Button 15" hidden="1">
              <a:extLst>
                <a:ext uri="{63B3BB69-23CF-44E3-9099-C40C66FF867C}">
                  <a14:compatExt spid="_x0000_s112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16</xdr:row>
          <xdr:rowOff>9525</xdr:rowOff>
        </xdr:from>
        <xdr:to>
          <xdr:col>17</xdr:col>
          <xdr:colOff>381000</xdr:colOff>
          <xdr:row>17</xdr:row>
          <xdr:rowOff>9525</xdr:rowOff>
        </xdr:to>
        <xdr:sp macro="" textlink="">
          <xdr:nvSpPr>
            <xdr:cNvPr id="11280" name="Option Button 16" hidden="1">
              <a:extLst>
                <a:ext uri="{63B3BB69-23CF-44E3-9099-C40C66FF867C}">
                  <a14:compatExt spid="_x0000_s112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16</xdr:row>
          <xdr:rowOff>9525</xdr:rowOff>
        </xdr:from>
        <xdr:to>
          <xdr:col>18</xdr:col>
          <xdr:colOff>333375</xdr:colOff>
          <xdr:row>17</xdr:row>
          <xdr:rowOff>9525</xdr:rowOff>
        </xdr:to>
        <xdr:sp macro="" textlink="">
          <xdr:nvSpPr>
            <xdr:cNvPr id="11281" name="Option Button 17" hidden="1">
              <a:extLst>
                <a:ext uri="{63B3BB69-23CF-44E3-9099-C40C66FF867C}">
                  <a14:compatExt spid="_x0000_s112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16</xdr:row>
          <xdr:rowOff>9525</xdr:rowOff>
        </xdr:from>
        <xdr:to>
          <xdr:col>19</xdr:col>
          <xdr:colOff>304800</xdr:colOff>
          <xdr:row>17</xdr:row>
          <xdr:rowOff>9525</xdr:rowOff>
        </xdr:to>
        <xdr:sp macro="" textlink="">
          <xdr:nvSpPr>
            <xdr:cNvPr id="11282" name="Option Button 18" hidden="1">
              <a:extLst>
                <a:ext uri="{63B3BB69-23CF-44E3-9099-C40C66FF867C}">
                  <a14:compatExt spid="_x0000_s112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17</xdr:row>
          <xdr:rowOff>142875</xdr:rowOff>
        </xdr:from>
        <xdr:to>
          <xdr:col>8</xdr:col>
          <xdr:colOff>257175</xdr:colOff>
          <xdr:row>30</xdr:row>
          <xdr:rowOff>142875</xdr:rowOff>
        </xdr:to>
        <xdr:sp macro="" textlink="">
          <xdr:nvSpPr>
            <xdr:cNvPr id="11284" name="Scroll Bar 20" hidden="1">
              <a:extLst>
                <a:ext uri="{63B3BB69-23CF-44E3-9099-C40C66FF867C}">
                  <a14:compatExt spid="_x0000_s11284"/>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17</xdr:row>
          <xdr:rowOff>142875</xdr:rowOff>
        </xdr:from>
        <xdr:to>
          <xdr:col>8</xdr:col>
          <xdr:colOff>38100</xdr:colOff>
          <xdr:row>30</xdr:row>
          <xdr:rowOff>152400</xdr:rowOff>
        </xdr:to>
        <xdr:pic>
          <xdr:nvPicPr>
            <xdr:cNvPr id="11560" name="Imagem 29"/>
            <xdr:cNvPicPr>
              <a:picLocks noChangeAspect="1" noChangeArrowheads="1"/>
              <a:extLst>
                <a:ext uri="{84589F7E-364E-4C9E-8A38-B11213B215E9}">
                  <a14:cameraTool cellRange="RANKING!$AE$11:$AG$21" spid="_x0000_s11602"/>
                </a:ext>
              </a:extLst>
            </xdr:cNvPicPr>
          </xdr:nvPicPr>
          <xdr:blipFill>
            <a:blip xmlns:r="http://schemas.openxmlformats.org/officeDocument/2006/relationships" r:embed="rId6"/>
            <a:srcRect/>
            <a:stretch>
              <a:fillRect/>
            </a:stretch>
          </xdr:blipFill>
          <xdr:spPr bwMode="auto">
            <a:xfrm>
              <a:off x="2495550" y="3381375"/>
              <a:ext cx="2419350" cy="2486025"/>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0</xdr:col>
      <xdr:colOff>161925</xdr:colOff>
      <xdr:row>0</xdr:row>
      <xdr:rowOff>133350</xdr:rowOff>
    </xdr:from>
    <xdr:to>
      <xdr:col>3</xdr:col>
      <xdr:colOff>180975</xdr:colOff>
      <xdr:row>6</xdr:row>
      <xdr:rowOff>114300</xdr:rowOff>
    </xdr:to>
    <xdr:pic>
      <xdr:nvPicPr>
        <xdr:cNvPr id="47107" name="Imagem 1"/>
        <xdr:cNvPicPr>
          <a:picLocks noChangeAspect="1"/>
        </xdr:cNvPicPr>
      </xdr:nvPicPr>
      <xdr:blipFill>
        <a:blip xmlns:r="http://schemas.openxmlformats.org/officeDocument/2006/relationships" r:embed="rId1"/>
        <a:srcRect/>
        <a:stretch>
          <a:fillRect/>
        </a:stretch>
      </xdr:blipFill>
      <xdr:spPr bwMode="auto">
        <a:xfrm>
          <a:off x="161925" y="133350"/>
          <a:ext cx="1809750" cy="1123950"/>
        </a:xfrm>
        <a:prstGeom prst="rect">
          <a:avLst/>
        </a:prstGeom>
        <a:noFill/>
        <a:ln w="9525">
          <a:noFill/>
          <a:miter lim="800000"/>
          <a:headEnd/>
          <a:tailEnd/>
        </a:ln>
      </xdr:spPr>
    </xdr:pic>
    <xdr:clientData/>
  </xdr:twoCellAnchor>
  <xdr:oneCellAnchor>
    <xdr:from>
      <xdr:col>9</xdr:col>
      <xdr:colOff>34319</xdr:colOff>
      <xdr:row>1</xdr:row>
      <xdr:rowOff>131259</xdr:rowOff>
    </xdr:from>
    <xdr:ext cx="6433155" cy="718530"/>
    <xdr:sp macro="" textlink="">
      <xdr:nvSpPr>
        <xdr:cNvPr id="3" name="Retângulo 2"/>
        <xdr:cNvSpPr/>
      </xdr:nvSpPr>
      <xdr:spPr>
        <a:xfrm>
          <a:off x="8492519" y="321759"/>
          <a:ext cx="6433155" cy="718530"/>
        </a:xfrm>
        <a:prstGeom prst="rect">
          <a:avLst/>
        </a:prstGeom>
        <a:noFill/>
      </xdr:spPr>
      <xdr:txBody>
        <a:bodyPr wrap="square" lIns="91440" tIns="45720" rIns="91440" bIns="45720" anchor="t">
          <a:spAutoFit/>
        </a:bodyPr>
        <a:lstStyle/>
        <a:p>
          <a:pPr algn="l"/>
          <a:r>
            <a:rPr lang="pt-BR" sz="2000" b="0" cap="none" spc="0">
              <a:ln w="0"/>
              <a:solidFill>
                <a:schemeClr val="accent1"/>
              </a:solidFill>
              <a:effectLst>
                <a:outerShdw blurRad="50800" dist="38100" dir="2700000" algn="tl" rotWithShape="0">
                  <a:prstClr val="black">
                    <a:alpha val="40000"/>
                  </a:prstClr>
                </a:outerShdw>
              </a:effectLst>
            </a:rPr>
            <a:t>CARGA TRIBUTÁRIA DOENÇAS MAIS POPULARES E MEDICAMENTOS SOLICITADOS NAS FARMÁCIAS</a:t>
          </a:r>
          <a:endParaRPr lang="pt-BR" sz="2000" b="0" cap="none" spc="0" baseline="0">
            <a:ln w="0"/>
            <a:solidFill>
              <a:schemeClr val="accent1"/>
            </a:solidFill>
            <a:effectLst>
              <a:outerShdw blurRad="50800" dist="38100" dir="2700000" algn="tl" rotWithShape="0">
                <a:prstClr val="black">
                  <a:alpha val="40000"/>
                </a:prstClr>
              </a:outerShdw>
            </a:effectLst>
          </a:endParaRP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4</xdr:col>
      <xdr:colOff>228600</xdr:colOff>
      <xdr:row>5</xdr:row>
      <xdr:rowOff>123825</xdr:rowOff>
    </xdr:from>
    <xdr:to>
      <xdr:col>19</xdr:col>
      <xdr:colOff>552450</xdr:colOff>
      <xdr:row>16</xdr:row>
      <xdr:rowOff>142875</xdr:rowOff>
    </xdr:to>
    <xdr:graphicFrame macro="">
      <xdr:nvGraphicFramePr>
        <xdr:cNvPr id="36983" name="Gráfico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171450</xdr:colOff>
      <xdr:row>0</xdr:row>
      <xdr:rowOff>47625</xdr:rowOff>
    </xdr:from>
    <xdr:to>
      <xdr:col>2</xdr:col>
      <xdr:colOff>276225</xdr:colOff>
      <xdr:row>3</xdr:row>
      <xdr:rowOff>152400</xdr:rowOff>
    </xdr:to>
    <xdr:pic>
      <xdr:nvPicPr>
        <xdr:cNvPr id="36984" name="Imagem 3" descr="Logo 01.jpg"/>
        <xdr:cNvPicPr>
          <a:picLocks noChangeAspect="1"/>
        </xdr:cNvPicPr>
      </xdr:nvPicPr>
      <xdr:blipFill>
        <a:blip xmlns:r="http://schemas.openxmlformats.org/officeDocument/2006/relationships" r:embed="rId2"/>
        <a:srcRect/>
        <a:stretch>
          <a:fillRect/>
        </a:stretch>
      </xdr:blipFill>
      <xdr:spPr bwMode="auto">
        <a:xfrm>
          <a:off x="171450" y="47625"/>
          <a:ext cx="1323975" cy="676275"/>
        </a:xfrm>
        <a:prstGeom prst="rect">
          <a:avLst/>
        </a:prstGeom>
        <a:noFill/>
        <a:ln w="9525">
          <a:noFill/>
          <a:miter lim="800000"/>
          <a:headEnd/>
          <a:tailEnd/>
        </a:ln>
      </xdr:spPr>
    </xdr:pic>
    <xdr:clientData/>
  </xdr:twoCellAnchor>
  <xdr:oneCellAnchor>
    <xdr:from>
      <xdr:col>3</xdr:col>
      <xdr:colOff>66675</xdr:colOff>
      <xdr:row>0</xdr:row>
      <xdr:rowOff>0</xdr:rowOff>
    </xdr:from>
    <xdr:ext cx="6590031" cy="480566"/>
    <xdr:sp macro="" textlink="">
      <xdr:nvSpPr>
        <xdr:cNvPr id="5" name="CaixaDeTexto 4"/>
        <xdr:cNvSpPr txBox="1"/>
      </xdr:nvSpPr>
      <xdr:spPr>
        <a:xfrm>
          <a:off x="1895475" y="0"/>
          <a:ext cx="6627905" cy="433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2000">
              <a:solidFill>
                <a:srgbClr val="012F53"/>
              </a:solidFill>
              <a:latin typeface="Segoe UI" panose="020B0502040204020203" pitchFamily="34" charset="0"/>
              <a:ea typeface="Segoe UI" panose="020B0502040204020203" pitchFamily="34" charset="0"/>
              <a:cs typeface="Segoe UI" panose="020B0502040204020203" pitchFamily="34" charset="0"/>
            </a:rPr>
            <a:t>Carga</a:t>
          </a:r>
          <a:r>
            <a:rPr lang="pt-BR" sz="2000" baseline="0">
              <a:solidFill>
                <a:srgbClr val="012F53"/>
              </a:solidFill>
              <a:latin typeface="Segoe UI" panose="020B0502040204020203" pitchFamily="34" charset="0"/>
              <a:ea typeface="Segoe UI" panose="020B0502040204020203" pitchFamily="34" charset="0"/>
              <a:cs typeface="Segoe UI" panose="020B0502040204020203" pitchFamily="34" charset="0"/>
            </a:rPr>
            <a:t> tributária de acordo com a classificação da doença</a:t>
          </a:r>
          <a:endParaRPr lang="pt-BR" sz="2000">
            <a:solidFill>
              <a:srgbClr val="012F53"/>
            </a:solidFill>
            <a:latin typeface="Segoe UI" panose="020B0502040204020203" pitchFamily="34" charset="0"/>
            <a:ea typeface="Segoe UI" panose="020B0502040204020203" pitchFamily="34" charset="0"/>
            <a:cs typeface="Segoe UI" panose="020B0502040204020203" pitchFamily="34" charset="0"/>
          </a:endParaRPr>
        </a:p>
      </xdr:txBody>
    </xdr:sp>
    <xdr:clientData/>
  </xdr:oneCellAnchor>
  <xdr:twoCellAnchor editAs="oneCell">
    <xdr:from>
      <xdr:col>17</xdr:col>
      <xdr:colOff>533400</xdr:colOff>
      <xdr:row>0</xdr:row>
      <xdr:rowOff>47625</xdr:rowOff>
    </xdr:from>
    <xdr:to>
      <xdr:col>19</xdr:col>
      <xdr:colOff>457200</xdr:colOff>
      <xdr:row>3</xdr:row>
      <xdr:rowOff>190500</xdr:rowOff>
    </xdr:to>
    <xdr:pic>
      <xdr:nvPicPr>
        <xdr:cNvPr id="36986" name="Imagem 5"/>
        <xdr:cNvPicPr>
          <a:picLocks noChangeAspect="1"/>
        </xdr:cNvPicPr>
      </xdr:nvPicPr>
      <xdr:blipFill>
        <a:blip xmlns:r="http://schemas.openxmlformats.org/officeDocument/2006/relationships" r:embed="rId3"/>
        <a:srcRect/>
        <a:stretch>
          <a:fillRect/>
        </a:stretch>
      </xdr:blipFill>
      <xdr:spPr bwMode="auto">
        <a:xfrm>
          <a:off x="10896600" y="47625"/>
          <a:ext cx="1143000" cy="714375"/>
        </a:xfrm>
        <a:prstGeom prst="rect">
          <a:avLst/>
        </a:prstGeom>
        <a:noFill/>
        <a:ln w="9525">
          <a:noFill/>
          <a:miter lim="800000"/>
          <a:headEnd/>
          <a:tailEnd/>
        </a:ln>
      </xdr:spPr>
    </xdr:pic>
    <xdr:clientData/>
  </xdr:twoCellAnchor>
  <xdr:oneCellAnchor>
    <xdr:from>
      <xdr:col>3</xdr:col>
      <xdr:colOff>66675</xdr:colOff>
      <xdr:row>2</xdr:row>
      <xdr:rowOff>0</xdr:rowOff>
    </xdr:from>
    <xdr:ext cx="6496050" cy="399405"/>
    <xdr:sp macro="" textlink="bdGraficoDoenças!C4">
      <xdr:nvSpPr>
        <xdr:cNvPr id="7" name="CaixaDeTexto 6"/>
        <xdr:cNvSpPr txBox="1"/>
      </xdr:nvSpPr>
      <xdr:spPr>
        <a:xfrm>
          <a:off x="1905414" y="381000"/>
          <a:ext cx="6496050" cy="3994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fld id="{7FC08951-DB51-4A14-8740-FAAABAFDF40B}" type="TxLink">
            <a:rPr lang="en-US" sz="1800" b="0" i="0" u="none" strike="noStrike">
              <a:solidFill>
                <a:srgbClr val="012F53"/>
              </a:solidFill>
              <a:latin typeface="Segoe UI" panose="020B0502040204020203" pitchFamily="34" charset="0"/>
              <a:ea typeface="Segoe UI" panose="020B0502040204020203" pitchFamily="34" charset="0"/>
              <a:cs typeface="Segoe UI" panose="020B0502040204020203" pitchFamily="34" charset="0"/>
            </a:rPr>
            <a:pPr/>
            <a:t>Grupo: Média De Todas As Doenças</a:t>
          </a:fld>
          <a:endParaRPr lang="pt-BR" sz="1800">
            <a:solidFill>
              <a:srgbClr val="012F53"/>
            </a:solidFill>
            <a:latin typeface="Segoe UI" panose="020B0502040204020203" pitchFamily="34" charset="0"/>
            <a:ea typeface="Segoe UI" panose="020B0502040204020203" pitchFamily="34" charset="0"/>
            <a:cs typeface="Segoe UI" panose="020B0502040204020203" pitchFamily="34" charset="0"/>
          </a:endParaRPr>
        </a:p>
      </xdr:txBody>
    </xdr:sp>
    <xdr:clientData/>
  </xdr:oneCellAnchor>
  <xdr:oneCellAnchor>
    <xdr:from>
      <xdr:col>9</xdr:col>
      <xdr:colOff>281609</xdr:colOff>
      <xdr:row>3</xdr:row>
      <xdr:rowOff>189258</xdr:rowOff>
    </xdr:from>
    <xdr:ext cx="2952302" cy="422896"/>
    <xdr:sp macro="" textlink="">
      <xdr:nvSpPr>
        <xdr:cNvPr id="8" name="CaixaDeTexto 7"/>
        <xdr:cNvSpPr txBox="1"/>
      </xdr:nvSpPr>
      <xdr:spPr>
        <a:xfrm>
          <a:off x="5768009" y="760758"/>
          <a:ext cx="2914452" cy="3652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600" u="sng">
              <a:solidFill>
                <a:schemeClr val="bg1"/>
              </a:solidFill>
              <a:latin typeface="Segoe UI" panose="020B0502040204020203" pitchFamily="34" charset="0"/>
              <a:ea typeface="Segoe UI" panose="020B0502040204020203" pitchFamily="34" charset="0"/>
              <a:cs typeface="Segoe UI" panose="020B0502040204020203" pitchFamily="34" charset="0"/>
            </a:rPr>
            <a:t>Carga Tributária média por UF</a:t>
          </a:r>
        </a:p>
      </xdr:txBody>
    </xdr:sp>
    <xdr:clientData/>
  </xdr:oneCellAnchor>
  <xdr:twoCellAnchor>
    <xdr:from>
      <xdr:col>9</xdr:col>
      <xdr:colOff>19050</xdr:colOff>
      <xdr:row>21</xdr:row>
      <xdr:rowOff>57150</xdr:rowOff>
    </xdr:from>
    <xdr:to>
      <xdr:col>14</xdr:col>
      <xdr:colOff>190500</xdr:colOff>
      <xdr:row>30</xdr:row>
      <xdr:rowOff>142875</xdr:rowOff>
    </xdr:to>
    <xdr:graphicFrame macro="">
      <xdr:nvGraphicFramePr>
        <xdr:cNvPr id="36989" name="Gráfico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13</xdr:col>
      <xdr:colOff>304800</xdr:colOff>
      <xdr:row>19</xdr:row>
      <xdr:rowOff>180975</xdr:rowOff>
    </xdr:from>
    <xdr:to>
      <xdr:col>21</xdr:col>
      <xdr:colOff>180975</xdr:colOff>
      <xdr:row>33</xdr:row>
      <xdr:rowOff>114300</xdr:rowOff>
    </xdr:to>
    <xdr:graphicFrame macro="">
      <xdr:nvGraphicFramePr>
        <xdr:cNvPr id="36990"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oneCellAnchor>
    <xdr:from>
      <xdr:col>15</xdr:col>
      <xdr:colOff>33954</xdr:colOff>
      <xdr:row>19</xdr:row>
      <xdr:rowOff>8695</xdr:rowOff>
    </xdr:from>
    <xdr:ext cx="2533650" cy="365228"/>
    <xdr:sp macro="" textlink="bdGraficoDoenças!AC4">
      <xdr:nvSpPr>
        <xdr:cNvPr id="27" name="CaixaDeTexto 26"/>
        <xdr:cNvSpPr txBox="1"/>
      </xdr:nvSpPr>
      <xdr:spPr>
        <a:xfrm>
          <a:off x="9177954" y="3628195"/>
          <a:ext cx="2533650" cy="3652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fld id="{E4F366AF-1FD5-42B3-A68F-24B3ED7A63F0}" type="TxLink">
            <a:rPr lang="en-US" sz="1600" b="0" i="0" u="sng" strike="noStrike">
              <a:solidFill>
                <a:schemeClr val="bg1"/>
              </a:solidFill>
              <a:latin typeface="Segoe UI" panose="020B0502040204020203" pitchFamily="34" charset="0"/>
              <a:ea typeface="Segoe UI" panose="020B0502040204020203" pitchFamily="34" charset="0"/>
              <a:cs typeface="Segoe UI" panose="020B0502040204020203" pitchFamily="34" charset="0"/>
            </a:rPr>
            <a:pPr algn="ctr"/>
            <a:t>Composição na UF: SP </a:t>
          </a:fld>
          <a:endParaRPr lang="pt-BR" sz="2400" u="sng">
            <a:solidFill>
              <a:schemeClr val="bg1"/>
            </a:solidFill>
            <a:latin typeface="Segoe UI" panose="020B0502040204020203" pitchFamily="34" charset="0"/>
            <a:ea typeface="Segoe UI" panose="020B0502040204020203" pitchFamily="34" charset="0"/>
            <a:cs typeface="Segoe UI" panose="020B0502040204020203" pitchFamily="34" charset="0"/>
          </a:endParaRPr>
        </a:p>
      </xdr:txBody>
    </xdr:sp>
    <xdr:clientData/>
  </xdr:oneCellAnchor>
  <xdr:oneCellAnchor>
    <xdr:from>
      <xdr:col>9</xdr:col>
      <xdr:colOff>371885</xdr:colOff>
      <xdr:row>19</xdr:row>
      <xdr:rowOff>11179</xdr:rowOff>
    </xdr:from>
    <xdr:ext cx="2289710" cy="412052"/>
    <xdr:sp macro="" textlink="">
      <xdr:nvSpPr>
        <xdr:cNvPr id="28" name="CaixaDeTexto 27"/>
        <xdr:cNvSpPr txBox="1"/>
      </xdr:nvSpPr>
      <xdr:spPr>
        <a:xfrm>
          <a:off x="5858285" y="3630679"/>
          <a:ext cx="2261325" cy="3652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pt-BR" sz="1600" u="sng">
              <a:solidFill>
                <a:schemeClr val="bg1"/>
              </a:solidFill>
              <a:latin typeface="Segoe UI" panose="020B0502040204020203" pitchFamily="34" charset="0"/>
              <a:ea typeface="Segoe UI" panose="020B0502040204020203" pitchFamily="34" charset="0"/>
              <a:cs typeface="Segoe UI" panose="020B0502040204020203" pitchFamily="34" charset="0"/>
            </a:rPr>
            <a:t>Carga tributária por UF</a:t>
          </a:r>
        </a:p>
      </xdr:txBody>
    </xdr:sp>
    <xdr:clientData/>
  </xdr:oneCellAnchor>
  <mc:AlternateContent xmlns:mc="http://schemas.openxmlformats.org/markup-compatibility/2006">
    <mc:Choice xmlns:a14="http://schemas.microsoft.com/office/drawing/2010/main" Requires="a14">
      <xdr:twoCellAnchor editAs="absolute">
        <xdr:from>
          <xdr:col>0</xdr:col>
          <xdr:colOff>323850</xdr:colOff>
          <xdr:row>5</xdr:row>
          <xdr:rowOff>85725</xdr:rowOff>
        </xdr:from>
        <xdr:to>
          <xdr:col>3</xdr:col>
          <xdr:colOff>552450</xdr:colOff>
          <xdr:row>30</xdr:row>
          <xdr:rowOff>161925</xdr:rowOff>
        </xdr:to>
        <xdr:sp macro="" textlink="">
          <xdr:nvSpPr>
            <xdr:cNvPr id="36865" name="List Box 1" hidden="1">
              <a:extLst>
                <a:ext uri="{63B3BB69-23CF-44E3-9099-C40C66FF867C}">
                  <a14:compatExt spid="_x0000_s3686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16</xdr:row>
          <xdr:rowOff>9525</xdr:rowOff>
        </xdr:from>
        <xdr:to>
          <xdr:col>5</xdr:col>
          <xdr:colOff>219075</xdr:colOff>
          <xdr:row>17</xdr:row>
          <xdr:rowOff>9525</xdr:rowOff>
        </xdr:to>
        <xdr:sp macro="" textlink="">
          <xdr:nvSpPr>
            <xdr:cNvPr id="36866" name="Option Button 2" hidden="1">
              <a:extLst>
                <a:ext uri="{63B3BB69-23CF-44E3-9099-C40C66FF867C}">
                  <a14:compatExt spid="_x0000_s368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495300</xdr:colOff>
          <xdr:row>16</xdr:row>
          <xdr:rowOff>19050</xdr:rowOff>
        </xdr:from>
        <xdr:to>
          <xdr:col>6</xdr:col>
          <xdr:colOff>180975</xdr:colOff>
          <xdr:row>17</xdr:row>
          <xdr:rowOff>19050</xdr:rowOff>
        </xdr:to>
        <xdr:sp macro="" textlink="">
          <xdr:nvSpPr>
            <xdr:cNvPr id="36867" name="Option Button 3" hidden="1">
              <a:extLst>
                <a:ext uri="{63B3BB69-23CF-44E3-9099-C40C66FF867C}">
                  <a14:compatExt spid="_x0000_s368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466725</xdr:colOff>
          <xdr:row>16</xdr:row>
          <xdr:rowOff>9525</xdr:rowOff>
        </xdr:from>
        <xdr:to>
          <xdr:col>7</xdr:col>
          <xdr:colOff>152400</xdr:colOff>
          <xdr:row>17</xdr:row>
          <xdr:rowOff>9525</xdr:rowOff>
        </xdr:to>
        <xdr:sp macro="" textlink="">
          <xdr:nvSpPr>
            <xdr:cNvPr id="36868" name="Option Button 4" hidden="1">
              <a:extLst>
                <a:ext uri="{63B3BB69-23CF-44E3-9099-C40C66FF867C}">
                  <a14:compatExt spid="_x0000_s368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428625</xdr:colOff>
          <xdr:row>16</xdr:row>
          <xdr:rowOff>19050</xdr:rowOff>
        </xdr:from>
        <xdr:to>
          <xdr:col>8</xdr:col>
          <xdr:colOff>114300</xdr:colOff>
          <xdr:row>17</xdr:row>
          <xdr:rowOff>19050</xdr:rowOff>
        </xdr:to>
        <xdr:sp macro="" textlink="">
          <xdr:nvSpPr>
            <xdr:cNvPr id="36869" name="Option Button 5" hidden="1">
              <a:extLst>
                <a:ext uri="{63B3BB69-23CF-44E3-9099-C40C66FF867C}">
                  <a14:compatExt spid="_x0000_s368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390525</xdr:colOff>
          <xdr:row>16</xdr:row>
          <xdr:rowOff>19050</xdr:rowOff>
        </xdr:from>
        <xdr:to>
          <xdr:col>9</xdr:col>
          <xdr:colOff>76200</xdr:colOff>
          <xdr:row>17</xdr:row>
          <xdr:rowOff>19050</xdr:rowOff>
        </xdr:to>
        <xdr:sp macro="" textlink="">
          <xdr:nvSpPr>
            <xdr:cNvPr id="36870" name="Option Button 6" hidden="1">
              <a:extLst>
                <a:ext uri="{63B3BB69-23CF-44E3-9099-C40C66FF867C}">
                  <a14:compatExt spid="_x0000_s368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352425</xdr:colOff>
          <xdr:row>16</xdr:row>
          <xdr:rowOff>9525</xdr:rowOff>
        </xdr:from>
        <xdr:to>
          <xdr:col>10</xdr:col>
          <xdr:colOff>38100</xdr:colOff>
          <xdr:row>17</xdr:row>
          <xdr:rowOff>9525</xdr:rowOff>
        </xdr:to>
        <xdr:sp macro="" textlink="">
          <xdr:nvSpPr>
            <xdr:cNvPr id="36871" name="Option Button 7" hidden="1">
              <a:extLst>
                <a:ext uri="{63B3BB69-23CF-44E3-9099-C40C66FF867C}">
                  <a14:compatExt spid="_x0000_s368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314325</xdr:colOff>
          <xdr:row>16</xdr:row>
          <xdr:rowOff>9525</xdr:rowOff>
        </xdr:from>
        <xdr:to>
          <xdr:col>11</xdr:col>
          <xdr:colOff>0</xdr:colOff>
          <xdr:row>17</xdr:row>
          <xdr:rowOff>9525</xdr:rowOff>
        </xdr:to>
        <xdr:sp macro="" textlink="">
          <xdr:nvSpPr>
            <xdr:cNvPr id="36872" name="Option Button 8" hidden="1">
              <a:extLst>
                <a:ext uri="{63B3BB69-23CF-44E3-9099-C40C66FF867C}">
                  <a14:compatExt spid="_x0000_s368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295275</xdr:colOff>
          <xdr:row>16</xdr:row>
          <xdr:rowOff>19050</xdr:rowOff>
        </xdr:from>
        <xdr:to>
          <xdr:col>11</xdr:col>
          <xdr:colOff>590550</xdr:colOff>
          <xdr:row>17</xdr:row>
          <xdr:rowOff>19050</xdr:rowOff>
        </xdr:to>
        <xdr:sp macro="" textlink="">
          <xdr:nvSpPr>
            <xdr:cNvPr id="36873" name="Option Button 9" hidden="1">
              <a:extLst>
                <a:ext uri="{63B3BB69-23CF-44E3-9099-C40C66FF867C}">
                  <a14:compatExt spid="_x0000_s368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16</xdr:row>
          <xdr:rowOff>9525</xdr:rowOff>
        </xdr:from>
        <xdr:to>
          <xdr:col>12</xdr:col>
          <xdr:colOff>542925</xdr:colOff>
          <xdr:row>17</xdr:row>
          <xdr:rowOff>9525</xdr:rowOff>
        </xdr:to>
        <xdr:sp macro="" textlink="">
          <xdr:nvSpPr>
            <xdr:cNvPr id="36874" name="Option Button 10" hidden="1">
              <a:extLst>
                <a:ext uri="{63B3BB69-23CF-44E3-9099-C40C66FF867C}">
                  <a14:compatExt spid="_x0000_s368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219075</xdr:colOff>
          <xdr:row>16</xdr:row>
          <xdr:rowOff>9525</xdr:rowOff>
        </xdr:from>
        <xdr:to>
          <xdr:col>13</xdr:col>
          <xdr:colOff>514350</xdr:colOff>
          <xdr:row>17</xdr:row>
          <xdr:rowOff>9525</xdr:rowOff>
        </xdr:to>
        <xdr:sp macro="" textlink="">
          <xdr:nvSpPr>
            <xdr:cNvPr id="36875" name="Option Button 11" hidden="1">
              <a:extLst>
                <a:ext uri="{63B3BB69-23CF-44E3-9099-C40C66FF867C}">
                  <a14:compatExt spid="_x0000_s368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16</xdr:row>
          <xdr:rowOff>9525</xdr:rowOff>
        </xdr:from>
        <xdr:to>
          <xdr:col>14</xdr:col>
          <xdr:colOff>476250</xdr:colOff>
          <xdr:row>17</xdr:row>
          <xdr:rowOff>9525</xdr:rowOff>
        </xdr:to>
        <xdr:sp macro="" textlink="">
          <xdr:nvSpPr>
            <xdr:cNvPr id="36876" name="Option Button 12" hidden="1">
              <a:extLst>
                <a:ext uri="{63B3BB69-23CF-44E3-9099-C40C66FF867C}">
                  <a14:compatExt spid="_x0000_s368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152400</xdr:colOff>
          <xdr:row>16</xdr:row>
          <xdr:rowOff>9525</xdr:rowOff>
        </xdr:from>
        <xdr:to>
          <xdr:col>15</xdr:col>
          <xdr:colOff>447675</xdr:colOff>
          <xdr:row>17</xdr:row>
          <xdr:rowOff>9525</xdr:rowOff>
        </xdr:to>
        <xdr:sp macro="" textlink="">
          <xdr:nvSpPr>
            <xdr:cNvPr id="36877" name="Option Button 13" hidden="1">
              <a:extLst>
                <a:ext uri="{63B3BB69-23CF-44E3-9099-C40C66FF867C}">
                  <a14:compatExt spid="_x0000_s368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114300</xdr:colOff>
          <xdr:row>16</xdr:row>
          <xdr:rowOff>0</xdr:rowOff>
        </xdr:from>
        <xdr:to>
          <xdr:col>16</xdr:col>
          <xdr:colOff>409575</xdr:colOff>
          <xdr:row>17</xdr:row>
          <xdr:rowOff>0</xdr:rowOff>
        </xdr:to>
        <xdr:sp macro="" textlink="">
          <xdr:nvSpPr>
            <xdr:cNvPr id="36878" name="Option Button 14" hidden="1">
              <a:extLst>
                <a:ext uri="{63B3BB69-23CF-44E3-9099-C40C66FF867C}">
                  <a14:compatExt spid="_x0000_s368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16</xdr:row>
          <xdr:rowOff>9525</xdr:rowOff>
        </xdr:from>
        <xdr:to>
          <xdr:col>17</xdr:col>
          <xdr:colOff>381000</xdr:colOff>
          <xdr:row>17</xdr:row>
          <xdr:rowOff>9525</xdr:rowOff>
        </xdr:to>
        <xdr:sp macro="" textlink="">
          <xdr:nvSpPr>
            <xdr:cNvPr id="36879" name="Option Button 15" hidden="1">
              <a:extLst>
                <a:ext uri="{63B3BB69-23CF-44E3-9099-C40C66FF867C}">
                  <a14:compatExt spid="_x0000_s368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16</xdr:row>
          <xdr:rowOff>9525</xdr:rowOff>
        </xdr:from>
        <xdr:to>
          <xdr:col>18</xdr:col>
          <xdr:colOff>333375</xdr:colOff>
          <xdr:row>17</xdr:row>
          <xdr:rowOff>9525</xdr:rowOff>
        </xdr:to>
        <xdr:sp macro="" textlink="">
          <xdr:nvSpPr>
            <xdr:cNvPr id="36880" name="Option Button 16" hidden="1">
              <a:extLst>
                <a:ext uri="{63B3BB69-23CF-44E3-9099-C40C66FF867C}">
                  <a14:compatExt spid="_x0000_s368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16</xdr:row>
          <xdr:rowOff>9525</xdr:rowOff>
        </xdr:from>
        <xdr:to>
          <xdr:col>19</xdr:col>
          <xdr:colOff>304800</xdr:colOff>
          <xdr:row>17</xdr:row>
          <xdr:rowOff>9525</xdr:rowOff>
        </xdr:to>
        <xdr:sp macro="" textlink="">
          <xdr:nvSpPr>
            <xdr:cNvPr id="36881" name="Option Button 17" hidden="1">
              <a:extLst>
                <a:ext uri="{63B3BB69-23CF-44E3-9099-C40C66FF867C}">
                  <a14:compatExt spid="_x0000_s368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18</xdr:row>
          <xdr:rowOff>19050</xdr:rowOff>
        </xdr:from>
        <xdr:to>
          <xdr:col>8</xdr:col>
          <xdr:colOff>371475</xdr:colOff>
          <xdr:row>30</xdr:row>
          <xdr:rowOff>161925</xdr:rowOff>
        </xdr:to>
        <xdr:sp macro="" textlink="">
          <xdr:nvSpPr>
            <xdr:cNvPr id="36882" name="Scroll Bar 18" hidden="1">
              <a:extLst>
                <a:ext uri="{63B3BB69-23CF-44E3-9099-C40C66FF867C}">
                  <a14:compatExt spid="_x0000_s36882"/>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18</xdr:row>
          <xdr:rowOff>19050</xdr:rowOff>
        </xdr:from>
        <xdr:to>
          <xdr:col>10</xdr:col>
          <xdr:colOff>161097</xdr:colOff>
          <xdr:row>35</xdr:row>
          <xdr:rowOff>38100</xdr:rowOff>
        </xdr:to>
        <xdr:pic>
          <xdr:nvPicPr>
            <xdr:cNvPr id="36972" name="Imagem 29"/>
            <xdr:cNvPicPr>
              <a:picLocks noChangeAspect="1" noChangeArrowheads="1"/>
              <a:extLst>
                <a:ext uri="{84589F7E-364E-4C9E-8A38-B11213B215E9}">
                  <a14:cameraTool cellRange="RANKING!$AE$11:$AG$21" spid="_x0000_s37014"/>
                </a:ext>
              </a:extLst>
            </xdr:cNvPicPr>
          </xdr:nvPicPr>
          <xdr:blipFill>
            <a:blip xmlns:r="http://schemas.openxmlformats.org/officeDocument/2006/relationships" r:embed="rId6"/>
            <a:srcRect/>
            <a:stretch>
              <a:fillRect/>
            </a:stretch>
          </xdr:blipFill>
          <xdr:spPr bwMode="auto">
            <a:xfrm>
              <a:off x="2813602" y="3448050"/>
              <a:ext cx="3476625" cy="325755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0</xdr:col>
      <xdr:colOff>1333500</xdr:colOff>
      <xdr:row>3</xdr:row>
      <xdr:rowOff>190500</xdr:rowOff>
    </xdr:to>
    <xdr:pic>
      <xdr:nvPicPr>
        <xdr:cNvPr id="38916" name="Imagem 1" descr="Logo 01.jpg"/>
        <xdr:cNvPicPr>
          <a:picLocks noChangeAspect="1"/>
        </xdr:cNvPicPr>
      </xdr:nvPicPr>
      <xdr:blipFill>
        <a:blip xmlns:r="http://schemas.openxmlformats.org/officeDocument/2006/relationships" r:embed="rId1"/>
        <a:srcRect/>
        <a:stretch>
          <a:fillRect/>
        </a:stretch>
      </xdr:blipFill>
      <xdr:spPr bwMode="auto">
        <a:xfrm>
          <a:off x="0" y="95250"/>
          <a:ext cx="1333500" cy="676275"/>
        </a:xfrm>
        <a:prstGeom prst="rect">
          <a:avLst/>
        </a:prstGeom>
        <a:noFill/>
        <a:ln w="9525">
          <a:noFill/>
          <a:miter lim="800000"/>
          <a:headEnd/>
          <a:tailEnd/>
        </a:ln>
      </xdr:spPr>
    </xdr:pic>
    <xdr:clientData/>
  </xdr:twoCellAnchor>
  <xdr:oneCellAnchor>
    <xdr:from>
      <xdr:col>0</xdr:col>
      <xdr:colOff>1719311</xdr:colOff>
      <xdr:row>0</xdr:row>
      <xdr:rowOff>14654</xdr:rowOff>
    </xdr:from>
    <xdr:ext cx="3893112" cy="774571"/>
    <xdr:sp macro="" textlink="">
      <xdr:nvSpPr>
        <xdr:cNvPr id="3" name="CaixaDeTexto 2"/>
        <xdr:cNvSpPr txBox="1"/>
      </xdr:nvSpPr>
      <xdr:spPr>
        <a:xfrm>
          <a:off x="1719311" y="14654"/>
          <a:ext cx="3893112" cy="7745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pt-BR" sz="2000">
              <a:solidFill>
                <a:srgbClr val="012F53"/>
              </a:solidFill>
              <a:latin typeface="Segoe UI" panose="020B0502040204020203" pitchFamily="34" charset="0"/>
              <a:ea typeface="Segoe UI" panose="020B0502040204020203" pitchFamily="34" charset="0"/>
              <a:cs typeface="Segoe UI" panose="020B0502040204020203" pitchFamily="34" charset="0"/>
            </a:rPr>
            <a:t>MAT</a:t>
          </a:r>
          <a:r>
            <a:rPr lang="pt-BR" sz="2000" baseline="0">
              <a:solidFill>
                <a:srgbClr val="012F53"/>
              </a:solidFill>
              <a:latin typeface="Segoe UI" panose="020B0502040204020203" pitchFamily="34" charset="0"/>
              <a:ea typeface="Segoe UI" panose="020B0502040204020203" pitchFamily="34" charset="0"/>
              <a:cs typeface="Segoe UI" panose="020B0502040204020203" pitchFamily="34" charset="0"/>
            </a:rPr>
            <a:t> - </a:t>
          </a:r>
          <a:r>
            <a:rPr lang="pt-BR" sz="2000">
              <a:solidFill>
                <a:srgbClr val="012F53"/>
              </a:solidFill>
              <a:latin typeface="Segoe UI" panose="020B0502040204020203" pitchFamily="34" charset="0"/>
              <a:ea typeface="Segoe UI" panose="020B0502040204020203" pitchFamily="34" charset="0"/>
              <a:cs typeface="Segoe UI" panose="020B0502040204020203" pitchFamily="34" charset="0"/>
            </a:rPr>
            <a:t>Unidades</a:t>
          </a:r>
          <a:r>
            <a:rPr lang="pt-BR" sz="2000" baseline="0">
              <a:solidFill>
                <a:srgbClr val="012F53"/>
              </a:solidFill>
              <a:latin typeface="Segoe UI" panose="020B0502040204020203" pitchFamily="34" charset="0"/>
              <a:ea typeface="Segoe UI" panose="020B0502040204020203" pitchFamily="34" charset="0"/>
              <a:cs typeface="Segoe UI" panose="020B0502040204020203" pitchFamily="34" charset="0"/>
            </a:rPr>
            <a:t>-Dólares-Reais por Laboratórios e Doenças</a:t>
          </a:r>
          <a:endParaRPr lang="pt-BR" sz="2000">
            <a:solidFill>
              <a:srgbClr val="012F53"/>
            </a:solidFill>
            <a:latin typeface="Segoe UI" panose="020B0502040204020203" pitchFamily="34" charset="0"/>
            <a:ea typeface="Segoe UI" panose="020B0502040204020203" pitchFamily="34" charset="0"/>
            <a:cs typeface="Segoe UI" panose="020B0502040204020203" pitchFamily="34" charset="0"/>
          </a:endParaRPr>
        </a:p>
      </xdr:txBody>
    </xdr:sp>
    <xdr:clientData/>
  </xdr:oneCellAnchor>
  <xdr:twoCellAnchor editAs="oneCell">
    <xdr:from>
      <xdr:col>12</xdr:col>
      <xdr:colOff>276225</xdr:colOff>
      <xdr:row>0</xdr:row>
      <xdr:rowOff>142875</xdr:rowOff>
    </xdr:from>
    <xdr:to>
      <xdr:col>16</xdr:col>
      <xdr:colOff>247650</xdr:colOff>
      <xdr:row>4</xdr:row>
      <xdr:rowOff>85725</xdr:rowOff>
    </xdr:to>
    <xdr:pic>
      <xdr:nvPicPr>
        <xdr:cNvPr id="38918" name="Imagem 3"/>
        <xdr:cNvPicPr>
          <a:picLocks noChangeAspect="1"/>
        </xdr:cNvPicPr>
      </xdr:nvPicPr>
      <xdr:blipFill>
        <a:blip xmlns:r="http://schemas.openxmlformats.org/officeDocument/2006/relationships" r:embed="rId2"/>
        <a:srcRect/>
        <a:stretch>
          <a:fillRect/>
        </a:stretch>
      </xdr:blipFill>
      <xdr:spPr bwMode="auto">
        <a:xfrm>
          <a:off x="10906125" y="142875"/>
          <a:ext cx="1133475" cy="714375"/>
        </a:xfrm>
        <a:prstGeom prst="rect">
          <a:avLst/>
        </a:prstGeom>
        <a:noFill/>
        <a:ln w="9525">
          <a:noFill/>
          <a:miter lim="800000"/>
          <a:headEnd/>
          <a:tailEnd/>
        </a:ln>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Luiz Antonio Diório" refreshedDate="42137.738861921294" createdVersion="5" refreshedVersion="5" minRefreshableVersion="3" recordCount="439">
  <cacheSource type="worksheet">
    <worksheetSource name="Tabela1107"/>
  </cacheSource>
  <cacheFields count="75">
    <cacheField name="id" numFmtId="0">
      <sharedItems containsSemiMixedTypes="0" containsString="0" containsNumber="1" containsInteger="1" minValue="474" maxValue="26020"/>
    </cacheField>
    <cacheField name="NCM" numFmtId="0">
      <sharedItems/>
    </cacheField>
    <cacheField name="EX_TIPI" numFmtId="0">
      <sharedItems containsNonDate="0" containsString="0" containsBlank="1"/>
    </cacheField>
    <cacheField name="DATA REFERENCIA" numFmtId="0">
      <sharedItems containsSemiMixedTypes="0" containsString="0" containsNumber="1" containsInteger="1" minValue="20140626" maxValue="20140626"/>
    </cacheField>
    <cacheField name="CodigoGGREM" numFmtId="0">
      <sharedItems/>
    </cacheField>
    <cacheField name="CodigoEAN" numFmtId="0">
      <sharedItems/>
    </cacheField>
    <cacheField name="RegitroMinisterioDaSaude" numFmtId="0">
      <sharedItems/>
    </cacheField>
    <cacheField name="ProdutoNome" numFmtId="0">
      <sharedItems count="287">
        <s v="ACERATUM"/>
        <s v="ACETATO DE DEXAMETASONA"/>
        <s v="ACETOFLUX"/>
        <s v="ACNASE"/>
        <s v="ACTONEL"/>
        <s v="ADVIL"/>
        <s v="AFOPIC"/>
        <s v="AH-ZUL"/>
        <s v="AKINETON"/>
        <s v="ALENDRONATO DE SÓDIO"/>
        <s v="ALENIA"/>
        <s v="ALIVIUM"/>
        <s v="ALLEGRA D"/>
        <s v="ALLEXOFEDRIN"/>
        <s v="ALOIS"/>
        <s v="ALOPURINOL"/>
        <s v="ALPHAGAN Z"/>
        <s v="AMIDALIN"/>
        <s v="AMIORON"/>
        <s v="AMOXICILINA"/>
        <s v="AMOXICILINA + CLAVULANATO DE POTÁSSIO"/>
        <s v="AMYTRIL"/>
        <s v="ANCORON"/>
        <s v="ANGELIQ"/>
        <s v="ARADOIS"/>
        <s v="ARCOXIA"/>
        <s v="ARTANE"/>
        <s v="ASTRO"/>
        <s v="ATLANSIL"/>
        <s v="ATROVERAN"/>
        <s v="AVAMYS"/>
        <s v="AZOPT"/>
        <s v="AZORGA"/>
        <s v="AZULFIN"/>
        <s v="BENALET"/>
        <s v="BENEGRIP"/>
        <s v="BISMU-JET"/>
        <s v="BONALEN"/>
        <s v="BROMOPRIDA"/>
        <s v="BUPROVIL"/>
        <s v="BUSCODUO"/>
        <s v="BUSCOFEM"/>
        <s v="BUSCOPAN"/>
        <s v="BUSCOPAN COMPOSTO"/>
        <s v="BUSONID"/>
        <s v="BUTILBROMETO DE ESCOPOLAMINA"/>
        <s v="CARBIDOL"/>
        <s v="CEFALIUM"/>
        <s v="CEFALIV"/>
        <s v="CELEBRA"/>
        <s v="CELESTAMINE"/>
        <s v="CERAZETTE"/>
        <s v="CERUMIN"/>
        <s v="CHAMPIX"/>
        <s v="CIALIS"/>
        <s v="CICLO 21"/>
        <s v="CICLOPRIMOGYNA"/>
        <s v="CIMEGRIPE"/>
        <s v="CIMELIDE"/>
        <s v="CIPROFIBRATO"/>
        <s v="CITRATO DE SILDENAFILA"/>
        <s v="CIXIN"/>
        <s v="CLENIL COMPOSITUM A"/>
        <s v="CLENIL COMPOSITUM HFA"/>
        <s v="CLOR. CIPROFLOXACIN0"/>
        <s v="CLORIDRATO DE AMIODARONA"/>
        <s v="CLORIDRATO DE AMITRIPTILINA"/>
        <s v="CLORIDRATO DE CIPROFLOXACINO"/>
        <s v="CLORIDRATO DE FLUOXETINA"/>
        <s v="CLORIDRATO DE MEMANTINA"/>
        <s v="CLORIDRATO DE METFORMINA"/>
        <s v="CLORIDRATO DE NARATRIPTANA"/>
        <s v="CLORIDRATO DE RANITIDINA"/>
        <s v="CLORIDRATO DE SERTRALINA"/>
        <s v="COCICHIMIL"/>
        <s v="COLCHIS"/>
        <s v="COMBIRON FÓLICO"/>
        <s v="COR MIO"/>
        <s v="CORTICORTEN"/>
        <s v="CORTITOP"/>
        <s v="CYSTEX"/>
        <s v="DACTIL OB"/>
        <s v="DAFLON 500"/>
        <s v="DAFORIN"/>
        <s v="DECONGEX PLUS"/>
        <s v="DEXADOR"/>
        <s v="DEXADOZE"/>
        <s v="DEXALGEN"/>
        <s v="DEXAVISON"/>
        <s v="DIAD"/>
        <s v="DIASEC"/>
        <s v="DICLOFENACO DIETILAMÔNICO"/>
        <s v="DICLOFENACO DIETILAMONIO"/>
        <s v="DICLOFENACO DIETILAMÔNIO"/>
        <s v="DICLORIDRATO DE BETAISTINA"/>
        <s v="DIGOXINA"/>
        <s v="DIMETICONA"/>
        <s v="DIOSMIN"/>
        <s v="DIPIMED"/>
        <s v="DIPIRONA SÓDICA"/>
        <s v="DONAREN"/>
        <s v="DORFLEX"/>
        <s v="DRAMIN B6"/>
        <s v="EBIX"/>
        <s v="ELANI CICLO"/>
        <s v="EMPLASTRO SALONPAS"/>
        <s v="EMSEXPECTOR"/>
        <s v="ENXAK"/>
        <s v="EPÉZ"/>
        <s v="ESPASMO FLATOL"/>
        <s v="ESTREVA"/>
        <s v="EXELON PATCH"/>
        <s v="EXPEC"/>
        <s v="EXPECTAMIN"/>
        <s v="FENERGAN"/>
        <s v="FLAVONID"/>
        <s v="FLORALYTE"/>
        <s v="FLORATIL"/>
        <s v="FLUCOMED"/>
        <s v="FLUXON"/>
        <s v="FORASEQ"/>
        <s v="FORTEO"/>
        <s v="FOSFATO SÓDICO DE PREDNISOLONA"/>
        <s v="GASTROGEL"/>
        <s v="GLAUCOTRAT"/>
        <s v="GLIBENCLAMIDA"/>
        <s v="GLIFAGE XR"/>
        <s v="HEIMER"/>
        <s v="HEMAX"/>
        <s v="HEXOMEDINE"/>
        <s v="HIDRAFIX"/>
        <s v="HIDRÓXIDO DE ALUMÍNIO"/>
        <s v="HIRUDOID"/>
        <s v="HISTADIN"/>
        <s v="HISTAMIN"/>
        <s v="HUMULIN N"/>
        <s v="HYTOS PLUS"/>
        <s v="IBUPRIL"/>
        <s v="IMOSEC"/>
        <s v="ISORDIL"/>
        <s v="ISOTRETINOINA"/>
        <s v="ISOTRETINOÍNA"/>
        <s v="IUMI"/>
        <s v="KOIDE D"/>
        <s v="LABEL"/>
        <s v="LABIRIN"/>
        <s v="LANTUS"/>
        <s v="LEVOFLOXACINO"/>
        <s v="LIBIAM"/>
        <s v="LIDOSPORIN"/>
        <s v="LORATAMED"/>
        <s v="LOSARTANA POTÁSSICA"/>
        <s v="LOZEPREL"/>
        <s v="LUFTAL"/>
        <s v="MACRODANTINA"/>
        <s v="MALEATO DE ENALAPRIL"/>
        <s v="MALEATO DE TIMOLOL"/>
        <s v="MANTIDAN"/>
        <s v="MASSAGEOL"/>
        <s v="MAXALGINA"/>
        <s v="MAXIDEX"/>
        <s v="MAXITROL"/>
        <s v="MECLIN"/>
        <s v="MERTHIOLATE"/>
        <s v="MESALAZINA"/>
        <s v="MIACALCIC"/>
        <s v="MICROVLAR"/>
        <s v="MIFLASONA"/>
        <s v="MONOCORDIL"/>
        <s v="MONONITRATO DE ISOSSORBIDA"/>
        <s v="MONTELAIR"/>
        <s v="MOTILIUM"/>
        <s v="MULTIGRIP"/>
        <s v="NARAMIG"/>
        <s v="NARIDRIN"/>
        <s v="NASONEX"/>
        <s v="NATIFA"/>
        <s v="NATIFA PRO"/>
        <s v="NAUSEDRON"/>
        <s v="NEOCOPAN"/>
        <s v="NEO-FOLICO"/>
        <s v="NEOPIRIDIN"/>
        <s v="NEOPRAZOL"/>
        <s v="NEOSALDINA"/>
        <s v="NEOSORO"/>
        <s v="NEOSULIDA"/>
        <s v="NEOTAREN"/>
        <s v="NEOVLAR"/>
        <s v="NEUTROFER FÓLICO"/>
        <s v="NICORETTE"/>
        <s v="NICOTINELL"/>
        <s v="NIMESULIDA"/>
        <s v="NIQUITIN"/>
        <s v="NOEX"/>
        <s v="NORDETTE"/>
        <s v="NORFLOXACINO"/>
        <s v="NORIPURUM FÓLICO"/>
        <s v="NORIPURUM SOLUÇÃO ORAL"/>
        <s v="NOVOLIN N"/>
        <s v="NOVOPRAZOL"/>
        <s v="OCYLIN"/>
        <s v="OMEPRAZOL"/>
        <s v="OMNARIS"/>
        <s v="OTO BETNOVATE"/>
        <s v="OTOCIRIAX"/>
        <s v="OTOMIXYN"/>
        <s v="OTOSPORIN"/>
        <s v="OTOSYNALAR"/>
        <s v="OTO-XILODASE"/>
        <s v="OUVIDONAL"/>
        <s v="PARACETAMOL"/>
        <s v="PEDIALYTE 45 ZINCO"/>
        <s v="PENTOXIFILINA"/>
        <s v="PERCOF"/>
        <s v="PLASIL"/>
        <s v="POLICRESULENO + CLORIDRATO DE CINCHOCAÍNA"/>
        <s v="PRED-FORT"/>
        <s v="PREMARIN"/>
        <s v="PRIMOGYNA"/>
        <s v="PRIMOSISTON"/>
        <s v="PROCIMAX"/>
        <s v="PROCTO-GLYVENOL"/>
        <s v="PROCTOX-H"/>
        <s v="PROCTYL"/>
        <s v="PROFERGAN"/>
        <s v="PROLOPA"/>
        <s v="PROTOS"/>
        <s v="PYRIDIUM"/>
        <s v="REHIDRAT"/>
        <s v="REPARIL"/>
        <s v="REPOFLOR"/>
        <s v="RESFENOL"/>
        <s v="RESFRYNEO"/>
        <s v="REUQUINOL"/>
        <s v="RISEDROSS"/>
        <s v="RITMONORM"/>
        <s v="ROACUTAN"/>
        <s v="SAL DE FRUTA ENO"/>
        <s v="SALONSIP"/>
        <s v="SEDILAX"/>
        <s v="SEKI"/>
        <s v="SEPURIN"/>
        <s v="SERETIDE DISKUS"/>
        <s v="SERETIDE SPRAY"/>
        <s v="SIFROL"/>
        <s v="SIMECO PLUS"/>
        <s v="SINVASCOR"/>
        <s v="SINVASMAX"/>
        <s v="SINVASTACOR"/>
        <s v="SINVASTAMED"/>
        <s v="SINVASTATINA"/>
        <s v="SORINE INFANTIL"/>
        <s v="STILL"/>
        <s v="SUCRAFILM"/>
        <s v="SULFERBEL"/>
        <s v="SUSTRATE"/>
        <s v="TAMIRAM"/>
        <s v="TANDRILAX"/>
        <s v="TIBIAL"/>
        <s v="TILUGEN"/>
        <s v="TOBRAMICINA"/>
        <s v="TOBREX"/>
        <s v="TOFRANIL"/>
        <s v="TORAGESIC"/>
        <s v="TORSILAX"/>
        <s v="TRIMEDAL"/>
        <s v="TRIQUILAR"/>
        <s v="TYLENOL"/>
        <s v="TYLENOL SINUS"/>
        <s v="ULTRAPROCT LDO"/>
        <s v="UTROGESTAN"/>
        <s v="VASTAREL MR"/>
        <s v="VENAFLON"/>
        <s v="VENALOT"/>
        <s v="VERTIGIUM"/>
        <s v="VERTIX"/>
        <s v="VERTIZINE"/>
        <s v="VICOG"/>
        <s v="VIGADEXA"/>
        <s v="VIGAMOX"/>
        <s v="VONAU"/>
        <s v="VYTORIN"/>
        <s v="XALATAN"/>
        <s v="XAROPE 44E"/>
        <s v="XYLOPROCT"/>
        <s v="YAZ"/>
        <s v="ZYLORIC"/>
      </sharedItems>
    </cacheField>
    <cacheField name="APRESENTAÇÕES" numFmtId="0">
      <sharedItems count="356">
        <s v="ACERATUM GOTAS OTO. 10 ML x 1"/>
        <s v="AC DEXAMETASONAASONA MG CREME. 1 MG 10 G x 1 (/G)"/>
        <s v="ACETOFLUX CPR 10 MG x 5"/>
        <s v="ACNASE GEL. 20 G x 1"/>
        <s v="50 MG+ 20 MG/G CREM DERM CT BG AL X 25 G"/>
        <s v="ACNASE CREME 25 G x 1"/>
        <s v="PYRIDIUM DRAG 100 MG x 25"/>
        <s v="ACTONEL CPR REVEST 150 MG x 1"/>
        <s v="ADVIL CAPS GELATIN 400 MG x 8"/>
        <s v="AFOPIC CPR 5 MG x 20"/>
        <s v="AH-ZUL CPR REVEST 50 MG x 1"/>
        <s v="AKINETON CPR 2 MG x 80"/>
        <s v="ALENDRONATO SOD.MG CPR REVEST 70 MG x 4"/>
        <s v="ALENIA CAP INAL REF 400 Y x 60 (/12)"/>
        <s v="ALIVIUM GOTAS 100 MG 20 ML x 1 (/ML)"/>
        <s v="ALLEGRA D CPR REVEST x 10"/>
        <s v="ALLEXOFEDRIN D CPR REVEST 60 MG x 10 (/120)"/>
        <s v="ALOIS CPR REVEST 10 MG x 60"/>
        <s v="ALOIS CPR REVEST 10 MG x 30"/>
        <s v="ALOPURINOL MG CPR 100 MG x 30"/>
        <s v="ALOPURINOL MG CPR 300 MG x 30"/>
        <s v="ALPHAGAN Z SOLN  OFTAL 0.10 % 5 ML x 1"/>
        <s v="AMIDALIN PAST MENTA x 20"/>
        <s v="AMIORON CPR 200 MG x 20"/>
        <s v="AMOXICILINA MG CAPS 500 MG x 21"/>
        <s v="AMOXI+CLAVU.POT.MG CPR REVEST 500 MG x 12 (/125)"/>
        <s v="AMYTRIL CPR 25 MG x 20"/>
        <s v="ANCORON CPR REVEST 100 MG x 30"/>
        <s v="ANCORON CPR 100 MG x 20"/>
        <s v="ANCORON CPR REVEST 200 MG x 30"/>
        <s v="ANGELIQ CPR REVEST x 28"/>
        <s v="ARADOIS CPR REVEST 50 MG x 30"/>
        <s v="ARCOXIA CPR REVEST 90 MG x 7"/>
        <s v="ARTANE CPR 5 MG x 30"/>
        <s v="ASTRO CPR REVEST 500 MG x 3"/>
        <s v="ASTRO CPR REVEST 500 MG x 5"/>
        <s v="ATLANSIL CPR 100 MG x 20"/>
        <s v="ATLANSIL CPR 200 MG x 20"/>
        <s v="ATROVERAN GOTAS 30 ML x 1"/>
        <s v="AVAMYS SPRAY NASAL 27.5 Y x 120 (/DOS)"/>
        <s v="AZOPT SUSP  OFTAL 1 % 5 ML x 1"/>
        <s v="AZORGA SUSP  OFTAL 5 ML x 1"/>
        <s v="AZULFIN CPR REVEST 500 MG x 60"/>
        <s v="BENALET PAST MENTA x 12"/>
        <s v="BENALET PAST MEL LIM x 12"/>
        <s v="BENEGRIP CPR REVEST x 25  X6"/>
        <s v="BISMU-JET LIQD 20 ML x 1"/>
        <s v="BONALEN CPR REVEST 70 MG x 4"/>
        <s v="BROMOPRIDA MG CAPS 10 MG x 20"/>
        <s v="BUPROVIL 600 CPR REVEST 600 MG x 30"/>
        <s v="BUSCODUO CPR REVEST 500 MG x 20"/>
        <s v="BUSCOFEM CAPS 400 MG x 10"/>
        <s v="BUSCOPAN GOTAS 10 MG 20 ML x 1 (/ML)"/>
        <s v="BUSCOPAN DRAG 10 MG x 20"/>
        <s v="BUSCOPAN COMPOSTO GOTAS 20 ML x 1"/>
        <s v="BUSCOPAN COMPOSTO CPR REVEST x 20"/>
        <s v="BUSONID NASAL SUSP AQUOSA 50 Y 6 ML x 120"/>
        <s v="BUSONID NASAL SUSP AQUOSA 32 Y 6 ML x 120"/>
        <s v="BUTIL ES+D S GO MG GOTAS 20 ML x 1"/>
        <s v="CARBIDOL CPR 25 MG x 30 (/250)"/>
        <s v="CEFALIUM CPR x 12"/>
        <s v="CEFALIV CPR x 12"/>
        <s v="CELEBRA CAPS 200 MG x 10"/>
        <s v="CELESTAMINE CPR x 20"/>
        <s v="CERAZETTE CPR REVEST 75 Y x 28"/>
        <s v="CERUMIN GOTAS OTO. 8 ML x 1"/>
        <s v="CHAMPIX CPR REV K/IT 0.50 MG x 53 (/1)"/>
        <s v="CIALIS CPR REVEST 20 MG x 2"/>
        <s v="CICLO 21 CPR x 21"/>
        <s v="CICLOPRIMOGYNA DRAG 2 MG x 21"/>
        <s v="CIMEGRIPE CAPS 400 MG x 20"/>
        <s v="CIMELIDE CPR 100 MG x 12"/>
        <s v="CIPROFIBRATO MG CPR 100 MG x 30"/>
        <s v="CIT SILDENAFILA MG CPR REVEST 50 MG x 2"/>
        <s v="CIT SILDENAFILA MG CPR REVEST 50 MG x 1"/>
        <s v="CIT SILDENAFILA MG CPR REVEST 50 MG x 4"/>
        <s v="CIXIN CPR 0.50 MG x 20"/>
        <s v="CLENIL A FLACONETES 2 ML x 10"/>
        <s v="CLENIL HFA SPRAY AERO 250 Y x 200 (/DOS)"/>
        <s v="CLENIL HFA SPRAY AERO 50 Y x 200 (/DOS)"/>
        <s v="CLOR.CIPROFLOXA.MG CPR REVEST 500 MG x 14"/>
        <s v="CLOR.AMIODARONA MG CPR 200 MG x 30"/>
        <s v="CLOR.AMITRIPTIL.MG CPR REVEST 25 MG x 20"/>
        <s v="CLOR.AMITRIPTIL.MG CPR REVEST 25 MG x 30"/>
        <s v="CLOR.FLUOXETINA MG CAPS 20 MG x 28"/>
        <s v="CLOR MEMANTINA MG CPR REVEST 10 MG x 30"/>
        <s v="CLOR MEMANTINA MG CPR REVEST 10 MG x 60"/>
        <s v="CLOR.METFORMINA MG CPR REVEST 850 MG x 30"/>
        <s v="CLOR.METFORMINA MG CPR 850 MG x 30"/>
        <s v="CLOR NARATRIPTA MG CPR REVEST 2.50 MG x 4"/>
        <s v="CLOR.RANITIDINA MG CPR REVEST 150 MG x 20"/>
        <s v="CLOR.SERTRALINA MG CPR REVEST 50 MG x 30"/>
        <s v="COCICHIMIL CPR 0.50 MG x 20"/>
        <s v="COLCHIS CPR 0.50 MG x 30"/>
        <s v="COM REV CT BL AL PLAS INC X 15 "/>
        <s v="COMBIRON FOLICO CPR REVEST x 45"/>
        <s v="COR MIO CPR BLISTER 200 MG x 30"/>
        <s v="CORTICORTEN CPR 20 MG x 20"/>
        <s v="CORTITOP CREME 10 G x 1"/>
        <s v="CYSTEX DRAG x 24"/>
        <s v="DACTIL-OB DRAG x 30"/>
        <s v="DAFLON 500 CPR REVEST 500 MG x 30"/>
        <s v="DAFORIN CPR REVEST 20 MG x 30"/>
        <s v="DECONGEX PLUS NF CPR.RE.LP x 12"/>
        <s v="DECONGEX PLUS NF XAR. 120 ML x 1"/>
        <s v="DECONGEX PLUS NF GOTAS 20 ML x 1"/>
        <s v="5000 MCG SOL INJ CT 3 AMP A VD AMB X 2 ML + 3 AMP B VD INC X 1 ML"/>
        <s v="DEXADOZE 5000 A.IM A+B x 3"/>
        <s v="DEXALGEN A.IM A+B 5000 Y 1 ML x 3"/>
        <s v="DEXAVISON COLIRIO 5 ML x 1"/>
        <s v="DIAD CPR 0.75 MG x 2"/>
        <s v="DIASEC CPR 2 MG x 12"/>
        <s v="DICLOFEN.DIETIL.MG GEL. 10 MG 60 G x 1 (/G)"/>
        <s v="DICLOFEN.DIETIL.MG GEL. 1 % 60 G x 1"/>
        <s v="DICL BETAISTINA MG CPR 24 MG x 30"/>
        <s v="DIGOXINA MG CPR 0.25 MG x 30"/>
        <s v="DIGOXINA CPR 0.25 MG x 25"/>
        <s v="SIMETICONA MG GOTAS 75 MG 15 ML x 1 (/ML)"/>
        <s v="DIOSMIN CPR REVEST 500 MG x 30"/>
        <s v="DIPIMED GOTAS 500 MG 10 ML x 1 (/ML)"/>
        <s v="DIPIMED GOTAS 500 MG 20 ML x 1 (/ML)"/>
        <s v="DIPIRONA SODICA MG GOTAS 500 MG 10 ML x 1 (/ML)"/>
        <s v="DIPIRONA SODICA MG GOTAS 500 MG 20 ML x 1 (/ML)"/>
        <s v="DONAREN CPR REVEST 50 MG x 60"/>
        <s v="DORFLEX CPR x 30"/>
        <s v="DORFLEX CPR x 240"/>
        <s v="DRAMIN B6 GOTAS 30 ML x 1"/>
        <s v="DRAMIN B6 CPR REVEST x 30"/>
        <s v="EBIX CPR 10 MG x 28"/>
        <s v="ELANI CICLO CPR REVEST x 21"/>
        <s v="SALONPAS EMPL.13X8.4C x 2"/>
        <s v="SALONPAS EMPL.6.5X4.2 x 4"/>
        <s v="EMSEXPECTOR XAR. 120 ML x 1"/>
        <s v="ENXAK CPR LING 2 MG x 12"/>
        <s v="EPEZ CPR 10 MG x 30"/>
        <s v="EPEZ CPR 5 MG x 30"/>
        <s v="ESPASMO FLATOL GOTAS 20 ML x 1"/>
        <s v="ESTREVA GEL GEL PERCUTAN 1 % 50 G x 1"/>
        <s v="EXELON PATCH 10CM 18 MG x 30"/>
        <s v="EXPEC XAR. 120 ML x 1"/>
        <s v="EXPECTAMIN SOLN  ORAL 120 ML x 1"/>
        <s v="FENERGAN DRAG 25 MG x 20"/>
        <s v="FLAVONID CPR REVEST 500 MG x 30"/>
        <s v="FLORALYTE SOLN.T.FRUTI 500 ML x 1"/>
        <s v="FLORATIL CAPS 200 MG x 6"/>
        <s v="FLUCOMED CAPS 150 MG x 1"/>
        <s v="FLUXON CPR 25 MG x 30"/>
        <s v="FLUXON CPR 75 MG x 30"/>
        <s v="FORASEQ CAP INAL REF 400 Y x 120 (/12)"/>
        <s v="FORTEO CAN CARP 250 Y 1 ML x 1"/>
        <s v="FOS.SOD.PREDNIS.MG SOLN ORAL 3 MG 60 ML x 1 (/ML)"/>
        <s v="GASTROGEL SUSP 150 ML x 1"/>
        <s v="GLAUCOTRAT SOLN  OFTAL 0.50 % 5 ML x 1"/>
        <s v="GLIBENCLAMIDA MG CPR 5 MG x 30"/>
        <s v="GLIFAGE XR CPR AP. 500 MG x 30"/>
        <s v="HEIMER CPR 10 MG x 30"/>
        <s v="HEIMER CPR 10 MG x 60"/>
        <s v="HEMAX F.AMP LIOF 4000 IU 2 ML x 1"/>
        <s v="HEXOMEDINE SPRAY 50 ML x 1"/>
        <s v="HIDRAFIX FLACO.LARANJ 25 ML x 2"/>
        <s v="HIDROX.ALUMINIO MG SUSP 310 MG 240 ML x 1 (/5ML)"/>
        <s v="HIRUDOID GEL. 5 MG 40 G x 1 (/G)"/>
        <s v="HISTADIN D CPR REVEST 5 MG x 12 (/120)"/>
        <s v="HISTAMIN LIQD 2 MG 100 ML x 1"/>
        <s v="HISTAMIN CPR 2 MG x 20"/>
        <s v="HUMULIN N REFILL 100 IU 3 ML x 2"/>
        <s v="HUMULIN N F.AMP S.C 100 IU 10 ML x 1 (/ML)"/>
        <s v="HYTOS PLUS XAR. 100 ML x 1"/>
        <s v="IBUPRIL 600 CPR 600 MG x 20"/>
        <s v="2 MG COM CT BL AL PLAS INC X 12"/>
        <s v="ISORDIL CPR   ORAL 10 MG x 30"/>
        <s v="ISOTRETINOINA MG CAPS 20 MG x 30"/>
        <s v="IUMI CPR REVEST 3 MG x 24 (/20)"/>
        <s v="KOIDE D XAROPE 120 ML x 1"/>
        <s v="LABEL LIQD 75 MG 120 ML x 1 (/5ML)"/>
        <s v="LABIRIN CPR 24 MG x 30"/>
        <s v="LABIRIN CPR 16 MG x 30"/>
        <s v="LANTUS F.AMP REFIL 100 IU 3 ML x 1 (/ML)"/>
        <s v="LEVOFLOXACINO MG CPR REVEST 500 MG x 7"/>
        <s v="LIBIAM CPR 1.25 MG x 28"/>
        <s v="LIDOSPORIN GOTAS 10 ML x 1"/>
        <s v="LORATAMED CPR 10 MG x 12"/>
        <s v="LOSARTAN POTAS.MG CPR 50 MG x 30"/>
        <s v="LOSARTAN POTAS.MG CPR REVEST 50 MG x 30"/>
        <s v="LOZEPREL CAPS 20 MG x 56"/>
        <s v="LOZEPREL CAPS 20 MG x 28"/>
        <s v="LUFTAL GOTAS 75 MG 15 ML x 1 (/ML)"/>
        <s v="MACRODANTINA CAPS 100 MG x 28"/>
        <s v="MALEA.ENALAPRIL MG CPR 10 MG x 30"/>
        <s v="MALEATO TIMOLOL MG SOLN  OFTAL 0.50 % 5 ML x 1"/>
        <s v="MALEATO TIMOLOL MG SOLN  OFTAL 5 MG 5 ML x 1 (/ML)"/>
        <s v="MANTIDAN CPR 100 MG x 20"/>
        <s v="MASSAGEOL AERO 120 ML x 1"/>
        <s v="MAXALGINA GOTAS 500 MG 10 ML x 1 (/ML)"/>
        <s v="MAXALGINA GOTAS 500 MG 10 ML x 1 (/ML) -FEBRE"/>
        <s v="MAXALGINA GOTAS 500 MG 10 ML x 1 (/ML) - PNEUMO"/>
        <s v="MAXIDEX COLIRIO 0.10 % 5 ML x 1"/>
        <s v="MAXITROL SOLN  OFTAL 5 ML x 1"/>
        <s v="MECLIN CPR 25 MG x 15"/>
        <s v="MERTHIOLATE NF SOLN  TOP. 1 % 30 ML x 1"/>
        <s v="MESALAZINA MG CPR REVEST 800 MG x 30"/>
        <s v="MIACALCIC SPR.NAS.DOSE 200 IU x 14 (/DOS)"/>
        <s v="MICROVLAR DRAG x 21"/>
        <s v="MIFLASONA CAPS+INALAD. 200 Y x 60"/>
        <s v="MONOCORDIL CPR 20 MG x 30"/>
        <s v="MON ISOSSORBIDA MG CPR 40 MG x 30"/>
        <s v="MON ISOSSORBIDA MG CPR 20 MG x 30"/>
        <s v="MONTELAIR CPR REVEST 10 MG x 30"/>
        <s v="MONTELAIR SACHE GRAN 4 MG 0.35 G x 30"/>
        <s v="MOTILIUM CPR BLISTER 10 MG x 30"/>
        <s v="MULTIGRIP CAPS x 20"/>
        <s v="NARAMIG CPR 2.50 MG x 4"/>
        <s v="NARIDRIN GOTAS 30 ML x 1 (ADLT)"/>
        <s v="NASONEX S N S/C DOSE 50 Y 18 G x 120"/>
        <s v="NATIFA CPR 1 MG x 28"/>
        <s v="NATIFA PRO CPR x 28"/>
        <s v="NAUSEDRON CAPS 8 MG x 10"/>
        <s v="NAUSEDRON AMP. 4 MG 2 ML x 1"/>
        <s v="NEOCOPAN CPR x 20"/>
        <s v="NEO FOLICO CPR 5 MG x 20"/>
        <s v="NEOPIRIDIN PASTILHAS x 12"/>
        <s v="NEOPRAZOL CAPS GASTROR 20 MG x 28"/>
        <s v="NEOSALDINA DRAG x 30"/>
        <s v="NEOSORO AD SOLN  NASAL 30 ML x 1"/>
        <s v="NEOSULIDA CPR 100 MG x 12"/>
        <s v="NEOTAREN CPR 50 MG x 20"/>
        <s v="NEOVLAR DRAG x 21"/>
        <s v="NEUTROFER GOTAS 250 MG 30 ML x 1 (/ML)"/>
        <s v="NEUTROFER FOLICO CPR x 30"/>
        <s v="NICORETTE GOMA ICEMINT 2 MG x 30"/>
        <s v="NICORETTE GOMA ICEMINT 4 MG x 30"/>
        <s v="NICOTINELL ADES 24H 21 MG x 7"/>
        <s v="NICOTINELL ADES 24H 14 MG x 7"/>
        <s v="NIMESULIDA MG CPR 100 MG x 12"/>
        <s v="NIQUITIN PAST MENTA 4 MG x 36"/>
        <s v="NIQUITIN ADHESIVO 7 MG x 7"/>
        <s v="NIQUITIN ADHESIVO 14 MG x 7"/>
        <s v="NIQUITIN PAST MENTA 2 MG x 36"/>
        <s v="NIQUITIN ADHESIVO 21 MG x 7"/>
        <s v="NOEX SPRAY NASAL 32 Y x 120 (/DOS)"/>
        <s v="NORDETTE DRAG x 21"/>
        <s v="NORFLOXACINO MG CPR REVEST 400 MG x 14"/>
        <s v="NORFLOXACINO MG CPR 400 MG x 14"/>
        <s v="NORIPURUM FOLICO CPR   MASC x 30"/>
        <s v="NORIPURUM GOTAS 167 MG 30 ML x 1 (/ML)"/>
        <s v="NOVOLIN N HM F.AMP S.C 100 IU 10 ML x 1 (/ML)"/>
        <s v="NOVOPRAZOL CAPS 20 MG x 56"/>
        <s v="OCYLIN CAPS 500 MG x 10"/>
        <s v="OMEPRAZOL MG CAPS 20 MG x 28"/>
        <s v="OMNARIS SPRAY NASAL 50 Y x 120 (/DOS)"/>
        <s v="OTO-BETNOVATE GOTAS OTO. 10 ML x 1"/>
        <s v="OTOCIRIAX SUSP OTO 5 ML x 1"/>
        <s v="OTOMIXYN GOTAS OTO. 5 ML x 1"/>
        <s v="OTOSPORIN GOTAS OTO. 10 ML x 1"/>
        <s v="OTOSYNALAR GOTAS OTO. 5 ML x 1"/>
        <s v="OTO-XILODASE GOTAS OTO. 8 ML x 1"/>
        <s v="OUVIDONAL GOTAS OTO. 10 ML x 1"/>
        <s v="PARACETAMOL MG CPR 750 MG x 20"/>
        <s v="PEDIALYTE ZINCO 45 SOL GUARANA 500 ML x 1"/>
        <s v="PEDIALYTE ZINCO 45 SOL MORANGO 500 ML x 1"/>
        <s v="PENTOXIFILINA MG CPR REVEST 400 MG x 30"/>
        <s v="PERCOF XAROPE 6 MG 120 ML x 1 (/ML)"/>
        <s v="PLASIL CPR 10 MG x 20"/>
        <s v="PLASIL GOTAS 10 MG 10 ML x 1 (/ML)"/>
        <s v="POLICR+CL.CICHO MG POM+10 APLIC 30 G x 1"/>
        <s v="PRED FORT SUSP  OFTAL 1 % 5 ML x 1"/>
        <s v="PREMARIN DRAG 0.625 MG x 28"/>
        <s v="PRIMOGYNA DRAG 1 MG x 28"/>
        <s v="PRIMOSISTON CPR x 30"/>
        <s v="PROCIMAX CPR 20 MG x 28"/>
        <s v="PROCTO GLYVEN. CREME+10APLI 30 G x 1"/>
        <s v="PROCTOX-H POM+6APL 20 G x 1"/>
        <s v="PROCTYL POM.MONODOS 3 G x 10"/>
        <s v="PROCTYL POM. 30 G x 1"/>
        <s v="PROCTYL SUP. x 15"/>
        <s v="PROFERGAN CPR REVEST 25 MG x 20"/>
        <s v="PROLOPA CPR DISPER. 125 MG x 30"/>
        <s v="PROLOPA CPR 250 MG x 30"/>
        <s v="PROLOPA CAPS RET HBS 125 MG x 30"/>
        <s v="PROLOPA CPR BD 100 MG x 60 (/25)"/>
        <s v="PROLOPA CPR BD 100 MG x 30 (/25)"/>
        <s v="PROTOS SACHETS 2 G 4 G x 56"/>
        <s v="PROTOS SACHETS 2 G 4 G x 28"/>
        <s v="100 MG DRG CT BL AL PLAS INC X 25"/>
        <s v="REHIDRAT PO 50 LARANJ 7.62 G x 4"/>
        <s v="REPARIL GEL. 30 G x 1"/>
        <s v="REPOFLOR CAPS 200 MG x 6"/>
        <s v="REPOFLOR PO ENVELOPE 200 MG x 4 (PAED)"/>
        <s v="REPOFLOR CAPS 100 MG x 12"/>
        <s v="RESFENOL CAPS x 20"/>
        <s v="RESFRYNEO CAPS x 20"/>
        <s v="REUQUINOL CPR REVEST 400 MG x 30"/>
        <s v="RISEDROSS CPR REVEST 35 MG x 4"/>
        <s v="RITMONORM CPR 300 MG x 30"/>
        <s v="RITMONORM CPR 300 MG x 60"/>
        <s v="ROACUTAN CAPS 20 MG x 30"/>
        <s v="SAL DE ENO PO.EF.DUP x 60"/>
        <s v="SAL DE ENO PO EFER NARA 100 G x 1"/>
        <s v="SAL DE ENO PO  EFER 100 G x 1"/>
        <s v="SALONSIP EMPL10X14 OC x 3"/>
        <s v="SEDILAX CPR x 4"/>
        <s v="SEDILAX CPR x 30"/>
        <s v="SEKI XAROPE 2 MG 120 ML x 1 (/ML)"/>
        <s v="SEPURIN DRAG x 20"/>
        <s v="SERETIDE DISKU PO.INH 250 Y x 60 (/50)"/>
        <s v="SERETIDE AERO  DOSIS 125 Y x 120 (/25)"/>
        <s v="SIFROL CPR 0.25 MG x 30"/>
        <s v="SIMECO PLUS SUSP 240 ML x 1"/>
        <s v="SINVASCOR CPR REVEST 20 MG x 30"/>
        <s v="SINVASMAX CPR REVEST 40 MG x 30"/>
        <s v="SINVASMAX CPR REVEST 20 MG x 30"/>
        <s v="SINVASTACOR CPR REVEST 20 MG x 30"/>
        <s v="SINVASTAMED CPR 20 MG x 30"/>
        <s v="SINVASTATINA MG CPR REVEST 20 MG x 30"/>
        <s v="SINVASTATINA MG CPR REVEST 40 MG x 30"/>
        <s v="SORINE GOTAS NASAL 30 ML x 1 (INF)"/>
        <s v="STILL COLIRIO 1 % 5 ML x 1"/>
        <s v="SUCRAFILM FLACONETES 200 MG 10 ML x 20 (/ML)"/>
        <s v="SULFERBEL DRAG x 50"/>
        <s v="SUSTRATE CPR SUBLING. 10 MG x 50"/>
        <s v="TAMIRAM CPR REVEST 500 MG x 7"/>
        <s v="TANDRILAX CPR x 15"/>
        <s v="TANDRILAX CPR x 30"/>
        <s v="TIBIAL CPR 2.50 MG x 28"/>
        <s v="TILUGEN XAR. 3.54 MG 120 MG x 1 (/ML)"/>
        <s v="TOBRAMICINA MG SOLN  OFTAL 0.30 % 5 ML x 1"/>
        <s v="TOBREX SOLN  OFTAL 0.30 % 5 ML x 1"/>
        <s v="TOFRANIL DRAG 25 MG x 20"/>
        <s v="TORAGESIC CPR SUBLING. 10 MG x 10"/>
        <s v="TORSILAX CPR REVEST x 12"/>
        <s v="TORSILAX CPR REVEST x 100"/>
        <s v="TORSILAX CPR REVEST x 30"/>
        <s v="TRIMEDAL CPR x 24"/>
        <s v="TRIQUILAR DRAG x 21"/>
        <s v="TYLENOL CPR 750 MG x 20"/>
        <s v="TYLENOL SINUS CPR REVEST x 24"/>
        <s v="ULTRAPROCT LDO CREME. 30 G x 1"/>
        <s v="UTROGESTAN CAPS 200 MG x 14"/>
        <s v="VASTAREL MR CPR REVEST 35 MG x 30"/>
        <s v="VASTAREL MR CPR REVEST 35 MG x 60"/>
        <s v="VENAFLON CPR REVEST 450 MG x 30 (/50)"/>
        <s v="VENALOT DRAG x 30"/>
        <s v="VERTIGIUM CPR 10 MG x 50"/>
        <s v="VERTIX CPR 10 MG x 50"/>
        <s v="VERTIZINE D CPR x 20"/>
        <s v="VICOG CPR 5 MG x 30"/>
        <s v="VIGADEXA SOLN  OFTAL 5 ML x 1"/>
        <s v="VIGAMOX SOLN  OFTAL 5 MG 5 ML x 1 (/ML)"/>
        <s v="VONAU CPR FLASH 4 MG x 10"/>
        <s v="VONAU CPR FLASH 8 MG x 10"/>
        <s v="VYTORIN CPR 20 MG x 28 (/10)"/>
        <s v="XALATAN SOLN  OFTAL 50 Y 2.50 ML x 1 (/ML)"/>
        <s v="VICK XAROPE 44E XAROPE 120 ML x 1"/>
        <s v="XYLOPROCT POM. 25 G x 1"/>
        <s v="YAZ CPR REVEST x 24"/>
        <s v="ZYLORIC CPR 100 MG x 30"/>
      </sharedItems>
    </cacheField>
    <cacheField name="SUBSTANCIA" numFmtId="0">
      <sharedItems containsBlank="1"/>
    </cacheField>
    <cacheField name="SUBST_1" numFmtId="0">
      <sharedItems containsBlank="1"/>
    </cacheField>
    <cacheField name="SUBST_2" numFmtId="0">
      <sharedItems containsBlank="1"/>
    </cacheField>
    <cacheField name="SUBST_3" numFmtId="0">
      <sharedItems containsBlank="1"/>
    </cacheField>
    <cacheField name="SUBST_4" numFmtId="0">
      <sharedItems containsBlank="1"/>
    </cacheField>
    <cacheField name="SUBST_5" numFmtId="0">
      <sharedItems containsBlank="1"/>
    </cacheField>
    <cacheField name="SUBST_52" numFmtId="0">
      <sharedItems containsNonDate="0" containsString="0" containsBlank="1"/>
    </cacheField>
    <cacheField name="LABORATÓRIOS" numFmtId="0">
      <sharedItems count="80">
        <s v=" DELTA"/>
        <s v=" TEUTO BRASILEIRO"/>
        <s v=" EMS PHARMA"/>
        <s v=" AVERT LABORATORIOS"/>
        <s v="AVERT"/>
        <s v=" ZODIAC"/>
        <s v=" SANOFI"/>
        <s v=" PFIZER CONSUMER"/>
        <s v=" LEGRAND"/>
        <s v=" ABBOTT"/>
        <s v=" SANDOZ DO BRASIL"/>
        <s v=" ACHE"/>
        <s v=" MANTECORP I Q FARM"/>
        <s v=" APSEN"/>
        <s v=" PRATI DONADUZZI"/>
        <s v=" MEDLEY"/>
        <s v=" ALLERGAN"/>
        <s v=" GEOLAB"/>
        <s v=" SUPERA RX"/>
        <s v=" LIBBS"/>
        <s v=" BAYER PHARMA"/>
        <s v=" BIOLAB-SANUS FARMA"/>
        <s v=" MSD"/>
        <s v=" EUROFARMA"/>
        <s v="COSMED"/>
        <s v=" GSK FARMA"/>
        <s v=" ALCON"/>
        <s v=" JOHNSON JOHNSON"/>
        <s v=" D M IND.FTCA"/>
        <s v=" UNIAO QUIMICA F N"/>
        <s v=" MULTILAB"/>
        <s v=" BOEHRINGER ING"/>
        <s v=" PFIZER"/>
        <s v=" LILLY"/>
        <s v=" CIMED"/>
        <s v=" NEO QUIMICA"/>
        <s v=" CHIESI FARMACEUTIC"/>
        <s v=" GERMED PHARMA"/>
        <s v=" SERVIER DO BRASIL"/>
        <s v="ATIVUS"/>
        <s v=" ASPEN PHARMA"/>
        <s v=" MEDQUIMICA"/>
        <s v=" TAKEDA PHARMA"/>
        <s v=" LUNDBECK"/>
        <s v=" HISAMITSU"/>
        <s v=" CAZI"/>
        <s v=" TORRENT"/>
        <s v=" TEVA"/>
        <s v=" NOVARTIS"/>
        <s v=" MERCK SERONO"/>
        <s v=" DAIICHI SANKYO"/>
        <s v=" JANSSEN CILAG"/>
        <s v=" NOVA QUIMICA"/>
        <s v=" VALEANT"/>
        <s v=" MOMENTA FARMACEUTI"/>
        <s v=" FARMOQUIMICA"/>
        <s v=" RECKITT BENCKISER"/>
        <s v=" NATULAB"/>
        <s v=" BALDACCI"/>
        <s v=" CRISTALIA"/>
        <s v=" NOVARTIS CONSUMER"/>
        <s v=" GSK CONSUMO"/>
        <s v=" NOVO NORDISK"/>
        <s v=" GLOBO"/>
        <s v=" ROCHE"/>
        <s v="ZODIAC"/>
        <s v=" HERTZ"/>
        <s v=" ZAMBON"/>
        <s v=" GROSS"/>
        <s v=" BELFAR"/>
        <s v=" BAYER DERMATOLOGY"/>
        <s v=" BESINS HEALTHCARE"/>
        <s v=" MARJAN"/>
        <s v=" PROCTER GAMBLE"/>
        <s v=" ASTRAZENECA BRASIL"/>
        <s v=" ARESE" u="1"/>
        <s v=" ALMEIDA PRADO" u="1"/>
        <s v=" DIVCOM PHARMA" u="1"/>
        <s v=" FARMASA" u="1"/>
        <s v=" CATARINENSE" u="1"/>
      </sharedItems>
    </cacheField>
    <cacheField name="LaboratorioNome" numFmtId="0">
      <sharedItems/>
    </cacheField>
    <cacheField name="LaboratorioCNPJ" numFmtId="0">
      <sharedItems/>
    </cacheField>
    <cacheField name="SUBST_6" numFmtId="0">
      <sharedItems/>
    </cacheField>
    <cacheField name="1" numFmtId="0">
      <sharedItems containsSemiMixedTypes="0" containsString="0" containsNumber="1" containsInteger="1" minValue="0" maxValue="17"/>
    </cacheField>
    <cacheField name="2" numFmtId="0">
      <sharedItems containsSemiMixedTypes="0" containsString="0" containsNumber="1" containsInteger="1" minValue="0" maxValue="17"/>
    </cacheField>
    <cacheField name="3" numFmtId="0">
      <sharedItems containsSemiMixedTypes="0" containsString="0" containsNumber="1" containsInteger="1" minValue="0" maxValue="3"/>
    </cacheField>
    <cacheField name="4" numFmtId="0">
      <sharedItems containsSemiMixedTypes="0" containsString="0" containsNumber="1" containsInteger="1" minValue="0" maxValue="6"/>
    </cacheField>
    <cacheField name="ISENÇÃO DE PIS E COFINS " numFmtId="0">
      <sharedItems/>
    </cacheField>
    <cacheField name="DESCRIÇÃO DA _x000a_CLASSE TERAPÊUTICA" numFmtId="0">
      <sharedItems containsBlank="1"/>
    </cacheField>
    <cacheField name="CAS" numFmtId="0">
      <sharedItems containsBlank="1"/>
    </cacheField>
    <cacheField name="TARJA" numFmtId="0">
      <sharedItems containsBlank="1"/>
    </cacheField>
    <cacheField name="LCCT" numFmtId="49">
      <sharedItems/>
    </cacheField>
    <cacheField name="ETICO ou POP" numFmtId="0">
      <sharedItems/>
    </cacheField>
    <cacheField name="S / G / M / R" numFmtId="0">
      <sharedItems containsBlank="1"/>
    </cacheField>
    <cacheField name="MAT ~ 05/2014     Unidades (Caixas)" numFmtId="164">
      <sharedItems containsSemiMixedTypes="0" containsString="0" containsNumber="1" containsInteger="1" minValue="2" maxValue="37026509"/>
    </cacheField>
    <cacheField name="MAT ~ 05/2014    Dólares (US$)" numFmtId="43">
      <sharedItems containsSemiMixedTypes="0" containsString="0" containsNumber="1" minValue="100" maxValue="178996891"/>
    </cacheField>
    <cacheField name="MAT ~ 05/2014        Reais (R$)" numFmtId="43">
      <sharedItems containsSemiMixedTypes="0" containsString="0" containsNumber="1" minValue="200" maxValue="408669801.89999998"/>
    </cacheField>
    <cacheField name="GRUPO" numFmtId="0">
      <sharedItems count="46">
        <s v="DOR DE OUVIDO "/>
        <s v="ALERGIA "/>
        <s v="TRH - MENOPAUSA "/>
        <s v="ACNE"/>
        <s v="INFECÇÃO URINÁRIA"/>
        <s v="TRATAMENTO OSTEOPOROSE"/>
        <s v="CÓLICAS MENSTRUAIS "/>
        <s v="FEBRE"/>
        <s v="SINUSITE"/>
        <s v="ANEMIA"/>
        <s v="DISFUNÇÃO ERÉTIL "/>
        <s v="PARKINSON"/>
        <s v="ASMA "/>
        <s v="BRONQUITE"/>
        <s v="DOENÇAS PULMONARES - GERAL"/>
        <s v="DOR DE CABEÇA/ ENXAQUECA"/>
        <s v="RINITE ALÉRGICA "/>
        <s v="ALZHEIMER"/>
        <s v="GOTA"/>
        <s v="GLAUCOMA "/>
        <s v="DOR DE GARGANTA "/>
        <s v="ARRITMIA "/>
        <s v="PNEUMONIA"/>
        <s v="DEPRESSÃO "/>
        <s v="HIPERTENSÃO "/>
        <s v="REUMATISMO "/>
        <s v="DOR DE BARRIGA/ CÓLICAS"/>
        <s v="DISENTERIA/ DIARRÉIA"/>
        <s v="GRIPE E RESFRIADO"/>
        <s v="EFEITOS ADVERSOS DA QUIMIOT"/>
        <s v="NÁUSEAS"/>
        <s v="ANTICONCEPCIONAIS "/>
        <s v="TRATAM TABAGISMO "/>
        <s v="COLESTEROL"/>
        <s v="DIABETES"/>
        <s v="GASTRITE/ ÚLCERA"/>
        <s v="DISTÚRBIOS CIRCULATÓRIOS"/>
        <s v="CONJUNTIVITE "/>
        <s v="MACHUCADOS E CONTUSÕES "/>
        <s v="LABIRINTITE E VERTIGEM"/>
        <s v="CARDIOPATIAS"/>
        <s v="AZIA/ MÁ DIGESTÃO"/>
        <s v="SINTOMAS DA DENGUE "/>
        <s v="DOR MUSCULAR"/>
        <s v="TOSSE"/>
        <s v="HEMORROIDAS"/>
      </sharedItems>
    </cacheField>
    <cacheField name="PIS" numFmtId="0">
      <sharedItems containsSemiMixedTypes="0" containsString="0" containsNumber="1" minValue="0" maxValue="2.1"/>
    </cacheField>
    <cacheField name="COFINS" numFmtId="0">
      <sharedItems containsSemiMixedTypes="0" containsString="0" containsNumber="1" minValue="0" maxValue="9.9"/>
    </cacheField>
    <cacheField name="CONTRIB. FOLHA" numFmtId="43">
      <sharedItems containsSemiMixedTypes="0" containsString="0" containsNumber="1" minValue="3.27" maxValue="3.27"/>
    </cacheField>
    <cacheField name="TRIBUTOS S/ LUCRO" numFmtId="43">
      <sharedItems containsSemiMixedTypes="0" containsString="0" containsNumber="1" minValue="3.12" maxValue="3.12"/>
    </cacheField>
    <cacheField name="OUTROS" numFmtId="43">
      <sharedItems containsSemiMixedTypes="0" containsString="0" containsNumber="1" minValue="1.35" maxValue="1.35"/>
    </cacheField>
    <cacheField name="SP" numFmtId="43">
      <sharedItems containsSemiMixedTypes="0" containsString="0" containsNumber="1" containsInteger="1" minValue="18" maxValue="18"/>
    </cacheField>
    <cacheField name="PR" numFmtId="43">
      <sharedItems containsSemiMixedTypes="0" containsString="0" containsNumber="1" containsInteger="1" minValue="12" maxValue="12"/>
    </cacheField>
    <cacheField name="SC" numFmtId="43">
      <sharedItems containsSemiMixedTypes="0" containsString="0" containsNumber="1" containsInteger="1" minValue="17" maxValue="17"/>
    </cacheField>
    <cacheField name="RS" numFmtId="43">
      <sharedItems containsSemiMixedTypes="0" containsString="0" containsNumber="1" containsInteger="1" minValue="17" maxValue="17"/>
    </cacheField>
    <cacheField name="RJ" numFmtId="43">
      <sharedItems containsSemiMixedTypes="0" containsString="0" containsNumber="1" containsInteger="1" minValue="19" maxValue="19"/>
    </cacheField>
    <cacheField name="MG" numFmtId="43">
      <sharedItems containsSemiMixedTypes="0" containsString="0" containsNumber="1" containsInteger="1" minValue="12" maxValue="18"/>
    </cacheField>
    <cacheField name="ES" numFmtId="43">
      <sharedItems containsSemiMixedTypes="0" containsString="0" containsNumber="1" containsInteger="1" minValue="17" maxValue="17"/>
    </cacheField>
    <cacheField name="GO" numFmtId="43">
      <sharedItems containsSemiMixedTypes="0" containsString="0" containsNumber="1" containsInteger="1" minValue="17" maxValue="17"/>
    </cacheField>
    <cacheField name="MT" numFmtId="43">
      <sharedItems containsSemiMixedTypes="0" containsString="0" containsNumber="1" containsInteger="1" minValue="17" maxValue="17"/>
    </cacheField>
    <cacheField name="MS" numFmtId="43">
      <sharedItems containsSemiMixedTypes="0" containsString="0" containsNumber="1" containsInteger="1" minValue="17" maxValue="17"/>
    </cacheField>
    <cacheField name="DF" numFmtId="43">
      <sharedItems containsSemiMixedTypes="0" containsString="0" containsNumber="1" containsInteger="1" minValue="17" maxValue="17"/>
    </cacheField>
    <cacheField name="BA" numFmtId="43">
      <sharedItems containsSemiMixedTypes="0" containsString="0" containsNumber="1" containsInteger="1" minValue="17" maxValue="17"/>
    </cacheField>
    <cacheField name="CE" numFmtId="43">
      <sharedItems containsSemiMixedTypes="0" containsString="0" containsNumber="1" containsInteger="1" minValue="17" maxValue="17"/>
    </cacheField>
    <cacheField name="PE" numFmtId="43">
      <sharedItems containsSemiMixedTypes="0" containsString="0" containsNumber="1" containsInteger="1" minValue="17" maxValue="17"/>
    </cacheField>
    <cacheField name="PA" numFmtId="43">
      <sharedItems containsSemiMixedTypes="0" containsString="0" containsNumber="1" containsInteger="1" minValue="17" maxValue="17"/>
    </cacheField>
    <cacheField name="AM" numFmtId="43">
      <sharedItems containsSemiMixedTypes="0" containsString="0" containsNumber="1" containsInteger="1" minValue="17" maxValue="17"/>
    </cacheField>
    <cacheField name="TOTAL SP" numFmtId="43">
      <sharedItems containsSemiMixedTypes="0" containsString="0" containsNumber="1" minValue="25.740000000000002" maxValue="37.74"/>
    </cacheField>
    <cacheField name="TOTAL PR" numFmtId="43">
      <sharedItems containsSemiMixedTypes="0" containsString="0" containsNumber="1" minValue="19.740000000000002" maxValue="31.740000000000002"/>
    </cacheField>
    <cacheField name="TOTAL SC" numFmtId="43">
      <sharedItems containsSemiMixedTypes="0" containsString="0" containsNumber="1" minValue="24.740000000000002" maxValue="36.74"/>
    </cacheField>
    <cacheField name="TOTAL RS" numFmtId="43">
      <sharedItems containsSemiMixedTypes="0" containsString="0" containsNumber="1" minValue="24.740000000000002" maxValue="36.74"/>
    </cacheField>
    <cacheField name="TOTAL RJ" numFmtId="43">
      <sharedItems containsSemiMixedTypes="0" containsString="0" containsNumber="1" minValue="26.740000000000002" maxValue="38.74"/>
    </cacheField>
    <cacheField name="TOTAL MG" numFmtId="43">
      <sharedItems containsSemiMixedTypes="0" containsString="0" containsNumber="1" minValue="19.740000000000002" maxValue="37.74"/>
    </cacheField>
    <cacheField name="TOTAL ES" numFmtId="43">
      <sharedItems containsSemiMixedTypes="0" containsString="0" containsNumber="1" minValue="24.740000000000002" maxValue="36.74"/>
    </cacheField>
    <cacheField name="TOTAL GO" numFmtId="43">
      <sharedItems containsSemiMixedTypes="0" containsString="0" containsNumber="1" minValue="24.740000000000002" maxValue="36.74"/>
    </cacheField>
    <cacheField name="TOTAL MT" numFmtId="43">
      <sharedItems containsSemiMixedTypes="0" containsString="0" containsNumber="1" minValue="24.740000000000002" maxValue="36.74"/>
    </cacheField>
    <cacheField name="TOTAL MS" numFmtId="43">
      <sharedItems containsSemiMixedTypes="0" containsString="0" containsNumber="1" minValue="24.740000000000002" maxValue="36.74"/>
    </cacheField>
    <cacheField name="TOTAL DF" numFmtId="43">
      <sharedItems containsSemiMixedTypes="0" containsString="0" containsNumber="1" minValue="24.740000000000002" maxValue="36.74"/>
    </cacheField>
    <cacheField name="TOTAL BA" numFmtId="43">
      <sharedItems containsSemiMixedTypes="0" containsString="0" containsNumber="1" minValue="24.740000000000002" maxValue="36.74"/>
    </cacheField>
    <cacheField name="TOTAL CE" numFmtId="43">
      <sharedItems containsSemiMixedTypes="0" containsString="0" containsNumber="1" minValue="24.740000000000002" maxValue="36.74"/>
    </cacheField>
    <cacheField name="TOTAL PE" numFmtId="43">
      <sharedItems containsSemiMixedTypes="0" containsString="0" containsNumber="1" minValue="24.740000000000002" maxValue="36.74"/>
    </cacheField>
    <cacheField name="TOTAL PA" numFmtId="43">
      <sharedItems containsSemiMixedTypes="0" containsString="0" containsNumber="1" minValue="24.740000000000002" maxValue="36.74"/>
    </cacheField>
    <cacheField name="TOTAL AM" numFmtId="43">
      <sharedItems containsSemiMixedTypes="0" containsString="0" containsNumber="1" minValue="24.740000000000002" maxValue="36.74"/>
    </cacheField>
    <cacheField name="MÉDIA GERAL" numFmtId="43">
      <sharedItems containsSemiMixedTypes="0" containsString="0" containsNumber="1" minValue="24.302500000000006" maxValue="36.677500000000002"/>
    </cacheField>
    <cacheField name="Colunas1" numFmtId="43">
      <sharedItems containsNonDate="0" containsString="0" containsBlank="1"/>
    </cacheField>
    <cacheField name="MÉDIA EM CAIXAS EM R$" numFmtId="43">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439">
  <r>
    <n v="2516"/>
    <s v="30049099"/>
    <m/>
    <n v="20140626"/>
    <s v="514000101135410"/>
    <s v="7893454300115"/>
    <s v="1044000050021"/>
    <x v="0"/>
    <x v="0"/>
    <s v="Peroxido de Carbamida"/>
    <s v="PEROXIDO DE CARBAMIDA"/>
    <s v=""/>
    <s v=""/>
    <s v=""/>
    <s v=""/>
    <m/>
    <x v="0"/>
    <s v="INSTITUTO TERAPEUTICO DELTA LTDA"/>
    <s v="33173097000193"/>
    <s v="PEROXIDO DE CARBAMIDA"/>
    <n v="0"/>
    <n v="0"/>
    <n v="0"/>
    <n v="0"/>
    <s v="-"/>
    <s v=" P.P/REMOìAO CERA OUVIDOS"/>
    <s v=" 124-43-6"/>
    <s v="Venda Livre"/>
    <s v="N"/>
    <s v="P"/>
    <s v="M"/>
    <n v="485233"/>
    <n v="2191922"/>
    <n v="5011942.2"/>
    <x v="0"/>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7097"/>
    <s v="30049099"/>
    <m/>
    <n v="20140626"/>
    <s v="520728501161114"/>
    <s v="7896112123026"/>
    <s v="1037004790019"/>
    <x v="1"/>
    <x v="1"/>
    <s v="Dexametasona"/>
    <s v="DEXAMETASONA"/>
    <s v=""/>
    <s v=""/>
    <s v=""/>
    <s v=""/>
    <m/>
    <x v="1"/>
    <s v="LABORATÓRIO TEUTO BRASILEIRO S/A"/>
    <s v="17159229000176"/>
    <s v="DEXAMETASONA"/>
    <n v="10"/>
    <n v="0"/>
    <n v="0"/>
    <n v="0"/>
    <s v="+"/>
    <s v=" CORTICOIDES TOP PUROS"/>
    <s v=" 1177-87-3"/>
    <s v="Tarja Vermelha"/>
    <s v="I"/>
    <s v="E"/>
    <s v="G"/>
    <n v="845236"/>
    <n v="1777348"/>
    <n v="4066786.26"/>
    <x v="1"/>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17277"/>
    <s v="30049099"/>
    <m/>
    <n v="20140626"/>
    <s v="507700301118419"/>
    <s v="7896004715698"/>
    <s v="1023500360013"/>
    <x v="2"/>
    <x v="2"/>
    <s v="Acetato de medroxiprogesterona"/>
    <s v="ACETATO DE MEDROXIPROGESTERONA"/>
    <s v=""/>
    <s v=""/>
    <s v=""/>
    <s v=""/>
    <m/>
    <x v="2"/>
    <s v="EMS S/A"/>
    <s v="57507378000101"/>
    <s v="ACETATO DE MEDROXIPROGESTERONA"/>
    <n v="4"/>
    <n v="0"/>
    <n v="0"/>
    <n v="0"/>
    <s v="+"/>
    <s v=" PROGESTAGEN EXC G3A,G3F"/>
    <s v=" 71-58-9"/>
    <s v="Tarja Vermelha"/>
    <s v="I"/>
    <s v="E"/>
    <s v="M"/>
    <n v="420847"/>
    <n v="1157866"/>
    <n v="2642928.46"/>
    <x v="2"/>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4793"/>
    <s v="30049029"/>
    <m/>
    <n v="20140626"/>
    <s v="534300102166415"/>
    <s v="7896082900047"/>
    <s v="1017400460017"/>
    <x v="3"/>
    <x v="3"/>
    <m/>
    <m/>
    <m/>
    <m/>
    <m/>
    <m/>
    <m/>
    <x v="3"/>
    <s v="AVERT LABORATÓRIOS LTDA"/>
    <s v="44211936000137"/>
    <s v=""/>
    <n v="0"/>
    <n v="0"/>
    <n v="0"/>
    <n v="0"/>
    <s v="-"/>
    <s v="ANTIACNEICO SISTEMICO"/>
    <s v=" 94-36-0"/>
    <s v="Venda Livre"/>
    <s v="N"/>
    <s v="P"/>
    <m/>
    <n v="350921"/>
    <n v="2874344"/>
    <n v="6555307.6100000003"/>
    <x v="3"/>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4794"/>
    <s v="30049029"/>
    <m/>
    <n v="20140626"/>
    <s v="534300103162413"/>
    <s v="7896082900351"/>
    <s v="1017400010097"/>
    <x v="3"/>
    <x v="4"/>
    <m/>
    <m/>
    <m/>
    <m/>
    <m/>
    <m/>
    <m/>
    <x v="4"/>
    <s v="AVERT LABORATÓRIOS LTDA"/>
    <s v="44211936000137"/>
    <s v=""/>
    <n v="0"/>
    <n v="0"/>
    <n v="0"/>
    <n v="0"/>
    <s v="-"/>
    <s v="ANTIACNEICO SISTEMICO"/>
    <s v=" 94-36-0"/>
    <s v="Venda Livre"/>
    <s v="N"/>
    <s v="P"/>
    <m/>
    <n v="2"/>
    <n v="100"/>
    <n v="200"/>
    <x v="3"/>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4794"/>
    <s v="30049029"/>
    <m/>
    <n v="20140626"/>
    <s v="534300103162413"/>
    <s v="7896082900351"/>
    <s v="1017400010097"/>
    <x v="3"/>
    <x v="5"/>
    <m/>
    <m/>
    <m/>
    <m/>
    <m/>
    <m/>
    <m/>
    <x v="3"/>
    <s v="AVERT LABORATÓRIOS LTDA"/>
    <s v="44211936000137"/>
    <s v=""/>
    <n v="0"/>
    <n v="0"/>
    <n v="0"/>
    <n v="0"/>
    <s v="-"/>
    <s v="ANTIACNEICO SISTEMICO"/>
    <s v=" 94-36-0"/>
    <s v="Venda Livre"/>
    <s v="N"/>
    <s v="P"/>
    <m/>
    <n v="365457"/>
    <n v="3284901"/>
    <n v="7493107.4500000002"/>
    <x v="3"/>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6268"/>
    <s v="30049029"/>
    <m/>
    <n v="20140626"/>
    <s v="534300102166415"/>
    <s v="7892953001387"/>
    <s v="1221400750040"/>
    <x v="3"/>
    <x v="6"/>
    <s v="fenazopiridina"/>
    <s v="FENAZOPIRIDINA"/>
    <s v=""/>
    <s v=""/>
    <s v=""/>
    <s v=""/>
    <m/>
    <x v="5"/>
    <s v="ZODIAC PRODUTOS FARMACÊUTICOS S/A"/>
    <s v="55980684000127"/>
    <s v="FENAZOPIRIDINA"/>
    <n v="0"/>
    <n v="0"/>
    <n v="0"/>
    <n v="0"/>
    <s v="-"/>
    <s v=" TODOS OUT PROD UROLOG"/>
    <s v=" 94-36-0"/>
    <s v="Venda Livre"/>
    <s v="N"/>
    <s v="P"/>
    <s v="R"/>
    <n v="1142844"/>
    <n v="4123474"/>
    <n v="9409235.5999999996"/>
    <x v="4"/>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4616"/>
    <s v="30043929"/>
    <m/>
    <n v="20140626"/>
    <s v="502800105115312"/>
    <s v="7891058004217"/>
    <s v="1130002690172"/>
    <x v="4"/>
    <x v="7"/>
    <s v="Risedronato sódico"/>
    <s v="RISEDRONATO SODICO"/>
    <s v=""/>
    <s v=""/>
    <s v=""/>
    <s v=""/>
    <m/>
    <x v="6"/>
    <s v="SANOFI-AVENTIS FARMACÊUTICA LTDA"/>
    <s v="02685377000157"/>
    <s v="RISEDRONATO SODICO"/>
    <n v="2"/>
    <n v="0"/>
    <n v="0"/>
    <n v="0"/>
    <s v="+"/>
    <s v=" BIFOSF OSTEOP E DES REL"/>
    <s v=" 115436-72-1"/>
    <s v="Tarja Vermelha"/>
    <s v="I"/>
    <s v="E"/>
    <s v="R"/>
    <n v="476588"/>
    <n v="19699559"/>
    <n v="44973575.280000001"/>
    <x v="5"/>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3402"/>
    <s v="30049029"/>
    <m/>
    <n v="20140626"/>
    <s v="522708904117411"/>
    <s v="7891045040426"/>
    <s v="1211000560220"/>
    <x v="5"/>
    <x v="8"/>
    <s v="Ibuprofeno"/>
    <s v="IBUPROFENO"/>
    <s v=""/>
    <s v=""/>
    <s v=""/>
    <s v=""/>
    <m/>
    <x v="7"/>
    <s v="WYETH INDÚSTRIA FARMACÊUTICA LTDA"/>
    <s v="61072393000133"/>
    <s v="IBUPROFENO"/>
    <n v="2"/>
    <n v="0"/>
    <n v="0"/>
    <n v="0"/>
    <s v="-"/>
    <s v=" ANALG NAO NARCOT/A/PIRET"/>
    <s v=" 15687-27-1"/>
    <s v="Venda Livre"/>
    <s v="N"/>
    <s v="E"/>
    <s v="M"/>
    <n v="3104441"/>
    <n v="15127292"/>
    <n v="34569972.380000003"/>
    <x v="6"/>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3402"/>
    <s v="30049029"/>
    <m/>
    <n v="20140626"/>
    <s v="522708904117411"/>
    <s v="7891045040426"/>
    <s v="1211000560220"/>
    <x v="5"/>
    <x v="8"/>
    <s v="Ibuprofeno"/>
    <s v="IBUPROFENO"/>
    <s v=""/>
    <s v=""/>
    <s v=""/>
    <s v=""/>
    <m/>
    <x v="7"/>
    <s v="WYETH INDÚSTRIA FARMACÊUTICA LTDA"/>
    <s v="61072393000133"/>
    <s v="IBUPROFENO"/>
    <n v="2"/>
    <n v="0"/>
    <n v="0"/>
    <n v="0"/>
    <s v="-"/>
    <s v=" ANALG NAO NARCOT/A/PIRET"/>
    <s v=" 15687-27-1"/>
    <s v="Venda Livre"/>
    <s v="N"/>
    <s v="E"/>
    <s v="M"/>
    <n v="3104441"/>
    <n v="15127292"/>
    <n v="34569972.380000003"/>
    <x v="7"/>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3402"/>
    <s v="30049029"/>
    <m/>
    <n v="20140626"/>
    <s v="522708904117411"/>
    <s v="7891045040426"/>
    <s v="1211000560220"/>
    <x v="5"/>
    <x v="8"/>
    <s v="Ibuprofeno"/>
    <s v="IBUPROFENO"/>
    <s v=""/>
    <s v=""/>
    <s v=""/>
    <s v=""/>
    <m/>
    <x v="7"/>
    <s v="WYETH INDÚSTRIA FARMACÊUTICA LTDA"/>
    <s v="61072393000133"/>
    <s v="IBUPROFENO"/>
    <n v="2"/>
    <n v="0"/>
    <n v="0"/>
    <n v="0"/>
    <s v="-"/>
    <s v=" ANALG NAO NARCOT/A/PIRET"/>
    <s v=" 15687-27-1"/>
    <s v="Venda Livre"/>
    <s v="N"/>
    <s v="E"/>
    <s v="M"/>
    <n v="3104441"/>
    <n v="15127292"/>
    <n v="34569972.380000003"/>
    <x v="8"/>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9249"/>
    <s v="30049099"/>
    <m/>
    <n v="20140626"/>
    <s v="520700401111417"/>
    <s v="7896112141846"/>
    <s v="1037001570018"/>
    <x v="6"/>
    <x v="9"/>
    <s v="Ácido Fólico"/>
    <s v="ACIDO FOLICO"/>
    <s v=""/>
    <s v=""/>
    <s v=""/>
    <s v=""/>
    <m/>
    <x v="1"/>
    <s v="LABORATÓRIO TEUTO BRASILEIRO S/A"/>
    <s v="17159229000176"/>
    <s v="ACIDO FOLICO"/>
    <n v="1"/>
    <n v="0"/>
    <n v="0"/>
    <n v="0"/>
    <s v="-"/>
    <s v=" O.P.A/ANEM.A.FOLIC/FOLIN"/>
    <s v=" 59-30-3"/>
    <s v="Tarja Vermelha"/>
    <s v="N"/>
    <s v="E"/>
    <s v="M"/>
    <n v="734175"/>
    <n v="1757030"/>
    <n v="4016935.98"/>
    <x v="9"/>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2201"/>
    <s v="30049099"/>
    <m/>
    <n v="20140626"/>
    <s v="538806304110413"/>
    <s v="7896004736778"/>
    <s v="1677301360059"/>
    <x v="7"/>
    <x v="10"/>
    <s v="Citrato de sildenafila"/>
    <s v="CITRATO DE SILDENAFILA"/>
    <s v=""/>
    <s v=""/>
    <s v=""/>
    <s v=""/>
    <m/>
    <x v="8"/>
    <s v="LEGRAND PHARMA INDÚSTRIA FARMACÊUTICA LTDA"/>
    <s v="05044984000126"/>
    <s v="CITRATO DE SILDENAFILA"/>
    <n v="1"/>
    <n v="0"/>
    <n v="0"/>
    <n v="0"/>
    <s v="-"/>
    <s v=" PRD DISF ERECTIL"/>
    <s v=" 171599-83-0"/>
    <s v="Tarja Vermelha"/>
    <s v="N"/>
    <s v="P"/>
    <s v="M"/>
    <n v="1588844"/>
    <n v="6152881"/>
    <n v="14045538.140000001"/>
    <x v="10"/>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4991"/>
    <s v="30049069"/>
    <m/>
    <n v="20140626"/>
    <s v="500209701112314"/>
    <s v="7896255711005"/>
    <s v="1055303340021"/>
    <x v="8"/>
    <x v="11"/>
    <s v="Cloridrato de biperideno"/>
    <s v="CLORIDRATO DE BIPERIDENO"/>
    <s v=""/>
    <s v=""/>
    <s v=""/>
    <s v=""/>
    <m/>
    <x v="9"/>
    <s v="ABBOTT LABORATÓRIOS DO BRASIL LTDA"/>
    <s v="56998701000116"/>
    <s v="CLORIDRATO DE BIPERIDENO"/>
    <n v="1"/>
    <n v="0"/>
    <n v="0"/>
    <n v="0"/>
    <s v="+"/>
    <s v=" A/PARKINSONIANOS"/>
    <s v=" 1235-82-1"/>
    <s v="Tarja Vermelha"/>
    <s v="I"/>
    <s v="E"/>
    <s v="R"/>
    <n v="553221"/>
    <n v="5005449"/>
    <n v="11426125.449999999"/>
    <x v="11"/>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20672"/>
    <s v="30049059"/>
    <m/>
    <n v="20140626"/>
    <s v="511516202119110"/>
    <s v="7897595610089"/>
    <s v="1004704740026"/>
    <x v="9"/>
    <x v="12"/>
    <s v="Alendronato de sódio"/>
    <s v="ALENDRONATO DE SODIO"/>
    <s v=""/>
    <s v=""/>
    <s v=""/>
    <s v=""/>
    <m/>
    <x v="10"/>
    <s v="SANDOZ DO BRASIL INDÚSTRIA FARMACÊUTICA LTDA"/>
    <s v="61286647000116"/>
    <s v="ALENDRONATO DE SODIO"/>
    <n v="3"/>
    <n v="0"/>
    <n v="0"/>
    <n v="0"/>
    <s v="+"/>
    <s v=" BIFOSF OSTEOP E DES REL"/>
    <s v=" 121268-17-5"/>
    <s v="Tarja Vermelha"/>
    <s v="I"/>
    <s v="E"/>
    <s v="G"/>
    <n v="824735"/>
    <n v="12084077"/>
    <n v="27569931.329999998"/>
    <x v="5"/>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4013"/>
    <s v="30043290"/>
    <m/>
    <n v="20140626"/>
    <s v="521100404175413"/>
    <s v="7896181911784"/>
    <s v="1121303080153"/>
    <x v="10"/>
    <x v="13"/>
    <s v="Fumarato de formoterol + budesonida"/>
    <s v="FUMARATO DE FORMOTEROL"/>
    <s v="BUDESONIDA"/>
    <s v=""/>
    <s v=""/>
    <s v=""/>
    <m/>
    <x v="11"/>
    <s v="BIOSINTÉTICA FARMACÊUTICA LTDA"/>
    <s v="53162095000106"/>
    <s v="FUMARATO DE FORMOTEROL"/>
    <n v="3"/>
    <n v="2"/>
    <n v="0"/>
    <n v="0"/>
    <s v="+"/>
    <s v=" ESTIM-B2/CORTIC-INALANTES"/>
    <s v=" 183814-30-4"/>
    <s v="Tarja Vermelha"/>
    <s v="II"/>
    <s v="P"/>
    <s v="M"/>
    <n v="1520387"/>
    <n v="43303268"/>
    <n v="98802063.840000004"/>
    <x v="12"/>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4013"/>
    <s v="30043290"/>
    <m/>
    <n v="20140626"/>
    <s v="521100404175413"/>
    <s v="7896181911784"/>
    <s v="1121303080153"/>
    <x v="10"/>
    <x v="13"/>
    <s v="Fumarato de formoterol + budesonida"/>
    <s v="FUMARATO DE FORMOTEROL"/>
    <s v="BUDESONIDA"/>
    <s v=""/>
    <s v=""/>
    <s v=""/>
    <m/>
    <x v="11"/>
    <s v="BIOSINTÉTICA FARMACÊUTICA LTDA"/>
    <s v="53162095000106"/>
    <s v="FUMARATO DE FORMOTEROL"/>
    <n v="3"/>
    <n v="2"/>
    <n v="0"/>
    <n v="0"/>
    <s v="+"/>
    <s v=" ESTIM-B2/CORTIC-INALANTES"/>
    <s v=" 183814-30-4"/>
    <s v="Tarja Vermelha"/>
    <s v="II"/>
    <s v="P"/>
    <s v="M"/>
    <n v="1520387"/>
    <n v="43303268"/>
    <n v="98802063.840000004"/>
    <x v="13"/>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4013"/>
    <s v="30043290"/>
    <m/>
    <n v="20140626"/>
    <s v="521100404175413"/>
    <s v="7896181911784"/>
    <s v="1121303080153"/>
    <x v="10"/>
    <x v="13"/>
    <s v="Fumarato de formoterol + budesonida"/>
    <s v="FUMARATO DE FORMOTEROL"/>
    <s v="BUDESONIDA"/>
    <s v=""/>
    <s v=""/>
    <s v=""/>
    <m/>
    <x v="11"/>
    <s v="BIOSINTÉTICA FARMACÊUTICA LTDA"/>
    <s v="53162095000106"/>
    <s v="FUMARATO DE FORMOTEROL"/>
    <n v="3"/>
    <n v="2"/>
    <n v="0"/>
    <n v="0"/>
    <s v="+"/>
    <s v=" ESTIM-B2/CORTIC-INALANTES"/>
    <s v=" 183814-30-4"/>
    <s v="Tarja Vermelha"/>
    <s v="II"/>
    <s v="P"/>
    <s v="M"/>
    <n v="1520387"/>
    <n v="43303268"/>
    <n v="98802063.840000004"/>
    <x v="14"/>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3321"/>
    <s v="30049029"/>
    <m/>
    <n v="20140626"/>
    <s v="538513120021513"/>
    <s v="7891142115492"/>
    <s v="1009302180221"/>
    <x v="11"/>
    <x v="14"/>
    <s v="Ibuprofeno"/>
    <s v="IBUPROFENO"/>
    <s v=""/>
    <s v=""/>
    <s v=""/>
    <s v=""/>
    <m/>
    <x v="12"/>
    <s v="HYPERMARCAS S/A"/>
    <s v="02932074000191"/>
    <s v="IBUPROFENO"/>
    <n v="2"/>
    <n v="0"/>
    <n v="0"/>
    <n v="0"/>
    <s v="-"/>
    <s v=" ANALG NAO NARCOT/A/PIRET"/>
    <s v=" 15687-27-1"/>
    <s v="Venda Livre"/>
    <s v="N"/>
    <s v="E"/>
    <s v="R"/>
    <n v="3816939"/>
    <n v="27941340"/>
    <n v="63627646.25"/>
    <x v="15"/>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3321"/>
    <s v="30049029"/>
    <m/>
    <n v="20140626"/>
    <s v="538513120021513"/>
    <s v="7891142115492"/>
    <s v="1009302180221"/>
    <x v="11"/>
    <x v="14"/>
    <s v="Ibuprofeno"/>
    <s v="IBUPROFENO"/>
    <s v=""/>
    <s v=""/>
    <s v=""/>
    <s v=""/>
    <m/>
    <x v="12"/>
    <s v="HYPERMARCAS S/A"/>
    <s v="02932074000191"/>
    <s v="IBUPROFENO"/>
    <n v="2"/>
    <n v="0"/>
    <n v="0"/>
    <n v="0"/>
    <s v="-"/>
    <s v=" ANALG NAO NARCOT/A/PIRET"/>
    <s v=" 15687-27-1"/>
    <s v="Venda Livre"/>
    <s v="N"/>
    <s v="E"/>
    <s v="R"/>
    <n v="3816939"/>
    <n v="27941340"/>
    <n v="63627646.25"/>
    <x v="7"/>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6451"/>
    <s v="30049069"/>
    <m/>
    <n v="20140626"/>
    <s v="502800502114312"/>
    <s v="7891058006716"/>
    <s v="1130002620115"/>
    <x v="12"/>
    <x v="15"/>
    <s v="Cloridrato de fexofenadina"/>
    <s v="CLORIDRATO DE FEXOFENADINA"/>
    <s v="CLORIDRATO DE PSEUDOEFEDRINA"/>
    <s v=""/>
    <s v=""/>
    <s v=""/>
    <m/>
    <x v="6"/>
    <s v="SANOFI-AVENTIS FARMACÊUTICA LTDA"/>
    <s v="02685377000157"/>
    <s v="CLORIDRATO DE FEXOFENADINA"/>
    <n v="0"/>
    <n v="0"/>
    <n v="0"/>
    <n v="0"/>
    <s v="-"/>
    <s v=" PREP.SISTEMICAS NASAIS"/>
    <s v=" 345-78-8"/>
    <s v="Tarja Vermelha"/>
    <s v="N"/>
    <s v="P"/>
    <s v="R"/>
    <n v="1785365"/>
    <n v="24650140"/>
    <n v="56040078.609999999"/>
    <x v="16"/>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6455"/>
    <s v="30049099"/>
    <m/>
    <n v="20140626"/>
    <s v="507726903115411"/>
    <s v="7896004705408"/>
    <s v="1023508600035"/>
    <x v="13"/>
    <x v="16"/>
    <s v="Cloridrato de fexofenadina + Cloridrato de Pseudoefedrina"/>
    <s v="CLORIDRATO DE FEXOFENADINA"/>
    <s v="CLORIDRATO DE PSEUDOEFEDRINA"/>
    <s v=""/>
    <s v=""/>
    <s v=""/>
    <m/>
    <x v="2"/>
    <s v="EMS S/A"/>
    <s v="57507378000101"/>
    <s v="CLORIDRATO DE FEXOFENADINA"/>
    <n v="0"/>
    <n v="0"/>
    <n v="0"/>
    <n v="0"/>
    <s v="-"/>
    <s v=" PREP.SISTEMICAS NASAIS"/>
    <s v=" 345-78-8"/>
    <s v="Tarja Vermelha"/>
    <s v="N"/>
    <s v="P"/>
    <s v="M"/>
    <n v="829273"/>
    <n v="9847393"/>
    <n v="22341172.309999999"/>
    <x v="16"/>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7693"/>
    <s v="30039049"/>
    <m/>
    <n v="20140626"/>
    <s v="501603902111414"/>
    <s v="7896637024402"/>
    <s v="1011805920022"/>
    <x v="14"/>
    <x v="17"/>
    <s v="cloridrato de memantina"/>
    <s v="CLORIDRATO DE MEMANTINA"/>
    <s v=""/>
    <s v=""/>
    <s v=""/>
    <s v=""/>
    <m/>
    <x v="13"/>
    <s v="APSEN FARMACEUTICA S/A"/>
    <s v="62462015000129"/>
    <s v="CLORIDRATO DE MEMANTINA"/>
    <n v="1"/>
    <n v="0"/>
    <n v="0"/>
    <n v="0"/>
    <s v="+"/>
    <s v=" TODOS OUT PROD ANTI-ALZH"/>
    <s v=" 19982-08-2"/>
    <s v="Tarja Vermelha"/>
    <s v="I"/>
    <s v="P"/>
    <s v="M"/>
    <n v="90848"/>
    <n v="4159045"/>
    <n v="9479220.6999999993"/>
    <x v="17"/>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7695"/>
    <s v="30049039"/>
    <m/>
    <n v="20140626"/>
    <s v="501603901115319"/>
    <s v="7896637023375"/>
    <s v="1011805920014"/>
    <x v="14"/>
    <x v="18"/>
    <s v="cloridrato de memantina"/>
    <s v="CLORIDRATO DE MEMANTINA"/>
    <s v=""/>
    <s v=""/>
    <s v=""/>
    <s v=""/>
    <m/>
    <x v="13"/>
    <s v="APSEN FARMACEUTICA S/A"/>
    <s v="62462015000129"/>
    <s v="CLORIDRATO DE MEMANTINA"/>
    <n v="1"/>
    <n v="0"/>
    <n v="0"/>
    <n v="0"/>
    <s v="+"/>
    <s v=" TODOS OUT PROD ANTI-ALZH"/>
    <s v=" 19982-08-2"/>
    <s v="Tarja Vermelha"/>
    <s v="I"/>
    <s v="P"/>
    <s v="M"/>
    <n v="170946"/>
    <n v="3950984"/>
    <n v="9005303.8100000005"/>
    <x v="17"/>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21461"/>
    <s v="30049069"/>
    <m/>
    <n v="20140626"/>
    <s v="528530001111110"/>
    <s v="7899547503845"/>
    <s v="1256801910017"/>
    <x v="15"/>
    <x v="19"/>
    <s v="ALOPURINOL"/>
    <s v="ALOPURINOL"/>
    <s v=""/>
    <s v=""/>
    <s v=""/>
    <s v=""/>
    <m/>
    <x v="14"/>
    <s v="PRATI DONADUZZI &amp; CIA LTDA"/>
    <s v="73856593000166"/>
    <s v="ALOPURINOL"/>
    <n v="1"/>
    <n v="0"/>
    <n v="0"/>
    <n v="0"/>
    <s v="+"/>
    <s v=" ANTIGOTOSOS"/>
    <s v=" 315-30-0"/>
    <s v="Tarja Vermelha"/>
    <s v="I"/>
    <s v="E"/>
    <s v="G"/>
    <n v="249125"/>
    <n v="588749"/>
    <n v="1343005.91"/>
    <x v="18"/>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21463"/>
    <s v="30049069"/>
    <m/>
    <n v="20140626"/>
    <s v="525071002119114"/>
    <s v="7896422516921"/>
    <s v="1018105690013"/>
    <x v="15"/>
    <x v="19"/>
    <s v="ALOPURINOL"/>
    <s v="ALOPURINOL"/>
    <s v=""/>
    <s v=""/>
    <s v=""/>
    <s v=""/>
    <m/>
    <x v="15"/>
    <s v="MEDLEY INDÚSTRIA FARMACÊUTICA LTDA"/>
    <s v="50929710000179"/>
    <s v="ALOPURINOL"/>
    <n v="1"/>
    <n v="0"/>
    <n v="0"/>
    <n v="0"/>
    <s v="+"/>
    <s v=" ANTIGOTOSOS"/>
    <s v=" 315-30-0"/>
    <s v="Tarja Vermelha"/>
    <s v="I"/>
    <s v="E"/>
    <s v="G"/>
    <n v="1311946"/>
    <n v="3223325"/>
    <n v="7352528.0099999998"/>
    <x v="18"/>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21467"/>
    <s v="30049069"/>
    <m/>
    <n v="20140626"/>
    <s v="525071001112116"/>
    <s v="7896422516945"/>
    <s v="1018105690031"/>
    <x v="15"/>
    <x v="20"/>
    <s v="ALOPURINOL"/>
    <s v="ALOPURINOL"/>
    <s v=""/>
    <s v=""/>
    <s v=""/>
    <s v=""/>
    <m/>
    <x v="15"/>
    <s v="MEDLEY INDÚSTRIA FARMACÊUTICA LTDA"/>
    <s v="50929710000179"/>
    <s v="ALOPURINOL"/>
    <n v="1"/>
    <n v="0"/>
    <n v="0"/>
    <n v="0"/>
    <s v="+"/>
    <s v=" ANTIGOTOSOS"/>
    <s v=" 315-30-0"/>
    <s v="Tarja Vermelha"/>
    <s v="I"/>
    <s v="E"/>
    <s v="G"/>
    <n v="920850"/>
    <n v="6672403"/>
    <n v="15240524.140000001"/>
    <x v="18"/>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21471"/>
    <s v="30049069"/>
    <m/>
    <n v="20140626"/>
    <s v="511500201118114"/>
    <s v="7897595602114"/>
    <s v="1004703310079"/>
    <x v="15"/>
    <x v="20"/>
    <s v="ALOPURINOL"/>
    <s v="ALOPURINOL"/>
    <s v=""/>
    <s v=""/>
    <s v=""/>
    <s v=""/>
    <m/>
    <x v="10"/>
    <s v="SANDOZ DO BRASIL INDÚSTRIA FARMACÊUTICA LTDA"/>
    <s v="61286647000116"/>
    <s v="ALOPURINOL"/>
    <n v="1"/>
    <n v="0"/>
    <n v="0"/>
    <n v="0"/>
    <s v="+"/>
    <s v=" ANTIGOTOSOS"/>
    <s v=" 315-30-0"/>
    <s v="Tarja Vermelha"/>
    <s v="I"/>
    <s v="E"/>
    <s v="G"/>
    <n v="559458"/>
    <n v="3745861"/>
    <n v="8558044.9299999997"/>
    <x v="18"/>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8711"/>
    <s v="30042099"/>
    <m/>
    <n v="20140626"/>
    <s v="501006401171313"/>
    <s v="7897316805268"/>
    <s v="1014701420087"/>
    <x v="16"/>
    <x v="21"/>
    <s v="tartarato de brimonidina"/>
    <s v="TARTARATO DE BRIMONIDINA"/>
    <s v=""/>
    <s v=""/>
    <s v=""/>
    <s v=""/>
    <m/>
    <x v="16"/>
    <s v="ALLERGAN PRODUTOS FARMACÊUTICOS LTDA"/>
    <s v="43426626000177"/>
    <s v="TARTARATO DE BRIMONIDINA"/>
    <n v="3"/>
    <n v="0"/>
    <n v="0"/>
    <n v="0"/>
    <s v="+"/>
    <s v=" PREP ANTI/GLAUC/MIOT/TOP."/>
    <s v=" 70359-46-5"/>
    <s v="Tarja Vermelha"/>
    <s v="I"/>
    <s v="E"/>
    <s v="R"/>
    <n v="493049"/>
    <n v="5688175"/>
    <n v="12983304.9"/>
    <x v="19"/>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598"/>
    <s v="30049099"/>
    <m/>
    <n v="20140626"/>
    <s v="511512120056603"/>
    <s v="7897595601186"/>
    <s v="1004700090558"/>
    <x v="17"/>
    <x v="22"/>
    <s v="benzocaína tirotricina"/>
    <s v="BENZOCAINA"/>
    <s v="TIROTRICINA"/>
    <s v=""/>
    <s v=""/>
    <s v=""/>
    <m/>
    <x v="10"/>
    <s v="SANDOZ DO BRASIL INDÚSTRIA FARMACÊUTICA LTDA"/>
    <s v="61286647000116"/>
    <s v="BENZOCAINA"/>
    <n v="1"/>
    <n v="3"/>
    <n v="0"/>
    <n v="0"/>
    <s v="-"/>
    <s v=" DESCONG/A/SEPT FARING"/>
    <s v=" 94-09-7"/>
    <s v="Venda Livre"/>
    <s v="N"/>
    <s v="P"/>
    <s v="M"/>
    <n v="1917235"/>
    <n v="7896388"/>
    <n v="17917493.48"/>
    <x v="20"/>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4824"/>
    <s v="30049099"/>
    <m/>
    <n v="20140626"/>
    <s v="510400102111411"/>
    <s v="7899095200456"/>
    <s v="1542300020034"/>
    <x v="18"/>
    <x v="23"/>
    <s v="cloridrato de amiodarona"/>
    <s v="CLORIDRATO DE AMIODARONA"/>
    <s v=""/>
    <s v=""/>
    <s v=""/>
    <s v=""/>
    <m/>
    <x v="17"/>
    <s v="GEOLAB INDÚSTRIA FARMACÊUTICA S/A"/>
    <s v="03485572000104"/>
    <s v="CLORIDRATO DE AMIODARONA"/>
    <n v="1"/>
    <n v="0"/>
    <n v="0"/>
    <n v="0"/>
    <s v="+"/>
    <s v=" A/ARRITMICOS CARDIACOS"/>
    <s v=" 19774-82-4"/>
    <s v="Tarja Vermelha"/>
    <s v="I"/>
    <s v="E"/>
    <s v="M"/>
    <n v="131270"/>
    <n v="986453"/>
    <n v="2255052.04"/>
    <x v="21"/>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22833"/>
    <s v="30041012"/>
    <m/>
    <n v="20140626"/>
    <s v="520723402112114"/>
    <s v="7896112113737"/>
    <s v="1037004470057"/>
    <x v="19"/>
    <x v="24"/>
    <s v="Amoxicilina"/>
    <s v="AMOXICILINA"/>
    <s v=""/>
    <s v=""/>
    <s v=""/>
    <s v=""/>
    <m/>
    <x v="1"/>
    <s v="LABORATÓRIO TEUTO BRASILEIRO S/A"/>
    <s v="17159229000176"/>
    <s v="AMOXICILINA"/>
    <n v="7"/>
    <n v="0"/>
    <n v="0"/>
    <n v="0"/>
    <s v="+"/>
    <s v=" PENICILINAS ORAIS L/ESPEC"/>
    <s v=" 61336-70-7"/>
    <s v="Tarja Vermelha"/>
    <s v="I"/>
    <s v="P"/>
    <s v="G"/>
    <n v="1285882"/>
    <n v="8450638"/>
    <n v="19215445.66"/>
    <x v="14"/>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22833"/>
    <s v="30041012"/>
    <m/>
    <n v="20140626"/>
    <s v="520723402112114"/>
    <s v="7896112113737"/>
    <s v="1037004470057"/>
    <x v="19"/>
    <x v="24"/>
    <s v="Amoxicilina"/>
    <s v="AMOXICILINA"/>
    <s v=""/>
    <s v=""/>
    <s v=""/>
    <s v=""/>
    <m/>
    <x v="1"/>
    <s v="LABORATÓRIO TEUTO BRASILEIRO S/A"/>
    <s v="17159229000176"/>
    <s v="AMOXICILINA"/>
    <n v="7"/>
    <n v="0"/>
    <n v="0"/>
    <n v="0"/>
    <s v="+"/>
    <s v=" PENICILINAS ORAIS L/ESPEC"/>
    <s v=" 61336-70-7"/>
    <s v="Tarja Vermelha"/>
    <s v="I"/>
    <s v="P"/>
    <s v="G"/>
    <n v="1285882"/>
    <n v="8450638"/>
    <n v="19215445.66"/>
    <x v="22"/>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22914"/>
    <s v="30041012"/>
    <m/>
    <n v="20140626"/>
    <s v="507701603118118"/>
    <s v="7896004703404"/>
    <s v="1023505320015"/>
    <x v="20"/>
    <x v="25"/>
    <s v="Amoxicilina +  clavulanato de potássio"/>
    <s v="AMOXICILINA"/>
    <s v="CLAVULANATO DE POTASSIO"/>
    <s v=""/>
    <s v=""/>
    <s v=""/>
    <m/>
    <x v="2"/>
    <s v="EMS S/A"/>
    <s v="57507378000101"/>
    <s v="AMOXICILINA"/>
    <n v="7"/>
    <n v="3"/>
    <n v="0"/>
    <n v="0"/>
    <s v="+"/>
    <s v=" PENICILINAS ORAIS L/ESPEC"/>
    <s v=" 61336-70-7"/>
    <s v="Tarja Vermelha"/>
    <s v="II"/>
    <s v="P"/>
    <s v="G"/>
    <n v="674345"/>
    <n v="11568329"/>
    <n v="26313184.969999999"/>
    <x v="20"/>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14837"/>
    <s v="30049039"/>
    <m/>
    <n v="20140626"/>
    <s v="506700401114411"/>
    <s v="7896676400083"/>
    <s v="1029802250045"/>
    <x v="21"/>
    <x v="26"/>
    <s v="Amitriptilina"/>
    <s v="AMITRIPTILINA"/>
    <s v=""/>
    <s v=""/>
    <s v=""/>
    <s v=""/>
    <m/>
    <x v="18"/>
    <s v="CRISTÁLIA PRODUTOS QUÍMICOS FARMACÊUTICOS LTDA."/>
    <s v="44734671000151"/>
    <s v="AMITRIPTILINA"/>
    <n v="1"/>
    <n v="0"/>
    <n v="0"/>
    <n v="0"/>
    <s v="+"/>
    <s v=" ANTI-DEPRES.TOD.OUTROS"/>
    <s v=" 549-18-8"/>
    <s v="Tarja Vermelha"/>
    <s v="I"/>
    <s v="E"/>
    <s v="M"/>
    <n v="1103062"/>
    <n v="5593592"/>
    <n v="12760600.01"/>
    <x v="23"/>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4796"/>
    <s v="30049054"/>
    <m/>
    <n v="20140626"/>
    <s v="523712010025203"/>
    <s v="7896094207844"/>
    <s v="1003300010133"/>
    <x v="22"/>
    <x v="27"/>
    <s v="cloridrato de amiodarona"/>
    <s v="CLORIDRATO DE AMIODARONA"/>
    <s v=""/>
    <s v=""/>
    <s v=""/>
    <s v=""/>
    <m/>
    <x v="19"/>
    <s v="LIBBS FARMACÊUTICA LTDA"/>
    <s v="61230314000175"/>
    <s v="CLORIDRATO DE AMIODARONA"/>
    <n v="1"/>
    <n v="0"/>
    <n v="0"/>
    <n v="0"/>
    <s v="+"/>
    <s v=" A/ARRITMICOS CARDIACOS"/>
    <s v=" 19774-82-4"/>
    <s v="Tarja Vermelha"/>
    <s v="I"/>
    <s v="E"/>
    <s v="M"/>
    <n v="819091"/>
    <n v="4684950"/>
    <n v="10699740.33"/>
    <x v="21"/>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4799"/>
    <s v="30049039"/>
    <m/>
    <n v="20140626"/>
    <s v="523700201115415"/>
    <s v="7896094200463"/>
    <s v="1003300010022"/>
    <x v="22"/>
    <x v="28"/>
    <s v="cloridrato de amiodarona"/>
    <s v="CLORIDRATO DE AMIODARONA"/>
    <s v=""/>
    <s v=""/>
    <s v=""/>
    <s v=""/>
    <m/>
    <x v="19"/>
    <s v="LIBBS FARMACÊUTICA LTDA"/>
    <s v="61230314000175"/>
    <s v="CLORIDRATO DE AMIODARONA"/>
    <n v="1"/>
    <n v="0"/>
    <n v="0"/>
    <n v="0"/>
    <s v="+"/>
    <s v=" A/ARRITMICOS CARDIACOS"/>
    <s v=" 19774-82-4"/>
    <s v="Tarja Vermelha"/>
    <s v="I"/>
    <s v="E"/>
    <s v="M"/>
    <n v="34442"/>
    <n v="153559.09"/>
    <n v="344447.8"/>
    <x v="21"/>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4809"/>
    <s v="30049054"/>
    <m/>
    <n v="20140626"/>
    <s v="523712010025303"/>
    <s v="7896094207851"/>
    <s v="1003300010141"/>
    <x v="22"/>
    <x v="29"/>
    <s v="cloridrato de amiodarona"/>
    <s v="CLORIDRATO DE AMIODARONA"/>
    <s v=""/>
    <s v=""/>
    <s v=""/>
    <s v=""/>
    <m/>
    <x v="19"/>
    <s v="LIBBS FARMACÊUTICA LTDA"/>
    <s v="61230314000175"/>
    <s v="CLORIDRATO DE AMIODARONA"/>
    <n v="1"/>
    <n v="0"/>
    <n v="0"/>
    <n v="0"/>
    <s v="+"/>
    <s v=" A/ARRITMICOS CARDIACOS"/>
    <s v=" 19774-82-4"/>
    <s v="Tarja Vermelha"/>
    <s v="I"/>
    <s v="E"/>
    <s v="M"/>
    <n v="951272"/>
    <n v="10891782"/>
    <n v="24861837.120000001"/>
    <x v="21"/>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3723"/>
    <s v="30043939"/>
    <m/>
    <n v="20140626"/>
    <s v="538901901112314"/>
    <s v="7891106904155"/>
    <s v="1705600390013"/>
    <x v="23"/>
    <x v="30"/>
    <s v="estradiol drospirenona"/>
    <s v="ESTRADIOL"/>
    <s v="DROSPIRENONA"/>
    <s v=""/>
    <s v=""/>
    <s v=""/>
    <m/>
    <x v="20"/>
    <s v="BAYER S.A."/>
    <s v="18459628000115"/>
    <s v="ESTRADIOL"/>
    <n v="9"/>
    <n v="2"/>
    <n v="0"/>
    <n v="0"/>
    <s v="+"/>
    <s v=" ASS ESTROG/PROGEST"/>
    <s v=" 67392-87-4"/>
    <s v="Tarja Vermelha"/>
    <s v="II"/>
    <s v="P"/>
    <s v="R"/>
    <n v="629965"/>
    <n v="16107137"/>
    <n v="36774949.960000001"/>
    <x v="2"/>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6571"/>
    <s v="30049069"/>
    <m/>
    <n v="20140626"/>
    <s v="504100601116417"/>
    <s v="7896112486787"/>
    <s v="1097401210144"/>
    <x v="24"/>
    <x v="31"/>
    <s v="losartana potássica"/>
    <s v="LOSARTANA POTASSICA"/>
    <s v=""/>
    <s v=""/>
    <s v=""/>
    <s v=""/>
    <m/>
    <x v="21"/>
    <s v="BIOLAB SANUS FARMACÊUTICA LTDA"/>
    <s v="49475833000106"/>
    <s v="LOSARTANA POTASSICA"/>
    <n v="4"/>
    <n v="0"/>
    <n v="0"/>
    <n v="0"/>
    <s v="+"/>
    <s v=" ANT.PUROS ANGIOTENSI.II"/>
    <s v=" 124750-99-8"/>
    <s v="Tarja Vermelha"/>
    <s v="I"/>
    <s v="E"/>
    <s v="M"/>
    <n v="3924678"/>
    <n v="58370921"/>
    <n v="133235633.48999999"/>
    <x v="24"/>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6107"/>
    <s v="30049069"/>
    <m/>
    <n v="20140626"/>
    <s v="525500204117212"/>
    <s v="7897337704984"/>
    <s v="1002900350042"/>
    <x v="25"/>
    <x v="32"/>
    <s v="etoricoxibe"/>
    <s v="ETORICOXIBE"/>
    <s v=""/>
    <s v=""/>
    <s v=""/>
    <s v=""/>
    <m/>
    <x v="22"/>
    <s v="MERCK SHARP &amp; DOHME FARMACEUTICA  LTDA"/>
    <s v="45987013000134"/>
    <s v="ETORICOXIBE"/>
    <n v="1"/>
    <n v="0"/>
    <n v="0"/>
    <n v="0"/>
    <s v="+"/>
    <s v=" COXIBS PUROS"/>
    <s v=" 202409-33-4"/>
    <s v="Tarja Vermelha"/>
    <s v="I"/>
    <s v="E"/>
    <s v="R"/>
    <n v="521638"/>
    <n v="7507046"/>
    <n v="17132062.440000001"/>
    <x v="25"/>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23321"/>
    <s v="30049039"/>
    <m/>
    <n v="20140626"/>
    <s v="501604902115310"/>
    <s v="7896637018029"/>
    <s v="1011806040026"/>
    <x v="26"/>
    <x v="33"/>
    <s v="cloridrato de triexifenidil"/>
    <s v="CLORIDRATO DE TRIEXIFENIDIL"/>
    <s v=""/>
    <s v=""/>
    <s v=""/>
    <s v=""/>
    <m/>
    <x v="13"/>
    <s v="APSEN FARMACEUTICA S/A"/>
    <s v="62462015000129"/>
    <s v="CLORIDRATO DE TRIEXIFENIDIL"/>
    <n v="1"/>
    <n v="0"/>
    <n v="0"/>
    <n v="0"/>
    <s v="+"/>
    <s v=" A/PARKINSONIANOS"/>
    <s v=" 52-49-3"/>
    <s v="Tarja Vermelha"/>
    <s v="I"/>
    <s v="E"/>
    <s v="R"/>
    <n v="141557"/>
    <n v="474452"/>
    <n v="1077503.24"/>
    <x v="11"/>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474"/>
    <s v="30042029"/>
    <m/>
    <n v="20140626"/>
    <s v="508000703114419"/>
    <s v="7891317412708"/>
    <s v="1004308130020"/>
    <x v="27"/>
    <x v="34"/>
    <s v="Azitromicina"/>
    <s v="AZITROMICINA"/>
    <s v=""/>
    <s v=""/>
    <s v=""/>
    <s v=""/>
    <m/>
    <x v="23"/>
    <s v="EUROFARMA LABORATÓRIOS S.A."/>
    <s v="61190096000192"/>
    <s v="AZITROMICINA"/>
    <n v="1"/>
    <n v="0"/>
    <n v="0"/>
    <n v="0"/>
    <s v="+"/>
    <s v=" MACROLIDEOS/SIMIL"/>
    <s v=" 117772-70-0"/>
    <s v="Tarja Vermelha"/>
    <s v="I"/>
    <s v="P"/>
    <s v="M"/>
    <n v="1261583"/>
    <n v="4994498"/>
    <n v="11359806.890000001"/>
    <x v="14"/>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475"/>
    <s v="30042029"/>
    <m/>
    <n v="20140626"/>
    <s v="508000704110417"/>
    <s v="7891317420840"/>
    <s v="1004308130071"/>
    <x v="27"/>
    <x v="35"/>
    <s v="Azitromicina"/>
    <s v="AZITROMICINA"/>
    <s v=""/>
    <s v=""/>
    <s v=""/>
    <s v=""/>
    <m/>
    <x v="23"/>
    <s v="EUROFARMA LABORATÓRIOS S.A."/>
    <s v="61190096000192"/>
    <s v="AZITROMICINA"/>
    <n v="1"/>
    <n v="0"/>
    <n v="0"/>
    <n v="0"/>
    <s v="+"/>
    <s v=" MACROLIDEOS/SIMIL"/>
    <s v=" 117772-70-0"/>
    <s v="Tarja Vermelha"/>
    <s v="I"/>
    <s v="P"/>
    <s v="M"/>
    <n v="1024972"/>
    <n v="6766273"/>
    <n v="15401912.25"/>
    <x v="22"/>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4826"/>
    <s v="30049054"/>
    <m/>
    <n v="20140626"/>
    <s v="502822001118316"/>
    <s v="7897595901439"/>
    <s v="1130010680016"/>
    <x v="28"/>
    <x v="36"/>
    <s v="cloridrato de amiodarona"/>
    <s v="CLORIDRATO DE AMIODARONA"/>
    <s v=""/>
    <s v=""/>
    <s v=""/>
    <s v=""/>
    <m/>
    <x v="6"/>
    <s v="SANOFI-AVENTIS FARMACÊUTICA LTDA"/>
    <s v="02685377000157"/>
    <s v="CLORIDRATO DE AMIODARONA"/>
    <n v="1"/>
    <n v="0"/>
    <n v="0"/>
    <n v="0"/>
    <s v="+"/>
    <s v=" A/ARRITMICOS CARDIACOS"/>
    <s v=" 19774-82-4"/>
    <s v="Tarja Vermelha"/>
    <s v="I"/>
    <s v="E"/>
    <s v="R"/>
    <n v="94784"/>
    <n v="427852"/>
    <n v="976148.46"/>
    <x v="21"/>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4828"/>
    <s v="30049076"/>
    <m/>
    <n v="20140626"/>
    <s v="502822004117310"/>
    <s v="7897595900654"/>
    <s v="1130010680024"/>
    <x v="28"/>
    <x v="37"/>
    <s v="cloridrato de amiodarona"/>
    <s v="CLORIDRATO DE AMIODARONA"/>
    <s v=""/>
    <s v=""/>
    <s v=""/>
    <s v=""/>
    <m/>
    <x v="6"/>
    <s v="SANOFI-AVENTIS FARMACÊUTICA LTDA"/>
    <s v="02685377000157"/>
    <s v="CLORIDRATO DE AMIODARONA"/>
    <n v="1"/>
    <n v="0"/>
    <n v="0"/>
    <n v="0"/>
    <s v="+"/>
    <s v=" A/ARRITMICOS CARDIACOS"/>
    <s v=" 19774-82-4"/>
    <s v="Tarja Vermelha"/>
    <s v="I"/>
    <s v="E"/>
    <s v="R"/>
    <n v="112283"/>
    <n v="968088"/>
    <n v="2209106.96"/>
    <x v="21"/>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26020"/>
    <s v="30049099"/>
    <m/>
    <n v="20140626"/>
    <s v="540915010013817"/>
    <s v="7891104195067"/>
    <s v="1781700420076"/>
    <x v="29"/>
    <x v="38"/>
    <m/>
    <s v="ACIDO ACETILSALICILICO"/>
    <s v="BELADONA"/>
    <s v="PAPAVERINA"/>
    <s v=""/>
    <s v=""/>
    <m/>
    <x v="24"/>
    <s v="COSMED INDUSTRIA DE COSMETICOS E MEDICAMENTOS S.A."/>
    <s v="61082426000207"/>
    <s v="ACIDO ACETILSALICILICO"/>
    <n v="4"/>
    <n v="0"/>
    <n v="0"/>
    <n v="0"/>
    <s v="-"/>
    <s v="ATROPA BELLADONNA; CLORIDRATO DE PAPAVERINA; DIPIRONA SÓDICA; EXTRATO DE HYOSCYAMUS NIGER LINNÉ; ILLICIUM VERUM HOOK. F.; PEUMUS BOLDUS"/>
    <s v=" 61-25-6"/>
    <s v="Venda Livre"/>
    <s v="N"/>
    <s v="P"/>
    <s v="M"/>
    <n v="691593"/>
    <n v="4067077"/>
    <n v="9289265.9499999993"/>
    <x v="26"/>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7633"/>
    <s v="30049059"/>
    <m/>
    <n v="20140626"/>
    <s v="510611301139217"/>
    <s v="7896015518875"/>
    <s v="1010702710035"/>
    <x v="30"/>
    <x v="39"/>
    <s v="furoato de fluticasona"/>
    <s v="FUROATO DE FLUTICASONA"/>
    <s v=""/>
    <s v=""/>
    <s v=""/>
    <s v=""/>
    <m/>
    <x v="25"/>
    <s v="GLAXOSMITHKLINE BRASIL LTDA"/>
    <s v="33247743000110"/>
    <s v="FUROATO DE FLUTICASONA"/>
    <n v="0"/>
    <n v="0"/>
    <n v="0"/>
    <n v="0"/>
    <s v="-"/>
    <s v=" CORTICOES.NAS.S/ANTI-INF"/>
    <s v=" 90566-53-3"/>
    <s v="Tarja Vermelha"/>
    <s v="N"/>
    <s v="P"/>
    <s v="M"/>
    <n v="2644823"/>
    <n v="35607325"/>
    <n v="81031768.299999997"/>
    <x v="14"/>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7633"/>
    <s v="30049059"/>
    <m/>
    <n v="20140626"/>
    <s v="510611301139217"/>
    <s v="7896015518875"/>
    <s v="1010702710035"/>
    <x v="30"/>
    <x v="39"/>
    <s v="furoato de fluticasona"/>
    <s v="FUROATO DE FLUTICASONA"/>
    <s v=""/>
    <s v=""/>
    <s v=""/>
    <s v=""/>
    <m/>
    <x v="25"/>
    <s v="GLAXOSMITHKLINE BRASIL LTDA"/>
    <s v="33247743000110"/>
    <s v="FUROATO DE FLUTICASONA"/>
    <n v="0"/>
    <n v="0"/>
    <n v="0"/>
    <n v="0"/>
    <s v="-"/>
    <s v=" CORTICOES.NAS.S/ANTI-INF"/>
    <s v=" 90566-53-3"/>
    <s v="Tarja Vermelha"/>
    <s v="N"/>
    <s v="P"/>
    <s v="M"/>
    <n v="2644823"/>
    <n v="35607325"/>
    <n v="81031768.299999997"/>
    <x v="16"/>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3160"/>
    <s v="30049099"/>
    <m/>
    <n v="20140626"/>
    <s v="500900401178310"/>
    <s v="7896548168745"/>
    <s v="1002302250011"/>
    <x v="31"/>
    <x v="40"/>
    <s v="brinzolamida"/>
    <s v="BRINZOLAMIDA"/>
    <s v=""/>
    <s v=""/>
    <s v=""/>
    <s v=""/>
    <m/>
    <x v="26"/>
    <s v="ALCON LABORATÓRIOS DO BRASIL LTDA."/>
    <s v="60412327000100"/>
    <s v="BRINZOLAMIDA"/>
    <n v="1"/>
    <n v="0"/>
    <n v="0"/>
    <n v="0"/>
    <s v="+"/>
    <s v=" PREP ANTI/GLAUC/MIOT/TOP."/>
    <s v=" 138890-62-7"/>
    <s v="Tarja Vermelha"/>
    <s v="I"/>
    <s v="E"/>
    <s v="R"/>
    <n v="423773"/>
    <n v="7541542"/>
    <n v="17213349.93"/>
    <x v="19"/>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3161"/>
    <s v="30049059"/>
    <m/>
    <n v="20140626"/>
    <s v="500905001135313"/>
    <s v="7896548197967"/>
    <s v="1002302700015"/>
    <x v="32"/>
    <x v="41"/>
    <s v="brinzolamida"/>
    <s v="BRINZOLAMIDA"/>
    <s v=""/>
    <s v=""/>
    <s v=""/>
    <s v=""/>
    <m/>
    <x v="26"/>
    <s v="ALCON LABORATÓRIOS DO BRASIL LTDA."/>
    <s v="60412327000100"/>
    <s v="BRINZOLAMIDA"/>
    <n v="1"/>
    <n v="0"/>
    <n v="0"/>
    <n v="0"/>
    <s v="-"/>
    <s v=" PREP ANTI/GLAUC/MIOT/TOP."/>
    <s v=" 138890-62-7"/>
    <s v="Tarja Vermelha"/>
    <s v="N"/>
    <s v="P"/>
    <s v="R"/>
    <n v="560886"/>
    <n v="10652691"/>
    <n v="24326730"/>
    <x v="19"/>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7340"/>
    <s v="30039089"/>
    <m/>
    <n v="20140626"/>
    <s v="501600101118319"/>
    <s v="7896637022729"/>
    <s v="1011801240051"/>
    <x v="33"/>
    <x v="42"/>
    <s v="sulfassalazina"/>
    <s v="SULFASSALAZINA"/>
    <s v=""/>
    <s v=""/>
    <s v=""/>
    <s v=""/>
    <m/>
    <x v="13"/>
    <s v="APSEN FARMACEUTICA S/A"/>
    <s v="62462015000129"/>
    <s v="SULFASSALAZINA"/>
    <n v="1"/>
    <n v="0"/>
    <n v="0"/>
    <n v="0"/>
    <s v="+"/>
    <s v=" AG.ANTI-INFLAM.INTESTIN"/>
    <s v=" 599-79-1"/>
    <s v="Tarja Vermelha"/>
    <s v="I"/>
    <s v="E"/>
    <s v="R"/>
    <n v="152615"/>
    <n v="3560736"/>
    <n v="8130799.8899999997"/>
    <x v="27"/>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2255"/>
    <s v="30049069"/>
    <m/>
    <n v="20140626"/>
    <s v="539600505119314"/>
    <s v="7891268402018"/>
    <s v="1572100120126"/>
    <x v="34"/>
    <x v="43"/>
    <s v="cloridrato de difenidramina"/>
    <s v="CLORIDRATO DE DIFENIDRAMINA"/>
    <s v=""/>
    <s v=""/>
    <s v=""/>
    <s v=""/>
    <m/>
    <x v="27"/>
    <s v="JOHNSON &amp; JOHNSON INDUSTRIAL LTDA."/>
    <s v="59748988000114"/>
    <s v="CLORIDRATO DE DIFENIDRAMINA"/>
    <n v="1"/>
    <n v="0"/>
    <n v="0"/>
    <n v="0"/>
    <s v="-"/>
    <s v=" DESCONG/A/SEPT FARING"/>
    <s v=" 147-24-0"/>
    <s v="Venda Livre"/>
    <s v="N"/>
    <s v="P"/>
    <s v="R"/>
    <n v="1849710"/>
    <n v="6163957"/>
    <n v="13996393.26"/>
    <x v="20"/>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2256"/>
    <s v="30049069"/>
    <m/>
    <n v="20140626"/>
    <s v="539600504112316"/>
    <s v="7891268402025"/>
    <s v="1572100120207"/>
    <x v="34"/>
    <x v="44"/>
    <s v="cloridrato de difenidramina"/>
    <s v="CLORIDRATO DE DIFENIDRAMINA"/>
    <s v=""/>
    <s v=""/>
    <s v=""/>
    <s v=""/>
    <m/>
    <x v="27"/>
    <s v="JOHNSON &amp; JOHNSON INDUSTRIAL LTDA."/>
    <s v="59748988000114"/>
    <s v="CLORIDRATO DE DIFENIDRAMINA"/>
    <n v="1"/>
    <n v="0"/>
    <n v="0"/>
    <n v="0"/>
    <s v="-"/>
    <s v=" DESCONG/A/SEPT FARING"/>
    <s v=" 147-24-0"/>
    <s v="Venda Livre"/>
    <s v="N"/>
    <s v="P"/>
    <s v="R"/>
    <n v="1480810"/>
    <n v="4936152"/>
    <n v="11205180.57"/>
    <x v="20"/>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1957"/>
    <s v="30045090"/>
    <m/>
    <n v="20140626"/>
    <s v="540912030004903"/>
    <s v="7896094903036"/>
    <s v="1781700920036"/>
    <x v="35"/>
    <x v="45"/>
    <s v="maleato de clorfeniramina"/>
    <s v="MALEATO DE CLORFENIRAMINA"/>
    <s v="DIPIRONA SODICA"/>
    <s v="CAFEINA"/>
    <s v=""/>
    <s v=""/>
    <m/>
    <x v="28"/>
    <s v="COSMED INDUSTRIA DE COSMETICOS E MEDICAMENTOS S.A."/>
    <s v="61082426000207"/>
    <s v="MALEATO DE CLORFENIRAMINA"/>
    <n v="0"/>
    <n v="1"/>
    <n v="0"/>
    <n v="0"/>
    <s v="-"/>
    <s v=" A/GRIPAIS EXC A/INFEC"/>
    <s v=" 69-22-7"/>
    <s v="Venda Livre"/>
    <s v="N"/>
    <s v="P"/>
    <s v="M"/>
    <n v="1113341"/>
    <n v="53862106"/>
    <n v="122305655.81"/>
    <x v="28"/>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0273"/>
    <s v="30042029"/>
    <m/>
    <n v="20140626"/>
    <s v="526101301133411"/>
    <s v="7896004810140"/>
    <s v="1677303440017"/>
    <x v="36"/>
    <x v="46"/>
    <s v=" Neomicina + Tartarato de Bismuto de Sódio + Cloridrato de Procaína"/>
    <s v="NEOMICINA"/>
    <s v="TARTARATO DE BISMUTO E SODIO"/>
    <s v="CLORIDRATO DE PROCAINANA"/>
    <s v="MENTOL"/>
    <s v=""/>
    <m/>
    <x v="8"/>
    <s v="GERMED FARMACEUTICA LTDA"/>
    <s v="45992062000165"/>
    <s v="NEOMICINA"/>
    <n v="2"/>
    <n v="0"/>
    <n v="0"/>
    <n v="1"/>
    <s v="-"/>
    <s v=" DESCONG/A/SEPT FARING"/>
    <s v=" 1404-04-2"/>
    <s v="Tarja Vermelha"/>
    <s v="N"/>
    <s v="P"/>
    <s v="M"/>
    <n v="1662785"/>
    <n v="11302789"/>
    <n v="25819475.420000002"/>
    <x v="20"/>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0273"/>
    <s v="30042029"/>
    <m/>
    <n v="20140626"/>
    <s v="526101301133411"/>
    <s v="7896004810140"/>
    <s v="1677303440017"/>
    <x v="36"/>
    <x v="46"/>
    <s v=" Neomicina + Tartarato de Bismuto de Sódio + Cloridrato de Procaína"/>
    <s v="NEOMICINA"/>
    <s v="TARTARATO DE BISMUTO DE SODIO"/>
    <s v="CLORIDRATO DE PROCAINANA"/>
    <s v=""/>
    <s v=""/>
    <m/>
    <x v="8"/>
    <s v="GERMED FARMACEUTICA LTDA"/>
    <s v="45992062000165"/>
    <s v="NEOMICINA"/>
    <n v="2"/>
    <n v="0"/>
    <n v="0"/>
    <n v="0"/>
    <s v="-"/>
    <s v=" DESCONG/A/SEPT FARING"/>
    <s v=" 1404-04-2"/>
    <s v="Tarja Vermelha"/>
    <s v="N"/>
    <s v="P"/>
    <s v="M"/>
    <n v="1662785"/>
    <n v="11302789"/>
    <n v="25819475.420000002"/>
    <x v="29"/>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0678"/>
    <s v="30049099"/>
    <m/>
    <n v="20140626"/>
    <s v="504101103111411"/>
    <s v="7896241217672"/>
    <s v="1097400820100"/>
    <x v="37"/>
    <x v="47"/>
    <m/>
    <s v="ALENDRONATO DE SODIO"/>
    <s v=""/>
    <s v=""/>
    <s v=""/>
    <s v=""/>
    <m/>
    <x v="29"/>
    <s v="BIOLAB SANUS FARMACÊUTICA LTDA"/>
    <s v="49475833000106"/>
    <s v="ALENDRONATO DE SODIO"/>
    <n v="3"/>
    <n v="0"/>
    <n v="0"/>
    <n v="0"/>
    <s v="+"/>
    <s v=" BIFOSF OSTEOP E DES REL"/>
    <s v=" 121268-17-5"/>
    <s v="Tarja Vermelha"/>
    <s v="I"/>
    <s v="E"/>
    <s v="M"/>
    <n v="1085950"/>
    <n v="13824566"/>
    <n v="31545073.329999998"/>
    <x v="5"/>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3927"/>
    <s v="30049045"/>
    <m/>
    <n v="20140626"/>
    <s v="525001502112118"/>
    <s v="7896422507158"/>
    <s v="1018104460022"/>
    <x v="38"/>
    <x v="48"/>
    <m/>
    <s v="BROMOPRIDA"/>
    <s v=""/>
    <s v=""/>
    <s v=""/>
    <s v=""/>
    <m/>
    <x v="15"/>
    <s v="MEDLEY INDÚSTRIA FARMACÊUTICA LTDA"/>
    <s v="50929710000179"/>
    <s v="BROMOPRIDA"/>
    <n v="2"/>
    <n v="0"/>
    <n v="0"/>
    <n v="0"/>
    <s v="-"/>
    <s v=" GASTROPROCINETICOS"/>
    <s v=" 4093-35-0"/>
    <s v="Tarja Vermelha"/>
    <s v="N"/>
    <s v="P"/>
    <s v="G"/>
    <n v="1322736"/>
    <n v="7377117"/>
    <n v="16837582.699999999"/>
    <x v="30"/>
    <n v="2.1"/>
    <n v="9.9"/>
    <n v="3.27"/>
    <n v="3.12"/>
    <n v="1.35"/>
    <n v="18"/>
    <n v="12"/>
    <n v="17"/>
    <n v="17"/>
    <n v="19"/>
    <n v="12"/>
    <n v="17"/>
    <n v="17"/>
    <n v="17"/>
    <n v="17"/>
    <n v="17"/>
    <n v="17"/>
    <n v="17"/>
    <n v="17"/>
    <n v="17"/>
    <n v="17"/>
    <n v="37.74"/>
    <n v="31.740000000000002"/>
    <n v="36.74"/>
    <n v="36.74"/>
    <n v="38.74"/>
    <n v="31.740000000000002"/>
    <n v="36.74"/>
    <n v="36.74"/>
    <n v="36.74"/>
    <n v="36.74"/>
    <n v="36.74"/>
    <n v="36.74"/>
    <n v="36.74"/>
    <n v="36.74"/>
    <n v="36.74"/>
    <n v="36.74"/>
    <n v="36.302500000000002"/>
    <m/>
    <m/>
  </r>
  <r>
    <n v="13418"/>
    <s v="30049029"/>
    <m/>
    <n v="20140626"/>
    <s v="525904004111413"/>
    <s v="7896472502776"/>
    <s v="1181900610016"/>
    <x v="39"/>
    <x v="49"/>
    <s v="Ibuprofeno"/>
    <s v="IBUPROFENO"/>
    <s v=""/>
    <s v=""/>
    <s v=""/>
    <s v=""/>
    <m/>
    <x v="30"/>
    <s v="MULTILAB INDÚSTRIA E COMÉRCIO DE PRODUTOS FARMACÊUTICOS LTDA"/>
    <s v="92265552000140"/>
    <s v="IBUPROFENO"/>
    <n v="2"/>
    <n v="0"/>
    <n v="0"/>
    <n v="0"/>
    <s v="+"/>
    <s v=" ANALG NAO NARCOT/A/PIRET"/>
    <s v=" 15687-27-1"/>
    <s v="Tarja Vermelha"/>
    <s v="I"/>
    <s v="E"/>
    <s v="M"/>
    <n v="2149208"/>
    <n v="17675970"/>
    <n v="40312585.399999999"/>
    <x v="6"/>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3418"/>
    <s v="30049029"/>
    <m/>
    <n v="20140626"/>
    <s v="525904004111413"/>
    <s v="7896472502776"/>
    <s v="1181900610016"/>
    <x v="39"/>
    <x v="49"/>
    <s v="Ibuprofeno"/>
    <s v="IBUPROFENO"/>
    <s v=""/>
    <s v=""/>
    <s v=""/>
    <s v=""/>
    <m/>
    <x v="30"/>
    <s v="MULTILAB INDÚSTRIA E COMÉRCIO DE PRODUTOS FARMACÊUTICOS LTDA"/>
    <s v="92265552000140"/>
    <s v="IBUPROFENO"/>
    <n v="2"/>
    <n v="0"/>
    <n v="0"/>
    <n v="0"/>
    <s v="+"/>
    <s v=" ANALG NAO NARCOT/A/PIRET"/>
    <s v=" 15687-27-1"/>
    <s v="Tarja Vermelha"/>
    <s v="I"/>
    <s v="E"/>
    <s v="M"/>
    <n v="2149208"/>
    <n v="17675970"/>
    <n v="40312585.399999999"/>
    <x v="8"/>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4117"/>
    <s v="30044090"/>
    <m/>
    <n v="20140626"/>
    <s v="504501001111310"/>
    <s v="7795304000056"/>
    <s v="1036700960041"/>
    <x v="40"/>
    <x v="50"/>
    <m/>
    <s v="ESCOPOLAMINA"/>
    <s v="PARACETAMOL"/>
    <s v=""/>
    <s v=""/>
    <s v=""/>
    <m/>
    <x v="31"/>
    <s v="BOEHRINGER INGELHEIM DO BRASIL QUÍMICA E FARMACÊUTICA LTDA."/>
    <s v="60831658000177"/>
    <s v="ESCOPOLAMINA"/>
    <n v="0"/>
    <n v="0"/>
    <n v="0"/>
    <n v="0"/>
    <s v="-"/>
    <s v=" ASS.A/ESPASMODIC./ANALG."/>
    <s v=" 149-64-4"/>
    <s v="Venda Livre"/>
    <s v="N"/>
    <s v="P"/>
    <s v="R"/>
    <n v="1259973"/>
    <n v="7360076"/>
    <n v="16811904.609999999"/>
    <x v="6"/>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4117"/>
    <s v="30044090"/>
    <m/>
    <n v="20140626"/>
    <s v="504501001111310"/>
    <s v="7795304000056"/>
    <s v="1036700960041"/>
    <x v="40"/>
    <x v="50"/>
    <m/>
    <s v="ESCOPOLAMINA"/>
    <s v="PARACETAMOL"/>
    <s v=""/>
    <s v=""/>
    <s v=""/>
    <m/>
    <x v="31"/>
    <s v="BOEHRINGER INGELHEIM DO BRASIL QUÍMICA E FARMACÊUTICA LTDA."/>
    <s v="60831658000177"/>
    <s v="ESCOPOLAMINA"/>
    <n v="0"/>
    <n v="0"/>
    <n v="0"/>
    <n v="0"/>
    <s v="-"/>
    <s v=" ASS.A/ESPASMODIC./ANALG."/>
    <s v=" 149-64-4"/>
    <s v="Venda Livre"/>
    <s v="N"/>
    <s v="P"/>
    <s v="R"/>
    <n v="1259973"/>
    <n v="7360076"/>
    <n v="16811904.609999999"/>
    <x v="26"/>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2789"/>
    <s v="30049029"/>
    <m/>
    <n v="20140626"/>
    <s v="504504901111311"/>
    <s v="7896026303002"/>
    <s v="1036701590099"/>
    <x v="41"/>
    <x v="51"/>
    <m/>
    <s v="IBUPROFENO"/>
    <s v=""/>
    <s v=""/>
    <s v=""/>
    <s v=""/>
    <m/>
    <x v="31"/>
    <s v="BOEHRINGER INGELHEIM DO BRASIL QUÍMICA E FARMACÊUTICA LTDA."/>
    <s v="60831658000177"/>
    <s v="IBUPROFENO"/>
    <n v="2"/>
    <n v="0"/>
    <n v="0"/>
    <n v="0"/>
    <s v="-"/>
    <s v=" A-ESPASMOD.GINECOLOGICOS"/>
    <s v=" 15687-27-1"/>
    <s v="Venda Livre"/>
    <s v="N"/>
    <s v="E"/>
    <s v="M"/>
    <n v="3633255"/>
    <n v="18151890"/>
    <n v="41468954.880000003"/>
    <x v="6"/>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4029"/>
    <s v="30044090"/>
    <m/>
    <n v="20140626"/>
    <s v="504500802135317"/>
    <s v="7896026300315"/>
    <s v="1036700140022"/>
    <x v="42"/>
    <x v="52"/>
    <m/>
    <s v="DIPIRONA SODICA"/>
    <s v=""/>
    <s v=""/>
    <s v=""/>
    <s v=""/>
    <m/>
    <x v="31"/>
    <s v="BOEHRINGER INGELHEIM DO BRASIL QUÍMICA E FARMACÊUTICA LTDA."/>
    <s v="60831658000177"/>
    <s v="DIPIRONA SODICA"/>
    <n v="1"/>
    <n v="0"/>
    <n v="0"/>
    <n v="0"/>
    <s v="-"/>
    <s v=" ANTIESPAM+ANTICOL PUROS"/>
    <s v=" 149-64-4"/>
    <s v="Venda Livre"/>
    <s v="N"/>
    <s v="P"/>
    <s v="R"/>
    <n v="1463077"/>
    <n v="5628774"/>
    <n v="12853113.99"/>
    <x v="6"/>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4029"/>
    <s v="30044090"/>
    <m/>
    <n v="20140626"/>
    <s v="504500802135317"/>
    <s v="7896026300315"/>
    <s v="1036700140022"/>
    <x v="42"/>
    <x v="52"/>
    <m/>
    <s v="DIPIRONA SODICA"/>
    <s v=""/>
    <s v=""/>
    <s v=""/>
    <s v=""/>
    <m/>
    <x v="31"/>
    <s v="BOEHRINGER INGELHEIM DO BRASIL QUÍMICA E FARMACÊUTICA LTDA."/>
    <s v="60831658000177"/>
    <s v="DIPIRONA SODICA"/>
    <n v="1"/>
    <n v="0"/>
    <n v="0"/>
    <n v="0"/>
    <s v="-"/>
    <s v=" ANTIESPAM+ANTICOL PUROS"/>
    <s v=" 149-64-4"/>
    <s v="Venda Livre"/>
    <s v="N"/>
    <s v="P"/>
    <s v="R"/>
    <n v="1463077"/>
    <n v="5628774"/>
    <n v="12853113.99"/>
    <x v="26"/>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4034"/>
    <s v="30044090"/>
    <m/>
    <n v="20140626"/>
    <s v="504500801112313"/>
    <s v="7896026300308"/>
    <s v="1036700140014"/>
    <x v="42"/>
    <x v="53"/>
    <m/>
    <s v="DIPIRONA SODICA"/>
    <s v=""/>
    <s v=""/>
    <s v=""/>
    <s v=""/>
    <m/>
    <x v="31"/>
    <s v="BOEHRINGER INGELHEIM DO BRASIL QUÍMICA E FARMACÊUTICA LTDA."/>
    <s v="60831658000177"/>
    <s v="DIPIRONA SODICA"/>
    <n v="1"/>
    <n v="0"/>
    <n v="0"/>
    <n v="0"/>
    <s v="-"/>
    <s v=" ANTIESPAM+ANTICOL PUROS"/>
    <s v=" 149-64-4"/>
    <s v="Venda Livre"/>
    <s v="N"/>
    <s v="P"/>
    <s v="R"/>
    <n v="2044474"/>
    <n v="7278263"/>
    <n v="16628468.220000001"/>
    <x v="6"/>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4034"/>
    <s v="30044090"/>
    <m/>
    <n v="20140626"/>
    <s v="504500801112313"/>
    <s v="7896026300308"/>
    <s v="1036700140014"/>
    <x v="42"/>
    <x v="53"/>
    <m/>
    <s v="DIPIRONA SODICA"/>
    <s v=""/>
    <s v=""/>
    <s v=""/>
    <s v=""/>
    <m/>
    <x v="31"/>
    <s v="BOEHRINGER INGELHEIM DO BRASIL QUÍMICA E FARMACÊUTICA LTDA."/>
    <s v="60831658000177"/>
    <s v="DIPIRONA SODICA"/>
    <n v="1"/>
    <n v="0"/>
    <n v="0"/>
    <n v="0"/>
    <s v="-"/>
    <s v=" ANTIESPAM+ANTICOL PUROS"/>
    <s v=" 149-64-4"/>
    <s v="Venda Livre"/>
    <s v="N"/>
    <s v="P"/>
    <s v="R"/>
    <n v="2044474"/>
    <n v="7278263"/>
    <n v="16628468.220000001"/>
    <x v="26"/>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4062"/>
    <s v="30044090"/>
    <m/>
    <n v="20140626"/>
    <s v="504500904132317"/>
    <s v="7896026300117"/>
    <s v="1036700130146"/>
    <x v="43"/>
    <x v="54"/>
    <m/>
    <s v="DIPIRONA SODICA"/>
    <s v=""/>
    <s v=""/>
    <s v=""/>
    <s v=""/>
    <m/>
    <x v="31"/>
    <s v="BOEHRINGER INGELHEIM DO BRASIL QUÍMICA E FARMACÊUTICA LTDA."/>
    <s v="60831658000177"/>
    <s v="DIPIRONA SODICA"/>
    <n v="1"/>
    <n v="0"/>
    <n v="0"/>
    <n v="0"/>
    <s v="-"/>
    <s v=" ASS.A/ESPASMODIC./ANALG."/>
    <s v=" 149-64-4"/>
    <s v="Venda Livre"/>
    <s v="N"/>
    <s v="P"/>
    <s v="R"/>
    <n v="6416567"/>
    <n v="23416963"/>
    <n v="53476930.789999999"/>
    <x v="6"/>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4062"/>
    <s v="30044090"/>
    <m/>
    <n v="20140626"/>
    <s v="504500904132317"/>
    <s v="7896026300117"/>
    <s v="1036700130146"/>
    <x v="43"/>
    <x v="54"/>
    <m/>
    <s v="DIPIRONA SODICA"/>
    <s v=""/>
    <s v=""/>
    <s v=""/>
    <s v=""/>
    <m/>
    <x v="31"/>
    <s v="BOEHRINGER INGELHEIM DO BRASIL QUÍMICA E FARMACÊUTICA LTDA."/>
    <s v="60831658000177"/>
    <s v="DIPIRONA SODICA"/>
    <n v="1"/>
    <n v="0"/>
    <n v="0"/>
    <n v="0"/>
    <s v="-"/>
    <s v=" ASS.A/ESPASMODIC./ANALG."/>
    <s v=" 149-64-4"/>
    <s v="Venda Livre"/>
    <s v="N"/>
    <s v="P"/>
    <s v="R"/>
    <n v="6416567"/>
    <n v="23416963"/>
    <n v="53476930.789999999"/>
    <x v="26"/>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4066"/>
    <s v="30044090"/>
    <m/>
    <n v="20140626"/>
    <s v="504500902113315"/>
    <s v="7896026301428"/>
    <s v="1036700130213"/>
    <x v="43"/>
    <x v="55"/>
    <m/>
    <s v="DIPIRONA SODICA"/>
    <s v=""/>
    <s v=""/>
    <s v=""/>
    <s v=""/>
    <m/>
    <x v="31"/>
    <s v="BOEHRINGER INGELHEIM DO BRASIL QUÍMICA E FARMACÊUTICA LTDA."/>
    <s v="60831658000177"/>
    <s v="DIPIRONA SODICA"/>
    <n v="1"/>
    <n v="0"/>
    <n v="0"/>
    <n v="0"/>
    <s v="-"/>
    <s v=" ASS.A/ESPASMODIC./ANALG."/>
    <s v=" 149-64-4"/>
    <s v="Venda Livre"/>
    <s v="N"/>
    <s v="P"/>
    <s v="R"/>
    <n v="9938724"/>
    <n v="37992317"/>
    <n v="86809572.390000001"/>
    <x v="6"/>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4066"/>
    <s v="30044090"/>
    <m/>
    <n v="20140626"/>
    <s v="504500902113315"/>
    <s v="7896026301428"/>
    <s v="1036700130213"/>
    <x v="43"/>
    <x v="55"/>
    <m/>
    <s v="DIPIRONA SODICA"/>
    <s v=""/>
    <s v=""/>
    <s v=""/>
    <s v=""/>
    <m/>
    <x v="31"/>
    <s v="BOEHRINGER INGELHEIM DO BRASIL QUÍMICA E FARMACÊUTICA LTDA."/>
    <s v="60831658000177"/>
    <s v="DIPIRONA SODICA"/>
    <n v="1"/>
    <n v="0"/>
    <n v="0"/>
    <n v="0"/>
    <s v="-"/>
    <s v=" ASS.A/ESPASMODIC./ANALG."/>
    <s v=" 149-64-4"/>
    <s v="Venda Livre"/>
    <s v="N"/>
    <s v="P"/>
    <s v="R"/>
    <n v="9938724"/>
    <n v="37992317"/>
    <n v="86809572.390000001"/>
    <x v="26"/>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3979"/>
    <s v="30043290"/>
    <m/>
    <n v="20140626"/>
    <s v="521102906178415"/>
    <s v="7896181907176"/>
    <s v="1121301730282"/>
    <x v="44"/>
    <x v="56"/>
    <m/>
    <s v="BUDESONIDA"/>
    <s v=""/>
    <s v=""/>
    <s v=""/>
    <s v=""/>
    <m/>
    <x v="11"/>
    <s v="BIOSINTÉTICA FARMACÊUTICA LTDA"/>
    <s v="53162095000106"/>
    <s v="BUDESONIDA"/>
    <n v="2"/>
    <n v="0"/>
    <n v="0"/>
    <n v="0"/>
    <s v="+"/>
    <s v=" CORTICOES.NAS.S/ANTI-INF"/>
    <s v=" 51333-22-3"/>
    <s v="Tarja Vermelha"/>
    <s v="I"/>
    <s v="E"/>
    <s v="R"/>
    <n v="2410281"/>
    <n v="19261874"/>
    <n v="43849570.450000003"/>
    <x v="16"/>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3990"/>
    <s v="30043290"/>
    <m/>
    <n v="20140626"/>
    <s v="521102912135412"/>
    <s v="7896181909156"/>
    <s v="1121301730290"/>
    <x v="44"/>
    <x v="57"/>
    <m/>
    <s v="BUDESONIDA"/>
    <s v=""/>
    <s v=""/>
    <s v=""/>
    <s v=""/>
    <m/>
    <x v="11"/>
    <s v="BIOSINTÉTICA FARMACÊUTICA LTDA"/>
    <s v="53162095000106"/>
    <s v="BUDESONIDA"/>
    <n v="2"/>
    <n v="0"/>
    <n v="0"/>
    <n v="0"/>
    <s v="+"/>
    <s v=" CORTICOES.NAS.S/ANTI-INF"/>
    <s v=" 51333-22-3"/>
    <s v="Tarja Vermelha"/>
    <s v="I"/>
    <s v="E"/>
    <s v="R"/>
    <n v="1847588"/>
    <n v="10064192"/>
    <n v="22895620.420000002"/>
    <x v="16"/>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4036"/>
    <s v="30049099"/>
    <m/>
    <n v="20140626"/>
    <s v="507726301131117"/>
    <s v="7896004711676"/>
    <s v="1023507030022"/>
    <x v="45"/>
    <x v="58"/>
    <m/>
    <s v="ESCOPOLAMINA"/>
    <s v="DIPIRONA SODICA"/>
    <s v=""/>
    <s v=""/>
    <s v=""/>
    <m/>
    <x v="2"/>
    <s v="EMS S/A"/>
    <s v="57507378000101"/>
    <s v="ESCOPOLAMINA"/>
    <n v="0"/>
    <n v="1"/>
    <n v="0"/>
    <n v="0"/>
    <s v="-"/>
    <s v=" ASS.A/ESPASMODIC./ANALG."/>
    <s v=" 149-64-4"/>
    <s v="Tarja Vermelha"/>
    <s v="N"/>
    <s v="P"/>
    <s v="G"/>
    <n v="1423882"/>
    <n v="3329292"/>
    <n v="7599703.7999999998"/>
    <x v="6"/>
    <n v="2.1"/>
    <n v="9.9"/>
    <n v="3.27"/>
    <n v="3.12"/>
    <n v="1.35"/>
    <n v="18"/>
    <n v="12"/>
    <n v="17"/>
    <n v="17"/>
    <n v="19"/>
    <n v="12"/>
    <n v="17"/>
    <n v="17"/>
    <n v="17"/>
    <n v="17"/>
    <n v="17"/>
    <n v="17"/>
    <n v="17"/>
    <n v="17"/>
    <n v="17"/>
    <n v="17"/>
    <n v="37.74"/>
    <n v="31.740000000000002"/>
    <n v="36.74"/>
    <n v="36.74"/>
    <n v="38.74"/>
    <n v="31.740000000000002"/>
    <n v="36.74"/>
    <n v="36.74"/>
    <n v="36.74"/>
    <n v="36.74"/>
    <n v="36.74"/>
    <n v="36.74"/>
    <n v="36.74"/>
    <n v="36.74"/>
    <n v="36.74"/>
    <n v="36.74"/>
    <n v="36.302500000000002"/>
    <m/>
    <m/>
  </r>
  <r>
    <n v="4036"/>
    <s v="30049099"/>
    <m/>
    <n v="20140626"/>
    <s v="507726301131117"/>
    <s v="7896004711676"/>
    <s v="1023507030022"/>
    <x v="45"/>
    <x v="58"/>
    <m/>
    <s v="ESCOPOLAMINA"/>
    <s v="DIPIRONA SODICA"/>
    <s v=""/>
    <s v=""/>
    <s v=""/>
    <m/>
    <x v="2"/>
    <s v="EMS S/A"/>
    <s v="57507378000101"/>
    <s v="ESCOPOLAMINA"/>
    <n v="0"/>
    <n v="1"/>
    <n v="0"/>
    <n v="0"/>
    <s v="-"/>
    <s v=" ASS.A/ESPASMODIC./ANALG."/>
    <s v=" 149-64-4"/>
    <s v="Tarja Vermelha"/>
    <s v="N"/>
    <s v="P"/>
    <s v="G"/>
    <n v="1423882"/>
    <n v="3329292"/>
    <n v="7599703.7999999998"/>
    <x v="26"/>
    <n v="2.1"/>
    <n v="9.9"/>
    <n v="3.27"/>
    <n v="3.12"/>
    <n v="1.35"/>
    <n v="18"/>
    <n v="12"/>
    <n v="17"/>
    <n v="17"/>
    <n v="19"/>
    <n v="12"/>
    <n v="17"/>
    <n v="17"/>
    <n v="17"/>
    <n v="17"/>
    <n v="17"/>
    <n v="17"/>
    <n v="17"/>
    <n v="17"/>
    <n v="17"/>
    <n v="17"/>
    <n v="37.74"/>
    <n v="31.740000000000002"/>
    <n v="36.74"/>
    <n v="36.74"/>
    <n v="38.74"/>
    <n v="31.740000000000002"/>
    <n v="36.74"/>
    <n v="36.74"/>
    <n v="36.74"/>
    <n v="36.74"/>
    <n v="36.74"/>
    <n v="36.74"/>
    <n v="36.74"/>
    <n v="36.74"/>
    <n v="36.74"/>
    <n v="36.74"/>
    <n v="36.302500000000002"/>
    <m/>
    <m/>
  </r>
  <r>
    <n v="6565"/>
    <s v="30049099"/>
    <m/>
    <n v="20140626"/>
    <s v="520704501119412"/>
    <s v="7896112143994"/>
    <s v="1037002370012"/>
    <x v="46"/>
    <x v="59"/>
    <m/>
    <s v="CARBIDOPA"/>
    <s v="LEVODOPA"/>
    <s v=""/>
    <s v=""/>
    <s v=""/>
    <m/>
    <x v="1"/>
    <s v="LABORATÓRIO TEUTO BRASILEIRO S/A"/>
    <s v="17159229000176"/>
    <s v="CARBIDOPA"/>
    <n v="2"/>
    <n v="3"/>
    <n v="0"/>
    <n v="0"/>
    <s v="+"/>
    <s v=" A/PARKINSONIANOS"/>
    <s v=" 59-92-7"/>
    <s v="Tarja Preta"/>
    <s v="II"/>
    <s v="P"/>
    <s v="M"/>
    <n v="181053"/>
    <n v="2865155"/>
    <n v="6548873.3899999997"/>
    <x v="11"/>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5161"/>
    <s v="30044090"/>
    <m/>
    <n v="20140626"/>
    <s v="500501901118417"/>
    <s v="7896658002205"/>
    <s v="1057300050061"/>
    <x v="47"/>
    <x v="60"/>
    <m/>
    <s v="PARACETAMOL"/>
    <s v=""/>
    <s v=""/>
    <s v=""/>
    <s v=""/>
    <m/>
    <x v="11"/>
    <s v="ACHÉ LABORATÓRIOS FARMACÊUTICOS S.A."/>
    <s v="60659463000191"/>
    <s v="PARACETAMOL"/>
    <n v="0"/>
    <n v="0"/>
    <n v="0"/>
    <n v="0"/>
    <s v="-"/>
    <s v=" T OUT PREP A-ENXAQUECA"/>
    <s v=" 7232-21-5"/>
    <s v="Tarja Vermelha"/>
    <s v="N"/>
    <s v="P"/>
    <s v="M"/>
    <n v="2241628"/>
    <n v="12555740"/>
    <n v="28647031.100000001"/>
    <x v="15"/>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5175"/>
    <s v="30044090"/>
    <m/>
    <n v="20140626"/>
    <s v="500502001110418"/>
    <s v="7896658001079"/>
    <s v="1057300690052"/>
    <x v="48"/>
    <x v="61"/>
    <m/>
    <s v="DIPIRONA SODICA"/>
    <s v=""/>
    <s v=""/>
    <s v=""/>
    <s v=""/>
    <m/>
    <x v="11"/>
    <s v="ACHÉ LABORATÓRIOS FARMACÊUTICOS S.A."/>
    <s v="60659463000191"/>
    <s v="DIPIRONA SODICA"/>
    <n v="1"/>
    <n v="0"/>
    <n v="0"/>
    <n v="0"/>
    <s v="-"/>
    <s v=" T OUT PREP A-ENXAQUECA"/>
    <s v=" 113-15-5"/>
    <s v="Tarja Vermelha"/>
    <s v="N"/>
    <s v="P"/>
    <s v="M"/>
    <n v="3976893"/>
    <n v="16885765"/>
    <n v="38553359.649999999"/>
    <x v="15"/>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9364"/>
    <s v="30049099"/>
    <m/>
    <n v="20140626"/>
    <s v="522234502110411"/>
    <s v="7891268100815"/>
    <s v="1021601350081"/>
    <x v="49"/>
    <x v="62"/>
    <m/>
    <s v="CELECOXIBE"/>
    <s v=""/>
    <s v=""/>
    <s v=""/>
    <s v=""/>
    <m/>
    <x v="32"/>
    <s v="LABORATORIOS PFIZER LTDA."/>
    <s v="46070868000169"/>
    <s v="CELECOXIBE"/>
    <n v="1"/>
    <n v="0"/>
    <n v="0"/>
    <n v="0"/>
    <s v="+"/>
    <s v=" COXIBS PUROS"/>
    <s v=" 169590-42-5"/>
    <s v="Tarja Vermelha"/>
    <s v="I"/>
    <s v="E"/>
    <s v="R"/>
    <n v="659033"/>
    <n v="9017807"/>
    <n v="20570894.850000001"/>
    <x v="25"/>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2892"/>
    <s v="30043939"/>
    <m/>
    <n v="20140626"/>
    <s v="512400601112317"/>
    <s v="7891142126139"/>
    <s v="1009300170052"/>
    <x v="50"/>
    <x v="63"/>
    <m/>
    <s v="betametasona"/>
    <s v="dexclorfeniramina"/>
    <s v=""/>
    <s v=""/>
    <s v=""/>
    <m/>
    <x v="12"/>
    <s v="MANTECORP INDÚSTRIA QUÍMICA E FARMACÊUTICA S.A."/>
    <s v="33060740000172"/>
    <s v="betametasona"/>
    <n v="1"/>
    <n v="0"/>
    <n v="0"/>
    <n v="0"/>
    <s v="-"/>
    <s v=" ASS/CORT/ESTER SIST"/>
    <s v=" 378-44-9"/>
    <s v="Tarja Vermelha"/>
    <s v="N"/>
    <s v="P"/>
    <s v="R"/>
    <n v="1046795"/>
    <n v="7131007"/>
    <n v="16251632.939999999"/>
    <x v="1"/>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4867"/>
    <s v="30066000"/>
    <m/>
    <n v="20140626"/>
    <s v="527300201110312"/>
    <s v="7897572001923"/>
    <s v="1017100890016"/>
    <x v="51"/>
    <x v="64"/>
    <m/>
    <s v="DESOGESTREL"/>
    <s v=""/>
    <s v=""/>
    <s v=""/>
    <s v=""/>
    <m/>
    <x v="22"/>
    <s v="SCHERING-PLOUGH INDÚSTRIA FARMACÊUTICA LTDA"/>
    <s v="03560974000118"/>
    <s v="DESOGESTREL"/>
    <n v="2"/>
    <n v="0"/>
    <n v="0"/>
    <n v="0"/>
    <s v="+"/>
    <s v=" P.OR.SO C/PROGESTERONA"/>
    <s v=" 54024-22-5"/>
    <s v="Tarja Vermelha"/>
    <s v="I"/>
    <s v="E"/>
    <s v="R"/>
    <n v="3347042"/>
    <n v="35893116"/>
    <n v="81776770.730000004"/>
    <x v="31"/>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2694"/>
    <s v="30049099"/>
    <m/>
    <n v="20140626"/>
    <s v="500900601177318"/>
    <s v="7896548140284"/>
    <s v="1002300250017"/>
    <x v="52"/>
    <x v="65"/>
    <m/>
    <s v="hidroxiquinolina"/>
    <s v="trietanoIamina"/>
    <s v=""/>
    <s v=""/>
    <s v=""/>
    <m/>
    <x v="26"/>
    <s v="ALCON LABORATÓRIOS DO BRASIL LTDA."/>
    <s v="60412327000100"/>
    <s v="hidroxiquinolina"/>
    <n v="0"/>
    <n v="0"/>
    <n v="0"/>
    <n v="0"/>
    <s v="-"/>
    <s v=" P.P/REMOìAO CERA OUVIDOS"/>
    <s v=" 102-71-6"/>
    <s v="Venda Livre"/>
    <s v="N"/>
    <s v="P"/>
    <s v="R"/>
    <n v="2168477"/>
    <n v="7427821"/>
    <n v="16962743.079999998"/>
    <x v="0"/>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9644"/>
    <s v="30049029"/>
    <m/>
    <n v="20140626"/>
    <s v="522241810119216"/>
    <s v="7891268101171"/>
    <s v="1021602090121"/>
    <x v="53"/>
    <x v="66"/>
    <m/>
    <s v="TARTARATO DE VARENICLINA"/>
    <s v=""/>
    <s v=""/>
    <s v=""/>
    <s v=""/>
    <m/>
    <x v="32"/>
    <s v="LABORATORIOS PFIZER LTDA."/>
    <s v="46070868000169"/>
    <s v="TARTARATO DE VARENICLINA"/>
    <n v="1"/>
    <n v="0"/>
    <n v="0"/>
    <n v="0"/>
    <s v="+"/>
    <s v=" PRODUTOS ANTI-TABACO"/>
    <s v=" 375815-87-5"/>
    <s v="Tarja Vermelha"/>
    <s v="I"/>
    <s v="E"/>
    <s v="R"/>
    <n v="15056"/>
    <n v="1869744"/>
    <n v="4269517.79"/>
    <x v="32"/>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8686"/>
    <s v="30049099"/>
    <m/>
    <n v="20140626"/>
    <s v="507600502111210"/>
    <s v="7896382703614"/>
    <s v="1126000740018"/>
    <x v="54"/>
    <x v="67"/>
    <m/>
    <s v="TADALAFILA"/>
    <s v=""/>
    <s v=""/>
    <s v=""/>
    <s v=""/>
    <m/>
    <x v="33"/>
    <s v="ELI LILLY DO BRASIL LTDA"/>
    <s v="43940618000144"/>
    <s v="TADALAFILA"/>
    <n v="1"/>
    <n v="0"/>
    <n v="0"/>
    <n v="0"/>
    <s v="+"/>
    <s v=" PRD DISF ERECTIL"/>
    <s v=" 171596-29-5"/>
    <s v="Tarja Vermelha"/>
    <s v="I"/>
    <s v="E"/>
    <s v="R"/>
    <n v="1451308"/>
    <n v="45005269"/>
    <n v="102741328.41"/>
    <x v="10"/>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6054"/>
    <s v="30043999"/>
    <m/>
    <n v="20140626"/>
    <s v="533002102119419"/>
    <s v="7896006234067"/>
    <s v="1049702860016"/>
    <x v="55"/>
    <x v="68"/>
    <s v="levonorgestrel"/>
    <s v="LEVONORGESTREL"/>
    <s v=""/>
    <s v=""/>
    <s v=""/>
    <s v=""/>
    <m/>
    <x v="29"/>
    <s v="UNIÃO QUÍMICA FARMACÊUTICA NACIONAL S/A"/>
    <s v="60665981000118"/>
    <s v="LEVONORGESTREL"/>
    <n v="5"/>
    <n v="0"/>
    <n v="0"/>
    <n v="0"/>
    <s v="+"/>
    <s v=" P.MONOF.C/ESTROG.&lt;50MCG"/>
    <s v=" 57-63-6"/>
    <s v="Tarja Vermelha"/>
    <s v="II"/>
    <s v="P"/>
    <s v="M"/>
    <n v="21049817"/>
    <n v="38761807"/>
    <n v="88530218.659999996"/>
    <x v="31"/>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5588"/>
    <s v="30043939"/>
    <m/>
    <n v="20140626"/>
    <s v="538912050014113"/>
    <s v="7891106905886"/>
    <s v="1705600540015"/>
    <x v="56"/>
    <x v="69"/>
    <m/>
    <s v="LEVONORGESTREL"/>
    <s v=""/>
    <s v=""/>
    <s v=""/>
    <s v=""/>
    <m/>
    <x v="20"/>
    <s v="BAYER S.A."/>
    <s v="18459628000115"/>
    <s v="LEVONORGESTREL"/>
    <n v="5"/>
    <n v="0"/>
    <n v="0"/>
    <n v="0"/>
    <s v="+"/>
    <s v=" ASS ESTROG/PROGEST"/>
    <s v=" 979-32-8"/>
    <s v="Tarja Vermelha"/>
    <s v="II"/>
    <s v="P"/>
    <s v="R"/>
    <n v="783598"/>
    <n v="2117461"/>
    <n v="4834501.42"/>
    <x v="2"/>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472"/>
    <s v="30039055"/>
    <m/>
    <n v="20140626"/>
    <s v="506402402112426"/>
    <s v="7896523200576"/>
    <s v="1438100570011"/>
    <x v="57"/>
    <x v="70"/>
    <m/>
    <s v="CLORFENAMINA"/>
    <s v="FENILEFRINA"/>
    <s v="PARACETAMOL"/>
    <s v=""/>
    <s v=""/>
    <m/>
    <x v="34"/>
    <s v="CIMED INDÚSTRIA DE MEDICAMENTOS LTDA"/>
    <s v="02814497000107"/>
    <s v="CLORFENAMINA"/>
    <n v="0"/>
    <n v="0"/>
    <n v="0"/>
    <n v="0"/>
    <s v="-"/>
    <s v=" A/GRIPAIS EXC A/INFEC"/>
    <s v=" 103-90-2"/>
    <s v="Venda Livre"/>
    <s v="N"/>
    <s v="P"/>
    <s v="M"/>
    <n v="4573238"/>
    <n v="24738401"/>
    <n v="56159381.159999996"/>
    <x v="28"/>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1393"/>
    <s v="30049099"/>
    <m/>
    <n v="20140626"/>
    <s v="506402501110413"/>
    <s v="7896523206110"/>
    <s v="1438100590010"/>
    <x v="58"/>
    <x v="71"/>
    <m/>
    <s v="NIMESULIDA"/>
    <s v=""/>
    <s v=""/>
    <s v=""/>
    <s v=""/>
    <m/>
    <x v="34"/>
    <s v="CIMED INDÚSTRIA DE MEDICAMENTOS LTDA"/>
    <s v="02814497000107"/>
    <s v="NIMESULIDA"/>
    <n v="1"/>
    <n v="0"/>
    <n v="0"/>
    <n v="0"/>
    <s v="+"/>
    <s v=" A-REUM.N/ESTEROID.PUROS"/>
    <s v=" 51803-78-2"/>
    <s v="Tarja Vermelha"/>
    <s v="I"/>
    <s v="E"/>
    <s v="M"/>
    <n v="8263909"/>
    <n v="34955796"/>
    <n v="79685524.129999995"/>
    <x v="13"/>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21393"/>
    <s v="30049099"/>
    <m/>
    <n v="20140626"/>
    <s v="506402501110413"/>
    <s v="7896523206110"/>
    <s v="1438100590010"/>
    <x v="58"/>
    <x v="71"/>
    <m/>
    <s v="NIMESULIDA"/>
    <s v=""/>
    <s v=""/>
    <s v=""/>
    <s v=""/>
    <m/>
    <x v="34"/>
    <s v="CIMED INDÚSTRIA DE MEDICAMENTOS LTDA"/>
    <s v="02814497000107"/>
    <s v="NIMESULIDA"/>
    <n v="1"/>
    <n v="0"/>
    <n v="0"/>
    <n v="0"/>
    <s v="+"/>
    <s v=" A-REUM.N/ESTEROID.PUROS"/>
    <s v=" 51803-78-2"/>
    <s v="Tarja Vermelha"/>
    <s v="I"/>
    <s v="E"/>
    <s v="M"/>
    <n v="8263909"/>
    <n v="34955796"/>
    <n v="79685524.129999995"/>
    <x v="20"/>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21393"/>
    <s v="30049099"/>
    <m/>
    <n v="20140626"/>
    <s v="506402501110413"/>
    <s v="7896523206110"/>
    <s v="1438100590010"/>
    <x v="58"/>
    <x v="71"/>
    <m/>
    <s v="NIMESULIDA"/>
    <s v=""/>
    <s v=""/>
    <s v=""/>
    <s v=""/>
    <m/>
    <x v="34"/>
    <s v="CIMED INDÚSTRIA DE MEDICAMENTOS LTDA"/>
    <s v="02814497000107"/>
    <s v="NIMESULIDA"/>
    <n v="1"/>
    <n v="0"/>
    <n v="0"/>
    <n v="0"/>
    <s v="+"/>
    <s v=" A-REUM.N/ESTEROID.PUROS"/>
    <s v=" 51803-78-2"/>
    <s v="Tarja Vermelha"/>
    <s v="I"/>
    <s v="E"/>
    <s v="M"/>
    <n v="8263909"/>
    <n v="34955796"/>
    <n v="79685524.129999995"/>
    <x v="25"/>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0898"/>
    <s v="30049099"/>
    <m/>
    <n v="20140626"/>
    <s v="538509301117110"/>
    <s v="7896714215976"/>
    <s v="1558401950033"/>
    <x v="59"/>
    <x v="72"/>
    <m/>
    <s v="CIPROFIBRATO"/>
    <s v=""/>
    <s v=""/>
    <s v=""/>
    <s v=""/>
    <m/>
    <x v="35"/>
    <s v="HYPERMARCAS S/A"/>
    <s v="02932074000191"/>
    <s v="CIPROFIBRATO"/>
    <n v="1"/>
    <n v="0"/>
    <n v="0"/>
    <n v="0"/>
    <s v="-"/>
    <s v=" FIBRATOS"/>
    <m/>
    <m/>
    <s v="N"/>
    <s v="E"/>
    <s v="G"/>
    <n v="1496483"/>
    <n v="31381189"/>
    <n v="71555390.769999996"/>
    <x v="33"/>
    <n v="2.1"/>
    <n v="9.9"/>
    <n v="3.27"/>
    <n v="3.12"/>
    <n v="1.35"/>
    <n v="18"/>
    <n v="12"/>
    <n v="17"/>
    <n v="17"/>
    <n v="19"/>
    <n v="12"/>
    <n v="17"/>
    <n v="17"/>
    <n v="17"/>
    <n v="17"/>
    <n v="17"/>
    <n v="17"/>
    <n v="17"/>
    <n v="17"/>
    <n v="17"/>
    <n v="17"/>
    <n v="37.74"/>
    <n v="31.740000000000002"/>
    <n v="36.74"/>
    <n v="36.74"/>
    <n v="38.74"/>
    <n v="31.740000000000002"/>
    <n v="36.74"/>
    <n v="36.74"/>
    <n v="36.74"/>
    <n v="36.74"/>
    <n v="36.74"/>
    <n v="36.74"/>
    <n v="36.74"/>
    <n v="36.74"/>
    <n v="36.74"/>
    <n v="36.74"/>
    <n v="36.302500000000002"/>
    <m/>
    <m/>
  </r>
  <r>
    <n v="12085"/>
    <s v="30049099"/>
    <m/>
    <n v="20140626"/>
    <s v="508029305117114"/>
    <s v="7891317477585"/>
    <s v="1004310340071"/>
    <x v="60"/>
    <x v="73"/>
    <m/>
    <s v="CITRATO DE SILDENAFILA"/>
    <s v=""/>
    <s v=""/>
    <s v=""/>
    <s v=""/>
    <m/>
    <x v="23"/>
    <s v="EUROFARMA LABORATÓRIOS S.A."/>
    <s v="61190096000192"/>
    <s v="CITRATO DE SILDENAFILA"/>
    <n v="1"/>
    <n v="0"/>
    <n v="0"/>
    <n v="0"/>
    <s v="-"/>
    <s v=" PRD DISF ERECTIL"/>
    <s v=" 171599-83-0"/>
    <s v="Tarja Vermelha"/>
    <s v="N"/>
    <s v="P"/>
    <s v="G"/>
    <n v="3018298"/>
    <n v="25350525"/>
    <n v="57843330.850000001"/>
    <x v="10"/>
    <n v="2.1"/>
    <n v="9.9"/>
    <n v="3.27"/>
    <n v="3.12"/>
    <n v="1.35"/>
    <n v="18"/>
    <n v="12"/>
    <n v="17"/>
    <n v="17"/>
    <n v="19"/>
    <n v="12"/>
    <n v="17"/>
    <n v="17"/>
    <n v="17"/>
    <n v="17"/>
    <n v="17"/>
    <n v="17"/>
    <n v="17"/>
    <n v="17"/>
    <n v="17"/>
    <n v="17"/>
    <n v="37.74"/>
    <n v="31.740000000000002"/>
    <n v="36.74"/>
    <n v="36.74"/>
    <n v="38.74"/>
    <n v="31.740000000000002"/>
    <n v="36.74"/>
    <n v="36.74"/>
    <n v="36.74"/>
    <n v="36.74"/>
    <n v="36.74"/>
    <n v="36.74"/>
    <n v="36.74"/>
    <n v="36.74"/>
    <n v="36.74"/>
    <n v="36.74"/>
    <n v="36.302500000000002"/>
    <m/>
    <m/>
  </r>
  <r>
    <n v="12106"/>
    <s v="30049099"/>
    <m/>
    <n v="20140626"/>
    <s v="508029304110116"/>
    <s v="7891317477578"/>
    <s v="1004310340061"/>
    <x v="60"/>
    <x v="74"/>
    <m/>
    <s v="CITRATO DE SILDENAFILA"/>
    <s v=""/>
    <s v=""/>
    <s v=""/>
    <s v=""/>
    <m/>
    <x v="23"/>
    <s v="EUROFARMA LABORATÓRIOS S.A."/>
    <s v="61190096000192"/>
    <s v="CITRATO DE SILDENAFILA"/>
    <n v="1"/>
    <n v="0"/>
    <n v="0"/>
    <n v="0"/>
    <s v="-"/>
    <s v=" PRD DISF ERECTIL"/>
    <s v=" 171599-83-0"/>
    <s v="Tarja Vermelha"/>
    <s v="N"/>
    <s v="P"/>
    <s v="G"/>
    <n v="1159476"/>
    <n v="4864377"/>
    <n v="11110119.41"/>
    <x v="10"/>
    <n v="2.1"/>
    <n v="9.9"/>
    <n v="3.27"/>
    <n v="3.12"/>
    <n v="1.35"/>
    <n v="18"/>
    <n v="12"/>
    <n v="17"/>
    <n v="17"/>
    <n v="19"/>
    <n v="12"/>
    <n v="17"/>
    <n v="17"/>
    <n v="17"/>
    <n v="17"/>
    <n v="17"/>
    <n v="17"/>
    <n v="17"/>
    <n v="17"/>
    <n v="17"/>
    <n v="17"/>
    <n v="37.74"/>
    <n v="31.740000000000002"/>
    <n v="36.74"/>
    <n v="36.74"/>
    <n v="38.74"/>
    <n v="31.740000000000002"/>
    <n v="36.74"/>
    <n v="36.74"/>
    <n v="36.74"/>
    <n v="36.74"/>
    <n v="36.74"/>
    <n v="36.74"/>
    <n v="36.74"/>
    <n v="36.74"/>
    <n v="36.74"/>
    <n v="36.74"/>
    <n v="36.302500000000002"/>
    <m/>
    <m/>
  </r>
  <r>
    <n v="12107"/>
    <s v="30049099"/>
    <m/>
    <n v="20140626"/>
    <s v="507742706116115"/>
    <s v="7896004734248"/>
    <s v="1023509860057"/>
    <x v="60"/>
    <x v="74"/>
    <m/>
    <s v="CITRATO DE SILDENAFILA"/>
    <s v=""/>
    <s v=""/>
    <s v=""/>
    <s v=""/>
    <m/>
    <x v="2"/>
    <s v="EMS S/A"/>
    <s v="57507378000101"/>
    <s v="CITRATO DE SILDENAFILA"/>
    <n v="1"/>
    <n v="0"/>
    <n v="0"/>
    <n v="0"/>
    <s v="-"/>
    <s v=" PRD DISF ERECTIL"/>
    <s v=" 171599-83-0"/>
    <s v="Tarja Vermelha"/>
    <s v="N"/>
    <s v="P"/>
    <s v="G"/>
    <n v="1324301"/>
    <n v="5555242"/>
    <n v="12658339.51"/>
    <x v="10"/>
    <n v="2.1"/>
    <n v="9.9"/>
    <n v="3.27"/>
    <n v="3.12"/>
    <n v="1.35"/>
    <n v="18"/>
    <n v="12"/>
    <n v="17"/>
    <n v="17"/>
    <n v="19"/>
    <n v="12"/>
    <n v="17"/>
    <n v="17"/>
    <n v="17"/>
    <n v="17"/>
    <n v="17"/>
    <n v="17"/>
    <n v="17"/>
    <n v="17"/>
    <n v="17"/>
    <n v="17"/>
    <n v="37.74"/>
    <n v="31.740000000000002"/>
    <n v="36.74"/>
    <n v="36.74"/>
    <n v="38.74"/>
    <n v="31.740000000000002"/>
    <n v="36.74"/>
    <n v="36.74"/>
    <n v="36.74"/>
    <n v="36.74"/>
    <n v="36.74"/>
    <n v="36.74"/>
    <n v="36.74"/>
    <n v="36.74"/>
    <n v="36.74"/>
    <n v="36.74"/>
    <n v="36.302500000000002"/>
    <m/>
    <m/>
  </r>
  <r>
    <n v="12120"/>
    <s v="30049099"/>
    <m/>
    <n v="20140626"/>
    <s v="507742708119111"/>
    <s v="7896004730097"/>
    <s v="1023509860065"/>
    <x v="60"/>
    <x v="73"/>
    <m/>
    <s v="CITRATO DE SILDENAFILA"/>
    <s v=""/>
    <s v=""/>
    <s v=""/>
    <s v=""/>
    <m/>
    <x v="2"/>
    <s v="EMS S/A"/>
    <s v="57507378000101"/>
    <s v="CITRATO DE SILDENAFILA"/>
    <n v="1"/>
    <n v="0"/>
    <n v="0"/>
    <n v="0"/>
    <s v="-"/>
    <s v=" PRD DISF ERECTIL"/>
    <s v=" 171599-83-0"/>
    <s v="Tarja Vermelha"/>
    <s v="N"/>
    <s v="P"/>
    <s v="G"/>
    <n v="889085"/>
    <n v="7460020"/>
    <n v="17030841.210000001"/>
    <x v="10"/>
    <n v="2.1"/>
    <n v="9.9"/>
    <n v="3.27"/>
    <n v="3.12"/>
    <n v="1.35"/>
    <n v="18"/>
    <n v="12"/>
    <n v="17"/>
    <n v="17"/>
    <n v="19"/>
    <n v="12"/>
    <n v="17"/>
    <n v="17"/>
    <n v="17"/>
    <n v="17"/>
    <n v="17"/>
    <n v="17"/>
    <n v="17"/>
    <n v="17"/>
    <n v="17"/>
    <n v="17"/>
    <n v="37.74"/>
    <n v="31.740000000000002"/>
    <n v="36.74"/>
    <n v="36.74"/>
    <n v="38.74"/>
    <n v="31.740000000000002"/>
    <n v="36.74"/>
    <n v="36.74"/>
    <n v="36.74"/>
    <n v="36.74"/>
    <n v="36.74"/>
    <n v="36.74"/>
    <n v="36.74"/>
    <n v="36.74"/>
    <n v="36.74"/>
    <n v="36.74"/>
    <n v="36.302500000000002"/>
    <m/>
    <m/>
  </r>
  <r>
    <n v="12137"/>
    <s v="30049099"/>
    <m/>
    <n v="20140626"/>
    <s v="508029303114118"/>
    <s v="7891317477592"/>
    <s v="1004310340088"/>
    <x v="60"/>
    <x v="75"/>
    <m/>
    <s v="CITRATO DE SILDENAFILA"/>
    <s v=""/>
    <s v=""/>
    <s v=""/>
    <s v=""/>
    <m/>
    <x v="23"/>
    <s v="EUROFARMA LABORATÓRIOS S.A."/>
    <s v="61190096000192"/>
    <s v="CITRATO DE SILDENAFILA"/>
    <n v="1"/>
    <n v="0"/>
    <n v="0"/>
    <n v="0"/>
    <s v="-"/>
    <s v=" PRD DISF ERECTIL"/>
    <s v=" 171599-83-0"/>
    <s v="Tarja Vermelha"/>
    <s v="N"/>
    <s v="P"/>
    <s v="G"/>
    <n v="4945715"/>
    <n v="82840835"/>
    <n v="189796058"/>
    <x v="10"/>
    <n v="2.1"/>
    <n v="9.9"/>
    <n v="3.27"/>
    <n v="3.12"/>
    <n v="1.35"/>
    <n v="18"/>
    <n v="12"/>
    <n v="17"/>
    <n v="17"/>
    <n v="19"/>
    <n v="12"/>
    <n v="17"/>
    <n v="17"/>
    <n v="17"/>
    <n v="17"/>
    <n v="17"/>
    <n v="17"/>
    <n v="17"/>
    <n v="17"/>
    <n v="17"/>
    <n v="17"/>
    <n v="37.74"/>
    <n v="31.740000000000002"/>
    <n v="36.74"/>
    <n v="36.74"/>
    <n v="38.74"/>
    <n v="31.740000000000002"/>
    <n v="36.74"/>
    <n v="36.74"/>
    <n v="36.74"/>
    <n v="36.74"/>
    <n v="36.74"/>
    <n v="36.74"/>
    <n v="36.74"/>
    <n v="36.74"/>
    <n v="36.74"/>
    <n v="36.74"/>
    <n v="36.302500000000002"/>
    <m/>
    <m/>
  </r>
  <r>
    <n v="12172"/>
    <s v="30049099"/>
    <m/>
    <n v="20140626"/>
    <s v="542113040000406"/>
    <s v="7898945030151"/>
    <s v="1351700030025"/>
    <x v="60"/>
    <x v="74"/>
    <m/>
    <s v="CITRATO DE SILDENAFILA"/>
    <s v=""/>
    <s v=""/>
    <s v=""/>
    <s v=""/>
    <m/>
    <x v="35"/>
    <s v="ALTHAIA S.A. INDÚSTRIA FARMACÊUTICA."/>
    <s v="48344725000123"/>
    <s v="CITRATO DE SILDENAFILA"/>
    <n v="1"/>
    <n v="0"/>
    <n v="0"/>
    <n v="0"/>
    <s v="-"/>
    <s v=" PRD DISF ERECTIL"/>
    <s v=" 171599-83-0"/>
    <s v="Tarja Vermelha"/>
    <s v="N"/>
    <s v="P"/>
    <s v="G"/>
    <n v="15279428"/>
    <n v="64203431"/>
    <n v="146551693.11000001"/>
    <x v="10"/>
    <n v="2.1"/>
    <n v="9.9"/>
    <n v="3.27"/>
    <n v="3.12"/>
    <n v="1.35"/>
    <n v="18"/>
    <n v="12"/>
    <n v="17"/>
    <n v="17"/>
    <n v="19"/>
    <n v="12"/>
    <n v="17"/>
    <n v="17"/>
    <n v="17"/>
    <n v="17"/>
    <n v="17"/>
    <n v="17"/>
    <n v="17"/>
    <n v="17"/>
    <n v="17"/>
    <n v="17"/>
    <n v="37.74"/>
    <n v="31.740000000000002"/>
    <n v="36.74"/>
    <n v="36.74"/>
    <n v="38.74"/>
    <n v="31.740000000000002"/>
    <n v="36.74"/>
    <n v="36.74"/>
    <n v="36.74"/>
    <n v="36.74"/>
    <n v="36.74"/>
    <n v="36.74"/>
    <n v="36.74"/>
    <n v="36.74"/>
    <n v="36.74"/>
    <n v="36.74"/>
    <n v="36.302500000000002"/>
    <m/>
    <m/>
  </r>
  <r>
    <n v="12173"/>
    <s v="30049099"/>
    <m/>
    <n v="20140626"/>
    <s v="542113040000506"/>
    <s v="7898945030168"/>
    <s v="1351700030068"/>
    <x v="60"/>
    <x v="73"/>
    <m/>
    <s v="CITRATO DE SILDENAFILA"/>
    <s v=""/>
    <s v=""/>
    <s v=""/>
    <s v=""/>
    <m/>
    <x v="35"/>
    <s v="ALTHAIA S.A. INDÚSTRIA FARMACÊUTICA."/>
    <s v="48344725000123"/>
    <s v="CITRATO DE SILDENAFILA"/>
    <n v="1"/>
    <n v="0"/>
    <n v="0"/>
    <n v="0"/>
    <s v="-"/>
    <s v=" PRD DISF ERECTIL"/>
    <s v=" 171599-83-0"/>
    <s v="Tarja Vermelha"/>
    <s v="N"/>
    <s v="P"/>
    <s v="G"/>
    <n v="4544967"/>
    <n v="38253152"/>
    <n v="87337336.420000002"/>
    <x v="10"/>
    <n v="2.1"/>
    <n v="9.9"/>
    <n v="3.27"/>
    <n v="3.12"/>
    <n v="1.35"/>
    <n v="18"/>
    <n v="12"/>
    <n v="17"/>
    <n v="17"/>
    <n v="19"/>
    <n v="12"/>
    <n v="17"/>
    <n v="17"/>
    <n v="17"/>
    <n v="17"/>
    <n v="17"/>
    <n v="17"/>
    <n v="17"/>
    <n v="17"/>
    <n v="17"/>
    <n v="17"/>
    <n v="37.74"/>
    <n v="31.740000000000002"/>
    <n v="36.74"/>
    <n v="36.74"/>
    <n v="38.74"/>
    <n v="31.740000000000002"/>
    <n v="36.74"/>
    <n v="36.74"/>
    <n v="36.74"/>
    <n v="36.74"/>
    <n v="36.74"/>
    <n v="36.74"/>
    <n v="36.74"/>
    <n v="36.74"/>
    <n v="36.74"/>
    <n v="36.74"/>
    <n v="36.302500000000002"/>
    <m/>
    <m/>
  </r>
  <r>
    <n v="12186"/>
    <s v="30049099"/>
    <m/>
    <n v="20140626"/>
    <s v="511516703118117"/>
    <s v="7897595618603"/>
    <s v="1004704790090"/>
    <x v="60"/>
    <x v="73"/>
    <m/>
    <s v="CITRATO DE SILDENAFILA"/>
    <s v=""/>
    <s v=""/>
    <s v=""/>
    <s v=""/>
    <m/>
    <x v="10"/>
    <s v="SANDOZ DO BRASIL INDÚSTRIA FARMACÊUTICA LTDA"/>
    <s v="61286647000116"/>
    <s v="CITRATO DE SILDENAFILA"/>
    <n v="1"/>
    <n v="0"/>
    <n v="0"/>
    <n v="0"/>
    <s v="-"/>
    <s v=" PRD DISF ERECTIL"/>
    <s v=" 171599-83-0"/>
    <s v="Tarja Vermelha"/>
    <s v="N"/>
    <s v="P"/>
    <s v="G"/>
    <n v="1122432"/>
    <n v="9246676"/>
    <n v="21180427.670000002"/>
    <x v="10"/>
    <n v="2.1"/>
    <n v="9.9"/>
    <n v="3.27"/>
    <n v="3.12"/>
    <n v="1.35"/>
    <n v="18"/>
    <n v="12"/>
    <n v="17"/>
    <n v="17"/>
    <n v="19"/>
    <n v="12"/>
    <n v="17"/>
    <n v="17"/>
    <n v="17"/>
    <n v="17"/>
    <n v="17"/>
    <n v="17"/>
    <n v="17"/>
    <n v="17"/>
    <n v="17"/>
    <n v="17"/>
    <n v="37.74"/>
    <n v="31.740000000000002"/>
    <n v="36.74"/>
    <n v="36.74"/>
    <n v="38.74"/>
    <n v="31.740000000000002"/>
    <n v="36.74"/>
    <n v="36.74"/>
    <n v="36.74"/>
    <n v="36.74"/>
    <n v="36.74"/>
    <n v="36.74"/>
    <n v="36.74"/>
    <n v="36.74"/>
    <n v="36.74"/>
    <n v="36.74"/>
    <n v="36.302500000000002"/>
    <m/>
    <m/>
  </r>
  <r>
    <n v="23703"/>
    <s v="30049099"/>
    <m/>
    <n v="20140626"/>
    <s v="510405301110416"/>
    <s v="7899095201712"/>
    <s v="1542300360013"/>
    <x v="61"/>
    <x v="76"/>
    <s v="ALOPURINOL"/>
    <s v="COLCHICINA"/>
    <s v=""/>
    <s v=""/>
    <s v=""/>
    <s v=""/>
    <m/>
    <x v="17"/>
    <s v="GEOLAB INDÚSTRIA FARMACÊUTICA S/A"/>
    <s v="03485572000104"/>
    <s v="COLCHICINA"/>
    <n v="1"/>
    <n v="0"/>
    <n v="0"/>
    <n v="0"/>
    <s v="+"/>
    <s v=" ANTIGOTOSOS"/>
    <s v=" 64-86-8"/>
    <s v="Tarja Vermelha"/>
    <s v="I"/>
    <s v="E"/>
    <s v="M"/>
    <n v="458352"/>
    <n v="2805205"/>
    <n v="6363428.8099999996"/>
    <x v="18"/>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3501"/>
    <s v="30049099"/>
    <m/>
    <n v="20140626"/>
    <s v="508501104132411"/>
    <s v="7896672202384"/>
    <s v="1005800770044"/>
    <x v="62"/>
    <x v="77"/>
    <s v="DIPROPIONATO DE BECLOMETASONA"/>
    <s v="DIPROPIONATO DE BECLOMETASONA"/>
    <s v=""/>
    <s v=""/>
    <s v=""/>
    <s v=""/>
    <m/>
    <x v="36"/>
    <s v="CHIESI FARMACÊUTICA LTDA"/>
    <s v="61363032000146"/>
    <s v="DIPROPIONATO DE BECLOMETASONA"/>
    <n v="3"/>
    <n v="0"/>
    <n v="0"/>
    <n v="0"/>
    <s v="+"/>
    <s v=" CORTICOIDES - INALANTES"/>
    <s v=" 18559-94-9"/>
    <s v="Tarja Vermelha"/>
    <s v="II"/>
    <s v="P"/>
    <s v="M"/>
    <n v="926268"/>
    <n v="15369999"/>
    <n v="34832021.299999997"/>
    <x v="12"/>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3501"/>
    <s v="30049099"/>
    <m/>
    <n v="20140626"/>
    <s v="508501104132411"/>
    <s v="7896672202384"/>
    <s v="1005800770044"/>
    <x v="62"/>
    <x v="77"/>
    <s v="DIPROPIONATO DE BECLOMETASONA"/>
    <s v="DIPROPIONATO DE BECLOMETASONA"/>
    <s v=""/>
    <s v=""/>
    <s v=""/>
    <s v=""/>
    <m/>
    <x v="36"/>
    <s v="CHIESI FARMACÊUTICA LTDA"/>
    <s v="61363032000146"/>
    <s v="DIPROPIONATO DE BECLOMETASONA"/>
    <n v="3"/>
    <n v="0"/>
    <n v="0"/>
    <n v="0"/>
    <s v="+"/>
    <s v=" CORTICOIDES - INALANTES"/>
    <s v=" 18559-94-9"/>
    <s v="Tarja Vermelha"/>
    <s v="II"/>
    <s v="P"/>
    <s v="M"/>
    <n v="926268"/>
    <n v="15369999"/>
    <n v="34832021.299999997"/>
    <x v="13"/>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3501"/>
    <s v="30049099"/>
    <m/>
    <n v="20140626"/>
    <s v="508501104132411"/>
    <s v="7896672202384"/>
    <s v="1005800770044"/>
    <x v="62"/>
    <x v="77"/>
    <s v="DIPROPIONATO DE BECLOMETASONA"/>
    <s v="DIPROPIONATO DE BECLOMETASONA"/>
    <s v=""/>
    <s v=""/>
    <s v=""/>
    <s v=""/>
    <m/>
    <x v="36"/>
    <s v="CHIESI FARMACÊUTICA LTDA"/>
    <s v="61363032000146"/>
    <s v="DIPROPIONATO DE BECLOMETASONA"/>
    <n v="3"/>
    <n v="0"/>
    <n v="0"/>
    <n v="0"/>
    <s v="+"/>
    <s v=" CORTICOIDES - INALANTES"/>
    <s v=" 18559-94-9"/>
    <s v="Tarja Vermelha"/>
    <s v="II"/>
    <s v="P"/>
    <s v="M"/>
    <n v="926268"/>
    <n v="15369999"/>
    <n v="34832021.299999997"/>
    <x v="14"/>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3502"/>
    <s v="30049099"/>
    <m/>
    <n v="20140626"/>
    <s v="508504102173318"/>
    <s v="7896672200399"/>
    <s v="1005801160037"/>
    <x v="63"/>
    <x v="78"/>
    <s v="DIPROPIONATO DE BECLOMETASONA"/>
    <s v="DIPROPIONATO DE BECLOMETASONA"/>
    <s v=""/>
    <s v=""/>
    <s v=""/>
    <s v=""/>
    <m/>
    <x v="36"/>
    <s v="CHIESI FARMACÊUTICA LTDA"/>
    <s v="61363032000146"/>
    <s v="DIPROPIONATO DE BECLOMETASONA"/>
    <n v="3"/>
    <n v="0"/>
    <n v="0"/>
    <n v="0"/>
    <s v="+"/>
    <s v=" CORTICOIDES - INALANTES"/>
    <s v=" 5534-09-8"/>
    <s v="Tarja Vermelha"/>
    <s v="II"/>
    <s v="P"/>
    <s v="M"/>
    <n v="452010"/>
    <n v="9405441"/>
    <n v="21412522.609999999"/>
    <x v="12"/>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3502"/>
    <s v="30049099"/>
    <m/>
    <n v="20140626"/>
    <s v="508504102173318"/>
    <s v="7896672200399"/>
    <s v="1005801160037"/>
    <x v="63"/>
    <x v="78"/>
    <s v="DIPROPIONATO DE BECLOMETASONA"/>
    <s v="DIPROPIONATO DE BECLOMETASONA"/>
    <s v=""/>
    <s v=""/>
    <s v=""/>
    <s v=""/>
    <m/>
    <x v="36"/>
    <s v="CHIESI FARMACÊUTICA LTDA"/>
    <s v="61363032000146"/>
    <s v="DIPROPIONATO DE BECLOMETASONA"/>
    <n v="3"/>
    <n v="0"/>
    <n v="0"/>
    <n v="0"/>
    <s v="+"/>
    <s v=" CORTICOIDES - INALANTES"/>
    <s v=" 5534-09-8"/>
    <s v="Tarja Vermelha"/>
    <s v="II"/>
    <s v="P"/>
    <s v="M"/>
    <n v="452010"/>
    <n v="9405441"/>
    <n v="21412522.609999999"/>
    <x v="13"/>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3502"/>
    <s v="30049099"/>
    <m/>
    <n v="20140626"/>
    <s v="508504102173318"/>
    <s v="7896672200399"/>
    <s v="1005801160037"/>
    <x v="63"/>
    <x v="79"/>
    <s v="DIPROPIONATO DE BECLOMETASONA"/>
    <s v="DIPROPIONATO DE BECLOMETASONA"/>
    <s v=""/>
    <s v=""/>
    <s v=""/>
    <s v=""/>
    <m/>
    <x v="36"/>
    <s v="CHIESI FARMACÊUTICA LTDA"/>
    <s v="61363032000146"/>
    <s v="DIPROPIONATO DE BECLOMETASONA"/>
    <n v="3"/>
    <n v="0"/>
    <n v="0"/>
    <n v="0"/>
    <s v="+"/>
    <s v=" CORTICOIDES - INALANTES"/>
    <s v=" 5534-09-8"/>
    <s v="Tarja Vermelha"/>
    <s v="II"/>
    <s v="P"/>
    <s v="M"/>
    <n v="197921"/>
    <n v="2557411"/>
    <n v="5810342.6100000003"/>
    <x v="12"/>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5447"/>
    <s v="30049099"/>
    <m/>
    <n v="20140626"/>
    <s v="507707004119116"/>
    <s v="7896004701271"/>
    <s v="1023504780136"/>
    <x v="64"/>
    <x v="80"/>
    <s v="ciprofloxacino"/>
    <s v="CLORIDRATO DE CIPROFLOXACINO"/>
    <s v=""/>
    <s v=""/>
    <s v=""/>
    <s v=""/>
    <m/>
    <x v="2"/>
    <s v="EMS S/A"/>
    <s v="57507378000101"/>
    <s v="CLORIDRATO DE CIPROFLOXACINO"/>
    <n v="4"/>
    <n v="0"/>
    <n v="0"/>
    <n v="0"/>
    <s v="+"/>
    <s v=" FLUORQUINOLONAS ORAIS"/>
    <s v=" 86393-32-0"/>
    <s v="Tarja Vermelha"/>
    <s v="I"/>
    <s v="P"/>
    <s v="G"/>
    <n v="1235965"/>
    <n v="16971959"/>
    <n v="38746282.380000003"/>
    <x v="4"/>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15447"/>
    <s v="30049099"/>
    <m/>
    <n v="20140626"/>
    <s v="507707004119116"/>
    <s v="7896004701271"/>
    <s v="1023504780136"/>
    <x v="64"/>
    <x v="80"/>
    <s v="ciprofloxacino"/>
    <s v="CLORIDRATO DE CIPROFLOXACINO"/>
    <s v=""/>
    <s v=""/>
    <s v=""/>
    <s v=""/>
    <m/>
    <x v="2"/>
    <s v="EMS S/A"/>
    <s v="57507378000101"/>
    <s v="CLORIDRATO DE CIPROFLOXACINO"/>
    <n v="4"/>
    <n v="0"/>
    <n v="0"/>
    <n v="0"/>
    <s v="+"/>
    <s v=" FLUORQUINOLONAS ORAIS"/>
    <s v=" 86393-32-0"/>
    <s v="Tarja Vermelha"/>
    <s v="I"/>
    <s v="P"/>
    <s v="G"/>
    <n v="1235965"/>
    <n v="16971959"/>
    <n v="38746282.380000003"/>
    <x v="22"/>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14813"/>
    <s v="30049054"/>
    <m/>
    <n v="20140626"/>
    <s v="521103501112115"/>
    <s v="7896181904830"/>
    <s v="1121302600013"/>
    <x v="65"/>
    <x v="81"/>
    <s v="cloridrato de amiodarona"/>
    <s v="CLORIDRATO DE AMIODARONA"/>
    <s v=""/>
    <s v=""/>
    <s v=""/>
    <s v=""/>
    <m/>
    <x v="11"/>
    <s v="BIOSINTÉTICA FARMACÊUTICA LTDA"/>
    <s v="53162095000106"/>
    <s v="CLORIDRATO DE AMIODARONA"/>
    <n v="1"/>
    <n v="0"/>
    <n v="0"/>
    <n v="0"/>
    <s v="+"/>
    <s v=" A/ARRITMICOS CARDIACOS"/>
    <s v=" 19774-82-4"/>
    <s v="Tarja Vermelha"/>
    <s v="I"/>
    <s v="E"/>
    <s v="G"/>
    <n v="733849"/>
    <n v="6158029"/>
    <n v="14070360.33"/>
    <x v="21"/>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14841"/>
    <s v="30049099"/>
    <m/>
    <n v="20140626"/>
    <s v="508002901118115"/>
    <s v="7891317408060"/>
    <s v="1004308960015"/>
    <x v="66"/>
    <x v="82"/>
    <m/>
    <s v="AMITRIPTILINA"/>
    <s v=""/>
    <s v=""/>
    <s v=""/>
    <s v=""/>
    <m/>
    <x v="23"/>
    <s v="EUROFARMA LABORATÓRIOS S.A."/>
    <s v="61190096000192"/>
    <s v="AMITRIPTILINA"/>
    <n v="1"/>
    <n v="0"/>
    <n v="0"/>
    <n v="0"/>
    <s v="+"/>
    <s v=" ANTI-DEPRES.TOD.OUTROS"/>
    <s v=" 549-18-8"/>
    <s v="Tarja Vermelha"/>
    <s v="I"/>
    <s v="E"/>
    <s v="G"/>
    <n v="1071999"/>
    <n v="3827676"/>
    <n v="8737535.4499999993"/>
    <x v="23"/>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14853"/>
    <s v="30049099"/>
    <m/>
    <n v="20140626"/>
    <s v="526128602118111"/>
    <s v="7896004727493"/>
    <s v="1058305820041"/>
    <x v="66"/>
    <x v="83"/>
    <m/>
    <s v="AMITRIPTILINA"/>
    <s v=""/>
    <s v=""/>
    <s v=""/>
    <s v=""/>
    <m/>
    <x v="37"/>
    <s v="GERMED FARMACEUTICA LTDA"/>
    <s v="45992062000165"/>
    <s v="AMITRIPTILINA"/>
    <n v="1"/>
    <n v="0"/>
    <n v="0"/>
    <n v="0"/>
    <s v="+"/>
    <s v=" ANTI-DEPRES.TOD.OUTROS"/>
    <s v=" 549-18-8"/>
    <s v="Tarja Vermelha"/>
    <s v="I"/>
    <s v="E"/>
    <s v="G"/>
    <n v="678777"/>
    <n v="2366734"/>
    <n v="5403263.1299999999"/>
    <x v="23"/>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14855"/>
    <s v="30049099"/>
    <m/>
    <n v="20140626"/>
    <s v="507738801118113"/>
    <s v="7896004727776"/>
    <s v="1023508850041"/>
    <x v="66"/>
    <x v="83"/>
    <m/>
    <s v="AMITRIPTILINA"/>
    <s v=""/>
    <s v=""/>
    <s v=""/>
    <s v=""/>
    <m/>
    <x v="2"/>
    <s v="EMS S/A"/>
    <s v="57507378000101"/>
    <s v="AMITRIPTILINA"/>
    <n v="1"/>
    <n v="0"/>
    <n v="0"/>
    <n v="0"/>
    <s v="+"/>
    <s v=" ANTI-DEPRES.TOD.OUTROS"/>
    <s v=" 549-18-8"/>
    <s v="Tarja Vermelha"/>
    <s v="I"/>
    <s v="E"/>
    <s v="G"/>
    <n v="1376793"/>
    <n v="4904670"/>
    <n v="11196403.9"/>
    <x v="23"/>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15429"/>
    <s v="30049069"/>
    <m/>
    <n v="20140626"/>
    <s v="511502003119110"/>
    <s v="7897595602404"/>
    <s v="1004703510116"/>
    <x v="67"/>
    <x v="80"/>
    <s v="ciprofloxacino"/>
    <s v="CLORIDRATO DE CIPROFLOXACINO"/>
    <s v=""/>
    <s v=""/>
    <s v=""/>
    <s v=""/>
    <m/>
    <x v="10"/>
    <s v="SANDOZ DO BRASIL INDÚSTRIA FARMACÊUTICA LTDA"/>
    <s v="61286647000116"/>
    <s v="CLORIDRATO DE CIPROFLOXACINO"/>
    <n v="4"/>
    <n v="0"/>
    <n v="0"/>
    <n v="0"/>
    <s v="+"/>
    <s v=" FLUORQUINOLONAS ORAIS"/>
    <s v=" 86393-32-0"/>
    <s v="Tarja Vermelha"/>
    <s v="I"/>
    <s v="P"/>
    <s v="G"/>
    <n v="734457"/>
    <n v="14138658"/>
    <n v="32333953.84"/>
    <x v="22"/>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17354"/>
    <s v="30049049"/>
    <m/>
    <n v="20140626"/>
    <s v="520726901111118"/>
    <s v="7896112123316"/>
    <s v="1037004870020"/>
    <x v="68"/>
    <x v="84"/>
    <m/>
    <s v="CLORIDRATO DE FLUOXETINA"/>
    <s v=""/>
    <s v=""/>
    <s v=""/>
    <s v=""/>
    <m/>
    <x v="1"/>
    <s v="LABORATÓRIO TEUTO BRASILEIRO S/A"/>
    <s v="17159229000176"/>
    <s v="CLORIDRATO DE FLUOXETINA"/>
    <n v="2"/>
    <n v="0"/>
    <n v="0"/>
    <n v="0"/>
    <s v="+"/>
    <s v=" ANTI-DEPRESSIVOS SSRI"/>
    <s v=" 59333-67-4"/>
    <s v="Tarja Vermelha"/>
    <s v="I"/>
    <s v="E"/>
    <s v="G"/>
    <n v="704692"/>
    <n v="8303895"/>
    <n v="18913682.73"/>
    <x v="23"/>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17673"/>
    <s v="30049039"/>
    <m/>
    <n v="20140626"/>
    <s v="508029801114111"/>
    <s v="7891317472122"/>
    <s v="1004310390050"/>
    <x v="69"/>
    <x v="85"/>
    <m/>
    <s v="CLORIDRATO DE MEMANTINA"/>
    <s v=""/>
    <s v=""/>
    <s v=""/>
    <s v=""/>
    <m/>
    <x v="23"/>
    <s v="EUROFARMA LABORATÓRIOS S.A."/>
    <s v="61190096000192"/>
    <s v="CLORIDRATO DE MEMANTINA"/>
    <n v="1"/>
    <n v="0"/>
    <n v="0"/>
    <n v="0"/>
    <s v="+"/>
    <s v=" TODOS OUT PROD ANTI-ALZH"/>
    <s v=" 41100-52-1"/>
    <s v="Tarja Vermelha"/>
    <s v="I"/>
    <s v="E"/>
    <s v="G"/>
    <n v="155049"/>
    <n v="3423910"/>
    <n v="7826805.0300000003"/>
    <x v="17"/>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17674"/>
    <s v="30049039"/>
    <m/>
    <n v="20140626"/>
    <s v="508029802110118"/>
    <s v="7891317472139"/>
    <s v="1004310390069"/>
    <x v="69"/>
    <x v="86"/>
    <m/>
    <s v="CLORIDRATO DE MEMANTINA"/>
    <s v=""/>
    <s v=""/>
    <s v=""/>
    <s v=""/>
    <m/>
    <x v="23"/>
    <s v="EUROFARMA LABORATÓRIOS S.A."/>
    <s v="61190096000192"/>
    <s v="CLORIDRATO DE MEMANTINA"/>
    <n v="1"/>
    <n v="0"/>
    <n v="0"/>
    <n v="0"/>
    <s v="+"/>
    <s v=" TODOS OUT PROD ANTI-ALZH"/>
    <s v=" 41100-52-1"/>
    <s v="Tarja Vermelha"/>
    <s v="I"/>
    <s v="E"/>
    <s v="G"/>
    <n v="117302"/>
    <n v="5134073"/>
    <n v="11722739.93"/>
    <x v="17"/>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17738"/>
    <s v="30049049"/>
    <m/>
    <n v="20140626"/>
    <s v="525003510112111"/>
    <s v="7896422507950"/>
    <s v="1018104470052"/>
    <x v="70"/>
    <x v="87"/>
    <m/>
    <s v="CLORIDRATO DE METFORMINA"/>
    <s v=""/>
    <s v=""/>
    <s v=""/>
    <s v=""/>
    <m/>
    <x v="15"/>
    <s v="MEDLEY INDÚSTRIA FARMACÊUTICA LTDA"/>
    <s v="50929710000179"/>
    <s v="CLORIDRATO DE METFORMINA"/>
    <n v="9"/>
    <n v="0"/>
    <n v="0"/>
    <n v="0"/>
    <s v="+"/>
    <s v=" BIGUANIDAS SIMPLES"/>
    <s v=" 1115-70-4"/>
    <s v="Tarja Vermelha"/>
    <s v="I"/>
    <s v="E"/>
    <s v="G"/>
    <n v="2186933"/>
    <n v="8997740"/>
    <n v="20559236.170000002"/>
    <x v="34"/>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17739"/>
    <s v="30049049"/>
    <m/>
    <n v="20140626"/>
    <s v="528530301115111"/>
    <s v="7898148291298"/>
    <s v="1256801510019"/>
    <x v="70"/>
    <x v="87"/>
    <m/>
    <s v="CLORIDRATO DE METFORMINA"/>
    <s v=""/>
    <s v=""/>
    <s v=""/>
    <s v=""/>
    <m/>
    <x v="14"/>
    <s v="PRATI DONADUZZI &amp; CIA LTDA"/>
    <s v="73856593000166"/>
    <s v="CLORIDRATO DE METFORMINA"/>
    <n v="9"/>
    <n v="0"/>
    <n v="0"/>
    <n v="0"/>
    <s v="+"/>
    <s v=" BIGUANIDAS SIMPLES"/>
    <s v=" 1115-70-4"/>
    <s v="Tarja Vermelha"/>
    <s v="I"/>
    <s v="E"/>
    <s v="G"/>
    <n v="3082160"/>
    <n v="6056659"/>
    <n v="13795919"/>
    <x v="34"/>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17781"/>
    <s v="30049049"/>
    <m/>
    <n v="20140626"/>
    <s v="520728003119116"/>
    <s v="7896112126485"/>
    <s v="1037005060022"/>
    <x v="70"/>
    <x v="88"/>
    <m/>
    <s v="CLORIDRATO DE METFORMINA"/>
    <s v=""/>
    <s v=""/>
    <s v=""/>
    <s v=""/>
    <m/>
    <x v="1"/>
    <s v="LABORATÓRIO TEUTO BRASILEIRO S/A"/>
    <s v="17159229000176"/>
    <s v="CLORIDRATO DE METFORMINA"/>
    <n v="9"/>
    <n v="0"/>
    <n v="0"/>
    <n v="0"/>
    <s v="+"/>
    <s v=" BIGUANIDAS SIMPLES"/>
    <s v=" 1115-70-4"/>
    <s v="Tarja Vermelha"/>
    <s v="I"/>
    <s v="E"/>
    <s v="G"/>
    <n v="2994645"/>
    <n v="12272426"/>
    <n v="28048600.890000001"/>
    <x v="34"/>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18971"/>
    <s v="30049099"/>
    <m/>
    <n v="20140626"/>
    <s v="507746001117113"/>
    <s v="7896004733302"/>
    <s v="1023510100028"/>
    <x v="71"/>
    <x v="89"/>
    <m/>
    <s v="CLORIDRATO DE NARATRIPTANA"/>
    <s v=""/>
    <s v=""/>
    <s v=""/>
    <s v=""/>
    <m/>
    <x v="2"/>
    <s v="EMS S/A"/>
    <s v="57507378000101"/>
    <s v="CLORIDRATO DE NARATRIPTANA"/>
    <n v="1"/>
    <n v="0"/>
    <n v="0"/>
    <n v="0"/>
    <s v="+"/>
    <s v=" TRIPTANICOS A-ENXAQUECA"/>
    <s v=" 143388-64-1"/>
    <s v="Tarja Vermelha"/>
    <s v="I"/>
    <s v="E"/>
    <s v="G"/>
    <n v="1402272"/>
    <n v="4412025"/>
    <n v="10098790"/>
    <x v="15"/>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20433"/>
    <s v="30039099"/>
    <m/>
    <n v="20140626"/>
    <s v="520707508114119"/>
    <s v="7896112132721"/>
    <s v="1037004490211"/>
    <x v="72"/>
    <x v="90"/>
    <m/>
    <s v="CLORIDRATO DE RANITIDINA"/>
    <s v=""/>
    <s v=""/>
    <s v=""/>
    <s v=""/>
    <m/>
    <x v="1"/>
    <s v="LABORATÓRIO TEUTO BRASILEIRO S/A"/>
    <s v="17159229000176"/>
    <s v="CLORIDRATO DE RANITIDINA"/>
    <n v="1"/>
    <n v="0"/>
    <n v="0"/>
    <n v="0"/>
    <s v="+"/>
    <s v=" ANTAGONISTA RECEPTORES H2"/>
    <s v=" 66357-59-3"/>
    <s v="Tarja Vermelha"/>
    <s v="I"/>
    <s v="E"/>
    <s v="G"/>
    <n v="609951"/>
    <n v="3688152"/>
    <n v="8409886.8800000008"/>
    <x v="35"/>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20461"/>
    <s v="30039099"/>
    <m/>
    <n v="20140626"/>
    <s v="525012040099906"/>
    <s v="7896422517324"/>
    <s v="1018103570088"/>
    <x v="72"/>
    <x v="90"/>
    <m/>
    <s v="CLORIDRATO DE RANITIDINA"/>
    <s v=""/>
    <s v=""/>
    <s v=""/>
    <s v=""/>
    <m/>
    <x v="15"/>
    <s v="MEDLEY INDÚSTRIA FARMACÊUTICA LTDA"/>
    <s v="50929710000179"/>
    <s v="CLORIDRATO DE RANITIDINA"/>
    <n v="1"/>
    <n v="0"/>
    <n v="0"/>
    <n v="0"/>
    <s v="+"/>
    <s v=" ANTAGONISTA RECEPTORES H2"/>
    <s v=" 66357-59-3"/>
    <s v="Tarja Vermelha"/>
    <s v="I"/>
    <s v="E"/>
    <s v="G"/>
    <n v="800170"/>
    <n v="5609392"/>
    <n v="12790194.199999999"/>
    <x v="35"/>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20537"/>
    <s v="30039099"/>
    <m/>
    <n v="20140626"/>
    <s v="500512040041106"/>
    <s v="7896658013362"/>
    <s v="1057304110026"/>
    <x v="72"/>
    <x v="90"/>
    <m/>
    <s v="CLORIDRATO DE RANITIDINA"/>
    <s v=""/>
    <s v=""/>
    <s v=""/>
    <s v=""/>
    <m/>
    <x v="2"/>
    <s v="ACHÉ LABORATÓRIOS FARMACÊUTICOS S.A."/>
    <s v="60659463000191"/>
    <s v="CLORIDRATO DE RANITIDINA"/>
    <n v="1"/>
    <n v="0"/>
    <n v="0"/>
    <n v="0"/>
    <s v="+"/>
    <s v=" ANTAGONISTA RECEPTORES H2"/>
    <s v=" 66357-59-3"/>
    <s v="Tarja Vermelha"/>
    <s v="I"/>
    <s v="E"/>
    <s v="G"/>
    <n v="800350"/>
    <n v="5590482"/>
    <n v="12754146.039999999"/>
    <x v="35"/>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21956"/>
    <s v="30049039"/>
    <m/>
    <n v="20140626"/>
    <s v="508003505119117"/>
    <s v="7891317446031"/>
    <s v="1004307440077"/>
    <x v="73"/>
    <x v="91"/>
    <m/>
    <s v="CLORIDRATO DE SERTRALINA"/>
    <s v=""/>
    <s v=""/>
    <s v=""/>
    <s v=""/>
    <m/>
    <x v="23"/>
    <s v="EUROFARMA LABORATÓRIOS S.A."/>
    <s v="61190096000192"/>
    <s v="CLORIDRATO DE SERTRALINA"/>
    <n v="1"/>
    <n v="0"/>
    <n v="0"/>
    <n v="0"/>
    <s v="+"/>
    <s v=" ANTI-DEPRESSIVOS SSRI"/>
    <s v=" 79559-97-0"/>
    <s v="Tarja Vermelha"/>
    <s v="I"/>
    <s v="E"/>
    <s v="G"/>
    <n v="604394"/>
    <n v="12594653"/>
    <n v="28738179.289999999"/>
    <x v="23"/>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18687"/>
    <s v="30049099"/>
    <m/>
    <n v="20140626"/>
    <s v="525914090020617"/>
    <s v="7896472512843"/>
    <s v="1181901090067"/>
    <x v="74"/>
    <x v="92"/>
    <s v="ALOPURINOL"/>
    <s v="COLCHICINA"/>
    <s v=""/>
    <s v=""/>
    <s v=""/>
    <s v=""/>
    <m/>
    <x v="30"/>
    <s v="MULTILAB INDÚSTRIA E COMÉRCIO DE PRODUTOS FARMACÊUTICOS LTDA"/>
    <s v="92265552000140"/>
    <s v="COLCHICINA"/>
    <n v="1"/>
    <n v="0"/>
    <n v="0"/>
    <n v="0"/>
    <s v="+"/>
    <s v=" ANTIGOTOSOS"/>
    <s v=" 64-86-8"/>
    <s v="Tarja Vermelha"/>
    <s v="I"/>
    <s v="E"/>
    <s v="M"/>
    <n v="434894"/>
    <n v="1954886"/>
    <n v="4451724.22"/>
    <x v="18"/>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23702"/>
    <s v="30039099"/>
    <m/>
    <n v="20140626"/>
    <s v="501600304116310"/>
    <s v="7896637024358"/>
    <s v="1011801090041"/>
    <x v="75"/>
    <x v="93"/>
    <s v="ALOPURINOL"/>
    <s v="COLCHICINA"/>
    <s v=""/>
    <s v=""/>
    <s v=""/>
    <s v=""/>
    <m/>
    <x v="13"/>
    <s v="APSEN FARMACEUTICA S/A"/>
    <s v="62462015000129"/>
    <s v="COLCHICINA"/>
    <n v="1"/>
    <n v="0"/>
    <n v="0"/>
    <n v="0"/>
    <s v="+"/>
    <s v=" ANTIGOTOSOS"/>
    <s v=" 64-86-8"/>
    <s v="Tarja Vermelha"/>
    <s v="I"/>
    <s v="E"/>
    <s v="R"/>
    <n v="298401"/>
    <n v="4054885"/>
    <n v="9257105.9800000004"/>
    <x v="18"/>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722"/>
    <s v="30049099"/>
    <m/>
    <n v="20140626"/>
    <s v="500512102114416"/>
    <s v="7896658012198"/>
    <s v="1057303670011"/>
    <x v="76"/>
    <x v="94"/>
    <m/>
    <s v="GLICINATO FERRICO"/>
    <s v="CIANOCOBALAMINA"/>
    <s v="RIBOFLAVINA"/>
    <s v="NITRATO DE TIAMINA"/>
    <s v=""/>
    <m/>
    <x v="11"/>
    <s v="ACHÉ LABORATÓRIOS FARMACÊUTICOS S.A."/>
    <s v="60659463000191"/>
    <s v="GLICINATO FERRICO"/>
    <n v="0"/>
    <n v="7"/>
    <n v="1"/>
    <n v="2"/>
    <s v="-"/>
    <s v=" ASSOCIACOES DE FERRO"/>
    <s v=" 83-88-5"/>
    <s v="Tarja Vermelha"/>
    <s v="N"/>
    <s v="P"/>
    <s v="M"/>
    <n v="599313"/>
    <n v="2411474"/>
    <n v="5503566.5099999998"/>
    <x v="9"/>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721"/>
    <s v="30045090"/>
    <m/>
    <n v="20140626"/>
    <s v="500512101118418"/>
    <s v="7896658003653"/>
    <s v="1057303670036"/>
    <x v="76"/>
    <x v="95"/>
    <m/>
    <s v="FERROCARBONILA"/>
    <s v="NITRATO DE TIAMINA"/>
    <s v="RIBOFLAVINA"/>
    <s v="CLORIDRATO DE PIRIDOXINA"/>
    <s v=""/>
    <m/>
    <x v="11"/>
    <s v="ACHÉ LABORATÓRIOS FARMACÊUTICOS S.A."/>
    <s v="60659463000191"/>
    <s v="FERROCARBONILA"/>
    <n v="0"/>
    <n v="2"/>
    <n v="1"/>
    <n v="6"/>
    <s v="-"/>
    <s v=" ASSOCIACOES DE FERRO"/>
    <s v=" 83-88-5"/>
    <s v="Tarja Vermelha"/>
    <s v="N"/>
    <s v="P"/>
    <s v="M"/>
    <n v="1613528"/>
    <n v="14394211"/>
    <n v="32872534.949999999"/>
    <x v="9"/>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4810"/>
    <s v="30049054"/>
    <m/>
    <n v="20140626"/>
    <s v="511502802119413"/>
    <s v="7897595608208"/>
    <s v="1004702070066"/>
    <x v="77"/>
    <x v="96"/>
    <m/>
    <s v="AMIODARONA"/>
    <s v=""/>
    <s v=""/>
    <s v=""/>
    <s v=""/>
    <m/>
    <x v="10"/>
    <s v="SANDOZ DO BRASIL INDÚSTRIA FARMACÊUTICA LTDA"/>
    <s v="61286647000116"/>
    <s v="AMIODARONA"/>
    <n v="0"/>
    <n v="0"/>
    <n v="0"/>
    <n v="0"/>
    <s v="+"/>
    <s v=" A/ARRITMICOS CARDIACOS"/>
    <s v=" 19774-82-4"/>
    <s v="Tarja Vermelha"/>
    <s v="I"/>
    <s v="E"/>
    <s v="M"/>
    <n v="90668"/>
    <n v="720552.81"/>
    <n v="1624034.01"/>
    <x v="21"/>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3299"/>
    <s v="30043999"/>
    <m/>
    <n v="20140626"/>
    <s v="519002902111416"/>
    <s v="7896714200699"/>
    <s v="1046501790059"/>
    <x v="78"/>
    <x v="97"/>
    <m/>
    <s v="PREDNISONA"/>
    <s v=""/>
    <s v=""/>
    <s v=""/>
    <s v=""/>
    <m/>
    <x v="35"/>
    <s v="LABORATÓRIO NEO QUÍMICA COMÉRCIO E INDÚSTRIA LTDA"/>
    <s v="29785870000103"/>
    <s v="PREDNISONA"/>
    <n v="1"/>
    <n v="0"/>
    <n v="0"/>
    <n v="0"/>
    <s v="+"/>
    <s v=" CORTICOEST.ORAIS PUROS"/>
    <s v=" 53-03-2"/>
    <s v="Tarja Vermelha"/>
    <s v="I"/>
    <s v="E"/>
    <s v="M"/>
    <n v="2884397"/>
    <n v="14945696"/>
    <n v="34068993.380000003"/>
    <x v="29"/>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3299"/>
    <s v="30043999"/>
    <m/>
    <n v="20140626"/>
    <s v="519002902111416"/>
    <s v="7896714200699"/>
    <s v="1046501790059"/>
    <x v="78"/>
    <x v="97"/>
    <m/>
    <s v="PREDNISONA"/>
    <s v=""/>
    <s v=""/>
    <s v=""/>
    <s v=""/>
    <m/>
    <x v="35"/>
    <s v="LABORATÓRIO NEO QUÍMICA COMÉRCIO E INDÚSTRIA LTDA"/>
    <s v="29785870000103"/>
    <s v="PREDNISONA"/>
    <n v="1"/>
    <n v="0"/>
    <n v="0"/>
    <n v="0"/>
    <s v="+"/>
    <s v=" CORTICOEST.ORAIS PUROS"/>
    <s v=" 53-03-2"/>
    <s v="Tarja Vermelha"/>
    <s v="I"/>
    <s v="E"/>
    <s v="M"/>
    <n v="2884397"/>
    <n v="14945696"/>
    <n v="34068993.380000003"/>
    <x v="18"/>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3299"/>
    <s v="30043999"/>
    <m/>
    <n v="20140626"/>
    <s v="519002902111416"/>
    <s v="7896714200699"/>
    <s v="1046501790059"/>
    <x v="78"/>
    <x v="97"/>
    <m/>
    <s v="PREDNISONA"/>
    <s v=""/>
    <s v=""/>
    <s v=""/>
    <s v=""/>
    <m/>
    <x v="35"/>
    <s v="LABORATÓRIO NEO QUÍMICA COMÉRCIO E INDÚSTRIA LTDA"/>
    <s v="29785870000103"/>
    <s v="PREDNISONA"/>
    <n v="1"/>
    <n v="0"/>
    <n v="0"/>
    <n v="0"/>
    <s v="+"/>
    <s v=" CORTICOEST.ORAIS PUROS"/>
    <s v=" 53-03-2"/>
    <s v="Tarja Vermelha"/>
    <s v="I"/>
    <s v="E"/>
    <s v="M"/>
    <n v="2884397"/>
    <n v="14945696"/>
    <n v="34068993.380000003"/>
    <x v="8"/>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7089"/>
    <s v="30049099"/>
    <m/>
    <n v="20140626"/>
    <s v="525900601164417"/>
    <s v="7896472502110"/>
    <s v="1181900370015"/>
    <x v="79"/>
    <x v="98"/>
    <m/>
    <s v="DEXAMETASONA"/>
    <s v=""/>
    <s v=""/>
    <s v=""/>
    <s v=""/>
    <m/>
    <x v="30"/>
    <s v="MULTILAB INDÚSTRIA E COMÉRCIO DE PRODUTOS FARMACÊUTICOS LTDA"/>
    <s v="92265552000140"/>
    <s v="DEXAMETASONA"/>
    <n v="10"/>
    <n v="0"/>
    <n v="0"/>
    <n v="0"/>
    <s v="+"/>
    <s v=" CORTICOIDES TOP PUROS"/>
    <s v=" 1177-87-3"/>
    <s v="Tarja Vermelha"/>
    <s v="I"/>
    <s v="E"/>
    <s v="M"/>
    <n v="934058"/>
    <n v="3082151"/>
    <n v="7041280.6699999999"/>
    <x v="1"/>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3760"/>
    <s v="30049099"/>
    <m/>
    <n v="20140626"/>
    <s v="507708901114411"/>
    <s v="7896004801216"/>
    <s v="1023506540019"/>
    <x v="80"/>
    <x v="99"/>
    <m/>
    <s v="ACRIFLAVINA"/>
    <s v="BELADONA"/>
    <s v="METENAMINA"/>
    <s v=""/>
    <s v=""/>
    <m/>
    <x v="2"/>
    <s v="EMS S/A"/>
    <s v="57507378000101"/>
    <s v="ACRIFLAVINA"/>
    <n v="0"/>
    <n v="0"/>
    <n v="0"/>
    <n v="0"/>
    <s v="-"/>
    <s v=" OUT ANTISEP URINAR"/>
    <s v=" 8018-07-3"/>
    <s v="Venda Livre"/>
    <s v="N"/>
    <s v="P"/>
    <s v="M"/>
    <n v="1915905"/>
    <n v="9897887"/>
    <n v="22611292.859999999"/>
    <x v="4"/>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0211"/>
    <s v="30049069"/>
    <m/>
    <n v="20140626"/>
    <s v="502803301111310"/>
    <s v="7896185932013"/>
    <s v="1130002140024"/>
    <x v="81"/>
    <x v="100"/>
    <m/>
    <s v="ACIDO ASCORBICO"/>
    <s v="HESPERIDINA"/>
    <s v="PIPERIDOLATO"/>
    <s v=""/>
    <s v=""/>
    <m/>
    <x v="6"/>
    <s v="SANOFI-AVENTIS FARMACÊUTICA LTDA"/>
    <s v="02685377000157"/>
    <s v="ACIDO ASCORBICO"/>
    <n v="1"/>
    <n v="0"/>
    <n v="0"/>
    <n v="0"/>
    <s v="-"/>
    <s v=" ANTIESPAM+ANTICOL PUROS"/>
    <s v=" 50-81-7"/>
    <s v="Tarja Vermelha"/>
    <s v="N"/>
    <s v="P"/>
    <s v="R"/>
    <n v="388550"/>
    <n v="1961904"/>
    <n v="4479782.1399999997"/>
    <x v="26"/>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251"/>
    <s v="30039089"/>
    <m/>
    <n v="20140626"/>
    <s v="531300404117313"/>
    <s v="7898029551770"/>
    <s v="1127800030012"/>
    <x v="82"/>
    <x v="101"/>
    <m/>
    <s v="DIOSMINA"/>
    <s v="HESPERIDINA"/>
    <s v=""/>
    <s v=""/>
    <s v=""/>
    <m/>
    <x v="38"/>
    <s v="LABORATÓRIOS SERVIER DO BRASIL LTDA"/>
    <s v="42374207000176"/>
    <s v="DIOSMINA"/>
    <n v="0"/>
    <n v="0"/>
    <n v="0"/>
    <n v="0"/>
    <s v="-"/>
    <s v=" VASOPROTETORES SIST"/>
    <s v=" 520-27-4"/>
    <s v="Tarja Vermelha"/>
    <s v="N"/>
    <s v="P"/>
    <s v="R"/>
    <n v="766125"/>
    <n v="17444669"/>
    <n v="39895271.140000001"/>
    <x v="36"/>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7430"/>
    <s v="30049049"/>
    <m/>
    <n v="20140626"/>
    <s v="531601105119419"/>
    <s v="7894916203500"/>
    <s v="1356905980077"/>
    <x v="83"/>
    <x v="102"/>
    <m/>
    <s v="CLORIDRATO DE FLUOXETINA"/>
    <s v=""/>
    <s v=""/>
    <s v=""/>
    <s v=""/>
    <m/>
    <x v="2"/>
    <s v="EMS SIGMA PHARMA LTDA"/>
    <s v="00923140000131"/>
    <s v="CLORIDRATO DE FLUOXETINA"/>
    <n v="2"/>
    <n v="0"/>
    <n v="0"/>
    <n v="0"/>
    <s v="+"/>
    <s v=" ANTI-DEPRESSIVOS SSRI"/>
    <s v=" 59333-67-4"/>
    <s v="Tarja Preta"/>
    <s v="I"/>
    <s v="E"/>
    <s v="R"/>
    <n v="742745"/>
    <n v="10752522"/>
    <n v="24518533.579999998"/>
    <x v="23"/>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3950"/>
    <s v="30049099"/>
    <m/>
    <n v="20140626"/>
    <s v="500502402115410"/>
    <s v="7896658001901"/>
    <s v="1057302310011"/>
    <x v="84"/>
    <x v="103"/>
    <m/>
    <s v="BRONFENIRAMINA"/>
    <s v="FENILEFRINA"/>
    <s v=""/>
    <s v=""/>
    <s v=""/>
    <m/>
    <x v="11"/>
    <s v="ACHÉ LABORATÓRIOS FARMACÊUTICOS S.A."/>
    <s v="60659463000191"/>
    <s v="BRONFENIRAMINA"/>
    <n v="0"/>
    <n v="0"/>
    <n v="0"/>
    <n v="0"/>
    <s v="-"/>
    <s v=" PREP.SISTEMICAS NASAIS"/>
    <s v=" 980-71-2"/>
    <s v="Tarja Vermelha"/>
    <s v="N"/>
    <s v="P"/>
    <s v="M"/>
    <n v="2930313"/>
    <n v="16580280"/>
    <n v="37663082.909999996"/>
    <x v="14"/>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3950"/>
    <s v="30049099"/>
    <m/>
    <n v="20140626"/>
    <s v="500502402115410"/>
    <s v="7896658001901"/>
    <s v="1057302310011"/>
    <x v="84"/>
    <x v="103"/>
    <m/>
    <s v="BRONFENIRAMINA"/>
    <s v="FENILEFRINA"/>
    <s v=""/>
    <s v=""/>
    <s v=""/>
    <m/>
    <x v="11"/>
    <s v="ACHÉ LABORATÓRIOS FARMACÊUTICOS S.A."/>
    <s v="60659463000191"/>
    <s v="BRONFENIRAMINA"/>
    <n v="0"/>
    <n v="0"/>
    <n v="0"/>
    <n v="0"/>
    <s v="-"/>
    <s v=" PREP.SISTEMICAS NASAIS"/>
    <s v=" 980-71-2"/>
    <s v="Tarja Vermelha"/>
    <s v="N"/>
    <s v="P"/>
    <s v="M"/>
    <n v="2930313"/>
    <n v="16580280"/>
    <n v="37663082.909999996"/>
    <x v="16"/>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3951"/>
    <s v="30049099"/>
    <m/>
    <n v="20140626"/>
    <s v="500502401135418"/>
    <s v="7896658001918"/>
    <s v="1057302310052"/>
    <x v="84"/>
    <x v="104"/>
    <m/>
    <s v="BRONFENIRAMINA"/>
    <s v="FENILEFRINA"/>
    <s v=""/>
    <s v=""/>
    <s v=""/>
    <m/>
    <x v="11"/>
    <s v="ACHÉ LABORATÓRIOS FARMACÊUTICOS S.A."/>
    <s v="60659463000191"/>
    <s v="BRONFENIRAMINA"/>
    <n v="0"/>
    <n v="0"/>
    <n v="0"/>
    <n v="0"/>
    <s v="-"/>
    <s v=" PREP.SISTEMICAS NASAIS"/>
    <s v=" 980-71-2"/>
    <s v="Tarja Vermelha"/>
    <s v="N"/>
    <s v="P"/>
    <s v="M"/>
    <n v="2935677"/>
    <n v="13229526"/>
    <n v="30000562.27"/>
    <x v="13"/>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3953"/>
    <s v="30049099"/>
    <m/>
    <n v="20140626"/>
    <s v="500502403138414"/>
    <s v="7896658001925"/>
    <s v="1057302310060"/>
    <x v="84"/>
    <x v="105"/>
    <m/>
    <s v="BRONFENIRAMINA"/>
    <s v="FENILEFRINA"/>
    <s v=""/>
    <s v=""/>
    <s v=""/>
    <m/>
    <x v="11"/>
    <s v="ACHÉ LABORATÓRIOS FARMACÊUTICOS S.A."/>
    <s v="60659463000191"/>
    <s v="BRONFENIRAMINA"/>
    <n v="0"/>
    <n v="0"/>
    <n v="0"/>
    <n v="0"/>
    <s v="-"/>
    <s v=" PREP.SISTEMICAS NASAIS"/>
    <s v=" 980-71-2"/>
    <s v="Tarja Vermelha"/>
    <s v="N"/>
    <s v="P"/>
    <s v="M"/>
    <n v="3488119"/>
    <n v="10692324"/>
    <n v="24262392.280000001"/>
    <x v="13"/>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3953"/>
    <s v="30049099"/>
    <m/>
    <n v="20140626"/>
    <s v="500502403138414"/>
    <s v="7896658001925"/>
    <s v="1057302310060"/>
    <x v="84"/>
    <x v="105"/>
    <m/>
    <s v="BRONFENIRAMINA"/>
    <s v="FENILEFRINA"/>
    <s v=""/>
    <s v=""/>
    <s v=""/>
    <m/>
    <x v="11"/>
    <s v="ACHÉ LABORATÓRIOS FARMACÊUTICOS S.A."/>
    <s v="60659463000191"/>
    <s v="BRONFENIRAMINA"/>
    <n v="0"/>
    <n v="0"/>
    <n v="0"/>
    <n v="0"/>
    <s v="-"/>
    <s v=" PREP.SISTEMICAS NASAIS"/>
    <s v=" 980-71-2"/>
    <s v="Tarja Vermelha"/>
    <s v="N"/>
    <s v="P"/>
    <s v="M"/>
    <n v="3488119"/>
    <n v="10692324"/>
    <n v="24262392.280000001"/>
    <x v="28"/>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874"/>
    <s v="30049099"/>
    <m/>
    <n v="20140626"/>
    <s v="502401502153418"/>
    <s v="7896317900415"/>
    <s v="1186100100017"/>
    <x v="85"/>
    <x v="106"/>
    <m/>
    <s v="CIANOCOBALAMINA"/>
    <s v="DEXAMETASONA"/>
    <s v="PIRIDOXINA"/>
    <s v="PROCAINA"/>
    <s v="TIAMINA"/>
    <m/>
    <x v="39"/>
    <s v="ATIVUS FARMACÊUTICA LTDA"/>
    <s v="64088172000141"/>
    <s v="CIANOCOBALAMINA"/>
    <n v="7"/>
    <n v="10"/>
    <n v="2"/>
    <n v="1"/>
    <s v="-"/>
    <s v=" ASS/A/REUMAT C/ESTER"/>
    <s v=" 50-02-2"/>
    <s v="Tarja Vermelha"/>
    <s v="N"/>
    <s v="E"/>
    <s v="M"/>
    <n v="283744"/>
    <n v="2617008"/>
    <n v="5998263.9699999997"/>
    <x v="25"/>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7112"/>
    <s v="30049099"/>
    <m/>
    <n v="20140626"/>
    <s v="520708401151414"/>
    <s v="7896112140221"/>
    <s v="1037000170039"/>
    <x v="86"/>
    <x v="107"/>
    <m/>
    <s v="CIANOCOBALAMINA"/>
    <s v="DEXAMETASONA"/>
    <s v="PIRIDOXINA"/>
    <s v="TIAMINA"/>
    <s v=""/>
    <m/>
    <x v="1"/>
    <s v="LABORATÓRIO TEUTO BRASILEIRO S/A"/>
    <s v="17159229000176"/>
    <s v="CIANOCOBALAMINA"/>
    <n v="7"/>
    <n v="10"/>
    <n v="2"/>
    <n v="1"/>
    <s v="+"/>
    <s v=" ASS/A/REUMAT C/ESTER"/>
    <s v=" 68-19-9"/>
    <s v="Tarja Vermelha"/>
    <s v="II"/>
    <s v="P"/>
    <s v="M"/>
    <n v="442031"/>
    <n v="3435626"/>
    <n v="7860163.21"/>
    <x v="25"/>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3469"/>
    <s v="30045090"/>
    <m/>
    <n v="20140626"/>
    <s v="508006001154411"/>
    <s v="7891317000295"/>
    <s v="1004305500013"/>
    <x v="87"/>
    <x v="108"/>
    <m/>
    <s v="DEXAMETASONA"/>
    <s v="DIPIRONA SODICA"/>
    <s v="HIDROXOCOBALAMINA"/>
    <s v=""/>
    <s v=""/>
    <m/>
    <x v="23"/>
    <s v="EUROFARMA LABORATÓRIOS S.A."/>
    <s v="61190096000192"/>
    <s v="DEXAMETASONA"/>
    <n v="10"/>
    <n v="1"/>
    <n v="0"/>
    <n v="0"/>
    <s v="-"/>
    <s v=" ASS/CORT/ESTER SIST"/>
    <s v=" 68-89-3"/>
    <s v="Tarja Vermelha"/>
    <s v="N"/>
    <s v="P"/>
    <s v="M"/>
    <n v="1189457"/>
    <n v="13314597"/>
    <n v="30440907.140000001"/>
    <x v="1"/>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7816"/>
    <s v="30049099"/>
    <m/>
    <n v="20140626"/>
    <s v="520708701171410"/>
    <s v="7896112140306"/>
    <s v="1037001710014"/>
    <x v="88"/>
    <x v="109"/>
    <m/>
    <s v="DEXAMETASONAASONA"/>
    <s v="NEOMICINA"/>
    <s v=""/>
    <s v=""/>
    <s v=""/>
    <m/>
    <x v="1"/>
    <s v="LABORATÓRIO TEUTO BRASILEIRO S/A"/>
    <s v="17159229000176"/>
    <s v="DEXAMETASONAASONA"/>
    <n v="0"/>
    <n v="2"/>
    <n v="0"/>
    <n v="0"/>
    <s v="+"/>
    <s v=" CORTICOEST OFTAL+A-INFEC"/>
    <s v=" 2392-39-4"/>
    <s v="Tarja Vermelha"/>
    <s v="II"/>
    <s v="P"/>
    <s v="M"/>
    <n v="712227"/>
    <n v="1392263"/>
    <n v="3183042.21"/>
    <x v="37"/>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5577"/>
    <s v="30033939"/>
    <m/>
    <n v="20140626"/>
    <s v="506402901119418"/>
    <s v="7896523202686"/>
    <s v="1438100880019"/>
    <x v="89"/>
    <x v="110"/>
    <m/>
    <s v="LEVONORGESTREL"/>
    <s v=""/>
    <s v=""/>
    <s v=""/>
    <s v=""/>
    <m/>
    <x v="34"/>
    <s v="CIMED INDÚSTRIA DE MEDICAMENTOS LTDA"/>
    <s v="02814497000107"/>
    <s v="LEVONORGESTREL"/>
    <n v="5"/>
    <n v="0"/>
    <n v="0"/>
    <n v="0"/>
    <s v="+"/>
    <s v=" O.HORMONAS CONTRACP.SIST"/>
    <s v=" 797-63-7"/>
    <s v="Tarja Vermelha"/>
    <s v="I"/>
    <s v="E"/>
    <s v="M"/>
    <n v="3855860"/>
    <n v="23783709"/>
    <n v="54292749.310000002"/>
    <x v="31"/>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7655"/>
    <s v="30049062"/>
    <m/>
    <n v="20140626"/>
    <s v="511503001111412"/>
    <s v="7897595600851"/>
    <s v="1004703180019"/>
    <x v="90"/>
    <x v="111"/>
    <m/>
    <s v="CLORIDRATO DE LOPERAMIDA"/>
    <s v=""/>
    <s v=""/>
    <s v=""/>
    <s v=""/>
    <m/>
    <x v="10"/>
    <s v="SANDOZ DO BRASIL INDÚSTRIA FARMACÊUTICA LTDA"/>
    <s v="61286647000116"/>
    <s v="CLORIDRATO DE LOPERAMIDA"/>
    <n v="0"/>
    <n v="0"/>
    <n v="0"/>
    <n v="0"/>
    <s v="-"/>
    <s v=" INIBIDORES DA MOTILIDADE"/>
    <s v=" 34552-83-5"/>
    <s v="Tarja Vermelha"/>
    <s v="N"/>
    <s v="P"/>
    <s v="M"/>
    <n v="1235551"/>
    <n v="4490895"/>
    <n v="10271031.32"/>
    <x v="27"/>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806"/>
    <s v="30049037"/>
    <m/>
    <n v="20140626"/>
    <s v="519018601165114"/>
    <s v="7896714204413"/>
    <s v="1728703200011"/>
    <x v="91"/>
    <x v="112"/>
    <m/>
    <s v="DICLOFENACO DIETILAMONIO"/>
    <s v=""/>
    <s v=""/>
    <s v=""/>
    <s v=""/>
    <m/>
    <x v="35"/>
    <s v="LABORATÓRIO NEO QUÍMICA COMÉRCIO E INDÚSTRIA LTDA"/>
    <s v="29785870000103"/>
    <s v="DICLOFENACO DIETILAMONIO"/>
    <n v="1"/>
    <n v="0"/>
    <n v="0"/>
    <n v="0"/>
    <s v="-"/>
    <s v=" ANTIREUMATICOS/ANALG TOP"/>
    <m/>
    <s v="Venda Livre"/>
    <s v="N"/>
    <s v="E"/>
    <s v="G"/>
    <n v="1241951"/>
    <n v="3784870"/>
    <n v="8649668.3100000005"/>
    <x v="38"/>
    <n v="2.1"/>
    <n v="9.9"/>
    <n v="3.27"/>
    <n v="3.12"/>
    <n v="1.35"/>
    <n v="18"/>
    <n v="12"/>
    <n v="17"/>
    <n v="17"/>
    <n v="19"/>
    <n v="12"/>
    <n v="17"/>
    <n v="17"/>
    <n v="17"/>
    <n v="17"/>
    <n v="17"/>
    <n v="17"/>
    <n v="17"/>
    <n v="17"/>
    <n v="17"/>
    <n v="17"/>
    <n v="37.74"/>
    <n v="31.740000000000002"/>
    <n v="36.74"/>
    <n v="36.74"/>
    <n v="38.74"/>
    <n v="31.740000000000002"/>
    <n v="36.74"/>
    <n v="36.74"/>
    <n v="36.74"/>
    <n v="36.74"/>
    <n v="36.74"/>
    <n v="36.74"/>
    <n v="36.74"/>
    <n v="36.74"/>
    <n v="36.74"/>
    <n v="36.74"/>
    <n v="36.302500000000002"/>
    <m/>
    <m/>
  </r>
  <r>
    <n v="847"/>
    <s v="30049037"/>
    <m/>
    <n v="20140626"/>
    <s v="520708901162113"/>
    <s v="7896112147701"/>
    <s v="1037003440014"/>
    <x v="92"/>
    <x v="112"/>
    <m/>
    <s v="DICLOFENACO DIETILAMONIO"/>
    <s v=""/>
    <s v=""/>
    <s v=""/>
    <s v=""/>
    <m/>
    <x v="1"/>
    <s v="LABORATÓRIO TEUTO BRASILEIRO S/A"/>
    <s v="17159229000176"/>
    <s v="DICLOFENACO DIETILAMONIO"/>
    <n v="1"/>
    <n v="0"/>
    <n v="0"/>
    <n v="0"/>
    <s v="-"/>
    <s v=" ANTIREUMATICOS/ANALG TOP"/>
    <s v=" 78213-16-8"/>
    <s v="Venda Livre"/>
    <s v="N"/>
    <s v="E"/>
    <s v="G"/>
    <n v="1424727"/>
    <n v="4781353"/>
    <n v="10892223.91"/>
    <x v="38"/>
    <n v="2.1"/>
    <n v="9.9"/>
    <n v="3.27"/>
    <n v="3.12"/>
    <n v="1.35"/>
    <n v="18"/>
    <n v="12"/>
    <n v="17"/>
    <n v="17"/>
    <n v="19"/>
    <n v="12"/>
    <n v="17"/>
    <n v="17"/>
    <n v="17"/>
    <n v="17"/>
    <n v="17"/>
    <n v="17"/>
    <n v="17"/>
    <n v="17"/>
    <n v="17"/>
    <n v="17"/>
    <n v="37.74"/>
    <n v="31.740000000000002"/>
    <n v="36.74"/>
    <n v="36.74"/>
    <n v="38.74"/>
    <n v="31.740000000000002"/>
    <n v="36.74"/>
    <n v="36.74"/>
    <n v="36.74"/>
    <n v="36.74"/>
    <n v="36.74"/>
    <n v="36.74"/>
    <n v="36.74"/>
    <n v="36.74"/>
    <n v="36.74"/>
    <n v="36.74"/>
    <n v="36.302500000000002"/>
    <m/>
    <m/>
  </r>
  <r>
    <n v="856"/>
    <s v="30049037"/>
    <m/>
    <n v="20140626"/>
    <s v="525004601162118"/>
    <s v="7896422504256"/>
    <s v="1018103330011"/>
    <x v="93"/>
    <x v="113"/>
    <m/>
    <s v="DICLOFENACO DIETILAMONIO"/>
    <s v=""/>
    <s v=""/>
    <s v=""/>
    <s v=""/>
    <m/>
    <x v="15"/>
    <s v="MEDLEY INDÚSTRIA FARMACÊUTICA LTDA"/>
    <s v="50929710000179"/>
    <s v="DICLOFENACO DIETILAMONIO"/>
    <n v="1"/>
    <n v="0"/>
    <n v="0"/>
    <n v="0"/>
    <s v="-"/>
    <s v=" ANTIREUMATICOS/ANALG TOP"/>
    <s v=" 78213-16-8"/>
    <s v="Venda Livre"/>
    <s v="N"/>
    <s v="E"/>
    <s v="G"/>
    <n v="1576041"/>
    <n v="6503537"/>
    <n v="14838761.619999999"/>
    <x v="38"/>
    <n v="2.1"/>
    <n v="9.9"/>
    <n v="3.27"/>
    <n v="3.12"/>
    <n v="1.35"/>
    <n v="18"/>
    <n v="12"/>
    <n v="17"/>
    <n v="17"/>
    <n v="19"/>
    <n v="12"/>
    <n v="17"/>
    <n v="17"/>
    <n v="17"/>
    <n v="17"/>
    <n v="17"/>
    <n v="17"/>
    <n v="17"/>
    <n v="17"/>
    <n v="17"/>
    <n v="17"/>
    <n v="37.74"/>
    <n v="31.740000000000002"/>
    <n v="36.74"/>
    <n v="36.74"/>
    <n v="38.74"/>
    <n v="31.740000000000002"/>
    <n v="36.74"/>
    <n v="36.74"/>
    <n v="36.74"/>
    <n v="36.74"/>
    <n v="36.74"/>
    <n v="36.74"/>
    <n v="36.74"/>
    <n v="36.74"/>
    <n v="36.74"/>
    <n v="36.74"/>
    <n v="36.302500000000002"/>
    <m/>
    <m/>
  </r>
  <r>
    <n v="1047"/>
    <s v="30049069"/>
    <m/>
    <n v="20140626"/>
    <s v="500512050043006"/>
    <s v="7896658016790"/>
    <s v="1057304270066"/>
    <x v="94"/>
    <x v="114"/>
    <m/>
    <s v="DICLORATO DE BETAISTINA"/>
    <s v=""/>
    <s v=""/>
    <s v=""/>
    <s v=""/>
    <m/>
    <x v="11"/>
    <s v="ACHÉ LABORATÓRIOS FARMACÊUTICOS S.A."/>
    <s v="60659463000191"/>
    <s v="DICLORATO DE BETAISTINA"/>
    <n v="0"/>
    <n v="0"/>
    <n v="0"/>
    <n v="0"/>
    <s v="-"/>
    <s v=" ANTIVERTIGINOSOS"/>
    <m/>
    <s v="Tarja Vermelha"/>
    <s v="N"/>
    <s v="P"/>
    <s v="G"/>
    <n v="717576"/>
    <n v="6374008"/>
    <n v="14561900.710000001"/>
    <x v="39"/>
    <n v="2.1"/>
    <n v="9.9"/>
    <n v="3.27"/>
    <n v="3.12"/>
    <n v="1.35"/>
    <n v="18"/>
    <n v="12"/>
    <n v="17"/>
    <n v="17"/>
    <n v="19"/>
    <n v="12"/>
    <n v="17"/>
    <n v="17"/>
    <n v="17"/>
    <n v="17"/>
    <n v="17"/>
    <n v="17"/>
    <n v="17"/>
    <n v="17"/>
    <n v="17"/>
    <n v="17"/>
    <n v="37.74"/>
    <n v="31.740000000000002"/>
    <n v="36.74"/>
    <n v="36.74"/>
    <n v="38.74"/>
    <n v="31.740000000000002"/>
    <n v="36.74"/>
    <n v="36.74"/>
    <n v="36.74"/>
    <n v="36.74"/>
    <n v="36.74"/>
    <n v="36.74"/>
    <n v="36.74"/>
    <n v="36.74"/>
    <n v="36.74"/>
    <n v="36.74"/>
    <n v="36.302500000000002"/>
    <m/>
    <m/>
  </r>
  <r>
    <n v="2092"/>
    <s v="30049079"/>
    <m/>
    <n v="20140626"/>
    <s v="520724802114112"/>
    <s v="7896112123170"/>
    <s v="1037004580030"/>
    <x v="95"/>
    <x v="115"/>
    <m/>
    <s v="DIGOXINA"/>
    <s v=""/>
    <s v=""/>
    <s v=""/>
    <s v=""/>
    <m/>
    <x v="1"/>
    <s v="LABORATÓRIO TEUTO BRASILEIRO S/A"/>
    <s v="17159229000176"/>
    <s v="DIGOXINA"/>
    <n v="1"/>
    <n v="0"/>
    <n v="0"/>
    <n v="0"/>
    <s v="+"/>
    <s v=" CARDIOGLICOSIDEOS PUROS"/>
    <s v=" 20830-75-5"/>
    <s v="Tarja Vermelha"/>
    <s v="I"/>
    <s v="E"/>
    <s v="G"/>
    <n v="498588"/>
    <n v="1682887"/>
    <n v="3858283.29"/>
    <x v="40"/>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2108"/>
    <s v="30049079"/>
    <m/>
    <n v="20140626"/>
    <s v="510602302111317"/>
    <s v="7896269901072"/>
    <s v="1010702000038"/>
    <x v="95"/>
    <x v="116"/>
    <m/>
    <s v="DIGOXINA"/>
    <s v=""/>
    <s v=""/>
    <s v=""/>
    <s v=""/>
    <m/>
    <x v="40"/>
    <s v="GLAXOSMITHKLINE BRASIL LTDA"/>
    <s v="33247743000110"/>
    <s v="DIGOXINA"/>
    <n v="1"/>
    <n v="0"/>
    <n v="0"/>
    <n v="0"/>
    <s v="+"/>
    <s v=" CARDIOGLICOSIDEOS PUROS"/>
    <s v=" 20830-75-5"/>
    <s v="Tarja Vermelha"/>
    <s v="I"/>
    <s v="E"/>
    <s v="R"/>
    <n v="393201"/>
    <n v="1706594"/>
    <n v="3897517.57"/>
    <x v="40"/>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2153"/>
    <s v="30049099"/>
    <m/>
    <n v="20140626"/>
    <s v="525005201133119"/>
    <s v="7896422505673"/>
    <s v="1018103810021"/>
    <x v="96"/>
    <x v="117"/>
    <s v="simeticona"/>
    <s v="SIMETICONA"/>
    <s v=""/>
    <s v=""/>
    <s v=""/>
    <s v=""/>
    <m/>
    <x v="15"/>
    <s v="MEDLEY INDÚSTRIA FARMACÊUTICA LTDA"/>
    <s v="50929710000179"/>
    <s v="SIMETICONA"/>
    <n v="0"/>
    <n v="0"/>
    <n v="0"/>
    <n v="0"/>
    <s v="-"/>
    <s v=" ANTIFLAT.PUROS/CARMINATI."/>
    <s v=" 9006-65-9"/>
    <s v="Venda Livre"/>
    <s v="N"/>
    <s v="E"/>
    <s v="G"/>
    <n v="2931535"/>
    <n v="12096752"/>
    <n v="27554454.280000001"/>
    <x v="41"/>
    <n v="2.1"/>
    <n v="9.9"/>
    <n v="3.27"/>
    <n v="3.12"/>
    <n v="1.35"/>
    <n v="18"/>
    <n v="12"/>
    <n v="17"/>
    <n v="17"/>
    <n v="19"/>
    <n v="12"/>
    <n v="17"/>
    <n v="17"/>
    <n v="17"/>
    <n v="17"/>
    <n v="17"/>
    <n v="17"/>
    <n v="17"/>
    <n v="17"/>
    <n v="17"/>
    <n v="17"/>
    <n v="37.74"/>
    <n v="31.740000000000002"/>
    <n v="36.74"/>
    <n v="36.74"/>
    <n v="38.74"/>
    <n v="31.740000000000002"/>
    <n v="36.74"/>
    <n v="36.74"/>
    <n v="36.74"/>
    <n v="36.74"/>
    <n v="36.74"/>
    <n v="36.74"/>
    <n v="36.74"/>
    <n v="36.74"/>
    <n v="36.74"/>
    <n v="36.74"/>
    <n v="36.302500000000002"/>
    <m/>
    <m/>
  </r>
  <r>
    <n v="2269"/>
    <s v="30049099"/>
    <m/>
    <n v="20140626"/>
    <s v="500502901111410"/>
    <s v="7896658006043"/>
    <s v="1057302480012"/>
    <x v="97"/>
    <x v="118"/>
    <s v="Diosmina"/>
    <s v="DIOSMINA"/>
    <s v="HESPERIDINA"/>
    <s v=""/>
    <s v=""/>
    <s v=""/>
    <m/>
    <x v="11"/>
    <s v="ACHÉ LABORATÓRIOS FARMACÊUTICOS S.A."/>
    <s v="60659463000191"/>
    <s v="DIOSMINA"/>
    <n v="0"/>
    <n v="0"/>
    <n v="0"/>
    <n v="0"/>
    <s v="-"/>
    <s v=" VASOPROTETORES SIST"/>
    <s v=" 520-27-4"/>
    <s v="Tarja Vermelha"/>
    <s v="N"/>
    <s v="P"/>
    <s v="M"/>
    <n v="723005"/>
    <n v="13000880"/>
    <n v="29705647.059999999"/>
    <x v="36"/>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3386"/>
    <s v="30049099"/>
    <m/>
    <n v="20140626"/>
    <s v="525101305130411"/>
    <s v="7896862940027"/>
    <s v="1091700150047"/>
    <x v="98"/>
    <x v="119"/>
    <m/>
    <s v="DIPIRONA SODICA"/>
    <s v=""/>
    <s v=""/>
    <s v=""/>
    <s v=""/>
    <m/>
    <x v="41"/>
    <s v="MEDQUIMICA INDÚSTRIA FARMACÊUTICA S.A"/>
    <s v="17875154000120"/>
    <s v="DIPIRONA SODICA"/>
    <n v="1"/>
    <n v="0"/>
    <n v="0"/>
    <n v="0"/>
    <s v="-"/>
    <s v=" ANALG NAO NARCOT/A/PIRET"/>
    <s v=" 68-89-3"/>
    <s v="Venda Livre"/>
    <s v="N"/>
    <s v="P"/>
    <s v="M"/>
    <n v="9091226"/>
    <n v="10601439"/>
    <n v="24141973.27"/>
    <x v="13"/>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3386"/>
    <s v="30049099"/>
    <m/>
    <n v="20140626"/>
    <s v="525101305130411"/>
    <s v="7896862940027"/>
    <s v="1091700150047"/>
    <x v="98"/>
    <x v="119"/>
    <m/>
    <s v="DIPIRONA SODICA"/>
    <s v=""/>
    <s v=""/>
    <s v=""/>
    <s v=""/>
    <m/>
    <x v="41"/>
    <s v="MEDQUIMICA INDÚSTRIA FARMACÊUTICA S.A"/>
    <s v="17875154000120"/>
    <s v="DIPIRONA SODICA"/>
    <n v="1"/>
    <n v="0"/>
    <n v="0"/>
    <n v="0"/>
    <s v="-"/>
    <s v=" ANALG NAO NARCOT/A/PIRET"/>
    <s v=" 68-89-3"/>
    <s v="Venda Livre"/>
    <s v="N"/>
    <s v="P"/>
    <s v="M"/>
    <n v="9091226"/>
    <n v="10601439"/>
    <n v="24141973.27"/>
    <x v="14"/>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3386"/>
    <s v="30049099"/>
    <m/>
    <n v="20140626"/>
    <s v="525101305130411"/>
    <s v="7896862940027"/>
    <s v="1091700150047"/>
    <x v="98"/>
    <x v="119"/>
    <m/>
    <s v="DIPIRONA SODICA"/>
    <s v=""/>
    <s v=""/>
    <s v=""/>
    <s v=""/>
    <m/>
    <x v="41"/>
    <s v="MEDQUIMICA INDÚSTRIA FARMACÊUTICA S.A"/>
    <s v="17875154000120"/>
    <s v="DIPIRONA SODICA"/>
    <n v="1"/>
    <n v="0"/>
    <n v="0"/>
    <n v="0"/>
    <s v="-"/>
    <s v=" ANALG NAO NARCOT/A/PIRET"/>
    <s v=" 68-89-3"/>
    <s v="Venda Livre"/>
    <s v="N"/>
    <s v="P"/>
    <s v="M"/>
    <n v="9091226"/>
    <n v="10601439"/>
    <n v="24141973.27"/>
    <x v="15"/>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3386"/>
    <s v="30049099"/>
    <m/>
    <n v="20140626"/>
    <s v="525101305130411"/>
    <s v="7896862940027"/>
    <s v="1091700150047"/>
    <x v="98"/>
    <x v="119"/>
    <m/>
    <s v="DIPIRONA SODICA"/>
    <s v=""/>
    <s v=""/>
    <s v=""/>
    <s v=""/>
    <m/>
    <x v="41"/>
    <s v="MEDQUIMICA INDÚSTRIA FARMACÊUTICA S.A"/>
    <s v="17875154000120"/>
    <s v="DIPIRONA SODICA"/>
    <n v="1"/>
    <n v="0"/>
    <n v="0"/>
    <n v="0"/>
    <s v="-"/>
    <s v=" ANALG NAO NARCOT/A/PIRET"/>
    <s v=" 68-89-3"/>
    <s v="Venda Livre"/>
    <s v="N"/>
    <s v="P"/>
    <s v="M"/>
    <n v="9091226"/>
    <n v="10601439"/>
    <n v="24141973.27"/>
    <x v="7"/>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3386"/>
    <s v="30049099"/>
    <m/>
    <n v="20140626"/>
    <s v="525101305130411"/>
    <s v="7896862940027"/>
    <s v="1091700150047"/>
    <x v="98"/>
    <x v="119"/>
    <m/>
    <s v="DIPIRONA SODICA"/>
    <s v=""/>
    <s v=""/>
    <s v=""/>
    <s v=""/>
    <m/>
    <x v="41"/>
    <s v="MEDQUIMICA INDÚSTRIA FARMACÊUTICA S.A"/>
    <s v="17875154000120"/>
    <s v="DIPIRONA SODICA"/>
    <n v="1"/>
    <n v="0"/>
    <n v="0"/>
    <n v="0"/>
    <s v="-"/>
    <s v=" ANALG NAO NARCOT/A/PIRET"/>
    <s v=" 68-89-3"/>
    <s v="Venda Livre"/>
    <s v="N"/>
    <s v="P"/>
    <s v="M"/>
    <n v="9091226"/>
    <n v="10601439"/>
    <n v="24141973.27"/>
    <x v="22"/>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3393"/>
    <s v="30049099"/>
    <m/>
    <n v="20140626"/>
    <s v="525101306137411"/>
    <s v="7896862940058"/>
    <s v="1091700150047"/>
    <x v="98"/>
    <x v="120"/>
    <m/>
    <s v="DIPIRONA SODICA"/>
    <s v=""/>
    <s v=""/>
    <s v=""/>
    <s v=""/>
    <m/>
    <x v="41"/>
    <s v="MEDQUIMICA INDÚSTRIA FARMACÊUTICA S.A"/>
    <s v="17875154000120"/>
    <s v="DIPIRONA SODICA"/>
    <n v="1"/>
    <n v="0"/>
    <n v="0"/>
    <n v="0"/>
    <s v="-"/>
    <s v=" ANALG NAO NARCOT/A/PIRET"/>
    <s v=" 68-89-3"/>
    <s v="Venda Livre"/>
    <s v="N"/>
    <s v="P"/>
    <s v="M"/>
    <n v="6116125"/>
    <n v="12659844"/>
    <n v="28825478.34"/>
    <x v="13"/>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3393"/>
    <s v="30049099"/>
    <m/>
    <n v="20140626"/>
    <s v="525101306137411"/>
    <s v="7896862940058"/>
    <s v="1091700150047"/>
    <x v="98"/>
    <x v="120"/>
    <m/>
    <s v="DIPIRONA SODICA"/>
    <s v=""/>
    <s v=""/>
    <s v=""/>
    <s v=""/>
    <m/>
    <x v="41"/>
    <s v="MEDQUIMICA INDÚSTRIA FARMACÊUTICA S.A"/>
    <s v="17875154000120"/>
    <s v="DIPIRONA SODICA"/>
    <n v="1"/>
    <n v="0"/>
    <n v="0"/>
    <n v="0"/>
    <s v="-"/>
    <s v=" ANALG NAO NARCOT/A/PIRET"/>
    <s v=" 68-89-3"/>
    <s v="Venda Livre"/>
    <s v="N"/>
    <s v="P"/>
    <s v="M"/>
    <n v="6116125"/>
    <n v="12659844"/>
    <n v="28825478.34"/>
    <x v="15"/>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3393"/>
    <s v="30049099"/>
    <m/>
    <n v="20140626"/>
    <s v="525101306137411"/>
    <s v="7896862940058"/>
    <s v="1091700150047"/>
    <x v="98"/>
    <x v="120"/>
    <m/>
    <s v="DIPIRONA SODICA"/>
    <s v=""/>
    <s v=""/>
    <s v=""/>
    <s v=""/>
    <m/>
    <x v="41"/>
    <s v="MEDQUIMICA INDÚSTRIA FARMACÊUTICA S.A"/>
    <s v="17875154000120"/>
    <s v="DIPIRONA SODICA"/>
    <n v="1"/>
    <n v="0"/>
    <n v="0"/>
    <n v="0"/>
    <s v="-"/>
    <s v=" ANALG NAO NARCOT/A/PIRET"/>
    <s v=" 68-89-3"/>
    <s v="Venda Livre"/>
    <s v="N"/>
    <s v="P"/>
    <s v="M"/>
    <n v="6116125"/>
    <n v="12659844"/>
    <n v="28825478.34"/>
    <x v="7"/>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3393"/>
    <s v="30049099"/>
    <m/>
    <n v="20140626"/>
    <s v="525101306137411"/>
    <s v="7896862940058"/>
    <s v="1091700150047"/>
    <x v="98"/>
    <x v="120"/>
    <m/>
    <s v="DIPIRONA SODICA"/>
    <s v=""/>
    <s v=""/>
    <s v=""/>
    <s v=""/>
    <m/>
    <x v="41"/>
    <s v="MEDQUIMICA INDÚSTRIA FARMACÊUTICA S.A"/>
    <s v="17875154000120"/>
    <s v="DIPIRONA SODICA"/>
    <n v="1"/>
    <n v="0"/>
    <n v="0"/>
    <n v="0"/>
    <s v="-"/>
    <s v=" ANALG NAO NARCOT/A/PIRET"/>
    <s v=" 68-89-3"/>
    <s v="Venda Livre"/>
    <s v="N"/>
    <s v="P"/>
    <s v="M"/>
    <n v="6116125"/>
    <n v="12659844"/>
    <n v="28825478.34"/>
    <x v="22"/>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293"/>
    <s v="30049069"/>
    <m/>
    <n v="20140626"/>
    <s v="507710703138128"/>
    <s v="7896004715841"/>
    <s v="1023504350018"/>
    <x v="99"/>
    <x v="121"/>
    <m/>
    <s v="DIPIRONA SODICA"/>
    <s v=""/>
    <s v=""/>
    <s v=""/>
    <s v=""/>
    <m/>
    <x v="2"/>
    <s v="EMS S/A"/>
    <s v="57507378000101"/>
    <s v="DIPIRONA SODICA"/>
    <n v="1"/>
    <n v="0"/>
    <n v="0"/>
    <n v="0"/>
    <s v="-"/>
    <s v=" ANALG NAO NARCOT/A/PIRET"/>
    <s v=" 68-89-3"/>
    <s v="Venda Livre"/>
    <s v="N"/>
    <s v="P"/>
    <s v="G"/>
    <n v="3001664"/>
    <n v="4048502"/>
    <n v="9237535.5"/>
    <x v="7"/>
    <n v="2.1"/>
    <n v="9.9"/>
    <n v="3.27"/>
    <n v="3.12"/>
    <n v="1.35"/>
    <n v="18"/>
    <n v="12"/>
    <n v="17"/>
    <n v="17"/>
    <n v="19"/>
    <n v="12"/>
    <n v="17"/>
    <n v="17"/>
    <n v="17"/>
    <n v="17"/>
    <n v="17"/>
    <n v="17"/>
    <n v="17"/>
    <n v="17"/>
    <n v="17"/>
    <n v="17"/>
    <n v="37.74"/>
    <n v="31.740000000000002"/>
    <n v="36.74"/>
    <n v="36.74"/>
    <n v="38.74"/>
    <n v="31.740000000000002"/>
    <n v="36.74"/>
    <n v="36.74"/>
    <n v="36.74"/>
    <n v="36.74"/>
    <n v="36.74"/>
    <n v="36.74"/>
    <n v="36.74"/>
    <n v="36.74"/>
    <n v="36.74"/>
    <n v="36.74"/>
    <n v="36.302500000000002"/>
    <m/>
    <m/>
  </r>
  <r>
    <n v="2293"/>
    <s v="30049069"/>
    <m/>
    <n v="20140626"/>
    <s v="507710703138128"/>
    <s v="7896004715841"/>
    <s v="1023504350018"/>
    <x v="99"/>
    <x v="121"/>
    <m/>
    <s v="DIPIRONA SODICA"/>
    <s v=""/>
    <s v=""/>
    <s v=""/>
    <s v=""/>
    <m/>
    <x v="2"/>
    <s v="EMS S/A"/>
    <s v="57507378000101"/>
    <s v="DIPIRONA SODICA"/>
    <n v="1"/>
    <n v="0"/>
    <n v="0"/>
    <n v="0"/>
    <s v="-"/>
    <s v=" ANALG NAO NARCOT/A/PIRET"/>
    <s v=" 68-89-3"/>
    <s v="Venda Livre"/>
    <s v="N"/>
    <s v="P"/>
    <s v="G"/>
    <n v="3001664"/>
    <n v="4048502"/>
    <n v="9237535.5"/>
    <x v="42"/>
    <n v="2.1"/>
    <n v="9.9"/>
    <n v="3.27"/>
    <n v="3.12"/>
    <n v="1.35"/>
    <n v="18"/>
    <n v="12"/>
    <n v="17"/>
    <n v="17"/>
    <n v="19"/>
    <n v="12"/>
    <n v="17"/>
    <n v="17"/>
    <n v="17"/>
    <n v="17"/>
    <n v="17"/>
    <n v="17"/>
    <n v="17"/>
    <n v="17"/>
    <n v="17"/>
    <n v="17"/>
    <n v="37.74"/>
    <n v="31.740000000000002"/>
    <n v="36.74"/>
    <n v="36.74"/>
    <n v="38.74"/>
    <n v="31.740000000000002"/>
    <n v="36.74"/>
    <n v="36.74"/>
    <n v="36.74"/>
    <n v="36.74"/>
    <n v="36.74"/>
    <n v="36.74"/>
    <n v="36.74"/>
    <n v="36.74"/>
    <n v="36.74"/>
    <n v="36.74"/>
    <n v="36.302500000000002"/>
    <m/>
    <m/>
  </r>
  <r>
    <n v="2294"/>
    <s v="30049069"/>
    <m/>
    <n v="20140626"/>
    <s v="507710704134126"/>
    <s v="7896004718446"/>
    <s v="1023504350034"/>
    <x v="99"/>
    <x v="122"/>
    <m/>
    <s v="DIPIRONA SODICA"/>
    <s v=""/>
    <s v=""/>
    <s v=""/>
    <s v=""/>
    <m/>
    <x v="2"/>
    <s v="EMS S/A"/>
    <s v="57507378000101"/>
    <s v="DIPIRONA SODICA"/>
    <n v="1"/>
    <n v="0"/>
    <n v="0"/>
    <n v="0"/>
    <s v="-"/>
    <s v=" ANALG NAO NARCOT/A/PIRET"/>
    <s v=" 68-89-3"/>
    <s v="Venda Livre"/>
    <s v="N"/>
    <s v="P"/>
    <s v="G"/>
    <n v="3025704"/>
    <n v="7498617"/>
    <n v="17085712.440000001"/>
    <x v="7"/>
    <n v="2.1"/>
    <n v="9.9"/>
    <n v="3.27"/>
    <n v="3.12"/>
    <n v="1.35"/>
    <n v="18"/>
    <n v="12"/>
    <n v="17"/>
    <n v="17"/>
    <n v="19"/>
    <n v="12"/>
    <n v="17"/>
    <n v="17"/>
    <n v="17"/>
    <n v="17"/>
    <n v="17"/>
    <n v="17"/>
    <n v="17"/>
    <n v="17"/>
    <n v="17"/>
    <n v="17"/>
    <n v="37.74"/>
    <n v="31.740000000000002"/>
    <n v="36.74"/>
    <n v="36.74"/>
    <n v="38.74"/>
    <n v="31.740000000000002"/>
    <n v="36.74"/>
    <n v="36.74"/>
    <n v="36.74"/>
    <n v="36.74"/>
    <n v="36.74"/>
    <n v="36.74"/>
    <n v="36.74"/>
    <n v="36.74"/>
    <n v="36.74"/>
    <n v="36.74"/>
    <n v="36.302500000000002"/>
    <m/>
    <m/>
  </r>
  <r>
    <n v="2294"/>
    <s v="30049069"/>
    <m/>
    <n v="20140626"/>
    <s v="507710704134126"/>
    <s v="7896004718446"/>
    <s v="1023504350034"/>
    <x v="99"/>
    <x v="122"/>
    <m/>
    <s v="DIPIRONA SODICA"/>
    <s v=""/>
    <s v=""/>
    <s v=""/>
    <s v=""/>
    <m/>
    <x v="2"/>
    <s v="EMS S/A"/>
    <s v="57507378000101"/>
    <s v="DIPIRONA SODICA"/>
    <n v="1"/>
    <n v="0"/>
    <n v="0"/>
    <n v="0"/>
    <s v="-"/>
    <s v=" ANALG NAO NARCOT/A/PIRET"/>
    <s v=" 68-89-3"/>
    <s v="Venda Livre"/>
    <s v="N"/>
    <s v="P"/>
    <s v="G"/>
    <n v="3025704"/>
    <n v="7498617"/>
    <n v="17085712.440000001"/>
    <x v="42"/>
    <n v="2.1"/>
    <n v="9.9"/>
    <n v="3.27"/>
    <n v="3.12"/>
    <n v="1.35"/>
    <n v="18"/>
    <n v="12"/>
    <n v="17"/>
    <n v="17"/>
    <n v="19"/>
    <n v="12"/>
    <n v="17"/>
    <n v="17"/>
    <n v="17"/>
    <n v="17"/>
    <n v="17"/>
    <n v="17"/>
    <n v="17"/>
    <n v="17"/>
    <n v="17"/>
    <n v="17"/>
    <n v="37.74"/>
    <n v="31.740000000000002"/>
    <n v="36.74"/>
    <n v="36.74"/>
    <n v="38.74"/>
    <n v="31.740000000000002"/>
    <n v="36.74"/>
    <n v="36.74"/>
    <n v="36.74"/>
    <n v="36.74"/>
    <n v="36.74"/>
    <n v="36.74"/>
    <n v="36.74"/>
    <n v="36.74"/>
    <n v="36.74"/>
    <n v="36.74"/>
    <n v="36.302500000000002"/>
    <m/>
    <m/>
  </r>
  <r>
    <n v="3332"/>
    <s v="30049069"/>
    <m/>
    <n v="20140626"/>
    <s v="504612120014716"/>
    <s v="7896714201177"/>
    <s v="1046502630012"/>
    <x v="99"/>
    <x v="121"/>
    <m/>
    <s v="DIPIRONA SODICA"/>
    <s v=""/>
    <s v=""/>
    <s v=""/>
    <s v=""/>
    <m/>
    <x v="35"/>
    <s v="BRAINFARMA INDÚSTRIA QUÍMICA E FARMACÊUTICA S.A"/>
    <s v="05161069000110"/>
    <s v="DIPIRONA SODICA"/>
    <n v="1"/>
    <n v="0"/>
    <n v="0"/>
    <n v="0"/>
    <s v="-"/>
    <s v=" ANALG NAO NARCOT/A/PIRET"/>
    <s v=" 68-89-3"/>
    <s v="Venda Livre"/>
    <s v="N"/>
    <s v="P"/>
    <s v="G"/>
    <n v="2415851"/>
    <n v="3433698"/>
    <n v="7805105.5300000003"/>
    <x v="42"/>
    <n v="2.1"/>
    <n v="9.9"/>
    <n v="3.27"/>
    <n v="3.12"/>
    <n v="1.35"/>
    <n v="18"/>
    <n v="12"/>
    <n v="17"/>
    <n v="17"/>
    <n v="19"/>
    <n v="12"/>
    <n v="17"/>
    <n v="17"/>
    <n v="17"/>
    <n v="17"/>
    <n v="17"/>
    <n v="17"/>
    <n v="17"/>
    <n v="17"/>
    <n v="17"/>
    <n v="17"/>
    <n v="37.74"/>
    <n v="31.740000000000002"/>
    <n v="36.74"/>
    <n v="36.74"/>
    <n v="38.74"/>
    <n v="31.740000000000002"/>
    <n v="36.74"/>
    <n v="36.74"/>
    <n v="36.74"/>
    <n v="36.74"/>
    <n v="36.74"/>
    <n v="36.74"/>
    <n v="36.74"/>
    <n v="36.74"/>
    <n v="36.74"/>
    <n v="36.74"/>
    <n v="36.302500000000002"/>
    <m/>
    <m/>
  </r>
  <r>
    <n v="23317"/>
    <s v="30039079"/>
    <m/>
    <n v="20140626"/>
    <s v="501600601110317"/>
    <s v="7896637022767"/>
    <s v="1011801300021"/>
    <x v="100"/>
    <x v="123"/>
    <m/>
    <s v="TRAZODONA"/>
    <s v=""/>
    <s v=""/>
    <s v=""/>
    <s v=""/>
    <m/>
    <x v="13"/>
    <s v="APSEN FARMACEUTICA S/A"/>
    <s v="62462015000129"/>
    <s v="TRAZODONA"/>
    <n v="1"/>
    <n v="0"/>
    <n v="0"/>
    <n v="0"/>
    <s v="+"/>
    <s v=" ANTI-DEPRES.TOD.OUTROS"/>
    <s v=" 25332-39-2"/>
    <s v="Tarja Vermelha"/>
    <s v="I"/>
    <s v="P"/>
    <s v="R"/>
    <n v="745192"/>
    <n v="14957852"/>
    <n v="34129724.020000003"/>
    <x v="23"/>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5125"/>
    <s v="30049039"/>
    <m/>
    <n v="20140626"/>
    <s v="502804003112317"/>
    <s v="7891058008611"/>
    <s v="1130001830108"/>
    <x v="101"/>
    <x v="124"/>
    <m/>
    <s v="DIPIRONA SODICA"/>
    <s v="ORFENADRINA"/>
    <s v="CAFEINA"/>
    <s v=""/>
    <s v=""/>
    <m/>
    <x v="6"/>
    <s v="SANOFI-AVENTIS FARMACÊUTICA LTDA"/>
    <s v="02685377000157"/>
    <s v="DIPIRONA SODICA"/>
    <n v="1"/>
    <n v="0"/>
    <n v="0"/>
    <n v="0"/>
    <s v="-"/>
    <s v=" REL.MUSC.ACCAO CENTRAL"/>
    <s v=" 4682-36-4"/>
    <s v="Venda Livre"/>
    <s v="N"/>
    <s v="P"/>
    <s v="R"/>
    <n v="10863491"/>
    <n v="44588604"/>
    <n v="101768410.88"/>
    <x v="43"/>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5126"/>
    <s v="30049039"/>
    <m/>
    <n v="20140626"/>
    <s v="502804002116319"/>
    <s v="7891058008628"/>
    <s v="1130001830086"/>
    <x v="101"/>
    <x v="125"/>
    <m/>
    <s v="DIPIRONA SODICA"/>
    <s v="ORFENADRINA"/>
    <s v="CAFEINA"/>
    <s v=""/>
    <s v=""/>
    <m/>
    <x v="6"/>
    <s v="SANOFI-AVENTIS FARMACÊUTICA LTDA"/>
    <s v="02685377000157"/>
    <s v="DIPIRONA SODICA"/>
    <n v="1"/>
    <n v="0"/>
    <n v="0"/>
    <n v="0"/>
    <s v="-"/>
    <s v=" REL.MUSC.ACCAO CENTRAL"/>
    <s v=" 4682-36-4"/>
    <s v="Venda Livre"/>
    <s v="N"/>
    <s v="P"/>
    <s v="R"/>
    <n v="4397078"/>
    <n v="144180962"/>
    <n v="329288150.98000002"/>
    <x v="43"/>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0244"/>
    <s v="30049039"/>
    <m/>
    <n v="20140626"/>
    <s v="501100908136315"/>
    <s v="7896641806483"/>
    <s v="1063902420120"/>
    <x v="102"/>
    <x v="126"/>
    <m/>
    <s v="DIMENIDRINATO"/>
    <s v="PIRIDOXINA"/>
    <s v=""/>
    <s v=""/>
    <s v=""/>
    <m/>
    <x v="42"/>
    <s v="TAKEDA PHARMA LTDA."/>
    <s v="60397775000174"/>
    <s v="DIMENIDRINATO"/>
    <n v="0"/>
    <n v="2"/>
    <n v="0"/>
    <n v="0"/>
    <s v="-"/>
    <s v=" OUT.ANTIEMET./ANTINAUS."/>
    <s v=" 523-87-5"/>
    <s v="Tarja Vermelha"/>
    <s v="N"/>
    <s v="P"/>
    <s v="R"/>
    <n v="2011565"/>
    <n v="9203492"/>
    <n v="21055297.219999999"/>
    <x v="29"/>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0244"/>
    <s v="30049039"/>
    <m/>
    <n v="20140626"/>
    <s v="501100908136315"/>
    <s v="7896641806483"/>
    <s v="1063902420120"/>
    <x v="102"/>
    <x v="126"/>
    <m/>
    <s v="DIMENIDRINATO"/>
    <s v="PIRIDOXINA"/>
    <s v=""/>
    <s v=""/>
    <s v=""/>
    <m/>
    <x v="42"/>
    <s v="TAKEDA PHARMA LTDA."/>
    <s v="60397775000174"/>
    <s v="DIMENIDRINATO"/>
    <n v="0"/>
    <n v="2"/>
    <n v="0"/>
    <n v="0"/>
    <s v="-"/>
    <s v=" OUT.ANTIEMET./ANTINAUS."/>
    <s v=" 523-87-5"/>
    <s v="Tarja Vermelha"/>
    <s v="N"/>
    <s v="P"/>
    <s v="R"/>
    <n v="2011565"/>
    <n v="9203492"/>
    <n v="21055297.219999999"/>
    <x v="39"/>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0244"/>
    <s v="30049039"/>
    <m/>
    <n v="20140626"/>
    <s v="501100908136315"/>
    <s v="7896641806483"/>
    <s v="1063902420120"/>
    <x v="102"/>
    <x v="126"/>
    <m/>
    <s v="DIMENIDRINATO"/>
    <s v="PIRIDOXINA"/>
    <s v=""/>
    <s v=""/>
    <s v=""/>
    <m/>
    <x v="42"/>
    <s v="TAKEDA PHARMA LTDA."/>
    <s v="60397775000174"/>
    <s v="DIMENIDRINATO"/>
    <n v="0"/>
    <n v="2"/>
    <n v="0"/>
    <n v="0"/>
    <s v="-"/>
    <s v=" OUT.ANTIEMET./ANTINAUS."/>
    <s v=" 523-87-5"/>
    <s v="Tarja Vermelha"/>
    <s v="N"/>
    <s v="P"/>
    <s v="R"/>
    <n v="2011565"/>
    <n v="9203492"/>
    <n v="21055297.219999999"/>
    <x v="30"/>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0246"/>
    <s v="30049039"/>
    <m/>
    <n v="20140626"/>
    <s v="501100907113311"/>
    <s v="7896641805943"/>
    <s v="1063902420112"/>
    <x v="102"/>
    <x v="127"/>
    <m/>
    <s v="DIMENIDRINATO"/>
    <s v="PIRIDOXINA"/>
    <s v=""/>
    <s v=""/>
    <s v=""/>
    <m/>
    <x v="42"/>
    <s v="TAKEDA PHARMA LTDA."/>
    <s v="60397775000174"/>
    <s v="DIMENIDRINATO"/>
    <n v="0"/>
    <n v="2"/>
    <n v="0"/>
    <n v="0"/>
    <s v="-"/>
    <s v=" OUT.ANTIEMET./ANTINAUS."/>
    <s v=" 523-87-5"/>
    <s v="Tarja Vermelha"/>
    <s v="N"/>
    <s v="P"/>
    <s v="R"/>
    <n v="3963119"/>
    <n v="19055991"/>
    <n v="43544694.899999999"/>
    <x v="39"/>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0246"/>
    <s v="30049039"/>
    <m/>
    <n v="20140626"/>
    <s v="501100907113311"/>
    <s v="7896641805943"/>
    <s v="1063902420112"/>
    <x v="102"/>
    <x v="127"/>
    <m/>
    <s v="DIMENIDRINATO"/>
    <s v="PIRIDOXINA"/>
    <s v=""/>
    <s v=""/>
    <s v=""/>
    <m/>
    <x v="42"/>
    <s v="TAKEDA PHARMA LTDA."/>
    <s v="60397775000174"/>
    <s v="DIMENIDRINATO"/>
    <n v="0"/>
    <n v="2"/>
    <n v="0"/>
    <n v="0"/>
    <s v="-"/>
    <s v=" OUT.ANTIEMET./ANTINAUS."/>
    <s v=" 523-87-5"/>
    <s v="Tarja Vermelha"/>
    <s v="N"/>
    <s v="P"/>
    <s v="R"/>
    <n v="3963119"/>
    <n v="19055991"/>
    <n v="43544694.899999999"/>
    <x v="30"/>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0246"/>
    <s v="30049039"/>
    <m/>
    <n v="20140626"/>
    <s v="501100907113311"/>
    <s v="7896641805943"/>
    <s v="1063902420112"/>
    <x v="102"/>
    <x v="127"/>
    <m/>
    <s v="DIMENIDRINATO"/>
    <s v="PIRIDOXINA"/>
    <s v=""/>
    <s v=""/>
    <s v=""/>
    <m/>
    <x v="42"/>
    <s v="TAKEDA PHARMA LTDA."/>
    <s v="60397775000174"/>
    <s v="DIMENIDRINATO"/>
    <n v="0"/>
    <n v="2"/>
    <n v="0"/>
    <n v="0"/>
    <s v="-"/>
    <s v=" OUT.ANTIEMET./ANTINAUS."/>
    <s v=" 523-87-5"/>
    <s v="Tarja Vermelha"/>
    <s v="N"/>
    <s v="P"/>
    <s v="R"/>
    <n v="3963119"/>
    <n v="19055991"/>
    <n v="43544694.899999999"/>
    <x v="42"/>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7694"/>
    <s v="30049039"/>
    <m/>
    <n v="20140626"/>
    <s v="524200601112417"/>
    <s v="5702157127054"/>
    <s v="1047500500063"/>
    <x v="103"/>
    <x v="128"/>
    <m/>
    <s v="MEMANTINA"/>
    <s v=""/>
    <s v=""/>
    <s v=""/>
    <s v=""/>
    <m/>
    <x v="43"/>
    <s v="LUNDBECK BRASIL LTDA"/>
    <s v="04522600000170"/>
    <s v="MEMANTINA"/>
    <n v="1"/>
    <n v="0"/>
    <n v="0"/>
    <n v="0"/>
    <s v="+"/>
    <s v=" TODOS OUT PROD ANTI-ALZH"/>
    <s v=" 19982-08-2"/>
    <s v="Tarja Vermelha"/>
    <s v="I"/>
    <s v="P"/>
    <s v="R"/>
    <n v="151644"/>
    <n v="2967861"/>
    <n v="6764938.5899999999"/>
    <x v="17"/>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3726"/>
    <s v="30066000"/>
    <m/>
    <n v="20140626"/>
    <s v="523707001111413"/>
    <s v="7896094202900"/>
    <s v="1003301440018"/>
    <x v="104"/>
    <x v="129"/>
    <s v="drospirenona"/>
    <s v="DROSPERINONA"/>
    <s v="ETINILESTRADIOL"/>
    <s v=""/>
    <s v=""/>
    <s v=""/>
    <m/>
    <x v="19"/>
    <s v="LIBBS FARMACÊUTICA LTDA"/>
    <s v="61230314000175"/>
    <s v="DROSPERINONA"/>
    <n v="0"/>
    <n v="17"/>
    <n v="0"/>
    <n v="0"/>
    <s v="+"/>
    <s v=" P.MONOF.C/ESTROG.&lt;50MCG"/>
    <s v=" 57-63-6"/>
    <s v="Tarja Vermelha"/>
    <s v="II"/>
    <s v="P"/>
    <s v="M"/>
    <n v="2541406"/>
    <n v="30386426"/>
    <n v="69360532.719999999"/>
    <x v="31"/>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5806"/>
    <s v="30051090"/>
    <m/>
    <n v="20140626"/>
    <s v="511700101176417"/>
    <s v="7896227800027"/>
    <s v="1105200010088"/>
    <x v="105"/>
    <x v="130"/>
    <s v="canfora+mentol+salicilato metila"/>
    <s v="CANFORA"/>
    <s v="MENTOL"/>
    <s v="SALICILATO METILA"/>
    <s v=""/>
    <s v=""/>
    <m/>
    <x v="44"/>
    <s v="HISAMITSU FARMACÊUTICA DO BRASIL LTDA"/>
    <s v="49383250000147"/>
    <s v="CANFORA"/>
    <n v="0"/>
    <n v="1"/>
    <n v="0"/>
    <n v="0"/>
    <s v="-"/>
    <s v=" ANTIREUMATICOS/ANALG TOP"/>
    <s v=" 119-36-8"/>
    <s v="Venda Livre"/>
    <s v="N"/>
    <s v="P"/>
    <s v="M"/>
    <n v="8813908"/>
    <n v="16214219"/>
    <n v="36992942.590000004"/>
    <x v="38"/>
    <n v="1.65"/>
    <n v="7.6"/>
    <n v="3.27"/>
    <n v="3.12"/>
    <n v="1.35"/>
    <n v="18"/>
    <n v="12"/>
    <n v="17"/>
    <n v="17"/>
    <n v="19"/>
    <n v="18"/>
    <n v="17"/>
    <n v="17"/>
    <n v="17"/>
    <n v="17"/>
    <n v="17"/>
    <n v="17"/>
    <n v="17"/>
    <n v="17"/>
    <n v="17"/>
    <n v="17"/>
    <n v="34.99"/>
    <n v="28.990000000000002"/>
    <n v="33.99"/>
    <n v="33.99"/>
    <n v="35.99"/>
    <n v="34.99"/>
    <n v="33.99"/>
    <n v="33.99"/>
    <n v="33.99"/>
    <n v="33.99"/>
    <n v="33.99"/>
    <n v="33.99"/>
    <n v="33.99"/>
    <n v="33.99"/>
    <n v="33.99"/>
    <n v="33.99"/>
    <n v="33.927500000000002"/>
    <m/>
    <m/>
  </r>
  <r>
    <n v="5806"/>
    <s v="30051090"/>
    <m/>
    <n v="20140626"/>
    <s v="511700101176417"/>
    <s v="7896227800027"/>
    <s v="1105200010088"/>
    <x v="105"/>
    <x v="130"/>
    <s v="canfora+mentol+salicilato metila"/>
    <s v="CANFORA"/>
    <s v="MENTOL"/>
    <s v="SALICILATO METILA"/>
    <s v=""/>
    <s v=""/>
    <m/>
    <x v="44"/>
    <s v="HISAMITSU FARMACÊUTICA DO BRASIL LTDA"/>
    <s v="49383250000147"/>
    <s v="CANFORA"/>
    <n v="0"/>
    <n v="1"/>
    <n v="0"/>
    <n v="0"/>
    <s v="-"/>
    <s v=" ANTIREUMATICOS/ANALG TOP"/>
    <s v=" 119-36-8"/>
    <s v="Venda Livre"/>
    <s v="N"/>
    <s v="P"/>
    <s v="M"/>
    <n v="8813908"/>
    <n v="16214219"/>
    <n v="36992942.590000004"/>
    <x v="25"/>
    <n v="1.65"/>
    <n v="7.6"/>
    <n v="3.27"/>
    <n v="3.12"/>
    <n v="1.35"/>
    <n v="18"/>
    <n v="12"/>
    <n v="17"/>
    <n v="17"/>
    <n v="19"/>
    <n v="18"/>
    <n v="17"/>
    <n v="17"/>
    <n v="17"/>
    <n v="17"/>
    <n v="17"/>
    <n v="17"/>
    <n v="17"/>
    <n v="17"/>
    <n v="17"/>
    <n v="17"/>
    <n v="34.99"/>
    <n v="28.990000000000002"/>
    <n v="33.99"/>
    <n v="33.99"/>
    <n v="35.99"/>
    <n v="34.99"/>
    <n v="33.99"/>
    <n v="33.99"/>
    <n v="33.99"/>
    <n v="33.99"/>
    <n v="33.99"/>
    <n v="33.99"/>
    <n v="33.99"/>
    <n v="33.99"/>
    <n v="33.99"/>
    <n v="33.99"/>
    <n v="33.927500000000002"/>
    <m/>
    <m/>
  </r>
  <r>
    <n v="5807"/>
    <s v="30051010"/>
    <m/>
    <n v="20140626"/>
    <s v="511700102172415"/>
    <s v="7896227800010"/>
    <s v="1105200010142"/>
    <x v="105"/>
    <x v="131"/>
    <s v="canfora+mentol+salicilato metila"/>
    <s v="CANFORA"/>
    <s v="MENTOL"/>
    <s v="SALICILATO METILA"/>
    <s v=""/>
    <s v=""/>
    <m/>
    <x v="44"/>
    <s v="HISAMITSU FARMACÊUTICA DO BRASIL LTDA"/>
    <s v="49383250000147"/>
    <s v="CANFORA"/>
    <n v="0"/>
    <n v="1"/>
    <n v="0"/>
    <n v="0"/>
    <s v="-"/>
    <s v=" ANTIREUMATICOS/ANALG TOP"/>
    <s v=" 119-36-8"/>
    <s v="Venda Livre"/>
    <s v="N"/>
    <s v="P"/>
    <s v="M"/>
    <n v="8805469"/>
    <n v="8073972"/>
    <n v="18433973.879999999"/>
    <x v="38"/>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0494"/>
    <s v="30049099"/>
    <m/>
    <n v="20140626"/>
    <s v="507741901136415"/>
    <s v="7896004727806"/>
    <s v="1023509130016"/>
    <x v="106"/>
    <x v="132"/>
    <m/>
    <s v=""/>
    <s v=""/>
    <s v=""/>
    <s v=""/>
    <s v=""/>
    <m/>
    <x v="2"/>
    <s v="EMS S/A"/>
    <s v="57507378000101"/>
    <s v=""/>
    <n v="0"/>
    <n v="0"/>
    <n v="0"/>
    <n v="0"/>
    <s v="-"/>
    <s v=" EXPECTORANTES"/>
    <s v=" 2438-32-6"/>
    <s v="Tarja Vermelha"/>
    <s v="N"/>
    <s v="P"/>
    <s v="M"/>
    <n v="1805127"/>
    <n v="9454570"/>
    <n v="21455324.280000001"/>
    <x v="44"/>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5194"/>
    <s v="30044090"/>
    <m/>
    <n v="20140626"/>
    <s v="505504701110414"/>
    <s v="7893736010053"/>
    <s v="1071500900021"/>
    <x v="107"/>
    <x v="133"/>
    <m/>
    <s v="MDIDROERGOTAMINA"/>
    <s v="DIPIRONA SODICA"/>
    <s v="CAFEINA"/>
    <s v=""/>
    <s v=""/>
    <m/>
    <x v="45"/>
    <s v="CAZI QUIMICA FARMACEUTICA INDUSTRIA E COMERCIO LTDA"/>
    <s v="44010437000181"/>
    <s v="MDIDROERGOTAMINA"/>
    <n v="0"/>
    <n v="1"/>
    <n v="0"/>
    <n v="0"/>
    <s v="-"/>
    <s v=" T OUT PREP A-ENXAQUECA"/>
    <s v=" 6190-39-2"/>
    <s v="Tarja Vermelha"/>
    <s v="N"/>
    <s v="P"/>
    <s v="M"/>
    <n v="1817060"/>
    <n v="7663035"/>
    <n v="17480116.969999999"/>
    <x v="15"/>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6071"/>
    <s v="30049069"/>
    <m/>
    <n v="20140626"/>
    <s v="532702902111411"/>
    <s v="8902220108417"/>
    <s v="1052500400065"/>
    <x v="108"/>
    <x v="134"/>
    <m/>
    <s v="CLORIDRATO DE DONEPEZILA"/>
    <s v=""/>
    <s v=""/>
    <s v=""/>
    <s v=""/>
    <m/>
    <x v="46"/>
    <s v="TORRENT DO BRASIL LTDA"/>
    <s v="33078528000132"/>
    <s v="CLORIDRATO DE DONEPEZILA"/>
    <n v="1"/>
    <n v="0"/>
    <n v="0"/>
    <n v="0"/>
    <s v="+"/>
    <s v=" PROD A-ALZ INIB COLINEST"/>
    <s v=" 142057-77-0"/>
    <s v="Tarja Vermelha"/>
    <s v="I"/>
    <s v="E"/>
    <s v="M"/>
    <n v="126764"/>
    <n v="4221081"/>
    <n v="9639356.2200000007"/>
    <x v="17"/>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6075"/>
    <s v="30049069"/>
    <m/>
    <n v="20140626"/>
    <s v="532702903116417"/>
    <s v="8902220108370"/>
    <s v="1052500400030"/>
    <x v="108"/>
    <x v="135"/>
    <m/>
    <s v="CLORIDRATO DE DONEPEZILA"/>
    <s v=""/>
    <s v=""/>
    <s v=""/>
    <s v=""/>
    <m/>
    <x v="46"/>
    <s v="TORRENT DO BRASIL LTDA"/>
    <s v="33078528000132"/>
    <s v="CLORIDRATO DE DONEPEZILA"/>
    <n v="1"/>
    <n v="0"/>
    <n v="0"/>
    <n v="0"/>
    <s v="+"/>
    <s v=" PROD A-ALZ INIB COLINEST"/>
    <s v=" 142057-77-0"/>
    <s v="Tarja Vermelha"/>
    <s v="I"/>
    <s v="E"/>
    <s v="M"/>
    <n v="144340"/>
    <n v="4380130"/>
    <n v="9999875"/>
    <x v="17"/>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2221"/>
    <s v="30049099"/>
    <m/>
    <n v="20140626"/>
    <s v="538815301137417"/>
    <s v="7896004706535"/>
    <s v="1677301700038"/>
    <x v="109"/>
    <x v="136"/>
    <m/>
    <s v="SIMETICONA"/>
    <s v="HOMATROPINA"/>
    <s v=""/>
    <s v=""/>
    <s v=""/>
    <m/>
    <x v="8"/>
    <s v="LEGRAND PHARMA INDÚSTRIA FARMACÊUTICA LTDA"/>
    <s v="05044984000126"/>
    <s v="SIMETICONA"/>
    <n v="0"/>
    <n v="0"/>
    <n v="0"/>
    <n v="0"/>
    <s v="+"/>
    <s v=" A/ESPASMOD/ASS.OUT.PROD"/>
    <s v=" 80-49-9"/>
    <s v="Tarja Vermelha"/>
    <s v="II"/>
    <s v="P"/>
    <s v="M"/>
    <n v="341141"/>
    <n v="1960298"/>
    <n v="4473572.83"/>
    <x v="26"/>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5066"/>
    <s v="30043939"/>
    <m/>
    <n v="20140626"/>
    <s v="537501502174412"/>
    <s v="7898919603138"/>
    <s v="1557300170018"/>
    <x v="110"/>
    <x v="137"/>
    <m/>
    <s v="ESTRADIOL"/>
    <s v=""/>
    <s v=""/>
    <s v=""/>
    <s v=""/>
    <m/>
    <x v="47"/>
    <s v="TEVA FARMACÊUTICA LTDA."/>
    <s v="05333542000108"/>
    <s v="ESTRADIOL"/>
    <n v="9"/>
    <n v="0"/>
    <n v="0"/>
    <n v="0"/>
    <s v="+"/>
    <s v=" ESTROGEN EXC G3A,G3E,G3F"/>
    <s v=" Ref5-16"/>
    <s v="Tarja Vermelha"/>
    <s v="I"/>
    <s v="P"/>
    <s v="M"/>
    <n v="286986"/>
    <n v="4689132"/>
    <n v="10708263.66"/>
    <x v="2"/>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5683"/>
    <s v="30049069"/>
    <m/>
    <n v="20140626"/>
    <s v="526529602178312"/>
    <s v="7896261013766"/>
    <s v="1006800990281"/>
    <x v="111"/>
    <x v="138"/>
    <m/>
    <s v="RIVASTIGMINA"/>
    <s v=""/>
    <s v=""/>
    <s v=""/>
    <s v=""/>
    <m/>
    <x v="48"/>
    <s v="NOVARTIS BIOCIENCIAS S.A"/>
    <s v="56994502000130"/>
    <s v="RIVASTIGMINA"/>
    <n v="1"/>
    <n v="0"/>
    <n v="0"/>
    <n v="0"/>
    <s v="+"/>
    <s v=" PROD A-ALZ INIB COLINEST"/>
    <s v=" 123441-03-2"/>
    <s v="Tarja Vermelha"/>
    <s v="I"/>
    <s v="E"/>
    <s v="R"/>
    <n v="132544"/>
    <n v="21999304"/>
    <n v="50206096.950000003"/>
    <x v="17"/>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553"/>
    <s v="30049099"/>
    <m/>
    <n v="20140626"/>
    <s v="538818301138418"/>
    <s v="7896004812168"/>
    <s v="1677302710010"/>
    <x v="112"/>
    <x v="139"/>
    <m/>
    <s v="OXOMEMAZINA"/>
    <s v="IODETO DE POTASSIO"/>
    <s v="GUAIFENESINA"/>
    <s v="IPECA"/>
    <s v=""/>
    <m/>
    <x v="8"/>
    <s v="LEGRAND PHARMA INDÚSTRIA FARMACÊUTICA LTDA"/>
    <s v="05044984000126"/>
    <s v="OXOMEMAZINA"/>
    <n v="0"/>
    <n v="1"/>
    <n v="2"/>
    <n v="0"/>
    <s v="-"/>
    <s v=" EXPECTORANTES"/>
    <s v=" 4784-40-1"/>
    <s v="Tarja Vermelha"/>
    <s v="N"/>
    <s v="P"/>
    <s v="M"/>
    <n v="9483693"/>
    <n v="73437802"/>
    <n v="166522516.16999999"/>
    <x v="13"/>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553"/>
    <s v="30049099"/>
    <m/>
    <n v="20140626"/>
    <s v="538818301138418"/>
    <s v="7896004812168"/>
    <s v="1677302710010"/>
    <x v="112"/>
    <x v="139"/>
    <m/>
    <s v="OXOMEMAZINA"/>
    <s v="IODETO DE POTASSIO"/>
    <s v="GUAIFENESINA"/>
    <s v="IPECA"/>
    <s v=""/>
    <m/>
    <x v="8"/>
    <s v="LEGRAND PHARMA INDÚSTRIA FARMACÊUTICA LTDA"/>
    <s v="05044984000126"/>
    <s v="OXOMEMAZINA"/>
    <n v="0"/>
    <n v="1"/>
    <n v="2"/>
    <n v="0"/>
    <s v="-"/>
    <s v=" EXPECTORANTES"/>
    <s v=" 4784-40-1"/>
    <s v="Tarja Vermelha"/>
    <s v="N"/>
    <s v="P"/>
    <s v="M"/>
    <n v="9483693"/>
    <n v="73437802"/>
    <n v="166522516.16999999"/>
    <x v="14"/>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553"/>
    <s v="30049099"/>
    <m/>
    <n v="20140626"/>
    <s v="538818301138418"/>
    <s v="7896004812168"/>
    <s v="1677302710010"/>
    <x v="112"/>
    <x v="139"/>
    <m/>
    <s v="OXOMEMAZINA"/>
    <s v="IODETO DE POTASSIO"/>
    <s v="GUAIFENESINA"/>
    <s v="IPECA"/>
    <s v=""/>
    <m/>
    <x v="8"/>
    <s v="LEGRAND PHARMA INDÚSTRIA FARMACÊUTICA LTDA"/>
    <s v="05044984000126"/>
    <s v="OXOMEMAZINA"/>
    <n v="0"/>
    <n v="1"/>
    <n v="2"/>
    <n v="0"/>
    <s v="-"/>
    <s v=" EXPECTORANTES"/>
    <s v=" 4784-40-1"/>
    <s v="Tarja Vermelha"/>
    <s v="N"/>
    <s v="P"/>
    <s v="M"/>
    <n v="9483693"/>
    <n v="73437802"/>
    <n v="166522516.16999999"/>
    <x v="44"/>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0495"/>
    <s v="30049099"/>
    <m/>
    <n v="20140626"/>
    <s v="538817001130413"/>
    <s v="7896004731674"/>
    <s v="1677301980022"/>
    <x v="113"/>
    <x v="140"/>
    <m/>
    <s v="DEXCLORFENIRAMINA"/>
    <s v="SULFATO DE ISOEFEDRINA"/>
    <s v="GUAIFENESINA"/>
    <s v=""/>
    <s v=""/>
    <m/>
    <x v="8"/>
    <s v="LEGRAND PHARMA INDÚSTRIA FARMACÊUTICA LTDA"/>
    <s v="05044984000126"/>
    <s v="DEXCLORFENIRAMINA"/>
    <n v="0"/>
    <n v="0"/>
    <n v="2"/>
    <n v="0"/>
    <s v="-"/>
    <s v=" EXPECTORANTES"/>
    <s v=" 2438-32-6"/>
    <s v="Tarja Vermelha"/>
    <s v="N"/>
    <s v="P"/>
    <s v="M"/>
    <n v="1107408"/>
    <n v="7392892"/>
    <n v="16745640.220000001"/>
    <x v="44"/>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0287"/>
    <s v="30049079"/>
    <m/>
    <n v="20140626"/>
    <s v="502804401118315"/>
    <s v="7896070600447"/>
    <s v="1130003190031"/>
    <x v="114"/>
    <x v="141"/>
    <m/>
    <s v="PROMETAZINA"/>
    <m/>
    <s v=""/>
    <s v=""/>
    <s v=""/>
    <m/>
    <x v="6"/>
    <s v="SANOFI-AVENTIS FARMACÊUTICA LTDA"/>
    <s v="02685377000157"/>
    <s v="PROMETAZINA"/>
    <n v="0"/>
    <n v="0"/>
    <n v="0"/>
    <n v="0"/>
    <s v="-"/>
    <s v=" A/HISTAMINICOS SIST"/>
    <s v=" 58-33-3"/>
    <s v="Tarja Vermelha"/>
    <s v="N"/>
    <s v="P"/>
    <s v="R"/>
    <n v="1835904"/>
    <n v="5784583"/>
    <n v="13209880.640000001"/>
    <x v="1"/>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0287"/>
    <s v="30049079"/>
    <m/>
    <n v="20140626"/>
    <s v="502804401118315"/>
    <s v="7896070600447"/>
    <s v="1130003190031"/>
    <x v="114"/>
    <x v="141"/>
    <m/>
    <s v="PROMETAZINA"/>
    <s v=""/>
    <s v=""/>
    <s v=""/>
    <s v=""/>
    <m/>
    <x v="6"/>
    <s v="SANOFI-AVENTIS FARMACÊUTICA LTDA"/>
    <s v="02685377000157"/>
    <s v="PROMETAZINA"/>
    <n v="0"/>
    <n v="0"/>
    <n v="0"/>
    <n v="0"/>
    <s v="-"/>
    <s v=" A/HISTAMINICOS SIST"/>
    <s v=" 58-33-3"/>
    <s v="Tarja Vermelha"/>
    <s v="N"/>
    <s v="P"/>
    <s v="R"/>
    <n v="1835904"/>
    <n v="5784583"/>
    <n v="13209880.640000001"/>
    <x v="29"/>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261"/>
    <s v="30049099"/>
    <m/>
    <n v="20140626"/>
    <s v="519004201119417"/>
    <s v="7896714203768"/>
    <s v="1046502540021"/>
    <x v="115"/>
    <x v="142"/>
    <m/>
    <s v="DIOSMINA"/>
    <s v="HESPERIDINA"/>
    <s v=""/>
    <s v=""/>
    <s v=""/>
    <m/>
    <x v="35"/>
    <s v="LABORATÓRIO NEO QUÍMICA COMÉRCIO E INDÚSTRIA LTDA"/>
    <s v="29785870000103"/>
    <s v="DIOSMINA"/>
    <n v="0"/>
    <n v="0"/>
    <n v="0"/>
    <n v="0"/>
    <s v="-"/>
    <s v=" VASOPROTETORES SIST"/>
    <s v=" 520-27-4"/>
    <s v="Tarja Vermelha"/>
    <s v="N"/>
    <s v="P"/>
    <s v="M"/>
    <n v="1083429"/>
    <n v="20780404"/>
    <n v="47507210.039999999"/>
    <x v="36"/>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2038"/>
    <s v="30049099"/>
    <m/>
    <n v="20140626"/>
    <s v="525419601136412"/>
    <s v="7891721016226"/>
    <s v="1008903360031"/>
    <x v="116"/>
    <x v="143"/>
    <m/>
    <s v="SODIO"/>
    <s v="GLICOSE"/>
    <s v=""/>
    <s v=""/>
    <s v=""/>
    <m/>
    <x v="49"/>
    <s v="MERCK S/A"/>
    <s v="33069212000184"/>
    <s v="SODIO"/>
    <n v="0"/>
    <n v="4"/>
    <n v="0"/>
    <n v="0"/>
    <s v="-"/>
    <s v=" SUBST.OR.ELECTROLITICOS"/>
    <s v=" 7647-14-5"/>
    <s v="Venda Livre"/>
    <s v="N"/>
    <s v="P"/>
    <s v="M"/>
    <n v="241532"/>
    <n v="1148988"/>
    <n v="2624672.81"/>
    <x v="42"/>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1302"/>
    <s v="30049099"/>
    <m/>
    <n v="20140626"/>
    <s v="525404711119417"/>
    <s v="7891721020940"/>
    <s v="1008900900483"/>
    <x v="117"/>
    <x v="144"/>
    <m/>
    <s v="SACCHAROMYCES BOULARDII"/>
    <s v=""/>
    <s v=""/>
    <s v=""/>
    <s v=""/>
    <m/>
    <x v="49"/>
    <s v="MERCK S/A"/>
    <s v="33069212000184"/>
    <s v="SACCHAROMYCES BOULARDII"/>
    <n v="0"/>
    <n v="0"/>
    <n v="0"/>
    <n v="0"/>
    <s v="-"/>
    <s v=" ANTIDIARREICOS-MIC.ORGAN"/>
    <s v=" 99999-99-9"/>
    <s v="Venda Livre"/>
    <s v="N"/>
    <s v="P"/>
    <s v="M"/>
    <n v="1665726"/>
    <n v="17882683"/>
    <n v="40966505.810000002"/>
    <x v="27"/>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7532"/>
    <s v="30039079"/>
    <m/>
    <n v="20140626"/>
    <s v="506403701113414"/>
    <s v="7896523206431"/>
    <s v="1438100710016"/>
    <x v="118"/>
    <x v="145"/>
    <m/>
    <s v="FLUCONAZOL"/>
    <s v=""/>
    <s v=""/>
    <s v=""/>
    <s v=""/>
    <m/>
    <x v="34"/>
    <s v="CIMED INDÚSTRIA DE MEDICAMENTOS LTDA"/>
    <s v="02814497000107"/>
    <s v="FLUCONAZOL"/>
    <n v="1"/>
    <n v="0"/>
    <n v="0"/>
    <n v="0"/>
    <s v="+"/>
    <s v=" AG.SIST.P/INF.FUNGICAS"/>
    <s v=" 86386-73-4"/>
    <s v="Tarja Vermelha"/>
    <s v="I"/>
    <s v="E"/>
    <s v="M"/>
    <n v="1835740"/>
    <n v="6776428"/>
    <n v="15490998.029999999"/>
    <x v="29"/>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0870"/>
    <s v="30049069"/>
    <m/>
    <n v="20140626"/>
    <s v="519004701111415"/>
    <s v="7896714203515"/>
    <s v="1558401870013"/>
    <x v="119"/>
    <x v="146"/>
    <s v="dicloridrato de flunarizina"/>
    <s v="CINARIZINA"/>
    <s v=""/>
    <s v=""/>
    <s v=""/>
    <s v=""/>
    <m/>
    <x v="35"/>
    <s v="LABORATÓRIO NEO QUÍMICA COMÉRCIO E INDÚSTRIA LTDA"/>
    <s v="29785870000103"/>
    <s v="CINARIZINA"/>
    <n v="3"/>
    <n v="0"/>
    <n v="0"/>
    <n v="0"/>
    <s v="-"/>
    <s v=" ANT.CALCIO C/ACT. CEREB."/>
    <m/>
    <s v="Tarja Vermelha"/>
    <s v="N"/>
    <s v="E"/>
    <s v="M"/>
    <n v="695136"/>
    <n v="1750041"/>
    <n v="3997713.4"/>
    <x v="39"/>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0873"/>
    <s v="30049069"/>
    <m/>
    <n v="20140626"/>
    <s v="519004702118413"/>
    <s v="7896714203492"/>
    <s v="1558401870021"/>
    <x v="119"/>
    <x v="147"/>
    <s v="dicloridrato de flunarizina"/>
    <s v="CINARIZINA"/>
    <s v=""/>
    <s v=""/>
    <s v=""/>
    <s v=""/>
    <m/>
    <x v="35"/>
    <s v="LABORATÓRIO NEO QUÍMICA COMÉRCIO E INDÚSTRIA LTDA"/>
    <s v="29785870000103"/>
    <s v="CINARIZINA"/>
    <n v="3"/>
    <n v="0"/>
    <n v="0"/>
    <n v="0"/>
    <s v="-"/>
    <s v=" ANT.CALCIO C/ACT. CEREB."/>
    <m/>
    <s v="Tarja Vermelha"/>
    <s v="N"/>
    <s v="E"/>
    <s v="M"/>
    <n v="1391906"/>
    <n v="5265235"/>
    <n v="12022534.26"/>
    <x v="39"/>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4005"/>
    <s v="30049099"/>
    <m/>
    <n v="20140626"/>
    <s v="526506802170413"/>
    <s v="7896261005587"/>
    <s v="1006801560084"/>
    <x v="120"/>
    <x v="148"/>
    <m/>
    <s v="BUDESONIDA"/>
    <s v="FORMOTEROL"/>
    <s v=""/>
    <s v=""/>
    <s v=""/>
    <m/>
    <x v="48"/>
    <s v="NOVARTIS BIOCIENCIAS S.A"/>
    <s v="56994502000130"/>
    <s v="BUDESONIDA"/>
    <n v="2"/>
    <n v="0"/>
    <n v="0"/>
    <n v="0"/>
    <s v="+"/>
    <s v=" ESTIM-B2/CORTIC-INALANTES"/>
    <s v=" 183814-30-4"/>
    <s v="Tarja Vermelha"/>
    <s v="II"/>
    <s v="P"/>
    <s v="M"/>
    <n v="649795"/>
    <n v="22360449"/>
    <n v="51012685.939999998"/>
    <x v="12"/>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9810"/>
    <s v="30039079"/>
    <m/>
    <n v="20140626"/>
    <s v="507612110017403"/>
    <s v="7896382706769"/>
    <s v="1126000790023"/>
    <x v="121"/>
    <x v="149"/>
    <m/>
    <s v="TERIPARATIDA"/>
    <s v=""/>
    <s v=""/>
    <s v=""/>
    <s v=""/>
    <m/>
    <x v="33"/>
    <s v="ELI LILLY DO BRASIL LTDA"/>
    <s v="43940618000144"/>
    <s v="TERIPARATIDA"/>
    <n v="1"/>
    <n v="0"/>
    <n v="0"/>
    <n v="0"/>
    <s v="+"/>
    <s v=" HORM PARATIROIDE E ANAL"/>
    <s v=" 52232-67-4"/>
    <s v="Tarja Vermelha"/>
    <s v="I"/>
    <s v="E"/>
    <s v="R"/>
    <n v="1098"/>
    <n v="977086"/>
    <n v="2243778.66"/>
    <x v="5"/>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8726"/>
    <s v="30043290"/>
    <m/>
    <n v="20140626"/>
    <s v="528502921139119"/>
    <s v="7898148296552"/>
    <s v="1256801290213"/>
    <x v="122"/>
    <x v="150"/>
    <m/>
    <s v="PREDNISOLONA"/>
    <s v=""/>
    <s v=""/>
    <s v=""/>
    <s v=""/>
    <m/>
    <x v="11"/>
    <s v="PRATI DONADUZZI &amp; CIA LTDA"/>
    <s v="73856593000166"/>
    <s v="PREDNISOLONA"/>
    <n v="1"/>
    <n v="0"/>
    <n v="0"/>
    <n v="0"/>
    <s v="+"/>
    <s v=" CORTICOEST.ORAIS PUROS"/>
    <s v=" 125-02-0"/>
    <s v="Tarja Vermelha"/>
    <s v="I"/>
    <s v="E"/>
    <s v="G"/>
    <n v="2100465"/>
    <n v="7068677"/>
    <n v="16024350.779999999"/>
    <x v="8"/>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2194"/>
    <s v="30039099"/>
    <m/>
    <n v="20140626"/>
    <s v="525102402131417"/>
    <s v="7896862960049"/>
    <s v="1091700380018"/>
    <x v="123"/>
    <x v="151"/>
    <m/>
    <s v="DIMETICONA"/>
    <s v="HIDROXIDO DE ALUMINIO"/>
    <s v="HIDROXIDO DE MAGNESIO"/>
    <s v=""/>
    <s v=""/>
    <m/>
    <x v="41"/>
    <s v="MEDQUIMICA INDÚSTRIA FARMACÊUTICA S.A"/>
    <s v="17875154000120"/>
    <s v="DIMETICONA"/>
    <n v="9"/>
    <n v="0"/>
    <n v="0"/>
    <n v="0"/>
    <s v="-"/>
    <s v=" ANTIAC C/ ANTIFLAT/CARMIN"/>
    <s v=" 9006-65-9"/>
    <s v="Venda Livre"/>
    <s v="N"/>
    <s v="P"/>
    <s v="M"/>
    <n v="334791"/>
    <n v="1807062"/>
    <n v="4119113.44"/>
    <x v="41"/>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8350"/>
    <s v="30049077"/>
    <m/>
    <n v="20140626"/>
    <s v="533006702171414"/>
    <s v="7896006290162"/>
    <s v="1049712790071"/>
    <x v="124"/>
    <x v="152"/>
    <s v="Timolol"/>
    <s v="TIMOLOL"/>
    <s v=""/>
    <s v=""/>
    <s v=""/>
    <s v=""/>
    <m/>
    <x v="29"/>
    <s v="UNIÃO QUÍMICA FARMACÊUTICA NACIONAL S/A"/>
    <s v="60665981000118"/>
    <s v="TIMOLOL"/>
    <n v="0"/>
    <n v="0"/>
    <n v="0"/>
    <n v="0"/>
    <s v="+"/>
    <s v=" PREP ANTI/GLAUC/MIOT/TOP."/>
    <s v=" 26921-17-5"/>
    <s v="Tarja Vermelha"/>
    <s v="I"/>
    <s v="E"/>
    <s v="M"/>
    <n v="526814"/>
    <n v="1425670"/>
    <n v="3254380.04"/>
    <x v="19"/>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9096"/>
    <s v="30049099"/>
    <m/>
    <n v="20140626"/>
    <s v="519031101111111"/>
    <s v="7896714217093"/>
    <s v="1046505120041"/>
    <x v="125"/>
    <x v="153"/>
    <m/>
    <s v="GLIBENCLAMIDA"/>
    <s v=""/>
    <s v=""/>
    <s v=""/>
    <s v=""/>
    <m/>
    <x v="35"/>
    <s v="LABORATÓRIO NEO QUÍMICA COMÉRCIO E INDÚSTRIA LTDA"/>
    <s v="29785870000103"/>
    <s v="GLIBENCLAMIDA"/>
    <n v="2"/>
    <n v="0"/>
    <n v="0"/>
    <n v="0"/>
    <s v="+"/>
    <s v=" SULFONILUREIAS"/>
    <s v=" 10238-21-8"/>
    <s v="Tarja Vermelha"/>
    <s v="I"/>
    <s v="E"/>
    <s v="G"/>
    <n v="1995133"/>
    <n v="4944724"/>
    <n v="11263804.960000001"/>
    <x v="34"/>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9113"/>
    <s v="30049099"/>
    <m/>
    <n v="20140626"/>
    <s v="507730201111112"/>
    <s v="7896004706474"/>
    <s v="1023506610017"/>
    <x v="125"/>
    <x v="153"/>
    <m/>
    <s v="GLIBENCLAMIDA"/>
    <s v=""/>
    <s v=""/>
    <s v=""/>
    <s v=""/>
    <m/>
    <x v="2"/>
    <s v="EMS S/A"/>
    <s v="57507378000101"/>
    <s v="GLIBENCLAMIDA"/>
    <n v="2"/>
    <n v="0"/>
    <n v="0"/>
    <n v="0"/>
    <s v="+"/>
    <s v=" SULFONILUREIAS"/>
    <s v=" 10238-21-8"/>
    <s v="Tarja Vermelha"/>
    <s v="I"/>
    <s v="E"/>
    <s v="G"/>
    <n v="2058227"/>
    <n v="5366175"/>
    <n v="12241463.529999999"/>
    <x v="34"/>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17805"/>
    <s v="30049049"/>
    <m/>
    <n v="20140626"/>
    <s v="525420305111315"/>
    <s v="7891721027468"/>
    <s v="1008903400031"/>
    <x v="126"/>
    <x v="154"/>
    <m/>
    <s v="METFORMINA"/>
    <s v=""/>
    <s v=""/>
    <s v=""/>
    <s v=""/>
    <m/>
    <x v="49"/>
    <s v="MERCK S/A"/>
    <s v="33069212000184"/>
    <s v="METFORMINA"/>
    <n v="2"/>
    <n v="0"/>
    <n v="0"/>
    <n v="0"/>
    <s v="+"/>
    <s v=" BIGUANIDAS SIMPLES"/>
    <s v=" 1115-70-4"/>
    <s v="Tarja Vermelha"/>
    <s v="I"/>
    <s v="E"/>
    <s v="M"/>
    <n v="18285060"/>
    <n v="80852244"/>
    <n v="184679175.87"/>
    <x v="34"/>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7664"/>
    <s v="30049039"/>
    <m/>
    <n v="20140626"/>
    <s v="508029603118410"/>
    <s v="7891317472054"/>
    <s v="1004310400056"/>
    <x v="127"/>
    <x v="155"/>
    <m/>
    <s v="MEMANTINA"/>
    <s v=""/>
    <s v=""/>
    <s v=""/>
    <s v=""/>
    <m/>
    <x v="23"/>
    <s v="EUROFARMA LABORATÓRIOS S.A."/>
    <s v="61190096000192"/>
    <s v="MEMANTINA"/>
    <n v="1"/>
    <n v="0"/>
    <n v="0"/>
    <n v="0"/>
    <s v="+"/>
    <s v=" TODOS OUT PROD ANTI-ALZH"/>
    <s v=" 41100-52-1"/>
    <s v="Tarja Vermelha"/>
    <s v="I"/>
    <s v="E"/>
    <s v="M"/>
    <n v="166999"/>
    <n v="2698159"/>
    <n v="6161575.96"/>
    <x v="17"/>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7671"/>
    <s v="30049039"/>
    <m/>
    <n v="20140626"/>
    <s v="508029601115414"/>
    <s v="7891317472061"/>
    <s v="1004310400064"/>
    <x v="127"/>
    <x v="156"/>
    <m/>
    <s v="MEMANTINA"/>
    <s v=""/>
    <s v=""/>
    <s v=""/>
    <s v=""/>
    <m/>
    <x v="23"/>
    <s v="EUROFARMA LABORATÓRIOS S.A."/>
    <s v="61190096000192"/>
    <s v="MEMANTINA"/>
    <n v="1"/>
    <n v="0"/>
    <n v="0"/>
    <n v="0"/>
    <s v="+"/>
    <s v=" TODOS OUT PROD ANTI-ALZH"/>
    <s v=" 41100-52-1"/>
    <s v="Tarja Vermelha"/>
    <s v="I"/>
    <s v="E"/>
    <s v="M"/>
    <n v="80927"/>
    <n v="2589417"/>
    <n v="5913173.96"/>
    <x v="17"/>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4829"/>
    <s v="30049024"/>
    <m/>
    <n v="20140626"/>
    <s v="521107405150411"/>
    <s v="7896181904250"/>
    <s v="1121300490024"/>
    <x v="128"/>
    <x v="157"/>
    <m/>
    <s v="ERITROPOETINA HUMANA"/>
    <s v=""/>
    <s v=""/>
    <s v=""/>
    <s v=""/>
    <m/>
    <x v="11"/>
    <s v="BIOSINTÉTICA FARMACÊUTICA LTDA"/>
    <s v="53162095000106"/>
    <s v="ERITROPOETINA HUMANA"/>
    <n v="0"/>
    <n v="0"/>
    <n v="0"/>
    <n v="0"/>
    <s v="+"/>
    <s v=" ERITROPOIETINAS"/>
    <s v=" 11096-26-7"/>
    <s v="Tarja Vermelha"/>
    <s v="I"/>
    <s v="P"/>
    <s v="M"/>
    <n v="160468"/>
    <n v="7433461"/>
    <n v="17003564.859999999"/>
    <x v="9"/>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22181"/>
    <s v="30049039"/>
    <m/>
    <n v="20140626"/>
    <s v="502805902137310"/>
    <s v="7891058018382"/>
    <s v="1130000760025"/>
    <x v="129"/>
    <x v="158"/>
    <m/>
    <s v="HEXAMIDINA"/>
    <s v="TETRACAINA"/>
    <s v=""/>
    <s v=""/>
    <s v=""/>
    <m/>
    <x v="6"/>
    <s v="SANOFI-AVENTIS FARMACÊUTICA LTDA"/>
    <s v="02685377000157"/>
    <s v="HEXAMIDINA"/>
    <n v="0"/>
    <n v="0"/>
    <n v="0"/>
    <n v="0"/>
    <s v="-"/>
    <s v=" DESCONG/A/SEPT FARING"/>
    <s v=" 3811-75-4"/>
    <s v="Tarja Vermelha"/>
    <s v="N"/>
    <s v="P"/>
    <s v="R"/>
    <n v="1221689"/>
    <n v="15497027"/>
    <n v="35297248.119999997"/>
    <x v="20"/>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2030"/>
    <s v="30049099"/>
    <m/>
    <n v="20140626"/>
    <s v="501101411138411"/>
    <s v="7896641804717"/>
    <s v="1063901620347"/>
    <x v="130"/>
    <x v="159"/>
    <m/>
    <s v="GLICOSE"/>
    <s v="CLORETO DE SODIO E POTASSIO"/>
    <s v=""/>
    <s v=""/>
    <s v=""/>
    <m/>
    <x v="42"/>
    <s v="TAKEDA PHARMA LTDA."/>
    <s v="60397775000174"/>
    <s v="GLICOSE"/>
    <n v="4"/>
    <n v="0"/>
    <n v="0"/>
    <n v="0"/>
    <s v="-"/>
    <s v=" SUBST.OR.ELECTROLITICOS"/>
    <s v=" 7447-40-7"/>
    <s v="Venda Livre"/>
    <s v="N"/>
    <s v="P"/>
    <s v="M"/>
    <n v="181874"/>
    <n v="458257"/>
    <n v="1052499.79"/>
    <x v="42"/>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2655"/>
    <s v="30049099"/>
    <m/>
    <n v="20140626"/>
    <s v="507715501134114"/>
    <s v="7896004701288"/>
    <s v="1023504940011"/>
    <x v="131"/>
    <x v="160"/>
    <m/>
    <s v="HIDROXIDO DE ALUMINIO"/>
    <s v=""/>
    <s v=""/>
    <s v=""/>
    <s v=""/>
    <m/>
    <x v="2"/>
    <s v="EMS S/A"/>
    <s v="57507378000101"/>
    <s v="HIDROXIDO DE ALUMINIO"/>
    <n v="0"/>
    <n v="0"/>
    <n v="0"/>
    <n v="0"/>
    <s v="-"/>
    <s v=" ANTIAC PUROS"/>
    <s v=" 21645-51-2"/>
    <s v="Venda Livre"/>
    <s v="N"/>
    <s v="P"/>
    <s v="G"/>
    <n v="950650"/>
    <n v="3253520"/>
    <n v="7424597.2599999998"/>
    <x v="41"/>
    <n v="2.1"/>
    <n v="9.9"/>
    <n v="3.27"/>
    <n v="3.12"/>
    <n v="1.35"/>
    <n v="18"/>
    <n v="12"/>
    <n v="17"/>
    <n v="17"/>
    <n v="19"/>
    <n v="12"/>
    <n v="17"/>
    <n v="17"/>
    <n v="17"/>
    <n v="17"/>
    <n v="17"/>
    <n v="17"/>
    <n v="17"/>
    <n v="17"/>
    <n v="17"/>
    <n v="17"/>
    <n v="37.74"/>
    <n v="31.740000000000002"/>
    <n v="36.74"/>
    <n v="36.74"/>
    <n v="38.74"/>
    <n v="31.740000000000002"/>
    <n v="36.74"/>
    <n v="36.74"/>
    <n v="36.74"/>
    <n v="36.74"/>
    <n v="36.74"/>
    <n v="36.74"/>
    <n v="36.74"/>
    <n v="36.74"/>
    <n v="36.74"/>
    <n v="36.74"/>
    <n v="36.302500000000002"/>
    <m/>
    <m/>
  </r>
  <r>
    <n v="2722"/>
    <s v="30049099"/>
    <m/>
    <n v="20140626"/>
    <s v="530400802167311"/>
    <s v="7897411610101"/>
    <s v="1045400130111"/>
    <x v="132"/>
    <x v="161"/>
    <m/>
    <s v="POLISSULFATO DE MUCOPOLISSACARIDIO"/>
    <s v=""/>
    <s v=""/>
    <s v=""/>
    <s v=""/>
    <m/>
    <x v="50"/>
    <s v="DAIICHI SANKYO BRASIL FARMACÊUTICA LTDA"/>
    <s v="60874187000184"/>
    <s v="POLISSULFATO DE MUCOPOLISSACARIDIO"/>
    <n v="0"/>
    <n v="0"/>
    <n v="0"/>
    <n v="0"/>
    <s v="-"/>
    <s v=" A/VARICOSOS TOP"/>
    <s v=" Ref2-01"/>
    <s v="Venda Livre"/>
    <s v="N"/>
    <s v="P"/>
    <s v="R"/>
    <n v="985961"/>
    <n v="6902673"/>
    <n v="15808361.5"/>
    <x v="38"/>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5920"/>
    <s v="30049069"/>
    <m/>
    <n v="20140626"/>
    <s v="533007004115411"/>
    <s v="7896006248316"/>
    <s v="1049711940019"/>
    <x v="133"/>
    <x v="162"/>
    <m/>
    <s v="LORATADINA"/>
    <s v="PSEUDOEFEDRINA"/>
    <s v=""/>
    <s v=""/>
    <s v=""/>
    <m/>
    <x v="29"/>
    <s v="UNIÃO QUÍMICA FARMACÊUTICA NACIONAL S/A"/>
    <s v="60665981000118"/>
    <s v="LORATADINA"/>
    <n v="0"/>
    <n v="0"/>
    <n v="0"/>
    <n v="0"/>
    <s v="-"/>
    <s v=" PREP.SISTEMICAS NASAIS"/>
    <s v=" 79794-75-5"/>
    <s v="Tarja Vermelha"/>
    <s v="N"/>
    <s v="P"/>
    <s v="M"/>
    <n v="647773"/>
    <n v="7177502"/>
    <n v="16340847.5"/>
    <x v="16"/>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6741"/>
    <s v="30049099"/>
    <m/>
    <n v="20140626"/>
    <s v="519005902137411"/>
    <s v="7896714219318"/>
    <s v="1046500240047"/>
    <x v="134"/>
    <x v="163"/>
    <m/>
    <s v="MALEATO DE DEXCLORFENIRAMINA"/>
    <s v=""/>
    <s v=""/>
    <s v=""/>
    <s v=""/>
    <m/>
    <x v="35"/>
    <s v="LABORATÓRIO NEO QUÍMICA COMÉRCIO E INDÚSTRIA LTDA"/>
    <s v="29785870000103"/>
    <s v="MALEATO DE DEXCLORFENIRAMINA"/>
    <n v="0"/>
    <n v="0"/>
    <n v="0"/>
    <n v="0"/>
    <s v="-"/>
    <s v=" A/HISTAMINICOS SIST"/>
    <s v=" 2438-32-6"/>
    <s v="Tarja Vermelha"/>
    <s v="N"/>
    <s v="P"/>
    <s v="M"/>
    <n v="4787691"/>
    <n v="17693119"/>
    <n v="40236456"/>
    <x v="1"/>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6742"/>
    <s v="30049099"/>
    <m/>
    <n v="20140626"/>
    <s v="519005901114416"/>
    <s v="7896714219301"/>
    <s v="1046500240019"/>
    <x v="134"/>
    <x v="164"/>
    <m/>
    <s v="MALEATO DE DEXCLORFENIRAMINA"/>
    <s v=""/>
    <s v=""/>
    <s v=""/>
    <s v=""/>
    <m/>
    <x v="35"/>
    <s v="LABORATÓRIO NEO QUÍMICA COMÉRCIO E INDÚSTRIA LTDA"/>
    <s v="29785870000103"/>
    <s v="MALEATO DE DEXCLORFENIRAMINA"/>
    <n v="0"/>
    <n v="0"/>
    <n v="0"/>
    <n v="0"/>
    <s v="-"/>
    <s v=" A/HISTAMINICOS SIST"/>
    <s v=" 2438-32-6"/>
    <s v="Tarja Vermelha"/>
    <s v="N"/>
    <s v="P"/>
    <s v="M"/>
    <n v="5330434"/>
    <n v="12718216"/>
    <n v="29000546.920000002"/>
    <x v="1"/>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3636"/>
    <s v="30043100"/>
    <m/>
    <n v="20140626"/>
    <s v="507601614150410"/>
    <s v="7896382703317"/>
    <s v="1126000570333"/>
    <x v="135"/>
    <x v="165"/>
    <m/>
    <s v="INSULINA HUMANA"/>
    <s v=""/>
    <s v=""/>
    <s v=""/>
    <s v=""/>
    <m/>
    <x v="33"/>
    <s v="ELI LILLY DO BRASIL LTDA"/>
    <s v="43940618000144"/>
    <s v="INSULINA HUMANA"/>
    <n v="1"/>
    <n v="0"/>
    <n v="0"/>
    <n v="0"/>
    <s v="+"/>
    <s v=" INS HUM+ANALOG AC INTERM"/>
    <s v=" 11061-68-0"/>
    <s v="Tarja Vermelha"/>
    <s v="I"/>
    <s v="E"/>
    <s v="R"/>
    <n v="827057"/>
    <n v="13939787"/>
    <n v="31836964.140000001"/>
    <x v="34"/>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3639"/>
    <s v="30043100"/>
    <m/>
    <n v="20140626"/>
    <s v="507601613154412"/>
    <s v="7896382700583"/>
    <s v="1126000570031"/>
    <x v="135"/>
    <x v="166"/>
    <m/>
    <s v="INSULINA HUMANA"/>
    <s v=""/>
    <s v=""/>
    <s v=""/>
    <s v=""/>
    <m/>
    <x v="33"/>
    <s v="ELI LILLY DO BRASIL LTDA"/>
    <s v="43940618000144"/>
    <s v="INSULINA HUMANA"/>
    <n v="1"/>
    <n v="0"/>
    <n v="0"/>
    <n v="0"/>
    <s v="+"/>
    <s v=" INS HUM+ANALOG AC INTERM"/>
    <s v=" 11061-68-0"/>
    <s v="Tarja Vermelha"/>
    <s v="I"/>
    <s v="E"/>
    <s v="R"/>
    <n v="1791790"/>
    <n v="28023337"/>
    <n v="63929131.700000003"/>
    <x v="34"/>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5481"/>
    <s v="30049039"/>
    <m/>
    <n v="20140626"/>
    <s v="533007102133412"/>
    <s v="7896006259701"/>
    <s v="1049702260019"/>
    <x v="136"/>
    <x v="167"/>
    <m/>
    <s v="CLOBUTINOL"/>
    <s v="DOXILAMINA"/>
    <s v=""/>
    <s v=""/>
    <s v=""/>
    <m/>
    <x v="29"/>
    <s v="UNIÃO QUÍMICA FARMACÊUTICA NACIONAL S/A"/>
    <s v="60665981000118"/>
    <s v="CLOBUTINOL"/>
    <n v="0"/>
    <n v="0"/>
    <n v="0"/>
    <n v="0"/>
    <s v="-"/>
    <s v=" OUT A/TUSSIGENOS/ASS"/>
    <s v=" 1215-83-4"/>
    <s v="Tarja Vermelha"/>
    <s v="N"/>
    <s v="P"/>
    <s v="M"/>
    <n v="1593825"/>
    <n v="9117104"/>
    <n v="20646454.620000001"/>
    <x v="44"/>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2739"/>
    <s v="30049099"/>
    <m/>
    <n v="20140626"/>
    <s v="520712304114419"/>
    <s v="7896112158370"/>
    <s v="1037000760131"/>
    <x v="137"/>
    <x v="168"/>
    <m/>
    <s v="IBUPROFENO"/>
    <s v=""/>
    <s v=""/>
    <s v=""/>
    <s v=""/>
    <m/>
    <x v="1"/>
    <s v="LABORATÓRIO TEUTO BRASILEIRO S/A"/>
    <s v="17159229000176"/>
    <s v="IBUPROFENO"/>
    <n v="2"/>
    <n v="0"/>
    <n v="0"/>
    <n v="0"/>
    <s v="+"/>
    <s v=" A-REUM.N/ESTEROID.PUROS"/>
    <s v=" 15687-27-1"/>
    <s v="Tarja Vermelha"/>
    <s v="I"/>
    <s v="E"/>
    <s v="M"/>
    <n v="3397774"/>
    <n v="21062219"/>
    <n v="48146459.350000001"/>
    <x v="18"/>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2344"/>
    <s v="30049099"/>
    <m/>
    <n v="20140626"/>
    <s v="514501601114315"/>
    <s v="7896212478750"/>
    <s v="1123600150098"/>
    <x v="138"/>
    <x v="169"/>
    <m/>
    <s v="CLORIDRATO DE LOPERAMIDA"/>
    <s v=""/>
    <s v=""/>
    <s v=""/>
    <s v=""/>
    <m/>
    <x v="51"/>
    <s v="JANSSEN-CILAG FARMACÊUTICA LTDA"/>
    <s v="51780468000187"/>
    <s v="CLORIDRATO DE LOPERAMIDA"/>
    <n v="0"/>
    <n v="0"/>
    <n v="0"/>
    <n v="0"/>
    <s v="-"/>
    <s v=" INIBIDORES DA MOTILIDADE"/>
    <s v=" 34552-83-5"/>
    <s v="Tarja Vermelha"/>
    <s v="N"/>
    <s v="E"/>
    <s v="R"/>
    <n v="2479287"/>
    <n v="5709785"/>
    <n v="13061610.119999999"/>
    <x v="27"/>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239"/>
    <s v="30049051"/>
    <m/>
    <n v="20140626"/>
    <s v="531601801115314"/>
    <s v="7894916550086"/>
    <s v="1356900150025"/>
    <x v="139"/>
    <x v="170"/>
    <s v="dinitrato de isossorbida"/>
    <s v="DINITRATO DE ISOSSORBIDA"/>
    <s v=""/>
    <s v=""/>
    <s v=""/>
    <s v=""/>
    <m/>
    <x v="2"/>
    <s v="EMS SIGMA PHARMA LTDA"/>
    <s v="00923140000131"/>
    <s v="DINITRATO DE ISOSSORBIDA"/>
    <n v="1"/>
    <n v="0"/>
    <n v="0"/>
    <n v="0"/>
    <s v="+"/>
    <s v=" NITRITOS E NITRATOS"/>
    <s v=" 87-33-2"/>
    <s v="Tarja Vermelha"/>
    <s v="I"/>
    <s v="E"/>
    <s v="R"/>
    <n v="291786"/>
    <n v="694488"/>
    <n v="1584256.61"/>
    <x v="40"/>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4271"/>
    <s v="30049099"/>
    <m/>
    <n v="20140626"/>
    <s v="525312050035306"/>
    <s v="7895296043069"/>
    <s v="1267501420036"/>
    <x v="140"/>
    <x v="171"/>
    <m/>
    <s v="ISOTRETINOINA"/>
    <s v=""/>
    <s v=""/>
    <s v=""/>
    <s v=""/>
    <m/>
    <x v="52"/>
    <s v="NOVA QUIMICA FARMACÊUTICA LTDA"/>
    <s v="72593791000111"/>
    <s v="ISOTRETINOINA"/>
    <n v="1"/>
    <n v="0"/>
    <n v="0"/>
    <n v="0"/>
    <s v="+"/>
    <s v="ANTIACNEICO SISTEMICO"/>
    <s v=" 4759-48-2"/>
    <s v="Tarja Vermelha"/>
    <s v="I"/>
    <s v="E"/>
    <s v="G"/>
    <n v="308049"/>
    <n v="10997525"/>
    <n v="25054038.489999998"/>
    <x v="3"/>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14282"/>
    <s v="30045090"/>
    <m/>
    <n v="20140626"/>
    <s v="536400201111111"/>
    <s v="7898907401197"/>
    <s v="1326500300011"/>
    <x v="141"/>
    <x v="171"/>
    <m/>
    <s v="ISOTRETINOINA"/>
    <s v=""/>
    <s v=""/>
    <s v=""/>
    <s v=""/>
    <m/>
    <x v="53"/>
    <s v="COLBRÁS INDÚSTRIA E COMÉRCIO LTDA"/>
    <s v="00413925000164"/>
    <s v="ISOTRETINOINA"/>
    <n v="1"/>
    <n v="0"/>
    <n v="0"/>
    <n v="0"/>
    <s v="+"/>
    <s v="ANTIACNEICO SISTEMICO"/>
    <s v=" 4759-48-2"/>
    <s v="Tarja Vermelha"/>
    <s v="I"/>
    <s v="E"/>
    <s v="G"/>
    <n v="654144"/>
    <n v="23305214"/>
    <n v="53108774.409999996"/>
    <x v="3"/>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3725"/>
    <s v="30066000"/>
    <m/>
    <n v="20140626"/>
    <s v="523709001119410"/>
    <s v="7896094208094"/>
    <s v="1003301540012"/>
    <x v="142"/>
    <x v="172"/>
    <m/>
    <s v="DROSPERINONA"/>
    <s v="ETINILESTRADIOL"/>
    <s v=""/>
    <s v=""/>
    <s v=""/>
    <m/>
    <x v="19"/>
    <s v="LIBBS FARMACÊUTICA LTDA"/>
    <s v="61230314000175"/>
    <s v="DROSPERINONA"/>
    <n v="0"/>
    <n v="17"/>
    <n v="0"/>
    <n v="0"/>
    <s v="+"/>
    <s v=" P.MONOF.C/ESTROG.&lt;50MCG"/>
    <s v=" 57-63-6"/>
    <s v="Tarja Vermelha"/>
    <s v="II"/>
    <s v="P"/>
    <s v="M"/>
    <n v="2316341"/>
    <n v="29265479"/>
    <n v="66858325.420000002"/>
    <x v="31"/>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2884"/>
    <s v="30043999"/>
    <m/>
    <n v="20140626"/>
    <s v="508027602130410"/>
    <s v="7891317421434"/>
    <s v="1004309420022"/>
    <x v="143"/>
    <x v="173"/>
    <m/>
    <s v="CLORIDRATO DE RANITIDINA"/>
    <s v=""/>
    <s v=""/>
    <s v=""/>
    <s v=""/>
    <m/>
    <x v="54"/>
    <s v="EUROFARMA LABORATÓRIOS S.A."/>
    <s v="61190096000192"/>
    <s v="CLORIDRATO DE RANITIDINA"/>
    <n v="1"/>
    <n v="0"/>
    <n v="0"/>
    <n v="0"/>
    <s v="-"/>
    <s v=" ASS/CORT/ESTER SIST"/>
    <s v=" 378-44-9"/>
    <s v="Tarja Vermelha"/>
    <s v="N"/>
    <s v="P"/>
    <s v="M"/>
    <n v="1595390"/>
    <n v="14261165"/>
    <n v="32364317.719999999"/>
    <x v="1"/>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0529"/>
    <s v="30049099"/>
    <m/>
    <n v="20140626"/>
    <s v="500508301132416"/>
    <s v="7896658005107"/>
    <s v="1057303330091"/>
    <x v="144"/>
    <x v="174"/>
    <m/>
    <s v="CLORIDRATO DE RANITIDINA"/>
    <s v=""/>
    <s v=""/>
    <s v=""/>
    <s v=""/>
    <m/>
    <x v="11"/>
    <s v="ACHÉ LABORATÓRIOS FARMACÊUTICOS S.A."/>
    <s v="60659463000191"/>
    <s v="CLORIDRATO DE RANITIDINA"/>
    <n v="1"/>
    <n v="0"/>
    <n v="0"/>
    <n v="0"/>
    <s v="+"/>
    <s v=" ANTAGONISTA RECEPTORES H2"/>
    <s v=" 66357-59-3"/>
    <s v="Tarja Vermelha"/>
    <s v="I"/>
    <s v="E"/>
    <s v="M"/>
    <n v="595681"/>
    <n v="5344668"/>
    <n v="12185026.710000001"/>
    <x v="35"/>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2813"/>
    <s v="30039079"/>
    <m/>
    <n v="20140626"/>
    <s v="501601205111319"/>
    <s v="7896637023771"/>
    <s v="1011805960024"/>
    <x v="145"/>
    <x v="175"/>
    <m/>
    <s v="BETAISTINA"/>
    <s v=""/>
    <s v=""/>
    <s v=""/>
    <s v=""/>
    <m/>
    <x v="13"/>
    <s v="APSEN FARMACEUTICA S/A"/>
    <s v="62462015000129"/>
    <s v="BETAISTINA"/>
    <n v="0"/>
    <n v="0"/>
    <n v="0"/>
    <n v="0"/>
    <s v="-"/>
    <s v=" ANTIVERTIGINOSOS"/>
    <s v=" 5638-76-6"/>
    <s v="Tarja Vermelha"/>
    <s v="N"/>
    <s v="P"/>
    <s v="R"/>
    <n v="1750235"/>
    <n v="20761182"/>
    <n v="47369201.859999999"/>
    <x v="39"/>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816"/>
    <s v="30039079"/>
    <m/>
    <n v="20140626"/>
    <s v="501601201116413"/>
    <s v="7896637022903"/>
    <s v="1011801570094"/>
    <x v="145"/>
    <x v="176"/>
    <m/>
    <s v="BETAISTINA"/>
    <s v=""/>
    <s v=""/>
    <s v=""/>
    <s v=""/>
    <m/>
    <x v="13"/>
    <s v="APSEN FARMACEUTICA S/A"/>
    <s v="62462015000129"/>
    <s v="BETAISTINA"/>
    <n v="0"/>
    <n v="0"/>
    <n v="0"/>
    <n v="0"/>
    <s v="-"/>
    <s v=" ANTIVERTIGINOSOS"/>
    <s v=" 5638-76-6"/>
    <s v="Tarja Vermelha"/>
    <s v="N"/>
    <s v="P"/>
    <s v="R"/>
    <n v="1263483"/>
    <n v="11194307"/>
    <n v="25537902.640000001"/>
    <x v="39"/>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3615"/>
    <s v="30049099"/>
    <m/>
    <n v="20140626"/>
    <s v="502807102154217"/>
    <s v="7891058009212"/>
    <s v="1130002850064"/>
    <x v="146"/>
    <x v="177"/>
    <m/>
    <s v="INSULINA GLARGINA"/>
    <s v=""/>
    <s v=""/>
    <s v=""/>
    <s v=""/>
    <m/>
    <x v="6"/>
    <s v="SANOFI-AVENTIS FARMACÊUTICA LTDA"/>
    <s v="02685377000157"/>
    <s v="INSULINA GLARGINA"/>
    <n v="1"/>
    <n v="0"/>
    <n v="0"/>
    <n v="0"/>
    <s v="+"/>
    <s v=" INS HUM+ANALOG AC PROL"/>
    <s v=" 160337-95-1"/>
    <s v="Tarja Vermelha"/>
    <s v="I"/>
    <s v="E"/>
    <s v="R"/>
    <n v="951627"/>
    <n v="33226915"/>
    <n v="75870903.200000003"/>
    <x v="34"/>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4616"/>
    <s v="30049099"/>
    <m/>
    <n v="20140626"/>
    <s v="508008704111117"/>
    <s v="7891317414139"/>
    <s v="1004308870032"/>
    <x v="147"/>
    <x v="178"/>
    <s v="levofloxacino"/>
    <s v="LEVOFLOXACINO"/>
    <s v=""/>
    <s v=""/>
    <s v=""/>
    <s v=""/>
    <m/>
    <x v="23"/>
    <s v="EUROFARMA LABORATÓRIOS S.A."/>
    <s v="61190096000192"/>
    <s v="LEVOFLOXACINO"/>
    <n v="2"/>
    <n v="0"/>
    <n v="0"/>
    <n v="0"/>
    <s v="+"/>
    <s v=" FLUORQUINOLONAS ORAIS"/>
    <s v=" 100986-85-4"/>
    <s v="Tarja Vermelha"/>
    <s v="I"/>
    <s v="E"/>
    <s v="G"/>
    <n v="430229"/>
    <n v="8571879"/>
    <n v="19466187.390000001"/>
    <x v="4"/>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15105"/>
    <s v="30049099"/>
    <m/>
    <n v="20140626"/>
    <s v="507733502112112"/>
    <s v="7896004713137"/>
    <s v="1023507570167"/>
    <x v="147"/>
    <x v="178"/>
    <s v="levofloxacino"/>
    <s v="LEVOFLOXACINO"/>
    <s v=""/>
    <s v=""/>
    <s v=""/>
    <s v=""/>
    <m/>
    <x v="2"/>
    <s v="EMS S/A"/>
    <s v="57507378000101"/>
    <s v="LEVOFLOXACINO"/>
    <n v="2"/>
    <n v="0"/>
    <n v="0"/>
    <n v="0"/>
    <s v="+"/>
    <s v=" FLUORQUINOLONAS ORAIS"/>
    <s v=" 100986-85-4"/>
    <s v="Tarja Vermelha"/>
    <s v="I"/>
    <s v="E"/>
    <s v="G"/>
    <n v="481482"/>
    <n v="9545894"/>
    <n v="21725966.699999999"/>
    <x v="4"/>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9858"/>
    <s v="30043939"/>
    <m/>
    <n v="20140626"/>
    <s v="523702101118419"/>
    <s v="7896094201378"/>
    <s v="1003301280010"/>
    <x v="148"/>
    <x v="179"/>
    <m/>
    <s v="TIBOLONA"/>
    <s v=""/>
    <s v=""/>
    <s v=""/>
    <s v=""/>
    <m/>
    <x v="19"/>
    <s v="LIBBS FARMACÊUTICA LTDA"/>
    <s v="61230314000175"/>
    <s v="TIBOLONA"/>
    <n v="1"/>
    <n v="0"/>
    <n v="0"/>
    <n v="0"/>
    <s v="+"/>
    <s v=" OUT.HORM.SEXUAIS/PR.SIM."/>
    <s v=" 5630-53-5"/>
    <s v="Tarja Vermelha"/>
    <s v="I"/>
    <s v="E"/>
    <s v="M"/>
    <n v="380144"/>
    <n v="4595959"/>
    <n v="10494856.220000001"/>
    <x v="5"/>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5749"/>
    <s v="30049099"/>
    <m/>
    <n v="20140626"/>
    <s v="509002401172310"/>
    <s v="7898040320904"/>
    <s v="1491600170017"/>
    <x v="149"/>
    <x v="180"/>
    <m/>
    <s v="LIDOCAINA"/>
    <s v="POLIMIXINA B"/>
    <s v=""/>
    <s v=""/>
    <s v=""/>
    <m/>
    <x v="55"/>
    <s v="FARMOQUÍMICA S/A"/>
    <s v="33349473000158"/>
    <s v="LIDOCAINA"/>
    <n v="5"/>
    <n v="0"/>
    <n v="0"/>
    <n v="0"/>
    <s v="-"/>
    <s v=" ANTI-INFECCIOSOS OTICOS"/>
    <s v=" 137-58-6"/>
    <s v="Tarja Vermelha"/>
    <s v="N"/>
    <s v="P"/>
    <s v="R"/>
    <n v="317610"/>
    <n v="1012774"/>
    <n v="2315518.2999999998"/>
    <x v="0"/>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5865"/>
    <s v="30039079"/>
    <m/>
    <n v="20140626"/>
    <s v="506404502114419"/>
    <s v="7896523202822"/>
    <s v="1438100410020"/>
    <x v="150"/>
    <x v="181"/>
    <m/>
    <s v="LORATADINA"/>
    <s v=""/>
    <s v=""/>
    <s v=""/>
    <s v=""/>
    <m/>
    <x v="34"/>
    <s v="CIMED INDÚSTRIA DE MEDICAMENTOS LTDA"/>
    <s v="02814497000107"/>
    <s v="LORATADINA"/>
    <n v="0"/>
    <n v="0"/>
    <n v="0"/>
    <n v="0"/>
    <s v="-"/>
    <s v=" A/HISTAMINICOS SIST"/>
    <s v=" 79794-75-5"/>
    <s v="Tarja Vermelha"/>
    <s v="N"/>
    <s v="P"/>
    <s v="M"/>
    <n v="1503708"/>
    <n v="13048207"/>
    <n v="29710959.469999999"/>
    <x v="1"/>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5984"/>
    <s v="30049079"/>
    <m/>
    <n v="20140626"/>
    <s v="525007701117119"/>
    <s v="7896422507738"/>
    <s v="1018104340027"/>
    <x v="151"/>
    <x v="182"/>
    <m/>
    <s v="LOSARTANA"/>
    <s v=""/>
    <s v=""/>
    <s v=""/>
    <s v=""/>
    <m/>
    <x v="15"/>
    <s v="MEDLEY INDÚSTRIA FARMACÊUTICA LTDA"/>
    <s v="50929710000179"/>
    <s v="LOSARTANA"/>
    <n v="2"/>
    <n v="0"/>
    <n v="0"/>
    <n v="0"/>
    <s v="+"/>
    <s v=" ANT.PUROS ANGIOTENSI.II"/>
    <s v=" 114798-26-4"/>
    <s v="Tarja Vermelha"/>
    <s v="I"/>
    <s v="E"/>
    <s v="G"/>
    <n v="3824603"/>
    <n v="39197160"/>
    <n v="89240810.030000001"/>
    <x v="24"/>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16006"/>
    <s v="30049079"/>
    <m/>
    <n v="20140626"/>
    <s v="528529603111115"/>
    <s v="7898148301720"/>
    <s v="1256802020023"/>
    <x v="151"/>
    <x v="183"/>
    <m/>
    <s v="LOSARTANA"/>
    <s v=""/>
    <s v=""/>
    <s v=""/>
    <s v=""/>
    <m/>
    <x v="14"/>
    <s v="PRATI DONADUZZI &amp; CIA LTDA"/>
    <s v="73856593000166"/>
    <s v="LOSARTANA"/>
    <n v="2"/>
    <n v="0"/>
    <n v="0"/>
    <n v="0"/>
    <s v="+"/>
    <s v=" ANT.PUROS ANGIOTENSI.II"/>
    <s v=" 124750-99-8"/>
    <s v="Tarja Vermelha"/>
    <s v="I"/>
    <s v="E"/>
    <s v="G"/>
    <n v="6240296"/>
    <n v="23123130"/>
    <n v="52694030.770000003"/>
    <x v="24"/>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16561"/>
    <s v="30049079"/>
    <m/>
    <n v="20140626"/>
    <s v="520727901113119"/>
    <s v="7896112114185"/>
    <s v="1037005050027"/>
    <x v="151"/>
    <x v="183"/>
    <m/>
    <s v="LOSARTANA"/>
    <s v=""/>
    <s v=""/>
    <s v=""/>
    <s v=""/>
    <m/>
    <x v="1"/>
    <s v="LABORATÓRIO TEUTO BRASILEIRO S/A"/>
    <s v="17159229000176"/>
    <s v="LOSARTANA"/>
    <n v="2"/>
    <n v="0"/>
    <n v="0"/>
    <n v="0"/>
    <s v="+"/>
    <s v=" ANT.PUROS ANGIOTENSI.II"/>
    <s v=" 124750-99-8"/>
    <s v="Tarja Vermelha"/>
    <s v="I"/>
    <s v="E"/>
    <s v="G"/>
    <n v="4581265"/>
    <n v="20799883"/>
    <n v="47403205.590000004"/>
    <x v="24"/>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16597"/>
    <s v="30049079"/>
    <m/>
    <n v="20140626"/>
    <s v="519029901114111"/>
    <s v="7896714208565"/>
    <s v="1046505050041"/>
    <x v="151"/>
    <x v="183"/>
    <m/>
    <s v="LOSARTANA"/>
    <s v=""/>
    <s v=""/>
    <s v=""/>
    <s v=""/>
    <m/>
    <x v="35"/>
    <s v="LABORATÓRIO NEO QUÍMICA COMÉRCIO E INDÚSTRIA LTDA"/>
    <s v="29785870000103"/>
    <s v="LOSARTANA"/>
    <n v="2"/>
    <n v="0"/>
    <n v="0"/>
    <n v="0"/>
    <s v="+"/>
    <s v=" ANT.PUROS ANGIOTENSI.II"/>
    <s v=" 124750-99-8"/>
    <s v="Tarja Vermelha"/>
    <s v="I"/>
    <s v="E"/>
    <s v="G"/>
    <n v="17486987"/>
    <n v="178996891"/>
    <n v="408669801.89999998"/>
    <x v="24"/>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16616"/>
    <s v="30049079"/>
    <m/>
    <n v="20140626"/>
    <s v="507737602111110"/>
    <s v="7896004706795"/>
    <s v="1023508100547"/>
    <x v="151"/>
    <x v="183"/>
    <m/>
    <s v="LOSARTANA"/>
    <s v=""/>
    <s v=""/>
    <s v=""/>
    <s v=""/>
    <m/>
    <x v="2"/>
    <s v="EMS S/A"/>
    <s v="57507378000101"/>
    <s v="LOSARTANA"/>
    <n v="2"/>
    <n v="0"/>
    <n v="0"/>
    <n v="0"/>
    <s v="+"/>
    <s v=" ANT.PUROS ANGIOTENSI.II"/>
    <s v=" 124750-99-8"/>
    <s v="Tarja Vermelha"/>
    <s v="I"/>
    <s v="E"/>
    <s v="G"/>
    <n v="6680316"/>
    <n v="68365392"/>
    <n v="156003914.25999999"/>
    <x v="24"/>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16626"/>
    <s v="30049079"/>
    <m/>
    <n v="20140626"/>
    <s v="508019202110111"/>
    <s v="7891317427542"/>
    <s v="1004309110041"/>
    <x v="151"/>
    <x v="183"/>
    <m/>
    <s v="LOSARTANA"/>
    <s v=""/>
    <s v=""/>
    <s v=""/>
    <s v=""/>
    <m/>
    <x v="11"/>
    <s v="EUROFARMA LABORATÓRIOS S.A."/>
    <s v="61190096000192"/>
    <s v="LOSARTANA"/>
    <n v="2"/>
    <n v="0"/>
    <n v="0"/>
    <n v="0"/>
    <s v="+"/>
    <s v=" ANT.PUROS ANGIOTENSI.II"/>
    <s v=" 124750-99-8"/>
    <s v="Tarja Vermelha"/>
    <s v="I"/>
    <s v="P"/>
    <s v="G"/>
    <n v="3411659"/>
    <n v="30788997"/>
    <n v="70181377.390000001"/>
    <x v="24"/>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16626"/>
    <s v="30049079"/>
    <m/>
    <n v="20140626"/>
    <s v="508019202110111"/>
    <s v="7891317427542"/>
    <s v="1004309110041"/>
    <x v="151"/>
    <x v="183"/>
    <m/>
    <s v="LOSARTANA"/>
    <s v=""/>
    <s v=""/>
    <s v=""/>
    <s v=""/>
    <m/>
    <x v="23"/>
    <s v="EUROFARMA LABORATÓRIOS S.A."/>
    <s v="61190096000192"/>
    <s v="LOSARTANA"/>
    <n v="2"/>
    <n v="0"/>
    <n v="0"/>
    <n v="0"/>
    <s v="+"/>
    <s v=" ANT.PUROS ANGIOTENSI.II"/>
    <s v=" 124750-99-8"/>
    <s v="Tarja Vermelha"/>
    <s v="I"/>
    <s v="P"/>
    <s v="G"/>
    <n v="3991245"/>
    <n v="40757517"/>
    <n v="93220169.310000002"/>
    <x v="24"/>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23952"/>
    <s v="30049079"/>
    <m/>
    <n v="20140626"/>
    <s v="525903204115414"/>
    <s v="7896472503537"/>
    <s v="1181900430085"/>
    <x v="152"/>
    <x v="184"/>
    <m/>
    <s v="OMEPRAZOL"/>
    <s v=""/>
    <s v=""/>
    <s v=""/>
    <s v=""/>
    <m/>
    <x v="30"/>
    <s v="MULTILAB INDÚSTRIA E COMÉRCIO DE PRODUTOS FARMACÊUTICOS LTDA"/>
    <s v="92265552000140"/>
    <s v="OMEPRAZOL"/>
    <n v="3"/>
    <n v="0"/>
    <n v="0"/>
    <n v="0"/>
    <s v="-"/>
    <s v=" INIBIDORES DA BOMBA ACIDA"/>
    <m/>
    <m/>
    <s v="N"/>
    <s v="E"/>
    <s v="M"/>
    <n v="4049820"/>
    <n v="57552678"/>
    <n v="131485899.95"/>
    <x v="35"/>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3953"/>
    <s v="30049099"/>
    <m/>
    <n v="20140626"/>
    <s v="525903202112418"/>
    <s v="7896472502264"/>
    <s v="1181900430077"/>
    <x v="152"/>
    <x v="185"/>
    <m/>
    <s v="OMEPRAZOL"/>
    <s v=""/>
    <s v=""/>
    <s v=""/>
    <s v=""/>
    <m/>
    <x v="30"/>
    <s v="MULTILAB INDÚSTRIA E COMÉRCIO DE PRODUTOS FARMACÊUTICOS LTDA"/>
    <s v="92265552000140"/>
    <s v="OMEPRAZOL"/>
    <n v="3"/>
    <n v="0"/>
    <n v="0"/>
    <n v="0"/>
    <s v="-"/>
    <s v=" INIBIDORES DA BOMBA ACIDA"/>
    <m/>
    <m/>
    <s v="N"/>
    <s v="E"/>
    <s v="M"/>
    <n v="3044856"/>
    <n v="24010600"/>
    <n v="54859663.890000001"/>
    <x v="35"/>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144"/>
    <s v="30049099"/>
    <m/>
    <n v="20140626"/>
    <s v="505103002130315"/>
    <s v="7896016804915"/>
    <s v="1018001200079"/>
    <x v="153"/>
    <x v="186"/>
    <m/>
    <s v="DIMETICONA"/>
    <s v=""/>
    <s v=""/>
    <s v=""/>
    <s v=""/>
    <m/>
    <x v="56"/>
    <s v="BRISTOL-MYERS SQUIBB FARMACÊUTICA S.A."/>
    <s v="56998982000107"/>
    <s v="DIMETICONA"/>
    <n v="9"/>
    <n v="0"/>
    <n v="0"/>
    <n v="0"/>
    <s v="-"/>
    <s v=" ANTIFLAT.PUROS/CARMINATI."/>
    <s v=" 8050-81-5"/>
    <s v="Venda Livre"/>
    <s v="N"/>
    <s v="E"/>
    <s v="R"/>
    <n v="4556765"/>
    <n v="25309472"/>
    <n v="57768187.609999999"/>
    <x v="41"/>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2756"/>
    <s v="30042079"/>
    <m/>
    <n v="20140626"/>
    <s v="512402802115311"/>
    <s v="7891142165770"/>
    <s v="1009300620062"/>
    <x v="154"/>
    <x v="187"/>
    <m/>
    <s v="NITROFURANTOINA"/>
    <s v=""/>
    <s v=""/>
    <s v=""/>
    <s v=""/>
    <m/>
    <x v="12"/>
    <s v="MANTECORP INDÚSTRIA QUÍMICA E FARMACÊUTICA S.A."/>
    <s v="33060740000172"/>
    <s v="NITROFURANTOINA"/>
    <n v="1"/>
    <n v="0"/>
    <n v="0"/>
    <n v="0"/>
    <s v="+"/>
    <s v=" OUT ANTISEP URINAR"/>
    <s v=" 67-20-9"/>
    <s v="Tarja Vermelha"/>
    <s v="I"/>
    <s v="E"/>
    <s v="R"/>
    <n v="1573107"/>
    <n v="4816821"/>
    <n v="10999024.26"/>
    <x v="4"/>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6785"/>
    <s v="30049067"/>
    <m/>
    <n v="20140626"/>
    <s v="520714001119119"/>
    <s v="7896112126225"/>
    <s v="1037004420221"/>
    <x v="155"/>
    <x v="188"/>
    <m/>
    <s v="MALEATO DE ENALAPRIL"/>
    <s v=""/>
    <s v=""/>
    <s v=""/>
    <s v=""/>
    <m/>
    <x v="1"/>
    <s v="LABORATÓRIO TEUTO BRASILEIRO S/A"/>
    <s v="17159229000176"/>
    <s v="MALEATO DE ENALAPRIL"/>
    <n v="3"/>
    <n v="0"/>
    <n v="0"/>
    <n v="0"/>
    <s v="+"/>
    <s v=" INIBIDORES ACE PUROS"/>
    <s v=" 76095-16-4"/>
    <s v="Tarja Vermelha"/>
    <s v="I"/>
    <s v="E"/>
    <s v="G"/>
    <n v="4248695"/>
    <n v="23465440"/>
    <n v="53543879.039999999"/>
    <x v="24"/>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16895"/>
    <s v="30049067"/>
    <m/>
    <n v="20140626"/>
    <s v="519022501110111"/>
    <s v="7896714205823"/>
    <s v="1046503920030"/>
    <x v="155"/>
    <x v="188"/>
    <m/>
    <s v="MALEATO DE ENALAPRIL"/>
    <s v=""/>
    <s v=""/>
    <s v=""/>
    <s v=""/>
    <m/>
    <x v="35"/>
    <s v="LABORATÓRIO NEO QUÍMICA COMÉRCIO E INDÚSTRIA LTDA"/>
    <s v="29785870000103"/>
    <s v="MALEATO DE ENALAPRIL"/>
    <n v="3"/>
    <n v="0"/>
    <n v="0"/>
    <n v="0"/>
    <s v="+"/>
    <s v=" INIBIDORES ACE PUROS"/>
    <s v=" 76095-16-4"/>
    <s v="Tarja Vermelha"/>
    <s v="I"/>
    <s v="E"/>
    <s v="G"/>
    <n v="5234009"/>
    <n v="42571965"/>
    <n v="97232847.359999999"/>
    <x v="24"/>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18348"/>
    <s v="30049079"/>
    <m/>
    <n v="20140626"/>
    <s v="520727201170111"/>
    <s v="7896112126669"/>
    <s v="1037004930015"/>
    <x v="156"/>
    <x v="189"/>
    <s v="Timolol"/>
    <s v="MALEATO DE TIMOLOL"/>
    <s v=""/>
    <s v=""/>
    <s v=""/>
    <s v=""/>
    <m/>
    <x v="1"/>
    <s v="LABORATÓRIO TEUTO BRASILEIRO S/A"/>
    <s v="17159229000176"/>
    <s v="MALEATO DE TIMOLOL"/>
    <n v="7"/>
    <n v="0"/>
    <n v="0"/>
    <n v="0"/>
    <s v="+"/>
    <s v=" PREP ANTI/GLAUC/MIOT/TOP."/>
    <s v=" 26921-17-5"/>
    <s v="Tarja Vermelha"/>
    <s v="I"/>
    <s v="E"/>
    <s v="G"/>
    <n v="497090"/>
    <n v="1249060"/>
    <n v="2851845.47"/>
    <x v="19"/>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18349"/>
    <s v="30049079"/>
    <m/>
    <n v="20140626"/>
    <s v="526123001175111"/>
    <s v="7896004716046"/>
    <s v="1058304440083"/>
    <x v="156"/>
    <x v="189"/>
    <s v="Timolol"/>
    <s v="MALEATO DE TIMOLOL"/>
    <s v=""/>
    <s v=""/>
    <s v=""/>
    <s v=""/>
    <m/>
    <x v="37"/>
    <s v="GERMED FARMACEUTICA LTDA"/>
    <s v="45992062000165"/>
    <s v="MALEATO DE TIMOLOL"/>
    <n v="7"/>
    <n v="0"/>
    <n v="0"/>
    <n v="0"/>
    <s v="+"/>
    <s v=" PREP ANTI/GLAUC/MIOT/TOP."/>
    <s v=" 26921-17-5"/>
    <s v="Tarja Vermelha"/>
    <s v="I"/>
    <s v="E"/>
    <s v="G"/>
    <n v="446176"/>
    <n v="1005591"/>
    <n v="2297935.44"/>
    <x v="19"/>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18359"/>
    <s v="30049079"/>
    <m/>
    <n v="20140626"/>
    <s v="519027401173112"/>
    <s v="7896714225753"/>
    <s v="1046504620030"/>
    <x v="156"/>
    <x v="190"/>
    <s v="Timolol"/>
    <s v="MALEATO DE TIMOLOL"/>
    <s v=""/>
    <s v=""/>
    <s v=""/>
    <s v=""/>
    <m/>
    <x v="35"/>
    <s v="LABORATÓRIO NEO QUÍMICA COMÉRCIO E INDÚSTRIA LTDA"/>
    <s v="29785870000103"/>
    <s v="MALEATO DE TIMOLOL"/>
    <n v="7"/>
    <n v="0"/>
    <n v="0"/>
    <n v="0"/>
    <s v="+"/>
    <s v=" PREP ANTI/GLAUC/MIOT/TOP."/>
    <s v=" 26921-17-5"/>
    <s v="Tarja Vermelha"/>
    <s v="I"/>
    <s v="E"/>
    <s v="G"/>
    <n v="502335"/>
    <n v="1255886"/>
    <n v="2865235.72"/>
    <x v="19"/>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18372"/>
    <s v="30049079"/>
    <m/>
    <n v="20140626"/>
    <s v="501003703177115"/>
    <s v="7897316804261"/>
    <s v="1014701570011"/>
    <x v="156"/>
    <x v="189"/>
    <s v="Timolol"/>
    <s v="MALEATO DE TIMOLOL"/>
    <s v=""/>
    <s v=""/>
    <s v=""/>
    <s v=""/>
    <m/>
    <x v="11"/>
    <s v="ALLERGAN PRODUTOS FARMACÊUTICOS LTDA"/>
    <s v="43426626000177"/>
    <s v="MALEATO DE TIMOLOL"/>
    <n v="7"/>
    <n v="0"/>
    <n v="0"/>
    <n v="0"/>
    <s v="+"/>
    <s v=" PREP ANTI/GLAUC/MIOT/TOP."/>
    <s v=" 26921-17-5"/>
    <s v="Tarja Vermelha"/>
    <s v="I"/>
    <s v="E"/>
    <s v="G"/>
    <n v="793004"/>
    <n v="1892368"/>
    <n v="4321413.62"/>
    <x v="19"/>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18374"/>
    <s v="30049079"/>
    <m/>
    <n v="20140626"/>
    <s v="507733602133111"/>
    <s v="7896004715711"/>
    <s v="1023507740186"/>
    <x v="156"/>
    <x v="190"/>
    <s v="Timolol"/>
    <s v="MALEATO DE TIMOLOL"/>
    <s v=""/>
    <s v=""/>
    <s v=""/>
    <s v=""/>
    <m/>
    <x v="2"/>
    <s v="EMS S/A"/>
    <s v="57507378000101"/>
    <s v="MALEATO DE TIMOLOL"/>
    <n v="7"/>
    <n v="0"/>
    <n v="0"/>
    <n v="0"/>
    <s v="+"/>
    <s v=" PREP ANTI/GLAUC/MIOT/TOP."/>
    <s v=" 26921-17-5"/>
    <s v="Tarja Vermelha"/>
    <s v="I"/>
    <s v="E"/>
    <s v="G"/>
    <n v="1120971"/>
    <n v="2794123"/>
    <n v="6377148.2400000002"/>
    <x v="19"/>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14177"/>
    <s v="30049099"/>
    <m/>
    <n v="20140626"/>
    <s v="508012120095203"/>
    <s v="7891317000714"/>
    <s v="1004305190049"/>
    <x v="157"/>
    <x v="191"/>
    <m/>
    <s v="AMANTADINA"/>
    <s v=""/>
    <s v=""/>
    <s v=""/>
    <s v=""/>
    <m/>
    <x v="54"/>
    <s v="EUROFARMA LABORATÓRIOS S.A."/>
    <s v="61190096000192"/>
    <s v="AMANTADINA"/>
    <n v="0"/>
    <n v="0"/>
    <n v="0"/>
    <n v="0"/>
    <s v="+"/>
    <s v=" A/PARKINSONIANOS"/>
    <s v=" 665-66-7"/>
    <s v="Tarja Vermelha"/>
    <s v="I"/>
    <s v="E"/>
    <s v="M"/>
    <n v="743974"/>
    <n v="3428345"/>
    <n v="7825831.75"/>
    <x v="11"/>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5338"/>
    <s v="30049099"/>
    <m/>
    <n v="20140626"/>
    <s v="519006901177416"/>
    <s v="7896714273006"/>
    <s v="1046500090000"/>
    <x v="158"/>
    <x v="192"/>
    <m/>
    <s v="CANFORA"/>
    <s v="MENTOL"/>
    <s v="SALICILATO METILA"/>
    <s v=""/>
    <s v=""/>
    <m/>
    <x v="35"/>
    <s v="LABORATÓRIO NEO QUÍMICA COMÉRCIO E INDÚSTRIA LTDA"/>
    <s v="29785870000103"/>
    <s v="CANFORA"/>
    <n v="0"/>
    <n v="1"/>
    <n v="0"/>
    <n v="0"/>
    <s v="-"/>
    <s v=" ANTIREUMATICOS/ANALG TOP"/>
    <s v=" 119-36-8"/>
    <s v="Venda Livre"/>
    <s v="N"/>
    <s v="P"/>
    <s v="M"/>
    <n v="2289882"/>
    <n v="22759391"/>
    <n v="51941398.119999997"/>
    <x v="38"/>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3364"/>
    <s v="30049099"/>
    <m/>
    <n v="20140626"/>
    <s v="540400302137418"/>
    <s v="7898133130403"/>
    <s v="1384100020017"/>
    <x v="159"/>
    <x v="193"/>
    <m/>
    <s v="DIPIRONA SODICA"/>
    <s v=""/>
    <s v=""/>
    <s v=""/>
    <s v=""/>
    <m/>
    <x v="57"/>
    <s v="NATULAB LABORATÓRIO S.A"/>
    <s v="02456955000183"/>
    <s v="DIPIRONA SODICA"/>
    <n v="1"/>
    <n v="0"/>
    <n v="0"/>
    <n v="0"/>
    <s v="-"/>
    <s v=" ANALG NAO NARCOT/A/PIRET"/>
    <s v=" 68-89-3"/>
    <s v="Venda Livre"/>
    <s v="N"/>
    <s v="P"/>
    <s v="M"/>
    <n v="4819671"/>
    <n v="6081977"/>
    <n v="13823748.720000001"/>
    <x v="15"/>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3364"/>
    <s v="30049099"/>
    <m/>
    <n v="20140626"/>
    <s v="540400302137418"/>
    <s v="7898133130403"/>
    <s v="1384100020017"/>
    <x v="159"/>
    <x v="194"/>
    <m/>
    <s v="DIPIRONA SODICA"/>
    <s v=""/>
    <s v=""/>
    <s v=""/>
    <s v=""/>
    <m/>
    <x v="57"/>
    <s v="NATULAB LABORATÓRIO S.A"/>
    <s v="02456955000183"/>
    <s v="DIPIRONA SODICA"/>
    <n v="1"/>
    <n v="0"/>
    <n v="0"/>
    <n v="0"/>
    <s v="-"/>
    <s v=" ANALG NAO NARCOT/A/PIRET"/>
    <s v=" 68-89-3"/>
    <s v="Venda Livre"/>
    <s v="N"/>
    <s v="P"/>
    <s v="M"/>
    <n v="4819671"/>
    <n v="6081977"/>
    <n v="13823748.720000001"/>
    <x v="7"/>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3364"/>
    <s v="30049099"/>
    <m/>
    <n v="20140626"/>
    <s v="540400302137418"/>
    <s v="7898133130403"/>
    <s v="1384100020017"/>
    <x v="159"/>
    <x v="195"/>
    <m/>
    <s v="DIPIRONA SODICA"/>
    <s v=""/>
    <s v=""/>
    <s v=""/>
    <s v=""/>
    <m/>
    <x v="57"/>
    <s v="NATULAB LABORATÓRIO S.A"/>
    <s v="02456955000183"/>
    <s v="DIPIRONA SODICA"/>
    <n v="1"/>
    <n v="0"/>
    <n v="0"/>
    <n v="0"/>
    <s v="-"/>
    <s v=" ANALG NAO NARCOT/A/PIRET"/>
    <s v=" 68-89-3"/>
    <s v="Venda Livre"/>
    <s v="N"/>
    <s v="P"/>
    <s v="M"/>
    <n v="4819671"/>
    <n v="6081977"/>
    <n v="13823748.720000001"/>
    <x v="22"/>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5004"/>
    <s v="30043210"/>
    <m/>
    <n v="20140626"/>
    <s v="500902502176311"/>
    <s v="7896548111727"/>
    <s v="1002300800020"/>
    <x v="160"/>
    <x v="196"/>
    <m/>
    <s v="DEXAMETASONA"/>
    <s v=""/>
    <s v=""/>
    <s v=""/>
    <s v=""/>
    <m/>
    <x v="26"/>
    <s v="ALCON LABORATÓRIOS DO BRASIL LTDA."/>
    <s v="60412327000100"/>
    <s v="DEXAMETASONA"/>
    <n v="10"/>
    <n v="0"/>
    <n v="0"/>
    <n v="0"/>
    <s v="+"/>
    <s v=" CORTICOSTEROID.OFTALMOLOG"/>
    <s v=" 50-02-2"/>
    <s v="Tarja Vermelha"/>
    <s v="I"/>
    <s v="E"/>
    <s v="R"/>
    <n v="1381370"/>
    <n v="2896739"/>
    <n v="6614474.4500000002"/>
    <x v="37"/>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25046"/>
    <s v="30042099"/>
    <m/>
    <n v="20140626"/>
    <s v="500902602170313"/>
    <s v="7896548111987"/>
    <s v="1002300810026"/>
    <x v="161"/>
    <x v="197"/>
    <m/>
    <s v="DEXAMETASONAASONA"/>
    <s v="NEOMICINA"/>
    <s v="POLIMIXINA B"/>
    <s v=""/>
    <s v=""/>
    <m/>
    <x v="26"/>
    <s v="ALCON LABORATÓRIOS DO BRASIL LTDA."/>
    <s v="60412327000100"/>
    <s v="DEXAMETASONAASONA"/>
    <n v="0"/>
    <n v="2"/>
    <n v="0"/>
    <n v="0"/>
    <s v="+"/>
    <s v=" CORTICOEST OFTAL+A-INFEC"/>
    <s v=" 50-02-2"/>
    <s v="Tarja Vermelha"/>
    <s v="II"/>
    <s v="P"/>
    <s v="R"/>
    <n v="955071"/>
    <n v="4143618"/>
    <n v="9459753.4499999993"/>
    <x v="37"/>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8571"/>
    <s v="30039079"/>
    <m/>
    <n v="20140626"/>
    <s v="501603401112310"/>
    <s v="7896637023115"/>
    <s v="1011801650063"/>
    <x v="162"/>
    <x v="198"/>
    <m/>
    <s v="MECLIZINA"/>
    <s v=""/>
    <s v=""/>
    <s v=""/>
    <s v=""/>
    <m/>
    <x v="13"/>
    <s v="APSEN FARMACEUTICA S/A"/>
    <s v="62462015000129"/>
    <s v="MECLIZINA"/>
    <n v="0"/>
    <n v="0"/>
    <n v="0"/>
    <n v="0"/>
    <s v="-"/>
    <s v=" OUT.ANTIEMET./ANTINAUS."/>
    <s v=" 569-65-3"/>
    <s v="Tarja Vermelha"/>
    <s v="N"/>
    <s v="P"/>
    <s v="R"/>
    <n v="1308560"/>
    <n v="7316368"/>
    <n v="16709722.789999999"/>
    <x v="29"/>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090"/>
    <s v="30049047"/>
    <m/>
    <n v="20140626"/>
    <s v="540912100007514"/>
    <s v="7896094901117"/>
    <s v="1781700860017"/>
    <x v="163"/>
    <x v="199"/>
    <m/>
    <s v="DIGLUCONATO DE CLOREXIDINA"/>
    <s v=""/>
    <s v=""/>
    <s v=""/>
    <s v=""/>
    <m/>
    <x v="28"/>
    <s v="COSMED INDUSTRIA DE COSMETICOS E MEDICAMENTOS S.A."/>
    <s v="61082426000207"/>
    <s v="DIGLUCONATO DE CLOREXIDINA"/>
    <n v="0"/>
    <n v="0"/>
    <n v="0"/>
    <n v="0"/>
    <s v="-"/>
    <s v=" ANTISSEPT.E DESINFECTAN."/>
    <m/>
    <s v="Venda Livre"/>
    <s v="N"/>
    <s v="P"/>
    <s v="R"/>
    <n v="2766147"/>
    <n v="10237150"/>
    <n v="23407787.18"/>
    <x v="38"/>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9701"/>
    <s v="30049099"/>
    <m/>
    <n v="20140626"/>
    <s v="507731902113111"/>
    <s v="7896004712963"/>
    <s v="1023507680086"/>
    <x v="164"/>
    <x v="200"/>
    <m/>
    <s v="MESALAZINA"/>
    <s v=""/>
    <s v=""/>
    <s v=""/>
    <s v=""/>
    <m/>
    <x v="2"/>
    <s v="EMS S/A"/>
    <s v="57507378000101"/>
    <s v="MESALAZINA"/>
    <n v="1"/>
    <n v="0"/>
    <n v="0"/>
    <n v="0"/>
    <s v="+"/>
    <s v=" AG.ANTI-INFLAM.INTESTIN"/>
    <s v=" 89-57-6"/>
    <s v="Tarja Vermelha"/>
    <s v="I"/>
    <s v="E"/>
    <s v="G"/>
    <n v="150741"/>
    <n v="4492505"/>
    <n v="10256591.24"/>
    <x v="27"/>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5273"/>
    <s v="30043929"/>
    <m/>
    <n v="20140626"/>
    <s v="526510402173413"/>
    <s v="7896261001640"/>
    <s v="1006800500053"/>
    <x v="165"/>
    <x v="201"/>
    <m/>
    <s v="CALCITONINA DE SALMAO"/>
    <s v=""/>
    <s v=""/>
    <s v=""/>
    <s v=""/>
    <m/>
    <x v="48"/>
    <s v="NOVARTIS BIOCIENCIAS S.A"/>
    <s v="56994502000130"/>
    <s v="CALCITONINA DE SALMAO"/>
    <n v="0"/>
    <n v="0"/>
    <n v="0"/>
    <n v="0"/>
    <s v="+"/>
    <s v=" CALCITONINA"/>
    <s v=" 47931-85-1"/>
    <s v="Tarja Vermelha"/>
    <s v="I"/>
    <s v="E"/>
    <s v="M"/>
    <n v="8740"/>
    <n v="585701"/>
    <n v="1336583.83"/>
    <x v="5"/>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6064"/>
    <s v="30066000"/>
    <m/>
    <n v="20140626"/>
    <s v="538912040011614"/>
    <s v="7891106905961"/>
    <s v="1705600640011"/>
    <x v="166"/>
    <x v="202"/>
    <s v="levonorgestrel"/>
    <s v="ETINILESTRADIOL"/>
    <s v="LEVONORGESTREL"/>
    <s v=""/>
    <s v=""/>
    <s v=""/>
    <m/>
    <x v="20"/>
    <s v="BAYER S.A."/>
    <s v="18459628000115"/>
    <s v="ETINILESTRADIOL"/>
    <n v="17"/>
    <n v="5"/>
    <n v="0"/>
    <n v="0"/>
    <s v="+"/>
    <s v=" P.MONOF.C/ESTROG.&lt;50MCG"/>
    <s v=" 57-63-6"/>
    <s v="Tarja Vermelha"/>
    <s v="II"/>
    <s v="P"/>
    <s v="R"/>
    <n v="16968361"/>
    <n v="32961291"/>
    <n v="75301813.430000007"/>
    <x v="31"/>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3472"/>
    <s v="30049099"/>
    <m/>
    <n v="20140626"/>
    <s v="526510501171419"/>
    <s v="7896261004009"/>
    <s v="1006800980047"/>
    <x v="167"/>
    <x v="203"/>
    <m/>
    <s v="BECLOMETASONA"/>
    <s v=""/>
    <s v=""/>
    <s v=""/>
    <s v=""/>
    <m/>
    <x v="48"/>
    <s v="NOVARTIS BIOCIENCIAS S.A"/>
    <s v="56994502000130"/>
    <s v="BECLOMETASONA"/>
    <n v="0"/>
    <n v="0"/>
    <n v="0"/>
    <n v="0"/>
    <s v="+"/>
    <s v=" CORTICOIDES - INALANTES"/>
    <s v=" 5534-09-8"/>
    <s v="Tarja Vermelha"/>
    <s v="I"/>
    <s v="E"/>
    <s v="M"/>
    <n v="173220"/>
    <n v="1268816"/>
    <n v="2893518.7"/>
    <x v="12"/>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21011"/>
    <s v="30049059"/>
    <m/>
    <n v="20140626"/>
    <s v="521001402115318"/>
    <s v="7897851250561"/>
    <s v="1014600520205"/>
    <x v="168"/>
    <x v="204"/>
    <s v="mononitrato de isossorbida"/>
    <s v="ISOSSORBIDA"/>
    <s v=""/>
    <s v=""/>
    <s v=""/>
    <s v=""/>
    <m/>
    <x v="58"/>
    <s v="LABORATÓRIOS BALDACCI LTDA"/>
    <s v="61150447000131"/>
    <s v="ISOSSORBIDA"/>
    <n v="0"/>
    <n v="0"/>
    <n v="0"/>
    <n v="0"/>
    <s v="+"/>
    <s v=" NITRITOS E NITRATOS"/>
    <s v=" 16051-77-7"/>
    <s v="Tarja Vermelha"/>
    <s v="I"/>
    <s v="E"/>
    <s v="R"/>
    <n v="1679529"/>
    <n v="5987171"/>
    <n v="13662154.57"/>
    <x v="40"/>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21015"/>
    <s v="30049059"/>
    <m/>
    <n v="20140626"/>
    <s v="521122003114112"/>
    <s v="7896181906384"/>
    <s v="1121303400069"/>
    <x v="169"/>
    <x v="205"/>
    <s v="mononitrato de isossorbida"/>
    <s v="MONONITRATO DE ISOSSORBIDA"/>
    <s v=""/>
    <s v=""/>
    <s v=""/>
    <s v=""/>
    <m/>
    <x v="11"/>
    <s v="BIOSINTÉTICA FARMACÊUTICA LTDA"/>
    <s v="53162095000106"/>
    <s v="MONONITRATO DE ISOSSORBIDA"/>
    <n v="2"/>
    <n v="0"/>
    <n v="0"/>
    <n v="0"/>
    <s v="+"/>
    <s v=" NITRITOS E NITRATOS"/>
    <s v=" 16051-77-7"/>
    <s v="Tarja Vermelha"/>
    <s v="I"/>
    <s v="E"/>
    <s v="G"/>
    <n v="223459"/>
    <n v="1089760"/>
    <n v="2486971.7400000002"/>
    <x v="40"/>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21018"/>
    <s v="30049059"/>
    <m/>
    <n v="20140626"/>
    <s v="521122002118114"/>
    <s v="7896181908302"/>
    <s v="1121303400026"/>
    <x v="169"/>
    <x v="206"/>
    <s v="mononitrato de isossorbida"/>
    <s v="MONONITRATO DE ISOSSORBIDA"/>
    <s v=""/>
    <s v=""/>
    <s v=""/>
    <s v=""/>
    <m/>
    <x v="11"/>
    <s v="BIOSINTÉTICA FARMACÊUTICA LTDA"/>
    <s v="53162095000106"/>
    <s v="MONONITRATO DE ISOSSORBIDA"/>
    <n v="2"/>
    <n v="0"/>
    <n v="0"/>
    <n v="0"/>
    <s v="+"/>
    <s v=" NITRITOS E NITRATOS"/>
    <s v=" 16051-77-7"/>
    <s v="Tarja Vermelha"/>
    <s v="I"/>
    <s v="E"/>
    <s v="G"/>
    <n v="1319615"/>
    <n v="3293617"/>
    <n v="7518886.75"/>
    <x v="40"/>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21037"/>
    <s v="30049079"/>
    <m/>
    <n v="20140626"/>
    <s v="500515102115417"/>
    <s v="7896658014215"/>
    <s v="1057304050041"/>
    <x v="170"/>
    <x v="207"/>
    <m/>
    <s v="MONTELUCASTE DE SODIO"/>
    <s v=""/>
    <s v=""/>
    <s v=""/>
    <s v=""/>
    <m/>
    <x v="11"/>
    <s v="ACHÉ LABORATÓRIOS FARMACÊUTICOS S.A."/>
    <s v="60659463000191"/>
    <s v="MONTELUCASTE DE SODIO"/>
    <n v="1"/>
    <n v="0"/>
    <n v="0"/>
    <n v="0"/>
    <s v="+"/>
    <s v=" A-ASMAT A-LEUCOT SISTEMI"/>
    <s v=" 151767-02-1"/>
    <s v="Tarja Vermelha"/>
    <s v="I"/>
    <s v="E"/>
    <s v="M"/>
    <n v="378988"/>
    <n v="6113130"/>
    <n v="13923759.24"/>
    <x v="12"/>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21053"/>
    <s v="30049079"/>
    <m/>
    <n v="20140626"/>
    <s v="500512050041804"/>
    <s v="7896658019531"/>
    <s v="1057304050066"/>
    <x v="170"/>
    <x v="208"/>
    <m/>
    <s v="MONTELUCASTE DE SODIO"/>
    <s v=""/>
    <s v=""/>
    <s v=""/>
    <s v=""/>
    <m/>
    <x v="11"/>
    <s v="ACHÉ LABORATÓRIOS FARMACÊUTICOS S.A."/>
    <s v="60659463000191"/>
    <s v="MONTELUCASTE DE SODIO"/>
    <n v="1"/>
    <n v="0"/>
    <n v="0"/>
    <n v="0"/>
    <s v="+"/>
    <s v=" A-ASMAT A-LEUCOT SISTEMI"/>
    <s v=" 151767-02-1"/>
    <s v="Tarja Vermelha"/>
    <s v="I"/>
    <s v="E"/>
    <s v="M"/>
    <n v="365433"/>
    <n v="5918030"/>
    <n v="13464861.710000001"/>
    <x v="12"/>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3641"/>
    <s v="30049069"/>
    <m/>
    <n v="20140626"/>
    <s v="514502403111318"/>
    <s v="7896212429738"/>
    <s v="1123600220061"/>
    <x v="171"/>
    <x v="209"/>
    <m/>
    <s v="DOMPERIDONA"/>
    <s v=""/>
    <s v=""/>
    <s v=""/>
    <s v=""/>
    <m/>
    <x v="51"/>
    <s v="JANSSEN-CILAG FARMACÊUTICA LTDA"/>
    <s v="51780468000187"/>
    <s v="DOMPERIDONA"/>
    <n v="0"/>
    <n v="0"/>
    <n v="0"/>
    <n v="0"/>
    <s v="-"/>
    <s v=" GASTROPROCINETICOS"/>
    <s v=" 57808-66-9"/>
    <s v="Tarja Vermelha"/>
    <s v="N"/>
    <s v="P"/>
    <s v="R"/>
    <n v="843694"/>
    <n v="5197778"/>
    <n v="11851712.67"/>
    <x v="30"/>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6320"/>
    <s v="30049099"/>
    <m/>
    <n v="20140626"/>
    <s v="525901801116414"/>
    <s v="7896472501823"/>
    <s v="1181900210018"/>
    <x v="172"/>
    <x v="210"/>
    <s v="paracetamol+fenilefrina+clorfeniramina "/>
    <s v="CLORIDRATO DE FENILEFRINA"/>
    <s v=""/>
    <s v=""/>
    <s v=""/>
    <s v=""/>
    <m/>
    <x v="30"/>
    <s v="MULTILAB INDÚSTRIA E COMÉRCIO DE PRODUTOS FARMACÊUTICOS LTDA"/>
    <s v="92265552000140"/>
    <s v="CLORIDRATO DE FENILEFRINA"/>
    <n v="3"/>
    <n v="0"/>
    <n v="0"/>
    <n v="0"/>
    <s v="-"/>
    <s v=" A/GRIPAIS EXC A/INFEC"/>
    <s v=" 61-76-7"/>
    <s v="Venda Livre"/>
    <s v="N"/>
    <s v="P"/>
    <s v="M"/>
    <n v="5593867"/>
    <n v="33598289"/>
    <n v="76401776.450000003"/>
    <x v="14"/>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6320"/>
    <s v="30049099"/>
    <m/>
    <n v="20140626"/>
    <s v="525901801116414"/>
    <s v="7896472501823"/>
    <s v="1181900210018"/>
    <x v="172"/>
    <x v="210"/>
    <s v="paracetamol+fenilefrina+clorfeniramina "/>
    <s v="CLORIDRATO DE FENILEFRINA"/>
    <s v=""/>
    <s v=""/>
    <s v=""/>
    <s v=""/>
    <m/>
    <x v="30"/>
    <s v="MULTILAB INDÚSTRIA E COMÉRCIO DE PRODUTOS FARMACÊUTICOS LTDA"/>
    <s v="92265552000140"/>
    <s v="CLORIDRATO DE FENILEFRINA"/>
    <n v="3"/>
    <n v="0"/>
    <n v="0"/>
    <n v="0"/>
    <s v="-"/>
    <s v=" A/GRIPAIS EXC A/INFEC"/>
    <s v=" 61-76-7"/>
    <s v="Venda Livre"/>
    <s v="N"/>
    <s v="P"/>
    <s v="M"/>
    <n v="5593867"/>
    <n v="33598289"/>
    <n v="76401776.450000003"/>
    <x v="28"/>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8974"/>
    <s v="30044090"/>
    <m/>
    <n v="20140626"/>
    <s v="510605201111316"/>
    <s v="7896269900983"/>
    <s v="1010702590021"/>
    <x v="173"/>
    <x v="211"/>
    <s v="cloridrato de naratriptana"/>
    <s v="MEPIRAMINA"/>
    <s v="NAFAZOLINA"/>
    <s v="PANTENOL"/>
    <s v=""/>
    <s v=""/>
    <m/>
    <x v="25"/>
    <s v="GLAXOSMITHKLINE BRASIL LTDA"/>
    <s v="33247743000110"/>
    <s v="MEPIRAMINA"/>
    <n v="0"/>
    <n v="0"/>
    <n v="0"/>
    <n v="0"/>
    <s v="+"/>
    <s v=" TRIPTANICOS A-ENXAQUECA"/>
    <s v=" 143388-64-1"/>
    <s v="Tarja Vermelha"/>
    <s v="I"/>
    <s v="E"/>
    <s v="R"/>
    <n v="2960012"/>
    <n v="14390217"/>
    <n v="32787293.960000001"/>
    <x v="15"/>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8947"/>
    <s v="30043929"/>
    <m/>
    <n v="20140626"/>
    <s v="507718101171416"/>
    <s v="7896004714578"/>
    <s v="1023501450054"/>
    <x v="174"/>
    <x v="212"/>
    <s v="mepiramina+nafazolina+pantenol "/>
    <s v="MEPIRAMINA"/>
    <s v="NAFAZOLINA"/>
    <s v="PANTENOL"/>
    <s v=""/>
    <s v=""/>
    <m/>
    <x v="2"/>
    <s v="EMS S/A"/>
    <s v="57507378000101"/>
    <s v="MEPIRAMINA"/>
    <n v="0"/>
    <n v="0"/>
    <n v="0"/>
    <n v="0"/>
    <s v="-"/>
    <s v=" OUT.PREP.TOPICAS NASAIS"/>
    <s v=" 59-33-6"/>
    <s v="Tarja Vermelha"/>
    <s v="N"/>
    <s v="P"/>
    <s v="M"/>
    <n v="3805301"/>
    <n v="27121716"/>
    <n v="61851999.030000001"/>
    <x v="28"/>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8910"/>
    <s v="30043210"/>
    <m/>
    <n v="20140626"/>
    <s v="537700801171312"/>
    <s v="7898926572113"/>
    <s v="1661400060014"/>
    <x v="175"/>
    <x v="213"/>
    <s v="mometasona"/>
    <s v="MOMETASONA"/>
    <s v=""/>
    <s v=""/>
    <s v=""/>
    <s v=""/>
    <m/>
    <x v="22"/>
    <s v="SCHERING-PLOUGH PRODUTOS FARMACÊUTICOS LTDA"/>
    <s v="07845173000150"/>
    <s v="MOMETASONA"/>
    <n v="0"/>
    <n v="0"/>
    <n v="0"/>
    <n v="0"/>
    <s v="+"/>
    <s v=" CORTICOES.NAS.S/ANTI-INF"/>
    <s v=" 83919-23-7"/>
    <s v="Tarja Vermelha"/>
    <s v="I"/>
    <s v="E"/>
    <s v="R"/>
    <n v="1317697"/>
    <n v="28558864"/>
    <n v="64979619.100000001"/>
    <x v="16"/>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5061"/>
    <s v="30043939"/>
    <m/>
    <n v="20140626"/>
    <s v="523703101111412"/>
    <s v="7896094201460"/>
    <s v="1003301030014"/>
    <x v="176"/>
    <x v="214"/>
    <s v="estradiol"/>
    <s v="ESTRADIOL"/>
    <s v=""/>
    <s v=""/>
    <s v=""/>
    <s v=""/>
    <m/>
    <x v="19"/>
    <s v="LIBBS FARMACÊUTICA LTDA"/>
    <s v="61230314000175"/>
    <s v="ESTRADIOL"/>
    <n v="9"/>
    <n v="0"/>
    <n v="0"/>
    <n v="0"/>
    <s v="+"/>
    <s v=" ESTROGEN EXC G3A,G3E,G3F"/>
    <s v=" 50-28-2"/>
    <s v="Tarja Vermelha"/>
    <s v="I"/>
    <s v="E"/>
    <s v="M"/>
    <n v="403936"/>
    <n v="5004971"/>
    <n v="11426216.49"/>
    <x v="2"/>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7309"/>
    <s v="30043939"/>
    <m/>
    <n v="20140626"/>
    <s v="523703201116416"/>
    <s v="7896094201477"/>
    <s v="1003301060010"/>
    <x v="177"/>
    <x v="215"/>
    <s v="estradiol+noretisterona"/>
    <s v="ESTRADIOL"/>
    <s v="NORETISTERONA"/>
    <s v=""/>
    <s v=""/>
    <s v=""/>
    <m/>
    <x v="19"/>
    <s v="LIBBS FARMACÊUTICA LTDA"/>
    <s v="61230314000175"/>
    <s v="ESTRADIOL"/>
    <n v="9"/>
    <n v="3"/>
    <n v="0"/>
    <n v="0"/>
    <s v="+"/>
    <s v=" ASS ESTROG/PROGEST"/>
    <s v=" 50-28-2"/>
    <s v="Tarja Vermelha"/>
    <s v="II"/>
    <s v="P"/>
    <s v="M"/>
    <n v="385636"/>
    <n v="6742553"/>
    <n v="15393922.73"/>
    <x v="2"/>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9038"/>
    <s v="30049069"/>
    <m/>
    <n v="20140626"/>
    <s v="506710104112411"/>
    <s v="7896676404241"/>
    <s v="1029801240037"/>
    <x v="178"/>
    <x v="216"/>
    <s v="Cloridrato de ondansetrona"/>
    <s v="CLORIDRATO DE ONDANSETRONA"/>
    <s v=""/>
    <s v=""/>
    <s v=""/>
    <s v=""/>
    <m/>
    <x v="59"/>
    <s v="CRISTÁLIA PRODUTOS QUÍMICOS FARMACÊUTICOS LTDA."/>
    <s v="44734671000151"/>
    <s v="CLORIDRATO DE ONDANSETRONA"/>
    <n v="1"/>
    <n v="0"/>
    <n v="0"/>
    <n v="0"/>
    <s v="+"/>
    <s v=" ANT.SEROT.ANTIEM/ANTINAU"/>
    <s v=" 99614-01-4"/>
    <s v="Tarja Vermelha"/>
    <s v="I"/>
    <s v="P"/>
    <s v="M"/>
    <n v="61261"/>
    <n v="2893789"/>
    <n v="6601143.7000000002"/>
    <x v="30"/>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9040"/>
    <s v="30049069"/>
    <m/>
    <n v="20140626"/>
    <s v="506710101156416"/>
    <s v="7896676402155"/>
    <s v="1029801240010"/>
    <x v="178"/>
    <x v="217"/>
    <s v="Cloridrato de ondansetrona"/>
    <s v="CLORIDRATO DE ONDANSETRONA"/>
    <s v=""/>
    <s v=""/>
    <s v=""/>
    <s v=""/>
    <m/>
    <x v="59"/>
    <s v="CRISTÁLIA PRODUTOS QUÍMICOS FARMACÊUTICOS LTDA."/>
    <s v="44734671000151"/>
    <s v="CLORIDRATO DE ONDANSETRONA"/>
    <n v="1"/>
    <n v="0"/>
    <n v="0"/>
    <n v="0"/>
    <s v="+"/>
    <s v=" ANT.SEROT.ANTIEM/ANTINAU"/>
    <s v=" 99614-01-4"/>
    <s v="Tarja Vermelha"/>
    <s v="I"/>
    <s v="P"/>
    <s v="M"/>
    <n v="1140"/>
    <n v="10825"/>
    <n v="24524.639999999999"/>
    <x v="30"/>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4099"/>
    <s v="30049039"/>
    <m/>
    <n v="20140626"/>
    <s v="538508602113418"/>
    <s v="7896714233833"/>
    <s v="1558400750014"/>
    <x v="179"/>
    <x v="218"/>
    <s v="escopolamina+dipirona"/>
    <s v="ESCOPOLAMINA"/>
    <s v="DIPIRONA SODICA"/>
    <s v=""/>
    <s v=""/>
    <s v=""/>
    <m/>
    <x v="35"/>
    <s v="HYPERMARCAS S/A"/>
    <s v="02932074000191"/>
    <s v="ESCOPOLAMINA"/>
    <n v="0"/>
    <n v="1"/>
    <n v="0"/>
    <n v="0"/>
    <s v="-"/>
    <s v=" ASS.A/ESPASMODIC./ANALG."/>
    <m/>
    <s v="Venda Livre"/>
    <s v="N"/>
    <s v="P"/>
    <s v="M"/>
    <n v="1660694"/>
    <n v="6331887"/>
    <n v="14462610.08"/>
    <x v="6"/>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4099"/>
    <s v="30049039"/>
    <m/>
    <n v="20140626"/>
    <s v="538508602113418"/>
    <s v="7896714233833"/>
    <s v="1558400750014"/>
    <x v="179"/>
    <x v="218"/>
    <s v="escopolamina+dipirona"/>
    <s v="ESCOPOLAMINA"/>
    <s v="DIPIRONA SODICA"/>
    <s v=""/>
    <s v=""/>
    <s v=""/>
    <m/>
    <x v="35"/>
    <s v="HYPERMARCAS S/A"/>
    <s v="02932074000191"/>
    <s v="ESCOPOLAMINA"/>
    <n v="0"/>
    <n v="1"/>
    <n v="0"/>
    <n v="0"/>
    <s v="-"/>
    <s v=" ASS.A/ESPASMODIC./ANALG."/>
    <m/>
    <s v="Venda Livre"/>
    <s v="N"/>
    <s v="P"/>
    <s v="M"/>
    <n v="1660694"/>
    <n v="6331887"/>
    <n v="14462610.08"/>
    <x v="26"/>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9271"/>
    <s v="30045090"/>
    <m/>
    <n v="20140626"/>
    <s v="519011601119417"/>
    <s v="7896714201108"/>
    <s v="1046503270044"/>
    <x v="180"/>
    <x v="219"/>
    <s v="acido folico"/>
    <s v="ACIDO FOLICO"/>
    <s v=""/>
    <s v=""/>
    <s v=""/>
    <s v=""/>
    <m/>
    <x v="35"/>
    <s v="LABORATÓRIO NEO QUÍMICA COMÉRCIO E INDÚSTRIA LTDA"/>
    <s v="29785870000103"/>
    <s v="ACIDO FOLICO"/>
    <n v="1"/>
    <n v="0"/>
    <n v="0"/>
    <n v="0"/>
    <s v="-"/>
    <s v=" O.P.A/ANEM.A.FOLIC/FOLIN"/>
    <s v=" 59-30-3"/>
    <s v="Tarja Vermelha"/>
    <s v="N"/>
    <s v="E"/>
    <s v="M"/>
    <n v="1735180"/>
    <n v="4226857"/>
    <n v="9651259.7799999993"/>
    <x v="9"/>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581"/>
    <s v="30049069"/>
    <m/>
    <n v="20140626"/>
    <s v="538508801116417"/>
    <s v="7896714283005"/>
    <s v="1558403670038"/>
    <x v="181"/>
    <x v="220"/>
    <s v="benzocaina+cetilpiridinio "/>
    <s v="BENZOCAINA"/>
    <s v="CETILPIRIDINIO "/>
    <s v=""/>
    <s v=""/>
    <s v=""/>
    <m/>
    <x v="35"/>
    <s v="HYPERMARCAS S/A"/>
    <s v="02932074000191"/>
    <s v="BENZOCAINA"/>
    <n v="1"/>
    <n v="0"/>
    <n v="0"/>
    <n v="0"/>
    <s v="-"/>
    <s v=" DESCONG/A/SEPT FARING"/>
    <s v=" 123-03-5"/>
    <s v="Venda Livre"/>
    <s v="N"/>
    <s v="P"/>
    <s v="M"/>
    <n v="3727479"/>
    <n v="6936265"/>
    <n v="15761102.68"/>
    <x v="20"/>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4137"/>
    <s v="30049099"/>
    <m/>
    <n v="20140626"/>
    <s v="504612040012314"/>
    <s v="7896714218205"/>
    <s v="1558402900129"/>
    <x v="182"/>
    <x v="221"/>
    <s v="omeprazol"/>
    <s v="OMEPRAZOL"/>
    <s v=""/>
    <s v=""/>
    <s v=""/>
    <s v=""/>
    <m/>
    <x v="35"/>
    <s v="HYPERMARCAS S/A"/>
    <s v="02932074000191"/>
    <s v="OMEPRAZOL"/>
    <n v="3"/>
    <n v="0"/>
    <n v="0"/>
    <n v="0"/>
    <s v="+"/>
    <s v=" INIBIDORES DA BOMBA ACIDA"/>
    <s v=" 73590-58-6"/>
    <s v="Tarja Vermelha"/>
    <s v="I"/>
    <s v="E"/>
    <s v="M"/>
    <n v="1877845"/>
    <n v="15730792"/>
    <n v="35932009.68"/>
    <x v="35"/>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5206"/>
    <s v="30049069"/>
    <m/>
    <n v="20140626"/>
    <s v="501113050020803"/>
    <s v="7896641808630"/>
    <s v="1063902310112"/>
    <x v="183"/>
    <x v="222"/>
    <s v="cafeina+dipirona+isometepteno "/>
    <s v="CAFEINA"/>
    <s v="DIPIRONA SODICA"/>
    <s v="ISOMETEPTENO "/>
    <s v=""/>
    <s v=""/>
    <m/>
    <x v="42"/>
    <s v="TAKEDA PHARMA LTDA."/>
    <s v="60397775000174"/>
    <s v="CAFEINA"/>
    <n v="0"/>
    <n v="1"/>
    <n v="0"/>
    <n v="0"/>
    <s v="-"/>
    <s v=" ANALG NAO NARCOT/A/PIRET"/>
    <s v=" 7492-31-1"/>
    <s v="Venda Livre"/>
    <s v="N"/>
    <s v="P"/>
    <s v="R"/>
    <n v="6046641"/>
    <n v="44668970"/>
    <n v="101946358.86"/>
    <x v="15"/>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5206"/>
    <s v="30049069"/>
    <m/>
    <n v="20140626"/>
    <s v="501113050020803"/>
    <s v="7896641808630"/>
    <s v="1063902310112"/>
    <x v="183"/>
    <x v="222"/>
    <s v="cafeina+dipirona+isometepteno "/>
    <s v="CAFEINA"/>
    <s v="DIPIRONA SODICA"/>
    <s v="ISOMETEPTENO "/>
    <s v=""/>
    <s v=""/>
    <m/>
    <x v="42"/>
    <s v="TAKEDA PHARMA LTDA."/>
    <s v="60397775000174"/>
    <s v="CAFEINA"/>
    <n v="0"/>
    <n v="1"/>
    <n v="0"/>
    <n v="0"/>
    <s v="-"/>
    <s v=" ANALG NAO NARCOT/A/PIRET"/>
    <s v=" 7492-31-1"/>
    <s v="Venda Livre"/>
    <s v="N"/>
    <s v="P"/>
    <s v="R"/>
    <n v="6046641"/>
    <n v="44668970"/>
    <n v="101946358.86"/>
    <x v="7"/>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5206"/>
    <s v="30049069"/>
    <m/>
    <n v="20140626"/>
    <s v="501113050020803"/>
    <s v="7896641808630"/>
    <s v="1063902310112"/>
    <x v="183"/>
    <x v="222"/>
    <s v="cafeina+dipirona+isometepteno "/>
    <s v="CAFEINA"/>
    <s v="DIPIRONA SODICA"/>
    <s v="ISOMETEPTENO "/>
    <s v=""/>
    <s v=""/>
    <m/>
    <x v="42"/>
    <s v="TAKEDA PHARMA LTDA."/>
    <s v="60397775000174"/>
    <s v="CAFEINA"/>
    <n v="0"/>
    <n v="1"/>
    <n v="0"/>
    <n v="0"/>
    <s v="-"/>
    <s v=" ANALG NAO NARCOT/A/PIRET"/>
    <s v=" 7492-31-1"/>
    <s v="Venda Livre"/>
    <s v="N"/>
    <s v="P"/>
    <s v="R"/>
    <n v="6046641"/>
    <n v="44668970"/>
    <n v="101946358.86"/>
    <x v="22"/>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3047"/>
    <s v="30049039"/>
    <m/>
    <n v="20140626"/>
    <s v="519012801170414"/>
    <s v="7896714231143"/>
    <s v="1046502930040"/>
    <x v="184"/>
    <x v="223"/>
    <s v="benzalconio + CLORETO DE SODIO + nafazolina"/>
    <s v="BENZALCONIO"/>
    <s v="CLORETO DE SODIO"/>
    <s v="NAFAZOLINA"/>
    <s v=""/>
    <s v=""/>
    <m/>
    <x v="35"/>
    <s v="LABORATÓRIO NEO QUÍMICA COMÉRCIO E INDÚSTRIA LTDA"/>
    <s v="29785870000103"/>
    <s v="BENZALCONIO"/>
    <n v="0"/>
    <n v="1"/>
    <n v="0"/>
    <n v="0"/>
    <s v="-"/>
    <s v=" DESCONGESTIONANT.NASAIS"/>
    <s v=" 8001-54-5"/>
    <s v="Tarja Vermelha"/>
    <s v="N"/>
    <s v="P"/>
    <s v="M"/>
    <n v="37026509"/>
    <n v="83966189"/>
    <n v="191372902.19999999"/>
    <x v="14"/>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3047"/>
    <s v="30049039"/>
    <m/>
    <n v="20140626"/>
    <s v="519012801170414"/>
    <s v="7896714231143"/>
    <s v="1046502930040"/>
    <x v="184"/>
    <x v="223"/>
    <s v="benzalconio + CLORETO DE SODIO + nafazolina"/>
    <s v="BENZALCONIO"/>
    <s v="CLORETO DE SODIO"/>
    <s v="NAFAZOLINA"/>
    <s v=""/>
    <s v=""/>
    <m/>
    <x v="35"/>
    <s v="LABORATÓRIO NEO QUÍMICA COMÉRCIO E INDÚSTRIA LTDA"/>
    <s v="29785870000103"/>
    <s v="BENZALCONIO"/>
    <n v="0"/>
    <n v="1"/>
    <n v="0"/>
    <n v="0"/>
    <s v="-"/>
    <s v=" DESCONGESTIONANT.NASAIS"/>
    <s v=" 8001-54-5"/>
    <s v="Tarja Vermelha"/>
    <s v="N"/>
    <s v="P"/>
    <s v="M"/>
    <n v="37026509"/>
    <n v="83966189"/>
    <n v="191372902.19999999"/>
    <x v="28"/>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3047"/>
    <s v="30049039"/>
    <m/>
    <n v="20140626"/>
    <s v="519012801170414"/>
    <s v="7896714231143"/>
    <s v="1046502930040"/>
    <x v="184"/>
    <x v="223"/>
    <s v="benzalconio + CLORETO DE SODIO + nafazolina"/>
    <s v="BENZALCONIO"/>
    <s v="CLORETO DE SODIO"/>
    <s v="NAFAZOLINA"/>
    <s v=""/>
    <s v=""/>
    <m/>
    <x v="35"/>
    <s v="LABORATÓRIO NEO QUÍMICA COMÉRCIO E INDÚSTRIA LTDA"/>
    <s v="29785870000103"/>
    <s v="BENZALCONIO"/>
    <n v="0"/>
    <n v="1"/>
    <n v="0"/>
    <n v="0"/>
    <s v="-"/>
    <s v=" DESCONGESTIONANT.NASAIS"/>
    <s v=" 8001-54-5"/>
    <s v="Tarja Vermelha"/>
    <s v="N"/>
    <s v="P"/>
    <s v="M"/>
    <n v="37026509"/>
    <n v="83966189"/>
    <n v="191372902.19999999"/>
    <x v="8"/>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2355"/>
    <s v="30049099"/>
    <m/>
    <n v="20140626"/>
    <s v="519013001119412"/>
    <s v="7896714200361"/>
    <s v="1046501940018"/>
    <x v="185"/>
    <x v="224"/>
    <s v="nimesulida"/>
    <s v="NIMESULIDA"/>
    <s v=""/>
    <s v=""/>
    <s v=""/>
    <s v=""/>
    <m/>
    <x v="35"/>
    <s v="LABORATÓRIO NEO QUÍMICA COMÉRCIO E INDÚSTRIA LTDA"/>
    <s v="29785870000103"/>
    <s v="NIMESULIDA"/>
    <n v="1"/>
    <n v="0"/>
    <n v="0"/>
    <n v="0"/>
    <s v="+"/>
    <s v=" A-REUM.N/ESTEROID.PUROS"/>
    <s v=" 51803-78-2"/>
    <s v="Tarja Vermelha"/>
    <s v="I"/>
    <s v="E"/>
    <s v="M"/>
    <n v="4463309"/>
    <n v="29015157"/>
    <n v="66214330.390000001"/>
    <x v="25"/>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033"/>
    <s v="30049099"/>
    <m/>
    <n v="20140626"/>
    <s v="519013201118411"/>
    <s v="7896714200217"/>
    <s v="1046500900055"/>
    <x v="186"/>
    <x v="225"/>
    <s v="diclofenaco de sodio"/>
    <s v="DICLOFENACO DE SODIO"/>
    <s v=""/>
    <s v=""/>
    <s v=""/>
    <s v=""/>
    <m/>
    <x v="35"/>
    <s v="LABORATÓRIO NEO QUÍMICA COMÉRCIO E INDÚSTRIA LTDA"/>
    <s v="29785870000103"/>
    <s v="DICLOFENACO DE SODIO"/>
    <n v="0"/>
    <n v="0"/>
    <n v="0"/>
    <n v="0"/>
    <s v="+"/>
    <s v=" A-REUM.N/ESTEROID.PUROS"/>
    <s v=" 15307-79-6"/>
    <s v="Tarja Vermelha"/>
    <s v="I"/>
    <s v="P"/>
    <s v="M"/>
    <n v="3934746"/>
    <n v="12063043"/>
    <n v="27510864.359999999"/>
    <x v="20"/>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6062"/>
    <s v="30066000"/>
    <m/>
    <n v="20140626"/>
    <s v="538912050015913"/>
    <s v="7891106905992"/>
    <s v="1705600620019"/>
    <x v="187"/>
    <x v="226"/>
    <s v="levonorgestrel"/>
    <s v="LEVONORGESTREL"/>
    <s v=""/>
    <s v=""/>
    <s v=""/>
    <s v=""/>
    <m/>
    <x v="20"/>
    <s v="BAYER S.A."/>
    <s v="18459628000115"/>
    <s v="LEVONORGESTREL"/>
    <n v="5"/>
    <n v="0"/>
    <n v="0"/>
    <n v="0"/>
    <s v="+"/>
    <s v=" P.MON.C/ESTROG.&gt;=50MCG"/>
    <s v=" 57-63-6"/>
    <s v="Tarja Vermelha"/>
    <s v="II"/>
    <s v="P"/>
    <s v="R"/>
    <n v="5986777"/>
    <n v="10422512"/>
    <n v="23804328.510000002"/>
    <x v="31"/>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6401"/>
    <s v="30049099"/>
    <m/>
    <n v="20140626"/>
    <s v="531625403136416"/>
    <s v="7894916501736"/>
    <s v="1356905920058"/>
    <x v="188"/>
    <x v="227"/>
    <s v="glicinato ferrico"/>
    <s v="GLICINATO FERRICO"/>
    <s v=""/>
    <s v=""/>
    <s v=""/>
    <s v=""/>
    <m/>
    <x v="2"/>
    <s v="EMS SIGMA PHARMA LTDA"/>
    <s v="00923140000131"/>
    <s v="GLICINATO FERRICO"/>
    <n v="0"/>
    <n v="0"/>
    <n v="0"/>
    <n v="0"/>
    <s v="-"/>
    <s v=" FERRO PURO"/>
    <s v=" 59-30-3"/>
    <s v="Tarja Vermelha"/>
    <s v="N"/>
    <s v="P"/>
    <s v="M"/>
    <n v="581454"/>
    <n v="7069918"/>
    <n v="16146326.74"/>
    <x v="9"/>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6402"/>
    <s v="30049099"/>
    <m/>
    <n v="20140626"/>
    <s v="531625401117414"/>
    <s v="7894916500425"/>
    <s v="1356905920015"/>
    <x v="188"/>
    <x v="228"/>
    <s v="ferro quelato glicinato + ac. folico"/>
    <s v="FERRO QUELATO GLICINATO"/>
    <s v="ACIDO FOLICO"/>
    <s v=""/>
    <s v=""/>
    <s v=""/>
    <m/>
    <x v="2"/>
    <s v="EMS SIGMA PHARMA LTDA"/>
    <s v="00923140000131"/>
    <s v="FERRO QUELATO GLICINATO"/>
    <n v="0"/>
    <n v="1"/>
    <n v="0"/>
    <n v="0"/>
    <s v="-"/>
    <s v=" ASSOCIACOES DE FERRO"/>
    <s v=" 59-30-3"/>
    <s v="Tarja Vermelha"/>
    <s v="N"/>
    <s v="P"/>
    <s v="M"/>
    <n v="417513"/>
    <n v="3762809"/>
    <n v="8590640.1199999992"/>
    <x v="9"/>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1341"/>
    <s v="30044090"/>
    <m/>
    <n v="20140626"/>
    <s v="539600108111317"/>
    <s v="7981010970871"/>
    <s v="1572100080418"/>
    <x v="189"/>
    <x v="229"/>
    <s v="nicotina"/>
    <s v="NICOTINA"/>
    <s v=""/>
    <s v=""/>
    <s v=""/>
    <s v=""/>
    <m/>
    <x v="27"/>
    <s v="JOHNSON &amp; JOHNSON INDUSTRIAL LTDA."/>
    <s v="59748988000114"/>
    <s v="NICOTINA"/>
    <n v="1"/>
    <n v="0"/>
    <n v="0"/>
    <n v="0"/>
    <s v="-"/>
    <s v=" PRODUTOS ANTI-TABACO"/>
    <s v=" 54-11-5"/>
    <s v="Venda Livre"/>
    <s v="N"/>
    <s v="P"/>
    <s v="R"/>
    <n v="275127"/>
    <n v="4171223"/>
    <n v="9510609.1500000004"/>
    <x v="32"/>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1342"/>
    <s v="30044090"/>
    <m/>
    <n v="20140626"/>
    <s v="539600107113316"/>
    <s v="7981010970888"/>
    <s v="1572100080450"/>
    <x v="189"/>
    <x v="230"/>
    <s v="nicotina"/>
    <s v="NICOTINA"/>
    <s v=""/>
    <s v=""/>
    <s v=""/>
    <s v=""/>
    <m/>
    <x v="27"/>
    <s v="JOHNSON &amp; JOHNSON INDUSTRIAL LTDA."/>
    <s v="59748988000114"/>
    <s v="NICOTINA"/>
    <n v="1"/>
    <n v="0"/>
    <n v="0"/>
    <n v="0"/>
    <s v="-"/>
    <s v=" PRODUTOS ANTI-TABACO"/>
    <s v=" 54-11-5"/>
    <s v="Venda Livre"/>
    <s v="N"/>
    <s v="P"/>
    <s v="R"/>
    <n v="151419"/>
    <n v="2542698"/>
    <n v="5804786.5999999996"/>
    <x v="32"/>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1325"/>
    <s v="30044090"/>
    <m/>
    <n v="20140626"/>
    <s v="526532101176414"/>
    <s v="7896261015968"/>
    <s v="1006810700152"/>
    <x v="190"/>
    <x v="231"/>
    <s v="nicotina"/>
    <s v="NICOTINA"/>
    <s v=""/>
    <s v=""/>
    <s v=""/>
    <s v=""/>
    <m/>
    <x v="60"/>
    <s v="NOVARTIS BIOCIENCIAS S.A"/>
    <s v="56994502000130"/>
    <s v="NICOTINA"/>
    <n v="1"/>
    <n v="0"/>
    <n v="0"/>
    <n v="0"/>
    <s v="-"/>
    <s v=" PRODUTOS ANTI-TABACO"/>
    <s v=" 54-11-5"/>
    <s v="Venda Livre"/>
    <s v="N"/>
    <s v="P"/>
    <s v="M"/>
    <n v="51865"/>
    <n v="889886"/>
    <n v="2028522.42"/>
    <x v="32"/>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1327"/>
    <s v="30044090"/>
    <m/>
    <n v="20140626"/>
    <s v="526532102172412"/>
    <s v="7896261015890"/>
    <s v="1006810700081"/>
    <x v="190"/>
    <x v="232"/>
    <s v="nicotina"/>
    <s v="NICOTINA"/>
    <s v=""/>
    <s v=""/>
    <s v=""/>
    <s v=""/>
    <m/>
    <x v="60"/>
    <s v="NOVARTIS BIOCIENCIAS S.A"/>
    <s v="56994502000130"/>
    <s v="NICOTINA"/>
    <n v="1"/>
    <n v="0"/>
    <n v="0"/>
    <n v="0"/>
    <s v="-"/>
    <s v=" PRODUTOS ANTI-TABACO"/>
    <s v=" 54-11-5"/>
    <s v="Venda Livre"/>
    <s v="N"/>
    <s v="P"/>
    <s v="M"/>
    <n v="19968"/>
    <n v="326839"/>
    <n v="744898.6"/>
    <x v="32"/>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1419"/>
    <s v="30049079"/>
    <m/>
    <n v="20140626"/>
    <s v="508013603113110"/>
    <s v="7891317422028"/>
    <s v="1004309090014"/>
    <x v="191"/>
    <x v="233"/>
    <s v="nimesulida"/>
    <s v="NIMESULIDA"/>
    <s v=""/>
    <s v=""/>
    <s v=""/>
    <s v=""/>
    <m/>
    <x v="23"/>
    <s v="EUROFARMA LABORATÓRIOS S.A."/>
    <s v="61190096000192"/>
    <s v="NIMESULIDA"/>
    <n v="1"/>
    <n v="0"/>
    <n v="0"/>
    <n v="0"/>
    <s v="+"/>
    <s v=" A-REUM.N/ESTEROID.PUROS"/>
    <s v=" 51803-78-2"/>
    <s v="Tarja Vermelha"/>
    <s v="I"/>
    <s v="E"/>
    <s v="G"/>
    <n v="4619309"/>
    <n v="25848363"/>
    <n v="58925076.289999999"/>
    <x v="25"/>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22359"/>
    <s v="30049079"/>
    <m/>
    <n v="20140626"/>
    <s v="507718601113113"/>
    <s v="7896004704036"/>
    <s v="1023505340016"/>
    <x v="191"/>
    <x v="233"/>
    <s v="nimesulida"/>
    <s v="NIMESULIDA"/>
    <s v=""/>
    <s v=""/>
    <s v=""/>
    <s v=""/>
    <m/>
    <x v="2"/>
    <s v="EMS S/A"/>
    <s v="57507378000101"/>
    <s v="NIMESULIDA"/>
    <n v="1"/>
    <n v="0"/>
    <n v="0"/>
    <n v="0"/>
    <s v="+"/>
    <s v=" A-REUM.N/ESTEROID.PUROS"/>
    <s v=" 51803-78-2"/>
    <s v="Tarja Vermelha"/>
    <s v="I"/>
    <s v="E"/>
    <s v="G"/>
    <n v="5246586"/>
    <n v="32988133"/>
    <n v="75165689.219999999"/>
    <x v="20"/>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22359"/>
    <s v="30049079"/>
    <m/>
    <n v="20140626"/>
    <s v="507718601113113"/>
    <s v="7896004704036"/>
    <s v="1023505340016"/>
    <x v="191"/>
    <x v="233"/>
    <s v="nimesulida"/>
    <s v="NIMESULIDA"/>
    <s v=""/>
    <s v=""/>
    <s v=""/>
    <s v=""/>
    <m/>
    <x v="2"/>
    <s v="EMS S/A"/>
    <s v="57507378000101"/>
    <s v="NIMESULIDA"/>
    <n v="1"/>
    <n v="0"/>
    <n v="0"/>
    <n v="0"/>
    <s v="+"/>
    <s v=" A-REUM.N/ESTEROID.PUROS"/>
    <s v=" 51803-78-2"/>
    <s v="Tarja Vermelha"/>
    <s v="I"/>
    <s v="E"/>
    <s v="G"/>
    <n v="5246586"/>
    <n v="32988133"/>
    <n v="75165689.219999999"/>
    <x v="25"/>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21328"/>
    <s v="30044090"/>
    <m/>
    <n v="20140626"/>
    <s v="510605407117311"/>
    <s v="7896015517779"/>
    <s v="1010701820295"/>
    <x v="192"/>
    <x v="234"/>
    <s v="nicotina"/>
    <s v="NICOTINA"/>
    <s v=""/>
    <s v=""/>
    <s v=""/>
    <s v=""/>
    <m/>
    <x v="61"/>
    <s v="GLAXOSMITHKLINE BRASIL LTDA"/>
    <s v="33247743000110"/>
    <s v="NICOTINA"/>
    <n v="1"/>
    <n v="0"/>
    <n v="0"/>
    <n v="0"/>
    <s v="-"/>
    <s v=" PRODUTOS ANTI-TABACO"/>
    <s v=" 54-11-5"/>
    <s v="Venda Livre"/>
    <s v="N"/>
    <s v="P"/>
    <s v="M"/>
    <n v="114150"/>
    <n v="2191480"/>
    <n v="5026524.6500000004"/>
    <x v="32"/>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1330"/>
    <s v="30044090"/>
    <m/>
    <n v="20140626"/>
    <s v="510605404177419"/>
    <s v="7896015500139"/>
    <s v="1010701530017"/>
    <x v="192"/>
    <x v="235"/>
    <s v="nicotina"/>
    <s v="NICOTINA"/>
    <s v=""/>
    <s v=""/>
    <s v=""/>
    <s v=""/>
    <m/>
    <x v="61"/>
    <s v="GLAXOSMITHKLINE BRASIL LTDA"/>
    <s v="33247743000110"/>
    <s v="NICOTINA"/>
    <n v="1"/>
    <n v="0"/>
    <n v="0"/>
    <n v="0"/>
    <s v="+"/>
    <s v=" PRODUTOS ANTI-TABACO"/>
    <s v=" 54-11-5"/>
    <s v="Venda Livre"/>
    <s v="I"/>
    <s v="P"/>
    <s v="M"/>
    <n v="50582"/>
    <n v="832298"/>
    <n v="1896820.64"/>
    <x v="32"/>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21331"/>
    <s v="30044090"/>
    <m/>
    <n v="20140626"/>
    <s v="510605401178414"/>
    <s v="7896015500115"/>
    <s v="1010701530033"/>
    <x v="192"/>
    <x v="236"/>
    <s v="nicotina"/>
    <s v="NICOTINA"/>
    <s v=""/>
    <s v=""/>
    <s v=""/>
    <s v=""/>
    <m/>
    <x v="61"/>
    <s v="GLAXOSMITHKLINE BRASIL LTDA"/>
    <s v="33247743000110"/>
    <s v="NICOTINA"/>
    <n v="1"/>
    <n v="0"/>
    <n v="0"/>
    <n v="0"/>
    <s v="+"/>
    <s v=" PRODUTOS ANTI-TABACO"/>
    <s v=" 54-11-5"/>
    <s v="Venda Livre"/>
    <s v="I"/>
    <s v="P"/>
    <s v="M"/>
    <n v="122279"/>
    <n v="2105772"/>
    <n v="4800196.13"/>
    <x v="32"/>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21332"/>
    <s v="30044090"/>
    <m/>
    <n v="20140626"/>
    <s v="510605405114313"/>
    <s v="7896015517670"/>
    <s v="1010701820139"/>
    <x v="192"/>
    <x v="237"/>
    <s v="nicotina"/>
    <s v="NICOTINA"/>
    <s v=""/>
    <s v=""/>
    <s v=""/>
    <s v=""/>
    <m/>
    <x v="61"/>
    <s v="GLAXOSMITHKLINE BRASIL LTDA"/>
    <s v="33247743000110"/>
    <s v="NICOTINA"/>
    <n v="1"/>
    <n v="0"/>
    <n v="0"/>
    <n v="0"/>
    <s v="-"/>
    <s v=" PRODUTOS ANTI-TABACO"/>
    <s v=" 54-11-5"/>
    <s v="Venda Livre"/>
    <s v="N"/>
    <s v="P"/>
    <s v="M"/>
    <n v="92326"/>
    <n v="1659876"/>
    <n v="3799015.5"/>
    <x v="32"/>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1333"/>
    <s v="30044090"/>
    <m/>
    <n v="20140626"/>
    <s v="510605402174412"/>
    <s v="7896015500122"/>
    <s v="1010701530051"/>
    <x v="192"/>
    <x v="238"/>
    <s v="nicotina"/>
    <s v="NICOTINA"/>
    <s v=""/>
    <s v=""/>
    <s v=""/>
    <s v=""/>
    <m/>
    <x v="61"/>
    <s v="GLAXOSMITHKLINE BRASIL LTDA"/>
    <s v="33247743000110"/>
    <s v="NICOTINA"/>
    <n v="1"/>
    <n v="0"/>
    <n v="0"/>
    <n v="0"/>
    <s v="+"/>
    <s v=" PRODUTOS ANTI-TABACO"/>
    <s v=" 54-11-5"/>
    <s v="Venda Livre"/>
    <s v="I"/>
    <s v="P"/>
    <s v="M"/>
    <n v="432090"/>
    <n v="7773818"/>
    <n v="17727212.059999999"/>
    <x v="32"/>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3965"/>
    <s v="30049039"/>
    <m/>
    <n v="20140626"/>
    <s v="508020204172418"/>
    <s v="7891317439323"/>
    <s v="1004300360051"/>
    <x v="193"/>
    <x v="239"/>
    <s v="Mononitrato de isossorbida"/>
    <s v="BUDESONIDA"/>
    <s v=""/>
    <s v=""/>
    <s v=""/>
    <s v=""/>
    <m/>
    <x v="23"/>
    <s v="EUROFARMA LABORATÓRIOS S.A."/>
    <s v="61190096000192"/>
    <s v="BUDESONIDA"/>
    <n v="2"/>
    <n v="0"/>
    <n v="0"/>
    <n v="0"/>
    <s v="+"/>
    <s v=" CORTICOES.NAS.S/ANTI-INF"/>
    <s v=" 51333-22-3"/>
    <s v="Tarja Vermelha"/>
    <s v="I"/>
    <s v="E"/>
    <s v="M"/>
    <n v="835922"/>
    <n v="6576811"/>
    <n v="14949607.67"/>
    <x v="16"/>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6061"/>
    <s v="30066000"/>
    <m/>
    <n v="20140626"/>
    <s v="522702204113317"/>
    <s v="7891045008679"/>
    <s v="1211000010049"/>
    <x v="194"/>
    <x v="240"/>
    <s v="levonorgestrel"/>
    <s v="LEVONORGESTREL"/>
    <s v=""/>
    <s v=""/>
    <s v=""/>
    <s v=""/>
    <m/>
    <x v="32"/>
    <s v="WYETH INDÚSTRIA FARMACÊUTICA LTDA"/>
    <s v="61072393000133"/>
    <s v="LEVONORGESTREL"/>
    <n v="5"/>
    <n v="0"/>
    <n v="0"/>
    <n v="0"/>
    <s v="+"/>
    <s v=" P.MONOF.C/ESTROG.&lt;50MCG"/>
    <s v=" 57-63-6"/>
    <s v="Tarja Vermelha"/>
    <s v="II"/>
    <s v="P"/>
    <s v="R"/>
    <n v="2944573"/>
    <n v="6665736"/>
    <n v="15216243.060000001"/>
    <x v="31"/>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23714"/>
    <s v="30049067"/>
    <m/>
    <n v="20140626"/>
    <s v="525009205117110"/>
    <s v="7896422507400"/>
    <s v="1018104090039"/>
    <x v="195"/>
    <x v="241"/>
    <s v="norfloxacino"/>
    <s v="NORFLOXACINO"/>
    <s v=""/>
    <s v=""/>
    <s v=""/>
    <s v=""/>
    <m/>
    <x v="15"/>
    <s v="MEDLEY INDÚSTRIA FARMACÊUTICA LTDA"/>
    <s v="50929710000179"/>
    <s v="NORFLOXACINO"/>
    <n v="1"/>
    <n v="0"/>
    <n v="0"/>
    <n v="0"/>
    <s v="+"/>
    <s v=" FLUORQUINOLONAS ORAIS"/>
    <s v=" 70458-96-7"/>
    <s v="Tarja Vermelha"/>
    <s v="I"/>
    <s v="E"/>
    <s v="G"/>
    <n v="441724"/>
    <n v="4590096"/>
    <n v="10471394.140000001"/>
    <x v="4"/>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23737"/>
    <s v="30049067"/>
    <m/>
    <n v="20140626"/>
    <s v="525904401119119"/>
    <s v="7896472505586"/>
    <s v="1181900680030"/>
    <x v="195"/>
    <x v="242"/>
    <s v="norfloxacino"/>
    <s v="NORFLOXACINO"/>
    <s v=""/>
    <s v=""/>
    <s v=""/>
    <s v=""/>
    <m/>
    <x v="30"/>
    <s v="MULTILAB INDÚSTRIA E COMÉRCIO DE PRODUTOS FARMACÊUTICOS LTDA"/>
    <s v="92265552000140"/>
    <s v="NORFLOXACINO"/>
    <n v="1"/>
    <n v="0"/>
    <n v="0"/>
    <n v="0"/>
    <s v="+"/>
    <s v=" FLUORQUINOLONAS ORAIS"/>
    <s v=" 70458-96-7"/>
    <s v="Tarja Vermelha"/>
    <s v="I"/>
    <s v="E"/>
    <s v="G"/>
    <n v="618355"/>
    <n v="5195303"/>
    <n v="11860837.27"/>
    <x v="4"/>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6360"/>
    <s v="30049099"/>
    <m/>
    <n v="20140626"/>
    <s v="501104301112412"/>
    <s v="7896641805929"/>
    <s v="1063901310089"/>
    <x v="196"/>
    <x v="243"/>
    <s v="ferripolimaltose"/>
    <s v="FERRIPOLIMALTOSE"/>
    <s v=""/>
    <s v=""/>
    <s v=""/>
    <s v=""/>
    <m/>
    <x v="42"/>
    <s v="TAKEDA PHARMA LTDA."/>
    <s v="60397775000174"/>
    <s v="FERRIPOLIMALTOSE"/>
    <n v="0"/>
    <n v="0"/>
    <n v="0"/>
    <n v="0"/>
    <s v="-"/>
    <s v=" ASSOCIACOES DE FERRO"/>
    <s v=" 59-30-3"/>
    <s v="Tarja Vermelha"/>
    <s v="N"/>
    <s v="P"/>
    <s v="M"/>
    <n v="473540"/>
    <n v="6848330"/>
    <n v="15635601.02"/>
    <x v="9"/>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6366"/>
    <s v="30049099"/>
    <m/>
    <n v="20140626"/>
    <s v="501102210136411"/>
    <s v="7896641805479"/>
    <s v="1063900990264"/>
    <x v="197"/>
    <x v="244"/>
    <s v="ferripolimaltose"/>
    <s v="FERRIPOLIMALTOSE"/>
    <s v=""/>
    <s v=""/>
    <s v=""/>
    <s v=""/>
    <m/>
    <x v="42"/>
    <s v="TAKEDA PHARMA LTDA."/>
    <s v="60397775000174"/>
    <s v="FERRIPOLIMALTOSE"/>
    <n v="0"/>
    <n v="0"/>
    <n v="0"/>
    <n v="0"/>
    <s v="-"/>
    <s v=" FERRO PURO"/>
    <s v=" 59-30-3"/>
    <s v="Tarja Vermelha"/>
    <s v="N"/>
    <s v="P"/>
    <s v="M"/>
    <n v="768565"/>
    <n v="6804344"/>
    <n v="15528768.25"/>
    <x v="9"/>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3630"/>
    <s v="30043100"/>
    <m/>
    <n v="20140626"/>
    <s v="526601110159418"/>
    <s v="7897705200087"/>
    <s v="1176600040021"/>
    <x v="198"/>
    <x v="245"/>
    <s v="insulina humana"/>
    <s v="INSULINA HUMANA"/>
    <s v=""/>
    <s v=""/>
    <s v=""/>
    <s v=""/>
    <m/>
    <x v="62"/>
    <s v="NOVO NORDISK FARMACÊUTICA DO BRASIL LTDA"/>
    <s v="82277955000155"/>
    <s v="INSULINA HUMANA"/>
    <n v="1"/>
    <n v="0"/>
    <n v="0"/>
    <n v="0"/>
    <s v="+"/>
    <s v=" INS HUM+ANALOG AC INTERM"/>
    <s v=" 11061-68-0"/>
    <s v="Tarja Vermelha"/>
    <s v="I"/>
    <s v="E"/>
    <s v="M"/>
    <n v="1010864"/>
    <n v="15672072"/>
    <n v="35824679.390000001"/>
    <x v="34"/>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23967"/>
    <s v="30039079"/>
    <m/>
    <n v="20140626"/>
    <s v="517604605117413"/>
    <s v="7898060131382"/>
    <s v="1053500900058"/>
    <x v="199"/>
    <x v="246"/>
    <s v="omeprazol"/>
    <s v="OMEPRAZOL"/>
    <s v=""/>
    <s v=""/>
    <s v=""/>
    <s v=""/>
    <m/>
    <x v="63"/>
    <s v="LABORATÓRIO GLOBO LTDA"/>
    <s v="17115437000173"/>
    <s v="OMEPRAZOL"/>
    <n v="3"/>
    <n v="0"/>
    <n v="0"/>
    <n v="0"/>
    <s v="+"/>
    <s v=" INIBIDORES DA BOMBA ACIDA"/>
    <s v=" 73590-58-6"/>
    <s v="Tarja Vermelha"/>
    <s v="I"/>
    <s v="E"/>
    <s v="M"/>
    <n v="2182725"/>
    <n v="28085102"/>
    <n v="64041144.43"/>
    <x v="35"/>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22886"/>
    <s v="30041011"/>
    <m/>
    <n v="20140626"/>
    <s v="525902402118411"/>
    <s v="7896472502059"/>
    <s v="1181900360095"/>
    <x v="200"/>
    <x v="247"/>
    <s v="amoxicilina"/>
    <s v="AMOXICILINA"/>
    <s v=""/>
    <s v=""/>
    <s v=""/>
    <s v=""/>
    <m/>
    <x v="30"/>
    <s v="MULTILAB INDÚSTRIA E COMÉRCIO DE PRODUTOS FARMACÊUTICOS LTDA"/>
    <s v="92265552000140"/>
    <s v="AMOXICILINA"/>
    <n v="7"/>
    <n v="0"/>
    <n v="0"/>
    <n v="0"/>
    <s v="+"/>
    <s v=" PENICILINAS ORAIS L/ESPEC"/>
    <s v=" 61336-70-7"/>
    <s v="Tarja Vermelha"/>
    <s v="I"/>
    <s v="P"/>
    <s v="M"/>
    <n v="1075845"/>
    <n v="6063549"/>
    <n v="13828929.789999999"/>
    <x v="22"/>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24022"/>
    <s v="30049099"/>
    <m/>
    <n v="20140626"/>
    <s v="520715803111118"/>
    <s v="7896112148715"/>
    <s v="1037003570041"/>
    <x v="201"/>
    <x v="248"/>
    <s v="omeprazol"/>
    <s v="OMEPRAZOL"/>
    <s v=""/>
    <s v=""/>
    <s v=""/>
    <s v=""/>
    <m/>
    <x v="1"/>
    <s v="LABORATÓRIO TEUTO BRASILEIRO S/A"/>
    <s v="17159229000176"/>
    <s v="OMEPRAZOL"/>
    <n v="3"/>
    <n v="0"/>
    <n v="0"/>
    <n v="0"/>
    <s v="+"/>
    <s v=" INIBIDORES DA BOMBA ACIDA"/>
    <s v=" 73590-58-6"/>
    <s v="Tarja Vermelha"/>
    <s v="I"/>
    <s v="E"/>
    <s v="G"/>
    <n v="3775457"/>
    <n v="29590524"/>
    <n v="67554596.879999995"/>
    <x v="35"/>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10663"/>
    <s v="30049039"/>
    <m/>
    <n v="20140626"/>
    <s v="501104701171319"/>
    <s v="7896641806568"/>
    <s v="1063902510022"/>
    <x v="202"/>
    <x v="249"/>
    <s v="ciclesonida"/>
    <s v="CICLESONIDA"/>
    <s v=""/>
    <s v=""/>
    <s v=""/>
    <s v=""/>
    <m/>
    <x v="42"/>
    <s v="TAKEDA PHARMA LTDA."/>
    <s v="60397775000174"/>
    <s v="CICLESONIDA"/>
    <n v="1"/>
    <n v="0"/>
    <n v="0"/>
    <n v="0"/>
    <s v="+"/>
    <s v=" CORTICOES.NAS.S/ANTI-INF"/>
    <s v=" 141845-82-1"/>
    <s v="Tarja Vermelha"/>
    <s v="I"/>
    <s v="E"/>
    <s v="R"/>
    <n v="834412"/>
    <n v="11528847"/>
    <n v="26231554.719999999"/>
    <x v="16"/>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4145"/>
    <s v="30049099"/>
    <m/>
    <n v="20140626"/>
    <s v="509002902171414"/>
    <s v="7898040321390"/>
    <s v="1039001620021"/>
    <x v="203"/>
    <x v="250"/>
    <s v="betametasona+clorofenesina+CLORIDRATO DE TETRACAINA"/>
    <s v="BETAMETASONA"/>
    <s v="CLOROFENESINA"/>
    <s v="CLORIDRATO DE TETRACAINA"/>
    <s v=""/>
    <s v=""/>
    <m/>
    <x v="55"/>
    <s v="FARMOQUÍMICA S/A"/>
    <s v="33349473000158"/>
    <s v="BETAMETASONA"/>
    <n v="1"/>
    <n v="0"/>
    <n v="3"/>
    <n v="0"/>
    <s v="+"/>
    <s v=" OTI.CORTI.EM/ASS.C/ANTINF"/>
    <s v=" 2152-44-5"/>
    <s v="Tarja Vermelha"/>
    <s v="II"/>
    <s v="P"/>
    <s v="R"/>
    <n v="743698"/>
    <n v="4978491"/>
    <n v="11378004.92"/>
    <x v="0"/>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0947"/>
    <s v="30049099"/>
    <m/>
    <n v="20140626"/>
    <s v="509003601175419"/>
    <s v="7898040321079"/>
    <s v="1039001420012"/>
    <x v="204"/>
    <x v="251"/>
    <s v="ciprofloxacino+hidrocortisona "/>
    <s v="CIPROFLOXACINO"/>
    <s v="HIDROCORTISONA "/>
    <s v=""/>
    <s v=""/>
    <s v=""/>
    <m/>
    <x v="55"/>
    <s v="FARMOQUÍMICA S/A"/>
    <s v="33349473000158"/>
    <s v="CIPROFLOXACINO"/>
    <n v="2"/>
    <n v="0"/>
    <n v="0"/>
    <n v="0"/>
    <s v="+"/>
    <s v=" OTI.CORTI.EM/ASS.C/ANTINF"/>
    <s v=" 50-23-7"/>
    <s v="Tarja Vermelha"/>
    <s v="II"/>
    <s v="P"/>
    <s v="M"/>
    <n v="753219"/>
    <n v="6990400"/>
    <n v="16006266.060000001"/>
    <x v="0"/>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7596"/>
    <s v="30042029"/>
    <m/>
    <n v="20140626"/>
    <s v="507719601133414"/>
    <s v="7896004707600"/>
    <s v="1023501570025"/>
    <x v="205"/>
    <x v="252"/>
    <s v="fluocinolona+neom.+poliximina b+lidocaina"/>
    <s v="FLUOCINOLONA"/>
    <s v="NEOMICINA"/>
    <s v="POLIXIMINA B"/>
    <s v="LIDOCAINA"/>
    <s v=""/>
    <m/>
    <x v="2"/>
    <s v="EMS S/A"/>
    <s v="57507378000101"/>
    <s v="FLUOCINOLONA"/>
    <n v="0"/>
    <n v="2"/>
    <n v="0"/>
    <n v="5"/>
    <s v="+"/>
    <s v=" OTI.CORTI.EM/ASS.C/ANTINF"/>
    <s v=" 67-73-2"/>
    <s v="Tarja Vermelha"/>
    <s v="II"/>
    <s v="P"/>
    <s v="M"/>
    <n v="566421"/>
    <n v="1305130"/>
    <n v="2979973.71"/>
    <x v="0"/>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2618"/>
    <s v="30042099"/>
    <m/>
    <n v="20140626"/>
    <s v="509003001135319"/>
    <s v="7898040320942"/>
    <s v="1039001540018"/>
    <x v="206"/>
    <x v="253"/>
    <s v="hidrocortisona+sulf neomicina+ sulf polimixina"/>
    <s v="HIDROCORTISONA"/>
    <s v="SULF NEOMICINA"/>
    <s v="SULF POLIMIXINA"/>
    <s v=""/>
    <s v=""/>
    <m/>
    <x v="55"/>
    <s v="FARMOQUÍMICA S/A"/>
    <s v="33349473000158"/>
    <s v="HIDROCORTISONA"/>
    <n v="2"/>
    <n v="0"/>
    <n v="0"/>
    <n v="0"/>
    <s v="+"/>
    <s v=" OTI.CORTI.EM/ASS.C/ANTINF"/>
    <s v=" 1405-10-3"/>
    <s v="Tarja Vermelha"/>
    <s v="II"/>
    <s v="P"/>
    <s v="R"/>
    <n v="525396"/>
    <n v="1699442"/>
    <n v="3885338.4"/>
    <x v="0"/>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7585"/>
    <s v="30042069"/>
    <m/>
    <n v="20140626"/>
    <s v="529203901177311"/>
    <s v="7896226503363"/>
    <s v="1010005620018"/>
    <x v="207"/>
    <x v="254"/>
    <s v="fluocinolona+neom.+poliximina b+lidocaina"/>
    <s v="FLUOCINOLONA"/>
    <s v="NEOMICINA"/>
    <s v="POLIXIMINA B"/>
    <s v="LIDOCAINA"/>
    <s v=""/>
    <m/>
    <x v="64"/>
    <s v="PRODUTOS ROCHE QUÍMICOS E FARMACÊUTICOS S.A."/>
    <s v="33009945000123"/>
    <s v="FLUOCINOLONA"/>
    <n v="0"/>
    <n v="2"/>
    <n v="0"/>
    <n v="5"/>
    <s v="+"/>
    <s v=" OTI.CORTI.EM/ASS.C/ANTINF"/>
    <s v=" 67-73-2"/>
    <s v="Tarja Vermelha"/>
    <s v="II"/>
    <s v="P"/>
    <s v="R"/>
    <n v="613989"/>
    <n v="1340262"/>
    <n v="3049499.01"/>
    <x v="0"/>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1361"/>
    <s v="30032099"/>
    <m/>
    <n v="20140626"/>
    <s v="501602101174312"/>
    <s v="7896637022439"/>
    <s v="1011800210022"/>
    <x v="208"/>
    <x v="255"/>
    <s v="hialuronidase+lidocaina+neomicina"/>
    <s v="HIALURONIDASE"/>
    <s v="LIDOCAINA"/>
    <s v="NEOMICINA"/>
    <s v=""/>
    <s v=""/>
    <m/>
    <x v="13"/>
    <s v="APSEN FARMACEUTICA S/A"/>
    <s v="62462015000129"/>
    <s v="HIALURONIDASE"/>
    <n v="3"/>
    <n v="5"/>
    <n v="2"/>
    <n v="0"/>
    <s v="-"/>
    <s v=" ANTI-INFECCIOSOS OTICOS"/>
    <s v=" 1404-04-2"/>
    <s v="Tarja Vermelha"/>
    <s v="N"/>
    <s v="P"/>
    <s v="R"/>
    <n v="591158"/>
    <n v="3077048"/>
    <n v="7037177.8099999996"/>
    <x v="0"/>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2984"/>
    <s v="30042099"/>
    <m/>
    <n v="20140626"/>
    <s v="519013901179411"/>
    <s v="7896714270661"/>
    <s v="1046500510016"/>
    <x v="209"/>
    <x v="256"/>
    <s v="cloranfenicol+lidocaina"/>
    <s v="CLORANFENICOL"/>
    <s v="LIDOCAINA"/>
    <s v=""/>
    <s v=""/>
    <s v=""/>
    <m/>
    <x v="35"/>
    <s v="LABORATÓRIO NEO QUÍMICA COMÉRCIO E INDÚSTRIA LTDA"/>
    <s v="29785870000103"/>
    <s v="CLORANFENICOL"/>
    <n v="11"/>
    <n v="5"/>
    <n v="0"/>
    <n v="0"/>
    <s v="+"/>
    <s v=" ANTI-INFECCIOSOS OTICOS"/>
    <s v=" 73-78-9"/>
    <s v="Tarja Vermelha"/>
    <s v="II"/>
    <s v="P"/>
    <s v="M"/>
    <n v="1167706"/>
    <n v="3059488"/>
    <n v="6985127.0899999999"/>
    <x v="0"/>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208"/>
    <s v="30049045"/>
    <m/>
    <n v="20140626"/>
    <s v="520716104111125"/>
    <s v="7896112149705"/>
    <s v="1037003880111"/>
    <x v="210"/>
    <x v="257"/>
    <s v="paracetamol"/>
    <s v="PARACETAMOL"/>
    <s v=""/>
    <s v=""/>
    <s v=""/>
    <s v=""/>
    <m/>
    <x v="1"/>
    <s v="LABORATÓRIO TEUTO BRASILEIRO S/A"/>
    <s v="17159229000176"/>
    <s v="PARACETAMOL"/>
    <n v="0"/>
    <n v="0"/>
    <n v="0"/>
    <n v="0"/>
    <s v="-"/>
    <s v=" ANALG NAO NARCOT/A/PIRET"/>
    <s v=" 103-90-2"/>
    <s v="Venda Livre"/>
    <s v="N"/>
    <s v="P"/>
    <s v="G"/>
    <n v="3174306"/>
    <n v="10941446"/>
    <n v="24933255.260000002"/>
    <x v="7"/>
    <n v="2.1"/>
    <n v="9.9"/>
    <n v="3.27"/>
    <n v="3.12"/>
    <n v="1.35"/>
    <n v="18"/>
    <n v="12"/>
    <n v="17"/>
    <n v="17"/>
    <n v="19"/>
    <n v="12"/>
    <n v="17"/>
    <n v="17"/>
    <n v="17"/>
    <n v="17"/>
    <n v="17"/>
    <n v="17"/>
    <n v="17"/>
    <n v="17"/>
    <n v="17"/>
    <n v="17"/>
    <n v="37.74"/>
    <n v="31.740000000000002"/>
    <n v="36.74"/>
    <n v="36.74"/>
    <n v="38.74"/>
    <n v="31.740000000000002"/>
    <n v="36.74"/>
    <n v="36.74"/>
    <n v="36.74"/>
    <n v="36.74"/>
    <n v="36.74"/>
    <n v="36.74"/>
    <n v="36.74"/>
    <n v="36.74"/>
    <n v="36.74"/>
    <n v="36.74"/>
    <n v="36.302500000000002"/>
    <m/>
    <m/>
  </r>
  <r>
    <n v="1208"/>
    <s v="30049045"/>
    <m/>
    <n v="20140626"/>
    <s v="520716104111125"/>
    <s v="7896112149705"/>
    <s v="1037003880111"/>
    <x v="210"/>
    <x v="257"/>
    <s v="paracetamol"/>
    <s v="PARACETAMOL"/>
    <s v=""/>
    <s v=""/>
    <s v=""/>
    <s v=""/>
    <m/>
    <x v="1"/>
    <s v="LABORATÓRIO TEUTO BRASILEIRO S/A"/>
    <s v="17159229000176"/>
    <s v="PARACETAMOL"/>
    <n v="0"/>
    <n v="0"/>
    <n v="0"/>
    <n v="0"/>
    <s v="-"/>
    <s v=" ANALG NAO NARCOT/A/PIRET"/>
    <s v=" 103-90-2"/>
    <s v="Venda Livre"/>
    <s v="N"/>
    <s v="P"/>
    <s v="G"/>
    <n v="3174306"/>
    <n v="10941446"/>
    <n v="24933255.260000002"/>
    <x v="42"/>
    <n v="2.1"/>
    <n v="9.9"/>
    <n v="3.27"/>
    <n v="3.12"/>
    <n v="1.35"/>
    <n v="18"/>
    <n v="12"/>
    <n v="17"/>
    <n v="17"/>
    <n v="19"/>
    <n v="12"/>
    <n v="17"/>
    <n v="17"/>
    <n v="17"/>
    <n v="17"/>
    <n v="17"/>
    <n v="17"/>
    <n v="17"/>
    <n v="17"/>
    <n v="17"/>
    <n v="17"/>
    <n v="37.74"/>
    <n v="31.740000000000002"/>
    <n v="36.74"/>
    <n v="36.74"/>
    <n v="38.74"/>
    <n v="31.740000000000002"/>
    <n v="36.74"/>
    <n v="36.74"/>
    <n v="36.74"/>
    <n v="36.74"/>
    <n v="36.74"/>
    <n v="36.74"/>
    <n v="36.74"/>
    <n v="36.74"/>
    <n v="36.74"/>
    <n v="36.74"/>
    <n v="36.302500000000002"/>
    <m/>
    <m/>
  </r>
  <r>
    <n v="1208"/>
    <s v="30049045"/>
    <m/>
    <n v="20140626"/>
    <s v="520716104111125"/>
    <s v="7896112149705"/>
    <s v="1037003880111"/>
    <x v="210"/>
    <x v="257"/>
    <s v="paracetamol"/>
    <s v="PARACETAMOL"/>
    <s v=""/>
    <s v=""/>
    <s v=""/>
    <s v=""/>
    <m/>
    <x v="1"/>
    <s v="LABORATÓRIO TEUTO BRASILEIRO S/A"/>
    <s v="17159229000176"/>
    <s v="PARACETAMOL"/>
    <n v="0"/>
    <n v="0"/>
    <n v="0"/>
    <n v="0"/>
    <s v="-"/>
    <s v=" ANALG NAO NARCOT/A/PIRET"/>
    <s v=" 103-90-2"/>
    <s v="Venda Livre"/>
    <s v="N"/>
    <s v="P"/>
    <s v="G"/>
    <n v="3174306"/>
    <n v="10941446"/>
    <n v="24933255.260000002"/>
    <x v="8"/>
    <n v="2.1"/>
    <n v="9.9"/>
    <n v="3.27"/>
    <n v="3.12"/>
    <n v="1.35"/>
    <n v="18"/>
    <n v="12"/>
    <n v="17"/>
    <n v="17"/>
    <n v="19"/>
    <n v="12"/>
    <n v="17"/>
    <n v="17"/>
    <n v="17"/>
    <n v="17"/>
    <n v="17"/>
    <n v="17"/>
    <n v="17"/>
    <n v="17"/>
    <n v="17"/>
    <n v="17"/>
    <n v="37.74"/>
    <n v="31.740000000000002"/>
    <n v="36.74"/>
    <n v="36.74"/>
    <n v="38.74"/>
    <n v="31.740000000000002"/>
    <n v="36.74"/>
    <n v="36.74"/>
    <n v="36.74"/>
    <n v="36.74"/>
    <n v="36.74"/>
    <n v="36.74"/>
    <n v="36.74"/>
    <n v="36.74"/>
    <n v="36.74"/>
    <n v="36.74"/>
    <n v="36.302500000000002"/>
    <m/>
    <m/>
  </r>
  <r>
    <n v="12020"/>
    <s v="30049099"/>
    <m/>
    <n v="20140626"/>
    <s v="500212090030205"/>
    <s v="7896255766081"/>
    <s v="1055303420033"/>
    <x v="211"/>
    <x v="258"/>
    <s v="alimento"/>
    <s v="ALIMENTO"/>
    <s v=""/>
    <s v=""/>
    <s v=""/>
    <s v=""/>
    <m/>
    <x v="9"/>
    <s v="ABBOTT LABORATÓRIOS DO BRASIL LTDA"/>
    <s v="56998701000116"/>
    <s v="ALIMENTO"/>
    <n v="0"/>
    <n v="0"/>
    <n v="0"/>
    <n v="0"/>
    <s v="-"/>
    <s v=" SUBST.OR.ELECTROLITICOS"/>
    <s v=" 4468-02-4"/>
    <s v="Venda Livre"/>
    <s v="N"/>
    <s v="P"/>
    <s v="M"/>
    <n v="294615"/>
    <n v="1602140"/>
    <n v="3668364.21"/>
    <x v="27"/>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2021"/>
    <s v="30049099"/>
    <m/>
    <n v="20140626"/>
    <s v="500212090030105"/>
    <s v="7896255766012"/>
    <s v="1055303420025"/>
    <x v="211"/>
    <x v="259"/>
    <s v="alimento"/>
    <s v="ALIMENTO"/>
    <s v=""/>
    <s v=""/>
    <s v=""/>
    <s v=""/>
    <m/>
    <x v="9"/>
    <s v="ABBOTT LABORATÓRIOS DO BRASIL LTDA"/>
    <s v="56998701000116"/>
    <s v="ALIMENTO"/>
    <n v="0"/>
    <n v="0"/>
    <n v="0"/>
    <n v="0"/>
    <s v="-"/>
    <s v=" SUBST.OR.ELECTROLITICOS"/>
    <s v=" 4468-02-4"/>
    <s v="Venda Livre"/>
    <s v="N"/>
    <s v="P"/>
    <s v="M"/>
    <n v="253286"/>
    <n v="1376724"/>
    <n v="3154429.09"/>
    <x v="27"/>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453"/>
    <s v="30049099"/>
    <m/>
    <n v="20140626"/>
    <s v="507720103117119"/>
    <s v="7896004713571"/>
    <s v="1023504960061"/>
    <x v="212"/>
    <x v="260"/>
    <s v="pentoxifilina"/>
    <s v="PENTOXIFILINA"/>
    <s v=""/>
    <s v=""/>
    <s v=""/>
    <s v=""/>
    <m/>
    <x v="2"/>
    <s v="EMS S/A"/>
    <s v="57507378000101"/>
    <s v="PENTOXIFILINA"/>
    <n v="1"/>
    <n v="0"/>
    <n v="0"/>
    <n v="0"/>
    <s v="+"/>
    <s v=" VASOTER CER/PER EXC ANT C"/>
    <s v=" 6493-05-6"/>
    <s v="Tarja Vermelha"/>
    <s v="I"/>
    <s v="E"/>
    <s v="G"/>
    <n v="271508"/>
    <n v="3987855"/>
    <n v="9093830.6400000006"/>
    <x v="36"/>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14583"/>
    <s v="30049069"/>
    <m/>
    <n v="20140626"/>
    <s v="508016801137411"/>
    <s v="7891317411909"/>
    <s v="1004306450036"/>
    <x v="213"/>
    <x v="261"/>
    <s v="levodropropizina"/>
    <s v="LEVODROPROPIZINA"/>
    <s v=""/>
    <s v=""/>
    <s v=""/>
    <s v=""/>
    <m/>
    <x v="18"/>
    <s v="EUROFARMA LABORATÓRIOS S.A."/>
    <s v="61190096000192"/>
    <s v="LEVODROPROPIZINA"/>
    <n v="0"/>
    <n v="0"/>
    <n v="0"/>
    <n v="0"/>
    <s v="-"/>
    <s v=" A/TUSSIGENOS PUROS"/>
    <s v=" 99291-25-5"/>
    <s v="Tarja Vermelha"/>
    <s v="N"/>
    <s v="P"/>
    <s v="M"/>
    <n v="1308304"/>
    <n v="10939223"/>
    <n v="24797385.98"/>
    <x v="44"/>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8813"/>
    <s v="30049041"/>
    <m/>
    <n v="20140626"/>
    <s v="502809802110316"/>
    <s v="7891058059149"/>
    <s v="1130001930031"/>
    <x v="214"/>
    <x v="262"/>
    <s v="metoclopramida"/>
    <s v="METOCLOPRAMIDA"/>
    <s v=""/>
    <s v=""/>
    <s v=""/>
    <s v=""/>
    <m/>
    <x v="6"/>
    <s v="SANOFI-AVENTIS FARMACÊUTICA LTDA"/>
    <s v="02685377000157"/>
    <s v="METOCLOPRAMIDA"/>
    <n v="1"/>
    <n v="0"/>
    <n v="0"/>
    <n v="0"/>
    <s v="-"/>
    <s v=" GASTROPROCINETICOS"/>
    <s v=" 7232-21-5"/>
    <s v="Tarja Vermelha"/>
    <s v="N"/>
    <s v="P"/>
    <s v="R"/>
    <n v="2432477"/>
    <n v="5714663"/>
    <n v="13061613.539999999"/>
    <x v="30"/>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8813"/>
    <s v="30049041"/>
    <m/>
    <n v="20140626"/>
    <s v="502809802110316"/>
    <s v="7891058059149"/>
    <s v="1130001930031"/>
    <x v="214"/>
    <x v="262"/>
    <s v="metoclopramida"/>
    <s v="METOCLOPRAMIDA"/>
    <s v=""/>
    <s v=""/>
    <s v=""/>
    <s v=""/>
    <m/>
    <x v="6"/>
    <s v="SANOFI-AVENTIS FARMACÊUTICA LTDA"/>
    <s v="02685377000157"/>
    <s v="METOCLOPRAMIDA"/>
    <n v="1"/>
    <n v="0"/>
    <n v="0"/>
    <n v="0"/>
    <s v="-"/>
    <s v=" GASTROPROCINETICOS"/>
    <s v=" 7232-21-5"/>
    <s v="Tarja Vermelha"/>
    <s v="N"/>
    <s v="P"/>
    <s v="R"/>
    <n v="2432477"/>
    <n v="5714663"/>
    <n v="13061613.539999999"/>
    <x v="42"/>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8826"/>
    <s v="30049041"/>
    <m/>
    <n v="20140626"/>
    <s v="502809803133311"/>
    <s v="7891058059019"/>
    <s v="1130001930021"/>
    <x v="214"/>
    <x v="263"/>
    <s v="metoclopramida"/>
    <s v="METOCLOPRAMIDA"/>
    <s v=""/>
    <s v=""/>
    <s v=""/>
    <s v=""/>
    <m/>
    <x v="6"/>
    <s v="SANOFI-AVENTIS FARMACÊUTICA LTDA"/>
    <s v="02685377000157"/>
    <s v="METOCLOPRAMIDA"/>
    <n v="1"/>
    <n v="0"/>
    <n v="0"/>
    <n v="0"/>
    <s v="-"/>
    <s v=" GASTROPROCINETICOS"/>
    <s v=" 7232-21-5"/>
    <s v="Tarja Vermelha"/>
    <s v="N"/>
    <s v="P"/>
    <s v="R"/>
    <n v="1558851"/>
    <n v="3847689"/>
    <n v="8794662.3100000005"/>
    <x v="30"/>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7141"/>
    <s v="30049069"/>
    <m/>
    <n v="20140626"/>
    <s v="525064403162115"/>
    <s v="7896422509817"/>
    <s v="1018104800011"/>
    <x v="215"/>
    <x v="264"/>
    <m/>
    <s v="POLICRESULENO"/>
    <s v="CLORIDRATO DE CHINCHOCAINA"/>
    <s v=""/>
    <s v=""/>
    <s v=""/>
    <m/>
    <x v="15"/>
    <s v="MEDLEY INDÚSTRIA FARMACÊUTICA LTDA"/>
    <s v="50929710000179"/>
    <s v="POLICRESULENO"/>
    <n v="0"/>
    <n v="0"/>
    <n v="0"/>
    <n v="0"/>
    <s v="-"/>
    <s v=" ANTHIHEMORR. SEM CORTIC."/>
    <s v=" 61-12-1"/>
    <s v="Tarja Vermelha"/>
    <s v="N"/>
    <s v="P"/>
    <s v="G"/>
    <n v="639671"/>
    <n v="5598235"/>
    <n v="12776962.880000001"/>
    <x v="45"/>
    <n v="2.1"/>
    <n v="9.9"/>
    <n v="3.27"/>
    <n v="3.12"/>
    <n v="1.35"/>
    <n v="18"/>
    <n v="12"/>
    <n v="17"/>
    <n v="17"/>
    <n v="19"/>
    <n v="12"/>
    <n v="17"/>
    <n v="17"/>
    <n v="17"/>
    <n v="17"/>
    <n v="17"/>
    <n v="17"/>
    <n v="17"/>
    <n v="17"/>
    <n v="17"/>
    <n v="17"/>
    <n v="37.74"/>
    <n v="31.740000000000002"/>
    <n v="36.74"/>
    <n v="36.74"/>
    <n v="38.74"/>
    <n v="31.740000000000002"/>
    <n v="36.74"/>
    <n v="36.74"/>
    <n v="36.74"/>
    <n v="36.74"/>
    <n v="36.74"/>
    <n v="36.74"/>
    <n v="36.74"/>
    <n v="36.74"/>
    <n v="36.74"/>
    <n v="36.74"/>
    <n v="36.302500000000002"/>
    <m/>
    <m/>
  </r>
  <r>
    <n v="17344"/>
    <s v="30032019"/>
    <m/>
    <n v="20140626"/>
    <s v="501004601173313"/>
    <s v="7897316800300"/>
    <s v="1014700060018"/>
    <x v="216"/>
    <x v="265"/>
    <s v="prednisolona"/>
    <s v="PREDNISOLONA"/>
    <s v=""/>
    <s v=""/>
    <s v=""/>
    <s v=""/>
    <m/>
    <x v="16"/>
    <s v="ALLERGAN PRODUTOS FARMACÊUTICOS LTDA"/>
    <s v="43426626000177"/>
    <s v="PREDNISOLONA"/>
    <n v="1"/>
    <n v="0"/>
    <n v="0"/>
    <n v="0"/>
    <s v="-"/>
    <s v=" CORTICOSTEROID.OFTALMOLOG"/>
    <s v=" 52-21-1"/>
    <s v="Tarja Vermelha"/>
    <s v="N"/>
    <s v="P"/>
    <s v="R"/>
    <n v="894478"/>
    <n v="9653546"/>
    <n v="22022463.719999999"/>
    <x v="37"/>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5092"/>
    <s v="30043939"/>
    <m/>
    <n v="20140626"/>
    <s v="522702703111311"/>
    <s v="7891045008716"/>
    <s v="1211000150068"/>
    <x v="217"/>
    <x v="266"/>
    <m/>
    <s v="ESTROGENIOS CONJUGADOS"/>
    <s v=""/>
    <s v=""/>
    <s v=""/>
    <s v=""/>
    <m/>
    <x v="32"/>
    <s v="WYETH INDÚSTRIA FARMACÊUTICA LTDA"/>
    <s v="61072393000133"/>
    <s v="ESTROGENIOS CONJUGADOS"/>
    <n v="2"/>
    <n v="0"/>
    <n v="0"/>
    <n v="0"/>
    <s v="+"/>
    <s v=" ESTROGEN EXC G3A,G3E,G3F"/>
    <s v=" 12126-59-9"/>
    <s v="Tarja Vermelha"/>
    <s v="I"/>
    <s v="E"/>
    <s v="R"/>
    <n v="516898"/>
    <n v="5390851"/>
    <n v="12306002.789999999"/>
    <x v="2"/>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1737"/>
    <s v="30043939"/>
    <m/>
    <n v="20140626"/>
    <s v="538902501118313"/>
    <s v="7891106906005"/>
    <s v="1705600680011"/>
    <x v="218"/>
    <x v="267"/>
    <s v="estradiol"/>
    <s v="ESTRADIOL"/>
    <s v=""/>
    <s v=""/>
    <s v=""/>
    <s v=""/>
    <m/>
    <x v="20"/>
    <s v="BAYER S.A."/>
    <s v="18459628000115"/>
    <s v="ESTRADIOL"/>
    <n v="9"/>
    <n v="0"/>
    <n v="0"/>
    <n v="0"/>
    <s v="+"/>
    <s v=" ESTROGEN EXC G3A,G3E,G3F"/>
    <s v=" 979-32-8"/>
    <s v="Tarja Vermelha"/>
    <s v="I"/>
    <s v="E"/>
    <s v="M"/>
    <n v="371596"/>
    <n v="3470307"/>
    <n v="7920555.7800000003"/>
    <x v="2"/>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7317"/>
    <s v="30034090"/>
    <m/>
    <n v="20140626"/>
    <s v="538912050016113"/>
    <s v="7891106906029"/>
    <s v="1705600710018"/>
    <x v="219"/>
    <x v="268"/>
    <s v="etinilestradiol + noretisterona"/>
    <s v="ETINILESTRADIOL"/>
    <s v="NORETISTERONA"/>
    <s v=""/>
    <s v=""/>
    <s v=""/>
    <m/>
    <x v="20"/>
    <s v="BAYER S.A."/>
    <s v="18459628000115"/>
    <s v="ETINILESTRADIOL"/>
    <n v="17"/>
    <n v="3"/>
    <n v="0"/>
    <n v="0"/>
    <s v="+"/>
    <s v=" ASS ESTROG/PROGEST"/>
    <s v=" 57-63-6"/>
    <s v="Tarja Vermelha"/>
    <s v="II"/>
    <s v="P"/>
    <s v="R"/>
    <n v="511878"/>
    <n v="1353300"/>
    <n v="3090346.52"/>
    <x v="2"/>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1910"/>
    <s v="30049049"/>
    <m/>
    <n v="20140626"/>
    <s v="523704002117410"/>
    <s v="7896094201538"/>
    <s v="1003301070032"/>
    <x v="220"/>
    <x v="269"/>
    <s v="citalopram"/>
    <s v="CITALOPRAM"/>
    <s v=""/>
    <s v=""/>
    <s v=""/>
    <s v=""/>
    <m/>
    <x v="19"/>
    <s v="LIBBS FARMACÊUTICA LTDA"/>
    <s v="61230314000175"/>
    <s v="CITALOPRAM"/>
    <n v="1"/>
    <n v="0"/>
    <n v="0"/>
    <n v="0"/>
    <s v="+"/>
    <s v=" ANTI-DEPRESSIVOS SSRI"/>
    <s v=" 59729-33-8"/>
    <s v="Tarja Vermelha"/>
    <s v="I"/>
    <s v="E"/>
    <s v="M"/>
    <n v="905604"/>
    <n v="13828212"/>
    <n v="31538130.289999999"/>
    <x v="23"/>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5752"/>
    <s v="30049099"/>
    <m/>
    <n v="20140626"/>
    <s v="526512804163419"/>
    <s v="7896261009226"/>
    <s v="1006800700060"/>
    <x v="221"/>
    <x v="270"/>
    <s v="tribenosídeo"/>
    <s v="TRIBENOSIDEO"/>
    <s v="LIDOCAINA"/>
    <s v=""/>
    <s v=""/>
    <s v=""/>
    <m/>
    <x v="60"/>
    <s v="NOVARTIS BIOCIENCIAS S.A"/>
    <s v="56994502000130"/>
    <s v="TRIBENOSIDEO"/>
    <n v="0"/>
    <n v="5"/>
    <n v="0"/>
    <n v="0"/>
    <s v="-"/>
    <s v=" ANTHIHEMORR. SEM CORTIC."/>
    <s v=" 137-58-6"/>
    <s v="Venda Livre"/>
    <s v="N"/>
    <s v="P"/>
    <s v="M"/>
    <n v="302890"/>
    <n v="1998634"/>
    <n v="4578168.13"/>
    <x v="45"/>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5284"/>
    <s v="30049069"/>
    <m/>
    <n v="20140626"/>
    <s v="525905201164410"/>
    <s v="7896472504350"/>
    <s v="1181900740033"/>
    <x v="222"/>
    <x v="271"/>
    <s v="policresuleno + cloridrato de chinchocaina"/>
    <s v="POLICRESULENO"/>
    <s v="CLORIDRATO DE CHINCHOCAINA"/>
    <s v=""/>
    <s v=""/>
    <s v=""/>
    <m/>
    <x v="30"/>
    <s v="MULTILAB INDÚSTRIA E COMÉRCIO DE PRODUTOS FARMACÊUTICOS LTDA"/>
    <s v="92265552000140"/>
    <s v="POLICRESULENO"/>
    <n v="0"/>
    <n v="0"/>
    <n v="0"/>
    <n v="0"/>
    <s v="-"/>
    <s v=" ANTHIHEMORR. SEM CORTIC."/>
    <s v=" 61-12-1"/>
    <s v="Venda Livre"/>
    <s v="N"/>
    <s v="P"/>
    <s v="M"/>
    <n v="315020"/>
    <n v="2642867"/>
    <n v="6017827.2800000003"/>
    <x v="45"/>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5287"/>
    <s v="30049099"/>
    <m/>
    <n v="20140626"/>
    <s v="501102801169417"/>
    <s v="7896641803642"/>
    <s v="1063901110071"/>
    <x v="223"/>
    <x v="272"/>
    <s v="policresuleno + cloridrato de chinchocaina"/>
    <s v="POLICRESULENO"/>
    <s v="CLORIDRATO DE CHINCHOCAINA"/>
    <s v=""/>
    <s v=""/>
    <s v=""/>
    <m/>
    <x v="42"/>
    <s v="TAKEDA PHARMA LTDA."/>
    <s v="60397775000174"/>
    <s v="POLICRESULENO"/>
    <n v="0"/>
    <n v="0"/>
    <n v="0"/>
    <n v="0"/>
    <s v="-"/>
    <s v=" ANTHIHEMORR. SEM CORTIC."/>
    <s v=" 61-12-1"/>
    <s v="Venda Livre"/>
    <s v="N"/>
    <s v="P"/>
    <s v="R"/>
    <n v="202210"/>
    <n v="2876200"/>
    <n v="6568723.9699999997"/>
    <x v="45"/>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5288"/>
    <s v="30049099"/>
    <m/>
    <n v="20140626"/>
    <s v="501102802165415"/>
    <s v="7896641801792"/>
    <s v="1063901110039"/>
    <x v="223"/>
    <x v="273"/>
    <s v="policresuleno + cloridrato de chinchocaina"/>
    <s v="POLICRESULENO"/>
    <s v="CLORIDRATO DE CHINCHOCAINA"/>
    <s v=""/>
    <s v=""/>
    <s v=""/>
    <m/>
    <x v="42"/>
    <s v="TAKEDA PHARMA LTDA."/>
    <s v="60397775000174"/>
    <s v="POLICRESULENO"/>
    <n v="0"/>
    <n v="0"/>
    <n v="0"/>
    <n v="0"/>
    <s v="-"/>
    <s v=" ANTHIHEMORR. SEM CORTIC."/>
    <s v=" 61-12-1"/>
    <s v="Venda Livre"/>
    <s v="N"/>
    <s v="P"/>
    <s v="R"/>
    <n v="683356"/>
    <n v="9729035"/>
    <n v="22207594.32"/>
    <x v="45"/>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5291"/>
    <s v="30049069"/>
    <m/>
    <n v="20140626"/>
    <s v="501102804141416"/>
    <s v="7896641806339"/>
    <s v="1063901110111"/>
    <x v="223"/>
    <x v="274"/>
    <s v="policresuleno + cloridrato de chinchocaina"/>
    <s v="POLICRESULENO"/>
    <s v="CLORIDRATO DE CHINCHOCAINA"/>
    <s v=""/>
    <s v=""/>
    <s v=""/>
    <m/>
    <x v="42"/>
    <s v="TAKEDA PHARMA LTDA."/>
    <s v="60397775000174"/>
    <s v="POLICRESULENO"/>
    <n v="0"/>
    <n v="0"/>
    <n v="0"/>
    <n v="0"/>
    <s v="-"/>
    <s v=" ANTHIHEMORR. SEM CORTIC."/>
    <s v=" 61-12-1"/>
    <s v="Venda Livre"/>
    <s v="N"/>
    <s v="P"/>
    <s v="R"/>
    <n v="437985"/>
    <n v="6694513"/>
    <n v="15283319.25"/>
    <x v="45"/>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0277"/>
    <s v="30049075"/>
    <m/>
    <n v="20140626"/>
    <s v="520717501112411"/>
    <s v="7896112148685"/>
    <s v="1037003210027"/>
    <x v="224"/>
    <x v="275"/>
    <s v="prometazina"/>
    <s v="PROMETAZINA"/>
    <s v=""/>
    <s v=""/>
    <s v=""/>
    <s v=""/>
    <m/>
    <x v="1"/>
    <s v="LABORATÓRIO TEUTO BRASILEIRO S/A"/>
    <s v="17159229000176"/>
    <s v="PROMETAZINA"/>
    <n v="0"/>
    <n v="0"/>
    <n v="0"/>
    <n v="0"/>
    <s v="-"/>
    <s v=" OUT.ANTIEMET./ANTINAUS."/>
    <s v=" 58-33-3"/>
    <s v="Tarja Vermelha"/>
    <s v="N"/>
    <s v="P"/>
    <s v="M"/>
    <n v="910052"/>
    <n v="1915237"/>
    <n v="4377561.7699999996"/>
    <x v="29"/>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4890"/>
    <s v="30049049"/>
    <m/>
    <n v="20140626"/>
    <s v="529204101115311"/>
    <s v="7896226503721"/>
    <s v="1010000640126"/>
    <x v="225"/>
    <x v="276"/>
    <s v="levodopa+CLORIDRATO DE BENSERAZIDA"/>
    <s v="LEVODOPA"/>
    <s v="CLORIDRATO DE BENSERAZIDA"/>
    <s v=""/>
    <s v=""/>
    <s v=""/>
    <m/>
    <x v="64"/>
    <s v="PRODUTOS ROCHE QUÍMICOS E FARMACÊUTICOS S.A."/>
    <s v="33009945000123"/>
    <s v="LEVODOPA"/>
    <n v="3"/>
    <n v="1"/>
    <n v="0"/>
    <n v="0"/>
    <s v="+"/>
    <s v=" A/PARKINSONIANOS"/>
    <s v=" 59-92-7"/>
    <s v="Tarja Vermelha"/>
    <s v="II"/>
    <s v="P"/>
    <s v="R"/>
    <n v="187430"/>
    <n v="3243214"/>
    <n v="7402596.8899999997"/>
    <x v="11"/>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4891"/>
    <s v="30049049"/>
    <m/>
    <n v="20140626"/>
    <s v="529204102111318"/>
    <s v="7896226500515"/>
    <s v="1010000640066"/>
    <x v="225"/>
    <x v="277"/>
    <s v="levodopa+CLORIDRATO DE BENSERAZIDA"/>
    <s v="LEVODOPA"/>
    <s v="CLORIDRATO DE BENSERAZIDA"/>
    <s v=""/>
    <s v=""/>
    <s v=""/>
    <m/>
    <x v="64"/>
    <s v="PRODUTOS ROCHE QUÍMICOS E FARMACÊUTICOS S.A."/>
    <s v="33009945000123"/>
    <s v="LEVODOPA"/>
    <n v="3"/>
    <n v="1"/>
    <n v="0"/>
    <n v="0"/>
    <s v="+"/>
    <s v=" A/PARKINSONIANOS"/>
    <s v=" 59-92-7"/>
    <s v="Tarja Vermelha"/>
    <s v="II"/>
    <s v="P"/>
    <s v="R"/>
    <n v="790946"/>
    <n v="18442020"/>
    <n v="42091783.509999998"/>
    <x v="11"/>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4892"/>
    <s v="30049049"/>
    <m/>
    <n v="20140626"/>
    <s v="529204103118316"/>
    <s v="7896226500362"/>
    <s v="1010000640071"/>
    <x v="225"/>
    <x v="278"/>
    <s v="levodopa+CLORIDRATO DE BENSERAZIDA"/>
    <s v="LEVODOPA"/>
    <s v="CLORIDRATO DE BENSERAZIDA"/>
    <s v=""/>
    <s v=""/>
    <s v=""/>
    <m/>
    <x v="64"/>
    <s v="PRODUTOS ROCHE QUÍMICOS E FARMACÊUTICOS S.A."/>
    <s v="33009945000123"/>
    <s v="LEVODOPA"/>
    <n v="3"/>
    <n v="1"/>
    <n v="0"/>
    <n v="0"/>
    <s v="+"/>
    <s v=" A/PARKINSONIANOS"/>
    <s v=" 59-92-7"/>
    <s v="Tarja Vermelha"/>
    <s v="II"/>
    <s v="P"/>
    <s v="R"/>
    <n v="268199"/>
    <n v="4641504"/>
    <n v="10593382.970000001"/>
    <x v="11"/>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4894"/>
    <s v="30049049"/>
    <m/>
    <n v="20140626"/>
    <s v="529212090024303"/>
    <s v="7896226506388"/>
    <s v="1010000640150"/>
    <x v="225"/>
    <x v="279"/>
    <s v="levodopa+CLORIDRATO DE BENSERAZIDA"/>
    <s v="LEVODOPA"/>
    <s v="CLORIDRATO DE BENSERAZIDA"/>
    <s v=""/>
    <s v=""/>
    <s v=""/>
    <m/>
    <x v="64"/>
    <s v="PRODUTOS ROCHE QUÍMICOS E FARMACÊUTICOS S.A."/>
    <s v="33009945000123"/>
    <s v="LEVODOPA"/>
    <n v="3"/>
    <n v="1"/>
    <n v="0"/>
    <n v="0"/>
    <s v="+"/>
    <s v=" A/PARKINSONIANOS"/>
    <s v=" 59-92-7"/>
    <s v="Tarja Vermelha"/>
    <s v="II"/>
    <s v="P"/>
    <s v="R"/>
    <n v="222790"/>
    <n v="5191630"/>
    <n v="11859838.98"/>
    <x v="11"/>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4898"/>
    <s v="30049049"/>
    <m/>
    <n v="20140626"/>
    <s v="529212090024203"/>
    <s v="7896226506371"/>
    <s v="1010000640142"/>
    <x v="225"/>
    <x v="280"/>
    <s v="levodopa+CLORIDRATO DE BENSERAZIDA"/>
    <s v="LEVODOPA"/>
    <s v="CLORIDRATO DE BENSERAZIDA"/>
    <s v=""/>
    <s v=""/>
    <s v=""/>
    <m/>
    <x v="64"/>
    <s v="PRODUTOS ROCHE QUÍMICOS E FARMACÊUTICOS S.A."/>
    <s v="33009945000123"/>
    <s v="LEVODOPA"/>
    <n v="3"/>
    <n v="1"/>
    <n v="0"/>
    <n v="0"/>
    <s v="+"/>
    <s v=" A/PARKINSONIANOS"/>
    <s v=" 59-92-7"/>
    <s v="Tarja Vermelha"/>
    <s v="II"/>
    <s v="P"/>
    <s v="R"/>
    <n v="287517"/>
    <n v="3346446"/>
    <n v="7660677.29"/>
    <x v="11"/>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4524"/>
    <s v="30049079"/>
    <m/>
    <n v="20140626"/>
    <s v="531312050005703"/>
    <s v="7898029557246"/>
    <s v="1127800700035"/>
    <x v="226"/>
    <x v="281"/>
    <s v="ranelato de estroncio"/>
    <s v="RANELATO DE ESTRONCIO"/>
    <s v=""/>
    <s v=""/>
    <s v=""/>
    <s v=""/>
    <m/>
    <x v="38"/>
    <s v="LABORATÓRIOS SERVIER DO BRASIL LTDA"/>
    <s v="42374207000176"/>
    <s v="RANELATO DE ESTRONCIO"/>
    <n v="1"/>
    <n v="0"/>
    <n v="0"/>
    <n v="0"/>
    <s v="+"/>
    <s v=" OUT REGUL CALCIO OSSEO"/>
    <s v=" 135459-87-9"/>
    <s v="Tarja Vermelha"/>
    <s v="I"/>
    <s v="E"/>
    <s v="R"/>
    <n v="47791"/>
    <n v="4854995"/>
    <n v="11105466.9"/>
    <x v="5"/>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4525"/>
    <s v="30049079"/>
    <m/>
    <n v="20140626"/>
    <s v="531302002172316"/>
    <s v="7898029557222"/>
    <s v="1127800700019"/>
    <x v="226"/>
    <x v="282"/>
    <s v="ranelato de estroncio"/>
    <s v="RANELATO DE ESTRONCIO"/>
    <s v=""/>
    <s v=""/>
    <s v=""/>
    <s v=""/>
    <m/>
    <x v="38"/>
    <s v="LABORATÓRIOS SERVIER DO BRASIL LTDA"/>
    <s v="42374207000176"/>
    <s v="RANELATO DE ESTRONCIO"/>
    <n v="1"/>
    <n v="0"/>
    <n v="0"/>
    <n v="0"/>
    <s v="+"/>
    <s v=" OUT REGUL CALCIO OSSEO"/>
    <s v=" 135459-87-9"/>
    <s v="Tarja Vermelha"/>
    <s v="I"/>
    <s v="E"/>
    <s v="R"/>
    <n v="262610"/>
    <n v="13351309"/>
    <n v="30459926.989999998"/>
    <x v="5"/>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6268"/>
    <s v="30049029"/>
    <m/>
    <n v="20140626"/>
    <s v="534203701115311"/>
    <s v="7892953001370"/>
    <s v="1221400750024"/>
    <x v="227"/>
    <x v="283"/>
    <m/>
    <m/>
    <m/>
    <m/>
    <m/>
    <m/>
    <m/>
    <x v="65"/>
    <s v="ZODIAC PRODUTOS FARMACÊUTICOS S/A"/>
    <s v="55980684000127"/>
    <s v=""/>
    <n v="0"/>
    <n v="0"/>
    <n v="0"/>
    <n v="0"/>
    <s v="-"/>
    <m/>
    <s v=" 136-40-3"/>
    <s v="Venda Livre"/>
    <s v="N"/>
    <s v="P"/>
    <m/>
    <n v="2"/>
    <n v="100"/>
    <n v="200"/>
    <x v="4"/>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2261"/>
    <s v="30049099"/>
    <m/>
    <n v="20140626"/>
    <s v="508011403133413"/>
    <s v="7891317007508"/>
    <s v="1004306900041"/>
    <x v="228"/>
    <x v="284"/>
    <s v="eletrolitos"/>
    <s v="ELETROLITOS"/>
    <s v=""/>
    <s v=""/>
    <s v=""/>
    <s v=""/>
    <m/>
    <x v="18"/>
    <s v="EUROFARMA LABORATÓRIOS S.A."/>
    <s v="61190096000192"/>
    <s v="ELETROLITOS"/>
    <n v="0"/>
    <n v="0"/>
    <n v="0"/>
    <n v="0"/>
    <s v="-"/>
    <s v=" SUBST.OR.ELECTROLITICOS"/>
    <s v=" 7447-40-7"/>
    <s v="Venda Livre"/>
    <s v="N"/>
    <s v="P"/>
    <s v="M"/>
    <n v="201664"/>
    <n v="1218791"/>
    <n v="2788053"/>
    <x v="42"/>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4869"/>
    <s v="30049099"/>
    <m/>
    <n v="20140626"/>
    <s v="501103601171319"/>
    <s v="7896641804205"/>
    <s v="1063900520187"/>
    <x v="229"/>
    <x v="285"/>
    <s v="escina"/>
    <s v="ESCINA"/>
    <s v=""/>
    <s v=""/>
    <s v=""/>
    <s v=""/>
    <m/>
    <x v="42"/>
    <s v="TAKEDA PHARMA LTDA."/>
    <s v="60397775000174"/>
    <s v="ESCINA"/>
    <n v="0"/>
    <n v="0"/>
    <n v="0"/>
    <n v="0"/>
    <s v="-"/>
    <s v=" A/VARICOSOS TOP"/>
    <s v=" 6805-41-0"/>
    <s v="Venda Livre"/>
    <s v="N"/>
    <s v="P"/>
    <s v="R"/>
    <n v="1020481"/>
    <n v="5271729"/>
    <n v="12041171.34"/>
    <x v="38"/>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1220"/>
    <s v="30049099"/>
    <m/>
    <n v="20140626"/>
    <s v="507722003111417"/>
    <s v="7896004720838"/>
    <s v="1023504200040"/>
    <x v="230"/>
    <x v="286"/>
    <s v="saccharomyces cerevisae"/>
    <s v="SACCHAROMYCES CEREVISAE"/>
    <s v=""/>
    <s v=""/>
    <s v=""/>
    <s v=""/>
    <m/>
    <x v="8"/>
    <s v="EMS S/A"/>
    <s v="57507378000101"/>
    <s v="SACCHAROMYCES CEREVISAE"/>
    <n v="0"/>
    <n v="0"/>
    <n v="0"/>
    <n v="0"/>
    <s v="-"/>
    <s v=" ANTIDIARREICOS-MIC.ORGAN"/>
    <s v=" 99999-99-9"/>
    <s v="Venda Livre"/>
    <s v="N"/>
    <s v="P"/>
    <s v="M"/>
    <n v="1861973"/>
    <n v="16694157"/>
    <n v="38229250.340000004"/>
    <x v="27"/>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1220"/>
    <s v="30049099"/>
    <m/>
    <n v="20140626"/>
    <s v="507722003111417"/>
    <s v="7896004720838"/>
    <s v="1023504200040"/>
    <x v="230"/>
    <x v="286"/>
    <s v="saccharomyces cerevisae"/>
    <s v="SACCHAROMYCES CEREVISAE"/>
    <s v=""/>
    <s v=""/>
    <s v=""/>
    <s v=""/>
    <m/>
    <x v="8"/>
    <s v="EMS S/A"/>
    <s v="57507378000101"/>
    <s v="SACCHAROMYCES CEREVISAE"/>
    <n v="0"/>
    <n v="0"/>
    <n v="0"/>
    <n v="0"/>
    <s v="-"/>
    <s v=" ANTIDIARREICOS-MIC.ORGAN"/>
    <s v=" 99999-99-9"/>
    <s v="Venda Livre"/>
    <s v="N"/>
    <s v="P"/>
    <s v="M"/>
    <n v="1861973"/>
    <n v="16694157"/>
    <n v="38229250.340000004"/>
    <x v="29"/>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1239"/>
    <s v="30049099"/>
    <m/>
    <n v="20140626"/>
    <s v="507722001133413"/>
    <s v="7896004715230"/>
    <s v="1023504200024"/>
    <x v="230"/>
    <x v="287"/>
    <s v="saccharomyces cerevisae"/>
    <s v="SACCHAROMYCES CEREVISAE"/>
    <s v=""/>
    <s v=""/>
    <s v=""/>
    <s v=""/>
    <m/>
    <x v="8"/>
    <s v="EMS S/A"/>
    <s v="57507378000101"/>
    <s v="SACCHAROMYCES CEREVISAE"/>
    <n v="0"/>
    <n v="0"/>
    <n v="0"/>
    <n v="0"/>
    <s v="-"/>
    <s v=" ANTIDIARREICOS-MIC.ORGAN"/>
    <s v=" 99999-99-9"/>
    <s v="Venda Livre"/>
    <s v="N"/>
    <s v="P"/>
    <s v="M"/>
    <n v="1351306"/>
    <n v="9696329"/>
    <n v="22170465.73"/>
    <x v="27"/>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1255"/>
    <s v="30049099"/>
    <m/>
    <n v="20140626"/>
    <s v="507722002113416"/>
    <s v="7896004715247"/>
    <s v="1023504200016"/>
    <x v="230"/>
    <x v="288"/>
    <s v="saccharomyces cerevisae"/>
    <s v="SACCHAROMYCES CEREVISAE"/>
    <s v=""/>
    <s v=""/>
    <s v=""/>
    <s v=""/>
    <m/>
    <x v="8"/>
    <s v="EMS S/A"/>
    <s v="57507378000101"/>
    <s v="SACCHAROMYCES CEREVISAE"/>
    <n v="0"/>
    <n v="0"/>
    <n v="0"/>
    <n v="0"/>
    <s v="-"/>
    <s v=" ANTIDIARREICOS-MIC.ORGAN"/>
    <s v=" 99999-99-9"/>
    <s v="Venda Livre"/>
    <s v="N"/>
    <s v="P"/>
    <s v="M"/>
    <n v="1387311"/>
    <n v="13571075"/>
    <n v="31088083.690000001"/>
    <x v="27"/>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6285"/>
    <s v="30039055"/>
    <m/>
    <n v="20140626"/>
    <s v="515102409110313"/>
    <s v="7896331703443"/>
    <s v="1068901350197"/>
    <x v="231"/>
    <x v="289"/>
    <s v="paracetamol+fenilefrina+clorfeniramina  "/>
    <s v="PARACETAMOL"/>
    <s v="FENILEFRINA"/>
    <s v="CLORFENIRAMINA"/>
    <s v=""/>
    <s v=""/>
    <m/>
    <x v="66"/>
    <s v="KLEY HERTZ S/A INDÚSTRIA E COMÉRCIO"/>
    <s v="92695691000103"/>
    <s v="PARACETAMOL"/>
    <n v="0"/>
    <n v="0"/>
    <n v="0"/>
    <n v="0"/>
    <s v="-"/>
    <s v=" A/GRIPAIS EXC A/INFEC"/>
    <s v=" 61-76-7"/>
    <s v="Venda Livre"/>
    <s v="N"/>
    <s v="P"/>
    <s v="R"/>
    <n v="3050920"/>
    <n v="33537009"/>
    <n v="76211978.590000004"/>
    <x v="28"/>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6369"/>
    <s v="30049045"/>
    <m/>
    <n v="20140626"/>
    <s v="519014904112413"/>
    <s v="7896714216393"/>
    <s v="1046503120107"/>
    <x v="232"/>
    <x v="290"/>
    <s v="clor. de fenilefrina+parcet+clorf."/>
    <s v="CLORIDRATO DE FENILEFRINA"/>
    <s v="PARACETAMOL"/>
    <s v="MALEATO DE CLORFENIRAMINA"/>
    <s v=""/>
    <s v=""/>
    <m/>
    <x v="35"/>
    <s v="LABORATÓRIO NEO QUÍMICA COMÉRCIO E INDÚSTRIA LTDA"/>
    <s v="29785870000103"/>
    <s v="CLORIDRATO DE FENILEFRINA"/>
    <n v="3"/>
    <n v="0"/>
    <n v="0"/>
    <n v="0"/>
    <s v="-"/>
    <s v=" A/GRIPAIS EXC A/INFEC"/>
    <s v=" 61-76-7"/>
    <s v="Tarja Vermelha"/>
    <s v="N"/>
    <s v="P"/>
    <s v="M"/>
    <n v="2086386"/>
    <n v="14006251"/>
    <n v="31798311.030000001"/>
    <x v="28"/>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8367"/>
    <s v="30039079"/>
    <m/>
    <n v="20140626"/>
    <s v="501602501113418"/>
    <s v="7896637023047"/>
    <s v="1011801620067"/>
    <x v="233"/>
    <x v="291"/>
    <s v="hidroxicloroquina"/>
    <s v="HIDROXICLOROQUINA"/>
    <s v=""/>
    <s v=""/>
    <s v=""/>
    <s v=""/>
    <m/>
    <x v="13"/>
    <s v="APSEN FARMACEUTICA S/A"/>
    <s v="62462015000129"/>
    <s v="HIDROXICLOROQUINA"/>
    <n v="0"/>
    <n v="0"/>
    <n v="0"/>
    <n v="0"/>
    <s v="+"/>
    <s v=" AG.ANTI-REUM.ESPECIFIC."/>
    <s v=" 747-36-4"/>
    <s v="Tarja Vermelha"/>
    <s v="I"/>
    <s v="E"/>
    <s v="M"/>
    <n v="458782"/>
    <n v="9639163"/>
    <n v="22024409.280000001"/>
    <x v="25"/>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4621"/>
    <s v="30049099"/>
    <m/>
    <n v="20140626"/>
    <s v="531619502111417"/>
    <s v="7894916505178"/>
    <s v="1356905580036"/>
    <x v="234"/>
    <x v="292"/>
    <s v="risedronado sodico"/>
    <s v="RISEDRONADO SODICO"/>
    <s v=""/>
    <s v=""/>
    <s v=""/>
    <s v=""/>
    <m/>
    <x v="2"/>
    <s v="EMS SIGMA PHARMA LTDA"/>
    <s v="00923140000131"/>
    <s v="RISEDRONADO SODICO"/>
    <n v="0"/>
    <n v="0"/>
    <n v="0"/>
    <n v="0"/>
    <s v="+"/>
    <s v=" BIFOSF OSTEOP E DES REL"/>
    <s v=" 115436-72-1"/>
    <s v="Tarja Vermelha"/>
    <s v="I"/>
    <s v="E"/>
    <s v="M"/>
    <n v="566729"/>
    <n v="9360128"/>
    <n v="21352578.829999998"/>
    <x v="5"/>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20302"/>
    <s v="30049039"/>
    <m/>
    <n v="20140626"/>
    <s v="500208604113311"/>
    <s v="7896255716438"/>
    <s v="1055303090033"/>
    <x v="235"/>
    <x v="293"/>
    <s v="propafenona"/>
    <s v="PROPAFENONA"/>
    <s v=""/>
    <s v=""/>
    <s v=""/>
    <s v=""/>
    <m/>
    <x v="9"/>
    <s v="ABBOTT LABORATÓRIOS DO BRASIL LTDA"/>
    <s v="56998701000116"/>
    <s v="PROPAFENONA"/>
    <n v="0"/>
    <n v="0"/>
    <n v="0"/>
    <n v="0"/>
    <s v="+"/>
    <s v=" A/ARRITMICOS CARDIACOS"/>
    <s v=" 34183-22-7"/>
    <s v="Tarja Vermelha"/>
    <s v="I"/>
    <s v="E"/>
    <s v="R"/>
    <n v="661385"/>
    <n v="17574358"/>
    <n v="40118201.200000003"/>
    <x v="21"/>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20303"/>
    <s v="30049039"/>
    <m/>
    <n v="20140626"/>
    <s v="500208606116318"/>
    <s v="7896255764858"/>
    <s v="1055303090327"/>
    <x v="235"/>
    <x v="294"/>
    <s v="propafenona"/>
    <s v="PROPAFENONA"/>
    <s v=""/>
    <s v=""/>
    <s v=""/>
    <s v=""/>
    <m/>
    <x v="9"/>
    <s v="ABBOTT LABORATÓRIOS DO BRASIL LTDA"/>
    <s v="56998701000116"/>
    <s v="PROPAFENONA"/>
    <n v="0"/>
    <n v="0"/>
    <n v="0"/>
    <n v="0"/>
    <s v="+"/>
    <s v=" A/ARRITMICOS CARDIACOS"/>
    <s v=" 34183-22-7"/>
    <s v="Tarja Vermelha"/>
    <s v="I"/>
    <s v="E"/>
    <s v="R"/>
    <n v="87368"/>
    <n v="4643372"/>
    <n v="10602972.08"/>
    <x v="21"/>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4270"/>
    <s v="30049099"/>
    <m/>
    <n v="20140626"/>
    <s v="529204902118317"/>
    <s v="7896226500027"/>
    <s v="1010001820049"/>
    <x v="236"/>
    <x v="295"/>
    <s v="isotretinoina"/>
    <s v="ISOTRETINOINA"/>
    <s v=""/>
    <s v=""/>
    <s v=""/>
    <s v=""/>
    <m/>
    <x v="64"/>
    <s v="PRODUTOS ROCHE QUÍMICOS E FARMACÊUTICOS S.A."/>
    <s v="33009945000123"/>
    <s v="ISOTRETINOINA"/>
    <n v="1"/>
    <n v="0"/>
    <n v="0"/>
    <n v="0"/>
    <s v="+"/>
    <s v="ANTIACNEICO SISTEMICO"/>
    <s v=" 4759-48-2"/>
    <s v="Tarja Vermelha"/>
    <s v="I"/>
    <s v="E"/>
    <s v="R"/>
    <n v="293093"/>
    <n v="16068000"/>
    <n v="36603787.689999998"/>
    <x v="3"/>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2985"/>
    <s v="30049029"/>
    <m/>
    <n v="20140626"/>
    <s v="510606906133416"/>
    <s v="7896015560027"/>
    <s v="1010700560291"/>
    <x v="237"/>
    <x v="296"/>
    <s v="ACIDO CITRICO+bicarbonato de sodio"/>
    <s v="ACIDO CITRICO"/>
    <s v="BICARBONATO DE SODIO"/>
    <s v=""/>
    <s v=""/>
    <s v=""/>
    <m/>
    <x v="61"/>
    <s v="GLAXOSMITHKLINE BRASIL LTDA"/>
    <s v="33247743000110"/>
    <s v="ACIDO CITRICO"/>
    <n v="1"/>
    <n v="1"/>
    <n v="0"/>
    <n v="0"/>
    <s v="-"/>
    <s v=" ANTIAC PUROS"/>
    <s v=" 77-92-9"/>
    <s v="Venda Livre"/>
    <s v="N"/>
    <s v="P"/>
    <s v="M"/>
    <n v="1125967"/>
    <n v="15284208"/>
    <n v="34928933.759999998"/>
    <x v="41"/>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989"/>
    <s v="30049029"/>
    <m/>
    <n v="20140626"/>
    <s v="510606912133414"/>
    <s v="7896015517045"/>
    <s v="1010700560461"/>
    <x v="237"/>
    <x v="297"/>
    <s v="ACIDO CITRICO+bicarbonato de sodio"/>
    <s v="ACIDO CITRICO"/>
    <s v="BICARBONATO DE SODIO"/>
    <s v=""/>
    <s v=""/>
    <s v=""/>
    <m/>
    <x v="61"/>
    <s v="GLAXOSMITHKLINE BRASIL LTDA"/>
    <s v="33247743000110"/>
    <s v="ACIDO CITRICO"/>
    <n v="1"/>
    <n v="1"/>
    <n v="0"/>
    <n v="0"/>
    <s v="-"/>
    <s v=" ANTIAC PUROS"/>
    <s v=" 77-92-9"/>
    <s v="Venda Livre"/>
    <s v="N"/>
    <s v="P"/>
    <s v="M"/>
    <n v="1934937"/>
    <n v="7240685"/>
    <n v="16537495.939999999"/>
    <x v="41"/>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996"/>
    <s v="30049029"/>
    <m/>
    <n v="20140626"/>
    <s v="510606908136412"/>
    <s v="7896015560300"/>
    <s v="1010700560123"/>
    <x v="237"/>
    <x v="298"/>
    <s v="ACIDO CITRICO+bicarbonato de sodio"/>
    <s v="ACIDO CITRICO"/>
    <s v="BICARBONATO DE SODIO"/>
    <s v=""/>
    <s v=""/>
    <s v=""/>
    <m/>
    <x v="61"/>
    <s v="GLAXOSMITHKLINE BRASIL LTDA"/>
    <s v="33247743000110"/>
    <s v="ACIDO CITRICO"/>
    <n v="1"/>
    <n v="1"/>
    <n v="0"/>
    <n v="0"/>
    <s v="-"/>
    <s v=" ANTIAC PUROS"/>
    <s v=" 77-92-9"/>
    <s v="Venda Livre"/>
    <s v="N"/>
    <s v="P"/>
    <s v="M"/>
    <n v="3295998"/>
    <n v="12329383"/>
    <n v="28166688.640000001"/>
    <x v="41"/>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1547"/>
    <s v="30049099"/>
    <m/>
    <n v="20140626"/>
    <s v="511700205176413"/>
    <s v="7896227800171"/>
    <s v="1105200010118"/>
    <x v="238"/>
    <x v="299"/>
    <s v="canfora+mentol+salicilato metila"/>
    <s v="CANFORA"/>
    <s v="MENTOL"/>
    <s v="SALICILATO METILA"/>
    <s v=""/>
    <s v=""/>
    <m/>
    <x v="44"/>
    <s v="HISAMITSU FARMACÊUTICA DO BRASIL LTDA"/>
    <s v="49383250000147"/>
    <s v="CANFORA"/>
    <n v="0"/>
    <n v="1"/>
    <n v="0"/>
    <n v="0"/>
    <s v="-"/>
    <s v=" ANTIREUMATICOS/ANALG TOP"/>
    <s v=" 119-36-8"/>
    <s v="Venda Livre"/>
    <s v="N"/>
    <s v="P"/>
    <s v="M"/>
    <n v="1806572"/>
    <n v="5657094"/>
    <n v="12904037.07"/>
    <x v="38"/>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4146"/>
    <s v="30049099"/>
    <m/>
    <n v="20140626"/>
    <s v="520718504115418"/>
    <s v="7896112154389"/>
    <s v="1037001500044"/>
    <x v="239"/>
    <x v="300"/>
    <s v="cafeina+carisoprodol+diclof. sodico+PARACETAMOL"/>
    <s v="CAFEINA"/>
    <s v="CARISOPRODOL"/>
    <s v="DICLOFENACO SODICO"/>
    <s v="PARACETAMOL"/>
    <s v=""/>
    <m/>
    <x v="1"/>
    <s v="LABORATÓRIO TEUTO BRASILEIRO S/A"/>
    <s v="17159229000176"/>
    <s v="CAFEINA"/>
    <n v="0"/>
    <n v="0"/>
    <n v="3"/>
    <n v="0"/>
    <s v="-"/>
    <s v=" REL.MUSC.ACCAO CENTRAL"/>
    <s v=" 78-44-4"/>
    <s v="Tarja Vermelha"/>
    <s v="N"/>
    <s v="P"/>
    <s v="M"/>
    <n v="5089881"/>
    <n v="5597811"/>
    <n v="12799638.58"/>
    <x v="43"/>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4151"/>
    <s v="30049099"/>
    <m/>
    <n v="20140626"/>
    <s v="520718501116413"/>
    <s v="7896112141839"/>
    <s v="1037001500036"/>
    <x v="239"/>
    <x v="301"/>
    <s v="cafeina+carisoprodol+diclof. sodico+PARACETAMOL"/>
    <s v="CAFEINA"/>
    <s v="CARISOPRODOL"/>
    <s v="DICLOFENACO SODICO"/>
    <s v="PARACETAMOL"/>
    <s v=""/>
    <m/>
    <x v="1"/>
    <s v="LABORATÓRIO TEUTO BRASILEIRO S/A"/>
    <s v="17159229000176"/>
    <s v="CAFEINA"/>
    <n v="0"/>
    <n v="0"/>
    <n v="3"/>
    <n v="0"/>
    <s v="-"/>
    <s v=" REL.MUSC.ACCAO CENTRAL"/>
    <s v=" 78-44-4"/>
    <s v="Tarja Vermelha"/>
    <s v="N"/>
    <s v="P"/>
    <s v="M"/>
    <n v="2698848"/>
    <n v="25878611"/>
    <n v="59207900.189999998"/>
    <x v="43"/>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6253"/>
    <s v="30039099"/>
    <m/>
    <n v="20140626"/>
    <s v="533801803134311"/>
    <s v="7898074618183"/>
    <s v="1008401400043"/>
    <x v="240"/>
    <x v="302"/>
    <s v="fendizoato de cloperastina"/>
    <s v="FENDIZOATO DE CLOPERASTINA"/>
    <s v=""/>
    <s v=""/>
    <s v=""/>
    <s v=""/>
    <m/>
    <x v="67"/>
    <s v="ZAMBON LABORATÓRIOS FARMACÊUTICOS LTDA."/>
    <s v="61100004000136"/>
    <s v="FENDIZOATO DE CLOPERASTINA"/>
    <n v="0"/>
    <n v="0"/>
    <n v="0"/>
    <n v="0"/>
    <s v="-"/>
    <s v=" A/TUSSIGENOS PUROS"/>
    <s v=" 85187-37-7"/>
    <s v="Venda Livre"/>
    <s v="N"/>
    <s v="P"/>
    <s v="R"/>
    <n v="1371908"/>
    <n v="11074964"/>
    <n v="25118388.309999999"/>
    <x v="44"/>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3761"/>
    <s v="30049069"/>
    <m/>
    <n v="20140626"/>
    <s v="517701301119418"/>
    <s v="7890282800701"/>
    <s v="1044400660026"/>
    <x v="241"/>
    <x v="303"/>
    <s v="metenamina+metiltioninio"/>
    <s v="METENAMINA"/>
    <s v="METILTIONINIO"/>
    <s v=""/>
    <s v=""/>
    <s v=""/>
    <m/>
    <x v="68"/>
    <s v="LABORATÓRIO GROSS S. A."/>
    <s v="33145194000172"/>
    <s v="METENAMINA"/>
    <n v="0"/>
    <n v="0"/>
    <n v="0"/>
    <n v="0"/>
    <s v="-"/>
    <s v=" OUT ANTISEP URINAR"/>
    <s v=" 61-73-4"/>
    <s v="Venda Livre"/>
    <s v="N"/>
    <s v="P"/>
    <s v="M"/>
    <n v="762541"/>
    <n v="4241429"/>
    <n v="9691470.5700000003"/>
    <x v="4"/>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4398"/>
    <s v="30049099"/>
    <m/>
    <n v="20140626"/>
    <s v="510607002173318"/>
    <s v="7896269901720"/>
    <s v="1010702300074"/>
    <x v="242"/>
    <x v="304"/>
    <s v="fluticasona+salmeterol"/>
    <s v="FLUTICASONA"/>
    <s v="SALMETEROL"/>
    <s v=""/>
    <s v=""/>
    <s v=""/>
    <m/>
    <x v="25"/>
    <s v="GLAXOSMITHKLINE BRASIL LTDA"/>
    <s v="33247743000110"/>
    <s v="FLUTICASONA"/>
    <n v="0"/>
    <n v="1"/>
    <n v="0"/>
    <n v="0"/>
    <s v="+"/>
    <s v=" ESTIM-B2/CORTIC-INALANTES"/>
    <s v=" 94749-08-3"/>
    <s v="Tarja Vermelha"/>
    <s v="II"/>
    <s v="P"/>
    <s v="R"/>
    <n v="683017"/>
    <n v="18713147"/>
    <n v="42650689.32"/>
    <x v="12"/>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2822"/>
    <s v="30049039"/>
    <m/>
    <n v="20140626"/>
    <s v="510607004176314"/>
    <s v="7896269955204"/>
    <s v="1010702300015"/>
    <x v="243"/>
    <x v="305"/>
    <s v="fluticasona+salmeterol"/>
    <s v="FLUTICASONA"/>
    <s v="SALMETEROL"/>
    <s v=""/>
    <s v=""/>
    <s v=""/>
    <m/>
    <x v="25"/>
    <s v="GLAXOSMITHKLINE BRASIL LTDA"/>
    <s v="33247743000110"/>
    <s v="FLUTICASONA"/>
    <n v="0"/>
    <n v="1"/>
    <n v="0"/>
    <n v="0"/>
    <s v="+"/>
    <s v=" ESTIM-B2/CORTIC-INALANTES"/>
    <s v=" 94749-08-3"/>
    <s v="Tarja Vermelha"/>
    <s v="II"/>
    <s v="P"/>
    <s v="R"/>
    <n v="279524"/>
    <n v="7678180"/>
    <n v="17459016.280000001"/>
    <x v="12"/>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2014"/>
    <s v="30049079"/>
    <m/>
    <n v="20140626"/>
    <s v="504503802111218"/>
    <s v="7896026301381"/>
    <s v="1036701070036"/>
    <x v="244"/>
    <x v="306"/>
    <s v="pramipexol"/>
    <s v="PRAMIPEXOL"/>
    <s v=""/>
    <s v=""/>
    <s v=""/>
    <s v=""/>
    <m/>
    <x v="31"/>
    <s v="BOEHRINGER INGELHEIM DO BRASIL QUÍMICA E FARMACÊUTICA LTDA."/>
    <s v="60831658000177"/>
    <s v="PRAMIPEXOL"/>
    <n v="0"/>
    <n v="0"/>
    <n v="0"/>
    <n v="0"/>
    <s v="+"/>
    <s v=" A/PARKINSONIANOS"/>
    <s v=" 191217-81-9"/>
    <s v="Tarja Vermelha"/>
    <s v="I"/>
    <s v="E"/>
    <s v="R"/>
    <n v="113430"/>
    <n v="3191665"/>
    <n v="7282216.7800000003"/>
    <x v="11"/>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2210"/>
    <s v="30049099"/>
    <m/>
    <n v="20140626"/>
    <s v="508011802135411"/>
    <s v="7891317006570"/>
    <s v="1004306960050"/>
    <x v="245"/>
    <x v="307"/>
    <s v="dimeticona+hidr.aluminio+hidr.magnesio"/>
    <s v="DIMETICONA"/>
    <s v="HIDROXIDO DE ALUMINIO"/>
    <s v="HIDROXIDO DE MAGNESIO"/>
    <s v=""/>
    <s v=""/>
    <m/>
    <x v="18"/>
    <s v="EUROFARMA LABORATÓRIOS S.A."/>
    <s v="61190096000192"/>
    <s v="DIMETICONA"/>
    <n v="9"/>
    <n v="0"/>
    <n v="0"/>
    <n v="0"/>
    <s v="-"/>
    <s v=" ANTIAC C/ ANTIFLAT/CARMIN"/>
    <s v=" 9006-65-9"/>
    <s v="Venda Livre"/>
    <s v="N"/>
    <s v="P"/>
    <s v="M"/>
    <n v="379237"/>
    <n v="3592955"/>
    <n v="8199272.1100000003"/>
    <x v="41"/>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6973"/>
    <s v="30049059"/>
    <m/>
    <n v="20140626"/>
    <s v="521001902118413"/>
    <s v="7897851250530"/>
    <s v="1014600610050"/>
    <x v="246"/>
    <x v="308"/>
    <s v="sinvastatina"/>
    <s v="SINVASTATINA"/>
    <s v=""/>
    <s v=""/>
    <s v=""/>
    <s v=""/>
    <m/>
    <x v="58"/>
    <s v="LABORATÓRIOS BALDACCI LTDA"/>
    <s v="61150447000131"/>
    <s v="SINVASTATINA"/>
    <n v="5"/>
    <n v="0"/>
    <n v="0"/>
    <n v="0"/>
    <s v="+"/>
    <s v=" ESTATINAS INIB.HMG-COA R"/>
    <s v=" 79902-63-9"/>
    <s v="Tarja Vermelha"/>
    <s v="I"/>
    <s v="E"/>
    <s v="M"/>
    <n v="1100460"/>
    <n v="19857211"/>
    <n v="45293432.780000001"/>
    <x v="33"/>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6909"/>
    <s v="30039069"/>
    <m/>
    <n v="20140626"/>
    <s v="517607603115418"/>
    <s v="7898060138091"/>
    <s v="1053501340072"/>
    <x v="247"/>
    <x v="309"/>
    <s v="sinvastatina"/>
    <s v="SINVASTATINA"/>
    <s v=""/>
    <s v=""/>
    <s v=""/>
    <s v=""/>
    <m/>
    <x v="63"/>
    <s v="LABORATÓRIO GLOBO LTDA"/>
    <s v="17115437000173"/>
    <s v="SINVASTATINA"/>
    <n v="5"/>
    <n v="0"/>
    <n v="0"/>
    <n v="0"/>
    <s v="+"/>
    <s v=" ESTATINAS INIB.HMG-COA R"/>
    <s v=" 79902-63-9"/>
    <s v="Tarja Vermelha"/>
    <s v="I"/>
    <s v="E"/>
    <s v="M"/>
    <n v="1018409"/>
    <n v="13397263"/>
    <n v="30572637.300000001"/>
    <x v="33"/>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6919"/>
    <s v="30049069"/>
    <m/>
    <n v="20140626"/>
    <s v="517607602119411"/>
    <s v="7898060138114"/>
    <s v="1053501340056"/>
    <x v="247"/>
    <x v="310"/>
    <s v="sinvastatina"/>
    <s v="SINVASTATINA"/>
    <s v=""/>
    <s v=""/>
    <s v=""/>
    <s v=""/>
    <m/>
    <x v="63"/>
    <s v="LABORATÓRIO GLOBO LTDA"/>
    <s v="17115437000173"/>
    <s v="SINVASTATINA"/>
    <n v="5"/>
    <n v="0"/>
    <n v="0"/>
    <n v="0"/>
    <s v="+"/>
    <s v=" ESTATINAS INIB.HMG-COA R"/>
    <s v=" 79902-63-9"/>
    <s v="Tarja Vermelha"/>
    <s v="I"/>
    <s v="E"/>
    <s v="M"/>
    <n v="2722632"/>
    <n v="25202766"/>
    <n v="57501985.530000001"/>
    <x v="33"/>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6962"/>
    <s v="30039099"/>
    <m/>
    <n v="20140626"/>
    <s v="511508502117414"/>
    <s v="7897595601773"/>
    <s v="1004702700140"/>
    <x v="248"/>
    <x v="311"/>
    <s v="sinvastatina"/>
    <s v="SINVASTATINA"/>
    <s v=""/>
    <s v=""/>
    <s v=""/>
    <s v=""/>
    <m/>
    <x v="10"/>
    <s v="SANDOZ DO BRASIL INDÚSTRIA FARMACÊUTICA LTDA"/>
    <s v="61286647000116"/>
    <s v="SINVASTATINA"/>
    <n v="5"/>
    <n v="0"/>
    <n v="0"/>
    <n v="0"/>
    <s v="+"/>
    <s v=" ESTATINAS INIB.HMG-COA R"/>
    <s v=" 79902-63-9"/>
    <s v="Tarja Vermelha"/>
    <s v="I"/>
    <s v="E"/>
    <s v="M"/>
    <n v="3556487"/>
    <n v="30437051"/>
    <n v="69501054.420000002"/>
    <x v="33"/>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5993"/>
    <s v="30049099"/>
    <m/>
    <n v="20140626"/>
    <s v="506407004115418"/>
    <s v="7896523206660"/>
    <s v="1438100690058"/>
    <x v="249"/>
    <x v="312"/>
    <s v="sinvastatina"/>
    <s v="SINVASTATINA"/>
    <s v=""/>
    <s v=""/>
    <s v=""/>
    <s v=""/>
    <m/>
    <x v="34"/>
    <s v="CIMED INDÚSTRIA DE MEDICAMENTOS LTDA"/>
    <s v="02814497000107"/>
    <s v="SINVASTATINA"/>
    <n v="5"/>
    <n v="0"/>
    <n v="0"/>
    <n v="0"/>
    <s v="+"/>
    <s v=" ESTATINAS INIB.HMG-COA R"/>
    <s v=" 79902-63-9"/>
    <s v="Tarja Vermelha"/>
    <s v="I"/>
    <s v="E"/>
    <s v="M"/>
    <n v="1143111"/>
    <n v="9602637"/>
    <n v="21915139.780000001"/>
    <x v="33"/>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6968"/>
    <s v="30049059"/>
    <m/>
    <n v="20140626"/>
    <s v="507722508114111"/>
    <s v="7869004710761"/>
    <s v="1023504870496"/>
    <x v="250"/>
    <x v="313"/>
    <s v="sinvastatina"/>
    <s v="SINVASTATINA"/>
    <s v=""/>
    <s v=""/>
    <s v=""/>
    <s v=""/>
    <m/>
    <x v="2"/>
    <s v="EMS S/A"/>
    <s v="57507378000101"/>
    <s v="SINVASTATINA"/>
    <n v="5"/>
    <n v="0"/>
    <n v="0"/>
    <n v="0"/>
    <s v="+"/>
    <s v=" ESTATINAS INIB.HMG-COA R"/>
    <s v=" 79902-63-9"/>
    <s v="Tarja Vermelha"/>
    <s v="I"/>
    <s v="E"/>
    <s v="G"/>
    <n v="1405723"/>
    <n v="26967894"/>
    <n v="61555904.729999997"/>
    <x v="33"/>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6976"/>
    <s v="30049059"/>
    <m/>
    <n v="20140626"/>
    <s v="511508609116113"/>
    <s v="7897595609892"/>
    <s v="1004704720157"/>
    <x v="250"/>
    <x v="314"/>
    <s v="sinvastatina"/>
    <s v="SINVASTATINA"/>
    <s v=""/>
    <s v=""/>
    <s v=""/>
    <s v=""/>
    <m/>
    <x v="10"/>
    <s v="SANDOZ DO BRASIL INDÚSTRIA FARMACÊUTICA LTDA"/>
    <s v="61286647000116"/>
    <s v="SINVASTATINA"/>
    <n v="5"/>
    <n v="0"/>
    <n v="0"/>
    <n v="0"/>
    <s v="+"/>
    <s v=" ESTATINAS INIB.HMG-COA R"/>
    <s v=" 79902-63-9"/>
    <s v="Tarja Vermelha"/>
    <s v="I"/>
    <s v="E"/>
    <s v="G"/>
    <n v="1821528"/>
    <n v="47587236"/>
    <n v="108684792.28"/>
    <x v="33"/>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6981"/>
    <s v="30049059"/>
    <m/>
    <n v="20140626"/>
    <s v="511508611110119"/>
    <s v="7897595609854"/>
    <s v="1004704720114"/>
    <x v="250"/>
    <x v="313"/>
    <s v="sinvastatina"/>
    <s v="SINVASTATINA"/>
    <s v=""/>
    <s v=""/>
    <s v=""/>
    <s v=""/>
    <m/>
    <x v="10"/>
    <s v="SANDOZ DO BRASIL INDÚSTRIA FARMACÊUTICA LTDA"/>
    <s v="61286647000116"/>
    <s v="SINVASTATINA"/>
    <n v="5"/>
    <n v="0"/>
    <n v="0"/>
    <n v="0"/>
    <s v="+"/>
    <s v=" ESTATINAS INIB.HMG-COA R"/>
    <s v=" 79902-63-9"/>
    <s v="Tarja Vermelha"/>
    <s v="I"/>
    <s v="E"/>
    <s v="G"/>
    <n v="3839207"/>
    <n v="84570130"/>
    <n v="192776246.33000001"/>
    <x v="33"/>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13035"/>
    <s v="30049099"/>
    <m/>
    <n v="20140626"/>
    <s v="500506702172315"/>
    <s v="7896658000652"/>
    <s v="1057300500024"/>
    <x v="251"/>
    <x v="315"/>
    <s v="nafazolina+associacoes"/>
    <s v="NAFAZOLINA"/>
    <s v="ASSOCIACOES"/>
    <s v=""/>
    <s v=""/>
    <s v=""/>
    <m/>
    <x v="11"/>
    <s v="ACHÉ LABORATÓRIOS FARMACÊUTICOS S.A."/>
    <s v="60659463000191"/>
    <s v="NAFAZOLINA"/>
    <n v="0"/>
    <n v="0"/>
    <n v="0"/>
    <n v="0"/>
    <s v="-"/>
    <s v=" DESCONGESTIONANT.NASAIS"/>
    <s v=" 8001-54-5"/>
    <s v="Tarja Vermelha"/>
    <s v="N"/>
    <s v="P"/>
    <s v="R"/>
    <n v="2199095"/>
    <n v="6370769"/>
    <n v="14473851.43"/>
    <x v="8"/>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971"/>
    <s v="30049099"/>
    <m/>
    <n v="20140626"/>
    <s v="501005202175418"/>
    <s v="7897316802335"/>
    <s v="1014700900018"/>
    <x v="252"/>
    <x v="316"/>
    <s v="diclofenaco de sodio"/>
    <s v="DICLOFENACO DE SODIO"/>
    <s v=""/>
    <s v=""/>
    <s v=""/>
    <s v=""/>
    <m/>
    <x v="16"/>
    <s v="ALLERGAN PRODUTOS FARMACÊUTICOS LTDA"/>
    <s v="43426626000177"/>
    <s v="DICLOFENACO DE SODIO"/>
    <n v="0"/>
    <n v="0"/>
    <n v="0"/>
    <n v="0"/>
    <s v="+"/>
    <s v=" A.INF.OFTAL.N.ESTEROIDES"/>
    <s v=" 15307-79-6"/>
    <s v="Tarja Vermelha"/>
    <s v="I"/>
    <s v="E"/>
    <s v="R"/>
    <n v="356542"/>
    <n v="1390486"/>
    <n v="3175025.4"/>
    <x v="37"/>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7168"/>
    <s v="30049099"/>
    <m/>
    <n v="20140626"/>
    <s v="531626901131414"/>
    <s v="7894916500746"/>
    <s v="1356906170011"/>
    <x v="253"/>
    <x v="317"/>
    <s v="sucralfato"/>
    <s v="SUCRALFATO"/>
    <s v=""/>
    <s v=""/>
    <s v=""/>
    <s v=""/>
    <m/>
    <x v="2"/>
    <s v="EMS SIGMA PHARMA LTDA"/>
    <s v="00923140000131"/>
    <s v="SUCRALFATO"/>
    <n v="0"/>
    <n v="0"/>
    <n v="0"/>
    <n v="0"/>
    <s v="-"/>
    <s v=" TOD. OUTROS A/ULCEROSOS"/>
    <s v=" 54182-58-0"/>
    <s v="Tarja Vermelha"/>
    <s v="N"/>
    <s v="P"/>
    <s v="M"/>
    <n v="175760"/>
    <n v="3770951"/>
    <n v="8603404.8300000001"/>
    <x v="35"/>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8625"/>
    <s v="30049099"/>
    <m/>
    <n v="20140626"/>
    <s v="503405805116411"/>
    <s v="7897917002608"/>
    <s v="1057100040097"/>
    <x v="254"/>
    <x v="318"/>
    <s v="sulfato ferroso"/>
    <s v="SULFATO FERROSO"/>
    <s v=""/>
    <s v=""/>
    <s v=""/>
    <s v=""/>
    <m/>
    <x v="69"/>
    <s v="BELFAR LTDA"/>
    <s v="18324343000177"/>
    <s v="SULFATO FERROSO"/>
    <n v="0"/>
    <n v="0"/>
    <n v="0"/>
    <n v="0"/>
    <s v="-"/>
    <s v=" FERRO PURO"/>
    <s v=" 7720-78-7"/>
    <s v="Venda Livre"/>
    <s v="N"/>
    <s v="P"/>
    <s v="M"/>
    <n v="628094"/>
    <n v="2358810"/>
    <n v="5387203.5"/>
    <x v="9"/>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9534"/>
    <s v="30049021"/>
    <m/>
    <n v="20140626"/>
    <s v="509004801119316"/>
    <s v="7898040323141"/>
    <s v="1039001820029"/>
    <x v="255"/>
    <x v="319"/>
    <s v="propatilnitrato"/>
    <s v="PROPATILNITRATO"/>
    <s v=""/>
    <s v=""/>
    <s v=""/>
    <s v=""/>
    <m/>
    <x v="55"/>
    <s v="FARMOQUÍMICA S/A"/>
    <s v="33349473000158"/>
    <s v="PROPATILNITRATO"/>
    <n v="1"/>
    <n v="0"/>
    <n v="0"/>
    <n v="0"/>
    <s v="+"/>
    <s v=" NITRITOS E NITRATOS"/>
    <s v=" 2921-92-8"/>
    <s v="Tarja Vermelha"/>
    <s v="I"/>
    <s v="E"/>
    <s v="R"/>
    <n v="2459784"/>
    <n v="15212644"/>
    <n v="34718358.280000001"/>
    <x v="40"/>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4615"/>
    <s v="30042099"/>
    <m/>
    <n v="20140626"/>
    <s v="508017104111417"/>
    <s v="7891317003715"/>
    <s v="1004306710011"/>
    <x v="256"/>
    <x v="320"/>
    <s v="levofloxacino"/>
    <s v="LEVOFLOXACINO"/>
    <s v=""/>
    <s v=""/>
    <s v=""/>
    <s v=""/>
    <m/>
    <x v="23"/>
    <s v="EUROFARMA LABORATÓRIOS S.A."/>
    <s v="61190096000192"/>
    <s v="LEVOFLOXACINO"/>
    <n v="2"/>
    <n v="0"/>
    <n v="0"/>
    <n v="0"/>
    <s v="+"/>
    <s v=" FLUORQUINOLONAS ORAIS"/>
    <s v=" 100986-85-4"/>
    <s v="Tarja Vermelha"/>
    <s v="I"/>
    <s v="E"/>
    <s v="M"/>
    <n v="493268"/>
    <n v="9797270"/>
    <n v="22293680"/>
    <x v="4"/>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4175"/>
    <s v="30049099"/>
    <m/>
    <n v="20140626"/>
    <s v="500506901116318"/>
    <s v="7896658004704"/>
    <s v="1057300550056"/>
    <x v="257"/>
    <x v="321"/>
    <s v="cafeina+carisoprodol+diclof. sodico+PARACETAMOL"/>
    <s v="CAFEINA"/>
    <s v="CARISOPRODOL"/>
    <s v="DICLOFENACO SODICO"/>
    <s v="PARACETAMOL"/>
    <s v=""/>
    <m/>
    <x v="11"/>
    <s v="ACHÉ LABORATÓRIOS FARMACÊUTICOS S.A."/>
    <s v="60659463000191"/>
    <s v="CAFEINA"/>
    <n v="0"/>
    <n v="0"/>
    <n v="3"/>
    <n v="0"/>
    <s v="-"/>
    <s v=" REL.MUSC.ACCAO CENTRAL"/>
    <s v=" 78-44-4"/>
    <s v="Tarja Vermelha"/>
    <s v="N"/>
    <s v="P"/>
    <s v="R"/>
    <n v="4015545"/>
    <n v="14403518"/>
    <n v="32901862.329999998"/>
    <x v="43"/>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4176"/>
    <s v="30049099"/>
    <m/>
    <n v="20140626"/>
    <s v="500506902112316"/>
    <s v="7896658001666"/>
    <s v="1057300550048"/>
    <x v="257"/>
    <x v="322"/>
    <s v="cafeina+carisoprodol+diclof. sodico+PARACETAMOL"/>
    <s v="CAFEINA"/>
    <s v="CARISOPRODOL"/>
    <s v="DICLOFENACO SODICO"/>
    <s v="PARACETAMOL"/>
    <s v=""/>
    <m/>
    <x v="11"/>
    <s v="ACHÉ LABORATÓRIOS FARMACÊUTICOS S.A."/>
    <s v="60659463000191"/>
    <s v="CAFEINA"/>
    <n v="0"/>
    <n v="0"/>
    <n v="3"/>
    <n v="0"/>
    <s v="-"/>
    <s v=" REL.MUSC.ACCAO CENTRAL"/>
    <s v=" 78-44-4"/>
    <s v="Tarja Vermelha"/>
    <s v="N"/>
    <s v="P"/>
    <s v="R"/>
    <n v="2095775"/>
    <n v="15041884"/>
    <n v="34344818.259999998"/>
    <x v="43"/>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9873"/>
    <s v="30049039"/>
    <m/>
    <n v="20140626"/>
    <s v="519019101115418"/>
    <s v="7896714203720"/>
    <s v="1046502300012"/>
    <x v="258"/>
    <x v="323"/>
    <s v="tibolona"/>
    <s v="TIBOLONA"/>
    <s v=""/>
    <s v=""/>
    <s v=""/>
    <s v=""/>
    <m/>
    <x v="35"/>
    <s v="LABORATÓRIO NEO QUÍMICA COMÉRCIO E INDÚSTRIA LTDA"/>
    <s v="29785870000103"/>
    <s v="TIBOLONA"/>
    <n v="1"/>
    <n v="0"/>
    <n v="0"/>
    <n v="0"/>
    <s v="+"/>
    <s v=" OUT.HORM.SEXUAIS/PR.SIM."/>
    <s v=" 5630-53-5"/>
    <s v="Tarja Vermelha"/>
    <s v="I"/>
    <s v="E"/>
    <s v="M"/>
    <n v="484364"/>
    <n v="9977385"/>
    <n v="22750907.379999999"/>
    <x v="5"/>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6254"/>
    <s v="30049069"/>
    <m/>
    <n v="20140626"/>
    <s v="519026501131413"/>
    <s v="7896714225562"/>
    <s v="1046504010011"/>
    <x v="259"/>
    <x v="324"/>
    <s v="fendizoato de cloperastina"/>
    <s v="FENDIZOATO DE CLOPERASTINA"/>
    <s v=""/>
    <s v=""/>
    <s v=""/>
    <s v=""/>
    <m/>
    <x v="35"/>
    <s v="LABORATÓRIO NEO QUÍMICA COMÉRCIO E INDÚSTRIA LTDA"/>
    <s v="29785870000103"/>
    <s v="FENDIZOATO DE CLOPERASTINA"/>
    <n v="0"/>
    <n v="0"/>
    <n v="0"/>
    <n v="0"/>
    <s v="-"/>
    <s v=" A/TUSSIGENOS PUROS"/>
    <s v=" 85187-37-7"/>
    <s v="Tarja Vermelha"/>
    <s v="N"/>
    <s v="P"/>
    <s v="M"/>
    <n v="691588"/>
    <n v="5303942"/>
    <n v="12020019.960000001"/>
    <x v="44"/>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9993"/>
    <s v="30042069"/>
    <m/>
    <n v="20140626"/>
    <s v="500903601178114"/>
    <s v="7896548165614"/>
    <s v="1002302450019"/>
    <x v="260"/>
    <x v="325"/>
    <s v="tobramicina"/>
    <s v="TOBRAMICINA"/>
    <s v=""/>
    <s v=""/>
    <s v=""/>
    <s v=""/>
    <m/>
    <x v="11"/>
    <s v="ALCON LABORATÓRIOS DO BRASIL LTDA."/>
    <s v="60412327000100"/>
    <s v="TOBRAMICINA"/>
    <n v="2"/>
    <n v="0"/>
    <n v="0"/>
    <n v="0"/>
    <s v="+"/>
    <s v=" ANTI-INFECCIOS.OFTALMOLOG"/>
    <s v=" 32986-56-4"/>
    <s v="Tarja Vermelha"/>
    <s v="I"/>
    <s v="E"/>
    <s v="G"/>
    <n v="426404"/>
    <n v="1851041"/>
    <n v="4219807.3099999996"/>
    <x v="37"/>
    <n v="0"/>
    <n v="0"/>
    <n v="3.27"/>
    <n v="3.12"/>
    <n v="1.35"/>
    <n v="18"/>
    <n v="12"/>
    <n v="17"/>
    <n v="17"/>
    <n v="19"/>
    <n v="12"/>
    <n v="17"/>
    <n v="17"/>
    <n v="17"/>
    <n v="17"/>
    <n v="17"/>
    <n v="17"/>
    <n v="17"/>
    <n v="17"/>
    <n v="17"/>
    <n v="17"/>
    <n v="25.740000000000002"/>
    <n v="19.740000000000002"/>
    <n v="24.740000000000002"/>
    <n v="24.740000000000002"/>
    <n v="26.740000000000002"/>
    <n v="19.740000000000002"/>
    <n v="24.740000000000002"/>
    <n v="24.740000000000002"/>
    <n v="24.740000000000002"/>
    <n v="24.740000000000002"/>
    <n v="24.740000000000002"/>
    <n v="24.740000000000002"/>
    <n v="24.740000000000002"/>
    <n v="24.740000000000002"/>
    <n v="24.740000000000002"/>
    <n v="24.740000000000002"/>
    <n v="24.302500000000006"/>
    <m/>
    <m/>
  </r>
  <r>
    <n v="9991"/>
    <s v="30042069"/>
    <m/>
    <n v="20140626"/>
    <s v="500903702179310"/>
    <s v="7896548112717"/>
    <s v="1002301820017"/>
    <x v="261"/>
    <x v="326"/>
    <s v="tobramicina"/>
    <s v="TOBRAMICINA"/>
    <s v=""/>
    <s v=""/>
    <s v=""/>
    <s v=""/>
    <m/>
    <x v="26"/>
    <s v="ALCON LABORATÓRIOS DO BRASIL LTDA."/>
    <s v="60412327000100"/>
    <s v="TOBRAMICINA"/>
    <n v="2"/>
    <n v="0"/>
    <n v="0"/>
    <n v="0"/>
    <s v="+"/>
    <s v=" ANTI-INFECCIOS.OFTALMOLOG"/>
    <s v=" 32986-56-4"/>
    <s v="Tarja Vermelha"/>
    <s v="I"/>
    <s v="E"/>
    <s v="R"/>
    <n v="680489"/>
    <n v="4685311"/>
    <n v="10675712.24"/>
    <x v="37"/>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7502"/>
    <s v="30049069"/>
    <m/>
    <n v="20140626"/>
    <s v="526515202113418"/>
    <s v="7896261000254"/>
    <s v="1006800830029"/>
    <x v="262"/>
    <x v="327"/>
    <s v="imipramina"/>
    <s v="IMIPRAMINA"/>
    <s v=""/>
    <s v=""/>
    <s v=""/>
    <s v=""/>
    <m/>
    <x v="48"/>
    <s v="NOVARTIS BIOCIENCIAS S.A"/>
    <s v="56994502000130"/>
    <s v="IMIPRAMINA"/>
    <n v="1"/>
    <n v="0"/>
    <n v="0"/>
    <n v="0"/>
    <s v="+"/>
    <s v=" ANTI-DEPRES.TOD.OUTROS"/>
    <s v=" 113-52-0"/>
    <s v="Tarja Vermelha"/>
    <s v="I"/>
    <s v="E"/>
    <s v="R"/>
    <n v="734896"/>
    <n v="2406593"/>
    <n v="5522753.3200000003"/>
    <x v="23"/>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1541"/>
    <s v="30049062"/>
    <m/>
    <n v="20140626"/>
    <s v="531613202114411"/>
    <s v="7894916501415"/>
    <s v="1356906110017"/>
    <x v="263"/>
    <x v="328"/>
    <s v="trometamol cetoroloco"/>
    <s v="TROMETAMOL CETOROLOCO"/>
    <s v=""/>
    <s v=""/>
    <s v=""/>
    <s v=""/>
    <m/>
    <x v="2"/>
    <s v="EMS SIGMA PHARMA LTDA"/>
    <s v="00923140000131"/>
    <s v="TROMETAMOL CETOROLOCO"/>
    <n v="0"/>
    <n v="0"/>
    <n v="0"/>
    <n v="0"/>
    <s v="+"/>
    <s v=" ANALG NAO NARCOT/A/PIRET"/>
    <s v=" 74103-07-4"/>
    <s v="Tarja Vermelha"/>
    <s v="I"/>
    <s v="E"/>
    <s v="M"/>
    <n v="3562616"/>
    <n v="30200579"/>
    <n v="68949731.290000007"/>
    <x v="7"/>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4162"/>
    <s v="30049037"/>
    <m/>
    <n v="20140626"/>
    <s v="519016303116410"/>
    <s v="7896714218267"/>
    <s v="1046502200042"/>
    <x v="264"/>
    <x v="329"/>
    <s v="carisoprodol+cafeina+diclofenaco+paracet "/>
    <s v="CARISOPRODOL"/>
    <s v="CAFEINA"/>
    <s v="DICLOFENACO"/>
    <s v="PARACETAMOL "/>
    <s v=""/>
    <m/>
    <x v="35"/>
    <s v="LABORATÓRIO NEO QUÍMICA COMÉRCIO E INDÚSTRIA LTDA"/>
    <s v="29785870000103"/>
    <s v="CARISOPRODOL"/>
    <n v="0"/>
    <n v="0"/>
    <n v="1"/>
    <n v="0"/>
    <s v="-"/>
    <s v=" REL.MUSC.ACCAO CENTRAL"/>
    <s v=" 78-44-4"/>
    <s v="Tarja Vermelha"/>
    <s v="N"/>
    <s v="P"/>
    <s v="M"/>
    <n v="4882132"/>
    <n v="17830046"/>
    <n v="40737356.689999998"/>
    <x v="43"/>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4164"/>
    <s v="30049049"/>
    <m/>
    <n v="20140626"/>
    <s v="519016301113414"/>
    <s v="7896714205236"/>
    <s v="1046502200026"/>
    <x v="264"/>
    <x v="330"/>
    <s v="carisoprodol+cafeina+diclofenaco+paracet "/>
    <s v="CARISOPRODOL"/>
    <s v="CAFEINA"/>
    <s v="DICLOFENACO"/>
    <s v="PARACETAMOL "/>
    <s v=""/>
    <m/>
    <x v="35"/>
    <s v="LABORATÓRIO NEO QUÍMICA COMÉRCIO E INDÚSTRIA LTDA"/>
    <s v="29785870000103"/>
    <s v="CARISOPRODOL"/>
    <n v="0"/>
    <n v="0"/>
    <n v="1"/>
    <n v="0"/>
    <s v="-"/>
    <s v=" REL.MUSC.ACCAO CENTRAL"/>
    <s v=" 78-44-4"/>
    <s v="Tarja Vermelha"/>
    <s v="N"/>
    <s v="P"/>
    <s v="M"/>
    <n v="3178158"/>
    <n v="94735310"/>
    <n v="216302103.52000001"/>
    <x v="43"/>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4165"/>
    <s v="30049049"/>
    <m/>
    <n v="20140626"/>
    <s v="519016302111415"/>
    <s v="7896714200804"/>
    <s v="1046502200018"/>
    <x v="264"/>
    <x v="331"/>
    <s v="carisoprodol+cafeina+diclofenaco+paracet "/>
    <s v="CARISOPRODOL"/>
    <s v="CAFEINA"/>
    <s v="DICLOFENACO"/>
    <s v="PARACETAMOL "/>
    <s v=""/>
    <m/>
    <x v="35"/>
    <s v="LABORATÓRIO NEO QUÍMICA COMÉRCIO E INDÚSTRIA LTDA"/>
    <s v="29785870000103"/>
    <s v="CARISOPRODOL"/>
    <n v="0"/>
    <n v="0"/>
    <n v="1"/>
    <n v="0"/>
    <s v="-"/>
    <s v=" REL.MUSC.ACCAO CENTRAL"/>
    <s v=" 78-44-4"/>
    <s v="Tarja Vermelha"/>
    <s v="N"/>
    <s v="P"/>
    <s v="M"/>
    <n v="5954679"/>
    <n v="55551082"/>
    <n v="126882792.48999999"/>
    <x v="43"/>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6383"/>
    <s v="30049045"/>
    <m/>
    <n v="20140626"/>
    <s v="526515502117419"/>
    <s v="7896261010222"/>
    <s v="1006808690048"/>
    <x v="265"/>
    <x v="332"/>
    <s v="fenilefrina+paracetamol+ac.ascorbico+ "/>
    <s v="FENILEFRINA"/>
    <s v="PARACETAMOL"/>
    <s v="ACIDO ASCORBICO"/>
    <s v=" "/>
    <s v=""/>
    <m/>
    <x v="60"/>
    <s v="NOVARTIS BIOCIENCIAS S.A"/>
    <s v="56994502000130"/>
    <s v="FENILEFRINA"/>
    <n v="0"/>
    <n v="0"/>
    <n v="1"/>
    <n v="0"/>
    <s v="-"/>
    <s v=" A/GRIPAIS EXC A/INFEC"/>
    <s v=" 61-76-7"/>
    <s v="Tarja Vermelha"/>
    <s v="N"/>
    <s v="P"/>
    <s v="M"/>
    <n v="1670904"/>
    <n v="10863242"/>
    <n v="24648933.16"/>
    <x v="28"/>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6076"/>
    <s v="30066000"/>
    <m/>
    <n v="20140626"/>
    <s v="530904201116318"/>
    <s v="7896116801609"/>
    <s v="1002000540015"/>
    <x v="266"/>
    <x v="333"/>
    <s v="etinilestradiol+levonorgestrel"/>
    <s v="ETINILESTRADIOL"/>
    <s v="LEVONORGESTREL"/>
    <s v=""/>
    <s v=""/>
    <s v=""/>
    <m/>
    <x v="20"/>
    <s v="SCHERING DO BRASIL QUÍMICA E FARMACÊUTICA LTDA"/>
    <s v="56990534000167"/>
    <s v="ETINILESTRADIOL"/>
    <n v="17"/>
    <n v="5"/>
    <n v="0"/>
    <n v="0"/>
    <s v="+"/>
    <s v=" PREPARACOES TRIFASICAS"/>
    <s v=" 57-63-6"/>
    <s v="Tarja Vermelha"/>
    <s v="II"/>
    <s v="P"/>
    <s v="R"/>
    <n v="4684056"/>
    <n v="11175686"/>
    <n v="25524180.199999999"/>
    <x v="31"/>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311"/>
    <s v="30049045"/>
    <m/>
    <n v="20140626"/>
    <s v="514505110115314"/>
    <s v="7896212450329"/>
    <s v="1123633260046"/>
    <x v="267"/>
    <x v="334"/>
    <s v="paracetamol"/>
    <s v="PARACETAMOL"/>
    <s v=""/>
    <s v=""/>
    <s v=""/>
    <s v=""/>
    <m/>
    <x v="27"/>
    <s v="JANSSEN-CILAG FARMACÊUTICA LTDA"/>
    <s v="51780468000187"/>
    <s v="PARACETAMOL"/>
    <n v="0"/>
    <n v="0"/>
    <n v="0"/>
    <n v="0"/>
    <s v="-"/>
    <s v=" ANALG NAO NARCOT/A/PIRET"/>
    <s v=" 103-90-2"/>
    <s v="Venda Livre"/>
    <s v="N"/>
    <s v="P"/>
    <s v="R"/>
    <n v="1483063"/>
    <n v="11490710"/>
    <n v="26179038.620000001"/>
    <x v="8"/>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0415"/>
    <s v="30049045"/>
    <m/>
    <n v="20140626"/>
    <s v="514505601119311"/>
    <s v="7896212415618"/>
    <s v="1123633650057"/>
    <x v="268"/>
    <x v="335"/>
    <s v="paracetamol"/>
    <s v="PARACETAMOL"/>
    <s v=""/>
    <s v=""/>
    <s v=""/>
    <s v=""/>
    <m/>
    <x v="27"/>
    <s v="JANSSEN-CILAG FARMACÊUTICA LTDA"/>
    <s v="51780468000187"/>
    <s v="PARACETAMOL"/>
    <n v="0"/>
    <n v="0"/>
    <n v="0"/>
    <n v="0"/>
    <s v="-"/>
    <s v=" A/GRIPAIS EXC A/INFEC"/>
    <s v=" 345-78-8"/>
    <s v="Tarja Vermelha"/>
    <s v="N"/>
    <s v="P"/>
    <s v="R"/>
    <n v="2446010"/>
    <n v="10901434"/>
    <n v="24756426.109999999"/>
    <x v="28"/>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0415"/>
    <s v="30049045"/>
    <m/>
    <n v="20140626"/>
    <s v="514505601119311"/>
    <s v="7896212415618"/>
    <s v="1123633650057"/>
    <x v="268"/>
    <x v="335"/>
    <s v="TYLENOL"/>
    <s v="TYLENOL"/>
    <s v=""/>
    <s v=""/>
    <s v=""/>
    <s v=""/>
    <m/>
    <x v="27"/>
    <s v="JANSSEN-CILAG FARMACÊUTICA LTDA"/>
    <s v="51780468000187"/>
    <s v="TYLENOL"/>
    <n v="0"/>
    <n v="0"/>
    <n v="0"/>
    <n v="0"/>
    <s v="-"/>
    <s v=" A/GRIPAIS EXC A/INFEC"/>
    <s v=" 345-78-8"/>
    <s v="Tarja Vermelha"/>
    <s v="N"/>
    <s v="P"/>
    <s v="R"/>
    <n v="2446010"/>
    <n v="10901434"/>
    <n v="24756426.109999999"/>
    <x v="8"/>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7621"/>
    <s v="30043999"/>
    <m/>
    <n v="20140626"/>
    <s v="538912080018714"/>
    <s v="4260085521234"/>
    <s v="1705600830031"/>
    <x v="269"/>
    <x v="336"/>
    <s v="fluocortolona + lidocaina"/>
    <s v="FLUOCORTOLONA"/>
    <s v="LIDOCAINA"/>
    <s v=""/>
    <s v=""/>
    <s v=""/>
    <m/>
    <x v="70"/>
    <s v="BAYER S.A."/>
    <s v="18459628000115"/>
    <s v="FLUOCORTOLONA"/>
    <n v="0"/>
    <n v="5"/>
    <n v="0"/>
    <n v="0"/>
    <s v="-"/>
    <s v=" ANTHIHEMORR. COM CORTIC."/>
    <s v=" 29205-06-9"/>
    <s v="Tarja Vermelha"/>
    <s v="N"/>
    <s v="P"/>
    <s v="R"/>
    <n v="349439"/>
    <n v="3104943"/>
    <n v="7088422.9299999997"/>
    <x v="45"/>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4305"/>
    <s v="30043939"/>
    <m/>
    <n v="20140626"/>
    <s v="542213020000114"/>
    <s v="7898948648148"/>
    <s v="1875900010043"/>
    <x v="270"/>
    <x v="337"/>
    <s v="Acetato de medroxiprogesterona"/>
    <s v="ACETATO DE MEDROXIPROGESTERONA"/>
    <s v=""/>
    <s v=""/>
    <s v=""/>
    <s v=""/>
    <m/>
    <x v="71"/>
    <s v="BESINS HEALTHCARE BRASIL COMERCIAL E DISTRIBUIDORA DE MEDICAMENTOS LTDA"/>
    <s v="11082598000121"/>
    <s v="ACETATO DE MEDROXIPROGESTERONA"/>
    <n v="4"/>
    <n v="0"/>
    <n v="0"/>
    <n v="0"/>
    <s v="+"/>
    <s v=" PROGESTAGEN EXC G3A,G3F"/>
    <s v=" 57-83-0"/>
    <s v="Tarja Vermelha"/>
    <s v="I"/>
    <s v="E"/>
    <s v="R"/>
    <n v="1257419"/>
    <n v="17826176"/>
    <n v="40686821.450000003"/>
    <x v="2"/>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2063"/>
    <s v="30039079"/>
    <m/>
    <n v="20140626"/>
    <s v="531302201116416"/>
    <s v="7898029558809"/>
    <s v="1127800550062"/>
    <x v="271"/>
    <x v="338"/>
    <s v="trimetazidina"/>
    <s v="TRIMETAZIDINA"/>
    <s v=""/>
    <s v=""/>
    <s v=""/>
    <s v=""/>
    <m/>
    <x v="38"/>
    <s v="LABORATÓRIOS SERVIER DO BRASIL LTDA"/>
    <s v="42374207000176"/>
    <s v="TRIMETAZIDINA"/>
    <n v="1"/>
    <n v="0"/>
    <n v="0"/>
    <n v="0"/>
    <s v="+"/>
    <s v=" TER CORONAR EXC ANT C+NI"/>
    <s v=" 13171-25-0"/>
    <s v="Tarja Vermelha"/>
    <s v="I"/>
    <s v="P"/>
    <s v="R"/>
    <n v="499225"/>
    <n v="9051893"/>
    <n v="20664427.699999999"/>
    <x v="40"/>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2066"/>
    <s v="30039079"/>
    <m/>
    <n v="20140626"/>
    <s v="531302202112414"/>
    <s v="7898029558816"/>
    <s v="1127800550089"/>
    <x v="271"/>
    <x v="339"/>
    <s v="trimetazidina"/>
    <s v="TRIMETAZIDINA"/>
    <s v=""/>
    <s v=""/>
    <s v=""/>
    <s v=""/>
    <m/>
    <x v="38"/>
    <s v="LABORATÓRIOS SERVIER DO BRASIL LTDA"/>
    <s v="42374207000176"/>
    <s v="TRIMETAZIDINA"/>
    <n v="1"/>
    <n v="0"/>
    <n v="0"/>
    <n v="0"/>
    <s v="+"/>
    <s v=" TER CORONAR EXC ANT C+NI"/>
    <s v=" 13171-25-0"/>
    <s v="Tarja Vermelha"/>
    <s v="I"/>
    <s v="P"/>
    <s v="R"/>
    <n v="291965"/>
    <n v="10584481"/>
    <n v="24171048.460000001"/>
    <x v="40"/>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2250"/>
    <s v="30049079"/>
    <m/>
    <n v="20140626"/>
    <s v="520723801114412"/>
    <s v="7896112115151"/>
    <s v="1037002670016"/>
    <x v="272"/>
    <x v="340"/>
    <s v="diosmina+hesperidina"/>
    <s v="DIOSMINA"/>
    <s v="HESPERIDINA"/>
    <s v=""/>
    <s v=""/>
    <s v=""/>
    <m/>
    <x v="1"/>
    <s v="LABORATÓRIO TEUTO BRASILEIRO S/A"/>
    <s v="17159229000176"/>
    <s v="DIOSMINA"/>
    <n v="0"/>
    <n v="0"/>
    <n v="0"/>
    <n v="0"/>
    <s v="-"/>
    <s v=" VASOPROTETORES SIST"/>
    <s v=" 520-27-4"/>
    <s v="Tarja Vermelha"/>
    <s v="N"/>
    <s v="P"/>
    <s v="M"/>
    <n v="1348689"/>
    <n v="24265230"/>
    <n v="55521507.789999999"/>
    <x v="36"/>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4677"/>
    <s v="30049059"/>
    <m/>
    <n v="20140626"/>
    <s v="501103205111313"/>
    <s v="7896641805776"/>
    <s v="1063901170058"/>
    <x v="273"/>
    <x v="341"/>
    <s v="CUMARINA"/>
    <s v="CUMARINA"/>
    <s v=""/>
    <s v=""/>
    <s v=""/>
    <s v=""/>
    <m/>
    <x v="42"/>
    <s v="TAKEDA PHARMA LTDA."/>
    <s v="60397775000174"/>
    <s v="CUMARINA"/>
    <n v="1"/>
    <n v="0"/>
    <n v="0"/>
    <n v="0"/>
    <s v="-"/>
    <s v=" VASOPROTETORES SIST"/>
    <s v=" 91-64-5"/>
    <s v="Tarja Vermelha"/>
    <s v="N"/>
    <s v="P"/>
    <s v="R"/>
    <n v="885377"/>
    <n v="11517433"/>
    <n v="26344823.579999998"/>
    <x v="36"/>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980"/>
    <s v="30049099"/>
    <m/>
    <n v="20140626"/>
    <s v="519016701111419"/>
    <s v="7896714203782"/>
    <s v="1558400860022"/>
    <x v="274"/>
    <x v="342"/>
    <s v="dicloridrato de flunarizina"/>
    <s v="dicloridrato de flunarizina"/>
    <s v=""/>
    <s v=""/>
    <s v=""/>
    <s v=""/>
    <m/>
    <x v="35"/>
    <s v="LABORATÓRIO NEO QUÍMICA COMÉRCIO E INDÚSTRIA LTDA"/>
    <s v="29785870000103"/>
    <s v="dicloridrato de flunarizina"/>
    <n v="2"/>
    <n v="0"/>
    <n v="0"/>
    <n v="0"/>
    <s v="-"/>
    <s v=" ANTIVERTIGINOSOS"/>
    <m/>
    <s v="Tarja Vermelha"/>
    <s v="N"/>
    <s v="E"/>
    <s v="M"/>
    <n v="1564643"/>
    <n v="4471164"/>
    <n v="10221047.48"/>
    <x v="39"/>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986"/>
    <s v="30049062"/>
    <m/>
    <n v="20140626"/>
    <s v="500507401117410"/>
    <s v="7896658000713"/>
    <s v="1057300800036"/>
    <x v="275"/>
    <x v="343"/>
    <s v="dicloridrato de flunarizina"/>
    <s v="DICLORIDRATO DE FLUNARIZINA"/>
    <s v=""/>
    <s v=""/>
    <s v=""/>
    <s v=""/>
    <m/>
    <x v="11"/>
    <s v="ACHÉ LABORATÓRIOS FARMACÊUTICOS S.A."/>
    <s v="60659463000191"/>
    <s v="DICLORIDRATO DE FLUNARIZINA"/>
    <n v="2"/>
    <n v="0"/>
    <n v="0"/>
    <n v="0"/>
    <s v="+"/>
    <s v=" ANT.CALCIO C/ACT. CEREB."/>
    <s v=" 30484-77-6"/>
    <s v="Tarja Vermelha"/>
    <s v="I"/>
    <s v="E"/>
    <s v="M"/>
    <n v="1305558"/>
    <n v="10146700"/>
    <n v="23157128.890000001"/>
    <x v="39"/>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989"/>
    <s v="30049069"/>
    <m/>
    <n v="20140626"/>
    <s v="500507501111414"/>
    <s v="7896658002700"/>
    <s v="1057300880218"/>
    <x v="276"/>
    <x v="344"/>
    <s v="dicloridrato de flunarizina"/>
    <s v="DICLORIDRATO DE FLUNARIZINA"/>
    <s v=""/>
    <s v=""/>
    <s v=""/>
    <s v=""/>
    <m/>
    <x v="11"/>
    <s v="ACHÉ LABORATÓRIOS FARMACÊUTICOS S.A."/>
    <s v="60659463000191"/>
    <s v="DICLORIDRATO DE FLUNARIZINA"/>
    <n v="2"/>
    <n v="0"/>
    <n v="0"/>
    <n v="0"/>
    <s v="+"/>
    <s v=" ANT.CALCIO C/ACT. CEREB."/>
    <s v=" 24730-10-7"/>
    <s v="Tarja Vermelha"/>
    <s v="II"/>
    <s v="P"/>
    <s v="M"/>
    <n v="673257"/>
    <n v="11729145"/>
    <n v="26766052.84"/>
    <x v="39"/>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2807"/>
    <s v="30044090"/>
    <m/>
    <n v="20140626"/>
    <s v="524803501111314"/>
    <s v="7896226102542"/>
    <s v="1015502330035"/>
    <x v="277"/>
    <x v="345"/>
    <s v="vimpocetina"/>
    <s v="VIMPOCETINA"/>
    <s v=""/>
    <s v=""/>
    <s v=""/>
    <s v=""/>
    <m/>
    <x v="72"/>
    <s v="MARJAN INDÚSTRIA E COMÉRCIO LTDA"/>
    <s v="60726692000181"/>
    <s v="VIMPOCETINA"/>
    <n v="1"/>
    <n v="0"/>
    <n v="0"/>
    <n v="0"/>
    <s v="-"/>
    <s v=" VASOTER CER/PER EXC ANT C"/>
    <s v=" 42971-09-5"/>
    <s v="Tarja Vermelha"/>
    <s v="N"/>
    <s v="E"/>
    <s v="M"/>
    <n v="932454"/>
    <n v="5794529"/>
    <n v="13224997.359999999"/>
    <x v="36"/>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25031"/>
    <s v="30042099"/>
    <m/>
    <n v="20140626"/>
    <s v="500904801138319"/>
    <s v="7896548197554"/>
    <s v="1002302680014"/>
    <x v="278"/>
    <x v="346"/>
    <s v="moxifloxacino + fosfato de dexametasona"/>
    <s v="MOXIFLOXACINO"/>
    <s v="FOSFATO DE DEXAMETASONA"/>
    <s v=""/>
    <s v=""/>
    <s v=""/>
    <m/>
    <x v="26"/>
    <s v="ALCON LABORATÓRIOS DO BRASIL LTDA."/>
    <s v="60412327000100"/>
    <s v="MOXIFLOXACINO"/>
    <n v="1"/>
    <n v="0"/>
    <n v="0"/>
    <n v="0"/>
    <s v="-"/>
    <s v=" CORTICOEST OFTAL+A-INFEC"/>
    <s v=" 151096-09-2"/>
    <s v="Tarja Vermelha"/>
    <s v="N"/>
    <s v="P"/>
    <s v="M"/>
    <n v="923721"/>
    <n v="9998184"/>
    <n v="22808115.82"/>
    <x v="37"/>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8898"/>
    <s v="30045090"/>
    <m/>
    <n v="20140626"/>
    <s v="500904201130317"/>
    <s v="7896548139585"/>
    <s v="1002302600029"/>
    <x v="279"/>
    <x v="347"/>
    <s v="Cloridrato de moxifloxacino"/>
    <s v="CLORIDRATO DE MOXIFLOXACINO"/>
    <s v=""/>
    <s v=""/>
    <s v=""/>
    <s v=""/>
    <m/>
    <x v="26"/>
    <s v="ALCON LABORATÓRIOS DO BRASIL LTDA."/>
    <s v="60412327000100"/>
    <s v="CLORIDRATO DE MOXIFLOXACINO"/>
    <n v="2"/>
    <n v="0"/>
    <n v="0"/>
    <n v="0"/>
    <s v="+"/>
    <s v=" ANTI-INFECCIOS.OFTALMOLOG"/>
    <s v=" 186826-86-8"/>
    <s v="Tarja Vermelha"/>
    <s v="I"/>
    <s v="E"/>
    <s v="R"/>
    <n v="395809"/>
    <n v="3753877"/>
    <n v="8562434.3800000008"/>
    <x v="37"/>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9050"/>
    <s v="30049069"/>
    <m/>
    <n v="20140626"/>
    <s v="504110501114411"/>
    <s v="7896241296523"/>
    <s v="1097401940010"/>
    <x v="280"/>
    <x v="348"/>
    <s v="Cloridrato de ondansetrona"/>
    <s v="CLORIDRATO DE ONDANSETRONA"/>
    <s v=""/>
    <s v=""/>
    <s v=""/>
    <s v=""/>
    <m/>
    <x v="21"/>
    <s v="BIOLAB SANUS FARMACÊUTICA LTDA"/>
    <s v="49475833000106"/>
    <s v="CLORIDRATO DE ONDANSETRONA"/>
    <n v="1"/>
    <n v="0"/>
    <n v="0"/>
    <n v="0"/>
    <s v="+"/>
    <s v=" ANT.SEROT.ANTIEM/ANTINAU"/>
    <s v=" 99614-01-4"/>
    <s v="Tarja Vermelha"/>
    <s v="I"/>
    <s v="P"/>
    <s v="M"/>
    <n v="1049216"/>
    <n v="8959396"/>
    <n v="20487485.829999998"/>
    <x v="29"/>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9050"/>
    <s v="30049069"/>
    <m/>
    <n v="20140626"/>
    <s v="504110501114411"/>
    <s v="7896241296523"/>
    <s v="1097401940010"/>
    <x v="280"/>
    <x v="348"/>
    <s v="Cloridrato de ondansetrona"/>
    <s v="CLORIDRATO DE ONDANSETRONA"/>
    <s v=""/>
    <s v=""/>
    <s v=""/>
    <s v=""/>
    <m/>
    <x v="21"/>
    <s v="BIOLAB SANUS FARMACÊUTICA LTDA"/>
    <s v="49475833000106"/>
    <s v="CLORIDRATO DE ONDANSETRONA"/>
    <n v="1"/>
    <n v="0"/>
    <n v="0"/>
    <n v="0"/>
    <s v="+"/>
    <s v=" ANT.SEROT.ANTIEM/ANTINAU"/>
    <s v=" 99614-01-4"/>
    <s v="Tarja Vermelha"/>
    <s v="I"/>
    <s v="P"/>
    <s v="M"/>
    <n v="1049216"/>
    <n v="8959396"/>
    <n v="20487485.829999998"/>
    <x v="30"/>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9057"/>
    <s v="30049069"/>
    <m/>
    <n v="20140626"/>
    <s v="504110601119413"/>
    <s v="7896241296400"/>
    <s v="1097401940037"/>
    <x v="280"/>
    <x v="349"/>
    <s v="Cloridrato de ondansetrona"/>
    <s v="CLORIDRATO DE ONDANSETRONA"/>
    <s v=""/>
    <s v=""/>
    <s v=""/>
    <s v=""/>
    <m/>
    <x v="21"/>
    <s v="BIOLAB SANUS FARMACÊUTICA LTDA"/>
    <s v="49475833000106"/>
    <s v="CLORIDRATO DE ONDANSETRONA"/>
    <n v="1"/>
    <n v="0"/>
    <n v="0"/>
    <n v="0"/>
    <s v="+"/>
    <s v=" ANT.SEROT.ANTIEM/ANTINAU"/>
    <s v=" 99614-01-4"/>
    <s v="Tarja Vermelha"/>
    <s v="I"/>
    <s v="P"/>
    <s v="M"/>
    <n v="674955"/>
    <n v="11355266"/>
    <n v="25959933.739999998"/>
    <x v="30"/>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6153"/>
    <s v="30049099"/>
    <m/>
    <n v="20140626"/>
    <s v="525503402114214"/>
    <s v="7897337706155"/>
    <s v="1002901350046"/>
    <x v="281"/>
    <x v="350"/>
    <s v="ezetimiba"/>
    <s v="EZETIMIBA"/>
    <s v=""/>
    <s v=""/>
    <s v=""/>
    <s v=""/>
    <m/>
    <x v="22"/>
    <s v="MERCK SHARP &amp; DOHME FARMACEUTICA  LTDA"/>
    <s v="45987013000134"/>
    <s v="EZETIMIBA"/>
    <n v="2"/>
    <n v="0"/>
    <n v="0"/>
    <n v="0"/>
    <s v="+"/>
    <s v=" REG.LIPIDOS ASSOCIACOES"/>
    <s v=" 163222-33-1"/>
    <s v="Tarja Vermelha"/>
    <s v="II"/>
    <s v="P"/>
    <s v="R"/>
    <n v="1388301"/>
    <n v="47697220"/>
    <n v="108865235.27"/>
    <x v="33"/>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14532"/>
    <s v="30049029"/>
    <m/>
    <n v="20140626"/>
    <s v="522240001179314"/>
    <s v="7891268107609"/>
    <s v="1021601290011"/>
    <x v="282"/>
    <x v="351"/>
    <s v="latanoprosta"/>
    <s v="LATANOPROSTA"/>
    <s v=""/>
    <s v=""/>
    <s v=""/>
    <s v=""/>
    <m/>
    <x v="32"/>
    <s v="LABORATORIOS PFIZER LTDA."/>
    <s v="46070868000169"/>
    <s v="LATANOPROSTA"/>
    <n v="2"/>
    <n v="0"/>
    <n v="0"/>
    <n v="0"/>
    <s v="+"/>
    <s v=" PREP ANTI/GLAUC/MIOT/TOP."/>
    <s v=" 130209-82-4"/>
    <s v="Tarja Vermelha"/>
    <s v="I"/>
    <s v="E"/>
    <s v="R"/>
    <n v="583791"/>
    <n v="23606010"/>
    <n v="53891130.880000003"/>
    <x v="19"/>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3834"/>
    <s v="30049099"/>
    <m/>
    <n v="20140626"/>
    <s v="528700801131419"/>
    <s v="7590002023228"/>
    <s v="1214200040020"/>
    <x v="283"/>
    <x v="352"/>
    <s v="guaifenesina"/>
    <s v="GUAIFENESINA"/>
    <s v=""/>
    <s v=""/>
    <s v=""/>
    <s v=""/>
    <m/>
    <x v="73"/>
    <s v="PROCTER &amp; GAMBLE DO BRASIL S/A"/>
    <s v="59476770000158"/>
    <s v="GUAIFENESINA"/>
    <n v="2"/>
    <n v="0"/>
    <n v="0"/>
    <n v="0"/>
    <s v="-"/>
    <s v=" OUT A/TUSSIGENOS/ASS"/>
    <s v=" 93-14-1"/>
    <s v="Venda Livre"/>
    <s v="N"/>
    <s v="P"/>
    <s v="M"/>
    <n v="1182313"/>
    <n v="6314178"/>
    <n v="14313857.699999999"/>
    <x v="44"/>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17204"/>
    <s v="30049043"/>
    <m/>
    <n v="20140626"/>
    <s v="502304701163314"/>
    <s v="7896206401979"/>
    <s v="1161800980011"/>
    <x v="284"/>
    <x v="353"/>
    <s v="Lidocaína"/>
    <s v="LIDOCAINA"/>
    <s v=""/>
    <s v=""/>
    <s v=""/>
    <s v=""/>
    <m/>
    <x v="74"/>
    <s v="ASTRAZENECA DO BRASIL LTDA"/>
    <s v="60318797000100"/>
    <s v="LIDOCAINA"/>
    <n v="5"/>
    <n v="0"/>
    <n v="0"/>
    <n v="0"/>
    <s v="-"/>
    <s v=" ANTHIHEMORR. COM CORTIC."/>
    <s v=" 8000-61-1"/>
    <s v="Tarja Vermelha"/>
    <s v="N"/>
    <s v="P"/>
    <s v="R"/>
    <n v="226601"/>
    <n v="1966052"/>
    <n v="4482907.47"/>
    <x v="45"/>
    <n v="2.1"/>
    <n v="9.9"/>
    <n v="3.27"/>
    <n v="3.12"/>
    <n v="1.35"/>
    <n v="18"/>
    <n v="12"/>
    <n v="17"/>
    <n v="17"/>
    <n v="19"/>
    <n v="18"/>
    <n v="17"/>
    <n v="17"/>
    <n v="17"/>
    <n v="17"/>
    <n v="17"/>
    <n v="17"/>
    <n v="17"/>
    <n v="17"/>
    <n v="17"/>
    <n v="17"/>
    <n v="37.74"/>
    <n v="31.740000000000002"/>
    <n v="36.74"/>
    <n v="36.74"/>
    <n v="38.74"/>
    <n v="37.74"/>
    <n v="36.74"/>
    <n v="36.74"/>
    <n v="36.74"/>
    <n v="36.74"/>
    <n v="36.74"/>
    <n v="36.74"/>
    <n v="36.74"/>
    <n v="36.74"/>
    <n v="36.74"/>
    <n v="36.74"/>
    <n v="36.677500000000002"/>
    <m/>
    <m/>
  </r>
  <r>
    <n v="3738"/>
    <s v="30066000"/>
    <m/>
    <n v="20140626"/>
    <s v="538912050016313"/>
    <s v="7891106906074"/>
    <s v="1705600690017"/>
    <x v="285"/>
    <x v="354"/>
    <s v="drospirenona"/>
    <s v="DROSPIRENONA"/>
    <s v=""/>
    <s v=""/>
    <s v=""/>
    <s v=""/>
    <m/>
    <x v="20"/>
    <s v="BAYER S.A."/>
    <s v="18459628000115"/>
    <s v="DROSPIRENONA"/>
    <n v="2"/>
    <n v="0"/>
    <n v="0"/>
    <n v="0"/>
    <s v="+"/>
    <s v=" P.MONOF.C/ESTROG.&lt;50MCG"/>
    <s v=" 57-63-6"/>
    <s v="Tarja Vermelha"/>
    <s v="II"/>
    <s v="P"/>
    <s v="R"/>
    <n v="3274976"/>
    <n v="62858868"/>
    <n v="143533693.05000001"/>
    <x v="31"/>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r>
    <n v="21473"/>
    <s v="30049069"/>
    <m/>
    <n v="20140626"/>
    <s v="505609601116310"/>
    <s v="7895858010324"/>
    <s v="1376401220014"/>
    <x v="286"/>
    <x v="355"/>
    <s v="ALOPURINOL"/>
    <s v="ALOPURINOL"/>
    <s v=""/>
    <s v=""/>
    <s v=""/>
    <s v=""/>
    <m/>
    <x v="40"/>
    <s v="ASPEN PHARMA INDÚSTRIA FARMACÊUTICA LTDA"/>
    <s v="02433631000120"/>
    <s v="ALOPURINOL"/>
    <n v="1"/>
    <n v="0"/>
    <n v="0"/>
    <n v="0"/>
    <s v="+"/>
    <s v=" ANTIGOTOSOS"/>
    <s v=" 315-30-0"/>
    <s v="Tarja Vermelha"/>
    <s v="I"/>
    <s v="E"/>
    <s v="R"/>
    <n v="617469"/>
    <n v="2315373"/>
    <n v="5305521.46"/>
    <x v="18"/>
    <n v="0"/>
    <n v="0"/>
    <n v="3.27"/>
    <n v="3.12"/>
    <n v="1.35"/>
    <n v="18"/>
    <n v="12"/>
    <n v="17"/>
    <n v="17"/>
    <n v="19"/>
    <n v="18"/>
    <n v="17"/>
    <n v="17"/>
    <n v="17"/>
    <n v="17"/>
    <n v="17"/>
    <n v="17"/>
    <n v="17"/>
    <n v="17"/>
    <n v="17"/>
    <n v="17"/>
    <n v="25.740000000000002"/>
    <n v="19.740000000000002"/>
    <n v="24.740000000000002"/>
    <n v="24.740000000000002"/>
    <n v="26.740000000000002"/>
    <n v="25.740000000000002"/>
    <n v="24.740000000000002"/>
    <n v="24.740000000000002"/>
    <n v="24.740000000000002"/>
    <n v="24.740000000000002"/>
    <n v="24.740000000000002"/>
    <n v="24.740000000000002"/>
    <n v="24.740000000000002"/>
    <n v="24.740000000000002"/>
    <n v="24.740000000000002"/>
    <n v="24.740000000000002"/>
    <n v="24.677500000000006"/>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ela dinâmica1" cacheId="0" applyNumberFormats="0" applyBorderFormats="0" applyFontFormats="0" applyPatternFormats="0" applyAlignmentFormats="0" applyWidthHeightFormats="1" dataCaption="Valores" updatedVersion="5" minRefreshableVersion="3" rowGrandTotals="0" colGrandTotals="0" itemPrintTitles="1" createdVersion="5" indent="0" outline="1" outlineData="1" multipleFieldFilters="0" rowHeaderCaption="VISÃO DOENÇA E LABORATÓRIO">
  <location ref="A6:B52" firstHeaderRow="1" firstDataRow="1" firstDataCol="1"/>
  <pivotFields count="75">
    <pivotField showAll="0"/>
    <pivotField showAll="0"/>
    <pivotField showAll="0" defaultSubtotal="0"/>
    <pivotField showAll="0" defaultSubtotal="0"/>
    <pivotField showAll="0" defaultSubtotal="0"/>
    <pivotField showAll="0" defaultSubtotal="0"/>
    <pivotField showAll="0" defaultSubtotal="0"/>
    <pivotField showAll="0" defaultSubtotal="0"/>
    <pivotField axis="axisRow" showAll="0">
      <items count="357">
        <item x="283"/>
        <item x="169"/>
        <item x="4"/>
        <item x="106"/>
        <item x="1"/>
        <item x="0"/>
        <item x="2"/>
        <item x="5"/>
        <item x="3"/>
        <item x="7"/>
        <item x="8"/>
        <item x="9"/>
        <item x="10"/>
        <item x="11"/>
        <item x="12"/>
        <item x="13"/>
        <item x="14"/>
        <item x="15"/>
        <item x="16"/>
        <item x="18"/>
        <item x="17"/>
        <item x="19"/>
        <item x="20"/>
        <item x="21"/>
        <item x="22"/>
        <item x="23"/>
        <item x="25"/>
        <item x="24"/>
        <item x="26"/>
        <item x="28"/>
        <item x="27"/>
        <item x="29"/>
        <item x="30"/>
        <item x="31"/>
        <item x="32"/>
        <item x="33"/>
        <item x="34"/>
        <item x="35"/>
        <item x="36"/>
        <item x="37"/>
        <item x="38"/>
        <item x="39"/>
        <item x="40"/>
        <item x="41"/>
        <item x="42"/>
        <item x="44"/>
        <item x="43"/>
        <item x="45"/>
        <item x="46"/>
        <item x="47"/>
        <item x="48"/>
        <item x="49"/>
        <item x="50"/>
        <item x="51"/>
        <item x="55"/>
        <item x="54"/>
        <item x="53"/>
        <item x="52"/>
        <item x="57"/>
        <item x="56"/>
        <item x="58"/>
        <item x="59"/>
        <item x="60"/>
        <item x="61"/>
        <item x="62"/>
        <item x="63"/>
        <item x="64"/>
        <item x="65"/>
        <item x="66"/>
        <item x="67"/>
        <item x="68"/>
        <item x="69"/>
        <item x="70"/>
        <item x="71"/>
        <item x="72"/>
        <item x="74"/>
        <item x="73"/>
        <item x="75"/>
        <item x="76"/>
        <item x="77"/>
        <item x="78"/>
        <item x="79"/>
        <item x="85"/>
        <item x="86"/>
        <item x="89"/>
        <item x="81"/>
        <item x="82"/>
        <item x="83"/>
        <item x="80"/>
        <item x="84"/>
        <item x="88"/>
        <item x="87"/>
        <item x="90"/>
        <item x="91"/>
        <item x="92"/>
        <item x="93"/>
        <item x="94"/>
        <item x="95"/>
        <item x="96"/>
        <item x="97"/>
        <item x="98"/>
        <item x="99"/>
        <item x="100"/>
        <item x="101"/>
        <item x="102"/>
        <item x="103"/>
        <item x="105"/>
        <item x="104"/>
        <item x="107"/>
        <item x="108"/>
        <item x="109"/>
        <item x="110"/>
        <item x="111"/>
        <item x="114"/>
        <item x="113"/>
        <item x="112"/>
        <item x="116"/>
        <item x="115"/>
        <item x="118"/>
        <item x="119"/>
        <item x="120"/>
        <item x="121"/>
        <item x="122"/>
        <item x="123"/>
        <item x="125"/>
        <item x="124"/>
        <item x="127"/>
        <item x="126"/>
        <item x="128"/>
        <item x="129"/>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4"/>
        <item x="163"/>
        <item x="166"/>
        <item x="165"/>
        <item x="167"/>
        <item x="168"/>
        <item x="170"/>
        <item x="171"/>
        <item x="172"/>
        <item x="173"/>
        <item x="174"/>
        <item x="176"/>
        <item x="175"/>
        <item x="177"/>
        <item x="178"/>
        <item x="179"/>
        <item x="180"/>
        <item x="181"/>
        <item x="182"/>
        <item x="183"/>
        <item x="185"/>
        <item x="184"/>
        <item x="186"/>
        <item x="187"/>
        <item x="188"/>
        <item x="189"/>
        <item x="190"/>
        <item x="191"/>
        <item x="192"/>
        <item x="193"/>
        <item x="195"/>
        <item x="194"/>
        <item x="196"/>
        <item x="197"/>
        <item x="198"/>
        <item x="199"/>
        <item x="200"/>
        <item x="201"/>
        <item x="202"/>
        <item x="203"/>
        <item x="206"/>
        <item x="205"/>
        <item x="204"/>
        <item x="207"/>
        <item x="208"/>
        <item x="209"/>
        <item x="210"/>
        <item x="211"/>
        <item x="212"/>
        <item x="213"/>
        <item x="214"/>
        <item x="215"/>
        <item x="217"/>
        <item x="216"/>
        <item x="219"/>
        <item x="218"/>
        <item x="220"/>
        <item x="221"/>
        <item x="222"/>
        <item x="223"/>
        <item x="224"/>
        <item x="225"/>
        <item x="226"/>
        <item x="228"/>
        <item x="227"/>
        <item x="229"/>
        <item x="230"/>
        <item x="232"/>
        <item x="231"/>
        <item x="233"/>
        <item x="236"/>
        <item x="238"/>
        <item x="235"/>
        <item x="237"/>
        <item x="234"/>
        <item x="239"/>
        <item x="240"/>
        <item x="242"/>
        <item x="241"/>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3"/>
        <item x="272"/>
        <item x="274"/>
        <item x="275"/>
        <item x="278"/>
        <item x="277"/>
        <item x="280"/>
        <item x="279"/>
        <item x="276"/>
        <item x="282"/>
        <item x="281"/>
        <item x="6"/>
        <item x="284"/>
        <item x="285"/>
        <item x="288"/>
        <item x="286"/>
        <item x="287"/>
        <item x="289"/>
        <item x="290"/>
        <item x="291"/>
        <item x="292"/>
        <item x="293"/>
        <item x="294"/>
        <item x="295"/>
        <item x="298"/>
        <item x="297"/>
        <item x="296"/>
        <item x="130"/>
        <item x="131"/>
        <item x="299"/>
        <item x="301"/>
        <item x="300"/>
        <item x="302"/>
        <item x="303"/>
        <item x="305"/>
        <item x="304"/>
        <item x="306"/>
        <item x="307"/>
        <item x="117"/>
        <item x="308"/>
        <item x="310"/>
        <item x="309"/>
        <item x="311"/>
        <item x="312"/>
        <item x="313"/>
        <item x="314"/>
        <item x="315"/>
        <item x="316"/>
        <item x="317"/>
        <item x="318"/>
        <item x="319"/>
        <item x="320"/>
        <item x="321"/>
        <item x="322"/>
        <item x="323"/>
        <item x="324"/>
        <item x="325"/>
        <item x="326"/>
        <item x="327"/>
        <item x="328"/>
        <item x="330"/>
        <item x="329"/>
        <item x="331"/>
        <item x="332"/>
        <item x="333"/>
        <item x="334"/>
        <item x="335"/>
        <item x="336"/>
        <item x="337"/>
        <item x="338"/>
        <item x="339"/>
        <item x="340"/>
        <item x="341"/>
        <item x="342"/>
        <item x="343"/>
        <item x="344"/>
        <item x="352"/>
        <item x="345"/>
        <item x="346"/>
        <item x="347"/>
        <item x="348"/>
        <item x="349"/>
        <item x="350"/>
        <item x="351"/>
        <item x="353"/>
        <item x="354"/>
        <item x="355"/>
        <item t="default"/>
      </items>
    </pivotField>
    <pivotField showAll="0"/>
    <pivotField showAll="0"/>
    <pivotField showAll="0"/>
    <pivotField showAll="0"/>
    <pivotField showAll="0"/>
    <pivotField showAll="0"/>
    <pivotField showAll="0" defaultSubtotal="0"/>
    <pivotField showAll="0"/>
    <pivotField showAll="0" defaultSubtotal="0"/>
    <pivotField showAll="0" defaultSubtotal="0"/>
    <pivotField showAll="0"/>
    <pivotField showAll="0"/>
    <pivotField showAll="0"/>
    <pivotField showAll="0"/>
    <pivotField showAll="0"/>
    <pivotField showAll="0"/>
    <pivotField showAll="0"/>
    <pivotField showAll="0" defaultSubtotal="0"/>
    <pivotField showAll="0" defaultSubtotal="0"/>
    <pivotField showAll="0" defaultSubtotal="0"/>
    <pivotField showAll="0"/>
    <pivotField showAll="0"/>
    <pivotField showAll="0"/>
    <pivotField showAll="0"/>
    <pivotField showAll="0"/>
    <pivotField axis="axisRow" showAll="0" sortType="ascending">
      <items count="47">
        <item sd="0" x="3"/>
        <item sd="0" x="1"/>
        <item sd="0" x="17"/>
        <item sd="0" x="9"/>
        <item sd="0" x="31"/>
        <item sd="0" x="21"/>
        <item sd="0" x="12"/>
        <item sd="0" x="41"/>
        <item sd="0" x="13"/>
        <item sd="0" x="40"/>
        <item sd="0" x="33"/>
        <item sd="0" x="6"/>
        <item sd="0" x="37"/>
        <item sd="0" x="23"/>
        <item sd="0" x="34"/>
        <item sd="0" x="27"/>
        <item sd="0" x="10"/>
        <item sd="0" x="36"/>
        <item sd="0" x="14"/>
        <item sd="0" x="26"/>
        <item sd="0" x="15"/>
        <item sd="0" x="20"/>
        <item sd="0" x="0"/>
        <item sd="0" x="43"/>
        <item sd="0" x="29"/>
        <item sd="0" x="7"/>
        <item sd="0" x="35"/>
        <item sd="0" x="19"/>
        <item sd="0" x="18"/>
        <item sd="0" x="28"/>
        <item sd="0" x="45"/>
        <item sd="0" x="24"/>
        <item sd="0" x="4"/>
        <item sd="0" x="39"/>
        <item sd="0" x="38"/>
        <item sd="0" x="30"/>
        <item sd="0" x="11"/>
        <item sd="0" x="22"/>
        <item sd="0" x="25"/>
        <item sd="0" x="16"/>
        <item sd="0" x="42"/>
        <item sd="0" x="8"/>
        <item sd="0" x="44"/>
        <item sd="0" x="32"/>
        <item sd="0" x="5"/>
        <item sd="0" x="2"/>
        <item t="default" sd="0"/>
      </items>
      <autoSortScope>
        <pivotArea dataOnly="0" outline="0" fieldPosition="0">
          <references count="1">
            <reference field="4294967294" count="1" selected="0">
              <x v="0"/>
            </reference>
          </references>
        </pivotArea>
      </autoSortScope>
    </pivotField>
    <pivotField showAll="0"/>
    <pivotField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dataField="1" numFmtId="43" showAll="0"/>
    <pivotField numFmtId="43" showAll="0" defaultSubtotal="0"/>
    <pivotField showAll="0" defaultSubtotal="0"/>
  </pivotFields>
  <rowFields count="2">
    <field x="34"/>
    <field x="8"/>
  </rowFields>
  <rowItems count="46">
    <i>
      <x v="31"/>
    </i>
    <i>
      <x v="13"/>
    </i>
    <i>
      <x v="14"/>
    </i>
    <i>
      <x v="28"/>
    </i>
    <i>
      <x v="9"/>
    </i>
    <i>
      <x v="2"/>
    </i>
    <i>
      <x v="44"/>
    </i>
    <i>
      <x v="5"/>
    </i>
    <i>
      <x v="4"/>
    </i>
    <i>
      <x v="6"/>
    </i>
    <i>
      <x v="36"/>
    </i>
    <i>
      <x v="45"/>
    </i>
    <i>
      <x v="27"/>
    </i>
    <i>
      <x v="10"/>
    </i>
    <i>
      <x v="38"/>
    </i>
    <i>
      <x v="12"/>
    </i>
    <i>
      <x v="26"/>
    </i>
    <i>
      <x v="32"/>
    </i>
    <i>
      <x v="22"/>
    </i>
    <i>
      <x v="37"/>
    </i>
    <i>
      <x/>
    </i>
    <i>
      <x v="39"/>
    </i>
    <i>
      <x v="8"/>
    </i>
    <i>
      <x v="21"/>
    </i>
    <i>
      <x v="18"/>
    </i>
    <i>
      <x v="35"/>
    </i>
    <i>
      <x v="43"/>
    </i>
    <i>
      <x v="41"/>
    </i>
    <i>
      <x v="24"/>
    </i>
    <i>
      <x v="1"/>
    </i>
    <i>
      <x v="15"/>
    </i>
    <i>
      <x v="33"/>
    </i>
    <i>
      <x v="20"/>
    </i>
    <i>
      <x v="17"/>
    </i>
    <i>
      <x v="16"/>
    </i>
    <i>
      <x v="25"/>
    </i>
    <i>
      <x v="19"/>
    </i>
    <i>
      <x v="11"/>
    </i>
    <i>
      <x v="3"/>
    </i>
    <i>
      <x v="34"/>
    </i>
    <i>
      <x v="40"/>
    </i>
    <i>
      <x v="7"/>
    </i>
    <i>
      <x v="30"/>
    </i>
    <i>
      <x v="42"/>
    </i>
    <i>
      <x v="23"/>
    </i>
    <i>
      <x v="29"/>
    </i>
  </rowItems>
  <colItems count="1">
    <i/>
  </colItems>
  <dataFields count="1">
    <dataField name="Média de MÉDIA GERAL" fld="72" subtotal="average" baseField="34" baseItem="10"/>
  </dataFields>
  <formats count="12">
    <format dxfId="241">
      <pivotArea outline="0" fieldPosition="0"/>
    </format>
    <format dxfId="240">
      <pivotArea outline="0" fieldPosition="0"/>
    </format>
    <format dxfId="239">
      <pivotArea field="34" type="button" dataOnly="0" labelOnly="1" outline="0" axis="axisRow" fieldPosition="0"/>
    </format>
    <format dxfId="238">
      <pivotArea field="34" type="button" dataOnly="0" labelOnly="1" outline="0" axis="axisRow" fieldPosition="0"/>
    </format>
    <format dxfId="237">
      <pivotArea field="34" type="button" dataOnly="0" labelOnly="1" outline="0" axis="axisRow" fieldPosition="0"/>
    </format>
    <format dxfId="236">
      <pivotArea field="34" type="button" dataOnly="0" labelOnly="1" outline="0" axis="axisRow" fieldPosition="0"/>
    </format>
    <format dxfId="235">
      <pivotArea field="34" type="button" dataOnly="0" labelOnly="1" outline="0" axis="axisRow" fieldPosition="0"/>
    </format>
    <format dxfId="234">
      <pivotArea field="34" type="button" dataOnly="0" labelOnly="1" outline="0" axis="axisRow" fieldPosition="0"/>
    </format>
    <format dxfId="233">
      <pivotArea field="34" type="button" dataOnly="0" labelOnly="1" outline="0" axis="axisRow" fieldPosition="0"/>
    </format>
    <format dxfId="232">
      <pivotArea field="34" type="button" dataOnly="0" labelOnly="1" outline="0" axis="axisRow" fieldPosition="0"/>
    </format>
    <format dxfId="231">
      <pivotArea field="34" type="button" dataOnly="0" labelOnly="1" outline="0" axis="axisRow" fieldPosition="0"/>
    </format>
    <format dxfId="230">
      <pivotArea field="34" type="button" dataOnly="0" labelOnly="1" outline="0" axis="axisRow" fieldPosition="0"/>
    </format>
  </formats>
  <pivotTableStyleInfo name="PivotStyleMedium9" showRowHeaders="1" showColHeaders="1" showRowStripes="0" showColStripes="0" showLastColumn="1"/>
</pivotTableDefinition>
</file>

<file path=xl/pivotTables/pivotTable2.xml><?xml version="1.0" encoding="utf-8"?>
<pivotTableDefinition xmlns="http://schemas.openxmlformats.org/spreadsheetml/2006/main" name="Tabela dinâmica1" cacheId="0" applyNumberFormats="0" applyBorderFormats="0" applyFontFormats="0" applyPatternFormats="0" applyAlignmentFormats="0" applyWidthHeightFormats="1" dataCaption="Valores" updatedVersion="5" minRefreshableVersion="3" itemPrintTitles="1" createdVersion="5" indent="0" outline="1" outlineData="1" multipleFieldFilters="0" rowHeaderCaption="VISÃO DOENÇA E LABORATÓRIO">
  <location ref="A6:V54" firstHeaderRow="1" firstDataRow="2" firstDataCol="1"/>
  <pivotFields count="75">
    <pivotField showAll="0"/>
    <pivotField showAll="0"/>
    <pivotField showAll="0" defaultSubtotal="0"/>
    <pivotField showAll="0" defaultSubtotal="0"/>
    <pivotField showAll="0" defaultSubtotal="0"/>
    <pivotField showAll="0" defaultSubtotal="0"/>
    <pivotField showAll="0" defaultSubtotal="0"/>
    <pivotField showAll="0" defaultSubtotal="0"/>
    <pivotField axis="axisRow" showAll="0">
      <items count="357">
        <item x="283"/>
        <item x="169"/>
        <item x="4"/>
        <item x="106"/>
        <item x="1"/>
        <item x="0"/>
        <item x="2"/>
        <item x="5"/>
        <item x="3"/>
        <item x="7"/>
        <item x="8"/>
        <item x="9"/>
        <item x="10"/>
        <item x="11"/>
        <item x="12"/>
        <item x="13"/>
        <item x="14"/>
        <item x="15"/>
        <item x="16"/>
        <item x="18"/>
        <item x="17"/>
        <item x="19"/>
        <item x="20"/>
        <item x="21"/>
        <item x="22"/>
        <item x="23"/>
        <item x="25"/>
        <item x="24"/>
        <item x="26"/>
        <item x="28"/>
        <item x="27"/>
        <item x="29"/>
        <item x="30"/>
        <item x="31"/>
        <item x="32"/>
        <item x="33"/>
        <item x="34"/>
        <item x="35"/>
        <item x="36"/>
        <item x="37"/>
        <item x="38"/>
        <item x="39"/>
        <item x="40"/>
        <item x="41"/>
        <item x="42"/>
        <item x="44"/>
        <item x="43"/>
        <item x="45"/>
        <item x="46"/>
        <item x="47"/>
        <item x="48"/>
        <item x="49"/>
        <item x="50"/>
        <item x="51"/>
        <item x="55"/>
        <item x="54"/>
        <item x="53"/>
        <item x="52"/>
        <item x="57"/>
        <item x="56"/>
        <item x="58"/>
        <item x="59"/>
        <item x="60"/>
        <item x="61"/>
        <item x="62"/>
        <item x="63"/>
        <item x="64"/>
        <item x="65"/>
        <item x="66"/>
        <item x="67"/>
        <item x="68"/>
        <item x="69"/>
        <item x="70"/>
        <item x="71"/>
        <item x="72"/>
        <item x="74"/>
        <item x="73"/>
        <item x="75"/>
        <item x="76"/>
        <item x="77"/>
        <item x="78"/>
        <item x="79"/>
        <item x="85"/>
        <item x="86"/>
        <item x="89"/>
        <item x="81"/>
        <item x="82"/>
        <item x="83"/>
        <item x="80"/>
        <item x="84"/>
        <item x="88"/>
        <item x="87"/>
        <item x="90"/>
        <item x="91"/>
        <item x="92"/>
        <item x="93"/>
        <item x="94"/>
        <item x="95"/>
        <item x="96"/>
        <item x="97"/>
        <item x="98"/>
        <item x="99"/>
        <item x="100"/>
        <item x="101"/>
        <item x="102"/>
        <item x="103"/>
        <item x="105"/>
        <item x="104"/>
        <item x="107"/>
        <item x="108"/>
        <item x="109"/>
        <item x="110"/>
        <item x="111"/>
        <item x="114"/>
        <item x="113"/>
        <item x="112"/>
        <item x="116"/>
        <item x="115"/>
        <item x="118"/>
        <item x="119"/>
        <item x="120"/>
        <item x="121"/>
        <item x="122"/>
        <item x="123"/>
        <item x="125"/>
        <item x="124"/>
        <item x="127"/>
        <item x="126"/>
        <item x="128"/>
        <item x="129"/>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4"/>
        <item x="163"/>
        <item x="166"/>
        <item x="165"/>
        <item x="167"/>
        <item x="168"/>
        <item x="170"/>
        <item x="171"/>
        <item x="172"/>
        <item x="173"/>
        <item x="174"/>
        <item x="176"/>
        <item x="175"/>
        <item x="177"/>
        <item x="178"/>
        <item x="179"/>
        <item x="180"/>
        <item x="181"/>
        <item x="182"/>
        <item x="183"/>
        <item x="185"/>
        <item x="184"/>
        <item x="186"/>
        <item x="187"/>
        <item x="188"/>
        <item x="189"/>
        <item x="190"/>
        <item x="191"/>
        <item x="192"/>
        <item x="193"/>
        <item x="195"/>
        <item x="194"/>
        <item x="196"/>
        <item x="197"/>
        <item x="198"/>
        <item x="199"/>
        <item x="200"/>
        <item x="201"/>
        <item x="202"/>
        <item x="203"/>
        <item x="206"/>
        <item x="205"/>
        <item x="204"/>
        <item x="207"/>
        <item x="208"/>
        <item x="209"/>
        <item x="210"/>
        <item x="211"/>
        <item x="212"/>
        <item x="213"/>
        <item x="214"/>
        <item x="215"/>
        <item x="217"/>
        <item x="216"/>
        <item x="219"/>
        <item x="218"/>
        <item x="220"/>
        <item x="221"/>
        <item x="222"/>
        <item x="223"/>
        <item x="224"/>
        <item x="225"/>
        <item x="226"/>
        <item x="228"/>
        <item x="227"/>
        <item x="229"/>
        <item x="230"/>
        <item x="232"/>
        <item x="231"/>
        <item x="233"/>
        <item x="236"/>
        <item x="238"/>
        <item x="235"/>
        <item x="237"/>
        <item x="234"/>
        <item x="239"/>
        <item x="240"/>
        <item x="242"/>
        <item x="241"/>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3"/>
        <item x="272"/>
        <item x="274"/>
        <item x="275"/>
        <item x="278"/>
        <item x="277"/>
        <item x="280"/>
        <item x="279"/>
        <item x="276"/>
        <item x="282"/>
        <item x="281"/>
        <item x="6"/>
        <item x="284"/>
        <item x="285"/>
        <item x="288"/>
        <item x="286"/>
        <item x="287"/>
        <item x="289"/>
        <item x="290"/>
        <item x="291"/>
        <item x="292"/>
        <item x="293"/>
        <item x="294"/>
        <item x="295"/>
        <item x="298"/>
        <item x="297"/>
        <item x="296"/>
        <item x="130"/>
        <item x="131"/>
        <item x="299"/>
        <item x="301"/>
        <item x="300"/>
        <item x="302"/>
        <item x="303"/>
        <item x="305"/>
        <item x="304"/>
        <item x="306"/>
        <item x="307"/>
        <item x="117"/>
        <item x="308"/>
        <item x="310"/>
        <item x="309"/>
        <item x="311"/>
        <item x="312"/>
        <item x="313"/>
        <item x="314"/>
        <item x="315"/>
        <item x="316"/>
        <item x="317"/>
        <item x="318"/>
        <item x="319"/>
        <item x="320"/>
        <item x="321"/>
        <item x="322"/>
        <item x="323"/>
        <item x="324"/>
        <item x="325"/>
        <item x="326"/>
        <item x="327"/>
        <item x="328"/>
        <item x="330"/>
        <item x="329"/>
        <item x="331"/>
        <item x="332"/>
        <item x="333"/>
        <item x="334"/>
        <item x="335"/>
        <item x="336"/>
        <item x="337"/>
        <item x="338"/>
        <item x="339"/>
        <item x="340"/>
        <item x="341"/>
        <item x="342"/>
        <item x="343"/>
        <item x="344"/>
        <item x="352"/>
        <item x="345"/>
        <item x="346"/>
        <item x="347"/>
        <item x="348"/>
        <item x="349"/>
        <item x="350"/>
        <item x="351"/>
        <item x="353"/>
        <item x="354"/>
        <item x="355"/>
        <item t="default"/>
      </items>
    </pivotField>
    <pivotField showAll="0"/>
    <pivotField showAll="0"/>
    <pivotField showAll="0"/>
    <pivotField showAll="0"/>
    <pivotField showAll="0"/>
    <pivotField showAll="0"/>
    <pivotField showAll="0" defaultSubtotal="0"/>
    <pivotField showAll="0"/>
    <pivotField showAll="0" defaultSubtotal="0"/>
    <pivotField showAll="0" defaultSubtotal="0"/>
    <pivotField showAll="0"/>
    <pivotField showAll="0"/>
    <pivotField showAll="0"/>
    <pivotField showAll="0"/>
    <pivotField showAll="0"/>
    <pivotField showAll="0"/>
    <pivotField showAll="0"/>
    <pivotField showAll="0" defaultSubtotal="0"/>
    <pivotField showAll="0" defaultSubtotal="0"/>
    <pivotField showAll="0" defaultSubtotal="0"/>
    <pivotField showAll="0"/>
    <pivotField showAll="0"/>
    <pivotField showAll="0"/>
    <pivotField showAll="0"/>
    <pivotField showAll="0"/>
    <pivotField axis="axisRow" showAll="0" sortType="ascending">
      <items count="47">
        <item sd="0" x="3"/>
        <item sd="0" x="1"/>
        <item sd="0" x="17"/>
        <item sd="0" x="9"/>
        <item sd="0" x="31"/>
        <item sd="0" x="21"/>
        <item sd="0" x="12"/>
        <item sd="0" x="41"/>
        <item sd="0" x="13"/>
        <item sd="0" x="40"/>
        <item sd="0" x="33"/>
        <item sd="0" x="6"/>
        <item sd="0" x="37"/>
        <item sd="0" x="23"/>
        <item sd="0" x="34"/>
        <item sd="0" x="27"/>
        <item sd="0" x="10"/>
        <item sd="0" x="36"/>
        <item sd="0" x="14"/>
        <item sd="0" x="26"/>
        <item sd="0" x="15"/>
        <item sd="0" x="20"/>
        <item sd="0" x="0"/>
        <item sd="0" x="43"/>
        <item sd="0" x="29"/>
        <item sd="0" x="7"/>
        <item sd="0" x="35"/>
        <item sd="0" x="19"/>
        <item sd="0" x="18"/>
        <item sd="0" x="28"/>
        <item sd="0" x="45"/>
        <item sd="0" x="24"/>
        <item sd="0" x="4"/>
        <item sd="0" x="39"/>
        <item sd="0" x="38"/>
        <item sd="0" x="30"/>
        <item sd="0" x="11"/>
        <item sd="0" x="22"/>
        <item sd="0" x="25"/>
        <item sd="0" x="16"/>
        <item sd="0" x="42"/>
        <item sd="0" x="8"/>
        <item sd="0" x="44"/>
        <item sd="0" x="32"/>
        <item sd="0" x="5"/>
        <item sd="0" x="2"/>
        <item t="default" sd="0"/>
      </items>
    </pivotField>
    <pivotField dataField="1" showAll="0"/>
    <pivotField dataField="1" showAll="0"/>
    <pivotField dataField="1" numFmtId="43" showAll="0"/>
    <pivotField dataField="1" numFmtId="43" showAll="0"/>
    <pivotField dataField="1"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dataField="1" numFmtId="43" showAll="0"/>
    <pivotField dataField="1" numFmtId="43" showAll="0"/>
    <pivotField dataField="1" numFmtId="43" showAll="0"/>
    <pivotField dataField="1" numFmtId="43" showAll="0"/>
    <pivotField dataField="1" numFmtId="43" showAll="0"/>
    <pivotField dataField="1" numFmtId="43" showAll="0"/>
    <pivotField dataField="1" numFmtId="43" showAll="0"/>
    <pivotField dataField="1" numFmtId="43" showAll="0"/>
    <pivotField dataField="1" numFmtId="43" showAll="0"/>
    <pivotField dataField="1" numFmtId="43" showAll="0"/>
    <pivotField dataField="1" numFmtId="43" showAll="0"/>
    <pivotField dataField="1" numFmtId="43" showAll="0"/>
    <pivotField dataField="1" numFmtId="43" showAll="0"/>
    <pivotField dataField="1" numFmtId="43" showAll="0"/>
    <pivotField dataField="1" numFmtId="43" showAll="0"/>
    <pivotField dataField="1" numFmtId="43" showAll="0"/>
    <pivotField numFmtId="43" showAll="0"/>
    <pivotField numFmtId="43" showAll="0" defaultSubtotal="0"/>
    <pivotField showAll="0" defaultSubtotal="0"/>
  </pivotFields>
  <rowFields count="2">
    <field x="34"/>
    <field x="8"/>
  </rowFields>
  <rowItems count="47">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t="grand">
      <x/>
    </i>
  </rowItems>
  <colFields count="1">
    <field x="-2"/>
  </colFields>
  <colItems count="21">
    <i>
      <x/>
    </i>
    <i i="1">
      <x v="1"/>
    </i>
    <i i="2">
      <x v="2"/>
    </i>
    <i i="3">
      <x v="3"/>
    </i>
    <i i="4">
      <x v="4"/>
    </i>
    <i i="5">
      <x v="5"/>
    </i>
    <i i="6">
      <x v="6"/>
    </i>
    <i i="7">
      <x v="7"/>
    </i>
    <i i="8">
      <x v="8"/>
    </i>
    <i i="9">
      <x v="9"/>
    </i>
    <i i="10">
      <x v="10"/>
    </i>
    <i i="11">
      <x v="11"/>
    </i>
    <i i="12">
      <x v="12"/>
    </i>
    <i i="13">
      <x v="13"/>
    </i>
    <i i="14">
      <x v="14"/>
    </i>
    <i i="15">
      <x v="15"/>
    </i>
    <i i="16">
      <x v="16"/>
    </i>
    <i i="17">
      <x v="17"/>
    </i>
    <i i="18">
      <x v="18"/>
    </i>
    <i i="19">
      <x v="19"/>
    </i>
    <i i="20">
      <x v="20"/>
    </i>
  </colItems>
  <dataFields count="21">
    <dataField name="Média de TOTAL AM" fld="71" subtotal="average" baseField="34" baseItem="31"/>
    <dataField name="BA " fld="67" subtotal="average" baseField="23" baseItem="0"/>
    <dataField name="CE " fld="68" subtotal="average" baseField="23" baseItem="0"/>
    <dataField name="DF " fld="66" subtotal="average" baseField="23" baseItem="0"/>
    <dataField name="ES " fld="62" subtotal="average" baseField="23" baseItem="0"/>
    <dataField name="GO " fld="63" subtotal="average" baseField="23" baseItem="0"/>
    <dataField name="MG " fld="61" subtotal="average" baseField="23" baseItem="0"/>
    <dataField name="MS " fld="65" subtotal="average" baseField="23" baseItem="0"/>
    <dataField name="MT " fld="64" subtotal="average" baseField="23" baseItem="0"/>
    <dataField name="PA " fld="70" subtotal="average" baseField="23" baseItem="0"/>
    <dataField name="PE " fld="69" subtotal="average" baseField="23" baseItem="0"/>
    <dataField name="PR " fld="57" subtotal="average" baseField="23" baseItem="0"/>
    <dataField name="RJ " fld="60" subtotal="average" baseField="23" baseItem="0"/>
    <dataField name="RS " fld="59" subtotal="average" baseField="23" baseItem="0" numFmtId="3"/>
    <dataField name="SC " fld="58" subtotal="average" baseField="23" baseItem="0"/>
    <dataField name="SP " fld="56" subtotal="average" baseField="23" baseItem="6"/>
    <dataField name="COFINS " fld="36" subtotal="average" baseField="23" baseItem="0"/>
    <dataField name="FOLHA" fld="37" subtotal="average" baseField="23" baseItem="0"/>
    <dataField name="OUTROS " fld="39" subtotal="average" baseField="23" baseItem="0"/>
    <dataField name="PIS " fld="35" subtotal="average" baseField="23" baseItem="0"/>
    <dataField name="LUCRO" fld="38" subtotal="average" baseField="23" baseItem="0"/>
  </dataFields>
  <formats count="27">
    <format dxfId="229">
      <pivotArea dataOnly="0" labelOnly="1" outline="0" fieldPosition="0">
        <references count="1">
          <reference field="4294967294" count="1">
            <x v="15"/>
          </reference>
        </references>
      </pivotArea>
    </format>
    <format dxfId="228">
      <pivotArea dataOnly="0" labelOnly="1" outline="0" fieldPosition="0">
        <references count="1">
          <reference field="4294967294" count="1">
            <x v="15"/>
          </reference>
        </references>
      </pivotArea>
    </format>
    <format dxfId="227">
      <pivotArea outline="0" fieldPosition="0"/>
    </format>
    <format dxfId="226">
      <pivotArea dataOnly="0" labelOnly="1" outline="0" fieldPosition="0">
        <references count="1">
          <reference field="4294967294" count="15">
            <x v="0"/>
            <x v="1"/>
            <x v="2"/>
            <x v="3"/>
            <x v="4"/>
            <x v="5"/>
            <x v="6"/>
            <x v="7"/>
            <x v="8"/>
            <x v="9"/>
            <x v="10"/>
            <x v="11"/>
            <x v="12"/>
            <x v="14"/>
            <x v="15"/>
          </reference>
        </references>
      </pivotArea>
    </format>
    <format dxfId="225">
      <pivotArea outline="0" fieldPosition="0"/>
    </format>
    <format dxfId="224">
      <pivotArea dataOnly="0" outline="0" fieldPosition="0">
        <references count="1">
          <reference field="4294967294" count="15">
            <x v="0"/>
            <x v="1"/>
            <x v="2"/>
            <x v="3"/>
            <x v="4"/>
            <x v="5"/>
            <x v="6"/>
            <x v="7"/>
            <x v="8"/>
            <x v="9"/>
            <x v="10"/>
            <x v="11"/>
            <x v="12"/>
            <x v="14"/>
            <x v="15"/>
          </reference>
        </references>
      </pivotArea>
    </format>
    <format dxfId="223">
      <pivotArea field="34" type="button" dataOnly="0" labelOnly="1" outline="0" axis="axisRow" fieldPosition="0"/>
    </format>
    <format dxfId="222">
      <pivotArea dataOnly="0" labelOnly="1" outline="0" fieldPosition="0">
        <references count="1">
          <reference field="4294967294" count="15">
            <x v="0"/>
            <x v="1"/>
            <x v="2"/>
            <x v="3"/>
            <x v="4"/>
            <x v="5"/>
            <x v="6"/>
            <x v="7"/>
            <x v="8"/>
            <x v="9"/>
            <x v="10"/>
            <x v="11"/>
            <x v="12"/>
            <x v="14"/>
            <x v="15"/>
          </reference>
        </references>
      </pivotArea>
    </format>
    <format dxfId="221">
      <pivotArea field="34" type="button" dataOnly="0" labelOnly="1" outline="0" axis="axisRow" fieldPosition="0"/>
    </format>
    <format dxfId="220">
      <pivotArea dataOnly="0" labelOnly="1" outline="0" fieldPosition="0">
        <references count="1">
          <reference field="4294967294" count="15">
            <x v="0"/>
            <x v="1"/>
            <x v="2"/>
            <x v="3"/>
            <x v="4"/>
            <x v="5"/>
            <x v="6"/>
            <x v="7"/>
            <x v="8"/>
            <x v="9"/>
            <x v="10"/>
            <x v="11"/>
            <x v="12"/>
            <x v="14"/>
            <x v="15"/>
          </reference>
        </references>
      </pivotArea>
    </format>
    <format dxfId="219">
      <pivotArea field="34" type="button" dataOnly="0" labelOnly="1" outline="0" axis="axisRow" fieldPosition="0"/>
    </format>
    <format dxfId="218">
      <pivotArea dataOnly="0" labelOnly="1" outline="0" fieldPosition="0">
        <references count="1">
          <reference field="4294967294" count="15">
            <x v="0"/>
            <x v="1"/>
            <x v="2"/>
            <x v="3"/>
            <x v="4"/>
            <x v="5"/>
            <x v="6"/>
            <x v="7"/>
            <x v="8"/>
            <x v="9"/>
            <x v="10"/>
            <x v="11"/>
            <x v="12"/>
            <x v="14"/>
            <x v="15"/>
          </reference>
        </references>
      </pivotArea>
    </format>
    <format dxfId="217">
      <pivotArea field="34" type="button" dataOnly="0" labelOnly="1" outline="0" axis="axisRow" fieldPosition="0"/>
    </format>
    <format dxfId="216">
      <pivotArea dataOnly="0" labelOnly="1" outline="0" fieldPosition="0">
        <references count="1">
          <reference field="4294967294" count="15">
            <x v="0"/>
            <x v="1"/>
            <x v="2"/>
            <x v="3"/>
            <x v="4"/>
            <x v="5"/>
            <x v="6"/>
            <x v="7"/>
            <x v="8"/>
            <x v="9"/>
            <x v="10"/>
            <x v="11"/>
            <x v="12"/>
            <x v="14"/>
            <x v="15"/>
          </reference>
        </references>
      </pivotArea>
    </format>
    <format dxfId="215">
      <pivotArea field="34" type="button" dataOnly="0" labelOnly="1" outline="0" axis="axisRow" fieldPosition="0"/>
    </format>
    <format dxfId="214">
      <pivotArea dataOnly="0" labelOnly="1" outline="0" fieldPosition="0">
        <references count="1">
          <reference field="4294967294" count="15">
            <x v="0"/>
            <x v="1"/>
            <x v="2"/>
            <x v="3"/>
            <x v="4"/>
            <x v="5"/>
            <x v="6"/>
            <x v="7"/>
            <x v="8"/>
            <x v="9"/>
            <x v="10"/>
            <x v="11"/>
            <x v="12"/>
            <x v="14"/>
            <x v="15"/>
          </reference>
        </references>
      </pivotArea>
    </format>
    <format dxfId="213">
      <pivotArea field="34" type="button" dataOnly="0" labelOnly="1" outline="0" axis="axisRow" fieldPosition="0"/>
    </format>
    <format dxfId="212">
      <pivotArea dataOnly="0" labelOnly="1" outline="0" fieldPosition="0">
        <references count="1">
          <reference field="4294967294" count="15">
            <x v="0"/>
            <x v="1"/>
            <x v="2"/>
            <x v="3"/>
            <x v="4"/>
            <x v="5"/>
            <x v="6"/>
            <x v="7"/>
            <x v="8"/>
            <x v="9"/>
            <x v="10"/>
            <x v="11"/>
            <x v="12"/>
            <x v="14"/>
            <x v="15"/>
          </reference>
        </references>
      </pivotArea>
    </format>
    <format dxfId="211">
      <pivotArea outline="0" fieldPosition="0">
        <references count="1">
          <reference field="4294967294" count="1">
            <x v="13"/>
          </reference>
        </references>
      </pivotArea>
    </format>
    <format dxfId="210">
      <pivotArea field="34" type="button" dataOnly="0" labelOnly="1" outline="0" axis="axisRow" fieldPosition="0"/>
    </format>
    <format dxfId="209">
      <pivotArea dataOnly="0" labelOnly="1" outline="0" fieldPosition="0">
        <references count="1">
          <reference field="4294967294" count="16">
            <x v="0"/>
            <x v="1"/>
            <x v="2"/>
            <x v="3"/>
            <x v="4"/>
            <x v="5"/>
            <x v="6"/>
            <x v="7"/>
            <x v="8"/>
            <x v="9"/>
            <x v="10"/>
            <x v="11"/>
            <x v="12"/>
            <x v="13"/>
            <x v="14"/>
            <x v="15"/>
          </reference>
        </references>
      </pivotArea>
    </format>
    <format dxfId="208">
      <pivotArea field="34" type="button" dataOnly="0" labelOnly="1" outline="0" axis="axisRow" fieldPosition="0"/>
    </format>
    <format dxfId="207">
      <pivotArea dataOnly="0" labelOnly="1" outline="0" fieldPosition="0">
        <references count="1">
          <reference field="4294967294" count="16">
            <x v="0"/>
            <x v="1"/>
            <x v="2"/>
            <x v="3"/>
            <x v="4"/>
            <x v="5"/>
            <x v="6"/>
            <x v="7"/>
            <x v="8"/>
            <x v="9"/>
            <x v="10"/>
            <x v="11"/>
            <x v="12"/>
            <x v="13"/>
            <x v="14"/>
            <x v="15"/>
          </reference>
        </references>
      </pivotArea>
    </format>
    <format dxfId="206">
      <pivotArea field="34" type="button" dataOnly="0" labelOnly="1" outline="0" axis="axisRow" fieldPosition="0"/>
    </format>
    <format dxfId="205">
      <pivotArea field="34" type="button" dataOnly="0" labelOnly="1" outline="0" axis="axisRow" fieldPosition="0"/>
    </format>
    <format dxfId="204">
      <pivotArea dataOnly="0" labelOnly="1" outline="0" fieldPosition="0">
        <references count="1">
          <reference field="4294967294" count="16">
            <x v="0"/>
            <x v="1"/>
            <x v="2"/>
            <x v="3"/>
            <x v="4"/>
            <x v="5"/>
            <x v="6"/>
            <x v="7"/>
            <x v="8"/>
            <x v="9"/>
            <x v="10"/>
            <x v="11"/>
            <x v="12"/>
            <x v="13"/>
            <x v="14"/>
            <x v="15"/>
          </reference>
        </references>
      </pivotArea>
    </format>
    <format dxfId="203">
      <pivotArea dataOnly="0" outline="0" fieldPosition="0">
        <references count="1">
          <reference field="4294967294" count="21">
            <x v="0"/>
            <x v="1"/>
            <x v="2"/>
            <x v="3"/>
            <x v="4"/>
            <x v="5"/>
            <x v="6"/>
            <x v="7"/>
            <x v="8"/>
            <x v="9"/>
            <x v="10"/>
            <x v="11"/>
            <x v="12"/>
            <x v="13"/>
            <x v="14"/>
            <x v="15"/>
            <x v="16"/>
            <x v="17"/>
            <x v="18"/>
            <x v="19"/>
            <x v="20"/>
          </reference>
        </references>
      </pivotArea>
    </format>
  </formats>
  <pivotTableStyleInfo name="PivotStyleMedium9" showRowHeaders="1" showColHeaders="1" showRowStripes="0" showColStripes="0" showLastColumn="1"/>
</pivotTableDefinition>
</file>

<file path=xl/pivotTables/pivotTable3.xml><?xml version="1.0" encoding="utf-8"?>
<pivotTableDefinition xmlns="http://schemas.openxmlformats.org/spreadsheetml/2006/main" name="Tabela dinâmica1" cacheId="0" applyNumberFormats="0" applyBorderFormats="0" applyFontFormats="0" applyPatternFormats="0" applyAlignmentFormats="0" applyWidthHeightFormats="1" dataCaption="Valores" updatedVersion="5" minRefreshableVersion="3" itemPrintTitles="1" createdVersion="5" indent="0" outline="1" outlineData="1" multipleFieldFilters="0" rowHeaderCaption="VISÃO DOENÇA E LABORATÓRIO">
  <location ref="A6:D83" firstHeaderRow="1" firstDataRow="2" firstDataCol="1"/>
  <pivotFields count="75">
    <pivotField showAll="0"/>
    <pivotField showAll="0"/>
    <pivotField showAll="0" defaultSubtotal="0"/>
    <pivotField showAll="0" defaultSubtotal="0"/>
    <pivotField showAll="0" defaultSubtotal="0"/>
    <pivotField showAll="0" defaultSubtotal="0"/>
    <pivotField showAll="0" defaultSubtotal="0"/>
    <pivotField axis="axisRow" showAll="0" defaultSubtotal="0">
      <items count="287">
        <item sd="0" x="0"/>
        <item sd="0" x="1"/>
        <item sd="0" x="2"/>
        <item sd="0" x="3"/>
        <item sd="0" x="4"/>
        <item sd="0" x="5"/>
        <item sd="0" x="6"/>
        <item sd="0" x="7"/>
        <item sd="0" x="8"/>
        <item sd="0" x="9"/>
        <item sd="0" x="10"/>
        <item sd="0" x="11"/>
        <item sd="0" x="12"/>
        <item sd="0" x="13"/>
        <item sd="0" x="14"/>
        <item sd="0" x="15"/>
        <item sd="0" x="16"/>
        <item sd="0" x="17"/>
        <item sd="0" x="18"/>
        <item sd="0" x="19"/>
        <item sd="0" x="20"/>
        <item sd="0" x="21"/>
        <item sd="0" x="22"/>
        <item sd="0" x="23"/>
        <item sd="0" x="24"/>
        <item sd="0" x="25"/>
        <item sd="0" x="26"/>
        <item sd="0" x="27"/>
        <item sd="0" x="28"/>
        <item sd="0" x="29"/>
        <item sd="0" x="30"/>
        <item sd="0" x="31"/>
        <item sd="0" x="32"/>
        <item sd="0" x="33"/>
        <item sd="0" x="34"/>
        <item sd="0" x="35"/>
        <item sd="0" x="36"/>
        <item sd="0" x="37"/>
        <item sd="0" x="38"/>
        <item sd="0" x="39"/>
        <item sd="0" x="40"/>
        <item sd="0" x="41"/>
        <item sd="0" x="42"/>
        <item sd="0" x="43"/>
        <item sd="0" x="44"/>
        <item sd="0" x="45"/>
        <item sd="0" x="46"/>
        <item sd="0" x="47"/>
        <item sd="0" x="48"/>
        <item sd="0" x="49"/>
        <item sd="0" x="50"/>
        <item sd="0" x="51"/>
        <item sd="0" x="52"/>
        <item sd="0" x="53"/>
        <item sd="0" x="54"/>
        <item sd="0" x="55"/>
        <item sd="0" x="56"/>
        <item sd="0" x="57"/>
        <item sd="0" x="58"/>
        <item sd="0" x="59"/>
        <item sd="0" x="60"/>
        <item sd="0" x="61"/>
        <item sd="0" x="62"/>
        <item sd="0" x="63"/>
        <item sd="0" x="64"/>
        <item sd="0" x="65"/>
        <item sd="0" x="66"/>
        <item sd="0" x="67"/>
        <item sd="0" x="68"/>
        <item sd="0" x="69"/>
        <item sd="0" x="70"/>
        <item sd="0" x="71"/>
        <item sd="0" x="72"/>
        <item sd="0" x="73"/>
        <item sd="0" x="74"/>
        <item sd="0" x="75"/>
        <item sd="0" x="76"/>
        <item sd="0" x="77"/>
        <item sd="0" x="78"/>
        <item sd="0" x="79"/>
        <item sd="0" x="80"/>
        <item sd="0" x="81"/>
        <item sd="0" x="82"/>
        <item sd="0" x="83"/>
        <item sd="0" x="84"/>
        <item sd="0" x="85"/>
        <item sd="0" x="86"/>
        <item sd="0" x="87"/>
        <item sd="0" x="88"/>
        <item sd="0" x="89"/>
        <item sd="0" x="90"/>
        <item sd="0" x="91"/>
        <item sd="0" x="92"/>
        <item sd="0" x="93"/>
        <item sd="0" x="94"/>
        <item sd="0" x="95"/>
        <item sd="0" x="96"/>
        <item sd="0" x="97"/>
        <item sd="0" x="98"/>
        <item sd="0" x="99"/>
        <item sd="0" x="100"/>
        <item sd="0" x="101"/>
        <item sd="0" x="102"/>
        <item sd="0" x="103"/>
        <item sd="0" x="104"/>
        <item sd="0" x="105"/>
        <item sd="0" x="106"/>
        <item sd="0" x="107"/>
        <item sd="0" x="108"/>
        <item sd="0" x="109"/>
        <item sd="0" x="110"/>
        <item sd="0" x="111"/>
        <item sd="0" x="112"/>
        <item sd="0" x="113"/>
        <item sd="0" x="114"/>
        <item sd="0" x="115"/>
        <item sd="0" x="116"/>
        <item sd="0" x="117"/>
        <item sd="0" x="118"/>
        <item sd="0" x="119"/>
        <item sd="0" x="120"/>
        <item sd="0" x="121"/>
        <item sd="0" x="122"/>
        <item sd="0" x="123"/>
        <item sd="0" x="124"/>
        <item sd="0" x="125"/>
        <item sd="0" x="126"/>
        <item sd="0" x="127"/>
        <item sd="0" x="128"/>
        <item sd="0" x="129"/>
        <item sd="0" x="130"/>
        <item sd="0" x="131"/>
        <item sd="0" x="132"/>
        <item sd="0" x="133"/>
        <item sd="0" x="134"/>
        <item sd="0" x="135"/>
        <item sd="0" x="136"/>
        <item sd="0" x="137"/>
        <item sd="0" x="138"/>
        <item sd="0" x="139"/>
        <item sd="0" x="140"/>
        <item sd="0" x="141"/>
        <item sd="0" x="142"/>
        <item sd="0" x="143"/>
        <item sd="0" x="144"/>
        <item sd="0" x="145"/>
        <item sd="0" x="146"/>
        <item sd="0" x="147"/>
        <item sd="0" x="148"/>
        <item sd="0" x="149"/>
        <item sd="0" x="150"/>
        <item sd="0" x="151"/>
        <item sd="0" x="152"/>
        <item sd="0" x="153"/>
        <item sd="0" x="154"/>
        <item sd="0" x="155"/>
        <item sd="0" x="156"/>
        <item sd="0" x="157"/>
        <item sd="0" x="158"/>
        <item sd="0" x="159"/>
        <item sd="0" x="160"/>
        <item sd="0" x="161"/>
        <item sd="0" x="162"/>
        <item sd="0" x="163"/>
        <item sd="0" x="164"/>
        <item sd="0" x="165"/>
        <item sd="0" x="166"/>
        <item sd="0" x="167"/>
        <item sd="0" x="168"/>
        <item sd="0" x="169"/>
        <item sd="0" x="170"/>
        <item sd="0" x="171"/>
        <item sd="0" x="172"/>
        <item sd="0" x="173"/>
        <item sd="0" x="174"/>
        <item sd="0" x="175"/>
        <item sd="0" x="176"/>
        <item sd="0" x="177"/>
        <item sd="0" x="178"/>
        <item sd="0" x="179"/>
        <item sd="0" x="180"/>
        <item sd="0" x="181"/>
        <item sd="0" x="182"/>
        <item sd="0" x="183"/>
        <item sd="0" x="184"/>
        <item sd="0" x="185"/>
        <item sd="0" x="186"/>
        <item sd="0" x="187"/>
        <item sd="0" x="188"/>
        <item sd="0" x="189"/>
        <item sd="0" x="190"/>
        <item sd="0" x="191"/>
        <item sd="0" x="192"/>
        <item sd="0" x="193"/>
        <item sd="0" x="194"/>
        <item sd="0" x="195"/>
        <item sd="0" x="196"/>
        <item sd="0" x="197"/>
        <item sd="0" x="198"/>
        <item sd="0" x="199"/>
        <item sd="0" x="200"/>
        <item sd="0" x="201"/>
        <item sd="0" x="202"/>
        <item sd="0" x="203"/>
        <item sd="0" x="204"/>
        <item sd="0" x="205"/>
        <item sd="0" x="206"/>
        <item sd="0" x="207"/>
        <item sd="0" x="208"/>
        <item sd="0" x="209"/>
        <item sd="0" x="210"/>
        <item sd="0" x="211"/>
        <item sd="0" x="212"/>
        <item sd="0" x="213"/>
        <item sd="0" x="214"/>
        <item sd="0" x="215"/>
        <item sd="0" x="216"/>
        <item sd="0" x="217"/>
        <item sd="0" x="218"/>
        <item sd="0" x="219"/>
        <item sd="0" x="220"/>
        <item sd="0" x="221"/>
        <item sd="0" x="222"/>
        <item sd="0" x="223"/>
        <item sd="0" x="224"/>
        <item sd="0" x="225"/>
        <item sd="0" x="226"/>
        <item sd="0" x="227"/>
        <item sd="0" x="228"/>
        <item sd="0" x="229"/>
        <item sd="0" x="230"/>
        <item sd="0" x="231"/>
        <item sd="0" x="232"/>
        <item sd="0" x="233"/>
        <item sd="0" x="234"/>
        <item sd="0" x="235"/>
        <item sd="0" x="236"/>
        <item sd="0" x="237"/>
        <item sd="0" x="238"/>
        <item sd="0" x="239"/>
        <item sd="0" x="240"/>
        <item sd="0" x="241"/>
        <item sd="0" x="242"/>
        <item sd="0" x="243"/>
        <item sd="0" x="244"/>
        <item sd="0" x="245"/>
        <item sd="0" x="246"/>
        <item sd="0" x="247"/>
        <item sd="0" x="248"/>
        <item sd="0" x="249"/>
        <item sd="0" x="250"/>
        <item sd="0" x="251"/>
        <item sd="0" x="252"/>
        <item sd="0" x="253"/>
        <item sd="0" x="254"/>
        <item sd="0" x="255"/>
        <item sd="0" x="256"/>
        <item sd="0" x="257"/>
        <item sd="0" x="258"/>
        <item sd="0" x="259"/>
        <item sd="0" x="260"/>
        <item sd="0" x="261"/>
        <item sd="0" x="262"/>
        <item sd="0" x="263"/>
        <item sd="0" x="264"/>
        <item sd="0" x="265"/>
        <item sd="0" x="266"/>
        <item sd="0" x="267"/>
        <item sd="0" x="268"/>
        <item sd="0" x="269"/>
        <item sd="0" x="270"/>
        <item sd="0" x="271"/>
        <item sd="0" x="272"/>
        <item sd="0" x="273"/>
        <item sd="0" x="274"/>
        <item sd="0" x="275"/>
        <item sd="0" x="276"/>
        <item sd="0" x="277"/>
        <item sd="0" x="278"/>
        <item sd="0" x="279"/>
        <item sd="0" x="280"/>
        <item sd="0" x="281"/>
        <item sd="0" x="282"/>
        <item sd="0" x="283"/>
        <item sd="0" x="284"/>
        <item sd="0" x="285"/>
        <item sd="0" x="286"/>
      </items>
    </pivotField>
    <pivotField showAll="0"/>
    <pivotField showAll="0"/>
    <pivotField showAll="0"/>
    <pivotField showAll="0"/>
    <pivotField showAll="0"/>
    <pivotField showAll="0"/>
    <pivotField showAll="0"/>
    <pivotField showAll="0" defaultSubtotal="0"/>
    <pivotField axis="axisRow" showAll="0" rankBy="0">
      <items count="81">
        <item sd="0" x="9"/>
        <item sd="0" x="11"/>
        <item sd="0" x="26"/>
        <item sd="0" x="16"/>
        <item sd="0" m="1" x="76"/>
        <item sd="0" x="13"/>
        <item sd="0" m="1" x="75"/>
        <item sd="0" x="40"/>
        <item sd="0" x="74"/>
        <item sd="0" x="58"/>
        <item sd="0" x="70"/>
        <item sd="0" x="20"/>
        <item sd="0" x="69"/>
        <item sd="0" x="71"/>
        <item sd="0" x="21"/>
        <item sd="0" x="31"/>
        <item sd="0" m="1" x="79"/>
        <item sd="0" x="45"/>
        <item sd="0" x="36"/>
        <item sd="0" x="34"/>
        <item sd="0" x="59"/>
        <item sd="0" x="28"/>
        <item sd="0" x="50"/>
        <item sd="0" x="0"/>
        <item sd="0" m="1" x="77"/>
        <item sd="0" x="2"/>
        <item sd="0" x="23"/>
        <item sd="0" m="1" x="78"/>
        <item sd="0" x="55"/>
        <item sd="0" x="17"/>
        <item sd="0" x="37"/>
        <item sd="0" x="63"/>
        <item sd="0" x="68"/>
        <item sd="0" x="61"/>
        <item sd="0" x="25"/>
        <item sd="0" x="66"/>
        <item sd="0" x="44"/>
        <item sd="0" x="51"/>
        <item sd="0" x="27"/>
        <item sd="0" x="8"/>
        <item sd="0" x="19"/>
        <item sd="0" x="33"/>
        <item sd="0" x="43"/>
        <item sd="0" x="12"/>
        <item sd="0" x="72"/>
        <item sd="0" x="15"/>
        <item sd="0" x="41"/>
        <item sd="0" x="49"/>
        <item sd="0" x="54"/>
        <item sd="0" x="22"/>
        <item sd="0" x="30"/>
        <item sd="0" x="57"/>
        <item sd="0" x="35"/>
        <item sd="0" x="52"/>
        <item sd="0" x="48"/>
        <item sd="0" x="60"/>
        <item sd="0" x="62"/>
        <item sd="0" x="32"/>
        <item sd="0" x="7"/>
        <item sd="0" x="14"/>
        <item sd="0" x="73"/>
        <item sd="0" x="56"/>
        <item sd="0" x="64"/>
        <item sd="0" x="10"/>
        <item sd="0" x="6"/>
        <item sd="0" x="38"/>
        <item sd="0" x="18"/>
        <item sd="0" x="42"/>
        <item sd="0" x="1"/>
        <item sd="0" x="47"/>
        <item sd="0" x="46"/>
        <item sd="0" x="29"/>
        <item sd="0" x="53"/>
        <item sd="0" x="67"/>
        <item sd="0" x="5"/>
        <item sd="0" x="3"/>
        <item sd="0" x="4"/>
        <item sd="0" x="65"/>
        <item sd="0" x="24"/>
        <item sd="0" x="39"/>
        <item t="default" sd="0"/>
      </items>
    </pivotField>
    <pivotField showAll="0" defaultSubtotal="0"/>
    <pivotField showAll="0" defaultSubtotal="0"/>
    <pivotField showAll="0"/>
    <pivotField showAll="0"/>
    <pivotField showAll="0"/>
    <pivotField showAll="0"/>
    <pivotField showAll="0"/>
    <pivotField showAll="0"/>
    <pivotField showAll="0"/>
    <pivotField showAll="0" defaultSubtotal="0"/>
    <pivotField showAll="0" defaultSubtotal="0"/>
    <pivotField showAll="0" defaultSubtotal="0"/>
    <pivotField showAll="0"/>
    <pivotField showAll="0"/>
    <pivotField dataField="1" showAll="0"/>
    <pivotField dataField="1" showAll="0"/>
    <pivotField dataField="1" showAll="0"/>
    <pivotField showAll="0" rankBy="0">
      <items count="47">
        <item sd="0" x="3"/>
        <item sd="0" x="1"/>
        <item sd="0" x="17"/>
        <item sd="0" x="9"/>
        <item sd="0" x="31"/>
        <item sd="0" x="21"/>
        <item sd="0" x="12"/>
        <item sd="0" x="41"/>
        <item sd="0" x="13"/>
        <item sd="0" x="40"/>
        <item sd="0" x="33"/>
        <item sd="0" x="6"/>
        <item sd="0" x="37"/>
        <item sd="0" x="23"/>
        <item sd="0" x="34"/>
        <item sd="0" x="27"/>
        <item sd="0" x="10"/>
        <item sd="0" x="36"/>
        <item sd="0" x="14"/>
        <item sd="0" x="26"/>
        <item sd="0" x="15"/>
        <item sd="0" x="20"/>
        <item sd="0" x="0"/>
        <item sd="0" x="43"/>
        <item sd="0" x="29"/>
        <item sd="0" x="7"/>
        <item sd="0" x="35"/>
        <item sd="0" x="19"/>
        <item sd="0" x="18"/>
        <item sd="0" x="28"/>
        <item sd="0" x="45"/>
        <item sd="0" x="24"/>
        <item sd="0" x="4"/>
        <item sd="0" x="39"/>
        <item sd="0" x="38"/>
        <item sd="0" x="30"/>
        <item sd="0" x="11"/>
        <item sd="0" x="22"/>
        <item sd="0" x="25"/>
        <item sd="0" x="16"/>
        <item sd="0" x="42"/>
        <item sd="0" x="8"/>
        <item sd="0" x="44"/>
        <item sd="0" x="32"/>
        <item sd="0" x="5"/>
        <item sd="0" x="2"/>
        <item t="default" sd="0"/>
      </items>
    </pivotField>
    <pivotField showAll="0"/>
    <pivotField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pivotField numFmtId="43" showAll="0" defaultSubtotal="0"/>
    <pivotField showAll="0" defaultSubtotal="0"/>
  </pivotFields>
  <rowFields count="2">
    <field x="16"/>
    <field x="7"/>
  </rowFields>
  <rowItems count="76">
    <i>
      <x/>
    </i>
    <i>
      <x v="1"/>
    </i>
    <i>
      <x v="2"/>
    </i>
    <i>
      <x v="3"/>
    </i>
    <i>
      <x v="5"/>
    </i>
    <i>
      <x v="7"/>
    </i>
    <i>
      <x v="8"/>
    </i>
    <i>
      <x v="9"/>
    </i>
    <i>
      <x v="10"/>
    </i>
    <i>
      <x v="11"/>
    </i>
    <i>
      <x v="12"/>
    </i>
    <i>
      <x v="13"/>
    </i>
    <i>
      <x v="14"/>
    </i>
    <i>
      <x v="15"/>
    </i>
    <i>
      <x v="17"/>
    </i>
    <i>
      <x v="18"/>
    </i>
    <i>
      <x v="19"/>
    </i>
    <i>
      <x v="20"/>
    </i>
    <i>
      <x v="21"/>
    </i>
    <i>
      <x v="22"/>
    </i>
    <i>
      <x v="23"/>
    </i>
    <i>
      <x v="25"/>
    </i>
    <i>
      <x v="26"/>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t="grand">
      <x/>
    </i>
  </rowItems>
  <colFields count="1">
    <field x="-2"/>
  </colFields>
  <colItems count="3">
    <i>
      <x/>
    </i>
    <i i="1">
      <x v="1"/>
    </i>
    <i i="2">
      <x v="2"/>
    </i>
  </colItems>
  <dataFields count="3">
    <dataField name="Unidades (Caixas)" fld="31" baseField="34" baseItem="0" numFmtId="3"/>
    <dataField name="MAT Dólares (US$)" fld="32" baseField="34" baseItem="0" numFmtId="4"/>
    <dataField name="MAT Reais (R$)" fld="33" baseField="34" baseItem="0" numFmtId="4"/>
  </dataFields>
  <formats count="18">
    <format dxfId="111">
      <pivotArea outline="0" collapsedLevelsAreSubtotals="1" fieldPosition="0"/>
    </format>
    <format dxfId="110">
      <pivotArea field="34" type="button" dataOnly="0" labelOnly="1" outline="0"/>
    </format>
    <format dxfId="109">
      <pivotArea field="34" type="button" dataOnly="0" labelOnly="1" outline="0"/>
    </format>
    <format dxfId="108">
      <pivotArea field="34" type="button" dataOnly="0" labelOnly="1" outline="0"/>
    </format>
    <format dxfId="107">
      <pivotArea field="34" type="button" dataOnly="0" labelOnly="1" outline="0"/>
    </format>
    <format dxfId="106">
      <pivotArea field="34" type="button" dataOnly="0" labelOnly="1" outline="0"/>
    </format>
    <format dxfId="105">
      <pivotArea field="34" type="button" dataOnly="0" labelOnly="1" outline="0"/>
    </format>
    <format dxfId="104">
      <pivotArea field="34" type="button" dataOnly="0" labelOnly="1" outline="0"/>
    </format>
    <format dxfId="103">
      <pivotArea field="34" type="button" dataOnly="0" labelOnly="1" outline="0"/>
    </format>
    <format dxfId="102">
      <pivotArea field="34" type="button" dataOnly="0" labelOnly="1" outline="0"/>
    </format>
    <format dxfId="101">
      <pivotArea field="34" type="button" dataOnly="0" labelOnly="1" outline="0"/>
    </format>
    <format dxfId="100">
      <pivotArea outline="0" collapsedLevelsAreSubtotals="1" fieldPosition="0">
        <references count="1">
          <reference field="4294967294" count="1">
            <x v="0"/>
          </reference>
        </references>
      </pivotArea>
    </format>
    <format dxfId="99">
      <pivotArea dataOnly="0" outline="0" collapsedLevelsAreSubtotals="1" fieldPosition="0">
        <references count="1">
          <reference field="4294967294" count="1">
            <x v="0"/>
          </reference>
        </references>
      </pivotArea>
    </format>
    <format dxfId="98">
      <pivotArea dataOnly="0" labelOnly="1" outline="0" fieldPosition="0">
        <references count="1">
          <reference field="4294967294" count="1">
            <x v="0"/>
          </reference>
        </references>
      </pivotArea>
    </format>
    <format dxfId="97">
      <pivotArea outline="0" collapsedLevelsAreSubtotals="1" fieldPosition="0">
        <references count="1">
          <reference field="4294967294" count="1">
            <x v="2"/>
          </reference>
        </references>
      </pivotArea>
    </format>
    <format dxfId="96">
      <pivotArea outline="0" collapsedLevelsAreSubtotals="1" fieldPosition="0">
        <references count="1">
          <reference field="4294967294" count="1">
            <x v="1"/>
          </reference>
        </references>
      </pivotArea>
    </format>
    <format dxfId="95">
      <pivotArea outline="0" collapsedLevelsAreSubtotals="1" fieldPosition="0"/>
    </format>
    <format dxfId="94">
      <pivotArea dataOnly="0" labelOnly="1" outline="0" fieldPosition="0">
        <references count="1">
          <reference field="4294967294" count="3">
            <x v="0"/>
            <x v="1"/>
            <x v="2"/>
          </reference>
        </references>
      </pivotArea>
    </format>
  </formats>
  <pivotTableStyleInfo name="PivotStyleMedium9" showRowHeaders="1" showColHeaders="1" showRowStripes="0" showColStripes="0" showLastColumn="1"/>
</pivotTableDefinition>
</file>

<file path=xl/tables/table1.xml><?xml version="1.0" encoding="utf-8"?>
<table xmlns="http://schemas.openxmlformats.org/spreadsheetml/2006/main" id="3" name="Tabela3" displayName="Tabela3" ref="B2:X460" totalsRowShown="0">
  <autoFilter ref="B2:X460"/>
  <tableColumns count="23">
    <tableColumn id="1" name="id"/>
    <tableColumn id="2" name="NCM"/>
    <tableColumn id="3" name="APRESENTAÇÕES"/>
    <tableColumn id="4" name="SUBSTANCIA"/>
    <tableColumn id="22" name="Colunas1" dataDxfId="333">
      <calculatedColumnFormula>VLOOKUP(JENNIFFER!$B3,#REF!,4,1)</calculatedColumnFormula>
    </tableColumn>
    <tableColumn id="23" name="Colunas2" dataDxfId="332">
      <calculatedColumnFormula>IF(JENNIFFER!$E3="",JENNIFFER!$F3,JENNIFFER!$E3)</calculatedColumnFormula>
    </tableColumn>
    <tableColumn id="5" name="ISENÇÃO DE PIS E COFINS "/>
    <tableColumn id="6" name="DESCRIÇÃO DA _x000a_CLASSE TERAPÊUTICA"/>
    <tableColumn id="7" name="LABORATÓRIOS"/>
    <tableColumn id="8" name="ETICO ou POP"/>
    <tableColumn id="9" name="S / G / M / R"/>
    <tableColumn id="10" name="MAT ~ 05/2014     Unidades (Caixas)"/>
    <tableColumn id="11" name="MAT ~ 05/2014    Dólares (US$)"/>
    <tableColumn id="12" name="MAT ~ 05/2014        Reais (R$)"/>
    <tableColumn id="13" name="GRUPO"/>
    <tableColumn id="14" name="PIS"/>
    <tableColumn id="15" name="COFINS"/>
    <tableColumn id="16" name="CONTRIBUIÇÃO FOLHA"/>
    <tableColumn id="17" name="TRIBUTOS SOBRE LUCRO"/>
    <tableColumn id="18" name="OUTROS"/>
    <tableColumn id="19" name="ICMS"/>
    <tableColumn id="20" name="MVA MÉDIA"/>
    <tableColumn id="21" name="TOTAL"/>
  </tableColumns>
  <tableStyleInfo name="TableStyleMedium9" showFirstColumn="0" showLastColumn="0" showRowStripes="1" showColumnStripes="0"/>
</table>
</file>

<file path=xl/tables/table2.xml><?xml version="1.0" encoding="utf-8"?>
<table xmlns="http://schemas.openxmlformats.org/spreadsheetml/2006/main" id="14" name="Tabela14" displayName="Tabela14" ref="C20:H27" totalsRowShown="0">
  <autoFilter ref="C20:H27"/>
  <tableColumns count="6">
    <tableColumn id="1" name="TABELAS"/>
    <tableColumn id="2" name="REGISTROS"/>
    <tableColumn id="3" name="EAN"/>
    <tableColumn id="4" name="EAN2"/>
    <tableColumn id="5" name="Colunas1" dataCellStyle="Porcentagem"/>
    <tableColumn id="6" name="NFE"/>
  </tableColumns>
  <tableStyleInfo name="TableStyleMedium9" showFirstColumn="0" showLastColumn="0" showRowStripes="1" showColumnStripes="0"/>
</table>
</file>

<file path=xl/tables/table3.xml><?xml version="1.0" encoding="utf-8"?>
<table xmlns="http://schemas.openxmlformats.org/spreadsheetml/2006/main" id="15" name="Tabela15" displayName="Tabela15" ref="C30:D34" totalsRowShown="0">
  <autoFilter ref="C30:D34"/>
  <tableColumns count="2">
    <tableColumn id="1" name="MedicamentoNegPos"/>
    <tableColumn id="2" name="(Nenhum nome de coluna)"/>
  </tableColumns>
  <tableStyleInfo name="TableStyleMedium9" showFirstColumn="0" showLastColumn="0" showRowStripes="1" showColumnStripes="0"/>
</table>
</file>

<file path=xl/tables/table4.xml><?xml version="1.0" encoding="utf-8"?>
<table xmlns="http://schemas.openxmlformats.org/spreadsheetml/2006/main" id="16" name="Tabela16" displayName="Tabela16" ref="C37:D40" totalsRowShown="0">
  <autoFilter ref="C37:D40"/>
  <tableColumns count="2">
    <tableColumn id="1" name="MedicamentoNegPos"/>
    <tableColumn id="2" name="(Nenhum nome de coluna)"/>
  </tableColumns>
  <tableStyleInfo name="TableStyleMedium9" showFirstColumn="0" showLastColumn="0" showRowStripes="1" showColumnStripes="0"/>
</table>
</file>

<file path=xl/tables/table5.xml><?xml version="1.0" encoding="utf-8"?>
<table xmlns="http://schemas.openxmlformats.org/spreadsheetml/2006/main" id="11" name="Tabela112" displayName="Tabela112" ref="C9:AB55" totalsRowShown="0" headerRowDxfId="331" dataDxfId="330">
  <sortState ref="C10:AB56">
    <sortCondition ref="C10"/>
  </sortState>
  <tableColumns count="26">
    <tableColumn id="28" name="Ranking" dataDxfId="329">
      <calculatedColumnFormula>RANK(Tabela112[[#This Row],[Média]],Tabela112[Média],0)</calculatedColumnFormula>
    </tableColumn>
    <tableColumn id="1" name="VISÃO DOENÇA E LABORATÓRIO" dataDxfId="328"/>
    <tableColumn id="2" name="AM " dataDxfId="327"/>
    <tableColumn id="3" name="BA " dataDxfId="326"/>
    <tableColumn id="4" name="CE " dataDxfId="325"/>
    <tableColumn id="5" name="DF " dataDxfId="324"/>
    <tableColumn id="6" name="ES " dataDxfId="323"/>
    <tableColumn id="7" name="GO " dataDxfId="322"/>
    <tableColumn id="8" name="MG " dataDxfId="321"/>
    <tableColumn id="9" name="MS " dataDxfId="320"/>
    <tableColumn id="10" name="MT " dataDxfId="319"/>
    <tableColumn id="11" name="PA " dataDxfId="318"/>
    <tableColumn id="12" name="PE " dataDxfId="317"/>
    <tableColumn id="13" name="PR " dataDxfId="316"/>
    <tableColumn id="14" name="RJ " dataDxfId="315"/>
    <tableColumn id="15" name="RS " dataDxfId="314"/>
    <tableColumn id="16" name="SC " dataDxfId="313"/>
    <tableColumn id="17" name="SP " dataDxfId="312"/>
    <tableColumn id="19" name="COFINS " dataDxfId="311"/>
    <tableColumn id="18" name="FOLHA" dataDxfId="310"/>
    <tableColumn id="20" name="OUTROS " dataDxfId="309"/>
    <tableColumn id="21" name="PIS " dataDxfId="308"/>
    <tableColumn id="22" name="LUCRO" dataDxfId="307"/>
    <tableColumn id="23" name="Média" dataDxfId="306">
      <calculatedColumnFormula>AVERAGE(RANKING!$E10:$T10)</calculatedColumnFormula>
    </tableColumn>
    <tableColumn id="24" name="Maior" dataDxfId="305">
      <calculatedColumnFormula>MAX(RANKING!$E10:$T10)</calculatedColumnFormula>
    </tableColumn>
    <tableColumn id="25" name="Menor" dataDxfId="304">
      <calculatedColumnFormula>MIN(RANKING!$E10:$T10)</calculatedColumnFormula>
    </tableColumn>
  </tableColumns>
  <tableStyleInfo name="TableStyleMedium2" showFirstColumn="0" showLastColumn="0" showRowStripes="1" showColumnStripes="0"/>
</table>
</file>

<file path=xl/tables/table6.xml><?xml version="1.0" encoding="utf-8"?>
<table xmlns="http://schemas.openxmlformats.org/spreadsheetml/2006/main" id="12" name="Tabela12" displayName="Tabela12" ref="AE11:AG21" totalsRowShown="0" headerRowDxfId="303" dataDxfId="301" headerRowBorderDxfId="302">
  <tableColumns count="3">
    <tableColumn id="1" name=" " dataDxfId="300">
      <calculatedColumnFormula>AE11+1</calculatedColumnFormula>
    </tableColumn>
    <tableColumn id="2" name="Doença" dataDxfId="299">
      <calculatedColumnFormula>TRIM(PROPER(INDEX(RANKING!$D$10:$D$55,AE12,1)))</calculatedColumnFormula>
    </tableColumn>
    <tableColumn id="3" name="Carga Tributária Média" dataDxfId="298" dataCellStyle="Porcentagem">
      <calculatedColumnFormula>INDEX(RANKING!$Z$10:$Z$55,AE12,1)/100</calculatedColumnFormula>
    </tableColumn>
  </tableColumns>
  <tableStyleInfo name="TableStyleLight2" showFirstColumn="0" showLastColumn="0" showRowStripes="1" showColumnStripes="0"/>
</table>
</file>

<file path=xl/tables/table7.xml><?xml version="1.0" encoding="utf-8"?>
<table xmlns="http://schemas.openxmlformats.org/spreadsheetml/2006/main" id="1" name="Tabela1" displayName="Tabela1" ref="C6:AC54" totalsRowCount="1" headerRowDxfId="297" dataDxfId="296">
  <autoFilter ref="C6:AC53"/>
  <sortState ref="C7:S52">
    <sortCondition ref="C6:C52"/>
  </sortState>
  <tableColumns count="27">
    <tableColumn id="1" name="DOENÇA" dataDxfId="295" totalsRowDxfId="294"/>
    <tableColumn id="2" name="AM " dataDxfId="293" totalsRowDxfId="292"/>
    <tableColumn id="3" name="BA " dataDxfId="291" totalsRowDxfId="290"/>
    <tableColumn id="4" name="CE " dataDxfId="289" totalsRowDxfId="288"/>
    <tableColumn id="5" name="DF " dataDxfId="287" totalsRowDxfId="286"/>
    <tableColumn id="6" name="ES " dataDxfId="285" totalsRowDxfId="284"/>
    <tableColumn id="7" name="GO " dataDxfId="283" totalsRowDxfId="282"/>
    <tableColumn id="8" name="MG " dataDxfId="281" totalsRowDxfId="280"/>
    <tableColumn id="9" name="MS " dataDxfId="279" totalsRowDxfId="278"/>
    <tableColumn id="10" name="MT " dataDxfId="277" totalsRowDxfId="276"/>
    <tableColumn id="11" name="PA " dataDxfId="275" totalsRowDxfId="274"/>
    <tableColumn id="12" name="PE " dataDxfId="273" totalsRowDxfId="272"/>
    <tableColumn id="13" name="PR " dataDxfId="271" totalsRowDxfId="270"/>
    <tableColumn id="14" name="RJ " dataDxfId="269" totalsRowDxfId="268"/>
    <tableColumn id="15" name="RS " dataDxfId="267" totalsRowDxfId="266"/>
    <tableColumn id="16" name="SC " dataDxfId="265" totalsRowDxfId="264"/>
    <tableColumn id="17" name="SP " dataDxfId="263" totalsRowDxfId="262"/>
    <tableColumn id="18" name="Menor" dataDxfId="261" totalsRowDxfId="260">
      <calculatedColumnFormula>MIN(bdGraficoDoenças!$D7:$S7)</calculatedColumnFormula>
    </tableColumn>
    <tableColumn id="19" name="Maior" dataDxfId="259" totalsRowDxfId="258">
      <calculatedColumnFormula>MAX(bdGraficoDoenças!$D7:$S7)</calculatedColumnFormula>
    </tableColumn>
    <tableColumn id="20" name="Média" dataDxfId="257" totalsRowDxfId="256">
      <calculatedColumnFormula>AVERAGE(bdGraficoDoenças!$D7:$S7)</calculatedColumnFormula>
    </tableColumn>
    <tableColumn id="21" name="Amplitude" dataDxfId="255" totalsRowDxfId="254">
      <calculatedColumnFormula>+bdGraficoDoenças!$U7-bdGraficoDoenças!$T7</calculatedColumnFormula>
    </tableColumn>
    <tableColumn id="22" name="COFINS" dataDxfId="253" totalsRowDxfId="252"/>
    <tableColumn id="23" name="FOLHA" dataDxfId="251" totalsRowDxfId="250"/>
    <tableColumn id="24" name="OUTROS" dataDxfId="249" totalsRowDxfId="248"/>
    <tableColumn id="25" name="PIS" dataDxfId="247" totalsRowDxfId="246"/>
    <tableColumn id="26" name="LUCRO" dataDxfId="245" totalsRowDxfId="244"/>
    <tableColumn id="27" name="ICMS" totalsRowFunction="average" dataDxfId="243" totalsRowDxfId="242">
      <calculatedColumnFormula>INDEX(Tabela1[[#This Row],[AM ]:[SP ]],1,$AC$5)-Tabela1[[#This Row],[COFINS]]-Tabela1[[#This Row],[FOLHA]]-Tabela1[[#This Row],[OUTROS]]-Tabela1[[#This Row],[PIS]]-Tabela1[[#This Row],[LUCRO]]</calculatedColumnFormula>
    </tableColumn>
  </tableColumns>
  <tableStyleInfo name="TableStyleMedium2" showFirstColumn="0" showLastColumn="0" showRowStripes="1" showColumnStripes="0"/>
</table>
</file>

<file path=xl/tables/table8.xml><?xml version="1.0" encoding="utf-8"?>
<table xmlns="http://schemas.openxmlformats.org/spreadsheetml/2006/main" id="6" name="Tabela1107" displayName="Tabela1107" ref="B10:BX450" totalsRowCount="1" headerRowDxfId="202" dataDxfId="201">
  <sortState ref="B11:BX449">
    <sortCondition ref="I10:I449"/>
  </sortState>
  <tableColumns count="75">
    <tableColumn id="11" name="id" dataDxfId="200" totalsRowDxfId="74"/>
    <tableColumn id="1" name="NCM" dataDxfId="199" totalsRowDxfId="73"/>
    <tableColumn id="46" name="EX_TIPI" dataDxfId="198" totalsRowDxfId="72"/>
    <tableColumn id="63" name="DATA REFERENCIA" dataDxfId="197" totalsRowDxfId="71"/>
    <tableColumn id="64" name="CodigoGGREM" dataDxfId="196" totalsRowDxfId="70"/>
    <tableColumn id="65" name="CodigoEAN" dataDxfId="195" totalsRowDxfId="69"/>
    <tableColumn id="74" name="RegitroMinisterioDaSaude" dataDxfId="194" totalsRowDxfId="68"/>
    <tableColumn id="66" name="ProdutoNome" dataDxfId="193" totalsRowDxfId="67"/>
    <tableColumn id="2" name="APRESENTAÇÕES" dataDxfId="192" totalsRowDxfId="66"/>
    <tableColumn id="12" name="SUBSTANCIA" dataDxfId="191" totalsRowDxfId="65"/>
    <tableColumn id="22" name="SUBST_1" dataDxfId="190" totalsRowDxfId="64"/>
    <tableColumn id="44" name="SUBST_2" dataDxfId="189" totalsRowDxfId="63"/>
    <tableColumn id="43" name="SUBST_3" dataDxfId="188" totalsRowDxfId="62"/>
    <tableColumn id="42" name="SUBST_4" dataDxfId="187" totalsRowDxfId="61"/>
    <tableColumn id="45" name="SUBST_5" dataDxfId="186" totalsRowDxfId="60"/>
    <tableColumn id="75" name="SUBST_52" dataDxfId="185" totalsRowDxfId="59"/>
    <tableColumn id="4" name="LABORATÓRIOS" dataDxfId="184" totalsRowDxfId="58"/>
    <tableColumn id="76" name="LaboratorioNome" dataDxfId="183" totalsRowDxfId="57"/>
    <tableColumn id="77" name="LaboratorioCNPJ" dataDxfId="182" totalsRowDxfId="56"/>
    <tableColumn id="41" name="SUBST_6" dataDxfId="181" totalsRowDxfId="55">
      <calculatedColumnFormula>TRIM('Carga Tributária doenças Po (2'!$L11)</calculatedColumnFormula>
    </tableColumn>
    <tableColumn id="38" name="1" dataDxfId="180" totalsRowDxfId="54">
      <calculatedColumnFormula>SUMIFS('Tabela Federal'!$E$4:$E$2069,'Tabela Federal'!$D$4:$D$2069,'Carga Tributária doenças Po (2'!$L11)</calculatedColumnFormula>
    </tableColumn>
    <tableColumn id="39" name="2" dataDxfId="179" totalsRowDxfId="53">
      <calculatedColumnFormula>SUMIFS('Tabela Federal'!$E$4:$E$2069,'Tabela Federal'!$D$4:$D$2069,'Carga Tributária doenças Po (2'!$M11)</calculatedColumnFormula>
    </tableColumn>
    <tableColumn id="40" name="3" dataDxfId="178" totalsRowDxfId="52">
      <calculatedColumnFormula>SUMIFS('Tabela Federal'!$E$4:$E$2069,'Tabela Federal'!$D$4:$D$2069,'Carga Tributária doenças Po (2'!$N11)</calculatedColumnFormula>
    </tableColumn>
    <tableColumn id="20" name="4" dataDxfId="177" totalsRowDxfId="51">
      <calculatedColumnFormula>SUMIFS('Tabela Federal'!$E$4:$E$2069,'Tabela Federal'!$D$4:$D$2069,'Carga Tributária doenças Po (2'!$O11)</calculatedColumnFormula>
    </tableColumn>
    <tableColumn id="13" name="ISENÇÃO DE PIS E COFINS " dataDxfId="176" totalsRowDxfId="50">
      <calculatedColumnFormula>VLOOKUP('Carga Tributária doenças Po (2'!$AD11,'Carga Tributária doenças Po (2'!$CA$12:$CC$16,2,0)</calculatedColumnFormula>
    </tableColumn>
    <tableColumn id="3" name="DESCRIÇÃO DA _x000a_CLASSE TERAPÊUTICA" dataDxfId="175" totalsRowDxfId="49"/>
    <tableColumn id="67" name="CAS" dataDxfId="174" totalsRowDxfId="48" dataCellStyle="Normal 2"/>
    <tableColumn id="68" name="TARJA" dataDxfId="173" totalsRowDxfId="47" dataCellStyle="Normal 2"/>
    <tableColumn id="69" name="LCCT" dataDxfId="172" totalsRowDxfId="46" dataCellStyle="Normal 2"/>
    <tableColumn id="5" name="ETICO ou POP" dataDxfId="171" totalsRowDxfId="45"/>
    <tableColumn id="6" name="S / G / M / R" dataDxfId="170" totalsRowDxfId="44"/>
    <tableColumn id="7" name="MAT ~ 05/2014     Unidades (Caixas)" dataDxfId="169" totalsRowDxfId="43"/>
    <tableColumn id="8" name="MAT ~ 05/2014    Dólares (US$)" dataDxfId="168" totalsRowDxfId="42"/>
    <tableColumn id="9" name="MAT ~ 05/2014        Reais (R$)" dataDxfId="167" totalsRowDxfId="41"/>
    <tableColumn id="10" name="GRUPO" dataDxfId="166" totalsRowDxfId="40"/>
    <tableColumn id="14" name="PIS" dataDxfId="165" totalsRowDxfId="39">
      <calculatedColumnFormula>IF('Carga Tributária doenças Po (2'!$Z11="+",0,SUMIFS(PISCOFINS!$I$3:$I$10518,PISCOFINS!$C$3:$C$10518,'Carga Tributária doenças Po (2'!$C11))</calculatedColumnFormula>
    </tableColumn>
    <tableColumn id="15" name="COFINS" dataDxfId="164" totalsRowDxfId="38">
      <calculatedColumnFormula>IF('Carga Tributária doenças Po (2'!$Z11="+",0,SUMIFS(PISCOFINS!$H$3:$H$10518,PISCOFINS!$C$3:$C$10518,'Carga Tributária doenças Po (2'!$C11))</calculatedColumnFormula>
    </tableColumn>
    <tableColumn id="16" name="CONTRIB. FOLHA" dataDxfId="163" totalsRowDxfId="37"/>
    <tableColumn id="17" name="TRIBUTOS S/ LUCRO" dataDxfId="162" totalsRowDxfId="36"/>
    <tableColumn id="18" name="OUTROS" dataDxfId="161" totalsRowDxfId="35"/>
    <tableColumn id="23" name="SP" totalsRowFunction="average" dataDxfId="160" totalsRowDxfId="34"/>
    <tableColumn id="24" name="PR" totalsRowFunction="average" dataDxfId="159" totalsRowDxfId="33"/>
    <tableColumn id="25" name="SC" totalsRowFunction="average" dataDxfId="158" totalsRowDxfId="32"/>
    <tableColumn id="26" name="RS" totalsRowFunction="average" dataDxfId="157" totalsRowDxfId="31"/>
    <tableColumn id="27" name="RJ" totalsRowFunction="average" dataDxfId="156" totalsRowDxfId="30"/>
    <tableColumn id="28" name="MG" totalsRowFunction="average" dataDxfId="155" totalsRowDxfId="29"/>
    <tableColumn id="29" name="ES" totalsRowFunction="average" dataDxfId="154" totalsRowDxfId="28"/>
    <tableColumn id="30" name="GO" totalsRowFunction="average" dataDxfId="153" totalsRowDxfId="27"/>
    <tableColumn id="31" name="MT" totalsRowFunction="average" dataDxfId="152" totalsRowDxfId="26"/>
    <tableColumn id="32" name="MS" totalsRowFunction="average" dataDxfId="151" totalsRowDxfId="25"/>
    <tableColumn id="33" name="DF" totalsRowFunction="average" dataDxfId="150" totalsRowDxfId="24"/>
    <tableColumn id="34" name="BA" totalsRowFunction="average" dataDxfId="149" totalsRowDxfId="23"/>
    <tableColumn id="35" name="CE" totalsRowFunction="average" dataDxfId="148" totalsRowDxfId="22"/>
    <tableColumn id="36" name="PE" totalsRowFunction="average" dataDxfId="147" totalsRowDxfId="21"/>
    <tableColumn id="19" name="PA" totalsRowFunction="average" dataDxfId="146" totalsRowDxfId="20"/>
    <tableColumn id="37" name="AM" totalsRowFunction="average" dataDxfId="145" totalsRowDxfId="19"/>
    <tableColumn id="21" name="TOTAL SP" dataDxfId="144" totalsRowDxfId="18">
      <calculatedColumnFormula>+Tabela1107[[#This Row],[PIS]]+Tabela1107[[#This Row],[COFINS]]+Tabela1107[[#This Row],[CONTRIB. FOLHA]]+Tabela1107[[#This Row],[TRIBUTOS S/ LUCRO]]+Tabela1107[[#This Row],[OUTROS]]+Tabela1107[[#This Row],[SP]]</calculatedColumnFormula>
    </tableColumn>
    <tableColumn id="47" name="TOTAL PR" dataDxfId="143" totalsRowDxfId="17">
      <calculatedColumnFormula>+Tabela1107[[#This Row],[PIS]]+Tabela1107[[#This Row],[COFINS]]+Tabela1107[[#This Row],[CONTRIB. FOLHA]]+Tabela1107[[#This Row],[TRIBUTOS S/ LUCRO]]+Tabela1107[[#This Row],[OUTROS]]+Tabela1107[[#This Row],[PR]]</calculatedColumnFormula>
    </tableColumn>
    <tableColumn id="48" name="TOTAL SC" dataDxfId="142" totalsRowDxfId="16">
      <calculatedColumnFormula>+Tabela1107[[#This Row],[PIS]]+Tabela1107[[#This Row],[COFINS]]+Tabela1107[[#This Row],[CONTRIB. FOLHA]]+Tabela1107[[#This Row],[TRIBUTOS S/ LUCRO]]+Tabela1107[[#This Row],[OUTROS]]+Tabela1107[[#This Row],[SC]]</calculatedColumnFormula>
    </tableColumn>
    <tableColumn id="49" name="TOTAL RS" dataDxfId="141" totalsRowDxfId="15">
      <calculatedColumnFormula>+Tabela1107[[#This Row],[PIS]]+Tabela1107[[#This Row],[COFINS]]+Tabela1107[[#This Row],[CONTRIB. FOLHA]]+Tabela1107[[#This Row],[TRIBUTOS S/ LUCRO]]+Tabela1107[[#This Row],[OUTROS]]+Tabela1107[[#This Row],[RS]]</calculatedColumnFormula>
    </tableColumn>
    <tableColumn id="50" name="TOTAL RJ" dataDxfId="140" totalsRowDxfId="14">
      <calculatedColumnFormula>+Tabela1107[[#This Row],[PIS]]+Tabela1107[[#This Row],[COFINS]]+Tabela1107[[#This Row],[CONTRIB. FOLHA]]+Tabela1107[[#This Row],[TRIBUTOS S/ LUCRO]]+Tabela1107[[#This Row],[OUTROS]]+Tabela1107[[#This Row],[RJ]]</calculatedColumnFormula>
    </tableColumn>
    <tableColumn id="51" name="TOTAL MG" dataDxfId="139" totalsRowDxfId="13">
      <calculatedColumnFormula>+Tabela1107[[#This Row],[PIS]]+Tabela1107[[#This Row],[COFINS]]+Tabela1107[[#This Row],[CONTRIB. FOLHA]]+Tabela1107[[#This Row],[TRIBUTOS S/ LUCRO]]+Tabela1107[[#This Row],[OUTROS]]+Tabela1107[[#This Row],[MG]]</calculatedColumnFormula>
    </tableColumn>
    <tableColumn id="52" name="TOTAL ES" dataDxfId="138" totalsRowDxfId="12">
      <calculatedColumnFormula>+Tabela1107[[#This Row],[PIS]]+Tabela1107[[#This Row],[COFINS]]+Tabela1107[[#This Row],[CONTRIB. FOLHA]]+Tabela1107[[#This Row],[TRIBUTOS S/ LUCRO]]+Tabela1107[[#This Row],[OUTROS]]+Tabela1107[[#This Row],[ES]]</calculatedColumnFormula>
    </tableColumn>
    <tableColumn id="53" name="TOTAL GO" dataDxfId="137" totalsRowDxfId="11">
      <calculatedColumnFormula>+Tabela1107[[#This Row],[PIS]]+Tabela1107[[#This Row],[COFINS]]+Tabela1107[[#This Row],[CONTRIB. FOLHA]]+Tabela1107[[#This Row],[TRIBUTOS S/ LUCRO]]+Tabela1107[[#This Row],[OUTROS]]+Tabela1107[[#This Row],[GO]]</calculatedColumnFormula>
    </tableColumn>
    <tableColumn id="54" name="TOTAL MT" dataDxfId="136" totalsRowDxfId="10">
      <calculatedColumnFormula>+Tabela1107[[#This Row],[PIS]]+Tabela1107[[#This Row],[COFINS]]+Tabela1107[[#This Row],[CONTRIB. FOLHA]]+Tabela1107[[#This Row],[TRIBUTOS S/ LUCRO]]+Tabela1107[[#This Row],[OUTROS]]+Tabela1107[[#This Row],[MT]]</calculatedColumnFormula>
    </tableColumn>
    <tableColumn id="55" name="TOTAL MS" dataDxfId="135" totalsRowDxfId="9">
      <calculatedColumnFormula>+Tabela1107[[#This Row],[PIS]]+Tabela1107[[#This Row],[COFINS]]+Tabela1107[[#This Row],[CONTRIB. FOLHA]]+Tabela1107[[#This Row],[TRIBUTOS S/ LUCRO]]+Tabela1107[[#This Row],[OUTROS]]+Tabela1107[[#This Row],[MS]]</calculatedColumnFormula>
    </tableColumn>
    <tableColumn id="56" name="TOTAL DF" dataDxfId="134" totalsRowDxfId="8">
      <calculatedColumnFormula>+Tabela1107[[#This Row],[PIS]]+Tabela1107[[#This Row],[COFINS]]+Tabela1107[[#This Row],[CONTRIB. FOLHA]]+Tabela1107[[#This Row],[TRIBUTOS S/ LUCRO]]+Tabela1107[[#This Row],[OUTROS]]+Tabela1107[[#This Row],[DF]]</calculatedColumnFormula>
    </tableColumn>
    <tableColumn id="57" name="TOTAL BA" dataDxfId="133" totalsRowDxfId="7">
      <calculatedColumnFormula>+Tabela1107[[#This Row],[PIS]]+Tabela1107[[#This Row],[COFINS]]+Tabela1107[[#This Row],[CONTRIB. FOLHA]]+Tabela1107[[#This Row],[TRIBUTOS S/ LUCRO]]+Tabela1107[[#This Row],[OUTROS]]+Tabela1107[[#This Row],[BA]]</calculatedColumnFormula>
    </tableColumn>
    <tableColumn id="58" name="TOTAL CE" dataDxfId="132" totalsRowDxfId="6">
      <calculatedColumnFormula>+Tabela1107[[#This Row],[PIS]]+Tabela1107[[#This Row],[COFINS]]+Tabela1107[[#This Row],[CONTRIB. FOLHA]]+Tabela1107[[#This Row],[TRIBUTOS S/ LUCRO]]+Tabela1107[[#This Row],[OUTROS]]+Tabela1107[[#This Row],[BA]]</calculatedColumnFormula>
    </tableColumn>
    <tableColumn id="59" name="TOTAL PE" dataDxfId="131" totalsRowDxfId="5">
      <calculatedColumnFormula>+Tabela1107[[#This Row],[PIS]]+Tabela1107[[#This Row],[COFINS]]+Tabela1107[[#This Row],[CONTRIB. FOLHA]]+Tabela1107[[#This Row],[TRIBUTOS S/ LUCRO]]+Tabela1107[[#This Row],[OUTROS]]+Tabela1107[[#This Row],[PE]]</calculatedColumnFormula>
    </tableColumn>
    <tableColumn id="60" name="TOTAL PA" dataDxfId="130" totalsRowDxfId="4">
      <calculatedColumnFormula>+Tabela1107[[#This Row],[PIS]]+Tabela1107[[#This Row],[COFINS]]+Tabela1107[[#This Row],[CONTRIB. FOLHA]]+Tabela1107[[#This Row],[TRIBUTOS S/ LUCRO]]+Tabela1107[[#This Row],[OUTROS]]+Tabela1107[[#This Row],[PA]]</calculatedColumnFormula>
    </tableColumn>
    <tableColumn id="61" name="TOTAL AM" dataDxfId="129" totalsRowDxfId="3">
      <calculatedColumnFormula>+Tabela1107[[#This Row],[PIS]]+Tabela1107[[#This Row],[COFINS]]+Tabela1107[[#This Row],[CONTRIB. FOLHA]]+Tabela1107[[#This Row],[TRIBUTOS S/ LUCRO]]+Tabela1107[[#This Row],[OUTROS]]+Tabela1107[[#This Row],[AM]]</calculatedColumnFormula>
    </tableColumn>
    <tableColumn id="62" name="MÉDIA GERAL" dataDxfId="128" totalsRowDxfId="2">
      <calculatedColumnFormula>AVERAGE(Tabela1107[[#This Row],[TOTAL SP]:[TOTAL AM]])</calculatedColumnFormula>
    </tableColumn>
    <tableColumn id="70" name="Colunas1" dataDxfId="127" totalsRowDxfId="1"/>
    <tableColumn id="71" name="MÉDIA EM CAIXAS EM R$" dataDxfId="126" totalsRowDxfId="0"/>
  </tableColumns>
  <tableStyleInfo name="TableStyleMedium16" showFirstColumn="0" showLastColumn="0" showRowStripes="1" showColumnStripes="0"/>
</table>
</file>

<file path=xl/tables/table9.xml><?xml version="1.0" encoding="utf-8"?>
<table xmlns="http://schemas.openxmlformats.org/spreadsheetml/2006/main" id="8" name="Tabela49" displayName="Tabela49" ref="CA11:CC16" totalsRowShown="0" headerRowCellStyle="Normal 2" dataCellStyle="Normal 2">
  <autoFilter ref="CA11:CC16"/>
  <tableColumns count="3">
    <tableColumn id="1" name="Colunas1" dataCellStyle="Normal 2"/>
    <tableColumn id="2" name="Colunas2" dataCellStyle="Normal 2"/>
    <tableColumn id="3" name="Colunas3" dataCellStyle="Normal 2"/>
  </tableColumns>
  <tableStyleInfo name="TableStyleMedium16" showFirstColumn="0" showLastColumn="0" showRowStripes="1" showColumnStripes="0"/>
</table>
</file>

<file path=xl/tables/table10.xml><?xml version="1.0" encoding="utf-8"?>
<table xmlns="http://schemas.openxmlformats.org/spreadsheetml/2006/main" id="13" name="Tabela114" displayName="Tabela114" ref="C6:H83" totalsRowCount="1" headerRowDxfId="125" dataDxfId="124">
  <autoFilter ref="C6:H82"/>
  <sortState ref="C7:L82">
    <sortCondition descending="1" ref="D7"/>
  </sortState>
  <tableColumns count="6">
    <tableColumn id="1" name="DOENÇA" dataDxfId="123" totalsRowDxfId="122"/>
    <tableColumn id="2" name="Unidades (Caixas)" dataDxfId="121" totalsRowDxfId="120"/>
    <tableColumn id="3" name="MAT Dólares (US$)" dataDxfId="119" totalsRowDxfId="118"/>
    <tableColumn id="4" name="MAT Reais (R$)" dataDxfId="117" totalsRowDxfId="116"/>
    <tableColumn id="22" name="MÉDIA EM CAIXAS EM R$ " dataDxfId="115" totalsRowDxfId="114">
      <calculatedColumnFormula>+bdGraficoMAT!$F7/bdGraficoMAT!$D7</calculatedColumnFormula>
    </tableColumn>
    <tableColumn id="27" name="ICMS" totalsRowFunction="average" dataDxfId="113" totalsRowDxfId="112"/>
  </tableColumns>
  <tableStyleInfo name="TableStyleMedium2" showFirstColumn="0" showLastColumn="0" showRowStripes="1" showColumnStripes="0"/>
</table>
</file>

<file path=xl/tables/table11.xml><?xml version="1.0" encoding="utf-8"?>
<table xmlns="http://schemas.openxmlformats.org/spreadsheetml/2006/main" id="2" name="Tabela2" displayName="Tabela2" ref="B2:I1647" totalsRowShown="0" headerRowDxfId="93" tableBorderDxfId="92">
  <autoFilter ref="B2:I1647"/>
  <tableColumns count="8">
    <tableColumn id="1" name="ITEM" dataDxfId="91">
      <calculatedColumnFormula>+B2+1</calculatedColumnFormula>
    </tableColumn>
    <tableColumn id="2" name="CATEGORIA" dataDxfId="90"/>
    <tableColumn id="3" name="ITEM2" dataDxfId="89"/>
    <tableColumn id="4" name="SUBSTÂNCIA - MONODROGA TARJA VERMELHA OU PRETA" dataDxfId="88"/>
    <tableColumn id="5" name="Subst_1" dataDxfId="87"/>
    <tableColumn id="6" name="Subst_2"/>
    <tableColumn id="7" name="Subst_3"/>
    <tableColumn id="8" name="Subst_4"/>
  </tableColumns>
  <tableStyleInfo name="TableStyleMedium2" showFirstColumn="0" showLastColumn="0" showRowStripes="1" showColumnStripes="0"/>
</table>
</file>

<file path=xl/tables/table12.xml><?xml version="1.0" encoding="utf-8"?>
<table xmlns="http://schemas.openxmlformats.org/spreadsheetml/2006/main" id="7" name="Tabela7" displayName="Tabela7" ref="B2:J1487" totalsRowShown="0">
  <autoFilter ref="B2:J1487"/>
  <sortState ref="B3:J1460">
    <sortCondition ref="C2:C1460"/>
  </sortState>
  <tableColumns count="9">
    <tableColumn id="1" name="UF"/>
    <tableColumn id="2" name="NCM" dataDxfId="86"/>
    <tableColumn id="3" name="EX_TIPI" dataDxfId="85"/>
    <tableColumn id="4" name="MVA"/>
    <tableColumn id="5" name="ICMS"/>
    <tableColumn id="6" name="IPI"/>
    <tableColumn id="7" name="COFINS"/>
    <tableColumn id="8" name="PIS"/>
    <tableColumn id="9" name="II"/>
  </tableColumns>
  <tableStyleInfo name="TableStyleMedium9" showFirstColumn="0" showLastColumn="0" showRowStripes="1" showColumnStripes="0"/>
</table>
</file>

<file path=xl/tables/table13.xml><?xml version="1.0" encoding="utf-8"?>
<table xmlns="http://schemas.openxmlformats.org/spreadsheetml/2006/main" id="4" name="Tabela4" displayName="Tabela4" ref="D3:F2069" totalsRowShown="0">
  <autoFilter ref="D3:F2069"/>
  <tableColumns count="3">
    <tableColumn id="1" name="COlUnAs1"/>
    <tableColumn id="4" name="COlUnAs2" dataDxfId="84">
      <calculatedColumnFormula>1</calculatedColumnFormula>
    </tableColumn>
    <tableColumn id="2" name="COlUnAs3" dataDxfId="83">
      <calculatedColumnFormula>TRIM('Tabela Federal'!$D4)</calculatedColumnFormula>
    </tableColumn>
  </tableColumns>
  <tableStyleInfo name="TableStyleMedium2" showFirstColumn="0" showLastColumn="0" showRowStripes="1" showColumnStripes="0"/>
</table>
</file>

<file path=xl/tables/table14.xml><?xml version="1.0" encoding="utf-8"?>
<table xmlns="http://schemas.openxmlformats.org/spreadsheetml/2006/main" id="5" name="Tabela5" displayName="Tabela5" ref="B2:I10509" totalsRowShown="0">
  <autoFilter ref="B2:I10509"/>
  <tableColumns count="8">
    <tableColumn id="1" name="tabela"/>
    <tableColumn id="2" name="codigo" dataDxfId="82"/>
    <tableColumn id="3" name="ex" dataDxfId="81"/>
    <tableColumn id="4" name="nivel"/>
    <tableColumn id="5" name="descricao"/>
    <tableColumn id="6" name="Tipo"/>
    <tableColumn id="7" name="Classe"/>
    <tableColumn id="8" name="Colunas1" dataDxfId="80">
      <calculatedColumnFormula>1</calculatedColumnFormula>
    </tableColumn>
  </tableColumns>
  <tableStyleInfo name="TableStyleMedium9" showFirstColumn="0" showLastColumn="0" showRowStripes="1" showColumnStripes="0"/>
</table>
</file>

<file path=xl/tables/table15.xml><?xml version="1.0" encoding="utf-8"?>
<table xmlns="http://schemas.openxmlformats.org/spreadsheetml/2006/main" id="18" name="Tabela18" displayName="Tabela18" ref="L2:T10518" totalsRowShown="0">
  <autoFilter ref="L2:T10518"/>
  <tableColumns count="9">
    <tableColumn id="1" name="UF"/>
    <tableColumn id="2" name="NCM"/>
    <tableColumn id="3" name="EX_TIPI"/>
    <tableColumn id="4" name="MVA"/>
    <tableColumn id="5" name="ICMS"/>
    <tableColumn id="6" name="IPI"/>
    <tableColumn id="7" name="COFINS"/>
    <tableColumn id="8" name="PIS"/>
    <tableColumn id="9" name="II"/>
  </tableColumns>
  <tableStyleInfo name="TableStyleMedium9" showFirstColumn="0" showLastColumn="0" showRowStripes="1" showColumnStripes="0"/>
</table>
</file>

<file path=xl/tables/table16.xml><?xml version="1.0" encoding="utf-8"?>
<table xmlns="http://schemas.openxmlformats.org/spreadsheetml/2006/main" id="19" name="Tabela1820" displayName="Tabela1820" ref="B2:J10518" totalsRowShown="0">
  <autoFilter ref="B2:J10518"/>
  <tableColumns count="9">
    <tableColumn id="1" name="UF"/>
    <tableColumn id="2" name="NCM"/>
    <tableColumn id="3" name="EX_TIPI"/>
    <tableColumn id="4" name="MVA"/>
    <tableColumn id="5" name="ICMS"/>
    <tableColumn id="6" name="IPI"/>
    <tableColumn id="7" name="COFINS"/>
    <tableColumn id="8" name="PIS"/>
    <tableColumn id="9" name="II"/>
  </tableColumns>
  <tableStyleInfo name="TableStyleMedium9" showFirstColumn="0" showLastColumn="0" showRowStripes="1" showColumnStripes="0"/>
</table>
</file>

<file path=xl/tables/table17.xml><?xml version="1.0" encoding="utf-8"?>
<table xmlns="http://schemas.openxmlformats.org/spreadsheetml/2006/main" id="20" name="Tabela20" displayName="Tabela20" ref="W3:X460" totalsRowShown="0" headerRowDxfId="79" dataDxfId="78">
  <autoFilter ref="W3:X460"/>
  <tableColumns count="2">
    <tableColumn id="1" name="30049099" dataDxfId="77"/>
    <tableColumn id="2" name="30049100" dataDxfId="76">
      <calculatedColumnFormula>VLOOKUP(PISCOFINS!$W4,PISCOFINS!$C$3:$J$10518,7,0)</calculatedColumnFormula>
    </tableColumn>
  </tableColumns>
  <tableStyleInfo name="TableStyleMedium2" showFirstColumn="0" showLastColumn="0" showRowStripes="1" showColumnStripes="0"/>
</table>
</file>

<file path=xl/tables/table18.xml><?xml version="1.0" encoding="utf-8"?>
<table xmlns="http://schemas.openxmlformats.org/spreadsheetml/2006/main" id="17" name="Tabela17" displayName="Tabela17" ref="C2:E1822" totalsRowShown="0">
  <autoFilter ref="C2:E1822"/>
  <tableColumns count="3">
    <tableColumn id="1" name="ID"/>
    <tableColumn id="2" name="PATIVO"/>
    <tableColumn id="3" name="Colunas1" dataDxfId="75">
      <calculatedColumnFormula>1</calculatedColumnFormula>
    </tableColumn>
  </tableColumns>
  <tableStyleInfo name="TableStyleMedium16" showFirstColumn="0" showLastColumn="0" showRowStripes="1" showColumnStripes="0"/>
</table>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consultaremedios.com.br/busca?termo=citrato+de+sildenafila"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pivotTable" Target="../pivotTables/pivotTable1.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4.bin"/><Relationship Id="rId1" Type="http://schemas.openxmlformats.org/officeDocument/2006/relationships/pivotTable" Target="../pivotTables/pivotTable2.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6.xml"/><Relationship Id="rId13" Type="http://schemas.openxmlformats.org/officeDocument/2006/relationships/ctrlProp" Target="../ctrlProps/ctrlProp11.xml"/><Relationship Id="rId18" Type="http://schemas.openxmlformats.org/officeDocument/2006/relationships/ctrlProp" Target="../ctrlProps/ctrlProp16.xml"/><Relationship Id="rId3" Type="http://schemas.openxmlformats.org/officeDocument/2006/relationships/vmlDrawing" Target="../drawings/vmlDrawing2.vml"/><Relationship Id="rId21" Type="http://schemas.openxmlformats.org/officeDocument/2006/relationships/ctrlProp" Target="../ctrlProps/ctrlProp19.xml"/><Relationship Id="rId7" Type="http://schemas.openxmlformats.org/officeDocument/2006/relationships/ctrlProp" Target="../ctrlProps/ctrlProp5.xml"/><Relationship Id="rId12" Type="http://schemas.openxmlformats.org/officeDocument/2006/relationships/ctrlProp" Target="../ctrlProps/ctrlProp10.xml"/><Relationship Id="rId17" Type="http://schemas.openxmlformats.org/officeDocument/2006/relationships/ctrlProp" Target="../ctrlProps/ctrlProp15.xml"/><Relationship Id="rId2" Type="http://schemas.openxmlformats.org/officeDocument/2006/relationships/drawing" Target="../drawings/drawing4.xml"/><Relationship Id="rId16" Type="http://schemas.openxmlformats.org/officeDocument/2006/relationships/ctrlProp" Target="../ctrlProps/ctrlProp14.xml"/><Relationship Id="rId20" Type="http://schemas.openxmlformats.org/officeDocument/2006/relationships/ctrlProp" Target="../ctrlProps/ctrlProp18.xml"/><Relationship Id="rId1" Type="http://schemas.openxmlformats.org/officeDocument/2006/relationships/printerSettings" Target="../printerSettings/printerSettings5.bin"/><Relationship Id="rId6" Type="http://schemas.openxmlformats.org/officeDocument/2006/relationships/ctrlProp" Target="../ctrlProps/ctrlProp4.xml"/><Relationship Id="rId11" Type="http://schemas.openxmlformats.org/officeDocument/2006/relationships/ctrlProp" Target="../ctrlProps/ctrlProp9.xml"/><Relationship Id="rId5" Type="http://schemas.openxmlformats.org/officeDocument/2006/relationships/ctrlProp" Target="../ctrlProps/ctrlProp3.xml"/><Relationship Id="rId15" Type="http://schemas.openxmlformats.org/officeDocument/2006/relationships/ctrlProp" Target="../ctrlProps/ctrlProp13.xml"/><Relationship Id="rId10" Type="http://schemas.openxmlformats.org/officeDocument/2006/relationships/ctrlProp" Target="../ctrlProps/ctrlProp8.xml"/><Relationship Id="rId19" Type="http://schemas.openxmlformats.org/officeDocument/2006/relationships/ctrlProp" Target="../ctrlProps/ctrlProp17.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s>
</file>

<file path=xl/worksheets/_rels/sheet8.xml.rels><?xml version="1.0" encoding="UTF-8" standalone="yes"?>
<Relationships xmlns="http://schemas.openxmlformats.org/package/2006/relationships"><Relationship Id="rId3" Type="http://schemas.openxmlformats.org/officeDocument/2006/relationships/hyperlink" Target="http://consultaremedios.com.br/informacoes-profissionais/busca?termo=dicloridrato+de+flunarizina" TargetMode="External"/><Relationship Id="rId7" Type="http://schemas.openxmlformats.org/officeDocument/2006/relationships/table" Target="../tables/table9.xml"/><Relationship Id="rId2" Type="http://schemas.openxmlformats.org/officeDocument/2006/relationships/hyperlink" Target="http://consultaremedios.com.br/informacoes-profissionais/busca?termo=hidroxiquinolina%2Btrietanolamina" TargetMode="External"/><Relationship Id="rId1" Type="http://schemas.openxmlformats.org/officeDocument/2006/relationships/hyperlink" Target="http://consultaremedios.com.br/informacoes-profissionais/busca?termo=betametasona%2Bdexclorfeniramina" TargetMode="External"/><Relationship Id="rId6" Type="http://schemas.openxmlformats.org/officeDocument/2006/relationships/table" Target="../tables/table8.xml"/><Relationship Id="rId5" Type="http://schemas.openxmlformats.org/officeDocument/2006/relationships/drawing" Target="../drawings/drawing5.xml"/><Relationship Id="rId4"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24.xml"/><Relationship Id="rId13" Type="http://schemas.openxmlformats.org/officeDocument/2006/relationships/ctrlProp" Target="../ctrlProps/ctrlProp29.xml"/><Relationship Id="rId18" Type="http://schemas.openxmlformats.org/officeDocument/2006/relationships/ctrlProp" Target="../ctrlProps/ctrlProp34.xml"/><Relationship Id="rId3" Type="http://schemas.openxmlformats.org/officeDocument/2006/relationships/vmlDrawing" Target="../drawings/vmlDrawing3.vml"/><Relationship Id="rId21" Type="http://schemas.openxmlformats.org/officeDocument/2006/relationships/ctrlProp" Target="../ctrlProps/ctrlProp37.xml"/><Relationship Id="rId7" Type="http://schemas.openxmlformats.org/officeDocument/2006/relationships/ctrlProp" Target="../ctrlProps/ctrlProp23.xml"/><Relationship Id="rId12" Type="http://schemas.openxmlformats.org/officeDocument/2006/relationships/ctrlProp" Target="../ctrlProps/ctrlProp28.xml"/><Relationship Id="rId17" Type="http://schemas.openxmlformats.org/officeDocument/2006/relationships/ctrlProp" Target="../ctrlProps/ctrlProp33.xml"/><Relationship Id="rId2" Type="http://schemas.openxmlformats.org/officeDocument/2006/relationships/drawing" Target="../drawings/drawing6.xml"/><Relationship Id="rId16" Type="http://schemas.openxmlformats.org/officeDocument/2006/relationships/ctrlProp" Target="../ctrlProps/ctrlProp32.xml"/><Relationship Id="rId20" Type="http://schemas.openxmlformats.org/officeDocument/2006/relationships/ctrlProp" Target="../ctrlProps/ctrlProp36.xml"/><Relationship Id="rId1" Type="http://schemas.openxmlformats.org/officeDocument/2006/relationships/printerSettings" Target="../printerSettings/printerSettings7.bin"/><Relationship Id="rId6" Type="http://schemas.openxmlformats.org/officeDocument/2006/relationships/ctrlProp" Target="../ctrlProps/ctrlProp22.xml"/><Relationship Id="rId11" Type="http://schemas.openxmlformats.org/officeDocument/2006/relationships/ctrlProp" Target="../ctrlProps/ctrlProp27.xml"/><Relationship Id="rId5" Type="http://schemas.openxmlformats.org/officeDocument/2006/relationships/ctrlProp" Target="../ctrlProps/ctrlProp21.xml"/><Relationship Id="rId15" Type="http://schemas.openxmlformats.org/officeDocument/2006/relationships/ctrlProp" Target="../ctrlProps/ctrlProp31.xml"/><Relationship Id="rId10" Type="http://schemas.openxmlformats.org/officeDocument/2006/relationships/ctrlProp" Target="../ctrlProps/ctrlProp26.xml"/><Relationship Id="rId19" Type="http://schemas.openxmlformats.org/officeDocument/2006/relationships/ctrlProp" Target="../ctrlProps/ctrlProp35.xml"/><Relationship Id="rId4" Type="http://schemas.openxmlformats.org/officeDocument/2006/relationships/ctrlProp" Target="../ctrlProps/ctrlProp20.xml"/><Relationship Id="rId9" Type="http://schemas.openxmlformats.org/officeDocument/2006/relationships/ctrlProp" Target="../ctrlProps/ctrlProp25.xml"/><Relationship Id="rId14" Type="http://schemas.openxmlformats.org/officeDocument/2006/relationships/ctrlProp" Target="../ctrlProps/ctrlProp30.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8.bin"/><Relationship Id="rId1" Type="http://schemas.openxmlformats.org/officeDocument/2006/relationships/pivotTable" Target="../pivotTables/pivotTable3.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table" Target="../tables/table16.xml"/><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X460"/>
  <sheetViews>
    <sheetView workbookViewId="0">
      <selection activeCell="F3" sqref="F3"/>
    </sheetView>
  </sheetViews>
  <sheetFormatPr defaultRowHeight="15" x14ac:dyDescent="0.25"/>
  <cols>
    <col min="2" max="2" width="5" bestFit="1" customWidth="1"/>
    <col min="3" max="3" width="9" bestFit="1" customWidth="1"/>
    <col min="4" max="4" width="51.7109375" bestFit="1" customWidth="1"/>
    <col min="5" max="5" width="62.42578125" bestFit="1" customWidth="1"/>
    <col min="6" max="6" width="26.28515625" bestFit="1" customWidth="1"/>
    <col min="7" max="7" width="26.28515625" customWidth="1"/>
    <col min="8" max="8" width="36.28515625" bestFit="1" customWidth="1"/>
    <col min="9" max="9" width="23.28515625" bestFit="1" customWidth="1"/>
    <col min="10" max="10" width="15.42578125" bestFit="1" customWidth="1"/>
    <col min="11" max="11" width="13.85546875" bestFit="1" customWidth="1"/>
    <col min="12" max="12" width="34.85546875" bestFit="1" customWidth="1"/>
    <col min="13" max="13" width="30.42578125" bestFit="1" customWidth="1"/>
    <col min="14" max="14" width="28.85546875" bestFit="1" customWidth="1"/>
    <col min="15" max="15" width="30.140625" bestFit="1" customWidth="1"/>
    <col min="16" max="16" width="6" bestFit="1" customWidth="1"/>
    <col min="17" max="17" width="9.85546875" bestFit="1" customWidth="1"/>
    <col min="18" max="18" width="23.7109375" bestFit="1" customWidth="1"/>
    <col min="19" max="19" width="25" bestFit="1" customWidth="1"/>
    <col min="20" max="20" width="10.7109375" bestFit="1" customWidth="1"/>
    <col min="21" max="21" width="7.85546875" bestFit="1" customWidth="1"/>
    <col min="22" max="22" width="14.140625" bestFit="1" customWidth="1"/>
    <col min="23" max="23" width="8.85546875" bestFit="1" customWidth="1"/>
  </cols>
  <sheetData>
    <row r="2" spans="2:24" x14ac:dyDescent="0.25">
      <c r="B2" t="s">
        <v>613</v>
      </c>
      <c r="C2" t="s">
        <v>612</v>
      </c>
      <c r="D2" t="s">
        <v>12</v>
      </c>
      <c r="E2" t="s">
        <v>614</v>
      </c>
      <c r="F2" t="s">
        <v>2610</v>
      </c>
      <c r="G2" t="s">
        <v>2611</v>
      </c>
      <c r="H2" t="s">
        <v>615</v>
      </c>
      <c r="I2" t="s">
        <v>13</v>
      </c>
      <c r="J2" t="s">
        <v>14</v>
      </c>
      <c r="K2" t="s">
        <v>15</v>
      </c>
      <c r="L2" t="s">
        <v>16</v>
      </c>
      <c r="M2" t="s">
        <v>17</v>
      </c>
      <c r="N2" t="s">
        <v>19</v>
      </c>
      <c r="O2" t="s">
        <v>18</v>
      </c>
      <c r="P2" t="s">
        <v>11</v>
      </c>
      <c r="Q2" t="s">
        <v>616</v>
      </c>
      <c r="R2" t="s">
        <v>617</v>
      </c>
      <c r="S2" t="s">
        <v>618</v>
      </c>
      <c r="T2" t="s">
        <v>619</v>
      </c>
      <c r="U2" t="s">
        <v>620</v>
      </c>
      <c r="V2" t="s">
        <v>621</v>
      </c>
      <c r="W2" t="s">
        <v>622</v>
      </c>
      <c r="X2" t="s">
        <v>623</v>
      </c>
    </row>
    <row r="3" spans="2:24" x14ac:dyDescent="0.25">
      <c r="B3">
        <v>1</v>
      </c>
      <c r="C3">
        <v>30049099</v>
      </c>
      <c r="D3" t="s">
        <v>289</v>
      </c>
      <c r="E3" t="s">
        <v>2443</v>
      </c>
      <c r="F3" t="e">
        <f>VLOOKUP(JENNIFFER!$B3,#REF!,4,1)</f>
        <v>#REF!</v>
      </c>
      <c r="G3" t="str">
        <f>IF(JENNIFFER!$E3="",JENNIFFER!$F3,JENNIFFER!$E3)</f>
        <v>SORBITOL</v>
      </c>
      <c r="I3" t="s">
        <v>288</v>
      </c>
      <c r="J3" t="s">
        <v>290</v>
      </c>
      <c r="K3" t="s">
        <v>2</v>
      </c>
      <c r="L3" t="s">
        <v>23</v>
      </c>
      <c r="M3">
        <v>1908113</v>
      </c>
      <c r="N3">
        <v>21224102</v>
      </c>
      <c r="O3">
        <v>48103881.719999999</v>
      </c>
      <c r="P3" t="s">
        <v>286</v>
      </c>
    </row>
    <row r="4" spans="2:24" x14ac:dyDescent="0.25">
      <c r="B4">
        <f t="shared" ref="B4:B67" si="0">+B3+1</f>
        <v>2</v>
      </c>
      <c r="C4">
        <v>30049099</v>
      </c>
      <c r="D4" t="s">
        <v>289</v>
      </c>
      <c r="E4" t="s">
        <v>2443</v>
      </c>
      <c r="F4" t="e">
        <f>VLOOKUP(JENNIFFER!$B4,#REF!,4,1)</f>
        <v>#REF!</v>
      </c>
      <c r="G4" t="str">
        <f>IF(JENNIFFER!$E4="",JENNIFFER!$F4,JENNIFFER!$E4)</f>
        <v>SORBITOL</v>
      </c>
      <c r="I4" t="s">
        <v>288</v>
      </c>
      <c r="J4" t="s">
        <v>290</v>
      </c>
      <c r="K4" t="s">
        <v>2</v>
      </c>
      <c r="L4" t="s">
        <v>23</v>
      </c>
      <c r="M4">
        <v>1908113</v>
      </c>
      <c r="N4">
        <v>21224102</v>
      </c>
      <c r="O4">
        <v>48103881.719999999</v>
      </c>
      <c r="P4" t="s">
        <v>595</v>
      </c>
    </row>
    <row r="5" spans="2:24" x14ac:dyDescent="0.25">
      <c r="B5">
        <f t="shared" si="0"/>
        <v>3</v>
      </c>
      <c r="C5">
        <v>30044090</v>
      </c>
      <c r="D5" t="s">
        <v>346</v>
      </c>
      <c r="E5" t="s">
        <v>2442</v>
      </c>
      <c r="F5" t="e">
        <f>VLOOKUP(JENNIFFER!$B5,#REF!,4,1)</f>
        <v>#REF!</v>
      </c>
      <c r="G5" t="str">
        <f>IF(JENNIFFER!$E5="",JENNIFFER!$F5,JENNIFFER!$E5)</f>
        <v>DEXAMETASONA</v>
      </c>
      <c r="I5" t="s">
        <v>345</v>
      </c>
      <c r="J5" t="s">
        <v>64</v>
      </c>
      <c r="K5" t="s">
        <v>2</v>
      </c>
      <c r="L5" t="s">
        <v>10</v>
      </c>
      <c r="M5">
        <v>845236</v>
      </c>
      <c r="N5">
        <v>1777348</v>
      </c>
      <c r="O5">
        <v>4066786.26</v>
      </c>
      <c r="P5" t="s">
        <v>338</v>
      </c>
    </row>
    <row r="6" spans="2:24" x14ac:dyDescent="0.25">
      <c r="B6">
        <f t="shared" si="0"/>
        <v>4</v>
      </c>
      <c r="C6">
        <v>30049099</v>
      </c>
      <c r="D6" t="s">
        <v>484</v>
      </c>
      <c r="E6" t="s">
        <v>2449</v>
      </c>
      <c r="F6" t="e">
        <f>VLOOKUP(JENNIFFER!$B6,#REF!,4,1)</f>
        <v>#REF!</v>
      </c>
      <c r="G6" t="str">
        <f>IF(JENNIFFER!$E6="",JENNIFFER!$F6,JENNIFFER!$E6)</f>
        <v>Hiperol</v>
      </c>
      <c r="I6" t="s">
        <v>474</v>
      </c>
      <c r="J6" t="s">
        <v>485</v>
      </c>
      <c r="K6" t="s">
        <v>4</v>
      </c>
      <c r="L6" t="s">
        <v>3</v>
      </c>
      <c r="M6">
        <v>485233</v>
      </c>
      <c r="N6">
        <v>2191922</v>
      </c>
      <c r="O6">
        <v>5011942.2</v>
      </c>
      <c r="P6" t="s">
        <v>472</v>
      </c>
    </row>
    <row r="7" spans="2:24" x14ac:dyDescent="0.25">
      <c r="B7">
        <f t="shared" si="0"/>
        <v>5</v>
      </c>
      <c r="C7">
        <v>30066000</v>
      </c>
      <c r="D7" t="s">
        <v>575</v>
      </c>
      <c r="E7" s="7" t="s">
        <v>2450</v>
      </c>
      <c r="F7" t="e">
        <f>VLOOKUP(JENNIFFER!$B7,#REF!,4,1)</f>
        <v>#REF!</v>
      </c>
      <c r="G7" t="str">
        <f>IF(JENNIFFER!$E7="",JENNIFFER!$F7,JENNIFFER!$E7)</f>
        <v>Acetato de medroxiprogesterona</v>
      </c>
      <c r="I7" t="s">
        <v>567</v>
      </c>
      <c r="J7" t="s">
        <v>29</v>
      </c>
      <c r="K7" t="s">
        <v>2</v>
      </c>
      <c r="L7" t="s">
        <v>3</v>
      </c>
      <c r="M7">
        <v>420847</v>
      </c>
      <c r="N7">
        <v>1157866</v>
      </c>
      <c r="O7">
        <v>2642928.46</v>
      </c>
      <c r="P7" t="s">
        <v>579</v>
      </c>
    </row>
    <row r="8" spans="2:24" x14ac:dyDescent="0.25">
      <c r="B8">
        <f t="shared" si="0"/>
        <v>6</v>
      </c>
      <c r="C8">
        <v>30043929</v>
      </c>
      <c r="D8" t="s">
        <v>141</v>
      </c>
      <c r="E8" s="7" t="s">
        <v>2451</v>
      </c>
      <c r="F8" t="e">
        <f>VLOOKUP(JENNIFFER!$B8,#REF!,4,1)</f>
        <v>#REF!</v>
      </c>
      <c r="G8" t="str">
        <f>IF(JENNIFFER!$E8="",JENNIFFER!$F8,JENNIFFER!$E8)</f>
        <v>Risedronato sódico</v>
      </c>
      <c r="I8" t="s">
        <v>138</v>
      </c>
      <c r="J8" t="s">
        <v>28</v>
      </c>
      <c r="K8" t="s">
        <v>2</v>
      </c>
      <c r="L8" t="s">
        <v>23</v>
      </c>
      <c r="M8">
        <v>476588</v>
      </c>
      <c r="N8">
        <v>19699559</v>
      </c>
      <c r="O8">
        <v>44973575.280000001</v>
      </c>
      <c r="P8" t="s">
        <v>146</v>
      </c>
    </row>
    <row r="9" spans="2:24" x14ac:dyDescent="0.25">
      <c r="B9">
        <f t="shared" si="0"/>
        <v>7</v>
      </c>
      <c r="C9">
        <v>30049029</v>
      </c>
      <c r="D9" t="s">
        <v>156</v>
      </c>
      <c r="E9" t="s">
        <v>2441</v>
      </c>
      <c r="F9" t="e">
        <f>VLOOKUP(JENNIFFER!$B9,#REF!,4,1)</f>
        <v>#REF!</v>
      </c>
      <c r="G9" t="str">
        <f>IF(JENNIFFER!$E9="",JENNIFFER!$F9,JENNIFFER!$E9)</f>
        <v>Ibuprofeno</v>
      </c>
      <c r="I9" t="s">
        <v>7</v>
      </c>
      <c r="J9" t="s">
        <v>157</v>
      </c>
      <c r="K9" t="s">
        <v>4</v>
      </c>
      <c r="L9" t="s">
        <v>3</v>
      </c>
      <c r="M9">
        <v>3104441</v>
      </c>
      <c r="N9">
        <v>15127292</v>
      </c>
      <c r="O9">
        <v>34569972.380000003</v>
      </c>
      <c r="P9" t="s">
        <v>5</v>
      </c>
    </row>
    <row r="10" spans="2:24" x14ac:dyDescent="0.25">
      <c r="B10">
        <f t="shared" si="0"/>
        <v>8</v>
      </c>
      <c r="C10">
        <v>30049029</v>
      </c>
      <c r="D10" t="s">
        <v>156</v>
      </c>
      <c r="E10" t="s">
        <v>2441</v>
      </c>
      <c r="F10" t="e">
        <f>VLOOKUP(JENNIFFER!$B10,#REF!,4,1)</f>
        <v>#REF!</v>
      </c>
      <c r="G10" t="str">
        <f>IF(JENNIFFER!$E10="",JENNIFFER!$F10,JENNIFFER!$E10)</f>
        <v>Ibuprofeno</v>
      </c>
      <c r="I10" t="s">
        <v>7</v>
      </c>
      <c r="J10" t="s">
        <v>157</v>
      </c>
      <c r="K10" t="s">
        <v>4</v>
      </c>
      <c r="L10" t="s">
        <v>3</v>
      </c>
      <c r="M10">
        <v>3104441</v>
      </c>
      <c r="N10">
        <v>15127292</v>
      </c>
      <c r="O10">
        <v>34569972.380000003</v>
      </c>
      <c r="P10" t="s">
        <v>449</v>
      </c>
    </row>
    <row r="11" spans="2:24" x14ac:dyDescent="0.25">
      <c r="B11">
        <f t="shared" si="0"/>
        <v>9</v>
      </c>
      <c r="C11">
        <v>30049029</v>
      </c>
      <c r="D11" t="s">
        <v>156</v>
      </c>
      <c r="E11" t="s">
        <v>2441</v>
      </c>
      <c r="F11" t="e">
        <f>VLOOKUP(JENNIFFER!$B11,#REF!,4,1)</f>
        <v>#REF!</v>
      </c>
      <c r="G11" t="str">
        <f>IF(JENNIFFER!$E11="",JENNIFFER!$F11,JENNIFFER!$E11)</f>
        <v>Ibuprofeno</v>
      </c>
      <c r="I11" t="s">
        <v>7</v>
      </c>
      <c r="J11" t="s">
        <v>157</v>
      </c>
      <c r="K11" t="s">
        <v>4</v>
      </c>
      <c r="L11" t="s">
        <v>3</v>
      </c>
      <c r="M11">
        <v>3104441</v>
      </c>
      <c r="N11">
        <v>15127292</v>
      </c>
      <c r="O11">
        <v>34569972.380000003</v>
      </c>
      <c r="P11" t="s">
        <v>559</v>
      </c>
    </row>
    <row r="12" spans="2:24" x14ac:dyDescent="0.25">
      <c r="B12">
        <f t="shared" si="0"/>
        <v>10</v>
      </c>
      <c r="C12">
        <v>30049039</v>
      </c>
      <c r="D12" t="s">
        <v>177</v>
      </c>
      <c r="E12" t="s">
        <v>2452</v>
      </c>
      <c r="F12" t="e">
        <f>VLOOKUP(JENNIFFER!$B12,#REF!,4,1)</f>
        <v>#REF!</v>
      </c>
      <c r="G12" t="str">
        <f>IF(JENNIFFER!$E12="",JENNIFFER!$F12,JENNIFFER!$E12)</f>
        <v>Ácido Fólico</v>
      </c>
      <c r="I12" t="s">
        <v>176</v>
      </c>
      <c r="J12" t="s">
        <v>64</v>
      </c>
      <c r="K12" t="s">
        <v>2</v>
      </c>
      <c r="L12" t="s">
        <v>3</v>
      </c>
      <c r="M12">
        <v>734175</v>
      </c>
      <c r="N12">
        <v>1757030</v>
      </c>
      <c r="O12">
        <v>4016935.98</v>
      </c>
      <c r="P12" t="s">
        <v>174</v>
      </c>
    </row>
    <row r="13" spans="2:24" x14ac:dyDescent="0.25">
      <c r="B13">
        <f t="shared" si="0"/>
        <v>11</v>
      </c>
      <c r="C13">
        <v>30049099</v>
      </c>
      <c r="D13" t="s">
        <v>208</v>
      </c>
      <c r="E13" s="8" t="s">
        <v>2453</v>
      </c>
      <c r="F13" t="e">
        <f>VLOOKUP(JENNIFFER!$B13,#REF!,4,1)</f>
        <v>#REF!</v>
      </c>
      <c r="G13" t="str">
        <f>IF(JENNIFFER!$E13="",JENNIFFER!$F13,JENNIFFER!$E13)</f>
        <v>Citrato de sildenafila</v>
      </c>
      <c r="I13" t="s">
        <v>205</v>
      </c>
      <c r="J13" t="s">
        <v>39</v>
      </c>
      <c r="K13" t="s">
        <v>2</v>
      </c>
      <c r="L13" t="s">
        <v>3</v>
      </c>
      <c r="M13">
        <v>1588844</v>
      </c>
      <c r="N13">
        <v>6152881</v>
      </c>
      <c r="O13">
        <v>14045538.140000001</v>
      </c>
      <c r="P13" t="s">
        <v>210</v>
      </c>
    </row>
    <row r="14" spans="2:24" x14ac:dyDescent="0.25">
      <c r="B14">
        <f t="shared" si="0"/>
        <v>12</v>
      </c>
      <c r="C14">
        <v>30049069</v>
      </c>
      <c r="D14" t="s">
        <v>308</v>
      </c>
      <c r="E14" s="7" t="s">
        <v>2454</v>
      </c>
      <c r="F14" t="e">
        <f>VLOOKUP(JENNIFFER!$B14,#REF!,4,1)</f>
        <v>#REF!</v>
      </c>
      <c r="G14" t="str">
        <f>IF(JENNIFFER!$E14="",JENNIFFER!$F14,JENNIFFER!$E14)</f>
        <v>Cloridrato de biperideno</v>
      </c>
      <c r="I14" t="s">
        <v>305</v>
      </c>
      <c r="J14" t="s">
        <v>9</v>
      </c>
      <c r="K14" t="s">
        <v>2</v>
      </c>
      <c r="L14" t="s">
        <v>23</v>
      </c>
      <c r="M14">
        <v>553221</v>
      </c>
      <c r="N14">
        <v>5005449</v>
      </c>
      <c r="O14">
        <v>11426125.449999999</v>
      </c>
      <c r="P14" t="s">
        <v>316</v>
      </c>
    </row>
    <row r="15" spans="2:24" x14ac:dyDescent="0.25">
      <c r="B15">
        <f t="shared" si="0"/>
        <v>13</v>
      </c>
      <c r="C15">
        <v>30049059</v>
      </c>
      <c r="D15" t="s">
        <v>139</v>
      </c>
      <c r="E15" s="7" t="s">
        <v>2455</v>
      </c>
      <c r="F15" t="e">
        <f>VLOOKUP(JENNIFFER!$B15,#REF!,4,1)</f>
        <v>#REF!</v>
      </c>
      <c r="G15" t="str">
        <f>IF(JENNIFFER!$E15="",JENNIFFER!$F15,JENNIFFER!$E15)</f>
        <v>Alendronato de sódio</v>
      </c>
      <c r="I15" t="s">
        <v>138</v>
      </c>
      <c r="J15" t="s">
        <v>103</v>
      </c>
      <c r="K15" t="s">
        <v>2</v>
      </c>
      <c r="L15" t="s">
        <v>10</v>
      </c>
      <c r="M15">
        <v>824735</v>
      </c>
      <c r="N15">
        <v>12084077</v>
      </c>
      <c r="O15">
        <v>27569931.329999998</v>
      </c>
      <c r="P15" t="s">
        <v>146</v>
      </c>
    </row>
    <row r="16" spans="2:24" x14ac:dyDescent="0.25">
      <c r="B16">
        <f t="shared" si="0"/>
        <v>14</v>
      </c>
      <c r="C16">
        <v>30043290</v>
      </c>
      <c r="D16" t="s">
        <v>528</v>
      </c>
      <c r="E16" s="7" t="s">
        <v>2456</v>
      </c>
      <c r="F16" t="e">
        <f>VLOOKUP(JENNIFFER!$B16,#REF!,4,1)</f>
        <v>#REF!</v>
      </c>
      <c r="G16" t="str">
        <f>IF(JENNIFFER!$E16="",JENNIFFER!$F16,JENNIFFER!$E16)</f>
        <v>Fumarato de formoterol + budesonida</v>
      </c>
      <c r="I16" t="s">
        <v>529</v>
      </c>
      <c r="J16" t="s">
        <v>1</v>
      </c>
      <c r="K16" t="s">
        <v>2</v>
      </c>
      <c r="L16" t="s">
        <v>3</v>
      </c>
      <c r="M16">
        <v>1520387</v>
      </c>
      <c r="N16">
        <v>43303268</v>
      </c>
      <c r="O16">
        <v>98802063.840000004</v>
      </c>
      <c r="P16" t="s">
        <v>533</v>
      </c>
    </row>
    <row r="17" spans="2:16" x14ac:dyDescent="0.25">
      <c r="B17">
        <f t="shared" si="0"/>
        <v>15</v>
      </c>
      <c r="C17">
        <v>30043290</v>
      </c>
      <c r="D17" t="s">
        <v>528</v>
      </c>
      <c r="E17" s="7" t="s">
        <v>2456</v>
      </c>
      <c r="F17" t="e">
        <f>VLOOKUP(JENNIFFER!$B17,#REF!,4,1)</f>
        <v>#REF!</v>
      </c>
      <c r="G17" t="str">
        <f>IF(JENNIFFER!$E17="",JENNIFFER!$F17,JENNIFFER!$E17)</f>
        <v>Fumarato de formoterol + budesonida</v>
      </c>
      <c r="I17" t="s">
        <v>529</v>
      </c>
      <c r="J17" t="s">
        <v>1</v>
      </c>
      <c r="K17" t="s">
        <v>2</v>
      </c>
      <c r="L17" t="s">
        <v>3</v>
      </c>
      <c r="M17">
        <v>1520387</v>
      </c>
      <c r="N17">
        <v>43303268</v>
      </c>
      <c r="O17">
        <v>98802063.840000004</v>
      </c>
      <c r="P17" t="s">
        <v>595</v>
      </c>
    </row>
    <row r="18" spans="2:16" x14ac:dyDescent="0.25">
      <c r="B18">
        <f t="shared" si="0"/>
        <v>16</v>
      </c>
      <c r="C18">
        <v>30043290</v>
      </c>
      <c r="D18" t="s">
        <v>528</v>
      </c>
      <c r="E18" s="7" t="s">
        <v>2456</v>
      </c>
      <c r="F18" t="e">
        <f>VLOOKUP(JENNIFFER!$B18,#REF!,4,1)</f>
        <v>#REF!</v>
      </c>
      <c r="G18" t="str">
        <f>IF(JENNIFFER!$E18="",JENNIFFER!$F18,JENNIFFER!$E18)</f>
        <v>Fumarato de formoterol + budesonida</v>
      </c>
      <c r="I18" t="s">
        <v>529</v>
      </c>
      <c r="J18" t="s">
        <v>1</v>
      </c>
      <c r="K18" t="s">
        <v>2</v>
      </c>
      <c r="L18" t="s">
        <v>3</v>
      </c>
      <c r="M18">
        <v>1520387</v>
      </c>
      <c r="N18">
        <v>43303268</v>
      </c>
      <c r="O18">
        <v>98802063.840000004</v>
      </c>
      <c r="P18" t="s">
        <v>611</v>
      </c>
    </row>
    <row r="19" spans="2:16" x14ac:dyDescent="0.25">
      <c r="B19">
        <f t="shared" si="0"/>
        <v>17</v>
      </c>
      <c r="C19">
        <v>30049029</v>
      </c>
      <c r="D19" t="s">
        <v>152</v>
      </c>
      <c r="E19" t="s">
        <v>2441</v>
      </c>
      <c r="F19" t="e">
        <f>VLOOKUP(JENNIFFER!$B19,#REF!,4,1)</f>
        <v>#REF!</v>
      </c>
      <c r="G19" t="str">
        <f>IF(JENNIFFER!$E19="",JENNIFFER!$F19,JENNIFFER!$E19)</f>
        <v>Ibuprofeno</v>
      </c>
      <c r="I19" t="s">
        <v>7</v>
      </c>
      <c r="J19" t="s">
        <v>153</v>
      </c>
      <c r="K19" t="s">
        <v>4</v>
      </c>
      <c r="L19" t="s">
        <v>23</v>
      </c>
      <c r="M19">
        <v>3816939</v>
      </c>
      <c r="N19">
        <v>27941340</v>
      </c>
      <c r="O19">
        <v>63627646.25</v>
      </c>
      <c r="P19" t="s">
        <v>5</v>
      </c>
    </row>
    <row r="20" spans="2:16" x14ac:dyDescent="0.25">
      <c r="B20">
        <f t="shared" si="0"/>
        <v>18</v>
      </c>
      <c r="C20">
        <v>30049029</v>
      </c>
      <c r="D20" t="s">
        <v>152</v>
      </c>
      <c r="E20" t="s">
        <v>2441</v>
      </c>
      <c r="F20" t="e">
        <f>VLOOKUP(JENNIFFER!$B20,#REF!,4,1)</f>
        <v>#REF!</v>
      </c>
      <c r="G20" t="str">
        <f>IF(JENNIFFER!$E20="",JENNIFFER!$F20,JENNIFFER!$E20)</f>
        <v>Ibuprofeno</v>
      </c>
      <c r="I20" t="s">
        <v>7</v>
      </c>
      <c r="J20" t="s">
        <v>153</v>
      </c>
      <c r="K20" t="s">
        <v>4</v>
      </c>
      <c r="L20" t="s">
        <v>23</v>
      </c>
      <c r="M20">
        <v>3816939</v>
      </c>
      <c r="N20">
        <v>27941340</v>
      </c>
      <c r="O20">
        <v>63627646.25</v>
      </c>
      <c r="P20" t="s">
        <v>333</v>
      </c>
    </row>
    <row r="21" spans="2:16" x14ac:dyDescent="0.25">
      <c r="B21">
        <f t="shared" si="0"/>
        <v>19</v>
      </c>
      <c r="C21">
        <v>30049069</v>
      </c>
      <c r="D21" t="s">
        <v>591</v>
      </c>
      <c r="E21" s="9" t="s">
        <v>2457</v>
      </c>
      <c r="F21" t="e">
        <f>VLOOKUP(JENNIFFER!$B21,#REF!,4,1)</f>
        <v>#REF!</v>
      </c>
      <c r="G21" t="str">
        <f>IF(JENNIFFER!$E21="",JENNIFFER!$F21,JENNIFFER!$E21)</f>
        <v>Cloridrato de fexofenadina</v>
      </c>
      <c r="I21" t="s">
        <v>226</v>
      </c>
      <c r="J21" t="s">
        <v>28</v>
      </c>
      <c r="K21" t="s">
        <v>2</v>
      </c>
      <c r="L21" t="s">
        <v>23</v>
      </c>
      <c r="M21">
        <v>1785365</v>
      </c>
      <c r="N21">
        <v>24650140</v>
      </c>
      <c r="O21">
        <v>56040078.609999999</v>
      </c>
      <c r="P21" t="s">
        <v>589</v>
      </c>
    </row>
    <row r="22" spans="2:16" x14ac:dyDescent="0.25">
      <c r="B22">
        <f t="shared" si="0"/>
        <v>20</v>
      </c>
      <c r="C22">
        <v>30049099</v>
      </c>
      <c r="D22" t="s">
        <v>592</v>
      </c>
      <c r="E22" s="9" t="s">
        <v>2458</v>
      </c>
      <c r="F22" t="e">
        <f>VLOOKUP(JENNIFFER!$B22,#REF!,4,1)</f>
        <v>#REF!</v>
      </c>
      <c r="G22" t="str">
        <f>IF(JENNIFFER!$E22="",JENNIFFER!$F22,JENNIFFER!$E22)</f>
        <v>Cloridrato de fexofenadina + Cloridrato de Pseudoefedrina</v>
      </c>
      <c r="I22" t="s">
        <v>226</v>
      </c>
      <c r="J22" t="s">
        <v>29</v>
      </c>
      <c r="K22" t="s">
        <v>2</v>
      </c>
      <c r="L22" t="s">
        <v>3</v>
      </c>
      <c r="M22">
        <v>829273</v>
      </c>
      <c r="N22">
        <v>9847393</v>
      </c>
      <c r="O22">
        <v>22341172.309999999</v>
      </c>
      <c r="P22" t="s">
        <v>589</v>
      </c>
    </row>
    <row r="23" spans="2:16" x14ac:dyDescent="0.25">
      <c r="B23">
        <f t="shared" si="0"/>
        <v>21</v>
      </c>
      <c r="C23">
        <v>30039049</v>
      </c>
      <c r="D23" t="s">
        <v>347</v>
      </c>
      <c r="E23" s="1" t="s">
        <v>2459</v>
      </c>
      <c r="F23" t="e">
        <f>VLOOKUP(JENNIFFER!$B23,#REF!,4,1)</f>
        <v>#REF!</v>
      </c>
      <c r="G23" t="str">
        <f>IF(JENNIFFER!$E23="",JENNIFFER!$F23,JENNIFFER!$E23)</f>
        <v>cloridrato de memantina</v>
      </c>
      <c r="I23" t="s">
        <v>348</v>
      </c>
      <c r="J23" t="s">
        <v>109</v>
      </c>
      <c r="K23" t="s">
        <v>2</v>
      </c>
      <c r="L23" t="s">
        <v>3</v>
      </c>
      <c r="M23">
        <v>170946</v>
      </c>
      <c r="N23">
        <v>3950984</v>
      </c>
      <c r="O23">
        <v>9005303.8100000005</v>
      </c>
      <c r="P23" t="s">
        <v>361</v>
      </c>
    </row>
    <row r="24" spans="2:16" x14ac:dyDescent="0.25">
      <c r="B24">
        <f t="shared" si="0"/>
        <v>22</v>
      </c>
      <c r="C24">
        <v>30039049</v>
      </c>
      <c r="D24" t="s">
        <v>359</v>
      </c>
      <c r="E24" s="9" t="s">
        <v>2459</v>
      </c>
      <c r="F24" t="e">
        <f>VLOOKUP(JENNIFFER!$B24,#REF!,4,1)</f>
        <v>#REF!</v>
      </c>
      <c r="G24" t="str">
        <f>IF(JENNIFFER!$E24="",JENNIFFER!$F24,JENNIFFER!$E24)</f>
        <v>cloridrato de memantina</v>
      </c>
      <c r="I24" t="s">
        <v>348</v>
      </c>
      <c r="J24" t="s">
        <v>109</v>
      </c>
      <c r="K24" t="s">
        <v>2</v>
      </c>
      <c r="L24" t="s">
        <v>3</v>
      </c>
      <c r="M24">
        <v>90848</v>
      </c>
      <c r="N24">
        <v>4159045</v>
      </c>
      <c r="O24">
        <v>9479220.6999999993</v>
      </c>
      <c r="P24" t="s">
        <v>361</v>
      </c>
    </row>
    <row r="25" spans="2:16" x14ac:dyDescent="0.25">
      <c r="B25">
        <f t="shared" si="0"/>
        <v>23</v>
      </c>
      <c r="C25">
        <v>30049069</v>
      </c>
      <c r="D25" t="s">
        <v>241</v>
      </c>
      <c r="E25" t="s">
        <v>2460</v>
      </c>
      <c r="F25" t="e">
        <f>VLOOKUP(JENNIFFER!$B25,#REF!,4,1)</f>
        <v>#REF!</v>
      </c>
      <c r="G25" t="str">
        <f>IF(JENNIFFER!$E25="",JENNIFFER!$F25,JENNIFFER!$E25)</f>
        <v>Alopurinol</v>
      </c>
      <c r="I25" t="s">
        <v>242</v>
      </c>
      <c r="J25" t="s">
        <v>52</v>
      </c>
      <c r="K25" t="s">
        <v>2</v>
      </c>
      <c r="L25" t="s">
        <v>10</v>
      </c>
      <c r="M25">
        <v>1311946</v>
      </c>
      <c r="N25">
        <v>3223325</v>
      </c>
      <c r="O25">
        <v>7352528.0099999998</v>
      </c>
      <c r="P25" t="s">
        <v>250</v>
      </c>
    </row>
    <row r="26" spans="2:16" x14ac:dyDescent="0.25">
      <c r="B26">
        <f t="shared" si="0"/>
        <v>24</v>
      </c>
      <c r="C26">
        <v>30049069</v>
      </c>
      <c r="D26" t="s">
        <v>241</v>
      </c>
      <c r="E26" t="s">
        <v>2460</v>
      </c>
      <c r="F26" t="e">
        <f>VLOOKUP(JENNIFFER!$B26,#REF!,4,1)</f>
        <v>#REF!</v>
      </c>
      <c r="G26" t="str">
        <f>IF(JENNIFFER!$E26="",JENNIFFER!$F26,JENNIFFER!$E26)</f>
        <v>Alopurinol</v>
      </c>
      <c r="I26" t="s">
        <v>242</v>
      </c>
      <c r="J26" t="s">
        <v>123</v>
      </c>
      <c r="K26" t="s">
        <v>2</v>
      </c>
      <c r="L26" t="s">
        <v>10</v>
      </c>
      <c r="M26">
        <v>249125</v>
      </c>
      <c r="N26">
        <v>588749</v>
      </c>
      <c r="O26">
        <v>1343005.91</v>
      </c>
      <c r="P26" t="s">
        <v>250</v>
      </c>
    </row>
    <row r="27" spans="2:16" x14ac:dyDescent="0.25">
      <c r="B27">
        <f t="shared" si="0"/>
        <v>25</v>
      </c>
      <c r="C27">
        <v>30049069</v>
      </c>
      <c r="D27" t="s">
        <v>243</v>
      </c>
      <c r="E27" t="s">
        <v>2460</v>
      </c>
      <c r="F27" t="e">
        <f>VLOOKUP(JENNIFFER!$B27,#REF!,4,1)</f>
        <v>#REF!</v>
      </c>
      <c r="G27" t="str">
        <f>IF(JENNIFFER!$E27="",JENNIFFER!$F27,JENNIFFER!$E27)</f>
        <v>Alopurinol</v>
      </c>
      <c r="I27" t="s">
        <v>242</v>
      </c>
      <c r="J27" t="s">
        <v>52</v>
      </c>
      <c r="K27" t="s">
        <v>2</v>
      </c>
      <c r="L27" t="s">
        <v>10</v>
      </c>
      <c r="M27">
        <v>920850</v>
      </c>
      <c r="N27">
        <v>6672403</v>
      </c>
      <c r="O27">
        <v>15240524.140000001</v>
      </c>
      <c r="P27" t="s">
        <v>250</v>
      </c>
    </row>
    <row r="28" spans="2:16" x14ac:dyDescent="0.25">
      <c r="B28">
        <f t="shared" si="0"/>
        <v>26</v>
      </c>
      <c r="C28">
        <v>30049069</v>
      </c>
      <c r="D28" t="s">
        <v>243</v>
      </c>
      <c r="E28" t="s">
        <v>2460</v>
      </c>
      <c r="F28" t="e">
        <f>VLOOKUP(JENNIFFER!$B28,#REF!,4,1)</f>
        <v>#REF!</v>
      </c>
      <c r="G28" t="str">
        <f>IF(JENNIFFER!$E28="",JENNIFFER!$F28,JENNIFFER!$E28)</f>
        <v>Alopurinol</v>
      </c>
      <c r="I28" t="s">
        <v>242</v>
      </c>
      <c r="J28" t="s">
        <v>103</v>
      </c>
      <c r="K28" t="s">
        <v>2</v>
      </c>
      <c r="L28" t="s">
        <v>10</v>
      </c>
      <c r="M28">
        <v>559458</v>
      </c>
      <c r="N28">
        <v>3745861</v>
      </c>
      <c r="O28">
        <v>8558044.9299999997</v>
      </c>
      <c r="P28" t="s">
        <v>250</v>
      </c>
    </row>
    <row r="29" spans="2:16" x14ac:dyDescent="0.25">
      <c r="B29">
        <f t="shared" si="0"/>
        <v>27</v>
      </c>
      <c r="C29">
        <v>30032099</v>
      </c>
      <c r="D29" t="s">
        <v>468</v>
      </c>
      <c r="E29" s="7" t="s">
        <v>2461</v>
      </c>
      <c r="F29" t="e">
        <f>VLOOKUP(JENNIFFER!$B29,#REF!,4,1)</f>
        <v>#REF!</v>
      </c>
      <c r="G29" t="str">
        <f>IF(JENNIFFER!$E29="",JENNIFFER!$F29,JENNIFFER!$E29)</f>
        <v>tartarato de brimonidina</v>
      </c>
      <c r="I29" t="s">
        <v>462</v>
      </c>
      <c r="J29" t="s">
        <v>469</v>
      </c>
      <c r="K29" t="s">
        <v>2</v>
      </c>
      <c r="L29" t="s">
        <v>23</v>
      </c>
      <c r="M29">
        <v>493049</v>
      </c>
      <c r="N29">
        <v>5688175</v>
      </c>
      <c r="O29">
        <v>12983304.9</v>
      </c>
      <c r="P29" t="s">
        <v>471</v>
      </c>
    </row>
    <row r="30" spans="2:16" x14ac:dyDescent="0.25">
      <c r="B30">
        <f t="shared" si="0"/>
        <v>28</v>
      </c>
      <c r="C30">
        <v>30049099</v>
      </c>
      <c r="D30" t="s">
        <v>452</v>
      </c>
      <c r="E30" s="7" t="s">
        <v>2462</v>
      </c>
      <c r="F30" t="e">
        <f>VLOOKUP(JENNIFFER!$B30,#REF!,4,1)</f>
        <v>#REF!</v>
      </c>
      <c r="G30" t="str">
        <f>IF(JENNIFFER!$E30="",JENNIFFER!$F30,JENNIFFER!$E30)</f>
        <v>benzocaína tirotricina</v>
      </c>
      <c r="I30" t="s">
        <v>451</v>
      </c>
      <c r="J30" t="s">
        <v>103</v>
      </c>
      <c r="K30" t="s">
        <v>4</v>
      </c>
      <c r="L30" t="s">
        <v>3</v>
      </c>
      <c r="M30">
        <v>1917235</v>
      </c>
      <c r="N30">
        <v>7896388</v>
      </c>
      <c r="O30">
        <v>17917493.48</v>
      </c>
      <c r="P30" t="s">
        <v>460</v>
      </c>
    </row>
    <row r="31" spans="2:16" x14ac:dyDescent="0.25">
      <c r="B31">
        <f t="shared" si="0"/>
        <v>29</v>
      </c>
      <c r="C31">
        <v>30049099</v>
      </c>
      <c r="D31" t="s">
        <v>492</v>
      </c>
      <c r="E31" s="7" t="s">
        <v>2444</v>
      </c>
      <c r="F31" t="e">
        <f>VLOOKUP(JENNIFFER!$B31,#REF!,4,1)</f>
        <v>#REF!</v>
      </c>
      <c r="G31" t="str">
        <f>IF(JENNIFFER!$E31="",JENNIFFER!$F31,JENNIFFER!$E31)</f>
        <v>cloridrato de amiodarona</v>
      </c>
      <c r="I31" t="s">
        <v>488</v>
      </c>
      <c r="J31" t="s">
        <v>247</v>
      </c>
      <c r="K31" t="s">
        <v>2</v>
      </c>
      <c r="L31" t="s">
        <v>3</v>
      </c>
      <c r="M31">
        <v>131270</v>
      </c>
      <c r="N31">
        <v>986453</v>
      </c>
      <c r="O31">
        <v>2255052.04</v>
      </c>
      <c r="P31" t="s">
        <v>498</v>
      </c>
    </row>
    <row r="32" spans="2:16" x14ac:dyDescent="0.25">
      <c r="B32">
        <f t="shared" si="0"/>
        <v>30</v>
      </c>
      <c r="C32">
        <v>30041012</v>
      </c>
      <c r="D32" t="s">
        <v>458</v>
      </c>
      <c r="E32" t="s">
        <v>2463</v>
      </c>
      <c r="F32" t="e">
        <f>VLOOKUP(JENNIFFER!$B32,#REF!,4,1)</f>
        <v>#REF!</v>
      </c>
      <c r="G32" t="str">
        <f>IF(JENNIFFER!$E32="",JENNIFFER!$F32,JENNIFFER!$E32)</f>
        <v>Amoxicilina +  clavulanato de potássio</v>
      </c>
      <c r="I32" t="s">
        <v>459</v>
      </c>
      <c r="J32" t="s">
        <v>29</v>
      </c>
      <c r="K32" t="s">
        <v>2</v>
      </c>
      <c r="L32" t="s">
        <v>10</v>
      </c>
      <c r="M32">
        <v>674345</v>
      </c>
      <c r="N32">
        <v>11568329</v>
      </c>
      <c r="O32">
        <v>26313184.969999999</v>
      </c>
      <c r="P32" t="s">
        <v>460</v>
      </c>
    </row>
    <row r="33" spans="2:16" x14ac:dyDescent="0.25">
      <c r="B33">
        <f t="shared" si="0"/>
        <v>31</v>
      </c>
      <c r="C33">
        <v>30041012</v>
      </c>
      <c r="D33" t="s">
        <v>608</v>
      </c>
      <c r="E33" t="s">
        <v>2464</v>
      </c>
      <c r="F33" t="e">
        <f>VLOOKUP(JENNIFFER!$B33,#REF!,4,1)</f>
        <v>#REF!</v>
      </c>
      <c r="G33" t="str">
        <f>IF(JENNIFFER!$E33="",JENNIFFER!$F33,JENNIFFER!$E33)</f>
        <v>Amoxicilina</v>
      </c>
      <c r="I33" t="s">
        <v>459</v>
      </c>
      <c r="J33" t="s">
        <v>64</v>
      </c>
      <c r="K33" t="s">
        <v>2</v>
      </c>
      <c r="L33" t="s">
        <v>10</v>
      </c>
      <c r="M33">
        <v>1285882</v>
      </c>
      <c r="N33">
        <v>8450638</v>
      </c>
      <c r="O33">
        <v>19215445.66</v>
      </c>
      <c r="P33" t="s">
        <v>594</v>
      </c>
    </row>
    <row r="34" spans="2:16" x14ac:dyDescent="0.25">
      <c r="B34">
        <f t="shared" si="0"/>
        <v>32</v>
      </c>
      <c r="C34">
        <v>30041012</v>
      </c>
      <c r="D34" t="s">
        <v>608</v>
      </c>
      <c r="E34" t="s">
        <v>2464</v>
      </c>
      <c r="F34" t="e">
        <f>VLOOKUP(JENNIFFER!$B34,#REF!,4,1)</f>
        <v>#REF!</v>
      </c>
      <c r="G34" t="str">
        <f>IF(JENNIFFER!$E34="",JENNIFFER!$F34,JENNIFFER!$E34)</f>
        <v>Amoxicilina</v>
      </c>
      <c r="I34" t="s">
        <v>459</v>
      </c>
      <c r="J34" t="s">
        <v>64</v>
      </c>
      <c r="K34" t="s">
        <v>2</v>
      </c>
      <c r="L34" t="s">
        <v>10</v>
      </c>
      <c r="M34">
        <v>1285882</v>
      </c>
      <c r="N34">
        <v>8450638</v>
      </c>
      <c r="O34">
        <v>19215445.66</v>
      </c>
      <c r="P34" t="s">
        <v>611</v>
      </c>
    </row>
    <row r="35" spans="2:16" x14ac:dyDescent="0.25">
      <c r="B35">
        <f t="shared" si="0"/>
        <v>33</v>
      </c>
      <c r="C35">
        <v>30049069</v>
      </c>
      <c r="D35" t="s">
        <v>416</v>
      </c>
      <c r="E35" s="7" t="s">
        <v>2465</v>
      </c>
      <c r="F35" t="e">
        <f>VLOOKUP(JENNIFFER!$B35,#REF!,4,1)</f>
        <v>#REF!</v>
      </c>
      <c r="G35" t="str">
        <f>IF(JENNIFFER!$E35="",JENNIFFER!$F35,JENNIFFER!$E35)</f>
        <v>Amitriptilina</v>
      </c>
      <c r="I35" t="s">
        <v>415</v>
      </c>
      <c r="J35" t="s">
        <v>58</v>
      </c>
      <c r="K35" t="s">
        <v>2</v>
      </c>
      <c r="L35" t="s">
        <v>3</v>
      </c>
      <c r="M35">
        <v>1103062</v>
      </c>
      <c r="N35">
        <v>5593592</v>
      </c>
      <c r="O35">
        <v>12760600.01</v>
      </c>
      <c r="P35" t="s">
        <v>426</v>
      </c>
    </row>
    <row r="36" spans="2:16" x14ac:dyDescent="0.25">
      <c r="B36">
        <f t="shared" si="0"/>
        <v>34</v>
      </c>
      <c r="C36">
        <v>30049054</v>
      </c>
      <c r="D36" t="s">
        <v>497</v>
      </c>
      <c r="E36" s="7" t="s">
        <v>2444</v>
      </c>
      <c r="F36" t="e">
        <f>VLOOKUP(JENNIFFER!$B36,#REF!,4,1)</f>
        <v>#REF!</v>
      </c>
      <c r="G36" t="str">
        <f>IF(JENNIFFER!$E36="",JENNIFFER!$F36,JENNIFFER!$E36)</f>
        <v>cloridrato de amiodarona</v>
      </c>
      <c r="I36" t="s">
        <v>488</v>
      </c>
      <c r="J36" t="s">
        <v>136</v>
      </c>
      <c r="K36" t="s">
        <v>2</v>
      </c>
      <c r="L36" t="s">
        <v>3</v>
      </c>
      <c r="M36">
        <v>34442</v>
      </c>
      <c r="N36">
        <v>153559.09</v>
      </c>
      <c r="O36">
        <v>344447.8</v>
      </c>
      <c r="P36" t="s">
        <v>498</v>
      </c>
    </row>
    <row r="37" spans="2:16" x14ac:dyDescent="0.25">
      <c r="B37">
        <f t="shared" si="0"/>
        <v>35</v>
      </c>
      <c r="C37">
        <v>30049054</v>
      </c>
      <c r="D37" t="s">
        <v>489</v>
      </c>
      <c r="E37" s="7" t="s">
        <v>2444</v>
      </c>
      <c r="F37" t="e">
        <f>VLOOKUP(JENNIFFER!$B37,#REF!,4,1)</f>
        <v>#REF!</v>
      </c>
      <c r="G37" t="str">
        <f>IF(JENNIFFER!$E37="",JENNIFFER!$F37,JENNIFFER!$E37)</f>
        <v>cloridrato de amiodarona</v>
      </c>
      <c r="I37" t="s">
        <v>488</v>
      </c>
      <c r="J37" t="s">
        <v>136</v>
      </c>
      <c r="K37" t="s">
        <v>2</v>
      </c>
      <c r="L37" t="s">
        <v>3</v>
      </c>
      <c r="M37">
        <v>819091</v>
      </c>
      <c r="N37">
        <v>4684950</v>
      </c>
      <c r="O37">
        <v>10699740.33</v>
      </c>
      <c r="P37" t="s">
        <v>498</v>
      </c>
    </row>
    <row r="38" spans="2:16" x14ac:dyDescent="0.25">
      <c r="B38">
        <f t="shared" si="0"/>
        <v>36</v>
      </c>
      <c r="C38">
        <v>30049054</v>
      </c>
      <c r="D38" t="s">
        <v>487</v>
      </c>
      <c r="E38" s="7" t="s">
        <v>2444</v>
      </c>
      <c r="F38" t="e">
        <f>VLOOKUP(JENNIFFER!$B38,#REF!,4,1)</f>
        <v>#REF!</v>
      </c>
      <c r="G38" t="str">
        <f>IF(JENNIFFER!$E38="",JENNIFFER!$F38,JENNIFFER!$E38)</f>
        <v>cloridrato de amiodarona</v>
      </c>
      <c r="I38" t="s">
        <v>488</v>
      </c>
      <c r="J38" t="s">
        <v>136</v>
      </c>
      <c r="K38" t="s">
        <v>2</v>
      </c>
      <c r="L38" t="s">
        <v>3</v>
      </c>
      <c r="M38">
        <v>951272</v>
      </c>
      <c r="N38">
        <v>10891782</v>
      </c>
      <c r="O38">
        <v>24861837.120000001</v>
      </c>
      <c r="P38" t="s">
        <v>498</v>
      </c>
    </row>
    <row r="39" spans="2:16" x14ac:dyDescent="0.25">
      <c r="B39">
        <f t="shared" si="0"/>
        <v>37</v>
      </c>
      <c r="C39">
        <v>30043939</v>
      </c>
      <c r="D39" t="s">
        <v>571</v>
      </c>
      <c r="E39" s="7" t="s">
        <v>2466</v>
      </c>
      <c r="F39" t="e">
        <f>VLOOKUP(JENNIFFER!$B39,#REF!,4,1)</f>
        <v>#REF!</v>
      </c>
      <c r="G39" t="str">
        <f>IF(JENNIFFER!$E39="",JENNIFFER!$F39,JENNIFFER!$E39)</f>
        <v>estradiol drospirenona</v>
      </c>
      <c r="I39" t="s">
        <v>570</v>
      </c>
      <c r="J39" t="s">
        <v>400</v>
      </c>
      <c r="K39" t="s">
        <v>2</v>
      </c>
      <c r="L39" t="s">
        <v>23</v>
      </c>
      <c r="M39">
        <v>629965</v>
      </c>
      <c r="N39">
        <v>16107137</v>
      </c>
      <c r="O39">
        <v>36774949.960000001</v>
      </c>
      <c r="P39" t="s">
        <v>579</v>
      </c>
    </row>
    <row r="40" spans="2:16" x14ac:dyDescent="0.25">
      <c r="B40">
        <f t="shared" si="0"/>
        <v>38</v>
      </c>
      <c r="C40">
        <v>30049069</v>
      </c>
      <c r="D40" t="s">
        <v>321</v>
      </c>
      <c r="E40" s="7" t="s">
        <v>2467</v>
      </c>
      <c r="F40" t="e">
        <f>VLOOKUP(JENNIFFER!$B40,#REF!,4,1)</f>
        <v>#REF!</v>
      </c>
      <c r="G40" t="str">
        <f>IF(JENNIFFER!$E40="",JENNIFFER!$F40,JENNIFFER!$E40)</f>
        <v>losartana potássica</v>
      </c>
      <c r="I40" t="s">
        <v>318</v>
      </c>
      <c r="J40" t="s">
        <v>85</v>
      </c>
      <c r="K40" t="s">
        <v>2</v>
      </c>
      <c r="L40" t="s">
        <v>3</v>
      </c>
      <c r="M40">
        <v>3924678</v>
      </c>
      <c r="N40">
        <v>58370921</v>
      </c>
      <c r="O40">
        <v>133235633.48999999</v>
      </c>
      <c r="P40" t="s">
        <v>323</v>
      </c>
    </row>
    <row r="41" spans="2:16" x14ac:dyDescent="0.25">
      <c r="B41">
        <f t="shared" si="0"/>
        <v>39</v>
      </c>
      <c r="C41">
        <v>30049069</v>
      </c>
      <c r="D41" t="s">
        <v>396</v>
      </c>
      <c r="E41" s="7" t="s">
        <v>2468</v>
      </c>
      <c r="F41" t="e">
        <f>VLOOKUP(JENNIFFER!$B41,#REF!,4,1)</f>
        <v>#REF!</v>
      </c>
      <c r="G41" t="str">
        <f>IF(JENNIFFER!$E41="",JENNIFFER!$F41,JENNIFFER!$E41)</f>
        <v>etoricoxibe</v>
      </c>
      <c r="I41" t="s">
        <v>387</v>
      </c>
      <c r="J41" t="s">
        <v>267</v>
      </c>
      <c r="K41" t="s">
        <v>2</v>
      </c>
      <c r="L41" t="s">
        <v>23</v>
      </c>
      <c r="M41">
        <v>521638</v>
      </c>
      <c r="N41">
        <v>7507046</v>
      </c>
      <c r="O41">
        <v>17132062.440000001</v>
      </c>
      <c r="P41" t="s">
        <v>394</v>
      </c>
    </row>
    <row r="42" spans="2:16" x14ac:dyDescent="0.25">
      <c r="B42">
        <f t="shared" si="0"/>
        <v>40</v>
      </c>
      <c r="C42">
        <v>30049039</v>
      </c>
      <c r="D42" t="s">
        <v>314</v>
      </c>
      <c r="E42" s="7" t="s">
        <v>2469</v>
      </c>
      <c r="F42" t="e">
        <f>VLOOKUP(JENNIFFER!$B42,#REF!,4,1)</f>
        <v>#REF!</v>
      </c>
      <c r="G42" t="str">
        <f>IF(JENNIFFER!$E42="",JENNIFFER!$F42,JENNIFFER!$E42)</f>
        <v>cloridrato de triexifenidil</v>
      </c>
      <c r="I42" t="s">
        <v>305</v>
      </c>
      <c r="J42" t="s">
        <v>109</v>
      </c>
      <c r="K42" t="s">
        <v>2</v>
      </c>
      <c r="L42" t="s">
        <v>23</v>
      </c>
      <c r="M42">
        <v>141557</v>
      </c>
      <c r="N42">
        <v>474452</v>
      </c>
      <c r="O42">
        <v>1077503.24</v>
      </c>
      <c r="P42" t="s">
        <v>316</v>
      </c>
    </row>
    <row r="43" spans="2:16" x14ac:dyDescent="0.25">
      <c r="B43">
        <f t="shared" si="0"/>
        <v>41</v>
      </c>
      <c r="C43">
        <v>33049100</v>
      </c>
      <c r="D43" t="s">
        <v>276</v>
      </c>
      <c r="E43" t="s">
        <v>2551</v>
      </c>
      <c r="F43" t="e">
        <f>VLOOKUP(JENNIFFER!$B43,#REF!,4,1)</f>
        <v>#REF!</v>
      </c>
      <c r="G43" t="str">
        <f>IF(JENNIFFER!$E43="",JENNIFFER!$F43,JENNIFFER!$E43)</f>
        <v>Antiacnil-3</v>
      </c>
      <c r="I43" t="s">
        <v>277</v>
      </c>
      <c r="J43" t="s">
        <v>278</v>
      </c>
      <c r="K43" t="s">
        <v>4</v>
      </c>
      <c r="L43" t="s">
        <v>3</v>
      </c>
      <c r="M43">
        <v>2230820</v>
      </c>
      <c r="N43">
        <v>5330009</v>
      </c>
      <c r="O43">
        <v>12179987.439999999</v>
      </c>
      <c r="P43" t="s">
        <v>285</v>
      </c>
    </row>
    <row r="44" spans="2:16" x14ac:dyDescent="0.25">
      <c r="B44">
        <f t="shared" si="0"/>
        <v>42</v>
      </c>
      <c r="C44">
        <v>33049100</v>
      </c>
      <c r="D44" t="s">
        <v>280</v>
      </c>
      <c r="E44" t="s">
        <v>2551</v>
      </c>
      <c r="F44" t="e">
        <f>VLOOKUP(JENNIFFER!$B44,#REF!,4,1)</f>
        <v>#REF!</v>
      </c>
      <c r="G44" t="str">
        <f>IF(JENNIFFER!$E44="",JENNIFFER!$F44,JENNIFFER!$E44)</f>
        <v>Antiacnil-3</v>
      </c>
      <c r="I44" t="s">
        <v>277</v>
      </c>
      <c r="J44" t="s">
        <v>278</v>
      </c>
      <c r="K44" t="s">
        <v>4</v>
      </c>
      <c r="L44" t="s">
        <v>3</v>
      </c>
      <c r="M44">
        <v>1685910</v>
      </c>
      <c r="N44">
        <v>4028683</v>
      </c>
      <c r="O44">
        <v>9204095.7599999998</v>
      </c>
      <c r="P44" t="s">
        <v>285</v>
      </c>
    </row>
    <row r="45" spans="2:16" x14ac:dyDescent="0.25">
      <c r="B45">
        <f t="shared" si="0"/>
        <v>43</v>
      </c>
      <c r="C45">
        <v>33049100</v>
      </c>
      <c r="D45" t="s">
        <v>282</v>
      </c>
      <c r="E45" t="s">
        <v>2551</v>
      </c>
      <c r="F45" t="e">
        <f>VLOOKUP(JENNIFFER!$B45,#REF!,4,1)</f>
        <v>#REF!</v>
      </c>
      <c r="G45" t="str">
        <f>IF(JENNIFFER!$E45="",JENNIFFER!$F45,JENNIFFER!$E45)</f>
        <v>Antiacnil-3</v>
      </c>
      <c r="I45" t="s">
        <v>277</v>
      </c>
      <c r="J45" t="s">
        <v>278</v>
      </c>
      <c r="K45" t="s">
        <v>4</v>
      </c>
      <c r="L45" t="s">
        <v>3</v>
      </c>
      <c r="M45">
        <v>1230422</v>
      </c>
      <c r="N45">
        <v>2941103</v>
      </c>
      <c r="O45">
        <v>6717836.1399999997</v>
      </c>
      <c r="P45" t="s">
        <v>285</v>
      </c>
    </row>
    <row r="46" spans="2:16" x14ac:dyDescent="0.25">
      <c r="B46">
        <f t="shared" si="0"/>
        <v>44</v>
      </c>
      <c r="C46">
        <v>33049100</v>
      </c>
      <c r="D46" t="s">
        <v>281</v>
      </c>
      <c r="E46" t="s">
        <v>2551</v>
      </c>
      <c r="F46" t="e">
        <f>VLOOKUP(JENNIFFER!$B46,#REF!,4,1)</f>
        <v>#REF!</v>
      </c>
      <c r="G46" t="str">
        <f>IF(JENNIFFER!$E46="",JENNIFFER!$F46,JENNIFFER!$E46)</f>
        <v>Antiacnil-3</v>
      </c>
      <c r="I46" t="s">
        <v>277</v>
      </c>
      <c r="J46" t="s">
        <v>278</v>
      </c>
      <c r="K46" t="s">
        <v>4</v>
      </c>
      <c r="L46" t="s">
        <v>3</v>
      </c>
      <c r="M46">
        <v>1596924</v>
      </c>
      <c r="N46">
        <v>3816221</v>
      </c>
      <c r="O46">
        <v>8719355.0299999993</v>
      </c>
      <c r="P46" t="s">
        <v>285</v>
      </c>
    </row>
    <row r="47" spans="2:16" x14ac:dyDescent="0.25">
      <c r="B47">
        <f t="shared" si="0"/>
        <v>45</v>
      </c>
      <c r="C47">
        <v>33049100</v>
      </c>
      <c r="D47" t="s">
        <v>283</v>
      </c>
      <c r="E47" t="s">
        <v>2551</v>
      </c>
      <c r="F47" t="e">
        <f>VLOOKUP(JENNIFFER!$B47,#REF!,4,1)</f>
        <v>#REF!</v>
      </c>
      <c r="G47" t="str">
        <f>IF(JENNIFFER!$E47="",JENNIFFER!$F47,JENNIFFER!$E47)</f>
        <v>Antiacnil-3</v>
      </c>
      <c r="I47" t="s">
        <v>277</v>
      </c>
      <c r="J47" t="s">
        <v>278</v>
      </c>
      <c r="K47" t="s">
        <v>4</v>
      </c>
      <c r="L47" t="s">
        <v>3</v>
      </c>
      <c r="M47">
        <v>942294</v>
      </c>
      <c r="N47">
        <v>2050875</v>
      </c>
      <c r="O47">
        <v>4690139.5599999996</v>
      </c>
      <c r="P47" t="s">
        <v>285</v>
      </c>
    </row>
    <row r="48" spans="2:16" x14ac:dyDescent="0.25">
      <c r="B48">
        <f t="shared" si="0"/>
        <v>46</v>
      </c>
      <c r="C48">
        <v>33049100</v>
      </c>
      <c r="D48" t="s">
        <v>279</v>
      </c>
      <c r="E48" t="s">
        <v>2551</v>
      </c>
      <c r="F48" t="e">
        <f>VLOOKUP(JENNIFFER!$B48,#REF!,4,1)</f>
        <v>#REF!</v>
      </c>
      <c r="G48" t="str">
        <f>IF(JENNIFFER!$E48="",JENNIFFER!$F48,JENNIFFER!$E48)</f>
        <v>Antiacnil-3</v>
      </c>
      <c r="I48" t="s">
        <v>277</v>
      </c>
      <c r="J48" t="s">
        <v>278</v>
      </c>
      <c r="K48" t="s">
        <v>4</v>
      </c>
      <c r="L48" t="s">
        <v>3</v>
      </c>
      <c r="M48">
        <v>2029070</v>
      </c>
      <c r="N48">
        <v>4848816</v>
      </c>
      <c r="O48">
        <v>11077888.890000001</v>
      </c>
      <c r="P48" t="s">
        <v>285</v>
      </c>
    </row>
    <row r="49" spans="2:16" x14ac:dyDescent="0.25">
      <c r="B49">
        <f t="shared" si="0"/>
        <v>47</v>
      </c>
      <c r="C49">
        <v>33049100</v>
      </c>
      <c r="D49" t="s">
        <v>284</v>
      </c>
      <c r="E49" t="s">
        <v>2551</v>
      </c>
      <c r="F49" t="e">
        <f>VLOOKUP(JENNIFFER!$B49,#REF!,4,1)</f>
        <v>#REF!</v>
      </c>
      <c r="G49" t="str">
        <f>IF(JENNIFFER!$E49="",JENNIFFER!$F49,JENNIFFER!$E49)</f>
        <v>Antiacnil-3</v>
      </c>
      <c r="I49" t="s">
        <v>277</v>
      </c>
      <c r="J49" t="s">
        <v>278</v>
      </c>
      <c r="K49" t="s">
        <v>4</v>
      </c>
      <c r="L49" t="s">
        <v>3</v>
      </c>
      <c r="M49">
        <v>814983</v>
      </c>
      <c r="N49">
        <v>1774166</v>
      </c>
      <c r="O49">
        <v>4056087.2</v>
      </c>
      <c r="P49" t="s">
        <v>285</v>
      </c>
    </row>
    <row r="50" spans="2:16" x14ac:dyDescent="0.25">
      <c r="B50">
        <f t="shared" si="0"/>
        <v>48</v>
      </c>
      <c r="C50">
        <v>30042029</v>
      </c>
      <c r="D50" t="s">
        <v>605</v>
      </c>
      <c r="E50" s="7" t="s">
        <v>2470</v>
      </c>
      <c r="F50" t="e">
        <f>VLOOKUP(JENNIFFER!$B50,#REF!,4,1)</f>
        <v>#REF!</v>
      </c>
      <c r="G50" t="str">
        <f>IF(JENNIFFER!$E50="",JENNIFFER!$F50,JENNIFFER!$E50)</f>
        <v>Azitromicina</v>
      </c>
      <c r="I50" t="s">
        <v>606</v>
      </c>
      <c r="J50" t="s">
        <v>198</v>
      </c>
      <c r="K50" t="s">
        <v>2</v>
      </c>
      <c r="L50" t="s">
        <v>3</v>
      </c>
      <c r="M50">
        <v>1261583</v>
      </c>
      <c r="N50">
        <v>4994498</v>
      </c>
      <c r="O50">
        <v>11359806.890000001</v>
      </c>
      <c r="P50" t="s">
        <v>594</v>
      </c>
    </row>
    <row r="51" spans="2:16" x14ac:dyDescent="0.25">
      <c r="B51">
        <f t="shared" si="0"/>
        <v>49</v>
      </c>
      <c r="C51">
        <v>30042029</v>
      </c>
      <c r="D51" t="s">
        <v>605</v>
      </c>
      <c r="E51" s="7" t="s">
        <v>2470</v>
      </c>
      <c r="F51" t="e">
        <f>VLOOKUP(JENNIFFER!$B51,#REF!,4,1)</f>
        <v>#REF!</v>
      </c>
      <c r="G51" t="str">
        <f>IF(JENNIFFER!$E51="",JENNIFFER!$F51,JENNIFFER!$E51)</f>
        <v>Azitromicina</v>
      </c>
      <c r="I51" t="s">
        <v>606</v>
      </c>
      <c r="J51" t="s">
        <v>198</v>
      </c>
      <c r="K51" t="s">
        <v>2</v>
      </c>
      <c r="L51" t="s">
        <v>3</v>
      </c>
      <c r="M51">
        <v>1261583</v>
      </c>
      <c r="N51">
        <v>4994498</v>
      </c>
      <c r="O51">
        <v>11359806.890000001</v>
      </c>
      <c r="P51" t="s">
        <v>611</v>
      </c>
    </row>
    <row r="52" spans="2:16" x14ac:dyDescent="0.25">
      <c r="B52">
        <f t="shared" si="0"/>
        <v>50</v>
      </c>
      <c r="C52">
        <v>30042029</v>
      </c>
      <c r="D52" t="s">
        <v>607</v>
      </c>
      <c r="E52" s="7" t="s">
        <v>2470</v>
      </c>
      <c r="F52" t="e">
        <f>VLOOKUP(JENNIFFER!$B52,#REF!,4,1)</f>
        <v>#REF!</v>
      </c>
      <c r="G52" t="str">
        <f>IF(JENNIFFER!$E52="",JENNIFFER!$F52,JENNIFFER!$E52)</f>
        <v>Azitromicina</v>
      </c>
      <c r="I52" t="s">
        <v>606</v>
      </c>
      <c r="J52" t="s">
        <v>198</v>
      </c>
      <c r="K52" t="s">
        <v>2</v>
      </c>
      <c r="L52" t="s">
        <v>3</v>
      </c>
      <c r="M52">
        <v>1024972</v>
      </c>
      <c r="N52">
        <v>6766273</v>
      </c>
      <c r="O52">
        <v>15401912.25</v>
      </c>
      <c r="P52" t="s">
        <v>594</v>
      </c>
    </row>
    <row r="53" spans="2:16" x14ac:dyDescent="0.25">
      <c r="B53">
        <f t="shared" si="0"/>
        <v>51</v>
      </c>
      <c r="C53">
        <v>30049054</v>
      </c>
      <c r="D53" t="s">
        <v>494</v>
      </c>
      <c r="E53" s="7" t="s">
        <v>2444</v>
      </c>
      <c r="F53" t="e">
        <f>VLOOKUP(JENNIFFER!$B53,#REF!,4,1)</f>
        <v>#REF!</v>
      </c>
      <c r="G53" t="str">
        <f>IF(JENNIFFER!$E53="",JENNIFFER!$F53,JENNIFFER!$E53)</f>
        <v>cloridrato de amiodarona</v>
      </c>
      <c r="I53" t="s">
        <v>488</v>
      </c>
      <c r="J53" t="s">
        <v>28</v>
      </c>
      <c r="K53" t="s">
        <v>2</v>
      </c>
      <c r="L53" t="s">
        <v>23</v>
      </c>
      <c r="M53">
        <v>94784</v>
      </c>
      <c r="N53">
        <v>427852</v>
      </c>
      <c r="O53">
        <v>976148.46</v>
      </c>
      <c r="P53" t="s">
        <v>498</v>
      </c>
    </row>
    <row r="54" spans="2:16" x14ac:dyDescent="0.25">
      <c r="B54">
        <f t="shared" si="0"/>
        <v>52</v>
      </c>
      <c r="C54">
        <v>30049054</v>
      </c>
      <c r="D54" t="s">
        <v>493</v>
      </c>
      <c r="E54" s="7" t="s">
        <v>2444</v>
      </c>
      <c r="F54" t="e">
        <f>VLOOKUP(JENNIFFER!$B54,#REF!,4,1)</f>
        <v>#REF!</v>
      </c>
      <c r="G54" t="str">
        <f>IF(JENNIFFER!$E54="",JENNIFFER!$F54,JENNIFFER!$E54)</f>
        <v>cloridrato de amiodarona</v>
      </c>
      <c r="I54" t="s">
        <v>488</v>
      </c>
      <c r="J54" t="s">
        <v>28</v>
      </c>
      <c r="K54" t="s">
        <v>2</v>
      </c>
      <c r="L54" t="s">
        <v>23</v>
      </c>
      <c r="M54">
        <v>112283</v>
      </c>
      <c r="N54">
        <v>968088</v>
      </c>
      <c r="O54">
        <v>2209106.96</v>
      </c>
      <c r="P54" t="s">
        <v>498</v>
      </c>
    </row>
    <row r="55" spans="2:16" x14ac:dyDescent="0.25">
      <c r="B55">
        <f t="shared" si="0"/>
        <v>53</v>
      </c>
      <c r="C55">
        <v>30044090</v>
      </c>
      <c r="D55" t="s">
        <v>25</v>
      </c>
      <c r="E55" s="7" t="s">
        <v>2552</v>
      </c>
      <c r="F55" t="e">
        <f>VLOOKUP(JENNIFFER!$B55,#REF!,4,1)</f>
        <v>#REF!</v>
      </c>
      <c r="G55" t="str">
        <f>IF(JENNIFFER!$E55="",JENNIFFER!$F55,JENNIFFER!$E55)</f>
        <v>dipirona sódica </v>
      </c>
      <c r="I55" t="s">
        <v>21</v>
      </c>
      <c r="J55" t="s">
        <v>26</v>
      </c>
      <c r="K55" t="s">
        <v>4</v>
      </c>
      <c r="L55" t="s">
        <v>3</v>
      </c>
      <c r="M55">
        <v>691593</v>
      </c>
      <c r="N55">
        <v>4067077</v>
      </c>
      <c r="O55">
        <v>9289265.9499999993</v>
      </c>
      <c r="P55" t="s">
        <v>40</v>
      </c>
    </row>
    <row r="56" spans="2:16" x14ac:dyDescent="0.25">
      <c r="B56">
        <f t="shared" si="0"/>
        <v>54</v>
      </c>
      <c r="C56">
        <v>30049059</v>
      </c>
      <c r="D56" t="s">
        <v>582</v>
      </c>
      <c r="E56" s="7" t="s">
        <v>2471</v>
      </c>
      <c r="F56" t="e">
        <f>VLOOKUP(JENNIFFER!$B56,#REF!,4,1)</f>
        <v>#REF!</v>
      </c>
      <c r="G56" t="str">
        <f>IF(JENNIFFER!$E56="",JENNIFFER!$F56,JENNIFFER!$E56)</f>
        <v>furoato de fluticasona</v>
      </c>
      <c r="I56" t="s">
        <v>583</v>
      </c>
      <c r="J56" t="s">
        <v>328</v>
      </c>
      <c r="K56" t="s">
        <v>2</v>
      </c>
      <c r="L56" t="s">
        <v>3</v>
      </c>
      <c r="M56">
        <v>2644823</v>
      </c>
      <c r="N56">
        <v>35607325</v>
      </c>
      <c r="O56">
        <v>81031768.299999997</v>
      </c>
      <c r="P56" t="s">
        <v>589</v>
      </c>
    </row>
    <row r="57" spans="2:16" x14ac:dyDescent="0.25">
      <c r="B57">
        <f t="shared" si="0"/>
        <v>55</v>
      </c>
      <c r="C57">
        <v>30049059</v>
      </c>
      <c r="D57" t="s">
        <v>582</v>
      </c>
      <c r="E57" s="7" t="s">
        <v>2471</v>
      </c>
      <c r="F57" t="e">
        <f>VLOOKUP(JENNIFFER!$B57,#REF!,4,1)</f>
        <v>#REF!</v>
      </c>
      <c r="G57" t="str">
        <f>IF(JENNIFFER!$E57="",JENNIFFER!$F57,JENNIFFER!$E57)</f>
        <v>furoato de fluticasona</v>
      </c>
      <c r="I57" t="s">
        <v>583</v>
      </c>
      <c r="J57" t="s">
        <v>328</v>
      </c>
      <c r="K57" t="s">
        <v>2</v>
      </c>
      <c r="L57" t="s">
        <v>3</v>
      </c>
      <c r="M57">
        <v>2644823</v>
      </c>
      <c r="N57">
        <v>35607325</v>
      </c>
      <c r="O57">
        <v>81031768.299999997</v>
      </c>
      <c r="P57" t="s">
        <v>611</v>
      </c>
    </row>
    <row r="58" spans="2:16" x14ac:dyDescent="0.25">
      <c r="B58">
        <f t="shared" si="0"/>
        <v>56</v>
      </c>
      <c r="C58">
        <v>30049059</v>
      </c>
      <c r="D58" t="s">
        <v>470</v>
      </c>
      <c r="E58" s="7" t="s">
        <v>2472</v>
      </c>
      <c r="F58" t="e">
        <f>VLOOKUP(JENNIFFER!$B58,#REF!,4,1)</f>
        <v>#REF!</v>
      </c>
      <c r="G58" t="str">
        <f>IF(JENNIFFER!$E58="",JENNIFFER!$F58,JENNIFFER!$E58)</f>
        <v>brinzolamida</v>
      </c>
      <c r="I58" t="s">
        <v>462</v>
      </c>
      <c r="J58" t="s">
        <v>466</v>
      </c>
      <c r="K58" t="s">
        <v>2</v>
      </c>
      <c r="L58" t="s">
        <v>23</v>
      </c>
      <c r="M58">
        <v>423773</v>
      </c>
      <c r="N58">
        <v>7541542</v>
      </c>
      <c r="O58">
        <v>17213349.93</v>
      </c>
      <c r="P58" t="s">
        <v>471</v>
      </c>
    </row>
    <row r="59" spans="2:16" x14ac:dyDescent="0.25">
      <c r="B59">
        <f t="shared" si="0"/>
        <v>57</v>
      </c>
      <c r="C59">
        <v>30049059</v>
      </c>
      <c r="D59" t="s">
        <v>465</v>
      </c>
      <c r="E59" s="7" t="s">
        <v>2472</v>
      </c>
      <c r="F59" t="e">
        <f>VLOOKUP(JENNIFFER!$B59,#REF!,4,1)</f>
        <v>#REF!</v>
      </c>
      <c r="G59" t="str">
        <f>IF(JENNIFFER!$E59="",JENNIFFER!$F59,JENNIFFER!$E59)</f>
        <v>brinzolamida</v>
      </c>
      <c r="I59" t="s">
        <v>462</v>
      </c>
      <c r="J59" t="s">
        <v>466</v>
      </c>
      <c r="K59" t="s">
        <v>2</v>
      </c>
      <c r="L59" t="s">
        <v>23</v>
      </c>
      <c r="M59">
        <v>560886</v>
      </c>
      <c r="N59">
        <v>10652691</v>
      </c>
      <c r="O59">
        <v>24326730</v>
      </c>
      <c r="P59" t="s">
        <v>471</v>
      </c>
    </row>
    <row r="60" spans="2:16" x14ac:dyDescent="0.25">
      <c r="B60">
        <f t="shared" si="0"/>
        <v>58</v>
      </c>
      <c r="C60">
        <v>30039089</v>
      </c>
      <c r="D60" t="s">
        <v>107</v>
      </c>
      <c r="E60" s="7" t="s">
        <v>2473</v>
      </c>
      <c r="F60" t="e">
        <f>VLOOKUP(JENNIFFER!$B60,#REF!,4,1)</f>
        <v>#REF!</v>
      </c>
      <c r="G60" t="str">
        <f>IF(JENNIFFER!$E60="",JENNIFFER!$F60,JENNIFFER!$E60)</f>
        <v>sulfasalazina</v>
      </c>
      <c r="I60" t="s">
        <v>108</v>
      </c>
      <c r="J60" t="s">
        <v>109</v>
      </c>
      <c r="K60" t="s">
        <v>2</v>
      </c>
      <c r="L60" t="s">
        <v>23</v>
      </c>
      <c r="M60">
        <v>152615</v>
      </c>
      <c r="N60">
        <v>3560736</v>
      </c>
      <c r="O60">
        <v>8130799.8899999997</v>
      </c>
      <c r="P60" t="s">
        <v>111</v>
      </c>
    </row>
    <row r="61" spans="2:16" x14ac:dyDescent="0.25">
      <c r="B61">
        <f t="shared" si="0"/>
        <v>59</v>
      </c>
      <c r="C61">
        <v>30049099</v>
      </c>
      <c r="D61" t="s">
        <v>455</v>
      </c>
      <c r="E61" s="7" t="s">
        <v>2474</v>
      </c>
      <c r="F61" t="e">
        <f>VLOOKUP(JENNIFFER!$B61,#REF!,4,1)</f>
        <v>#REF!</v>
      </c>
      <c r="G61" t="str">
        <f>IF(JENNIFFER!$E61="",JENNIFFER!$F61,JENNIFFER!$E61)</f>
        <v>cloridrato de difenidramina</v>
      </c>
      <c r="I61" t="s">
        <v>451</v>
      </c>
      <c r="J61" t="s">
        <v>55</v>
      </c>
      <c r="K61" t="s">
        <v>4</v>
      </c>
      <c r="L61" t="s">
        <v>23</v>
      </c>
      <c r="M61">
        <v>1480810</v>
      </c>
      <c r="N61">
        <v>4936152</v>
      </c>
      <c r="O61">
        <v>11205180.57</v>
      </c>
      <c r="P61" t="s">
        <v>460</v>
      </c>
    </row>
    <row r="62" spans="2:16" x14ac:dyDescent="0.25">
      <c r="B62">
        <f t="shared" si="0"/>
        <v>60</v>
      </c>
      <c r="C62">
        <v>30049099</v>
      </c>
      <c r="D62" t="s">
        <v>453</v>
      </c>
      <c r="E62" s="7" t="s">
        <v>2474</v>
      </c>
      <c r="F62" t="e">
        <f>VLOOKUP(JENNIFFER!$B62,#REF!,4,1)</f>
        <v>#REF!</v>
      </c>
      <c r="G62" t="str">
        <f>IF(JENNIFFER!$E62="",JENNIFFER!$F62,JENNIFFER!$E62)</f>
        <v>cloridrato de difenidramina</v>
      </c>
      <c r="I62" t="s">
        <v>451</v>
      </c>
      <c r="J62" t="s">
        <v>55</v>
      </c>
      <c r="K62" t="s">
        <v>4</v>
      </c>
      <c r="L62" t="s">
        <v>23</v>
      </c>
      <c r="M62">
        <v>1849710</v>
      </c>
      <c r="N62">
        <v>6163957</v>
      </c>
      <c r="O62">
        <v>13996393.26</v>
      </c>
      <c r="P62" t="s">
        <v>460</v>
      </c>
    </row>
    <row r="63" spans="2:16" x14ac:dyDescent="0.25">
      <c r="B63">
        <f t="shared" si="0"/>
        <v>61</v>
      </c>
      <c r="C63">
        <v>30045090</v>
      </c>
      <c r="D63" t="s">
        <v>220</v>
      </c>
      <c r="E63" s="7" t="s">
        <v>2445</v>
      </c>
      <c r="F63" t="e">
        <f>VLOOKUP(JENNIFFER!$B63,#REF!,4,1)</f>
        <v>#REF!</v>
      </c>
      <c r="G63" t="str">
        <f>IF(JENNIFFER!$E63="",JENNIFFER!$F63,JENNIFFER!$E63)</f>
        <v>maleato de clorfeniramina</v>
      </c>
      <c r="I63" t="s">
        <v>0</v>
      </c>
      <c r="J63" t="s">
        <v>26</v>
      </c>
      <c r="K63" t="s">
        <v>4</v>
      </c>
      <c r="L63" t="s">
        <v>3</v>
      </c>
      <c r="M63">
        <v>1113341</v>
      </c>
      <c r="N63">
        <v>53862106</v>
      </c>
      <c r="O63">
        <v>122305655.81</v>
      </c>
      <c r="P63" t="s">
        <v>227</v>
      </c>
    </row>
    <row r="64" spans="2:16" x14ac:dyDescent="0.25">
      <c r="B64">
        <f t="shared" si="0"/>
        <v>62</v>
      </c>
      <c r="C64">
        <v>30042029</v>
      </c>
      <c r="D64" t="s">
        <v>454</v>
      </c>
      <c r="E64" s="7" t="s">
        <v>2475</v>
      </c>
      <c r="F64" t="e">
        <f>VLOOKUP(JENNIFFER!$B64,#REF!,4,1)</f>
        <v>#REF!</v>
      </c>
      <c r="G64" t="str">
        <f>IF(JENNIFFER!$E64="",JENNIFFER!$F64,JENNIFFER!$E64)</f>
        <v xml:space="preserve"> Neomicina + Tartarato de Bismuto de Sódio + Cloridrato de Procaína</v>
      </c>
      <c r="I64" t="s">
        <v>451</v>
      </c>
      <c r="J64" t="s">
        <v>39</v>
      </c>
      <c r="K64" t="s">
        <v>4</v>
      </c>
      <c r="L64" t="s">
        <v>3</v>
      </c>
      <c r="M64">
        <v>1662785</v>
      </c>
      <c r="N64">
        <v>11302789</v>
      </c>
      <c r="O64">
        <v>25819475.420000002</v>
      </c>
      <c r="P64" t="s">
        <v>460</v>
      </c>
    </row>
    <row r="65" spans="2:16" x14ac:dyDescent="0.25">
      <c r="B65">
        <f t="shared" si="0"/>
        <v>63</v>
      </c>
      <c r="C65">
        <v>30042029</v>
      </c>
      <c r="D65" t="s">
        <v>454</v>
      </c>
      <c r="E65" s="7" t="s">
        <v>2475</v>
      </c>
      <c r="F65" t="e">
        <f>VLOOKUP(JENNIFFER!$B65,#REF!,4,1)</f>
        <v>#REF!</v>
      </c>
      <c r="G65" t="str">
        <f>IF(JENNIFFER!$E65="",JENNIFFER!$F65,JENNIFFER!$E65)</f>
        <v xml:space="preserve"> Neomicina + Tartarato de Bismuto de Sódio + Cloridrato de Procaína</v>
      </c>
      <c r="I65" t="s">
        <v>451</v>
      </c>
      <c r="J65" t="s">
        <v>39</v>
      </c>
      <c r="K65" t="s">
        <v>4</v>
      </c>
      <c r="L65" t="s">
        <v>3</v>
      </c>
      <c r="M65">
        <v>1662785</v>
      </c>
      <c r="N65">
        <v>11302789</v>
      </c>
      <c r="O65">
        <v>25819475.420000002</v>
      </c>
      <c r="P65" t="s">
        <v>554</v>
      </c>
    </row>
    <row r="66" spans="2:16" x14ac:dyDescent="0.25">
      <c r="B66">
        <f t="shared" si="0"/>
        <v>64</v>
      </c>
      <c r="C66">
        <v>30049099</v>
      </c>
      <c r="D66" t="s">
        <v>137</v>
      </c>
      <c r="E66" t="s">
        <v>2553</v>
      </c>
      <c r="F66" t="e">
        <f>VLOOKUP(JENNIFFER!$B66,#REF!,4,1)</f>
        <v>#REF!</v>
      </c>
      <c r="G66" t="str">
        <f>IF(JENNIFFER!$E66="",JENNIFFER!$F66,JENNIFFER!$E66)</f>
        <v>Alendronato sódico triidratado</v>
      </c>
      <c r="I66" t="s">
        <v>138</v>
      </c>
      <c r="J66" t="s">
        <v>8</v>
      </c>
      <c r="K66" t="s">
        <v>2</v>
      </c>
      <c r="L66" t="s">
        <v>3</v>
      </c>
      <c r="M66">
        <v>1085950</v>
      </c>
      <c r="N66">
        <v>13824566</v>
      </c>
      <c r="O66">
        <v>31545073.329999998</v>
      </c>
      <c r="P66" t="s">
        <v>146</v>
      </c>
    </row>
    <row r="67" spans="2:16" x14ac:dyDescent="0.25">
      <c r="B67">
        <f t="shared" si="0"/>
        <v>65</v>
      </c>
      <c r="C67">
        <v>30049099</v>
      </c>
      <c r="D67" t="s">
        <v>80</v>
      </c>
      <c r="E67" t="s">
        <v>2554</v>
      </c>
      <c r="F67" t="e">
        <f>VLOOKUP(JENNIFFER!$B67,#REF!,4,1)</f>
        <v>#REF!</v>
      </c>
      <c r="G67" t="str">
        <f>IF(JENNIFFER!$E67="",JENNIFFER!$F67,JENNIFFER!$E67)</f>
        <v>Bromoprida</v>
      </c>
      <c r="I67" t="s">
        <v>78</v>
      </c>
      <c r="J67" t="s">
        <v>52</v>
      </c>
      <c r="K67" t="s">
        <v>2</v>
      </c>
      <c r="L67" t="s">
        <v>10</v>
      </c>
      <c r="M67">
        <v>1322736</v>
      </c>
      <c r="N67">
        <v>7377117</v>
      </c>
      <c r="O67">
        <v>16837582.699999999</v>
      </c>
      <c r="P67" t="s">
        <v>76</v>
      </c>
    </row>
    <row r="68" spans="2:16" x14ac:dyDescent="0.25">
      <c r="B68">
        <f t="shared" ref="B68:B131" si="1">+B67+1</f>
        <v>66</v>
      </c>
      <c r="C68">
        <v>30049029</v>
      </c>
      <c r="D68" t="s">
        <v>448</v>
      </c>
      <c r="E68" t="s">
        <v>2441</v>
      </c>
      <c r="F68" t="e">
        <f>VLOOKUP(JENNIFFER!$B68,#REF!,4,1)</f>
        <v>#REF!</v>
      </c>
      <c r="G68" t="str">
        <f>IF(JENNIFFER!$E68="",JENNIFFER!$F68,JENNIFFER!$E68)</f>
        <v>Ibuprofeno</v>
      </c>
      <c r="I68" t="s">
        <v>7</v>
      </c>
      <c r="J68" t="s">
        <v>68</v>
      </c>
      <c r="K68" t="s">
        <v>2</v>
      </c>
      <c r="L68" t="s">
        <v>3</v>
      </c>
      <c r="M68">
        <v>2149208</v>
      </c>
      <c r="N68">
        <v>17675970</v>
      </c>
      <c r="O68">
        <v>40312585.399999999</v>
      </c>
      <c r="P68" t="s">
        <v>449</v>
      </c>
    </row>
    <row r="69" spans="2:16" x14ac:dyDescent="0.25">
      <c r="B69">
        <f t="shared" si="1"/>
        <v>67</v>
      </c>
      <c r="C69">
        <v>30049029</v>
      </c>
      <c r="D69" t="s">
        <v>448</v>
      </c>
      <c r="E69" t="s">
        <v>2441</v>
      </c>
      <c r="F69" t="e">
        <f>VLOOKUP(JENNIFFER!$B69,#REF!,4,1)</f>
        <v>#REF!</v>
      </c>
      <c r="G69" t="str">
        <f>IF(JENNIFFER!$E69="",JENNIFFER!$F69,JENNIFFER!$E69)</f>
        <v>Ibuprofeno</v>
      </c>
      <c r="I69" t="s">
        <v>7</v>
      </c>
      <c r="J69" t="s">
        <v>68</v>
      </c>
      <c r="K69" t="s">
        <v>2</v>
      </c>
      <c r="L69" t="s">
        <v>3</v>
      </c>
      <c r="M69">
        <v>2149208</v>
      </c>
      <c r="N69">
        <v>17675970</v>
      </c>
      <c r="O69">
        <v>40312585.399999999</v>
      </c>
      <c r="P69" t="s">
        <v>559</v>
      </c>
    </row>
    <row r="70" spans="2:16" x14ac:dyDescent="0.25">
      <c r="B70">
        <f t="shared" si="1"/>
        <v>68</v>
      </c>
      <c r="C70">
        <v>30044090</v>
      </c>
      <c r="D70" t="s">
        <v>36</v>
      </c>
      <c r="E70" t="s">
        <v>2555</v>
      </c>
      <c r="F70" t="e">
        <f>VLOOKUP(JENNIFFER!$B70,#REF!,4,1)</f>
        <v>#REF!</v>
      </c>
      <c r="G70" t="str">
        <f>IF(JENNIFFER!$E70="",JENNIFFER!$F70,JENNIFFER!$E70)</f>
        <v>escopolamina+paracetamol</v>
      </c>
      <c r="I70" t="s">
        <v>31</v>
      </c>
      <c r="J70" t="s">
        <v>22</v>
      </c>
      <c r="K70" t="s">
        <v>4</v>
      </c>
      <c r="L70" t="s">
        <v>23</v>
      </c>
      <c r="M70">
        <v>1259973</v>
      </c>
      <c r="N70">
        <v>7360076</v>
      </c>
      <c r="O70">
        <v>16811904.609999999</v>
      </c>
      <c r="P70" t="s">
        <v>40</v>
      </c>
    </row>
    <row r="71" spans="2:16" x14ac:dyDescent="0.25">
      <c r="B71">
        <f t="shared" si="1"/>
        <v>69</v>
      </c>
      <c r="C71">
        <v>30044090</v>
      </c>
      <c r="D71" t="s">
        <v>36</v>
      </c>
      <c r="E71" t="s">
        <v>2555</v>
      </c>
      <c r="F71" t="e">
        <f>VLOOKUP(JENNIFFER!$B71,#REF!,4,1)</f>
        <v>#REF!</v>
      </c>
      <c r="G71" t="str">
        <f>IF(JENNIFFER!$E71="",JENNIFFER!$F71,JENNIFFER!$E71)</f>
        <v>escopolamina+paracetamol</v>
      </c>
      <c r="I71" t="s">
        <v>31</v>
      </c>
      <c r="J71" t="s">
        <v>22</v>
      </c>
      <c r="K71" t="s">
        <v>4</v>
      </c>
      <c r="L71" t="s">
        <v>23</v>
      </c>
      <c r="M71">
        <v>1259973</v>
      </c>
      <c r="N71">
        <v>7360076</v>
      </c>
      <c r="O71">
        <v>16811904.609999999</v>
      </c>
      <c r="P71" t="s">
        <v>449</v>
      </c>
    </row>
    <row r="72" spans="2:16" x14ac:dyDescent="0.25">
      <c r="B72">
        <f t="shared" si="1"/>
        <v>70</v>
      </c>
      <c r="C72">
        <v>30049029</v>
      </c>
      <c r="D72" t="s">
        <v>446</v>
      </c>
      <c r="E72" s="7" t="s">
        <v>2556</v>
      </c>
      <c r="F72" t="e">
        <f>VLOOKUP(JENNIFFER!$B72,#REF!,4,1)</f>
        <v>#REF!</v>
      </c>
      <c r="G72" t="str">
        <f>IF(JENNIFFER!$E72="",JENNIFFER!$F72,JENNIFFER!$E72)</f>
        <v>ibuprofeno</v>
      </c>
      <c r="I72" t="s">
        <v>447</v>
      </c>
      <c r="J72" t="s">
        <v>22</v>
      </c>
      <c r="K72" t="s">
        <v>4</v>
      </c>
      <c r="L72" t="s">
        <v>3</v>
      </c>
      <c r="M72">
        <v>3633255</v>
      </c>
      <c r="N72">
        <v>18151890</v>
      </c>
      <c r="O72">
        <v>41468954.880000003</v>
      </c>
      <c r="P72" t="s">
        <v>449</v>
      </c>
    </row>
    <row r="73" spans="2:16" x14ac:dyDescent="0.25">
      <c r="B73">
        <f t="shared" si="1"/>
        <v>71</v>
      </c>
      <c r="C73">
        <v>30044090</v>
      </c>
      <c r="D73" t="s">
        <v>30</v>
      </c>
      <c r="E73" s="7" t="s">
        <v>2552</v>
      </c>
      <c r="F73" t="e">
        <f>VLOOKUP(JENNIFFER!$B73,#REF!,4,1)</f>
        <v>#REF!</v>
      </c>
      <c r="G73" t="str">
        <f>IF(JENNIFFER!$E73="",JENNIFFER!$F73,JENNIFFER!$E73)</f>
        <v>dipirona sódica </v>
      </c>
      <c r="I73" t="s">
        <v>31</v>
      </c>
      <c r="J73" t="s">
        <v>22</v>
      </c>
      <c r="K73" t="s">
        <v>4</v>
      </c>
      <c r="L73" t="s">
        <v>23</v>
      </c>
      <c r="M73">
        <v>9938724</v>
      </c>
      <c r="N73">
        <v>37992317</v>
      </c>
      <c r="O73">
        <v>86809572.390000001</v>
      </c>
      <c r="P73" t="s">
        <v>40</v>
      </c>
    </row>
    <row r="74" spans="2:16" x14ac:dyDescent="0.25">
      <c r="B74">
        <f t="shared" si="1"/>
        <v>72</v>
      </c>
      <c r="C74">
        <v>30044090</v>
      </c>
      <c r="D74" t="s">
        <v>30</v>
      </c>
      <c r="E74" s="7" t="s">
        <v>2552</v>
      </c>
      <c r="F74" t="e">
        <f>VLOOKUP(JENNIFFER!$B74,#REF!,4,1)</f>
        <v>#REF!</v>
      </c>
      <c r="G74" t="str">
        <f>IF(JENNIFFER!$E74="",JENNIFFER!$F74,JENNIFFER!$E74)</f>
        <v>dipirona sódica </v>
      </c>
      <c r="I74" t="s">
        <v>31</v>
      </c>
      <c r="J74" t="s">
        <v>22</v>
      </c>
      <c r="K74" t="s">
        <v>4</v>
      </c>
      <c r="L74" t="s">
        <v>23</v>
      </c>
      <c r="M74">
        <v>9938724</v>
      </c>
      <c r="N74">
        <v>37992317</v>
      </c>
      <c r="O74">
        <v>86809572.390000001</v>
      </c>
      <c r="P74" t="s">
        <v>449</v>
      </c>
    </row>
    <row r="75" spans="2:16" x14ac:dyDescent="0.25">
      <c r="B75">
        <f t="shared" si="1"/>
        <v>73</v>
      </c>
      <c r="C75">
        <v>30044090</v>
      </c>
      <c r="D75" t="s">
        <v>32</v>
      </c>
      <c r="E75" s="7" t="s">
        <v>2552</v>
      </c>
      <c r="F75" t="e">
        <f>VLOOKUP(JENNIFFER!$B75,#REF!,4,1)</f>
        <v>#REF!</v>
      </c>
      <c r="G75" t="str">
        <f>IF(JENNIFFER!$E75="",JENNIFFER!$F75,JENNIFFER!$E75)</f>
        <v>dipirona sódica </v>
      </c>
      <c r="I75" t="s">
        <v>31</v>
      </c>
      <c r="J75" t="s">
        <v>22</v>
      </c>
      <c r="K75" t="s">
        <v>4</v>
      </c>
      <c r="L75" t="s">
        <v>23</v>
      </c>
      <c r="M75">
        <v>6416567</v>
      </c>
      <c r="N75">
        <v>23416963</v>
      </c>
      <c r="O75">
        <v>53476930.789999999</v>
      </c>
      <c r="P75" t="s">
        <v>40</v>
      </c>
    </row>
    <row r="76" spans="2:16" x14ac:dyDescent="0.25">
      <c r="B76">
        <f t="shared" si="1"/>
        <v>74</v>
      </c>
      <c r="C76">
        <v>30044090</v>
      </c>
      <c r="D76" t="s">
        <v>32</v>
      </c>
      <c r="E76" s="7" t="s">
        <v>2552</v>
      </c>
      <c r="F76" t="e">
        <f>VLOOKUP(JENNIFFER!$B76,#REF!,4,1)</f>
        <v>#REF!</v>
      </c>
      <c r="G76" t="str">
        <f>IF(JENNIFFER!$E76="",JENNIFFER!$F76,JENNIFFER!$E76)</f>
        <v>dipirona sódica </v>
      </c>
      <c r="I76" t="s">
        <v>31</v>
      </c>
      <c r="J76" t="s">
        <v>22</v>
      </c>
      <c r="K76" t="s">
        <v>4</v>
      </c>
      <c r="L76" t="s">
        <v>23</v>
      </c>
      <c r="M76">
        <v>6416567</v>
      </c>
      <c r="N76">
        <v>23416963</v>
      </c>
      <c r="O76">
        <v>53476930.789999999</v>
      </c>
      <c r="P76" t="s">
        <v>449</v>
      </c>
    </row>
    <row r="77" spans="2:16" x14ac:dyDescent="0.25">
      <c r="B77">
        <f t="shared" si="1"/>
        <v>75</v>
      </c>
      <c r="C77">
        <v>30044090</v>
      </c>
      <c r="D77" t="s">
        <v>20</v>
      </c>
      <c r="E77" s="7" t="s">
        <v>2552</v>
      </c>
      <c r="F77" t="e">
        <f>VLOOKUP(JENNIFFER!$B77,#REF!,4,1)</f>
        <v>#REF!</v>
      </c>
      <c r="G77" t="str">
        <f>IF(JENNIFFER!$E77="",JENNIFFER!$F77,JENNIFFER!$E77)</f>
        <v>dipirona sódica </v>
      </c>
      <c r="I77" t="s">
        <v>21</v>
      </c>
      <c r="J77" t="s">
        <v>22</v>
      </c>
      <c r="K77" t="s">
        <v>4</v>
      </c>
      <c r="L77" t="s">
        <v>23</v>
      </c>
      <c r="M77">
        <v>2044474</v>
      </c>
      <c r="N77">
        <v>7278263</v>
      </c>
      <c r="O77">
        <v>16628468.220000001</v>
      </c>
      <c r="P77" t="s">
        <v>40</v>
      </c>
    </row>
    <row r="78" spans="2:16" x14ac:dyDescent="0.25">
      <c r="B78">
        <f t="shared" si="1"/>
        <v>76</v>
      </c>
      <c r="C78">
        <v>30044090</v>
      </c>
      <c r="D78" t="s">
        <v>20</v>
      </c>
      <c r="E78" s="7" t="s">
        <v>2552</v>
      </c>
      <c r="F78" t="e">
        <f>VLOOKUP(JENNIFFER!$B78,#REF!,4,1)</f>
        <v>#REF!</v>
      </c>
      <c r="G78" t="str">
        <f>IF(JENNIFFER!$E78="",JENNIFFER!$F78,JENNIFFER!$E78)</f>
        <v>dipirona sódica </v>
      </c>
      <c r="I78" t="s">
        <v>21</v>
      </c>
      <c r="J78" t="s">
        <v>22</v>
      </c>
      <c r="K78" t="s">
        <v>4</v>
      </c>
      <c r="L78" t="s">
        <v>23</v>
      </c>
      <c r="M78">
        <v>2044474</v>
      </c>
      <c r="N78">
        <v>7278263</v>
      </c>
      <c r="O78">
        <v>16628468.220000001</v>
      </c>
      <c r="P78" t="s">
        <v>449</v>
      </c>
    </row>
    <row r="79" spans="2:16" x14ac:dyDescent="0.25">
      <c r="B79">
        <f t="shared" si="1"/>
        <v>77</v>
      </c>
      <c r="C79">
        <v>30044090</v>
      </c>
      <c r="D79" t="s">
        <v>24</v>
      </c>
      <c r="E79" s="7" t="s">
        <v>2552</v>
      </c>
      <c r="F79" t="e">
        <f>VLOOKUP(JENNIFFER!$B79,#REF!,4,1)</f>
        <v>#REF!</v>
      </c>
      <c r="G79" t="str">
        <f>IF(JENNIFFER!$E79="",JENNIFFER!$F79,JENNIFFER!$E79)</f>
        <v>dipirona sódica </v>
      </c>
      <c r="I79" t="s">
        <v>21</v>
      </c>
      <c r="J79" t="s">
        <v>22</v>
      </c>
      <c r="K79" t="s">
        <v>4</v>
      </c>
      <c r="L79" t="s">
        <v>23</v>
      </c>
      <c r="M79">
        <v>1463077</v>
      </c>
      <c r="N79">
        <v>5628774</v>
      </c>
      <c r="O79">
        <v>12853113.99</v>
      </c>
      <c r="P79" t="s">
        <v>40</v>
      </c>
    </row>
    <row r="80" spans="2:16" x14ac:dyDescent="0.25">
      <c r="B80">
        <f t="shared" si="1"/>
        <v>78</v>
      </c>
      <c r="C80">
        <v>30044090</v>
      </c>
      <c r="D80" t="s">
        <v>24</v>
      </c>
      <c r="E80" s="7" t="s">
        <v>2552</v>
      </c>
      <c r="F80" t="e">
        <f>VLOOKUP(JENNIFFER!$B80,#REF!,4,1)</f>
        <v>#REF!</v>
      </c>
      <c r="G80" t="str">
        <f>IF(JENNIFFER!$E80="",JENNIFFER!$F80,JENNIFFER!$E80)</f>
        <v>dipirona sódica </v>
      </c>
      <c r="I80" t="s">
        <v>21</v>
      </c>
      <c r="J80" t="s">
        <v>22</v>
      </c>
      <c r="K80" t="s">
        <v>4</v>
      </c>
      <c r="L80" t="s">
        <v>23</v>
      </c>
      <c r="M80">
        <v>1463077</v>
      </c>
      <c r="N80">
        <v>5628774</v>
      </c>
      <c r="O80">
        <v>12853113.99</v>
      </c>
      <c r="P80" t="s">
        <v>449</v>
      </c>
    </row>
    <row r="81" spans="2:16" x14ac:dyDescent="0.25">
      <c r="B81">
        <f t="shared" si="1"/>
        <v>79</v>
      </c>
      <c r="C81">
        <v>30043290</v>
      </c>
      <c r="D81" t="s">
        <v>585</v>
      </c>
      <c r="E81" t="s">
        <v>2557</v>
      </c>
      <c r="F81" t="e">
        <f>VLOOKUP(JENNIFFER!$B81,#REF!,4,1)</f>
        <v>#REF!</v>
      </c>
      <c r="G81" t="str">
        <f>IF(JENNIFFER!$E81="",JENNIFFER!$F81,JENNIFFER!$E81)</f>
        <v>budesonida</v>
      </c>
      <c r="I81" t="s">
        <v>583</v>
      </c>
      <c r="J81" t="s">
        <v>1</v>
      </c>
      <c r="K81" t="s">
        <v>2</v>
      </c>
      <c r="L81" t="s">
        <v>23</v>
      </c>
      <c r="M81">
        <v>1847588</v>
      </c>
      <c r="N81">
        <v>10064192</v>
      </c>
      <c r="O81">
        <v>22895620.420000002</v>
      </c>
      <c r="P81" t="s">
        <v>589</v>
      </c>
    </row>
    <row r="82" spans="2:16" x14ac:dyDescent="0.25">
      <c r="B82">
        <f t="shared" si="1"/>
        <v>80</v>
      </c>
      <c r="C82">
        <v>30043290</v>
      </c>
      <c r="D82" t="s">
        <v>584</v>
      </c>
      <c r="E82" t="s">
        <v>2557</v>
      </c>
      <c r="F82" t="e">
        <f>VLOOKUP(JENNIFFER!$B82,#REF!,4,1)</f>
        <v>#REF!</v>
      </c>
      <c r="G82" t="str">
        <f>IF(JENNIFFER!$E82="",JENNIFFER!$F82,JENNIFFER!$E82)</f>
        <v>budesonida</v>
      </c>
      <c r="I82" t="s">
        <v>583</v>
      </c>
      <c r="J82" t="s">
        <v>1</v>
      </c>
      <c r="K82" t="s">
        <v>2</v>
      </c>
      <c r="L82" t="s">
        <v>23</v>
      </c>
      <c r="M82">
        <v>2410281</v>
      </c>
      <c r="N82">
        <v>19261874</v>
      </c>
      <c r="O82">
        <v>43849570.450000003</v>
      </c>
      <c r="P82" t="s">
        <v>589</v>
      </c>
    </row>
    <row r="83" spans="2:16" x14ac:dyDescent="0.25">
      <c r="B83">
        <f t="shared" si="1"/>
        <v>81</v>
      </c>
      <c r="C83">
        <v>29053930</v>
      </c>
      <c r="D83" t="s">
        <v>35</v>
      </c>
      <c r="E83" s="7" t="s">
        <v>2558</v>
      </c>
      <c r="F83" t="e">
        <f>VLOOKUP(JENNIFFER!$B83,#REF!,4,1)</f>
        <v>#REF!</v>
      </c>
      <c r="G83" t="str">
        <f>IF(JENNIFFER!$E83="",JENNIFFER!$F83,JENNIFFER!$E83)</f>
        <v>Escopolamina e Dipirona</v>
      </c>
      <c r="I83" t="s">
        <v>31</v>
      </c>
      <c r="J83" t="s">
        <v>29</v>
      </c>
      <c r="K83" t="s">
        <v>4</v>
      </c>
      <c r="L83" t="s">
        <v>10</v>
      </c>
      <c r="M83">
        <v>1423882</v>
      </c>
      <c r="N83">
        <v>3329292</v>
      </c>
      <c r="O83">
        <v>7599703.7999999998</v>
      </c>
      <c r="P83" t="s">
        <v>40</v>
      </c>
    </row>
    <row r="84" spans="2:16" x14ac:dyDescent="0.25">
      <c r="B84">
        <f t="shared" si="1"/>
        <v>82</v>
      </c>
      <c r="C84">
        <v>29053930</v>
      </c>
      <c r="D84" t="s">
        <v>35</v>
      </c>
      <c r="E84" s="7" t="s">
        <v>2558</v>
      </c>
      <c r="F84" t="e">
        <f>VLOOKUP(JENNIFFER!$B84,#REF!,4,1)</f>
        <v>#REF!</v>
      </c>
      <c r="G84" t="str">
        <f>IF(JENNIFFER!$E84="",JENNIFFER!$F84,JENNIFFER!$E84)</f>
        <v>Escopolamina e Dipirona</v>
      </c>
      <c r="I84" t="s">
        <v>31</v>
      </c>
      <c r="J84" t="s">
        <v>29</v>
      </c>
      <c r="K84" t="s">
        <v>4</v>
      </c>
      <c r="L84" t="s">
        <v>10</v>
      </c>
      <c r="M84">
        <v>1423882</v>
      </c>
      <c r="N84">
        <v>3329292</v>
      </c>
      <c r="O84">
        <v>7599703.7999999998</v>
      </c>
      <c r="P84" t="s">
        <v>449</v>
      </c>
    </row>
    <row r="85" spans="2:16" x14ac:dyDescent="0.25">
      <c r="B85">
        <f t="shared" si="1"/>
        <v>83</v>
      </c>
      <c r="C85">
        <v>30049099</v>
      </c>
      <c r="D85" t="s">
        <v>313</v>
      </c>
      <c r="E85" t="s">
        <v>2559</v>
      </c>
      <c r="F85" t="e">
        <f>VLOOKUP(JENNIFFER!$B85,#REF!,4,1)</f>
        <v>#REF!</v>
      </c>
      <c r="G85" t="str">
        <f>IF(JENNIFFER!$E85="",JENNIFFER!$F85,JENNIFFER!$E85)</f>
        <v>carbidopa+levodopa</v>
      </c>
      <c r="I85" t="s">
        <v>305</v>
      </c>
      <c r="J85" t="s">
        <v>64</v>
      </c>
      <c r="K85" t="s">
        <v>2</v>
      </c>
      <c r="L85" t="s">
        <v>3</v>
      </c>
      <c r="M85">
        <v>181053</v>
      </c>
      <c r="N85">
        <v>2865155</v>
      </c>
      <c r="O85">
        <v>6548873.3899999997</v>
      </c>
      <c r="P85" t="s">
        <v>316</v>
      </c>
    </row>
    <row r="86" spans="2:16" x14ac:dyDescent="0.25">
      <c r="B86">
        <f t="shared" si="1"/>
        <v>84</v>
      </c>
      <c r="C86">
        <v>30049099</v>
      </c>
      <c r="D86" t="s">
        <v>329</v>
      </c>
      <c r="E86" t="s">
        <v>2495</v>
      </c>
      <c r="F86" t="e">
        <f>VLOOKUP(JENNIFFER!$B86,#REF!,4,1)</f>
        <v>#REF!</v>
      </c>
      <c r="G86" t="str">
        <f>IF(JENNIFFER!$E86="",JENNIFFER!$F86,JENNIFFER!$E86)</f>
        <v>paracetamol</v>
      </c>
      <c r="I86" t="s">
        <v>325</v>
      </c>
      <c r="J86" t="s">
        <v>1</v>
      </c>
      <c r="K86" t="s">
        <v>2</v>
      </c>
      <c r="L86" t="s">
        <v>3</v>
      </c>
      <c r="M86">
        <v>2241628</v>
      </c>
      <c r="N86">
        <v>12555740</v>
      </c>
      <c r="O86">
        <v>28647031.100000001</v>
      </c>
      <c r="P86" t="s">
        <v>333</v>
      </c>
    </row>
    <row r="87" spans="2:16" x14ac:dyDescent="0.25">
      <c r="B87">
        <f t="shared" si="1"/>
        <v>85</v>
      </c>
      <c r="C87">
        <v>30044090</v>
      </c>
      <c r="D87" t="s">
        <v>324</v>
      </c>
      <c r="E87" s="7" t="s">
        <v>2560</v>
      </c>
      <c r="F87" t="e">
        <f>VLOOKUP(JENNIFFER!$B87,#REF!,4,1)</f>
        <v>#REF!</v>
      </c>
      <c r="G87" t="str">
        <f>IF(JENNIFFER!$E87="",JENNIFFER!$F87,JENNIFFER!$E87)</f>
        <v>dipirona sódica</v>
      </c>
      <c r="I87" t="s">
        <v>325</v>
      </c>
      <c r="J87" t="s">
        <v>1</v>
      </c>
      <c r="K87" t="s">
        <v>2</v>
      </c>
      <c r="L87" t="s">
        <v>3</v>
      </c>
      <c r="M87">
        <v>3976893</v>
      </c>
      <c r="N87">
        <v>16885765</v>
      </c>
      <c r="O87">
        <v>38553359.649999999</v>
      </c>
      <c r="P87" t="s">
        <v>333</v>
      </c>
    </row>
    <row r="88" spans="2:16" x14ac:dyDescent="0.25">
      <c r="B88">
        <f t="shared" si="1"/>
        <v>86</v>
      </c>
      <c r="C88">
        <v>30049099</v>
      </c>
      <c r="D88" t="s">
        <v>386</v>
      </c>
      <c r="E88" t="s">
        <v>2561</v>
      </c>
      <c r="F88" t="e">
        <f>VLOOKUP(JENNIFFER!$B88,#REF!,4,1)</f>
        <v>#REF!</v>
      </c>
      <c r="G88" t="str">
        <f>IF(JENNIFFER!$E88="",JENNIFFER!$F88,JENNIFFER!$E88)</f>
        <v>celecoxibe</v>
      </c>
      <c r="I88" t="s">
        <v>387</v>
      </c>
      <c r="J88" t="s">
        <v>239</v>
      </c>
      <c r="K88" t="s">
        <v>2</v>
      </c>
      <c r="L88" t="s">
        <v>23</v>
      </c>
      <c r="M88">
        <v>659033</v>
      </c>
      <c r="N88">
        <v>9017807</v>
      </c>
      <c r="O88">
        <v>20570894.850000001</v>
      </c>
      <c r="P88" t="s">
        <v>394</v>
      </c>
    </row>
    <row r="89" spans="2:16" x14ac:dyDescent="0.25">
      <c r="B89">
        <f t="shared" si="1"/>
        <v>87</v>
      </c>
      <c r="C89">
        <v>30049099</v>
      </c>
      <c r="D89" t="s">
        <v>337</v>
      </c>
      <c r="E89" s="7" t="s">
        <v>2562</v>
      </c>
      <c r="F89" t="e">
        <f>VLOOKUP(JENNIFFER!$B89,#REF!,4,1)</f>
        <v>#REF!</v>
      </c>
      <c r="G89" t="str">
        <f>IF(JENNIFFER!$E89="",JENNIFFER!$F89,JENNIFFER!$E89)</f>
        <v>maleato de dexclorfeniramina</v>
      </c>
      <c r="I89" t="s">
        <v>335</v>
      </c>
      <c r="J89" t="s">
        <v>153</v>
      </c>
      <c r="K89" t="s">
        <v>2</v>
      </c>
      <c r="L89" t="s">
        <v>23</v>
      </c>
      <c r="M89">
        <v>1046795</v>
      </c>
      <c r="N89">
        <v>7131007</v>
      </c>
      <c r="O89">
        <v>16251632.939999999</v>
      </c>
      <c r="P89" t="s">
        <v>338</v>
      </c>
    </row>
    <row r="90" spans="2:16" x14ac:dyDescent="0.25">
      <c r="B90">
        <f t="shared" si="1"/>
        <v>88</v>
      </c>
      <c r="C90">
        <v>30066000</v>
      </c>
      <c r="D90" t="s">
        <v>407</v>
      </c>
      <c r="E90" t="s">
        <v>2563</v>
      </c>
      <c r="F90" t="e">
        <f>VLOOKUP(JENNIFFER!$B90,#REF!,4,1)</f>
        <v>#REF!</v>
      </c>
      <c r="G90" t="str">
        <f>IF(JENNIFFER!$E90="",JENNIFFER!$F90,JENNIFFER!$E90)</f>
        <v>Desogestrel</v>
      </c>
      <c r="I90" t="s">
        <v>408</v>
      </c>
      <c r="J90" t="s">
        <v>267</v>
      </c>
      <c r="K90" t="s">
        <v>2</v>
      </c>
      <c r="L90" t="s">
        <v>23</v>
      </c>
      <c r="M90">
        <v>3347042</v>
      </c>
      <c r="N90">
        <v>35893116</v>
      </c>
      <c r="O90">
        <v>81776770.730000004</v>
      </c>
      <c r="P90" t="s">
        <v>413</v>
      </c>
    </row>
    <row r="91" spans="2:16" x14ac:dyDescent="0.25">
      <c r="B91">
        <f t="shared" si="1"/>
        <v>89</v>
      </c>
      <c r="C91">
        <v>30049099</v>
      </c>
      <c r="D91" t="s">
        <v>473</v>
      </c>
      <c r="E91" t="s">
        <v>2564</v>
      </c>
      <c r="F91" t="e">
        <f>VLOOKUP(JENNIFFER!$B91,#REF!,4,1)</f>
        <v>#REF!</v>
      </c>
      <c r="G91" t="str">
        <f>IF(JENNIFFER!$E91="",JENNIFFER!$F91,JENNIFFER!$E91)</f>
        <v>trolamina</v>
      </c>
      <c r="I91" t="s">
        <v>474</v>
      </c>
      <c r="J91" t="s">
        <v>466</v>
      </c>
      <c r="K91" t="s">
        <v>4</v>
      </c>
      <c r="L91" t="s">
        <v>23</v>
      </c>
      <c r="M91">
        <v>2168477</v>
      </c>
      <c r="N91">
        <v>7427821</v>
      </c>
      <c r="O91">
        <v>16962743.079999998</v>
      </c>
      <c r="P91" t="s">
        <v>472</v>
      </c>
    </row>
    <row r="92" spans="2:16" x14ac:dyDescent="0.25">
      <c r="B92">
        <f t="shared" si="1"/>
        <v>90</v>
      </c>
      <c r="C92">
        <v>30049029</v>
      </c>
      <c r="D92" t="s">
        <v>238</v>
      </c>
      <c r="E92" t="s">
        <v>2565</v>
      </c>
      <c r="F92" t="e">
        <f>VLOOKUP(JENNIFFER!$B92,#REF!,4,1)</f>
        <v>#REF!</v>
      </c>
      <c r="G92" t="str">
        <f>IF(JENNIFFER!$E92="",JENNIFFER!$F92,JENNIFFER!$E92)</f>
        <v>tartarato de vareniclina</v>
      </c>
      <c r="I92" t="s">
        <v>229</v>
      </c>
      <c r="J92" t="s">
        <v>239</v>
      </c>
      <c r="K92" t="s">
        <v>2</v>
      </c>
      <c r="L92" t="s">
        <v>23</v>
      </c>
      <c r="M92">
        <v>15056</v>
      </c>
      <c r="N92">
        <v>1869744</v>
      </c>
      <c r="O92">
        <v>4269517.79</v>
      </c>
      <c r="P92" t="s">
        <v>240</v>
      </c>
    </row>
    <row r="93" spans="2:16" x14ac:dyDescent="0.25">
      <c r="B93">
        <f t="shared" si="1"/>
        <v>91</v>
      </c>
      <c r="C93">
        <v>30049099</v>
      </c>
      <c r="D93" t="s">
        <v>209</v>
      </c>
      <c r="E93" t="s">
        <v>2566</v>
      </c>
      <c r="F93" t="e">
        <f>VLOOKUP(JENNIFFER!$B93,#REF!,4,1)</f>
        <v>#REF!</v>
      </c>
      <c r="G93" t="str">
        <f>IF(JENNIFFER!$E93="",JENNIFFER!$F93,JENNIFFER!$E93)</f>
        <v>tadalafila</v>
      </c>
      <c r="I93" t="s">
        <v>205</v>
      </c>
      <c r="J93" t="s">
        <v>114</v>
      </c>
      <c r="K93" t="s">
        <v>2</v>
      </c>
      <c r="L93" t="s">
        <v>23</v>
      </c>
      <c r="M93">
        <v>1451308</v>
      </c>
      <c r="N93">
        <v>45005269</v>
      </c>
      <c r="O93">
        <v>102741328.41</v>
      </c>
      <c r="P93" t="s">
        <v>210</v>
      </c>
    </row>
    <row r="94" spans="2:16" x14ac:dyDescent="0.25">
      <c r="B94">
        <f t="shared" si="1"/>
        <v>92</v>
      </c>
      <c r="C94">
        <v>30066000</v>
      </c>
      <c r="D94" t="s">
        <v>397</v>
      </c>
      <c r="E94" t="s">
        <v>2478</v>
      </c>
      <c r="F94" t="e">
        <f>VLOOKUP(JENNIFFER!$B94,#REF!,4,1)</f>
        <v>#REF!</v>
      </c>
      <c r="G94" t="str">
        <f>IF(JENNIFFER!$E94="",JENNIFFER!$F94,JENNIFFER!$E94)</f>
        <v>levonorgestrel</v>
      </c>
      <c r="I94" t="s">
        <v>398</v>
      </c>
      <c r="J94" t="s">
        <v>8</v>
      </c>
      <c r="K94" t="s">
        <v>2</v>
      </c>
      <c r="L94" t="s">
        <v>3</v>
      </c>
      <c r="M94">
        <v>21049817</v>
      </c>
      <c r="N94">
        <v>38761807</v>
      </c>
      <c r="O94">
        <v>88530218.659999996</v>
      </c>
      <c r="P94" t="s">
        <v>413</v>
      </c>
    </row>
    <row r="95" spans="2:16" x14ac:dyDescent="0.25">
      <c r="B95">
        <f t="shared" si="1"/>
        <v>93</v>
      </c>
      <c r="C95">
        <v>30043939</v>
      </c>
      <c r="D95" t="s">
        <v>569</v>
      </c>
      <c r="E95" t="s">
        <v>2478</v>
      </c>
      <c r="F95" t="e">
        <f>VLOOKUP(JENNIFFER!$B95,#REF!,4,1)</f>
        <v>#REF!</v>
      </c>
      <c r="G95" t="str">
        <f>IF(JENNIFFER!$E95="",JENNIFFER!$F95,JENNIFFER!$E95)</f>
        <v>levonorgestrel</v>
      </c>
      <c r="I95" t="s">
        <v>570</v>
      </c>
      <c r="J95" t="s">
        <v>400</v>
      </c>
      <c r="K95" t="s">
        <v>2</v>
      </c>
      <c r="L95" t="s">
        <v>23</v>
      </c>
      <c r="M95">
        <v>783598</v>
      </c>
      <c r="N95">
        <v>2117461</v>
      </c>
      <c r="O95">
        <v>4834501.42</v>
      </c>
      <c r="P95" t="s">
        <v>579</v>
      </c>
    </row>
    <row r="96" spans="2:16" x14ac:dyDescent="0.25">
      <c r="B96">
        <f t="shared" si="1"/>
        <v>94</v>
      </c>
      <c r="C96">
        <v>30039055</v>
      </c>
      <c r="D96" t="s">
        <v>212</v>
      </c>
      <c r="E96" t="s">
        <v>2567</v>
      </c>
      <c r="F96" t="e">
        <f>VLOOKUP(JENNIFFER!$B96,#REF!,4,1)</f>
        <v>#REF!</v>
      </c>
      <c r="G96" t="str">
        <f>IF(JENNIFFER!$E96="",JENNIFFER!$F96,JENNIFFER!$E96)</f>
        <v>clorfenamina</v>
      </c>
      <c r="I96" t="s">
        <v>0</v>
      </c>
      <c r="J96" t="s">
        <v>213</v>
      </c>
      <c r="K96" t="s">
        <v>4</v>
      </c>
      <c r="L96" t="s">
        <v>3</v>
      </c>
      <c r="M96">
        <v>4573238</v>
      </c>
      <c r="N96">
        <v>24738401</v>
      </c>
      <c r="O96">
        <v>56159381.159999996</v>
      </c>
      <c r="P96" t="s">
        <v>227</v>
      </c>
    </row>
    <row r="97" spans="2:16" x14ac:dyDescent="0.25">
      <c r="B97">
        <f t="shared" si="1"/>
        <v>95</v>
      </c>
      <c r="C97">
        <v>30039049</v>
      </c>
      <c r="D97" t="s">
        <v>384</v>
      </c>
      <c r="E97" t="s">
        <v>2568</v>
      </c>
      <c r="F97" t="e">
        <f>VLOOKUP(JENNIFFER!$B97,#REF!,4,1)</f>
        <v>#REF!</v>
      </c>
      <c r="G97" t="str">
        <f>IF(JENNIFFER!$E97="",JENNIFFER!$F97,JENNIFFER!$E97)</f>
        <v>nimesulida</v>
      </c>
      <c r="I97" t="s">
        <v>252</v>
      </c>
      <c r="J97" t="s">
        <v>213</v>
      </c>
      <c r="K97" t="s">
        <v>2</v>
      </c>
      <c r="L97" t="s">
        <v>3</v>
      </c>
      <c r="M97">
        <v>8263909</v>
      </c>
      <c r="N97">
        <v>34955796</v>
      </c>
      <c r="O97">
        <v>79685524.129999995</v>
      </c>
      <c r="P97" t="s">
        <v>394</v>
      </c>
    </row>
    <row r="98" spans="2:16" x14ac:dyDescent="0.25">
      <c r="B98">
        <f t="shared" si="1"/>
        <v>96</v>
      </c>
      <c r="C98">
        <v>30039049</v>
      </c>
      <c r="D98" t="s">
        <v>384</v>
      </c>
      <c r="E98" t="s">
        <v>2568</v>
      </c>
      <c r="F98" t="e">
        <f>VLOOKUP(JENNIFFER!$B98,#REF!,4,1)</f>
        <v>#REF!</v>
      </c>
      <c r="G98" t="str">
        <f>IF(JENNIFFER!$E98="",JENNIFFER!$F98,JENNIFFER!$E98)</f>
        <v>nimesulida</v>
      </c>
      <c r="I98" t="s">
        <v>252</v>
      </c>
      <c r="J98" t="s">
        <v>213</v>
      </c>
      <c r="K98" t="s">
        <v>2</v>
      </c>
      <c r="L98" t="s">
        <v>3</v>
      </c>
      <c r="M98">
        <v>8263909</v>
      </c>
      <c r="N98">
        <v>34955796</v>
      </c>
      <c r="O98">
        <v>79685524.129999995</v>
      </c>
      <c r="P98" t="s">
        <v>460</v>
      </c>
    </row>
    <row r="99" spans="2:16" x14ac:dyDescent="0.25">
      <c r="B99">
        <f t="shared" si="1"/>
        <v>97</v>
      </c>
      <c r="C99">
        <v>30039049</v>
      </c>
      <c r="D99" t="s">
        <v>384</v>
      </c>
      <c r="E99" t="s">
        <v>2568</v>
      </c>
      <c r="F99" t="e">
        <f>VLOOKUP(JENNIFFER!$B99,#REF!,4,1)</f>
        <v>#REF!</v>
      </c>
      <c r="G99" t="str">
        <f>IF(JENNIFFER!$E99="",JENNIFFER!$F99,JENNIFFER!$E99)</f>
        <v>nimesulida</v>
      </c>
      <c r="I99" t="s">
        <v>252</v>
      </c>
      <c r="J99" t="s">
        <v>213</v>
      </c>
      <c r="K99" t="s">
        <v>2</v>
      </c>
      <c r="L99" t="s">
        <v>3</v>
      </c>
      <c r="M99">
        <v>8263909</v>
      </c>
      <c r="N99">
        <v>34955796</v>
      </c>
      <c r="O99">
        <v>79685524.129999995</v>
      </c>
      <c r="P99" t="s">
        <v>595</v>
      </c>
    </row>
    <row r="100" spans="2:16" x14ac:dyDescent="0.25">
      <c r="B100">
        <f t="shared" si="1"/>
        <v>98</v>
      </c>
      <c r="C100">
        <v>30039049</v>
      </c>
      <c r="D100" t="s">
        <v>260</v>
      </c>
      <c r="E100" t="s">
        <v>2569</v>
      </c>
      <c r="F100" t="e">
        <f>VLOOKUP(JENNIFFER!$B100,#REF!,4,1)</f>
        <v>#REF!</v>
      </c>
      <c r="G100" t="str">
        <f>IF(JENNIFFER!$E100="",JENNIFFER!$F100,JENNIFFER!$E100)</f>
        <v>ciprofibrato</v>
      </c>
      <c r="I100" t="s">
        <v>261</v>
      </c>
      <c r="J100" t="s">
        <v>34</v>
      </c>
      <c r="K100" t="s">
        <v>2</v>
      </c>
      <c r="L100" t="s">
        <v>10</v>
      </c>
      <c r="M100">
        <v>1496483</v>
      </c>
      <c r="N100">
        <v>31381189</v>
      </c>
      <c r="O100">
        <v>71555390.769999996</v>
      </c>
      <c r="P100" t="s">
        <v>269</v>
      </c>
    </row>
    <row r="101" spans="2:16" x14ac:dyDescent="0.25">
      <c r="B101">
        <f t="shared" si="1"/>
        <v>99</v>
      </c>
      <c r="C101">
        <v>30049099</v>
      </c>
      <c r="D101" t="s">
        <v>204</v>
      </c>
      <c r="E101" t="s">
        <v>2570</v>
      </c>
      <c r="F101" t="e">
        <f>VLOOKUP(JENNIFFER!$B101,#REF!,4,1)</f>
        <v>#REF!</v>
      </c>
      <c r="G101" t="str">
        <f>IF(JENNIFFER!$E101="",JENNIFFER!$F101,JENNIFFER!$E101)</f>
        <v xml:space="preserve">citrato de sildenafila </v>
      </c>
      <c r="I101" t="s">
        <v>205</v>
      </c>
      <c r="J101" t="s">
        <v>34</v>
      </c>
      <c r="K101" t="s">
        <v>2</v>
      </c>
      <c r="L101" t="s">
        <v>10</v>
      </c>
      <c r="M101">
        <v>15279428</v>
      </c>
      <c r="N101">
        <v>64203431</v>
      </c>
      <c r="O101">
        <v>146551693.11000001</v>
      </c>
      <c r="P101" t="s">
        <v>210</v>
      </c>
    </row>
    <row r="102" spans="2:16" x14ac:dyDescent="0.25">
      <c r="B102">
        <f t="shared" si="1"/>
        <v>100</v>
      </c>
      <c r="C102">
        <v>30049099</v>
      </c>
      <c r="D102" t="s">
        <v>204</v>
      </c>
      <c r="E102" t="s">
        <v>2570</v>
      </c>
      <c r="F102" t="e">
        <f>VLOOKUP(JENNIFFER!$B102,#REF!,4,1)</f>
        <v>#REF!</v>
      </c>
      <c r="G102" t="str">
        <f>IF(JENNIFFER!$E102="",JENNIFFER!$F102,JENNIFFER!$E102)</f>
        <v xml:space="preserve">citrato de sildenafila </v>
      </c>
      <c r="I102" t="s">
        <v>205</v>
      </c>
      <c r="J102" t="s">
        <v>29</v>
      </c>
      <c r="K102" t="s">
        <v>2</v>
      </c>
      <c r="L102" t="s">
        <v>10</v>
      </c>
      <c r="M102">
        <v>1324301</v>
      </c>
      <c r="N102">
        <v>5555242</v>
      </c>
      <c r="O102">
        <v>12658339.51</v>
      </c>
      <c r="P102" t="s">
        <v>210</v>
      </c>
    </row>
    <row r="103" spans="2:16" x14ac:dyDescent="0.25">
      <c r="B103">
        <f t="shared" si="1"/>
        <v>101</v>
      </c>
      <c r="C103">
        <v>30049099</v>
      </c>
      <c r="D103" t="s">
        <v>204</v>
      </c>
      <c r="E103" t="s">
        <v>2570</v>
      </c>
      <c r="F103" t="e">
        <f>VLOOKUP(JENNIFFER!$B103,#REF!,4,1)</f>
        <v>#REF!</v>
      </c>
      <c r="G103" t="str">
        <f>IF(JENNIFFER!$E103="",JENNIFFER!$F103,JENNIFFER!$E103)</f>
        <v xml:space="preserve">citrato de sildenafila </v>
      </c>
      <c r="I103" t="s">
        <v>205</v>
      </c>
      <c r="J103" t="s">
        <v>198</v>
      </c>
      <c r="K103" t="s">
        <v>2</v>
      </c>
      <c r="L103" t="s">
        <v>10</v>
      </c>
      <c r="M103">
        <v>1159476</v>
      </c>
      <c r="N103">
        <v>4864377</v>
      </c>
      <c r="O103">
        <v>11110119.41</v>
      </c>
      <c r="P103" t="s">
        <v>210</v>
      </c>
    </row>
    <row r="104" spans="2:16" x14ac:dyDescent="0.25">
      <c r="B104">
        <f t="shared" si="1"/>
        <v>102</v>
      </c>
      <c r="C104">
        <v>30049099</v>
      </c>
      <c r="D104" t="s">
        <v>207</v>
      </c>
      <c r="E104" t="s">
        <v>2570</v>
      </c>
      <c r="F104" t="e">
        <f>VLOOKUP(JENNIFFER!$B104,#REF!,4,1)</f>
        <v>#REF!</v>
      </c>
      <c r="G104" t="str">
        <f>IF(JENNIFFER!$E104="",JENNIFFER!$F104,JENNIFFER!$E104)</f>
        <v xml:space="preserve">citrato de sildenafila </v>
      </c>
      <c r="I104" t="s">
        <v>205</v>
      </c>
      <c r="J104" t="s">
        <v>34</v>
      </c>
      <c r="K104" t="s">
        <v>2</v>
      </c>
      <c r="L104" t="s">
        <v>10</v>
      </c>
      <c r="M104">
        <v>4544967</v>
      </c>
      <c r="N104">
        <v>38253152</v>
      </c>
      <c r="O104">
        <v>87337336.420000002</v>
      </c>
      <c r="P104" t="s">
        <v>210</v>
      </c>
    </row>
    <row r="105" spans="2:16" x14ac:dyDescent="0.25">
      <c r="B105">
        <f t="shared" si="1"/>
        <v>103</v>
      </c>
      <c r="C105">
        <v>30049099</v>
      </c>
      <c r="D105" t="s">
        <v>207</v>
      </c>
      <c r="E105" t="s">
        <v>2570</v>
      </c>
      <c r="F105" t="e">
        <f>VLOOKUP(JENNIFFER!$B105,#REF!,4,1)</f>
        <v>#REF!</v>
      </c>
      <c r="G105" t="str">
        <f>IF(JENNIFFER!$E105="",JENNIFFER!$F105,JENNIFFER!$E105)</f>
        <v xml:space="preserve">citrato de sildenafila </v>
      </c>
      <c r="I105" t="s">
        <v>205</v>
      </c>
      <c r="J105" t="s">
        <v>198</v>
      </c>
      <c r="K105" t="s">
        <v>2</v>
      </c>
      <c r="L105" t="s">
        <v>10</v>
      </c>
      <c r="M105">
        <v>3018298</v>
      </c>
      <c r="N105">
        <v>25350525</v>
      </c>
      <c r="O105">
        <v>57843330.850000001</v>
      </c>
      <c r="P105" t="s">
        <v>210</v>
      </c>
    </row>
    <row r="106" spans="2:16" x14ac:dyDescent="0.25">
      <c r="B106">
        <f t="shared" si="1"/>
        <v>104</v>
      </c>
      <c r="C106">
        <v>30049099</v>
      </c>
      <c r="D106" t="s">
        <v>207</v>
      </c>
      <c r="E106" t="s">
        <v>2570</v>
      </c>
      <c r="F106" t="e">
        <f>VLOOKUP(JENNIFFER!$B106,#REF!,4,1)</f>
        <v>#REF!</v>
      </c>
      <c r="G106" t="str">
        <f>IF(JENNIFFER!$E106="",JENNIFFER!$F106,JENNIFFER!$E106)</f>
        <v xml:space="preserve">citrato de sildenafila </v>
      </c>
      <c r="I106" t="s">
        <v>205</v>
      </c>
      <c r="J106" t="s">
        <v>103</v>
      </c>
      <c r="K106" t="s">
        <v>2</v>
      </c>
      <c r="L106" t="s">
        <v>10</v>
      </c>
      <c r="M106">
        <v>1122432</v>
      </c>
      <c r="N106">
        <v>9246676</v>
      </c>
      <c r="O106">
        <v>21180427.670000002</v>
      </c>
      <c r="P106" t="s">
        <v>210</v>
      </c>
    </row>
    <row r="107" spans="2:16" x14ac:dyDescent="0.25">
      <c r="B107">
        <f t="shared" si="1"/>
        <v>105</v>
      </c>
      <c r="C107">
        <v>30049099</v>
      </c>
      <c r="D107" t="s">
        <v>207</v>
      </c>
      <c r="E107" t="s">
        <v>2570</v>
      </c>
      <c r="F107" t="e">
        <f>VLOOKUP(JENNIFFER!$B107,#REF!,4,1)</f>
        <v>#REF!</v>
      </c>
      <c r="G107" t="str">
        <f>IF(JENNIFFER!$E107="",JENNIFFER!$F107,JENNIFFER!$E107)</f>
        <v xml:space="preserve">citrato de sildenafila </v>
      </c>
      <c r="I107" t="s">
        <v>205</v>
      </c>
      <c r="J107" t="s">
        <v>29</v>
      </c>
      <c r="K107" t="s">
        <v>2</v>
      </c>
      <c r="L107" t="s">
        <v>10</v>
      </c>
      <c r="M107">
        <v>889085</v>
      </c>
      <c r="N107">
        <v>7460020</v>
      </c>
      <c r="O107">
        <v>17030841.210000001</v>
      </c>
      <c r="P107" t="s">
        <v>210</v>
      </c>
    </row>
    <row r="108" spans="2:16" x14ac:dyDescent="0.25">
      <c r="B108">
        <f t="shared" si="1"/>
        <v>106</v>
      </c>
      <c r="C108">
        <v>30049099</v>
      </c>
      <c r="D108" t="s">
        <v>206</v>
      </c>
      <c r="E108" t="s">
        <v>2570</v>
      </c>
      <c r="F108" t="e">
        <f>VLOOKUP(JENNIFFER!$B108,#REF!,4,1)</f>
        <v>#REF!</v>
      </c>
      <c r="G108" t="str">
        <f>IF(JENNIFFER!$E108="",JENNIFFER!$F108,JENNIFFER!$E108)</f>
        <v xml:space="preserve">citrato de sildenafila </v>
      </c>
      <c r="I108" t="s">
        <v>205</v>
      </c>
      <c r="J108" t="s">
        <v>198</v>
      </c>
      <c r="K108" t="s">
        <v>2</v>
      </c>
      <c r="L108" t="s">
        <v>10</v>
      </c>
      <c r="M108">
        <v>4945715</v>
      </c>
      <c r="N108">
        <v>82840835</v>
      </c>
      <c r="O108">
        <v>189796058</v>
      </c>
      <c r="P108" t="s">
        <v>210</v>
      </c>
    </row>
    <row r="109" spans="2:16" x14ac:dyDescent="0.25">
      <c r="B109">
        <f t="shared" si="1"/>
        <v>107</v>
      </c>
      <c r="C109">
        <v>30049069</v>
      </c>
      <c r="D109" t="s">
        <v>246</v>
      </c>
      <c r="E109" t="s">
        <v>1992</v>
      </c>
      <c r="F109" t="e">
        <f>VLOOKUP(JENNIFFER!$B109,#REF!,4,1)</f>
        <v>#REF!</v>
      </c>
      <c r="G109" t="str">
        <f>IF(JENNIFFER!$E109="",JENNIFFER!$F109,JENNIFFER!$E109)</f>
        <v xml:space="preserve">COLCHICINA </v>
      </c>
      <c r="I109" t="s">
        <v>242</v>
      </c>
      <c r="J109" t="s">
        <v>247</v>
      </c>
      <c r="K109" t="s">
        <v>2</v>
      </c>
      <c r="L109" t="s">
        <v>3</v>
      </c>
      <c r="M109">
        <v>458352</v>
      </c>
      <c r="N109">
        <v>2805205</v>
      </c>
      <c r="O109">
        <v>6363428.8099999996</v>
      </c>
      <c r="P109" t="s">
        <v>250</v>
      </c>
    </row>
    <row r="110" spans="2:16" x14ac:dyDescent="0.25">
      <c r="B110">
        <f t="shared" si="1"/>
        <v>108</v>
      </c>
      <c r="C110">
        <v>30049099</v>
      </c>
      <c r="D110" t="s">
        <v>530</v>
      </c>
      <c r="E110" t="s">
        <v>2446</v>
      </c>
      <c r="F110" t="e">
        <f>VLOOKUP(JENNIFFER!$B110,#REF!,4,1)</f>
        <v>#REF!</v>
      </c>
      <c r="G110" t="str">
        <f>IF(JENNIFFER!$E110="",JENNIFFER!$F110,JENNIFFER!$E110)</f>
        <v>DIPROPIONATO DE BECLOMETASONA</v>
      </c>
      <c r="I110" t="s">
        <v>531</v>
      </c>
      <c r="J110" t="s">
        <v>532</v>
      </c>
      <c r="K110" t="s">
        <v>2</v>
      </c>
      <c r="L110" t="s">
        <v>3</v>
      </c>
      <c r="M110">
        <v>926268</v>
      </c>
      <c r="N110">
        <v>15369999</v>
      </c>
      <c r="O110">
        <v>34832021.299999997</v>
      </c>
      <c r="P110" t="s">
        <v>533</v>
      </c>
    </row>
    <row r="111" spans="2:16" x14ac:dyDescent="0.25">
      <c r="B111">
        <f t="shared" si="1"/>
        <v>109</v>
      </c>
      <c r="C111">
        <v>30049099</v>
      </c>
      <c r="D111" t="s">
        <v>530</v>
      </c>
      <c r="E111" t="s">
        <v>2446</v>
      </c>
      <c r="F111" t="e">
        <f>VLOOKUP(JENNIFFER!$B111,#REF!,4,1)</f>
        <v>#REF!</v>
      </c>
      <c r="G111" t="str">
        <f>IF(JENNIFFER!$E111="",JENNIFFER!$F111,JENNIFFER!$E111)</f>
        <v>DIPROPIONATO DE BECLOMETASONA</v>
      </c>
      <c r="I111" t="s">
        <v>531</v>
      </c>
      <c r="J111" t="s">
        <v>532</v>
      </c>
      <c r="K111" t="s">
        <v>2</v>
      </c>
      <c r="L111" t="s">
        <v>3</v>
      </c>
      <c r="M111">
        <v>926268</v>
      </c>
      <c r="N111">
        <v>15369999</v>
      </c>
      <c r="O111">
        <v>34832021.299999997</v>
      </c>
      <c r="P111" t="s">
        <v>595</v>
      </c>
    </row>
    <row r="112" spans="2:16" x14ac:dyDescent="0.25">
      <c r="B112">
        <f t="shared" si="1"/>
        <v>110</v>
      </c>
      <c r="C112">
        <v>30049099</v>
      </c>
      <c r="D112" t="s">
        <v>530</v>
      </c>
      <c r="E112" t="s">
        <v>2446</v>
      </c>
      <c r="F112" t="e">
        <f>VLOOKUP(JENNIFFER!$B112,#REF!,4,1)</f>
        <v>#REF!</v>
      </c>
      <c r="G112" t="str">
        <f>IF(JENNIFFER!$E112="",JENNIFFER!$F112,JENNIFFER!$E112)</f>
        <v>DIPROPIONATO DE BECLOMETASONA</v>
      </c>
      <c r="I112" t="s">
        <v>531</v>
      </c>
      <c r="J112" t="s">
        <v>532</v>
      </c>
      <c r="K112" t="s">
        <v>2</v>
      </c>
      <c r="L112" t="s">
        <v>3</v>
      </c>
      <c r="M112">
        <v>926268</v>
      </c>
      <c r="N112">
        <v>15369999</v>
      </c>
      <c r="O112">
        <v>34832021.299999997</v>
      </c>
      <c r="P112" t="s">
        <v>611</v>
      </c>
    </row>
    <row r="113" spans="2:16" x14ac:dyDescent="0.25">
      <c r="B113">
        <f t="shared" si="1"/>
        <v>111</v>
      </c>
      <c r="C113">
        <v>30049099</v>
      </c>
      <c r="D113" t="s">
        <v>596</v>
      </c>
      <c r="E113" t="s">
        <v>2446</v>
      </c>
      <c r="F113" t="e">
        <f>VLOOKUP(JENNIFFER!$B113,#REF!,4,1)</f>
        <v>#REF!</v>
      </c>
      <c r="G113" t="str">
        <f>IF(JENNIFFER!$E113="",JENNIFFER!$F113,JENNIFFER!$E113)</f>
        <v>DIPROPIONATO DE BECLOMETASONA</v>
      </c>
      <c r="I113" t="s">
        <v>531</v>
      </c>
      <c r="J113" t="s">
        <v>532</v>
      </c>
      <c r="K113" t="s">
        <v>2</v>
      </c>
      <c r="L113" t="s">
        <v>3</v>
      </c>
      <c r="M113">
        <v>452010</v>
      </c>
      <c r="N113">
        <v>9405441</v>
      </c>
      <c r="O113">
        <v>21412522.609999999</v>
      </c>
      <c r="P113" t="s">
        <v>533</v>
      </c>
    </row>
    <row r="114" spans="2:16" x14ac:dyDescent="0.25">
      <c r="B114">
        <f t="shared" si="1"/>
        <v>112</v>
      </c>
      <c r="C114">
        <v>30049099</v>
      </c>
      <c r="D114" t="s">
        <v>596</v>
      </c>
      <c r="E114" t="s">
        <v>2446</v>
      </c>
      <c r="F114" t="e">
        <f>VLOOKUP(JENNIFFER!$B114,#REF!,4,1)</f>
        <v>#REF!</v>
      </c>
      <c r="G114" t="str">
        <f>IF(JENNIFFER!$E114="",JENNIFFER!$F114,JENNIFFER!$E114)</f>
        <v>DIPROPIONATO DE BECLOMETASONA</v>
      </c>
      <c r="I114" t="s">
        <v>531</v>
      </c>
      <c r="J114" t="s">
        <v>532</v>
      </c>
      <c r="K114" t="s">
        <v>2</v>
      </c>
      <c r="L114" t="s">
        <v>3</v>
      </c>
      <c r="M114">
        <v>452010</v>
      </c>
      <c r="N114">
        <v>9405441</v>
      </c>
      <c r="O114">
        <v>21412522.609999999</v>
      </c>
      <c r="P114" t="s">
        <v>595</v>
      </c>
    </row>
    <row r="115" spans="2:16" x14ac:dyDescent="0.25">
      <c r="B115">
        <f t="shared" si="1"/>
        <v>113</v>
      </c>
      <c r="C115">
        <v>30049099</v>
      </c>
      <c r="D115" t="s">
        <v>597</v>
      </c>
      <c r="E115" t="s">
        <v>2446</v>
      </c>
      <c r="F115" t="e">
        <f>VLOOKUP(JENNIFFER!$B115,#REF!,4,1)</f>
        <v>#REF!</v>
      </c>
      <c r="G115" t="str">
        <f>IF(JENNIFFER!$E115="",JENNIFFER!$F115,JENNIFFER!$E115)</f>
        <v>DIPROPIONATO DE BECLOMETASONA</v>
      </c>
      <c r="I115" t="s">
        <v>531</v>
      </c>
      <c r="J115" t="s">
        <v>532</v>
      </c>
      <c r="K115" t="s">
        <v>2</v>
      </c>
      <c r="L115" t="s">
        <v>3</v>
      </c>
      <c r="M115">
        <v>197921</v>
      </c>
      <c r="N115">
        <v>2557411</v>
      </c>
      <c r="O115">
        <v>5810342.6100000003</v>
      </c>
      <c r="P115" t="s">
        <v>533</v>
      </c>
    </row>
    <row r="116" spans="2:16" x14ac:dyDescent="0.25">
      <c r="B116">
        <f t="shared" si="1"/>
        <v>114</v>
      </c>
      <c r="C116">
        <v>30049039</v>
      </c>
      <c r="D116" t="s">
        <v>350</v>
      </c>
      <c r="E116" t="s">
        <v>2571</v>
      </c>
      <c r="F116" t="e">
        <f>VLOOKUP(JENNIFFER!$B116,#REF!,4,1)</f>
        <v>#REF!</v>
      </c>
      <c r="G116" t="str">
        <f>IF(JENNIFFER!$E116="",JENNIFFER!$F116,JENNIFFER!$E116)</f>
        <v>cloridrato de Memantina</v>
      </c>
      <c r="I116" t="s">
        <v>348</v>
      </c>
      <c r="J116" t="s">
        <v>198</v>
      </c>
      <c r="K116" t="s">
        <v>2</v>
      </c>
      <c r="L116" t="s">
        <v>10</v>
      </c>
      <c r="M116">
        <v>155049</v>
      </c>
      <c r="N116">
        <v>3423910</v>
      </c>
      <c r="O116">
        <v>7826805.0300000003</v>
      </c>
      <c r="P116" t="s">
        <v>361</v>
      </c>
    </row>
    <row r="117" spans="2:16" x14ac:dyDescent="0.25">
      <c r="B117">
        <f t="shared" si="1"/>
        <v>115</v>
      </c>
      <c r="C117">
        <v>30049039</v>
      </c>
      <c r="D117" t="s">
        <v>358</v>
      </c>
      <c r="E117" t="s">
        <v>2571</v>
      </c>
      <c r="F117" t="e">
        <f>VLOOKUP(JENNIFFER!$B117,#REF!,4,1)</f>
        <v>#REF!</v>
      </c>
      <c r="G117" t="str">
        <f>IF(JENNIFFER!$E117="",JENNIFFER!$F117,JENNIFFER!$E117)</f>
        <v>cloridrato de Memantina</v>
      </c>
      <c r="I117" t="s">
        <v>348</v>
      </c>
      <c r="J117" t="s">
        <v>198</v>
      </c>
      <c r="K117" t="s">
        <v>2</v>
      </c>
      <c r="L117" t="s">
        <v>10</v>
      </c>
      <c r="M117">
        <v>117302</v>
      </c>
      <c r="N117">
        <v>5134073</v>
      </c>
      <c r="O117">
        <v>11722739.93</v>
      </c>
      <c r="P117" t="s">
        <v>361</v>
      </c>
    </row>
    <row r="118" spans="2:16" x14ac:dyDescent="0.25">
      <c r="B118">
        <f t="shared" si="1"/>
        <v>116</v>
      </c>
      <c r="C118">
        <v>30049099</v>
      </c>
      <c r="D118" t="s">
        <v>332</v>
      </c>
      <c r="E118" t="s">
        <v>2572</v>
      </c>
      <c r="F118" t="e">
        <f>VLOOKUP(JENNIFFER!$B118,#REF!,4,1)</f>
        <v>#REF!</v>
      </c>
      <c r="G118" t="str">
        <f>IF(JENNIFFER!$E118="",JENNIFFER!$F118,JENNIFFER!$E118)</f>
        <v>cloridrato de naratriptana</v>
      </c>
      <c r="I118" t="s">
        <v>327</v>
      </c>
      <c r="J118" t="s">
        <v>29</v>
      </c>
      <c r="K118" t="s">
        <v>2</v>
      </c>
      <c r="L118" t="s">
        <v>10</v>
      </c>
      <c r="M118">
        <v>1402272</v>
      </c>
      <c r="N118">
        <v>4412025</v>
      </c>
      <c r="O118">
        <v>10098790</v>
      </c>
      <c r="P118" t="s">
        <v>333</v>
      </c>
    </row>
    <row r="119" spans="2:16" x14ac:dyDescent="0.25">
      <c r="B119">
        <f t="shared" si="1"/>
        <v>117</v>
      </c>
      <c r="C119">
        <v>30049054</v>
      </c>
      <c r="D119" t="s">
        <v>490</v>
      </c>
      <c r="E119" s="7" t="s">
        <v>2444</v>
      </c>
      <c r="F119" t="e">
        <f>VLOOKUP(JENNIFFER!$B119,#REF!,4,1)</f>
        <v>#REF!</v>
      </c>
      <c r="G119" t="str">
        <f>IF(JENNIFFER!$E119="",JENNIFFER!$F119,JENNIFFER!$E119)</f>
        <v>cloridrato de amiodarona</v>
      </c>
      <c r="I119" t="s">
        <v>488</v>
      </c>
      <c r="J119" t="s">
        <v>1</v>
      </c>
      <c r="K119" t="s">
        <v>2</v>
      </c>
      <c r="L119" t="s">
        <v>10</v>
      </c>
      <c r="M119">
        <v>733849</v>
      </c>
      <c r="N119">
        <v>6158029</v>
      </c>
      <c r="O119">
        <v>14070360.33</v>
      </c>
      <c r="P119" t="s">
        <v>498</v>
      </c>
    </row>
    <row r="120" spans="2:16" x14ac:dyDescent="0.25">
      <c r="B120">
        <f t="shared" si="1"/>
        <v>118</v>
      </c>
      <c r="C120">
        <v>30049039</v>
      </c>
      <c r="D120" t="s">
        <v>417</v>
      </c>
      <c r="E120" s="7" t="s">
        <v>2465</v>
      </c>
      <c r="F120" t="e">
        <f>VLOOKUP(JENNIFFER!$B120,#REF!,4,1)</f>
        <v>#REF!</v>
      </c>
      <c r="G120" t="str">
        <f>IF(JENNIFFER!$E120="",JENNIFFER!$F120,JENNIFFER!$E120)</f>
        <v>Amitriptilina</v>
      </c>
      <c r="I120" t="s">
        <v>415</v>
      </c>
      <c r="J120" t="s">
        <v>198</v>
      </c>
      <c r="K120" t="s">
        <v>2</v>
      </c>
      <c r="L120" t="s">
        <v>10</v>
      </c>
      <c r="M120">
        <v>1071999</v>
      </c>
      <c r="N120">
        <v>3827676</v>
      </c>
      <c r="O120">
        <v>8737535.4499999993</v>
      </c>
      <c r="P120" t="s">
        <v>426</v>
      </c>
    </row>
    <row r="121" spans="2:16" x14ac:dyDescent="0.25">
      <c r="B121">
        <f t="shared" si="1"/>
        <v>119</v>
      </c>
      <c r="C121">
        <v>30049039</v>
      </c>
      <c r="D121" t="s">
        <v>414</v>
      </c>
      <c r="E121" s="7" t="s">
        <v>2465</v>
      </c>
      <c r="F121" t="e">
        <f>VLOOKUP(JENNIFFER!$B121,#REF!,4,1)</f>
        <v>#REF!</v>
      </c>
      <c r="G121" t="str">
        <f>IF(JENNIFFER!$E121="",JENNIFFER!$F121,JENNIFFER!$E121)</f>
        <v>Amitriptilina</v>
      </c>
      <c r="I121" t="s">
        <v>415</v>
      </c>
      <c r="J121" t="s">
        <v>29</v>
      </c>
      <c r="K121" t="s">
        <v>2</v>
      </c>
      <c r="L121" t="s">
        <v>10</v>
      </c>
      <c r="M121">
        <v>1376793</v>
      </c>
      <c r="N121">
        <v>4904670</v>
      </c>
      <c r="O121">
        <v>11196403.9</v>
      </c>
      <c r="P121" t="s">
        <v>426</v>
      </c>
    </row>
    <row r="122" spans="2:16" x14ac:dyDescent="0.25">
      <c r="B122">
        <f t="shared" si="1"/>
        <v>120</v>
      </c>
      <c r="C122">
        <v>30049039</v>
      </c>
      <c r="D122" t="s">
        <v>414</v>
      </c>
      <c r="E122" s="7" t="s">
        <v>2465</v>
      </c>
      <c r="F122" t="e">
        <f>VLOOKUP(JENNIFFER!$B122,#REF!,4,1)</f>
        <v>#REF!</v>
      </c>
      <c r="G122" t="str">
        <f>IF(JENNIFFER!$E122="",JENNIFFER!$F122,JENNIFFER!$E122)</f>
        <v>Amitriptilina</v>
      </c>
      <c r="I122" t="s">
        <v>415</v>
      </c>
      <c r="J122" t="s">
        <v>424</v>
      </c>
      <c r="K122" t="s">
        <v>2</v>
      </c>
      <c r="L122" t="s">
        <v>10</v>
      </c>
      <c r="M122">
        <v>678777</v>
      </c>
      <c r="N122">
        <v>2366734</v>
      </c>
      <c r="O122">
        <v>5403263.1299999999</v>
      </c>
      <c r="P122" t="s">
        <v>426</v>
      </c>
    </row>
    <row r="123" spans="2:16" x14ac:dyDescent="0.25">
      <c r="B123">
        <f t="shared" si="1"/>
        <v>121</v>
      </c>
      <c r="C123">
        <v>30049069</v>
      </c>
      <c r="D123" t="s">
        <v>194</v>
      </c>
      <c r="E123" t="s">
        <v>2573</v>
      </c>
      <c r="F123" t="e">
        <f>VLOOKUP(JENNIFFER!$B123,#REF!,4,1)</f>
        <v>#REF!</v>
      </c>
      <c r="G123" t="str">
        <f>IF(JENNIFFER!$E123="",JENNIFFER!$F123,JENNIFFER!$E123)</f>
        <v>Cloridrato de Ciprofloxacino</v>
      </c>
      <c r="I123" t="s">
        <v>195</v>
      </c>
      <c r="J123" t="s">
        <v>29</v>
      </c>
      <c r="K123" t="s">
        <v>2</v>
      </c>
      <c r="L123" t="s">
        <v>10</v>
      </c>
      <c r="M123">
        <v>1235965</v>
      </c>
      <c r="N123">
        <v>16971959</v>
      </c>
      <c r="O123">
        <v>38746282.380000003</v>
      </c>
      <c r="P123" t="s">
        <v>203</v>
      </c>
    </row>
    <row r="124" spans="2:16" x14ac:dyDescent="0.25">
      <c r="B124">
        <f t="shared" si="1"/>
        <v>122</v>
      </c>
      <c r="C124">
        <v>30049069</v>
      </c>
      <c r="D124" t="s">
        <v>194</v>
      </c>
      <c r="E124" t="s">
        <v>2573</v>
      </c>
      <c r="F124" t="e">
        <f>VLOOKUP(JENNIFFER!$B124,#REF!,4,1)</f>
        <v>#REF!</v>
      </c>
      <c r="G124" t="str">
        <f>IF(JENNIFFER!$E124="",JENNIFFER!$F124,JENNIFFER!$E124)</f>
        <v>Cloridrato de Ciprofloxacino</v>
      </c>
      <c r="I124" t="s">
        <v>195</v>
      </c>
      <c r="J124" t="s">
        <v>29</v>
      </c>
      <c r="K124" t="s">
        <v>2</v>
      </c>
      <c r="L124" t="s">
        <v>10</v>
      </c>
      <c r="M124">
        <v>1235965</v>
      </c>
      <c r="N124">
        <v>16971959</v>
      </c>
      <c r="O124">
        <v>38746282.380000003</v>
      </c>
      <c r="P124" t="s">
        <v>594</v>
      </c>
    </row>
    <row r="125" spans="2:16" x14ac:dyDescent="0.25">
      <c r="B125">
        <f t="shared" si="1"/>
        <v>123</v>
      </c>
      <c r="C125">
        <v>30049069</v>
      </c>
      <c r="D125" t="s">
        <v>194</v>
      </c>
      <c r="E125" t="s">
        <v>2573</v>
      </c>
      <c r="F125" t="e">
        <f>VLOOKUP(JENNIFFER!$B125,#REF!,4,1)</f>
        <v>#REF!</v>
      </c>
      <c r="G125" t="str">
        <f>IF(JENNIFFER!$E125="",JENNIFFER!$F125,JENNIFFER!$E125)</f>
        <v>Cloridrato de Ciprofloxacino</v>
      </c>
      <c r="I125" t="s">
        <v>195</v>
      </c>
      <c r="J125" t="s">
        <v>103</v>
      </c>
      <c r="K125" t="s">
        <v>2</v>
      </c>
      <c r="L125" t="s">
        <v>10</v>
      </c>
      <c r="M125">
        <v>734457</v>
      </c>
      <c r="N125">
        <v>14138658</v>
      </c>
      <c r="O125">
        <v>32333953.84</v>
      </c>
      <c r="P125" t="s">
        <v>594</v>
      </c>
    </row>
    <row r="126" spans="2:16" x14ac:dyDescent="0.25">
      <c r="B126">
        <f t="shared" si="1"/>
        <v>124</v>
      </c>
      <c r="C126">
        <v>30049039</v>
      </c>
      <c r="D126" t="s">
        <v>423</v>
      </c>
      <c r="E126" t="s">
        <v>2574</v>
      </c>
      <c r="F126" t="e">
        <f>VLOOKUP(JENNIFFER!$B126,#REF!,4,1)</f>
        <v>#REF!</v>
      </c>
      <c r="G126" t="str">
        <f>IF(JENNIFFER!$E126="",JENNIFFER!$F126,JENNIFFER!$E126)</f>
        <v>Cloridrato de Fluoxetina</v>
      </c>
      <c r="I126" t="s">
        <v>419</v>
      </c>
      <c r="J126" t="s">
        <v>64</v>
      </c>
      <c r="K126" t="s">
        <v>2</v>
      </c>
      <c r="L126" t="s">
        <v>10</v>
      </c>
      <c r="M126">
        <v>704692</v>
      </c>
      <c r="N126">
        <v>8303895</v>
      </c>
      <c r="O126">
        <v>18913682.73</v>
      </c>
      <c r="P126" t="s">
        <v>426</v>
      </c>
    </row>
    <row r="127" spans="2:16" x14ac:dyDescent="0.25">
      <c r="B127">
        <f t="shared" si="1"/>
        <v>125</v>
      </c>
      <c r="C127">
        <v>30049049</v>
      </c>
      <c r="D127" t="s">
        <v>124</v>
      </c>
      <c r="E127" t="s">
        <v>2575</v>
      </c>
      <c r="F127" t="e">
        <f>VLOOKUP(JENNIFFER!$B127,#REF!,4,1)</f>
        <v>#REF!</v>
      </c>
      <c r="G127" t="str">
        <f>IF(JENNIFFER!$E127="",JENNIFFER!$F127,JENNIFFER!$E127)</f>
        <v>Cloridrato de Metformina</v>
      </c>
      <c r="I127" t="s">
        <v>121</v>
      </c>
      <c r="J127" t="s">
        <v>64</v>
      </c>
      <c r="K127" t="s">
        <v>2</v>
      </c>
      <c r="L127" t="s">
        <v>10</v>
      </c>
      <c r="M127">
        <v>2994645</v>
      </c>
      <c r="N127">
        <v>12272426</v>
      </c>
      <c r="O127">
        <v>28048600.890000001</v>
      </c>
      <c r="P127" t="s">
        <v>127</v>
      </c>
    </row>
    <row r="128" spans="2:16" x14ac:dyDescent="0.25">
      <c r="B128">
        <f t="shared" si="1"/>
        <v>126</v>
      </c>
      <c r="C128">
        <v>30049049</v>
      </c>
      <c r="D128" t="s">
        <v>122</v>
      </c>
      <c r="E128" t="s">
        <v>2575</v>
      </c>
      <c r="F128" t="e">
        <f>VLOOKUP(JENNIFFER!$B128,#REF!,4,1)</f>
        <v>#REF!</v>
      </c>
      <c r="G128" t="str">
        <f>IF(JENNIFFER!$E128="",JENNIFFER!$F128,JENNIFFER!$E128)</f>
        <v>Cloridrato de Metformina</v>
      </c>
      <c r="I128" t="s">
        <v>121</v>
      </c>
      <c r="J128" t="s">
        <v>123</v>
      </c>
      <c r="K128" t="s">
        <v>2</v>
      </c>
      <c r="L128" t="s">
        <v>10</v>
      </c>
      <c r="M128">
        <v>3082160</v>
      </c>
      <c r="N128">
        <v>6056659</v>
      </c>
      <c r="O128">
        <v>13795919</v>
      </c>
      <c r="P128" t="s">
        <v>127</v>
      </c>
    </row>
    <row r="129" spans="2:16" x14ac:dyDescent="0.25">
      <c r="B129">
        <f t="shared" si="1"/>
        <v>127</v>
      </c>
      <c r="C129">
        <v>30049049</v>
      </c>
      <c r="D129" t="s">
        <v>122</v>
      </c>
      <c r="E129" t="s">
        <v>2575</v>
      </c>
      <c r="F129" t="e">
        <f>VLOOKUP(JENNIFFER!$B129,#REF!,4,1)</f>
        <v>#REF!</v>
      </c>
      <c r="G129" t="str">
        <f>IF(JENNIFFER!$E129="",JENNIFFER!$F129,JENNIFFER!$E129)</f>
        <v>Cloridrato de Metformina</v>
      </c>
      <c r="I129" t="s">
        <v>121</v>
      </c>
      <c r="J129" t="s">
        <v>52</v>
      </c>
      <c r="K129" t="s">
        <v>2</v>
      </c>
      <c r="L129" t="s">
        <v>10</v>
      </c>
      <c r="M129">
        <v>2186933</v>
      </c>
      <c r="N129">
        <v>8997740</v>
      </c>
      <c r="O129">
        <v>20559236.170000002</v>
      </c>
      <c r="P129" t="s">
        <v>127</v>
      </c>
    </row>
    <row r="130" spans="2:16" x14ac:dyDescent="0.25">
      <c r="B130">
        <f t="shared" si="1"/>
        <v>128</v>
      </c>
      <c r="C130">
        <v>30049059</v>
      </c>
      <c r="D130" t="s">
        <v>62</v>
      </c>
      <c r="E130" t="s">
        <v>2576</v>
      </c>
      <c r="F130" t="e">
        <f>VLOOKUP(JENNIFFER!$B130,#REF!,4,1)</f>
        <v>#REF!</v>
      </c>
      <c r="G130" t="str">
        <f>IF(JENNIFFER!$E130="",JENNIFFER!$F130,JENNIFFER!$E130)</f>
        <v>Cloridrato de ranitidina</v>
      </c>
      <c r="I130" t="s">
        <v>63</v>
      </c>
      <c r="J130" t="s">
        <v>29</v>
      </c>
      <c r="K130" t="s">
        <v>2</v>
      </c>
      <c r="L130" t="s">
        <v>10</v>
      </c>
      <c r="M130">
        <v>800350</v>
      </c>
      <c r="N130">
        <v>5590482</v>
      </c>
      <c r="O130">
        <v>12754146.039999999</v>
      </c>
      <c r="P130" t="s">
        <v>61</v>
      </c>
    </row>
    <row r="131" spans="2:16" x14ac:dyDescent="0.25">
      <c r="B131">
        <f t="shared" si="1"/>
        <v>129</v>
      </c>
      <c r="C131">
        <v>30049059</v>
      </c>
      <c r="D131" t="s">
        <v>62</v>
      </c>
      <c r="E131" t="s">
        <v>2576</v>
      </c>
      <c r="F131" t="e">
        <f>VLOOKUP(JENNIFFER!$B131,#REF!,4,1)</f>
        <v>#REF!</v>
      </c>
      <c r="G131" t="str">
        <f>IF(JENNIFFER!$E131="",JENNIFFER!$F131,JENNIFFER!$E131)</f>
        <v>Cloridrato de ranitidina</v>
      </c>
      <c r="I131" t="s">
        <v>63</v>
      </c>
      <c r="J131" t="s">
        <v>52</v>
      </c>
      <c r="K131" t="s">
        <v>2</v>
      </c>
      <c r="L131" t="s">
        <v>10</v>
      </c>
      <c r="M131">
        <v>800170</v>
      </c>
      <c r="N131">
        <v>5609392</v>
      </c>
      <c r="O131">
        <v>12790194.199999999</v>
      </c>
      <c r="P131" t="s">
        <v>61</v>
      </c>
    </row>
    <row r="132" spans="2:16" x14ac:dyDescent="0.25">
      <c r="B132">
        <f t="shared" ref="B132:B195" si="2">+B131+1</f>
        <v>130</v>
      </c>
      <c r="C132">
        <v>30049059</v>
      </c>
      <c r="D132" t="s">
        <v>62</v>
      </c>
      <c r="E132" t="s">
        <v>2576</v>
      </c>
      <c r="F132" t="e">
        <f>VLOOKUP(JENNIFFER!$B132,#REF!,4,1)</f>
        <v>#REF!</v>
      </c>
      <c r="G132" t="str">
        <f>IF(JENNIFFER!$E132="",JENNIFFER!$F132,JENNIFFER!$E132)</f>
        <v>Cloridrato de ranitidina</v>
      </c>
      <c r="I132" t="s">
        <v>63</v>
      </c>
      <c r="J132" t="s">
        <v>64</v>
      </c>
      <c r="K132" t="s">
        <v>2</v>
      </c>
      <c r="L132" t="s">
        <v>10</v>
      </c>
      <c r="M132">
        <v>609951</v>
      </c>
      <c r="N132">
        <v>3688152</v>
      </c>
      <c r="O132">
        <v>8409886.8800000008</v>
      </c>
      <c r="P132" t="s">
        <v>61</v>
      </c>
    </row>
    <row r="133" spans="2:16" x14ac:dyDescent="0.25">
      <c r="B133">
        <f t="shared" si="2"/>
        <v>131</v>
      </c>
      <c r="D133" t="s">
        <v>2577</v>
      </c>
      <c r="E133" t="s">
        <v>2578</v>
      </c>
      <c r="F133" t="e">
        <f>VLOOKUP(JENNIFFER!$B133,#REF!,4,1)</f>
        <v>#REF!</v>
      </c>
      <c r="G133" t="str">
        <f>IF(JENNIFFER!$E133="",JENNIFFER!$F133,JENNIFFER!$E133)</f>
        <v>cloridrato de sertralina</v>
      </c>
      <c r="I133" t="s">
        <v>419</v>
      </c>
      <c r="J133" t="s">
        <v>198</v>
      </c>
      <c r="K133" t="s">
        <v>2</v>
      </c>
      <c r="L133" t="s">
        <v>10</v>
      </c>
      <c r="M133">
        <v>604394</v>
      </c>
      <c r="N133">
        <v>12594653</v>
      </c>
      <c r="O133">
        <v>28738179.289999999</v>
      </c>
      <c r="P133" t="s">
        <v>426</v>
      </c>
    </row>
    <row r="134" spans="2:16" x14ac:dyDescent="0.25">
      <c r="B134">
        <f t="shared" si="2"/>
        <v>132</v>
      </c>
      <c r="C134">
        <v>30049069</v>
      </c>
      <c r="D134" t="s">
        <v>248</v>
      </c>
      <c r="E134" t="s">
        <v>2579</v>
      </c>
      <c r="F134" t="e">
        <f>VLOOKUP(JENNIFFER!$B134,#REF!,4,1)</f>
        <v>#REF!</v>
      </c>
      <c r="G134" t="str">
        <f>IF(JENNIFFER!$E134="",JENNIFFER!$F134,JENNIFFER!$E134)</f>
        <v>colchicina</v>
      </c>
      <c r="I134" t="s">
        <v>242</v>
      </c>
      <c r="J134" t="s">
        <v>68</v>
      </c>
      <c r="K134" t="s">
        <v>2</v>
      </c>
      <c r="L134" t="s">
        <v>3</v>
      </c>
      <c r="M134">
        <v>434894</v>
      </c>
      <c r="N134">
        <v>1954886</v>
      </c>
      <c r="O134">
        <v>4451724.22</v>
      </c>
      <c r="P134" t="s">
        <v>250</v>
      </c>
    </row>
    <row r="135" spans="2:16" x14ac:dyDescent="0.25">
      <c r="B135">
        <f t="shared" si="2"/>
        <v>133</v>
      </c>
      <c r="C135">
        <v>30039099</v>
      </c>
      <c r="D135" t="s">
        <v>249</v>
      </c>
      <c r="E135" t="s">
        <v>2579</v>
      </c>
      <c r="F135" t="e">
        <f>VLOOKUP(JENNIFFER!$B135,#REF!,4,1)</f>
        <v>#REF!</v>
      </c>
      <c r="G135" t="str">
        <f>IF(JENNIFFER!$E135="",JENNIFFER!$F135,JENNIFFER!$E135)</f>
        <v>colchicina</v>
      </c>
      <c r="I135" t="s">
        <v>242</v>
      </c>
      <c r="J135" t="s">
        <v>109</v>
      </c>
      <c r="K135" t="s">
        <v>2</v>
      </c>
      <c r="L135" t="s">
        <v>23</v>
      </c>
      <c r="M135">
        <v>298401</v>
      </c>
      <c r="N135">
        <v>4054885</v>
      </c>
      <c r="O135">
        <v>9257105.9800000004</v>
      </c>
      <c r="P135" t="s">
        <v>250</v>
      </c>
    </row>
    <row r="136" spans="2:16" x14ac:dyDescent="0.25">
      <c r="B136">
        <f t="shared" si="2"/>
        <v>134</v>
      </c>
      <c r="C136">
        <v>30045090</v>
      </c>
      <c r="D136" t="s">
        <v>178</v>
      </c>
      <c r="E136" t="s">
        <v>2580</v>
      </c>
      <c r="F136" t="e">
        <f>VLOOKUP(JENNIFFER!$B136,#REF!,4,1)</f>
        <v>#REF!</v>
      </c>
      <c r="G136" t="str">
        <f>IF(JENNIFFER!$E136="",JENNIFFER!$F136,JENNIFFER!$E136)</f>
        <v>ferrocarbonila</v>
      </c>
      <c r="I136" t="s">
        <v>179</v>
      </c>
      <c r="J136" t="s">
        <v>1</v>
      </c>
      <c r="K136" t="s">
        <v>2</v>
      </c>
      <c r="L136" t="s">
        <v>3</v>
      </c>
      <c r="M136">
        <v>1613528</v>
      </c>
      <c r="N136">
        <v>14394211</v>
      </c>
      <c r="O136">
        <v>32872534.949999999</v>
      </c>
      <c r="P136" t="s">
        <v>174</v>
      </c>
    </row>
    <row r="137" spans="2:16" x14ac:dyDescent="0.25">
      <c r="B137">
        <f t="shared" si="2"/>
        <v>135</v>
      </c>
      <c r="C137">
        <v>30045090</v>
      </c>
      <c r="D137" t="s">
        <v>180</v>
      </c>
      <c r="E137" t="s">
        <v>2581</v>
      </c>
      <c r="F137" t="e">
        <f>VLOOKUP(JENNIFFER!$B137,#REF!,4,1)</f>
        <v>#REF!</v>
      </c>
      <c r="G137" t="str">
        <f>IF(JENNIFFER!$E137="",JENNIFFER!$F137,JENNIFFER!$E137)</f>
        <v>glicinato ferrico + associacoes</v>
      </c>
      <c r="I137" t="s">
        <v>179</v>
      </c>
      <c r="J137" t="s">
        <v>1</v>
      </c>
      <c r="K137" t="s">
        <v>2</v>
      </c>
      <c r="L137" t="s">
        <v>3</v>
      </c>
      <c r="M137">
        <v>599313</v>
      </c>
      <c r="N137">
        <v>2411474</v>
      </c>
      <c r="O137">
        <v>5503566.5099999998</v>
      </c>
      <c r="P137" t="s">
        <v>174</v>
      </c>
    </row>
    <row r="138" spans="2:16" x14ac:dyDescent="0.25">
      <c r="B138">
        <f t="shared" si="2"/>
        <v>136</v>
      </c>
      <c r="C138">
        <v>30049099</v>
      </c>
      <c r="D138" t="s">
        <v>561</v>
      </c>
      <c r="F138" t="e">
        <f>VLOOKUP(JENNIFFER!$B138,#REF!,4,1)</f>
        <v>#REF!</v>
      </c>
      <c r="G138" t="e">
        <f>IF(JENNIFFER!$E138="",JENNIFFER!$F138,JENNIFFER!$E138)</f>
        <v>#REF!</v>
      </c>
      <c r="I138" t="s">
        <v>562</v>
      </c>
      <c r="J138" t="s">
        <v>563</v>
      </c>
      <c r="K138" t="s">
        <v>4</v>
      </c>
      <c r="L138" t="s">
        <v>3</v>
      </c>
      <c r="M138">
        <v>3828202</v>
      </c>
      <c r="N138">
        <v>17190845</v>
      </c>
      <c r="O138">
        <v>39263243.560000002</v>
      </c>
      <c r="P138" t="s">
        <v>554</v>
      </c>
    </row>
    <row r="139" spans="2:16" x14ac:dyDescent="0.25">
      <c r="B139">
        <f t="shared" si="2"/>
        <v>137</v>
      </c>
      <c r="C139">
        <v>30049054</v>
      </c>
      <c r="D139" t="s">
        <v>495</v>
      </c>
      <c r="E139" t="s">
        <v>2582</v>
      </c>
      <c r="F139" t="e">
        <f>VLOOKUP(JENNIFFER!$B139,#REF!,4,1)</f>
        <v>#REF!</v>
      </c>
      <c r="G139" t="str">
        <f>IF(JENNIFFER!$E139="",JENNIFFER!$F139,JENNIFFER!$E139)</f>
        <v>amiodarona</v>
      </c>
      <c r="I139" t="s">
        <v>488</v>
      </c>
      <c r="J139" t="s">
        <v>103</v>
      </c>
      <c r="K139" t="s">
        <v>2</v>
      </c>
      <c r="L139" t="s">
        <v>3</v>
      </c>
      <c r="M139">
        <v>90668</v>
      </c>
      <c r="N139">
        <v>720552.81</v>
      </c>
      <c r="O139">
        <v>1624034.01</v>
      </c>
      <c r="P139" t="s">
        <v>498</v>
      </c>
    </row>
    <row r="140" spans="2:16" x14ac:dyDescent="0.25">
      <c r="B140">
        <f t="shared" si="2"/>
        <v>138</v>
      </c>
      <c r="C140">
        <v>30043999</v>
      </c>
      <c r="D140" t="s">
        <v>253</v>
      </c>
      <c r="E140" t="s">
        <v>2583</v>
      </c>
      <c r="F140" t="e">
        <f>VLOOKUP(JENNIFFER!$B140,#REF!,4,1)</f>
        <v>#REF!</v>
      </c>
      <c r="G140" t="str">
        <f>IF(JENNIFFER!$E140="",JENNIFFER!$F140,JENNIFFER!$E140)</f>
        <v xml:space="preserve"> prednisona</v>
      </c>
      <c r="I140" t="s">
        <v>254</v>
      </c>
      <c r="J140" t="s">
        <v>34</v>
      </c>
      <c r="K140" t="s">
        <v>2</v>
      </c>
      <c r="L140" t="s">
        <v>3</v>
      </c>
      <c r="M140">
        <v>2884397</v>
      </c>
      <c r="N140">
        <v>14945696</v>
      </c>
      <c r="O140">
        <v>34068993.380000003</v>
      </c>
      <c r="P140" t="s">
        <v>250</v>
      </c>
    </row>
    <row r="141" spans="2:16" x14ac:dyDescent="0.25">
      <c r="B141">
        <f t="shared" si="2"/>
        <v>139</v>
      </c>
      <c r="C141">
        <v>30043999</v>
      </c>
      <c r="D141" t="s">
        <v>253</v>
      </c>
      <c r="E141" t="s">
        <v>2583</v>
      </c>
      <c r="F141" t="e">
        <f>VLOOKUP(JENNIFFER!$B141,#REF!,4,1)</f>
        <v>#REF!</v>
      </c>
      <c r="G141" t="str">
        <f>IF(JENNIFFER!$E141="",JENNIFFER!$F141,JENNIFFER!$E141)</f>
        <v xml:space="preserve"> prednisona</v>
      </c>
      <c r="I141" t="s">
        <v>254</v>
      </c>
      <c r="J141" t="s">
        <v>34</v>
      </c>
      <c r="K141" t="s">
        <v>2</v>
      </c>
      <c r="L141" t="s">
        <v>3</v>
      </c>
      <c r="M141">
        <v>2884397</v>
      </c>
      <c r="N141">
        <v>14945696</v>
      </c>
      <c r="O141">
        <v>34068993.380000003</v>
      </c>
      <c r="P141" t="s">
        <v>554</v>
      </c>
    </row>
    <row r="142" spans="2:16" x14ac:dyDescent="0.25">
      <c r="B142">
        <f t="shared" si="2"/>
        <v>140</v>
      </c>
      <c r="C142">
        <v>30043999</v>
      </c>
      <c r="D142" t="s">
        <v>253</v>
      </c>
      <c r="E142" t="s">
        <v>2583</v>
      </c>
      <c r="F142" t="e">
        <f>VLOOKUP(JENNIFFER!$B142,#REF!,4,1)</f>
        <v>#REF!</v>
      </c>
      <c r="G142" t="str">
        <f>IF(JENNIFFER!$E142="",JENNIFFER!$F142,JENNIFFER!$E142)</f>
        <v xml:space="preserve"> prednisona</v>
      </c>
      <c r="I142" t="s">
        <v>254</v>
      </c>
      <c r="J142" t="s">
        <v>34</v>
      </c>
      <c r="K142" t="s">
        <v>2</v>
      </c>
      <c r="L142" t="s">
        <v>3</v>
      </c>
      <c r="M142">
        <v>2884397</v>
      </c>
      <c r="N142">
        <v>14945696</v>
      </c>
      <c r="O142">
        <v>34068993.380000003</v>
      </c>
      <c r="P142" t="s">
        <v>559</v>
      </c>
    </row>
    <row r="143" spans="2:16" x14ac:dyDescent="0.25">
      <c r="B143">
        <f t="shared" si="2"/>
        <v>141</v>
      </c>
      <c r="C143">
        <v>30049079</v>
      </c>
      <c r="D143" t="s">
        <v>344</v>
      </c>
      <c r="E143" t="s">
        <v>2584</v>
      </c>
      <c r="F143" t="e">
        <f>VLOOKUP(JENNIFFER!$B143,#REF!,4,1)</f>
        <v>#REF!</v>
      </c>
      <c r="G143" t="str">
        <f>IF(JENNIFFER!$E143="",JENNIFFER!$F143,JENNIFFER!$E143)</f>
        <v>dexametasona</v>
      </c>
      <c r="I143" t="s">
        <v>345</v>
      </c>
      <c r="J143" t="s">
        <v>68</v>
      </c>
      <c r="K143" t="s">
        <v>2</v>
      </c>
      <c r="L143" t="s">
        <v>3</v>
      </c>
      <c r="M143">
        <v>934058</v>
      </c>
      <c r="N143">
        <v>3082151</v>
      </c>
      <c r="O143">
        <v>7041280.6699999999</v>
      </c>
      <c r="P143" t="s">
        <v>338</v>
      </c>
    </row>
    <row r="144" spans="2:16" x14ac:dyDescent="0.25">
      <c r="B144">
        <f t="shared" si="2"/>
        <v>142</v>
      </c>
      <c r="C144">
        <v>30049099</v>
      </c>
      <c r="D144" t="s">
        <v>188</v>
      </c>
      <c r="E144" t="s">
        <v>2585</v>
      </c>
      <c r="F144" t="e">
        <f>VLOOKUP(JENNIFFER!$B144,#REF!,4,1)</f>
        <v>#REF!</v>
      </c>
      <c r="G144" t="str">
        <f>IF(JENNIFFER!$E144="",JENNIFFER!$F144,JENNIFFER!$E144)</f>
        <v>acriflavina+beladona+metenamina</v>
      </c>
      <c r="I144" t="s">
        <v>189</v>
      </c>
      <c r="J144" t="s">
        <v>29</v>
      </c>
      <c r="K144" t="s">
        <v>4</v>
      </c>
      <c r="L144" t="s">
        <v>3</v>
      </c>
      <c r="M144">
        <v>1915905</v>
      </c>
      <c r="N144">
        <v>9897887</v>
      </c>
      <c r="O144">
        <v>22611292.859999999</v>
      </c>
      <c r="P144" t="s">
        <v>203</v>
      </c>
    </row>
    <row r="145" spans="2:16" x14ac:dyDescent="0.25">
      <c r="B145">
        <f t="shared" si="2"/>
        <v>143</v>
      </c>
      <c r="C145">
        <v>30045090</v>
      </c>
      <c r="D145" t="s">
        <v>27</v>
      </c>
      <c r="E145" t="s">
        <v>2586</v>
      </c>
      <c r="F145" t="e">
        <f>VLOOKUP(JENNIFFER!$B145,#REF!,4,1)</f>
        <v>#REF!</v>
      </c>
      <c r="G145" t="str">
        <f>IF(JENNIFFER!$E145="",JENNIFFER!$F145,JENNIFFER!$E145)</f>
        <v>ac. ascorbico+hesperidina+piperidolato</v>
      </c>
      <c r="I145" t="s">
        <v>21</v>
      </c>
      <c r="J145" t="s">
        <v>28</v>
      </c>
      <c r="K145" t="s">
        <v>2</v>
      </c>
      <c r="L145" t="s">
        <v>23</v>
      </c>
      <c r="M145">
        <v>388550</v>
      </c>
      <c r="N145">
        <v>1961904</v>
      </c>
      <c r="O145">
        <v>4479782.1399999997</v>
      </c>
      <c r="P145" t="s">
        <v>40</v>
      </c>
    </row>
    <row r="146" spans="2:16" x14ac:dyDescent="0.25">
      <c r="B146">
        <f t="shared" si="2"/>
        <v>144</v>
      </c>
      <c r="C146">
        <v>30039089</v>
      </c>
      <c r="D146" t="s">
        <v>546</v>
      </c>
      <c r="E146" t="s">
        <v>2587</v>
      </c>
      <c r="F146" t="e">
        <f>VLOOKUP(JENNIFFER!$B146,#REF!,4,1)</f>
        <v>#REF!</v>
      </c>
      <c r="G146" t="str">
        <f>IF(JENNIFFER!$E146="",JENNIFFER!$F146,JENNIFFER!$E146)</f>
        <v>diosmina+hesperidina</v>
      </c>
      <c r="I146" t="s">
        <v>541</v>
      </c>
      <c r="J146" t="s">
        <v>144</v>
      </c>
      <c r="K146" t="s">
        <v>2</v>
      </c>
      <c r="L146" t="s">
        <v>23</v>
      </c>
      <c r="M146">
        <v>766125</v>
      </c>
      <c r="N146">
        <v>17444669</v>
      </c>
      <c r="O146">
        <v>39895271.140000001</v>
      </c>
      <c r="P146" t="s">
        <v>548</v>
      </c>
    </row>
    <row r="147" spans="2:16" x14ac:dyDescent="0.25">
      <c r="B147">
        <f t="shared" si="2"/>
        <v>145</v>
      </c>
      <c r="C147">
        <v>30049049</v>
      </c>
      <c r="D147" t="s">
        <v>421</v>
      </c>
      <c r="E147" t="s">
        <v>2588</v>
      </c>
      <c r="F147" t="e">
        <f>VLOOKUP(JENNIFFER!$B147,#REF!,4,1)</f>
        <v>#REF!</v>
      </c>
      <c r="G147" t="str">
        <f>IF(JENNIFFER!$E147="",JENNIFFER!$F147,JENNIFFER!$E147)</f>
        <v>cloridrato de fluoxetina</v>
      </c>
      <c r="I147" t="s">
        <v>419</v>
      </c>
      <c r="J147" t="s">
        <v>29</v>
      </c>
      <c r="K147" t="s">
        <v>2</v>
      </c>
      <c r="L147" t="s">
        <v>23</v>
      </c>
      <c r="M147">
        <v>742745</v>
      </c>
      <c r="N147">
        <v>10752522</v>
      </c>
      <c r="O147">
        <v>24518533.579999998</v>
      </c>
      <c r="P147" t="s">
        <v>426</v>
      </c>
    </row>
    <row r="148" spans="2:16" x14ac:dyDescent="0.25">
      <c r="B148">
        <f t="shared" si="2"/>
        <v>146</v>
      </c>
      <c r="C148">
        <v>30049099</v>
      </c>
      <c r="D148" t="s">
        <v>590</v>
      </c>
      <c r="E148" t="s">
        <v>2589</v>
      </c>
      <c r="F148" t="e">
        <f>VLOOKUP(JENNIFFER!$B148,#REF!,4,1)</f>
        <v>#REF!</v>
      </c>
      <c r="G148" t="str">
        <f>IF(JENNIFFER!$E148="",JENNIFFER!$F148,JENNIFFER!$E148)</f>
        <v>bronfeniramina+fenilefrina</v>
      </c>
      <c r="I148" t="s">
        <v>226</v>
      </c>
      <c r="J148" t="s">
        <v>1</v>
      </c>
      <c r="K148" t="s">
        <v>4</v>
      </c>
      <c r="L148" t="s">
        <v>3</v>
      </c>
      <c r="M148">
        <v>2930313</v>
      </c>
      <c r="N148">
        <v>16580280</v>
      </c>
      <c r="O148">
        <v>37663082.909999996</v>
      </c>
      <c r="P148" t="s">
        <v>589</v>
      </c>
    </row>
    <row r="149" spans="2:16" x14ac:dyDescent="0.25">
      <c r="B149">
        <f t="shared" si="2"/>
        <v>147</v>
      </c>
      <c r="C149">
        <v>30049099</v>
      </c>
      <c r="D149" t="s">
        <v>590</v>
      </c>
      <c r="E149" t="s">
        <v>2589</v>
      </c>
      <c r="F149" t="e">
        <f>VLOOKUP(JENNIFFER!$B149,#REF!,4,1)</f>
        <v>#REF!</v>
      </c>
      <c r="G149" t="str">
        <f>IF(JENNIFFER!$E149="",JENNIFFER!$F149,JENNIFFER!$E149)</f>
        <v>bronfeniramina+fenilefrina</v>
      </c>
      <c r="I149" t="s">
        <v>226</v>
      </c>
      <c r="J149" t="s">
        <v>1</v>
      </c>
      <c r="K149" t="s">
        <v>4</v>
      </c>
      <c r="L149" t="s">
        <v>3</v>
      </c>
      <c r="M149">
        <v>2930313</v>
      </c>
      <c r="N149">
        <v>16580280</v>
      </c>
      <c r="O149">
        <v>37663082.909999996</v>
      </c>
      <c r="P149" t="s">
        <v>611</v>
      </c>
    </row>
    <row r="150" spans="2:16" x14ac:dyDescent="0.25">
      <c r="B150">
        <f t="shared" si="2"/>
        <v>148</v>
      </c>
      <c r="C150">
        <v>30049099</v>
      </c>
      <c r="D150" t="s">
        <v>225</v>
      </c>
      <c r="E150" t="s">
        <v>2589</v>
      </c>
      <c r="F150" t="e">
        <f>VLOOKUP(JENNIFFER!$B150,#REF!,4,1)</f>
        <v>#REF!</v>
      </c>
      <c r="G150" t="str">
        <f>IF(JENNIFFER!$E150="",JENNIFFER!$F150,JENNIFFER!$E150)</f>
        <v>bronfeniramina+fenilefrina</v>
      </c>
      <c r="I150" t="s">
        <v>226</v>
      </c>
      <c r="J150" t="s">
        <v>1</v>
      </c>
      <c r="K150" t="s">
        <v>4</v>
      </c>
      <c r="L150" t="s">
        <v>3</v>
      </c>
      <c r="M150">
        <v>3488119</v>
      </c>
      <c r="N150">
        <v>10692324</v>
      </c>
      <c r="O150">
        <v>24262392.280000001</v>
      </c>
      <c r="P150" t="s">
        <v>227</v>
      </c>
    </row>
    <row r="151" spans="2:16" x14ac:dyDescent="0.25">
      <c r="B151">
        <f t="shared" si="2"/>
        <v>149</v>
      </c>
      <c r="C151">
        <v>30049099</v>
      </c>
      <c r="D151" t="s">
        <v>225</v>
      </c>
      <c r="E151" t="s">
        <v>2589</v>
      </c>
      <c r="F151" t="e">
        <f>VLOOKUP(JENNIFFER!$B151,#REF!,4,1)</f>
        <v>#REF!</v>
      </c>
      <c r="G151" t="str">
        <f>IF(JENNIFFER!$E151="",JENNIFFER!$F151,JENNIFFER!$E151)</f>
        <v>bronfeniramina+fenilefrina</v>
      </c>
      <c r="I151" t="s">
        <v>226</v>
      </c>
      <c r="J151" t="s">
        <v>1</v>
      </c>
      <c r="K151" t="s">
        <v>4</v>
      </c>
      <c r="L151" t="s">
        <v>3</v>
      </c>
      <c r="M151">
        <v>3488119</v>
      </c>
      <c r="N151">
        <v>10692324</v>
      </c>
      <c r="O151">
        <v>24262392.280000001</v>
      </c>
      <c r="P151" t="s">
        <v>595</v>
      </c>
    </row>
    <row r="152" spans="2:16" x14ac:dyDescent="0.25">
      <c r="B152">
        <f t="shared" si="2"/>
        <v>150</v>
      </c>
      <c r="C152">
        <v>30049099</v>
      </c>
      <c r="D152" t="s">
        <v>610</v>
      </c>
      <c r="E152" t="s">
        <v>2589</v>
      </c>
      <c r="F152" t="e">
        <f>VLOOKUP(JENNIFFER!$B152,#REF!,4,1)</f>
        <v>#REF!</v>
      </c>
      <c r="G152" t="str">
        <f>IF(JENNIFFER!$E152="",JENNIFFER!$F152,JENNIFFER!$E152)</f>
        <v>bronfeniramina+fenilefrina</v>
      </c>
      <c r="I152" t="s">
        <v>226</v>
      </c>
      <c r="J152" t="s">
        <v>1</v>
      </c>
      <c r="K152" t="s">
        <v>4</v>
      </c>
      <c r="L152" t="s">
        <v>3</v>
      </c>
      <c r="M152">
        <v>2935677</v>
      </c>
      <c r="N152">
        <v>13229526</v>
      </c>
      <c r="O152">
        <v>30000562.27</v>
      </c>
      <c r="P152" t="s">
        <v>595</v>
      </c>
    </row>
    <row r="153" spans="2:16" x14ac:dyDescent="0.25">
      <c r="B153">
        <f t="shared" si="2"/>
        <v>151</v>
      </c>
      <c r="C153">
        <v>30039013</v>
      </c>
      <c r="D153" t="s">
        <v>392</v>
      </c>
      <c r="E153" t="s">
        <v>2590</v>
      </c>
      <c r="F153" t="e">
        <f>VLOOKUP(JENNIFFER!$B153,#REF!,4,1)</f>
        <v>#REF!</v>
      </c>
      <c r="G153" t="str">
        <f>IF(JENNIFFER!$E153="",JENNIFFER!$F153,JENNIFFER!$E153)</f>
        <v>cianoc+dexamet+piridoxina+procai+tiamina</v>
      </c>
      <c r="I153" t="s">
        <v>391</v>
      </c>
      <c r="J153" t="s">
        <v>393</v>
      </c>
      <c r="K153" t="s">
        <v>2</v>
      </c>
      <c r="L153" t="s">
        <v>3</v>
      </c>
      <c r="M153">
        <v>283744</v>
      </c>
      <c r="N153">
        <v>2617008</v>
      </c>
      <c r="O153">
        <v>5998263.9699999997</v>
      </c>
      <c r="P153" t="s">
        <v>394</v>
      </c>
    </row>
    <row r="154" spans="2:16" x14ac:dyDescent="0.25">
      <c r="B154">
        <f t="shared" si="2"/>
        <v>152</v>
      </c>
      <c r="C154">
        <v>30049099</v>
      </c>
      <c r="D154" t="s">
        <v>390</v>
      </c>
      <c r="E154" t="s">
        <v>2591</v>
      </c>
      <c r="F154" t="e">
        <f>VLOOKUP(JENNIFFER!$B154,#REF!,4,1)</f>
        <v>#REF!</v>
      </c>
      <c r="G154" t="str">
        <f>IF(JENNIFFER!$E154="",JENNIFFER!$F154,JENNIFFER!$E154)</f>
        <v>Dexa-citoneurin</v>
      </c>
      <c r="I154" t="s">
        <v>391</v>
      </c>
      <c r="J154" t="s">
        <v>64</v>
      </c>
      <c r="K154" t="s">
        <v>2</v>
      </c>
      <c r="L154" t="s">
        <v>3</v>
      </c>
      <c r="M154">
        <v>442031</v>
      </c>
      <c r="N154">
        <v>3435626</v>
      </c>
      <c r="O154">
        <v>7860163.21</v>
      </c>
      <c r="P154" t="s">
        <v>394</v>
      </c>
    </row>
    <row r="155" spans="2:16" x14ac:dyDescent="0.25">
      <c r="B155">
        <f t="shared" si="2"/>
        <v>153</v>
      </c>
      <c r="C155">
        <v>30049069</v>
      </c>
      <c r="D155" t="s">
        <v>336</v>
      </c>
      <c r="E155" t="s">
        <v>2592</v>
      </c>
      <c r="F155" t="e">
        <f>VLOOKUP(JENNIFFER!$B155,#REF!,4,1)</f>
        <v>#REF!</v>
      </c>
      <c r="G155" t="str">
        <f>IF(JENNIFFER!$E155="",JENNIFFER!$F155,JENNIFFER!$E155)</f>
        <v>dexametasona+dipirona sodica + hidroxocobalamina</v>
      </c>
      <c r="I155" t="s">
        <v>335</v>
      </c>
      <c r="J155" t="s">
        <v>198</v>
      </c>
      <c r="K155" t="s">
        <v>2</v>
      </c>
      <c r="L155" t="s">
        <v>3</v>
      </c>
      <c r="M155">
        <v>1189457</v>
      </c>
      <c r="N155">
        <v>13314597</v>
      </c>
      <c r="O155">
        <v>30440907.140000001</v>
      </c>
      <c r="P155" t="s">
        <v>338</v>
      </c>
    </row>
    <row r="156" spans="2:16" x14ac:dyDescent="0.25">
      <c r="B156">
        <f t="shared" si="2"/>
        <v>154</v>
      </c>
      <c r="C156">
        <v>30049099</v>
      </c>
      <c r="D156" t="s">
        <v>527</v>
      </c>
      <c r="E156" t="s">
        <v>2593</v>
      </c>
      <c r="F156" t="e">
        <f>VLOOKUP(JENNIFFER!$B156,#REF!,4,1)</f>
        <v>#REF!</v>
      </c>
      <c r="G156" t="str">
        <f>IF(JENNIFFER!$E156="",JENNIFFER!$F156,JENNIFFER!$E156)</f>
        <v>dexametasona+neomicina</v>
      </c>
      <c r="I156" t="s">
        <v>521</v>
      </c>
      <c r="J156" t="s">
        <v>64</v>
      </c>
      <c r="K156" t="s">
        <v>2</v>
      </c>
      <c r="L156" t="s">
        <v>3</v>
      </c>
      <c r="M156">
        <v>712227</v>
      </c>
      <c r="N156">
        <v>1392263</v>
      </c>
      <c r="O156">
        <v>3183042.21</v>
      </c>
      <c r="P156" t="s">
        <v>525</v>
      </c>
    </row>
    <row r="157" spans="2:16" x14ac:dyDescent="0.25">
      <c r="B157">
        <f t="shared" si="2"/>
        <v>155</v>
      </c>
      <c r="C157">
        <v>30049099</v>
      </c>
      <c r="D157" t="s">
        <v>405</v>
      </c>
      <c r="E157" s="7" t="s">
        <v>2594</v>
      </c>
      <c r="F157" t="e">
        <f>VLOOKUP(JENNIFFER!$B157,#REF!,4,1)</f>
        <v>#REF!</v>
      </c>
      <c r="G157" t="str">
        <f>IF(JENNIFFER!$E157="",JENNIFFER!$F157,JENNIFFER!$E157)</f>
        <v>Levonorgestrel</v>
      </c>
      <c r="I157" t="s">
        <v>406</v>
      </c>
      <c r="J157" t="s">
        <v>213</v>
      </c>
      <c r="K157" t="s">
        <v>2</v>
      </c>
      <c r="L157" t="s">
        <v>3</v>
      </c>
      <c r="M157">
        <v>3855860</v>
      </c>
      <c r="N157">
        <v>23783709</v>
      </c>
      <c r="O157">
        <v>54292749.310000002</v>
      </c>
      <c r="P157" t="s">
        <v>413</v>
      </c>
    </row>
    <row r="158" spans="2:16" x14ac:dyDescent="0.25">
      <c r="B158">
        <f t="shared" si="2"/>
        <v>156</v>
      </c>
      <c r="C158">
        <v>30049062</v>
      </c>
      <c r="D158" t="s">
        <v>102</v>
      </c>
      <c r="E158" t="s">
        <v>2595</v>
      </c>
      <c r="F158" t="e">
        <f>VLOOKUP(JENNIFFER!$B158,#REF!,4,1)</f>
        <v>#REF!</v>
      </c>
      <c r="G158" t="str">
        <f>IF(JENNIFFER!$E158="",JENNIFFER!$F158,JENNIFFER!$E158)</f>
        <v>cloridrato de loperamida</v>
      </c>
      <c r="I158" t="s">
        <v>101</v>
      </c>
      <c r="J158" t="s">
        <v>103</v>
      </c>
      <c r="K158" t="s">
        <v>2</v>
      </c>
      <c r="L158" t="s">
        <v>3</v>
      </c>
      <c r="M158">
        <v>1235551</v>
      </c>
      <c r="N158">
        <v>4490895</v>
      </c>
      <c r="O158">
        <v>10271031.32</v>
      </c>
      <c r="P158" t="s">
        <v>111</v>
      </c>
    </row>
    <row r="159" spans="2:16" x14ac:dyDescent="0.25">
      <c r="B159">
        <f t="shared" si="2"/>
        <v>157</v>
      </c>
      <c r="C159">
        <v>30049069</v>
      </c>
      <c r="D159" t="s">
        <v>366</v>
      </c>
      <c r="E159" t="s">
        <v>2596</v>
      </c>
      <c r="F159" t="e">
        <f>VLOOKUP(JENNIFFER!$B159,#REF!,4,1)</f>
        <v>#REF!</v>
      </c>
      <c r="G159" t="str">
        <f>IF(JENNIFFER!$E159="",JENNIFFER!$F159,JENNIFFER!$E159)</f>
        <v>betaistina</v>
      </c>
      <c r="I159" t="s">
        <v>363</v>
      </c>
      <c r="J159" t="s">
        <v>1</v>
      </c>
      <c r="K159" t="s">
        <v>2</v>
      </c>
      <c r="L159" t="s">
        <v>10</v>
      </c>
      <c r="M159">
        <v>717576</v>
      </c>
      <c r="N159">
        <v>6374008</v>
      </c>
      <c r="O159">
        <v>14561900.710000001</v>
      </c>
      <c r="P159" t="s">
        <v>372</v>
      </c>
    </row>
    <row r="160" spans="2:16" x14ac:dyDescent="0.25">
      <c r="B160">
        <f t="shared" si="2"/>
        <v>158</v>
      </c>
      <c r="C160">
        <v>30049037</v>
      </c>
      <c r="D160" t="s">
        <v>379</v>
      </c>
      <c r="E160" t="s">
        <v>2597</v>
      </c>
      <c r="F160" t="e">
        <f>VLOOKUP(JENNIFFER!$B160,#REF!,4,1)</f>
        <v>#REF!</v>
      </c>
      <c r="G160" t="str">
        <f>IF(JENNIFFER!$E160="",JENNIFFER!$F160,JENNIFFER!$E160)</f>
        <v>diclofenaco dietilamonio</v>
      </c>
      <c r="I160" t="s">
        <v>374</v>
      </c>
      <c r="J160" t="s">
        <v>52</v>
      </c>
      <c r="K160" t="s">
        <v>4</v>
      </c>
      <c r="L160" t="s">
        <v>10</v>
      </c>
      <c r="M160">
        <v>1576041</v>
      </c>
      <c r="N160">
        <v>6503537</v>
      </c>
      <c r="O160">
        <v>14838761.619999999</v>
      </c>
      <c r="P160" t="s">
        <v>383</v>
      </c>
    </row>
    <row r="161" spans="2:16" x14ac:dyDescent="0.25">
      <c r="B161">
        <f t="shared" si="2"/>
        <v>159</v>
      </c>
      <c r="C161">
        <v>30049037</v>
      </c>
      <c r="D161" t="s">
        <v>380</v>
      </c>
      <c r="E161" t="s">
        <v>2597</v>
      </c>
      <c r="F161" t="e">
        <f>VLOOKUP(JENNIFFER!$B161,#REF!,4,1)</f>
        <v>#REF!</v>
      </c>
      <c r="G161" t="str">
        <f>IF(JENNIFFER!$E161="",JENNIFFER!$F161,JENNIFFER!$E161)</f>
        <v>diclofenaco dietilamonio</v>
      </c>
      <c r="I161" t="s">
        <v>374</v>
      </c>
      <c r="J161" t="s">
        <v>64</v>
      </c>
      <c r="K161" t="s">
        <v>4</v>
      </c>
      <c r="L161" t="s">
        <v>10</v>
      </c>
      <c r="M161">
        <v>1424727</v>
      </c>
      <c r="N161">
        <v>4781353</v>
      </c>
      <c r="O161">
        <v>10892223.91</v>
      </c>
      <c r="P161" t="s">
        <v>383</v>
      </c>
    </row>
    <row r="162" spans="2:16" x14ac:dyDescent="0.25">
      <c r="B162">
        <f t="shared" si="2"/>
        <v>160</v>
      </c>
      <c r="C162">
        <v>30049037</v>
      </c>
      <c r="D162" t="s">
        <v>380</v>
      </c>
      <c r="E162" t="s">
        <v>2597</v>
      </c>
      <c r="F162" t="e">
        <f>VLOOKUP(JENNIFFER!$B162,#REF!,4,1)</f>
        <v>#REF!</v>
      </c>
      <c r="G162" t="str">
        <f>IF(JENNIFFER!$E162="",JENNIFFER!$F162,JENNIFFER!$E162)</f>
        <v>diclofenaco dietilamonio</v>
      </c>
      <c r="I162" t="s">
        <v>374</v>
      </c>
      <c r="J162" t="s">
        <v>34</v>
      </c>
      <c r="K162" t="s">
        <v>4</v>
      </c>
      <c r="L162" t="s">
        <v>10</v>
      </c>
      <c r="M162">
        <v>1241951</v>
      </c>
      <c r="N162">
        <v>3784870</v>
      </c>
      <c r="O162">
        <v>8649668.3100000005</v>
      </c>
      <c r="P162" t="s">
        <v>383</v>
      </c>
    </row>
    <row r="163" spans="2:16" x14ac:dyDescent="0.25">
      <c r="B163">
        <f t="shared" si="2"/>
        <v>161</v>
      </c>
      <c r="C163">
        <v>30049079</v>
      </c>
      <c r="D163" t="s">
        <v>508</v>
      </c>
      <c r="E163" t="s">
        <v>2598</v>
      </c>
      <c r="F163" t="e">
        <f>VLOOKUP(JENNIFFER!$B163,#REF!,4,1)</f>
        <v>#REF!</v>
      </c>
      <c r="G163" t="str">
        <f>IF(JENNIFFER!$E163="",JENNIFFER!$F163,JENNIFFER!$E163)</f>
        <v>digoxina</v>
      </c>
      <c r="I163" t="s">
        <v>507</v>
      </c>
      <c r="J163" t="s">
        <v>245</v>
      </c>
      <c r="K163" t="s">
        <v>2</v>
      </c>
      <c r="L163" t="s">
        <v>23</v>
      </c>
      <c r="M163">
        <v>393201</v>
      </c>
      <c r="N163">
        <v>1706594</v>
      </c>
      <c r="O163">
        <v>3897517.57</v>
      </c>
      <c r="P163" t="s">
        <v>499</v>
      </c>
    </row>
    <row r="164" spans="2:16" x14ac:dyDescent="0.25">
      <c r="B164">
        <f t="shared" si="2"/>
        <v>162</v>
      </c>
      <c r="C164">
        <v>30049079</v>
      </c>
      <c r="D164" t="s">
        <v>506</v>
      </c>
      <c r="E164" t="s">
        <v>2598</v>
      </c>
      <c r="F164" t="e">
        <f>VLOOKUP(JENNIFFER!$B164,#REF!,4,1)</f>
        <v>#REF!</v>
      </c>
      <c r="G164" t="str">
        <f>IF(JENNIFFER!$E164="",JENNIFFER!$F164,JENNIFFER!$E164)</f>
        <v>digoxina</v>
      </c>
      <c r="I164" t="s">
        <v>507</v>
      </c>
      <c r="J164" t="s">
        <v>64</v>
      </c>
      <c r="K164" t="s">
        <v>2</v>
      </c>
      <c r="L164" t="s">
        <v>10</v>
      </c>
      <c r="M164">
        <v>498588</v>
      </c>
      <c r="N164">
        <v>1682887</v>
      </c>
      <c r="O164">
        <v>3858283.29</v>
      </c>
      <c r="P164" t="s">
        <v>499</v>
      </c>
    </row>
    <row r="165" spans="2:16" x14ac:dyDescent="0.25">
      <c r="B165">
        <f t="shared" si="2"/>
        <v>163</v>
      </c>
      <c r="C165">
        <v>30049099</v>
      </c>
      <c r="D165" t="s">
        <v>547</v>
      </c>
      <c r="E165" t="s">
        <v>2587</v>
      </c>
      <c r="F165" t="e">
        <f>VLOOKUP(JENNIFFER!$B165,#REF!,4,1)</f>
        <v>#REF!</v>
      </c>
      <c r="G165" t="str">
        <f>IF(JENNIFFER!$E165="",JENNIFFER!$F165,JENNIFFER!$E165)</f>
        <v>diosmina+hesperidina</v>
      </c>
      <c r="I165" t="s">
        <v>541</v>
      </c>
      <c r="J165" t="s">
        <v>1</v>
      </c>
      <c r="K165" t="s">
        <v>2</v>
      </c>
      <c r="L165" t="s">
        <v>3</v>
      </c>
      <c r="M165">
        <v>723005</v>
      </c>
      <c r="N165">
        <v>13000880</v>
      </c>
      <c r="O165">
        <v>29705647.059999999</v>
      </c>
      <c r="P165" t="s">
        <v>548</v>
      </c>
    </row>
    <row r="166" spans="2:16" x14ac:dyDescent="0.25">
      <c r="B166">
        <f t="shared" si="2"/>
        <v>164</v>
      </c>
      <c r="C166">
        <v>30039099</v>
      </c>
      <c r="D166" t="s">
        <v>147</v>
      </c>
      <c r="E166" t="s">
        <v>2599</v>
      </c>
      <c r="F166" t="e">
        <f>VLOOKUP(JENNIFFER!$B166,#REF!,4,1)</f>
        <v>#REF!</v>
      </c>
      <c r="G166" t="str">
        <f>IF(JENNIFFER!$E166="",JENNIFFER!$F166,JENNIFFER!$E166)</f>
        <v>dipirona sodica</v>
      </c>
      <c r="I166" t="s">
        <v>7</v>
      </c>
      <c r="J166" t="s">
        <v>60</v>
      </c>
      <c r="K166" t="s">
        <v>4</v>
      </c>
      <c r="L166" t="s">
        <v>3</v>
      </c>
      <c r="M166">
        <v>9091226</v>
      </c>
      <c r="N166">
        <v>10601439</v>
      </c>
      <c r="O166">
        <v>24141973.27</v>
      </c>
      <c r="P166" t="s">
        <v>5</v>
      </c>
    </row>
    <row r="167" spans="2:16" x14ac:dyDescent="0.25">
      <c r="B167">
        <f t="shared" si="2"/>
        <v>165</v>
      </c>
      <c r="C167">
        <v>30039099</v>
      </c>
      <c r="D167" t="s">
        <v>147</v>
      </c>
      <c r="E167" t="s">
        <v>2599</v>
      </c>
      <c r="F167" t="e">
        <f>VLOOKUP(JENNIFFER!$B167,#REF!,4,1)</f>
        <v>#REF!</v>
      </c>
      <c r="G167" t="str">
        <f>IF(JENNIFFER!$E167="",JENNIFFER!$F167,JENNIFFER!$E167)</f>
        <v>dipirona sodica</v>
      </c>
      <c r="I167" t="s">
        <v>7</v>
      </c>
      <c r="J167" t="s">
        <v>60</v>
      </c>
      <c r="K167" t="s">
        <v>4</v>
      </c>
      <c r="L167" t="s">
        <v>3</v>
      </c>
      <c r="M167">
        <v>9091226</v>
      </c>
      <c r="N167">
        <v>10601439</v>
      </c>
      <c r="O167">
        <v>24141973.27</v>
      </c>
      <c r="P167" t="s">
        <v>333</v>
      </c>
    </row>
    <row r="168" spans="2:16" x14ac:dyDescent="0.25">
      <c r="B168">
        <f t="shared" si="2"/>
        <v>166</v>
      </c>
      <c r="C168">
        <v>30039099</v>
      </c>
      <c r="D168" t="s">
        <v>147</v>
      </c>
      <c r="E168" t="s">
        <v>2599</v>
      </c>
      <c r="F168" t="e">
        <f>VLOOKUP(JENNIFFER!$B168,#REF!,4,1)</f>
        <v>#REF!</v>
      </c>
      <c r="G168" t="str">
        <f>IF(JENNIFFER!$E168="",JENNIFFER!$F168,JENNIFFER!$E168)</f>
        <v>dipirona sodica</v>
      </c>
      <c r="I168" t="s">
        <v>7</v>
      </c>
      <c r="J168" t="s">
        <v>60</v>
      </c>
      <c r="K168" t="s">
        <v>4</v>
      </c>
      <c r="L168" t="s">
        <v>3</v>
      </c>
      <c r="M168">
        <v>9091226</v>
      </c>
      <c r="N168">
        <v>10601439</v>
      </c>
      <c r="O168">
        <v>24141973.27</v>
      </c>
      <c r="P168" t="s">
        <v>594</v>
      </c>
    </row>
    <row r="169" spans="2:16" x14ac:dyDescent="0.25">
      <c r="B169">
        <f t="shared" si="2"/>
        <v>167</v>
      </c>
      <c r="C169">
        <v>30039099</v>
      </c>
      <c r="D169" t="s">
        <v>147</v>
      </c>
      <c r="E169" t="s">
        <v>2599</v>
      </c>
      <c r="F169" t="e">
        <f>VLOOKUP(JENNIFFER!$B169,#REF!,4,1)</f>
        <v>#REF!</v>
      </c>
      <c r="G169" t="str">
        <f>IF(JENNIFFER!$E169="",JENNIFFER!$F169,JENNIFFER!$E169)</f>
        <v>dipirona sodica</v>
      </c>
      <c r="I169" t="s">
        <v>7</v>
      </c>
      <c r="J169" t="s">
        <v>60</v>
      </c>
      <c r="K169" t="s">
        <v>4</v>
      </c>
      <c r="L169" t="s">
        <v>3</v>
      </c>
      <c r="M169">
        <v>9091226</v>
      </c>
      <c r="N169">
        <v>10601439</v>
      </c>
      <c r="O169">
        <v>24141973.27</v>
      </c>
      <c r="P169" t="s">
        <v>595</v>
      </c>
    </row>
    <row r="170" spans="2:16" x14ac:dyDescent="0.25">
      <c r="B170">
        <f t="shared" si="2"/>
        <v>168</v>
      </c>
      <c r="C170">
        <v>30039099</v>
      </c>
      <c r="D170" t="s">
        <v>147</v>
      </c>
      <c r="E170" t="s">
        <v>2599</v>
      </c>
      <c r="F170" t="e">
        <f>VLOOKUP(JENNIFFER!$B170,#REF!,4,1)</f>
        <v>#REF!</v>
      </c>
      <c r="G170" t="str">
        <f>IF(JENNIFFER!$E170="",JENNIFFER!$F170,JENNIFFER!$E170)</f>
        <v>dipirona sodica</v>
      </c>
      <c r="I170" t="s">
        <v>7</v>
      </c>
      <c r="J170" t="s">
        <v>60</v>
      </c>
      <c r="K170" t="s">
        <v>4</v>
      </c>
      <c r="L170" t="s">
        <v>3</v>
      </c>
      <c r="M170">
        <v>9091226</v>
      </c>
      <c r="N170">
        <v>10601439</v>
      </c>
      <c r="O170">
        <v>24141973.27</v>
      </c>
      <c r="P170" t="s">
        <v>611</v>
      </c>
    </row>
    <row r="171" spans="2:16" x14ac:dyDescent="0.25">
      <c r="B171">
        <f t="shared" si="2"/>
        <v>169</v>
      </c>
      <c r="C171">
        <v>30039099</v>
      </c>
      <c r="D171" t="s">
        <v>148</v>
      </c>
      <c r="E171" t="s">
        <v>2599</v>
      </c>
      <c r="F171" t="e">
        <f>VLOOKUP(JENNIFFER!$B171,#REF!,4,1)</f>
        <v>#REF!</v>
      </c>
      <c r="G171" t="str">
        <f>IF(JENNIFFER!$E171="",JENNIFFER!$F171,JENNIFFER!$E171)</f>
        <v>dipirona sodica</v>
      </c>
      <c r="I171" t="s">
        <v>7</v>
      </c>
      <c r="J171" t="s">
        <v>60</v>
      </c>
      <c r="K171" t="s">
        <v>4</v>
      </c>
      <c r="L171" t="s">
        <v>3</v>
      </c>
      <c r="M171">
        <v>6116125</v>
      </c>
      <c r="N171">
        <v>12659844</v>
      </c>
      <c r="O171">
        <v>28825478.34</v>
      </c>
      <c r="P171" t="s">
        <v>5</v>
      </c>
    </row>
    <row r="172" spans="2:16" x14ac:dyDescent="0.25">
      <c r="B172">
        <f t="shared" si="2"/>
        <v>170</v>
      </c>
      <c r="C172">
        <v>30039099</v>
      </c>
      <c r="D172" t="s">
        <v>148</v>
      </c>
      <c r="E172" t="s">
        <v>2599</v>
      </c>
      <c r="F172" t="e">
        <f>VLOOKUP(JENNIFFER!$B172,#REF!,4,1)</f>
        <v>#REF!</v>
      </c>
      <c r="G172" t="str">
        <f>IF(JENNIFFER!$E172="",JENNIFFER!$F172,JENNIFFER!$E172)</f>
        <v>dipirona sodica</v>
      </c>
      <c r="I172" t="s">
        <v>7</v>
      </c>
      <c r="J172" t="s">
        <v>60</v>
      </c>
      <c r="K172" t="s">
        <v>4</v>
      </c>
      <c r="L172" t="s">
        <v>3</v>
      </c>
      <c r="M172">
        <v>6116125</v>
      </c>
      <c r="N172">
        <v>12659844</v>
      </c>
      <c r="O172">
        <v>28825478.34</v>
      </c>
      <c r="P172" t="s">
        <v>333</v>
      </c>
    </row>
    <row r="173" spans="2:16" x14ac:dyDescent="0.25">
      <c r="B173">
        <f t="shared" si="2"/>
        <v>171</v>
      </c>
      <c r="C173">
        <v>30039099</v>
      </c>
      <c r="D173" t="s">
        <v>148</v>
      </c>
      <c r="E173" t="s">
        <v>2599</v>
      </c>
      <c r="F173" t="e">
        <f>VLOOKUP(JENNIFFER!$B173,#REF!,4,1)</f>
        <v>#REF!</v>
      </c>
      <c r="G173" t="str">
        <f>IF(JENNIFFER!$E173="",JENNIFFER!$F173,JENNIFFER!$E173)</f>
        <v>dipirona sodica</v>
      </c>
      <c r="I173" t="s">
        <v>7</v>
      </c>
      <c r="J173" t="s">
        <v>60</v>
      </c>
      <c r="K173" t="s">
        <v>4</v>
      </c>
      <c r="L173" t="s">
        <v>3</v>
      </c>
      <c r="M173">
        <v>6116125</v>
      </c>
      <c r="N173">
        <v>12659844</v>
      </c>
      <c r="O173">
        <v>28825478.34</v>
      </c>
      <c r="P173" t="s">
        <v>594</v>
      </c>
    </row>
    <row r="174" spans="2:16" x14ac:dyDescent="0.25">
      <c r="B174">
        <f t="shared" si="2"/>
        <v>172</v>
      </c>
      <c r="C174">
        <v>30039099</v>
      </c>
      <c r="D174" t="s">
        <v>148</v>
      </c>
      <c r="E174" t="s">
        <v>2599</v>
      </c>
      <c r="F174" t="e">
        <f>VLOOKUP(JENNIFFER!$B174,#REF!,4,1)</f>
        <v>#REF!</v>
      </c>
      <c r="G174" t="str">
        <f>IF(JENNIFFER!$E174="",JENNIFFER!$F174,JENNIFFER!$E174)</f>
        <v>dipirona sodica</v>
      </c>
      <c r="I174" t="s">
        <v>7</v>
      </c>
      <c r="J174" t="s">
        <v>60</v>
      </c>
      <c r="K174" t="s">
        <v>4</v>
      </c>
      <c r="L174" t="s">
        <v>3</v>
      </c>
      <c r="M174">
        <v>6116125</v>
      </c>
      <c r="N174">
        <v>12659844</v>
      </c>
      <c r="O174">
        <v>28825478.34</v>
      </c>
      <c r="P174" t="s">
        <v>595</v>
      </c>
    </row>
    <row r="175" spans="2:16" x14ac:dyDescent="0.25">
      <c r="B175">
        <f t="shared" si="2"/>
        <v>173</v>
      </c>
      <c r="C175">
        <v>30049099</v>
      </c>
      <c r="D175" t="s">
        <v>6</v>
      </c>
      <c r="E175" t="s">
        <v>2599</v>
      </c>
      <c r="F175" t="e">
        <f>VLOOKUP(JENNIFFER!$B175,#REF!,4,1)</f>
        <v>#REF!</v>
      </c>
      <c r="G175" t="str">
        <f>IF(JENNIFFER!$E175="",JENNIFFER!$F175,JENNIFFER!$E175)</f>
        <v>dipirona sodica</v>
      </c>
      <c r="I175" t="s">
        <v>7</v>
      </c>
      <c r="J175" t="s">
        <v>29</v>
      </c>
      <c r="K175" t="s">
        <v>4</v>
      </c>
      <c r="L175" t="s">
        <v>10</v>
      </c>
      <c r="M175">
        <v>3001664</v>
      </c>
      <c r="N175">
        <v>4048502</v>
      </c>
      <c r="O175">
        <v>9237535.5</v>
      </c>
      <c r="P175" t="s">
        <v>5</v>
      </c>
    </row>
    <row r="176" spans="2:16" x14ac:dyDescent="0.25">
      <c r="B176">
        <f t="shared" si="2"/>
        <v>174</v>
      </c>
      <c r="C176">
        <v>30049099</v>
      </c>
      <c r="D176" t="s">
        <v>6</v>
      </c>
      <c r="E176" t="s">
        <v>2599</v>
      </c>
      <c r="F176" t="e">
        <f>VLOOKUP(JENNIFFER!$B176,#REF!,4,1)</f>
        <v>#REF!</v>
      </c>
      <c r="G176" t="str">
        <f>IF(JENNIFFER!$E176="",JENNIFFER!$F176,JENNIFFER!$E176)</f>
        <v>dipirona sodica</v>
      </c>
      <c r="I176" t="s">
        <v>7</v>
      </c>
      <c r="J176" t="s">
        <v>29</v>
      </c>
      <c r="K176" t="s">
        <v>4</v>
      </c>
      <c r="L176" t="s">
        <v>10</v>
      </c>
      <c r="M176">
        <v>3001664</v>
      </c>
      <c r="N176">
        <v>4048502</v>
      </c>
      <c r="O176">
        <v>9237535.5</v>
      </c>
      <c r="P176" t="s">
        <v>549</v>
      </c>
    </row>
    <row r="177" spans="2:16" x14ac:dyDescent="0.25">
      <c r="B177">
        <f t="shared" si="2"/>
        <v>175</v>
      </c>
      <c r="C177">
        <v>30049099</v>
      </c>
      <c r="D177" t="s">
        <v>6</v>
      </c>
      <c r="E177" t="s">
        <v>2599</v>
      </c>
      <c r="F177" t="e">
        <f>VLOOKUP(JENNIFFER!$B177,#REF!,4,1)</f>
        <v>#REF!</v>
      </c>
      <c r="G177" t="str">
        <f>IF(JENNIFFER!$E177="",JENNIFFER!$F177,JENNIFFER!$E177)</f>
        <v>dipirona sodica</v>
      </c>
      <c r="I177" t="s">
        <v>7</v>
      </c>
      <c r="J177" t="s">
        <v>34</v>
      </c>
      <c r="K177" t="s">
        <v>4</v>
      </c>
      <c r="L177" t="s">
        <v>10</v>
      </c>
      <c r="M177">
        <v>2415851</v>
      </c>
      <c r="N177">
        <v>3433698</v>
      </c>
      <c r="O177">
        <v>7805105.5300000003</v>
      </c>
      <c r="P177" t="s">
        <v>549</v>
      </c>
    </row>
    <row r="178" spans="2:16" x14ac:dyDescent="0.25">
      <c r="B178">
        <f t="shared" si="2"/>
        <v>176</v>
      </c>
      <c r="C178">
        <v>30049099</v>
      </c>
      <c r="D178" t="s">
        <v>158</v>
      </c>
      <c r="E178" t="s">
        <v>2599</v>
      </c>
      <c r="F178" t="e">
        <f>VLOOKUP(JENNIFFER!$B178,#REF!,4,1)</f>
        <v>#REF!</v>
      </c>
      <c r="G178" t="str">
        <f>IF(JENNIFFER!$E178="",JENNIFFER!$F178,JENNIFFER!$E178)</f>
        <v>dipirona sodica</v>
      </c>
      <c r="I178" t="s">
        <v>7</v>
      </c>
      <c r="J178" t="s">
        <v>29</v>
      </c>
      <c r="K178" t="s">
        <v>4</v>
      </c>
      <c r="L178" t="s">
        <v>10</v>
      </c>
      <c r="M178">
        <v>3025704</v>
      </c>
      <c r="N178">
        <v>7498617</v>
      </c>
      <c r="O178">
        <v>17085712.440000001</v>
      </c>
      <c r="P178" t="s">
        <v>5</v>
      </c>
    </row>
    <row r="179" spans="2:16" x14ac:dyDescent="0.25">
      <c r="B179">
        <f t="shared" si="2"/>
        <v>177</v>
      </c>
      <c r="C179">
        <v>30049099</v>
      </c>
      <c r="D179" t="s">
        <v>158</v>
      </c>
      <c r="E179" t="s">
        <v>2599</v>
      </c>
      <c r="F179" t="e">
        <f>VLOOKUP(JENNIFFER!$B179,#REF!,4,1)</f>
        <v>#REF!</v>
      </c>
      <c r="G179" t="str">
        <f>IF(JENNIFFER!$E179="",JENNIFFER!$F179,JENNIFFER!$E179)</f>
        <v>dipirona sodica</v>
      </c>
      <c r="I179" t="s">
        <v>7</v>
      </c>
      <c r="J179" t="s">
        <v>29</v>
      </c>
      <c r="K179" t="s">
        <v>4</v>
      </c>
      <c r="L179" t="s">
        <v>10</v>
      </c>
      <c r="M179">
        <v>3025704</v>
      </c>
      <c r="N179">
        <v>7498617</v>
      </c>
      <c r="O179">
        <v>17085712.440000001</v>
      </c>
      <c r="P179" t="s">
        <v>549</v>
      </c>
    </row>
    <row r="180" spans="2:16" x14ac:dyDescent="0.25">
      <c r="B180">
        <f t="shared" si="2"/>
        <v>178</v>
      </c>
      <c r="C180">
        <v>30039079</v>
      </c>
      <c r="D180" t="s">
        <v>420</v>
      </c>
      <c r="E180" t="s">
        <v>2600</v>
      </c>
      <c r="F180" t="e">
        <f>VLOOKUP(JENNIFFER!$B180,#REF!,4,1)</f>
        <v>#REF!</v>
      </c>
      <c r="G180" t="str">
        <f>IF(JENNIFFER!$E180="",JENNIFFER!$F180,JENNIFFER!$E180)</f>
        <v>trazodona</v>
      </c>
      <c r="I180" t="s">
        <v>415</v>
      </c>
      <c r="J180" t="s">
        <v>109</v>
      </c>
      <c r="K180" t="s">
        <v>2</v>
      </c>
      <c r="L180" t="s">
        <v>23</v>
      </c>
      <c r="M180">
        <v>745192</v>
      </c>
      <c r="N180">
        <v>14957852</v>
      </c>
      <c r="O180">
        <v>34129724.020000003</v>
      </c>
      <c r="P180" t="s">
        <v>426</v>
      </c>
    </row>
    <row r="181" spans="2:16" x14ac:dyDescent="0.25">
      <c r="B181">
        <f t="shared" si="2"/>
        <v>179</v>
      </c>
      <c r="C181">
        <v>30049039</v>
      </c>
      <c r="D181" t="s">
        <v>164</v>
      </c>
      <c r="E181" t="s">
        <v>2601</v>
      </c>
      <c r="F181" t="e">
        <f>VLOOKUP(JENNIFFER!$B181,#REF!,4,1)</f>
        <v>#REF!</v>
      </c>
      <c r="G181" t="str">
        <f>IF(JENNIFFER!$E181="",JENNIFFER!$F181,JENNIFFER!$E181)</f>
        <v>dipirona monoidratada</v>
      </c>
      <c r="I181" t="s">
        <v>160</v>
      </c>
      <c r="J181" t="s">
        <v>28</v>
      </c>
      <c r="K181" t="s">
        <v>4</v>
      </c>
      <c r="L181" t="s">
        <v>23</v>
      </c>
      <c r="M181">
        <v>4397078</v>
      </c>
      <c r="N181">
        <v>144180962</v>
      </c>
      <c r="O181">
        <v>329288150.98000002</v>
      </c>
      <c r="P181" t="s">
        <v>171</v>
      </c>
    </row>
    <row r="182" spans="2:16" x14ac:dyDescent="0.25">
      <c r="B182">
        <f t="shared" si="2"/>
        <v>180</v>
      </c>
      <c r="C182">
        <v>30049039</v>
      </c>
      <c r="D182" t="s">
        <v>159</v>
      </c>
      <c r="E182" t="s">
        <v>2601</v>
      </c>
      <c r="F182" t="e">
        <f>VLOOKUP(JENNIFFER!$B182,#REF!,4,1)</f>
        <v>#REF!</v>
      </c>
      <c r="G182" t="str">
        <f>IF(JENNIFFER!$E182="",JENNIFFER!$F182,JENNIFFER!$E182)</f>
        <v>dipirona monoidratada</v>
      </c>
      <c r="I182" t="s">
        <v>160</v>
      </c>
      <c r="J182" t="s">
        <v>28</v>
      </c>
      <c r="K182" t="s">
        <v>4</v>
      </c>
      <c r="L182" t="s">
        <v>23</v>
      </c>
      <c r="M182">
        <v>10863491</v>
      </c>
      <c r="N182">
        <v>44588604</v>
      </c>
      <c r="O182">
        <v>101768410.88</v>
      </c>
      <c r="P182" t="s">
        <v>171</v>
      </c>
    </row>
    <row r="183" spans="2:16" x14ac:dyDescent="0.25">
      <c r="B183">
        <f t="shared" si="2"/>
        <v>181</v>
      </c>
      <c r="C183">
        <v>30049039</v>
      </c>
      <c r="D183" t="s">
        <v>90</v>
      </c>
      <c r="E183" t="s">
        <v>2602</v>
      </c>
      <c r="F183" t="e">
        <f>VLOOKUP(JENNIFFER!$B183,#REF!,4,1)</f>
        <v>#REF!</v>
      </c>
      <c r="G183" t="str">
        <f>IF(JENNIFFER!$E183="",JENNIFFER!$F183,JENNIFFER!$E183)</f>
        <v>dimenidrinato+piridoxina</v>
      </c>
      <c r="I183" t="s">
        <v>91</v>
      </c>
      <c r="J183" t="s">
        <v>92</v>
      </c>
      <c r="K183" t="s">
        <v>2</v>
      </c>
      <c r="L183" t="s">
        <v>23</v>
      </c>
      <c r="M183">
        <v>3963119</v>
      </c>
      <c r="N183">
        <v>19055991</v>
      </c>
      <c r="O183">
        <v>43544694.899999999</v>
      </c>
      <c r="P183" t="s">
        <v>76</v>
      </c>
    </row>
    <row r="184" spans="2:16" x14ac:dyDescent="0.25">
      <c r="B184">
        <f t="shared" si="2"/>
        <v>182</v>
      </c>
      <c r="C184">
        <v>30049039</v>
      </c>
      <c r="D184" t="s">
        <v>90</v>
      </c>
      <c r="E184" t="s">
        <v>2602</v>
      </c>
      <c r="F184" t="e">
        <f>VLOOKUP(JENNIFFER!$B184,#REF!,4,1)</f>
        <v>#REF!</v>
      </c>
      <c r="G184" t="str">
        <f>IF(JENNIFFER!$E184="",JENNIFFER!$F184,JENNIFFER!$E184)</f>
        <v>dimenidrinato+piridoxina</v>
      </c>
      <c r="I184" t="s">
        <v>91</v>
      </c>
      <c r="J184" t="s">
        <v>92</v>
      </c>
      <c r="K184" t="s">
        <v>2</v>
      </c>
      <c r="L184" t="s">
        <v>23</v>
      </c>
      <c r="M184">
        <v>3963119</v>
      </c>
      <c r="N184">
        <v>19055991</v>
      </c>
      <c r="O184">
        <v>43544694.899999999</v>
      </c>
      <c r="P184" t="s">
        <v>372</v>
      </c>
    </row>
    <row r="185" spans="2:16" x14ac:dyDescent="0.25">
      <c r="B185">
        <f t="shared" si="2"/>
        <v>183</v>
      </c>
      <c r="C185">
        <v>30049039</v>
      </c>
      <c r="D185" t="s">
        <v>90</v>
      </c>
      <c r="E185" t="s">
        <v>2602</v>
      </c>
      <c r="F185" t="e">
        <f>VLOOKUP(JENNIFFER!$B185,#REF!,4,1)</f>
        <v>#REF!</v>
      </c>
      <c r="G185" t="str">
        <f>IF(JENNIFFER!$E185="",JENNIFFER!$F185,JENNIFFER!$E185)</f>
        <v>dimenidrinato+piridoxina</v>
      </c>
      <c r="I185" t="s">
        <v>91</v>
      </c>
      <c r="J185" t="s">
        <v>92</v>
      </c>
      <c r="K185" t="s">
        <v>2</v>
      </c>
      <c r="L185" t="s">
        <v>23</v>
      </c>
      <c r="M185">
        <v>3963119</v>
      </c>
      <c r="N185">
        <v>19055991</v>
      </c>
      <c r="O185">
        <v>43544694.899999999</v>
      </c>
      <c r="P185" t="s">
        <v>549</v>
      </c>
    </row>
    <row r="186" spans="2:16" x14ac:dyDescent="0.25">
      <c r="B186">
        <f t="shared" si="2"/>
        <v>184</v>
      </c>
      <c r="C186">
        <v>30049039</v>
      </c>
      <c r="D186" t="s">
        <v>93</v>
      </c>
      <c r="E186" t="s">
        <v>2602</v>
      </c>
      <c r="F186" t="e">
        <f>VLOOKUP(JENNIFFER!$B186,#REF!,4,1)</f>
        <v>#REF!</v>
      </c>
      <c r="G186" t="str">
        <f>IF(JENNIFFER!$E186="",JENNIFFER!$F186,JENNIFFER!$E186)</f>
        <v>dimenidrinato+piridoxina</v>
      </c>
      <c r="I186" t="s">
        <v>91</v>
      </c>
      <c r="J186" t="s">
        <v>92</v>
      </c>
      <c r="K186" t="s">
        <v>2</v>
      </c>
      <c r="L186" t="s">
        <v>23</v>
      </c>
      <c r="M186">
        <v>2011565</v>
      </c>
      <c r="N186">
        <v>9203492</v>
      </c>
      <c r="O186">
        <v>21055297.219999999</v>
      </c>
      <c r="P186" t="s">
        <v>76</v>
      </c>
    </row>
    <row r="187" spans="2:16" x14ac:dyDescent="0.25">
      <c r="B187">
        <f t="shared" si="2"/>
        <v>185</v>
      </c>
      <c r="C187">
        <v>30049039</v>
      </c>
      <c r="D187" t="s">
        <v>93</v>
      </c>
      <c r="E187" t="s">
        <v>2602</v>
      </c>
      <c r="F187" t="e">
        <f>VLOOKUP(JENNIFFER!$B187,#REF!,4,1)</f>
        <v>#REF!</v>
      </c>
      <c r="G187" t="str">
        <f>IF(JENNIFFER!$E187="",JENNIFFER!$F187,JENNIFFER!$E187)</f>
        <v>dimenidrinato+piridoxina</v>
      </c>
      <c r="I187" t="s">
        <v>91</v>
      </c>
      <c r="J187" t="s">
        <v>92</v>
      </c>
      <c r="K187" t="s">
        <v>2</v>
      </c>
      <c r="L187" t="s">
        <v>23</v>
      </c>
      <c r="M187">
        <v>2011565</v>
      </c>
      <c r="N187">
        <v>9203492</v>
      </c>
      <c r="O187">
        <v>21055297.219999999</v>
      </c>
      <c r="P187" t="s">
        <v>372</v>
      </c>
    </row>
    <row r="188" spans="2:16" x14ac:dyDescent="0.25">
      <c r="B188">
        <f t="shared" si="2"/>
        <v>186</v>
      </c>
      <c r="C188">
        <v>30049039</v>
      </c>
      <c r="D188" t="s">
        <v>93</v>
      </c>
      <c r="E188" t="s">
        <v>2602</v>
      </c>
      <c r="F188" t="e">
        <f>VLOOKUP(JENNIFFER!$B188,#REF!,4,1)</f>
        <v>#REF!</v>
      </c>
      <c r="G188" t="str">
        <f>IF(JENNIFFER!$E188="",JENNIFFER!$F188,JENNIFFER!$E188)</f>
        <v>dimenidrinato+piridoxina</v>
      </c>
      <c r="I188" t="s">
        <v>91</v>
      </c>
      <c r="J188" t="s">
        <v>92</v>
      </c>
      <c r="K188" t="s">
        <v>2</v>
      </c>
      <c r="L188" t="s">
        <v>23</v>
      </c>
      <c r="M188">
        <v>2011565</v>
      </c>
      <c r="N188">
        <v>9203492</v>
      </c>
      <c r="O188">
        <v>21055297.219999999</v>
      </c>
      <c r="P188" t="s">
        <v>554</v>
      </c>
    </row>
    <row r="189" spans="2:16" x14ac:dyDescent="0.25">
      <c r="B189">
        <f t="shared" si="2"/>
        <v>187</v>
      </c>
      <c r="C189">
        <v>30049039</v>
      </c>
      <c r="D189" t="s">
        <v>351</v>
      </c>
      <c r="E189" t="s">
        <v>2603</v>
      </c>
      <c r="F189" t="e">
        <f>VLOOKUP(JENNIFFER!$B189,#REF!,4,1)</f>
        <v>#REF!</v>
      </c>
      <c r="G189" t="str">
        <f>IF(JENNIFFER!$E189="",JENNIFFER!$F189,JENNIFFER!$E189)</f>
        <v>memantina</v>
      </c>
      <c r="I189" t="s">
        <v>348</v>
      </c>
      <c r="J189" t="s">
        <v>352</v>
      </c>
      <c r="K189" t="s">
        <v>2</v>
      </c>
      <c r="L189" t="s">
        <v>23</v>
      </c>
      <c r="M189">
        <v>151644</v>
      </c>
      <c r="N189">
        <v>2967861</v>
      </c>
      <c r="O189">
        <v>6764938.5899999999</v>
      </c>
      <c r="P189" t="s">
        <v>361</v>
      </c>
    </row>
    <row r="190" spans="2:16" x14ac:dyDescent="0.25">
      <c r="B190">
        <f t="shared" si="2"/>
        <v>188</v>
      </c>
      <c r="C190">
        <v>30049039</v>
      </c>
      <c r="D190" t="s">
        <v>411</v>
      </c>
      <c r="E190" t="s">
        <v>2604</v>
      </c>
      <c r="F190" t="e">
        <f>VLOOKUP(JENNIFFER!$B190,#REF!,4,1)</f>
        <v>#REF!</v>
      </c>
      <c r="G190" t="str">
        <f>IF(JENNIFFER!$E190="",JENNIFFER!$F190,JENNIFFER!$E190)</f>
        <v>drosperinona + etinilestradiol</v>
      </c>
      <c r="I190" t="s">
        <v>398</v>
      </c>
      <c r="J190" t="s">
        <v>136</v>
      </c>
      <c r="K190" t="s">
        <v>2</v>
      </c>
      <c r="L190" t="s">
        <v>3</v>
      </c>
      <c r="M190">
        <v>2541406</v>
      </c>
      <c r="N190">
        <v>30386426</v>
      </c>
      <c r="O190">
        <v>69360532.719999999</v>
      </c>
      <c r="P190" t="s">
        <v>413</v>
      </c>
    </row>
    <row r="191" spans="2:16" x14ac:dyDescent="0.25">
      <c r="B191">
        <f t="shared" si="2"/>
        <v>189</v>
      </c>
      <c r="C191">
        <v>30049039</v>
      </c>
      <c r="D191" t="s">
        <v>291</v>
      </c>
      <c r="F191" t="e">
        <f>VLOOKUP(JENNIFFER!$B191,#REF!,4,1)</f>
        <v>#REF!</v>
      </c>
      <c r="G191" t="e">
        <f>IF(JENNIFFER!$E191="",JENNIFFER!$F191,JENNIFFER!$E191)</f>
        <v>#REF!</v>
      </c>
      <c r="I191" t="s">
        <v>288</v>
      </c>
      <c r="J191" t="s">
        <v>29</v>
      </c>
      <c r="K191" t="s">
        <v>2</v>
      </c>
      <c r="L191" t="s">
        <v>3</v>
      </c>
      <c r="M191">
        <v>1805127</v>
      </c>
      <c r="N191">
        <v>9454570</v>
      </c>
      <c r="O191">
        <v>21455324.280000001</v>
      </c>
      <c r="P191" t="s">
        <v>286</v>
      </c>
    </row>
    <row r="192" spans="2:16" x14ac:dyDescent="0.25">
      <c r="B192">
        <f t="shared" si="2"/>
        <v>190</v>
      </c>
      <c r="C192">
        <v>30044090</v>
      </c>
      <c r="D192" t="s">
        <v>330</v>
      </c>
      <c r="E192" t="s">
        <v>2605</v>
      </c>
      <c r="F192" t="e">
        <f>VLOOKUP(JENNIFFER!$B192,#REF!,4,1)</f>
        <v>#REF!</v>
      </c>
      <c r="G192" t="str">
        <f>IF(JENNIFFER!$E192="",JENNIFFER!$F192,JENNIFFER!$E192)</f>
        <v>m.didroergotamina+dipirona+cafeina</v>
      </c>
      <c r="I192" t="s">
        <v>325</v>
      </c>
      <c r="J192" t="s">
        <v>331</v>
      </c>
      <c r="K192" t="s">
        <v>2</v>
      </c>
      <c r="L192" t="s">
        <v>3</v>
      </c>
      <c r="M192">
        <v>1817060</v>
      </c>
      <c r="N192">
        <v>7663035</v>
      </c>
      <c r="O192">
        <v>17480116.969999999</v>
      </c>
      <c r="P192" t="s">
        <v>333</v>
      </c>
    </row>
    <row r="193" spans="2:16" x14ac:dyDescent="0.25">
      <c r="B193">
        <f t="shared" si="2"/>
        <v>191</v>
      </c>
      <c r="C193">
        <v>30049069</v>
      </c>
      <c r="D193" t="s">
        <v>357</v>
      </c>
      <c r="E193" t="s">
        <v>2606</v>
      </c>
      <c r="F193" t="e">
        <f>VLOOKUP(JENNIFFER!$B193,#REF!,4,1)</f>
        <v>#REF!</v>
      </c>
      <c r="G193" t="str">
        <f>IF(JENNIFFER!$E193="",JENNIFFER!$F193,JENNIFFER!$E193)</f>
        <v>cloridrato de donepezila</v>
      </c>
      <c r="I193" t="s">
        <v>354</v>
      </c>
      <c r="J193" t="s">
        <v>355</v>
      </c>
      <c r="K193" t="s">
        <v>2</v>
      </c>
      <c r="L193" t="s">
        <v>3</v>
      </c>
      <c r="M193">
        <v>126764</v>
      </c>
      <c r="N193">
        <v>4221081</v>
      </c>
      <c r="O193">
        <v>9639356.2200000007</v>
      </c>
      <c r="P193" t="s">
        <v>361</v>
      </c>
    </row>
    <row r="194" spans="2:16" x14ac:dyDescent="0.25">
      <c r="B194">
        <f t="shared" si="2"/>
        <v>192</v>
      </c>
      <c r="C194">
        <v>30049069</v>
      </c>
      <c r="D194" t="s">
        <v>353</v>
      </c>
      <c r="E194" t="s">
        <v>2606</v>
      </c>
      <c r="F194" t="e">
        <f>VLOOKUP(JENNIFFER!$B194,#REF!,4,1)</f>
        <v>#REF!</v>
      </c>
      <c r="G194" t="str">
        <f>IF(JENNIFFER!$E194="",JENNIFFER!$F194,JENNIFFER!$E194)</f>
        <v>cloridrato de donepezila</v>
      </c>
      <c r="I194" t="s">
        <v>354</v>
      </c>
      <c r="J194" t="s">
        <v>355</v>
      </c>
      <c r="K194" t="s">
        <v>2</v>
      </c>
      <c r="L194" t="s">
        <v>3</v>
      </c>
      <c r="M194">
        <v>144340</v>
      </c>
      <c r="N194">
        <v>4380130</v>
      </c>
      <c r="O194">
        <v>9999875</v>
      </c>
      <c r="P194" t="s">
        <v>361</v>
      </c>
    </row>
    <row r="195" spans="2:16" x14ac:dyDescent="0.25">
      <c r="B195">
        <f t="shared" si="2"/>
        <v>193</v>
      </c>
      <c r="C195">
        <v>30049099</v>
      </c>
      <c r="D195" t="s">
        <v>37</v>
      </c>
      <c r="E195" t="s">
        <v>2607</v>
      </c>
      <c r="F195" t="e">
        <f>VLOOKUP(JENNIFFER!$B195,#REF!,4,1)</f>
        <v>#REF!</v>
      </c>
      <c r="G195" t="str">
        <f>IF(JENNIFFER!$E195="",JENNIFFER!$F195,JENNIFFER!$E195)</f>
        <v>simeticona+homatropina</v>
      </c>
      <c r="I195" t="s">
        <v>38</v>
      </c>
      <c r="J195" t="s">
        <v>39</v>
      </c>
      <c r="K195" t="s">
        <v>2</v>
      </c>
      <c r="L195" t="s">
        <v>3</v>
      </c>
      <c r="M195">
        <v>341141</v>
      </c>
      <c r="N195">
        <v>1960298</v>
      </c>
      <c r="O195">
        <v>4473572.83</v>
      </c>
      <c r="P195" t="s">
        <v>40</v>
      </c>
    </row>
    <row r="196" spans="2:16" x14ac:dyDescent="0.25">
      <c r="B196">
        <f t="shared" ref="B196:B259" si="3">+B195+1</f>
        <v>194</v>
      </c>
      <c r="C196">
        <v>30043939</v>
      </c>
      <c r="D196" t="s">
        <v>580</v>
      </c>
      <c r="E196" t="s">
        <v>2536</v>
      </c>
      <c r="F196" t="e">
        <f>VLOOKUP(JENNIFFER!$B196,#REF!,4,1)</f>
        <v>#REF!</v>
      </c>
      <c r="G196" t="str">
        <f>IF(JENNIFFER!$E196="",JENNIFFER!$F196,JENNIFFER!$E196)</f>
        <v>estradiol</v>
      </c>
      <c r="I196" t="s">
        <v>573</v>
      </c>
      <c r="J196" t="s">
        <v>581</v>
      </c>
      <c r="K196" t="s">
        <v>2</v>
      </c>
      <c r="L196" t="s">
        <v>3</v>
      </c>
      <c r="M196">
        <v>286986</v>
      </c>
      <c r="N196">
        <v>4689132</v>
      </c>
      <c r="O196">
        <v>10708263.66</v>
      </c>
      <c r="P196" t="s">
        <v>579</v>
      </c>
    </row>
    <row r="197" spans="2:16" x14ac:dyDescent="0.25">
      <c r="B197">
        <f t="shared" si="3"/>
        <v>195</v>
      </c>
      <c r="C197">
        <v>30049099</v>
      </c>
      <c r="D197" t="s">
        <v>356</v>
      </c>
      <c r="F197" t="e">
        <f>VLOOKUP(JENNIFFER!$B197,#REF!,4,1)</f>
        <v>#REF!</v>
      </c>
      <c r="G197" t="e">
        <f>IF(JENNIFFER!$E197="",JENNIFFER!$F197,JENNIFFER!$E197)</f>
        <v>#REF!</v>
      </c>
      <c r="I197" t="s">
        <v>354</v>
      </c>
      <c r="J197" t="s">
        <v>132</v>
      </c>
      <c r="K197" t="s">
        <v>2</v>
      </c>
      <c r="L197" t="s">
        <v>23</v>
      </c>
      <c r="M197">
        <v>132544</v>
      </c>
      <c r="N197">
        <v>21999304</v>
      </c>
      <c r="O197">
        <v>50206096.950000003</v>
      </c>
      <c r="P197" t="s">
        <v>361</v>
      </c>
    </row>
    <row r="198" spans="2:16" x14ac:dyDescent="0.25">
      <c r="B198">
        <f t="shared" si="3"/>
        <v>196</v>
      </c>
      <c r="C198">
        <v>30049099</v>
      </c>
      <c r="D198" t="s">
        <v>287</v>
      </c>
      <c r="E198" t="s">
        <v>2608</v>
      </c>
      <c r="F198" t="e">
        <f>VLOOKUP(JENNIFFER!$B198,#REF!,4,1)</f>
        <v>#REF!</v>
      </c>
      <c r="G198" t="str">
        <f>IF(JENNIFFER!$E198="",JENNIFFER!$F198,JENNIFFER!$E198)</f>
        <v>Oxomemazina</v>
      </c>
      <c r="I198" t="s">
        <v>288</v>
      </c>
      <c r="J198" t="s">
        <v>39</v>
      </c>
      <c r="K198" t="s">
        <v>4</v>
      </c>
      <c r="L198" t="s">
        <v>3</v>
      </c>
      <c r="M198">
        <v>9483693</v>
      </c>
      <c r="N198">
        <v>73437802</v>
      </c>
      <c r="O198">
        <v>166522516.16999999</v>
      </c>
      <c r="P198" t="s">
        <v>286</v>
      </c>
    </row>
    <row r="199" spans="2:16" x14ac:dyDescent="0.25">
      <c r="B199">
        <f t="shared" si="3"/>
        <v>197</v>
      </c>
      <c r="C199">
        <v>30049099</v>
      </c>
      <c r="D199" t="s">
        <v>287</v>
      </c>
      <c r="E199" t="s">
        <v>2608</v>
      </c>
      <c r="F199" t="e">
        <f>VLOOKUP(JENNIFFER!$B199,#REF!,4,1)</f>
        <v>#REF!</v>
      </c>
      <c r="G199" t="str">
        <f>IF(JENNIFFER!$E199="",JENNIFFER!$F199,JENNIFFER!$E199)</f>
        <v>Oxomemazina</v>
      </c>
      <c r="I199" t="s">
        <v>288</v>
      </c>
      <c r="J199" t="s">
        <v>39</v>
      </c>
      <c r="K199" t="s">
        <v>4</v>
      </c>
      <c r="L199" t="s">
        <v>3</v>
      </c>
      <c r="M199">
        <v>9483693</v>
      </c>
      <c r="N199">
        <v>73437802</v>
      </c>
      <c r="O199">
        <v>166522516.16999999</v>
      </c>
      <c r="P199" t="s">
        <v>595</v>
      </c>
    </row>
    <row r="200" spans="2:16" x14ac:dyDescent="0.25">
      <c r="B200">
        <f t="shared" si="3"/>
        <v>198</v>
      </c>
      <c r="C200">
        <v>30049099</v>
      </c>
      <c r="D200" t="s">
        <v>287</v>
      </c>
      <c r="E200" t="s">
        <v>2608</v>
      </c>
      <c r="F200" t="e">
        <f>VLOOKUP(JENNIFFER!$B200,#REF!,4,1)</f>
        <v>#REF!</v>
      </c>
      <c r="G200" t="str">
        <f>IF(JENNIFFER!$E200="",JENNIFFER!$F200,JENNIFFER!$E200)</f>
        <v>Oxomemazina</v>
      </c>
      <c r="I200" t="s">
        <v>288</v>
      </c>
      <c r="J200" t="s">
        <v>39</v>
      </c>
      <c r="K200" t="s">
        <v>4</v>
      </c>
      <c r="L200" t="s">
        <v>3</v>
      </c>
      <c r="M200">
        <v>9483693</v>
      </c>
      <c r="N200">
        <v>73437802</v>
      </c>
      <c r="O200">
        <v>166522516.16999999</v>
      </c>
      <c r="P200" t="s">
        <v>611</v>
      </c>
    </row>
    <row r="201" spans="2:16" x14ac:dyDescent="0.25">
      <c r="B201">
        <f t="shared" si="3"/>
        <v>199</v>
      </c>
      <c r="C201">
        <v>30049099</v>
      </c>
      <c r="D201" t="s">
        <v>294</v>
      </c>
      <c r="E201" t="s">
        <v>2739</v>
      </c>
      <c r="F201" t="e">
        <f>VLOOKUP(JENNIFFER!$B201,#REF!,4,1)</f>
        <v>#REF!</v>
      </c>
      <c r="G201" t="str">
        <f>IF(JENNIFFER!$E201="",JENNIFFER!$F201,JENNIFFER!$E201)</f>
        <v>dexclorfeniramina+sulf. isoefedrina+guaifenesina</v>
      </c>
      <c r="I201" t="s">
        <v>288</v>
      </c>
      <c r="J201" t="s">
        <v>39</v>
      </c>
      <c r="K201" t="s">
        <v>2</v>
      </c>
      <c r="L201" t="s">
        <v>3</v>
      </c>
      <c r="M201">
        <v>1107408</v>
      </c>
      <c r="N201">
        <v>7392892</v>
      </c>
      <c r="O201">
        <v>16745640.220000001</v>
      </c>
      <c r="P201" t="s">
        <v>286</v>
      </c>
    </row>
    <row r="202" spans="2:16" x14ac:dyDescent="0.25">
      <c r="B202">
        <f t="shared" si="3"/>
        <v>200</v>
      </c>
      <c r="C202">
        <v>30049079</v>
      </c>
      <c r="D202" t="s">
        <v>342</v>
      </c>
      <c r="E202" t="s">
        <v>2532</v>
      </c>
      <c r="F202" t="e">
        <f>VLOOKUP(JENNIFFER!$B202,#REF!,4,1)</f>
        <v>#REF!</v>
      </c>
      <c r="G202" t="str">
        <f>IF(JENNIFFER!$E202="",JENNIFFER!$F202,JENNIFFER!$E202)</f>
        <v>prometazina</v>
      </c>
      <c r="I202" t="s">
        <v>340</v>
      </c>
      <c r="J202" t="s">
        <v>28</v>
      </c>
      <c r="K202" t="s">
        <v>2</v>
      </c>
      <c r="L202" t="s">
        <v>23</v>
      </c>
      <c r="M202">
        <v>1835904</v>
      </c>
      <c r="N202">
        <v>5784583</v>
      </c>
      <c r="O202">
        <v>13209880.640000001</v>
      </c>
      <c r="P202" t="s">
        <v>338</v>
      </c>
    </row>
    <row r="203" spans="2:16" x14ac:dyDescent="0.25">
      <c r="B203">
        <f t="shared" si="3"/>
        <v>201</v>
      </c>
      <c r="C203">
        <v>30049079</v>
      </c>
      <c r="D203" t="s">
        <v>342</v>
      </c>
      <c r="E203" t="s">
        <v>2532</v>
      </c>
      <c r="F203" t="e">
        <f>VLOOKUP(JENNIFFER!$B203,#REF!,4,1)</f>
        <v>#REF!</v>
      </c>
      <c r="G203" t="str">
        <f>IF(JENNIFFER!$E203="",JENNIFFER!$F203,JENNIFFER!$E203)</f>
        <v>prometazina</v>
      </c>
      <c r="I203" t="s">
        <v>340</v>
      </c>
      <c r="J203" t="s">
        <v>28</v>
      </c>
      <c r="K203" t="s">
        <v>2</v>
      </c>
      <c r="L203" t="s">
        <v>23</v>
      </c>
      <c r="M203">
        <v>1835904</v>
      </c>
      <c r="N203">
        <v>5784583</v>
      </c>
      <c r="O203">
        <v>13209880.640000001</v>
      </c>
      <c r="P203" t="s">
        <v>554</v>
      </c>
    </row>
    <row r="204" spans="2:16" x14ac:dyDescent="0.25">
      <c r="B204">
        <f t="shared" si="3"/>
        <v>202</v>
      </c>
      <c r="C204">
        <v>30049099</v>
      </c>
      <c r="D204" t="s">
        <v>544</v>
      </c>
      <c r="E204" t="s">
        <v>2587</v>
      </c>
      <c r="F204" t="e">
        <f>VLOOKUP(JENNIFFER!$B204,#REF!,4,1)</f>
        <v>#REF!</v>
      </c>
      <c r="G204" t="str">
        <f>IF(JENNIFFER!$E204="",JENNIFFER!$F204,JENNIFFER!$E204)</f>
        <v>diosmina+hesperidina</v>
      </c>
      <c r="I204" t="s">
        <v>541</v>
      </c>
      <c r="J204" t="s">
        <v>34</v>
      </c>
      <c r="K204" t="s">
        <v>2</v>
      </c>
      <c r="L204" t="s">
        <v>3</v>
      </c>
      <c r="M204">
        <v>1083429</v>
      </c>
      <c r="N204">
        <v>20780404</v>
      </c>
      <c r="O204">
        <v>47507210.039999999</v>
      </c>
      <c r="P204" t="s">
        <v>548</v>
      </c>
    </row>
    <row r="205" spans="2:16" x14ac:dyDescent="0.25">
      <c r="B205">
        <f t="shared" si="3"/>
        <v>203</v>
      </c>
      <c r="C205">
        <v>30049099</v>
      </c>
      <c r="D205" t="s">
        <v>550</v>
      </c>
      <c r="E205" t="s">
        <v>2740</v>
      </c>
      <c r="F205" t="e">
        <f>VLOOKUP(JENNIFFER!$B205,#REF!,4,1)</f>
        <v>#REF!</v>
      </c>
      <c r="G205" t="str">
        <f>IF(JENNIFFER!$E205="",JENNIFFER!$F205,JENNIFFER!$E205)</f>
        <v>sodio + glicose</v>
      </c>
      <c r="I205" t="s">
        <v>105</v>
      </c>
      <c r="J205" t="s">
        <v>97</v>
      </c>
      <c r="K205" t="s">
        <v>4</v>
      </c>
      <c r="L205" t="s">
        <v>3</v>
      </c>
      <c r="M205">
        <v>241532</v>
      </c>
      <c r="N205">
        <v>1148988</v>
      </c>
      <c r="O205">
        <v>2624672.81</v>
      </c>
      <c r="P205" t="s">
        <v>549</v>
      </c>
    </row>
    <row r="206" spans="2:16" x14ac:dyDescent="0.25">
      <c r="B206">
        <f t="shared" si="3"/>
        <v>204</v>
      </c>
      <c r="C206">
        <v>30049099</v>
      </c>
      <c r="D206" t="s">
        <v>96</v>
      </c>
      <c r="E206" t="s">
        <v>2741</v>
      </c>
      <c r="F206" t="e">
        <f>VLOOKUP(JENNIFFER!$B206,#REF!,4,1)</f>
        <v>#REF!</v>
      </c>
      <c r="G206" t="str">
        <f>IF(JENNIFFER!$E206="",JENNIFFER!$F206,JENNIFFER!$E206)</f>
        <v>saccharomyces boulardii</v>
      </c>
      <c r="I206" t="s">
        <v>95</v>
      </c>
      <c r="J206" t="s">
        <v>97</v>
      </c>
      <c r="K206" t="s">
        <v>4</v>
      </c>
      <c r="L206" t="s">
        <v>3</v>
      </c>
      <c r="M206">
        <v>1665726</v>
      </c>
      <c r="N206">
        <v>17882683</v>
      </c>
      <c r="O206">
        <v>40966505.810000002</v>
      </c>
      <c r="P206" t="s">
        <v>111</v>
      </c>
    </row>
    <row r="207" spans="2:16" x14ac:dyDescent="0.25">
      <c r="B207">
        <f t="shared" si="3"/>
        <v>205</v>
      </c>
      <c r="C207">
        <v>30039079</v>
      </c>
      <c r="D207" t="s">
        <v>564</v>
      </c>
      <c r="E207" t="s">
        <v>2742</v>
      </c>
      <c r="F207" t="e">
        <f>VLOOKUP(JENNIFFER!$B207,#REF!,4,1)</f>
        <v>#REF!</v>
      </c>
      <c r="G207" t="str">
        <f>IF(JENNIFFER!$E207="",JENNIFFER!$F207,JENNIFFER!$E207)</f>
        <v>Fluconazol</v>
      </c>
      <c r="I207" t="s">
        <v>565</v>
      </c>
      <c r="J207" t="s">
        <v>213</v>
      </c>
      <c r="K207" t="s">
        <v>2</v>
      </c>
      <c r="L207" t="s">
        <v>3</v>
      </c>
      <c r="M207">
        <v>1835740</v>
      </c>
      <c r="N207">
        <v>6776428</v>
      </c>
      <c r="O207">
        <v>15490998.029999999</v>
      </c>
      <c r="P207" t="s">
        <v>554</v>
      </c>
    </row>
    <row r="208" spans="2:16" x14ac:dyDescent="0.25">
      <c r="B208">
        <f t="shared" si="3"/>
        <v>206</v>
      </c>
      <c r="C208">
        <v>30049069</v>
      </c>
      <c r="D208" t="s">
        <v>370</v>
      </c>
      <c r="E208" t="s">
        <v>2743</v>
      </c>
      <c r="F208" t="e">
        <f>VLOOKUP(JENNIFFER!$B208,#REF!,4,1)</f>
        <v>#REF!</v>
      </c>
      <c r="G208" t="str">
        <f>IF(JENNIFFER!$E208="",JENNIFFER!$F208,JENNIFFER!$E208)</f>
        <v>cinarizina</v>
      </c>
      <c r="I208" t="s">
        <v>368</v>
      </c>
      <c r="J208" t="s">
        <v>34</v>
      </c>
      <c r="K208" t="s">
        <v>2</v>
      </c>
      <c r="L208" t="s">
        <v>3</v>
      </c>
      <c r="M208">
        <v>695136</v>
      </c>
      <c r="N208">
        <v>1750041</v>
      </c>
      <c r="O208">
        <v>3997713.4</v>
      </c>
      <c r="P208" t="s">
        <v>372</v>
      </c>
    </row>
    <row r="209" spans="2:16" x14ac:dyDescent="0.25">
      <c r="B209">
        <f t="shared" si="3"/>
        <v>207</v>
      </c>
      <c r="C209">
        <v>30049069</v>
      </c>
      <c r="D209" t="s">
        <v>367</v>
      </c>
      <c r="E209" t="s">
        <v>2743</v>
      </c>
      <c r="F209" t="e">
        <f>VLOOKUP(JENNIFFER!$B209,#REF!,4,1)</f>
        <v>#REF!</v>
      </c>
      <c r="G209" t="str">
        <f>IF(JENNIFFER!$E209="",JENNIFFER!$F209,JENNIFFER!$E209)</f>
        <v>cinarizina</v>
      </c>
      <c r="I209" t="s">
        <v>368</v>
      </c>
      <c r="J209" t="s">
        <v>34</v>
      </c>
      <c r="K209" t="s">
        <v>2</v>
      </c>
      <c r="L209" t="s">
        <v>3</v>
      </c>
      <c r="M209">
        <v>1391906</v>
      </c>
      <c r="N209">
        <v>5265235</v>
      </c>
      <c r="O209">
        <v>12022534.26</v>
      </c>
      <c r="P209" t="s">
        <v>372</v>
      </c>
    </row>
    <row r="210" spans="2:16" x14ac:dyDescent="0.25">
      <c r="B210">
        <f t="shared" si="3"/>
        <v>208</v>
      </c>
      <c r="C210">
        <v>30043999</v>
      </c>
      <c r="D210" t="s">
        <v>600</v>
      </c>
      <c r="E210" t="s">
        <v>2744</v>
      </c>
      <c r="F210" t="e">
        <f>VLOOKUP(JENNIFFER!$B210,#REF!,4,1)</f>
        <v>#REF!</v>
      </c>
      <c r="G210" t="str">
        <f>IF(JENNIFFER!$E210="",JENNIFFER!$F210,JENNIFFER!$E210)</f>
        <v>budesonida+formoterol</v>
      </c>
      <c r="I210" t="s">
        <v>529</v>
      </c>
      <c r="J210" t="s">
        <v>132</v>
      </c>
      <c r="K210" t="s">
        <v>2</v>
      </c>
      <c r="L210" t="s">
        <v>3</v>
      </c>
      <c r="M210">
        <v>649795</v>
      </c>
      <c r="N210">
        <v>22360449</v>
      </c>
      <c r="O210">
        <v>51012685.939999998</v>
      </c>
      <c r="P210" t="s">
        <v>533</v>
      </c>
    </row>
    <row r="211" spans="2:16" x14ac:dyDescent="0.25">
      <c r="B211">
        <f t="shared" si="3"/>
        <v>209</v>
      </c>
      <c r="C211">
        <v>30043929</v>
      </c>
      <c r="D211" t="s">
        <v>133</v>
      </c>
      <c r="E211" t="s">
        <v>2745</v>
      </c>
      <c r="F211" t="e">
        <f>VLOOKUP(JENNIFFER!$B211,#REF!,4,1)</f>
        <v>#REF!</v>
      </c>
      <c r="G211" t="str">
        <f>IF(JENNIFFER!$E211="",JENNIFFER!$F211,JENNIFFER!$E211)</f>
        <v>teriparatida</v>
      </c>
      <c r="I211" t="s">
        <v>134</v>
      </c>
      <c r="J211" t="s">
        <v>114</v>
      </c>
      <c r="K211" t="s">
        <v>2</v>
      </c>
      <c r="L211" t="s">
        <v>23</v>
      </c>
      <c r="M211">
        <v>1098</v>
      </c>
      <c r="N211">
        <v>977086</v>
      </c>
      <c r="O211">
        <v>2243778.66</v>
      </c>
      <c r="P211" t="s">
        <v>146</v>
      </c>
    </row>
    <row r="212" spans="2:16" x14ac:dyDescent="0.25">
      <c r="B212">
        <f t="shared" si="3"/>
        <v>210</v>
      </c>
      <c r="C212">
        <v>30043999</v>
      </c>
      <c r="D212" t="s">
        <v>558</v>
      </c>
      <c r="E212" t="s">
        <v>2746</v>
      </c>
      <c r="F212" t="e">
        <f>VLOOKUP(JENNIFFER!$B212,#REF!,4,1)</f>
        <v>#REF!</v>
      </c>
      <c r="G212" t="str">
        <f>IF(JENNIFFER!$E212="",JENNIFFER!$F212,JENNIFFER!$E212)</f>
        <v>Prednisolona</v>
      </c>
      <c r="I212" t="s">
        <v>254</v>
      </c>
      <c r="J212" t="s">
        <v>1</v>
      </c>
      <c r="K212" t="s">
        <v>2</v>
      </c>
      <c r="L212" t="s">
        <v>10</v>
      </c>
      <c r="M212">
        <v>2100465</v>
      </c>
      <c r="N212">
        <v>7068677</v>
      </c>
      <c r="O212">
        <v>16024350.779999999</v>
      </c>
      <c r="P212" t="s">
        <v>559</v>
      </c>
    </row>
    <row r="213" spans="2:16" x14ac:dyDescent="0.25">
      <c r="B213">
        <f t="shared" si="3"/>
        <v>211</v>
      </c>
      <c r="C213">
        <v>30039099</v>
      </c>
      <c r="D213" t="s">
        <v>59</v>
      </c>
      <c r="E213" t="s">
        <v>2612</v>
      </c>
      <c r="F213" t="e">
        <f>VLOOKUP(JENNIFFER!$B213,#REF!,4,1)</f>
        <v>#REF!</v>
      </c>
      <c r="G213" t="str">
        <f>IF(JENNIFFER!$E213="",JENNIFFER!$F213,JENNIFFER!$E213)</f>
        <v>dimeticona+hidr.aluminio+hidr.magnesio</v>
      </c>
      <c r="I213" t="s">
        <v>54</v>
      </c>
      <c r="J213" t="s">
        <v>60</v>
      </c>
      <c r="K213" t="s">
        <v>4</v>
      </c>
      <c r="L213" t="s">
        <v>3</v>
      </c>
      <c r="M213">
        <v>334791</v>
      </c>
      <c r="N213">
        <v>1807062</v>
      </c>
      <c r="O213">
        <v>4119113.44</v>
      </c>
      <c r="P213" t="s">
        <v>41</v>
      </c>
    </row>
    <row r="214" spans="2:16" x14ac:dyDescent="0.25">
      <c r="B214">
        <f t="shared" si="3"/>
        <v>212</v>
      </c>
      <c r="C214">
        <v>30049099</v>
      </c>
      <c r="D214" t="s">
        <v>538</v>
      </c>
      <c r="E214" t="s">
        <v>2747</v>
      </c>
      <c r="F214" t="e">
        <f>VLOOKUP(JENNIFFER!$B214,#REF!,4,1)</f>
        <v>#REF!</v>
      </c>
      <c r="G214" t="str">
        <f>IF(JENNIFFER!$E214="",JENNIFFER!$F214,JENNIFFER!$E214)</f>
        <v>ginkgo biloba</v>
      </c>
      <c r="I214" t="s">
        <v>535</v>
      </c>
      <c r="J214" t="s">
        <v>68</v>
      </c>
      <c r="K214" t="s">
        <v>2</v>
      </c>
      <c r="L214" t="s">
        <v>3</v>
      </c>
      <c r="M214">
        <v>540698</v>
      </c>
      <c r="N214">
        <v>6229814</v>
      </c>
      <c r="O214">
        <v>14221644.33</v>
      </c>
      <c r="P214" t="s">
        <v>548</v>
      </c>
    </row>
    <row r="215" spans="2:16" x14ac:dyDescent="0.25">
      <c r="B215">
        <f t="shared" si="3"/>
        <v>213</v>
      </c>
      <c r="C215">
        <v>30044090</v>
      </c>
      <c r="D215" t="s">
        <v>534</v>
      </c>
      <c r="E215" t="s">
        <v>2747</v>
      </c>
      <c r="F215" t="e">
        <f>VLOOKUP(JENNIFFER!$B215,#REF!,4,1)</f>
        <v>#REF!</v>
      </c>
      <c r="G215" t="str">
        <f>IF(JENNIFFER!$E215="",JENNIFFER!$F215,JENNIFFER!$E215)</f>
        <v>ginkgo biloba</v>
      </c>
      <c r="I215" t="s">
        <v>535</v>
      </c>
      <c r="J215" t="s">
        <v>213</v>
      </c>
      <c r="K215" t="s">
        <v>2</v>
      </c>
      <c r="L215" t="s">
        <v>3</v>
      </c>
      <c r="M215">
        <v>1147930</v>
      </c>
      <c r="N215">
        <v>8311535</v>
      </c>
      <c r="O215">
        <v>18975285.300000001</v>
      </c>
      <c r="P215" t="s">
        <v>548</v>
      </c>
    </row>
    <row r="216" spans="2:16" x14ac:dyDescent="0.25">
      <c r="B216">
        <f t="shared" si="3"/>
        <v>214</v>
      </c>
      <c r="C216">
        <v>30049077</v>
      </c>
      <c r="D216" t="s">
        <v>467</v>
      </c>
      <c r="E216" t="s">
        <v>2748</v>
      </c>
      <c r="F216" t="e">
        <f>VLOOKUP(JENNIFFER!$B216,#REF!,4,1)</f>
        <v>#REF!</v>
      </c>
      <c r="G216" t="str">
        <f>IF(JENNIFFER!$E216="",JENNIFFER!$F216,JENNIFFER!$E216)</f>
        <v>timolol</v>
      </c>
      <c r="I216" t="s">
        <v>462</v>
      </c>
      <c r="J216" t="s">
        <v>8</v>
      </c>
      <c r="K216" t="s">
        <v>2</v>
      </c>
      <c r="L216" t="s">
        <v>3</v>
      </c>
      <c r="M216">
        <v>526814</v>
      </c>
      <c r="N216">
        <v>1425670</v>
      </c>
      <c r="O216">
        <v>3254380.04</v>
      </c>
      <c r="P216" t="s">
        <v>471</v>
      </c>
    </row>
    <row r="217" spans="2:16" x14ac:dyDescent="0.25">
      <c r="B217">
        <f t="shared" si="3"/>
        <v>215</v>
      </c>
      <c r="C217">
        <v>30039069</v>
      </c>
      <c r="D217" t="s">
        <v>125</v>
      </c>
      <c r="E217" t="s">
        <v>2749</v>
      </c>
      <c r="F217" t="e">
        <f>VLOOKUP(JENNIFFER!$B217,#REF!,4,1)</f>
        <v>#REF!</v>
      </c>
      <c r="G217" t="str">
        <f>IF(JENNIFFER!$E217="",JENNIFFER!$F217,JENNIFFER!$E217)</f>
        <v>glibenclamida</v>
      </c>
      <c r="I217" t="s">
        <v>126</v>
      </c>
      <c r="J217" t="s">
        <v>29</v>
      </c>
      <c r="K217" t="s">
        <v>2</v>
      </c>
      <c r="L217" t="s">
        <v>10</v>
      </c>
      <c r="M217">
        <v>2058227</v>
      </c>
      <c r="N217">
        <v>5366175</v>
      </c>
      <c r="O217">
        <v>12241463.529999999</v>
      </c>
      <c r="P217" t="s">
        <v>127</v>
      </c>
    </row>
    <row r="218" spans="2:16" x14ac:dyDescent="0.25">
      <c r="B218">
        <f t="shared" si="3"/>
        <v>216</v>
      </c>
      <c r="C218">
        <v>30039069</v>
      </c>
      <c r="D218" t="s">
        <v>125</v>
      </c>
      <c r="E218" t="s">
        <v>2749</v>
      </c>
      <c r="F218" t="e">
        <f>VLOOKUP(JENNIFFER!$B218,#REF!,4,1)</f>
        <v>#REF!</v>
      </c>
      <c r="G218" t="str">
        <f>IF(JENNIFFER!$E218="",JENNIFFER!$F218,JENNIFFER!$E218)</f>
        <v>glibenclamida</v>
      </c>
      <c r="I218" t="s">
        <v>126</v>
      </c>
      <c r="J218" t="s">
        <v>34</v>
      </c>
      <c r="K218" t="s">
        <v>2</v>
      </c>
      <c r="L218" t="s">
        <v>10</v>
      </c>
      <c r="M218">
        <v>1995133</v>
      </c>
      <c r="N218">
        <v>4944724</v>
      </c>
      <c r="O218">
        <v>11263804.960000001</v>
      </c>
      <c r="P218" t="s">
        <v>127</v>
      </c>
    </row>
    <row r="219" spans="2:16" x14ac:dyDescent="0.25">
      <c r="B219">
        <f t="shared" si="3"/>
        <v>217</v>
      </c>
      <c r="C219">
        <v>30049049</v>
      </c>
      <c r="D219" t="s">
        <v>120</v>
      </c>
      <c r="E219" t="s">
        <v>2750</v>
      </c>
      <c r="F219" t="e">
        <f>VLOOKUP(JENNIFFER!$B219,#REF!,4,1)</f>
        <v>#REF!</v>
      </c>
      <c r="G219" t="str">
        <f>IF(JENNIFFER!$E219="",JENNIFFER!$F219,JENNIFFER!$E219)</f>
        <v>metformina</v>
      </c>
      <c r="I219" t="s">
        <v>121</v>
      </c>
      <c r="J219" t="s">
        <v>97</v>
      </c>
      <c r="K219" t="s">
        <v>2</v>
      </c>
      <c r="L219" t="s">
        <v>3</v>
      </c>
      <c r="M219">
        <v>18285060</v>
      </c>
      <c r="N219">
        <v>80852244</v>
      </c>
      <c r="O219">
        <v>184679175.87</v>
      </c>
      <c r="P219" t="s">
        <v>127</v>
      </c>
    </row>
    <row r="220" spans="2:16" x14ac:dyDescent="0.25">
      <c r="B220">
        <f t="shared" si="3"/>
        <v>218</v>
      </c>
      <c r="C220">
        <v>30049039</v>
      </c>
      <c r="D220" t="s">
        <v>349</v>
      </c>
      <c r="E220" t="s">
        <v>2603</v>
      </c>
      <c r="F220" t="e">
        <f>VLOOKUP(JENNIFFER!$B220,#REF!,4,1)</f>
        <v>#REF!</v>
      </c>
      <c r="G220" t="str">
        <f>IF(JENNIFFER!$E220="",JENNIFFER!$F220,JENNIFFER!$E220)</f>
        <v>memantina</v>
      </c>
      <c r="I220" t="s">
        <v>348</v>
      </c>
      <c r="J220" t="s">
        <v>198</v>
      </c>
      <c r="K220" t="s">
        <v>2</v>
      </c>
      <c r="L220" t="s">
        <v>3</v>
      </c>
      <c r="M220">
        <v>166999</v>
      </c>
      <c r="N220">
        <v>2698159</v>
      </c>
      <c r="O220">
        <v>6161575.96</v>
      </c>
      <c r="P220" t="s">
        <v>361</v>
      </c>
    </row>
    <row r="221" spans="2:16" x14ac:dyDescent="0.25">
      <c r="B221">
        <f t="shared" si="3"/>
        <v>219</v>
      </c>
      <c r="C221">
        <v>30049039</v>
      </c>
      <c r="D221" t="s">
        <v>360</v>
      </c>
      <c r="E221" t="s">
        <v>2603</v>
      </c>
      <c r="F221" t="e">
        <f>VLOOKUP(JENNIFFER!$B221,#REF!,4,1)</f>
        <v>#REF!</v>
      </c>
      <c r="G221" t="str">
        <f>IF(JENNIFFER!$E221="",JENNIFFER!$F221,JENNIFFER!$E221)</f>
        <v>memantina</v>
      </c>
      <c r="I221" t="s">
        <v>348</v>
      </c>
      <c r="J221" t="s">
        <v>198</v>
      </c>
      <c r="K221" t="s">
        <v>2</v>
      </c>
      <c r="L221" t="s">
        <v>3</v>
      </c>
      <c r="M221">
        <v>80927</v>
      </c>
      <c r="N221">
        <v>2589417</v>
      </c>
      <c r="O221">
        <v>5913173.96</v>
      </c>
      <c r="P221" t="s">
        <v>361</v>
      </c>
    </row>
    <row r="222" spans="2:16" x14ac:dyDescent="0.25">
      <c r="B222">
        <f t="shared" si="3"/>
        <v>220</v>
      </c>
      <c r="C222">
        <v>30029092</v>
      </c>
      <c r="D222" t="s">
        <v>172</v>
      </c>
      <c r="E222" t="s">
        <v>2751</v>
      </c>
      <c r="F222" t="e">
        <f>VLOOKUP(JENNIFFER!$B222,#REF!,4,1)</f>
        <v>#REF!</v>
      </c>
      <c r="G222" t="str">
        <f>IF(JENNIFFER!$E222="",JENNIFFER!$F222,JENNIFFER!$E222)</f>
        <v>eritropoetina humana</v>
      </c>
      <c r="I222" t="s">
        <v>173</v>
      </c>
      <c r="J222" t="s">
        <v>1</v>
      </c>
      <c r="K222" t="s">
        <v>2</v>
      </c>
      <c r="L222" t="s">
        <v>3</v>
      </c>
      <c r="M222">
        <v>160468</v>
      </c>
      <c r="N222">
        <v>7433461</v>
      </c>
      <c r="O222">
        <v>17003564.859999999</v>
      </c>
      <c r="P222" t="s">
        <v>174</v>
      </c>
    </row>
    <row r="223" spans="2:16" x14ac:dyDescent="0.25">
      <c r="B223">
        <f t="shared" si="3"/>
        <v>221</v>
      </c>
      <c r="C223">
        <v>30094090</v>
      </c>
      <c r="D223" t="s">
        <v>430</v>
      </c>
      <c r="E223" t="s">
        <v>2752</v>
      </c>
      <c r="F223" t="e">
        <f>VLOOKUP(JENNIFFER!$B223,#REF!,4,1)</f>
        <v>#REF!</v>
      </c>
      <c r="G223" t="str">
        <f>IF(JENNIFFER!$E223="",JENNIFFER!$F223,JENNIFFER!$E223)</f>
        <v>extrato de hamamelis</v>
      </c>
      <c r="I223" t="s">
        <v>428</v>
      </c>
      <c r="J223" t="s">
        <v>26</v>
      </c>
      <c r="K223" t="s">
        <v>4</v>
      </c>
      <c r="L223" t="s">
        <v>3</v>
      </c>
      <c r="M223">
        <v>606268</v>
      </c>
      <c r="N223">
        <v>4111281</v>
      </c>
      <c r="O223">
        <v>9388520.5800000001</v>
      </c>
      <c r="P223" t="s">
        <v>441</v>
      </c>
    </row>
    <row r="224" spans="2:16" x14ac:dyDescent="0.25">
      <c r="B224">
        <f t="shared" si="3"/>
        <v>222</v>
      </c>
      <c r="C224">
        <v>30049039</v>
      </c>
      <c r="D224" t="s">
        <v>456</v>
      </c>
      <c r="E224" t="s">
        <v>2753</v>
      </c>
      <c r="F224" t="e">
        <f>VLOOKUP(JENNIFFER!$B224,#REF!,4,1)</f>
        <v>#REF!</v>
      </c>
      <c r="G224" t="str">
        <f>IF(JENNIFFER!$E224="",JENNIFFER!$F224,JENNIFFER!$E224)</f>
        <v>hexamidina+tetracaina</v>
      </c>
      <c r="I224" t="s">
        <v>451</v>
      </c>
      <c r="J224" t="s">
        <v>28</v>
      </c>
      <c r="K224" t="s">
        <v>2</v>
      </c>
      <c r="L224" t="s">
        <v>23</v>
      </c>
      <c r="M224">
        <v>1221689</v>
      </c>
      <c r="N224">
        <v>15497027</v>
      </c>
      <c r="O224">
        <v>35297248.119999997</v>
      </c>
      <c r="P224" t="s">
        <v>460</v>
      </c>
    </row>
    <row r="225" spans="2:16" x14ac:dyDescent="0.25">
      <c r="B225">
        <f t="shared" si="3"/>
        <v>223</v>
      </c>
      <c r="C225">
        <v>30049099</v>
      </c>
      <c r="D225" t="s">
        <v>552</v>
      </c>
      <c r="E225" t="s">
        <v>2754</v>
      </c>
      <c r="F225" t="e">
        <f>VLOOKUP(JENNIFFER!$B225,#REF!,4,1)</f>
        <v>#REF!</v>
      </c>
      <c r="G225" t="str">
        <f>IF(JENNIFFER!$E225="",JENNIFFER!$F225,JENNIFFER!$E225)</f>
        <v>glicose+cloreto de sodio e potassio</v>
      </c>
      <c r="I225" t="s">
        <v>105</v>
      </c>
      <c r="J225" t="s">
        <v>92</v>
      </c>
      <c r="K225" t="s">
        <v>4</v>
      </c>
      <c r="L225" t="s">
        <v>3</v>
      </c>
      <c r="M225">
        <v>181874</v>
      </c>
      <c r="N225">
        <v>458257</v>
      </c>
      <c r="O225">
        <v>1052499.79</v>
      </c>
      <c r="P225" t="s">
        <v>549</v>
      </c>
    </row>
    <row r="226" spans="2:16" x14ac:dyDescent="0.25">
      <c r="B226">
        <f t="shared" si="3"/>
        <v>224</v>
      </c>
      <c r="C226">
        <v>30049099</v>
      </c>
      <c r="D226" t="s">
        <v>47</v>
      </c>
      <c r="E226" t="s">
        <v>2755</v>
      </c>
      <c r="F226" t="e">
        <f>VLOOKUP(JENNIFFER!$B226,#REF!,4,1)</f>
        <v>#REF!</v>
      </c>
      <c r="G226" t="str">
        <f>IF(JENNIFFER!$E226="",JENNIFFER!$F226,JENNIFFER!$E226)</f>
        <v>hidróxido de alumínio</v>
      </c>
      <c r="I226" t="s">
        <v>43</v>
      </c>
      <c r="J226" t="s">
        <v>29</v>
      </c>
      <c r="K226" t="s">
        <v>4</v>
      </c>
      <c r="L226" t="s">
        <v>10</v>
      </c>
      <c r="M226">
        <v>950650</v>
      </c>
      <c r="N226">
        <v>3253520</v>
      </c>
      <c r="O226">
        <v>7424597.2599999998</v>
      </c>
      <c r="P226" t="s">
        <v>41</v>
      </c>
    </row>
    <row r="227" spans="2:16" x14ac:dyDescent="0.25">
      <c r="B227">
        <f t="shared" si="3"/>
        <v>225</v>
      </c>
      <c r="C227">
        <v>30039099</v>
      </c>
      <c r="D227" t="s">
        <v>444</v>
      </c>
      <c r="E227" t="s">
        <v>2756</v>
      </c>
      <c r="F227" t="e">
        <f>VLOOKUP(JENNIFFER!$B227,#REF!,4,1)</f>
        <v>#REF!</v>
      </c>
      <c r="G227" t="str">
        <f>IF(JENNIFFER!$E227="",JENNIFFER!$F227,JENNIFFER!$E227)</f>
        <v>polissulfato de mucopolissacaridio</v>
      </c>
      <c r="I227" t="s">
        <v>443</v>
      </c>
      <c r="J227" t="s">
        <v>445</v>
      </c>
      <c r="K227" t="s">
        <v>4</v>
      </c>
      <c r="L227" t="s">
        <v>23</v>
      </c>
      <c r="M227">
        <v>985961</v>
      </c>
      <c r="N227">
        <v>6902673</v>
      </c>
      <c r="O227">
        <v>15808361.5</v>
      </c>
      <c r="P227" t="s">
        <v>383</v>
      </c>
    </row>
    <row r="228" spans="2:16" x14ac:dyDescent="0.25">
      <c r="B228">
        <f t="shared" si="3"/>
        <v>226</v>
      </c>
      <c r="C228">
        <v>30049069</v>
      </c>
      <c r="D228" t="s">
        <v>593</v>
      </c>
      <c r="E228" t="s">
        <v>2757</v>
      </c>
      <c r="F228" t="e">
        <f>VLOOKUP(JENNIFFER!$B228,#REF!,4,1)</f>
        <v>#REF!</v>
      </c>
      <c r="G228" t="str">
        <f>IF(JENNIFFER!$E228="",JENNIFFER!$F228,JENNIFFER!$E228)</f>
        <v>loratadina</v>
      </c>
      <c r="I228" t="s">
        <v>226</v>
      </c>
      <c r="J228" t="s">
        <v>8</v>
      </c>
      <c r="K228" t="s">
        <v>2</v>
      </c>
      <c r="L228" t="s">
        <v>3</v>
      </c>
      <c r="M228">
        <v>647773</v>
      </c>
      <c r="N228">
        <v>7177502</v>
      </c>
      <c r="O228">
        <v>16340847.5</v>
      </c>
      <c r="P228" t="s">
        <v>589</v>
      </c>
    </row>
    <row r="229" spans="2:16" x14ac:dyDescent="0.25">
      <c r="B229">
        <f t="shared" si="3"/>
        <v>227</v>
      </c>
      <c r="C229">
        <v>30049099</v>
      </c>
      <c r="D229" t="s">
        <v>339</v>
      </c>
      <c r="E229" t="s">
        <v>2562</v>
      </c>
      <c r="F229" t="e">
        <f>VLOOKUP(JENNIFFER!$B229,#REF!,4,1)</f>
        <v>#REF!</v>
      </c>
      <c r="G229" t="str">
        <f>IF(JENNIFFER!$E229="",JENNIFFER!$F229,JENNIFFER!$E229)</f>
        <v>maleato de dexclorfeniramina</v>
      </c>
      <c r="I229" t="s">
        <v>340</v>
      </c>
      <c r="J229" t="s">
        <v>34</v>
      </c>
      <c r="K229" t="s">
        <v>4</v>
      </c>
      <c r="L229" t="s">
        <v>3</v>
      </c>
      <c r="M229">
        <v>5330434</v>
      </c>
      <c r="N229">
        <v>12718216</v>
      </c>
      <c r="O229">
        <v>29000546.920000002</v>
      </c>
      <c r="P229" t="s">
        <v>338</v>
      </c>
    </row>
    <row r="230" spans="2:16" x14ac:dyDescent="0.25">
      <c r="B230">
        <f t="shared" si="3"/>
        <v>228</v>
      </c>
      <c r="C230">
        <v>30049099</v>
      </c>
      <c r="D230" t="s">
        <v>341</v>
      </c>
      <c r="E230" t="s">
        <v>2562</v>
      </c>
      <c r="F230" t="e">
        <f>VLOOKUP(JENNIFFER!$B230,#REF!,4,1)</f>
        <v>#REF!</v>
      </c>
      <c r="G230" t="str">
        <f>IF(JENNIFFER!$E230="",JENNIFFER!$F230,JENNIFFER!$E230)</f>
        <v>maleato de dexclorfeniramina</v>
      </c>
      <c r="I230" t="s">
        <v>340</v>
      </c>
      <c r="J230" t="s">
        <v>34</v>
      </c>
      <c r="K230" t="s">
        <v>4</v>
      </c>
      <c r="L230" t="s">
        <v>3</v>
      </c>
      <c r="M230">
        <v>4787691</v>
      </c>
      <c r="N230">
        <v>17693119</v>
      </c>
      <c r="O230">
        <v>40236456</v>
      </c>
      <c r="P230" t="s">
        <v>338</v>
      </c>
    </row>
    <row r="231" spans="2:16" x14ac:dyDescent="0.25">
      <c r="B231">
        <f t="shared" si="3"/>
        <v>229</v>
      </c>
      <c r="C231">
        <v>30043100</v>
      </c>
      <c r="D231" t="s">
        <v>112</v>
      </c>
      <c r="E231" t="s">
        <v>2549</v>
      </c>
      <c r="F231" t="e">
        <f>VLOOKUP(JENNIFFER!$B231,#REF!,4,1)</f>
        <v>#REF!</v>
      </c>
      <c r="G231" t="str">
        <f>IF(JENNIFFER!$E231="",JENNIFFER!$F231,JENNIFFER!$E231)</f>
        <v>insulina humana</v>
      </c>
      <c r="I231" t="s">
        <v>113</v>
      </c>
      <c r="J231" t="s">
        <v>114</v>
      </c>
      <c r="K231" t="s">
        <v>2</v>
      </c>
      <c r="L231" t="s">
        <v>23</v>
      </c>
      <c r="M231">
        <v>1791790</v>
      </c>
      <c r="N231">
        <v>28023337</v>
      </c>
      <c r="O231">
        <v>63929131.700000003</v>
      </c>
      <c r="P231" t="s">
        <v>127</v>
      </c>
    </row>
    <row r="232" spans="2:16" x14ac:dyDescent="0.25">
      <c r="B232">
        <f t="shared" si="3"/>
        <v>230</v>
      </c>
      <c r="C232">
        <v>30043100</v>
      </c>
      <c r="D232" t="s">
        <v>119</v>
      </c>
      <c r="E232" t="s">
        <v>2549</v>
      </c>
      <c r="F232" t="e">
        <f>VLOOKUP(JENNIFFER!$B232,#REF!,4,1)</f>
        <v>#REF!</v>
      </c>
      <c r="G232" t="str">
        <f>IF(JENNIFFER!$E232="",JENNIFFER!$F232,JENNIFFER!$E232)</f>
        <v>insulina humana</v>
      </c>
      <c r="I232" t="s">
        <v>113</v>
      </c>
      <c r="J232" t="s">
        <v>114</v>
      </c>
      <c r="K232" t="s">
        <v>2</v>
      </c>
      <c r="L232" t="s">
        <v>23</v>
      </c>
      <c r="M232">
        <v>827057</v>
      </c>
      <c r="N232">
        <v>13939787</v>
      </c>
      <c r="O232">
        <v>31836964.140000001</v>
      </c>
      <c r="P232" t="s">
        <v>127</v>
      </c>
    </row>
    <row r="233" spans="2:16" x14ac:dyDescent="0.25">
      <c r="B233">
        <f t="shared" si="3"/>
        <v>231</v>
      </c>
      <c r="C233">
        <v>30049039</v>
      </c>
      <c r="D233" t="s">
        <v>295</v>
      </c>
      <c r="E233" t="s">
        <v>2758</v>
      </c>
      <c r="F233" t="e">
        <f>VLOOKUP(JENNIFFER!$B233,#REF!,4,1)</f>
        <v>#REF!</v>
      </c>
      <c r="G233" t="str">
        <f>IF(JENNIFFER!$E233="",JENNIFFER!$F233,JENNIFFER!$E233)</f>
        <v>clobutinol+doxilamina</v>
      </c>
      <c r="I233" t="s">
        <v>296</v>
      </c>
      <c r="J233" t="s">
        <v>8</v>
      </c>
      <c r="K233" t="s">
        <v>2</v>
      </c>
      <c r="L233" t="s">
        <v>3</v>
      </c>
      <c r="M233">
        <v>1593825</v>
      </c>
      <c r="N233">
        <v>9117104</v>
      </c>
      <c r="O233">
        <v>20646454.620000001</v>
      </c>
      <c r="P233" t="s">
        <v>286</v>
      </c>
    </row>
    <row r="234" spans="2:16" x14ac:dyDescent="0.25">
      <c r="B234">
        <f t="shared" si="3"/>
        <v>232</v>
      </c>
      <c r="C234">
        <v>30049029</v>
      </c>
      <c r="D234" t="s">
        <v>251</v>
      </c>
      <c r="E234" t="s">
        <v>2556</v>
      </c>
      <c r="F234" t="e">
        <f>VLOOKUP(JENNIFFER!$B234,#REF!,4,1)</f>
        <v>#REF!</v>
      </c>
      <c r="G234" t="str">
        <f>IF(JENNIFFER!$E234="",JENNIFFER!$F234,JENNIFFER!$E234)</f>
        <v>ibuprofeno</v>
      </c>
      <c r="I234" t="s">
        <v>252</v>
      </c>
      <c r="J234" t="s">
        <v>64</v>
      </c>
      <c r="K234" t="s">
        <v>2</v>
      </c>
      <c r="L234" t="s">
        <v>3</v>
      </c>
      <c r="M234">
        <v>3397774</v>
      </c>
      <c r="N234">
        <v>21062219</v>
      </c>
      <c r="O234">
        <v>48146459.350000001</v>
      </c>
      <c r="P234" t="s">
        <v>250</v>
      </c>
    </row>
    <row r="235" spans="2:16" x14ac:dyDescent="0.25">
      <c r="B235">
        <f t="shared" si="3"/>
        <v>233</v>
      </c>
      <c r="C235">
        <v>30049062</v>
      </c>
      <c r="D235" t="s">
        <v>100</v>
      </c>
      <c r="E235" t="s">
        <v>2595</v>
      </c>
      <c r="F235" t="e">
        <f>VLOOKUP(JENNIFFER!$B235,#REF!,4,1)</f>
        <v>#REF!</v>
      </c>
      <c r="G235" t="str">
        <f>IF(JENNIFFER!$E235="",JENNIFFER!$F235,JENNIFFER!$E235)</f>
        <v>cloridrato de loperamida</v>
      </c>
      <c r="I235" t="s">
        <v>101</v>
      </c>
      <c r="J235" t="s">
        <v>82</v>
      </c>
      <c r="K235" t="s">
        <v>2</v>
      </c>
      <c r="L235" t="s">
        <v>23</v>
      </c>
      <c r="M235">
        <v>2479287</v>
      </c>
      <c r="N235">
        <v>5709785</v>
      </c>
      <c r="O235">
        <v>13061610.119999999</v>
      </c>
      <c r="P235" t="s">
        <v>111</v>
      </c>
    </row>
    <row r="236" spans="2:16" x14ac:dyDescent="0.25">
      <c r="B236">
        <f t="shared" si="3"/>
        <v>234</v>
      </c>
      <c r="C236">
        <v>30049051</v>
      </c>
      <c r="D236" t="s">
        <v>511</v>
      </c>
      <c r="E236" t="s">
        <v>2510</v>
      </c>
      <c r="F236" t="e">
        <f>VLOOKUP(JENNIFFER!$B236,#REF!,4,1)</f>
        <v>#REF!</v>
      </c>
      <c r="G236" t="str">
        <f>IF(JENNIFFER!$E236="",JENNIFFER!$F236,JENNIFFER!$E236)</f>
        <v>dinitrato de isossorbida</v>
      </c>
      <c r="I236" t="s">
        <v>501</v>
      </c>
      <c r="J236" t="s">
        <v>29</v>
      </c>
      <c r="K236" t="s">
        <v>2</v>
      </c>
      <c r="L236" t="s">
        <v>23</v>
      </c>
      <c r="M236">
        <v>291786</v>
      </c>
      <c r="N236">
        <v>694488</v>
      </c>
      <c r="O236">
        <v>1584256.61</v>
      </c>
      <c r="P236" t="s">
        <v>499</v>
      </c>
    </row>
    <row r="237" spans="2:16" x14ac:dyDescent="0.25">
      <c r="B237">
        <f t="shared" si="3"/>
        <v>235</v>
      </c>
      <c r="C237">
        <v>30045060</v>
      </c>
      <c r="D237" t="s">
        <v>270</v>
      </c>
      <c r="E237" t="s">
        <v>2522</v>
      </c>
      <c r="F237" t="e">
        <f>VLOOKUP(JENNIFFER!$B237,#REF!,4,1)</f>
        <v>#REF!</v>
      </c>
      <c r="G237" t="str">
        <f>IF(JENNIFFER!$E237="",JENNIFFER!$F237,JENNIFFER!$E237)</f>
        <v>isotretinoina</v>
      </c>
      <c r="I237" t="s">
        <v>271</v>
      </c>
      <c r="J237" t="s">
        <v>272</v>
      </c>
      <c r="K237" t="s">
        <v>2</v>
      </c>
      <c r="L237" t="s">
        <v>10</v>
      </c>
      <c r="M237">
        <v>654144</v>
      </c>
      <c r="N237">
        <v>23305214</v>
      </c>
      <c r="O237">
        <v>53108774.409999996</v>
      </c>
      <c r="P237" t="s">
        <v>285</v>
      </c>
    </row>
    <row r="238" spans="2:16" x14ac:dyDescent="0.25">
      <c r="B238">
        <f t="shared" si="3"/>
        <v>236</v>
      </c>
      <c r="C238">
        <v>30045060</v>
      </c>
      <c r="D238" t="s">
        <v>270</v>
      </c>
      <c r="E238" t="s">
        <v>2522</v>
      </c>
      <c r="F238" t="e">
        <f>VLOOKUP(JENNIFFER!$B238,#REF!,4,1)</f>
        <v>#REF!</v>
      </c>
      <c r="G238" t="str">
        <f>IF(JENNIFFER!$E238="",JENNIFFER!$F238,JENNIFFER!$E238)</f>
        <v>isotretinoina</v>
      </c>
      <c r="I238" t="s">
        <v>271</v>
      </c>
      <c r="J238" t="s">
        <v>273</v>
      </c>
      <c r="K238" t="s">
        <v>2</v>
      </c>
      <c r="L238" t="s">
        <v>10</v>
      </c>
      <c r="M238">
        <v>308049</v>
      </c>
      <c r="N238">
        <v>10997525</v>
      </c>
      <c r="O238">
        <v>25054038.489999998</v>
      </c>
      <c r="P238" t="s">
        <v>285</v>
      </c>
    </row>
    <row r="239" spans="2:16" x14ac:dyDescent="0.25">
      <c r="B239">
        <f t="shared" si="3"/>
        <v>237</v>
      </c>
      <c r="C239">
        <v>30066000</v>
      </c>
      <c r="D239" t="s">
        <v>412</v>
      </c>
      <c r="E239" t="s">
        <v>2604</v>
      </c>
      <c r="F239" t="e">
        <f>VLOOKUP(JENNIFFER!$B239,#REF!,4,1)</f>
        <v>#REF!</v>
      </c>
      <c r="G239" t="str">
        <f>IF(JENNIFFER!$E239="",JENNIFFER!$F239,JENNIFFER!$E239)</f>
        <v>drosperinona + etinilestradiol</v>
      </c>
      <c r="I239" t="s">
        <v>398</v>
      </c>
      <c r="J239" t="s">
        <v>136</v>
      </c>
      <c r="K239" t="s">
        <v>2</v>
      </c>
      <c r="L239" t="s">
        <v>3</v>
      </c>
      <c r="M239">
        <v>2316341</v>
      </c>
      <c r="N239">
        <v>29265479</v>
      </c>
      <c r="O239">
        <v>66858325.420000002</v>
      </c>
      <c r="P239" t="s">
        <v>413</v>
      </c>
    </row>
    <row r="240" spans="2:16" x14ac:dyDescent="0.25">
      <c r="B240">
        <f t="shared" si="3"/>
        <v>238</v>
      </c>
      <c r="C240">
        <v>30043999</v>
      </c>
      <c r="D240" t="s">
        <v>334</v>
      </c>
      <c r="E240" t="s">
        <v>2759</v>
      </c>
      <c r="F240" t="e">
        <f>VLOOKUP(JENNIFFER!$B240,#REF!,4,1)</f>
        <v>#REF!</v>
      </c>
      <c r="G240" t="str">
        <f>IF(JENNIFFER!$E240="",JENNIFFER!$F240,JENNIFFER!$E240)</f>
        <v>cloridrato de ranitidina</v>
      </c>
      <c r="I240" t="s">
        <v>335</v>
      </c>
      <c r="J240" t="s">
        <v>307</v>
      </c>
      <c r="K240" t="s">
        <v>2</v>
      </c>
      <c r="L240" t="s">
        <v>3</v>
      </c>
      <c r="M240">
        <v>1595390</v>
      </c>
      <c r="N240">
        <v>14261165</v>
      </c>
      <c r="O240">
        <v>32364317.719999999</v>
      </c>
      <c r="P240" t="s">
        <v>338</v>
      </c>
    </row>
    <row r="241" spans="2:16" x14ac:dyDescent="0.25">
      <c r="B241">
        <f t="shared" si="3"/>
        <v>239</v>
      </c>
      <c r="C241">
        <v>30049099</v>
      </c>
      <c r="D241" t="s">
        <v>65</v>
      </c>
      <c r="E241" t="s">
        <v>2759</v>
      </c>
      <c r="F241" t="e">
        <f>VLOOKUP(JENNIFFER!$B241,#REF!,4,1)</f>
        <v>#REF!</v>
      </c>
      <c r="G241" t="str">
        <f>IF(JENNIFFER!$E241="",JENNIFFER!$F241,JENNIFFER!$E241)</f>
        <v>cloridrato de ranitidina</v>
      </c>
      <c r="I241" t="s">
        <v>63</v>
      </c>
      <c r="J241" t="s">
        <v>1</v>
      </c>
      <c r="K241" t="s">
        <v>2</v>
      </c>
      <c r="L241" t="s">
        <v>3</v>
      </c>
      <c r="M241">
        <v>595681</v>
      </c>
      <c r="N241">
        <v>5344668</v>
      </c>
      <c r="O241">
        <v>12185026.710000001</v>
      </c>
      <c r="P241" t="s">
        <v>61</v>
      </c>
    </row>
    <row r="242" spans="2:16" x14ac:dyDescent="0.25">
      <c r="B242">
        <f t="shared" si="3"/>
        <v>240</v>
      </c>
      <c r="C242">
        <v>30039079</v>
      </c>
      <c r="D242" t="s">
        <v>365</v>
      </c>
      <c r="E242" t="s">
        <v>2596</v>
      </c>
      <c r="F242" t="e">
        <f>VLOOKUP(JENNIFFER!$B242,#REF!,4,1)</f>
        <v>#REF!</v>
      </c>
      <c r="G242" t="str">
        <f>IF(JENNIFFER!$E242="",JENNIFFER!$F242,JENNIFFER!$E242)</f>
        <v>betaistina</v>
      </c>
      <c r="I242" t="s">
        <v>363</v>
      </c>
      <c r="J242" t="s">
        <v>109</v>
      </c>
      <c r="K242" t="s">
        <v>2</v>
      </c>
      <c r="L242" t="s">
        <v>23</v>
      </c>
      <c r="M242">
        <v>1263483</v>
      </c>
      <c r="N242">
        <v>11194307</v>
      </c>
      <c r="O242">
        <v>25537902.640000001</v>
      </c>
      <c r="P242" t="s">
        <v>372</v>
      </c>
    </row>
    <row r="243" spans="2:16" x14ac:dyDescent="0.25">
      <c r="B243">
        <f t="shared" si="3"/>
        <v>241</v>
      </c>
      <c r="C243">
        <v>30039079</v>
      </c>
      <c r="D243" t="s">
        <v>362</v>
      </c>
      <c r="E243" t="s">
        <v>2596</v>
      </c>
      <c r="F243" t="e">
        <f>VLOOKUP(JENNIFFER!$B243,#REF!,4,1)</f>
        <v>#REF!</v>
      </c>
      <c r="G243" t="str">
        <f>IF(JENNIFFER!$E243="",JENNIFFER!$F243,JENNIFFER!$E243)</f>
        <v>betaistina</v>
      </c>
      <c r="I243" t="s">
        <v>363</v>
      </c>
      <c r="J243" t="s">
        <v>109</v>
      </c>
      <c r="K243" t="s">
        <v>2</v>
      </c>
      <c r="L243" t="s">
        <v>23</v>
      </c>
      <c r="M243">
        <v>1750235</v>
      </c>
      <c r="N243">
        <v>20761182</v>
      </c>
      <c r="O243">
        <v>47369201.859999999</v>
      </c>
      <c r="P243" t="s">
        <v>372</v>
      </c>
    </row>
    <row r="244" spans="2:16" x14ac:dyDescent="0.25">
      <c r="B244">
        <f t="shared" si="3"/>
        <v>242</v>
      </c>
      <c r="C244">
        <v>30043929</v>
      </c>
      <c r="D244" t="s">
        <v>117</v>
      </c>
      <c r="E244" t="s">
        <v>2760</v>
      </c>
      <c r="F244" t="e">
        <f>VLOOKUP(JENNIFFER!$B244,#REF!,4,1)</f>
        <v>#REF!</v>
      </c>
      <c r="G244" t="str">
        <f>IF(JENNIFFER!$E244="",JENNIFFER!$F244,JENNIFFER!$E244)</f>
        <v>insulina glargina</v>
      </c>
      <c r="I244" t="s">
        <v>118</v>
      </c>
      <c r="J244" t="s">
        <v>28</v>
      </c>
      <c r="K244" t="s">
        <v>2</v>
      </c>
      <c r="L244" t="s">
        <v>23</v>
      </c>
      <c r="M244">
        <v>951627</v>
      </c>
      <c r="N244">
        <v>33226915</v>
      </c>
      <c r="O244">
        <v>75870903.200000003</v>
      </c>
      <c r="P244" t="s">
        <v>127</v>
      </c>
    </row>
    <row r="245" spans="2:16" x14ac:dyDescent="0.25">
      <c r="B245">
        <f t="shared" si="3"/>
        <v>243</v>
      </c>
      <c r="C245">
        <v>30049099</v>
      </c>
      <c r="D245" t="s">
        <v>199</v>
      </c>
      <c r="E245" t="s">
        <v>2504</v>
      </c>
      <c r="F245" t="e">
        <f>VLOOKUP(JENNIFFER!$B245,#REF!,4,1)</f>
        <v>#REF!</v>
      </c>
      <c r="G245" t="str">
        <f>IF(JENNIFFER!$E245="",JENNIFFER!$F245,JENNIFFER!$E245)</f>
        <v>levofloxacino</v>
      </c>
      <c r="I245" t="s">
        <v>195</v>
      </c>
      <c r="J245" t="s">
        <v>29</v>
      </c>
      <c r="K245" t="s">
        <v>2</v>
      </c>
      <c r="L245" t="s">
        <v>10</v>
      </c>
      <c r="M245">
        <v>481482</v>
      </c>
      <c r="N245">
        <v>9545894</v>
      </c>
      <c r="O245">
        <v>21725966.699999999</v>
      </c>
      <c r="P245" t="s">
        <v>203</v>
      </c>
    </row>
    <row r="246" spans="2:16" x14ac:dyDescent="0.25">
      <c r="B246">
        <f t="shared" si="3"/>
        <v>244</v>
      </c>
      <c r="C246">
        <v>30049099</v>
      </c>
      <c r="D246" t="s">
        <v>199</v>
      </c>
      <c r="E246" t="s">
        <v>2504</v>
      </c>
      <c r="F246" t="e">
        <f>VLOOKUP(JENNIFFER!$B246,#REF!,4,1)</f>
        <v>#REF!</v>
      </c>
      <c r="G246" t="str">
        <f>IF(JENNIFFER!$E246="",JENNIFFER!$F246,JENNIFFER!$E246)</f>
        <v>levofloxacino</v>
      </c>
      <c r="I246" t="s">
        <v>195</v>
      </c>
      <c r="J246" t="s">
        <v>198</v>
      </c>
      <c r="K246" t="s">
        <v>2</v>
      </c>
      <c r="L246" t="s">
        <v>10</v>
      </c>
      <c r="M246">
        <v>430229</v>
      </c>
      <c r="N246">
        <v>8571879</v>
      </c>
      <c r="O246">
        <v>19466187.390000001</v>
      </c>
      <c r="P246" t="s">
        <v>203</v>
      </c>
    </row>
    <row r="247" spans="2:16" x14ac:dyDescent="0.25">
      <c r="B247">
        <f t="shared" si="3"/>
        <v>245</v>
      </c>
      <c r="C247">
        <v>30043939</v>
      </c>
      <c r="D247" t="s">
        <v>135</v>
      </c>
      <c r="E247" t="s">
        <v>2503</v>
      </c>
      <c r="F247" t="e">
        <f>VLOOKUP(JENNIFFER!$B247,#REF!,4,1)</f>
        <v>#REF!</v>
      </c>
      <c r="G247" t="str">
        <f>IF(JENNIFFER!$E247="",JENNIFFER!$F247,JENNIFFER!$E247)</f>
        <v>tibolona</v>
      </c>
      <c r="I247" t="s">
        <v>129</v>
      </c>
      <c r="J247" t="s">
        <v>136</v>
      </c>
      <c r="K247" t="s">
        <v>2</v>
      </c>
      <c r="L247" t="s">
        <v>3</v>
      </c>
      <c r="M247">
        <v>380144</v>
      </c>
      <c r="N247">
        <v>4595959</v>
      </c>
      <c r="O247">
        <v>10494856.220000001</v>
      </c>
      <c r="P247" t="s">
        <v>146</v>
      </c>
    </row>
    <row r="248" spans="2:16" x14ac:dyDescent="0.25">
      <c r="B248">
        <f t="shared" si="3"/>
        <v>246</v>
      </c>
      <c r="C248">
        <v>30049043</v>
      </c>
      <c r="D248" t="s">
        <v>486</v>
      </c>
      <c r="E248" t="s">
        <v>2761</v>
      </c>
      <c r="F248" t="e">
        <f>VLOOKUP(JENNIFFER!$B248,#REF!,4,1)</f>
        <v>#REF!</v>
      </c>
      <c r="G248" t="str">
        <f>IF(JENNIFFER!$E248="",JENNIFFER!$F248,JENNIFFER!$E248)</f>
        <v>lidocaina+polimixina b</v>
      </c>
      <c r="I248" t="s">
        <v>476</v>
      </c>
      <c r="J248" t="s">
        <v>290</v>
      </c>
      <c r="K248" t="s">
        <v>2</v>
      </c>
      <c r="L248" t="s">
        <v>23</v>
      </c>
      <c r="M248">
        <v>317610</v>
      </c>
      <c r="N248">
        <v>1012774</v>
      </c>
      <c r="O248">
        <v>2315518.2999999998</v>
      </c>
      <c r="P248" t="s">
        <v>472</v>
      </c>
    </row>
    <row r="249" spans="2:16" x14ac:dyDescent="0.25">
      <c r="B249">
        <f t="shared" si="3"/>
        <v>247</v>
      </c>
      <c r="C249">
        <v>30079079</v>
      </c>
      <c r="D249" t="s">
        <v>343</v>
      </c>
      <c r="E249" t="s">
        <v>2757</v>
      </c>
      <c r="F249" t="e">
        <f>VLOOKUP(JENNIFFER!$B249,#REF!,4,1)</f>
        <v>#REF!</v>
      </c>
      <c r="G249" t="str">
        <f>IF(JENNIFFER!$E249="",JENNIFFER!$F249,JENNIFFER!$E249)</f>
        <v>loratadina</v>
      </c>
      <c r="I249" t="s">
        <v>340</v>
      </c>
      <c r="J249" t="s">
        <v>213</v>
      </c>
      <c r="K249" t="s">
        <v>4</v>
      </c>
      <c r="L249" t="s">
        <v>3</v>
      </c>
      <c r="M249">
        <v>1503708</v>
      </c>
      <c r="N249">
        <v>13048207</v>
      </c>
      <c r="O249">
        <v>29710959.469999999</v>
      </c>
      <c r="P249" t="s">
        <v>338</v>
      </c>
    </row>
    <row r="250" spans="2:16" x14ac:dyDescent="0.25">
      <c r="B250">
        <f t="shared" si="3"/>
        <v>248</v>
      </c>
      <c r="C250">
        <v>30049069</v>
      </c>
      <c r="D250" t="s">
        <v>322</v>
      </c>
      <c r="E250" t="s">
        <v>2762</v>
      </c>
      <c r="F250" t="e">
        <f>VLOOKUP(JENNIFFER!$B250,#REF!,4,1)</f>
        <v>#REF!</v>
      </c>
      <c r="G250" t="str">
        <f>IF(JENNIFFER!$E250="",JENNIFFER!$F250,JENNIFFER!$E250)</f>
        <v>losartana</v>
      </c>
      <c r="I250" t="s">
        <v>318</v>
      </c>
      <c r="J250" t="s">
        <v>52</v>
      </c>
      <c r="K250" t="s">
        <v>2</v>
      </c>
      <c r="L250" t="s">
        <v>10</v>
      </c>
      <c r="M250">
        <v>3824603</v>
      </c>
      <c r="N250">
        <v>39197160</v>
      </c>
      <c r="O250">
        <v>89240810.030000001</v>
      </c>
      <c r="P250" t="s">
        <v>323</v>
      </c>
    </row>
    <row r="251" spans="2:16" x14ac:dyDescent="0.25">
      <c r="B251">
        <f t="shared" si="3"/>
        <v>249</v>
      </c>
      <c r="C251">
        <v>30049069</v>
      </c>
      <c r="D251" t="s">
        <v>317</v>
      </c>
      <c r="E251" t="s">
        <v>2762</v>
      </c>
      <c r="F251" t="e">
        <f>VLOOKUP(JENNIFFER!$B251,#REF!,4,1)</f>
        <v>#REF!</v>
      </c>
      <c r="G251" t="str">
        <f>IF(JENNIFFER!$E251="",JENNIFFER!$F251,JENNIFFER!$E251)</f>
        <v>losartana</v>
      </c>
      <c r="I251" t="s">
        <v>318</v>
      </c>
      <c r="J251" t="s">
        <v>34</v>
      </c>
      <c r="K251" t="s">
        <v>2</v>
      </c>
      <c r="L251" t="s">
        <v>10</v>
      </c>
      <c r="M251">
        <v>17486987</v>
      </c>
      <c r="N251">
        <v>178996891</v>
      </c>
      <c r="O251">
        <v>408669801.89999998</v>
      </c>
      <c r="P251" t="s">
        <v>323</v>
      </c>
    </row>
    <row r="252" spans="2:16" x14ac:dyDescent="0.25">
      <c r="B252">
        <f t="shared" si="3"/>
        <v>250</v>
      </c>
      <c r="C252">
        <v>30049069</v>
      </c>
      <c r="D252" t="s">
        <v>317</v>
      </c>
      <c r="E252" t="s">
        <v>2762</v>
      </c>
      <c r="F252" t="e">
        <f>VLOOKUP(JENNIFFER!$B252,#REF!,4,1)</f>
        <v>#REF!</v>
      </c>
      <c r="G252" t="str">
        <f>IF(JENNIFFER!$E252="",JENNIFFER!$F252,JENNIFFER!$E252)</f>
        <v>losartana</v>
      </c>
      <c r="I252" t="s">
        <v>318</v>
      </c>
      <c r="J252" t="s">
        <v>29</v>
      </c>
      <c r="K252" t="s">
        <v>2</v>
      </c>
      <c r="L252" t="s">
        <v>10</v>
      </c>
      <c r="M252">
        <v>6680316</v>
      </c>
      <c r="N252">
        <v>68365392</v>
      </c>
      <c r="O252">
        <v>156003914.25999999</v>
      </c>
      <c r="P252" t="s">
        <v>323</v>
      </c>
    </row>
    <row r="253" spans="2:16" x14ac:dyDescent="0.25">
      <c r="B253">
        <f t="shared" si="3"/>
        <v>251</v>
      </c>
      <c r="C253">
        <v>30049069</v>
      </c>
      <c r="D253" t="s">
        <v>317</v>
      </c>
      <c r="E253" t="s">
        <v>2762</v>
      </c>
      <c r="F253" t="e">
        <f>VLOOKUP(JENNIFFER!$B253,#REF!,4,1)</f>
        <v>#REF!</v>
      </c>
      <c r="G253" t="str">
        <f>IF(JENNIFFER!$E253="",JENNIFFER!$F253,JENNIFFER!$E253)</f>
        <v>losartana</v>
      </c>
      <c r="I253" t="s">
        <v>318</v>
      </c>
      <c r="J253" t="s">
        <v>123</v>
      </c>
      <c r="K253" t="s">
        <v>2</v>
      </c>
      <c r="L253" t="s">
        <v>10</v>
      </c>
      <c r="M253">
        <v>6240296</v>
      </c>
      <c r="N253">
        <v>23123130</v>
      </c>
      <c r="O253">
        <v>52694030.770000003</v>
      </c>
      <c r="P253" t="s">
        <v>323</v>
      </c>
    </row>
    <row r="254" spans="2:16" x14ac:dyDescent="0.25">
      <c r="B254">
        <f t="shared" si="3"/>
        <v>252</v>
      </c>
      <c r="C254">
        <v>30049069</v>
      </c>
      <c r="D254" t="s">
        <v>317</v>
      </c>
      <c r="E254" t="s">
        <v>2762</v>
      </c>
      <c r="F254" t="e">
        <f>VLOOKUP(JENNIFFER!$B254,#REF!,4,1)</f>
        <v>#REF!</v>
      </c>
      <c r="G254" t="str">
        <f>IF(JENNIFFER!$E254="",JENNIFFER!$F254,JENNIFFER!$E254)</f>
        <v>losartana</v>
      </c>
      <c r="I254" t="s">
        <v>318</v>
      </c>
      <c r="J254" t="s">
        <v>64</v>
      </c>
      <c r="K254" t="s">
        <v>2</v>
      </c>
      <c r="L254" t="s">
        <v>10</v>
      </c>
      <c r="M254">
        <v>4581265</v>
      </c>
      <c r="N254">
        <v>20799883</v>
      </c>
      <c r="O254">
        <v>47403205.590000004</v>
      </c>
      <c r="P254" t="s">
        <v>323</v>
      </c>
    </row>
    <row r="255" spans="2:16" x14ac:dyDescent="0.25">
      <c r="B255">
        <f t="shared" si="3"/>
        <v>253</v>
      </c>
      <c r="C255">
        <v>30049069</v>
      </c>
      <c r="D255" t="s">
        <v>317</v>
      </c>
      <c r="E255" t="s">
        <v>2762</v>
      </c>
      <c r="F255" t="e">
        <f>VLOOKUP(JENNIFFER!$B255,#REF!,4,1)</f>
        <v>#REF!</v>
      </c>
      <c r="G255" t="str">
        <f>IF(JENNIFFER!$E255="",JENNIFFER!$F255,JENNIFFER!$E255)</f>
        <v>losartana</v>
      </c>
      <c r="I255" t="s">
        <v>318</v>
      </c>
      <c r="J255" t="s">
        <v>198</v>
      </c>
      <c r="K255" t="s">
        <v>2</v>
      </c>
      <c r="L255" t="s">
        <v>10</v>
      </c>
      <c r="M255">
        <v>3991245</v>
      </c>
      <c r="N255">
        <v>40757517</v>
      </c>
      <c r="O255">
        <v>93220169.310000002</v>
      </c>
      <c r="P255" t="s">
        <v>323</v>
      </c>
    </row>
    <row r="256" spans="2:16" x14ac:dyDescent="0.25">
      <c r="B256">
        <f t="shared" si="3"/>
        <v>254</v>
      </c>
      <c r="C256">
        <v>30049069</v>
      </c>
      <c r="D256" t="s">
        <v>317</v>
      </c>
      <c r="E256" t="s">
        <v>2762</v>
      </c>
      <c r="F256" t="e">
        <f>VLOOKUP(JENNIFFER!$B256,#REF!,4,1)</f>
        <v>#REF!</v>
      </c>
      <c r="G256" t="str">
        <f>IF(JENNIFFER!$E256="",JENNIFFER!$F256,JENNIFFER!$E256)</f>
        <v>losartana</v>
      </c>
      <c r="I256" t="s">
        <v>318</v>
      </c>
      <c r="J256" t="s">
        <v>1</v>
      </c>
      <c r="K256" t="s">
        <v>2</v>
      </c>
      <c r="L256" t="s">
        <v>10</v>
      </c>
      <c r="M256">
        <v>3411659</v>
      </c>
      <c r="N256">
        <v>30788997</v>
      </c>
      <c r="O256">
        <v>70181377.390000001</v>
      </c>
      <c r="P256" t="s">
        <v>323</v>
      </c>
    </row>
    <row r="257" spans="2:16" x14ac:dyDescent="0.25">
      <c r="B257">
        <f t="shared" si="3"/>
        <v>255</v>
      </c>
      <c r="C257">
        <v>30049079</v>
      </c>
      <c r="D257" t="s">
        <v>70</v>
      </c>
      <c r="E257" t="s">
        <v>2547</v>
      </c>
      <c r="F257" t="e">
        <f>VLOOKUP(JENNIFFER!$B257,#REF!,4,1)</f>
        <v>#REF!</v>
      </c>
      <c r="G257" t="str">
        <f>IF(JENNIFFER!$E257="",JENNIFFER!$F257,JENNIFFER!$E257)</f>
        <v>omeprazol</v>
      </c>
      <c r="I257" t="s">
        <v>67</v>
      </c>
      <c r="J257" t="s">
        <v>68</v>
      </c>
      <c r="K257" t="s">
        <v>2</v>
      </c>
      <c r="L257" t="s">
        <v>3</v>
      </c>
      <c r="M257">
        <v>3044856</v>
      </c>
      <c r="N257">
        <v>24010600</v>
      </c>
      <c r="O257">
        <v>54859663.890000001</v>
      </c>
      <c r="P257" t="s">
        <v>61</v>
      </c>
    </row>
    <row r="258" spans="2:16" x14ac:dyDescent="0.25">
      <c r="B258">
        <f t="shared" si="3"/>
        <v>256</v>
      </c>
      <c r="C258">
        <v>30049079</v>
      </c>
      <c r="D258" t="s">
        <v>66</v>
      </c>
      <c r="E258" t="s">
        <v>2547</v>
      </c>
      <c r="F258" t="e">
        <f>VLOOKUP(JENNIFFER!$B258,#REF!,4,1)</f>
        <v>#REF!</v>
      </c>
      <c r="G258" t="str">
        <f>IF(JENNIFFER!$E258="",JENNIFFER!$F258,JENNIFFER!$E258)</f>
        <v>omeprazol</v>
      </c>
      <c r="I258" t="s">
        <v>67</v>
      </c>
      <c r="J258" t="s">
        <v>68</v>
      </c>
      <c r="K258" t="s">
        <v>2</v>
      </c>
      <c r="L258" t="s">
        <v>3</v>
      </c>
      <c r="M258">
        <v>4049820</v>
      </c>
      <c r="N258">
        <v>57552678</v>
      </c>
      <c r="O258">
        <v>131485899.95</v>
      </c>
      <c r="P258" t="s">
        <v>61</v>
      </c>
    </row>
    <row r="259" spans="2:16" x14ac:dyDescent="0.25">
      <c r="B259">
        <f t="shared" si="3"/>
        <v>257</v>
      </c>
      <c r="C259">
        <v>30049099</v>
      </c>
      <c r="D259" t="s">
        <v>48</v>
      </c>
      <c r="E259" t="s">
        <v>2763</v>
      </c>
      <c r="F259" t="e">
        <f>VLOOKUP(JENNIFFER!$B259,#REF!,4,1)</f>
        <v>#REF!</v>
      </c>
      <c r="G259" t="str">
        <f>IF(JENNIFFER!$E259="",JENNIFFER!$F259,JENNIFFER!$E259)</f>
        <v>dimeticona</v>
      </c>
      <c r="I259" t="s">
        <v>49</v>
      </c>
      <c r="J259" t="s">
        <v>50</v>
      </c>
      <c r="K259" t="s">
        <v>4</v>
      </c>
      <c r="L259" t="s">
        <v>23</v>
      </c>
      <c r="M259">
        <v>4556765</v>
      </c>
      <c r="N259">
        <v>25309472</v>
      </c>
      <c r="O259">
        <v>57768187.609999999</v>
      </c>
      <c r="P259" t="s">
        <v>41</v>
      </c>
    </row>
    <row r="260" spans="2:16" x14ac:dyDescent="0.25">
      <c r="B260">
        <f t="shared" ref="B260:B323" si="4">+B259+1</f>
        <v>258</v>
      </c>
      <c r="C260">
        <v>30042079</v>
      </c>
      <c r="D260" t="s">
        <v>190</v>
      </c>
      <c r="E260" t="s">
        <v>2764</v>
      </c>
      <c r="F260" t="e">
        <f>VLOOKUP(JENNIFFER!$B260,#REF!,4,1)</f>
        <v>#REF!</v>
      </c>
      <c r="G260" t="str">
        <f>IF(JENNIFFER!$E260="",JENNIFFER!$F260,JENNIFFER!$E260)</f>
        <v>nitrofurantoína</v>
      </c>
      <c r="I260" t="s">
        <v>189</v>
      </c>
      <c r="J260" t="s">
        <v>153</v>
      </c>
      <c r="K260" t="s">
        <v>2</v>
      </c>
      <c r="L260" t="s">
        <v>23</v>
      </c>
      <c r="M260">
        <v>1573107</v>
      </c>
      <c r="N260">
        <v>4816821</v>
      </c>
      <c r="O260">
        <v>10999024.26</v>
      </c>
      <c r="P260" t="s">
        <v>203</v>
      </c>
    </row>
    <row r="261" spans="2:16" x14ac:dyDescent="0.25">
      <c r="B261">
        <f t="shared" si="4"/>
        <v>259</v>
      </c>
      <c r="C261">
        <v>30049067</v>
      </c>
      <c r="D261" t="s">
        <v>319</v>
      </c>
      <c r="E261" t="s">
        <v>2765</v>
      </c>
      <c r="F261" t="e">
        <f>VLOOKUP(JENNIFFER!$B261,#REF!,4,1)</f>
        <v>#REF!</v>
      </c>
      <c r="G261" t="str">
        <f>IF(JENNIFFER!$E261="",JENNIFFER!$F261,JENNIFFER!$E261)</f>
        <v xml:space="preserve">Maleato de Enalapril </v>
      </c>
      <c r="I261" t="s">
        <v>320</v>
      </c>
      <c r="J261" t="s">
        <v>34</v>
      </c>
      <c r="K261" t="s">
        <v>2</v>
      </c>
      <c r="L261" t="s">
        <v>10</v>
      </c>
      <c r="M261">
        <v>5234009</v>
      </c>
      <c r="N261">
        <v>42571965</v>
      </c>
      <c r="O261">
        <v>97232847.359999999</v>
      </c>
      <c r="P261" t="s">
        <v>323</v>
      </c>
    </row>
    <row r="262" spans="2:16" x14ac:dyDescent="0.25">
      <c r="B262">
        <f t="shared" si="4"/>
        <v>260</v>
      </c>
      <c r="C262">
        <v>30049067</v>
      </c>
      <c r="D262" t="s">
        <v>319</v>
      </c>
      <c r="E262" t="s">
        <v>2765</v>
      </c>
      <c r="F262" t="e">
        <f>VLOOKUP(JENNIFFER!$B262,#REF!,4,1)</f>
        <v>#REF!</v>
      </c>
      <c r="G262" t="str">
        <f>IF(JENNIFFER!$E262="",JENNIFFER!$F262,JENNIFFER!$E262)</f>
        <v xml:space="preserve">Maleato de Enalapril </v>
      </c>
      <c r="I262" t="s">
        <v>320</v>
      </c>
      <c r="J262" t="s">
        <v>64</v>
      </c>
      <c r="K262" t="s">
        <v>2</v>
      </c>
      <c r="L262" t="s">
        <v>10</v>
      </c>
      <c r="M262">
        <v>4248695</v>
      </c>
      <c r="N262">
        <v>23465440</v>
      </c>
      <c r="O262">
        <v>53543879.039999999</v>
      </c>
      <c r="P262" t="s">
        <v>323</v>
      </c>
    </row>
    <row r="263" spans="2:16" x14ac:dyDescent="0.25">
      <c r="B263">
        <f t="shared" si="4"/>
        <v>261</v>
      </c>
      <c r="C263">
        <v>30049079</v>
      </c>
      <c r="D263" t="s">
        <v>463</v>
      </c>
      <c r="E263" t="s">
        <v>2766</v>
      </c>
      <c r="F263" t="e">
        <f>VLOOKUP(JENNIFFER!$B263,#REF!,4,1)</f>
        <v>#REF!</v>
      </c>
      <c r="G263" t="str">
        <f>IF(JENNIFFER!$E263="",JENNIFFER!$F263,JENNIFFER!$E263)</f>
        <v>maleato de timolol</v>
      </c>
      <c r="I263" t="s">
        <v>462</v>
      </c>
      <c r="J263" t="s">
        <v>1</v>
      </c>
      <c r="K263" t="s">
        <v>2</v>
      </c>
      <c r="L263" t="s">
        <v>10</v>
      </c>
      <c r="M263">
        <v>793004</v>
      </c>
      <c r="N263">
        <v>1892368</v>
      </c>
      <c r="O263">
        <v>4321413.62</v>
      </c>
      <c r="P263" t="s">
        <v>471</v>
      </c>
    </row>
    <row r="264" spans="2:16" x14ac:dyDescent="0.25">
      <c r="B264">
        <f t="shared" si="4"/>
        <v>262</v>
      </c>
      <c r="C264">
        <v>30049079</v>
      </c>
      <c r="D264" t="s">
        <v>463</v>
      </c>
      <c r="E264" t="s">
        <v>2766</v>
      </c>
      <c r="F264" t="e">
        <f>VLOOKUP(JENNIFFER!$B264,#REF!,4,1)</f>
        <v>#REF!</v>
      </c>
      <c r="G264" t="str">
        <f>IF(JENNIFFER!$E264="",JENNIFFER!$F264,JENNIFFER!$E264)</f>
        <v>maleato de timolol</v>
      </c>
      <c r="I264" t="s">
        <v>462</v>
      </c>
      <c r="J264" t="s">
        <v>64</v>
      </c>
      <c r="K264" t="s">
        <v>2</v>
      </c>
      <c r="L264" t="s">
        <v>10</v>
      </c>
      <c r="M264">
        <v>497090</v>
      </c>
      <c r="N264">
        <v>1249060</v>
      </c>
      <c r="O264">
        <v>2851845.47</v>
      </c>
      <c r="P264" t="s">
        <v>471</v>
      </c>
    </row>
    <row r="265" spans="2:16" x14ac:dyDescent="0.25">
      <c r="B265">
        <f t="shared" si="4"/>
        <v>263</v>
      </c>
      <c r="C265">
        <v>30049079</v>
      </c>
      <c r="D265" t="s">
        <v>463</v>
      </c>
      <c r="E265" t="s">
        <v>2766</v>
      </c>
      <c r="F265" t="e">
        <f>VLOOKUP(JENNIFFER!$B265,#REF!,4,1)</f>
        <v>#REF!</v>
      </c>
      <c r="G265" t="str">
        <f>IF(JENNIFFER!$E265="",JENNIFFER!$F265,JENNIFFER!$E265)</f>
        <v>maleato de timolol</v>
      </c>
      <c r="I265" t="s">
        <v>462</v>
      </c>
      <c r="J265" t="s">
        <v>424</v>
      </c>
      <c r="K265" t="s">
        <v>2</v>
      </c>
      <c r="L265" t="s">
        <v>10</v>
      </c>
      <c r="M265">
        <v>446176</v>
      </c>
      <c r="N265">
        <v>1005591</v>
      </c>
      <c r="O265">
        <v>2297935.44</v>
      </c>
      <c r="P265" t="s">
        <v>471</v>
      </c>
    </row>
    <row r="266" spans="2:16" x14ac:dyDescent="0.25">
      <c r="B266">
        <f t="shared" si="4"/>
        <v>264</v>
      </c>
      <c r="C266">
        <v>30049079</v>
      </c>
      <c r="D266" t="s">
        <v>461</v>
      </c>
      <c r="E266" t="s">
        <v>2766</v>
      </c>
      <c r="F266" t="e">
        <f>VLOOKUP(JENNIFFER!$B266,#REF!,4,1)</f>
        <v>#REF!</v>
      </c>
      <c r="G266" t="str">
        <f>IF(JENNIFFER!$E266="",JENNIFFER!$F266,JENNIFFER!$E266)</f>
        <v>maleato de timolol</v>
      </c>
      <c r="I266" t="s">
        <v>462</v>
      </c>
      <c r="J266" t="s">
        <v>29</v>
      </c>
      <c r="K266" t="s">
        <v>2</v>
      </c>
      <c r="L266" t="s">
        <v>10</v>
      </c>
      <c r="M266">
        <v>1120971</v>
      </c>
      <c r="N266">
        <v>2794123</v>
      </c>
      <c r="O266">
        <v>6377148.2400000002</v>
      </c>
      <c r="P266" t="s">
        <v>471</v>
      </c>
    </row>
    <row r="267" spans="2:16" x14ac:dyDescent="0.25">
      <c r="B267">
        <f t="shared" si="4"/>
        <v>265</v>
      </c>
      <c r="C267">
        <v>30049079</v>
      </c>
      <c r="D267" t="s">
        <v>461</v>
      </c>
      <c r="E267" t="s">
        <v>2766</v>
      </c>
      <c r="F267" t="e">
        <f>VLOOKUP(JENNIFFER!$B267,#REF!,4,1)</f>
        <v>#REF!</v>
      </c>
      <c r="G267" t="str">
        <f>IF(JENNIFFER!$E267="",JENNIFFER!$F267,JENNIFFER!$E267)</f>
        <v>maleato de timolol</v>
      </c>
      <c r="I267" t="s">
        <v>462</v>
      </c>
      <c r="J267" t="s">
        <v>34</v>
      </c>
      <c r="K267" t="s">
        <v>2</v>
      </c>
      <c r="L267" t="s">
        <v>10</v>
      </c>
      <c r="M267">
        <v>502335</v>
      </c>
      <c r="N267">
        <v>1255886</v>
      </c>
      <c r="O267">
        <v>2865235.72</v>
      </c>
      <c r="P267" t="s">
        <v>471</v>
      </c>
    </row>
    <row r="268" spans="2:16" x14ac:dyDescent="0.25">
      <c r="B268">
        <f t="shared" si="4"/>
        <v>266</v>
      </c>
      <c r="C268">
        <v>30049099</v>
      </c>
      <c r="D268" t="s">
        <v>306</v>
      </c>
      <c r="E268" t="s">
        <v>2767</v>
      </c>
      <c r="F268" t="e">
        <f>VLOOKUP(JENNIFFER!$B268,#REF!,4,1)</f>
        <v>#REF!</v>
      </c>
      <c r="G268" t="str">
        <f>IF(JENNIFFER!$E268="",JENNIFFER!$F268,JENNIFFER!$E268)</f>
        <v>amantadina</v>
      </c>
      <c r="I268" t="s">
        <v>305</v>
      </c>
      <c r="J268" t="s">
        <v>307</v>
      </c>
      <c r="K268" t="s">
        <v>2</v>
      </c>
      <c r="L268" t="s">
        <v>3</v>
      </c>
      <c r="M268">
        <v>743974</v>
      </c>
      <c r="N268">
        <v>3428345</v>
      </c>
      <c r="O268">
        <v>7825831.75</v>
      </c>
      <c r="P268" t="s">
        <v>316</v>
      </c>
    </row>
    <row r="269" spans="2:16" x14ac:dyDescent="0.25">
      <c r="B269">
        <f t="shared" si="4"/>
        <v>267</v>
      </c>
      <c r="C269">
        <v>30049099</v>
      </c>
      <c r="D269" t="s">
        <v>377</v>
      </c>
      <c r="E269" t="s">
        <v>2521</v>
      </c>
      <c r="F269" t="e">
        <f>VLOOKUP(JENNIFFER!$B269,#REF!,4,1)</f>
        <v>#REF!</v>
      </c>
      <c r="G269" t="str">
        <f>IF(JENNIFFER!$E269="",JENNIFFER!$F269,JENNIFFER!$E269)</f>
        <v>canfora+mentol+salicilato metila</v>
      </c>
      <c r="I269" t="s">
        <v>374</v>
      </c>
      <c r="J269" t="s">
        <v>34</v>
      </c>
      <c r="K269" t="s">
        <v>4</v>
      </c>
      <c r="L269" t="s">
        <v>3</v>
      </c>
      <c r="M269">
        <v>2289882</v>
      </c>
      <c r="N269">
        <v>22759391</v>
      </c>
      <c r="O269">
        <v>51941398.119999997</v>
      </c>
      <c r="P269" t="s">
        <v>383</v>
      </c>
    </row>
    <row r="270" spans="2:16" x14ac:dyDescent="0.25">
      <c r="B270">
        <f t="shared" si="4"/>
        <v>268</v>
      </c>
      <c r="C270">
        <v>30049069</v>
      </c>
      <c r="D270" t="s">
        <v>150</v>
      </c>
      <c r="F270" t="e">
        <f>VLOOKUP(JENNIFFER!$B270,#REF!,4,1)</f>
        <v>#REF!</v>
      </c>
      <c r="G270" t="e">
        <f>IF(JENNIFFER!$E270="",JENNIFFER!$F270,JENNIFFER!$E270)</f>
        <v>#REF!</v>
      </c>
      <c r="I270" t="s">
        <v>7</v>
      </c>
      <c r="J270" t="s">
        <v>151</v>
      </c>
      <c r="K270" t="s">
        <v>4</v>
      </c>
      <c r="L270" t="s">
        <v>3</v>
      </c>
      <c r="M270">
        <v>4819671</v>
      </c>
      <c r="N270">
        <v>6081977</v>
      </c>
      <c r="O270">
        <v>13823748.720000001</v>
      </c>
      <c r="P270" t="s">
        <v>5</v>
      </c>
    </row>
    <row r="271" spans="2:16" x14ac:dyDescent="0.25">
      <c r="B271">
        <f t="shared" si="4"/>
        <v>269</v>
      </c>
      <c r="C271">
        <v>30049069</v>
      </c>
      <c r="D271" t="s">
        <v>150</v>
      </c>
      <c r="F271" t="e">
        <f>VLOOKUP(JENNIFFER!$B271,#REF!,4,1)</f>
        <v>#REF!</v>
      </c>
      <c r="G271" t="e">
        <f>IF(JENNIFFER!$E271="",JENNIFFER!$F271,JENNIFFER!$E271)</f>
        <v>#REF!</v>
      </c>
      <c r="I271" t="s">
        <v>7</v>
      </c>
      <c r="J271" t="s">
        <v>151</v>
      </c>
      <c r="K271" t="s">
        <v>4</v>
      </c>
      <c r="L271" t="s">
        <v>3</v>
      </c>
      <c r="M271">
        <v>4819671</v>
      </c>
      <c r="N271">
        <v>6081977</v>
      </c>
      <c r="O271">
        <v>13823748.720000001</v>
      </c>
      <c r="P271" t="s">
        <v>333</v>
      </c>
    </row>
    <row r="272" spans="2:16" x14ac:dyDescent="0.25">
      <c r="B272">
        <f t="shared" si="4"/>
        <v>270</v>
      </c>
      <c r="C272">
        <v>30049069</v>
      </c>
      <c r="D272" t="s">
        <v>150</v>
      </c>
      <c r="F272" t="e">
        <f>VLOOKUP(JENNIFFER!$B272,#REF!,4,1)</f>
        <v>#REF!</v>
      </c>
      <c r="G272" t="e">
        <f>IF(JENNIFFER!$E272="",JENNIFFER!$F272,JENNIFFER!$E272)</f>
        <v>#REF!</v>
      </c>
      <c r="I272" t="s">
        <v>7</v>
      </c>
      <c r="J272" t="s">
        <v>151</v>
      </c>
      <c r="K272" t="s">
        <v>4</v>
      </c>
      <c r="L272" t="s">
        <v>3</v>
      </c>
      <c r="M272">
        <v>4819671</v>
      </c>
      <c r="N272">
        <v>6081977</v>
      </c>
      <c r="O272">
        <v>13823748.720000001</v>
      </c>
      <c r="P272" t="s">
        <v>594</v>
      </c>
    </row>
    <row r="273" spans="2:16" x14ac:dyDescent="0.25">
      <c r="B273">
        <f t="shared" si="4"/>
        <v>271</v>
      </c>
      <c r="C273">
        <v>30043210</v>
      </c>
      <c r="D273" t="s">
        <v>518</v>
      </c>
      <c r="E273" t="s">
        <v>2584</v>
      </c>
      <c r="F273" t="e">
        <f>VLOOKUP(JENNIFFER!$B273,#REF!,4,1)</f>
        <v>#REF!</v>
      </c>
      <c r="G273" t="str">
        <f>IF(JENNIFFER!$E273="",JENNIFFER!$F273,JENNIFFER!$E273)</f>
        <v>dexametasona</v>
      </c>
      <c r="I273" t="s">
        <v>519</v>
      </c>
      <c r="J273" t="s">
        <v>466</v>
      </c>
      <c r="K273" t="s">
        <v>2</v>
      </c>
      <c r="L273" t="s">
        <v>23</v>
      </c>
      <c r="M273">
        <v>1381370</v>
      </c>
      <c r="N273">
        <v>2896739</v>
      </c>
      <c r="O273">
        <v>6614474.4500000002</v>
      </c>
      <c r="P273" t="s">
        <v>525</v>
      </c>
    </row>
    <row r="274" spans="2:16" x14ac:dyDescent="0.25">
      <c r="B274">
        <f t="shared" si="4"/>
        <v>272</v>
      </c>
      <c r="C274">
        <v>30049099</v>
      </c>
      <c r="D274" t="s">
        <v>520</v>
      </c>
      <c r="E274" t="s">
        <v>2768</v>
      </c>
      <c r="F274" t="e">
        <f>VLOOKUP(JENNIFFER!$B274,#REF!,4,1)</f>
        <v>#REF!</v>
      </c>
      <c r="G274" t="str">
        <f>IF(JENNIFFER!$E274="",JENNIFFER!$F274,JENNIFFER!$E274)</f>
        <v>dexametasona+neomicina+polimixina b</v>
      </c>
      <c r="I274" t="s">
        <v>521</v>
      </c>
      <c r="J274" t="s">
        <v>466</v>
      </c>
      <c r="K274" t="s">
        <v>2</v>
      </c>
      <c r="L274" t="s">
        <v>23</v>
      </c>
      <c r="M274">
        <v>955071</v>
      </c>
      <c r="N274">
        <v>4143618</v>
      </c>
      <c r="O274">
        <v>9459753.4499999993</v>
      </c>
      <c r="P274" t="s">
        <v>525</v>
      </c>
    </row>
    <row r="275" spans="2:16" x14ac:dyDescent="0.25">
      <c r="B275">
        <f t="shared" si="4"/>
        <v>273</v>
      </c>
      <c r="C275">
        <v>30039079</v>
      </c>
      <c r="D275" t="s">
        <v>553</v>
      </c>
      <c r="E275" t="s">
        <v>2769</v>
      </c>
      <c r="F275" t="e">
        <f>VLOOKUP(JENNIFFER!$B275,#REF!,4,1)</f>
        <v>#REF!</v>
      </c>
      <c r="G275" t="str">
        <f>IF(JENNIFFER!$E275="",JENNIFFER!$F275,JENNIFFER!$E275)</f>
        <v>meclizina</v>
      </c>
      <c r="I275" t="s">
        <v>91</v>
      </c>
      <c r="J275" t="s">
        <v>109</v>
      </c>
      <c r="K275" t="s">
        <v>2</v>
      </c>
      <c r="L275" t="s">
        <v>23</v>
      </c>
      <c r="M275">
        <v>1308560</v>
      </c>
      <c r="N275">
        <v>7316368</v>
      </c>
      <c r="O275">
        <v>16709722.789999999</v>
      </c>
      <c r="P275" t="s">
        <v>554</v>
      </c>
    </row>
    <row r="276" spans="2:16" x14ac:dyDescent="0.25">
      <c r="B276">
        <f t="shared" si="4"/>
        <v>274</v>
      </c>
      <c r="C276">
        <v>17049020</v>
      </c>
      <c r="D276" t="s">
        <v>292</v>
      </c>
      <c r="E276" t="s">
        <v>2738</v>
      </c>
      <c r="F276" t="e">
        <f>VLOOKUP(JENNIFFER!$B276,#REF!,4,1)</f>
        <v>#REF!</v>
      </c>
      <c r="G276" t="str">
        <f>IF(JENNIFFER!$E276="",JENNIFFER!$F276,JENNIFFER!$E276)</f>
        <v>alcoolat de geng+ext fluido prop+ac citr+ment</v>
      </c>
      <c r="I276" t="s">
        <v>288</v>
      </c>
      <c r="J276" t="s">
        <v>293</v>
      </c>
      <c r="K276" t="s">
        <v>4</v>
      </c>
      <c r="L276" t="s">
        <v>3</v>
      </c>
      <c r="M276">
        <v>1523348</v>
      </c>
      <c r="N276">
        <v>9509475</v>
      </c>
      <c r="O276">
        <v>21525061.190000001</v>
      </c>
      <c r="P276" t="s">
        <v>286</v>
      </c>
    </row>
    <row r="277" spans="2:16" x14ac:dyDescent="0.25">
      <c r="B277">
        <f t="shared" si="4"/>
        <v>275</v>
      </c>
      <c r="C277">
        <v>30049047</v>
      </c>
      <c r="D277" t="s">
        <v>381</v>
      </c>
      <c r="E277" t="s">
        <v>2770</v>
      </c>
      <c r="F277" t="e">
        <f>VLOOKUP(JENNIFFER!$B277,#REF!,4,1)</f>
        <v>#REF!</v>
      </c>
      <c r="G277" t="str">
        <f>IF(JENNIFFER!$E277="",JENNIFFER!$F277,JENNIFFER!$E277)</f>
        <v>digluconato de clorexidina</v>
      </c>
      <c r="I277" t="s">
        <v>382</v>
      </c>
      <c r="J277" t="s">
        <v>26</v>
      </c>
      <c r="K277" t="s">
        <v>4</v>
      </c>
      <c r="L277" t="s">
        <v>23</v>
      </c>
      <c r="M277">
        <v>2766147</v>
      </c>
      <c r="N277">
        <v>10237150</v>
      </c>
      <c r="O277">
        <v>23407787.18</v>
      </c>
      <c r="P277" t="s">
        <v>383</v>
      </c>
    </row>
    <row r="278" spans="2:16" x14ac:dyDescent="0.25">
      <c r="B278">
        <f t="shared" si="4"/>
        <v>276</v>
      </c>
      <c r="C278">
        <v>30049099</v>
      </c>
      <c r="D278" t="s">
        <v>110</v>
      </c>
      <c r="E278" t="s">
        <v>2771</v>
      </c>
      <c r="F278" t="e">
        <f>VLOOKUP(JENNIFFER!$B278,#REF!,4,1)</f>
        <v>#REF!</v>
      </c>
      <c r="G278" t="str">
        <f>IF(JENNIFFER!$E278="",JENNIFFER!$F278,JENNIFFER!$E278)</f>
        <v>mesalazina</v>
      </c>
      <c r="I278" t="s">
        <v>108</v>
      </c>
      <c r="J278" t="s">
        <v>29</v>
      </c>
      <c r="K278" t="s">
        <v>2</v>
      </c>
      <c r="L278" t="s">
        <v>10</v>
      </c>
      <c r="M278">
        <v>150741</v>
      </c>
      <c r="N278">
        <v>4492505</v>
      </c>
      <c r="O278">
        <v>10256591.24</v>
      </c>
      <c r="P278" t="s">
        <v>111</v>
      </c>
    </row>
    <row r="279" spans="2:16" x14ac:dyDescent="0.25">
      <c r="B279">
        <f t="shared" si="4"/>
        <v>277</v>
      </c>
      <c r="C279">
        <v>30043990</v>
      </c>
      <c r="D279" t="s">
        <v>130</v>
      </c>
      <c r="E279" t="s">
        <v>2772</v>
      </c>
      <c r="F279" t="e">
        <f>VLOOKUP(JENNIFFER!$B279,#REF!,4,1)</f>
        <v>#REF!</v>
      </c>
      <c r="G279" t="str">
        <f>IF(JENNIFFER!$E279="",JENNIFFER!$F279,JENNIFFER!$E279)</f>
        <v>calcitonina de salmao</v>
      </c>
      <c r="I279" t="s">
        <v>131</v>
      </c>
      <c r="J279" t="s">
        <v>132</v>
      </c>
      <c r="K279" t="s">
        <v>2</v>
      </c>
      <c r="L279" t="s">
        <v>3</v>
      </c>
      <c r="M279">
        <v>8740</v>
      </c>
      <c r="N279">
        <v>585701</v>
      </c>
      <c r="O279">
        <v>1336583.83</v>
      </c>
      <c r="P279" t="s">
        <v>146</v>
      </c>
    </row>
    <row r="280" spans="2:16" x14ac:dyDescent="0.25">
      <c r="B280">
        <f t="shared" si="4"/>
        <v>278</v>
      </c>
      <c r="C280">
        <v>30066000</v>
      </c>
      <c r="D280" t="s">
        <v>399</v>
      </c>
      <c r="E280" t="s">
        <v>2496</v>
      </c>
      <c r="F280" t="e">
        <f>VLOOKUP(JENNIFFER!$B280,#REF!,4,1)</f>
        <v>#REF!</v>
      </c>
      <c r="G280" t="str">
        <f>IF(JENNIFFER!$E280="",JENNIFFER!$F280,JENNIFFER!$E280)</f>
        <v>etinilestradiol+levonorgestrel</v>
      </c>
      <c r="I280" t="s">
        <v>398</v>
      </c>
      <c r="J280" t="s">
        <v>400</v>
      </c>
      <c r="K280" t="s">
        <v>2</v>
      </c>
      <c r="L280" t="s">
        <v>23</v>
      </c>
      <c r="M280">
        <v>16968361</v>
      </c>
      <c r="N280">
        <v>32961291</v>
      </c>
      <c r="O280">
        <v>75301813.430000007</v>
      </c>
      <c r="P280" t="s">
        <v>413</v>
      </c>
    </row>
    <row r="281" spans="2:16" x14ac:dyDescent="0.25">
      <c r="B281">
        <f t="shared" si="4"/>
        <v>279</v>
      </c>
      <c r="C281">
        <v>30043999</v>
      </c>
      <c r="D281" t="s">
        <v>598</v>
      </c>
      <c r="E281" t="s">
        <v>2773</v>
      </c>
      <c r="F281" t="e">
        <f>VLOOKUP(JENNIFFER!$B281,#REF!,4,1)</f>
        <v>#REF!</v>
      </c>
      <c r="G281" t="str">
        <f>IF(JENNIFFER!$E281="",JENNIFFER!$F281,JENNIFFER!$E281)</f>
        <v>beclometasona</v>
      </c>
      <c r="I281" t="s">
        <v>531</v>
      </c>
      <c r="J281" t="s">
        <v>132</v>
      </c>
      <c r="K281" t="s">
        <v>2</v>
      </c>
      <c r="L281" t="s">
        <v>3</v>
      </c>
      <c r="M281">
        <v>173220</v>
      </c>
      <c r="N281">
        <v>1268816</v>
      </c>
      <c r="O281">
        <v>2893518.7</v>
      </c>
      <c r="P281" t="s">
        <v>533</v>
      </c>
    </row>
    <row r="282" spans="2:16" x14ac:dyDescent="0.25">
      <c r="B282">
        <f t="shared" si="4"/>
        <v>280</v>
      </c>
      <c r="C282">
        <v>30049099</v>
      </c>
      <c r="D282" t="s">
        <v>168</v>
      </c>
      <c r="E282" t="s">
        <v>2774</v>
      </c>
      <c r="F282" t="e">
        <f>VLOOKUP(JENNIFFER!$B282,#REF!,4,1)</f>
        <v>#REF!</v>
      </c>
      <c r="G282" t="str">
        <f>IF(JENNIFFER!$E282="",JENNIFFER!$F282,JENNIFFER!$E282)</f>
        <v>carisoprodol+fenilbutazona+paracetamol</v>
      </c>
      <c r="I282" t="s">
        <v>160</v>
      </c>
      <c r="J282" t="s">
        <v>169</v>
      </c>
      <c r="K282" t="s">
        <v>2</v>
      </c>
      <c r="L282" t="s">
        <v>3</v>
      </c>
      <c r="M282">
        <v>2617546</v>
      </c>
      <c r="N282">
        <v>12827853</v>
      </c>
      <c r="O282">
        <v>29283757.41</v>
      </c>
      <c r="P282" t="s">
        <v>171</v>
      </c>
    </row>
    <row r="283" spans="2:16" x14ac:dyDescent="0.25">
      <c r="B283">
        <f t="shared" si="4"/>
        <v>281</v>
      </c>
      <c r="C283">
        <v>30049059</v>
      </c>
      <c r="D283" t="s">
        <v>503</v>
      </c>
      <c r="E283" t="s">
        <v>2509</v>
      </c>
      <c r="F283" t="e">
        <f>VLOOKUP(JENNIFFER!$B283,#REF!,4,1)</f>
        <v>#REF!</v>
      </c>
      <c r="G283" t="str">
        <f>IF(JENNIFFER!$E283="",JENNIFFER!$F283,JENNIFFER!$E283)</f>
        <v>isossorbida</v>
      </c>
      <c r="I283" t="s">
        <v>501</v>
      </c>
      <c r="J283" t="s">
        <v>1</v>
      </c>
      <c r="K283" t="s">
        <v>2</v>
      </c>
      <c r="L283" t="s">
        <v>10</v>
      </c>
      <c r="M283">
        <v>1319615</v>
      </c>
      <c r="N283">
        <v>3293617</v>
      </c>
      <c r="O283">
        <v>7518886.75</v>
      </c>
      <c r="P283" t="s">
        <v>499</v>
      </c>
    </row>
    <row r="284" spans="2:16" x14ac:dyDescent="0.25">
      <c r="B284">
        <f t="shared" si="4"/>
        <v>282</v>
      </c>
      <c r="C284">
        <v>30049059</v>
      </c>
      <c r="D284" t="s">
        <v>512</v>
      </c>
      <c r="E284" t="s">
        <v>2509</v>
      </c>
      <c r="F284" t="e">
        <f>VLOOKUP(JENNIFFER!$B284,#REF!,4,1)</f>
        <v>#REF!</v>
      </c>
      <c r="G284" t="str">
        <f>IF(JENNIFFER!$E284="",JENNIFFER!$F284,JENNIFFER!$E284)</f>
        <v>isossorbida</v>
      </c>
      <c r="I284" t="s">
        <v>501</v>
      </c>
      <c r="J284" t="s">
        <v>1</v>
      </c>
      <c r="K284" t="s">
        <v>2</v>
      </c>
      <c r="L284" t="s">
        <v>10</v>
      </c>
      <c r="M284">
        <v>223459</v>
      </c>
      <c r="N284">
        <v>1089760</v>
      </c>
      <c r="O284">
        <v>2486971.7400000002</v>
      </c>
      <c r="P284" t="s">
        <v>499</v>
      </c>
    </row>
    <row r="285" spans="2:16" x14ac:dyDescent="0.25">
      <c r="B285">
        <f t="shared" si="4"/>
        <v>283</v>
      </c>
      <c r="C285">
        <v>30049059</v>
      </c>
      <c r="D285" t="s">
        <v>502</v>
      </c>
      <c r="E285" t="s">
        <v>2509</v>
      </c>
      <c r="F285" t="e">
        <f>VLOOKUP(JENNIFFER!$B285,#REF!,4,1)</f>
        <v>#REF!</v>
      </c>
      <c r="G285" t="str">
        <f>IF(JENNIFFER!$E285="",JENNIFFER!$F285,JENNIFFER!$E285)</f>
        <v>isossorbida</v>
      </c>
      <c r="I285" t="s">
        <v>501</v>
      </c>
      <c r="J285" t="s">
        <v>264</v>
      </c>
      <c r="K285" t="s">
        <v>2</v>
      </c>
      <c r="L285" t="s">
        <v>23</v>
      </c>
      <c r="M285">
        <v>1679529</v>
      </c>
      <c r="N285">
        <v>5987171</v>
      </c>
      <c r="O285">
        <v>13662154.57</v>
      </c>
      <c r="P285" t="s">
        <v>499</v>
      </c>
    </row>
    <row r="286" spans="2:16" x14ac:dyDescent="0.25">
      <c r="B286">
        <f t="shared" si="4"/>
        <v>284</v>
      </c>
      <c r="C286">
        <v>30049079</v>
      </c>
      <c r="D286" t="s">
        <v>602</v>
      </c>
      <c r="E286" t="s">
        <v>2775</v>
      </c>
      <c r="F286" t="e">
        <f>VLOOKUP(JENNIFFER!$B286,#REF!,4,1)</f>
        <v>#REF!</v>
      </c>
      <c r="G286" t="str">
        <f>IF(JENNIFFER!$E286="",JENNIFFER!$F286,JENNIFFER!$E286)</f>
        <v>montelucaste de sodio</v>
      </c>
      <c r="I286" t="s">
        <v>603</v>
      </c>
      <c r="J286" t="s">
        <v>1</v>
      </c>
      <c r="K286" t="s">
        <v>2</v>
      </c>
      <c r="L286" t="s">
        <v>3</v>
      </c>
      <c r="M286">
        <v>378988</v>
      </c>
      <c r="N286">
        <v>6113130</v>
      </c>
      <c r="O286">
        <v>13923759.24</v>
      </c>
      <c r="P286" t="s">
        <v>533</v>
      </c>
    </row>
    <row r="287" spans="2:16" x14ac:dyDescent="0.25">
      <c r="B287">
        <f t="shared" si="4"/>
        <v>285</v>
      </c>
      <c r="C287">
        <v>30049079</v>
      </c>
      <c r="D287" t="s">
        <v>604</v>
      </c>
      <c r="E287" t="s">
        <v>2775</v>
      </c>
      <c r="F287" t="e">
        <f>VLOOKUP(JENNIFFER!$B287,#REF!,4,1)</f>
        <v>#REF!</v>
      </c>
      <c r="G287" t="str">
        <f>IF(JENNIFFER!$E287="",JENNIFFER!$F287,JENNIFFER!$E287)</f>
        <v>montelucaste de sodio</v>
      </c>
      <c r="I287" t="s">
        <v>603</v>
      </c>
      <c r="J287" t="s">
        <v>1</v>
      </c>
      <c r="K287" t="s">
        <v>2</v>
      </c>
      <c r="L287" t="s">
        <v>3</v>
      </c>
      <c r="M287">
        <v>365433</v>
      </c>
      <c r="N287">
        <v>5918030</v>
      </c>
      <c r="O287">
        <v>13464861.710000001</v>
      </c>
      <c r="P287" t="s">
        <v>533</v>
      </c>
    </row>
    <row r="288" spans="2:16" x14ac:dyDescent="0.25">
      <c r="B288">
        <f t="shared" si="4"/>
        <v>286</v>
      </c>
      <c r="C288">
        <v>30049069</v>
      </c>
      <c r="D288" t="s">
        <v>81</v>
      </c>
      <c r="E288" s="7" t="s">
        <v>2609</v>
      </c>
      <c r="F288" t="e">
        <f>VLOOKUP(JENNIFFER!$B288,#REF!,4,1)</f>
        <v>#REF!</v>
      </c>
      <c r="G288" t="str">
        <f>IF(JENNIFFER!$E288="",JENNIFFER!$F288,JENNIFFER!$E288)</f>
        <v>domperidona</v>
      </c>
      <c r="I288" t="s">
        <v>78</v>
      </c>
      <c r="J288" t="s">
        <v>82</v>
      </c>
      <c r="K288" t="s">
        <v>2</v>
      </c>
      <c r="L288" t="s">
        <v>23</v>
      </c>
      <c r="M288">
        <v>843694</v>
      </c>
      <c r="N288">
        <v>5197778</v>
      </c>
      <c r="O288">
        <v>11851712.67</v>
      </c>
      <c r="P288" t="s">
        <v>76</v>
      </c>
    </row>
    <row r="289" spans="2:16" x14ac:dyDescent="0.25">
      <c r="B289">
        <f t="shared" si="4"/>
        <v>287</v>
      </c>
      <c r="C289">
        <v>30049099</v>
      </c>
      <c r="D289" t="s">
        <v>211</v>
      </c>
      <c r="E289" s="7" t="s">
        <v>2447</v>
      </c>
      <c r="F289" t="e">
        <f>VLOOKUP(JENNIFFER!$B289,#REF!,4,1)</f>
        <v>#REF!</v>
      </c>
      <c r="G289" t="str">
        <f>IF(JENNIFFER!$E289="",JENNIFFER!$F289,JENNIFFER!$E289)</f>
        <v>cloridrato de fenilefrina</v>
      </c>
      <c r="I289" t="s">
        <v>0</v>
      </c>
      <c r="J289" t="s">
        <v>68</v>
      </c>
      <c r="K289" t="s">
        <v>4</v>
      </c>
      <c r="L289" t="s">
        <v>3</v>
      </c>
      <c r="M289">
        <v>5593867</v>
      </c>
      <c r="N289">
        <v>33598289</v>
      </c>
      <c r="O289">
        <v>76401776.450000003</v>
      </c>
      <c r="P289" t="s">
        <v>227</v>
      </c>
    </row>
    <row r="290" spans="2:16" x14ac:dyDescent="0.25">
      <c r="B290">
        <f t="shared" si="4"/>
        <v>288</v>
      </c>
      <c r="C290">
        <v>30049099</v>
      </c>
      <c r="D290" t="s">
        <v>211</v>
      </c>
      <c r="E290" s="7" t="s">
        <v>2447</v>
      </c>
      <c r="F290" t="e">
        <f>VLOOKUP(JENNIFFER!$B290,#REF!,4,1)</f>
        <v>#REF!</v>
      </c>
      <c r="G290" t="str">
        <f>IF(JENNIFFER!$E290="",JENNIFFER!$F290,JENNIFFER!$E290)</f>
        <v>cloridrato de fenilefrina</v>
      </c>
      <c r="I290" t="s">
        <v>0</v>
      </c>
      <c r="J290" t="s">
        <v>68</v>
      </c>
      <c r="K290" t="s">
        <v>4</v>
      </c>
      <c r="L290" t="s">
        <v>3</v>
      </c>
      <c r="M290">
        <v>5593867</v>
      </c>
      <c r="N290">
        <v>33598289</v>
      </c>
      <c r="O290">
        <v>76401776.450000003</v>
      </c>
      <c r="P290" t="s">
        <v>611</v>
      </c>
    </row>
    <row r="291" spans="2:16" x14ac:dyDescent="0.25">
      <c r="B291">
        <f t="shared" si="4"/>
        <v>289</v>
      </c>
      <c r="C291">
        <v>30049099</v>
      </c>
      <c r="D291" t="s">
        <v>56</v>
      </c>
      <c r="E291" t="s">
        <v>2735</v>
      </c>
      <c r="F291" t="e">
        <f>VLOOKUP(JENNIFFER!$B291,#REF!,4,1)</f>
        <v>#REF!</v>
      </c>
      <c r="G291" t="str">
        <f>IF(JENNIFFER!$E291="",JENNIFFER!$F291,JENNIFFER!$E291)</f>
        <v>hidroxido aluminio+associacoes</v>
      </c>
      <c r="I291" t="s">
        <v>54</v>
      </c>
      <c r="J291" t="s">
        <v>55</v>
      </c>
      <c r="K291" t="s">
        <v>4</v>
      </c>
      <c r="L291" t="s">
        <v>3</v>
      </c>
      <c r="M291">
        <v>493396</v>
      </c>
      <c r="N291">
        <v>3708418</v>
      </c>
      <c r="O291">
        <v>8463226.25</v>
      </c>
      <c r="P291" t="s">
        <v>41</v>
      </c>
    </row>
    <row r="292" spans="2:16" x14ac:dyDescent="0.25">
      <c r="B292">
        <f t="shared" si="4"/>
        <v>290</v>
      </c>
      <c r="C292">
        <v>30049099</v>
      </c>
      <c r="D292" t="s">
        <v>53</v>
      </c>
      <c r="E292" t="s">
        <v>2735</v>
      </c>
      <c r="F292" t="e">
        <f>VLOOKUP(JENNIFFER!$B292,#REF!,4,1)</f>
        <v>#REF!</v>
      </c>
      <c r="G292" t="str">
        <f>IF(JENNIFFER!$E292="",JENNIFFER!$F292,JENNIFFER!$E292)</f>
        <v>hidroxido aluminio+associacoes</v>
      </c>
      <c r="I292" t="s">
        <v>54</v>
      </c>
      <c r="J292" t="s">
        <v>55</v>
      </c>
      <c r="K292" t="s">
        <v>4</v>
      </c>
      <c r="L292" t="s">
        <v>3</v>
      </c>
      <c r="M292">
        <v>507829</v>
      </c>
      <c r="N292">
        <v>3818146</v>
      </c>
      <c r="O292">
        <v>8710832.7799999993</v>
      </c>
      <c r="P292" t="s">
        <v>41</v>
      </c>
    </row>
    <row r="293" spans="2:16" x14ac:dyDescent="0.25">
      <c r="B293">
        <f t="shared" si="4"/>
        <v>291</v>
      </c>
      <c r="C293">
        <v>30049079</v>
      </c>
      <c r="D293" t="s">
        <v>326</v>
      </c>
      <c r="E293" t="s">
        <v>2776</v>
      </c>
      <c r="F293" t="e">
        <f>VLOOKUP(JENNIFFER!$B293,#REF!,4,1)</f>
        <v>#REF!</v>
      </c>
      <c r="G293" t="str">
        <f>IF(JENNIFFER!$E293="",JENNIFFER!$F293,JENNIFFER!$E293)</f>
        <v>mepiramina+nafazolina+pantenol</v>
      </c>
      <c r="I293" t="s">
        <v>327</v>
      </c>
      <c r="J293" t="s">
        <v>328</v>
      </c>
      <c r="K293" t="s">
        <v>2</v>
      </c>
      <c r="L293" t="s">
        <v>23</v>
      </c>
      <c r="M293">
        <v>2960012</v>
      </c>
      <c r="N293">
        <v>14390217</v>
      </c>
      <c r="O293">
        <v>32787293.960000001</v>
      </c>
      <c r="P293" t="s">
        <v>333</v>
      </c>
    </row>
    <row r="294" spans="2:16" x14ac:dyDescent="0.25">
      <c r="B294">
        <f t="shared" si="4"/>
        <v>292</v>
      </c>
      <c r="C294">
        <v>30049099</v>
      </c>
      <c r="D294" t="s">
        <v>223</v>
      </c>
      <c r="E294" t="s">
        <v>2777</v>
      </c>
      <c r="F294" t="e">
        <f>VLOOKUP(JENNIFFER!$B294,#REF!,4,1)</f>
        <v>#REF!</v>
      </c>
      <c r="G294" t="str">
        <f>IF(JENNIFFER!$E294="",JENNIFFER!$F294,JENNIFFER!$E294)</f>
        <v xml:space="preserve">mepiramina+nafazolina+pantenol  </v>
      </c>
      <c r="I294" t="s">
        <v>224</v>
      </c>
      <c r="J294" t="s">
        <v>29</v>
      </c>
      <c r="K294" t="s">
        <v>4</v>
      </c>
      <c r="L294" t="s">
        <v>3</v>
      </c>
      <c r="M294">
        <v>3805301</v>
      </c>
      <c r="N294">
        <v>27121716</v>
      </c>
      <c r="O294">
        <v>61851999.030000001</v>
      </c>
      <c r="P294" t="s">
        <v>227</v>
      </c>
    </row>
    <row r="295" spans="2:16" x14ac:dyDescent="0.25">
      <c r="B295">
        <f t="shared" si="4"/>
        <v>293</v>
      </c>
      <c r="C295">
        <v>30043210</v>
      </c>
      <c r="D295" t="s">
        <v>586</v>
      </c>
      <c r="F295" t="e">
        <f>VLOOKUP(JENNIFFER!$B295,#REF!,4,1)</f>
        <v>#REF!</v>
      </c>
      <c r="G295" t="e">
        <f>IF(JENNIFFER!$E295="",JENNIFFER!$F295,JENNIFFER!$E295)</f>
        <v>#REF!</v>
      </c>
      <c r="I295" t="s">
        <v>583</v>
      </c>
      <c r="J295" t="s">
        <v>267</v>
      </c>
      <c r="K295" t="s">
        <v>2</v>
      </c>
      <c r="L295" t="s">
        <v>23</v>
      </c>
      <c r="M295">
        <v>1317697</v>
      </c>
      <c r="N295">
        <v>28558864</v>
      </c>
      <c r="O295">
        <v>64979619.100000001</v>
      </c>
      <c r="P295" t="s">
        <v>589</v>
      </c>
    </row>
    <row r="296" spans="2:16" x14ac:dyDescent="0.25">
      <c r="B296">
        <f t="shared" si="4"/>
        <v>294</v>
      </c>
      <c r="C296">
        <v>30043939</v>
      </c>
      <c r="D296" t="s">
        <v>576</v>
      </c>
      <c r="F296" t="e">
        <f>VLOOKUP(JENNIFFER!$B296,#REF!,4,1)</f>
        <v>#REF!</v>
      </c>
      <c r="G296" t="e">
        <f>IF(JENNIFFER!$E296="",JENNIFFER!$F296,JENNIFFER!$E296)</f>
        <v>#REF!</v>
      </c>
      <c r="I296" t="s">
        <v>573</v>
      </c>
      <c r="J296" t="s">
        <v>136</v>
      </c>
      <c r="K296" t="s">
        <v>2</v>
      </c>
      <c r="L296" t="s">
        <v>3</v>
      </c>
      <c r="M296">
        <v>403936</v>
      </c>
      <c r="N296">
        <v>5004971</v>
      </c>
      <c r="O296">
        <v>11426216.49</v>
      </c>
      <c r="P296" t="s">
        <v>579</v>
      </c>
    </row>
    <row r="297" spans="2:16" x14ac:dyDescent="0.25">
      <c r="B297">
        <f t="shared" si="4"/>
        <v>295</v>
      </c>
      <c r="C297">
        <v>30043939</v>
      </c>
      <c r="D297" t="s">
        <v>577</v>
      </c>
      <c r="F297" t="e">
        <f>VLOOKUP(JENNIFFER!$B297,#REF!,4,1)</f>
        <v>#REF!</v>
      </c>
      <c r="G297" t="e">
        <f>IF(JENNIFFER!$E297="",JENNIFFER!$F297,JENNIFFER!$E297)</f>
        <v>#REF!</v>
      </c>
      <c r="I297" t="s">
        <v>570</v>
      </c>
      <c r="J297" t="s">
        <v>136</v>
      </c>
      <c r="K297" t="s">
        <v>2</v>
      </c>
      <c r="L297" t="s">
        <v>3</v>
      </c>
      <c r="M297">
        <v>385636</v>
      </c>
      <c r="N297">
        <v>6742553</v>
      </c>
      <c r="O297">
        <v>15393922.73</v>
      </c>
      <c r="P297" t="s">
        <v>579</v>
      </c>
    </row>
    <row r="298" spans="2:16" x14ac:dyDescent="0.25">
      <c r="B298">
        <f t="shared" si="4"/>
        <v>296</v>
      </c>
      <c r="C298">
        <v>30049069</v>
      </c>
      <c r="D298" t="s">
        <v>89</v>
      </c>
      <c r="F298" t="e">
        <f>VLOOKUP(JENNIFFER!$B298,#REF!,4,1)</f>
        <v>#REF!</v>
      </c>
      <c r="G298" t="e">
        <f>IF(JENNIFFER!$E298="",JENNIFFER!$F298,JENNIFFER!$E298)</f>
        <v>#REF!</v>
      </c>
      <c r="I298" t="s">
        <v>84</v>
      </c>
      <c r="J298" t="s">
        <v>88</v>
      </c>
      <c r="K298" t="s">
        <v>2</v>
      </c>
      <c r="L298" t="s">
        <v>3</v>
      </c>
      <c r="M298">
        <v>1140</v>
      </c>
      <c r="N298">
        <v>10825</v>
      </c>
      <c r="O298">
        <v>24524.639999999999</v>
      </c>
      <c r="P298" t="s">
        <v>76</v>
      </c>
    </row>
    <row r="299" spans="2:16" x14ac:dyDescent="0.25">
      <c r="B299">
        <f t="shared" si="4"/>
        <v>297</v>
      </c>
      <c r="C299">
        <v>30049069</v>
      </c>
      <c r="D299" t="s">
        <v>87</v>
      </c>
      <c r="F299" t="e">
        <f>VLOOKUP(JENNIFFER!$B299,#REF!,4,1)</f>
        <v>#REF!</v>
      </c>
      <c r="G299" t="e">
        <f>IF(JENNIFFER!$E299="",JENNIFFER!$F299,JENNIFFER!$E299)</f>
        <v>#REF!</v>
      </c>
      <c r="I299" t="s">
        <v>84</v>
      </c>
      <c r="J299" t="s">
        <v>88</v>
      </c>
      <c r="K299" t="s">
        <v>2</v>
      </c>
      <c r="L299" t="s">
        <v>3</v>
      </c>
      <c r="M299">
        <v>61261</v>
      </c>
      <c r="N299">
        <v>2893789</v>
      </c>
      <c r="O299">
        <v>6601143.7000000002</v>
      </c>
      <c r="P299" t="s">
        <v>76</v>
      </c>
    </row>
    <row r="300" spans="2:16" x14ac:dyDescent="0.25">
      <c r="B300">
        <f t="shared" si="4"/>
        <v>298</v>
      </c>
      <c r="C300">
        <v>30049079</v>
      </c>
      <c r="D300" t="s">
        <v>509</v>
      </c>
      <c r="F300" t="e">
        <f>VLOOKUP(JENNIFFER!$B300,#REF!,4,1)</f>
        <v>#REF!</v>
      </c>
      <c r="G300" t="e">
        <f>IF(JENNIFFER!$E300="",JENNIFFER!$F300,JENNIFFER!$E300)</f>
        <v>#REF!</v>
      </c>
      <c r="I300" t="s">
        <v>507</v>
      </c>
      <c r="J300" t="s">
        <v>34</v>
      </c>
      <c r="K300" t="s">
        <v>2</v>
      </c>
      <c r="L300" t="s">
        <v>3</v>
      </c>
      <c r="M300">
        <v>349476</v>
      </c>
      <c r="N300">
        <v>711598</v>
      </c>
      <c r="O300">
        <v>1612533.71</v>
      </c>
      <c r="P300" t="s">
        <v>499</v>
      </c>
    </row>
    <row r="301" spans="2:16" x14ac:dyDescent="0.25">
      <c r="B301">
        <f t="shared" si="4"/>
        <v>299</v>
      </c>
      <c r="C301">
        <v>30045090</v>
      </c>
      <c r="D301" t="s">
        <v>175</v>
      </c>
      <c r="F301" t="e">
        <f>VLOOKUP(JENNIFFER!$B301,#REF!,4,1)</f>
        <v>#REF!</v>
      </c>
      <c r="G301" t="e">
        <f>IF(JENNIFFER!$E301="",JENNIFFER!$F301,JENNIFFER!$E301)</f>
        <v>#REF!</v>
      </c>
      <c r="I301" t="s">
        <v>176</v>
      </c>
      <c r="J301" t="s">
        <v>34</v>
      </c>
      <c r="K301" t="s">
        <v>2</v>
      </c>
      <c r="L301" t="s">
        <v>3</v>
      </c>
      <c r="M301">
        <v>1735180</v>
      </c>
      <c r="N301">
        <v>4226857</v>
      </c>
      <c r="O301">
        <v>9651259.7799999993</v>
      </c>
      <c r="P301" t="s">
        <v>174</v>
      </c>
    </row>
    <row r="302" spans="2:16" x14ac:dyDescent="0.25">
      <c r="B302">
        <f t="shared" si="4"/>
        <v>300</v>
      </c>
      <c r="C302">
        <v>30049099</v>
      </c>
      <c r="D302" t="s">
        <v>33</v>
      </c>
      <c r="F302" t="e">
        <f>VLOOKUP(JENNIFFER!$B302,#REF!,4,1)</f>
        <v>#REF!</v>
      </c>
      <c r="G302" t="e">
        <f>IF(JENNIFFER!$E302="",JENNIFFER!$F302,JENNIFFER!$E302)</f>
        <v>#REF!</v>
      </c>
      <c r="I302" t="s">
        <v>31</v>
      </c>
      <c r="J302" t="s">
        <v>34</v>
      </c>
      <c r="K302" t="s">
        <v>4</v>
      </c>
      <c r="L302" t="s">
        <v>3</v>
      </c>
      <c r="M302">
        <v>1660694</v>
      </c>
      <c r="N302">
        <v>6331887</v>
      </c>
      <c r="O302">
        <v>14462610.08</v>
      </c>
      <c r="P302" t="s">
        <v>40</v>
      </c>
    </row>
    <row r="303" spans="2:16" x14ac:dyDescent="0.25">
      <c r="B303">
        <f t="shared" si="4"/>
        <v>301</v>
      </c>
      <c r="C303">
        <v>30049099</v>
      </c>
      <c r="D303" t="s">
        <v>33</v>
      </c>
      <c r="F303" t="e">
        <f>VLOOKUP(JENNIFFER!$B303,#REF!,4,1)</f>
        <v>#REF!</v>
      </c>
      <c r="G303" t="e">
        <f>IF(JENNIFFER!$E303="",JENNIFFER!$F303,JENNIFFER!$E303)</f>
        <v>#REF!</v>
      </c>
      <c r="I303" t="s">
        <v>31</v>
      </c>
      <c r="J303" t="s">
        <v>34</v>
      </c>
      <c r="K303" t="s">
        <v>4</v>
      </c>
      <c r="L303" t="s">
        <v>3</v>
      </c>
      <c r="M303">
        <v>1660694</v>
      </c>
      <c r="N303">
        <v>6331887</v>
      </c>
      <c r="O303">
        <v>14462610.08</v>
      </c>
      <c r="P303" t="s">
        <v>449</v>
      </c>
    </row>
    <row r="304" spans="2:16" x14ac:dyDescent="0.25">
      <c r="B304">
        <f t="shared" si="4"/>
        <v>302</v>
      </c>
      <c r="C304">
        <v>30049069</v>
      </c>
      <c r="D304" t="s">
        <v>450</v>
      </c>
      <c r="F304" t="e">
        <f>VLOOKUP(JENNIFFER!$B304,#REF!,4,1)</f>
        <v>#REF!</v>
      </c>
      <c r="G304" t="e">
        <f>IF(JENNIFFER!$E304="",JENNIFFER!$F304,JENNIFFER!$E304)</f>
        <v>#REF!</v>
      </c>
      <c r="I304" t="s">
        <v>451</v>
      </c>
      <c r="J304" t="s">
        <v>34</v>
      </c>
      <c r="K304" t="s">
        <v>4</v>
      </c>
      <c r="L304" t="s">
        <v>3</v>
      </c>
      <c r="M304">
        <v>3727479</v>
      </c>
      <c r="N304">
        <v>6936265</v>
      </c>
      <c r="O304">
        <v>15761102.68</v>
      </c>
      <c r="P304" t="s">
        <v>460</v>
      </c>
    </row>
    <row r="305" spans="2:16" x14ac:dyDescent="0.25">
      <c r="B305">
        <f t="shared" si="4"/>
        <v>303</v>
      </c>
      <c r="C305">
        <v>30039079</v>
      </c>
      <c r="D305" t="s">
        <v>73</v>
      </c>
      <c r="F305" t="e">
        <f>VLOOKUP(JENNIFFER!$B305,#REF!,4,1)</f>
        <v>#REF!</v>
      </c>
      <c r="G305" t="e">
        <f>IF(JENNIFFER!$E305="",JENNIFFER!$F305,JENNIFFER!$E305)</f>
        <v>#REF!</v>
      </c>
      <c r="I305" t="s">
        <v>67</v>
      </c>
      <c r="J305" t="s">
        <v>34</v>
      </c>
      <c r="K305" t="s">
        <v>2</v>
      </c>
      <c r="L305" t="s">
        <v>3</v>
      </c>
      <c r="M305">
        <v>1877845</v>
      </c>
      <c r="N305">
        <v>15730792</v>
      </c>
      <c r="O305">
        <v>35932009.68</v>
      </c>
      <c r="P305" t="s">
        <v>61</v>
      </c>
    </row>
    <row r="306" spans="2:16" x14ac:dyDescent="0.25">
      <c r="B306">
        <f t="shared" si="4"/>
        <v>304</v>
      </c>
      <c r="C306">
        <v>30049069</v>
      </c>
      <c r="D306" t="s">
        <v>149</v>
      </c>
      <c r="F306" t="e">
        <f>VLOOKUP(JENNIFFER!$B306,#REF!,4,1)</f>
        <v>#REF!</v>
      </c>
      <c r="G306" t="e">
        <f>IF(JENNIFFER!$E306="",JENNIFFER!$F306,JENNIFFER!$E306)</f>
        <v>#REF!</v>
      </c>
      <c r="I306" t="s">
        <v>7</v>
      </c>
      <c r="J306" t="s">
        <v>92</v>
      </c>
      <c r="K306" t="s">
        <v>4</v>
      </c>
      <c r="L306" t="s">
        <v>23</v>
      </c>
      <c r="M306">
        <v>6046641</v>
      </c>
      <c r="N306">
        <v>44668970</v>
      </c>
      <c r="O306">
        <v>101946358.86</v>
      </c>
      <c r="P306" t="s">
        <v>5</v>
      </c>
    </row>
    <row r="307" spans="2:16" x14ac:dyDescent="0.25">
      <c r="B307">
        <f t="shared" si="4"/>
        <v>305</v>
      </c>
      <c r="C307">
        <v>30049069</v>
      </c>
      <c r="D307" t="s">
        <v>149</v>
      </c>
      <c r="F307" t="e">
        <f>VLOOKUP(JENNIFFER!$B307,#REF!,4,1)</f>
        <v>#REF!</v>
      </c>
      <c r="G307" t="e">
        <f>IF(JENNIFFER!$E307="",JENNIFFER!$F307,JENNIFFER!$E307)</f>
        <v>#REF!</v>
      </c>
      <c r="I307" t="s">
        <v>7</v>
      </c>
      <c r="J307" t="s">
        <v>92</v>
      </c>
      <c r="K307" t="s">
        <v>4</v>
      </c>
      <c r="L307" t="s">
        <v>23</v>
      </c>
      <c r="M307">
        <v>6046641</v>
      </c>
      <c r="N307">
        <v>44668970</v>
      </c>
      <c r="O307">
        <v>101946358.86</v>
      </c>
      <c r="P307" t="s">
        <v>333</v>
      </c>
    </row>
    <row r="308" spans="2:16" x14ac:dyDescent="0.25">
      <c r="B308">
        <f t="shared" si="4"/>
        <v>306</v>
      </c>
      <c r="C308">
        <v>30049069</v>
      </c>
      <c r="D308" t="s">
        <v>149</v>
      </c>
      <c r="F308" t="e">
        <f>VLOOKUP(JENNIFFER!$B308,#REF!,4,1)</f>
        <v>#REF!</v>
      </c>
      <c r="G308" t="e">
        <f>IF(JENNIFFER!$E308="",JENNIFFER!$F308,JENNIFFER!$E308)</f>
        <v>#REF!</v>
      </c>
      <c r="I308" t="s">
        <v>7</v>
      </c>
      <c r="J308" t="s">
        <v>92</v>
      </c>
      <c r="K308" t="s">
        <v>4</v>
      </c>
      <c r="L308" t="s">
        <v>23</v>
      </c>
      <c r="M308">
        <v>6046641</v>
      </c>
      <c r="N308">
        <v>44668970</v>
      </c>
      <c r="O308">
        <v>101946358.86</v>
      </c>
      <c r="P308" t="s">
        <v>594</v>
      </c>
    </row>
    <row r="309" spans="2:16" x14ac:dyDescent="0.25">
      <c r="B309">
        <f t="shared" si="4"/>
        <v>307</v>
      </c>
      <c r="C309">
        <v>30049039</v>
      </c>
      <c r="D309" t="s">
        <v>221</v>
      </c>
      <c r="F309" t="e">
        <f>VLOOKUP(JENNIFFER!$B309,#REF!,4,1)</f>
        <v>#REF!</v>
      </c>
      <c r="G309" t="e">
        <f>IF(JENNIFFER!$E309="",JENNIFFER!$F309,JENNIFFER!$E309)</f>
        <v>#REF!</v>
      </c>
      <c r="I309" t="s">
        <v>222</v>
      </c>
      <c r="J309" t="s">
        <v>34</v>
      </c>
      <c r="K309" t="s">
        <v>2</v>
      </c>
      <c r="L309" t="s">
        <v>3</v>
      </c>
      <c r="M309">
        <v>37026509</v>
      </c>
      <c r="N309">
        <v>83966189</v>
      </c>
      <c r="O309">
        <v>191372902.19999999</v>
      </c>
      <c r="P309" t="s">
        <v>227</v>
      </c>
    </row>
    <row r="310" spans="2:16" x14ac:dyDescent="0.25">
      <c r="B310">
        <f t="shared" si="4"/>
        <v>308</v>
      </c>
      <c r="C310">
        <v>30049039</v>
      </c>
      <c r="D310" t="s">
        <v>221</v>
      </c>
      <c r="F310" t="e">
        <f>VLOOKUP(JENNIFFER!$B310,#REF!,4,1)</f>
        <v>#REF!</v>
      </c>
      <c r="G310" t="e">
        <f>IF(JENNIFFER!$E310="",JENNIFFER!$F310,JENNIFFER!$E310)</f>
        <v>#REF!</v>
      </c>
      <c r="I310" t="s">
        <v>222</v>
      </c>
      <c r="J310" t="s">
        <v>34</v>
      </c>
      <c r="K310" t="s">
        <v>2</v>
      </c>
      <c r="L310" t="s">
        <v>3</v>
      </c>
      <c r="M310">
        <v>37026509</v>
      </c>
      <c r="N310">
        <v>83966189</v>
      </c>
      <c r="O310">
        <v>191372902.19999999</v>
      </c>
      <c r="P310" t="s">
        <v>559</v>
      </c>
    </row>
    <row r="311" spans="2:16" x14ac:dyDescent="0.25">
      <c r="B311">
        <f t="shared" si="4"/>
        <v>309</v>
      </c>
      <c r="C311">
        <v>30049039</v>
      </c>
      <c r="D311" t="s">
        <v>221</v>
      </c>
      <c r="F311" t="e">
        <f>VLOOKUP(JENNIFFER!$B311,#REF!,4,1)</f>
        <v>#REF!</v>
      </c>
      <c r="G311" t="e">
        <f>IF(JENNIFFER!$E311="",JENNIFFER!$F311,JENNIFFER!$E311)</f>
        <v>#REF!</v>
      </c>
      <c r="I311" t="s">
        <v>222</v>
      </c>
      <c r="J311" t="s">
        <v>34</v>
      </c>
      <c r="K311" t="s">
        <v>2</v>
      </c>
      <c r="L311" t="s">
        <v>3</v>
      </c>
      <c r="M311">
        <v>37026509</v>
      </c>
      <c r="N311">
        <v>83966189</v>
      </c>
      <c r="O311">
        <v>191372902.19999999</v>
      </c>
      <c r="P311" t="s">
        <v>611</v>
      </c>
    </row>
    <row r="312" spans="2:16" x14ac:dyDescent="0.25">
      <c r="B312">
        <f t="shared" si="4"/>
        <v>310</v>
      </c>
      <c r="C312">
        <v>30049079</v>
      </c>
      <c r="D312" t="s">
        <v>395</v>
      </c>
      <c r="F312" t="e">
        <f>VLOOKUP(JENNIFFER!$B312,#REF!,4,1)</f>
        <v>#REF!</v>
      </c>
      <c r="G312" t="e">
        <f>IF(JENNIFFER!$E312="",JENNIFFER!$F312,JENNIFFER!$E312)</f>
        <v>#REF!</v>
      </c>
      <c r="I312" t="s">
        <v>252</v>
      </c>
      <c r="J312" t="s">
        <v>34</v>
      </c>
      <c r="K312" t="s">
        <v>2</v>
      </c>
      <c r="L312" t="s">
        <v>3</v>
      </c>
      <c r="M312">
        <v>4463309</v>
      </c>
      <c r="N312">
        <v>29015157</v>
      </c>
      <c r="O312">
        <v>66214330.390000001</v>
      </c>
      <c r="P312" t="s">
        <v>394</v>
      </c>
    </row>
    <row r="313" spans="2:16" x14ac:dyDescent="0.25">
      <c r="B313">
        <f t="shared" si="4"/>
        <v>311</v>
      </c>
      <c r="C313">
        <v>30049037</v>
      </c>
      <c r="D313" t="s">
        <v>457</v>
      </c>
      <c r="F313" t="e">
        <f>VLOOKUP(JENNIFFER!$B313,#REF!,4,1)</f>
        <v>#REF!</v>
      </c>
      <c r="G313" t="e">
        <f>IF(JENNIFFER!$E313="",JENNIFFER!$F313,JENNIFFER!$E313)</f>
        <v>#REF!</v>
      </c>
      <c r="I313" t="s">
        <v>252</v>
      </c>
      <c r="J313" t="s">
        <v>34</v>
      </c>
      <c r="K313" t="s">
        <v>2</v>
      </c>
      <c r="L313" t="s">
        <v>3</v>
      </c>
      <c r="M313">
        <v>3934746</v>
      </c>
      <c r="N313">
        <v>12063043</v>
      </c>
      <c r="O313">
        <v>27510864.359999999</v>
      </c>
      <c r="P313" t="s">
        <v>460</v>
      </c>
    </row>
    <row r="314" spans="2:16" x14ac:dyDescent="0.25">
      <c r="B314">
        <f t="shared" si="4"/>
        <v>312</v>
      </c>
      <c r="C314">
        <v>30066000</v>
      </c>
      <c r="D314" t="s">
        <v>401</v>
      </c>
      <c r="F314" t="e">
        <f>VLOOKUP(JENNIFFER!$B314,#REF!,4,1)</f>
        <v>#REF!</v>
      </c>
      <c r="G314" t="e">
        <f>IF(JENNIFFER!$E314="",JENNIFFER!$F314,JENNIFFER!$E314)</f>
        <v>#REF!</v>
      </c>
      <c r="I314" t="s">
        <v>402</v>
      </c>
      <c r="J314" t="s">
        <v>400</v>
      </c>
      <c r="K314" t="s">
        <v>2</v>
      </c>
      <c r="L314" t="s">
        <v>23</v>
      </c>
      <c r="M314">
        <v>5986777</v>
      </c>
      <c r="N314">
        <v>10422512</v>
      </c>
      <c r="O314">
        <v>23804328.510000002</v>
      </c>
      <c r="P314" t="s">
        <v>413</v>
      </c>
    </row>
    <row r="315" spans="2:16" x14ac:dyDescent="0.25">
      <c r="B315">
        <f t="shared" si="4"/>
        <v>313</v>
      </c>
      <c r="C315">
        <v>30049099</v>
      </c>
      <c r="D315" t="s">
        <v>182</v>
      </c>
      <c r="F315" t="e">
        <f>VLOOKUP(JENNIFFER!$B315,#REF!,4,1)</f>
        <v>#REF!</v>
      </c>
      <c r="G315" t="e">
        <f>IF(JENNIFFER!$E315="",JENNIFFER!$F315,JENNIFFER!$E315)</f>
        <v>#REF!</v>
      </c>
      <c r="I315" t="s">
        <v>179</v>
      </c>
      <c r="J315" t="s">
        <v>29</v>
      </c>
      <c r="K315" t="s">
        <v>2</v>
      </c>
      <c r="L315" t="s">
        <v>3</v>
      </c>
      <c r="M315">
        <v>417513</v>
      </c>
      <c r="N315">
        <v>3762809</v>
      </c>
      <c r="O315">
        <v>8590640.1199999992</v>
      </c>
      <c r="P315" t="s">
        <v>174</v>
      </c>
    </row>
    <row r="316" spans="2:16" x14ac:dyDescent="0.25">
      <c r="B316">
        <f t="shared" si="4"/>
        <v>314</v>
      </c>
      <c r="C316">
        <v>30049099</v>
      </c>
      <c r="D316" t="s">
        <v>187</v>
      </c>
      <c r="F316" t="e">
        <f>VLOOKUP(JENNIFFER!$B316,#REF!,4,1)</f>
        <v>#REF!</v>
      </c>
      <c r="G316" t="e">
        <f>IF(JENNIFFER!$E316="",JENNIFFER!$F316,JENNIFFER!$E316)</f>
        <v>#REF!</v>
      </c>
      <c r="I316" t="s">
        <v>184</v>
      </c>
      <c r="J316" t="s">
        <v>29</v>
      </c>
      <c r="K316" t="s">
        <v>2</v>
      </c>
      <c r="L316" t="s">
        <v>3</v>
      </c>
      <c r="M316">
        <v>581454</v>
      </c>
      <c r="N316">
        <v>7069918</v>
      </c>
      <c r="O316">
        <v>16146326.74</v>
      </c>
      <c r="P316" t="s">
        <v>174</v>
      </c>
    </row>
    <row r="317" spans="2:16" x14ac:dyDescent="0.25">
      <c r="B317">
        <f t="shared" si="4"/>
        <v>315</v>
      </c>
      <c r="C317">
        <v>30044090</v>
      </c>
      <c r="D317" t="s">
        <v>230</v>
      </c>
      <c r="F317" t="e">
        <f>VLOOKUP(JENNIFFER!$B317,#REF!,4,1)</f>
        <v>#REF!</v>
      </c>
      <c r="G317" t="e">
        <f>IF(JENNIFFER!$E317="",JENNIFFER!$F317,JENNIFFER!$E317)</f>
        <v>#REF!</v>
      </c>
      <c r="I317" t="s">
        <v>229</v>
      </c>
      <c r="J317" t="s">
        <v>55</v>
      </c>
      <c r="K317" t="s">
        <v>4</v>
      </c>
      <c r="L317" t="s">
        <v>23</v>
      </c>
      <c r="M317">
        <v>275127</v>
      </c>
      <c r="N317">
        <v>4171223</v>
      </c>
      <c r="O317">
        <v>9510609.1500000004</v>
      </c>
      <c r="P317" t="s">
        <v>240</v>
      </c>
    </row>
    <row r="318" spans="2:16" x14ac:dyDescent="0.25">
      <c r="B318">
        <f t="shared" si="4"/>
        <v>316</v>
      </c>
      <c r="C318">
        <v>30044090</v>
      </c>
      <c r="D318" t="s">
        <v>231</v>
      </c>
      <c r="F318" t="e">
        <f>VLOOKUP(JENNIFFER!$B318,#REF!,4,1)</f>
        <v>#REF!</v>
      </c>
      <c r="G318" t="e">
        <f>IF(JENNIFFER!$E318="",JENNIFFER!$F318,JENNIFFER!$E318)</f>
        <v>#REF!</v>
      </c>
      <c r="I318" t="s">
        <v>229</v>
      </c>
      <c r="J318" t="s">
        <v>55</v>
      </c>
      <c r="K318" t="s">
        <v>4</v>
      </c>
      <c r="L318" t="s">
        <v>23</v>
      </c>
      <c r="M318">
        <v>151419</v>
      </c>
      <c r="N318">
        <v>2542698</v>
      </c>
      <c r="O318">
        <v>5804786.5999999996</v>
      </c>
      <c r="P318" t="s">
        <v>240</v>
      </c>
    </row>
    <row r="319" spans="2:16" x14ac:dyDescent="0.25">
      <c r="B319">
        <f t="shared" si="4"/>
        <v>317</v>
      </c>
      <c r="C319">
        <v>30044090</v>
      </c>
      <c r="D319" t="s">
        <v>237</v>
      </c>
      <c r="F319" t="e">
        <f>VLOOKUP(JENNIFFER!$B319,#REF!,4,1)</f>
        <v>#REF!</v>
      </c>
      <c r="G319" t="e">
        <f>IF(JENNIFFER!$E319="",JENNIFFER!$F319,JENNIFFER!$E319)</f>
        <v>#REF!</v>
      </c>
      <c r="I319" t="s">
        <v>229</v>
      </c>
      <c r="J319" t="s">
        <v>219</v>
      </c>
      <c r="K319" t="s">
        <v>4</v>
      </c>
      <c r="L319" t="s">
        <v>3</v>
      </c>
      <c r="M319">
        <v>19968</v>
      </c>
      <c r="N319">
        <v>326839</v>
      </c>
      <c r="O319">
        <v>744898.6</v>
      </c>
      <c r="P319" t="s">
        <v>240</v>
      </c>
    </row>
    <row r="320" spans="2:16" x14ac:dyDescent="0.25">
      <c r="B320">
        <f t="shared" si="4"/>
        <v>318</v>
      </c>
      <c r="C320">
        <v>30044090</v>
      </c>
      <c r="D320" t="s">
        <v>235</v>
      </c>
      <c r="F320" t="e">
        <f>VLOOKUP(JENNIFFER!$B320,#REF!,4,1)</f>
        <v>#REF!</v>
      </c>
      <c r="G320" t="e">
        <f>IF(JENNIFFER!$E320="",JENNIFFER!$F320,JENNIFFER!$E320)</f>
        <v>#REF!</v>
      </c>
      <c r="I320" t="s">
        <v>229</v>
      </c>
      <c r="J320" t="s">
        <v>219</v>
      </c>
      <c r="K320" t="s">
        <v>4</v>
      </c>
      <c r="L320" t="s">
        <v>3</v>
      </c>
      <c r="M320">
        <v>51865</v>
      </c>
      <c r="N320">
        <v>889886</v>
      </c>
      <c r="O320">
        <v>2028522.42</v>
      </c>
      <c r="P320" t="s">
        <v>240</v>
      </c>
    </row>
    <row r="321" spans="2:16" x14ac:dyDescent="0.25">
      <c r="B321">
        <f t="shared" si="4"/>
        <v>319</v>
      </c>
      <c r="C321">
        <v>30049099</v>
      </c>
      <c r="D321" t="s">
        <v>385</v>
      </c>
      <c r="F321" t="e">
        <f>VLOOKUP(JENNIFFER!$B321,#REF!,4,1)</f>
        <v>#REF!</v>
      </c>
      <c r="G321" t="e">
        <f>IF(JENNIFFER!$E321="",JENNIFFER!$F321,JENNIFFER!$E321)</f>
        <v>#REF!</v>
      </c>
      <c r="I321" t="s">
        <v>252</v>
      </c>
      <c r="J321" t="s">
        <v>29</v>
      </c>
      <c r="K321" t="s">
        <v>2</v>
      </c>
      <c r="L321" t="s">
        <v>10</v>
      </c>
      <c r="M321">
        <v>5246586</v>
      </c>
      <c r="N321">
        <v>32988133</v>
      </c>
      <c r="O321">
        <v>75165689.219999999</v>
      </c>
      <c r="P321" t="s">
        <v>394</v>
      </c>
    </row>
    <row r="322" spans="2:16" x14ac:dyDescent="0.25">
      <c r="B322">
        <f t="shared" si="4"/>
        <v>320</v>
      </c>
      <c r="C322">
        <v>30049099</v>
      </c>
      <c r="D322" t="s">
        <v>385</v>
      </c>
      <c r="F322" t="e">
        <f>VLOOKUP(JENNIFFER!$B322,#REF!,4,1)</f>
        <v>#REF!</v>
      </c>
      <c r="G322" t="e">
        <f>IF(JENNIFFER!$E322="",JENNIFFER!$F322,JENNIFFER!$E322)</f>
        <v>#REF!</v>
      </c>
      <c r="I322" t="s">
        <v>252</v>
      </c>
      <c r="J322" t="s">
        <v>198</v>
      </c>
      <c r="K322" t="s">
        <v>2</v>
      </c>
      <c r="L322" t="s">
        <v>10</v>
      </c>
      <c r="M322">
        <v>4619309</v>
      </c>
      <c r="N322">
        <v>25848363</v>
      </c>
      <c r="O322">
        <v>58925076.289999999</v>
      </c>
      <c r="P322" t="s">
        <v>394</v>
      </c>
    </row>
    <row r="323" spans="2:16" x14ac:dyDescent="0.25">
      <c r="B323">
        <f t="shared" si="4"/>
        <v>321</v>
      </c>
      <c r="C323">
        <v>30049099</v>
      </c>
      <c r="D323" t="s">
        <v>385</v>
      </c>
      <c r="F323" t="e">
        <f>VLOOKUP(JENNIFFER!$B323,#REF!,4,1)</f>
        <v>#REF!</v>
      </c>
      <c r="G323" t="e">
        <f>IF(JENNIFFER!$E323="",JENNIFFER!$F323,JENNIFFER!$E323)</f>
        <v>#REF!</v>
      </c>
      <c r="I323" t="s">
        <v>252</v>
      </c>
      <c r="J323" t="s">
        <v>29</v>
      </c>
      <c r="K323" t="s">
        <v>2</v>
      </c>
      <c r="L323" t="s">
        <v>10</v>
      </c>
      <c r="M323">
        <v>5246586</v>
      </c>
      <c r="N323">
        <v>32988133</v>
      </c>
      <c r="O323">
        <v>75165689.219999999</v>
      </c>
      <c r="P323" t="s">
        <v>460</v>
      </c>
    </row>
    <row r="324" spans="2:16" x14ac:dyDescent="0.25">
      <c r="B324">
        <f t="shared" ref="B324:B387" si="5">+B323+1</f>
        <v>322</v>
      </c>
      <c r="C324">
        <v>30044090</v>
      </c>
      <c r="D324" t="s">
        <v>232</v>
      </c>
      <c r="F324" t="e">
        <f>VLOOKUP(JENNIFFER!$B324,#REF!,4,1)</f>
        <v>#REF!</v>
      </c>
      <c r="G324" t="e">
        <f>IF(JENNIFFER!$E324="",JENNIFFER!$F324,JENNIFFER!$E324)</f>
        <v>#REF!</v>
      </c>
      <c r="I324" t="s">
        <v>229</v>
      </c>
      <c r="J324" t="s">
        <v>44</v>
      </c>
      <c r="K324" t="s">
        <v>4</v>
      </c>
      <c r="L324" t="s">
        <v>3</v>
      </c>
      <c r="M324">
        <v>122279</v>
      </c>
      <c r="N324">
        <v>2105772</v>
      </c>
      <c r="O324">
        <v>4800196.13</v>
      </c>
      <c r="P324" t="s">
        <v>240</v>
      </c>
    </row>
    <row r="325" spans="2:16" x14ac:dyDescent="0.25">
      <c r="B325">
        <f t="shared" si="5"/>
        <v>323</v>
      </c>
      <c r="C325">
        <v>30044090</v>
      </c>
      <c r="D325" t="s">
        <v>228</v>
      </c>
      <c r="F325" t="e">
        <f>VLOOKUP(JENNIFFER!$B325,#REF!,4,1)</f>
        <v>#REF!</v>
      </c>
      <c r="G325" t="e">
        <f>IF(JENNIFFER!$E325="",JENNIFFER!$F325,JENNIFFER!$E325)</f>
        <v>#REF!</v>
      </c>
      <c r="I325" t="s">
        <v>229</v>
      </c>
      <c r="J325" t="s">
        <v>44</v>
      </c>
      <c r="K325" t="s">
        <v>4</v>
      </c>
      <c r="L325" t="s">
        <v>3</v>
      </c>
      <c r="M325">
        <v>432090</v>
      </c>
      <c r="N325">
        <v>7773818</v>
      </c>
      <c r="O325">
        <v>17727212.059999999</v>
      </c>
      <c r="P325" t="s">
        <v>240</v>
      </c>
    </row>
    <row r="326" spans="2:16" x14ac:dyDescent="0.25">
      <c r="B326">
        <f t="shared" si="5"/>
        <v>324</v>
      </c>
      <c r="C326">
        <v>30044090</v>
      </c>
      <c r="D326" t="s">
        <v>236</v>
      </c>
      <c r="F326" t="e">
        <f>VLOOKUP(JENNIFFER!$B326,#REF!,4,1)</f>
        <v>#REF!</v>
      </c>
      <c r="G326" t="e">
        <f>IF(JENNIFFER!$E326="",JENNIFFER!$F326,JENNIFFER!$E326)</f>
        <v>#REF!</v>
      </c>
      <c r="I326" t="s">
        <v>229</v>
      </c>
      <c r="J326" t="s">
        <v>44</v>
      </c>
      <c r="K326" t="s">
        <v>4</v>
      </c>
      <c r="L326" t="s">
        <v>3</v>
      </c>
      <c r="M326">
        <v>50582</v>
      </c>
      <c r="N326">
        <v>832298</v>
      </c>
      <c r="O326">
        <v>1896820.64</v>
      </c>
      <c r="P326" t="s">
        <v>240</v>
      </c>
    </row>
    <row r="327" spans="2:16" x14ac:dyDescent="0.25">
      <c r="B327">
        <f t="shared" si="5"/>
        <v>325</v>
      </c>
      <c r="C327">
        <v>30044090</v>
      </c>
      <c r="D327" t="s">
        <v>234</v>
      </c>
      <c r="F327" t="e">
        <f>VLOOKUP(JENNIFFER!$B327,#REF!,4,1)</f>
        <v>#REF!</v>
      </c>
      <c r="G327" t="e">
        <f>IF(JENNIFFER!$E327="",JENNIFFER!$F327,JENNIFFER!$E327)</f>
        <v>#REF!</v>
      </c>
      <c r="I327" t="s">
        <v>229</v>
      </c>
      <c r="J327" t="s">
        <v>44</v>
      </c>
      <c r="K327" t="s">
        <v>4</v>
      </c>
      <c r="L327" t="s">
        <v>3</v>
      </c>
      <c r="M327">
        <v>92326</v>
      </c>
      <c r="N327">
        <v>1659876</v>
      </c>
      <c r="O327">
        <v>3799015.5</v>
      </c>
      <c r="P327" t="s">
        <v>240</v>
      </c>
    </row>
    <row r="328" spans="2:16" x14ac:dyDescent="0.25">
      <c r="B328">
        <f t="shared" si="5"/>
        <v>326</v>
      </c>
      <c r="C328">
        <v>30044090</v>
      </c>
      <c r="D328" t="s">
        <v>233</v>
      </c>
      <c r="F328" t="e">
        <f>VLOOKUP(JENNIFFER!$B328,#REF!,4,1)</f>
        <v>#REF!</v>
      </c>
      <c r="G328" t="e">
        <f>IF(JENNIFFER!$E328="",JENNIFFER!$F328,JENNIFFER!$E328)</f>
        <v>#REF!</v>
      </c>
      <c r="I328" t="s">
        <v>229</v>
      </c>
      <c r="J328" t="s">
        <v>44</v>
      </c>
      <c r="K328" t="s">
        <v>4</v>
      </c>
      <c r="L328" t="s">
        <v>3</v>
      </c>
      <c r="M328">
        <v>114150</v>
      </c>
      <c r="N328">
        <v>2191480</v>
      </c>
      <c r="O328">
        <v>5026524.6500000004</v>
      </c>
      <c r="P328" t="s">
        <v>240</v>
      </c>
    </row>
    <row r="329" spans="2:16" x14ac:dyDescent="0.25">
      <c r="B329">
        <f t="shared" si="5"/>
        <v>327</v>
      </c>
      <c r="D329" t="s">
        <v>587</v>
      </c>
      <c r="F329" t="e">
        <f>VLOOKUP(JENNIFFER!$B329,#REF!,4,1)</f>
        <v>#REF!</v>
      </c>
      <c r="G329" t="e">
        <f>IF(JENNIFFER!$E329="",JENNIFFER!$F329,JENNIFFER!$E329)</f>
        <v>#REF!</v>
      </c>
      <c r="I329" t="s">
        <v>583</v>
      </c>
      <c r="J329" t="s">
        <v>198</v>
      </c>
      <c r="K329" t="s">
        <v>2</v>
      </c>
      <c r="L329" t="s">
        <v>3</v>
      </c>
      <c r="M329">
        <v>835922</v>
      </c>
      <c r="N329">
        <v>6576811</v>
      </c>
      <c r="O329">
        <v>14949607.67</v>
      </c>
      <c r="P329" t="s">
        <v>589</v>
      </c>
    </row>
    <row r="330" spans="2:16" x14ac:dyDescent="0.25">
      <c r="B330">
        <f t="shared" si="5"/>
        <v>328</v>
      </c>
      <c r="C330">
        <v>30066000</v>
      </c>
      <c r="D330" t="s">
        <v>410</v>
      </c>
      <c r="F330" t="e">
        <f>VLOOKUP(JENNIFFER!$B330,#REF!,4,1)</f>
        <v>#REF!</v>
      </c>
      <c r="G330" t="e">
        <f>IF(JENNIFFER!$E330="",JENNIFFER!$F330,JENNIFFER!$E330)</f>
        <v>#REF!</v>
      </c>
      <c r="I330" t="s">
        <v>398</v>
      </c>
      <c r="J330" t="s">
        <v>239</v>
      </c>
      <c r="K330" t="s">
        <v>2</v>
      </c>
      <c r="L330" t="s">
        <v>23</v>
      </c>
      <c r="M330">
        <v>2944573</v>
      </c>
      <c r="N330">
        <v>6665736</v>
      </c>
      <c r="O330">
        <v>15216243.060000001</v>
      </c>
      <c r="P330" t="s">
        <v>413</v>
      </c>
    </row>
    <row r="331" spans="2:16" x14ac:dyDescent="0.25">
      <c r="B331">
        <f t="shared" si="5"/>
        <v>329</v>
      </c>
      <c r="C331">
        <v>30049067</v>
      </c>
      <c r="D331" t="s">
        <v>196</v>
      </c>
      <c r="F331" t="e">
        <f>VLOOKUP(JENNIFFER!$B331,#REF!,4,1)</f>
        <v>#REF!</v>
      </c>
      <c r="G331" t="e">
        <f>IF(JENNIFFER!$E331="",JENNIFFER!$F331,JENNIFFER!$E331)</f>
        <v>#REF!</v>
      </c>
      <c r="I331" t="s">
        <v>195</v>
      </c>
      <c r="J331" t="s">
        <v>68</v>
      </c>
      <c r="K331" t="s">
        <v>2</v>
      </c>
      <c r="L331" t="s">
        <v>10</v>
      </c>
      <c r="M331">
        <v>618355</v>
      </c>
      <c r="N331">
        <v>5195303</v>
      </c>
      <c r="O331">
        <v>11860837.27</v>
      </c>
      <c r="P331" t="s">
        <v>203</v>
      </c>
    </row>
    <row r="332" spans="2:16" x14ac:dyDescent="0.25">
      <c r="B332">
        <f t="shared" si="5"/>
        <v>330</v>
      </c>
      <c r="C332">
        <v>30049067</v>
      </c>
      <c r="D332" t="s">
        <v>200</v>
      </c>
      <c r="F332" t="e">
        <f>VLOOKUP(JENNIFFER!$B332,#REF!,4,1)</f>
        <v>#REF!</v>
      </c>
      <c r="G332" t="e">
        <f>IF(JENNIFFER!$E332="",JENNIFFER!$F332,JENNIFFER!$E332)</f>
        <v>#REF!</v>
      </c>
      <c r="I332" t="s">
        <v>195</v>
      </c>
      <c r="J332" t="s">
        <v>52</v>
      </c>
      <c r="K332" t="s">
        <v>2</v>
      </c>
      <c r="L332" t="s">
        <v>10</v>
      </c>
      <c r="M332">
        <v>441724</v>
      </c>
      <c r="N332">
        <v>4590096</v>
      </c>
      <c r="O332">
        <v>10471394.140000001</v>
      </c>
      <c r="P332" t="s">
        <v>203</v>
      </c>
    </row>
    <row r="333" spans="2:16" x14ac:dyDescent="0.25">
      <c r="B333">
        <f t="shared" si="5"/>
        <v>331</v>
      </c>
      <c r="C333">
        <v>30049099</v>
      </c>
      <c r="D333" t="s">
        <v>181</v>
      </c>
      <c r="F333" t="e">
        <f>VLOOKUP(JENNIFFER!$B333,#REF!,4,1)</f>
        <v>#REF!</v>
      </c>
      <c r="G333" t="e">
        <f>IF(JENNIFFER!$E333="",JENNIFFER!$F333,JENNIFFER!$E333)</f>
        <v>#REF!</v>
      </c>
      <c r="I333" t="s">
        <v>179</v>
      </c>
      <c r="J333" t="s">
        <v>92</v>
      </c>
      <c r="K333" t="s">
        <v>2</v>
      </c>
      <c r="L333" t="s">
        <v>3</v>
      </c>
      <c r="M333">
        <v>473540</v>
      </c>
      <c r="N333">
        <v>6848330</v>
      </c>
      <c r="O333">
        <v>15635601.02</v>
      </c>
      <c r="P333" t="s">
        <v>174</v>
      </c>
    </row>
    <row r="334" spans="2:16" x14ac:dyDescent="0.25">
      <c r="B334">
        <f t="shared" si="5"/>
        <v>332</v>
      </c>
      <c r="C334">
        <v>30049099</v>
      </c>
      <c r="D334" t="s">
        <v>183</v>
      </c>
      <c r="F334" t="e">
        <f>VLOOKUP(JENNIFFER!$B334,#REF!,4,1)</f>
        <v>#REF!</v>
      </c>
      <c r="G334" t="e">
        <f>IF(JENNIFFER!$E334="",JENNIFFER!$F334,JENNIFFER!$E334)</f>
        <v>#REF!</v>
      </c>
      <c r="I334" t="s">
        <v>184</v>
      </c>
      <c r="J334" t="s">
        <v>92</v>
      </c>
      <c r="K334" t="s">
        <v>2</v>
      </c>
      <c r="L334" t="s">
        <v>3</v>
      </c>
      <c r="M334">
        <v>768565</v>
      </c>
      <c r="N334">
        <v>6804344</v>
      </c>
      <c r="O334">
        <v>15528768.25</v>
      </c>
      <c r="P334" t="s">
        <v>174</v>
      </c>
    </row>
    <row r="335" spans="2:16" x14ac:dyDescent="0.25">
      <c r="B335">
        <f t="shared" si="5"/>
        <v>333</v>
      </c>
      <c r="C335">
        <v>30043100</v>
      </c>
      <c r="D335" t="s">
        <v>115</v>
      </c>
      <c r="F335" t="e">
        <f>VLOOKUP(JENNIFFER!$B335,#REF!,4,1)</f>
        <v>#REF!</v>
      </c>
      <c r="G335" t="e">
        <f>IF(JENNIFFER!$E335="",JENNIFFER!$F335,JENNIFFER!$E335)</f>
        <v>#REF!</v>
      </c>
      <c r="I335" t="s">
        <v>113</v>
      </c>
      <c r="J335" t="s">
        <v>116</v>
      </c>
      <c r="K335" t="s">
        <v>2</v>
      </c>
      <c r="L335" t="s">
        <v>3</v>
      </c>
      <c r="M335">
        <v>1010864</v>
      </c>
      <c r="N335">
        <v>15672072</v>
      </c>
      <c r="O335">
        <v>35824679.390000001</v>
      </c>
      <c r="P335" t="s">
        <v>127</v>
      </c>
    </row>
    <row r="336" spans="2:16" x14ac:dyDescent="0.25">
      <c r="B336">
        <f t="shared" si="5"/>
        <v>334</v>
      </c>
      <c r="C336">
        <v>30039079</v>
      </c>
      <c r="D336" t="s">
        <v>71</v>
      </c>
      <c r="F336" t="e">
        <f>VLOOKUP(JENNIFFER!$B336,#REF!,4,1)</f>
        <v>#REF!</v>
      </c>
      <c r="G336" t="e">
        <f>IF(JENNIFFER!$E336="",JENNIFFER!$F336,JENNIFFER!$E336)</f>
        <v>#REF!</v>
      </c>
      <c r="I336" t="s">
        <v>67</v>
      </c>
      <c r="J336" t="s">
        <v>72</v>
      </c>
      <c r="K336" t="s">
        <v>2</v>
      </c>
      <c r="L336" t="s">
        <v>3</v>
      </c>
      <c r="M336">
        <v>2182725</v>
      </c>
      <c r="N336">
        <v>28085102</v>
      </c>
      <c r="O336">
        <v>64041144.43</v>
      </c>
      <c r="P336" t="s">
        <v>61</v>
      </c>
    </row>
    <row r="337" spans="2:16" x14ac:dyDescent="0.25">
      <c r="B337">
        <f t="shared" si="5"/>
        <v>335</v>
      </c>
      <c r="C337">
        <v>30041012</v>
      </c>
      <c r="D337" t="s">
        <v>609</v>
      </c>
      <c r="F337" t="e">
        <f>VLOOKUP(JENNIFFER!$B337,#REF!,4,1)</f>
        <v>#REF!</v>
      </c>
      <c r="G337" t="e">
        <f>IF(JENNIFFER!$E337="",JENNIFFER!$F337,JENNIFFER!$E337)</f>
        <v>#REF!</v>
      </c>
      <c r="I337" t="s">
        <v>459</v>
      </c>
      <c r="J337" t="s">
        <v>68</v>
      </c>
      <c r="K337" t="s">
        <v>2</v>
      </c>
      <c r="L337" t="s">
        <v>3</v>
      </c>
      <c r="M337">
        <v>1075845</v>
      </c>
      <c r="N337">
        <v>6063549</v>
      </c>
      <c r="O337">
        <v>13828929.789999999</v>
      </c>
      <c r="P337" t="s">
        <v>594</v>
      </c>
    </row>
    <row r="338" spans="2:16" x14ac:dyDescent="0.25">
      <c r="B338">
        <f t="shared" si="5"/>
        <v>336</v>
      </c>
      <c r="C338">
        <v>30049069</v>
      </c>
      <c r="D338" t="s">
        <v>69</v>
      </c>
      <c r="F338" t="e">
        <f>VLOOKUP(JENNIFFER!$B338,#REF!,4,1)</f>
        <v>#REF!</v>
      </c>
      <c r="G338" t="e">
        <f>IF(JENNIFFER!$E338="",JENNIFFER!$F338,JENNIFFER!$E338)</f>
        <v>#REF!</v>
      </c>
      <c r="I338" t="s">
        <v>67</v>
      </c>
      <c r="J338" t="s">
        <v>64</v>
      </c>
      <c r="K338" t="s">
        <v>2</v>
      </c>
      <c r="L338" t="s">
        <v>10</v>
      </c>
      <c r="M338">
        <v>3775457</v>
      </c>
      <c r="N338">
        <v>29590524</v>
      </c>
      <c r="O338">
        <v>67554596.879999995</v>
      </c>
      <c r="P338" t="s">
        <v>61</v>
      </c>
    </row>
    <row r="339" spans="2:16" x14ac:dyDescent="0.25">
      <c r="B339">
        <f t="shared" si="5"/>
        <v>337</v>
      </c>
      <c r="C339">
        <v>30049099</v>
      </c>
      <c r="D339" t="s">
        <v>588</v>
      </c>
      <c r="F339" t="e">
        <f>VLOOKUP(JENNIFFER!$B339,#REF!,4,1)</f>
        <v>#REF!</v>
      </c>
      <c r="G339" t="e">
        <f>IF(JENNIFFER!$E339="",JENNIFFER!$F339,JENNIFFER!$E339)</f>
        <v>#REF!</v>
      </c>
      <c r="I339" t="s">
        <v>583</v>
      </c>
      <c r="J339" t="s">
        <v>92</v>
      </c>
      <c r="K339" t="s">
        <v>2</v>
      </c>
      <c r="L339" t="s">
        <v>23</v>
      </c>
      <c r="M339">
        <v>834412</v>
      </c>
      <c r="N339">
        <v>11528847</v>
      </c>
      <c r="O339">
        <v>26231554.719999999</v>
      </c>
      <c r="P339" t="s">
        <v>589</v>
      </c>
    </row>
    <row r="340" spans="2:16" x14ac:dyDescent="0.25">
      <c r="B340">
        <f t="shared" si="5"/>
        <v>338</v>
      </c>
      <c r="C340">
        <v>30049099</v>
      </c>
      <c r="D340" t="s">
        <v>479</v>
      </c>
      <c r="F340" t="e">
        <f>VLOOKUP(JENNIFFER!$B340,#REF!,4,1)</f>
        <v>#REF!</v>
      </c>
      <c r="G340" t="e">
        <f>IF(JENNIFFER!$E340="",JENNIFFER!$F340,JENNIFFER!$E340)</f>
        <v>#REF!</v>
      </c>
      <c r="I340" t="s">
        <v>478</v>
      </c>
      <c r="J340" t="s">
        <v>290</v>
      </c>
      <c r="K340" t="s">
        <v>2</v>
      </c>
      <c r="L340" t="s">
        <v>23</v>
      </c>
      <c r="M340">
        <v>743698</v>
      </c>
      <c r="N340">
        <v>4978491</v>
      </c>
      <c r="O340">
        <v>11378004.92</v>
      </c>
      <c r="P340" t="s">
        <v>472</v>
      </c>
    </row>
    <row r="341" spans="2:16" x14ac:dyDescent="0.25">
      <c r="B341">
        <f t="shared" si="5"/>
        <v>339</v>
      </c>
      <c r="C341">
        <v>30042099</v>
      </c>
      <c r="D341" t="s">
        <v>477</v>
      </c>
      <c r="F341" t="e">
        <f>VLOOKUP(JENNIFFER!$B341,#REF!,4,1)</f>
        <v>#REF!</v>
      </c>
      <c r="G341" t="e">
        <f>IF(JENNIFFER!$E341="",JENNIFFER!$F341,JENNIFFER!$E341)</f>
        <v>#REF!</v>
      </c>
      <c r="I341" t="s">
        <v>478</v>
      </c>
      <c r="J341" t="s">
        <v>290</v>
      </c>
      <c r="K341" t="s">
        <v>2</v>
      </c>
      <c r="L341" t="s">
        <v>3</v>
      </c>
      <c r="M341">
        <v>753219</v>
      </c>
      <c r="N341">
        <v>6990400</v>
      </c>
      <c r="O341">
        <v>16006266.060000001</v>
      </c>
      <c r="P341" t="s">
        <v>472</v>
      </c>
    </row>
    <row r="342" spans="2:16" x14ac:dyDescent="0.25">
      <c r="B342">
        <f t="shared" si="5"/>
        <v>340</v>
      </c>
      <c r="C342">
        <v>30042029</v>
      </c>
      <c r="D342" t="s">
        <v>482</v>
      </c>
      <c r="F342" t="e">
        <f>VLOOKUP(JENNIFFER!$B342,#REF!,4,1)</f>
        <v>#REF!</v>
      </c>
      <c r="G342" t="e">
        <f>IF(JENNIFFER!$E342="",JENNIFFER!$F342,JENNIFFER!$E342)</f>
        <v>#REF!</v>
      </c>
      <c r="I342" t="s">
        <v>478</v>
      </c>
      <c r="J342" t="s">
        <v>29</v>
      </c>
      <c r="K342" t="s">
        <v>2</v>
      </c>
      <c r="L342" t="s">
        <v>3</v>
      </c>
      <c r="M342">
        <v>566421</v>
      </c>
      <c r="N342">
        <v>1305130</v>
      </c>
      <c r="O342">
        <v>2979973.71</v>
      </c>
      <c r="P342" t="s">
        <v>472</v>
      </c>
    </row>
    <row r="343" spans="2:16" x14ac:dyDescent="0.25">
      <c r="B343">
        <f t="shared" si="5"/>
        <v>341</v>
      </c>
      <c r="C343">
        <v>30042099</v>
      </c>
      <c r="D343" t="s">
        <v>483</v>
      </c>
      <c r="F343" t="e">
        <f>VLOOKUP(JENNIFFER!$B343,#REF!,4,1)</f>
        <v>#REF!</v>
      </c>
      <c r="G343" t="e">
        <f>IF(JENNIFFER!$E343="",JENNIFFER!$F343,JENNIFFER!$E343)</f>
        <v>#REF!</v>
      </c>
      <c r="I343" t="s">
        <v>478</v>
      </c>
      <c r="J343" t="s">
        <v>290</v>
      </c>
      <c r="K343" t="s">
        <v>2</v>
      </c>
      <c r="L343" t="s">
        <v>23</v>
      </c>
      <c r="M343">
        <v>525396</v>
      </c>
      <c r="N343">
        <v>1699442</v>
      </c>
      <c r="O343">
        <v>3885338.4</v>
      </c>
      <c r="P343" t="s">
        <v>472</v>
      </c>
    </row>
    <row r="344" spans="2:16" x14ac:dyDescent="0.25">
      <c r="B344">
        <f t="shared" si="5"/>
        <v>342</v>
      </c>
      <c r="C344">
        <v>30042069</v>
      </c>
      <c r="D344" t="s">
        <v>480</v>
      </c>
      <c r="F344" t="e">
        <f>VLOOKUP(JENNIFFER!$B344,#REF!,4,1)</f>
        <v>#REF!</v>
      </c>
      <c r="G344" t="e">
        <f>IF(JENNIFFER!$E344="",JENNIFFER!$F344,JENNIFFER!$E344)</f>
        <v>#REF!</v>
      </c>
      <c r="I344" t="s">
        <v>478</v>
      </c>
      <c r="J344" t="s">
        <v>275</v>
      </c>
      <c r="K344" t="s">
        <v>2</v>
      </c>
      <c r="L344" t="s">
        <v>23</v>
      </c>
      <c r="M344">
        <v>613989</v>
      </c>
      <c r="N344">
        <v>1340262</v>
      </c>
      <c r="O344">
        <v>3049499.01</v>
      </c>
      <c r="P344" t="s">
        <v>472</v>
      </c>
    </row>
    <row r="345" spans="2:16" x14ac:dyDescent="0.25">
      <c r="B345">
        <f t="shared" si="5"/>
        <v>343</v>
      </c>
      <c r="C345">
        <v>30032099</v>
      </c>
      <c r="D345" t="s">
        <v>481</v>
      </c>
      <c r="F345" t="e">
        <f>VLOOKUP(JENNIFFER!$B345,#REF!,4,1)</f>
        <v>#REF!</v>
      </c>
      <c r="G345" t="e">
        <f>IF(JENNIFFER!$E345="",JENNIFFER!$F345,JENNIFFER!$E345)</f>
        <v>#REF!</v>
      </c>
      <c r="I345" t="s">
        <v>476</v>
      </c>
      <c r="J345" t="s">
        <v>109</v>
      </c>
      <c r="K345" t="s">
        <v>4</v>
      </c>
      <c r="L345" t="s">
        <v>23</v>
      </c>
      <c r="M345">
        <v>591158</v>
      </c>
      <c r="N345">
        <v>3077048</v>
      </c>
      <c r="O345">
        <v>7037177.8099999996</v>
      </c>
      <c r="P345" t="s">
        <v>472</v>
      </c>
    </row>
    <row r="346" spans="2:16" x14ac:dyDescent="0.25">
      <c r="B346">
        <f t="shared" si="5"/>
        <v>344</v>
      </c>
      <c r="C346">
        <v>30042099</v>
      </c>
      <c r="D346" t="s">
        <v>475</v>
      </c>
      <c r="F346" t="e">
        <f>VLOOKUP(JENNIFFER!$B346,#REF!,4,1)</f>
        <v>#REF!</v>
      </c>
      <c r="G346" t="e">
        <f>IF(JENNIFFER!$E346="",JENNIFFER!$F346,JENNIFFER!$E346)</f>
        <v>#REF!</v>
      </c>
      <c r="I346" t="s">
        <v>476</v>
      </c>
      <c r="J346" t="s">
        <v>34</v>
      </c>
      <c r="K346" t="s">
        <v>2</v>
      </c>
      <c r="L346" t="s">
        <v>3</v>
      </c>
      <c r="M346">
        <v>1167706</v>
      </c>
      <c r="N346">
        <v>3059488</v>
      </c>
      <c r="O346">
        <v>6985127.0899999999</v>
      </c>
      <c r="P346" t="s">
        <v>472</v>
      </c>
    </row>
    <row r="347" spans="2:16" x14ac:dyDescent="0.25">
      <c r="B347">
        <f t="shared" si="5"/>
        <v>345</v>
      </c>
      <c r="C347">
        <v>30049045</v>
      </c>
      <c r="D347" t="s">
        <v>155</v>
      </c>
      <c r="F347" t="e">
        <f>VLOOKUP(JENNIFFER!$B347,#REF!,4,1)</f>
        <v>#REF!</v>
      </c>
      <c r="G347" t="e">
        <f>IF(JENNIFFER!$E347="",JENNIFFER!$F347,JENNIFFER!$E347)</f>
        <v>#REF!</v>
      </c>
      <c r="I347" t="s">
        <v>7</v>
      </c>
      <c r="J347" t="s">
        <v>64</v>
      </c>
      <c r="K347" t="s">
        <v>4</v>
      </c>
      <c r="L347" t="s">
        <v>10</v>
      </c>
      <c r="M347">
        <v>3174306</v>
      </c>
      <c r="N347">
        <v>10941446</v>
      </c>
      <c r="O347">
        <v>24933255.260000002</v>
      </c>
      <c r="P347" t="s">
        <v>5</v>
      </c>
    </row>
    <row r="348" spans="2:16" x14ac:dyDescent="0.25">
      <c r="B348">
        <f t="shared" si="5"/>
        <v>346</v>
      </c>
      <c r="C348">
        <v>30049045</v>
      </c>
      <c r="D348" t="s">
        <v>155</v>
      </c>
      <c r="F348" t="e">
        <f>VLOOKUP(JENNIFFER!$B348,#REF!,4,1)</f>
        <v>#REF!</v>
      </c>
      <c r="G348" t="e">
        <f>IF(JENNIFFER!$E348="",JENNIFFER!$F348,JENNIFFER!$E348)</f>
        <v>#REF!</v>
      </c>
      <c r="I348" t="s">
        <v>7</v>
      </c>
      <c r="J348" t="s">
        <v>64</v>
      </c>
      <c r="K348" t="s">
        <v>4</v>
      </c>
      <c r="L348" t="s">
        <v>10</v>
      </c>
      <c r="M348">
        <v>3174306</v>
      </c>
      <c r="N348">
        <v>10941446</v>
      </c>
      <c r="O348">
        <v>24933255.260000002</v>
      </c>
      <c r="P348" t="s">
        <v>549</v>
      </c>
    </row>
    <row r="349" spans="2:16" x14ac:dyDescent="0.25">
      <c r="B349">
        <f t="shared" si="5"/>
        <v>347</v>
      </c>
      <c r="C349">
        <v>30049045</v>
      </c>
      <c r="D349" t="s">
        <v>155</v>
      </c>
      <c r="F349" t="e">
        <f>VLOOKUP(JENNIFFER!$B349,#REF!,4,1)</f>
        <v>#REF!</v>
      </c>
      <c r="G349" t="e">
        <f>IF(JENNIFFER!$E349="",JENNIFFER!$F349,JENNIFFER!$E349)</f>
        <v>#REF!</v>
      </c>
      <c r="I349" t="s">
        <v>7</v>
      </c>
      <c r="J349" t="s">
        <v>64</v>
      </c>
      <c r="K349" t="s">
        <v>4</v>
      </c>
      <c r="L349" t="s">
        <v>10</v>
      </c>
      <c r="M349">
        <v>3174306</v>
      </c>
      <c r="N349">
        <v>10941446</v>
      </c>
      <c r="O349">
        <v>24933255.260000002</v>
      </c>
      <c r="P349" t="s">
        <v>559</v>
      </c>
    </row>
    <row r="350" spans="2:16" x14ac:dyDescent="0.25">
      <c r="B350">
        <f t="shared" si="5"/>
        <v>348</v>
      </c>
      <c r="C350">
        <v>30049099</v>
      </c>
      <c r="D350" t="s">
        <v>104</v>
      </c>
      <c r="F350" t="e">
        <f>VLOOKUP(JENNIFFER!$B350,#REF!,4,1)</f>
        <v>#REF!</v>
      </c>
      <c r="G350" t="e">
        <f>IF(JENNIFFER!$E350="",JENNIFFER!$F350,JENNIFFER!$E350)</f>
        <v>#REF!</v>
      </c>
      <c r="I350" t="s">
        <v>105</v>
      </c>
      <c r="J350" t="s">
        <v>9</v>
      </c>
      <c r="K350" t="s">
        <v>4</v>
      </c>
      <c r="L350" t="s">
        <v>3</v>
      </c>
      <c r="M350">
        <v>294615</v>
      </c>
      <c r="N350">
        <v>1602140</v>
      </c>
      <c r="O350">
        <v>3668364.21</v>
      </c>
      <c r="P350" t="s">
        <v>111</v>
      </c>
    </row>
    <row r="351" spans="2:16" x14ac:dyDescent="0.25">
      <c r="B351">
        <f t="shared" si="5"/>
        <v>349</v>
      </c>
      <c r="C351">
        <v>30049099</v>
      </c>
      <c r="D351" t="s">
        <v>106</v>
      </c>
      <c r="F351" t="e">
        <f>VLOOKUP(JENNIFFER!$B351,#REF!,4,1)</f>
        <v>#REF!</v>
      </c>
      <c r="G351" t="e">
        <f>IF(JENNIFFER!$E351="",JENNIFFER!$F351,JENNIFFER!$E351)</f>
        <v>#REF!</v>
      </c>
      <c r="I351" t="s">
        <v>105</v>
      </c>
      <c r="J351" t="s">
        <v>9</v>
      </c>
      <c r="K351" t="s">
        <v>4</v>
      </c>
      <c r="L351" t="s">
        <v>3</v>
      </c>
      <c r="M351">
        <v>253286</v>
      </c>
      <c r="N351">
        <v>1376724</v>
      </c>
      <c r="O351">
        <v>3154429.09</v>
      </c>
      <c r="P351" t="s">
        <v>111</v>
      </c>
    </row>
    <row r="352" spans="2:16" x14ac:dyDescent="0.25">
      <c r="B352">
        <f t="shared" si="5"/>
        <v>350</v>
      </c>
      <c r="C352">
        <v>30049099</v>
      </c>
      <c r="D352" t="s">
        <v>539</v>
      </c>
      <c r="F352" t="e">
        <f>VLOOKUP(JENNIFFER!$B352,#REF!,4,1)</f>
        <v>#REF!</v>
      </c>
      <c r="G352" t="e">
        <f>IF(JENNIFFER!$E352="",JENNIFFER!$F352,JENNIFFER!$E352)</f>
        <v>#REF!</v>
      </c>
      <c r="I352" t="s">
        <v>535</v>
      </c>
      <c r="J352" t="s">
        <v>29</v>
      </c>
      <c r="K352" t="s">
        <v>2</v>
      </c>
      <c r="L352" t="s">
        <v>10</v>
      </c>
      <c r="M352">
        <v>271508</v>
      </c>
      <c r="N352">
        <v>3987855</v>
      </c>
      <c r="O352">
        <v>9093830.6400000006</v>
      </c>
      <c r="P352" t="s">
        <v>548</v>
      </c>
    </row>
    <row r="353" spans="2:16" x14ac:dyDescent="0.25">
      <c r="B353">
        <f t="shared" si="5"/>
        <v>351</v>
      </c>
      <c r="C353">
        <v>30049069</v>
      </c>
      <c r="D353" t="s">
        <v>300</v>
      </c>
      <c r="F353" t="e">
        <f>VLOOKUP(JENNIFFER!$B353,#REF!,4,1)</f>
        <v>#REF!</v>
      </c>
      <c r="G353" t="e">
        <f>IF(JENNIFFER!$E353="",JENNIFFER!$F353,JENNIFFER!$E353)</f>
        <v>#REF!</v>
      </c>
      <c r="I353" t="s">
        <v>298</v>
      </c>
      <c r="J353" t="s">
        <v>58</v>
      </c>
      <c r="K353" t="s">
        <v>2</v>
      </c>
      <c r="L353" t="s">
        <v>3</v>
      </c>
      <c r="M353">
        <v>1308304</v>
      </c>
      <c r="N353">
        <v>10939223</v>
      </c>
      <c r="O353">
        <v>24797385.98</v>
      </c>
      <c r="P353" t="s">
        <v>286</v>
      </c>
    </row>
    <row r="354" spans="2:16" x14ac:dyDescent="0.25">
      <c r="B354">
        <f t="shared" si="5"/>
        <v>352</v>
      </c>
      <c r="C354">
        <v>30049041</v>
      </c>
      <c r="D354" t="s">
        <v>77</v>
      </c>
      <c r="F354" t="e">
        <f>VLOOKUP(JENNIFFER!$B354,#REF!,4,1)</f>
        <v>#REF!</v>
      </c>
      <c r="G354" t="e">
        <f>IF(JENNIFFER!$E354="",JENNIFFER!$F354,JENNIFFER!$E354)</f>
        <v>#REF!</v>
      </c>
      <c r="I354" t="s">
        <v>78</v>
      </c>
      <c r="J354" t="s">
        <v>28</v>
      </c>
      <c r="K354" t="s">
        <v>2</v>
      </c>
      <c r="L354" t="s">
        <v>23</v>
      </c>
      <c r="M354">
        <v>2432477</v>
      </c>
      <c r="N354">
        <v>5714663</v>
      </c>
      <c r="O354">
        <v>13061613.539999999</v>
      </c>
      <c r="P354" t="s">
        <v>76</v>
      </c>
    </row>
    <row r="355" spans="2:16" x14ac:dyDescent="0.25">
      <c r="B355">
        <f t="shared" si="5"/>
        <v>353</v>
      </c>
      <c r="C355">
        <v>30049041</v>
      </c>
      <c r="D355" t="s">
        <v>77</v>
      </c>
      <c r="F355" t="e">
        <f>VLOOKUP(JENNIFFER!$B355,#REF!,4,1)</f>
        <v>#REF!</v>
      </c>
      <c r="G355" t="e">
        <f>IF(JENNIFFER!$E355="",JENNIFFER!$F355,JENNIFFER!$E355)</f>
        <v>#REF!</v>
      </c>
      <c r="I355" t="s">
        <v>78</v>
      </c>
      <c r="J355" t="s">
        <v>28</v>
      </c>
      <c r="K355" t="s">
        <v>2</v>
      </c>
      <c r="L355" t="s">
        <v>23</v>
      </c>
      <c r="M355">
        <v>2432477</v>
      </c>
      <c r="N355">
        <v>5714663</v>
      </c>
      <c r="O355">
        <v>13061613.539999999</v>
      </c>
      <c r="P355" t="s">
        <v>549</v>
      </c>
    </row>
    <row r="356" spans="2:16" x14ac:dyDescent="0.25">
      <c r="B356">
        <f t="shared" si="5"/>
        <v>354</v>
      </c>
      <c r="C356">
        <v>30049041</v>
      </c>
      <c r="D356" t="s">
        <v>79</v>
      </c>
      <c r="F356" t="e">
        <f>VLOOKUP(JENNIFFER!$B356,#REF!,4,1)</f>
        <v>#REF!</v>
      </c>
      <c r="G356" t="e">
        <f>IF(JENNIFFER!$E356="",JENNIFFER!$F356,JENNIFFER!$E356)</f>
        <v>#REF!</v>
      </c>
      <c r="I356" t="s">
        <v>78</v>
      </c>
      <c r="J356" t="s">
        <v>28</v>
      </c>
      <c r="K356" t="s">
        <v>2</v>
      </c>
      <c r="L356" t="s">
        <v>23</v>
      </c>
      <c r="M356">
        <v>1558851</v>
      </c>
      <c r="N356">
        <v>3847689</v>
      </c>
      <c r="O356">
        <v>8794662.3100000005</v>
      </c>
      <c r="P356" t="s">
        <v>76</v>
      </c>
    </row>
    <row r="357" spans="2:16" x14ac:dyDescent="0.25">
      <c r="B357">
        <f t="shared" si="5"/>
        <v>355</v>
      </c>
      <c r="D357" t="s">
        <v>429</v>
      </c>
      <c r="F357" t="e">
        <f>VLOOKUP(JENNIFFER!$B357,#REF!,4,1)</f>
        <v>#REF!</v>
      </c>
      <c r="G357" t="e">
        <f>IF(JENNIFFER!$E357="",JENNIFFER!$F357,JENNIFFER!$E357)</f>
        <v>#REF!</v>
      </c>
      <c r="I357" t="s">
        <v>428</v>
      </c>
      <c r="J357" t="s">
        <v>52</v>
      </c>
      <c r="K357" t="s">
        <v>4</v>
      </c>
      <c r="L357" t="s">
        <v>10</v>
      </c>
      <c r="M357">
        <v>639671</v>
      </c>
      <c r="N357">
        <v>5598235</v>
      </c>
      <c r="O357">
        <v>12776962.880000001</v>
      </c>
      <c r="P357" t="s">
        <v>441</v>
      </c>
    </row>
    <row r="358" spans="2:16" x14ac:dyDescent="0.25">
      <c r="B358">
        <f t="shared" si="5"/>
        <v>356</v>
      </c>
      <c r="D358" t="s">
        <v>523</v>
      </c>
      <c r="F358" t="e">
        <f>VLOOKUP(JENNIFFER!$B358,#REF!,4,1)</f>
        <v>#REF!</v>
      </c>
      <c r="G358" t="e">
        <f>IF(JENNIFFER!$E358="",JENNIFFER!$F358,JENNIFFER!$E358)</f>
        <v>#REF!</v>
      </c>
      <c r="I358" t="s">
        <v>519</v>
      </c>
      <c r="J358" t="s">
        <v>469</v>
      </c>
      <c r="K358" t="s">
        <v>2</v>
      </c>
      <c r="L358" t="s">
        <v>23</v>
      </c>
      <c r="M358">
        <v>894478</v>
      </c>
      <c r="N358">
        <v>9653546</v>
      </c>
      <c r="O358">
        <v>22022463.719999999</v>
      </c>
      <c r="P358" t="s">
        <v>525</v>
      </c>
    </row>
    <row r="359" spans="2:16" x14ac:dyDescent="0.25">
      <c r="B359">
        <f t="shared" si="5"/>
        <v>357</v>
      </c>
      <c r="C359">
        <v>30043939</v>
      </c>
      <c r="D359" t="s">
        <v>572</v>
      </c>
      <c r="F359" t="e">
        <f>VLOOKUP(JENNIFFER!$B359,#REF!,4,1)</f>
        <v>#REF!</v>
      </c>
      <c r="G359" t="e">
        <f>IF(JENNIFFER!$E359="",JENNIFFER!$F359,JENNIFFER!$E359)</f>
        <v>#REF!</v>
      </c>
      <c r="I359" t="s">
        <v>573</v>
      </c>
      <c r="J359" t="s">
        <v>239</v>
      </c>
      <c r="K359" t="s">
        <v>2</v>
      </c>
      <c r="L359" t="s">
        <v>23</v>
      </c>
      <c r="M359">
        <v>516898</v>
      </c>
      <c r="N359">
        <v>5390851</v>
      </c>
      <c r="O359">
        <v>12306002.789999999</v>
      </c>
      <c r="P359" t="s">
        <v>579</v>
      </c>
    </row>
    <row r="360" spans="2:16" x14ac:dyDescent="0.25">
      <c r="B360">
        <f t="shared" si="5"/>
        <v>358</v>
      </c>
      <c r="C360">
        <v>30043939</v>
      </c>
      <c r="D360" t="s">
        <v>578</v>
      </c>
      <c r="F360" t="e">
        <f>VLOOKUP(JENNIFFER!$B360,#REF!,4,1)</f>
        <v>#REF!</v>
      </c>
      <c r="G360" t="e">
        <f>IF(JENNIFFER!$E360="",JENNIFFER!$F360,JENNIFFER!$E360)</f>
        <v>#REF!</v>
      </c>
      <c r="I360" t="s">
        <v>573</v>
      </c>
      <c r="J360" t="s">
        <v>400</v>
      </c>
      <c r="K360" t="s">
        <v>2</v>
      </c>
      <c r="L360" t="s">
        <v>3</v>
      </c>
      <c r="M360">
        <v>371596</v>
      </c>
      <c r="N360">
        <v>3470307</v>
      </c>
      <c r="O360">
        <v>7920555.7800000003</v>
      </c>
      <c r="P360" t="s">
        <v>579</v>
      </c>
    </row>
    <row r="361" spans="2:16" x14ac:dyDescent="0.25">
      <c r="B361">
        <f t="shared" si="5"/>
        <v>359</v>
      </c>
      <c r="C361">
        <v>30043939</v>
      </c>
      <c r="D361" t="s">
        <v>574</v>
      </c>
      <c r="F361" t="e">
        <f>VLOOKUP(JENNIFFER!$B361,#REF!,4,1)</f>
        <v>#REF!</v>
      </c>
      <c r="G361" t="e">
        <f>IF(JENNIFFER!$E361="",JENNIFFER!$F361,JENNIFFER!$E361)</f>
        <v>#REF!</v>
      </c>
      <c r="I361" t="s">
        <v>570</v>
      </c>
      <c r="J361" t="s">
        <v>400</v>
      </c>
      <c r="K361" t="s">
        <v>2</v>
      </c>
      <c r="L361" t="s">
        <v>23</v>
      </c>
      <c r="M361">
        <v>511878</v>
      </c>
      <c r="N361">
        <v>1353300</v>
      </c>
      <c r="O361">
        <v>3090346.52</v>
      </c>
      <c r="P361" t="s">
        <v>579</v>
      </c>
    </row>
    <row r="362" spans="2:16" x14ac:dyDescent="0.25">
      <c r="B362">
        <f t="shared" si="5"/>
        <v>360</v>
      </c>
      <c r="D362" t="s">
        <v>418</v>
      </c>
      <c r="F362" t="e">
        <f>VLOOKUP(JENNIFFER!$B362,#REF!,4,1)</f>
        <v>#REF!</v>
      </c>
      <c r="G362" t="e">
        <f>IF(JENNIFFER!$E362="",JENNIFFER!$F362,JENNIFFER!$E362)</f>
        <v>#REF!</v>
      </c>
      <c r="I362" t="s">
        <v>419</v>
      </c>
      <c r="J362" t="s">
        <v>136</v>
      </c>
      <c r="K362" t="s">
        <v>2</v>
      </c>
      <c r="L362" t="s">
        <v>3</v>
      </c>
      <c r="M362">
        <v>905604</v>
      </c>
      <c r="N362">
        <v>13828212</v>
      </c>
      <c r="O362">
        <v>31538130.289999999</v>
      </c>
      <c r="P362" t="s">
        <v>426</v>
      </c>
    </row>
    <row r="363" spans="2:16" x14ac:dyDescent="0.25">
      <c r="B363">
        <f t="shared" si="5"/>
        <v>361</v>
      </c>
      <c r="C363">
        <v>30049099</v>
      </c>
      <c r="D363" t="s">
        <v>436</v>
      </c>
      <c r="F363" t="e">
        <f>VLOOKUP(JENNIFFER!$B363,#REF!,4,1)</f>
        <v>#REF!</v>
      </c>
      <c r="G363" t="e">
        <f>IF(JENNIFFER!$E363="",JENNIFFER!$F363,JENNIFFER!$E363)</f>
        <v>#REF!</v>
      </c>
      <c r="I363" t="s">
        <v>428</v>
      </c>
      <c r="J363" t="s">
        <v>219</v>
      </c>
      <c r="K363" t="s">
        <v>4</v>
      </c>
      <c r="L363" t="s">
        <v>3</v>
      </c>
      <c r="M363">
        <v>302890</v>
      </c>
      <c r="N363">
        <v>1998634</v>
      </c>
      <c r="O363">
        <v>4578168.13</v>
      </c>
      <c r="P363" t="s">
        <v>441</v>
      </c>
    </row>
    <row r="364" spans="2:16" x14ac:dyDescent="0.25">
      <c r="B364">
        <f t="shared" si="5"/>
        <v>362</v>
      </c>
      <c r="C364">
        <v>30049099</v>
      </c>
      <c r="D364" t="s">
        <v>437</v>
      </c>
      <c r="F364" t="e">
        <f>VLOOKUP(JENNIFFER!$B364,#REF!,4,1)</f>
        <v>#REF!</v>
      </c>
      <c r="G364" t="e">
        <f>IF(JENNIFFER!$E364="",JENNIFFER!$F364,JENNIFFER!$E364)</f>
        <v>#REF!</v>
      </c>
      <c r="I364" t="s">
        <v>428</v>
      </c>
      <c r="J364" t="s">
        <v>215</v>
      </c>
      <c r="K364" t="s">
        <v>4</v>
      </c>
      <c r="L364" t="s">
        <v>3</v>
      </c>
      <c r="M364">
        <v>272211</v>
      </c>
      <c r="N364">
        <v>2901258</v>
      </c>
      <c r="O364">
        <v>6618132.8799999999</v>
      </c>
      <c r="P364" t="s">
        <v>441</v>
      </c>
    </row>
    <row r="365" spans="2:16" x14ac:dyDescent="0.25">
      <c r="B365">
        <f t="shared" si="5"/>
        <v>363</v>
      </c>
      <c r="C365">
        <v>30049099</v>
      </c>
      <c r="D365" t="s">
        <v>435</v>
      </c>
      <c r="F365" t="e">
        <f>VLOOKUP(JENNIFFER!$B365,#REF!,4,1)</f>
        <v>#REF!</v>
      </c>
      <c r="G365" t="e">
        <f>IF(JENNIFFER!$E365="",JENNIFFER!$F365,JENNIFFER!$E365)</f>
        <v>#REF!</v>
      </c>
      <c r="I365" t="s">
        <v>428</v>
      </c>
      <c r="J365" t="s">
        <v>68</v>
      </c>
      <c r="K365" t="s">
        <v>4</v>
      </c>
      <c r="L365" t="s">
        <v>3</v>
      </c>
      <c r="M365">
        <v>315020</v>
      </c>
      <c r="N365">
        <v>2642867</v>
      </c>
      <c r="O365">
        <v>6017827.2800000003</v>
      </c>
      <c r="P365" t="s">
        <v>441</v>
      </c>
    </row>
    <row r="366" spans="2:16" x14ac:dyDescent="0.25">
      <c r="B366">
        <f t="shared" si="5"/>
        <v>364</v>
      </c>
      <c r="C366">
        <v>30049099</v>
      </c>
      <c r="D366" t="s">
        <v>427</v>
      </c>
      <c r="F366" t="e">
        <f>VLOOKUP(JENNIFFER!$B366,#REF!,4,1)</f>
        <v>#REF!</v>
      </c>
      <c r="G366" t="e">
        <f>IF(JENNIFFER!$E366="",JENNIFFER!$F366,JENNIFFER!$E366)</f>
        <v>#REF!</v>
      </c>
      <c r="I366" t="s">
        <v>428</v>
      </c>
      <c r="J366" t="s">
        <v>92</v>
      </c>
      <c r="K366" t="s">
        <v>4</v>
      </c>
      <c r="L366" t="s">
        <v>23</v>
      </c>
      <c r="M366">
        <v>683356</v>
      </c>
      <c r="N366">
        <v>9729035</v>
      </c>
      <c r="O366">
        <v>22207594.32</v>
      </c>
      <c r="P366" t="s">
        <v>441</v>
      </c>
    </row>
    <row r="367" spans="2:16" x14ac:dyDescent="0.25">
      <c r="B367">
        <f t="shared" si="5"/>
        <v>365</v>
      </c>
      <c r="C367">
        <v>30049099</v>
      </c>
      <c r="D367" t="s">
        <v>440</v>
      </c>
      <c r="F367" t="e">
        <f>VLOOKUP(JENNIFFER!$B367,#REF!,4,1)</f>
        <v>#REF!</v>
      </c>
      <c r="G367" t="e">
        <f>IF(JENNIFFER!$E367="",JENNIFFER!$F367,JENNIFFER!$E367)</f>
        <v>#REF!</v>
      </c>
      <c r="I367" t="s">
        <v>428</v>
      </c>
      <c r="J367" t="s">
        <v>92</v>
      </c>
      <c r="K367" t="s">
        <v>4</v>
      </c>
      <c r="L367" t="s">
        <v>23</v>
      </c>
      <c r="M367">
        <v>202210</v>
      </c>
      <c r="N367">
        <v>2876200</v>
      </c>
      <c r="O367">
        <v>6568723.9699999997</v>
      </c>
      <c r="P367" t="s">
        <v>441</v>
      </c>
    </row>
    <row r="368" spans="2:16" x14ac:dyDescent="0.25">
      <c r="B368">
        <f t="shared" si="5"/>
        <v>366</v>
      </c>
      <c r="C368">
        <v>30049099</v>
      </c>
      <c r="D368" t="s">
        <v>431</v>
      </c>
      <c r="F368" t="e">
        <f>VLOOKUP(JENNIFFER!$B368,#REF!,4,1)</f>
        <v>#REF!</v>
      </c>
      <c r="G368" t="e">
        <f>IF(JENNIFFER!$E368="",JENNIFFER!$F368,JENNIFFER!$E368)</f>
        <v>#REF!</v>
      </c>
      <c r="I368" t="s">
        <v>428</v>
      </c>
      <c r="J368" t="s">
        <v>92</v>
      </c>
      <c r="K368" t="s">
        <v>4</v>
      </c>
      <c r="L368" t="s">
        <v>23</v>
      </c>
      <c r="M368">
        <v>437985</v>
      </c>
      <c r="N368">
        <v>6694513</v>
      </c>
      <c r="O368">
        <v>15283319.25</v>
      </c>
      <c r="P368" t="s">
        <v>441</v>
      </c>
    </row>
    <row r="369" spans="2:16" x14ac:dyDescent="0.25">
      <c r="B369">
        <f t="shared" si="5"/>
        <v>367</v>
      </c>
      <c r="D369" t="s">
        <v>560</v>
      </c>
      <c r="F369" t="e">
        <f>VLOOKUP(JENNIFFER!$B369,#REF!,4,1)</f>
        <v>#REF!</v>
      </c>
      <c r="G369" t="e">
        <f>IF(JENNIFFER!$E369="",JENNIFFER!$F369,JENNIFFER!$E369)</f>
        <v>#REF!</v>
      </c>
      <c r="I369" t="s">
        <v>91</v>
      </c>
      <c r="J369" t="s">
        <v>64</v>
      </c>
      <c r="K369" t="s">
        <v>2</v>
      </c>
      <c r="L369" t="s">
        <v>3</v>
      </c>
      <c r="M369">
        <v>910052</v>
      </c>
      <c r="N369">
        <v>1915237</v>
      </c>
      <c r="O369">
        <v>4377561.7699999996</v>
      </c>
      <c r="P369" t="s">
        <v>554</v>
      </c>
    </row>
    <row r="370" spans="2:16" x14ac:dyDescent="0.25">
      <c r="B370">
        <f t="shared" si="5"/>
        <v>368</v>
      </c>
      <c r="C370">
        <v>30049049</v>
      </c>
      <c r="D370" t="s">
        <v>310</v>
      </c>
      <c r="F370" t="e">
        <f>VLOOKUP(JENNIFFER!$B370,#REF!,4,1)</f>
        <v>#REF!</v>
      </c>
      <c r="G370" t="e">
        <f>IF(JENNIFFER!$E370="",JENNIFFER!$F370,JENNIFFER!$E370)</f>
        <v>#REF!</v>
      </c>
      <c r="I370" t="s">
        <v>305</v>
      </c>
      <c r="J370" t="s">
        <v>275</v>
      </c>
      <c r="K370" t="s">
        <v>2</v>
      </c>
      <c r="L370" t="s">
        <v>23</v>
      </c>
      <c r="M370">
        <v>268199</v>
      </c>
      <c r="N370">
        <v>4641504</v>
      </c>
      <c r="O370">
        <v>10593382.970000001</v>
      </c>
      <c r="P370" t="s">
        <v>316</v>
      </c>
    </row>
    <row r="371" spans="2:16" x14ac:dyDescent="0.25">
      <c r="B371">
        <f t="shared" si="5"/>
        <v>369</v>
      </c>
      <c r="C371">
        <v>30049049</v>
      </c>
      <c r="D371" t="s">
        <v>304</v>
      </c>
      <c r="F371" t="e">
        <f>VLOOKUP(JENNIFFER!$B371,#REF!,4,1)</f>
        <v>#REF!</v>
      </c>
      <c r="G371" t="e">
        <f>IF(JENNIFFER!$E371="",JENNIFFER!$F371,JENNIFFER!$E371)</f>
        <v>#REF!</v>
      </c>
      <c r="I371" t="s">
        <v>305</v>
      </c>
      <c r="J371" t="s">
        <v>275</v>
      </c>
      <c r="K371" t="s">
        <v>2</v>
      </c>
      <c r="L371" t="s">
        <v>23</v>
      </c>
      <c r="M371">
        <v>790946</v>
      </c>
      <c r="N371">
        <v>18442020</v>
      </c>
      <c r="O371">
        <v>42091783.509999998</v>
      </c>
      <c r="P371" t="s">
        <v>316</v>
      </c>
    </row>
    <row r="372" spans="2:16" x14ac:dyDescent="0.25">
      <c r="B372">
        <f t="shared" si="5"/>
        <v>370</v>
      </c>
      <c r="C372">
        <v>30049049</v>
      </c>
      <c r="D372" t="s">
        <v>309</v>
      </c>
      <c r="F372" t="e">
        <f>VLOOKUP(JENNIFFER!$B372,#REF!,4,1)</f>
        <v>#REF!</v>
      </c>
      <c r="G372" t="e">
        <f>IF(JENNIFFER!$E372="",JENNIFFER!$F372,JENNIFFER!$E372)</f>
        <v>#REF!</v>
      </c>
      <c r="I372" t="s">
        <v>305</v>
      </c>
      <c r="J372" t="s">
        <v>275</v>
      </c>
      <c r="K372" t="s">
        <v>2</v>
      </c>
      <c r="L372" t="s">
        <v>23</v>
      </c>
      <c r="M372">
        <v>287517</v>
      </c>
      <c r="N372">
        <v>3346446</v>
      </c>
      <c r="O372">
        <v>7660677.29</v>
      </c>
      <c r="P372" t="s">
        <v>316</v>
      </c>
    </row>
    <row r="373" spans="2:16" x14ac:dyDescent="0.25">
      <c r="B373">
        <f t="shared" si="5"/>
        <v>371</v>
      </c>
      <c r="C373">
        <v>30049049</v>
      </c>
      <c r="D373" t="s">
        <v>311</v>
      </c>
      <c r="F373" t="e">
        <f>VLOOKUP(JENNIFFER!$B373,#REF!,4,1)</f>
        <v>#REF!</v>
      </c>
      <c r="G373" t="e">
        <f>IF(JENNIFFER!$E373="",JENNIFFER!$F373,JENNIFFER!$E373)</f>
        <v>#REF!</v>
      </c>
      <c r="I373" t="s">
        <v>305</v>
      </c>
      <c r="J373" t="s">
        <v>275</v>
      </c>
      <c r="K373" t="s">
        <v>2</v>
      </c>
      <c r="L373" t="s">
        <v>23</v>
      </c>
      <c r="M373">
        <v>222790</v>
      </c>
      <c r="N373">
        <v>5191630</v>
      </c>
      <c r="O373">
        <v>11859838.98</v>
      </c>
      <c r="P373" t="s">
        <v>316</v>
      </c>
    </row>
    <row r="374" spans="2:16" x14ac:dyDescent="0.25">
      <c r="B374">
        <f t="shared" si="5"/>
        <v>372</v>
      </c>
      <c r="C374">
        <v>30049049</v>
      </c>
      <c r="D374" t="s">
        <v>312</v>
      </c>
      <c r="F374" t="e">
        <f>VLOOKUP(JENNIFFER!$B374,#REF!,4,1)</f>
        <v>#REF!</v>
      </c>
      <c r="G374" t="e">
        <f>IF(JENNIFFER!$E374="",JENNIFFER!$F374,JENNIFFER!$E374)</f>
        <v>#REF!</v>
      </c>
      <c r="I374" t="s">
        <v>305</v>
      </c>
      <c r="J374" t="s">
        <v>275</v>
      </c>
      <c r="K374" t="s">
        <v>2</v>
      </c>
      <c r="L374" t="s">
        <v>23</v>
      </c>
      <c r="M374">
        <v>187430</v>
      </c>
      <c r="N374">
        <v>3243214</v>
      </c>
      <c r="O374">
        <v>7402596.8899999997</v>
      </c>
      <c r="P374" t="s">
        <v>316</v>
      </c>
    </row>
    <row r="375" spans="2:16" x14ac:dyDescent="0.25">
      <c r="B375">
        <f t="shared" si="5"/>
        <v>373</v>
      </c>
      <c r="C375">
        <v>30049079</v>
      </c>
      <c r="D375" t="s">
        <v>142</v>
      </c>
      <c r="F375" t="e">
        <f>VLOOKUP(JENNIFFER!$B375,#REF!,4,1)</f>
        <v>#REF!</v>
      </c>
      <c r="G375" t="e">
        <f>IF(JENNIFFER!$E375="",JENNIFFER!$F375,JENNIFFER!$E375)</f>
        <v>#REF!</v>
      </c>
      <c r="I375" t="s">
        <v>143</v>
      </c>
      <c r="J375" t="s">
        <v>144</v>
      </c>
      <c r="K375" t="s">
        <v>2</v>
      </c>
      <c r="L375" t="s">
        <v>23</v>
      </c>
      <c r="M375">
        <v>262610</v>
      </c>
      <c r="N375">
        <v>13351309</v>
      </c>
      <c r="O375">
        <v>30459926.989999998</v>
      </c>
      <c r="P375" t="s">
        <v>146</v>
      </c>
    </row>
    <row r="376" spans="2:16" x14ac:dyDescent="0.25">
      <c r="B376">
        <f t="shared" si="5"/>
        <v>374</v>
      </c>
      <c r="C376">
        <v>30049079</v>
      </c>
      <c r="D376" t="s">
        <v>145</v>
      </c>
      <c r="F376" t="e">
        <f>VLOOKUP(JENNIFFER!$B376,#REF!,4,1)</f>
        <v>#REF!</v>
      </c>
      <c r="G376" t="e">
        <f>IF(JENNIFFER!$E376="",JENNIFFER!$F376,JENNIFFER!$E376)</f>
        <v>#REF!</v>
      </c>
      <c r="I376" t="s">
        <v>143</v>
      </c>
      <c r="J376" t="s">
        <v>144</v>
      </c>
      <c r="K376" t="s">
        <v>2</v>
      </c>
      <c r="L376" t="s">
        <v>23</v>
      </c>
      <c r="M376">
        <v>47791</v>
      </c>
      <c r="N376">
        <v>4854995</v>
      </c>
      <c r="O376">
        <v>11105466.9</v>
      </c>
      <c r="P376" t="s">
        <v>146</v>
      </c>
    </row>
    <row r="377" spans="2:16" x14ac:dyDescent="0.25">
      <c r="B377">
        <f t="shared" si="5"/>
        <v>375</v>
      </c>
      <c r="D377" t="s">
        <v>191</v>
      </c>
      <c r="F377" t="e">
        <f>VLOOKUP(JENNIFFER!$B377,#REF!,4,1)</f>
        <v>#REF!</v>
      </c>
      <c r="G377" t="e">
        <f>IF(JENNIFFER!$E377="",JENNIFFER!$F377,JENNIFFER!$E377)</f>
        <v>#REF!</v>
      </c>
      <c r="I377" t="s">
        <v>192</v>
      </c>
      <c r="J377" t="s">
        <v>193</v>
      </c>
      <c r="K377" t="s">
        <v>4</v>
      </c>
      <c r="L377" t="s">
        <v>23</v>
      </c>
      <c r="M377">
        <v>1142844</v>
      </c>
      <c r="N377">
        <v>4123474</v>
      </c>
      <c r="O377">
        <v>9409235.5999999996</v>
      </c>
      <c r="P377" t="s">
        <v>203</v>
      </c>
    </row>
    <row r="378" spans="2:16" x14ac:dyDescent="0.25">
      <c r="B378">
        <f t="shared" si="5"/>
        <v>376</v>
      </c>
      <c r="D378" t="s">
        <v>551</v>
      </c>
      <c r="F378" t="e">
        <f>VLOOKUP(JENNIFFER!$B378,#REF!,4,1)</f>
        <v>#REF!</v>
      </c>
      <c r="G378" t="e">
        <f>IF(JENNIFFER!$E378="",JENNIFFER!$F378,JENNIFFER!$E378)</f>
        <v>#REF!</v>
      </c>
      <c r="I378" t="s">
        <v>105</v>
      </c>
      <c r="J378" t="s">
        <v>58</v>
      </c>
      <c r="K378" t="s">
        <v>4</v>
      </c>
      <c r="L378" t="s">
        <v>3</v>
      </c>
      <c r="M378">
        <v>201664</v>
      </c>
      <c r="N378">
        <v>1218791</v>
      </c>
      <c r="O378">
        <v>2788053</v>
      </c>
      <c r="P378" t="s">
        <v>549</v>
      </c>
    </row>
    <row r="379" spans="2:16" x14ac:dyDescent="0.25">
      <c r="B379">
        <f t="shared" si="5"/>
        <v>377</v>
      </c>
      <c r="D379" t="s">
        <v>442</v>
      </c>
      <c r="F379" t="e">
        <f>VLOOKUP(JENNIFFER!$B379,#REF!,4,1)</f>
        <v>#REF!</v>
      </c>
      <c r="G379" t="e">
        <f>IF(JENNIFFER!$E379="",JENNIFFER!$F379,JENNIFFER!$E379)</f>
        <v>#REF!</v>
      </c>
      <c r="I379" t="s">
        <v>443</v>
      </c>
      <c r="J379" t="s">
        <v>92</v>
      </c>
      <c r="K379" t="s">
        <v>4</v>
      </c>
      <c r="L379" t="s">
        <v>23</v>
      </c>
      <c r="M379">
        <v>1020481</v>
      </c>
      <c r="N379">
        <v>5271729</v>
      </c>
      <c r="O379">
        <v>12041171.34</v>
      </c>
      <c r="P379" t="s">
        <v>383</v>
      </c>
    </row>
    <row r="380" spans="2:16" x14ac:dyDescent="0.25">
      <c r="B380">
        <f t="shared" si="5"/>
        <v>378</v>
      </c>
      <c r="C380">
        <v>30049099</v>
      </c>
      <c r="D380" t="s">
        <v>98</v>
      </c>
      <c r="F380" t="e">
        <f>VLOOKUP(JENNIFFER!$B380,#REF!,4,1)</f>
        <v>#REF!</v>
      </c>
      <c r="G380" t="e">
        <f>IF(JENNIFFER!$E380="",JENNIFFER!$F380,JENNIFFER!$E380)</f>
        <v>#REF!</v>
      </c>
      <c r="I380" t="s">
        <v>95</v>
      </c>
      <c r="J380" t="s">
        <v>39</v>
      </c>
      <c r="K380" t="s">
        <v>4</v>
      </c>
      <c r="L380" t="s">
        <v>3</v>
      </c>
      <c r="M380">
        <v>1387311</v>
      </c>
      <c r="N380">
        <v>13571075</v>
      </c>
      <c r="O380">
        <v>31088083.690000001</v>
      </c>
      <c r="P380" t="s">
        <v>111</v>
      </c>
    </row>
    <row r="381" spans="2:16" x14ac:dyDescent="0.25">
      <c r="B381">
        <f t="shared" si="5"/>
        <v>379</v>
      </c>
      <c r="C381">
        <v>30049099</v>
      </c>
      <c r="D381" t="s">
        <v>94</v>
      </c>
      <c r="F381" t="e">
        <f>VLOOKUP(JENNIFFER!$B381,#REF!,4,1)</f>
        <v>#REF!</v>
      </c>
      <c r="G381" t="e">
        <f>IF(JENNIFFER!$E381="",JENNIFFER!$F381,JENNIFFER!$E381)</f>
        <v>#REF!</v>
      </c>
      <c r="I381" t="s">
        <v>95</v>
      </c>
      <c r="J381" t="s">
        <v>39</v>
      </c>
      <c r="K381" t="s">
        <v>4</v>
      </c>
      <c r="L381" t="s">
        <v>3</v>
      </c>
      <c r="M381">
        <v>1861973</v>
      </c>
      <c r="N381">
        <v>16694157</v>
      </c>
      <c r="O381">
        <v>38229250.340000004</v>
      </c>
      <c r="P381" t="s">
        <v>111</v>
      </c>
    </row>
    <row r="382" spans="2:16" x14ac:dyDescent="0.25">
      <c r="B382">
        <f t="shared" si="5"/>
        <v>380</v>
      </c>
      <c r="D382" t="s">
        <v>94</v>
      </c>
      <c r="F382" t="e">
        <f>VLOOKUP(JENNIFFER!$B382,#REF!,4,1)</f>
        <v>#REF!</v>
      </c>
      <c r="G382" t="e">
        <f>IF(JENNIFFER!$E382="",JENNIFFER!$F382,JENNIFFER!$E382)</f>
        <v>#REF!</v>
      </c>
      <c r="I382" t="s">
        <v>95</v>
      </c>
      <c r="J382" t="s">
        <v>39</v>
      </c>
      <c r="K382" t="s">
        <v>4</v>
      </c>
      <c r="L382" t="s">
        <v>3</v>
      </c>
      <c r="M382">
        <v>1861973</v>
      </c>
      <c r="N382">
        <v>16694157</v>
      </c>
      <c r="O382">
        <v>38229250.340000004</v>
      </c>
      <c r="P382" t="s">
        <v>554</v>
      </c>
    </row>
    <row r="383" spans="2:16" x14ac:dyDescent="0.25">
      <c r="B383">
        <f t="shared" si="5"/>
        <v>381</v>
      </c>
      <c r="C383">
        <v>30049099</v>
      </c>
      <c r="D383" t="s">
        <v>99</v>
      </c>
      <c r="F383" t="e">
        <f>VLOOKUP(JENNIFFER!$B383,#REF!,4,1)</f>
        <v>#REF!</v>
      </c>
      <c r="G383" t="e">
        <f>IF(JENNIFFER!$E383="",JENNIFFER!$F383,JENNIFFER!$E383)</f>
        <v>#REF!</v>
      </c>
      <c r="I383" t="s">
        <v>95</v>
      </c>
      <c r="J383" t="s">
        <v>39</v>
      </c>
      <c r="K383" t="s">
        <v>4</v>
      </c>
      <c r="L383" t="s">
        <v>3</v>
      </c>
      <c r="M383">
        <v>1351306</v>
      </c>
      <c r="N383">
        <v>9696329</v>
      </c>
      <c r="O383">
        <v>22170465.73</v>
      </c>
      <c r="P383" t="s">
        <v>111</v>
      </c>
    </row>
    <row r="384" spans="2:16" x14ac:dyDescent="0.25">
      <c r="B384">
        <f t="shared" si="5"/>
        <v>382</v>
      </c>
      <c r="D384" t="s">
        <v>214</v>
      </c>
      <c r="F384" t="e">
        <f>VLOOKUP(JENNIFFER!$B384,#REF!,4,1)</f>
        <v>#REF!</v>
      </c>
      <c r="G384" t="e">
        <f>IF(JENNIFFER!$E384="",JENNIFFER!$F384,JENNIFFER!$E384)</f>
        <v>#REF!</v>
      </c>
      <c r="I384" t="s">
        <v>0</v>
      </c>
      <c r="J384" t="s">
        <v>215</v>
      </c>
      <c r="K384" t="s">
        <v>4</v>
      </c>
      <c r="L384" t="s">
        <v>23</v>
      </c>
      <c r="M384">
        <v>3050920</v>
      </c>
      <c r="N384">
        <v>33537009</v>
      </c>
      <c r="O384">
        <v>76211978.590000004</v>
      </c>
      <c r="P384" t="s">
        <v>227</v>
      </c>
    </row>
    <row r="385" spans="2:16" x14ac:dyDescent="0.25">
      <c r="B385">
        <f t="shared" si="5"/>
        <v>383</v>
      </c>
      <c r="D385" t="s">
        <v>217</v>
      </c>
      <c r="F385" t="e">
        <f>VLOOKUP(JENNIFFER!$B385,#REF!,4,1)</f>
        <v>#REF!</v>
      </c>
      <c r="G385" t="e">
        <f>IF(JENNIFFER!$E385="",JENNIFFER!$F385,JENNIFFER!$E385)</f>
        <v>#REF!</v>
      </c>
      <c r="I385" t="s">
        <v>0</v>
      </c>
      <c r="J385" t="s">
        <v>34</v>
      </c>
      <c r="K385" t="s">
        <v>4</v>
      </c>
      <c r="L385" t="s">
        <v>3</v>
      </c>
      <c r="M385">
        <v>2086386</v>
      </c>
      <c r="N385">
        <v>14006251</v>
      </c>
      <c r="O385">
        <v>31798311.030000001</v>
      </c>
      <c r="P385" t="s">
        <v>227</v>
      </c>
    </row>
    <row r="386" spans="2:16" x14ac:dyDescent="0.25">
      <c r="B386">
        <f t="shared" si="5"/>
        <v>384</v>
      </c>
      <c r="D386" t="s">
        <v>388</v>
      </c>
      <c r="F386" t="e">
        <f>VLOOKUP(JENNIFFER!$B386,#REF!,4,1)</f>
        <v>#REF!</v>
      </c>
      <c r="G386" t="e">
        <f>IF(JENNIFFER!$E386="",JENNIFFER!$F386,JENNIFFER!$E386)</f>
        <v>#REF!</v>
      </c>
      <c r="I386" t="s">
        <v>389</v>
      </c>
      <c r="J386" t="s">
        <v>109</v>
      </c>
      <c r="K386" t="s">
        <v>2</v>
      </c>
      <c r="L386" t="s">
        <v>3</v>
      </c>
      <c r="M386">
        <v>458782</v>
      </c>
      <c r="N386">
        <v>9639163</v>
      </c>
      <c r="O386">
        <v>22024409.280000001</v>
      </c>
      <c r="P386" t="s">
        <v>394</v>
      </c>
    </row>
    <row r="387" spans="2:16" x14ac:dyDescent="0.25">
      <c r="B387">
        <f t="shared" si="5"/>
        <v>385</v>
      </c>
      <c r="C387">
        <v>30049099</v>
      </c>
      <c r="D387" t="s">
        <v>140</v>
      </c>
      <c r="F387" t="e">
        <f>VLOOKUP(JENNIFFER!$B387,#REF!,4,1)</f>
        <v>#REF!</v>
      </c>
      <c r="G387" t="e">
        <f>IF(JENNIFFER!$E387="",JENNIFFER!$F387,JENNIFFER!$E387)</f>
        <v>#REF!</v>
      </c>
      <c r="I387" t="s">
        <v>138</v>
      </c>
      <c r="J387" t="s">
        <v>29</v>
      </c>
      <c r="K387" t="s">
        <v>2</v>
      </c>
      <c r="L387" t="s">
        <v>3</v>
      </c>
      <c r="M387">
        <v>566729</v>
      </c>
      <c r="N387">
        <v>9360128</v>
      </c>
      <c r="O387">
        <v>21352578.829999998</v>
      </c>
      <c r="P387" t="s">
        <v>146</v>
      </c>
    </row>
    <row r="388" spans="2:16" x14ac:dyDescent="0.25">
      <c r="B388">
        <f t="shared" ref="B388:B451" si="6">+B387+1</f>
        <v>386</v>
      </c>
      <c r="C388">
        <v>30049039</v>
      </c>
      <c r="D388" t="s">
        <v>491</v>
      </c>
      <c r="E388" s="7" t="s">
        <v>2448</v>
      </c>
      <c r="F388" t="e">
        <f>VLOOKUP(JENNIFFER!$B388,#REF!,4,1)</f>
        <v>#REF!</v>
      </c>
      <c r="G388" t="str">
        <f>IF(JENNIFFER!$E388="",JENNIFFER!$F388,JENNIFFER!$E388)</f>
        <v>propafenona</v>
      </c>
      <c r="I388" t="s">
        <v>488</v>
      </c>
      <c r="J388" t="s">
        <v>9</v>
      </c>
      <c r="K388" t="s">
        <v>2</v>
      </c>
      <c r="L388" t="s">
        <v>23</v>
      </c>
      <c r="M388">
        <v>661385</v>
      </c>
      <c r="N388">
        <v>17574358</v>
      </c>
      <c r="O388">
        <v>40118201.200000003</v>
      </c>
      <c r="P388" t="s">
        <v>498</v>
      </c>
    </row>
    <row r="389" spans="2:16" x14ac:dyDescent="0.25">
      <c r="B389">
        <f t="shared" si="6"/>
        <v>387</v>
      </c>
      <c r="C389">
        <v>30049039</v>
      </c>
      <c r="D389" t="s">
        <v>496</v>
      </c>
      <c r="E389" s="7" t="s">
        <v>2448</v>
      </c>
      <c r="F389" t="e">
        <f>VLOOKUP(JENNIFFER!$B389,#REF!,4,1)</f>
        <v>#REF!</v>
      </c>
      <c r="G389" t="str">
        <f>IF(JENNIFFER!$E389="",JENNIFFER!$F389,JENNIFFER!$E389)</f>
        <v>propafenona</v>
      </c>
      <c r="I389" t="s">
        <v>488</v>
      </c>
      <c r="J389" t="s">
        <v>9</v>
      </c>
      <c r="K389" t="s">
        <v>2</v>
      </c>
      <c r="L389" t="s">
        <v>23</v>
      </c>
      <c r="M389">
        <v>87368</v>
      </c>
      <c r="N389">
        <v>4643372</v>
      </c>
      <c r="O389">
        <v>10602972.08</v>
      </c>
      <c r="P389" t="s">
        <v>498</v>
      </c>
    </row>
    <row r="390" spans="2:16" x14ac:dyDescent="0.25">
      <c r="B390">
        <f t="shared" si="6"/>
        <v>388</v>
      </c>
      <c r="D390" t="s">
        <v>274</v>
      </c>
      <c r="F390" t="e">
        <f>VLOOKUP(JENNIFFER!$B390,#REF!,4,1)</f>
        <v>#REF!</v>
      </c>
      <c r="G390" t="e">
        <f>IF(JENNIFFER!$E390="",JENNIFFER!$F390,JENNIFFER!$E390)</f>
        <v>#REF!</v>
      </c>
      <c r="I390" t="s">
        <v>271</v>
      </c>
      <c r="J390" t="s">
        <v>275</v>
      </c>
      <c r="K390" t="s">
        <v>2</v>
      </c>
      <c r="L390" t="s">
        <v>23</v>
      </c>
      <c r="M390">
        <v>293093</v>
      </c>
      <c r="N390">
        <v>16068000</v>
      </c>
      <c r="O390">
        <v>36603787.689999998</v>
      </c>
      <c r="P390" t="s">
        <v>285</v>
      </c>
    </row>
    <row r="391" spans="2:16" x14ac:dyDescent="0.25">
      <c r="B391">
        <f t="shared" si="6"/>
        <v>389</v>
      </c>
      <c r="C391">
        <v>30049029</v>
      </c>
      <c r="D391" t="s">
        <v>42</v>
      </c>
      <c r="F391" t="e">
        <f>VLOOKUP(JENNIFFER!$B391,#REF!,4,1)</f>
        <v>#REF!</v>
      </c>
      <c r="G391" t="e">
        <f>IF(JENNIFFER!$E391="",JENNIFFER!$F391,JENNIFFER!$E391)</f>
        <v>#REF!</v>
      </c>
      <c r="I391" t="s">
        <v>43</v>
      </c>
      <c r="J391" t="s">
        <v>44</v>
      </c>
      <c r="K391" t="s">
        <v>4</v>
      </c>
      <c r="L391" t="s">
        <v>3</v>
      </c>
      <c r="M391">
        <v>3295998</v>
      </c>
      <c r="N391">
        <v>12329383</v>
      </c>
      <c r="O391">
        <v>28166688.640000001</v>
      </c>
      <c r="P391" t="s">
        <v>41</v>
      </c>
    </row>
    <row r="392" spans="2:16" x14ac:dyDescent="0.25">
      <c r="B392">
        <f t="shared" si="6"/>
        <v>390</v>
      </c>
      <c r="C392">
        <v>30049029</v>
      </c>
      <c r="D392" t="s">
        <v>45</v>
      </c>
      <c r="F392" t="e">
        <f>VLOOKUP(JENNIFFER!$B392,#REF!,4,1)</f>
        <v>#REF!</v>
      </c>
      <c r="G392" t="e">
        <f>IF(JENNIFFER!$E392="",JENNIFFER!$F392,JENNIFFER!$E392)</f>
        <v>#REF!</v>
      </c>
      <c r="I392" t="s">
        <v>43</v>
      </c>
      <c r="J392" t="s">
        <v>44</v>
      </c>
      <c r="K392" t="s">
        <v>4</v>
      </c>
      <c r="L392" t="s">
        <v>3</v>
      </c>
      <c r="M392">
        <v>1934937</v>
      </c>
      <c r="N392">
        <v>7240685</v>
      </c>
      <c r="O392">
        <v>16537495.939999999</v>
      </c>
      <c r="P392" t="s">
        <v>41</v>
      </c>
    </row>
    <row r="393" spans="2:16" x14ac:dyDescent="0.25">
      <c r="B393">
        <f t="shared" si="6"/>
        <v>391</v>
      </c>
      <c r="C393">
        <v>30049029</v>
      </c>
      <c r="D393" t="s">
        <v>46</v>
      </c>
      <c r="F393" t="e">
        <f>VLOOKUP(JENNIFFER!$B393,#REF!,4,1)</f>
        <v>#REF!</v>
      </c>
      <c r="G393" t="e">
        <f>IF(JENNIFFER!$E393="",JENNIFFER!$F393,JENNIFFER!$E393)</f>
        <v>#REF!</v>
      </c>
      <c r="I393" t="s">
        <v>43</v>
      </c>
      <c r="J393" t="s">
        <v>44</v>
      </c>
      <c r="K393" t="s">
        <v>4</v>
      </c>
      <c r="L393" t="s">
        <v>3</v>
      </c>
      <c r="M393">
        <v>1125967</v>
      </c>
      <c r="N393">
        <v>15284208</v>
      </c>
      <c r="O393">
        <v>34928933.759999998</v>
      </c>
      <c r="P393" t="s">
        <v>41</v>
      </c>
    </row>
    <row r="394" spans="2:16" x14ac:dyDescent="0.25">
      <c r="B394">
        <f t="shared" si="6"/>
        <v>392</v>
      </c>
      <c r="C394">
        <v>30051010</v>
      </c>
      <c r="D394" t="s">
        <v>373</v>
      </c>
      <c r="F394" t="e">
        <f>VLOOKUP(JENNIFFER!$B394,#REF!,4,1)</f>
        <v>#REF!</v>
      </c>
      <c r="G394" t="e">
        <f>IF(JENNIFFER!$E394="",JENNIFFER!$F394,JENNIFFER!$E394)</f>
        <v>#REF!</v>
      </c>
      <c r="I394" t="s">
        <v>374</v>
      </c>
      <c r="J394" t="s">
        <v>375</v>
      </c>
      <c r="K394" t="s">
        <v>4</v>
      </c>
      <c r="L394" t="s">
        <v>3</v>
      </c>
      <c r="M394">
        <v>8813908</v>
      </c>
      <c r="N394">
        <v>16214219</v>
      </c>
      <c r="O394">
        <v>36992942.590000004</v>
      </c>
      <c r="P394" t="s">
        <v>383</v>
      </c>
    </row>
    <row r="395" spans="2:16" x14ac:dyDescent="0.25">
      <c r="B395">
        <f t="shared" si="6"/>
        <v>393</v>
      </c>
      <c r="C395">
        <v>30051010</v>
      </c>
      <c r="D395" t="s">
        <v>373</v>
      </c>
      <c r="F395" t="e">
        <f>VLOOKUP(JENNIFFER!$B395,#REF!,4,1)</f>
        <v>#REF!</v>
      </c>
      <c r="G395" t="e">
        <f>IF(JENNIFFER!$E395="",JENNIFFER!$F395,JENNIFFER!$E395)</f>
        <v>#REF!</v>
      </c>
      <c r="I395" t="s">
        <v>374</v>
      </c>
      <c r="J395" t="s">
        <v>375</v>
      </c>
      <c r="K395" t="s">
        <v>4</v>
      </c>
      <c r="L395" t="s">
        <v>3</v>
      </c>
      <c r="M395">
        <v>8813908</v>
      </c>
      <c r="N395">
        <v>16214219</v>
      </c>
      <c r="O395">
        <v>36992942.590000004</v>
      </c>
      <c r="P395" t="s">
        <v>394</v>
      </c>
    </row>
    <row r="396" spans="2:16" x14ac:dyDescent="0.25">
      <c r="B396">
        <f t="shared" si="6"/>
        <v>394</v>
      </c>
      <c r="C396">
        <v>30051010</v>
      </c>
      <c r="D396" t="s">
        <v>376</v>
      </c>
      <c r="F396" t="e">
        <f>VLOOKUP(JENNIFFER!$B396,#REF!,4,1)</f>
        <v>#REF!</v>
      </c>
      <c r="G396" t="e">
        <f>IF(JENNIFFER!$E396="",JENNIFFER!$F396,JENNIFFER!$E396)</f>
        <v>#REF!</v>
      </c>
      <c r="I396" t="s">
        <v>374</v>
      </c>
      <c r="J396" t="s">
        <v>375</v>
      </c>
      <c r="K396" t="s">
        <v>4</v>
      </c>
      <c r="L396" t="s">
        <v>3</v>
      </c>
      <c r="M396">
        <v>8805469</v>
      </c>
      <c r="N396">
        <v>8073972</v>
      </c>
      <c r="O396">
        <v>18433973.879999999</v>
      </c>
      <c r="P396" t="s">
        <v>383</v>
      </c>
    </row>
    <row r="397" spans="2:16" x14ac:dyDescent="0.25">
      <c r="B397">
        <f t="shared" si="6"/>
        <v>395</v>
      </c>
      <c r="C397">
        <v>30051010</v>
      </c>
      <c r="D397" t="s">
        <v>378</v>
      </c>
      <c r="F397" t="e">
        <f>VLOOKUP(JENNIFFER!$B397,#REF!,4,1)</f>
        <v>#REF!</v>
      </c>
      <c r="G397" t="e">
        <f>IF(JENNIFFER!$E397="",JENNIFFER!$F397,JENNIFFER!$E397)</f>
        <v>#REF!</v>
      </c>
      <c r="I397" t="s">
        <v>374</v>
      </c>
      <c r="J397" t="s">
        <v>375</v>
      </c>
      <c r="K397" t="s">
        <v>4</v>
      </c>
      <c r="L397" t="s">
        <v>3</v>
      </c>
      <c r="M397">
        <v>1806572</v>
      </c>
      <c r="N397">
        <v>5657094</v>
      </c>
      <c r="O397">
        <v>12904037.07</v>
      </c>
      <c r="P397" t="s">
        <v>383</v>
      </c>
    </row>
    <row r="398" spans="2:16" x14ac:dyDescent="0.25">
      <c r="B398">
        <f t="shared" si="6"/>
        <v>396</v>
      </c>
      <c r="C398">
        <v>30049099</v>
      </c>
      <c r="D398" t="s">
        <v>167</v>
      </c>
      <c r="F398" t="e">
        <f>VLOOKUP(JENNIFFER!$B398,#REF!,4,1)</f>
        <v>#REF!</v>
      </c>
      <c r="G398" t="e">
        <f>IF(JENNIFFER!$E398="",JENNIFFER!$F398,JENNIFFER!$E398)</f>
        <v>#REF!</v>
      </c>
      <c r="I398" t="s">
        <v>160</v>
      </c>
      <c r="J398" t="s">
        <v>64</v>
      </c>
      <c r="K398" t="s">
        <v>2</v>
      </c>
      <c r="L398" t="s">
        <v>3</v>
      </c>
      <c r="M398">
        <v>2698848</v>
      </c>
      <c r="N398">
        <v>25878611</v>
      </c>
      <c r="O398">
        <v>59207900.189999998</v>
      </c>
      <c r="P398" t="s">
        <v>171</v>
      </c>
    </row>
    <row r="399" spans="2:16" x14ac:dyDescent="0.25">
      <c r="B399">
        <f t="shared" si="6"/>
        <v>397</v>
      </c>
      <c r="C399">
        <v>30049099</v>
      </c>
      <c r="D399" t="s">
        <v>162</v>
      </c>
      <c r="F399" t="e">
        <f>VLOOKUP(JENNIFFER!$B399,#REF!,4,1)</f>
        <v>#REF!</v>
      </c>
      <c r="G399" t="e">
        <f>IF(JENNIFFER!$E399="",JENNIFFER!$F399,JENNIFFER!$E399)</f>
        <v>#REF!</v>
      </c>
      <c r="I399" t="s">
        <v>160</v>
      </c>
      <c r="J399" t="s">
        <v>64</v>
      </c>
      <c r="K399" t="s">
        <v>2</v>
      </c>
      <c r="L399" t="s">
        <v>3</v>
      </c>
      <c r="M399">
        <v>5089881</v>
      </c>
      <c r="N399">
        <v>5597811</v>
      </c>
      <c r="O399">
        <v>12799638.58</v>
      </c>
      <c r="P399" t="s">
        <v>171</v>
      </c>
    </row>
    <row r="400" spans="2:16" x14ac:dyDescent="0.25">
      <c r="B400">
        <f t="shared" si="6"/>
        <v>398</v>
      </c>
      <c r="D400" t="s">
        <v>297</v>
      </c>
      <c r="F400" t="e">
        <f>VLOOKUP(JENNIFFER!$B400,#REF!,4,1)</f>
        <v>#REF!</v>
      </c>
      <c r="G400" t="e">
        <f>IF(JENNIFFER!$E400="",JENNIFFER!$F400,JENNIFFER!$E400)</f>
        <v>#REF!</v>
      </c>
      <c r="I400" t="s">
        <v>298</v>
      </c>
      <c r="J400" t="s">
        <v>299</v>
      </c>
      <c r="K400" t="s">
        <v>4</v>
      </c>
      <c r="L400" t="s">
        <v>23</v>
      </c>
      <c r="M400">
        <v>1371908</v>
      </c>
      <c r="N400">
        <v>11074964</v>
      </c>
      <c r="O400">
        <v>25118388.309999999</v>
      </c>
      <c r="P400" t="s">
        <v>286</v>
      </c>
    </row>
    <row r="401" spans="2:16" x14ac:dyDescent="0.25">
      <c r="B401">
        <f t="shared" si="6"/>
        <v>399</v>
      </c>
      <c r="D401" t="s">
        <v>201</v>
      </c>
      <c r="F401" t="e">
        <f>VLOOKUP(JENNIFFER!$B401,#REF!,4,1)</f>
        <v>#REF!</v>
      </c>
      <c r="G401" t="e">
        <f>IF(JENNIFFER!$E401="",JENNIFFER!$F401,JENNIFFER!$E401)</f>
        <v>#REF!</v>
      </c>
      <c r="I401" t="s">
        <v>189</v>
      </c>
      <c r="J401" t="s">
        <v>202</v>
      </c>
      <c r="K401" t="s">
        <v>4</v>
      </c>
      <c r="L401" t="s">
        <v>3</v>
      </c>
      <c r="M401">
        <v>762541</v>
      </c>
      <c r="N401">
        <v>4241429</v>
      </c>
      <c r="O401">
        <v>9691470.5700000003</v>
      </c>
      <c r="P401" t="s">
        <v>203</v>
      </c>
    </row>
    <row r="402" spans="2:16" x14ac:dyDescent="0.25">
      <c r="B402">
        <f t="shared" si="6"/>
        <v>400</v>
      </c>
      <c r="C402">
        <v>30049039</v>
      </c>
      <c r="D402" t="s">
        <v>601</v>
      </c>
      <c r="F402" t="e">
        <f>VLOOKUP(JENNIFFER!$B402,#REF!,4,1)</f>
        <v>#REF!</v>
      </c>
      <c r="G402" t="e">
        <f>IF(JENNIFFER!$E402="",JENNIFFER!$F402,JENNIFFER!$E402)</f>
        <v>#REF!</v>
      </c>
      <c r="I402" t="s">
        <v>529</v>
      </c>
      <c r="J402" t="s">
        <v>328</v>
      </c>
      <c r="K402" t="s">
        <v>2</v>
      </c>
      <c r="L402" t="s">
        <v>23</v>
      </c>
      <c r="M402">
        <v>279524</v>
      </c>
      <c r="N402">
        <v>7678180</v>
      </c>
      <c r="O402">
        <v>17459016.280000001</v>
      </c>
      <c r="P402" t="s">
        <v>533</v>
      </c>
    </row>
    <row r="403" spans="2:16" x14ac:dyDescent="0.25">
      <c r="B403">
        <f t="shared" si="6"/>
        <v>401</v>
      </c>
      <c r="C403">
        <v>30049039</v>
      </c>
      <c r="D403" t="s">
        <v>599</v>
      </c>
      <c r="F403" t="e">
        <f>VLOOKUP(JENNIFFER!$B403,#REF!,4,1)</f>
        <v>#REF!</v>
      </c>
      <c r="G403" t="e">
        <f>IF(JENNIFFER!$E403="",JENNIFFER!$F403,JENNIFFER!$E403)</f>
        <v>#REF!</v>
      </c>
      <c r="I403" t="s">
        <v>529</v>
      </c>
      <c r="J403" t="s">
        <v>328</v>
      </c>
      <c r="K403" t="s">
        <v>2</v>
      </c>
      <c r="L403" t="s">
        <v>23</v>
      </c>
      <c r="M403">
        <v>683017</v>
      </c>
      <c r="N403">
        <v>18713147</v>
      </c>
      <c r="O403">
        <v>42650689.32</v>
      </c>
      <c r="P403" t="s">
        <v>533</v>
      </c>
    </row>
    <row r="404" spans="2:16" x14ac:dyDescent="0.25">
      <c r="B404">
        <f t="shared" si="6"/>
        <v>402</v>
      </c>
      <c r="D404" t="s">
        <v>315</v>
      </c>
      <c r="F404" t="e">
        <f>VLOOKUP(JENNIFFER!$B404,#REF!,4,1)</f>
        <v>#REF!</v>
      </c>
      <c r="G404" t="e">
        <f>IF(JENNIFFER!$E404="",JENNIFFER!$F404,JENNIFFER!$E404)</f>
        <v>#REF!</v>
      </c>
      <c r="I404" t="s">
        <v>305</v>
      </c>
      <c r="J404" t="s">
        <v>22</v>
      </c>
      <c r="K404" t="s">
        <v>2</v>
      </c>
      <c r="L404" t="s">
        <v>23</v>
      </c>
      <c r="M404">
        <v>113430</v>
      </c>
      <c r="N404">
        <v>3191665</v>
      </c>
      <c r="O404">
        <v>7282216.7800000003</v>
      </c>
      <c r="P404" t="s">
        <v>316</v>
      </c>
    </row>
    <row r="405" spans="2:16" x14ac:dyDescent="0.25">
      <c r="B405">
        <f t="shared" si="6"/>
        <v>403</v>
      </c>
      <c r="C405">
        <v>30049099</v>
      </c>
      <c r="D405" t="s">
        <v>57</v>
      </c>
      <c r="F405" t="e">
        <f>VLOOKUP(JENNIFFER!$B405,#REF!,4,1)</f>
        <v>#REF!</v>
      </c>
      <c r="G405" t="e">
        <f>IF(JENNIFFER!$E405="",JENNIFFER!$F405,JENNIFFER!$E405)</f>
        <v>#REF!</v>
      </c>
      <c r="I405" t="s">
        <v>54</v>
      </c>
      <c r="J405" t="s">
        <v>58</v>
      </c>
      <c r="K405" t="s">
        <v>4</v>
      </c>
      <c r="L405" t="s">
        <v>3</v>
      </c>
      <c r="M405">
        <v>379237</v>
      </c>
      <c r="N405">
        <v>3592955</v>
      </c>
      <c r="O405">
        <v>8199272.1100000003</v>
      </c>
      <c r="P405" t="s">
        <v>41</v>
      </c>
    </row>
    <row r="406" spans="2:16" x14ac:dyDescent="0.25">
      <c r="B406">
        <f t="shared" si="6"/>
        <v>404</v>
      </c>
      <c r="C406">
        <v>30049099</v>
      </c>
      <c r="D406" t="s">
        <v>51</v>
      </c>
      <c r="F406" t="e">
        <f>VLOOKUP(JENNIFFER!$B406,#REF!,4,1)</f>
        <v>#REF!</v>
      </c>
      <c r="G406" t="e">
        <f>IF(JENNIFFER!$E406="",JENNIFFER!$F406,JENNIFFER!$E406)</f>
        <v>#REF!</v>
      </c>
      <c r="I406" t="s">
        <v>49</v>
      </c>
      <c r="J406" t="s">
        <v>52</v>
      </c>
      <c r="K406" t="s">
        <v>4</v>
      </c>
      <c r="L406" t="s">
        <v>10</v>
      </c>
      <c r="M406">
        <v>2931535</v>
      </c>
      <c r="N406">
        <v>12096752</v>
      </c>
      <c r="O406">
        <v>27554454.280000001</v>
      </c>
      <c r="P406" t="s">
        <v>41</v>
      </c>
    </row>
    <row r="407" spans="2:16" x14ac:dyDescent="0.25">
      <c r="B407">
        <f t="shared" si="6"/>
        <v>405</v>
      </c>
      <c r="C407">
        <v>30049059</v>
      </c>
      <c r="D407" t="s">
        <v>263</v>
      </c>
      <c r="F407" t="e">
        <f>VLOOKUP(JENNIFFER!$B407,#REF!,4,1)</f>
        <v>#REF!</v>
      </c>
      <c r="G407" t="e">
        <f>IF(JENNIFFER!$E407="",JENNIFFER!$F407,JENNIFFER!$E407)</f>
        <v>#REF!</v>
      </c>
      <c r="I407" t="s">
        <v>256</v>
      </c>
      <c r="J407" t="s">
        <v>264</v>
      </c>
      <c r="K407" t="s">
        <v>2</v>
      </c>
      <c r="L407" t="s">
        <v>3</v>
      </c>
      <c r="M407">
        <v>1100460</v>
      </c>
      <c r="N407">
        <v>19857211</v>
      </c>
      <c r="O407">
        <v>45293432.780000001</v>
      </c>
      <c r="P407" t="s">
        <v>269</v>
      </c>
    </row>
    <row r="408" spans="2:16" x14ac:dyDescent="0.25">
      <c r="B408">
        <f t="shared" si="6"/>
        <v>406</v>
      </c>
      <c r="D408" t="s">
        <v>258</v>
      </c>
      <c r="F408" t="e">
        <f>VLOOKUP(JENNIFFER!$B408,#REF!,4,1)</f>
        <v>#REF!</v>
      </c>
      <c r="G408" t="e">
        <f>IF(JENNIFFER!$E408="",JENNIFFER!$F408,JENNIFFER!$E408)</f>
        <v>#REF!</v>
      </c>
      <c r="I408" t="s">
        <v>256</v>
      </c>
      <c r="J408" t="s">
        <v>72</v>
      </c>
      <c r="K408" t="s">
        <v>2</v>
      </c>
      <c r="L408" t="s">
        <v>3</v>
      </c>
      <c r="M408">
        <v>2722632</v>
      </c>
      <c r="N408">
        <v>25202766</v>
      </c>
      <c r="O408">
        <v>57501985.530000001</v>
      </c>
      <c r="P408" t="s">
        <v>269</v>
      </c>
    </row>
    <row r="409" spans="2:16" x14ac:dyDescent="0.25">
      <c r="B409">
        <f t="shared" si="6"/>
        <v>407</v>
      </c>
      <c r="D409" t="s">
        <v>268</v>
      </c>
      <c r="F409" t="e">
        <f>VLOOKUP(JENNIFFER!$B409,#REF!,4,1)</f>
        <v>#REF!</v>
      </c>
      <c r="G409" t="e">
        <f>IF(JENNIFFER!$E409="",JENNIFFER!$F409,JENNIFFER!$E409)</f>
        <v>#REF!</v>
      </c>
      <c r="I409" t="s">
        <v>256</v>
      </c>
      <c r="J409" t="s">
        <v>72</v>
      </c>
      <c r="K409" t="s">
        <v>2</v>
      </c>
      <c r="L409" t="s">
        <v>3</v>
      </c>
      <c r="M409">
        <v>1018409</v>
      </c>
      <c r="N409">
        <v>13397263</v>
      </c>
      <c r="O409">
        <v>30572637.300000001</v>
      </c>
      <c r="P409" t="s">
        <v>269</v>
      </c>
    </row>
    <row r="410" spans="2:16" x14ac:dyDescent="0.25">
      <c r="B410">
        <f t="shared" si="6"/>
        <v>408</v>
      </c>
      <c r="C410">
        <v>30049059</v>
      </c>
      <c r="D410" t="s">
        <v>257</v>
      </c>
      <c r="F410" t="e">
        <f>VLOOKUP(JENNIFFER!$B410,#REF!,4,1)</f>
        <v>#REF!</v>
      </c>
      <c r="G410" t="e">
        <f>IF(JENNIFFER!$E410="",JENNIFFER!$F410,JENNIFFER!$E410)</f>
        <v>#REF!</v>
      </c>
      <c r="I410" t="s">
        <v>256</v>
      </c>
      <c r="J410" t="s">
        <v>103</v>
      </c>
      <c r="K410" t="s">
        <v>2</v>
      </c>
      <c r="L410" t="s">
        <v>3</v>
      </c>
      <c r="M410">
        <v>3556487</v>
      </c>
      <c r="N410">
        <v>30437051</v>
      </c>
      <c r="O410">
        <v>69501054.420000002</v>
      </c>
      <c r="P410" t="s">
        <v>269</v>
      </c>
    </row>
    <row r="411" spans="2:16" x14ac:dyDescent="0.25">
      <c r="B411">
        <f t="shared" si="6"/>
        <v>409</v>
      </c>
      <c r="C411">
        <v>30039069</v>
      </c>
      <c r="D411" t="s">
        <v>262</v>
      </c>
      <c r="F411" t="e">
        <f>VLOOKUP(JENNIFFER!$B411,#REF!,4,1)</f>
        <v>#REF!</v>
      </c>
      <c r="G411" t="e">
        <f>IF(JENNIFFER!$E411="",JENNIFFER!$F411,JENNIFFER!$E411)</f>
        <v>#REF!</v>
      </c>
      <c r="I411" t="s">
        <v>256</v>
      </c>
      <c r="J411" t="s">
        <v>213</v>
      </c>
      <c r="K411" t="s">
        <v>2</v>
      </c>
      <c r="L411" t="s">
        <v>3</v>
      </c>
      <c r="M411">
        <v>1143111</v>
      </c>
      <c r="N411">
        <v>9602637</v>
      </c>
      <c r="O411">
        <v>21915139.780000001</v>
      </c>
      <c r="P411" t="s">
        <v>269</v>
      </c>
    </row>
    <row r="412" spans="2:16" x14ac:dyDescent="0.25">
      <c r="B412">
        <f t="shared" si="6"/>
        <v>410</v>
      </c>
      <c r="C412">
        <v>30049059</v>
      </c>
      <c r="D412" t="s">
        <v>255</v>
      </c>
      <c r="F412" t="e">
        <f>VLOOKUP(JENNIFFER!$B412,#REF!,4,1)</f>
        <v>#REF!</v>
      </c>
      <c r="G412" t="e">
        <f>IF(JENNIFFER!$E412="",JENNIFFER!$F412,JENNIFFER!$E412)</f>
        <v>#REF!</v>
      </c>
      <c r="I412" t="s">
        <v>256</v>
      </c>
      <c r="J412" t="s">
        <v>103</v>
      </c>
      <c r="K412" t="s">
        <v>2</v>
      </c>
      <c r="L412" t="s">
        <v>10</v>
      </c>
      <c r="M412">
        <v>3839207</v>
      </c>
      <c r="N412">
        <v>84570130</v>
      </c>
      <c r="O412">
        <v>192776246.33000001</v>
      </c>
      <c r="P412" t="s">
        <v>269</v>
      </c>
    </row>
    <row r="413" spans="2:16" x14ac:dyDescent="0.25">
      <c r="B413">
        <f t="shared" si="6"/>
        <v>411</v>
      </c>
      <c r="C413">
        <v>30049059</v>
      </c>
      <c r="D413" t="s">
        <v>255</v>
      </c>
      <c r="F413" t="e">
        <f>VLOOKUP(JENNIFFER!$B413,#REF!,4,1)</f>
        <v>#REF!</v>
      </c>
      <c r="G413" t="e">
        <f>IF(JENNIFFER!$E413="",JENNIFFER!$F413,JENNIFFER!$E413)</f>
        <v>#REF!</v>
      </c>
      <c r="I413" t="s">
        <v>256</v>
      </c>
      <c r="J413" t="s">
        <v>29</v>
      </c>
      <c r="K413" t="s">
        <v>2</v>
      </c>
      <c r="L413" t="s">
        <v>10</v>
      </c>
      <c r="M413">
        <v>1405723</v>
      </c>
      <c r="N413">
        <v>26967894</v>
      </c>
      <c r="O413">
        <v>61555904.729999997</v>
      </c>
      <c r="P413" t="s">
        <v>269</v>
      </c>
    </row>
    <row r="414" spans="2:16" x14ac:dyDescent="0.25">
      <c r="B414">
        <f t="shared" si="6"/>
        <v>412</v>
      </c>
      <c r="C414">
        <v>30049059</v>
      </c>
      <c r="D414" t="s">
        <v>259</v>
      </c>
      <c r="F414" t="e">
        <f>VLOOKUP(JENNIFFER!$B414,#REF!,4,1)</f>
        <v>#REF!</v>
      </c>
      <c r="G414" t="e">
        <f>IF(JENNIFFER!$E414="",JENNIFFER!$F414,JENNIFFER!$E414)</f>
        <v>#REF!</v>
      </c>
      <c r="I414" t="s">
        <v>256</v>
      </c>
      <c r="J414" t="s">
        <v>103</v>
      </c>
      <c r="K414" t="s">
        <v>2</v>
      </c>
      <c r="L414" t="s">
        <v>10</v>
      </c>
      <c r="M414">
        <v>1821528</v>
      </c>
      <c r="N414">
        <v>47587236</v>
      </c>
      <c r="O414">
        <v>108684792.28</v>
      </c>
      <c r="P414" t="s">
        <v>269</v>
      </c>
    </row>
    <row r="415" spans="2:16" x14ac:dyDescent="0.25">
      <c r="B415">
        <f t="shared" si="6"/>
        <v>413</v>
      </c>
      <c r="C415">
        <v>30049099</v>
      </c>
      <c r="D415" t="s">
        <v>557</v>
      </c>
      <c r="F415" t="e">
        <f>VLOOKUP(JENNIFFER!$B415,#REF!,4,1)</f>
        <v>#REF!</v>
      </c>
      <c r="G415" t="e">
        <f>IF(JENNIFFER!$E415="",JENNIFFER!$F415,JENNIFFER!$E415)</f>
        <v>#REF!</v>
      </c>
      <c r="I415" t="s">
        <v>222</v>
      </c>
      <c r="J415" t="s">
        <v>1</v>
      </c>
      <c r="K415" t="s">
        <v>2</v>
      </c>
      <c r="L415" t="s">
        <v>23</v>
      </c>
      <c r="M415">
        <v>2149853</v>
      </c>
      <c r="N415">
        <v>11049092</v>
      </c>
      <c r="O415">
        <v>25171294.219999999</v>
      </c>
      <c r="P415" t="s">
        <v>559</v>
      </c>
    </row>
    <row r="416" spans="2:16" x14ac:dyDescent="0.25">
      <c r="B416">
        <f t="shared" si="6"/>
        <v>414</v>
      </c>
      <c r="C416">
        <v>30049099</v>
      </c>
      <c r="D416" t="s">
        <v>556</v>
      </c>
      <c r="F416" t="e">
        <f>VLOOKUP(JENNIFFER!$B416,#REF!,4,1)</f>
        <v>#REF!</v>
      </c>
      <c r="G416" t="e">
        <f>IF(JENNIFFER!$E416="",JENNIFFER!$F416,JENNIFFER!$E416)</f>
        <v>#REF!</v>
      </c>
      <c r="I416" t="s">
        <v>222</v>
      </c>
      <c r="J416" t="s">
        <v>1</v>
      </c>
      <c r="K416" t="s">
        <v>4</v>
      </c>
      <c r="L416" t="s">
        <v>23</v>
      </c>
      <c r="M416">
        <v>2199095</v>
      </c>
      <c r="N416">
        <v>6370769</v>
      </c>
      <c r="O416">
        <v>14473851.43</v>
      </c>
      <c r="P416" t="s">
        <v>559</v>
      </c>
    </row>
    <row r="417" spans="2:16" x14ac:dyDescent="0.25">
      <c r="B417">
        <f t="shared" si="6"/>
        <v>415</v>
      </c>
      <c r="D417" t="s">
        <v>526</v>
      </c>
      <c r="F417" t="e">
        <f>VLOOKUP(JENNIFFER!$B417,#REF!,4,1)</f>
        <v>#REF!</v>
      </c>
      <c r="G417" t="e">
        <f>IF(JENNIFFER!$E417="",JENNIFFER!$F417,JENNIFFER!$E417)</f>
        <v>#REF!</v>
      </c>
      <c r="I417" t="s">
        <v>524</v>
      </c>
      <c r="J417" t="s">
        <v>469</v>
      </c>
      <c r="K417" t="s">
        <v>2</v>
      </c>
      <c r="L417" t="s">
        <v>23</v>
      </c>
      <c r="M417">
        <v>356542</v>
      </c>
      <c r="N417">
        <v>1390486</v>
      </c>
      <c r="O417">
        <v>3175025.4</v>
      </c>
      <c r="P417" t="s">
        <v>525</v>
      </c>
    </row>
    <row r="418" spans="2:16" x14ac:dyDescent="0.25">
      <c r="B418">
        <f t="shared" si="6"/>
        <v>416</v>
      </c>
      <c r="C418">
        <v>30049099</v>
      </c>
      <c r="D418" t="s">
        <v>74</v>
      </c>
      <c r="F418" t="e">
        <f>VLOOKUP(JENNIFFER!$B418,#REF!,4,1)</f>
        <v>#REF!</v>
      </c>
      <c r="G418" t="e">
        <f>IF(JENNIFFER!$E418="",JENNIFFER!$F418,JENNIFFER!$E418)</f>
        <v>#REF!</v>
      </c>
      <c r="I418" t="s">
        <v>75</v>
      </c>
      <c r="J418" t="s">
        <v>29</v>
      </c>
      <c r="K418" t="s">
        <v>2</v>
      </c>
      <c r="L418" t="s">
        <v>3</v>
      </c>
      <c r="M418">
        <v>175760</v>
      </c>
      <c r="N418">
        <v>3770951</v>
      </c>
      <c r="O418">
        <v>8603404.8300000001</v>
      </c>
      <c r="P418" t="s">
        <v>61</v>
      </c>
    </row>
    <row r="419" spans="2:16" x14ac:dyDescent="0.25">
      <c r="B419">
        <f t="shared" si="6"/>
        <v>417</v>
      </c>
      <c r="D419" t="s">
        <v>185</v>
      </c>
      <c r="F419" t="e">
        <f>VLOOKUP(JENNIFFER!$B419,#REF!,4,1)</f>
        <v>#REF!</v>
      </c>
      <c r="G419" t="e">
        <f>IF(JENNIFFER!$E419="",JENNIFFER!$F419,JENNIFFER!$E419)</f>
        <v>#REF!</v>
      </c>
      <c r="I419" t="s">
        <v>184</v>
      </c>
      <c r="J419" t="s">
        <v>186</v>
      </c>
      <c r="K419" t="s">
        <v>4</v>
      </c>
      <c r="L419" t="s">
        <v>3</v>
      </c>
      <c r="M419">
        <v>628094</v>
      </c>
      <c r="N419">
        <v>2358810</v>
      </c>
      <c r="O419">
        <v>5387203.5</v>
      </c>
      <c r="P419" t="s">
        <v>174</v>
      </c>
    </row>
    <row r="420" spans="2:16" x14ac:dyDescent="0.25">
      <c r="B420">
        <f t="shared" si="6"/>
        <v>418</v>
      </c>
      <c r="D420" t="s">
        <v>500</v>
      </c>
      <c r="F420" t="e">
        <f>VLOOKUP(JENNIFFER!$B420,#REF!,4,1)</f>
        <v>#REF!</v>
      </c>
      <c r="G420" t="e">
        <f>IF(JENNIFFER!$E420="",JENNIFFER!$F420,JENNIFFER!$E420)</f>
        <v>#REF!</v>
      </c>
      <c r="I420" t="s">
        <v>501</v>
      </c>
      <c r="J420" t="s">
        <v>290</v>
      </c>
      <c r="K420" t="s">
        <v>2</v>
      </c>
      <c r="L420" t="s">
        <v>23</v>
      </c>
      <c r="M420">
        <v>2459784</v>
      </c>
      <c r="N420">
        <v>15212644</v>
      </c>
      <c r="O420">
        <v>34718358.280000001</v>
      </c>
      <c r="P420" t="s">
        <v>499</v>
      </c>
    </row>
    <row r="421" spans="2:16" x14ac:dyDescent="0.25">
      <c r="B421">
        <f t="shared" si="6"/>
        <v>419</v>
      </c>
      <c r="D421" t="s">
        <v>197</v>
      </c>
      <c r="F421" t="e">
        <f>VLOOKUP(JENNIFFER!$B421,#REF!,4,1)</f>
        <v>#REF!</v>
      </c>
      <c r="G421" t="e">
        <f>IF(JENNIFFER!$E421="",JENNIFFER!$F421,JENNIFFER!$E421)</f>
        <v>#REF!</v>
      </c>
      <c r="I421" t="s">
        <v>195</v>
      </c>
      <c r="J421" t="s">
        <v>198</v>
      </c>
      <c r="K421" t="s">
        <v>2</v>
      </c>
      <c r="L421" t="s">
        <v>3</v>
      </c>
      <c r="M421">
        <v>493268</v>
      </c>
      <c r="N421">
        <v>9797270</v>
      </c>
      <c r="O421">
        <v>22293680</v>
      </c>
      <c r="P421" t="s">
        <v>203</v>
      </c>
    </row>
    <row r="422" spans="2:16" x14ac:dyDescent="0.25">
      <c r="B422">
        <f t="shared" si="6"/>
        <v>420</v>
      </c>
      <c r="C422">
        <v>30049099</v>
      </c>
      <c r="D422" t="s">
        <v>165</v>
      </c>
      <c r="F422" t="e">
        <f>VLOOKUP(JENNIFFER!$B422,#REF!,4,1)</f>
        <v>#REF!</v>
      </c>
      <c r="G422" t="e">
        <f>IF(JENNIFFER!$E422="",JENNIFFER!$F422,JENNIFFER!$E422)</f>
        <v>#REF!</v>
      </c>
      <c r="I422" t="s">
        <v>160</v>
      </c>
      <c r="J422" t="s">
        <v>1</v>
      </c>
      <c r="K422" t="s">
        <v>2</v>
      </c>
      <c r="L422" t="s">
        <v>23</v>
      </c>
      <c r="M422">
        <v>4015545</v>
      </c>
      <c r="N422">
        <v>14403518</v>
      </c>
      <c r="O422">
        <v>32901862.329999998</v>
      </c>
      <c r="P422" t="s">
        <v>171</v>
      </c>
    </row>
    <row r="423" spans="2:16" x14ac:dyDescent="0.25">
      <c r="B423">
        <f t="shared" si="6"/>
        <v>421</v>
      </c>
      <c r="C423">
        <v>30049099</v>
      </c>
      <c r="D423" t="s">
        <v>170</v>
      </c>
      <c r="F423" t="e">
        <f>VLOOKUP(JENNIFFER!$B423,#REF!,4,1)</f>
        <v>#REF!</v>
      </c>
      <c r="G423" t="e">
        <f>IF(JENNIFFER!$E423="",JENNIFFER!$F423,JENNIFFER!$E423)</f>
        <v>#REF!</v>
      </c>
      <c r="I423" t="s">
        <v>160</v>
      </c>
      <c r="J423" t="s">
        <v>1</v>
      </c>
      <c r="K423" t="s">
        <v>2</v>
      </c>
      <c r="L423" t="s">
        <v>23</v>
      </c>
      <c r="M423">
        <v>2095775</v>
      </c>
      <c r="N423">
        <v>15041884</v>
      </c>
      <c r="O423">
        <v>34344818.259999998</v>
      </c>
      <c r="P423" t="s">
        <v>171</v>
      </c>
    </row>
    <row r="424" spans="2:16" x14ac:dyDescent="0.25">
      <c r="B424">
        <f t="shared" si="6"/>
        <v>422</v>
      </c>
      <c r="D424" t="s">
        <v>515</v>
      </c>
      <c r="F424" t="e">
        <f>VLOOKUP(JENNIFFER!$B424,#REF!,4,1)</f>
        <v>#REF!</v>
      </c>
      <c r="G424" t="e">
        <f>IF(JENNIFFER!$E424="",JENNIFFER!$F424,JENNIFFER!$E424)</f>
        <v>#REF!</v>
      </c>
      <c r="I424" t="s">
        <v>514</v>
      </c>
      <c r="J424" t="s">
        <v>239</v>
      </c>
      <c r="K424" t="s">
        <v>2</v>
      </c>
      <c r="L424" t="s">
        <v>3</v>
      </c>
      <c r="M424">
        <v>502224</v>
      </c>
      <c r="N424">
        <v>1105149</v>
      </c>
      <c r="O424">
        <v>2522695.12</v>
      </c>
      <c r="P424" t="s">
        <v>525</v>
      </c>
    </row>
    <row r="425" spans="2:16" x14ac:dyDescent="0.25">
      <c r="B425">
        <f t="shared" si="6"/>
        <v>423</v>
      </c>
      <c r="C425">
        <v>30043939</v>
      </c>
      <c r="D425" t="s">
        <v>128</v>
      </c>
      <c r="F425" t="e">
        <f>VLOOKUP(JENNIFFER!$B425,#REF!,4,1)</f>
        <v>#REF!</v>
      </c>
      <c r="G425" t="e">
        <f>IF(JENNIFFER!$E425="",JENNIFFER!$F425,JENNIFFER!$E425)</f>
        <v>#REF!</v>
      </c>
      <c r="I425" t="s">
        <v>129</v>
      </c>
      <c r="J425" t="s">
        <v>34</v>
      </c>
      <c r="K425" t="s">
        <v>2</v>
      </c>
      <c r="L425" t="s">
        <v>3</v>
      </c>
      <c r="M425">
        <v>484364</v>
      </c>
      <c r="N425">
        <v>9977385</v>
      </c>
      <c r="O425">
        <v>22750907.379999999</v>
      </c>
      <c r="P425" t="s">
        <v>146</v>
      </c>
    </row>
    <row r="426" spans="2:16" x14ac:dyDescent="0.25">
      <c r="B426">
        <f t="shared" si="6"/>
        <v>424</v>
      </c>
      <c r="D426" t="s">
        <v>303</v>
      </c>
      <c r="F426" t="e">
        <f>VLOOKUP(JENNIFFER!$B426,#REF!,4,1)</f>
        <v>#REF!</v>
      </c>
      <c r="G426" t="e">
        <f>IF(JENNIFFER!$E426="",JENNIFFER!$F426,JENNIFFER!$E426)</f>
        <v>#REF!</v>
      </c>
      <c r="I426" t="s">
        <v>298</v>
      </c>
      <c r="J426" t="s">
        <v>34</v>
      </c>
      <c r="K426" t="s">
        <v>4</v>
      </c>
      <c r="L426" t="s">
        <v>3</v>
      </c>
      <c r="M426">
        <v>691588</v>
      </c>
      <c r="N426">
        <v>5303942</v>
      </c>
      <c r="O426">
        <v>12020019.960000001</v>
      </c>
      <c r="P426" t="s">
        <v>286</v>
      </c>
    </row>
    <row r="427" spans="2:16" x14ac:dyDescent="0.25">
      <c r="B427">
        <f t="shared" si="6"/>
        <v>425</v>
      </c>
      <c r="C427">
        <v>30042069</v>
      </c>
      <c r="D427" t="s">
        <v>516</v>
      </c>
      <c r="F427" t="e">
        <f>VLOOKUP(JENNIFFER!$B427,#REF!,4,1)</f>
        <v>#REF!</v>
      </c>
      <c r="G427" t="e">
        <f>IF(JENNIFFER!$E427="",JENNIFFER!$F427,JENNIFFER!$E427)</f>
        <v>#REF!</v>
      </c>
      <c r="I427" t="s">
        <v>514</v>
      </c>
      <c r="J427" t="s">
        <v>1</v>
      </c>
      <c r="K427" t="s">
        <v>2</v>
      </c>
      <c r="L427" t="s">
        <v>10</v>
      </c>
      <c r="M427">
        <v>426404</v>
      </c>
      <c r="N427">
        <v>1851041</v>
      </c>
      <c r="O427">
        <v>4219807.3099999996</v>
      </c>
      <c r="P427" t="s">
        <v>525</v>
      </c>
    </row>
    <row r="428" spans="2:16" x14ac:dyDescent="0.25">
      <c r="B428">
        <f t="shared" si="6"/>
        <v>426</v>
      </c>
      <c r="C428">
        <v>30042069</v>
      </c>
      <c r="D428" t="s">
        <v>513</v>
      </c>
      <c r="F428" t="e">
        <f>VLOOKUP(JENNIFFER!$B428,#REF!,4,1)</f>
        <v>#REF!</v>
      </c>
      <c r="G428" t="e">
        <f>IF(JENNIFFER!$E428="",JENNIFFER!$F428,JENNIFFER!$E428)</f>
        <v>#REF!</v>
      </c>
      <c r="I428" t="s">
        <v>514</v>
      </c>
      <c r="J428" t="s">
        <v>466</v>
      </c>
      <c r="K428" t="s">
        <v>2</v>
      </c>
      <c r="L428" t="s">
        <v>23</v>
      </c>
      <c r="M428">
        <v>680489</v>
      </c>
      <c r="N428">
        <v>4685311</v>
      </c>
      <c r="O428">
        <v>10675712.24</v>
      </c>
      <c r="P428" t="s">
        <v>525</v>
      </c>
    </row>
    <row r="429" spans="2:16" x14ac:dyDescent="0.25">
      <c r="B429">
        <f t="shared" si="6"/>
        <v>427</v>
      </c>
      <c r="D429" t="s">
        <v>422</v>
      </c>
      <c r="F429" t="e">
        <f>VLOOKUP(JENNIFFER!$B429,#REF!,4,1)</f>
        <v>#REF!</v>
      </c>
      <c r="G429" t="e">
        <f>IF(JENNIFFER!$E429="",JENNIFFER!$F429,JENNIFFER!$E429)</f>
        <v>#REF!</v>
      </c>
      <c r="I429" t="s">
        <v>415</v>
      </c>
      <c r="J429" t="s">
        <v>132</v>
      </c>
      <c r="K429" t="s">
        <v>2</v>
      </c>
      <c r="L429" t="s">
        <v>23</v>
      </c>
      <c r="M429">
        <v>734896</v>
      </c>
      <c r="N429">
        <v>2406593</v>
      </c>
      <c r="O429">
        <v>5522753.3200000003</v>
      </c>
      <c r="P429" t="s">
        <v>426</v>
      </c>
    </row>
    <row r="430" spans="2:16" x14ac:dyDescent="0.25">
      <c r="B430">
        <f t="shared" si="6"/>
        <v>428</v>
      </c>
      <c r="D430" t="s">
        <v>154</v>
      </c>
      <c r="F430" t="e">
        <f>VLOOKUP(JENNIFFER!$B430,#REF!,4,1)</f>
        <v>#REF!</v>
      </c>
      <c r="G430" t="e">
        <f>IF(JENNIFFER!$E430="",JENNIFFER!$F430,JENNIFFER!$E430)</f>
        <v>#REF!</v>
      </c>
      <c r="I430" t="s">
        <v>7</v>
      </c>
      <c r="J430" t="s">
        <v>29</v>
      </c>
      <c r="K430" t="s">
        <v>2</v>
      </c>
      <c r="L430" t="s">
        <v>3</v>
      </c>
      <c r="M430">
        <v>3562616</v>
      </c>
      <c r="N430">
        <v>30200579</v>
      </c>
      <c r="O430">
        <v>68949731.290000007</v>
      </c>
      <c r="P430" t="s">
        <v>5</v>
      </c>
    </row>
    <row r="431" spans="2:16" x14ac:dyDescent="0.25">
      <c r="B431">
        <f t="shared" si="6"/>
        <v>429</v>
      </c>
      <c r="C431">
        <v>30049037</v>
      </c>
      <c r="D431" t="s">
        <v>166</v>
      </c>
      <c r="F431" t="e">
        <f>VLOOKUP(JENNIFFER!$B431,#REF!,4,1)</f>
        <v>#REF!</v>
      </c>
      <c r="G431" t="e">
        <f>IF(JENNIFFER!$E431="",JENNIFFER!$F431,JENNIFFER!$E431)</f>
        <v>#REF!</v>
      </c>
      <c r="I431" t="s">
        <v>160</v>
      </c>
      <c r="J431" t="s">
        <v>34</v>
      </c>
      <c r="K431" t="s">
        <v>2</v>
      </c>
      <c r="L431" t="s">
        <v>3</v>
      </c>
      <c r="M431">
        <v>3178158</v>
      </c>
      <c r="N431">
        <v>94735310</v>
      </c>
      <c r="O431">
        <v>216302103.52000001</v>
      </c>
      <c r="P431" t="s">
        <v>171</v>
      </c>
    </row>
    <row r="432" spans="2:16" x14ac:dyDescent="0.25">
      <c r="B432">
        <f t="shared" si="6"/>
        <v>430</v>
      </c>
      <c r="C432">
        <v>30049037</v>
      </c>
      <c r="D432" t="s">
        <v>163</v>
      </c>
      <c r="F432" t="e">
        <f>VLOOKUP(JENNIFFER!$B432,#REF!,4,1)</f>
        <v>#REF!</v>
      </c>
      <c r="G432" t="e">
        <f>IF(JENNIFFER!$E432="",JENNIFFER!$F432,JENNIFFER!$E432)</f>
        <v>#REF!</v>
      </c>
      <c r="I432" t="s">
        <v>160</v>
      </c>
      <c r="J432" t="s">
        <v>34</v>
      </c>
      <c r="K432" t="s">
        <v>2</v>
      </c>
      <c r="L432" t="s">
        <v>3</v>
      </c>
      <c r="M432">
        <v>4882132</v>
      </c>
      <c r="N432">
        <v>17830046</v>
      </c>
      <c r="O432">
        <v>40737356.689999998</v>
      </c>
      <c r="P432" t="s">
        <v>171</v>
      </c>
    </row>
    <row r="433" spans="2:16" x14ac:dyDescent="0.25">
      <c r="B433">
        <f t="shared" si="6"/>
        <v>431</v>
      </c>
      <c r="C433">
        <v>30049037</v>
      </c>
      <c r="D433" t="s">
        <v>161</v>
      </c>
      <c r="F433" t="e">
        <f>VLOOKUP(JENNIFFER!$B433,#REF!,4,1)</f>
        <v>#REF!</v>
      </c>
      <c r="G433" t="e">
        <f>IF(JENNIFFER!$E433="",JENNIFFER!$F433,JENNIFFER!$E433)</f>
        <v>#REF!</v>
      </c>
      <c r="I433" t="s">
        <v>160</v>
      </c>
      <c r="J433" t="s">
        <v>34</v>
      </c>
      <c r="K433" t="s">
        <v>2</v>
      </c>
      <c r="L433" t="s">
        <v>3</v>
      </c>
      <c r="M433">
        <v>5954679</v>
      </c>
      <c r="N433">
        <v>55551082</v>
      </c>
      <c r="O433">
        <v>126882792.48999999</v>
      </c>
      <c r="P433" t="s">
        <v>171</v>
      </c>
    </row>
    <row r="434" spans="2:16" x14ac:dyDescent="0.25">
      <c r="B434">
        <f t="shared" si="6"/>
        <v>432</v>
      </c>
      <c r="D434" t="s">
        <v>218</v>
      </c>
      <c r="F434" t="e">
        <f>VLOOKUP(JENNIFFER!$B434,#REF!,4,1)</f>
        <v>#REF!</v>
      </c>
      <c r="G434" t="e">
        <f>IF(JENNIFFER!$E434="",JENNIFFER!$F434,JENNIFFER!$E434)</f>
        <v>#REF!</v>
      </c>
      <c r="I434" t="s">
        <v>0</v>
      </c>
      <c r="J434" t="s">
        <v>219</v>
      </c>
      <c r="K434" t="s">
        <v>2</v>
      </c>
      <c r="L434" t="s">
        <v>3</v>
      </c>
      <c r="M434">
        <v>1670904</v>
      </c>
      <c r="N434">
        <v>10863242</v>
      </c>
      <c r="O434">
        <v>24648933.16</v>
      </c>
      <c r="P434" t="s">
        <v>227</v>
      </c>
    </row>
    <row r="435" spans="2:16" x14ac:dyDescent="0.25">
      <c r="B435">
        <f t="shared" si="6"/>
        <v>433</v>
      </c>
      <c r="D435" t="s">
        <v>403</v>
      </c>
      <c r="F435" t="e">
        <f>VLOOKUP(JENNIFFER!$B435,#REF!,4,1)</f>
        <v>#REF!</v>
      </c>
      <c r="G435" t="e">
        <f>IF(JENNIFFER!$E435="",JENNIFFER!$F435,JENNIFFER!$E435)</f>
        <v>#REF!</v>
      </c>
      <c r="I435" t="s">
        <v>404</v>
      </c>
      <c r="J435" t="s">
        <v>400</v>
      </c>
      <c r="K435" t="s">
        <v>2</v>
      </c>
      <c r="L435" t="s">
        <v>23</v>
      </c>
      <c r="M435">
        <v>4684056</v>
      </c>
      <c r="N435">
        <v>11175686</v>
      </c>
      <c r="O435">
        <v>25524180.199999999</v>
      </c>
      <c r="P435" t="s">
        <v>413</v>
      </c>
    </row>
    <row r="436" spans="2:16" x14ac:dyDescent="0.25">
      <c r="B436">
        <f t="shared" si="6"/>
        <v>434</v>
      </c>
      <c r="C436">
        <v>30049045</v>
      </c>
      <c r="D436" t="s">
        <v>555</v>
      </c>
      <c r="F436" t="e">
        <f>VLOOKUP(JENNIFFER!$B436,#REF!,4,1)</f>
        <v>#REF!</v>
      </c>
      <c r="G436" t="e">
        <f>IF(JENNIFFER!$E436="",JENNIFFER!$F436,JENNIFFER!$E436)</f>
        <v>#REF!</v>
      </c>
      <c r="I436" t="s">
        <v>7</v>
      </c>
      <c r="J436" t="s">
        <v>55</v>
      </c>
      <c r="K436" t="s">
        <v>4</v>
      </c>
      <c r="L436" t="s">
        <v>23</v>
      </c>
      <c r="M436">
        <v>1483063</v>
      </c>
      <c r="N436">
        <v>11490710</v>
      </c>
      <c r="O436">
        <v>26179038.620000001</v>
      </c>
      <c r="P436" t="s">
        <v>559</v>
      </c>
    </row>
    <row r="437" spans="2:16" x14ac:dyDescent="0.25">
      <c r="B437">
        <f t="shared" si="6"/>
        <v>435</v>
      </c>
      <c r="C437">
        <v>30049045</v>
      </c>
      <c r="D437" t="s">
        <v>216</v>
      </c>
      <c r="F437" t="e">
        <f>VLOOKUP(JENNIFFER!$B437,#REF!,4,1)</f>
        <v>#REF!</v>
      </c>
      <c r="G437" t="e">
        <f>IF(JENNIFFER!$E437="",JENNIFFER!$F437,JENNIFFER!$E437)</f>
        <v>#REF!</v>
      </c>
      <c r="I437" t="s">
        <v>0</v>
      </c>
      <c r="J437" t="s">
        <v>55</v>
      </c>
      <c r="K437" t="s">
        <v>2</v>
      </c>
      <c r="L437" t="s">
        <v>23</v>
      </c>
      <c r="M437">
        <v>2446010</v>
      </c>
      <c r="N437">
        <v>10901434</v>
      </c>
      <c r="O437">
        <v>24756426.109999999</v>
      </c>
      <c r="P437" t="s">
        <v>227</v>
      </c>
    </row>
    <row r="438" spans="2:16" x14ac:dyDescent="0.25">
      <c r="B438">
        <f t="shared" si="6"/>
        <v>436</v>
      </c>
      <c r="C438">
        <v>30049045</v>
      </c>
      <c r="D438" t="s">
        <v>216</v>
      </c>
      <c r="F438" t="e">
        <f>VLOOKUP(JENNIFFER!$B438,#REF!,4,1)</f>
        <v>#REF!</v>
      </c>
      <c r="G438" t="e">
        <f>IF(JENNIFFER!$E438="",JENNIFFER!$F438,JENNIFFER!$E438)</f>
        <v>#REF!</v>
      </c>
      <c r="I438" t="s">
        <v>0</v>
      </c>
      <c r="J438" t="s">
        <v>55</v>
      </c>
      <c r="K438" t="s">
        <v>2</v>
      </c>
      <c r="L438" t="s">
        <v>23</v>
      </c>
      <c r="M438">
        <v>2446010</v>
      </c>
      <c r="N438">
        <v>10901434</v>
      </c>
      <c r="O438">
        <v>24756426.109999999</v>
      </c>
      <c r="P438" t="s">
        <v>559</v>
      </c>
    </row>
    <row r="439" spans="2:16" x14ac:dyDescent="0.25">
      <c r="B439">
        <f t="shared" si="6"/>
        <v>437</v>
      </c>
      <c r="D439" t="s">
        <v>432</v>
      </c>
      <c r="F439" t="e">
        <f>VLOOKUP(JENNIFFER!$B439,#REF!,4,1)</f>
        <v>#REF!</v>
      </c>
      <c r="G439" t="e">
        <f>IF(JENNIFFER!$E439="",JENNIFFER!$F439,JENNIFFER!$E439)</f>
        <v>#REF!</v>
      </c>
      <c r="I439" t="s">
        <v>433</v>
      </c>
      <c r="J439" t="s">
        <v>434</v>
      </c>
      <c r="K439" t="s">
        <v>2</v>
      </c>
      <c r="L439" t="s">
        <v>23</v>
      </c>
      <c r="M439">
        <v>349439</v>
      </c>
      <c r="N439">
        <v>3104943</v>
      </c>
      <c r="O439">
        <v>7088422.9299999997</v>
      </c>
      <c r="P439" t="s">
        <v>441</v>
      </c>
    </row>
    <row r="440" spans="2:16" x14ac:dyDescent="0.25">
      <c r="B440">
        <f t="shared" si="6"/>
        <v>438</v>
      </c>
      <c r="D440" t="s">
        <v>566</v>
      </c>
      <c r="F440" t="e">
        <f>VLOOKUP(JENNIFFER!$B440,#REF!,4,1)</f>
        <v>#REF!</v>
      </c>
      <c r="G440" t="e">
        <f>IF(JENNIFFER!$E440="",JENNIFFER!$F440,JENNIFFER!$E440)</f>
        <v>#REF!</v>
      </c>
      <c r="I440" t="s">
        <v>567</v>
      </c>
      <c r="J440" t="s">
        <v>568</v>
      </c>
      <c r="K440" t="s">
        <v>2</v>
      </c>
      <c r="L440" t="s">
        <v>23</v>
      </c>
      <c r="M440">
        <v>1257419</v>
      </c>
      <c r="N440">
        <v>17826176</v>
      </c>
      <c r="O440">
        <v>40686821.450000003</v>
      </c>
      <c r="P440" t="s">
        <v>579</v>
      </c>
    </row>
    <row r="441" spans="2:16" x14ac:dyDescent="0.25">
      <c r="B441">
        <f t="shared" si="6"/>
        <v>439</v>
      </c>
      <c r="D441" t="s">
        <v>542</v>
      </c>
      <c r="F441" t="e">
        <f>VLOOKUP(JENNIFFER!$B441,#REF!,4,1)</f>
        <v>#REF!</v>
      </c>
      <c r="G441" t="e">
        <f>IF(JENNIFFER!$E441="",JENNIFFER!$F441,JENNIFFER!$E441)</f>
        <v>#REF!</v>
      </c>
      <c r="I441" t="s">
        <v>541</v>
      </c>
      <c r="J441" t="s">
        <v>543</v>
      </c>
      <c r="K441" t="s">
        <v>4</v>
      </c>
      <c r="L441" t="s">
        <v>3</v>
      </c>
      <c r="M441">
        <v>1252640</v>
      </c>
      <c r="N441">
        <v>23315662</v>
      </c>
      <c r="O441">
        <v>53346382.759999998</v>
      </c>
      <c r="P441" t="s">
        <v>548</v>
      </c>
    </row>
    <row r="442" spans="2:16" x14ac:dyDescent="0.25">
      <c r="B442">
        <f t="shared" si="6"/>
        <v>440</v>
      </c>
      <c r="C442">
        <v>30039079</v>
      </c>
      <c r="D442" t="s">
        <v>504</v>
      </c>
      <c r="F442" t="e">
        <f>VLOOKUP(JENNIFFER!$B442,#REF!,4,1)</f>
        <v>#REF!</v>
      </c>
      <c r="G442" t="e">
        <f>IF(JENNIFFER!$E442="",JENNIFFER!$F442,JENNIFFER!$E442)</f>
        <v>#REF!</v>
      </c>
      <c r="I442" t="s">
        <v>505</v>
      </c>
      <c r="J442" t="s">
        <v>144</v>
      </c>
      <c r="K442" t="s">
        <v>2</v>
      </c>
      <c r="L442" t="s">
        <v>23</v>
      </c>
      <c r="M442">
        <v>499225</v>
      </c>
      <c r="N442">
        <v>9051893</v>
      </c>
      <c r="O442">
        <v>20664427.699999999</v>
      </c>
      <c r="P442" t="s">
        <v>499</v>
      </c>
    </row>
    <row r="443" spans="2:16" x14ac:dyDescent="0.25">
      <c r="B443">
        <f t="shared" si="6"/>
        <v>441</v>
      </c>
      <c r="C443">
        <v>30039079</v>
      </c>
      <c r="D443" t="s">
        <v>510</v>
      </c>
      <c r="F443" t="e">
        <f>VLOOKUP(JENNIFFER!$B443,#REF!,4,1)</f>
        <v>#REF!</v>
      </c>
      <c r="G443" t="e">
        <f>IF(JENNIFFER!$E443="",JENNIFFER!$F443,JENNIFFER!$E443)</f>
        <v>#REF!</v>
      </c>
      <c r="I443" t="s">
        <v>505</v>
      </c>
      <c r="J443" t="s">
        <v>144</v>
      </c>
      <c r="K443" t="s">
        <v>2</v>
      </c>
      <c r="L443" t="s">
        <v>23</v>
      </c>
      <c r="M443">
        <v>291965</v>
      </c>
      <c r="N443">
        <v>10584481</v>
      </c>
      <c r="O443">
        <v>24171048.460000001</v>
      </c>
      <c r="P443" t="s">
        <v>499</v>
      </c>
    </row>
    <row r="444" spans="2:16" x14ac:dyDescent="0.25">
      <c r="B444">
        <f t="shared" si="6"/>
        <v>442</v>
      </c>
      <c r="C444">
        <v>30049079</v>
      </c>
      <c r="D444" t="s">
        <v>540</v>
      </c>
      <c r="F444" t="e">
        <f>VLOOKUP(JENNIFFER!$B444,#REF!,4,1)</f>
        <v>#REF!</v>
      </c>
      <c r="G444" t="e">
        <f>IF(JENNIFFER!$E444="",JENNIFFER!$F444,JENNIFFER!$E444)</f>
        <v>#REF!</v>
      </c>
      <c r="I444" t="s">
        <v>541</v>
      </c>
      <c r="J444" t="s">
        <v>64</v>
      </c>
      <c r="K444" t="s">
        <v>2</v>
      </c>
      <c r="L444" t="s">
        <v>3</v>
      </c>
      <c r="M444">
        <v>1348689</v>
      </c>
      <c r="N444">
        <v>24265230</v>
      </c>
      <c r="O444">
        <v>55521507.789999999</v>
      </c>
      <c r="P444" t="s">
        <v>548</v>
      </c>
    </row>
    <row r="445" spans="2:16" x14ac:dyDescent="0.25">
      <c r="B445">
        <f t="shared" si="6"/>
        <v>443</v>
      </c>
      <c r="C445">
        <v>30049059</v>
      </c>
      <c r="D445" t="s">
        <v>545</v>
      </c>
      <c r="F445" t="e">
        <f>VLOOKUP(JENNIFFER!$B445,#REF!,4,1)</f>
        <v>#REF!</v>
      </c>
      <c r="G445" t="e">
        <f>IF(JENNIFFER!$E445="",JENNIFFER!$F445,JENNIFFER!$E445)</f>
        <v>#REF!</v>
      </c>
      <c r="I445" t="s">
        <v>541</v>
      </c>
      <c r="J445" t="s">
        <v>92</v>
      </c>
      <c r="K445" t="s">
        <v>2</v>
      </c>
      <c r="L445" t="s">
        <v>23</v>
      </c>
      <c r="M445">
        <v>885377</v>
      </c>
      <c r="N445">
        <v>11517433</v>
      </c>
      <c r="O445">
        <v>26344823.579999998</v>
      </c>
      <c r="P445" t="s">
        <v>548</v>
      </c>
    </row>
    <row r="446" spans="2:16" x14ac:dyDescent="0.25">
      <c r="B446">
        <f t="shared" si="6"/>
        <v>444</v>
      </c>
      <c r="C446">
        <v>30049069</v>
      </c>
      <c r="D446" t="s">
        <v>364</v>
      </c>
      <c r="F446" t="e">
        <f>VLOOKUP(JENNIFFER!$B446,#REF!,4,1)</f>
        <v>#REF!</v>
      </c>
      <c r="G446" t="e">
        <f>IF(JENNIFFER!$E446="",JENNIFFER!$F446,JENNIFFER!$E446)</f>
        <v>#REF!</v>
      </c>
      <c r="I446" t="s">
        <v>363</v>
      </c>
      <c r="J446" t="s">
        <v>34</v>
      </c>
      <c r="K446" t="s">
        <v>2</v>
      </c>
      <c r="L446" t="s">
        <v>3</v>
      </c>
      <c r="M446">
        <v>1564643</v>
      </c>
      <c r="N446">
        <v>4471164</v>
      </c>
      <c r="O446">
        <v>10221047.48</v>
      </c>
      <c r="P446" t="s">
        <v>372</v>
      </c>
    </row>
    <row r="447" spans="2:16" x14ac:dyDescent="0.25">
      <c r="B447">
        <f t="shared" si="6"/>
        <v>445</v>
      </c>
      <c r="C447">
        <v>30049062</v>
      </c>
      <c r="D447" t="s">
        <v>369</v>
      </c>
      <c r="F447" t="e">
        <f>VLOOKUP(JENNIFFER!$B447,#REF!,4,1)</f>
        <v>#REF!</v>
      </c>
      <c r="G447" t="e">
        <f>IF(JENNIFFER!$E447="",JENNIFFER!$F447,JENNIFFER!$E447)</f>
        <v>#REF!</v>
      </c>
      <c r="I447" t="s">
        <v>368</v>
      </c>
      <c r="J447" t="s">
        <v>1</v>
      </c>
      <c r="K447" t="s">
        <v>2</v>
      </c>
      <c r="L447" t="s">
        <v>3</v>
      </c>
      <c r="M447">
        <v>1305558</v>
      </c>
      <c r="N447">
        <v>10146700</v>
      </c>
      <c r="O447">
        <v>23157128.890000001</v>
      </c>
      <c r="P447" t="s">
        <v>372</v>
      </c>
    </row>
    <row r="448" spans="2:16" x14ac:dyDescent="0.25">
      <c r="B448">
        <f t="shared" si="6"/>
        <v>446</v>
      </c>
      <c r="C448">
        <v>30049069</v>
      </c>
      <c r="D448" t="s">
        <v>371</v>
      </c>
      <c r="F448" t="e">
        <f>VLOOKUP(JENNIFFER!$B448,#REF!,4,1)</f>
        <v>#REF!</v>
      </c>
      <c r="G448" t="e">
        <f>IF(JENNIFFER!$E448="",JENNIFFER!$F448,JENNIFFER!$E448)</f>
        <v>#REF!</v>
      </c>
      <c r="I448" t="s">
        <v>368</v>
      </c>
      <c r="J448" t="s">
        <v>1</v>
      </c>
      <c r="K448" t="s">
        <v>2</v>
      </c>
      <c r="L448" t="s">
        <v>3</v>
      </c>
      <c r="M448">
        <v>673257</v>
      </c>
      <c r="N448">
        <v>11729145</v>
      </c>
      <c r="O448">
        <v>26766052.84</v>
      </c>
      <c r="P448" t="s">
        <v>372</v>
      </c>
    </row>
    <row r="449" spans="2:16" x14ac:dyDescent="0.25">
      <c r="B449">
        <f t="shared" si="6"/>
        <v>447</v>
      </c>
      <c r="D449" t="s">
        <v>301</v>
      </c>
      <c r="F449" t="e">
        <f>VLOOKUP(JENNIFFER!$B449,#REF!,4,1)</f>
        <v>#REF!</v>
      </c>
      <c r="G449" t="e">
        <f>IF(JENNIFFER!$E449="",JENNIFFER!$F449,JENNIFFER!$E449)</f>
        <v>#REF!</v>
      </c>
      <c r="I449" t="s">
        <v>296</v>
      </c>
      <c r="J449" t="s">
        <v>302</v>
      </c>
      <c r="K449" t="s">
        <v>4</v>
      </c>
      <c r="L449" t="s">
        <v>3</v>
      </c>
      <c r="M449">
        <v>1182313</v>
      </c>
      <c r="N449">
        <v>6314178</v>
      </c>
      <c r="O449">
        <v>14313857.699999999</v>
      </c>
      <c r="P449" t="s">
        <v>286</v>
      </c>
    </row>
    <row r="450" spans="2:16" x14ac:dyDescent="0.25">
      <c r="B450">
        <f t="shared" si="6"/>
        <v>448</v>
      </c>
      <c r="D450" t="s">
        <v>536</v>
      </c>
      <c r="F450" t="e">
        <f>VLOOKUP(JENNIFFER!$B450,#REF!,4,1)</f>
        <v>#REF!</v>
      </c>
      <c r="G450" t="e">
        <f>IF(JENNIFFER!$E450="",JENNIFFER!$F450,JENNIFFER!$E450)</f>
        <v>#REF!</v>
      </c>
      <c r="I450" t="s">
        <v>535</v>
      </c>
      <c r="J450" t="s">
        <v>537</v>
      </c>
      <c r="K450" t="s">
        <v>2</v>
      </c>
      <c r="L450" t="s">
        <v>3</v>
      </c>
      <c r="M450">
        <v>932454</v>
      </c>
      <c r="N450">
        <v>5794529</v>
      </c>
      <c r="O450">
        <v>13224997.359999999</v>
      </c>
      <c r="P450" t="s">
        <v>548</v>
      </c>
    </row>
    <row r="451" spans="2:16" x14ac:dyDescent="0.25">
      <c r="B451">
        <f t="shared" si="6"/>
        <v>449</v>
      </c>
      <c r="D451" t="s">
        <v>522</v>
      </c>
      <c r="F451" t="e">
        <f>VLOOKUP(JENNIFFER!$B451,#REF!,4,1)</f>
        <v>#REF!</v>
      </c>
      <c r="G451" t="e">
        <f>IF(JENNIFFER!$E451="",JENNIFFER!$F451,JENNIFFER!$E451)</f>
        <v>#REF!</v>
      </c>
      <c r="I451" t="s">
        <v>521</v>
      </c>
      <c r="J451" t="s">
        <v>466</v>
      </c>
      <c r="K451" t="s">
        <v>2</v>
      </c>
      <c r="L451" t="s">
        <v>3</v>
      </c>
      <c r="M451">
        <v>923721</v>
      </c>
      <c r="N451">
        <v>9998184</v>
      </c>
      <c r="O451">
        <v>22808115.82</v>
      </c>
      <c r="P451" t="s">
        <v>525</v>
      </c>
    </row>
    <row r="452" spans="2:16" x14ac:dyDescent="0.25">
      <c r="B452">
        <f t="shared" ref="B452:B460" si="7">+B451+1</f>
        <v>450</v>
      </c>
      <c r="D452" t="s">
        <v>517</v>
      </c>
      <c r="F452" t="e">
        <f>VLOOKUP(JENNIFFER!$B452,#REF!,4,1)</f>
        <v>#REF!</v>
      </c>
      <c r="G452" t="e">
        <f>IF(JENNIFFER!$E452="",JENNIFFER!$F452,JENNIFFER!$E452)</f>
        <v>#REF!</v>
      </c>
      <c r="I452" t="s">
        <v>514</v>
      </c>
      <c r="J452" t="s">
        <v>466</v>
      </c>
      <c r="K452" t="s">
        <v>2</v>
      </c>
      <c r="L452" t="s">
        <v>23</v>
      </c>
      <c r="M452">
        <v>395809</v>
      </c>
      <c r="N452">
        <v>3753877</v>
      </c>
      <c r="O452">
        <v>8562434.3800000008</v>
      </c>
      <c r="P452" t="s">
        <v>525</v>
      </c>
    </row>
    <row r="453" spans="2:16" x14ac:dyDescent="0.25">
      <c r="B453">
        <f t="shared" si="7"/>
        <v>451</v>
      </c>
      <c r="C453">
        <v>30049069</v>
      </c>
      <c r="D453" t="s">
        <v>83</v>
      </c>
      <c r="F453" t="e">
        <f>VLOOKUP(JENNIFFER!$B453,#REF!,4,1)</f>
        <v>#REF!</v>
      </c>
      <c r="G453" t="e">
        <f>IF(JENNIFFER!$E453="",JENNIFFER!$F453,JENNIFFER!$E453)</f>
        <v>#REF!</v>
      </c>
      <c r="I453" t="s">
        <v>84</v>
      </c>
      <c r="J453" t="s">
        <v>85</v>
      </c>
      <c r="K453" t="s">
        <v>2</v>
      </c>
      <c r="L453" t="s">
        <v>3</v>
      </c>
      <c r="M453">
        <v>1049216</v>
      </c>
      <c r="N453">
        <v>8959396</v>
      </c>
      <c r="O453">
        <v>20487485.829999998</v>
      </c>
      <c r="P453" t="s">
        <v>76</v>
      </c>
    </row>
    <row r="454" spans="2:16" x14ac:dyDescent="0.25">
      <c r="B454">
        <f t="shared" si="7"/>
        <v>452</v>
      </c>
      <c r="D454" t="s">
        <v>83</v>
      </c>
      <c r="F454" t="e">
        <f>VLOOKUP(JENNIFFER!$B454,#REF!,4,1)</f>
        <v>#REF!</v>
      </c>
      <c r="G454" t="e">
        <f>IF(JENNIFFER!$E454="",JENNIFFER!$F454,JENNIFFER!$E454)</f>
        <v>#REF!</v>
      </c>
      <c r="I454" t="s">
        <v>84</v>
      </c>
      <c r="J454" t="s">
        <v>85</v>
      </c>
      <c r="K454" t="s">
        <v>2</v>
      </c>
      <c r="L454" t="s">
        <v>3</v>
      </c>
      <c r="M454">
        <v>1049216</v>
      </c>
      <c r="N454">
        <v>8959396</v>
      </c>
      <c r="O454">
        <v>20487485.829999998</v>
      </c>
      <c r="P454" t="s">
        <v>554</v>
      </c>
    </row>
    <row r="455" spans="2:16" x14ac:dyDescent="0.25">
      <c r="B455">
        <f t="shared" si="7"/>
        <v>453</v>
      </c>
      <c r="C455">
        <v>30049069</v>
      </c>
      <c r="D455" t="s">
        <v>86</v>
      </c>
      <c r="F455" t="e">
        <f>VLOOKUP(JENNIFFER!$B455,#REF!,4,1)</f>
        <v>#REF!</v>
      </c>
      <c r="G455" t="e">
        <f>IF(JENNIFFER!$E455="",JENNIFFER!$F455,JENNIFFER!$E455)</f>
        <v>#REF!</v>
      </c>
      <c r="I455" t="s">
        <v>84</v>
      </c>
      <c r="J455" t="s">
        <v>85</v>
      </c>
      <c r="K455" t="s">
        <v>2</v>
      </c>
      <c r="L455" t="s">
        <v>3</v>
      </c>
      <c r="M455">
        <v>674955</v>
      </c>
      <c r="N455">
        <v>11355266</v>
      </c>
      <c r="O455">
        <v>25959933.739999998</v>
      </c>
      <c r="P455" t="s">
        <v>76</v>
      </c>
    </row>
    <row r="456" spans="2:16" x14ac:dyDescent="0.25">
      <c r="B456">
        <f t="shared" si="7"/>
        <v>454</v>
      </c>
      <c r="D456" t="s">
        <v>265</v>
      </c>
      <c r="F456" t="e">
        <f>VLOOKUP(JENNIFFER!$B456,#REF!,4,1)</f>
        <v>#REF!</v>
      </c>
      <c r="G456" t="e">
        <f>IF(JENNIFFER!$E456="",JENNIFFER!$F456,JENNIFFER!$E456)</f>
        <v>#REF!</v>
      </c>
      <c r="I456" t="s">
        <v>266</v>
      </c>
      <c r="J456" t="s">
        <v>267</v>
      </c>
      <c r="K456" t="s">
        <v>2</v>
      </c>
      <c r="L456" t="s">
        <v>23</v>
      </c>
      <c r="M456">
        <v>1388301</v>
      </c>
      <c r="N456">
        <v>47697220</v>
      </c>
      <c r="O456">
        <v>108865235.27</v>
      </c>
      <c r="P456" t="s">
        <v>269</v>
      </c>
    </row>
    <row r="457" spans="2:16" x14ac:dyDescent="0.25">
      <c r="B457">
        <f t="shared" si="7"/>
        <v>455</v>
      </c>
      <c r="D457" t="s">
        <v>464</v>
      </c>
      <c r="F457" t="e">
        <f>VLOOKUP(JENNIFFER!$B457,#REF!,4,1)</f>
        <v>#REF!</v>
      </c>
      <c r="G457" t="e">
        <f>IF(JENNIFFER!$E457="",JENNIFFER!$F457,JENNIFFER!$E457)</f>
        <v>#REF!</v>
      </c>
      <c r="I457" t="s">
        <v>462</v>
      </c>
      <c r="J457" t="s">
        <v>239</v>
      </c>
      <c r="K457" t="s">
        <v>2</v>
      </c>
      <c r="L457" t="s">
        <v>23</v>
      </c>
      <c r="M457">
        <v>583791</v>
      </c>
      <c r="N457">
        <v>23606010</v>
      </c>
      <c r="O457">
        <v>53891130.880000003</v>
      </c>
      <c r="P457" t="s">
        <v>471</v>
      </c>
    </row>
    <row r="458" spans="2:16" x14ac:dyDescent="0.25">
      <c r="B458">
        <f t="shared" si="7"/>
        <v>456</v>
      </c>
      <c r="D458" t="s">
        <v>438</v>
      </c>
      <c r="F458" t="e">
        <f>VLOOKUP(JENNIFFER!$B458,#REF!,4,1)</f>
        <v>#REF!</v>
      </c>
      <c r="G458" t="e">
        <f>IF(JENNIFFER!$E458="",JENNIFFER!$F458,JENNIFFER!$E458)</f>
        <v>#REF!</v>
      </c>
      <c r="I458" t="s">
        <v>433</v>
      </c>
      <c r="J458" t="s">
        <v>439</v>
      </c>
      <c r="K458" t="s">
        <v>2</v>
      </c>
      <c r="L458" t="s">
        <v>23</v>
      </c>
      <c r="M458">
        <v>226601</v>
      </c>
      <c r="N458">
        <v>1966052</v>
      </c>
      <c r="O458">
        <v>4482907.47</v>
      </c>
      <c r="P458" t="s">
        <v>441</v>
      </c>
    </row>
    <row r="459" spans="2:16" x14ac:dyDescent="0.25">
      <c r="B459">
        <f t="shared" si="7"/>
        <v>457</v>
      </c>
      <c r="D459" t="s">
        <v>409</v>
      </c>
      <c r="F459" t="e">
        <f>VLOOKUP(JENNIFFER!$B459,#REF!,4,1)</f>
        <v>#REF!</v>
      </c>
      <c r="G459" t="e">
        <f>IF(JENNIFFER!$E459="",JENNIFFER!$F459,JENNIFFER!$E459)</f>
        <v>#REF!</v>
      </c>
      <c r="I459" t="s">
        <v>398</v>
      </c>
      <c r="J459" t="s">
        <v>400</v>
      </c>
      <c r="K459" t="s">
        <v>2</v>
      </c>
      <c r="L459" t="s">
        <v>23</v>
      </c>
      <c r="M459">
        <v>3274976</v>
      </c>
      <c r="N459">
        <v>62858868</v>
      </c>
      <c r="O459">
        <v>143533693.05000001</v>
      </c>
      <c r="P459" t="s">
        <v>413</v>
      </c>
    </row>
    <row r="460" spans="2:16" x14ac:dyDescent="0.25">
      <c r="B460">
        <f t="shared" si="7"/>
        <v>458</v>
      </c>
      <c r="D460" t="s">
        <v>244</v>
      </c>
      <c r="E460" t="s">
        <v>2460</v>
      </c>
      <c r="F460" t="e">
        <f>VLOOKUP(JENNIFFER!$B460,#REF!,4,1)</f>
        <v>#REF!</v>
      </c>
      <c r="G460" t="str">
        <f>IF(JENNIFFER!$E460="",JENNIFFER!$F460,JENNIFFER!$E460)</f>
        <v>Alopurinol</v>
      </c>
      <c r="I460" t="s">
        <v>242</v>
      </c>
      <c r="J460" t="s">
        <v>245</v>
      </c>
      <c r="K460" t="s">
        <v>2</v>
      </c>
      <c r="L460" t="s">
        <v>23</v>
      </c>
      <c r="M460">
        <v>617469</v>
      </c>
      <c r="N460">
        <v>2315373</v>
      </c>
      <c r="O460">
        <v>5305521.46</v>
      </c>
      <c r="P460" t="s">
        <v>250</v>
      </c>
    </row>
  </sheetData>
  <hyperlinks>
    <hyperlink ref="E13" r:id="rId1" display="http://consultaremedios.com.br/busca?termo=citrato+de+sildenafila"/>
  </hyperlinks>
  <pageMargins left="0.511811024" right="0.511811024" top="0.78740157499999996" bottom="0.78740157499999996" header="0.31496062000000002" footer="0.31496062000000002"/>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H40"/>
  <sheetViews>
    <sheetView showGridLines="0" topLeftCell="A19" zoomScale="115" zoomScaleNormal="115" workbookViewId="0">
      <selection activeCell="E22" sqref="E22"/>
    </sheetView>
  </sheetViews>
  <sheetFormatPr defaultColWidth="9" defaultRowHeight="15" x14ac:dyDescent="0.25"/>
  <cols>
    <col min="3" max="3" width="55.5703125" customWidth="1"/>
    <col min="4" max="4" width="16.28515625" customWidth="1"/>
  </cols>
  <sheetData>
    <row r="1" spans="3:4" ht="30" x14ac:dyDescent="0.25">
      <c r="C1" s="48" t="s">
        <v>19540</v>
      </c>
    </row>
    <row r="4" spans="3:4" x14ac:dyDescent="0.25">
      <c r="C4" t="s">
        <v>19538</v>
      </c>
    </row>
    <row r="5" spans="3:4" x14ac:dyDescent="0.25">
      <c r="C5" t="s">
        <v>19531</v>
      </c>
      <c r="D5" t="s">
        <v>19519</v>
      </c>
    </row>
    <row r="6" spans="3:4" x14ac:dyDescent="0.25">
      <c r="C6" t="s">
        <v>19539</v>
      </c>
      <c r="D6" t="s">
        <v>612</v>
      </c>
    </row>
    <row r="7" spans="3:4" x14ac:dyDescent="0.25">
      <c r="C7" t="s">
        <v>19532</v>
      </c>
      <c r="D7" t="s">
        <v>19534</v>
      </c>
    </row>
    <row r="8" spans="3:4" ht="28.5" customHeight="1" x14ac:dyDescent="0.25">
      <c r="C8" s="48" t="s">
        <v>19533</v>
      </c>
    </row>
    <row r="9" spans="3:4" x14ac:dyDescent="0.25">
      <c r="C9" t="s">
        <v>19535</v>
      </c>
    </row>
    <row r="11" spans="3:4" x14ac:dyDescent="0.25">
      <c r="C11" t="s">
        <v>19541</v>
      </c>
    </row>
    <row r="12" spans="3:4" x14ac:dyDescent="0.25">
      <c r="C12" t="s">
        <v>19542</v>
      </c>
    </row>
    <row r="13" spans="3:4" x14ac:dyDescent="0.25">
      <c r="C13" t="s">
        <v>19543</v>
      </c>
    </row>
    <row r="14" spans="3:4" x14ac:dyDescent="0.25">
      <c r="C14" t="s">
        <v>19544</v>
      </c>
    </row>
    <row r="15" spans="3:4" x14ac:dyDescent="0.25">
      <c r="C15" t="s">
        <v>15</v>
      </c>
    </row>
    <row r="16" spans="3:4" x14ac:dyDescent="0.25">
      <c r="C16" t="s">
        <v>16</v>
      </c>
    </row>
    <row r="20" spans="3:8" x14ac:dyDescent="0.25">
      <c r="C20" t="s">
        <v>19515</v>
      </c>
      <c r="D20" t="s">
        <v>19518</v>
      </c>
      <c r="E20" t="s">
        <v>19519</v>
      </c>
      <c r="F20" t="s">
        <v>19537</v>
      </c>
      <c r="G20" t="s">
        <v>2610</v>
      </c>
      <c r="H20" t="s">
        <v>19536</v>
      </c>
    </row>
    <row r="21" spans="3:8" x14ac:dyDescent="0.25">
      <c r="G21" s="23"/>
    </row>
    <row r="22" spans="3:8" x14ac:dyDescent="0.25">
      <c r="C22" t="s">
        <v>19529</v>
      </c>
      <c r="D22">
        <v>25800</v>
      </c>
      <c r="E22">
        <v>7714</v>
      </c>
      <c r="F22">
        <v>25800</v>
      </c>
      <c r="G22" s="23">
        <f>+'CHECK LIST'!$E22/'CHECK LIST'!$F22</f>
        <v>0.29899224806201552</v>
      </c>
    </row>
    <row r="23" spans="3:8" x14ac:dyDescent="0.25">
      <c r="C23" t="s">
        <v>19516</v>
      </c>
      <c r="D23">
        <v>25492</v>
      </c>
      <c r="G23" s="23"/>
    </row>
    <row r="24" spans="3:8" x14ac:dyDescent="0.25">
      <c r="C24" t="s">
        <v>19530</v>
      </c>
      <c r="D24">
        <v>17555</v>
      </c>
      <c r="F24">
        <v>14555</v>
      </c>
      <c r="G24" s="23"/>
    </row>
    <row r="25" spans="3:8" x14ac:dyDescent="0.25">
      <c r="C25" t="s">
        <v>19517</v>
      </c>
      <c r="D25">
        <v>7714</v>
      </c>
      <c r="G25" s="23"/>
    </row>
    <row r="26" spans="3:8" x14ac:dyDescent="0.25">
      <c r="C26" t="s">
        <v>19526</v>
      </c>
      <c r="D26">
        <v>11149</v>
      </c>
      <c r="G26" s="23"/>
    </row>
    <row r="27" spans="3:8" x14ac:dyDescent="0.25">
      <c r="C27" t="s">
        <v>19528</v>
      </c>
      <c r="D27">
        <v>14568</v>
      </c>
      <c r="F27">
        <v>14555</v>
      </c>
      <c r="G27" s="23"/>
    </row>
    <row r="30" spans="3:8" ht="32.25" customHeight="1" x14ac:dyDescent="0.25">
      <c r="C30" t="s">
        <v>19520</v>
      </c>
      <c r="D30" t="s">
        <v>19521</v>
      </c>
    </row>
    <row r="31" spans="3:8" x14ac:dyDescent="0.25">
      <c r="C31" t="s">
        <v>19522</v>
      </c>
      <c r="D31">
        <v>30</v>
      </c>
    </row>
    <row r="32" spans="3:8" x14ac:dyDescent="0.25">
      <c r="C32" t="s">
        <v>19527</v>
      </c>
      <c r="D32">
        <v>715</v>
      </c>
    </row>
    <row r="33" spans="3:4" x14ac:dyDescent="0.25">
      <c r="C33" t="s">
        <v>19524</v>
      </c>
      <c r="D33">
        <v>5661</v>
      </c>
    </row>
    <row r="34" spans="3:4" x14ac:dyDescent="0.25">
      <c r="C34" t="s">
        <v>19525</v>
      </c>
      <c r="D34">
        <v>11149</v>
      </c>
    </row>
    <row r="37" spans="3:4" x14ac:dyDescent="0.25">
      <c r="C37" t="s">
        <v>19520</v>
      </c>
      <c r="D37" t="s">
        <v>19521</v>
      </c>
    </row>
    <row r="38" spans="3:4" x14ac:dyDescent="0.25">
      <c r="C38" t="s">
        <v>19523</v>
      </c>
      <c r="D38">
        <v>13</v>
      </c>
    </row>
    <row r="39" spans="3:4" x14ac:dyDescent="0.25">
      <c r="C39" t="s">
        <v>19524</v>
      </c>
      <c r="D39">
        <v>4332</v>
      </c>
    </row>
    <row r="40" spans="3:4" x14ac:dyDescent="0.25">
      <c r="C40" t="s">
        <v>19525</v>
      </c>
      <c r="D40">
        <v>10223</v>
      </c>
    </row>
  </sheetData>
  <pageMargins left="0.511811024" right="0.511811024" top="0.78740157499999996" bottom="0.78740157499999996" header="0.31496062000000002" footer="0.31496062000000002"/>
  <tableParts count="3">
    <tablePart r:id="rId1"/>
    <tablePart r:id="rId2"/>
    <tablePart r:id="rId3"/>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AI55"/>
  <sheetViews>
    <sheetView showGridLines="0" zoomScaleNormal="100" workbookViewId="0">
      <selection activeCell="A35" sqref="A35:XFD35"/>
    </sheetView>
  </sheetViews>
  <sheetFormatPr defaultRowHeight="15" x14ac:dyDescent="0.25"/>
  <cols>
    <col min="3" max="3" width="13" bestFit="1" customWidth="1"/>
    <col min="4" max="4" width="30.5703125" bestFit="1" customWidth="1"/>
    <col min="5" max="19" width="9.140625" hidden="1" customWidth="1"/>
    <col min="20" max="20" width="15.140625" hidden="1" customWidth="1"/>
    <col min="21" max="25" width="9.28515625" hidden="1" customWidth="1"/>
    <col min="26" max="26" width="15.140625" hidden="1" customWidth="1"/>
    <col min="27" max="28" width="12.85546875" hidden="1" customWidth="1"/>
    <col min="31" max="31" width="6.7109375" customWidth="1"/>
    <col min="32" max="32" width="30.140625" customWidth="1"/>
    <col min="33" max="33" width="15.28515625" customWidth="1"/>
  </cols>
  <sheetData>
    <row r="2" spans="2:35" x14ac:dyDescent="0.25">
      <c r="X2">
        <v>1</v>
      </c>
    </row>
    <row r="4" spans="2:35" hidden="1" x14ac:dyDescent="0.25">
      <c r="C4">
        <v>1</v>
      </c>
      <c r="D4">
        <f>C4+1</f>
        <v>2</v>
      </c>
      <c r="E4">
        <f t="shared" ref="E4:AB4" si="0">D4+1</f>
        <v>3</v>
      </c>
      <c r="F4">
        <f t="shared" si="0"/>
        <v>4</v>
      </c>
      <c r="G4">
        <f t="shared" si="0"/>
        <v>5</v>
      </c>
      <c r="H4">
        <f t="shared" si="0"/>
        <v>6</v>
      </c>
      <c r="I4">
        <f t="shared" si="0"/>
        <v>7</v>
      </c>
      <c r="J4">
        <f t="shared" si="0"/>
        <v>8</v>
      </c>
      <c r="K4">
        <f t="shared" si="0"/>
        <v>9</v>
      </c>
      <c r="L4">
        <f t="shared" si="0"/>
        <v>10</v>
      </c>
      <c r="M4">
        <f t="shared" si="0"/>
        <v>11</v>
      </c>
      <c r="N4">
        <f t="shared" si="0"/>
        <v>12</v>
      </c>
      <c r="O4">
        <f t="shared" si="0"/>
        <v>13</v>
      </c>
      <c r="P4">
        <f t="shared" si="0"/>
        <v>14</v>
      </c>
      <c r="Q4">
        <f t="shared" si="0"/>
        <v>15</v>
      </c>
      <c r="R4">
        <f t="shared" si="0"/>
        <v>16</v>
      </c>
      <c r="S4">
        <f t="shared" si="0"/>
        <v>17</v>
      </c>
      <c r="T4">
        <f t="shared" si="0"/>
        <v>18</v>
      </c>
      <c r="U4">
        <f t="shared" si="0"/>
        <v>19</v>
      </c>
      <c r="V4">
        <f t="shared" si="0"/>
        <v>20</v>
      </c>
      <c r="W4">
        <f t="shared" si="0"/>
        <v>21</v>
      </c>
      <c r="X4">
        <f t="shared" si="0"/>
        <v>22</v>
      </c>
      <c r="Y4">
        <f t="shared" si="0"/>
        <v>23</v>
      </c>
      <c r="Z4">
        <f t="shared" si="0"/>
        <v>24</v>
      </c>
      <c r="AA4">
        <f t="shared" si="0"/>
        <v>25</v>
      </c>
      <c r="AB4">
        <f t="shared" si="0"/>
        <v>26</v>
      </c>
    </row>
    <row r="5" spans="2:35" hidden="1" x14ac:dyDescent="0.25">
      <c r="D5" s="25" t="str">
        <f>E9</f>
        <v xml:space="preserve">AM </v>
      </c>
      <c r="E5" s="25" t="str">
        <f t="shared" ref="E5:S5" si="1">F9</f>
        <v xml:space="preserve">BA </v>
      </c>
      <c r="F5" s="25" t="str">
        <f t="shared" si="1"/>
        <v xml:space="preserve">CE </v>
      </c>
      <c r="G5" s="25" t="str">
        <f t="shared" si="1"/>
        <v xml:space="preserve">DF </v>
      </c>
      <c r="H5" s="25" t="str">
        <f t="shared" si="1"/>
        <v xml:space="preserve">ES </v>
      </c>
      <c r="I5" s="25" t="str">
        <f t="shared" si="1"/>
        <v xml:space="preserve">GO </v>
      </c>
      <c r="J5" s="25" t="str">
        <f t="shared" si="1"/>
        <v xml:space="preserve">MG </v>
      </c>
      <c r="K5" s="25" t="str">
        <f t="shared" si="1"/>
        <v xml:space="preserve">MS </v>
      </c>
      <c r="L5" s="25" t="str">
        <f t="shared" si="1"/>
        <v xml:space="preserve">MT </v>
      </c>
      <c r="M5" s="25" t="str">
        <f t="shared" si="1"/>
        <v xml:space="preserve">PA </v>
      </c>
      <c r="N5" s="25" t="str">
        <f t="shared" si="1"/>
        <v xml:space="preserve">PE </v>
      </c>
      <c r="O5" s="25" t="str">
        <f t="shared" si="1"/>
        <v xml:space="preserve">PR </v>
      </c>
      <c r="P5" s="25" t="str">
        <f t="shared" si="1"/>
        <v xml:space="preserve">RJ </v>
      </c>
      <c r="Q5" s="25" t="str">
        <f t="shared" si="1"/>
        <v xml:space="preserve">RS </v>
      </c>
      <c r="R5" s="25" t="str">
        <f t="shared" si="1"/>
        <v xml:space="preserve">SC </v>
      </c>
      <c r="S5" s="25" t="str">
        <f t="shared" si="1"/>
        <v xml:space="preserve">SP </v>
      </c>
      <c r="T5" s="25" t="str">
        <f>V9</f>
        <v>FOLHA</v>
      </c>
      <c r="U5" s="25" t="str">
        <f>U9</f>
        <v xml:space="preserve">COFINS </v>
      </c>
      <c r="V5" s="25" t="str">
        <f>W9</f>
        <v xml:space="preserve">OUTROS </v>
      </c>
      <c r="W5" s="25" t="str">
        <f>X9</f>
        <v xml:space="preserve">PIS </v>
      </c>
      <c r="X5" s="25" t="s">
        <v>19501</v>
      </c>
      <c r="Y5" s="25" t="s">
        <v>19506</v>
      </c>
      <c r="Z5" s="25" t="s">
        <v>4680</v>
      </c>
      <c r="AA5" s="25" t="str">
        <f>AB9</f>
        <v>Menor</v>
      </c>
      <c r="AB5" s="25" t="s">
        <v>19505</v>
      </c>
    </row>
    <row r="6" spans="2:35" hidden="1" x14ac:dyDescent="0.25">
      <c r="B6">
        <v>17</v>
      </c>
      <c r="C6">
        <f>INDEX(RANKING!$C$10:$AB$55,$B$6,C4)</f>
        <v>17</v>
      </c>
      <c r="D6" s="113" t="e">
        <f>INDEX(RANKING!$C$10:$AB$55,$B$6,D4)/100</f>
        <v>#VALUE!</v>
      </c>
      <c r="E6" s="113">
        <f>INDEX(RANKING!$C$10:$AB$55,$B$6,E4)/100</f>
        <v>0.34073333333333339</v>
      </c>
      <c r="F6" s="113">
        <f>INDEX(RANKING!$C$10:$AB$55,$B$6,F4)/100</f>
        <v>0.34073333333333339</v>
      </c>
      <c r="G6" s="113">
        <f>INDEX(RANKING!$C$10:$AB$55,$B$6,G4)/100</f>
        <v>0.34073333333333339</v>
      </c>
      <c r="H6" s="113">
        <f>INDEX(RANKING!$C$10:$AB$55,$B$6,H4)/100</f>
        <v>0.34073333333333339</v>
      </c>
      <c r="I6" s="113">
        <f>INDEX(RANKING!$C$10:$AB$55,$B$6,I4)/100</f>
        <v>0.34073333333333339</v>
      </c>
      <c r="J6" s="113">
        <f>INDEX(RANKING!$C$10:$AB$55,$B$6,J4)/100</f>
        <v>0.34073333333333339</v>
      </c>
      <c r="K6" s="113">
        <f>INDEX(RANKING!$C$10:$AB$55,$B$6,K4)/100</f>
        <v>0.34406666666666669</v>
      </c>
      <c r="L6" s="113">
        <f>INDEX(RANKING!$C$10:$AB$55,$B$6,L4)/100</f>
        <v>0.34073333333333339</v>
      </c>
      <c r="M6" s="113">
        <f>INDEX(RANKING!$C$10:$AB$55,$B$6,M4)/100</f>
        <v>0.34073333333333339</v>
      </c>
      <c r="N6" s="113">
        <f>INDEX(RANKING!$C$10:$AB$55,$B$6,N4)/100</f>
        <v>0.34073333333333339</v>
      </c>
      <c r="O6" s="113">
        <f>INDEX(RANKING!$C$10:$AB$55,$B$6,O4)/100</f>
        <v>0.34073333333333339</v>
      </c>
      <c r="P6" s="113">
        <f>INDEX(RANKING!$C$10:$AB$55,$B$6,P4)/100</f>
        <v>0.2907333333333334</v>
      </c>
      <c r="Q6" s="113">
        <f>INDEX(RANKING!$C$10:$AB$55,$B$6,Q4)/100</f>
        <v>0.36073333333333335</v>
      </c>
      <c r="R6" s="113">
        <f>INDEX(RANKING!$C$10:$AB$55,$B$6,R4)/100</f>
        <v>0.34073333333333339</v>
      </c>
      <c r="S6" s="113">
        <f>INDEX(RANKING!$C$10:$AB$55,$B$6,S4)/100</f>
        <v>0.34073333333333339</v>
      </c>
      <c r="T6" s="113">
        <f>INDEX(RANKING!$C$10:$AB$55,$B$6,T4)/100</f>
        <v>0.3507333333333334</v>
      </c>
      <c r="U6" s="113">
        <f>INDEX(RANKING!$C$10:$AB$55,$B$6,U4)/100</f>
        <v>7.6999999999999999E-2</v>
      </c>
      <c r="V6" s="113">
        <f>INDEX(RANKING!$C$10:$AB$55,$B$6,V4)/100</f>
        <v>3.27E-2</v>
      </c>
      <c r="W6" s="113">
        <f>INDEX(RANKING!$C$10:$AB$55,$B$6,W4)/100</f>
        <v>1.3499999999999998E-2</v>
      </c>
      <c r="X6" s="117">
        <f>INDEX(RANKING!$C$10:$AB$55,$B$6,X4)/100</f>
        <v>1.6333333333333332E-2</v>
      </c>
      <c r="Y6" s="117">
        <f>INDEX(RANKING!$C$10:$AB$55,$B$6,Y4)/100</f>
        <v>3.1200000000000006E-2</v>
      </c>
      <c r="Z6" s="117">
        <f>INDEX(RANKING!$C$10:$AB$55,$B$6,Z4)/100</f>
        <v>0.33969166666666667</v>
      </c>
      <c r="AA6" s="117">
        <f>INDEX(RANKING!$C$10:$AB$55,$B$6,AA4)/100</f>
        <v>0.36073333333333335</v>
      </c>
      <c r="AB6" s="117">
        <f>INDEX(RANKING!$C$10:$AB$55,$B$6,AB4)/100</f>
        <v>0.2907333333333334</v>
      </c>
    </row>
    <row r="7" spans="2:35" hidden="1" x14ac:dyDescent="0.25">
      <c r="C7" t="str">
        <f>PROPER("Grupo: "&amp;C6)</f>
        <v>Grupo: 17</v>
      </c>
    </row>
    <row r="8" spans="2:35" hidden="1" x14ac:dyDescent="0.25"/>
    <row r="9" spans="2:35" s="40" customFormat="1" ht="35.25" customHeight="1" x14ac:dyDescent="0.25">
      <c r="C9" s="39" t="s">
        <v>19509</v>
      </c>
      <c r="D9" s="41" t="s">
        <v>19507</v>
      </c>
      <c r="E9" s="37" t="s">
        <v>19493</v>
      </c>
      <c r="F9" s="37" t="s">
        <v>19489</v>
      </c>
      <c r="G9" s="37" t="s">
        <v>19490</v>
      </c>
      <c r="H9" s="37" t="s">
        <v>19488</v>
      </c>
      <c r="I9" s="37" t="s">
        <v>19482</v>
      </c>
      <c r="J9" s="37" t="s">
        <v>19485</v>
      </c>
      <c r="K9" s="37" t="s">
        <v>19483</v>
      </c>
      <c r="L9" s="37" t="s">
        <v>19487</v>
      </c>
      <c r="M9" s="37" t="s">
        <v>19486</v>
      </c>
      <c r="N9" s="37" t="s">
        <v>19492</v>
      </c>
      <c r="O9" s="37" t="s">
        <v>19491</v>
      </c>
      <c r="P9" s="37" t="s">
        <v>19481</v>
      </c>
      <c r="Q9" s="37" t="s">
        <v>19480</v>
      </c>
      <c r="R9" s="38" t="s">
        <v>19479</v>
      </c>
      <c r="S9" s="37" t="s">
        <v>19484</v>
      </c>
      <c r="T9" s="37" t="s">
        <v>19478</v>
      </c>
      <c r="U9" s="39" t="s">
        <v>19512</v>
      </c>
      <c r="V9" s="39" t="s">
        <v>19499</v>
      </c>
      <c r="W9" s="39" t="s">
        <v>19513</v>
      </c>
      <c r="X9" s="39" t="s">
        <v>19511</v>
      </c>
      <c r="Y9" s="38" t="s">
        <v>19500</v>
      </c>
      <c r="Z9" s="38" t="s">
        <v>19497</v>
      </c>
      <c r="AA9" s="38" t="s">
        <v>19496</v>
      </c>
      <c r="AB9" s="38" t="s">
        <v>19495</v>
      </c>
    </row>
    <row r="10" spans="2:35" x14ac:dyDescent="0.25">
      <c r="C10" s="114">
        <f>RANK(Tabela112[[#This Row],[Média]],Tabela112[Média],0)</f>
        <v>1</v>
      </c>
      <c r="D10" s="22" t="s">
        <v>171</v>
      </c>
      <c r="E10" s="42">
        <v>36.74</v>
      </c>
      <c r="F10" s="42">
        <v>36.74</v>
      </c>
      <c r="G10" s="42">
        <v>36.74</v>
      </c>
      <c r="H10" s="42">
        <v>36.74</v>
      </c>
      <c r="I10" s="42">
        <v>36.74</v>
      </c>
      <c r="J10" s="42">
        <v>36.74</v>
      </c>
      <c r="K10" s="42">
        <v>37.74</v>
      </c>
      <c r="L10" s="42">
        <v>36.74</v>
      </c>
      <c r="M10" s="42">
        <v>36.74</v>
      </c>
      <c r="N10" s="42">
        <v>36.74</v>
      </c>
      <c r="O10" s="42">
        <v>36.74</v>
      </c>
      <c r="P10" s="42">
        <v>31.740000000000002</v>
      </c>
      <c r="Q10" s="42">
        <v>38.74</v>
      </c>
      <c r="R10" s="42">
        <v>36.74</v>
      </c>
      <c r="S10" s="42">
        <v>36.74</v>
      </c>
      <c r="T10" s="42">
        <v>37.74</v>
      </c>
      <c r="U10" s="42">
        <v>9.9</v>
      </c>
      <c r="V10" s="42">
        <v>3.27</v>
      </c>
      <c r="W10" s="42">
        <v>1.3499999999999999</v>
      </c>
      <c r="X10" s="42">
        <v>2.1</v>
      </c>
      <c r="Y10" s="42">
        <v>3.1200000000000006</v>
      </c>
      <c r="Z10" s="42">
        <f>AVERAGE(Tabela112[[#This Row],[AM ]:[SP ]])</f>
        <v>36.677500000000002</v>
      </c>
      <c r="AA10" s="42">
        <f>MAX(Tabela112[[#This Row],[AM ]:[SP ]])</f>
        <v>38.74</v>
      </c>
      <c r="AB10" s="42">
        <f>MIN(Tabela112[[#This Row],[AM ]:[SP ]])</f>
        <v>31.740000000000002</v>
      </c>
      <c r="AH10" s="33"/>
      <c r="AI10" s="33"/>
    </row>
    <row r="11" spans="2:35" ht="27.75" customHeight="1" x14ac:dyDescent="0.25">
      <c r="C11" s="114">
        <f>RANK(Tabela112[[#This Row],[Média]],Tabela112[Média],0)</f>
        <v>1</v>
      </c>
      <c r="D11" s="22" t="s">
        <v>227</v>
      </c>
      <c r="E11" s="42">
        <v>36.74</v>
      </c>
      <c r="F11" s="42">
        <v>36.74</v>
      </c>
      <c r="G11" s="42">
        <v>36.74</v>
      </c>
      <c r="H11" s="42">
        <v>36.74</v>
      </c>
      <c r="I11" s="42">
        <v>36.74</v>
      </c>
      <c r="J11" s="42">
        <v>36.74</v>
      </c>
      <c r="K11" s="42">
        <v>37.74</v>
      </c>
      <c r="L11" s="42">
        <v>36.74</v>
      </c>
      <c r="M11" s="42">
        <v>36.74</v>
      </c>
      <c r="N11" s="42">
        <v>36.74</v>
      </c>
      <c r="O11" s="42">
        <v>36.74</v>
      </c>
      <c r="P11" s="42">
        <v>31.740000000000002</v>
      </c>
      <c r="Q11" s="42">
        <v>38.74</v>
      </c>
      <c r="R11" s="42">
        <v>36.74</v>
      </c>
      <c r="S11" s="42">
        <v>36.74</v>
      </c>
      <c r="T11" s="42">
        <v>37.74</v>
      </c>
      <c r="U11" s="42">
        <v>9.9000000000000021</v>
      </c>
      <c r="V11" s="42">
        <v>3.2700000000000005</v>
      </c>
      <c r="W11" s="42">
        <v>1.3499999999999999</v>
      </c>
      <c r="X11" s="42">
        <v>2.1000000000000005</v>
      </c>
      <c r="Y11" s="42">
        <v>3.1200000000000006</v>
      </c>
      <c r="Z11" s="42">
        <f>AVERAGE(Tabela112[[#This Row],[AM ]:[SP ]])</f>
        <v>36.677500000000002</v>
      </c>
      <c r="AA11" s="42">
        <f>MAX(Tabela112[[#This Row],[AM ]:[SP ]])</f>
        <v>38.74</v>
      </c>
      <c r="AB11" s="42">
        <f>MIN(Tabela112[[#This Row],[AM ]:[SP ]])</f>
        <v>31.740000000000002</v>
      </c>
      <c r="AE11" s="45" t="s">
        <v>19514</v>
      </c>
      <c r="AF11" s="46" t="s">
        <v>19510</v>
      </c>
      <c r="AG11" s="47" t="s">
        <v>21990</v>
      </c>
      <c r="AH11" s="33"/>
      <c r="AI11" s="33"/>
    </row>
    <row r="12" spans="2:35" ht="24" customHeight="1" x14ac:dyDescent="0.25">
      <c r="C12" s="114">
        <f>RANK(Tabela112[[#This Row],[Média]],Tabela112[Média],0)</f>
        <v>1</v>
      </c>
      <c r="D12" s="22" t="s">
        <v>286</v>
      </c>
      <c r="E12" s="42">
        <v>36.74</v>
      </c>
      <c r="F12" s="42">
        <v>36.74</v>
      </c>
      <c r="G12" s="42">
        <v>36.74</v>
      </c>
      <c r="H12" s="42">
        <v>36.74</v>
      </c>
      <c r="I12" s="42">
        <v>36.74</v>
      </c>
      <c r="J12" s="42">
        <v>36.74</v>
      </c>
      <c r="K12" s="42">
        <v>37.74</v>
      </c>
      <c r="L12" s="42">
        <v>36.74</v>
      </c>
      <c r="M12" s="42">
        <v>36.74</v>
      </c>
      <c r="N12" s="42">
        <v>36.74</v>
      </c>
      <c r="O12" s="42">
        <v>36.74</v>
      </c>
      <c r="P12" s="42">
        <v>31.740000000000006</v>
      </c>
      <c r="Q12" s="42">
        <v>38.74</v>
      </c>
      <c r="R12" s="42">
        <v>36.74</v>
      </c>
      <c r="S12" s="42">
        <v>36.74</v>
      </c>
      <c r="T12" s="42">
        <v>37.74</v>
      </c>
      <c r="U12" s="42">
        <v>9.9</v>
      </c>
      <c r="V12" s="42">
        <v>3.27</v>
      </c>
      <c r="W12" s="42">
        <v>1.3499999999999999</v>
      </c>
      <c r="X12" s="42">
        <v>2.1</v>
      </c>
      <c r="Y12" s="42">
        <v>3.1200000000000006</v>
      </c>
      <c r="Z12" s="42">
        <f>AVERAGE(Tabela112[[#This Row],[AM ]:[SP ]])</f>
        <v>36.677500000000002</v>
      </c>
      <c r="AA12" s="42">
        <f>MAX(Tabela112[[#This Row],[AM ]:[SP ]])</f>
        <v>38.74</v>
      </c>
      <c r="AB12" s="42">
        <f>MIN(Tabela112[[#This Row],[AM ]:[SP ]])</f>
        <v>31.740000000000006</v>
      </c>
      <c r="AE12" s="44">
        <v>1</v>
      </c>
      <c r="AF12" s="127" t="str">
        <f>TRIM(PROPER(INDEX(RANKING!$D$10:$D$55,AE12,1)))</f>
        <v>Dor Muscular</v>
      </c>
      <c r="AG12" s="128">
        <f>INDEX(RANKING!$Z$10:$Z$55,AE12,1)/100</f>
        <v>0.36677500000000002</v>
      </c>
      <c r="AH12" s="33"/>
      <c r="AI12" s="33"/>
    </row>
    <row r="13" spans="2:35" ht="12.75" customHeight="1" x14ac:dyDescent="0.25">
      <c r="C13" s="114">
        <f>RANK(Tabela112[[#This Row],[Média]],Tabela112[Média],0)</f>
        <v>4</v>
      </c>
      <c r="D13" s="22" t="s">
        <v>441</v>
      </c>
      <c r="E13" s="42">
        <v>36.74</v>
      </c>
      <c r="F13" s="42">
        <v>36.74</v>
      </c>
      <c r="G13" s="42">
        <v>36.74</v>
      </c>
      <c r="H13" s="42">
        <v>36.74</v>
      </c>
      <c r="I13" s="42">
        <v>36.74</v>
      </c>
      <c r="J13" s="42">
        <v>36.74</v>
      </c>
      <c r="K13" s="42">
        <v>36.99</v>
      </c>
      <c r="L13" s="42">
        <v>36.74</v>
      </c>
      <c r="M13" s="42">
        <v>36.74</v>
      </c>
      <c r="N13" s="42">
        <v>36.74</v>
      </c>
      <c r="O13" s="42">
        <v>36.74</v>
      </c>
      <c r="P13" s="42">
        <v>31.740000000000006</v>
      </c>
      <c r="Q13" s="42">
        <v>38.74</v>
      </c>
      <c r="R13" s="42">
        <v>36.74</v>
      </c>
      <c r="S13" s="42">
        <v>36.74</v>
      </c>
      <c r="T13" s="42">
        <v>37.74</v>
      </c>
      <c r="U13" s="42">
        <v>9.9</v>
      </c>
      <c r="V13" s="42">
        <v>3.27</v>
      </c>
      <c r="W13" s="42">
        <v>1.3499999999999999</v>
      </c>
      <c r="X13" s="42">
        <v>2.1</v>
      </c>
      <c r="Y13" s="42">
        <v>3.1200000000000006</v>
      </c>
      <c r="Z13" s="42">
        <f>AVERAGE(Tabela112[[#This Row],[AM ]:[SP ]])</f>
        <v>36.630625000000002</v>
      </c>
      <c r="AA13" s="42">
        <f>MAX(Tabela112[[#This Row],[AM ]:[SP ]])</f>
        <v>38.74</v>
      </c>
      <c r="AB13" s="42">
        <f>MIN(Tabela112[[#This Row],[AM ]:[SP ]])</f>
        <v>31.740000000000006</v>
      </c>
      <c r="AE13" s="43">
        <f>AE12+1</f>
        <v>2</v>
      </c>
      <c r="AF13" s="129" t="str">
        <f>TRIM(PROPER(INDEX(RANKING!$D$10:$D$55,AE13,1)))</f>
        <v>Gripe E Resfriado</v>
      </c>
      <c r="AG13" s="130">
        <f>INDEX(RANKING!$Z$10:$Z$55,AE13,1)/100</f>
        <v>0.36677500000000002</v>
      </c>
      <c r="AH13" s="33"/>
      <c r="AI13" s="33"/>
    </row>
    <row r="14" spans="2:35" ht="24" customHeight="1" x14ac:dyDescent="0.25">
      <c r="C14" s="114">
        <f>RANK(Tabela112[[#This Row],[Média]],Tabela112[Média],0)</f>
        <v>5</v>
      </c>
      <c r="D14" s="36" t="s">
        <v>41</v>
      </c>
      <c r="E14" s="42">
        <v>36.74</v>
      </c>
      <c r="F14" s="42">
        <v>36.74</v>
      </c>
      <c r="G14" s="42">
        <v>36.74</v>
      </c>
      <c r="H14" s="42">
        <v>36.74</v>
      </c>
      <c r="I14" s="42">
        <v>36.74</v>
      </c>
      <c r="J14" s="42">
        <v>36.74</v>
      </c>
      <c r="K14" s="42">
        <v>36.24</v>
      </c>
      <c r="L14" s="42">
        <v>36.74</v>
      </c>
      <c r="M14" s="42">
        <v>36.74</v>
      </c>
      <c r="N14" s="42">
        <v>36.74</v>
      </c>
      <c r="O14" s="42">
        <v>36.74</v>
      </c>
      <c r="P14" s="42">
        <v>31.740000000000006</v>
      </c>
      <c r="Q14" s="42">
        <v>38.74</v>
      </c>
      <c r="R14" s="42">
        <v>36.74</v>
      </c>
      <c r="S14" s="42">
        <v>36.74</v>
      </c>
      <c r="T14" s="42">
        <v>37.74</v>
      </c>
      <c r="U14" s="42">
        <v>9.9</v>
      </c>
      <c r="V14" s="42">
        <v>3.27</v>
      </c>
      <c r="W14" s="42">
        <v>1.3499999999999999</v>
      </c>
      <c r="X14" s="42">
        <v>2.1</v>
      </c>
      <c r="Y14" s="42">
        <v>3.1200000000000006</v>
      </c>
      <c r="Z14" s="42">
        <f>AVERAGE(Tabela112[[#This Row],[AM ]:[SP ]])</f>
        <v>36.583750000000002</v>
      </c>
      <c r="AA14" s="42">
        <f>MAX(Tabela112[[#This Row],[AM ]:[SP ]])</f>
        <v>38.74</v>
      </c>
      <c r="AB14" s="42">
        <f>MIN(Tabela112[[#This Row],[AM ]:[SP ]])</f>
        <v>31.740000000000006</v>
      </c>
      <c r="AE14" s="43">
        <f t="shared" ref="AE14:AE21" si="2">AE13+1</f>
        <v>3</v>
      </c>
      <c r="AF14" s="129" t="str">
        <f>TRIM(PROPER(INDEX(RANKING!$D$10:$D$55,AE14,1)))</f>
        <v>Tosse</v>
      </c>
      <c r="AG14" s="130">
        <f>INDEX(RANKING!$Z$10:$Z$55,AE14,1)/100</f>
        <v>0.36677500000000002</v>
      </c>
      <c r="AH14" s="33"/>
      <c r="AI14" s="33"/>
    </row>
    <row r="15" spans="2:35" ht="24" customHeight="1" x14ac:dyDescent="0.25">
      <c r="C15" s="114">
        <f>RANK(Tabela112[[#This Row],[Média]],Tabela112[Média],0)</f>
        <v>6</v>
      </c>
      <c r="D15" s="22" t="s">
        <v>549</v>
      </c>
      <c r="E15" s="42">
        <v>36.74</v>
      </c>
      <c r="F15" s="42">
        <v>36.74</v>
      </c>
      <c r="G15" s="42">
        <v>36.74</v>
      </c>
      <c r="H15" s="42">
        <v>36.74</v>
      </c>
      <c r="I15" s="42">
        <v>36.74</v>
      </c>
      <c r="J15" s="42">
        <v>36.74</v>
      </c>
      <c r="K15" s="42">
        <v>35.073333333333338</v>
      </c>
      <c r="L15" s="42">
        <v>36.74</v>
      </c>
      <c r="M15" s="42">
        <v>36.74</v>
      </c>
      <c r="N15" s="42">
        <v>36.74</v>
      </c>
      <c r="O15" s="42">
        <v>36.74</v>
      </c>
      <c r="P15" s="42">
        <v>31.740000000000002</v>
      </c>
      <c r="Q15" s="42">
        <v>38.74</v>
      </c>
      <c r="R15" s="42">
        <v>36.74</v>
      </c>
      <c r="S15" s="42">
        <v>36.74</v>
      </c>
      <c r="T15" s="42">
        <v>37.74</v>
      </c>
      <c r="U15" s="42">
        <v>9.9</v>
      </c>
      <c r="V15" s="42">
        <v>3.27</v>
      </c>
      <c r="W15" s="42">
        <v>1.3499999999999999</v>
      </c>
      <c r="X15" s="42">
        <v>2.1</v>
      </c>
      <c r="Y15" s="42">
        <v>3.1200000000000006</v>
      </c>
      <c r="Z15" s="42">
        <f>AVERAGE(Tabela112[[#This Row],[AM ]:[SP ]])</f>
        <v>36.510833333333338</v>
      </c>
      <c r="AA15" s="42">
        <f>MAX(Tabela112[[#This Row],[AM ]:[SP ]])</f>
        <v>38.74</v>
      </c>
      <c r="AB15" s="42">
        <f>MIN(Tabela112[[#This Row],[AM ]:[SP ]])</f>
        <v>31.740000000000002</v>
      </c>
      <c r="AE15" s="43">
        <f t="shared" si="2"/>
        <v>4</v>
      </c>
      <c r="AF15" s="129" t="str">
        <f>TRIM(PROPER(INDEX(RANKING!$D$10:$D$55,AE15,1)))</f>
        <v>Hemorroidas</v>
      </c>
      <c r="AG15" s="130">
        <f>INDEX(RANKING!$Z$10:$Z$55,AE15,1)/100</f>
        <v>0.36630625</v>
      </c>
      <c r="AH15" s="33"/>
      <c r="AI15" s="33"/>
    </row>
    <row r="16" spans="2:35" ht="24" customHeight="1" x14ac:dyDescent="0.25">
      <c r="C16" s="114">
        <f>RANK(Tabela112[[#This Row],[Média]],Tabela112[Média],0)</f>
        <v>7</v>
      </c>
      <c r="D16" s="22" t="s">
        <v>383</v>
      </c>
      <c r="E16" s="42">
        <v>36.465000000000003</v>
      </c>
      <c r="F16" s="42">
        <v>36.465000000000003</v>
      </c>
      <c r="G16" s="42">
        <v>36.465000000000003</v>
      </c>
      <c r="H16" s="42">
        <v>36.465000000000003</v>
      </c>
      <c r="I16" s="42">
        <v>36.465000000000003</v>
      </c>
      <c r="J16" s="42">
        <v>36.465000000000003</v>
      </c>
      <c r="K16" s="42">
        <v>35.665000000000006</v>
      </c>
      <c r="L16" s="42">
        <v>36.465000000000003</v>
      </c>
      <c r="M16" s="42">
        <v>36.465000000000003</v>
      </c>
      <c r="N16" s="42">
        <v>36.465000000000003</v>
      </c>
      <c r="O16" s="42">
        <v>36.465000000000003</v>
      </c>
      <c r="P16" s="42">
        <v>31.465000000000003</v>
      </c>
      <c r="Q16" s="42">
        <v>38.465000000000003</v>
      </c>
      <c r="R16" s="42">
        <v>36.465000000000003</v>
      </c>
      <c r="S16" s="42">
        <v>36.465000000000003</v>
      </c>
      <c r="T16" s="42">
        <v>37.465000000000003</v>
      </c>
      <c r="U16" s="42">
        <v>9.6700000000000017</v>
      </c>
      <c r="V16" s="42">
        <v>3.2700000000000005</v>
      </c>
      <c r="W16" s="42">
        <v>1.3499999999999999</v>
      </c>
      <c r="X16" s="42">
        <v>2.0550000000000006</v>
      </c>
      <c r="Y16" s="42">
        <v>3.1200000000000006</v>
      </c>
      <c r="Z16" s="42">
        <f>AVERAGE(Tabela112[[#This Row],[AM ]:[SP ]])</f>
        <v>36.29000000000002</v>
      </c>
      <c r="AA16" s="42">
        <f>MAX(Tabela112[[#This Row],[AM ]:[SP ]])</f>
        <v>38.465000000000003</v>
      </c>
      <c r="AB16" s="42">
        <f>MIN(Tabela112[[#This Row],[AM ]:[SP ]])</f>
        <v>31.465000000000003</v>
      </c>
      <c r="AE16" s="43">
        <f t="shared" si="2"/>
        <v>5</v>
      </c>
      <c r="AF16" s="129" t="str">
        <f>TRIM(PROPER(INDEX(RANKING!$D$10:$D$55,AE16,1)))</f>
        <v>Azia/ Má Digestão</v>
      </c>
      <c r="AG16" s="130">
        <f>INDEX(RANKING!$Z$10:$Z$55,AE16,1)/100</f>
        <v>0.36583750000000004</v>
      </c>
      <c r="AH16" s="33"/>
      <c r="AI16" s="33"/>
    </row>
    <row r="17" spans="3:33" ht="24" customHeight="1" x14ac:dyDescent="0.25">
      <c r="C17" s="114">
        <f>RANK(Tabela112[[#This Row],[Média]],Tabela112[Média],0)</f>
        <v>8</v>
      </c>
      <c r="D17" s="22" t="s">
        <v>174</v>
      </c>
      <c r="E17" s="42">
        <v>35.540000000000006</v>
      </c>
      <c r="F17" s="42">
        <v>35.540000000000006</v>
      </c>
      <c r="G17" s="42">
        <v>35.540000000000006</v>
      </c>
      <c r="H17" s="42">
        <v>35.540000000000006</v>
      </c>
      <c r="I17" s="42">
        <v>35.540000000000006</v>
      </c>
      <c r="J17" s="42">
        <v>35.540000000000006</v>
      </c>
      <c r="K17" s="42">
        <v>36.540000000000006</v>
      </c>
      <c r="L17" s="42">
        <v>35.540000000000006</v>
      </c>
      <c r="M17" s="42">
        <v>35.540000000000006</v>
      </c>
      <c r="N17" s="42">
        <v>35.540000000000006</v>
      </c>
      <c r="O17" s="42">
        <v>35.540000000000006</v>
      </c>
      <c r="P17" s="42">
        <v>30.540000000000003</v>
      </c>
      <c r="Q17" s="42">
        <v>37.540000000000006</v>
      </c>
      <c r="R17" s="42">
        <v>35.540000000000006</v>
      </c>
      <c r="S17" s="42">
        <v>35.540000000000006</v>
      </c>
      <c r="T17" s="42">
        <v>36.540000000000006</v>
      </c>
      <c r="U17" s="42">
        <v>8.91</v>
      </c>
      <c r="V17" s="42">
        <v>3.2700000000000005</v>
      </c>
      <c r="W17" s="42">
        <v>1.3499999999999999</v>
      </c>
      <c r="X17" s="42">
        <v>1.8900000000000001</v>
      </c>
      <c r="Y17" s="42">
        <v>3.1200000000000006</v>
      </c>
      <c r="Z17" s="42">
        <f>AVERAGE(Tabela112[[#This Row],[AM ]:[SP ]])</f>
        <v>35.477500000000013</v>
      </c>
      <c r="AA17" s="42">
        <f>MAX(Tabela112[[#This Row],[AM ]:[SP ]])</f>
        <v>37.540000000000006</v>
      </c>
      <c r="AB17" s="42">
        <f>MIN(Tabela112[[#This Row],[AM ]:[SP ]])</f>
        <v>30.540000000000003</v>
      </c>
      <c r="AE17" s="43">
        <f t="shared" si="2"/>
        <v>6</v>
      </c>
      <c r="AF17" s="129" t="str">
        <f>TRIM(PROPER(INDEX(RANKING!$D$10:$D$55,AE17,1)))</f>
        <v>Sintomas Da Dengue</v>
      </c>
      <c r="AG17" s="130">
        <f>INDEX(RANKING!$Z$10:$Z$55,AE17,1)/100</f>
        <v>0.36510833333333337</v>
      </c>
    </row>
    <row r="18" spans="3:33" ht="24" customHeight="1" x14ac:dyDescent="0.25">
      <c r="C18" s="114">
        <f>RANK(Tabela112[[#This Row],[Média]],Tabela112[Média],0)</f>
        <v>9</v>
      </c>
      <c r="D18" s="22" t="s">
        <v>449</v>
      </c>
      <c r="E18" s="42">
        <v>35.540000000000006</v>
      </c>
      <c r="F18" s="42">
        <v>35.540000000000006</v>
      </c>
      <c r="G18" s="42">
        <v>35.540000000000006</v>
      </c>
      <c r="H18" s="42">
        <v>35.540000000000006</v>
      </c>
      <c r="I18" s="42">
        <v>35.540000000000006</v>
      </c>
      <c r="J18" s="42">
        <v>35.540000000000006</v>
      </c>
      <c r="K18" s="42">
        <v>35.940000000000005</v>
      </c>
      <c r="L18" s="42">
        <v>35.540000000000006</v>
      </c>
      <c r="M18" s="42">
        <v>35.540000000000006</v>
      </c>
      <c r="N18" s="42">
        <v>35.540000000000006</v>
      </c>
      <c r="O18" s="42">
        <v>35.540000000000006</v>
      </c>
      <c r="P18" s="42">
        <v>30.540000000000003</v>
      </c>
      <c r="Q18" s="42">
        <v>37.540000000000006</v>
      </c>
      <c r="R18" s="42">
        <v>35.540000000000006</v>
      </c>
      <c r="S18" s="42">
        <v>35.540000000000006</v>
      </c>
      <c r="T18" s="42">
        <v>36.540000000000006</v>
      </c>
      <c r="U18" s="42">
        <v>8.91</v>
      </c>
      <c r="V18" s="42">
        <v>3.2700000000000005</v>
      </c>
      <c r="W18" s="42">
        <v>1.3499999999999999</v>
      </c>
      <c r="X18" s="42">
        <v>1.8900000000000001</v>
      </c>
      <c r="Y18" s="42">
        <v>3.1200000000000006</v>
      </c>
      <c r="Z18" s="42">
        <f>AVERAGE(Tabela112[[#This Row],[AM ]:[SP ]])</f>
        <v>35.440000000000012</v>
      </c>
      <c r="AA18" s="42">
        <f>MAX(Tabela112[[#This Row],[AM ]:[SP ]])</f>
        <v>37.540000000000006</v>
      </c>
      <c r="AB18" s="42">
        <f>MIN(Tabela112[[#This Row],[AM ]:[SP ]])</f>
        <v>30.540000000000003</v>
      </c>
      <c r="AE18" s="43">
        <f t="shared" si="2"/>
        <v>7</v>
      </c>
      <c r="AF18" s="129" t="str">
        <f>TRIM(PROPER(INDEX(RANKING!$D$10:$D$55,AE18,1)))</f>
        <v>Machucados E Contusões</v>
      </c>
      <c r="AG18" s="130">
        <f>INDEX(RANKING!$Z$10:$Z$55,AE18,1)/100</f>
        <v>0.36290000000000022</v>
      </c>
    </row>
    <row r="19" spans="3:33" ht="24" customHeight="1" x14ac:dyDescent="0.25">
      <c r="C19" s="114">
        <f>RANK(Tabela112[[#This Row],[Média]],Tabela112[Média],0)</f>
        <v>9</v>
      </c>
      <c r="D19" s="22" t="s">
        <v>40</v>
      </c>
      <c r="E19" s="42">
        <v>35.540000000000006</v>
      </c>
      <c r="F19" s="42">
        <v>35.540000000000006</v>
      </c>
      <c r="G19" s="42">
        <v>35.540000000000006</v>
      </c>
      <c r="H19" s="42">
        <v>35.540000000000006</v>
      </c>
      <c r="I19" s="42">
        <v>35.540000000000006</v>
      </c>
      <c r="J19" s="42">
        <v>35.540000000000006</v>
      </c>
      <c r="K19" s="42">
        <v>35.940000000000005</v>
      </c>
      <c r="L19" s="42">
        <v>35.540000000000006</v>
      </c>
      <c r="M19" s="42">
        <v>35.540000000000006</v>
      </c>
      <c r="N19" s="42">
        <v>35.540000000000006</v>
      </c>
      <c r="O19" s="42">
        <v>35.540000000000006</v>
      </c>
      <c r="P19" s="42">
        <v>30.540000000000003</v>
      </c>
      <c r="Q19" s="42">
        <v>37.540000000000006</v>
      </c>
      <c r="R19" s="42">
        <v>35.540000000000006</v>
      </c>
      <c r="S19" s="42">
        <v>35.540000000000006</v>
      </c>
      <c r="T19" s="42">
        <v>36.540000000000006</v>
      </c>
      <c r="U19" s="42">
        <v>8.91</v>
      </c>
      <c r="V19" s="42">
        <v>3.2700000000000005</v>
      </c>
      <c r="W19" s="42">
        <v>1.3499999999999999</v>
      </c>
      <c r="X19" s="42">
        <v>1.8900000000000001</v>
      </c>
      <c r="Y19" s="42">
        <v>3.1200000000000006</v>
      </c>
      <c r="Z19" s="42">
        <f>AVERAGE(Tabela112[[#This Row],[AM ]:[SP ]])</f>
        <v>35.440000000000012</v>
      </c>
      <c r="AA19" s="42">
        <f>MAX(Tabela112[[#This Row],[AM ]:[SP ]])</f>
        <v>37.540000000000006</v>
      </c>
      <c r="AB19" s="42">
        <f>MIN(Tabela112[[#This Row],[AM ]:[SP ]])</f>
        <v>30.540000000000003</v>
      </c>
      <c r="AE19" s="43">
        <f t="shared" si="2"/>
        <v>8</v>
      </c>
      <c r="AF19" s="129" t="str">
        <f>TRIM(PROPER(INDEX(RANKING!$D$10:$D$55,AE19,1)))</f>
        <v>Anemia</v>
      </c>
      <c r="AG19" s="130">
        <f>INDEX(RANKING!$Z$10:$Z$55,AE19,1)/100</f>
        <v>0.35477500000000012</v>
      </c>
    </row>
    <row r="20" spans="3:33" ht="24" customHeight="1" x14ac:dyDescent="0.25">
      <c r="C20" s="114">
        <f>RANK(Tabela112[[#This Row],[Média]],Tabela112[Média],0)</f>
        <v>11</v>
      </c>
      <c r="D20" s="22" t="s">
        <v>5</v>
      </c>
      <c r="E20" s="42">
        <v>35.540000000000006</v>
      </c>
      <c r="F20" s="42">
        <v>35.540000000000006</v>
      </c>
      <c r="G20" s="42">
        <v>35.540000000000006</v>
      </c>
      <c r="H20" s="42">
        <v>35.540000000000006</v>
      </c>
      <c r="I20" s="42">
        <v>35.540000000000006</v>
      </c>
      <c r="J20" s="42">
        <v>35.540000000000006</v>
      </c>
      <c r="K20" s="42">
        <v>34.74</v>
      </c>
      <c r="L20" s="42">
        <v>35.540000000000006</v>
      </c>
      <c r="M20" s="42">
        <v>35.540000000000006</v>
      </c>
      <c r="N20" s="42">
        <v>35.540000000000006</v>
      </c>
      <c r="O20" s="42">
        <v>35.540000000000006</v>
      </c>
      <c r="P20" s="42">
        <v>30.540000000000003</v>
      </c>
      <c r="Q20" s="42">
        <v>37.540000000000006</v>
      </c>
      <c r="R20" s="42">
        <v>35.540000000000006</v>
      </c>
      <c r="S20" s="42">
        <v>35.540000000000006</v>
      </c>
      <c r="T20" s="42">
        <v>36.540000000000006</v>
      </c>
      <c r="U20" s="42">
        <v>8.91</v>
      </c>
      <c r="V20" s="42">
        <v>3.2700000000000005</v>
      </c>
      <c r="W20" s="42">
        <v>1.3499999999999999</v>
      </c>
      <c r="X20" s="42">
        <v>1.8900000000000001</v>
      </c>
      <c r="Y20" s="42">
        <v>3.1200000000000006</v>
      </c>
      <c r="Z20" s="42">
        <f>AVERAGE(Tabela112[[#This Row],[AM ]:[SP ]])</f>
        <v>35.365000000000009</v>
      </c>
      <c r="AA20" s="42">
        <f>MAX(Tabela112[[#This Row],[AM ]:[SP ]])</f>
        <v>37.540000000000006</v>
      </c>
      <c r="AB20" s="42">
        <f>MIN(Tabela112[[#This Row],[AM ]:[SP ]])</f>
        <v>30.540000000000003</v>
      </c>
      <c r="AE20" s="43">
        <f t="shared" si="2"/>
        <v>9</v>
      </c>
      <c r="AF20" s="129" t="str">
        <f>TRIM(PROPER(INDEX(RANKING!$D$10:$D$55,AE20,1)))</f>
        <v>Cólicas Menstruais</v>
      </c>
      <c r="AG20" s="130">
        <f>INDEX(RANKING!$Z$10:$Z$55,AE20,1)/100</f>
        <v>0.3544000000000001</v>
      </c>
    </row>
    <row r="21" spans="3:33" ht="24" customHeight="1" x14ac:dyDescent="0.25">
      <c r="C21" s="114">
        <f>RANK(Tabela112[[#This Row],[Média]],Tabela112[Média],0)</f>
        <v>12</v>
      </c>
      <c r="D21" s="22" t="s">
        <v>210</v>
      </c>
      <c r="E21" s="42">
        <v>35.540000000000006</v>
      </c>
      <c r="F21" s="42">
        <v>35.540000000000006</v>
      </c>
      <c r="G21" s="42">
        <v>35.540000000000006</v>
      </c>
      <c r="H21" s="42">
        <v>35.540000000000006</v>
      </c>
      <c r="I21" s="42">
        <v>35.540000000000006</v>
      </c>
      <c r="J21" s="42">
        <v>35.540000000000006</v>
      </c>
      <c r="K21" s="42">
        <v>31.740000000000002</v>
      </c>
      <c r="L21" s="42">
        <v>35.540000000000006</v>
      </c>
      <c r="M21" s="42">
        <v>35.540000000000006</v>
      </c>
      <c r="N21" s="42">
        <v>35.540000000000006</v>
      </c>
      <c r="O21" s="42">
        <v>35.540000000000006</v>
      </c>
      <c r="P21" s="42">
        <v>30.540000000000003</v>
      </c>
      <c r="Q21" s="42">
        <v>37.540000000000006</v>
      </c>
      <c r="R21" s="42">
        <v>35.540000000000006</v>
      </c>
      <c r="S21" s="42">
        <v>35.540000000000006</v>
      </c>
      <c r="T21" s="42">
        <v>36.540000000000006</v>
      </c>
      <c r="U21" s="42">
        <v>8.91</v>
      </c>
      <c r="V21" s="42">
        <v>3.2700000000000005</v>
      </c>
      <c r="W21" s="42">
        <v>1.3499999999999999</v>
      </c>
      <c r="X21" s="42">
        <v>1.8900000000000001</v>
      </c>
      <c r="Y21" s="42">
        <v>3.1200000000000006</v>
      </c>
      <c r="Z21" s="42">
        <f>AVERAGE(Tabela112[[#This Row],[AM ]:[SP ]])</f>
        <v>35.177500000000009</v>
      </c>
      <c r="AA21" s="42">
        <f>MAX(Tabela112[[#This Row],[AM ]:[SP ]])</f>
        <v>37.540000000000006</v>
      </c>
      <c r="AB21" s="42">
        <f>MIN(Tabela112[[#This Row],[AM ]:[SP ]])</f>
        <v>30.540000000000003</v>
      </c>
      <c r="AE21" s="43">
        <f t="shared" si="2"/>
        <v>10</v>
      </c>
      <c r="AF21" s="129" t="str">
        <f>TRIM(PROPER(INDEX(RANKING!$D$10:$D$55,AE21,1)))</f>
        <v>Dor De Barriga/ Cólicas</v>
      </c>
      <c r="AG21" s="130">
        <f>INDEX(RANKING!$Z$10:$Z$55,AE21,1)/100</f>
        <v>0.3544000000000001</v>
      </c>
    </row>
    <row r="22" spans="3:33" x14ac:dyDescent="0.25">
      <c r="C22" s="114">
        <f>RANK(Tabela112[[#This Row],[Média]],Tabela112[Média],0)</f>
        <v>13</v>
      </c>
      <c r="D22" s="22" t="s">
        <v>548</v>
      </c>
      <c r="E22" s="42">
        <v>35.025714285714294</v>
      </c>
      <c r="F22" s="42">
        <v>35.025714285714294</v>
      </c>
      <c r="G22" s="42">
        <v>35.025714285714294</v>
      </c>
      <c r="H22" s="42">
        <v>35.025714285714294</v>
      </c>
      <c r="I22" s="42">
        <v>35.025714285714294</v>
      </c>
      <c r="J22" s="42">
        <v>35.025714285714294</v>
      </c>
      <c r="K22" s="42">
        <v>35.168571428571433</v>
      </c>
      <c r="L22" s="42">
        <v>35.025714285714294</v>
      </c>
      <c r="M22" s="42">
        <v>35.025714285714294</v>
      </c>
      <c r="N22" s="42">
        <v>35.025714285714294</v>
      </c>
      <c r="O22" s="42">
        <v>35.025714285714294</v>
      </c>
      <c r="P22" s="42">
        <v>30.02571428571429</v>
      </c>
      <c r="Q22" s="42">
        <v>37.025714285714287</v>
      </c>
      <c r="R22" s="42">
        <v>35.025714285714294</v>
      </c>
      <c r="S22" s="42">
        <v>35.025714285714294</v>
      </c>
      <c r="T22" s="42">
        <v>36.025714285714294</v>
      </c>
      <c r="U22" s="42">
        <v>8.4857142857142858</v>
      </c>
      <c r="V22" s="42">
        <v>3.27</v>
      </c>
      <c r="W22" s="42">
        <v>1.3499999999999999</v>
      </c>
      <c r="X22" s="42">
        <v>1.8</v>
      </c>
      <c r="Y22" s="42">
        <v>3.1200000000000006</v>
      </c>
      <c r="Z22" s="42">
        <f>AVERAGE(Tabela112[[#This Row],[AM ]:[SP ]])</f>
        <v>34.909642857142863</v>
      </c>
      <c r="AA22" s="42">
        <f>MAX(Tabela112[[#This Row],[AM ]:[SP ]])</f>
        <v>37.025714285714287</v>
      </c>
      <c r="AB22" s="42">
        <f>MIN(Tabela112[[#This Row],[AM ]:[SP ]])</f>
        <v>30.02571428571429</v>
      </c>
      <c r="AG22" s="35"/>
    </row>
    <row r="23" spans="3:33" x14ac:dyDescent="0.25">
      <c r="C23" s="114">
        <f>RANK(Tabela112[[#This Row],[Média]],Tabela112[Média],0)</f>
        <v>14</v>
      </c>
      <c r="D23" s="22" t="s">
        <v>111</v>
      </c>
      <c r="E23" s="42">
        <v>34.340000000000003</v>
      </c>
      <c r="F23" s="42">
        <v>34.340000000000003</v>
      </c>
      <c r="G23" s="42">
        <v>34.340000000000003</v>
      </c>
      <c r="H23" s="42">
        <v>34.340000000000003</v>
      </c>
      <c r="I23" s="42">
        <v>34.340000000000003</v>
      </c>
      <c r="J23" s="42">
        <v>34.340000000000003</v>
      </c>
      <c r="K23" s="42">
        <v>34.74</v>
      </c>
      <c r="L23" s="42">
        <v>34.340000000000003</v>
      </c>
      <c r="M23" s="42">
        <v>34.340000000000003</v>
      </c>
      <c r="N23" s="42">
        <v>34.340000000000003</v>
      </c>
      <c r="O23" s="42">
        <v>34.340000000000003</v>
      </c>
      <c r="P23" s="42">
        <v>29.340000000000003</v>
      </c>
      <c r="Q23" s="42">
        <v>36.340000000000003</v>
      </c>
      <c r="R23" s="42">
        <v>34.340000000000003</v>
      </c>
      <c r="S23" s="42">
        <v>34.340000000000003</v>
      </c>
      <c r="T23" s="42">
        <v>35.340000000000003</v>
      </c>
      <c r="U23" s="42">
        <v>7.92</v>
      </c>
      <c r="V23" s="42">
        <v>3.2700000000000005</v>
      </c>
      <c r="W23" s="42">
        <v>1.3499999999999999</v>
      </c>
      <c r="X23" s="42">
        <v>1.6800000000000002</v>
      </c>
      <c r="Y23" s="42">
        <v>3.1200000000000006</v>
      </c>
      <c r="Z23" s="42">
        <f>AVERAGE(Tabela112[[#This Row],[AM ]:[SP ]])</f>
        <v>34.240000000000016</v>
      </c>
      <c r="AA23" s="42">
        <f>MAX(Tabela112[[#This Row],[AM ]:[SP ]])</f>
        <v>36.340000000000003</v>
      </c>
      <c r="AB23" s="42">
        <f>MIN(Tabela112[[#This Row],[AM ]:[SP ]])</f>
        <v>29.340000000000003</v>
      </c>
      <c r="AG23" s="35"/>
    </row>
    <row r="24" spans="3:33" x14ac:dyDescent="0.25">
      <c r="C24" s="114">
        <f>RANK(Tabela112[[#This Row],[Média]],Tabela112[Média],0)</f>
        <v>14</v>
      </c>
      <c r="D24" s="22" t="s">
        <v>333</v>
      </c>
      <c r="E24" s="42">
        <v>34.340000000000003</v>
      </c>
      <c r="F24" s="42">
        <v>34.340000000000003</v>
      </c>
      <c r="G24" s="42">
        <v>34.340000000000003</v>
      </c>
      <c r="H24" s="42">
        <v>34.340000000000003</v>
      </c>
      <c r="I24" s="42">
        <v>34.340000000000003</v>
      </c>
      <c r="J24" s="42">
        <v>34.340000000000003</v>
      </c>
      <c r="K24" s="42">
        <v>34.74</v>
      </c>
      <c r="L24" s="42">
        <v>34.340000000000003</v>
      </c>
      <c r="M24" s="42">
        <v>34.340000000000003</v>
      </c>
      <c r="N24" s="42">
        <v>34.340000000000003</v>
      </c>
      <c r="O24" s="42">
        <v>34.340000000000003</v>
      </c>
      <c r="P24" s="42">
        <v>29.340000000000003</v>
      </c>
      <c r="Q24" s="42">
        <v>36.340000000000003</v>
      </c>
      <c r="R24" s="42">
        <v>34.340000000000003</v>
      </c>
      <c r="S24" s="42">
        <v>34.340000000000003</v>
      </c>
      <c r="T24" s="42">
        <v>35.340000000000003</v>
      </c>
      <c r="U24" s="42">
        <v>7.92</v>
      </c>
      <c r="V24" s="42">
        <v>3.2700000000000005</v>
      </c>
      <c r="W24" s="42">
        <v>1.3499999999999999</v>
      </c>
      <c r="X24" s="42">
        <v>1.6800000000000002</v>
      </c>
      <c r="Y24" s="42">
        <v>3.1200000000000006</v>
      </c>
      <c r="Z24" s="42">
        <f>AVERAGE(Tabela112[[#This Row],[AM ]:[SP ]])</f>
        <v>34.240000000000016</v>
      </c>
      <c r="AA24" s="42">
        <f>MAX(Tabela112[[#This Row],[AM ]:[SP ]])</f>
        <v>36.340000000000003</v>
      </c>
      <c r="AB24" s="42">
        <f>MIN(Tabela112[[#This Row],[AM ]:[SP ]])</f>
        <v>29.340000000000003</v>
      </c>
      <c r="AG24" s="35"/>
    </row>
    <row r="25" spans="3:33" x14ac:dyDescent="0.25">
      <c r="C25" s="114">
        <f>RANK(Tabela112[[#This Row],[Média]],Tabela112[Média],0)</f>
        <v>14</v>
      </c>
      <c r="D25" s="22" t="s">
        <v>372</v>
      </c>
      <c r="E25" s="42">
        <v>34.340000000000003</v>
      </c>
      <c r="F25" s="42">
        <v>34.340000000000003</v>
      </c>
      <c r="G25" s="42">
        <v>34.340000000000003</v>
      </c>
      <c r="H25" s="42">
        <v>34.340000000000003</v>
      </c>
      <c r="I25" s="42">
        <v>34.340000000000003</v>
      </c>
      <c r="J25" s="42">
        <v>34.340000000000003</v>
      </c>
      <c r="K25" s="42">
        <v>34.74</v>
      </c>
      <c r="L25" s="42">
        <v>34.340000000000003</v>
      </c>
      <c r="M25" s="42">
        <v>34.340000000000003</v>
      </c>
      <c r="N25" s="42">
        <v>34.340000000000003</v>
      </c>
      <c r="O25" s="42">
        <v>34.340000000000003</v>
      </c>
      <c r="P25" s="42">
        <v>29.340000000000003</v>
      </c>
      <c r="Q25" s="42">
        <v>36.340000000000003</v>
      </c>
      <c r="R25" s="42">
        <v>34.340000000000003</v>
      </c>
      <c r="S25" s="42">
        <v>34.340000000000003</v>
      </c>
      <c r="T25" s="42">
        <v>35.340000000000003</v>
      </c>
      <c r="U25" s="42">
        <v>7.92</v>
      </c>
      <c r="V25" s="42">
        <v>3.2700000000000005</v>
      </c>
      <c r="W25" s="42">
        <v>1.3499999999999999</v>
      </c>
      <c r="X25" s="42">
        <v>1.6800000000000002</v>
      </c>
      <c r="Y25" s="42">
        <v>3.1200000000000006</v>
      </c>
      <c r="Z25" s="42">
        <f>AVERAGE(Tabela112[[#This Row],[AM ]:[SP ]])</f>
        <v>34.240000000000016</v>
      </c>
      <c r="AA25" s="42">
        <f>MAX(Tabela112[[#This Row],[AM ]:[SP ]])</f>
        <v>36.340000000000003</v>
      </c>
      <c r="AB25" s="42">
        <f>MIN(Tabela112[[#This Row],[AM ]:[SP ]])</f>
        <v>29.340000000000003</v>
      </c>
      <c r="AG25" s="35"/>
    </row>
    <row r="26" spans="3:33" x14ac:dyDescent="0.25">
      <c r="C26" s="114">
        <f>RANK(Tabela112[[#This Row],[Média]],Tabela112[Média],0)</f>
        <v>17</v>
      </c>
      <c r="D26" s="22" t="s">
        <v>338</v>
      </c>
      <c r="E26" s="42">
        <v>34.073333333333338</v>
      </c>
      <c r="F26" s="42">
        <v>34.073333333333338</v>
      </c>
      <c r="G26" s="42">
        <v>34.073333333333338</v>
      </c>
      <c r="H26" s="42">
        <v>34.073333333333338</v>
      </c>
      <c r="I26" s="42">
        <v>34.073333333333338</v>
      </c>
      <c r="J26" s="42">
        <v>34.073333333333338</v>
      </c>
      <c r="K26" s="42">
        <v>34.406666666666666</v>
      </c>
      <c r="L26" s="42">
        <v>34.073333333333338</v>
      </c>
      <c r="M26" s="42">
        <v>34.073333333333338</v>
      </c>
      <c r="N26" s="42">
        <v>34.073333333333338</v>
      </c>
      <c r="O26" s="42">
        <v>34.073333333333338</v>
      </c>
      <c r="P26" s="42">
        <v>29.073333333333338</v>
      </c>
      <c r="Q26" s="42">
        <v>36.073333333333338</v>
      </c>
      <c r="R26" s="42">
        <v>34.073333333333338</v>
      </c>
      <c r="S26" s="42">
        <v>34.073333333333338</v>
      </c>
      <c r="T26" s="42">
        <v>35.073333333333338</v>
      </c>
      <c r="U26" s="42">
        <v>7.6999999999999993</v>
      </c>
      <c r="V26" s="42">
        <v>3.27</v>
      </c>
      <c r="W26" s="42">
        <v>1.3499999999999999</v>
      </c>
      <c r="X26" s="42">
        <v>1.6333333333333333</v>
      </c>
      <c r="Y26" s="42">
        <v>3.1200000000000006</v>
      </c>
      <c r="Z26" s="42">
        <f>AVERAGE(Tabela112[[#This Row],[AM ]:[SP ]])</f>
        <v>33.969166666666666</v>
      </c>
      <c r="AA26" s="42">
        <f>MAX(Tabela112[[#This Row],[AM ]:[SP ]])</f>
        <v>36.073333333333338</v>
      </c>
      <c r="AB26" s="42">
        <f>MIN(Tabela112[[#This Row],[AM ]:[SP ]])</f>
        <v>29.073333333333338</v>
      </c>
      <c r="AG26" s="35"/>
    </row>
    <row r="27" spans="3:33" x14ac:dyDescent="0.25">
      <c r="C27" s="114">
        <f>RANK(Tabela112[[#This Row],[Média]],Tabela112[Média],0)</f>
        <v>18</v>
      </c>
      <c r="D27" s="22" t="s">
        <v>554</v>
      </c>
      <c r="E27" s="42">
        <v>32.74</v>
      </c>
      <c r="F27" s="42">
        <v>32.74</v>
      </c>
      <c r="G27" s="42">
        <v>32.74</v>
      </c>
      <c r="H27" s="42">
        <v>32.74</v>
      </c>
      <c r="I27" s="42">
        <v>32.74</v>
      </c>
      <c r="J27" s="42">
        <v>32.74</v>
      </c>
      <c r="K27" s="42">
        <v>33.74</v>
      </c>
      <c r="L27" s="42">
        <v>32.74</v>
      </c>
      <c r="M27" s="42">
        <v>32.74</v>
      </c>
      <c r="N27" s="42">
        <v>32.74</v>
      </c>
      <c r="O27" s="42">
        <v>32.74</v>
      </c>
      <c r="P27" s="42">
        <v>27.740000000000006</v>
      </c>
      <c r="Q27" s="42">
        <v>34.74</v>
      </c>
      <c r="R27" s="42">
        <v>32.74</v>
      </c>
      <c r="S27" s="42">
        <v>32.74</v>
      </c>
      <c r="T27" s="42">
        <v>33.74</v>
      </c>
      <c r="U27" s="42">
        <v>6.6</v>
      </c>
      <c r="V27" s="42">
        <v>3.27</v>
      </c>
      <c r="W27" s="42">
        <v>1.3499999999999999</v>
      </c>
      <c r="X27" s="42">
        <v>1.4</v>
      </c>
      <c r="Y27" s="42">
        <v>3.1200000000000006</v>
      </c>
      <c r="Z27" s="42">
        <f>AVERAGE(Tabela112[[#This Row],[AM ]:[SP ]])</f>
        <v>32.677500000000002</v>
      </c>
      <c r="AA27" s="42">
        <f>MAX(Tabela112[[#This Row],[AM ]:[SP ]])</f>
        <v>34.74</v>
      </c>
      <c r="AB27" s="42">
        <f>MIN(Tabela112[[#This Row],[AM ]:[SP ]])</f>
        <v>27.740000000000006</v>
      </c>
      <c r="AG27" s="35"/>
    </row>
    <row r="28" spans="3:33" x14ac:dyDescent="0.25">
      <c r="C28" s="114">
        <f>RANK(Tabela112[[#This Row],[Média]],Tabela112[Média],0)</f>
        <v>19</v>
      </c>
      <c r="D28" s="22" t="s">
        <v>559</v>
      </c>
      <c r="E28" s="42">
        <v>32.74</v>
      </c>
      <c r="F28" s="42">
        <v>32.74</v>
      </c>
      <c r="G28" s="42">
        <v>32.74</v>
      </c>
      <c r="H28" s="42">
        <v>32.74</v>
      </c>
      <c r="I28" s="42">
        <v>32.74</v>
      </c>
      <c r="J28" s="42">
        <v>32.74</v>
      </c>
      <c r="K28" s="42">
        <v>32.406666666666666</v>
      </c>
      <c r="L28" s="42">
        <v>32.74</v>
      </c>
      <c r="M28" s="42">
        <v>32.74</v>
      </c>
      <c r="N28" s="42">
        <v>32.74</v>
      </c>
      <c r="O28" s="42">
        <v>32.74</v>
      </c>
      <c r="P28" s="42">
        <v>27.740000000000006</v>
      </c>
      <c r="Q28" s="42">
        <v>34.74</v>
      </c>
      <c r="R28" s="42">
        <v>32.74</v>
      </c>
      <c r="S28" s="42">
        <v>32.74</v>
      </c>
      <c r="T28" s="42">
        <v>33.74</v>
      </c>
      <c r="U28" s="42">
        <v>6.6</v>
      </c>
      <c r="V28" s="42">
        <v>3.27</v>
      </c>
      <c r="W28" s="42">
        <v>1.3499999999999999</v>
      </c>
      <c r="X28" s="42">
        <v>1.4</v>
      </c>
      <c r="Y28" s="42">
        <v>3.1200000000000006</v>
      </c>
      <c r="Z28" s="42">
        <f>AVERAGE(Tabela112[[#This Row],[AM ]:[SP ]])</f>
        <v>32.594166666666673</v>
      </c>
      <c r="AA28" s="42">
        <f>MAX(Tabela112[[#This Row],[AM ]:[SP ]])</f>
        <v>34.74</v>
      </c>
      <c r="AB28" s="42">
        <f>MIN(Tabela112[[#This Row],[AM ]:[SP ]])</f>
        <v>27.740000000000006</v>
      </c>
    </row>
    <row r="29" spans="3:33" x14ac:dyDescent="0.25">
      <c r="C29" s="114">
        <f>RANK(Tabela112[[#This Row],[Média]],Tabela112[Média],0)</f>
        <v>20</v>
      </c>
      <c r="D29" s="22" t="s">
        <v>240</v>
      </c>
      <c r="E29" s="42">
        <v>31.940000000000005</v>
      </c>
      <c r="F29" s="42">
        <v>31.940000000000005</v>
      </c>
      <c r="G29" s="42">
        <v>31.940000000000005</v>
      </c>
      <c r="H29" s="42">
        <v>31.940000000000005</v>
      </c>
      <c r="I29" s="42">
        <v>31.940000000000005</v>
      </c>
      <c r="J29" s="42">
        <v>31.940000000000005</v>
      </c>
      <c r="K29" s="42">
        <v>32.940000000000005</v>
      </c>
      <c r="L29" s="42">
        <v>31.940000000000005</v>
      </c>
      <c r="M29" s="42">
        <v>31.940000000000005</v>
      </c>
      <c r="N29" s="42">
        <v>31.940000000000005</v>
      </c>
      <c r="O29" s="42">
        <v>31.940000000000005</v>
      </c>
      <c r="P29" s="42">
        <v>26.940000000000005</v>
      </c>
      <c r="Q29" s="42">
        <v>33.940000000000005</v>
      </c>
      <c r="R29" s="42">
        <v>31.940000000000005</v>
      </c>
      <c r="S29" s="42">
        <v>31.940000000000005</v>
      </c>
      <c r="T29" s="42">
        <v>32.940000000000005</v>
      </c>
      <c r="U29" s="42">
        <v>5.9399999999999995</v>
      </c>
      <c r="V29" s="42">
        <v>3.2700000000000005</v>
      </c>
      <c r="W29" s="42">
        <v>1.3499999999999999</v>
      </c>
      <c r="X29" s="42">
        <v>1.26</v>
      </c>
      <c r="Y29" s="42">
        <v>3.1200000000000006</v>
      </c>
      <c r="Z29" s="42">
        <f>AVERAGE(Tabela112[[#This Row],[AM ]:[SP ]])</f>
        <v>31.877500000000001</v>
      </c>
      <c r="AA29" s="42">
        <f>MAX(Tabela112[[#This Row],[AM ]:[SP ]])</f>
        <v>33.940000000000005</v>
      </c>
      <c r="AB29" s="42">
        <f>MIN(Tabela112[[#This Row],[AM ]:[SP ]])</f>
        <v>26.940000000000005</v>
      </c>
    </row>
    <row r="30" spans="3:33" x14ac:dyDescent="0.25">
      <c r="C30" s="114">
        <f>RANK(Tabela112[[#This Row],[Média]],Tabela112[Média],0)</f>
        <v>21</v>
      </c>
      <c r="D30" s="36" t="s">
        <v>611</v>
      </c>
      <c r="E30" s="42">
        <v>31.940000000000005</v>
      </c>
      <c r="F30" s="42">
        <v>31.940000000000005</v>
      </c>
      <c r="G30" s="42">
        <v>31.940000000000005</v>
      </c>
      <c r="H30" s="42">
        <v>31.940000000000005</v>
      </c>
      <c r="I30" s="42">
        <v>31.940000000000005</v>
      </c>
      <c r="J30" s="42">
        <v>31.940000000000005</v>
      </c>
      <c r="K30" s="42">
        <v>32.340000000000003</v>
      </c>
      <c r="L30" s="42">
        <v>31.940000000000005</v>
      </c>
      <c r="M30" s="42">
        <v>31.940000000000005</v>
      </c>
      <c r="N30" s="42">
        <v>31.940000000000005</v>
      </c>
      <c r="O30" s="42">
        <v>31.940000000000005</v>
      </c>
      <c r="P30" s="42">
        <v>26.940000000000005</v>
      </c>
      <c r="Q30" s="42">
        <v>33.940000000000005</v>
      </c>
      <c r="R30" s="42">
        <v>31.940000000000005</v>
      </c>
      <c r="S30" s="42">
        <v>31.940000000000005</v>
      </c>
      <c r="T30" s="42">
        <v>32.940000000000005</v>
      </c>
      <c r="U30" s="42">
        <v>5.9399999999999995</v>
      </c>
      <c r="V30" s="42">
        <v>3.2700000000000005</v>
      </c>
      <c r="W30" s="42">
        <v>1.3499999999999999</v>
      </c>
      <c r="X30" s="42">
        <v>1.26</v>
      </c>
      <c r="Y30" s="42">
        <v>3.1200000000000006</v>
      </c>
      <c r="Z30" s="42">
        <f>AVERAGE(Tabela112[[#This Row],[AM ]:[SP ]])</f>
        <v>31.84</v>
      </c>
      <c r="AA30" s="42">
        <f>MAX(Tabela112[[#This Row],[AM ]:[SP ]])</f>
        <v>33.940000000000005</v>
      </c>
      <c r="AB30" s="42">
        <f>MIN(Tabela112[[#This Row],[AM ]:[SP ]])</f>
        <v>26.940000000000005</v>
      </c>
    </row>
    <row r="31" spans="3:33" x14ac:dyDescent="0.25">
      <c r="C31" s="114">
        <f>RANK(Tabela112[[#This Row],[Média]],Tabela112[Média],0)</f>
        <v>21</v>
      </c>
      <c r="D31" s="22" t="s">
        <v>76</v>
      </c>
      <c r="E31" s="42">
        <v>31.940000000000005</v>
      </c>
      <c r="F31" s="42">
        <v>31.940000000000005</v>
      </c>
      <c r="G31" s="42">
        <v>31.940000000000005</v>
      </c>
      <c r="H31" s="42">
        <v>31.940000000000005</v>
      </c>
      <c r="I31" s="42">
        <v>31.940000000000005</v>
      </c>
      <c r="J31" s="42">
        <v>31.940000000000005</v>
      </c>
      <c r="K31" s="42">
        <v>32.340000000000003</v>
      </c>
      <c r="L31" s="42">
        <v>31.940000000000005</v>
      </c>
      <c r="M31" s="42">
        <v>31.940000000000005</v>
      </c>
      <c r="N31" s="42">
        <v>31.940000000000005</v>
      </c>
      <c r="O31" s="42">
        <v>31.940000000000005</v>
      </c>
      <c r="P31" s="42">
        <v>26.940000000000005</v>
      </c>
      <c r="Q31" s="42">
        <v>33.940000000000005</v>
      </c>
      <c r="R31" s="42">
        <v>31.940000000000005</v>
      </c>
      <c r="S31" s="42">
        <v>31.940000000000005</v>
      </c>
      <c r="T31" s="42">
        <v>32.940000000000005</v>
      </c>
      <c r="U31" s="42">
        <v>5.9399999999999995</v>
      </c>
      <c r="V31" s="42">
        <v>3.2700000000000005</v>
      </c>
      <c r="W31" s="42">
        <v>1.3499999999999999</v>
      </c>
      <c r="X31" s="42">
        <v>1.26</v>
      </c>
      <c r="Y31" s="42">
        <v>3.1200000000000006</v>
      </c>
      <c r="Z31" s="42">
        <f>AVERAGE(Tabela112[[#This Row],[AM ]:[SP ]])</f>
        <v>31.84</v>
      </c>
      <c r="AA31" s="42">
        <f>MAX(Tabela112[[#This Row],[AM ]:[SP ]])</f>
        <v>33.940000000000005</v>
      </c>
      <c r="AB31" s="42">
        <f>MIN(Tabela112[[#This Row],[AM ]:[SP ]])</f>
        <v>26.940000000000005</v>
      </c>
    </row>
    <row r="32" spans="3:33" x14ac:dyDescent="0.25">
      <c r="C32" s="114">
        <f>RANK(Tabela112[[#This Row],[Média]],Tabela112[Média],0)</f>
        <v>23</v>
      </c>
      <c r="D32" s="22" t="s">
        <v>460</v>
      </c>
      <c r="E32" s="42">
        <v>31.940000000000005</v>
      </c>
      <c r="F32" s="42">
        <v>31.940000000000005</v>
      </c>
      <c r="G32" s="42">
        <v>31.940000000000005</v>
      </c>
      <c r="H32" s="42">
        <v>31.940000000000005</v>
      </c>
      <c r="I32" s="42">
        <v>31.940000000000005</v>
      </c>
      <c r="J32" s="42">
        <v>31.940000000000005</v>
      </c>
      <c r="K32" s="42">
        <v>31.740000000000002</v>
      </c>
      <c r="L32" s="42">
        <v>31.940000000000005</v>
      </c>
      <c r="M32" s="42">
        <v>31.940000000000005</v>
      </c>
      <c r="N32" s="42">
        <v>31.940000000000005</v>
      </c>
      <c r="O32" s="42">
        <v>31.940000000000005</v>
      </c>
      <c r="P32" s="42">
        <v>26.940000000000005</v>
      </c>
      <c r="Q32" s="42">
        <v>33.940000000000005</v>
      </c>
      <c r="R32" s="42">
        <v>31.940000000000005</v>
      </c>
      <c r="S32" s="42">
        <v>31.940000000000005</v>
      </c>
      <c r="T32" s="42">
        <v>32.940000000000005</v>
      </c>
      <c r="U32" s="42">
        <v>5.9399999999999995</v>
      </c>
      <c r="V32" s="42">
        <v>3.2700000000000005</v>
      </c>
      <c r="W32" s="42">
        <v>1.3499999999999999</v>
      </c>
      <c r="X32" s="42">
        <v>1.26</v>
      </c>
      <c r="Y32" s="42">
        <v>3.1200000000000006</v>
      </c>
      <c r="Z32" s="42">
        <f>AVERAGE(Tabela112[[#This Row],[AM ]:[SP ]])</f>
        <v>31.802500000000002</v>
      </c>
      <c r="AA32" s="42">
        <f>MAX(Tabela112[[#This Row],[AM ]:[SP ]])</f>
        <v>33.940000000000005</v>
      </c>
      <c r="AB32" s="42">
        <f>MIN(Tabela112[[#This Row],[AM ]:[SP ]])</f>
        <v>26.940000000000005</v>
      </c>
    </row>
    <row r="33" spans="3:28" x14ac:dyDescent="0.25">
      <c r="C33" s="114">
        <f>RANK(Tabela112[[#This Row],[Média]],Tabela112[Média],0)</f>
        <v>24</v>
      </c>
      <c r="D33" s="22" t="s">
        <v>595</v>
      </c>
      <c r="E33" s="42">
        <v>31.40666666666667</v>
      </c>
      <c r="F33" s="42">
        <v>31.40666666666667</v>
      </c>
      <c r="G33" s="42">
        <v>31.40666666666667</v>
      </c>
      <c r="H33" s="42">
        <v>31.40666666666667</v>
      </c>
      <c r="I33" s="42">
        <v>31.40666666666667</v>
      </c>
      <c r="J33" s="42">
        <v>31.40666666666667</v>
      </c>
      <c r="K33" s="42">
        <v>32.406666666666666</v>
      </c>
      <c r="L33" s="42">
        <v>31.40666666666667</v>
      </c>
      <c r="M33" s="42">
        <v>31.40666666666667</v>
      </c>
      <c r="N33" s="42">
        <v>31.40666666666667</v>
      </c>
      <c r="O33" s="42">
        <v>31.40666666666667</v>
      </c>
      <c r="P33" s="42">
        <v>26.406666666666673</v>
      </c>
      <c r="Q33" s="42">
        <v>33.406666666666666</v>
      </c>
      <c r="R33" s="42">
        <v>31.40666666666667</v>
      </c>
      <c r="S33" s="42">
        <v>31.40666666666667</v>
      </c>
      <c r="T33" s="42">
        <v>32.406666666666666</v>
      </c>
      <c r="U33" s="42">
        <v>5.5</v>
      </c>
      <c r="V33" s="42">
        <v>3.27</v>
      </c>
      <c r="W33" s="42">
        <v>1.3499999999999999</v>
      </c>
      <c r="X33" s="42">
        <v>1.1666666666666667</v>
      </c>
      <c r="Y33" s="42">
        <v>3.1200000000000006</v>
      </c>
      <c r="Z33" s="42">
        <f>AVERAGE(Tabela112[[#This Row],[AM ]:[SP ]])</f>
        <v>31.344166666666673</v>
      </c>
      <c r="AA33" s="42">
        <f>MAX(Tabela112[[#This Row],[AM ]:[SP ]])</f>
        <v>33.406666666666666</v>
      </c>
      <c r="AB33" s="42">
        <f>MIN(Tabela112[[#This Row],[AM ]:[SP ]])</f>
        <v>26.406666666666673</v>
      </c>
    </row>
    <row r="34" spans="3:28" x14ac:dyDescent="0.25">
      <c r="C34" s="114">
        <f>RANK(Tabela112[[#This Row],[Média]],Tabela112[Média],0)</f>
        <v>25</v>
      </c>
      <c r="D34" s="36" t="s">
        <v>589</v>
      </c>
      <c r="E34" s="42">
        <v>30.740000000000002</v>
      </c>
      <c r="F34" s="42">
        <v>30.740000000000002</v>
      </c>
      <c r="G34" s="42">
        <v>30.740000000000002</v>
      </c>
      <c r="H34" s="42">
        <v>30.740000000000002</v>
      </c>
      <c r="I34" s="42">
        <v>30.740000000000002</v>
      </c>
      <c r="J34" s="42">
        <v>30.740000000000002</v>
      </c>
      <c r="K34" s="42">
        <v>31.740000000000002</v>
      </c>
      <c r="L34" s="42">
        <v>30.740000000000002</v>
      </c>
      <c r="M34" s="42">
        <v>30.740000000000002</v>
      </c>
      <c r="N34" s="42">
        <v>30.740000000000002</v>
      </c>
      <c r="O34" s="42">
        <v>30.740000000000002</v>
      </c>
      <c r="P34" s="42">
        <v>25.740000000000002</v>
      </c>
      <c r="Q34" s="42">
        <v>32.74</v>
      </c>
      <c r="R34" s="42">
        <v>30.740000000000002</v>
      </c>
      <c r="S34" s="42">
        <v>30.740000000000002</v>
      </c>
      <c r="T34" s="42">
        <v>31.740000000000002</v>
      </c>
      <c r="U34" s="42">
        <v>4.95</v>
      </c>
      <c r="V34" s="42">
        <v>3.2700000000000005</v>
      </c>
      <c r="W34" s="42">
        <v>1.3499999999999999</v>
      </c>
      <c r="X34" s="42">
        <v>1.05</v>
      </c>
      <c r="Y34" s="42">
        <v>3.1200000000000006</v>
      </c>
      <c r="Z34" s="42">
        <f>AVERAGE(Tabela112[[#This Row],[AM ]:[SP ]])</f>
        <v>30.677500000000006</v>
      </c>
      <c r="AA34" s="42">
        <f>MAX(Tabela112[[#This Row],[AM ]:[SP ]])</f>
        <v>32.74</v>
      </c>
      <c r="AB34" s="42">
        <f>MIN(Tabela112[[#This Row],[AM ]:[SP ]])</f>
        <v>25.740000000000002</v>
      </c>
    </row>
    <row r="35" spans="3:28" x14ac:dyDescent="0.25">
      <c r="C35" s="114">
        <f>RANK(Tabela112[[#This Row],[Média]],Tabela112[Média],0)</f>
        <v>26</v>
      </c>
      <c r="D35" s="22" t="s">
        <v>285</v>
      </c>
      <c r="E35" s="42">
        <v>30.740000000000006</v>
      </c>
      <c r="F35" s="42">
        <v>30.740000000000006</v>
      </c>
      <c r="G35" s="42">
        <v>30.740000000000006</v>
      </c>
      <c r="H35" s="42">
        <v>30.740000000000006</v>
      </c>
      <c r="I35" s="42">
        <v>30.740000000000006</v>
      </c>
      <c r="J35" s="42">
        <v>30.740000000000006</v>
      </c>
      <c r="K35" s="42">
        <v>29.740000000000006</v>
      </c>
      <c r="L35" s="42">
        <v>30.740000000000006</v>
      </c>
      <c r="M35" s="42">
        <v>30.740000000000006</v>
      </c>
      <c r="N35" s="42">
        <v>30.740000000000006</v>
      </c>
      <c r="O35" s="42">
        <v>30.740000000000006</v>
      </c>
      <c r="P35" s="42">
        <v>25.740000000000006</v>
      </c>
      <c r="Q35" s="42">
        <v>32.74</v>
      </c>
      <c r="R35" s="42">
        <v>30.740000000000006</v>
      </c>
      <c r="S35" s="42">
        <v>30.740000000000006</v>
      </c>
      <c r="T35" s="42">
        <v>31.740000000000006</v>
      </c>
      <c r="U35" s="42">
        <v>4.95</v>
      </c>
      <c r="V35" s="42">
        <v>3.27</v>
      </c>
      <c r="W35" s="42">
        <v>1.3499999999999999</v>
      </c>
      <c r="X35" s="42">
        <v>1.05</v>
      </c>
      <c r="Y35" s="42">
        <v>3.1200000000000006</v>
      </c>
      <c r="Z35" s="42">
        <f>AVERAGE(Tabela112[[#This Row],[AM ]:[SP ]])</f>
        <v>30.552500000000006</v>
      </c>
      <c r="AA35" s="42">
        <f>MAX(Tabela112[[#This Row],[AM ]:[SP ]])</f>
        <v>32.74</v>
      </c>
      <c r="AB35" s="42">
        <f>MIN(Tabela112[[#This Row],[AM ]:[SP ]])</f>
        <v>25.740000000000006</v>
      </c>
    </row>
    <row r="36" spans="3:28" x14ac:dyDescent="0.25">
      <c r="C36" s="114">
        <f>RANK(Tabela112[[#This Row],[Média]],Tabela112[Média],0)</f>
        <v>27</v>
      </c>
      <c r="D36" s="22" t="s">
        <v>594</v>
      </c>
      <c r="E36" s="42">
        <v>30.073333333333338</v>
      </c>
      <c r="F36" s="42">
        <v>30.073333333333338</v>
      </c>
      <c r="G36" s="42">
        <v>30.073333333333338</v>
      </c>
      <c r="H36" s="42">
        <v>30.073333333333338</v>
      </c>
      <c r="I36" s="42">
        <v>30.073333333333338</v>
      </c>
      <c r="J36" s="42">
        <v>30.073333333333338</v>
      </c>
      <c r="K36" s="42">
        <v>29.073333333333338</v>
      </c>
      <c r="L36" s="42">
        <v>30.073333333333338</v>
      </c>
      <c r="M36" s="42">
        <v>30.073333333333338</v>
      </c>
      <c r="N36" s="42">
        <v>30.073333333333338</v>
      </c>
      <c r="O36" s="42">
        <v>30.073333333333338</v>
      </c>
      <c r="P36" s="42">
        <v>25.073333333333338</v>
      </c>
      <c r="Q36" s="42">
        <v>32.073333333333338</v>
      </c>
      <c r="R36" s="42">
        <v>30.073333333333338</v>
      </c>
      <c r="S36" s="42">
        <v>30.073333333333338</v>
      </c>
      <c r="T36" s="42">
        <v>31.073333333333338</v>
      </c>
      <c r="U36" s="42">
        <v>4.4000000000000004</v>
      </c>
      <c r="V36" s="42">
        <v>3.27</v>
      </c>
      <c r="W36" s="42">
        <v>1.3499999999999999</v>
      </c>
      <c r="X36" s="42">
        <v>0.93333333333333335</v>
      </c>
      <c r="Y36" s="42">
        <v>3.1200000000000006</v>
      </c>
      <c r="Z36" s="42">
        <f>AVERAGE(Tabela112[[#This Row],[AM ]:[SP ]])</f>
        <v>29.885833333333327</v>
      </c>
      <c r="AA36" s="42">
        <f>MAX(Tabela112[[#This Row],[AM ]:[SP ]])</f>
        <v>32.073333333333338</v>
      </c>
      <c r="AB36" s="42">
        <f>MIN(Tabela112[[#This Row],[AM ]:[SP ]])</f>
        <v>25.073333333333338</v>
      </c>
    </row>
    <row r="37" spans="3:28" x14ac:dyDescent="0.25">
      <c r="C37" s="114">
        <f>RANK(Tabela112[[#This Row],[Média]],Tabela112[Média],0)</f>
        <v>28</v>
      </c>
      <c r="D37" s="36" t="s">
        <v>472</v>
      </c>
      <c r="E37" s="42">
        <v>29.540000000000003</v>
      </c>
      <c r="F37" s="42">
        <v>29.540000000000003</v>
      </c>
      <c r="G37" s="42">
        <v>29.540000000000003</v>
      </c>
      <c r="H37" s="42">
        <v>29.540000000000003</v>
      </c>
      <c r="I37" s="42">
        <v>29.540000000000003</v>
      </c>
      <c r="J37" s="42">
        <v>29.540000000000003</v>
      </c>
      <c r="K37" s="42">
        <v>30.540000000000003</v>
      </c>
      <c r="L37" s="42">
        <v>29.540000000000003</v>
      </c>
      <c r="M37" s="42">
        <v>29.540000000000003</v>
      </c>
      <c r="N37" s="42">
        <v>29.540000000000003</v>
      </c>
      <c r="O37" s="42">
        <v>29.540000000000003</v>
      </c>
      <c r="P37" s="42">
        <v>24.540000000000006</v>
      </c>
      <c r="Q37" s="42">
        <v>31.540000000000003</v>
      </c>
      <c r="R37" s="42">
        <v>29.540000000000003</v>
      </c>
      <c r="S37" s="42">
        <v>29.540000000000003</v>
      </c>
      <c r="T37" s="42">
        <v>30.540000000000003</v>
      </c>
      <c r="U37" s="42">
        <v>3.96</v>
      </c>
      <c r="V37" s="42">
        <v>3.2700000000000005</v>
      </c>
      <c r="W37" s="42">
        <v>1.3499999999999999</v>
      </c>
      <c r="X37" s="42">
        <v>0.84000000000000008</v>
      </c>
      <c r="Y37" s="42">
        <v>3.1200000000000006</v>
      </c>
      <c r="Z37" s="42">
        <f>AVERAGE(Tabela112[[#This Row],[AM ]:[SP ]])</f>
        <v>29.47750000000001</v>
      </c>
      <c r="AA37" s="42">
        <f>MAX(Tabela112[[#This Row],[AM ]:[SP ]])</f>
        <v>31.540000000000003</v>
      </c>
      <c r="AB37" s="42">
        <f>MIN(Tabela112[[#This Row],[AM ]:[SP ]])</f>
        <v>24.540000000000006</v>
      </c>
    </row>
    <row r="38" spans="3:28" x14ac:dyDescent="0.25">
      <c r="C38" s="114">
        <f>RANK(Tabela112[[#This Row],[Média]],Tabela112[Média],0)</f>
        <v>29</v>
      </c>
      <c r="D38" s="22" t="s">
        <v>203</v>
      </c>
      <c r="E38" s="42">
        <v>29.103636363636369</v>
      </c>
      <c r="F38" s="42">
        <v>29.103636363636369</v>
      </c>
      <c r="G38" s="42">
        <v>29.103636363636369</v>
      </c>
      <c r="H38" s="42">
        <v>29.103636363636369</v>
      </c>
      <c r="I38" s="42">
        <v>29.103636363636369</v>
      </c>
      <c r="J38" s="42">
        <v>29.103636363636369</v>
      </c>
      <c r="K38" s="42">
        <v>27.376363636363639</v>
      </c>
      <c r="L38" s="42">
        <v>29.103636363636369</v>
      </c>
      <c r="M38" s="42">
        <v>29.103636363636369</v>
      </c>
      <c r="N38" s="42">
        <v>29.103636363636369</v>
      </c>
      <c r="O38" s="42">
        <v>29.103636363636369</v>
      </c>
      <c r="P38" s="42">
        <v>24.103636363636369</v>
      </c>
      <c r="Q38" s="42">
        <v>31.103636363636369</v>
      </c>
      <c r="R38" s="42">
        <v>29.103636363636369</v>
      </c>
      <c r="S38" s="42">
        <v>29.103636363636369</v>
      </c>
      <c r="T38" s="42">
        <v>30.103636363636369</v>
      </c>
      <c r="U38" s="42">
        <v>3.6</v>
      </c>
      <c r="V38" s="42">
        <v>3.2700000000000005</v>
      </c>
      <c r="W38" s="42">
        <v>1.3499999999999999</v>
      </c>
      <c r="X38" s="42">
        <v>0.76363636363636367</v>
      </c>
      <c r="Y38" s="42">
        <v>3.1200000000000006</v>
      </c>
      <c r="Z38" s="42">
        <f>AVERAGE(Tabela112[[#This Row],[AM ]:[SP ]])</f>
        <v>28.870681818181833</v>
      </c>
      <c r="AA38" s="42">
        <f>MAX(Tabela112[[#This Row],[AM ]:[SP ]])</f>
        <v>31.103636363636369</v>
      </c>
      <c r="AB38" s="42">
        <f>MIN(Tabela112[[#This Row],[AM ]:[SP ]])</f>
        <v>24.103636363636369</v>
      </c>
    </row>
    <row r="39" spans="3:28" x14ac:dyDescent="0.25">
      <c r="C39" s="114">
        <f>RANK(Tabela112[[#This Row],[Média]],Tabela112[Média],0)</f>
        <v>30</v>
      </c>
      <c r="D39" s="22" t="s">
        <v>61</v>
      </c>
      <c r="E39" s="42">
        <v>28.340000000000003</v>
      </c>
      <c r="F39" s="42">
        <v>28.340000000000003</v>
      </c>
      <c r="G39" s="42">
        <v>28.340000000000003</v>
      </c>
      <c r="H39" s="42">
        <v>28.340000000000003</v>
      </c>
      <c r="I39" s="42">
        <v>28.340000000000003</v>
      </c>
      <c r="J39" s="42">
        <v>28.340000000000003</v>
      </c>
      <c r="K39" s="42">
        <v>26.940000000000005</v>
      </c>
      <c r="L39" s="42">
        <v>28.340000000000003</v>
      </c>
      <c r="M39" s="42">
        <v>28.340000000000003</v>
      </c>
      <c r="N39" s="42">
        <v>28.340000000000003</v>
      </c>
      <c r="O39" s="42">
        <v>28.340000000000003</v>
      </c>
      <c r="P39" s="42">
        <v>23.340000000000007</v>
      </c>
      <c r="Q39" s="42">
        <v>30.340000000000003</v>
      </c>
      <c r="R39" s="42">
        <v>28.340000000000003</v>
      </c>
      <c r="S39" s="42">
        <v>28.340000000000003</v>
      </c>
      <c r="T39" s="42">
        <v>29.340000000000003</v>
      </c>
      <c r="U39" s="42">
        <v>2.97</v>
      </c>
      <c r="V39" s="42">
        <v>3.2700000000000005</v>
      </c>
      <c r="W39" s="42">
        <v>1.3499999999999999</v>
      </c>
      <c r="X39" s="42">
        <v>0.63000000000000012</v>
      </c>
      <c r="Y39" s="42">
        <v>3.1200000000000006</v>
      </c>
      <c r="Z39" s="42">
        <f>AVERAGE(Tabela112[[#This Row],[AM ]:[SP ]])</f>
        <v>28.127500000000012</v>
      </c>
      <c r="AA39" s="42">
        <f>MAX(Tabela112[[#This Row],[AM ]:[SP ]])</f>
        <v>30.340000000000003</v>
      </c>
      <c r="AB39" s="42">
        <f>MIN(Tabela112[[#This Row],[AM ]:[SP ]])</f>
        <v>23.340000000000007</v>
      </c>
    </row>
    <row r="40" spans="3:28" x14ac:dyDescent="0.25">
      <c r="C40" s="114">
        <f>RANK(Tabela112[[#This Row],[Média]],Tabela112[Média],0)</f>
        <v>31</v>
      </c>
      <c r="D40" s="22" t="s">
        <v>525</v>
      </c>
      <c r="E40" s="42">
        <v>27.406666666666673</v>
      </c>
      <c r="F40" s="42">
        <v>27.406666666666673</v>
      </c>
      <c r="G40" s="42">
        <v>27.406666666666673</v>
      </c>
      <c r="H40" s="42">
        <v>27.406666666666673</v>
      </c>
      <c r="I40" s="42">
        <v>27.406666666666673</v>
      </c>
      <c r="J40" s="42">
        <v>27.406666666666673</v>
      </c>
      <c r="K40" s="42">
        <v>27.740000000000006</v>
      </c>
      <c r="L40" s="42">
        <v>27.406666666666673</v>
      </c>
      <c r="M40" s="42">
        <v>27.406666666666673</v>
      </c>
      <c r="N40" s="42">
        <v>27.406666666666673</v>
      </c>
      <c r="O40" s="42">
        <v>27.406666666666673</v>
      </c>
      <c r="P40" s="42">
        <v>22.406666666666673</v>
      </c>
      <c r="Q40" s="42">
        <v>29.40666666666667</v>
      </c>
      <c r="R40" s="42">
        <v>27.406666666666673</v>
      </c>
      <c r="S40" s="42">
        <v>27.406666666666673</v>
      </c>
      <c r="T40" s="42">
        <v>28.406666666666673</v>
      </c>
      <c r="U40" s="42">
        <v>2.2000000000000002</v>
      </c>
      <c r="V40" s="42">
        <v>3.27</v>
      </c>
      <c r="W40" s="42">
        <v>1.3499999999999999</v>
      </c>
      <c r="X40" s="42">
        <v>0.46666666666666667</v>
      </c>
      <c r="Y40" s="42">
        <v>3.1200000000000006</v>
      </c>
      <c r="Z40" s="42">
        <f>AVERAGE(Tabela112[[#This Row],[AM ]:[SP ]])</f>
        <v>27.302500000000013</v>
      </c>
      <c r="AA40" s="42">
        <f>MAX(Tabela112[[#This Row],[AM ]:[SP ]])</f>
        <v>29.40666666666667</v>
      </c>
      <c r="AB40" s="42">
        <f>MIN(Tabela112[[#This Row],[AM ]:[SP ]])</f>
        <v>22.406666666666673</v>
      </c>
    </row>
    <row r="41" spans="3:28" x14ac:dyDescent="0.25">
      <c r="C41" s="114">
        <f>RANK(Tabela112[[#This Row],[Média]],Tabela112[Média],0)</f>
        <v>32</v>
      </c>
      <c r="D41" s="22" t="s">
        <v>394</v>
      </c>
      <c r="E41" s="42">
        <v>26.865000000000002</v>
      </c>
      <c r="F41" s="42">
        <v>26.865000000000002</v>
      </c>
      <c r="G41" s="42">
        <v>26.865000000000002</v>
      </c>
      <c r="H41" s="42">
        <v>26.865000000000002</v>
      </c>
      <c r="I41" s="42">
        <v>26.865000000000002</v>
      </c>
      <c r="J41" s="42">
        <v>26.865000000000002</v>
      </c>
      <c r="K41" s="42">
        <v>26.665000000000003</v>
      </c>
      <c r="L41" s="42">
        <v>26.865000000000002</v>
      </c>
      <c r="M41" s="42">
        <v>26.865000000000002</v>
      </c>
      <c r="N41" s="42">
        <v>26.865000000000002</v>
      </c>
      <c r="O41" s="42">
        <v>26.865000000000002</v>
      </c>
      <c r="P41" s="42">
        <v>21.865000000000006</v>
      </c>
      <c r="Q41" s="42">
        <v>28.865000000000002</v>
      </c>
      <c r="R41" s="42">
        <v>26.865000000000002</v>
      </c>
      <c r="S41" s="42">
        <v>26.865000000000002</v>
      </c>
      <c r="T41" s="42">
        <v>27.865000000000002</v>
      </c>
      <c r="U41" s="42">
        <v>1.75</v>
      </c>
      <c r="V41" s="42">
        <v>3.2700000000000005</v>
      </c>
      <c r="W41" s="42">
        <v>1.3499999999999999</v>
      </c>
      <c r="X41" s="42">
        <v>0.375</v>
      </c>
      <c r="Y41" s="42">
        <v>3.1200000000000006</v>
      </c>
      <c r="Z41" s="42">
        <f>AVERAGE(Tabela112[[#This Row],[AM ]:[SP ]])</f>
        <v>26.727500000000006</v>
      </c>
      <c r="AA41" s="42">
        <f>MAX(Tabela112[[#This Row],[AM ]:[SP ]])</f>
        <v>28.865000000000002</v>
      </c>
      <c r="AB41" s="42">
        <f>MIN(Tabela112[[#This Row],[AM ]:[SP ]])</f>
        <v>21.865000000000006</v>
      </c>
    </row>
    <row r="42" spans="3:28" x14ac:dyDescent="0.25">
      <c r="C42" s="114">
        <f>RANK(Tabela112[[#This Row],[Média]],Tabela112[Média],0)</f>
        <v>33</v>
      </c>
      <c r="D42" s="36" t="s">
        <v>269</v>
      </c>
      <c r="E42" s="42">
        <v>25.940000000000005</v>
      </c>
      <c r="F42" s="42">
        <v>25.940000000000005</v>
      </c>
      <c r="G42" s="42">
        <v>25.940000000000005</v>
      </c>
      <c r="H42" s="42">
        <v>25.940000000000005</v>
      </c>
      <c r="I42" s="42">
        <v>25.940000000000005</v>
      </c>
      <c r="J42" s="42">
        <v>25.940000000000005</v>
      </c>
      <c r="K42" s="42">
        <v>24.540000000000006</v>
      </c>
      <c r="L42" s="42">
        <v>25.940000000000005</v>
      </c>
      <c r="M42" s="42">
        <v>25.940000000000005</v>
      </c>
      <c r="N42" s="42">
        <v>25.940000000000005</v>
      </c>
      <c r="O42" s="42">
        <v>25.940000000000005</v>
      </c>
      <c r="P42" s="42">
        <v>20.940000000000005</v>
      </c>
      <c r="Q42" s="42">
        <v>27.940000000000005</v>
      </c>
      <c r="R42" s="42">
        <v>25.940000000000005</v>
      </c>
      <c r="S42" s="42">
        <v>25.940000000000005</v>
      </c>
      <c r="T42" s="42">
        <v>26.940000000000005</v>
      </c>
      <c r="U42" s="42">
        <v>0.99</v>
      </c>
      <c r="V42" s="42">
        <v>3.2700000000000005</v>
      </c>
      <c r="W42" s="42">
        <v>1.3499999999999999</v>
      </c>
      <c r="X42" s="42">
        <v>0.21000000000000002</v>
      </c>
      <c r="Y42" s="42">
        <v>3.1200000000000006</v>
      </c>
      <c r="Z42" s="42">
        <f>AVERAGE(Tabela112[[#This Row],[AM ]:[SP ]])</f>
        <v>25.727499999999999</v>
      </c>
      <c r="AA42" s="42">
        <f>MAX(Tabela112[[#This Row],[AM ]:[SP ]])</f>
        <v>27.940000000000005</v>
      </c>
      <c r="AB42" s="42">
        <f>MIN(Tabela112[[#This Row],[AM ]:[SP ]])</f>
        <v>20.940000000000005</v>
      </c>
    </row>
    <row r="43" spans="3:28" x14ac:dyDescent="0.25">
      <c r="C43" s="114">
        <f>RANK(Tabela112[[#This Row],[Média]],Tabela112[Média],0)</f>
        <v>34</v>
      </c>
      <c r="D43" s="22" t="s">
        <v>471</v>
      </c>
      <c r="E43" s="42">
        <v>25.940000000000005</v>
      </c>
      <c r="F43" s="42">
        <v>25.940000000000005</v>
      </c>
      <c r="G43" s="42">
        <v>25.940000000000005</v>
      </c>
      <c r="H43" s="42">
        <v>25.940000000000005</v>
      </c>
      <c r="I43" s="42">
        <v>25.940000000000005</v>
      </c>
      <c r="J43" s="42">
        <v>25.940000000000005</v>
      </c>
      <c r="K43" s="42">
        <v>23.940000000000005</v>
      </c>
      <c r="L43" s="42">
        <v>25.940000000000005</v>
      </c>
      <c r="M43" s="42">
        <v>25.940000000000005</v>
      </c>
      <c r="N43" s="42">
        <v>25.940000000000005</v>
      </c>
      <c r="O43" s="42">
        <v>25.940000000000005</v>
      </c>
      <c r="P43" s="42">
        <v>20.940000000000005</v>
      </c>
      <c r="Q43" s="42">
        <v>27.940000000000005</v>
      </c>
      <c r="R43" s="42">
        <v>25.940000000000005</v>
      </c>
      <c r="S43" s="42">
        <v>25.940000000000005</v>
      </c>
      <c r="T43" s="42">
        <v>26.940000000000005</v>
      </c>
      <c r="U43" s="42">
        <v>0.99</v>
      </c>
      <c r="V43" s="42">
        <v>3.2700000000000005</v>
      </c>
      <c r="W43" s="42">
        <v>1.3499999999999999</v>
      </c>
      <c r="X43" s="42">
        <v>0.21000000000000002</v>
      </c>
      <c r="Y43" s="42">
        <v>3.1200000000000006</v>
      </c>
      <c r="Z43" s="42">
        <f>AVERAGE(Tabela112[[#This Row],[AM ]:[SP ]])</f>
        <v>25.69</v>
      </c>
      <c r="AA43" s="42">
        <f>MAX(Tabela112[[#This Row],[AM ]:[SP ]])</f>
        <v>27.940000000000005</v>
      </c>
      <c r="AB43" s="42">
        <f>MIN(Tabela112[[#This Row],[AM ]:[SP ]])</f>
        <v>20.940000000000005</v>
      </c>
    </row>
    <row r="44" spans="3:28" x14ac:dyDescent="0.25">
      <c r="C44" s="114">
        <f>RANK(Tabela112[[#This Row],[Média]],Tabela112[Média],0)</f>
        <v>35</v>
      </c>
      <c r="D44" s="22" t="s">
        <v>413</v>
      </c>
      <c r="E44" s="42">
        <v>24.740000000000006</v>
      </c>
      <c r="F44" s="42">
        <v>24.740000000000006</v>
      </c>
      <c r="G44" s="42">
        <v>24.740000000000006</v>
      </c>
      <c r="H44" s="42">
        <v>24.740000000000006</v>
      </c>
      <c r="I44" s="42">
        <v>24.740000000000006</v>
      </c>
      <c r="J44" s="42">
        <v>24.740000000000006</v>
      </c>
      <c r="K44" s="42">
        <v>25.740000000000002</v>
      </c>
      <c r="L44" s="42">
        <v>24.740000000000006</v>
      </c>
      <c r="M44" s="42">
        <v>24.740000000000006</v>
      </c>
      <c r="N44" s="42">
        <v>24.740000000000006</v>
      </c>
      <c r="O44" s="42">
        <v>24.740000000000006</v>
      </c>
      <c r="P44" s="42">
        <v>19.740000000000006</v>
      </c>
      <c r="Q44" s="42">
        <v>26.740000000000002</v>
      </c>
      <c r="R44" s="42">
        <v>24.740000000000006</v>
      </c>
      <c r="S44" s="42">
        <v>24.740000000000006</v>
      </c>
      <c r="T44" s="42">
        <v>25.740000000000002</v>
      </c>
      <c r="U44" s="42">
        <v>0</v>
      </c>
      <c r="V44" s="42">
        <v>3.2700000000000005</v>
      </c>
      <c r="W44" s="42">
        <v>1.3499999999999999</v>
      </c>
      <c r="X44" s="42">
        <v>0</v>
      </c>
      <c r="Y44" s="42">
        <v>3.1200000000000006</v>
      </c>
      <c r="Z44" s="42">
        <f>AVERAGE(Tabela112[[#This Row],[AM ]:[SP ]])</f>
        <v>24.677500000000006</v>
      </c>
      <c r="AA44" s="42">
        <f>MAX(Tabela112[[#This Row],[AM ]:[SP ]])</f>
        <v>26.740000000000002</v>
      </c>
      <c r="AB44" s="42">
        <f>MIN(Tabela112[[#This Row],[AM ]:[SP ]])</f>
        <v>19.740000000000006</v>
      </c>
    </row>
    <row r="45" spans="3:28" x14ac:dyDescent="0.25">
      <c r="C45" s="114">
        <f>RANK(Tabela112[[#This Row],[Média]],Tabela112[Média],0)</f>
        <v>35</v>
      </c>
      <c r="D45" s="22" t="s">
        <v>533</v>
      </c>
      <c r="E45" s="42">
        <v>24.740000000000006</v>
      </c>
      <c r="F45" s="42">
        <v>24.740000000000006</v>
      </c>
      <c r="G45" s="42">
        <v>24.740000000000006</v>
      </c>
      <c r="H45" s="42">
        <v>24.740000000000006</v>
      </c>
      <c r="I45" s="42">
        <v>24.740000000000006</v>
      </c>
      <c r="J45" s="42">
        <v>24.740000000000006</v>
      </c>
      <c r="K45" s="42">
        <v>25.740000000000002</v>
      </c>
      <c r="L45" s="42">
        <v>24.740000000000006</v>
      </c>
      <c r="M45" s="42">
        <v>24.740000000000006</v>
      </c>
      <c r="N45" s="42">
        <v>24.740000000000006</v>
      </c>
      <c r="O45" s="42">
        <v>24.740000000000006</v>
      </c>
      <c r="P45" s="42">
        <v>19.740000000000006</v>
      </c>
      <c r="Q45" s="42">
        <v>26.740000000000002</v>
      </c>
      <c r="R45" s="42">
        <v>24.740000000000006</v>
      </c>
      <c r="S45" s="42">
        <v>24.740000000000006</v>
      </c>
      <c r="T45" s="42">
        <v>25.740000000000002</v>
      </c>
      <c r="U45" s="42">
        <v>0</v>
      </c>
      <c r="V45" s="42">
        <v>3.2700000000000005</v>
      </c>
      <c r="W45" s="42">
        <v>1.3499999999999999</v>
      </c>
      <c r="X45" s="42">
        <v>0</v>
      </c>
      <c r="Y45" s="42">
        <v>3.1200000000000006</v>
      </c>
      <c r="Z45" s="42">
        <f>AVERAGE(Tabela112[[#This Row],[AM ]:[SP ]])</f>
        <v>24.677500000000006</v>
      </c>
      <c r="AA45" s="42">
        <f>MAX(Tabela112[[#This Row],[AM ]:[SP ]])</f>
        <v>26.740000000000002</v>
      </c>
      <c r="AB45" s="42">
        <f>MIN(Tabela112[[#This Row],[AM ]:[SP ]])</f>
        <v>19.740000000000006</v>
      </c>
    </row>
    <row r="46" spans="3:28" x14ac:dyDescent="0.25">
      <c r="C46" s="114">
        <f>RANK(Tabela112[[#This Row],[Média]],Tabela112[Média],0)</f>
        <v>35</v>
      </c>
      <c r="D46" s="22" t="s">
        <v>316</v>
      </c>
      <c r="E46" s="42">
        <v>24.740000000000006</v>
      </c>
      <c r="F46" s="42">
        <v>24.740000000000006</v>
      </c>
      <c r="G46" s="42">
        <v>24.740000000000006</v>
      </c>
      <c r="H46" s="42">
        <v>24.740000000000006</v>
      </c>
      <c r="I46" s="42">
        <v>24.740000000000006</v>
      </c>
      <c r="J46" s="42">
        <v>24.740000000000006</v>
      </c>
      <c r="K46" s="42">
        <v>25.740000000000002</v>
      </c>
      <c r="L46" s="42">
        <v>24.740000000000006</v>
      </c>
      <c r="M46" s="42">
        <v>24.740000000000006</v>
      </c>
      <c r="N46" s="42">
        <v>24.740000000000006</v>
      </c>
      <c r="O46" s="42">
        <v>24.740000000000006</v>
      </c>
      <c r="P46" s="42">
        <v>19.740000000000006</v>
      </c>
      <c r="Q46" s="42">
        <v>26.740000000000002</v>
      </c>
      <c r="R46" s="42">
        <v>24.740000000000006</v>
      </c>
      <c r="S46" s="42">
        <v>24.740000000000006</v>
      </c>
      <c r="T46" s="42">
        <v>25.740000000000002</v>
      </c>
      <c r="U46" s="42">
        <v>0</v>
      </c>
      <c r="V46" s="42">
        <v>3.2700000000000005</v>
      </c>
      <c r="W46" s="42">
        <v>1.3499999999999999</v>
      </c>
      <c r="X46" s="42">
        <v>0</v>
      </c>
      <c r="Y46" s="42">
        <v>3.1200000000000006</v>
      </c>
      <c r="Z46" s="42">
        <f>AVERAGE(Tabela112[[#This Row],[AM ]:[SP ]])</f>
        <v>24.677500000000006</v>
      </c>
      <c r="AA46" s="42">
        <f>MAX(Tabela112[[#This Row],[AM ]:[SP ]])</f>
        <v>26.740000000000002</v>
      </c>
      <c r="AB46" s="42">
        <f>MIN(Tabela112[[#This Row],[AM ]:[SP ]])</f>
        <v>19.740000000000006</v>
      </c>
    </row>
    <row r="47" spans="3:28" x14ac:dyDescent="0.25">
      <c r="C47" s="114">
        <f>RANK(Tabela112[[#This Row],[Média]],Tabela112[Média],0)</f>
        <v>35</v>
      </c>
      <c r="D47" s="22" t="s">
        <v>579</v>
      </c>
      <c r="E47" s="42">
        <v>24.740000000000006</v>
      </c>
      <c r="F47" s="42">
        <v>24.740000000000006</v>
      </c>
      <c r="G47" s="42">
        <v>24.740000000000006</v>
      </c>
      <c r="H47" s="42">
        <v>24.740000000000006</v>
      </c>
      <c r="I47" s="42">
        <v>24.740000000000006</v>
      </c>
      <c r="J47" s="42">
        <v>24.740000000000006</v>
      </c>
      <c r="K47" s="42">
        <v>25.740000000000002</v>
      </c>
      <c r="L47" s="42">
        <v>24.740000000000006</v>
      </c>
      <c r="M47" s="42">
        <v>24.740000000000006</v>
      </c>
      <c r="N47" s="42">
        <v>24.740000000000006</v>
      </c>
      <c r="O47" s="42">
        <v>24.740000000000006</v>
      </c>
      <c r="P47" s="42">
        <v>19.740000000000006</v>
      </c>
      <c r="Q47" s="42">
        <v>26.740000000000002</v>
      </c>
      <c r="R47" s="42">
        <v>24.740000000000006</v>
      </c>
      <c r="S47" s="42">
        <v>24.740000000000006</v>
      </c>
      <c r="T47" s="42">
        <v>25.740000000000002</v>
      </c>
      <c r="U47" s="42">
        <v>0</v>
      </c>
      <c r="V47" s="42">
        <v>3.2700000000000005</v>
      </c>
      <c r="W47" s="42">
        <v>1.3499999999999999</v>
      </c>
      <c r="X47" s="42">
        <v>0</v>
      </c>
      <c r="Y47" s="42">
        <v>3.1200000000000006</v>
      </c>
      <c r="Z47" s="42">
        <f>AVERAGE(Tabela112[[#This Row],[AM ]:[SP ]])</f>
        <v>24.677500000000006</v>
      </c>
      <c r="AA47" s="42">
        <f>MAX(Tabela112[[#This Row],[AM ]:[SP ]])</f>
        <v>26.740000000000002</v>
      </c>
      <c r="AB47" s="42">
        <f>MIN(Tabela112[[#This Row],[AM ]:[SP ]])</f>
        <v>19.740000000000006</v>
      </c>
    </row>
    <row r="48" spans="3:28" x14ac:dyDescent="0.25">
      <c r="C48" s="114">
        <f>RANK(Tabela112[[#This Row],[Média]],Tabela112[Média],0)</f>
        <v>39</v>
      </c>
      <c r="D48" s="22" t="s">
        <v>498</v>
      </c>
      <c r="E48" s="42">
        <v>24.740000000000006</v>
      </c>
      <c r="F48" s="42">
        <v>24.740000000000006</v>
      </c>
      <c r="G48" s="42">
        <v>24.740000000000006</v>
      </c>
      <c r="H48" s="42">
        <v>24.740000000000006</v>
      </c>
      <c r="I48" s="42">
        <v>24.740000000000006</v>
      </c>
      <c r="J48" s="42">
        <v>24.740000000000006</v>
      </c>
      <c r="K48" s="42">
        <v>25.140000000000008</v>
      </c>
      <c r="L48" s="42">
        <v>24.740000000000006</v>
      </c>
      <c r="M48" s="42">
        <v>24.740000000000006</v>
      </c>
      <c r="N48" s="42">
        <v>24.740000000000006</v>
      </c>
      <c r="O48" s="42">
        <v>24.740000000000006</v>
      </c>
      <c r="P48" s="42">
        <v>19.740000000000006</v>
      </c>
      <c r="Q48" s="42">
        <v>26.740000000000002</v>
      </c>
      <c r="R48" s="42">
        <v>24.740000000000006</v>
      </c>
      <c r="S48" s="42">
        <v>24.740000000000006</v>
      </c>
      <c r="T48" s="42">
        <v>25.740000000000002</v>
      </c>
      <c r="U48" s="42">
        <v>0</v>
      </c>
      <c r="V48" s="42">
        <v>3.2700000000000005</v>
      </c>
      <c r="W48" s="42">
        <v>1.3499999999999999</v>
      </c>
      <c r="X48" s="42">
        <v>0</v>
      </c>
      <c r="Y48" s="42">
        <v>3.1200000000000006</v>
      </c>
      <c r="Z48" s="42">
        <f>AVERAGE(Tabela112[[#This Row],[AM ]:[SP ]])</f>
        <v>24.640000000000008</v>
      </c>
      <c r="AA48" s="42">
        <f>MAX(Tabela112[[#This Row],[AM ]:[SP ]])</f>
        <v>26.740000000000002</v>
      </c>
      <c r="AB48" s="42">
        <f>MIN(Tabela112[[#This Row],[AM ]:[SP ]])</f>
        <v>19.740000000000006</v>
      </c>
    </row>
    <row r="49" spans="3:28" x14ac:dyDescent="0.25">
      <c r="C49" s="114">
        <f>RANK(Tabela112[[#This Row],[Média]],Tabela112[Média],0)</f>
        <v>39</v>
      </c>
      <c r="D49" s="22" t="s">
        <v>146</v>
      </c>
      <c r="E49" s="42">
        <v>24.740000000000006</v>
      </c>
      <c r="F49" s="42">
        <v>24.740000000000006</v>
      </c>
      <c r="G49" s="42">
        <v>24.740000000000006</v>
      </c>
      <c r="H49" s="42">
        <v>24.740000000000006</v>
      </c>
      <c r="I49" s="42">
        <v>24.740000000000006</v>
      </c>
      <c r="J49" s="42">
        <v>24.740000000000006</v>
      </c>
      <c r="K49" s="42">
        <v>25.140000000000008</v>
      </c>
      <c r="L49" s="42">
        <v>24.740000000000006</v>
      </c>
      <c r="M49" s="42">
        <v>24.740000000000006</v>
      </c>
      <c r="N49" s="42">
        <v>24.740000000000006</v>
      </c>
      <c r="O49" s="42">
        <v>24.740000000000006</v>
      </c>
      <c r="P49" s="42">
        <v>19.740000000000006</v>
      </c>
      <c r="Q49" s="42">
        <v>26.740000000000002</v>
      </c>
      <c r="R49" s="42">
        <v>24.740000000000006</v>
      </c>
      <c r="S49" s="42">
        <v>24.740000000000006</v>
      </c>
      <c r="T49" s="42">
        <v>25.740000000000002</v>
      </c>
      <c r="U49" s="42">
        <v>0</v>
      </c>
      <c r="V49" s="42">
        <v>3.2700000000000005</v>
      </c>
      <c r="W49" s="42">
        <v>1.3499999999999999</v>
      </c>
      <c r="X49" s="42">
        <v>0</v>
      </c>
      <c r="Y49" s="42">
        <v>3.1200000000000006</v>
      </c>
      <c r="Z49" s="42">
        <f>AVERAGE(Tabela112[[#This Row],[AM ]:[SP ]])</f>
        <v>24.640000000000008</v>
      </c>
      <c r="AA49" s="42">
        <f>MAX(Tabela112[[#This Row],[AM ]:[SP ]])</f>
        <v>26.740000000000002</v>
      </c>
      <c r="AB49" s="42">
        <f>MIN(Tabela112[[#This Row],[AM ]:[SP ]])</f>
        <v>19.740000000000006</v>
      </c>
    </row>
    <row r="50" spans="3:28" x14ac:dyDescent="0.25">
      <c r="C50" s="114">
        <f>RANK(Tabela112[[#This Row],[Média]],Tabela112[Média],0)</f>
        <v>41</v>
      </c>
      <c r="D50" s="22" t="s">
        <v>361</v>
      </c>
      <c r="E50" s="42">
        <v>24.740000000000006</v>
      </c>
      <c r="F50" s="42">
        <v>24.740000000000006</v>
      </c>
      <c r="G50" s="42">
        <v>24.740000000000006</v>
      </c>
      <c r="H50" s="42">
        <v>24.740000000000006</v>
      </c>
      <c r="I50" s="42">
        <v>24.740000000000006</v>
      </c>
      <c r="J50" s="42">
        <v>24.740000000000006</v>
      </c>
      <c r="K50" s="42">
        <v>24.540000000000006</v>
      </c>
      <c r="L50" s="42">
        <v>24.740000000000006</v>
      </c>
      <c r="M50" s="42">
        <v>24.740000000000006</v>
      </c>
      <c r="N50" s="42">
        <v>24.740000000000006</v>
      </c>
      <c r="O50" s="42">
        <v>24.740000000000006</v>
      </c>
      <c r="P50" s="42">
        <v>19.740000000000006</v>
      </c>
      <c r="Q50" s="42">
        <v>26.740000000000002</v>
      </c>
      <c r="R50" s="42">
        <v>24.740000000000006</v>
      </c>
      <c r="S50" s="42">
        <v>24.740000000000006</v>
      </c>
      <c r="T50" s="42">
        <v>25.740000000000002</v>
      </c>
      <c r="U50" s="42">
        <v>0</v>
      </c>
      <c r="V50" s="42">
        <v>3.2700000000000005</v>
      </c>
      <c r="W50" s="42">
        <v>1.3499999999999999</v>
      </c>
      <c r="X50" s="42">
        <v>0</v>
      </c>
      <c r="Y50" s="42">
        <v>3.1200000000000006</v>
      </c>
      <c r="Z50" s="42">
        <f>AVERAGE(Tabela112[[#This Row],[AM ]:[SP ]])</f>
        <v>24.602500000000006</v>
      </c>
      <c r="AA50" s="42">
        <f>MAX(Tabela112[[#This Row],[AM ]:[SP ]])</f>
        <v>26.740000000000002</v>
      </c>
      <c r="AB50" s="42">
        <f>MIN(Tabela112[[#This Row],[AM ]:[SP ]])</f>
        <v>19.740000000000006</v>
      </c>
    </row>
    <row r="51" spans="3:28" x14ac:dyDescent="0.25">
      <c r="C51" s="114">
        <f>RANK(Tabela112[[#This Row],[Média]],Tabela112[Média],0)</f>
        <v>42</v>
      </c>
      <c r="D51" s="22" t="s">
        <v>499</v>
      </c>
      <c r="E51" s="42">
        <v>24.740000000000006</v>
      </c>
      <c r="F51" s="42">
        <v>24.740000000000006</v>
      </c>
      <c r="G51" s="42">
        <v>24.740000000000006</v>
      </c>
      <c r="H51" s="42">
        <v>24.740000000000006</v>
      </c>
      <c r="I51" s="42">
        <v>24.740000000000006</v>
      </c>
      <c r="J51" s="42">
        <v>24.740000000000006</v>
      </c>
      <c r="K51" s="42">
        <v>23.740000000000006</v>
      </c>
      <c r="L51" s="42">
        <v>24.740000000000006</v>
      </c>
      <c r="M51" s="42">
        <v>24.740000000000006</v>
      </c>
      <c r="N51" s="42">
        <v>24.740000000000006</v>
      </c>
      <c r="O51" s="42">
        <v>24.740000000000006</v>
      </c>
      <c r="P51" s="42">
        <v>19.740000000000006</v>
      </c>
      <c r="Q51" s="42">
        <v>26.740000000000006</v>
      </c>
      <c r="R51" s="42">
        <v>24.740000000000006</v>
      </c>
      <c r="S51" s="42">
        <v>24.740000000000006</v>
      </c>
      <c r="T51" s="42">
        <v>25.740000000000006</v>
      </c>
      <c r="U51" s="42">
        <v>0</v>
      </c>
      <c r="V51" s="42">
        <v>3.27</v>
      </c>
      <c r="W51" s="42">
        <v>1.3499999999999999</v>
      </c>
      <c r="X51" s="42">
        <v>0</v>
      </c>
      <c r="Y51" s="42">
        <v>3.1200000000000006</v>
      </c>
      <c r="Z51" s="42">
        <f>AVERAGE(Tabela112[[#This Row],[AM ]:[SP ]])</f>
        <v>24.552500000000006</v>
      </c>
      <c r="AA51" s="42">
        <f>MAX(Tabela112[[#This Row],[AM ]:[SP ]])</f>
        <v>26.740000000000006</v>
      </c>
      <c r="AB51" s="42">
        <f>MIN(Tabela112[[#This Row],[AM ]:[SP ]])</f>
        <v>19.740000000000006</v>
      </c>
    </row>
    <row r="52" spans="3:28" x14ac:dyDescent="0.25">
      <c r="C52" s="114">
        <f>RANK(Tabela112[[#This Row],[Média]],Tabela112[Média],0)</f>
        <v>43</v>
      </c>
      <c r="D52" s="22" t="s">
        <v>250</v>
      </c>
      <c r="E52" s="42">
        <v>24.740000000000006</v>
      </c>
      <c r="F52" s="42">
        <v>24.740000000000006</v>
      </c>
      <c r="G52" s="42">
        <v>24.740000000000006</v>
      </c>
      <c r="H52" s="42">
        <v>24.740000000000006</v>
      </c>
      <c r="I52" s="42">
        <v>24.740000000000006</v>
      </c>
      <c r="J52" s="42">
        <v>24.740000000000006</v>
      </c>
      <c r="K52" s="42">
        <v>23.340000000000007</v>
      </c>
      <c r="L52" s="42">
        <v>24.740000000000006</v>
      </c>
      <c r="M52" s="42">
        <v>24.740000000000006</v>
      </c>
      <c r="N52" s="42">
        <v>24.740000000000006</v>
      </c>
      <c r="O52" s="42">
        <v>24.740000000000006</v>
      </c>
      <c r="P52" s="42">
        <v>19.740000000000006</v>
      </c>
      <c r="Q52" s="42">
        <v>26.740000000000002</v>
      </c>
      <c r="R52" s="42">
        <v>24.740000000000006</v>
      </c>
      <c r="S52" s="42">
        <v>24.740000000000006</v>
      </c>
      <c r="T52" s="42">
        <v>25.740000000000002</v>
      </c>
      <c r="U52" s="42">
        <v>0</v>
      </c>
      <c r="V52" s="42">
        <v>3.2700000000000005</v>
      </c>
      <c r="W52" s="42">
        <v>1.3499999999999999</v>
      </c>
      <c r="X52" s="42">
        <v>0</v>
      </c>
      <c r="Y52" s="42">
        <v>3.1200000000000006</v>
      </c>
      <c r="Z52" s="42">
        <f>AVERAGE(Tabela112[[#This Row],[AM ]:[SP ]])</f>
        <v>24.527500000000007</v>
      </c>
      <c r="AA52" s="42">
        <f>MAX(Tabela112[[#This Row],[AM ]:[SP ]])</f>
        <v>26.740000000000002</v>
      </c>
      <c r="AB52" s="42">
        <f>MIN(Tabela112[[#This Row],[AM ]:[SP ]])</f>
        <v>19.740000000000006</v>
      </c>
    </row>
    <row r="53" spans="3:28" x14ac:dyDescent="0.25">
      <c r="C53" s="114">
        <f>RANK(Tabela112[[#This Row],[Média]],Tabela112[Média],0)</f>
        <v>44</v>
      </c>
      <c r="D53" s="22" t="s">
        <v>426</v>
      </c>
      <c r="E53" s="42">
        <v>24.740000000000006</v>
      </c>
      <c r="F53" s="42">
        <v>24.740000000000006</v>
      </c>
      <c r="G53" s="42">
        <v>24.740000000000006</v>
      </c>
      <c r="H53" s="42">
        <v>24.740000000000006</v>
      </c>
      <c r="I53" s="42">
        <v>24.740000000000006</v>
      </c>
      <c r="J53" s="42">
        <v>24.740000000000006</v>
      </c>
      <c r="K53" s="42">
        <v>22.740000000000006</v>
      </c>
      <c r="L53" s="42">
        <v>24.740000000000006</v>
      </c>
      <c r="M53" s="42">
        <v>24.740000000000006</v>
      </c>
      <c r="N53" s="42">
        <v>24.740000000000006</v>
      </c>
      <c r="O53" s="42">
        <v>24.740000000000006</v>
      </c>
      <c r="P53" s="42">
        <v>19.740000000000006</v>
      </c>
      <c r="Q53" s="42">
        <v>26.740000000000002</v>
      </c>
      <c r="R53" s="42">
        <v>24.740000000000006</v>
      </c>
      <c r="S53" s="42">
        <v>24.740000000000006</v>
      </c>
      <c r="T53" s="42">
        <v>25.740000000000002</v>
      </c>
      <c r="U53" s="42">
        <v>0</v>
      </c>
      <c r="V53" s="42">
        <v>3.2700000000000005</v>
      </c>
      <c r="W53" s="42">
        <v>1.3499999999999999</v>
      </c>
      <c r="X53" s="42">
        <v>0</v>
      </c>
      <c r="Y53" s="42">
        <v>3.1200000000000006</v>
      </c>
      <c r="Z53" s="42">
        <f>AVERAGE(Tabela112[[#This Row],[AM ]:[SP ]])</f>
        <v>24.490000000000006</v>
      </c>
      <c r="AA53" s="42">
        <f>MAX(Tabela112[[#This Row],[AM ]:[SP ]])</f>
        <v>26.740000000000002</v>
      </c>
      <c r="AB53" s="42">
        <f>MIN(Tabela112[[#This Row],[AM ]:[SP ]])</f>
        <v>19.740000000000006</v>
      </c>
    </row>
    <row r="54" spans="3:28" x14ac:dyDescent="0.25">
      <c r="C54" s="114">
        <f>RANK(Tabela112[[#This Row],[Média]],Tabela112[Média],0)</f>
        <v>44</v>
      </c>
      <c r="D54" s="36" t="s">
        <v>127</v>
      </c>
      <c r="E54" s="42">
        <v>24.740000000000006</v>
      </c>
      <c r="F54" s="42">
        <v>24.740000000000006</v>
      </c>
      <c r="G54" s="42">
        <v>24.740000000000006</v>
      </c>
      <c r="H54" s="42">
        <v>24.740000000000006</v>
      </c>
      <c r="I54" s="42">
        <v>24.740000000000006</v>
      </c>
      <c r="J54" s="42">
        <v>24.740000000000006</v>
      </c>
      <c r="K54" s="42">
        <v>22.740000000000006</v>
      </c>
      <c r="L54" s="42">
        <v>24.740000000000006</v>
      </c>
      <c r="M54" s="42">
        <v>24.740000000000006</v>
      </c>
      <c r="N54" s="42">
        <v>24.740000000000006</v>
      </c>
      <c r="O54" s="42">
        <v>24.740000000000006</v>
      </c>
      <c r="P54" s="42">
        <v>19.740000000000006</v>
      </c>
      <c r="Q54" s="42">
        <v>26.740000000000002</v>
      </c>
      <c r="R54" s="42">
        <v>24.740000000000006</v>
      </c>
      <c r="S54" s="42">
        <v>24.740000000000006</v>
      </c>
      <c r="T54" s="42">
        <v>25.740000000000002</v>
      </c>
      <c r="U54" s="42">
        <v>0</v>
      </c>
      <c r="V54" s="42">
        <v>3.2700000000000005</v>
      </c>
      <c r="W54" s="42">
        <v>1.3499999999999999</v>
      </c>
      <c r="X54" s="42">
        <v>0</v>
      </c>
      <c r="Y54" s="42">
        <v>3.1200000000000006</v>
      </c>
      <c r="Z54" s="42">
        <f>AVERAGE(Tabela112[[#This Row],[AM ]:[SP ]])</f>
        <v>24.490000000000006</v>
      </c>
      <c r="AA54" s="42">
        <f>MAX(Tabela112[[#This Row],[AM ]:[SP ]])</f>
        <v>26.740000000000002</v>
      </c>
      <c r="AB54" s="42">
        <f>MIN(Tabela112[[#This Row],[AM ]:[SP ]])</f>
        <v>19.740000000000006</v>
      </c>
    </row>
    <row r="55" spans="3:28" x14ac:dyDescent="0.25">
      <c r="C55" s="114">
        <f>RANK(Tabela112[[#This Row],[Média]],Tabela112[Média],0)</f>
        <v>46</v>
      </c>
      <c r="D55" s="36" t="s">
        <v>323</v>
      </c>
      <c r="E55" s="42">
        <v>24.740000000000006</v>
      </c>
      <c r="F55" s="42">
        <v>24.740000000000006</v>
      </c>
      <c r="G55" s="42">
        <v>24.740000000000006</v>
      </c>
      <c r="H55" s="42">
        <v>24.740000000000006</v>
      </c>
      <c r="I55" s="42">
        <v>24.740000000000006</v>
      </c>
      <c r="J55" s="42">
        <v>24.740000000000006</v>
      </c>
      <c r="K55" s="42">
        <v>20.340000000000007</v>
      </c>
      <c r="L55" s="42">
        <v>24.740000000000006</v>
      </c>
      <c r="M55" s="42">
        <v>24.740000000000006</v>
      </c>
      <c r="N55" s="42">
        <v>24.740000000000006</v>
      </c>
      <c r="O55" s="42">
        <v>24.740000000000006</v>
      </c>
      <c r="P55" s="42">
        <v>19.740000000000006</v>
      </c>
      <c r="Q55" s="42">
        <v>26.740000000000002</v>
      </c>
      <c r="R55" s="42">
        <v>24.740000000000006</v>
      </c>
      <c r="S55" s="42">
        <v>24.740000000000006</v>
      </c>
      <c r="T55" s="42">
        <v>25.740000000000002</v>
      </c>
      <c r="U55" s="42">
        <v>0</v>
      </c>
      <c r="V55" s="42">
        <v>3.2700000000000005</v>
      </c>
      <c r="W55" s="42">
        <v>1.3499999999999999</v>
      </c>
      <c r="X55" s="42">
        <v>0</v>
      </c>
      <c r="Y55" s="42">
        <v>3.1200000000000006</v>
      </c>
      <c r="Z55" s="42">
        <f>AVERAGE(Tabela112[[#This Row],[AM ]:[SP ]])</f>
        <v>24.340000000000007</v>
      </c>
      <c r="AA55" s="42">
        <f>MAX(Tabela112[[#This Row],[AM ]:[SP ]])</f>
        <v>26.740000000000002</v>
      </c>
      <c r="AB55" s="42">
        <f>MIN(Tabela112[[#This Row],[AM ]:[SP ]])</f>
        <v>19.740000000000006</v>
      </c>
    </row>
  </sheetData>
  <pageMargins left="0.511811024" right="0.511811024" top="0.78740157499999996" bottom="0.78740157499999996" header="0.31496062000000002" footer="0.31496062000000002"/>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49" r:id="rId4" name="Scroll Bar 21">
              <controlPr defaultSize="0" autoPict="0">
                <anchor moveWithCells="1">
                  <from>
                    <xdr:col>28</xdr:col>
                    <xdr:colOff>371475</xdr:colOff>
                    <xdr:row>8</xdr:row>
                    <xdr:rowOff>76200</xdr:rowOff>
                  </from>
                  <to>
                    <xdr:col>29</xdr:col>
                    <xdr:colOff>152400</xdr:colOff>
                    <xdr:row>21</xdr:row>
                    <xdr:rowOff>161925</xdr:rowOff>
                  </to>
                </anchor>
              </controlPr>
            </control>
          </mc:Choice>
        </mc:AlternateContent>
      </controls>
    </mc:Choice>
  </mc:AlternateContent>
  <tableParts count="2">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J57"/>
  <sheetViews>
    <sheetView showGridLines="0" topLeftCell="D15" zoomScale="85" zoomScaleNormal="85" workbookViewId="0">
      <selection activeCell="X7" sqref="X7:AB53"/>
    </sheetView>
  </sheetViews>
  <sheetFormatPr defaultRowHeight="15" x14ac:dyDescent="0.25"/>
  <cols>
    <col min="3" max="3" width="31.7109375" customWidth="1"/>
    <col min="17" max="17" width="7.7109375" customWidth="1"/>
    <col min="18" max="18" width="8.5703125" customWidth="1"/>
    <col min="19" max="19" width="9.140625" customWidth="1"/>
    <col min="20" max="23" width="10.42578125" customWidth="1"/>
    <col min="24" max="24" width="12.140625" customWidth="1"/>
    <col min="29" max="29" width="16.42578125" style="51" customWidth="1"/>
  </cols>
  <sheetData>
    <row r="1" spans="2:36" x14ac:dyDescent="0.25">
      <c r="C1">
        <v>1</v>
      </c>
      <c r="D1">
        <f>C1+1</f>
        <v>2</v>
      </c>
      <c r="E1">
        <f t="shared" ref="E1:S1" si="0">D1+1</f>
        <v>3</v>
      </c>
      <c r="F1">
        <f t="shared" si="0"/>
        <v>4</v>
      </c>
      <c r="G1">
        <f t="shared" si="0"/>
        <v>5</v>
      </c>
      <c r="H1">
        <f t="shared" si="0"/>
        <v>6</v>
      </c>
      <c r="I1">
        <f t="shared" si="0"/>
        <v>7</v>
      </c>
      <c r="J1">
        <f t="shared" si="0"/>
        <v>8</v>
      </c>
      <c r="K1">
        <f t="shared" si="0"/>
        <v>9</v>
      </c>
      <c r="L1">
        <f t="shared" si="0"/>
        <v>10</v>
      </c>
      <c r="M1">
        <f t="shared" si="0"/>
        <v>11</v>
      </c>
      <c r="N1">
        <f t="shared" si="0"/>
        <v>12</v>
      </c>
      <c r="O1">
        <f t="shared" si="0"/>
        <v>13</v>
      </c>
      <c r="P1">
        <f t="shared" si="0"/>
        <v>14</v>
      </c>
      <c r="Q1">
        <f t="shared" si="0"/>
        <v>15</v>
      </c>
      <c r="R1">
        <f>Q1+1</f>
        <v>16</v>
      </c>
      <c r="S1">
        <f t="shared" si="0"/>
        <v>17</v>
      </c>
      <c r="T1">
        <f>S1+1</f>
        <v>18</v>
      </c>
      <c r="U1">
        <f>T1+1</f>
        <v>19</v>
      </c>
      <c r="V1">
        <f>U1+1</f>
        <v>20</v>
      </c>
      <c r="W1">
        <f>V1+1</f>
        <v>21</v>
      </c>
      <c r="X1">
        <f t="shared" ref="X1:AC1" si="1">W1+1</f>
        <v>22</v>
      </c>
      <c r="Y1">
        <f t="shared" si="1"/>
        <v>23</v>
      </c>
      <c r="Z1">
        <f t="shared" si="1"/>
        <v>24</v>
      </c>
      <c r="AA1">
        <f t="shared" si="1"/>
        <v>25</v>
      </c>
      <c r="AB1">
        <f t="shared" si="1"/>
        <v>26</v>
      </c>
      <c r="AC1" s="51">
        <f t="shared" si="1"/>
        <v>27</v>
      </c>
    </row>
    <row r="2" spans="2:36" x14ac:dyDescent="0.25">
      <c r="D2" s="25" t="str">
        <f>D6</f>
        <v xml:space="preserve">AM </v>
      </c>
      <c r="E2" s="25" t="str">
        <f t="shared" ref="E2:S2" si="2">E6</f>
        <v xml:space="preserve">BA </v>
      </c>
      <c r="F2" s="25" t="str">
        <f t="shared" si="2"/>
        <v xml:space="preserve">CE </v>
      </c>
      <c r="G2" s="25" t="str">
        <f t="shared" si="2"/>
        <v xml:space="preserve">DF </v>
      </c>
      <c r="H2" s="25" t="str">
        <f t="shared" si="2"/>
        <v xml:space="preserve">ES </v>
      </c>
      <c r="I2" s="25" t="str">
        <f t="shared" si="2"/>
        <v xml:space="preserve">GO </v>
      </c>
      <c r="J2" s="25" t="str">
        <f t="shared" si="2"/>
        <v xml:space="preserve">MG </v>
      </c>
      <c r="K2" s="25" t="str">
        <f t="shared" si="2"/>
        <v xml:space="preserve">MS </v>
      </c>
      <c r="L2" s="25" t="str">
        <f t="shared" si="2"/>
        <v xml:space="preserve">MT </v>
      </c>
      <c r="M2" s="25" t="str">
        <f t="shared" si="2"/>
        <v xml:space="preserve">PA </v>
      </c>
      <c r="N2" s="25" t="str">
        <f t="shared" si="2"/>
        <v xml:space="preserve">PE </v>
      </c>
      <c r="O2" s="25" t="str">
        <f t="shared" si="2"/>
        <v xml:space="preserve">PR </v>
      </c>
      <c r="P2" s="25" t="str">
        <f t="shared" si="2"/>
        <v xml:space="preserve">RJ </v>
      </c>
      <c r="Q2" s="25" t="str">
        <f t="shared" si="2"/>
        <v xml:space="preserve">RS </v>
      </c>
      <c r="R2" s="25" t="str">
        <f t="shared" si="2"/>
        <v xml:space="preserve">SC </v>
      </c>
      <c r="S2" s="25" t="str">
        <f t="shared" si="2"/>
        <v xml:space="preserve">SP </v>
      </c>
      <c r="T2" s="25" t="str">
        <f>T6</f>
        <v>Menor</v>
      </c>
      <c r="U2" s="25" t="str">
        <f>U6</f>
        <v>Maior</v>
      </c>
      <c r="V2" s="25" t="str">
        <f>V6</f>
        <v>Média</v>
      </c>
      <c r="W2" s="25" t="str">
        <f>W6</f>
        <v>Amplitude</v>
      </c>
      <c r="X2" s="25" t="s">
        <v>19501</v>
      </c>
      <c r="Y2" s="25" t="s">
        <v>19506</v>
      </c>
      <c r="Z2" s="25" t="s">
        <v>4680</v>
      </c>
      <c r="AA2" s="25" t="str">
        <f>AA6</f>
        <v>PIS</v>
      </c>
      <c r="AB2" s="25" t="s">
        <v>19505</v>
      </c>
      <c r="AC2" s="52" t="s">
        <v>621</v>
      </c>
    </row>
    <row r="3" spans="2:36" x14ac:dyDescent="0.25">
      <c r="B3">
        <v>47</v>
      </c>
      <c r="C3" t="str">
        <f>INDEX(bdGraficoDoenças!$C$7:$AC$53,$B$3,C1)</f>
        <v>MÉDIA DE TODAS AS DOENÇAS</v>
      </c>
      <c r="D3" s="23">
        <f>INDEX(bdGraficoDoenças!$C$7:$AC$53,$B$3,D1)/100</f>
        <v>0.30716072840203285</v>
      </c>
      <c r="E3" s="23">
        <f>INDEX(bdGraficoDoenças!$C$7:$AC$53,$B$3,E1)/100</f>
        <v>0.30716072840203285</v>
      </c>
      <c r="F3" s="23">
        <f>INDEX(bdGraficoDoenças!$C$7:$AC$53,$B$3,F1)/100</f>
        <v>0.30716072840203285</v>
      </c>
      <c r="G3" s="23">
        <f>INDEX(bdGraficoDoenças!$C$7:$AC$53,$B$3,G1)/100</f>
        <v>0.30716072840203285</v>
      </c>
      <c r="H3" s="23">
        <f>INDEX(bdGraficoDoenças!$C$7:$AC$53,$B$3,H1)/100</f>
        <v>0.30716072840203285</v>
      </c>
      <c r="I3" s="23">
        <f>INDEX(bdGraficoDoenças!$C$7:$AC$53,$B$3,I1)/100</f>
        <v>0.30716072840203285</v>
      </c>
      <c r="J3" s="23">
        <f>INDEX(bdGraficoDoenças!$C$7:$AC$53,$B$3,J1)/100</f>
        <v>0.3049503482025222</v>
      </c>
      <c r="K3" s="23">
        <f>INDEX(bdGraficoDoenças!$C$7:$AC$53,$B$3,K1)/100</f>
        <v>0.30716072840203285</v>
      </c>
      <c r="L3" s="23">
        <f>INDEX(bdGraficoDoenças!$C$7:$AC$53,$B$3,L1)/100</f>
        <v>0.30716072840203285</v>
      </c>
      <c r="M3" s="23">
        <f>INDEX(bdGraficoDoenças!$C$7:$AC$53,$B$3,M1)/100</f>
        <v>0.30716072840203285</v>
      </c>
      <c r="N3" s="23">
        <f>INDEX(bdGraficoDoenças!$C$7:$AC$53,$B$3,N1)/100</f>
        <v>0.30716072840203285</v>
      </c>
      <c r="O3" s="23">
        <f>INDEX(bdGraficoDoenças!$C$7:$AC$53,$B$3,O1)/100</f>
        <v>0.25716072840203291</v>
      </c>
      <c r="P3" s="23">
        <f>INDEX(bdGraficoDoenças!$C$7:$AC$53,$B$3,P1)/100</f>
        <v>0.32716072840203275</v>
      </c>
      <c r="Q3" s="23">
        <f>INDEX(bdGraficoDoenças!$C$7:$AC$53,$B$3,Q1)/100</f>
        <v>0.30716072840203285</v>
      </c>
      <c r="R3" s="23">
        <f>INDEX(bdGraficoDoenças!$C$7:$AC$53,$B$3,R1)/100</f>
        <v>0.30716072840203285</v>
      </c>
      <c r="S3" s="23">
        <f>INDEX(bdGraficoDoenças!$C$7:$AC$53,$B$3,S1)/100</f>
        <v>0.3171607284020328</v>
      </c>
      <c r="T3" s="23">
        <f>INDEX(bdGraficoDoenças!$C$7:$AC$53,$B$3,T1)/100</f>
        <v>0.25716072840203291</v>
      </c>
      <c r="U3" s="23">
        <f>INDEX(bdGraficoDoenças!$C$7:$AC$53,$B$3,U1)/100</f>
        <v>0.32716072840203275</v>
      </c>
      <c r="V3" s="23">
        <f>INDEX(bdGraficoDoenças!$C$7:$AC$53,$B$3,V1)/100</f>
        <v>0.3057725796395635</v>
      </c>
      <c r="W3" s="23">
        <f>INDEX(bdGraficoDoenças!$C$7:$AC$53,$B$3,W1)/100</f>
        <v>6.9999999999999854E-2</v>
      </c>
      <c r="X3" s="35">
        <f>INDEX(bdGraficoDoenças!$C$7:$AC$53,$B$3,X1)/100</f>
        <v>4.9301242236024841E-2</v>
      </c>
      <c r="Y3" s="35">
        <f>INDEX(bdGraficoDoenças!$C$7:$AC$53,$B$3,Y1)/100</f>
        <v>3.2700000000000007E-2</v>
      </c>
      <c r="Z3" s="35">
        <f>INDEX(bdGraficoDoenças!$C$7:$AC$53,$B$3,Z1)/100</f>
        <v>1.350000000000001E-2</v>
      </c>
      <c r="AA3" s="35">
        <f>INDEX(bdGraficoDoenças!$C$7:$AC$53,$B$3,AA1)/100</f>
        <v>1.0459486166007906E-2</v>
      </c>
      <c r="AB3" s="35">
        <f>INDEX(bdGraficoDoenças!$C$7:$AC$53,$B$3,AB1)/100</f>
        <v>3.1200000000000019E-2</v>
      </c>
      <c r="AC3" s="53">
        <f>INDEX(bdGraficoDoenças!$C$7:$AC$53,$B$3,AC1)/100</f>
        <v>0.18000000000000008</v>
      </c>
    </row>
    <row r="4" spans="2:36" x14ac:dyDescent="0.25">
      <c r="C4" t="str">
        <f>PROPER("Grupo: "&amp;C3)</f>
        <v>Grupo: Média De Todas As Doenças</v>
      </c>
      <c r="AC4" s="51" t="str">
        <f>"Composição na UF: "&amp;INDEX(bdGraficoDoenças!$D$6:$S$6,1,AC5)</f>
        <v xml:space="preserve">Composição na UF: SP </v>
      </c>
    </row>
    <row r="5" spans="2:36" ht="15.75" thickBot="1" x14ac:dyDescent="0.3">
      <c r="AC5" s="51">
        <v>16</v>
      </c>
    </row>
    <row r="6" spans="2:36" ht="35.25" customHeight="1" x14ac:dyDescent="0.25">
      <c r="C6" s="26" t="s">
        <v>19494</v>
      </c>
      <c r="D6" s="30" t="s">
        <v>19493</v>
      </c>
      <c r="E6" s="30" t="s">
        <v>19489</v>
      </c>
      <c r="F6" s="30" t="s">
        <v>19490</v>
      </c>
      <c r="G6" s="30" t="s">
        <v>19488</v>
      </c>
      <c r="H6" s="30" t="s">
        <v>19482</v>
      </c>
      <c r="I6" s="30" t="s">
        <v>19485</v>
      </c>
      <c r="J6" s="30" t="s">
        <v>19483</v>
      </c>
      <c r="K6" s="30" t="s">
        <v>19487</v>
      </c>
      <c r="L6" s="30" t="s">
        <v>19486</v>
      </c>
      <c r="M6" s="30" t="s">
        <v>19492</v>
      </c>
      <c r="N6" s="30" t="s">
        <v>19491</v>
      </c>
      <c r="O6" s="30" t="s">
        <v>19481</v>
      </c>
      <c r="P6" s="30" t="s">
        <v>19480</v>
      </c>
      <c r="Q6" s="31" t="s">
        <v>19479</v>
      </c>
      <c r="R6" s="30" t="s">
        <v>19484</v>
      </c>
      <c r="S6" s="30" t="s">
        <v>19478</v>
      </c>
      <c r="T6" s="78" t="s">
        <v>19495</v>
      </c>
      <c r="U6" s="78" t="s">
        <v>19496</v>
      </c>
      <c r="V6" s="78" t="s">
        <v>19497</v>
      </c>
      <c r="W6" s="78" t="s">
        <v>19498</v>
      </c>
      <c r="X6" s="28" t="s">
        <v>617</v>
      </c>
      <c r="Y6" s="28" t="s">
        <v>19499</v>
      </c>
      <c r="Z6" s="28" t="s">
        <v>620</v>
      </c>
      <c r="AA6" s="28" t="s">
        <v>616</v>
      </c>
      <c r="AB6" s="28" t="s">
        <v>19500</v>
      </c>
      <c r="AC6" s="54" t="s">
        <v>621</v>
      </c>
      <c r="AH6" t="s">
        <v>19502</v>
      </c>
      <c r="AI6" t="s">
        <v>19503</v>
      </c>
      <c r="AJ6" t="s">
        <v>19504</v>
      </c>
    </row>
    <row r="7" spans="2:36" x14ac:dyDescent="0.25">
      <c r="C7" s="22" t="s">
        <v>285</v>
      </c>
      <c r="D7" s="73">
        <v>30.740000000000006</v>
      </c>
      <c r="E7" s="73">
        <v>30.740000000000006</v>
      </c>
      <c r="F7" s="73">
        <v>30.740000000000006</v>
      </c>
      <c r="G7" s="73">
        <v>30.740000000000006</v>
      </c>
      <c r="H7" s="73">
        <v>30.740000000000006</v>
      </c>
      <c r="I7" s="73">
        <v>30.740000000000006</v>
      </c>
      <c r="J7" s="73">
        <v>29.740000000000006</v>
      </c>
      <c r="K7" s="73">
        <v>30.740000000000006</v>
      </c>
      <c r="L7" s="73">
        <v>30.740000000000006</v>
      </c>
      <c r="M7" s="73">
        <v>30.740000000000006</v>
      </c>
      <c r="N7" s="73">
        <v>30.740000000000006</v>
      </c>
      <c r="O7" s="73">
        <v>25.740000000000006</v>
      </c>
      <c r="P7" s="73">
        <v>32.74</v>
      </c>
      <c r="Q7" s="73">
        <v>30.740000000000006</v>
      </c>
      <c r="R7" s="73">
        <v>30.740000000000006</v>
      </c>
      <c r="S7" s="73">
        <v>31.740000000000006</v>
      </c>
      <c r="T7" s="72">
        <f>MIN(bdGraficoDoenças!$D7:$S7)</f>
        <v>25.740000000000006</v>
      </c>
      <c r="U7" s="72">
        <f>MAX(bdGraficoDoenças!$D7:$S7)</f>
        <v>32.74</v>
      </c>
      <c r="V7" s="72">
        <f>AVERAGE(bdGraficoDoenças!$D7:$S7)</f>
        <v>30.552500000000006</v>
      </c>
      <c r="W7" s="72">
        <f>+bdGraficoDoenças!$U7-bdGraficoDoenças!$T7</f>
        <v>6.9999999999999964</v>
      </c>
      <c r="X7" s="73">
        <v>4.95</v>
      </c>
      <c r="Y7" s="73">
        <v>3.27</v>
      </c>
      <c r="Z7" s="73">
        <v>1.3499999999999999</v>
      </c>
      <c r="AA7" s="73">
        <v>1.05</v>
      </c>
      <c r="AB7" s="73">
        <v>3.1200000000000006</v>
      </c>
      <c r="AC7" s="72">
        <f>INDEX(Tabela1[[#This Row],[AM ]:[SP ]],1,$AC$5)-Tabela1[[#This Row],[COFINS]]-Tabela1[[#This Row],[FOLHA]]-Tabela1[[#This Row],[OUTROS]]-Tabela1[[#This Row],[PIS]]-Tabela1[[#This Row],[LUCRO]]</f>
        <v>18.000000000000004</v>
      </c>
      <c r="AH7">
        <v>5</v>
      </c>
      <c r="AI7" s="33">
        <f>AH7*$W$3</f>
        <v>0.34999999999999926</v>
      </c>
      <c r="AJ7" s="33">
        <f>AH7-AI7</f>
        <v>4.6500000000000004</v>
      </c>
    </row>
    <row r="8" spans="2:36" x14ac:dyDescent="0.25">
      <c r="C8" s="22" t="s">
        <v>338</v>
      </c>
      <c r="D8" s="73">
        <v>34.073333333333338</v>
      </c>
      <c r="E8" s="73">
        <v>34.073333333333338</v>
      </c>
      <c r="F8" s="73">
        <v>34.073333333333338</v>
      </c>
      <c r="G8" s="73">
        <v>34.073333333333338</v>
      </c>
      <c r="H8" s="73">
        <v>34.073333333333338</v>
      </c>
      <c r="I8" s="73">
        <v>34.073333333333338</v>
      </c>
      <c r="J8" s="73">
        <v>34.406666666666666</v>
      </c>
      <c r="K8" s="73">
        <v>34.073333333333338</v>
      </c>
      <c r="L8" s="73">
        <v>34.073333333333338</v>
      </c>
      <c r="M8" s="73">
        <v>34.073333333333338</v>
      </c>
      <c r="N8" s="73">
        <v>34.073333333333338</v>
      </c>
      <c r="O8" s="73">
        <v>29.073333333333338</v>
      </c>
      <c r="P8" s="73">
        <v>36.073333333333338</v>
      </c>
      <c r="Q8" s="73">
        <v>34.073333333333338</v>
      </c>
      <c r="R8" s="73">
        <v>34.073333333333338</v>
      </c>
      <c r="S8" s="73">
        <v>35.073333333333338</v>
      </c>
      <c r="T8" s="72">
        <f>MIN(bdGraficoDoenças!$D8:$S8)</f>
        <v>29.073333333333338</v>
      </c>
      <c r="U8" s="72">
        <f>MAX(bdGraficoDoenças!$D8:$S8)</f>
        <v>36.073333333333338</v>
      </c>
      <c r="V8" s="72">
        <f>AVERAGE(bdGraficoDoenças!$D8:$S8)</f>
        <v>33.969166666666666</v>
      </c>
      <c r="W8" s="72">
        <f>+bdGraficoDoenças!$U8-bdGraficoDoenças!$T8</f>
        <v>7</v>
      </c>
      <c r="X8" s="73">
        <v>7.6999999999999993</v>
      </c>
      <c r="Y8" s="73">
        <v>3.27</v>
      </c>
      <c r="Z8" s="73">
        <v>1.3499999999999999</v>
      </c>
      <c r="AA8" s="73">
        <v>1.6333333333333333</v>
      </c>
      <c r="AB8" s="73">
        <v>3.1200000000000006</v>
      </c>
      <c r="AC8" s="76">
        <f>INDEX(Tabela1[[#This Row],[AM ]:[SP ]],1,$AC$5)-Tabela1[[#This Row],[COFINS]]-Tabela1[[#This Row],[FOLHA]]-Tabela1[[#This Row],[OUTROS]]-Tabela1[[#This Row],[PIS]]-Tabela1[[#This Row],[LUCRO]]</f>
        <v>18.000000000000004</v>
      </c>
      <c r="AH8">
        <v>10</v>
      </c>
      <c r="AI8" s="33">
        <f t="shared" ref="AI8:AI13" si="3">AH8*$W$3</f>
        <v>0.69999999999999851</v>
      </c>
      <c r="AJ8" s="33">
        <f t="shared" ref="AJ8:AJ13" si="4">AH8-AI8</f>
        <v>9.3000000000000007</v>
      </c>
    </row>
    <row r="9" spans="2:36" x14ac:dyDescent="0.25">
      <c r="C9" s="22" t="s">
        <v>361</v>
      </c>
      <c r="D9" s="73">
        <v>24.740000000000006</v>
      </c>
      <c r="E9" s="73">
        <v>24.740000000000006</v>
      </c>
      <c r="F9" s="73">
        <v>24.740000000000006</v>
      </c>
      <c r="G9" s="73">
        <v>24.740000000000006</v>
      </c>
      <c r="H9" s="73">
        <v>24.740000000000006</v>
      </c>
      <c r="I9" s="73">
        <v>24.740000000000006</v>
      </c>
      <c r="J9" s="73">
        <v>24.540000000000006</v>
      </c>
      <c r="K9" s="73">
        <v>24.740000000000006</v>
      </c>
      <c r="L9" s="73">
        <v>24.740000000000006</v>
      </c>
      <c r="M9" s="73">
        <v>24.740000000000006</v>
      </c>
      <c r="N9" s="73">
        <v>24.740000000000006</v>
      </c>
      <c r="O9" s="73">
        <v>19.740000000000006</v>
      </c>
      <c r="P9" s="73">
        <v>26.740000000000002</v>
      </c>
      <c r="Q9" s="73">
        <v>24.740000000000006</v>
      </c>
      <c r="R9" s="73">
        <v>24.740000000000006</v>
      </c>
      <c r="S9" s="73">
        <v>25.740000000000002</v>
      </c>
      <c r="T9" s="72">
        <f>MIN(bdGraficoDoenças!$D9:$S9)</f>
        <v>19.740000000000006</v>
      </c>
      <c r="U9" s="72">
        <f>MAX(bdGraficoDoenças!$D9:$S9)</f>
        <v>26.740000000000002</v>
      </c>
      <c r="V9" s="72">
        <f>AVERAGE(bdGraficoDoenças!$D9:$S9)</f>
        <v>24.602500000000006</v>
      </c>
      <c r="W9" s="72">
        <f>+bdGraficoDoenças!$U9-bdGraficoDoenças!$T9</f>
        <v>6.9999999999999964</v>
      </c>
      <c r="X9" s="73">
        <v>0</v>
      </c>
      <c r="Y9" s="73">
        <v>3.2700000000000005</v>
      </c>
      <c r="Z9" s="73">
        <v>1.3499999999999999</v>
      </c>
      <c r="AA9" s="73">
        <v>0</v>
      </c>
      <c r="AB9" s="73">
        <v>3.1200000000000006</v>
      </c>
      <c r="AC9" s="76">
        <f>INDEX(Tabela1[[#This Row],[AM ]:[SP ]],1,$AC$5)-Tabela1[[#This Row],[COFINS]]-Tabela1[[#This Row],[FOLHA]]-Tabela1[[#This Row],[OUTROS]]-Tabela1[[#This Row],[PIS]]-Tabela1[[#This Row],[LUCRO]]</f>
        <v>18</v>
      </c>
      <c r="AH9">
        <v>15</v>
      </c>
      <c r="AI9" s="33">
        <f t="shared" si="3"/>
        <v>1.0499999999999978</v>
      </c>
      <c r="AJ9" s="33">
        <f t="shared" si="4"/>
        <v>13.950000000000003</v>
      </c>
    </row>
    <row r="10" spans="2:36" x14ac:dyDescent="0.25">
      <c r="C10" s="22" t="s">
        <v>174</v>
      </c>
      <c r="D10" s="73">
        <v>35.540000000000006</v>
      </c>
      <c r="E10" s="73">
        <v>35.540000000000006</v>
      </c>
      <c r="F10" s="73">
        <v>35.540000000000006</v>
      </c>
      <c r="G10" s="73">
        <v>35.540000000000006</v>
      </c>
      <c r="H10" s="73">
        <v>35.540000000000006</v>
      </c>
      <c r="I10" s="73">
        <v>35.540000000000006</v>
      </c>
      <c r="J10" s="73">
        <v>36.540000000000006</v>
      </c>
      <c r="K10" s="73">
        <v>35.540000000000006</v>
      </c>
      <c r="L10" s="73">
        <v>35.540000000000006</v>
      </c>
      <c r="M10" s="73">
        <v>35.540000000000006</v>
      </c>
      <c r="N10" s="73">
        <v>35.540000000000006</v>
      </c>
      <c r="O10" s="73">
        <v>30.540000000000003</v>
      </c>
      <c r="P10" s="73">
        <v>37.540000000000006</v>
      </c>
      <c r="Q10" s="73">
        <v>35.540000000000006</v>
      </c>
      <c r="R10" s="73">
        <v>35.540000000000006</v>
      </c>
      <c r="S10" s="73">
        <v>36.540000000000006</v>
      </c>
      <c r="T10" s="72">
        <f>MIN(bdGraficoDoenças!$D10:$S10)</f>
        <v>30.540000000000003</v>
      </c>
      <c r="U10" s="72">
        <f>MAX(bdGraficoDoenças!$D10:$S10)</f>
        <v>37.540000000000006</v>
      </c>
      <c r="V10" s="72">
        <f>AVERAGE(bdGraficoDoenças!$D10:$S10)</f>
        <v>35.477500000000013</v>
      </c>
      <c r="W10" s="72">
        <f>+bdGraficoDoenças!$U10-bdGraficoDoenças!$T10</f>
        <v>7.0000000000000036</v>
      </c>
      <c r="X10" s="73">
        <v>8.91</v>
      </c>
      <c r="Y10" s="73">
        <v>3.2700000000000005</v>
      </c>
      <c r="Z10" s="73">
        <v>1.3499999999999999</v>
      </c>
      <c r="AA10" s="73">
        <v>1.8900000000000001</v>
      </c>
      <c r="AB10" s="73">
        <v>3.1200000000000006</v>
      </c>
      <c r="AC10" s="76">
        <f>INDEX(Tabela1[[#This Row],[AM ]:[SP ]],1,$AC$5)-Tabela1[[#This Row],[COFINS]]-Tabela1[[#This Row],[FOLHA]]-Tabela1[[#This Row],[OUTROS]]-Tabela1[[#This Row],[PIS]]-Tabela1[[#This Row],[LUCRO]]</f>
        <v>18.000000000000004</v>
      </c>
      <c r="AH10">
        <v>20</v>
      </c>
      <c r="AI10" s="33">
        <f t="shared" si="3"/>
        <v>1.399999999999997</v>
      </c>
      <c r="AJ10" s="33">
        <f t="shared" si="4"/>
        <v>18.600000000000001</v>
      </c>
    </row>
    <row r="11" spans="2:36" x14ac:dyDescent="0.25">
      <c r="C11" s="22" t="s">
        <v>413</v>
      </c>
      <c r="D11" s="73">
        <v>24.740000000000006</v>
      </c>
      <c r="E11" s="73">
        <v>24.740000000000006</v>
      </c>
      <c r="F11" s="73">
        <v>24.740000000000006</v>
      </c>
      <c r="G11" s="73">
        <v>24.740000000000006</v>
      </c>
      <c r="H11" s="73">
        <v>24.740000000000006</v>
      </c>
      <c r="I11" s="73">
        <v>24.740000000000006</v>
      </c>
      <c r="J11" s="73">
        <v>25.740000000000002</v>
      </c>
      <c r="K11" s="73">
        <v>24.740000000000006</v>
      </c>
      <c r="L11" s="73">
        <v>24.740000000000006</v>
      </c>
      <c r="M11" s="73">
        <v>24.740000000000006</v>
      </c>
      <c r="N11" s="73">
        <v>24.740000000000006</v>
      </c>
      <c r="O11" s="73">
        <v>19.740000000000006</v>
      </c>
      <c r="P11" s="73">
        <v>26.740000000000002</v>
      </c>
      <c r="Q11" s="73">
        <v>24.740000000000006</v>
      </c>
      <c r="R11" s="73">
        <v>24.740000000000006</v>
      </c>
      <c r="S11" s="73">
        <v>25.740000000000002</v>
      </c>
      <c r="T11" s="72">
        <f>MIN(bdGraficoDoenças!$D11:$S11)</f>
        <v>19.740000000000006</v>
      </c>
      <c r="U11" s="72">
        <f>MAX(bdGraficoDoenças!$D11:$S11)</f>
        <v>26.740000000000002</v>
      </c>
      <c r="V11" s="72">
        <f>AVERAGE(bdGraficoDoenças!$D11:$S11)</f>
        <v>24.677500000000006</v>
      </c>
      <c r="W11" s="72">
        <f>+bdGraficoDoenças!$U11-bdGraficoDoenças!$T11</f>
        <v>6.9999999999999964</v>
      </c>
      <c r="X11" s="73">
        <v>0</v>
      </c>
      <c r="Y11" s="73">
        <v>3.2700000000000005</v>
      </c>
      <c r="Z11" s="73">
        <v>1.3499999999999999</v>
      </c>
      <c r="AA11" s="73">
        <v>0</v>
      </c>
      <c r="AB11" s="73">
        <v>3.1200000000000006</v>
      </c>
      <c r="AC11" s="76">
        <f>INDEX(Tabela1[[#This Row],[AM ]:[SP ]],1,$AC$5)-Tabela1[[#This Row],[COFINS]]-Tabela1[[#This Row],[FOLHA]]-Tabela1[[#This Row],[OUTROS]]-Tabela1[[#This Row],[PIS]]-Tabela1[[#This Row],[LUCRO]]</f>
        <v>18</v>
      </c>
      <c r="AH11">
        <v>30</v>
      </c>
      <c r="AI11" s="33">
        <f t="shared" si="3"/>
        <v>2.0999999999999956</v>
      </c>
      <c r="AJ11" s="33">
        <f t="shared" si="4"/>
        <v>27.900000000000006</v>
      </c>
    </row>
    <row r="12" spans="2:36" x14ac:dyDescent="0.25">
      <c r="C12" s="22" t="s">
        <v>498</v>
      </c>
      <c r="D12" s="73">
        <v>24.740000000000006</v>
      </c>
      <c r="E12" s="73">
        <v>24.740000000000006</v>
      </c>
      <c r="F12" s="73">
        <v>24.740000000000006</v>
      </c>
      <c r="G12" s="73">
        <v>24.740000000000006</v>
      </c>
      <c r="H12" s="73">
        <v>24.740000000000006</v>
      </c>
      <c r="I12" s="73">
        <v>24.740000000000006</v>
      </c>
      <c r="J12" s="73">
        <v>25.140000000000008</v>
      </c>
      <c r="K12" s="73">
        <v>24.740000000000006</v>
      </c>
      <c r="L12" s="73">
        <v>24.740000000000006</v>
      </c>
      <c r="M12" s="73">
        <v>24.740000000000006</v>
      </c>
      <c r="N12" s="73">
        <v>24.740000000000006</v>
      </c>
      <c r="O12" s="73">
        <v>19.740000000000006</v>
      </c>
      <c r="P12" s="73">
        <v>26.740000000000002</v>
      </c>
      <c r="Q12" s="73">
        <v>24.740000000000006</v>
      </c>
      <c r="R12" s="73">
        <v>24.740000000000006</v>
      </c>
      <c r="S12" s="73">
        <v>25.740000000000002</v>
      </c>
      <c r="T12" s="72">
        <f>MIN(bdGraficoDoenças!$D12:$S12)</f>
        <v>19.740000000000006</v>
      </c>
      <c r="U12" s="72">
        <f>MAX(bdGraficoDoenças!$D12:$S12)</f>
        <v>26.740000000000002</v>
      </c>
      <c r="V12" s="72">
        <f>AVERAGE(bdGraficoDoenças!$D12:$S12)</f>
        <v>24.640000000000008</v>
      </c>
      <c r="W12" s="72">
        <f>+bdGraficoDoenças!$U12-bdGraficoDoenças!$T12</f>
        <v>6.9999999999999964</v>
      </c>
      <c r="X12" s="73">
        <v>0</v>
      </c>
      <c r="Y12" s="73">
        <v>3.2700000000000005</v>
      </c>
      <c r="Z12" s="73">
        <v>1.3499999999999999</v>
      </c>
      <c r="AA12" s="73">
        <v>0</v>
      </c>
      <c r="AB12" s="73">
        <v>3.1200000000000006</v>
      </c>
      <c r="AC12" s="76">
        <f>INDEX(Tabela1[[#This Row],[AM ]:[SP ]],1,$AC$5)-Tabela1[[#This Row],[COFINS]]-Tabela1[[#This Row],[FOLHA]]-Tabela1[[#This Row],[OUTROS]]-Tabela1[[#This Row],[PIS]]-Tabela1[[#This Row],[LUCRO]]</f>
        <v>18</v>
      </c>
      <c r="AH12">
        <v>50</v>
      </c>
      <c r="AI12" s="33">
        <f t="shared" si="3"/>
        <v>3.4999999999999929</v>
      </c>
      <c r="AJ12" s="33">
        <f t="shared" si="4"/>
        <v>46.500000000000007</v>
      </c>
    </row>
    <row r="13" spans="2:36" x14ac:dyDescent="0.25">
      <c r="C13" s="22" t="s">
        <v>533</v>
      </c>
      <c r="D13" s="73">
        <v>24.740000000000006</v>
      </c>
      <c r="E13" s="73">
        <v>24.740000000000006</v>
      </c>
      <c r="F13" s="73">
        <v>24.740000000000006</v>
      </c>
      <c r="G13" s="73">
        <v>24.740000000000006</v>
      </c>
      <c r="H13" s="73">
        <v>24.740000000000006</v>
      </c>
      <c r="I13" s="73">
        <v>24.740000000000006</v>
      </c>
      <c r="J13" s="73">
        <v>25.740000000000002</v>
      </c>
      <c r="K13" s="73">
        <v>24.740000000000006</v>
      </c>
      <c r="L13" s="73">
        <v>24.740000000000006</v>
      </c>
      <c r="M13" s="73">
        <v>24.740000000000006</v>
      </c>
      <c r="N13" s="73">
        <v>24.740000000000006</v>
      </c>
      <c r="O13" s="73">
        <v>19.740000000000006</v>
      </c>
      <c r="P13" s="73">
        <v>26.740000000000002</v>
      </c>
      <c r="Q13" s="73">
        <v>24.740000000000006</v>
      </c>
      <c r="R13" s="73">
        <v>24.740000000000006</v>
      </c>
      <c r="S13" s="73">
        <v>25.740000000000002</v>
      </c>
      <c r="T13" s="72">
        <f>MIN(bdGraficoDoenças!$D13:$S13)</f>
        <v>19.740000000000006</v>
      </c>
      <c r="U13" s="72">
        <f>MAX(bdGraficoDoenças!$D13:$S13)</f>
        <v>26.740000000000002</v>
      </c>
      <c r="V13" s="72">
        <f>AVERAGE(bdGraficoDoenças!$D13:$S13)</f>
        <v>24.677500000000006</v>
      </c>
      <c r="W13" s="72">
        <f>+bdGraficoDoenças!$U13-bdGraficoDoenças!$T13</f>
        <v>6.9999999999999964</v>
      </c>
      <c r="X13" s="73">
        <v>0</v>
      </c>
      <c r="Y13" s="73">
        <v>3.2700000000000005</v>
      </c>
      <c r="Z13" s="73">
        <v>1.3499999999999999</v>
      </c>
      <c r="AA13" s="73">
        <v>0</v>
      </c>
      <c r="AB13" s="73">
        <v>3.1200000000000006</v>
      </c>
      <c r="AC13" s="76">
        <f>INDEX(Tabela1[[#This Row],[AM ]:[SP ]],1,$AC$5)-Tabela1[[#This Row],[COFINS]]-Tabela1[[#This Row],[FOLHA]]-Tabela1[[#This Row],[OUTROS]]-Tabela1[[#This Row],[PIS]]-Tabela1[[#This Row],[LUCRO]]</f>
        <v>18</v>
      </c>
      <c r="AH13">
        <v>100</v>
      </c>
      <c r="AI13" s="33">
        <f t="shared" si="3"/>
        <v>6.9999999999999858</v>
      </c>
      <c r="AJ13" s="33">
        <f t="shared" si="4"/>
        <v>93.000000000000014</v>
      </c>
    </row>
    <row r="14" spans="2:36" x14ac:dyDescent="0.25">
      <c r="C14" s="22" t="s">
        <v>41</v>
      </c>
      <c r="D14" s="73">
        <v>36.74</v>
      </c>
      <c r="E14" s="73">
        <v>36.74</v>
      </c>
      <c r="F14" s="73">
        <v>36.74</v>
      </c>
      <c r="G14" s="73">
        <v>36.74</v>
      </c>
      <c r="H14" s="73">
        <v>36.74</v>
      </c>
      <c r="I14" s="73">
        <v>36.74</v>
      </c>
      <c r="J14" s="73">
        <v>36.24</v>
      </c>
      <c r="K14" s="73">
        <v>36.74</v>
      </c>
      <c r="L14" s="73">
        <v>36.74</v>
      </c>
      <c r="M14" s="73">
        <v>36.74</v>
      </c>
      <c r="N14" s="73">
        <v>36.74</v>
      </c>
      <c r="O14" s="73">
        <v>31.740000000000006</v>
      </c>
      <c r="P14" s="73">
        <v>38.74</v>
      </c>
      <c r="Q14" s="73">
        <v>36.74</v>
      </c>
      <c r="R14" s="73">
        <v>36.74</v>
      </c>
      <c r="S14" s="73">
        <v>37.74</v>
      </c>
      <c r="T14" s="72">
        <f>MIN(bdGraficoDoenças!$D14:$S14)</f>
        <v>31.740000000000006</v>
      </c>
      <c r="U14" s="72">
        <f>MAX(bdGraficoDoenças!$D14:$S14)</f>
        <v>38.74</v>
      </c>
      <c r="V14" s="72">
        <f>AVERAGE(bdGraficoDoenças!$D14:$S14)</f>
        <v>36.583750000000002</v>
      </c>
      <c r="W14" s="72">
        <f>+bdGraficoDoenças!$U14-bdGraficoDoenças!$T14</f>
        <v>6.9999999999999964</v>
      </c>
      <c r="X14" s="73">
        <v>9.9</v>
      </c>
      <c r="Y14" s="73">
        <v>3.27</v>
      </c>
      <c r="Z14" s="73">
        <v>1.3499999999999999</v>
      </c>
      <c r="AA14" s="73">
        <v>2.1</v>
      </c>
      <c r="AB14" s="73">
        <v>3.1200000000000006</v>
      </c>
      <c r="AC14" s="76">
        <f>INDEX(Tabela1[[#This Row],[AM ]:[SP ]],1,$AC$5)-Tabela1[[#This Row],[COFINS]]-Tabela1[[#This Row],[FOLHA]]-Tabela1[[#This Row],[OUTROS]]-Tabela1[[#This Row],[PIS]]-Tabela1[[#This Row],[LUCRO]]</f>
        <v>18</v>
      </c>
    </row>
    <row r="15" spans="2:36" x14ac:dyDescent="0.25">
      <c r="C15" s="22" t="s">
        <v>595</v>
      </c>
      <c r="D15" s="73">
        <v>31.40666666666667</v>
      </c>
      <c r="E15" s="73">
        <v>31.40666666666667</v>
      </c>
      <c r="F15" s="73">
        <v>31.40666666666667</v>
      </c>
      <c r="G15" s="73">
        <v>31.40666666666667</v>
      </c>
      <c r="H15" s="73">
        <v>31.40666666666667</v>
      </c>
      <c r="I15" s="73">
        <v>31.40666666666667</v>
      </c>
      <c r="J15" s="73">
        <v>32.406666666666666</v>
      </c>
      <c r="K15" s="73">
        <v>31.40666666666667</v>
      </c>
      <c r="L15" s="73">
        <v>31.40666666666667</v>
      </c>
      <c r="M15" s="73">
        <v>31.40666666666667</v>
      </c>
      <c r="N15" s="73">
        <v>31.40666666666667</v>
      </c>
      <c r="O15" s="73">
        <v>26.406666666666673</v>
      </c>
      <c r="P15" s="73">
        <v>33.406666666666666</v>
      </c>
      <c r="Q15" s="73">
        <v>31.40666666666667</v>
      </c>
      <c r="R15" s="73">
        <v>31.40666666666667</v>
      </c>
      <c r="S15" s="73">
        <v>32.406666666666666</v>
      </c>
      <c r="T15" s="72">
        <f>MIN(bdGraficoDoenças!$D15:$S15)</f>
        <v>26.406666666666673</v>
      </c>
      <c r="U15" s="72">
        <f>MAX(bdGraficoDoenças!$D15:$S15)</f>
        <v>33.406666666666666</v>
      </c>
      <c r="V15" s="72">
        <f>AVERAGE(bdGraficoDoenças!$D15:$S15)</f>
        <v>31.344166666666673</v>
      </c>
      <c r="W15" s="72">
        <f>+bdGraficoDoenças!$U15-bdGraficoDoenças!$T15</f>
        <v>6.9999999999999929</v>
      </c>
      <c r="X15" s="73">
        <v>5.5</v>
      </c>
      <c r="Y15" s="73">
        <v>3.27</v>
      </c>
      <c r="Z15" s="73">
        <v>1.3499999999999999</v>
      </c>
      <c r="AA15" s="73">
        <v>1.1666666666666667</v>
      </c>
      <c r="AB15" s="73">
        <v>3.1200000000000006</v>
      </c>
      <c r="AC15" s="76">
        <f>INDEX(Tabela1[[#This Row],[AM ]:[SP ]],1,$AC$5)-Tabela1[[#This Row],[COFINS]]-Tabela1[[#This Row],[FOLHA]]-Tabela1[[#This Row],[OUTROS]]-Tabela1[[#This Row],[PIS]]-Tabela1[[#This Row],[LUCRO]]</f>
        <v>17.999999999999996</v>
      </c>
    </row>
    <row r="16" spans="2:36" x14ac:dyDescent="0.25">
      <c r="C16" s="22" t="s">
        <v>499</v>
      </c>
      <c r="D16" s="73">
        <v>24.740000000000006</v>
      </c>
      <c r="E16" s="73">
        <v>24.740000000000006</v>
      </c>
      <c r="F16" s="73">
        <v>24.740000000000006</v>
      </c>
      <c r="G16" s="73">
        <v>24.740000000000006</v>
      </c>
      <c r="H16" s="73">
        <v>24.740000000000006</v>
      </c>
      <c r="I16" s="73">
        <v>24.740000000000006</v>
      </c>
      <c r="J16" s="73">
        <v>23.740000000000006</v>
      </c>
      <c r="K16" s="73">
        <v>24.740000000000006</v>
      </c>
      <c r="L16" s="73">
        <v>24.740000000000006</v>
      </c>
      <c r="M16" s="73">
        <v>24.740000000000006</v>
      </c>
      <c r="N16" s="73">
        <v>24.740000000000006</v>
      </c>
      <c r="O16" s="73">
        <v>19.740000000000006</v>
      </c>
      <c r="P16" s="73">
        <v>26.740000000000006</v>
      </c>
      <c r="Q16" s="73">
        <v>24.740000000000006</v>
      </c>
      <c r="R16" s="73">
        <v>24.740000000000006</v>
      </c>
      <c r="S16" s="73">
        <v>25.740000000000006</v>
      </c>
      <c r="T16" s="72">
        <f>MIN(bdGraficoDoenças!$D16:$S16)</f>
        <v>19.740000000000006</v>
      </c>
      <c r="U16" s="72">
        <f>MAX(bdGraficoDoenças!$D16:$S16)</f>
        <v>26.740000000000006</v>
      </c>
      <c r="V16" s="72">
        <f>AVERAGE(bdGraficoDoenças!$D16:$S16)</f>
        <v>24.552500000000006</v>
      </c>
      <c r="W16" s="72">
        <f>+bdGraficoDoenças!$U16-bdGraficoDoenças!$T16</f>
        <v>7</v>
      </c>
      <c r="X16" s="73">
        <v>0</v>
      </c>
      <c r="Y16" s="73">
        <v>3.27</v>
      </c>
      <c r="Z16" s="73">
        <v>1.3499999999999999</v>
      </c>
      <c r="AA16" s="73">
        <v>0</v>
      </c>
      <c r="AB16" s="73">
        <v>3.1200000000000006</v>
      </c>
      <c r="AC16" s="76">
        <f>INDEX(Tabela1[[#This Row],[AM ]:[SP ]],1,$AC$5)-Tabela1[[#This Row],[COFINS]]-Tabela1[[#This Row],[FOLHA]]-Tabela1[[#This Row],[OUTROS]]-Tabela1[[#This Row],[PIS]]-Tabela1[[#This Row],[LUCRO]]</f>
        <v>18.000000000000004</v>
      </c>
    </row>
    <row r="17" spans="3:29" x14ac:dyDescent="0.25">
      <c r="C17" s="22" t="s">
        <v>269</v>
      </c>
      <c r="D17" s="73">
        <v>25.940000000000005</v>
      </c>
      <c r="E17" s="73">
        <v>25.940000000000005</v>
      </c>
      <c r="F17" s="73">
        <v>25.940000000000005</v>
      </c>
      <c r="G17" s="73">
        <v>25.940000000000005</v>
      </c>
      <c r="H17" s="73">
        <v>25.940000000000005</v>
      </c>
      <c r="I17" s="73">
        <v>25.940000000000005</v>
      </c>
      <c r="J17" s="73">
        <v>24.540000000000006</v>
      </c>
      <c r="K17" s="73">
        <v>25.940000000000005</v>
      </c>
      <c r="L17" s="73">
        <v>25.940000000000005</v>
      </c>
      <c r="M17" s="73">
        <v>25.940000000000005</v>
      </c>
      <c r="N17" s="73">
        <v>25.940000000000005</v>
      </c>
      <c r="O17" s="73">
        <v>20.940000000000005</v>
      </c>
      <c r="P17" s="73">
        <v>27.940000000000005</v>
      </c>
      <c r="Q17" s="73">
        <v>25.940000000000005</v>
      </c>
      <c r="R17" s="73">
        <v>25.940000000000005</v>
      </c>
      <c r="S17" s="73">
        <v>26.940000000000005</v>
      </c>
      <c r="T17" s="72">
        <f>MIN(bdGraficoDoenças!$D17:$S17)</f>
        <v>20.940000000000005</v>
      </c>
      <c r="U17" s="72">
        <f>MAX(bdGraficoDoenças!$D17:$S17)</f>
        <v>27.940000000000005</v>
      </c>
      <c r="V17" s="72">
        <f>AVERAGE(bdGraficoDoenças!$D17:$S17)</f>
        <v>25.727499999999999</v>
      </c>
      <c r="W17" s="72">
        <f>+bdGraficoDoenças!$U17-bdGraficoDoenças!$T17</f>
        <v>7</v>
      </c>
      <c r="X17" s="73">
        <v>0.99</v>
      </c>
      <c r="Y17" s="73">
        <v>3.2700000000000005</v>
      </c>
      <c r="Z17" s="73">
        <v>1.3499999999999999</v>
      </c>
      <c r="AA17" s="73">
        <v>0.21000000000000002</v>
      </c>
      <c r="AB17" s="73">
        <v>3.1200000000000006</v>
      </c>
      <c r="AC17" s="76">
        <f>INDEX(Tabela1[[#This Row],[AM ]:[SP ]],1,$AC$5)-Tabela1[[#This Row],[COFINS]]-Tabela1[[#This Row],[FOLHA]]-Tabela1[[#This Row],[OUTROS]]-Tabela1[[#This Row],[PIS]]-Tabela1[[#This Row],[LUCRO]]</f>
        <v>18.000000000000004</v>
      </c>
    </row>
    <row r="18" spans="3:29" x14ac:dyDescent="0.25">
      <c r="C18" s="22" t="s">
        <v>449</v>
      </c>
      <c r="D18" s="73">
        <v>35.540000000000006</v>
      </c>
      <c r="E18" s="73">
        <v>35.540000000000006</v>
      </c>
      <c r="F18" s="73">
        <v>35.540000000000006</v>
      </c>
      <c r="G18" s="73">
        <v>35.540000000000006</v>
      </c>
      <c r="H18" s="73">
        <v>35.540000000000006</v>
      </c>
      <c r="I18" s="73">
        <v>35.540000000000006</v>
      </c>
      <c r="J18" s="73">
        <v>35.940000000000005</v>
      </c>
      <c r="K18" s="73">
        <v>35.540000000000006</v>
      </c>
      <c r="L18" s="73">
        <v>35.540000000000006</v>
      </c>
      <c r="M18" s="73">
        <v>35.540000000000006</v>
      </c>
      <c r="N18" s="73">
        <v>35.540000000000006</v>
      </c>
      <c r="O18" s="73">
        <v>30.540000000000003</v>
      </c>
      <c r="P18" s="73">
        <v>37.540000000000006</v>
      </c>
      <c r="Q18" s="73">
        <v>35.540000000000006</v>
      </c>
      <c r="R18" s="73">
        <v>35.540000000000006</v>
      </c>
      <c r="S18" s="73">
        <v>36.540000000000006</v>
      </c>
      <c r="T18" s="72">
        <f>MIN(bdGraficoDoenças!$D18:$S18)</f>
        <v>30.540000000000003</v>
      </c>
      <c r="U18" s="72">
        <f>MAX(bdGraficoDoenças!$D18:$S18)</f>
        <v>37.540000000000006</v>
      </c>
      <c r="V18" s="72">
        <f>AVERAGE(bdGraficoDoenças!$D18:$S18)</f>
        <v>35.440000000000012</v>
      </c>
      <c r="W18" s="72">
        <f>+bdGraficoDoenças!$U18-bdGraficoDoenças!$T18</f>
        <v>7.0000000000000036</v>
      </c>
      <c r="X18" s="73">
        <v>8.91</v>
      </c>
      <c r="Y18" s="73">
        <v>3.2700000000000005</v>
      </c>
      <c r="Z18" s="73">
        <v>1.3499999999999999</v>
      </c>
      <c r="AA18" s="73">
        <v>1.8900000000000001</v>
      </c>
      <c r="AB18" s="73">
        <v>3.1200000000000006</v>
      </c>
      <c r="AC18" s="76">
        <f>INDEX(Tabela1[[#This Row],[AM ]:[SP ]],1,$AC$5)-Tabela1[[#This Row],[COFINS]]-Tabela1[[#This Row],[FOLHA]]-Tabela1[[#This Row],[OUTROS]]-Tabela1[[#This Row],[PIS]]-Tabela1[[#This Row],[LUCRO]]</f>
        <v>18.000000000000004</v>
      </c>
    </row>
    <row r="19" spans="3:29" x14ac:dyDescent="0.25">
      <c r="C19" s="22" t="s">
        <v>525</v>
      </c>
      <c r="D19" s="73">
        <v>27.406666666666673</v>
      </c>
      <c r="E19" s="73">
        <v>27.406666666666673</v>
      </c>
      <c r="F19" s="73">
        <v>27.406666666666673</v>
      </c>
      <c r="G19" s="73">
        <v>27.406666666666673</v>
      </c>
      <c r="H19" s="73">
        <v>27.406666666666673</v>
      </c>
      <c r="I19" s="73">
        <v>27.406666666666673</v>
      </c>
      <c r="J19" s="73">
        <v>27.740000000000006</v>
      </c>
      <c r="K19" s="73">
        <v>27.406666666666673</v>
      </c>
      <c r="L19" s="73">
        <v>27.406666666666673</v>
      </c>
      <c r="M19" s="73">
        <v>27.406666666666673</v>
      </c>
      <c r="N19" s="73">
        <v>27.406666666666673</v>
      </c>
      <c r="O19" s="73">
        <v>22.406666666666673</v>
      </c>
      <c r="P19" s="73">
        <v>29.40666666666667</v>
      </c>
      <c r="Q19" s="73">
        <v>27.406666666666673</v>
      </c>
      <c r="R19" s="73">
        <v>27.406666666666673</v>
      </c>
      <c r="S19" s="73">
        <v>28.406666666666673</v>
      </c>
      <c r="T19" s="72">
        <f>MIN(bdGraficoDoenças!$D19:$S19)</f>
        <v>22.406666666666673</v>
      </c>
      <c r="U19" s="72">
        <f>MAX(bdGraficoDoenças!$D19:$S19)</f>
        <v>29.40666666666667</v>
      </c>
      <c r="V19" s="72">
        <f>AVERAGE(bdGraficoDoenças!$D19:$S19)</f>
        <v>27.302500000000013</v>
      </c>
      <c r="W19" s="72">
        <f>+bdGraficoDoenças!$U19-bdGraficoDoenças!$T19</f>
        <v>6.9999999999999964</v>
      </c>
      <c r="X19" s="73">
        <v>2.2000000000000002</v>
      </c>
      <c r="Y19" s="73">
        <v>3.27</v>
      </c>
      <c r="Z19" s="73">
        <v>1.3499999999999999</v>
      </c>
      <c r="AA19" s="73">
        <v>0.46666666666666667</v>
      </c>
      <c r="AB19" s="73">
        <v>3.1200000000000006</v>
      </c>
      <c r="AC19" s="76">
        <f>INDEX(Tabela1[[#This Row],[AM ]:[SP ]],1,$AC$5)-Tabela1[[#This Row],[COFINS]]-Tabela1[[#This Row],[FOLHA]]-Tabela1[[#This Row],[OUTROS]]-Tabela1[[#This Row],[PIS]]-Tabela1[[#This Row],[LUCRO]]</f>
        <v>18.000000000000007</v>
      </c>
    </row>
    <row r="20" spans="3:29" x14ac:dyDescent="0.25">
      <c r="C20" s="22" t="s">
        <v>426</v>
      </c>
      <c r="D20" s="73">
        <v>24.740000000000006</v>
      </c>
      <c r="E20" s="73">
        <v>24.740000000000006</v>
      </c>
      <c r="F20" s="73">
        <v>24.740000000000006</v>
      </c>
      <c r="G20" s="73">
        <v>24.740000000000006</v>
      </c>
      <c r="H20" s="73">
        <v>24.740000000000006</v>
      </c>
      <c r="I20" s="73">
        <v>24.740000000000006</v>
      </c>
      <c r="J20" s="73">
        <v>22.740000000000006</v>
      </c>
      <c r="K20" s="73">
        <v>24.740000000000006</v>
      </c>
      <c r="L20" s="73">
        <v>24.740000000000006</v>
      </c>
      <c r="M20" s="73">
        <v>24.740000000000006</v>
      </c>
      <c r="N20" s="73">
        <v>24.740000000000006</v>
      </c>
      <c r="O20" s="73">
        <v>19.740000000000006</v>
      </c>
      <c r="P20" s="73">
        <v>26.740000000000002</v>
      </c>
      <c r="Q20" s="73">
        <v>24.740000000000006</v>
      </c>
      <c r="R20" s="73">
        <v>24.740000000000006</v>
      </c>
      <c r="S20" s="73">
        <v>25.740000000000002</v>
      </c>
      <c r="T20" s="72">
        <f>MIN(bdGraficoDoenças!$D20:$S20)</f>
        <v>19.740000000000006</v>
      </c>
      <c r="U20" s="72">
        <f>MAX(bdGraficoDoenças!$D20:$S20)</f>
        <v>26.740000000000002</v>
      </c>
      <c r="V20" s="72">
        <f>AVERAGE(bdGraficoDoenças!$D20:$S20)</f>
        <v>24.490000000000006</v>
      </c>
      <c r="W20" s="72">
        <f>+bdGraficoDoenças!$U20-bdGraficoDoenças!$T20</f>
        <v>6.9999999999999964</v>
      </c>
      <c r="X20" s="73">
        <v>0</v>
      </c>
      <c r="Y20" s="73">
        <v>3.2700000000000005</v>
      </c>
      <c r="Z20" s="73">
        <v>1.3499999999999999</v>
      </c>
      <c r="AA20" s="73">
        <v>0</v>
      </c>
      <c r="AB20" s="73">
        <v>3.1200000000000006</v>
      </c>
      <c r="AC20" s="76">
        <f>INDEX(Tabela1[[#This Row],[AM ]:[SP ]],1,$AC$5)-Tabela1[[#This Row],[COFINS]]-Tabela1[[#This Row],[FOLHA]]-Tabela1[[#This Row],[OUTROS]]-Tabela1[[#This Row],[PIS]]-Tabela1[[#This Row],[LUCRO]]</f>
        <v>18</v>
      </c>
    </row>
    <row r="21" spans="3:29" x14ac:dyDescent="0.25">
      <c r="C21" s="22" t="s">
        <v>127</v>
      </c>
      <c r="D21" s="73">
        <v>24.740000000000006</v>
      </c>
      <c r="E21" s="73">
        <v>24.740000000000006</v>
      </c>
      <c r="F21" s="73">
        <v>24.740000000000006</v>
      </c>
      <c r="G21" s="73">
        <v>24.740000000000006</v>
      </c>
      <c r="H21" s="73">
        <v>24.740000000000006</v>
      </c>
      <c r="I21" s="73">
        <v>24.740000000000006</v>
      </c>
      <c r="J21" s="73">
        <v>22.740000000000006</v>
      </c>
      <c r="K21" s="73">
        <v>24.740000000000006</v>
      </c>
      <c r="L21" s="73">
        <v>24.740000000000006</v>
      </c>
      <c r="M21" s="73">
        <v>24.740000000000006</v>
      </c>
      <c r="N21" s="73">
        <v>24.740000000000006</v>
      </c>
      <c r="O21" s="73">
        <v>19.740000000000006</v>
      </c>
      <c r="P21" s="73">
        <v>26.740000000000002</v>
      </c>
      <c r="Q21" s="73">
        <v>24.740000000000006</v>
      </c>
      <c r="R21" s="73">
        <v>24.740000000000006</v>
      </c>
      <c r="S21" s="73">
        <v>25.740000000000002</v>
      </c>
      <c r="T21" s="72">
        <f>MIN(bdGraficoDoenças!$D21:$S21)</f>
        <v>19.740000000000006</v>
      </c>
      <c r="U21" s="72">
        <f>MAX(bdGraficoDoenças!$D21:$S21)</f>
        <v>26.740000000000002</v>
      </c>
      <c r="V21" s="72">
        <f>AVERAGE(bdGraficoDoenças!$D21:$S21)</f>
        <v>24.490000000000006</v>
      </c>
      <c r="W21" s="72">
        <f>+bdGraficoDoenças!$U21-bdGraficoDoenças!$T21</f>
        <v>6.9999999999999964</v>
      </c>
      <c r="X21" s="73">
        <v>0</v>
      </c>
      <c r="Y21" s="73">
        <v>3.2700000000000005</v>
      </c>
      <c r="Z21" s="73">
        <v>1.3499999999999999</v>
      </c>
      <c r="AA21" s="73">
        <v>0</v>
      </c>
      <c r="AB21" s="73">
        <v>3.1200000000000006</v>
      </c>
      <c r="AC21" s="76">
        <f>INDEX(Tabela1[[#This Row],[AM ]:[SP ]],1,$AC$5)-Tabela1[[#This Row],[COFINS]]-Tabela1[[#This Row],[FOLHA]]-Tabela1[[#This Row],[OUTROS]]-Tabela1[[#This Row],[PIS]]-Tabela1[[#This Row],[LUCRO]]</f>
        <v>18</v>
      </c>
    </row>
    <row r="22" spans="3:29" x14ac:dyDescent="0.25">
      <c r="C22" s="22" t="s">
        <v>111</v>
      </c>
      <c r="D22" s="73">
        <v>34.340000000000003</v>
      </c>
      <c r="E22" s="73">
        <v>34.340000000000003</v>
      </c>
      <c r="F22" s="73">
        <v>34.340000000000003</v>
      </c>
      <c r="G22" s="73">
        <v>34.340000000000003</v>
      </c>
      <c r="H22" s="73">
        <v>34.340000000000003</v>
      </c>
      <c r="I22" s="73">
        <v>34.340000000000003</v>
      </c>
      <c r="J22" s="73">
        <v>34.74</v>
      </c>
      <c r="K22" s="73">
        <v>34.340000000000003</v>
      </c>
      <c r="L22" s="73">
        <v>34.340000000000003</v>
      </c>
      <c r="M22" s="73">
        <v>34.340000000000003</v>
      </c>
      <c r="N22" s="73">
        <v>34.340000000000003</v>
      </c>
      <c r="O22" s="73">
        <v>29.340000000000003</v>
      </c>
      <c r="P22" s="73">
        <v>36.340000000000003</v>
      </c>
      <c r="Q22" s="73">
        <v>34.340000000000003</v>
      </c>
      <c r="R22" s="73">
        <v>34.340000000000003</v>
      </c>
      <c r="S22" s="73">
        <v>35.340000000000003</v>
      </c>
      <c r="T22" s="72">
        <f>MIN(bdGraficoDoenças!$D22:$S22)</f>
        <v>29.340000000000003</v>
      </c>
      <c r="U22" s="72">
        <f>MAX(bdGraficoDoenças!$D22:$S22)</f>
        <v>36.340000000000003</v>
      </c>
      <c r="V22" s="72">
        <f>AVERAGE(bdGraficoDoenças!$D22:$S22)</f>
        <v>34.240000000000016</v>
      </c>
      <c r="W22" s="72">
        <f>+bdGraficoDoenças!$U22-bdGraficoDoenças!$T22</f>
        <v>7</v>
      </c>
      <c r="X22" s="73">
        <v>7.92</v>
      </c>
      <c r="Y22" s="73">
        <v>3.2700000000000005</v>
      </c>
      <c r="Z22" s="73">
        <v>1.3499999999999999</v>
      </c>
      <c r="AA22" s="73">
        <v>1.6800000000000002</v>
      </c>
      <c r="AB22" s="73">
        <v>3.1200000000000006</v>
      </c>
      <c r="AC22" s="76">
        <f>INDEX(Tabela1[[#This Row],[AM ]:[SP ]],1,$AC$5)-Tabela1[[#This Row],[COFINS]]-Tabela1[[#This Row],[FOLHA]]-Tabela1[[#This Row],[OUTROS]]-Tabela1[[#This Row],[PIS]]-Tabela1[[#This Row],[LUCRO]]</f>
        <v>18</v>
      </c>
    </row>
    <row r="23" spans="3:29" x14ac:dyDescent="0.25">
      <c r="C23" s="22" t="s">
        <v>210</v>
      </c>
      <c r="D23" s="73">
        <v>35.540000000000006</v>
      </c>
      <c r="E23" s="73">
        <v>35.540000000000006</v>
      </c>
      <c r="F23" s="73">
        <v>35.540000000000006</v>
      </c>
      <c r="G23" s="73">
        <v>35.540000000000006</v>
      </c>
      <c r="H23" s="73">
        <v>35.540000000000006</v>
      </c>
      <c r="I23" s="73">
        <v>35.540000000000006</v>
      </c>
      <c r="J23" s="73">
        <v>31.740000000000002</v>
      </c>
      <c r="K23" s="73">
        <v>35.540000000000006</v>
      </c>
      <c r="L23" s="73">
        <v>35.540000000000006</v>
      </c>
      <c r="M23" s="73">
        <v>35.540000000000006</v>
      </c>
      <c r="N23" s="73">
        <v>35.540000000000006</v>
      </c>
      <c r="O23" s="73">
        <v>30.540000000000003</v>
      </c>
      <c r="P23" s="73">
        <v>37.540000000000006</v>
      </c>
      <c r="Q23" s="73">
        <v>35.540000000000006</v>
      </c>
      <c r="R23" s="73">
        <v>35.540000000000006</v>
      </c>
      <c r="S23" s="73">
        <v>36.540000000000006</v>
      </c>
      <c r="T23" s="72">
        <f>MIN(bdGraficoDoenças!$D23:$S23)</f>
        <v>30.540000000000003</v>
      </c>
      <c r="U23" s="72">
        <f>MAX(bdGraficoDoenças!$D23:$S23)</f>
        <v>37.540000000000006</v>
      </c>
      <c r="V23" s="72">
        <f>AVERAGE(bdGraficoDoenças!$D23:$S23)</f>
        <v>35.177500000000009</v>
      </c>
      <c r="W23" s="72">
        <f>+bdGraficoDoenças!$U23-bdGraficoDoenças!$T23</f>
        <v>7.0000000000000036</v>
      </c>
      <c r="X23" s="73">
        <v>8.91</v>
      </c>
      <c r="Y23" s="73">
        <v>3.2700000000000005</v>
      </c>
      <c r="Z23" s="73">
        <v>1.3499999999999999</v>
      </c>
      <c r="AA23" s="73">
        <v>1.8900000000000001</v>
      </c>
      <c r="AB23" s="73">
        <v>3.1200000000000006</v>
      </c>
      <c r="AC23" s="76">
        <f>INDEX(Tabela1[[#This Row],[AM ]:[SP ]],1,$AC$5)-Tabela1[[#This Row],[COFINS]]-Tabela1[[#This Row],[FOLHA]]-Tabela1[[#This Row],[OUTROS]]-Tabela1[[#This Row],[PIS]]-Tabela1[[#This Row],[LUCRO]]</f>
        <v>18.000000000000004</v>
      </c>
    </row>
    <row r="24" spans="3:29" x14ac:dyDescent="0.25">
      <c r="C24" s="22" t="s">
        <v>548</v>
      </c>
      <c r="D24" s="73">
        <v>35.025714285714294</v>
      </c>
      <c r="E24" s="73">
        <v>35.025714285714294</v>
      </c>
      <c r="F24" s="73">
        <v>35.025714285714294</v>
      </c>
      <c r="G24" s="73">
        <v>35.025714285714294</v>
      </c>
      <c r="H24" s="73">
        <v>35.025714285714294</v>
      </c>
      <c r="I24" s="73">
        <v>35.025714285714294</v>
      </c>
      <c r="J24" s="73">
        <v>35.168571428571433</v>
      </c>
      <c r="K24" s="73">
        <v>35.025714285714294</v>
      </c>
      <c r="L24" s="73">
        <v>35.025714285714294</v>
      </c>
      <c r="M24" s="73">
        <v>35.025714285714294</v>
      </c>
      <c r="N24" s="73">
        <v>35.025714285714294</v>
      </c>
      <c r="O24" s="73">
        <v>30.02571428571429</v>
      </c>
      <c r="P24" s="73">
        <v>37.025714285714287</v>
      </c>
      <c r="Q24" s="73">
        <v>35.025714285714294</v>
      </c>
      <c r="R24" s="73">
        <v>35.025714285714294</v>
      </c>
      <c r="S24" s="73">
        <v>36.025714285714294</v>
      </c>
      <c r="T24" s="72">
        <f>MIN(bdGraficoDoenças!$D24:$S24)</f>
        <v>30.02571428571429</v>
      </c>
      <c r="U24" s="72">
        <f>MAX(bdGraficoDoenças!$D24:$S24)</f>
        <v>37.025714285714287</v>
      </c>
      <c r="V24" s="72">
        <f>AVERAGE(bdGraficoDoenças!$D24:$S24)</f>
        <v>34.909642857142863</v>
      </c>
      <c r="W24" s="72">
        <f>+bdGraficoDoenças!$U24-bdGraficoDoenças!$T24</f>
        <v>6.9999999999999964</v>
      </c>
      <c r="X24" s="73">
        <v>8.4857142857142858</v>
      </c>
      <c r="Y24" s="73">
        <v>3.27</v>
      </c>
      <c r="Z24" s="73">
        <v>1.3499999999999999</v>
      </c>
      <c r="AA24" s="73">
        <v>1.8</v>
      </c>
      <c r="AB24" s="73">
        <v>3.1200000000000006</v>
      </c>
      <c r="AC24" s="76">
        <f>INDEX(Tabela1[[#This Row],[AM ]:[SP ]],1,$AC$5)-Tabela1[[#This Row],[COFINS]]-Tabela1[[#This Row],[FOLHA]]-Tabela1[[#This Row],[OUTROS]]-Tabela1[[#This Row],[PIS]]-Tabela1[[#This Row],[LUCRO]]</f>
        <v>18.000000000000004</v>
      </c>
    </row>
    <row r="25" spans="3:29" x14ac:dyDescent="0.25">
      <c r="C25" s="22" t="s">
        <v>611</v>
      </c>
      <c r="D25" s="73">
        <v>31.940000000000005</v>
      </c>
      <c r="E25" s="73">
        <v>31.940000000000005</v>
      </c>
      <c r="F25" s="73">
        <v>31.940000000000005</v>
      </c>
      <c r="G25" s="73">
        <v>31.940000000000005</v>
      </c>
      <c r="H25" s="73">
        <v>31.940000000000005</v>
      </c>
      <c r="I25" s="73">
        <v>31.940000000000005</v>
      </c>
      <c r="J25" s="73">
        <v>32.340000000000003</v>
      </c>
      <c r="K25" s="73">
        <v>31.940000000000005</v>
      </c>
      <c r="L25" s="73">
        <v>31.940000000000005</v>
      </c>
      <c r="M25" s="73">
        <v>31.940000000000005</v>
      </c>
      <c r="N25" s="73">
        <v>31.940000000000005</v>
      </c>
      <c r="O25" s="73">
        <v>26.940000000000005</v>
      </c>
      <c r="P25" s="73">
        <v>33.940000000000005</v>
      </c>
      <c r="Q25" s="73">
        <v>31.940000000000005</v>
      </c>
      <c r="R25" s="73">
        <v>31.940000000000005</v>
      </c>
      <c r="S25" s="73">
        <v>32.940000000000005</v>
      </c>
      <c r="T25" s="72">
        <f>MIN(bdGraficoDoenças!$D25:$S25)</f>
        <v>26.940000000000005</v>
      </c>
      <c r="U25" s="72">
        <f>MAX(bdGraficoDoenças!$D25:$S25)</f>
        <v>33.940000000000005</v>
      </c>
      <c r="V25" s="72">
        <f>AVERAGE(bdGraficoDoenças!$D25:$S25)</f>
        <v>31.84</v>
      </c>
      <c r="W25" s="72">
        <f>+bdGraficoDoenças!$U25-bdGraficoDoenças!$T25</f>
        <v>7</v>
      </c>
      <c r="X25" s="73">
        <v>5.9399999999999995</v>
      </c>
      <c r="Y25" s="73">
        <v>3.2700000000000005</v>
      </c>
      <c r="Z25" s="73">
        <v>1.3499999999999999</v>
      </c>
      <c r="AA25" s="73">
        <v>1.26</v>
      </c>
      <c r="AB25" s="73">
        <v>3.1200000000000006</v>
      </c>
      <c r="AC25" s="76">
        <f>INDEX(Tabela1[[#This Row],[AM ]:[SP ]],1,$AC$5)-Tabela1[[#This Row],[COFINS]]-Tabela1[[#This Row],[FOLHA]]-Tabela1[[#This Row],[OUTROS]]-Tabela1[[#This Row],[PIS]]-Tabela1[[#This Row],[LUCRO]]</f>
        <v>18.000000000000004</v>
      </c>
    </row>
    <row r="26" spans="3:29" x14ac:dyDescent="0.25">
      <c r="C26" s="22" t="s">
        <v>40</v>
      </c>
      <c r="D26" s="73">
        <v>35.540000000000006</v>
      </c>
      <c r="E26" s="73">
        <v>35.540000000000006</v>
      </c>
      <c r="F26" s="73">
        <v>35.540000000000006</v>
      </c>
      <c r="G26" s="73">
        <v>35.540000000000006</v>
      </c>
      <c r="H26" s="73">
        <v>35.540000000000006</v>
      </c>
      <c r="I26" s="73">
        <v>35.540000000000006</v>
      </c>
      <c r="J26" s="73">
        <v>35.940000000000005</v>
      </c>
      <c r="K26" s="73">
        <v>35.540000000000006</v>
      </c>
      <c r="L26" s="73">
        <v>35.540000000000006</v>
      </c>
      <c r="M26" s="73">
        <v>35.540000000000006</v>
      </c>
      <c r="N26" s="73">
        <v>35.540000000000006</v>
      </c>
      <c r="O26" s="73">
        <v>30.540000000000003</v>
      </c>
      <c r="P26" s="73">
        <v>37.540000000000006</v>
      </c>
      <c r="Q26" s="73">
        <v>35.540000000000006</v>
      </c>
      <c r="R26" s="73">
        <v>35.540000000000006</v>
      </c>
      <c r="S26" s="73">
        <v>36.540000000000006</v>
      </c>
      <c r="T26" s="72">
        <f>MIN(bdGraficoDoenças!$D26:$S26)</f>
        <v>30.540000000000003</v>
      </c>
      <c r="U26" s="72">
        <f>MAX(bdGraficoDoenças!$D26:$S26)</f>
        <v>37.540000000000006</v>
      </c>
      <c r="V26" s="72">
        <f>AVERAGE(bdGraficoDoenças!$D26:$S26)</f>
        <v>35.440000000000012</v>
      </c>
      <c r="W26" s="72">
        <f>+bdGraficoDoenças!$U26-bdGraficoDoenças!$T26</f>
        <v>7.0000000000000036</v>
      </c>
      <c r="X26" s="73">
        <v>8.91</v>
      </c>
      <c r="Y26" s="73">
        <v>3.2700000000000005</v>
      </c>
      <c r="Z26" s="73">
        <v>1.3499999999999999</v>
      </c>
      <c r="AA26" s="73">
        <v>1.8900000000000001</v>
      </c>
      <c r="AB26" s="73">
        <v>3.1200000000000006</v>
      </c>
      <c r="AC26" s="76">
        <f>INDEX(Tabela1[[#This Row],[AM ]:[SP ]],1,$AC$5)-Tabela1[[#This Row],[COFINS]]-Tabela1[[#This Row],[FOLHA]]-Tabela1[[#This Row],[OUTROS]]-Tabela1[[#This Row],[PIS]]-Tabela1[[#This Row],[LUCRO]]</f>
        <v>18.000000000000004</v>
      </c>
    </row>
    <row r="27" spans="3:29" x14ac:dyDescent="0.25">
      <c r="C27" s="22" t="s">
        <v>333</v>
      </c>
      <c r="D27" s="73">
        <v>34.340000000000003</v>
      </c>
      <c r="E27" s="73">
        <v>34.340000000000003</v>
      </c>
      <c r="F27" s="73">
        <v>34.340000000000003</v>
      </c>
      <c r="G27" s="73">
        <v>34.340000000000003</v>
      </c>
      <c r="H27" s="73">
        <v>34.340000000000003</v>
      </c>
      <c r="I27" s="73">
        <v>34.340000000000003</v>
      </c>
      <c r="J27" s="73">
        <v>34.74</v>
      </c>
      <c r="K27" s="73">
        <v>34.340000000000003</v>
      </c>
      <c r="L27" s="73">
        <v>34.340000000000003</v>
      </c>
      <c r="M27" s="73">
        <v>34.340000000000003</v>
      </c>
      <c r="N27" s="73">
        <v>34.340000000000003</v>
      </c>
      <c r="O27" s="73">
        <v>29.340000000000003</v>
      </c>
      <c r="P27" s="73">
        <v>36.340000000000003</v>
      </c>
      <c r="Q27" s="73">
        <v>34.340000000000003</v>
      </c>
      <c r="R27" s="73">
        <v>34.340000000000003</v>
      </c>
      <c r="S27" s="73">
        <v>35.340000000000003</v>
      </c>
      <c r="T27" s="72">
        <f>MIN(bdGraficoDoenças!$D27:$S27)</f>
        <v>29.340000000000003</v>
      </c>
      <c r="U27" s="72">
        <f>MAX(bdGraficoDoenças!$D27:$S27)</f>
        <v>36.340000000000003</v>
      </c>
      <c r="V27" s="72">
        <f>AVERAGE(bdGraficoDoenças!$D27:$S27)</f>
        <v>34.240000000000016</v>
      </c>
      <c r="W27" s="72">
        <f>+bdGraficoDoenças!$U27-bdGraficoDoenças!$T27</f>
        <v>7</v>
      </c>
      <c r="X27" s="73">
        <v>7.92</v>
      </c>
      <c r="Y27" s="73">
        <v>3.2700000000000005</v>
      </c>
      <c r="Z27" s="73">
        <v>1.3499999999999999</v>
      </c>
      <c r="AA27" s="73">
        <v>1.6800000000000002</v>
      </c>
      <c r="AB27" s="73">
        <v>3.1200000000000006</v>
      </c>
      <c r="AC27" s="76">
        <f>INDEX(Tabela1[[#This Row],[AM ]:[SP ]],1,$AC$5)-Tabela1[[#This Row],[COFINS]]-Tabela1[[#This Row],[FOLHA]]-Tabela1[[#This Row],[OUTROS]]-Tabela1[[#This Row],[PIS]]-Tabela1[[#This Row],[LUCRO]]</f>
        <v>18</v>
      </c>
    </row>
    <row r="28" spans="3:29" x14ac:dyDescent="0.25">
      <c r="C28" s="22" t="s">
        <v>460</v>
      </c>
      <c r="D28" s="73">
        <v>31.940000000000005</v>
      </c>
      <c r="E28" s="73">
        <v>31.940000000000005</v>
      </c>
      <c r="F28" s="73">
        <v>31.940000000000005</v>
      </c>
      <c r="G28" s="73">
        <v>31.940000000000005</v>
      </c>
      <c r="H28" s="73">
        <v>31.940000000000005</v>
      </c>
      <c r="I28" s="73">
        <v>31.940000000000005</v>
      </c>
      <c r="J28" s="73">
        <v>31.740000000000002</v>
      </c>
      <c r="K28" s="73">
        <v>31.940000000000005</v>
      </c>
      <c r="L28" s="73">
        <v>31.940000000000005</v>
      </c>
      <c r="M28" s="73">
        <v>31.940000000000005</v>
      </c>
      <c r="N28" s="73">
        <v>31.940000000000005</v>
      </c>
      <c r="O28" s="73">
        <v>26.940000000000005</v>
      </c>
      <c r="P28" s="73">
        <v>33.940000000000005</v>
      </c>
      <c r="Q28" s="73">
        <v>31.940000000000005</v>
      </c>
      <c r="R28" s="73">
        <v>31.940000000000005</v>
      </c>
      <c r="S28" s="73">
        <v>32.940000000000005</v>
      </c>
      <c r="T28" s="72">
        <f>MIN(bdGraficoDoenças!$D28:$S28)</f>
        <v>26.940000000000005</v>
      </c>
      <c r="U28" s="72">
        <f>MAX(bdGraficoDoenças!$D28:$S28)</f>
        <v>33.940000000000005</v>
      </c>
      <c r="V28" s="72">
        <f>AVERAGE(bdGraficoDoenças!$D28:$S28)</f>
        <v>31.802500000000002</v>
      </c>
      <c r="W28" s="72">
        <f>+bdGraficoDoenças!$U28-bdGraficoDoenças!$T28</f>
        <v>7</v>
      </c>
      <c r="X28" s="73">
        <v>5.9399999999999995</v>
      </c>
      <c r="Y28" s="73">
        <v>3.2700000000000005</v>
      </c>
      <c r="Z28" s="73">
        <v>1.3499999999999999</v>
      </c>
      <c r="AA28" s="73">
        <v>1.26</v>
      </c>
      <c r="AB28" s="73">
        <v>3.1200000000000006</v>
      </c>
      <c r="AC28" s="76">
        <f>INDEX(Tabela1[[#This Row],[AM ]:[SP ]],1,$AC$5)-Tabela1[[#This Row],[COFINS]]-Tabela1[[#This Row],[FOLHA]]-Tabela1[[#This Row],[OUTROS]]-Tabela1[[#This Row],[PIS]]-Tabela1[[#This Row],[LUCRO]]</f>
        <v>18.000000000000004</v>
      </c>
    </row>
    <row r="29" spans="3:29" x14ac:dyDescent="0.25">
      <c r="C29" s="22" t="s">
        <v>472</v>
      </c>
      <c r="D29" s="73">
        <v>29.540000000000003</v>
      </c>
      <c r="E29" s="73">
        <v>29.540000000000003</v>
      </c>
      <c r="F29" s="73">
        <v>29.540000000000003</v>
      </c>
      <c r="G29" s="73">
        <v>29.540000000000003</v>
      </c>
      <c r="H29" s="73">
        <v>29.540000000000003</v>
      </c>
      <c r="I29" s="73">
        <v>29.540000000000003</v>
      </c>
      <c r="J29" s="73">
        <v>30.540000000000003</v>
      </c>
      <c r="K29" s="73">
        <v>29.540000000000003</v>
      </c>
      <c r="L29" s="73">
        <v>29.540000000000003</v>
      </c>
      <c r="M29" s="73">
        <v>29.540000000000003</v>
      </c>
      <c r="N29" s="73">
        <v>29.540000000000003</v>
      </c>
      <c r="O29" s="73">
        <v>24.540000000000006</v>
      </c>
      <c r="P29" s="73">
        <v>31.540000000000003</v>
      </c>
      <c r="Q29" s="73">
        <v>29.540000000000003</v>
      </c>
      <c r="R29" s="73">
        <v>29.540000000000003</v>
      </c>
      <c r="S29" s="73">
        <v>30.540000000000003</v>
      </c>
      <c r="T29" s="72">
        <f>MIN(bdGraficoDoenças!$D29:$S29)</f>
        <v>24.540000000000006</v>
      </c>
      <c r="U29" s="72">
        <f>MAX(bdGraficoDoenças!$D29:$S29)</f>
        <v>31.540000000000003</v>
      </c>
      <c r="V29" s="72">
        <f>AVERAGE(bdGraficoDoenças!$D29:$S29)</f>
        <v>29.47750000000001</v>
      </c>
      <c r="W29" s="72">
        <f>+bdGraficoDoenças!$U29-bdGraficoDoenças!$T29</f>
        <v>6.9999999999999964</v>
      </c>
      <c r="X29" s="73">
        <v>3.96</v>
      </c>
      <c r="Y29" s="73">
        <v>3.2700000000000005</v>
      </c>
      <c r="Z29" s="73">
        <v>1.3499999999999999</v>
      </c>
      <c r="AA29" s="73">
        <v>0.84000000000000008</v>
      </c>
      <c r="AB29" s="73">
        <v>3.1200000000000006</v>
      </c>
      <c r="AC29" s="76">
        <f>INDEX(Tabela1[[#This Row],[AM ]:[SP ]],1,$AC$5)-Tabela1[[#This Row],[COFINS]]-Tabela1[[#This Row],[FOLHA]]-Tabela1[[#This Row],[OUTROS]]-Tabela1[[#This Row],[PIS]]-Tabela1[[#This Row],[LUCRO]]</f>
        <v>18</v>
      </c>
    </row>
    <row r="30" spans="3:29" x14ac:dyDescent="0.25">
      <c r="C30" s="22" t="s">
        <v>171</v>
      </c>
      <c r="D30" s="73">
        <v>36.74</v>
      </c>
      <c r="E30" s="73">
        <v>36.74</v>
      </c>
      <c r="F30" s="73">
        <v>36.74</v>
      </c>
      <c r="G30" s="73">
        <v>36.74</v>
      </c>
      <c r="H30" s="73">
        <v>36.74</v>
      </c>
      <c r="I30" s="73">
        <v>36.74</v>
      </c>
      <c r="J30" s="73">
        <v>37.74</v>
      </c>
      <c r="K30" s="73">
        <v>36.74</v>
      </c>
      <c r="L30" s="73">
        <v>36.74</v>
      </c>
      <c r="M30" s="73">
        <v>36.74</v>
      </c>
      <c r="N30" s="73">
        <v>36.74</v>
      </c>
      <c r="O30" s="73">
        <v>31.740000000000002</v>
      </c>
      <c r="P30" s="73">
        <v>38.74</v>
      </c>
      <c r="Q30" s="73">
        <v>36.74</v>
      </c>
      <c r="R30" s="73">
        <v>36.74</v>
      </c>
      <c r="S30" s="73">
        <v>37.74</v>
      </c>
      <c r="T30" s="72">
        <f>MIN(bdGraficoDoenças!$D30:$S30)</f>
        <v>31.740000000000002</v>
      </c>
      <c r="U30" s="72">
        <f>MAX(bdGraficoDoenças!$D30:$S30)</f>
        <v>38.74</v>
      </c>
      <c r="V30" s="72">
        <f>AVERAGE(bdGraficoDoenças!$D30:$S30)</f>
        <v>36.677500000000002</v>
      </c>
      <c r="W30" s="72">
        <f>+bdGraficoDoenças!$U30-bdGraficoDoenças!$T30</f>
        <v>7</v>
      </c>
      <c r="X30" s="73">
        <v>9.9</v>
      </c>
      <c r="Y30" s="73">
        <v>3.27</v>
      </c>
      <c r="Z30" s="73">
        <v>1.3499999999999999</v>
      </c>
      <c r="AA30" s="73">
        <v>2.1</v>
      </c>
      <c r="AB30" s="73">
        <v>3.1200000000000006</v>
      </c>
      <c r="AC30" s="76">
        <f>INDEX(Tabela1[[#This Row],[AM ]:[SP ]],1,$AC$5)-Tabela1[[#This Row],[COFINS]]-Tabela1[[#This Row],[FOLHA]]-Tabela1[[#This Row],[OUTROS]]-Tabela1[[#This Row],[PIS]]-Tabela1[[#This Row],[LUCRO]]</f>
        <v>18</v>
      </c>
    </row>
    <row r="31" spans="3:29" x14ac:dyDescent="0.25">
      <c r="C31" s="22" t="s">
        <v>554</v>
      </c>
      <c r="D31" s="73">
        <v>32.74</v>
      </c>
      <c r="E31" s="73">
        <v>32.74</v>
      </c>
      <c r="F31" s="73">
        <v>32.74</v>
      </c>
      <c r="G31" s="73">
        <v>32.74</v>
      </c>
      <c r="H31" s="73">
        <v>32.74</v>
      </c>
      <c r="I31" s="73">
        <v>32.74</v>
      </c>
      <c r="J31" s="73">
        <v>33.74</v>
      </c>
      <c r="K31" s="73">
        <v>32.74</v>
      </c>
      <c r="L31" s="73">
        <v>32.74</v>
      </c>
      <c r="M31" s="73">
        <v>32.74</v>
      </c>
      <c r="N31" s="73">
        <v>32.74</v>
      </c>
      <c r="O31" s="73">
        <v>27.740000000000006</v>
      </c>
      <c r="P31" s="73">
        <v>34.74</v>
      </c>
      <c r="Q31" s="73">
        <v>32.74</v>
      </c>
      <c r="R31" s="73">
        <v>32.74</v>
      </c>
      <c r="S31" s="73">
        <v>33.74</v>
      </c>
      <c r="T31" s="72">
        <f>MIN(bdGraficoDoenças!$D31:$S31)</f>
        <v>27.740000000000006</v>
      </c>
      <c r="U31" s="72">
        <f>MAX(bdGraficoDoenças!$D31:$S31)</f>
        <v>34.74</v>
      </c>
      <c r="V31" s="72">
        <f>AVERAGE(bdGraficoDoenças!$D31:$S31)</f>
        <v>32.677500000000002</v>
      </c>
      <c r="W31" s="72">
        <f>+bdGraficoDoenças!$U31-bdGraficoDoenças!$T31</f>
        <v>6.9999999999999964</v>
      </c>
      <c r="X31" s="73">
        <v>6.6</v>
      </c>
      <c r="Y31" s="73">
        <v>3.27</v>
      </c>
      <c r="Z31" s="73">
        <v>1.3499999999999999</v>
      </c>
      <c r="AA31" s="73">
        <v>1.4</v>
      </c>
      <c r="AB31" s="73">
        <v>3.1200000000000006</v>
      </c>
      <c r="AC31" s="76">
        <f>INDEX(Tabela1[[#This Row],[AM ]:[SP ]],1,$AC$5)-Tabela1[[#This Row],[COFINS]]-Tabela1[[#This Row],[FOLHA]]-Tabela1[[#This Row],[OUTROS]]-Tabela1[[#This Row],[PIS]]-Tabela1[[#This Row],[LUCRO]]</f>
        <v>18</v>
      </c>
    </row>
    <row r="32" spans="3:29" x14ac:dyDescent="0.25">
      <c r="C32" s="22" t="s">
        <v>5</v>
      </c>
      <c r="D32" s="73">
        <v>35.540000000000006</v>
      </c>
      <c r="E32" s="73">
        <v>35.540000000000006</v>
      </c>
      <c r="F32" s="73">
        <v>35.540000000000006</v>
      </c>
      <c r="G32" s="73">
        <v>35.540000000000006</v>
      </c>
      <c r="H32" s="73">
        <v>35.540000000000006</v>
      </c>
      <c r="I32" s="73">
        <v>35.540000000000006</v>
      </c>
      <c r="J32" s="73">
        <v>34.74</v>
      </c>
      <c r="K32" s="73">
        <v>35.540000000000006</v>
      </c>
      <c r="L32" s="73">
        <v>35.540000000000006</v>
      </c>
      <c r="M32" s="73">
        <v>35.540000000000006</v>
      </c>
      <c r="N32" s="73">
        <v>35.540000000000006</v>
      </c>
      <c r="O32" s="73">
        <v>30.540000000000003</v>
      </c>
      <c r="P32" s="73">
        <v>37.540000000000006</v>
      </c>
      <c r="Q32" s="73">
        <v>35.540000000000006</v>
      </c>
      <c r="R32" s="73">
        <v>35.540000000000006</v>
      </c>
      <c r="S32" s="73">
        <v>36.540000000000006</v>
      </c>
      <c r="T32" s="72">
        <f>MIN(bdGraficoDoenças!$D32:$S32)</f>
        <v>30.540000000000003</v>
      </c>
      <c r="U32" s="72">
        <f>MAX(bdGraficoDoenças!$D32:$S32)</f>
        <v>37.540000000000006</v>
      </c>
      <c r="V32" s="72">
        <f>AVERAGE(bdGraficoDoenças!$D32:$S32)</f>
        <v>35.365000000000009</v>
      </c>
      <c r="W32" s="72">
        <f>+bdGraficoDoenças!$U32-bdGraficoDoenças!$T32</f>
        <v>7.0000000000000036</v>
      </c>
      <c r="X32" s="73">
        <v>8.91</v>
      </c>
      <c r="Y32" s="73">
        <v>3.2700000000000005</v>
      </c>
      <c r="Z32" s="73">
        <v>1.3499999999999999</v>
      </c>
      <c r="AA32" s="73">
        <v>1.8900000000000001</v>
      </c>
      <c r="AB32" s="73">
        <v>3.1200000000000006</v>
      </c>
      <c r="AC32" s="76">
        <f>INDEX(Tabela1[[#This Row],[AM ]:[SP ]],1,$AC$5)-Tabela1[[#This Row],[COFINS]]-Tabela1[[#This Row],[FOLHA]]-Tabela1[[#This Row],[OUTROS]]-Tabela1[[#This Row],[PIS]]-Tabela1[[#This Row],[LUCRO]]</f>
        <v>18.000000000000004</v>
      </c>
    </row>
    <row r="33" spans="3:29" x14ac:dyDescent="0.25">
      <c r="C33" s="22" t="s">
        <v>61</v>
      </c>
      <c r="D33" s="73">
        <v>28.340000000000003</v>
      </c>
      <c r="E33" s="73">
        <v>28.340000000000003</v>
      </c>
      <c r="F33" s="73">
        <v>28.340000000000003</v>
      </c>
      <c r="G33" s="73">
        <v>28.340000000000003</v>
      </c>
      <c r="H33" s="73">
        <v>28.340000000000003</v>
      </c>
      <c r="I33" s="73">
        <v>28.340000000000003</v>
      </c>
      <c r="J33" s="73">
        <v>26.940000000000005</v>
      </c>
      <c r="K33" s="73">
        <v>28.340000000000003</v>
      </c>
      <c r="L33" s="73">
        <v>28.340000000000003</v>
      </c>
      <c r="M33" s="73">
        <v>28.340000000000003</v>
      </c>
      <c r="N33" s="73">
        <v>28.340000000000003</v>
      </c>
      <c r="O33" s="73">
        <v>23.340000000000007</v>
      </c>
      <c r="P33" s="73">
        <v>30.340000000000003</v>
      </c>
      <c r="Q33" s="73">
        <v>28.340000000000003</v>
      </c>
      <c r="R33" s="73">
        <v>28.340000000000003</v>
      </c>
      <c r="S33" s="73">
        <v>29.340000000000003</v>
      </c>
      <c r="T33" s="72">
        <f>MIN(bdGraficoDoenças!$D33:$S33)</f>
        <v>23.340000000000007</v>
      </c>
      <c r="U33" s="72">
        <f>MAX(bdGraficoDoenças!$D33:$S33)</f>
        <v>30.340000000000003</v>
      </c>
      <c r="V33" s="72">
        <f>AVERAGE(bdGraficoDoenças!$D33:$S33)</f>
        <v>28.127500000000012</v>
      </c>
      <c r="W33" s="72">
        <f>+bdGraficoDoenças!$U33-bdGraficoDoenças!$T33</f>
        <v>6.9999999999999964</v>
      </c>
      <c r="X33" s="73">
        <v>2.97</v>
      </c>
      <c r="Y33" s="73">
        <v>3.2700000000000005</v>
      </c>
      <c r="Z33" s="73">
        <v>1.3499999999999999</v>
      </c>
      <c r="AA33" s="73">
        <v>0.63000000000000012</v>
      </c>
      <c r="AB33" s="73">
        <v>3.1200000000000006</v>
      </c>
      <c r="AC33" s="76">
        <f>INDEX(Tabela1[[#This Row],[AM ]:[SP ]],1,$AC$5)-Tabela1[[#This Row],[COFINS]]-Tabela1[[#This Row],[FOLHA]]-Tabela1[[#This Row],[OUTROS]]-Tabela1[[#This Row],[PIS]]-Tabela1[[#This Row],[LUCRO]]</f>
        <v>18.000000000000004</v>
      </c>
    </row>
    <row r="34" spans="3:29" x14ac:dyDescent="0.25">
      <c r="C34" s="22" t="s">
        <v>471</v>
      </c>
      <c r="D34" s="73">
        <v>25.940000000000005</v>
      </c>
      <c r="E34" s="73">
        <v>25.940000000000005</v>
      </c>
      <c r="F34" s="73">
        <v>25.940000000000005</v>
      </c>
      <c r="G34" s="73">
        <v>25.940000000000005</v>
      </c>
      <c r="H34" s="73">
        <v>25.940000000000005</v>
      </c>
      <c r="I34" s="73">
        <v>25.940000000000005</v>
      </c>
      <c r="J34" s="73">
        <v>23.940000000000005</v>
      </c>
      <c r="K34" s="73">
        <v>25.940000000000005</v>
      </c>
      <c r="L34" s="73">
        <v>25.940000000000005</v>
      </c>
      <c r="M34" s="73">
        <v>25.940000000000005</v>
      </c>
      <c r="N34" s="73">
        <v>25.940000000000005</v>
      </c>
      <c r="O34" s="73">
        <v>20.940000000000005</v>
      </c>
      <c r="P34" s="73">
        <v>27.940000000000005</v>
      </c>
      <c r="Q34" s="73">
        <v>25.940000000000005</v>
      </c>
      <c r="R34" s="73">
        <v>25.940000000000005</v>
      </c>
      <c r="S34" s="73">
        <v>26.940000000000005</v>
      </c>
      <c r="T34" s="72">
        <f>MIN(bdGraficoDoenças!$D34:$S34)</f>
        <v>20.940000000000005</v>
      </c>
      <c r="U34" s="72">
        <f>MAX(bdGraficoDoenças!$D34:$S34)</f>
        <v>27.940000000000005</v>
      </c>
      <c r="V34" s="72">
        <f>AVERAGE(bdGraficoDoenças!$D34:$S34)</f>
        <v>25.69</v>
      </c>
      <c r="W34" s="72">
        <f>+bdGraficoDoenças!$U34-bdGraficoDoenças!$T34</f>
        <v>7</v>
      </c>
      <c r="X34" s="73">
        <v>0.99</v>
      </c>
      <c r="Y34" s="73">
        <v>3.2700000000000005</v>
      </c>
      <c r="Z34" s="73">
        <v>1.3499999999999999</v>
      </c>
      <c r="AA34" s="73">
        <v>0.21000000000000002</v>
      </c>
      <c r="AB34" s="73">
        <v>3.1200000000000006</v>
      </c>
      <c r="AC34" s="76">
        <f>INDEX(Tabela1[[#This Row],[AM ]:[SP ]],1,$AC$5)-Tabela1[[#This Row],[COFINS]]-Tabela1[[#This Row],[FOLHA]]-Tabela1[[#This Row],[OUTROS]]-Tabela1[[#This Row],[PIS]]-Tabela1[[#This Row],[LUCRO]]</f>
        <v>18.000000000000004</v>
      </c>
    </row>
    <row r="35" spans="3:29" x14ac:dyDescent="0.25">
      <c r="C35" s="22" t="s">
        <v>250</v>
      </c>
      <c r="D35" s="73">
        <v>24.740000000000006</v>
      </c>
      <c r="E35" s="73">
        <v>24.740000000000006</v>
      </c>
      <c r="F35" s="73">
        <v>24.740000000000006</v>
      </c>
      <c r="G35" s="73">
        <v>24.740000000000006</v>
      </c>
      <c r="H35" s="73">
        <v>24.740000000000006</v>
      </c>
      <c r="I35" s="73">
        <v>24.740000000000006</v>
      </c>
      <c r="J35" s="73">
        <v>23.340000000000007</v>
      </c>
      <c r="K35" s="73">
        <v>24.740000000000006</v>
      </c>
      <c r="L35" s="73">
        <v>24.740000000000006</v>
      </c>
      <c r="M35" s="73">
        <v>24.740000000000006</v>
      </c>
      <c r="N35" s="73">
        <v>24.740000000000006</v>
      </c>
      <c r="O35" s="73">
        <v>19.740000000000006</v>
      </c>
      <c r="P35" s="73">
        <v>26.740000000000002</v>
      </c>
      <c r="Q35" s="73">
        <v>24.740000000000006</v>
      </c>
      <c r="R35" s="73">
        <v>24.740000000000006</v>
      </c>
      <c r="S35" s="73">
        <v>25.740000000000002</v>
      </c>
      <c r="T35" s="72">
        <f>MIN(bdGraficoDoenças!$D35:$S35)</f>
        <v>19.740000000000006</v>
      </c>
      <c r="U35" s="72">
        <f>MAX(bdGraficoDoenças!$D35:$S35)</f>
        <v>26.740000000000002</v>
      </c>
      <c r="V35" s="72">
        <f>AVERAGE(bdGraficoDoenças!$D35:$S35)</f>
        <v>24.527500000000007</v>
      </c>
      <c r="W35" s="72">
        <f>+bdGraficoDoenças!$U35-bdGraficoDoenças!$T35</f>
        <v>6.9999999999999964</v>
      </c>
      <c r="X35" s="73">
        <v>0</v>
      </c>
      <c r="Y35" s="73">
        <v>3.2700000000000005</v>
      </c>
      <c r="Z35" s="73">
        <v>1.3499999999999999</v>
      </c>
      <c r="AA35" s="73">
        <v>0</v>
      </c>
      <c r="AB35" s="73">
        <v>3.1200000000000006</v>
      </c>
      <c r="AC35" s="76">
        <f>INDEX(Tabela1[[#This Row],[AM ]:[SP ]],1,$AC$5)-Tabela1[[#This Row],[COFINS]]-Tabela1[[#This Row],[FOLHA]]-Tabela1[[#This Row],[OUTROS]]-Tabela1[[#This Row],[PIS]]-Tabela1[[#This Row],[LUCRO]]</f>
        <v>18</v>
      </c>
    </row>
    <row r="36" spans="3:29" x14ac:dyDescent="0.25">
      <c r="C36" s="22" t="s">
        <v>227</v>
      </c>
      <c r="D36" s="73">
        <v>36.74</v>
      </c>
      <c r="E36" s="73">
        <v>36.74</v>
      </c>
      <c r="F36" s="73">
        <v>36.74</v>
      </c>
      <c r="G36" s="73">
        <v>36.74</v>
      </c>
      <c r="H36" s="73">
        <v>36.74</v>
      </c>
      <c r="I36" s="73">
        <v>36.74</v>
      </c>
      <c r="J36" s="73">
        <v>37.74</v>
      </c>
      <c r="K36" s="73">
        <v>36.74</v>
      </c>
      <c r="L36" s="73">
        <v>36.74</v>
      </c>
      <c r="M36" s="73">
        <v>36.74</v>
      </c>
      <c r="N36" s="73">
        <v>36.74</v>
      </c>
      <c r="O36" s="73">
        <v>31.740000000000002</v>
      </c>
      <c r="P36" s="73">
        <v>38.74</v>
      </c>
      <c r="Q36" s="73">
        <v>36.74</v>
      </c>
      <c r="R36" s="73">
        <v>36.74</v>
      </c>
      <c r="S36" s="73">
        <v>37.74</v>
      </c>
      <c r="T36" s="72">
        <f>MIN(bdGraficoDoenças!$D36:$S36)</f>
        <v>31.740000000000002</v>
      </c>
      <c r="U36" s="72">
        <f>MAX(bdGraficoDoenças!$D36:$S36)</f>
        <v>38.74</v>
      </c>
      <c r="V36" s="72">
        <f>AVERAGE(bdGraficoDoenças!$D36:$S36)</f>
        <v>36.677500000000002</v>
      </c>
      <c r="W36" s="72">
        <f>+bdGraficoDoenças!$U36-bdGraficoDoenças!$T36</f>
        <v>7</v>
      </c>
      <c r="X36" s="73">
        <v>9.9000000000000021</v>
      </c>
      <c r="Y36" s="73">
        <v>3.2700000000000005</v>
      </c>
      <c r="Z36" s="73">
        <v>1.3499999999999999</v>
      </c>
      <c r="AA36" s="73">
        <v>2.1000000000000005</v>
      </c>
      <c r="AB36" s="73">
        <v>3.1200000000000006</v>
      </c>
      <c r="AC36" s="76">
        <f>INDEX(Tabela1[[#This Row],[AM ]:[SP ]],1,$AC$5)-Tabela1[[#This Row],[COFINS]]-Tabela1[[#This Row],[FOLHA]]-Tabela1[[#This Row],[OUTROS]]-Tabela1[[#This Row],[PIS]]-Tabela1[[#This Row],[LUCRO]]</f>
        <v>17.999999999999996</v>
      </c>
    </row>
    <row r="37" spans="3:29" x14ac:dyDescent="0.25">
      <c r="C37" s="22" t="s">
        <v>441</v>
      </c>
      <c r="D37" s="73">
        <v>36.74</v>
      </c>
      <c r="E37" s="73">
        <v>36.74</v>
      </c>
      <c r="F37" s="73">
        <v>36.74</v>
      </c>
      <c r="G37" s="73">
        <v>36.74</v>
      </c>
      <c r="H37" s="73">
        <v>36.74</v>
      </c>
      <c r="I37" s="73">
        <v>36.74</v>
      </c>
      <c r="J37" s="73">
        <v>36.99</v>
      </c>
      <c r="K37" s="73">
        <v>36.74</v>
      </c>
      <c r="L37" s="73">
        <v>36.74</v>
      </c>
      <c r="M37" s="73">
        <v>36.74</v>
      </c>
      <c r="N37" s="73">
        <v>36.74</v>
      </c>
      <c r="O37" s="73">
        <v>31.740000000000006</v>
      </c>
      <c r="P37" s="73">
        <v>38.74</v>
      </c>
      <c r="Q37" s="73">
        <v>36.74</v>
      </c>
      <c r="R37" s="73">
        <v>36.74</v>
      </c>
      <c r="S37" s="73">
        <v>37.74</v>
      </c>
      <c r="T37" s="72">
        <f>MIN(bdGraficoDoenças!$D37:$S37)</f>
        <v>31.740000000000006</v>
      </c>
      <c r="U37" s="72">
        <f>MAX(bdGraficoDoenças!$D37:$S37)</f>
        <v>38.74</v>
      </c>
      <c r="V37" s="72">
        <f>AVERAGE(bdGraficoDoenças!$D37:$S37)</f>
        <v>36.630625000000002</v>
      </c>
      <c r="W37" s="72">
        <f>+bdGraficoDoenças!$U37-bdGraficoDoenças!$T37</f>
        <v>6.9999999999999964</v>
      </c>
      <c r="X37" s="73">
        <v>9.9</v>
      </c>
      <c r="Y37" s="73">
        <v>3.27</v>
      </c>
      <c r="Z37" s="73">
        <v>1.3499999999999999</v>
      </c>
      <c r="AA37" s="73">
        <v>2.1</v>
      </c>
      <c r="AB37" s="73">
        <v>3.1200000000000006</v>
      </c>
      <c r="AC37" s="76">
        <f>INDEX(Tabela1[[#This Row],[AM ]:[SP ]],1,$AC$5)-Tabela1[[#This Row],[COFINS]]-Tabela1[[#This Row],[FOLHA]]-Tabela1[[#This Row],[OUTROS]]-Tabela1[[#This Row],[PIS]]-Tabela1[[#This Row],[LUCRO]]</f>
        <v>18</v>
      </c>
    </row>
    <row r="38" spans="3:29" x14ac:dyDescent="0.25">
      <c r="C38" s="22" t="s">
        <v>323</v>
      </c>
      <c r="D38" s="73">
        <v>24.740000000000006</v>
      </c>
      <c r="E38" s="73">
        <v>24.740000000000006</v>
      </c>
      <c r="F38" s="73">
        <v>24.740000000000006</v>
      </c>
      <c r="G38" s="73">
        <v>24.740000000000006</v>
      </c>
      <c r="H38" s="73">
        <v>24.740000000000006</v>
      </c>
      <c r="I38" s="73">
        <v>24.740000000000006</v>
      </c>
      <c r="J38" s="73">
        <v>20.340000000000007</v>
      </c>
      <c r="K38" s="73">
        <v>24.740000000000006</v>
      </c>
      <c r="L38" s="73">
        <v>24.740000000000006</v>
      </c>
      <c r="M38" s="73">
        <v>24.740000000000006</v>
      </c>
      <c r="N38" s="73">
        <v>24.740000000000006</v>
      </c>
      <c r="O38" s="73">
        <v>19.740000000000006</v>
      </c>
      <c r="P38" s="73">
        <v>26.740000000000002</v>
      </c>
      <c r="Q38" s="73">
        <v>24.740000000000006</v>
      </c>
      <c r="R38" s="73">
        <v>24.740000000000006</v>
      </c>
      <c r="S38" s="73">
        <v>25.740000000000002</v>
      </c>
      <c r="T38" s="72">
        <f>MIN(bdGraficoDoenças!$D38:$S38)</f>
        <v>19.740000000000006</v>
      </c>
      <c r="U38" s="72">
        <f>MAX(bdGraficoDoenças!$D38:$S38)</f>
        <v>26.740000000000002</v>
      </c>
      <c r="V38" s="72">
        <f>AVERAGE(bdGraficoDoenças!$D38:$S38)</f>
        <v>24.340000000000007</v>
      </c>
      <c r="W38" s="72">
        <f>+bdGraficoDoenças!$U38-bdGraficoDoenças!$T38</f>
        <v>6.9999999999999964</v>
      </c>
      <c r="X38" s="73">
        <v>0</v>
      </c>
      <c r="Y38" s="73">
        <v>3.2700000000000005</v>
      </c>
      <c r="Z38" s="73">
        <v>1.3499999999999999</v>
      </c>
      <c r="AA38" s="73">
        <v>0</v>
      </c>
      <c r="AB38" s="73">
        <v>3.1200000000000006</v>
      </c>
      <c r="AC38" s="76">
        <f>INDEX(Tabela1[[#This Row],[AM ]:[SP ]],1,$AC$5)-Tabela1[[#This Row],[COFINS]]-Tabela1[[#This Row],[FOLHA]]-Tabela1[[#This Row],[OUTROS]]-Tabela1[[#This Row],[PIS]]-Tabela1[[#This Row],[LUCRO]]</f>
        <v>18</v>
      </c>
    </row>
    <row r="39" spans="3:29" x14ac:dyDescent="0.25">
      <c r="C39" s="22" t="s">
        <v>203</v>
      </c>
      <c r="D39" s="73">
        <v>29.103636363636369</v>
      </c>
      <c r="E39" s="73">
        <v>29.103636363636369</v>
      </c>
      <c r="F39" s="73">
        <v>29.103636363636369</v>
      </c>
      <c r="G39" s="73">
        <v>29.103636363636369</v>
      </c>
      <c r="H39" s="73">
        <v>29.103636363636369</v>
      </c>
      <c r="I39" s="73">
        <v>29.103636363636369</v>
      </c>
      <c r="J39" s="73">
        <v>27.376363636363639</v>
      </c>
      <c r="K39" s="73">
        <v>29.103636363636369</v>
      </c>
      <c r="L39" s="73">
        <v>29.103636363636369</v>
      </c>
      <c r="M39" s="73">
        <v>29.103636363636369</v>
      </c>
      <c r="N39" s="73">
        <v>29.103636363636369</v>
      </c>
      <c r="O39" s="73">
        <v>24.103636363636369</v>
      </c>
      <c r="P39" s="73">
        <v>31.103636363636369</v>
      </c>
      <c r="Q39" s="73">
        <v>29.103636363636369</v>
      </c>
      <c r="R39" s="73">
        <v>29.103636363636369</v>
      </c>
      <c r="S39" s="73">
        <v>30.103636363636369</v>
      </c>
      <c r="T39" s="72">
        <f>MIN(bdGraficoDoenças!$D39:$S39)</f>
        <v>24.103636363636369</v>
      </c>
      <c r="U39" s="72">
        <f>MAX(bdGraficoDoenças!$D39:$S39)</f>
        <v>31.103636363636369</v>
      </c>
      <c r="V39" s="72">
        <f>AVERAGE(bdGraficoDoenças!$D39:$S39)</f>
        <v>28.870681818181833</v>
      </c>
      <c r="W39" s="72">
        <f>+bdGraficoDoenças!$U39-bdGraficoDoenças!$T39</f>
        <v>7</v>
      </c>
      <c r="X39" s="73">
        <v>3.6</v>
      </c>
      <c r="Y39" s="73">
        <v>3.2700000000000005</v>
      </c>
      <c r="Z39" s="73">
        <v>1.3499999999999999</v>
      </c>
      <c r="AA39" s="73">
        <v>0.76363636363636367</v>
      </c>
      <c r="AB39" s="73">
        <v>3.1200000000000006</v>
      </c>
      <c r="AC39" s="76">
        <f>INDEX(Tabela1[[#This Row],[AM ]:[SP ]],1,$AC$5)-Tabela1[[#This Row],[COFINS]]-Tabela1[[#This Row],[FOLHA]]-Tabela1[[#This Row],[OUTROS]]-Tabela1[[#This Row],[PIS]]-Tabela1[[#This Row],[LUCRO]]</f>
        <v>18.000000000000004</v>
      </c>
    </row>
    <row r="40" spans="3:29" x14ac:dyDescent="0.25">
      <c r="C40" s="22" t="s">
        <v>372</v>
      </c>
      <c r="D40" s="73">
        <v>34.340000000000003</v>
      </c>
      <c r="E40" s="73">
        <v>34.340000000000003</v>
      </c>
      <c r="F40" s="73">
        <v>34.340000000000003</v>
      </c>
      <c r="G40" s="73">
        <v>34.340000000000003</v>
      </c>
      <c r="H40" s="73">
        <v>34.340000000000003</v>
      </c>
      <c r="I40" s="73">
        <v>34.340000000000003</v>
      </c>
      <c r="J40" s="73">
        <v>34.74</v>
      </c>
      <c r="K40" s="73">
        <v>34.340000000000003</v>
      </c>
      <c r="L40" s="73">
        <v>34.340000000000003</v>
      </c>
      <c r="M40" s="73">
        <v>34.340000000000003</v>
      </c>
      <c r="N40" s="73">
        <v>34.340000000000003</v>
      </c>
      <c r="O40" s="73">
        <v>29.340000000000003</v>
      </c>
      <c r="P40" s="73">
        <v>36.340000000000003</v>
      </c>
      <c r="Q40" s="73">
        <v>34.340000000000003</v>
      </c>
      <c r="R40" s="73">
        <v>34.340000000000003</v>
      </c>
      <c r="S40" s="73">
        <v>35.340000000000003</v>
      </c>
      <c r="T40" s="72">
        <f>MIN(bdGraficoDoenças!$D40:$S40)</f>
        <v>29.340000000000003</v>
      </c>
      <c r="U40" s="72">
        <f>MAX(bdGraficoDoenças!$D40:$S40)</f>
        <v>36.340000000000003</v>
      </c>
      <c r="V40" s="72">
        <f>AVERAGE(bdGraficoDoenças!$D40:$S40)</f>
        <v>34.240000000000016</v>
      </c>
      <c r="W40" s="72">
        <f>+bdGraficoDoenças!$U40-bdGraficoDoenças!$T40</f>
        <v>7</v>
      </c>
      <c r="X40" s="73">
        <v>7.92</v>
      </c>
      <c r="Y40" s="73">
        <v>3.2700000000000005</v>
      </c>
      <c r="Z40" s="73">
        <v>1.3499999999999999</v>
      </c>
      <c r="AA40" s="73">
        <v>1.6800000000000002</v>
      </c>
      <c r="AB40" s="73">
        <v>3.1200000000000006</v>
      </c>
      <c r="AC40" s="76">
        <f>INDEX(Tabela1[[#This Row],[AM ]:[SP ]],1,$AC$5)-Tabela1[[#This Row],[COFINS]]-Tabela1[[#This Row],[FOLHA]]-Tabela1[[#This Row],[OUTROS]]-Tabela1[[#This Row],[PIS]]-Tabela1[[#This Row],[LUCRO]]</f>
        <v>18</v>
      </c>
    </row>
    <row r="41" spans="3:29" x14ac:dyDescent="0.25">
      <c r="C41" s="22" t="s">
        <v>383</v>
      </c>
      <c r="D41" s="73">
        <v>36.465000000000003</v>
      </c>
      <c r="E41" s="73">
        <v>36.465000000000003</v>
      </c>
      <c r="F41" s="73">
        <v>36.465000000000003</v>
      </c>
      <c r="G41" s="73">
        <v>36.465000000000003</v>
      </c>
      <c r="H41" s="73">
        <v>36.465000000000003</v>
      </c>
      <c r="I41" s="73">
        <v>36.465000000000003</v>
      </c>
      <c r="J41" s="73">
        <v>35.665000000000006</v>
      </c>
      <c r="K41" s="73">
        <v>36.465000000000003</v>
      </c>
      <c r="L41" s="73">
        <v>36.465000000000003</v>
      </c>
      <c r="M41" s="73">
        <v>36.465000000000003</v>
      </c>
      <c r="N41" s="73">
        <v>36.465000000000003</v>
      </c>
      <c r="O41" s="73">
        <v>31.465000000000003</v>
      </c>
      <c r="P41" s="73">
        <v>38.465000000000003</v>
      </c>
      <c r="Q41" s="73">
        <v>36.465000000000003</v>
      </c>
      <c r="R41" s="73">
        <v>36.465000000000003</v>
      </c>
      <c r="S41" s="73">
        <v>37.465000000000003</v>
      </c>
      <c r="T41" s="72">
        <f>MIN(bdGraficoDoenças!$D41:$S41)</f>
        <v>31.465000000000003</v>
      </c>
      <c r="U41" s="72">
        <f>MAX(bdGraficoDoenças!$D41:$S41)</f>
        <v>38.465000000000003</v>
      </c>
      <c r="V41" s="72">
        <f>AVERAGE(bdGraficoDoenças!$D41:$S41)</f>
        <v>36.29000000000002</v>
      </c>
      <c r="W41" s="72">
        <f>+bdGraficoDoenças!$U41-bdGraficoDoenças!$T41</f>
        <v>7</v>
      </c>
      <c r="X41" s="73">
        <v>9.6700000000000017</v>
      </c>
      <c r="Y41" s="73">
        <v>3.2700000000000005</v>
      </c>
      <c r="Z41" s="73">
        <v>1.3499999999999999</v>
      </c>
      <c r="AA41" s="73">
        <v>2.0550000000000006</v>
      </c>
      <c r="AB41" s="73">
        <v>3.1200000000000006</v>
      </c>
      <c r="AC41" s="76">
        <f>INDEX(Tabela1[[#This Row],[AM ]:[SP ]],1,$AC$5)-Tabela1[[#This Row],[COFINS]]-Tabela1[[#This Row],[FOLHA]]-Tabela1[[#This Row],[OUTROS]]-Tabela1[[#This Row],[PIS]]-Tabela1[[#This Row],[LUCRO]]</f>
        <v>18</v>
      </c>
    </row>
    <row r="42" spans="3:29" x14ac:dyDescent="0.25">
      <c r="C42" s="22" t="s">
        <v>76</v>
      </c>
      <c r="D42" s="73">
        <v>31.940000000000005</v>
      </c>
      <c r="E42" s="73">
        <v>31.940000000000005</v>
      </c>
      <c r="F42" s="73">
        <v>31.940000000000005</v>
      </c>
      <c r="G42" s="73">
        <v>31.940000000000005</v>
      </c>
      <c r="H42" s="73">
        <v>31.940000000000005</v>
      </c>
      <c r="I42" s="73">
        <v>31.940000000000005</v>
      </c>
      <c r="J42" s="73">
        <v>32.340000000000003</v>
      </c>
      <c r="K42" s="73">
        <v>31.940000000000005</v>
      </c>
      <c r="L42" s="73">
        <v>31.940000000000005</v>
      </c>
      <c r="M42" s="73">
        <v>31.940000000000005</v>
      </c>
      <c r="N42" s="73">
        <v>31.940000000000005</v>
      </c>
      <c r="O42" s="73">
        <v>26.940000000000005</v>
      </c>
      <c r="P42" s="73">
        <v>33.940000000000005</v>
      </c>
      <c r="Q42" s="73">
        <v>31.940000000000005</v>
      </c>
      <c r="R42" s="73">
        <v>31.940000000000005</v>
      </c>
      <c r="S42" s="73">
        <v>32.940000000000005</v>
      </c>
      <c r="T42" s="72">
        <f>MIN(bdGraficoDoenças!$D42:$S42)</f>
        <v>26.940000000000005</v>
      </c>
      <c r="U42" s="72">
        <f>MAX(bdGraficoDoenças!$D42:$S42)</f>
        <v>33.940000000000005</v>
      </c>
      <c r="V42" s="72">
        <f>AVERAGE(bdGraficoDoenças!$D42:$S42)</f>
        <v>31.84</v>
      </c>
      <c r="W42" s="72">
        <f>+bdGraficoDoenças!$U42-bdGraficoDoenças!$T42</f>
        <v>7</v>
      </c>
      <c r="X42" s="73">
        <v>5.9399999999999995</v>
      </c>
      <c r="Y42" s="73">
        <v>3.2700000000000005</v>
      </c>
      <c r="Z42" s="73">
        <v>1.3499999999999999</v>
      </c>
      <c r="AA42" s="73">
        <v>1.26</v>
      </c>
      <c r="AB42" s="73">
        <v>3.1200000000000006</v>
      </c>
      <c r="AC42" s="76">
        <f>INDEX(Tabela1[[#This Row],[AM ]:[SP ]],1,$AC$5)-Tabela1[[#This Row],[COFINS]]-Tabela1[[#This Row],[FOLHA]]-Tabela1[[#This Row],[OUTROS]]-Tabela1[[#This Row],[PIS]]-Tabela1[[#This Row],[LUCRO]]</f>
        <v>18.000000000000004</v>
      </c>
    </row>
    <row r="43" spans="3:29" x14ac:dyDescent="0.25">
      <c r="C43" s="22" t="s">
        <v>316</v>
      </c>
      <c r="D43" s="73">
        <v>24.740000000000006</v>
      </c>
      <c r="E43" s="73">
        <v>24.740000000000006</v>
      </c>
      <c r="F43" s="73">
        <v>24.740000000000006</v>
      </c>
      <c r="G43" s="73">
        <v>24.740000000000006</v>
      </c>
      <c r="H43" s="73">
        <v>24.740000000000006</v>
      </c>
      <c r="I43" s="73">
        <v>24.740000000000006</v>
      </c>
      <c r="J43" s="73">
        <v>25.740000000000002</v>
      </c>
      <c r="K43" s="73">
        <v>24.740000000000006</v>
      </c>
      <c r="L43" s="73">
        <v>24.740000000000006</v>
      </c>
      <c r="M43" s="73">
        <v>24.740000000000006</v>
      </c>
      <c r="N43" s="73">
        <v>24.740000000000006</v>
      </c>
      <c r="O43" s="73">
        <v>19.740000000000006</v>
      </c>
      <c r="P43" s="73">
        <v>26.740000000000002</v>
      </c>
      <c r="Q43" s="73">
        <v>24.740000000000006</v>
      </c>
      <c r="R43" s="73">
        <v>24.740000000000006</v>
      </c>
      <c r="S43" s="73">
        <v>25.740000000000002</v>
      </c>
      <c r="T43" s="72">
        <f>MIN(bdGraficoDoenças!$D43:$S43)</f>
        <v>19.740000000000006</v>
      </c>
      <c r="U43" s="72">
        <f>MAX(bdGraficoDoenças!$D43:$S43)</f>
        <v>26.740000000000002</v>
      </c>
      <c r="V43" s="72">
        <f>AVERAGE(bdGraficoDoenças!$D43:$S43)</f>
        <v>24.677500000000006</v>
      </c>
      <c r="W43" s="72">
        <f>+bdGraficoDoenças!$U43-bdGraficoDoenças!$T43</f>
        <v>6.9999999999999964</v>
      </c>
      <c r="X43" s="73">
        <v>0</v>
      </c>
      <c r="Y43" s="73">
        <v>3.2700000000000005</v>
      </c>
      <c r="Z43" s="73">
        <v>1.3499999999999999</v>
      </c>
      <c r="AA43" s="73">
        <v>0</v>
      </c>
      <c r="AB43" s="73">
        <v>3.1200000000000006</v>
      </c>
      <c r="AC43" s="76">
        <f>INDEX(Tabela1[[#This Row],[AM ]:[SP ]],1,$AC$5)-Tabela1[[#This Row],[COFINS]]-Tabela1[[#This Row],[FOLHA]]-Tabela1[[#This Row],[OUTROS]]-Tabela1[[#This Row],[PIS]]-Tabela1[[#This Row],[LUCRO]]</f>
        <v>18</v>
      </c>
    </row>
    <row r="44" spans="3:29" x14ac:dyDescent="0.25">
      <c r="C44" s="22" t="s">
        <v>594</v>
      </c>
      <c r="D44" s="73">
        <v>30.073333333333338</v>
      </c>
      <c r="E44" s="73">
        <v>30.073333333333338</v>
      </c>
      <c r="F44" s="73">
        <v>30.073333333333338</v>
      </c>
      <c r="G44" s="73">
        <v>30.073333333333338</v>
      </c>
      <c r="H44" s="73">
        <v>30.073333333333338</v>
      </c>
      <c r="I44" s="73">
        <v>30.073333333333338</v>
      </c>
      <c r="J44" s="73">
        <v>29.073333333333338</v>
      </c>
      <c r="K44" s="73">
        <v>30.073333333333338</v>
      </c>
      <c r="L44" s="73">
        <v>30.073333333333338</v>
      </c>
      <c r="M44" s="73">
        <v>30.073333333333338</v>
      </c>
      <c r="N44" s="73">
        <v>30.073333333333338</v>
      </c>
      <c r="O44" s="73">
        <v>25.073333333333338</v>
      </c>
      <c r="P44" s="73">
        <v>32.073333333333338</v>
      </c>
      <c r="Q44" s="73">
        <v>30.073333333333338</v>
      </c>
      <c r="R44" s="73">
        <v>30.073333333333338</v>
      </c>
      <c r="S44" s="73">
        <v>31.073333333333338</v>
      </c>
      <c r="T44" s="72">
        <f>MIN(bdGraficoDoenças!$D44:$S44)</f>
        <v>25.073333333333338</v>
      </c>
      <c r="U44" s="72">
        <f>MAX(bdGraficoDoenças!$D44:$S44)</f>
        <v>32.073333333333338</v>
      </c>
      <c r="V44" s="72">
        <f>AVERAGE(bdGraficoDoenças!$D44:$S44)</f>
        <v>29.885833333333327</v>
      </c>
      <c r="W44" s="72">
        <f>+bdGraficoDoenças!$U44-bdGraficoDoenças!$T44</f>
        <v>7</v>
      </c>
      <c r="X44" s="73">
        <v>4.4000000000000004</v>
      </c>
      <c r="Y44" s="73">
        <v>3.27</v>
      </c>
      <c r="Z44" s="73">
        <v>1.3499999999999999</v>
      </c>
      <c r="AA44" s="73">
        <v>0.93333333333333335</v>
      </c>
      <c r="AB44" s="73">
        <v>3.1200000000000006</v>
      </c>
      <c r="AC44" s="76">
        <f>INDEX(Tabela1[[#This Row],[AM ]:[SP ]],1,$AC$5)-Tabela1[[#This Row],[COFINS]]-Tabela1[[#This Row],[FOLHA]]-Tabela1[[#This Row],[OUTROS]]-Tabela1[[#This Row],[PIS]]-Tabela1[[#This Row],[LUCRO]]</f>
        <v>18.000000000000004</v>
      </c>
    </row>
    <row r="45" spans="3:29" x14ac:dyDescent="0.25">
      <c r="C45" s="56" t="s">
        <v>394</v>
      </c>
      <c r="D45" s="75">
        <v>26.865000000000002</v>
      </c>
      <c r="E45" s="75">
        <v>26.865000000000002</v>
      </c>
      <c r="F45" s="75">
        <v>26.865000000000002</v>
      </c>
      <c r="G45" s="75">
        <v>26.865000000000002</v>
      </c>
      <c r="H45" s="75">
        <v>26.865000000000002</v>
      </c>
      <c r="I45" s="75">
        <v>26.865000000000002</v>
      </c>
      <c r="J45" s="75">
        <v>26.665000000000003</v>
      </c>
      <c r="K45" s="75">
        <v>26.865000000000002</v>
      </c>
      <c r="L45" s="75">
        <v>26.865000000000002</v>
      </c>
      <c r="M45" s="75">
        <v>26.865000000000002</v>
      </c>
      <c r="N45" s="75">
        <v>26.865000000000002</v>
      </c>
      <c r="O45" s="75">
        <v>21.865000000000006</v>
      </c>
      <c r="P45" s="75">
        <v>28.865000000000002</v>
      </c>
      <c r="Q45" s="75">
        <v>26.865000000000002</v>
      </c>
      <c r="R45" s="75">
        <v>26.865000000000002</v>
      </c>
      <c r="S45" s="75">
        <v>27.865000000000002</v>
      </c>
      <c r="T45" s="74">
        <f>MIN(bdGraficoDoenças!$D45:$S45)</f>
        <v>21.865000000000006</v>
      </c>
      <c r="U45" s="74">
        <f>MAX(bdGraficoDoenças!$D45:$S45)</f>
        <v>28.865000000000002</v>
      </c>
      <c r="V45" s="74">
        <f>AVERAGE(bdGraficoDoenças!$D45:$S45)</f>
        <v>26.727500000000006</v>
      </c>
      <c r="W45" s="74">
        <f>+bdGraficoDoenças!$U45-bdGraficoDoenças!$T45</f>
        <v>6.9999999999999964</v>
      </c>
      <c r="X45" s="75">
        <v>1.75</v>
      </c>
      <c r="Y45" s="75">
        <v>3.2700000000000005</v>
      </c>
      <c r="Z45" s="75">
        <v>1.3499999999999999</v>
      </c>
      <c r="AA45" s="75">
        <v>0.375</v>
      </c>
      <c r="AB45" s="75">
        <v>3.1200000000000006</v>
      </c>
      <c r="AC45" s="76">
        <f>INDEX(Tabela1[[#This Row],[AM ]:[SP ]],1,$AC$5)-Tabela1[[#This Row],[COFINS]]-Tabela1[[#This Row],[FOLHA]]-Tabela1[[#This Row],[OUTROS]]-Tabela1[[#This Row],[PIS]]-Tabela1[[#This Row],[LUCRO]]</f>
        <v>18</v>
      </c>
    </row>
    <row r="46" spans="3:29" x14ac:dyDescent="0.25">
      <c r="C46" s="22" t="s">
        <v>589</v>
      </c>
      <c r="D46" s="73">
        <v>30.740000000000002</v>
      </c>
      <c r="E46" s="73">
        <v>30.740000000000002</v>
      </c>
      <c r="F46" s="73">
        <v>30.740000000000002</v>
      </c>
      <c r="G46" s="73">
        <v>30.740000000000002</v>
      </c>
      <c r="H46" s="73">
        <v>30.740000000000002</v>
      </c>
      <c r="I46" s="73">
        <v>30.740000000000002</v>
      </c>
      <c r="J46" s="73">
        <v>31.740000000000002</v>
      </c>
      <c r="K46" s="73">
        <v>30.740000000000002</v>
      </c>
      <c r="L46" s="73">
        <v>30.740000000000002</v>
      </c>
      <c r="M46" s="73">
        <v>30.740000000000002</v>
      </c>
      <c r="N46" s="73">
        <v>30.740000000000002</v>
      </c>
      <c r="O46" s="73">
        <v>25.740000000000002</v>
      </c>
      <c r="P46" s="73">
        <v>32.74</v>
      </c>
      <c r="Q46" s="73">
        <v>30.740000000000002</v>
      </c>
      <c r="R46" s="73">
        <v>30.740000000000002</v>
      </c>
      <c r="S46" s="73">
        <v>31.740000000000002</v>
      </c>
      <c r="T46" s="72">
        <f>MIN(bdGraficoDoenças!$D46:$S46)</f>
        <v>25.740000000000002</v>
      </c>
      <c r="U46" s="72">
        <f>MAX(bdGraficoDoenças!$D46:$S46)</f>
        <v>32.74</v>
      </c>
      <c r="V46" s="72">
        <f>AVERAGE(bdGraficoDoenças!$D46:$S46)</f>
        <v>30.677500000000006</v>
      </c>
      <c r="W46" s="72">
        <f>+bdGraficoDoenças!$U46-bdGraficoDoenças!$T46</f>
        <v>7</v>
      </c>
      <c r="X46" s="73">
        <v>4.95</v>
      </c>
      <c r="Y46" s="73">
        <v>3.2700000000000005</v>
      </c>
      <c r="Z46" s="73">
        <v>1.3499999999999999</v>
      </c>
      <c r="AA46" s="73">
        <v>1.05</v>
      </c>
      <c r="AB46" s="73">
        <v>3.1200000000000006</v>
      </c>
      <c r="AC46" s="76">
        <f>INDEX(Tabela1[[#This Row],[AM ]:[SP ]],1,$AC$5)-Tabela1[[#This Row],[COFINS]]-Tabela1[[#This Row],[FOLHA]]-Tabela1[[#This Row],[OUTROS]]-Tabela1[[#This Row],[PIS]]-Tabela1[[#This Row],[LUCRO]]</f>
        <v>18</v>
      </c>
    </row>
    <row r="47" spans="3:29" x14ac:dyDescent="0.25">
      <c r="C47" s="22" t="s">
        <v>549</v>
      </c>
      <c r="D47" s="73">
        <v>36.74</v>
      </c>
      <c r="E47" s="73">
        <v>36.74</v>
      </c>
      <c r="F47" s="73">
        <v>36.74</v>
      </c>
      <c r="G47" s="73">
        <v>36.74</v>
      </c>
      <c r="H47" s="73">
        <v>36.74</v>
      </c>
      <c r="I47" s="73">
        <v>36.74</v>
      </c>
      <c r="J47" s="73">
        <v>35.073333333333338</v>
      </c>
      <c r="K47" s="73">
        <v>36.74</v>
      </c>
      <c r="L47" s="73">
        <v>36.74</v>
      </c>
      <c r="M47" s="73">
        <v>36.74</v>
      </c>
      <c r="N47" s="73">
        <v>36.74</v>
      </c>
      <c r="O47" s="73">
        <v>31.740000000000002</v>
      </c>
      <c r="P47" s="73">
        <v>38.74</v>
      </c>
      <c r="Q47" s="73">
        <v>36.74</v>
      </c>
      <c r="R47" s="73">
        <v>36.74</v>
      </c>
      <c r="S47" s="73">
        <v>37.74</v>
      </c>
      <c r="T47" s="72">
        <f>MIN(bdGraficoDoenças!$D47:$S47)</f>
        <v>31.740000000000002</v>
      </c>
      <c r="U47" s="72">
        <f>MAX(bdGraficoDoenças!$D47:$S47)</f>
        <v>38.74</v>
      </c>
      <c r="V47" s="72">
        <f>AVERAGE(bdGraficoDoenças!$D47:$S47)</f>
        <v>36.510833333333338</v>
      </c>
      <c r="W47" s="72">
        <f>+bdGraficoDoenças!$U47-bdGraficoDoenças!$T47</f>
        <v>7</v>
      </c>
      <c r="X47" s="73">
        <v>9.9</v>
      </c>
      <c r="Y47" s="73">
        <v>3.27</v>
      </c>
      <c r="Z47" s="73">
        <v>1.3499999999999999</v>
      </c>
      <c r="AA47" s="73">
        <v>2.1</v>
      </c>
      <c r="AB47" s="73">
        <v>3.1200000000000006</v>
      </c>
      <c r="AC47" s="76">
        <f>INDEX(Tabela1[[#This Row],[AM ]:[SP ]],1,$AC$5)-Tabela1[[#This Row],[COFINS]]-Tabela1[[#This Row],[FOLHA]]-Tabela1[[#This Row],[OUTROS]]-Tabela1[[#This Row],[PIS]]-Tabela1[[#This Row],[LUCRO]]</f>
        <v>18</v>
      </c>
    </row>
    <row r="48" spans="3:29" x14ac:dyDescent="0.25">
      <c r="C48" s="22" t="s">
        <v>559</v>
      </c>
      <c r="D48" s="73">
        <v>32.74</v>
      </c>
      <c r="E48" s="73">
        <v>32.74</v>
      </c>
      <c r="F48" s="73">
        <v>32.74</v>
      </c>
      <c r="G48" s="73">
        <v>32.74</v>
      </c>
      <c r="H48" s="73">
        <v>32.74</v>
      </c>
      <c r="I48" s="73">
        <v>32.74</v>
      </c>
      <c r="J48" s="73">
        <v>32.406666666666666</v>
      </c>
      <c r="K48" s="73">
        <v>32.74</v>
      </c>
      <c r="L48" s="73">
        <v>32.74</v>
      </c>
      <c r="M48" s="73">
        <v>32.74</v>
      </c>
      <c r="N48" s="73">
        <v>32.74</v>
      </c>
      <c r="O48" s="73">
        <v>27.740000000000006</v>
      </c>
      <c r="P48" s="73">
        <v>34.74</v>
      </c>
      <c r="Q48" s="73">
        <v>32.74</v>
      </c>
      <c r="R48" s="73">
        <v>32.74</v>
      </c>
      <c r="S48" s="73">
        <v>33.74</v>
      </c>
      <c r="T48" s="72">
        <f>MIN(bdGraficoDoenças!$D48:$S48)</f>
        <v>27.740000000000006</v>
      </c>
      <c r="U48" s="72">
        <f>MAX(bdGraficoDoenças!$D48:$S48)</f>
        <v>34.74</v>
      </c>
      <c r="V48" s="72">
        <f>AVERAGE(bdGraficoDoenças!$D48:$S48)</f>
        <v>32.594166666666673</v>
      </c>
      <c r="W48" s="72">
        <f>+bdGraficoDoenças!$U48-bdGraficoDoenças!$T48</f>
        <v>6.9999999999999964</v>
      </c>
      <c r="X48" s="73">
        <v>6.6</v>
      </c>
      <c r="Y48" s="73">
        <v>3.27</v>
      </c>
      <c r="Z48" s="73">
        <v>1.3499999999999999</v>
      </c>
      <c r="AA48" s="73">
        <v>1.4</v>
      </c>
      <c r="AB48" s="73">
        <v>3.1200000000000006</v>
      </c>
      <c r="AC48" s="76">
        <f>INDEX(Tabela1[[#This Row],[AM ]:[SP ]],1,$AC$5)-Tabela1[[#This Row],[COFINS]]-Tabela1[[#This Row],[FOLHA]]-Tabela1[[#This Row],[OUTROS]]-Tabela1[[#This Row],[PIS]]-Tabela1[[#This Row],[LUCRO]]</f>
        <v>18</v>
      </c>
    </row>
    <row r="49" spans="3:29" x14ac:dyDescent="0.25">
      <c r="C49" s="22" t="s">
        <v>286</v>
      </c>
      <c r="D49" s="73">
        <v>36.74</v>
      </c>
      <c r="E49" s="73">
        <v>36.74</v>
      </c>
      <c r="F49" s="73">
        <v>36.74</v>
      </c>
      <c r="G49" s="73">
        <v>36.74</v>
      </c>
      <c r="H49" s="73">
        <v>36.74</v>
      </c>
      <c r="I49" s="73">
        <v>36.74</v>
      </c>
      <c r="J49" s="73">
        <v>37.74</v>
      </c>
      <c r="K49" s="73">
        <v>36.74</v>
      </c>
      <c r="L49" s="73">
        <v>36.74</v>
      </c>
      <c r="M49" s="73">
        <v>36.74</v>
      </c>
      <c r="N49" s="73">
        <v>36.74</v>
      </c>
      <c r="O49" s="73">
        <v>31.740000000000006</v>
      </c>
      <c r="P49" s="73">
        <v>38.74</v>
      </c>
      <c r="Q49" s="73">
        <v>36.74</v>
      </c>
      <c r="R49" s="73">
        <v>36.74</v>
      </c>
      <c r="S49" s="73">
        <v>37.74</v>
      </c>
      <c r="T49" s="72">
        <f>MIN(bdGraficoDoenças!$D49:$S49)</f>
        <v>31.740000000000006</v>
      </c>
      <c r="U49" s="72">
        <f>MAX(bdGraficoDoenças!$D49:$S49)</f>
        <v>38.74</v>
      </c>
      <c r="V49" s="72">
        <f>AVERAGE(bdGraficoDoenças!$D49:$S49)</f>
        <v>36.677500000000002</v>
      </c>
      <c r="W49" s="72">
        <f>+bdGraficoDoenças!$U49-bdGraficoDoenças!$T49</f>
        <v>6.9999999999999964</v>
      </c>
      <c r="X49" s="73">
        <v>9.9</v>
      </c>
      <c r="Y49" s="73">
        <v>3.27</v>
      </c>
      <c r="Z49" s="73">
        <v>1.3499999999999999</v>
      </c>
      <c r="AA49" s="73">
        <v>2.1</v>
      </c>
      <c r="AB49" s="73">
        <v>3.1200000000000006</v>
      </c>
      <c r="AC49" s="76">
        <f>INDEX(Tabela1[[#This Row],[AM ]:[SP ]],1,$AC$5)-Tabela1[[#This Row],[COFINS]]-Tabela1[[#This Row],[FOLHA]]-Tabela1[[#This Row],[OUTROS]]-Tabela1[[#This Row],[PIS]]-Tabela1[[#This Row],[LUCRO]]</f>
        <v>18</v>
      </c>
    </row>
    <row r="50" spans="3:29" x14ac:dyDescent="0.25">
      <c r="C50" s="22" t="s">
        <v>240</v>
      </c>
      <c r="D50" s="73">
        <v>31.940000000000005</v>
      </c>
      <c r="E50" s="73">
        <v>31.940000000000005</v>
      </c>
      <c r="F50" s="73">
        <v>31.940000000000005</v>
      </c>
      <c r="G50" s="73">
        <v>31.940000000000005</v>
      </c>
      <c r="H50" s="73">
        <v>31.940000000000005</v>
      </c>
      <c r="I50" s="73">
        <v>31.940000000000005</v>
      </c>
      <c r="J50" s="73">
        <v>32.940000000000005</v>
      </c>
      <c r="K50" s="73">
        <v>31.940000000000005</v>
      </c>
      <c r="L50" s="73">
        <v>31.940000000000005</v>
      </c>
      <c r="M50" s="73">
        <v>31.940000000000005</v>
      </c>
      <c r="N50" s="73">
        <v>31.940000000000005</v>
      </c>
      <c r="O50" s="73">
        <v>26.940000000000005</v>
      </c>
      <c r="P50" s="73">
        <v>33.940000000000005</v>
      </c>
      <c r="Q50" s="73">
        <v>31.940000000000005</v>
      </c>
      <c r="R50" s="73">
        <v>31.940000000000005</v>
      </c>
      <c r="S50" s="73">
        <v>32.940000000000005</v>
      </c>
      <c r="T50" s="72">
        <f>MIN(bdGraficoDoenças!$D50:$S50)</f>
        <v>26.940000000000005</v>
      </c>
      <c r="U50" s="72">
        <f>MAX(bdGraficoDoenças!$D50:$S50)</f>
        <v>33.940000000000005</v>
      </c>
      <c r="V50" s="72">
        <f>AVERAGE(bdGraficoDoenças!$D50:$S50)</f>
        <v>31.877500000000001</v>
      </c>
      <c r="W50" s="72">
        <f>+bdGraficoDoenças!$U50-bdGraficoDoenças!$T50</f>
        <v>7</v>
      </c>
      <c r="X50" s="73">
        <v>5.9399999999999995</v>
      </c>
      <c r="Y50" s="73">
        <v>3.2700000000000005</v>
      </c>
      <c r="Z50" s="73">
        <v>1.3499999999999999</v>
      </c>
      <c r="AA50" s="73">
        <v>1.26</v>
      </c>
      <c r="AB50" s="73">
        <v>3.1200000000000006</v>
      </c>
      <c r="AC50" s="76">
        <f>INDEX(Tabela1[[#This Row],[AM ]:[SP ]],1,$AC$5)-Tabela1[[#This Row],[COFINS]]-Tabela1[[#This Row],[FOLHA]]-Tabela1[[#This Row],[OUTROS]]-Tabela1[[#This Row],[PIS]]-Tabela1[[#This Row],[LUCRO]]</f>
        <v>18.000000000000004</v>
      </c>
    </row>
    <row r="51" spans="3:29" x14ac:dyDescent="0.25">
      <c r="C51" s="22" t="s">
        <v>146</v>
      </c>
      <c r="D51" s="73">
        <v>24.740000000000006</v>
      </c>
      <c r="E51" s="73">
        <v>24.740000000000006</v>
      </c>
      <c r="F51" s="73">
        <v>24.740000000000006</v>
      </c>
      <c r="G51" s="73">
        <v>24.740000000000006</v>
      </c>
      <c r="H51" s="73">
        <v>24.740000000000006</v>
      </c>
      <c r="I51" s="73">
        <v>24.740000000000006</v>
      </c>
      <c r="J51" s="73">
        <v>25.140000000000008</v>
      </c>
      <c r="K51" s="73">
        <v>24.740000000000006</v>
      </c>
      <c r="L51" s="73">
        <v>24.740000000000006</v>
      </c>
      <c r="M51" s="73">
        <v>24.740000000000006</v>
      </c>
      <c r="N51" s="73">
        <v>24.740000000000006</v>
      </c>
      <c r="O51" s="73">
        <v>19.740000000000006</v>
      </c>
      <c r="P51" s="73">
        <v>26.740000000000002</v>
      </c>
      <c r="Q51" s="73">
        <v>24.740000000000006</v>
      </c>
      <c r="R51" s="73">
        <v>24.740000000000006</v>
      </c>
      <c r="S51" s="73">
        <v>25.740000000000002</v>
      </c>
      <c r="T51" s="72">
        <f>MIN(bdGraficoDoenças!$D51:$S51)</f>
        <v>19.740000000000006</v>
      </c>
      <c r="U51" s="72">
        <f>MAX(bdGraficoDoenças!$D51:$S51)</f>
        <v>26.740000000000002</v>
      </c>
      <c r="V51" s="72">
        <f>AVERAGE(bdGraficoDoenças!$D51:$S51)</f>
        <v>24.640000000000008</v>
      </c>
      <c r="W51" s="72">
        <f>+bdGraficoDoenças!$U51-bdGraficoDoenças!$T51</f>
        <v>6.9999999999999964</v>
      </c>
      <c r="X51" s="73">
        <v>0</v>
      </c>
      <c r="Y51" s="73">
        <v>3.2700000000000005</v>
      </c>
      <c r="Z51" s="73">
        <v>1.3499999999999999</v>
      </c>
      <c r="AA51" s="73">
        <v>0</v>
      </c>
      <c r="AB51" s="73">
        <v>3.1200000000000006</v>
      </c>
      <c r="AC51" s="76">
        <f>INDEX(Tabela1[[#This Row],[AM ]:[SP ]],1,$AC$5)-Tabela1[[#This Row],[COFINS]]-Tabela1[[#This Row],[FOLHA]]-Tabela1[[#This Row],[OUTROS]]-Tabela1[[#This Row],[PIS]]-Tabela1[[#This Row],[LUCRO]]</f>
        <v>18</v>
      </c>
    </row>
    <row r="52" spans="3:29" x14ac:dyDescent="0.25">
      <c r="C52" s="22" t="s">
        <v>579</v>
      </c>
      <c r="D52" s="73">
        <v>24.740000000000006</v>
      </c>
      <c r="E52" s="73">
        <v>24.740000000000006</v>
      </c>
      <c r="F52" s="73">
        <v>24.740000000000006</v>
      </c>
      <c r="G52" s="73">
        <v>24.740000000000006</v>
      </c>
      <c r="H52" s="73">
        <v>24.740000000000006</v>
      </c>
      <c r="I52" s="73">
        <v>24.740000000000006</v>
      </c>
      <c r="J52" s="73">
        <v>25.740000000000002</v>
      </c>
      <c r="K52" s="73">
        <v>24.740000000000006</v>
      </c>
      <c r="L52" s="73">
        <v>24.740000000000006</v>
      </c>
      <c r="M52" s="73">
        <v>24.740000000000006</v>
      </c>
      <c r="N52" s="73">
        <v>24.740000000000006</v>
      </c>
      <c r="O52" s="73">
        <v>19.740000000000006</v>
      </c>
      <c r="P52" s="73">
        <v>26.740000000000002</v>
      </c>
      <c r="Q52" s="73">
        <v>24.740000000000006</v>
      </c>
      <c r="R52" s="73">
        <v>24.740000000000006</v>
      </c>
      <c r="S52" s="73">
        <v>25.740000000000002</v>
      </c>
      <c r="T52" s="72">
        <f>MIN(bdGraficoDoenças!$D52:$S52)</f>
        <v>19.740000000000006</v>
      </c>
      <c r="U52" s="72">
        <f>MAX(bdGraficoDoenças!$D52:$S52)</f>
        <v>26.740000000000002</v>
      </c>
      <c r="V52" s="72">
        <f>AVERAGE(bdGraficoDoenças!$D52:$S52)</f>
        <v>24.677500000000006</v>
      </c>
      <c r="W52" s="72">
        <f>+bdGraficoDoenças!$U52-bdGraficoDoenças!$T52</f>
        <v>6.9999999999999964</v>
      </c>
      <c r="X52" s="73">
        <v>0</v>
      </c>
      <c r="Y52" s="73">
        <v>3.2700000000000005</v>
      </c>
      <c r="Z52" s="73">
        <v>1.3499999999999999</v>
      </c>
      <c r="AA52" s="73">
        <v>0</v>
      </c>
      <c r="AB52" s="73">
        <v>3.1200000000000006</v>
      </c>
      <c r="AC52" s="76">
        <f>INDEX(Tabela1[[#This Row],[AM ]:[SP ]],1,$AC$5)-Tabela1[[#This Row],[COFINS]]-Tabela1[[#This Row],[FOLHA]]-Tabela1[[#This Row],[OUTROS]]-Tabela1[[#This Row],[PIS]]-Tabela1[[#This Row],[LUCRO]]</f>
        <v>18</v>
      </c>
    </row>
    <row r="53" spans="3:29" x14ac:dyDescent="0.25">
      <c r="C53" s="36" t="s">
        <v>19508</v>
      </c>
      <c r="D53" s="77">
        <f>AVERAGE(D7:D52)</f>
        <v>30.716072840203285</v>
      </c>
      <c r="E53" s="77">
        <f>AVERAGE(E7:E52)</f>
        <v>30.716072840203285</v>
      </c>
      <c r="F53" s="77">
        <f>AVERAGE(F7:F52)</f>
        <v>30.716072840203285</v>
      </c>
      <c r="G53" s="77">
        <f t="shared" ref="G53:S53" si="5">AVERAGE(G7:G52)</f>
        <v>30.716072840203285</v>
      </c>
      <c r="H53" s="77">
        <f t="shared" si="5"/>
        <v>30.716072840203285</v>
      </c>
      <c r="I53" s="77">
        <f t="shared" si="5"/>
        <v>30.716072840203285</v>
      </c>
      <c r="J53" s="77">
        <f t="shared" si="5"/>
        <v>30.495034820252219</v>
      </c>
      <c r="K53" s="77">
        <f t="shared" si="5"/>
        <v>30.716072840203285</v>
      </c>
      <c r="L53" s="77">
        <f t="shared" si="5"/>
        <v>30.716072840203285</v>
      </c>
      <c r="M53" s="77">
        <f t="shared" si="5"/>
        <v>30.716072840203285</v>
      </c>
      <c r="N53" s="77">
        <f t="shared" si="5"/>
        <v>30.716072840203285</v>
      </c>
      <c r="O53" s="77">
        <f t="shared" si="5"/>
        <v>25.716072840203289</v>
      </c>
      <c r="P53" s="77">
        <f t="shared" si="5"/>
        <v>32.716072840203275</v>
      </c>
      <c r="Q53" s="77">
        <f t="shared" si="5"/>
        <v>30.716072840203285</v>
      </c>
      <c r="R53" s="77">
        <f t="shared" si="5"/>
        <v>30.716072840203285</v>
      </c>
      <c r="S53" s="77">
        <f t="shared" si="5"/>
        <v>31.716072840203282</v>
      </c>
      <c r="T53" s="72">
        <f>MIN(bdGraficoDoenças!$D53:$S53)</f>
        <v>25.716072840203289</v>
      </c>
      <c r="U53" s="72">
        <f>MAX(bdGraficoDoenças!$D53:$S53)</f>
        <v>32.716072840203275</v>
      </c>
      <c r="V53" s="72">
        <f>AVERAGE(bdGraficoDoenças!$D53:$S53)</f>
        <v>30.577257963956349</v>
      </c>
      <c r="W53" s="72">
        <f>+bdGraficoDoenças!$U53-bdGraficoDoenças!$T53</f>
        <v>6.9999999999999858</v>
      </c>
      <c r="X53" s="77">
        <f>AVERAGE(X7:X52)</f>
        <v>4.9301242236024843</v>
      </c>
      <c r="Y53" s="77">
        <f>AVERAGE(Y7:Y52)</f>
        <v>3.2700000000000005</v>
      </c>
      <c r="Z53" s="77">
        <f>AVERAGE(Z7:Z52)</f>
        <v>1.350000000000001</v>
      </c>
      <c r="AA53" s="77">
        <f>AVERAGE(AA7:AA52)</f>
        <v>1.0459486166007905</v>
      </c>
      <c r="AB53" s="77">
        <f>AVERAGE(AB7:AB52)</f>
        <v>3.1200000000000019</v>
      </c>
      <c r="AC53" s="76">
        <f>INDEX(Tabela1[[#This Row],[AM ]:[SP ]],1,$AC$5)-Tabela1[[#This Row],[COFINS]]-Tabela1[[#This Row],[FOLHA]]-Tabela1[[#This Row],[OUTROS]]-Tabela1[[#This Row],[PIS]]-Tabela1[[#This Row],[LUCRO]]</f>
        <v>18.000000000000007</v>
      </c>
    </row>
    <row r="54" spans="3:29" x14ac:dyDescent="0.25">
      <c r="C54" s="115"/>
      <c r="D54" s="118"/>
      <c r="E54" s="118"/>
      <c r="F54" s="118"/>
      <c r="G54" s="118"/>
      <c r="H54" s="118"/>
      <c r="I54" s="118"/>
      <c r="J54" s="118"/>
      <c r="K54" s="118"/>
      <c r="L54" s="118"/>
      <c r="M54" s="118"/>
      <c r="N54" s="118"/>
      <c r="O54" s="118"/>
      <c r="P54" s="118"/>
      <c r="Q54" s="119"/>
      <c r="R54" s="118"/>
      <c r="S54" s="118"/>
      <c r="T54" s="116"/>
      <c r="U54" s="116"/>
      <c r="V54" s="116"/>
      <c r="W54" s="116"/>
      <c r="X54" s="120"/>
      <c r="Y54" s="120"/>
      <c r="Z54" s="120"/>
      <c r="AA54" s="120"/>
      <c r="AB54" s="120"/>
      <c r="AC54" s="121">
        <f>SUBTOTAL(101,Tabela1[ICMS])</f>
        <v>18</v>
      </c>
    </row>
    <row r="57" spans="3:29" x14ac:dyDescent="0.25">
      <c r="S57">
        <f>489.16/16</f>
        <v>30.572500000000002</v>
      </c>
    </row>
  </sheetData>
  <pageMargins left="0.511811024" right="0.511811024" top="0.78740157499999996" bottom="0.78740157499999996" header="0.31496062000000002" footer="0.31496062000000002"/>
  <pageSetup paperSize="9" orientation="portrait" horizontalDpi="0" verticalDpi="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55"/>
  <sheetViews>
    <sheetView showGridLines="0" zoomScale="115" zoomScaleNormal="115" workbookViewId="0">
      <pane ySplit="6" topLeftCell="A7" activePane="bottomLeft" state="frozen"/>
      <selection activeCell="F3" sqref="F3"/>
      <selection pane="bottomLeft" activeCell="B7" sqref="B7"/>
    </sheetView>
  </sheetViews>
  <sheetFormatPr defaultRowHeight="15" x14ac:dyDescent="0.25"/>
  <cols>
    <col min="1" max="1" width="38.85546875" customWidth="1"/>
    <col min="2" max="2" width="23.42578125" customWidth="1"/>
    <col min="3" max="17" width="8.28515625" customWidth="1"/>
    <col min="18" max="22" width="7.7109375" customWidth="1"/>
  </cols>
  <sheetData>
    <row r="2" spans="1:22" ht="15.75" thickBot="1" x14ac:dyDescent="0.3">
      <c r="B2" s="131"/>
      <c r="C2" s="131"/>
      <c r="D2" s="131"/>
      <c r="E2" s="131"/>
      <c r="F2" s="131"/>
      <c r="G2" s="131"/>
      <c r="H2" s="131"/>
      <c r="I2" s="131"/>
      <c r="J2" s="131"/>
      <c r="K2" s="131"/>
      <c r="L2" s="131"/>
      <c r="M2" s="131"/>
      <c r="N2" s="131"/>
      <c r="O2" s="131"/>
      <c r="P2" s="131"/>
    </row>
    <row r="3" spans="1:22" x14ac:dyDescent="0.25">
      <c r="B3" s="131"/>
      <c r="C3" s="131"/>
      <c r="D3" s="131"/>
      <c r="E3" s="131"/>
      <c r="F3" s="131"/>
      <c r="G3" s="131"/>
      <c r="H3" s="131"/>
      <c r="I3" s="131"/>
      <c r="J3" s="131"/>
      <c r="K3" s="131"/>
      <c r="L3" s="131"/>
      <c r="M3" s="131"/>
      <c r="N3" s="131"/>
      <c r="O3" s="131"/>
      <c r="P3" s="131"/>
      <c r="R3" s="32" t="s">
        <v>617</v>
      </c>
      <c r="S3" s="32" t="s">
        <v>19499</v>
      </c>
      <c r="T3" s="32" t="s">
        <v>620</v>
      </c>
      <c r="U3" s="32" t="s">
        <v>616</v>
      </c>
      <c r="V3" s="32" t="s">
        <v>19500</v>
      </c>
    </row>
    <row r="6" spans="1:22" s="18" customFormat="1" x14ac:dyDescent="0.25">
      <c r="A6" s="34" t="s">
        <v>19507</v>
      </c>
      <c r="B6" t="s">
        <v>21993</v>
      </c>
      <c r="C6"/>
      <c r="D6"/>
      <c r="E6"/>
      <c r="F6"/>
      <c r="G6"/>
      <c r="H6"/>
      <c r="I6"/>
      <c r="J6"/>
      <c r="K6"/>
      <c r="L6"/>
      <c r="M6"/>
      <c r="N6"/>
      <c r="O6"/>
      <c r="P6"/>
      <c r="Q6"/>
      <c r="R6"/>
      <c r="S6"/>
      <c r="T6"/>
      <c r="U6"/>
      <c r="V6"/>
    </row>
    <row r="7" spans="1:22" x14ac:dyDescent="0.25">
      <c r="A7" s="17" t="s">
        <v>323</v>
      </c>
      <c r="B7" s="21">
        <v>24.340000000000007</v>
      </c>
    </row>
    <row r="8" spans="1:22" x14ac:dyDescent="0.25">
      <c r="A8" s="17" t="s">
        <v>426</v>
      </c>
      <c r="B8" s="21">
        <v>24.490000000000006</v>
      </c>
    </row>
    <row r="9" spans="1:22" x14ac:dyDescent="0.25">
      <c r="A9" s="17" t="s">
        <v>127</v>
      </c>
      <c r="B9" s="21">
        <v>24.490000000000006</v>
      </c>
    </row>
    <row r="10" spans="1:22" x14ac:dyDescent="0.25">
      <c r="A10" s="17" t="s">
        <v>250</v>
      </c>
      <c r="B10" s="21">
        <v>24.527500000000007</v>
      </c>
    </row>
    <row r="11" spans="1:22" x14ac:dyDescent="0.25">
      <c r="A11" s="17" t="s">
        <v>499</v>
      </c>
      <c r="B11" s="21">
        <v>24.552500000000006</v>
      </c>
    </row>
    <row r="12" spans="1:22" x14ac:dyDescent="0.25">
      <c r="A12" s="17" t="s">
        <v>361</v>
      </c>
      <c r="B12" s="21">
        <v>24.602500000000006</v>
      </c>
    </row>
    <row r="13" spans="1:22" x14ac:dyDescent="0.25">
      <c r="A13" s="17" t="s">
        <v>146</v>
      </c>
      <c r="B13" s="21">
        <v>24.640000000000008</v>
      </c>
    </row>
    <row r="14" spans="1:22" x14ac:dyDescent="0.25">
      <c r="A14" s="17" t="s">
        <v>498</v>
      </c>
      <c r="B14" s="21">
        <v>24.640000000000008</v>
      </c>
    </row>
    <row r="15" spans="1:22" x14ac:dyDescent="0.25">
      <c r="A15" s="17" t="s">
        <v>413</v>
      </c>
      <c r="B15" s="21">
        <v>24.677500000000006</v>
      </c>
    </row>
    <row r="16" spans="1:22" x14ac:dyDescent="0.25">
      <c r="A16" s="17" t="s">
        <v>533</v>
      </c>
      <c r="B16" s="21">
        <v>24.677500000000006</v>
      </c>
    </row>
    <row r="17" spans="1:2" x14ac:dyDescent="0.25">
      <c r="A17" s="17" t="s">
        <v>316</v>
      </c>
      <c r="B17" s="21">
        <v>24.677500000000006</v>
      </c>
    </row>
    <row r="18" spans="1:2" x14ac:dyDescent="0.25">
      <c r="A18" s="17" t="s">
        <v>579</v>
      </c>
      <c r="B18" s="21">
        <v>24.677500000000006</v>
      </c>
    </row>
    <row r="19" spans="1:2" x14ac:dyDescent="0.25">
      <c r="A19" s="17" t="s">
        <v>471</v>
      </c>
      <c r="B19" s="21">
        <v>25.690000000000005</v>
      </c>
    </row>
    <row r="20" spans="1:2" x14ac:dyDescent="0.25">
      <c r="A20" s="17" t="s">
        <v>269</v>
      </c>
      <c r="B20" s="21">
        <v>25.727500000000003</v>
      </c>
    </row>
    <row r="21" spans="1:2" x14ac:dyDescent="0.25">
      <c r="A21" s="17" t="s">
        <v>394</v>
      </c>
      <c r="B21" s="21">
        <v>26.727500000000003</v>
      </c>
    </row>
    <row r="22" spans="1:2" x14ac:dyDescent="0.25">
      <c r="A22" s="17" t="s">
        <v>525</v>
      </c>
      <c r="B22" s="21">
        <v>27.302500000000006</v>
      </c>
    </row>
    <row r="23" spans="1:2" x14ac:dyDescent="0.25">
      <c r="A23" s="17" t="s">
        <v>61</v>
      </c>
      <c r="B23" s="21">
        <v>28.127500000000005</v>
      </c>
    </row>
    <row r="24" spans="1:2" x14ac:dyDescent="0.25">
      <c r="A24" s="17" t="s">
        <v>203</v>
      </c>
      <c r="B24" s="21">
        <v>28.870681818181822</v>
      </c>
    </row>
    <row r="25" spans="1:2" x14ac:dyDescent="0.25">
      <c r="A25" s="17" t="s">
        <v>472</v>
      </c>
      <c r="B25" s="21">
        <v>29.477500000000003</v>
      </c>
    </row>
    <row r="26" spans="1:2" x14ac:dyDescent="0.25">
      <c r="A26" s="17" t="s">
        <v>594</v>
      </c>
      <c r="B26" s="21">
        <v>29.885833333333338</v>
      </c>
    </row>
    <row r="27" spans="1:2" x14ac:dyDescent="0.25">
      <c r="A27" s="17" t="s">
        <v>285</v>
      </c>
      <c r="B27" s="21">
        <v>30.552500000000006</v>
      </c>
    </row>
    <row r="28" spans="1:2" x14ac:dyDescent="0.25">
      <c r="A28" s="17" t="s">
        <v>589</v>
      </c>
      <c r="B28" s="21">
        <v>30.677500000000002</v>
      </c>
    </row>
    <row r="29" spans="1:2" x14ac:dyDescent="0.25">
      <c r="A29" s="17" t="s">
        <v>595</v>
      </c>
      <c r="B29" s="21">
        <v>31.34416666666667</v>
      </c>
    </row>
    <row r="30" spans="1:2" x14ac:dyDescent="0.25">
      <c r="A30" s="17" t="s">
        <v>460</v>
      </c>
      <c r="B30" s="21">
        <v>31.802500000000002</v>
      </c>
    </row>
    <row r="31" spans="1:2" x14ac:dyDescent="0.25">
      <c r="A31" s="17" t="s">
        <v>611</v>
      </c>
      <c r="B31" s="21">
        <v>31.840000000000003</v>
      </c>
    </row>
    <row r="32" spans="1:2" x14ac:dyDescent="0.25">
      <c r="A32" s="17" t="s">
        <v>76</v>
      </c>
      <c r="B32" s="21">
        <v>31.840000000000003</v>
      </c>
    </row>
    <row r="33" spans="1:2" x14ac:dyDescent="0.25">
      <c r="A33" s="17" t="s">
        <v>240</v>
      </c>
      <c r="B33" s="21">
        <v>31.877500000000005</v>
      </c>
    </row>
    <row r="34" spans="1:2" x14ac:dyDescent="0.25">
      <c r="A34" s="17" t="s">
        <v>559</v>
      </c>
      <c r="B34" s="21">
        <v>32.594166666666666</v>
      </c>
    </row>
    <row r="35" spans="1:2" x14ac:dyDescent="0.25">
      <c r="A35" s="17" t="s">
        <v>554</v>
      </c>
      <c r="B35" s="21">
        <v>32.677500000000002</v>
      </c>
    </row>
    <row r="36" spans="1:2" x14ac:dyDescent="0.25">
      <c r="A36" s="17" t="s">
        <v>338</v>
      </c>
      <c r="B36" s="21">
        <v>33.969166666666666</v>
      </c>
    </row>
    <row r="37" spans="1:2" x14ac:dyDescent="0.25">
      <c r="A37" s="17" t="s">
        <v>111</v>
      </c>
      <c r="B37" s="21">
        <v>34.24</v>
      </c>
    </row>
    <row r="38" spans="1:2" x14ac:dyDescent="0.25">
      <c r="A38" s="17" t="s">
        <v>372</v>
      </c>
      <c r="B38" s="21">
        <v>34.24</v>
      </c>
    </row>
    <row r="39" spans="1:2" x14ac:dyDescent="0.25">
      <c r="A39" s="17" t="s">
        <v>333</v>
      </c>
      <c r="B39" s="21">
        <v>34.24</v>
      </c>
    </row>
    <row r="40" spans="1:2" x14ac:dyDescent="0.25">
      <c r="A40" s="17" t="s">
        <v>548</v>
      </c>
      <c r="B40" s="21">
        <v>34.909642857142863</v>
      </c>
    </row>
    <row r="41" spans="1:2" x14ac:dyDescent="0.25">
      <c r="A41" s="17" t="s">
        <v>210</v>
      </c>
      <c r="B41" s="21">
        <v>35.177500000000002</v>
      </c>
    </row>
    <row r="42" spans="1:2" x14ac:dyDescent="0.25">
      <c r="A42" s="17" t="s">
        <v>5</v>
      </c>
      <c r="B42" s="21">
        <v>35.365000000000002</v>
      </c>
    </row>
    <row r="43" spans="1:2" x14ac:dyDescent="0.25">
      <c r="A43" s="17" t="s">
        <v>40</v>
      </c>
      <c r="B43" s="21">
        <v>35.440000000000005</v>
      </c>
    </row>
    <row r="44" spans="1:2" x14ac:dyDescent="0.25">
      <c r="A44" s="17" t="s">
        <v>449</v>
      </c>
      <c r="B44" s="21">
        <v>35.440000000000005</v>
      </c>
    </row>
    <row r="45" spans="1:2" x14ac:dyDescent="0.25">
      <c r="A45" s="17" t="s">
        <v>174</v>
      </c>
      <c r="B45" s="21">
        <v>35.477500000000006</v>
      </c>
    </row>
    <row r="46" spans="1:2" x14ac:dyDescent="0.25">
      <c r="A46" s="17" t="s">
        <v>383</v>
      </c>
      <c r="B46" s="21">
        <v>36.290000000000006</v>
      </c>
    </row>
    <row r="47" spans="1:2" x14ac:dyDescent="0.25">
      <c r="A47" s="17" t="s">
        <v>549</v>
      </c>
      <c r="B47" s="21">
        <v>36.510833333333338</v>
      </c>
    </row>
    <row r="48" spans="1:2" x14ac:dyDescent="0.25">
      <c r="A48" s="17" t="s">
        <v>41</v>
      </c>
      <c r="B48" s="21">
        <v>36.583750000000002</v>
      </c>
    </row>
    <row r="49" spans="1:2" x14ac:dyDescent="0.25">
      <c r="A49" s="17" t="s">
        <v>441</v>
      </c>
      <c r="B49" s="21">
        <v>36.630625000000002</v>
      </c>
    </row>
    <row r="50" spans="1:2" x14ac:dyDescent="0.25">
      <c r="A50" s="17" t="s">
        <v>286</v>
      </c>
      <c r="B50" s="21">
        <v>36.677500000000002</v>
      </c>
    </row>
    <row r="51" spans="1:2" x14ac:dyDescent="0.25">
      <c r="A51" s="17" t="s">
        <v>171</v>
      </c>
      <c r="B51" s="21">
        <v>36.677500000000002</v>
      </c>
    </row>
    <row r="52" spans="1:2" x14ac:dyDescent="0.25">
      <c r="A52" s="17" t="s">
        <v>227</v>
      </c>
      <c r="B52" s="21">
        <v>36.677500000000002</v>
      </c>
    </row>
    <row r="55" spans="1:2" x14ac:dyDescent="0.25">
      <c r="B55" s="20"/>
    </row>
  </sheetData>
  <mergeCells count="1">
    <mergeCell ref="B2:P3"/>
  </mergeCells>
  <pageMargins left="0.511811024" right="0.511811024" top="0.78740157499999996" bottom="0.78740157499999996" header="0.31496062000000002" footer="0.31496062000000002"/>
  <pageSetup paperSize="9"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54"/>
  <sheetViews>
    <sheetView showGridLines="0" zoomScale="85" zoomScaleNormal="85" workbookViewId="0">
      <pane ySplit="6" topLeftCell="A13" activePane="bottomLeft" state="frozen"/>
      <selection activeCell="F3" sqref="F3"/>
      <selection pane="bottomLeft" activeCell="A7" sqref="A7"/>
    </sheetView>
  </sheetViews>
  <sheetFormatPr defaultRowHeight="15" x14ac:dyDescent="0.25"/>
  <cols>
    <col min="1" max="1" width="38.85546875" customWidth="1"/>
    <col min="2" max="2" width="10.42578125" customWidth="1"/>
    <col min="3" max="17" width="8.28515625" customWidth="1"/>
    <col min="18" max="22" width="7.7109375" customWidth="1"/>
  </cols>
  <sheetData>
    <row r="2" spans="1:22" ht="15.75" thickBot="1" x14ac:dyDescent="0.3">
      <c r="B2" s="131"/>
      <c r="C2" s="131"/>
      <c r="D2" s="131"/>
      <c r="E2" s="131"/>
      <c r="F2" s="131"/>
      <c r="G2" s="131"/>
      <c r="H2" s="131"/>
      <c r="I2" s="131"/>
      <c r="J2" s="131"/>
      <c r="K2" s="131"/>
      <c r="L2" s="131"/>
      <c r="M2" s="131"/>
      <c r="N2" s="131"/>
      <c r="O2" s="131"/>
      <c r="P2" s="131"/>
    </row>
    <row r="3" spans="1:22" x14ac:dyDescent="0.25">
      <c r="B3" s="131"/>
      <c r="C3" s="131"/>
      <c r="D3" s="131"/>
      <c r="E3" s="131"/>
      <c r="F3" s="131"/>
      <c r="G3" s="131"/>
      <c r="H3" s="131"/>
      <c r="I3" s="131"/>
      <c r="J3" s="131"/>
      <c r="K3" s="131"/>
      <c r="L3" s="131"/>
      <c r="M3" s="131"/>
      <c r="N3" s="131"/>
      <c r="O3" s="131"/>
      <c r="P3" s="131"/>
      <c r="R3" s="32" t="s">
        <v>617</v>
      </c>
      <c r="S3" s="32" t="s">
        <v>19499</v>
      </c>
      <c r="T3" s="32" t="s">
        <v>620</v>
      </c>
      <c r="U3" s="32" t="s">
        <v>616</v>
      </c>
      <c r="V3" s="32" t="s">
        <v>19500</v>
      </c>
    </row>
    <row r="6" spans="1:22" s="18" customFormat="1" x14ac:dyDescent="0.25">
      <c r="A6"/>
      <c r="B6" s="110" t="s">
        <v>21991</v>
      </c>
      <c r="C6"/>
      <c r="D6"/>
      <c r="E6"/>
      <c r="F6"/>
      <c r="G6"/>
      <c r="H6"/>
      <c r="I6"/>
      <c r="J6"/>
      <c r="K6"/>
      <c r="L6"/>
      <c r="M6"/>
      <c r="N6"/>
      <c r="O6"/>
      <c r="P6"/>
      <c r="Q6"/>
      <c r="R6"/>
      <c r="S6"/>
      <c r="T6"/>
      <c r="U6"/>
      <c r="V6"/>
    </row>
    <row r="7" spans="1:22" ht="30" x14ac:dyDescent="0.25">
      <c r="A7" s="34" t="s">
        <v>19507</v>
      </c>
      <c r="B7" s="111" t="s">
        <v>21992</v>
      </c>
      <c r="C7" s="111" t="s">
        <v>19489</v>
      </c>
      <c r="D7" s="111" t="s">
        <v>19490</v>
      </c>
      <c r="E7" s="111" t="s">
        <v>19488</v>
      </c>
      <c r="F7" s="111" t="s">
        <v>19482</v>
      </c>
      <c r="G7" s="111" t="s">
        <v>19485</v>
      </c>
      <c r="H7" s="111" t="s">
        <v>19483</v>
      </c>
      <c r="I7" s="111" t="s">
        <v>19487</v>
      </c>
      <c r="J7" s="111" t="s">
        <v>19486</v>
      </c>
      <c r="K7" s="111" t="s">
        <v>19492</v>
      </c>
      <c r="L7" s="111" t="s">
        <v>19491</v>
      </c>
      <c r="M7" s="111" t="s">
        <v>19481</v>
      </c>
      <c r="N7" s="111" t="s">
        <v>19480</v>
      </c>
      <c r="O7" s="112" t="s">
        <v>19479</v>
      </c>
      <c r="P7" s="111" t="s">
        <v>19484</v>
      </c>
      <c r="Q7" s="111" t="s">
        <v>19478</v>
      </c>
      <c r="R7" s="20" t="s">
        <v>19512</v>
      </c>
      <c r="S7" s="20" t="s">
        <v>19499</v>
      </c>
      <c r="T7" s="20" t="s">
        <v>19513</v>
      </c>
      <c r="U7" s="20" t="s">
        <v>19511</v>
      </c>
      <c r="V7" s="20" t="s">
        <v>19500</v>
      </c>
    </row>
    <row r="8" spans="1:22" x14ac:dyDescent="0.25">
      <c r="A8" s="17" t="s">
        <v>285</v>
      </c>
      <c r="B8" s="21">
        <v>30.740000000000006</v>
      </c>
      <c r="C8" s="21">
        <v>30.740000000000006</v>
      </c>
      <c r="D8" s="21">
        <v>30.740000000000006</v>
      </c>
      <c r="E8" s="21">
        <v>30.740000000000006</v>
      </c>
      <c r="F8" s="21">
        <v>30.740000000000006</v>
      </c>
      <c r="G8" s="21">
        <v>30.740000000000006</v>
      </c>
      <c r="H8" s="21">
        <v>29.740000000000006</v>
      </c>
      <c r="I8" s="21">
        <v>30.740000000000006</v>
      </c>
      <c r="J8" s="21">
        <v>30.740000000000006</v>
      </c>
      <c r="K8" s="21">
        <v>30.740000000000006</v>
      </c>
      <c r="L8" s="21">
        <v>30.740000000000006</v>
      </c>
      <c r="M8" s="21">
        <v>25.740000000000006</v>
      </c>
      <c r="N8" s="21">
        <v>32.74</v>
      </c>
      <c r="O8" s="21">
        <v>30.740000000000006</v>
      </c>
      <c r="P8" s="21">
        <v>30.740000000000006</v>
      </c>
      <c r="Q8" s="21">
        <v>31.740000000000006</v>
      </c>
      <c r="R8" s="21">
        <v>4.95</v>
      </c>
      <c r="S8" s="21">
        <v>3.27</v>
      </c>
      <c r="T8" s="21">
        <v>1.3499999999999999</v>
      </c>
      <c r="U8" s="21">
        <v>1.05</v>
      </c>
      <c r="V8" s="21">
        <v>3.1200000000000006</v>
      </c>
    </row>
    <row r="9" spans="1:22" x14ac:dyDescent="0.25">
      <c r="A9" s="17" t="s">
        <v>338</v>
      </c>
      <c r="B9" s="21">
        <v>34.073333333333338</v>
      </c>
      <c r="C9" s="21">
        <v>34.073333333333338</v>
      </c>
      <c r="D9" s="21">
        <v>34.073333333333338</v>
      </c>
      <c r="E9" s="21">
        <v>34.073333333333338</v>
      </c>
      <c r="F9" s="21">
        <v>34.073333333333338</v>
      </c>
      <c r="G9" s="21">
        <v>34.073333333333338</v>
      </c>
      <c r="H9" s="21">
        <v>34.406666666666666</v>
      </c>
      <c r="I9" s="21">
        <v>34.073333333333338</v>
      </c>
      <c r="J9" s="21">
        <v>34.073333333333338</v>
      </c>
      <c r="K9" s="21">
        <v>34.073333333333338</v>
      </c>
      <c r="L9" s="21">
        <v>34.073333333333338</v>
      </c>
      <c r="M9" s="21">
        <v>29.073333333333338</v>
      </c>
      <c r="N9" s="21">
        <v>36.073333333333338</v>
      </c>
      <c r="O9" s="21">
        <v>34.073333333333338</v>
      </c>
      <c r="P9" s="21">
        <v>34.073333333333338</v>
      </c>
      <c r="Q9" s="21">
        <v>35.073333333333338</v>
      </c>
      <c r="R9" s="21">
        <v>7.6999999999999993</v>
      </c>
      <c r="S9" s="21">
        <v>3.27</v>
      </c>
      <c r="T9" s="21">
        <v>1.3499999999999999</v>
      </c>
      <c r="U9" s="21">
        <v>1.6333333333333333</v>
      </c>
      <c r="V9" s="21">
        <v>3.1200000000000006</v>
      </c>
    </row>
    <row r="10" spans="1:22" x14ac:dyDescent="0.25">
      <c r="A10" s="17" t="s">
        <v>361</v>
      </c>
      <c r="B10" s="21">
        <v>24.740000000000006</v>
      </c>
      <c r="C10" s="21">
        <v>24.740000000000006</v>
      </c>
      <c r="D10" s="21">
        <v>24.740000000000006</v>
      </c>
      <c r="E10" s="21">
        <v>24.740000000000006</v>
      </c>
      <c r="F10" s="21">
        <v>24.740000000000006</v>
      </c>
      <c r="G10" s="21">
        <v>24.740000000000006</v>
      </c>
      <c r="H10" s="21">
        <v>24.540000000000006</v>
      </c>
      <c r="I10" s="21">
        <v>24.740000000000006</v>
      </c>
      <c r="J10" s="21">
        <v>24.740000000000006</v>
      </c>
      <c r="K10" s="21">
        <v>24.740000000000006</v>
      </c>
      <c r="L10" s="21">
        <v>24.740000000000006</v>
      </c>
      <c r="M10" s="21">
        <v>19.740000000000006</v>
      </c>
      <c r="N10" s="21">
        <v>26.740000000000002</v>
      </c>
      <c r="O10" s="21">
        <v>24.740000000000006</v>
      </c>
      <c r="P10" s="21">
        <v>24.740000000000006</v>
      </c>
      <c r="Q10" s="21">
        <v>25.740000000000002</v>
      </c>
      <c r="R10" s="21">
        <v>0</v>
      </c>
      <c r="S10" s="21">
        <v>3.2700000000000005</v>
      </c>
      <c r="T10" s="21">
        <v>1.3499999999999999</v>
      </c>
      <c r="U10" s="21">
        <v>0</v>
      </c>
      <c r="V10" s="21">
        <v>3.1200000000000006</v>
      </c>
    </row>
    <row r="11" spans="1:22" x14ac:dyDescent="0.25">
      <c r="A11" s="17" t="s">
        <v>174</v>
      </c>
      <c r="B11" s="21">
        <v>35.540000000000006</v>
      </c>
      <c r="C11" s="21">
        <v>35.540000000000006</v>
      </c>
      <c r="D11" s="21">
        <v>35.540000000000006</v>
      </c>
      <c r="E11" s="21">
        <v>35.540000000000006</v>
      </c>
      <c r="F11" s="21">
        <v>35.540000000000006</v>
      </c>
      <c r="G11" s="21">
        <v>35.540000000000006</v>
      </c>
      <c r="H11" s="21">
        <v>36.540000000000006</v>
      </c>
      <c r="I11" s="21">
        <v>35.540000000000006</v>
      </c>
      <c r="J11" s="21">
        <v>35.540000000000006</v>
      </c>
      <c r="K11" s="21">
        <v>35.540000000000006</v>
      </c>
      <c r="L11" s="21">
        <v>35.540000000000006</v>
      </c>
      <c r="M11" s="21">
        <v>30.540000000000003</v>
      </c>
      <c r="N11" s="21">
        <v>37.540000000000006</v>
      </c>
      <c r="O11" s="21">
        <v>35.540000000000006</v>
      </c>
      <c r="P11" s="21">
        <v>35.540000000000006</v>
      </c>
      <c r="Q11" s="21">
        <v>36.540000000000006</v>
      </c>
      <c r="R11" s="21">
        <v>8.91</v>
      </c>
      <c r="S11" s="21">
        <v>3.2700000000000005</v>
      </c>
      <c r="T11" s="21">
        <v>1.3499999999999999</v>
      </c>
      <c r="U11" s="21">
        <v>1.8900000000000001</v>
      </c>
      <c r="V11" s="21">
        <v>3.1200000000000006</v>
      </c>
    </row>
    <row r="12" spans="1:22" x14ac:dyDescent="0.25">
      <c r="A12" s="17" t="s">
        <v>413</v>
      </c>
      <c r="B12" s="21">
        <v>24.740000000000006</v>
      </c>
      <c r="C12" s="21">
        <v>24.740000000000006</v>
      </c>
      <c r="D12" s="21">
        <v>24.740000000000006</v>
      </c>
      <c r="E12" s="21">
        <v>24.740000000000006</v>
      </c>
      <c r="F12" s="21">
        <v>24.740000000000006</v>
      </c>
      <c r="G12" s="21">
        <v>24.740000000000006</v>
      </c>
      <c r="H12" s="21">
        <v>25.740000000000002</v>
      </c>
      <c r="I12" s="21">
        <v>24.740000000000006</v>
      </c>
      <c r="J12" s="21">
        <v>24.740000000000006</v>
      </c>
      <c r="K12" s="21">
        <v>24.740000000000006</v>
      </c>
      <c r="L12" s="21">
        <v>24.740000000000006</v>
      </c>
      <c r="M12" s="21">
        <v>19.740000000000006</v>
      </c>
      <c r="N12" s="21">
        <v>26.740000000000002</v>
      </c>
      <c r="O12" s="21">
        <v>24.740000000000006</v>
      </c>
      <c r="P12" s="21">
        <v>24.740000000000006</v>
      </c>
      <c r="Q12" s="21">
        <v>25.740000000000002</v>
      </c>
      <c r="R12" s="21">
        <v>0</v>
      </c>
      <c r="S12" s="21">
        <v>3.2700000000000005</v>
      </c>
      <c r="T12" s="21">
        <v>1.3499999999999999</v>
      </c>
      <c r="U12" s="21">
        <v>0</v>
      </c>
      <c r="V12" s="21">
        <v>3.1200000000000006</v>
      </c>
    </row>
    <row r="13" spans="1:22" x14ac:dyDescent="0.25">
      <c r="A13" s="17" t="s">
        <v>498</v>
      </c>
      <c r="B13" s="21">
        <v>24.740000000000006</v>
      </c>
      <c r="C13" s="21">
        <v>24.740000000000006</v>
      </c>
      <c r="D13" s="21">
        <v>24.740000000000006</v>
      </c>
      <c r="E13" s="21">
        <v>24.740000000000006</v>
      </c>
      <c r="F13" s="21">
        <v>24.740000000000006</v>
      </c>
      <c r="G13" s="21">
        <v>24.740000000000006</v>
      </c>
      <c r="H13" s="21">
        <v>25.140000000000008</v>
      </c>
      <c r="I13" s="21">
        <v>24.740000000000006</v>
      </c>
      <c r="J13" s="21">
        <v>24.740000000000006</v>
      </c>
      <c r="K13" s="21">
        <v>24.740000000000006</v>
      </c>
      <c r="L13" s="21">
        <v>24.740000000000006</v>
      </c>
      <c r="M13" s="21">
        <v>19.740000000000006</v>
      </c>
      <c r="N13" s="21">
        <v>26.740000000000002</v>
      </c>
      <c r="O13" s="21">
        <v>24.740000000000006</v>
      </c>
      <c r="P13" s="21">
        <v>24.740000000000006</v>
      </c>
      <c r="Q13" s="21">
        <v>25.740000000000002</v>
      </c>
      <c r="R13" s="21">
        <v>0</v>
      </c>
      <c r="S13" s="21">
        <v>3.2700000000000005</v>
      </c>
      <c r="T13" s="21">
        <v>1.3499999999999999</v>
      </c>
      <c r="U13" s="21">
        <v>0</v>
      </c>
      <c r="V13" s="21">
        <v>3.1200000000000006</v>
      </c>
    </row>
    <row r="14" spans="1:22" x14ac:dyDescent="0.25">
      <c r="A14" s="17" t="s">
        <v>533</v>
      </c>
      <c r="B14" s="21">
        <v>24.740000000000006</v>
      </c>
      <c r="C14" s="21">
        <v>24.740000000000006</v>
      </c>
      <c r="D14" s="21">
        <v>24.740000000000006</v>
      </c>
      <c r="E14" s="21">
        <v>24.740000000000006</v>
      </c>
      <c r="F14" s="21">
        <v>24.740000000000006</v>
      </c>
      <c r="G14" s="21">
        <v>24.740000000000006</v>
      </c>
      <c r="H14" s="21">
        <v>25.740000000000002</v>
      </c>
      <c r="I14" s="21">
        <v>24.740000000000006</v>
      </c>
      <c r="J14" s="21">
        <v>24.740000000000006</v>
      </c>
      <c r="K14" s="21">
        <v>24.740000000000006</v>
      </c>
      <c r="L14" s="21">
        <v>24.740000000000006</v>
      </c>
      <c r="M14" s="21">
        <v>19.740000000000006</v>
      </c>
      <c r="N14" s="21">
        <v>26.740000000000002</v>
      </c>
      <c r="O14" s="21">
        <v>24.740000000000006</v>
      </c>
      <c r="P14" s="21">
        <v>24.740000000000006</v>
      </c>
      <c r="Q14" s="21">
        <v>25.740000000000002</v>
      </c>
      <c r="R14" s="21">
        <v>0</v>
      </c>
      <c r="S14" s="21">
        <v>3.2700000000000005</v>
      </c>
      <c r="T14" s="21">
        <v>1.3499999999999999</v>
      </c>
      <c r="U14" s="21">
        <v>0</v>
      </c>
      <c r="V14" s="21">
        <v>3.1200000000000006</v>
      </c>
    </row>
    <row r="15" spans="1:22" x14ac:dyDescent="0.25">
      <c r="A15" s="17" t="s">
        <v>41</v>
      </c>
      <c r="B15" s="21">
        <v>36.74</v>
      </c>
      <c r="C15" s="21">
        <v>36.74</v>
      </c>
      <c r="D15" s="21">
        <v>36.74</v>
      </c>
      <c r="E15" s="21">
        <v>36.74</v>
      </c>
      <c r="F15" s="21">
        <v>36.74</v>
      </c>
      <c r="G15" s="21">
        <v>36.74</v>
      </c>
      <c r="H15" s="21">
        <v>36.24</v>
      </c>
      <c r="I15" s="21">
        <v>36.74</v>
      </c>
      <c r="J15" s="21">
        <v>36.74</v>
      </c>
      <c r="K15" s="21">
        <v>36.74</v>
      </c>
      <c r="L15" s="21">
        <v>36.74</v>
      </c>
      <c r="M15" s="21">
        <v>31.740000000000006</v>
      </c>
      <c r="N15" s="21">
        <v>38.74</v>
      </c>
      <c r="O15" s="21">
        <v>36.74</v>
      </c>
      <c r="P15" s="21">
        <v>36.74</v>
      </c>
      <c r="Q15" s="21">
        <v>37.74</v>
      </c>
      <c r="R15" s="21">
        <v>9.9</v>
      </c>
      <c r="S15" s="21">
        <v>3.27</v>
      </c>
      <c r="T15" s="21">
        <v>1.3499999999999999</v>
      </c>
      <c r="U15" s="21">
        <v>2.1</v>
      </c>
      <c r="V15" s="21">
        <v>3.1200000000000006</v>
      </c>
    </row>
    <row r="16" spans="1:22" x14ac:dyDescent="0.25">
      <c r="A16" s="17" t="s">
        <v>595</v>
      </c>
      <c r="B16" s="21">
        <v>31.40666666666667</v>
      </c>
      <c r="C16" s="21">
        <v>31.40666666666667</v>
      </c>
      <c r="D16" s="21">
        <v>31.40666666666667</v>
      </c>
      <c r="E16" s="21">
        <v>31.40666666666667</v>
      </c>
      <c r="F16" s="21">
        <v>31.40666666666667</v>
      </c>
      <c r="G16" s="21">
        <v>31.40666666666667</v>
      </c>
      <c r="H16" s="21">
        <v>32.406666666666666</v>
      </c>
      <c r="I16" s="21">
        <v>31.40666666666667</v>
      </c>
      <c r="J16" s="21">
        <v>31.40666666666667</v>
      </c>
      <c r="K16" s="21">
        <v>31.40666666666667</v>
      </c>
      <c r="L16" s="21">
        <v>31.40666666666667</v>
      </c>
      <c r="M16" s="21">
        <v>26.406666666666673</v>
      </c>
      <c r="N16" s="21">
        <v>33.406666666666666</v>
      </c>
      <c r="O16" s="21">
        <v>31.40666666666667</v>
      </c>
      <c r="P16" s="21">
        <v>31.40666666666667</v>
      </c>
      <c r="Q16" s="21">
        <v>32.406666666666666</v>
      </c>
      <c r="R16" s="21">
        <v>5.5</v>
      </c>
      <c r="S16" s="21">
        <v>3.27</v>
      </c>
      <c r="T16" s="21">
        <v>1.3499999999999999</v>
      </c>
      <c r="U16" s="21">
        <v>1.1666666666666667</v>
      </c>
      <c r="V16" s="21">
        <v>3.1200000000000006</v>
      </c>
    </row>
    <row r="17" spans="1:22" x14ac:dyDescent="0.25">
      <c r="A17" s="17" t="s">
        <v>499</v>
      </c>
      <c r="B17" s="21">
        <v>24.740000000000006</v>
      </c>
      <c r="C17" s="21">
        <v>24.740000000000006</v>
      </c>
      <c r="D17" s="21">
        <v>24.740000000000006</v>
      </c>
      <c r="E17" s="21">
        <v>24.740000000000006</v>
      </c>
      <c r="F17" s="21">
        <v>24.740000000000006</v>
      </c>
      <c r="G17" s="21">
        <v>24.740000000000006</v>
      </c>
      <c r="H17" s="21">
        <v>23.740000000000006</v>
      </c>
      <c r="I17" s="21">
        <v>24.740000000000006</v>
      </c>
      <c r="J17" s="21">
        <v>24.740000000000006</v>
      </c>
      <c r="K17" s="21">
        <v>24.740000000000006</v>
      </c>
      <c r="L17" s="21">
        <v>24.740000000000006</v>
      </c>
      <c r="M17" s="21">
        <v>19.740000000000006</v>
      </c>
      <c r="N17" s="21">
        <v>26.740000000000006</v>
      </c>
      <c r="O17" s="21">
        <v>24.740000000000006</v>
      </c>
      <c r="P17" s="21">
        <v>24.740000000000006</v>
      </c>
      <c r="Q17" s="21">
        <v>25.740000000000006</v>
      </c>
      <c r="R17" s="21">
        <v>0</v>
      </c>
      <c r="S17" s="21">
        <v>3.27</v>
      </c>
      <c r="T17" s="21">
        <v>1.3499999999999999</v>
      </c>
      <c r="U17" s="21">
        <v>0</v>
      </c>
      <c r="V17" s="21">
        <v>3.1200000000000006</v>
      </c>
    </row>
    <row r="18" spans="1:22" x14ac:dyDescent="0.25">
      <c r="A18" s="17" t="s">
        <v>269</v>
      </c>
      <c r="B18" s="21">
        <v>25.940000000000005</v>
      </c>
      <c r="C18" s="21">
        <v>25.940000000000005</v>
      </c>
      <c r="D18" s="21">
        <v>25.940000000000005</v>
      </c>
      <c r="E18" s="21">
        <v>25.940000000000005</v>
      </c>
      <c r="F18" s="21">
        <v>25.940000000000005</v>
      </c>
      <c r="G18" s="21">
        <v>25.940000000000005</v>
      </c>
      <c r="H18" s="21">
        <v>24.540000000000006</v>
      </c>
      <c r="I18" s="21">
        <v>25.940000000000005</v>
      </c>
      <c r="J18" s="21">
        <v>25.940000000000005</v>
      </c>
      <c r="K18" s="21">
        <v>25.940000000000005</v>
      </c>
      <c r="L18" s="21">
        <v>25.940000000000005</v>
      </c>
      <c r="M18" s="21">
        <v>20.940000000000005</v>
      </c>
      <c r="N18" s="21">
        <v>27.940000000000005</v>
      </c>
      <c r="O18" s="21">
        <v>25.940000000000005</v>
      </c>
      <c r="P18" s="21">
        <v>25.940000000000005</v>
      </c>
      <c r="Q18" s="21">
        <v>26.940000000000005</v>
      </c>
      <c r="R18" s="21">
        <v>0.99</v>
      </c>
      <c r="S18" s="21">
        <v>3.2700000000000005</v>
      </c>
      <c r="T18" s="21">
        <v>1.3499999999999999</v>
      </c>
      <c r="U18" s="21">
        <v>0.21000000000000002</v>
      </c>
      <c r="V18" s="21">
        <v>3.1200000000000006</v>
      </c>
    </row>
    <row r="19" spans="1:22" x14ac:dyDescent="0.25">
      <c r="A19" s="17" t="s">
        <v>449</v>
      </c>
      <c r="B19" s="21">
        <v>35.540000000000006</v>
      </c>
      <c r="C19" s="21">
        <v>35.540000000000006</v>
      </c>
      <c r="D19" s="21">
        <v>35.540000000000006</v>
      </c>
      <c r="E19" s="21">
        <v>35.540000000000006</v>
      </c>
      <c r="F19" s="21">
        <v>35.540000000000006</v>
      </c>
      <c r="G19" s="21">
        <v>35.540000000000006</v>
      </c>
      <c r="H19" s="21">
        <v>35.940000000000005</v>
      </c>
      <c r="I19" s="21">
        <v>35.540000000000006</v>
      </c>
      <c r="J19" s="21">
        <v>35.540000000000006</v>
      </c>
      <c r="K19" s="21">
        <v>35.540000000000006</v>
      </c>
      <c r="L19" s="21">
        <v>35.540000000000006</v>
      </c>
      <c r="M19" s="21">
        <v>30.540000000000003</v>
      </c>
      <c r="N19" s="21">
        <v>37.540000000000006</v>
      </c>
      <c r="O19" s="21">
        <v>35.540000000000006</v>
      </c>
      <c r="P19" s="21">
        <v>35.540000000000006</v>
      </c>
      <c r="Q19" s="21">
        <v>36.540000000000006</v>
      </c>
      <c r="R19" s="21">
        <v>8.91</v>
      </c>
      <c r="S19" s="21">
        <v>3.2700000000000005</v>
      </c>
      <c r="T19" s="21">
        <v>1.3499999999999999</v>
      </c>
      <c r="U19" s="21">
        <v>1.8900000000000001</v>
      </c>
      <c r="V19" s="21">
        <v>3.1200000000000006</v>
      </c>
    </row>
    <row r="20" spans="1:22" x14ac:dyDescent="0.25">
      <c r="A20" s="17" t="s">
        <v>525</v>
      </c>
      <c r="B20" s="21">
        <v>27.406666666666673</v>
      </c>
      <c r="C20" s="21">
        <v>27.406666666666673</v>
      </c>
      <c r="D20" s="21">
        <v>27.406666666666673</v>
      </c>
      <c r="E20" s="21">
        <v>27.406666666666673</v>
      </c>
      <c r="F20" s="21">
        <v>27.406666666666673</v>
      </c>
      <c r="G20" s="21">
        <v>27.406666666666673</v>
      </c>
      <c r="H20" s="21">
        <v>27.740000000000006</v>
      </c>
      <c r="I20" s="21">
        <v>27.406666666666673</v>
      </c>
      <c r="J20" s="21">
        <v>27.406666666666673</v>
      </c>
      <c r="K20" s="21">
        <v>27.406666666666673</v>
      </c>
      <c r="L20" s="21">
        <v>27.406666666666673</v>
      </c>
      <c r="M20" s="21">
        <v>22.406666666666673</v>
      </c>
      <c r="N20" s="21">
        <v>29.40666666666667</v>
      </c>
      <c r="O20" s="21">
        <v>27.406666666666673</v>
      </c>
      <c r="P20" s="21">
        <v>27.406666666666673</v>
      </c>
      <c r="Q20" s="21">
        <v>28.406666666666673</v>
      </c>
      <c r="R20" s="21">
        <v>2.2000000000000002</v>
      </c>
      <c r="S20" s="21">
        <v>3.27</v>
      </c>
      <c r="T20" s="21">
        <v>1.3499999999999999</v>
      </c>
      <c r="U20" s="21">
        <v>0.46666666666666667</v>
      </c>
      <c r="V20" s="21">
        <v>3.1200000000000006</v>
      </c>
    </row>
    <row r="21" spans="1:22" x14ac:dyDescent="0.25">
      <c r="A21" s="17" t="s">
        <v>426</v>
      </c>
      <c r="B21" s="21">
        <v>24.740000000000006</v>
      </c>
      <c r="C21" s="21">
        <v>24.740000000000006</v>
      </c>
      <c r="D21" s="21">
        <v>24.740000000000006</v>
      </c>
      <c r="E21" s="21">
        <v>24.740000000000006</v>
      </c>
      <c r="F21" s="21">
        <v>24.740000000000006</v>
      </c>
      <c r="G21" s="21">
        <v>24.740000000000006</v>
      </c>
      <c r="H21" s="21">
        <v>22.740000000000006</v>
      </c>
      <c r="I21" s="21">
        <v>24.740000000000006</v>
      </c>
      <c r="J21" s="21">
        <v>24.740000000000006</v>
      </c>
      <c r="K21" s="21">
        <v>24.740000000000006</v>
      </c>
      <c r="L21" s="21">
        <v>24.740000000000006</v>
      </c>
      <c r="M21" s="21">
        <v>19.740000000000006</v>
      </c>
      <c r="N21" s="21">
        <v>26.740000000000002</v>
      </c>
      <c r="O21" s="21">
        <v>24.740000000000006</v>
      </c>
      <c r="P21" s="21">
        <v>24.740000000000006</v>
      </c>
      <c r="Q21" s="21">
        <v>25.740000000000002</v>
      </c>
      <c r="R21" s="21">
        <v>0</v>
      </c>
      <c r="S21" s="21">
        <v>3.2700000000000005</v>
      </c>
      <c r="T21" s="21">
        <v>1.3499999999999999</v>
      </c>
      <c r="U21" s="21">
        <v>0</v>
      </c>
      <c r="V21" s="21">
        <v>3.1200000000000006</v>
      </c>
    </row>
    <row r="22" spans="1:22" x14ac:dyDescent="0.25">
      <c r="A22" s="17" t="s">
        <v>127</v>
      </c>
      <c r="B22" s="21">
        <v>24.740000000000006</v>
      </c>
      <c r="C22" s="21">
        <v>24.740000000000006</v>
      </c>
      <c r="D22" s="21">
        <v>24.740000000000006</v>
      </c>
      <c r="E22" s="21">
        <v>24.740000000000006</v>
      </c>
      <c r="F22" s="21">
        <v>24.740000000000006</v>
      </c>
      <c r="G22" s="21">
        <v>24.740000000000006</v>
      </c>
      <c r="H22" s="21">
        <v>22.740000000000006</v>
      </c>
      <c r="I22" s="21">
        <v>24.740000000000006</v>
      </c>
      <c r="J22" s="21">
        <v>24.740000000000006</v>
      </c>
      <c r="K22" s="21">
        <v>24.740000000000006</v>
      </c>
      <c r="L22" s="21">
        <v>24.740000000000006</v>
      </c>
      <c r="M22" s="21">
        <v>19.740000000000006</v>
      </c>
      <c r="N22" s="21">
        <v>26.740000000000002</v>
      </c>
      <c r="O22" s="21">
        <v>24.740000000000006</v>
      </c>
      <c r="P22" s="21">
        <v>24.740000000000006</v>
      </c>
      <c r="Q22" s="21">
        <v>25.740000000000002</v>
      </c>
      <c r="R22" s="21">
        <v>0</v>
      </c>
      <c r="S22" s="21">
        <v>3.2700000000000005</v>
      </c>
      <c r="T22" s="21">
        <v>1.3499999999999999</v>
      </c>
      <c r="U22" s="21">
        <v>0</v>
      </c>
      <c r="V22" s="21">
        <v>3.1200000000000006</v>
      </c>
    </row>
    <row r="23" spans="1:22" x14ac:dyDescent="0.25">
      <c r="A23" s="17" t="s">
        <v>111</v>
      </c>
      <c r="B23" s="21">
        <v>34.340000000000003</v>
      </c>
      <c r="C23" s="21">
        <v>34.340000000000003</v>
      </c>
      <c r="D23" s="21">
        <v>34.340000000000003</v>
      </c>
      <c r="E23" s="21">
        <v>34.340000000000003</v>
      </c>
      <c r="F23" s="21">
        <v>34.340000000000003</v>
      </c>
      <c r="G23" s="21">
        <v>34.340000000000003</v>
      </c>
      <c r="H23" s="21">
        <v>34.74</v>
      </c>
      <c r="I23" s="21">
        <v>34.340000000000003</v>
      </c>
      <c r="J23" s="21">
        <v>34.340000000000003</v>
      </c>
      <c r="K23" s="21">
        <v>34.340000000000003</v>
      </c>
      <c r="L23" s="21">
        <v>34.340000000000003</v>
      </c>
      <c r="M23" s="21">
        <v>29.340000000000003</v>
      </c>
      <c r="N23" s="21">
        <v>36.340000000000003</v>
      </c>
      <c r="O23" s="21">
        <v>34.340000000000003</v>
      </c>
      <c r="P23" s="21">
        <v>34.340000000000003</v>
      </c>
      <c r="Q23" s="21">
        <v>35.340000000000003</v>
      </c>
      <c r="R23" s="21">
        <v>7.92</v>
      </c>
      <c r="S23" s="21">
        <v>3.2700000000000005</v>
      </c>
      <c r="T23" s="21">
        <v>1.3499999999999999</v>
      </c>
      <c r="U23" s="21">
        <v>1.6800000000000002</v>
      </c>
      <c r="V23" s="21">
        <v>3.1200000000000006</v>
      </c>
    </row>
    <row r="24" spans="1:22" x14ac:dyDescent="0.25">
      <c r="A24" s="17" t="s">
        <v>210</v>
      </c>
      <c r="B24" s="21">
        <v>35.540000000000006</v>
      </c>
      <c r="C24" s="21">
        <v>35.540000000000006</v>
      </c>
      <c r="D24" s="21">
        <v>35.540000000000006</v>
      </c>
      <c r="E24" s="21">
        <v>35.540000000000006</v>
      </c>
      <c r="F24" s="21">
        <v>35.540000000000006</v>
      </c>
      <c r="G24" s="21">
        <v>35.540000000000006</v>
      </c>
      <c r="H24" s="21">
        <v>31.740000000000002</v>
      </c>
      <c r="I24" s="21">
        <v>35.540000000000006</v>
      </c>
      <c r="J24" s="21">
        <v>35.540000000000006</v>
      </c>
      <c r="K24" s="21">
        <v>35.540000000000006</v>
      </c>
      <c r="L24" s="21">
        <v>35.540000000000006</v>
      </c>
      <c r="M24" s="21">
        <v>30.540000000000003</v>
      </c>
      <c r="N24" s="21">
        <v>37.540000000000006</v>
      </c>
      <c r="O24" s="21">
        <v>35.540000000000006</v>
      </c>
      <c r="P24" s="21">
        <v>35.540000000000006</v>
      </c>
      <c r="Q24" s="21">
        <v>36.540000000000006</v>
      </c>
      <c r="R24" s="21">
        <v>8.91</v>
      </c>
      <c r="S24" s="21">
        <v>3.2700000000000005</v>
      </c>
      <c r="T24" s="21">
        <v>1.3499999999999999</v>
      </c>
      <c r="U24" s="21">
        <v>1.8900000000000001</v>
      </c>
      <c r="V24" s="21">
        <v>3.1200000000000006</v>
      </c>
    </row>
    <row r="25" spans="1:22" x14ac:dyDescent="0.25">
      <c r="A25" s="17" t="s">
        <v>548</v>
      </c>
      <c r="B25" s="21">
        <v>35.025714285714294</v>
      </c>
      <c r="C25" s="21">
        <v>35.025714285714294</v>
      </c>
      <c r="D25" s="21">
        <v>35.025714285714294</v>
      </c>
      <c r="E25" s="21">
        <v>35.025714285714294</v>
      </c>
      <c r="F25" s="21">
        <v>35.025714285714294</v>
      </c>
      <c r="G25" s="21">
        <v>35.025714285714294</v>
      </c>
      <c r="H25" s="21">
        <v>35.168571428571433</v>
      </c>
      <c r="I25" s="21">
        <v>35.025714285714294</v>
      </c>
      <c r="J25" s="21">
        <v>35.025714285714294</v>
      </c>
      <c r="K25" s="21">
        <v>35.025714285714294</v>
      </c>
      <c r="L25" s="21">
        <v>35.025714285714294</v>
      </c>
      <c r="M25" s="21">
        <v>30.02571428571429</v>
      </c>
      <c r="N25" s="21">
        <v>37.025714285714287</v>
      </c>
      <c r="O25" s="21">
        <v>35.025714285714294</v>
      </c>
      <c r="P25" s="21">
        <v>35.025714285714294</v>
      </c>
      <c r="Q25" s="21">
        <v>36.025714285714294</v>
      </c>
      <c r="R25" s="21">
        <v>8.4857142857142858</v>
      </c>
      <c r="S25" s="21">
        <v>3.27</v>
      </c>
      <c r="T25" s="21">
        <v>1.3499999999999999</v>
      </c>
      <c r="U25" s="21">
        <v>1.8</v>
      </c>
      <c r="V25" s="21">
        <v>3.1200000000000006</v>
      </c>
    </row>
    <row r="26" spans="1:22" x14ac:dyDescent="0.25">
      <c r="A26" s="17" t="s">
        <v>611</v>
      </c>
      <c r="B26" s="21">
        <v>31.940000000000005</v>
      </c>
      <c r="C26" s="21">
        <v>31.940000000000005</v>
      </c>
      <c r="D26" s="21">
        <v>31.940000000000005</v>
      </c>
      <c r="E26" s="21">
        <v>31.940000000000005</v>
      </c>
      <c r="F26" s="21">
        <v>31.940000000000005</v>
      </c>
      <c r="G26" s="21">
        <v>31.940000000000005</v>
      </c>
      <c r="H26" s="21">
        <v>32.340000000000003</v>
      </c>
      <c r="I26" s="21">
        <v>31.940000000000005</v>
      </c>
      <c r="J26" s="21">
        <v>31.940000000000005</v>
      </c>
      <c r="K26" s="21">
        <v>31.940000000000005</v>
      </c>
      <c r="L26" s="21">
        <v>31.940000000000005</v>
      </c>
      <c r="M26" s="21">
        <v>26.940000000000005</v>
      </c>
      <c r="N26" s="21">
        <v>33.940000000000005</v>
      </c>
      <c r="O26" s="21">
        <v>31.940000000000005</v>
      </c>
      <c r="P26" s="21">
        <v>31.940000000000005</v>
      </c>
      <c r="Q26" s="21">
        <v>32.940000000000005</v>
      </c>
      <c r="R26" s="21">
        <v>5.9399999999999995</v>
      </c>
      <c r="S26" s="21">
        <v>3.2700000000000005</v>
      </c>
      <c r="T26" s="21">
        <v>1.3499999999999999</v>
      </c>
      <c r="U26" s="21">
        <v>1.26</v>
      </c>
      <c r="V26" s="21">
        <v>3.1200000000000006</v>
      </c>
    </row>
    <row r="27" spans="1:22" x14ac:dyDescent="0.25">
      <c r="A27" s="17" t="s">
        <v>40</v>
      </c>
      <c r="B27" s="21">
        <v>35.540000000000006</v>
      </c>
      <c r="C27" s="21">
        <v>35.540000000000006</v>
      </c>
      <c r="D27" s="21">
        <v>35.540000000000006</v>
      </c>
      <c r="E27" s="21">
        <v>35.540000000000006</v>
      </c>
      <c r="F27" s="21">
        <v>35.540000000000006</v>
      </c>
      <c r="G27" s="21">
        <v>35.540000000000006</v>
      </c>
      <c r="H27" s="21">
        <v>35.940000000000005</v>
      </c>
      <c r="I27" s="21">
        <v>35.540000000000006</v>
      </c>
      <c r="J27" s="21">
        <v>35.540000000000006</v>
      </c>
      <c r="K27" s="21">
        <v>35.540000000000006</v>
      </c>
      <c r="L27" s="21">
        <v>35.540000000000006</v>
      </c>
      <c r="M27" s="21">
        <v>30.540000000000003</v>
      </c>
      <c r="N27" s="21">
        <v>37.540000000000006</v>
      </c>
      <c r="O27" s="21">
        <v>35.540000000000006</v>
      </c>
      <c r="P27" s="21">
        <v>35.540000000000006</v>
      </c>
      <c r="Q27" s="21">
        <v>36.540000000000006</v>
      </c>
      <c r="R27" s="21">
        <v>8.91</v>
      </c>
      <c r="S27" s="21">
        <v>3.2700000000000005</v>
      </c>
      <c r="T27" s="21">
        <v>1.3499999999999999</v>
      </c>
      <c r="U27" s="21">
        <v>1.8900000000000001</v>
      </c>
      <c r="V27" s="21">
        <v>3.1200000000000006</v>
      </c>
    </row>
    <row r="28" spans="1:22" x14ac:dyDescent="0.25">
      <c r="A28" s="17" t="s">
        <v>333</v>
      </c>
      <c r="B28" s="21">
        <v>34.340000000000003</v>
      </c>
      <c r="C28" s="21">
        <v>34.340000000000003</v>
      </c>
      <c r="D28" s="21">
        <v>34.340000000000003</v>
      </c>
      <c r="E28" s="21">
        <v>34.340000000000003</v>
      </c>
      <c r="F28" s="21">
        <v>34.340000000000003</v>
      </c>
      <c r="G28" s="21">
        <v>34.340000000000003</v>
      </c>
      <c r="H28" s="21">
        <v>34.74</v>
      </c>
      <c r="I28" s="21">
        <v>34.340000000000003</v>
      </c>
      <c r="J28" s="21">
        <v>34.340000000000003</v>
      </c>
      <c r="K28" s="21">
        <v>34.340000000000003</v>
      </c>
      <c r="L28" s="21">
        <v>34.340000000000003</v>
      </c>
      <c r="M28" s="21">
        <v>29.340000000000003</v>
      </c>
      <c r="N28" s="21">
        <v>36.340000000000003</v>
      </c>
      <c r="O28" s="21">
        <v>34.340000000000003</v>
      </c>
      <c r="P28" s="21">
        <v>34.340000000000003</v>
      </c>
      <c r="Q28" s="21">
        <v>35.340000000000003</v>
      </c>
      <c r="R28" s="21">
        <v>7.92</v>
      </c>
      <c r="S28" s="21">
        <v>3.2700000000000005</v>
      </c>
      <c r="T28" s="21">
        <v>1.3499999999999999</v>
      </c>
      <c r="U28" s="21">
        <v>1.6800000000000002</v>
      </c>
      <c r="V28" s="21">
        <v>3.1200000000000006</v>
      </c>
    </row>
    <row r="29" spans="1:22" x14ac:dyDescent="0.25">
      <c r="A29" s="17" t="s">
        <v>460</v>
      </c>
      <c r="B29" s="21">
        <v>31.940000000000005</v>
      </c>
      <c r="C29" s="21">
        <v>31.940000000000005</v>
      </c>
      <c r="D29" s="21">
        <v>31.940000000000005</v>
      </c>
      <c r="E29" s="21">
        <v>31.940000000000005</v>
      </c>
      <c r="F29" s="21">
        <v>31.940000000000005</v>
      </c>
      <c r="G29" s="21">
        <v>31.940000000000005</v>
      </c>
      <c r="H29" s="21">
        <v>31.740000000000002</v>
      </c>
      <c r="I29" s="21">
        <v>31.940000000000005</v>
      </c>
      <c r="J29" s="21">
        <v>31.940000000000005</v>
      </c>
      <c r="K29" s="21">
        <v>31.940000000000005</v>
      </c>
      <c r="L29" s="21">
        <v>31.940000000000005</v>
      </c>
      <c r="M29" s="21">
        <v>26.940000000000005</v>
      </c>
      <c r="N29" s="21">
        <v>33.940000000000005</v>
      </c>
      <c r="O29" s="21">
        <v>31.940000000000005</v>
      </c>
      <c r="P29" s="21">
        <v>31.940000000000005</v>
      </c>
      <c r="Q29" s="21">
        <v>32.940000000000005</v>
      </c>
      <c r="R29" s="21">
        <v>5.9399999999999995</v>
      </c>
      <c r="S29" s="21">
        <v>3.2700000000000005</v>
      </c>
      <c r="T29" s="21">
        <v>1.3499999999999999</v>
      </c>
      <c r="U29" s="21">
        <v>1.26</v>
      </c>
      <c r="V29" s="21">
        <v>3.1200000000000006</v>
      </c>
    </row>
    <row r="30" spans="1:22" x14ac:dyDescent="0.25">
      <c r="A30" s="17" t="s">
        <v>472</v>
      </c>
      <c r="B30" s="21">
        <v>29.540000000000003</v>
      </c>
      <c r="C30" s="21">
        <v>29.540000000000003</v>
      </c>
      <c r="D30" s="21">
        <v>29.540000000000003</v>
      </c>
      <c r="E30" s="21">
        <v>29.540000000000003</v>
      </c>
      <c r="F30" s="21">
        <v>29.540000000000003</v>
      </c>
      <c r="G30" s="21">
        <v>29.540000000000003</v>
      </c>
      <c r="H30" s="21">
        <v>30.540000000000003</v>
      </c>
      <c r="I30" s="21">
        <v>29.540000000000003</v>
      </c>
      <c r="J30" s="21">
        <v>29.540000000000003</v>
      </c>
      <c r="K30" s="21">
        <v>29.540000000000003</v>
      </c>
      <c r="L30" s="21">
        <v>29.540000000000003</v>
      </c>
      <c r="M30" s="21">
        <v>24.540000000000006</v>
      </c>
      <c r="N30" s="21">
        <v>31.540000000000003</v>
      </c>
      <c r="O30" s="21">
        <v>29.540000000000003</v>
      </c>
      <c r="P30" s="21">
        <v>29.540000000000003</v>
      </c>
      <c r="Q30" s="21">
        <v>30.540000000000003</v>
      </c>
      <c r="R30" s="21">
        <v>3.96</v>
      </c>
      <c r="S30" s="21">
        <v>3.2700000000000005</v>
      </c>
      <c r="T30" s="21">
        <v>1.3499999999999999</v>
      </c>
      <c r="U30" s="21">
        <v>0.84000000000000008</v>
      </c>
      <c r="V30" s="21">
        <v>3.1200000000000006</v>
      </c>
    </row>
    <row r="31" spans="1:22" x14ac:dyDescent="0.25">
      <c r="A31" s="17" t="s">
        <v>171</v>
      </c>
      <c r="B31" s="21">
        <v>36.74</v>
      </c>
      <c r="C31" s="21">
        <v>36.74</v>
      </c>
      <c r="D31" s="21">
        <v>36.74</v>
      </c>
      <c r="E31" s="21">
        <v>36.74</v>
      </c>
      <c r="F31" s="21">
        <v>36.74</v>
      </c>
      <c r="G31" s="21">
        <v>36.74</v>
      </c>
      <c r="H31" s="21">
        <v>37.74</v>
      </c>
      <c r="I31" s="21">
        <v>36.74</v>
      </c>
      <c r="J31" s="21">
        <v>36.74</v>
      </c>
      <c r="K31" s="21">
        <v>36.74</v>
      </c>
      <c r="L31" s="21">
        <v>36.74</v>
      </c>
      <c r="M31" s="21">
        <v>31.740000000000002</v>
      </c>
      <c r="N31" s="21">
        <v>38.74</v>
      </c>
      <c r="O31" s="21">
        <v>36.74</v>
      </c>
      <c r="P31" s="21">
        <v>36.74</v>
      </c>
      <c r="Q31" s="21">
        <v>37.74</v>
      </c>
      <c r="R31" s="21">
        <v>9.9</v>
      </c>
      <c r="S31" s="21">
        <v>3.27</v>
      </c>
      <c r="T31" s="21">
        <v>1.3499999999999999</v>
      </c>
      <c r="U31" s="21">
        <v>2.1</v>
      </c>
      <c r="V31" s="21">
        <v>3.1200000000000006</v>
      </c>
    </row>
    <row r="32" spans="1:22" x14ac:dyDescent="0.25">
      <c r="A32" s="17" t="s">
        <v>554</v>
      </c>
      <c r="B32" s="21">
        <v>32.74</v>
      </c>
      <c r="C32" s="21">
        <v>32.74</v>
      </c>
      <c r="D32" s="21">
        <v>32.74</v>
      </c>
      <c r="E32" s="21">
        <v>32.74</v>
      </c>
      <c r="F32" s="21">
        <v>32.74</v>
      </c>
      <c r="G32" s="21">
        <v>32.74</v>
      </c>
      <c r="H32" s="21">
        <v>33.74</v>
      </c>
      <c r="I32" s="21">
        <v>32.74</v>
      </c>
      <c r="J32" s="21">
        <v>32.74</v>
      </c>
      <c r="K32" s="21">
        <v>32.74</v>
      </c>
      <c r="L32" s="21">
        <v>32.74</v>
      </c>
      <c r="M32" s="21">
        <v>27.740000000000006</v>
      </c>
      <c r="N32" s="21">
        <v>34.74</v>
      </c>
      <c r="O32" s="21">
        <v>32.74</v>
      </c>
      <c r="P32" s="21">
        <v>32.74</v>
      </c>
      <c r="Q32" s="21">
        <v>33.74</v>
      </c>
      <c r="R32" s="21">
        <v>6.6</v>
      </c>
      <c r="S32" s="21">
        <v>3.27</v>
      </c>
      <c r="T32" s="21">
        <v>1.3499999999999999</v>
      </c>
      <c r="U32" s="21">
        <v>1.4</v>
      </c>
      <c r="V32" s="21">
        <v>3.1200000000000006</v>
      </c>
    </row>
    <row r="33" spans="1:22" x14ac:dyDescent="0.25">
      <c r="A33" s="17" t="s">
        <v>5</v>
      </c>
      <c r="B33" s="21">
        <v>35.540000000000006</v>
      </c>
      <c r="C33" s="21">
        <v>35.540000000000006</v>
      </c>
      <c r="D33" s="21">
        <v>35.540000000000006</v>
      </c>
      <c r="E33" s="21">
        <v>35.540000000000006</v>
      </c>
      <c r="F33" s="21">
        <v>35.540000000000006</v>
      </c>
      <c r="G33" s="21">
        <v>35.540000000000006</v>
      </c>
      <c r="H33" s="21">
        <v>34.74</v>
      </c>
      <c r="I33" s="21">
        <v>35.540000000000006</v>
      </c>
      <c r="J33" s="21">
        <v>35.540000000000006</v>
      </c>
      <c r="K33" s="21">
        <v>35.540000000000006</v>
      </c>
      <c r="L33" s="21">
        <v>35.540000000000006</v>
      </c>
      <c r="M33" s="21">
        <v>30.540000000000003</v>
      </c>
      <c r="N33" s="21">
        <v>37.540000000000006</v>
      </c>
      <c r="O33" s="21">
        <v>35.540000000000006</v>
      </c>
      <c r="P33" s="21">
        <v>35.540000000000006</v>
      </c>
      <c r="Q33" s="21">
        <v>36.540000000000006</v>
      </c>
      <c r="R33" s="21">
        <v>8.91</v>
      </c>
      <c r="S33" s="21">
        <v>3.2700000000000005</v>
      </c>
      <c r="T33" s="21">
        <v>1.3499999999999999</v>
      </c>
      <c r="U33" s="21">
        <v>1.8900000000000001</v>
      </c>
      <c r="V33" s="21">
        <v>3.1200000000000006</v>
      </c>
    </row>
    <row r="34" spans="1:22" x14ac:dyDescent="0.25">
      <c r="A34" s="17" t="s">
        <v>61</v>
      </c>
      <c r="B34" s="21">
        <v>28.340000000000003</v>
      </c>
      <c r="C34" s="21">
        <v>28.340000000000003</v>
      </c>
      <c r="D34" s="21">
        <v>28.340000000000003</v>
      </c>
      <c r="E34" s="21">
        <v>28.340000000000003</v>
      </c>
      <c r="F34" s="21">
        <v>28.340000000000003</v>
      </c>
      <c r="G34" s="21">
        <v>28.340000000000003</v>
      </c>
      <c r="H34" s="21">
        <v>26.940000000000005</v>
      </c>
      <c r="I34" s="21">
        <v>28.340000000000003</v>
      </c>
      <c r="J34" s="21">
        <v>28.340000000000003</v>
      </c>
      <c r="K34" s="21">
        <v>28.340000000000003</v>
      </c>
      <c r="L34" s="21">
        <v>28.340000000000003</v>
      </c>
      <c r="M34" s="21">
        <v>23.340000000000007</v>
      </c>
      <c r="N34" s="21">
        <v>30.340000000000003</v>
      </c>
      <c r="O34" s="21">
        <v>28.340000000000003</v>
      </c>
      <c r="P34" s="21">
        <v>28.340000000000003</v>
      </c>
      <c r="Q34" s="21">
        <v>29.340000000000003</v>
      </c>
      <c r="R34" s="21">
        <v>2.97</v>
      </c>
      <c r="S34" s="21">
        <v>3.2700000000000005</v>
      </c>
      <c r="T34" s="21">
        <v>1.3499999999999999</v>
      </c>
      <c r="U34" s="21">
        <v>0.63000000000000012</v>
      </c>
      <c r="V34" s="21">
        <v>3.1200000000000006</v>
      </c>
    </row>
    <row r="35" spans="1:22" x14ac:dyDescent="0.25">
      <c r="A35" s="17" t="s">
        <v>471</v>
      </c>
      <c r="B35" s="21">
        <v>25.940000000000005</v>
      </c>
      <c r="C35" s="21">
        <v>25.940000000000005</v>
      </c>
      <c r="D35" s="21">
        <v>25.940000000000005</v>
      </c>
      <c r="E35" s="21">
        <v>25.940000000000005</v>
      </c>
      <c r="F35" s="21">
        <v>25.940000000000005</v>
      </c>
      <c r="G35" s="21">
        <v>25.940000000000005</v>
      </c>
      <c r="H35" s="21">
        <v>23.940000000000005</v>
      </c>
      <c r="I35" s="21">
        <v>25.940000000000005</v>
      </c>
      <c r="J35" s="21">
        <v>25.940000000000005</v>
      </c>
      <c r="K35" s="21">
        <v>25.940000000000005</v>
      </c>
      <c r="L35" s="21">
        <v>25.940000000000005</v>
      </c>
      <c r="M35" s="21">
        <v>20.940000000000005</v>
      </c>
      <c r="N35" s="21">
        <v>27.940000000000005</v>
      </c>
      <c r="O35" s="21">
        <v>25.940000000000005</v>
      </c>
      <c r="P35" s="21">
        <v>25.940000000000005</v>
      </c>
      <c r="Q35" s="21">
        <v>26.940000000000005</v>
      </c>
      <c r="R35" s="21">
        <v>0.99</v>
      </c>
      <c r="S35" s="21">
        <v>3.2700000000000005</v>
      </c>
      <c r="T35" s="21">
        <v>1.3499999999999999</v>
      </c>
      <c r="U35" s="21">
        <v>0.21000000000000002</v>
      </c>
      <c r="V35" s="21">
        <v>3.1200000000000006</v>
      </c>
    </row>
    <row r="36" spans="1:22" x14ac:dyDescent="0.25">
      <c r="A36" s="17" t="s">
        <v>250</v>
      </c>
      <c r="B36" s="21">
        <v>24.740000000000006</v>
      </c>
      <c r="C36" s="21">
        <v>24.740000000000006</v>
      </c>
      <c r="D36" s="21">
        <v>24.740000000000006</v>
      </c>
      <c r="E36" s="21">
        <v>24.740000000000006</v>
      </c>
      <c r="F36" s="21">
        <v>24.740000000000006</v>
      </c>
      <c r="G36" s="21">
        <v>24.740000000000006</v>
      </c>
      <c r="H36" s="21">
        <v>23.340000000000007</v>
      </c>
      <c r="I36" s="21">
        <v>24.740000000000006</v>
      </c>
      <c r="J36" s="21">
        <v>24.740000000000006</v>
      </c>
      <c r="K36" s="21">
        <v>24.740000000000006</v>
      </c>
      <c r="L36" s="21">
        <v>24.740000000000006</v>
      </c>
      <c r="M36" s="21">
        <v>19.740000000000006</v>
      </c>
      <c r="N36" s="21">
        <v>26.740000000000002</v>
      </c>
      <c r="O36" s="21">
        <v>24.740000000000006</v>
      </c>
      <c r="P36" s="21">
        <v>24.740000000000006</v>
      </c>
      <c r="Q36" s="21">
        <v>25.740000000000002</v>
      </c>
      <c r="R36" s="21">
        <v>0</v>
      </c>
      <c r="S36" s="21">
        <v>3.2700000000000005</v>
      </c>
      <c r="T36" s="21">
        <v>1.3499999999999999</v>
      </c>
      <c r="U36" s="21">
        <v>0</v>
      </c>
      <c r="V36" s="21">
        <v>3.1200000000000006</v>
      </c>
    </row>
    <row r="37" spans="1:22" x14ac:dyDescent="0.25">
      <c r="A37" s="17" t="s">
        <v>227</v>
      </c>
      <c r="B37" s="21">
        <v>36.74</v>
      </c>
      <c r="C37" s="21">
        <v>36.74</v>
      </c>
      <c r="D37" s="21">
        <v>36.74</v>
      </c>
      <c r="E37" s="21">
        <v>36.74</v>
      </c>
      <c r="F37" s="21">
        <v>36.74</v>
      </c>
      <c r="G37" s="21">
        <v>36.74</v>
      </c>
      <c r="H37" s="21">
        <v>37.74</v>
      </c>
      <c r="I37" s="21">
        <v>36.74</v>
      </c>
      <c r="J37" s="21">
        <v>36.74</v>
      </c>
      <c r="K37" s="21">
        <v>36.74</v>
      </c>
      <c r="L37" s="21">
        <v>36.74</v>
      </c>
      <c r="M37" s="21">
        <v>31.740000000000002</v>
      </c>
      <c r="N37" s="21">
        <v>38.74</v>
      </c>
      <c r="O37" s="21">
        <v>36.74</v>
      </c>
      <c r="P37" s="21">
        <v>36.74</v>
      </c>
      <c r="Q37" s="21">
        <v>37.74</v>
      </c>
      <c r="R37" s="21">
        <v>9.9000000000000021</v>
      </c>
      <c r="S37" s="21">
        <v>3.2700000000000005</v>
      </c>
      <c r="T37" s="21">
        <v>1.3499999999999999</v>
      </c>
      <c r="U37" s="21">
        <v>2.1000000000000005</v>
      </c>
      <c r="V37" s="21">
        <v>3.1200000000000006</v>
      </c>
    </row>
    <row r="38" spans="1:22" x14ac:dyDescent="0.25">
      <c r="A38" s="17" t="s">
        <v>441</v>
      </c>
      <c r="B38" s="21">
        <v>36.74</v>
      </c>
      <c r="C38" s="21">
        <v>36.74</v>
      </c>
      <c r="D38" s="21">
        <v>36.74</v>
      </c>
      <c r="E38" s="21">
        <v>36.74</v>
      </c>
      <c r="F38" s="21">
        <v>36.74</v>
      </c>
      <c r="G38" s="21">
        <v>36.74</v>
      </c>
      <c r="H38" s="21">
        <v>36.99</v>
      </c>
      <c r="I38" s="21">
        <v>36.74</v>
      </c>
      <c r="J38" s="21">
        <v>36.74</v>
      </c>
      <c r="K38" s="21">
        <v>36.74</v>
      </c>
      <c r="L38" s="21">
        <v>36.74</v>
      </c>
      <c r="M38" s="21">
        <v>31.740000000000006</v>
      </c>
      <c r="N38" s="21">
        <v>38.74</v>
      </c>
      <c r="O38" s="21">
        <v>36.74</v>
      </c>
      <c r="P38" s="21">
        <v>36.74</v>
      </c>
      <c r="Q38" s="21">
        <v>37.74</v>
      </c>
      <c r="R38" s="21">
        <v>9.9</v>
      </c>
      <c r="S38" s="21">
        <v>3.27</v>
      </c>
      <c r="T38" s="21">
        <v>1.3499999999999999</v>
      </c>
      <c r="U38" s="21">
        <v>2.1</v>
      </c>
      <c r="V38" s="21">
        <v>3.1200000000000006</v>
      </c>
    </row>
    <row r="39" spans="1:22" x14ac:dyDescent="0.25">
      <c r="A39" s="17" t="s">
        <v>323</v>
      </c>
      <c r="B39" s="21">
        <v>24.740000000000006</v>
      </c>
      <c r="C39" s="21">
        <v>24.740000000000006</v>
      </c>
      <c r="D39" s="21">
        <v>24.740000000000006</v>
      </c>
      <c r="E39" s="21">
        <v>24.740000000000006</v>
      </c>
      <c r="F39" s="21">
        <v>24.740000000000006</v>
      </c>
      <c r="G39" s="21">
        <v>24.740000000000006</v>
      </c>
      <c r="H39" s="21">
        <v>20.340000000000007</v>
      </c>
      <c r="I39" s="21">
        <v>24.740000000000006</v>
      </c>
      <c r="J39" s="21">
        <v>24.740000000000006</v>
      </c>
      <c r="K39" s="21">
        <v>24.740000000000006</v>
      </c>
      <c r="L39" s="21">
        <v>24.740000000000006</v>
      </c>
      <c r="M39" s="21">
        <v>19.740000000000006</v>
      </c>
      <c r="N39" s="21">
        <v>26.740000000000002</v>
      </c>
      <c r="O39" s="21">
        <v>24.740000000000006</v>
      </c>
      <c r="P39" s="21">
        <v>24.740000000000006</v>
      </c>
      <c r="Q39" s="21">
        <v>25.740000000000002</v>
      </c>
      <c r="R39" s="21">
        <v>0</v>
      </c>
      <c r="S39" s="21">
        <v>3.2700000000000005</v>
      </c>
      <c r="T39" s="21">
        <v>1.3499999999999999</v>
      </c>
      <c r="U39" s="21">
        <v>0</v>
      </c>
      <c r="V39" s="21">
        <v>3.1200000000000006</v>
      </c>
    </row>
    <row r="40" spans="1:22" x14ac:dyDescent="0.25">
      <c r="A40" s="17" t="s">
        <v>203</v>
      </c>
      <c r="B40" s="21">
        <v>29.103636363636369</v>
      </c>
      <c r="C40" s="21">
        <v>29.103636363636369</v>
      </c>
      <c r="D40" s="21">
        <v>29.103636363636369</v>
      </c>
      <c r="E40" s="21">
        <v>29.103636363636369</v>
      </c>
      <c r="F40" s="21">
        <v>29.103636363636369</v>
      </c>
      <c r="G40" s="21">
        <v>29.103636363636369</v>
      </c>
      <c r="H40" s="21">
        <v>27.376363636363639</v>
      </c>
      <c r="I40" s="21">
        <v>29.103636363636369</v>
      </c>
      <c r="J40" s="21">
        <v>29.103636363636369</v>
      </c>
      <c r="K40" s="21">
        <v>29.103636363636369</v>
      </c>
      <c r="L40" s="21">
        <v>29.103636363636369</v>
      </c>
      <c r="M40" s="21">
        <v>24.103636363636369</v>
      </c>
      <c r="N40" s="21">
        <v>31.103636363636369</v>
      </c>
      <c r="O40" s="21">
        <v>29.103636363636369</v>
      </c>
      <c r="P40" s="21">
        <v>29.103636363636369</v>
      </c>
      <c r="Q40" s="21">
        <v>30.103636363636369</v>
      </c>
      <c r="R40" s="21">
        <v>3.6</v>
      </c>
      <c r="S40" s="21">
        <v>3.2700000000000005</v>
      </c>
      <c r="T40" s="21">
        <v>1.3499999999999999</v>
      </c>
      <c r="U40" s="21">
        <v>0.76363636363636367</v>
      </c>
      <c r="V40" s="21">
        <v>3.1200000000000006</v>
      </c>
    </row>
    <row r="41" spans="1:22" x14ac:dyDescent="0.25">
      <c r="A41" s="17" t="s">
        <v>372</v>
      </c>
      <c r="B41" s="21">
        <v>34.340000000000003</v>
      </c>
      <c r="C41" s="21">
        <v>34.340000000000003</v>
      </c>
      <c r="D41" s="21">
        <v>34.340000000000003</v>
      </c>
      <c r="E41" s="21">
        <v>34.340000000000003</v>
      </c>
      <c r="F41" s="21">
        <v>34.340000000000003</v>
      </c>
      <c r="G41" s="21">
        <v>34.340000000000003</v>
      </c>
      <c r="H41" s="21">
        <v>34.74</v>
      </c>
      <c r="I41" s="21">
        <v>34.340000000000003</v>
      </c>
      <c r="J41" s="21">
        <v>34.340000000000003</v>
      </c>
      <c r="K41" s="21">
        <v>34.340000000000003</v>
      </c>
      <c r="L41" s="21">
        <v>34.340000000000003</v>
      </c>
      <c r="M41" s="21">
        <v>29.340000000000003</v>
      </c>
      <c r="N41" s="21">
        <v>36.340000000000003</v>
      </c>
      <c r="O41" s="21">
        <v>34.340000000000003</v>
      </c>
      <c r="P41" s="21">
        <v>34.340000000000003</v>
      </c>
      <c r="Q41" s="21">
        <v>35.340000000000003</v>
      </c>
      <c r="R41" s="21">
        <v>7.92</v>
      </c>
      <c r="S41" s="21">
        <v>3.2700000000000005</v>
      </c>
      <c r="T41" s="21">
        <v>1.3499999999999999</v>
      </c>
      <c r="U41" s="21">
        <v>1.6800000000000002</v>
      </c>
      <c r="V41" s="21">
        <v>3.1200000000000006</v>
      </c>
    </row>
    <row r="42" spans="1:22" x14ac:dyDescent="0.25">
      <c r="A42" s="17" t="s">
        <v>383</v>
      </c>
      <c r="B42" s="21">
        <v>36.465000000000003</v>
      </c>
      <c r="C42" s="21">
        <v>36.465000000000003</v>
      </c>
      <c r="D42" s="21">
        <v>36.465000000000003</v>
      </c>
      <c r="E42" s="21">
        <v>36.465000000000003</v>
      </c>
      <c r="F42" s="21">
        <v>36.465000000000003</v>
      </c>
      <c r="G42" s="21">
        <v>36.465000000000003</v>
      </c>
      <c r="H42" s="21">
        <v>35.665000000000006</v>
      </c>
      <c r="I42" s="21">
        <v>36.465000000000003</v>
      </c>
      <c r="J42" s="21">
        <v>36.465000000000003</v>
      </c>
      <c r="K42" s="21">
        <v>36.465000000000003</v>
      </c>
      <c r="L42" s="21">
        <v>36.465000000000003</v>
      </c>
      <c r="M42" s="21">
        <v>31.465000000000003</v>
      </c>
      <c r="N42" s="21">
        <v>38.465000000000003</v>
      </c>
      <c r="O42" s="21">
        <v>36.465000000000003</v>
      </c>
      <c r="P42" s="21">
        <v>36.465000000000003</v>
      </c>
      <c r="Q42" s="21">
        <v>37.465000000000003</v>
      </c>
      <c r="R42" s="21">
        <v>9.6700000000000017</v>
      </c>
      <c r="S42" s="21">
        <v>3.2700000000000005</v>
      </c>
      <c r="T42" s="21">
        <v>1.3499999999999999</v>
      </c>
      <c r="U42" s="21">
        <v>2.0550000000000006</v>
      </c>
      <c r="V42" s="21">
        <v>3.1200000000000006</v>
      </c>
    </row>
    <row r="43" spans="1:22" x14ac:dyDescent="0.25">
      <c r="A43" s="17" t="s">
        <v>76</v>
      </c>
      <c r="B43" s="21">
        <v>31.940000000000005</v>
      </c>
      <c r="C43" s="21">
        <v>31.940000000000005</v>
      </c>
      <c r="D43" s="21">
        <v>31.940000000000005</v>
      </c>
      <c r="E43" s="21">
        <v>31.940000000000005</v>
      </c>
      <c r="F43" s="21">
        <v>31.940000000000005</v>
      </c>
      <c r="G43" s="21">
        <v>31.940000000000005</v>
      </c>
      <c r="H43" s="21">
        <v>32.340000000000003</v>
      </c>
      <c r="I43" s="21">
        <v>31.940000000000005</v>
      </c>
      <c r="J43" s="21">
        <v>31.940000000000005</v>
      </c>
      <c r="K43" s="21">
        <v>31.940000000000005</v>
      </c>
      <c r="L43" s="21">
        <v>31.940000000000005</v>
      </c>
      <c r="M43" s="21">
        <v>26.940000000000005</v>
      </c>
      <c r="N43" s="21">
        <v>33.940000000000005</v>
      </c>
      <c r="O43" s="21">
        <v>31.940000000000005</v>
      </c>
      <c r="P43" s="21">
        <v>31.940000000000005</v>
      </c>
      <c r="Q43" s="21">
        <v>32.940000000000005</v>
      </c>
      <c r="R43" s="21">
        <v>5.9399999999999995</v>
      </c>
      <c r="S43" s="21">
        <v>3.2700000000000005</v>
      </c>
      <c r="T43" s="21">
        <v>1.3499999999999999</v>
      </c>
      <c r="U43" s="21">
        <v>1.26</v>
      </c>
      <c r="V43" s="21">
        <v>3.1200000000000006</v>
      </c>
    </row>
    <row r="44" spans="1:22" x14ac:dyDescent="0.25">
      <c r="A44" s="17" t="s">
        <v>316</v>
      </c>
      <c r="B44" s="21">
        <v>24.740000000000006</v>
      </c>
      <c r="C44" s="21">
        <v>24.740000000000006</v>
      </c>
      <c r="D44" s="21">
        <v>24.740000000000006</v>
      </c>
      <c r="E44" s="21">
        <v>24.740000000000006</v>
      </c>
      <c r="F44" s="21">
        <v>24.740000000000006</v>
      </c>
      <c r="G44" s="21">
        <v>24.740000000000006</v>
      </c>
      <c r="H44" s="21">
        <v>25.740000000000002</v>
      </c>
      <c r="I44" s="21">
        <v>24.740000000000006</v>
      </c>
      <c r="J44" s="21">
        <v>24.740000000000006</v>
      </c>
      <c r="K44" s="21">
        <v>24.740000000000006</v>
      </c>
      <c r="L44" s="21">
        <v>24.740000000000006</v>
      </c>
      <c r="M44" s="21">
        <v>19.740000000000006</v>
      </c>
      <c r="N44" s="21">
        <v>26.740000000000002</v>
      </c>
      <c r="O44" s="21">
        <v>24.740000000000006</v>
      </c>
      <c r="P44" s="21">
        <v>24.740000000000006</v>
      </c>
      <c r="Q44" s="21">
        <v>25.740000000000002</v>
      </c>
      <c r="R44" s="21">
        <v>0</v>
      </c>
      <c r="S44" s="21">
        <v>3.2700000000000005</v>
      </c>
      <c r="T44" s="21">
        <v>1.3499999999999999</v>
      </c>
      <c r="U44" s="21">
        <v>0</v>
      </c>
      <c r="V44" s="21">
        <v>3.1200000000000006</v>
      </c>
    </row>
    <row r="45" spans="1:22" x14ac:dyDescent="0.25">
      <c r="A45" s="17" t="s">
        <v>594</v>
      </c>
      <c r="B45" s="21">
        <v>30.073333333333338</v>
      </c>
      <c r="C45" s="21">
        <v>30.073333333333338</v>
      </c>
      <c r="D45" s="21">
        <v>30.073333333333338</v>
      </c>
      <c r="E45" s="21">
        <v>30.073333333333338</v>
      </c>
      <c r="F45" s="21">
        <v>30.073333333333338</v>
      </c>
      <c r="G45" s="21">
        <v>30.073333333333338</v>
      </c>
      <c r="H45" s="21">
        <v>29.073333333333338</v>
      </c>
      <c r="I45" s="21">
        <v>30.073333333333338</v>
      </c>
      <c r="J45" s="21">
        <v>30.073333333333338</v>
      </c>
      <c r="K45" s="21">
        <v>30.073333333333338</v>
      </c>
      <c r="L45" s="21">
        <v>30.073333333333338</v>
      </c>
      <c r="M45" s="21">
        <v>25.073333333333338</v>
      </c>
      <c r="N45" s="21">
        <v>32.073333333333338</v>
      </c>
      <c r="O45" s="21">
        <v>30.073333333333338</v>
      </c>
      <c r="P45" s="21">
        <v>30.073333333333338</v>
      </c>
      <c r="Q45" s="21">
        <v>31.073333333333338</v>
      </c>
      <c r="R45" s="21">
        <v>4.4000000000000004</v>
      </c>
      <c r="S45" s="21">
        <v>3.27</v>
      </c>
      <c r="T45" s="21">
        <v>1.3499999999999999</v>
      </c>
      <c r="U45" s="21">
        <v>0.93333333333333335</v>
      </c>
      <c r="V45" s="21">
        <v>3.1200000000000006</v>
      </c>
    </row>
    <row r="46" spans="1:22" x14ac:dyDescent="0.25">
      <c r="A46" s="17" t="s">
        <v>394</v>
      </c>
      <c r="B46" s="21">
        <v>26.865000000000002</v>
      </c>
      <c r="C46" s="21">
        <v>26.865000000000002</v>
      </c>
      <c r="D46" s="21">
        <v>26.865000000000002</v>
      </c>
      <c r="E46" s="21">
        <v>26.865000000000002</v>
      </c>
      <c r="F46" s="21">
        <v>26.865000000000002</v>
      </c>
      <c r="G46" s="21">
        <v>26.865000000000002</v>
      </c>
      <c r="H46" s="21">
        <v>26.665000000000003</v>
      </c>
      <c r="I46" s="21">
        <v>26.865000000000002</v>
      </c>
      <c r="J46" s="21">
        <v>26.865000000000002</v>
      </c>
      <c r="K46" s="21">
        <v>26.865000000000002</v>
      </c>
      <c r="L46" s="21">
        <v>26.865000000000002</v>
      </c>
      <c r="M46" s="21">
        <v>21.865000000000006</v>
      </c>
      <c r="N46" s="21">
        <v>28.865000000000002</v>
      </c>
      <c r="O46" s="21">
        <v>26.865000000000002</v>
      </c>
      <c r="P46" s="21">
        <v>26.865000000000002</v>
      </c>
      <c r="Q46" s="21">
        <v>27.865000000000002</v>
      </c>
      <c r="R46" s="21">
        <v>1.75</v>
      </c>
      <c r="S46" s="21">
        <v>3.2700000000000005</v>
      </c>
      <c r="T46" s="21">
        <v>1.3499999999999999</v>
      </c>
      <c r="U46" s="21">
        <v>0.375</v>
      </c>
      <c r="V46" s="21">
        <v>3.1200000000000006</v>
      </c>
    </row>
    <row r="47" spans="1:22" x14ac:dyDescent="0.25">
      <c r="A47" s="17" t="s">
        <v>589</v>
      </c>
      <c r="B47" s="21">
        <v>30.740000000000002</v>
      </c>
      <c r="C47" s="21">
        <v>30.740000000000002</v>
      </c>
      <c r="D47" s="21">
        <v>30.740000000000002</v>
      </c>
      <c r="E47" s="21">
        <v>30.740000000000002</v>
      </c>
      <c r="F47" s="21">
        <v>30.740000000000002</v>
      </c>
      <c r="G47" s="21">
        <v>30.740000000000002</v>
      </c>
      <c r="H47" s="21">
        <v>31.740000000000002</v>
      </c>
      <c r="I47" s="21">
        <v>30.740000000000002</v>
      </c>
      <c r="J47" s="21">
        <v>30.740000000000002</v>
      </c>
      <c r="K47" s="21">
        <v>30.740000000000002</v>
      </c>
      <c r="L47" s="21">
        <v>30.740000000000002</v>
      </c>
      <c r="M47" s="21">
        <v>25.740000000000002</v>
      </c>
      <c r="N47" s="21">
        <v>32.74</v>
      </c>
      <c r="O47" s="21">
        <v>30.740000000000002</v>
      </c>
      <c r="P47" s="21">
        <v>30.740000000000002</v>
      </c>
      <c r="Q47" s="21">
        <v>31.740000000000002</v>
      </c>
      <c r="R47" s="21">
        <v>4.95</v>
      </c>
      <c r="S47" s="21">
        <v>3.2700000000000005</v>
      </c>
      <c r="T47" s="21">
        <v>1.3499999999999999</v>
      </c>
      <c r="U47" s="21">
        <v>1.05</v>
      </c>
      <c r="V47" s="21">
        <v>3.1200000000000006</v>
      </c>
    </row>
    <row r="48" spans="1:22" x14ac:dyDescent="0.25">
      <c r="A48" s="17" t="s">
        <v>549</v>
      </c>
      <c r="B48" s="21">
        <v>36.74</v>
      </c>
      <c r="C48" s="21">
        <v>36.74</v>
      </c>
      <c r="D48" s="21">
        <v>36.74</v>
      </c>
      <c r="E48" s="21">
        <v>36.74</v>
      </c>
      <c r="F48" s="21">
        <v>36.74</v>
      </c>
      <c r="G48" s="21">
        <v>36.74</v>
      </c>
      <c r="H48" s="21">
        <v>35.073333333333338</v>
      </c>
      <c r="I48" s="21">
        <v>36.74</v>
      </c>
      <c r="J48" s="21">
        <v>36.74</v>
      </c>
      <c r="K48" s="21">
        <v>36.74</v>
      </c>
      <c r="L48" s="21">
        <v>36.74</v>
      </c>
      <c r="M48" s="21">
        <v>31.740000000000002</v>
      </c>
      <c r="N48" s="21">
        <v>38.74</v>
      </c>
      <c r="O48" s="21">
        <v>36.74</v>
      </c>
      <c r="P48" s="21">
        <v>36.74</v>
      </c>
      <c r="Q48" s="21">
        <v>37.74</v>
      </c>
      <c r="R48" s="21">
        <v>9.9</v>
      </c>
      <c r="S48" s="21">
        <v>3.27</v>
      </c>
      <c r="T48" s="21">
        <v>1.3499999999999999</v>
      </c>
      <c r="U48" s="21">
        <v>2.1</v>
      </c>
      <c r="V48" s="21">
        <v>3.1200000000000006</v>
      </c>
    </row>
    <row r="49" spans="1:22" x14ac:dyDescent="0.25">
      <c r="A49" s="17" t="s">
        <v>559</v>
      </c>
      <c r="B49" s="21">
        <v>32.74</v>
      </c>
      <c r="C49" s="21">
        <v>32.74</v>
      </c>
      <c r="D49" s="21">
        <v>32.74</v>
      </c>
      <c r="E49" s="21">
        <v>32.74</v>
      </c>
      <c r="F49" s="21">
        <v>32.74</v>
      </c>
      <c r="G49" s="21">
        <v>32.74</v>
      </c>
      <c r="H49" s="21">
        <v>32.406666666666666</v>
      </c>
      <c r="I49" s="21">
        <v>32.74</v>
      </c>
      <c r="J49" s="21">
        <v>32.74</v>
      </c>
      <c r="K49" s="21">
        <v>32.74</v>
      </c>
      <c r="L49" s="21">
        <v>32.74</v>
      </c>
      <c r="M49" s="21">
        <v>27.740000000000006</v>
      </c>
      <c r="N49" s="21">
        <v>34.74</v>
      </c>
      <c r="O49" s="21">
        <v>32.74</v>
      </c>
      <c r="P49" s="21">
        <v>32.74</v>
      </c>
      <c r="Q49" s="21">
        <v>33.74</v>
      </c>
      <c r="R49" s="21">
        <v>6.6</v>
      </c>
      <c r="S49" s="21">
        <v>3.27</v>
      </c>
      <c r="T49" s="21">
        <v>1.3499999999999999</v>
      </c>
      <c r="U49" s="21">
        <v>1.4</v>
      </c>
      <c r="V49" s="21">
        <v>3.1200000000000006</v>
      </c>
    </row>
    <row r="50" spans="1:22" x14ac:dyDescent="0.25">
      <c r="A50" s="17" t="s">
        <v>286</v>
      </c>
      <c r="B50" s="21">
        <v>36.74</v>
      </c>
      <c r="C50" s="21">
        <v>36.74</v>
      </c>
      <c r="D50" s="21">
        <v>36.74</v>
      </c>
      <c r="E50" s="21">
        <v>36.74</v>
      </c>
      <c r="F50" s="21">
        <v>36.74</v>
      </c>
      <c r="G50" s="21">
        <v>36.74</v>
      </c>
      <c r="H50" s="21">
        <v>37.74</v>
      </c>
      <c r="I50" s="21">
        <v>36.74</v>
      </c>
      <c r="J50" s="21">
        <v>36.74</v>
      </c>
      <c r="K50" s="21">
        <v>36.74</v>
      </c>
      <c r="L50" s="21">
        <v>36.74</v>
      </c>
      <c r="M50" s="21">
        <v>31.740000000000006</v>
      </c>
      <c r="N50" s="21">
        <v>38.74</v>
      </c>
      <c r="O50" s="21">
        <v>36.74</v>
      </c>
      <c r="P50" s="21">
        <v>36.74</v>
      </c>
      <c r="Q50" s="21">
        <v>37.74</v>
      </c>
      <c r="R50" s="21">
        <v>9.9</v>
      </c>
      <c r="S50" s="21">
        <v>3.27</v>
      </c>
      <c r="T50" s="21">
        <v>1.3499999999999999</v>
      </c>
      <c r="U50" s="21">
        <v>2.1</v>
      </c>
      <c r="V50" s="21">
        <v>3.1200000000000006</v>
      </c>
    </row>
    <row r="51" spans="1:22" x14ac:dyDescent="0.25">
      <c r="A51" s="17" t="s">
        <v>240</v>
      </c>
      <c r="B51" s="21">
        <v>31.940000000000005</v>
      </c>
      <c r="C51" s="21">
        <v>31.940000000000005</v>
      </c>
      <c r="D51" s="21">
        <v>31.940000000000005</v>
      </c>
      <c r="E51" s="21">
        <v>31.940000000000005</v>
      </c>
      <c r="F51" s="21">
        <v>31.940000000000005</v>
      </c>
      <c r="G51" s="21">
        <v>31.940000000000005</v>
      </c>
      <c r="H51" s="21">
        <v>32.940000000000005</v>
      </c>
      <c r="I51" s="21">
        <v>31.940000000000005</v>
      </c>
      <c r="J51" s="21">
        <v>31.940000000000005</v>
      </c>
      <c r="K51" s="21">
        <v>31.940000000000005</v>
      </c>
      <c r="L51" s="21">
        <v>31.940000000000005</v>
      </c>
      <c r="M51" s="21">
        <v>26.940000000000005</v>
      </c>
      <c r="N51" s="21">
        <v>33.940000000000005</v>
      </c>
      <c r="O51" s="21">
        <v>31.940000000000005</v>
      </c>
      <c r="P51" s="21">
        <v>31.940000000000005</v>
      </c>
      <c r="Q51" s="21">
        <v>32.940000000000005</v>
      </c>
      <c r="R51" s="21">
        <v>5.9399999999999995</v>
      </c>
      <c r="S51" s="21">
        <v>3.2700000000000005</v>
      </c>
      <c r="T51" s="21">
        <v>1.3499999999999999</v>
      </c>
      <c r="U51" s="21">
        <v>1.26</v>
      </c>
      <c r="V51" s="21">
        <v>3.1200000000000006</v>
      </c>
    </row>
    <row r="52" spans="1:22" x14ac:dyDescent="0.25">
      <c r="A52" s="17" t="s">
        <v>146</v>
      </c>
      <c r="B52" s="21">
        <v>24.740000000000006</v>
      </c>
      <c r="C52" s="21">
        <v>24.740000000000006</v>
      </c>
      <c r="D52" s="21">
        <v>24.740000000000006</v>
      </c>
      <c r="E52" s="21">
        <v>24.740000000000006</v>
      </c>
      <c r="F52" s="21">
        <v>24.740000000000006</v>
      </c>
      <c r="G52" s="21">
        <v>24.740000000000006</v>
      </c>
      <c r="H52" s="21">
        <v>25.140000000000008</v>
      </c>
      <c r="I52" s="21">
        <v>24.740000000000006</v>
      </c>
      <c r="J52" s="21">
        <v>24.740000000000006</v>
      </c>
      <c r="K52" s="21">
        <v>24.740000000000006</v>
      </c>
      <c r="L52" s="21">
        <v>24.740000000000006</v>
      </c>
      <c r="M52" s="21">
        <v>19.740000000000006</v>
      </c>
      <c r="N52" s="21">
        <v>26.740000000000002</v>
      </c>
      <c r="O52" s="21">
        <v>24.740000000000006</v>
      </c>
      <c r="P52" s="21">
        <v>24.740000000000006</v>
      </c>
      <c r="Q52" s="21">
        <v>25.740000000000002</v>
      </c>
      <c r="R52" s="21">
        <v>0</v>
      </c>
      <c r="S52" s="21">
        <v>3.2700000000000005</v>
      </c>
      <c r="T52" s="21">
        <v>1.3499999999999999</v>
      </c>
      <c r="U52" s="21">
        <v>0</v>
      </c>
      <c r="V52" s="21">
        <v>3.1200000000000006</v>
      </c>
    </row>
    <row r="53" spans="1:22" x14ac:dyDescent="0.25">
      <c r="A53" s="17" t="s">
        <v>579</v>
      </c>
      <c r="B53" s="21">
        <v>24.740000000000006</v>
      </c>
      <c r="C53" s="21">
        <v>24.740000000000006</v>
      </c>
      <c r="D53" s="21">
        <v>24.740000000000006</v>
      </c>
      <c r="E53" s="21">
        <v>24.740000000000006</v>
      </c>
      <c r="F53" s="21">
        <v>24.740000000000006</v>
      </c>
      <c r="G53" s="21">
        <v>24.740000000000006</v>
      </c>
      <c r="H53" s="21">
        <v>25.740000000000002</v>
      </c>
      <c r="I53" s="21">
        <v>24.740000000000006</v>
      </c>
      <c r="J53" s="21">
        <v>24.740000000000006</v>
      </c>
      <c r="K53" s="21">
        <v>24.740000000000006</v>
      </c>
      <c r="L53" s="21">
        <v>24.740000000000006</v>
      </c>
      <c r="M53" s="21">
        <v>19.740000000000006</v>
      </c>
      <c r="N53" s="21">
        <v>26.740000000000002</v>
      </c>
      <c r="O53" s="21">
        <v>24.740000000000006</v>
      </c>
      <c r="P53" s="21">
        <v>24.740000000000006</v>
      </c>
      <c r="Q53" s="21">
        <v>25.740000000000002</v>
      </c>
      <c r="R53" s="21">
        <v>0</v>
      </c>
      <c r="S53" s="21">
        <v>3.2700000000000005</v>
      </c>
      <c r="T53" s="21">
        <v>1.3499999999999999</v>
      </c>
      <c r="U53" s="21">
        <v>0</v>
      </c>
      <c r="V53" s="21">
        <v>3.1200000000000006</v>
      </c>
    </row>
    <row r="54" spans="1:22" x14ac:dyDescent="0.25">
      <c r="A54" s="17" t="s">
        <v>19477</v>
      </c>
      <c r="B54" s="21">
        <v>30.577129840546515</v>
      </c>
      <c r="C54" s="21">
        <v>30.577129840546515</v>
      </c>
      <c r="D54" s="21">
        <v>30.577129840546515</v>
      </c>
      <c r="E54" s="21">
        <v>30.577129840546515</v>
      </c>
      <c r="F54" s="21">
        <v>30.577129840546515</v>
      </c>
      <c r="G54" s="21">
        <v>30.577129840546515</v>
      </c>
      <c r="H54" s="21">
        <v>30.347061503416676</v>
      </c>
      <c r="I54" s="21">
        <v>30.577129840546515</v>
      </c>
      <c r="J54" s="21">
        <v>30.577129840546515</v>
      </c>
      <c r="K54" s="21">
        <v>30.577129840546515</v>
      </c>
      <c r="L54" s="21">
        <v>30.577129840546515</v>
      </c>
      <c r="M54" s="21">
        <v>25.577129840546526</v>
      </c>
      <c r="N54" s="21">
        <v>32.577129840546519</v>
      </c>
      <c r="O54" s="21">
        <v>30.577129840546515</v>
      </c>
      <c r="P54" s="21">
        <v>30.577129840546515</v>
      </c>
      <c r="Q54" s="21">
        <v>31.577129840546515</v>
      </c>
      <c r="R54" s="21">
        <v>4.8154897494305411</v>
      </c>
      <c r="S54" s="21">
        <v>3.2699999999999858</v>
      </c>
      <c r="T54" s="21">
        <v>1.3500000000000112</v>
      </c>
      <c r="U54" s="21">
        <v>1.0216400911161767</v>
      </c>
      <c r="V54" s="21">
        <v>3.1199999999999757</v>
      </c>
    </row>
  </sheetData>
  <mergeCells count="1">
    <mergeCell ref="B2:P3"/>
  </mergeCells>
  <pageMargins left="0.511811024" right="0.511811024" top="0.78740157499999996" bottom="0.78740157499999996" header="0.31496062000000002" footer="0.31496062000000002"/>
  <pageSetup paperSize="9" orientation="portrait" r:id="rId2"/>
  <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27"/>
  <sheetViews>
    <sheetView showGridLines="0" tabSelected="1" zoomScaleNormal="100" workbookViewId="0">
      <selection activeCell="J34" sqref="J34"/>
    </sheetView>
  </sheetViews>
  <sheetFormatPr defaultRowHeight="15" x14ac:dyDescent="0.25"/>
  <cols>
    <col min="1" max="16384" width="9.140625" style="24"/>
  </cols>
  <sheetData>
    <row r="1" spans="1:31" x14ac:dyDescent="0.25">
      <c r="A1"/>
      <c r="B1"/>
      <c r="C1"/>
      <c r="D1"/>
      <c r="E1"/>
      <c r="F1"/>
      <c r="G1"/>
      <c r="H1"/>
      <c r="I1"/>
      <c r="J1"/>
      <c r="K1"/>
      <c r="L1"/>
      <c r="M1"/>
      <c r="N1"/>
      <c r="O1"/>
      <c r="P1"/>
      <c r="Q1"/>
      <c r="R1"/>
      <c r="S1"/>
      <c r="T1"/>
    </row>
    <row r="2" spans="1:31" x14ac:dyDescent="0.25">
      <c r="A2"/>
      <c r="B2"/>
      <c r="C2"/>
      <c r="D2"/>
      <c r="E2"/>
      <c r="F2"/>
      <c r="G2"/>
      <c r="H2"/>
      <c r="I2"/>
      <c r="J2"/>
      <c r="K2"/>
      <c r="L2"/>
      <c r="M2"/>
      <c r="N2"/>
      <c r="O2"/>
      <c r="P2"/>
      <c r="Q2"/>
      <c r="R2"/>
      <c r="S2"/>
      <c r="T2"/>
    </row>
    <row r="3" spans="1:31" x14ac:dyDescent="0.25">
      <c r="A3"/>
      <c r="B3"/>
      <c r="C3"/>
      <c r="D3"/>
      <c r="E3"/>
      <c r="F3"/>
      <c r="G3"/>
      <c r="H3"/>
      <c r="I3"/>
      <c r="J3"/>
      <c r="K3"/>
      <c r="L3"/>
      <c r="M3"/>
      <c r="N3"/>
      <c r="O3"/>
      <c r="P3"/>
      <c r="Q3"/>
      <c r="R3"/>
      <c r="S3"/>
      <c r="T3"/>
    </row>
    <row r="4" spans="1:31" x14ac:dyDescent="0.25">
      <c r="A4"/>
      <c r="B4"/>
      <c r="C4"/>
      <c r="D4"/>
      <c r="E4"/>
      <c r="F4"/>
      <c r="G4"/>
      <c r="H4"/>
      <c r="I4"/>
      <c r="J4"/>
      <c r="K4"/>
      <c r="L4"/>
      <c r="M4"/>
      <c r="N4"/>
      <c r="O4"/>
      <c r="P4"/>
      <c r="Q4"/>
      <c r="R4"/>
      <c r="S4"/>
      <c r="T4"/>
    </row>
    <row r="12" spans="1:31" x14ac:dyDescent="0.25">
      <c r="AE12" s="24">
        <v>9</v>
      </c>
    </row>
    <row r="21" spans="11:13" x14ac:dyDescent="0.25">
      <c r="K21" s="27"/>
      <c r="L21" s="27"/>
      <c r="M21" s="27"/>
    </row>
    <row r="22" spans="11:13" x14ac:dyDescent="0.25">
      <c r="K22" s="27"/>
      <c r="L22" s="27"/>
      <c r="M22" s="27"/>
    </row>
    <row r="23" spans="11:13" x14ac:dyDescent="0.25">
      <c r="K23" s="27"/>
      <c r="L23" s="27"/>
      <c r="M23" s="27"/>
    </row>
    <row r="24" spans="11:13" x14ac:dyDescent="0.25">
      <c r="K24" s="27"/>
      <c r="L24" s="27"/>
      <c r="M24" s="27"/>
    </row>
    <row r="25" spans="11:13" x14ac:dyDescent="0.25">
      <c r="K25" s="27"/>
      <c r="L25" s="27"/>
      <c r="M25" s="27"/>
    </row>
    <row r="26" spans="11:13" x14ac:dyDescent="0.25">
      <c r="K26" s="27"/>
      <c r="L26" s="27"/>
      <c r="M26" s="27"/>
    </row>
    <row r="27" spans="11:13" x14ac:dyDescent="0.25">
      <c r="K27" s="27"/>
      <c r="L27" s="27"/>
      <c r="M27" s="27"/>
    </row>
  </sheetData>
  <sheetProtection algorithmName="SHA-512" hashValue="FmZ6Qc8oFkuA47t0FmPNzyEJcXJIZrKHUrUimW3JaTVumcRrnDDD2xFGin2JB8xFsdxUiLOj94BpZ/yqeVKHxw==" saltValue="0iKKMX6uHawgGkZsfOtfUg==" spinCount="100000" sheet="1" objects="1" scenarios="1" selectLockedCells="1" selectUnlockedCells="1"/>
  <pageMargins left="0.511811024" right="0.511811024" top="0.78740157499999996" bottom="0.78740157499999996" header="0.31496062000000002" footer="0.31496062000000002"/>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6" r:id="rId4" name="List Box 2">
              <controlPr defaultSize="0" print="0" autoLine="0" autoPict="0">
                <anchor>
                  <from>
                    <xdr:col>0</xdr:col>
                    <xdr:colOff>323850</xdr:colOff>
                    <xdr:row>5</xdr:row>
                    <xdr:rowOff>85725</xdr:rowOff>
                  </from>
                  <to>
                    <xdr:col>3</xdr:col>
                    <xdr:colOff>552450</xdr:colOff>
                    <xdr:row>30</xdr:row>
                    <xdr:rowOff>161925</xdr:rowOff>
                  </to>
                </anchor>
              </controlPr>
            </control>
          </mc:Choice>
        </mc:AlternateContent>
        <mc:AlternateContent xmlns:mc="http://schemas.openxmlformats.org/markup-compatibility/2006">
          <mc:Choice Requires="x14">
            <control shapeId="11267" r:id="rId5" name="Option Button 3">
              <controlPr defaultSize="0" autoFill="0" autoLine="0" autoPict="0">
                <anchor moveWithCells="1">
                  <from>
                    <xdr:col>4</xdr:col>
                    <xdr:colOff>533400</xdr:colOff>
                    <xdr:row>16</xdr:row>
                    <xdr:rowOff>9525</xdr:rowOff>
                  </from>
                  <to>
                    <xdr:col>5</xdr:col>
                    <xdr:colOff>219075</xdr:colOff>
                    <xdr:row>17</xdr:row>
                    <xdr:rowOff>9525</xdr:rowOff>
                  </to>
                </anchor>
              </controlPr>
            </control>
          </mc:Choice>
        </mc:AlternateContent>
        <mc:AlternateContent xmlns:mc="http://schemas.openxmlformats.org/markup-compatibility/2006">
          <mc:Choice Requires="x14">
            <control shapeId="11268" r:id="rId6" name="Option Button 4">
              <controlPr defaultSize="0" autoFill="0" autoLine="0" autoPict="0">
                <anchor moveWithCells="1">
                  <from>
                    <xdr:col>5</xdr:col>
                    <xdr:colOff>495300</xdr:colOff>
                    <xdr:row>16</xdr:row>
                    <xdr:rowOff>19050</xdr:rowOff>
                  </from>
                  <to>
                    <xdr:col>6</xdr:col>
                    <xdr:colOff>180975</xdr:colOff>
                    <xdr:row>17</xdr:row>
                    <xdr:rowOff>19050</xdr:rowOff>
                  </to>
                </anchor>
              </controlPr>
            </control>
          </mc:Choice>
        </mc:AlternateContent>
        <mc:AlternateContent xmlns:mc="http://schemas.openxmlformats.org/markup-compatibility/2006">
          <mc:Choice Requires="x14">
            <control shapeId="11269" r:id="rId7" name="Option Button 5">
              <controlPr defaultSize="0" autoFill="0" autoLine="0" autoPict="0">
                <anchor moveWithCells="1">
                  <from>
                    <xdr:col>6</xdr:col>
                    <xdr:colOff>466725</xdr:colOff>
                    <xdr:row>16</xdr:row>
                    <xdr:rowOff>9525</xdr:rowOff>
                  </from>
                  <to>
                    <xdr:col>7</xdr:col>
                    <xdr:colOff>152400</xdr:colOff>
                    <xdr:row>17</xdr:row>
                    <xdr:rowOff>9525</xdr:rowOff>
                  </to>
                </anchor>
              </controlPr>
            </control>
          </mc:Choice>
        </mc:AlternateContent>
        <mc:AlternateContent xmlns:mc="http://schemas.openxmlformats.org/markup-compatibility/2006">
          <mc:Choice Requires="x14">
            <control shapeId="11270" r:id="rId8" name="Option Button 6">
              <controlPr defaultSize="0" autoFill="0" autoLine="0" autoPict="0">
                <anchor moveWithCells="1">
                  <from>
                    <xdr:col>7</xdr:col>
                    <xdr:colOff>428625</xdr:colOff>
                    <xdr:row>16</xdr:row>
                    <xdr:rowOff>19050</xdr:rowOff>
                  </from>
                  <to>
                    <xdr:col>8</xdr:col>
                    <xdr:colOff>114300</xdr:colOff>
                    <xdr:row>17</xdr:row>
                    <xdr:rowOff>19050</xdr:rowOff>
                  </to>
                </anchor>
              </controlPr>
            </control>
          </mc:Choice>
        </mc:AlternateContent>
        <mc:AlternateContent xmlns:mc="http://schemas.openxmlformats.org/markup-compatibility/2006">
          <mc:Choice Requires="x14">
            <control shapeId="11271" r:id="rId9" name="Option Button 7">
              <controlPr defaultSize="0" autoFill="0" autoLine="0" autoPict="0">
                <anchor moveWithCells="1">
                  <from>
                    <xdr:col>8</xdr:col>
                    <xdr:colOff>390525</xdr:colOff>
                    <xdr:row>16</xdr:row>
                    <xdr:rowOff>19050</xdr:rowOff>
                  </from>
                  <to>
                    <xdr:col>9</xdr:col>
                    <xdr:colOff>76200</xdr:colOff>
                    <xdr:row>17</xdr:row>
                    <xdr:rowOff>19050</xdr:rowOff>
                  </to>
                </anchor>
              </controlPr>
            </control>
          </mc:Choice>
        </mc:AlternateContent>
        <mc:AlternateContent xmlns:mc="http://schemas.openxmlformats.org/markup-compatibility/2006">
          <mc:Choice Requires="x14">
            <control shapeId="11272" r:id="rId10" name="Option Button 8">
              <controlPr defaultSize="0" autoFill="0" autoLine="0" autoPict="0">
                <anchor moveWithCells="1">
                  <from>
                    <xdr:col>9</xdr:col>
                    <xdr:colOff>352425</xdr:colOff>
                    <xdr:row>16</xdr:row>
                    <xdr:rowOff>9525</xdr:rowOff>
                  </from>
                  <to>
                    <xdr:col>10</xdr:col>
                    <xdr:colOff>38100</xdr:colOff>
                    <xdr:row>17</xdr:row>
                    <xdr:rowOff>9525</xdr:rowOff>
                  </to>
                </anchor>
              </controlPr>
            </control>
          </mc:Choice>
        </mc:AlternateContent>
        <mc:AlternateContent xmlns:mc="http://schemas.openxmlformats.org/markup-compatibility/2006">
          <mc:Choice Requires="x14">
            <control shapeId="11273" r:id="rId11" name="Option Button 9">
              <controlPr defaultSize="0" autoFill="0" autoLine="0" autoPict="0">
                <anchor moveWithCells="1">
                  <from>
                    <xdr:col>10</xdr:col>
                    <xdr:colOff>314325</xdr:colOff>
                    <xdr:row>16</xdr:row>
                    <xdr:rowOff>9525</xdr:rowOff>
                  </from>
                  <to>
                    <xdr:col>11</xdr:col>
                    <xdr:colOff>0</xdr:colOff>
                    <xdr:row>17</xdr:row>
                    <xdr:rowOff>9525</xdr:rowOff>
                  </to>
                </anchor>
              </controlPr>
            </control>
          </mc:Choice>
        </mc:AlternateContent>
        <mc:AlternateContent xmlns:mc="http://schemas.openxmlformats.org/markup-compatibility/2006">
          <mc:Choice Requires="x14">
            <control shapeId="11274" r:id="rId12" name="Option Button 10">
              <controlPr defaultSize="0" autoFill="0" autoLine="0" autoPict="0">
                <anchor moveWithCells="1">
                  <from>
                    <xdr:col>11</xdr:col>
                    <xdr:colOff>295275</xdr:colOff>
                    <xdr:row>16</xdr:row>
                    <xdr:rowOff>19050</xdr:rowOff>
                  </from>
                  <to>
                    <xdr:col>11</xdr:col>
                    <xdr:colOff>590550</xdr:colOff>
                    <xdr:row>17</xdr:row>
                    <xdr:rowOff>19050</xdr:rowOff>
                  </to>
                </anchor>
              </controlPr>
            </control>
          </mc:Choice>
        </mc:AlternateContent>
        <mc:AlternateContent xmlns:mc="http://schemas.openxmlformats.org/markup-compatibility/2006">
          <mc:Choice Requires="x14">
            <control shapeId="11275" r:id="rId13" name="Option Button 11">
              <controlPr defaultSize="0" autoFill="0" autoLine="0" autoPict="0">
                <anchor moveWithCells="1">
                  <from>
                    <xdr:col>12</xdr:col>
                    <xdr:colOff>247650</xdr:colOff>
                    <xdr:row>16</xdr:row>
                    <xdr:rowOff>9525</xdr:rowOff>
                  </from>
                  <to>
                    <xdr:col>12</xdr:col>
                    <xdr:colOff>542925</xdr:colOff>
                    <xdr:row>17</xdr:row>
                    <xdr:rowOff>9525</xdr:rowOff>
                  </to>
                </anchor>
              </controlPr>
            </control>
          </mc:Choice>
        </mc:AlternateContent>
        <mc:AlternateContent xmlns:mc="http://schemas.openxmlformats.org/markup-compatibility/2006">
          <mc:Choice Requires="x14">
            <control shapeId="11276" r:id="rId14" name="Option Button 12">
              <controlPr defaultSize="0" autoFill="0" autoLine="0" autoPict="0">
                <anchor moveWithCells="1">
                  <from>
                    <xdr:col>13</xdr:col>
                    <xdr:colOff>219075</xdr:colOff>
                    <xdr:row>16</xdr:row>
                    <xdr:rowOff>9525</xdr:rowOff>
                  </from>
                  <to>
                    <xdr:col>13</xdr:col>
                    <xdr:colOff>514350</xdr:colOff>
                    <xdr:row>17</xdr:row>
                    <xdr:rowOff>9525</xdr:rowOff>
                  </to>
                </anchor>
              </controlPr>
            </control>
          </mc:Choice>
        </mc:AlternateContent>
        <mc:AlternateContent xmlns:mc="http://schemas.openxmlformats.org/markup-compatibility/2006">
          <mc:Choice Requires="x14">
            <control shapeId="11277" r:id="rId15" name="Option Button 13">
              <controlPr defaultSize="0" autoFill="0" autoLine="0" autoPict="0">
                <anchor moveWithCells="1">
                  <from>
                    <xdr:col>14</xdr:col>
                    <xdr:colOff>180975</xdr:colOff>
                    <xdr:row>16</xdr:row>
                    <xdr:rowOff>9525</xdr:rowOff>
                  </from>
                  <to>
                    <xdr:col>14</xdr:col>
                    <xdr:colOff>476250</xdr:colOff>
                    <xdr:row>17</xdr:row>
                    <xdr:rowOff>9525</xdr:rowOff>
                  </to>
                </anchor>
              </controlPr>
            </control>
          </mc:Choice>
        </mc:AlternateContent>
        <mc:AlternateContent xmlns:mc="http://schemas.openxmlformats.org/markup-compatibility/2006">
          <mc:Choice Requires="x14">
            <control shapeId="11278" r:id="rId16" name="Option Button 14">
              <controlPr defaultSize="0" autoFill="0" autoLine="0" autoPict="0">
                <anchor moveWithCells="1">
                  <from>
                    <xdr:col>15</xdr:col>
                    <xdr:colOff>152400</xdr:colOff>
                    <xdr:row>16</xdr:row>
                    <xdr:rowOff>9525</xdr:rowOff>
                  </from>
                  <to>
                    <xdr:col>15</xdr:col>
                    <xdr:colOff>447675</xdr:colOff>
                    <xdr:row>17</xdr:row>
                    <xdr:rowOff>9525</xdr:rowOff>
                  </to>
                </anchor>
              </controlPr>
            </control>
          </mc:Choice>
        </mc:AlternateContent>
        <mc:AlternateContent xmlns:mc="http://schemas.openxmlformats.org/markup-compatibility/2006">
          <mc:Choice Requires="x14">
            <control shapeId="11279" r:id="rId17" name="Option Button 15">
              <controlPr defaultSize="0" autoFill="0" autoLine="0" autoPict="0">
                <anchor moveWithCells="1">
                  <from>
                    <xdr:col>16</xdr:col>
                    <xdr:colOff>114300</xdr:colOff>
                    <xdr:row>16</xdr:row>
                    <xdr:rowOff>0</xdr:rowOff>
                  </from>
                  <to>
                    <xdr:col>16</xdr:col>
                    <xdr:colOff>409575</xdr:colOff>
                    <xdr:row>17</xdr:row>
                    <xdr:rowOff>0</xdr:rowOff>
                  </to>
                </anchor>
              </controlPr>
            </control>
          </mc:Choice>
        </mc:AlternateContent>
        <mc:AlternateContent xmlns:mc="http://schemas.openxmlformats.org/markup-compatibility/2006">
          <mc:Choice Requires="x14">
            <control shapeId="11280" r:id="rId18" name="Option Button 16">
              <controlPr defaultSize="0" autoFill="0" autoLine="0" autoPict="0">
                <anchor moveWithCells="1">
                  <from>
                    <xdr:col>17</xdr:col>
                    <xdr:colOff>85725</xdr:colOff>
                    <xdr:row>16</xdr:row>
                    <xdr:rowOff>9525</xdr:rowOff>
                  </from>
                  <to>
                    <xdr:col>17</xdr:col>
                    <xdr:colOff>381000</xdr:colOff>
                    <xdr:row>17</xdr:row>
                    <xdr:rowOff>9525</xdr:rowOff>
                  </to>
                </anchor>
              </controlPr>
            </control>
          </mc:Choice>
        </mc:AlternateContent>
        <mc:AlternateContent xmlns:mc="http://schemas.openxmlformats.org/markup-compatibility/2006">
          <mc:Choice Requires="x14">
            <control shapeId="11281" r:id="rId19" name="Option Button 17">
              <controlPr defaultSize="0" autoFill="0" autoLine="0" autoPict="0">
                <anchor moveWithCells="1">
                  <from>
                    <xdr:col>18</xdr:col>
                    <xdr:colOff>38100</xdr:colOff>
                    <xdr:row>16</xdr:row>
                    <xdr:rowOff>9525</xdr:rowOff>
                  </from>
                  <to>
                    <xdr:col>18</xdr:col>
                    <xdr:colOff>333375</xdr:colOff>
                    <xdr:row>17</xdr:row>
                    <xdr:rowOff>9525</xdr:rowOff>
                  </to>
                </anchor>
              </controlPr>
            </control>
          </mc:Choice>
        </mc:AlternateContent>
        <mc:AlternateContent xmlns:mc="http://schemas.openxmlformats.org/markup-compatibility/2006">
          <mc:Choice Requires="x14">
            <control shapeId="11282" r:id="rId20" name="Option Button 18">
              <controlPr defaultSize="0" autoFill="0" autoLine="0" autoPict="0">
                <anchor moveWithCells="1">
                  <from>
                    <xdr:col>19</xdr:col>
                    <xdr:colOff>9525</xdr:colOff>
                    <xdr:row>16</xdr:row>
                    <xdr:rowOff>9525</xdr:rowOff>
                  </from>
                  <to>
                    <xdr:col>19</xdr:col>
                    <xdr:colOff>304800</xdr:colOff>
                    <xdr:row>17</xdr:row>
                    <xdr:rowOff>9525</xdr:rowOff>
                  </to>
                </anchor>
              </controlPr>
            </control>
          </mc:Choice>
        </mc:AlternateContent>
        <mc:AlternateContent xmlns:mc="http://schemas.openxmlformats.org/markup-compatibility/2006">
          <mc:Choice Requires="x14">
            <control shapeId="11284" r:id="rId21" name="Scroll Bar 20">
              <controlPr defaultSize="0" autoPict="0">
                <anchor moveWithCells="1">
                  <from>
                    <xdr:col>8</xdr:col>
                    <xdr:colOff>47625</xdr:colOff>
                    <xdr:row>17</xdr:row>
                    <xdr:rowOff>142875</xdr:rowOff>
                  </from>
                  <to>
                    <xdr:col>8</xdr:col>
                    <xdr:colOff>257175</xdr:colOff>
                    <xdr:row>30</xdr:row>
                    <xdr:rowOff>142875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C450"/>
  <sheetViews>
    <sheetView showGridLines="0" zoomScale="85" zoomScaleNormal="85" workbookViewId="0"/>
  </sheetViews>
  <sheetFormatPr defaultRowHeight="15" outlineLevelCol="1" x14ac:dyDescent="0.25"/>
  <cols>
    <col min="1" max="1" width="2.7109375" style="57" customWidth="1"/>
    <col min="2" max="2" width="11.85546875" style="57" customWidth="1"/>
    <col min="3" max="3" width="12.28515625" style="57" customWidth="1"/>
    <col min="4" max="4" width="11.42578125" style="57" customWidth="1"/>
    <col min="5" max="5" width="12.28515625" style="57" customWidth="1"/>
    <col min="6" max="8" width="16.140625" style="57" customWidth="1"/>
    <col min="9" max="9" width="27.85546875" style="57" customWidth="1"/>
    <col min="10" max="10" width="43.42578125" style="57" customWidth="1"/>
    <col min="11" max="17" width="11.28515625" style="57" customWidth="1" outlineLevel="1"/>
    <col min="18" max="20" width="19" style="57" customWidth="1" outlineLevel="1"/>
    <col min="21" max="21" width="13" style="57" customWidth="1" outlineLevel="1"/>
    <col min="22" max="24" width="4.7109375" style="57" customWidth="1" outlineLevel="1"/>
    <col min="25" max="25" width="13.7109375" style="57" customWidth="1"/>
    <col min="26" max="26" width="17.85546875" style="57" customWidth="1" outlineLevel="1"/>
    <col min="27" max="27" width="28.5703125" style="57" customWidth="1" outlineLevel="1"/>
    <col min="28" max="28" width="12.28515625" style="57" customWidth="1" outlineLevel="1"/>
    <col min="29" max="29" width="18.85546875" style="57" customWidth="1" outlineLevel="1"/>
    <col min="30" max="30" width="12.28515625" style="57" customWidth="1" outlineLevel="1"/>
    <col min="31" max="31" width="15.42578125" style="57" customWidth="1" outlineLevel="1"/>
    <col min="32" max="32" width="14.42578125" style="57" customWidth="1" outlineLevel="1"/>
    <col min="33" max="35" width="16.85546875" style="57" customWidth="1" outlineLevel="1"/>
    <col min="36" max="36" width="30.140625" style="57" customWidth="1" outlineLevel="1"/>
    <col min="37" max="37" width="8.42578125" style="57" customWidth="1"/>
    <col min="38" max="38" width="10" style="57" customWidth="1"/>
    <col min="39" max="41" width="11.7109375" style="57" customWidth="1"/>
    <col min="42" max="57" width="11.7109375" style="57" customWidth="1" outlineLevel="1"/>
    <col min="58" max="58" width="14.5703125" style="57" customWidth="1"/>
    <col min="59" max="59" width="15.42578125" style="57" customWidth="1"/>
    <col min="60" max="60" width="13.42578125" style="57" customWidth="1"/>
    <col min="61" max="61" width="15" style="57" customWidth="1"/>
    <col min="62" max="62" width="11.5703125" style="57" customWidth="1"/>
    <col min="63" max="73" width="8.5703125" style="57" customWidth="1"/>
    <col min="74" max="74" width="9.28515625" style="57" bestFit="1" customWidth="1"/>
    <col min="75" max="75" width="9.140625" style="57" customWidth="1"/>
    <col min="76" max="76" width="12.5703125" style="57" customWidth="1"/>
    <col min="77" max="78" width="9.140625" style="57"/>
    <col min="79" max="80" width="11.140625" style="57" customWidth="1"/>
    <col min="81" max="16384" width="9.140625" style="57"/>
  </cols>
  <sheetData>
    <row r="3" spans="2:81" x14ac:dyDescent="0.25">
      <c r="AD3" s="57" t="s">
        <v>21712</v>
      </c>
    </row>
    <row r="4" spans="2:81" x14ac:dyDescent="0.25">
      <c r="AD4" s="57" t="s">
        <v>21713</v>
      </c>
    </row>
    <row r="5" spans="2:81" x14ac:dyDescent="0.25">
      <c r="AD5" s="57" t="s">
        <v>21714</v>
      </c>
    </row>
    <row r="6" spans="2:81" x14ac:dyDescent="0.25">
      <c r="AD6" s="57" t="s">
        <v>21715</v>
      </c>
    </row>
    <row r="7" spans="2:81" ht="15.75" customHeight="1" x14ac:dyDescent="0.25">
      <c r="D7" s="58"/>
      <c r="E7" s="58"/>
      <c r="I7" s="58"/>
      <c r="J7" s="58"/>
      <c r="AD7" s="57" t="s">
        <v>21716</v>
      </c>
    </row>
    <row r="8" spans="2:81" ht="15.75" customHeight="1" x14ac:dyDescent="0.25">
      <c r="D8" s="58"/>
      <c r="E8" s="58"/>
      <c r="I8" s="58"/>
      <c r="J8" s="58"/>
      <c r="AP8" s="59"/>
      <c r="AQ8" s="60"/>
      <c r="AR8" s="59"/>
    </row>
    <row r="9" spans="2:81" ht="33" hidden="1" customHeight="1" x14ac:dyDescent="0.25">
      <c r="B9" s="57">
        <v>1</v>
      </c>
      <c r="C9" s="57">
        <f>+B9+1</f>
        <v>2</v>
      </c>
      <c r="D9" s="57">
        <f t="shared" ref="D9:BO9" si="0">+C9+1</f>
        <v>3</v>
      </c>
      <c r="E9" s="57">
        <f t="shared" si="0"/>
        <v>4</v>
      </c>
      <c r="F9" s="57">
        <f t="shared" si="0"/>
        <v>5</v>
      </c>
      <c r="G9" s="57">
        <f t="shared" si="0"/>
        <v>6</v>
      </c>
      <c r="H9" s="57">
        <f t="shared" si="0"/>
        <v>7</v>
      </c>
      <c r="I9" s="57">
        <f t="shared" si="0"/>
        <v>8</v>
      </c>
      <c r="J9" s="57">
        <f t="shared" si="0"/>
        <v>9</v>
      </c>
      <c r="K9" s="57">
        <f t="shared" si="0"/>
        <v>10</v>
      </c>
      <c r="L9" s="57">
        <f t="shared" si="0"/>
        <v>11</v>
      </c>
      <c r="M9" s="57">
        <f t="shared" si="0"/>
        <v>12</v>
      </c>
      <c r="N9" s="57">
        <f t="shared" si="0"/>
        <v>13</v>
      </c>
      <c r="O9" s="57">
        <f t="shared" si="0"/>
        <v>14</v>
      </c>
      <c r="P9" s="57">
        <f t="shared" si="0"/>
        <v>15</v>
      </c>
      <c r="Q9" s="57">
        <f t="shared" si="0"/>
        <v>16</v>
      </c>
      <c r="R9" s="57">
        <f t="shared" si="0"/>
        <v>17</v>
      </c>
      <c r="S9" s="57">
        <f t="shared" si="0"/>
        <v>18</v>
      </c>
      <c r="T9" s="57">
        <f t="shared" si="0"/>
        <v>19</v>
      </c>
      <c r="U9" s="57">
        <f t="shared" si="0"/>
        <v>20</v>
      </c>
      <c r="V9" s="57">
        <f t="shared" si="0"/>
        <v>21</v>
      </c>
      <c r="W9" s="57">
        <f t="shared" si="0"/>
        <v>22</v>
      </c>
      <c r="X9" s="57">
        <f t="shared" si="0"/>
        <v>23</v>
      </c>
      <c r="Y9" s="57">
        <f t="shared" si="0"/>
        <v>24</v>
      </c>
      <c r="Z9" s="57">
        <f t="shared" si="0"/>
        <v>25</v>
      </c>
      <c r="AA9" s="57">
        <f t="shared" si="0"/>
        <v>26</v>
      </c>
      <c r="AE9" s="57">
        <f>+AA9+1</f>
        <v>27</v>
      </c>
      <c r="AF9" s="57">
        <f t="shared" si="0"/>
        <v>28</v>
      </c>
      <c r="AG9" s="57">
        <f t="shared" si="0"/>
        <v>29</v>
      </c>
      <c r="AH9" s="57">
        <f t="shared" si="0"/>
        <v>30</v>
      </c>
      <c r="AI9" s="57">
        <f t="shared" si="0"/>
        <v>31</v>
      </c>
      <c r="AJ9" s="57">
        <f t="shared" si="0"/>
        <v>32</v>
      </c>
      <c r="AK9" s="57">
        <f t="shared" si="0"/>
        <v>33</v>
      </c>
      <c r="AL9" s="57">
        <f t="shared" si="0"/>
        <v>34</v>
      </c>
      <c r="AM9" s="57">
        <f t="shared" si="0"/>
        <v>35</v>
      </c>
      <c r="AN9" s="57">
        <f t="shared" si="0"/>
        <v>36</v>
      </c>
      <c r="AO9" s="57">
        <f t="shared" si="0"/>
        <v>37</v>
      </c>
      <c r="AP9" s="57">
        <f t="shared" si="0"/>
        <v>38</v>
      </c>
      <c r="AQ9" s="57">
        <f t="shared" si="0"/>
        <v>39</v>
      </c>
      <c r="AR9" s="57">
        <f t="shared" si="0"/>
        <v>40</v>
      </c>
      <c r="AS9" s="57">
        <f t="shared" si="0"/>
        <v>41</v>
      </c>
      <c r="AT9" s="57">
        <f t="shared" si="0"/>
        <v>42</v>
      </c>
      <c r="AU9" s="57">
        <f t="shared" si="0"/>
        <v>43</v>
      </c>
      <c r="AV9" s="57">
        <f t="shared" si="0"/>
        <v>44</v>
      </c>
      <c r="AW9" s="57">
        <f t="shared" si="0"/>
        <v>45</v>
      </c>
      <c r="AX9" s="57">
        <f t="shared" si="0"/>
        <v>46</v>
      </c>
      <c r="AY9" s="57">
        <f t="shared" si="0"/>
        <v>47</v>
      </c>
      <c r="AZ9" s="57">
        <f t="shared" si="0"/>
        <v>48</v>
      </c>
      <c r="BA9" s="57">
        <f t="shared" si="0"/>
        <v>49</v>
      </c>
      <c r="BB9" s="57">
        <f t="shared" si="0"/>
        <v>50</v>
      </c>
      <c r="BC9" s="57">
        <f t="shared" si="0"/>
        <v>51</v>
      </c>
      <c r="BD9" s="57">
        <f t="shared" si="0"/>
        <v>52</v>
      </c>
      <c r="BE9" s="57">
        <f t="shared" si="0"/>
        <v>53</v>
      </c>
      <c r="BF9" s="57">
        <f t="shared" si="0"/>
        <v>54</v>
      </c>
      <c r="BG9" s="57">
        <f t="shared" si="0"/>
        <v>55</v>
      </c>
      <c r="BH9" s="57">
        <f t="shared" si="0"/>
        <v>56</v>
      </c>
      <c r="BI9" s="57">
        <f t="shared" si="0"/>
        <v>57</v>
      </c>
      <c r="BJ9" s="57">
        <f t="shared" si="0"/>
        <v>58</v>
      </c>
      <c r="BK9" s="57">
        <f t="shared" si="0"/>
        <v>59</v>
      </c>
      <c r="BL9" s="57">
        <f t="shared" si="0"/>
        <v>60</v>
      </c>
      <c r="BM9" s="57">
        <f t="shared" si="0"/>
        <v>61</v>
      </c>
      <c r="BN9" s="57">
        <f t="shared" si="0"/>
        <v>62</v>
      </c>
      <c r="BO9" s="57">
        <f t="shared" si="0"/>
        <v>63</v>
      </c>
      <c r="BP9" s="57">
        <f t="shared" ref="BP9:BV9" si="1">+BO9+1</f>
        <v>64</v>
      </c>
      <c r="BQ9" s="57">
        <f t="shared" si="1"/>
        <v>65</v>
      </c>
      <c r="BR9" s="57">
        <f t="shared" si="1"/>
        <v>66</v>
      </c>
      <c r="BS9" s="57">
        <f t="shared" si="1"/>
        <v>67</v>
      </c>
      <c r="BT9" s="57">
        <f t="shared" si="1"/>
        <v>68</v>
      </c>
      <c r="BU9" s="57">
        <f t="shared" si="1"/>
        <v>69</v>
      </c>
      <c r="BV9" s="57">
        <f t="shared" si="1"/>
        <v>70</v>
      </c>
    </row>
    <row r="10" spans="2:81" s="61" customFormat="1" ht="65.25" customHeight="1" x14ac:dyDescent="0.25">
      <c r="B10" s="61" t="s">
        <v>613</v>
      </c>
      <c r="C10" s="61" t="s">
        <v>612</v>
      </c>
      <c r="D10" s="61" t="s">
        <v>19442</v>
      </c>
      <c r="E10" s="61" t="s">
        <v>20238</v>
      </c>
      <c r="F10" s="62" t="s">
        <v>20239</v>
      </c>
      <c r="G10" s="88" t="s">
        <v>20240</v>
      </c>
      <c r="H10" s="88" t="s">
        <v>20241</v>
      </c>
      <c r="I10" s="88" t="s">
        <v>20242</v>
      </c>
      <c r="J10" s="61" t="s">
        <v>12</v>
      </c>
      <c r="K10" s="61" t="s">
        <v>614</v>
      </c>
      <c r="L10" s="61" t="s">
        <v>3201</v>
      </c>
      <c r="M10" s="61" t="s">
        <v>3202</v>
      </c>
      <c r="N10" s="61" t="s">
        <v>3203</v>
      </c>
      <c r="O10" s="61" t="s">
        <v>3204</v>
      </c>
      <c r="P10" s="61" t="s">
        <v>3205</v>
      </c>
      <c r="Q10" s="61" t="s">
        <v>20237</v>
      </c>
      <c r="R10" s="61" t="s">
        <v>14</v>
      </c>
      <c r="S10" s="86" t="s">
        <v>21562</v>
      </c>
      <c r="T10" s="86" t="s">
        <v>21563</v>
      </c>
      <c r="U10" s="61" t="s">
        <v>4495</v>
      </c>
      <c r="V10" s="61" t="s">
        <v>4187</v>
      </c>
      <c r="W10" s="61" t="s">
        <v>4188</v>
      </c>
      <c r="X10" s="61" t="s">
        <v>4189</v>
      </c>
      <c r="Y10" s="61" t="s">
        <v>4190</v>
      </c>
      <c r="Z10" s="61" t="s">
        <v>615</v>
      </c>
      <c r="AA10" s="61" t="s">
        <v>13</v>
      </c>
      <c r="AB10" s="61" t="s">
        <v>21717</v>
      </c>
      <c r="AC10" s="61" t="s">
        <v>21718</v>
      </c>
      <c r="AD10" s="61" t="s">
        <v>21719</v>
      </c>
      <c r="AE10" s="63" t="s">
        <v>15</v>
      </c>
      <c r="AF10" s="61" t="s">
        <v>16</v>
      </c>
      <c r="AG10" s="61" t="s">
        <v>17</v>
      </c>
      <c r="AH10" s="61" t="s">
        <v>19</v>
      </c>
      <c r="AI10" s="61" t="s">
        <v>18</v>
      </c>
      <c r="AJ10" s="61" t="s">
        <v>11</v>
      </c>
      <c r="AK10" s="61" t="s">
        <v>616</v>
      </c>
      <c r="AL10" s="61" t="s">
        <v>617</v>
      </c>
      <c r="AM10" s="61" t="s">
        <v>19458</v>
      </c>
      <c r="AN10" s="61" t="s">
        <v>19459</v>
      </c>
      <c r="AO10" s="61" t="s">
        <v>620</v>
      </c>
      <c r="AP10" s="67" t="s">
        <v>2709</v>
      </c>
      <c r="AQ10" s="67" t="s">
        <v>2710</v>
      </c>
      <c r="AR10" s="67" t="s">
        <v>2711</v>
      </c>
      <c r="AS10" s="67" t="s">
        <v>2712</v>
      </c>
      <c r="AT10" s="67" t="s">
        <v>2713</v>
      </c>
      <c r="AU10" s="67" t="s">
        <v>2714</v>
      </c>
      <c r="AV10" s="67" t="s">
        <v>2715</v>
      </c>
      <c r="AW10" s="67" t="s">
        <v>2716</v>
      </c>
      <c r="AX10" s="67" t="s">
        <v>2717</v>
      </c>
      <c r="AY10" s="67" t="s">
        <v>2718</v>
      </c>
      <c r="AZ10" s="67" t="s">
        <v>2719</v>
      </c>
      <c r="BA10" s="67" t="s">
        <v>2720</v>
      </c>
      <c r="BB10" s="67" t="s">
        <v>2721</v>
      </c>
      <c r="BC10" s="67" t="s">
        <v>2722</v>
      </c>
      <c r="BD10" s="67" t="s">
        <v>2723</v>
      </c>
      <c r="BE10" s="67" t="s">
        <v>2724</v>
      </c>
      <c r="BF10" s="68" t="s">
        <v>19460</v>
      </c>
      <c r="BG10" s="68" t="s">
        <v>19461</v>
      </c>
      <c r="BH10" s="68" t="s">
        <v>19462</v>
      </c>
      <c r="BI10" s="68" t="s">
        <v>19463</v>
      </c>
      <c r="BJ10" s="68" t="s">
        <v>19464</v>
      </c>
      <c r="BK10" s="68" t="s">
        <v>19465</v>
      </c>
      <c r="BL10" s="68" t="s">
        <v>19466</v>
      </c>
      <c r="BM10" s="68" t="s">
        <v>19467</v>
      </c>
      <c r="BN10" s="68" t="s">
        <v>19468</v>
      </c>
      <c r="BO10" s="68" t="s">
        <v>19469</v>
      </c>
      <c r="BP10" s="68" t="s">
        <v>19470</v>
      </c>
      <c r="BQ10" s="68" t="s">
        <v>19471</v>
      </c>
      <c r="BR10" s="68" t="s">
        <v>19472</v>
      </c>
      <c r="BS10" s="68" t="s">
        <v>19473</v>
      </c>
      <c r="BT10" s="68" t="s">
        <v>19474</v>
      </c>
      <c r="BU10" s="68" t="s">
        <v>19475</v>
      </c>
      <c r="BV10" s="69" t="s">
        <v>19476</v>
      </c>
      <c r="BW10" s="70" t="s">
        <v>2610</v>
      </c>
      <c r="BX10" s="86" t="s">
        <v>21920</v>
      </c>
    </row>
    <row r="11" spans="2:81" x14ac:dyDescent="0.25">
      <c r="B11" s="89">
        <v>2516</v>
      </c>
      <c r="C11" s="106" t="s">
        <v>13183</v>
      </c>
      <c r="D11" s="89"/>
      <c r="E11" s="89">
        <v>20140626</v>
      </c>
      <c r="F11" s="89" t="s">
        <v>20599</v>
      </c>
      <c r="G11" s="89" t="s">
        <v>20600</v>
      </c>
      <c r="H11" s="89" t="s">
        <v>20601</v>
      </c>
      <c r="I11" s="89" t="s">
        <v>20602</v>
      </c>
      <c r="J11" s="89" t="s">
        <v>484</v>
      </c>
      <c r="K11" s="89" t="s">
        <v>4490</v>
      </c>
      <c r="L11" s="89" t="s">
        <v>4491</v>
      </c>
      <c r="M11" s="89" t="s">
        <v>4496</v>
      </c>
      <c r="N11" s="89" t="s">
        <v>4496</v>
      </c>
      <c r="O11" s="89" t="s">
        <v>4496</v>
      </c>
      <c r="P11" s="89" t="s">
        <v>4496</v>
      </c>
      <c r="Q11" s="89"/>
      <c r="R11" s="89" t="s">
        <v>485</v>
      </c>
      <c r="S11" s="89" t="s">
        <v>21614</v>
      </c>
      <c r="T11" s="89" t="s">
        <v>21615</v>
      </c>
      <c r="U11" s="89" t="str">
        <f>TRIM('Carga Tributária doenças Po (2'!$L11)</f>
        <v>PEROXIDO DE CARBAMIDA</v>
      </c>
      <c r="V11" s="89">
        <f>SUMIFS('Tabela Federal'!$E$4:$E$2069,'Tabela Federal'!$D$4:$D$2069,'Carga Tributária doenças Po (2'!$L11)</f>
        <v>0</v>
      </c>
      <c r="W11" s="89">
        <f>SUMIFS('Tabela Federal'!$E$4:$E$2069,'Tabela Federal'!$D$4:$D$2069,'Carga Tributária doenças Po (2'!$M11)</f>
        <v>0</v>
      </c>
      <c r="X11" s="89">
        <f>SUMIFS('Tabela Federal'!$E$4:$E$2069,'Tabela Federal'!$D$4:$D$2069,'Carga Tributária doenças Po (2'!$N11)</f>
        <v>0</v>
      </c>
      <c r="Y11" s="89">
        <f>SUMIFS('Tabela Federal'!$E$4:$E$2069,'Tabela Federal'!$D$4:$D$2069,'Carga Tributária doenças Po (2'!$O11)</f>
        <v>0</v>
      </c>
      <c r="Z11" s="92" t="str">
        <f>VLOOKUP('Carga Tributária doenças Po (2'!$AD11,'Carga Tributária doenças Po (2'!$CA$12:$CC$16,2,0)</f>
        <v>-</v>
      </c>
      <c r="AA11" s="89" t="s">
        <v>474</v>
      </c>
      <c r="AB11" s="89" t="s">
        <v>21822</v>
      </c>
      <c r="AC11" s="89" t="s">
        <v>21740</v>
      </c>
      <c r="AD11" s="93" t="s">
        <v>19523</v>
      </c>
      <c r="AE11" s="92" t="s">
        <v>4</v>
      </c>
      <c r="AF11" s="92" t="s">
        <v>3</v>
      </c>
      <c r="AG11" s="94">
        <v>485233</v>
      </c>
      <c r="AH11" s="95">
        <v>2191922</v>
      </c>
      <c r="AI11" s="95">
        <v>5011942.2</v>
      </c>
      <c r="AJ11" s="89" t="s">
        <v>472</v>
      </c>
      <c r="AK11" s="89">
        <f>IF('Carga Tributária doenças Po (2'!$Z11="+",0,SUMIFS(PISCOFINS!$I$3:$I$10518,PISCOFINS!$C$3:$C$10518,'Carga Tributária doenças Po (2'!$C11))</f>
        <v>2.1</v>
      </c>
      <c r="AL11" s="89">
        <f>IF('Carga Tributária doenças Po (2'!$Z11="+",0,SUMIFS(PISCOFINS!$H$3:$H$10518,PISCOFINS!$C$3:$C$10518,'Carga Tributária doenças Po (2'!$C11))</f>
        <v>9.9</v>
      </c>
      <c r="AM11" s="95">
        <v>3.27</v>
      </c>
      <c r="AN11" s="95">
        <v>3.12</v>
      </c>
      <c r="AO11" s="95">
        <v>1.35</v>
      </c>
      <c r="AP11" s="96">
        <v>18</v>
      </c>
      <c r="AQ11" s="96">
        <v>12</v>
      </c>
      <c r="AR11" s="96">
        <v>17</v>
      </c>
      <c r="AS11" s="97">
        <v>17</v>
      </c>
      <c r="AT11" s="97">
        <v>19</v>
      </c>
      <c r="AU11" s="97">
        <v>18</v>
      </c>
      <c r="AV11" s="97">
        <v>17</v>
      </c>
      <c r="AW11" s="97">
        <v>17</v>
      </c>
      <c r="AX11" s="97">
        <v>17</v>
      </c>
      <c r="AY11" s="97">
        <v>17</v>
      </c>
      <c r="AZ11" s="97">
        <v>17</v>
      </c>
      <c r="BA11" s="97">
        <v>17</v>
      </c>
      <c r="BB11" s="97">
        <v>17</v>
      </c>
      <c r="BC11" s="97">
        <v>17</v>
      </c>
      <c r="BD11" s="97">
        <v>17</v>
      </c>
      <c r="BE11" s="97">
        <v>17</v>
      </c>
      <c r="BF11" s="97">
        <f>+Tabela1107[[#This Row],[PIS]]+Tabela1107[[#This Row],[COFINS]]+Tabela1107[[#This Row],[CONTRIB. FOLHA]]+Tabela1107[[#This Row],[TRIBUTOS S/ LUCRO]]+Tabela1107[[#This Row],[OUTROS]]+Tabela1107[[#This Row],[SP]]</f>
        <v>37.74</v>
      </c>
      <c r="BG11" s="97">
        <f>+Tabela1107[[#This Row],[PIS]]+Tabela1107[[#This Row],[COFINS]]+Tabela1107[[#This Row],[CONTRIB. FOLHA]]+Tabela1107[[#This Row],[TRIBUTOS S/ LUCRO]]+Tabela1107[[#This Row],[OUTROS]]+Tabela1107[[#This Row],[PR]]</f>
        <v>31.740000000000002</v>
      </c>
      <c r="BH11" s="97">
        <f>+Tabela1107[[#This Row],[PIS]]+Tabela1107[[#This Row],[COFINS]]+Tabela1107[[#This Row],[CONTRIB. FOLHA]]+Tabela1107[[#This Row],[TRIBUTOS S/ LUCRO]]+Tabela1107[[#This Row],[OUTROS]]+Tabela1107[[#This Row],[SC]]</f>
        <v>36.74</v>
      </c>
      <c r="BI11" s="97">
        <f>+Tabela1107[[#This Row],[PIS]]+Tabela1107[[#This Row],[COFINS]]+Tabela1107[[#This Row],[CONTRIB. FOLHA]]+Tabela1107[[#This Row],[TRIBUTOS S/ LUCRO]]+Tabela1107[[#This Row],[OUTROS]]+Tabela1107[[#This Row],[RS]]</f>
        <v>36.74</v>
      </c>
      <c r="BJ11" s="97">
        <f>+Tabela1107[[#This Row],[PIS]]+Tabela1107[[#This Row],[COFINS]]+Tabela1107[[#This Row],[CONTRIB. FOLHA]]+Tabela1107[[#This Row],[TRIBUTOS S/ LUCRO]]+Tabela1107[[#This Row],[OUTROS]]+Tabela1107[[#This Row],[RJ]]</f>
        <v>38.74</v>
      </c>
      <c r="BK11" s="97">
        <f>+Tabela1107[[#This Row],[PIS]]+Tabela1107[[#This Row],[COFINS]]+Tabela1107[[#This Row],[CONTRIB. FOLHA]]+Tabela1107[[#This Row],[TRIBUTOS S/ LUCRO]]+Tabela1107[[#This Row],[OUTROS]]+Tabela1107[[#This Row],[MG]]</f>
        <v>37.74</v>
      </c>
      <c r="BL11" s="97">
        <f>+Tabela1107[[#This Row],[PIS]]+Tabela1107[[#This Row],[COFINS]]+Tabela1107[[#This Row],[CONTRIB. FOLHA]]+Tabela1107[[#This Row],[TRIBUTOS S/ LUCRO]]+Tabela1107[[#This Row],[OUTROS]]+Tabela1107[[#This Row],[ES]]</f>
        <v>36.74</v>
      </c>
      <c r="BM11" s="97">
        <f>+Tabela1107[[#This Row],[PIS]]+Tabela1107[[#This Row],[COFINS]]+Tabela1107[[#This Row],[CONTRIB. FOLHA]]+Tabela1107[[#This Row],[TRIBUTOS S/ LUCRO]]+Tabela1107[[#This Row],[OUTROS]]+Tabela1107[[#This Row],[GO]]</f>
        <v>36.74</v>
      </c>
      <c r="BN11" s="97">
        <f>+Tabela1107[[#This Row],[PIS]]+Tabela1107[[#This Row],[COFINS]]+Tabela1107[[#This Row],[CONTRIB. FOLHA]]+Tabela1107[[#This Row],[TRIBUTOS S/ LUCRO]]+Tabela1107[[#This Row],[OUTROS]]+Tabela1107[[#This Row],[MT]]</f>
        <v>36.74</v>
      </c>
      <c r="BO11" s="97">
        <f>+Tabela1107[[#This Row],[PIS]]+Tabela1107[[#This Row],[COFINS]]+Tabela1107[[#This Row],[CONTRIB. FOLHA]]+Tabela1107[[#This Row],[TRIBUTOS S/ LUCRO]]+Tabela1107[[#This Row],[OUTROS]]+Tabela1107[[#This Row],[MS]]</f>
        <v>36.74</v>
      </c>
      <c r="BP11" s="97">
        <f>+Tabela1107[[#This Row],[PIS]]+Tabela1107[[#This Row],[COFINS]]+Tabela1107[[#This Row],[CONTRIB. FOLHA]]+Tabela1107[[#This Row],[TRIBUTOS S/ LUCRO]]+Tabela1107[[#This Row],[OUTROS]]+Tabela1107[[#This Row],[DF]]</f>
        <v>36.74</v>
      </c>
      <c r="BQ11" s="97">
        <f>+Tabela1107[[#This Row],[PIS]]+Tabela1107[[#This Row],[COFINS]]+Tabela1107[[#This Row],[CONTRIB. FOLHA]]+Tabela1107[[#This Row],[TRIBUTOS S/ LUCRO]]+Tabela1107[[#This Row],[OUTROS]]+Tabela1107[[#This Row],[BA]]</f>
        <v>36.74</v>
      </c>
      <c r="BR11" s="97">
        <f>+Tabela1107[[#This Row],[PIS]]+Tabela1107[[#This Row],[COFINS]]+Tabela1107[[#This Row],[CONTRIB. FOLHA]]+Tabela1107[[#This Row],[TRIBUTOS S/ LUCRO]]+Tabela1107[[#This Row],[OUTROS]]+Tabela1107[[#This Row],[BA]]</f>
        <v>36.74</v>
      </c>
      <c r="BS11" s="97">
        <f>+Tabela1107[[#This Row],[PIS]]+Tabela1107[[#This Row],[COFINS]]+Tabela1107[[#This Row],[CONTRIB. FOLHA]]+Tabela1107[[#This Row],[TRIBUTOS S/ LUCRO]]+Tabela1107[[#This Row],[OUTROS]]+Tabela1107[[#This Row],[PE]]</f>
        <v>36.74</v>
      </c>
      <c r="BT11" s="97">
        <f>+Tabela1107[[#This Row],[PIS]]+Tabela1107[[#This Row],[COFINS]]+Tabela1107[[#This Row],[CONTRIB. FOLHA]]+Tabela1107[[#This Row],[TRIBUTOS S/ LUCRO]]+Tabela1107[[#This Row],[OUTROS]]+Tabela1107[[#This Row],[PA]]</f>
        <v>36.74</v>
      </c>
      <c r="BU11" s="97">
        <f>+Tabela1107[[#This Row],[PIS]]+Tabela1107[[#This Row],[COFINS]]+Tabela1107[[#This Row],[CONTRIB. FOLHA]]+Tabela1107[[#This Row],[TRIBUTOS S/ LUCRO]]+Tabela1107[[#This Row],[OUTROS]]+Tabela1107[[#This Row],[AM]]</f>
        <v>36.74</v>
      </c>
      <c r="BV11" s="97">
        <f>AVERAGE(Tabela1107[[#This Row],[TOTAL SP]:[TOTAL AM]])</f>
        <v>36.677500000000002</v>
      </c>
      <c r="BW11" s="97"/>
      <c r="BX11" s="97"/>
      <c r="CA11" s="57" t="s">
        <v>2610</v>
      </c>
      <c r="CB11" s="57" t="s">
        <v>2611</v>
      </c>
      <c r="CC11" s="64" t="s">
        <v>21723</v>
      </c>
    </row>
    <row r="12" spans="2:81" x14ac:dyDescent="0.25">
      <c r="B12" s="89">
        <v>17097</v>
      </c>
      <c r="C12" s="91" t="s">
        <v>13183</v>
      </c>
      <c r="D12" s="89"/>
      <c r="E12" s="89">
        <v>20140626</v>
      </c>
      <c r="F12" s="89" t="s">
        <v>21451</v>
      </c>
      <c r="G12" s="89" t="s">
        <v>21452</v>
      </c>
      <c r="H12" s="89" t="s">
        <v>21453</v>
      </c>
      <c r="I12" s="89" t="s">
        <v>3217</v>
      </c>
      <c r="J12" s="89" t="s">
        <v>4479</v>
      </c>
      <c r="K12" s="89" t="s">
        <v>4489</v>
      </c>
      <c r="L12" s="89" t="s">
        <v>2442</v>
      </c>
      <c r="M12" s="89" t="s">
        <v>4496</v>
      </c>
      <c r="N12" s="89" t="s">
        <v>4496</v>
      </c>
      <c r="O12" s="89" t="s">
        <v>4496</v>
      </c>
      <c r="P12" s="89" t="s">
        <v>4496</v>
      </c>
      <c r="Q12" s="89"/>
      <c r="R12" s="89" t="s">
        <v>64</v>
      </c>
      <c r="S12" s="89" t="s">
        <v>21698</v>
      </c>
      <c r="T12" s="89" t="s">
        <v>21699</v>
      </c>
      <c r="U12" s="89" t="str">
        <f>TRIM('Carga Tributária doenças Po (2'!$L12)</f>
        <v>DEXAMETASONA</v>
      </c>
      <c r="V12" s="89">
        <f>SUMIFS('Tabela Federal'!$E$4:$E$2069,'Tabela Federal'!$D$4:$D$2069,'Carga Tributária doenças Po (2'!$L12)</f>
        <v>10</v>
      </c>
      <c r="W12" s="89">
        <f>SUMIFS('Tabela Federal'!$E$4:$E$2069,'Tabela Federal'!$D$4:$D$2069,'Carga Tributária doenças Po (2'!$M12)</f>
        <v>0</v>
      </c>
      <c r="X12" s="89">
        <f>SUMIFS('Tabela Federal'!$E$4:$E$2069,'Tabela Federal'!$D$4:$D$2069,'Carga Tributária doenças Po (2'!$N12)</f>
        <v>0</v>
      </c>
      <c r="Y12" s="89">
        <f>SUMIFS('Tabela Federal'!$E$4:$E$2069,'Tabela Federal'!$D$4:$D$2069,'Carga Tributária doenças Po (2'!$O12)</f>
        <v>0</v>
      </c>
      <c r="Z12" s="92" t="str">
        <f>VLOOKUP('Carga Tributária doenças Po (2'!$AD12,'Carga Tributária doenças Po (2'!$CA$12:$CC$16,2,0)</f>
        <v>+</v>
      </c>
      <c r="AA12" s="89" t="s">
        <v>345</v>
      </c>
      <c r="AB12" s="89" t="s">
        <v>21731</v>
      </c>
      <c r="AC12" s="89" t="s">
        <v>21721</v>
      </c>
      <c r="AD12" s="93" t="s">
        <v>21722</v>
      </c>
      <c r="AE12" s="92" t="s">
        <v>2</v>
      </c>
      <c r="AF12" s="92" t="s">
        <v>10</v>
      </c>
      <c r="AG12" s="94">
        <v>845236</v>
      </c>
      <c r="AH12" s="95">
        <v>1777348</v>
      </c>
      <c r="AI12" s="95">
        <v>4066786.26</v>
      </c>
      <c r="AJ12" s="89" t="s">
        <v>338</v>
      </c>
      <c r="AK12" s="89">
        <f>IF('Carga Tributária doenças Po (2'!$Z12="+",0,SUMIFS(PISCOFINS!$I$3:$I$10518,PISCOFINS!$C$3:$C$10518,'Carga Tributária doenças Po (2'!$C12))</f>
        <v>0</v>
      </c>
      <c r="AL12" s="89">
        <f>IF('Carga Tributária doenças Po (2'!$Z12="+",0,SUMIFS(PISCOFINS!$H$3:$H$10518,PISCOFINS!$C$3:$C$10518,'Carga Tributária doenças Po (2'!$C12))</f>
        <v>0</v>
      </c>
      <c r="AM12" s="95">
        <v>3.27</v>
      </c>
      <c r="AN12" s="95">
        <v>3.12</v>
      </c>
      <c r="AO12" s="95">
        <v>1.35</v>
      </c>
      <c r="AP12" s="96">
        <v>18</v>
      </c>
      <c r="AQ12" s="96">
        <v>12</v>
      </c>
      <c r="AR12" s="96">
        <v>17</v>
      </c>
      <c r="AS12" s="97">
        <v>17</v>
      </c>
      <c r="AT12" s="97">
        <v>19</v>
      </c>
      <c r="AU12" s="97">
        <v>12</v>
      </c>
      <c r="AV12" s="97">
        <v>17</v>
      </c>
      <c r="AW12" s="97">
        <v>17</v>
      </c>
      <c r="AX12" s="97">
        <v>17</v>
      </c>
      <c r="AY12" s="97">
        <v>17</v>
      </c>
      <c r="AZ12" s="97">
        <v>17</v>
      </c>
      <c r="BA12" s="97">
        <v>17</v>
      </c>
      <c r="BB12" s="97">
        <v>17</v>
      </c>
      <c r="BC12" s="97">
        <v>17</v>
      </c>
      <c r="BD12" s="97">
        <v>17</v>
      </c>
      <c r="BE12" s="97">
        <v>17</v>
      </c>
      <c r="BF12" s="97">
        <f>+Tabela1107[[#This Row],[PIS]]+Tabela1107[[#This Row],[COFINS]]+Tabela1107[[#This Row],[CONTRIB. FOLHA]]+Tabela1107[[#This Row],[TRIBUTOS S/ LUCRO]]+Tabela1107[[#This Row],[OUTROS]]+Tabela1107[[#This Row],[SP]]</f>
        <v>25.740000000000002</v>
      </c>
      <c r="BG12" s="97">
        <f>+Tabela1107[[#This Row],[PIS]]+Tabela1107[[#This Row],[COFINS]]+Tabela1107[[#This Row],[CONTRIB. FOLHA]]+Tabela1107[[#This Row],[TRIBUTOS S/ LUCRO]]+Tabela1107[[#This Row],[OUTROS]]+Tabela1107[[#This Row],[PR]]</f>
        <v>19.740000000000002</v>
      </c>
      <c r="BH12" s="97">
        <f>+Tabela1107[[#This Row],[PIS]]+Tabela1107[[#This Row],[COFINS]]+Tabela1107[[#This Row],[CONTRIB. FOLHA]]+Tabela1107[[#This Row],[TRIBUTOS S/ LUCRO]]+Tabela1107[[#This Row],[OUTROS]]+Tabela1107[[#This Row],[SC]]</f>
        <v>24.740000000000002</v>
      </c>
      <c r="BI12" s="97">
        <f>+Tabela1107[[#This Row],[PIS]]+Tabela1107[[#This Row],[COFINS]]+Tabela1107[[#This Row],[CONTRIB. FOLHA]]+Tabela1107[[#This Row],[TRIBUTOS S/ LUCRO]]+Tabela1107[[#This Row],[OUTROS]]+Tabela1107[[#This Row],[RS]]</f>
        <v>24.740000000000002</v>
      </c>
      <c r="BJ12" s="97">
        <f>+Tabela1107[[#This Row],[PIS]]+Tabela1107[[#This Row],[COFINS]]+Tabela1107[[#This Row],[CONTRIB. FOLHA]]+Tabela1107[[#This Row],[TRIBUTOS S/ LUCRO]]+Tabela1107[[#This Row],[OUTROS]]+Tabela1107[[#This Row],[RJ]]</f>
        <v>26.740000000000002</v>
      </c>
      <c r="BK12" s="97">
        <f>+Tabela1107[[#This Row],[PIS]]+Tabela1107[[#This Row],[COFINS]]+Tabela1107[[#This Row],[CONTRIB. FOLHA]]+Tabela1107[[#This Row],[TRIBUTOS S/ LUCRO]]+Tabela1107[[#This Row],[OUTROS]]+Tabela1107[[#This Row],[MG]]</f>
        <v>19.740000000000002</v>
      </c>
      <c r="BL12" s="97">
        <f>+Tabela1107[[#This Row],[PIS]]+Tabela1107[[#This Row],[COFINS]]+Tabela1107[[#This Row],[CONTRIB. FOLHA]]+Tabela1107[[#This Row],[TRIBUTOS S/ LUCRO]]+Tabela1107[[#This Row],[OUTROS]]+Tabela1107[[#This Row],[ES]]</f>
        <v>24.740000000000002</v>
      </c>
      <c r="BM12" s="97">
        <f>+Tabela1107[[#This Row],[PIS]]+Tabela1107[[#This Row],[COFINS]]+Tabela1107[[#This Row],[CONTRIB. FOLHA]]+Tabela1107[[#This Row],[TRIBUTOS S/ LUCRO]]+Tabela1107[[#This Row],[OUTROS]]+Tabela1107[[#This Row],[GO]]</f>
        <v>24.740000000000002</v>
      </c>
      <c r="BN12" s="97">
        <f>+Tabela1107[[#This Row],[PIS]]+Tabela1107[[#This Row],[COFINS]]+Tabela1107[[#This Row],[CONTRIB. FOLHA]]+Tabela1107[[#This Row],[TRIBUTOS S/ LUCRO]]+Tabela1107[[#This Row],[OUTROS]]+Tabela1107[[#This Row],[MT]]</f>
        <v>24.740000000000002</v>
      </c>
      <c r="BO12" s="97">
        <f>+Tabela1107[[#This Row],[PIS]]+Tabela1107[[#This Row],[COFINS]]+Tabela1107[[#This Row],[CONTRIB. FOLHA]]+Tabela1107[[#This Row],[TRIBUTOS S/ LUCRO]]+Tabela1107[[#This Row],[OUTROS]]+Tabela1107[[#This Row],[MS]]</f>
        <v>24.740000000000002</v>
      </c>
      <c r="BP12" s="97">
        <f>+Tabela1107[[#This Row],[PIS]]+Tabela1107[[#This Row],[COFINS]]+Tabela1107[[#This Row],[CONTRIB. FOLHA]]+Tabela1107[[#This Row],[TRIBUTOS S/ LUCRO]]+Tabela1107[[#This Row],[OUTROS]]+Tabela1107[[#This Row],[DF]]</f>
        <v>24.740000000000002</v>
      </c>
      <c r="BQ12" s="97">
        <f>+Tabela1107[[#This Row],[PIS]]+Tabela1107[[#This Row],[COFINS]]+Tabela1107[[#This Row],[CONTRIB. FOLHA]]+Tabela1107[[#This Row],[TRIBUTOS S/ LUCRO]]+Tabela1107[[#This Row],[OUTROS]]+Tabela1107[[#This Row],[BA]]</f>
        <v>24.740000000000002</v>
      </c>
      <c r="BR12" s="97">
        <f>+Tabela1107[[#This Row],[PIS]]+Tabela1107[[#This Row],[COFINS]]+Tabela1107[[#This Row],[CONTRIB. FOLHA]]+Tabela1107[[#This Row],[TRIBUTOS S/ LUCRO]]+Tabela1107[[#This Row],[OUTROS]]+Tabela1107[[#This Row],[BA]]</f>
        <v>24.740000000000002</v>
      </c>
      <c r="BS12" s="97">
        <f>+Tabela1107[[#This Row],[PIS]]+Tabela1107[[#This Row],[COFINS]]+Tabela1107[[#This Row],[CONTRIB. FOLHA]]+Tabela1107[[#This Row],[TRIBUTOS S/ LUCRO]]+Tabela1107[[#This Row],[OUTROS]]+Tabela1107[[#This Row],[PE]]</f>
        <v>24.740000000000002</v>
      </c>
      <c r="BT12" s="97">
        <f>+Tabela1107[[#This Row],[PIS]]+Tabela1107[[#This Row],[COFINS]]+Tabela1107[[#This Row],[CONTRIB. FOLHA]]+Tabela1107[[#This Row],[TRIBUTOS S/ LUCRO]]+Tabela1107[[#This Row],[OUTROS]]+Tabela1107[[#This Row],[PA]]</f>
        <v>24.740000000000002</v>
      </c>
      <c r="BU12" s="97">
        <f>+Tabela1107[[#This Row],[PIS]]+Tabela1107[[#This Row],[COFINS]]+Tabela1107[[#This Row],[CONTRIB. FOLHA]]+Tabela1107[[#This Row],[TRIBUTOS S/ LUCRO]]+Tabela1107[[#This Row],[OUTROS]]+Tabela1107[[#This Row],[AM]]</f>
        <v>24.740000000000002</v>
      </c>
      <c r="BV12" s="97">
        <f>AVERAGE(Tabela1107[[#This Row],[TOTAL SP]:[TOTAL AM]])</f>
        <v>24.302500000000006</v>
      </c>
      <c r="BW12" s="97"/>
      <c r="BX12" s="97"/>
      <c r="CA12" s="57" t="s">
        <v>21722</v>
      </c>
      <c r="CB12" s="65" t="s">
        <v>19525</v>
      </c>
      <c r="CC12" s="64" t="s">
        <v>21712</v>
      </c>
    </row>
    <row r="13" spans="2:81" x14ac:dyDescent="0.25">
      <c r="B13" s="89">
        <v>17277</v>
      </c>
      <c r="C13" s="106" t="s">
        <v>13183</v>
      </c>
      <c r="D13" s="89"/>
      <c r="E13" s="89">
        <v>20140626</v>
      </c>
      <c r="F13" s="89" t="s">
        <v>20603</v>
      </c>
      <c r="G13" s="89" t="s">
        <v>20604</v>
      </c>
      <c r="H13" s="89" t="s">
        <v>20605</v>
      </c>
      <c r="I13" s="89" t="s">
        <v>20606</v>
      </c>
      <c r="J13" s="89" t="s">
        <v>575</v>
      </c>
      <c r="K13" s="89" t="s">
        <v>2450</v>
      </c>
      <c r="L13" s="89" t="s">
        <v>2613</v>
      </c>
      <c r="M13" s="89" t="s">
        <v>4496</v>
      </c>
      <c r="N13" s="89" t="s">
        <v>4496</v>
      </c>
      <c r="O13" s="89" t="s">
        <v>4496</v>
      </c>
      <c r="P13" s="89" t="s">
        <v>4496</v>
      </c>
      <c r="Q13" s="89"/>
      <c r="R13" s="89" t="s">
        <v>29</v>
      </c>
      <c r="S13" s="89" t="s">
        <v>21616</v>
      </c>
      <c r="T13" s="89" t="s">
        <v>21617</v>
      </c>
      <c r="U13" s="89" t="str">
        <f>TRIM('Carga Tributária doenças Po (2'!$L13)</f>
        <v>ACETATO DE MEDROXIPROGESTERONA</v>
      </c>
      <c r="V13" s="89">
        <f>SUMIFS('Tabela Federal'!$E$4:$E$2069,'Tabela Federal'!$D$4:$D$2069,'Carga Tributária doenças Po (2'!$L13)</f>
        <v>4</v>
      </c>
      <c r="W13" s="89">
        <f>SUMIFS('Tabela Federal'!$E$4:$E$2069,'Tabela Federal'!$D$4:$D$2069,'Carga Tributária doenças Po (2'!$M13)</f>
        <v>0</v>
      </c>
      <c r="X13" s="89">
        <f>SUMIFS('Tabela Federal'!$E$4:$E$2069,'Tabela Federal'!$D$4:$D$2069,'Carga Tributária doenças Po (2'!$N13)</f>
        <v>0</v>
      </c>
      <c r="Y13" s="89">
        <f>SUMIFS('Tabela Federal'!$E$4:$E$2069,'Tabela Federal'!$D$4:$D$2069,'Carga Tributária doenças Po (2'!$O13)</f>
        <v>0</v>
      </c>
      <c r="Z13" s="92" t="str">
        <f>VLOOKUP('Carga Tributária doenças Po (2'!$AD13,'Carga Tributária doenças Po (2'!$CA$12:$CC$16,2,0)</f>
        <v>+</v>
      </c>
      <c r="AA13" s="89" t="s">
        <v>567</v>
      </c>
      <c r="AB13" s="89" t="s">
        <v>21903</v>
      </c>
      <c r="AC13" s="89" t="s">
        <v>21721</v>
      </c>
      <c r="AD13" s="93" t="s">
        <v>21722</v>
      </c>
      <c r="AE13" s="92" t="s">
        <v>2</v>
      </c>
      <c r="AF13" s="92" t="s">
        <v>3</v>
      </c>
      <c r="AG13" s="94">
        <v>420847</v>
      </c>
      <c r="AH13" s="95">
        <v>1157866</v>
      </c>
      <c r="AI13" s="95">
        <v>2642928.46</v>
      </c>
      <c r="AJ13" s="89" t="s">
        <v>579</v>
      </c>
      <c r="AK13" s="89">
        <f>IF('Carga Tributária doenças Po (2'!$Z13="+",0,SUMIFS(PISCOFINS!$I$3:$I$10518,PISCOFINS!$C$3:$C$10518,'Carga Tributária doenças Po (2'!$C13))</f>
        <v>0</v>
      </c>
      <c r="AL13" s="89">
        <f>IF('Carga Tributária doenças Po (2'!$Z13="+",0,SUMIFS(PISCOFINS!$H$3:$H$10518,PISCOFINS!$C$3:$C$10518,'Carga Tributária doenças Po (2'!$C13))</f>
        <v>0</v>
      </c>
      <c r="AM13" s="95">
        <v>3.27</v>
      </c>
      <c r="AN13" s="95">
        <v>3.12</v>
      </c>
      <c r="AO13" s="95">
        <v>1.35</v>
      </c>
      <c r="AP13" s="96">
        <v>18</v>
      </c>
      <c r="AQ13" s="96">
        <v>12</v>
      </c>
      <c r="AR13" s="96">
        <v>17</v>
      </c>
      <c r="AS13" s="97">
        <v>17</v>
      </c>
      <c r="AT13" s="97">
        <v>19</v>
      </c>
      <c r="AU13" s="97">
        <v>18</v>
      </c>
      <c r="AV13" s="97">
        <v>17</v>
      </c>
      <c r="AW13" s="97">
        <v>17</v>
      </c>
      <c r="AX13" s="97">
        <v>17</v>
      </c>
      <c r="AY13" s="97">
        <v>17</v>
      </c>
      <c r="AZ13" s="97">
        <v>17</v>
      </c>
      <c r="BA13" s="97">
        <v>17</v>
      </c>
      <c r="BB13" s="97">
        <v>17</v>
      </c>
      <c r="BC13" s="97">
        <v>17</v>
      </c>
      <c r="BD13" s="97">
        <v>17</v>
      </c>
      <c r="BE13" s="97">
        <v>17</v>
      </c>
      <c r="BF13" s="97">
        <f>+Tabela1107[[#This Row],[PIS]]+Tabela1107[[#This Row],[COFINS]]+Tabela1107[[#This Row],[CONTRIB. FOLHA]]+Tabela1107[[#This Row],[TRIBUTOS S/ LUCRO]]+Tabela1107[[#This Row],[OUTROS]]+Tabela1107[[#This Row],[SP]]</f>
        <v>25.740000000000002</v>
      </c>
      <c r="BG13" s="97">
        <f>+Tabela1107[[#This Row],[PIS]]+Tabela1107[[#This Row],[COFINS]]+Tabela1107[[#This Row],[CONTRIB. FOLHA]]+Tabela1107[[#This Row],[TRIBUTOS S/ LUCRO]]+Tabela1107[[#This Row],[OUTROS]]+Tabela1107[[#This Row],[PR]]</f>
        <v>19.740000000000002</v>
      </c>
      <c r="BH13" s="97">
        <f>+Tabela1107[[#This Row],[PIS]]+Tabela1107[[#This Row],[COFINS]]+Tabela1107[[#This Row],[CONTRIB. FOLHA]]+Tabela1107[[#This Row],[TRIBUTOS S/ LUCRO]]+Tabela1107[[#This Row],[OUTROS]]+Tabela1107[[#This Row],[SC]]</f>
        <v>24.740000000000002</v>
      </c>
      <c r="BI13" s="97">
        <f>+Tabela1107[[#This Row],[PIS]]+Tabela1107[[#This Row],[COFINS]]+Tabela1107[[#This Row],[CONTRIB. FOLHA]]+Tabela1107[[#This Row],[TRIBUTOS S/ LUCRO]]+Tabela1107[[#This Row],[OUTROS]]+Tabela1107[[#This Row],[RS]]</f>
        <v>24.740000000000002</v>
      </c>
      <c r="BJ13" s="97">
        <f>+Tabela1107[[#This Row],[PIS]]+Tabela1107[[#This Row],[COFINS]]+Tabela1107[[#This Row],[CONTRIB. FOLHA]]+Tabela1107[[#This Row],[TRIBUTOS S/ LUCRO]]+Tabela1107[[#This Row],[OUTROS]]+Tabela1107[[#This Row],[RJ]]</f>
        <v>26.740000000000002</v>
      </c>
      <c r="BK13" s="97">
        <f>+Tabela1107[[#This Row],[PIS]]+Tabela1107[[#This Row],[COFINS]]+Tabela1107[[#This Row],[CONTRIB. FOLHA]]+Tabela1107[[#This Row],[TRIBUTOS S/ LUCRO]]+Tabela1107[[#This Row],[OUTROS]]+Tabela1107[[#This Row],[MG]]</f>
        <v>25.740000000000002</v>
      </c>
      <c r="BL13" s="97">
        <f>+Tabela1107[[#This Row],[PIS]]+Tabela1107[[#This Row],[COFINS]]+Tabela1107[[#This Row],[CONTRIB. FOLHA]]+Tabela1107[[#This Row],[TRIBUTOS S/ LUCRO]]+Tabela1107[[#This Row],[OUTROS]]+Tabela1107[[#This Row],[ES]]</f>
        <v>24.740000000000002</v>
      </c>
      <c r="BM13" s="97">
        <f>+Tabela1107[[#This Row],[PIS]]+Tabela1107[[#This Row],[COFINS]]+Tabela1107[[#This Row],[CONTRIB. FOLHA]]+Tabela1107[[#This Row],[TRIBUTOS S/ LUCRO]]+Tabela1107[[#This Row],[OUTROS]]+Tabela1107[[#This Row],[GO]]</f>
        <v>24.740000000000002</v>
      </c>
      <c r="BN13" s="97">
        <f>+Tabela1107[[#This Row],[PIS]]+Tabela1107[[#This Row],[COFINS]]+Tabela1107[[#This Row],[CONTRIB. FOLHA]]+Tabela1107[[#This Row],[TRIBUTOS S/ LUCRO]]+Tabela1107[[#This Row],[OUTROS]]+Tabela1107[[#This Row],[MT]]</f>
        <v>24.740000000000002</v>
      </c>
      <c r="BO13" s="97">
        <f>+Tabela1107[[#This Row],[PIS]]+Tabela1107[[#This Row],[COFINS]]+Tabela1107[[#This Row],[CONTRIB. FOLHA]]+Tabela1107[[#This Row],[TRIBUTOS S/ LUCRO]]+Tabela1107[[#This Row],[OUTROS]]+Tabela1107[[#This Row],[MS]]</f>
        <v>24.740000000000002</v>
      </c>
      <c r="BP13" s="97">
        <f>+Tabela1107[[#This Row],[PIS]]+Tabela1107[[#This Row],[COFINS]]+Tabela1107[[#This Row],[CONTRIB. FOLHA]]+Tabela1107[[#This Row],[TRIBUTOS S/ LUCRO]]+Tabela1107[[#This Row],[OUTROS]]+Tabela1107[[#This Row],[DF]]</f>
        <v>24.740000000000002</v>
      </c>
      <c r="BQ13" s="97">
        <f>+Tabela1107[[#This Row],[PIS]]+Tabela1107[[#This Row],[COFINS]]+Tabela1107[[#This Row],[CONTRIB. FOLHA]]+Tabela1107[[#This Row],[TRIBUTOS S/ LUCRO]]+Tabela1107[[#This Row],[OUTROS]]+Tabela1107[[#This Row],[BA]]</f>
        <v>24.740000000000002</v>
      </c>
      <c r="BR13" s="97">
        <f>+Tabela1107[[#This Row],[PIS]]+Tabela1107[[#This Row],[COFINS]]+Tabela1107[[#This Row],[CONTRIB. FOLHA]]+Tabela1107[[#This Row],[TRIBUTOS S/ LUCRO]]+Tabela1107[[#This Row],[OUTROS]]+Tabela1107[[#This Row],[BA]]</f>
        <v>24.740000000000002</v>
      </c>
      <c r="BS13" s="97">
        <f>+Tabela1107[[#This Row],[PIS]]+Tabela1107[[#This Row],[COFINS]]+Tabela1107[[#This Row],[CONTRIB. FOLHA]]+Tabela1107[[#This Row],[TRIBUTOS S/ LUCRO]]+Tabela1107[[#This Row],[OUTROS]]+Tabela1107[[#This Row],[PE]]</f>
        <v>24.740000000000002</v>
      </c>
      <c r="BT13" s="97">
        <f>+Tabela1107[[#This Row],[PIS]]+Tabela1107[[#This Row],[COFINS]]+Tabela1107[[#This Row],[CONTRIB. FOLHA]]+Tabela1107[[#This Row],[TRIBUTOS S/ LUCRO]]+Tabela1107[[#This Row],[OUTROS]]+Tabela1107[[#This Row],[PA]]</f>
        <v>24.740000000000002</v>
      </c>
      <c r="BU13" s="97">
        <f>+Tabela1107[[#This Row],[PIS]]+Tabela1107[[#This Row],[COFINS]]+Tabela1107[[#This Row],[CONTRIB. FOLHA]]+Tabela1107[[#This Row],[TRIBUTOS S/ LUCRO]]+Tabela1107[[#This Row],[OUTROS]]+Tabela1107[[#This Row],[AM]]</f>
        <v>24.740000000000002</v>
      </c>
      <c r="BV13" s="97">
        <f>AVERAGE(Tabela1107[[#This Row],[TOTAL SP]:[TOTAL AM]])</f>
        <v>24.677500000000006</v>
      </c>
      <c r="BW13" s="97"/>
      <c r="BX13" s="97"/>
      <c r="CA13" s="57" t="s">
        <v>19445</v>
      </c>
      <c r="CB13" s="65" t="s">
        <v>19525</v>
      </c>
      <c r="CC13" s="64" t="s">
        <v>21713</v>
      </c>
    </row>
    <row r="14" spans="2:81" x14ac:dyDescent="0.25">
      <c r="B14" s="89">
        <v>4793</v>
      </c>
      <c r="C14" s="91" t="s">
        <v>13133</v>
      </c>
      <c r="D14" s="89"/>
      <c r="E14" s="89">
        <v>20140626</v>
      </c>
      <c r="F14" s="89" t="s">
        <v>20456</v>
      </c>
      <c r="G14" s="89" t="s">
        <v>20457</v>
      </c>
      <c r="H14" s="89" t="s">
        <v>20458</v>
      </c>
      <c r="I14" s="89" t="s">
        <v>20455</v>
      </c>
      <c r="J14" s="89" t="s">
        <v>20235</v>
      </c>
      <c r="K14" s="101"/>
      <c r="L14" s="91"/>
      <c r="M14" s="89"/>
      <c r="N14" s="89"/>
      <c r="O14" s="89"/>
      <c r="P14" s="89"/>
      <c r="Q14" s="89"/>
      <c r="R14" s="89" t="s">
        <v>20236</v>
      </c>
      <c r="S14" s="89" t="s">
        <v>21586</v>
      </c>
      <c r="T14" s="89" t="s">
        <v>21587</v>
      </c>
      <c r="U14" s="91" t="str">
        <f>TRIM('Carga Tributária doenças Po (2'!$L14)</f>
        <v/>
      </c>
      <c r="V14" s="91">
        <f>SUMIFS('Tabela Federal'!$E$4:$E$2069,'Tabela Federal'!$D$4:$D$2069,'Carga Tributária doenças Po (2'!$L14)</f>
        <v>0</v>
      </c>
      <c r="W14" s="91">
        <f>SUMIFS('Tabela Federal'!$E$4:$E$2069,'Tabela Federal'!$D$4:$D$2069,'Carga Tributária doenças Po (2'!$M14)</f>
        <v>0</v>
      </c>
      <c r="X14" s="91">
        <f>SUMIFS('Tabela Federal'!$E$4:$E$2069,'Tabela Federal'!$D$4:$D$2069,'Carga Tributária doenças Po (2'!$N14)</f>
        <v>0</v>
      </c>
      <c r="Y14" s="91">
        <f>SUMIFS('Tabela Federal'!$E$4:$E$2069,'Tabela Federal'!$D$4:$D$2069,'Carga Tributária doenças Po (2'!$O14)</f>
        <v>0</v>
      </c>
      <c r="Z14" s="102" t="str">
        <f>VLOOKUP('Carga Tributária doenças Po (2'!$AD14,'Carga Tributária doenças Po (2'!$CA$12:$CC$16,2,0)</f>
        <v>-</v>
      </c>
      <c r="AA14" s="108" t="s">
        <v>21989</v>
      </c>
      <c r="AB14" s="89" t="s">
        <v>21859</v>
      </c>
      <c r="AC14" s="89" t="s">
        <v>21740</v>
      </c>
      <c r="AD14" s="93" t="s">
        <v>19523</v>
      </c>
      <c r="AE14" s="92" t="s">
        <v>4</v>
      </c>
      <c r="AF14" s="92"/>
      <c r="AG14" s="94">
        <v>350921</v>
      </c>
      <c r="AH14" s="95">
        <v>2874344</v>
      </c>
      <c r="AI14" s="95">
        <v>6555307.6100000003</v>
      </c>
      <c r="AJ14" s="89" t="s">
        <v>285</v>
      </c>
      <c r="AK14" s="91">
        <f>IF('Carga Tributária doenças Po (2'!$Z14="+",0,SUMIFS(PISCOFINS!$I$3:$I$10518,PISCOFINS!$C$3:$C$10518,'Carga Tributária doenças Po (2'!$C14))</f>
        <v>2.1</v>
      </c>
      <c r="AL14" s="91">
        <f>IF('Carga Tributária doenças Po (2'!$Z14="+",0,SUMIFS(PISCOFINS!$H$3:$H$10518,PISCOFINS!$C$3:$C$10518,'Carga Tributária doenças Po (2'!$C14))</f>
        <v>9.9</v>
      </c>
      <c r="AM14" s="104">
        <v>3.27</v>
      </c>
      <c r="AN14" s="104">
        <v>3.12</v>
      </c>
      <c r="AO14" s="104">
        <v>1.35</v>
      </c>
      <c r="AP14" s="96">
        <v>18</v>
      </c>
      <c r="AQ14" s="96">
        <v>12</v>
      </c>
      <c r="AR14" s="96">
        <v>17</v>
      </c>
      <c r="AS14" s="97">
        <v>17</v>
      </c>
      <c r="AT14" s="97">
        <v>19</v>
      </c>
      <c r="AU14" s="97">
        <v>18</v>
      </c>
      <c r="AV14" s="97">
        <v>17</v>
      </c>
      <c r="AW14" s="97">
        <v>17</v>
      </c>
      <c r="AX14" s="97">
        <v>17</v>
      </c>
      <c r="AY14" s="97">
        <v>17</v>
      </c>
      <c r="AZ14" s="97">
        <v>17</v>
      </c>
      <c r="BA14" s="97">
        <v>17</v>
      </c>
      <c r="BB14" s="97">
        <v>17</v>
      </c>
      <c r="BC14" s="97">
        <v>17</v>
      </c>
      <c r="BD14" s="97">
        <v>17</v>
      </c>
      <c r="BE14" s="97">
        <v>17</v>
      </c>
      <c r="BF14" s="97">
        <f>+Tabela1107[[#This Row],[PIS]]+Tabela1107[[#This Row],[COFINS]]+Tabela1107[[#This Row],[CONTRIB. FOLHA]]+Tabela1107[[#This Row],[TRIBUTOS S/ LUCRO]]+Tabela1107[[#This Row],[OUTROS]]+Tabela1107[[#This Row],[SP]]</f>
        <v>37.74</v>
      </c>
      <c r="BG14" s="97">
        <f>+Tabela1107[[#This Row],[PIS]]+Tabela1107[[#This Row],[COFINS]]+Tabela1107[[#This Row],[CONTRIB. FOLHA]]+Tabela1107[[#This Row],[TRIBUTOS S/ LUCRO]]+Tabela1107[[#This Row],[OUTROS]]+Tabela1107[[#This Row],[PR]]</f>
        <v>31.740000000000002</v>
      </c>
      <c r="BH14" s="97">
        <f>+Tabela1107[[#This Row],[PIS]]+Tabela1107[[#This Row],[COFINS]]+Tabela1107[[#This Row],[CONTRIB. FOLHA]]+Tabela1107[[#This Row],[TRIBUTOS S/ LUCRO]]+Tabela1107[[#This Row],[OUTROS]]+Tabela1107[[#This Row],[SC]]</f>
        <v>36.74</v>
      </c>
      <c r="BI14" s="97">
        <f>+Tabela1107[[#This Row],[PIS]]+Tabela1107[[#This Row],[COFINS]]+Tabela1107[[#This Row],[CONTRIB. FOLHA]]+Tabela1107[[#This Row],[TRIBUTOS S/ LUCRO]]+Tabela1107[[#This Row],[OUTROS]]+Tabela1107[[#This Row],[RS]]</f>
        <v>36.74</v>
      </c>
      <c r="BJ14" s="97">
        <f>+Tabela1107[[#This Row],[PIS]]+Tabela1107[[#This Row],[COFINS]]+Tabela1107[[#This Row],[CONTRIB. FOLHA]]+Tabela1107[[#This Row],[TRIBUTOS S/ LUCRO]]+Tabela1107[[#This Row],[OUTROS]]+Tabela1107[[#This Row],[RJ]]</f>
        <v>38.74</v>
      </c>
      <c r="BK14" s="97">
        <f>+Tabela1107[[#This Row],[PIS]]+Tabela1107[[#This Row],[COFINS]]+Tabela1107[[#This Row],[CONTRIB. FOLHA]]+Tabela1107[[#This Row],[TRIBUTOS S/ LUCRO]]+Tabela1107[[#This Row],[OUTROS]]+Tabela1107[[#This Row],[MG]]</f>
        <v>37.74</v>
      </c>
      <c r="BL14" s="97">
        <f>+Tabela1107[[#This Row],[PIS]]+Tabela1107[[#This Row],[COFINS]]+Tabela1107[[#This Row],[CONTRIB. FOLHA]]+Tabela1107[[#This Row],[TRIBUTOS S/ LUCRO]]+Tabela1107[[#This Row],[OUTROS]]+Tabela1107[[#This Row],[ES]]</f>
        <v>36.74</v>
      </c>
      <c r="BM14" s="97">
        <f>+Tabela1107[[#This Row],[PIS]]+Tabela1107[[#This Row],[COFINS]]+Tabela1107[[#This Row],[CONTRIB. FOLHA]]+Tabela1107[[#This Row],[TRIBUTOS S/ LUCRO]]+Tabela1107[[#This Row],[OUTROS]]+Tabela1107[[#This Row],[GO]]</f>
        <v>36.74</v>
      </c>
      <c r="BN14" s="97">
        <f>+Tabela1107[[#This Row],[PIS]]+Tabela1107[[#This Row],[COFINS]]+Tabela1107[[#This Row],[CONTRIB. FOLHA]]+Tabela1107[[#This Row],[TRIBUTOS S/ LUCRO]]+Tabela1107[[#This Row],[OUTROS]]+Tabela1107[[#This Row],[MT]]</f>
        <v>36.74</v>
      </c>
      <c r="BO14" s="97">
        <f>+Tabela1107[[#This Row],[PIS]]+Tabela1107[[#This Row],[COFINS]]+Tabela1107[[#This Row],[CONTRIB. FOLHA]]+Tabela1107[[#This Row],[TRIBUTOS S/ LUCRO]]+Tabela1107[[#This Row],[OUTROS]]+Tabela1107[[#This Row],[MS]]</f>
        <v>36.74</v>
      </c>
      <c r="BP14" s="97">
        <f>+Tabela1107[[#This Row],[PIS]]+Tabela1107[[#This Row],[COFINS]]+Tabela1107[[#This Row],[CONTRIB. FOLHA]]+Tabela1107[[#This Row],[TRIBUTOS S/ LUCRO]]+Tabela1107[[#This Row],[OUTROS]]+Tabela1107[[#This Row],[DF]]</f>
        <v>36.74</v>
      </c>
      <c r="BQ14" s="97">
        <f>+Tabela1107[[#This Row],[PIS]]+Tabela1107[[#This Row],[COFINS]]+Tabela1107[[#This Row],[CONTRIB. FOLHA]]+Tabela1107[[#This Row],[TRIBUTOS S/ LUCRO]]+Tabela1107[[#This Row],[OUTROS]]+Tabela1107[[#This Row],[BA]]</f>
        <v>36.74</v>
      </c>
      <c r="BR14" s="97">
        <f>+Tabela1107[[#This Row],[PIS]]+Tabela1107[[#This Row],[COFINS]]+Tabela1107[[#This Row],[CONTRIB. FOLHA]]+Tabela1107[[#This Row],[TRIBUTOS S/ LUCRO]]+Tabela1107[[#This Row],[OUTROS]]+Tabela1107[[#This Row],[BA]]</f>
        <v>36.74</v>
      </c>
      <c r="BS14" s="97">
        <f>+Tabela1107[[#This Row],[PIS]]+Tabela1107[[#This Row],[COFINS]]+Tabela1107[[#This Row],[CONTRIB. FOLHA]]+Tabela1107[[#This Row],[TRIBUTOS S/ LUCRO]]+Tabela1107[[#This Row],[OUTROS]]+Tabela1107[[#This Row],[PE]]</f>
        <v>36.74</v>
      </c>
      <c r="BT14" s="97">
        <f>+Tabela1107[[#This Row],[PIS]]+Tabela1107[[#This Row],[COFINS]]+Tabela1107[[#This Row],[CONTRIB. FOLHA]]+Tabela1107[[#This Row],[TRIBUTOS S/ LUCRO]]+Tabela1107[[#This Row],[OUTROS]]+Tabela1107[[#This Row],[PA]]</f>
        <v>36.74</v>
      </c>
      <c r="BU14" s="97">
        <f>+Tabela1107[[#This Row],[PIS]]+Tabela1107[[#This Row],[COFINS]]+Tabela1107[[#This Row],[CONTRIB. FOLHA]]+Tabela1107[[#This Row],[TRIBUTOS S/ LUCRO]]+Tabela1107[[#This Row],[OUTROS]]+Tabela1107[[#This Row],[AM]]</f>
        <v>36.74</v>
      </c>
      <c r="BV14" s="97">
        <f>AVERAGE(Tabela1107[[#This Row],[TOTAL SP]:[TOTAL AM]])</f>
        <v>36.677500000000002</v>
      </c>
      <c r="BW14" s="97"/>
      <c r="BX14" s="97"/>
      <c r="CA14" s="57" t="s">
        <v>21725</v>
      </c>
      <c r="CB14" s="65" t="s">
        <v>19525</v>
      </c>
      <c r="CC14" s="64" t="s">
        <v>21714</v>
      </c>
    </row>
    <row r="15" spans="2:81" x14ac:dyDescent="0.25">
      <c r="B15" s="89">
        <v>4794</v>
      </c>
      <c r="C15" s="91" t="s">
        <v>13133</v>
      </c>
      <c r="D15" s="91"/>
      <c r="E15" s="89">
        <v>20140626</v>
      </c>
      <c r="F15" s="89" t="s">
        <v>20454</v>
      </c>
      <c r="G15" s="98" t="s">
        <v>21904</v>
      </c>
      <c r="H15" s="66" t="s">
        <v>21905</v>
      </c>
      <c r="I15" s="89" t="s">
        <v>20455</v>
      </c>
      <c r="J15" s="66" t="s">
        <v>21906</v>
      </c>
      <c r="K15" s="89"/>
      <c r="L15" s="91"/>
      <c r="M15" s="89"/>
      <c r="N15" s="89"/>
      <c r="O15" s="89"/>
      <c r="P15" s="89"/>
      <c r="Q15" s="89"/>
      <c r="R15" s="89" t="s">
        <v>21916</v>
      </c>
      <c r="S15" s="89" t="s">
        <v>21586</v>
      </c>
      <c r="T15" s="89" t="s">
        <v>21587</v>
      </c>
      <c r="U15" s="91" t="str">
        <f>TRIM('Carga Tributária doenças Po (2'!$L15)</f>
        <v/>
      </c>
      <c r="V15" s="91">
        <f>SUMIFS('Tabela Federal'!$E$4:$E$2069,'Tabela Federal'!$D$4:$D$2069,'Carga Tributária doenças Po (2'!$L15)</f>
        <v>0</v>
      </c>
      <c r="W15" s="91">
        <f>SUMIFS('Tabela Federal'!$E$4:$E$2069,'Tabela Federal'!$D$4:$D$2069,'Carga Tributária doenças Po (2'!$M15)</f>
        <v>0</v>
      </c>
      <c r="X15" s="91">
        <f>SUMIFS('Tabela Federal'!$E$4:$E$2069,'Tabela Federal'!$D$4:$D$2069,'Carga Tributária doenças Po (2'!$N15)</f>
        <v>0</v>
      </c>
      <c r="Y15" s="91">
        <f>SUMIFS('Tabela Federal'!$E$4:$E$2069,'Tabela Federal'!$D$4:$D$2069,'Carga Tributária doenças Po (2'!$O15)</f>
        <v>0</v>
      </c>
      <c r="Z15" s="102" t="str">
        <f>VLOOKUP('Carga Tributária doenças Po (2'!$AD15,'Carga Tributária doenças Po (2'!$CA$12:$CC$16,2,0)</f>
        <v>-</v>
      </c>
      <c r="AA15" s="108" t="s">
        <v>21989</v>
      </c>
      <c r="AB15" s="89" t="s">
        <v>21859</v>
      </c>
      <c r="AC15" s="89" t="s">
        <v>21740</v>
      </c>
      <c r="AD15" s="93" t="s">
        <v>19523</v>
      </c>
      <c r="AE15" s="92" t="s">
        <v>4</v>
      </c>
      <c r="AF15" s="92"/>
      <c r="AG15" s="94">
        <v>2</v>
      </c>
      <c r="AH15" s="95">
        <v>100</v>
      </c>
      <c r="AI15" s="95">
        <v>200</v>
      </c>
      <c r="AJ15" s="89" t="s">
        <v>285</v>
      </c>
      <c r="AK15" s="91">
        <f>IF('Carga Tributária doenças Po (2'!$Z15="+",0,SUMIFS(PISCOFINS!$I$3:$I$10518,PISCOFINS!$C$3:$C$10518,'Carga Tributária doenças Po (2'!$C15))</f>
        <v>2.1</v>
      </c>
      <c r="AL15" s="91">
        <f>IF('Carga Tributária doenças Po (2'!$Z15="+",0,SUMIFS(PISCOFINS!$H$3:$H$10518,PISCOFINS!$C$3:$C$10518,'Carga Tributária doenças Po (2'!$C15))</f>
        <v>9.9</v>
      </c>
      <c r="AM15" s="104">
        <v>3.27</v>
      </c>
      <c r="AN15" s="104">
        <v>3.12</v>
      </c>
      <c r="AO15" s="104">
        <v>1.35</v>
      </c>
      <c r="AP15" s="96">
        <v>18</v>
      </c>
      <c r="AQ15" s="97">
        <v>12</v>
      </c>
      <c r="AR15" s="96">
        <v>17</v>
      </c>
      <c r="AS15" s="97">
        <v>17</v>
      </c>
      <c r="AT15" s="97">
        <v>19</v>
      </c>
      <c r="AU15" s="97">
        <v>18</v>
      </c>
      <c r="AV15" s="97">
        <v>17</v>
      </c>
      <c r="AW15" s="97">
        <v>17</v>
      </c>
      <c r="AX15" s="97">
        <v>17</v>
      </c>
      <c r="AY15" s="97">
        <v>17</v>
      </c>
      <c r="AZ15" s="97">
        <v>17</v>
      </c>
      <c r="BA15" s="97">
        <v>17</v>
      </c>
      <c r="BB15" s="97">
        <v>17</v>
      </c>
      <c r="BC15" s="97">
        <v>17</v>
      </c>
      <c r="BD15" s="97">
        <v>17</v>
      </c>
      <c r="BE15" s="97">
        <v>17</v>
      </c>
      <c r="BF15" s="97">
        <f>+Tabela1107[[#This Row],[PIS]]+Tabela1107[[#This Row],[COFINS]]+Tabela1107[[#This Row],[CONTRIB. FOLHA]]+Tabela1107[[#This Row],[TRIBUTOS S/ LUCRO]]+Tabela1107[[#This Row],[OUTROS]]+Tabela1107[[#This Row],[SP]]</f>
        <v>37.74</v>
      </c>
      <c r="BG15" s="97">
        <f>+Tabela1107[[#This Row],[PIS]]+Tabela1107[[#This Row],[COFINS]]+Tabela1107[[#This Row],[CONTRIB. FOLHA]]+Tabela1107[[#This Row],[TRIBUTOS S/ LUCRO]]+Tabela1107[[#This Row],[OUTROS]]+Tabela1107[[#This Row],[PR]]</f>
        <v>31.740000000000002</v>
      </c>
      <c r="BH15" s="97">
        <f>+Tabela1107[[#This Row],[PIS]]+Tabela1107[[#This Row],[COFINS]]+Tabela1107[[#This Row],[CONTRIB. FOLHA]]+Tabela1107[[#This Row],[TRIBUTOS S/ LUCRO]]+Tabela1107[[#This Row],[OUTROS]]+Tabela1107[[#This Row],[SC]]</f>
        <v>36.74</v>
      </c>
      <c r="BI15" s="97">
        <f>+Tabela1107[[#This Row],[PIS]]+Tabela1107[[#This Row],[COFINS]]+Tabela1107[[#This Row],[CONTRIB. FOLHA]]+Tabela1107[[#This Row],[TRIBUTOS S/ LUCRO]]+Tabela1107[[#This Row],[OUTROS]]+Tabela1107[[#This Row],[RS]]</f>
        <v>36.74</v>
      </c>
      <c r="BJ15" s="97">
        <f>+Tabela1107[[#This Row],[PIS]]+Tabela1107[[#This Row],[COFINS]]+Tabela1107[[#This Row],[CONTRIB. FOLHA]]+Tabela1107[[#This Row],[TRIBUTOS S/ LUCRO]]+Tabela1107[[#This Row],[OUTROS]]+Tabela1107[[#This Row],[RJ]]</f>
        <v>38.74</v>
      </c>
      <c r="BK15" s="97">
        <f>+Tabela1107[[#This Row],[PIS]]+Tabela1107[[#This Row],[COFINS]]+Tabela1107[[#This Row],[CONTRIB. FOLHA]]+Tabela1107[[#This Row],[TRIBUTOS S/ LUCRO]]+Tabela1107[[#This Row],[OUTROS]]+Tabela1107[[#This Row],[MG]]</f>
        <v>37.74</v>
      </c>
      <c r="BL15" s="97">
        <f>+Tabela1107[[#This Row],[PIS]]+Tabela1107[[#This Row],[COFINS]]+Tabela1107[[#This Row],[CONTRIB. FOLHA]]+Tabela1107[[#This Row],[TRIBUTOS S/ LUCRO]]+Tabela1107[[#This Row],[OUTROS]]+Tabela1107[[#This Row],[ES]]</f>
        <v>36.74</v>
      </c>
      <c r="BM15" s="97">
        <f>+Tabela1107[[#This Row],[PIS]]+Tabela1107[[#This Row],[COFINS]]+Tabela1107[[#This Row],[CONTRIB. FOLHA]]+Tabela1107[[#This Row],[TRIBUTOS S/ LUCRO]]+Tabela1107[[#This Row],[OUTROS]]+Tabela1107[[#This Row],[GO]]</f>
        <v>36.74</v>
      </c>
      <c r="BN15" s="97">
        <f>+Tabela1107[[#This Row],[PIS]]+Tabela1107[[#This Row],[COFINS]]+Tabela1107[[#This Row],[CONTRIB. FOLHA]]+Tabela1107[[#This Row],[TRIBUTOS S/ LUCRO]]+Tabela1107[[#This Row],[OUTROS]]+Tabela1107[[#This Row],[MT]]</f>
        <v>36.74</v>
      </c>
      <c r="BO15" s="97">
        <f>+Tabela1107[[#This Row],[PIS]]+Tabela1107[[#This Row],[COFINS]]+Tabela1107[[#This Row],[CONTRIB. FOLHA]]+Tabela1107[[#This Row],[TRIBUTOS S/ LUCRO]]+Tabela1107[[#This Row],[OUTROS]]+Tabela1107[[#This Row],[MS]]</f>
        <v>36.74</v>
      </c>
      <c r="BP15" s="97">
        <f>+Tabela1107[[#This Row],[PIS]]+Tabela1107[[#This Row],[COFINS]]+Tabela1107[[#This Row],[CONTRIB. FOLHA]]+Tabela1107[[#This Row],[TRIBUTOS S/ LUCRO]]+Tabela1107[[#This Row],[OUTROS]]+Tabela1107[[#This Row],[DF]]</f>
        <v>36.74</v>
      </c>
      <c r="BQ15" s="97">
        <f>+Tabela1107[[#This Row],[PIS]]+Tabela1107[[#This Row],[COFINS]]+Tabela1107[[#This Row],[CONTRIB. FOLHA]]+Tabela1107[[#This Row],[TRIBUTOS S/ LUCRO]]+Tabela1107[[#This Row],[OUTROS]]+Tabela1107[[#This Row],[BA]]</f>
        <v>36.74</v>
      </c>
      <c r="BR15" s="97">
        <f>+Tabela1107[[#This Row],[PIS]]+Tabela1107[[#This Row],[COFINS]]+Tabela1107[[#This Row],[CONTRIB. FOLHA]]+Tabela1107[[#This Row],[TRIBUTOS S/ LUCRO]]+Tabela1107[[#This Row],[OUTROS]]+Tabela1107[[#This Row],[BA]]</f>
        <v>36.74</v>
      </c>
      <c r="BS15" s="97">
        <f>+Tabela1107[[#This Row],[PIS]]+Tabela1107[[#This Row],[COFINS]]+Tabela1107[[#This Row],[CONTRIB. FOLHA]]+Tabela1107[[#This Row],[TRIBUTOS S/ LUCRO]]+Tabela1107[[#This Row],[OUTROS]]+Tabela1107[[#This Row],[PE]]</f>
        <v>36.74</v>
      </c>
      <c r="BT15" s="97">
        <f>+Tabela1107[[#This Row],[PIS]]+Tabela1107[[#This Row],[COFINS]]+Tabela1107[[#This Row],[CONTRIB. FOLHA]]+Tabela1107[[#This Row],[TRIBUTOS S/ LUCRO]]+Tabela1107[[#This Row],[OUTROS]]+Tabela1107[[#This Row],[PA]]</f>
        <v>36.74</v>
      </c>
      <c r="BU15" s="97">
        <f>+Tabela1107[[#This Row],[PIS]]+Tabela1107[[#This Row],[COFINS]]+Tabela1107[[#This Row],[CONTRIB. FOLHA]]+Tabela1107[[#This Row],[TRIBUTOS S/ LUCRO]]+Tabela1107[[#This Row],[OUTROS]]+Tabela1107[[#This Row],[AM]]</f>
        <v>36.74</v>
      </c>
      <c r="BV15" s="97">
        <f>AVERAGE(Tabela1107[[#This Row],[TOTAL SP]:[TOTAL AM]])</f>
        <v>36.677500000000002</v>
      </c>
      <c r="BW15" s="97"/>
      <c r="BX15" s="97"/>
      <c r="CA15" s="57" t="s">
        <v>19523</v>
      </c>
      <c r="CB15" s="65" t="s">
        <v>19524</v>
      </c>
      <c r="CC15" s="64" t="s">
        <v>21715</v>
      </c>
    </row>
    <row r="16" spans="2:81" x14ac:dyDescent="0.25">
      <c r="B16" s="89">
        <v>4794</v>
      </c>
      <c r="C16" s="91" t="s">
        <v>13133</v>
      </c>
      <c r="D16" s="89"/>
      <c r="E16" s="89">
        <v>20140626</v>
      </c>
      <c r="F16" s="89" t="s">
        <v>20454</v>
      </c>
      <c r="G16" s="98" t="s">
        <v>21904</v>
      </c>
      <c r="H16" s="98" t="s">
        <v>21905</v>
      </c>
      <c r="I16" s="89" t="s">
        <v>20455</v>
      </c>
      <c r="J16" s="89" t="s">
        <v>20234</v>
      </c>
      <c r="K16" s="101"/>
      <c r="L16" s="91"/>
      <c r="M16" s="89"/>
      <c r="N16" s="89"/>
      <c r="O16" s="89"/>
      <c r="P16" s="89"/>
      <c r="Q16" s="89"/>
      <c r="R16" s="89" t="s">
        <v>20236</v>
      </c>
      <c r="S16" s="89" t="s">
        <v>21586</v>
      </c>
      <c r="T16" s="89" t="s">
        <v>21587</v>
      </c>
      <c r="U16" s="91" t="str">
        <f>TRIM('Carga Tributária doenças Po (2'!$L16)</f>
        <v/>
      </c>
      <c r="V16" s="91">
        <f>SUMIFS('Tabela Federal'!$E$4:$E$2069,'Tabela Federal'!$D$4:$D$2069,'Carga Tributária doenças Po (2'!$L16)</f>
        <v>0</v>
      </c>
      <c r="W16" s="91">
        <f>SUMIFS('Tabela Federal'!$E$4:$E$2069,'Tabela Federal'!$D$4:$D$2069,'Carga Tributária doenças Po (2'!$M16)</f>
        <v>0</v>
      </c>
      <c r="X16" s="91">
        <f>SUMIFS('Tabela Federal'!$E$4:$E$2069,'Tabela Federal'!$D$4:$D$2069,'Carga Tributária doenças Po (2'!$N16)</f>
        <v>0</v>
      </c>
      <c r="Y16" s="91">
        <f>SUMIFS('Tabela Federal'!$E$4:$E$2069,'Tabela Federal'!$D$4:$D$2069,'Carga Tributária doenças Po (2'!$O16)</f>
        <v>0</v>
      </c>
      <c r="Z16" s="102" t="str">
        <f>VLOOKUP('Carga Tributária doenças Po (2'!$AD16,'Carga Tributária doenças Po (2'!$CA$12:$CC$16,2,0)</f>
        <v>-</v>
      </c>
      <c r="AA16" s="108" t="s">
        <v>21989</v>
      </c>
      <c r="AB16" s="89" t="s">
        <v>21859</v>
      </c>
      <c r="AC16" s="89" t="s">
        <v>21740</v>
      </c>
      <c r="AD16" s="93" t="s">
        <v>19523</v>
      </c>
      <c r="AE16" s="92" t="s">
        <v>4</v>
      </c>
      <c r="AF16" s="92"/>
      <c r="AG16" s="94">
        <v>365457</v>
      </c>
      <c r="AH16" s="95">
        <v>3284901</v>
      </c>
      <c r="AI16" s="95">
        <v>7493107.4500000002</v>
      </c>
      <c r="AJ16" s="89" t="s">
        <v>285</v>
      </c>
      <c r="AK16" s="91">
        <f>IF('Carga Tributária doenças Po (2'!$Z16="+",0,SUMIFS(PISCOFINS!$I$3:$I$10518,PISCOFINS!$C$3:$C$10518,'Carga Tributária doenças Po (2'!$C16))</f>
        <v>2.1</v>
      </c>
      <c r="AL16" s="91">
        <f>IF('Carga Tributária doenças Po (2'!$Z16="+",0,SUMIFS(PISCOFINS!$H$3:$H$10518,PISCOFINS!$C$3:$C$10518,'Carga Tributária doenças Po (2'!$C16))</f>
        <v>9.9</v>
      </c>
      <c r="AM16" s="104">
        <v>3.27</v>
      </c>
      <c r="AN16" s="104">
        <v>3.12</v>
      </c>
      <c r="AO16" s="104">
        <v>1.35</v>
      </c>
      <c r="AP16" s="96">
        <v>18</v>
      </c>
      <c r="AQ16" s="96">
        <v>12</v>
      </c>
      <c r="AR16" s="96">
        <v>17</v>
      </c>
      <c r="AS16" s="97">
        <v>17</v>
      </c>
      <c r="AT16" s="97">
        <v>19</v>
      </c>
      <c r="AU16" s="97">
        <v>18</v>
      </c>
      <c r="AV16" s="97">
        <v>17</v>
      </c>
      <c r="AW16" s="97">
        <v>17</v>
      </c>
      <c r="AX16" s="97">
        <v>17</v>
      </c>
      <c r="AY16" s="97">
        <v>17</v>
      </c>
      <c r="AZ16" s="97">
        <v>17</v>
      </c>
      <c r="BA16" s="97">
        <v>17</v>
      </c>
      <c r="BB16" s="97">
        <v>17</v>
      </c>
      <c r="BC16" s="97">
        <v>17</v>
      </c>
      <c r="BD16" s="97">
        <v>17</v>
      </c>
      <c r="BE16" s="97">
        <v>17</v>
      </c>
      <c r="BF16" s="97">
        <f>+Tabela1107[[#This Row],[PIS]]+Tabela1107[[#This Row],[COFINS]]+Tabela1107[[#This Row],[CONTRIB. FOLHA]]+Tabela1107[[#This Row],[TRIBUTOS S/ LUCRO]]+Tabela1107[[#This Row],[OUTROS]]+Tabela1107[[#This Row],[SP]]</f>
        <v>37.74</v>
      </c>
      <c r="BG16" s="97">
        <f>+Tabela1107[[#This Row],[PIS]]+Tabela1107[[#This Row],[COFINS]]+Tabela1107[[#This Row],[CONTRIB. FOLHA]]+Tabela1107[[#This Row],[TRIBUTOS S/ LUCRO]]+Tabela1107[[#This Row],[OUTROS]]+Tabela1107[[#This Row],[PR]]</f>
        <v>31.740000000000002</v>
      </c>
      <c r="BH16" s="97">
        <f>+Tabela1107[[#This Row],[PIS]]+Tabela1107[[#This Row],[COFINS]]+Tabela1107[[#This Row],[CONTRIB. FOLHA]]+Tabela1107[[#This Row],[TRIBUTOS S/ LUCRO]]+Tabela1107[[#This Row],[OUTROS]]+Tabela1107[[#This Row],[SC]]</f>
        <v>36.74</v>
      </c>
      <c r="BI16" s="97">
        <f>+Tabela1107[[#This Row],[PIS]]+Tabela1107[[#This Row],[COFINS]]+Tabela1107[[#This Row],[CONTRIB. FOLHA]]+Tabela1107[[#This Row],[TRIBUTOS S/ LUCRO]]+Tabela1107[[#This Row],[OUTROS]]+Tabela1107[[#This Row],[RS]]</f>
        <v>36.74</v>
      </c>
      <c r="BJ16" s="97">
        <f>+Tabela1107[[#This Row],[PIS]]+Tabela1107[[#This Row],[COFINS]]+Tabela1107[[#This Row],[CONTRIB. FOLHA]]+Tabela1107[[#This Row],[TRIBUTOS S/ LUCRO]]+Tabela1107[[#This Row],[OUTROS]]+Tabela1107[[#This Row],[RJ]]</f>
        <v>38.74</v>
      </c>
      <c r="BK16" s="97">
        <f>+Tabela1107[[#This Row],[PIS]]+Tabela1107[[#This Row],[COFINS]]+Tabela1107[[#This Row],[CONTRIB. FOLHA]]+Tabela1107[[#This Row],[TRIBUTOS S/ LUCRO]]+Tabela1107[[#This Row],[OUTROS]]+Tabela1107[[#This Row],[MG]]</f>
        <v>37.74</v>
      </c>
      <c r="BL16" s="97">
        <f>+Tabela1107[[#This Row],[PIS]]+Tabela1107[[#This Row],[COFINS]]+Tabela1107[[#This Row],[CONTRIB. FOLHA]]+Tabela1107[[#This Row],[TRIBUTOS S/ LUCRO]]+Tabela1107[[#This Row],[OUTROS]]+Tabela1107[[#This Row],[ES]]</f>
        <v>36.74</v>
      </c>
      <c r="BM16" s="97">
        <f>+Tabela1107[[#This Row],[PIS]]+Tabela1107[[#This Row],[COFINS]]+Tabela1107[[#This Row],[CONTRIB. FOLHA]]+Tabela1107[[#This Row],[TRIBUTOS S/ LUCRO]]+Tabela1107[[#This Row],[OUTROS]]+Tabela1107[[#This Row],[GO]]</f>
        <v>36.74</v>
      </c>
      <c r="BN16" s="97">
        <f>+Tabela1107[[#This Row],[PIS]]+Tabela1107[[#This Row],[COFINS]]+Tabela1107[[#This Row],[CONTRIB. FOLHA]]+Tabela1107[[#This Row],[TRIBUTOS S/ LUCRO]]+Tabela1107[[#This Row],[OUTROS]]+Tabela1107[[#This Row],[MT]]</f>
        <v>36.74</v>
      </c>
      <c r="BO16" s="97">
        <f>+Tabela1107[[#This Row],[PIS]]+Tabela1107[[#This Row],[COFINS]]+Tabela1107[[#This Row],[CONTRIB. FOLHA]]+Tabela1107[[#This Row],[TRIBUTOS S/ LUCRO]]+Tabela1107[[#This Row],[OUTROS]]+Tabela1107[[#This Row],[MS]]</f>
        <v>36.74</v>
      </c>
      <c r="BP16" s="97">
        <f>+Tabela1107[[#This Row],[PIS]]+Tabela1107[[#This Row],[COFINS]]+Tabela1107[[#This Row],[CONTRIB. FOLHA]]+Tabela1107[[#This Row],[TRIBUTOS S/ LUCRO]]+Tabela1107[[#This Row],[OUTROS]]+Tabela1107[[#This Row],[DF]]</f>
        <v>36.74</v>
      </c>
      <c r="BQ16" s="97">
        <f>+Tabela1107[[#This Row],[PIS]]+Tabela1107[[#This Row],[COFINS]]+Tabela1107[[#This Row],[CONTRIB. FOLHA]]+Tabela1107[[#This Row],[TRIBUTOS S/ LUCRO]]+Tabela1107[[#This Row],[OUTROS]]+Tabela1107[[#This Row],[BA]]</f>
        <v>36.74</v>
      </c>
      <c r="BR16" s="97">
        <f>+Tabela1107[[#This Row],[PIS]]+Tabela1107[[#This Row],[COFINS]]+Tabela1107[[#This Row],[CONTRIB. FOLHA]]+Tabela1107[[#This Row],[TRIBUTOS S/ LUCRO]]+Tabela1107[[#This Row],[OUTROS]]+Tabela1107[[#This Row],[BA]]</f>
        <v>36.74</v>
      </c>
      <c r="BS16" s="97">
        <f>+Tabela1107[[#This Row],[PIS]]+Tabela1107[[#This Row],[COFINS]]+Tabela1107[[#This Row],[CONTRIB. FOLHA]]+Tabela1107[[#This Row],[TRIBUTOS S/ LUCRO]]+Tabela1107[[#This Row],[OUTROS]]+Tabela1107[[#This Row],[PE]]</f>
        <v>36.74</v>
      </c>
      <c r="BT16" s="97">
        <f>+Tabela1107[[#This Row],[PIS]]+Tabela1107[[#This Row],[COFINS]]+Tabela1107[[#This Row],[CONTRIB. FOLHA]]+Tabela1107[[#This Row],[TRIBUTOS S/ LUCRO]]+Tabela1107[[#This Row],[OUTROS]]+Tabela1107[[#This Row],[PA]]</f>
        <v>36.74</v>
      </c>
      <c r="BU16" s="97">
        <f>+Tabela1107[[#This Row],[PIS]]+Tabela1107[[#This Row],[COFINS]]+Tabela1107[[#This Row],[CONTRIB. FOLHA]]+Tabela1107[[#This Row],[TRIBUTOS S/ LUCRO]]+Tabela1107[[#This Row],[OUTROS]]+Tabela1107[[#This Row],[AM]]</f>
        <v>36.74</v>
      </c>
      <c r="BV16" s="97">
        <f>AVERAGE(Tabela1107[[#This Row],[TOTAL SP]:[TOTAL AM]])</f>
        <v>36.677500000000002</v>
      </c>
      <c r="BW16" s="97"/>
      <c r="BX16" s="97"/>
      <c r="CA16" s="57" t="s">
        <v>21727</v>
      </c>
      <c r="CB16" s="57" t="s">
        <v>19523</v>
      </c>
      <c r="CC16" s="64" t="s">
        <v>21716</v>
      </c>
    </row>
    <row r="17" spans="2:76" x14ac:dyDescent="0.25">
      <c r="B17" s="89">
        <v>16268</v>
      </c>
      <c r="C17" s="91" t="s">
        <v>13133</v>
      </c>
      <c r="D17" s="89"/>
      <c r="E17" s="89">
        <v>20140626</v>
      </c>
      <c r="F17" s="89" t="s">
        <v>20456</v>
      </c>
      <c r="G17" s="98" t="s">
        <v>21910</v>
      </c>
      <c r="H17" s="71" t="s">
        <v>21909</v>
      </c>
      <c r="I17" s="89" t="s">
        <v>20455</v>
      </c>
      <c r="J17" s="89" t="s">
        <v>191</v>
      </c>
      <c r="K17" s="99" t="s">
        <v>2530</v>
      </c>
      <c r="L17" s="89" t="s">
        <v>2682</v>
      </c>
      <c r="M17" s="89" t="s">
        <v>4496</v>
      </c>
      <c r="N17" s="89" t="s">
        <v>4496</v>
      </c>
      <c r="O17" s="89" t="s">
        <v>4496</v>
      </c>
      <c r="P17" s="89" t="s">
        <v>4496</v>
      </c>
      <c r="Q17" s="89"/>
      <c r="R17" s="89" t="s">
        <v>193</v>
      </c>
      <c r="S17" s="89" t="s">
        <v>21710</v>
      </c>
      <c r="T17" s="89" t="s">
        <v>21711</v>
      </c>
      <c r="U17" s="89" t="str">
        <f>TRIM('Carga Tributária doenças Po (2'!$L17)</f>
        <v>FENAZOPIRIDINA</v>
      </c>
      <c r="V17" s="89">
        <f>SUMIFS('Tabela Federal'!$E$4:$E$2069,'Tabela Federal'!$D$4:$D$2069,'Carga Tributária doenças Po (2'!$L17)</f>
        <v>0</v>
      </c>
      <c r="W17" s="89">
        <f>SUMIFS('Tabela Federal'!$E$4:$E$2069,'Tabela Federal'!$D$4:$D$2069,'Carga Tributária doenças Po (2'!$M17)</f>
        <v>0</v>
      </c>
      <c r="X17" s="89">
        <f>SUMIFS('Tabela Federal'!$E$4:$E$2069,'Tabela Federal'!$D$4:$D$2069,'Carga Tributária doenças Po (2'!$N17)</f>
        <v>0</v>
      </c>
      <c r="Y17" s="89">
        <f>SUMIFS('Tabela Federal'!$E$4:$E$2069,'Tabela Federal'!$D$4:$D$2069,'Carga Tributária doenças Po (2'!$O17)</f>
        <v>0</v>
      </c>
      <c r="Z17" s="92" t="str">
        <f>VLOOKUP('Carga Tributária doenças Po (2'!$AD17,'Carga Tributária doenças Po (2'!$CA$12:$CC$16,2,0)</f>
        <v>-</v>
      </c>
      <c r="AA17" s="89" t="s">
        <v>192</v>
      </c>
      <c r="AB17" s="89" t="s">
        <v>21859</v>
      </c>
      <c r="AC17" s="89" t="s">
        <v>21740</v>
      </c>
      <c r="AD17" s="93" t="s">
        <v>19523</v>
      </c>
      <c r="AE17" s="92" t="s">
        <v>4</v>
      </c>
      <c r="AF17" s="92" t="s">
        <v>23</v>
      </c>
      <c r="AG17" s="94">
        <v>1142844</v>
      </c>
      <c r="AH17" s="95">
        <v>4123474</v>
      </c>
      <c r="AI17" s="95">
        <v>9409235.5999999996</v>
      </c>
      <c r="AJ17" s="89" t="s">
        <v>203</v>
      </c>
      <c r="AK17" s="89">
        <f>IF('Carga Tributária doenças Po (2'!$Z17="+",0,SUMIFS(PISCOFINS!$I$3:$I$10518,PISCOFINS!$C$3:$C$10518,'Carga Tributária doenças Po (2'!$C17))</f>
        <v>2.1</v>
      </c>
      <c r="AL17" s="89">
        <f>IF('Carga Tributária doenças Po (2'!$Z17="+",0,SUMIFS(PISCOFINS!$H$3:$H$10518,PISCOFINS!$C$3:$C$10518,'Carga Tributária doenças Po (2'!$C17))</f>
        <v>9.9</v>
      </c>
      <c r="AM17" s="95">
        <v>3.27</v>
      </c>
      <c r="AN17" s="95">
        <v>3.12</v>
      </c>
      <c r="AO17" s="95">
        <v>1.35</v>
      </c>
      <c r="AP17" s="96">
        <v>18</v>
      </c>
      <c r="AQ17" s="96">
        <v>12</v>
      </c>
      <c r="AR17" s="96">
        <v>17</v>
      </c>
      <c r="AS17" s="97">
        <v>17</v>
      </c>
      <c r="AT17" s="97">
        <v>19</v>
      </c>
      <c r="AU17" s="97">
        <v>18</v>
      </c>
      <c r="AV17" s="97">
        <v>17</v>
      </c>
      <c r="AW17" s="97">
        <v>17</v>
      </c>
      <c r="AX17" s="97">
        <v>17</v>
      </c>
      <c r="AY17" s="97">
        <v>17</v>
      </c>
      <c r="AZ17" s="97">
        <v>17</v>
      </c>
      <c r="BA17" s="97">
        <v>17</v>
      </c>
      <c r="BB17" s="97">
        <v>17</v>
      </c>
      <c r="BC17" s="97">
        <v>17</v>
      </c>
      <c r="BD17" s="97">
        <v>17</v>
      </c>
      <c r="BE17" s="97">
        <v>17</v>
      </c>
      <c r="BF17" s="97">
        <f>+Tabela1107[[#This Row],[PIS]]+Tabela1107[[#This Row],[COFINS]]+Tabela1107[[#This Row],[CONTRIB. FOLHA]]+Tabela1107[[#This Row],[TRIBUTOS S/ LUCRO]]+Tabela1107[[#This Row],[OUTROS]]+Tabela1107[[#This Row],[SP]]</f>
        <v>37.74</v>
      </c>
      <c r="BG17" s="97">
        <f>+Tabela1107[[#This Row],[PIS]]+Tabela1107[[#This Row],[COFINS]]+Tabela1107[[#This Row],[CONTRIB. FOLHA]]+Tabela1107[[#This Row],[TRIBUTOS S/ LUCRO]]+Tabela1107[[#This Row],[OUTROS]]+Tabela1107[[#This Row],[PR]]</f>
        <v>31.740000000000002</v>
      </c>
      <c r="BH17" s="97">
        <f>+Tabela1107[[#This Row],[PIS]]+Tabela1107[[#This Row],[COFINS]]+Tabela1107[[#This Row],[CONTRIB. FOLHA]]+Tabela1107[[#This Row],[TRIBUTOS S/ LUCRO]]+Tabela1107[[#This Row],[OUTROS]]+Tabela1107[[#This Row],[SC]]</f>
        <v>36.74</v>
      </c>
      <c r="BI17" s="97">
        <f>+Tabela1107[[#This Row],[PIS]]+Tabela1107[[#This Row],[COFINS]]+Tabela1107[[#This Row],[CONTRIB. FOLHA]]+Tabela1107[[#This Row],[TRIBUTOS S/ LUCRO]]+Tabela1107[[#This Row],[OUTROS]]+Tabela1107[[#This Row],[RS]]</f>
        <v>36.74</v>
      </c>
      <c r="BJ17" s="97">
        <f>+Tabela1107[[#This Row],[PIS]]+Tabela1107[[#This Row],[COFINS]]+Tabela1107[[#This Row],[CONTRIB. FOLHA]]+Tabela1107[[#This Row],[TRIBUTOS S/ LUCRO]]+Tabela1107[[#This Row],[OUTROS]]+Tabela1107[[#This Row],[RJ]]</f>
        <v>38.74</v>
      </c>
      <c r="BK17" s="97">
        <f>+Tabela1107[[#This Row],[PIS]]+Tabela1107[[#This Row],[COFINS]]+Tabela1107[[#This Row],[CONTRIB. FOLHA]]+Tabela1107[[#This Row],[TRIBUTOS S/ LUCRO]]+Tabela1107[[#This Row],[OUTROS]]+Tabela1107[[#This Row],[MG]]</f>
        <v>37.74</v>
      </c>
      <c r="BL17" s="97">
        <f>+Tabela1107[[#This Row],[PIS]]+Tabela1107[[#This Row],[COFINS]]+Tabela1107[[#This Row],[CONTRIB. FOLHA]]+Tabela1107[[#This Row],[TRIBUTOS S/ LUCRO]]+Tabela1107[[#This Row],[OUTROS]]+Tabela1107[[#This Row],[ES]]</f>
        <v>36.74</v>
      </c>
      <c r="BM17" s="97">
        <f>+Tabela1107[[#This Row],[PIS]]+Tabela1107[[#This Row],[COFINS]]+Tabela1107[[#This Row],[CONTRIB. FOLHA]]+Tabela1107[[#This Row],[TRIBUTOS S/ LUCRO]]+Tabela1107[[#This Row],[OUTROS]]+Tabela1107[[#This Row],[GO]]</f>
        <v>36.74</v>
      </c>
      <c r="BN17" s="97">
        <f>+Tabela1107[[#This Row],[PIS]]+Tabela1107[[#This Row],[COFINS]]+Tabela1107[[#This Row],[CONTRIB. FOLHA]]+Tabela1107[[#This Row],[TRIBUTOS S/ LUCRO]]+Tabela1107[[#This Row],[OUTROS]]+Tabela1107[[#This Row],[MT]]</f>
        <v>36.74</v>
      </c>
      <c r="BO17" s="97">
        <f>+Tabela1107[[#This Row],[PIS]]+Tabela1107[[#This Row],[COFINS]]+Tabela1107[[#This Row],[CONTRIB. FOLHA]]+Tabela1107[[#This Row],[TRIBUTOS S/ LUCRO]]+Tabela1107[[#This Row],[OUTROS]]+Tabela1107[[#This Row],[MS]]</f>
        <v>36.74</v>
      </c>
      <c r="BP17" s="97">
        <f>+Tabela1107[[#This Row],[PIS]]+Tabela1107[[#This Row],[COFINS]]+Tabela1107[[#This Row],[CONTRIB. FOLHA]]+Tabela1107[[#This Row],[TRIBUTOS S/ LUCRO]]+Tabela1107[[#This Row],[OUTROS]]+Tabela1107[[#This Row],[DF]]</f>
        <v>36.74</v>
      </c>
      <c r="BQ17" s="97">
        <f>+Tabela1107[[#This Row],[PIS]]+Tabela1107[[#This Row],[COFINS]]+Tabela1107[[#This Row],[CONTRIB. FOLHA]]+Tabela1107[[#This Row],[TRIBUTOS S/ LUCRO]]+Tabela1107[[#This Row],[OUTROS]]+Tabela1107[[#This Row],[BA]]</f>
        <v>36.74</v>
      </c>
      <c r="BR17" s="97">
        <f>+Tabela1107[[#This Row],[PIS]]+Tabela1107[[#This Row],[COFINS]]+Tabela1107[[#This Row],[CONTRIB. FOLHA]]+Tabela1107[[#This Row],[TRIBUTOS S/ LUCRO]]+Tabela1107[[#This Row],[OUTROS]]+Tabela1107[[#This Row],[BA]]</f>
        <v>36.74</v>
      </c>
      <c r="BS17" s="97">
        <f>+Tabela1107[[#This Row],[PIS]]+Tabela1107[[#This Row],[COFINS]]+Tabela1107[[#This Row],[CONTRIB. FOLHA]]+Tabela1107[[#This Row],[TRIBUTOS S/ LUCRO]]+Tabela1107[[#This Row],[OUTROS]]+Tabela1107[[#This Row],[PE]]</f>
        <v>36.74</v>
      </c>
      <c r="BT17" s="97">
        <f>+Tabela1107[[#This Row],[PIS]]+Tabela1107[[#This Row],[COFINS]]+Tabela1107[[#This Row],[CONTRIB. FOLHA]]+Tabela1107[[#This Row],[TRIBUTOS S/ LUCRO]]+Tabela1107[[#This Row],[OUTROS]]+Tabela1107[[#This Row],[PA]]</f>
        <v>36.74</v>
      </c>
      <c r="BU17" s="97">
        <f>+Tabela1107[[#This Row],[PIS]]+Tabela1107[[#This Row],[COFINS]]+Tabela1107[[#This Row],[CONTRIB. FOLHA]]+Tabela1107[[#This Row],[TRIBUTOS S/ LUCRO]]+Tabela1107[[#This Row],[OUTROS]]+Tabela1107[[#This Row],[AM]]</f>
        <v>36.74</v>
      </c>
      <c r="BV17" s="97">
        <f>AVERAGE(Tabela1107[[#This Row],[TOTAL SP]:[TOTAL AM]])</f>
        <v>36.677500000000002</v>
      </c>
      <c r="BW17" s="97"/>
      <c r="BX17" s="97"/>
    </row>
    <row r="18" spans="2:76" x14ac:dyDescent="0.25">
      <c r="B18" s="89">
        <v>4616</v>
      </c>
      <c r="C18" s="91" t="s">
        <v>13093</v>
      </c>
      <c r="D18" s="89"/>
      <c r="E18" s="89">
        <v>20140626</v>
      </c>
      <c r="F18" s="89" t="s">
        <v>21332</v>
      </c>
      <c r="G18" s="89" t="s">
        <v>21333</v>
      </c>
      <c r="H18" s="89" t="s">
        <v>21334</v>
      </c>
      <c r="I18" s="89" t="s">
        <v>21335</v>
      </c>
      <c r="J18" s="89" t="s">
        <v>141</v>
      </c>
      <c r="K18" s="89" t="s">
        <v>2451</v>
      </c>
      <c r="L18" s="89" t="s">
        <v>4436</v>
      </c>
      <c r="M18" s="89" t="s">
        <v>4496</v>
      </c>
      <c r="N18" s="89" t="s">
        <v>4496</v>
      </c>
      <c r="O18" s="89" t="s">
        <v>4496</v>
      </c>
      <c r="P18" s="89" t="s">
        <v>4496</v>
      </c>
      <c r="Q18" s="89"/>
      <c r="R18" s="89" t="s">
        <v>28</v>
      </c>
      <c r="S18" s="89" t="s">
        <v>21692</v>
      </c>
      <c r="T18" s="89" t="s">
        <v>21693</v>
      </c>
      <c r="U18" s="89" t="str">
        <f>TRIM('Carga Tributária doenças Po (2'!$L18)</f>
        <v>RISEDRONATO SODICO</v>
      </c>
      <c r="V18" s="89">
        <f>SUMIFS('Tabela Federal'!$E$4:$E$2069,'Tabela Federal'!$D$4:$D$2069,'Carga Tributária doenças Po (2'!$L18)</f>
        <v>2</v>
      </c>
      <c r="W18" s="89">
        <f>SUMIFS('Tabela Federal'!$E$4:$E$2069,'Tabela Federal'!$D$4:$D$2069,'Carga Tributária doenças Po (2'!$M18)</f>
        <v>0</v>
      </c>
      <c r="X18" s="89">
        <f>SUMIFS('Tabela Federal'!$E$4:$E$2069,'Tabela Federal'!$D$4:$D$2069,'Carga Tributária doenças Po (2'!$N18)</f>
        <v>0</v>
      </c>
      <c r="Y18" s="89">
        <f>SUMIFS('Tabela Federal'!$E$4:$E$2069,'Tabela Federal'!$D$4:$D$2069,'Carga Tributária doenças Po (2'!$O18)</f>
        <v>0</v>
      </c>
      <c r="Z18" s="92" t="str">
        <f>VLOOKUP('Carga Tributária doenças Po (2'!$AD18,'Carga Tributária doenças Po (2'!$CA$12:$CC$16,2,0)</f>
        <v>+</v>
      </c>
      <c r="AA18" s="89" t="s">
        <v>138</v>
      </c>
      <c r="AB18" s="89" t="s">
        <v>21892</v>
      </c>
      <c r="AC18" s="89" t="s">
        <v>21721</v>
      </c>
      <c r="AD18" s="93" t="s">
        <v>21722</v>
      </c>
      <c r="AE18" s="92" t="s">
        <v>2</v>
      </c>
      <c r="AF18" s="92" t="s">
        <v>23</v>
      </c>
      <c r="AG18" s="94">
        <v>476588</v>
      </c>
      <c r="AH18" s="95">
        <v>19699559</v>
      </c>
      <c r="AI18" s="95">
        <v>44973575.280000001</v>
      </c>
      <c r="AJ18" s="89" t="s">
        <v>146</v>
      </c>
      <c r="AK18" s="89">
        <f>IF('Carga Tributária doenças Po (2'!$Z18="+",0,SUMIFS(PISCOFINS!$I$3:$I$10518,PISCOFINS!$C$3:$C$10518,'Carga Tributária doenças Po (2'!$C18))</f>
        <v>0</v>
      </c>
      <c r="AL18" s="89">
        <f>IF('Carga Tributária doenças Po (2'!$Z18="+",0,SUMIFS(PISCOFINS!$H$3:$H$10518,PISCOFINS!$C$3:$C$10518,'Carga Tributária doenças Po (2'!$C18))</f>
        <v>0</v>
      </c>
      <c r="AM18" s="95">
        <v>3.27</v>
      </c>
      <c r="AN18" s="95">
        <v>3.12</v>
      </c>
      <c r="AO18" s="95">
        <v>1.35</v>
      </c>
      <c r="AP18" s="96">
        <v>18</v>
      </c>
      <c r="AQ18" s="96">
        <v>12</v>
      </c>
      <c r="AR18" s="96">
        <v>17</v>
      </c>
      <c r="AS18" s="97">
        <v>17</v>
      </c>
      <c r="AT18" s="97">
        <v>19</v>
      </c>
      <c r="AU18" s="97">
        <v>18</v>
      </c>
      <c r="AV18" s="97">
        <v>17</v>
      </c>
      <c r="AW18" s="97">
        <v>17</v>
      </c>
      <c r="AX18" s="97">
        <v>17</v>
      </c>
      <c r="AY18" s="97">
        <v>17</v>
      </c>
      <c r="AZ18" s="97">
        <v>17</v>
      </c>
      <c r="BA18" s="97">
        <v>17</v>
      </c>
      <c r="BB18" s="97">
        <v>17</v>
      </c>
      <c r="BC18" s="97">
        <v>17</v>
      </c>
      <c r="BD18" s="97">
        <v>17</v>
      </c>
      <c r="BE18" s="97">
        <v>17</v>
      </c>
      <c r="BF18" s="97">
        <f>+Tabela1107[[#This Row],[PIS]]+Tabela1107[[#This Row],[COFINS]]+Tabela1107[[#This Row],[CONTRIB. FOLHA]]+Tabela1107[[#This Row],[TRIBUTOS S/ LUCRO]]+Tabela1107[[#This Row],[OUTROS]]+Tabela1107[[#This Row],[SP]]</f>
        <v>25.740000000000002</v>
      </c>
      <c r="BG18" s="97">
        <f>+Tabela1107[[#This Row],[PIS]]+Tabela1107[[#This Row],[COFINS]]+Tabela1107[[#This Row],[CONTRIB. FOLHA]]+Tabela1107[[#This Row],[TRIBUTOS S/ LUCRO]]+Tabela1107[[#This Row],[OUTROS]]+Tabela1107[[#This Row],[PR]]</f>
        <v>19.740000000000002</v>
      </c>
      <c r="BH18" s="97">
        <f>+Tabela1107[[#This Row],[PIS]]+Tabela1107[[#This Row],[COFINS]]+Tabela1107[[#This Row],[CONTRIB. FOLHA]]+Tabela1107[[#This Row],[TRIBUTOS S/ LUCRO]]+Tabela1107[[#This Row],[OUTROS]]+Tabela1107[[#This Row],[SC]]</f>
        <v>24.740000000000002</v>
      </c>
      <c r="BI18" s="97">
        <f>+Tabela1107[[#This Row],[PIS]]+Tabela1107[[#This Row],[COFINS]]+Tabela1107[[#This Row],[CONTRIB. FOLHA]]+Tabela1107[[#This Row],[TRIBUTOS S/ LUCRO]]+Tabela1107[[#This Row],[OUTROS]]+Tabela1107[[#This Row],[RS]]</f>
        <v>24.740000000000002</v>
      </c>
      <c r="BJ18" s="97">
        <f>+Tabela1107[[#This Row],[PIS]]+Tabela1107[[#This Row],[COFINS]]+Tabela1107[[#This Row],[CONTRIB. FOLHA]]+Tabela1107[[#This Row],[TRIBUTOS S/ LUCRO]]+Tabela1107[[#This Row],[OUTROS]]+Tabela1107[[#This Row],[RJ]]</f>
        <v>26.740000000000002</v>
      </c>
      <c r="BK18" s="97">
        <f>+Tabela1107[[#This Row],[PIS]]+Tabela1107[[#This Row],[COFINS]]+Tabela1107[[#This Row],[CONTRIB. FOLHA]]+Tabela1107[[#This Row],[TRIBUTOS S/ LUCRO]]+Tabela1107[[#This Row],[OUTROS]]+Tabela1107[[#This Row],[MG]]</f>
        <v>25.740000000000002</v>
      </c>
      <c r="BL18" s="97">
        <f>+Tabela1107[[#This Row],[PIS]]+Tabela1107[[#This Row],[COFINS]]+Tabela1107[[#This Row],[CONTRIB. FOLHA]]+Tabela1107[[#This Row],[TRIBUTOS S/ LUCRO]]+Tabela1107[[#This Row],[OUTROS]]+Tabela1107[[#This Row],[ES]]</f>
        <v>24.740000000000002</v>
      </c>
      <c r="BM18" s="97">
        <f>+Tabela1107[[#This Row],[PIS]]+Tabela1107[[#This Row],[COFINS]]+Tabela1107[[#This Row],[CONTRIB. FOLHA]]+Tabela1107[[#This Row],[TRIBUTOS S/ LUCRO]]+Tabela1107[[#This Row],[OUTROS]]+Tabela1107[[#This Row],[GO]]</f>
        <v>24.740000000000002</v>
      </c>
      <c r="BN18" s="97">
        <f>+Tabela1107[[#This Row],[PIS]]+Tabela1107[[#This Row],[COFINS]]+Tabela1107[[#This Row],[CONTRIB. FOLHA]]+Tabela1107[[#This Row],[TRIBUTOS S/ LUCRO]]+Tabela1107[[#This Row],[OUTROS]]+Tabela1107[[#This Row],[MT]]</f>
        <v>24.740000000000002</v>
      </c>
      <c r="BO18" s="97">
        <f>+Tabela1107[[#This Row],[PIS]]+Tabela1107[[#This Row],[COFINS]]+Tabela1107[[#This Row],[CONTRIB. FOLHA]]+Tabela1107[[#This Row],[TRIBUTOS S/ LUCRO]]+Tabela1107[[#This Row],[OUTROS]]+Tabela1107[[#This Row],[MS]]</f>
        <v>24.740000000000002</v>
      </c>
      <c r="BP18" s="97">
        <f>+Tabela1107[[#This Row],[PIS]]+Tabela1107[[#This Row],[COFINS]]+Tabela1107[[#This Row],[CONTRIB. FOLHA]]+Tabela1107[[#This Row],[TRIBUTOS S/ LUCRO]]+Tabela1107[[#This Row],[OUTROS]]+Tabela1107[[#This Row],[DF]]</f>
        <v>24.740000000000002</v>
      </c>
      <c r="BQ18" s="97">
        <f>+Tabela1107[[#This Row],[PIS]]+Tabela1107[[#This Row],[COFINS]]+Tabela1107[[#This Row],[CONTRIB. FOLHA]]+Tabela1107[[#This Row],[TRIBUTOS S/ LUCRO]]+Tabela1107[[#This Row],[OUTROS]]+Tabela1107[[#This Row],[BA]]</f>
        <v>24.740000000000002</v>
      </c>
      <c r="BR18" s="97">
        <f>+Tabela1107[[#This Row],[PIS]]+Tabela1107[[#This Row],[COFINS]]+Tabela1107[[#This Row],[CONTRIB. FOLHA]]+Tabela1107[[#This Row],[TRIBUTOS S/ LUCRO]]+Tabela1107[[#This Row],[OUTROS]]+Tabela1107[[#This Row],[BA]]</f>
        <v>24.740000000000002</v>
      </c>
      <c r="BS18" s="97">
        <f>+Tabela1107[[#This Row],[PIS]]+Tabela1107[[#This Row],[COFINS]]+Tabela1107[[#This Row],[CONTRIB. FOLHA]]+Tabela1107[[#This Row],[TRIBUTOS S/ LUCRO]]+Tabela1107[[#This Row],[OUTROS]]+Tabela1107[[#This Row],[PE]]</f>
        <v>24.740000000000002</v>
      </c>
      <c r="BT18" s="97">
        <f>+Tabela1107[[#This Row],[PIS]]+Tabela1107[[#This Row],[COFINS]]+Tabela1107[[#This Row],[CONTRIB. FOLHA]]+Tabela1107[[#This Row],[TRIBUTOS S/ LUCRO]]+Tabela1107[[#This Row],[OUTROS]]+Tabela1107[[#This Row],[PA]]</f>
        <v>24.740000000000002</v>
      </c>
      <c r="BU18" s="97">
        <f>+Tabela1107[[#This Row],[PIS]]+Tabela1107[[#This Row],[COFINS]]+Tabela1107[[#This Row],[CONTRIB. FOLHA]]+Tabela1107[[#This Row],[TRIBUTOS S/ LUCRO]]+Tabela1107[[#This Row],[OUTROS]]+Tabela1107[[#This Row],[AM]]</f>
        <v>24.740000000000002</v>
      </c>
      <c r="BV18" s="97">
        <f>AVERAGE(Tabela1107[[#This Row],[TOTAL SP]:[TOTAL AM]])</f>
        <v>24.677500000000006</v>
      </c>
      <c r="BW18" s="97"/>
      <c r="BX18" s="97"/>
    </row>
    <row r="19" spans="2:76" x14ac:dyDescent="0.25">
      <c r="B19" s="89">
        <v>13402</v>
      </c>
      <c r="C19" s="91" t="s">
        <v>13133</v>
      </c>
      <c r="D19" s="89"/>
      <c r="E19" s="89">
        <v>20140626</v>
      </c>
      <c r="F19" s="89" t="s">
        <v>21252</v>
      </c>
      <c r="G19" s="89" t="s">
        <v>21253</v>
      </c>
      <c r="H19" s="89" t="s">
        <v>21254</v>
      </c>
      <c r="I19" s="89" t="s">
        <v>21255</v>
      </c>
      <c r="J19" s="89" t="s">
        <v>156</v>
      </c>
      <c r="K19" s="89" t="s">
        <v>2441</v>
      </c>
      <c r="L19" s="89" t="s">
        <v>2614</v>
      </c>
      <c r="M19" s="89" t="s">
        <v>4496</v>
      </c>
      <c r="N19" s="89" t="s">
        <v>4496</v>
      </c>
      <c r="O19" s="89" t="s">
        <v>4496</v>
      </c>
      <c r="P19" s="89" t="s">
        <v>4496</v>
      </c>
      <c r="Q19" s="89"/>
      <c r="R19" s="89" t="s">
        <v>157</v>
      </c>
      <c r="S19" s="89" t="s">
        <v>21682</v>
      </c>
      <c r="T19" s="89" t="s">
        <v>21683</v>
      </c>
      <c r="U19" s="89" t="str">
        <f>TRIM('Carga Tributária doenças Po (2'!$L19)</f>
        <v>IBUPROFENO</v>
      </c>
      <c r="V19" s="89">
        <f>SUMIFS('Tabela Federal'!$E$4:$E$2069,'Tabela Federal'!$D$4:$D$2069,'Carga Tributária doenças Po (2'!$L19)</f>
        <v>2</v>
      </c>
      <c r="W19" s="89">
        <f>SUMIFS('Tabela Federal'!$E$4:$E$2069,'Tabela Federal'!$D$4:$D$2069,'Carga Tributária doenças Po (2'!$M19)</f>
        <v>0</v>
      </c>
      <c r="X19" s="89">
        <f>SUMIFS('Tabela Federal'!$E$4:$E$2069,'Tabela Federal'!$D$4:$D$2069,'Carga Tributária doenças Po (2'!$N19)</f>
        <v>0</v>
      </c>
      <c r="Y19" s="89">
        <f>SUMIFS('Tabela Federal'!$E$4:$E$2069,'Tabela Federal'!$D$4:$D$2069,'Carga Tributária doenças Po (2'!$O19)</f>
        <v>0</v>
      </c>
      <c r="Z19" s="92" t="str">
        <f>VLOOKUP('Carga Tributária doenças Po (2'!$AD19,'Carga Tributária doenças Po (2'!$CA$12:$CC$16,2,0)</f>
        <v>-</v>
      </c>
      <c r="AA19" s="89" t="s">
        <v>7</v>
      </c>
      <c r="AB19" s="89" t="s">
        <v>21765</v>
      </c>
      <c r="AC19" s="89" t="s">
        <v>21740</v>
      </c>
      <c r="AD19" s="93" t="s">
        <v>19523</v>
      </c>
      <c r="AE19" s="92" t="s">
        <v>2</v>
      </c>
      <c r="AF19" s="92" t="s">
        <v>3</v>
      </c>
      <c r="AG19" s="94">
        <v>3104441</v>
      </c>
      <c r="AH19" s="95">
        <v>15127292</v>
      </c>
      <c r="AI19" s="95">
        <v>34569972.380000003</v>
      </c>
      <c r="AJ19" s="89" t="s">
        <v>449</v>
      </c>
      <c r="AK19" s="89">
        <f>IF('Carga Tributária doenças Po (2'!$Z19="+",0,SUMIFS(PISCOFINS!$I$3:$I$10518,PISCOFINS!$C$3:$C$10518,'Carga Tributária doenças Po (2'!$C19))</f>
        <v>2.1</v>
      </c>
      <c r="AL19" s="89">
        <f>IF('Carga Tributária doenças Po (2'!$Z19="+",0,SUMIFS(PISCOFINS!$H$3:$H$10518,PISCOFINS!$C$3:$C$10518,'Carga Tributária doenças Po (2'!$C19))</f>
        <v>9.9</v>
      </c>
      <c r="AM19" s="95">
        <v>3.27</v>
      </c>
      <c r="AN19" s="95">
        <v>3.12</v>
      </c>
      <c r="AO19" s="95">
        <v>1.35</v>
      </c>
      <c r="AP19" s="96">
        <v>18</v>
      </c>
      <c r="AQ19" s="96">
        <v>12</v>
      </c>
      <c r="AR19" s="96">
        <v>17</v>
      </c>
      <c r="AS19" s="97">
        <v>17</v>
      </c>
      <c r="AT19" s="97">
        <v>19</v>
      </c>
      <c r="AU19" s="97">
        <v>18</v>
      </c>
      <c r="AV19" s="97">
        <v>17</v>
      </c>
      <c r="AW19" s="97">
        <v>17</v>
      </c>
      <c r="AX19" s="97">
        <v>17</v>
      </c>
      <c r="AY19" s="97">
        <v>17</v>
      </c>
      <c r="AZ19" s="97">
        <v>17</v>
      </c>
      <c r="BA19" s="97">
        <v>17</v>
      </c>
      <c r="BB19" s="97">
        <v>17</v>
      </c>
      <c r="BC19" s="97">
        <v>17</v>
      </c>
      <c r="BD19" s="97">
        <v>17</v>
      </c>
      <c r="BE19" s="97">
        <v>17</v>
      </c>
      <c r="BF19" s="97">
        <f>+Tabela1107[[#This Row],[PIS]]+Tabela1107[[#This Row],[COFINS]]+Tabela1107[[#This Row],[CONTRIB. FOLHA]]+Tabela1107[[#This Row],[TRIBUTOS S/ LUCRO]]+Tabela1107[[#This Row],[OUTROS]]+Tabela1107[[#This Row],[SP]]</f>
        <v>37.74</v>
      </c>
      <c r="BG19" s="97">
        <f>+Tabela1107[[#This Row],[PIS]]+Tabela1107[[#This Row],[COFINS]]+Tabela1107[[#This Row],[CONTRIB. FOLHA]]+Tabela1107[[#This Row],[TRIBUTOS S/ LUCRO]]+Tabela1107[[#This Row],[OUTROS]]+Tabela1107[[#This Row],[PR]]</f>
        <v>31.740000000000002</v>
      </c>
      <c r="BH19" s="97">
        <f>+Tabela1107[[#This Row],[PIS]]+Tabela1107[[#This Row],[COFINS]]+Tabela1107[[#This Row],[CONTRIB. FOLHA]]+Tabela1107[[#This Row],[TRIBUTOS S/ LUCRO]]+Tabela1107[[#This Row],[OUTROS]]+Tabela1107[[#This Row],[SC]]</f>
        <v>36.74</v>
      </c>
      <c r="BI19" s="97">
        <f>+Tabela1107[[#This Row],[PIS]]+Tabela1107[[#This Row],[COFINS]]+Tabela1107[[#This Row],[CONTRIB. FOLHA]]+Tabela1107[[#This Row],[TRIBUTOS S/ LUCRO]]+Tabela1107[[#This Row],[OUTROS]]+Tabela1107[[#This Row],[RS]]</f>
        <v>36.74</v>
      </c>
      <c r="BJ19" s="97">
        <f>+Tabela1107[[#This Row],[PIS]]+Tabela1107[[#This Row],[COFINS]]+Tabela1107[[#This Row],[CONTRIB. FOLHA]]+Tabela1107[[#This Row],[TRIBUTOS S/ LUCRO]]+Tabela1107[[#This Row],[OUTROS]]+Tabela1107[[#This Row],[RJ]]</f>
        <v>38.74</v>
      </c>
      <c r="BK19" s="97">
        <f>+Tabela1107[[#This Row],[PIS]]+Tabela1107[[#This Row],[COFINS]]+Tabela1107[[#This Row],[CONTRIB. FOLHA]]+Tabela1107[[#This Row],[TRIBUTOS S/ LUCRO]]+Tabela1107[[#This Row],[OUTROS]]+Tabela1107[[#This Row],[MG]]</f>
        <v>37.74</v>
      </c>
      <c r="BL19" s="97">
        <f>+Tabela1107[[#This Row],[PIS]]+Tabela1107[[#This Row],[COFINS]]+Tabela1107[[#This Row],[CONTRIB. FOLHA]]+Tabela1107[[#This Row],[TRIBUTOS S/ LUCRO]]+Tabela1107[[#This Row],[OUTROS]]+Tabela1107[[#This Row],[ES]]</f>
        <v>36.74</v>
      </c>
      <c r="BM19" s="97">
        <f>+Tabela1107[[#This Row],[PIS]]+Tabela1107[[#This Row],[COFINS]]+Tabela1107[[#This Row],[CONTRIB. FOLHA]]+Tabela1107[[#This Row],[TRIBUTOS S/ LUCRO]]+Tabela1107[[#This Row],[OUTROS]]+Tabela1107[[#This Row],[GO]]</f>
        <v>36.74</v>
      </c>
      <c r="BN19" s="97">
        <f>+Tabela1107[[#This Row],[PIS]]+Tabela1107[[#This Row],[COFINS]]+Tabela1107[[#This Row],[CONTRIB. FOLHA]]+Tabela1107[[#This Row],[TRIBUTOS S/ LUCRO]]+Tabela1107[[#This Row],[OUTROS]]+Tabela1107[[#This Row],[MT]]</f>
        <v>36.74</v>
      </c>
      <c r="BO19" s="97">
        <f>+Tabela1107[[#This Row],[PIS]]+Tabela1107[[#This Row],[COFINS]]+Tabela1107[[#This Row],[CONTRIB. FOLHA]]+Tabela1107[[#This Row],[TRIBUTOS S/ LUCRO]]+Tabela1107[[#This Row],[OUTROS]]+Tabela1107[[#This Row],[MS]]</f>
        <v>36.74</v>
      </c>
      <c r="BP19" s="97">
        <f>+Tabela1107[[#This Row],[PIS]]+Tabela1107[[#This Row],[COFINS]]+Tabela1107[[#This Row],[CONTRIB. FOLHA]]+Tabela1107[[#This Row],[TRIBUTOS S/ LUCRO]]+Tabela1107[[#This Row],[OUTROS]]+Tabela1107[[#This Row],[DF]]</f>
        <v>36.74</v>
      </c>
      <c r="BQ19" s="97">
        <f>+Tabela1107[[#This Row],[PIS]]+Tabela1107[[#This Row],[COFINS]]+Tabela1107[[#This Row],[CONTRIB. FOLHA]]+Tabela1107[[#This Row],[TRIBUTOS S/ LUCRO]]+Tabela1107[[#This Row],[OUTROS]]+Tabela1107[[#This Row],[BA]]</f>
        <v>36.74</v>
      </c>
      <c r="BR19" s="97">
        <f>+Tabela1107[[#This Row],[PIS]]+Tabela1107[[#This Row],[COFINS]]+Tabela1107[[#This Row],[CONTRIB. FOLHA]]+Tabela1107[[#This Row],[TRIBUTOS S/ LUCRO]]+Tabela1107[[#This Row],[OUTROS]]+Tabela1107[[#This Row],[BA]]</f>
        <v>36.74</v>
      </c>
      <c r="BS19" s="97">
        <f>+Tabela1107[[#This Row],[PIS]]+Tabela1107[[#This Row],[COFINS]]+Tabela1107[[#This Row],[CONTRIB. FOLHA]]+Tabela1107[[#This Row],[TRIBUTOS S/ LUCRO]]+Tabela1107[[#This Row],[OUTROS]]+Tabela1107[[#This Row],[PE]]</f>
        <v>36.74</v>
      </c>
      <c r="BT19" s="97">
        <f>+Tabela1107[[#This Row],[PIS]]+Tabela1107[[#This Row],[COFINS]]+Tabela1107[[#This Row],[CONTRIB. FOLHA]]+Tabela1107[[#This Row],[TRIBUTOS S/ LUCRO]]+Tabela1107[[#This Row],[OUTROS]]+Tabela1107[[#This Row],[PA]]</f>
        <v>36.74</v>
      </c>
      <c r="BU19" s="97">
        <f>+Tabela1107[[#This Row],[PIS]]+Tabela1107[[#This Row],[COFINS]]+Tabela1107[[#This Row],[CONTRIB. FOLHA]]+Tabela1107[[#This Row],[TRIBUTOS S/ LUCRO]]+Tabela1107[[#This Row],[OUTROS]]+Tabela1107[[#This Row],[AM]]</f>
        <v>36.74</v>
      </c>
      <c r="BV19" s="97">
        <f>AVERAGE(Tabela1107[[#This Row],[TOTAL SP]:[TOTAL AM]])</f>
        <v>36.677500000000002</v>
      </c>
      <c r="BW19" s="97"/>
      <c r="BX19" s="97"/>
    </row>
    <row r="20" spans="2:76" x14ac:dyDescent="0.25">
      <c r="B20" s="89">
        <v>13402</v>
      </c>
      <c r="C20" s="91" t="s">
        <v>13133</v>
      </c>
      <c r="D20" s="89"/>
      <c r="E20" s="89">
        <v>20140626</v>
      </c>
      <c r="F20" s="89" t="s">
        <v>21252</v>
      </c>
      <c r="G20" s="89" t="s">
        <v>21253</v>
      </c>
      <c r="H20" s="89" t="s">
        <v>21254</v>
      </c>
      <c r="I20" s="89" t="s">
        <v>21255</v>
      </c>
      <c r="J20" s="89" t="s">
        <v>156</v>
      </c>
      <c r="K20" s="89" t="s">
        <v>2441</v>
      </c>
      <c r="L20" s="89" t="s">
        <v>2614</v>
      </c>
      <c r="M20" s="89" t="s">
        <v>4496</v>
      </c>
      <c r="N20" s="89" t="s">
        <v>4496</v>
      </c>
      <c r="O20" s="89" t="s">
        <v>4496</v>
      </c>
      <c r="P20" s="89" t="s">
        <v>4496</v>
      </c>
      <c r="Q20" s="89"/>
      <c r="R20" s="89" t="s">
        <v>157</v>
      </c>
      <c r="S20" s="89" t="s">
        <v>21682</v>
      </c>
      <c r="T20" s="89" t="s">
        <v>21683</v>
      </c>
      <c r="U20" s="89" t="str">
        <f>TRIM('Carga Tributária doenças Po (2'!$L20)</f>
        <v>IBUPROFENO</v>
      </c>
      <c r="V20" s="89">
        <f>SUMIFS('Tabela Federal'!$E$4:$E$2069,'Tabela Federal'!$D$4:$D$2069,'Carga Tributária doenças Po (2'!$L20)</f>
        <v>2</v>
      </c>
      <c r="W20" s="89">
        <f>SUMIFS('Tabela Federal'!$E$4:$E$2069,'Tabela Federal'!$D$4:$D$2069,'Carga Tributária doenças Po (2'!$M20)</f>
        <v>0</v>
      </c>
      <c r="X20" s="89">
        <f>SUMIFS('Tabela Federal'!$E$4:$E$2069,'Tabela Federal'!$D$4:$D$2069,'Carga Tributária doenças Po (2'!$N20)</f>
        <v>0</v>
      </c>
      <c r="Y20" s="89">
        <f>SUMIFS('Tabela Federal'!$E$4:$E$2069,'Tabela Federal'!$D$4:$D$2069,'Carga Tributária doenças Po (2'!$O20)</f>
        <v>0</v>
      </c>
      <c r="Z20" s="92" t="str">
        <f>VLOOKUP('Carga Tributária doenças Po (2'!$AD20,'Carga Tributária doenças Po (2'!$CA$12:$CC$16,2,0)</f>
        <v>-</v>
      </c>
      <c r="AA20" s="89" t="s">
        <v>7</v>
      </c>
      <c r="AB20" s="89" t="s">
        <v>21765</v>
      </c>
      <c r="AC20" s="89" t="s">
        <v>21740</v>
      </c>
      <c r="AD20" s="93" t="s">
        <v>19523</v>
      </c>
      <c r="AE20" s="92" t="s">
        <v>2</v>
      </c>
      <c r="AF20" s="92" t="s">
        <v>3</v>
      </c>
      <c r="AG20" s="94">
        <v>3104441</v>
      </c>
      <c r="AH20" s="95">
        <v>15127292</v>
      </c>
      <c r="AI20" s="95">
        <v>34569972.380000003</v>
      </c>
      <c r="AJ20" s="89" t="s">
        <v>5</v>
      </c>
      <c r="AK20" s="89">
        <f>IF('Carga Tributária doenças Po (2'!$Z20="+",0,SUMIFS(PISCOFINS!$I$3:$I$10518,PISCOFINS!$C$3:$C$10518,'Carga Tributária doenças Po (2'!$C20))</f>
        <v>2.1</v>
      </c>
      <c r="AL20" s="89">
        <f>IF('Carga Tributária doenças Po (2'!$Z20="+",0,SUMIFS(PISCOFINS!$H$3:$H$10518,PISCOFINS!$C$3:$C$10518,'Carga Tributária doenças Po (2'!$C20))</f>
        <v>9.9</v>
      </c>
      <c r="AM20" s="95">
        <v>3.27</v>
      </c>
      <c r="AN20" s="95">
        <v>3.12</v>
      </c>
      <c r="AO20" s="95">
        <v>1.35</v>
      </c>
      <c r="AP20" s="96">
        <v>18</v>
      </c>
      <c r="AQ20" s="96">
        <v>12</v>
      </c>
      <c r="AR20" s="96">
        <v>17</v>
      </c>
      <c r="AS20" s="97">
        <v>17</v>
      </c>
      <c r="AT20" s="97">
        <v>19</v>
      </c>
      <c r="AU20" s="97">
        <v>18</v>
      </c>
      <c r="AV20" s="97">
        <v>17</v>
      </c>
      <c r="AW20" s="97">
        <v>17</v>
      </c>
      <c r="AX20" s="97">
        <v>17</v>
      </c>
      <c r="AY20" s="97">
        <v>17</v>
      </c>
      <c r="AZ20" s="97">
        <v>17</v>
      </c>
      <c r="BA20" s="97">
        <v>17</v>
      </c>
      <c r="BB20" s="97">
        <v>17</v>
      </c>
      <c r="BC20" s="97">
        <v>17</v>
      </c>
      <c r="BD20" s="97">
        <v>17</v>
      </c>
      <c r="BE20" s="97">
        <v>17</v>
      </c>
      <c r="BF20" s="97">
        <f>+Tabela1107[[#This Row],[PIS]]+Tabela1107[[#This Row],[COFINS]]+Tabela1107[[#This Row],[CONTRIB. FOLHA]]+Tabela1107[[#This Row],[TRIBUTOS S/ LUCRO]]+Tabela1107[[#This Row],[OUTROS]]+Tabela1107[[#This Row],[SP]]</f>
        <v>37.74</v>
      </c>
      <c r="BG20" s="97">
        <f>+Tabela1107[[#This Row],[PIS]]+Tabela1107[[#This Row],[COFINS]]+Tabela1107[[#This Row],[CONTRIB. FOLHA]]+Tabela1107[[#This Row],[TRIBUTOS S/ LUCRO]]+Tabela1107[[#This Row],[OUTROS]]+Tabela1107[[#This Row],[PR]]</f>
        <v>31.740000000000002</v>
      </c>
      <c r="BH20" s="97">
        <f>+Tabela1107[[#This Row],[PIS]]+Tabela1107[[#This Row],[COFINS]]+Tabela1107[[#This Row],[CONTRIB. FOLHA]]+Tabela1107[[#This Row],[TRIBUTOS S/ LUCRO]]+Tabela1107[[#This Row],[OUTROS]]+Tabela1107[[#This Row],[SC]]</f>
        <v>36.74</v>
      </c>
      <c r="BI20" s="97">
        <f>+Tabela1107[[#This Row],[PIS]]+Tabela1107[[#This Row],[COFINS]]+Tabela1107[[#This Row],[CONTRIB. FOLHA]]+Tabela1107[[#This Row],[TRIBUTOS S/ LUCRO]]+Tabela1107[[#This Row],[OUTROS]]+Tabela1107[[#This Row],[RS]]</f>
        <v>36.74</v>
      </c>
      <c r="BJ20" s="97">
        <f>+Tabela1107[[#This Row],[PIS]]+Tabela1107[[#This Row],[COFINS]]+Tabela1107[[#This Row],[CONTRIB. FOLHA]]+Tabela1107[[#This Row],[TRIBUTOS S/ LUCRO]]+Tabela1107[[#This Row],[OUTROS]]+Tabela1107[[#This Row],[RJ]]</f>
        <v>38.74</v>
      </c>
      <c r="BK20" s="97">
        <f>+Tabela1107[[#This Row],[PIS]]+Tabela1107[[#This Row],[COFINS]]+Tabela1107[[#This Row],[CONTRIB. FOLHA]]+Tabela1107[[#This Row],[TRIBUTOS S/ LUCRO]]+Tabela1107[[#This Row],[OUTROS]]+Tabela1107[[#This Row],[MG]]</f>
        <v>37.74</v>
      </c>
      <c r="BL20" s="97">
        <f>+Tabela1107[[#This Row],[PIS]]+Tabela1107[[#This Row],[COFINS]]+Tabela1107[[#This Row],[CONTRIB. FOLHA]]+Tabela1107[[#This Row],[TRIBUTOS S/ LUCRO]]+Tabela1107[[#This Row],[OUTROS]]+Tabela1107[[#This Row],[ES]]</f>
        <v>36.74</v>
      </c>
      <c r="BM20" s="97">
        <f>+Tabela1107[[#This Row],[PIS]]+Tabela1107[[#This Row],[COFINS]]+Tabela1107[[#This Row],[CONTRIB. FOLHA]]+Tabela1107[[#This Row],[TRIBUTOS S/ LUCRO]]+Tabela1107[[#This Row],[OUTROS]]+Tabela1107[[#This Row],[GO]]</f>
        <v>36.74</v>
      </c>
      <c r="BN20" s="97">
        <f>+Tabela1107[[#This Row],[PIS]]+Tabela1107[[#This Row],[COFINS]]+Tabela1107[[#This Row],[CONTRIB. FOLHA]]+Tabela1107[[#This Row],[TRIBUTOS S/ LUCRO]]+Tabela1107[[#This Row],[OUTROS]]+Tabela1107[[#This Row],[MT]]</f>
        <v>36.74</v>
      </c>
      <c r="BO20" s="97">
        <f>+Tabela1107[[#This Row],[PIS]]+Tabela1107[[#This Row],[COFINS]]+Tabela1107[[#This Row],[CONTRIB. FOLHA]]+Tabela1107[[#This Row],[TRIBUTOS S/ LUCRO]]+Tabela1107[[#This Row],[OUTROS]]+Tabela1107[[#This Row],[MS]]</f>
        <v>36.74</v>
      </c>
      <c r="BP20" s="97">
        <f>+Tabela1107[[#This Row],[PIS]]+Tabela1107[[#This Row],[COFINS]]+Tabela1107[[#This Row],[CONTRIB. FOLHA]]+Tabela1107[[#This Row],[TRIBUTOS S/ LUCRO]]+Tabela1107[[#This Row],[OUTROS]]+Tabela1107[[#This Row],[DF]]</f>
        <v>36.74</v>
      </c>
      <c r="BQ20" s="97">
        <f>+Tabela1107[[#This Row],[PIS]]+Tabela1107[[#This Row],[COFINS]]+Tabela1107[[#This Row],[CONTRIB. FOLHA]]+Tabela1107[[#This Row],[TRIBUTOS S/ LUCRO]]+Tabela1107[[#This Row],[OUTROS]]+Tabela1107[[#This Row],[BA]]</f>
        <v>36.74</v>
      </c>
      <c r="BR20" s="97">
        <f>+Tabela1107[[#This Row],[PIS]]+Tabela1107[[#This Row],[COFINS]]+Tabela1107[[#This Row],[CONTRIB. FOLHA]]+Tabela1107[[#This Row],[TRIBUTOS S/ LUCRO]]+Tabela1107[[#This Row],[OUTROS]]+Tabela1107[[#This Row],[BA]]</f>
        <v>36.74</v>
      </c>
      <c r="BS20" s="97">
        <f>+Tabela1107[[#This Row],[PIS]]+Tabela1107[[#This Row],[COFINS]]+Tabela1107[[#This Row],[CONTRIB. FOLHA]]+Tabela1107[[#This Row],[TRIBUTOS S/ LUCRO]]+Tabela1107[[#This Row],[OUTROS]]+Tabela1107[[#This Row],[PE]]</f>
        <v>36.74</v>
      </c>
      <c r="BT20" s="97">
        <f>+Tabela1107[[#This Row],[PIS]]+Tabela1107[[#This Row],[COFINS]]+Tabela1107[[#This Row],[CONTRIB. FOLHA]]+Tabela1107[[#This Row],[TRIBUTOS S/ LUCRO]]+Tabela1107[[#This Row],[OUTROS]]+Tabela1107[[#This Row],[PA]]</f>
        <v>36.74</v>
      </c>
      <c r="BU20" s="97">
        <f>+Tabela1107[[#This Row],[PIS]]+Tabela1107[[#This Row],[COFINS]]+Tabela1107[[#This Row],[CONTRIB. FOLHA]]+Tabela1107[[#This Row],[TRIBUTOS S/ LUCRO]]+Tabela1107[[#This Row],[OUTROS]]+Tabela1107[[#This Row],[AM]]</f>
        <v>36.74</v>
      </c>
      <c r="BV20" s="97">
        <f>AVERAGE(Tabela1107[[#This Row],[TOTAL SP]:[TOTAL AM]])</f>
        <v>36.677500000000002</v>
      </c>
      <c r="BW20" s="97"/>
      <c r="BX20" s="97"/>
    </row>
    <row r="21" spans="2:76" x14ac:dyDescent="0.25">
      <c r="B21" s="89">
        <v>13402</v>
      </c>
      <c r="C21" s="91" t="s">
        <v>13133</v>
      </c>
      <c r="D21" s="89"/>
      <c r="E21" s="89">
        <v>20140626</v>
      </c>
      <c r="F21" s="89" t="s">
        <v>21252</v>
      </c>
      <c r="G21" s="89" t="s">
        <v>21253</v>
      </c>
      <c r="H21" s="89" t="s">
        <v>21254</v>
      </c>
      <c r="I21" s="89" t="s">
        <v>21255</v>
      </c>
      <c r="J21" s="89" t="s">
        <v>156</v>
      </c>
      <c r="K21" s="89" t="s">
        <v>2441</v>
      </c>
      <c r="L21" s="89" t="s">
        <v>2614</v>
      </c>
      <c r="M21" s="89" t="s">
        <v>4496</v>
      </c>
      <c r="N21" s="89" t="s">
        <v>4496</v>
      </c>
      <c r="O21" s="89" t="s">
        <v>4496</v>
      </c>
      <c r="P21" s="89" t="s">
        <v>4496</v>
      </c>
      <c r="Q21" s="89"/>
      <c r="R21" s="89" t="s">
        <v>157</v>
      </c>
      <c r="S21" s="89" t="s">
        <v>21682</v>
      </c>
      <c r="T21" s="89" t="s">
        <v>21683</v>
      </c>
      <c r="U21" s="89" t="str">
        <f>TRIM('Carga Tributária doenças Po (2'!$L21)</f>
        <v>IBUPROFENO</v>
      </c>
      <c r="V21" s="89">
        <f>SUMIFS('Tabela Federal'!$E$4:$E$2069,'Tabela Federal'!$D$4:$D$2069,'Carga Tributária doenças Po (2'!$L21)</f>
        <v>2</v>
      </c>
      <c r="W21" s="89">
        <f>SUMIFS('Tabela Federal'!$E$4:$E$2069,'Tabela Federal'!$D$4:$D$2069,'Carga Tributária doenças Po (2'!$M21)</f>
        <v>0</v>
      </c>
      <c r="X21" s="89">
        <f>SUMIFS('Tabela Federal'!$E$4:$E$2069,'Tabela Federal'!$D$4:$D$2069,'Carga Tributária doenças Po (2'!$N21)</f>
        <v>0</v>
      </c>
      <c r="Y21" s="89">
        <f>SUMIFS('Tabela Federal'!$E$4:$E$2069,'Tabela Federal'!$D$4:$D$2069,'Carga Tributária doenças Po (2'!$O21)</f>
        <v>0</v>
      </c>
      <c r="Z21" s="92" t="str">
        <f>VLOOKUP('Carga Tributária doenças Po (2'!$AD21,'Carga Tributária doenças Po (2'!$CA$12:$CC$16,2,0)</f>
        <v>-</v>
      </c>
      <c r="AA21" s="89" t="s">
        <v>7</v>
      </c>
      <c r="AB21" s="89" t="s">
        <v>21765</v>
      </c>
      <c r="AC21" s="89" t="s">
        <v>21740</v>
      </c>
      <c r="AD21" s="93" t="s">
        <v>19523</v>
      </c>
      <c r="AE21" s="92" t="s">
        <v>2</v>
      </c>
      <c r="AF21" s="92" t="s">
        <v>3</v>
      </c>
      <c r="AG21" s="94">
        <v>3104441</v>
      </c>
      <c r="AH21" s="95">
        <v>15127292</v>
      </c>
      <c r="AI21" s="95">
        <v>34569972.380000003</v>
      </c>
      <c r="AJ21" s="89" t="s">
        <v>559</v>
      </c>
      <c r="AK21" s="89">
        <f>IF('Carga Tributária doenças Po (2'!$Z21="+",0,SUMIFS(PISCOFINS!$I$3:$I$10518,PISCOFINS!$C$3:$C$10518,'Carga Tributária doenças Po (2'!$C21))</f>
        <v>2.1</v>
      </c>
      <c r="AL21" s="89">
        <f>IF('Carga Tributária doenças Po (2'!$Z21="+",0,SUMIFS(PISCOFINS!$H$3:$H$10518,PISCOFINS!$C$3:$C$10518,'Carga Tributária doenças Po (2'!$C21))</f>
        <v>9.9</v>
      </c>
      <c r="AM21" s="95">
        <v>3.27</v>
      </c>
      <c r="AN21" s="95">
        <v>3.12</v>
      </c>
      <c r="AO21" s="95">
        <v>1.35</v>
      </c>
      <c r="AP21" s="96">
        <v>18</v>
      </c>
      <c r="AQ21" s="96">
        <v>12</v>
      </c>
      <c r="AR21" s="96">
        <v>17</v>
      </c>
      <c r="AS21" s="97">
        <v>17</v>
      </c>
      <c r="AT21" s="97">
        <v>19</v>
      </c>
      <c r="AU21" s="97">
        <v>18</v>
      </c>
      <c r="AV21" s="97">
        <v>17</v>
      </c>
      <c r="AW21" s="97">
        <v>17</v>
      </c>
      <c r="AX21" s="97">
        <v>17</v>
      </c>
      <c r="AY21" s="97">
        <v>17</v>
      </c>
      <c r="AZ21" s="97">
        <v>17</v>
      </c>
      <c r="BA21" s="97">
        <v>17</v>
      </c>
      <c r="BB21" s="97">
        <v>17</v>
      </c>
      <c r="BC21" s="97">
        <v>17</v>
      </c>
      <c r="BD21" s="97">
        <v>17</v>
      </c>
      <c r="BE21" s="97">
        <v>17</v>
      </c>
      <c r="BF21" s="97">
        <f>+Tabela1107[[#This Row],[PIS]]+Tabela1107[[#This Row],[COFINS]]+Tabela1107[[#This Row],[CONTRIB. FOLHA]]+Tabela1107[[#This Row],[TRIBUTOS S/ LUCRO]]+Tabela1107[[#This Row],[OUTROS]]+Tabela1107[[#This Row],[SP]]</f>
        <v>37.74</v>
      </c>
      <c r="BG21" s="97">
        <f>+Tabela1107[[#This Row],[PIS]]+Tabela1107[[#This Row],[COFINS]]+Tabela1107[[#This Row],[CONTRIB. FOLHA]]+Tabela1107[[#This Row],[TRIBUTOS S/ LUCRO]]+Tabela1107[[#This Row],[OUTROS]]+Tabela1107[[#This Row],[PR]]</f>
        <v>31.740000000000002</v>
      </c>
      <c r="BH21" s="97">
        <f>+Tabela1107[[#This Row],[PIS]]+Tabela1107[[#This Row],[COFINS]]+Tabela1107[[#This Row],[CONTRIB. FOLHA]]+Tabela1107[[#This Row],[TRIBUTOS S/ LUCRO]]+Tabela1107[[#This Row],[OUTROS]]+Tabela1107[[#This Row],[SC]]</f>
        <v>36.74</v>
      </c>
      <c r="BI21" s="97">
        <f>+Tabela1107[[#This Row],[PIS]]+Tabela1107[[#This Row],[COFINS]]+Tabela1107[[#This Row],[CONTRIB. FOLHA]]+Tabela1107[[#This Row],[TRIBUTOS S/ LUCRO]]+Tabela1107[[#This Row],[OUTROS]]+Tabela1107[[#This Row],[RS]]</f>
        <v>36.74</v>
      </c>
      <c r="BJ21" s="97">
        <f>+Tabela1107[[#This Row],[PIS]]+Tabela1107[[#This Row],[COFINS]]+Tabela1107[[#This Row],[CONTRIB. FOLHA]]+Tabela1107[[#This Row],[TRIBUTOS S/ LUCRO]]+Tabela1107[[#This Row],[OUTROS]]+Tabela1107[[#This Row],[RJ]]</f>
        <v>38.74</v>
      </c>
      <c r="BK21" s="97">
        <f>+Tabela1107[[#This Row],[PIS]]+Tabela1107[[#This Row],[COFINS]]+Tabela1107[[#This Row],[CONTRIB. FOLHA]]+Tabela1107[[#This Row],[TRIBUTOS S/ LUCRO]]+Tabela1107[[#This Row],[OUTROS]]+Tabela1107[[#This Row],[MG]]</f>
        <v>37.74</v>
      </c>
      <c r="BL21" s="97">
        <f>+Tabela1107[[#This Row],[PIS]]+Tabela1107[[#This Row],[COFINS]]+Tabela1107[[#This Row],[CONTRIB. FOLHA]]+Tabela1107[[#This Row],[TRIBUTOS S/ LUCRO]]+Tabela1107[[#This Row],[OUTROS]]+Tabela1107[[#This Row],[ES]]</f>
        <v>36.74</v>
      </c>
      <c r="BM21" s="97">
        <f>+Tabela1107[[#This Row],[PIS]]+Tabela1107[[#This Row],[COFINS]]+Tabela1107[[#This Row],[CONTRIB. FOLHA]]+Tabela1107[[#This Row],[TRIBUTOS S/ LUCRO]]+Tabela1107[[#This Row],[OUTROS]]+Tabela1107[[#This Row],[GO]]</f>
        <v>36.74</v>
      </c>
      <c r="BN21" s="97">
        <f>+Tabela1107[[#This Row],[PIS]]+Tabela1107[[#This Row],[COFINS]]+Tabela1107[[#This Row],[CONTRIB. FOLHA]]+Tabela1107[[#This Row],[TRIBUTOS S/ LUCRO]]+Tabela1107[[#This Row],[OUTROS]]+Tabela1107[[#This Row],[MT]]</f>
        <v>36.74</v>
      </c>
      <c r="BO21" s="97">
        <f>+Tabela1107[[#This Row],[PIS]]+Tabela1107[[#This Row],[COFINS]]+Tabela1107[[#This Row],[CONTRIB. FOLHA]]+Tabela1107[[#This Row],[TRIBUTOS S/ LUCRO]]+Tabela1107[[#This Row],[OUTROS]]+Tabela1107[[#This Row],[MS]]</f>
        <v>36.74</v>
      </c>
      <c r="BP21" s="97">
        <f>+Tabela1107[[#This Row],[PIS]]+Tabela1107[[#This Row],[COFINS]]+Tabela1107[[#This Row],[CONTRIB. FOLHA]]+Tabela1107[[#This Row],[TRIBUTOS S/ LUCRO]]+Tabela1107[[#This Row],[OUTROS]]+Tabela1107[[#This Row],[DF]]</f>
        <v>36.74</v>
      </c>
      <c r="BQ21" s="97">
        <f>+Tabela1107[[#This Row],[PIS]]+Tabela1107[[#This Row],[COFINS]]+Tabela1107[[#This Row],[CONTRIB. FOLHA]]+Tabela1107[[#This Row],[TRIBUTOS S/ LUCRO]]+Tabela1107[[#This Row],[OUTROS]]+Tabela1107[[#This Row],[BA]]</f>
        <v>36.74</v>
      </c>
      <c r="BR21" s="97">
        <f>+Tabela1107[[#This Row],[PIS]]+Tabela1107[[#This Row],[COFINS]]+Tabela1107[[#This Row],[CONTRIB. FOLHA]]+Tabela1107[[#This Row],[TRIBUTOS S/ LUCRO]]+Tabela1107[[#This Row],[OUTROS]]+Tabela1107[[#This Row],[BA]]</f>
        <v>36.74</v>
      </c>
      <c r="BS21" s="97">
        <f>+Tabela1107[[#This Row],[PIS]]+Tabela1107[[#This Row],[COFINS]]+Tabela1107[[#This Row],[CONTRIB. FOLHA]]+Tabela1107[[#This Row],[TRIBUTOS S/ LUCRO]]+Tabela1107[[#This Row],[OUTROS]]+Tabela1107[[#This Row],[PE]]</f>
        <v>36.74</v>
      </c>
      <c r="BT21" s="97">
        <f>+Tabela1107[[#This Row],[PIS]]+Tabela1107[[#This Row],[COFINS]]+Tabela1107[[#This Row],[CONTRIB. FOLHA]]+Tabela1107[[#This Row],[TRIBUTOS S/ LUCRO]]+Tabela1107[[#This Row],[OUTROS]]+Tabela1107[[#This Row],[PA]]</f>
        <v>36.74</v>
      </c>
      <c r="BU21" s="97">
        <f>+Tabela1107[[#This Row],[PIS]]+Tabela1107[[#This Row],[COFINS]]+Tabela1107[[#This Row],[CONTRIB. FOLHA]]+Tabela1107[[#This Row],[TRIBUTOS S/ LUCRO]]+Tabela1107[[#This Row],[OUTROS]]+Tabela1107[[#This Row],[AM]]</f>
        <v>36.74</v>
      </c>
      <c r="BV21" s="97">
        <f>AVERAGE(Tabela1107[[#This Row],[TOTAL SP]:[TOTAL AM]])</f>
        <v>36.677500000000002</v>
      </c>
      <c r="BW21" s="97"/>
      <c r="BX21" s="97"/>
    </row>
    <row r="22" spans="2:76" x14ac:dyDescent="0.25">
      <c r="B22" s="89">
        <v>19249</v>
      </c>
      <c r="C22" s="91" t="s">
        <v>13183</v>
      </c>
      <c r="D22" s="89"/>
      <c r="E22" s="89">
        <v>20140626</v>
      </c>
      <c r="F22" s="89" t="s">
        <v>21454</v>
      </c>
      <c r="G22" s="89" t="s">
        <v>21455</v>
      </c>
      <c r="H22" s="89" t="s">
        <v>21456</v>
      </c>
      <c r="I22" s="89" t="s">
        <v>21457</v>
      </c>
      <c r="J22" s="89" t="s">
        <v>177</v>
      </c>
      <c r="K22" s="89" t="s">
        <v>2452</v>
      </c>
      <c r="L22" s="89" t="s">
        <v>2799</v>
      </c>
      <c r="M22" s="89" t="s">
        <v>4496</v>
      </c>
      <c r="N22" s="89" t="s">
        <v>4496</v>
      </c>
      <c r="O22" s="89" t="s">
        <v>4496</v>
      </c>
      <c r="P22" s="89" t="s">
        <v>4496</v>
      </c>
      <c r="Q22" s="89"/>
      <c r="R22" s="89" t="s">
        <v>64</v>
      </c>
      <c r="S22" s="89" t="s">
        <v>21698</v>
      </c>
      <c r="T22" s="89" t="s">
        <v>21699</v>
      </c>
      <c r="U22" s="89" t="str">
        <f>TRIM('Carga Tributária doenças Po (2'!$L22)</f>
        <v>ACIDO FOLICO</v>
      </c>
      <c r="V22" s="89">
        <f>SUMIFS('Tabela Federal'!$E$4:$E$2069,'Tabela Federal'!$D$4:$D$2069,'Carga Tributária doenças Po (2'!$L22)</f>
        <v>1</v>
      </c>
      <c r="W22" s="89">
        <f>SUMIFS('Tabela Federal'!$E$4:$E$2069,'Tabela Federal'!$D$4:$D$2069,'Carga Tributária doenças Po (2'!$M22)</f>
        <v>0</v>
      </c>
      <c r="X22" s="89">
        <f>SUMIFS('Tabela Federal'!$E$4:$E$2069,'Tabela Federal'!$D$4:$D$2069,'Carga Tributária doenças Po (2'!$N22)</f>
        <v>0</v>
      </c>
      <c r="Y22" s="89">
        <f>SUMIFS('Tabela Federal'!$E$4:$E$2069,'Tabela Federal'!$D$4:$D$2069,'Carga Tributária doenças Po (2'!$O22)</f>
        <v>0</v>
      </c>
      <c r="Z22" s="92" t="str">
        <f>VLOOKUP('Carga Tributária doenças Po (2'!$AD22,'Carga Tributária doenças Po (2'!$CA$12:$CC$16,2,0)</f>
        <v>-</v>
      </c>
      <c r="AA22" s="89" t="s">
        <v>176</v>
      </c>
      <c r="AB22" s="89" t="s">
        <v>21736</v>
      </c>
      <c r="AC22" s="89" t="s">
        <v>21721</v>
      </c>
      <c r="AD22" s="93" t="s">
        <v>19523</v>
      </c>
      <c r="AE22" s="92" t="s">
        <v>2</v>
      </c>
      <c r="AF22" s="92" t="s">
        <v>3</v>
      </c>
      <c r="AG22" s="94">
        <v>734175</v>
      </c>
      <c r="AH22" s="95">
        <v>1757030</v>
      </c>
      <c r="AI22" s="95">
        <v>4016935.98</v>
      </c>
      <c r="AJ22" s="89" t="s">
        <v>174</v>
      </c>
      <c r="AK22" s="89">
        <f>IF('Carga Tributária doenças Po (2'!$Z22="+",0,SUMIFS(PISCOFINS!$I$3:$I$10518,PISCOFINS!$C$3:$C$10518,'Carga Tributária doenças Po (2'!$C22))</f>
        <v>2.1</v>
      </c>
      <c r="AL22" s="89">
        <f>IF('Carga Tributária doenças Po (2'!$Z22="+",0,SUMIFS(PISCOFINS!$H$3:$H$10518,PISCOFINS!$C$3:$C$10518,'Carga Tributária doenças Po (2'!$C22))</f>
        <v>9.9</v>
      </c>
      <c r="AM22" s="95">
        <v>3.27</v>
      </c>
      <c r="AN22" s="95">
        <v>3.12</v>
      </c>
      <c r="AO22" s="95">
        <v>1.35</v>
      </c>
      <c r="AP22" s="96">
        <v>18</v>
      </c>
      <c r="AQ22" s="96">
        <v>12</v>
      </c>
      <c r="AR22" s="96">
        <v>17</v>
      </c>
      <c r="AS22" s="97">
        <v>17</v>
      </c>
      <c r="AT22" s="97">
        <v>19</v>
      </c>
      <c r="AU22" s="97">
        <v>18</v>
      </c>
      <c r="AV22" s="97">
        <v>17</v>
      </c>
      <c r="AW22" s="97">
        <v>17</v>
      </c>
      <c r="AX22" s="97">
        <v>17</v>
      </c>
      <c r="AY22" s="97">
        <v>17</v>
      </c>
      <c r="AZ22" s="97">
        <v>17</v>
      </c>
      <c r="BA22" s="97">
        <v>17</v>
      </c>
      <c r="BB22" s="97">
        <v>17</v>
      </c>
      <c r="BC22" s="97">
        <v>17</v>
      </c>
      <c r="BD22" s="97">
        <v>17</v>
      </c>
      <c r="BE22" s="97">
        <v>17</v>
      </c>
      <c r="BF22" s="97">
        <f>+Tabela1107[[#This Row],[PIS]]+Tabela1107[[#This Row],[COFINS]]+Tabela1107[[#This Row],[CONTRIB. FOLHA]]+Tabela1107[[#This Row],[TRIBUTOS S/ LUCRO]]+Tabela1107[[#This Row],[OUTROS]]+Tabela1107[[#This Row],[SP]]</f>
        <v>37.74</v>
      </c>
      <c r="BG22" s="97">
        <f>+Tabela1107[[#This Row],[PIS]]+Tabela1107[[#This Row],[COFINS]]+Tabela1107[[#This Row],[CONTRIB. FOLHA]]+Tabela1107[[#This Row],[TRIBUTOS S/ LUCRO]]+Tabela1107[[#This Row],[OUTROS]]+Tabela1107[[#This Row],[PR]]</f>
        <v>31.740000000000002</v>
      </c>
      <c r="BH22" s="97">
        <f>+Tabela1107[[#This Row],[PIS]]+Tabela1107[[#This Row],[COFINS]]+Tabela1107[[#This Row],[CONTRIB. FOLHA]]+Tabela1107[[#This Row],[TRIBUTOS S/ LUCRO]]+Tabela1107[[#This Row],[OUTROS]]+Tabela1107[[#This Row],[SC]]</f>
        <v>36.74</v>
      </c>
      <c r="BI22" s="97">
        <f>+Tabela1107[[#This Row],[PIS]]+Tabela1107[[#This Row],[COFINS]]+Tabela1107[[#This Row],[CONTRIB. FOLHA]]+Tabela1107[[#This Row],[TRIBUTOS S/ LUCRO]]+Tabela1107[[#This Row],[OUTROS]]+Tabela1107[[#This Row],[RS]]</f>
        <v>36.74</v>
      </c>
      <c r="BJ22" s="97">
        <f>+Tabela1107[[#This Row],[PIS]]+Tabela1107[[#This Row],[COFINS]]+Tabela1107[[#This Row],[CONTRIB. FOLHA]]+Tabela1107[[#This Row],[TRIBUTOS S/ LUCRO]]+Tabela1107[[#This Row],[OUTROS]]+Tabela1107[[#This Row],[RJ]]</f>
        <v>38.74</v>
      </c>
      <c r="BK22" s="97">
        <f>+Tabela1107[[#This Row],[PIS]]+Tabela1107[[#This Row],[COFINS]]+Tabela1107[[#This Row],[CONTRIB. FOLHA]]+Tabela1107[[#This Row],[TRIBUTOS S/ LUCRO]]+Tabela1107[[#This Row],[OUTROS]]+Tabela1107[[#This Row],[MG]]</f>
        <v>37.74</v>
      </c>
      <c r="BL22" s="97">
        <f>+Tabela1107[[#This Row],[PIS]]+Tabela1107[[#This Row],[COFINS]]+Tabela1107[[#This Row],[CONTRIB. FOLHA]]+Tabela1107[[#This Row],[TRIBUTOS S/ LUCRO]]+Tabela1107[[#This Row],[OUTROS]]+Tabela1107[[#This Row],[ES]]</f>
        <v>36.74</v>
      </c>
      <c r="BM22" s="97">
        <f>+Tabela1107[[#This Row],[PIS]]+Tabela1107[[#This Row],[COFINS]]+Tabela1107[[#This Row],[CONTRIB. FOLHA]]+Tabela1107[[#This Row],[TRIBUTOS S/ LUCRO]]+Tabela1107[[#This Row],[OUTROS]]+Tabela1107[[#This Row],[GO]]</f>
        <v>36.74</v>
      </c>
      <c r="BN22" s="97">
        <f>+Tabela1107[[#This Row],[PIS]]+Tabela1107[[#This Row],[COFINS]]+Tabela1107[[#This Row],[CONTRIB. FOLHA]]+Tabela1107[[#This Row],[TRIBUTOS S/ LUCRO]]+Tabela1107[[#This Row],[OUTROS]]+Tabela1107[[#This Row],[MT]]</f>
        <v>36.74</v>
      </c>
      <c r="BO22" s="97">
        <f>+Tabela1107[[#This Row],[PIS]]+Tabela1107[[#This Row],[COFINS]]+Tabela1107[[#This Row],[CONTRIB. FOLHA]]+Tabela1107[[#This Row],[TRIBUTOS S/ LUCRO]]+Tabela1107[[#This Row],[OUTROS]]+Tabela1107[[#This Row],[MS]]</f>
        <v>36.74</v>
      </c>
      <c r="BP22" s="97">
        <f>+Tabela1107[[#This Row],[PIS]]+Tabela1107[[#This Row],[COFINS]]+Tabela1107[[#This Row],[CONTRIB. FOLHA]]+Tabela1107[[#This Row],[TRIBUTOS S/ LUCRO]]+Tabela1107[[#This Row],[OUTROS]]+Tabela1107[[#This Row],[DF]]</f>
        <v>36.74</v>
      </c>
      <c r="BQ22" s="97">
        <f>+Tabela1107[[#This Row],[PIS]]+Tabela1107[[#This Row],[COFINS]]+Tabela1107[[#This Row],[CONTRIB. FOLHA]]+Tabela1107[[#This Row],[TRIBUTOS S/ LUCRO]]+Tabela1107[[#This Row],[OUTROS]]+Tabela1107[[#This Row],[BA]]</f>
        <v>36.74</v>
      </c>
      <c r="BR22" s="97">
        <f>+Tabela1107[[#This Row],[PIS]]+Tabela1107[[#This Row],[COFINS]]+Tabela1107[[#This Row],[CONTRIB. FOLHA]]+Tabela1107[[#This Row],[TRIBUTOS S/ LUCRO]]+Tabela1107[[#This Row],[OUTROS]]+Tabela1107[[#This Row],[BA]]</f>
        <v>36.74</v>
      </c>
      <c r="BS22" s="97">
        <f>+Tabela1107[[#This Row],[PIS]]+Tabela1107[[#This Row],[COFINS]]+Tabela1107[[#This Row],[CONTRIB. FOLHA]]+Tabela1107[[#This Row],[TRIBUTOS S/ LUCRO]]+Tabela1107[[#This Row],[OUTROS]]+Tabela1107[[#This Row],[PE]]</f>
        <v>36.74</v>
      </c>
      <c r="BT22" s="97">
        <f>+Tabela1107[[#This Row],[PIS]]+Tabela1107[[#This Row],[COFINS]]+Tabela1107[[#This Row],[CONTRIB. FOLHA]]+Tabela1107[[#This Row],[TRIBUTOS S/ LUCRO]]+Tabela1107[[#This Row],[OUTROS]]+Tabela1107[[#This Row],[PA]]</f>
        <v>36.74</v>
      </c>
      <c r="BU22" s="97">
        <f>+Tabela1107[[#This Row],[PIS]]+Tabela1107[[#This Row],[COFINS]]+Tabela1107[[#This Row],[CONTRIB. FOLHA]]+Tabela1107[[#This Row],[TRIBUTOS S/ LUCRO]]+Tabela1107[[#This Row],[OUTROS]]+Tabela1107[[#This Row],[AM]]</f>
        <v>36.74</v>
      </c>
      <c r="BV22" s="97">
        <f>AVERAGE(Tabela1107[[#This Row],[TOTAL SP]:[TOTAL AM]])</f>
        <v>36.677500000000002</v>
      </c>
      <c r="BW22" s="97"/>
      <c r="BX22" s="97"/>
    </row>
    <row r="23" spans="2:76" x14ac:dyDescent="0.25">
      <c r="B23" s="89">
        <v>12201</v>
      </c>
      <c r="C23" s="91" t="s">
        <v>13183</v>
      </c>
      <c r="D23" s="89"/>
      <c r="E23" s="89">
        <v>20140626</v>
      </c>
      <c r="F23" s="89" t="s">
        <v>20887</v>
      </c>
      <c r="G23" s="89" t="s">
        <v>20888</v>
      </c>
      <c r="H23" s="89" t="s">
        <v>20889</v>
      </c>
      <c r="I23" s="89" t="s">
        <v>20890</v>
      </c>
      <c r="J23" s="89" t="s">
        <v>208</v>
      </c>
      <c r="K23" s="99" t="s">
        <v>2453</v>
      </c>
      <c r="L23" s="89" t="s">
        <v>2615</v>
      </c>
      <c r="M23" s="89" t="s">
        <v>4496</v>
      </c>
      <c r="N23" s="89" t="s">
        <v>4496</v>
      </c>
      <c r="O23" s="89" t="s">
        <v>4496</v>
      </c>
      <c r="P23" s="89" t="s">
        <v>4496</v>
      </c>
      <c r="Q23" s="89"/>
      <c r="R23" s="89" t="s">
        <v>39</v>
      </c>
      <c r="S23" s="89" t="s">
        <v>21638</v>
      </c>
      <c r="T23" s="89" t="s">
        <v>21639</v>
      </c>
      <c r="U23" s="89" t="str">
        <f>TRIM('Carga Tributária doenças Po (2'!$L23)</f>
        <v>CITRATO DE SILDENAFILA</v>
      </c>
      <c r="V23" s="89">
        <f>SUMIFS('Tabela Federal'!$E$4:$E$2069,'Tabela Federal'!$D$4:$D$2069,'Carga Tributária doenças Po (2'!$L23)</f>
        <v>1</v>
      </c>
      <c r="W23" s="89">
        <f>SUMIFS('Tabela Federal'!$E$4:$E$2069,'Tabela Federal'!$D$4:$D$2069,'Carga Tributária doenças Po (2'!$M23)</f>
        <v>0</v>
      </c>
      <c r="X23" s="89">
        <f>SUMIFS('Tabela Federal'!$E$4:$E$2069,'Tabela Federal'!$D$4:$D$2069,'Carga Tributária doenças Po (2'!$N23)</f>
        <v>0</v>
      </c>
      <c r="Y23" s="89">
        <f>SUMIFS('Tabela Federal'!$E$4:$E$2069,'Tabela Federal'!$D$4:$D$2069,'Carga Tributária doenças Po (2'!$O23)</f>
        <v>0</v>
      </c>
      <c r="Z23" s="92" t="str">
        <f>VLOOKUP('Carga Tributária doenças Po (2'!$AD23,'Carga Tributária doenças Po (2'!$CA$12:$CC$16,2,0)</f>
        <v>-</v>
      </c>
      <c r="AA23" s="89" t="s">
        <v>205</v>
      </c>
      <c r="AB23" s="89" t="s">
        <v>21791</v>
      </c>
      <c r="AC23" s="89" t="s">
        <v>21721</v>
      </c>
      <c r="AD23" s="93" t="s">
        <v>19523</v>
      </c>
      <c r="AE23" s="92" t="s">
        <v>4</v>
      </c>
      <c r="AF23" s="92" t="s">
        <v>3</v>
      </c>
      <c r="AG23" s="94">
        <v>1588844</v>
      </c>
      <c r="AH23" s="95">
        <v>6152881</v>
      </c>
      <c r="AI23" s="95">
        <v>14045538.140000001</v>
      </c>
      <c r="AJ23" s="89" t="s">
        <v>210</v>
      </c>
      <c r="AK23" s="89">
        <f>IF('Carga Tributária doenças Po (2'!$Z23="+",0,SUMIFS(PISCOFINS!$I$3:$I$10518,PISCOFINS!$C$3:$C$10518,'Carga Tributária doenças Po (2'!$C23))</f>
        <v>2.1</v>
      </c>
      <c r="AL23" s="89">
        <f>IF('Carga Tributária doenças Po (2'!$Z23="+",0,SUMIFS(PISCOFINS!$H$3:$H$10518,PISCOFINS!$C$3:$C$10518,'Carga Tributária doenças Po (2'!$C23))</f>
        <v>9.9</v>
      </c>
      <c r="AM23" s="95">
        <v>3.27</v>
      </c>
      <c r="AN23" s="95">
        <v>3.12</v>
      </c>
      <c r="AO23" s="95">
        <v>1.35</v>
      </c>
      <c r="AP23" s="96">
        <v>18</v>
      </c>
      <c r="AQ23" s="96">
        <v>12</v>
      </c>
      <c r="AR23" s="96">
        <v>17</v>
      </c>
      <c r="AS23" s="97">
        <v>17</v>
      </c>
      <c r="AT23" s="97">
        <v>19</v>
      </c>
      <c r="AU23" s="97">
        <v>18</v>
      </c>
      <c r="AV23" s="97">
        <v>17</v>
      </c>
      <c r="AW23" s="97">
        <v>17</v>
      </c>
      <c r="AX23" s="97">
        <v>17</v>
      </c>
      <c r="AY23" s="97">
        <v>17</v>
      </c>
      <c r="AZ23" s="97">
        <v>17</v>
      </c>
      <c r="BA23" s="97">
        <v>17</v>
      </c>
      <c r="BB23" s="97">
        <v>17</v>
      </c>
      <c r="BC23" s="97">
        <v>17</v>
      </c>
      <c r="BD23" s="97">
        <v>17</v>
      </c>
      <c r="BE23" s="97">
        <v>17</v>
      </c>
      <c r="BF23" s="97">
        <f>+Tabela1107[[#This Row],[PIS]]+Tabela1107[[#This Row],[COFINS]]+Tabela1107[[#This Row],[CONTRIB. FOLHA]]+Tabela1107[[#This Row],[TRIBUTOS S/ LUCRO]]+Tabela1107[[#This Row],[OUTROS]]+Tabela1107[[#This Row],[SP]]</f>
        <v>37.74</v>
      </c>
      <c r="BG23" s="97">
        <f>+Tabela1107[[#This Row],[PIS]]+Tabela1107[[#This Row],[COFINS]]+Tabela1107[[#This Row],[CONTRIB. FOLHA]]+Tabela1107[[#This Row],[TRIBUTOS S/ LUCRO]]+Tabela1107[[#This Row],[OUTROS]]+Tabela1107[[#This Row],[PR]]</f>
        <v>31.740000000000002</v>
      </c>
      <c r="BH23" s="97">
        <f>+Tabela1107[[#This Row],[PIS]]+Tabela1107[[#This Row],[COFINS]]+Tabela1107[[#This Row],[CONTRIB. FOLHA]]+Tabela1107[[#This Row],[TRIBUTOS S/ LUCRO]]+Tabela1107[[#This Row],[OUTROS]]+Tabela1107[[#This Row],[SC]]</f>
        <v>36.74</v>
      </c>
      <c r="BI23" s="97">
        <f>+Tabela1107[[#This Row],[PIS]]+Tabela1107[[#This Row],[COFINS]]+Tabela1107[[#This Row],[CONTRIB. FOLHA]]+Tabela1107[[#This Row],[TRIBUTOS S/ LUCRO]]+Tabela1107[[#This Row],[OUTROS]]+Tabela1107[[#This Row],[RS]]</f>
        <v>36.74</v>
      </c>
      <c r="BJ23" s="97">
        <f>+Tabela1107[[#This Row],[PIS]]+Tabela1107[[#This Row],[COFINS]]+Tabela1107[[#This Row],[CONTRIB. FOLHA]]+Tabela1107[[#This Row],[TRIBUTOS S/ LUCRO]]+Tabela1107[[#This Row],[OUTROS]]+Tabela1107[[#This Row],[RJ]]</f>
        <v>38.74</v>
      </c>
      <c r="BK23" s="97">
        <f>+Tabela1107[[#This Row],[PIS]]+Tabela1107[[#This Row],[COFINS]]+Tabela1107[[#This Row],[CONTRIB. FOLHA]]+Tabela1107[[#This Row],[TRIBUTOS S/ LUCRO]]+Tabela1107[[#This Row],[OUTROS]]+Tabela1107[[#This Row],[MG]]</f>
        <v>37.74</v>
      </c>
      <c r="BL23" s="97">
        <f>+Tabela1107[[#This Row],[PIS]]+Tabela1107[[#This Row],[COFINS]]+Tabela1107[[#This Row],[CONTRIB. FOLHA]]+Tabela1107[[#This Row],[TRIBUTOS S/ LUCRO]]+Tabela1107[[#This Row],[OUTROS]]+Tabela1107[[#This Row],[ES]]</f>
        <v>36.74</v>
      </c>
      <c r="BM23" s="97">
        <f>+Tabela1107[[#This Row],[PIS]]+Tabela1107[[#This Row],[COFINS]]+Tabela1107[[#This Row],[CONTRIB. FOLHA]]+Tabela1107[[#This Row],[TRIBUTOS S/ LUCRO]]+Tabela1107[[#This Row],[OUTROS]]+Tabela1107[[#This Row],[GO]]</f>
        <v>36.74</v>
      </c>
      <c r="BN23" s="97">
        <f>+Tabela1107[[#This Row],[PIS]]+Tabela1107[[#This Row],[COFINS]]+Tabela1107[[#This Row],[CONTRIB. FOLHA]]+Tabela1107[[#This Row],[TRIBUTOS S/ LUCRO]]+Tabela1107[[#This Row],[OUTROS]]+Tabela1107[[#This Row],[MT]]</f>
        <v>36.74</v>
      </c>
      <c r="BO23" s="97">
        <f>+Tabela1107[[#This Row],[PIS]]+Tabela1107[[#This Row],[COFINS]]+Tabela1107[[#This Row],[CONTRIB. FOLHA]]+Tabela1107[[#This Row],[TRIBUTOS S/ LUCRO]]+Tabela1107[[#This Row],[OUTROS]]+Tabela1107[[#This Row],[MS]]</f>
        <v>36.74</v>
      </c>
      <c r="BP23" s="97">
        <f>+Tabela1107[[#This Row],[PIS]]+Tabela1107[[#This Row],[COFINS]]+Tabela1107[[#This Row],[CONTRIB. FOLHA]]+Tabela1107[[#This Row],[TRIBUTOS S/ LUCRO]]+Tabela1107[[#This Row],[OUTROS]]+Tabela1107[[#This Row],[DF]]</f>
        <v>36.74</v>
      </c>
      <c r="BQ23" s="97">
        <f>+Tabela1107[[#This Row],[PIS]]+Tabela1107[[#This Row],[COFINS]]+Tabela1107[[#This Row],[CONTRIB. FOLHA]]+Tabela1107[[#This Row],[TRIBUTOS S/ LUCRO]]+Tabela1107[[#This Row],[OUTROS]]+Tabela1107[[#This Row],[BA]]</f>
        <v>36.74</v>
      </c>
      <c r="BR23" s="97">
        <f>+Tabela1107[[#This Row],[PIS]]+Tabela1107[[#This Row],[COFINS]]+Tabela1107[[#This Row],[CONTRIB. FOLHA]]+Tabela1107[[#This Row],[TRIBUTOS S/ LUCRO]]+Tabela1107[[#This Row],[OUTROS]]+Tabela1107[[#This Row],[BA]]</f>
        <v>36.74</v>
      </c>
      <c r="BS23" s="97">
        <f>+Tabela1107[[#This Row],[PIS]]+Tabela1107[[#This Row],[COFINS]]+Tabela1107[[#This Row],[CONTRIB. FOLHA]]+Tabela1107[[#This Row],[TRIBUTOS S/ LUCRO]]+Tabela1107[[#This Row],[OUTROS]]+Tabela1107[[#This Row],[PE]]</f>
        <v>36.74</v>
      </c>
      <c r="BT23" s="97">
        <f>+Tabela1107[[#This Row],[PIS]]+Tabela1107[[#This Row],[COFINS]]+Tabela1107[[#This Row],[CONTRIB. FOLHA]]+Tabela1107[[#This Row],[TRIBUTOS S/ LUCRO]]+Tabela1107[[#This Row],[OUTROS]]+Tabela1107[[#This Row],[PA]]</f>
        <v>36.74</v>
      </c>
      <c r="BU23" s="97">
        <f>+Tabela1107[[#This Row],[PIS]]+Tabela1107[[#This Row],[COFINS]]+Tabela1107[[#This Row],[CONTRIB. FOLHA]]+Tabela1107[[#This Row],[TRIBUTOS S/ LUCRO]]+Tabela1107[[#This Row],[OUTROS]]+Tabela1107[[#This Row],[AM]]</f>
        <v>36.74</v>
      </c>
      <c r="BV23" s="97">
        <f>AVERAGE(Tabela1107[[#This Row],[TOTAL SP]:[TOTAL AM]])</f>
        <v>36.677500000000002</v>
      </c>
      <c r="BW23" s="97"/>
      <c r="BX23" s="97"/>
    </row>
    <row r="24" spans="2:76" x14ac:dyDescent="0.25">
      <c r="B24" s="89">
        <v>14991</v>
      </c>
      <c r="C24" s="91" t="s">
        <v>13168</v>
      </c>
      <c r="D24" s="89"/>
      <c r="E24" s="89">
        <v>20140626</v>
      </c>
      <c r="F24" s="89" t="s">
        <v>20243</v>
      </c>
      <c r="G24" s="89" t="s">
        <v>20244</v>
      </c>
      <c r="H24" s="89" t="s">
        <v>20245</v>
      </c>
      <c r="I24" s="89" t="s">
        <v>20246</v>
      </c>
      <c r="J24" s="89" t="s">
        <v>308</v>
      </c>
      <c r="K24" s="89" t="s">
        <v>2454</v>
      </c>
      <c r="L24" s="89" t="s">
        <v>2616</v>
      </c>
      <c r="M24" s="89" t="s">
        <v>4496</v>
      </c>
      <c r="N24" s="89" t="s">
        <v>4496</v>
      </c>
      <c r="O24" s="89" t="s">
        <v>4496</v>
      </c>
      <c r="P24" s="89" t="s">
        <v>4496</v>
      </c>
      <c r="Q24" s="89"/>
      <c r="R24" s="89" t="s">
        <v>9</v>
      </c>
      <c r="S24" s="89" t="s">
        <v>21564</v>
      </c>
      <c r="T24" s="89" t="s">
        <v>21565</v>
      </c>
      <c r="U24" s="89" t="str">
        <f>TRIM('Carga Tributária doenças Po (2'!$L24)</f>
        <v>CLORIDRATO DE BIPERIDENO</v>
      </c>
      <c r="V24" s="89">
        <f>SUMIFS('Tabela Federal'!$E$4:$E$2069,'Tabela Federal'!$D$4:$D$2069,'Carga Tributária doenças Po (2'!$L24)</f>
        <v>1</v>
      </c>
      <c r="W24" s="89">
        <f>SUMIFS('Tabela Federal'!$E$4:$E$2069,'Tabela Federal'!$D$4:$D$2069,'Carga Tributária doenças Po (2'!$M24)</f>
        <v>0</v>
      </c>
      <c r="X24" s="89">
        <f>SUMIFS('Tabela Federal'!$E$4:$E$2069,'Tabela Federal'!$D$4:$D$2069,'Carga Tributária doenças Po (2'!$N24)</f>
        <v>0</v>
      </c>
      <c r="Y24" s="89">
        <f>SUMIFS('Tabela Federal'!$E$4:$E$2069,'Tabela Federal'!$D$4:$D$2069,'Carga Tributária doenças Po (2'!$O24)</f>
        <v>0</v>
      </c>
      <c r="Z24" s="92" t="str">
        <f>VLOOKUP('Carga Tributária doenças Po (2'!$AD24,'Carga Tributária doenças Po (2'!$CA$12:$CC$16,2,0)</f>
        <v>+</v>
      </c>
      <c r="AA24" s="89" t="s">
        <v>305</v>
      </c>
      <c r="AB24" s="89" t="s">
        <v>21871</v>
      </c>
      <c r="AC24" s="89" t="s">
        <v>21721</v>
      </c>
      <c r="AD24" s="93" t="s">
        <v>21722</v>
      </c>
      <c r="AE24" s="92" t="s">
        <v>2</v>
      </c>
      <c r="AF24" s="92" t="s">
        <v>23</v>
      </c>
      <c r="AG24" s="94">
        <v>553221</v>
      </c>
      <c r="AH24" s="95">
        <v>5005449</v>
      </c>
      <c r="AI24" s="95">
        <v>11426125.449999999</v>
      </c>
      <c r="AJ24" s="89" t="s">
        <v>316</v>
      </c>
      <c r="AK24" s="89">
        <f>IF('Carga Tributária doenças Po (2'!$Z24="+",0,SUMIFS(PISCOFINS!$I$3:$I$10518,PISCOFINS!$C$3:$C$10518,'Carga Tributária doenças Po (2'!$C24))</f>
        <v>0</v>
      </c>
      <c r="AL24" s="89">
        <f>IF('Carga Tributária doenças Po (2'!$Z24="+",0,SUMIFS(PISCOFINS!$H$3:$H$10518,PISCOFINS!$C$3:$C$10518,'Carga Tributária doenças Po (2'!$C24))</f>
        <v>0</v>
      </c>
      <c r="AM24" s="95">
        <v>3.27</v>
      </c>
      <c r="AN24" s="95">
        <v>3.12</v>
      </c>
      <c r="AO24" s="95">
        <v>1.35</v>
      </c>
      <c r="AP24" s="96">
        <v>18</v>
      </c>
      <c r="AQ24" s="96">
        <v>12</v>
      </c>
      <c r="AR24" s="96">
        <v>17</v>
      </c>
      <c r="AS24" s="97">
        <v>17</v>
      </c>
      <c r="AT24" s="97">
        <v>19</v>
      </c>
      <c r="AU24" s="97">
        <v>18</v>
      </c>
      <c r="AV24" s="97">
        <v>17</v>
      </c>
      <c r="AW24" s="97">
        <v>17</v>
      </c>
      <c r="AX24" s="97">
        <v>17</v>
      </c>
      <c r="AY24" s="97">
        <v>17</v>
      </c>
      <c r="AZ24" s="97">
        <v>17</v>
      </c>
      <c r="BA24" s="97">
        <v>17</v>
      </c>
      <c r="BB24" s="97">
        <v>17</v>
      </c>
      <c r="BC24" s="97">
        <v>17</v>
      </c>
      <c r="BD24" s="97">
        <v>17</v>
      </c>
      <c r="BE24" s="97">
        <v>17</v>
      </c>
      <c r="BF24" s="97">
        <f>+Tabela1107[[#This Row],[PIS]]+Tabela1107[[#This Row],[COFINS]]+Tabela1107[[#This Row],[CONTRIB. FOLHA]]+Tabela1107[[#This Row],[TRIBUTOS S/ LUCRO]]+Tabela1107[[#This Row],[OUTROS]]+Tabela1107[[#This Row],[SP]]</f>
        <v>25.740000000000002</v>
      </c>
      <c r="BG24" s="97">
        <f>+Tabela1107[[#This Row],[PIS]]+Tabela1107[[#This Row],[COFINS]]+Tabela1107[[#This Row],[CONTRIB. FOLHA]]+Tabela1107[[#This Row],[TRIBUTOS S/ LUCRO]]+Tabela1107[[#This Row],[OUTROS]]+Tabela1107[[#This Row],[PR]]</f>
        <v>19.740000000000002</v>
      </c>
      <c r="BH24" s="97">
        <f>+Tabela1107[[#This Row],[PIS]]+Tabela1107[[#This Row],[COFINS]]+Tabela1107[[#This Row],[CONTRIB. FOLHA]]+Tabela1107[[#This Row],[TRIBUTOS S/ LUCRO]]+Tabela1107[[#This Row],[OUTROS]]+Tabela1107[[#This Row],[SC]]</f>
        <v>24.740000000000002</v>
      </c>
      <c r="BI24" s="97">
        <f>+Tabela1107[[#This Row],[PIS]]+Tabela1107[[#This Row],[COFINS]]+Tabela1107[[#This Row],[CONTRIB. FOLHA]]+Tabela1107[[#This Row],[TRIBUTOS S/ LUCRO]]+Tabela1107[[#This Row],[OUTROS]]+Tabela1107[[#This Row],[RS]]</f>
        <v>24.740000000000002</v>
      </c>
      <c r="BJ24" s="97">
        <f>+Tabela1107[[#This Row],[PIS]]+Tabela1107[[#This Row],[COFINS]]+Tabela1107[[#This Row],[CONTRIB. FOLHA]]+Tabela1107[[#This Row],[TRIBUTOS S/ LUCRO]]+Tabela1107[[#This Row],[OUTROS]]+Tabela1107[[#This Row],[RJ]]</f>
        <v>26.740000000000002</v>
      </c>
      <c r="BK24" s="97">
        <f>+Tabela1107[[#This Row],[PIS]]+Tabela1107[[#This Row],[COFINS]]+Tabela1107[[#This Row],[CONTRIB. FOLHA]]+Tabela1107[[#This Row],[TRIBUTOS S/ LUCRO]]+Tabela1107[[#This Row],[OUTROS]]+Tabela1107[[#This Row],[MG]]</f>
        <v>25.740000000000002</v>
      </c>
      <c r="BL24" s="97">
        <f>+Tabela1107[[#This Row],[PIS]]+Tabela1107[[#This Row],[COFINS]]+Tabela1107[[#This Row],[CONTRIB. FOLHA]]+Tabela1107[[#This Row],[TRIBUTOS S/ LUCRO]]+Tabela1107[[#This Row],[OUTROS]]+Tabela1107[[#This Row],[ES]]</f>
        <v>24.740000000000002</v>
      </c>
      <c r="BM24" s="97">
        <f>+Tabela1107[[#This Row],[PIS]]+Tabela1107[[#This Row],[COFINS]]+Tabela1107[[#This Row],[CONTRIB. FOLHA]]+Tabela1107[[#This Row],[TRIBUTOS S/ LUCRO]]+Tabela1107[[#This Row],[OUTROS]]+Tabela1107[[#This Row],[GO]]</f>
        <v>24.740000000000002</v>
      </c>
      <c r="BN24" s="97">
        <f>+Tabela1107[[#This Row],[PIS]]+Tabela1107[[#This Row],[COFINS]]+Tabela1107[[#This Row],[CONTRIB. FOLHA]]+Tabela1107[[#This Row],[TRIBUTOS S/ LUCRO]]+Tabela1107[[#This Row],[OUTROS]]+Tabela1107[[#This Row],[MT]]</f>
        <v>24.740000000000002</v>
      </c>
      <c r="BO24" s="97">
        <f>+Tabela1107[[#This Row],[PIS]]+Tabela1107[[#This Row],[COFINS]]+Tabela1107[[#This Row],[CONTRIB. FOLHA]]+Tabela1107[[#This Row],[TRIBUTOS S/ LUCRO]]+Tabela1107[[#This Row],[OUTROS]]+Tabela1107[[#This Row],[MS]]</f>
        <v>24.740000000000002</v>
      </c>
      <c r="BP24" s="97">
        <f>+Tabela1107[[#This Row],[PIS]]+Tabela1107[[#This Row],[COFINS]]+Tabela1107[[#This Row],[CONTRIB. FOLHA]]+Tabela1107[[#This Row],[TRIBUTOS S/ LUCRO]]+Tabela1107[[#This Row],[OUTROS]]+Tabela1107[[#This Row],[DF]]</f>
        <v>24.740000000000002</v>
      </c>
      <c r="BQ24" s="97">
        <f>+Tabela1107[[#This Row],[PIS]]+Tabela1107[[#This Row],[COFINS]]+Tabela1107[[#This Row],[CONTRIB. FOLHA]]+Tabela1107[[#This Row],[TRIBUTOS S/ LUCRO]]+Tabela1107[[#This Row],[OUTROS]]+Tabela1107[[#This Row],[BA]]</f>
        <v>24.740000000000002</v>
      </c>
      <c r="BR24" s="97">
        <f>+Tabela1107[[#This Row],[PIS]]+Tabela1107[[#This Row],[COFINS]]+Tabela1107[[#This Row],[CONTRIB. FOLHA]]+Tabela1107[[#This Row],[TRIBUTOS S/ LUCRO]]+Tabela1107[[#This Row],[OUTROS]]+Tabela1107[[#This Row],[BA]]</f>
        <v>24.740000000000002</v>
      </c>
      <c r="BS24" s="97">
        <f>+Tabela1107[[#This Row],[PIS]]+Tabela1107[[#This Row],[COFINS]]+Tabela1107[[#This Row],[CONTRIB. FOLHA]]+Tabela1107[[#This Row],[TRIBUTOS S/ LUCRO]]+Tabela1107[[#This Row],[OUTROS]]+Tabela1107[[#This Row],[PE]]</f>
        <v>24.740000000000002</v>
      </c>
      <c r="BT24" s="97">
        <f>+Tabela1107[[#This Row],[PIS]]+Tabela1107[[#This Row],[COFINS]]+Tabela1107[[#This Row],[CONTRIB. FOLHA]]+Tabela1107[[#This Row],[TRIBUTOS S/ LUCRO]]+Tabela1107[[#This Row],[OUTROS]]+Tabela1107[[#This Row],[PA]]</f>
        <v>24.740000000000002</v>
      </c>
      <c r="BU24" s="97">
        <f>+Tabela1107[[#This Row],[PIS]]+Tabela1107[[#This Row],[COFINS]]+Tabela1107[[#This Row],[CONTRIB. FOLHA]]+Tabela1107[[#This Row],[TRIBUTOS S/ LUCRO]]+Tabela1107[[#This Row],[OUTROS]]+Tabela1107[[#This Row],[AM]]</f>
        <v>24.740000000000002</v>
      </c>
      <c r="BV24" s="97">
        <f>AVERAGE(Tabela1107[[#This Row],[TOTAL SP]:[TOTAL AM]])</f>
        <v>24.677500000000006</v>
      </c>
      <c r="BW24" s="97"/>
      <c r="BX24" s="97"/>
    </row>
    <row r="25" spans="2:76" x14ac:dyDescent="0.25">
      <c r="B25" s="89">
        <v>20672</v>
      </c>
      <c r="C25" s="91" t="s">
        <v>13159</v>
      </c>
      <c r="D25" s="89"/>
      <c r="E25" s="89">
        <v>20140626</v>
      </c>
      <c r="F25" s="89" t="s">
        <v>21297</v>
      </c>
      <c r="G25" s="89" t="s">
        <v>21298</v>
      </c>
      <c r="H25" s="89" t="s">
        <v>21299</v>
      </c>
      <c r="I25" s="89" t="s">
        <v>21300</v>
      </c>
      <c r="J25" s="89" t="s">
        <v>139</v>
      </c>
      <c r="K25" s="89" t="s">
        <v>2455</v>
      </c>
      <c r="L25" s="89" t="s">
        <v>4346</v>
      </c>
      <c r="M25" s="89" t="s">
        <v>4496</v>
      </c>
      <c r="N25" s="89" t="s">
        <v>4496</v>
      </c>
      <c r="O25" s="89" t="s">
        <v>4496</v>
      </c>
      <c r="P25" s="89" t="s">
        <v>4496</v>
      </c>
      <c r="Q25" s="89"/>
      <c r="R25" s="89" t="s">
        <v>103</v>
      </c>
      <c r="S25" s="89" t="s">
        <v>21690</v>
      </c>
      <c r="T25" s="89" t="s">
        <v>21691</v>
      </c>
      <c r="U25" s="89" t="str">
        <f>TRIM('Carga Tributária doenças Po (2'!$L25)</f>
        <v>ALENDRONATO DE SODIO</v>
      </c>
      <c r="V25" s="89">
        <f>SUMIFS('Tabela Federal'!$E$4:$E$2069,'Tabela Federal'!$D$4:$D$2069,'Carga Tributária doenças Po (2'!$L25)</f>
        <v>3</v>
      </c>
      <c r="W25" s="89">
        <f>SUMIFS('Tabela Federal'!$E$4:$E$2069,'Tabela Federal'!$D$4:$D$2069,'Carga Tributária doenças Po (2'!$M25)</f>
        <v>0</v>
      </c>
      <c r="X25" s="89">
        <f>SUMIFS('Tabela Federal'!$E$4:$E$2069,'Tabela Federal'!$D$4:$D$2069,'Carga Tributária doenças Po (2'!$N25)</f>
        <v>0</v>
      </c>
      <c r="Y25" s="89">
        <f>SUMIFS('Tabela Federal'!$E$4:$E$2069,'Tabela Federal'!$D$4:$D$2069,'Carga Tributária doenças Po (2'!$O25)</f>
        <v>0</v>
      </c>
      <c r="Z25" s="92" t="str">
        <f>VLOOKUP('Carga Tributária doenças Po (2'!$AD25,'Carga Tributária doenças Po (2'!$CA$12:$CC$16,2,0)</f>
        <v>+</v>
      </c>
      <c r="AA25" s="89" t="s">
        <v>138</v>
      </c>
      <c r="AB25" s="89" t="s">
        <v>21891</v>
      </c>
      <c r="AC25" s="89" t="s">
        <v>21721</v>
      </c>
      <c r="AD25" s="93" t="s">
        <v>21722</v>
      </c>
      <c r="AE25" s="92" t="s">
        <v>2</v>
      </c>
      <c r="AF25" s="92" t="s">
        <v>10</v>
      </c>
      <c r="AG25" s="94">
        <v>824735</v>
      </c>
      <c r="AH25" s="95">
        <v>12084077</v>
      </c>
      <c r="AI25" s="95">
        <v>27569931.329999998</v>
      </c>
      <c r="AJ25" s="89" t="s">
        <v>146</v>
      </c>
      <c r="AK25" s="89">
        <f>IF('Carga Tributária doenças Po (2'!$Z25="+",0,SUMIFS(PISCOFINS!$I$3:$I$10518,PISCOFINS!$C$3:$C$10518,'Carga Tributária doenças Po (2'!$C25))</f>
        <v>0</v>
      </c>
      <c r="AL25" s="89">
        <f>IF('Carga Tributária doenças Po (2'!$Z25="+",0,SUMIFS(PISCOFINS!$H$3:$H$10518,PISCOFINS!$C$3:$C$10518,'Carga Tributária doenças Po (2'!$C25))</f>
        <v>0</v>
      </c>
      <c r="AM25" s="95">
        <v>3.27</v>
      </c>
      <c r="AN25" s="95">
        <v>3.12</v>
      </c>
      <c r="AO25" s="95">
        <v>1.35</v>
      </c>
      <c r="AP25" s="96">
        <v>18</v>
      </c>
      <c r="AQ25" s="96">
        <v>12</v>
      </c>
      <c r="AR25" s="96">
        <v>17</v>
      </c>
      <c r="AS25" s="97">
        <v>17</v>
      </c>
      <c r="AT25" s="97">
        <v>19</v>
      </c>
      <c r="AU25" s="97">
        <v>12</v>
      </c>
      <c r="AV25" s="97">
        <v>17</v>
      </c>
      <c r="AW25" s="97">
        <v>17</v>
      </c>
      <c r="AX25" s="97">
        <v>17</v>
      </c>
      <c r="AY25" s="97">
        <v>17</v>
      </c>
      <c r="AZ25" s="97">
        <v>17</v>
      </c>
      <c r="BA25" s="97">
        <v>17</v>
      </c>
      <c r="BB25" s="97">
        <v>17</v>
      </c>
      <c r="BC25" s="97">
        <v>17</v>
      </c>
      <c r="BD25" s="97">
        <v>17</v>
      </c>
      <c r="BE25" s="97">
        <v>17</v>
      </c>
      <c r="BF25" s="97">
        <f>+Tabela1107[[#This Row],[PIS]]+Tabela1107[[#This Row],[COFINS]]+Tabela1107[[#This Row],[CONTRIB. FOLHA]]+Tabela1107[[#This Row],[TRIBUTOS S/ LUCRO]]+Tabela1107[[#This Row],[OUTROS]]+Tabela1107[[#This Row],[SP]]</f>
        <v>25.740000000000002</v>
      </c>
      <c r="BG25" s="97">
        <f>+Tabela1107[[#This Row],[PIS]]+Tabela1107[[#This Row],[COFINS]]+Tabela1107[[#This Row],[CONTRIB. FOLHA]]+Tabela1107[[#This Row],[TRIBUTOS S/ LUCRO]]+Tabela1107[[#This Row],[OUTROS]]+Tabela1107[[#This Row],[PR]]</f>
        <v>19.740000000000002</v>
      </c>
      <c r="BH25" s="97">
        <f>+Tabela1107[[#This Row],[PIS]]+Tabela1107[[#This Row],[COFINS]]+Tabela1107[[#This Row],[CONTRIB. FOLHA]]+Tabela1107[[#This Row],[TRIBUTOS S/ LUCRO]]+Tabela1107[[#This Row],[OUTROS]]+Tabela1107[[#This Row],[SC]]</f>
        <v>24.740000000000002</v>
      </c>
      <c r="BI25" s="97">
        <f>+Tabela1107[[#This Row],[PIS]]+Tabela1107[[#This Row],[COFINS]]+Tabela1107[[#This Row],[CONTRIB. FOLHA]]+Tabela1107[[#This Row],[TRIBUTOS S/ LUCRO]]+Tabela1107[[#This Row],[OUTROS]]+Tabela1107[[#This Row],[RS]]</f>
        <v>24.740000000000002</v>
      </c>
      <c r="BJ25" s="97">
        <f>+Tabela1107[[#This Row],[PIS]]+Tabela1107[[#This Row],[COFINS]]+Tabela1107[[#This Row],[CONTRIB. FOLHA]]+Tabela1107[[#This Row],[TRIBUTOS S/ LUCRO]]+Tabela1107[[#This Row],[OUTROS]]+Tabela1107[[#This Row],[RJ]]</f>
        <v>26.740000000000002</v>
      </c>
      <c r="BK25" s="97">
        <f>+Tabela1107[[#This Row],[PIS]]+Tabela1107[[#This Row],[COFINS]]+Tabela1107[[#This Row],[CONTRIB. FOLHA]]+Tabela1107[[#This Row],[TRIBUTOS S/ LUCRO]]+Tabela1107[[#This Row],[OUTROS]]+Tabela1107[[#This Row],[MG]]</f>
        <v>19.740000000000002</v>
      </c>
      <c r="BL25" s="97">
        <f>+Tabela1107[[#This Row],[PIS]]+Tabela1107[[#This Row],[COFINS]]+Tabela1107[[#This Row],[CONTRIB. FOLHA]]+Tabela1107[[#This Row],[TRIBUTOS S/ LUCRO]]+Tabela1107[[#This Row],[OUTROS]]+Tabela1107[[#This Row],[ES]]</f>
        <v>24.740000000000002</v>
      </c>
      <c r="BM25" s="97">
        <f>+Tabela1107[[#This Row],[PIS]]+Tabela1107[[#This Row],[COFINS]]+Tabela1107[[#This Row],[CONTRIB. FOLHA]]+Tabela1107[[#This Row],[TRIBUTOS S/ LUCRO]]+Tabela1107[[#This Row],[OUTROS]]+Tabela1107[[#This Row],[GO]]</f>
        <v>24.740000000000002</v>
      </c>
      <c r="BN25" s="97">
        <f>+Tabela1107[[#This Row],[PIS]]+Tabela1107[[#This Row],[COFINS]]+Tabela1107[[#This Row],[CONTRIB. FOLHA]]+Tabela1107[[#This Row],[TRIBUTOS S/ LUCRO]]+Tabela1107[[#This Row],[OUTROS]]+Tabela1107[[#This Row],[MT]]</f>
        <v>24.740000000000002</v>
      </c>
      <c r="BO25" s="97">
        <f>+Tabela1107[[#This Row],[PIS]]+Tabela1107[[#This Row],[COFINS]]+Tabela1107[[#This Row],[CONTRIB. FOLHA]]+Tabela1107[[#This Row],[TRIBUTOS S/ LUCRO]]+Tabela1107[[#This Row],[OUTROS]]+Tabela1107[[#This Row],[MS]]</f>
        <v>24.740000000000002</v>
      </c>
      <c r="BP25" s="97">
        <f>+Tabela1107[[#This Row],[PIS]]+Tabela1107[[#This Row],[COFINS]]+Tabela1107[[#This Row],[CONTRIB. FOLHA]]+Tabela1107[[#This Row],[TRIBUTOS S/ LUCRO]]+Tabela1107[[#This Row],[OUTROS]]+Tabela1107[[#This Row],[DF]]</f>
        <v>24.740000000000002</v>
      </c>
      <c r="BQ25" s="97">
        <f>+Tabela1107[[#This Row],[PIS]]+Tabela1107[[#This Row],[COFINS]]+Tabela1107[[#This Row],[CONTRIB. FOLHA]]+Tabela1107[[#This Row],[TRIBUTOS S/ LUCRO]]+Tabela1107[[#This Row],[OUTROS]]+Tabela1107[[#This Row],[BA]]</f>
        <v>24.740000000000002</v>
      </c>
      <c r="BR25" s="97">
        <f>+Tabela1107[[#This Row],[PIS]]+Tabela1107[[#This Row],[COFINS]]+Tabela1107[[#This Row],[CONTRIB. FOLHA]]+Tabela1107[[#This Row],[TRIBUTOS S/ LUCRO]]+Tabela1107[[#This Row],[OUTROS]]+Tabela1107[[#This Row],[BA]]</f>
        <v>24.740000000000002</v>
      </c>
      <c r="BS25" s="97">
        <f>+Tabela1107[[#This Row],[PIS]]+Tabela1107[[#This Row],[COFINS]]+Tabela1107[[#This Row],[CONTRIB. FOLHA]]+Tabela1107[[#This Row],[TRIBUTOS S/ LUCRO]]+Tabela1107[[#This Row],[OUTROS]]+Tabela1107[[#This Row],[PE]]</f>
        <v>24.740000000000002</v>
      </c>
      <c r="BT25" s="97">
        <f>+Tabela1107[[#This Row],[PIS]]+Tabela1107[[#This Row],[COFINS]]+Tabela1107[[#This Row],[CONTRIB. FOLHA]]+Tabela1107[[#This Row],[TRIBUTOS S/ LUCRO]]+Tabela1107[[#This Row],[OUTROS]]+Tabela1107[[#This Row],[PA]]</f>
        <v>24.740000000000002</v>
      </c>
      <c r="BU25" s="97">
        <f>+Tabela1107[[#This Row],[PIS]]+Tabela1107[[#This Row],[COFINS]]+Tabela1107[[#This Row],[CONTRIB. FOLHA]]+Tabela1107[[#This Row],[TRIBUTOS S/ LUCRO]]+Tabela1107[[#This Row],[OUTROS]]+Tabela1107[[#This Row],[AM]]</f>
        <v>24.740000000000002</v>
      </c>
      <c r="BV25" s="97">
        <f>AVERAGE(Tabela1107[[#This Row],[TOTAL SP]:[TOTAL AM]])</f>
        <v>24.302500000000006</v>
      </c>
      <c r="BW25" s="97"/>
      <c r="BX25" s="97"/>
    </row>
    <row r="26" spans="2:76" x14ac:dyDescent="0.25">
      <c r="B26" s="89">
        <v>4013</v>
      </c>
      <c r="C26" s="91" t="s">
        <v>13075</v>
      </c>
      <c r="D26" s="89"/>
      <c r="E26" s="89">
        <v>20140626</v>
      </c>
      <c r="F26" s="89" t="s">
        <v>20260</v>
      </c>
      <c r="G26" s="89" t="s">
        <v>20261</v>
      </c>
      <c r="H26" s="89" t="s">
        <v>20262</v>
      </c>
      <c r="I26" s="89" t="s">
        <v>20263</v>
      </c>
      <c r="J26" s="89" t="s">
        <v>528</v>
      </c>
      <c r="K26" s="89" t="s">
        <v>2456</v>
      </c>
      <c r="L26" s="89" t="s">
        <v>3657</v>
      </c>
      <c r="M26" s="89" t="s">
        <v>2631</v>
      </c>
      <c r="N26" s="89" t="s">
        <v>4496</v>
      </c>
      <c r="O26" s="89" t="s">
        <v>4496</v>
      </c>
      <c r="P26" s="89" t="s">
        <v>4496</v>
      </c>
      <c r="Q26" s="89"/>
      <c r="R26" s="89" t="s">
        <v>1</v>
      </c>
      <c r="S26" s="89" t="s">
        <v>21566</v>
      </c>
      <c r="T26" s="89" t="s">
        <v>21567</v>
      </c>
      <c r="U26" s="89" t="str">
        <f>TRIM('Carga Tributária doenças Po (2'!$L26)</f>
        <v>FUMARATO DE FORMOTEROL</v>
      </c>
      <c r="V26" s="89">
        <f>SUMIFS('Tabela Federal'!$E$4:$E$2069,'Tabela Federal'!$D$4:$D$2069,'Carga Tributária doenças Po (2'!$L26)</f>
        <v>3</v>
      </c>
      <c r="W26" s="89">
        <f>SUMIFS('Tabela Federal'!$E$4:$E$2069,'Tabela Federal'!$D$4:$D$2069,'Carga Tributária doenças Po (2'!$M26)</f>
        <v>2</v>
      </c>
      <c r="X26" s="89">
        <f>SUMIFS('Tabela Federal'!$E$4:$E$2069,'Tabela Federal'!$D$4:$D$2069,'Carga Tributária doenças Po (2'!$N26)</f>
        <v>0</v>
      </c>
      <c r="Y26" s="89">
        <f>SUMIFS('Tabela Federal'!$E$4:$E$2069,'Tabela Federal'!$D$4:$D$2069,'Carga Tributária doenças Po (2'!$O26)</f>
        <v>0</v>
      </c>
      <c r="Z26" s="92" t="str">
        <f>VLOOKUP('Carga Tributária doenças Po (2'!$AD26,'Carga Tributária doenças Po (2'!$CA$12:$CC$16,2,0)</f>
        <v>+</v>
      </c>
      <c r="AA26" s="89" t="s">
        <v>529</v>
      </c>
      <c r="AB26" s="89" t="s">
        <v>21749</v>
      </c>
      <c r="AC26" s="89" t="s">
        <v>21721</v>
      </c>
      <c r="AD26" s="93" t="s">
        <v>19445</v>
      </c>
      <c r="AE26" s="92" t="s">
        <v>4</v>
      </c>
      <c r="AF26" s="92" t="s">
        <v>3</v>
      </c>
      <c r="AG26" s="94">
        <v>1520387</v>
      </c>
      <c r="AH26" s="95">
        <v>43303268</v>
      </c>
      <c r="AI26" s="95">
        <v>98802063.840000004</v>
      </c>
      <c r="AJ26" s="89" t="s">
        <v>533</v>
      </c>
      <c r="AK26" s="89">
        <f>IF('Carga Tributária doenças Po (2'!$Z26="+",0,SUMIFS(PISCOFINS!$I$3:$I$10518,PISCOFINS!$C$3:$C$10518,'Carga Tributária doenças Po (2'!$C26))</f>
        <v>0</v>
      </c>
      <c r="AL26" s="89">
        <f>IF('Carga Tributária doenças Po (2'!$Z26="+",0,SUMIFS(PISCOFINS!$H$3:$H$10518,PISCOFINS!$C$3:$C$10518,'Carga Tributária doenças Po (2'!$C26))</f>
        <v>0</v>
      </c>
      <c r="AM26" s="95">
        <v>3.27</v>
      </c>
      <c r="AN26" s="95">
        <v>3.12</v>
      </c>
      <c r="AO26" s="95">
        <v>1.35</v>
      </c>
      <c r="AP26" s="96">
        <v>18</v>
      </c>
      <c r="AQ26" s="96">
        <v>12</v>
      </c>
      <c r="AR26" s="96">
        <v>17</v>
      </c>
      <c r="AS26" s="97">
        <v>17</v>
      </c>
      <c r="AT26" s="97">
        <v>19</v>
      </c>
      <c r="AU26" s="97">
        <v>18</v>
      </c>
      <c r="AV26" s="97">
        <v>17</v>
      </c>
      <c r="AW26" s="97">
        <v>17</v>
      </c>
      <c r="AX26" s="97">
        <v>17</v>
      </c>
      <c r="AY26" s="97">
        <v>17</v>
      </c>
      <c r="AZ26" s="97">
        <v>17</v>
      </c>
      <c r="BA26" s="97">
        <v>17</v>
      </c>
      <c r="BB26" s="97">
        <v>17</v>
      </c>
      <c r="BC26" s="97">
        <v>17</v>
      </c>
      <c r="BD26" s="97">
        <v>17</v>
      </c>
      <c r="BE26" s="97">
        <v>17</v>
      </c>
      <c r="BF26" s="97">
        <f>+Tabela1107[[#This Row],[PIS]]+Tabela1107[[#This Row],[COFINS]]+Tabela1107[[#This Row],[CONTRIB. FOLHA]]+Tabela1107[[#This Row],[TRIBUTOS S/ LUCRO]]+Tabela1107[[#This Row],[OUTROS]]+Tabela1107[[#This Row],[SP]]</f>
        <v>25.740000000000002</v>
      </c>
      <c r="BG26" s="97">
        <f>+Tabela1107[[#This Row],[PIS]]+Tabela1107[[#This Row],[COFINS]]+Tabela1107[[#This Row],[CONTRIB. FOLHA]]+Tabela1107[[#This Row],[TRIBUTOS S/ LUCRO]]+Tabela1107[[#This Row],[OUTROS]]+Tabela1107[[#This Row],[PR]]</f>
        <v>19.740000000000002</v>
      </c>
      <c r="BH26" s="97">
        <f>+Tabela1107[[#This Row],[PIS]]+Tabela1107[[#This Row],[COFINS]]+Tabela1107[[#This Row],[CONTRIB. FOLHA]]+Tabela1107[[#This Row],[TRIBUTOS S/ LUCRO]]+Tabela1107[[#This Row],[OUTROS]]+Tabela1107[[#This Row],[SC]]</f>
        <v>24.740000000000002</v>
      </c>
      <c r="BI26" s="97">
        <f>+Tabela1107[[#This Row],[PIS]]+Tabela1107[[#This Row],[COFINS]]+Tabela1107[[#This Row],[CONTRIB. FOLHA]]+Tabela1107[[#This Row],[TRIBUTOS S/ LUCRO]]+Tabela1107[[#This Row],[OUTROS]]+Tabela1107[[#This Row],[RS]]</f>
        <v>24.740000000000002</v>
      </c>
      <c r="BJ26" s="97">
        <f>+Tabela1107[[#This Row],[PIS]]+Tabela1107[[#This Row],[COFINS]]+Tabela1107[[#This Row],[CONTRIB. FOLHA]]+Tabela1107[[#This Row],[TRIBUTOS S/ LUCRO]]+Tabela1107[[#This Row],[OUTROS]]+Tabela1107[[#This Row],[RJ]]</f>
        <v>26.740000000000002</v>
      </c>
      <c r="BK26" s="97">
        <f>+Tabela1107[[#This Row],[PIS]]+Tabela1107[[#This Row],[COFINS]]+Tabela1107[[#This Row],[CONTRIB. FOLHA]]+Tabela1107[[#This Row],[TRIBUTOS S/ LUCRO]]+Tabela1107[[#This Row],[OUTROS]]+Tabela1107[[#This Row],[MG]]</f>
        <v>25.740000000000002</v>
      </c>
      <c r="BL26" s="97">
        <f>+Tabela1107[[#This Row],[PIS]]+Tabela1107[[#This Row],[COFINS]]+Tabela1107[[#This Row],[CONTRIB. FOLHA]]+Tabela1107[[#This Row],[TRIBUTOS S/ LUCRO]]+Tabela1107[[#This Row],[OUTROS]]+Tabela1107[[#This Row],[ES]]</f>
        <v>24.740000000000002</v>
      </c>
      <c r="BM26" s="97">
        <f>+Tabela1107[[#This Row],[PIS]]+Tabela1107[[#This Row],[COFINS]]+Tabela1107[[#This Row],[CONTRIB. FOLHA]]+Tabela1107[[#This Row],[TRIBUTOS S/ LUCRO]]+Tabela1107[[#This Row],[OUTROS]]+Tabela1107[[#This Row],[GO]]</f>
        <v>24.740000000000002</v>
      </c>
      <c r="BN26" s="97">
        <f>+Tabela1107[[#This Row],[PIS]]+Tabela1107[[#This Row],[COFINS]]+Tabela1107[[#This Row],[CONTRIB. FOLHA]]+Tabela1107[[#This Row],[TRIBUTOS S/ LUCRO]]+Tabela1107[[#This Row],[OUTROS]]+Tabela1107[[#This Row],[MT]]</f>
        <v>24.740000000000002</v>
      </c>
      <c r="BO26" s="97">
        <f>+Tabela1107[[#This Row],[PIS]]+Tabela1107[[#This Row],[COFINS]]+Tabela1107[[#This Row],[CONTRIB. FOLHA]]+Tabela1107[[#This Row],[TRIBUTOS S/ LUCRO]]+Tabela1107[[#This Row],[OUTROS]]+Tabela1107[[#This Row],[MS]]</f>
        <v>24.740000000000002</v>
      </c>
      <c r="BP26" s="97">
        <f>+Tabela1107[[#This Row],[PIS]]+Tabela1107[[#This Row],[COFINS]]+Tabela1107[[#This Row],[CONTRIB. FOLHA]]+Tabela1107[[#This Row],[TRIBUTOS S/ LUCRO]]+Tabela1107[[#This Row],[OUTROS]]+Tabela1107[[#This Row],[DF]]</f>
        <v>24.740000000000002</v>
      </c>
      <c r="BQ26" s="97">
        <f>+Tabela1107[[#This Row],[PIS]]+Tabela1107[[#This Row],[COFINS]]+Tabela1107[[#This Row],[CONTRIB. FOLHA]]+Tabela1107[[#This Row],[TRIBUTOS S/ LUCRO]]+Tabela1107[[#This Row],[OUTROS]]+Tabela1107[[#This Row],[BA]]</f>
        <v>24.740000000000002</v>
      </c>
      <c r="BR26" s="97">
        <f>+Tabela1107[[#This Row],[PIS]]+Tabela1107[[#This Row],[COFINS]]+Tabela1107[[#This Row],[CONTRIB. FOLHA]]+Tabela1107[[#This Row],[TRIBUTOS S/ LUCRO]]+Tabela1107[[#This Row],[OUTROS]]+Tabela1107[[#This Row],[BA]]</f>
        <v>24.740000000000002</v>
      </c>
      <c r="BS26" s="97">
        <f>+Tabela1107[[#This Row],[PIS]]+Tabela1107[[#This Row],[COFINS]]+Tabela1107[[#This Row],[CONTRIB. FOLHA]]+Tabela1107[[#This Row],[TRIBUTOS S/ LUCRO]]+Tabela1107[[#This Row],[OUTROS]]+Tabela1107[[#This Row],[PE]]</f>
        <v>24.740000000000002</v>
      </c>
      <c r="BT26" s="97">
        <f>+Tabela1107[[#This Row],[PIS]]+Tabela1107[[#This Row],[COFINS]]+Tabela1107[[#This Row],[CONTRIB. FOLHA]]+Tabela1107[[#This Row],[TRIBUTOS S/ LUCRO]]+Tabela1107[[#This Row],[OUTROS]]+Tabela1107[[#This Row],[PA]]</f>
        <v>24.740000000000002</v>
      </c>
      <c r="BU26" s="97">
        <f>+Tabela1107[[#This Row],[PIS]]+Tabela1107[[#This Row],[COFINS]]+Tabela1107[[#This Row],[CONTRIB. FOLHA]]+Tabela1107[[#This Row],[TRIBUTOS S/ LUCRO]]+Tabela1107[[#This Row],[OUTROS]]+Tabela1107[[#This Row],[AM]]</f>
        <v>24.740000000000002</v>
      </c>
      <c r="BV26" s="97">
        <f>AVERAGE(Tabela1107[[#This Row],[TOTAL SP]:[TOTAL AM]])</f>
        <v>24.677500000000006</v>
      </c>
      <c r="BW26" s="97"/>
      <c r="BX26" s="97"/>
    </row>
    <row r="27" spans="2:76" x14ac:dyDescent="0.25">
      <c r="B27" s="89">
        <v>4013</v>
      </c>
      <c r="C27" s="91" t="s">
        <v>13075</v>
      </c>
      <c r="D27" s="89"/>
      <c r="E27" s="89">
        <v>20140626</v>
      </c>
      <c r="F27" s="89" t="s">
        <v>20260</v>
      </c>
      <c r="G27" s="89" t="s">
        <v>20261</v>
      </c>
      <c r="H27" s="89" t="s">
        <v>20262</v>
      </c>
      <c r="I27" s="89" t="s">
        <v>20263</v>
      </c>
      <c r="J27" s="89" t="s">
        <v>528</v>
      </c>
      <c r="K27" s="89" t="s">
        <v>2456</v>
      </c>
      <c r="L27" s="89" t="s">
        <v>3657</v>
      </c>
      <c r="M27" s="89" t="s">
        <v>2631</v>
      </c>
      <c r="N27" s="89" t="s">
        <v>4496</v>
      </c>
      <c r="O27" s="89" t="s">
        <v>4496</v>
      </c>
      <c r="P27" s="89" t="s">
        <v>4496</v>
      </c>
      <c r="Q27" s="89"/>
      <c r="R27" s="89" t="s">
        <v>1</v>
      </c>
      <c r="S27" s="89" t="s">
        <v>21566</v>
      </c>
      <c r="T27" s="89" t="s">
        <v>21567</v>
      </c>
      <c r="U27" s="89" t="str">
        <f>TRIM('Carga Tributária doenças Po (2'!$L27)</f>
        <v>FUMARATO DE FORMOTEROL</v>
      </c>
      <c r="V27" s="89">
        <f>SUMIFS('Tabela Federal'!$E$4:$E$2069,'Tabela Federal'!$D$4:$D$2069,'Carga Tributária doenças Po (2'!$L27)</f>
        <v>3</v>
      </c>
      <c r="W27" s="89">
        <f>SUMIFS('Tabela Federal'!$E$4:$E$2069,'Tabela Federal'!$D$4:$D$2069,'Carga Tributária doenças Po (2'!$M27)</f>
        <v>2</v>
      </c>
      <c r="X27" s="89">
        <f>SUMIFS('Tabela Federal'!$E$4:$E$2069,'Tabela Federal'!$D$4:$D$2069,'Carga Tributária doenças Po (2'!$N27)</f>
        <v>0</v>
      </c>
      <c r="Y27" s="89">
        <f>SUMIFS('Tabela Federal'!$E$4:$E$2069,'Tabela Federal'!$D$4:$D$2069,'Carga Tributária doenças Po (2'!$O27)</f>
        <v>0</v>
      </c>
      <c r="Z27" s="92" t="str">
        <f>VLOOKUP('Carga Tributária doenças Po (2'!$AD27,'Carga Tributária doenças Po (2'!$CA$12:$CC$16,2,0)</f>
        <v>+</v>
      </c>
      <c r="AA27" s="89" t="s">
        <v>529</v>
      </c>
      <c r="AB27" s="89" t="s">
        <v>21749</v>
      </c>
      <c r="AC27" s="89" t="s">
        <v>21721</v>
      </c>
      <c r="AD27" s="93" t="s">
        <v>19445</v>
      </c>
      <c r="AE27" s="92" t="s">
        <v>4</v>
      </c>
      <c r="AF27" s="92" t="s">
        <v>3</v>
      </c>
      <c r="AG27" s="94">
        <v>1520387</v>
      </c>
      <c r="AH27" s="95">
        <v>43303268</v>
      </c>
      <c r="AI27" s="95">
        <v>98802063.840000004</v>
      </c>
      <c r="AJ27" s="89" t="s">
        <v>595</v>
      </c>
      <c r="AK27" s="89">
        <f>IF('Carga Tributária doenças Po (2'!$Z27="+",0,SUMIFS(PISCOFINS!$I$3:$I$10518,PISCOFINS!$C$3:$C$10518,'Carga Tributária doenças Po (2'!$C27))</f>
        <v>0</v>
      </c>
      <c r="AL27" s="89">
        <f>IF('Carga Tributária doenças Po (2'!$Z27="+",0,SUMIFS(PISCOFINS!$H$3:$H$10518,PISCOFINS!$C$3:$C$10518,'Carga Tributária doenças Po (2'!$C27))</f>
        <v>0</v>
      </c>
      <c r="AM27" s="95">
        <v>3.27</v>
      </c>
      <c r="AN27" s="95">
        <v>3.12</v>
      </c>
      <c r="AO27" s="95">
        <v>1.35</v>
      </c>
      <c r="AP27" s="96">
        <v>18</v>
      </c>
      <c r="AQ27" s="96">
        <v>12</v>
      </c>
      <c r="AR27" s="96">
        <v>17</v>
      </c>
      <c r="AS27" s="97">
        <v>17</v>
      </c>
      <c r="AT27" s="97">
        <v>19</v>
      </c>
      <c r="AU27" s="97">
        <v>18</v>
      </c>
      <c r="AV27" s="97">
        <v>17</v>
      </c>
      <c r="AW27" s="97">
        <v>17</v>
      </c>
      <c r="AX27" s="97">
        <v>17</v>
      </c>
      <c r="AY27" s="97">
        <v>17</v>
      </c>
      <c r="AZ27" s="97">
        <v>17</v>
      </c>
      <c r="BA27" s="97">
        <v>17</v>
      </c>
      <c r="BB27" s="97">
        <v>17</v>
      </c>
      <c r="BC27" s="97">
        <v>17</v>
      </c>
      <c r="BD27" s="97">
        <v>17</v>
      </c>
      <c r="BE27" s="97">
        <v>17</v>
      </c>
      <c r="BF27" s="97">
        <f>+Tabela1107[[#This Row],[PIS]]+Tabela1107[[#This Row],[COFINS]]+Tabela1107[[#This Row],[CONTRIB. FOLHA]]+Tabela1107[[#This Row],[TRIBUTOS S/ LUCRO]]+Tabela1107[[#This Row],[OUTROS]]+Tabela1107[[#This Row],[SP]]</f>
        <v>25.740000000000002</v>
      </c>
      <c r="BG27" s="97">
        <f>+Tabela1107[[#This Row],[PIS]]+Tabela1107[[#This Row],[COFINS]]+Tabela1107[[#This Row],[CONTRIB. FOLHA]]+Tabela1107[[#This Row],[TRIBUTOS S/ LUCRO]]+Tabela1107[[#This Row],[OUTROS]]+Tabela1107[[#This Row],[PR]]</f>
        <v>19.740000000000002</v>
      </c>
      <c r="BH27" s="97">
        <f>+Tabela1107[[#This Row],[PIS]]+Tabela1107[[#This Row],[COFINS]]+Tabela1107[[#This Row],[CONTRIB. FOLHA]]+Tabela1107[[#This Row],[TRIBUTOS S/ LUCRO]]+Tabela1107[[#This Row],[OUTROS]]+Tabela1107[[#This Row],[SC]]</f>
        <v>24.740000000000002</v>
      </c>
      <c r="BI27" s="97">
        <f>+Tabela1107[[#This Row],[PIS]]+Tabela1107[[#This Row],[COFINS]]+Tabela1107[[#This Row],[CONTRIB. FOLHA]]+Tabela1107[[#This Row],[TRIBUTOS S/ LUCRO]]+Tabela1107[[#This Row],[OUTROS]]+Tabela1107[[#This Row],[RS]]</f>
        <v>24.740000000000002</v>
      </c>
      <c r="BJ27" s="97">
        <f>+Tabela1107[[#This Row],[PIS]]+Tabela1107[[#This Row],[COFINS]]+Tabela1107[[#This Row],[CONTRIB. FOLHA]]+Tabela1107[[#This Row],[TRIBUTOS S/ LUCRO]]+Tabela1107[[#This Row],[OUTROS]]+Tabela1107[[#This Row],[RJ]]</f>
        <v>26.740000000000002</v>
      </c>
      <c r="BK27" s="97">
        <f>+Tabela1107[[#This Row],[PIS]]+Tabela1107[[#This Row],[COFINS]]+Tabela1107[[#This Row],[CONTRIB. FOLHA]]+Tabela1107[[#This Row],[TRIBUTOS S/ LUCRO]]+Tabela1107[[#This Row],[OUTROS]]+Tabela1107[[#This Row],[MG]]</f>
        <v>25.740000000000002</v>
      </c>
      <c r="BL27" s="97">
        <f>+Tabela1107[[#This Row],[PIS]]+Tabela1107[[#This Row],[COFINS]]+Tabela1107[[#This Row],[CONTRIB. FOLHA]]+Tabela1107[[#This Row],[TRIBUTOS S/ LUCRO]]+Tabela1107[[#This Row],[OUTROS]]+Tabela1107[[#This Row],[ES]]</f>
        <v>24.740000000000002</v>
      </c>
      <c r="BM27" s="97">
        <f>+Tabela1107[[#This Row],[PIS]]+Tabela1107[[#This Row],[COFINS]]+Tabela1107[[#This Row],[CONTRIB. FOLHA]]+Tabela1107[[#This Row],[TRIBUTOS S/ LUCRO]]+Tabela1107[[#This Row],[OUTROS]]+Tabela1107[[#This Row],[GO]]</f>
        <v>24.740000000000002</v>
      </c>
      <c r="BN27" s="97">
        <f>+Tabela1107[[#This Row],[PIS]]+Tabela1107[[#This Row],[COFINS]]+Tabela1107[[#This Row],[CONTRIB. FOLHA]]+Tabela1107[[#This Row],[TRIBUTOS S/ LUCRO]]+Tabela1107[[#This Row],[OUTROS]]+Tabela1107[[#This Row],[MT]]</f>
        <v>24.740000000000002</v>
      </c>
      <c r="BO27" s="97">
        <f>+Tabela1107[[#This Row],[PIS]]+Tabela1107[[#This Row],[COFINS]]+Tabela1107[[#This Row],[CONTRIB. FOLHA]]+Tabela1107[[#This Row],[TRIBUTOS S/ LUCRO]]+Tabela1107[[#This Row],[OUTROS]]+Tabela1107[[#This Row],[MS]]</f>
        <v>24.740000000000002</v>
      </c>
      <c r="BP27" s="97">
        <f>+Tabela1107[[#This Row],[PIS]]+Tabela1107[[#This Row],[COFINS]]+Tabela1107[[#This Row],[CONTRIB. FOLHA]]+Tabela1107[[#This Row],[TRIBUTOS S/ LUCRO]]+Tabela1107[[#This Row],[OUTROS]]+Tabela1107[[#This Row],[DF]]</f>
        <v>24.740000000000002</v>
      </c>
      <c r="BQ27" s="97">
        <f>+Tabela1107[[#This Row],[PIS]]+Tabela1107[[#This Row],[COFINS]]+Tabela1107[[#This Row],[CONTRIB. FOLHA]]+Tabela1107[[#This Row],[TRIBUTOS S/ LUCRO]]+Tabela1107[[#This Row],[OUTROS]]+Tabela1107[[#This Row],[BA]]</f>
        <v>24.740000000000002</v>
      </c>
      <c r="BR27" s="97">
        <f>+Tabela1107[[#This Row],[PIS]]+Tabela1107[[#This Row],[COFINS]]+Tabela1107[[#This Row],[CONTRIB. FOLHA]]+Tabela1107[[#This Row],[TRIBUTOS S/ LUCRO]]+Tabela1107[[#This Row],[OUTROS]]+Tabela1107[[#This Row],[BA]]</f>
        <v>24.740000000000002</v>
      </c>
      <c r="BS27" s="97">
        <f>+Tabela1107[[#This Row],[PIS]]+Tabela1107[[#This Row],[COFINS]]+Tabela1107[[#This Row],[CONTRIB. FOLHA]]+Tabela1107[[#This Row],[TRIBUTOS S/ LUCRO]]+Tabela1107[[#This Row],[OUTROS]]+Tabela1107[[#This Row],[PE]]</f>
        <v>24.740000000000002</v>
      </c>
      <c r="BT27" s="97">
        <f>+Tabela1107[[#This Row],[PIS]]+Tabela1107[[#This Row],[COFINS]]+Tabela1107[[#This Row],[CONTRIB. FOLHA]]+Tabela1107[[#This Row],[TRIBUTOS S/ LUCRO]]+Tabela1107[[#This Row],[OUTROS]]+Tabela1107[[#This Row],[PA]]</f>
        <v>24.740000000000002</v>
      </c>
      <c r="BU27" s="97">
        <f>+Tabela1107[[#This Row],[PIS]]+Tabela1107[[#This Row],[COFINS]]+Tabela1107[[#This Row],[CONTRIB. FOLHA]]+Tabela1107[[#This Row],[TRIBUTOS S/ LUCRO]]+Tabela1107[[#This Row],[OUTROS]]+Tabela1107[[#This Row],[AM]]</f>
        <v>24.740000000000002</v>
      </c>
      <c r="BV27" s="97">
        <f>AVERAGE(Tabela1107[[#This Row],[TOTAL SP]:[TOTAL AM]])</f>
        <v>24.677500000000006</v>
      </c>
      <c r="BW27" s="97"/>
      <c r="BX27" s="97"/>
    </row>
    <row r="28" spans="2:76" x14ac:dyDescent="0.25">
      <c r="B28" s="89">
        <v>4013</v>
      </c>
      <c r="C28" s="91" t="s">
        <v>13075</v>
      </c>
      <c r="D28" s="89"/>
      <c r="E28" s="89">
        <v>20140626</v>
      </c>
      <c r="F28" s="89" t="s">
        <v>20260</v>
      </c>
      <c r="G28" s="89" t="s">
        <v>20261</v>
      </c>
      <c r="H28" s="89" t="s">
        <v>20262</v>
      </c>
      <c r="I28" s="89" t="s">
        <v>20263</v>
      </c>
      <c r="J28" s="89" t="s">
        <v>528</v>
      </c>
      <c r="K28" s="89" t="s">
        <v>2456</v>
      </c>
      <c r="L28" s="89" t="s">
        <v>3657</v>
      </c>
      <c r="M28" s="89" t="s">
        <v>2631</v>
      </c>
      <c r="N28" s="89" t="s">
        <v>4496</v>
      </c>
      <c r="O28" s="89" t="s">
        <v>4496</v>
      </c>
      <c r="P28" s="89" t="s">
        <v>4496</v>
      </c>
      <c r="Q28" s="89"/>
      <c r="R28" s="89" t="s">
        <v>1</v>
      </c>
      <c r="S28" s="89" t="s">
        <v>21566</v>
      </c>
      <c r="T28" s="89" t="s">
        <v>21567</v>
      </c>
      <c r="U28" s="89" t="str">
        <f>TRIM('Carga Tributária doenças Po (2'!$L28)</f>
        <v>FUMARATO DE FORMOTEROL</v>
      </c>
      <c r="V28" s="89">
        <f>SUMIFS('Tabela Federal'!$E$4:$E$2069,'Tabela Federal'!$D$4:$D$2069,'Carga Tributária doenças Po (2'!$L28)</f>
        <v>3</v>
      </c>
      <c r="W28" s="89">
        <f>SUMIFS('Tabela Federal'!$E$4:$E$2069,'Tabela Federal'!$D$4:$D$2069,'Carga Tributária doenças Po (2'!$M28)</f>
        <v>2</v>
      </c>
      <c r="X28" s="89">
        <f>SUMIFS('Tabela Federal'!$E$4:$E$2069,'Tabela Federal'!$D$4:$D$2069,'Carga Tributária doenças Po (2'!$N28)</f>
        <v>0</v>
      </c>
      <c r="Y28" s="89">
        <f>SUMIFS('Tabela Federal'!$E$4:$E$2069,'Tabela Federal'!$D$4:$D$2069,'Carga Tributária doenças Po (2'!$O28)</f>
        <v>0</v>
      </c>
      <c r="Z28" s="92" t="str">
        <f>VLOOKUP('Carga Tributária doenças Po (2'!$AD28,'Carga Tributária doenças Po (2'!$CA$12:$CC$16,2,0)</f>
        <v>+</v>
      </c>
      <c r="AA28" s="89" t="s">
        <v>529</v>
      </c>
      <c r="AB28" s="89" t="s">
        <v>21749</v>
      </c>
      <c r="AC28" s="89" t="s">
        <v>21721</v>
      </c>
      <c r="AD28" s="93" t="s">
        <v>19445</v>
      </c>
      <c r="AE28" s="92" t="s">
        <v>4</v>
      </c>
      <c r="AF28" s="92" t="s">
        <v>3</v>
      </c>
      <c r="AG28" s="94">
        <v>1520387</v>
      </c>
      <c r="AH28" s="95">
        <v>43303268</v>
      </c>
      <c r="AI28" s="95">
        <v>98802063.840000004</v>
      </c>
      <c r="AJ28" s="89" t="s">
        <v>611</v>
      </c>
      <c r="AK28" s="89">
        <f>IF('Carga Tributária doenças Po (2'!$Z28="+",0,SUMIFS(PISCOFINS!$I$3:$I$10518,PISCOFINS!$C$3:$C$10518,'Carga Tributária doenças Po (2'!$C28))</f>
        <v>0</v>
      </c>
      <c r="AL28" s="89">
        <f>IF('Carga Tributária doenças Po (2'!$Z28="+",0,SUMIFS(PISCOFINS!$H$3:$H$10518,PISCOFINS!$C$3:$C$10518,'Carga Tributária doenças Po (2'!$C28))</f>
        <v>0</v>
      </c>
      <c r="AM28" s="95">
        <v>3.27</v>
      </c>
      <c r="AN28" s="95">
        <v>3.12</v>
      </c>
      <c r="AO28" s="95">
        <v>1.35</v>
      </c>
      <c r="AP28" s="96">
        <v>18</v>
      </c>
      <c r="AQ28" s="96">
        <v>12</v>
      </c>
      <c r="AR28" s="96">
        <v>17</v>
      </c>
      <c r="AS28" s="97">
        <v>17</v>
      </c>
      <c r="AT28" s="97">
        <v>19</v>
      </c>
      <c r="AU28" s="97">
        <v>18</v>
      </c>
      <c r="AV28" s="97">
        <v>17</v>
      </c>
      <c r="AW28" s="97">
        <v>17</v>
      </c>
      <c r="AX28" s="97">
        <v>17</v>
      </c>
      <c r="AY28" s="97">
        <v>17</v>
      </c>
      <c r="AZ28" s="97">
        <v>17</v>
      </c>
      <c r="BA28" s="97">
        <v>17</v>
      </c>
      <c r="BB28" s="97">
        <v>17</v>
      </c>
      <c r="BC28" s="97">
        <v>17</v>
      </c>
      <c r="BD28" s="97">
        <v>17</v>
      </c>
      <c r="BE28" s="97">
        <v>17</v>
      </c>
      <c r="BF28" s="97">
        <f>+Tabela1107[[#This Row],[PIS]]+Tabela1107[[#This Row],[COFINS]]+Tabela1107[[#This Row],[CONTRIB. FOLHA]]+Tabela1107[[#This Row],[TRIBUTOS S/ LUCRO]]+Tabela1107[[#This Row],[OUTROS]]+Tabela1107[[#This Row],[SP]]</f>
        <v>25.740000000000002</v>
      </c>
      <c r="BG28" s="97">
        <f>+Tabela1107[[#This Row],[PIS]]+Tabela1107[[#This Row],[COFINS]]+Tabela1107[[#This Row],[CONTRIB. FOLHA]]+Tabela1107[[#This Row],[TRIBUTOS S/ LUCRO]]+Tabela1107[[#This Row],[OUTROS]]+Tabela1107[[#This Row],[PR]]</f>
        <v>19.740000000000002</v>
      </c>
      <c r="BH28" s="97">
        <f>+Tabela1107[[#This Row],[PIS]]+Tabela1107[[#This Row],[COFINS]]+Tabela1107[[#This Row],[CONTRIB. FOLHA]]+Tabela1107[[#This Row],[TRIBUTOS S/ LUCRO]]+Tabela1107[[#This Row],[OUTROS]]+Tabela1107[[#This Row],[SC]]</f>
        <v>24.740000000000002</v>
      </c>
      <c r="BI28" s="97">
        <f>+Tabela1107[[#This Row],[PIS]]+Tabela1107[[#This Row],[COFINS]]+Tabela1107[[#This Row],[CONTRIB. FOLHA]]+Tabela1107[[#This Row],[TRIBUTOS S/ LUCRO]]+Tabela1107[[#This Row],[OUTROS]]+Tabela1107[[#This Row],[RS]]</f>
        <v>24.740000000000002</v>
      </c>
      <c r="BJ28" s="97">
        <f>+Tabela1107[[#This Row],[PIS]]+Tabela1107[[#This Row],[COFINS]]+Tabela1107[[#This Row],[CONTRIB. FOLHA]]+Tabela1107[[#This Row],[TRIBUTOS S/ LUCRO]]+Tabela1107[[#This Row],[OUTROS]]+Tabela1107[[#This Row],[RJ]]</f>
        <v>26.740000000000002</v>
      </c>
      <c r="BK28" s="97">
        <f>+Tabela1107[[#This Row],[PIS]]+Tabela1107[[#This Row],[COFINS]]+Tabela1107[[#This Row],[CONTRIB. FOLHA]]+Tabela1107[[#This Row],[TRIBUTOS S/ LUCRO]]+Tabela1107[[#This Row],[OUTROS]]+Tabela1107[[#This Row],[MG]]</f>
        <v>25.740000000000002</v>
      </c>
      <c r="BL28" s="97">
        <f>+Tabela1107[[#This Row],[PIS]]+Tabela1107[[#This Row],[COFINS]]+Tabela1107[[#This Row],[CONTRIB. FOLHA]]+Tabela1107[[#This Row],[TRIBUTOS S/ LUCRO]]+Tabela1107[[#This Row],[OUTROS]]+Tabela1107[[#This Row],[ES]]</f>
        <v>24.740000000000002</v>
      </c>
      <c r="BM28" s="97">
        <f>+Tabela1107[[#This Row],[PIS]]+Tabela1107[[#This Row],[COFINS]]+Tabela1107[[#This Row],[CONTRIB. FOLHA]]+Tabela1107[[#This Row],[TRIBUTOS S/ LUCRO]]+Tabela1107[[#This Row],[OUTROS]]+Tabela1107[[#This Row],[GO]]</f>
        <v>24.740000000000002</v>
      </c>
      <c r="BN28" s="97">
        <f>+Tabela1107[[#This Row],[PIS]]+Tabela1107[[#This Row],[COFINS]]+Tabela1107[[#This Row],[CONTRIB. FOLHA]]+Tabela1107[[#This Row],[TRIBUTOS S/ LUCRO]]+Tabela1107[[#This Row],[OUTROS]]+Tabela1107[[#This Row],[MT]]</f>
        <v>24.740000000000002</v>
      </c>
      <c r="BO28" s="97">
        <f>+Tabela1107[[#This Row],[PIS]]+Tabela1107[[#This Row],[COFINS]]+Tabela1107[[#This Row],[CONTRIB. FOLHA]]+Tabela1107[[#This Row],[TRIBUTOS S/ LUCRO]]+Tabela1107[[#This Row],[OUTROS]]+Tabela1107[[#This Row],[MS]]</f>
        <v>24.740000000000002</v>
      </c>
      <c r="BP28" s="97">
        <f>+Tabela1107[[#This Row],[PIS]]+Tabela1107[[#This Row],[COFINS]]+Tabela1107[[#This Row],[CONTRIB. FOLHA]]+Tabela1107[[#This Row],[TRIBUTOS S/ LUCRO]]+Tabela1107[[#This Row],[OUTROS]]+Tabela1107[[#This Row],[DF]]</f>
        <v>24.740000000000002</v>
      </c>
      <c r="BQ28" s="97">
        <f>+Tabela1107[[#This Row],[PIS]]+Tabela1107[[#This Row],[COFINS]]+Tabela1107[[#This Row],[CONTRIB. FOLHA]]+Tabela1107[[#This Row],[TRIBUTOS S/ LUCRO]]+Tabela1107[[#This Row],[OUTROS]]+Tabela1107[[#This Row],[BA]]</f>
        <v>24.740000000000002</v>
      </c>
      <c r="BR28" s="97">
        <f>+Tabela1107[[#This Row],[PIS]]+Tabela1107[[#This Row],[COFINS]]+Tabela1107[[#This Row],[CONTRIB. FOLHA]]+Tabela1107[[#This Row],[TRIBUTOS S/ LUCRO]]+Tabela1107[[#This Row],[OUTROS]]+Tabela1107[[#This Row],[BA]]</f>
        <v>24.740000000000002</v>
      </c>
      <c r="BS28" s="97">
        <f>+Tabela1107[[#This Row],[PIS]]+Tabela1107[[#This Row],[COFINS]]+Tabela1107[[#This Row],[CONTRIB. FOLHA]]+Tabela1107[[#This Row],[TRIBUTOS S/ LUCRO]]+Tabela1107[[#This Row],[OUTROS]]+Tabela1107[[#This Row],[PE]]</f>
        <v>24.740000000000002</v>
      </c>
      <c r="BT28" s="97">
        <f>+Tabela1107[[#This Row],[PIS]]+Tabela1107[[#This Row],[COFINS]]+Tabela1107[[#This Row],[CONTRIB. FOLHA]]+Tabela1107[[#This Row],[TRIBUTOS S/ LUCRO]]+Tabela1107[[#This Row],[OUTROS]]+Tabela1107[[#This Row],[PA]]</f>
        <v>24.740000000000002</v>
      </c>
      <c r="BU28" s="97">
        <f>+Tabela1107[[#This Row],[PIS]]+Tabela1107[[#This Row],[COFINS]]+Tabela1107[[#This Row],[CONTRIB. FOLHA]]+Tabela1107[[#This Row],[TRIBUTOS S/ LUCRO]]+Tabela1107[[#This Row],[OUTROS]]+Tabela1107[[#This Row],[AM]]</f>
        <v>24.740000000000002</v>
      </c>
      <c r="BV28" s="97">
        <f>AVERAGE(Tabela1107[[#This Row],[TOTAL SP]:[TOTAL AM]])</f>
        <v>24.677500000000006</v>
      </c>
      <c r="BW28" s="97"/>
      <c r="BX28" s="97"/>
    </row>
    <row r="29" spans="2:76" x14ac:dyDescent="0.25">
      <c r="B29" s="89">
        <v>13321</v>
      </c>
      <c r="C29" s="91" t="s">
        <v>13133</v>
      </c>
      <c r="D29" s="89"/>
      <c r="E29" s="89">
        <v>20140626</v>
      </c>
      <c r="F29" s="89" t="s">
        <v>20970</v>
      </c>
      <c r="G29" s="89" t="s">
        <v>20971</v>
      </c>
      <c r="H29" s="89" t="s">
        <v>20972</v>
      </c>
      <c r="I29" s="89" t="s">
        <v>20973</v>
      </c>
      <c r="J29" s="89" t="s">
        <v>152</v>
      </c>
      <c r="K29" s="89" t="s">
        <v>2441</v>
      </c>
      <c r="L29" s="89" t="s">
        <v>2614</v>
      </c>
      <c r="M29" s="89" t="s">
        <v>4496</v>
      </c>
      <c r="N29" s="89" t="s">
        <v>4496</v>
      </c>
      <c r="O29" s="89" t="s">
        <v>4496</v>
      </c>
      <c r="P29" s="89" t="s">
        <v>4496</v>
      </c>
      <c r="Q29" s="89"/>
      <c r="R29" s="89" t="s">
        <v>153</v>
      </c>
      <c r="S29" s="89" t="s">
        <v>21646</v>
      </c>
      <c r="T29" s="89" t="s">
        <v>21647</v>
      </c>
      <c r="U29" s="89" t="str">
        <f>TRIM('Carga Tributária doenças Po (2'!$L29)</f>
        <v>IBUPROFENO</v>
      </c>
      <c r="V29" s="89">
        <f>SUMIFS('Tabela Federal'!$E$4:$E$2069,'Tabela Federal'!$D$4:$D$2069,'Carga Tributária doenças Po (2'!$L29)</f>
        <v>2</v>
      </c>
      <c r="W29" s="89">
        <f>SUMIFS('Tabela Federal'!$E$4:$E$2069,'Tabela Federal'!$D$4:$D$2069,'Carga Tributária doenças Po (2'!$M29)</f>
        <v>0</v>
      </c>
      <c r="X29" s="89">
        <f>SUMIFS('Tabela Federal'!$E$4:$E$2069,'Tabela Federal'!$D$4:$D$2069,'Carga Tributária doenças Po (2'!$N29)</f>
        <v>0</v>
      </c>
      <c r="Y29" s="89">
        <f>SUMIFS('Tabela Federal'!$E$4:$E$2069,'Tabela Federal'!$D$4:$D$2069,'Carga Tributária doenças Po (2'!$O29)</f>
        <v>0</v>
      </c>
      <c r="Z29" s="92" t="str">
        <f>VLOOKUP('Carga Tributária doenças Po (2'!$AD29,'Carga Tributária doenças Po (2'!$CA$12:$CC$16,2,0)</f>
        <v>-</v>
      </c>
      <c r="AA29" s="89" t="s">
        <v>7</v>
      </c>
      <c r="AB29" s="89" t="s">
        <v>21765</v>
      </c>
      <c r="AC29" s="89" t="s">
        <v>21740</v>
      </c>
      <c r="AD29" s="93" t="s">
        <v>19523</v>
      </c>
      <c r="AE29" s="92" t="s">
        <v>2</v>
      </c>
      <c r="AF29" s="92" t="s">
        <v>23</v>
      </c>
      <c r="AG29" s="94">
        <v>3816939</v>
      </c>
      <c r="AH29" s="95">
        <v>27941340</v>
      </c>
      <c r="AI29" s="95">
        <v>63627646.25</v>
      </c>
      <c r="AJ29" s="89" t="s">
        <v>333</v>
      </c>
      <c r="AK29" s="89">
        <f>IF('Carga Tributária doenças Po (2'!$Z29="+",0,SUMIFS(PISCOFINS!$I$3:$I$10518,PISCOFINS!$C$3:$C$10518,'Carga Tributária doenças Po (2'!$C29))</f>
        <v>2.1</v>
      </c>
      <c r="AL29" s="89">
        <f>IF('Carga Tributária doenças Po (2'!$Z29="+",0,SUMIFS(PISCOFINS!$H$3:$H$10518,PISCOFINS!$C$3:$C$10518,'Carga Tributária doenças Po (2'!$C29))</f>
        <v>9.9</v>
      </c>
      <c r="AM29" s="95">
        <v>3.27</v>
      </c>
      <c r="AN29" s="95">
        <v>3.12</v>
      </c>
      <c r="AO29" s="95">
        <v>1.35</v>
      </c>
      <c r="AP29" s="96">
        <v>18</v>
      </c>
      <c r="AQ29" s="96">
        <v>12</v>
      </c>
      <c r="AR29" s="96">
        <v>17</v>
      </c>
      <c r="AS29" s="97">
        <v>17</v>
      </c>
      <c r="AT29" s="97">
        <v>19</v>
      </c>
      <c r="AU29" s="97">
        <v>18</v>
      </c>
      <c r="AV29" s="97">
        <v>17</v>
      </c>
      <c r="AW29" s="97">
        <v>17</v>
      </c>
      <c r="AX29" s="97">
        <v>17</v>
      </c>
      <c r="AY29" s="97">
        <v>17</v>
      </c>
      <c r="AZ29" s="97">
        <v>17</v>
      </c>
      <c r="BA29" s="97">
        <v>17</v>
      </c>
      <c r="BB29" s="97">
        <v>17</v>
      </c>
      <c r="BC29" s="97">
        <v>17</v>
      </c>
      <c r="BD29" s="97">
        <v>17</v>
      </c>
      <c r="BE29" s="97">
        <v>17</v>
      </c>
      <c r="BF29" s="97">
        <f>+Tabela1107[[#This Row],[PIS]]+Tabela1107[[#This Row],[COFINS]]+Tabela1107[[#This Row],[CONTRIB. FOLHA]]+Tabela1107[[#This Row],[TRIBUTOS S/ LUCRO]]+Tabela1107[[#This Row],[OUTROS]]+Tabela1107[[#This Row],[SP]]</f>
        <v>37.74</v>
      </c>
      <c r="BG29" s="97">
        <f>+Tabela1107[[#This Row],[PIS]]+Tabela1107[[#This Row],[COFINS]]+Tabela1107[[#This Row],[CONTRIB. FOLHA]]+Tabela1107[[#This Row],[TRIBUTOS S/ LUCRO]]+Tabela1107[[#This Row],[OUTROS]]+Tabela1107[[#This Row],[PR]]</f>
        <v>31.740000000000002</v>
      </c>
      <c r="BH29" s="97">
        <f>+Tabela1107[[#This Row],[PIS]]+Tabela1107[[#This Row],[COFINS]]+Tabela1107[[#This Row],[CONTRIB. FOLHA]]+Tabela1107[[#This Row],[TRIBUTOS S/ LUCRO]]+Tabela1107[[#This Row],[OUTROS]]+Tabela1107[[#This Row],[SC]]</f>
        <v>36.74</v>
      </c>
      <c r="BI29" s="97">
        <f>+Tabela1107[[#This Row],[PIS]]+Tabela1107[[#This Row],[COFINS]]+Tabela1107[[#This Row],[CONTRIB. FOLHA]]+Tabela1107[[#This Row],[TRIBUTOS S/ LUCRO]]+Tabela1107[[#This Row],[OUTROS]]+Tabela1107[[#This Row],[RS]]</f>
        <v>36.74</v>
      </c>
      <c r="BJ29" s="97">
        <f>+Tabela1107[[#This Row],[PIS]]+Tabela1107[[#This Row],[COFINS]]+Tabela1107[[#This Row],[CONTRIB. FOLHA]]+Tabela1107[[#This Row],[TRIBUTOS S/ LUCRO]]+Tabela1107[[#This Row],[OUTROS]]+Tabela1107[[#This Row],[RJ]]</f>
        <v>38.74</v>
      </c>
      <c r="BK29" s="97">
        <f>+Tabela1107[[#This Row],[PIS]]+Tabela1107[[#This Row],[COFINS]]+Tabela1107[[#This Row],[CONTRIB. FOLHA]]+Tabela1107[[#This Row],[TRIBUTOS S/ LUCRO]]+Tabela1107[[#This Row],[OUTROS]]+Tabela1107[[#This Row],[MG]]</f>
        <v>37.74</v>
      </c>
      <c r="BL29" s="97">
        <f>+Tabela1107[[#This Row],[PIS]]+Tabela1107[[#This Row],[COFINS]]+Tabela1107[[#This Row],[CONTRIB. FOLHA]]+Tabela1107[[#This Row],[TRIBUTOS S/ LUCRO]]+Tabela1107[[#This Row],[OUTROS]]+Tabela1107[[#This Row],[ES]]</f>
        <v>36.74</v>
      </c>
      <c r="BM29" s="97">
        <f>+Tabela1107[[#This Row],[PIS]]+Tabela1107[[#This Row],[COFINS]]+Tabela1107[[#This Row],[CONTRIB. FOLHA]]+Tabela1107[[#This Row],[TRIBUTOS S/ LUCRO]]+Tabela1107[[#This Row],[OUTROS]]+Tabela1107[[#This Row],[GO]]</f>
        <v>36.74</v>
      </c>
      <c r="BN29" s="97">
        <f>+Tabela1107[[#This Row],[PIS]]+Tabela1107[[#This Row],[COFINS]]+Tabela1107[[#This Row],[CONTRIB. FOLHA]]+Tabela1107[[#This Row],[TRIBUTOS S/ LUCRO]]+Tabela1107[[#This Row],[OUTROS]]+Tabela1107[[#This Row],[MT]]</f>
        <v>36.74</v>
      </c>
      <c r="BO29" s="97">
        <f>+Tabela1107[[#This Row],[PIS]]+Tabela1107[[#This Row],[COFINS]]+Tabela1107[[#This Row],[CONTRIB. FOLHA]]+Tabela1107[[#This Row],[TRIBUTOS S/ LUCRO]]+Tabela1107[[#This Row],[OUTROS]]+Tabela1107[[#This Row],[MS]]</f>
        <v>36.74</v>
      </c>
      <c r="BP29" s="97">
        <f>+Tabela1107[[#This Row],[PIS]]+Tabela1107[[#This Row],[COFINS]]+Tabela1107[[#This Row],[CONTRIB. FOLHA]]+Tabela1107[[#This Row],[TRIBUTOS S/ LUCRO]]+Tabela1107[[#This Row],[OUTROS]]+Tabela1107[[#This Row],[DF]]</f>
        <v>36.74</v>
      </c>
      <c r="BQ29" s="97">
        <f>+Tabela1107[[#This Row],[PIS]]+Tabela1107[[#This Row],[COFINS]]+Tabela1107[[#This Row],[CONTRIB. FOLHA]]+Tabela1107[[#This Row],[TRIBUTOS S/ LUCRO]]+Tabela1107[[#This Row],[OUTROS]]+Tabela1107[[#This Row],[BA]]</f>
        <v>36.74</v>
      </c>
      <c r="BR29" s="97">
        <f>+Tabela1107[[#This Row],[PIS]]+Tabela1107[[#This Row],[COFINS]]+Tabela1107[[#This Row],[CONTRIB. FOLHA]]+Tabela1107[[#This Row],[TRIBUTOS S/ LUCRO]]+Tabela1107[[#This Row],[OUTROS]]+Tabela1107[[#This Row],[BA]]</f>
        <v>36.74</v>
      </c>
      <c r="BS29" s="97">
        <f>+Tabela1107[[#This Row],[PIS]]+Tabela1107[[#This Row],[COFINS]]+Tabela1107[[#This Row],[CONTRIB. FOLHA]]+Tabela1107[[#This Row],[TRIBUTOS S/ LUCRO]]+Tabela1107[[#This Row],[OUTROS]]+Tabela1107[[#This Row],[PE]]</f>
        <v>36.74</v>
      </c>
      <c r="BT29" s="97">
        <f>+Tabela1107[[#This Row],[PIS]]+Tabela1107[[#This Row],[COFINS]]+Tabela1107[[#This Row],[CONTRIB. FOLHA]]+Tabela1107[[#This Row],[TRIBUTOS S/ LUCRO]]+Tabela1107[[#This Row],[OUTROS]]+Tabela1107[[#This Row],[PA]]</f>
        <v>36.74</v>
      </c>
      <c r="BU29" s="97">
        <f>+Tabela1107[[#This Row],[PIS]]+Tabela1107[[#This Row],[COFINS]]+Tabela1107[[#This Row],[CONTRIB. FOLHA]]+Tabela1107[[#This Row],[TRIBUTOS S/ LUCRO]]+Tabela1107[[#This Row],[OUTROS]]+Tabela1107[[#This Row],[AM]]</f>
        <v>36.74</v>
      </c>
      <c r="BV29" s="97">
        <f>AVERAGE(Tabela1107[[#This Row],[TOTAL SP]:[TOTAL AM]])</f>
        <v>36.677500000000002</v>
      </c>
      <c r="BW29" s="97"/>
      <c r="BX29" s="97"/>
    </row>
    <row r="30" spans="2:76" x14ac:dyDescent="0.25">
      <c r="B30" s="89">
        <v>13321</v>
      </c>
      <c r="C30" s="91" t="s">
        <v>13133</v>
      </c>
      <c r="D30" s="89"/>
      <c r="E30" s="89">
        <v>20140626</v>
      </c>
      <c r="F30" s="89" t="s">
        <v>20970</v>
      </c>
      <c r="G30" s="89" t="s">
        <v>20971</v>
      </c>
      <c r="H30" s="89" t="s">
        <v>20972</v>
      </c>
      <c r="I30" s="89" t="s">
        <v>20973</v>
      </c>
      <c r="J30" s="89" t="s">
        <v>152</v>
      </c>
      <c r="K30" s="89" t="s">
        <v>2441</v>
      </c>
      <c r="L30" s="89" t="s">
        <v>2614</v>
      </c>
      <c r="M30" s="89" t="s">
        <v>4496</v>
      </c>
      <c r="N30" s="89" t="s">
        <v>4496</v>
      </c>
      <c r="O30" s="89" t="s">
        <v>4496</v>
      </c>
      <c r="P30" s="89" t="s">
        <v>4496</v>
      </c>
      <c r="Q30" s="89"/>
      <c r="R30" s="89" t="s">
        <v>153</v>
      </c>
      <c r="S30" s="89" t="s">
        <v>21646</v>
      </c>
      <c r="T30" s="89" t="s">
        <v>21647</v>
      </c>
      <c r="U30" s="89" t="str">
        <f>TRIM('Carga Tributária doenças Po (2'!$L30)</f>
        <v>IBUPROFENO</v>
      </c>
      <c r="V30" s="89">
        <f>SUMIFS('Tabela Federal'!$E$4:$E$2069,'Tabela Federal'!$D$4:$D$2069,'Carga Tributária doenças Po (2'!$L30)</f>
        <v>2</v>
      </c>
      <c r="W30" s="89">
        <f>SUMIFS('Tabela Federal'!$E$4:$E$2069,'Tabela Federal'!$D$4:$D$2069,'Carga Tributária doenças Po (2'!$M30)</f>
        <v>0</v>
      </c>
      <c r="X30" s="89">
        <f>SUMIFS('Tabela Federal'!$E$4:$E$2069,'Tabela Federal'!$D$4:$D$2069,'Carga Tributária doenças Po (2'!$N30)</f>
        <v>0</v>
      </c>
      <c r="Y30" s="89">
        <f>SUMIFS('Tabela Federal'!$E$4:$E$2069,'Tabela Federal'!$D$4:$D$2069,'Carga Tributária doenças Po (2'!$O30)</f>
        <v>0</v>
      </c>
      <c r="Z30" s="92" t="str">
        <f>VLOOKUP('Carga Tributária doenças Po (2'!$AD30,'Carga Tributária doenças Po (2'!$CA$12:$CC$16,2,0)</f>
        <v>-</v>
      </c>
      <c r="AA30" s="89" t="s">
        <v>7</v>
      </c>
      <c r="AB30" s="89" t="s">
        <v>21765</v>
      </c>
      <c r="AC30" s="89" t="s">
        <v>21740</v>
      </c>
      <c r="AD30" s="93" t="s">
        <v>19523</v>
      </c>
      <c r="AE30" s="92" t="s">
        <v>2</v>
      </c>
      <c r="AF30" s="92" t="s">
        <v>23</v>
      </c>
      <c r="AG30" s="94">
        <v>3816939</v>
      </c>
      <c r="AH30" s="95">
        <v>27941340</v>
      </c>
      <c r="AI30" s="95">
        <v>63627646.25</v>
      </c>
      <c r="AJ30" s="89" t="s">
        <v>5</v>
      </c>
      <c r="AK30" s="89">
        <f>IF('Carga Tributária doenças Po (2'!$Z30="+",0,SUMIFS(PISCOFINS!$I$3:$I$10518,PISCOFINS!$C$3:$C$10518,'Carga Tributária doenças Po (2'!$C30))</f>
        <v>2.1</v>
      </c>
      <c r="AL30" s="89">
        <f>IF('Carga Tributária doenças Po (2'!$Z30="+",0,SUMIFS(PISCOFINS!$H$3:$H$10518,PISCOFINS!$C$3:$C$10518,'Carga Tributária doenças Po (2'!$C30))</f>
        <v>9.9</v>
      </c>
      <c r="AM30" s="95">
        <v>3.27</v>
      </c>
      <c r="AN30" s="95">
        <v>3.12</v>
      </c>
      <c r="AO30" s="95">
        <v>1.35</v>
      </c>
      <c r="AP30" s="96">
        <v>18</v>
      </c>
      <c r="AQ30" s="96">
        <v>12</v>
      </c>
      <c r="AR30" s="96">
        <v>17</v>
      </c>
      <c r="AS30" s="97">
        <v>17</v>
      </c>
      <c r="AT30" s="97">
        <v>19</v>
      </c>
      <c r="AU30" s="97">
        <v>18</v>
      </c>
      <c r="AV30" s="97">
        <v>17</v>
      </c>
      <c r="AW30" s="97">
        <v>17</v>
      </c>
      <c r="AX30" s="97">
        <v>17</v>
      </c>
      <c r="AY30" s="97">
        <v>17</v>
      </c>
      <c r="AZ30" s="97">
        <v>17</v>
      </c>
      <c r="BA30" s="97">
        <v>17</v>
      </c>
      <c r="BB30" s="97">
        <v>17</v>
      </c>
      <c r="BC30" s="97">
        <v>17</v>
      </c>
      <c r="BD30" s="97">
        <v>17</v>
      </c>
      <c r="BE30" s="97">
        <v>17</v>
      </c>
      <c r="BF30" s="97">
        <f>+Tabela1107[[#This Row],[PIS]]+Tabela1107[[#This Row],[COFINS]]+Tabela1107[[#This Row],[CONTRIB. FOLHA]]+Tabela1107[[#This Row],[TRIBUTOS S/ LUCRO]]+Tabela1107[[#This Row],[OUTROS]]+Tabela1107[[#This Row],[SP]]</f>
        <v>37.74</v>
      </c>
      <c r="BG30" s="97">
        <f>+Tabela1107[[#This Row],[PIS]]+Tabela1107[[#This Row],[COFINS]]+Tabela1107[[#This Row],[CONTRIB. FOLHA]]+Tabela1107[[#This Row],[TRIBUTOS S/ LUCRO]]+Tabela1107[[#This Row],[OUTROS]]+Tabela1107[[#This Row],[PR]]</f>
        <v>31.740000000000002</v>
      </c>
      <c r="BH30" s="97">
        <f>+Tabela1107[[#This Row],[PIS]]+Tabela1107[[#This Row],[COFINS]]+Tabela1107[[#This Row],[CONTRIB. FOLHA]]+Tabela1107[[#This Row],[TRIBUTOS S/ LUCRO]]+Tabela1107[[#This Row],[OUTROS]]+Tabela1107[[#This Row],[SC]]</f>
        <v>36.74</v>
      </c>
      <c r="BI30" s="97">
        <f>+Tabela1107[[#This Row],[PIS]]+Tabela1107[[#This Row],[COFINS]]+Tabela1107[[#This Row],[CONTRIB. FOLHA]]+Tabela1107[[#This Row],[TRIBUTOS S/ LUCRO]]+Tabela1107[[#This Row],[OUTROS]]+Tabela1107[[#This Row],[RS]]</f>
        <v>36.74</v>
      </c>
      <c r="BJ30" s="97">
        <f>+Tabela1107[[#This Row],[PIS]]+Tabela1107[[#This Row],[COFINS]]+Tabela1107[[#This Row],[CONTRIB. FOLHA]]+Tabela1107[[#This Row],[TRIBUTOS S/ LUCRO]]+Tabela1107[[#This Row],[OUTROS]]+Tabela1107[[#This Row],[RJ]]</f>
        <v>38.74</v>
      </c>
      <c r="BK30" s="97">
        <f>+Tabela1107[[#This Row],[PIS]]+Tabela1107[[#This Row],[COFINS]]+Tabela1107[[#This Row],[CONTRIB. FOLHA]]+Tabela1107[[#This Row],[TRIBUTOS S/ LUCRO]]+Tabela1107[[#This Row],[OUTROS]]+Tabela1107[[#This Row],[MG]]</f>
        <v>37.74</v>
      </c>
      <c r="BL30" s="97">
        <f>+Tabela1107[[#This Row],[PIS]]+Tabela1107[[#This Row],[COFINS]]+Tabela1107[[#This Row],[CONTRIB. FOLHA]]+Tabela1107[[#This Row],[TRIBUTOS S/ LUCRO]]+Tabela1107[[#This Row],[OUTROS]]+Tabela1107[[#This Row],[ES]]</f>
        <v>36.74</v>
      </c>
      <c r="BM30" s="97">
        <f>+Tabela1107[[#This Row],[PIS]]+Tabela1107[[#This Row],[COFINS]]+Tabela1107[[#This Row],[CONTRIB. FOLHA]]+Tabela1107[[#This Row],[TRIBUTOS S/ LUCRO]]+Tabela1107[[#This Row],[OUTROS]]+Tabela1107[[#This Row],[GO]]</f>
        <v>36.74</v>
      </c>
      <c r="BN30" s="97">
        <f>+Tabela1107[[#This Row],[PIS]]+Tabela1107[[#This Row],[COFINS]]+Tabela1107[[#This Row],[CONTRIB. FOLHA]]+Tabela1107[[#This Row],[TRIBUTOS S/ LUCRO]]+Tabela1107[[#This Row],[OUTROS]]+Tabela1107[[#This Row],[MT]]</f>
        <v>36.74</v>
      </c>
      <c r="BO30" s="97">
        <f>+Tabela1107[[#This Row],[PIS]]+Tabela1107[[#This Row],[COFINS]]+Tabela1107[[#This Row],[CONTRIB. FOLHA]]+Tabela1107[[#This Row],[TRIBUTOS S/ LUCRO]]+Tabela1107[[#This Row],[OUTROS]]+Tabela1107[[#This Row],[MS]]</f>
        <v>36.74</v>
      </c>
      <c r="BP30" s="97">
        <f>+Tabela1107[[#This Row],[PIS]]+Tabela1107[[#This Row],[COFINS]]+Tabela1107[[#This Row],[CONTRIB. FOLHA]]+Tabela1107[[#This Row],[TRIBUTOS S/ LUCRO]]+Tabela1107[[#This Row],[OUTROS]]+Tabela1107[[#This Row],[DF]]</f>
        <v>36.74</v>
      </c>
      <c r="BQ30" s="97">
        <f>+Tabela1107[[#This Row],[PIS]]+Tabela1107[[#This Row],[COFINS]]+Tabela1107[[#This Row],[CONTRIB. FOLHA]]+Tabela1107[[#This Row],[TRIBUTOS S/ LUCRO]]+Tabela1107[[#This Row],[OUTROS]]+Tabela1107[[#This Row],[BA]]</f>
        <v>36.74</v>
      </c>
      <c r="BR30" s="97">
        <f>+Tabela1107[[#This Row],[PIS]]+Tabela1107[[#This Row],[COFINS]]+Tabela1107[[#This Row],[CONTRIB. FOLHA]]+Tabela1107[[#This Row],[TRIBUTOS S/ LUCRO]]+Tabela1107[[#This Row],[OUTROS]]+Tabela1107[[#This Row],[BA]]</f>
        <v>36.74</v>
      </c>
      <c r="BS30" s="97">
        <f>+Tabela1107[[#This Row],[PIS]]+Tabela1107[[#This Row],[COFINS]]+Tabela1107[[#This Row],[CONTRIB. FOLHA]]+Tabela1107[[#This Row],[TRIBUTOS S/ LUCRO]]+Tabela1107[[#This Row],[OUTROS]]+Tabela1107[[#This Row],[PE]]</f>
        <v>36.74</v>
      </c>
      <c r="BT30" s="97">
        <f>+Tabela1107[[#This Row],[PIS]]+Tabela1107[[#This Row],[COFINS]]+Tabela1107[[#This Row],[CONTRIB. FOLHA]]+Tabela1107[[#This Row],[TRIBUTOS S/ LUCRO]]+Tabela1107[[#This Row],[OUTROS]]+Tabela1107[[#This Row],[PA]]</f>
        <v>36.74</v>
      </c>
      <c r="BU30" s="97">
        <f>+Tabela1107[[#This Row],[PIS]]+Tabela1107[[#This Row],[COFINS]]+Tabela1107[[#This Row],[CONTRIB. FOLHA]]+Tabela1107[[#This Row],[TRIBUTOS S/ LUCRO]]+Tabela1107[[#This Row],[OUTROS]]+Tabela1107[[#This Row],[AM]]</f>
        <v>36.74</v>
      </c>
      <c r="BV30" s="97">
        <f>AVERAGE(Tabela1107[[#This Row],[TOTAL SP]:[TOTAL AM]])</f>
        <v>36.677500000000002</v>
      </c>
      <c r="BW30" s="97"/>
      <c r="BX30" s="97"/>
    </row>
    <row r="31" spans="2:76" x14ac:dyDescent="0.25">
      <c r="B31" s="89">
        <v>16451</v>
      </c>
      <c r="C31" s="91" t="s">
        <v>13168</v>
      </c>
      <c r="D31" s="89"/>
      <c r="E31" s="89">
        <v>20140626</v>
      </c>
      <c r="F31" s="89" t="s">
        <v>21336</v>
      </c>
      <c r="G31" s="89" t="s">
        <v>21337</v>
      </c>
      <c r="H31" s="89" t="s">
        <v>21338</v>
      </c>
      <c r="I31" s="89" t="s">
        <v>21339</v>
      </c>
      <c r="J31" s="89" t="s">
        <v>591</v>
      </c>
      <c r="K31" s="89" t="s">
        <v>2457</v>
      </c>
      <c r="L31" s="89" t="s">
        <v>2617</v>
      </c>
      <c r="M31" s="89" t="s">
        <v>4503</v>
      </c>
      <c r="N31" s="89" t="s">
        <v>4496</v>
      </c>
      <c r="O31" s="89" t="s">
        <v>4496</v>
      </c>
      <c r="P31" s="89" t="s">
        <v>4496</v>
      </c>
      <c r="Q31" s="89"/>
      <c r="R31" s="89" t="s">
        <v>28</v>
      </c>
      <c r="S31" s="89" t="s">
        <v>21692</v>
      </c>
      <c r="T31" s="89" t="s">
        <v>21693</v>
      </c>
      <c r="U31" s="89" t="str">
        <f>TRIM('Carga Tributária doenças Po (2'!$L31)</f>
        <v>CLORIDRATO DE FEXOFENADINA</v>
      </c>
      <c r="V31" s="89">
        <f>SUMIFS('Tabela Federal'!$E$4:$E$2069,'Tabela Federal'!$D$4:$D$2069,'Carga Tributária doenças Po (2'!$L31)</f>
        <v>0</v>
      </c>
      <c r="W31" s="89">
        <f>SUMIFS('Tabela Federal'!$E$4:$E$2069,'Tabela Federal'!$D$4:$D$2069,'Carga Tributária doenças Po (2'!$M31)</f>
        <v>0</v>
      </c>
      <c r="X31" s="89">
        <f>SUMIFS('Tabela Federal'!$E$4:$E$2069,'Tabela Federal'!$D$4:$D$2069,'Carga Tributária doenças Po (2'!$N31)</f>
        <v>0</v>
      </c>
      <c r="Y31" s="89">
        <f>SUMIFS('Tabela Federal'!$E$4:$E$2069,'Tabela Federal'!$D$4:$D$2069,'Carga Tributária doenças Po (2'!$O31)</f>
        <v>0</v>
      </c>
      <c r="Z31" s="92" t="str">
        <f>VLOOKUP('Carga Tributária doenças Po (2'!$AD31,'Carga Tributária doenças Po (2'!$CA$12:$CC$16,2,0)</f>
        <v>-</v>
      </c>
      <c r="AA31" s="89" t="s">
        <v>226</v>
      </c>
      <c r="AB31" s="89" t="s">
        <v>21845</v>
      </c>
      <c r="AC31" s="89" t="s">
        <v>21721</v>
      </c>
      <c r="AD31" s="93" t="s">
        <v>19523</v>
      </c>
      <c r="AE31" s="92" t="s">
        <v>4</v>
      </c>
      <c r="AF31" s="92" t="s">
        <v>23</v>
      </c>
      <c r="AG31" s="94">
        <v>1785365</v>
      </c>
      <c r="AH31" s="95">
        <v>24650140</v>
      </c>
      <c r="AI31" s="95">
        <v>56040078.609999999</v>
      </c>
      <c r="AJ31" s="89" t="s">
        <v>589</v>
      </c>
      <c r="AK31" s="89">
        <f>IF('Carga Tributária doenças Po (2'!$Z31="+",0,SUMIFS(PISCOFINS!$I$3:$I$10518,PISCOFINS!$C$3:$C$10518,'Carga Tributária doenças Po (2'!$C31))</f>
        <v>2.1</v>
      </c>
      <c r="AL31" s="89">
        <f>IF('Carga Tributária doenças Po (2'!$Z31="+",0,SUMIFS(PISCOFINS!$H$3:$H$10518,PISCOFINS!$C$3:$C$10518,'Carga Tributária doenças Po (2'!$C31))</f>
        <v>9.9</v>
      </c>
      <c r="AM31" s="95">
        <v>3.27</v>
      </c>
      <c r="AN31" s="95">
        <v>3.12</v>
      </c>
      <c r="AO31" s="95">
        <v>1.35</v>
      </c>
      <c r="AP31" s="96">
        <v>18</v>
      </c>
      <c r="AQ31" s="96">
        <v>12</v>
      </c>
      <c r="AR31" s="96">
        <v>17</v>
      </c>
      <c r="AS31" s="97">
        <v>17</v>
      </c>
      <c r="AT31" s="97">
        <v>19</v>
      </c>
      <c r="AU31" s="97">
        <v>18</v>
      </c>
      <c r="AV31" s="97">
        <v>17</v>
      </c>
      <c r="AW31" s="97">
        <v>17</v>
      </c>
      <c r="AX31" s="97">
        <v>17</v>
      </c>
      <c r="AY31" s="97">
        <v>17</v>
      </c>
      <c r="AZ31" s="97">
        <v>17</v>
      </c>
      <c r="BA31" s="97">
        <v>17</v>
      </c>
      <c r="BB31" s="97">
        <v>17</v>
      </c>
      <c r="BC31" s="97">
        <v>17</v>
      </c>
      <c r="BD31" s="97">
        <v>17</v>
      </c>
      <c r="BE31" s="97">
        <v>17</v>
      </c>
      <c r="BF31" s="97">
        <f>+Tabela1107[[#This Row],[PIS]]+Tabela1107[[#This Row],[COFINS]]+Tabela1107[[#This Row],[CONTRIB. FOLHA]]+Tabela1107[[#This Row],[TRIBUTOS S/ LUCRO]]+Tabela1107[[#This Row],[OUTROS]]+Tabela1107[[#This Row],[SP]]</f>
        <v>37.74</v>
      </c>
      <c r="BG31" s="97">
        <f>+Tabela1107[[#This Row],[PIS]]+Tabela1107[[#This Row],[COFINS]]+Tabela1107[[#This Row],[CONTRIB. FOLHA]]+Tabela1107[[#This Row],[TRIBUTOS S/ LUCRO]]+Tabela1107[[#This Row],[OUTROS]]+Tabela1107[[#This Row],[PR]]</f>
        <v>31.740000000000002</v>
      </c>
      <c r="BH31" s="97">
        <f>+Tabela1107[[#This Row],[PIS]]+Tabela1107[[#This Row],[COFINS]]+Tabela1107[[#This Row],[CONTRIB. FOLHA]]+Tabela1107[[#This Row],[TRIBUTOS S/ LUCRO]]+Tabela1107[[#This Row],[OUTROS]]+Tabela1107[[#This Row],[SC]]</f>
        <v>36.74</v>
      </c>
      <c r="BI31" s="97">
        <f>+Tabela1107[[#This Row],[PIS]]+Tabela1107[[#This Row],[COFINS]]+Tabela1107[[#This Row],[CONTRIB. FOLHA]]+Tabela1107[[#This Row],[TRIBUTOS S/ LUCRO]]+Tabela1107[[#This Row],[OUTROS]]+Tabela1107[[#This Row],[RS]]</f>
        <v>36.74</v>
      </c>
      <c r="BJ31" s="97">
        <f>+Tabela1107[[#This Row],[PIS]]+Tabela1107[[#This Row],[COFINS]]+Tabela1107[[#This Row],[CONTRIB. FOLHA]]+Tabela1107[[#This Row],[TRIBUTOS S/ LUCRO]]+Tabela1107[[#This Row],[OUTROS]]+Tabela1107[[#This Row],[RJ]]</f>
        <v>38.74</v>
      </c>
      <c r="BK31" s="97">
        <f>+Tabela1107[[#This Row],[PIS]]+Tabela1107[[#This Row],[COFINS]]+Tabela1107[[#This Row],[CONTRIB. FOLHA]]+Tabela1107[[#This Row],[TRIBUTOS S/ LUCRO]]+Tabela1107[[#This Row],[OUTROS]]+Tabela1107[[#This Row],[MG]]</f>
        <v>37.74</v>
      </c>
      <c r="BL31" s="97">
        <f>+Tabela1107[[#This Row],[PIS]]+Tabela1107[[#This Row],[COFINS]]+Tabela1107[[#This Row],[CONTRIB. FOLHA]]+Tabela1107[[#This Row],[TRIBUTOS S/ LUCRO]]+Tabela1107[[#This Row],[OUTROS]]+Tabela1107[[#This Row],[ES]]</f>
        <v>36.74</v>
      </c>
      <c r="BM31" s="97">
        <f>+Tabela1107[[#This Row],[PIS]]+Tabela1107[[#This Row],[COFINS]]+Tabela1107[[#This Row],[CONTRIB. FOLHA]]+Tabela1107[[#This Row],[TRIBUTOS S/ LUCRO]]+Tabela1107[[#This Row],[OUTROS]]+Tabela1107[[#This Row],[GO]]</f>
        <v>36.74</v>
      </c>
      <c r="BN31" s="97">
        <f>+Tabela1107[[#This Row],[PIS]]+Tabela1107[[#This Row],[COFINS]]+Tabela1107[[#This Row],[CONTRIB. FOLHA]]+Tabela1107[[#This Row],[TRIBUTOS S/ LUCRO]]+Tabela1107[[#This Row],[OUTROS]]+Tabela1107[[#This Row],[MT]]</f>
        <v>36.74</v>
      </c>
      <c r="BO31" s="97">
        <f>+Tabela1107[[#This Row],[PIS]]+Tabela1107[[#This Row],[COFINS]]+Tabela1107[[#This Row],[CONTRIB. FOLHA]]+Tabela1107[[#This Row],[TRIBUTOS S/ LUCRO]]+Tabela1107[[#This Row],[OUTROS]]+Tabela1107[[#This Row],[MS]]</f>
        <v>36.74</v>
      </c>
      <c r="BP31" s="97">
        <f>+Tabela1107[[#This Row],[PIS]]+Tabela1107[[#This Row],[COFINS]]+Tabela1107[[#This Row],[CONTRIB. FOLHA]]+Tabela1107[[#This Row],[TRIBUTOS S/ LUCRO]]+Tabela1107[[#This Row],[OUTROS]]+Tabela1107[[#This Row],[DF]]</f>
        <v>36.74</v>
      </c>
      <c r="BQ31" s="97">
        <f>+Tabela1107[[#This Row],[PIS]]+Tabela1107[[#This Row],[COFINS]]+Tabela1107[[#This Row],[CONTRIB. FOLHA]]+Tabela1107[[#This Row],[TRIBUTOS S/ LUCRO]]+Tabela1107[[#This Row],[OUTROS]]+Tabela1107[[#This Row],[BA]]</f>
        <v>36.74</v>
      </c>
      <c r="BR31" s="97">
        <f>+Tabela1107[[#This Row],[PIS]]+Tabela1107[[#This Row],[COFINS]]+Tabela1107[[#This Row],[CONTRIB. FOLHA]]+Tabela1107[[#This Row],[TRIBUTOS S/ LUCRO]]+Tabela1107[[#This Row],[OUTROS]]+Tabela1107[[#This Row],[BA]]</f>
        <v>36.74</v>
      </c>
      <c r="BS31" s="97">
        <f>+Tabela1107[[#This Row],[PIS]]+Tabela1107[[#This Row],[COFINS]]+Tabela1107[[#This Row],[CONTRIB. FOLHA]]+Tabela1107[[#This Row],[TRIBUTOS S/ LUCRO]]+Tabela1107[[#This Row],[OUTROS]]+Tabela1107[[#This Row],[PE]]</f>
        <v>36.74</v>
      </c>
      <c r="BT31" s="97">
        <f>+Tabela1107[[#This Row],[PIS]]+Tabela1107[[#This Row],[COFINS]]+Tabela1107[[#This Row],[CONTRIB. FOLHA]]+Tabela1107[[#This Row],[TRIBUTOS S/ LUCRO]]+Tabela1107[[#This Row],[OUTROS]]+Tabela1107[[#This Row],[PA]]</f>
        <v>36.74</v>
      </c>
      <c r="BU31" s="97">
        <f>+Tabela1107[[#This Row],[PIS]]+Tabela1107[[#This Row],[COFINS]]+Tabela1107[[#This Row],[CONTRIB. FOLHA]]+Tabela1107[[#This Row],[TRIBUTOS S/ LUCRO]]+Tabela1107[[#This Row],[OUTROS]]+Tabela1107[[#This Row],[AM]]</f>
        <v>36.74</v>
      </c>
      <c r="BV31" s="97">
        <f>AVERAGE(Tabela1107[[#This Row],[TOTAL SP]:[TOTAL AM]])</f>
        <v>36.677500000000002</v>
      </c>
      <c r="BW31" s="97"/>
      <c r="BX31" s="97"/>
    </row>
    <row r="32" spans="2:76" x14ac:dyDescent="0.25">
      <c r="B32" s="89">
        <v>16455</v>
      </c>
      <c r="C32" s="91" t="s">
        <v>13183</v>
      </c>
      <c r="D32" s="89"/>
      <c r="E32" s="89">
        <v>20140626</v>
      </c>
      <c r="F32" s="89" t="s">
        <v>20607</v>
      </c>
      <c r="G32" s="89" t="s">
        <v>20608</v>
      </c>
      <c r="H32" s="89" t="s">
        <v>20609</v>
      </c>
      <c r="I32" s="89" t="s">
        <v>20610</v>
      </c>
      <c r="J32" s="89" t="s">
        <v>592</v>
      </c>
      <c r="K32" s="89" t="s">
        <v>2458</v>
      </c>
      <c r="L32" s="89" t="s">
        <v>2617</v>
      </c>
      <c r="M32" s="89" t="s">
        <v>4503</v>
      </c>
      <c r="N32" s="89" t="s">
        <v>4496</v>
      </c>
      <c r="O32" s="89" t="s">
        <v>4496</v>
      </c>
      <c r="P32" s="89" t="s">
        <v>4496</v>
      </c>
      <c r="Q32" s="89"/>
      <c r="R32" s="89" t="s">
        <v>29</v>
      </c>
      <c r="S32" s="89" t="s">
        <v>21616</v>
      </c>
      <c r="T32" s="89" t="s">
        <v>21617</v>
      </c>
      <c r="U32" s="89" t="str">
        <f>TRIM('Carga Tributária doenças Po (2'!$L32)</f>
        <v>CLORIDRATO DE FEXOFENADINA</v>
      </c>
      <c r="V32" s="89">
        <f>SUMIFS('Tabela Federal'!$E$4:$E$2069,'Tabela Federal'!$D$4:$D$2069,'Carga Tributária doenças Po (2'!$L32)</f>
        <v>0</v>
      </c>
      <c r="W32" s="89">
        <f>SUMIFS('Tabela Federal'!$E$4:$E$2069,'Tabela Federal'!$D$4:$D$2069,'Carga Tributária doenças Po (2'!$M32)</f>
        <v>0</v>
      </c>
      <c r="X32" s="89">
        <f>SUMIFS('Tabela Federal'!$E$4:$E$2069,'Tabela Federal'!$D$4:$D$2069,'Carga Tributária doenças Po (2'!$N32)</f>
        <v>0</v>
      </c>
      <c r="Y32" s="89">
        <f>SUMIFS('Tabela Federal'!$E$4:$E$2069,'Tabela Federal'!$D$4:$D$2069,'Carga Tributária doenças Po (2'!$O32)</f>
        <v>0</v>
      </c>
      <c r="Z32" s="92" t="str">
        <f>VLOOKUP('Carga Tributária doenças Po (2'!$AD32,'Carga Tributária doenças Po (2'!$CA$12:$CC$16,2,0)</f>
        <v>-</v>
      </c>
      <c r="AA32" s="89" t="s">
        <v>226</v>
      </c>
      <c r="AB32" s="89" t="s">
        <v>21845</v>
      </c>
      <c r="AC32" s="89" t="s">
        <v>21721</v>
      </c>
      <c r="AD32" s="93" t="s">
        <v>19523</v>
      </c>
      <c r="AE32" s="92" t="s">
        <v>4</v>
      </c>
      <c r="AF32" s="92" t="s">
        <v>3</v>
      </c>
      <c r="AG32" s="94">
        <v>829273</v>
      </c>
      <c r="AH32" s="95">
        <v>9847393</v>
      </c>
      <c r="AI32" s="95">
        <v>22341172.309999999</v>
      </c>
      <c r="AJ32" s="89" t="s">
        <v>589</v>
      </c>
      <c r="AK32" s="89">
        <f>IF('Carga Tributária doenças Po (2'!$Z32="+",0,SUMIFS(PISCOFINS!$I$3:$I$10518,PISCOFINS!$C$3:$C$10518,'Carga Tributária doenças Po (2'!$C32))</f>
        <v>2.1</v>
      </c>
      <c r="AL32" s="89">
        <f>IF('Carga Tributária doenças Po (2'!$Z32="+",0,SUMIFS(PISCOFINS!$H$3:$H$10518,PISCOFINS!$C$3:$C$10518,'Carga Tributária doenças Po (2'!$C32))</f>
        <v>9.9</v>
      </c>
      <c r="AM32" s="95">
        <v>3.27</v>
      </c>
      <c r="AN32" s="95">
        <v>3.12</v>
      </c>
      <c r="AO32" s="95">
        <v>1.35</v>
      </c>
      <c r="AP32" s="96">
        <v>18</v>
      </c>
      <c r="AQ32" s="96">
        <v>12</v>
      </c>
      <c r="AR32" s="96">
        <v>17</v>
      </c>
      <c r="AS32" s="97">
        <v>17</v>
      </c>
      <c r="AT32" s="97">
        <v>19</v>
      </c>
      <c r="AU32" s="97">
        <v>18</v>
      </c>
      <c r="AV32" s="97">
        <v>17</v>
      </c>
      <c r="AW32" s="97">
        <v>17</v>
      </c>
      <c r="AX32" s="97">
        <v>17</v>
      </c>
      <c r="AY32" s="97">
        <v>17</v>
      </c>
      <c r="AZ32" s="97">
        <v>17</v>
      </c>
      <c r="BA32" s="97">
        <v>17</v>
      </c>
      <c r="BB32" s="97">
        <v>17</v>
      </c>
      <c r="BC32" s="97">
        <v>17</v>
      </c>
      <c r="BD32" s="97">
        <v>17</v>
      </c>
      <c r="BE32" s="97">
        <v>17</v>
      </c>
      <c r="BF32" s="97">
        <f>+Tabela1107[[#This Row],[PIS]]+Tabela1107[[#This Row],[COFINS]]+Tabela1107[[#This Row],[CONTRIB. FOLHA]]+Tabela1107[[#This Row],[TRIBUTOS S/ LUCRO]]+Tabela1107[[#This Row],[OUTROS]]+Tabela1107[[#This Row],[SP]]</f>
        <v>37.74</v>
      </c>
      <c r="BG32" s="97">
        <f>+Tabela1107[[#This Row],[PIS]]+Tabela1107[[#This Row],[COFINS]]+Tabela1107[[#This Row],[CONTRIB. FOLHA]]+Tabela1107[[#This Row],[TRIBUTOS S/ LUCRO]]+Tabela1107[[#This Row],[OUTROS]]+Tabela1107[[#This Row],[PR]]</f>
        <v>31.740000000000002</v>
      </c>
      <c r="BH32" s="97">
        <f>+Tabela1107[[#This Row],[PIS]]+Tabela1107[[#This Row],[COFINS]]+Tabela1107[[#This Row],[CONTRIB. FOLHA]]+Tabela1107[[#This Row],[TRIBUTOS S/ LUCRO]]+Tabela1107[[#This Row],[OUTROS]]+Tabela1107[[#This Row],[SC]]</f>
        <v>36.74</v>
      </c>
      <c r="BI32" s="97">
        <f>+Tabela1107[[#This Row],[PIS]]+Tabela1107[[#This Row],[COFINS]]+Tabela1107[[#This Row],[CONTRIB. FOLHA]]+Tabela1107[[#This Row],[TRIBUTOS S/ LUCRO]]+Tabela1107[[#This Row],[OUTROS]]+Tabela1107[[#This Row],[RS]]</f>
        <v>36.74</v>
      </c>
      <c r="BJ32" s="97">
        <f>+Tabela1107[[#This Row],[PIS]]+Tabela1107[[#This Row],[COFINS]]+Tabela1107[[#This Row],[CONTRIB. FOLHA]]+Tabela1107[[#This Row],[TRIBUTOS S/ LUCRO]]+Tabela1107[[#This Row],[OUTROS]]+Tabela1107[[#This Row],[RJ]]</f>
        <v>38.74</v>
      </c>
      <c r="BK32" s="97">
        <f>+Tabela1107[[#This Row],[PIS]]+Tabela1107[[#This Row],[COFINS]]+Tabela1107[[#This Row],[CONTRIB. FOLHA]]+Tabela1107[[#This Row],[TRIBUTOS S/ LUCRO]]+Tabela1107[[#This Row],[OUTROS]]+Tabela1107[[#This Row],[MG]]</f>
        <v>37.74</v>
      </c>
      <c r="BL32" s="97">
        <f>+Tabela1107[[#This Row],[PIS]]+Tabela1107[[#This Row],[COFINS]]+Tabela1107[[#This Row],[CONTRIB. FOLHA]]+Tabela1107[[#This Row],[TRIBUTOS S/ LUCRO]]+Tabela1107[[#This Row],[OUTROS]]+Tabela1107[[#This Row],[ES]]</f>
        <v>36.74</v>
      </c>
      <c r="BM32" s="97">
        <f>+Tabela1107[[#This Row],[PIS]]+Tabela1107[[#This Row],[COFINS]]+Tabela1107[[#This Row],[CONTRIB. FOLHA]]+Tabela1107[[#This Row],[TRIBUTOS S/ LUCRO]]+Tabela1107[[#This Row],[OUTROS]]+Tabela1107[[#This Row],[GO]]</f>
        <v>36.74</v>
      </c>
      <c r="BN32" s="97">
        <f>+Tabela1107[[#This Row],[PIS]]+Tabela1107[[#This Row],[COFINS]]+Tabela1107[[#This Row],[CONTRIB. FOLHA]]+Tabela1107[[#This Row],[TRIBUTOS S/ LUCRO]]+Tabela1107[[#This Row],[OUTROS]]+Tabela1107[[#This Row],[MT]]</f>
        <v>36.74</v>
      </c>
      <c r="BO32" s="97">
        <f>+Tabela1107[[#This Row],[PIS]]+Tabela1107[[#This Row],[COFINS]]+Tabela1107[[#This Row],[CONTRIB. FOLHA]]+Tabela1107[[#This Row],[TRIBUTOS S/ LUCRO]]+Tabela1107[[#This Row],[OUTROS]]+Tabela1107[[#This Row],[MS]]</f>
        <v>36.74</v>
      </c>
      <c r="BP32" s="97">
        <f>+Tabela1107[[#This Row],[PIS]]+Tabela1107[[#This Row],[COFINS]]+Tabela1107[[#This Row],[CONTRIB. FOLHA]]+Tabela1107[[#This Row],[TRIBUTOS S/ LUCRO]]+Tabela1107[[#This Row],[OUTROS]]+Tabela1107[[#This Row],[DF]]</f>
        <v>36.74</v>
      </c>
      <c r="BQ32" s="97">
        <f>+Tabela1107[[#This Row],[PIS]]+Tabela1107[[#This Row],[COFINS]]+Tabela1107[[#This Row],[CONTRIB. FOLHA]]+Tabela1107[[#This Row],[TRIBUTOS S/ LUCRO]]+Tabela1107[[#This Row],[OUTROS]]+Tabela1107[[#This Row],[BA]]</f>
        <v>36.74</v>
      </c>
      <c r="BR32" s="97">
        <f>+Tabela1107[[#This Row],[PIS]]+Tabela1107[[#This Row],[COFINS]]+Tabela1107[[#This Row],[CONTRIB. FOLHA]]+Tabela1107[[#This Row],[TRIBUTOS S/ LUCRO]]+Tabela1107[[#This Row],[OUTROS]]+Tabela1107[[#This Row],[BA]]</f>
        <v>36.74</v>
      </c>
      <c r="BS32" s="97">
        <f>+Tabela1107[[#This Row],[PIS]]+Tabela1107[[#This Row],[COFINS]]+Tabela1107[[#This Row],[CONTRIB. FOLHA]]+Tabela1107[[#This Row],[TRIBUTOS S/ LUCRO]]+Tabela1107[[#This Row],[OUTROS]]+Tabela1107[[#This Row],[PE]]</f>
        <v>36.74</v>
      </c>
      <c r="BT32" s="97">
        <f>+Tabela1107[[#This Row],[PIS]]+Tabela1107[[#This Row],[COFINS]]+Tabela1107[[#This Row],[CONTRIB. FOLHA]]+Tabela1107[[#This Row],[TRIBUTOS S/ LUCRO]]+Tabela1107[[#This Row],[OUTROS]]+Tabela1107[[#This Row],[PA]]</f>
        <v>36.74</v>
      </c>
      <c r="BU32" s="97">
        <f>+Tabela1107[[#This Row],[PIS]]+Tabela1107[[#This Row],[COFINS]]+Tabela1107[[#This Row],[CONTRIB. FOLHA]]+Tabela1107[[#This Row],[TRIBUTOS S/ LUCRO]]+Tabela1107[[#This Row],[OUTROS]]+Tabela1107[[#This Row],[AM]]</f>
        <v>36.74</v>
      </c>
      <c r="BV32" s="97">
        <f>AVERAGE(Tabela1107[[#This Row],[TOTAL SP]:[TOTAL AM]])</f>
        <v>36.677500000000002</v>
      </c>
      <c r="BW32" s="97"/>
      <c r="BX32" s="97"/>
    </row>
    <row r="33" spans="2:76" x14ac:dyDescent="0.25">
      <c r="B33" s="89">
        <v>17693</v>
      </c>
      <c r="C33" s="91" t="s">
        <v>12996</v>
      </c>
      <c r="D33" s="89"/>
      <c r="E33" s="89">
        <v>20140626</v>
      </c>
      <c r="F33" s="89" t="s">
        <v>20405</v>
      </c>
      <c r="G33" s="89" t="s">
        <v>20406</v>
      </c>
      <c r="H33" s="89" t="s">
        <v>20407</v>
      </c>
      <c r="I33" s="89" t="s">
        <v>20404</v>
      </c>
      <c r="J33" s="89" t="s">
        <v>359</v>
      </c>
      <c r="K33" s="89" t="s">
        <v>2459</v>
      </c>
      <c r="L33" s="89" t="s">
        <v>2618</v>
      </c>
      <c r="M33" s="89" t="s">
        <v>4496</v>
      </c>
      <c r="N33" s="89" t="s">
        <v>4496</v>
      </c>
      <c r="O33" s="89" t="s">
        <v>4496</v>
      </c>
      <c r="P33" s="89" t="s">
        <v>4496</v>
      </c>
      <c r="Q33" s="89"/>
      <c r="R33" s="89" t="s">
        <v>109</v>
      </c>
      <c r="S33" s="89" t="s">
        <v>21578</v>
      </c>
      <c r="T33" s="89" t="s">
        <v>21579</v>
      </c>
      <c r="U33" s="89" t="str">
        <f>TRIM('Carga Tributária doenças Po (2'!$L33)</f>
        <v>CLORIDRATO DE MEMANTINA</v>
      </c>
      <c r="V33" s="89">
        <f>SUMIFS('Tabela Federal'!$E$4:$E$2069,'Tabela Federal'!$D$4:$D$2069,'Carga Tributária doenças Po (2'!$L33)</f>
        <v>1</v>
      </c>
      <c r="W33" s="89">
        <f>SUMIFS('Tabela Federal'!$E$4:$E$2069,'Tabela Federal'!$D$4:$D$2069,'Carga Tributária doenças Po (2'!$M33)</f>
        <v>0</v>
      </c>
      <c r="X33" s="89">
        <f>SUMIFS('Tabela Federal'!$E$4:$E$2069,'Tabela Federal'!$D$4:$D$2069,'Carga Tributária doenças Po (2'!$N33)</f>
        <v>0</v>
      </c>
      <c r="Y33" s="89">
        <f>SUMIFS('Tabela Federal'!$E$4:$E$2069,'Tabela Federal'!$D$4:$D$2069,'Carga Tributária doenças Po (2'!$O33)</f>
        <v>0</v>
      </c>
      <c r="Z33" s="92" t="str">
        <f>VLOOKUP('Carga Tributária doenças Po (2'!$AD33,'Carga Tributária doenças Po (2'!$CA$12:$CC$16,2,0)</f>
        <v>+</v>
      </c>
      <c r="AA33" s="89" t="s">
        <v>348</v>
      </c>
      <c r="AB33" s="89" t="s">
        <v>21734</v>
      </c>
      <c r="AC33" s="89" t="s">
        <v>21721</v>
      </c>
      <c r="AD33" s="93" t="s">
        <v>21722</v>
      </c>
      <c r="AE33" s="92" t="s">
        <v>4</v>
      </c>
      <c r="AF33" s="92" t="s">
        <v>3</v>
      </c>
      <c r="AG33" s="94">
        <v>90848</v>
      </c>
      <c r="AH33" s="95">
        <v>4159045</v>
      </c>
      <c r="AI33" s="95">
        <v>9479220.6999999993</v>
      </c>
      <c r="AJ33" s="89" t="s">
        <v>361</v>
      </c>
      <c r="AK33" s="89">
        <f>IF('Carga Tributária doenças Po (2'!$Z33="+",0,SUMIFS(PISCOFINS!$I$3:$I$10518,PISCOFINS!$C$3:$C$10518,'Carga Tributária doenças Po (2'!$C33))</f>
        <v>0</v>
      </c>
      <c r="AL33" s="89">
        <f>IF('Carga Tributária doenças Po (2'!$Z33="+",0,SUMIFS(PISCOFINS!$H$3:$H$10518,PISCOFINS!$C$3:$C$10518,'Carga Tributária doenças Po (2'!$C33))</f>
        <v>0</v>
      </c>
      <c r="AM33" s="95">
        <v>3.27</v>
      </c>
      <c r="AN33" s="95">
        <v>3.12</v>
      </c>
      <c r="AO33" s="95">
        <v>1.35</v>
      </c>
      <c r="AP33" s="96">
        <v>18</v>
      </c>
      <c r="AQ33" s="96">
        <v>12</v>
      </c>
      <c r="AR33" s="96">
        <v>17</v>
      </c>
      <c r="AS33" s="97">
        <v>17</v>
      </c>
      <c r="AT33" s="97">
        <v>19</v>
      </c>
      <c r="AU33" s="97">
        <v>18</v>
      </c>
      <c r="AV33" s="97">
        <v>17</v>
      </c>
      <c r="AW33" s="97">
        <v>17</v>
      </c>
      <c r="AX33" s="97">
        <v>17</v>
      </c>
      <c r="AY33" s="97">
        <v>17</v>
      </c>
      <c r="AZ33" s="97">
        <v>17</v>
      </c>
      <c r="BA33" s="97">
        <v>17</v>
      </c>
      <c r="BB33" s="97">
        <v>17</v>
      </c>
      <c r="BC33" s="97">
        <v>17</v>
      </c>
      <c r="BD33" s="97">
        <v>17</v>
      </c>
      <c r="BE33" s="97">
        <v>17</v>
      </c>
      <c r="BF33" s="97">
        <f>+Tabela1107[[#This Row],[PIS]]+Tabela1107[[#This Row],[COFINS]]+Tabela1107[[#This Row],[CONTRIB. FOLHA]]+Tabela1107[[#This Row],[TRIBUTOS S/ LUCRO]]+Tabela1107[[#This Row],[OUTROS]]+Tabela1107[[#This Row],[SP]]</f>
        <v>25.740000000000002</v>
      </c>
      <c r="BG33" s="97">
        <f>+Tabela1107[[#This Row],[PIS]]+Tabela1107[[#This Row],[COFINS]]+Tabela1107[[#This Row],[CONTRIB. FOLHA]]+Tabela1107[[#This Row],[TRIBUTOS S/ LUCRO]]+Tabela1107[[#This Row],[OUTROS]]+Tabela1107[[#This Row],[PR]]</f>
        <v>19.740000000000002</v>
      </c>
      <c r="BH33" s="97">
        <f>+Tabela1107[[#This Row],[PIS]]+Tabela1107[[#This Row],[COFINS]]+Tabela1107[[#This Row],[CONTRIB. FOLHA]]+Tabela1107[[#This Row],[TRIBUTOS S/ LUCRO]]+Tabela1107[[#This Row],[OUTROS]]+Tabela1107[[#This Row],[SC]]</f>
        <v>24.740000000000002</v>
      </c>
      <c r="BI33" s="97">
        <f>+Tabela1107[[#This Row],[PIS]]+Tabela1107[[#This Row],[COFINS]]+Tabela1107[[#This Row],[CONTRIB. FOLHA]]+Tabela1107[[#This Row],[TRIBUTOS S/ LUCRO]]+Tabela1107[[#This Row],[OUTROS]]+Tabela1107[[#This Row],[RS]]</f>
        <v>24.740000000000002</v>
      </c>
      <c r="BJ33" s="97">
        <f>+Tabela1107[[#This Row],[PIS]]+Tabela1107[[#This Row],[COFINS]]+Tabela1107[[#This Row],[CONTRIB. FOLHA]]+Tabela1107[[#This Row],[TRIBUTOS S/ LUCRO]]+Tabela1107[[#This Row],[OUTROS]]+Tabela1107[[#This Row],[RJ]]</f>
        <v>26.740000000000002</v>
      </c>
      <c r="BK33" s="97">
        <f>+Tabela1107[[#This Row],[PIS]]+Tabela1107[[#This Row],[COFINS]]+Tabela1107[[#This Row],[CONTRIB. FOLHA]]+Tabela1107[[#This Row],[TRIBUTOS S/ LUCRO]]+Tabela1107[[#This Row],[OUTROS]]+Tabela1107[[#This Row],[MG]]</f>
        <v>25.740000000000002</v>
      </c>
      <c r="BL33" s="97">
        <f>+Tabela1107[[#This Row],[PIS]]+Tabela1107[[#This Row],[COFINS]]+Tabela1107[[#This Row],[CONTRIB. FOLHA]]+Tabela1107[[#This Row],[TRIBUTOS S/ LUCRO]]+Tabela1107[[#This Row],[OUTROS]]+Tabela1107[[#This Row],[ES]]</f>
        <v>24.740000000000002</v>
      </c>
      <c r="BM33" s="97">
        <f>+Tabela1107[[#This Row],[PIS]]+Tabela1107[[#This Row],[COFINS]]+Tabela1107[[#This Row],[CONTRIB. FOLHA]]+Tabela1107[[#This Row],[TRIBUTOS S/ LUCRO]]+Tabela1107[[#This Row],[OUTROS]]+Tabela1107[[#This Row],[GO]]</f>
        <v>24.740000000000002</v>
      </c>
      <c r="BN33" s="97">
        <f>+Tabela1107[[#This Row],[PIS]]+Tabela1107[[#This Row],[COFINS]]+Tabela1107[[#This Row],[CONTRIB. FOLHA]]+Tabela1107[[#This Row],[TRIBUTOS S/ LUCRO]]+Tabela1107[[#This Row],[OUTROS]]+Tabela1107[[#This Row],[MT]]</f>
        <v>24.740000000000002</v>
      </c>
      <c r="BO33" s="97">
        <f>+Tabela1107[[#This Row],[PIS]]+Tabela1107[[#This Row],[COFINS]]+Tabela1107[[#This Row],[CONTRIB. FOLHA]]+Tabela1107[[#This Row],[TRIBUTOS S/ LUCRO]]+Tabela1107[[#This Row],[OUTROS]]+Tabela1107[[#This Row],[MS]]</f>
        <v>24.740000000000002</v>
      </c>
      <c r="BP33" s="97">
        <f>+Tabela1107[[#This Row],[PIS]]+Tabela1107[[#This Row],[COFINS]]+Tabela1107[[#This Row],[CONTRIB. FOLHA]]+Tabela1107[[#This Row],[TRIBUTOS S/ LUCRO]]+Tabela1107[[#This Row],[OUTROS]]+Tabela1107[[#This Row],[DF]]</f>
        <v>24.740000000000002</v>
      </c>
      <c r="BQ33" s="97">
        <f>+Tabela1107[[#This Row],[PIS]]+Tabela1107[[#This Row],[COFINS]]+Tabela1107[[#This Row],[CONTRIB. FOLHA]]+Tabela1107[[#This Row],[TRIBUTOS S/ LUCRO]]+Tabela1107[[#This Row],[OUTROS]]+Tabela1107[[#This Row],[BA]]</f>
        <v>24.740000000000002</v>
      </c>
      <c r="BR33" s="97">
        <f>+Tabela1107[[#This Row],[PIS]]+Tabela1107[[#This Row],[COFINS]]+Tabela1107[[#This Row],[CONTRIB. FOLHA]]+Tabela1107[[#This Row],[TRIBUTOS S/ LUCRO]]+Tabela1107[[#This Row],[OUTROS]]+Tabela1107[[#This Row],[BA]]</f>
        <v>24.740000000000002</v>
      </c>
      <c r="BS33" s="97">
        <f>+Tabela1107[[#This Row],[PIS]]+Tabela1107[[#This Row],[COFINS]]+Tabela1107[[#This Row],[CONTRIB. FOLHA]]+Tabela1107[[#This Row],[TRIBUTOS S/ LUCRO]]+Tabela1107[[#This Row],[OUTROS]]+Tabela1107[[#This Row],[PE]]</f>
        <v>24.740000000000002</v>
      </c>
      <c r="BT33" s="97">
        <f>+Tabela1107[[#This Row],[PIS]]+Tabela1107[[#This Row],[COFINS]]+Tabela1107[[#This Row],[CONTRIB. FOLHA]]+Tabela1107[[#This Row],[TRIBUTOS S/ LUCRO]]+Tabela1107[[#This Row],[OUTROS]]+Tabela1107[[#This Row],[PA]]</f>
        <v>24.740000000000002</v>
      </c>
      <c r="BU33" s="97">
        <f>+Tabela1107[[#This Row],[PIS]]+Tabela1107[[#This Row],[COFINS]]+Tabela1107[[#This Row],[CONTRIB. FOLHA]]+Tabela1107[[#This Row],[TRIBUTOS S/ LUCRO]]+Tabela1107[[#This Row],[OUTROS]]+Tabela1107[[#This Row],[AM]]</f>
        <v>24.740000000000002</v>
      </c>
      <c r="BV33" s="97">
        <f>AVERAGE(Tabela1107[[#This Row],[TOTAL SP]:[TOTAL AM]])</f>
        <v>24.677500000000006</v>
      </c>
      <c r="BW33" s="97"/>
      <c r="BX33" s="97"/>
    </row>
    <row r="34" spans="2:76" x14ac:dyDescent="0.25">
      <c r="B34" s="89">
        <v>17695</v>
      </c>
      <c r="C34" s="91" t="s">
        <v>13142</v>
      </c>
      <c r="D34" s="89"/>
      <c r="E34" s="89">
        <v>20140626</v>
      </c>
      <c r="F34" s="89" t="s">
        <v>20401</v>
      </c>
      <c r="G34" s="89" t="s">
        <v>20402</v>
      </c>
      <c r="H34" s="89" t="s">
        <v>20403</v>
      </c>
      <c r="I34" s="89" t="s">
        <v>20404</v>
      </c>
      <c r="J34" s="89" t="s">
        <v>347</v>
      </c>
      <c r="K34" s="89" t="s">
        <v>2459</v>
      </c>
      <c r="L34" s="89" t="s">
        <v>2618</v>
      </c>
      <c r="M34" s="89" t="s">
        <v>4496</v>
      </c>
      <c r="N34" s="89" t="s">
        <v>4496</v>
      </c>
      <c r="O34" s="89" t="s">
        <v>4496</v>
      </c>
      <c r="P34" s="89" t="s">
        <v>4496</v>
      </c>
      <c r="Q34" s="89"/>
      <c r="R34" s="89" t="s">
        <v>109</v>
      </c>
      <c r="S34" s="89" t="s">
        <v>21578</v>
      </c>
      <c r="T34" s="89" t="s">
        <v>21579</v>
      </c>
      <c r="U34" s="89" t="str">
        <f>TRIM('Carga Tributária doenças Po (2'!$L34)</f>
        <v>CLORIDRATO DE MEMANTINA</v>
      </c>
      <c r="V34" s="89">
        <f>SUMIFS('Tabela Federal'!$E$4:$E$2069,'Tabela Federal'!$D$4:$D$2069,'Carga Tributária doenças Po (2'!$L34)</f>
        <v>1</v>
      </c>
      <c r="W34" s="89">
        <f>SUMIFS('Tabela Federal'!$E$4:$E$2069,'Tabela Federal'!$D$4:$D$2069,'Carga Tributária doenças Po (2'!$M34)</f>
        <v>0</v>
      </c>
      <c r="X34" s="89">
        <f>SUMIFS('Tabela Federal'!$E$4:$E$2069,'Tabela Federal'!$D$4:$D$2069,'Carga Tributária doenças Po (2'!$N34)</f>
        <v>0</v>
      </c>
      <c r="Y34" s="89">
        <f>SUMIFS('Tabela Federal'!$E$4:$E$2069,'Tabela Federal'!$D$4:$D$2069,'Carga Tributária doenças Po (2'!$O34)</f>
        <v>0</v>
      </c>
      <c r="Z34" s="92" t="str">
        <f>VLOOKUP('Carga Tributária doenças Po (2'!$AD34,'Carga Tributária doenças Po (2'!$CA$12:$CC$16,2,0)</f>
        <v>+</v>
      </c>
      <c r="AA34" s="89" t="s">
        <v>348</v>
      </c>
      <c r="AB34" s="89" t="s">
        <v>21734</v>
      </c>
      <c r="AC34" s="89" t="s">
        <v>21721</v>
      </c>
      <c r="AD34" s="93" t="s">
        <v>21722</v>
      </c>
      <c r="AE34" s="92" t="s">
        <v>4</v>
      </c>
      <c r="AF34" s="92" t="s">
        <v>3</v>
      </c>
      <c r="AG34" s="94">
        <v>170946</v>
      </c>
      <c r="AH34" s="95">
        <v>3950984</v>
      </c>
      <c r="AI34" s="95">
        <v>9005303.8100000005</v>
      </c>
      <c r="AJ34" s="89" t="s">
        <v>361</v>
      </c>
      <c r="AK34" s="89">
        <f>IF('Carga Tributária doenças Po (2'!$Z34="+",0,SUMIFS(PISCOFINS!$I$3:$I$10518,PISCOFINS!$C$3:$C$10518,'Carga Tributária doenças Po (2'!$C34))</f>
        <v>0</v>
      </c>
      <c r="AL34" s="89">
        <f>IF('Carga Tributária doenças Po (2'!$Z34="+",0,SUMIFS(PISCOFINS!$H$3:$H$10518,PISCOFINS!$C$3:$C$10518,'Carga Tributária doenças Po (2'!$C34))</f>
        <v>0</v>
      </c>
      <c r="AM34" s="95">
        <v>3.27</v>
      </c>
      <c r="AN34" s="95">
        <v>3.12</v>
      </c>
      <c r="AO34" s="95">
        <v>1.35</v>
      </c>
      <c r="AP34" s="96">
        <v>18</v>
      </c>
      <c r="AQ34" s="96">
        <v>12</v>
      </c>
      <c r="AR34" s="96">
        <v>17</v>
      </c>
      <c r="AS34" s="97">
        <v>17</v>
      </c>
      <c r="AT34" s="97">
        <v>19</v>
      </c>
      <c r="AU34" s="97">
        <v>18</v>
      </c>
      <c r="AV34" s="97">
        <v>17</v>
      </c>
      <c r="AW34" s="97">
        <v>17</v>
      </c>
      <c r="AX34" s="97">
        <v>17</v>
      </c>
      <c r="AY34" s="97">
        <v>17</v>
      </c>
      <c r="AZ34" s="97">
        <v>17</v>
      </c>
      <c r="BA34" s="97">
        <v>17</v>
      </c>
      <c r="BB34" s="97">
        <v>17</v>
      </c>
      <c r="BC34" s="97">
        <v>17</v>
      </c>
      <c r="BD34" s="97">
        <v>17</v>
      </c>
      <c r="BE34" s="97">
        <v>17</v>
      </c>
      <c r="BF34" s="97">
        <f>+Tabela1107[[#This Row],[PIS]]+Tabela1107[[#This Row],[COFINS]]+Tabela1107[[#This Row],[CONTRIB. FOLHA]]+Tabela1107[[#This Row],[TRIBUTOS S/ LUCRO]]+Tabela1107[[#This Row],[OUTROS]]+Tabela1107[[#This Row],[SP]]</f>
        <v>25.740000000000002</v>
      </c>
      <c r="BG34" s="97">
        <f>+Tabela1107[[#This Row],[PIS]]+Tabela1107[[#This Row],[COFINS]]+Tabela1107[[#This Row],[CONTRIB. FOLHA]]+Tabela1107[[#This Row],[TRIBUTOS S/ LUCRO]]+Tabela1107[[#This Row],[OUTROS]]+Tabela1107[[#This Row],[PR]]</f>
        <v>19.740000000000002</v>
      </c>
      <c r="BH34" s="97">
        <f>+Tabela1107[[#This Row],[PIS]]+Tabela1107[[#This Row],[COFINS]]+Tabela1107[[#This Row],[CONTRIB. FOLHA]]+Tabela1107[[#This Row],[TRIBUTOS S/ LUCRO]]+Tabela1107[[#This Row],[OUTROS]]+Tabela1107[[#This Row],[SC]]</f>
        <v>24.740000000000002</v>
      </c>
      <c r="BI34" s="97">
        <f>+Tabela1107[[#This Row],[PIS]]+Tabela1107[[#This Row],[COFINS]]+Tabela1107[[#This Row],[CONTRIB. FOLHA]]+Tabela1107[[#This Row],[TRIBUTOS S/ LUCRO]]+Tabela1107[[#This Row],[OUTROS]]+Tabela1107[[#This Row],[RS]]</f>
        <v>24.740000000000002</v>
      </c>
      <c r="BJ34" s="97">
        <f>+Tabela1107[[#This Row],[PIS]]+Tabela1107[[#This Row],[COFINS]]+Tabela1107[[#This Row],[CONTRIB. FOLHA]]+Tabela1107[[#This Row],[TRIBUTOS S/ LUCRO]]+Tabela1107[[#This Row],[OUTROS]]+Tabela1107[[#This Row],[RJ]]</f>
        <v>26.740000000000002</v>
      </c>
      <c r="BK34" s="97">
        <f>+Tabela1107[[#This Row],[PIS]]+Tabela1107[[#This Row],[COFINS]]+Tabela1107[[#This Row],[CONTRIB. FOLHA]]+Tabela1107[[#This Row],[TRIBUTOS S/ LUCRO]]+Tabela1107[[#This Row],[OUTROS]]+Tabela1107[[#This Row],[MG]]</f>
        <v>25.740000000000002</v>
      </c>
      <c r="BL34" s="97">
        <f>+Tabela1107[[#This Row],[PIS]]+Tabela1107[[#This Row],[COFINS]]+Tabela1107[[#This Row],[CONTRIB. FOLHA]]+Tabela1107[[#This Row],[TRIBUTOS S/ LUCRO]]+Tabela1107[[#This Row],[OUTROS]]+Tabela1107[[#This Row],[ES]]</f>
        <v>24.740000000000002</v>
      </c>
      <c r="BM34" s="97">
        <f>+Tabela1107[[#This Row],[PIS]]+Tabela1107[[#This Row],[COFINS]]+Tabela1107[[#This Row],[CONTRIB. FOLHA]]+Tabela1107[[#This Row],[TRIBUTOS S/ LUCRO]]+Tabela1107[[#This Row],[OUTROS]]+Tabela1107[[#This Row],[GO]]</f>
        <v>24.740000000000002</v>
      </c>
      <c r="BN34" s="97">
        <f>+Tabela1107[[#This Row],[PIS]]+Tabela1107[[#This Row],[COFINS]]+Tabela1107[[#This Row],[CONTRIB. FOLHA]]+Tabela1107[[#This Row],[TRIBUTOS S/ LUCRO]]+Tabela1107[[#This Row],[OUTROS]]+Tabela1107[[#This Row],[MT]]</f>
        <v>24.740000000000002</v>
      </c>
      <c r="BO34" s="97">
        <f>+Tabela1107[[#This Row],[PIS]]+Tabela1107[[#This Row],[COFINS]]+Tabela1107[[#This Row],[CONTRIB. FOLHA]]+Tabela1107[[#This Row],[TRIBUTOS S/ LUCRO]]+Tabela1107[[#This Row],[OUTROS]]+Tabela1107[[#This Row],[MS]]</f>
        <v>24.740000000000002</v>
      </c>
      <c r="BP34" s="97">
        <f>+Tabela1107[[#This Row],[PIS]]+Tabela1107[[#This Row],[COFINS]]+Tabela1107[[#This Row],[CONTRIB. FOLHA]]+Tabela1107[[#This Row],[TRIBUTOS S/ LUCRO]]+Tabela1107[[#This Row],[OUTROS]]+Tabela1107[[#This Row],[DF]]</f>
        <v>24.740000000000002</v>
      </c>
      <c r="BQ34" s="97">
        <f>+Tabela1107[[#This Row],[PIS]]+Tabela1107[[#This Row],[COFINS]]+Tabela1107[[#This Row],[CONTRIB. FOLHA]]+Tabela1107[[#This Row],[TRIBUTOS S/ LUCRO]]+Tabela1107[[#This Row],[OUTROS]]+Tabela1107[[#This Row],[BA]]</f>
        <v>24.740000000000002</v>
      </c>
      <c r="BR34" s="97">
        <f>+Tabela1107[[#This Row],[PIS]]+Tabela1107[[#This Row],[COFINS]]+Tabela1107[[#This Row],[CONTRIB. FOLHA]]+Tabela1107[[#This Row],[TRIBUTOS S/ LUCRO]]+Tabela1107[[#This Row],[OUTROS]]+Tabela1107[[#This Row],[BA]]</f>
        <v>24.740000000000002</v>
      </c>
      <c r="BS34" s="97">
        <f>+Tabela1107[[#This Row],[PIS]]+Tabela1107[[#This Row],[COFINS]]+Tabela1107[[#This Row],[CONTRIB. FOLHA]]+Tabela1107[[#This Row],[TRIBUTOS S/ LUCRO]]+Tabela1107[[#This Row],[OUTROS]]+Tabela1107[[#This Row],[PE]]</f>
        <v>24.740000000000002</v>
      </c>
      <c r="BT34" s="97">
        <f>+Tabela1107[[#This Row],[PIS]]+Tabela1107[[#This Row],[COFINS]]+Tabela1107[[#This Row],[CONTRIB. FOLHA]]+Tabela1107[[#This Row],[TRIBUTOS S/ LUCRO]]+Tabela1107[[#This Row],[OUTROS]]+Tabela1107[[#This Row],[PA]]</f>
        <v>24.740000000000002</v>
      </c>
      <c r="BU34" s="97">
        <f>+Tabela1107[[#This Row],[PIS]]+Tabela1107[[#This Row],[COFINS]]+Tabela1107[[#This Row],[CONTRIB. FOLHA]]+Tabela1107[[#This Row],[TRIBUTOS S/ LUCRO]]+Tabela1107[[#This Row],[OUTROS]]+Tabela1107[[#This Row],[AM]]</f>
        <v>24.740000000000002</v>
      </c>
      <c r="BV34" s="97">
        <f>AVERAGE(Tabela1107[[#This Row],[TOTAL SP]:[TOTAL AM]])</f>
        <v>24.677500000000006</v>
      </c>
      <c r="BW34" s="97"/>
      <c r="BX34" s="97"/>
    </row>
    <row r="35" spans="2:76" x14ac:dyDescent="0.25">
      <c r="B35" s="89">
        <v>21461</v>
      </c>
      <c r="C35" s="91" t="s">
        <v>13168</v>
      </c>
      <c r="D35" s="89"/>
      <c r="E35" s="89">
        <v>20140626</v>
      </c>
      <c r="F35" s="89" t="s">
        <v>21256</v>
      </c>
      <c r="G35" s="89" t="s">
        <v>21257</v>
      </c>
      <c r="H35" s="89" t="s">
        <v>21258</v>
      </c>
      <c r="I35" s="89" t="s">
        <v>2476</v>
      </c>
      <c r="J35" s="89" t="s">
        <v>241</v>
      </c>
      <c r="K35" s="89" t="s">
        <v>2476</v>
      </c>
      <c r="L35" s="89" t="s">
        <v>2476</v>
      </c>
      <c r="M35" s="89" t="s">
        <v>4496</v>
      </c>
      <c r="N35" s="89" t="s">
        <v>4496</v>
      </c>
      <c r="O35" s="89" t="s">
        <v>4496</v>
      </c>
      <c r="P35" s="89" t="s">
        <v>4496</v>
      </c>
      <c r="Q35" s="89"/>
      <c r="R35" s="89" t="s">
        <v>123</v>
      </c>
      <c r="S35" s="89" t="s">
        <v>21570</v>
      </c>
      <c r="T35" s="89" t="s">
        <v>21571</v>
      </c>
      <c r="U35" s="89" t="str">
        <f>TRIM('Carga Tributária doenças Po (2'!$L35)</f>
        <v>ALOPURINOL</v>
      </c>
      <c r="V35" s="89">
        <f>SUMIFS('Tabela Federal'!$E$4:$E$2069,'Tabela Federal'!$D$4:$D$2069,'Carga Tributária doenças Po (2'!$L35)</f>
        <v>1</v>
      </c>
      <c r="W35" s="89">
        <f>SUMIFS('Tabela Federal'!$E$4:$E$2069,'Tabela Federal'!$D$4:$D$2069,'Carga Tributária doenças Po (2'!$M35)</f>
        <v>0</v>
      </c>
      <c r="X35" s="89">
        <f>SUMIFS('Tabela Federal'!$E$4:$E$2069,'Tabela Federal'!$D$4:$D$2069,'Carga Tributária doenças Po (2'!$N35)</f>
        <v>0</v>
      </c>
      <c r="Y35" s="89">
        <f>SUMIFS('Tabela Federal'!$E$4:$E$2069,'Tabela Federal'!$D$4:$D$2069,'Carga Tributária doenças Po (2'!$O35)</f>
        <v>0</v>
      </c>
      <c r="Z35" s="92" t="str">
        <f>VLOOKUP('Carga Tributária doenças Po (2'!$AD35,'Carga Tributária doenças Po (2'!$CA$12:$CC$16,2,0)</f>
        <v>+</v>
      </c>
      <c r="AA35" s="89" t="s">
        <v>242</v>
      </c>
      <c r="AB35" s="89" t="s">
        <v>21839</v>
      </c>
      <c r="AC35" s="89" t="s">
        <v>21721</v>
      </c>
      <c r="AD35" s="93" t="s">
        <v>21722</v>
      </c>
      <c r="AE35" s="92" t="s">
        <v>2</v>
      </c>
      <c r="AF35" s="92" t="s">
        <v>10</v>
      </c>
      <c r="AG35" s="94">
        <v>249125</v>
      </c>
      <c r="AH35" s="95">
        <v>588749</v>
      </c>
      <c r="AI35" s="95">
        <v>1343005.91</v>
      </c>
      <c r="AJ35" s="89" t="s">
        <v>250</v>
      </c>
      <c r="AK35" s="89">
        <f>IF('Carga Tributária doenças Po (2'!$Z35="+",0,SUMIFS(PISCOFINS!$I$3:$I$10518,PISCOFINS!$C$3:$C$10518,'Carga Tributária doenças Po (2'!$C35))</f>
        <v>0</v>
      </c>
      <c r="AL35" s="89">
        <f>IF('Carga Tributária doenças Po (2'!$Z35="+",0,SUMIFS(PISCOFINS!$H$3:$H$10518,PISCOFINS!$C$3:$C$10518,'Carga Tributária doenças Po (2'!$C35))</f>
        <v>0</v>
      </c>
      <c r="AM35" s="95">
        <v>3.27</v>
      </c>
      <c r="AN35" s="95">
        <v>3.12</v>
      </c>
      <c r="AO35" s="95">
        <v>1.35</v>
      </c>
      <c r="AP35" s="96">
        <v>18</v>
      </c>
      <c r="AQ35" s="96">
        <v>12</v>
      </c>
      <c r="AR35" s="96">
        <v>17</v>
      </c>
      <c r="AS35" s="97">
        <v>17</v>
      </c>
      <c r="AT35" s="97">
        <v>19</v>
      </c>
      <c r="AU35" s="97">
        <v>12</v>
      </c>
      <c r="AV35" s="97">
        <v>17</v>
      </c>
      <c r="AW35" s="97">
        <v>17</v>
      </c>
      <c r="AX35" s="97">
        <v>17</v>
      </c>
      <c r="AY35" s="97">
        <v>17</v>
      </c>
      <c r="AZ35" s="97">
        <v>17</v>
      </c>
      <c r="BA35" s="97">
        <v>17</v>
      </c>
      <c r="BB35" s="97">
        <v>17</v>
      </c>
      <c r="BC35" s="97">
        <v>17</v>
      </c>
      <c r="BD35" s="97">
        <v>17</v>
      </c>
      <c r="BE35" s="97">
        <v>17</v>
      </c>
      <c r="BF35" s="97">
        <f>+Tabela1107[[#This Row],[PIS]]+Tabela1107[[#This Row],[COFINS]]+Tabela1107[[#This Row],[CONTRIB. FOLHA]]+Tabela1107[[#This Row],[TRIBUTOS S/ LUCRO]]+Tabela1107[[#This Row],[OUTROS]]+Tabela1107[[#This Row],[SP]]</f>
        <v>25.740000000000002</v>
      </c>
      <c r="BG35" s="97">
        <f>+Tabela1107[[#This Row],[PIS]]+Tabela1107[[#This Row],[COFINS]]+Tabela1107[[#This Row],[CONTRIB. FOLHA]]+Tabela1107[[#This Row],[TRIBUTOS S/ LUCRO]]+Tabela1107[[#This Row],[OUTROS]]+Tabela1107[[#This Row],[PR]]</f>
        <v>19.740000000000002</v>
      </c>
      <c r="BH35" s="97">
        <f>+Tabela1107[[#This Row],[PIS]]+Tabela1107[[#This Row],[COFINS]]+Tabela1107[[#This Row],[CONTRIB. FOLHA]]+Tabela1107[[#This Row],[TRIBUTOS S/ LUCRO]]+Tabela1107[[#This Row],[OUTROS]]+Tabela1107[[#This Row],[SC]]</f>
        <v>24.740000000000002</v>
      </c>
      <c r="BI35" s="97">
        <f>+Tabela1107[[#This Row],[PIS]]+Tabela1107[[#This Row],[COFINS]]+Tabela1107[[#This Row],[CONTRIB. FOLHA]]+Tabela1107[[#This Row],[TRIBUTOS S/ LUCRO]]+Tabela1107[[#This Row],[OUTROS]]+Tabela1107[[#This Row],[RS]]</f>
        <v>24.740000000000002</v>
      </c>
      <c r="BJ35" s="97">
        <f>+Tabela1107[[#This Row],[PIS]]+Tabela1107[[#This Row],[COFINS]]+Tabela1107[[#This Row],[CONTRIB. FOLHA]]+Tabela1107[[#This Row],[TRIBUTOS S/ LUCRO]]+Tabela1107[[#This Row],[OUTROS]]+Tabela1107[[#This Row],[RJ]]</f>
        <v>26.740000000000002</v>
      </c>
      <c r="BK35" s="97">
        <f>+Tabela1107[[#This Row],[PIS]]+Tabela1107[[#This Row],[COFINS]]+Tabela1107[[#This Row],[CONTRIB. FOLHA]]+Tabela1107[[#This Row],[TRIBUTOS S/ LUCRO]]+Tabela1107[[#This Row],[OUTROS]]+Tabela1107[[#This Row],[MG]]</f>
        <v>19.740000000000002</v>
      </c>
      <c r="BL35" s="97">
        <f>+Tabela1107[[#This Row],[PIS]]+Tabela1107[[#This Row],[COFINS]]+Tabela1107[[#This Row],[CONTRIB. FOLHA]]+Tabela1107[[#This Row],[TRIBUTOS S/ LUCRO]]+Tabela1107[[#This Row],[OUTROS]]+Tabela1107[[#This Row],[ES]]</f>
        <v>24.740000000000002</v>
      </c>
      <c r="BM35" s="97">
        <f>+Tabela1107[[#This Row],[PIS]]+Tabela1107[[#This Row],[COFINS]]+Tabela1107[[#This Row],[CONTRIB. FOLHA]]+Tabela1107[[#This Row],[TRIBUTOS S/ LUCRO]]+Tabela1107[[#This Row],[OUTROS]]+Tabela1107[[#This Row],[GO]]</f>
        <v>24.740000000000002</v>
      </c>
      <c r="BN35" s="97">
        <f>+Tabela1107[[#This Row],[PIS]]+Tabela1107[[#This Row],[COFINS]]+Tabela1107[[#This Row],[CONTRIB. FOLHA]]+Tabela1107[[#This Row],[TRIBUTOS S/ LUCRO]]+Tabela1107[[#This Row],[OUTROS]]+Tabela1107[[#This Row],[MT]]</f>
        <v>24.740000000000002</v>
      </c>
      <c r="BO35" s="97">
        <f>+Tabela1107[[#This Row],[PIS]]+Tabela1107[[#This Row],[COFINS]]+Tabela1107[[#This Row],[CONTRIB. FOLHA]]+Tabela1107[[#This Row],[TRIBUTOS S/ LUCRO]]+Tabela1107[[#This Row],[OUTROS]]+Tabela1107[[#This Row],[MS]]</f>
        <v>24.740000000000002</v>
      </c>
      <c r="BP35" s="97">
        <f>+Tabela1107[[#This Row],[PIS]]+Tabela1107[[#This Row],[COFINS]]+Tabela1107[[#This Row],[CONTRIB. FOLHA]]+Tabela1107[[#This Row],[TRIBUTOS S/ LUCRO]]+Tabela1107[[#This Row],[OUTROS]]+Tabela1107[[#This Row],[DF]]</f>
        <v>24.740000000000002</v>
      </c>
      <c r="BQ35" s="97">
        <f>+Tabela1107[[#This Row],[PIS]]+Tabela1107[[#This Row],[COFINS]]+Tabela1107[[#This Row],[CONTRIB. FOLHA]]+Tabela1107[[#This Row],[TRIBUTOS S/ LUCRO]]+Tabela1107[[#This Row],[OUTROS]]+Tabela1107[[#This Row],[BA]]</f>
        <v>24.740000000000002</v>
      </c>
      <c r="BR35" s="97">
        <f>+Tabela1107[[#This Row],[PIS]]+Tabela1107[[#This Row],[COFINS]]+Tabela1107[[#This Row],[CONTRIB. FOLHA]]+Tabela1107[[#This Row],[TRIBUTOS S/ LUCRO]]+Tabela1107[[#This Row],[OUTROS]]+Tabela1107[[#This Row],[BA]]</f>
        <v>24.740000000000002</v>
      </c>
      <c r="BS35" s="97">
        <f>+Tabela1107[[#This Row],[PIS]]+Tabela1107[[#This Row],[COFINS]]+Tabela1107[[#This Row],[CONTRIB. FOLHA]]+Tabela1107[[#This Row],[TRIBUTOS S/ LUCRO]]+Tabela1107[[#This Row],[OUTROS]]+Tabela1107[[#This Row],[PE]]</f>
        <v>24.740000000000002</v>
      </c>
      <c r="BT35" s="97">
        <f>+Tabela1107[[#This Row],[PIS]]+Tabela1107[[#This Row],[COFINS]]+Tabela1107[[#This Row],[CONTRIB. FOLHA]]+Tabela1107[[#This Row],[TRIBUTOS S/ LUCRO]]+Tabela1107[[#This Row],[OUTROS]]+Tabela1107[[#This Row],[PA]]</f>
        <v>24.740000000000002</v>
      </c>
      <c r="BU35" s="97">
        <f>+Tabela1107[[#This Row],[PIS]]+Tabela1107[[#This Row],[COFINS]]+Tabela1107[[#This Row],[CONTRIB. FOLHA]]+Tabela1107[[#This Row],[TRIBUTOS S/ LUCRO]]+Tabela1107[[#This Row],[OUTROS]]+Tabela1107[[#This Row],[AM]]</f>
        <v>24.740000000000002</v>
      </c>
      <c r="BV35" s="97">
        <f>AVERAGE(Tabela1107[[#This Row],[TOTAL SP]:[TOTAL AM]])</f>
        <v>24.302500000000006</v>
      </c>
      <c r="BW35" s="97"/>
      <c r="BX35" s="97"/>
    </row>
    <row r="36" spans="2:76" x14ac:dyDescent="0.25">
      <c r="B36" s="89">
        <v>21463</v>
      </c>
      <c r="C36" s="91" t="s">
        <v>13168</v>
      </c>
      <c r="D36" s="89"/>
      <c r="E36" s="89">
        <v>20140626</v>
      </c>
      <c r="F36" s="89" t="s">
        <v>20986</v>
      </c>
      <c r="G36" s="89" t="s">
        <v>20987</v>
      </c>
      <c r="H36" s="89" t="s">
        <v>20988</v>
      </c>
      <c r="I36" s="89" t="s">
        <v>2476</v>
      </c>
      <c r="J36" s="89" t="s">
        <v>241</v>
      </c>
      <c r="K36" s="89" t="s">
        <v>2476</v>
      </c>
      <c r="L36" s="89" t="s">
        <v>2476</v>
      </c>
      <c r="M36" s="89" t="s">
        <v>4496</v>
      </c>
      <c r="N36" s="89" t="s">
        <v>4496</v>
      </c>
      <c r="O36" s="89" t="s">
        <v>4496</v>
      </c>
      <c r="P36" s="89" t="s">
        <v>4496</v>
      </c>
      <c r="Q36" s="89"/>
      <c r="R36" s="89" t="s">
        <v>52</v>
      </c>
      <c r="S36" s="89" t="s">
        <v>21652</v>
      </c>
      <c r="T36" s="89" t="s">
        <v>21653</v>
      </c>
      <c r="U36" s="89" t="str">
        <f>TRIM('Carga Tributária doenças Po (2'!$L36)</f>
        <v>ALOPURINOL</v>
      </c>
      <c r="V36" s="89">
        <f>SUMIFS('Tabela Federal'!$E$4:$E$2069,'Tabela Federal'!$D$4:$D$2069,'Carga Tributária doenças Po (2'!$L36)</f>
        <v>1</v>
      </c>
      <c r="W36" s="89">
        <f>SUMIFS('Tabela Federal'!$E$4:$E$2069,'Tabela Federal'!$D$4:$D$2069,'Carga Tributária doenças Po (2'!$M36)</f>
        <v>0</v>
      </c>
      <c r="X36" s="89">
        <f>SUMIFS('Tabela Federal'!$E$4:$E$2069,'Tabela Federal'!$D$4:$D$2069,'Carga Tributária doenças Po (2'!$N36)</f>
        <v>0</v>
      </c>
      <c r="Y36" s="89">
        <f>SUMIFS('Tabela Federal'!$E$4:$E$2069,'Tabela Federal'!$D$4:$D$2069,'Carga Tributária doenças Po (2'!$O36)</f>
        <v>0</v>
      </c>
      <c r="Z36" s="92" t="str">
        <f>VLOOKUP('Carga Tributária doenças Po (2'!$AD36,'Carga Tributária doenças Po (2'!$CA$12:$CC$16,2,0)</f>
        <v>+</v>
      </c>
      <c r="AA36" s="89" t="s">
        <v>242</v>
      </c>
      <c r="AB36" s="89" t="s">
        <v>21839</v>
      </c>
      <c r="AC36" s="89" t="s">
        <v>21721</v>
      </c>
      <c r="AD36" s="93" t="s">
        <v>21722</v>
      </c>
      <c r="AE36" s="92" t="s">
        <v>2</v>
      </c>
      <c r="AF36" s="92" t="s">
        <v>10</v>
      </c>
      <c r="AG36" s="94">
        <v>1311946</v>
      </c>
      <c r="AH36" s="95">
        <v>3223325</v>
      </c>
      <c r="AI36" s="95">
        <v>7352528.0099999998</v>
      </c>
      <c r="AJ36" s="89" t="s">
        <v>250</v>
      </c>
      <c r="AK36" s="89">
        <f>IF('Carga Tributária doenças Po (2'!$Z36="+",0,SUMIFS(PISCOFINS!$I$3:$I$10518,PISCOFINS!$C$3:$C$10518,'Carga Tributária doenças Po (2'!$C36))</f>
        <v>0</v>
      </c>
      <c r="AL36" s="89">
        <f>IF('Carga Tributária doenças Po (2'!$Z36="+",0,SUMIFS(PISCOFINS!$H$3:$H$10518,PISCOFINS!$C$3:$C$10518,'Carga Tributária doenças Po (2'!$C36))</f>
        <v>0</v>
      </c>
      <c r="AM36" s="95">
        <v>3.27</v>
      </c>
      <c r="AN36" s="95">
        <v>3.12</v>
      </c>
      <c r="AO36" s="95">
        <v>1.35</v>
      </c>
      <c r="AP36" s="96">
        <v>18</v>
      </c>
      <c r="AQ36" s="96">
        <v>12</v>
      </c>
      <c r="AR36" s="96">
        <v>17</v>
      </c>
      <c r="AS36" s="97">
        <v>17</v>
      </c>
      <c r="AT36" s="97">
        <v>19</v>
      </c>
      <c r="AU36" s="97">
        <v>12</v>
      </c>
      <c r="AV36" s="97">
        <v>17</v>
      </c>
      <c r="AW36" s="97">
        <v>17</v>
      </c>
      <c r="AX36" s="97">
        <v>17</v>
      </c>
      <c r="AY36" s="97">
        <v>17</v>
      </c>
      <c r="AZ36" s="97">
        <v>17</v>
      </c>
      <c r="BA36" s="97">
        <v>17</v>
      </c>
      <c r="BB36" s="97">
        <v>17</v>
      </c>
      <c r="BC36" s="97">
        <v>17</v>
      </c>
      <c r="BD36" s="97">
        <v>17</v>
      </c>
      <c r="BE36" s="97">
        <v>17</v>
      </c>
      <c r="BF36" s="97">
        <f>+Tabela1107[[#This Row],[PIS]]+Tabela1107[[#This Row],[COFINS]]+Tabela1107[[#This Row],[CONTRIB. FOLHA]]+Tabela1107[[#This Row],[TRIBUTOS S/ LUCRO]]+Tabela1107[[#This Row],[OUTROS]]+Tabela1107[[#This Row],[SP]]</f>
        <v>25.740000000000002</v>
      </c>
      <c r="BG36" s="97">
        <f>+Tabela1107[[#This Row],[PIS]]+Tabela1107[[#This Row],[COFINS]]+Tabela1107[[#This Row],[CONTRIB. FOLHA]]+Tabela1107[[#This Row],[TRIBUTOS S/ LUCRO]]+Tabela1107[[#This Row],[OUTROS]]+Tabela1107[[#This Row],[PR]]</f>
        <v>19.740000000000002</v>
      </c>
      <c r="BH36" s="97">
        <f>+Tabela1107[[#This Row],[PIS]]+Tabela1107[[#This Row],[COFINS]]+Tabela1107[[#This Row],[CONTRIB. FOLHA]]+Tabela1107[[#This Row],[TRIBUTOS S/ LUCRO]]+Tabela1107[[#This Row],[OUTROS]]+Tabela1107[[#This Row],[SC]]</f>
        <v>24.740000000000002</v>
      </c>
      <c r="BI36" s="97">
        <f>+Tabela1107[[#This Row],[PIS]]+Tabela1107[[#This Row],[COFINS]]+Tabela1107[[#This Row],[CONTRIB. FOLHA]]+Tabela1107[[#This Row],[TRIBUTOS S/ LUCRO]]+Tabela1107[[#This Row],[OUTROS]]+Tabela1107[[#This Row],[RS]]</f>
        <v>24.740000000000002</v>
      </c>
      <c r="BJ36" s="97">
        <f>+Tabela1107[[#This Row],[PIS]]+Tabela1107[[#This Row],[COFINS]]+Tabela1107[[#This Row],[CONTRIB. FOLHA]]+Tabela1107[[#This Row],[TRIBUTOS S/ LUCRO]]+Tabela1107[[#This Row],[OUTROS]]+Tabela1107[[#This Row],[RJ]]</f>
        <v>26.740000000000002</v>
      </c>
      <c r="BK36" s="97">
        <f>+Tabela1107[[#This Row],[PIS]]+Tabela1107[[#This Row],[COFINS]]+Tabela1107[[#This Row],[CONTRIB. FOLHA]]+Tabela1107[[#This Row],[TRIBUTOS S/ LUCRO]]+Tabela1107[[#This Row],[OUTROS]]+Tabela1107[[#This Row],[MG]]</f>
        <v>19.740000000000002</v>
      </c>
      <c r="BL36" s="97">
        <f>+Tabela1107[[#This Row],[PIS]]+Tabela1107[[#This Row],[COFINS]]+Tabela1107[[#This Row],[CONTRIB. FOLHA]]+Tabela1107[[#This Row],[TRIBUTOS S/ LUCRO]]+Tabela1107[[#This Row],[OUTROS]]+Tabela1107[[#This Row],[ES]]</f>
        <v>24.740000000000002</v>
      </c>
      <c r="BM36" s="97">
        <f>+Tabela1107[[#This Row],[PIS]]+Tabela1107[[#This Row],[COFINS]]+Tabela1107[[#This Row],[CONTRIB. FOLHA]]+Tabela1107[[#This Row],[TRIBUTOS S/ LUCRO]]+Tabela1107[[#This Row],[OUTROS]]+Tabela1107[[#This Row],[GO]]</f>
        <v>24.740000000000002</v>
      </c>
      <c r="BN36" s="97">
        <f>+Tabela1107[[#This Row],[PIS]]+Tabela1107[[#This Row],[COFINS]]+Tabela1107[[#This Row],[CONTRIB. FOLHA]]+Tabela1107[[#This Row],[TRIBUTOS S/ LUCRO]]+Tabela1107[[#This Row],[OUTROS]]+Tabela1107[[#This Row],[MT]]</f>
        <v>24.740000000000002</v>
      </c>
      <c r="BO36" s="97">
        <f>+Tabela1107[[#This Row],[PIS]]+Tabela1107[[#This Row],[COFINS]]+Tabela1107[[#This Row],[CONTRIB. FOLHA]]+Tabela1107[[#This Row],[TRIBUTOS S/ LUCRO]]+Tabela1107[[#This Row],[OUTROS]]+Tabela1107[[#This Row],[MS]]</f>
        <v>24.740000000000002</v>
      </c>
      <c r="BP36" s="97">
        <f>+Tabela1107[[#This Row],[PIS]]+Tabela1107[[#This Row],[COFINS]]+Tabela1107[[#This Row],[CONTRIB. FOLHA]]+Tabela1107[[#This Row],[TRIBUTOS S/ LUCRO]]+Tabela1107[[#This Row],[OUTROS]]+Tabela1107[[#This Row],[DF]]</f>
        <v>24.740000000000002</v>
      </c>
      <c r="BQ36" s="97">
        <f>+Tabela1107[[#This Row],[PIS]]+Tabela1107[[#This Row],[COFINS]]+Tabela1107[[#This Row],[CONTRIB. FOLHA]]+Tabela1107[[#This Row],[TRIBUTOS S/ LUCRO]]+Tabela1107[[#This Row],[OUTROS]]+Tabela1107[[#This Row],[BA]]</f>
        <v>24.740000000000002</v>
      </c>
      <c r="BR36" s="97">
        <f>+Tabela1107[[#This Row],[PIS]]+Tabela1107[[#This Row],[COFINS]]+Tabela1107[[#This Row],[CONTRIB. FOLHA]]+Tabela1107[[#This Row],[TRIBUTOS S/ LUCRO]]+Tabela1107[[#This Row],[OUTROS]]+Tabela1107[[#This Row],[BA]]</f>
        <v>24.740000000000002</v>
      </c>
      <c r="BS36" s="97">
        <f>+Tabela1107[[#This Row],[PIS]]+Tabela1107[[#This Row],[COFINS]]+Tabela1107[[#This Row],[CONTRIB. FOLHA]]+Tabela1107[[#This Row],[TRIBUTOS S/ LUCRO]]+Tabela1107[[#This Row],[OUTROS]]+Tabela1107[[#This Row],[PE]]</f>
        <v>24.740000000000002</v>
      </c>
      <c r="BT36" s="97">
        <f>+Tabela1107[[#This Row],[PIS]]+Tabela1107[[#This Row],[COFINS]]+Tabela1107[[#This Row],[CONTRIB. FOLHA]]+Tabela1107[[#This Row],[TRIBUTOS S/ LUCRO]]+Tabela1107[[#This Row],[OUTROS]]+Tabela1107[[#This Row],[PA]]</f>
        <v>24.740000000000002</v>
      </c>
      <c r="BU36" s="97">
        <f>+Tabela1107[[#This Row],[PIS]]+Tabela1107[[#This Row],[COFINS]]+Tabela1107[[#This Row],[CONTRIB. FOLHA]]+Tabela1107[[#This Row],[TRIBUTOS S/ LUCRO]]+Tabela1107[[#This Row],[OUTROS]]+Tabela1107[[#This Row],[AM]]</f>
        <v>24.740000000000002</v>
      </c>
      <c r="BV36" s="97">
        <f>AVERAGE(Tabela1107[[#This Row],[TOTAL SP]:[TOTAL AM]])</f>
        <v>24.302500000000006</v>
      </c>
      <c r="BW36" s="97"/>
      <c r="BX36" s="97"/>
    </row>
    <row r="37" spans="2:76" x14ac:dyDescent="0.25">
      <c r="B37" s="89">
        <v>21467</v>
      </c>
      <c r="C37" s="91" t="s">
        <v>13168</v>
      </c>
      <c r="D37" s="89"/>
      <c r="E37" s="89">
        <v>20140626</v>
      </c>
      <c r="F37" s="89" t="s">
        <v>20989</v>
      </c>
      <c r="G37" s="89" t="s">
        <v>20990</v>
      </c>
      <c r="H37" s="89" t="s">
        <v>20991</v>
      </c>
      <c r="I37" s="89" t="s">
        <v>2476</v>
      </c>
      <c r="J37" s="89" t="s">
        <v>243</v>
      </c>
      <c r="K37" s="89" t="s">
        <v>2476</v>
      </c>
      <c r="L37" s="89" t="s">
        <v>2476</v>
      </c>
      <c r="M37" s="89" t="s">
        <v>4496</v>
      </c>
      <c r="N37" s="89" t="s">
        <v>4496</v>
      </c>
      <c r="O37" s="89" t="s">
        <v>4496</v>
      </c>
      <c r="P37" s="89" t="s">
        <v>4496</v>
      </c>
      <c r="Q37" s="89"/>
      <c r="R37" s="89" t="s">
        <v>52</v>
      </c>
      <c r="S37" s="89" t="s">
        <v>21652</v>
      </c>
      <c r="T37" s="89" t="s">
        <v>21653</v>
      </c>
      <c r="U37" s="89" t="str">
        <f>TRIM('Carga Tributária doenças Po (2'!$L37)</f>
        <v>ALOPURINOL</v>
      </c>
      <c r="V37" s="89">
        <f>SUMIFS('Tabela Federal'!$E$4:$E$2069,'Tabela Federal'!$D$4:$D$2069,'Carga Tributária doenças Po (2'!$L37)</f>
        <v>1</v>
      </c>
      <c r="W37" s="89">
        <f>SUMIFS('Tabela Federal'!$E$4:$E$2069,'Tabela Federal'!$D$4:$D$2069,'Carga Tributária doenças Po (2'!$M37)</f>
        <v>0</v>
      </c>
      <c r="X37" s="89">
        <f>SUMIFS('Tabela Federal'!$E$4:$E$2069,'Tabela Federal'!$D$4:$D$2069,'Carga Tributária doenças Po (2'!$N37)</f>
        <v>0</v>
      </c>
      <c r="Y37" s="89">
        <f>SUMIFS('Tabela Federal'!$E$4:$E$2069,'Tabela Federal'!$D$4:$D$2069,'Carga Tributária doenças Po (2'!$O37)</f>
        <v>0</v>
      </c>
      <c r="Z37" s="92" t="str">
        <f>VLOOKUP('Carga Tributária doenças Po (2'!$AD37,'Carga Tributária doenças Po (2'!$CA$12:$CC$16,2,0)</f>
        <v>+</v>
      </c>
      <c r="AA37" s="89" t="s">
        <v>242</v>
      </c>
      <c r="AB37" s="89" t="s">
        <v>21839</v>
      </c>
      <c r="AC37" s="89" t="s">
        <v>21721</v>
      </c>
      <c r="AD37" s="93" t="s">
        <v>21722</v>
      </c>
      <c r="AE37" s="92" t="s">
        <v>2</v>
      </c>
      <c r="AF37" s="92" t="s">
        <v>10</v>
      </c>
      <c r="AG37" s="94">
        <v>920850</v>
      </c>
      <c r="AH37" s="95">
        <v>6672403</v>
      </c>
      <c r="AI37" s="95">
        <v>15240524.140000001</v>
      </c>
      <c r="AJ37" s="89" t="s">
        <v>250</v>
      </c>
      <c r="AK37" s="89">
        <f>IF('Carga Tributária doenças Po (2'!$Z37="+",0,SUMIFS(PISCOFINS!$I$3:$I$10518,PISCOFINS!$C$3:$C$10518,'Carga Tributária doenças Po (2'!$C37))</f>
        <v>0</v>
      </c>
      <c r="AL37" s="89">
        <f>IF('Carga Tributária doenças Po (2'!$Z37="+",0,SUMIFS(PISCOFINS!$H$3:$H$10518,PISCOFINS!$C$3:$C$10518,'Carga Tributária doenças Po (2'!$C37))</f>
        <v>0</v>
      </c>
      <c r="AM37" s="95">
        <v>3.27</v>
      </c>
      <c r="AN37" s="95">
        <v>3.12</v>
      </c>
      <c r="AO37" s="95">
        <v>1.35</v>
      </c>
      <c r="AP37" s="96">
        <v>18</v>
      </c>
      <c r="AQ37" s="96">
        <v>12</v>
      </c>
      <c r="AR37" s="96">
        <v>17</v>
      </c>
      <c r="AS37" s="97">
        <v>17</v>
      </c>
      <c r="AT37" s="97">
        <v>19</v>
      </c>
      <c r="AU37" s="97">
        <v>12</v>
      </c>
      <c r="AV37" s="97">
        <v>17</v>
      </c>
      <c r="AW37" s="97">
        <v>17</v>
      </c>
      <c r="AX37" s="97">
        <v>17</v>
      </c>
      <c r="AY37" s="97">
        <v>17</v>
      </c>
      <c r="AZ37" s="97">
        <v>17</v>
      </c>
      <c r="BA37" s="97">
        <v>17</v>
      </c>
      <c r="BB37" s="97">
        <v>17</v>
      </c>
      <c r="BC37" s="97">
        <v>17</v>
      </c>
      <c r="BD37" s="97">
        <v>17</v>
      </c>
      <c r="BE37" s="97">
        <v>17</v>
      </c>
      <c r="BF37" s="97">
        <f>+Tabela1107[[#This Row],[PIS]]+Tabela1107[[#This Row],[COFINS]]+Tabela1107[[#This Row],[CONTRIB. FOLHA]]+Tabela1107[[#This Row],[TRIBUTOS S/ LUCRO]]+Tabela1107[[#This Row],[OUTROS]]+Tabela1107[[#This Row],[SP]]</f>
        <v>25.740000000000002</v>
      </c>
      <c r="BG37" s="97">
        <f>+Tabela1107[[#This Row],[PIS]]+Tabela1107[[#This Row],[COFINS]]+Tabela1107[[#This Row],[CONTRIB. FOLHA]]+Tabela1107[[#This Row],[TRIBUTOS S/ LUCRO]]+Tabela1107[[#This Row],[OUTROS]]+Tabela1107[[#This Row],[PR]]</f>
        <v>19.740000000000002</v>
      </c>
      <c r="BH37" s="97">
        <f>+Tabela1107[[#This Row],[PIS]]+Tabela1107[[#This Row],[COFINS]]+Tabela1107[[#This Row],[CONTRIB. FOLHA]]+Tabela1107[[#This Row],[TRIBUTOS S/ LUCRO]]+Tabela1107[[#This Row],[OUTROS]]+Tabela1107[[#This Row],[SC]]</f>
        <v>24.740000000000002</v>
      </c>
      <c r="BI37" s="97">
        <f>+Tabela1107[[#This Row],[PIS]]+Tabela1107[[#This Row],[COFINS]]+Tabela1107[[#This Row],[CONTRIB. FOLHA]]+Tabela1107[[#This Row],[TRIBUTOS S/ LUCRO]]+Tabela1107[[#This Row],[OUTROS]]+Tabela1107[[#This Row],[RS]]</f>
        <v>24.740000000000002</v>
      </c>
      <c r="BJ37" s="97">
        <f>+Tabela1107[[#This Row],[PIS]]+Tabela1107[[#This Row],[COFINS]]+Tabela1107[[#This Row],[CONTRIB. FOLHA]]+Tabela1107[[#This Row],[TRIBUTOS S/ LUCRO]]+Tabela1107[[#This Row],[OUTROS]]+Tabela1107[[#This Row],[RJ]]</f>
        <v>26.740000000000002</v>
      </c>
      <c r="BK37" s="97">
        <f>+Tabela1107[[#This Row],[PIS]]+Tabela1107[[#This Row],[COFINS]]+Tabela1107[[#This Row],[CONTRIB. FOLHA]]+Tabela1107[[#This Row],[TRIBUTOS S/ LUCRO]]+Tabela1107[[#This Row],[OUTROS]]+Tabela1107[[#This Row],[MG]]</f>
        <v>19.740000000000002</v>
      </c>
      <c r="BL37" s="97">
        <f>+Tabela1107[[#This Row],[PIS]]+Tabela1107[[#This Row],[COFINS]]+Tabela1107[[#This Row],[CONTRIB. FOLHA]]+Tabela1107[[#This Row],[TRIBUTOS S/ LUCRO]]+Tabela1107[[#This Row],[OUTROS]]+Tabela1107[[#This Row],[ES]]</f>
        <v>24.740000000000002</v>
      </c>
      <c r="BM37" s="97">
        <f>+Tabela1107[[#This Row],[PIS]]+Tabela1107[[#This Row],[COFINS]]+Tabela1107[[#This Row],[CONTRIB. FOLHA]]+Tabela1107[[#This Row],[TRIBUTOS S/ LUCRO]]+Tabela1107[[#This Row],[OUTROS]]+Tabela1107[[#This Row],[GO]]</f>
        <v>24.740000000000002</v>
      </c>
      <c r="BN37" s="97">
        <f>+Tabela1107[[#This Row],[PIS]]+Tabela1107[[#This Row],[COFINS]]+Tabela1107[[#This Row],[CONTRIB. FOLHA]]+Tabela1107[[#This Row],[TRIBUTOS S/ LUCRO]]+Tabela1107[[#This Row],[OUTROS]]+Tabela1107[[#This Row],[MT]]</f>
        <v>24.740000000000002</v>
      </c>
      <c r="BO37" s="97">
        <f>+Tabela1107[[#This Row],[PIS]]+Tabela1107[[#This Row],[COFINS]]+Tabela1107[[#This Row],[CONTRIB. FOLHA]]+Tabela1107[[#This Row],[TRIBUTOS S/ LUCRO]]+Tabela1107[[#This Row],[OUTROS]]+Tabela1107[[#This Row],[MS]]</f>
        <v>24.740000000000002</v>
      </c>
      <c r="BP37" s="97">
        <f>+Tabela1107[[#This Row],[PIS]]+Tabela1107[[#This Row],[COFINS]]+Tabela1107[[#This Row],[CONTRIB. FOLHA]]+Tabela1107[[#This Row],[TRIBUTOS S/ LUCRO]]+Tabela1107[[#This Row],[OUTROS]]+Tabela1107[[#This Row],[DF]]</f>
        <v>24.740000000000002</v>
      </c>
      <c r="BQ37" s="97">
        <f>+Tabela1107[[#This Row],[PIS]]+Tabela1107[[#This Row],[COFINS]]+Tabela1107[[#This Row],[CONTRIB. FOLHA]]+Tabela1107[[#This Row],[TRIBUTOS S/ LUCRO]]+Tabela1107[[#This Row],[OUTROS]]+Tabela1107[[#This Row],[BA]]</f>
        <v>24.740000000000002</v>
      </c>
      <c r="BR37" s="97">
        <f>+Tabela1107[[#This Row],[PIS]]+Tabela1107[[#This Row],[COFINS]]+Tabela1107[[#This Row],[CONTRIB. FOLHA]]+Tabela1107[[#This Row],[TRIBUTOS S/ LUCRO]]+Tabela1107[[#This Row],[OUTROS]]+Tabela1107[[#This Row],[BA]]</f>
        <v>24.740000000000002</v>
      </c>
      <c r="BS37" s="97">
        <f>+Tabela1107[[#This Row],[PIS]]+Tabela1107[[#This Row],[COFINS]]+Tabela1107[[#This Row],[CONTRIB. FOLHA]]+Tabela1107[[#This Row],[TRIBUTOS S/ LUCRO]]+Tabela1107[[#This Row],[OUTROS]]+Tabela1107[[#This Row],[PE]]</f>
        <v>24.740000000000002</v>
      </c>
      <c r="BT37" s="97">
        <f>+Tabela1107[[#This Row],[PIS]]+Tabela1107[[#This Row],[COFINS]]+Tabela1107[[#This Row],[CONTRIB. FOLHA]]+Tabela1107[[#This Row],[TRIBUTOS S/ LUCRO]]+Tabela1107[[#This Row],[OUTROS]]+Tabela1107[[#This Row],[PA]]</f>
        <v>24.740000000000002</v>
      </c>
      <c r="BU37" s="97">
        <f>+Tabela1107[[#This Row],[PIS]]+Tabela1107[[#This Row],[COFINS]]+Tabela1107[[#This Row],[CONTRIB. FOLHA]]+Tabela1107[[#This Row],[TRIBUTOS S/ LUCRO]]+Tabela1107[[#This Row],[OUTROS]]+Tabela1107[[#This Row],[AM]]</f>
        <v>24.740000000000002</v>
      </c>
      <c r="BV37" s="97">
        <f>AVERAGE(Tabela1107[[#This Row],[TOTAL SP]:[TOTAL AM]])</f>
        <v>24.302500000000006</v>
      </c>
      <c r="BW37" s="97"/>
      <c r="BX37" s="97"/>
    </row>
    <row r="38" spans="2:76" x14ac:dyDescent="0.25">
      <c r="B38" s="89">
        <v>21471</v>
      </c>
      <c r="C38" s="91" t="s">
        <v>13168</v>
      </c>
      <c r="D38" s="89"/>
      <c r="E38" s="89">
        <v>20140626</v>
      </c>
      <c r="F38" s="89" t="s">
        <v>21301</v>
      </c>
      <c r="G38" s="89" t="s">
        <v>21302</v>
      </c>
      <c r="H38" s="89" t="s">
        <v>21303</v>
      </c>
      <c r="I38" s="89" t="s">
        <v>2476</v>
      </c>
      <c r="J38" s="89" t="s">
        <v>243</v>
      </c>
      <c r="K38" s="89" t="s">
        <v>2476</v>
      </c>
      <c r="L38" s="89" t="s">
        <v>2476</v>
      </c>
      <c r="M38" s="89" t="s">
        <v>4496</v>
      </c>
      <c r="N38" s="89" t="s">
        <v>4496</v>
      </c>
      <c r="O38" s="89" t="s">
        <v>4496</v>
      </c>
      <c r="P38" s="89" t="s">
        <v>4496</v>
      </c>
      <c r="Q38" s="89"/>
      <c r="R38" s="89" t="s">
        <v>103</v>
      </c>
      <c r="S38" s="89" t="s">
        <v>21690</v>
      </c>
      <c r="T38" s="89" t="s">
        <v>21691</v>
      </c>
      <c r="U38" s="89" t="str">
        <f>TRIM('Carga Tributária doenças Po (2'!$L38)</f>
        <v>ALOPURINOL</v>
      </c>
      <c r="V38" s="89">
        <f>SUMIFS('Tabela Federal'!$E$4:$E$2069,'Tabela Federal'!$D$4:$D$2069,'Carga Tributária doenças Po (2'!$L38)</f>
        <v>1</v>
      </c>
      <c r="W38" s="89">
        <f>SUMIFS('Tabela Federal'!$E$4:$E$2069,'Tabela Federal'!$D$4:$D$2069,'Carga Tributária doenças Po (2'!$M38)</f>
        <v>0</v>
      </c>
      <c r="X38" s="89">
        <f>SUMIFS('Tabela Federal'!$E$4:$E$2069,'Tabela Federal'!$D$4:$D$2069,'Carga Tributária doenças Po (2'!$N38)</f>
        <v>0</v>
      </c>
      <c r="Y38" s="89">
        <f>SUMIFS('Tabela Federal'!$E$4:$E$2069,'Tabela Federal'!$D$4:$D$2069,'Carga Tributária doenças Po (2'!$O38)</f>
        <v>0</v>
      </c>
      <c r="Z38" s="92" t="str">
        <f>VLOOKUP('Carga Tributária doenças Po (2'!$AD38,'Carga Tributária doenças Po (2'!$CA$12:$CC$16,2,0)</f>
        <v>+</v>
      </c>
      <c r="AA38" s="89" t="s">
        <v>242</v>
      </c>
      <c r="AB38" s="89" t="s">
        <v>21839</v>
      </c>
      <c r="AC38" s="89" t="s">
        <v>21721</v>
      </c>
      <c r="AD38" s="93" t="s">
        <v>21722</v>
      </c>
      <c r="AE38" s="92" t="s">
        <v>2</v>
      </c>
      <c r="AF38" s="92" t="s">
        <v>10</v>
      </c>
      <c r="AG38" s="94">
        <v>559458</v>
      </c>
      <c r="AH38" s="95">
        <v>3745861</v>
      </c>
      <c r="AI38" s="95">
        <v>8558044.9299999997</v>
      </c>
      <c r="AJ38" s="89" t="s">
        <v>250</v>
      </c>
      <c r="AK38" s="89">
        <f>IF('Carga Tributária doenças Po (2'!$Z38="+",0,SUMIFS(PISCOFINS!$I$3:$I$10518,PISCOFINS!$C$3:$C$10518,'Carga Tributária doenças Po (2'!$C38))</f>
        <v>0</v>
      </c>
      <c r="AL38" s="89">
        <f>IF('Carga Tributária doenças Po (2'!$Z38="+",0,SUMIFS(PISCOFINS!$H$3:$H$10518,PISCOFINS!$C$3:$C$10518,'Carga Tributária doenças Po (2'!$C38))</f>
        <v>0</v>
      </c>
      <c r="AM38" s="95">
        <v>3.27</v>
      </c>
      <c r="AN38" s="95">
        <v>3.12</v>
      </c>
      <c r="AO38" s="95">
        <v>1.35</v>
      </c>
      <c r="AP38" s="96">
        <v>18</v>
      </c>
      <c r="AQ38" s="96">
        <v>12</v>
      </c>
      <c r="AR38" s="96">
        <v>17</v>
      </c>
      <c r="AS38" s="97">
        <v>17</v>
      </c>
      <c r="AT38" s="97">
        <v>19</v>
      </c>
      <c r="AU38" s="97">
        <v>12</v>
      </c>
      <c r="AV38" s="97">
        <v>17</v>
      </c>
      <c r="AW38" s="97">
        <v>17</v>
      </c>
      <c r="AX38" s="97">
        <v>17</v>
      </c>
      <c r="AY38" s="97">
        <v>17</v>
      </c>
      <c r="AZ38" s="97">
        <v>17</v>
      </c>
      <c r="BA38" s="97">
        <v>17</v>
      </c>
      <c r="BB38" s="97">
        <v>17</v>
      </c>
      <c r="BC38" s="97">
        <v>17</v>
      </c>
      <c r="BD38" s="97">
        <v>17</v>
      </c>
      <c r="BE38" s="97">
        <v>17</v>
      </c>
      <c r="BF38" s="97">
        <f>+Tabela1107[[#This Row],[PIS]]+Tabela1107[[#This Row],[COFINS]]+Tabela1107[[#This Row],[CONTRIB. FOLHA]]+Tabela1107[[#This Row],[TRIBUTOS S/ LUCRO]]+Tabela1107[[#This Row],[OUTROS]]+Tabela1107[[#This Row],[SP]]</f>
        <v>25.740000000000002</v>
      </c>
      <c r="BG38" s="97">
        <f>+Tabela1107[[#This Row],[PIS]]+Tabela1107[[#This Row],[COFINS]]+Tabela1107[[#This Row],[CONTRIB. FOLHA]]+Tabela1107[[#This Row],[TRIBUTOS S/ LUCRO]]+Tabela1107[[#This Row],[OUTROS]]+Tabela1107[[#This Row],[PR]]</f>
        <v>19.740000000000002</v>
      </c>
      <c r="BH38" s="97">
        <f>+Tabela1107[[#This Row],[PIS]]+Tabela1107[[#This Row],[COFINS]]+Tabela1107[[#This Row],[CONTRIB. FOLHA]]+Tabela1107[[#This Row],[TRIBUTOS S/ LUCRO]]+Tabela1107[[#This Row],[OUTROS]]+Tabela1107[[#This Row],[SC]]</f>
        <v>24.740000000000002</v>
      </c>
      <c r="BI38" s="97">
        <f>+Tabela1107[[#This Row],[PIS]]+Tabela1107[[#This Row],[COFINS]]+Tabela1107[[#This Row],[CONTRIB. FOLHA]]+Tabela1107[[#This Row],[TRIBUTOS S/ LUCRO]]+Tabela1107[[#This Row],[OUTROS]]+Tabela1107[[#This Row],[RS]]</f>
        <v>24.740000000000002</v>
      </c>
      <c r="BJ38" s="97">
        <f>+Tabela1107[[#This Row],[PIS]]+Tabela1107[[#This Row],[COFINS]]+Tabela1107[[#This Row],[CONTRIB. FOLHA]]+Tabela1107[[#This Row],[TRIBUTOS S/ LUCRO]]+Tabela1107[[#This Row],[OUTROS]]+Tabela1107[[#This Row],[RJ]]</f>
        <v>26.740000000000002</v>
      </c>
      <c r="BK38" s="97">
        <f>+Tabela1107[[#This Row],[PIS]]+Tabela1107[[#This Row],[COFINS]]+Tabela1107[[#This Row],[CONTRIB. FOLHA]]+Tabela1107[[#This Row],[TRIBUTOS S/ LUCRO]]+Tabela1107[[#This Row],[OUTROS]]+Tabela1107[[#This Row],[MG]]</f>
        <v>19.740000000000002</v>
      </c>
      <c r="BL38" s="97">
        <f>+Tabela1107[[#This Row],[PIS]]+Tabela1107[[#This Row],[COFINS]]+Tabela1107[[#This Row],[CONTRIB. FOLHA]]+Tabela1107[[#This Row],[TRIBUTOS S/ LUCRO]]+Tabela1107[[#This Row],[OUTROS]]+Tabela1107[[#This Row],[ES]]</f>
        <v>24.740000000000002</v>
      </c>
      <c r="BM38" s="97">
        <f>+Tabela1107[[#This Row],[PIS]]+Tabela1107[[#This Row],[COFINS]]+Tabela1107[[#This Row],[CONTRIB. FOLHA]]+Tabela1107[[#This Row],[TRIBUTOS S/ LUCRO]]+Tabela1107[[#This Row],[OUTROS]]+Tabela1107[[#This Row],[GO]]</f>
        <v>24.740000000000002</v>
      </c>
      <c r="BN38" s="97">
        <f>+Tabela1107[[#This Row],[PIS]]+Tabela1107[[#This Row],[COFINS]]+Tabela1107[[#This Row],[CONTRIB. FOLHA]]+Tabela1107[[#This Row],[TRIBUTOS S/ LUCRO]]+Tabela1107[[#This Row],[OUTROS]]+Tabela1107[[#This Row],[MT]]</f>
        <v>24.740000000000002</v>
      </c>
      <c r="BO38" s="97">
        <f>+Tabela1107[[#This Row],[PIS]]+Tabela1107[[#This Row],[COFINS]]+Tabela1107[[#This Row],[CONTRIB. FOLHA]]+Tabela1107[[#This Row],[TRIBUTOS S/ LUCRO]]+Tabela1107[[#This Row],[OUTROS]]+Tabela1107[[#This Row],[MS]]</f>
        <v>24.740000000000002</v>
      </c>
      <c r="BP38" s="97">
        <f>+Tabela1107[[#This Row],[PIS]]+Tabela1107[[#This Row],[COFINS]]+Tabela1107[[#This Row],[CONTRIB. FOLHA]]+Tabela1107[[#This Row],[TRIBUTOS S/ LUCRO]]+Tabela1107[[#This Row],[OUTROS]]+Tabela1107[[#This Row],[DF]]</f>
        <v>24.740000000000002</v>
      </c>
      <c r="BQ38" s="97">
        <f>+Tabela1107[[#This Row],[PIS]]+Tabela1107[[#This Row],[COFINS]]+Tabela1107[[#This Row],[CONTRIB. FOLHA]]+Tabela1107[[#This Row],[TRIBUTOS S/ LUCRO]]+Tabela1107[[#This Row],[OUTROS]]+Tabela1107[[#This Row],[BA]]</f>
        <v>24.740000000000002</v>
      </c>
      <c r="BR38" s="97">
        <f>+Tabela1107[[#This Row],[PIS]]+Tabela1107[[#This Row],[COFINS]]+Tabela1107[[#This Row],[CONTRIB. FOLHA]]+Tabela1107[[#This Row],[TRIBUTOS S/ LUCRO]]+Tabela1107[[#This Row],[OUTROS]]+Tabela1107[[#This Row],[BA]]</f>
        <v>24.740000000000002</v>
      </c>
      <c r="BS38" s="97">
        <f>+Tabela1107[[#This Row],[PIS]]+Tabela1107[[#This Row],[COFINS]]+Tabela1107[[#This Row],[CONTRIB. FOLHA]]+Tabela1107[[#This Row],[TRIBUTOS S/ LUCRO]]+Tabela1107[[#This Row],[OUTROS]]+Tabela1107[[#This Row],[PE]]</f>
        <v>24.740000000000002</v>
      </c>
      <c r="BT38" s="97">
        <f>+Tabela1107[[#This Row],[PIS]]+Tabela1107[[#This Row],[COFINS]]+Tabela1107[[#This Row],[CONTRIB. FOLHA]]+Tabela1107[[#This Row],[TRIBUTOS S/ LUCRO]]+Tabela1107[[#This Row],[OUTROS]]+Tabela1107[[#This Row],[PA]]</f>
        <v>24.740000000000002</v>
      </c>
      <c r="BU38" s="97">
        <f>+Tabela1107[[#This Row],[PIS]]+Tabela1107[[#This Row],[COFINS]]+Tabela1107[[#This Row],[CONTRIB. FOLHA]]+Tabela1107[[#This Row],[TRIBUTOS S/ LUCRO]]+Tabela1107[[#This Row],[OUTROS]]+Tabela1107[[#This Row],[AM]]</f>
        <v>24.740000000000002</v>
      </c>
      <c r="BV38" s="97">
        <f>AVERAGE(Tabela1107[[#This Row],[TOTAL SP]:[TOTAL AM]])</f>
        <v>24.302500000000006</v>
      </c>
      <c r="BW38" s="97"/>
      <c r="BX38" s="97"/>
    </row>
    <row r="39" spans="2:76" x14ac:dyDescent="0.25">
      <c r="B39" s="89">
        <v>8711</v>
      </c>
      <c r="C39" s="91" t="s">
        <v>13071</v>
      </c>
      <c r="D39" s="89"/>
      <c r="E39" s="89">
        <v>20140626</v>
      </c>
      <c r="F39" s="89" t="s">
        <v>20389</v>
      </c>
      <c r="G39" s="89" t="s">
        <v>20390</v>
      </c>
      <c r="H39" s="89" t="s">
        <v>20391</v>
      </c>
      <c r="I39" s="89" t="s">
        <v>20392</v>
      </c>
      <c r="J39" s="89" t="s">
        <v>468</v>
      </c>
      <c r="K39" s="89" t="s">
        <v>2461</v>
      </c>
      <c r="L39" s="89" t="s">
        <v>2619</v>
      </c>
      <c r="M39" s="89" t="s">
        <v>4496</v>
      </c>
      <c r="N39" s="89" t="s">
        <v>4496</v>
      </c>
      <c r="O39" s="89" t="s">
        <v>4496</v>
      </c>
      <c r="P39" s="89" t="s">
        <v>4496</v>
      </c>
      <c r="Q39" s="89"/>
      <c r="R39" s="89" t="s">
        <v>469</v>
      </c>
      <c r="S39" s="89" t="s">
        <v>21574</v>
      </c>
      <c r="T39" s="89" t="s">
        <v>21575</v>
      </c>
      <c r="U39" s="89" t="str">
        <f>TRIM('Carga Tributária doenças Po (2'!$L39)</f>
        <v>TARTARATO DE BRIMONIDINA</v>
      </c>
      <c r="V39" s="89">
        <f>SUMIFS('Tabela Federal'!$E$4:$E$2069,'Tabela Federal'!$D$4:$D$2069,'Carga Tributária doenças Po (2'!$L39)</f>
        <v>3</v>
      </c>
      <c r="W39" s="89">
        <f>SUMIFS('Tabela Federal'!$E$4:$E$2069,'Tabela Federal'!$D$4:$D$2069,'Carga Tributária doenças Po (2'!$M39)</f>
        <v>0</v>
      </c>
      <c r="X39" s="89">
        <f>SUMIFS('Tabela Federal'!$E$4:$E$2069,'Tabela Federal'!$D$4:$D$2069,'Carga Tributária doenças Po (2'!$N39)</f>
        <v>0</v>
      </c>
      <c r="Y39" s="89">
        <f>SUMIFS('Tabela Federal'!$E$4:$E$2069,'Tabela Federal'!$D$4:$D$2069,'Carga Tributária doenças Po (2'!$O39)</f>
        <v>0</v>
      </c>
      <c r="Z39" s="92" t="str">
        <f>VLOOKUP('Carga Tributária doenças Po (2'!$AD39,'Carga Tributária doenças Po (2'!$CA$12:$CC$16,2,0)</f>
        <v>+</v>
      </c>
      <c r="AA39" s="89" t="s">
        <v>462</v>
      </c>
      <c r="AB39" s="89" t="s">
        <v>21838</v>
      </c>
      <c r="AC39" s="89" t="s">
        <v>21721</v>
      </c>
      <c r="AD39" s="93" t="s">
        <v>21722</v>
      </c>
      <c r="AE39" s="92" t="s">
        <v>2</v>
      </c>
      <c r="AF39" s="92" t="s">
        <v>23</v>
      </c>
      <c r="AG39" s="94">
        <v>493049</v>
      </c>
      <c r="AH39" s="95">
        <v>5688175</v>
      </c>
      <c r="AI39" s="95">
        <v>12983304.9</v>
      </c>
      <c r="AJ39" s="89" t="s">
        <v>471</v>
      </c>
      <c r="AK39" s="89">
        <f>IF('Carga Tributária doenças Po (2'!$Z39="+",0,SUMIFS(PISCOFINS!$I$3:$I$10518,PISCOFINS!$C$3:$C$10518,'Carga Tributária doenças Po (2'!$C39))</f>
        <v>0</v>
      </c>
      <c r="AL39" s="89">
        <f>IF('Carga Tributária doenças Po (2'!$Z39="+",0,SUMIFS(PISCOFINS!$H$3:$H$10518,PISCOFINS!$C$3:$C$10518,'Carga Tributária doenças Po (2'!$C39))</f>
        <v>0</v>
      </c>
      <c r="AM39" s="95">
        <v>3.27</v>
      </c>
      <c r="AN39" s="95">
        <v>3.12</v>
      </c>
      <c r="AO39" s="95">
        <v>1.35</v>
      </c>
      <c r="AP39" s="96">
        <v>18</v>
      </c>
      <c r="AQ39" s="96">
        <v>12</v>
      </c>
      <c r="AR39" s="96">
        <v>17</v>
      </c>
      <c r="AS39" s="97">
        <v>17</v>
      </c>
      <c r="AT39" s="97">
        <v>19</v>
      </c>
      <c r="AU39" s="97">
        <v>18</v>
      </c>
      <c r="AV39" s="97">
        <v>17</v>
      </c>
      <c r="AW39" s="97">
        <v>17</v>
      </c>
      <c r="AX39" s="97">
        <v>17</v>
      </c>
      <c r="AY39" s="97">
        <v>17</v>
      </c>
      <c r="AZ39" s="97">
        <v>17</v>
      </c>
      <c r="BA39" s="97">
        <v>17</v>
      </c>
      <c r="BB39" s="97">
        <v>17</v>
      </c>
      <c r="BC39" s="97">
        <v>17</v>
      </c>
      <c r="BD39" s="97">
        <v>17</v>
      </c>
      <c r="BE39" s="97">
        <v>17</v>
      </c>
      <c r="BF39" s="97">
        <f>+Tabela1107[[#This Row],[PIS]]+Tabela1107[[#This Row],[COFINS]]+Tabela1107[[#This Row],[CONTRIB. FOLHA]]+Tabela1107[[#This Row],[TRIBUTOS S/ LUCRO]]+Tabela1107[[#This Row],[OUTROS]]+Tabela1107[[#This Row],[SP]]</f>
        <v>25.740000000000002</v>
      </c>
      <c r="BG39" s="97">
        <f>+Tabela1107[[#This Row],[PIS]]+Tabela1107[[#This Row],[COFINS]]+Tabela1107[[#This Row],[CONTRIB. FOLHA]]+Tabela1107[[#This Row],[TRIBUTOS S/ LUCRO]]+Tabela1107[[#This Row],[OUTROS]]+Tabela1107[[#This Row],[PR]]</f>
        <v>19.740000000000002</v>
      </c>
      <c r="BH39" s="97">
        <f>+Tabela1107[[#This Row],[PIS]]+Tabela1107[[#This Row],[COFINS]]+Tabela1107[[#This Row],[CONTRIB. FOLHA]]+Tabela1107[[#This Row],[TRIBUTOS S/ LUCRO]]+Tabela1107[[#This Row],[OUTROS]]+Tabela1107[[#This Row],[SC]]</f>
        <v>24.740000000000002</v>
      </c>
      <c r="BI39" s="97">
        <f>+Tabela1107[[#This Row],[PIS]]+Tabela1107[[#This Row],[COFINS]]+Tabela1107[[#This Row],[CONTRIB. FOLHA]]+Tabela1107[[#This Row],[TRIBUTOS S/ LUCRO]]+Tabela1107[[#This Row],[OUTROS]]+Tabela1107[[#This Row],[RS]]</f>
        <v>24.740000000000002</v>
      </c>
      <c r="BJ39" s="97">
        <f>+Tabela1107[[#This Row],[PIS]]+Tabela1107[[#This Row],[COFINS]]+Tabela1107[[#This Row],[CONTRIB. FOLHA]]+Tabela1107[[#This Row],[TRIBUTOS S/ LUCRO]]+Tabela1107[[#This Row],[OUTROS]]+Tabela1107[[#This Row],[RJ]]</f>
        <v>26.740000000000002</v>
      </c>
      <c r="BK39" s="97">
        <f>+Tabela1107[[#This Row],[PIS]]+Tabela1107[[#This Row],[COFINS]]+Tabela1107[[#This Row],[CONTRIB. FOLHA]]+Tabela1107[[#This Row],[TRIBUTOS S/ LUCRO]]+Tabela1107[[#This Row],[OUTROS]]+Tabela1107[[#This Row],[MG]]</f>
        <v>25.740000000000002</v>
      </c>
      <c r="BL39" s="97">
        <f>+Tabela1107[[#This Row],[PIS]]+Tabela1107[[#This Row],[COFINS]]+Tabela1107[[#This Row],[CONTRIB. FOLHA]]+Tabela1107[[#This Row],[TRIBUTOS S/ LUCRO]]+Tabela1107[[#This Row],[OUTROS]]+Tabela1107[[#This Row],[ES]]</f>
        <v>24.740000000000002</v>
      </c>
      <c r="BM39" s="97">
        <f>+Tabela1107[[#This Row],[PIS]]+Tabela1107[[#This Row],[COFINS]]+Tabela1107[[#This Row],[CONTRIB. FOLHA]]+Tabela1107[[#This Row],[TRIBUTOS S/ LUCRO]]+Tabela1107[[#This Row],[OUTROS]]+Tabela1107[[#This Row],[GO]]</f>
        <v>24.740000000000002</v>
      </c>
      <c r="BN39" s="97">
        <f>+Tabela1107[[#This Row],[PIS]]+Tabela1107[[#This Row],[COFINS]]+Tabela1107[[#This Row],[CONTRIB. FOLHA]]+Tabela1107[[#This Row],[TRIBUTOS S/ LUCRO]]+Tabela1107[[#This Row],[OUTROS]]+Tabela1107[[#This Row],[MT]]</f>
        <v>24.740000000000002</v>
      </c>
      <c r="BO39" s="97">
        <f>+Tabela1107[[#This Row],[PIS]]+Tabela1107[[#This Row],[COFINS]]+Tabela1107[[#This Row],[CONTRIB. FOLHA]]+Tabela1107[[#This Row],[TRIBUTOS S/ LUCRO]]+Tabela1107[[#This Row],[OUTROS]]+Tabela1107[[#This Row],[MS]]</f>
        <v>24.740000000000002</v>
      </c>
      <c r="BP39" s="97">
        <f>+Tabela1107[[#This Row],[PIS]]+Tabela1107[[#This Row],[COFINS]]+Tabela1107[[#This Row],[CONTRIB. FOLHA]]+Tabela1107[[#This Row],[TRIBUTOS S/ LUCRO]]+Tabela1107[[#This Row],[OUTROS]]+Tabela1107[[#This Row],[DF]]</f>
        <v>24.740000000000002</v>
      </c>
      <c r="BQ39" s="97">
        <f>+Tabela1107[[#This Row],[PIS]]+Tabela1107[[#This Row],[COFINS]]+Tabela1107[[#This Row],[CONTRIB. FOLHA]]+Tabela1107[[#This Row],[TRIBUTOS S/ LUCRO]]+Tabela1107[[#This Row],[OUTROS]]+Tabela1107[[#This Row],[BA]]</f>
        <v>24.740000000000002</v>
      </c>
      <c r="BR39" s="97">
        <f>+Tabela1107[[#This Row],[PIS]]+Tabela1107[[#This Row],[COFINS]]+Tabela1107[[#This Row],[CONTRIB. FOLHA]]+Tabela1107[[#This Row],[TRIBUTOS S/ LUCRO]]+Tabela1107[[#This Row],[OUTROS]]+Tabela1107[[#This Row],[BA]]</f>
        <v>24.740000000000002</v>
      </c>
      <c r="BS39" s="97">
        <f>+Tabela1107[[#This Row],[PIS]]+Tabela1107[[#This Row],[COFINS]]+Tabela1107[[#This Row],[CONTRIB. FOLHA]]+Tabela1107[[#This Row],[TRIBUTOS S/ LUCRO]]+Tabela1107[[#This Row],[OUTROS]]+Tabela1107[[#This Row],[PE]]</f>
        <v>24.740000000000002</v>
      </c>
      <c r="BT39" s="97">
        <f>+Tabela1107[[#This Row],[PIS]]+Tabela1107[[#This Row],[COFINS]]+Tabela1107[[#This Row],[CONTRIB. FOLHA]]+Tabela1107[[#This Row],[TRIBUTOS S/ LUCRO]]+Tabela1107[[#This Row],[OUTROS]]+Tabela1107[[#This Row],[PA]]</f>
        <v>24.740000000000002</v>
      </c>
      <c r="BU39" s="97">
        <f>+Tabela1107[[#This Row],[PIS]]+Tabela1107[[#This Row],[COFINS]]+Tabela1107[[#This Row],[CONTRIB. FOLHA]]+Tabela1107[[#This Row],[TRIBUTOS S/ LUCRO]]+Tabela1107[[#This Row],[OUTROS]]+Tabela1107[[#This Row],[AM]]</f>
        <v>24.740000000000002</v>
      </c>
      <c r="BV39" s="97">
        <f>AVERAGE(Tabela1107[[#This Row],[TOTAL SP]:[TOTAL AM]])</f>
        <v>24.677500000000006</v>
      </c>
      <c r="BW39" s="97"/>
      <c r="BX39" s="97"/>
    </row>
    <row r="40" spans="2:76" x14ac:dyDescent="0.25">
      <c r="B40" s="89">
        <v>1598</v>
      </c>
      <c r="C40" s="91" t="s">
        <v>13183</v>
      </c>
      <c r="D40" s="89"/>
      <c r="E40" s="89">
        <v>20140626</v>
      </c>
      <c r="F40" s="89" t="s">
        <v>21304</v>
      </c>
      <c r="G40" s="89" t="s">
        <v>21305</v>
      </c>
      <c r="H40" s="89" t="s">
        <v>21306</v>
      </c>
      <c r="I40" s="89" t="s">
        <v>21307</v>
      </c>
      <c r="J40" s="89" t="s">
        <v>452</v>
      </c>
      <c r="K40" s="89" t="s">
        <v>2462</v>
      </c>
      <c r="L40" s="89" t="s">
        <v>3189</v>
      </c>
      <c r="M40" s="89" t="s">
        <v>4132</v>
      </c>
      <c r="N40" s="89" t="s">
        <v>4496</v>
      </c>
      <c r="O40" s="89" t="s">
        <v>4496</v>
      </c>
      <c r="P40" s="89" t="s">
        <v>4496</v>
      </c>
      <c r="Q40" s="89"/>
      <c r="R40" s="89" t="s">
        <v>103</v>
      </c>
      <c r="S40" s="89" t="s">
        <v>21690</v>
      </c>
      <c r="T40" s="89" t="s">
        <v>21691</v>
      </c>
      <c r="U40" s="89" t="str">
        <f>TRIM('Carga Tributária doenças Po (2'!$L40)</f>
        <v>BENZOCAINA</v>
      </c>
      <c r="V40" s="89">
        <f>SUMIFS('Tabela Federal'!$E$4:$E$2069,'Tabela Federal'!$D$4:$D$2069,'Carga Tributária doenças Po (2'!$L40)</f>
        <v>1</v>
      </c>
      <c r="W40" s="89">
        <f>SUMIFS('Tabela Federal'!$E$4:$E$2069,'Tabela Federal'!$D$4:$D$2069,'Carga Tributária doenças Po (2'!$M40)</f>
        <v>3</v>
      </c>
      <c r="X40" s="89">
        <f>SUMIFS('Tabela Federal'!$E$4:$E$2069,'Tabela Federal'!$D$4:$D$2069,'Carga Tributária doenças Po (2'!$N40)</f>
        <v>0</v>
      </c>
      <c r="Y40" s="89">
        <f>SUMIFS('Tabela Federal'!$E$4:$E$2069,'Tabela Federal'!$D$4:$D$2069,'Carga Tributária doenças Po (2'!$O40)</f>
        <v>0</v>
      </c>
      <c r="Z40" s="92" t="str">
        <f>VLOOKUP('Carga Tributária doenças Po (2'!$AD40,'Carga Tributária doenças Po (2'!$CA$12:$CC$16,2,0)</f>
        <v>-</v>
      </c>
      <c r="AA40" s="89" t="s">
        <v>451</v>
      </c>
      <c r="AB40" s="89" t="s">
        <v>21811</v>
      </c>
      <c r="AC40" s="89" t="s">
        <v>21740</v>
      </c>
      <c r="AD40" s="93" t="s">
        <v>19523</v>
      </c>
      <c r="AE40" s="92" t="s">
        <v>4</v>
      </c>
      <c r="AF40" s="92" t="s">
        <v>3</v>
      </c>
      <c r="AG40" s="94">
        <v>1917235</v>
      </c>
      <c r="AH40" s="95">
        <v>7896388</v>
      </c>
      <c r="AI40" s="95">
        <v>17917493.48</v>
      </c>
      <c r="AJ40" s="89" t="s">
        <v>460</v>
      </c>
      <c r="AK40" s="89">
        <f>IF('Carga Tributária doenças Po (2'!$Z40="+",0,SUMIFS(PISCOFINS!$I$3:$I$10518,PISCOFINS!$C$3:$C$10518,'Carga Tributária doenças Po (2'!$C40))</f>
        <v>2.1</v>
      </c>
      <c r="AL40" s="89">
        <f>IF('Carga Tributária doenças Po (2'!$Z40="+",0,SUMIFS(PISCOFINS!$H$3:$H$10518,PISCOFINS!$C$3:$C$10518,'Carga Tributária doenças Po (2'!$C40))</f>
        <v>9.9</v>
      </c>
      <c r="AM40" s="95">
        <v>3.27</v>
      </c>
      <c r="AN40" s="95">
        <v>3.12</v>
      </c>
      <c r="AO40" s="95">
        <v>1.35</v>
      </c>
      <c r="AP40" s="96">
        <v>18</v>
      </c>
      <c r="AQ40" s="96">
        <v>12</v>
      </c>
      <c r="AR40" s="96">
        <v>17</v>
      </c>
      <c r="AS40" s="97">
        <v>17</v>
      </c>
      <c r="AT40" s="97">
        <v>19</v>
      </c>
      <c r="AU40" s="97">
        <v>18</v>
      </c>
      <c r="AV40" s="97">
        <v>17</v>
      </c>
      <c r="AW40" s="97">
        <v>17</v>
      </c>
      <c r="AX40" s="97">
        <v>17</v>
      </c>
      <c r="AY40" s="97">
        <v>17</v>
      </c>
      <c r="AZ40" s="97">
        <v>17</v>
      </c>
      <c r="BA40" s="97">
        <v>17</v>
      </c>
      <c r="BB40" s="97">
        <v>17</v>
      </c>
      <c r="BC40" s="97">
        <v>17</v>
      </c>
      <c r="BD40" s="97">
        <v>17</v>
      </c>
      <c r="BE40" s="97">
        <v>17</v>
      </c>
      <c r="BF40" s="97">
        <f>+Tabela1107[[#This Row],[PIS]]+Tabela1107[[#This Row],[COFINS]]+Tabela1107[[#This Row],[CONTRIB. FOLHA]]+Tabela1107[[#This Row],[TRIBUTOS S/ LUCRO]]+Tabela1107[[#This Row],[OUTROS]]+Tabela1107[[#This Row],[SP]]</f>
        <v>37.74</v>
      </c>
      <c r="BG40" s="97">
        <f>+Tabela1107[[#This Row],[PIS]]+Tabela1107[[#This Row],[COFINS]]+Tabela1107[[#This Row],[CONTRIB. FOLHA]]+Tabela1107[[#This Row],[TRIBUTOS S/ LUCRO]]+Tabela1107[[#This Row],[OUTROS]]+Tabela1107[[#This Row],[PR]]</f>
        <v>31.740000000000002</v>
      </c>
      <c r="BH40" s="97">
        <f>+Tabela1107[[#This Row],[PIS]]+Tabela1107[[#This Row],[COFINS]]+Tabela1107[[#This Row],[CONTRIB. FOLHA]]+Tabela1107[[#This Row],[TRIBUTOS S/ LUCRO]]+Tabela1107[[#This Row],[OUTROS]]+Tabela1107[[#This Row],[SC]]</f>
        <v>36.74</v>
      </c>
      <c r="BI40" s="97">
        <f>+Tabela1107[[#This Row],[PIS]]+Tabela1107[[#This Row],[COFINS]]+Tabela1107[[#This Row],[CONTRIB. FOLHA]]+Tabela1107[[#This Row],[TRIBUTOS S/ LUCRO]]+Tabela1107[[#This Row],[OUTROS]]+Tabela1107[[#This Row],[RS]]</f>
        <v>36.74</v>
      </c>
      <c r="BJ40" s="97">
        <f>+Tabela1107[[#This Row],[PIS]]+Tabela1107[[#This Row],[COFINS]]+Tabela1107[[#This Row],[CONTRIB. FOLHA]]+Tabela1107[[#This Row],[TRIBUTOS S/ LUCRO]]+Tabela1107[[#This Row],[OUTROS]]+Tabela1107[[#This Row],[RJ]]</f>
        <v>38.74</v>
      </c>
      <c r="BK40" s="97">
        <f>+Tabela1107[[#This Row],[PIS]]+Tabela1107[[#This Row],[COFINS]]+Tabela1107[[#This Row],[CONTRIB. FOLHA]]+Tabela1107[[#This Row],[TRIBUTOS S/ LUCRO]]+Tabela1107[[#This Row],[OUTROS]]+Tabela1107[[#This Row],[MG]]</f>
        <v>37.74</v>
      </c>
      <c r="BL40" s="97">
        <f>+Tabela1107[[#This Row],[PIS]]+Tabela1107[[#This Row],[COFINS]]+Tabela1107[[#This Row],[CONTRIB. FOLHA]]+Tabela1107[[#This Row],[TRIBUTOS S/ LUCRO]]+Tabela1107[[#This Row],[OUTROS]]+Tabela1107[[#This Row],[ES]]</f>
        <v>36.74</v>
      </c>
      <c r="BM40" s="97">
        <f>+Tabela1107[[#This Row],[PIS]]+Tabela1107[[#This Row],[COFINS]]+Tabela1107[[#This Row],[CONTRIB. FOLHA]]+Tabela1107[[#This Row],[TRIBUTOS S/ LUCRO]]+Tabela1107[[#This Row],[OUTROS]]+Tabela1107[[#This Row],[GO]]</f>
        <v>36.74</v>
      </c>
      <c r="BN40" s="97">
        <f>+Tabela1107[[#This Row],[PIS]]+Tabela1107[[#This Row],[COFINS]]+Tabela1107[[#This Row],[CONTRIB. FOLHA]]+Tabela1107[[#This Row],[TRIBUTOS S/ LUCRO]]+Tabela1107[[#This Row],[OUTROS]]+Tabela1107[[#This Row],[MT]]</f>
        <v>36.74</v>
      </c>
      <c r="BO40" s="97">
        <f>+Tabela1107[[#This Row],[PIS]]+Tabela1107[[#This Row],[COFINS]]+Tabela1107[[#This Row],[CONTRIB. FOLHA]]+Tabela1107[[#This Row],[TRIBUTOS S/ LUCRO]]+Tabela1107[[#This Row],[OUTROS]]+Tabela1107[[#This Row],[MS]]</f>
        <v>36.74</v>
      </c>
      <c r="BP40" s="97">
        <f>+Tabela1107[[#This Row],[PIS]]+Tabela1107[[#This Row],[COFINS]]+Tabela1107[[#This Row],[CONTRIB. FOLHA]]+Tabela1107[[#This Row],[TRIBUTOS S/ LUCRO]]+Tabela1107[[#This Row],[OUTROS]]+Tabela1107[[#This Row],[DF]]</f>
        <v>36.74</v>
      </c>
      <c r="BQ40" s="97">
        <f>+Tabela1107[[#This Row],[PIS]]+Tabela1107[[#This Row],[COFINS]]+Tabela1107[[#This Row],[CONTRIB. FOLHA]]+Tabela1107[[#This Row],[TRIBUTOS S/ LUCRO]]+Tabela1107[[#This Row],[OUTROS]]+Tabela1107[[#This Row],[BA]]</f>
        <v>36.74</v>
      </c>
      <c r="BR40" s="97">
        <f>+Tabela1107[[#This Row],[PIS]]+Tabela1107[[#This Row],[COFINS]]+Tabela1107[[#This Row],[CONTRIB. FOLHA]]+Tabela1107[[#This Row],[TRIBUTOS S/ LUCRO]]+Tabela1107[[#This Row],[OUTROS]]+Tabela1107[[#This Row],[BA]]</f>
        <v>36.74</v>
      </c>
      <c r="BS40" s="97">
        <f>+Tabela1107[[#This Row],[PIS]]+Tabela1107[[#This Row],[COFINS]]+Tabela1107[[#This Row],[CONTRIB. FOLHA]]+Tabela1107[[#This Row],[TRIBUTOS S/ LUCRO]]+Tabela1107[[#This Row],[OUTROS]]+Tabela1107[[#This Row],[PE]]</f>
        <v>36.74</v>
      </c>
      <c r="BT40" s="97">
        <f>+Tabela1107[[#This Row],[PIS]]+Tabela1107[[#This Row],[COFINS]]+Tabela1107[[#This Row],[CONTRIB. FOLHA]]+Tabela1107[[#This Row],[TRIBUTOS S/ LUCRO]]+Tabela1107[[#This Row],[OUTROS]]+Tabela1107[[#This Row],[PA]]</f>
        <v>36.74</v>
      </c>
      <c r="BU40" s="97">
        <f>+Tabela1107[[#This Row],[PIS]]+Tabela1107[[#This Row],[COFINS]]+Tabela1107[[#This Row],[CONTRIB. FOLHA]]+Tabela1107[[#This Row],[TRIBUTOS S/ LUCRO]]+Tabela1107[[#This Row],[OUTROS]]+Tabela1107[[#This Row],[AM]]</f>
        <v>36.74</v>
      </c>
      <c r="BV40" s="97">
        <f>AVERAGE(Tabela1107[[#This Row],[TOTAL SP]:[TOTAL AM]])</f>
        <v>36.677500000000002</v>
      </c>
      <c r="BW40" s="97"/>
      <c r="BX40" s="97"/>
    </row>
    <row r="41" spans="2:76" x14ac:dyDescent="0.25">
      <c r="B41" s="89">
        <v>14824</v>
      </c>
      <c r="C41" s="91" t="s">
        <v>13183</v>
      </c>
      <c r="D41" s="89"/>
      <c r="E41" s="89">
        <v>20140626</v>
      </c>
      <c r="F41" s="89" t="s">
        <v>20784</v>
      </c>
      <c r="G41" s="89" t="s">
        <v>20785</v>
      </c>
      <c r="H41" s="89" t="s">
        <v>20786</v>
      </c>
      <c r="I41" s="89" t="s">
        <v>20787</v>
      </c>
      <c r="J41" s="89" t="s">
        <v>492</v>
      </c>
      <c r="K41" s="89" t="s">
        <v>2444</v>
      </c>
      <c r="L41" s="89" t="s">
        <v>2620</v>
      </c>
      <c r="M41" s="89" t="s">
        <v>4496</v>
      </c>
      <c r="N41" s="89" t="s">
        <v>4496</v>
      </c>
      <c r="O41" s="89" t="s">
        <v>4496</v>
      </c>
      <c r="P41" s="89" t="s">
        <v>4496</v>
      </c>
      <c r="Q41" s="89"/>
      <c r="R41" s="89" t="s">
        <v>247</v>
      </c>
      <c r="S41" s="89" t="s">
        <v>21622</v>
      </c>
      <c r="T41" s="89" t="s">
        <v>21623</v>
      </c>
      <c r="U41" s="89" t="str">
        <f>TRIM('Carga Tributária doenças Po (2'!$L41)</f>
        <v>CLORIDRATO DE AMIODARONA</v>
      </c>
      <c r="V41" s="89">
        <f>SUMIFS('Tabela Federal'!$E$4:$E$2069,'Tabela Federal'!$D$4:$D$2069,'Carga Tributária doenças Po (2'!$L41)</f>
        <v>1</v>
      </c>
      <c r="W41" s="89">
        <f>SUMIFS('Tabela Federal'!$E$4:$E$2069,'Tabela Federal'!$D$4:$D$2069,'Carga Tributária doenças Po (2'!$M41)</f>
        <v>0</v>
      </c>
      <c r="X41" s="89">
        <f>SUMIFS('Tabela Federal'!$E$4:$E$2069,'Tabela Federal'!$D$4:$D$2069,'Carga Tributária doenças Po (2'!$N41)</f>
        <v>0</v>
      </c>
      <c r="Y41" s="89">
        <f>SUMIFS('Tabela Federal'!$E$4:$E$2069,'Tabela Federal'!$D$4:$D$2069,'Carga Tributária doenças Po (2'!$O41)</f>
        <v>0</v>
      </c>
      <c r="Z41" s="92" t="str">
        <f>VLOOKUP('Carga Tributária doenças Po (2'!$AD41,'Carga Tributária doenças Po (2'!$CA$12:$CC$16,2,0)</f>
        <v>+</v>
      </c>
      <c r="AA41" s="89" t="s">
        <v>488</v>
      </c>
      <c r="AB41" s="89" t="s">
        <v>21744</v>
      </c>
      <c r="AC41" s="89" t="s">
        <v>21721</v>
      </c>
      <c r="AD41" s="93" t="s">
        <v>21722</v>
      </c>
      <c r="AE41" s="92" t="s">
        <v>2</v>
      </c>
      <c r="AF41" s="92" t="s">
        <v>3</v>
      </c>
      <c r="AG41" s="94">
        <v>131270</v>
      </c>
      <c r="AH41" s="95">
        <v>986453</v>
      </c>
      <c r="AI41" s="95">
        <v>2255052.04</v>
      </c>
      <c r="AJ41" s="89" t="s">
        <v>498</v>
      </c>
      <c r="AK41" s="89">
        <f>IF('Carga Tributária doenças Po (2'!$Z41="+",0,SUMIFS(PISCOFINS!$I$3:$I$10518,PISCOFINS!$C$3:$C$10518,'Carga Tributária doenças Po (2'!$C41))</f>
        <v>0</v>
      </c>
      <c r="AL41" s="89">
        <f>IF('Carga Tributária doenças Po (2'!$Z41="+",0,SUMIFS(PISCOFINS!$H$3:$H$10518,PISCOFINS!$C$3:$C$10518,'Carga Tributária doenças Po (2'!$C41))</f>
        <v>0</v>
      </c>
      <c r="AM41" s="95">
        <v>3.27</v>
      </c>
      <c r="AN41" s="95">
        <v>3.12</v>
      </c>
      <c r="AO41" s="95">
        <v>1.35</v>
      </c>
      <c r="AP41" s="96">
        <v>18</v>
      </c>
      <c r="AQ41" s="96">
        <v>12</v>
      </c>
      <c r="AR41" s="96">
        <v>17</v>
      </c>
      <c r="AS41" s="97">
        <v>17</v>
      </c>
      <c r="AT41" s="97">
        <v>19</v>
      </c>
      <c r="AU41" s="97">
        <v>18</v>
      </c>
      <c r="AV41" s="97">
        <v>17</v>
      </c>
      <c r="AW41" s="97">
        <v>17</v>
      </c>
      <c r="AX41" s="97">
        <v>17</v>
      </c>
      <c r="AY41" s="97">
        <v>17</v>
      </c>
      <c r="AZ41" s="97">
        <v>17</v>
      </c>
      <c r="BA41" s="97">
        <v>17</v>
      </c>
      <c r="BB41" s="97">
        <v>17</v>
      </c>
      <c r="BC41" s="97">
        <v>17</v>
      </c>
      <c r="BD41" s="97">
        <v>17</v>
      </c>
      <c r="BE41" s="97">
        <v>17</v>
      </c>
      <c r="BF41" s="97">
        <f>+Tabela1107[[#This Row],[PIS]]+Tabela1107[[#This Row],[COFINS]]+Tabela1107[[#This Row],[CONTRIB. FOLHA]]+Tabela1107[[#This Row],[TRIBUTOS S/ LUCRO]]+Tabela1107[[#This Row],[OUTROS]]+Tabela1107[[#This Row],[SP]]</f>
        <v>25.740000000000002</v>
      </c>
      <c r="BG41" s="97">
        <f>+Tabela1107[[#This Row],[PIS]]+Tabela1107[[#This Row],[COFINS]]+Tabela1107[[#This Row],[CONTRIB. FOLHA]]+Tabela1107[[#This Row],[TRIBUTOS S/ LUCRO]]+Tabela1107[[#This Row],[OUTROS]]+Tabela1107[[#This Row],[PR]]</f>
        <v>19.740000000000002</v>
      </c>
      <c r="BH41" s="97">
        <f>+Tabela1107[[#This Row],[PIS]]+Tabela1107[[#This Row],[COFINS]]+Tabela1107[[#This Row],[CONTRIB. FOLHA]]+Tabela1107[[#This Row],[TRIBUTOS S/ LUCRO]]+Tabela1107[[#This Row],[OUTROS]]+Tabela1107[[#This Row],[SC]]</f>
        <v>24.740000000000002</v>
      </c>
      <c r="BI41" s="97">
        <f>+Tabela1107[[#This Row],[PIS]]+Tabela1107[[#This Row],[COFINS]]+Tabela1107[[#This Row],[CONTRIB. FOLHA]]+Tabela1107[[#This Row],[TRIBUTOS S/ LUCRO]]+Tabela1107[[#This Row],[OUTROS]]+Tabela1107[[#This Row],[RS]]</f>
        <v>24.740000000000002</v>
      </c>
      <c r="BJ41" s="97">
        <f>+Tabela1107[[#This Row],[PIS]]+Tabela1107[[#This Row],[COFINS]]+Tabela1107[[#This Row],[CONTRIB. FOLHA]]+Tabela1107[[#This Row],[TRIBUTOS S/ LUCRO]]+Tabela1107[[#This Row],[OUTROS]]+Tabela1107[[#This Row],[RJ]]</f>
        <v>26.740000000000002</v>
      </c>
      <c r="BK41" s="97">
        <f>+Tabela1107[[#This Row],[PIS]]+Tabela1107[[#This Row],[COFINS]]+Tabela1107[[#This Row],[CONTRIB. FOLHA]]+Tabela1107[[#This Row],[TRIBUTOS S/ LUCRO]]+Tabela1107[[#This Row],[OUTROS]]+Tabela1107[[#This Row],[MG]]</f>
        <v>25.740000000000002</v>
      </c>
      <c r="BL41" s="97">
        <f>+Tabela1107[[#This Row],[PIS]]+Tabela1107[[#This Row],[COFINS]]+Tabela1107[[#This Row],[CONTRIB. FOLHA]]+Tabela1107[[#This Row],[TRIBUTOS S/ LUCRO]]+Tabela1107[[#This Row],[OUTROS]]+Tabela1107[[#This Row],[ES]]</f>
        <v>24.740000000000002</v>
      </c>
      <c r="BM41" s="97">
        <f>+Tabela1107[[#This Row],[PIS]]+Tabela1107[[#This Row],[COFINS]]+Tabela1107[[#This Row],[CONTRIB. FOLHA]]+Tabela1107[[#This Row],[TRIBUTOS S/ LUCRO]]+Tabela1107[[#This Row],[OUTROS]]+Tabela1107[[#This Row],[GO]]</f>
        <v>24.740000000000002</v>
      </c>
      <c r="BN41" s="97">
        <f>+Tabela1107[[#This Row],[PIS]]+Tabela1107[[#This Row],[COFINS]]+Tabela1107[[#This Row],[CONTRIB. FOLHA]]+Tabela1107[[#This Row],[TRIBUTOS S/ LUCRO]]+Tabela1107[[#This Row],[OUTROS]]+Tabela1107[[#This Row],[MT]]</f>
        <v>24.740000000000002</v>
      </c>
      <c r="BO41" s="97">
        <f>+Tabela1107[[#This Row],[PIS]]+Tabela1107[[#This Row],[COFINS]]+Tabela1107[[#This Row],[CONTRIB. FOLHA]]+Tabela1107[[#This Row],[TRIBUTOS S/ LUCRO]]+Tabela1107[[#This Row],[OUTROS]]+Tabela1107[[#This Row],[MS]]</f>
        <v>24.740000000000002</v>
      </c>
      <c r="BP41" s="97">
        <f>+Tabela1107[[#This Row],[PIS]]+Tabela1107[[#This Row],[COFINS]]+Tabela1107[[#This Row],[CONTRIB. FOLHA]]+Tabela1107[[#This Row],[TRIBUTOS S/ LUCRO]]+Tabela1107[[#This Row],[OUTROS]]+Tabela1107[[#This Row],[DF]]</f>
        <v>24.740000000000002</v>
      </c>
      <c r="BQ41" s="97">
        <f>+Tabela1107[[#This Row],[PIS]]+Tabela1107[[#This Row],[COFINS]]+Tabela1107[[#This Row],[CONTRIB. FOLHA]]+Tabela1107[[#This Row],[TRIBUTOS S/ LUCRO]]+Tabela1107[[#This Row],[OUTROS]]+Tabela1107[[#This Row],[BA]]</f>
        <v>24.740000000000002</v>
      </c>
      <c r="BR41" s="97">
        <f>+Tabela1107[[#This Row],[PIS]]+Tabela1107[[#This Row],[COFINS]]+Tabela1107[[#This Row],[CONTRIB. FOLHA]]+Tabela1107[[#This Row],[TRIBUTOS S/ LUCRO]]+Tabela1107[[#This Row],[OUTROS]]+Tabela1107[[#This Row],[BA]]</f>
        <v>24.740000000000002</v>
      </c>
      <c r="BS41" s="97">
        <f>+Tabela1107[[#This Row],[PIS]]+Tabela1107[[#This Row],[COFINS]]+Tabela1107[[#This Row],[CONTRIB. FOLHA]]+Tabela1107[[#This Row],[TRIBUTOS S/ LUCRO]]+Tabela1107[[#This Row],[OUTROS]]+Tabela1107[[#This Row],[PE]]</f>
        <v>24.740000000000002</v>
      </c>
      <c r="BT41" s="97">
        <f>+Tabela1107[[#This Row],[PIS]]+Tabela1107[[#This Row],[COFINS]]+Tabela1107[[#This Row],[CONTRIB. FOLHA]]+Tabela1107[[#This Row],[TRIBUTOS S/ LUCRO]]+Tabela1107[[#This Row],[OUTROS]]+Tabela1107[[#This Row],[PA]]</f>
        <v>24.740000000000002</v>
      </c>
      <c r="BU41" s="97">
        <f>+Tabela1107[[#This Row],[PIS]]+Tabela1107[[#This Row],[COFINS]]+Tabela1107[[#This Row],[CONTRIB. FOLHA]]+Tabela1107[[#This Row],[TRIBUTOS S/ LUCRO]]+Tabela1107[[#This Row],[OUTROS]]+Tabela1107[[#This Row],[AM]]</f>
        <v>24.740000000000002</v>
      </c>
      <c r="BV41" s="97">
        <f>AVERAGE(Tabela1107[[#This Row],[TOTAL SP]:[TOTAL AM]])</f>
        <v>24.677500000000006</v>
      </c>
      <c r="BW41" s="97"/>
      <c r="BX41" s="97"/>
    </row>
    <row r="42" spans="2:76" x14ac:dyDescent="0.25">
      <c r="B42" s="89">
        <v>22833</v>
      </c>
      <c r="C42" s="91" t="s">
        <v>13040</v>
      </c>
      <c r="D42" s="89"/>
      <c r="E42" s="89">
        <v>20140626</v>
      </c>
      <c r="F42" s="89" t="s">
        <v>21458</v>
      </c>
      <c r="G42" s="89" t="s">
        <v>21459</v>
      </c>
      <c r="H42" s="89" t="s">
        <v>21460</v>
      </c>
      <c r="I42" s="89" t="s">
        <v>2621</v>
      </c>
      <c r="J42" s="89" t="s">
        <v>608</v>
      </c>
      <c r="K42" s="89" t="s">
        <v>2464</v>
      </c>
      <c r="L42" s="89" t="s">
        <v>2621</v>
      </c>
      <c r="M42" s="89" t="s">
        <v>4496</v>
      </c>
      <c r="N42" s="89" t="s">
        <v>4496</v>
      </c>
      <c r="O42" s="89" t="s">
        <v>4496</v>
      </c>
      <c r="P42" s="89" t="s">
        <v>4496</v>
      </c>
      <c r="Q42" s="89"/>
      <c r="R42" s="89" t="s">
        <v>64</v>
      </c>
      <c r="S42" s="89" t="s">
        <v>21698</v>
      </c>
      <c r="T42" s="89" t="s">
        <v>21699</v>
      </c>
      <c r="U42" s="89" t="str">
        <f>TRIM('Carga Tributária doenças Po (2'!$L42)</f>
        <v>AMOXICILINA</v>
      </c>
      <c r="V42" s="89">
        <f>SUMIFS('Tabela Federal'!$E$4:$E$2069,'Tabela Federal'!$D$4:$D$2069,'Carga Tributária doenças Po (2'!$L42)</f>
        <v>7</v>
      </c>
      <c r="W42" s="89">
        <f>SUMIFS('Tabela Federal'!$E$4:$E$2069,'Tabela Federal'!$D$4:$D$2069,'Carga Tributária doenças Po (2'!$M42)</f>
        <v>0</v>
      </c>
      <c r="X42" s="89">
        <f>SUMIFS('Tabela Federal'!$E$4:$E$2069,'Tabela Federal'!$D$4:$D$2069,'Carga Tributária doenças Po (2'!$N42)</f>
        <v>0</v>
      </c>
      <c r="Y42" s="89">
        <f>SUMIFS('Tabela Federal'!$E$4:$E$2069,'Tabela Federal'!$D$4:$D$2069,'Carga Tributária doenças Po (2'!$O42)</f>
        <v>0</v>
      </c>
      <c r="Z42" s="92" t="str">
        <f>VLOOKUP('Carga Tributária doenças Po (2'!$AD42,'Carga Tributária doenças Po (2'!$CA$12:$CC$16,2,0)</f>
        <v>+</v>
      </c>
      <c r="AA42" s="89" t="s">
        <v>459</v>
      </c>
      <c r="AB42" s="89" t="s">
        <v>21801</v>
      </c>
      <c r="AC42" s="89" t="s">
        <v>21721</v>
      </c>
      <c r="AD42" s="93" t="s">
        <v>21722</v>
      </c>
      <c r="AE42" s="92" t="s">
        <v>4</v>
      </c>
      <c r="AF42" s="92" t="s">
        <v>10</v>
      </c>
      <c r="AG42" s="94">
        <v>1285882</v>
      </c>
      <c r="AH42" s="95">
        <v>8450638</v>
      </c>
      <c r="AI42" s="95">
        <v>19215445.66</v>
      </c>
      <c r="AJ42" s="89" t="s">
        <v>611</v>
      </c>
      <c r="AK42" s="89">
        <f>IF('Carga Tributária doenças Po (2'!$Z42="+",0,SUMIFS(PISCOFINS!$I$3:$I$10518,PISCOFINS!$C$3:$C$10518,'Carga Tributária doenças Po (2'!$C42))</f>
        <v>0</v>
      </c>
      <c r="AL42" s="89">
        <f>IF('Carga Tributária doenças Po (2'!$Z42="+",0,SUMIFS(PISCOFINS!$H$3:$H$10518,PISCOFINS!$C$3:$C$10518,'Carga Tributária doenças Po (2'!$C42))</f>
        <v>0</v>
      </c>
      <c r="AM42" s="95">
        <v>3.27</v>
      </c>
      <c r="AN42" s="95">
        <v>3.12</v>
      </c>
      <c r="AO42" s="95">
        <v>1.35</v>
      </c>
      <c r="AP42" s="96">
        <v>18</v>
      </c>
      <c r="AQ42" s="96">
        <v>12</v>
      </c>
      <c r="AR42" s="96">
        <v>17</v>
      </c>
      <c r="AS42" s="97">
        <v>17</v>
      </c>
      <c r="AT42" s="97">
        <v>19</v>
      </c>
      <c r="AU42" s="97">
        <v>12</v>
      </c>
      <c r="AV42" s="97">
        <v>17</v>
      </c>
      <c r="AW42" s="97">
        <v>17</v>
      </c>
      <c r="AX42" s="97">
        <v>17</v>
      </c>
      <c r="AY42" s="97">
        <v>17</v>
      </c>
      <c r="AZ42" s="97">
        <v>17</v>
      </c>
      <c r="BA42" s="97">
        <v>17</v>
      </c>
      <c r="BB42" s="97">
        <v>17</v>
      </c>
      <c r="BC42" s="97">
        <v>17</v>
      </c>
      <c r="BD42" s="97">
        <v>17</v>
      </c>
      <c r="BE42" s="97">
        <v>17</v>
      </c>
      <c r="BF42" s="97">
        <f>+Tabela1107[[#This Row],[PIS]]+Tabela1107[[#This Row],[COFINS]]+Tabela1107[[#This Row],[CONTRIB. FOLHA]]+Tabela1107[[#This Row],[TRIBUTOS S/ LUCRO]]+Tabela1107[[#This Row],[OUTROS]]+Tabela1107[[#This Row],[SP]]</f>
        <v>25.740000000000002</v>
      </c>
      <c r="BG42" s="97">
        <f>+Tabela1107[[#This Row],[PIS]]+Tabela1107[[#This Row],[COFINS]]+Tabela1107[[#This Row],[CONTRIB. FOLHA]]+Tabela1107[[#This Row],[TRIBUTOS S/ LUCRO]]+Tabela1107[[#This Row],[OUTROS]]+Tabela1107[[#This Row],[PR]]</f>
        <v>19.740000000000002</v>
      </c>
      <c r="BH42" s="97">
        <f>+Tabela1107[[#This Row],[PIS]]+Tabela1107[[#This Row],[COFINS]]+Tabela1107[[#This Row],[CONTRIB. FOLHA]]+Tabela1107[[#This Row],[TRIBUTOS S/ LUCRO]]+Tabela1107[[#This Row],[OUTROS]]+Tabela1107[[#This Row],[SC]]</f>
        <v>24.740000000000002</v>
      </c>
      <c r="BI42" s="97">
        <f>+Tabela1107[[#This Row],[PIS]]+Tabela1107[[#This Row],[COFINS]]+Tabela1107[[#This Row],[CONTRIB. FOLHA]]+Tabela1107[[#This Row],[TRIBUTOS S/ LUCRO]]+Tabela1107[[#This Row],[OUTROS]]+Tabela1107[[#This Row],[RS]]</f>
        <v>24.740000000000002</v>
      </c>
      <c r="BJ42" s="97">
        <f>+Tabela1107[[#This Row],[PIS]]+Tabela1107[[#This Row],[COFINS]]+Tabela1107[[#This Row],[CONTRIB. FOLHA]]+Tabela1107[[#This Row],[TRIBUTOS S/ LUCRO]]+Tabela1107[[#This Row],[OUTROS]]+Tabela1107[[#This Row],[RJ]]</f>
        <v>26.740000000000002</v>
      </c>
      <c r="BK42" s="97">
        <f>+Tabela1107[[#This Row],[PIS]]+Tabela1107[[#This Row],[COFINS]]+Tabela1107[[#This Row],[CONTRIB. FOLHA]]+Tabela1107[[#This Row],[TRIBUTOS S/ LUCRO]]+Tabela1107[[#This Row],[OUTROS]]+Tabela1107[[#This Row],[MG]]</f>
        <v>19.740000000000002</v>
      </c>
      <c r="BL42" s="97">
        <f>+Tabela1107[[#This Row],[PIS]]+Tabela1107[[#This Row],[COFINS]]+Tabela1107[[#This Row],[CONTRIB. FOLHA]]+Tabela1107[[#This Row],[TRIBUTOS S/ LUCRO]]+Tabela1107[[#This Row],[OUTROS]]+Tabela1107[[#This Row],[ES]]</f>
        <v>24.740000000000002</v>
      </c>
      <c r="BM42" s="97">
        <f>+Tabela1107[[#This Row],[PIS]]+Tabela1107[[#This Row],[COFINS]]+Tabela1107[[#This Row],[CONTRIB. FOLHA]]+Tabela1107[[#This Row],[TRIBUTOS S/ LUCRO]]+Tabela1107[[#This Row],[OUTROS]]+Tabela1107[[#This Row],[GO]]</f>
        <v>24.740000000000002</v>
      </c>
      <c r="BN42" s="97">
        <f>+Tabela1107[[#This Row],[PIS]]+Tabela1107[[#This Row],[COFINS]]+Tabela1107[[#This Row],[CONTRIB. FOLHA]]+Tabela1107[[#This Row],[TRIBUTOS S/ LUCRO]]+Tabela1107[[#This Row],[OUTROS]]+Tabela1107[[#This Row],[MT]]</f>
        <v>24.740000000000002</v>
      </c>
      <c r="BO42" s="97">
        <f>+Tabela1107[[#This Row],[PIS]]+Tabela1107[[#This Row],[COFINS]]+Tabela1107[[#This Row],[CONTRIB. FOLHA]]+Tabela1107[[#This Row],[TRIBUTOS S/ LUCRO]]+Tabela1107[[#This Row],[OUTROS]]+Tabela1107[[#This Row],[MS]]</f>
        <v>24.740000000000002</v>
      </c>
      <c r="BP42" s="97">
        <f>+Tabela1107[[#This Row],[PIS]]+Tabela1107[[#This Row],[COFINS]]+Tabela1107[[#This Row],[CONTRIB. FOLHA]]+Tabela1107[[#This Row],[TRIBUTOS S/ LUCRO]]+Tabela1107[[#This Row],[OUTROS]]+Tabela1107[[#This Row],[DF]]</f>
        <v>24.740000000000002</v>
      </c>
      <c r="BQ42" s="97">
        <f>+Tabela1107[[#This Row],[PIS]]+Tabela1107[[#This Row],[COFINS]]+Tabela1107[[#This Row],[CONTRIB. FOLHA]]+Tabela1107[[#This Row],[TRIBUTOS S/ LUCRO]]+Tabela1107[[#This Row],[OUTROS]]+Tabela1107[[#This Row],[BA]]</f>
        <v>24.740000000000002</v>
      </c>
      <c r="BR42" s="97">
        <f>+Tabela1107[[#This Row],[PIS]]+Tabela1107[[#This Row],[COFINS]]+Tabela1107[[#This Row],[CONTRIB. FOLHA]]+Tabela1107[[#This Row],[TRIBUTOS S/ LUCRO]]+Tabela1107[[#This Row],[OUTROS]]+Tabela1107[[#This Row],[BA]]</f>
        <v>24.740000000000002</v>
      </c>
      <c r="BS42" s="97">
        <f>+Tabela1107[[#This Row],[PIS]]+Tabela1107[[#This Row],[COFINS]]+Tabela1107[[#This Row],[CONTRIB. FOLHA]]+Tabela1107[[#This Row],[TRIBUTOS S/ LUCRO]]+Tabela1107[[#This Row],[OUTROS]]+Tabela1107[[#This Row],[PE]]</f>
        <v>24.740000000000002</v>
      </c>
      <c r="BT42" s="97">
        <f>+Tabela1107[[#This Row],[PIS]]+Tabela1107[[#This Row],[COFINS]]+Tabela1107[[#This Row],[CONTRIB. FOLHA]]+Tabela1107[[#This Row],[TRIBUTOS S/ LUCRO]]+Tabela1107[[#This Row],[OUTROS]]+Tabela1107[[#This Row],[PA]]</f>
        <v>24.740000000000002</v>
      </c>
      <c r="BU42" s="97">
        <f>+Tabela1107[[#This Row],[PIS]]+Tabela1107[[#This Row],[COFINS]]+Tabela1107[[#This Row],[CONTRIB. FOLHA]]+Tabela1107[[#This Row],[TRIBUTOS S/ LUCRO]]+Tabela1107[[#This Row],[OUTROS]]+Tabela1107[[#This Row],[AM]]</f>
        <v>24.740000000000002</v>
      </c>
      <c r="BV42" s="97">
        <f>AVERAGE(Tabela1107[[#This Row],[TOTAL SP]:[TOTAL AM]])</f>
        <v>24.302500000000006</v>
      </c>
      <c r="BW42" s="97"/>
      <c r="BX42" s="97"/>
    </row>
    <row r="43" spans="2:76" x14ac:dyDescent="0.25">
      <c r="B43" s="89">
        <v>22833</v>
      </c>
      <c r="C43" s="91" t="s">
        <v>13040</v>
      </c>
      <c r="D43" s="89"/>
      <c r="E43" s="89">
        <v>20140626</v>
      </c>
      <c r="F43" s="89" t="s">
        <v>21458</v>
      </c>
      <c r="G43" s="89" t="s">
        <v>21459</v>
      </c>
      <c r="H43" s="89" t="s">
        <v>21460</v>
      </c>
      <c r="I43" s="89" t="s">
        <v>2621</v>
      </c>
      <c r="J43" s="89" t="s">
        <v>608</v>
      </c>
      <c r="K43" s="89" t="s">
        <v>2464</v>
      </c>
      <c r="L43" s="89" t="s">
        <v>2621</v>
      </c>
      <c r="M43" s="89" t="s">
        <v>4496</v>
      </c>
      <c r="N43" s="89" t="s">
        <v>4496</v>
      </c>
      <c r="O43" s="89" t="s">
        <v>4496</v>
      </c>
      <c r="P43" s="89" t="s">
        <v>4496</v>
      </c>
      <c r="Q43" s="89"/>
      <c r="R43" s="89" t="s">
        <v>64</v>
      </c>
      <c r="S43" s="89" t="s">
        <v>21698</v>
      </c>
      <c r="T43" s="89" t="s">
        <v>21699</v>
      </c>
      <c r="U43" s="89" t="str">
        <f>TRIM('Carga Tributária doenças Po (2'!$L43)</f>
        <v>AMOXICILINA</v>
      </c>
      <c r="V43" s="89">
        <f>SUMIFS('Tabela Federal'!$E$4:$E$2069,'Tabela Federal'!$D$4:$D$2069,'Carga Tributária doenças Po (2'!$L43)</f>
        <v>7</v>
      </c>
      <c r="W43" s="89">
        <f>SUMIFS('Tabela Federal'!$E$4:$E$2069,'Tabela Federal'!$D$4:$D$2069,'Carga Tributária doenças Po (2'!$M43)</f>
        <v>0</v>
      </c>
      <c r="X43" s="89">
        <f>SUMIFS('Tabela Federal'!$E$4:$E$2069,'Tabela Federal'!$D$4:$D$2069,'Carga Tributária doenças Po (2'!$N43)</f>
        <v>0</v>
      </c>
      <c r="Y43" s="89">
        <f>SUMIFS('Tabela Federal'!$E$4:$E$2069,'Tabela Federal'!$D$4:$D$2069,'Carga Tributária doenças Po (2'!$O43)</f>
        <v>0</v>
      </c>
      <c r="Z43" s="92" t="str">
        <f>VLOOKUP('Carga Tributária doenças Po (2'!$AD43,'Carga Tributária doenças Po (2'!$CA$12:$CC$16,2,0)</f>
        <v>+</v>
      </c>
      <c r="AA43" s="89" t="s">
        <v>459</v>
      </c>
      <c r="AB43" s="89" t="s">
        <v>21801</v>
      </c>
      <c r="AC43" s="89" t="s">
        <v>21721</v>
      </c>
      <c r="AD43" s="93" t="s">
        <v>21722</v>
      </c>
      <c r="AE43" s="92" t="s">
        <v>4</v>
      </c>
      <c r="AF43" s="92" t="s">
        <v>10</v>
      </c>
      <c r="AG43" s="94">
        <v>1285882</v>
      </c>
      <c r="AH43" s="95">
        <v>8450638</v>
      </c>
      <c r="AI43" s="95">
        <v>19215445.66</v>
      </c>
      <c r="AJ43" s="89" t="s">
        <v>594</v>
      </c>
      <c r="AK43" s="89">
        <f>IF('Carga Tributária doenças Po (2'!$Z43="+",0,SUMIFS(PISCOFINS!$I$3:$I$10518,PISCOFINS!$C$3:$C$10518,'Carga Tributária doenças Po (2'!$C43))</f>
        <v>0</v>
      </c>
      <c r="AL43" s="89">
        <f>IF('Carga Tributária doenças Po (2'!$Z43="+",0,SUMIFS(PISCOFINS!$H$3:$H$10518,PISCOFINS!$C$3:$C$10518,'Carga Tributária doenças Po (2'!$C43))</f>
        <v>0</v>
      </c>
      <c r="AM43" s="95">
        <v>3.27</v>
      </c>
      <c r="AN43" s="95">
        <v>3.12</v>
      </c>
      <c r="AO43" s="95">
        <v>1.35</v>
      </c>
      <c r="AP43" s="96">
        <v>18</v>
      </c>
      <c r="AQ43" s="96">
        <v>12</v>
      </c>
      <c r="AR43" s="96">
        <v>17</v>
      </c>
      <c r="AS43" s="97">
        <v>17</v>
      </c>
      <c r="AT43" s="97">
        <v>19</v>
      </c>
      <c r="AU43" s="97">
        <v>12</v>
      </c>
      <c r="AV43" s="97">
        <v>17</v>
      </c>
      <c r="AW43" s="97">
        <v>17</v>
      </c>
      <c r="AX43" s="97">
        <v>17</v>
      </c>
      <c r="AY43" s="97">
        <v>17</v>
      </c>
      <c r="AZ43" s="97">
        <v>17</v>
      </c>
      <c r="BA43" s="97">
        <v>17</v>
      </c>
      <c r="BB43" s="97">
        <v>17</v>
      </c>
      <c r="BC43" s="97">
        <v>17</v>
      </c>
      <c r="BD43" s="97">
        <v>17</v>
      </c>
      <c r="BE43" s="97">
        <v>17</v>
      </c>
      <c r="BF43" s="97">
        <f>+Tabela1107[[#This Row],[PIS]]+Tabela1107[[#This Row],[COFINS]]+Tabela1107[[#This Row],[CONTRIB. FOLHA]]+Tabela1107[[#This Row],[TRIBUTOS S/ LUCRO]]+Tabela1107[[#This Row],[OUTROS]]+Tabela1107[[#This Row],[SP]]</f>
        <v>25.740000000000002</v>
      </c>
      <c r="BG43" s="97">
        <f>+Tabela1107[[#This Row],[PIS]]+Tabela1107[[#This Row],[COFINS]]+Tabela1107[[#This Row],[CONTRIB. FOLHA]]+Tabela1107[[#This Row],[TRIBUTOS S/ LUCRO]]+Tabela1107[[#This Row],[OUTROS]]+Tabela1107[[#This Row],[PR]]</f>
        <v>19.740000000000002</v>
      </c>
      <c r="BH43" s="97">
        <f>+Tabela1107[[#This Row],[PIS]]+Tabela1107[[#This Row],[COFINS]]+Tabela1107[[#This Row],[CONTRIB. FOLHA]]+Tabela1107[[#This Row],[TRIBUTOS S/ LUCRO]]+Tabela1107[[#This Row],[OUTROS]]+Tabela1107[[#This Row],[SC]]</f>
        <v>24.740000000000002</v>
      </c>
      <c r="BI43" s="97">
        <f>+Tabela1107[[#This Row],[PIS]]+Tabela1107[[#This Row],[COFINS]]+Tabela1107[[#This Row],[CONTRIB. FOLHA]]+Tabela1107[[#This Row],[TRIBUTOS S/ LUCRO]]+Tabela1107[[#This Row],[OUTROS]]+Tabela1107[[#This Row],[RS]]</f>
        <v>24.740000000000002</v>
      </c>
      <c r="BJ43" s="97">
        <f>+Tabela1107[[#This Row],[PIS]]+Tabela1107[[#This Row],[COFINS]]+Tabela1107[[#This Row],[CONTRIB. FOLHA]]+Tabela1107[[#This Row],[TRIBUTOS S/ LUCRO]]+Tabela1107[[#This Row],[OUTROS]]+Tabela1107[[#This Row],[RJ]]</f>
        <v>26.740000000000002</v>
      </c>
      <c r="BK43" s="97">
        <f>+Tabela1107[[#This Row],[PIS]]+Tabela1107[[#This Row],[COFINS]]+Tabela1107[[#This Row],[CONTRIB. FOLHA]]+Tabela1107[[#This Row],[TRIBUTOS S/ LUCRO]]+Tabela1107[[#This Row],[OUTROS]]+Tabela1107[[#This Row],[MG]]</f>
        <v>19.740000000000002</v>
      </c>
      <c r="BL43" s="97">
        <f>+Tabela1107[[#This Row],[PIS]]+Tabela1107[[#This Row],[COFINS]]+Tabela1107[[#This Row],[CONTRIB. FOLHA]]+Tabela1107[[#This Row],[TRIBUTOS S/ LUCRO]]+Tabela1107[[#This Row],[OUTROS]]+Tabela1107[[#This Row],[ES]]</f>
        <v>24.740000000000002</v>
      </c>
      <c r="BM43" s="97">
        <f>+Tabela1107[[#This Row],[PIS]]+Tabela1107[[#This Row],[COFINS]]+Tabela1107[[#This Row],[CONTRIB. FOLHA]]+Tabela1107[[#This Row],[TRIBUTOS S/ LUCRO]]+Tabela1107[[#This Row],[OUTROS]]+Tabela1107[[#This Row],[GO]]</f>
        <v>24.740000000000002</v>
      </c>
      <c r="BN43" s="97">
        <f>+Tabela1107[[#This Row],[PIS]]+Tabela1107[[#This Row],[COFINS]]+Tabela1107[[#This Row],[CONTRIB. FOLHA]]+Tabela1107[[#This Row],[TRIBUTOS S/ LUCRO]]+Tabela1107[[#This Row],[OUTROS]]+Tabela1107[[#This Row],[MT]]</f>
        <v>24.740000000000002</v>
      </c>
      <c r="BO43" s="97">
        <f>+Tabela1107[[#This Row],[PIS]]+Tabela1107[[#This Row],[COFINS]]+Tabela1107[[#This Row],[CONTRIB. FOLHA]]+Tabela1107[[#This Row],[TRIBUTOS S/ LUCRO]]+Tabela1107[[#This Row],[OUTROS]]+Tabela1107[[#This Row],[MS]]</f>
        <v>24.740000000000002</v>
      </c>
      <c r="BP43" s="97">
        <f>+Tabela1107[[#This Row],[PIS]]+Tabela1107[[#This Row],[COFINS]]+Tabela1107[[#This Row],[CONTRIB. FOLHA]]+Tabela1107[[#This Row],[TRIBUTOS S/ LUCRO]]+Tabela1107[[#This Row],[OUTROS]]+Tabela1107[[#This Row],[DF]]</f>
        <v>24.740000000000002</v>
      </c>
      <c r="BQ43" s="97">
        <f>+Tabela1107[[#This Row],[PIS]]+Tabela1107[[#This Row],[COFINS]]+Tabela1107[[#This Row],[CONTRIB. FOLHA]]+Tabela1107[[#This Row],[TRIBUTOS S/ LUCRO]]+Tabela1107[[#This Row],[OUTROS]]+Tabela1107[[#This Row],[BA]]</f>
        <v>24.740000000000002</v>
      </c>
      <c r="BR43" s="97">
        <f>+Tabela1107[[#This Row],[PIS]]+Tabela1107[[#This Row],[COFINS]]+Tabela1107[[#This Row],[CONTRIB. FOLHA]]+Tabela1107[[#This Row],[TRIBUTOS S/ LUCRO]]+Tabela1107[[#This Row],[OUTROS]]+Tabela1107[[#This Row],[BA]]</f>
        <v>24.740000000000002</v>
      </c>
      <c r="BS43" s="97">
        <f>+Tabela1107[[#This Row],[PIS]]+Tabela1107[[#This Row],[COFINS]]+Tabela1107[[#This Row],[CONTRIB. FOLHA]]+Tabela1107[[#This Row],[TRIBUTOS S/ LUCRO]]+Tabela1107[[#This Row],[OUTROS]]+Tabela1107[[#This Row],[PE]]</f>
        <v>24.740000000000002</v>
      </c>
      <c r="BT43" s="97">
        <f>+Tabela1107[[#This Row],[PIS]]+Tabela1107[[#This Row],[COFINS]]+Tabela1107[[#This Row],[CONTRIB. FOLHA]]+Tabela1107[[#This Row],[TRIBUTOS S/ LUCRO]]+Tabela1107[[#This Row],[OUTROS]]+Tabela1107[[#This Row],[PA]]</f>
        <v>24.740000000000002</v>
      </c>
      <c r="BU43" s="97">
        <f>+Tabela1107[[#This Row],[PIS]]+Tabela1107[[#This Row],[COFINS]]+Tabela1107[[#This Row],[CONTRIB. FOLHA]]+Tabela1107[[#This Row],[TRIBUTOS S/ LUCRO]]+Tabela1107[[#This Row],[OUTROS]]+Tabela1107[[#This Row],[AM]]</f>
        <v>24.740000000000002</v>
      </c>
      <c r="BV43" s="97">
        <f>AVERAGE(Tabela1107[[#This Row],[TOTAL SP]:[TOTAL AM]])</f>
        <v>24.302500000000006</v>
      </c>
      <c r="BW43" s="97"/>
      <c r="BX43" s="97"/>
    </row>
    <row r="44" spans="2:76" x14ac:dyDescent="0.25">
      <c r="B44" s="89">
        <v>22914</v>
      </c>
      <c r="C44" s="91" t="s">
        <v>13040</v>
      </c>
      <c r="D44" s="89"/>
      <c r="E44" s="89">
        <v>20140626</v>
      </c>
      <c r="F44" s="89" t="s">
        <v>20611</v>
      </c>
      <c r="G44" s="89" t="s">
        <v>20612</v>
      </c>
      <c r="H44" s="89" t="s">
        <v>20613</v>
      </c>
      <c r="I44" s="89" t="s">
        <v>20614</v>
      </c>
      <c r="J44" s="89" t="s">
        <v>458</v>
      </c>
      <c r="K44" s="89" t="s">
        <v>2463</v>
      </c>
      <c r="L44" s="89" t="s">
        <v>2621</v>
      </c>
      <c r="M44" s="89" t="s">
        <v>4205</v>
      </c>
      <c r="N44" s="89" t="s">
        <v>4496</v>
      </c>
      <c r="O44" s="89" t="s">
        <v>4496</v>
      </c>
      <c r="P44" s="89" t="s">
        <v>4496</v>
      </c>
      <c r="Q44" s="89"/>
      <c r="R44" s="89" t="s">
        <v>29</v>
      </c>
      <c r="S44" s="89" t="s">
        <v>21616</v>
      </c>
      <c r="T44" s="89" t="s">
        <v>21617</v>
      </c>
      <c r="U44" s="89" t="str">
        <f>TRIM('Carga Tributária doenças Po (2'!$L44)</f>
        <v>AMOXICILINA</v>
      </c>
      <c r="V44" s="89">
        <f>SUMIFS('Tabela Federal'!$E$4:$E$2069,'Tabela Federal'!$D$4:$D$2069,'Carga Tributária doenças Po (2'!$L44)</f>
        <v>7</v>
      </c>
      <c r="W44" s="89">
        <f>SUMIFS('Tabela Federal'!$E$4:$E$2069,'Tabela Federal'!$D$4:$D$2069,'Carga Tributária doenças Po (2'!$M44)</f>
        <v>3</v>
      </c>
      <c r="X44" s="89">
        <f>SUMIFS('Tabela Federal'!$E$4:$E$2069,'Tabela Federal'!$D$4:$D$2069,'Carga Tributária doenças Po (2'!$N44)</f>
        <v>0</v>
      </c>
      <c r="Y44" s="89">
        <f>SUMIFS('Tabela Federal'!$E$4:$E$2069,'Tabela Federal'!$D$4:$D$2069,'Carga Tributária doenças Po (2'!$O44)</f>
        <v>0</v>
      </c>
      <c r="Z44" s="92" t="str">
        <f>VLOOKUP('Carga Tributária doenças Po (2'!$AD44,'Carga Tributária doenças Po (2'!$CA$12:$CC$16,2,0)</f>
        <v>+</v>
      </c>
      <c r="AA44" s="89" t="s">
        <v>459</v>
      </c>
      <c r="AB44" s="89" t="s">
        <v>21801</v>
      </c>
      <c r="AC44" s="89" t="s">
        <v>21721</v>
      </c>
      <c r="AD44" s="93" t="s">
        <v>19445</v>
      </c>
      <c r="AE44" s="92" t="s">
        <v>4</v>
      </c>
      <c r="AF44" s="92" t="s">
        <v>10</v>
      </c>
      <c r="AG44" s="94">
        <v>674345</v>
      </c>
      <c r="AH44" s="95">
        <v>11568329</v>
      </c>
      <c r="AI44" s="95">
        <v>26313184.969999999</v>
      </c>
      <c r="AJ44" s="89" t="s">
        <v>460</v>
      </c>
      <c r="AK44" s="89">
        <f>IF('Carga Tributária doenças Po (2'!$Z44="+",0,SUMIFS(PISCOFINS!$I$3:$I$10518,PISCOFINS!$C$3:$C$10518,'Carga Tributária doenças Po (2'!$C44))</f>
        <v>0</v>
      </c>
      <c r="AL44" s="89">
        <f>IF('Carga Tributária doenças Po (2'!$Z44="+",0,SUMIFS(PISCOFINS!$H$3:$H$10518,PISCOFINS!$C$3:$C$10518,'Carga Tributária doenças Po (2'!$C44))</f>
        <v>0</v>
      </c>
      <c r="AM44" s="95">
        <v>3.27</v>
      </c>
      <c r="AN44" s="95">
        <v>3.12</v>
      </c>
      <c r="AO44" s="95">
        <v>1.35</v>
      </c>
      <c r="AP44" s="96">
        <v>18</v>
      </c>
      <c r="AQ44" s="96">
        <v>12</v>
      </c>
      <c r="AR44" s="96">
        <v>17</v>
      </c>
      <c r="AS44" s="97">
        <v>17</v>
      </c>
      <c r="AT44" s="97">
        <v>19</v>
      </c>
      <c r="AU44" s="97">
        <v>12</v>
      </c>
      <c r="AV44" s="97">
        <v>17</v>
      </c>
      <c r="AW44" s="97">
        <v>17</v>
      </c>
      <c r="AX44" s="97">
        <v>17</v>
      </c>
      <c r="AY44" s="97">
        <v>17</v>
      </c>
      <c r="AZ44" s="97">
        <v>17</v>
      </c>
      <c r="BA44" s="97">
        <v>17</v>
      </c>
      <c r="BB44" s="97">
        <v>17</v>
      </c>
      <c r="BC44" s="97">
        <v>17</v>
      </c>
      <c r="BD44" s="97">
        <v>17</v>
      </c>
      <c r="BE44" s="97">
        <v>17</v>
      </c>
      <c r="BF44" s="97">
        <f>+Tabela1107[[#This Row],[PIS]]+Tabela1107[[#This Row],[COFINS]]+Tabela1107[[#This Row],[CONTRIB. FOLHA]]+Tabela1107[[#This Row],[TRIBUTOS S/ LUCRO]]+Tabela1107[[#This Row],[OUTROS]]+Tabela1107[[#This Row],[SP]]</f>
        <v>25.740000000000002</v>
      </c>
      <c r="BG44" s="97">
        <f>+Tabela1107[[#This Row],[PIS]]+Tabela1107[[#This Row],[COFINS]]+Tabela1107[[#This Row],[CONTRIB. FOLHA]]+Tabela1107[[#This Row],[TRIBUTOS S/ LUCRO]]+Tabela1107[[#This Row],[OUTROS]]+Tabela1107[[#This Row],[PR]]</f>
        <v>19.740000000000002</v>
      </c>
      <c r="BH44" s="97">
        <f>+Tabela1107[[#This Row],[PIS]]+Tabela1107[[#This Row],[COFINS]]+Tabela1107[[#This Row],[CONTRIB. FOLHA]]+Tabela1107[[#This Row],[TRIBUTOS S/ LUCRO]]+Tabela1107[[#This Row],[OUTROS]]+Tabela1107[[#This Row],[SC]]</f>
        <v>24.740000000000002</v>
      </c>
      <c r="BI44" s="97">
        <f>+Tabela1107[[#This Row],[PIS]]+Tabela1107[[#This Row],[COFINS]]+Tabela1107[[#This Row],[CONTRIB. FOLHA]]+Tabela1107[[#This Row],[TRIBUTOS S/ LUCRO]]+Tabela1107[[#This Row],[OUTROS]]+Tabela1107[[#This Row],[RS]]</f>
        <v>24.740000000000002</v>
      </c>
      <c r="BJ44" s="97">
        <f>+Tabela1107[[#This Row],[PIS]]+Tabela1107[[#This Row],[COFINS]]+Tabela1107[[#This Row],[CONTRIB. FOLHA]]+Tabela1107[[#This Row],[TRIBUTOS S/ LUCRO]]+Tabela1107[[#This Row],[OUTROS]]+Tabela1107[[#This Row],[RJ]]</f>
        <v>26.740000000000002</v>
      </c>
      <c r="BK44" s="97">
        <f>+Tabela1107[[#This Row],[PIS]]+Tabela1107[[#This Row],[COFINS]]+Tabela1107[[#This Row],[CONTRIB. FOLHA]]+Tabela1107[[#This Row],[TRIBUTOS S/ LUCRO]]+Tabela1107[[#This Row],[OUTROS]]+Tabela1107[[#This Row],[MG]]</f>
        <v>19.740000000000002</v>
      </c>
      <c r="BL44" s="97">
        <f>+Tabela1107[[#This Row],[PIS]]+Tabela1107[[#This Row],[COFINS]]+Tabela1107[[#This Row],[CONTRIB. FOLHA]]+Tabela1107[[#This Row],[TRIBUTOS S/ LUCRO]]+Tabela1107[[#This Row],[OUTROS]]+Tabela1107[[#This Row],[ES]]</f>
        <v>24.740000000000002</v>
      </c>
      <c r="BM44" s="97">
        <f>+Tabela1107[[#This Row],[PIS]]+Tabela1107[[#This Row],[COFINS]]+Tabela1107[[#This Row],[CONTRIB. FOLHA]]+Tabela1107[[#This Row],[TRIBUTOS S/ LUCRO]]+Tabela1107[[#This Row],[OUTROS]]+Tabela1107[[#This Row],[GO]]</f>
        <v>24.740000000000002</v>
      </c>
      <c r="BN44" s="97">
        <f>+Tabela1107[[#This Row],[PIS]]+Tabela1107[[#This Row],[COFINS]]+Tabela1107[[#This Row],[CONTRIB. FOLHA]]+Tabela1107[[#This Row],[TRIBUTOS S/ LUCRO]]+Tabela1107[[#This Row],[OUTROS]]+Tabela1107[[#This Row],[MT]]</f>
        <v>24.740000000000002</v>
      </c>
      <c r="BO44" s="97">
        <f>+Tabela1107[[#This Row],[PIS]]+Tabela1107[[#This Row],[COFINS]]+Tabela1107[[#This Row],[CONTRIB. FOLHA]]+Tabela1107[[#This Row],[TRIBUTOS S/ LUCRO]]+Tabela1107[[#This Row],[OUTROS]]+Tabela1107[[#This Row],[MS]]</f>
        <v>24.740000000000002</v>
      </c>
      <c r="BP44" s="97">
        <f>+Tabela1107[[#This Row],[PIS]]+Tabela1107[[#This Row],[COFINS]]+Tabela1107[[#This Row],[CONTRIB. FOLHA]]+Tabela1107[[#This Row],[TRIBUTOS S/ LUCRO]]+Tabela1107[[#This Row],[OUTROS]]+Tabela1107[[#This Row],[DF]]</f>
        <v>24.740000000000002</v>
      </c>
      <c r="BQ44" s="97">
        <f>+Tabela1107[[#This Row],[PIS]]+Tabela1107[[#This Row],[COFINS]]+Tabela1107[[#This Row],[CONTRIB. FOLHA]]+Tabela1107[[#This Row],[TRIBUTOS S/ LUCRO]]+Tabela1107[[#This Row],[OUTROS]]+Tabela1107[[#This Row],[BA]]</f>
        <v>24.740000000000002</v>
      </c>
      <c r="BR44" s="97">
        <f>+Tabela1107[[#This Row],[PIS]]+Tabela1107[[#This Row],[COFINS]]+Tabela1107[[#This Row],[CONTRIB. FOLHA]]+Tabela1107[[#This Row],[TRIBUTOS S/ LUCRO]]+Tabela1107[[#This Row],[OUTROS]]+Tabela1107[[#This Row],[BA]]</f>
        <v>24.740000000000002</v>
      </c>
      <c r="BS44" s="97">
        <f>+Tabela1107[[#This Row],[PIS]]+Tabela1107[[#This Row],[COFINS]]+Tabela1107[[#This Row],[CONTRIB. FOLHA]]+Tabela1107[[#This Row],[TRIBUTOS S/ LUCRO]]+Tabela1107[[#This Row],[OUTROS]]+Tabela1107[[#This Row],[PE]]</f>
        <v>24.740000000000002</v>
      </c>
      <c r="BT44" s="97">
        <f>+Tabela1107[[#This Row],[PIS]]+Tabela1107[[#This Row],[COFINS]]+Tabela1107[[#This Row],[CONTRIB. FOLHA]]+Tabela1107[[#This Row],[TRIBUTOS S/ LUCRO]]+Tabela1107[[#This Row],[OUTROS]]+Tabela1107[[#This Row],[PA]]</f>
        <v>24.740000000000002</v>
      </c>
      <c r="BU44" s="97">
        <f>+Tabela1107[[#This Row],[PIS]]+Tabela1107[[#This Row],[COFINS]]+Tabela1107[[#This Row],[CONTRIB. FOLHA]]+Tabela1107[[#This Row],[TRIBUTOS S/ LUCRO]]+Tabela1107[[#This Row],[OUTROS]]+Tabela1107[[#This Row],[AM]]</f>
        <v>24.740000000000002</v>
      </c>
      <c r="BV44" s="97">
        <f>AVERAGE(Tabela1107[[#This Row],[TOTAL SP]:[TOTAL AM]])</f>
        <v>24.302500000000006</v>
      </c>
      <c r="BW44" s="97"/>
      <c r="BX44" s="97"/>
    </row>
    <row r="45" spans="2:76" x14ac:dyDescent="0.25">
      <c r="B45" s="89">
        <v>14837</v>
      </c>
      <c r="C45" s="91" t="s">
        <v>13142</v>
      </c>
      <c r="D45" s="89"/>
      <c r="E45" s="89">
        <v>20140626</v>
      </c>
      <c r="F45" s="89" t="s">
        <v>21391</v>
      </c>
      <c r="G45" s="89" t="s">
        <v>21392</v>
      </c>
      <c r="H45" s="89" t="s">
        <v>21393</v>
      </c>
      <c r="I45" s="89" t="s">
        <v>21394</v>
      </c>
      <c r="J45" s="89" t="s">
        <v>416</v>
      </c>
      <c r="K45" s="89" t="s">
        <v>2465</v>
      </c>
      <c r="L45" s="89" t="s">
        <v>2622</v>
      </c>
      <c r="M45" s="89" t="s">
        <v>4496</v>
      </c>
      <c r="N45" s="89" t="s">
        <v>4496</v>
      </c>
      <c r="O45" s="89" t="s">
        <v>4496</v>
      </c>
      <c r="P45" s="89" t="s">
        <v>4496</v>
      </c>
      <c r="Q45" s="89"/>
      <c r="R45" s="89" t="s">
        <v>58</v>
      </c>
      <c r="S45" s="89" t="s">
        <v>21608</v>
      </c>
      <c r="T45" s="89" t="s">
        <v>21609</v>
      </c>
      <c r="U45" s="89" t="str">
        <f>TRIM('Carga Tributária doenças Po (2'!$L45)</f>
        <v>AMITRIPTILINA</v>
      </c>
      <c r="V45" s="89">
        <f>SUMIFS('Tabela Federal'!$E$4:$E$2069,'Tabela Federal'!$D$4:$D$2069,'Carga Tributária doenças Po (2'!$L45)</f>
        <v>1</v>
      </c>
      <c r="W45" s="89">
        <f>SUMIFS('Tabela Federal'!$E$4:$E$2069,'Tabela Federal'!$D$4:$D$2069,'Carga Tributária doenças Po (2'!$M45)</f>
        <v>0</v>
      </c>
      <c r="X45" s="89">
        <f>SUMIFS('Tabela Federal'!$E$4:$E$2069,'Tabela Federal'!$D$4:$D$2069,'Carga Tributária doenças Po (2'!$N45)</f>
        <v>0</v>
      </c>
      <c r="Y45" s="89">
        <f>SUMIFS('Tabela Federal'!$E$4:$E$2069,'Tabela Federal'!$D$4:$D$2069,'Carga Tributária doenças Po (2'!$O45)</f>
        <v>0</v>
      </c>
      <c r="Z45" s="92" t="str">
        <f>VLOOKUP('Carga Tributária doenças Po (2'!$AD45,'Carga Tributária doenças Po (2'!$CA$12:$CC$16,2,0)</f>
        <v>+</v>
      </c>
      <c r="AA45" s="89" t="s">
        <v>415</v>
      </c>
      <c r="AB45" s="89" t="s">
        <v>21774</v>
      </c>
      <c r="AC45" s="89" t="s">
        <v>21721</v>
      </c>
      <c r="AD45" s="93" t="s">
        <v>21722</v>
      </c>
      <c r="AE45" s="92" t="s">
        <v>2</v>
      </c>
      <c r="AF45" s="92" t="s">
        <v>3</v>
      </c>
      <c r="AG45" s="94">
        <v>1103062</v>
      </c>
      <c r="AH45" s="95">
        <v>5593592</v>
      </c>
      <c r="AI45" s="95">
        <v>12760600.01</v>
      </c>
      <c r="AJ45" s="89" t="s">
        <v>426</v>
      </c>
      <c r="AK45" s="89">
        <f>IF('Carga Tributária doenças Po (2'!$Z45="+",0,SUMIFS(PISCOFINS!$I$3:$I$10518,PISCOFINS!$C$3:$C$10518,'Carga Tributária doenças Po (2'!$C45))</f>
        <v>0</v>
      </c>
      <c r="AL45" s="89">
        <f>IF('Carga Tributária doenças Po (2'!$Z45="+",0,SUMIFS(PISCOFINS!$H$3:$H$10518,PISCOFINS!$C$3:$C$10518,'Carga Tributária doenças Po (2'!$C45))</f>
        <v>0</v>
      </c>
      <c r="AM45" s="95">
        <v>3.27</v>
      </c>
      <c r="AN45" s="95">
        <v>3.12</v>
      </c>
      <c r="AO45" s="95">
        <v>1.35</v>
      </c>
      <c r="AP45" s="96">
        <v>18</v>
      </c>
      <c r="AQ45" s="96">
        <v>12</v>
      </c>
      <c r="AR45" s="96">
        <v>17</v>
      </c>
      <c r="AS45" s="97">
        <v>17</v>
      </c>
      <c r="AT45" s="97">
        <v>19</v>
      </c>
      <c r="AU45" s="97">
        <v>18</v>
      </c>
      <c r="AV45" s="97">
        <v>17</v>
      </c>
      <c r="AW45" s="97">
        <v>17</v>
      </c>
      <c r="AX45" s="97">
        <v>17</v>
      </c>
      <c r="AY45" s="97">
        <v>17</v>
      </c>
      <c r="AZ45" s="97">
        <v>17</v>
      </c>
      <c r="BA45" s="97">
        <v>17</v>
      </c>
      <c r="BB45" s="97">
        <v>17</v>
      </c>
      <c r="BC45" s="97">
        <v>17</v>
      </c>
      <c r="BD45" s="97">
        <v>17</v>
      </c>
      <c r="BE45" s="97">
        <v>17</v>
      </c>
      <c r="BF45" s="97">
        <f>+Tabela1107[[#This Row],[PIS]]+Tabela1107[[#This Row],[COFINS]]+Tabela1107[[#This Row],[CONTRIB. FOLHA]]+Tabela1107[[#This Row],[TRIBUTOS S/ LUCRO]]+Tabela1107[[#This Row],[OUTROS]]+Tabela1107[[#This Row],[SP]]</f>
        <v>25.740000000000002</v>
      </c>
      <c r="BG45" s="97">
        <f>+Tabela1107[[#This Row],[PIS]]+Tabela1107[[#This Row],[COFINS]]+Tabela1107[[#This Row],[CONTRIB. FOLHA]]+Tabela1107[[#This Row],[TRIBUTOS S/ LUCRO]]+Tabela1107[[#This Row],[OUTROS]]+Tabela1107[[#This Row],[PR]]</f>
        <v>19.740000000000002</v>
      </c>
      <c r="BH45" s="97">
        <f>+Tabela1107[[#This Row],[PIS]]+Tabela1107[[#This Row],[COFINS]]+Tabela1107[[#This Row],[CONTRIB. FOLHA]]+Tabela1107[[#This Row],[TRIBUTOS S/ LUCRO]]+Tabela1107[[#This Row],[OUTROS]]+Tabela1107[[#This Row],[SC]]</f>
        <v>24.740000000000002</v>
      </c>
      <c r="BI45" s="97">
        <f>+Tabela1107[[#This Row],[PIS]]+Tabela1107[[#This Row],[COFINS]]+Tabela1107[[#This Row],[CONTRIB. FOLHA]]+Tabela1107[[#This Row],[TRIBUTOS S/ LUCRO]]+Tabela1107[[#This Row],[OUTROS]]+Tabela1107[[#This Row],[RS]]</f>
        <v>24.740000000000002</v>
      </c>
      <c r="BJ45" s="97">
        <f>+Tabela1107[[#This Row],[PIS]]+Tabela1107[[#This Row],[COFINS]]+Tabela1107[[#This Row],[CONTRIB. FOLHA]]+Tabela1107[[#This Row],[TRIBUTOS S/ LUCRO]]+Tabela1107[[#This Row],[OUTROS]]+Tabela1107[[#This Row],[RJ]]</f>
        <v>26.740000000000002</v>
      </c>
      <c r="BK45" s="97">
        <f>+Tabela1107[[#This Row],[PIS]]+Tabela1107[[#This Row],[COFINS]]+Tabela1107[[#This Row],[CONTRIB. FOLHA]]+Tabela1107[[#This Row],[TRIBUTOS S/ LUCRO]]+Tabela1107[[#This Row],[OUTROS]]+Tabela1107[[#This Row],[MG]]</f>
        <v>25.740000000000002</v>
      </c>
      <c r="BL45" s="97">
        <f>+Tabela1107[[#This Row],[PIS]]+Tabela1107[[#This Row],[COFINS]]+Tabela1107[[#This Row],[CONTRIB. FOLHA]]+Tabela1107[[#This Row],[TRIBUTOS S/ LUCRO]]+Tabela1107[[#This Row],[OUTROS]]+Tabela1107[[#This Row],[ES]]</f>
        <v>24.740000000000002</v>
      </c>
      <c r="BM45" s="97">
        <f>+Tabela1107[[#This Row],[PIS]]+Tabela1107[[#This Row],[COFINS]]+Tabela1107[[#This Row],[CONTRIB. FOLHA]]+Tabela1107[[#This Row],[TRIBUTOS S/ LUCRO]]+Tabela1107[[#This Row],[OUTROS]]+Tabela1107[[#This Row],[GO]]</f>
        <v>24.740000000000002</v>
      </c>
      <c r="BN45" s="97">
        <f>+Tabela1107[[#This Row],[PIS]]+Tabela1107[[#This Row],[COFINS]]+Tabela1107[[#This Row],[CONTRIB. FOLHA]]+Tabela1107[[#This Row],[TRIBUTOS S/ LUCRO]]+Tabela1107[[#This Row],[OUTROS]]+Tabela1107[[#This Row],[MT]]</f>
        <v>24.740000000000002</v>
      </c>
      <c r="BO45" s="97">
        <f>+Tabela1107[[#This Row],[PIS]]+Tabela1107[[#This Row],[COFINS]]+Tabela1107[[#This Row],[CONTRIB. FOLHA]]+Tabela1107[[#This Row],[TRIBUTOS S/ LUCRO]]+Tabela1107[[#This Row],[OUTROS]]+Tabela1107[[#This Row],[MS]]</f>
        <v>24.740000000000002</v>
      </c>
      <c r="BP45" s="97">
        <f>+Tabela1107[[#This Row],[PIS]]+Tabela1107[[#This Row],[COFINS]]+Tabela1107[[#This Row],[CONTRIB. FOLHA]]+Tabela1107[[#This Row],[TRIBUTOS S/ LUCRO]]+Tabela1107[[#This Row],[OUTROS]]+Tabela1107[[#This Row],[DF]]</f>
        <v>24.740000000000002</v>
      </c>
      <c r="BQ45" s="97">
        <f>+Tabela1107[[#This Row],[PIS]]+Tabela1107[[#This Row],[COFINS]]+Tabela1107[[#This Row],[CONTRIB. FOLHA]]+Tabela1107[[#This Row],[TRIBUTOS S/ LUCRO]]+Tabela1107[[#This Row],[OUTROS]]+Tabela1107[[#This Row],[BA]]</f>
        <v>24.740000000000002</v>
      </c>
      <c r="BR45" s="97">
        <f>+Tabela1107[[#This Row],[PIS]]+Tabela1107[[#This Row],[COFINS]]+Tabela1107[[#This Row],[CONTRIB. FOLHA]]+Tabela1107[[#This Row],[TRIBUTOS S/ LUCRO]]+Tabela1107[[#This Row],[OUTROS]]+Tabela1107[[#This Row],[BA]]</f>
        <v>24.740000000000002</v>
      </c>
      <c r="BS45" s="97">
        <f>+Tabela1107[[#This Row],[PIS]]+Tabela1107[[#This Row],[COFINS]]+Tabela1107[[#This Row],[CONTRIB. FOLHA]]+Tabela1107[[#This Row],[TRIBUTOS S/ LUCRO]]+Tabela1107[[#This Row],[OUTROS]]+Tabela1107[[#This Row],[PE]]</f>
        <v>24.740000000000002</v>
      </c>
      <c r="BT45" s="97">
        <f>+Tabela1107[[#This Row],[PIS]]+Tabela1107[[#This Row],[COFINS]]+Tabela1107[[#This Row],[CONTRIB. FOLHA]]+Tabela1107[[#This Row],[TRIBUTOS S/ LUCRO]]+Tabela1107[[#This Row],[OUTROS]]+Tabela1107[[#This Row],[PA]]</f>
        <v>24.740000000000002</v>
      </c>
      <c r="BU45" s="97">
        <f>+Tabela1107[[#This Row],[PIS]]+Tabela1107[[#This Row],[COFINS]]+Tabela1107[[#This Row],[CONTRIB. FOLHA]]+Tabela1107[[#This Row],[TRIBUTOS S/ LUCRO]]+Tabela1107[[#This Row],[OUTROS]]+Tabela1107[[#This Row],[AM]]</f>
        <v>24.740000000000002</v>
      </c>
      <c r="BV45" s="97">
        <f>AVERAGE(Tabela1107[[#This Row],[TOTAL SP]:[TOTAL AM]])</f>
        <v>24.677500000000006</v>
      </c>
      <c r="BW45" s="97"/>
      <c r="BX45" s="97"/>
    </row>
    <row r="46" spans="2:76" x14ac:dyDescent="0.25">
      <c r="B46" s="89">
        <v>14796</v>
      </c>
      <c r="C46" s="91" t="s">
        <v>13155</v>
      </c>
      <c r="D46" s="89"/>
      <c r="E46" s="89">
        <v>20140626</v>
      </c>
      <c r="F46" s="89" t="s">
        <v>20921</v>
      </c>
      <c r="G46" s="89" t="s">
        <v>20922</v>
      </c>
      <c r="H46" s="89" t="s">
        <v>20923</v>
      </c>
      <c r="I46" s="89" t="s">
        <v>20920</v>
      </c>
      <c r="J46" s="89" t="s">
        <v>489</v>
      </c>
      <c r="K46" s="89" t="s">
        <v>2444</v>
      </c>
      <c r="L46" s="89" t="s">
        <v>2620</v>
      </c>
      <c r="M46" s="89" t="s">
        <v>4496</v>
      </c>
      <c r="N46" s="89" t="s">
        <v>4496</v>
      </c>
      <c r="O46" s="89" t="s">
        <v>4496</v>
      </c>
      <c r="P46" s="89" t="s">
        <v>4496</v>
      </c>
      <c r="Q46" s="89"/>
      <c r="R46" s="89" t="s">
        <v>136</v>
      </c>
      <c r="S46" s="89" t="s">
        <v>21640</v>
      </c>
      <c r="T46" s="89" t="s">
        <v>21641</v>
      </c>
      <c r="U46" s="89" t="str">
        <f>TRIM('Carga Tributária doenças Po (2'!$L46)</f>
        <v>CLORIDRATO DE AMIODARONA</v>
      </c>
      <c r="V46" s="89">
        <f>SUMIFS('Tabela Federal'!$E$4:$E$2069,'Tabela Federal'!$D$4:$D$2069,'Carga Tributária doenças Po (2'!$L46)</f>
        <v>1</v>
      </c>
      <c r="W46" s="89">
        <f>SUMIFS('Tabela Federal'!$E$4:$E$2069,'Tabela Federal'!$D$4:$D$2069,'Carga Tributária doenças Po (2'!$M46)</f>
        <v>0</v>
      </c>
      <c r="X46" s="89">
        <f>SUMIFS('Tabela Federal'!$E$4:$E$2069,'Tabela Federal'!$D$4:$D$2069,'Carga Tributária doenças Po (2'!$N46)</f>
        <v>0</v>
      </c>
      <c r="Y46" s="89">
        <f>SUMIFS('Tabela Federal'!$E$4:$E$2069,'Tabela Federal'!$D$4:$D$2069,'Carga Tributária doenças Po (2'!$O46)</f>
        <v>0</v>
      </c>
      <c r="Z46" s="92" t="str">
        <f>VLOOKUP('Carga Tributária doenças Po (2'!$AD46,'Carga Tributária doenças Po (2'!$CA$12:$CC$16,2,0)</f>
        <v>+</v>
      </c>
      <c r="AA46" s="89" t="s">
        <v>488</v>
      </c>
      <c r="AB46" s="89" t="s">
        <v>21744</v>
      </c>
      <c r="AC46" s="89" t="s">
        <v>21721</v>
      </c>
      <c r="AD46" s="93" t="s">
        <v>21722</v>
      </c>
      <c r="AE46" s="92" t="s">
        <v>2</v>
      </c>
      <c r="AF46" s="92" t="s">
        <v>3</v>
      </c>
      <c r="AG46" s="94">
        <v>819091</v>
      </c>
      <c r="AH46" s="95">
        <v>4684950</v>
      </c>
      <c r="AI46" s="95">
        <v>10699740.33</v>
      </c>
      <c r="AJ46" s="89" t="s">
        <v>498</v>
      </c>
      <c r="AK46" s="89">
        <f>IF('Carga Tributária doenças Po (2'!$Z46="+",0,SUMIFS(PISCOFINS!$I$3:$I$10518,PISCOFINS!$C$3:$C$10518,'Carga Tributária doenças Po (2'!$C46))</f>
        <v>0</v>
      </c>
      <c r="AL46" s="89">
        <f>IF('Carga Tributária doenças Po (2'!$Z46="+",0,SUMIFS(PISCOFINS!$H$3:$H$10518,PISCOFINS!$C$3:$C$10518,'Carga Tributária doenças Po (2'!$C46))</f>
        <v>0</v>
      </c>
      <c r="AM46" s="95">
        <v>3.27</v>
      </c>
      <c r="AN46" s="95">
        <v>3.12</v>
      </c>
      <c r="AO46" s="95">
        <v>1.35</v>
      </c>
      <c r="AP46" s="96">
        <v>18</v>
      </c>
      <c r="AQ46" s="96">
        <v>12</v>
      </c>
      <c r="AR46" s="96">
        <v>17</v>
      </c>
      <c r="AS46" s="97">
        <v>17</v>
      </c>
      <c r="AT46" s="97">
        <v>19</v>
      </c>
      <c r="AU46" s="97">
        <v>18</v>
      </c>
      <c r="AV46" s="97">
        <v>17</v>
      </c>
      <c r="AW46" s="97">
        <v>17</v>
      </c>
      <c r="AX46" s="97">
        <v>17</v>
      </c>
      <c r="AY46" s="97">
        <v>17</v>
      </c>
      <c r="AZ46" s="97">
        <v>17</v>
      </c>
      <c r="BA46" s="97">
        <v>17</v>
      </c>
      <c r="BB46" s="97">
        <v>17</v>
      </c>
      <c r="BC46" s="97">
        <v>17</v>
      </c>
      <c r="BD46" s="97">
        <v>17</v>
      </c>
      <c r="BE46" s="97">
        <v>17</v>
      </c>
      <c r="BF46" s="97">
        <f>+Tabela1107[[#This Row],[PIS]]+Tabela1107[[#This Row],[COFINS]]+Tabela1107[[#This Row],[CONTRIB. FOLHA]]+Tabela1107[[#This Row],[TRIBUTOS S/ LUCRO]]+Tabela1107[[#This Row],[OUTROS]]+Tabela1107[[#This Row],[SP]]</f>
        <v>25.740000000000002</v>
      </c>
      <c r="BG46" s="97">
        <f>+Tabela1107[[#This Row],[PIS]]+Tabela1107[[#This Row],[COFINS]]+Tabela1107[[#This Row],[CONTRIB. FOLHA]]+Tabela1107[[#This Row],[TRIBUTOS S/ LUCRO]]+Tabela1107[[#This Row],[OUTROS]]+Tabela1107[[#This Row],[PR]]</f>
        <v>19.740000000000002</v>
      </c>
      <c r="BH46" s="97">
        <f>+Tabela1107[[#This Row],[PIS]]+Tabela1107[[#This Row],[COFINS]]+Tabela1107[[#This Row],[CONTRIB. FOLHA]]+Tabela1107[[#This Row],[TRIBUTOS S/ LUCRO]]+Tabela1107[[#This Row],[OUTROS]]+Tabela1107[[#This Row],[SC]]</f>
        <v>24.740000000000002</v>
      </c>
      <c r="BI46" s="97">
        <f>+Tabela1107[[#This Row],[PIS]]+Tabela1107[[#This Row],[COFINS]]+Tabela1107[[#This Row],[CONTRIB. FOLHA]]+Tabela1107[[#This Row],[TRIBUTOS S/ LUCRO]]+Tabela1107[[#This Row],[OUTROS]]+Tabela1107[[#This Row],[RS]]</f>
        <v>24.740000000000002</v>
      </c>
      <c r="BJ46" s="97">
        <f>+Tabela1107[[#This Row],[PIS]]+Tabela1107[[#This Row],[COFINS]]+Tabela1107[[#This Row],[CONTRIB. FOLHA]]+Tabela1107[[#This Row],[TRIBUTOS S/ LUCRO]]+Tabela1107[[#This Row],[OUTROS]]+Tabela1107[[#This Row],[RJ]]</f>
        <v>26.740000000000002</v>
      </c>
      <c r="BK46" s="97">
        <f>+Tabela1107[[#This Row],[PIS]]+Tabela1107[[#This Row],[COFINS]]+Tabela1107[[#This Row],[CONTRIB. FOLHA]]+Tabela1107[[#This Row],[TRIBUTOS S/ LUCRO]]+Tabela1107[[#This Row],[OUTROS]]+Tabela1107[[#This Row],[MG]]</f>
        <v>25.740000000000002</v>
      </c>
      <c r="BL46" s="97">
        <f>+Tabela1107[[#This Row],[PIS]]+Tabela1107[[#This Row],[COFINS]]+Tabela1107[[#This Row],[CONTRIB. FOLHA]]+Tabela1107[[#This Row],[TRIBUTOS S/ LUCRO]]+Tabela1107[[#This Row],[OUTROS]]+Tabela1107[[#This Row],[ES]]</f>
        <v>24.740000000000002</v>
      </c>
      <c r="BM46" s="97">
        <f>+Tabela1107[[#This Row],[PIS]]+Tabela1107[[#This Row],[COFINS]]+Tabela1107[[#This Row],[CONTRIB. FOLHA]]+Tabela1107[[#This Row],[TRIBUTOS S/ LUCRO]]+Tabela1107[[#This Row],[OUTROS]]+Tabela1107[[#This Row],[GO]]</f>
        <v>24.740000000000002</v>
      </c>
      <c r="BN46" s="97">
        <f>+Tabela1107[[#This Row],[PIS]]+Tabela1107[[#This Row],[COFINS]]+Tabela1107[[#This Row],[CONTRIB. FOLHA]]+Tabela1107[[#This Row],[TRIBUTOS S/ LUCRO]]+Tabela1107[[#This Row],[OUTROS]]+Tabela1107[[#This Row],[MT]]</f>
        <v>24.740000000000002</v>
      </c>
      <c r="BO46" s="97">
        <f>+Tabela1107[[#This Row],[PIS]]+Tabela1107[[#This Row],[COFINS]]+Tabela1107[[#This Row],[CONTRIB. FOLHA]]+Tabela1107[[#This Row],[TRIBUTOS S/ LUCRO]]+Tabela1107[[#This Row],[OUTROS]]+Tabela1107[[#This Row],[MS]]</f>
        <v>24.740000000000002</v>
      </c>
      <c r="BP46" s="97">
        <f>+Tabela1107[[#This Row],[PIS]]+Tabela1107[[#This Row],[COFINS]]+Tabela1107[[#This Row],[CONTRIB. FOLHA]]+Tabela1107[[#This Row],[TRIBUTOS S/ LUCRO]]+Tabela1107[[#This Row],[OUTROS]]+Tabela1107[[#This Row],[DF]]</f>
        <v>24.740000000000002</v>
      </c>
      <c r="BQ46" s="97">
        <f>+Tabela1107[[#This Row],[PIS]]+Tabela1107[[#This Row],[COFINS]]+Tabela1107[[#This Row],[CONTRIB. FOLHA]]+Tabela1107[[#This Row],[TRIBUTOS S/ LUCRO]]+Tabela1107[[#This Row],[OUTROS]]+Tabela1107[[#This Row],[BA]]</f>
        <v>24.740000000000002</v>
      </c>
      <c r="BR46" s="97">
        <f>+Tabela1107[[#This Row],[PIS]]+Tabela1107[[#This Row],[COFINS]]+Tabela1107[[#This Row],[CONTRIB. FOLHA]]+Tabela1107[[#This Row],[TRIBUTOS S/ LUCRO]]+Tabela1107[[#This Row],[OUTROS]]+Tabela1107[[#This Row],[BA]]</f>
        <v>24.740000000000002</v>
      </c>
      <c r="BS46" s="97">
        <f>+Tabela1107[[#This Row],[PIS]]+Tabela1107[[#This Row],[COFINS]]+Tabela1107[[#This Row],[CONTRIB. FOLHA]]+Tabela1107[[#This Row],[TRIBUTOS S/ LUCRO]]+Tabela1107[[#This Row],[OUTROS]]+Tabela1107[[#This Row],[PE]]</f>
        <v>24.740000000000002</v>
      </c>
      <c r="BT46" s="97">
        <f>+Tabela1107[[#This Row],[PIS]]+Tabela1107[[#This Row],[COFINS]]+Tabela1107[[#This Row],[CONTRIB. FOLHA]]+Tabela1107[[#This Row],[TRIBUTOS S/ LUCRO]]+Tabela1107[[#This Row],[OUTROS]]+Tabela1107[[#This Row],[PA]]</f>
        <v>24.740000000000002</v>
      </c>
      <c r="BU46" s="97">
        <f>+Tabela1107[[#This Row],[PIS]]+Tabela1107[[#This Row],[COFINS]]+Tabela1107[[#This Row],[CONTRIB. FOLHA]]+Tabela1107[[#This Row],[TRIBUTOS S/ LUCRO]]+Tabela1107[[#This Row],[OUTROS]]+Tabela1107[[#This Row],[AM]]</f>
        <v>24.740000000000002</v>
      </c>
      <c r="BV46" s="97">
        <f>AVERAGE(Tabela1107[[#This Row],[TOTAL SP]:[TOTAL AM]])</f>
        <v>24.677500000000006</v>
      </c>
      <c r="BW46" s="97"/>
      <c r="BX46" s="97"/>
    </row>
    <row r="47" spans="2:76" x14ac:dyDescent="0.25">
      <c r="B47" s="89">
        <v>14799</v>
      </c>
      <c r="C47" s="91" t="s">
        <v>13142</v>
      </c>
      <c r="D47" s="89"/>
      <c r="E47" s="89">
        <v>20140626</v>
      </c>
      <c r="F47" s="89" t="s">
        <v>20917</v>
      </c>
      <c r="G47" s="89" t="s">
        <v>20918</v>
      </c>
      <c r="H47" s="89" t="s">
        <v>20919</v>
      </c>
      <c r="I47" s="89" t="s">
        <v>20920</v>
      </c>
      <c r="J47" s="89" t="s">
        <v>497</v>
      </c>
      <c r="K47" s="89" t="s">
        <v>2444</v>
      </c>
      <c r="L47" s="89" t="s">
        <v>2620</v>
      </c>
      <c r="M47" s="89" t="s">
        <v>4496</v>
      </c>
      <c r="N47" s="89" t="s">
        <v>4496</v>
      </c>
      <c r="O47" s="89" t="s">
        <v>4496</v>
      </c>
      <c r="P47" s="89" t="s">
        <v>4496</v>
      </c>
      <c r="Q47" s="89"/>
      <c r="R47" s="89" t="s">
        <v>136</v>
      </c>
      <c r="S47" s="89" t="s">
        <v>21640</v>
      </c>
      <c r="T47" s="89" t="s">
        <v>21641</v>
      </c>
      <c r="U47" s="89" t="str">
        <f>TRIM('Carga Tributária doenças Po (2'!$L47)</f>
        <v>CLORIDRATO DE AMIODARONA</v>
      </c>
      <c r="V47" s="89">
        <f>SUMIFS('Tabela Federal'!$E$4:$E$2069,'Tabela Federal'!$D$4:$D$2069,'Carga Tributária doenças Po (2'!$L47)</f>
        <v>1</v>
      </c>
      <c r="W47" s="89">
        <f>SUMIFS('Tabela Federal'!$E$4:$E$2069,'Tabela Federal'!$D$4:$D$2069,'Carga Tributária doenças Po (2'!$M47)</f>
        <v>0</v>
      </c>
      <c r="X47" s="89">
        <f>SUMIFS('Tabela Federal'!$E$4:$E$2069,'Tabela Federal'!$D$4:$D$2069,'Carga Tributária doenças Po (2'!$N47)</f>
        <v>0</v>
      </c>
      <c r="Y47" s="89">
        <f>SUMIFS('Tabela Federal'!$E$4:$E$2069,'Tabela Federal'!$D$4:$D$2069,'Carga Tributária doenças Po (2'!$O47)</f>
        <v>0</v>
      </c>
      <c r="Z47" s="92" t="str">
        <f>VLOOKUP('Carga Tributária doenças Po (2'!$AD47,'Carga Tributária doenças Po (2'!$CA$12:$CC$16,2,0)</f>
        <v>+</v>
      </c>
      <c r="AA47" s="89" t="s">
        <v>488</v>
      </c>
      <c r="AB47" s="89" t="s">
        <v>21744</v>
      </c>
      <c r="AC47" s="89" t="s">
        <v>21721</v>
      </c>
      <c r="AD47" s="93" t="s">
        <v>21722</v>
      </c>
      <c r="AE47" s="92" t="s">
        <v>2</v>
      </c>
      <c r="AF47" s="92" t="s">
        <v>3</v>
      </c>
      <c r="AG47" s="94">
        <v>34442</v>
      </c>
      <c r="AH47" s="95">
        <v>153559.09</v>
      </c>
      <c r="AI47" s="95">
        <v>344447.8</v>
      </c>
      <c r="AJ47" s="89" t="s">
        <v>498</v>
      </c>
      <c r="AK47" s="89">
        <f>IF('Carga Tributária doenças Po (2'!$Z47="+",0,SUMIFS(PISCOFINS!$I$3:$I$10518,PISCOFINS!$C$3:$C$10518,'Carga Tributária doenças Po (2'!$C47))</f>
        <v>0</v>
      </c>
      <c r="AL47" s="89">
        <f>IF('Carga Tributária doenças Po (2'!$Z47="+",0,SUMIFS(PISCOFINS!$H$3:$H$10518,PISCOFINS!$C$3:$C$10518,'Carga Tributária doenças Po (2'!$C47))</f>
        <v>0</v>
      </c>
      <c r="AM47" s="95">
        <v>3.27</v>
      </c>
      <c r="AN47" s="95">
        <v>3.12</v>
      </c>
      <c r="AO47" s="95">
        <v>1.35</v>
      </c>
      <c r="AP47" s="96">
        <v>18</v>
      </c>
      <c r="AQ47" s="96">
        <v>12</v>
      </c>
      <c r="AR47" s="96">
        <v>17</v>
      </c>
      <c r="AS47" s="97">
        <v>17</v>
      </c>
      <c r="AT47" s="97">
        <v>19</v>
      </c>
      <c r="AU47" s="97">
        <v>18</v>
      </c>
      <c r="AV47" s="97">
        <v>17</v>
      </c>
      <c r="AW47" s="97">
        <v>17</v>
      </c>
      <c r="AX47" s="97">
        <v>17</v>
      </c>
      <c r="AY47" s="97">
        <v>17</v>
      </c>
      <c r="AZ47" s="97">
        <v>17</v>
      </c>
      <c r="BA47" s="97">
        <v>17</v>
      </c>
      <c r="BB47" s="97">
        <v>17</v>
      </c>
      <c r="BC47" s="97">
        <v>17</v>
      </c>
      <c r="BD47" s="97">
        <v>17</v>
      </c>
      <c r="BE47" s="97">
        <v>17</v>
      </c>
      <c r="BF47" s="97">
        <f>+Tabela1107[[#This Row],[PIS]]+Tabela1107[[#This Row],[COFINS]]+Tabela1107[[#This Row],[CONTRIB. FOLHA]]+Tabela1107[[#This Row],[TRIBUTOS S/ LUCRO]]+Tabela1107[[#This Row],[OUTROS]]+Tabela1107[[#This Row],[SP]]</f>
        <v>25.740000000000002</v>
      </c>
      <c r="BG47" s="97">
        <f>+Tabela1107[[#This Row],[PIS]]+Tabela1107[[#This Row],[COFINS]]+Tabela1107[[#This Row],[CONTRIB. FOLHA]]+Tabela1107[[#This Row],[TRIBUTOS S/ LUCRO]]+Tabela1107[[#This Row],[OUTROS]]+Tabela1107[[#This Row],[PR]]</f>
        <v>19.740000000000002</v>
      </c>
      <c r="BH47" s="97">
        <f>+Tabela1107[[#This Row],[PIS]]+Tabela1107[[#This Row],[COFINS]]+Tabela1107[[#This Row],[CONTRIB. FOLHA]]+Tabela1107[[#This Row],[TRIBUTOS S/ LUCRO]]+Tabela1107[[#This Row],[OUTROS]]+Tabela1107[[#This Row],[SC]]</f>
        <v>24.740000000000002</v>
      </c>
      <c r="BI47" s="97">
        <f>+Tabela1107[[#This Row],[PIS]]+Tabela1107[[#This Row],[COFINS]]+Tabela1107[[#This Row],[CONTRIB. FOLHA]]+Tabela1107[[#This Row],[TRIBUTOS S/ LUCRO]]+Tabela1107[[#This Row],[OUTROS]]+Tabela1107[[#This Row],[RS]]</f>
        <v>24.740000000000002</v>
      </c>
      <c r="BJ47" s="97">
        <f>+Tabela1107[[#This Row],[PIS]]+Tabela1107[[#This Row],[COFINS]]+Tabela1107[[#This Row],[CONTRIB. FOLHA]]+Tabela1107[[#This Row],[TRIBUTOS S/ LUCRO]]+Tabela1107[[#This Row],[OUTROS]]+Tabela1107[[#This Row],[RJ]]</f>
        <v>26.740000000000002</v>
      </c>
      <c r="BK47" s="97">
        <f>+Tabela1107[[#This Row],[PIS]]+Tabela1107[[#This Row],[COFINS]]+Tabela1107[[#This Row],[CONTRIB. FOLHA]]+Tabela1107[[#This Row],[TRIBUTOS S/ LUCRO]]+Tabela1107[[#This Row],[OUTROS]]+Tabela1107[[#This Row],[MG]]</f>
        <v>25.740000000000002</v>
      </c>
      <c r="BL47" s="97">
        <f>+Tabela1107[[#This Row],[PIS]]+Tabela1107[[#This Row],[COFINS]]+Tabela1107[[#This Row],[CONTRIB. FOLHA]]+Tabela1107[[#This Row],[TRIBUTOS S/ LUCRO]]+Tabela1107[[#This Row],[OUTROS]]+Tabela1107[[#This Row],[ES]]</f>
        <v>24.740000000000002</v>
      </c>
      <c r="BM47" s="97">
        <f>+Tabela1107[[#This Row],[PIS]]+Tabela1107[[#This Row],[COFINS]]+Tabela1107[[#This Row],[CONTRIB. FOLHA]]+Tabela1107[[#This Row],[TRIBUTOS S/ LUCRO]]+Tabela1107[[#This Row],[OUTROS]]+Tabela1107[[#This Row],[GO]]</f>
        <v>24.740000000000002</v>
      </c>
      <c r="BN47" s="97">
        <f>+Tabela1107[[#This Row],[PIS]]+Tabela1107[[#This Row],[COFINS]]+Tabela1107[[#This Row],[CONTRIB. FOLHA]]+Tabela1107[[#This Row],[TRIBUTOS S/ LUCRO]]+Tabela1107[[#This Row],[OUTROS]]+Tabela1107[[#This Row],[MT]]</f>
        <v>24.740000000000002</v>
      </c>
      <c r="BO47" s="97">
        <f>+Tabela1107[[#This Row],[PIS]]+Tabela1107[[#This Row],[COFINS]]+Tabela1107[[#This Row],[CONTRIB. FOLHA]]+Tabela1107[[#This Row],[TRIBUTOS S/ LUCRO]]+Tabela1107[[#This Row],[OUTROS]]+Tabela1107[[#This Row],[MS]]</f>
        <v>24.740000000000002</v>
      </c>
      <c r="BP47" s="97">
        <f>+Tabela1107[[#This Row],[PIS]]+Tabela1107[[#This Row],[COFINS]]+Tabela1107[[#This Row],[CONTRIB. FOLHA]]+Tabela1107[[#This Row],[TRIBUTOS S/ LUCRO]]+Tabela1107[[#This Row],[OUTROS]]+Tabela1107[[#This Row],[DF]]</f>
        <v>24.740000000000002</v>
      </c>
      <c r="BQ47" s="97">
        <f>+Tabela1107[[#This Row],[PIS]]+Tabela1107[[#This Row],[COFINS]]+Tabela1107[[#This Row],[CONTRIB. FOLHA]]+Tabela1107[[#This Row],[TRIBUTOS S/ LUCRO]]+Tabela1107[[#This Row],[OUTROS]]+Tabela1107[[#This Row],[BA]]</f>
        <v>24.740000000000002</v>
      </c>
      <c r="BR47" s="97">
        <f>+Tabela1107[[#This Row],[PIS]]+Tabela1107[[#This Row],[COFINS]]+Tabela1107[[#This Row],[CONTRIB. FOLHA]]+Tabela1107[[#This Row],[TRIBUTOS S/ LUCRO]]+Tabela1107[[#This Row],[OUTROS]]+Tabela1107[[#This Row],[BA]]</f>
        <v>24.740000000000002</v>
      </c>
      <c r="BS47" s="97">
        <f>+Tabela1107[[#This Row],[PIS]]+Tabela1107[[#This Row],[COFINS]]+Tabela1107[[#This Row],[CONTRIB. FOLHA]]+Tabela1107[[#This Row],[TRIBUTOS S/ LUCRO]]+Tabela1107[[#This Row],[OUTROS]]+Tabela1107[[#This Row],[PE]]</f>
        <v>24.740000000000002</v>
      </c>
      <c r="BT47" s="97">
        <f>+Tabela1107[[#This Row],[PIS]]+Tabela1107[[#This Row],[COFINS]]+Tabela1107[[#This Row],[CONTRIB. FOLHA]]+Tabela1107[[#This Row],[TRIBUTOS S/ LUCRO]]+Tabela1107[[#This Row],[OUTROS]]+Tabela1107[[#This Row],[PA]]</f>
        <v>24.740000000000002</v>
      </c>
      <c r="BU47" s="97">
        <f>+Tabela1107[[#This Row],[PIS]]+Tabela1107[[#This Row],[COFINS]]+Tabela1107[[#This Row],[CONTRIB. FOLHA]]+Tabela1107[[#This Row],[TRIBUTOS S/ LUCRO]]+Tabela1107[[#This Row],[OUTROS]]+Tabela1107[[#This Row],[AM]]</f>
        <v>24.740000000000002</v>
      </c>
      <c r="BV47" s="97">
        <f>AVERAGE(Tabela1107[[#This Row],[TOTAL SP]:[TOTAL AM]])</f>
        <v>24.677500000000006</v>
      </c>
      <c r="BW47" s="97"/>
      <c r="BX47" s="97"/>
    </row>
    <row r="48" spans="2:76" x14ac:dyDescent="0.25">
      <c r="B48" s="89">
        <v>14809</v>
      </c>
      <c r="C48" s="91" t="s">
        <v>13155</v>
      </c>
      <c r="D48" s="89"/>
      <c r="E48" s="89">
        <v>20140626</v>
      </c>
      <c r="F48" s="89" t="s">
        <v>20924</v>
      </c>
      <c r="G48" s="89" t="s">
        <v>20925</v>
      </c>
      <c r="H48" s="89" t="s">
        <v>20926</v>
      </c>
      <c r="I48" s="89" t="s">
        <v>20920</v>
      </c>
      <c r="J48" s="89" t="s">
        <v>487</v>
      </c>
      <c r="K48" s="89" t="s">
        <v>2444</v>
      </c>
      <c r="L48" s="89" t="s">
        <v>2620</v>
      </c>
      <c r="M48" s="89" t="s">
        <v>4496</v>
      </c>
      <c r="N48" s="89" t="s">
        <v>4496</v>
      </c>
      <c r="O48" s="89" t="s">
        <v>4496</v>
      </c>
      <c r="P48" s="89" t="s">
        <v>4496</v>
      </c>
      <c r="Q48" s="89"/>
      <c r="R48" s="89" t="s">
        <v>136</v>
      </c>
      <c r="S48" s="89" t="s">
        <v>21640</v>
      </c>
      <c r="T48" s="89" t="s">
        <v>21641</v>
      </c>
      <c r="U48" s="89" t="str">
        <f>TRIM('Carga Tributária doenças Po (2'!$L48)</f>
        <v>CLORIDRATO DE AMIODARONA</v>
      </c>
      <c r="V48" s="89">
        <f>SUMIFS('Tabela Federal'!$E$4:$E$2069,'Tabela Federal'!$D$4:$D$2069,'Carga Tributária doenças Po (2'!$L48)</f>
        <v>1</v>
      </c>
      <c r="W48" s="89">
        <f>SUMIFS('Tabela Federal'!$E$4:$E$2069,'Tabela Federal'!$D$4:$D$2069,'Carga Tributária doenças Po (2'!$M48)</f>
        <v>0</v>
      </c>
      <c r="X48" s="89">
        <f>SUMIFS('Tabela Federal'!$E$4:$E$2069,'Tabela Federal'!$D$4:$D$2069,'Carga Tributária doenças Po (2'!$N48)</f>
        <v>0</v>
      </c>
      <c r="Y48" s="89">
        <f>SUMIFS('Tabela Federal'!$E$4:$E$2069,'Tabela Federal'!$D$4:$D$2069,'Carga Tributária doenças Po (2'!$O48)</f>
        <v>0</v>
      </c>
      <c r="Z48" s="92" t="str">
        <f>VLOOKUP('Carga Tributária doenças Po (2'!$AD48,'Carga Tributária doenças Po (2'!$CA$12:$CC$16,2,0)</f>
        <v>+</v>
      </c>
      <c r="AA48" s="89" t="s">
        <v>488</v>
      </c>
      <c r="AB48" s="89" t="s">
        <v>21744</v>
      </c>
      <c r="AC48" s="89" t="s">
        <v>21721</v>
      </c>
      <c r="AD48" s="93" t="s">
        <v>21722</v>
      </c>
      <c r="AE48" s="92" t="s">
        <v>2</v>
      </c>
      <c r="AF48" s="92" t="s">
        <v>3</v>
      </c>
      <c r="AG48" s="94">
        <v>951272</v>
      </c>
      <c r="AH48" s="95">
        <v>10891782</v>
      </c>
      <c r="AI48" s="95">
        <v>24861837.120000001</v>
      </c>
      <c r="AJ48" s="89" t="s">
        <v>498</v>
      </c>
      <c r="AK48" s="89">
        <f>IF('Carga Tributária doenças Po (2'!$Z48="+",0,SUMIFS(PISCOFINS!$I$3:$I$10518,PISCOFINS!$C$3:$C$10518,'Carga Tributária doenças Po (2'!$C48))</f>
        <v>0</v>
      </c>
      <c r="AL48" s="89">
        <f>IF('Carga Tributária doenças Po (2'!$Z48="+",0,SUMIFS(PISCOFINS!$H$3:$H$10518,PISCOFINS!$C$3:$C$10518,'Carga Tributária doenças Po (2'!$C48))</f>
        <v>0</v>
      </c>
      <c r="AM48" s="95">
        <v>3.27</v>
      </c>
      <c r="AN48" s="95">
        <v>3.12</v>
      </c>
      <c r="AO48" s="95">
        <v>1.35</v>
      </c>
      <c r="AP48" s="96">
        <v>18</v>
      </c>
      <c r="AQ48" s="96">
        <v>12</v>
      </c>
      <c r="AR48" s="96">
        <v>17</v>
      </c>
      <c r="AS48" s="97">
        <v>17</v>
      </c>
      <c r="AT48" s="97">
        <v>19</v>
      </c>
      <c r="AU48" s="97">
        <v>18</v>
      </c>
      <c r="AV48" s="97">
        <v>17</v>
      </c>
      <c r="AW48" s="97">
        <v>17</v>
      </c>
      <c r="AX48" s="97">
        <v>17</v>
      </c>
      <c r="AY48" s="97">
        <v>17</v>
      </c>
      <c r="AZ48" s="97">
        <v>17</v>
      </c>
      <c r="BA48" s="97">
        <v>17</v>
      </c>
      <c r="BB48" s="97">
        <v>17</v>
      </c>
      <c r="BC48" s="97">
        <v>17</v>
      </c>
      <c r="BD48" s="97">
        <v>17</v>
      </c>
      <c r="BE48" s="97">
        <v>17</v>
      </c>
      <c r="BF48" s="97">
        <f>+Tabela1107[[#This Row],[PIS]]+Tabela1107[[#This Row],[COFINS]]+Tabela1107[[#This Row],[CONTRIB. FOLHA]]+Tabela1107[[#This Row],[TRIBUTOS S/ LUCRO]]+Tabela1107[[#This Row],[OUTROS]]+Tabela1107[[#This Row],[SP]]</f>
        <v>25.740000000000002</v>
      </c>
      <c r="BG48" s="97">
        <f>+Tabela1107[[#This Row],[PIS]]+Tabela1107[[#This Row],[COFINS]]+Tabela1107[[#This Row],[CONTRIB. FOLHA]]+Tabela1107[[#This Row],[TRIBUTOS S/ LUCRO]]+Tabela1107[[#This Row],[OUTROS]]+Tabela1107[[#This Row],[PR]]</f>
        <v>19.740000000000002</v>
      </c>
      <c r="BH48" s="97">
        <f>+Tabela1107[[#This Row],[PIS]]+Tabela1107[[#This Row],[COFINS]]+Tabela1107[[#This Row],[CONTRIB. FOLHA]]+Tabela1107[[#This Row],[TRIBUTOS S/ LUCRO]]+Tabela1107[[#This Row],[OUTROS]]+Tabela1107[[#This Row],[SC]]</f>
        <v>24.740000000000002</v>
      </c>
      <c r="BI48" s="97">
        <f>+Tabela1107[[#This Row],[PIS]]+Tabela1107[[#This Row],[COFINS]]+Tabela1107[[#This Row],[CONTRIB. FOLHA]]+Tabela1107[[#This Row],[TRIBUTOS S/ LUCRO]]+Tabela1107[[#This Row],[OUTROS]]+Tabela1107[[#This Row],[RS]]</f>
        <v>24.740000000000002</v>
      </c>
      <c r="BJ48" s="97">
        <f>+Tabela1107[[#This Row],[PIS]]+Tabela1107[[#This Row],[COFINS]]+Tabela1107[[#This Row],[CONTRIB. FOLHA]]+Tabela1107[[#This Row],[TRIBUTOS S/ LUCRO]]+Tabela1107[[#This Row],[OUTROS]]+Tabela1107[[#This Row],[RJ]]</f>
        <v>26.740000000000002</v>
      </c>
      <c r="BK48" s="97">
        <f>+Tabela1107[[#This Row],[PIS]]+Tabela1107[[#This Row],[COFINS]]+Tabela1107[[#This Row],[CONTRIB. FOLHA]]+Tabela1107[[#This Row],[TRIBUTOS S/ LUCRO]]+Tabela1107[[#This Row],[OUTROS]]+Tabela1107[[#This Row],[MG]]</f>
        <v>25.740000000000002</v>
      </c>
      <c r="BL48" s="97">
        <f>+Tabela1107[[#This Row],[PIS]]+Tabela1107[[#This Row],[COFINS]]+Tabela1107[[#This Row],[CONTRIB. FOLHA]]+Tabela1107[[#This Row],[TRIBUTOS S/ LUCRO]]+Tabela1107[[#This Row],[OUTROS]]+Tabela1107[[#This Row],[ES]]</f>
        <v>24.740000000000002</v>
      </c>
      <c r="BM48" s="97">
        <f>+Tabela1107[[#This Row],[PIS]]+Tabela1107[[#This Row],[COFINS]]+Tabela1107[[#This Row],[CONTRIB. FOLHA]]+Tabela1107[[#This Row],[TRIBUTOS S/ LUCRO]]+Tabela1107[[#This Row],[OUTROS]]+Tabela1107[[#This Row],[GO]]</f>
        <v>24.740000000000002</v>
      </c>
      <c r="BN48" s="97">
        <f>+Tabela1107[[#This Row],[PIS]]+Tabela1107[[#This Row],[COFINS]]+Tabela1107[[#This Row],[CONTRIB. FOLHA]]+Tabela1107[[#This Row],[TRIBUTOS S/ LUCRO]]+Tabela1107[[#This Row],[OUTROS]]+Tabela1107[[#This Row],[MT]]</f>
        <v>24.740000000000002</v>
      </c>
      <c r="BO48" s="97">
        <f>+Tabela1107[[#This Row],[PIS]]+Tabela1107[[#This Row],[COFINS]]+Tabela1107[[#This Row],[CONTRIB. FOLHA]]+Tabela1107[[#This Row],[TRIBUTOS S/ LUCRO]]+Tabela1107[[#This Row],[OUTROS]]+Tabela1107[[#This Row],[MS]]</f>
        <v>24.740000000000002</v>
      </c>
      <c r="BP48" s="97">
        <f>+Tabela1107[[#This Row],[PIS]]+Tabela1107[[#This Row],[COFINS]]+Tabela1107[[#This Row],[CONTRIB. FOLHA]]+Tabela1107[[#This Row],[TRIBUTOS S/ LUCRO]]+Tabela1107[[#This Row],[OUTROS]]+Tabela1107[[#This Row],[DF]]</f>
        <v>24.740000000000002</v>
      </c>
      <c r="BQ48" s="97">
        <f>+Tabela1107[[#This Row],[PIS]]+Tabela1107[[#This Row],[COFINS]]+Tabela1107[[#This Row],[CONTRIB. FOLHA]]+Tabela1107[[#This Row],[TRIBUTOS S/ LUCRO]]+Tabela1107[[#This Row],[OUTROS]]+Tabela1107[[#This Row],[BA]]</f>
        <v>24.740000000000002</v>
      </c>
      <c r="BR48" s="97">
        <f>+Tabela1107[[#This Row],[PIS]]+Tabela1107[[#This Row],[COFINS]]+Tabela1107[[#This Row],[CONTRIB. FOLHA]]+Tabela1107[[#This Row],[TRIBUTOS S/ LUCRO]]+Tabela1107[[#This Row],[OUTROS]]+Tabela1107[[#This Row],[BA]]</f>
        <v>24.740000000000002</v>
      </c>
      <c r="BS48" s="97">
        <f>+Tabela1107[[#This Row],[PIS]]+Tabela1107[[#This Row],[COFINS]]+Tabela1107[[#This Row],[CONTRIB. FOLHA]]+Tabela1107[[#This Row],[TRIBUTOS S/ LUCRO]]+Tabela1107[[#This Row],[OUTROS]]+Tabela1107[[#This Row],[PE]]</f>
        <v>24.740000000000002</v>
      </c>
      <c r="BT48" s="97">
        <f>+Tabela1107[[#This Row],[PIS]]+Tabela1107[[#This Row],[COFINS]]+Tabela1107[[#This Row],[CONTRIB. FOLHA]]+Tabela1107[[#This Row],[TRIBUTOS S/ LUCRO]]+Tabela1107[[#This Row],[OUTROS]]+Tabela1107[[#This Row],[PA]]</f>
        <v>24.740000000000002</v>
      </c>
      <c r="BU48" s="97">
        <f>+Tabela1107[[#This Row],[PIS]]+Tabela1107[[#This Row],[COFINS]]+Tabela1107[[#This Row],[CONTRIB. FOLHA]]+Tabela1107[[#This Row],[TRIBUTOS S/ LUCRO]]+Tabela1107[[#This Row],[OUTROS]]+Tabela1107[[#This Row],[AM]]</f>
        <v>24.740000000000002</v>
      </c>
      <c r="BV48" s="97">
        <f>AVERAGE(Tabela1107[[#This Row],[TOTAL SP]:[TOTAL AM]])</f>
        <v>24.677500000000006</v>
      </c>
      <c r="BW48" s="97"/>
      <c r="BX48" s="97"/>
    </row>
    <row r="49" spans="2:76" x14ac:dyDescent="0.25">
      <c r="B49" s="89">
        <v>3723</v>
      </c>
      <c r="C49" s="106" t="s">
        <v>13101</v>
      </c>
      <c r="D49" s="89"/>
      <c r="E49" s="89">
        <v>20140626</v>
      </c>
      <c r="F49" s="89" t="s">
        <v>20471</v>
      </c>
      <c r="G49" s="89" t="s">
        <v>20472</v>
      </c>
      <c r="H49" s="89" t="s">
        <v>20473</v>
      </c>
      <c r="I49" s="89" t="s">
        <v>20474</v>
      </c>
      <c r="J49" s="89" t="s">
        <v>571</v>
      </c>
      <c r="K49" s="89" t="s">
        <v>2466</v>
      </c>
      <c r="L49" s="89" t="s">
        <v>2659</v>
      </c>
      <c r="M49" s="89" t="s">
        <v>2708</v>
      </c>
      <c r="N49" s="89" t="s">
        <v>4496</v>
      </c>
      <c r="O49" s="89" t="s">
        <v>4496</v>
      </c>
      <c r="P49" s="89" t="s">
        <v>4496</v>
      </c>
      <c r="Q49" s="89"/>
      <c r="R49" s="89" t="s">
        <v>400</v>
      </c>
      <c r="S49" s="89" t="s">
        <v>21590</v>
      </c>
      <c r="T49" s="89" t="s">
        <v>21591</v>
      </c>
      <c r="U49" s="89" t="str">
        <f>TRIM('Carga Tributária doenças Po (2'!$L49)</f>
        <v>ESTRADIOL</v>
      </c>
      <c r="V49" s="89">
        <f>SUMIFS('Tabela Federal'!$E$4:$E$2069,'Tabela Federal'!$D$4:$D$2069,'Carga Tributária doenças Po (2'!$L49)</f>
        <v>9</v>
      </c>
      <c r="W49" s="89">
        <f>SUMIFS('Tabela Federal'!$E$4:$E$2069,'Tabela Federal'!$D$4:$D$2069,'Carga Tributária doenças Po (2'!$M49)</f>
        <v>2</v>
      </c>
      <c r="X49" s="89">
        <f>SUMIFS('Tabela Federal'!$E$4:$E$2069,'Tabela Federal'!$D$4:$D$2069,'Carga Tributária doenças Po (2'!$N49)</f>
        <v>0</v>
      </c>
      <c r="Y49" s="89">
        <f>SUMIFS('Tabela Federal'!$E$4:$E$2069,'Tabela Federal'!$D$4:$D$2069,'Carga Tributária doenças Po (2'!$O49)</f>
        <v>0</v>
      </c>
      <c r="Z49" s="92" t="str">
        <f>VLOOKUP('Carga Tributária doenças Po (2'!$AD49,'Carga Tributária doenças Po (2'!$CA$12:$CC$16,2,0)</f>
        <v>+</v>
      </c>
      <c r="AA49" s="89" t="s">
        <v>570</v>
      </c>
      <c r="AB49" s="89" t="s">
        <v>21897</v>
      </c>
      <c r="AC49" s="89" t="s">
        <v>21721</v>
      </c>
      <c r="AD49" s="93" t="s">
        <v>19445</v>
      </c>
      <c r="AE49" s="92" t="s">
        <v>4</v>
      </c>
      <c r="AF49" s="92" t="s">
        <v>23</v>
      </c>
      <c r="AG49" s="94">
        <v>629965</v>
      </c>
      <c r="AH49" s="95">
        <v>16107137</v>
      </c>
      <c r="AI49" s="95">
        <v>36774949.960000001</v>
      </c>
      <c r="AJ49" s="89" t="s">
        <v>579</v>
      </c>
      <c r="AK49" s="89">
        <f>IF('Carga Tributária doenças Po (2'!$Z49="+",0,SUMIFS(PISCOFINS!$I$3:$I$10518,PISCOFINS!$C$3:$C$10518,'Carga Tributária doenças Po (2'!$C49))</f>
        <v>0</v>
      </c>
      <c r="AL49" s="89">
        <f>IF('Carga Tributária doenças Po (2'!$Z49="+",0,SUMIFS(PISCOFINS!$H$3:$H$10518,PISCOFINS!$C$3:$C$10518,'Carga Tributária doenças Po (2'!$C49))</f>
        <v>0</v>
      </c>
      <c r="AM49" s="95">
        <v>3.27</v>
      </c>
      <c r="AN49" s="95">
        <v>3.12</v>
      </c>
      <c r="AO49" s="95">
        <v>1.35</v>
      </c>
      <c r="AP49" s="96">
        <v>18</v>
      </c>
      <c r="AQ49" s="96">
        <v>12</v>
      </c>
      <c r="AR49" s="96">
        <v>17</v>
      </c>
      <c r="AS49" s="97">
        <v>17</v>
      </c>
      <c r="AT49" s="97">
        <v>19</v>
      </c>
      <c r="AU49" s="97">
        <v>18</v>
      </c>
      <c r="AV49" s="97">
        <v>17</v>
      </c>
      <c r="AW49" s="97">
        <v>17</v>
      </c>
      <c r="AX49" s="97">
        <v>17</v>
      </c>
      <c r="AY49" s="97">
        <v>17</v>
      </c>
      <c r="AZ49" s="97">
        <v>17</v>
      </c>
      <c r="BA49" s="97">
        <v>17</v>
      </c>
      <c r="BB49" s="97">
        <v>17</v>
      </c>
      <c r="BC49" s="97">
        <v>17</v>
      </c>
      <c r="BD49" s="97">
        <v>17</v>
      </c>
      <c r="BE49" s="97">
        <v>17</v>
      </c>
      <c r="BF49" s="97">
        <f>+Tabela1107[[#This Row],[PIS]]+Tabela1107[[#This Row],[COFINS]]+Tabela1107[[#This Row],[CONTRIB. FOLHA]]+Tabela1107[[#This Row],[TRIBUTOS S/ LUCRO]]+Tabela1107[[#This Row],[OUTROS]]+Tabela1107[[#This Row],[SP]]</f>
        <v>25.740000000000002</v>
      </c>
      <c r="BG49" s="97">
        <f>+Tabela1107[[#This Row],[PIS]]+Tabela1107[[#This Row],[COFINS]]+Tabela1107[[#This Row],[CONTRIB. FOLHA]]+Tabela1107[[#This Row],[TRIBUTOS S/ LUCRO]]+Tabela1107[[#This Row],[OUTROS]]+Tabela1107[[#This Row],[PR]]</f>
        <v>19.740000000000002</v>
      </c>
      <c r="BH49" s="97">
        <f>+Tabela1107[[#This Row],[PIS]]+Tabela1107[[#This Row],[COFINS]]+Tabela1107[[#This Row],[CONTRIB. FOLHA]]+Tabela1107[[#This Row],[TRIBUTOS S/ LUCRO]]+Tabela1107[[#This Row],[OUTROS]]+Tabela1107[[#This Row],[SC]]</f>
        <v>24.740000000000002</v>
      </c>
      <c r="BI49" s="97">
        <f>+Tabela1107[[#This Row],[PIS]]+Tabela1107[[#This Row],[COFINS]]+Tabela1107[[#This Row],[CONTRIB. FOLHA]]+Tabela1107[[#This Row],[TRIBUTOS S/ LUCRO]]+Tabela1107[[#This Row],[OUTROS]]+Tabela1107[[#This Row],[RS]]</f>
        <v>24.740000000000002</v>
      </c>
      <c r="BJ49" s="97">
        <f>+Tabela1107[[#This Row],[PIS]]+Tabela1107[[#This Row],[COFINS]]+Tabela1107[[#This Row],[CONTRIB. FOLHA]]+Tabela1107[[#This Row],[TRIBUTOS S/ LUCRO]]+Tabela1107[[#This Row],[OUTROS]]+Tabela1107[[#This Row],[RJ]]</f>
        <v>26.740000000000002</v>
      </c>
      <c r="BK49" s="97">
        <f>+Tabela1107[[#This Row],[PIS]]+Tabela1107[[#This Row],[COFINS]]+Tabela1107[[#This Row],[CONTRIB. FOLHA]]+Tabela1107[[#This Row],[TRIBUTOS S/ LUCRO]]+Tabela1107[[#This Row],[OUTROS]]+Tabela1107[[#This Row],[MG]]</f>
        <v>25.740000000000002</v>
      </c>
      <c r="BL49" s="97">
        <f>+Tabela1107[[#This Row],[PIS]]+Tabela1107[[#This Row],[COFINS]]+Tabela1107[[#This Row],[CONTRIB. FOLHA]]+Tabela1107[[#This Row],[TRIBUTOS S/ LUCRO]]+Tabela1107[[#This Row],[OUTROS]]+Tabela1107[[#This Row],[ES]]</f>
        <v>24.740000000000002</v>
      </c>
      <c r="BM49" s="97">
        <f>+Tabela1107[[#This Row],[PIS]]+Tabela1107[[#This Row],[COFINS]]+Tabela1107[[#This Row],[CONTRIB. FOLHA]]+Tabela1107[[#This Row],[TRIBUTOS S/ LUCRO]]+Tabela1107[[#This Row],[OUTROS]]+Tabela1107[[#This Row],[GO]]</f>
        <v>24.740000000000002</v>
      </c>
      <c r="BN49" s="97">
        <f>+Tabela1107[[#This Row],[PIS]]+Tabela1107[[#This Row],[COFINS]]+Tabela1107[[#This Row],[CONTRIB. FOLHA]]+Tabela1107[[#This Row],[TRIBUTOS S/ LUCRO]]+Tabela1107[[#This Row],[OUTROS]]+Tabela1107[[#This Row],[MT]]</f>
        <v>24.740000000000002</v>
      </c>
      <c r="BO49" s="97">
        <f>+Tabela1107[[#This Row],[PIS]]+Tabela1107[[#This Row],[COFINS]]+Tabela1107[[#This Row],[CONTRIB. FOLHA]]+Tabela1107[[#This Row],[TRIBUTOS S/ LUCRO]]+Tabela1107[[#This Row],[OUTROS]]+Tabela1107[[#This Row],[MS]]</f>
        <v>24.740000000000002</v>
      </c>
      <c r="BP49" s="97">
        <f>+Tabela1107[[#This Row],[PIS]]+Tabela1107[[#This Row],[COFINS]]+Tabela1107[[#This Row],[CONTRIB. FOLHA]]+Tabela1107[[#This Row],[TRIBUTOS S/ LUCRO]]+Tabela1107[[#This Row],[OUTROS]]+Tabela1107[[#This Row],[DF]]</f>
        <v>24.740000000000002</v>
      </c>
      <c r="BQ49" s="97">
        <f>+Tabela1107[[#This Row],[PIS]]+Tabela1107[[#This Row],[COFINS]]+Tabela1107[[#This Row],[CONTRIB. FOLHA]]+Tabela1107[[#This Row],[TRIBUTOS S/ LUCRO]]+Tabela1107[[#This Row],[OUTROS]]+Tabela1107[[#This Row],[BA]]</f>
        <v>24.740000000000002</v>
      </c>
      <c r="BR49" s="97">
        <f>+Tabela1107[[#This Row],[PIS]]+Tabela1107[[#This Row],[COFINS]]+Tabela1107[[#This Row],[CONTRIB. FOLHA]]+Tabela1107[[#This Row],[TRIBUTOS S/ LUCRO]]+Tabela1107[[#This Row],[OUTROS]]+Tabela1107[[#This Row],[BA]]</f>
        <v>24.740000000000002</v>
      </c>
      <c r="BS49" s="97">
        <f>+Tabela1107[[#This Row],[PIS]]+Tabela1107[[#This Row],[COFINS]]+Tabela1107[[#This Row],[CONTRIB. FOLHA]]+Tabela1107[[#This Row],[TRIBUTOS S/ LUCRO]]+Tabela1107[[#This Row],[OUTROS]]+Tabela1107[[#This Row],[PE]]</f>
        <v>24.740000000000002</v>
      </c>
      <c r="BT49" s="97">
        <f>+Tabela1107[[#This Row],[PIS]]+Tabela1107[[#This Row],[COFINS]]+Tabela1107[[#This Row],[CONTRIB. FOLHA]]+Tabela1107[[#This Row],[TRIBUTOS S/ LUCRO]]+Tabela1107[[#This Row],[OUTROS]]+Tabela1107[[#This Row],[PA]]</f>
        <v>24.740000000000002</v>
      </c>
      <c r="BU49" s="97">
        <f>+Tabela1107[[#This Row],[PIS]]+Tabela1107[[#This Row],[COFINS]]+Tabela1107[[#This Row],[CONTRIB. FOLHA]]+Tabela1107[[#This Row],[TRIBUTOS S/ LUCRO]]+Tabela1107[[#This Row],[OUTROS]]+Tabela1107[[#This Row],[AM]]</f>
        <v>24.740000000000002</v>
      </c>
      <c r="BV49" s="97">
        <f>AVERAGE(Tabela1107[[#This Row],[TOTAL SP]:[TOTAL AM]])</f>
        <v>24.677500000000006</v>
      </c>
      <c r="BW49" s="97"/>
      <c r="BX49" s="97"/>
    </row>
    <row r="50" spans="2:76" x14ac:dyDescent="0.25">
      <c r="B50" s="89">
        <v>16571</v>
      </c>
      <c r="C50" s="91" t="s">
        <v>13168</v>
      </c>
      <c r="D50" s="89"/>
      <c r="E50" s="89">
        <v>20140626</v>
      </c>
      <c r="F50" s="89" t="s">
        <v>20511</v>
      </c>
      <c r="G50" s="89" t="s">
        <v>20512</v>
      </c>
      <c r="H50" s="89" t="s">
        <v>20513</v>
      </c>
      <c r="I50" s="89" t="s">
        <v>20514</v>
      </c>
      <c r="J50" s="89" t="s">
        <v>321</v>
      </c>
      <c r="K50" s="89" t="s">
        <v>2467</v>
      </c>
      <c r="L50" s="89" t="s">
        <v>4227</v>
      </c>
      <c r="M50" s="89" t="s">
        <v>4496</v>
      </c>
      <c r="N50" s="89" t="s">
        <v>4496</v>
      </c>
      <c r="O50" s="89" t="s">
        <v>4496</v>
      </c>
      <c r="P50" s="89" t="s">
        <v>4496</v>
      </c>
      <c r="Q50" s="89"/>
      <c r="R50" s="89" t="s">
        <v>85</v>
      </c>
      <c r="S50" s="89" t="s">
        <v>21598</v>
      </c>
      <c r="T50" s="89" t="s">
        <v>21599</v>
      </c>
      <c r="U50" s="89" t="str">
        <f>TRIM('Carga Tributária doenças Po (2'!$L50)</f>
        <v>LOSARTANA POTASSICA</v>
      </c>
      <c r="V50" s="89">
        <f>SUMIFS('Tabela Federal'!$E$4:$E$2069,'Tabela Federal'!$D$4:$D$2069,'Carga Tributária doenças Po (2'!$L50)</f>
        <v>4</v>
      </c>
      <c r="W50" s="89">
        <f>SUMIFS('Tabela Federal'!$E$4:$E$2069,'Tabela Federal'!$D$4:$D$2069,'Carga Tributária doenças Po (2'!$M50)</f>
        <v>0</v>
      </c>
      <c r="X50" s="89">
        <f>SUMIFS('Tabela Federal'!$E$4:$E$2069,'Tabela Federal'!$D$4:$D$2069,'Carga Tributária doenças Po (2'!$N50)</f>
        <v>0</v>
      </c>
      <c r="Y50" s="89">
        <f>SUMIFS('Tabela Federal'!$E$4:$E$2069,'Tabela Federal'!$D$4:$D$2069,'Carga Tributária doenças Po (2'!$O50)</f>
        <v>0</v>
      </c>
      <c r="Z50" s="92" t="str">
        <f>VLOOKUP('Carga Tributária doenças Po (2'!$AD50,'Carga Tributária doenças Po (2'!$CA$12:$CC$16,2,0)</f>
        <v>+</v>
      </c>
      <c r="AA50" s="89" t="s">
        <v>318</v>
      </c>
      <c r="AB50" s="89" t="s">
        <v>21850</v>
      </c>
      <c r="AC50" s="89" t="s">
        <v>21721</v>
      </c>
      <c r="AD50" s="93" t="s">
        <v>21722</v>
      </c>
      <c r="AE50" s="92" t="s">
        <v>2</v>
      </c>
      <c r="AF50" s="92" t="s">
        <v>3</v>
      </c>
      <c r="AG50" s="94">
        <v>3924678</v>
      </c>
      <c r="AH50" s="95">
        <v>58370921</v>
      </c>
      <c r="AI50" s="95">
        <v>133235633.48999999</v>
      </c>
      <c r="AJ50" s="89" t="s">
        <v>323</v>
      </c>
      <c r="AK50" s="89">
        <f>IF('Carga Tributária doenças Po (2'!$Z50="+",0,SUMIFS(PISCOFINS!$I$3:$I$10518,PISCOFINS!$C$3:$C$10518,'Carga Tributária doenças Po (2'!$C50))</f>
        <v>0</v>
      </c>
      <c r="AL50" s="89">
        <f>IF('Carga Tributária doenças Po (2'!$Z50="+",0,SUMIFS(PISCOFINS!$H$3:$H$10518,PISCOFINS!$C$3:$C$10518,'Carga Tributária doenças Po (2'!$C50))</f>
        <v>0</v>
      </c>
      <c r="AM50" s="95">
        <v>3.27</v>
      </c>
      <c r="AN50" s="95">
        <v>3.12</v>
      </c>
      <c r="AO50" s="95">
        <v>1.35</v>
      </c>
      <c r="AP50" s="96">
        <v>18</v>
      </c>
      <c r="AQ50" s="96">
        <v>12</v>
      </c>
      <c r="AR50" s="96">
        <v>17</v>
      </c>
      <c r="AS50" s="97">
        <v>17</v>
      </c>
      <c r="AT50" s="97">
        <v>19</v>
      </c>
      <c r="AU50" s="97">
        <v>18</v>
      </c>
      <c r="AV50" s="97">
        <v>17</v>
      </c>
      <c r="AW50" s="97">
        <v>17</v>
      </c>
      <c r="AX50" s="97">
        <v>17</v>
      </c>
      <c r="AY50" s="97">
        <v>17</v>
      </c>
      <c r="AZ50" s="97">
        <v>17</v>
      </c>
      <c r="BA50" s="97">
        <v>17</v>
      </c>
      <c r="BB50" s="97">
        <v>17</v>
      </c>
      <c r="BC50" s="97">
        <v>17</v>
      </c>
      <c r="BD50" s="97">
        <v>17</v>
      </c>
      <c r="BE50" s="97">
        <v>17</v>
      </c>
      <c r="BF50" s="97">
        <f>+Tabela1107[[#This Row],[PIS]]+Tabela1107[[#This Row],[COFINS]]+Tabela1107[[#This Row],[CONTRIB. FOLHA]]+Tabela1107[[#This Row],[TRIBUTOS S/ LUCRO]]+Tabela1107[[#This Row],[OUTROS]]+Tabela1107[[#This Row],[SP]]</f>
        <v>25.740000000000002</v>
      </c>
      <c r="BG50" s="97">
        <f>+Tabela1107[[#This Row],[PIS]]+Tabela1107[[#This Row],[COFINS]]+Tabela1107[[#This Row],[CONTRIB. FOLHA]]+Tabela1107[[#This Row],[TRIBUTOS S/ LUCRO]]+Tabela1107[[#This Row],[OUTROS]]+Tabela1107[[#This Row],[PR]]</f>
        <v>19.740000000000002</v>
      </c>
      <c r="BH50" s="97">
        <f>+Tabela1107[[#This Row],[PIS]]+Tabela1107[[#This Row],[COFINS]]+Tabela1107[[#This Row],[CONTRIB. FOLHA]]+Tabela1107[[#This Row],[TRIBUTOS S/ LUCRO]]+Tabela1107[[#This Row],[OUTROS]]+Tabela1107[[#This Row],[SC]]</f>
        <v>24.740000000000002</v>
      </c>
      <c r="BI50" s="97">
        <f>+Tabela1107[[#This Row],[PIS]]+Tabela1107[[#This Row],[COFINS]]+Tabela1107[[#This Row],[CONTRIB. FOLHA]]+Tabela1107[[#This Row],[TRIBUTOS S/ LUCRO]]+Tabela1107[[#This Row],[OUTROS]]+Tabela1107[[#This Row],[RS]]</f>
        <v>24.740000000000002</v>
      </c>
      <c r="BJ50" s="97">
        <f>+Tabela1107[[#This Row],[PIS]]+Tabela1107[[#This Row],[COFINS]]+Tabela1107[[#This Row],[CONTRIB. FOLHA]]+Tabela1107[[#This Row],[TRIBUTOS S/ LUCRO]]+Tabela1107[[#This Row],[OUTROS]]+Tabela1107[[#This Row],[RJ]]</f>
        <v>26.740000000000002</v>
      </c>
      <c r="BK50" s="97">
        <f>+Tabela1107[[#This Row],[PIS]]+Tabela1107[[#This Row],[COFINS]]+Tabela1107[[#This Row],[CONTRIB. FOLHA]]+Tabela1107[[#This Row],[TRIBUTOS S/ LUCRO]]+Tabela1107[[#This Row],[OUTROS]]+Tabela1107[[#This Row],[MG]]</f>
        <v>25.740000000000002</v>
      </c>
      <c r="BL50" s="97">
        <f>+Tabela1107[[#This Row],[PIS]]+Tabela1107[[#This Row],[COFINS]]+Tabela1107[[#This Row],[CONTRIB. FOLHA]]+Tabela1107[[#This Row],[TRIBUTOS S/ LUCRO]]+Tabela1107[[#This Row],[OUTROS]]+Tabela1107[[#This Row],[ES]]</f>
        <v>24.740000000000002</v>
      </c>
      <c r="BM50" s="97">
        <f>+Tabela1107[[#This Row],[PIS]]+Tabela1107[[#This Row],[COFINS]]+Tabela1107[[#This Row],[CONTRIB. FOLHA]]+Tabela1107[[#This Row],[TRIBUTOS S/ LUCRO]]+Tabela1107[[#This Row],[OUTROS]]+Tabela1107[[#This Row],[GO]]</f>
        <v>24.740000000000002</v>
      </c>
      <c r="BN50" s="97">
        <f>+Tabela1107[[#This Row],[PIS]]+Tabela1107[[#This Row],[COFINS]]+Tabela1107[[#This Row],[CONTRIB. FOLHA]]+Tabela1107[[#This Row],[TRIBUTOS S/ LUCRO]]+Tabela1107[[#This Row],[OUTROS]]+Tabela1107[[#This Row],[MT]]</f>
        <v>24.740000000000002</v>
      </c>
      <c r="BO50" s="97">
        <f>+Tabela1107[[#This Row],[PIS]]+Tabela1107[[#This Row],[COFINS]]+Tabela1107[[#This Row],[CONTRIB. FOLHA]]+Tabela1107[[#This Row],[TRIBUTOS S/ LUCRO]]+Tabela1107[[#This Row],[OUTROS]]+Tabela1107[[#This Row],[MS]]</f>
        <v>24.740000000000002</v>
      </c>
      <c r="BP50" s="97">
        <f>+Tabela1107[[#This Row],[PIS]]+Tabela1107[[#This Row],[COFINS]]+Tabela1107[[#This Row],[CONTRIB. FOLHA]]+Tabela1107[[#This Row],[TRIBUTOS S/ LUCRO]]+Tabela1107[[#This Row],[OUTROS]]+Tabela1107[[#This Row],[DF]]</f>
        <v>24.740000000000002</v>
      </c>
      <c r="BQ50" s="97">
        <f>+Tabela1107[[#This Row],[PIS]]+Tabela1107[[#This Row],[COFINS]]+Tabela1107[[#This Row],[CONTRIB. FOLHA]]+Tabela1107[[#This Row],[TRIBUTOS S/ LUCRO]]+Tabela1107[[#This Row],[OUTROS]]+Tabela1107[[#This Row],[BA]]</f>
        <v>24.740000000000002</v>
      </c>
      <c r="BR50" s="97">
        <f>+Tabela1107[[#This Row],[PIS]]+Tabela1107[[#This Row],[COFINS]]+Tabela1107[[#This Row],[CONTRIB. FOLHA]]+Tabela1107[[#This Row],[TRIBUTOS S/ LUCRO]]+Tabela1107[[#This Row],[OUTROS]]+Tabela1107[[#This Row],[BA]]</f>
        <v>24.740000000000002</v>
      </c>
      <c r="BS50" s="97">
        <f>+Tabela1107[[#This Row],[PIS]]+Tabela1107[[#This Row],[COFINS]]+Tabela1107[[#This Row],[CONTRIB. FOLHA]]+Tabela1107[[#This Row],[TRIBUTOS S/ LUCRO]]+Tabela1107[[#This Row],[OUTROS]]+Tabela1107[[#This Row],[PE]]</f>
        <v>24.740000000000002</v>
      </c>
      <c r="BT50" s="97">
        <f>+Tabela1107[[#This Row],[PIS]]+Tabela1107[[#This Row],[COFINS]]+Tabela1107[[#This Row],[CONTRIB. FOLHA]]+Tabela1107[[#This Row],[TRIBUTOS S/ LUCRO]]+Tabela1107[[#This Row],[OUTROS]]+Tabela1107[[#This Row],[PA]]</f>
        <v>24.740000000000002</v>
      </c>
      <c r="BU50" s="97">
        <f>+Tabela1107[[#This Row],[PIS]]+Tabela1107[[#This Row],[COFINS]]+Tabela1107[[#This Row],[CONTRIB. FOLHA]]+Tabela1107[[#This Row],[TRIBUTOS S/ LUCRO]]+Tabela1107[[#This Row],[OUTROS]]+Tabela1107[[#This Row],[AM]]</f>
        <v>24.740000000000002</v>
      </c>
      <c r="BV50" s="97">
        <f>AVERAGE(Tabela1107[[#This Row],[TOTAL SP]:[TOTAL AM]])</f>
        <v>24.677500000000006</v>
      </c>
      <c r="BW50" s="97"/>
      <c r="BX50" s="97"/>
    </row>
    <row r="51" spans="2:76" x14ac:dyDescent="0.25">
      <c r="B51" s="89">
        <v>6107</v>
      </c>
      <c r="C51" s="91" t="s">
        <v>13168</v>
      </c>
      <c r="D51" s="89"/>
      <c r="E51" s="89">
        <v>20140626</v>
      </c>
      <c r="F51" s="89" t="s">
        <v>21044</v>
      </c>
      <c r="G51" s="89" t="s">
        <v>21045</v>
      </c>
      <c r="H51" s="89" t="s">
        <v>21046</v>
      </c>
      <c r="I51" s="89" t="s">
        <v>21047</v>
      </c>
      <c r="J51" s="89" t="s">
        <v>396</v>
      </c>
      <c r="K51" s="89" t="s">
        <v>2468</v>
      </c>
      <c r="L51" s="89" t="s">
        <v>2623</v>
      </c>
      <c r="M51" s="89" t="s">
        <v>4496</v>
      </c>
      <c r="N51" s="89" t="s">
        <v>4496</v>
      </c>
      <c r="O51" s="89" t="s">
        <v>4496</v>
      </c>
      <c r="P51" s="89" t="s">
        <v>4496</v>
      </c>
      <c r="Q51" s="89"/>
      <c r="R51" s="89" t="s">
        <v>267</v>
      </c>
      <c r="S51" s="89" t="s">
        <v>21658</v>
      </c>
      <c r="T51" s="89" t="s">
        <v>21659</v>
      </c>
      <c r="U51" s="89" t="str">
        <f>TRIM('Carga Tributária doenças Po (2'!$L51)</f>
        <v>ETORICOXIBE</v>
      </c>
      <c r="V51" s="89">
        <f>SUMIFS('Tabela Federal'!$E$4:$E$2069,'Tabela Federal'!$D$4:$D$2069,'Carga Tributária doenças Po (2'!$L51)</f>
        <v>1</v>
      </c>
      <c r="W51" s="89">
        <f>SUMIFS('Tabela Federal'!$E$4:$E$2069,'Tabela Federal'!$D$4:$D$2069,'Carga Tributária doenças Po (2'!$M51)</f>
        <v>0</v>
      </c>
      <c r="X51" s="89">
        <f>SUMIFS('Tabela Federal'!$E$4:$E$2069,'Tabela Federal'!$D$4:$D$2069,'Carga Tributária doenças Po (2'!$N51)</f>
        <v>0</v>
      </c>
      <c r="Y51" s="89">
        <f>SUMIFS('Tabela Federal'!$E$4:$E$2069,'Tabela Federal'!$D$4:$D$2069,'Carga Tributária doenças Po (2'!$O51)</f>
        <v>0</v>
      </c>
      <c r="Z51" s="92" t="str">
        <f>VLOOKUP('Carga Tributária doenças Po (2'!$AD51,'Carga Tributária doenças Po (2'!$CA$12:$CC$16,2,0)</f>
        <v>+</v>
      </c>
      <c r="AA51" s="89" t="s">
        <v>387</v>
      </c>
      <c r="AB51" s="89" t="s">
        <v>21878</v>
      </c>
      <c r="AC51" s="89" t="s">
        <v>21721</v>
      </c>
      <c r="AD51" s="93" t="s">
        <v>21722</v>
      </c>
      <c r="AE51" s="92" t="s">
        <v>2</v>
      </c>
      <c r="AF51" s="92" t="s">
        <v>23</v>
      </c>
      <c r="AG51" s="94">
        <v>521638</v>
      </c>
      <c r="AH51" s="95">
        <v>7507046</v>
      </c>
      <c r="AI51" s="95">
        <v>17132062.440000001</v>
      </c>
      <c r="AJ51" s="89" t="s">
        <v>394</v>
      </c>
      <c r="AK51" s="89">
        <f>IF('Carga Tributária doenças Po (2'!$Z51="+",0,SUMIFS(PISCOFINS!$I$3:$I$10518,PISCOFINS!$C$3:$C$10518,'Carga Tributária doenças Po (2'!$C51))</f>
        <v>0</v>
      </c>
      <c r="AL51" s="89">
        <f>IF('Carga Tributária doenças Po (2'!$Z51="+",0,SUMIFS(PISCOFINS!$H$3:$H$10518,PISCOFINS!$C$3:$C$10518,'Carga Tributária doenças Po (2'!$C51))</f>
        <v>0</v>
      </c>
      <c r="AM51" s="95">
        <v>3.27</v>
      </c>
      <c r="AN51" s="95">
        <v>3.12</v>
      </c>
      <c r="AO51" s="95">
        <v>1.35</v>
      </c>
      <c r="AP51" s="96">
        <v>18</v>
      </c>
      <c r="AQ51" s="96">
        <v>12</v>
      </c>
      <c r="AR51" s="96">
        <v>17</v>
      </c>
      <c r="AS51" s="97">
        <v>17</v>
      </c>
      <c r="AT51" s="97">
        <v>19</v>
      </c>
      <c r="AU51" s="97">
        <v>18</v>
      </c>
      <c r="AV51" s="97">
        <v>17</v>
      </c>
      <c r="AW51" s="97">
        <v>17</v>
      </c>
      <c r="AX51" s="97">
        <v>17</v>
      </c>
      <c r="AY51" s="97">
        <v>17</v>
      </c>
      <c r="AZ51" s="97">
        <v>17</v>
      </c>
      <c r="BA51" s="97">
        <v>17</v>
      </c>
      <c r="BB51" s="97">
        <v>17</v>
      </c>
      <c r="BC51" s="97">
        <v>17</v>
      </c>
      <c r="BD51" s="97">
        <v>17</v>
      </c>
      <c r="BE51" s="97">
        <v>17</v>
      </c>
      <c r="BF51" s="97">
        <f>+Tabela1107[[#This Row],[PIS]]+Tabela1107[[#This Row],[COFINS]]+Tabela1107[[#This Row],[CONTRIB. FOLHA]]+Tabela1107[[#This Row],[TRIBUTOS S/ LUCRO]]+Tabela1107[[#This Row],[OUTROS]]+Tabela1107[[#This Row],[SP]]</f>
        <v>25.740000000000002</v>
      </c>
      <c r="BG51" s="97">
        <f>+Tabela1107[[#This Row],[PIS]]+Tabela1107[[#This Row],[COFINS]]+Tabela1107[[#This Row],[CONTRIB. FOLHA]]+Tabela1107[[#This Row],[TRIBUTOS S/ LUCRO]]+Tabela1107[[#This Row],[OUTROS]]+Tabela1107[[#This Row],[PR]]</f>
        <v>19.740000000000002</v>
      </c>
      <c r="BH51" s="97">
        <f>+Tabela1107[[#This Row],[PIS]]+Tabela1107[[#This Row],[COFINS]]+Tabela1107[[#This Row],[CONTRIB. FOLHA]]+Tabela1107[[#This Row],[TRIBUTOS S/ LUCRO]]+Tabela1107[[#This Row],[OUTROS]]+Tabela1107[[#This Row],[SC]]</f>
        <v>24.740000000000002</v>
      </c>
      <c r="BI51" s="97">
        <f>+Tabela1107[[#This Row],[PIS]]+Tabela1107[[#This Row],[COFINS]]+Tabela1107[[#This Row],[CONTRIB. FOLHA]]+Tabela1107[[#This Row],[TRIBUTOS S/ LUCRO]]+Tabela1107[[#This Row],[OUTROS]]+Tabela1107[[#This Row],[RS]]</f>
        <v>24.740000000000002</v>
      </c>
      <c r="BJ51" s="97">
        <f>+Tabela1107[[#This Row],[PIS]]+Tabela1107[[#This Row],[COFINS]]+Tabela1107[[#This Row],[CONTRIB. FOLHA]]+Tabela1107[[#This Row],[TRIBUTOS S/ LUCRO]]+Tabela1107[[#This Row],[OUTROS]]+Tabela1107[[#This Row],[RJ]]</f>
        <v>26.740000000000002</v>
      </c>
      <c r="BK51" s="97">
        <f>+Tabela1107[[#This Row],[PIS]]+Tabela1107[[#This Row],[COFINS]]+Tabela1107[[#This Row],[CONTRIB. FOLHA]]+Tabela1107[[#This Row],[TRIBUTOS S/ LUCRO]]+Tabela1107[[#This Row],[OUTROS]]+Tabela1107[[#This Row],[MG]]</f>
        <v>25.740000000000002</v>
      </c>
      <c r="BL51" s="97">
        <f>+Tabela1107[[#This Row],[PIS]]+Tabela1107[[#This Row],[COFINS]]+Tabela1107[[#This Row],[CONTRIB. FOLHA]]+Tabela1107[[#This Row],[TRIBUTOS S/ LUCRO]]+Tabela1107[[#This Row],[OUTROS]]+Tabela1107[[#This Row],[ES]]</f>
        <v>24.740000000000002</v>
      </c>
      <c r="BM51" s="97">
        <f>+Tabela1107[[#This Row],[PIS]]+Tabela1107[[#This Row],[COFINS]]+Tabela1107[[#This Row],[CONTRIB. FOLHA]]+Tabela1107[[#This Row],[TRIBUTOS S/ LUCRO]]+Tabela1107[[#This Row],[OUTROS]]+Tabela1107[[#This Row],[GO]]</f>
        <v>24.740000000000002</v>
      </c>
      <c r="BN51" s="97">
        <f>+Tabela1107[[#This Row],[PIS]]+Tabela1107[[#This Row],[COFINS]]+Tabela1107[[#This Row],[CONTRIB. FOLHA]]+Tabela1107[[#This Row],[TRIBUTOS S/ LUCRO]]+Tabela1107[[#This Row],[OUTROS]]+Tabela1107[[#This Row],[MT]]</f>
        <v>24.740000000000002</v>
      </c>
      <c r="BO51" s="97">
        <f>+Tabela1107[[#This Row],[PIS]]+Tabela1107[[#This Row],[COFINS]]+Tabela1107[[#This Row],[CONTRIB. FOLHA]]+Tabela1107[[#This Row],[TRIBUTOS S/ LUCRO]]+Tabela1107[[#This Row],[OUTROS]]+Tabela1107[[#This Row],[MS]]</f>
        <v>24.740000000000002</v>
      </c>
      <c r="BP51" s="97">
        <f>+Tabela1107[[#This Row],[PIS]]+Tabela1107[[#This Row],[COFINS]]+Tabela1107[[#This Row],[CONTRIB. FOLHA]]+Tabela1107[[#This Row],[TRIBUTOS S/ LUCRO]]+Tabela1107[[#This Row],[OUTROS]]+Tabela1107[[#This Row],[DF]]</f>
        <v>24.740000000000002</v>
      </c>
      <c r="BQ51" s="97">
        <f>+Tabela1107[[#This Row],[PIS]]+Tabela1107[[#This Row],[COFINS]]+Tabela1107[[#This Row],[CONTRIB. FOLHA]]+Tabela1107[[#This Row],[TRIBUTOS S/ LUCRO]]+Tabela1107[[#This Row],[OUTROS]]+Tabela1107[[#This Row],[BA]]</f>
        <v>24.740000000000002</v>
      </c>
      <c r="BR51" s="97">
        <f>+Tabela1107[[#This Row],[PIS]]+Tabela1107[[#This Row],[COFINS]]+Tabela1107[[#This Row],[CONTRIB. FOLHA]]+Tabela1107[[#This Row],[TRIBUTOS S/ LUCRO]]+Tabela1107[[#This Row],[OUTROS]]+Tabela1107[[#This Row],[BA]]</f>
        <v>24.740000000000002</v>
      </c>
      <c r="BS51" s="97">
        <f>+Tabela1107[[#This Row],[PIS]]+Tabela1107[[#This Row],[COFINS]]+Tabela1107[[#This Row],[CONTRIB. FOLHA]]+Tabela1107[[#This Row],[TRIBUTOS S/ LUCRO]]+Tabela1107[[#This Row],[OUTROS]]+Tabela1107[[#This Row],[PE]]</f>
        <v>24.740000000000002</v>
      </c>
      <c r="BT51" s="97">
        <f>+Tabela1107[[#This Row],[PIS]]+Tabela1107[[#This Row],[COFINS]]+Tabela1107[[#This Row],[CONTRIB. FOLHA]]+Tabela1107[[#This Row],[TRIBUTOS S/ LUCRO]]+Tabela1107[[#This Row],[OUTROS]]+Tabela1107[[#This Row],[PA]]</f>
        <v>24.740000000000002</v>
      </c>
      <c r="BU51" s="97">
        <f>+Tabela1107[[#This Row],[PIS]]+Tabela1107[[#This Row],[COFINS]]+Tabela1107[[#This Row],[CONTRIB. FOLHA]]+Tabela1107[[#This Row],[TRIBUTOS S/ LUCRO]]+Tabela1107[[#This Row],[OUTROS]]+Tabela1107[[#This Row],[AM]]</f>
        <v>24.740000000000002</v>
      </c>
      <c r="BV51" s="97">
        <f>AVERAGE(Tabela1107[[#This Row],[TOTAL SP]:[TOTAL AM]])</f>
        <v>24.677500000000006</v>
      </c>
      <c r="BW51" s="97"/>
      <c r="BX51" s="97"/>
    </row>
    <row r="52" spans="2:76" x14ac:dyDescent="0.25">
      <c r="B52" s="89">
        <v>23321</v>
      </c>
      <c r="C52" s="91" t="s">
        <v>13142</v>
      </c>
      <c r="D52" s="89"/>
      <c r="E52" s="89">
        <v>20140626</v>
      </c>
      <c r="F52" s="89" t="s">
        <v>20408</v>
      </c>
      <c r="G52" s="89" t="s">
        <v>20409</v>
      </c>
      <c r="H52" s="89" t="s">
        <v>20410</v>
      </c>
      <c r="I52" s="89" t="s">
        <v>20411</v>
      </c>
      <c r="J52" s="89" t="s">
        <v>314</v>
      </c>
      <c r="K52" s="89" t="s">
        <v>2469</v>
      </c>
      <c r="L52" s="89" t="s">
        <v>2624</v>
      </c>
      <c r="M52" s="89" t="s">
        <v>4496</v>
      </c>
      <c r="N52" s="89" t="s">
        <v>4496</v>
      </c>
      <c r="O52" s="89" t="s">
        <v>4496</v>
      </c>
      <c r="P52" s="89" t="s">
        <v>4496</v>
      </c>
      <c r="Q52" s="89"/>
      <c r="R52" s="89" t="s">
        <v>109</v>
      </c>
      <c r="S52" s="89" t="s">
        <v>21578</v>
      </c>
      <c r="T52" s="89" t="s">
        <v>21579</v>
      </c>
      <c r="U52" s="89" t="str">
        <f>TRIM('Carga Tributária doenças Po (2'!$L52)</f>
        <v>CLORIDRATO DE TRIEXIFENIDIL</v>
      </c>
      <c r="V52" s="89">
        <f>SUMIFS('Tabela Federal'!$E$4:$E$2069,'Tabela Federal'!$D$4:$D$2069,'Carga Tributária doenças Po (2'!$L52)</f>
        <v>1</v>
      </c>
      <c r="W52" s="89">
        <f>SUMIFS('Tabela Federal'!$E$4:$E$2069,'Tabela Federal'!$D$4:$D$2069,'Carga Tributária doenças Po (2'!$M52)</f>
        <v>0</v>
      </c>
      <c r="X52" s="89">
        <f>SUMIFS('Tabela Federal'!$E$4:$E$2069,'Tabela Federal'!$D$4:$D$2069,'Carga Tributária doenças Po (2'!$N52)</f>
        <v>0</v>
      </c>
      <c r="Y52" s="89">
        <f>SUMIFS('Tabela Federal'!$E$4:$E$2069,'Tabela Federal'!$D$4:$D$2069,'Carga Tributária doenças Po (2'!$O52)</f>
        <v>0</v>
      </c>
      <c r="Z52" s="92" t="str">
        <f>VLOOKUP('Carga Tributária doenças Po (2'!$AD52,'Carga Tributária doenças Po (2'!$CA$12:$CC$16,2,0)</f>
        <v>+</v>
      </c>
      <c r="AA52" s="89" t="s">
        <v>305</v>
      </c>
      <c r="AB52" s="89" t="s">
        <v>21872</v>
      </c>
      <c r="AC52" s="89" t="s">
        <v>21721</v>
      </c>
      <c r="AD52" s="93" t="s">
        <v>21722</v>
      </c>
      <c r="AE52" s="92" t="s">
        <v>2</v>
      </c>
      <c r="AF52" s="92" t="s">
        <v>23</v>
      </c>
      <c r="AG52" s="94">
        <v>141557</v>
      </c>
      <c r="AH52" s="95">
        <v>474452</v>
      </c>
      <c r="AI52" s="95">
        <v>1077503.24</v>
      </c>
      <c r="AJ52" s="89" t="s">
        <v>316</v>
      </c>
      <c r="AK52" s="89">
        <f>IF('Carga Tributária doenças Po (2'!$Z52="+",0,SUMIFS(PISCOFINS!$I$3:$I$10518,PISCOFINS!$C$3:$C$10518,'Carga Tributária doenças Po (2'!$C52))</f>
        <v>0</v>
      </c>
      <c r="AL52" s="89">
        <f>IF('Carga Tributária doenças Po (2'!$Z52="+",0,SUMIFS(PISCOFINS!$H$3:$H$10518,PISCOFINS!$C$3:$C$10518,'Carga Tributária doenças Po (2'!$C52))</f>
        <v>0</v>
      </c>
      <c r="AM52" s="95">
        <v>3.27</v>
      </c>
      <c r="AN52" s="95">
        <v>3.12</v>
      </c>
      <c r="AO52" s="95">
        <v>1.35</v>
      </c>
      <c r="AP52" s="96">
        <v>18</v>
      </c>
      <c r="AQ52" s="96">
        <v>12</v>
      </c>
      <c r="AR52" s="96">
        <v>17</v>
      </c>
      <c r="AS52" s="97">
        <v>17</v>
      </c>
      <c r="AT52" s="97">
        <v>19</v>
      </c>
      <c r="AU52" s="97">
        <v>18</v>
      </c>
      <c r="AV52" s="97">
        <v>17</v>
      </c>
      <c r="AW52" s="97">
        <v>17</v>
      </c>
      <c r="AX52" s="97">
        <v>17</v>
      </c>
      <c r="AY52" s="97">
        <v>17</v>
      </c>
      <c r="AZ52" s="97">
        <v>17</v>
      </c>
      <c r="BA52" s="97">
        <v>17</v>
      </c>
      <c r="BB52" s="97">
        <v>17</v>
      </c>
      <c r="BC52" s="97">
        <v>17</v>
      </c>
      <c r="BD52" s="97">
        <v>17</v>
      </c>
      <c r="BE52" s="97">
        <v>17</v>
      </c>
      <c r="BF52" s="97">
        <f>+Tabela1107[[#This Row],[PIS]]+Tabela1107[[#This Row],[COFINS]]+Tabela1107[[#This Row],[CONTRIB. FOLHA]]+Tabela1107[[#This Row],[TRIBUTOS S/ LUCRO]]+Tabela1107[[#This Row],[OUTROS]]+Tabela1107[[#This Row],[SP]]</f>
        <v>25.740000000000002</v>
      </c>
      <c r="BG52" s="97">
        <f>+Tabela1107[[#This Row],[PIS]]+Tabela1107[[#This Row],[COFINS]]+Tabela1107[[#This Row],[CONTRIB. FOLHA]]+Tabela1107[[#This Row],[TRIBUTOS S/ LUCRO]]+Tabela1107[[#This Row],[OUTROS]]+Tabela1107[[#This Row],[PR]]</f>
        <v>19.740000000000002</v>
      </c>
      <c r="BH52" s="97">
        <f>+Tabela1107[[#This Row],[PIS]]+Tabela1107[[#This Row],[COFINS]]+Tabela1107[[#This Row],[CONTRIB. FOLHA]]+Tabela1107[[#This Row],[TRIBUTOS S/ LUCRO]]+Tabela1107[[#This Row],[OUTROS]]+Tabela1107[[#This Row],[SC]]</f>
        <v>24.740000000000002</v>
      </c>
      <c r="BI52" s="97">
        <f>+Tabela1107[[#This Row],[PIS]]+Tabela1107[[#This Row],[COFINS]]+Tabela1107[[#This Row],[CONTRIB. FOLHA]]+Tabela1107[[#This Row],[TRIBUTOS S/ LUCRO]]+Tabela1107[[#This Row],[OUTROS]]+Tabela1107[[#This Row],[RS]]</f>
        <v>24.740000000000002</v>
      </c>
      <c r="BJ52" s="97">
        <f>+Tabela1107[[#This Row],[PIS]]+Tabela1107[[#This Row],[COFINS]]+Tabela1107[[#This Row],[CONTRIB. FOLHA]]+Tabela1107[[#This Row],[TRIBUTOS S/ LUCRO]]+Tabela1107[[#This Row],[OUTROS]]+Tabela1107[[#This Row],[RJ]]</f>
        <v>26.740000000000002</v>
      </c>
      <c r="BK52" s="97">
        <f>+Tabela1107[[#This Row],[PIS]]+Tabela1107[[#This Row],[COFINS]]+Tabela1107[[#This Row],[CONTRIB. FOLHA]]+Tabela1107[[#This Row],[TRIBUTOS S/ LUCRO]]+Tabela1107[[#This Row],[OUTROS]]+Tabela1107[[#This Row],[MG]]</f>
        <v>25.740000000000002</v>
      </c>
      <c r="BL52" s="97">
        <f>+Tabela1107[[#This Row],[PIS]]+Tabela1107[[#This Row],[COFINS]]+Tabela1107[[#This Row],[CONTRIB. FOLHA]]+Tabela1107[[#This Row],[TRIBUTOS S/ LUCRO]]+Tabela1107[[#This Row],[OUTROS]]+Tabela1107[[#This Row],[ES]]</f>
        <v>24.740000000000002</v>
      </c>
      <c r="BM52" s="97">
        <f>+Tabela1107[[#This Row],[PIS]]+Tabela1107[[#This Row],[COFINS]]+Tabela1107[[#This Row],[CONTRIB. FOLHA]]+Tabela1107[[#This Row],[TRIBUTOS S/ LUCRO]]+Tabela1107[[#This Row],[OUTROS]]+Tabela1107[[#This Row],[GO]]</f>
        <v>24.740000000000002</v>
      </c>
      <c r="BN52" s="97">
        <f>+Tabela1107[[#This Row],[PIS]]+Tabela1107[[#This Row],[COFINS]]+Tabela1107[[#This Row],[CONTRIB. FOLHA]]+Tabela1107[[#This Row],[TRIBUTOS S/ LUCRO]]+Tabela1107[[#This Row],[OUTROS]]+Tabela1107[[#This Row],[MT]]</f>
        <v>24.740000000000002</v>
      </c>
      <c r="BO52" s="97">
        <f>+Tabela1107[[#This Row],[PIS]]+Tabela1107[[#This Row],[COFINS]]+Tabela1107[[#This Row],[CONTRIB. FOLHA]]+Tabela1107[[#This Row],[TRIBUTOS S/ LUCRO]]+Tabela1107[[#This Row],[OUTROS]]+Tabela1107[[#This Row],[MS]]</f>
        <v>24.740000000000002</v>
      </c>
      <c r="BP52" s="97">
        <f>+Tabela1107[[#This Row],[PIS]]+Tabela1107[[#This Row],[COFINS]]+Tabela1107[[#This Row],[CONTRIB. FOLHA]]+Tabela1107[[#This Row],[TRIBUTOS S/ LUCRO]]+Tabela1107[[#This Row],[OUTROS]]+Tabela1107[[#This Row],[DF]]</f>
        <v>24.740000000000002</v>
      </c>
      <c r="BQ52" s="97">
        <f>+Tabela1107[[#This Row],[PIS]]+Tabela1107[[#This Row],[COFINS]]+Tabela1107[[#This Row],[CONTRIB. FOLHA]]+Tabela1107[[#This Row],[TRIBUTOS S/ LUCRO]]+Tabela1107[[#This Row],[OUTROS]]+Tabela1107[[#This Row],[BA]]</f>
        <v>24.740000000000002</v>
      </c>
      <c r="BR52" s="97">
        <f>+Tabela1107[[#This Row],[PIS]]+Tabela1107[[#This Row],[COFINS]]+Tabela1107[[#This Row],[CONTRIB. FOLHA]]+Tabela1107[[#This Row],[TRIBUTOS S/ LUCRO]]+Tabela1107[[#This Row],[OUTROS]]+Tabela1107[[#This Row],[BA]]</f>
        <v>24.740000000000002</v>
      </c>
      <c r="BS52" s="97">
        <f>+Tabela1107[[#This Row],[PIS]]+Tabela1107[[#This Row],[COFINS]]+Tabela1107[[#This Row],[CONTRIB. FOLHA]]+Tabela1107[[#This Row],[TRIBUTOS S/ LUCRO]]+Tabela1107[[#This Row],[OUTROS]]+Tabela1107[[#This Row],[PE]]</f>
        <v>24.740000000000002</v>
      </c>
      <c r="BT52" s="97">
        <f>+Tabela1107[[#This Row],[PIS]]+Tabela1107[[#This Row],[COFINS]]+Tabela1107[[#This Row],[CONTRIB. FOLHA]]+Tabela1107[[#This Row],[TRIBUTOS S/ LUCRO]]+Tabela1107[[#This Row],[OUTROS]]+Tabela1107[[#This Row],[PA]]</f>
        <v>24.740000000000002</v>
      </c>
      <c r="BU52" s="97">
        <f>+Tabela1107[[#This Row],[PIS]]+Tabela1107[[#This Row],[COFINS]]+Tabela1107[[#This Row],[CONTRIB. FOLHA]]+Tabela1107[[#This Row],[TRIBUTOS S/ LUCRO]]+Tabela1107[[#This Row],[OUTROS]]+Tabela1107[[#This Row],[AM]]</f>
        <v>24.740000000000002</v>
      </c>
      <c r="BV52" s="97">
        <f>AVERAGE(Tabela1107[[#This Row],[TOTAL SP]:[TOTAL AM]])</f>
        <v>24.677500000000006</v>
      </c>
      <c r="BW52" s="97"/>
      <c r="BX52" s="97"/>
    </row>
    <row r="53" spans="2:76" x14ac:dyDescent="0.25">
      <c r="B53" s="89">
        <v>474</v>
      </c>
      <c r="C53" s="91" t="s">
        <v>13049</v>
      </c>
      <c r="D53" s="89"/>
      <c r="E53" s="89">
        <v>20140626</v>
      </c>
      <c r="F53" s="89" t="s">
        <v>20712</v>
      </c>
      <c r="G53" s="89" t="s">
        <v>20713</v>
      </c>
      <c r="H53" s="89" t="s">
        <v>20714</v>
      </c>
      <c r="I53" s="89" t="s">
        <v>20715</v>
      </c>
      <c r="J53" s="89" t="s">
        <v>605</v>
      </c>
      <c r="K53" s="89" t="s">
        <v>2470</v>
      </c>
      <c r="L53" s="89" t="s">
        <v>2625</v>
      </c>
      <c r="M53" s="89" t="s">
        <v>4496</v>
      </c>
      <c r="N53" s="89" t="s">
        <v>4496</v>
      </c>
      <c r="O53" s="89" t="s">
        <v>4496</v>
      </c>
      <c r="P53" s="89" t="s">
        <v>4496</v>
      </c>
      <c r="Q53" s="89"/>
      <c r="R53" s="89" t="s">
        <v>198</v>
      </c>
      <c r="S53" s="89" t="s">
        <v>21572</v>
      </c>
      <c r="T53" s="89" t="s">
        <v>21573</v>
      </c>
      <c r="U53" s="89" t="str">
        <f>TRIM('Carga Tributária doenças Po (2'!$L53)</f>
        <v>AZITROMICINA</v>
      </c>
      <c r="V53" s="89">
        <f>SUMIFS('Tabela Federal'!$E$4:$E$2069,'Tabela Federal'!$D$4:$D$2069,'Carga Tributária doenças Po (2'!$L53)</f>
        <v>1</v>
      </c>
      <c r="W53" s="89">
        <f>SUMIFS('Tabela Federal'!$E$4:$E$2069,'Tabela Federal'!$D$4:$D$2069,'Carga Tributária doenças Po (2'!$M53)</f>
        <v>0</v>
      </c>
      <c r="X53" s="89">
        <f>SUMIFS('Tabela Federal'!$E$4:$E$2069,'Tabela Federal'!$D$4:$D$2069,'Carga Tributária doenças Po (2'!$N53)</f>
        <v>0</v>
      </c>
      <c r="Y53" s="89">
        <f>SUMIFS('Tabela Federal'!$E$4:$E$2069,'Tabela Federal'!$D$4:$D$2069,'Carga Tributária doenças Po (2'!$O53)</f>
        <v>0</v>
      </c>
      <c r="Z53" s="92" t="str">
        <f>VLOOKUP('Carga Tributária doenças Po (2'!$AD53,'Carga Tributária doenças Po (2'!$CA$12:$CC$16,2,0)</f>
        <v>+</v>
      </c>
      <c r="AA53" s="89" t="s">
        <v>606</v>
      </c>
      <c r="AB53" s="89" t="s">
        <v>21800</v>
      </c>
      <c r="AC53" s="89" t="s">
        <v>21721</v>
      </c>
      <c r="AD53" s="93" t="s">
        <v>21722</v>
      </c>
      <c r="AE53" s="92" t="s">
        <v>4</v>
      </c>
      <c r="AF53" s="92" t="s">
        <v>3</v>
      </c>
      <c r="AG53" s="94">
        <v>1261583</v>
      </c>
      <c r="AH53" s="95">
        <v>4994498</v>
      </c>
      <c r="AI53" s="95">
        <v>11359806.890000001</v>
      </c>
      <c r="AJ53" s="89" t="s">
        <v>611</v>
      </c>
      <c r="AK53" s="89">
        <f>IF('Carga Tributária doenças Po (2'!$Z53="+",0,SUMIFS(PISCOFINS!$I$3:$I$10518,PISCOFINS!$C$3:$C$10518,'Carga Tributária doenças Po (2'!$C53))</f>
        <v>0</v>
      </c>
      <c r="AL53" s="89">
        <f>IF('Carga Tributária doenças Po (2'!$Z53="+",0,SUMIFS(PISCOFINS!$H$3:$H$10518,PISCOFINS!$C$3:$C$10518,'Carga Tributária doenças Po (2'!$C53))</f>
        <v>0</v>
      </c>
      <c r="AM53" s="95">
        <v>3.27</v>
      </c>
      <c r="AN53" s="95">
        <v>3.12</v>
      </c>
      <c r="AO53" s="95">
        <v>1.35</v>
      </c>
      <c r="AP53" s="96">
        <v>18</v>
      </c>
      <c r="AQ53" s="96">
        <v>12</v>
      </c>
      <c r="AR53" s="96">
        <v>17</v>
      </c>
      <c r="AS53" s="97">
        <v>17</v>
      </c>
      <c r="AT53" s="97">
        <v>19</v>
      </c>
      <c r="AU53" s="97">
        <v>18</v>
      </c>
      <c r="AV53" s="97">
        <v>17</v>
      </c>
      <c r="AW53" s="97">
        <v>17</v>
      </c>
      <c r="AX53" s="97">
        <v>17</v>
      </c>
      <c r="AY53" s="97">
        <v>17</v>
      </c>
      <c r="AZ53" s="97">
        <v>17</v>
      </c>
      <c r="BA53" s="97">
        <v>17</v>
      </c>
      <c r="BB53" s="97">
        <v>17</v>
      </c>
      <c r="BC53" s="97">
        <v>17</v>
      </c>
      <c r="BD53" s="97">
        <v>17</v>
      </c>
      <c r="BE53" s="97">
        <v>17</v>
      </c>
      <c r="BF53" s="97">
        <f>+Tabela1107[[#This Row],[PIS]]+Tabela1107[[#This Row],[COFINS]]+Tabela1107[[#This Row],[CONTRIB. FOLHA]]+Tabela1107[[#This Row],[TRIBUTOS S/ LUCRO]]+Tabela1107[[#This Row],[OUTROS]]+Tabela1107[[#This Row],[SP]]</f>
        <v>25.740000000000002</v>
      </c>
      <c r="BG53" s="97">
        <f>+Tabela1107[[#This Row],[PIS]]+Tabela1107[[#This Row],[COFINS]]+Tabela1107[[#This Row],[CONTRIB. FOLHA]]+Tabela1107[[#This Row],[TRIBUTOS S/ LUCRO]]+Tabela1107[[#This Row],[OUTROS]]+Tabela1107[[#This Row],[PR]]</f>
        <v>19.740000000000002</v>
      </c>
      <c r="BH53" s="97">
        <f>+Tabela1107[[#This Row],[PIS]]+Tabela1107[[#This Row],[COFINS]]+Tabela1107[[#This Row],[CONTRIB. FOLHA]]+Tabela1107[[#This Row],[TRIBUTOS S/ LUCRO]]+Tabela1107[[#This Row],[OUTROS]]+Tabela1107[[#This Row],[SC]]</f>
        <v>24.740000000000002</v>
      </c>
      <c r="BI53" s="97">
        <f>+Tabela1107[[#This Row],[PIS]]+Tabela1107[[#This Row],[COFINS]]+Tabela1107[[#This Row],[CONTRIB. FOLHA]]+Tabela1107[[#This Row],[TRIBUTOS S/ LUCRO]]+Tabela1107[[#This Row],[OUTROS]]+Tabela1107[[#This Row],[RS]]</f>
        <v>24.740000000000002</v>
      </c>
      <c r="BJ53" s="97">
        <f>+Tabela1107[[#This Row],[PIS]]+Tabela1107[[#This Row],[COFINS]]+Tabela1107[[#This Row],[CONTRIB. FOLHA]]+Tabela1107[[#This Row],[TRIBUTOS S/ LUCRO]]+Tabela1107[[#This Row],[OUTROS]]+Tabela1107[[#This Row],[RJ]]</f>
        <v>26.740000000000002</v>
      </c>
      <c r="BK53" s="97">
        <f>+Tabela1107[[#This Row],[PIS]]+Tabela1107[[#This Row],[COFINS]]+Tabela1107[[#This Row],[CONTRIB. FOLHA]]+Tabela1107[[#This Row],[TRIBUTOS S/ LUCRO]]+Tabela1107[[#This Row],[OUTROS]]+Tabela1107[[#This Row],[MG]]</f>
        <v>25.740000000000002</v>
      </c>
      <c r="BL53" s="97">
        <f>+Tabela1107[[#This Row],[PIS]]+Tabela1107[[#This Row],[COFINS]]+Tabela1107[[#This Row],[CONTRIB. FOLHA]]+Tabela1107[[#This Row],[TRIBUTOS S/ LUCRO]]+Tabela1107[[#This Row],[OUTROS]]+Tabela1107[[#This Row],[ES]]</f>
        <v>24.740000000000002</v>
      </c>
      <c r="BM53" s="97">
        <f>+Tabela1107[[#This Row],[PIS]]+Tabela1107[[#This Row],[COFINS]]+Tabela1107[[#This Row],[CONTRIB. FOLHA]]+Tabela1107[[#This Row],[TRIBUTOS S/ LUCRO]]+Tabela1107[[#This Row],[OUTROS]]+Tabela1107[[#This Row],[GO]]</f>
        <v>24.740000000000002</v>
      </c>
      <c r="BN53" s="97">
        <f>+Tabela1107[[#This Row],[PIS]]+Tabela1107[[#This Row],[COFINS]]+Tabela1107[[#This Row],[CONTRIB. FOLHA]]+Tabela1107[[#This Row],[TRIBUTOS S/ LUCRO]]+Tabela1107[[#This Row],[OUTROS]]+Tabela1107[[#This Row],[MT]]</f>
        <v>24.740000000000002</v>
      </c>
      <c r="BO53" s="97">
        <f>+Tabela1107[[#This Row],[PIS]]+Tabela1107[[#This Row],[COFINS]]+Tabela1107[[#This Row],[CONTRIB. FOLHA]]+Tabela1107[[#This Row],[TRIBUTOS S/ LUCRO]]+Tabela1107[[#This Row],[OUTROS]]+Tabela1107[[#This Row],[MS]]</f>
        <v>24.740000000000002</v>
      </c>
      <c r="BP53" s="97">
        <f>+Tabela1107[[#This Row],[PIS]]+Tabela1107[[#This Row],[COFINS]]+Tabela1107[[#This Row],[CONTRIB. FOLHA]]+Tabela1107[[#This Row],[TRIBUTOS S/ LUCRO]]+Tabela1107[[#This Row],[OUTROS]]+Tabela1107[[#This Row],[DF]]</f>
        <v>24.740000000000002</v>
      </c>
      <c r="BQ53" s="97">
        <f>+Tabela1107[[#This Row],[PIS]]+Tabela1107[[#This Row],[COFINS]]+Tabela1107[[#This Row],[CONTRIB. FOLHA]]+Tabela1107[[#This Row],[TRIBUTOS S/ LUCRO]]+Tabela1107[[#This Row],[OUTROS]]+Tabela1107[[#This Row],[BA]]</f>
        <v>24.740000000000002</v>
      </c>
      <c r="BR53" s="97">
        <f>+Tabela1107[[#This Row],[PIS]]+Tabela1107[[#This Row],[COFINS]]+Tabela1107[[#This Row],[CONTRIB. FOLHA]]+Tabela1107[[#This Row],[TRIBUTOS S/ LUCRO]]+Tabela1107[[#This Row],[OUTROS]]+Tabela1107[[#This Row],[BA]]</f>
        <v>24.740000000000002</v>
      </c>
      <c r="BS53" s="97">
        <f>+Tabela1107[[#This Row],[PIS]]+Tabela1107[[#This Row],[COFINS]]+Tabela1107[[#This Row],[CONTRIB. FOLHA]]+Tabela1107[[#This Row],[TRIBUTOS S/ LUCRO]]+Tabela1107[[#This Row],[OUTROS]]+Tabela1107[[#This Row],[PE]]</f>
        <v>24.740000000000002</v>
      </c>
      <c r="BT53" s="97">
        <f>+Tabela1107[[#This Row],[PIS]]+Tabela1107[[#This Row],[COFINS]]+Tabela1107[[#This Row],[CONTRIB. FOLHA]]+Tabela1107[[#This Row],[TRIBUTOS S/ LUCRO]]+Tabela1107[[#This Row],[OUTROS]]+Tabela1107[[#This Row],[PA]]</f>
        <v>24.740000000000002</v>
      </c>
      <c r="BU53" s="97">
        <f>+Tabela1107[[#This Row],[PIS]]+Tabela1107[[#This Row],[COFINS]]+Tabela1107[[#This Row],[CONTRIB. FOLHA]]+Tabela1107[[#This Row],[TRIBUTOS S/ LUCRO]]+Tabela1107[[#This Row],[OUTROS]]+Tabela1107[[#This Row],[AM]]</f>
        <v>24.740000000000002</v>
      </c>
      <c r="BV53" s="97">
        <f>AVERAGE(Tabela1107[[#This Row],[TOTAL SP]:[TOTAL AM]])</f>
        <v>24.677500000000006</v>
      </c>
      <c r="BW53" s="97"/>
      <c r="BX53" s="97"/>
    </row>
    <row r="54" spans="2:76" x14ac:dyDescent="0.25">
      <c r="B54" s="89">
        <v>475</v>
      </c>
      <c r="C54" s="91" t="s">
        <v>13049</v>
      </c>
      <c r="D54" s="89"/>
      <c r="E54" s="89">
        <v>20140626</v>
      </c>
      <c r="F54" s="89" t="s">
        <v>20716</v>
      </c>
      <c r="G54" s="89" t="s">
        <v>20717</v>
      </c>
      <c r="H54" s="89" t="s">
        <v>20718</v>
      </c>
      <c r="I54" s="89" t="s">
        <v>20715</v>
      </c>
      <c r="J54" s="89" t="s">
        <v>607</v>
      </c>
      <c r="K54" s="89" t="s">
        <v>2470</v>
      </c>
      <c r="L54" s="89" t="s">
        <v>2625</v>
      </c>
      <c r="M54" s="89" t="s">
        <v>4496</v>
      </c>
      <c r="N54" s="89" t="s">
        <v>4496</v>
      </c>
      <c r="O54" s="89" t="s">
        <v>4496</v>
      </c>
      <c r="P54" s="89" t="s">
        <v>4496</v>
      </c>
      <c r="Q54" s="89"/>
      <c r="R54" s="89" t="s">
        <v>198</v>
      </c>
      <c r="S54" s="89" t="s">
        <v>21572</v>
      </c>
      <c r="T54" s="89" t="s">
        <v>21573</v>
      </c>
      <c r="U54" s="89" t="str">
        <f>TRIM('Carga Tributária doenças Po (2'!$L54)</f>
        <v>AZITROMICINA</v>
      </c>
      <c r="V54" s="89">
        <f>SUMIFS('Tabela Federal'!$E$4:$E$2069,'Tabela Federal'!$D$4:$D$2069,'Carga Tributária doenças Po (2'!$L54)</f>
        <v>1</v>
      </c>
      <c r="W54" s="89">
        <f>SUMIFS('Tabela Federal'!$E$4:$E$2069,'Tabela Federal'!$D$4:$D$2069,'Carga Tributária doenças Po (2'!$M54)</f>
        <v>0</v>
      </c>
      <c r="X54" s="89">
        <f>SUMIFS('Tabela Federal'!$E$4:$E$2069,'Tabela Federal'!$D$4:$D$2069,'Carga Tributária doenças Po (2'!$N54)</f>
        <v>0</v>
      </c>
      <c r="Y54" s="89">
        <f>SUMIFS('Tabela Federal'!$E$4:$E$2069,'Tabela Federal'!$D$4:$D$2069,'Carga Tributária doenças Po (2'!$O54)</f>
        <v>0</v>
      </c>
      <c r="Z54" s="92" t="str">
        <f>VLOOKUP('Carga Tributária doenças Po (2'!$AD54,'Carga Tributária doenças Po (2'!$CA$12:$CC$16,2,0)</f>
        <v>+</v>
      </c>
      <c r="AA54" s="89" t="s">
        <v>606</v>
      </c>
      <c r="AB54" s="89" t="s">
        <v>21800</v>
      </c>
      <c r="AC54" s="89" t="s">
        <v>21721</v>
      </c>
      <c r="AD54" s="93" t="s">
        <v>21722</v>
      </c>
      <c r="AE54" s="92" t="s">
        <v>4</v>
      </c>
      <c r="AF54" s="92" t="s">
        <v>3</v>
      </c>
      <c r="AG54" s="94">
        <v>1024972</v>
      </c>
      <c r="AH54" s="95">
        <v>6766273</v>
      </c>
      <c r="AI54" s="95">
        <v>15401912.25</v>
      </c>
      <c r="AJ54" s="89" t="s">
        <v>594</v>
      </c>
      <c r="AK54" s="89">
        <f>IF('Carga Tributária doenças Po (2'!$Z54="+",0,SUMIFS(PISCOFINS!$I$3:$I$10518,PISCOFINS!$C$3:$C$10518,'Carga Tributária doenças Po (2'!$C54))</f>
        <v>0</v>
      </c>
      <c r="AL54" s="89">
        <f>IF('Carga Tributária doenças Po (2'!$Z54="+",0,SUMIFS(PISCOFINS!$H$3:$H$10518,PISCOFINS!$C$3:$C$10518,'Carga Tributária doenças Po (2'!$C54))</f>
        <v>0</v>
      </c>
      <c r="AM54" s="95">
        <v>3.27</v>
      </c>
      <c r="AN54" s="95">
        <v>3.12</v>
      </c>
      <c r="AO54" s="95">
        <v>1.35</v>
      </c>
      <c r="AP54" s="96">
        <v>18</v>
      </c>
      <c r="AQ54" s="96">
        <v>12</v>
      </c>
      <c r="AR54" s="96">
        <v>17</v>
      </c>
      <c r="AS54" s="97">
        <v>17</v>
      </c>
      <c r="AT54" s="97">
        <v>19</v>
      </c>
      <c r="AU54" s="97">
        <v>18</v>
      </c>
      <c r="AV54" s="97">
        <v>17</v>
      </c>
      <c r="AW54" s="97">
        <v>17</v>
      </c>
      <c r="AX54" s="97">
        <v>17</v>
      </c>
      <c r="AY54" s="97">
        <v>17</v>
      </c>
      <c r="AZ54" s="97">
        <v>17</v>
      </c>
      <c r="BA54" s="97">
        <v>17</v>
      </c>
      <c r="BB54" s="97">
        <v>17</v>
      </c>
      <c r="BC54" s="97">
        <v>17</v>
      </c>
      <c r="BD54" s="97">
        <v>17</v>
      </c>
      <c r="BE54" s="97">
        <v>17</v>
      </c>
      <c r="BF54" s="97">
        <f>+Tabela1107[[#This Row],[PIS]]+Tabela1107[[#This Row],[COFINS]]+Tabela1107[[#This Row],[CONTRIB. FOLHA]]+Tabela1107[[#This Row],[TRIBUTOS S/ LUCRO]]+Tabela1107[[#This Row],[OUTROS]]+Tabela1107[[#This Row],[SP]]</f>
        <v>25.740000000000002</v>
      </c>
      <c r="BG54" s="97">
        <f>+Tabela1107[[#This Row],[PIS]]+Tabela1107[[#This Row],[COFINS]]+Tabela1107[[#This Row],[CONTRIB. FOLHA]]+Tabela1107[[#This Row],[TRIBUTOS S/ LUCRO]]+Tabela1107[[#This Row],[OUTROS]]+Tabela1107[[#This Row],[PR]]</f>
        <v>19.740000000000002</v>
      </c>
      <c r="BH54" s="97">
        <f>+Tabela1107[[#This Row],[PIS]]+Tabela1107[[#This Row],[COFINS]]+Tabela1107[[#This Row],[CONTRIB. FOLHA]]+Tabela1107[[#This Row],[TRIBUTOS S/ LUCRO]]+Tabela1107[[#This Row],[OUTROS]]+Tabela1107[[#This Row],[SC]]</f>
        <v>24.740000000000002</v>
      </c>
      <c r="BI54" s="97">
        <f>+Tabela1107[[#This Row],[PIS]]+Tabela1107[[#This Row],[COFINS]]+Tabela1107[[#This Row],[CONTRIB. FOLHA]]+Tabela1107[[#This Row],[TRIBUTOS S/ LUCRO]]+Tabela1107[[#This Row],[OUTROS]]+Tabela1107[[#This Row],[RS]]</f>
        <v>24.740000000000002</v>
      </c>
      <c r="BJ54" s="97">
        <f>+Tabela1107[[#This Row],[PIS]]+Tabela1107[[#This Row],[COFINS]]+Tabela1107[[#This Row],[CONTRIB. FOLHA]]+Tabela1107[[#This Row],[TRIBUTOS S/ LUCRO]]+Tabela1107[[#This Row],[OUTROS]]+Tabela1107[[#This Row],[RJ]]</f>
        <v>26.740000000000002</v>
      </c>
      <c r="BK54" s="97">
        <f>+Tabela1107[[#This Row],[PIS]]+Tabela1107[[#This Row],[COFINS]]+Tabela1107[[#This Row],[CONTRIB. FOLHA]]+Tabela1107[[#This Row],[TRIBUTOS S/ LUCRO]]+Tabela1107[[#This Row],[OUTROS]]+Tabela1107[[#This Row],[MG]]</f>
        <v>25.740000000000002</v>
      </c>
      <c r="BL54" s="97">
        <f>+Tabela1107[[#This Row],[PIS]]+Tabela1107[[#This Row],[COFINS]]+Tabela1107[[#This Row],[CONTRIB. FOLHA]]+Tabela1107[[#This Row],[TRIBUTOS S/ LUCRO]]+Tabela1107[[#This Row],[OUTROS]]+Tabela1107[[#This Row],[ES]]</f>
        <v>24.740000000000002</v>
      </c>
      <c r="BM54" s="97">
        <f>+Tabela1107[[#This Row],[PIS]]+Tabela1107[[#This Row],[COFINS]]+Tabela1107[[#This Row],[CONTRIB. FOLHA]]+Tabela1107[[#This Row],[TRIBUTOS S/ LUCRO]]+Tabela1107[[#This Row],[OUTROS]]+Tabela1107[[#This Row],[GO]]</f>
        <v>24.740000000000002</v>
      </c>
      <c r="BN54" s="97">
        <f>+Tabela1107[[#This Row],[PIS]]+Tabela1107[[#This Row],[COFINS]]+Tabela1107[[#This Row],[CONTRIB. FOLHA]]+Tabela1107[[#This Row],[TRIBUTOS S/ LUCRO]]+Tabela1107[[#This Row],[OUTROS]]+Tabela1107[[#This Row],[MT]]</f>
        <v>24.740000000000002</v>
      </c>
      <c r="BO54" s="97">
        <f>+Tabela1107[[#This Row],[PIS]]+Tabela1107[[#This Row],[COFINS]]+Tabela1107[[#This Row],[CONTRIB. FOLHA]]+Tabela1107[[#This Row],[TRIBUTOS S/ LUCRO]]+Tabela1107[[#This Row],[OUTROS]]+Tabela1107[[#This Row],[MS]]</f>
        <v>24.740000000000002</v>
      </c>
      <c r="BP54" s="97">
        <f>+Tabela1107[[#This Row],[PIS]]+Tabela1107[[#This Row],[COFINS]]+Tabela1107[[#This Row],[CONTRIB. FOLHA]]+Tabela1107[[#This Row],[TRIBUTOS S/ LUCRO]]+Tabela1107[[#This Row],[OUTROS]]+Tabela1107[[#This Row],[DF]]</f>
        <v>24.740000000000002</v>
      </c>
      <c r="BQ54" s="97">
        <f>+Tabela1107[[#This Row],[PIS]]+Tabela1107[[#This Row],[COFINS]]+Tabela1107[[#This Row],[CONTRIB. FOLHA]]+Tabela1107[[#This Row],[TRIBUTOS S/ LUCRO]]+Tabela1107[[#This Row],[OUTROS]]+Tabela1107[[#This Row],[BA]]</f>
        <v>24.740000000000002</v>
      </c>
      <c r="BR54" s="97">
        <f>+Tabela1107[[#This Row],[PIS]]+Tabela1107[[#This Row],[COFINS]]+Tabela1107[[#This Row],[CONTRIB. FOLHA]]+Tabela1107[[#This Row],[TRIBUTOS S/ LUCRO]]+Tabela1107[[#This Row],[OUTROS]]+Tabela1107[[#This Row],[BA]]</f>
        <v>24.740000000000002</v>
      </c>
      <c r="BS54" s="97">
        <f>+Tabela1107[[#This Row],[PIS]]+Tabela1107[[#This Row],[COFINS]]+Tabela1107[[#This Row],[CONTRIB. FOLHA]]+Tabela1107[[#This Row],[TRIBUTOS S/ LUCRO]]+Tabela1107[[#This Row],[OUTROS]]+Tabela1107[[#This Row],[PE]]</f>
        <v>24.740000000000002</v>
      </c>
      <c r="BT54" s="97">
        <f>+Tabela1107[[#This Row],[PIS]]+Tabela1107[[#This Row],[COFINS]]+Tabela1107[[#This Row],[CONTRIB. FOLHA]]+Tabela1107[[#This Row],[TRIBUTOS S/ LUCRO]]+Tabela1107[[#This Row],[OUTROS]]+Tabela1107[[#This Row],[PA]]</f>
        <v>24.740000000000002</v>
      </c>
      <c r="BU54" s="97">
        <f>+Tabela1107[[#This Row],[PIS]]+Tabela1107[[#This Row],[COFINS]]+Tabela1107[[#This Row],[CONTRIB. FOLHA]]+Tabela1107[[#This Row],[TRIBUTOS S/ LUCRO]]+Tabela1107[[#This Row],[OUTROS]]+Tabela1107[[#This Row],[AM]]</f>
        <v>24.740000000000002</v>
      </c>
      <c r="BV54" s="97">
        <f>AVERAGE(Tabela1107[[#This Row],[TOTAL SP]:[TOTAL AM]])</f>
        <v>24.677500000000006</v>
      </c>
      <c r="BW54" s="97"/>
      <c r="BX54" s="97"/>
    </row>
    <row r="55" spans="2:76" x14ac:dyDescent="0.25">
      <c r="B55" s="89">
        <v>14826</v>
      </c>
      <c r="C55" s="91" t="s">
        <v>13155</v>
      </c>
      <c r="D55" s="89"/>
      <c r="E55" s="89">
        <v>20140626</v>
      </c>
      <c r="F55" s="89" t="s">
        <v>21340</v>
      </c>
      <c r="G55" s="89" t="s">
        <v>21341</v>
      </c>
      <c r="H55" s="89" t="s">
        <v>21342</v>
      </c>
      <c r="I55" s="89" t="s">
        <v>21343</v>
      </c>
      <c r="J55" s="89" t="s">
        <v>494</v>
      </c>
      <c r="K55" s="89" t="s">
        <v>2444</v>
      </c>
      <c r="L55" s="89" t="s">
        <v>2620</v>
      </c>
      <c r="M55" s="89" t="s">
        <v>4496</v>
      </c>
      <c r="N55" s="89" t="s">
        <v>4496</v>
      </c>
      <c r="O55" s="89" t="s">
        <v>4496</v>
      </c>
      <c r="P55" s="89" t="s">
        <v>4496</v>
      </c>
      <c r="Q55" s="89"/>
      <c r="R55" s="89" t="s">
        <v>28</v>
      </c>
      <c r="S55" s="89" t="s">
        <v>21692</v>
      </c>
      <c r="T55" s="89" t="s">
        <v>21693</v>
      </c>
      <c r="U55" s="89" t="str">
        <f>TRIM('Carga Tributária doenças Po (2'!$L55)</f>
        <v>CLORIDRATO DE AMIODARONA</v>
      </c>
      <c r="V55" s="89">
        <f>SUMIFS('Tabela Federal'!$E$4:$E$2069,'Tabela Federal'!$D$4:$D$2069,'Carga Tributária doenças Po (2'!$L55)</f>
        <v>1</v>
      </c>
      <c r="W55" s="89">
        <f>SUMIFS('Tabela Federal'!$E$4:$E$2069,'Tabela Federal'!$D$4:$D$2069,'Carga Tributária doenças Po (2'!$M55)</f>
        <v>0</v>
      </c>
      <c r="X55" s="89">
        <f>SUMIFS('Tabela Federal'!$E$4:$E$2069,'Tabela Federal'!$D$4:$D$2069,'Carga Tributária doenças Po (2'!$N55)</f>
        <v>0</v>
      </c>
      <c r="Y55" s="89">
        <f>SUMIFS('Tabela Federal'!$E$4:$E$2069,'Tabela Federal'!$D$4:$D$2069,'Carga Tributária doenças Po (2'!$O55)</f>
        <v>0</v>
      </c>
      <c r="Z55" s="92" t="str">
        <f>VLOOKUP('Carga Tributária doenças Po (2'!$AD55,'Carga Tributária doenças Po (2'!$CA$12:$CC$16,2,0)</f>
        <v>+</v>
      </c>
      <c r="AA55" s="89" t="s">
        <v>488</v>
      </c>
      <c r="AB55" s="89" t="s">
        <v>21744</v>
      </c>
      <c r="AC55" s="89" t="s">
        <v>21721</v>
      </c>
      <c r="AD55" s="93" t="s">
        <v>21722</v>
      </c>
      <c r="AE55" s="92" t="s">
        <v>2</v>
      </c>
      <c r="AF55" s="92" t="s">
        <v>23</v>
      </c>
      <c r="AG55" s="94">
        <v>94784</v>
      </c>
      <c r="AH55" s="95">
        <v>427852</v>
      </c>
      <c r="AI55" s="95">
        <v>976148.46</v>
      </c>
      <c r="AJ55" s="89" t="s">
        <v>498</v>
      </c>
      <c r="AK55" s="89">
        <f>IF('Carga Tributária doenças Po (2'!$Z55="+",0,SUMIFS(PISCOFINS!$I$3:$I$10518,PISCOFINS!$C$3:$C$10518,'Carga Tributária doenças Po (2'!$C55))</f>
        <v>0</v>
      </c>
      <c r="AL55" s="89">
        <f>IF('Carga Tributária doenças Po (2'!$Z55="+",0,SUMIFS(PISCOFINS!$H$3:$H$10518,PISCOFINS!$C$3:$C$10518,'Carga Tributária doenças Po (2'!$C55))</f>
        <v>0</v>
      </c>
      <c r="AM55" s="95">
        <v>3.27</v>
      </c>
      <c r="AN55" s="95">
        <v>3.12</v>
      </c>
      <c r="AO55" s="95">
        <v>1.35</v>
      </c>
      <c r="AP55" s="96">
        <v>18</v>
      </c>
      <c r="AQ55" s="96">
        <v>12</v>
      </c>
      <c r="AR55" s="96">
        <v>17</v>
      </c>
      <c r="AS55" s="97">
        <v>17</v>
      </c>
      <c r="AT55" s="97">
        <v>19</v>
      </c>
      <c r="AU55" s="97">
        <v>18</v>
      </c>
      <c r="AV55" s="97">
        <v>17</v>
      </c>
      <c r="AW55" s="97">
        <v>17</v>
      </c>
      <c r="AX55" s="97">
        <v>17</v>
      </c>
      <c r="AY55" s="97">
        <v>17</v>
      </c>
      <c r="AZ55" s="97">
        <v>17</v>
      </c>
      <c r="BA55" s="97">
        <v>17</v>
      </c>
      <c r="BB55" s="97">
        <v>17</v>
      </c>
      <c r="BC55" s="97">
        <v>17</v>
      </c>
      <c r="BD55" s="97">
        <v>17</v>
      </c>
      <c r="BE55" s="97">
        <v>17</v>
      </c>
      <c r="BF55" s="97">
        <f>+Tabela1107[[#This Row],[PIS]]+Tabela1107[[#This Row],[COFINS]]+Tabela1107[[#This Row],[CONTRIB. FOLHA]]+Tabela1107[[#This Row],[TRIBUTOS S/ LUCRO]]+Tabela1107[[#This Row],[OUTROS]]+Tabela1107[[#This Row],[SP]]</f>
        <v>25.740000000000002</v>
      </c>
      <c r="BG55" s="97">
        <f>+Tabela1107[[#This Row],[PIS]]+Tabela1107[[#This Row],[COFINS]]+Tabela1107[[#This Row],[CONTRIB. FOLHA]]+Tabela1107[[#This Row],[TRIBUTOS S/ LUCRO]]+Tabela1107[[#This Row],[OUTROS]]+Tabela1107[[#This Row],[PR]]</f>
        <v>19.740000000000002</v>
      </c>
      <c r="BH55" s="97">
        <f>+Tabela1107[[#This Row],[PIS]]+Tabela1107[[#This Row],[COFINS]]+Tabela1107[[#This Row],[CONTRIB. FOLHA]]+Tabela1107[[#This Row],[TRIBUTOS S/ LUCRO]]+Tabela1107[[#This Row],[OUTROS]]+Tabela1107[[#This Row],[SC]]</f>
        <v>24.740000000000002</v>
      </c>
      <c r="BI55" s="97">
        <f>+Tabela1107[[#This Row],[PIS]]+Tabela1107[[#This Row],[COFINS]]+Tabela1107[[#This Row],[CONTRIB. FOLHA]]+Tabela1107[[#This Row],[TRIBUTOS S/ LUCRO]]+Tabela1107[[#This Row],[OUTROS]]+Tabela1107[[#This Row],[RS]]</f>
        <v>24.740000000000002</v>
      </c>
      <c r="BJ55" s="97">
        <f>+Tabela1107[[#This Row],[PIS]]+Tabela1107[[#This Row],[COFINS]]+Tabela1107[[#This Row],[CONTRIB. FOLHA]]+Tabela1107[[#This Row],[TRIBUTOS S/ LUCRO]]+Tabela1107[[#This Row],[OUTROS]]+Tabela1107[[#This Row],[RJ]]</f>
        <v>26.740000000000002</v>
      </c>
      <c r="BK55" s="97">
        <f>+Tabela1107[[#This Row],[PIS]]+Tabela1107[[#This Row],[COFINS]]+Tabela1107[[#This Row],[CONTRIB. FOLHA]]+Tabela1107[[#This Row],[TRIBUTOS S/ LUCRO]]+Tabela1107[[#This Row],[OUTROS]]+Tabela1107[[#This Row],[MG]]</f>
        <v>25.740000000000002</v>
      </c>
      <c r="BL55" s="97">
        <f>+Tabela1107[[#This Row],[PIS]]+Tabela1107[[#This Row],[COFINS]]+Tabela1107[[#This Row],[CONTRIB. FOLHA]]+Tabela1107[[#This Row],[TRIBUTOS S/ LUCRO]]+Tabela1107[[#This Row],[OUTROS]]+Tabela1107[[#This Row],[ES]]</f>
        <v>24.740000000000002</v>
      </c>
      <c r="BM55" s="97">
        <f>+Tabela1107[[#This Row],[PIS]]+Tabela1107[[#This Row],[COFINS]]+Tabela1107[[#This Row],[CONTRIB. FOLHA]]+Tabela1107[[#This Row],[TRIBUTOS S/ LUCRO]]+Tabela1107[[#This Row],[OUTROS]]+Tabela1107[[#This Row],[GO]]</f>
        <v>24.740000000000002</v>
      </c>
      <c r="BN55" s="97">
        <f>+Tabela1107[[#This Row],[PIS]]+Tabela1107[[#This Row],[COFINS]]+Tabela1107[[#This Row],[CONTRIB. FOLHA]]+Tabela1107[[#This Row],[TRIBUTOS S/ LUCRO]]+Tabela1107[[#This Row],[OUTROS]]+Tabela1107[[#This Row],[MT]]</f>
        <v>24.740000000000002</v>
      </c>
      <c r="BO55" s="97">
        <f>+Tabela1107[[#This Row],[PIS]]+Tabela1107[[#This Row],[COFINS]]+Tabela1107[[#This Row],[CONTRIB. FOLHA]]+Tabela1107[[#This Row],[TRIBUTOS S/ LUCRO]]+Tabela1107[[#This Row],[OUTROS]]+Tabela1107[[#This Row],[MS]]</f>
        <v>24.740000000000002</v>
      </c>
      <c r="BP55" s="97">
        <f>+Tabela1107[[#This Row],[PIS]]+Tabela1107[[#This Row],[COFINS]]+Tabela1107[[#This Row],[CONTRIB. FOLHA]]+Tabela1107[[#This Row],[TRIBUTOS S/ LUCRO]]+Tabela1107[[#This Row],[OUTROS]]+Tabela1107[[#This Row],[DF]]</f>
        <v>24.740000000000002</v>
      </c>
      <c r="BQ55" s="97">
        <f>+Tabela1107[[#This Row],[PIS]]+Tabela1107[[#This Row],[COFINS]]+Tabela1107[[#This Row],[CONTRIB. FOLHA]]+Tabela1107[[#This Row],[TRIBUTOS S/ LUCRO]]+Tabela1107[[#This Row],[OUTROS]]+Tabela1107[[#This Row],[BA]]</f>
        <v>24.740000000000002</v>
      </c>
      <c r="BR55" s="97">
        <f>+Tabela1107[[#This Row],[PIS]]+Tabela1107[[#This Row],[COFINS]]+Tabela1107[[#This Row],[CONTRIB. FOLHA]]+Tabela1107[[#This Row],[TRIBUTOS S/ LUCRO]]+Tabela1107[[#This Row],[OUTROS]]+Tabela1107[[#This Row],[BA]]</f>
        <v>24.740000000000002</v>
      </c>
      <c r="BS55" s="97">
        <f>+Tabela1107[[#This Row],[PIS]]+Tabela1107[[#This Row],[COFINS]]+Tabela1107[[#This Row],[CONTRIB. FOLHA]]+Tabela1107[[#This Row],[TRIBUTOS S/ LUCRO]]+Tabela1107[[#This Row],[OUTROS]]+Tabela1107[[#This Row],[PE]]</f>
        <v>24.740000000000002</v>
      </c>
      <c r="BT55" s="97">
        <f>+Tabela1107[[#This Row],[PIS]]+Tabela1107[[#This Row],[COFINS]]+Tabela1107[[#This Row],[CONTRIB. FOLHA]]+Tabela1107[[#This Row],[TRIBUTOS S/ LUCRO]]+Tabela1107[[#This Row],[OUTROS]]+Tabela1107[[#This Row],[PA]]</f>
        <v>24.740000000000002</v>
      </c>
      <c r="BU55" s="97">
        <f>+Tabela1107[[#This Row],[PIS]]+Tabela1107[[#This Row],[COFINS]]+Tabela1107[[#This Row],[CONTRIB. FOLHA]]+Tabela1107[[#This Row],[TRIBUTOS S/ LUCRO]]+Tabela1107[[#This Row],[OUTROS]]+Tabela1107[[#This Row],[AM]]</f>
        <v>24.740000000000002</v>
      </c>
      <c r="BV55" s="97">
        <f>AVERAGE(Tabela1107[[#This Row],[TOTAL SP]:[TOTAL AM]])</f>
        <v>24.677500000000006</v>
      </c>
      <c r="BW55" s="97"/>
      <c r="BX55" s="97"/>
    </row>
    <row r="56" spans="2:76" x14ac:dyDescent="0.25">
      <c r="B56" s="89">
        <v>14828</v>
      </c>
      <c r="C56" s="91" t="s">
        <v>13174</v>
      </c>
      <c r="D56" s="89"/>
      <c r="E56" s="89">
        <v>20140626</v>
      </c>
      <c r="F56" s="89" t="s">
        <v>21344</v>
      </c>
      <c r="G56" s="98" t="s">
        <v>21950</v>
      </c>
      <c r="H56" s="98" t="s">
        <v>21951</v>
      </c>
      <c r="I56" s="89" t="s">
        <v>21343</v>
      </c>
      <c r="J56" s="89" t="s">
        <v>493</v>
      </c>
      <c r="K56" s="89" t="s">
        <v>2444</v>
      </c>
      <c r="L56" s="89" t="s">
        <v>2620</v>
      </c>
      <c r="M56" s="89" t="s">
        <v>4496</v>
      </c>
      <c r="N56" s="89" t="s">
        <v>4496</v>
      </c>
      <c r="O56" s="89" t="s">
        <v>4496</v>
      </c>
      <c r="P56" s="89" t="s">
        <v>4496</v>
      </c>
      <c r="Q56" s="89"/>
      <c r="R56" s="89" t="s">
        <v>28</v>
      </c>
      <c r="S56" s="89" t="s">
        <v>21692</v>
      </c>
      <c r="T56" s="89" t="s">
        <v>21693</v>
      </c>
      <c r="U56" s="89" t="str">
        <f>TRIM('Carga Tributária doenças Po (2'!$L56)</f>
        <v>CLORIDRATO DE AMIODARONA</v>
      </c>
      <c r="V56" s="89">
        <f>SUMIFS('Tabela Federal'!$E$4:$E$2069,'Tabela Federal'!$D$4:$D$2069,'Carga Tributária doenças Po (2'!$L56)</f>
        <v>1</v>
      </c>
      <c r="W56" s="89">
        <f>SUMIFS('Tabela Federal'!$E$4:$E$2069,'Tabela Federal'!$D$4:$D$2069,'Carga Tributária doenças Po (2'!$M56)</f>
        <v>0</v>
      </c>
      <c r="X56" s="89">
        <f>SUMIFS('Tabela Federal'!$E$4:$E$2069,'Tabela Federal'!$D$4:$D$2069,'Carga Tributária doenças Po (2'!$N56)</f>
        <v>0</v>
      </c>
      <c r="Y56" s="89">
        <f>SUMIFS('Tabela Federal'!$E$4:$E$2069,'Tabela Federal'!$D$4:$D$2069,'Carga Tributária doenças Po (2'!$O56)</f>
        <v>0</v>
      </c>
      <c r="Z56" s="92" t="str">
        <f>VLOOKUP('Carga Tributária doenças Po (2'!$AD56,'Carga Tributária doenças Po (2'!$CA$12:$CC$16,2,0)</f>
        <v>+</v>
      </c>
      <c r="AA56" s="89" t="s">
        <v>488</v>
      </c>
      <c r="AB56" s="89" t="s">
        <v>21744</v>
      </c>
      <c r="AC56" s="89" t="s">
        <v>21721</v>
      </c>
      <c r="AD56" s="93" t="s">
        <v>21722</v>
      </c>
      <c r="AE56" s="92" t="s">
        <v>2</v>
      </c>
      <c r="AF56" s="92" t="s">
        <v>23</v>
      </c>
      <c r="AG56" s="94">
        <v>112283</v>
      </c>
      <c r="AH56" s="95">
        <v>968088</v>
      </c>
      <c r="AI56" s="95">
        <v>2209106.96</v>
      </c>
      <c r="AJ56" s="89" t="s">
        <v>498</v>
      </c>
      <c r="AK56" s="89">
        <f>IF('Carga Tributária doenças Po (2'!$Z56="+",0,SUMIFS(PISCOFINS!$I$3:$I$10518,PISCOFINS!$C$3:$C$10518,'Carga Tributária doenças Po (2'!$C56))</f>
        <v>0</v>
      </c>
      <c r="AL56" s="89">
        <f>IF('Carga Tributária doenças Po (2'!$Z56="+",0,SUMIFS(PISCOFINS!$H$3:$H$10518,PISCOFINS!$C$3:$C$10518,'Carga Tributária doenças Po (2'!$C56))</f>
        <v>0</v>
      </c>
      <c r="AM56" s="95">
        <v>3.27</v>
      </c>
      <c r="AN56" s="95">
        <v>3.12</v>
      </c>
      <c r="AO56" s="95">
        <v>1.35</v>
      </c>
      <c r="AP56" s="96">
        <v>18</v>
      </c>
      <c r="AQ56" s="96">
        <v>12</v>
      </c>
      <c r="AR56" s="96">
        <v>17</v>
      </c>
      <c r="AS56" s="97">
        <v>17</v>
      </c>
      <c r="AT56" s="97">
        <v>19</v>
      </c>
      <c r="AU56" s="97">
        <v>18</v>
      </c>
      <c r="AV56" s="97">
        <v>17</v>
      </c>
      <c r="AW56" s="97">
        <v>17</v>
      </c>
      <c r="AX56" s="97">
        <v>17</v>
      </c>
      <c r="AY56" s="97">
        <v>17</v>
      </c>
      <c r="AZ56" s="97">
        <v>17</v>
      </c>
      <c r="BA56" s="97">
        <v>17</v>
      </c>
      <c r="BB56" s="97">
        <v>17</v>
      </c>
      <c r="BC56" s="97">
        <v>17</v>
      </c>
      <c r="BD56" s="97">
        <v>17</v>
      </c>
      <c r="BE56" s="97">
        <v>17</v>
      </c>
      <c r="BF56" s="97">
        <f>+Tabela1107[[#This Row],[PIS]]+Tabela1107[[#This Row],[COFINS]]+Tabela1107[[#This Row],[CONTRIB. FOLHA]]+Tabela1107[[#This Row],[TRIBUTOS S/ LUCRO]]+Tabela1107[[#This Row],[OUTROS]]+Tabela1107[[#This Row],[SP]]</f>
        <v>25.740000000000002</v>
      </c>
      <c r="BG56" s="97">
        <f>+Tabela1107[[#This Row],[PIS]]+Tabela1107[[#This Row],[COFINS]]+Tabela1107[[#This Row],[CONTRIB. FOLHA]]+Tabela1107[[#This Row],[TRIBUTOS S/ LUCRO]]+Tabela1107[[#This Row],[OUTROS]]+Tabela1107[[#This Row],[PR]]</f>
        <v>19.740000000000002</v>
      </c>
      <c r="BH56" s="97">
        <f>+Tabela1107[[#This Row],[PIS]]+Tabela1107[[#This Row],[COFINS]]+Tabela1107[[#This Row],[CONTRIB. FOLHA]]+Tabela1107[[#This Row],[TRIBUTOS S/ LUCRO]]+Tabela1107[[#This Row],[OUTROS]]+Tabela1107[[#This Row],[SC]]</f>
        <v>24.740000000000002</v>
      </c>
      <c r="BI56" s="97">
        <f>+Tabela1107[[#This Row],[PIS]]+Tabela1107[[#This Row],[COFINS]]+Tabela1107[[#This Row],[CONTRIB. FOLHA]]+Tabela1107[[#This Row],[TRIBUTOS S/ LUCRO]]+Tabela1107[[#This Row],[OUTROS]]+Tabela1107[[#This Row],[RS]]</f>
        <v>24.740000000000002</v>
      </c>
      <c r="BJ56" s="97">
        <f>+Tabela1107[[#This Row],[PIS]]+Tabela1107[[#This Row],[COFINS]]+Tabela1107[[#This Row],[CONTRIB. FOLHA]]+Tabela1107[[#This Row],[TRIBUTOS S/ LUCRO]]+Tabela1107[[#This Row],[OUTROS]]+Tabela1107[[#This Row],[RJ]]</f>
        <v>26.740000000000002</v>
      </c>
      <c r="BK56" s="97">
        <f>+Tabela1107[[#This Row],[PIS]]+Tabela1107[[#This Row],[COFINS]]+Tabela1107[[#This Row],[CONTRIB. FOLHA]]+Tabela1107[[#This Row],[TRIBUTOS S/ LUCRO]]+Tabela1107[[#This Row],[OUTROS]]+Tabela1107[[#This Row],[MG]]</f>
        <v>25.740000000000002</v>
      </c>
      <c r="BL56" s="97">
        <f>+Tabela1107[[#This Row],[PIS]]+Tabela1107[[#This Row],[COFINS]]+Tabela1107[[#This Row],[CONTRIB. FOLHA]]+Tabela1107[[#This Row],[TRIBUTOS S/ LUCRO]]+Tabela1107[[#This Row],[OUTROS]]+Tabela1107[[#This Row],[ES]]</f>
        <v>24.740000000000002</v>
      </c>
      <c r="BM56" s="97">
        <f>+Tabela1107[[#This Row],[PIS]]+Tabela1107[[#This Row],[COFINS]]+Tabela1107[[#This Row],[CONTRIB. FOLHA]]+Tabela1107[[#This Row],[TRIBUTOS S/ LUCRO]]+Tabela1107[[#This Row],[OUTROS]]+Tabela1107[[#This Row],[GO]]</f>
        <v>24.740000000000002</v>
      </c>
      <c r="BN56" s="97">
        <f>+Tabela1107[[#This Row],[PIS]]+Tabela1107[[#This Row],[COFINS]]+Tabela1107[[#This Row],[CONTRIB. FOLHA]]+Tabela1107[[#This Row],[TRIBUTOS S/ LUCRO]]+Tabela1107[[#This Row],[OUTROS]]+Tabela1107[[#This Row],[MT]]</f>
        <v>24.740000000000002</v>
      </c>
      <c r="BO56" s="97">
        <f>+Tabela1107[[#This Row],[PIS]]+Tabela1107[[#This Row],[COFINS]]+Tabela1107[[#This Row],[CONTRIB. FOLHA]]+Tabela1107[[#This Row],[TRIBUTOS S/ LUCRO]]+Tabela1107[[#This Row],[OUTROS]]+Tabela1107[[#This Row],[MS]]</f>
        <v>24.740000000000002</v>
      </c>
      <c r="BP56" s="97">
        <f>+Tabela1107[[#This Row],[PIS]]+Tabela1107[[#This Row],[COFINS]]+Tabela1107[[#This Row],[CONTRIB. FOLHA]]+Tabela1107[[#This Row],[TRIBUTOS S/ LUCRO]]+Tabela1107[[#This Row],[OUTROS]]+Tabela1107[[#This Row],[DF]]</f>
        <v>24.740000000000002</v>
      </c>
      <c r="BQ56" s="97">
        <f>+Tabela1107[[#This Row],[PIS]]+Tabela1107[[#This Row],[COFINS]]+Tabela1107[[#This Row],[CONTRIB. FOLHA]]+Tabela1107[[#This Row],[TRIBUTOS S/ LUCRO]]+Tabela1107[[#This Row],[OUTROS]]+Tabela1107[[#This Row],[BA]]</f>
        <v>24.740000000000002</v>
      </c>
      <c r="BR56" s="97">
        <f>+Tabela1107[[#This Row],[PIS]]+Tabela1107[[#This Row],[COFINS]]+Tabela1107[[#This Row],[CONTRIB. FOLHA]]+Tabela1107[[#This Row],[TRIBUTOS S/ LUCRO]]+Tabela1107[[#This Row],[OUTROS]]+Tabela1107[[#This Row],[BA]]</f>
        <v>24.740000000000002</v>
      </c>
      <c r="BS56" s="97">
        <f>+Tabela1107[[#This Row],[PIS]]+Tabela1107[[#This Row],[COFINS]]+Tabela1107[[#This Row],[CONTRIB. FOLHA]]+Tabela1107[[#This Row],[TRIBUTOS S/ LUCRO]]+Tabela1107[[#This Row],[OUTROS]]+Tabela1107[[#This Row],[PE]]</f>
        <v>24.740000000000002</v>
      </c>
      <c r="BT56" s="97">
        <f>+Tabela1107[[#This Row],[PIS]]+Tabela1107[[#This Row],[COFINS]]+Tabela1107[[#This Row],[CONTRIB. FOLHA]]+Tabela1107[[#This Row],[TRIBUTOS S/ LUCRO]]+Tabela1107[[#This Row],[OUTROS]]+Tabela1107[[#This Row],[PA]]</f>
        <v>24.740000000000002</v>
      </c>
      <c r="BU56" s="97">
        <f>+Tabela1107[[#This Row],[PIS]]+Tabela1107[[#This Row],[COFINS]]+Tabela1107[[#This Row],[CONTRIB. FOLHA]]+Tabela1107[[#This Row],[TRIBUTOS S/ LUCRO]]+Tabela1107[[#This Row],[OUTROS]]+Tabela1107[[#This Row],[AM]]</f>
        <v>24.740000000000002</v>
      </c>
      <c r="BV56" s="97">
        <f>AVERAGE(Tabela1107[[#This Row],[TOTAL SP]:[TOTAL AM]])</f>
        <v>24.677500000000006</v>
      </c>
      <c r="BW56" s="97"/>
      <c r="BX56" s="97"/>
    </row>
    <row r="57" spans="2:76" x14ac:dyDescent="0.25">
      <c r="B57" s="89">
        <v>26020</v>
      </c>
      <c r="C57" s="106" t="s">
        <v>13183</v>
      </c>
      <c r="D57" s="89"/>
      <c r="E57" s="89">
        <v>20140626</v>
      </c>
      <c r="F57" s="66" t="s">
        <v>21803</v>
      </c>
      <c r="G57" s="98" t="s">
        <v>21924</v>
      </c>
      <c r="H57" s="98" t="s">
        <v>21927</v>
      </c>
      <c r="I57" s="89" t="s">
        <v>21912</v>
      </c>
      <c r="J57" s="89" t="s">
        <v>25</v>
      </c>
      <c r="K57" s="89"/>
      <c r="L57" s="89" t="s">
        <v>4278</v>
      </c>
      <c r="M57" s="89" t="s">
        <v>4172</v>
      </c>
      <c r="N57" s="89" t="s">
        <v>4492</v>
      </c>
      <c r="O57" s="89" t="s">
        <v>4496</v>
      </c>
      <c r="P57" s="89" t="s">
        <v>4496</v>
      </c>
      <c r="Q57" s="89"/>
      <c r="R57" s="89" t="s">
        <v>21929</v>
      </c>
      <c r="S57" s="89" t="s">
        <v>21610</v>
      </c>
      <c r="T57" s="98" t="s">
        <v>21611</v>
      </c>
      <c r="U57" s="89" t="str">
        <f>TRIM('Carga Tributária doenças Po (2'!$L57)</f>
        <v>ACIDO ACETILSALICILICO</v>
      </c>
      <c r="V57" s="89">
        <f>SUMIFS('Tabela Federal'!$E$4:$E$2069,'Tabela Federal'!$D$4:$D$2069,'Carga Tributária doenças Po (2'!$L57)</f>
        <v>4</v>
      </c>
      <c r="W57" s="89">
        <f>SUMIFS('Tabela Federal'!$E$4:$E$2069,'Tabela Federal'!$D$4:$D$2069,'Carga Tributária doenças Po (2'!$M57)</f>
        <v>0</v>
      </c>
      <c r="X57" s="89">
        <f>SUMIFS('Tabela Federal'!$E$4:$E$2069,'Tabela Federal'!$D$4:$D$2069,'Carga Tributária doenças Po (2'!$N57)</f>
        <v>0</v>
      </c>
      <c r="Y57" s="89">
        <f>SUMIFS('Tabela Federal'!$E$4:$E$2069,'Tabela Federal'!$D$4:$D$2069,'Carga Tributária doenças Po (2'!$O57)</f>
        <v>0</v>
      </c>
      <c r="Z57" s="92" t="str">
        <f>VLOOKUP('Carga Tributária doenças Po (2'!$AD57,'Carga Tributária doenças Po (2'!$CA$12:$CC$16,2,0)</f>
        <v>-</v>
      </c>
      <c r="AA57" s="89" t="s">
        <v>21930</v>
      </c>
      <c r="AB57" s="89" t="s">
        <v>21928</v>
      </c>
      <c r="AC57" s="89" t="s">
        <v>21740</v>
      </c>
      <c r="AD57" s="93" t="s">
        <v>19523</v>
      </c>
      <c r="AE57" s="92" t="s">
        <v>4</v>
      </c>
      <c r="AF57" s="92" t="s">
        <v>3</v>
      </c>
      <c r="AG57" s="94">
        <v>691593</v>
      </c>
      <c r="AH57" s="95">
        <v>4067077</v>
      </c>
      <c r="AI57" s="95">
        <v>9289265.9499999993</v>
      </c>
      <c r="AJ57" s="89" t="s">
        <v>40</v>
      </c>
      <c r="AK57" s="89">
        <f>IF('Carga Tributária doenças Po (2'!$Z57="+",0,SUMIFS(PISCOFINS!$I$3:$I$10518,PISCOFINS!$C$3:$C$10518,'Carga Tributária doenças Po (2'!$C57))</f>
        <v>2.1</v>
      </c>
      <c r="AL57" s="89">
        <f>IF('Carga Tributária doenças Po (2'!$Z57="+",0,SUMIFS(PISCOFINS!$H$3:$H$10518,PISCOFINS!$C$3:$C$10518,'Carga Tributária doenças Po (2'!$C57))</f>
        <v>9.9</v>
      </c>
      <c r="AM57" s="95">
        <v>3.27</v>
      </c>
      <c r="AN57" s="95">
        <v>3.12</v>
      </c>
      <c r="AO57" s="95">
        <v>1.35</v>
      </c>
      <c r="AP57" s="96">
        <v>18</v>
      </c>
      <c r="AQ57" s="96">
        <v>12</v>
      </c>
      <c r="AR57" s="96">
        <v>17</v>
      </c>
      <c r="AS57" s="97">
        <v>17</v>
      </c>
      <c r="AT57" s="97">
        <v>19</v>
      </c>
      <c r="AU57" s="97">
        <v>18</v>
      </c>
      <c r="AV57" s="97">
        <v>17</v>
      </c>
      <c r="AW57" s="97">
        <v>17</v>
      </c>
      <c r="AX57" s="97">
        <v>17</v>
      </c>
      <c r="AY57" s="97">
        <v>17</v>
      </c>
      <c r="AZ57" s="97">
        <v>17</v>
      </c>
      <c r="BA57" s="97">
        <v>17</v>
      </c>
      <c r="BB57" s="97">
        <v>17</v>
      </c>
      <c r="BC57" s="97">
        <v>17</v>
      </c>
      <c r="BD57" s="97">
        <v>17</v>
      </c>
      <c r="BE57" s="97">
        <v>17</v>
      </c>
      <c r="BF57" s="97">
        <f>+Tabela1107[[#This Row],[PIS]]+Tabela1107[[#This Row],[COFINS]]+Tabela1107[[#This Row],[CONTRIB. FOLHA]]+Tabela1107[[#This Row],[TRIBUTOS S/ LUCRO]]+Tabela1107[[#This Row],[OUTROS]]+Tabela1107[[#This Row],[SP]]</f>
        <v>37.74</v>
      </c>
      <c r="BG57" s="97">
        <f>+Tabela1107[[#This Row],[PIS]]+Tabela1107[[#This Row],[COFINS]]+Tabela1107[[#This Row],[CONTRIB. FOLHA]]+Tabela1107[[#This Row],[TRIBUTOS S/ LUCRO]]+Tabela1107[[#This Row],[OUTROS]]+Tabela1107[[#This Row],[PR]]</f>
        <v>31.740000000000002</v>
      </c>
      <c r="BH57" s="97">
        <f>+Tabela1107[[#This Row],[PIS]]+Tabela1107[[#This Row],[COFINS]]+Tabela1107[[#This Row],[CONTRIB. FOLHA]]+Tabela1107[[#This Row],[TRIBUTOS S/ LUCRO]]+Tabela1107[[#This Row],[OUTROS]]+Tabela1107[[#This Row],[SC]]</f>
        <v>36.74</v>
      </c>
      <c r="BI57" s="97">
        <f>+Tabela1107[[#This Row],[PIS]]+Tabela1107[[#This Row],[COFINS]]+Tabela1107[[#This Row],[CONTRIB. FOLHA]]+Tabela1107[[#This Row],[TRIBUTOS S/ LUCRO]]+Tabela1107[[#This Row],[OUTROS]]+Tabela1107[[#This Row],[RS]]</f>
        <v>36.74</v>
      </c>
      <c r="BJ57" s="97">
        <f>+Tabela1107[[#This Row],[PIS]]+Tabela1107[[#This Row],[COFINS]]+Tabela1107[[#This Row],[CONTRIB. FOLHA]]+Tabela1107[[#This Row],[TRIBUTOS S/ LUCRO]]+Tabela1107[[#This Row],[OUTROS]]+Tabela1107[[#This Row],[RJ]]</f>
        <v>38.74</v>
      </c>
      <c r="BK57" s="97">
        <f>+Tabela1107[[#This Row],[PIS]]+Tabela1107[[#This Row],[COFINS]]+Tabela1107[[#This Row],[CONTRIB. FOLHA]]+Tabela1107[[#This Row],[TRIBUTOS S/ LUCRO]]+Tabela1107[[#This Row],[OUTROS]]+Tabela1107[[#This Row],[MG]]</f>
        <v>37.74</v>
      </c>
      <c r="BL57" s="97">
        <f>+Tabela1107[[#This Row],[PIS]]+Tabela1107[[#This Row],[COFINS]]+Tabela1107[[#This Row],[CONTRIB. FOLHA]]+Tabela1107[[#This Row],[TRIBUTOS S/ LUCRO]]+Tabela1107[[#This Row],[OUTROS]]+Tabela1107[[#This Row],[ES]]</f>
        <v>36.74</v>
      </c>
      <c r="BM57" s="97">
        <f>+Tabela1107[[#This Row],[PIS]]+Tabela1107[[#This Row],[COFINS]]+Tabela1107[[#This Row],[CONTRIB. FOLHA]]+Tabela1107[[#This Row],[TRIBUTOS S/ LUCRO]]+Tabela1107[[#This Row],[OUTROS]]+Tabela1107[[#This Row],[GO]]</f>
        <v>36.74</v>
      </c>
      <c r="BN57" s="97">
        <f>+Tabela1107[[#This Row],[PIS]]+Tabela1107[[#This Row],[COFINS]]+Tabela1107[[#This Row],[CONTRIB. FOLHA]]+Tabela1107[[#This Row],[TRIBUTOS S/ LUCRO]]+Tabela1107[[#This Row],[OUTROS]]+Tabela1107[[#This Row],[MT]]</f>
        <v>36.74</v>
      </c>
      <c r="BO57" s="97">
        <f>+Tabela1107[[#This Row],[PIS]]+Tabela1107[[#This Row],[COFINS]]+Tabela1107[[#This Row],[CONTRIB. FOLHA]]+Tabela1107[[#This Row],[TRIBUTOS S/ LUCRO]]+Tabela1107[[#This Row],[OUTROS]]+Tabela1107[[#This Row],[MS]]</f>
        <v>36.74</v>
      </c>
      <c r="BP57" s="97">
        <f>+Tabela1107[[#This Row],[PIS]]+Tabela1107[[#This Row],[COFINS]]+Tabela1107[[#This Row],[CONTRIB. FOLHA]]+Tabela1107[[#This Row],[TRIBUTOS S/ LUCRO]]+Tabela1107[[#This Row],[OUTROS]]+Tabela1107[[#This Row],[DF]]</f>
        <v>36.74</v>
      </c>
      <c r="BQ57" s="97">
        <f>+Tabela1107[[#This Row],[PIS]]+Tabela1107[[#This Row],[COFINS]]+Tabela1107[[#This Row],[CONTRIB. FOLHA]]+Tabela1107[[#This Row],[TRIBUTOS S/ LUCRO]]+Tabela1107[[#This Row],[OUTROS]]+Tabela1107[[#This Row],[BA]]</f>
        <v>36.74</v>
      </c>
      <c r="BR57" s="97">
        <f>+Tabela1107[[#This Row],[PIS]]+Tabela1107[[#This Row],[COFINS]]+Tabela1107[[#This Row],[CONTRIB. FOLHA]]+Tabela1107[[#This Row],[TRIBUTOS S/ LUCRO]]+Tabela1107[[#This Row],[OUTROS]]+Tabela1107[[#This Row],[BA]]</f>
        <v>36.74</v>
      </c>
      <c r="BS57" s="97">
        <f>+Tabela1107[[#This Row],[PIS]]+Tabela1107[[#This Row],[COFINS]]+Tabela1107[[#This Row],[CONTRIB. FOLHA]]+Tabela1107[[#This Row],[TRIBUTOS S/ LUCRO]]+Tabela1107[[#This Row],[OUTROS]]+Tabela1107[[#This Row],[PE]]</f>
        <v>36.74</v>
      </c>
      <c r="BT57" s="97">
        <f>+Tabela1107[[#This Row],[PIS]]+Tabela1107[[#This Row],[COFINS]]+Tabela1107[[#This Row],[CONTRIB. FOLHA]]+Tabela1107[[#This Row],[TRIBUTOS S/ LUCRO]]+Tabela1107[[#This Row],[OUTROS]]+Tabela1107[[#This Row],[PA]]</f>
        <v>36.74</v>
      </c>
      <c r="BU57" s="97">
        <f>+Tabela1107[[#This Row],[PIS]]+Tabela1107[[#This Row],[COFINS]]+Tabela1107[[#This Row],[CONTRIB. FOLHA]]+Tabela1107[[#This Row],[TRIBUTOS S/ LUCRO]]+Tabela1107[[#This Row],[OUTROS]]+Tabela1107[[#This Row],[AM]]</f>
        <v>36.74</v>
      </c>
      <c r="BV57" s="97">
        <f>AVERAGE(Tabela1107[[#This Row],[TOTAL SP]:[TOTAL AM]])</f>
        <v>36.677500000000002</v>
      </c>
      <c r="BW57" s="97"/>
      <c r="BX57" s="97"/>
    </row>
    <row r="58" spans="2:76" x14ac:dyDescent="0.25">
      <c r="B58" s="89">
        <v>7633</v>
      </c>
      <c r="C58" s="91" t="s">
        <v>13159</v>
      </c>
      <c r="D58" s="89"/>
      <c r="E58" s="89">
        <v>20140626</v>
      </c>
      <c r="F58" s="89" t="s">
        <v>20838</v>
      </c>
      <c r="G58" s="89" t="s">
        <v>20839</v>
      </c>
      <c r="H58" s="89" t="s">
        <v>20840</v>
      </c>
      <c r="I58" s="89" t="s">
        <v>20841</v>
      </c>
      <c r="J58" s="89" t="s">
        <v>582</v>
      </c>
      <c r="K58" s="89" t="s">
        <v>2471</v>
      </c>
      <c r="L58" s="89" t="s">
        <v>2626</v>
      </c>
      <c r="M58" s="89" t="s">
        <v>4496</v>
      </c>
      <c r="N58" s="89" t="s">
        <v>4496</v>
      </c>
      <c r="O58" s="89" t="s">
        <v>4496</v>
      </c>
      <c r="P58" s="89" t="s">
        <v>4496</v>
      </c>
      <c r="Q58" s="89"/>
      <c r="R58" s="89" t="s">
        <v>328</v>
      </c>
      <c r="S58" s="89" t="s">
        <v>21580</v>
      </c>
      <c r="T58" s="89" t="s">
        <v>21581</v>
      </c>
      <c r="U58" s="89" t="str">
        <f>TRIM('Carga Tributária doenças Po (2'!$L58)</f>
        <v>FUROATO DE FLUTICASONA</v>
      </c>
      <c r="V58" s="89">
        <f>SUMIFS('Tabela Federal'!$E$4:$E$2069,'Tabela Federal'!$D$4:$D$2069,'Carga Tributária doenças Po (2'!$L58)</f>
        <v>0</v>
      </c>
      <c r="W58" s="89">
        <f>SUMIFS('Tabela Federal'!$E$4:$E$2069,'Tabela Federal'!$D$4:$D$2069,'Carga Tributária doenças Po (2'!$M58)</f>
        <v>0</v>
      </c>
      <c r="X58" s="89">
        <f>SUMIFS('Tabela Federal'!$E$4:$E$2069,'Tabela Federal'!$D$4:$D$2069,'Carga Tributária doenças Po (2'!$N58)</f>
        <v>0</v>
      </c>
      <c r="Y58" s="89">
        <f>SUMIFS('Tabela Federal'!$E$4:$E$2069,'Tabela Federal'!$D$4:$D$2069,'Carga Tributária doenças Po (2'!$O58)</f>
        <v>0</v>
      </c>
      <c r="Z58" s="92" t="str">
        <f>VLOOKUP('Carga Tributária doenças Po (2'!$AD58,'Carga Tributária doenças Po (2'!$CA$12:$CC$16,2,0)</f>
        <v>-</v>
      </c>
      <c r="AA58" s="89" t="s">
        <v>583</v>
      </c>
      <c r="AB58" s="89" t="s">
        <v>21798</v>
      </c>
      <c r="AC58" s="89" t="s">
        <v>21721</v>
      </c>
      <c r="AD58" s="93" t="s">
        <v>19523</v>
      </c>
      <c r="AE58" s="92" t="s">
        <v>4</v>
      </c>
      <c r="AF58" s="92" t="s">
        <v>3</v>
      </c>
      <c r="AG58" s="94">
        <v>2644823</v>
      </c>
      <c r="AH58" s="95">
        <v>35607325</v>
      </c>
      <c r="AI58" s="95">
        <v>81031768.299999997</v>
      </c>
      <c r="AJ58" s="89" t="s">
        <v>611</v>
      </c>
      <c r="AK58" s="89">
        <f>IF('Carga Tributária doenças Po (2'!$Z58="+",0,SUMIFS(PISCOFINS!$I$3:$I$10518,PISCOFINS!$C$3:$C$10518,'Carga Tributária doenças Po (2'!$C58))</f>
        <v>2.1</v>
      </c>
      <c r="AL58" s="89">
        <f>IF('Carga Tributária doenças Po (2'!$Z58="+",0,SUMIFS(PISCOFINS!$H$3:$H$10518,PISCOFINS!$C$3:$C$10518,'Carga Tributária doenças Po (2'!$C58))</f>
        <v>9.9</v>
      </c>
      <c r="AM58" s="95">
        <v>3.27</v>
      </c>
      <c r="AN58" s="95">
        <v>3.12</v>
      </c>
      <c r="AO58" s="95">
        <v>1.35</v>
      </c>
      <c r="AP58" s="96">
        <v>18</v>
      </c>
      <c r="AQ58" s="96">
        <v>12</v>
      </c>
      <c r="AR58" s="96">
        <v>17</v>
      </c>
      <c r="AS58" s="97">
        <v>17</v>
      </c>
      <c r="AT58" s="97">
        <v>19</v>
      </c>
      <c r="AU58" s="97">
        <v>18</v>
      </c>
      <c r="AV58" s="97">
        <v>17</v>
      </c>
      <c r="AW58" s="97">
        <v>17</v>
      </c>
      <c r="AX58" s="97">
        <v>17</v>
      </c>
      <c r="AY58" s="97">
        <v>17</v>
      </c>
      <c r="AZ58" s="97">
        <v>17</v>
      </c>
      <c r="BA58" s="97">
        <v>17</v>
      </c>
      <c r="BB58" s="97">
        <v>17</v>
      </c>
      <c r="BC58" s="97">
        <v>17</v>
      </c>
      <c r="BD58" s="97">
        <v>17</v>
      </c>
      <c r="BE58" s="97">
        <v>17</v>
      </c>
      <c r="BF58" s="97">
        <f>+Tabela1107[[#This Row],[PIS]]+Tabela1107[[#This Row],[COFINS]]+Tabela1107[[#This Row],[CONTRIB. FOLHA]]+Tabela1107[[#This Row],[TRIBUTOS S/ LUCRO]]+Tabela1107[[#This Row],[OUTROS]]+Tabela1107[[#This Row],[SP]]</f>
        <v>37.74</v>
      </c>
      <c r="BG58" s="97">
        <f>+Tabela1107[[#This Row],[PIS]]+Tabela1107[[#This Row],[COFINS]]+Tabela1107[[#This Row],[CONTRIB. FOLHA]]+Tabela1107[[#This Row],[TRIBUTOS S/ LUCRO]]+Tabela1107[[#This Row],[OUTROS]]+Tabela1107[[#This Row],[PR]]</f>
        <v>31.740000000000002</v>
      </c>
      <c r="BH58" s="97">
        <f>+Tabela1107[[#This Row],[PIS]]+Tabela1107[[#This Row],[COFINS]]+Tabela1107[[#This Row],[CONTRIB. FOLHA]]+Tabela1107[[#This Row],[TRIBUTOS S/ LUCRO]]+Tabela1107[[#This Row],[OUTROS]]+Tabela1107[[#This Row],[SC]]</f>
        <v>36.74</v>
      </c>
      <c r="BI58" s="97">
        <f>+Tabela1107[[#This Row],[PIS]]+Tabela1107[[#This Row],[COFINS]]+Tabela1107[[#This Row],[CONTRIB. FOLHA]]+Tabela1107[[#This Row],[TRIBUTOS S/ LUCRO]]+Tabela1107[[#This Row],[OUTROS]]+Tabela1107[[#This Row],[RS]]</f>
        <v>36.74</v>
      </c>
      <c r="BJ58" s="97">
        <f>+Tabela1107[[#This Row],[PIS]]+Tabela1107[[#This Row],[COFINS]]+Tabela1107[[#This Row],[CONTRIB. FOLHA]]+Tabela1107[[#This Row],[TRIBUTOS S/ LUCRO]]+Tabela1107[[#This Row],[OUTROS]]+Tabela1107[[#This Row],[RJ]]</f>
        <v>38.74</v>
      </c>
      <c r="BK58" s="97">
        <f>+Tabela1107[[#This Row],[PIS]]+Tabela1107[[#This Row],[COFINS]]+Tabela1107[[#This Row],[CONTRIB. FOLHA]]+Tabela1107[[#This Row],[TRIBUTOS S/ LUCRO]]+Tabela1107[[#This Row],[OUTROS]]+Tabela1107[[#This Row],[MG]]</f>
        <v>37.74</v>
      </c>
      <c r="BL58" s="97">
        <f>+Tabela1107[[#This Row],[PIS]]+Tabela1107[[#This Row],[COFINS]]+Tabela1107[[#This Row],[CONTRIB. FOLHA]]+Tabela1107[[#This Row],[TRIBUTOS S/ LUCRO]]+Tabela1107[[#This Row],[OUTROS]]+Tabela1107[[#This Row],[ES]]</f>
        <v>36.74</v>
      </c>
      <c r="BM58" s="97">
        <f>+Tabela1107[[#This Row],[PIS]]+Tabela1107[[#This Row],[COFINS]]+Tabela1107[[#This Row],[CONTRIB. FOLHA]]+Tabela1107[[#This Row],[TRIBUTOS S/ LUCRO]]+Tabela1107[[#This Row],[OUTROS]]+Tabela1107[[#This Row],[GO]]</f>
        <v>36.74</v>
      </c>
      <c r="BN58" s="97">
        <f>+Tabela1107[[#This Row],[PIS]]+Tabela1107[[#This Row],[COFINS]]+Tabela1107[[#This Row],[CONTRIB. FOLHA]]+Tabela1107[[#This Row],[TRIBUTOS S/ LUCRO]]+Tabela1107[[#This Row],[OUTROS]]+Tabela1107[[#This Row],[MT]]</f>
        <v>36.74</v>
      </c>
      <c r="BO58" s="97">
        <f>+Tabela1107[[#This Row],[PIS]]+Tabela1107[[#This Row],[COFINS]]+Tabela1107[[#This Row],[CONTRIB. FOLHA]]+Tabela1107[[#This Row],[TRIBUTOS S/ LUCRO]]+Tabela1107[[#This Row],[OUTROS]]+Tabela1107[[#This Row],[MS]]</f>
        <v>36.74</v>
      </c>
      <c r="BP58" s="97">
        <f>+Tabela1107[[#This Row],[PIS]]+Tabela1107[[#This Row],[COFINS]]+Tabela1107[[#This Row],[CONTRIB. FOLHA]]+Tabela1107[[#This Row],[TRIBUTOS S/ LUCRO]]+Tabela1107[[#This Row],[OUTROS]]+Tabela1107[[#This Row],[DF]]</f>
        <v>36.74</v>
      </c>
      <c r="BQ58" s="97">
        <f>+Tabela1107[[#This Row],[PIS]]+Tabela1107[[#This Row],[COFINS]]+Tabela1107[[#This Row],[CONTRIB. FOLHA]]+Tabela1107[[#This Row],[TRIBUTOS S/ LUCRO]]+Tabela1107[[#This Row],[OUTROS]]+Tabela1107[[#This Row],[BA]]</f>
        <v>36.74</v>
      </c>
      <c r="BR58" s="97">
        <f>+Tabela1107[[#This Row],[PIS]]+Tabela1107[[#This Row],[COFINS]]+Tabela1107[[#This Row],[CONTRIB. FOLHA]]+Tabela1107[[#This Row],[TRIBUTOS S/ LUCRO]]+Tabela1107[[#This Row],[OUTROS]]+Tabela1107[[#This Row],[BA]]</f>
        <v>36.74</v>
      </c>
      <c r="BS58" s="97">
        <f>+Tabela1107[[#This Row],[PIS]]+Tabela1107[[#This Row],[COFINS]]+Tabela1107[[#This Row],[CONTRIB. FOLHA]]+Tabela1107[[#This Row],[TRIBUTOS S/ LUCRO]]+Tabela1107[[#This Row],[OUTROS]]+Tabela1107[[#This Row],[PE]]</f>
        <v>36.74</v>
      </c>
      <c r="BT58" s="97">
        <f>+Tabela1107[[#This Row],[PIS]]+Tabela1107[[#This Row],[COFINS]]+Tabela1107[[#This Row],[CONTRIB. FOLHA]]+Tabela1107[[#This Row],[TRIBUTOS S/ LUCRO]]+Tabela1107[[#This Row],[OUTROS]]+Tabela1107[[#This Row],[PA]]</f>
        <v>36.74</v>
      </c>
      <c r="BU58" s="97">
        <f>+Tabela1107[[#This Row],[PIS]]+Tabela1107[[#This Row],[COFINS]]+Tabela1107[[#This Row],[CONTRIB. FOLHA]]+Tabela1107[[#This Row],[TRIBUTOS S/ LUCRO]]+Tabela1107[[#This Row],[OUTROS]]+Tabela1107[[#This Row],[AM]]</f>
        <v>36.74</v>
      </c>
      <c r="BV58" s="97">
        <f>AVERAGE(Tabela1107[[#This Row],[TOTAL SP]:[TOTAL AM]])</f>
        <v>36.677500000000002</v>
      </c>
      <c r="BW58" s="97"/>
      <c r="BX58" s="97"/>
    </row>
    <row r="59" spans="2:76" x14ac:dyDescent="0.25">
      <c r="B59" s="89">
        <v>7633</v>
      </c>
      <c r="C59" s="91" t="s">
        <v>13159</v>
      </c>
      <c r="D59" s="89"/>
      <c r="E59" s="89">
        <v>20140626</v>
      </c>
      <c r="F59" s="89" t="s">
        <v>20838</v>
      </c>
      <c r="G59" s="89" t="s">
        <v>20839</v>
      </c>
      <c r="H59" s="89" t="s">
        <v>20840</v>
      </c>
      <c r="I59" s="89" t="s">
        <v>20841</v>
      </c>
      <c r="J59" s="89" t="s">
        <v>582</v>
      </c>
      <c r="K59" s="89" t="s">
        <v>2471</v>
      </c>
      <c r="L59" s="89" t="s">
        <v>2626</v>
      </c>
      <c r="M59" s="89" t="s">
        <v>4496</v>
      </c>
      <c r="N59" s="89" t="s">
        <v>4496</v>
      </c>
      <c r="O59" s="89" t="s">
        <v>4496</v>
      </c>
      <c r="P59" s="89" t="s">
        <v>4496</v>
      </c>
      <c r="Q59" s="89"/>
      <c r="R59" s="89" t="s">
        <v>328</v>
      </c>
      <c r="S59" s="89" t="s">
        <v>21580</v>
      </c>
      <c r="T59" s="89" t="s">
        <v>21581</v>
      </c>
      <c r="U59" s="89" t="str">
        <f>TRIM('Carga Tributária doenças Po (2'!$L59)</f>
        <v>FUROATO DE FLUTICASONA</v>
      </c>
      <c r="V59" s="89">
        <f>SUMIFS('Tabela Federal'!$E$4:$E$2069,'Tabela Federal'!$D$4:$D$2069,'Carga Tributária doenças Po (2'!$L59)</f>
        <v>0</v>
      </c>
      <c r="W59" s="89">
        <f>SUMIFS('Tabela Federal'!$E$4:$E$2069,'Tabela Federal'!$D$4:$D$2069,'Carga Tributária doenças Po (2'!$M59)</f>
        <v>0</v>
      </c>
      <c r="X59" s="89">
        <f>SUMIFS('Tabela Federal'!$E$4:$E$2069,'Tabela Federal'!$D$4:$D$2069,'Carga Tributária doenças Po (2'!$N59)</f>
        <v>0</v>
      </c>
      <c r="Y59" s="89">
        <f>SUMIFS('Tabela Federal'!$E$4:$E$2069,'Tabela Federal'!$D$4:$D$2069,'Carga Tributária doenças Po (2'!$O59)</f>
        <v>0</v>
      </c>
      <c r="Z59" s="92" t="str">
        <f>VLOOKUP('Carga Tributária doenças Po (2'!$AD59,'Carga Tributária doenças Po (2'!$CA$12:$CC$16,2,0)</f>
        <v>-</v>
      </c>
      <c r="AA59" s="89" t="s">
        <v>583</v>
      </c>
      <c r="AB59" s="89" t="s">
        <v>21798</v>
      </c>
      <c r="AC59" s="89" t="s">
        <v>21721</v>
      </c>
      <c r="AD59" s="93" t="s">
        <v>19523</v>
      </c>
      <c r="AE59" s="92" t="s">
        <v>4</v>
      </c>
      <c r="AF59" s="92" t="s">
        <v>3</v>
      </c>
      <c r="AG59" s="94">
        <v>2644823</v>
      </c>
      <c r="AH59" s="95">
        <v>35607325</v>
      </c>
      <c r="AI59" s="95">
        <v>81031768.299999997</v>
      </c>
      <c r="AJ59" s="89" t="s">
        <v>589</v>
      </c>
      <c r="AK59" s="89">
        <f>IF('Carga Tributária doenças Po (2'!$Z59="+",0,SUMIFS(PISCOFINS!$I$3:$I$10518,PISCOFINS!$C$3:$C$10518,'Carga Tributária doenças Po (2'!$C59))</f>
        <v>2.1</v>
      </c>
      <c r="AL59" s="89">
        <f>IF('Carga Tributária doenças Po (2'!$Z59="+",0,SUMIFS(PISCOFINS!$H$3:$H$10518,PISCOFINS!$C$3:$C$10518,'Carga Tributária doenças Po (2'!$C59))</f>
        <v>9.9</v>
      </c>
      <c r="AM59" s="95">
        <v>3.27</v>
      </c>
      <c r="AN59" s="95">
        <v>3.12</v>
      </c>
      <c r="AO59" s="95">
        <v>1.35</v>
      </c>
      <c r="AP59" s="96">
        <v>18</v>
      </c>
      <c r="AQ59" s="96">
        <v>12</v>
      </c>
      <c r="AR59" s="96">
        <v>17</v>
      </c>
      <c r="AS59" s="97">
        <v>17</v>
      </c>
      <c r="AT59" s="97">
        <v>19</v>
      </c>
      <c r="AU59" s="97">
        <v>18</v>
      </c>
      <c r="AV59" s="97">
        <v>17</v>
      </c>
      <c r="AW59" s="97">
        <v>17</v>
      </c>
      <c r="AX59" s="97">
        <v>17</v>
      </c>
      <c r="AY59" s="97">
        <v>17</v>
      </c>
      <c r="AZ59" s="97">
        <v>17</v>
      </c>
      <c r="BA59" s="97">
        <v>17</v>
      </c>
      <c r="BB59" s="97">
        <v>17</v>
      </c>
      <c r="BC59" s="97">
        <v>17</v>
      </c>
      <c r="BD59" s="97">
        <v>17</v>
      </c>
      <c r="BE59" s="97">
        <v>17</v>
      </c>
      <c r="BF59" s="97">
        <f>+Tabela1107[[#This Row],[PIS]]+Tabela1107[[#This Row],[COFINS]]+Tabela1107[[#This Row],[CONTRIB. FOLHA]]+Tabela1107[[#This Row],[TRIBUTOS S/ LUCRO]]+Tabela1107[[#This Row],[OUTROS]]+Tabela1107[[#This Row],[SP]]</f>
        <v>37.74</v>
      </c>
      <c r="BG59" s="97">
        <f>+Tabela1107[[#This Row],[PIS]]+Tabela1107[[#This Row],[COFINS]]+Tabela1107[[#This Row],[CONTRIB. FOLHA]]+Tabela1107[[#This Row],[TRIBUTOS S/ LUCRO]]+Tabela1107[[#This Row],[OUTROS]]+Tabela1107[[#This Row],[PR]]</f>
        <v>31.740000000000002</v>
      </c>
      <c r="BH59" s="97">
        <f>+Tabela1107[[#This Row],[PIS]]+Tabela1107[[#This Row],[COFINS]]+Tabela1107[[#This Row],[CONTRIB. FOLHA]]+Tabela1107[[#This Row],[TRIBUTOS S/ LUCRO]]+Tabela1107[[#This Row],[OUTROS]]+Tabela1107[[#This Row],[SC]]</f>
        <v>36.74</v>
      </c>
      <c r="BI59" s="97">
        <f>+Tabela1107[[#This Row],[PIS]]+Tabela1107[[#This Row],[COFINS]]+Tabela1107[[#This Row],[CONTRIB. FOLHA]]+Tabela1107[[#This Row],[TRIBUTOS S/ LUCRO]]+Tabela1107[[#This Row],[OUTROS]]+Tabela1107[[#This Row],[RS]]</f>
        <v>36.74</v>
      </c>
      <c r="BJ59" s="97">
        <f>+Tabela1107[[#This Row],[PIS]]+Tabela1107[[#This Row],[COFINS]]+Tabela1107[[#This Row],[CONTRIB. FOLHA]]+Tabela1107[[#This Row],[TRIBUTOS S/ LUCRO]]+Tabela1107[[#This Row],[OUTROS]]+Tabela1107[[#This Row],[RJ]]</f>
        <v>38.74</v>
      </c>
      <c r="BK59" s="97">
        <f>+Tabela1107[[#This Row],[PIS]]+Tabela1107[[#This Row],[COFINS]]+Tabela1107[[#This Row],[CONTRIB. FOLHA]]+Tabela1107[[#This Row],[TRIBUTOS S/ LUCRO]]+Tabela1107[[#This Row],[OUTROS]]+Tabela1107[[#This Row],[MG]]</f>
        <v>37.74</v>
      </c>
      <c r="BL59" s="97">
        <f>+Tabela1107[[#This Row],[PIS]]+Tabela1107[[#This Row],[COFINS]]+Tabela1107[[#This Row],[CONTRIB. FOLHA]]+Tabela1107[[#This Row],[TRIBUTOS S/ LUCRO]]+Tabela1107[[#This Row],[OUTROS]]+Tabela1107[[#This Row],[ES]]</f>
        <v>36.74</v>
      </c>
      <c r="BM59" s="97">
        <f>+Tabela1107[[#This Row],[PIS]]+Tabela1107[[#This Row],[COFINS]]+Tabela1107[[#This Row],[CONTRIB. FOLHA]]+Tabela1107[[#This Row],[TRIBUTOS S/ LUCRO]]+Tabela1107[[#This Row],[OUTROS]]+Tabela1107[[#This Row],[GO]]</f>
        <v>36.74</v>
      </c>
      <c r="BN59" s="97">
        <f>+Tabela1107[[#This Row],[PIS]]+Tabela1107[[#This Row],[COFINS]]+Tabela1107[[#This Row],[CONTRIB. FOLHA]]+Tabela1107[[#This Row],[TRIBUTOS S/ LUCRO]]+Tabela1107[[#This Row],[OUTROS]]+Tabela1107[[#This Row],[MT]]</f>
        <v>36.74</v>
      </c>
      <c r="BO59" s="97">
        <f>+Tabela1107[[#This Row],[PIS]]+Tabela1107[[#This Row],[COFINS]]+Tabela1107[[#This Row],[CONTRIB. FOLHA]]+Tabela1107[[#This Row],[TRIBUTOS S/ LUCRO]]+Tabela1107[[#This Row],[OUTROS]]+Tabela1107[[#This Row],[MS]]</f>
        <v>36.74</v>
      </c>
      <c r="BP59" s="97">
        <f>+Tabela1107[[#This Row],[PIS]]+Tabela1107[[#This Row],[COFINS]]+Tabela1107[[#This Row],[CONTRIB. FOLHA]]+Tabela1107[[#This Row],[TRIBUTOS S/ LUCRO]]+Tabela1107[[#This Row],[OUTROS]]+Tabela1107[[#This Row],[DF]]</f>
        <v>36.74</v>
      </c>
      <c r="BQ59" s="97">
        <f>+Tabela1107[[#This Row],[PIS]]+Tabela1107[[#This Row],[COFINS]]+Tabela1107[[#This Row],[CONTRIB. FOLHA]]+Tabela1107[[#This Row],[TRIBUTOS S/ LUCRO]]+Tabela1107[[#This Row],[OUTROS]]+Tabela1107[[#This Row],[BA]]</f>
        <v>36.74</v>
      </c>
      <c r="BR59" s="97">
        <f>+Tabela1107[[#This Row],[PIS]]+Tabela1107[[#This Row],[COFINS]]+Tabela1107[[#This Row],[CONTRIB. FOLHA]]+Tabela1107[[#This Row],[TRIBUTOS S/ LUCRO]]+Tabela1107[[#This Row],[OUTROS]]+Tabela1107[[#This Row],[BA]]</f>
        <v>36.74</v>
      </c>
      <c r="BS59" s="97">
        <f>+Tabela1107[[#This Row],[PIS]]+Tabela1107[[#This Row],[COFINS]]+Tabela1107[[#This Row],[CONTRIB. FOLHA]]+Tabela1107[[#This Row],[TRIBUTOS S/ LUCRO]]+Tabela1107[[#This Row],[OUTROS]]+Tabela1107[[#This Row],[PE]]</f>
        <v>36.74</v>
      </c>
      <c r="BT59" s="97">
        <f>+Tabela1107[[#This Row],[PIS]]+Tabela1107[[#This Row],[COFINS]]+Tabela1107[[#This Row],[CONTRIB. FOLHA]]+Tabela1107[[#This Row],[TRIBUTOS S/ LUCRO]]+Tabela1107[[#This Row],[OUTROS]]+Tabela1107[[#This Row],[PA]]</f>
        <v>36.74</v>
      </c>
      <c r="BU59" s="97">
        <f>+Tabela1107[[#This Row],[PIS]]+Tabela1107[[#This Row],[COFINS]]+Tabela1107[[#This Row],[CONTRIB. FOLHA]]+Tabela1107[[#This Row],[TRIBUTOS S/ LUCRO]]+Tabela1107[[#This Row],[OUTROS]]+Tabela1107[[#This Row],[AM]]</f>
        <v>36.74</v>
      </c>
      <c r="BV59" s="97">
        <f>AVERAGE(Tabela1107[[#This Row],[TOTAL SP]:[TOTAL AM]])</f>
        <v>36.677500000000002</v>
      </c>
      <c r="BW59" s="97"/>
      <c r="BX59" s="97"/>
    </row>
    <row r="60" spans="2:76" x14ac:dyDescent="0.25">
      <c r="B60" s="89">
        <v>3160</v>
      </c>
      <c r="C60" s="91" t="s">
        <v>13183</v>
      </c>
      <c r="D60" s="89"/>
      <c r="E60" s="89">
        <v>20140626</v>
      </c>
      <c r="F60" s="89" t="s">
        <v>20357</v>
      </c>
      <c r="G60" s="89" t="s">
        <v>20358</v>
      </c>
      <c r="H60" s="89" t="s">
        <v>20359</v>
      </c>
      <c r="I60" s="89" t="s">
        <v>20360</v>
      </c>
      <c r="J60" s="89" t="s">
        <v>470</v>
      </c>
      <c r="K60" s="89" t="s">
        <v>2472</v>
      </c>
      <c r="L60" s="89" t="s">
        <v>2627</v>
      </c>
      <c r="M60" s="89" t="s">
        <v>4496</v>
      </c>
      <c r="N60" s="89" t="s">
        <v>4496</v>
      </c>
      <c r="O60" s="89" t="s">
        <v>4496</v>
      </c>
      <c r="P60" s="89" t="s">
        <v>4496</v>
      </c>
      <c r="Q60" s="89"/>
      <c r="R60" s="89" t="s">
        <v>466</v>
      </c>
      <c r="S60" s="89" t="s">
        <v>21576</v>
      </c>
      <c r="T60" s="89" t="s">
        <v>21577</v>
      </c>
      <c r="U60" s="89" t="str">
        <f>TRIM('Carga Tributária doenças Po (2'!$L60)</f>
        <v>BRINZOLAMIDA</v>
      </c>
      <c r="V60" s="89">
        <f>SUMIFS('Tabela Federal'!$E$4:$E$2069,'Tabela Federal'!$D$4:$D$2069,'Carga Tributária doenças Po (2'!$L60)</f>
        <v>1</v>
      </c>
      <c r="W60" s="89">
        <f>SUMIFS('Tabela Federal'!$E$4:$E$2069,'Tabela Federal'!$D$4:$D$2069,'Carga Tributária doenças Po (2'!$M60)</f>
        <v>0</v>
      </c>
      <c r="X60" s="89">
        <f>SUMIFS('Tabela Federal'!$E$4:$E$2069,'Tabela Federal'!$D$4:$D$2069,'Carga Tributária doenças Po (2'!$N60)</f>
        <v>0</v>
      </c>
      <c r="Y60" s="89">
        <f>SUMIFS('Tabela Federal'!$E$4:$E$2069,'Tabela Federal'!$D$4:$D$2069,'Carga Tributária doenças Po (2'!$O60)</f>
        <v>0</v>
      </c>
      <c r="Z60" s="92" t="str">
        <f>VLOOKUP('Carga Tributária doenças Po (2'!$AD60,'Carga Tributária doenças Po (2'!$CA$12:$CC$16,2,0)</f>
        <v>+</v>
      </c>
      <c r="AA60" s="89" t="s">
        <v>462</v>
      </c>
      <c r="AB60" s="89" t="s">
        <v>21835</v>
      </c>
      <c r="AC60" s="89" t="s">
        <v>21721</v>
      </c>
      <c r="AD60" s="93" t="s">
        <v>21722</v>
      </c>
      <c r="AE60" s="92" t="s">
        <v>2</v>
      </c>
      <c r="AF60" s="92" t="s">
        <v>23</v>
      </c>
      <c r="AG60" s="94">
        <v>423773</v>
      </c>
      <c r="AH60" s="95">
        <v>7541542</v>
      </c>
      <c r="AI60" s="95">
        <v>17213349.93</v>
      </c>
      <c r="AJ60" s="89" t="s">
        <v>471</v>
      </c>
      <c r="AK60" s="89">
        <f>IF('Carga Tributária doenças Po (2'!$Z60="+",0,SUMIFS(PISCOFINS!$I$3:$I$10518,PISCOFINS!$C$3:$C$10518,'Carga Tributária doenças Po (2'!$C60))</f>
        <v>0</v>
      </c>
      <c r="AL60" s="89">
        <f>IF('Carga Tributária doenças Po (2'!$Z60="+",0,SUMIFS(PISCOFINS!$H$3:$H$10518,PISCOFINS!$C$3:$C$10518,'Carga Tributária doenças Po (2'!$C60))</f>
        <v>0</v>
      </c>
      <c r="AM60" s="95">
        <v>3.27</v>
      </c>
      <c r="AN60" s="95">
        <v>3.12</v>
      </c>
      <c r="AO60" s="95">
        <v>1.35</v>
      </c>
      <c r="AP60" s="96">
        <v>18</v>
      </c>
      <c r="AQ60" s="96">
        <v>12</v>
      </c>
      <c r="AR60" s="96">
        <v>17</v>
      </c>
      <c r="AS60" s="97">
        <v>17</v>
      </c>
      <c r="AT60" s="97">
        <v>19</v>
      </c>
      <c r="AU60" s="97">
        <v>18</v>
      </c>
      <c r="AV60" s="97">
        <v>17</v>
      </c>
      <c r="AW60" s="97">
        <v>17</v>
      </c>
      <c r="AX60" s="97">
        <v>17</v>
      </c>
      <c r="AY60" s="97">
        <v>17</v>
      </c>
      <c r="AZ60" s="97">
        <v>17</v>
      </c>
      <c r="BA60" s="97">
        <v>17</v>
      </c>
      <c r="BB60" s="97">
        <v>17</v>
      </c>
      <c r="BC60" s="97">
        <v>17</v>
      </c>
      <c r="BD60" s="97">
        <v>17</v>
      </c>
      <c r="BE60" s="97">
        <v>17</v>
      </c>
      <c r="BF60" s="97">
        <f>+Tabela1107[[#This Row],[PIS]]+Tabela1107[[#This Row],[COFINS]]+Tabela1107[[#This Row],[CONTRIB. FOLHA]]+Tabela1107[[#This Row],[TRIBUTOS S/ LUCRO]]+Tabela1107[[#This Row],[OUTROS]]+Tabela1107[[#This Row],[SP]]</f>
        <v>25.740000000000002</v>
      </c>
      <c r="BG60" s="97">
        <f>+Tabela1107[[#This Row],[PIS]]+Tabela1107[[#This Row],[COFINS]]+Tabela1107[[#This Row],[CONTRIB. FOLHA]]+Tabela1107[[#This Row],[TRIBUTOS S/ LUCRO]]+Tabela1107[[#This Row],[OUTROS]]+Tabela1107[[#This Row],[PR]]</f>
        <v>19.740000000000002</v>
      </c>
      <c r="BH60" s="97">
        <f>+Tabela1107[[#This Row],[PIS]]+Tabela1107[[#This Row],[COFINS]]+Tabela1107[[#This Row],[CONTRIB. FOLHA]]+Tabela1107[[#This Row],[TRIBUTOS S/ LUCRO]]+Tabela1107[[#This Row],[OUTROS]]+Tabela1107[[#This Row],[SC]]</f>
        <v>24.740000000000002</v>
      </c>
      <c r="BI60" s="97">
        <f>+Tabela1107[[#This Row],[PIS]]+Tabela1107[[#This Row],[COFINS]]+Tabela1107[[#This Row],[CONTRIB. FOLHA]]+Tabela1107[[#This Row],[TRIBUTOS S/ LUCRO]]+Tabela1107[[#This Row],[OUTROS]]+Tabela1107[[#This Row],[RS]]</f>
        <v>24.740000000000002</v>
      </c>
      <c r="BJ60" s="97">
        <f>+Tabela1107[[#This Row],[PIS]]+Tabela1107[[#This Row],[COFINS]]+Tabela1107[[#This Row],[CONTRIB. FOLHA]]+Tabela1107[[#This Row],[TRIBUTOS S/ LUCRO]]+Tabela1107[[#This Row],[OUTROS]]+Tabela1107[[#This Row],[RJ]]</f>
        <v>26.740000000000002</v>
      </c>
      <c r="BK60" s="97">
        <f>+Tabela1107[[#This Row],[PIS]]+Tabela1107[[#This Row],[COFINS]]+Tabela1107[[#This Row],[CONTRIB. FOLHA]]+Tabela1107[[#This Row],[TRIBUTOS S/ LUCRO]]+Tabela1107[[#This Row],[OUTROS]]+Tabela1107[[#This Row],[MG]]</f>
        <v>25.740000000000002</v>
      </c>
      <c r="BL60" s="97">
        <f>+Tabela1107[[#This Row],[PIS]]+Tabela1107[[#This Row],[COFINS]]+Tabela1107[[#This Row],[CONTRIB. FOLHA]]+Tabela1107[[#This Row],[TRIBUTOS S/ LUCRO]]+Tabela1107[[#This Row],[OUTROS]]+Tabela1107[[#This Row],[ES]]</f>
        <v>24.740000000000002</v>
      </c>
      <c r="BM60" s="97">
        <f>+Tabela1107[[#This Row],[PIS]]+Tabela1107[[#This Row],[COFINS]]+Tabela1107[[#This Row],[CONTRIB. FOLHA]]+Tabela1107[[#This Row],[TRIBUTOS S/ LUCRO]]+Tabela1107[[#This Row],[OUTROS]]+Tabela1107[[#This Row],[GO]]</f>
        <v>24.740000000000002</v>
      </c>
      <c r="BN60" s="97">
        <f>+Tabela1107[[#This Row],[PIS]]+Tabela1107[[#This Row],[COFINS]]+Tabela1107[[#This Row],[CONTRIB. FOLHA]]+Tabela1107[[#This Row],[TRIBUTOS S/ LUCRO]]+Tabela1107[[#This Row],[OUTROS]]+Tabela1107[[#This Row],[MT]]</f>
        <v>24.740000000000002</v>
      </c>
      <c r="BO60" s="97">
        <f>+Tabela1107[[#This Row],[PIS]]+Tabela1107[[#This Row],[COFINS]]+Tabela1107[[#This Row],[CONTRIB. FOLHA]]+Tabela1107[[#This Row],[TRIBUTOS S/ LUCRO]]+Tabela1107[[#This Row],[OUTROS]]+Tabela1107[[#This Row],[MS]]</f>
        <v>24.740000000000002</v>
      </c>
      <c r="BP60" s="97">
        <f>+Tabela1107[[#This Row],[PIS]]+Tabela1107[[#This Row],[COFINS]]+Tabela1107[[#This Row],[CONTRIB. FOLHA]]+Tabela1107[[#This Row],[TRIBUTOS S/ LUCRO]]+Tabela1107[[#This Row],[OUTROS]]+Tabela1107[[#This Row],[DF]]</f>
        <v>24.740000000000002</v>
      </c>
      <c r="BQ60" s="97">
        <f>+Tabela1107[[#This Row],[PIS]]+Tabela1107[[#This Row],[COFINS]]+Tabela1107[[#This Row],[CONTRIB. FOLHA]]+Tabela1107[[#This Row],[TRIBUTOS S/ LUCRO]]+Tabela1107[[#This Row],[OUTROS]]+Tabela1107[[#This Row],[BA]]</f>
        <v>24.740000000000002</v>
      </c>
      <c r="BR60" s="97">
        <f>+Tabela1107[[#This Row],[PIS]]+Tabela1107[[#This Row],[COFINS]]+Tabela1107[[#This Row],[CONTRIB. FOLHA]]+Tabela1107[[#This Row],[TRIBUTOS S/ LUCRO]]+Tabela1107[[#This Row],[OUTROS]]+Tabela1107[[#This Row],[BA]]</f>
        <v>24.740000000000002</v>
      </c>
      <c r="BS60" s="97">
        <f>+Tabela1107[[#This Row],[PIS]]+Tabela1107[[#This Row],[COFINS]]+Tabela1107[[#This Row],[CONTRIB. FOLHA]]+Tabela1107[[#This Row],[TRIBUTOS S/ LUCRO]]+Tabela1107[[#This Row],[OUTROS]]+Tabela1107[[#This Row],[PE]]</f>
        <v>24.740000000000002</v>
      </c>
      <c r="BT60" s="97">
        <f>+Tabela1107[[#This Row],[PIS]]+Tabela1107[[#This Row],[COFINS]]+Tabela1107[[#This Row],[CONTRIB. FOLHA]]+Tabela1107[[#This Row],[TRIBUTOS S/ LUCRO]]+Tabela1107[[#This Row],[OUTROS]]+Tabela1107[[#This Row],[PA]]</f>
        <v>24.740000000000002</v>
      </c>
      <c r="BU60" s="97">
        <f>+Tabela1107[[#This Row],[PIS]]+Tabela1107[[#This Row],[COFINS]]+Tabela1107[[#This Row],[CONTRIB. FOLHA]]+Tabela1107[[#This Row],[TRIBUTOS S/ LUCRO]]+Tabela1107[[#This Row],[OUTROS]]+Tabela1107[[#This Row],[AM]]</f>
        <v>24.740000000000002</v>
      </c>
      <c r="BV60" s="97">
        <f>AVERAGE(Tabela1107[[#This Row],[TOTAL SP]:[TOTAL AM]])</f>
        <v>24.677500000000006</v>
      </c>
      <c r="BW60" s="97"/>
      <c r="BX60" s="97"/>
    </row>
    <row r="61" spans="2:76" x14ac:dyDescent="0.25">
      <c r="B61" s="89">
        <v>3161</v>
      </c>
      <c r="C61" s="91" t="s">
        <v>13159</v>
      </c>
      <c r="D61" s="89"/>
      <c r="E61" s="89">
        <v>20140626</v>
      </c>
      <c r="F61" s="89" t="s">
        <v>20361</v>
      </c>
      <c r="G61" s="89" t="s">
        <v>20362</v>
      </c>
      <c r="H61" s="89" t="s">
        <v>20363</v>
      </c>
      <c r="I61" s="89" t="s">
        <v>20364</v>
      </c>
      <c r="J61" s="89" t="s">
        <v>465</v>
      </c>
      <c r="K61" s="89" t="s">
        <v>2472</v>
      </c>
      <c r="L61" s="89" t="s">
        <v>2627</v>
      </c>
      <c r="M61" s="89" t="s">
        <v>4496</v>
      </c>
      <c r="N61" s="89" t="s">
        <v>4496</v>
      </c>
      <c r="O61" s="89" t="s">
        <v>4496</v>
      </c>
      <c r="P61" s="89" t="s">
        <v>4496</v>
      </c>
      <c r="Q61" s="89"/>
      <c r="R61" s="89" t="s">
        <v>466</v>
      </c>
      <c r="S61" s="89" t="s">
        <v>21576</v>
      </c>
      <c r="T61" s="89" t="s">
        <v>21577</v>
      </c>
      <c r="U61" s="89" t="str">
        <f>TRIM('Carga Tributária doenças Po (2'!$L61)</f>
        <v>BRINZOLAMIDA</v>
      </c>
      <c r="V61" s="89">
        <f>SUMIFS('Tabela Federal'!$E$4:$E$2069,'Tabela Federal'!$D$4:$D$2069,'Carga Tributária doenças Po (2'!$L61)</f>
        <v>1</v>
      </c>
      <c r="W61" s="89">
        <f>SUMIFS('Tabela Federal'!$E$4:$E$2069,'Tabela Federal'!$D$4:$D$2069,'Carga Tributária doenças Po (2'!$M61)</f>
        <v>0</v>
      </c>
      <c r="X61" s="89">
        <f>SUMIFS('Tabela Federal'!$E$4:$E$2069,'Tabela Federal'!$D$4:$D$2069,'Carga Tributária doenças Po (2'!$N61)</f>
        <v>0</v>
      </c>
      <c r="Y61" s="89">
        <f>SUMIFS('Tabela Federal'!$E$4:$E$2069,'Tabela Federal'!$D$4:$D$2069,'Carga Tributária doenças Po (2'!$O61)</f>
        <v>0</v>
      </c>
      <c r="Z61" s="92" t="str">
        <f>VLOOKUP('Carga Tributária doenças Po (2'!$AD61,'Carga Tributária doenças Po (2'!$CA$12:$CC$16,2,0)</f>
        <v>-</v>
      </c>
      <c r="AA61" s="89" t="s">
        <v>462</v>
      </c>
      <c r="AB61" s="89" t="s">
        <v>21835</v>
      </c>
      <c r="AC61" s="89" t="s">
        <v>21721</v>
      </c>
      <c r="AD61" s="93" t="s">
        <v>19523</v>
      </c>
      <c r="AE61" s="92" t="s">
        <v>4</v>
      </c>
      <c r="AF61" s="92" t="s">
        <v>23</v>
      </c>
      <c r="AG61" s="94">
        <v>560886</v>
      </c>
      <c r="AH61" s="95">
        <v>10652691</v>
      </c>
      <c r="AI61" s="95">
        <v>24326730</v>
      </c>
      <c r="AJ61" s="89" t="s">
        <v>471</v>
      </c>
      <c r="AK61" s="89">
        <f>IF('Carga Tributária doenças Po (2'!$Z61="+",0,SUMIFS(PISCOFINS!$I$3:$I$10518,PISCOFINS!$C$3:$C$10518,'Carga Tributária doenças Po (2'!$C61))</f>
        <v>2.1</v>
      </c>
      <c r="AL61" s="89">
        <f>IF('Carga Tributária doenças Po (2'!$Z61="+",0,SUMIFS(PISCOFINS!$H$3:$H$10518,PISCOFINS!$C$3:$C$10518,'Carga Tributária doenças Po (2'!$C61))</f>
        <v>9.9</v>
      </c>
      <c r="AM61" s="95">
        <v>3.27</v>
      </c>
      <c r="AN61" s="95">
        <v>3.12</v>
      </c>
      <c r="AO61" s="95">
        <v>1.35</v>
      </c>
      <c r="AP61" s="96">
        <v>18</v>
      </c>
      <c r="AQ61" s="96">
        <v>12</v>
      </c>
      <c r="AR61" s="96">
        <v>17</v>
      </c>
      <c r="AS61" s="97">
        <v>17</v>
      </c>
      <c r="AT61" s="97">
        <v>19</v>
      </c>
      <c r="AU61" s="97">
        <v>18</v>
      </c>
      <c r="AV61" s="97">
        <v>17</v>
      </c>
      <c r="AW61" s="97">
        <v>17</v>
      </c>
      <c r="AX61" s="97">
        <v>17</v>
      </c>
      <c r="AY61" s="97">
        <v>17</v>
      </c>
      <c r="AZ61" s="97">
        <v>17</v>
      </c>
      <c r="BA61" s="97">
        <v>17</v>
      </c>
      <c r="BB61" s="97">
        <v>17</v>
      </c>
      <c r="BC61" s="97">
        <v>17</v>
      </c>
      <c r="BD61" s="97">
        <v>17</v>
      </c>
      <c r="BE61" s="97">
        <v>17</v>
      </c>
      <c r="BF61" s="97">
        <f>+Tabela1107[[#This Row],[PIS]]+Tabela1107[[#This Row],[COFINS]]+Tabela1107[[#This Row],[CONTRIB. FOLHA]]+Tabela1107[[#This Row],[TRIBUTOS S/ LUCRO]]+Tabela1107[[#This Row],[OUTROS]]+Tabela1107[[#This Row],[SP]]</f>
        <v>37.74</v>
      </c>
      <c r="BG61" s="97">
        <f>+Tabela1107[[#This Row],[PIS]]+Tabela1107[[#This Row],[COFINS]]+Tabela1107[[#This Row],[CONTRIB. FOLHA]]+Tabela1107[[#This Row],[TRIBUTOS S/ LUCRO]]+Tabela1107[[#This Row],[OUTROS]]+Tabela1107[[#This Row],[PR]]</f>
        <v>31.740000000000002</v>
      </c>
      <c r="BH61" s="97">
        <f>+Tabela1107[[#This Row],[PIS]]+Tabela1107[[#This Row],[COFINS]]+Tabela1107[[#This Row],[CONTRIB. FOLHA]]+Tabela1107[[#This Row],[TRIBUTOS S/ LUCRO]]+Tabela1107[[#This Row],[OUTROS]]+Tabela1107[[#This Row],[SC]]</f>
        <v>36.74</v>
      </c>
      <c r="BI61" s="97">
        <f>+Tabela1107[[#This Row],[PIS]]+Tabela1107[[#This Row],[COFINS]]+Tabela1107[[#This Row],[CONTRIB. FOLHA]]+Tabela1107[[#This Row],[TRIBUTOS S/ LUCRO]]+Tabela1107[[#This Row],[OUTROS]]+Tabela1107[[#This Row],[RS]]</f>
        <v>36.74</v>
      </c>
      <c r="BJ61" s="97">
        <f>+Tabela1107[[#This Row],[PIS]]+Tabela1107[[#This Row],[COFINS]]+Tabela1107[[#This Row],[CONTRIB. FOLHA]]+Tabela1107[[#This Row],[TRIBUTOS S/ LUCRO]]+Tabela1107[[#This Row],[OUTROS]]+Tabela1107[[#This Row],[RJ]]</f>
        <v>38.74</v>
      </c>
      <c r="BK61" s="97">
        <f>+Tabela1107[[#This Row],[PIS]]+Tabela1107[[#This Row],[COFINS]]+Tabela1107[[#This Row],[CONTRIB. FOLHA]]+Tabela1107[[#This Row],[TRIBUTOS S/ LUCRO]]+Tabela1107[[#This Row],[OUTROS]]+Tabela1107[[#This Row],[MG]]</f>
        <v>37.74</v>
      </c>
      <c r="BL61" s="97">
        <f>+Tabela1107[[#This Row],[PIS]]+Tabela1107[[#This Row],[COFINS]]+Tabela1107[[#This Row],[CONTRIB. FOLHA]]+Tabela1107[[#This Row],[TRIBUTOS S/ LUCRO]]+Tabela1107[[#This Row],[OUTROS]]+Tabela1107[[#This Row],[ES]]</f>
        <v>36.74</v>
      </c>
      <c r="BM61" s="97">
        <f>+Tabela1107[[#This Row],[PIS]]+Tabela1107[[#This Row],[COFINS]]+Tabela1107[[#This Row],[CONTRIB. FOLHA]]+Tabela1107[[#This Row],[TRIBUTOS S/ LUCRO]]+Tabela1107[[#This Row],[OUTROS]]+Tabela1107[[#This Row],[GO]]</f>
        <v>36.74</v>
      </c>
      <c r="BN61" s="97">
        <f>+Tabela1107[[#This Row],[PIS]]+Tabela1107[[#This Row],[COFINS]]+Tabela1107[[#This Row],[CONTRIB. FOLHA]]+Tabela1107[[#This Row],[TRIBUTOS S/ LUCRO]]+Tabela1107[[#This Row],[OUTROS]]+Tabela1107[[#This Row],[MT]]</f>
        <v>36.74</v>
      </c>
      <c r="BO61" s="97">
        <f>+Tabela1107[[#This Row],[PIS]]+Tabela1107[[#This Row],[COFINS]]+Tabela1107[[#This Row],[CONTRIB. FOLHA]]+Tabela1107[[#This Row],[TRIBUTOS S/ LUCRO]]+Tabela1107[[#This Row],[OUTROS]]+Tabela1107[[#This Row],[MS]]</f>
        <v>36.74</v>
      </c>
      <c r="BP61" s="97">
        <f>+Tabela1107[[#This Row],[PIS]]+Tabela1107[[#This Row],[COFINS]]+Tabela1107[[#This Row],[CONTRIB. FOLHA]]+Tabela1107[[#This Row],[TRIBUTOS S/ LUCRO]]+Tabela1107[[#This Row],[OUTROS]]+Tabela1107[[#This Row],[DF]]</f>
        <v>36.74</v>
      </c>
      <c r="BQ61" s="97">
        <f>+Tabela1107[[#This Row],[PIS]]+Tabela1107[[#This Row],[COFINS]]+Tabela1107[[#This Row],[CONTRIB. FOLHA]]+Tabela1107[[#This Row],[TRIBUTOS S/ LUCRO]]+Tabela1107[[#This Row],[OUTROS]]+Tabela1107[[#This Row],[BA]]</f>
        <v>36.74</v>
      </c>
      <c r="BR61" s="97">
        <f>+Tabela1107[[#This Row],[PIS]]+Tabela1107[[#This Row],[COFINS]]+Tabela1107[[#This Row],[CONTRIB. FOLHA]]+Tabela1107[[#This Row],[TRIBUTOS S/ LUCRO]]+Tabela1107[[#This Row],[OUTROS]]+Tabela1107[[#This Row],[BA]]</f>
        <v>36.74</v>
      </c>
      <c r="BS61" s="97">
        <f>+Tabela1107[[#This Row],[PIS]]+Tabela1107[[#This Row],[COFINS]]+Tabela1107[[#This Row],[CONTRIB. FOLHA]]+Tabela1107[[#This Row],[TRIBUTOS S/ LUCRO]]+Tabela1107[[#This Row],[OUTROS]]+Tabela1107[[#This Row],[PE]]</f>
        <v>36.74</v>
      </c>
      <c r="BT61" s="97">
        <f>+Tabela1107[[#This Row],[PIS]]+Tabela1107[[#This Row],[COFINS]]+Tabela1107[[#This Row],[CONTRIB. FOLHA]]+Tabela1107[[#This Row],[TRIBUTOS S/ LUCRO]]+Tabela1107[[#This Row],[OUTROS]]+Tabela1107[[#This Row],[PA]]</f>
        <v>36.74</v>
      </c>
      <c r="BU61" s="97">
        <f>+Tabela1107[[#This Row],[PIS]]+Tabela1107[[#This Row],[COFINS]]+Tabela1107[[#This Row],[CONTRIB. FOLHA]]+Tabela1107[[#This Row],[TRIBUTOS S/ LUCRO]]+Tabela1107[[#This Row],[OUTROS]]+Tabela1107[[#This Row],[AM]]</f>
        <v>36.74</v>
      </c>
      <c r="BV61" s="97">
        <f>AVERAGE(Tabela1107[[#This Row],[TOTAL SP]:[TOTAL AM]])</f>
        <v>36.677500000000002</v>
      </c>
      <c r="BW61" s="97"/>
      <c r="BX61" s="97"/>
    </row>
    <row r="62" spans="2:76" x14ac:dyDescent="0.25">
      <c r="B62" s="89">
        <v>7340</v>
      </c>
      <c r="C62" s="91" t="s">
        <v>13031</v>
      </c>
      <c r="D62" s="89"/>
      <c r="E62" s="89">
        <v>20140626</v>
      </c>
      <c r="F62" s="89" t="s">
        <v>20412</v>
      </c>
      <c r="G62" s="89" t="s">
        <v>20413</v>
      </c>
      <c r="H62" s="89" t="s">
        <v>20414</v>
      </c>
      <c r="I62" s="89" t="s">
        <v>20415</v>
      </c>
      <c r="J62" s="89" t="s">
        <v>107</v>
      </c>
      <c r="K62" s="89" t="s">
        <v>4493</v>
      </c>
      <c r="L62" s="89" t="s">
        <v>3981</v>
      </c>
      <c r="M62" s="89" t="s">
        <v>4496</v>
      </c>
      <c r="N62" s="89" t="s">
        <v>4496</v>
      </c>
      <c r="O62" s="89" t="s">
        <v>4496</v>
      </c>
      <c r="P62" s="89" t="s">
        <v>4496</v>
      </c>
      <c r="Q62" s="89"/>
      <c r="R62" s="89" t="s">
        <v>109</v>
      </c>
      <c r="S62" s="89" t="s">
        <v>21578</v>
      </c>
      <c r="T62" s="89" t="s">
        <v>21579</v>
      </c>
      <c r="U62" s="89" t="str">
        <f>TRIM('Carga Tributária doenças Po (2'!$L62)</f>
        <v>SULFASSALAZINA</v>
      </c>
      <c r="V62" s="89">
        <f>SUMIFS('Tabela Federal'!$E$4:$E$2069,'Tabela Federal'!$D$4:$D$2069,'Carga Tributária doenças Po (2'!$L62)</f>
        <v>1</v>
      </c>
      <c r="W62" s="89">
        <f>SUMIFS('Tabela Federal'!$E$4:$E$2069,'Tabela Federal'!$D$4:$D$2069,'Carga Tributária doenças Po (2'!$M62)</f>
        <v>0</v>
      </c>
      <c r="X62" s="89">
        <f>SUMIFS('Tabela Federal'!$E$4:$E$2069,'Tabela Federal'!$D$4:$D$2069,'Carga Tributária doenças Po (2'!$N62)</f>
        <v>0</v>
      </c>
      <c r="Y62" s="89">
        <f>SUMIFS('Tabela Federal'!$E$4:$E$2069,'Tabela Federal'!$D$4:$D$2069,'Carga Tributária doenças Po (2'!$O62)</f>
        <v>0</v>
      </c>
      <c r="Z62" s="92" t="str">
        <f>VLOOKUP('Carga Tributária doenças Po (2'!$AD62,'Carga Tributária doenças Po (2'!$CA$12:$CC$16,2,0)</f>
        <v>+</v>
      </c>
      <c r="AA62" s="89" t="s">
        <v>108</v>
      </c>
      <c r="AB62" s="89" t="s">
        <v>21786</v>
      </c>
      <c r="AC62" s="89" t="s">
        <v>21721</v>
      </c>
      <c r="AD62" s="93" t="s">
        <v>21722</v>
      </c>
      <c r="AE62" s="92" t="s">
        <v>2</v>
      </c>
      <c r="AF62" s="92" t="s">
        <v>23</v>
      </c>
      <c r="AG62" s="94">
        <v>152615</v>
      </c>
      <c r="AH62" s="95">
        <v>3560736</v>
      </c>
      <c r="AI62" s="95">
        <v>8130799.8899999997</v>
      </c>
      <c r="AJ62" s="89" t="s">
        <v>111</v>
      </c>
      <c r="AK62" s="89">
        <f>IF('Carga Tributária doenças Po (2'!$Z62="+",0,SUMIFS(PISCOFINS!$I$3:$I$10518,PISCOFINS!$C$3:$C$10518,'Carga Tributária doenças Po (2'!$C62))</f>
        <v>0</v>
      </c>
      <c r="AL62" s="89">
        <f>IF('Carga Tributária doenças Po (2'!$Z62="+",0,SUMIFS(PISCOFINS!$H$3:$H$10518,PISCOFINS!$C$3:$C$10518,'Carga Tributária doenças Po (2'!$C62))</f>
        <v>0</v>
      </c>
      <c r="AM62" s="95">
        <v>3.27</v>
      </c>
      <c r="AN62" s="95">
        <v>3.12</v>
      </c>
      <c r="AO62" s="95">
        <v>1.35</v>
      </c>
      <c r="AP62" s="96">
        <v>18</v>
      </c>
      <c r="AQ62" s="96">
        <v>12</v>
      </c>
      <c r="AR62" s="96">
        <v>17</v>
      </c>
      <c r="AS62" s="97">
        <v>17</v>
      </c>
      <c r="AT62" s="97">
        <v>19</v>
      </c>
      <c r="AU62" s="97">
        <v>18</v>
      </c>
      <c r="AV62" s="97">
        <v>17</v>
      </c>
      <c r="AW62" s="97">
        <v>17</v>
      </c>
      <c r="AX62" s="97">
        <v>17</v>
      </c>
      <c r="AY62" s="97">
        <v>17</v>
      </c>
      <c r="AZ62" s="97">
        <v>17</v>
      </c>
      <c r="BA62" s="97">
        <v>17</v>
      </c>
      <c r="BB62" s="97">
        <v>17</v>
      </c>
      <c r="BC62" s="97">
        <v>17</v>
      </c>
      <c r="BD62" s="97">
        <v>17</v>
      </c>
      <c r="BE62" s="97">
        <v>17</v>
      </c>
      <c r="BF62" s="97">
        <f>+Tabela1107[[#This Row],[PIS]]+Tabela1107[[#This Row],[COFINS]]+Tabela1107[[#This Row],[CONTRIB. FOLHA]]+Tabela1107[[#This Row],[TRIBUTOS S/ LUCRO]]+Tabela1107[[#This Row],[OUTROS]]+Tabela1107[[#This Row],[SP]]</f>
        <v>25.740000000000002</v>
      </c>
      <c r="BG62" s="97">
        <f>+Tabela1107[[#This Row],[PIS]]+Tabela1107[[#This Row],[COFINS]]+Tabela1107[[#This Row],[CONTRIB. FOLHA]]+Tabela1107[[#This Row],[TRIBUTOS S/ LUCRO]]+Tabela1107[[#This Row],[OUTROS]]+Tabela1107[[#This Row],[PR]]</f>
        <v>19.740000000000002</v>
      </c>
      <c r="BH62" s="97">
        <f>+Tabela1107[[#This Row],[PIS]]+Tabela1107[[#This Row],[COFINS]]+Tabela1107[[#This Row],[CONTRIB. FOLHA]]+Tabela1107[[#This Row],[TRIBUTOS S/ LUCRO]]+Tabela1107[[#This Row],[OUTROS]]+Tabela1107[[#This Row],[SC]]</f>
        <v>24.740000000000002</v>
      </c>
      <c r="BI62" s="97">
        <f>+Tabela1107[[#This Row],[PIS]]+Tabela1107[[#This Row],[COFINS]]+Tabela1107[[#This Row],[CONTRIB. FOLHA]]+Tabela1107[[#This Row],[TRIBUTOS S/ LUCRO]]+Tabela1107[[#This Row],[OUTROS]]+Tabela1107[[#This Row],[RS]]</f>
        <v>24.740000000000002</v>
      </c>
      <c r="BJ62" s="97">
        <f>+Tabela1107[[#This Row],[PIS]]+Tabela1107[[#This Row],[COFINS]]+Tabela1107[[#This Row],[CONTRIB. FOLHA]]+Tabela1107[[#This Row],[TRIBUTOS S/ LUCRO]]+Tabela1107[[#This Row],[OUTROS]]+Tabela1107[[#This Row],[RJ]]</f>
        <v>26.740000000000002</v>
      </c>
      <c r="BK62" s="97">
        <f>+Tabela1107[[#This Row],[PIS]]+Tabela1107[[#This Row],[COFINS]]+Tabela1107[[#This Row],[CONTRIB. FOLHA]]+Tabela1107[[#This Row],[TRIBUTOS S/ LUCRO]]+Tabela1107[[#This Row],[OUTROS]]+Tabela1107[[#This Row],[MG]]</f>
        <v>25.740000000000002</v>
      </c>
      <c r="BL62" s="97">
        <f>+Tabela1107[[#This Row],[PIS]]+Tabela1107[[#This Row],[COFINS]]+Tabela1107[[#This Row],[CONTRIB. FOLHA]]+Tabela1107[[#This Row],[TRIBUTOS S/ LUCRO]]+Tabela1107[[#This Row],[OUTROS]]+Tabela1107[[#This Row],[ES]]</f>
        <v>24.740000000000002</v>
      </c>
      <c r="BM62" s="97">
        <f>+Tabela1107[[#This Row],[PIS]]+Tabela1107[[#This Row],[COFINS]]+Tabela1107[[#This Row],[CONTRIB. FOLHA]]+Tabela1107[[#This Row],[TRIBUTOS S/ LUCRO]]+Tabela1107[[#This Row],[OUTROS]]+Tabela1107[[#This Row],[GO]]</f>
        <v>24.740000000000002</v>
      </c>
      <c r="BN62" s="97">
        <f>+Tabela1107[[#This Row],[PIS]]+Tabela1107[[#This Row],[COFINS]]+Tabela1107[[#This Row],[CONTRIB. FOLHA]]+Tabela1107[[#This Row],[TRIBUTOS S/ LUCRO]]+Tabela1107[[#This Row],[OUTROS]]+Tabela1107[[#This Row],[MT]]</f>
        <v>24.740000000000002</v>
      </c>
      <c r="BO62" s="97">
        <f>+Tabela1107[[#This Row],[PIS]]+Tabela1107[[#This Row],[COFINS]]+Tabela1107[[#This Row],[CONTRIB. FOLHA]]+Tabela1107[[#This Row],[TRIBUTOS S/ LUCRO]]+Tabela1107[[#This Row],[OUTROS]]+Tabela1107[[#This Row],[MS]]</f>
        <v>24.740000000000002</v>
      </c>
      <c r="BP62" s="97">
        <f>+Tabela1107[[#This Row],[PIS]]+Tabela1107[[#This Row],[COFINS]]+Tabela1107[[#This Row],[CONTRIB. FOLHA]]+Tabela1107[[#This Row],[TRIBUTOS S/ LUCRO]]+Tabela1107[[#This Row],[OUTROS]]+Tabela1107[[#This Row],[DF]]</f>
        <v>24.740000000000002</v>
      </c>
      <c r="BQ62" s="97">
        <f>+Tabela1107[[#This Row],[PIS]]+Tabela1107[[#This Row],[COFINS]]+Tabela1107[[#This Row],[CONTRIB. FOLHA]]+Tabela1107[[#This Row],[TRIBUTOS S/ LUCRO]]+Tabela1107[[#This Row],[OUTROS]]+Tabela1107[[#This Row],[BA]]</f>
        <v>24.740000000000002</v>
      </c>
      <c r="BR62" s="97">
        <f>+Tabela1107[[#This Row],[PIS]]+Tabela1107[[#This Row],[COFINS]]+Tabela1107[[#This Row],[CONTRIB. FOLHA]]+Tabela1107[[#This Row],[TRIBUTOS S/ LUCRO]]+Tabela1107[[#This Row],[OUTROS]]+Tabela1107[[#This Row],[BA]]</f>
        <v>24.740000000000002</v>
      </c>
      <c r="BS62" s="97">
        <f>+Tabela1107[[#This Row],[PIS]]+Tabela1107[[#This Row],[COFINS]]+Tabela1107[[#This Row],[CONTRIB. FOLHA]]+Tabela1107[[#This Row],[TRIBUTOS S/ LUCRO]]+Tabela1107[[#This Row],[OUTROS]]+Tabela1107[[#This Row],[PE]]</f>
        <v>24.740000000000002</v>
      </c>
      <c r="BT62" s="97">
        <f>+Tabela1107[[#This Row],[PIS]]+Tabela1107[[#This Row],[COFINS]]+Tabela1107[[#This Row],[CONTRIB. FOLHA]]+Tabela1107[[#This Row],[TRIBUTOS S/ LUCRO]]+Tabela1107[[#This Row],[OUTROS]]+Tabela1107[[#This Row],[PA]]</f>
        <v>24.740000000000002</v>
      </c>
      <c r="BU62" s="97">
        <f>+Tabela1107[[#This Row],[PIS]]+Tabela1107[[#This Row],[COFINS]]+Tabela1107[[#This Row],[CONTRIB. FOLHA]]+Tabela1107[[#This Row],[TRIBUTOS S/ LUCRO]]+Tabela1107[[#This Row],[OUTROS]]+Tabela1107[[#This Row],[AM]]</f>
        <v>24.740000000000002</v>
      </c>
      <c r="BV62" s="97">
        <f>AVERAGE(Tabela1107[[#This Row],[TOTAL SP]:[TOTAL AM]])</f>
        <v>24.677500000000006</v>
      </c>
      <c r="BW62" s="97"/>
      <c r="BX62" s="97"/>
    </row>
    <row r="63" spans="2:76" x14ac:dyDescent="0.25">
      <c r="B63" s="89">
        <v>12255</v>
      </c>
      <c r="C63" s="91" t="s">
        <v>13168</v>
      </c>
      <c r="D63" s="89"/>
      <c r="E63" s="89">
        <v>20140626</v>
      </c>
      <c r="F63" s="89" t="s">
        <v>20873</v>
      </c>
      <c r="G63" s="89" t="s">
        <v>20874</v>
      </c>
      <c r="H63" s="89" t="s">
        <v>20875</v>
      </c>
      <c r="I63" s="89" t="s">
        <v>20872</v>
      </c>
      <c r="J63" s="89" t="s">
        <v>453</v>
      </c>
      <c r="K63" s="89" t="s">
        <v>2474</v>
      </c>
      <c r="L63" s="89" t="s">
        <v>2628</v>
      </c>
      <c r="M63" s="89" t="s">
        <v>4496</v>
      </c>
      <c r="N63" s="89" t="s">
        <v>4496</v>
      </c>
      <c r="O63" s="89" t="s">
        <v>4496</v>
      </c>
      <c r="P63" s="89" t="s">
        <v>4496</v>
      </c>
      <c r="Q63" s="89"/>
      <c r="R63" s="89" t="s">
        <v>55</v>
      </c>
      <c r="S63" s="89" t="s">
        <v>21636</v>
      </c>
      <c r="T63" s="89" t="s">
        <v>21637</v>
      </c>
      <c r="U63" s="89" t="str">
        <f>TRIM('Carga Tributária doenças Po (2'!$L63)</f>
        <v>CLORIDRATO DE DIFENIDRAMINA</v>
      </c>
      <c r="V63" s="89">
        <f>SUMIFS('Tabela Federal'!$E$4:$E$2069,'Tabela Federal'!$D$4:$D$2069,'Carga Tributária doenças Po (2'!$L63)</f>
        <v>1</v>
      </c>
      <c r="W63" s="89">
        <f>SUMIFS('Tabela Federal'!$E$4:$E$2069,'Tabela Federal'!$D$4:$D$2069,'Carga Tributária doenças Po (2'!$M63)</f>
        <v>0</v>
      </c>
      <c r="X63" s="89">
        <f>SUMIFS('Tabela Federal'!$E$4:$E$2069,'Tabela Federal'!$D$4:$D$2069,'Carga Tributária doenças Po (2'!$N63)</f>
        <v>0</v>
      </c>
      <c r="Y63" s="89">
        <f>SUMIFS('Tabela Federal'!$E$4:$E$2069,'Tabela Federal'!$D$4:$D$2069,'Carga Tributária doenças Po (2'!$O63)</f>
        <v>0</v>
      </c>
      <c r="Z63" s="92" t="str">
        <f>VLOOKUP('Carga Tributária doenças Po (2'!$AD63,'Carga Tributária doenças Po (2'!$CA$12:$CC$16,2,0)</f>
        <v>-</v>
      </c>
      <c r="AA63" s="89" t="s">
        <v>451</v>
      </c>
      <c r="AB63" s="89" t="s">
        <v>21812</v>
      </c>
      <c r="AC63" s="89" t="s">
        <v>21740</v>
      </c>
      <c r="AD63" s="93" t="s">
        <v>19523</v>
      </c>
      <c r="AE63" s="92" t="s">
        <v>4</v>
      </c>
      <c r="AF63" s="92" t="s">
        <v>23</v>
      </c>
      <c r="AG63" s="94">
        <v>1849710</v>
      </c>
      <c r="AH63" s="95">
        <v>6163957</v>
      </c>
      <c r="AI63" s="95">
        <v>13996393.26</v>
      </c>
      <c r="AJ63" s="89" t="s">
        <v>460</v>
      </c>
      <c r="AK63" s="89">
        <f>IF('Carga Tributária doenças Po (2'!$Z63="+",0,SUMIFS(PISCOFINS!$I$3:$I$10518,PISCOFINS!$C$3:$C$10518,'Carga Tributária doenças Po (2'!$C63))</f>
        <v>2.1</v>
      </c>
      <c r="AL63" s="89">
        <f>IF('Carga Tributária doenças Po (2'!$Z63="+",0,SUMIFS(PISCOFINS!$H$3:$H$10518,PISCOFINS!$C$3:$C$10518,'Carga Tributária doenças Po (2'!$C63))</f>
        <v>9.9</v>
      </c>
      <c r="AM63" s="95">
        <v>3.27</v>
      </c>
      <c r="AN63" s="95">
        <v>3.12</v>
      </c>
      <c r="AO63" s="95">
        <v>1.35</v>
      </c>
      <c r="AP63" s="96">
        <v>18</v>
      </c>
      <c r="AQ63" s="96">
        <v>12</v>
      </c>
      <c r="AR63" s="96">
        <v>17</v>
      </c>
      <c r="AS63" s="97">
        <v>17</v>
      </c>
      <c r="AT63" s="97">
        <v>19</v>
      </c>
      <c r="AU63" s="97">
        <v>18</v>
      </c>
      <c r="AV63" s="97">
        <v>17</v>
      </c>
      <c r="AW63" s="97">
        <v>17</v>
      </c>
      <c r="AX63" s="97">
        <v>17</v>
      </c>
      <c r="AY63" s="97">
        <v>17</v>
      </c>
      <c r="AZ63" s="97">
        <v>17</v>
      </c>
      <c r="BA63" s="97">
        <v>17</v>
      </c>
      <c r="BB63" s="97">
        <v>17</v>
      </c>
      <c r="BC63" s="97">
        <v>17</v>
      </c>
      <c r="BD63" s="97">
        <v>17</v>
      </c>
      <c r="BE63" s="97">
        <v>17</v>
      </c>
      <c r="BF63" s="97">
        <f>+Tabela1107[[#This Row],[PIS]]+Tabela1107[[#This Row],[COFINS]]+Tabela1107[[#This Row],[CONTRIB. FOLHA]]+Tabela1107[[#This Row],[TRIBUTOS S/ LUCRO]]+Tabela1107[[#This Row],[OUTROS]]+Tabela1107[[#This Row],[SP]]</f>
        <v>37.74</v>
      </c>
      <c r="BG63" s="97">
        <f>+Tabela1107[[#This Row],[PIS]]+Tabela1107[[#This Row],[COFINS]]+Tabela1107[[#This Row],[CONTRIB. FOLHA]]+Tabela1107[[#This Row],[TRIBUTOS S/ LUCRO]]+Tabela1107[[#This Row],[OUTROS]]+Tabela1107[[#This Row],[PR]]</f>
        <v>31.740000000000002</v>
      </c>
      <c r="BH63" s="97">
        <f>+Tabela1107[[#This Row],[PIS]]+Tabela1107[[#This Row],[COFINS]]+Tabela1107[[#This Row],[CONTRIB. FOLHA]]+Tabela1107[[#This Row],[TRIBUTOS S/ LUCRO]]+Tabela1107[[#This Row],[OUTROS]]+Tabela1107[[#This Row],[SC]]</f>
        <v>36.74</v>
      </c>
      <c r="BI63" s="97">
        <f>+Tabela1107[[#This Row],[PIS]]+Tabela1107[[#This Row],[COFINS]]+Tabela1107[[#This Row],[CONTRIB. FOLHA]]+Tabela1107[[#This Row],[TRIBUTOS S/ LUCRO]]+Tabela1107[[#This Row],[OUTROS]]+Tabela1107[[#This Row],[RS]]</f>
        <v>36.74</v>
      </c>
      <c r="BJ63" s="97">
        <f>+Tabela1107[[#This Row],[PIS]]+Tabela1107[[#This Row],[COFINS]]+Tabela1107[[#This Row],[CONTRIB. FOLHA]]+Tabela1107[[#This Row],[TRIBUTOS S/ LUCRO]]+Tabela1107[[#This Row],[OUTROS]]+Tabela1107[[#This Row],[RJ]]</f>
        <v>38.74</v>
      </c>
      <c r="BK63" s="97">
        <f>+Tabela1107[[#This Row],[PIS]]+Tabela1107[[#This Row],[COFINS]]+Tabela1107[[#This Row],[CONTRIB. FOLHA]]+Tabela1107[[#This Row],[TRIBUTOS S/ LUCRO]]+Tabela1107[[#This Row],[OUTROS]]+Tabela1107[[#This Row],[MG]]</f>
        <v>37.74</v>
      </c>
      <c r="BL63" s="97">
        <f>+Tabela1107[[#This Row],[PIS]]+Tabela1107[[#This Row],[COFINS]]+Tabela1107[[#This Row],[CONTRIB. FOLHA]]+Tabela1107[[#This Row],[TRIBUTOS S/ LUCRO]]+Tabela1107[[#This Row],[OUTROS]]+Tabela1107[[#This Row],[ES]]</f>
        <v>36.74</v>
      </c>
      <c r="BM63" s="97">
        <f>+Tabela1107[[#This Row],[PIS]]+Tabela1107[[#This Row],[COFINS]]+Tabela1107[[#This Row],[CONTRIB. FOLHA]]+Tabela1107[[#This Row],[TRIBUTOS S/ LUCRO]]+Tabela1107[[#This Row],[OUTROS]]+Tabela1107[[#This Row],[GO]]</f>
        <v>36.74</v>
      </c>
      <c r="BN63" s="97">
        <f>+Tabela1107[[#This Row],[PIS]]+Tabela1107[[#This Row],[COFINS]]+Tabela1107[[#This Row],[CONTRIB. FOLHA]]+Tabela1107[[#This Row],[TRIBUTOS S/ LUCRO]]+Tabela1107[[#This Row],[OUTROS]]+Tabela1107[[#This Row],[MT]]</f>
        <v>36.74</v>
      </c>
      <c r="BO63" s="97">
        <f>+Tabela1107[[#This Row],[PIS]]+Tabela1107[[#This Row],[COFINS]]+Tabela1107[[#This Row],[CONTRIB. FOLHA]]+Tabela1107[[#This Row],[TRIBUTOS S/ LUCRO]]+Tabela1107[[#This Row],[OUTROS]]+Tabela1107[[#This Row],[MS]]</f>
        <v>36.74</v>
      </c>
      <c r="BP63" s="97">
        <f>+Tabela1107[[#This Row],[PIS]]+Tabela1107[[#This Row],[COFINS]]+Tabela1107[[#This Row],[CONTRIB. FOLHA]]+Tabela1107[[#This Row],[TRIBUTOS S/ LUCRO]]+Tabela1107[[#This Row],[OUTROS]]+Tabela1107[[#This Row],[DF]]</f>
        <v>36.74</v>
      </c>
      <c r="BQ63" s="97">
        <f>+Tabela1107[[#This Row],[PIS]]+Tabela1107[[#This Row],[COFINS]]+Tabela1107[[#This Row],[CONTRIB. FOLHA]]+Tabela1107[[#This Row],[TRIBUTOS S/ LUCRO]]+Tabela1107[[#This Row],[OUTROS]]+Tabela1107[[#This Row],[BA]]</f>
        <v>36.74</v>
      </c>
      <c r="BR63" s="97">
        <f>+Tabela1107[[#This Row],[PIS]]+Tabela1107[[#This Row],[COFINS]]+Tabela1107[[#This Row],[CONTRIB. FOLHA]]+Tabela1107[[#This Row],[TRIBUTOS S/ LUCRO]]+Tabela1107[[#This Row],[OUTROS]]+Tabela1107[[#This Row],[BA]]</f>
        <v>36.74</v>
      </c>
      <c r="BS63" s="97">
        <f>+Tabela1107[[#This Row],[PIS]]+Tabela1107[[#This Row],[COFINS]]+Tabela1107[[#This Row],[CONTRIB. FOLHA]]+Tabela1107[[#This Row],[TRIBUTOS S/ LUCRO]]+Tabela1107[[#This Row],[OUTROS]]+Tabela1107[[#This Row],[PE]]</f>
        <v>36.74</v>
      </c>
      <c r="BT63" s="97">
        <f>+Tabela1107[[#This Row],[PIS]]+Tabela1107[[#This Row],[COFINS]]+Tabela1107[[#This Row],[CONTRIB. FOLHA]]+Tabela1107[[#This Row],[TRIBUTOS S/ LUCRO]]+Tabela1107[[#This Row],[OUTROS]]+Tabela1107[[#This Row],[PA]]</f>
        <v>36.74</v>
      </c>
      <c r="BU63" s="97">
        <f>+Tabela1107[[#This Row],[PIS]]+Tabela1107[[#This Row],[COFINS]]+Tabela1107[[#This Row],[CONTRIB. FOLHA]]+Tabela1107[[#This Row],[TRIBUTOS S/ LUCRO]]+Tabela1107[[#This Row],[OUTROS]]+Tabela1107[[#This Row],[AM]]</f>
        <v>36.74</v>
      </c>
      <c r="BV63" s="97">
        <f>AVERAGE(Tabela1107[[#This Row],[TOTAL SP]:[TOTAL AM]])</f>
        <v>36.677500000000002</v>
      </c>
      <c r="BW63" s="97"/>
      <c r="BX63" s="97"/>
    </row>
    <row r="64" spans="2:76" x14ac:dyDescent="0.25">
      <c r="B64" s="89">
        <v>12256</v>
      </c>
      <c r="C64" s="91" t="s">
        <v>13168</v>
      </c>
      <c r="D64" s="89"/>
      <c r="E64" s="89">
        <v>20140626</v>
      </c>
      <c r="F64" s="89" t="s">
        <v>20869</v>
      </c>
      <c r="G64" s="89" t="s">
        <v>20870</v>
      </c>
      <c r="H64" s="89" t="s">
        <v>20871</v>
      </c>
      <c r="I64" s="89" t="s">
        <v>20872</v>
      </c>
      <c r="J64" s="89" t="s">
        <v>455</v>
      </c>
      <c r="K64" s="89" t="s">
        <v>2474</v>
      </c>
      <c r="L64" s="89" t="s">
        <v>2628</v>
      </c>
      <c r="M64" s="89" t="s">
        <v>4496</v>
      </c>
      <c r="N64" s="89" t="s">
        <v>4496</v>
      </c>
      <c r="O64" s="89" t="s">
        <v>4496</v>
      </c>
      <c r="P64" s="89" t="s">
        <v>4496</v>
      </c>
      <c r="Q64" s="89"/>
      <c r="R64" s="89" t="s">
        <v>55</v>
      </c>
      <c r="S64" s="89" t="s">
        <v>21636</v>
      </c>
      <c r="T64" s="89" t="s">
        <v>21637</v>
      </c>
      <c r="U64" s="89" t="str">
        <f>TRIM('Carga Tributária doenças Po (2'!$L64)</f>
        <v>CLORIDRATO DE DIFENIDRAMINA</v>
      </c>
      <c r="V64" s="89">
        <f>SUMIFS('Tabela Federal'!$E$4:$E$2069,'Tabela Federal'!$D$4:$D$2069,'Carga Tributária doenças Po (2'!$L64)</f>
        <v>1</v>
      </c>
      <c r="W64" s="89">
        <f>SUMIFS('Tabela Federal'!$E$4:$E$2069,'Tabela Federal'!$D$4:$D$2069,'Carga Tributária doenças Po (2'!$M64)</f>
        <v>0</v>
      </c>
      <c r="X64" s="89">
        <f>SUMIFS('Tabela Federal'!$E$4:$E$2069,'Tabela Federal'!$D$4:$D$2069,'Carga Tributária doenças Po (2'!$N64)</f>
        <v>0</v>
      </c>
      <c r="Y64" s="89">
        <f>SUMIFS('Tabela Federal'!$E$4:$E$2069,'Tabela Federal'!$D$4:$D$2069,'Carga Tributária doenças Po (2'!$O64)</f>
        <v>0</v>
      </c>
      <c r="Z64" s="92" t="str">
        <f>VLOOKUP('Carga Tributária doenças Po (2'!$AD64,'Carga Tributária doenças Po (2'!$CA$12:$CC$16,2,0)</f>
        <v>-</v>
      </c>
      <c r="AA64" s="89" t="s">
        <v>451</v>
      </c>
      <c r="AB64" s="89" t="s">
        <v>21812</v>
      </c>
      <c r="AC64" s="89" t="s">
        <v>21740</v>
      </c>
      <c r="AD64" s="93" t="s">
        <v>19523</v>
      </c>
      <c r="AE64" s="92" t="s">
        <v>4</v>
      </c>
      <c r="AF64" s="92" t="s">
        <v>23</v>
      </c>
      <c r="AG64" s="94">
        <v>1480810</v>
      </c>
      <c r="AH64" s="95">
        <v>4936152</v>
      </c>
      <c r="AI64" s="95">
        <v>11205180.57</v>
      </c>
      <c r="AJ64" s="89" t="s">
        <v>460</v>
      </c>
      <c r="AK64" s="89">
        <f>IF('Carga Tributária doenças Po (2'!$Z64="+",0,SUMIFS(PISCOFINS!$I$3:$I$10518,PISCOFINS!$C$3:$C$10518,'Carga Tributária doenças Po (2'!$C64))</f>
        <v>2.1</v>
      </c>
      <c r="AL64" s="89">
        <f>IF('Carga Tributária doenças Po (2'!$Z64="+",0,SUMIFS(PISCOFINS!$H$3:$H$10518,PISCOFINS!$C$3:$C$10518,'Carga Tributária doenças Po (2'!$C64))</f>
        <v>9.9</v>
      </c>
      <c r="AM64" s="95">
        <v>3.27</v>
      </c>
      <c r="AN64" s="95">
        <v>3.12</v>
      </c>
      <c r="AO64" s="95">
        <v>1.35</v>
      </c>
      <c r="AP64" s="96">
        <v>18</v>
      </c>
      <c r="AQ64" s="96">
        <v>12</v>
      </c>
      <c r="AR64" s="96">
        <v>17</v>
      </c>
      <c r="AS64" s="97">
        <v>17</v>
      </c>
      <c r="AT64" s="97">
        <v>19</v>
      </c>
      <c r="AU64" s="97">
        <v>18</v>
      </c>
      <c r="AV64" s="97">
        <v>17</v>
      </c>
      <c r="AW64" s="97">
        <v>17</v>
      </c>
      <c r="AX64" s="97">
        <v>17</v>
      </c>
      <c r="AY64" s="97">
        <v>17</v>
      </c>
      <c r="AZ64" s="97">
        <v>17</v>
      </c>
      <c r="BA64" s="97">
        <v>17</v>
      </c>
      <c r="BB64" s="97">
        <v>17</v>
      </c>
      <c r="BC64" s="97">
        <v>17</v>
      </c>
      <c r="BD64" s="97">
        <v>17</v>
      </c>
      <c r="BE64" s="97">
        <v>17</v>
      </c>
      <c r="BF64" s="97">
        <f>+Tabela1107[[#This Row],[PIS]]+Tabela1107[[#This Row],[COFINS]]+Tabela1107[[#This Row],[CONTRIB. FOLHA]]+Tabela1107[[#This Row],[TRIBUTOS S/ LUCRO]]+Tabela1107[[#This Row],[OUTROS]]+Tabela1107[[#This Row],[SP]]</f>
        <v>37.74</v>
      </c>
      <c r="BG64" s="97">
        <f>+Tabela1107[[#This Row],[PIS]]+Tabela1107[[#This Row],[COFINS]]+Tabela1107[[#This Row],[CONTRIB. FOLHA]]+Tabela1107[[#This Row],[TRIBUTOS S/ LUCRO]]+Tabela1107[[#This Row],[OUTROS]]+Tabela1107[[#This Row],[PR]]</f>
        <v>31.740000000000002</v>
      </c>
      <c r="BH64" s="97">
        <f>+Tabela1107[[#This Row],[PIS]]+Tabela1107[[#This Row],[COFINS]]+Tabela1107[[#This Row],[CONTRIB. FOLHA]]+Tabela1107[[#This Row],[TRIBUTOS S/ LUCRO]]+Tabela1107[[#This Row],[OUTROS]]+Tabela1107[[#This Row],[SC]]</f>
        <v>36.74</v>
      </c>
      <c r="BI64" s="97">
        <f>+Tabela1107[[#This Row],[PIS]]+Tabela1107[[#This Row],[COFINS]]+Tabela1107[[#This Row],[CONTRIB. FOLHA]]+Tabela1107[[#This Row],[TRIBUTOS S/ LUCRO]]+Tabela1107[[#This Row],[OUTROS]]+Tabela1107[[#This Row],[RS]]</f>
        <v>36.74</v>
      </c>
      <c r="BJ64" s="97">
        <f>+Tabela1107[[#This Row],[PIS]]+Tabela1107[[#This Row],[COFINS]]+Tabela1107[[#This Row],[CONTRIB. FOLHA]]+Tabela1107[[#This Row],[TRIBUTOS S/ LUCRO]]+Tabela1107[[#This Row],[OUTROS]]+Tabela1107[[#This Row],[RJ]]</f>
        <v>38.74</v>
      </c>
      <c r="BK64" s="97">
        <f>+Tabela1107[[#This Row],[PIS]]+Tabela1107[[#This Row],[COFINS]]+Tabela1107[[#This Row],[CONTRIB. FOLHA]]+Tabela1107[[#This Row],[TRIBUTOS S/ LUCRO]]+Tabela1107[[#This Row],[OUTROS]]+Tabela1107[[#This Row],[MG]]</f>
        <v>37.74</v>
      </c>
      <c r="BL64" s="97">
        <f>+Tabela1107[[#This Row],[PIS]]+Tabela1107[[#This Row],[COFINS]]+Tabela1107[[#This Row],[CONTRIB. FOLHA]]+Tabela1107[[#This Row],[TRIBUTOS S/ LUCRO]]+Tabela1107[[#This Row],[OUTROS]]+Tabela1107[[#This Row],[ES]]</f>
        <v>36.74</v>
      </c>
      <c r="BM64" s="97">
        <f>+Tabela1107[[#This Row],[PIS]]+Tabela1107[[#This Row],[COFINS]]+Tabela1107[[#This Row],[CONTRIB. FOLHA]]+Tabela1107[[#This Row],[TRIBUTOS S/ LUCRO]]+Tabela1107[[#This Row],[OUTROS]]+Tabela1107[[#This Row],[GO]]</f>
        <v>36.74</v>
      </c>
      <c r="BN64" s="97">
        <f>+Tabela1107[[#This Row],[PIS]]+Tabela1107[[#This Row],[COFINS]]+Tabela1107[[#This Row],[CONTRIB. FOLHA]]+Tabela1107[[#This Row],[TRIBUTOS S/ LUCRO]]+Tabela1107[[#This Row],[OUTROS]]+Tabela1107[[#This Row],[MT]]</f>
        <v>36.74</v>
      </c>
      <c r="BO64" s="97">
        <f>+Tabela1107[[#This Row],[PIS]]+Tabela1107[[#This Row],[COFINS]]+Tabela1107[[#This Row],[CONTRIB. FOLHA]]+Tabela1107[[#This Row],[TRIBUTOS S/ LUCRO]]+Tabela1107[[#This Row],[OUTROS]]+Tabela1107[[#This Row],[MS]]</f>
        <v>36.74</v>
      </c>
      <c r="BP64" s="97">
        <f>+Tabela1107[[#This Row],[PIS]]+Tabela1107[[#This Row],[COFINS]]+Tabela1107[[#This Row],[CONTRIB. FOLHA]]+Tabela1107[[#This Row],[TRIBUTOS S/ LUCRO]]+Tabela1107[[#This Row],[OUTROS]]+Tabela1107[[#This Row],[DF]]</f>
        <v>36.74</v>
      </c>
      <c r="BQ64" s="97">
        <f>+Tabela1107[[#This Row],[PIS]]+Tabela1107[[#This Row],[COFINS]]+Tabela1107[[#This Row],[CONTRIB. FOLHA]]+Tabela1107[[#This Row],[TRIBUTOS S/ LUCRO]]+Tabela1107[[#This Row],[OUTROS]]+Tabela1107[[#This Row],[BA]]</f>
        <v>36.74</v>
      </c>
      <c r="BR64" s="97">
        <f>+Tabela1107[[#This Row],[PIS]]+Tabela1107[[#This Row],[COFINS]]+Tabela1107[[#This Row],[CONTRIB. FOLHA]]+Tabela1107[[#This Row],[TRIBUTOS S/ LUCRO]]+Tabela1107[[#This Row],[OUTROS]]+Tabela1107[[#This Row],[BA]]</f>
        <v>36.74</v>
      </c>
      <c r="BS64" s="97">
        <f>+Tabela1107[[#This Row],[PIS]]+Tabela1107[[#This Row],[COFINS]]+Tabela1107[[#This Row],[CONTRIB. FOLHA]]+Tabela1107[[#This Row],[TRIBUTOS S/ LUCRO]]+Tabela1107[[#This Row],[OUTROS]]+Tabela1107[[#This Row],[PE]]</f>
        <v>36.74</v>
      </c>
      <c r="BT64" s="97">
        <f>+Tabela1107[[#This Row],[PIS]]+Tabela1107[[#This Row],[COFINS]]+Tabela1107[[#This Row],[CONTRIB. FOLHA]]+Tabela1107[[#This Row],[TRIBUTOS S/ LUCRO]]+Tabela1107[[#This Row],[OUTROS]]+Tabela1107[[#This Row],[PA]]</f>
        <v>36.74</v>
      </c>
      <c r="BU64" s="97">
        <f>+Tabela1107[[#This Row],[PIS]]+Tabela1107[[#This Row],[COFINS]]+Tabela1107[[#This Row],[CONTRIB. FOLHA]]+Tabela1107[[#This Row],[TRIBUTOS S/ LUCRO]]+Tabela1107[[#This Row],[OUTROS]]+Tabela1107[[#This Row],[AM]]</f>
        <v>36.74</v>
      </c>
      <c r="BV64" s="97">
        <f>AVERAGE(Tabela1107[[#This Row],[TOTAL SP]:[TOTAL AM]])</f>
        <v>36.677500000000002</v>
      </c>
      <c r="BW64" s="97"/>
      <c r="BX64" s="97"/>
    </row>
    <row r="65" spans="2:76" x14ac:dyDescent="0.25">
      <c r="B65" s="89">
        <v>11957</v>
      </c>
      <c r="C65" s="91" t="s">
        <v>13120</v>
      </c>
      <c r="D65" s="89"/>
      <c r="E65" s="89">
        <v>20140626</v>
      </c>
      <c r="F65" s="89" t="s">
        <v>20589</v>
      </c>
      <c r="G65" s="89" t="s">
        <v>20590</v>
      </c>
      <c r="H65" s="89" t="s">
        <v>20591</v>
      </c>
      <c r="I65" s="89" t="s">
        <v>20592</v>
      </c>
      <c r="J65" s="89" t="s">
        <v>220</v>
      </c>
      <c r="K65" s="89" t="s">
        <v>2445</v>
      </c>
      <c r="L65" s="89" t="s">
        <v>2629</v>
      </c>
      <c r="M65" s="89" t="s">
        <v>2655</v>
      </c>
      <c r="N65" s="89" t="s">
        <v>3172</v>
      </c>
      <c r="O65" s="89" t="s">
        <v>4496</v>
      </c>
      <c r="P65" s="89" t="s">
        <v>4496</v>
      </c>
      <c r="Q65" s="89"/>
      <c r="R65" s="89" t="s">
        <v>26</v>
      </c>
      <c r="S65" s="89" t="s">
        <v>21610</v>
      </c>
      <c r="T65" s="89" t="s">
        <v>21611</v>
      </c>
      <c r="U65" s="89" t="str">
        <f>TRIM('Carga Tributária doenças Po (2'!$L65)</f>
        <v>MALEATO DE CLORFENIRAMINA</v>
      </c>
      <c r="V65" s="89">
        <f>SUMIFS('Tabela Federal'!$E$4:$E$2069,'Tabela Federal'!$D$4:$D$2069,'Carga Tributária doenças Po (2'!$L65)</f>
        <v>0</v>
      </c>
      <c r="W65" s="89">
        <f>SUMIFS('Tabela Federal'!$E$4:$E$2069,'Tabela Federal'!$D$4:$D$2069,'Carga Tributária doenças Po (2'!$M65)</f>
        <v>1</v>
      </c>
      <c r="X65" s="89">
        <f>SUMIFS('Tabela Federal'!$E$4:$E$2069,'Tabela Federal'!$D$4:$D$2069,'Carga Tributária doenças Po (2'!$N65)</f>
        <v>0</v>
      </c>
      <c r="Y65" s="89">
        <f>SUMIFS('Tabela Federal'!$E$4:$E$2069,'Tabela Federal'!$D$4:$D$2069,'Carga Tributária doenças Po (2'!$O65)</f>
        <v>0</v>
      </c>
      <c r="Z65" s="92" t="str">
        <f>VLOOKUP('Carga Tributária doenças Po (2'!$AD65,'Carga Tributária doenças Po (2'!$CA$12:$CC$16,2,0)</f>
        <v>-</v>
      </c>
      <c r="AA65" s="89" t="s">
        <v>0</v>
      </c>
      <c r="AB65" s="89" t="s">
        <v>21844</v>
      </c>
      <c r="AC65" s="89" t="s">
        <v>21740</v>
      </c>
      <c r="AD65" s="93" t="s">
        <v>19523</v>
      </c>
      <c r="AE65" s="92" t="s">
        <v>4</v>
      </c>
      <c r="AF65" s="92" t="s">
        <v>3</v>
      </c>
      <c r="AG65" s="94">
        <v>1113341</v>
      </c>
      <c r="AH65" s="95">
        <v>53862106</v>
      </c>
      <c r="AI65" s="95">
        <v>122305655.81</v>
      </c>
      <c r="AJ65" s="89" t="s">
        <v>227</v>
      </c>
      <c r="AK65" s="89">
        <f>IF('Carga Tributária doenças Po (2'!$Z65="+",0,SUMIFS(PISCOFINS!$I$3:$I$10518,PISCOFINS!$C$3:$C$10518,'Carga Tributária doenças Po (2'!$C65))</f>
        <v>2.1</v>
      </c>
      <c r="AL65" s="89">
        <f>IF('Carga Tributária doenças Po (2'!$Z65="+",0,SUMIFS(PISCOFINS!$H$3:$H$10518,PISCOFINS!$C$3:$C$10518,'Carga Tributária doenças Po (2'!$C65))</f>
        <v>9.9</v>
      </c>
      <c r="AM65" s="95">
        <v>3.27</v>
      </c>
      <c r="AN65" s="95">
        <v>3.12</v>
      </c>
      <c r="AO65" s="95">
        <v>1.35</v>
      </c>
      <c r="AP65" s="96">
        <v>18</v>
      </c>
      <c r="AQ65" s="96">
        <v>12</v>
      </c>
      <c r="AR65" s="96">
        <v>17</v>
      </c>
      <c r="AS65" s="97">
        <v>17</v>
      </c>
      <c r="AT65" s="97">
        <v>19</v>
      </c>
      <c r="AU65" s="97">
        <v>18</v>
      </c>
      <c r="AV65" s="97">
        <v>17</v>
      </c>
      <c r="AW65" s="97">
        <v>17</v>
      </c>
      <c r="AX65" s="97">
        <v>17</v>
      </c>
      <c r="AY65" s="97">
        <v>17</v>
      </c>
      <c r="AZ65" s="97">
        <v>17</v>
      </c>
      <c r="BA65" s="97">
        <v>17</v>
      </c>
      <c r="BB65" s="97">
        <v>17</v>
      </c>
      <c r="BC65" s="97">
        <v>17</v>
      </c>
      <c r="BD65" s="97">
        <v>17</v>
      </c>
      <c r="BE65" s="97">
        <v>17</v>
      </c>
      <c r="BF65" s="97">
        <f>+Tabela1107[[#This Row],[PIS]]+Tabela1107[[#This Row],[COFINS]]+Tabela1107[[#This Row],[CONTRIB. FOLHA]]+Tabela1107[[#This Row],[TRIBUTOS S/ LUCRO]]+Tabela1107[[#This Row],[OUTROS]]+Tabela1107[[#This Row],[SP]]</f>
        <v>37.74</v>
      </c>
      <c r="BG65" s="97">
        <f>+Tabela1107[[#This Row],[PIS]]+Tabela1107[[#This Row],[COFINS]]+Tabela1107[[#This Row],[CONTRIB. FOLHA]]+Tabela1107[[#This Row],[TRIBUTOS S/ LUCRO]]+Tabela1107[[#This Row],[OUTROS]]+Tabela1107[[#This Row],[PR]]</f>
        <v>31.740000000000002</v>
      </c>
      <c r="BH65" s="97">
        <f>+Tabela1107[[#This Row],[PIS]]+Tabela1107[[#This Row],[COFINS]]+Tabela1107[[#This Row],[CONTRIB. FOLHA]]+Tabela1107[[#This Row],[TRIBUTOS S/ LUCRO]]+Tabela1107[[#This Row],[OUTROS]]+Tabela1107[[#This Row],[SC]]</f>
        <v>36.74</v>
      </c>
      <c r="BI65" s="97">
        <f>+Tabela1107[[#This Row],[PIS]]+Tabela1107[[#This Row],[COFINS]]+Tabela1107[[#This Row],[CONTRIB. FOLHA]]+Tabela1107[[#This Row],[TRIBUTOS S/ LUCRO]]+Tabela1107[[#This Row],[OUTROS]]+Tabela1107[[#This Row],[RS]]</f>
        <v>36.74</v>
      </c>
      <c r="BJ65" s="97">
        <f>+Tabela1107[[#This Row],[PIS]]+Tabela1107[[#This Row],[COFINS]]+Tabela1107[[#This Row],[CONTRIB. FOLHA]]+Tabela1107[[#This Row],[TRIBUTOS S/ LUCRO]]+Tabela1107[[#This Row],[OUTROS]]+Tabela1107[[#This Row],[RJ]]</f>
        <v>38.74</v>
      </c>
      <c r="BK65" s="97">
        <f>+Tabela1107[[#This Row],[PIS]]+Tabela1107[[#This Row],[COFINS]]+Tabela1107[[#This Row],[CONTRIB. FOLHA]]+Tabela1107[[#This Row],[TRIBUTOS S/ LUCRO]]+Tabela1107[[#This Row],[OUTROS]]+Tabela1107[[#This Row],[MG]]</f>
        <v>37.74</v>
      </c>
      <c r="BL65" s="97">
        <f>+Tabela1107[[#This Row],[PIS]]+Tabela1107[[#This Row],[COFINS]]+Tabela1107[[#This Row],[CONTRIB. FOLHA]]+Tabela1107[[#This Row],[TRIBUTOS S/ LUCRO]]+Tabela1107[[#This Row],[OUTROS]]+Tabela1107[[#This Row],[ES]]</f>
        <v>36.74</v>
      </c>
      <c r="BM65" s="97">
        <f>+Tabela1107[[#This Row],[PIS]]+Tabela1107[[#This Row],[COFINS]]+Tabela1107[[#This Row],[CONTRIB. FOLHA]]+Tabela1107[[#This Row],[TRIBUTOS S/ LUCRO]]+Tabela1107[[#This Row],[OUTROS]]+Tabela1107[[#This Row],[GO]]</f>
        <v>36.74</v>
      </c>
      <c r="BN65" s="97">
        <f>+Tabela1107[[#This Row],[PIS]]+Tabela1107[[#This Row],[COFINS]]+Tabela1107[[#This Row],[CONTRIB. FOLHA]]+Tabela1107[[#This Row],[TRIBUTOS S/ LUCRO]]+Tabela1107[[#This Row],[OUTROS]]+Tabela1107[[#This Row],[MT]]</f>
        <v>36.74</v>
      </c>
      <c r="BO65" s="97">
        <f>+Tabela1107[[#This Row],[PIS]]+Tabela1107[[#This Row],[COFINS]]+Tabela1107[[#This Row],[CONTRIB. FOLHA]]+Tabela1107[[#This Row],[TRIBUTOS S/ LUCRO]]+Tabela1107[[#This Row],[OUTROS]]+Tabela1107[[#This Row],[MS]]</f>
        <v>36.74</v>
      </c>
      <c r="BP65" s="97">
        <f>+Tabela1107[[#This Row],[PIS]]+Tabela1107[[#This Row],[COFINS]]+Tabela1107[[#This Row],[CONTRIB. FOLHA]]+Tabela1107[[#This Row],[TRIBUTOS S/ LUCRO]]+Tabela1107[[#This Row],[OUTROS]]+Tabela1107[[#This Row],[DF]]</f>
        <v>36.74</v>
      </c>
      <c r="BQ65" s="97">
        <f>+Tabela1107[[#This Row],[PIS]]+Tabela1107[[#This Row],[COFINS]]+Tabela1107[[#This Row],[CONTRIB. FOLHA]]+Tabela1107[[#This Row],[TRIBUTOS S/ LUCRO]]+Tabela1107[[#This Row],[OUTROS]]+Tabela1107[[#This Row],[BA]]</f>
        <v>36.74</v>
      </c>
      <c r="BR65" s="97">
        <f>+Tabela1107[[#This Row],[PIS]]+Tabela1107[[#This Row],[COFINS]]+Tabela1107[[#This Row],[CONTRIB. FOLHA]]+Tabela1107[[#This Row],[TRIBUTOS S/ LUCRO]]+Tabela1107[[#This Row],[OUTROS]]+Tabela1107[[#This Row],[BA]]</f>
        <v>36.74</v>
      </c>
      <c r="BS65" s="97">
        <f>+Tabela1107[[#This Row],[PIS]]+Tabela1107[[#This Row],[COFINS]]+Tabela1107[[#This Row],[CONTRIB. FOLHA]]+Tabela1107[[#This Row],[TRIBUTOS S/ LUCRO]]+Tabela1107[[#This Row],[OUTROS]]+Tabela1107[[#This Row],[PE]]</f>
        <v>36.74</v>
      </c>
      <c r="BT65" s="97">
        <f>+Tabela1107[[#This Row],[PIS]]+Tabela1107[[#This Row],[COFINS]]+Tabela1107[[#This Row],[CONTRIB. FOLHA]]+Tabela1107[[#This Row],[TRIBUTOS S/ LUCRO]]+Tabela1107[[#This Row],[OUTROS]]+Tabela1107[[#This Row],[PA]]</f>
        <v>36.74</v>
      </c>
      <c r="BU65" s="97">
        <f>+Tabela1107[[#This Row],[PIS]]+Tabela1107[[#This Row],[COFINS]]+Tabela1107[[#This Row],[CONTRIB. FOLHA]]+Tabela1107[[#This Row],[TRIBUTOS S/ LUCRO]]+Tabela1107[[#This Row],[OUTROS]]+Tabela1107[[#This Row],[AM]]</f>
        <v>36.74</v>
      </c>
      <c r="BV65" s="97">
        <f>AVERAGE(Tabela1107[[#This Row],[TOTAL SP]:[TOTAL AM]])</f>
        <v>36.677500000000002</v>
      </c>
      <c r="BW65" s="97"/>
      <c r="BX65" s="97"/>
    </row>
    <row r="66" spans="2:76" x14ac:dyDescent="0.25">
      <c r="B66" s="89">
        <v>20273</v>
      </c>
      <c r="C66" s="91" t="s">
        <v>13049</v>
      </c>
      <c r="D66" s="89"/>
      <c r="E66" s="89">
        <v>20140626</v>
      </c>
      <c r="F66" s="89" t="s">
        <v>20891</v>
      </c>
      <c r="G66" s="89" t="s">
        <v>20892</v>
      </c>
      <c r="H66" s="89" t="s">
        <v>20893</v>
      </c>
      <c r="I66" s="89" t="s">
        <v>20894</v>
      </c>
      <c r="J66" s="89" t="s">
        <v>454</v>
      </c>
      <c r="K66" s="89" t="s">
        <v>2475</v>
      </c>
      <c r="L66" s="89" t="s">
        <v>3170</v>
      </c>
      <c r="M66" s="89" t="s">
        <v>4504</v>
      </c>
      <c r="N66" s="89" t="s">
        <v>4494</v>
      </c>
      <c r="O66" s="89" t="s">
        <v>3180</v>
      </c>
      <c r="P66" s="89" t="s">
        <v>4496</v>
      </c>
      <c r="Q66" s="89"/>
      <c r="R66" s="89" t="s">
        <v>39</v>
      </c>
      <c r="S66" s="89" t="s">
        <v>21624</v>
      </c>
      <c r="T66" s="89" t="s">
        <v>21625</v>
      </c>
      <c r="U66" s="89" t="str">
        <f>TRIM('Carga Tributária doenças Po (2'!$L66)</f>
        <v>NEOMICINA</v>
      </c>
      <c r="V66" s="89">
        <f>SUMIFS('Tabela Federal'!$E$4:$E$2069,'Tabela Federal'!$D$4:$D$2069,'Carga Tributária doenças Po (2'!$L66)</f>
        <v>2</v>
      </c>
      <c r="W66" s="89">
        <f>SUMIFS('Tabela Federal'!$E$4:$E$2069,'Tabela Federal'!$D$4:$D$2069,'Carga Tributária doenças Po (2'!$M66)</f>
        <v>0</v>
      </c>
      <c r="X66" s="89">
        <f>SUMIFS('Tabela Federal'!$E$4:$E$2069,'Tabela Federal'!$D$4:$D$2069,'Carga Tributária doenças Po (2'!$N66)</f>
        <v>0</v>
      </c>
      <c r="Y66" s="89">
        <f>SUMIFS('Tabela Federal'!$E$4:$E$2069,'Tabela Federal'!$D$4:$D$2069,'Carga Tributária doenças Po (2'!$O66)</f>
        <v>1</v>
      </c>
      <c r="Z66" s="92" t="str">
        <f>VLOOKUP('Carga Tributária doenças Po (2'!$AD66,'Carga Tributária doenças Po (2'!$CA$12:$CC$16,2,0)</f>
        <v>-</v>
      </c>
      <c r="AA66" s="89" t="s">
        <v>451</v>
      </c>
      <c r="AB66" s="89" t="s">
        <v>21814</v>
      </c>
      <c r="AC66" s="89" t="s">
        <v>21721</v>
      </c>
      <c r="AD66" s="93" t="s">
        <v>19523</v>
      </c>
      <c r="AE66" s="92" t="s">
        <v>4</v>
      </c>
      <c r="AF66" s="92" t="s">
        <v>3</v>
      </c>
      <c r="AG66" s="94">
        <v>1662785</v>
      </c>
      <c r="AH66" s="95">
        <v>11302789</v>
      </c>
      <c r="AI66" s="95">
        <v>25819475.420000002</v>
      </c>
      <c r="AJ66" s="89" t="s">
        <v>460</v>
      </c>
      <c r="AK66" s="89">
        <f>IF('Carga Tributária doenças Po (2'!$Z66="+",0,SUMIFS(PISCOFINS!$I$3:$I$10518,PISCOFINS!$C$3:$C$10518,'Carga Tributária doenças Po (2'!$C66))</f>
        <v>2.1</v>
      </c>
      <c r="AL66" s="89">
        <f>IF('Carga Tributária doenças Po (2'!$Z66="+",0,SUMIFS(PISCOFINS!$H$3:$H$10518,PISCOFINS!$C$3:$C$10518,'Carga Tributária doenças Po (2'!$C66))</f>
        <v>9.9</v>
      </c>
      <c r="AM66" s="95">
        <v>3.27</v>
      </c>
      <c r="AN66" s="95">
        <v>3.12</v>
      </c>
      <c r="AO66" s="95">
        <v>1.35</v>
      </c>
      <c r="AP66" s="96">
        <v>18</v>
      </c>
      <c r="AQ66" s="96">
        <v>12</v>
      </c>
      <c r="AR66" s="96">
        <v>17</v>
      </c>
      <c r="AS66" s="97">
        <v>17</v>
      </c>
      <c r="AT66" s="97">
        <v>19</v>
      </c>
      <c r="AU66" s="97">
        <v>18</v>
      </c>
      <c r="AV66" s="97">
        <v>17</v>
      </c>
      <c r="AW66" s="97">
        <v>17</v>
      </c>
      <c r="AX66" s="97">
        <v>17</v>
      </c>
      <c r="AY66" s="97">
        <v>17</v>
      </c>
      <c r="AZ66" s="97">
        <v>17</v>
      </c>
      <c r="BA66" s="97">
        <v>17</v>
      </c>
      <c r="BB66" s="97">
        <v>17</v>
      </c>
      <c r="BC66" s="97">
        <v>17</v>
      </c>
      <c r="BD66" s="97">
        <v>17</v>
      </c>
      <c r="BE66" s="97">
        <v>17</v>
      </c>
      <c r="BF66" s="97">
        <f>+Tabela1107[[#This Row],[PIS]]+Tabela1107[[#This Row],[COFINS]]+Tabela1107[[#This Row],[CONTRIB. FOLHA]]+Tabela1107[[#This Row],[TRIBUTOS S/ LUCRO]]+Tabela1107[[#This Row],[OUTROS]]+Tabela1107[[#This Row],[SP]]</f>
        <v>37.74</v>
      </c>
      <c r="BG66" s="97">
        <f>+Tabela1107[[#This Row],[PIS]]+Tabela1107[[#This Row],[COFINS]]+Tabela1107[[#This Row],[CONTRIB. FOLHA]]+Tabela1107[[#This Row],[TRIBUTOS S/ LUCRO]]+Tabela1107[[#This Row],[OUTROS]]+Tabela1107[[#This Row],[PR]]</f>
        <v>31.740000000000002</v>
      </c>
      <c r="BH66" s="97">
        <f>+Tabela1107[[#This Row],[PIS]]+Tabela1107[[#This Row],[COFINS]]+Tabela1107[[#This Row],[CONTRIB. FOLHA]]+Tabela1107[[#This Row],[TRIBUTOS S/ LUCRO]]+Tabela1107[[#This Row],[OUTROS]]+Tabela1107[[#This Row],[SC]]</f>
        <v>36.74</v>
      </c>
      <c r="BI66" s="97">
        <f>+Tabela1107[[#This Row],[PIS]]+Tabela1107[[#This Row],[COFINS]]+Tabela1107[[#This Row],[CONTRIB. FOLHA]]+Tabela1107[[#This Row],[TRIBUTOS S/ LUCRO]]+Tabela1107[[#This Row],[OUTROS]]+Tabela1107[[#This Row],[RS]]</f>
        <v>36.74</v>
      </c>
      <c r="BJ66" s="97">
        <f>+Tabela1107[[#This Row],[PIS]]+Tabela1107[[#This Row],[COFINS]]+Tabela1107[[#This Row],[CONTRIB. FOLHA]]+Tabela1107[[#This Row],[TRIBUTOS S/ LUCRO]]+Tabela1107[[#This Row],[OUTROS]]+Tabela1107[[#This Row],[RJ]]</f>
        <v>38.74</v>
      </c>
      <c r="BK66" s="97">
        <f>+Tabela1107[[#This Row],[PIS]]+Tabela1107[[#This Row],[COFINS]]+Tabela1107[[#This Row],[CONTRIB. FOLHA]]+Tabela1107[[#This Row],[TRIBUTOS S/ LUCRO]]+Tabela1107[[#This Row],[OUTROS]]+Tabela1107[[#This Row],[MG]]</f>
        <v>37.74</v>
      </c>
      <c r="BL66" s="97">
        <f>+Tabela1107[[#This Row],[PIS]]+Tabela1107[[#This Row],[COFINS]]+Tabela1107[[#This Row],[CONTRIB. FOLHA]]+Tabela1107[[#This Row],[TRIBUTOS S/ LUCRO]]+Tabela1107[[#This Row],[OUTROS]]+Tabela1107[[#This Row],[ES]]</f>
        <v>36.74</v>
      </c>
      <c r="BM66" s="97">
        <f>+Tabela1107[[#This Row],[PIS]]+Tabela1107[[#This Row],[COFINS]]+Tabela1107[[#This Row],[CONTRIB. FOLHA]]+Tabela1107[[#This Row],[TRIBUTOS S/ LUCRO]]+Tabela1107[[#This Row],[OUTROS]]+Tabela1107[[#This Row],[GO]]</f>
        <v>36.74</v>
      </c>
      <c r="BN66" s="97">
        <f>+Tabela1107[[#This Row],[PIS]]+Tabela1107[[#This Row],[COFINS]]+Tabela1107[[#This Row],[CONTRIB. FOLHA]]+Tabela1107[[#This Row],[TRIBUTOS S/ LUCRO]]+Tabela1107[[#This Row],[OUTROS]]+Tabela1107[[#This Row],[MT]]</f>
        <v>36.74</v>
      </c>
      <c r="BO66" s="97">
        <f>+Tabela1107[[#This Row],[PIS]]+Tabela1107[[#This Row],[COFINS]]+Tabela1107[[#This Row],[CONTRIB. FOLHA]]+Tabela1107[[#This Row],[TRIBUTOS S/ LUCRO]]+Tabela1107[[#This Row],[OUTROS]]+Tabela1107[[#This Row],[MS]]</f>
        <v>36.74</v>
      </c>
      <c r="BP66" s="97">
        <f>+Tabela1107[[#This Row],[PIS]]+Tabela1107[[#This Row],[COFINS]]+Tabela1107[[#This Row],[CONTRIB. FOLHA]]+Tabela1107[[#This Row],[TRIBUTOS S/ LUCRO]]+Tabela1107[[#This Row],[OUTROS]]+Tabela1107[[#This Row],[DF]]</f>
        <v>36.74</v>
      </c>
      <c r="BQ66" s="97">
        <f>+Tabela1107[[#This Row],[PIS]]+Tabela1107[[#This Row],[COFINS]]+Tabela1107[[#This Row],[CONTRIB. FOLHA]]+Tabela1107[[#This Row],[TRIBUTOS S/ LUCRO]]+Tabela1107[[#This Row],[OUTROS]]+Tabela1107[[#This Row],[BA]]</f>
        <v>36.74</v>
      </c>
      <c r="BR66" s="97">
        <f>+Tabela1107[[#This Row],[PIS]]+Tabela1107[[#This Row],[COFINS]]+Tabela1107[[#This Row],[CONTRIB. FOLHA]]+Tabela1107[[#This Row],[TRIBUTOS S/ LUCRO]]+Tabela1107[[#This Row],[OUTROS]]+Tabela1107[[#This Row],[BA]]</f>
        <v>36.74</v>
      </c>
      <c r="BS66" s="97">
        <f>+Tabela1107[[#This Row],[PIS]]+Tabela1107[[#This Row],[COFINS]]+Tabela1107[[#This Row],[CONTRIB. FOLHA]]+Tabela1107[[#This Row],[TRIBUTOS S/ LUCRO]]+Tabela1107[[#This Row],[OUTROS]]+Tabela1107[[#This Row],[PE]]</f>
        <v>36.74</v>
      </c>
      <c r="BT66" s="97">
        <f>+Tabela1107[[#This Row],[PIS]]+Tabela1107[[#This Row],[COFINS]]+Tabela1107[[#This Row],[CONTRIB. FOLHA]]+Tabela1107[[#This Row],[TRIBUTOS S/ LUCRO]]+Tabela1107[[#This Row],[OUTROS]]+Tabela1107[[#This Row],[PA]]</f>
        <v>36.74</v>
      </c>
      <c r="BU66" s="97">
        <f>+Tabela1107[[#This Row],[PIS]]+Tabela1107[[#This Row],[COFINS]]+Tabela1107[[#This Row],[CONTRIB. FOLHA]]+Tabela1107[[#This Row],[TRIBUTOS S/ LUCRO]]+Tabela1107[[#This Row],[OUTROS]]+Tabela1107[[#This Row],[AM]]</f>
        <v>36.74</v>
      </c>
      <c r="BV66" s="97">
        <f>AVERAGE(Tabela1107[[#This Row],[TOTAL SP]:[TOTAL AM]])</f>
        <v>36.677500000000002</v>
      </c>
      <c r="BW66" s="97"/>
      <c r="BX66" s="97"/>
    </row>
    <row r="67" spans="2:76" x14ac:dyDescent="0.25">
      <c r="B67" s="89">
        <v>20273</v>
      </c>
      <c r="C67" s="91" t="s">
        <v>13049</v>
      </c>
      <c r="D67" s="89"/>
      <c r="E67" s="89">
        <v>20140626</v>
      </c>
      <c r="F67" s="89" t="s">
        <v>20891</v>
      </c>
      <c r="G67" s="89" t="s">
        <v>20892</v>
      </c>
      <c r="H67" s="89" t="s">
        <v>20893</v>
      </c>
      <c r="I67" s="89" t="s">
        <v>20894</v>
      </c>
      <c r="J67" s="89" t="s">
        <v>454</v>
      </c>
      <c r="K67" s="89" t="s">
        <v>2475</v>
      </c>
      <c r="L67" s="89" t="s">
        <v>3170</v>
      </c>
      <c r="M67" s="89" t="s">
        <v>4505</v>
      </c>
      <c r="N67" s="89" t="s">
        <v>4494</v>
      </c>
      <c r="O67" s="89" t="s">
        <v>4496</v>
      </c>
      <c r="P67" s="89" t="s">
        <v>4496</v>
      </c>
      <c r="Q67" s="89"/>
      <c r="R67" s="89" t="s">
        <v>39</v>
      </c>
      <c r="S67" s="89" t="s">
        <v>21624</v>
      </c>
      <c r="T67" s="89" t="s">
        <v>21625</v>
      </c>
      <c r="U67" s="89" t="str">
        <f>TRIM('Carga Tributária doenças Po (2'!$L67)</f>
        <v>NEOMICINA</v>
      </c>
      <c r="V67" s="89">
        <f>SUMIFS('Tabela Federal'!$E$4:$E$2069,'Tabela Federal'!$D$4:$D$2069,'Carga Tributária doenças Po (2'!$L67)</f>
        <v>2</v>
      </c>
      <c r="W67" s="89">
        <f>SUMIFS('Tabela Federal'!$E$4:$E$2069,'Tabela Federal'!$D$4:$D$2069,'Carga Tributária doenças Po (2'!$M67)</f>
        <v>0</v>
      </c>
      <c r="X67" s="89">
        <f>SUMIFS('Tabela Federal'!$E$4:$E$2069,'Tabela Federal'!$D$4:$D$2069,'Carga Tributária doenças Po (2'!$N67)</f>
        <v>0</v>
      </c>
      <c r="Y67" s="89">
        <f>SUMIFS('Tabela Federal'!$E$4:$E$2069,'Tabela Federal'!$D$4:$D$2069,'Carga Tributária doenças Po (2'!$O67)</f>
        <v>0</v>
      </c>
      <c r="Z67" s="92" t="str">
        <f>VLOOKUP('Carga Tributária doenças Po (2'!$AD67,'Carga Tributária doenças Po (2'!$CA$12:$CC$16,2,0)</f>
        <v>-</v>
      </c>
      <c r="AA67" s="89" t="s">
        <v>451</v>
      </c>
      <c r="AB67" s="89" t="s">
        <v>21814</v>
      </c>
      <c r="AC67" s="89" t="s">
        <v>21721</v>
      </c>
      <c r="AD67" s="93" t="s">
        <v>19523</v>
      </c>
      <c r="AE67" s="92" t="s">
        <v>4</v>
      </c>
      <c r="AF67" s="92" t="s">
        <v>3</v>
      </c>
      <c r="AG67" s="94">
        <v>1662785</v>
      </c>
      <c r="AH67" s="95">
        <v>11302789</v>
      </c>
      <c r="AI67" s="95">
        <v>25819475.420000002</v>
      </c>
      <c r="AJ67" s="89" t="s">
        <v>554</v>
      </c>
      <c r="AK67" s="89">
        <f>IF('Carga Tributária doenças Po (2'!$Z67="+",0,SUMIFS(PISCOFINS!$I$3:$I$10518,PISCOFINS!$C$3:$C$10518,'Carga Tributária doenças Po (2'!$C67))</f>
        <v>2.1</v>
      </c>
      <c r="AL67" s="89">
        <f>IF('Carga Tributária doenças Po (2'!$Z67="+",0,SUMIFS(PISCOFINS!$H$3:$H$10518,PISCOFINS!$C$3:$C$10518,'Carga Tributária doenças Po (2'!$C67))</f>
        <v>9.9</v>
      </c>
      <c r="AM67" s="95">
        <v>3.27</v>
      </c>
      <c r="AN67" s="95">
        <v>3.12</v>
      </c>
      <c r="AO67" s="95">
        <v>1.35</v>
      </c>
      <c r="AP67" s="96">
        <v>18</v>
      </c>
      <c r="AQ67" s="96">
        <v>12</v>
      </c>
      <c r="AR67" s="96">
        <v>17</v>
      </c>
      <c r="AS67" s="97">
        <v>17</v>
      </c>
      <c r="AT67" s="97">
        <v>19</v>
      </c>
      <c r="AU67" s="97">
        <v>18</v>
      </c>
      <c r="AV67" s="97">
        <v>17</v>
      </c>
      <c r="AW67" s="97">
        <v>17</v>
      </c>
      <c r="AX67" s="97">
        <v>17</v>
      </c>
      <c r="AY67" s="97">
        <v>17</v>
      </c>
      <c r="AZ67" s="97">
        <v>17</v>
      </c>
      <c r="BA67" s="97">
        <v>17</v>
      </c>
      <c r="BB67" s="97">
        <v>17</v>
      </c>
      <c r="BC67" s="97">
        <v>17</v>
      </c>
      <c r="BD67" s="97">
        <v>17</v>
      </c>
      <c r="BE67" s="97">
        <v>17</v>
      </c>
      <c r="BF67" s="97">
        <f>+Tabela1107[[#This Row],[PIS]]+Tabela1107[[#This Row],[COFINS]]+Tabela1107[[#This Row],[CONTRIB. FOLHA]]+Tabela1107[[#This Row],[TRIBUTOS S/ LUCRO]]+Tabela1107[[#This Row],[OUTROS]]+Tabela1107[[#This Row],[SP]]</f>
        <v>37.74</v>
      </c>
      <c r="BG67" s="97">
        <f>+Tabela1107[[#This Row],[PIS]]+Tabela1107[[#This Row],[COFINS]]+Tabela1107[[#This Row],[CONTRIB. FOLHA]]+Tabela1107[[#This Row],[TRIBUTOS S/ LUCRO]]+Tabela1107[[#This Row],[OUTROS]]+Tabela1107[[#This Row],[PR]]</f>
        <v>31.740000000000002</v>
      </c>
      <c r="BH67" s="97">
        <f>+Tabela1107[[#This Row],[PIS]]+Tabela1107[[#This Row],[COFINS]]+Tabela1107[[#This Row],[CONTRIB. FOLHA]]+Tabela1107[[#This Row],[TRIBUTOS S/ LUCRO]]+Tabela1107[[#This Row],[OUTROS]]+Tabela1107[[#This Row],[SC]]</f>
        <v>36.74</v>
      </c>
      <c r="BI67" s="97">
        <f>+Tabela1107[[#This Row],[PIS]]+Tabela1107[[#This Row],[COFINS]]+Tabela1107[[#This Row],[CONTRIB. FOLHA]]+Tabela1107[[#This Row],[TRIBUTOS S/ LUCRO]]+Tabela1107[[#This Row],[OUTROS]]+Tabela1107[[#This Row],[RS]]</f>
        <v>36.74</v>
      </c>
      <c r="BJ67" s="97">
        <f>+Tabela1107[[#This Row],[PIS]]+Tabela1107[[#This Row],[COFINS]]+Tabela1107[[#This Row],[CONTRIB. FOLHA]]+Tabela1107[[#This Row],[TRIBUTOS S/ LUCRO]]+Tabela1107[[#This Row],[OUTROS]]+Tabela1107[[#This Row],[RJ]]</f>
        <v>38.74</v>
      </c>
      <c r="BK67" s="97">
        <f>+Tabela1107[[#This Row],[PIS]]+Tabela1107[[#This Row],[COFINS]]+Tabela1107[[#This Row],[CONTRIB. FOLHA]]+Tabela1107[[#This Row],[TRIBUTOS S/ LUCRO]]+Tabela1107[[#This Row],[OUTROS]]+Tabela1107[[#This Row],[MG]]</f>
        <v>37.74</v>
      </c>
      <c r="BL67" s="97">
        <f>+Tabela1107[[#This Row],[PIS]]+Tabela1107[[#This Row],[COFINS]]+Tabela1107[[#This Row],[CONTRIB. FOLHA]]+Tabela1107[[#This Row],[TRIBUTOS S/ LUCRO]]+Tabela1107[[#This Row],[OUTROS]]+Tabela1107[[#This Row],[ES]]</f>
        <v>36.74</v>
      </c>
      <c r="BM67" s="97">
        <f>+Tabela1107[[#This Row],[PIS]]+Tabela1107[[#This Row],[COFINS]]+Tabela1107[[#This Row],[CONTRIB. FOLHA]]+Tabela1107[[#This Row],[TRIBUTOS S/ LUCRO]]+Tabela1107[[#This Row],[OUTROS]]+Tabela1107[[#This Row],[GO]]</f>
        <v>36.74</v>
      </c>
      <c r="BN67" s="97">
        <f>+Tabela1107[[#This Row],[PIS]]+Tabela1107[[#This Row],[COFINS]]+Tabela1107[[#This Row],[CONTRIB. FOLHA]]+Tabela1107[[#This Row],[TRIBUTOS S/ LUCRO]]+Tabela1107[[#This Row],[OUTROS]]+Tabela1107[[#This Row],[MT]]</f>
        <v>36.74</v>
      </c>
      <c r="BO67" s="97">
        <f>+Tabela1107[[#This Row],[PIS]]+Tabela1107[[#This Row],[COFINS]]+Tabela1107[[#This Row],[CONTRIB. FOLHA]]+Tabela1107[[#This Row],[TRIBUTOS S/ LUCRO]]+Tabela1107[[#This Row],[OUTROS]]+Tabela1107[[#This Row],[MS]]</f>
        <v>36.74</v>
      </c>
      <c r="BP67" s="97">
        <f>+Tabela1107[[#This Row],[PIS]]+Tabela1107[[#This Row],[COFINS]]+Tabela1107[[#This Row],[CONTRIB. FOLHA]]+Tabela1107[[#This Row],[TRIBUTOS S/ LUCRO]]+Tabela1107[[#This Row],[OUTROS]]+Tabela1107[[#This Row],[DF]]</f>
        <v>36.74</v>
      </c>
      <c r="BQ67" s="97">
        <f>+Tabela1107[[#This Row],[PIS]]+Tabela1107[[#This Row],[COFINS]]+Tabela1107[[#This Row],[CONTRIB. FOLHA]]+Tabela1107[[#This Row],[TRIBUTOS S/ LUCRO]]+Tabela1107[[#This Row],[OUTROS]]+Tabela1107[[#This Row],[BA]]</f>
        <v>36.74</v>
      </c>
      <c r="BR67" s="97">
        <f>+Tabela1107[[#This Row],[PIS]]+Tabela1107[[#This Row],[COFINS]]+Tabela1107[[#This Row],[CONTRIB. FOLHA]]+Tabela1107[[#This Row],[TRIBUTOS S/ LUCRO]]+Tabela1107[[#This Row],[OUTROS]]+Tabela1107[[#This Row],[BA]]</f>
        <v>36.74</v>
      </c>
      <c r="BS67" s="97">
        <f>+Tabela1107[[#This Row],[PIS]]+Tabela1107[[#This Row],[COFINS]]+Tabela1107[[#This Row],[CONTRIB. FOLHA]]+Tabela1107[[#This Row],[TRIBUTOS S/ LUCRO]]+Tabela1107[[#This Row],[OUTROS]]+Tabela1107[[#This Row],[PE]]</f>
        <v>36.74</v>
      </c>
      <c r="BT67" s="97">
        <f>+Tabela1107[[#This Row],[PIS]]+Tabela1107[[#This Row],[COFINS]]+Tabela1107[[#This Row],[CONTRIB. FOLHA]]+Tabela1107[[#This Row],[TRIBUTOS S/ LUCRO]]+Tabela1107[[#This Row],[OUTROS]]+Tabela1107[[#This Row],[PA]]</f>
        <v>36.74</v>
      </c>
      <c r="BU67" s="97">
        <f>+Tabela1107[[#This Row],[PIS]]+Tabela1107[[#This Row],[COFINS]]+Tabela1107[[#This Row],[CONTRIB. FOLHA]]+Tabela1107[[#This Row],[TRIBUTOS S/ LUCRO]]+Tabela1107[[#This Row],[OUTROS]]+Tabela1107[[#This Row],[AM]]</f>
        <v>36.74</v>
      </c>
      <c r="BV67" s="97">
        <f>AVERAGE(Tabela1107[[#This Row],[TOTAL SP]:[TOTAL AM]])</f>
        <v>36.677500000000002</v>
      </c>
      <c r="BW67" s="97"/>
      <c r="BX67" s="97"/>
    </row>
    <row r="68" spans="2:76" x14ac:dyDescent="0.25">
      <c r="B68" s="89">
        <v>20678</v>
      </c>
      <c r="C68" s="91" t="s">
        <v>13183</v>
      </c>
      <c r="D68" s="89"/>
      <c r="E68" s="89">
        <v>20140626</v>
      </c>
      <c r="F68" s="89" t="s">
        <v>21530</v>
      </c>
      <c r="G68" s="89" t="s">
        <v>21531</v>
      </c>
      <c r="H68" s="89" t="s">
        <v>21532</v>
      </c>
      <c r="I68" s="89" t="s">
        <v>21533</v>
      </c>
      <c r="J68" s="89" t="s">
        <v>137</v>
      </c>
      <c r="K68" s="89"/>
      <c r="L68" s="89" t="s">
        <v>4346</v>
      </c>
      <c r="M68" s="89" t="s">
        <v>4496</v>
      </c>
      <c r="N68" s="89" t="s">
        <v>4496</v>
      </c>
      <c r="O68" s="89" t="s">
        <v>4496</v>
      </c>
      <c r="P68" s="89" t="s">
        <v>4496</v>
      </c>
      <c r="Q68" s="89"/>
      <c r="R68" s="89" t="s">
        <v>8</v>
      </c>
      <c r="S68" s="89" t="s">
        <v>21598</v>
      </c>
      <c r="T68" s="89" t="s">
        <v>21599</v>
      </c>
      <c r="U68" s="89" t="str">
        <f>TRIM('Carga Tributária doenças Po (2'!$L68)</f>
        <v>ALENDRONATO DE SODIO</v>
      </c>
      <c r="V68" s="89">
        <f>SUMIFS('Tabela Federal'!$E$4:$E$2069,'Tabela Federal'!$D$4:$D$2069,'Carga Tributária doenças Po (2'!$L68)</f>
        <v>3</v>
      </c>
      <c r="W68" s="89">
        <f>SUMIFS('Tabela Federal'!$E$4:$E$2069,'Tabela Federal'!$D$4:$D$2069,'Carga Tributária doenças Po (2'!$M68)</f>
        <v>0</v>
      </c>
      <c r="X68" s="89">
        <f>SUMIFS('Tabela Federal'!$E$4:$E$2069,'Tabela Federal'!$D$4:$D$2069,'Carga Tributária doenças Po (2'!$N68)</f>
        <v>0</v>
      </c>
      <c r="Y68" s="89">
        <f>SUMIFS('Tabela Federal'!$E$4:$E$2069,'Tabela Federal'!$D$4:$D$2069,'Carga Tributária doenças Po (2'!$O68)</f>
        <v>0</v>
      </c>
      <c r="Z68" s="92" t="str">
        <f>VLOOKUP('Carga Tributária doenças Po (2'!$AD68,'Carga Tributária doenças Po (2'!$CA$12:$CC$16,2,0)</f>
        <v>+</v>
      </c>
      <c r="AA68" s="89" t="s">
        <v>138</v>
      </c>
      <c r="AB68" s="89" t="s">
        <v>21891</v>
      </c>
      <c r="AC68" s="89" t="s">
        <v>21721</v>
      </c>
      <c r="AD68" s="93" t="s">
        <v>21722</v>
      </c>
      <c r="AE68" s="92" t="s">
        <v>2</v>
      </c>
      <c r="AF68" s="92" t="s">
        <v>3</v>
      </c>
      <c r="AG68" s="94">
        <v>1085950</v>
      </c>
      <c r="AH68" s="95">
        <v>13824566</v>
      </c>
      <c r="AI68" s="95">
        <v>31545073.329999998</v>
      </c>
      <c r="AJ68" s="89" t="s">
        <v>146</v>
      </c>
      <c r="AK68" s="89">
        <f>IF('Carga Tributária doenças Po (2'!$Z68="+",0,SUMIFS(PISCOFINS!$I$3:$I$10518,PISCOFINS!$C$3:$C$10518,'Carga Tributária doenças Po (2'!$C68))</f>
        <v>0</v>
      </c>
      <c r="AL68" s="89">
        <f>IF('Carga Tributária doenças Po (2'!$Z68="+",0,SUMIFS(PISCOFINS!$H$3:$H$10518,PISCOFINS!$C$3:$C$10518,'Carga Tributária doenças Po (2'!$C68))</f>
        <v>0</v>
      </c>
      <c r="AM68" s="95">
        <v>3.27</v>
      </c>
      <c r="AN68" s="95">
        <v>3.12</v>
      </c>
      <c r="AO68" s="95">
        <v>1.35</v>
      </c>
      <c r="AP68" s="96">
        <v>18</v>
      </c>
      <c r="AQ68" s="96">
        <v>12</v>
      </c>
      <c r="AR68" s="96">
        <v>17</v>
      </c>
      <c r="AS68" s="97">
        <v>17</v>
      </c>
      <c r="AT68" s="97">
        <v>19</v>
      </c>
      <c r="AU68" s="97">
        <v>18</v>
      </c>
      <c r="AV68" s="97">
        <v>17</v>
      </c>
      <c r="AW68" s="97">
        <v>17</v>
      </c>
      <c r="AX68" s="97">
        <v>17</v>
      </c>
      <c r="AY68" s="97">
        <v>17</v>
      </c>
      <c r="AZ68" s="97">
        <v>17</v>
      </c>
      <c r="BA68" s="97">
        <v>17</v>
      </c>
      <c r="BB68" s="97">
        <v>17</v>
      </c>
      <c r="BC68" s="97">
        <v>17</v>
      </c>
      <c r="BD68" s="97">
        <v>17</v>
      </c>
      <c r="BE68" s="97">
        <v>17</v>
      </c>
      <c r="BF68" s="97">
        <f>+Tabela1107[[#This Row],[PIS]]+Tabela1107[[#This Row],[COFINS]]+Tabela1107[[#This Row],[CONTRIB. FOLHA]]+Tabela1107[[#This Row],[TRIBUTOS S/ LUCRO]]+Tabela1107[[#This Row],[OUTROS]]+Tabela1107[[#This Row],[SP]]</f>
        <v>25.740000000000002</v>
      </c>
      <c r="BG68" s="97">
        <f>+Tabela1107[[#This Row],[PIS]]+Tabela1107[[#This Row],[COFINS]]+Tabela1107[[#This Row],[CONTRIB. FOLHA]]+Tabela1107[[#This Row],[TRIBUTOS S/ LUCRO]]+Tabela1107[[#This Row],[OUTROS]]+Tabela1107[[#This Row],[PR]]</f>
        <v>19.740000000000002</v>
      </c>
      <c r="BH68" s="97">
        <f>+Tabela1107[[#This Row],[PIS]]+Tabela1107[[#This Row],[COFINS]]+Tabela1107[[#This Row],[CONTRIB. FOLHA]]+Tabela1107[[#This Row],[TRIBUTOS S/ LUCRO]]+Tabela1107[[#This Row],[OUTROS]]+Tabela1107[[#This Row],[SC]]</f>
        <v>24.740000000000002</v>
      </c>
      <c r="BI68" s="97">
        <f>+Tabela1107[[#This Row],[PIS]]+Tabela1107[[#This Row],[COFINS]]+Tabela1107[[#This Row],[CONTRIB. FOLHA]]+Tabela1107[[#This Row],[TRIBUTOS S/ LUCRO]]+Tabela1107[[#This Row],[OUTROS]]+Tabela1107[[#This Row],[RS]]</f>
        <v>24.740000000000002</v>
      </c>
      <c r="BJ68" s="97">
        <f>+Tabela1107[[#This Row],[PIS]]+Tabela1107[[#This Row],[COFINS]]+Tabela1107[[#This Row],[CONTRIB. FOLHA]]+Tabela1107[[#This Row],[TRIBUTOS S/ LUCRO]]+Tabela1107[[#This Row],[OUTROS]]+Tabela1107[[#This Row],[RJ]]</f>
        <v>26.740000000000002</v>
      </c>
      <c r="BK68" s="97">
        <f>+Tabela1107[[#This Row],[PIS]]+Tabela1107[[#This Row],[COFINS]]+Tabela1107[[#This Row],[CONTRIB. FOLHA]]+Tabela1107[[#This Row],[TRIBUTOS S/ LUCRO]]+Tabela1107[[#This Row],[OUTROS]]+Tabela1107[[#This Row],[MG]]</f>
        <v>25.740000000000002</v>
      </c>
      <c r="BL68" s="97">
        <f>+Tabela1107[[#This Row],[PIS]]+Tabela1107[[#This Row],[COFINS]]+Tabela1107[[#This Row],[CONTRIB. FOLHA]]+Tabela1107[[#This Row],[TRIBUTOS S/ LUCRO]]+Tabela1107[[#This Row],[OUTROS]]+Tabela1107[[#This Row],[ES]]</f>
        <v>24.740000000000002</v>
      </c>
      <c r="BM68" s="97">
        <f>+Tabela1107[[#This Row],[PIS]]+Tabela1107[[#This Row],[COFINS]]+Tabela1107[[#This Row],[CONTRIB. FOLHA]]+Tabela1107[[#This Row],[TRIBUTOS S/ LUCRO]]+Tabela1107[[#This Row],[OUTROS]]+Tabela1107[[#This Row],[GO]]</f>
        <v>24.740000000000002</v>
      </c>
      <c r="BN68" s="97">
        <f>+Tabela1107[[#This Row],[PIS]]+Tabela1107[[#This Row],[COFINS]]+Tabela1107[[#This Row],[CONTRIB. FOLHA]]+Tabela1107[[#This Row],[TRIBUTOS S/ LUCRO]]+Tabela1107[[#This Row],[OUTROS]]+Tabela1107[[#This Row],[MT]]</f>
        <v>24.740000000000002</v>
      </c>
      <c r="BO68" s="97">
        <f>+Tabela1107[[#This Row],[PIS]]+Tabela1107[[#This Row],[COFINS]]+Tabela1107[[#This Row],[CONTRIB. FOLHA]]+Tabela1107[[#This Row],[TRIBUTOS S/ LUCRO]]+Tabela1107[[#This Row],[OUTROS]]+Tabela1107[[#This Row],[MS]]</f>
        <v>24.740000000000002</v>
      </c>
      <c r="BP68" s="97">
        <f>+Tabela1107[[#This Row],[PIS]]+Tabela1107[[#This Row],[COFINS]]+Tabela1107[[#This Row],[CONTRIB. FOLHA]]+Tabela1107[[#This Row],[TRIBUTOS S/ LUCRO]]+Tabela1107[[#This Row],[OUTROS]]+Tabela1107[[#This Row],[DF]]</f>
        <v>24.740000000000002</v>
      </c>
      <c r="BQ68" s="97">
        <f>+Tabela1107[[#This Row],[PIS]]+Tabela1107[[#This Row],[COFINS]]+Tabela1107[[#This Row],[CONTRIB. FOLHA]]+Tabela1107[[#This Row],[TRIBUTOS S/ LUCRO]]+Tabela1107[[#This Row],[OUTROS]]+Tabela1107[[#This Row],[BA]]</f>
        <v>24.740000000000002</v>
      </c>
      <c r="BR68" s="97">
        <f>+Tabela1107[[#This Row],[PIS]]+Tabela1107[[#This Row],[COFINS]]+Tabela1107[[#This Row],[CONTRIB. FOLHA]]+Tabela1107[[#This Row],[TRIBUTOS S/ LUCRO]]+Tabela1107[[#This Row],[OUTROS]]+Tabela1107[[#This Row],[BA]]</f>
        <v>24.740000000000002</v>
      </c>
      <c r="BS68" s="97">
        <f>+Tabela1107[[#This Row],[PIS]]+Tabela1107[[#This Row],[COFINS]]+Tabela1107[[#This Row],[CONTRIB. FOLHA]]+Tabela1107[[#This Row],[TRIBUTOS S/ LUCRO]]+Tabela1107[[#This Row],[OUTROS]]+Tabela1107[[#This Row],[PE]]</f>
        <v>24.740000000000002</v>
      </c>
      <c r="BT68" s="97">
        <f>+Tabela1107[[#This Row],[PIS]]+Tabela1107[[#This Row],[COFINS]]+Tabela1107[[#This Row],[CONTRIB. FOLHA]]+Tabela1107[[#This Row],[TRIBUTOS S/ LUCRO]]+Tabela1107[[#This Row],[OUTROS]]+Tabela1107[[#This Row],[PA]]</f>
        <v>24.740000000000002</v>
      </c>
      <c r="BU68" s="97">
        <f>+Tabela1107[[#This Row],[PIS]]+Tabela1107[[#This Row],[COFINS]]+Tabela1107[[#This Row],[CONTRIB. FOLHA]]+Tabela1107[[#This Row],[TRIBUTOS S/ LUCRO]]+Tabela1107[[#This Row],[OUTROS]]+Tabela1107[[#This Row],[AM]]</f>
        <v>24.740000000000002</v>
      </c>
      <c r="BV68" s="97">
        <f>AVERAGE(Tabela1107[[#This Row],[TOTAL SP]:[TOTAL AM]])</f>
        <v>24.677500000000006</v>
      </c>
      <c r="BW68" s="97"/>
      <c r="BX68" s="97"/>
    </row>
    <row r="69" spans="2:76" x14ac:dyDescent="0.25">
      <c r="B69" s="89">
        <v>3927</v>
      </c>
      <c r="C69" s="91" t="s">
        <v>13147</v>
      </c>
      <c r="D69" s="89"/>
      <c r="E69" s="89">
        <v>20140626</v>
      </c>
      <c r="F69" s="89" t="s">
        <v>20992</v>
      </c>
      <c r="G69" s="89" t="s">
        <v>20993</v>
      </c>
      <c r="H69" s="89" t="s">
        <v>20994</v>
      </c>
      <c r="I69" s="89" t="s">
        <v>2630</v>
      </c>
      <c r="J69" s="89" t="s">
        <v>80</v>
      </c>
      <c r="K69" s="89"/>
      <c r="L69" s="89" t="s">
        <v>2630</v>
      </c>
      <c r="M69" s="89" t="s">
        <v>4496</v>
      </c>
      <c r="N69" s="89" t="s">
        <v>4496</v>
      </c>
      <c r="O69" s="89" t="s">
        <v>4496</v>
      </c>
      <c r="P69" s="89" t="s">
        <v>4496</v>
      </c>
      <c r="Q69" s="89"/>
      <c r="R69" s="89" t="s">
        <v>52</v>
      </c>
      <c r="S69" s="89" t="s">
        <v>21652</v>
      </c>
      <c r="T69" s="89" t="s">
        <v>21653</v>
      </c>
      <c r="U69" s="89" t="str">
        <f>TRIM('Carga Tributária doenças Po (2'!$L69)</f>
        <v>BROMOPRIDA</v>
      </c>
      <c r="V69" s="89">
        <f>SUMIFS('Tabela Federal'!$E$4:$E$2069,'Tabela Federal'!$D$4:$D$2069,'Carga Tributária doenças Po (2'!$L69)</f>
        <v>2</v>
      </c>
      <c r="W69" s="89">
        <f>SUMIFS('Tabela Federal'!$E$4:$E$2069,'Tabela Federal'!$D$4:$D$2069,'Carga Tributária doenças Po (2'!$M69)</f>
        <v>0</v>
      </c>
      <c r="X69" s="89">
        <f>SUMIFS('Tabela Federal'!$E$4:$E$2069,'Tabela Federal'!$D$4:$D$2069,'Carga Tributária doenças Po (2'!$N69)</f>
        <v>0</v>
      </c>
      <c r="Y69" s="89">
        <f>SUMIFS('Tabela Federal'!$E$4:$E$2069,'Tabela Federal'!$D$4:$D$2069,'Carga Tributária doenças Po (2'!$O69)</f>
        <v>0</v>
      </c>
      <c r="Z69" s="92" t="str">
        <f>VLOOKUP('Carga Tributária doenças Po (2'!$AD69,'Carga Tributária doenças Po (2'!$CA$12:$CC$16,2,0)</f>
        <v>-</v>
      </c>
      <c r="AA69" s="89" t="s">
        <v>78</v>
      </c>
      <c r="AB69" s="89" t="s">
        <v>21867</v>
      </c>
      <c r="AC69" s="89" t="s">
        <v>21721</v>
      </c>
      <c r="AD69" s="93" t="s">
        <v>19523</v>
      </c>
      <c r="AE69" s="92" t="s">
        <v>4</v>
      </c>
      <c r="AF69" s="92" t="s">
        <v>10</v>
      </c>
      <c r="AG69" s="94">
        <v>1322736</v>
      </c>
      <c r="AH69" s="95">
        <v>7377117</v>
      </c>
      <c r="AI69" s="95">
        <v>16837582.699999999</v>
      </c>
      <c r="AJ69" s="89" t="s">
        <v>76</v>
      </c>
      <c r="AK69" s="89">
        <f>IF('Carga Tributária doenças Po (2'!$Z69="+",0,SUMIFS(PISCOFINS!$I$3:$I$10518,PISCOFINS!$C$3:$C$10518,'Carga Tributária doenças Po (2'!$C69))</f>
        <v>2.1</v>
      </c>
      <c r="AL69" s="89">
        <f>IF('Carga Tributária doenças Po (2'!$Z69="+",0,SUMIFS(PISCOFINS!$H$3:$H$10518,PISCOFINS!$C$3:$C$10518,'Carga Tributária doenças Po (2'!$C69))</f>
        <v>9.9</v>
      </c>
      <c r="AM69" s="95">
        <v>3.27</v>
      </c>
      <c r="AN69" s="95">
        <v>3.12</v>
      </c>
      <c r="AO69" s="95">
        <v>1.35</v>
      </c>
      <c r="AP69" s="96">
        <v>18</v>
      </c>
      <c r="AQ69" s="96">
        <v>12</v>
      </c>
      <c r="AR69" s="96">
        <v>17</v>
      </c>
      <c r="AS69" s="97">
        <v>17</v>
      </c>
      <c r="AT69" s="97">
        <v>19</v>
      </c>
      <c r="AU69" s="97">
        <v>12</v>
      </c>
      <c r="AV69" s="97">
        <v>17</v>
      </c>
      <c r="AW69" s="97">
        <v>17</v>
      </c>
      <c r="AX69" s="97">
        <v>17</v>
      </c>
      <c r="AY69" s="97">
        <v>17</v>
      </c>
      <c r="AZ69" s="97">
        <v>17</v>
      </c>
      <c r="BA69" s="97">
        <v>17</v>
      </c>
      <c r="BB69" s="97">
        <v>17</v>
      </c>
      <c r="BC69" s="97">
        <v>17</v>
      </c>
      <c r="BD69" s="97">
        <v>17</v>
      </c>
      <c r="BE69" s="97">
        <v>17</v>
      </c>
      <c r="BF69" s="97">
        <f>+Tabela1107[[#This Row],[PIS]]+Tabela1107[[#This Row],[COFINS]]+Tabela1107[[#This Row],[CONTRIB. FOLHA]]+Tabela1107[[#This Row],[TRIBUTOS S/ LUCRO]]+Tabela1107[[#This Row],[OUTROS]]+Tabela1107[[#This Row],[SP]]</f>
        <v>37.74</v>
      </c>
      <c r="BG69" s="97">
        <f>+Tabela1107[[#This Row],[PIS]]+Tabela1107[[#This Row],[COFINS]]+Tabela1107[[#This Row],[CONTRIB. FOLHA]]+Tabela1107[[#This Row],[TRIBUTOS S/ LUCRO]]+Tabela1107[[#This Row],[OUTROS]]+Tabela1107[[#This Row],[PR]]</f>
        <v>31.740000000000002</v>
      </c>
      <c r="BH69" s="97">
        <f>+Tabela1107[[#This Row],[PIS]]+Tabela1107[[#This Row],[COFINS]]+Tabela1107[[#This Row],[CONTRIB. FOLHA]]+Tabela1107[[#This Row],[TRIBUTOS S/ LUCRO]]+Tabela1107[[#This Row],[OUTROS]]+Tabela1107[[#This Row],[SC]]</f>
        <v>36.74</v>
      </c>
      <c r="BI69" s="97">
        <f>+Tabela1107[[#This Row],[PIS]]+Tabela1107[[#This Row],[COFINS]]+Tabela1107[[#This Row],[CONTRIB. FOLHA]]+Tabela1107[[#This Row],[TRIBUTOS S/ LUCRO]]+Tabela1107[[#This Row],[OUTROS]]+Tabela1107[[#This Row],[RS]]</f>
        <v>36.74</v>
      </c>
      <c r="BJ69" s="97">
        <f>+Tabela1107[[#This Row],[PIS]]+Tabela1107[[#This Row],[COFINS]]+Tabela1107[[#This Row],[CONTRIB. FOLHA]]+Tabela1107[[#This Row],[TRIBUTOS S/ LUCRO]]+Tabela1107[[#This Row],[OUTROS]]+Tabela1107[[#This Row],[RJ]]</f>
        <v>38.74</v>
      </c>
      <c r="BK69" s="97">
        <f>+Tabela1107[[#This Row],[PIS]]+Tabela1107[[#This Row],[COFINS]]+Tabela1107[[#This Row],[CONTRIB. FOLHA]]+Tabela1107[[#This Row],[TRIBUTOS S/ LUCRO]]+Tabela1107[[#This Row],[OUTROS]]+Tabela1107[[#This Row],[MG]]</f>
        <v>31.740000000000002</v>
      </c>
      <c r="BL69" s="97">
        <f>+Tabela1107[[#This Row],[PIS]]+Tabela1107[[#This Row],[COFINS]]+Tabela1107[[#This Row],[CONTRIB. FOLHA]]+Tabela1107[[#This Row],[TRIBUTOS S/ LUCRO]]+Tabela1107[[#This Row],[OUTROS]]+Tabela1107[[#This Row],[ES]]</f>
        <v>36.74</v>
      </c>
      <c r="BM69" s="97">
        <f>+Tabela1107[[#This Row],[PIS]]+Tabela1107[[#This Row],[COFINS]]+Tabela1107[[#This Row],[CONTRIB. FOLHA]]+Tabela1107[[#This Row],[TRIBUTOS S/ LUCRO]]+Tabela1107[[#This Row],[OUTROS]]+Tabela1107[[#This Row],[GO]]</f>
        <v>36.74</v>
      </c>
      <c r="BN69" s="97">
        <f>+Tabela1107[[#This Row],[PIS]]+Tabela1107[[#This Row],[COFINS]]+Tabela1107[[#This Row],[CONTRIB. FOLHA]]+Tabela1107[[#This Row],[TRIBUTOS S/ LUCRO]]+Tabela1107[[#This Row],[OUTROS]]+Tabela1107[[#This Row],[MT]]</f>
        <v>36.74</v>
      </c>
      <c r="BO69" s="97">
        <f>+Tabela1107[[#This Row],[PIS]]+Tabela1107[[#This Row],[COFINS]]+Tabela1107[[#This Row],[CONTRIB. FOLHA]]+Tabela1107[[#This Row],[TRIBUTOS S/ LUCRO]]+Tabela1107[[#This Row],[OUTROS]]+Tabela1107[[#This Row],[MS]]</f>
        <v>36.74</v>
      </c>
      <c r="BP69" s="97">
        <f>+Tabela1107[[#This Row],[PIS]]+Tabela1107[[#This Row],[COFINS]]+Tabela1107[[#This Row],[CONTRIB. FOLHA]]+Tabela1107[[#This Row],[TRIBUTOS S/ LUCRO]]+Tabela1107[[#This Row],[OUTROS]]+Tabela1107[[#This Row],[DF]]</f>
        <v>36.74</v>
      </c>
      <c r="BQ69" s="97">
        <f>+Tabela1107[[#This Row],[PIS]]+Tabela1107[[#This Row],[COFINS]]+Tabela1107[[#This Row],[CONTRIB. FOLHA]]+Tabela1107[[#This Row],[TRIBUTOS S/ LUCRO]]+Tabela1107[[#This Row],[OUTROS]]+Tabela1107[[#This Row],[BA]]</f>
        <v>36.74</v>
      </c>
      <c r="BR69" s="97">
        <f>+Tabela1107[[#This Row],[PIS]]+Tabela1107[[#This Row],[COFINS]]+Tabela1107[[#This Row],[CONTRIB. FOLHA]]+Tabela1107[[#This Row],[TRIBUTOS S/ LUCRO]]+Tabela1107[[#This Row],[OUTROS]]+Tabela1107[[#This Row],[BA]]</f>
        <v>36.74</v>
      </c>
      <c r="BS69" s="97">
        <f>+Tabela1107[[#This Row],[PIS]]+Tabela1107[[#This Row],[COFINS]]+Tabela1107[[#This Row],[CONTRIB. FOLHA]]+Tabela1107[[#This Row],[TRIBUTOS S/ LUCRO]]+Tabela1107[[#This Row],[OUTROS]]+Tabela1107[[#This Row],[PE]]</f>
        <v>36.74</v>
      </c>
      <c r="BT69" s="97">
        <f>+Tabela1107[[#This Row],[PIS]]+Tabela1107[[#This Row],[COFINS]]+Tabela1107[[#This Row],[CONTRIB. FOLHA]]+Tabela1107[[#This Row],[TRIBUTOS S/ LUCRO]]+Tabela1107[[#This Row],[OUTROS]]+Tabela1107[[#This Row],[PA]]</f>
        <v>36.74</v>
      </c>
      <c r="BU69" s="97">
        <f>+Tabela1107[[#This Row],[PIS]]+Tabela1107[[#This Row],[COFINS]]+Tabela1107[[#This Row],[CONTRIB. FOLHA]]+Tabela1107[[#This Row],[TRIBUTOS S/ LUCRO]]+Tabela1107[[#This Row],[OUTROS]]+Tabela1107[[#This Row],[AM]]</f>
        <v>36.74</v>
      </c>
      <c r="BV69" s="97">
        <f>AVERAGE(Tabela1107[[#This Row],[TOTAL SP]:[TOTAL AM]])</f>
        <v>36.302500000000002</v>
      </c>
      <c r="BW69" s="97"/>
      <c r="BX69" s="97"/>
    </row>
    <row r="70" spans="2:76" x14ac:dyDescent="0.25">
      <c r="B70" s="89">
        <v>13418</v>
      </c>
      <c r="C70" s="91" t="s">
        <v>13133</v>
      </c>
      <c r="D70" s="89"/>
      <c r="E70" s="89">
        <v>20140626</v>
      </c>
      <c r="F70" s="89" t="s">
        <v>21056</v>
      </c>
      <c r="G70" s="89" t="s">
        <v>21057</v>
      </c>
      <c r="H70" s="89" t="s">
        <v>21058</v>
      </c>
      <c r="I70" s="89" t="s">
        <v>21059</v>
      </c>
      <c r="J70" s="89" t="s">
        <v>448</v>
      </c>
      <c r="K70" s="89" t="s">
        <v>2441</v>
      </c>
      <c r="L70" s="89" t="s">
        <v>2614</v>
      </c>
      <c r="M70" s="89" t="s">
        <v>4496</v>
      </c>
      <c r="N70" s="89" t="s">
        <v>4496</v>
      </c>
      <c r="O70" s="89" t="s">
        <v>4496</v>
      </c>
      <c r="P70" s="89" t="s">
        <v>4496</v>
      </c>
      <c r="Q70" s="89"/>
      <c r="R70" s="89" t="s">
        <v>68</v>
      </c>
      <c r="S70" s="89" t="s">
        <v>21664</v>
      </c>
      <c r="T70" s="89" t="s">
        <v>21665</v>
      </c>
      <c r="U70" s="89" t="str">
        <f>TRIM('Carga Tributária doenças Po (2'!$L70)</f>
        <v>IBUPROFENO</v>
      </c>
      <c r="V70" s="89">
        <f>SUMIFS('Tabela Federal'!$E$4:$E$2069,'Tabela Federal'!$D$4:$D$2069,'Carga Tributária doenças Po (2'!$L70)</f>
        <v>2</v>
      </c>
      <c r="W70" s="89">
        <f>SUMIFS('Tabela Federal'!$E$4:$E$2069,'Tabela Federal'!$D$4:$D$2069,'Carga Tributária doenças Po (2'!$M70)</f>
        <v>0</v>
      </c>
      <c r="X70" s="89">
        <f>SUMIFS('Tabela Federal'!$E$4:$E$2069,'Tabela Federal'!$D$4:$D$2069,'Carga Tributária doenças Po (2'!$N70)</f>
        <v>0</v>
      </c>
      <c r="Y70" s="89">
        <f>SUMIFS('Tabela Federal'!$E$4:$E$2069,'Tabela Federal'!$D$4:$D$2069,'Carga Tributária doenças Po (2'!$O70)</f>
        <v>0</v>
      </c>
      <c r="Z70" s="92" t="str">
        <f>VLOOKUP('Carga Tributária doenças Po (2'!$AD70,'Carga Tributária doenças Po (2'!$CA$12:$CC$16,2,0)</f>
        <v>+</v>
      </c>
      <c r="AA70" s="89" t="s">
        <v>7</v>
      </c>
      <c r="AB70" s="89" t="s">
        <v>21765</v>
      </c>
      <c r="AC70" s="89" t="s">
        <v>21721</v>
      </c>
      <c r="AD70" s="93" t="s">
        <v>21722</v>
      </c>
      <c r="AE70" s="92" t="s">
        <v>2</v>
      </c>
      <c r="AF70" s="92" t="s">
        <v>3</v>
      </c>
      <c r="AG70" s="94">
        <v>2149208</v>
      </c>
      <c r="AH70" s="95">
        <v>17675970</v>
      </c>
      <c r="AI70" s="95">
        <v>40312585.399999999</v>
      </c>
      <c r="AJ70" s="89" t="s">
        <v>449</v>
      </c>
      <c r="AK70" s="89">
        <f>IF('Carga Tributária doenças Po (2'!$Z70="+",0,SUMIFS(PISCOFINS!$I$3:$I$10518,PISCOFINS!$C$3:$C$10518,'Carga Tributária doenças Po (2'!$C70))</f>
        <v>0</v>
      </c>
      <c r="AL70" s="89">
        <f>IF('Carga Tributária doenças Po (2'!$Z70="+",0,SUMIFS(PISCOFINS!$H$3:$H$10518,PISCOFINS!$C$3:$C$10518,'Carga Tributária doenças Po (2'!$C70))</f>
        <v>0</v>
      </c>
      <c r="AM70" s="95">
        <v>3.27</v>
      </c>
      <c r="AN70" s="95">
        <v>3.12</v>
      </c>
      <c r="AO70" s="95">
        <v>1.35</v>
      </c>
      <c r="AP70" s="96">
        <v>18</v>
      </c>
      <c r="AQ70" s="96">
        <v>12</v>
      </c>
      <c r="AR70" s="96">
        <v>17</v>
      </c>
      <c r="AS70" s="97">
        <v>17</v>
      </c>
      <c r="AT70" s="97">
        <v>19</v>
      </c>
      <c r="AU70" s="97">
        <v>18</v>
      </c>
      <c r="AV70" s="97">
        <v>17</v>
      </c>
      <c r="AW70" s="97">
        <v>17</v>
      </c>
      <c r="AX70" s="97">
        <v>17</v>
      </c>
      <c r="AY70" s="97">
        <v>17</v>
      </c>
      <c r="AZ70" s="97">
        <v>17</v>
      </c>
      <c r="BA70" s="97">
        <v>17</v>
      </c>
      <c r="BB70" s="97">
        <v>17</v>
      </c>
      <c r="BC70" s="97">
        <v>17</v>
      </c>
      <c r="BD70" s="97">
        <v>17</v>
      </c>
      <c r="BE70" s="97">
        <v>17</v>
      </c>
      <c r="BF70" s="97">
        <f>+Tabela1107[[#This Row],[PIS]]+Tabela1107[[#This Row],[COFINS]]+Tabela1107[[#This Row],[CONTRIB. FOLHA]]+Tabela1107[[#This Row],[TRIBUTOS S/ LUCRO]]+Tabela1107[[#This Row],[OUTROS]]+Tabela1107[[#This Row],[SP]]</f>
        <v>25.740000000000002</v>
      </c>
      <c r="BG70" s="97">
        <f>+Tabela1107[[#This Row],[PIS]]+Tabela1107[[#This Row],[COFINS]]+Tabela1107[[#This Row],[CONTRIB. FOLHA]]+Tabela1107[[#This Row],[TRIBUTOS S/ LUCRO]]+Tabela1107[[#This Row],[OUTROS]]+Tabela1107[[#This Row],[PR]]</f>
        <v>19.740000000000002</v>
      </c>
      <c r="BH70" s="97">
        <f>+Tabela1107[[#This Row],[PIS]]+Tabela1107[[#This Row],[COFINS]]+Tabela1107[[#This Row],[CONTRIB. FOLHA]]+Tabela1107[[#This Row],[TRIBUTOS S/ LUCRO]]+Tabela1107[[#This Row],[OUTROS]]+Tabela1107[[#This Row],[SC]]</f>
        <v>24.740000000000002</v>
      </c>
      <c r="BI70" s="97">
        <f>+Tabela1107[[#This Row],[PIS]]+Tabela1107[[#This Row],[COFINS]]+Tabela1107[[#This Row],[CONTRIB. FOLHA]]+Tabela1107[[#This Row],[TRIBUTOS S/ LUCRO]]+Tabela1107[[#This Row],[OUTROS]]+Tabela1107[[#This Row],[RS]]</f>
        <v>24.740000000000002</v>
      </c>
      <c r="BJ70" s="97">
        <f>+Tabela1107[[#This Row],[PIS]]+Tabela1107[[#This Row],[COFINS]]+Tabela1107[[#This Row],[CONTRIB. FOLHA]]+Tabela1107[[#This Row],[TRIBUTOS S/ LUCRO]]+Tabela1107[[#This Row],[OUTROS]]+Tabela1107[[#This Row],[RJ]]</f>
        <v>26.740000000000002</v>
      </c>
      <c r="BK70" s="97">
        <f>+Tabela1107[[#This Row],[PIS]]+Tabela1107[[#This Row],[COFINS]]+Tabela1107[[#This Row],[CONTRIB. FOLHA]]+Tabela1107[[#This Row],[TRIBUTOS S/ LUCRO]]+Tabela1107[[#This Row],[OUTROS]]+Tabela1107[[#This Row],[MG]]</f>
        <v>25.740000000000002</v>
      </c>
      <c r="BL70" s="97">
        <f>+Tabela1107[[#This Row],[PIS]]+Tabela1107[[#This Row],[COFINS]]+Tabela1107[[#This Row],[CONTRIB. FOLHA]]+Tabela1107[[#This Row],[TRIBUTOS S/ LUCRO]]+Tabela1107[[#This Row],[OUTROS]]+Tabela1107[[#This Row],[ES]]</f>
        <v>24.740000000000002</v>
      </c>
      <c r="BM70" s="97">
        <f>+Tabela1107[[#This Row],[PIS]]+Tabela1107[[#This Row],[COFINS]]+Tabela1107[[#This Row],[CONTRIB. FOLHA]]+Tabela1107[[#This Row],[TRIBUTOS S/ LUCRO]]+Tabela1107[[#This Row],[OUTROS]]+Tabela1107[[#This Row],[GO]]</f>
        <v>24.740000000000002</v>
      </c>
      <c r="BN70" s="97">
        <f>+Tabela1107[[#This Row],[PIS]]+Tabela1107[[#This Row],[COFINS]]+Tabela1107[[#This Row],[CONTRIB. FOLHA]]+Tabela1107[[#This Row],[TRIBUTOS S/ LUCRO]]+Tabela1107[[#This Row],[OUTROS]]+Tabela1107[[#This Row],[MT]]</f>
        <v>24.740000000000002</v>
      </c>
      <c r="BO70" s="97">
        <f>+Tabela1107[[#This Row],[PIS]]+Tabela1107[[#This Row],[COFINS]]+Tabela1107[[#This Row],[CONTRIB. FOLHA]]+Tabela1107[[#This Row],[TRIBUTOS S/ LUCRO]]+Tabela1107[[#This Row],[OUTROS]]+Tabela1107[[#This Row],[MS]]</f>
        <v>24.740000000000002</v>
      </c>
      <c r="BP70" s="97">
        <f>+Tabela1107[[#This Row],[PIS]]+Tabela1107[[#This Row],[COFINS]]+Tabela1107[[#This Row],[CONTRIB. FOLHA]]+Tabela1107[[#This Row],[TRIBUTOS S/ LUCRO]]+Tabela1107[[#This Row],[OUTROS]]+Tabela1107[[#This Row],[DF]]</f>
        <v>24.740000000000002</v>
      </c>
      <c r="BQ70" s="97">
        <f>+Tabela1107[[#This Row],[PIS]]+Tabela1107[[#This Row],[COFINS]]+Tabela1107[[#This Row],[CONTRIB. FOLHA]]+Tabela1107[[#This Row],[TRIBUTOS S/ LUCRO]]+Tabela1107[[#This Row],[OUTROS]]+Tabela1107[[#This Row],[BA]]</f>
        <v>24.740000000000002</v>
      </c>
      <c r="BR70" s="97">
        <f>+Tabela1107[[#This Row],[PIS]]+Tabela1107[[#This Row],[COFINS]]+Tabela1107[[#This Row],[CONTRIB. FOLHA]]+Tabela1107[[#This Row],[TRIBUTOS S/ LUCRO]]+Tabela1107[[#This Row],[OUTROS]]+Tabela1107[[#This Row],[BA]]</f>
        <v>24.740000000000002</v>
      </c>
      <c r="BS70" s="97">
        <f>+Tabela1107[[#This Row],[PIS]]+Tabela1107[[#This Row],[COFINS]]+Tabela1107[[#This Row],[CONTRIB. FOLHA]]+Tabela1107[[#This Row],[TRIBUTOS S/ LUCRO]]+Tabela1107[[#This Row],[OUTROS]]+Tabela1107[[#This Row],[PE]]</f>
        <v>24.740000000000002</v>
      </c>
      <c r="BT70" s="97">
        <f>+Tabela1107[[#This Row],[PIS]]+Tabela1107[[#This Row],[COFINS]]+Tabela1107[[#This Row],[CONTRIB. FOLHA]]+Tabela1107[[#This Row],[TRIBUTOS S/ LUCRO]]+Tabela1107[[#This Row],[OUTROS]]+Tabela1107[[#This Row],[PA]]</f>
        <v>24.740000000000002</v>
      </c>
      <c r="BU70" s="97">
        <f>+Tabela1107[[#This Row],[PIS]]+Tabela1107[[#This Row],[COFINS]]+Tabela1107[[#This Row],[CONTRIB. FOLHA]]+Tabela1107[[#This Row],[TRIBUTOS S/ LUCRO]]+Tabela1107[[#This Row],[OUTROS]]+Tabela1107[[#This Row],[AM]]</f>
        <v>24.740000000000002</v>
      </c>
      <c r="BV70" s="97">
        <f>AVERAGE(Tabela1107[[#This Row],[TOTAL SP]:[TOTAL AM]])</f>
        <v>24.677500000000006</v>
      </c>
      <c r="BW70" s="97"/>
      <c r="BX70" s="97"/>
    </row>
    <row r="71" spans="2:76" x14ac:dyDescent="0.25">
      <c r="B71" s="89">
        <v>13418</v>
      </c>
      <c r="C71" s="91" t="s">
        <v>13133</v>
      </c>
      <c r="D71" s="89"/>
      <c r="E71" s="89">
        <v>20140626</v>
      </c>
      <c r="F71" s="89" t="s">
        <v>21056</v>
      </c>
      <c r="G71" s="89" t="s">
        <v>21057</v>
      </c>
      <c r="H71" s="89" t="s">
        <v>21058</v>
      </c>
      <c r="I71" s="89" t="s">
        <v>21059</v>
      </c>
      <c r="J71" s="89" t="s">
        <v>448</v>
      </c>
      <c r="K71" s="89" t="s">
        <v>2441</v>
      </c>
      <c r="L71" s="89" t="s">
        <v>2614</v>
      </c>
      <c r="M71" s="89" t="s">
        <v>4496</v>
      </c>
      <c r="N71" s="89" t="s">
        <v>4496</v>
      </c>
      <c r="O71" s="89" t="s">
        <v>4496</v>
      </c>
      <c r="P71" s="89" t="s">
        <v>4496</v>
      </c>
      <c r="Q71" s="89"/>
      <c r="R71" s="89" t="s">
        <v>68</v>
      </c>
      <c r="S71" s="89" t="s">
        <v>21664</v>
      </c>
      <c r="T71" s="89" t="s">
        <v>21665</v>
      </c>
      <c r="U71" s="89" t="str">
        <f>TRIM('Carga Tributária doenças Po (2'!$L71)</f>
        <v>IBUPROFENO</v>
      </c>
      <c r="V71" s="89">
        <f>SUMIFS('Tabela Federal'!$E$4:$E$2069,'Tabela Federal'!$D$4:$D$2069,'Carga Tributária doenças Po (2'!$L71)</f>
        <v>2</v>
      </c>
      <c r="W71" s="89">
        <f>SUMIFS('Tabela Federal'!$E$4:$E$2069,'Tabela Federal'!$D$4:$D$2069,'Carga Tributária doenças Po (2'!$M71)</f>
        <v>0</v>
      </c>
      <c r="X71" s="89">
        <f>SUMIFS('Tabela Federal'!$E$4:$E$2069,'Tabela Federal'!$D$4:$D$2069,'Carga Tributária doenças Po (2'!$N71)</f>
        <v>0</v>
      </c>
      <c r="Y71" s="89">
        <f>SUMIFS('Tabela Federal'!$E$4:$E$2069,'Tabela Federal'!$D$4:$D$2069,'Carga Tributária doenças Po (2'!$O71)</f>
        <v>0</v>
      </c>
      <c r="Z71" s="92" t="str">
        <f>VLOOKUP('Carga Tributária doenças Po (2'!$AD71,'Carga Tributária doenças Po (2'!$CA$12:$CC$16,2,0)</f>
        <v>+</v>
      </c>
      <c r="AA71" s="89" t="s">
        <v>7</v>
      </c>
      <c r="AB71" s="89" t="s">
        <v>21765</v>
      </c>
      <c r="AC71" s="89" t="s">
        <v>21721</v>
      </c>
      <c r="AD71" s="93" t="s">
        <v>21722</v>
      </c>
      <c r="AE71" s="92" t="s">
        <v>2</v>
      </c>
      <c r="AF71" s="92" t="s">
        <v>3</v>
      </c>
      <c r="AG71" s="94">
        <v>2149208</v>
      </c>
      <c r="AH71" s="95">
        <v>17675970</v>
      </c>
      <c r="AI71" s="95">
        <v>40312585.399999999</v>
      </c>
      <c r="AJ71" s="89" t="s">
        <v>559</v>
      </c>
      <c r="AK71" s="89">
        <f>IF('Carga Tributária doenças Po (2'!$Z71="+",0,SUMIFS(PISCOFINS!$I$3:$I$10518,PISCOFINS!$C$3:$C$10518,'Carga Tributária doenças Po (2'!$C71))</f>
        <v>0</v>
      </c>
      <c r="AL71" s="89">
        <f>IF('Carga Tributária doenças Po (2'!$Z71="+",0,SUMIFS(PISCOFINS!$H$3:$H$10518,PISCOFINS!$C$3:$C$10518,'Carga Tributária doenças Po (2'!$C71))</f>
        <v>0</v>
      </c>
      <c r="AM71" s="95">
        <v>3.27</v>
      </c>
      <c r="AN71" s="95">
        <v>3.12</v>
      </c>
      <c r="AO71" s="95">
        <v>1.35</v>
      </c>
      <c r="AP71" s="96">
        <v>18</v>
      </c>
      <c r="AQ71" s="96">
        <v>12</v>
      </c>
      <c r="AR71" s="96">
        <v>17</v>
      </c>
      <c r="AS71" s="97">
        <v>17</v>
      </c>
      <c r="AT71" s="97">
        <v>19</v>
      </c>
      <c r="AU71" s="97">
        <v>18</v>
      </c>
      <c r="AV71" s="97">
        <v>17</v>
      </c>
      <c r="AW71" s="97">
        <v>17</v>
      </c>
      <c r="AX71" s="97">
        <v>17</v>
      </c>
      <c r="AY71" s="97">
        <v>17</v>
      </c>
      <c r="AZ71" s="97">
        <v>17</v>
      </c>
      <c r="BA71" s="97">
        <v>17</v>
      </c>
      <c r="BB71" s="97">
        <v>17</v>
      </c>
      <c r="BC71" s="97">
        <v>17</v>
      </c>
      <c r="BD71" s="97">
        <v>17</v>
      </c>
      <c r="BE71" s="97">
        <v>17</v>
      </c>
      <c r="BF71" s="97">
        <f>+Tabela1107[[#This Row],[PIS]]+Tabela1107[[#This Row],[COFINS]]+Tabela1107[[#This Row],[CONTRIB. FOLHA]]+Tabela1107[[#This Row],[TRIBUTOS S/ LUCRO]]+Tabela1107[[#This Row],[OUTROS]]+Tabela1107[[#This Row],[SP]]</f>
        <v>25.740000000000002</v>
      </c>
      <c r="BG71" s="97">
        <f>+Tabela1107[[#This Row],[PIS]]+Tabela1107[[#This Row],[COFINS]]+Tabela1107[[#This Row],[CONTRIB. FOLHA]]+Tabela1107[[#This Row],[TRIBUTOS S/ LUCRO]]+Tabela1107[[#This Row],[OUTROS]]+Tabela1107[[#This Row],[PR]]</f>
        <v>19.740000000000002</v>
      </c>
      <c r="BH71" s="97">
        <f>+Tabela1107[[#This Row],[PIS]]+Tabela1107[[#This Row],[COFINS]]+Tabela1107[[#This Row],[CONTRIB. FOLHA]]+Tabela1107[[#This Row],[TRIBUTOS S/ LUCRO]]+Tabela1107[[#This Row],[OUTROS]]+Tabela1107[[#This Row],[SC]]</f>
        <v>24.740000000000002</v>
      </c>
      <c r="BI71" s="97">
        <f>+Tabela1107[[#This Row],[PIS]]+Tabela1107[[#This Row],[COFINS]]+Tabela1107[[#This Row],[CONTRIB. FOLHA]]+Tabela1107[[#This Row],[TRIBUTOS S/ LUCRO]]+Tabela1107[[#This Row],[OUTROS]]+Tabela1107[[#This Row],[RS]]</f>
        <v>24.740000000000002</v>
      </c>
      <c r="BJ71" s="97">
        <f>+Tabela1107[[#This Row],[PIS]]+Tabela1107[[#This Row],[COFINS]]+Tabela1107[[#This Row],[CONTRIB. FOLHA]]+Tabela1107[[#This Row],[TRIBUTOS S/ LUCRO]]+Tabela1107[[#This Row],[OUTROS]]+Tabela1107[[#This Row],[RJ]]</f>
        <v>26.740000000000002</v>
      </c>
      <c r="BK71" s="97">
        <f>+Tabela1107[[#This Row],[PIS]]+Tabela1107[[#This Row],[COFINS]]+Tabela1107[[#This Row],[CONTRIB. FOLHA]]+Tabela1107[[#This Row],[TRIBUTOS S/ LUCRO]]+Tabela1107[[#This Row],[OUTROS]]+Tabela1107[[#This Row],[MG]]</f>
        <v>25.740000000000002</v>
      </c>
      <c r="BL71" s="97">
        <f>+Tabela1107[[#This Row],[PIS]]+Tabela1107[[#This Row],[COFINS]]+Tabela1107[[#This Row],[CONTRIB. FOLHA]]+Tabela1107[[#This Row],[TRIBUTOS S/ LUCRO]]+Tabela1107[[#This Row],[OUTROS]]+Tabela1107[[#This Row],[ES]]</f>
        <v>24.740000000000002</v>
      </c>
      <c r="BM71" s="97">
        <f>+Tabela1107[[#This Row],[PIS]]+Tabela1107[[#This Row],[COFINS]]+Tabela1107[[#This Row],[CONTRIB. FOLHA]]+Tabela1107[[#This Row],[TRIBUTOS S/ LUCRO]]+Tabela1107[[#This Row],[OUTROS]]+Tabela1107[[#This Row],[GO]]</f>
        <v>24.740000000000002</v>
      </c>
      <c r="BN71" s="97">
        <f>+Tabela1107[[#This Row],[PIS]]+Tabela1107[[#This Row],[COFINS]]+Tabela1107[[#This Row],[CONTRIB. FOLHA]]+Tabela1107[[#This Row],[TRIBUTOS S/ LUCRO]]+Tabela1107[[#This Row],[OUTROS]]+Tabela1107[[#This Row],[MT]]</f>
        <v>24.740000000000002</v>
      </c>
      <c r="BO71" s="97">
        <f>+Tabela1107[[#This Row],[PIS]]+Tabela1107[[#This Row],[COFINS]]+Tabela1107[[#This Row],[CONTRIB. FOLHA]]+Tabela1107[[#This Row],[TRIBUTOS S/ LUCRO]]+Tabela1107[[#This Row],[OUTROS]]+Tabela1107[[#This Row],[MS]]</f>
        <v>24.740000000000002</v>
      </c>
      <c r="BP71" s="97">
        <f>+Tabela1107[[#This Row],[PIS]]+Tabela1107[[#This Row],[COFINS]]+Tabela1107[[#This Row],[CONTRIB. FOLHA]]+Tabela1107[[#This Row],[TRIBUTOS S/ LUCRO]]+Tabela1107[[#This Row],[OUTROS]]+Tabela1107[[#This Row],[DF]]</f>
        <v>24.740000000000002</v>
      </c>
      <c r="BQ71" s="97">
        <f>+Tabela1107[[#This Row],[PIS]]+Tabela1107[[#This Row],[COFINS]]+Tabela1107[[#This Row],[CONTRIB. FOLHA]]+Tabela1107[[#This Row],[TRIBUTOS S/ LUCRO]]+Tabela1107[[#This Row],[OUTROS]]+Tabela1107[[#This Row],[BA]]</f>
        <v>24.740000000000002</v>
      </c>
      <c r="BR71" s="97">
        <f>+Tabela1107[[#This Row],[PIS]]+Tabela1107[[#This Row],[COFINS]]+Tabela1107[[#This Row],[CONTRIB. FOLHA]]+Tabela1107[[#This Row],[TRIBUTOS S/ LUCRO]]+Tabela1107[[#This Row],[OUTROS]]+Tabela1107[[#This Row],[BA]]</f>
        <v>24.740000000000002</v>
      </c>
      <c r="BS71" s="97">
        <f>+Tabela1107[[#This Row],[PIS]]+Tabela1107[[#This Row],[COFINS]]+Tabela1107[[#This Row],[CONTRIB. FOLHA]]+Tabela1107[[#This Row],[TRIBUTOS S/ LUCRO]]+Tabela1107[[#This Row],[OUTROS]]+Tabela1107[[#This Row],[PE]]</f>
        <v>24.740000000000002</v>
      </c>
      <c r="BT71" s="97">
        <f>+Tabela1107[[#This Row],[PIS]]+Tabela1107[[#This Row],[COFINS]]+Tabela1107[[#This Row],[CONTRIB. FOLHA]]+Tabela1107[[#This Row],[TRIBUTOS S/ LUCRO]]+Tabela1107[[#This Row],[OUTROS]]+Tabela1107[[#This Row],[PA]]</f>
        <v>24.740000000000002</v>
      </c>
      <c r="BU71" s="97">
        <f>+Tabela1107[[#This Row],[PIS]]+Tabela1107[[#This Row],[COFINS]]+Tabela1107[[#This Row],[CONTRIB. FOLHA]]+Tabela1107[[#This Row],[TRIBUTOS S/ LUCRO]]+Tabela1107[[#This Row],[OUTROS]]+Tabela1107[[#This Row],[AM]]</f>
        <v>24.740000000000002</v>
      </c>
      <c r="BV71" s="97">
        <f>AVERAGE(Tabela1107[[#This Row],[TOTAL SP]:[TOTAL AM]])</f>
        <v>24.677500000000006</v>
      </c>
      <c r="BW71" s="97"/>
      <c r="BX71" s="97"/>
    </row>
    <row r="72" spans="2:76" x14ac:dyDescent="0.25">
      <c r="B72" s="89">
        <v>4117</v>
      </c>
      <c r="C72" s="91" t="s">
        <v>13113</v>
      </c>
      <c r="D72" s="89"/>
      <c r="E72" s="89">
        <v>20140626</v>
      </c>
      <c r="F72" s="89" t="s">
        <v>20522</v>
      </c>
      <c r="G72" s="89" t="s">
        <v>20523</v>
      </c>
      <c r="H72" s="89" t="s">
        <v>20524</v>
      </c>
      <c r="I72" s="89" t="s">
        <v>20525</v>
      </c>
      <c r="J72" s="89" t="s">
        <v>36</v>
      </c>
      <c r="K72" s="89"/>
      <c r="L72" s="89" t="s">
        <v>3160</v>
      </c>
      <c r="M72" s="89" t="s">
        <v>2632</v>
      </c>
      <c r="N72" s="89" t="s">
        <v>4496</v>
      </c>
      <c r="O72" s="89" t="s">
        <v>4496</v>
      </c>
      <c r="P72" s="89" t="s">
        <v>4496</v>
      </c>
      <c r="Q72" s="89"/>
      <c r="R72" s="89" t="s">
        <v>22</v>
      </c>
      <c r="S72" s="89" t="s">
        <v>21600</v>
      </c>
      <c r="T72" s="89" t="s">
        <v>21601</v>
      </c>
      <c r="U72" s="89" t="str">
        <f>TRIM('Carga Tributária doenças Po (2'!$L72)</f>
        <v>ESCOPOLAMINA</v>
      </c>
      <c r="V72" s="89">
        <f>SUMIFS('Tabela Federal'!$E$4:$E$2069,'Tabela Federal'!$D$4:$D$2069,'Carga Tributária doenças Po (2'!$L72)</f>
        <v>0</v>
      </c>
      <c r="W72" s="89">
        <f>SUMIFS('Tabela Federal'!$E$4:$E$2069,'Tabela Federal'!$D$4:$D$2069,'Carga Tributária doenças Po (2'!$M72)</f>
        <v>0</v>
      </c>
      <c r="X72" s="89">
        <f>SUMIFS('Tabela Federal'!$E$4:$E$2069,'Tabela Federal'!$D$4:$D$2069,'Carga Tributária doenças Po (2'!$N72)</f>
        <v>0</v>
      </c>
      <c r="Y72" s="89">
        <f>SUMIFS('Tabela Federal'!$E$4:$E$2069,'Tabela Federal'!$D$4:$D$2069,'Carga Tributária doenças Po (2'!$O72)</f>
        <v>0</v>
      </c>
      <c r="Z72" s="92" t="str">
        <f>VLOOKUP('Carga Tributária doenças Po (2'!$AD72,'Carga Tributária doenças Po (2'!$CA$12:$CC$16,2,0)</f>
        <v>-</v>
      </c>
      <c r="AA72" s="89" t="s">
        <v>31</v>
      </c>
      <c r="AB72" s="89" t="s">
        <v>21766</v>
      </c>
      <c r="AC72" s="89" t="s">
        <v>21740</v>
      </c>
      <c r="AD72" s="93" t="s">
        <v>19523</v>
      </c>
      <c r="AE72" s="92" t="s">
        <v>4</v>
      </c>
      <c r="AF72" s="92" t="s">
        <v>23</v>
      </c>
      <c r="AG72" s="94">
        <v>1259973</v>
      </c>
      <c r="AH72" s="95">
        <v>7360076</v>
      </c>
      <c r="AI72" s="95">
        <v>16811904.609999999</v>
      </c>
      <c r="AJ72" s="89" t="s">
        <v>449</v>
      </c>
      <c r="AK72" s="89">
        <f>IF('Carga Tributária doenças Po (2'!$Z72="+",0,SUMIFS(PISCOFINS!$I$3:$I$10518,PISCOFINS!$C$3:$C$10518,'Carga Tributária doenças Po (2'!$C72))</f>
        <v>2.1</v>
      </c>
      <c r="AL72" s="89">
        <f>IF('Carga Tributária doenças Po (2'!$Z72="+",0,SUMIFS(PISCOFINS!$H$3:$H$10518,PISCOFINS!$C$3:$C$10518,'Carga Tributária doenças Po (2'!$C72))</f>
        <v>9.9</v>
      </c>
      <c r="AM72" s="95">
        <v>3.27</v>
      </c>
      <c r="AN72" s="95">
        <v>3.12</v>
      </c>
      <c r="AO72" s="95">
        <v>1.35</v>
      </c>
      <c r="AP72" s="96">
        <v>18</v>
      </c>
      <c r="AQ72" s="96">
        <v>12</v>
      </c>
      <c r="AR72" s="96">
        <v>17</v>
      </c>
      <c r="AS72" s="97">
        <v>17</v>
      </c>
      <c r="AT72" s="97">
        <v>19</v>
      </c>
      <c r="AU72" s="97">
        <v>18</v>
      </c>
      <c r="AV72" s="97">
        <v>17</v>
      </c>
      <c r="AW72" s="97">
        <v>17</v>
      </c>
      <c r="AX72" s="97">
        <v>17</v>
      </c>
      <c r="AY72" s="97">
        <v>17</v>
      </c>
      <c r="AZ72" s="97">
        <v>17</v>
      </c>
      <c r="BA72" s="97">
        <v>17</v>
      </c>
      <c r="BB72" s="97">
        <v>17</v>
      </c>
      <c r="BC72" s="97">
        <v>17</v>
      </c>
      <c r="BD72" s="97">
        <v>17</v>
      </c>
      <c r="BE72" s="97">
        <v>17</v>
      </c>
      <c r="BF72" s="97">
        <f>+Tabela1107[[#This Row],[PIS]]+Tabela1107[[#This Row],[COFINS]]+Tabela1107[[#This Row],[CONTRIB. FOLHA]]+Tabela1107[[#This Row],[TRIBUTOS S/ LUCRO]]+Tabela1107[[#This Row],[OUTROS]]+Tabela1107[[#This Row],[SP]]</f>
        <v>37.74</v>
      </c>
      <c r="BG72" s="97">
        <f>+Tabela1107[[#This Row],[PIS]]+Tabela1107[[#This Row],[COFINS]]+Tabela1107[[#This Row],[CONTRIB. FOLHA]]+Tabela1107[[#This Row],[TRIBUTOS S/ LUCRO]]+Tabela1107[[#This Row],[OUTROS]]+Tabela1107[[#This Row],[PR]]</f>
        <v>31.740000000000002</v>
      </c>
      <c r="BH72" s="97">
        <f>+Tabela1107[[#This Row],[PIS]]+Tabela1107[[#This Row],[COFINS]]+Tabela1107[[#This Row],[CONTRIB. FOLHA]]+Tabela1107[[#This Row],[TRIBUTOS S/ LUCRO]]+Tabela1107[[#This Row],[OUTROS]]+Tabela1107[[#This Row],[SC]]</f>
        <v>36.74</v>
      </c>
      <c r="BI72" s="97">
        <f>+Tabela1107[[#This Row],[PIS]]+Tabela1107[[#This Row],[COFINS]]+Tabela1107[[#This Row],[CONTRIB. FOLHA]]+Tabela1107[[#This Row],[TRIBUTOS S/ LUCRO]]+Tabela1107[[#This Row],[OUTROS]]+Tabela1107[[#This Row],[RS]]</f>
        <v>36.74</v>
      </c>
      <c r="BJ72" s="97">
        <f>+Tabela1107[[#This Row],[PIS]]+Tabela1107[[#This Row],[COFINS]]+Tabela1107[[#This Row],[CONTRIB. FOLHA]]+Tabela1107[[#This Row],[TRIBUTOS S/ LUCRO]]+Tabela1107[[#This Row],[OUTROS]]+Tabela1107[[#This Row],[RJ]]</f>
        <v>38.74</v>
      </c>
      <c r="BK72" s="97">
        <f>+Tabela1107[[#This Row],[PIS]]+Tabela1107[[#This Row],[COFINS]]+Tabela1107[[#This Row],[CONTRIB. FOLHA]]+Tabela1107[[#This Row],[TRIBUTOS S/ LUCRO]]+Tabela1107[[#This Row],[OUTROS]]+Tabela1107[[#This Row],[MG]]</f>
        <v>37.74</v>
      </c>
      <c r="BL72" s="97">
        <f>+Tabela1107[[#This Row],[PIS]]+Tabela1107[[#This Row],[COFINS]]+Tabela1107[[#This Row],[CONTRIB. FOLHA]]+Tabela1107[[#This Row],[TRIBUTOS S/ LUCRO]]+Tabela1107[[#This Row],[OUTROS]]+Tabela1107[[#This Row],[ES]]</f>
        <v>36.74</v>
      </c>
      <c r="BM72" s="97">
        <f>+Tabela1107[[#This Row],[PIS]]+Tabela1107[[#This Row],[COFINS]]+Tabela1107[[#This Row],[CONTRIB. FOLHA]]+Tabela1107[[#This Row],[TRIBUTOS S/ LUCRO]]+Tabela1107[[#This Row],[OUTROS]]+Tabela1107[[#This Row],[GO]]</f>
        <v>36.74</v>
      </c>
      <c r="BN72" s="97">
        <f>+Tabela1107[[#This Row],[PIS]]+Tabela1107[[#This Row],[COFINS]]+Tabela1107[[#This Row],[CONTRIB. FOLHA]]+Tabela1107[[#This Row],[TRIBUTOS S/ LUCRO]]+Tabela1107[[#This Row],[OUTROS]]+Tabela1107[[#This Row],[MT]]</f>
        <v>36.74</v>
      </c>
      <c r="BO72" s="97">
        <f>+Tabela1107[[#This Row],[PIS]]+Tabela1107[[#This Row],[COFINS]]+Tabela1107[[#This Row],[CONTRIB. FOLHA]]+Tabela1107[[#This Row],[TRIBUTOS S/ LUCRO]]+Tabela1107[[#This Row],[OUTROS]]+Tabela1107[[#This Row],[MS]]</f>
        <v>36.74</v>
      </c>
      <c r="BP72" s="97">
        <f>+Tabela1107[[#This Row],[PIS]]+Tabela1107[[#This Row],[COFINS]]+Tabela1107[[#This Row],[CONTRIB. FOLHA]]+Tabela1107[[#This Row],[TRIBUTOS S/ LUCRO]]+Tabela1107[[#This Row],[OUTROS]]+Tabela1107[[#This Row],[DF]]</f>
        <v>36.74</v>
      </c>
      <c r="BQ72" s="97">
        <f>+Tabela1107[[#This Row],[PIS]]+Tabela1107[[#This Row],[COFINS]]+Tabela1107[[#This Row],[CONTRIB. FOLHA]]+Tabela1107[[#This Row],[TRIBUTOS S/ LUCRO]]+Tabela1107[[#This Row],[OUTROS]]+Tabela1107[[#This Row],[BA]]</f>
        <v>36.74</v>
      </c>
      <c r="BR72" s="97">
        <f>+Tabela1107[[#This Row],[PIS]]+Tabela1107[[#This Row],[COFINS]]+Tabela1107[[#This Row],[CONTRIB. FOLHA]]+Tabela1107[[#This Row],[TRIBUTOS S/ LUCRO]]+Tabela1107[[#This Row],[OUTROS]]+Tabela1107[[#This Row],[BA]]</f>
        <v>36.74</v>
      </c>
      <c r="BS72" s="97">
        <f>+Tabela1107[[#This Row],[PIS]]+Tabela1107[[#This Row],[COFINS]]+Tabela1107[[#This Row],[CONTRIB. FOLHA]]+Tabela1107[[#This Row],[TRIBUTOS S/ LUCRO]]+Tabela1107[[#This Row],[OUTROS]]+Tabela1107[[#This Row],[PE]]</f>
        <v>36.74</v>
      </c>
      <c r="BT72" s="97">
        <f>+Tabela1107[[#This Row],[PIS]]+Tabela1107[[#This Row],[COFINS]]+Tabela1107[[#This Row],[CONTRIB. FOLHA]]+Tabela1107[[#This Row],[TRIBUTOS S/ LUCRO]]+Tabela1107[[#This Row],[OUTROS]]+Tabela1107[[#This Row],[PA]]</f>
        <v>36.74</v>
      </c>
      <c r="BU72" s="97">
        <f>+Tabela1107[[#This Row],[PIS]]+Tabela1107[[#This Row],[COFINS]]+Tabela1107[[#This Row],[CONTRIB. FOLHA]]+Tabela1107[[#This Row],[TRIBUTOS S/ LUCRO]]+Tabela1107[[#This Row],[OUTROS]]+Tabela1107[[#This Row],[AM]]</f>
        <v>36.74</v>
      </c>
      <c r="BV72" s="97">
        <f>AVERAGE(Tabela1107[[#This Row],[TOTAL SP]:[TOTAL AM]])</f>
        <v>36.677500000000002</v>
      </c>
      <c r="BW72" s="97"/>
      <c r="BX72" s="97"/>
    </row>
    <row r="73" spans="2:76" x14ac:dyDescent="0.25">
      <c r="B73" s="89">
        <v>4117</v>
      </c>
      <c r="C73" s="91" t="s">
        <v>13113</v>
      </c>
      <c r="D73" s="89"/>
      <c r="E73" s="89">
        <v>20140626</v>
      </c>
      <c r="F73" s="89" t="s">
        <v>20522</v>
      </c>
      <c r="G73" s="89" t="s">
        <v>20523</v>
      </c>
      <c r="H73" s="89" t="s">
        <v>20524</v>
      </c>
      <c r="I73" s="89" t="s">
        <v>20525</v>
      </c>
      <c r="J73" s="89" t="s">
        <v>36</v>
      </c>
      <c r="K73" s="89"/>
      <c r="L73" s="89" t="s">
        <v>3160</v>
      </c>
      <c r="M73" s="89" t="s">
        <v>2632</v>
      </c>
      <c r="N73" s="89" t="s">
        <v>4496</v>
      </c>
      <c r="O73" s="89" t="s">
        <v>4496</v>
      </c>
      <c r="P73" s="89" t="s">
        <v>4496</v>
      </c>
      <c r="Q73" s="89"/>
      <c r="R73" s="89" t="s">
        <v>22</v>
      </c>
      <c r="S73" s="89" t="s">
        <v>21600</v>
      </c>
      <c r="T73" s="89" t="s">
        <v>21601</v>
      </c>
      <c r="U73" s="89" t="str">
        <f>TRIM('Carga Tributária doenças Po (2'!$L73)</f>
        <v>ESCOPOLAMINA</v>
      </c>
      <c r="V73" s="89">
        <f>SUMIFS('Tabela Federal'!$E$4:$E$2069,'Tabela Federal'!$D$4:$D$2069,'Carga Tributária doenças Po (2'!$L73)</f>
        <v>0</v>
      </c>
      <c r="W73" s="89">
        <f>SUMIFS('Tabela Federal'!$E$4:$E$2069,'Tabela Federal'!$D$4:$D$2069,'Carga Tributária doenças Po (2'!$M73)</f>
        <v>0</v>
      </c>
      <c r="X73" s="89">
        <f>SUMIFS('Tabela Federal'!$E$4:$E$2069,'Tabela Federal'!$D$4:$D$2069,'Carga Tributária doenças Po (2'!$N73)</f>
        <v>0</v>
      </c>
      <c r="Y73" s="89">
        <f>SUMIFS('Tabela Federal'!$E$4:$E$2069,'Tabela Federal'!$D$4:$D$2069,'Carga Tributária doenças Po (2'!$O73)</f>
        <v>0</v>
      </c>
      <c r="Z73" s="92" t="str">
        <f>VLOOKUP('Carga Tributária doenças Po (2'!$AD73,'Carga Tributária doenças Po (2'!$CA$12:$CC$16,2,0)</f>
        <v>-</v>
      </c>
      <c r="AA73" s="89" t="s">
        <v>31</v>
      </c>
      <c r="AB73" s="89" t="s">
        <v>21766</v>
      </c>
      <c r="AC73" s="89" t="s">
        <v>21740</v>
      </c>
      <c r="AD73" s="93" t="s">
        <v>19523</v>
      </c>
      <c r="AE73" s="92" t="s">
        <v>4</v>
      </c>
      <c r="AF73" s="92" t="s">
        <v>23</v>
      </c>
      <c r="AG73" s="94">
        <v>1259973</v>
      </c>
      <c r="AH73" s="95">
        <v>7360076</v>
      </c>
      <c r="AI73" s="95">
        <v>16811904.609999999</v>
      </c>
      <c r="AJ73" s="89" t="s">
        <v>40</v>
      </c>
      <c r="AK73" s="89">
        <f>IF('Carga Tributária doenças Po (2'!$Z73="+",0,SUMIFS(PISCOFINS!$I$3:$I$10518,PISCOFINS!$C$3:$C$10518,'Carga Tributária doenças Po (2'!$C73))</f>
        <v>2.1</v>
      </c>
      <c r="AL73" s="89">
        <f>IF('Carga Tributária doenças Po (2'!$Z73="+",0,SUMIFS(PISCOFINS!$H$3:$H$10518,PISCOFINS!$C$3:$C$10518,'Carga Tributária doenças Po (2'!$C73))</f>
        <v>9.9</v>
      </c>
      <c r="AM73" s="95">
        <v>3.27</v>
      </c>
      <c r="AN73" s="95">
        <v>3.12</v>
      </c>
      <c r="AO73" s="95">
        <v>1.35</v>
      </c>
      <c r="AP73" s="96">
        <v>18</v>
      </c>
      <c r="AQ73" s="96">
        <v>12</v>
      </c>
      <c r="AR73" s="96">
        <v>17</v>
      </c>
      <c r="AS73" s="97">
        <v>17</v>
      </c>
      <c r="AT73" s="97">
        <v>19</v>
      </c>
      <c r="AU73" s="97">
        <v>18</v>
      </c>
      <c r="AV73" s="97">
        <v>17</v>
      </c>
      <c r="AW73" s="97">
        <v>17</v>
      </c>
      <c r="AX73" s="97">
        <v>17</v>
      </c>
      <c r="AY73" s="97">
        <v>17</v>
      </c>
      <c r="AZ73" s="97">
        <v>17</v>
      </c>
      <c r="BA73" s="97">
        <v>17</v>
      </c>
      <c r="BB73" s="97">
        <v>17</v>
      </c>
      <c r="BC73" s="97">
        <v>17</v>
      </c>
      <c r="BD73" s="97">
        <v>17</v>
      </c>
      <c r="BE73" s="97">
        <v>17</v>
      </c>
      <c r="BF73" s="97">
        <f>+Tabela1107[[#This Row],[PIS]]+Tabela1107[[#This Row],[COFINS]]+Tabela1107[[#This Row],[CONTRIB. FOLHA]]+Tabela1107[[#This Row],[TRIBUTOS S/ LUCRO]]+Tabela1107[[#This Row],[OUTROS]]+Tabela1107[[#This Row],[SP]]</f>
        <v>37.74</v>
      </c>
      <c r="BG73" s="97">
        <f>+Tabela1107[[#This Row],[PIS]]+Tabela1107[[#This Row],[COFINS]]+Tabela1107[[#This Row],[CONTRIB. FOLHA]]+Tabela1107[[#This Row],[TRIBUTOS S/ LUCRO]]+Tabela1107[[#This Row],[OUTROS]]+Tabela1107[[#This Row],[PR]]</f>
        <v>31.740000000000002</v>
      </c>
      <c r="BH73" s="97">
        <f>+Tabela1107[[#This Row],[PIS]]+Tabela1107[[#This Row],[COFINS]]+Tabela1107[[#This Row],[CONTRIB. FOLHA]]+Tabela1107[[#This Row],[TRIBUTOS S/ LUCRO]]+Tabela1107[[#This Row],[OUTROS]]+Tabela1107[[#This Row],[SC]]</f>
        <v>36.74</v>
      </c>
      <c r="BI73" s="97">
        <f>+Tabela1107[[#This Row],[PIS]]+Tabela1107[[#This Row],[COFINS]]+Tabela1107[[#This Row],[CONTRIB. FOLHA]]+Tabela1107[[#This Row],[TRIBUTOS S/ LUCRO]]+Tabela1107[[#This Row],[OUTROS]]+Tabela1107[[#This Row],[RS]]</f>
        <v>36.74</v>
      </c>
      <c r="BJ73" s="97">
        <f>+Tabela1107[[#This Row],[PIS]]+Tabela1107[[#This Row],[COFINS]]+Tabela1107[[#This Row],[CONTRIB. FOLHA]]+Tabela1107[[#This Row],[TRIBUTOS S/ LUCRO]]+Tabela1107[[#This Row],[OUTROS]]+Tabela1107[[#This Row],[RJ]]</f>
        <v>38.74</v>
      </c>
      <c r="BK73" s="97">
        <f>+Tabela1107[[#This Row],[PIS]]+Tabela1107[[#This Row],[COFINS]]+Tabela1107[[#This Row],[CONTRIB. FOLHA]]+Tabela1107[[#This Row],[TRIBUTOS S/ LUCRO]]+Tabela1107[[#This Row],[OUTROS]]+Tabela1107[[#This Row],[MG]]</f>
        <v>37.74</v>
      </c>
      <c r="BL73" s="97">
        <f>+Tabela1107[[#This Row],[PIS]]+Tabela1107[[#This Row],[COFINS]]+Tabela1107[[#This Row],[CONTRIB. FOLHA]]+Tabela1107[[#This Row],[TRIBUTOS S/ LUCRO]]+Tabela1107[[#This Row],[OUTROS]]+Tabela1107[[#This Row],[ES]]</f>
        <v>36.74</v>
      </c>
      <c r="BM73" s="97">
        <f>+Tabela1107[[#This Row],[PIS]]+Tabela1107[[#This Row],[COFINS]]+Tabela1107[[#This Row],[CONTRIB. FOLHA]]+Tabela1107[[#This Row],[TRIBUTOS S/ LUCRO]]+Tabela1107[[#This Row],[OUTROS]]+Tabela1107[[#This Row],[GO]]</f>
        <v>36.74</v>
      </c>
      <c r="BN73" s="97">
        <f>+Tabela1107[[#This Row],[PIS]]+Tabela1107[[#This Row],[COFINS]]+Tabela1107[[#This Row],[CONTRIB. FOLHA]]+Tabela1107[[#This Row],[TRIBUTOS S/ LUCRO]]+Tabela1107[[#This Row],[OUTROS]]+Tabela1107[[#This Row],[MT]]</f>
        <v>36.74</v>
      </c>
      <c r="BO73" s="97">
        <f>+Tabela1107[[#This Row],[PIS]]+Tabela1107[[#This Row],[COFINS]]+Tabela1107[[#This Row],[CONTRIB. FOLHA]]+Tabela1107[[#This Row],[TRIBUTOS S/ LUCRO]]+Tabela1107[[#This Row],[OUTROS]]+Tabela1107[[#This Row],[MS]]</f>
        <v>36.74</v>
      </c>
      <c r="BP73" s="97">
        <f>+Tabela1107[[#This Row],[PIS]]+Tabela1107[[#This Row],[COFINS]]+Tabela1107[[#This Row],[CONTRIB. FOLHA]]+Tabela1107[[#This Row],[TRIBUTOS S/ LUCRO]]+Tabela1107[[#This Row],[OUTROS]]+Tabela1107[[#This Row],[DF]]</f>
        <v>36.74</v>
      </c>
      <c r="BQ73" s="97">
        <f>+Tabela1107[[#This Row],[PIS]]+Tabela1107[[#This Row],[COFINS]]+Tabela1107[[#This Row],[CONTRIB. FOLHA]]+Tabela1107[[#This Row],[TRIBUTOS S/ LUCRO]]+Tabela1107[[#This Row],[OUTROS]]+Tabela1107[[#This Row],[BA]]</f>
        <v>36.74</v>
      </c>
      <c r="BR73" s="97">
        <f>+Tabela1107[[#This Row],[PIS]]+Tabela1107[[#This Row],[COFINS]]+Tabela1107[[#This Row],[CONTRIB. FOLHA]]+Tabela1107[[#This Row],[TRIBUTOS S/ LUCRO]]+Tabela1107[[#This Row],[OUTROS]]+Tabela1107[[#This Row],[BA]]</f>
        <v>36.74</v>
      </c>
      <c r="BS73" s="97">
        <f>+Tabela1107[[#This Row],[PIS]]+Tabela1107[[#This Row],[COFINS]]+Tabela1107[[#This Row],[CONTRIB. FOLHA]]+Tabela1107[[#This Row],[TRIBUTOS S/ LUCRO]]+Tabela1107[[#This Row],[OUTROS]]+Tabela1107[[#This Row],[PE]]</f>
        <v>36.74</v>
      </c>
      <c r="BT73" s="97">
        <f>+Tabela1107[[#This Row],[PIS]]+Tabela1107[[#This Row],[COFINS]]+Tabela1107[[#This Row],[CONTRIB. FOLHA]]+Tabela1107[[#This Row],[TRIBUTOS S/ LUCRO]]+Tabela1107[[#This Row],[OUTROS]]+Tabela1107[[#This Row],[PA]]</f>
        <v>36.74</v>
      </c>
      <c r="BU73" s="97">
        <f>+Tabela1107[[#This Row],[PIS]]+Tabela1107[[#This Row],[COFINS]]+Tabela1107[[#This Row],[CONTRIB. FOLHA]]+Tabela1107[[#This Row],[TRIBUTOS S/ LUCRO]]+Tabela1107[[#This Row],[OUTROS]]+Tabela1107[[#This Row],[AM]]</f>
        <v>36.74</v>
      </c>
      <c r="BV73" s="97">
        <f>AVERAGE(Tabela1107[[#This Row],[TOTAL SP]:[TOTAL AM]])</f>
        <v>36.677500000000002</v>
      </c>
      <c r="BW73" s="97"/>
      <c r="BX73" s="97"/>
    </row>
    <row r="74" spans="2:76" x14ac:dyDescent="0.25">
      <c r="B74" s="89">
        <v>12789</v>
      </c>
      <c r="C74" s="91" t="s">
        <v>13133</v>
      </c>
      <c r="D74" s="89"/>
      <c r="E74" s="89">
        <v>20140626</v>
      </c>
      <c r="F74" s="89" t="s">
        <v>20526</v>
      </c>
      <c r="G74" s="89" t="s">
        <v>20527</v>
      </c>
      <c r="H74" s="89" t="s">
        <v>20528</v>
      </c>
      <c r="I74" s="89" t="s">
        <v>20529</v>
      </c>
      <c r="J74" s="89" t="s">
        <v>446</v>
      </c>
      <c r="K74" s="89"/>
      <c r="L74" s="89" t="s">
        <v>2614</v>
      </c>
      <c r="M74" s="89" t="s">
        <v>4496</v>
      </c>
      <c r="N74" s="89" t="s">
        <v>4496</v>
      </c>
      <c r="O74" s="89" t="s">
        <v>4496</v>
      </c>
      <c r="P74" s="89" t="s">
        <v>4496</v>
      </c>
      <c r="Q74" s="89"/>
      <c r="R74" s="89" t="s">
        <v>22</v>
      </c>
      <c r="S74" s="89" t="s">
        <v>21600</v>
      </c>
      <c r="T74" s="89" t="s">
        <v>21601</v>
      </c>
      <c r="U74" s="89" t="str">
        <f>TRIM('Carga Tributária doenças Po (2'!$L74)</f>
        <v>IBUPROFENO</v>
      </c>
      <c r="V74" s="89">
        <f>SUMIFS('Tabela Federal'!$E$4:$E$2069,'Tabela Federal'!$D$4:$D$2069,'Carga Tributária doenças Po (2'!$L74)</f>
        <v>2</v>
      </c>
      <c r="W74" s="89">
        <f>SUMIFS('Tabela Federal'!$E$4:$E$2069,'Tabela Federal'!$D$4:$D$2069,'Carga Tributária doenças Po (2'!$M74)</f>
        <v>0</v>
      </c>
      <c r="X74" s="89">
        <f>SUMIFS('Tabela Federal'!$E$4:$E$2069,'Tabela Federal'!$D$4:$D$2069,'Carga Tributária doenças Po (2'!$N74)</f>
        <v>0</v>
      </c>
      <c r="Y74" s="89">
        <f>SUMIFS('Tabela Federal'!$E$4:$E$2069,'Tabela Federal'!$D$4:$D$2069,'Carga Tributária doenças Po (2'!$O74)</f>
        <v>0</v>
      </c>
      <c r="Z74" s="92" t="str">
        <f>VLOOKUP('Carga Tributária doenças Po (2'!$AD74,'Carga Tributária doenças Po (2'!$CA$12:$CC$16,2,0)</f>
        <v>-</v>
      </c>
      <c r="AA74" s="89" t="s">
        <v>447</v>
      </c>
      <c r="AB74" s="89" t="s">
        <v>21765</v>
      </c>
      <c r="AC74" s="89" t="s">
        <v>21740</v>
      </c>
      <c r="AD74" s="93" t="s">
        <v>19523</v>
      </c>
      <c r="AE74" s="92" t="s">
        <v>2</v>
      </c>
      <c r="AF74" s="92" t="s">
        <v>3</v>
      </c>
      <c r="AG74" s="94">
        <v>3633255</v>
      </c>
      <c r="AH74" s="95">
        <v>18151890</v>
      </c>
      <c r="AI74" s="95">
        <v>41468954.880000003</v>
      </c>
      <c r="AJ74" s="89" t="s">
        <v>449</v>
      </c>
      <c r="AK74" s="89">
        <f>IF('Carga Tributária doenças Po (2'!$Z74="+",0,SUMIFS(PISCOFINS!$I$3:$I$10518,PISCOFINS!$C$3:$C$10518,'Carga Tributária doenças Po (2'!$C74))</f>
        <v>2.1</v>
      </c>
      <c r="AL74" s="89">
        <f>IF('Carga Tributária doenças Po (2'!$Z74="+",0,SUMIFS(PISCOFINS!$H$3:$H$10518,PISCOFINS!$C$3:$C$10518,'Carga Tributária doenças Po (2'!$C74))</f>
        <v>9.9</v>
      </c>
      <c r="AM74" s="95">
        <v>3.27</v>
      </c>
      <c r="AN74" s="95">
        <v>3.12</v>
      </c>
      <c r="AO74" s="95">
        <v>1.35</v>
      </c>
      <c r="AP74" s="96">
        <v>18</v>
      </c>
      <c r="AQ74" s="96">
        <v>12</v>
      </c>
      <c r="AR74" s="96">
        <v>17</v>
      </c>
      <c r="AS74" s="97">
        <v>17</v>
      </c>
      <c r="AT74" s="97">
        <v>19</v>
      </c>
      <c r="AU74" s="97">
        <v>18</v>
      </c>
      <c r="AV74" s="97">
        <v>17</v>
      </c>
      <c r="AW74" s="97">
        <v>17</v>
      </c>
      <c r="AX74" s="97">
        <v>17</v>
      </c>
      <c r="AY74" s="97">
        <v>17</v>
      </c>
      <c r="AZ74" s="97">
        <v>17</v>
      </c>
      <c r="BA74" s="97">
        <v>17</v>
      </c>
      <c r="BB74" s="97">
        <v>17</v>
      </c>
      <c r="BC74" s="97">
        <v>17</v>
      </c>
      <c r="BD74" s="97">
        <v>17</v>
      </c>
      <c r="BE74" s="97">
        <v>17</v>
      </c>
      <c r="BF74" s="97">
        <f>+Tabela1107[[#This Row],[PIS]]+Tabela1107[[#This Row],[COFINS]]+Tabela1107[[#This Row],[CONTRIB. FOLHA]]+Tabela1107[[#This Row],[TRIBUTOS S/ LUCRO]]+Tabela1107[[#This Row],[OUTROS]]+Tabela1107[[#This Row],[SP]]</f>
        <v>37.74</v>
      </c>
      <c r="BG74" s="97">
        <f>+Tabela1107[[#This Row],[PIS]]+Tabela1107[[#This Row],[COFINS]]+Tabela1107[[#This Row],[CONTRIB. FOLHA]]+Tabela1107[[#This Row],[TRIBUTOS S/ LUCRO]]+Tabela1107[[#This Row],[OUTROS]]+Tabela1107[[#This Row],[PR]]</f>
        <v>31.740000000000002</v>
      </c>
      <c r="BH74" s="97">
        <f>+Tabela1107[[#This Row],[PIS]]+Tabela1107[[#This Row],[COFINS]]+Tabela1107[[#This Row],[CONTRIB. FOLHA]]+Tabela1107[[#This Row],[TRIBUTOS S/ LUCRO]]+Tabela1107[[#This Row],[OUTROS]]+Tabela1107[[#This Row],[SC]]</f>
        <v>36.74</v>
      </c>
      <c r="BI74" s="97">
        <f>+Tabela1107[[#This Row],[PIS]]+Tabela1107[[#This Row],[COFINS]]+Tabela1107[[#This Row],[CONTRIB. FOLHA]]+Tabela1107[[#This Row],[TRIBUTOS S/ LUCRO]]+Tabela1107[[#This Row],[OUTROS]]+Tabela1107[[#This Row],[RS]]</f>
        <v>36.74</v>
      </c>
      <c r="BJ74" s="97">
        <f>+Tabela1107[[#This Row],[PIS]]+Tabela1107[[#This Row],[COFINS]]+Tabela1107[[#This Row],[CONTRIB. FOLHA]]+Tabela1107[[#This Row],[TRIBUTOS S/ LUCRO]]+Tabela1107[[#This Row],[OUTROS]]+Tabela1107[[#This Row],[RJ]]</f>
        <v>38.74</v>
      </c>
      <c r="BK74" s="97">
        <f>+Tabela1107[[#This Row],[PIS]]+Tabela1107[[#This Row],[COFINS]]+Tabela1107[[#This Row],[CONTRIB. FOLHA]]+Tabela1107[[#This Row],[TRIBUTOS S/ LUCRO]]+Tabela1107[[#This Row],[OUTROS]]+Tabela1107[[#This Row],[MG]]</f>
        <v>37.74</v>
      </c>
      <c r="BL74" s="97">
        <f>+Tabela1107[[#This Row],[PIS]]+Tabela1107[[#This Row],[COFINS]]+Tabela1107[[#This Row],[CONTRIB. FOLHA]]+Tabela1107[[#This Row],[TRIBUTOS S/ LUCRO]]+Tabela1107[[#This Row],[OUTROS]]+Tabela1107[[#This Row],[ES]]</f>
        <v>36.74</v>
      </c>
      <c r="BM74" s="97">
        <f>+Tabela1107[[#This Row],[PIS]]+Tabela1107[[#This Row],[COFINS]]+Tabela1107[[#This Row],[CONTRIB. FOLHA]]+Tabela1107[[#This Row],[TRIBUTOS S/ LUCRO]]+Tabela1107[[#This Row],[OUTROS]]+Tabela1107[[#This Row],[GO]]</f>
        <v>36.74</v>
      </c>
      <c r="BN74" s="97">
        <f>+Tabela1107[[#This Row],[PIS]]+Tabela1107[[#This Row],[COFINS]]+Tabela1107[[#This Row],[CONTRIB. FOLHA]]+Tabela1107[[#This Row],[TRIBUTOS S/ LUCRO]]+Tabela1107[[#This Row],[OUTROS]]+Tabela1107[[#This Row],[MT]]</f>
        <v>36.74</v>
      </c>
      <c r="BO74" s="97">
        <f>+Tabela1107[[#This Row],[PIS]]+Tabela1107[[#This Row],[COFINS]]+Tabela1107[[#This Row],[CONTRIB. FOLHA]]+Tabela1107[[#This Row],[TRIBUTOS S/ LUCRO]]+Tabela1107[[#This Row],[OUTROS]]+Tabela1107[[#This Row],[MS]]</f>
        <v>36.74</v>
      </c>
      <c r="BP74" s="97">
        <f>+Tabela1107[[#This Row],[PIS]]+Tabela1107[[#This Row],[COFINS]]+Tabela1107[[#This Row],[CONTRIB. FOLHA]]+Tabela1107[[#This Row],[TRIBUTOS S/ LUCRO]]+Tabela1107[[#This Row],[OUTROS]]+Tabela1107[[#This Row],[DF]]</f>
        <v>36.74</v>
      </c>
      <c r="BQ74" s="97">
        <f>+Tabela1107[[#This Row],[PIS]]+Tabela1107[[#This Row],[COFINS]]+Tabela1107[[#This Row],[CONTRIB. FOLHA]]+Tabela1107[[#This Row],[TRIBUTOS S/ LUCRO]]+Tabela1107[[#This Row],[OUTROS]]+Tabela1107[[#This Row],[BA]]</f>
        <v>36.74</v>
      </c>
      <c r="BR74" s="97">
        <f>+Tabela1107[[#This Row],[PIS]]+Tabela1107[[#This Row],[COFINS]]+Tabela1107[[#This Row],[CONTRIB. FOLHA]]+Tabela1107[[#This Row],[TRIBUTOS S/ LUCRO]]+Tabela1107[[#This Row],[OUTROS]]+Tabela1107[[#This Row],[BA]]</f>
        <v>36.74</v>
      </c>
      <c r="BS74" s="97">
        <f>+Tabela1107[[#This Row],[PIS]]+Tabela1107[[#This Row],[COFINS]]+Tabela1107[[#This Row],[CONTRIB. FOLHA]]+Tabela1107[[#This Row],[TRIBUTOS S/ LUCRO]]+Tabela1107[[#This Row],[OUTROS]]+Tabela1107[[#This Row],[PE]]</f>
        <v>36.74</v>
      </c>
      <c r="BT74" s="97">
        <f>+Tabela1107[[#This Row],[PIS]]+Tabela1107[[#This Row],[COFINS]]+Tabela1107[[#This Row],[CONTRIB. FOLHA]]+Tabela1107[[#This Row],[TRIBUTOS S/ LUCRO]]+Tabela1107[[#This Row],[OUTROS]]+Tabela1107[[#This Row],[PA]]</f>
        <v>36.74</v>
      </c>
      <c r="BU74" s="97">
        <f>+Tabela1107[[#This Row],[PIS]]+Tabela1107[[#This Row],[COFINS]]+Tabela1107[[#This Row],[CONTRIB. FOLHA]]+Tabela1107[[#This Row],[TRIBUTOS S/ LUCRO]]+Tabela1107[[#This Row],[OUTROS]]+Tabela1107[[#This Row],[AM]]</f>
        <v>36.74</v>
      </c>
      <c r="BV74" s="97">
        <f>AVERAGE(Tabela1107[[#This Row],[TOTAL SP]:[TOTAL AM]])</f>
        <v>36.677500000000002</v>
      </c>
      <c r="BW74" s="97"/>
      <c r="BX74" s="97"/>
    </row>
    <row r="75" spans="2:76" x14ac:dyDescent="0.25">
      <c r="B75" s="89">
        <v>4029</v>
      </c>
      <c r="C75" s="91" t="s">
        <v>13113</v>
      </c>
      <c r="D75" s="89"/>
      <c r="E75" s="89">
        <v>20140626</v>
      </c>
      <c r="F75" s="89" t="s">
        <v>20541</v>
      </c>
      <c r="G75" s="89" t="s">
        <v>20542</v>
      </c>
      <c r="H75" s="89" t="s">
        <v>20543</v>
      </c>
      <c r="I75" s="89" t="s">
        <v>20540</v>
      </c>
      <c r="J75" s="89" t="s">
        <v>24</v>
      </c>
      <c r="K75" s="89"/>
      <c r="L75" s="89" t="s">
        <v>2655</v>
      </c>
      <c r="M75" s="89" t="s">
        <v>4496</v>
      </c>
      <c r="N75" s="89" t="s">
        <v>4496</v>
      </c>
      <c r="O75" s="89" t="s">
        <v>4496</v>
      </c>
      <c r="P75" s="89" t="s">
        <v>4496</v>
      </c>
      <c r="Q75" s="89"/>
      <c r="R75" s="89" t="s">
        <v>22</v>
      </c>
      <c r="S75" s="89" t="s">
        <v>21600</v>
      </c>
      <c r="T75" s="89" t="s">
        <v>21601</v>
      </c>
      <c r="U75" s="89" t="str">
        <f>TRIM('Carga Tributária doenças Po (2'!$L75)</f>
        <v>DIPIRONA SODICA</v>
      </c>
      <c r="V75" s="89">
        <f>SUMIFS('Tabela Federal'!$E$4:$E$2069,'Tabela Federal'!$D$4:$D$2069,'Carga Tributária doenças Po (2'!$L75)</f>
        <v>1</v>
      </c>
      <c r="W75" s="89">
        <f>SUMIFS('Tabela Federal'!$E$4:$E$2069,'Tabela Federal'!$D$4:$D$2069,'Carga Tributária doenças Po (2'!$M75)</f>
        <v>0</v>
      </c>
      <c r="X75" s="89">
        <f>SUMIFS('Tabela Federal'!$E$4:$E$2069,'Tabela Federal'!$D$4:$D$2069,'Carga Tributária doenças Po (2'!$N75)</f>
        <v>0</v>
      </c>
      <c r="Y75" s="89">
        <f>SUMIFS('Tabela Federal'!$E$4:$E$2069,'Tabela Federal'!$D$4:$D$2069,'Carga Tributária doenças Po (2'!$O75)</f>
        <v>0</v>
      </c>
      <c r="Z75" s="92" t="str">
        <f>VLOOKUP('Carga Tributária doenças Po (2'!$AD75,'Carga Tributária doenças Po (2'!$CA$12:$CC$16,2,0)</f>
        <v>-</v>
      </c>
      <c r="AA75" s="89" t="s">
        <v>21</v>
      </c>
      <c r="AB75" s="89" t="s">
        <v>21766</v>
      </c>
      <c r="AC75" s="89" t="s">
        <v>21740</v>
      </c>
      <c r="AD75" s="93" t="s">
        <v>19523</v>
      </c>
      <c r="AE75" s="92" t="s">
        <v>4</v>
      </c>
      <c r="AF75" s="92" t="s">
        <v>23</v>
      </c>
      <c r="AG75" s="94">
        <v>1463077</v>
      </c>
      <c r="AH75" s="95">
        <v>5628774</v>
      </c>
      <c r="AI75" s="95">
        <v>12853113.99</v>
      </c>
      <c r="AJ75" s="89" t="s">
        <v>449</v>
      </c>
      <c r="AK75" s="89">
        <f>IF('Carga Tributária doenças Po (2'!$Z75="+",0,SUMIFS(PISCOFINS!$I$3:$I$10518,PISCOFINS!$C$3:$C$10518,'Carga Tributária doenças Po (2'!$C75))</f>
        <v>2.1</v>
      </c>
      <c r="AL75" s="89">
        <f>IF('Carga Tributária doenças Po (2'!$Z75="+",0,SUMIFS(PISCOFINS!$H$3:$H$10518,PISCOFINS!$C$3:$C$10518,'Carga Tributária doenças Po (2'!$C75))</f>
        <v>9.9</v>
      </c>
      <c r="AM75" s="95">
        <v>3.27</v>
      </c>
      <c r="AN75" s="95">
        <v>3.12</v>
      </c>
      <c r="AO75" s="95">
        <v>1.35</v>
      </c>
      <c r="AP75" s="96">
        <v>18</v>
      </c>
      <c r="AQ75" s="96">
        <v>12</v>
      </c>
      <c r="AR75" s="96">
        <v>17</v>
      </c>
      <c r="AS75" s="97">
        <v>17</v>
      </c>
      <c r="AT75" s="97">
        <v>19</v>
      </c>
      <c r="AU75" s="97">
        <v>18</v>
      </c>
      <c r="AV75" s="97">
        <v>17</v>
      </c>
      <c r="AW75" s="97">
        <v>17</v>
      </c>
      <c r="AX75" s="97">
        <v>17</v>
      </c>
      <c r="AY75" s="97">
        <v>17</v>
      </c>
      <c r="AZ75" s="97">
        <v>17</v>
      </c>
      <c r="BA75" s="97">
        <v>17</v>
      </c>
      <c r="BB75" s="97">
        <v>17</v>
      </c>
      <c r="BC75" s="97">
        <v>17</v>
      </c>
      <c r="BD75" s="97">
        <v>17</v>
      </c>
      <c r="BE75" s="97">
        <v>17</v>
      </c>
      <c r="BF75" s="97">
        <f>+Tabela1107[[#This Row],[PIS]]+Tabela1107[[#This Row],[COFINS]]+Tabela1107[[#This Row],[CONTRIB. FOLHA]]+Tabela1107[[#This Row],[TRIBUTOS S/ LUCRO]]+Tabela1107[[#This Row],[OUTROS]]+Tabela1107[[#This Row],[SP]]</f>
        <v>37.74</v>
      </c>
      <c r="BG75" s="97">
        <f>+Tabela1107[[#This Row],[PIS]]+Tabela1107[[#This Row],[COFINS]]+Tabela1107[[#This Row],[CONTRIB. FOLHA]]+Tabela1107[[#This Row],[TRIBUTOS S/ LUCRO]]+Tabela1107[[#This Row],[OUTROS]]+Tabela1107[[#This Row],[PR]]</f>
        <v>31.740000000000002</v>
      </c>
      <c r="BH75" s="97">
        <f>+Tabela1107[[#This Row],[PIS]]+Tabela1107[[#This Row],[COFINS]]+Tabela1107[[#This Row],[CONTRIB. FOLHA]]+Tabela1107[[#This Row],[TRIBUTOS S/ LUCRO]]+Tabela1107[[#This Row],[OUTROS]]+Tabela1107[[#This Row],[SC]]</f>
        <v>36.74</v>
      </c>
      <c r="BI75" s="97">
        <f>+Tabela1107[[#This Row],[PIS]]+Tabela1107[[#This Row],[COFINS]]+Tabela1107[[#This Row],[CONTRIB. FOLHA]]+Tabela1107[[#This Row],[TRIBUTOS S/ LUCRO]]+Tabela1107[[#This Row],[OUTROS]]+Tabela1107[[#This Row],[RS]]</f>
        <v>36.74</v>
      </c>
      <c r="BJ75" s="97">
        <f>+Tabela1107[[#This Row],[PIS]]+Tabela1107[[#This Row],[COFINS]]+Tabela1107[[#This Row],[CONTRIB. FOLHA]]+Tabela1107[[#This Row],[TRIBUTOS S/ LUCRO]]+Tabela1107[[#This Row],[OUTROS]]+Tabela1107[[#This Row],[RJ]]</f>
        <v>38.74</v>
      </c>
      <c r="BK75" s="97">
        <f>+Tabela1107[[#This Row],[PIS]]+Tabela1107[[#This Row],[COFINS]]+Tabela1107[[#This Row],[CONTRIB. FOLHA]]+Tabela1107[[#This Row],[TRIBUTOS S/ LUCRO]]+Tabela1107[[#This Row],[OUTROS]]+Tabela1107[[#This Row],[MG]]</f>
        <v>37.74</v>
      </c>
      <c r="BL75" s="97">
        <f>+Tabela1107[[#This Row],[PIS]]+Tabela1107[[#This Row],[COFINS]]+Tabela1107[[#This Row],[CONTRIB. FOLHA]]+Tabela1107[[#This Row],[TRIBUTOS S/ LUCRO]]+Tabela1107[[#This Row],[OUTROS]]+Tabela1107[[#This Row],[ES]]</f>
        <v>36.74</v>
      </c>
      <c r="BM75" s="97">
        <f>+Tabela1107[[#This Row],[PIS]]+Tabela1107[[#This Row],[COFINS]]+Tabela1107[[#This Row],[CONTRIB. FOLHA]]+Tabela1107[[#This Row],[TRIBUTOS S/ LUCRO]]+Tabela1107[[#This Row],[OUTROS]]+Tabela1107[[#This Row],[GO]]</f>
        <v>36.74</v>
      </c>
      <c r="BN75" s="97">
        <f>+Tabela1107[[#This Row],[PIS]]+Tabela1107[[#This Row],[COFINS]]+Tabela1107[[#This Row],[CONTRIB. FOLHA]]+Tabela1107[[#This Row],[TRIBUTOS S/ LUCRO]]+Tabela1107[[#This Row],[OUTROS]]+Tabela1107[[#This Row],[MT]]</f>
        <v>36.74</v>
      </c>
      <c r="BO75" s="97">
        <f>+Tabela1107[[#This Row],[PIS]]+Tabela1107[[#This Row],[COFINS]]+Tabela1107[[#This Row],[CONTRIB. FOLHA]]+Tabela1107[[#This Row],[TRIBUTOS S/ LUCRO]]+Tabela1107[[#This Row],[OUTROS]]+Tabela1107[[#This Row],[MS]]</f>
        <v>36.74</v>
      </c>
      <c r="BP75" s="97">
        <f>+Tabela1107[[#This Row],[PIS]]+Tabela1107[[#This Row],[COFINS]]+Tabela1107[[#This Row],[CONTRIB. FOLHA]]+Tabela1107[[#This Row],[TRIBUTOS S/ LUCRO]]+Tabela1107[[#This Row],[OUTROS]]+Tabela1107[[#This Row],[DF]]</f>
        <v>36.74</v>
      </c>
      <c r="BQ75" s="97">
        <f>+Tabela1107[[#This Row],[PIS]]+Tabela1107[[#This Row],[COFINS]]+Tabela1107[[#This Row],[CONTRIB. FOLHA]]+Tabela1107[[#This Row],[TRIBUTOS S/ LUCRO]]+Tabela1107[[#This Row],[OUTROS]]+Tabela1107[[#This Row],[BA]]</f>
        <v>36.74</v>
      </c>
      <c r="BR75" s="97">
        <f>+Tabela1107[[#This Row],[PIS]]+Tabela1107[[#This Row],[COFINS]]+Tabela1107[[#This Row],[CONTRIB. FOLHA]]+Tabela1107[[#This Row],[TRIBUTOS S/ LUCRO]]+Tabela1107[[#This Row],[OUTROS]]+Tabela1107[[#This Row],[BA]]</f>
        <v>36.74</v>
      </c>
      <c r="BS75" s="97">
        <f>+Tabela1107[[#This Row],[PIS]]+Tabela1107[[#This Row],[COFINS]]+Tabela1107[[#This Row],[CONTRIB. FOLHA]]+Tabela1107[[#This Row],[TRIBUTOS S/ LUCRO]]+Tabela1107[[#This Row],[OUTROS]]+Tabela1107[[#This Row],[PE]]</f>
        <v>36.74</v>
      </c>
      <c r="BT75" s="97">
        <f>+Tabela1107[[#This Row],[PIS]]+Tabela1107[[#This Row],[COFINS]]+Tabela1107[[#This Row],[CONTRIB. FOLHA]]+Tabela1107[[#This Row],[TRIBUTOS S/ LUCRO]]+Tabela1107[[#This Row],[OUTROS]]+Tabela1107[[#This Row],[PA]]</f>
        <v>36.74</v>
      </c>
      <c r="BU75" s="97">
        <f>+Tabela1107[[#This Row],[PIS]]+Tabela1107[[#This Row],[COFINS]]+Tabela1107[[#This Row],[CONTRIB. FOLHA]]+Tabela1107[[#This Row],[TRIBUTOS S/ LUCRO]]+Tabela1107[[#This Row],[OUTROS]]+Tabela1107[[#This Row],[AM]]</f>
        <v>36.74</v>
      </c>
      <c r="BV75" s="97">
        <f>AVERAGE(Tabela1107[[#This Row],[TOTAL SP]:[TOTAL AM]])</f>
        <v>36.677500000000002</v>
      </c>
      <c r="BW75" s="97"/>
      <c r="BX75" s="97"/>
    </row>
    <row r="76" spans="2:76" x14ac:dyDescent="0.25">
      <c r="B76" s="89">
        <v>4029</v>
      </c>
      <c r="C76" s="91" t="s">
        <v>13113</v>
      </c>
      <c r="D76" s="89"/>
      <c r="E76" s="89">
        <v>20140626</v>
      </c>
      <c r="F76" s="89" t="s">
        <v>20541</v>
      </c>
      <c r="G76" s="89" t="s">
        <v>20542</v>
      </c>
      <c r="H76" s="89" t="s">
        <v>20543</v>
      </c>
      <c r="I76" s="89" t="s">
        <v>20540</v>
      </c>
      <c r="J76" s="89" t="s">
        <v>24</v>
      </c>
      <c r="K76" s="89"/>
      <c r="L76" s="89" t="s">
        <v>2655</v>
      </c>
      <c r="M76" s="89" t="s">
        <v>4496</v>
      </c>
      <c r="N76" s="89" t="s">
        <v>4496</v>
      </c>
      <c r="O76" s="89" t="s">
        <v>4496</v>
      </c>
      <c r="P76" s="89" t="s">
        <v>4496</v>
      </c>
      <c r="Q76" s="89"/>
      <c r="R76" s="89" t="s">
        <v>22</v>
      </c>
      <c r="S76" s="89" t="s">
        <v>21600</v>
      </c>
      <c r="T76" s="89" t="s">
        <v>21601</v>
      </c>
      <c r="U76" s="89" t="str">
        <f>TRIM('Carga Tributária doenças Po (2'!$L76)</f>
        <v>DIPIRONA SODICA</v>
      </c>
      <c r="V76" s="89">
        <f>SUMIFS('Tabela Federal'!$E$4:$E$2069,'Tabela Federal'!$D$4:$D$2069,'Carga Tributária doenças Po (2'!$L76)</f>
        <v>1</v>
      </c>
      <c r="W76" s="89">
        <f>SUMIFS('Tabela Federal'!$E$4:$E$2069,'Tabela Federal'!$D$4:$D$2069,'Carga Tributária doenças Po (2'!$M76)</f>
        <v>0</v>
      </c>
      <c r="X76" s="89">
        <f>SUMIFS('Tabela Federal'!$E$4:$E$2069,'Tabela Federal'!$D$4:$D$2069,'Carga Tributária doenças Po (2'!$N76)</f>
        <v>0</v>
      </c>
      <c r="Y76" s="89">
        <f>SUMIFS('Tabela Federal'!$E$4:$E$2069,'Tabela Federal'!$D$4:$D$2069,'Carga Tributária doenças Po (2'!$O76)</f>
        <v>0</v>
      </c>
      <c r="Z76" s="92" t="str">
        <f>VLOOKUP('Carga Tributária doenças Po (2'!$AD76,'Carga Tributária doenças Po (2'!$CA$12:$CC$16,2,0)</f>
        <v>-</v>
      </c>
      <c r="AA76" s="89" t="s">
        <v>21</v>
      </c>
      <c r="AB76" s="89" t="s">
        <v>21766</v>
      </c>
      <c r="AC76" s="89" t="s">
        <v>21740</v>
      </c>
      <c r="AD76" s="93" t="s">
        <v>19523</v>
      </c>
      <c r="AE76" s="92" t="s">
        <v>4</v>
      </c>
      <c r="AF76" s="92" t="s">
        <v>23</v>
      </c>
      <c r="AG76" s="94">
        <v>1463077</v>
      </c>
      <c r="AH76" s="95">
        <v>5628774</v>
      </c>
      <c r="AI76" s="95">
        <v>12853113.99</v>
      </c>
      <c r="AJ76" s="89" t="s">
        <v>40</v>
      </c>
      <c r="AK76" s="89">
        <f>IF('Carga Tributária doenças Po (2'!$Z76="+",0,SUMIFS(PISCOFINS!$I$3:$I$10518,PISCOFINS!$C$3:$C$10518,'Carga Tributária doenças Po (2'!$C76))</f>
        <v>2.1</v>
      </c>
      <c r="AL76" s="89">
        <f>IF('Carga Tributária doenças Po (2'!$Z76="+",0,SUMIFS(PISCOFINS!$H$3:$H$10518,PISCOFINS!$C$3:$C$10518,'Carga Tributária doenças Po (2'!$C76))</f>
        <v>9.9</v>
      </c>
      <c r="AM76" s="95">
        <v>3.27</v>
      </c>
      <c r="AN76" s="95">
        <v>3.12</v>
      </c>
      <c r="AO76" s="95">
        <v>1.35</v>
      </c>
      <c r="AP76" s="96">
        <v>18</v>
      </c>
      <c r="AQ76" s="96">
        <v>12</v>
      </c>
      <c r="AR76" s="96">
        <v>17</v>
      </c>
      <c r="AS76" s="97">
        <v>17</v>
      </c>
      <c r="AT76" s="97">
        <v>19</v>
      </c>
      <c r="AU76" s="97">
        <v>18</v>
      </c>
      <c r="AV76" s="97">
        <v>17</v>
      </c>
      <c r="AW76" s="97">
        <v>17</v>
      </c>
      <c r="AX76" s="97">
        <v>17</v>
      </c>
      <c r="AY76" s="97">
        <v>17</v>
      </c>
      <c r="AZ76" s="97">
        <v>17</v>
      </c>
      <c r="BA76" s="97">
        <v>17</v>
      </c>
      <c r="BB76" s="97">
        <v>17</v>
      </c>
      <c r="BC76" s="97">
        <v>17</v>
      </c>
      <c r="BD76" s="97">
        <v>17</v>
      </c>
      <c r="BE76" s="97">
        <v>17</v>
      </c>
      <c r="BF76" s="97">
        <f>+Tabela1107[[#This Row],[PIS]]+Tabela1107[[#This Row],[COFINS]]+Tabela1107[[#This Row],[CONTRIB. FOLHA]]+Tabela1107[[#This Row],[TRIBUTOS S/ LUCRO]]+Tabela1107[[#This Row],[OUTROS]]+Tabela1107[[#This Row],[SP]]</f>
        <v>37.74</v>
      </c>
      <c r="BG76" s="97">
        <f>+Tabela1107[[#This Row],[PIS]]+Tabela1107[[#This Row],[COFINS]]+Tabela1107[[#This Row],[CONTRIB. FOLHA]]+Tabela1107[[#This Row],[TRIBUTOS S/ LUCRO]]+Tabela1107[[#This Row],[OUTROS]]+Tabela1107[[#This Row],[PR]]</f>
        <v>31.740000000000002</v>
      </c>
      <c r="BH76" s="97">
        <f>+Tabela1107[[#This Row],[PIS]]+Tabela1107[[#This Row],[COFINS]]+Tabela1107[[#This Row],[CONTRIB. FOLHA]]+Tabela1107[[#This Row],[TRIBUTOS S/ LUCRO]]+Tabela1107[[#This Row],[OUTROS]]+Tabela1107[[#This Row],[SC]]</f>
        <v>36.74</v>
      </c>
      <c r="BI76" s="97">
        <f>+Tabela1107[[#This Row],[PIS]]+Tabela1107[[#This Row],[COFINS]]+Tabela1107[[#This Row],[CONTRIB. FOLHA]]+Tabela1107[[#This Row],[TRIBUTOS S/ LUCRO]]+Tabela1107[[#This Row],[OUTROS]]+Tabela1107[[#This Row],[RS]]</f>
        <v>36.74</v>
      </c>
      <c r="BJ76" s="97">
        <f>+Tabela1107[[#This Row],[PIS]]+Tabela1107[[#This Row],[COFINS]]+Tabela1107[[#This Row],[CONTRIB. FOLHA]]+Tabela1107[[#This Row],[TRIBUTOS S/ LUCRO]]+Tabela1107[[#This Row],[OUTROS]]+Tabela1107[[#This Row],[RJ]]</f>
        <v>38.74</v>
      </c>
      <c r="BK76" s="97">
        <f>+Tabela1107[[#This Row],[PIS]]+Tabela1107[[#This Row],[COFINS]]+Tabela1107[[#This Row],[CONTRIB. FOLHA]]+Tabela1107[[#This Row],[TRIBUTOS S/ LUCRO]]+Tabela1107[[#This Row],[OUTROS]]+Tabela1107[[#This Row],[MG]]</f>
        <v>37.74</v>
      </c>
      <c r="BL76" s="97">
        <f>+Tabela1107[[#This Row],[PIS]]+Tabela1107[[#This Row],[COFINS]]+Tabela1107[[#This Row],[CONTRIB. FOLHA]]+Tabela1107[[#This Row],[TRIBUTOS S/ LUCRO]]+Tabela1107[[#This Row],[OUTROS]]+Tabela1107[[#This Row],[ES]]</f>
        <v>36.74</v>
      </c>
      <c r="BM76" s="97">
        <f>+Tabela1107[[#This Row],[PIS]]+Tabela1107[[#This Row],[COFINS]]+Tabela1107[[#This Row],[CONTRIB. FOLHA]]+Tabela1107[[#This Row],[TRIBUTOS S/ LUCRO]]+Tabela1107[[#This Row],[OUTROS]]+Tabela1107[[#This Row],[GO]]</f>
        <v>36.74</v>
      </c>
      <c r="BN76" s="97">
        <f>+Tabela1107[[#This Row],[PIS]]+Tabela1107[[#This Row],[COFINS]]+Tabela1107[[#This Row],[CONTRIB. FOLHA]]+Tabela1107[[#This Row],[TRIBUTOS S/ LUCRO]]+Tabela1107[[#This Row],[OUTROS]]+Tabela1107[[#This Row],[MT]]</f>
        <v>36.74</v>
      </c>
      <c r="BO76" s="97">
        <f>+Tabela1107[[#This Row],[PIS]]+Tabela1107[[#This Row],[COFINS]]+Tabela1107[[#This Row],[CONTRIB. FOLHA]]+Tabela1107[[#This Row],[TRIBUTOS S/ LUCRO]]+Tabela1107[[#This Row],[OUTROS]]+Tabela1107[[#This Row],[MS]]</f>
        <v>36.74</v>
      </c>
      <c r="BP76" s="97">
        <f>+Tabela1107[[#This Row],[PIS]]+Tabela1107[[#This Row],[COFINS]]+Tabela1107[[#This Row],[CONTRIB. FOLHA]]+Tabela1107[[#This Row],[TRIBUTOS S/ LUCRO]]+Tabela1107[[#This Row],[OUTROS]]+Tabela1107[[#This Row],[DF]]</f>
        <v>36.74</v>
      </c>
      <c r="BQ76" s="97">
        <f>+Tabela1107[[#This Row],[PIS]]+Tabela1107[[#This Row],[COFINS]]+Tabela1107[[#This Row],[CONTRIB. FOLHA]]+Tabela1107[[#This Row],[TRIBUTOS S/ LUCRO]]+Tabela1107[[#This Row],[OUTROS]]+Tabela1107[[#This Row],[BA]]</f>
        <v>36.74</v>
      </c>
      <c r="BR76" s="97">
        <f>+Tabela1107[[#This Row],[PIS]]+Tabela1107[[#This Row],[COFINS]]+Tabela1107[[#This Row],[CONTRIB. FOLHA]]+Tabela1107[[#This Row],[TRIBUTOS S/ LUCRO]]+Tabela1107[[#This Row],[OUTROS]]+Tabela1107[[#This Row],[BA]]</f>
        <v>36.74</v>
      </c>
      <c r="BS76" s="97">
        <f>+Tabela1107[[#This Row],[PIS]]+Tabela1107[[#This Row],[COFINS]]+Tabela1107[[#This Row],[CONTRIB. FOLHA]]+Tabela1107[[#This Row],[TRIBUTOS S/ LUCRO]]+Tabela1107[[#This Row],[OUTROS]]+Tabela1107[[#This Row],[PE]]</f>
        <v>36.74</v>
      </c>
      <c r="BT76" s="97">
        <f>+Tabela1107[[#This Row],[PIS]]+Tabela1107[[#This Row],[COFINS]]+Tabela1107[[#This Row],[CONTRIB. FOLHA]]+Tabela1107[[#This Row],[TRIBUTOS S/ LUCRO]]+Tabela1107[[#This Row],[OUTROS]]+Tabela1107[[#This Row],[PA]]</f>
        <v>36.74</v>
      </c>
      <c r="BU76" s="97">
        <f>+Tabela1107[[#This Row],[PIS]]+Tabela1107[[#This Row],[COFINS]]+Tabela1107[[#This Row],[CONTRIB. FOLHA]]+Tabela1107[[#This Row],[TRIBUTOS S/ LUCRO]]+Tabela1107[[#This Row],[OUTROS]]+Tabela1107[[#This Row],[AM]]</f>
        <v>36.74</v>
      </c>
      <c r="BV76" s="97">
        <f>AVERAGE(Tabela1107[[#This Row],[TOTAL SP]:[TOTAL AM]])</f>
        <v>36.677500000000002</v>
      </c>
      <c r="BW76" s="97"/>
      <c r="BX76" s="97"/>
    </row>
    <row r="77" spans="2:76" x14ac:dyDescent="0.25">
      <c r="B77" s="89">
        <v>4034</v>
      </c>
      <c r="C77" s="91" t="s">
        <v>13113</v>
      </c>
      <c r="D77" s="89"/>
      <c r="E77" s="89">
        <v>20140626</v>
      </c>
      <c r="F77" s="89" t="s">
        <v>20537</v>
      </c>
      <c r="G77" s="89" t="s">
        <v>20538</v>
      </c>
      <c r="H77" s="89" t="s">
        <v>20539</v>
      </c>
      <c r="I77" s="89" t="s">
        <v>20540</v>
      </c>
      <c r="J77" s="89" t="s">
        <v>20</v>
      </c>
      <c r="K77" s="89"/>
      <c r="L77" s="89" t="s">
        <v>2655</v>
      </c>
      <c r="M77" s="89" t="s">
        <v>4496</v>
      </c>
      <c r="N77" s="89" t="s">
        <v>4496</v>
      </c>
      <c r="O77" s="89" t="s">
        <v>4496</v>
      </c>
      <c r="P77" s="89" t="s">
        <v>4496</v>
      </c>
      <c r="Q77" s="89"/>
      <c r="R77" s="89" t="s">
        <v>22</v>
      </c>
      <c r="S77" s="89" t="s">
        <v>21600</v>
      </c>
      <c r="T77" s="89" t="s">
        <v>21601</v>
      </c>
      <c r="U77" s="89" t="str">
        <f>TRIM('Carga Tributária doenças Po (2'!$L77)</f>
        <v>DIPIRONA SODICA</v>
      </c>
      <c r="V77" s="89">
        <f>SUMIFS('Tabela Federal'!$E$4:$E$2069,'Tabela Federal'!$D$4:$D$2069,'Carga Tributária doenças Po (2'!$L77)</f>
        <v>1</v>
      </c>
      <c r="W77" s="89">
        <f>SUMIFS('Tabela Federal'!$E$4:$E$2069,'Tabela Federal'!$D$4:$D$2069,'Carga Tributária doenças Po (2'!$M77)</f>
        <v>0</v>
      </c>
      <c r="X77" s="89">
        <f>SUMIFS('Tabela Federal'!$E$4:$E$2069,'Tabela Federal'!$D$4:$D$2069,'Carga Tributária doenças Po (2'!$N77)</f>
        <v>0</v>
      </c>
      <c r="Y77" s="89">
        <f>SUMIFS('Tabela Federal'!$E$4:$E$2069,'Tabela Federal'!$D$4:$D$2069,'Carga Tributária doenças Po (2'!$O77)</f>
        <v>0</v>
      </c>
      <c r="Z77" s="92" t="str">
        <f>VLOOKUP('Carga Tributária doenças Po (2'!$AD77,'Carga Tributária doenças Po (2'!$CA$12:$CC$16,2,0)</f>
        <v>-</v>
      </c>
      <c r="AA77" s="89" t="s">
        <v>21</v>
      </c>
      <c r="AB77" s="89" t="s">
        <v>21766</v>
      </c>
      <c r="AC77" s="89" t="s">
        <v>21740</v>
      </c>
      <c r="AD77" s="93" t="s">
        <v>19523</v>
      </c>
      <c r="AE77" s="92" t="s">
        <v>4</v>
      </c>
      <c r="AF77" s="92" t="s">
        <v>23</v>
      </c>
      <c r="AG77" s="94">
        <v>2044474</v>
      </c>
      <c r="AH77" s="95">
        <v>7278263</v>
      </c>
      <c r="AI77" s="95">
        <v>16628468.220000001</v>
      </c>
      <c r="AJ77" s="89" t="s">
        <v>449</v>
      </c>
      <c r="AK77" s="89">
        <f>IF('Carga Tributária doenças Po (2'!$Z77="+",0,SUMIFS(PISCOFINS!$I$3:$I$10518,PISCOFINS!$C$3:$C$10518,'Carga Tributária doenças Po (2'!$C77))</f>
        <v>2.1</v>
      </c>
      <c r="AL77" s="89">
        <f>IF('Carga Tributária doenças Po (2'!$Z77="+",0,SUMIFS(PISCOFINS!$H$3:$H$10518,PISCOFINS!$C$3:$C$10518,'Carga Tributária doenças Po (2'!$C77))</f>
        <v>9.9</v>
      </c>
      <c r="AM77" s="95">
        <v>3.27</v>
      </c>
      <c r="AN77" s="95">
        <v>3.12</v>
      </c>
      <c r="AO77" s="95">
        <v>1.35</v>
      </c>
      <c r="AP77" s="96">
        <v>18</v>
      </c>
      <c r="AQ77" s="96">
        <v>12</v>
      </c>
      <c r="AR77" s="96">
        <v>17</v>
      </c>
      <c r="AS77" s="97">
        <v>17</v>
      </c>
      <c r="AT77" s="97">
        <v>19</v>
      </c>
      <c r="AU77" s="97">
        <v>18</v>
      </c>
      <c r="AV77" s="97">
        <v>17</v>
      </c>
      <c r="AW77" s="97">
        <v>17</v>
      </c>
      <c r="AX77" s="97">
        <v>17</v>
      </c>
      <c r="AY77" s="97">
        <v>17</v>
      </c>
      <c r="AZ77" s="97">
        <v>17</v>
      </c>
      <c r="BA77" s="97">
        <v>17</v>
      </c>
      <c r="BB77" s="97">
        <v>17</v>
      </c>
      <c r="BC77" s="97">
        <v>17</v>
      </c>
      <c r="BD77" s="97">
        <v>17</v>
      </c>
      <c r="BE77" s="97">
        <v>17</v>
      </c>
      <c r="BF77" s="97">
        <f>+Tabela1107[[#This Row],[PIS]]+Tabela1107[[#This Row],[COFINS]]+Tabela1107[[#This Row],[CONTRIB. FOLHA]]+Tabela1107[[#This Row],[TRIBUTOS S/ LUCRO]]+Tabela1107[[#This Row],[OUTROS]]+Tabela1107[[#This Row],[SP]]</f>
        <v>37.74</v>
      </c>
      <c r="BG77" s="97">
        <f>+Tabela1107[[#This Row],[PIS]]+Tabela1107[[#This Row],[COFINS]]+Tabela1107[[#This Row],[CONTRIB. FOLHA]]+Tabela1107[[#This Row],[TRIBUTOS S/ LUCRO]]+Tabela1107[[#This Row],[OUTROS]]+Tabela1107[[#This Row],[PR]]</f>
        <v>31.740000000000002</v>
      </c>
      <c r="BH77" s="97">
        <f>+Tabela1107[[#This Row],[PIS]]+Tabela1107[[#This Row],[COFINS]]+Tabela1107[[#This Row],[CONTRIB. FOLHA]]+Tabela1107[[#This Row],[TRIBUTOS S/ LUCRO]]+Tabela1107[[#This Row],[OUTROS]]+Tabela1107[[#This Row],[SC]]</f>
        <v>36.74</v>
      </c>
      <c r="BI77" s="97">
        <f>+Tabela1107[[#This Row],[PIS]]+Tabela1107[[#This Row],[COFINS]]+Tabela1107[[#This Row],[CONTRIB. FOLHA]]+Tabela1107[[#This Row],[TRIBUTOS S/ LUCRO]]+Tabela1107[[#This Row],[OUTROS]]+Tabela1107[[#This Row],[RS]]</f>
        <v>36.74</v>
      </c>
      <c r="BJ77" s="97">
        <f>+Tabela1107[[#This Row],[PIS]]+Tabela1107[[#This Row],[COFINS]]+Tabela1107[[#This Row],[CONTRIB. FOLHA]]+Tabela1107[[#This Row],[TRIBUTOS S/ LUCRO]]+Tabela1107[[#This Row],[OUTROS]]+Tabela1107[[#This Row],[RJ]]</f>
        <v>38.74</v>
      </c>
      <c r="BK77" s="97">
        <f>+Tabela1107[[#This Row],[PIS]]+Tabela1107[[#This Row],[COFINS]]+Tabela1107[[#This Row],[CONTRIB. FOLHA]]+Tabela1107[[#This Row],[TRIBUTOS S/ LUCRO]]+Tabela1107[[#This Row],[OUTROS]]+Tabela1107[[#This Row],[MG]]</f>
        <v>37.74</v>
      </c>
      <c r="BL77" s="97">
        <f>+Tabela1107[[#This Row],[PIS]]+Tabela1107[[#This Row],[COFINS]]+Tabela1107[[#This Row],[CONTRIB. FOLHA]]+Tabela1107[[#This Row],[TRIBUTOS S/ LUCRO]]+Tabela1107[[#This Row],[OUTROS]]+Tabela1107[[#This Row],[ES]]</f>
        <v>36.74</v>
      </c>
      <c r="BM77" s="97">
        <f>+Tabela1107[[#This Row],[PIS]]+Tabela1107[[#This Row],[COFINS]]+Tabela1107[[#This Row],[CONTRIB. FOLHA]]+Tabela1107[[#This Row],[TRIBUTOS S/ LUCRO]]+Tabela1107[[#This Row],[OUTROS]]+Tabela1107[[#This Row],[GO]]</f>
        <v>36.74</v>
      </c>
      <c r="BN77" s="97">
        <f>+Tabela1107[[#This Row],[PIS]]+Tabela1107[[#This Row],[COFINS]]+Tabela1107[[#This Row],[CONTRIB. FOLHA]]+Tabela1107[[#This Row],[TRIBUTOS S/ LUCRO]]+Tabela1107[[#This Row],[OUTROS]]+Tabela1107[[#This Row],[MT]]</f>
        <v>36.74</v>
      </c>
      <c r="BO77" s="97">
        <f>+Tabela1107[[#This Row],[PIS]]+Tabela1107[[#This Row],[COFINS]]+Tabela1107[[#This Row],[CONTRIB. FOLHA]]+Tabela1107[[#This Row],[TRIBUTOS S/ LUCRO]]+Tabela1107[[#This Row],[OUTROS]]+Tabela1107[[#This Row],[MS]]</f>
        <v>36.74</v>
      </c>
      <c r="BP77" s="97">
        <f>+Tabela1107[[#This Row],[PIS]]+Tabela1107[[#This Row],[COFINS]]+Tabela1107[[#This Row],[CONTRIB. FOLHA]]+Tabela1107[[#This Row],[TRIBUTOS S/ LUCRO]]+Tabela1107[[#This Row],[OUTROS]]+Tabela1107[[#This Row],[DF]]</f>
        <v>36.74</v>
      </c>
      <c r="BQ77" s="97">
        <f>+Tabela1107[[#This Row],[PIS]]+Tabela1107[[#This Row],[COFINS]]+Tabela1107[[#This Row],[CONTRIB. FOLHA]]+Tabela1107[[#This Row],[TRIBUTOS S/ LUCRO]]+Tabela1107[[#This Row],[OUTROS]]+Tabela1107[[#This Row],[BA]]</f>
        <v>36.74</v>
      </c>
      <c r="BR77" s="97">
        <f>+Tabela1107[[#This Row],[PIS]]+Tabela1107[[#This Row],[COFINS]]+Tabela1107[[#This Row],[CONTRIB. FOLHA]]+Tabela1107[[#This Row],[TRIBUTOS S/ LUCRO]]+Tabela1107[[#This Row],[OUTROS]]+Tabela1107[[#This Row],[BA]]</f>
        <v>36.74</v>
      </c>
      <c r="BS77" s="97">
        <f>+Tabela1107[[#This Row],[PIS]]+Tabela1107[[#This Row],[COFINS]]+Tabela1107[[#This Row],[CONTRIB. FOLHA]]+Tabela1107[[#This Row],[TRIBUTOS S/ LUCRO]]+Tabela1107[[#This Row],[OUTROS]]+Tabela1107[[#This Row],[PE]]</f>
        <v>36.74</v>
      </c>
      <c r="BT77" s="97">
        <f>+Tabela1107[[#This Row],[PIS]]+Tabela1107[[#This Row],[COFINS]]+Tabela1107[[#This Row],[CONTRIB. FOLHA]]+Tabela1107[[#This Row],[TRIBUTOS S/ LUCRO]]+Tabela1107[[#This Row],[OUTROS]]+Tabela1107[[#This Row],[PA]]</f>
        <v>36.74</v>
      </c>
      <c r="BU77" s="97">
        <f>+Tabela1107[[#This Row],[PIS]]+Tabela1107[[#This Row],[COFINS]]+Tabela1107[[#This Row],[CONTRIB. FOLHA]]+Tabela1107[[#This Row],[TRIBUTOS S/ LUCRO]]+Tabela1107[[#This Row],[OUTROS]]+Tabela1107[[#This Row],[AM]]</f>
        <v>36.74</v>
      </c>
      <c r="BV77" s="97">
        <f>AVERAGE(Tabela1107[[#This Row],[TOTAL SP]:[TOTAL AM]])</f>
        <v>36.677500000000002</v>
      </c>
      <c r="BW77" s="97"/>
      <c r="BX77" s="97"/>
    </row>
    <row r="78" spans="2:76" x14ac:dyDescent="0.25">
      <c r="B78" s="89">
        <v>4034</v>
      </c>
      <c r="C78" s="91" t="s">
        <v>13113</v>
      </c>
      <c r="D78" s="89"/>
      <c r="E78" s="89">
        <v>20140626</v>
      </c>
      <c r="F78" s="89" t="s">
        <v>20537</v>
      </c>
      <c r="G78" s="89" t="s">
        <v>20538</v>
      </c>
      <c r="H78" s="89" t="s">
        <v>20539</v>
      </c>
      <c r="I78" s="89" t="s">
        <v>20540</v>
      </c>
      <c r="J78" s="89" t="s">
        <v>20</v>
      </c>
      <c r="K78" s="89"/>
      <c r="L78" s="89" t="s">
        <v>2655</v>
      </c>
      <c r="M78" s="89" t="s">
        <v>4496</v>
      </c>
      <c r="N78" s="89" t="s">
        <v>4496</v>
      </c>
      <c r="O78" s="89" t="s">
        <v>4496</v>
      </c>
      <c r="P78" s="89" t="s">
        <v>4496</v>
      </c>
      <c r="Q78" s="89"/>
      <c r="R78" s="89" t="s">
        <v>22</v>
      </c>
      <c r="S78" s="89" t="s">
        <v>21600</v>
      </c>
      <c r="T78" s="89" t="s">
        <v>21601</v>
      </c>
      <c r="U78" s="89" t="str">
        <f>TRIM('Carga Tributária doenças Po (2'!$L78)</f>
        <v>DIPIRONA SODICA</v>
      </c>
      <c r="V78" s="89">
        <f>SUMIFS('Tabela Federal'!$E$4:$E$2069,'Tabela Federal'!$D$4:$D$2069,'Carga Tributária doenças Po (2'!$L78)</f>
        <v>1</v>
      </c>
      <c r="W78" s="89">
        <f>SUMIFS('Tabela Federal'!$E$4:$E$2069,'Tabela Federal'!$D$4:$D$2069,'Carga Tributária doenças Po (2'!$M78)</f>
        <v>0</v>
      </c>
      <c r="X78" s="89">
        <f>SUMIFS('Tabela Federal'!$E$4:$E$2069,'Tabela Federal'!$D$4:$D$2069,'Carga Tributária doenças Po (2'!$N78)</f>
        <v>0</v>
      </c>
      <c r="Y78" s="89">
        <f>SUMIFS('Tabela Federal'!$E$4:$E$2069,'Tabela Federal'!$D$4:$D$2069,'Carga Tributária doenças Po (2'!$O78)</f>
        <v>0</v>
      </c>
      <c r="Z78" s="92" t="str">
        <f>VLOOKUP('Carga Tributária doenças Po (2'!$AD78,'Carga Tributária doenças Po (2'!$CA$12:$CC$16,2,0)</f>
        <v>-</v>
      </c>
      <c r="AA78" s="89" t="s">
        <v>21</v>
      </c>
      <c r="AB78" s="89" t="s">
        <v>21766</v>
      </c>
      <c r="AC78" s="89" t="s">
        <v>21740</v>
      </c>
      <c r="AD78" s="93" t="s">
        <v>19523</v>
      </c>
      <c r="AE78" s="92" t="s">
        <v>4</v>
      </c>
      <c r="AF78" s="92" t="s">
        <v>23</v>
      </c>
      <c r="AG78" s="94">
        <v>2044474</v>
      </c>
      <c r="AH78" s="95">
        <v>7278263</v>
      </c>
      <c r="AI78" s="95">
        <v>16628468.220000001</v>
      </c>
      <c r="AJ78" s="89" t="s">
        <v>40</v>
      </c>
      <c r="AK78" s="89">
        <f>IF('Carga Tributária doenças Po (2'!$Z78="+",0,SUMIFS(PISCOFINS!$I$3:$I$10518,PISCOFINS!$C$3:$C$10518,'Carga Tributária doenças Po (2'!$C78))</f>
        <v>2.1</v>
      </c>
      <c r="AL78" s="89">
        <f>IF('Carga Tributária doenças Po (2'!$Z78="+",0,SUMIFS(PISCOFINS!$H$3:$H$10518,PISCOFINS!$C$3:$C$10518,'Carga Tributária doenças Po (2'!$C78))</f>
        <v>9.9</v>
      </c>
      <c r="AM78" s="95">
        <v>3.27</v>
      </c>
      <c r="AN78" s="95">
        <v>3.12</v>
      </c>
      <c r="AO78" s="95">
        <v>1.35</v>
      </c>
      <c r="AP78" s="96">
        <v>18</v>
      </c>
      <c r="AQ78" s="96">
        <v>12</v>
      </c>
      <c r="AR78" s="96">
        <v>17</v>
      </c>
      <c r="AS78" s="97">
        <v>17</v>
      </c>
      <c r="AT78" s="97">
        <v>19</v>
      </c>
      <c r="AU78" s="97">
        <v>18</v>
      </c>
      <c r="AV78" s="97">
        <v>17</v>
      </c>
      <c r="AW78" s="97">
        <v>17</v>
      </c>
      <c r="AX78" s="97">
        <v>17</v>
      </c>
      <c r="AY78" s="97">
        <v>17</v>
      </c>
      <c r="AZ78" s="97">
        <v>17</v>
      </c>
      <c r="BA78" s="97">
        <v>17</v>
      </c>
      <c r="BB78" s="97">
        <v>17</v>
      </c>
      <c r="BC78" s="97">
        <v>17</v>
      </c>
      <c r="BD78" s="97">
        <v>17</v>
      </c>
      <c r="BE78" s="97">
        <v>17</v>
      </c>
      <c r="BF78" s="97">
        <f>+Tabela1107[[#This Row],[PIS]]+Tabela1107[[#This Row],[COFINS]]+Tabela1107[[#This Row],[CONTRIB. FOLHA]]+Tabela1107[[#This Row],[TRIBUTOS S/ LUCRO]]+Tabela1107[[#This Row],[OUTROS]]+Tabela1107[[#This Row],[SP]]</f>
        <v>37.74</v>
      </c>
      <c r="BG78" s="97">
        <f>+Tabela1107[[#This Row],[PIS]]+Tabela1107[[#This Row],[COFINS]]+Tabela1107[[#This Row],[CONTRIB. FOLHA]]+Tabela1107[[#This Row],[TRIBUTOS S/ LUCRO]]+Tabela1107[[#This Row],[OUTROS]]+Tabela1107[[#This Row],[PR]]</f>
        <v>31.740000000000002</v>
      </c>
      <c r="BH78" s="97">
        <f>+Tabela1107[[#This Row],[PIS]]+Tabela1107[[#This Row],[COFINS]]+Tabela1107[[#This Row],[CONTRIB. FOLHA]]+Tabela1107[[#This Row],[TRIBUTOS S/ LUCRO]]+Tabela1107[[#This Row],[OUTROS]]+Tabela1107[[#This Row],[SC]]</f>
        <v>36.74</v>
      </c>
      <c r="BI78" s="97">
        <f>+Tabela1107[[#This Row],[PIS]]+Tabela1107[[#This Row],[COFINS]]+Tabela1107[[#This Row],[CONTRIB. FOLHA]]+Tabela1107[[#This Row],[TRIBUTOS S/ LUCRO]]+Tabela1107[[#This Row],[OUTROS]]+Tabela1107[[#This Row],[RS]]</f>
        <v>36.74</v>
      </c>
      <c r="BJ78" s="97">
        <f>+Tabela1107[[#This Row],[PIS]]+Tabela1107[[#This Row],[COFINS]]+Tabela1107[[#This Row],[CONTRIB. FOLHA]]+Tabela1107[[#This Row],[TRIBUTOS S/ LUCRO]]+Tabela1107[[#This Row],[OUTROS]]+Tabela1107[[#This Row],[RJ]]</f>
        <v>38.74</v>
      </c>
      <c r="BK78" s="97">
        <f>+Tabela1107[[#This Row],[PIS]]+Tabela1107[[#This Row],[COFINS]]+Tabela1107[[#This Row],[CONTRIB. FOLHA]]+Tabela1107[[#This Row],[TRIBUTOS S/ LUCRO]]+Tabela1107[[#This Row],[OUTROS]]+Tabela1107[[#This Row],[MG]]</f>
        <v>37.74</v>
      </c>
      <c r="BL78" s="97">
        <f>+Tabela1107[[#This Row],[PIS]]+Tabela1107[[#This Row],[COFINS]]+Tabela1107[[#This Row],[CONTRIB. FOLHA]]+Tabela1107[[#This Row],[TRIBUTOS S/ LUCRO]]+Tabela1107[[#This Row],[OUTROS]]+Tabela1107[[#This Row],[ES]]</f>
        <v>36.74</v>
      </c>
      <c r="BM78" s="97">
        <f>+Tabela1107[[#This Row],[PIS]]+Tabela1107[[#This Row],[COFINS]]+Tabela1107[[#This Row],[CONTRIB. FOLHA]]+Tabela1107[[#This Row],[TRIBUTOS S/ LUCRO]]+Tabela1107[[#This Row],[OUTROS]]+Tabela1107[[#This Row],[GO]]</f>
        <v>36.74</v>
      </c>
      <c r="BN78" s="97">
        <f>+Tabela1107[[#This Row],[PIS]]+Tabela1107[[#This Row],[COFINS]]+Tabela1107[[#This Row],[CONTRIB. FOLHA]]+Tabela1107[[#This Row],[TRIBUTOS S/ LUCRO]]+Tabela1107[[#This Row],[OUTROS]]+Tabela1107[[#This Row],[MT]]</f>
        <v>36.74</v>
      </c>
      <c r="BO78" s="97">
        <f>+Tabela1107[[#This Row],[PIS]]+Tabela1107[[#This Row],[COFINS]]+Tabela1107[[#This Row],[CONTRIB. FOLHA]]+Tabela1107[[#This Row],[TRIBUTOS S/ LUCRO]]+Tabela1107[[#This Row],[OUTROS]]+Tabela1107[[#This Row],[MS]]</f>
        <v>36.74</v>
      </c>
      <c r="BP78" s="97">
        <f>+Tabela1107[[#This Row],[PIS]]+Tabela1107[[#This Row],[COFINS]]+Tabela1107[[#This Row],[CONTRIB. FOLHA]]+Tabela1107[[#This Row],[TRIBUTOS S/ LUCRO]]+Tabela1107[[#This Row],[OUTROS]]+Tabela1107[[#This Row],[DF]]</f>
        <v>36.74</v>
      </c>
      <c r="BQ78" s="97">
        <f>+Tabela1107[[#This Row],[PIS]]+Tabela1107[[#This Row],[COFINS]]+Tabela1107[[#This Row],[CONTRIB. FOLHA]]+Tabela1107[[#This Row],[TRIBUTOS S/ LUCRO]]+Tabela1107[[#This Row],[OUTROS]]+Tabela1107[[#This Row],[BA]]</f>
        <v>36.74</v>
      </c>
      <c r="BR78" s="97">
        <f>+Tabela1107[[#This Row],[PIS]]+Tabela1107[[#This Row],[COFINS]]+Tabela1107[[#This Row],[CONTRIB. FOLHA]]+Tabela1107[[#This Row],[TRIBUTOS S/ LUCRO]]+Tabela1107[[#This Row],[OUTROS]]+Tabela1107[[#This Row],[BA]]</f>
        <v>36.74</v>
      </c>
      <c r="BS78" s="97">
        <f>+Tabela1107[[#This Row],[PIS]]+Tabela1107[[#This Row],[COFINS]]+Tabela1107[[#This Row],[CONTRIB. FOLHA]]+Tabela1107[[#This Row],[TRIBUTOS S/ LUCRO]]+Tabela1107[[#This Row],[OUTROS]]+Tabela1107[[#This Row],[PE]]</f>
        <v>36.74</v>
      </c>
      <c r="BT78" s="97">
        <f>+Tabela1107[[#This Row],[PIS]]+Tabela1107[[#This Row],[COFINS]]+Tabela1107[[#This Row],[CONTRIB. FOLHA]]+Tabela1107[[#This Row],[TRIBUTOS S/ LUCRO]]+Tabela1107[[#This Row],[OUTROS]]+Tabela1107[[#This Row],[PA]]</f>
        <v>36.74</v>
      </c>
      <c r="BU78" s="97">
        <f>+Tabela1107[[#This Row],[PIS]]+Tabela1107[[#This Row],[COFINS]]+Tabela1107[[#This Row],[CONTRIB. FOLHA]]+Tabela1107[[#This Row],[TRIBUTOS S/ LUCRO]]+Tabela1107[[#This Row],[OUTROS]]+Tabela1107[[#This Row],[AM]]</f>
        <v>36.74</v>
      </c>
      <c r="BV78" s="97">
        <f>AVERAGE(Tabela1107[[#This Row],[TOTAL SP]:[TOTAL AM]])</f>
        <v>36.677500000000002</v>
      </c>
      <c r="BW78" s="97"/>
      <c r="BX78" s="97"/>
    </row>
    <row r="79" spans="2:76" x14ac:dyDescent="0.25">
      <c r="B79" s="89">
        <v>4062</v>
      </c>
      <c r="C79" s="91" t="s">
        <v>13113</v>
      </c>
      <c r="D79" s="89"/>
      <c r="E79" s="89">
        <v>20140626</v>
      </c>
      <c r="F79" s="89" t="s">
        <v>20534</v>
      </c>
      <c r="G79" s="89" t="s">
        <v>20535</v>
      </c>
      <c r="H79" s="89" t="s">
        <v>20536</v>
      </c>
      <c r="I79" s="89" t="s">
        <v>20533</v>
      </c>
      <c r="J79" s="89" t="s">
        <v>32</v>
      </c>
      <c r="K79" s="89"/>
      <c r="L79" s="89" t="s">
        <v>2655</v>
      </c>
      <c r="M79" s="89" t="s">
        <v>4496</v>
      </c>
      <c r="N79" s="89" t="s">
        <v>4496</v>
      </c>
      <c r="O79" s="89" t="s">
        <v>4496</v>
      </c>
      <c r="P79" s="89" t="s">
        <v>4496</v>
      </c>
      <c r="Q79" s="89"/>
      <c r="R79" s="89" t="s">
        <v>22</v>
      </c>
      <c r="S79" s="89" t="s">
        <v>21600</v>
      </c>
      <c r="T79" s="89" t="s">
        <v>21601</v>
      </c>
      <c r="U79" s="89" t="str">
        <f>TRIM('Carga Tributária doenças Po (2'!$L79)</f>
        <v>DIPIRONA SODICA</v>
      </c>
      <c r="V79" s="89">
        <f>SUMIFS('Tabela Federal'!$E$4:$E$2069,'Tabela Federal'!$D$4:$D$2069,'Carga Tributária doenças Po (2'!$L79)</f>
        <v>1</v>
      </c>
      <c r="W79" s="89">
        <f>SUMIFS('Tabela Federal'!$E$4:$E$2069,'Tabela Federal'!$D$4:$D$2069,'Carga Tributária doenças Po (2'!$M79)</f>
        <v>0</v>
      </c>
      <c r="X79" s="89">
        <f>SUMIFS('Tabela Federal'!$E$4:$E$2069,'Tabela Federal'!$D$4:$D$2069,'Carga Tributária doenças Po (2'!$N79)</f>
        <v>0</v>
      </c>
      <c r="Y79" s="89">
        <f>SUMIFS('Tabela Federal'!$E$4:$E$2069,'Tabela Federal'!$D$4:$D$2069,'Carga Tributária doenças Po (2'!$O79)</f>
        <v>0</v>
      </c>
      <c r="Z79" s="92" t="str">
        <f>VLOOKUP('Carga Tributária doenças Po (2'!$AD79,'Carga Tributária doenças Po (2'!$CA$12:$CC$16,2,0)</f>
        <v>-</v>
      </c>
      <c r="AA79" s="89" t="s">
        <v>31</v>
      </c>
      <c r="AB79" s="89" t="s">
        <v>21766</v>
      </c>
      <c r="AC79" s="89" t="s">
        <v>21740</v>
      </c>
      <c r="AD79" s="93" t="s">
        <v>19523</v>
      </c>
      <c r="AE79" s="92" t="s">
        <v>4</v>
      </c>
      <c r="AF79" s="92" t="s">
        <v>23</v>
      </c>
      <c r="AG79" s="94">
        <v>6416567</v>
      </c>
      <c r="AH79" s="95">
        <v>23416963</v>
      </c>
      <c r="AI79" s="95">
        <v>53476930.789999999</v>
      </c>
      <c r="AJ79" s="89" t="s">
        <v>449</v>
      </c>
      <c r="AK79" s="89">
        <f>IF('Carga Tributária doenças Po (2'!$Z79="+",0,SUMIFS(PISCOFINS!$I$3:$I$10518,PISCOFINS!$C$3:$C$10518,'Carga Tributária doenças Po (2'!$C79))</f>
        <v>2.1</v>
      </c>
      <c r="AL79" s="89">
        <f>IF('Carga Tributária doenças Po (2'!$Z79="+",0,SUMIFS(PISCOFINS!$H$3:$H$10518,PISCOFINS!$C$3:$C$10518,'Carga Tributária doenças Po (2'!$C79))</f>
        <v>9.9</v>
      </c>
      <c r="AM79" s="95">
        <v>3.27</v>
      </c>
      <c r="AN79" s="95">
        <v>3.12</v>
      </c>
      <c r="AO79" s="95">
        <v>1.35</v>
      </c>
      <c r="AP79" s="96">
        <v>18</v>
      </c>
      <c r="AQ79" s="96">
        <v>12</v>
      </c>
      <c r="AR79" s="96">
        <v>17</v>
      </c>
      <c r="AS79" s="97">
        <v>17</v>
      </c>
      <c r="AT79" s="97">
        <v>19</v>
      </c>
      <c r="AU79" s="97">
        <v>18</v>
      </c>
      <c r="AV79" s="97">
        <v>17</v>
      </c>
      <c r="AW79" s="97">
        <v>17</v>
      </c>
      <c r="AX79" s="97">
        <v>17</v>
      </c>
      <c r="AY79" s="97">
        <v>17</v>
      </c>
      <c r="AZ79" s="97">
        <v>17</v>
      </c>
      <c r="BA79" s="97">
        <v>17</v>
      </c>
      <c r="BB79" s="97">
        <v>17</v>
      </c>
      <c r="BC79" s="97">
        <v>17</v>
      </c>
      <c r="BD79" s="97">
        <v>17</v>
      </c>
      <c r="BE79" s="97">
        <v>17</v>
      </c>
      <c r="BF79" s="97">
        <f>+Tabela1107[[#This Row],[PIS]]+Tabela1107[[#This Row],[COFINS]]+Tabela1107[[#This Row],[CONTRIB. FOLHA]]+Tabela1107[[#This Row],[TRIBUTOS S/ LUCRO]]+Tabela1107[[#This Row],[OUTROS]]+Tabela1107[[#This Row],[SP]]</f>
        <v>37.74</v>
      </c>
      <c r="BG79" s="97">
        <f>+Tabela1107[[#This Row],[PIS]]+Tabela1107[[#This Row],[COFINS]]+Tabela1107[[#This Row],[CONTRIB. FOLHA]]+Tabela1107[[#This Row],[TRIBUTOS S/ LUCRO]]+Tabela1107[[#This Row],[OUTROS]]+Tabela1107[[#This Row],[PR]]</f>
        <v>31.740000000000002</v>
      </c>
      <c r="BH79" s="97">
        <f>+Tabela1107[[#This Row],[PIS]]+Tabela1107[[#This Row],[COFINS]]+Tabela1107[[#This Row],[CONTRIB. FOLHA]]+Tabela1107[[#This Row],[TRIBUTOS S/ LUCRO]]+Tabela1107[[#This Row],[OUTROS]]+Tabela1107[[#This Row],[SC]]</f>
        <v>36.74</v>
      </c>
      <c r="BI79" s="97">
        <f>+Tabela1107[[#This Row],[PIS]]+Tabela1107[[#This Row],[COFINS]]+Tabela1107[[#This Row],[CONTRIB. FOLHA]]+Tabela1107[[#This Row],[TRIBUTOS S/ LUCRO]]+Tabela1107[[#This Row],[OUTROS]]+Tabela1107[[#This Row],[RS]]</f>
        <v>36.74</v>
      </c>
      <c r="BJ79" s="97">
        <f>+Tabela1107[[#This Row],[PIS]]+Tabela1107[[#This Row],[COFINS]]+Tabela1107[[#This Row],[CONTRIB. FOLHA]]+Tabela1107[[#This Row],[TRIBUTOS S/ LUCRO]]+Tabela1107[[#This Row],[OUTROS]]+Tabela1107[[#This Row],[RJ]]</f>
        <v>38.74</v>
      </c>
      <c r="BK79" s="97">
        <f>+Tabela1107[[#This Row],[PIS]]+Tabela1107[[#This Row],[COFINS]]+Tabela1107[[#This Row],[CONTRIB. FOLHA]]+Tabela1107[[#This Row],[TRIBUTOS S/ LUCRO]]+Tabela1107[[#This Row],[OUTROS]]+Tabela1107[[#This Row],[MG]]</f>
        <v>37.74</v>
      </c>
      <c r="BL79" s="97">
        <f>+Tabela1107[[#This Row],[PIS]]+Tabela1107[[#This Row],[COFINS]]+Tabela1107[[#This Row],[CONTRIB. FOLHA]]+Tabela1107[[#This Row],[TRIBUTOS S/ LUCRO]]+Tabela1107[[#This Row],[OUTROS]]+Tabela1107[[#This Row],[ES]]</f>
        <v>36.74</v>
      </c>
      <c r="BM79" s="97">
        <f>+Tabela1107[[#This Row],[PIS]]+Tabela1107[[#This Row],[COFINS]]+Tabela1107[[#This Row],[CONTRIB. FOLHA]]+Tabela1107[[#This Row],[TRIBUTOS S/ LUCRO]]+Tabela1107[[#This Row],[OUTROS]]+Tabela1107[[#This Row],[GO]]</f>
        <v>36.74</v>
      </c>
      <c r="BN79" s="97">
        <f>+Tabela1107[[#This Row],[PIS]]+Tabela1107[[#This Row],[COFINS]]+Tabela1107[[#This Row],[CONTRIB. FOLHA]]+Tabela1107[[#This Row],[TRIBUTOS S/ LUCRO]]+Tabela1107[[#This Row],[OUTROS]]+Tabela1107[[#This Row],[MT]]</f>
        <v>36.74</v>
      </c>
      <c r="BO79" s="97">
        <f>+Tabela1107[[#This Row],[PIS]]+Tabela1107[[#This Row],[COFINS]]+Tabela1107[[#This Row],[CONTRIB. FOLHA]]+Tabela1107[[#This Row],[TRIBUTOS S/ LUCRO]]+Tabela1107[[#This Row],[OUTROS]]+Tabela1107[[#This Row],[MS]]</f>
        <v>36.74</v>
      </c>
      <c r="BP79" s="97">
        <f>+Tabela1107[[#This Row],[PIS]]+Tabela1107[[#This Row],[COFINS]]+Tabela1107[[#This Row],[CONTRIB. FOLHA]]+Tabela1107[[#This Row],[TRIBUTOS S/ LUCRO]]+Tabela1107[[#This Row],[OUTROS]]+Tabela1107[[#This Row],[DF]]</f>
        <v>36.74</v>
      </c>
      <c r="BQ79" s="97">
        <f>+Tabela1107[[#This Row],[PIS]]+Tabela1107[[#This Row],[COFINS]]+Tabela1107[[#This Row],[CONTRIB. FOLHA]]+Tabela1107[[#This Row],[TRIBUTOS S/ LUCRO]]+Tabela1107[[#This Row],[OUTROS]]+Tabela1107[[#This Row],[BA]]</f>
        <v>36.74</v>
      </c>
      <c r="BR79" s="97">
        <f>+Tabela1107[[#This Row],[PIS]]+Tabela1107[[#This Row],[COFINS]]+Tabela1107[[#This Row],[CONTRIB. FOLHA]]+Tabela1107[[#This Row],[TRIBUTOS S/ LUCRO]]+Tabela1107[[#This Row],[OUTROS]]+Tabela1107[[#This Row],[BA]]</f>
        <v>36.74</v>
      </c>
      <c r="BS79" s="97">
        <f>+Tabela1107[[#This Row],[PIS]]+Tabela1107[[#This Row],[COFINS]]+Tabela1107[[#This Row],[CONTRIB. FOLHA]]+Tabela1107[[#This Row],[TRIBUTOS S/ LUCRO]]+Tabela1107[[#This Row],[OUTROS]]+Tabela1107[[#This Row],[PE]]</f>
        <v>36.74</v>
      </c>
      <c r="BT79" s="97">
        <f>+Tabela1107[[#This Row],[PIS]]+Tabela1107[[#This Row],[COFINS]]+Tabela1107[[#This Row],[CONTRIB. FOLHA]]+Tabela1107[[#This Row],[TRIBUTOS S/ LUCRO]]+Tabela1107[[#This Row],[OUTROS]]+Tabela1107[[#This Row],[PA]]</f>
        <v>36.74</v>
      </c>
      <c r="BU79" s="97">
        <f>+Tabela1107[[#This Row],[PIS]]+Tabela1107[[#This Row],[COFINS]]+Tabela1107[[#This Row],[CONTRIB. FOLHA]]+Tabela1107[[#This Row],[TRIBUTOS S/ LUCRO]]+Tabela1107[[#This Row],[OUTROS]]+Tabela1107[[#This Row],[AM]]</f>
        <v>36.74</v>
      </c>
      <c r="BV79" s="97">
        <f>AVERAGE(Tabela1107[[#This Row],[TOTAL SP]:[TOTAL AM]])</f>
        <v>36.677500000000002</v>
      </c>
      <c r="BW79" s="97"/>
      <c r="BX79" s="97"/>
    </row>
    <row r="80" spans="2:76" x14ac:dyDescent="0.25">
      <c r="B80" s="89">
        <v>4062</v>
      </c>
      <c r="C80" s="91" t="s">
        <v>13113</v>
      </c>
      <c r="D80" s="89"/>
      <c r="E80" s="89">
        <v>20140626</v>
      </c>
      <c r="F80" s="89" t="s">
        <v>20534</v>
      </c>
      <c r="G80" s="89" t="s">
        <v>20535</v>
      </c>
      <c r="H80" s="89" t="s">
        <v>20536</v>
      </c>
      <c r="I80" s="89" t="s">
        <v>20533</v>
      </c>
      <c r="J80" s="89" t="s">
        <v>32</v>
      </c>
      <c r="K80" s="89"/>
      <c r="L80" s="89" t="s">
        <v>2655</v>
      </c>
      <c r="M80" s="89" t="s">
        <v>4496</v>
      </c>
      <c r="N80" s="89" t="s">
        <v>4496</v>
      </c>
      <c r="O80" s="89" t="s">
        <v>4496</v>
      </c>
      <c r="P80" s="89" t="s">
        <v>4496</v>
      </c>
      <c r="Q80" s="89"/>
      <c r="R80" s="89" t="s">
        <v>22</v>
      </c>
      <c r="S80" s="89" t="s">
        <v>21600</v>
      </c>
      <c r="T80" s="89" t="s">
        <v>21601</v>
      </c>
      <c r="U80" s="89" t="str">
        <f>TRIM('Carga Tributária doenças Po (2'!$L80)</f>
        <v>DIPIRONA SODICA</v>
      </c>
      <c r="V80" s="89">
        <f>SUMIFS('Tabela Federal'!$E$4:$E$2069,'Tabela Federal'!$D$4:$D$2069,'Carga Tributária doenças Po (2'!$L80)</f>
        <v>1</v>
      </c>
      <c r="W80" s="89">
        <f>SUMIFS('Tabela Federal'!$E$4:$E$2069,'Tabela Federal'!$D$4:$D$2069,'Carga Tributária doenças Po (2'!$M80)</f>
        <v>0</v>
      </c>
      <c r="X80" s="89">
        <f>SUMIFS('Tabela Federal'!$E$4:$E$2069,'Tabela Federal'!$D$4:$D$2069,'Carga Tributária doenças Po (2'!$N80)</f>
        <v>0</v>
      </c>
      <c r="Y80" s="89">
        <f>SUMIFS('Tabela Federal'!$E$4:$E$2069,'Tabela Federal'!$D$4:$D$2069,'Carga Tributária doenças Po (2'!$O80)</f>
        <v>0</v>
      </c>
      <c r="Z80" s="92" t="str">
        <f>VLOOKUP('Carga Tributária doenças Po (2'!$AD80,'Carga Tributária doenças Po (2'!$CA$12:$CC$16,2,0)</f>
        <v>-</v>
      </c>
      <c r="AA80" s="89" t="s">
        <v>31</v>
      </c>
      <c r="AB80" s="89" t="s">
        <v>21766</v>
      </c>
      <c r="AC80" s="89" t="s">
        <v>21740</v>
      </c>
      <c r="AD80" s="93" t="s">
        <v>19523</v>
      </c>
      <c r="AE80" s="92" t="s">
        <v>4</v>
      </c>
      <c r="AF80" s="92" t="s">
        <v>23</v>
      </c>
      <c r="AG80" s="94">
        <v>6416567</v>
      </c>
      <c r="AH80" s="95">
        <v>23416963</v>
      </c>
      <c r="AI80" s="95">
        <v>53476930.789999999</v>
      </c>
      <c r="AJ80" s="89" t="s">
        <v>40</v>
      </c>
      <c r="AK80" s="89">
        <f>IF('Carga Tributária doenças Po (2'!$Z80="+",0,SUMIFS(PISCOFINS!$I$3:$I$10518,PISCOFINS!$C$3:$C$10518,'Carga Tributária doenças Po (2'!$C80))</f>
        <v>2.1</v>
      </c>
      <c r="AL80" s="89">
        <f>IF('Carga Tributária doenças Po (2'!$Z80="+",0,SUMIFS(PISCOFINS!$H$3:$H$10518,PISCOFINS!$C$3:$C$10518,'Carga Tributária doenças Po (2'!$C80))</f>
        <v>9.9</v>
      </c>
      <c r="AM80" s="95">
        <v>3.27</v>
      </c>
      <c r="AN80" s="95">
        <v>3.12</v>
      </c>
      <c r="AO80" s="95">
        <v>1.35</v>
      </c>
      <c r="AP80" s="96">
        <v>18</v>
      </c>
      <c r="AQ80" s="96">
        <v>12</v>
      </c>
      <c r="AR80" s="96">
        <v>17</v>
      </c>
      <c r="AS80" s="97">
        <v>17</v>
      </c>
      <c r="AT80" s="97">
        <v>19</v>
      </c>
      <c r="AU80" s="97">
        <v>18</v>
      </c>
      <c r="AV80" s="97">
        <v>17</v>
      </c>
      <c r="AW80" s="97">
        <v>17</v>
      </c>
      <c r="AX80" s="97">
        <v>17</v>
      </c>
      <c r="AY80" s="97">
        <v>17</v>
      </c>
      <c r="AZ80" s="97">
        <v>17</v>
      </c>
      <c r="BA80" s="97">
        <v>17</v>
      </c>
      <c r="BB80" s="97">
        <v>17</v>
      </c>
      <c r="BC80" s="97">
        <v>17</v>
      </c>
      <c r="BD80" s="97">
        <v>17</v>
      </c>
      <c r="BE80" s="97">
        <v>17</v>
      </c>
      <c r="BF80" s="97">
        <f>+Tabela1107[[#This Row],[PIS]]+Tabela1107[[#This Row],[COFINS]]+Tabela1107[[#This Row],[CONTRIB. FOLHA]]+Tabela1107[[#This Row],[TRIBUTOS S/ LUCRO]]+Tabela1107[[#This Row],[OUTROS]]+Tabela1107[[#This Row],[SP]]</f>
        <v>37.74</v>
      </c>
      <c r="BG80" s="97">
        <f>+Tabela1107[[#This Row],[PIS]]+Tabela1107[[#This Row],[COFINS]]+Tabela1107[[#This Row],[CONTRIB. FOLHA]]+Tabela1107[[#This Row],[TRIBUTOS S/ LUCRO]]+Tabela1107[[#This Row],[OUTROS]]+Tabela1107[[#This Row],[PR]]</f>
        <v>31.740000000000002</v>
      </c>
      <c r="BH80" s="97">
        <f>+Tabela1107[[#This Row],[PIS]]+Tabela1107[[#This Row],[COFINS]]+Tabela1107[[#This Row],[CONTRIB. FOLHA]]+Tabela1107[[#This Row],[TRIBUTOS S/ LUCRO]]+Tabela1107[[#This Row],[OUTROS]]+Tabela1107[[#This Row],[SC]]</f>
        <v>36.74</v>
      </c>
      <c r="BI80" s="97">
        <f>+Tabela1107[[#This Row],[PIS]]+Tabela1107[[#This Row],[COFINS]]+Tabela1107[[#This Row],[CONTRIB. FOLHA]]+Tabela1107[[#This Row],[TRIBUTOS S/ LUCRO]]+Tabela1107[[#This Row],[OUTROS]]+Tabela1107[[#This Row],[RS]]</f>
        <v>36.74</v>
      </c>
      <c r="BJ80" s="97">
        <f>+Tabela1107[[#This Row],[PIS]]+Tabela1107[[#This Row],[COFINS]]+Tabela1107[[#This Row],[CONTRIB. FOLHA]]+Tabela1107[[#This Row],[TRIBUTOS S/ LUCRO]]+Tabela1107[[#This Row],[OUTROS]]+Tabela1107[[#This Row],[RJ]]</f>
        <v>38.74</v>
      </c>
      <c r="BK80" s="97">
        <f>+Tabela1107[[#This Row],[PIS]]+Tabela1107[[#This Row],[COFINS]]+Tabela1107[[#This Row],[CONTRIB. FOLHA]]+Tabela1107[[#This Row],[TRIBUTOS S/ LUCRO]]+Tabela1107[[#This Row],[OUTROS]]+Tabela1107[[#This Row],[MG]]</f>
        <v>37.74</v>
      </c>
      <c r="BL80" s="97">
        <f>+Tabela1107[[#This Row],[PIS]]+Tabela1107[[#This Row],[COFINS]]+Tabela1107[[#This Row],[CONTRIB. FOLHA]]+Tabela1107[[#This Row],[TRIBUTOS S/ LUCRO]]+Tabela1107[[#This Row],[OUTROS]]+Tabela1107[[#This Row],[ES]]</f>
        <v>36.74</v>
      </c>
      <c r="BM80" s="97">
        <f>+Tabela1107[[#This Row],[PIS]]+Tabela1107[[#This Row],[COFINS]]+Tabela1107[[#This Row],[CONTRIB. FOLHA]]+Tabela1107[[#This Row],[TRIBUTOS S/ LUCRO]]+Tabela1107[[#This Row],[OUTROS]]+Tabela1107[[#This Row],[GO]]</f>
        <v>36.74</v>
      </c>
      <c r="BN80" s="97">
        <f>+Tabela1107[[#This Row],[PIS]]+Tabela1107[[#This Row],[COFINS]]+Tabela1107[[#This Row],[CONTRIB. FOLHA]]+Tabela1107[[#This Row],[TRIBUTOS S/ LUCRO]]+Tabela1107[[#This Row],[OUTROS]]+Tabela1107[[#This Row],[MT]]</f>
        <v>36.74</v>
      </c>
      <c r="BO80" s="97">
        <f>+Tabela1107[[#This Row],[PIS]]+Tabela1107[[#This Row],[COFINS]]+Tabela1107[[#This Row],[CONTRIB. FOLHA]]+Tabela1107[[#This Row],[TRIBUTOS S/ LUCRO]]+Tabela1107[[#This Row],[OUTROS]]+Tabela1107[[#This Row],[MS]]</f>
        <v>36.74</v>
      </c>
      <c r="BP80" s="97">
        <f>+Tabela1107[[#This Row],[PIS]]+Tabela1107[[#This Row],[COFINS]]+Tabela1107[[#This Row],[CONTRIB. FOLHA]]+Tabela1107[[#This Row],[TRIBUTOS S/ LUCRO]]+Tabela1107[[#This Row],[OUTROS]]+Tabela1107[[#This Row],[DF]]</f>
        <v>36.74</v>
      </c>
      <c r="BQ80" s="97">
        <f>+Tabela1107[[#This Row],[PIS]]+Tabela1107[[#This Row],[COFINS]]+Tabela1107[[#This Row],[CONTRIB. FOLHA]]+Tabela1107[[#This Row],[TRIBUTOS S/ LUCRO]]+Tabela1107[[#This Row],[OUTROS]]+Tabela1107[[#This Row],[BA]]</f>
        <v>36.74</v>
      </c>
      <c r="BR80" s="97">
        <f>+Tabela1107[[#This Row],[PIS]]+Tabela1107[[#This Row],[COFINS]]+Tabela1107[[#This Row],[CONTRIB. FOLHA]]+Tabela1107[[#This Row],[TRIBUTOS S/ LUCRO]]+Tabela1107[[#This Row],[OUTROS]]+Tabela1107[[#This Row],[BA]]</f>
        <v>36.74</v>
      </c>
      <c r="BS80" s="97">
        <f>+Tabela1107[[#This Row],[PIS]]+Tabela1107[[#This Row],[COFINS]]+Tabela1107[[#This Row],[CONTRIB. FOLHA]]+Tabela1107[[#This Row],[TRIBUTOS S/ LUCRO]]+Tabela1107[[#This Row],[OUTROS]]+Tabela1107[[#This Row],[PE]]</f>
        <v>36.74</v>
      </c>
      <c r="BT80" s="97">
        <f>+Tabela1107[[#This Row],[PIS]]+Tabela1107[[#This Row],[COFINS]]+Tabela1107[[#This Row],[CONTRIB. FOLHA]]+Tabela1107[[#This Row],[TRIBUTOS S/ LUCRO]]+Tabela1107[[#This Row],[OUTROS]]+Tabela1107[[#This Row],[PA]]</f>
        <v>36.74</v>
      </c>
      <c r="BU80" s="97">
        <f>+Tabela1107[[#This Row],[PIS]]+Tabela1107[[#This Row],[COFINS]]+Tabela1107[[#This Row],[CONTRIB. FOLHA]]+Tabela1107[[#This Row],[TRIBUTOS S/ LUCRO]]+Tabela1107[[#This Row],[OUTROS]]+Tabela1107[[#This Row],[AM]]</f>
        <v>36.74</v>
      </c>
      <c r="BV80" s="97">
        <f>AVERAGE(Tabela1107[[#This Row],[TOTAL SP]:[TOTAL AM]])</f>
        <v>36.677500000000002</v>
      </c>
      <c r="BW80" s="97"/>
      <c r="BX80" s="97"/>
    </row>
    <row r="81" spans="2:76" x14ac:dyDescent="0.25">
      <c r="B81" s="89">
        <v>4066</v>
      </c>
      <c r="C81" s="91" t="s">
        <v>13113</v>
      </c>
      <c r="D81" s="89"/>
      <c r="E81" s="89">
        <v>20140626</v>
      </c>
      <c r="F81" s="89" t="s">
        <v>20530</v>
      </c>
      <c r="G81" s="89" t="s">
        <v>20531</v>
      </c>
      <c r="H81" s="89" t="s">
        <v>20532</v>
      </c>
      <c r="I81" s="89" t="s">
        <v>20533</v>
      </c>
      <c r="J81" s="89" t="s">
        <v>30</v>
      </c>
      <c r="K81" s="89"/>
      <c r="L81" s="89" t="s">
        <v>2655</v>
      </c>
      <c r="M81" s="89" t="s">
        <v>4496</v>
      </c>
      <c r="N81" s="89" t="s">
        <v>4496</v>
      </c>
      <c r="O81" s="89" t="s">
        <v>4496</v>
      </c>
      <c r="P81" s="89" t="s">
        <v>4496</v>
      </c>
      <c r="Q81" s="89"/>
      <c r="R81" s="89" t="s">
        <v>22</v>
      </c>
      <c r="S81" s="89" t="s">
        <v>21600</v>
      </c>
      <c r="T81" s="89" t="s">
        <v>21601</v>
      </c>
      <c r="U81" s="89" t="str">
        <f>TRIM('Carga Tributária doenças Po (2'!$L81)</f>
        <v>DIPIRONA SODICA</v>
      </c>
      <c r="V81" s="89">
        <f>SUMIFS('Tabela Federal'!$E$4:$E$2069,'Tabela Federal'!$D$4:$D$2069,'Carga Tributária doenças Po (2'!$L81)</f>
        <v>1</v>
      </c>
      <c r="W81" s="89">
        <f>SUMIFS('Tabela Federal'!$E$4:$E$2069,'Tabela Federal'!$D$4:$D$2069,'Carga Tributária doenças Po (2'!$M81)</f>
        <v>0</v>
      </c>
      <c r="X81" s="89">
        <f>SUMIFS('Tabela Federal'!$E$4:$E$2069,'Tabela Federal'!$D$4:$D$2069,'Carga Tributária doenças Po (2'!$N81)</f>
        <v>0</v>
      </c>
      <c r="Y81" s="89">
        <f>SUMIFS('Tabela Federal'!$E$4:$E$2069,'Tabela Federal'!$D$4:$D$2069,'Carga Tributária doenças Po (2'!$O81)</f>
        <v>0</v>
      </c>
      <c r="Z81" s="92" t="str">
        <f>VLOOKUP('Carga Tributária doenças Po (2'!$AD81,'Carga Tributária doenças Po (2'!$CA$12:$CC$16,2,0)</f>
        <v>-</v>
      </c>
      <c r="AA81" s="89" t="s">
        <v>31</v>
      </c>
      <c r="AB81" s="89" t="s">
        <v>21766</v>
      </c>
      <c r="AC81" s="89" t="s">
        <v>21740</v>
      </c>
      <c r="AD81" s="93" t="s">
        <v>19523</v>
      </c>
      <c r="AE81" s="92" t="s">
        <v>4</v>
      </c>
      <c r="AF81" s="92" t="s">
        <v>23</v>
      </c>
      <c r="AG81" s="94">
        <v>9938724</v>
      </c>
      <c r="AH81" s="95">
        <v>37992317</v>
      </c>
      <c r="AI81" s="95">
        <v>86809572.390000001</v>
      </c>
      <c r="AJ81" s="89" t="s">
        <v>449</v>
      </c>
      <c r="AK81" s="89">
        <f>IF('Carga Tributária doenças Po (2'!$Z81="+",0,SUMIFS(PISCOFINS!$I$3:$I$10518,PISCOFINS!$C$3:$C$10518,'Carga Tributária doenças Po (2'!$C81))</f>
        <v>2.1</v>
      </c>
      <c r="AL81" s="89">
        <f>IF('Carga Tributária doenças Po (2'!$Z81="+",0,SUMIFS(PISCOFINS!$H$3:$H$10518,PISCOFINS!$C$3:$C$10518,'Carga Tributária doenças Po (2'!$C81))</f>
        <v>9.9</v>
      </c>
      <c r="AM81" s="95">
        <v>3.27</v>
      </c>
      <c r="AN81" s="95">
        <v>3.12</v>
      </c>
      <c r="AO81" s="95">
        <v>1.35</v>
      </c>
      <c r="AP81" s="96">
        <v>18</v>
      </c>
      <c r="AQ81" s="96">
        <v>12</v>
      </c>
      <c r="AR81" s="96">
        <v>17</v>
      </c>
      <c r="AS81" s="97">
        <v>17</v>
      </c>
      <c r="AT81" s="97">
        <v>19</v>
      </c>
      <c r="AU81" s="97">
        <v>18</v>
      </c>
      <c r="AV81" s="97">
        <v>17</v>
      </c>
      <c r="AW81" s="97">
        <v>17</v>
      </c>
      <c r="AX81" s="97">
        <v>17</v>
      </c>
      <c r="AY81" s="97">
        <v>17</v>
      </c>
      <c r="AZ81" s="97">
        <v>17</v>
      </c>
      <c r="BA81" s="97">
        <v>17</v>
      </c>
      <c r="BB81" s="97">
        <v>17</v>
      </c>
      <c r="BC81" s="97">
        <v>17</v>
      </c>
      <c r="BD81" s="97">
        <v>17</v>
      </c>
      <c r="BE81" s="97">
        <v>17</v>
      </c>
      <c r="BF81" s="97">
        <f>+Tabela1107[[#This Row],[PIS]]+Tabela1107[[#This Row],[COFINS]]+Tabela1107[[#This Row],[CONTRIB. FOLHA]]+Tabela1107[[#This Row],[TRIBUTOS S/ LUCRO]]+Tabela1107[[#This Row],[OUTROS]]+Tabela1107[[#This Row],[SP]]</f>
        <v>37.74</v>
      </c>
      <c r="BG81" s="97">
        <f>+Tabela1107[[#This Row],[PIS]]+Tabela1107[[#This Row],[COFINS]]+Tabela1107[[#This Row],[CONTRIB. FOLHA]]+Tabela1107[[#This Row],[TRIBUTOS S/ LUCRO]]+Tabela1107[[#This Row],[OUTROS]]+Tabela1107[[#This Row],[PR]]</f>
        <v>31.740000000000002</v>
      </c>
      <c r="BH81" s="97">
        <f>+Tabela1107[[#This Row],[PIS]]+Tabela1107[[#This Row],[COFINS]]+Tabela1107[[#This Row],[CONTRIB. FOLHA]]+Tabela1107[[#This Row],[TRIBUTOS S/ LUCRO]]+Tabela1107[[#This Row],[OUTROS]]+Tabela1107[[#This Row],[SC]]</f>
        <v>36.74</v>
      </c>
      <c r="BI81" s="97">
        <f>+Tabela1107[[#This Row],[PIS]]+Tabela1107[[#This Row],[COFINS]]+Tabela1107[[#This Row],[CONTRIB. FOLHA]]+Tabela1107[[#This Row],[TRIBUTOS S/ LUCRO]]+Tabela1107[[#This Row],[OUTROS]]+Tabela1107[[#This Row],[RS]]</f>
        <v>36.74</v>
      </c>
      <c r="BJ81" s="97">
        <f>+Tabela1107[[#This Row],[PIS]]+Tabela1107[[#This Row],[COFINS]]+Tabela1107[[#This Row],[CONTRIB. FOLHA]]+Tabela1107[[#This Row],[TRIBUTOS S/ LUCRO]]+Tabela1107[[#This Row],[OUTROS]]+Tabela1107[[#This Row],[RJ]]</f>
        <v>38.74</v>
      </c>
      <c r="BK81" s="97">
        <f>+Tabela1107[[#This Row],[PIS]]+Tabela1107[[#This Row],[COFINS]]+Tabela1107[[#This Row],[CONTRIB. FOLHA]]+Tabela1107[[#This Row],[TRIBUTOS S/ LUCRO]]+Tabela1107[[#This Row],[OUTROS]]+Tabela1107[[#This Row],[MG]]</f>
        <v>37.74</v>
      </c>
      <c r="BL81" s="97">
        <f>+Tabela1107[[#This Row],[PIS]]+Tabela1107[[#This Row],[COFINS]]+Tabela1107[[#This Row],[CONTRIB. FOLHA]]+Tabela1107[[#This Row],[TRIBUTOS S/ LUCRO]]+Tabela1107[[#This Row],[OUTROS]]+Tabela1107[[#This Row],[ES]]</f>
        <v>36.74</v>
      </c>
      <c r="BM81" s="97">
        <f>+Tabela1107[[#This Row],[PIS]]+Tabela1107[[#This Row],[COFINS]]+Tabela1107[[#This Row],[CONTRIB. FOLHA]]+Tabela1107[[#This Row],[TRIBUTOS S/ LUCRO]]+Tabela1107[[#This Row],[OUTROS]]+Tabela1107[[#This Row],[GO]]</f>
        <v>36.74</v>
      </c>
      <c r="BN81" s="97">
        <f>+Tabela1107[[#This Row],[PIS]]+Tabela1107[[#This Row],[COFINS]]+Tabela1107[[#This Row],[CONTRIB. FOLHA]]+Tabela1107[[#This Row],[TRIBUTOS S/ LUCRO]]+Tabela1107[[#This Row],[OUTROS]]+Tabela1107[[#This Row],[MT]]</f>
        <v>36.74</v>
      </c>
      <c r="BO81" s="97">
        <f>+Tabela1107[[#This Row],[PIS]]+Tabela1107[[#This Row],[COFINS]]+Tabela1107[[#This Row],[CONTRIB. FOLHA]]+Tabela1107[[#This Row],[TRIBUTOS S/ LUCRO]]+Tabela1107[[#This Row],[OUTROS]]+Tabela1107[[#This Row],[MS]]</f>
        <v>36.74</v>
      </c>
      <c r="BP81" s="97">
        <f>+Tabela1107[[#This Row],[PIS]]+Tabela1107[[#This Row],[COFINS]]+Tabela1107[[#This Row],[CONTRIB. FOLHA]]+Tabela1107[[#This Row],[TRIBUTOS S/ LUCRO]]+Tabela1107[[#This Row],[OUTROS]]+Tabela1107[[#This Row],[DF]]</f>
        <v>36.74</v>
      </c>
      <c r="BQ81" s="97">
        <f>+Tabela1107[[#This Row],[PIS]]+Tabela1107[[#This Row],[COFINS]]+Tabela1107[[#This Row],[CONTRIB. FOLHA]]+Tabela1107[[#This Row],[TRIBUTOS S/ LUCRO]]+Tabela1107[[#This Row],[OUTROS]]+Tabela1107[[#This Row],[BA]]</f>
        <v>36.74</v>
      </c>
      <c r="BR81" s="97">
        <f>+Tabela1107[[#This Row],[PIS]]+Tabela1107[[#This Row],[COFINS]]+Tabela1107[[#This Row],[CONTRIB. FOLHA]]+Tabela1107[[#This Row],[TRIBUTOS S/ LUCRO]]+Tabela1107[[#This Row],[OUTROS]]+Tabela1107[[#This Row],[BA]]</f>
        <v>36.74</v>
      </c>
      <c r="BS81" s="97">
        <f>+Tabela1107[[#This Row],[PIS]]+Tabela1107[[#This Row],[COFINS]]+Tabela1107[[#This Row],[CONTRIB. FOLHA]]+Tabela1107[[#This Row],[TRIBUTOS S/ LUCRO]]+Tabela1107[[#This Row],[OUTROS]]+Tabela1107[[#This Row],[PE]]</f>
        <v>36.74</v>
      </c>
      <c r="BT81" s="97">
        <f>+Tabela1107[[#This Row],[PIS]]+Tabela1107[[#This Row],[COFINS]]+Tabela1107[[#This Row],[CONTRIB. FOLHA]]+Tabela1107[[#This Row],[TRIBUTOS S/ LUCRO]]+Tabela1107[[#This Row],[OUTROS]]+Tabela1107[[#This Row],[PA]]</f>
        <v>36.74</v>
      </c>
      <c r="BU81" s="97">
        <f>+Tabela1107[[#This Row],[PIS]]+Tabela1107[[#This Row],[COFINS]]+Tabela1107[[#This Row],[CONTRIB. FOLHA]]+Tabela1107[[#This Row],[TRIBUTOS S/ LUCRO]]+Tabela1107[[#This Row],[OUTROS]]+Tabela1107[[#This Row],[AM]]</f>
        <v>36.74</v>
      </c>
      <c r="BV81" s="97">
        <f>AVERAGE(Tabela1107[[#This Row],[TOTAL SP]:[TOTAL AM]])</f>
        <v>36.677500000000002</v>
      </c>
      <c r="BW81" s="97"/>
      <c r="BX81" s="97"/>
    </row>
    <row r="82" spans="2:76" x14ac:dyDescent="0.25">
      <c r="B82" s="89">
        <v>4066</v>
      </c>
      <c r="C82" s="91" t="s">
        <v>13113</v>
      </c>
      <c r="D82" s="89"/>
      <c r="E82" s="89">
        <v>20140626</v>
      </c>
      <c r="F82" s="89" t="s">
        <v>20530</v>
      </c>
      <c r="G82" s="89" t="s">
        <v>20531</v>
      </c>
      <c r="H82" s="89" t="s">
        <v>20532</v>
      </c>
      <c r="I82" s="89" t="s">
        <v>20533</v>
      </c>
      <c r="J82" s="89" t="s">
        <v>30</v>
      </c>
      <c r="K82" s="89"/>
      <c r="L82" s="89" t="s">
        <v>2655</v>
      </c>
      <c r="M82" s="89" t="s">
        <v>4496</v>
      </c>
      <c r="N82" s="89" t="s">
        <v>4496</v>
      </c>
      <c r="O82" s="89" t="s">
        <v>4496</v>
      </c>
      <c r="P82" s="89" t="s">
        <v>4496</v>
      </c>
      <c r="Q82" s="89"/>
      <c r="R82" s="89" t="s">
        <v>22</v>
      </c>
      <c r="S82" s="89" t="s">
        <v>21600</v>
      </c>
      <c r="T82" s="89" t="s">
        <v>21601</v>
      </c>
      <c r="U82" s="89" t="str">
        <f>TRIM('Carga Tributária doenças Po (2'!$L82)</f>
        <v>DIPIRONA SODICA</v>
      </c>
      <c r="V82" s="89">
        <f>SUMIFS('Tabela Federal'!$E$4:$E$2069,'Tabela Federal'!$D$4:$D$2069,'Carga Tributária doenças Po (2'!$L82)</f>
        <v>1</v>
      </c>
      <c r="W82" s="89">
        <f>SUMIFS('Tabela Federal'!$E$4:$E$2069,'Tabela Federal'!$D$4:$D$2069,'Carga Tributária doenças Po (2'!$M82)</f>
        <v>0</v>
      </c>
      <c r="X82" s="89">
        <f>SUMIFS('Tabela Federal'!$E$4:$E$2069,'Tabela Federal'!$D$4:$D$2069,'Carga Tributária doenças Po (2'!$N82)</f>
        <v>0</v>
      </c>
      <c r="Y82" s="89">
        <f>SUMIFS('Tabela Federal'!$E$4:$E$2069,'Tabela Federal'!$D$4:$D$2069,'Carga Tributária doenças Po (2'!$O82)</f>
        <v>0</v>
      </c>
      <c r="Z82" s="92" t="str">
        <f>VLOOKUP('Carga Tributária doenças Po (2'!$AD82,'Carga Tributária doenças Po (2'!$CA$12:$CC$16,2,0)</f>
        <v>-</v>
      </c>
      <c r="AA82" s="89" t="s">
        <v>31</v>
      </c>
      <c r="AB82" s="89" t="s">
        <v>21766</v>
      </c>
      <c r="AC82" s="89" t="s">
        <v>21740</v>
      </c>
      <c r="AD82" s="93" t="s">
        <v>19523</v>
      </c>
      <c r="AE82" s="92" t="s">
        <v>4</v>
      </c>
      <c r="AF82" s="92" t="s">
        <v>23</v>
      </c>
      <c r="AG82" s="94">
        <v>9938724</v>
      </c>
      <c r="AH82" s="95">
        <v>37992317</v>
      </c>
      <c r="AI82" s="95">
        <v>86809572.390000001</v>
      </c>
      <c r="AJ82" s="89" t="s">
        <v>40</v>
      </c>
      <c r="AK82" s="89">
        <f>IF('Carga Tributária doenças Po (2'!$Z82="+",0,SUMIFS(PISCOFINS!$I$3:$I$10518,PISCOFINS!$C$3:$C$10518,'Carga Tributária doenças Po (2'!$C82))</f>
        <v>2.1</v>
      </c>
      <c r="AL82" s="89">
        <f>IF('Carga Tributária doenças Po (2'!$Z82="+",0,SUMIFS(PISCOFINS!$H$3:$H$10518,PISCOFINS!$C$3:$C$10518,'Carga Tributária doenças Po (2'!$C82))</f>
        <v>9.9</v>
      </c>
      <c r="AM82" s="95">
        <v>3.27</v>
      </c>
      <c r="AN82" s="95">
        <v>3.12</v>
      </c>
      <c r="AO82" s="95">
        <v>1.35</v>
      </c>
      <c r="AP82" s="96">
        <v>18</v>
      </c>
      <c r="AQ82" s="96">
        <v>12</v>
      </c>
      <c r="AR82" s="96">
        <v>17</v>
      </c>
      <c r="AS82" s="97">
        <v>17</v>
      </c>
      <c r="AT82" s="97">
        <v>19</v>
      </c>
      <c r="AU82" s="97">
        <v>18</v>
      </c>
      <c r="AV82" s="97">
        <v>17</v>
      </c>
      <c r="AW82" s="97">
        <v>17</v>
      </c>
      <c r="AX82" s="97">
        <v>17</v>
      </c>
      <c r="AY82" s="97">
        <v>17</v>
      </c>
      <c r="AZ82" s="97">
        <v>17</v>
      </c>
      <c r="BA82" s="97">
        <v>17</v>
      </c>
      <c r="BB82" s="97">
        <v>17</v>
      </c>
      <c r="BC82" s="97">
        <v>17</v>
      </c>
      <c r="BD82" s="97">
        <v>17</v>
      </c>
      <c r="BE82" s="97">
        <v>17</v>
      </c>
      <c r="BF82" s="97">
        <f>+Tabela1107[[#This Row],[PIS]]+Tabela1107[[#This Row],[COFINS]]+Tabela1107[[#This Row],[CONTRIB. FOLHA]]+Tabela1107[[#This Row],[TRIBUTOS S/ LUCRO]]+Tabela1107[[#This Row],[OUTROS]]+Tabela1107[[#This Row],[SP]]</f>
        <v>37.74</v>
      </c>
      <c r="BG82" s="97">
        <f>+Tabela1107[[#This Row],[PIS]]+Tabela1107[[#This Row],[COFINS]]+Tabela1107[[#This Row],[CONTRIB. FOLHA]]+Tabela1107[[#This Row],[TRIBUTOS S/ LUCRO]]+Tabela1107[[#This Row],[OUTROS]]+Tabela1107[[#This Row],[PR]]</f>
        <v>31.740000000000002</v>
      </c>
      <c r="BH82" s="97">
        <f>+Tabela1107[[#This Row],[PIS]]+Tabela1107[[#This Row],[COFINS]]+Tabela1107[[#This Row],[CONTRIB. FOLHA]]+Tabela1107[[#This Row],[TRIBUTOS S/ LUCRO]]+Tabela1107[[#This Row],[OUTROS]]+Tabela1107[[#This Row],[SC]]</f>
        <v>36.74</v>
      </c>
      <c r="BI82" s="97">
        <f>+Tabela1107[[#This Row],[PIS]]+Tabela1107[[#This Row],[COFINS]]+Tabela1107[[#This Row],[CONTRIB. FOLHA]]+Tabela1107[[#This Row],[TRIBUTOS S/ LUCRO]]+Tabela1107[[#This Row],[OUTROS]]+Tabela1107[[#This Row],[RS]]</f>
        <v>36.74</v>
      </c>
      <c r="BJ82" s="97">
        <f>+Tabela1107[[#This Row],[PIS]]+Tabela1107[[#This Row],[COFINS]]+Tabela1107[[#This Row],[CONTRIB. FOLHA]]+Tabela1107[[#This Row],[TRIBUTOS S/ LUCRO]]+Tabela1107[[#This Row],[OUTROS]]+Tabela1107[[#This Row],[RJ]]</f>
        <v>38.74</v>
      </c>
      <c r="BK82" s="97">
        <f>+Tabela1107[[#This Row],[PIS]]+Tabela1107[[#This Row],[COFINS]]+Tabela1107[[#This Row],[CONTRIB. FOLHA]]+Tabela1107[[#This Row],[TRIBUTOS S/ LUCRO]]+Tabela1107[[#This Row],[OUTROS]]+Tabela1107[[#This Row],[MG]]</f>
        <v>37.74</v>
      </c>
      <c r="BL82" s="97">
        <f>+Tabela1107[[#This Row],[PIS]]+Tabela1107[[#This Row],[COFINS]]+Tabela1107[[#This Row],[CONTRIB. FOLHA]]+Tabela1107[[#This Row],[TRIBUTOS S/ LUCRO]]+Tabela1107[[#This Row],[OUTROS]]+Tabela1107[[#This Row],[ES]]</f>
        <v>36.74</v>
      </c>
      <c r="BM82" s="97">
        <f>+Tabela1107[[#This Row],[PIS]]+Tabela1107[[#This Row],[COFINS]]+Tabela1107[[#This Row],[CONTRIB. FOLHA]]+Tabela1107[[#This Row],[TRIBUTOS S/ LUCRO]]+Tabela1107[[#This Row],[OUTROS]]+Tabela1107[[#This Row],[GO]]</f>
        <v>36.74</v>
      </c>
      <c r="BN82" s="97">
        <f>+Tabela1107[[#This Row],[PIS]]+Tabela1107[[#This Row],[COFINS]]+Tabela1107[[#This Row],[CONTRIB. FOLHA]]+Tabela1107[[#This Row],[TRIBUTOS S/ LUCRO]]+Tabela1107[[#This Row],[OUTROS]]+Tabela1107[[#This Row],[MT]]</f>
        <v>36.74</v>
      </c>
      <c r="BO82" s="97">
        <f>+Tabela1107[[#This Row],[PIS]]+Tabela1107[[#This Row],[COFINS]]+Tabela1107[[#This Row],[CONTRIB. FOLHA]]+Tabela1107[[#This Row],[TRIBUTOS S/ LUCRO]]+Tabela1107[[#This Row],[OUTROS]]+Tabela1107[[#This Row],[MS]]</f>
        <v>36.74</v>
      </c>
      <c r="BP82" s="97">
        <f>+Tabela1107[[#This Row],[PIS]]+Tabela1107[[#This Row],[COFINS]]+Tabela1107[[#This Row],[CONTRIB. FOLHA]]+Tabela1107[[#This Row],[TRIBUTOS S/ LUCRO]]+Tabela1107[[#This Row],[OUTROS]]+Tabela1107[[#This Row],[DF]]</f>
        <v>36.74</v>
      </c>
      <c r="BQ82" s="97">
        <f>+Tabela1107[[#This Row],[PIS]]+Tabela1107[[#This Row],[COFINS]]+Tabela1107[[#This Row],[CONTRIB. FOLHA]]+Tabela1107[[#This Row],[TRIBUTOS S/ LUCRO]]+Tabela1107[[#This Row],[OUTROS]]+Tabela1107[[#This Row],[BA]]</f>
        <v>36.74</v>
      </c>
      <c r="BR82" s="97">
        <f>+Tabela1107[[#This Row],[PIS]]+Tabela1107[[#This Row],[COFINS]]+Tabela1107[[#This Row],[CONTRIB. FOLHA]]+Tabela1107[[#This Row],[TRIBUTOS S/ LUCRO]]+Tabela1107[[#This Row],[OUTROS]]+Tabela1107[[#This Row],[BA]]</f>
        <v>36.74</v>
      </c>
      <c r="BS82" s="97">
        <f>+Tabela1107[[#This Row],[PIS]]+Tabela1107[[#This Row],[COFINS]]+Tabela1107[[#This Row],[CONTRIB. FOLHA]]+Tabela1107[[#This Row],[TRIBUTOS S/ LUCRO]]+Tabela1107[[#This Row],[OUTROS]]+Tabela1107[[#This Row],[PE]]</f>
        <v>36.74</v>
      </c>
      <c r="BT82" s="97">
        <f>+Tabela1107[[#This Row],[PIS]]+Tabela1107[[#This Row],[COFINS]]+Tabela1107[[#This Row],[CONTRIB. FOLHA]]+Tabela1107[[#This Row],[TRIBUTOS S/ LUCRO]]+Tabela1107[[#This Row],[OUTROS]]+Tabela1107[[#This Row],[PA]]</f>
        <v>36.74</v>
      </c>
      <c r="BU82" s="97">
        <f>+Tabela1107[[#This Row],[PIS]]+Tabela1107[[#This Row],[COFINS]]+Tabela1107[[#This Row],[CONTRIB. FOLHA]]+Tabela1107[[#This Row],[TRIBUTOS S/ LUCRO]]+Tabela1107[[#This Row],[OUTROS]]+Tabela1107[[#This Row],[AM]]</f>
        <v>36.74</v>
      </c>
      <c r="BV82" s="97">
        <f>AVERAGE(Tabela1107[[#This Row],[TOTAL SP]:[TOTAL AM]])</f>
        <v>36.677500000000002</v>
      </c>
      <c r="BW82" s="97"/>
      <c r="BX82" s="97"/>
    </row>
    <row r="83" spans="2:76" x14ac:dyDescent="0.25">
      <c r="B83" s="89">
        <v>3979</v>
      </c>
      <c r="C83" s="91" t="s">
        <v>13075</v>
      </c>
      <c r="D83" s="89"/>
      <c r="E83" s="89">
        <v>20140626</v>
      </c>
      <c r="F83" s="89" t="s">
        <v>20267</v>
      </c>
      <c r="G83" s="89" t="s">
        <v>20268</v>
      </c>
      <c r="H83" s="89" t="s">
        <v>20269</v>
      </c>
      <c r="I83" s="89" t="s">
        <v>20266</v>
      </c>
      <c r="J83" s="89" t="s">
        <v>584</v>
      </c>
      <c r="K83" s="89"/>
      <c r="L83" s="89" t="s">
        <v>2631</v>
      </c>
      <c r="M83" s="89" t="s">
        <v>4496</v>
      </c>
      <c r="N83" s="89" t="s">
        <v>4496</v>
      </c>
      <c r="O83" s="89" t="s">
        <v>4496</v>
      </c>
      <c r="P83" s="89" t="s">
        <v>4496</v>
      </c>
      <c r="Q83" s="89"/>
      <c r="R83" s="89" t="s">
        <v>1</v>
      </c>
      <c r="S83" s="89" t="s">
        <v>21566</v>
      </c>
      <c r="T83" s="89" t="s">
        <v>21567</v>
      </c>
      <c r="U83" s="89" t="str">
        <f>TRIM('Carga Tributária doenças Po (2'!$L83)</f>
        <v>BUDESONIDA</v>
      </c>
      <c r="V83" s="89">
        <f>SUMIFS('Tabela Federal'!$E$4:$E$2069,'Tabela Federal'!$D$4:$D$2069,'Carga Tributária doenças Po (2'!$L83)</f>
        <v>2</v>
      </c>
      <c r="W83" s="89">
        <f>SUMIFS('Tabela Federal'!$E$4:$E$2069,'Tabela Federal'!$D$4:$D$2069,'Carga Tributária doenças Po (2'!$M83)</f>
        <v>0</v>
      </c>
      <c r="X83" s="89">
        <f>SUMIFS('Tabela Federal'!$E$4:$E$2069,'Tabela Federal'!$D$4:$D$2069,'Carga Tributária doenças Po (2'!$N83)</f>
        <v>0</v>
      </c>
      <c r="Y83" s="89">
        <f>SUMIFS('Tabela Federal'!$E$4:$E$2069,'Tabela Federal'!$D$4:$D$2069,'Carga Tributária doenças Po (2'!$O83)</f>
        <v>0</v>
      </c>
      <c r="Z83" s="92" t="str">
        <f>VLOOKUP('Carga Tributária doenças Po (2'!$AD83,'Carga Tributária doenças Po (2'!$CA$12:$CC$16,2,0)</f>
        <v>+</v>
      </c>
      <c r="AA83" s="89" t="s">
        <v>583</v>
      </c>
      <c r="AB83" s="89" t="s">
        <v>21879</v>
      </c>
      <c r="AC83" s="89" t="s">
        <v>21721</v>
      </c>
      <c r="AD83" s="93" t="s">
        <v>21722</v>
      </c>
      <c r="AE83" s="92" t="s">
        <v>2</v>
      </c>
      <c r="AF83" s="92" t="s">
        <v>23</v>
      </c>
      <c r="AG83" s="94">
        <v>2410281</v>
      </c>
      <c r="AH83" s="95">
        <v>19261874</v>
      </c>
      <c r="AI83" s="95">
        <v>43849570.450000003</v>
      </c>
      <c r="AJ83" s="89" t="s">
        <v>589</v>
      </c>
      <c r="AK83" s="89">
        <f>IF('Carga Tributária doenças Po (2'!$Z83="+",0,SUMIFS(PISCOFINS!$I$3:$I$10518,PISCOFINS!$C$3:$C$10518,'Carga Tributária doenças Po (2'!$C83))</f>
        <v>0</v>
      </c>
      <c r="AL83" s="89">
        <f>IF('Carga Tributária doenças Po (2'!$Z83="+",0,SUMIFS(PISCOFINS!$H$3:$H$10518,PISCOFINS!$C$3:$C$10518,'Carga Tributária doenças Po (2'!$C83))</f>
        <v>0</v>
      </c>
      <c r="AM83" s="95">
        <v>3.27</v>
      </c>
      <c r="AN83" s="95">
        <v>3.12</v>
      </c>
      <c r="AO83" s="95">
        <v>1.35</v>
      </c>
      <c r="AP83" s="96">
        <v>18</v>
      </c>
      <c r="AQ83" s="96">
        <v>12</v>
      </c>
      <c r="AR83" s="96">
        <v>17</v>
      </c>
      <c r="AS83" s="97">
        <v>17</v>
      </c>
      <c r="AT83" s="97">
        <v>19</v>
      </c>
      <c r="AU83" s="97">
        <v>18</v>
      </c>
      <c r="AV83" s="97">
        <v>17</v>
      </c>
      <c r="AW83" s="97">
        <v>17</v>
      </c>
      <c r="AX83" s="97">
        <v>17</v>
      </c>
      <c r="AY83" s="97">
        <v>17</v>
      </c>
      <c r="AZ83" s="97">
        <v>17</v>
      </c>
      <c r="BA83" s="97">
        <v>17</v>
      </c>
      <c r="BB83" s="97">
        <v>17</v>
      </c>
      <c r="BC83" s="97">
        <v>17</v>
      </c>
      <c r="BD83" s="97">
        <v>17</v>
      </c>
      <c r="BE83" s="97">
        <v>17</v>
      </c>
      <c r="BF83" s="97">
        <f>+Tabela1107[[#This Row],[PIS]]+Tabela1107[[#This Row],[COFINS]]+Tabela1107[[#This Row],[CONTRIB. FOLHA]]+Tabela1107[[#This Row],[TRIBUTOS S/ LUCRO]]+Tabela1107[[#This Row],[OUTROS]]+Tabela1107[[#This Row],[SP]]</f>
        <v>25.740000000000002</v>
      </c>
      <c r="BG83" s="97">
        <f>+Tabela1107[[#This Row],[PIS]]+Tabela1107[[#This Row],[COFINS]]+Tabela1107[[#This Row],[CONTRIB. FOLHA]]+Tabela1107[[#This Row],[TRIBUTOS S/ LUCRO]]+Tabela1107[[#This Row],[OUTROS]]+Tabela1107[[#This Row],[PR]]</f>
        <v>19.740000000000002</v>
      </c>
      <c r="BH83" s="97">
        <f>+Tabela1107[[#This Row],[PIS]]+Tabela1107[[#This Row],[COFINS]]+Tabela1107[[#This Row],[CONTRIB. FOLHA]]+Tabela1107[[#This Row],[TRIBUTOS S/ LUCRO]]+Tabela1107[[#This Row],[OUTROS]]+Tabela1107[[#This Row],[SC]]</f>
        <v>24.740000000000002</v>
      </c>
      <c r="BI83" s="97">
        <f>+Tabela1107[[#This Row],[PIS]]+Tabela1107[[#This Row],[COFINS]]+Tabela1107[[#This Row],[CONTRIB. FOLHA]]+Tabela1107[[#This Row],[TRIBUTOS S/ LUCRO]]+Tabela1107[[#This Row],[OUTROS]]+Tabela1107[[#This Row],[RS]]</f>
        <v>24.740000000000002</v>
      </c>
      <c r="BJ83" s="97">
        <f>+Tabela1107[[#This Row],[PIS]]+Tabela1107[[#This Row],[COFINS]]+Tabela1107[[#This Row],[CONTRIB. FOLHA]]+Tabela1107[[#This Row],[TRIBUTOS S/ LUCRO]]+Tabela1107[[#This Row],[OUTROS]]+Tabela1107[[#This Row],[RJ]]</f>
        <v>26.740000000000002</v>
      </c>
      <c r="BK83" s="97">
        <f>+Tabela1107[[#This Row],[PIS]]+Tabela1107[[#This Row],[COFINS]]+Tabela1107[[#This Row],[CONTRIB. FOLHA]]+Tabela1107[[#This Row],[TRIBUTOS S/ LUCRO]]+Tabela1107[[#This Row],[OUTROS]]+Tabela1107[[#This Row],[MG]]</f>
        <v>25.740000000000002</v>
      </c>
      <c r="BL83" s="97">
        <f>+Tabela1107[[#This Row],[PIS]]+Tabela1107[[#This Row],[COFINS]]+Tabela1107[[#This Row],[CONTRIB. FOLHA]]+Tabela1107[[#This Row],[TRIBUTOS S/ LUCRO]]+Tabela1107[[#This Row],[OUTROS]]+Tabela1107[[#This Row],[ES]]</f>
        <v>24.740000000000002</v>
      </c>
      <c r="BM83" s="97">
        <f>+Tabela1107[[#This Row],[PIS]]+Tabela1107[[#This Row],[COFINS]]+Tabela1107[[#This Row],[CONTRIB. FOLHA]]+Tabela1107[[#This Row],[TRIBUTOS S/ LUCRO]]+Tabela1107[[#This Row],[OUTROS]]+Tabela1107[[#This Row],[GO]]</f>
        <v>24.740000000000002</v>
      </c>
      <c r="BN83" s="97">
        <f>+Tabela1107[[#This Row],[PIS]]+Tabela1107[[#This Row],[COFINS]]+Tabela1107[[#This Row],[CONTRIB. FOLHA]]+Tabela1107[[#This Row],[TRIBUTOS S/ LUCRO]]+Tabela1107[[#This Row],[OUTROS]]+Tabela1107[[#This Row],[MT]]</f>
        <v>24.740000000000002</v>
      </c>
      <c r="BO83" s="97">
        <f>+Tabela1107[[#This Row],[PIS]]+Tabela1107[[#This Row],[COFINS]]+Tabela1107[[#This Row],[CONTRIB. FOLHA]]+Tabela1107[[#This Row],[TRIBUTOS S/ LUCRO]]+Tabela1107[[#This Row],[OUTROS]]+Tabela1107[[#This Row],[MS]]</f>
        <v>24.740000000000002</v>
      </c>
      <c r="BP83" s="97">
        <f>+Tabela1107[[#This Row],[PIS]]+Tabela1107[[#This Row],[COFINS]]+Tabela1107[[#This Row],[CONTRIB. FOLHA]]+Tabela1107[[#This Row],[TRIBUTOS S/ LUCRO]]+Tabela1107[[#This Row],[OUTROS]]+Tabela1107[[#This Row],[DF]]</f>
        <v>24.740000000000002</v>
      </c>
      <c r="BQ83" s="97">
        <f>+Tabela1107[[#This Row],[PIS]]+Tabela1107[[#This Row],[COFINS]]+Tabela1107[[#This Row],[CONTRIB. FOLHA]]+Tabela1107[[#This Row],[TRIBUTOS S/ LUCRO]]+Tabela1107[[#This Row],[OUTROS]]+Tabela1107[[#This Row],[BA]]</f>
        <v>24.740000000000002</v>
      </c>
      <c r="BR83" s="97">
        <f>+Tabela1107[[#This Row],[PIS]]+Tabela1107[[#This Row],[COFINS]]+Tabela1107[[#This Row],[CONTRIB. FOLHA]]+Tabela1107[[#This Row],[TRIBUTOS S/ LUCRO]]+Tabela1107[[#This Row],[OUTROS]]+Tabela1107[[#This Row],[BA]]</f>
        <v>24.740000000000002</v>
      </c>
      <c r="BS83" s="97">
        <f>+Tabela1107[[#This Row],[PIS]]+Tabela1107[[#This Row],[COFINS]]+Tabela1107[[#This Row],[CONTRIB. FOLHA]]+Tabela1107[[#This Row],[TRIBUTOS S/ LUCRO]]+Tabela1107[[#This Row],[OUTROS]]+Tabela1107[[#This Row],[PE]]</f>
        <v>24.740000000000002</v>
      </c>
      <c r="BT83" s="97">
        <f>+Tabela1107[[#This Row],[PIS]]+Tabela1107[[#This Row],[COFINS]]+Tabela1107[[#This Row],[CONTRIB. FOLHA]]+Tabela1107[[#This Row],[TRIBUTOS S/ LUCRO]]+Tabela1107[[#This Row],[OUTROS]]+Tabela1107[[#This Row],[PA]]</f>
        <v>24.740000000000002</v>
      </c>
      <c r="BU83" s="97">
        <f>+Tabela1107[[#This Row],[PIS]]+Tabela1107[[#This Row],[COFINS]]+Tabela1107[[#This Row],[CONTRIB. FOLHA]]+Tabela1107[[#This Row],[TRIBUTOS S/ LUCRO]]+Tabela1107[[#This Row],[OUTROS]]+Tabela1107[[#This Row],[AM]]</f>
        <v>24.740000000000002</v>
      </c>
      <c r="BV83" s="97">
        <f>AVERAGE(Tabela1107[[#This Row],[TOTAL SP]:[TOTAL AM]])</f>
        <v>24.677500000000006</v>
      </c>
      <c r="BW83" s="97"/>
      <c r="BX83" s="97"/>
    </row>
    <row r="84" spans="2:76" x14ac:dyDescent="0.25">
      <c r="B84" s="89">
        <v>3990</v>
      </c>
      <c r="C84" s="91" t="s">
        <v>13075</v>
      </c>
      <c r="D84" s="89"/>
      <c r="E84" s="89">
        <v>20140626</v>
      </c>
      <c r="F84" s="89" t="s">
        <v>20264</v>
      </c>
      <c r="G84" s="89" t="s">
        <v>20265</v>
      </c>
      <c r="H84" s="98" t="s">
        <v>21962</v>
      </c>
      <c r="I84" s="89" t="s">
        <v>20266</v>
      </c>
      <c r="J84" s="89" t="s">
        <v>585</v>
      </c>
      <c r="K84" s="89"/>
      <c r="L84" s="89" t="s">
        <v>2631</v>
      </c>
      <c r="M84" s="89" t="s">
        <v>4496</v>
      </c>
      <c r="N84" s="89" t="s">
        <v>4496</v>
      </c>
      <c r="O84" s="89" t="s">
        <v>4496</v>
      </c>
      <c r="P84" s="89" t="s">
        <v>4496</v>
      </c>
      <c r="Q84" s="89"/>
      <c r="R84" s="89" t="s">
        <v>1</v>
      </c>
      <c r="S84" s="89" t="s">
        <v>21566</v>
      </c>
      <c r="T84" s="89" t="s">
        <v>21567</v>
      </c>
      <c r="U84" s="89" t="str">
        <f>TRIM('Carga Tributária doenças Po (2'!$L84)</f>
        <v>BUDESONIDA</v>
      </c>
      <c r="V84" s="89">
        <f>SUMIFS('Tabela Federal'!$E$4:$E$2069,'Tabela Federal'!$D$4:$D$2069,'Carga Tributária doenças Po (2'!$L84)</f>
        <v>2</v>
      </c>
      <c r="W84" s="89">
        <f>SUMIFS('Tabela Federal'!$E$4:$E$2069,'Tabela Federal'!$D$4:$D$2069,'Carga Tributária doenças Po (2'!$M84)</f>
        <v>0</v>
      </c>
      <c r="X84" s="89">
        <f>SUMIFS('Tabela Federal'!$E$4:$E$2069,'Tabela Federal'!$D$4:$D$2069,'Carga Tributária doenças Po (2'!$N84)</f>
        <v>0</v>
      </c>
      <c r="Y84" s="89">
        <f>SUMIFS('Tabela Federal'!$E$4:$E$2069,'Tabela Federal'!$D$4:$D$2069,'Carga Tributária doenças Po (2'!$O84)</f>
        <v>0</v>
      </c>
      <c r="Z84" s="92" t="str">
        <f>VLOOKUP('Carga Tributária doenças Po (2'!$AD84,'Carga Tributária doenças Po (2'!$CA$12:$CC$16,2,0)</f>
        <v>+</v>
      </c>
      <c r="AA84" s="89" t="s">
        <v>583</v>
      </c>
      <c r="AB84" s="89" t="s">
        <v>21879</v>
      </c>
      <c r="AC84" s="89" t="s">
        <v>21721</v>
      </c>
      <c r="AD84" s="93" t="s">
        <v>21722</v>
      </c>
      <c r="AE84" s="92" t="s">
        <v>2</v>
      </c>
      <c r="AF84" s="92" t="s">
        <v>23</v>
      </c>
      <c r="AG84" s="94">
        <v>1847588</v>
      </c>
      <c r="AH84" s="95">
        <v>10064192</v>
      </c>
      <c r="AI84" s="95">
        <v>22895620.420000002</v>
      </c>
      <c r="AJ84" s="89" t="s">
        <v>589</v>
      </c>
      <c r="AK84" s="89">
        <f>IF('Carga Tributária doenças Po (2'!$Z84="+",0,SUMIFS(PISCOFINS!$I$3:$I$10518,PISCOFINS!$C$3:$C$10518,'Carga Tributária doenças Po (2'!$C84))</f>
        <v>0</v>
      </c>
      <c r="AL84" s="89">
        <f>IF('Carga Tributária doenças Po (2'!$Z84="+",0,SUMIFS(PISCOFINS!$H$3:$H$10518,PISCOFINS!$C$3:$C$10518,'Carga Tributária doenças Po (2'!$C84))</f>
        <v>0</v>
      </c>
      <c r="AM84" s="95">
        <v>3.27</v>
      </c>
      <c r="AN84" s="95">
        <v>3.12</v>
      </c>
      <c r="AO84" s="95">
        <v>1.35</v>
      </c>
      <c r="AP84" s="96">
        <v>18</v>
      </c>
      <c r="AQ84" s="96">
        <v>12</v>
      </c>
      <c r="AR84" s="96">
        <v>17</v>
      </c>
      <c r="AS84" s="97">
        <v>17</v>
      </c>
      <c r="AT84" s="97">
        <v>19</v>
      </c>
      <c r="AU84" s="97">
        <v>18</v>
      </c>
      <c r="AV84" s="97">
        <v>17</v>
      </c>
      <c r="AW84" s="97">
        <v>17</v>
      </c>
      <c r="AX84" s="97">
        <v>17</v>
      </c>
      <c r="AY84" s="97">
        <v>17</v>
      </c>
      <c r="AZ84" s="97">
        <v>17</v>
      </c>
      <c r="BA84" s="97">
        <v>17</v>
      </c>
      <c r="BB84" s="97">
        <v>17</v>
      </c>
      <c r="BC84" s="97">
        <v>17</v>
      </c>
      <c r="BD84" s="97">
        <v>17</v>
      </c>
      <c r="BE84" s="97">
        <v>17</v>
      </c>
      <c r="BF84" s="97">
        <f>+Tabela1107[[#This Row],[PIS]]+Tabela1107[[#This Row],[COFINS]]+Tabela1107[[#This Row],[CONTRIB. FOLHA]]+Tabela1107[[#This Row],[TRIBUTOS S/ LUCRO]]+Tabela1107[[#This Row],[OUTROS]]+Tabela1107[[#This Row],[SP]]</f>
        <v>25.740000000000002</v>
      </c>
      <c r="BG84" s="97">
        <f>+Tabela1107[[#This Row],[PIS]]+Tabela1107[[#This Row],[COFINS]]+Tabela1107[[#This Row],[CONTRIB. FOLHA]]+Tabela1107[[#This Row],[TRIBUTOS S/ LUCRO]]+Tabela1107[[#This Row],[OUTROS]]+Tabela1107[[#This Row],[PR]]</f>
        <v>19.740000000000002</v>
      </c>
      <c r="BH84" s="97">
        <f>+Tabela1107[[#This Row],[PIS]]+Tabela1107[[#This Row],[COFINS]]+Tabela1107[[#This Row],[CONTRIB. FOLHA]]+Tabela1107[[#This Row],[TRIBUTOS S/ LUCRO]]+Tabela1107[[#This Row],[OUTROS]]+Tabela1107[[#This Row],[SC]]</f>
        <v>24.740000000000002</v>
      </c>
      <c r="BI84" s="97">
        <f>+Tabela1107[[#This Row],[PIS]]+Tabela1107[[#This Row],[COFINS]]+Tabela1107[[#This Row],[CONTRIB. FOLHA]]+Tabela1107[[#This Row],[TRIBUTOS S/ LUCRO]]+Tabela1107[[#This Row],[OUTROS]]+Tabela1107[[#This Row],[RS]]</f>
        <v>24.740000000000002</v>
      </c>
      <c r="BJ84" s="97">
        <f>+Tabela1107[[#This Row],[PIS]]+Tabela1107[[#This Row],[COFINS]]+Tabela1107[[#This Row],[CONTRIB. FOLHA]]+Tabela1107[[#This Row],[TRIBUTOS S/ LUCRO]]+Tabela1107[[#This Row],[OUTROS]]+Tabela1107[[#This Row],[RJ]]</f>
        <v>26.740000000000002</v>
      </c>
      <c r="BK84" s="97">
        <f>+Tabela1107[[#This Row],[PIS]]+Tabela1107[[#This Row],[COFINS]]+Tabela1107[[#This Row],[CONTRIB. FOLHA]]+Tabela1107[[#This Row],[TRIBUTOS S/ LUCRO]]+Tabela1107[[#This Row],[OUTROS]]+Tabela1107[[#This Row],[MG]]</f>
        <v>25.740000000000002</v>
      </c>
      <c r="BL84" s="97">
        <f>+Tabela1107[[#This Row],[PIS]]+Tabela1107[[#This Row],[COFINS]]+Tabela1107[[#This Row],[CONTRIB. FOLHA]]+Tabela1107[[#This Row],[TRIBUTOS S/ LUCRO]]+Tabela1107[[#This Row],[OUTROS]]+Tabela1107[[#This Row],[ES]]</f>
        <v>24.740000000000002</v>
      </c>
      <c r="BM84" s="97">
        <f>+Tabela1107[[#This Row],[PIS]]+Tabela1107[[#This Row],[COFINS]]+Tabela1107[[#This Row],[CONTRIB. FOLHA]]+Tabela1107[[#This Row],[TRIBUTOS S/ LUCRO]]+Tabela1107[[#This Row],[OUTROS]]+Tabela1107[[#This Row],[GO]]</f>
        <v>24.740000000000002</v>
      </c>
      <c r="BN84" s="97">
        <f>+Tabela1107[[#This Row],[PIS]]+Tabela1107[[#This Row],[COFINS]]+Tabela1107[[#This Row],[CONTRIB. FOLHA]]+Tabela1107[[#This Row],[TRIBUTOS S/ LUCRO]]+Tabela1107[[#This Row],[OUTROS]]+Tabela1107[[#This Row],[MT]]</f>
        <v>24.740000000000002</v>
      </c>
      <c r="BO84" s="97">
        <f>+Tabela1107[[#This Row],[PIS]]+Tabela1107[[#This Row],[COFINS]]+Tabela1107[[#This Row],[CONTRIB. FOLHA]]+Tabela1107[[#This Row],[TRIBUTOS S/ LUCRO]]+Tabela1107[[#This Row],[OUTROS]]+Tabela1107[[#This Row],[MS]]</f>
        <v>24.740000000000002</v>
      </c>
      <c r="BP84" s="97">
        <f>+Tabela1107[[#This Row],[PIS]]+Tabela1107[[#This Row],[COFINS]]+Tabela1107[[#This Row],[CONTRIB. FOLHA]]+Tabela1107[[#This Row],[TRIBUTOS S/ LUCRO]]+Tabela1107[[#This Row],[OUTROS]]+Tabela1107[[#This Row],[DF]]</f>
        <v>24.740000000000002</v>
      </c>
      <c r="BQ84" s="97">
        <f>+Tabela1107[[#This Row],[PIS]]+Tabela1107[[#This Row],[COFINS]]+Tabela1107[[#This Row],[CONTRIB. FOLHA]]+Tabela1107[[#This Row],[TRIBUTOS S/ LUCRO]]+Tabela1107[[#This Row],[OUTROS]]+Tabela1107[[#This Row],[BA]]</f>
        <v>24.740000000000002</v>
      </c>
      <c r="BR84" s="97">
        <f>+Tabela1107[[#This Row],[PIS]]+Tabela1107[[#This Row],[COFINS]]+Tabela1107[[#This Row],[CONTRIB. FOLHA]]+Tabela1107[[#This Row],[TRIBUTOS S/ LUCRO]]+Tabela1107[[#This Row],[OUTROS]]+Tabela1107[[#This Row],[BA]]</f>
        <v>24.740000000000002</v>
      </c>
      <c r="BS84" s="97">
        <f>+Tabela1107[[#This Row],[PIS]]+Tabela1107[[#This Row],[COFINS]]+Tabela1107[[#This Row],[CONTRIB. FOLHA]]+Tabela1107[[#This Row],[TRIBUTOS S/ LUCRO]]+Tabela1107[[#This Row],[OUTROS]]+Tabela1107[[#This Row],[PE]]</f>
        <v>24.740000000000002</v>
      </c>
      <c r="BT84" s="97">
        <f>+Tabela1107[[#This Row],[PIS]]+Tabela1107[[#This Row],[COFINS]]+Tabela1107[[#This Row],[CONTRIB. FOLHA]]+Tabela1107[[#This Row],[TRIBUTOS S/ LUCRO]]+Tabela1107[[#This Row],[OUTROS]]+Tabela1107[[#This Row],[PA]]</f>
        <v>24.740000000000002</v>
      </c>
      <c r="BU84" s="97">
        <f>+Tabela1107[[#This Row],[PIS]]+Tabela1107[[#This Row],[COFINS]]+Tabela1107[[#This Row],[CONTRIB. FOLHA]]+Tabela1107[[#This Row],[TRIBUTOS S/ LUCRO]]+Tabela1107[[#This Row],[OUTROS]]+Tabela1107[[#This Row],[AM]]</f>
        <v>24.740000000000002</v>
      </c>
      <c r="BV84" s="97">
        <f>AVERAGE(Tabela1107[[#This Row],[TOTAL SP]:[TOTAL AM]])</f>
        <v>24.677500000000006</v>
      </c>
      <c r="BW84" s="97"/>
      <c r="BX84" s="97"/>
    </row>
    <row r="85" spans="2:76" x14ac:dyDescent="0.25">
      <c r="B85" s="89">
        <v>4036</v>
      </c>
      <c r="C85" s="91" t="s">
        <v>13183</v>
      </c>
      <c r="D85" s="89"/>
      <c r="E85" s="89">
        <v>20140626</v>
      </c>
      <c r="F85" s="89" t="s">
        <v>20615</v>
      </c>
      <c r="G85" s="89" t="s">
        <v>20616</v>
      </c>
      <c r="H85" s="89" t="s">
        <v>20617</v>
      </c>
      <c r="I85" s="89" t="s">
        <v>20618</v>
      </c>
      <c r="J85" s="89" t="s">
        <v>35</v>
      </c>
      <c r="K85" s="89"/>
      <c r="L85" s="89" t="s">
        <v>3160</v>
      </c>
      <c r="M85" s="89" t="s">
        <v>2655</v>
      </c>
      <c r="N85" s="89" t="s">
        <v>4496</v>
      </c>
      <c r="O85" s="89" t="s">
        <v>4496</v>
      </c>
      <c r="P85" s="89" t="s">
        <v>4496</v>
      </c>
      <c r="Q85" s="89"/>
      <c r="R85" s="89" t="s">
        <v>29</v>
      </c>
      <c r="S85" s="89" t="s">
        <v>21616</v>
      </c>
      <c r="T85" s="89" t="s">
        <v>21617</v>
      </c>
      <c r="U85" s="89" t="str">
        <f>TRIM('Carga Tributária doenças Po (2'!$L85)</f>
        <v>ESCOPOLAMINA</v>
      </c>
      <c r="V85" s="89">
        <f>SUMIFS('Tabela Federal'!$E$4:$E$2069,'Tabela Federal'!$D$4:$D$2069,'Carga Tributária doenças Po (2'!$L85)</f>
        <v>0</v>
      </c>
      <c r="W85" s="89">
        <f>SUMIFS('Tabela Federal'!$E$4:$E$2069,'Tabela Federal'!$D$4:$D$2069,'Carga Tributária doenças Po (2'!$M85)</f>
        <v>1</v>
      </c>
      <c r="X85" s="89">
        <f>SUMIFS('Tabela Federal'!$E$4:$E$2069,'Tabela Federal'!$D$4:$D$2069,'Carga Tributária doenças Po (2'!$N85)</f>
        <v>0</v>
      </c>
      <c r="Y85" s="89">
        <f>SUMIFS('Tabela Federal'!$E$4:$E$2069,'Tabela Federal'!$D$4:$D$2069,'Carga Tributária doenças Po (2'!$O85)</f>
        <v>0</v>
      </c>
      <c r="Z85" s="92" t="str">
        <f>VLOOKUP('Carga Tributária doenças Po (2'!$AD85,'Carga Tributária doenças Po (2'!$CA$12:$CC$16,2,0)</f>
        <v>-</v>
      </c>
      <c r="AA85" s="89" t="s">
        <v>31</v>
      </c>
      <c r="AB85" s="89" t="s">
        <v>21766</v>
      </c>
      <c r="AC85" s="89" t="s">
        <v>21721</v>
      </c>
      <c r="AD85" s="93" t="s">
        <v>19523</v>
      </c>
      <c r="AE85" s="92" t="s">
        <v>4</v>
      </c>
      <c r="AF85" s="92" t="s">
        <v>10</v>
      </c>
      <c r="AG85" s="94">
        <v>1423882</v>
      </c>
      <c r="AH85" s="95">
        <v>3329292</v>
      </c>
      <c r="AI85" s="95">
        <v>7599703.7999999998</v>
      </c>
      <c r="AJ85" s="89" t="s">
        <v>449</v>
      </c>
      <c r="AK85" s="89">
        <f>IF('Carga Tributária doenças Po (2'!$Z85="+",0,SUMIFS(PISCOFINS!$I$3:$I$10518,PISCOFINS!$C$3:$C$10518,'Carga Tributária doenças Po (2'!$C85))</f>
        <v>2.1</v>
      </c>
      <c r="AL85" s="89">
        <f>IF('Carga Tributária doenças Po (2'!$Z85="+",0,SUMIFS(PISCOFINS!$H$3:$H$10518,PISCOFINS!$C$3:$C$10518,'Carga Tributária doenças Po (2'!$C85))</f>
        <v>9.9</v>
      </c>
      <c r="AM85" s="95">
        <v>3.27</v>
      </c>
      <c r="AN85" s="95">
        <v>3.12</v>
      </c>
      <c r="AO85" s="95">
        <v>1.35</v>
      </c>
      <c r="AP85" s="96">
        <v>18</v>
      </c>
      <c r="AQ85" s="96">
        <v>12</v>
      </c>
      <c r="AR85" s="96">
        <v>17</v>
      </c>
      <c r="AS85" s="97">
        <v>17</v>
      </c>
      <c r="AT85" s="97">
        <v>19</v>
      </c>
      <c r="AU85" s="97">
        <v>12</v>
      </c>
      <c r="AV85" s="97">
        <v>17</v>
      </c>
      <c r="AW85" s="97">
        <v>17</v>
      </c>
      <c r="AX85" s="97">
        <v>17</v>
      </c>
      <c r="AY85" s="97">
        <v>17</v>
      </c>
      <c r="AZ85" s="97">
        <v>17</v>
      </c>
      <c r="BA85" s="97">
        <v>17</v>
      </c>
      <c r="BB85" s="97">
        <v>17</v>
      </c>
      <c r="BC85" s="97">
        <v>17</v>
      </c>
      <c r="BD85" s="97">
        <v>17</v>
      </c>
      <c r="BE85" s="97">
        <v>17</v>
      </c>
      <c r="BF85" s="97">
        <f>+Tabela1107[[#This Row],[PIS]]+Tabela1107[[#This Row],[COFINS]]+Tabela1107[[#This Row],[CONTRIB. FOLHA]]+Tabela1107[[#This Row],[TRIBUTOS S/ LUCRO]]+Tabela1107[[#This Row],[OUTROS]]+Tabela1107[[#This Row],[SP]]</f>
        <v>37.74</v>
      </c>
      <c r="BG85" s="97">
        <f>+Tabela1107[[#This Row],[PIS]]+Tabela1107[[#This Row],[COFINS]]+Tabela1107[[#This Row],[CONTRIB. FOLHA]]+Tabela1107[[#This Row],[TRIBUTOS S/ LUCRO]]+Tabela1107[[#This Row],[OUTROS]]+Tabela1107[[#This Row],[PR]]</f>
        <v>31.740000000000002</v>
      </c>
      <c r="BH85" s="97">
        <f>+Tabela1107[[#This Row],[PIS]]+Tabela1107[[#This Row],[COFINS]]+Tabela1107[[#This Row],[CONTRIB. FOLHA]]+Tabela1107[[#This Row],[TRIBUTOS S/ LUCRO]]+Tabela1107[[#This Row],[OUTROS]]+Tabela1107[[#This Row],[SC]]</f>
        <v>36.74</v>
      </c>
      <c r="BI85" s="97">
        <f>+Tabela1107[[#This Row],[PIS]]+Tabela1107[[#This Row],[COFINS]]+Tabela1107[[#This Row],[CONTRIB. FOLHA]]+Tabela1107[[#This Row],[TRIBUTOS S/ LUCRO]]+Tabela1107[[#This Row],[OUTROS]]+Tabela1107[[#This Row],[RS]]</f>
        <v>36.74</v>
      </c>
      <c r="BJ85" s="97">
        <f>+Tabela1107[[#This Row],[PIS]]+Tabela1107[[#This Row],[COFINS]]+Tabela1107[[#This Row],[CONTRIB. FOLHA]]+Tabela1107[[#This Row],[TRIBUTOS S/ LUCRO]]+Tabela1107[[#This Row],[OUTROS]]+Tabela1107[[#This Row],[RJ]]</f>
        <v>38.74</v>
      </c>
      <c r="BK85" s="97">
        <f>+Tabela1107[[#This Row],[PIS]]+Tabela1107[[#This Row],[COFINS]]+Tabela1107[[#This Row],[CONTRIB. FOLHA]]+Tabela1107[[#This Row],[TRIBUTOS S/ LUCRO]]+Tabela1107[[#This Row],[OUTROS]]+Tabela1107[[#This Row],[MG]]</f>
        <v>31.740000000000002</v>
      </c>
      <c r="BL85" s="97">
        <f>+Tabela1107[[#This Row],[PIS]]+Tabela1107[[#This Row],[COFINS]]+Tabela1107[[#This Row],[CONTRIB. FOLHA]]+Tabela1107[[#This Row],[TRIBUTOS S/ LUCRO]]+Tabela1107[[#This Row],[OUTROS]]+Tabela1107[[#This Row],[ES]]</f>
        <v>36.74</v>
      </c>
      <c r="BM85" s="97">
        <f>+Tabela1107[[#This Row],[PIS]]+Tabela1107[[#This Row],[COFINS]]+Tabela1107[[#This Row],[CONTRIB. FOLHA]]+Tabela1107[[#This Row],[TRIBUTOS S/ LUCRO]]+Tabela1107[[#This Row],[OUTROS]]+Tabela1107[[#This Row],[GO]]</f>
        <v>36.74</v>
      </c>
      <c r="BN85" s="97">
        <f>+Tabela1107[[#This Row],[PIS]]+Tabela1107[[#This Row],[COFINS]]+Tabela1107[[#This Row],[CONTRIB. FOLHA]]+Tabela1107[[#This Row],[TRIBUTOS S/ LUCRO]]+Tabela1107[[#This Row],[OUTROS]]+Tabela1107[[#This Row],[MT]]</f>
        <v>36.74</v>
      </c>
      <c r="BO85" s="97">
        <f>+Tabela1107[[#This Row],[PIS]]+Tabela1107[[#This Row],[COFINS]]+Tabela1107[[#This Row],[CONTRIB. FOLHA]]+Tabela1107[[#This Row],[TRIBUTOS S/ LUCRO]]+Tabela1107[[#This Row],[OUTROS]]+Tabela1107[[#This Row],[MS]]</f>
        <v>36.74</v>
      </c>
      <c r="BP85" s="97">
        <f>+Tabela1107[[#This Row],[PIS]]+Tabela1107[[#This Row],[COFINS]]+Tabela1107[[#This Row],[CONTRIB. FOLHA]]+Tabela1107[[#This Row],[TRIBUTOS S/ LUCRO]]+Tabela1107[[#This Row],[OUTROS]]+Tabela1107[[#This Row],[DF]]</f>
        <v>36.74</v>
      </c>
      <c r="BQ85" s="97">
        <f>+Tabela1107[[#This Row],[PIS]]+Tabela1107[[#This Row],[COFINS]]+Tabela1107[[#This Row],[CONTRIB. FOLHA]]+Tabela1107[[#This Row],[TRIBUTOS S/ LUCRO]]+Tabela1107[[#This Row],[OUTROS]]+Tabela1107[[#This Row],[BA]]</f>
        <v>36.74</v>
      </c>
      <c r="BR85" s="97">
        <f>+Tabela1107[[#This Row],[PIS]]+Tabela1107[[#This Row],[COFINS]]+Tabela1107[[#This Row],[CONTRIB. FOLHA]]+Tabela1107[[#This Row],[TRIBUTOS S/ LUCRO]]+Tabela1107[[#This Row],[OUTROS]]+Tabela1107[[#This Row],[BA]]</f>
        <v>36.74</v>
      </c>
      <c r="BS85" s="97">
        <f>+Tabela1107[[#This Row],[PIS]]+Tabela1107[[#This Row],[COFINS]]+Tabela1107[[#This Row],[CONTRIB. FOLHA]]+Tabela1107[[#This Row],[TRIBUTOS S/ LUCRO]]+Tabela1107[[#This Row],[OUTROS]]+Tabela1107[[#This Row],[PE]]</f>
        <v>36.74</v>
      </c>
      <c r="BT85" s="97">
        <f>+Tabela1107[[#This Row],[PIS]]+Tabela1107[[#This Row],[COFINS]]+Tabela1107[[#This Row],[CONTRIB. FOLHA]]+Tabela1107[[#This Row],[TRIBUTOS S/ LUCRO]]+Tabela1107[[#This Row],[OUTROS]]+Tabela1107[[#This Row],[PA]]</f>
        <v>36.74</v>
      </c>
      <c r="BU85" s="97">
        <f>+Tabela1107[[#This Row],[PIS]]+Tabela1107[[#This Row],[COFINS]]+Tabela1107[[#This Row],[CONTRIB. FOLHA]]+Tabela1107[[#This Row],[TRIBUTOS S/ LUCRO]]+Tabela1107[[#This Row],[OUTROS]]+Tabela1107[[#This Row],[AM]]</f>
        <v>36.74</v>
      </c>
      <c r="BV85" s="97">
        <f>AVERAGE(Tabela1107[[#This Row],[TOTAL SP]:[TOTAL AM]])</f>
        <v>36.302500000000002</v>
      </c>
      <c r="BW85" s="97"/>
      <c r="BX85" s="97"/>
    </row>
    <row r="86" spans="2:76" x14ac:dyDescent="0.25">
      <c r="B86" s="89">
        <v>4036</v>
      </c>
      <c r="C86" s="91" t="s">
        <v>13183</v>
      </c>
      <c r="D86" s="89"/>
      <c r="E86" s="89">
        <v>20140626</v>
      </c>
      <c r="F86" s="89" t="s">
        <v>20615</v>
      </c>
      <c r="G86" s="89" t="s">
        <v>20616</v>
      </c>
      <c r="H86" s="89" t="s">
        <v>20617</v>
      </c>
      <c r="I86" s="89" t="s">
        <v>20618</v>
      </c>
      <c r="J86" s="89" t="s">
        <v>35</v>
      </c>
      <c r="K86" s="89"/>
      <c r="L86" s="89" t="s">
        <v>3160</v>
      </c>
      <c r="M86" s="89" t="s">
        <v>2655</v>
      </c>
      <c r="N86" s="89" t="s">
        <v>4496</v>
      </c>
      <c r="O86" s="89" t="s">
        <v>4496</v>
      </c>
      <c r="P86" s="89" t="s">
        <v>4496</v>
      </c>
      <c r="Q86" s="89"/>
      <c r="R86" s="89" t="s">
        <v>29</v>
      </c>
      <c r="S86" s="89" t="s">
        <v>21616</v>
      </c>
      <c r="T86" s="89" t="s">
        <v>21617</v>
      </c>
      <c r="U86" s="89" t="str">
        <f>TRIM('Carga Tributária doenças Po (2'!$L86)</f>
        <v>ESCOPOLAMINA</v>
      </c>
      <c r="V86" s="89">
        <f>SUMIFS('Tabela Federal'!$E$4:$E$2069,'Tabela Federal'!$D$4:$D$2069,'Carga Tributária doenças Po (2'!$L86)</f>
        <v>0</v>
      </c>
      <c r="W86" s="89">
        <f>SUMIFS('Tabela Federal'!$E$4:$E$2069,'Tabela Federal'!$D$4:$D$2069,'Carga Tributária doenças Po (2'!$M86)</f>
        <v>1</v>
      </c>
      <c r="X86" s="89">
        <f>SUMIFS('Tabela Federal'!$E$4:$E$2069,'Tabela Federal'!$D$4:$D$2069,'Carga Tributária doenças Po (2'!$N86)</f>
        <v>0</v>
      </c>
      <c r="Y86" s="89">
        <f>SUMIFS('Tabela Federal'!$E$4:$E$2069,'Tabela Federal'!$D$4:$D$2069,'Carga Tributária doenças Po (2'!$O86)</f>
        <v>0</v>
      </c>
      <c r="Z86" s="92" t="str">
        <f>VLOOKUP('Carga Tributária doenças Po (2'!$AD86,'Carga Tributária doenças Po (2'!$CA$12:$CC$16,2,0)</f>
        <v>-</v>
      </c>
      <c r="AA86" s="89" t="s">
        <v>31</v>
      </c>
      <c r="AB86" s="89" t="s">
        <v>21766</v>
      </c>
      <c r="AC86" s="89" t="s">
        <v>21721</v>
      </c>
      <c r="AD86" s="93" t="s">
        <v>19523</v>
      </c>
      <c r="AE86" s="92" t="s">
        <v>4</v>
      </c>
      <c r="AF86" s="92" t="s">
        <v>10</v>
      </c>
      <c r="AG86" s="94">
        <v>1423882</v>
      </c>
      <c r="AH86" s="95">
        <v>3329292</v>
      </c>
      <c r="AI86" s="95">
        <v>7599703.7999999998</v>
      </c>
      <c r="AJ86" s="89" t="s">
        <v>40</v>
      </c>
      <c r="AK86" s="89">
        <f>IF('Carga Tributária doenças Po (2'!$Z86="+",0,SUMIFS(PISCOFINS!$I$3:$I$10518,PISCOFINS!$C$3:$C$10518,'Carga Tributária doenças Po (2'!$C86))</f>
        <v>2.1</v>
      </c>
      <c r="AL86" s="89">
        <f>IF('Carga Tributária doenças Po (2'!$Z86="+",0,SUMIFS(PISCOFINS!$H$3:$H$10518,PISCOFINS!$C$3:$C$10518,'Carga Tributária doenças Po (2'!$C86))</f>
        <v>9.9</v>
      </c>
      <c r="AM86" s="95">
        <v>3.27</v>
      </c>
      <c r="AN86" s="95">
        <v>3.12</v>
      </c>
      <c r="AO86" s="95">
        <v>1.35</v>
      </c>
      <c r="AP86" s="96">
        <v>18</v>
      </c>
      <c r="AQ86" s="96">
        <v>12</v>
      </c>
      <c r="AR86" s="96">
        <v>17</v>
      </c>
      <c r="AS86" s="97">
        <v>17</v>
      </c>
      <c r="AT86" s="97">
        <v>19</v>
      </c>
      <c r="AU86" s="97">
        <v>12</v>
      </c>
      <c r="AV86" s="97">
        <v>17</v>
      </c>
      <c r="AW86" s="97">
        <v>17</v>
      </c>
      <c r="AX86" s="97">
        <v>17</v>
      </c>
      <c r="AY86" s="97">
        <v>17</v>
      </c>
      <c r="AZ86" s="97">
        <v>17</v>
      </c>
      <c r="BA86" s="97">
        <v>17</v>
      </c>
      <c r="BB86" s="97">
        <v>17</v>
      </c>
      <c r="BC86" s="97">
        <v>17</v>
      </c>
      <c r="BD86" s="97">
        <v>17</v>
      </c>
      <c r="BE86" s="97">
        <v>17</v>
      </c>
      <c r="BF86" s="97">
        <f>+Tabela1107[[#This Row],[PIS]]+Tabela1107[[#This Row],[COFINS]]+Tabela1107[[#This Row],[CONTRIB. FOLHA]]+Tabela1107[[#This Row],[TRIBUTOS S/ LUCRO]]+Tabela1107[[#This Row],[OUTROS]]+Tabela1107[[#This Row],[SP]]</f>
        <v>37.74</v>
      </c>
      <c r="BG86" s="97">
        <f>+Tabela1107[[#This Row],[PIS]]+Tabela1107[[#This Row],[COFINS]]+Tabela1107[[#This Row],[CONTRIB. FOLHA]]+Tabela1107[[#This Row],[TRIBUTOS S/ LUCRO]]+Tabela1107[[#This Row],[OUTROS]]+Tabela1107[[#This Row],[PR]]</f>
        <v>31.740000000000002</v>
      </c>
      <c r="BH86" s="97">
        <f>+Tabela1107[[#This Row],[PIS]]+Tabela1107[[#This Row],[COFINS]]+Tabela1107[[#This Row],[CONTRIB. FOLHA]]+Tabela1107[[#This Row],[TRIBUTOS S/ LUCRO]]+Tabela1107[[#This Row],[OUTROS]]+Tabela1107[[#This Row],[SC]]</f>
        <v>36.74</v>
      </c>
      <c r="BI86" s="97">
        <f>+Tabela1107[[#This Row],[PIS]]+Tabela1107[[#This Row],[COFINS]]+Tabela1107[[#This Row],[CONTRIB. FOLHA]]+Tabela1107[[#This Row],[TRIBUTOS S/ LUCRO]]+Tabela1107[[#This Row],[OUTROS]]+Tabela1107[[#This Row],[RS]]</f>
        <v>36.74</v>
      </c>
      <c r="BJ86" s="97">
        <f>+Tabela1107[[#This Row],[PIS]]+Tabela1107[[#This Row],[COFINS]]+Tabela1107[[#This Row],[CONTRIB. FOLHA]]+Tabela1107[[#This Row],[TRIBUTOS S/ LUCRO]]+Tabela1107[[#This Row],[OUTROS]]+Tabela1107[[#This Row],[RJ]]</f>
        <v>38.74</v>
      </c>
      <c r="BK86" s="97">
        <f>+Tabela1107[[#This Row],[PIS]]+Tabela1107[[#This Row],[COFINS]]+Tabela1107[[#This Row],[CONTRIB. FOLHA]]+Tabela1107[[#This Row],[TRIBUTOS S/ LUCRO]]+Tabela1107[[#This Row],[OUTROS]]+Tabela1107[[#This Row],[MG]]</f>
        <v>31.740000000000002</v>
      </c>
      <c r="BL86" s="97">
        <f>+Tabela1107[[#This Row],[PIS]]+Tabela1107[[#This Row],[COFINS]]+Tabela1107[[#This Row],[CONTRIB. FOLHA]]+Tabela1107[[#This Row],[TRIBUTOS S/ LUCRO]]+Tabela1107[[#This Row],[OUTROS]]+Tabela1107[[#This Row],[ES]]</f>
        <v>36.74</v>
      </c>
      <c r="BM86" s="97">
        <f>+Tabela1107[[#This Row],[PIS]]+Tabela1107[[#This Row],[COFINS]]+Tabela1107[[#This Row],[CONTRIB. FOLHA]]+Tabela1107[[#This Row],[TRIBUTOS S/ LUCRO]]+Tabela1107[[#This Row],[OUTROS]]+Tabela1107[[#This Row],[GO]]</f>
        <v>36.74</v>
      </c>
      <c r="BN86" s="97">
        <f>+Tabela1107[[#This Row],[PIS]]+Tabela1107[[#This Row],[COFINS]]+Tabela1107[[#This Row],[CONTRIB. FOLHA]]+Tabela1107[[#This Row],[TRIBUTOS S/ LUCRO]]+Tabela1107[[#This Row],[OUTROS]]+Tabela1107[[#This Row],[MT]]</f>
        <v>36.74</v>
      </c>
      <c r="BO86" s="97">
        <f>+Tabela1107[[#This Row],[PIS]]+Tabela1107[[#This Row],[COFINS]]+Tabela1107[[#This Row],[CONTRIB. FOLHA]]+Tabela1107[[#This Row],[TRIBUTOS S/ LUCRO]]+Tabela1107[[#This Row],[OUTROS]]+Tabela1107[[#This Row],[MS]]</f>
        <v>36.74</v>
      </c>
      <c r="BP86" s="97">
        <f>+Tabela1107[[#This Row],[PIS]]+Tabela1107[[#This Row],[COFINS]]+Tabela1107[[#This Row],[CONTRIB. FOLHA]]+Tabela1107[[#This Row],[TRIBUTOS S/ LUCRO]]+Tabela1107[[#This Row],[OUTROS]]+Tabela1107[[#This Row],[DF]]</f>
        <v>36.74</v>
      </c>
      <c r="BQ86" s="97">
        <f>+Tabela1107[[#This Row],[PIS]]+Tabela1107[[#This Row],[COFINS]]+Tabela1107[[#This Row],[CONTRIB. FOLHA]]+Tabela1107[[#This Row],[TRIBUTOS S/ LUCRO]]+Tabela1107[[#This Row],[OUTROS]]+Tabela1107[[#This Row],[BA]]</f>
        <v>36.74</v>
      </c>
      <c r="BR86" s="97">
        <f>+Tabela1107[[#This Row],[PIS]]+Tabela1107[[#This Row],[COFINS]]+Tabela1107[[#This Row],[CONTRIB. FOLHA]]+Tabela1107[[#This Row],[TRIBUTOS S/ LUCRO]]+Tabela1107[[#This Row],[OUTROS]]+Tabela1107[[#This Row],[BA]]</f>
        <v>36.74</v>
      </c>
      <c r="BS86" s="97">
        <f>+Tabela1107[[#This Row],[PIS]]+Tabela1107[[#This Row],[COFINS]]+Tabela1107[[#This Row],[CONTRIB. FOLHA]]+Tabela1107[[#This Row],[TRIBUTOS S/ LUCRO]]+Tabela1107[[#This Row],[OUTROS]]+Tabela1107[[#This Row],[PE]]</f>
        <v>36.74</v>
      </c>
      <c r="BT86" s="97">
        <f>+Tabela1107[[#This Row],[PIS]]+Tabela1107[[#This Row],[COFINS]]+Tabela1107[[#This Row],[CONTRIB. FOLHA]]+Tabela1107[[#This Row],[TRIBUTOS S/ LUCRO]]+Tabela1107[[#This Row],[OUTROS]]+Tabela1107[[#This Row],[PA]]</f>
        <v>36.74</v>
      </c>
      <c r="BU86" s="97">
        <f>+Tabela1107[[#This Row],[PIS]]+Tabela1107[[#This Row],[COFINS]]+Tabela1107[[#This Row],[CONTRIB. FOLHA]]+Tabela1107[[#This Row],[TRIBUTOS S/ LUCRO]]+Tabela1107[[#This Row],[OUTROS]]+Tabela1107[[#This Row],[AM]]</f>
        <v>36.74</v>
      </c>
      <c r="BV86" s="97">
        <f>AVERAGE(Tabela1107[[#This Row],[TOTAL SP]:[TOTAL AM]])</f>
        <v>36.302500000000002</v>
      </c>
      <c r="BW86" s="97"/>
      <c r="BX86" s="97"/>
    </row>
    <row r="87" spans="2:76" x14ac:dyDescent="0.25">
      <c r="B87" s="89">
        <v>6565</v>
      </c>
      <c r="C87" s="91" t="s">
        <v>13183</v>
      </c>
      <c r="D87" s="89"/>
      <c r="E87" s="89">
        <v>20140626</v>
      </c>
      <c r="F87" s="89" t="s">
        <v>21461</v>
      </c>
      <c r="G87" s="89" t="s">
        <v>21462</v>
      </c>
      <c r="H87" s="89" t="s">
        <v>21463</v>
      </c>
      <c r="I87" s="89" t="s">
        <v>21464</v>
      </c>
      <c r="J87" s="89" t="s">
        <v>313</v>
      </c>
      <c r="K87" s="89"/>
      <c r="L87" s="89" t="s">
        <v>3161</v>
      </c>
      <c r="M87" s="89" t="s">
        <v>3162</v>
      </c>
      <c r="N87" s="89" t="s">
        <v>4496</v>
      </c>
      <c r="O87" s="89" t="s">
        <v>4496</v>
      </c>
      <c r="P87" s="89" t="s">
        <v>4496</v>
      </c>
      <c r="Q87" s="89"/>
      <c r="R87" s="89" t="s">
        <v>64</v>
      </c>
      <c r="S87" s="89" t="s">
        <v>21698</v>
      </c>
      <c r="T87" s="89" t="s">
        <v>21699</v>
      </c>
      <c r="U87" s="89" t="str">
        <f>TRIM('Carga Tributária doenças Po (2'!$L87)</f>
        <v>CARBIDOPA</v>
      </c>
      <c r="V87" s="89">
        <f>SUMIFS('Tabela Federal'!$E$4:$E$2069,'Tabela Federal'!$D$4:$D$2069,'Carga Tributária doenças Po (2'!$L87)</f>
        <v>2</v>
      </c>
      <c r="W87" s="89">
        <f>SUMIFS('Tabela Federal'!$E$4:$E$2069,'Tabela Federal'!$D$4:$D$2069,'Carga Tributária doenças Po (2'!$M87)</f>
        <v>3</v>
      </c>
      <c r="X87" s="89">
        <f>SUMIFS('Tabela Federal'!$E$4:$E$2069,'Tabela Federal'!$D$4:$D$2069,'Carga Tributária doenças Po (2'!$N87)</f>
        <v>0</v>
      </c>
      <c r="Y87" s="89">
        <f>SUMIFS('Tabela Federal'!$E$4:$E$2069,'Tabela Federal'!$D$4:$D$2069,'Carga Tributária doenças Po (2'!$O87)</f>
        <v>0</v>
      </c>
      <c r="Z87" s="92" t="str">
        <f>VLOOKUP('Carga Tributária doenças Po (2'!$AD87,'Carga Tributária doenças Po (2'!$CA$12:$CC$16,2,0)</f>
        <v>+</v>
      </c>
      <c r="AA87" s="89" t="s">
        <v>305</v>
      </c>
      <c r="AB87" s="89" t="s">
        <v>21870</v>
      </c>
      <c r="AC87" s="89" t="s">
        <v>21779</v>
      </c>
      <c r="AD87" s="93" t="s">
        <v>19445</v>
      </c>
      <c r="AE87" s="92" t="s">
        <v>4</v>
      </c>
      <c r="AF87" s="92" t="s">
        <v>3</v>
      </c>
      <c r="AG87" s="94">
        <v>181053</v>
      </c>
      <c r="AH87" s="95">
        <v>2865155</v>
      </c>
      <c r="AI87" s="95">
        <v>6548873.3899999997</v>
      </c>
      <c r="AJ87" s="89" t="s">
        <v>316</v>
      </c>
      <c r="AK87" s="89">
        <f>IF('Carga Tributária doenças Po (2'!$Z87="+",0,SUMIFS(PISCOFINS!$I$3:$I$10518,PISCOFINS!$C$3:$C$10518,'Carga Tributária doenças Po (2'!$C87))</f>
        <v>0</v>
      </c>
      <c r="AL87" s="89">
        <f>IF('Carga Tributária doenças Po (2'!$Z87="+",0,SUMIFS(PISCOFINS!$H$3:$H$10518,PISCOFINS!$C$3:$C$10518,'Carga Tributária doenças Po (2'!$C87))</f>
        <v>0</v>
      </c>
      <c r="AM87" s="95">
        <v>3.27</v>
      </c>
      <c r="AN87" s="95">
        <v>3.12</v>
      </c>
      <c r="AO87" s="95">
        <v>1.35</v>
      </c>
      <c r="AP87" s="96">
        <v>18</v>
      </c>
      <c r="AQ87" s="96">
        <v>12</v>
      </c>
      <c r="AR87" s="96">
        <v>17</v>
      </c>
      <c r="AS87" s="97">
        <v>17</v>
      </c>
      <c r="AT87" s="97">
        <v>19</v>
      </c>
      <c r="AU87" s="97">
        <v>18</v>
      </c>
      <c r="AV87" s="97">
        <v>17</v>
      </c>
      <c r="AW87" s="97">
        <v>17</v>
      </c>
      <c r="AX87" s="97">
        <v>17</v>
      </c>
      <c r="AY87" s="97">
        <v>17</v>
      </c>
      <c r="AZ87" s="97">
        <v>17</v>
      </c>
      <c r="BA87" s="97">
        <v>17</v>
      </c>
      <c r="BB87" s="97">
        <v>17</v>
      </c>
      <c r="BC87" s="97">
        <v>17</v>
      </c>
      <c r="BD87" s="97">
        <v>17</v>
      </c>
      <c r="BE87" s="97">
        <v>17</v>
      </c>
      <c r="BF87" s="97">
        <f>+Tabela1107[[#This Row],[PIS]]+Tabela1107[[#This Row],[COFINS]]+Tabela1107[[#This Row],[CONTRIB. FOLHA]]+Tabela1107[[#This Row],[TRIBUTOS S/ LUCRO]]+Tabela1107[[#This Row],[OUTROS]]+Tabela1107[[#This Row],[SP]]</f>
        <v>25.740000000000002</v>
      </c>
      <c r="BG87" s="97">
        <f>+Tabela1107[[#This Row],[PIS]]+Tabela1107[[#This Row],[COFINS]]+Tabela1107[[#This Row],[CONTRIB. FOLHA]]+Tabela1107[[#This Row],[TRIBUTOS S/ LUCRO]]+Tabela1107[[#This Row],[OUTROS]]+Tabela1107[[#This Row],[PR]]</f>
        <v>19.740000000000002</v>
      </c>
      <c r="BH87" s="97">
        <f>+Tabela1107[[#This Row],[PIS]]+Tabela1107[[#This Row],[COFINS]]+Tabela1107[[#This Row],[CONTRIB. FOLHA]]+Tabela1107[[#This Row],[TRIBUTOS S/ LUCRO]]+Tabela1107[[#This Row],[OUTROS]]+Tabela1107[[#This Row],[SC]]</f>
        <v>24.740000000000002</v>
      </c>
      <c r="BI87" s="97">
        <f>+Tabela1107[[#This Row],[PIS]]+Tabela1107[[#This Row],[COFINS]]+Tabela1107[[#This Row],[CONTRIB. FOLHA]]+Tabela1107[[#This Row],[TRIBUTOS S/ LUCRO]]+Tabela1107[[#This Row],[OUTROS]]+Tabela1107[[#This Row],[RS]]</f>
        <v>24.740000000000002</v>
      </c>
      <c r="BJ87" s="97">
        <f>+Tabela1107[[#This Row],[PIS]]+Tabela1107[[#This Row],[COFINS]]+Tabela1107[[#This Row],[CONTRIB. FOLHA]]+Tabela1107[[#This Row],[TRIBUTOS S/ LUCRO]]+Tabela1107[[#This Row],[OUTROS]]+Tabela1107[[#This Row],[RJ]]</f>
        <v>26.740000000000002</v>
      </c>
      <c r="BK87" s="97">
        <f>+Tabela1107[[#This Row],[PIS]]+Tabela1107[[#This Row],[COFINS]]+Tabela1107[[#This Row],[CONTRIB. FOLHA]]+Tabela1107[[#This Row],[TRIBUTOS S/ LUCRO]]+Tabela1107[[#This Row],[OUTROS]]+Tabela1107[[#This Row],[MG]]</f>
        <v>25.740000000000002</v>
      </c>
      <c r="BL87" s="97">
        <f>+Tabela1107[[#This Row],[PIS]]+Tabela1107[[#This Row],[COFINS]]+Tabela1107[[#This Row],[CONTRIB. FOLHA]]+Tabela1107[[#This Row],[TRIBUTOS S/ LUCRO]]+Tabela1107[[#This Row],[OUTROS]]+Tabela1107[[#This Row],[ES]]</f>
        <v>24.740000000000002</v>
      </c>
      <c r="BM87" s="97">
        <f>+Tabela1107[[#This Row],[PIS]]+Tabela1107[[#This Row],[COFINS]]+Tabela1107[[#This Row],[CONTRIB. FOLHA]]+Tabela1107[[#This Row],[TRIBUTOS S/ LUCRO]]+Tabela1107[[#This Row],[OUTROS]]+Tabela1107[[#This Row],[GO]]</f>
        <v>24.740000000000002</v>
      </c>
      <c r="BN87" s="97">
        <f>+Tabela1107[[#This Row],[PIS]]+Tabela1107[[#This Row],[COFINS]]+Tabela1107[[#This Row],[CONTRIB. FOLHA]]+Tabela1107[[#This Row],[TRIBUTOS S/ LUCRO]]+Tabela1107[[#This Row],[OUTROS]]+Tabela1107[[#This Row],[MT]]</f>
        <v>24.740000000000002</v>
      </c>
      <c r="BO87" s="97">
        <f>+Tabela1107[[#This Row],[PIS]]+Tabela1107[[#This Row],[COFINS]]+Tabela1107[[#This Row],[CONTRIB. FOLHA]]+Tabela1107[[#This Row],[TRIBUTOS S/ LUCRO]]+Tabela1107[[#This Row],[OUTROS]]+Tabela1107[[#This Row],[MS]]</f>
        <v>24.740000000000002</v>
      </c>
      <c r="BP87" s="97">
        <f>+Tabela1107[[#This Row],[PIS]]+Tabela1107[[#This Row],[COFINS]]+Tabela1107[[#This Row],[CONTRIB. FOLHA]]+Tabela1107[[#This Row],[TRIBUTOS S/ LUCRO]]+Tabela1107[[#This Row],[OUTROS]]+Tabela1107[[#This Row],[DF]]</f>
        <v>24.740000000000002</v>
      </c>
      <c r="BQ87" s="97">
        <f>+Tabela1107[[#This Row],[PIS]]+Tabela1107[[#This Row],[COFINS]]+Tabela1107[[#This Row],[CONTRIB. FOLHA]]+Tabela1107[[#This Row],[TRIBUTOS S/ LUCRO]]+Tabela1107[[#This Row],[OUTROS]]+Tabela1107[[#This Row],[BA]]</f>
        <v>24.740000000000002</v>
      </c>
      <c r="BR87" s="97">
        <f>+Tabela1107[[#This Row],[PIS]]+Tabela1107[[#This Row],[COFINS]]+Tabela1107[[#This Row],[CONTRIB. FOLHA]]+Tabela1107[[#This Row],[TRIBUTOS S/ LUCRO]]+Tabela1107[[#This Row],[OUTROS]]+Tabela1107[[#This Row],[BA]]</f>
        <v>24.740000000000002</v>
      </c>
      <c r="BS87" s="97">
        <f>+Tabela1107[[#This Row],[PIS]]+Tabela1107[[#This Row],[COFINS]]+Tabela1107[[#This Row],[CONTRIB. FOLHA]]+Tabela1107[[#This Row],[TRIBUTOS S/ LUCRO]]+Tabela1107[[#This Row],[OUTROS]]+Tabela1107[[#This Row],[PE]]</f>
        <v>24.740000000000002</v>
      </c>
      <c r="BT87" s="97">
        <f>+Tabela1107[[#This Row],[PIS]]+Tabela1107[[#This Row],[COFINS]]+Tabela1107[[#This Row],[CONTRIB. FOLHA]]+Tabela1107[[#This Row],[TRIBUTOS S/ LUCRO]]+Tabela1107[[#This Row],[OUTROS]]+Tabela1107[[#This Row],[PA]]</f>
        <v>24.740000000000002</v>
      </c>
      <c r="BU87" s="97">
        <f>+Tabela1107[[#This Row],[PIS]]+Tabela1107[[#This Row],[COFINS]]+Tabela1107[[#This Row],[CONTRIB. FOLHA]]+Tabela1107[[#This Row],[TRIBUTOS S/ LUCRO]]+Tabela1107[[#This Row],[OUTROS]]+Tabela1107[[#This Row],[AM]]</f>
        <v>24.740000000000002</v>
      </c>
      <c r="BV87" s="97">
        <f>AVERAGE(Tabela1107[[#This Row],[TOTAL SP]:[TOTAL AM]])</f>
        <v>24.677500000000006</v>
      </c>
      <c r="BW87" s="97"/>
      <c r="BX87" s="97"/>
    </row>
    <row r="88" spans="2:76" x14ac:dyDescent="0.25">
      <c r="B88" s="89">
        <v>5161</v>
      </c>
      <c r="C88" s="91" t="s">
        <v>13113</v>
      </c>
      <c r="D88" s="89"/>
      <c r="E88" s="89">
        <v>20140626</v>
      </c>
      <c r="F88" s="89" t="s">
        <v>20270</v>
      </c>
      <c r="G88" s="89" t="s">
        <v>20271</v>
      </c>
      <c r="H88" s="89" t="s">
        <v>20272</v>
      </c>
      <c r="I88" s="89" t="s">
        <v>20273</v>
      </c>
      <c r="J88" s="89" t="s">
        <v>329</v>
      </c>
      <c r="K88" s="89"/>
      <c r="L88" s="89" t="s">
        <v>2632</v>
      </c>
      <c r="M88" s="89" t="s">
        <v>4496</v>
      </c>
      <c r="N88" s="89" t="s">
        <v>4496</v>
      </c>
      <c r="O88" s="89" t="s">
        <v>4496</v>
      </c>
      <c r="P88" s="89" t="s">
        <v>4496</v>
      </c>
      <c r="Q88" s="89"/>
      <c r="R88" s="89" t="s">
        <v>1</v>
      </c>
      <c r="S88" s="89" t="s">
        <v>21568</v>
      </c>
      <c r="T88" s="89" t="s">
        <v>21569</v>
      </c>
      <c r="U88" s="89" t="str">
        <f>TRIM('Carga Tributária doenças Po (2'!$L88)</f>
        <v>PARACETAMOL</v>
      </c>
      <c r="V88" s="89">
        <f>SUMIFS('Tabela Federal'!$E$4:$E$2069,'Tabela Federal'!$D$4:$D$2069,'Carga Tributária doenças Po (2'!$L88)</f>
        <v>0</v>
      </c>
      <c r="W88" s="89">
        <f>SUMIFS('Tabela Federal'!$E$4:$E$2069,'Tabela Federal'!$D$4:$D$2069,'Carga Tributária doenças Po (2'!$M88)</f>
        <v>0</v>
      </c>
      <c r="X88" s="89">
        <f>SUMIFS('Tabela Federal'!$E$4:$E$2069,'Tabela Federal'!$D$4:$D$2069,'Carga Tributária doenças Po (2'!$N88)</f>
        <v>0</v>
      </c>
      <c r="Y88" s="89">
        <f>SUMIFS('Tabela Federal'!$E$4:$E$2069,'Tabela Federal'!$D$4:$D$2069,'Carga Tributária doenças Po (2'!$O88)</f>
        <v>0</v>
      </c>
      <c r="Z88" s="92" t="str">
        <f>VLOOKUP('Carga Tributária doenças Po (2'!$AD88,'Carga Tributária doenças Po (2'!$CA$12:$CC$16,2,0)</f>
        <v>-</v>
      </c>
      <c r="AA88" s="89" t="s">
        <v>325</v>
      </c>
      <c r="AB88" s="89" t="s">
        <v>21808</v>
      </c>
      <c r="AC88" s="89" t="s">
        <v>21721</v>
      </c>
      <c r="AD88" s="93" t="s">
        <v>19523</v>
      </c>
      <c r="AE88" s="92" t="s">
        <v>4</v>
      </c>
      <c r="AF88" s="92" t="s">
        <v>3</v>
      </c>
      <c r="AG88" s="94">
        <v>2241628</v>
      </c>
      <c r="AH88" s="95">
        <v>12555740</v>
      </c>
      <c r="AI88" s="95">
        <v>28647031.100000001</v>
      </c>
      <c r="AJ88" s="89" t="s">
        <v>333</v>
      </c>
      <c r="AK88" s="89">
        <f>IF('Carga Tributária doenças Po (2'!$Z88="+",0,SUMIFS(PISCOFINS!$I$3:$I$10518,PISCOFINS!$C$3:$C$10518,'Carga Tributária doenças Po (2'!$C88))</f>
        <v>2.1</v>
      </c>
      <c r="AL88" s="89">
        <f>IF('Carga Tributária doenças Po (2'!$Z88="+",0,SUMIFS(PISCOFINS!$H$3:$H$10518,PISCOFINS!$C$3:$C$10518,'Carga Tributária doenças Po (2'!$C88))</f>
        <v>9.9</v>
      </c>
      <c r="AM88" s="95">
        <v>3.27</v>
      </c>
      <c r="AN88" s="95">
        <v>3.12</v>
      </c>
      <c r="AO88" s="95">
        <v>1.35</v>
      </c>
      <c r="AP88" s="96">
        <v>18</v>
      </c>
      <c r="AQ88" s="96">
        <v>12</v>
      </c>
      <c r="AR88" s="96">
        <v>17</v>
      </c>
      <c r="AS88" s="97">
        <v>17</v>
      </c>
      <c r="AT88" s="97">
        <v>19</v>
      </c>
      <c r="AU88" s="97">
        <v>18</v>
      </c>
      <c r="AV88" s="97">
        <v>17</v>
      </c>
      <c r="AW88" s="97">
        <v>17</v>
      </c>
      <c r="AX88" s="97">
        <v>17</v>
      </c>
      <c r="AY88" s="97">
        <v>17</v>
      </c>
      <c r="AZ88" s="97">
        <v>17</v>
      </c>
      <c r="BA88" s="97">
        <v>17</v>
      </c>
      <c r="BB88" s="97">
        <v>17</v>
      </c>
      <c r="BC88" s="97">
        <v>17</v>
      </c>
      <c r="BD88" s="97">
        <v>17</v>
      </c>
      <c r="BE88" s="97">
        <v>17</v>
      </c>
      <c r="BF88" s="97">
        <f>+Tabela1107[[#This Row],[PIS]]+Tabela1107[[#This Row],[COFINS]]+Tabela1107[[#This Row],[CONTRIB. FOLHA]]+Tabela1107[[#This Row],[TRIBUTOS S/ LUCRO]]+Tabela1107[[#This Row],[OUTROS]]+Tabela1107[[#This Row],[SP]]</f>
        <v>37.74</v>
      </c>
      <c r="BG88" s="97">
        <f>+Tabela1107[[#This Row],[PIS]]+Tabela1107[[#This Row],[COFINS]]+Tabela1107[[#This Row],[CONTRIB. FOLHA]]+Tabela1107[[#This Row],[TRIBUTOS S/ LUCRO]]+Tabela1107[[#This Row],[OUTROS]]+Tabela1107[[#This Row],[PR]]</f>
        <v>31.740000000000002</v>
      </c>
      <c r="BH88" s="97">
        <f>+Tabela1107[[#This Row],[PIS]]+Tabela1107[[#This Row],[COFINS]]+Tabela1107[[#This Row],[CONTRIB. FOLHA]]+Tabela1107[[#This Row],[TRIBUTOS S/ LUCRO]]+Tabela1107[[#This Row],[OUTROS]]+Tabela1107[[#This Row],[SC]]</f>
        <v>36.74</v>
      </c>
      <c r="BI88" s="97">
        <f>+Tabela1107[[#This Row],[PIS]]+Tabela1107[[#This Row],[COFINS]]+Tabela1107[[#This Row],[CONTRIB. FOLHA]]+Tabela1107[[#This Row],[TRIBUTOS S/ LUCRO]]+Tabela1107[[#This Row],[OUTROS]]+Tabela1107[[#This Row],[RS]]</f>
        <v>36.74</v>
      </c>
      <c r="BJ88" s="97">
        <f>+Tabela1107[[#This Row],[PIS]]+Tabela1107[[#This Row],[COFINS]]+Tabela1107[[#This Row],[CONTRIB. FOLHA]]+Tabela1107[[#This Row],[TRIBUTOS S/ LUCRO]]+Tabela1107[[#This Row],[OUTROS]]+Tabela1107[[#This Row],[RJ]]</f>
        <v>38.74</v>
      </c>
      <c r="BK88" s="97">
        <f>+Tabela1107[[#This Row],[PIS]]+Tabela1107[[#This Row],[COFINS]]+Tabela1107[[#This Row],[CONTRIB. FOLHA]]+Tabela1107[[#This Row],[TRIBUTOS S/ LUCRO]]+Tabela1107[[#This Row],[OUTROS]]+Tabela1107[[#This Row],[MG]]</f>
        <v>37.74</v>
      </c>
      <c r="BL88" s="97">
        <f>+Tabela1107[[#This Row],[PIS]]+Tabela1107[[#This Row],[COFINS]]+Tabela1107[[#This Row],[CONTRIB. FOLHA]]+Tabela1107[[#This Row],[TRIBUTOS S/ LUCRO]]+Tabela1107[[#This Row],[OUTROS]]+Tabela1107[[#This Row],[ES]]</f>
        <v>36.74</v>
      </c>
      <c r="BM88" s="97">
        <f>+Tabela1107[[#This Row],[PIS]]+Tabela1107[[#This Row],[COFINS]]+Tabela1107[[#This Row],[CONTRIB. FOLHA]]+Tabela1107[[#This Row],[TRIBUTOS S/ LUCRO]]+Tabela1107[[#This Row],[OUTROS]]+Tabela1107[[#This Row],[GO]]</f>
        <v>36.74</v>
      </c>
      <c r="BN88" s="97">
        <f>+Tabela1107[[#This Row],[PIS]]+Tabela1107[[#This Row],[COFINS]]+Tabela1107[[#This Row],[CONTRIB. FOLHA]]+Tabela1107[[#This Row],[TRIBUTOS S/ LUCRO]]+Tabela1107[[#This Row],[OUTROS]]+Tabela1107[[#This Row],[MT]]</f>
        <v>36.74</v>
      </c>
      <c r="BO88" s="97">
        <f>+Tabela1107[[#This Row],[PIS]]+Tabela1107[[#This Row],[COFINS]]+Tabela1107[[#This Row],[CONTRIB. FOLHA]]+Tabela1107[[#This Row],[TRIBUTOS S/ LUCRO]]+Tabela1107[[#This Row],[OUTROS]]+Tabela1107[[#This Row],[MS]]</f>
        <v>36.74</v>
      </c>
      <c r="BP88" s="97">
        <f>+Tabela1107[[#This Row],[PIS]]+Tabela1107[[#This Row],[COFINS]]+Tabela1107[[#This Row],[CONTRIB. FOLHA]]+Tabela1107[[#This Row],[TRIBUTOS S/ LUCRO]]+Tabela1107[[#This Row],[OUTROS]]+Tabela1107[[#This Row],[DF]]</f>
        <v>36.74</v>
      </c>
      <c r="BQ88" s="97">
        <f>+Tabela1107[[#This Row],[PIS]]+Tabela1107[[#This Row],[COFINS]]+Tabela1107[[#This Row],[CONTRIB. FOLHA]]+Tabela1107[[#This Row],[TRIBUTOS S/ LUCRO]]+Tabela1107[[#This Row],[OUTROS]]+Tabela1107[[#This Row],[BA]]</f>
        <v>36.74</v>
      </c>
      <c r="BR88" s="97">
        <f>+Tabela1107[[#This Row],[PIS]]+Tabela1107[[#This Row],[COFINS]]+Tabela1107[[#This Row],[CONTRIB. FOLHA]]+Tabela1107[[#This Row],[TRIBUTOS S/ LUCRO]]+Tabela1107[[#This Row],[OUTROS]]+Tabela1107[[#This Row],[BA]]</f>
        <v>36.74</v>
      </c>
      <c r="BS88" s="97">
        <f>+Tabela1107[[#This Row],[PIS]]+Tabela1107[[#This Row],[COFINS]]+Tabela1107[[#This Row],[CONTRIB. FOLHA]]+Tabela1107[[#This Row],[TRIBUTOS S/ LUCRO]]+Tabela1107[[#This Row],[OUTROS]]+Tabela1107[[#This Row],[PE]]</f>
        <v>36.74</v>
      </c>
      <c r="BT88" s="97">
        <f>+Tabela1107[[#This Row],[PIS]]+Tabela1107[[#This Row],[COFINS]]+Tabela1107[[#This Row],[CONTRIB. FOLHA]]+Tabela1107[[#This Row],[TRIBUTOS S/ LUCRO]]+Tabela1107[[#This Row],[OUTROS]]+Tabela1107[[#This Row],[PA]]</f>
        <v>36.74</v>
      </c>
      <c r="BU88" s="97">
        <f>+Tabela1107[[#This Row],[PIS]]+Tabela1107[[#This Row],[COFINS]]+Tabela1107[[#This Row],[CONTRIB. FOLHA]]+Tabela1107[[#This Row],[TRIBUTOS S/ LUCRO]]+Tabela1107[[#This Row],[OUTROS]]+Tabela1107[[#This Row],[AM]]</f>
        <v>36.74</v>
      </c>
      <c r="BV88" s="97">
        <f>AVERAGE(Tabela1107[[#This Row],[TOTAL SP]:[TOTAL AM]])</f>
        <v>36.677500000000002</v>
      </c>
      <c r="BW88" s="97"/>
      <c r="BX88" s="97"/>
    </row>
    <row r="89" spans="2:76" x14ac:dyDescent="0.25">
      <c r="B89" s="89">
        <v>5175</v>
      </c>
      <c r="C89" s="91" t="s">
        <v>13113</v>
      </c>
      <c r="D89" s="89"/>
      <c r="E89" s="89">
        <v>20140626</v>
      </c>
      <c r="F89" s="89" t="s">
        <v>20274</v>
      </c>
      <c r="G89" s="89" t="s">
        <v>20275</v>
      </c>
      <c r="H89" s="89" t="s">
        <v>20276</v>
      </c>
      <c r="I89" s="89" t="s">
        <v>20277</v>
      </c>
      <c r="J89" s="89" t="s">
        <v>324</v>
      </c>
      <c r="K89" s="89"/>
      <c r="L89" s="89" t="s">
        <v>2655</v>
      </c>
      <c r="M89" s="89" t="s">
        <v>4496</v>
      </c>
      <c r="N89" s="89" t="s">
        <v>4496</v>
      </c>
      <c r="O89" s="89" t="s">
        <v>4496</v>
      </c>
      <c r="P89" s="89" t="s">
        <v>4496</v>
      </c>
      <c r="Q89" s="89"/>
      <c r="R89" s="89" t="s">
        <v>1</v>
      </c>
      <c r="S89" s="89" t="s">
        <v>21568</v>
      </c>
      <c r="T89" s="89" t="s">
        <v>21569</v>
      </c>
      <c r="U89" s="89" t="str">
        <f>TRIM('Carga Tributária doenças Po (2'!$L89)</f>
        <v>DIPIRONA SODICA</v>
      </c>
      <c r="V89" s="89">
        <f>SUMIFS('Tabela Federal'!$E$4:$E$2069,'Tabela Federal'!$D$4:$D$2069,'Carga Tributária doenças Po (2'!$L89)</f>
        <v>1</v>
      </c>
      <c r="W89" s="89">
        <f>SUMIFS('Tabela Federal'!$E$4:$E$2069,'Tabela Federal'!$D$4:$D$2069,'Carga Tributária doenças Po (2'!$M89)</f>
        <v>0</v>
      </c>
      <c r="X89" s="89">
        <f>SUMIFS('Tabela Federal'!$E$4:$E$2069,'Tabela Federal'!$D$4:$D$2069,'Carga Tributária doenças Po (2'!$N89)</f>
        <v>0</v>
      </c>
      <c r="Y89" s="89">
        <f>SUMIFS('Tabela Federal'!$E$4:$E$2069,'Tabela Federal'!$D$4:$D$2069,'Carga Tributária doenças Po (2'!$O89)</f>
        <v>0</v>
      </c>
      <c r="Z89" s="92" t="str">
        <f>VLOOKUP('Carga Tributária doenças Po (2'!$AD89,'Carga Tributária doenças Po (2'!$CA$12:$CC$16,2,0)</f>
        <v>-</v>
      </c>
      <c r="AA89" s="89" t="s">
        <v>325</v>
      </c>
      <c r="AB89" s="89" t="s">
        <v>21806</v>
      </c>
      <c r="AC89" s="89" t="s">
        <v>21721</v>
      </c>
      <c r="AD89" s="93" t="s">
        <v>19523</v>
      </c>
      <c r="AE89" s="92" t="s">
        <v>4</v>
      </c>
      <c r="AF89" s="92" t="s">
        <v>3</v>
      </c>
      <c r="AG89" s="94">
        <v>3976893</v>
      </c>
      <c r="AH89" s="95">
        <v>16885765</v>
      </c>
      <c r="AI89" s="95">
        <v>38553359.649999999</v>
      </c>
      <c r="AJ89" s="89" t="s">
        <v>333</v>
      </c>
      <c r="AK89" s="89">
        <f>IF('Carga Tributária doenças Po (2'!$Z89="+",0,SUMIFS(PISCOFINS!$I$3:$I$10518,PISCOFINS!$C$3:$C$10518,'Carga Tributária doenças Po (2'!$C89))</f>
        <v>2.1</v>
      </c>
      <c r="AL89" s="89">
        <f>IF('Carga Tributária doenças Po (2'!$Z89="+",0,SUMIFS(PISCOFINS!$H$3:$H$10518,PISCOFINS!$C$3:$C$10518,'Carga Tributária doenças Po (2'!$C89))</f>
        <v>9.9</v>
      </c>
      <c r="AM89" s="95">
        <v>3.27</v>
      </c>
      <c r="AN89" s="95">
        <v>3.12</v>
      </c>
      <c r="AO89" s="95">
        <v>1.35</v>
      </c>
      <c r="AP89" s="96">
        <v>18</v>
      </c>
      <c r="AQ89" s="96">
        <v>12</v>
      </c>
      <c r="AR89" s="96">
        <v>17</v>
      </c>
      <c r="AS89" s="97">
        <v>17</v>
      </c>
      <c r="AT89" s="97">
        <v>19</v>
      </c>
      <c r="AU89" s="97">
        <v>18</v>
      </c>
      <c r="AV89" s="97">
        <v>17</v>
      </c>
      <c r="AW89" s="97">
        <v>17</v>
      </c>
      <c r="AX89" s="97">
        <v>17</v>
      </c>
      <c r="AY89" s="97">
        <v>17</v>
      </c>
      <c r="AZ89" s="97">
        <v>17</v>
      </c>
      <c r="BA89" s="97">
        <v>17</v>
      </c>
      <c r="BB89" s="97">
        <v>17</v>
      </c>
      <c r="BC89" s="97">
        <v>17</v>
      </c>
      <c r="BD89" s="97">
        <v>17</v>
      </c>
      <c r="BE89" s="97">
        <v>17</v>
      </c>
      <c r="BF89" s="97">
        <f>+Tabela1107[[#This Row],[PIS]]+Tabela1107[[#This Row],[COFINS]]+Tabela1107[[#This Row],[CONTRIB. FOLHA]]+Tabela1107[[#This Row],[TRIBUTOS S/ LUCRO]]+Tabela1107[[#This Row],[OUTROS]]+Tabela1107[[#This Row],[SP]]</f>
        <v>37.74</v>
      </c>
      <c r="BG89" s="97">
        <f>+Tabela1107[[#This Row],[PIS]]+Tabela1107[[#This Row],[COFINS]]+Tabela1107[[#This Row],[CONTRIB. FOLHA]]+Tabela1107[[#This Row],[TRIBUTOS S/ LUCRO]]+Tabela1107[[#This Row],[OUTROS]]+Tabela1107[[#This Row],[PR]]</f>
        <v>31.740000000000002</v>
      </c>
      <c r="BH89" s="97">
        <f>+Tabela1107[[#This Row],[PIS]]+Tabela1107[[#This Row],[COFINS]]+Tabela1107[[#This Row],[CONTRIB. FOLHA]]+Tabela1107[[#This Row],[TRIBUTOS S/ LUCRO]]+Tabela1107[[#This Row],[OUTROS]]+Tabela1107[[#This Row],[SC]]</f>
        <v>36.74</v>
      </c>
      <c r="BI89" s="97">
        <f>+Tabela1107[[#This Row],[PIS]]+Tabela1107[[#This Row],[COFINS]]+Tabela1107[[#This Row],[CONTRIB. FOLHA]]+Tabela1107[[#This Row],[TRIBUTOS S/ LUCRO]]+Tabela1107[[#This Row],[OUTROS]]+Tabela1107[[#This Row],[RS]]</f>
        <v>36.74</v>
      </c>
      <c r="BJ89" s="97">
        <f>+Tabela1107[[#This Row],[PIS]]+Tabela1107[[#This Row],[COFINS]]+Tabela1107[[#This Row],[CONTRIB. FOLHA]]+Tabela1107[[#This Row],[TRIBUTOS S/ LUCRO]]+Tabela1107[[#This Row],[OUTROS]]+Tabela1107[[#This Row],[RJ]]</f>
        <v>38.74</v>
      </c>
      <c r="BK89" s="97">
        <f>+Tabela1107[[#This Row],[PIS]]+Tabela1107[[#This Row],[COFINS]]+Tabela1107[[#This Row],[CONTRIB. FOLHA]]+Tabela1107[[#This Row],[TRIBUTOS S/ LUCRO]]+Tabela1107[[#This Row],[OUTROS]]+Tabela1107[[#This Row],[MG]]</f>
        <v>37.74</v>
      </c>
      <c r="BL89" s="97">
        <f>+Tabela1107[[#This Row],[PIS]]+Tabela1107[[#This Row],[COFINS]]+Tabela1107[[#This Row],[CONTRIB. FOLHA]]+Tabela1107[[#This Row],[TRIBUTOS S/ LUCRO]]+Tabela1107[[#This Row],[OUTROS]]+Tabela1107[[#This Row],[ES]]</f>
        <v>36.74</v>
      </c>
      <c r="BM89" s="97">
        <f>+Tabela1107[[#This Row],[PIS]]+Tabela1107[[#This Row],[COFINS]]+Tabela1107[[#This Row],[CONTRIB. FOLHA]]+Tabela1107[[#This Row],[TRIBUTOS S/ LUCRO]]+Tabela1107[[#This Row],[OUTROS]]+Tabela1107[[#This Row],[GO]]</f>
        <v>36.74</v>
      </c>
      <c r="BN89" s="97">
        <f>+Tabela1107[[#This Row],[PIS]]+Tabela1107[[#This Row],[COFINS]]+Tabela1107[[#This Row],[CONTRIB. FOLHA]]+Tabela1107[[#This Row],[TRIBUTOS S/ LUCRO]]+Tabela1107[[#This Row],[OUTROS]]+Tabela1107[[#This Row],[MT]]</f>
        <v>36.74</v>
      </c>
      <c r="BO89" s="97">
        <f>+Tabela1107[[#This Row],[PIS]]+Tabela1107[[#This Row],[COFINS]]+Tabela1107[[#This Row],[CONTRIB. FOLHA]]+Tabela1107[[#This Row],[TRIBUTOS S/ LUCRO]]+Tabela1107[[#This Row],[OUTROS]]+Tabela1107[[#This Row],[MS]]</f>
        <v>36.74</v>
      </c>
      <c r="BP89" s="97">
        <f>+Tabela1107[[#This Row],[PIS]]+Tabela1107[[#This Row],[COFINS]]+Tabela1107[[#This Row],[CONTRIB. FOLHA]]+Tabela1107[[#This Row],[TRIBUTOS S/ LUCRO]]+Tabela1107[[#This Row],[OUTROS]]+Tabela1107[[#This Row],[DF]]</f>
        <v>36.74</v>
      </c>
      <c r="BQ89" s="97">
        <f>+Tabela1107[[#This Row],[PIS]]+Tabela1107[[#This Row],[COFINS]]+Tabela1107[[#This Row],[CONTRIB. FOLHA]]+Tabela1107[[#This Row],[TRIBUTOS S/ LUCRO]]+Tabela1107[[#This Row],[OUTROS]]+Tabela1107[[#This Row],[BA]]</f>
        <v>36.74</v>
      </c>
      <c r="BR89" s="97">
        <f>+Tabela1107[[#This Row],[PIS]]+Tabela1107[[#This Row],[COFINS]]+Tabela1107[[#This Row],[CONTRIB. FOLHA]]+Tabela1107[[#This Row],[TRIBUTOS S/ LUCRO]]+Tabela1107[[#This Row],[OUTROS]]+Tabela1107[[#This Row],[BA]]</f>
        <v>36.74</v>
      </c>
      <c r="BS89" s="97">
        <f>+Tabela1107[[#This Row],[PIS]]+Tabela1107[[#This Row],[COFINS]]+Tabela1107[[#This Row],[CONTRIB. FOLHA]]+Tabela1107[[#This Row],[TRIBUTOS S/ LUCRO]]+Tabela1107[[#This Row],[OUTROS]]+Tabela1107[[#This Row],[PE]]</f>
        <v>36.74</v>
      </c>
      <c r="BT89" s="97">
        <f>+Tabela1107[[#This Row],[PIS]]+Tabela1107[[#This Row],[COFINS]]+Tabela1107[[#This Row],[CONTRIB. FOLHA]]+Tabela1107[[#This Row],[TRIBUTOS S/ LUCRO]]+Tabela1107[[#This Row],[OUTROS]]+Tabela1107[[#This Row],[PA]]</f>
        <v>36.74</v>
      </c>
      <c r="BU89" s="97">
        <f>+Tabela1107[[#This Row],[PIS]]+Tabela1107[[#This Row],[COFINS]]+Tabela1107[[#This Row],[CONTRIB. FOLHA]]+Tabela1107[[#This Row],[TRIBUTOS S/ LUCRO]]+Tabela1107[[#This Row],[OUTROS]]+Tabela1107[[#This Row],[AM]]</f>
        <v>36.74</v>
      </c>
      <c r="BV89" s="97">
        <f>AVERAGE(Tabela1107[[#This Row],[TOTAL SP]:[TOTAL AM]])</f>
        <v>36.677500000000002</v>
      </c>
      <c r="BW89" s="97"/>
      <c r="BX89" s="97"/>
    </row>
    <row r="90" spans="2:76" x14ac:dyDescent="0.25">
      <c r="B90" s="89">
        <v>9364</v>
      </c>
      <c r="C90" s="91" t="s">
        <v>13183</v>
      </c>
      <c r="D90" s="89"/>
      <c r="E90" s="89">
        <v>20140626</v>
      </c>
      <c r="F90" s="89" t="s">
        <v>21234</v>
      </c>
      <c r="G90" s="89" t="s">
        <v>21235</v>
      </c>
      <c r="H90" s="89" t="s">
        <v>21236</v>
      </c>
      <c r="I90" s="89" t="s">
        <v>21237</v>
      </c>
      <c r="J90" s="89" t="s">
        <v>386</v>
      </c>
      <c r="K90" s="89"/>
      <c r="L90" s="89" t="s">
        <v>2633</v>
      </c>
      <c r="M90" s="89" t="s">
        <v>4496</v>
      </c>
      <c r="N90" s="89" t="s">
        <v>4496</v>
      </c>
      <c r="O90" s="89" t="s">
        <v>4496</v>
      </c>
      <c r="P90" s="89" t="s">
        <v>4496</v>
      </c>
      <c r="Q90" s="89"/>
      <c r="R90" s="89" t="s">
        <v>239</v>
      </c>
      <c r="S90" s="89" t="s">
        <v>21680</v>
      </c>
      <c r="T90" s="89" t="s">
        <v>21681</v>
      </c>
      <c r="U90" s="89" t="str">
        <f>TRIM('Carga Tributária doenças Po (2'!$L90)</f>
        <v>CELECOXIBE</v>
      </c>
      <c r="V90" s="89">
        <f>SUMIFS('Tabela Federal'!$E$4:$E$2069,'Tabela Federal'!$D$4:$D$2069,'Carga Tributária doenças Po (2'!$L90)</f>
        <v>1</v>
      </c>
      <c r="W90" s="89">
        <f>SUMIFS('Tabela Federal'!$E$4:$E$2069,'Tabela Federal'!$D$4:$D$2069,'Carga Tributária doenças Po (2'!$M90)</f>
        <v>0</v>
      </c>
      <c r="X90" s="89">
        <f>SUMIFS('Tabela Federal'!$E$4:$E$2069,'Tabela Federal'!$D$4:$D$2069,'Carga Tributária doenças Po (2'!$N90)</f>
        <v>0</v>
      </c>
      <c r="Y90" s="89">
        <f>SUMIFS('Tabela Federal'!$E$4:$E$2069,'Tabela Federal'!$D$4:$D$2069,'Carga Tributária doenças Po (2'!$O90)</f>
        <v>0</v>
      </c>
      <c r="Z90" s="92" t="str">
        <f>VLOOKUP('Carga Tributária doenças Po (2'!$AD90,'Carga Tributária doenças Po (2'!$CA$12:$CC$16,2,0)</f>
        <v>+</v>
      </c>
      <c r="AA90" s="89" t="s">
        <v>387</v>
      </c>
      <c r="AB90" s="89" t="s">
        <v>21877</v>
      </c>
      <c r="AC90" s="89" t="s">
        <v>21721</v>
      </c>
      <c r="AD90" s="93" t="s">
        <v>21722</v>
      </c>
      <c r="AE90" s="92" t="s">
        <v>2</v>
      </c>
      <c r="AF90" s="92" t="s">
        <v>23</v>
      </c>
      <c r="AG90" s="94">
        <v>659033</v>
      </c>
      <c r="AH90" s="95">
        <v>9017807</v>
      </c>
      <c r="AI90" s="95">
        <v>20570894.850000001</v>
      </c>
      <c r="AJ90" s="89" t="s">
        <v>394</v>
      </c>
      <c r="AK90" s="89">
        <f>IF('Carga Tributária doenças Po (2'!$Z90="+",0,SUMIFS(PISCOFINS!$I$3:$I$10518,PISCOFINS!$C$3:$C$10518,'Carga Tributária doenças Po (2'!$C90))</f>
        <v>0</v>
      </c>
      <c r="AL90" s="89">
        <f>IF('Carga Tributária doenças Po (2'!$Z90="+",0,SUMIFS(PISCOFINS!$H$3:$H$10518,PISCOFINS!$C$3:$C$10518,'Carga Tributária doenças Po (2'!$C90))</f>
        <v>0</v>
      </c>
      <c r="AM90" s="95">
        <v>3.27</v>
      </c>
      <c r="AN90" s="95">
        <v>3.12</v>
      </c>
      <c r="AO90" s="95">
        <v>1.35</v>
      </c>
      <c r="AP90" s="96">
        <v>18</v>
      </c>
      <c r="AQ90" s="96">
        <v>12</v>
      </c>
      <c r="AR90" s="96">
        <v>17</v>
      </c>
      <c r="AS90" s="97">
        <v>17</v>
      </c>
      <c r="AT90" s="97">
        <v>19</v>
      </c>
      <c r="AU90" s="97">
        <v>18</v>
      </c>
      <c r="AV90" s="97">
        <v>17</v>
      </c>
      <c r="AW90" s="97">
        <v>17</v>
      </c>
      <c r="AX90" s="97">
        <v>17</v>
      </c>
      <c r="AY90" s="97">
        <v>17</v>
      </c>
      <c r="AZ90" s="97">
        <v>17</v>
      </c>
      <c r="BA90" s="97">
        <v>17</v>
      </c>
      <c r="BB90" s="97">
        <v>17</v>
      </c>
      <c r="BC90" s="97">
        <v>17</v>
      </c>
      <c r="BD90" s="97">
        <v>17</v>
      </c>
      <c r="BE90" s="97">
        <v>17</v>
      </c>
      <c r="BF90" s="97">
        <f>+Tabela1107[[#This Row],[PIS]]+Tabela1107[[#This Row],[COFINS]]+Tabela1107[[#This Row],[CONTRIB. FOLHA]]+Tabela1107[[#This Row],[TRIBUTOS S/ LUCRO]]+Tabela1107[[#This Row],[OUTROS]]+Tabela1107[[#This Row],[SP]]</f>
        <v>25.740000000000002</v>
      </c>
      <c r="BG90" s="97">
        <f>+Tabela1107[[#This Row],[PIS]]+Tabela1107[[#This Row],[COFINS]]+Tabela1107[[#This Row],[CONTRIB. FOLHA]]+Tabela1107[[#This Row],[TRIBUTOS S/ LUCRO]]+Tabela1107[[#This Row],[OUTROS]]+Tabela1107[[#This Row],[PR]]</f>
        <v>19.740000000000002</v>
      </c>
      <c r="BH90" s="97">
        <f>+Tabela1107[[#This Row],[PIS]]+Tabela1107[[#This Row],[COFINS]]+Tabela1107[[#This Row],[CONTRIB. FOLHA]]+Tabela1107[[#This Row],[TRIBUTOS S/ LUCRO]]+Tabela1107[[#This Row],[OUTROS]]+Tabela1107[[#This Row],[SC]]</f>
        <v>24.740000000000002</v>
      </c>
      <c r="BI90" s="97">
        <f>+Tabela1107[[#This Row],[PIS]]+Tabela1107[[#This Row],[COFINS]]+Tabela1107[[#This Row],[CONTRIB. FOLHA]]+Tabela1107[[#This Row],[TRIBUTOS S/ LUCRO]]+Tabela1107[[#This Row],[OUTROS]]+Tabela1107[[#This Row],[RS]]</f>
        <v>24.740000000000002</v>
      </c>
      <c r="BJ90" s="97">
        <f>+Tabela1107[[#This Row],[PIS]]+Tabela1107[[#This Row],[COFINS]]+Tabela1107[[#This Row],[CONTRIB. FOLHA]]+Tabela1107[[#This Row],[TRIBUTOS S/ LUCRO]]+Tabela1107[[#This Row],[OUTROS]]+Tabela1107[[#This Row],[RJ]]</f>
        <v>26.740000000000002</v>
      </c>
      <c r="BK90" s="97">
        <f>+Tabela1107[[#This Row],[PIS]]+Tabela1107[[#This Row],[COFINS]]+Tabela1107[[#This Row],[CONTRIB. FOLHA]]+Tabela1107[[#This Row],[TRIBUTOS S/ LUCRO]]+Tabela1107[[#This Row],[OUTROS]]+Tabela1107[[#This Row],[MG]]</f>
        <v>25.740000000000002</v>
      </c>
      <c r="BL90" s="97">
        <f>+Tabela1107[[#This Row],[PIS]]+Tabela1107[[#This Row],[COFINS]]+Tabela1107[[#This Row],[CONTRIB. FOLHA]]+Tabela1107[[#This Row],[TRIBUTOS S/ LUCRO]]+Tabela1107[[#This Row],[OUTROS]]+Tabela1107[[#This Row],[ES]]</f>
        <v>24.740000000000002</v>
      </c>
      <c r="BM90" s="97">
        <f>+Tabela1107[[#This Row],[PIS]]+Tabela1107[[#This Row],[COFINS]]+Tabela1107[[#This Row],[CONTRIB. FOLHA]]+Tabela1107[[#This Row],[TRIBUTOS S/ LUCRO]]+Tabela1107[[#This Row],[OUTROS]]+Tabela1107[[#This Row],[GO]]</f>
        <v>24.740000000000002</v>
      </c>
      <c r="BN90" s="97">
        <f>+Tabela1107[[#This Row],[PIS]]+Tabela1107[[#This Row],[COFINS]]+Tabela1107[[#This Row],[CONTRIB. FOLHA]]+Tabela1107[[#This Row],[TRIBUTOS S/ LUCRO]]+Tabela1107[[#This Row],[OUTROS]]+Tabela1107[[#This Row],[MT]]</f>
        <v>24.740000000000002</v>
      </c>
      <c r="BO90" s="97">
        <f>+Tabela1107[[#This Row],[PIS]]+Tabela1107[[#This Row],[COFINS]]+Tabela1107[[#This Row],[CONTRIB. FOLHA]]+Tabela1107[[#This Row],[TRIBUTOS S/ LUCRO]]+Tabela1107[[#This Row],[OUTROS]]+Tabela1107[[#This Row],[MS]]</f>
        <v>24.740000000000002</v>
      </c>
      <c r="BP90" s="97">
        <f>+Tabela1107[[#This Row],[PIS]]+Tabela1107[[#This Row],[COFINS]]+Tabela1107[[#This Row],[CONTRIB. FOLHA]]+Tabela1107[[#This Row],[TRIBUTOS S/ LUCRO]]+Tabela1107[[#This Row],[OUTROS]]+Tabela1107[[#This Row],[DF]]</f>
        <v>24.740000000000002</v>
      </c>
      <c r="BQ90" s="97">
        <f>+Tabela1107[[#This Row],[PIS]]+Tabela1107[[#This Row],[COFINS]]+Tabela1107[[#This Row],[CONTRIB. FOLHA]]+Tabela1107[[#This Row],[TRIBUTOS S/ LUCRO]]+Tabela1107[[#This Row],[OUTROS]]+Tabela1107[[#This Row],[BA]]</f>
        <v>24.740000000000002</v>
      </c>
      <c r="BR90" s="97">
        <f>+Tabela1107[[#This Row],[PIS]]+Tabela1107[[#This Row],[COFINS]]+Tabela1107[[#This Row],[CONTRIB. FOLHA]]+Tabela1107[[#This Row],[TRIBUTOS S/ LUCRO]]+Tabela1107[[#This Row],[OUTROS]]+Tabela1107[[#This Row],[BA]]</f>
        <v>24.740000000000002</v>
      </c>
      <c r="BS90" s="97">
        <f>+Tabela1107[[#This Row],[PIS]]+Tabela1107[[#This Row],[COFINS]]+Tabela1107[[#This Row],[CONTRIB. FOLHA]]+Tabela1107[[#This Row],[TRIBUTOS S/ LUCRO]]+Tabela1107[[#This Row],[OUTROS]]+Tabela1107[[#This Row],[PE]]</f>
        <v>24.740000000000002</v>
      </c>
      <c r="BT90" s="97">
        <f>+Tabela1107[[#This Row],[PIS]]+Tabela1107[[#This Row],[COFINS]]+Tabela1107[[#This Row],[CONTRIB. FOLHA]]+Tabela1107[[#This Row],[TRIBUTOS S/ LUCRO]]+Tabela1107[[#This Row],[OUTROS]]+Tabela1107[[#This Row],[PA]]</f>
        <v>24.740000000000002</v>
      </c>
      <c r="BU90" s="97">
        <f>+Tabela1107[[#This Row],[PIS]]+Tabela1107[[#This Row],[COFINS]]+Tabela1107[[#This Row],[CONTRIB. FOLHA]]+Tabela1107[[#This Row],[TRIBUTOS S/ LUCRO]]+Tabela1107[[#This Row],[OUTROS]]+Tabela1107[[#This Row],[AM]]</f>
        <v>24.740000000000002</v>
      </c>
      <c r="BV90" s="97">
        <f>AVERAGE(Tabela1107[[#This Row],[TOTAL SP]:[TOTAL AM]])</f>
        <v>24.677500000000006</v>
      </c>
      <c r="BW90" s="97"/>
      <c r="BX90" s="97"/>
    </row>
    <row r="91" spans="2:76" x14ac:dyDescent="0.25">
      <c r="B91" s="89">
        <v>2892</v>
      </c>
      <c r="C91" s="91" t="s">
        <v>13101</v>
      </c>
      <c r="D91" s="89"/>
      <c r="E91" s="89">
        <v>20140626</v>
      </c>
      <c r="F91" s="89" t="s">
        <v>20974</v>
      </c>
      <c r="G91" s="89" t="s">
        <v>20975</v>
      </c>
      <c r="H91" s="89" t="s">
        <v>20976</v>
      </c>
      <c r="I91" s="89" t="s">
        <v>20977</v>
      </c>
      <c r="J91" s="89" t="s">
        <v>337</v>
      </c>
      <c r="K91" s="89"/>
      <c r="L91" s="89" t="s">
        <v>4635</v>
      </c>
      <c r="M91" s="89" t="s">
        <v>4636</v>
      </c>
      <c r="N91" s="89" t="s">
        <v>4496</v>
      </c>
      <c r="O91" s="89" t="s">
        <v>4496</v>
      </c>
      <c r="P91" s="89" t="s">
        <v>4496</v>
      </c>
      <c r="Q91" s="89"/>
      <c r="R91" s="89" t="s">
        <v>153</v>
      </c>
      <c r="S91" s="89" t="s">
        <v>21648</v>
      </c>
      <c r="T91" s="89" t="s">
        <v>21649</v>
      </c>
      <c r="U91" s="89" t="str">
        <f>TRIM('Carga Tributária doenças Po (2'!$L91)</f>
        <v>betametasona</v>
      </c>
      <c r="V91" s="89">
        <f>SUMIFS('Tabela Federal'!$E$4:$E$2069,'Tabela Federal'!$D$4:$D$2069,'Carga Tributária doenças Po (2'!$L91)</f>
        <v>1</v>
      </c>
      <c r="W91" s="89">
        <f>SUMIFS('Tabela Federal'!$E$4:$E$2069,'Tabela Federal'!$D$4:$D$2069,'Carga Tributária doenças Po (2'!$M91)</f>
        <v>0</v>
      </c>
      <c r="X91" s="89">
        <f>SUMIFS('Tabela Federal'!$E$4:$E$2069,'Tabela Federal'!$D$4:$D$2069,'Carga Tributária doenças Po (2'!$N91)</f>
        <v>0</v>
      </c>
      <c r="Y91" s="89">
        <f>SUMIFS('Tabela Federal'!$E$4:$E$2069,'Tabela Federal'!$D$4:$D$2069,'Carga Tributária doenças Po (2'!$O91)</f>
        <v>0</v>
      </c>
      <c r="Z91" s="92" t="str">
        <f>VLOOKUP('Carga Tributária doenças Po (2'!$AD91,'Carga Tributária doenças Po (2'!$CA$12:$CC$16,2,0)</f>
        <v>-</v>
      </c>
      <c r="AA91" s="89" t="s">
        <v>335</v>
      </c>
      <c r="AB91" s="89" t="s">
        <v>21729</v>
      </c>
      <c r="AC91" s="89" t="s">
        <v>21721</v>
      </c>
      <c r="AD91" s="93" t="s">
        <v>19523</v>
      </c>
      <c r="AE91" s="92" t="s">
        <v>4</v>
      </c>
      <c r="AF91" s="92" t="s">
        <v>23</v>
      </c>
      <c r="AG91" s="94">
        <v>1046795</v>
      </c>
      <c r="AH91" s="95">
        <v>7131007</v>
      </c>
      <c r="AI91" s="95">
        <v>16251632.939999999</v>
      </c>
      <c r="AJ91" s="89" t="s">
        <v>338</v>
      </c>
      <c r="AK91" s="89">
        <f>IF('Carga Tributária doenças Po (2'!$Z91="+",0,SUMIFS(PISCOFINS!$I$3:$I$10518,PISCOFINS!$C$3:$C$10518,'Carga Tributária doenças Po (2'!$C91))</f>
        <v>2.1</v>
      </c>
      <c r="AL91" s="89">
        <f>IF('Carga Tributária doenças Po (2'!$Z91="+",0,SUMIFS(PISCOFINS!$H$3:$H$10518,PISCOFINS!$C$3:$C$10518,'Carga Tributária doenças Po (2'!$C91))</f>
        <v>9.9</v>
      </c>
      <c r="AM91" s="95">
        <v>3.27</v>
      </c>
      <c r="AN91" s="95">
        <v>3.12</v>
      </c>
      <c r="AO91" s="95">
        <v>1.35</v>
      </c>
      <c r="AP91" s="96">
        <v>18</v>
      </c>
      <c r="AQ91" s="96">
        <v>12</v>
      </c>
      <c r="AR91" s="96">
        <v>17</v>
      </c>
      <c r="AS91" s="97">
        <v>17</v>
      </c>
      <c r="AT91" s="97">
        <v>19</v>
      </c>
      <c r="AU91" s="97">
        <v>18</v>
      </c>
      <c r="AV91" s="97">
        <v>17</v>
      </c>
      <c r="AW91" s="97">
        <v>17</v>
      </c>
      <c r="AX91" s="97">
        <v>17</v>
      </c>
      <c r="AY91" s="97">
        <v>17</v>
      </c>
      <c r="AZ91" s="97">
        <v>17</v>
      </c>
      <c r="BA91" s="97">
        <v>17</v>
      </c>
      <c r="BB91" s="97">
        <v>17</v>
      </c>
      <c r="BC91" s="97">
        <v>17</v>
      </c>
      <c r="BD91" s="97">
        <v>17</v>
      </c>
      <c r="BE91" s="97">
        <v>17</v>
      </c>
      <c r="BF91" s="97">
        <f>+Tabela1107[[#This Row],[PIS]]+Tabela1107[[#This Row],[COFINS]]+Tabela1107[[#This Row],[CONTRIB. FOLHA]]+Tabela1107[[#This Row],[TRIBUTOS S/ LUCRO]]+Tabela1107[[#This Row],[OUTROS]]+Tabela1107[[#This Row],[SP]]</f>
        <v>37.74</v>
      </c>
      <c r="BG91" s="97">
        <f>+Tabela1107[[#This Row],[PIS]]+Tabela1107[[#This Row],[COFINS]]+Tabela1107[[#This Row],[CONTRIB. FOLHA]]+Tabela1107[[#This Row],[TRIBUTOS S/ LUCRO]]+Tabela1107[[#This Row],[OUTROS]]+Tabela1107[[#This Row],[PR]]</f>
        <v>31.740000000000002</v>
      </c>
      <c r="BH91" s="97">
        <f>+Tabela1107[[#This Row],[PIS]]+Tabela1107[[#This Row],[COFINS]]+Tabela1107[[#This Row],[CONTRIB. FOLHA]]+Tabela1107[[#This Row],[TRIBUTOS S/ LUCRO]]+Tabela1107[[#This Row],[OUTROS]]+Tabela1107[[#This Row],[SC]]</f>
        <v>36.74</v>
      </c>
      <c r="BI91" s="97">
        <f>+Tabela1107[[#This Row],[PIS]]+Tabela1107[[#This Row],[COFINS]]+Tabela1107[[#This Row],[CONTRIB. FOLHA]]+Tabela1107[[#This Row],[TRIBUTOS S/ LUCRO]]+Tabela1107[[#This Row],[OUTROS]]+Tabela1107[[#This Row],[RS]]</f>
        <v>36.74</v>
      </c>
      <c r="BJ91" s="97">
        <f>+Tabela1107[[#This Row],[PIS]]+Tabela1107[[#This Row],[COFINS]]+Tabela1107[[#This Row],[CONTRIB. FOLHA]]+Tabela1107[[#This Row],[TRIBUTOS S/ LUCRO]]+Tabela1107[[#This Row],[OUTROS]]+Tabela1107[[#This Row],[RJ]]</f>
        <v>38.74</v>
      </c>
      <c r="BK91" s="97">
        <f>+Tabela1107[[#This Row],[PIS]]+Tabela1107[[#This Row],[COFINS]]+Tabela1107[[#This Row],[CONTRIB. FOLHA]]+Tabela1107[[#This Row],[TRIBUTOS S/ LUCRO]]+Tabela1107[[#This Row],[OUTROS]]+Tabela1107[[#This Row],[MG]]</f>
        <v>37.74</v>
      </c>
      <c r="BL91" s="97">
        <f>+Tabela1107[[#This Row],[PIS]]+Tabela1107[[#This Row],[COFINS]]+Tabela1107[[#This Row],[CONTRIB. FOLHA]]+Tabela1107[[#This Row],[TRIBUTOS S/ LUCRO]]+Tabela1107[[#This Row],[OUTROS]]+Tabela1107[[#This Row],[ES]]</f>
        <v>36.74</v>
      </c>
      <c r="BM91" s="97">
        <f>+Tabela1107[[#This Row],[PIS]]+Tabela1107[[#This Row],[COFINS]]+Tabela1107[[#This Row],[CONTRIB. FOLHA]]+Tabela1107[[#This Row],[TRIBUTOS S/ LUCRO]]+Tabela1107[[#This Row],[OUTROS]]+Tabela1107[[#This Row],[GO]]</f>
        <v>36.74</v>
      </c>
      <c r="BN91" s="97">
        <f>+Tabela1107[[#This Row],[PIS]]+Tabela1107[[#This Row],[COFINS]]+Tabela1107[[#This Row],[CONTRIB. FOLHA]]+Tabela1107[[#This Row],[TRIBUTOS S/ LUCRO]]+Tabela1107[[#This Row],[OUTROS]]+Tabela1107[[#This Row],[MT]]</f>
        <v>36.74</v>
      </c>
      <c r="BO91" s="97">
        <f>+Tabela1107[[#This Row],[PIS]]+Tabela1107[[#This Row],[COFINS]]+Tabela1107[[#This Row],[CONTRIB. FOLHA]]+Tabela1107[[#This Row],[TRIBUTOS S/ LUCRO]]+Tabela1107[[#This Row],[OUTROS]]+Tabela1107[[#This Row],[MS]]</f>
        <v>36.74</v>
      </c>
      <c r="BP91" s="97">
        <f>+Tabela1107[[#This Row],[PIS]]+Tabela1107[[#This Row],[COFINS]]+Tabela1107[[#This Row],[CONTRIB. FOLHA]]+Tabela1107[[#This Row],[TRIBUTOS S/ LUCRO]]+Tabela1107[[#This Row],[OUTROS]]+Tabela1107[[#This Row],[DF]]</f>
        <v>36.74</v>
      </c>
      <c r="BQ91" s="97">
        <f>+Tabela1107[[#This Row],[PIS]]+Tabela1107[[#This Row],[COFINS]]+Tabela1107[[#This Row],[CONTRIB. FOLHA]]+Tabela1107[[#This Row],[TRIBUTOS S/ LUCRO]]+Tabela1107[[#This Row],[OUTROS]]+Tabela1107[[#This Row],[BA]]</f>
        <v>36.74</v>
      </c>
      <c r="BR91" s="97">
        <f>+Tabela1107[[#This Row],[PIS]]+Tabela1107[[#This Row],[COFINS]]+Tabela1107[[#This Row],[CONTRIB. FOLHA]]+Tabela1107[[#This Row],[TRIBUTOS S/ LUCRO]]+Tabela1107[[#This Row],[OUTROS]]+Tabela1107[[#This Row],[BA]]</f>
        <v>36.74</v>
      </c>
      <c r="BS91" s="97">
        <f>+Tabela1107[[#This Row],[PIS]]+Tabela1107[[#This Row],[COFINS]]+Tabela1107[[#This Row],[CONTRIB. FOLHA]]+Tabela1107[[#This Row],[TRIBUTOS S/ LUCRO]]+Tabela1107[[#This Row],[OUTROS]]+Tabela1107[[#This Row],[PE]]</f>
        <v>36.74</v>
      </c>
      <c r="BT91" s="97">
        <f>+Tabela1107[[#This Row],[PIS]]+Tabela1107[[#This Row],[COFINS]]+Tabela1107[[#This Row],[CONTRIB. FOLHA]]+Tabela1107[[#This Row],[TRIBUTOS S/ LUCRO]]+Tabela1107[[#This Row],[OUTROS]]+Tabela1107[[#This Row],[PA]]</f>
        <v>36.74</v>
      </c>
      <c r="BU91" s="97">
        <f>+Tabela1107[[#This Row],[PIS]]+Tabela1107[[#This Row],[COFINS]]+Tabela1107[[#This Row],[CONTRIB. FOLHA]]+Tabela1107[[#This Row],[TRIBUTOS S/ LUCRO]]+Tabela1107[[#This Row],[OUTROS]]+Tabela1107[[#This Row],[AM]]</f>
        <v>36.74</v>
      </c>
      <c r="BV91" s="97">
        <f>AVERAGE(Tabela1107[[#This Row],[TOTAL SP]:[TOTAL AM]])</f>
        <v>36.677500000000002</v>
      </c>
      <c r="BW91" s="97"/>
      <c r="BX91" s="97"/>
    </row>
    <row r="92" spans="2:76" x14ac:dyDescent="0.25">
      <c r="B92" s="89">
        <v>24867</v>
      </c>
      <c r="C92" s="91" t="s">
        <v>13214</v>
      </c>
      <c r="D92" s="89"/>
      <c r="E92" s="89">
        <v>20140626</v>
      </c>
      <c r="F92" s="89" t="s">
        <v>21048</v>
      </c>
      <c r="G92" s="98" t="s">
        <v>21942</v>
      </c>
      <c r="H92" s="98" t="s">
        <v>21943</v>
      </c>
      <c r="I92" s="89" t="s">
        <v>21049</v>
      </c>
      <c r="J92" s="89" t="s">
        <v>407</v>
      </c>
      <c r="K92" s="89"/>
      <c r="L92" s="89" t="s">
        <v>2635</v>
      </c>
      <c r="M92" s="89" t="s">
        <v>4496</v>
      </c>
      <c r="N92" s="89" t="s">
        <v>4496</v>
      </c>
      <c r="O92" s="89" t="s">
        <v>4496</v>
      </c>
      <c r="P92" s="89" t="s">
        <v>4496</v>
      </c>
      <c r="Q92" s="89"/>
      <c r="R92" s="89" t="s">
        <v>267</v>
      </c>
      <c r="S92" s="89" t="s">
        <v>21660</v>
      </c>
      <c r="T92" s="89" t="s">
        <v>21661</v>
      </c>
      <c r="U92" s="89" t="str">
        <f>TRIM('Carga Tributária doenças Po (2'!$L92)</f>
        <v>DESOGESTREL</v>
      </c>
      <c r="V92" s="89">
        <f>SUMIFS('Tabela Federal'!$E$4:$E$2069,'Tabela Federal'!$D$4:$D$2069,'Carga Tributária doenças Po (2'!$L92)</f>
        <v>2</v>
      </c>
      <c r="W92" s="89">
        <f>SUMIFS('Tabela Federal'!$E$4:$E$2069,'Tabela Federal'!$D$4:$D$2069,'Carga Tributária doenças Po (2'!$M92)</f>
        <v>0</v>
      </c>
      <c r="X92" s="89">
        <f>SUMIFS('Tabela Federal'!$E$4:$E$2069,'Tabela Federal'!$D$4:$D$2069,'Carga Tributária doenças Po (2'!$N92)</f>
        <v>0</v>
      </c>
      <c r="Y92" s="89">
        <f>SUMIFS('Tabela Federal'!$E$4:$E$2069,'Tabela Federal'!$D$4:$D$2069,'Carga Tributária doenças Po (2'!$O92)</f>
        <v>0</v>
      </c>
      <c r="Z92" s="92" t="str">
        <f>VLOOKUP('Carga Tributária doenças Po (2'!$AD92,'Carga Tributária doenças Po (2'!$CA$12:$CC$16,2,0)</f>
        <v>+</v>
      </c>
      <c r="AA92" s="89" t="s">
        <v>408</v>
      </c>
      <c r="AB92" s="89" t="s">
        <v>21743</v>
      </c>
      <c r="AC92" s="89" t="s">
        <v>21721</v>
      </c>
      <c r="AD92" s="93" t="s">
        <v>21722</v>
      </c>
      <c r="AE92" s="92" t="s">
        <v>2</v>
      </c>
      <c r="AF92" s="92" t="s">
        <v>23</v>
      </c>
      <c r="AG92" s="94">
        <v>3347042</v>
      </c>
      <c r="AH92" s="95">
        <v>35893116</v>
      </c>
      <c r="AI92" s="95">
        <v>81776770.730000004</v>
      </c>
      <c r="AJ92" s="89" t="s">
        <v>413</v>
      </c>
      <c r="AK92" s="89">
        <f>IF('Carga Tributária doenças Po (2'!$Z92="+",0,SUMIFS(PISCOFINS!$I$3:$I$10518,PISCOFINS!$C$3:$C$10518,'Carga Tributária doenças Po (2'!$C92))</f>
        <v>0</v>
      </c>
      <c r="AL92" s="89">
        <f>IF('Carga Tributária doenças Po (2'!$Z92="+",0,SUMIFS(PISCOFINS!$H$3:$H$10518,PISCOFINS!$C$3:$C$10518,'Carga Tributária doenças Po (2'!$C92))</f>
        <v>0</v>
      </c>
      <c r="AM92" s="95">
        <v>3.27</v>
      </c>
      <c r="AN92" s="95">
        <v>3.12</v>
      </c>
      <c r="AO92" s="95">
        <v>1.35</v>
      </c>
      <c r="AP92" s="96">
        <v>18</v>
      </c>
      <c r="AQ92" s="96">
        <v>12</v>
      </c>
      <c r="AR92" s="96">
        <v>17</v>
      </c>
      <c r="AS92" s="97">
        <v>17</v>
      </c>
      <c r="AT92" s="97">
        <v>19</v>
      </c>
      <c r="AU92" s="97">
        <v>18</v>
      </c>
      <c r="AV92" s="97">
        <v>17</v>
      </c>
      <c r="AW92" s="97">
        <v>17</v>
      </c>
      <c r="AX92" s="97">
        <v>17</v>
      </c>
      <c r="AY92" s="97">
        <v>17</v>
      </c>
      <c r="AZ92" s="97">
        <v>17</v>
      </c>
      <c r="BA92" s="97">
        <v>17</v>
      </c>
      <c r="BB92" s="97">
        <v>17</v>
      </c>
      <c r="BC92" s="97">
        <v>17</v>
      </c>
      <c r="BD92" s="97">
        <v>17</v>
      </c>
      <c r="BE92" s="97">
        <v>17</v>
      </c>
      <c r="BF92" s="97">
        <f>+Tabela1107[[#This Row],[PIS]]+Tabela1107[[#This Row],[COFINS]]+Tabela1107[[#This Row],[CONTRIB. FOLHA]]+Tabela1107[[#This Row],[TRIBUTOS S/ LUCRO]]+Tabela1107[[#This Row],[OUTROS]]+Tabela1107[[#This Row],[SP]]</f>
        <v>25.740000000000002</v>
      </c>
      <c r="BG92" s="97">
        <f>+Tabela1107[[#This Row],[PIS]]+Tabela1107[[#This Row],[COFINS]]+Tabela1107[[#This Row],[CONTRIB. FOLHA]]+Tabela1107[[#This Row],[TRIBUTOS S/ LUCRO]]+Tabela1107[[#This Row],[OUTROS]]+Tabela1107[[#This Row],[PR]]</f>
        <v>19.740000000000002</v>
      </c>
      <c r="BH92" s="97">
        <f>+Tabela1107[[#This Row],[PIS]]+Tabela1107[[#This Row],[COFINS]]+Tabela1107[[#This Row],[CONTRIB. FOLHA]]+Tabela1107[[#This Row],[TRIBUTOS S/ LUCRO]]+Tabela1107[[#This Row],[OUTROS]]+Tabela1107[[#This Row],[SC]]</f>
        <v>24.740000000000002</v>
      </c>
      <c r="BI92" s="97">
        <f>+Tabela1107[[#This Row],[PIS]]+Tabela1107[[#This Row],[COFINS]]+Tabela1107[[#This Row],[CONTRIB. FOLHA]]+Tabela1107[[#This Row],[TRIBUTOS S/ LUCRO]]+Tabela1107[[#This Row],[OUTROS]]+Tabela1107[[#This Row],[RS]]</f>
        <v>24.740000000000002</v>
      </c>
      <c r="BJ92" s="97">
        <f>+Tabela1107[[#This Row],[PIS]]+Tabela1107[[#This Row],[COFINS]]+Tabela1107[[#This Row],[CONTRIB. FOLHA]]+Tabela1107[[#This Row],[TRIBUTOS S/ LUCRO]]+Tabela1107[[#This Row],[OUTROS]]+Tabela1107[[#This Row],[RJ]]</f>
        <v>26.740000000000002</v>
      </c>
      <c r="BK92" s="97">
        <f>+Tabela1107[[#This Row],[PIS]]+Tabela1107[[#This Row],[COFINS]]+Tabela1107[[#This Row],[CONTRIB. FOLHA]]+Tabela1107[[#This Row],[TRIBUTOS S/ LUCRO]]+Tabela1107[[#This Row],[OUTROS]]+Tabela1107[[#This Row],[MG]]</f>
        <v>25.740000000000002</v>
      </c>
      <c r="BL92" s="97">
        <f>+Tabela1107[[#This Row],[PIS]]+Tabela1107[[#This Row],[COFINS]]+Tabela1107[[#This Row],[CONTRIB. FOLHA]]+Tabela1107[[#This Row],[TRIBUTOS S/ LUCRO]]+Tabela1107[[#This Row],[OUTROS]]+Tabela1107[[#This Row],[ES]]</f>
        <v>24.740000000000002</v>
      </c>
      <c r="BM92" s="97">
        <f>+Tabela1107[[#This Row],[PIS]]+Tabela1107[[#This Row],[COFINS]]+Tabela1107[[#This Row],[CONTRIB. FOLHA]]+Tabela1107[[#This Row],[TRIBUTOS S/ LUCRO]]+Tabela1107[[#This Row],[OUTROS]]+Tabela1107[[#This Row],[GO]]</f>
        <v>24.740000000000002</v>
      </c>
      <c r="BN92" s="97">
        <f>+Tabela1107[[#This Row],[PIS]]+Tabela1107[[#This Row],[COFINS]]+Tabela1107[[#This Row],[CONTRIB. FOLHA]]+Tabela1107[[#This Row],[TRIBUTOS S/ LUCRO]]+Tabela1107[[#This Row],[OUTROS]]+Tabela1107[[#This Row],[MT]]</f>
        <v>24.740000000000002</v>
      </c>
      <c r="BO92" s="97">
        <f>+Tabela1107[[#This Row],[PIS]]+Tabela1107[[#This Row],[COFINS]]+Tabela1107[[#This Row],[CONTRIB. FOLHA]]+Tabela1107[[#This Row],[TRIBUTOS S/ LUCRO]]+Tabela1107[[#This Row],[OUTROS]]+Tabela1107[[#This Row],[MS]]</f>
        <v>24.740000000000002</v>
      </c>
      <c r="BP92" s="97">
        <f>+Tabela1107[[#This Row],[PIS]]+Tabela1107[[#This Row],[COFINS]]+Tabela1107[[#This Row],[CONTRIB. FOLHA]]+Tabela1107[[#This Row],[TRIBUTOS S/ LUCRO]]+Tabela1107[[#This Row],[OUTROS]]+Tabela1107[[#This Row],[DF]]</f>
        <v>24.740000000000002</v>
      </c>
      <c r="BQ92" s="97">
        <f>+Tabela1107[[#This Row],[PIS]]+Tabela1107[[#This Row],[COFINS]]+Tabela1107[[#This Row],[CONTRIB. FOLHA]]+Tabela1107[[#This Row],[TRIBUTOS S/ LUCRO]]+Tabela1107[[#This Row],[OUTROS]]+Tabela1107[[#This Row],[BA]]</f>
        <v>24.740000000000002</v>
      </c>
      <c r="BR92" s="97">
        <f>+Tabela1107[[#This Row],[PIS]]+Tabela1107[[#This Row],[COFINS]]+Tabela1107[[#This Row],[CONTRIB. FOLHA]]+Tabela1107[[#This Row],[TRIBUTOS S/ LUCRO]]+Tabela1107[[#This Row],[OUTROS]]+Tabela1107[[#This Row],[BA]]</f>
        <v>24.740000000000002</v>
      </c>
      <c r="BS92" s="97">
        <f>+Tabela1107[[#This Row],[PIS]]+Tabela1107[[#This Row],[COFINS]]+Tabela1107[[#This Row],[CONTRIB. FOLHA]]+Tabela1107[[#This Row],[TRIBUTOS S/ LUCRO]]+Tabela1107[[#This Row],[OUTROS]]+Tabela1107[[#This Row],[PE]]</f>
        <v>24.740000000000002</v>
      </c>
      <c r="BT92" s="97">
        <f>+Tabela1107[[#This Row],[PIS]]+Tabela1107[[#This Row],[COFINS]]+Tabela1107[[#This Row],[CONTRIB. FOLHA]]+Tabela1107[[#This Row],[TRIBUTOS S/ LUCRO]]+Tabela1107[[#This Row],[OUTROS]]+Tabela1107[[#This Row],[PA]]</f>
        <v>24.740000000000002</v>
      </c>
      <c r="BU92" s="97">
        <f>+Tabela1107[[#This Row],[PIS]]+Tabela1107[[#This Row],[COFINS]]+Tabela1107[[#This Row],[CONTRIB. FOLHA]]+Tabela1107[[#This Row],[TRIBUTOS S/ LUCRO]]+Tabela1107[[#This Row],[OUTROS]]+Tabela1107[[#This Row],[AM]]</f>
        <v>24.740000000000002</v>
      </c>
      <c r="BV92" s="97">
        <f>AVERAGE(Tabela1107[[#This Row],[TOTAL SP]:[TOTAL AM]])</f>
        <v>24.677500000000006</v>
      </c>
      <c r="BW92" s="97"/>
      <c r="BX92" s="97"/>
    </row>
    <row r="93" spans="2:76" x14ac:dyDescent="0.25">
      <c r="B93" s="89">
        <v>12694</v>
      </c>
      <c r="C93" s="91" t="s">
        <v>13183</v>
      </c>
      <c r="D93" s="89"/>
      <c r="E93" s="89">
        <v>20140626</v>
      </c>
      <c r="F93" s="89" t="s">
        <v>20365</v>
      </c>
      <c r="G93" s="89" t="s">
        <v>20366</v>
      </c>
      <c r="H93" s="89" t="s">
        <v>20367</v>
      </c>
      <c r="I93" s="89" t="s">
        <v>20368</v>
      </c>
      <c r="J93" s="89" t="s">
        <v>473</v>
      </c>
      <c r="K93" s="89"/>
      <c r="L93" s="89" t="s">
        <v>4637</v>
      </c>
      <c r="M93" s="89" t="s">
        <v>4638</v>
      </c>
      <c r="N93" s="89" t="s">
        <v>4496</v>
      </c>
      <c r="O93" s="89" t="s">
        <v>4496</v>
      </c>
      <c r="P93" s="89" t="s">
        <v>4496</v>
      </c>
      <c r="Q93" s="89"/>
      <c r="R93" s="89" t="s">
        <v>466</v>
      </c>
      <c r="S93" s="89" t="s">
        <v>21576</v>
      </c>
      <c r="T93" s="89" t="s">
        <v>21577</v>
      </c>
      <c r="U93" s="89" t="str">
        <f>TRIM('Carga Tributária doenças Po (2'!$L93)</f>
        <v>hidroxiquinolina</v>
      </c>
      <c r="V93" s="89">
        <f>SUMIFS('Tabela Federal'!$E$4:$E$2069,'Tabela Federal'!$D$4:$D$2069,'Carga Tributária doenças Po (2'!$L93)</f>
        <v>0</v>
      </c>
      <c r="W93" s="89">
        <f>SUMIFS('Tabela Federal'!$E$4:$E$2069,'Tabela Federal'!$D$4:$D$2069,'Carga Tributária doenças Po (2'!$M93)</f>
        <v>0</v>
      </c>
      <c r="X93" s="89">
        <f>SUMIFS('Tabela Federal'!$E$4:$E$2069,'Tabela Federal'!$D$4:$D$2069,'Carga Tributária doenças Po (2'!$N93)</f>
        <v>0</v>
      </c>
      <c r="Y93" s="89">
        <f>SUMIFS('Tabela Federal'!$E$4:$E$2069,'Tabela Federal'!$D$4:$D$2069,'Carga Tributária doenças Po (2'!$O93)</f>
        <v>0</v>
      </c>
      <c r="Z93" s="92" t="str">
        <f>VLOOKUP('Carga Tributária doenças Po (2'!$AD93,'Carga Tributária doenças Po (2'!$CA$12:$CC$16,2,0)</f>
        <v>-</v>
      </c>
      <c r="AA93" s="89" t="s">
        <v>474</v>
      </c>
      <c r="AB93" s="89" t="s">
        <v>21821</v>
      </c>
      <c r="AC93" s="89" t="s">
        <v>21740</v>
      </c>
      <c r="AD93" s="93" t="s">
        <v>19523</v>
      </c>
      <c r="AE93" s="92" t="s">
        <v>4</v>
      </c>
      <c r="AF93" s="92" t="s">
        <v>23</v>
      </c>
      <c r="AG93" s="94">
        <v>2168477</v>
      </c>
      <c r="AH93" s="95">
        <v>7427821</v>
      </c>
      <c r="AI93" s="95">
        <v>16962743.079999998</v>
      </c>
      <c r="AJ93" s="89" t="s">
        <v>472</v>
      </c>
      <c r="AK93" s="89">
        <f>IF('Carga Tributária doenças Po (2'!$Z93="+",0,SUMIFS(PISCOFINS!$I$3:$I$10518,PISCOFINS!$C$3:$C$10518,'Carga Tributária doenças Po (2'!$C93))</f>
        <v>2.1</v>
      </c>
      <c r="AL93" s="89">
        <f>IF('Carga Tributária doenças Po (2'!$Z93="+",0,SUMIFS(PISCOFINS!$H$3:$H$10518,PISCOFINS!$C$3:$C$10518,'Carga Tributária doenças Po (2'!$C93))</f>
        <v>9.9</v>
      </c>
      <c r="AM93" s="95">
        <v>3.27</v>
      </c>
      <c r="AN93" s="95">
        <v>3.12</v>
      </c>
      <c r="AO93" s="95">
        <v>1.35</v>
      </c>
      <c r="AP93" s="96">
        <v>18</v>
      </c>
      <c r="AQ93" s="96">
        <v>12</v>
      </c>
      <c r="AR93" s="96">
        <v>17</v>
      </c>
      <c r="AS93" s="97">
        <v>17</v>
      </c>
      <c r="AT93" s="97">
        <v>19</v>
      </c>
      <c r="AU93" s="97">
        <v>18</v>
      </c>
      <c r="AV93" s="97">
        <v>17</v>
      </c>
      <c r="AW93" s="97">
        <v>17</v>
      </c>
      <c r="AX93" s="97">
        <v>17</v>
      </c>
      <c r="AY93" s="97">
        <v>17</v>
      </c>
      <c r="AZ93" s="97">
        <v>17</v>
      </c>
      <c r="BA93" s="97">
        <v>17</v>
      </c>
      <c r="BB93" s="97">
        <v>17</v>
      </c>
      <c r="BC93" s="97">
        <v>17</v>
      </c>
      <c r="BD93" s="97">
        <v>17</v>
      </c>
      <c r="BE93" s="97">
        <v>17</v>
      </c>
      <c r="BF93" s="97">
        <f>+Tabela1107[[#This Row],[PIS]]+Tabela1107[[#This Row],[COFINS]]+Tabela1107[[#This Row],[CONTRIB. FOLHA]]+Tabela1107[[#This Row],[TRIBUTOS S/ LUCRO]]+Tabela1107[[#This Row],[OUTROS]]+Tabela1107[[#This Row],[SP]]</f>
        <v>37.74</v>
      </c>
      <c r="BG93" s="97">
        <f>+Tabela1107[[#This Row],[PIS]]+Tabela1107[[#This Row],[COFINS]]+Tabela1107[[#This Row],[CONTRIB. FOLHA]]+Tabela1107[[#This Row],[TRIBUTOS S/ LUCRO]]+Tabela1107[[#This Row],[OUTROS]]+Tabela1107[[#This Row],[PR]]</f>
        <v>31.740000000000002</v>
      </c>
      <c r="BH93" s="97">
        <f>+Tabela1107[[#This Row],[PIS]]+Tabela1107[[#This Row],[COFINS]]+Tabela1107[[#This Row],[CONTRIB. FOLHA]]+Tabela1107[[#This Row],[TRIBUTOS S/ LUCRO]]+Tabela1107[[#This Row],[OUTROS]]+Tabela1107[[#This Row],[SC]]</f>
        <v>36.74</v>
      </c>
      <c r="BI93" s="97">
        <f>+Tabela1107[[#This Row],[PIS]]+Tabela1107[[#This Row],[COFINS]]+Tabela1107[[#This Row],[CONTRIB. FOLHA]]+Tabela1107[[#This Row],[TRIBUTOS S/ LUCRO]]+Tabela1107[[#This Row],[OUTROS]]+Tabela1107[[#This Row],[RS]]</f>
        <v>36.74</v>
      </c>
      <c r="BJ93" s="97">
        <f>+Tabela1107[[#This Row],[PIS]]+Tabela1107[[#This Row],[COFINS]]+Tabela1107[[#This Row],[CONTRIB. FOLHA]]+Tabela1107[[#This Row],[TRIBUTOS S/ LUCRO]]+Tabela1107[[#This Row],[OUTROS]]+Tabela1107[[#This Row],[RJ]]</f>
        <v>38.74</v>
      </c>
      <c r="BK93" s="97">
        <f>+Tabela1107[[#This Row],[PIS]]+Tabela1107[[#This Row],[COFINS]]+Tabela1107[[#This Row],[CONTRIB. FOLHA]]+Tabela1107[[#This Row],[TRIBUTOS S/ LUCRO]]+Tabela1107[[#This Row],[OUTROS]]+Tabela1107[[#This Row],[MG]]</f>
        <v>37.74</v>
      </c>
      <c r="BL93" s="97">
        <f>+Tabela1107[[#This Row],[PIS]]+Tabela1107[[#This Row],[COFINS]]+Tabela1107[[#This Row],[CONTRIB. FOLHA]]+Tabela1107[[#This Row],[TRIBUTOS S/ LUCRO]]+Tabela1107[[#This Row],[OUTROS]]+Tabela1107[[#This Row],[ES]]</f>
        <v>36.74</v>
      </c>
      <c r="BM93" s="97">
        <f>+Tabela1107[[#This Row],[PIS]]+Tabela1107[[#This Row],[COFINS]]+Tabela1107[[#This Row],[CONTRIB. FOLHA]]+Tabela1107[[#This Row],[TRIBUTOS S/ LUCRO]]+Tabela1107[[#This Row],[OUTROS]]+Tabela1107[[#This Row],[GO]]</f>
        <v>36.74</v>
      </c>
      <c r="BN93" s="97">
        <f>+Tabela1107[[#This Row],[PIS]]+Tabela1107[[#This Row],[COFINS]]+Tabela1107[[#This Row],[CONTRIB. FOLHA]]+Tabela1107[[#This Row],[TRIBUTOS S/ LUCRO]]+Tabela1107[[#This Row],[OUTROS]]+Tabela1107[[#This Row],[MT]]</f>
        <v>36.74</v>
      </c>
      <c r="BO93" s="97">
        <f>+Tabela1107[[#This Row],[PIS]]+Tabela1107[[#This Row],[COFINS]]+Tabela1107[[#This Row],[CONTRIB. FOLHA]]+Tabela1107[[#This Row],[TRIBUTOS S/ LUCRO]]+Tabela1107[[#This Row],[OUTROS]]+Tabela1107[[#This Row],[MS]]</f>
        <v>36.74</v>
      </c>
      <c r="BP93" s="97">
        <f>+Tabela1107[[#This Row],[PIS]]+Tabela1107[[#This Row],[COFINS]]+Tabela1107[[#This Row],[CONTRIB. FOLHA]]+Tabela1107[[#This Row],[TRIBUTOS S/ LUCRO]]+Tabela1107[[#This Row],[OUTROS]]+Tabela1107[[#This Row],[DF]]</f>
        <v>36.74</v>
      </c>
      <c r="BQ93" s="97">
        <f>+Tabela1107[[#This Row],[PIS]]+Tabela1107[[#This Row],[COFINS]]+Tabela1107[[#This Row],[CONTRIB. FOLHA]]+Tabela1107[[#This Row],[TRIBUTOS S/ LUCRO]]+Tabela1107[[#This Row],[OUTROS]]+Tabela1107[[#This Row],[BA]]</f>
        <v>36.74</v>
      </c>
      <c r="BR93" s="97">
        <f>+Tabela1107[[#This Row],[PIS]]+Tabela1107[[#This Row],[COFINS]]+Tabela1107[[#This Row],[CONTRIB. FOLHA]]+Tabela1107[[#This Row],[TRIBUTOS S/ LUCRO]]+Tabela1107[[#This Row],[OUTROS]]+Tabela1107[[#This Row],[BA]]</f>
        <v>36.74</v>
      </c>
      <c r="BS93" s="97">
        <f>+Tabela1107[[#This Row],[PIS]]+Tabela1107[[#This Row],[COFINS]]+Tabela1107[[#This Row],[CONTRIB. FOLHA]]+Tabela1107[[#This Row],[TRIBUTOS S/ LUCRO]]+Tabela1107[[#This Row],[OUTROS]]+Tabela1107[[#This Row],[PE]]</f>
        <v>36.74</v>
      </c>
      <c r="BT93" s="97">
        <f>+Tabela1107[[#This Row],[PIS]]+Tabela1107[[#This Row],[COFINS]]+Tabela1107[[#This Row],[CONTRIB. FOLHA]]+Tabela1107[[#This Row],[TRIBUTOS S/ LUCRO]]+Tabela1107[[#This Row],[OUTROS]]+Tabela1107[[#This Row],[PA]]</f>
        <v>36.74</v>
      </c>
      <c r="BU93" s="97">
        <f>+Tabela1107[[#This Row],[PIS]]+Tabela1107[[#This Row],[COFINS]]+Tabela1107[[#This Row],[CONTRIB. FOLHA]]+Tabela1107[[#This Row],[TRIBUTOS S/ LUCRO]]+Tabela1107[[#This Row],[OUTROS]]+Tabela1107[[#This Row],[AM]]</f>
        <v>36.74</v>
      </c>
      <c r="BV93" s="97">
        <f>AVERAGE(Tabela1107[[#This Row],[TOTAL SP]:[TOTAL AM]])</f>
        <v>36.677500000000002</v>
      </c>
      <c r="BW93" s="97"/>
      <c r="BX93" s="97"/>
    </row>
    <row r="94" spans="2:76" x14ac:dyDescent="0.25">
      <c r="B94" s="89">
        <v>9644</v>
      </c>
      <c r="C94" s="91" t="s">
        <v>13133</v>
      </c>
      <c r="D94" s="89"/>
      <c r="E94" s="89">
        <v>20140626</v>
      </c>
      <c r="F94" s="89" t="s">
        <v>21238</v>
      </c>
      <c r="G94" s="89" t="s">
        <v>21239</v>
      </c>
      <c r="H94" s="98" t="s">
        <v>21966</v>
      </c>
      <c r="I94" s="89" t="s">
        <v>21240</v>
      </c>
      <c r="J94" s="89" t="s">
        <v>238</v>
      </c>
      <c r="K94" s="89"/>
      <c r="L94" s="89" t="s">
        <v>2636</v>
      </c>
      <c r="M94" s="89" t="s">
        <v>4496</v>
      </c>
      <c r="N94" s="89" t="s">
        <v>4496</v>
      </c>
      <c r="O94" s="89" t="s">
        <v>4496</v>
      </c>
      <c r="P94" s="89" t="s">
        <v>4496</v>
      </c>
      <c r="Q94" s="89"/>
      <c r="R94" s="89" t="s">
        <v>239</v>
      </c>
      <c r="S94" s="89" t="s">
        <v>21680</v>
      </c>
      <c r="T94" s="89" t="s">
        <v>21681</v>
      </c>
      <c r="U94" s="89" t="str">
        <f>TRIM('Carga Tributária doenças Po (2'!$L94)</f>
        <v>TARTARATO DE VARENICLINA</v>
      </c>
      <c r="V94" s="89">
        <f>SUMIFS('Tabela Federal'!$E$4:$E$2069,'Tabela Federal'!$D$4:$D$2069,'Carga Tributária doenças Po (2'!$L94)</f>
        <v>1</v>
      </c>
      <c r="W94" s="89">
        <f>SUMIFS('Tabela Federal'!$E$4:$E$2069,'Tabela Federal'!$D$4:$D$2069,'Carga Tributária doenças Po (2'!$M94)</f>
        <v>0</v>
      </c>
      <c r="X94" s="89">
        <f>SUMIFS('Tabela Federal'!$E$4:$E$2069,'Tabela Federal'!$D$4:$D$2069,'Carga Tributária doenças Po (2'!$N94)</f>
        <v>0</v>
      </c>
      <c r="Y94" s="89">
        <f>SUMIFS('Tabela Federal'!$E$4:$E$2069,'Tabela Federal'!$D$4:$D$2069,'Carga Tributária doenças Po (2'!$O94)</f>
        <v>0</v>
      </c>
      <c r="Z94" s="92" t="str">
        <f>VLOOKUP('Carga Tributária doenças Po (2'!$AD94,'Carga Tributária doenças Po (2'!$CA$12:$CC$16,2,0)</f>
        <v>+</v>
      </c>
      <c r="AA94" s="89" t="s">
        <v>229</v>
      </c>
      <c r="AB94" s="89" t="s">
        <v>21890</v>
      </c>
      <c r="AC94" s="89" t="s">
        <v>21721</v>
      </c>
      <c r="AD94" s="93" t="s">
        <v>21722</v>
      </c>
      <c r="AE94" s="92" t="s">
        <v>2</v>
      </c>
      <c r="AF94" s="92" t="s">
        <v>23</v>
      </c>
      <c r="AG94" s="94">
        <v>15056</v>
      </c>
      <c r="AH94" s="95">
        <v>1869744</v>
      </c>
      <c r="AI94" s="95">
        <v>4269517.79</v>
      </c>
      <c r="AJ94" s="89" t="s">
        <v>240</v>
      </c>
      <c r="AK94" s="89">
        <f>IF('Carga Tributária doenças Po (2'!$Z94="+",0,SUMIFS(PISCOFINS!$I$3:$I$10518,PISCOFINS!$C$3:$C$10518,'Carga Tributária doenças Po (2'!$C94))</f>
        <v>0</v>
      </c>
      <c r="AL94" s="89">
        <f>IF('Carga Tributária doenças Po (2'!$Z94="+",0,SUMIFS(PISCOFINS!$H$3:$H$10518,PISCOFINS!$C$3:$C$10518,'Carga Tributária doenças Po (2'!$C94))</f>
        <v>0</v>
      </c>
      <c r="AM94" s="95">
        <v>3.27</v>
      </c>
      <c r="AN94" s="95">
        <v>3.12</v>
      </c>
      <c r="AO94" s="95">
        <v>1.35</v>
      </c>
      <c r="AP94" s="96">
        <v>18</v>
      </c>
      <c r="AQ94" s="96">
        <v>12</v>
      </c>
      <c r="AR94" s="96">
        <v>17</v>
      </c>
      <c r="AS94" s="97">
        <v>17</v>
      </c>
      <c r="AT94" s="97">
        <v>19</v>
      </c>
      <c r="AU94" s="97">
        <v>18</v>
      </c>
      <c r="AV94" s="97">
        <v>17</v>
      </c>
      <c r="AW94" s="97">
        <v>17</v>
      </c>
      <c r="AX94" s="97">
        <v>17</v>
      </c>
      <c r="AY94" s="97">
        <v>17</v>
      </c>
      <c r="AZ94" s="97">
        <v>17</v>
      </c>
      <c r="BA94" s="97">
        <v>17</v>
      </c>
      <c r="BB94" s="97">
        <v>17</v>
      </c>
      <c r="BC94" s="97">
        <v>17</v>
      </c>
      <c r="BD94" s="97">
        <v>17</v>
      </c>
      <c r="BE94" s="97">
        <v>17</v>
      </c>
      <c r="BF94" s="97">
        <f>+Tabela1107[[#This Row],[PIS]]+Tabela1107[[#This Row],[COFINS]]+Tabela1107[[#This Row],[CONTRIB. FOLHA]]+Tabela1107[[#This Row],[TRIBUTOS S/ LUCRO]]+Tabela1107[[#This Row],[OUTROS]]+Tabela1107[[#This Row],[SP]]</f>
        <v>25.740000000000002</v>
      </c>
      <c r="BG94" s="97">
        <f>+Tabela1107[[#This Row],[PIS]]+Tabela1107[[#This Row],[COFINS]]+Tabela1107[[#This Row],[CONTRIB. FOLHA]]+Tabela1107[[#This Row],[TRIBUTOS S/ LUCRO]]+Tabela1107[[#This Row],[OUTROS]]+Tabela1107[[#This Row],[PR]]</f>
        <v>19.740000000000002</v>
      </c>
      <c r="BH94" s="97">
        <f>+Tabela1107[[#This Row],[PIS]]+Tabela1107[[#This Row],[COFINS]]+Tabela1107[[#This Row],[CONTRIB. FOLHA]]+Tabela1107[[#This Row],[TRIBUTOS S/ LUCRO]]+Tabela1107[[#This Row],[OUTROS]]+Tabela1107[[#This Row],[SC]]</f>
        <v>24.740000000000002</v>
      </c>
      <c r="BI94" s="97">
        <f>+Tabela1107[[#This Row],[PIS]]+Tabela1107[[#This Row],[COFINS]]+Tabela1107[[#This Row],[CONTRIB. FOLHA]]+Tabela1107[[#This Row],[TRIBUTOS S/ LUCRO]]+Tabela1107[[#This Row],[OUTROS]]+Tabela1107[[#This Row],[RS]]</f>
        <v>24.740000000000002</v>
      </c>
      <c r="BJ94" s="97">
        <f>+Tabela1107[[#This Row],[PIS]]+Tabela1107[[#This Row],[COFINS]]+Tabela1107[[#This Row],[CONTRIB. FOLHA]]+Tabela1107[[#This Row],[TRIBUTOS S/ LUCRO]]+Tabela1107[[#This Row],[OUTROS]]+Tabela1107[[#This Row],[RJ]]</f>
        <v>26.740000000000002</v>
      </c>
      <c r="BK94" s="97">
        <f>+Tabela1107[[#This Row],[PIS]]+Tabela1107[[#This Row],[COFINS]]+Tabela1107[[#This Row],[CONTRIB. FOLHA]]+Tabela1107[[#This Row],[TRIBUTOS S/ LUCRO]]+Tabela1107[[#This Row],[OUTROS]]+Tabela1107[[#This Row],[MG]]</f>
        <v>25.740000000000002</v>
      </c>
      <c r="BL94" s="97">
        <f>+Tabela1107[[#This Row],[PIS]]+Tabela1107[[#This Row],[COFINS]]+Tabela1107[[#This Row],[CONTRIB. FOLHA]]+Tabela1107[[#This Row],[TRIBUTOS S/ LUCRO]]+Tabela1107[[#This Row],[OUTROS]]+Tabela1107[[#This Row],[ES]]</f>
        <v>24.740000000000002</v>
      </c>
      <c r="BM94" s="97">
        <f>+Tabela1107[[#This Row],[PIS]]+Tabela1107[[#This Row],[COFINS]]+Tabela1107[[#This Row],[CONTRIB. FOLHA]]+Tabela1107[[#This Row],[TRIBUTOS S/ LUCRO]]+Tabela1107[[#This Row],[OUTROS]]+Tabela1107[[#This Row],[GO]]</f>
        <v>24.740000000000002</v>
      </c>
      <c r="BN94" s="97">
        <f>+Tabela1107[[#This Row],[PIS]]+Tabela1107[[#This Row],[COFINS]]+Tabela1107[[#This Row],[CONTRIB. FOLHA]]+Tabela1107[[#This Row],[TRIBUTOS S/ LUCRO]]+Tabela1107[[#This Row],[OUTROS]]+Tabela1107[[#This Row],[MT]]</f>
        <v>24.740000000000002</v>
      </c>
      <c r="BO94" s="97">
        <f>+Tabela1107[[#This Row],[PIS]]+Tabela1107[[#This Row],[COFINS]]+Tabela1107[[#This Row],[CONTRIB. FOLHA]]+Tabela1107[[#This Row],[TRIBUTOS S/ LUCRO]]+Tabela1107[[#This Row],[OUTROS]]+Tabela1107[[#This Row],[MS]]</f>
        <v>24.740000000000002</v>
      </c>
      <c r="BP94" s="97">
        <f>+Tabela1107[[#This Row],[PIS]]+Tabela1107[[#This Row],[COFINS]]+Tabela1107[[#This Row],[CONTRIB. FOLHA]]+Tabela1107[[#This Row],[TRIBUTOS S/ LUCRO]]+Tabela1107[[#This Row],[OUTROS]]+Tabela1107[[#This Row],[DF]]</f>
        <v>24.740000000000002</v>
      </c>
      <c r="BQ94" s="97">
        <f>+Tabela1107[[#This Row],[PIS]]+Tabela1107[[#This Row],[COFINS]]+Tabela1107[[#This Row],[CONTRIB. FOLHA]]+Tabela1107[[#This Row],[TRIBUTOS S/ LUCRO]]+Tabela1107[[#This Row],[OUTROS]]+Tabela1107[[#This Row],[BA]]</f>
        <v>24.740000000000002</v>
      </c>
      <c r="BR94" s="97">
        <f>+Tabela1107[[#This Row],[PIS]]+Tabela1107[[#This Row],[COFINS]]+Tabela1107[[#This Row],[CONTRIB. FOLHA]]+Tabela1107[[#This Row],[TRIBUTOS S/ LUCRO]]+Tabela1107[[#This Row],[OUTROS]]+Tabela1107[[#This Row],[BA]]</f>
        <v>24.740000000000002</v>
      </c>
      <c r="BS94" s="97">
        <f>+Tabela1107[[#This Row],[PIS]]+Tabela1107[[#This Row],[COFINS]]+Tabela1107[[#This Row],[CONTRIB. FOLHA]]+Tabela1107[[#This Row],[TRIBUTOS S/ LUCRO]]+Tabela1107[[#This Row],[OUTROS]]+Tabela1107[[#This Row],[PE]]</f>
        <v>24.740000000000002</v>
      </c>
      <c r="BT94" s="97">
        <f>+Tabela1107[[#This Row],[PIS]]+Tabela1107[[#This Row],[COFINS]]+Tabela1107[[#This Row],[CONTRIB. FOLHA]]+Tabela1107[[#This Row],[TRIBUTOS S/ LUCRO]]+Tabela1107[[#This Row],[OUTROS]]+Tabela1107[[#This Row],[PA]]</f>
        <v>24.740000000000002</v>
      </c>
      <c r="BU94" s="97">
        <f>+Tabela1107[[#This Row],[PIS]]+Tabela1107[[#This Row],[COFINS]]+Tabela1107[[#This Row],[CONTRIB. FOLHA]]+Tabela1107[[#This Row],[TRIBUTOS S/ LUCRO]]+Tabela1107[[#This Row],[OUTROS]]+Tabela1107[[#This Row],[AM]]</f>
        <v>24.740000000000002</v>
      </c>
      <c r="BV94" s="97">
        <f>AVERAGE(Tabela1107[[#This Row],[TOTAL SP]:[TOTAL AM]])</f>
        <v>24.677500000000006</v>
      </c>
      <c r="BW94" s="97"/>
      <c r="BX94" s="97"/>
    </row>
    <row r="95" spans="2:76" x14ac:dyDescent="0.25">
      <c r="B95" s="89">
        <v>8686</v>
      </c>
      <c r="C95" s="91" t="s">
        <v>13183</v>
      </c>
      <c r="D95" s="89"/>
      <c r="E95" s="89">
        <v>20140626</v>
      </c>
      <c r="F95" s="89" t="s">
        <v>20951</v>
      </c>
      <c r="G95" s="89" t="s">
        <v>20952</v>
      </c>
      <c r="H95" s="89" t="s">
        <v>20953</v>
      </c>
      <c r="I95" s="89" t="s">
        <v>20954</v>
      </c>
      <c r="J95" s="89" t="s">
        <v>209</v>
      </c>
      <c r="K95" s="89"/>
      <c r="L95" s="89" t="s">
        <v>2637</v>
      </c>
      <c r="M95" s="89" t="s">
        <v>4496</v>
      </c>
      <c r="N95" s="89" t="s">
        <v>4496</v>
      </c>
      <c r="O95" s="89" t="s">
        <v>4496</v>
      </c>
      <c r="P95" s="89" t="s">
        <v>4496</v>
      </c>
      <c r="Q95" s="89"/>
      <c r="R95" s="89" t="s">
        <v>114</v>
      </c>
      <c r="S95" s="89" t="s">
        <v>21642</v>
      </c>
      <c r="T95" s="89" t="s">
        <v>21643</v>
      </c>
      <c r="U95" s="89" t="str">
        <f>TRIM('Carga Tributária doenças Po (2'!$L95)</f>
        <v>TADALAFILA</v>
      </c>
      <c r="V95" s="89">
        <f>SUMIFS('Tabela Federal'!$E$4:$E$2069,'Tabela Federal'!$D$4:$D$2069,'Carga Tributária doenças Po (2'!$L95)</f>
        <v>1</v>
      </c>
      <c r="W95" s="89">
        <f>SUMIFS('Tabela Federal'!$E$4:$E$2069,'Tabela Federal'!$D$4:$D$2069,'Carga Tributária doenças Po (2'!$M95)</f>
        <v>0</v>
      </c>
      <c r="X95" s="89">
        <f>SUMIFS('Tabela Federal'!$E$4:$E$2069,'Tabela Federal'!$D$4:$D$2069,'Carga Tributária doenças Po (2'!$N95)</f>
        <v>0</v>
      </c>
      <c r="Y95" s="89">
        <f>SUMIFS('Tabela Federal'!$E$4:$E$2069,'Tabela Federal'!$D$4:$D$2069,'Carga Tributária doenças Po (2'!$O95)</f>
        <v>0</v>
      </c>
      <c r="Z95" s="92" t="str">
        <f>VLOOKUP('Carga Tributária doenças Po (2'!$AD95,'Carga Tributária doenças Po (2'!$CA$12:$CC$16,2,0)</f>
        <v>+</v>
      </c>
      <c r="AA95" s="89" t="s">
        <v>205</v>
      </c>
      <c r="AB95" s="89" t="s">
        <v>21792</v>
      </c>
      <c r="AC95" s="89" t="s">
        <v>21721</v>
      </c>
      <c r="AD95" s="93" t="s">
        <v>21722</v>
      </c>
      <c r="AE95" s="92" t="s">
        <v>2</v>
      </c>
      <c r="AF95" s="92" t="s">
        <v>23</v>
      </c>
      <c r="AG95" s="94">
        <v>1451308</v>
      </c>
      <c r="AH95" s="95">
        <v>45005269</v>
      </c>
      <c r="AI95" s="95">
        <v>102741328.41</v>
      </c>
      <c r="AJ95" s="89" t="s">
        <v>210</v>
      </c>
      <c r="AK95" s="89">
        <f>IF('Carga Tributária doenças Po (2'!$Z95="+",0,SUMIFS(PISCOFINS!$I$3:$I$10518,PISCOFINS!$C$3:$C$10518,'Carga Tributária doenças Po (2'!$C95))</f>
        <v>0</v>
      </c>
      <c r="AL95" s="89">
        <f>IF('Carga Tributária doenças Po (2'!$Z95="+",0,SUMIFS(PISCOFINS!$H$3:$H$10518,PISCOFINS!$C$3:$C$10518,'Carga Tributária doenças Po (2'!$C95))</f>
        <v>0</v>
      </c>
      <c r="AM95" s="95">
        <v>3.27</v>
      </c>
      <c r="AN95" s="95">
        <v>3.12</v>
      </c>
      <c r="AO95" s="95">
        <v>1.35</v>
      </c>
      <c r="AP95" s="96">
        <v>18</v>
      </c>
      <c r="AQ95" s="96">
        <v>12</v>
      </c>
      <c r="AR95" s="96">
        <v>17</v>
      </c>
      <c r="AS95" s="97">
        <v>17</v>
      </c>
      <c r="AT95" s="97">
        <v>19</v>
      </c>
      <c r="AU95" s="97">
        <v>18</v>
      </c>
      <c r="AV95" s="97">
        <v>17</v>
      </c>
      <c r="AW95" s="97">
        <v>17</v>
      </c>
      <c r="AX95" s="97">
        <v>17</v>
      </c>
      <c r="AY95" s="97">
        <v>17</v>
      </c>
      <c r="AZ95" s="97">
        <v>17</v>
      </c>
      <c r="BA95" s="97">
        <v>17</v>
      </c>
      <c r="BB95" s="97">
        <v>17</v>
      </c>
      <c r="BC95" s="97">
        <v>17</v>
      </c>
      <c r="BD95" s="97">
        <v>17</v>
      </c>
      <c r="BE95" s="97">
        <v>17</v>
      </c>
      <c r="BF95" s="97">
        <f>+Tabela1107[[#This Row],[PIS]]+Tabela1107[[#This Row],[COFINS]]+Tabela1107[[#This Row],[CONTRIB. FOLHA]]+Tabela1107[[#This Row],[TRIBUTOS S/ LUCRO]]+Tabela1107[[#This Row],[OUTROS]]+Tabela1107[[#This Row],[SP]]</f>
        <v>25.740000000000002</v>
      </c>
      <c r="BG95" s="97">
        <f>+Tabela1107[[#This Row],[PIS]]+Tabela1107[[#This Row],[COFINS]]+Tabela1107[[#This Row],[CONTRIB. FOLHA]]+Tabela1107[[#This Row],[TRIBUTOS S/ LUCRO]]+Tabela1107[[#This Row],[OUTROS]]+Tabela1107[[#This Row],[PR]]</f>
        <v>19.740000000000002</v>
      </c>
      <c r="BH95" s="97">
        <f>+Tabela1107[[#This Row],[PIS]]+Tabela1107[[#This Row],[COFINS]]+Tabela1107[[#This Row],[CONTRIB. FOLHA]]+Tabela1107[[#This Row],[TRIBUTOS S/ LUCRO]]+Tabela1107[[#This Row],[OUTROS]]+Tabela1107[[#This Row],[SC]]</f>
        <v>24.740000000000002</v>
      </c>
      <c r="BI95" s="97">
        <f>+Tabela1107[[#This Row],[PIS]]+Tabela1107[[#This Row],[COFINS]]+Tabela1107[[#This Row],[CONTRIB. FOLHA]]+Tabela1107[[#This Row],[TRIBUTOS S/ LUCRO]]+Tabela1107[[#This Row],[OUTROS]]+Tabela1107[[#This Row],[RS]]</f>
        <v>24.740000000000002</v>
      </c>
      <c r="BJ95" s="97">
        <f>+Tabela1107[[#This Row],[PIS]]+Tabela1107[[#This Row],[COFINS]]+Tabela1107[[#This Row],[CONTRIB. FOLHA]]+Tabela1107[[#This Row],[TRIBUTOS S/ LUCRO]]+Tabela1107[[#This Row],[OUTROS]]+Tabela1107[[#This Row],[RJ]]</f>
        <v>26.740000000000002</v>
      </c>
      <c r="BK95" s="97">
        <f>+Tabela1107[[#This Row],[PIS]]+Tabela1107[[#This Row],[COFINS]]+Tabela1107[[#This Row],[CONTRIB. FOLHA]]+Tabela1107[[#This Row],[TRIBUTOS S/ LUCRO]]+Tabela1107[[#This Row],[OUTROS]]+Tabela1107[[#This Row],[MG]]</f>
        <v>25.740000000000002</v>
      </c>
      <c r="BL95" s="97">
        <f>+Tabela1107[[#This Row],[PIS]]+Tabela1107[[#This Row],[COFINS]]+Tabela1107[[#This Row],[CONTRIB. FOLHA]]+Tabela1107[[#This Row],[TRIBUTOS S/ LUCRO]]+Tabela1107[[#This Row],[OUTROS]]+Tabela1107[[#This Row],[ES]]</f>
        <v>24.740000000000002</v>
      </c>
      <c r="BM95" s="97">
        <f>+Tabela1107[[#This Row],[PIS]]+Tabela1107[[#This Row],[COFINS]]+Tabela1107[[#This Row],[CONTRIB. FOLHA]]+Tabela1107[[#This Row],[TRIBUTOS S/ LUCRO]]+Tabela1107[[#This Row],[OUTROS]]+Tabela1107[[#This Row],[GO]]</f>
        <v>24.740000000000002</v>
      </c>
      <c r="BN95" s="97">
        <f>+Tabela1107[[#This Row],[PIS]]+Tabela1107[[#This Row],[COFINS]]+Tabela1107[[#This Row],[CONTRIB. FOLHA]]+Tabela1107[[#This Row],[TRIBUTOS S/ LUCRO]]+Tabela1107[[#This Row],[OUTROS]]+Tabela1107[[#This Row],[MT]]</f>
        <v>24.740000000000002</v>
      </c>
      <c r="BO95" s="97">
        <f>+Tabela1107[[#This Row],[PIS]]+Tabela1107[[#This Row],[COFINS]]+Tabela1107[[#This Row],[CONTRIB. FOLHA]]+Tabela1107[[#This Row],[TRIBUTOS S/ LUCRO]]+Tabela1107[[#This Row],[OUTROS]]+Tabela1107[[#This Row],[MS]]</f>
        <v>24.740000000000002</v>
      </c>
      <c r="BP95" s="97">
        <f>+Tabela1107[[#This Row],[PIS]]+Tabela1107[[#This Row],[COFINS]]+Tabela1107[[#This Row],[CONTRIB. FOLHA]]+Tabela1107[[#This Row],[TRIBUTOS S/ LUCRO]]+Tabela1107[[#This Row],[OUTROS]]+Tabela1107[[#This Row],[DF]]</f>
        <v>24.740000000000002</v>
      </c>
      <c r="BQ95" s="97">
        <f>+Tabela1107[[#This Row],[PIS]]+Tabela1107[[#This Row],[COFINS]]+Tabela1107[[#This Row],[CONTRIB. FOLHA]]+Tabela1107[[#This Row],[TRIBUTOS S/ LUCRO]]+Tabela1107[[#This Row],[OUTROS]]+Tabela1107[[#This Row],[BA]]</f>
        <v>24.740000000000002</v>
      </c>
      <c r="BR95" s="97">
        <f>+Tabela1107[[#This Row],[PIS]]+Tabela1107[[#This Row],[COFINS]]+Tabela1107[[#This Row],[CONTRIB. FOLHA]]+Tabela1107[[#This Row],[TRIBUTOS S/ LUCRO]]+Tabela1107[[#This Row],[OUTROS]]+Tabela1107[[#This Row],[BA]]</f>
        <v>24.740000000000002</v>
      </c>
      <c r="BS95" s="97">
        <f>+Tabela1107[[#This Row],[PIS]]+Tabela1107[[#This Row],[COFINS]]+Tabela1107[[#This Row],[CONTRIB. FOLHA]]+Tabela1107[[#This Row],[TRIBUTOS S/ LUCRO]]+Tabela1107[[#This Row],[OUTROS]]+Tabela1107[[#This Row],[PE]]</f>
        <v>24.740000000000002</v>
      </c>
      <c r="BT95" s="97">
        <f>+Tabela1107[[#This Row],[PIS]]+Tabela1107[[#This Row],[COFINS]]+Tabela1107[[#This Row],[CONTRIB. FOLHA]]+Tabela1107[[#This Row],[TRIBUTOS S/ LUCRO]]+Tabela1107[[#This Row],[OUTROS]]+Tabela1107[[#This Row],[PA]]</f>
        <v>24.740000000000002</v>
      </c>
      <c r="BU95" s="97">
        <f>+Tabela1107[[#This Row],[PIS]]+Tabela1107[[#This Row],[COFINS]]+Tabela1107[[#This Row],[CONTRIB. FOLHA]]+Tabela1107[[#This Row],[TRIBUTOS S/ LUCRO]]+Tabela1107[[#This Row],[OUTROS]]+Tabela1107[[#This Row],[AM]]</f>
        <v>24.740000000000002</v>
      </c>
      <c r="BV95" s="97">
        <f>AVERAGE(Tabela1107[[#This Row],[TOTAL SP]:[TOTAL AM]])</f>
        <v>24.677500000000006</v>
      </c>
      <c r="BW95" s="97"/>
      <c r="BX95" s="97"/>
    </row>
    <row r="96" spans="2:76" x14ac:dyDescent="0.25">
      <c r="B96" s="89">
        <v>6054</v>
      </c>
      <c r="C96" s="106" t="s">
        <v>13107</v>
      </c>
      <c r="D96" s="89"/>
      <c r="E96" s="89">
        <v>20140626</v>
      </c>
      <c r="F96" s="89" t="s">
        <v>21534</v>
      </c>
      <c r="G96" s="89" t="s">
        <v>21535</v>
      </c>
      <c r="H96" s="89" t="s">
        <v>21536</v>
      </c>
      <c r="I96" s="89" t="s">
        <v>21537</v>
      </c>
      <c r="J96" s="89" t="s">
        <v>397</v>
      </c>
      <c r="K96" s="89" t="s">
        <v>2478</v>
      </c>
      <c r="L96" s="89" t="s">
        <v>2638</v>
      </c>
      <c r="M96" s="89" t="s">
        <v>4496</v>
      </c>
      <c r="N96" s="89" t="s">
        <v>4496</v>
      </c>
      <c r="O96" s="89" t="s">
        <v>4496</v>
      </c>
      <c r="P96" s="89" t="s">
        <v>4496</v>
      </c>
      <c r="Q96" s="89"/>
      <c r="R96" s="89" t="s">
        <v>8</v>
      </c>
      <c r="S96" s="89" t="s">
        <v>21704</v>
      </c>
      <c r="T96" s="89" t="s">
        <v>21705</v>
      </c>
      <c r="U96" s="89" t="str">
        <f>TRIM('Carga Tributária doenças Po (2'!$L96)</f>
        <v>LEVONORGESTREL</v>
      </c>
      <c r="V96" s="89">
        <f>SUMIFS('Tabela Federal'!$E$4:$E$2069,'Tabela Federal'!$D$4:$D$2069,'Carga Tributária doenças Po (2'!$L96)</f>
        <v>5</v>
      </c>
      <c r="W96" s="89">
        <f>SUMIFS('Tabela Federal'!$E$4:$E$2069,'Tabela Federal'!$D$4:$D$2069,'Carga Tributária doenças Po (2'!$M96)</f>
        <v>0</v>
      </c>
      <c r="X96" s="89">
        <f>SUMIFS('Tabela Federal'!$E$4:$E$2069,'Tabela Federal'!$D$4:$D$2069,'Carga Tributária doenças Po (2'!$N96)</f>
        <v>0</v>
      </c>
      <c r="Y96" s="89">
        <f>SUMIFS('Tabela Federal'!$E$4:$E$2069,'Tabela Federal'!$D$4:$D$2069,'Carga Tributária doenças Po (2'!$O96)</f>
        <v>0</v>
      </c>
      <c r="Z96" s="92" t="str">
        <f>VLOOKUP('Carga Tributária doenças Po (2'!$AD96,'Carga Tributária doenças Po (2'!$CA$12:$CC$16,2,0)</f>
        <v>+</v>
      </c>
      <c r="AA96" s="89" t="s">
        <v>398</v>
      </c>
      <c r="AB96" s="89" t="s">
        <v>21742</v>
      </c>
      <c r="AC96" s="89" t="s">
        <v>21721</v>
      </c>
      <c r="AD96" s="93" t="s">
        <v>19445</v>
      </c>
      <c r="AE96" s="92" t="s">
        <v>4</v>
      </c>
      <c r="AF96" s="92" t="s">
        <v>3</v>
      </c>
      <c r="AG96" s="94">
        <v>21049817</v>
      </c>
      <c r="AH96" s="95">
        <v>38761807</v>
      </c>
      <c r="AI96" s="95">
        <v>88530218.659999996</v>
      </c>
      <c r="AJ96" s="89" t="s">
        <v>413</v>
      </c>
      <c r="AK96" s="89">
        <f>IF('Carga Tributária doenças Po (2'!$Z96="+",0,SUMIFS(PISCOFINS!$I$3:$I$10518,PISCOFINS!$C$3:$C$10518,'Carga Tributária doenças Po (2'!$C96))</f>
        <v>0</v>
      </c>
      <c r="AL96" s="89">
        <f>IF('Carga Tributária doenças Po (2'!$Z96="+",0,SUMIFS(PISCOFINS!$H$3:$H$10518,PISCOFINS!$C$3:$C$10518,'Carga Tributária doenças Po (2'!$C96))</f>
        <v>0</v>
      </c>
      <c r="AM96" s="95">
        <v>3.27</v>
      </c>
      <c r="AN96" s="95">
        <v>3.12</v>
      </c>
      <c r="AO96" s="95">
        <v>1.35</v>
      </c>
      <c r="AP96" s="96">
        <v>18</v>
      </c>
      <c r="AQ96" s="96">
        <v>12</v>
      </c>
      <c r="AR96" s="96">
        <v>17</v>
      </c>
      <c r="AS96" s="97">
        <v>17</v>
      </c>
      <c r="AT96" s="97">
        <v>19</v>
      </c>
      <c r="AU96" s="97">
        <v>18</v>
      </c>
      <c r="AV96" s="97">
        <v>17</v>
      </c>
      <c r="AW96" s="97">
        <v>17</v>
      </c>
      <c r="AX96" s="97">
        <v>17</v>
      </c>
      <c r="AY96" s="97">
        <v>17</v>
      </c>
      <c r="AZ96" s="97">
        <v>17</v>
      </c>
      <c r="BA96" s="97">
        <v>17</v>
      </c>
      <c r="BB96" s="97">
        <v>17</v>
      </c>
      <c r="BC96" s="97">
        <v>17</v>
      </c>
      <c r="BD96" s="97">
        <v>17</v>
      </c>
      <c r="BE96" s="97">
        <v>17</v>
      </c>
      <c r="BF96" s="97">
        <f>+Tabela1107[[#This Row],[PIS]]+Tabela1107[[#This Row],[COFINS]]+Tabela1107[[#This Row],[CONTRIB. FOLHA]]+Tabela1107[[#This Row],[TRIBUTOS S/ LUCRO]]+Tabela1107[[#This Row],[OUTROS]]+Tabela1107[[#This Row],[SP]]</f>
        <v>25.740000000000002</v>
      </c>
      <c r="BG96" s="97">
        <f>+Tabela1107[[#This Row],[PIS]]+Tabela1107[[#This Row],[COFINS]]+Tabela1107[[#This Row],[CONTRIB. FOLHA]]+Tabela1107[[#This Row],[TRIBUTOS S/ LUCRO]]+Tabela1107[[#This Row],[OUTROS]]+Tabela1107[[#This Row],[PR]]</f>
        <v>19.740000000000002</v>
      </c>
      <c r="BH96" s="97">
        <f>+Tabela1107[[#This Row],[PIS]]+Tabela1107[[#This Row],[COFINS]]+Tabela1107[[#This Row],[CONTRIB. FOLHA]]+Tabela1107[[#This Row],[TRIBUTOS S/ LUCRO]]+Tabela1107[[#This Row],[OUTROS]]+Tabela1107[[#This Row],[SC]]</f>
        <v>24.740000000000002</v>
      </c>
      <c r="BI96" s="97">
        <f>+Tabela1107[[#This Row],[PIS]]+Tabela1107[[#This Row],[COFINS]]+Tabela1107[[#This Row],[CONTRIB. FOLHA]]+Tabela1107[[#This Row],[TRIBUTOS S/ LUCRO]]+Tabela1107[[#This Row],[OUTROS]]+Tabela1107[[#This Row],[RS]]</f>
        <v>24.740000000000002</v>
      </c>
      <c r="BJ96" s="97">
        <f>+Tabela1107[[#This Row],[PIS]]+Tabela1107[[#This Row],[COFINS]]+Tabela1107[[#This Row],[CONTRIB. FOLHA]]+Tabela1107[[#This Row],[TRIBUTOS S/ LUCRO]]+Tabela1107[[#This Row],[OUTROS]]+Tabela1107[[#This Row],[RJ]]</f>
        <v>26.740000000000002</v>
      </c>
      <c r="BK96" s="97">
        <f>+Tabela1107[[#This Row],[PIS]]+Tabela1107[[#This Row],[COFINS]]+Tabela1107[[#This Row],[CONTRIB. FOLHA]]+Tabela1107[[#This Row],[TRIBUTOS S/ LUCRO]]+Tabela1107[[#This Row],[OUTROS]]+Tabela1107[[#This Row],[MG]]</f>
        <v>25.740000000000002</v>
      </c>
      <c r="BL96" s="97">
        <f>+Tabela1107[[#This Row],[PIS]]+Tabela1107[[#This Row],[COFINS]]+Tabela1107[[#This Row],[CONTRIB. FOLHA]]+Tabela1107[[#This Row],[TRIBUTOS S/ LUCRO]]+Tabela1107[[#This Row],[OUTROS]]+Tabela1107[[#This Row],[ES]]</f>
        <v>24.740000000000002</v>
      </c>
      <c r="BM96" s="97">
        <f>+Tabela1107[[#This Row],[PIS]]+Tabela1107[[#This Row],[COFINS]]+Tabela1107[[#This Row],[CONTRIB. FOLHA]]+Tabela1107[[#This Row],[TRIBUTOS S/ LUCRO]]+Tabela1107[[#This Row],[OUTROS]]+Tabela1107[[#This Row],[GO]]</f>
        <v>24.740000000000002</v>
      </c>
      <c r="BN96" s="97">
        <f>+Tabela1107[[#This Row],[PIS]]+Tabela1107[[#This Row],[COFINS]]+Tabela1107[[#This Row],[CONTRIB. FOLHA]]+Tabela1107[[#This Row],[TRIBUTOS S/ LUCRO]]+Tabela1107[[#This Row],[OUTROS]]+Tabela1107[[#This Row],[MT]]</f>
        <v>24.740000000000002</v>
      </c>
      <c r="BO96" s="97">
        <f>+Tabela1107[[#This Row],[PIS]]+Tabela1107[[#This Row],[COFINS]]+Tabela1107[[#This Row],[CONTRIB. FOLHA]]+Tabela1107[[#This Row],[TRIBUTOS S/ LUCRO]]+Tabela1107[[#This Row],[OUTROS]]+Tabela1107[[#This Row],[MS]]</f>
        <v>24.740000000000002</v>
      </c>
      <c r="BP96" s="97">
        <f>+Tabela1107[[#This Row],[PIS]]+Tabela1107[[#This Row],[COFINS]]+Tabela1107[[#This Row],[CONTRIB. FOLHA]]+Tabela1107[[#This Row],[TRIBUTOS S/ LUCRO]]+Tabela1107[[#This Row],[OUTROS]]+Tabela1107[[#This Row],[DF]]</f>
        <v>24.740000000000002</v>
      </c>
      <c r="BQ96" s="97">
        <f>+Tabela1107[[#This Row],[PIS]]+Tabela1107[[#This Row],[COFINS]]+Tabela1107[[#This Row],[CONTRIB. FOLHA]]+Tabela1107[[#This Row],[TRIBUTOS S/ LUCRO]]+Tabela1107[[#This Row],[OUTROS]]+Tabela1107[[#This Row],[BA]]</f>
        <v>24.740000000000002</v>
      </c>
      <c r="BR96" s="97">
        <f>+Tabela1107[[#This Row],[PIS]]+Tabela1107[[#This Row],[COFINS]]+Tabela1107[[#This Row],[CONTRIB. FOLHA]]+Tabela1107[[#This Row],[TRIBUTOS S/ LUCRO]]+Tabela1107[[#This Row],[OUTROS]]+Tabela1107[[#This Row],[BA]]</f>
        <v>24.740000000000002</v>
      </c>
      <c r="BS96" s="97">
        <f>+Tabela1107[[#This Row],[PIS]]+Tabela1107[[#This Row],[COFINS]]+Tabela1107[[#This Row],[CONTRIB. FOLHA]]+Tabela1107[[#This Row],[TRIBUTOS S/ LUCRO]]+Tabela1107[[#This Row],[OUTROS]]+Tabela1107[[#This Row],[PE]]</f>
        <v>24.740000000000002</v>
      </c>
      <c r="BT96" s="97">
        <f>+Tabela1107[[#This Row],[PIS]]+Tabela1107[[#This Row],[COFINS]]+Tabela1107[[#This Row],[CONTRIB. FOLHA]]+Tabela1107[[#This Row],[TRIBUTOS S/ LUCRO]]+Tabela1107[[#This Row],[OUTROS]]+Tabela1107[[#This Row],[PA]]</f>
        <v>24.740000000000002</v>
      </c>
      <c r="BU96" s="97">
        <f>+Tabela1107[[#This Row],[PIS]]+Tabela1107[[#This Row],[COFINS]]+Tabela1107[[#This Row],[CONTRIB. FOLHA]]+Tabela1107[[#This Row],[TRIBUTOS S/ LUCRO]]+Tabela1107[[#This Row],[OUTROS]]+Tabela1107[[#This Row],[AM]]</f>
        <v>24.740000000000002</v>
      </c>
      <c r="BV96" s="97">
        <f>AVERAGE(Tabela1107[[#This Row],[TOTAL SP]:[TOTAL AM]])</f>
        <v>24.677500000000006</v>
      </c>
      <c r="BW96" s="97"/>
      <c r="BX96" s="97"/>
    </row>
    <row r="97" spans="2:76" x14ac:dyDescent="0.25">
      <c r="B97" s="90">
        <v>15588</v>
      </c>
      <c r="C97" s="91" t="s">
        <v>13101</v>
      </c>
      <c r="D97" s="89"/>
      <c r="E97" s="89">
        <v>20140626</v>
      </c>
      <c r="F97" s="89" t="s">
        <v>20475</v>
      </c>
      <c r="G97" s="89" t="s">
        <v>20476</v>
      </c>
      <c r="H97" s="89" t="s">
        <v>20477</v>
      </c>
      <c r="I97" s="89" t="s">
        <v>20478</v>
      </c>
      <c r="J97" s="89" t="s">
        <v>569</v>
      </c>
      <c r="K97" s="89"/>
      <c r="L97" s="89" t="s">
        <v>2638</v>
      </c>
      <c r="M97" s="89" t="s">
        <v>4496</v>
      </c>
      <c r="N97" s="89" t="s">
        <v>4496</v>
      </c>
      <c r="O97" s="89" t="s">
        <v>4496</v>
      </c>
      <c r="P97" s="89" t="s">
        <v>4496</v>
      </c>
      <c r="Q97" s="89"/>
      <c r="R97" s="89" t="s">
        <v>400</v>
      </c>
      <c r="S97" s="89" t="s">
        <v>21590</v>
      </c>
      <c r="T97" s="89" t="s">
        <v>21591</v>
      </c>
      <c r="U97" s="89" t="str">
        <f>TRIM('Carga Tributária doenças Po (2'!$L97)</f>
        <v>LEVONORGESTREL</v>
      </c>
      <c r="V97" s="89">
        <f>SUMIFS('Tabela Federal'!$E$4:$E$2069,'Tabela Federal'!$D$4:$D$2069,'Carga Tributária doenças Po (2'!$L97)</f>
        <v>5</v>
      </c>
      <c r="W97" s="89">
        <f>SUMIFS('Tabela Federal'!$E$4:$E$2069,'Tabela Federal'!$D$4:$D$2069,'Carga Tributária doenças Po (2'!$M97)</f>
        <v>0</v>
      </c>
      <c r="X97" s="89">
        <f>SUMIFS('Tabela Federal'!$E$4:$E$2069,'Tabela Federal'!$D$4:$D$2069,'Carga Tributária doenças Po (2'!$N97)</f>
        <v>0</v>
      </c>
      <c r="Y97" s="89">
        <f>SUMIFS('Tabela Federal'!$E$4:$E$2069,'Tabela Federal'!$D$4:$D$2069,'Carga Tributária doenças Po (2'!$O97)</f>
        <v>0</v>
      </c>
      <c r="Z97" s="92" t="str">
        <f>VLOOKUP('Carga Tributária doenças Po (2'!$AD97,'Carga Tributária doenças Po (2'!$CA$12:$CC$16,2,0)</f>
        <v>+</v>
      </c>
      <c r="AA97" s="89" t="s">
        <v>570</v>
      </c>
      <c r="AB97" s="89" t="s">
        <v>21899</v>
      </c>
      <c r="AC97" s="89" t="s">
        <v>21721</v>
      </c>
      <c r="AD97" s="93" t="s">
        <v>19445</v>
      </c>
      <c r="AE97" s="92" t="s">
        <v>4</v>
      </c>
      <c r="AF97" s="92" t="s">
        <v>23</v>
      </c>
      <c r="AG97" s="94">
        <v>783598</v>
      </c>
      <c r="AH97" s="95">
        <v>2117461</v>
      </c>
      <c r="AI97" s="95">
        <v>4834501.42</v>
      </c>
      <c r="AJ97" s="89" t="s">
        <v>579</v>
      </c>
      <c r="AK97" s="89">
        <f>IF('Carga Tributária doenças Po (2'!$Z97="+",0,SUMIFS(PISCOFINS!$I$3:$I$10518,PISCOFINS!$C$3:$C$10518,'Carga Tributária doenças Po (2'!$C97))</f>
        <v>0</v>
      </c>
      <c r="AL97" s="89">
        <f>IF('Carga Tributária doenças Po (2'!$Z97="+",0,SUMIFS(PISCOFINS!$H$3:$H$10518,PISCOFINS!$C$3:$C$10518,'Carga Tributária doenças Po (2'!$C97))</f>
        <v>0</v>
      </c>
      <c r="AM97" s="95">
        <v>3.27</v>
      </c>
      <c r="AN97" s="95">
        <v>3.12</v>
      </c>
      <c r="AO97" s="95">
        <v>1.35</v>
      </c>
      <c r="AP97" s="96">
        <v>18</v>
      </c>
      <c r="AQ97" s="96">
        <v>12</v>
      </c>
      <c r="AR97" s="96">
        <v>17</v>
      </c>
      <c r="AS97" s="97">
        <v>17</v>
      </c>
      <c r="AT97" s="97">
        <v>19</v>
      </c>
      <c r="AU97" s="97">
        <v>18</v>
      </c>
      <c r="AV97" s="97">
        <v>17</v>
      </c>
      <c r="AW97" s="97">
        <v>17</v>
      </c>
      <c r="AX97" s="97">
        <v>17</v>
      </c>
      <c r="AY97" s="97">
        <v>17</v>
      </c>
      <c r="AZ97" s="97">
        <v>17</v>
      </c>
      <c r="BA97" s="97">
        <v>17</v>
      </c>
      <c r="BB97" s="97">
        <v>17</v>
      </c>
      <c r="BC97" s="97">
        <v>17</v>
      </c>
      <c r="BD97" s="97">
        <v>17</v>
      </c>
      <c r="BE97" s="97">
        <v>17</v>
      </c>
      <c r="BF97" s="97">
        <f>+Tabela1107[[#This Row],[PIS]]+Tabela1107[[#This Row],[COFINS]]+Tabela1107[[#This Row],[CONTRIB. FOLHA]]+Tabela1107[[#This Row],[TRIBUTOS S/ LUCRO]]+Tabela1107[[#This Row],[OUTROS]]+Tabela1107[[#This Row],[SP]]</f>
        <v>25.740000000000002</v>
      </c>
      <c r="BG97" s="97">
        <f>+Tabela1107[[#This Row],[PIS]]+Tabela1107[[#This Row],[COFINS]]+Tabela1107[[#This Row],[CONTRIB. FOLHA]]+Tabela1107[[#This Row],[TRIBUTOS S/ LUCRO]]+Tabela1107[[#This Row],[OUTROS]]+Tabela1107[[#This Row],[PR]]</f>
        <v>19.740000000000002</v>
      </c>
      <c r="BH97" s="97">
        <f>+Tabela1107[[#This Row],[PIS]]+Tabela1107[[#This Row],[COFINS]]+Tabela1107[[#This Row],[CONTRIB. FOLHA]]+Tabela1107[[#This Row],[TRIBUTOS S/ LUCRO]]+Tabela1107[[#This Row],[OUTROS]]+Tabela1107[[#This Row],[SC]]</f>
        <v>24.740000000000002</v>
      </c>
      <c r="BI97" s="97">
        <f>+Tabela1107[[#This Row],[PIS]]+Tabela1107[[#This Row],[COFINS]]+Tabela1107[[#This Row],[CONTRIB. FOLHA]]+Tabela1107[[#This Row],[TRIBUTOS S/ LUCRO]]+Tabela1107[[#This Row],[OUTROS]]+Tabela1107[[#This Row],[RS]]</f>
        <v>24.740000000000002</v>
      </c>
      <c r="BJ97" s="97">
        <f>+Tabela1107[[#This Row],[PIS]]+Tabela1107[[#This Row],[COFINS]]+Tabela1107[[#This Row],[CONTRIB. FOLHA]]+Tabela1107[[#This Row],[TRIBUTOS S/ LUCRO]]+Tabela1107[[#This Row],[OUTROS]]+Tabela1107[[#This Row],[RJ]]</f>
        <v>26.740000000000002</v>
      </c>
      <c r="BK97" s="97">
        <f>+Tabela1107[[#This Row],[PIS]]+Tabela1107[[#This Row],[COFINS]]+Tabela1107[[#This Row],[CONTRIB. FOLHA]]+Tabela1107[[#This Row],[TRIBUTOS S/ LUCRO]]+Tabela1107[[#This Row],[OUTROS]]+Tabela1107[[#This Row],[MG]]</f>
        <v>25.740000000000002</v>
      </c>
      <c r="BL97" s="97">
        <f>+Tabela1107[[#This Row],[PIS]]+Tabela1107[[#This Row],[COFINS]]+Tabela1107[[#This Row],[CONTRIB. FOLHA]]+Tabela1107[[#This Row],[TRIBUTOS S/ LUCRO]]+Tabela1107[[#This Row],[OUTROS]]+Tabela1107[[#This Row],[ES]]</f>
        <v>24.740000000000002</v>
      </c>
      <c r="BM97" s="97">
        <f>+Tabela1107[[#This Row],[PIS]]+Tabela1107[[#This Row],[COFINS]]+Tabela1107[[#This Row],[CONTRIB. FOLHA]]+Tabela1107[[#This Row],[TRIBUTOS S/ LUCRO]]+Tabela1107[[#This Row],[OUTROS]]+Tabela1107[[#This Row],[GO]]</f>
        <v>24.740000000000002</v>
      </c>
      <c r="BN97" s="97">
        <f>+Tabela1107[[#This Row],[PIS]]+Tabela1107[[#This Row],[COFINS]]+Tabela1107[[#This Row],[CONTRIB. FOLHA]]+Tabela1107[[#This Row],[TRIBUTOS S/ LUCRO]]+Tabela1107[[#This Row],[OUTROS]]+Tabela1107[[#This Row],[MT]]</f>
        <v>24.740000000000002</v>
      </c>
      <c r="BO97" s="97">
        <f>+Tabela1107[[#This Row],[PIS]]+Tabela1107[[#This Row],[COFINS]]+Tabela1107[[#This Row],[CONTRIB. FOLHA]]+Tabela1107[[#This Row],[TRIBUTOS S/ LUCRO]]+Tabela1107[[#This Row],[OUTROS]]+Tabela1107[[#This Row],[MS]]</f>
        <v>24.740000000000002</v>
      </c>
      <c r="BP97" s="97">
        <f>+Tabela1107[[#This Row],[PIS]]+Tabela1107[[#This Row],[COFINS]]+Tabela1107[[#This Row],[CONTRIB. FOLHA]]+Tabela1107[[#This Row],[TRIBUTOS S/ LUCRO]]+Tabela1107[[#This Row],[OUTROS]]+Tabela1107[[#This Row],[DF]]</f>
        <v>24.740000000000002</v>
      </c>
      <c r="BQ97" s="97">
        <f>+Tabela1107[[#This Row],[PIS]]+Tabela1107[[#This Row],[COFINS]]+Tabela1107[[#This Row],[CONTRIB. FOLHA]]+Tabela1107[[#This Row],[TRIBUTOS S/ LUCRO]]+Tabela1107[[#This Row],[OUTROS]]+Tabela1107[[#This Row],[BA]]</f>
        <v>24.740000000000002</v>
      </c>
      <c r="BR97" s="97">
        <f>+Tabela1107[[#This Row],[PIS]]+Tabela1107[[#This Row],[COFINS]]+Tabela1107[[#This Row],[CONTRIB. FOLHA]]+Tabela1107[[#This Row],[TRIBUTOS S/ LUCRO]]+Tabela1107[[#This Row],[OUTROS]]+Tabela1107[[#This Row],[BA]]</f>
        <v>24.740000000000002</v>
      </c>
      <c r="BS97" s="97">
        <f>+Tabela1107[[#This Row],[PIS]]+Tabela1107[[#This Row],[COFINS]]+Tabela1107[[#This Row],[CONTRIB. FOLHA]]+Tabela1107[[#This Row],[TRIBUTOS S/ LUCRO]]+Tabela1107[[#This Row],[OUTROS]]+Tabela1107[[#This Row],[PE]]</f>
        <v>24.740000000000002</v>
      </c>
      <c r="BT97" s="97">
        <f>+Tabela1107[[#This Row],[PIS]]+Tabela1107[[#This Row],[COFINS]]+Tabela1107[[#This Row],[CONTRIB. FOLHA]]+Tabela1107[[#This Row],[TRIBUTOS S/ LUCRO]]+Tabela1107[[#This Row],[OUTROS]]+Tabela1107[[#This Row],[PA]]</f>
        <v>24.740000000000002</v>
      </c>
      <c r="BU97" s="97">
        <f>+Tabela1107[[#This Row],[PIS]]+Tabela1107[[#This Row],[COFINS]]+Tabela1107[[#This Row],[CONTRIB. FOLHA]]+Tabela1107[[#This Row],[TRIBUTOS S/ LUCRO]]+Tabela1107[[#This Row],[OUTROS]]+Tabela1107[[#This Row],[AM]]</f>
        <v>24.740000000000002</v>
      </c>
      <c r="BV97" s="97">
        <f>AVERAGE(Tabela1107[[#This Row],[TOTAL SP]:[TOTAL AM]])</f>
        <v>24.677500000000006</v>
      </c>
      <c r="BW97" s="97"/>
      <c r="BX97" s="97"/>
    </row>
    <row r="98" spans="2:76" x14ac:dyDescent="0.25">
      <c r="B98" s="89">
        <v>1472</v>
      </c>
      <c r="C98" s="91" t="s">
        <v>13001</v>
      </c>
      <c r="D98" s="89"/>
      <c r="E98" s="89">
        <v>20140626</v>
      </c>
      <c r="F98" s="89" t="s">
        <v>20559</v>
      </c>
      <c r="G98" s="89" t="s">
        <v>20560</v>
      </c>
      <c r="H98" s="89" t="s">
        <v>20561</v>
      </c>
      <c r="I98" s="89" t="s">
        <v>20562</v>
      </c>
      <c r="J98" s="89" t="s">
        <v>212</v>
      </c>
      <c r="K98" s="89"/>
      <c r="L98" s="89" t="s">
        <v>2639</v>
      </c>
      <c r="M98" s="89" t="s">
        <v>3168</v>
      </c>
      <c r="N98" s="89" t="s">
        <v>2632</v>
      </c>
      <c r="O98" s="89" t="s">
        <v>4496</v>
      </c>
      <c r="P98" s="89" t="s">
        <v>4496</v>
      </c>
      <c r="Q98" s="89"/>
      <c r="R98" s="89" t="s">
        <v>213</v>
      </c>
      <c r="S98" s="89" t="s">
        <v>21606</v>
      </c>
      <c r="T98" s="89" t="s">
        <v>21607</v>
      </c>
      <c r="U98" s="89" t="str">
        <f>TRIM('Carga Tributária doenças Po (2'!$L98)</f>
        <v>CLORFENAMINA</v>
      </c>
      <c r="V98" s="89">
        <f>SUMIFS('Tabela Federal'!$E$4:$E$2069,'Tabela Federal'!$D$4:$D$2069,'Carga Tributária doenças Po (2'!$L98)</f>
        <v>0</v>
      </c>
      <c r="W98" s="89">
        <f>SUMIFS('Tabela Federal'!$E$4:$E$2069,'Tabela Federal'!$D$4:$D$2069,'Carga Tributária doenças Po (2'!$M98)</f>
        <v>0</v>
      </c>
      <c r="X98" s="89">
        <f>SUMIFS('Tabela Federal'!$E$4:$E$2069,'Tabela Federal'!$D$4:$D$2069,'Carga Tributária doenças Po (2'!$N98)</f>
        <v>0</v>
      </c>
      <c r="Y98" s="89">
        <f>SUMIFS('Tabela Federal'!$E$4:$E$2069,'Tabela Federal'!$D$4:$D$2069,'Carga Tributária doenças Po (2'!$O98)</f>
        <v>0</v>
      </c>
      <c r="Z98" s="92" t="str">
        <f>VLOOKUP('Carga Tributária doenças Po (2'!$AD98,'Carga Tributária doenças Po (2'!$CA$12:$CC$16,2,0)</f>
        <v>-</v>
      </c>
      <c r="AA98" s="89" t="s">
        <v>0</v>
      </c>
      <c r="AB98" s="89" t="s">
        <v>21830</v>
      </c>
      <c r="AC98" s="89" t="s">
        <v>21740</v>
      </c>
      <c r="AD98" s="93" t="s">
        <v>19523</v>
      </c>
      <c r="AE98" s="92" t="s">
        <v>4</v>
      </c>
      <c r="AF98" s="92" t="s">
        <v>3</v>
      </c>
      <c r="AG98" s="94">
        <v>4573238</v>
      </c>
      <c r="AH98" s="95">
        <v>24738401</v>
      </c>
      <c r="AI98" s="95">
        <v>56159381.159999996</v>
      </c>
      <c r="AJ98" s="89" t="s">
        <v>227</v>
      </c>
      <c r="AK98" s="89">
        <f>IF('Carga Tributária doenças Po (2'!$Z98="+",0,SUMIFS(PISCOFINS!$I$3:$I$10518,PISCOFINS!$C$3:$C$10518,'Carga Tributária doenças Po (2'!$C98))</f>
        <v>2.1</v>
      </c>
      <c r="AL98" s="89">
        <f>IF('Carga Tributária doenças Po (2'!$Z98="+",0,SUMIFS(PISCOFINS!$H$3:$H$10518,PISCOFINS!$C$3:$C$10518,'Carga Tributária doenças Po (2'!$C98))</f>
        <v>9.9</v>
      </c>
      <c r="AM98" s="95">
        <v>3.27</v>
      </c>
      <c r="AN98" s="95">
        <v>3.12</v>
      </c>
      <c r="AO98" s="95">
        <v>1.35</v>
      </c>
      <c r="AP98" s="96">
        <v>18</v>
      </c>
      <c r="AQ98" s="96">
        <v>12</v>
      </c>
      <c r="AR98" s="96">
        <v>17</v>
      </c>
      <c r="AS98" s="97">
        <v>17</v>
      </c>
      <c r="AT98" s="97">
        <v>19</v>
      </c>
      <c r="AU98" s="97">
        <v>18</v>
      </c>
      <c r="AV98" s="97">
        <v>17</v>
      </c>
      <c r="AW98" s="97">
        <v>17</v>
      </c>
      <c r="AX98" s="97">
        <v>17</v>
      </c>
      <c r="AY98" s="97">
        <v>17</v>
      </c>
      <c r="AZ98" s="97">
        <v>17</v>
      </c>
      <c r="BA98" s="97">
        <v>17</v>
      </c>
      <c r="BB98" s="97">
        <v>17</v>
      </c>
      <c r="BC98" s="97">
        <v>17</v>
      </c>
      <c r="BD98" s="97">
        <v>17</v>
      </c>
      <c r="BE98" s="97">
        <v>17</v>
      </c>
      <c r="BF98" s="97">
        <f>+Tabela1107[[#This Row],[PIS]]+Tabela1107[[#This Row],[COFINS]]+Tabela1107[[#This Row],[CONTRIB. FOLHA]]+Tabela1107[[#This Row],[TRIBUTOS S/ LUCRO]]+Tabela1107[[#This Row],[OUTROS]]+Tabela1107[[#This Row],[SP]]</f>
        <v>37.74</v>
      </c>
      <c r="BG98" s="97">
        <f>+Tabela1107[[#This Row],[PIS]]+Tabela1107[[#This Row],[COFINS]]+Tabela1107[[#This Row],[CONTRIB. FOLHA]]+Tabela1107[[#This Row],[TRIBUTOS S/ LUCRO]]+Tabela1107[[#This Row],[OUTROS]]+Tabela1107[[#This Row],[PR]]</f>
        <v>31.740000000000002</v>
      </c>
      <c r="BH98" s="97">
        <f>+Tabela1107[[#This Row],[PIS]]+Tabela1107[[#This Row],[COFINS]]+Tabela1107[[#This Row],[CONTRIB. FOLHA]]+Tabela1107[[#This Row],[TRIBUTOS S/ LUCRO]]+Tabela1107[[#This Row],[OUTROS]]+Tabela1107[[#This Row],[SC]]</f>
        <v>36.74</v>
      </c>
      <c r="BI98" s="97">
        <f>+Tabela1107[[#This Row],[PIS]]+Tabela1107[[#This Row],[COFINS]]+Tabela1107[[#This Row],[CONTRIB. FOLHA]]+Tabela1107[[#This Row],[TRIBUTOS S/ LUCRO]]+Tabela1107[[#This Row],[OUTROS]]+Tabela1107[[#This Row],[RS]]</f>
        <v>36.74</v>
      </c>
      <c r="BJ98" s="97">
        <f>+Tabela1107[[#This Row],[PIS]]+Tabela1107[[#This Row],[COFINS]]+Tabela1107[[#This Row],[CONTRIB. FOLHA]]+Tabela1107[[#This Row],[TRIBUTOS S/ LUCRO]]+Tabela1107[[#This Row],[OUTROS]]+Tabela1107[[#This Row],[RJ]]</f>
        <v>38.74</v>
      </c>
      <c r="BK98" s="97">
        <f>+Tabela1107[[#This Row],[PIS]]+Tabela1107[[#This Row],[COFINS]]+Tabela1107[[#This Row],[CONTRIB. FOLHA]]+Tabela1107[[#This Row],[TRIBUTOS S/ LUCRO]]+Tabela1107[[#This Row],[OUTROS]]+Tabela1107[[#This Row],[MG]]</f>
        <v>37.74</v>
      </c>
      <c r="BL98" s="97">
        <f>+Tabela1107[[#This Row],[PIS]]+Tabela1107[[#This Row],[COFINS]]+Tabela1107[[#This Row],[CONTRIB. FOLHA]]+Tabela1107[[#This Row],[TRIBUTOS S/ LUCRO]]+Tabela1107[[#This Row],[OUTROS]]+Tabela1107[[#This Row],[ES]]</f>
        <v>36.74</v>
      </c>
      <c r="BM98" s="97">
        <f>+Tabela1107[[#This Row],[PIS]]+Tabela1107[[#This Row],[COFINS]]+Tabela1107[[#This Row],[CONTRIB. FOLHA]]+Tabela1107[[#This Row],[TRIBUTOS S/ LUCRO]]+Tabela1107[[#This Row],[OUTROS]]+Tabela1107[[#This Row],[GO]]</f>
        <v>36.74</v>
      </c>
      <c r="BN98" s="97">
        <f>+Tabela1107[[#This Row],[PIS]]+Tabela1107[[#This Row],[COFINS]]+Tabela1107[[#This Row],[CONTRIB. FOLHA]]+Tabela1107[[#This Row],[TRIBUTOS S/ LUCRO]]+Tabela1107[[#This Row],[OUTROS]]+Tabela1107[[#This Row],[MT]]</f>
        <v>36.74</v>
      </c>
      <c r="BO98" s="97">
        <f>+Tabela1107[[#This Row],[PIS]]+Tabela1107[[#This Row],[COFINS]]+Tabela1107[[#This Row],[CONTRIB. FOLHA]]+Tabela1107[[#This Row],[TRIBUTOS S/ LUCRO]]+Tabela1107[[#This Row],[OUTROS]]+Tabela1107[[#This Row],[MS]]</f>
        <v>36.74</v>
      </c>
      <c r="BP98" s="97">
        <f>+Tabela1107[[#This Row],[PIS]]+Tabela1107[[#This Row],[COFINS]]+Tabela1107[[#This Row],[CONTRIB. FOLHA]]+Tabela1107[[#This Row],[TRIBUTOS S/ LUCRO]]+Tabela1107[[#This Row],[OUTROS]]+Tabela1107[[#This Row],[DF]]</f>
        <v>36.74</v>
      </c>
      <c r="BQ98" s="97">
        <f>+Tabela1107[[#This Row],[PIS]]+Tabela1107[[#This Row],[COFINS]]+Tabela1107[[#This Row],[CONTRIB. FOLHA]]+Tabela1107[[#This Row],[TRIBUTOS S/ LUCRO]]+Tabela1107[[#This Row],[OUTROS]]+Tabela1107[[#This Row],[BA]]</f>
        <v>36.74</v>
      </c>
      <c r="BR98" s="97">
        <f>+Tabela1107[[#This Row],[PIS]]+Tabela1107[[#This Row],[COFINS]]+Tabela1107[[#This Row],[CONTRIB. FOLHA]]+Tabela1107[[#This Row],[TRIBUTOS S/ LUCRO]]+Tabela1107[[#This Row],[OUTROS]]+Tabela1107[[#This Row],[BA]]</f>
        <v>36.74</v>
      </c>
      <c r="BS98" s="97">
        <f>+Tabela1107[[#This Row],[PIS]]+Tabela1107[[#This Row],[COFINS]]+Tabela1107[[#This Row],[CONTRIB. FOLHA]]+Tabela1107[[#This Row],[TRIBUTOS S/ LUCRO]]+Tabela1107[[#This Row],[OUTROS]]+Tabela1107[[#This Row],[PE]]</f>
        <v>36.74</v>
      </c>
      <c r="BT98" s="97">
        <f>+Tabela1107[[#This Row],[PIS]]+Tabela1107[[#This Row],[COFINS]]+Tabela1107[[#This Row],[CONTRIB. FOLHA]]+Tabela1107[[#This Row],[TRIBUTOS S/ LUCRO]]+Tabela1107[[#This Row],[OUTROS]]+Tabela1107[[#This Row],[PA]]</f>
        <v>36.74</v>
      </c>
      <c r="BU98" s="97">
        <f>+Tabela1107[[#This Row],[PIS]]+Tabela1107[[#This Row],[COFINS]]+Tabela1107[[#This Row],[CONTRIB. FOLHA]]+Tabela1107[[#This Row],[TRIBUTOS S/ LUCRO]]+Tabela1107[[#This Row],[OUTROS]]+Tabela1107[[#This Row],[AM]]</f>
        <v>36.74</v>
      </c>
      <c r="BV98" s="97">
        <f>AVERAGE(Tabela1107[[#This Row],[TOTAL SP]:[TOTAL AM]])</f>
        <v>36.677500000000002</v>
      </c>
      <c r="BW98" s="97"/>
      <c r="BX98" s="97"/>
    </row>
    <row r="99" spans="2:76" x14ac:dyDescent="0.25">
      <c r="B99" s="89">
        <v>21393</v>
      </c>
      <c r="C99" s="91" t="s">
        <v>13183</v>
      </c>
      <c r="D99" s="89"/>
      <c r="E99" s="89">
        <v>20140626</v>
      </c>
      <c r="F99" s="89" t="s">
        <v>20563</v>
      </c>
      <c r="G99" s="89" t="s">
        <v>20564</v>
      </c>
      <c r="H99" s="89" t="s">
        <v>20565</v>
      </c>
      <c r="I99" s="89" t="s">
        <v>20566</v>
      </c>
      <c r="J99" s="89" t="s">
        <v>384</v>
      </c>
      <c r="K99" s="89"/>
      <c r="L99" s="89" t="s">
        <v>2640</v>
      </c>
      <c r="M99" s="89" t="s">
        <v>4496</v>
      </c>
      <c r="N99" s="89" t="s">
        <v>4496</v>
      </c>
      <c r="O99" s="89" t="s">
        <v>4496</v>
      </c>
      <c r="P99" s="89" t="s">
        <v>4496</v>
      </c>
      <c r="Q99" s="89"/>
      <c r="R99" s="89" t="s">
        <v>213</v>
      </c>
      <c r="S99" s="89" t="s">
        <v>21606</v>
      </c>
      <c r="T99" s="89" t="s">
        <v>21607</v>
      </c>
      <c r="U99" s="89" t="str">
        <f>TRIM('Carga Tributária doenças Po (2'!$L99)</f>
        <v>NIMESULIDA</v>
      </c>
      <c r="V99" s="89">
        <f>SUMIFS('Tabela Federal'!$E$4:$E$2069,'Tabela Federal'!$D$4:$D$2069,'Carga Tributária doenças Po (2'!$L99)</f>
        <v>1</v>
      </c>
      <c r="W99" s="89">
        <f>SUMIFS('Tabela Federal'!$E$4:$E$2069,'Tabela Federal'!$D$4:$D$2069,'Carga Tributária doenças Po (2'!$M99)</f>
        <v>0</v>
      </c>
      <c r="X99" s="89">
        <f>SUMIFS('Tabela Federal'!$E$4:$E$2069,'Tabela Federal'!$D$4:$D$2069,'Carga Tributária doenças Po (2'!$N99)</f>
        <v>0</v>
      </c>
      <c r="Y99" s="89">
        <f>SUMIFS('Tabela Federal'!$E$4:$E$2069,'Tabela Federal'!$D$4:$D$2069,'Carga Tributária doenças Po (2'!$O99)</f>
        <v>0</v>
      </c>
      <c r="Z99" s="92" t="str">
        <f>VLOOKUP('Carga Tributária doenças Po (2'!$AD99,'Carga Tributária doenças Po (2'!$CA$12:$CC$16,2,0)</f>
        <v>+</v>
      </c>
      <c r="AA99" s="89" t="s">
        <v>252</v>
      </c>
      <c r="AB99" s="89" t="s">
        <v>21755</v>
      </c>
      <c r="AC99" s="89" t="s">
        <v>21721</v>
      </c>
      <c r="AD99" s="93" t="s">
        <v>21722</v>
      </c>
      <c r="AE99" s="92" t="s">
        <v>2</v>
      </c>
      <c r="AF99" s="92" t="s">
        <v>3</v>
      </c>
      <c r="AG99" s="94">
        <v>8263909</v>
      </c>
      <c r="AH99" s="95">
        <v>34955796</v>
      </c>
      <c r="AI99" s="95">
        <v>79685524.129999995</v>
      </c>
      <c r="AJ99" s="89" t="s">
        <v>595</v>
      </c>
      <c r="AK99" s="89">
        <f>IF('Carga Tributária doenças Po (2'!$Z99="+",0,SUMIFS(PISCOFINS!$I$3:$I$10518,PISCOFINS!$C$3:$C$10518,'Carga Tributária doenças Po (2'!$C99))</f>
        <v>0</v>
      </c>
      <c r="AL99" s="89">
        <f>IF('Carga Tributária doenças Po (2'!$Z99="+",0,SUMIFS(PISCOFINS!$H$3:$H$10518,PISCOFINS!$C$3:$C$10518,'Carga Tributária doenças Po (2'!$C99))</f>
        <v>0</v>
      </c>
      <c r="AM99" s="95">
        <v>3.27</v>
      </c>
      <c r="AN99" s="95">
        <v>3.12</v>
      </c>
      <c r="AO99" s="95">
        <v>1.35</v>
      </c>
      <c r="AP99" s="96">
        <v>18</v>
      </c>
      <c r="AQ99" s="96">
        <v>12</v>
      </c>
      <c r="AR99" s="96">
        <v>17</v>
      </c>
      <c r="AS99" s="97">
        <v>17</v>
      </c>
      <c r="AT99" s="97">
        <v>19</v>
      </c>
      <c r="AU99" s="97">
        <v>18</v>
      </c>
      <c r="AV99" s="97">
        <v>17</v>
      </c>
      <c r="AW99" s="97">
        <v>17</v>
      </c>
      <c r="AX99" s="97">
        <v>17</v>
      </c>
      <c r="AY99" s="97">
        <v>17</v>
      </c>
      <c r="AZ99" s="97">
        <v>17</v>
      </c>
      <c r="BA99" s="97">
        <v>17</v>
      </c>
      <c r="BB99" s="97">
        <v>17</v>
      </c>
      <c r="BC99" s="97">
        <v>17</v>
      </c>
      <c r="BD99" s="97">
        <v>17</v>
      </c>
      <c r="BE99" s="97">
        <v>17</v>
      </c>
      <c r="BF99" s="97">
        <f>+Tabela1107[[#This Row],[PIS]]+Tabela1107[[#This Row],[COFINS]]+Tabela1107[[#This Row],[CONTRIB. FOLHA]]+Tabela1107[[#This Row],[TRIBUTOS S/ LUCRO]]+Tabela1107[[#This Row],[OUTROS]]+Tabela1107[[#This Row],[SP]]</f>
        <v>25.740000000000002</v>
      </c>
      <c r="BG99" s="97">
        <f>+Tabela1107[[#This Row],[PIS]]+Tabela1107[[#This Row],[COFINS]]+Tabela1107[[#This Row],[CONTRIB. FOLHA]]+Tabela1107[[#This Row],[TRIBUTOS S/ LUCRO]]+Tabela1107[[#This Row],[OUTROS]]+Tabela1107[[#This Row],[PR]]</f>
        <v>19.740000000000002</v>
      </c>
      <c r="BH99" s="97">
        <f>+Tabela1107[[#This Row],[PIS]]+Tabela1107[[#This Row],[COFINS]]+Tabela1107[[#This Row],[CONTRIB. FOLHA]]+Tabela1107[[#This Row],[TRIBUTOS S/ LUCRO]]+Tabela1107[[#This Row],[OUTROS]]+Tabela1107[[#This Row],[SC]]</f>
        <v>24.740000000000002</v>
      </c>
      <c r="BI99" s="97">
        <f>+Tabela1107[[#This Row],[PIS]]+Tabela1107[[#This Row],[COFINS]]+Tabela1107[[#This Row],[CONTRIB. FOLHA]]+Tabela1107[[#This Row],[TRIBUTOS S/ LUCRO]]+Tabela1107[[#This Row],[OUTROS]]+Tabela1107[[#This Row],[RS]]</f>
        <v>24.740000000000002</v>
      </c>
      <c r="BJ99" s="97">
        <f>+Tabela1107[[#This Row],[PIS]]+Tabela1107[[#This Row],[COFINS]]+Tabela1107[[#This Row],[CONTRIB. FOLHA]]+Tabela1107[[#This Row],[TRIBUTOS S/ LUCRO]]+Tabela1107[[#This Row],[OUTROS]]+Tabela1107[[#This Row],[RJ]]</f>
        <v>26.740000000000002</v>
      </c>
      <c r="BK99" s="97">
        <f>+Tabela1107[[#This Row],[PIS]]+Tabela1107[[#This Row],[COFINS]]+Tabela1107[[#This Row],[CONTRIB. FOLHA]]+Tabela1107[[#This Row],[TRIBUTOS S/ LUCRO]]+Tabela1107[[#This Row],[OUTROS]]+Tabela1107[[#This Row],[MG]]</f>
        <v>25.740000000000002</v>
      </c>
      <c r="BL99" s="97">
        <f>+Tabela1107[[#This Row],[PIS]]+Tabela1107[[#This Row],[COFINS]]+Tabela1107[[#This Row],[CONTRIB. FOLHA]]+Tabela1107[[#This Row],[TRIBUTOS S/ LUCRO]]+Tabela1107[[#This Row],[OUTROS]]+Tabela1107[[#This Row],[ES]]</f>
        <v>24.740000000000002</v>
      </c>
      <c r="BM99" s="97">
        <f>+Tabela1107[[#This Row],[PIS]]+Tabela1107[[#This Row],[COFINS]]+Tabela1107[[#This Row],[CONTRIB. FOLHA]]+Tabela1107[[#This Row],[TRIBUTOS S/ LUCRO]]+Tabela1107[[#This Row],[OUTROS]]+Tabela1107[[#This Row],[GO]]</f>
        <v>24.740000000000002</v>
      </c>
      <c r="BN99" s="97">
        <f>+Tabela1107[[#This Row],[PIS]]+Tabela1107[[#This Row],[COFINS]]+Tabela1107[[#This Row],[CONTRIB. FOLHA]]+Tabela1107[[#This Row],[TRIBUTOS S/ LUCRO]]+Tabela1107[[#This Row],[OUTROS]]+Tabela1107[[#This Row],[MT]]</f>
        <v>24.740000000000002</v>
      </c>
      <c r="BO99" s="97">
        <f>+Tabela1107[[#This Row],[PIS]]+Tabela1107[[#This Row],[COFINS]]+Tabela1107[[#This Row],[CONTRIB. FOLHA]]+Tabela1107[[#This Row],[TRIBUTOS S/ LUCRO]]+Tabela1107[[#This Row],[OUTROS]]+Tabela1107[[#This Row],[MS]]</f>
        <v>24.740000000000002</v>
      </c>
      <c r="BP99" s="97">
        <f>+Tabela1107[[#This Row],[PIS]]+Tabela1107[[#This Row],[COFINS]]+Tabela1107[[#This Row],[CONTRIB. FOLHA]]+Tabela1107[[#This Row],[TRIBUTOS S/ LUCRO]]+Tabela1107[[#This Row],[OUTROS]]+Tabela1107[[#This Row],[DF]]</f>
        <v>24.740000000000002</v>
      </c>
      <c r="BQ99" s="97">
        <f>+Tabela1107[[#This Row],[PIS]]+Tabela1107[[#This Row],[COFINS]]+Tabela1107[[#This Row],[CONTRIB. FOLHA]]+Tabela1107[[#This Row],[TRIBUTOS S/ LUCRO]]+Tabela1107[[#This Row],[OUTROS]]+Tabela1107[[#This Row],[BA]]</f>
        <v>24.740000000000002</v>
      </c>
      <c r="BR99" s="97">
        <f>+Tabela1107[[#This Row],[PIS]]+Tabela1107[[#This Row],[COFINS]]+Tabela1107[[#This Row],[CONTRIB. FOLHA]]+Tabela1107[[#This Row],[TRIBUTOS S/ LUCRO]]+Tabela1107[[#This Row],[OUTROS]]+Tabela1107[[#This Row],[BA]]</f>
        <v>24.740000000000002</v>
      </c>
      <c r="BS99" s="97">
        <f>+Tabela1107[[#This Row],[PIS]]+Tabela1107[[#This Row],[COFINS]]+Tabela1107[[#This Row],[CONTRIB. FOLHA]]+Tabela1107[[#This Row],[TRIBUTOS S/ LUCRO]]+Tabela1107[[#This Row],[OUTROS]]+Tabela1107[[#This Row],[PE]]</f>
        <v>24.740000000000002</v>
      </c>
      <c r="BT99" s="97">
        <f>+Tabela1107[[#This Row],[PIS]]+Tabela1107[[#This Row],[COFINS]]+Tabela1107[[#This Row],[CONTRIB. FOLHA]]+Tabela1107[[#This Row],[TRIBUTOS S/ LUCRO]]+Tabela1107[[#This Row],[OUTROS]]+Tabela1107[[#This Row],[PA]]</f>
        <v>24.740000000000002</v>
      </c>
      <c r="BU99" s="97">
        <f>+Tabela1107[[#This Row],[PIS]]+Tabela1107[[#This Row],[COFINS]]+Tabela1107[[#This Row],[CONTRIB. FOLHA]]+Tabela1107[[#This Row],[TRIBUTOS S/ LUCRO]]+Tabela1107[[#This Row],[OUTROS]]+Tabela1107[[#This Row],[AM]]</f>
        <v>24.740000000000002</v>
      </c>
      <c r="BV99" s="97">
        <f>AVERAGE(Tabela1107[[#This Row],[TOTAL SP]:[TOTAL AM]])</f>
        <v>24.677500000000006</v>
      </c>
      <c r="BW99" s="97"/>
      <c r="BX99" s="97"/>
    </row>
    <row r="100" spans="2:76" x14ac:dyDescent="0.25">
      <c r="B100" s="89">
        <v>21393</v>
      </c>
      <c r="C100" s="91" t="s">
        <v>13183</v>
      </c>
      <c r="D100" s="89"/>
      <c r="E100" s="89">
        <v>20140626</v>
      </c>
      <c r="F100" s="89" t="s">
        <v>20563</v>
      </c>
      <c r="G100" s="89" t="s">
        <v>20564</v>
      </c>
      <c r="H100" s="89" t="s">
        <v>20565</v>
      </c>
      <c r="I100" s="89" t="s">
        <v>20566</v>
      </c>
      <c r="J100" s="89" t="s">
        <v>384</v>
      </c>
      <c r="K100" s="89"/>
      <c r="L100" s="89" t="s">
        <v>2640</v>
      </c>
      <c r="M100" s="89" t="s">
        <v>4496</v>
      </c>
      <c r="N100" s="89" t="s">
        <v>4496</v>
      </c>
      <c r="O100" s="89" t="s">
        <v>4496</v>
      </c>
      <c r="P100" s="89" t="s">
        <v>4496</v>
      </c>
      <c r="Q100" s="89"/>
      <c r="R100" s="89" t="s">
        <v>213</v>
      </c>
      <c r="S100" s="89" t="s">
        <v>21606</v>
      </c>
      <c r="T100" s="89" t="s">
        <v>21607</v>
      </c>
      <c r="U100" s="89" t="str">
        <f>TRIM('Carga Tributária doenças Po (2'!$L100)</f>
        <v>NIMESULIDA</v>
      </c>
      <c r="V100" s="89">
        <f>SUMIFS('Tabela Federal'!$E$4:$E$2069,'Tabela Federal'!$D$4:$D$2069,'Carga Tributária doenças Po (2'!$L100)</f>
        <v>1</v>
      </c>
      <c r="W100" s="89">
        <f>SUMIFS('Tabela Federal'!$E$4:$E$2069,'Tabela Federal'!$D$4:$D$2069,'Carga Tributária doenças Po (2'!$M100)</f>
        <v>0</v>
      </c>
      <c r="X100" s="89">
        <f>SUMIFS('Tabela Federal'!$E$4:$E$2069,'Tabela Federal'!$D$4:$D$2069,'Carga Tributária doenças Po (2'!$N100)</f>
        <v>0</v>
      </c>
      <c r="Y100" s="89">
        <f>SUMIFS('Tabela Federal'!$E$4:$E$2069,'Tabela Federal'!$D$4:$D$2069,'Carga Tributária doenças Po (2'!$O100)</f>
        <v>0</v>
      </c>
      <c r="Z100" s="92" t="str">
        <f>VLOOKUP('Carga Tributária doenças Po (2'!$AD100,'Carga Tributária doenças Po (2'!$CA$12:$CC$16,2,0)</f>
        <v>+</v>
      </c>
      <c r="AA100" s="89" t="s">
        <v>252</v>
      </c>
      <c r="AB100" s="89" t="s">
        <v>21755</v>
      </c>
      <c r="AC100" s="89" t="s">
        <v>21721</v>
      </c>
      <c r="AD100" s="93" t="s">
        <v>21722</v>
      </c>
      <c r="AE100" s="92" t="s">
        <v>2</v>
      </c>
      <c r="AF100" s="92" t="s">
        <v>3</v>
      </c>
      <c r="AG100" s="94">
        <v>8263909</v>
      </c>
      <c r="AH100" s="95">
        <v>34955796</v>
      </c>
      <c r="AI100" s="95">
        <v>79685524.129999995</v>
      </c>
      <c r="AJ100" s="89" t="s">
        <v>460</v>
      </c>
      <c r="AK100" s="89">
        <f>IF('Carga Tributária doenças Po (2'!$Z100="+",0,SUMIFS(PISCOFINS!$I$3:$I$10518,PISCOFINS!$C$3:$C$10518,'Carga Tributária doenças Po (2'!$C100))</f>
        <v>0</v>
      </c>
      <c r="AL100" s="89">
        <f>IF('Carga Tributária doenças Po (2'!$Z100="+",0,SUMIFS(PISCOFINS!$H$3:$H$10518,PISCOFINS!$C$3:$C$10518,'Carga Tributária doenças Po (2'!$C100))</f>
        <v>0</v>
      </c>
      <c r="AM100" s="95">
        <v>3.27</v>
      </c>
      <c r="AN100" s="95">
        <v>3.12</v>
      </c>
      <c r="AO100" s="95">
        <v>1.35</v>
      </c>
      <c r="AP100" s="96">
        <v>18</v>
      </c>
      <c r="AQ100" s="96">
        <v>12</v>
      </c>
      <c r="AR100" s="96">
        <v>17</v>
      </c>
      <c r="AS100" s="97">
        <v>17</v>
      </c>
      <c r="AT100" s="97">
        <v>19</v>
      </c>
      <c r="AU100" s="97">
        <v>18</v>
      </c>
      <c r="AV100" s="97">
        <v>17</v>
      </c>
      <c r="AW100" s="97">
        <v>17</v>
      </c>
      <c r="AX100" s="97">
        <v>17</v>
      </c>
      <c r="AY100" s="97">
        <v>17</v>
      </c>
      <c r="AZ100" s="97">
        <v>17</v>
      </c>
      <c r="BA100" s="97">
        <v>17</v>
      </c>
      <c r="BB100" s="97">
        <v>17</v>
      </c>
      <c r="BC100" s="97">
        <v>17</v>
      </c>
      <c r="BD100" s="97">
        <v>17</v>
      </c>
      <c r="BE100" s="97">
        <v>17</v>
      </c>
      <c r="BF100" s="97">
        <f>+Tabela1107[[#This Row],[PIS]]+Tabela1107[[#This Row],[COFINS]]+Tabela1107[[#This Row],[CONTRIB. FOLHA]]+Tabela1107[[#This Row],[TRIBUTOS S/ LUCRO]]+Tabela1107[[#This Row],[OUTROS]]+Tabela1107[[#This Row],[SP]]</f>
        <v>25.740000000000002</v>
      </c>
      <c r="BG100" s="97">
        <f>+Tabela1107[[#This Row],[PIS]]+Tabela1107[[#This Row],[COFINS]]+Tabela1107[[#This Row],[CONTRIB. FOLHA]]+Tabela1107[[#This Row],[TRIBUTOS S/ LUCRO]]+Tabela1107[[#This Row],[OUTROS]]+Tabela1107[[#This Row],[PR]]</f>
        <v>19.740000000000002</v>
      </c>
      <c r="BH100" s="97">
        <f>+Tabela1107[[#This Row],[PIS]]+Tabela1107[[#This Row],[COFINS]]+Tabela1107[[#This Row],[CONTRIB. FOLHA]]+Tabela1107[[#This Row],[TRIBUTOS S/ LUCRO]]+Tabela1107[[#This Row],[OUTROS]]+Tabela1107[[#This Row],[SC]]</f>
        <v>24.740000000000002</v>
      </c>
      <c r="BI100" s="97">
        <f>+Tabela1107[[#This Row],[PIS]]+Tabela1107[[#This Row],[COFINS]]+Tabela1107[[#This Row],[CONTRIB. FOLHA]]+Tabela1107[[#This Row],[TRIBUTOS S/ LUCRO]]+Tabela1107[[#This Row],[OUTROS]]+Tabela1107[[#This Row],[RS]]</f>
        <v>24.740000000000002</v>
      </c>
      <c r="BJ100" s="97">
        <f>+Tabela1107[[#This Row],[PIS]]+Tabela1107[[#This Row],[COFINS]]+Tabela1107[[#This Row],[CONTRIB. FOLHA]]+Tabela1107[[#This Row],[TRIBUTOS S/ LUCRO]]+Tabela1107[[#This Row],[OUTROS]]+Tabela1107[[#This Row],[RJ]]</f>
        <v>26.740000000000002</v>
      </c>
      <c r="BK100" s="97">
        <f>+Tabela1107[[#This Row],[PIS]]+Tabela1107[[#This Row],[COFINS]]+Tabela1107[[#This Row],[CONTRIB. FOLHA]]+Tabela1107[[#This Row],[TRIBUTOS S/ LUCRO]]+Tabela1107[[#This Row],[OUTROS]]+Tabela1107[[#This Row],[MG]]</f>
        <v>25.740000000000002</v>
      </c>
      <c r="BL100" s="97">
        <f>+Tabela1107[[#This Row],[PIS]]+Tabela1107[[#This Row],[COFINS]]+Tabela1107[[#This Row],[CONTRIB. FOLHA]]+Tabela1107[[#This Row],[TRIBUTOS S/ LUCRO]]+Tabela1107[[#This Row],[OUTROS]]+Tabela1107[[#This Row],[ES]]</f>
        <v>24.740000000000002</v>
      </c>
      <c r="BM100" s="97">
        <f>+Tabela1107[[#This Row],[PIS]]+Tabela1107[[#This Row],[COFINS]]+Tabela1107[[#This Row],[CONTRIB. FOLHA]]+Tabela1107[[#This Row],[TRIBUTOS S/ LUCRO]]+Tabela1107[[#This Row],[OUTROS]]+Tabela1107[[#This Row],[GO]]</f>
        <v>24.740000000000002</v>
      </c>
      <c r="BN100" s="97">
        <f>+Tabela1107[[#This Row],[PIS]]+Tabela1107[[#This Row],[COFINS]]+Tabela1107[[#This Row],[CONTRIB. FOLHA]]+Tabela1107[[#This Row],[TRIBUTOS S/ LUCRO]]+Tabela1107[[#This Row],[OUTROS]]+Tabela1107[[#This Row],[MT]]</f>
        <v>24.740000000000002</v>
      </c>
      <c r="BO100" s="97">
        <f>+Tabela1107[[#This Row],[PIS]]+Tabela1107[[#This Row],[COFINS]]+Tabela1107[[#This Row],[CONTRIB. FOLHA]]+Tabela1107[[#This Row],[TRIBUTOS S/ LUCRO]]+Tabela1107[[#This Row],[OUTROS]]+Tabela1107[[#This Row],[MS]]</f>
        <v>24.740000000000002</v>
      </c>
      <c r="BP100" s="97">
        <f>+Tabela1107[[#This Row],[PIS]]+Tabela1107[[#This Row],[COFINS]]+Tabela1107[[#This Row],[CONTRIB. FOLHA]]+Tabela1107[[#This Row],[TRIBUTOS S/ LUCRO]]+Tabela1107[[#This Row],[OUTROS]]+Tabela1107[[#This Row],[DF]]</f>
        <v>24.740000000000002</v>
      </c>
      <c r="BQ100" s="97">
        <f>+Tabela1107[[#This Row],[PIS]]+Tabela1107[[#This Row],[COFINS]]+Tabela1107[[#This Row],[CONTRIB. FOLHA]]+Tabela1107[[#This Row],[TRIBUTOS S/ LUCRO]]+Tabela1107[[#This Row],[OUTROS]]+Tabela1107[[#This Row],[BA]]</f>
        <v>24.740000000000002</v>
      </c>
      <c r="BR100" s="97">
        <f>+Tabela1107[[#This Row],[PIS]]+Tabela1107[[#This Row],[COFINS]]+Tabela1107[[#This Row],[CONTRIB. FOLHA]]+Tabela1107[[#This Row],[TRIBUTOS S/ LUCRO]]+Tabela1107[[#This Row],[OUTROS]]+Tabela1107[[#This Row],[BA]]</f>
        <v>24.740000000000002</v>
      </c>
      <c r="BS100" s="97">
        <f>+Tabela1107[[#This Row],[PIS]]+Tabela1107[[#This Row],[COFINS]]+Tabela1107[[#This Row],[CONTRIB. FOLHA]]+Tabela1107[[#This Row],[TRIBUTOS S/ LUCRO]]+Tabela1107[[#This Row],[OUTROS]]+Tabela1107[[#This Row],[PE]]</f>
        <v>24.740000000000002</v>
      </c>
      <c r="BT100" s="97">
        <f>+Tabela1107[[#This Row],[PIS]]+Tabela1107[[#This Row],[COFINS]]+Tabela1107[[#This Row],[CONTRIB. FOLHA]]+Tabela1107[[#This Row],[TRIBUTOS S/ LUCRO]]+Tabela1107[[#This Row],[OUTROS]]+Tabela1107[[#This Row],[PA]]</f>
        <v>24.740000000000002</v>
      </c>
      <c r="BU100" s="97">
        <f>+Tabela1107[[#This Row],[PIS]]+Tabela1107[[#This Row],[COFINS]]+Tabela1107[[#This Row],[CONTRIB. FOLHA]]+Tabela1107[[#This Row],[TRIBUTOS S/ LUCRO]]+Tabela1107[[#This Row],[OUTROS]]+Tabela1107[[#This Row],[AM]]</f>
        <v>24.740000000000002</v>
      </c>
      <c r="BV100" s="97">
        <f>AVERAGE(Tabela1107[[#This Row],[TOTAL SP]:[TOTAL AM]])</f>
        <v>24.677500000000006</v>
      </c>
      <c r="BW100" s="97"/>
      <c r="BX100" s="97"/>
    </row>
    <row r="101" spans="2:76" x14ac:dyDescent="0.25">
      <c r="B101" s="89">
        <v>21393</v>
      </c>
      <c r="C101" s="91" t="s">
        <v>13183</v>
      </c>
      <c r="D101" s="89"/>
      <c r="E101" s="89">
        <v>20140626</v>
      </c>
      <c r="F101" s="89" t="s">
        <v>20563</v>
      </c>
      <c r="G101" s="89" t="s">
        <v>20564</v>
      </c>
      <c r="H101" s="89" t="s">
        <v>20565</v>
      </c>
      <c r="I101" s="89" t="s">
        <v>20566</v>
      </c>
      <c r="J101" s="89" t="s">
        <v>384</v>
      </c>
      <c r="K101" s="89"/>
      <c r="L101" s="89" t="s">
        <v>2640</v>
      </c>
      <c r="M101" s="89" t="s">
        <v>4496</v>
      </c>
      <c r="N101" s="89" t="s">
        <v>4496</v>
      </c>
      <c r="O101" s="89" t="s">
        <v>4496</v>
      </c>
      <c r="P101" s="89" t="s">
        <v>4496</v>
      </c>
      <c r="Q101" s="89"/>
      <c r="R101" s="89" t="s">
        <v>213</v>
      </c>
      <c r="S101" s="89" t="s">
        <v>21606</v>
      </c>
      <c r="T101" s="89" t="s">
        <v>21607</v>
      </c>
      <c r="U101" s="89" t="str">
        <f>TRIM('Carga Tributária doenças Po (2'!$L101)</f>
        <v>NIMESULIDA</v>
      </c>
      <c r="V101" s="89">
        <f>SUMIFS('Tabela Federal'!$E$4:$E$2069,'Tabela Federal'!$D$4:$D$2069,'Carga Tributária doenças Po (2'!$L101)</f>
        <v>1</v>
      </c>
      <c r="W101" s="89">
        <f>SUMIFS('Tabela Federal'!$E$4:$E$2069,'Tabela Federal'!$D$4:$D$2069,'Carga Tributária doenças Po (2'!$M101)</f>
        <v>0</v>
      </c>
      <c r="X101" s="89">
        <f>SUMIFS('Tabela Federal'!$E$4:$E$2069,'Tabela Federal'!$D$4:$D$2069,'Carga Tributária doenças Po (2'!$N101)</f>
        <v>0</v>
      </c>
      <c r="Y101" s="89">
        <f>SUMIFS('Tabela Federal'!$E$4:$E$2069,'Tabela Federal'!$D$4:$D$2069,'Carga Tributária doenças Po (2'!$O101)</f>
        <v>0</v>
      </c>
      <c r="Z101" s="92" t="str">
        <f>VLOOKUP('Carga Tributária doenças Po (2'!$AD101,'Carga Tributária doenças Po (2'!$CA$12:$CC$16,2,0)</f>
        <v>+</v>
      </c>
      <c r="AA101" s="89" t="s">
        <v>252</v>
      </c>
      <c r="AB101" s="89" t="s">
        <v>21755</v>
      </c>
      <c r="AC101" s="89" t="s">
        <v>21721</v>
      </c>
      <c r="AD101" s="93" t="s">
        <v>21722</v>
      </c>
      <c r="AE101" s="92" t="s">
        <v>2</v>
      </c>
      <c r="AF101" s="92" t="s">
        <v>3</v>
      </c>
      <c r="AG101" s="94">
        <v>8263909</v>
      </c>
      <c r="AH101" s="95">
        <v>34955796</v>
      </c>
      <c r="AI101" s="95">
        <v>79685524.129999995</v>
      </c>
      <c r="AJ101" s="89" t="s">
        <v>394</v>
      </c>
      <c r="AK101" s="89">
        <f>IF('Carga Tributária doenças Po (2'!$Z101="+",0,SUMIFS(PISCOFINS!$I$3:$I$10518,PISCOFINS!$C$3:$C$10518,'Carga Tributária doenças Po (2'!$C101))</f>
        <v>0</v>
      </c>
      <c r="AL101" s="89">
        <f>IF('Carga Tributária doenças Po (2'!$Z101="+",0,SUMIFS(PISCOFINS!$H$3:$H$10518,PISCOFINS!$C$3:$C$10518,'Carga Tributária doenças Po (2'!$C101))</f>
        <v>0</v>
      </c>
      <c r="AM101" s="95">
        <v>3.27</v>
      </c>
      <c r="AN101" s="95">
        <v>3.12</v>
      </c>
      <c r="AO101" s="95">
        <v>1.35</v>
      </c>
      <c r="AP101" s="96">
        <v>18</v>
      </c>
      <c r="AQ101" s="96">
        <v>12</v>
      </c>
      <c r="AR101" s="96">
        <v>17</v>
      </c>
      <c r="AS101" s="97">
        <v>17</v>
      </c>
      <c r="AT101" s="97">
        <v>19</v>
      </c>
      <c r="AU101" s="97">
        <v>18</v>
      </c>
      <c r="AV101" s="97">
        <v>17</v>
      </c>
      <c r="AW101" s="97">
        <v>17</v>
      </c>
      <c r="AX101" s="97">
        <v>17</v>
      </c>
      <c r="AY101" s="97">
        <v>17</v>
      </c>
      <c r="AZ101" s="97">
        <v>17</v>
      </c>
      <c r="BA101" s="97">
        <v>17</v>
      </c>
      <c r="BB101" s="97">
        <v>17</v>
      </c>
      <c r="BC101" s="97">
        <v>17</v>
      </c>
      <c r="BD101" s="97">
        <v>17</v>
      </c>
      <c r="BE101" s="97">
        <v>17</v>
      </c>
      <c r="BF101" s="97">
        <f>+Tabela1107[[#This Row],[PIS]]+Tabela1107[[#This Row],[COFINS]]+Tabela1107[[#This Row],[CONTRIB. FOLHA]]+Tabela1107[[#This Row],[TRIBUTOS S/ LUCRO]]+Tabela1107[[#This Row],[OUTROS]]+Tabela1107[[#This Row],[SP]]</f>
        <v>25.740000000000002</v>
      </c>
      <c r="BG101" s="97">
        <f>+Tabela1107[[#This Row],[PIS]]+Tabela1107[[#This Row],[COFINS]]+Tabela1107[[#This Row],[CONTRIB. FOLHA]]+Tabela1107[[#This Row],[TRIBUTOS S/ LUCRO]]+Tabela1107[[#This Row],[OUTROS]]+Tabela1107[[#This Row],[PR]]</f>
        <v>19.740000000000002</v>
      </c>
      <c r="BH101" s="97">
        <f>+Tabela1107[[#This Row],[PIS]]+Tabela1107[[#This Row],[COFINS]]+Tabela1107[[#This Row],[CONTRIB. FOLHA]]+Tabela1107[[#This Row],[TRIBUTOS S/ LUCRO]]+Tabela1107[[#This Row],[OUTROS]]+Tabela1107[[#This Row],[SC]]</f>
        <v>24.740000000000002</v>
      </c>
      <c r="BI101" s="97">
        <f>+Tabela1107[[#This Row],[PIS]]+Tabela1107[[#This Row],[COFINS]]+Tabela1107[[#This Row],[CONTRIB. FOLHA]]+Tabela1107[[#This Row],[TRIBUTOS S/ LUCRO]]+Tabela1107[[#This Row],[OUTROS]]+Tabela1107[[#This Row],[RS]]</f>
        <v>24.740000000000002</v>
      </c>
      <c r="BJ101" s="97">
        <f>+Tabela1107[[#This Row],[PIS]]+Tabela1107[[#This Row],[COFINS]]+Tabela1107[[#This Row],[CONTRIB. FOLHA]]+Tabela1107[[#This Row],[TRIBUTOS S/ LUCRO]]+Tabela1107[[#This Row],[OUTROS]]+Tabela1107[[#This Row],[RJ]]</f>
        <v>26.740000000000002</v>
      </c>
      <c r="BK101" s="97">
        <f>+Tabela1107[[#This Row],[PIS]]+Tabela1107[[#This Row],[COFINS]]+Tabela1107[[#This Row],[CONTRIB. FOLHA]]+Tabela1107[[#This Row],[TRIBUTOS S/ LUCRO]]+Tabela1107[[#This Row],[OUTROS]]+Tabela1107[[#This Row],[MG]]</f>
        <v>25.740000000000002</v>
      </c>
      <c r="BL101" s="97">
        <f>+Tabela1107[[#This Row],[PIS]]+Tabela1107[[#This Row],[COFINS]]+Tabela1107[[#This Row],[CONTRIB. FOLHA]]+Tabela1107[[#This Row],[TRIBUTOS S/ LUCRO]]+Tabela1107[[#This Row],[OUTROS]]+Tabela1107[[#This Row],[ES]]</f>
        <v>24.740000000000002</v>
      </c>
      <c r="BM101" s="97">
        <f>+Tabela1107[[#This Row],[PIS]]+Tabela1107[[#This Row],[COFINS]]+Tabela1107[[#This Row],[CONTRIB. FOLHA]]+Tabela1107[[#This Row],[TRIBUTOS S/ LUCRO]]+Tabela1107[[#This Row],[OUTROS]]+Tabela1107[[#This Row],[GO]]</f>
        <v>24.740000000000002</v>
      </c>
      <c r="BN101" s="97">
        <f>+Tabela1107[[#This Row],[PIS]]+Tabela1107[[#This Row],[COFINS]]+Tabela1107[[#This Row],[CONTRIB. FOLHA]]+Tabela1107[[#This Row],[TRIBUTOS S/ LUCRO]]+Tabela1107[[#This Row],[OUTROS]]+Tabela1107[[#This Row],[MT]]</f>
        <v>24.740000000000002</v>
      </c>
      <c r="BO101" s="97">
        <f>+Tabela1107[[#This Row],[PIS]]+Tabela1107[[#This Row],[COFINS]]+Tabela1107[[#This Row],[CONTRIB. FOLHA]]+Tabela1107[[#This Row],[TRIBUTOS S/ LUCRO]]+Tabela1107[[#This Row],[OUTROS]]+Tabela1107[[#This Row],[MS]]</f>
        <v>24.740000000000002</v>
      </c>
      <c r="BP101" s="97">
        <f>+Tabela1107[[#This Row],[PIS]]+Tabela1107[[#This Row],[COFINS]]+Tabela1107[[#This Row],[CONTRIB. FOLHA]]+Tabela1107[[#This Row],[TRIBUTOS S/ LUCRO]]+Tabela1107[[#This Row],[OUTROS]]+Tabela1107[[#This Row],[DF]]</f>
        <v>24.740000000000002</v>
      </c>
      <c r="BQ101" s="97">
        <f>+Tabela1107[[#This Row],[PIS]]+Tabela1107[[#This Row],[COFINS]]+Tabela1107[[#This Row],[CONTRIB. FOLHA]]+Tabela1107[[#This Row],[TRIBUTOS S/ LUCRO]]+Tabela1107[[#This Row],[OUTROS]]+Tabela1107[[#This Row],[BA]]</f>
        <v>24.740000000000002</v>
      </c>
      <c r="BR101" s="97">
        <f>+Tabela1107[[#This Row],[PIS]]+Tabela1107[[#This Row],[COFINS]]+Tabela1107[[#This Row],[CONTRIB. FOLHA]]+Tabela1107[[#This Row],[TRIBUTOS S/ LUCRO]]+Tabela1107[[#This Row],[OUTROS]]+Tabela1107[[#This Row],[BA]]</f>
        <v>24.740000000000002</v>
      </c>
      <c r="BS101" s="97">
        <f>+Tabela1107[[#This Row],[PIS]]+Tabela1107[[#This Row],[COFINS]]+Tabela1107[[#This Row],[CONTRIB. FOLHA]]+Tabela1107[[#This Row],[TRIBUTOS S/ LUCRO]]+Tabela1107[[#This Row],[OUTROS]]+Tabela1107[[#This Row],[PE]]</f>
        <v>24.740000000000002</v>
      </c>
      <c r="BT101" s="97">
        <f>+Tabela1107[[#This Row],[PIS]]+Tabela1107[[#This Row],[COFINS]]+Tabela1107[[#This Row],[CONTRIB. FOLHA]]+Tabela1107[[#This Row],[TRIBUTOS S/ LUCRO]]+Tabela1107[[#This Row],[OUTROS]]+Tabela1107[[#This Row],[PA]]</f>
        <v>24.740000000000002</v>
      </c>
      <c r="BU101" s="97">
        <f>+Tabela1107[[#This Row],[PIS]]+Tabela1107[[#This Row],[COFINS]]+Tabela1107[[#This Row],[CONTRIB. FOLHA]]+Tabela1107[[#This Row],[TRIBUTOS S/ LUCRO]]+Tabela1107[[#This Row],[OUTROS]]+Tabela1107[[#This Row],[AM]]</f>
        <v>24.740000000000002</v>
      </c>
      <c r="BV101" s="97">
        <f>AVERAGE(Tabela1107[[#This Row],[TOTAL SP]:[TOTAL AM]])</f>
        <v>24.677500000000006</v>
      </c>
      <c r="BW101" s="97"/>
      <c r="BX101" s="97"/>
    </row>
    <row r="102" spans="2:76" x14ac:dyDescent="0.25">
      <c r="B102" s="89">
        <v>10898</v>
      </c>
      <c r="C102" s="91" t="s">
        <v>13183</v>
      </c>
      <c r="D102" s="89"/>
      <c r="E102" s="89">
        <v>20140626</v>
      </c>
      <c r="F102" s="89" t="s">
        <v>21089</v>
      </c>
      <c r="G102" s="89" t="s">
        <v>21090</v>
      </c>
      <c r="H102" s="89" t="s">
        <v>21091</v>
      </c>
      <c r="I102" s="89" t="s">
        <v>2641</v>
      </c>
      <c r="J102" s="89" t="s">
        <v>260</v>
      </c>
      <c r="K102" s="89"/>
      <c r="L102" s="89" t="s">
        <v>2641</v>
      </c>
      <c r="M102" s="89" t="s">
        <v>4496</v>
      </c>
      <c r="N102" s="89" t="s">
        <v>4496</v>
      </c>
      <c r="O102" s="89" t="s">
        <v>4496</v>
      </c>
      <c r="P102" s="89" t="s">
        <v>4496</v>
      </c>
      <c r="Q102" s="89"/>
      <c r="R102" s="89" t="s">
        <v>34</v>
      </c>
      <c r="S102" s="89" t="s">
        <v>21646</v>
      </c>
      <c r="T102" s="89" t="s">
        <v>21647</v>
      </c>
      <c r="U102" s="89" t="str">
        <f>TRIM('Carga Tributária doenças Po (2'!$L102)</f>
        <v>CIPROFIBRATO</v>
      </c>
      <c r="V102" s="89">
        <f>SUMIFS('Tabela Federal'!$E$4:$E$2069,'Tabela Federal'!$D$4:$D$2069,'Carga Tributária doenças Po (2'!$L102)</f>
        <v>1</v>
      </c>
      <c r="W102" s="89">
        <f>SUMIFS('Tabela Federal'!$E$4:$E$2069,'Tabela Federal'!$D$4:$D$2069,'Carga Tributária doenças Po (2'!$M102)</f>
        <v>0</v>
      </c>
      <c r="X102" s="89">
        <f>SUMIFS('Tabela Federal'!$E$4:$E$2069,'Tabela Federal'!$D$4:$D$2069,'Carga Tributária doenças Po (2'!$N102)</f>
        <v>0</v>
      </c>
      <c r="Y102" s="89">
        <f>SUMIFS('Tabela Federal'!$E$4:$E$2069,'Tabela Federal'!$D$4:$D$2069,'Carga Tributária doenças Po (2'!$O102)</f>
        <v>0</v>
      </c>
      <c r="Z102" s="92" t="str">
        <f>VLOOKUP('Carga Tributária doenças Po (2'!$AD102,'Carga Tributária doenças Po (2'!$CA$12:$CC$16,2,0)</f>
        <v>-</v>
      </c>
      <c r="AA102" s="89" t="s">
        <v>261</v>
      </c>
      <c r="AB102" s="89"/>
      <c r="AC102" s="89"/>
      <c r="AD102" s="93" t="s">
        <v>19523</v>
      </c>
      <c r="AE102" s="92" t="s">
        <v>2</v>
      </c>
      <c r="AF102" s="92" t="s">
        <v>10</v>
      </c>
      <c r="AG102" s="94">
        <v>1496483</v>
      </c>
      <c r="AH102" s="95">
        <v>31381189</v>
      </c>
      <c r="AI102" s="95">
        <v>71555390.769999996</v>
      </c>
      <c r="AJ102" s="89" t="s">
        <v>269</v>
      </c>
      <c r="AK102" s="89">
        <f>IF('Carga Tributária doenças Po (2'!$Z102="+",0,SUMIFS(PISCOFINS!$I$3:$I$10518,PISCOFINS!$C$3:$C$10518,'Carga Tributária doenças Po (2'!$C102))</f>
        <v>2.1</v>
      </c>
      <c r="AL102" s="89">
        <f>IF('Carga Tributária doenças Po (2'!$Z102="+",0,SUMIFS(PISCOFINS!$H$3:$H$10518,PISCOFINS!$C$3:$C$10518,'Carga Tributária doenças Po (2'!$C102))</f>
        <v>9.9</v>
      </c>
      <c r="AM102" s="95">
        <v>3.27</v>
      </c>
      <c r="AN102" s="95">
        <v>3.12</v>
      </c>
      <c r="AO102" s="95">
        <v>1.35</v>
      </c>
      <c r="AP102" s="96">
        <v>18</v>
      </c>
      <c r="AQ102" s="96">
        <v>12</v>
      </c>
      <c r="AR102" s="96">
        <v>17</v>
      </c>
      <c r="AS102" s="97">
        <v>17</v>
      </c>
      <c r="AT102" s="97">
        <v>19</v>
      </c>
      <c r="AU102" s="97">
        <v>12</v>
      </c>
      <c r="AV102" s="97">
        <v>17</v>
      </c>
      <c r="AW102" s="97">
        <v>17</v>
      </c>
      <c r="AX102" s="97">
        <v>17</v>
      </c>
      <c r="AY102" s="97">
        <v>17</v>
      </c>
      <c r="AZ102" s="97">
        <v>17</v>
      </c>
      <c r="BA102" s="97">
        <v>17</v>
      </c>
      <c r="BB102" s="97">
        <v>17</v>
      </c>
      <c r="BC102" s="97">
        <v>17</v>
      </c>
      <c r="BD102" s="97">
        <v>17</v>
      </c>
      <c r="BE102" s="97">
        <v>17</v>
      </c>
      <c r="BF102" s="97">
        <f>+Tabela1107[[#This Row],[PIS]]+Tabela1107[[#This Row],[COFINS]]+Tabela1107[[#This Row],[CONTRIB. FOLHA]]+Tabela1107[[#This Row],[TRIBUTOS S/ LUCRO]]+Tabela1107[[#This Row],[OUTROS]]+Tabela1107[[#This Row],[SP]]</f>
        <v>37.74</v>
      </c>
      <c r="BG102" s="97">
        <f>+Tabela1107[[#This Row],[PIS]]+Tabela1107[[#This Row],[COFINS]]+Tabela1107[[#This Row],[CONTRIB. FOLHA]]+Tabela1107[[#This Row],[TRIBUTOS S/ LUCRO]]+Tabela1107[[#This Row],[OUTROS]]+Tabela1107[[#This Row],[PR]]</f>
        <v>31.740000000000002</v>
      </c>
      <c r="BH102" s="97">
        <f>+Tabela1107[[#This Row],[PIS]]+Tabela1107[[#This Row],[COFINS]]+Tabela1107[[#This Row],[CONTRIB. FOLHA]]+Tabela1107[[#This Row],[TRIBUTOS S/ LUCRO]]+Tabela1107[[#This Row],[OUTROS]]+Tabela1107[[#This Row],[SC]]</f>
        <v>36.74</v>
      </c>
      <c r="BI102" s="97">
        <f>+Tabela1107[[#This Row],[PIS]]+Tabela1107[[#This Row],[COFINS]]+Tabela1107[[#This Row],[CONTRIB. FOLHA]]+Tabela1107[[#This Row],[TRIBUTOS S/ LUCRO]]+Tabela1107[[#This Row],[OUTROS]]+Tabela1107[[#This Row],[RS]]</f>
        <v>36.74</v>
      </c>
      <c r="BJ102" s="97">
        <f>+Tabela1107[[#This Row],[PIS]]+Tabela1107[[#This Row],[COFINS]]+Tabela1107[[#This Row],[CONTRIB. FOLHA]]+Tabela1107[[#This Row],[TRIBUTOS S/ LUCRO]]+Tabela1107[[#This Row],[OUTROS]]+Tabela1107[[#This Row],[RJ]]</f>
        <v>38.74</v>
      </c>
      <c r="BK102" s="97">
        <f>+Tabela1107[[#This Row],[PIS]]+Tabela1107[[#This Row],[COFINS]]+Tabela1107[[#This Row],[CONTRIB. FOLHA]]+Tabela1107[[#This Row],[TRIBUTOS S/ LUCRO]]+Tabela1107[[#This Row],[OUTROS]]+Tabela1107[[#This Row],[MG]]</f>
        <v>31.740000000000002</v>
      </c>
      <c r="BL102" s="97">
        <f>+Tabela1107[[#This Row],[PIS]]+Tabela1107[[#This Row],[COFINS]]+Tabela1107[[#This Row],[CONTRIB. FOLHA]]+Tabela1107[[#This Row],[TRIBUTOS S/ LUCRO]]+Tabela1107[[#This Row],[OUTROS]]+Tabela1107[[#This Row],[ES]]</f>
        <v>36.74</v>
      </c>
      <c r="BM102" s="97">
        <f>+Tabela1107[[#This Row],[PIS]]+Tabela1107[[#This Row],[COFINS]]+Tabela1107[[#This Row],[CONTRIB. FOLHA]]+Tabela1107[[#This Row],[TRIBUTOS S/ LUCRO]]+Tabela1107[[#This Row],[OUTROS]]+Tabela1107[[#This Row],[GO]]</f>
        <v>36.74</v>
      </c>
      <c r="BN102" s="97">
        <f>+Tabela1107[[#This Row],[PIS]]+Tabela1107[[#This Row],[COFINS]]+Tabela1107[[#This Row],[CONTRIB. FOLHA]]+Tabela1107[[#This Row],[TRIBUTOS S/ LUCRO]]+Tabela1107[[#This Row],[OUTROS]]+Tabela1107[[#This Row],[MT]]</f>
        <v>36.74</v>
      </c>
      <c r="BO102" s="97">
        <f>+Tabela1107[[#This Row],[PIS]]+Tabela1107[[#This Row],[COFINS]]+Tabela1107[[#This Row],[CONTRIB. FOLHA]]+Tabela1107[[#This Row],[TRIBUTOS S/ LUCRO]]+Tabela1107[[#This Row],[OUTROS]]+Tabela1107[[#This Row],[MS]]</f>
        <v>36.74</v>
      </c>
      <c r="BP102" s="97">
        <f>+Tabela1107[[#This Row],[PIS]]+Tabela1107[[#This Row],[COFINS]]+Tabela1107[[#This Row],[CONTRIB. FOLHA]]+Tabela1107[[#This Row],[TRIBUTOS S/ LUCRO]]+Tabela1107[[#This Row],[OUTROS]]+Tabela1107[[#This Row],[DF]]</f>
        <v>36.74</v>
      </c>
      <c r="BQ102" s="97">
        <f>+Tabela1107[[#This Row],[PIS]]+Tabela1107[[#This Row],[COFINS]]+Tabela1107[[#This Row],[CONTRIB. FOLHA]]+Tabela1107[[#This Row],[TRIBUTOS S/ LUCRO]]+Tabela1107[[#This Row],[OUTROS]]+Tabela1107[[#This Row],[BA]]</f>
        <v>36.74</v>
      </c>
      <c r="BR102" s="97">
        <f>+Tabela1107[[#This Row],[PIS]]+Tabela1107[[#This Row],[COFINS]]+Tabela1107[[#This Row],[CONTRIB. FOLHA]]+Tabela1107[[#This Row],[TRIBUTOS S/ LUCRO]]+Tabela1107[[#This Row],[OUTROS]]+Tabela1107[[#This Row],[BA]]</f>
        <v>36.74</v>
      </c>
      <c r="BS102" s="97">
        <f>+Tabela1107[[#This Row],[PIS]]+Tabela1107[[#This Row],[COFINS]]+Tabela1107[[#This Row],[CONTRIB. FOLHA]]+Tabela1107[[#This Row],[TRIBUTOS S/ LUCRO]]+Tabela1107[[#This Row],[OUTROS]]+Tabela1107[[#This Row],[PE]]</f>
        <v>36.74</v>
      </c>
      <c r="BT102" s="97">
        <f>+Tabela1107[[#This Row],[PIS]]+Tabela1107[[#This Row],[COFINS]]+Tabela1107[[#This Row],[CONTRIB. FOLHA]]+Tabela1107[[#This Row],[TRIBUTOS S/ LUCRO]]+Tabela1107[[#This Row],[OUTROS]]+Tabela1107[[#This Row],[PA]]</f>
        <v>36.74</v>
      </c>
      <c r="BU102" s="97">
        <f>+Tabela1107[[#This Row],[PIS]]+Tabela1107[[#This Row],[COFINS]]+Tabela1107[[#This Row],[CONTRIB. FOLHA]]+Tabela1107[[#This Row],[TRIBUTOS S/ LUCRO]]+Tabela1107[[#This Row],[OUTROS]]+Tabela1107[[#This Row],[AM]]</f>
        <v>36.74</v>
      </c>
      <c r="BV102" s="97">
        <f>AVERAGE(Tabela1107[[#This Row],[TOTAL SP]:[TOTAL AM]])</f>
        <v>36.302500000000002</v>
      </c>
      <c r="BW102" s="97"/>
      <c r="BX102" s="97"/>
    </row>
    <row r="103" spans="2:76" x14ac:dyDescent="0.25">
      <c r="B103" s="89">
        <v>12085</v>
      </c>
      <c r="C103" s="91" t="s">
        <v>13183</v>
      </c>
      <c r="D103" s="89"/>
      <c r="E103" s="89">
        <v>20140626</v>
      </c>
      <c r="F103" s="89" t="s">
        <v>20722</v>
      </c>
      <c r="G103" s="89" t="s">
        <v>20723</v>
      </c>
      <c r="H103" s="89" t="s">
        <v>20724</v>
      </c>
      <c r="I103" s="89" t="s">
        <v>2615</v>
      </c>
      <c r="J103" s="89" t="s">
        <v>207</v>
      </c>
      <c r="K103" s="89"/>
      <c r="L103" s="89" t="s">
        <v>2615</v>
      </c>
      <c r="M103" s="89" t="s">
        <v>4496</v>
      </c>
      <c r="N103" s="89" t="s">
        <v>4496</v>
      </c>
      <c r="O103" s="89" t="s">
        <v>4496</v>
      </c>
      <c r="P103" s="89" t="s">
        <v>4496</v>
      </c>
      <c r="Q103" s="89"/>
      <c r="R103" s="89" t="s">
        <v>198</v>
      </c>
      <c r="S103" s="89" t="s">
        <v>21572</v>
      </c>
      <c r="T103" s="89" t="s">
        <v>21573</v>
      </c>
      <c r="U103" s="89" t="str">
        <f>TRIM('Carga Tributária doenças Po (2'!$L103)</f>
        <v>CITRATO DE SILDENAFILA</v>
      </c>
      <c r="V103" s="89">
        <f>SUMIFS('Tabela Federal'!$E$4:$E$2069,'Tabela Federal'!$D$4:$D$2069,'Carga Tributária doenças Po (2'!$L103)</f>
        <v>1</v>
      </c>
      <c r="W103" s="89">
        <f>SUMIFS('Tabela Federal'!$E$4:$E$2069,'Tabela Federal'!$D$4:$D$2069,'Carga Tributária doenças Po (2'!$M103)</f>
        <v>0</v>
      </c>
      <c r="X103" s="89">
        <f>SUMIFS('Tabela Federal'!$E$4:$E$2069,'Tabela Federal'!$D$4:$D$2069,'Carga Tributária doenças Po (2'!$N103)</f>
        <v>0</v>
      </c>
      <c r="Y103" s="89">
        <f>SUMIFS('Tabela Federal'!$E$4:$E$2069,'Tabela Federal'!$D$4:$D$2069,'Carga Tributária doenças Po (2'!$O103)</f>
        <v>0</v>
      </c>
      <c r="Z103" s="92" t="str">
        <f>VLOOKUP('Carga Tributária doenças Po (2'!$AD103,'Carga Tributária doenças Po (2'!$CA$12:$CC$16,2,0)</f>
        <v>-</v>
      </c>
      <c r="AA103" s="89" t="s">
        <v>205</v>
      </c>
      <c r="AB103" s="89" t="s">
        <v>21791</v>
      </c>
      <c r="AC103" s="89" t="s">
        <v>21721</v>
      </c>
      <c r="AD103" s="93" t="s">
        <v>19523</v>
      </c>
      <c r="AE103" s="92" t="s">
        <v>4</v>
      </c>
      <c r="AF103" s="92" t="s">
        <v>10</v>
      </c>
      <c r="AG103" s="94">
        <v>3018298</v>
      </c>
      <c r="AH103" s="95">
        <v>25350525</v>
      </c>
      <c r="AI103" s="95">
        <v>57843330.850000001</v>
      </c>
      <c r="AJ103" s="89" t="s">
        <v>210</v>
      </c>
      <c r="AK103" s="89">
        <f>IF('Carga Tributária doenças Po (2'!$Z103="+",0,SUMIFS(PISCOFINS!$I$3:$I$10518,PISCOFINS!$C$3:$C$10518,'Carga Tributária doenças Po (2'!$C103))</f>
        <v>2.1</v>
      </c>
      <c r="AL103" s="89">
        <f>IF('Carga Tributária doenças Po (2'!$Z103="+",0,SUMIFS(PISCOFINS!$H$3:$H$10518,PISCOFINS!$C$3:$C$10518,'Carga Tributária doenças Po (2'!$C103))</f>
        <v>9.9</v>
      </c>
      <c r="AM103" s="95">
        <v>3.27</v>
      </c>
      <c r="AN103" s="95">
        <v>3.12</v>
      </c>
      <c r="AO103" s="95">
        <v>1.35</v>
      </c>
      <c r="AP103" s="96">
        <v>18</v>
      </c>
      <c r="AQ103" s="96">
        <v>12</v>
      </c>
      <c r="AR103" s="96">
        <v>17</v>
      </c>
      <c r="AS103" s="97">
        <v>17</v>
      </c>
      <c r="AT103" s="97">
        <v>19</v>
      </c>
      <c r="AU103" s="97">
        <v>12</v>
      </c>
      <c r="AV103" s="97">
        <v>17</v>
      </c>
      <c r="AW103" s="97">
        <v>17</v>
      </c>
      <c r="AX103" s="97">
        <v>17</v>
      </c>
      <c r="AY103" s="97">
        <v>17</v>
      </c>
      <c r="AZ103" s="97">
        <v>17</v>
      </c>
      <c r="BA103" s="97">
        <v>17</v>
      </c>
      <c r="BB103" s="97">
        <v>17</v>
      </c>
      <c r="BC103" s="97">
        <v>17</v>
      </c>
      <c r="BD103" s="97">
        <v>17</v>
      </c>
      <c r="BE103" s="97">
        <v>17</v>
      </c>
      <c r="BF103" s="97">
        <f>+Tabela1107[[#This Row],[PIS]]+Tabela1107[[#This Row],[COFINS]]+Tabela1107[[#This Row],[CONTRIB. FOLHA]]+Tabela1107[[#This Row],[TRIBUTOS S/ LUCRO]]+Tabela1107[[#This Row],[OUTROS]]+Tabela1107[[#This Row],[SP]]</f>
        <v>37.74</v>
      </c>
      <c r="BG103" s="97">
        <f>+Tabela1107[[#This Row],[PIS]]+Tabela1107[[#This Row],[COFINS]]+Tabela1107[[#This Row],[CONTRIB. FOLHA]]+Tabela1107[[#This Row],[TRIBUTOS S/ LUCRO]]+Tabela1107[[#This Row],[OUTROS]]+Tabela1107[[#This Row],[PR]]</f>
        <v>31.740000000000002</v>
      </c>
      <c r="BH103" s="97">
        <f>+Tabela1107[[#This Row],[PIS]]+Tabela1107[[#This Row],[COFINS]]+Tabela1107[[#This Row],[CONTRIB. FOLHA]]+Tabela1107[[#This Row],[TRIBUTOS S/ LUCRO]]+Tabela1107[[#This Row],[OUTROS]]+Tabela1107[[#This Row],[SC]]</f>
        <v>36.74</v>
      </c>
      <c r="BI103" s="97">
        <f>+Tabela1107[[#This Row],[PIS]]+Tabela1107[[#This Row],[COFINS]]+Tabela1107[[#This Row],[CONTRIB. FOLHA]]+Tabela1107[[#This Row],[TRIBUTOS S/ LUCRO]]+Tabela1107[[#This Row],[OUTROS]]+Tabela1107[[#This Row],[RS]]</f>
        <v>36.74</v>
      </c>
      <c r="BJ103" s="97">
        <f>+Tabela1107[[#This Row],[PIS]]+Tabela1107[[#This Row],[COFINS]]+Tabela1107[[#This Row],[CONTRIB. FOLHA]]+Tabela1107[[#This Row],[TRIBUTOS S/ LUCRO]]+Tabela1107[[#This Row],[OUTROS]]+Tabela1107[[#This Row],[RJ]]</f>
        <v>38.74</v>
      </c>
      <c r="BK103" s="97">
        <f>+Tabela1107[[#This Row],[PIS]]+Tabela1107[[#This Row],[COFINS]]+Tabela1107[[#This Row],[CONTRIB. FOLHA]]+Tabela1107[[#This Row],[TRIBUTOS S/ LUCRO]]+Tabela1107[[#This Row],[OUTROS]]+Tabela1107[[#This Row],[MG]]</f>
        <v>31.740000000000002</v>
      </c>
      <c r="BL103" s="97">
        <f>+Tabela1107[[#This Row],[PIS]]+Tabela1107[[#This Row],[COFINS]]+Tabela1107[[#This Row],[CONTRIB. FOLHA]]+Tabela1107[[#This Row],[TRIBUTOS S/ LUCRO]]+Tabela1107[[#This Row],[OUTROS]]+Tabela1107[[#This Row],[ES]]</f>
        <v>36.74</v>
      </c>
      <c r="BM103" s="97">
        <f>+Tabela1107[[#This Row],[PIS]]+Tabela1107[[#This Row],[COFINS]]+Tabela1107[[#This Row],[CONTRIB. FOLHA]]+Tabela1107[[#This Row],[TRIBUTOS S/ LUCRO]]+Tabela1107[[#This Row],[OUTROS]]+Tabela1107[[#This Row],[GO]]</f>
        <v>36.74</v>
      </c>
      <c r="BN103" s="97">
        <f>+Tabela1107[[#This Row],[PIS]]+Tabela1107[[#This Row],[COFINS]]+Tabela1107[[#This Row],[CONTRIB. FOLHA]]+Tabela1107[[#This Row],[TRIBUTOS S/ LUCRO]]+Tabela1107[[#This Row],[OUTROS]]+Tabela1107[[#This Row],[MT]]</f>
        <v>36.74</v>
      </c>
      <c r="BO103" s="97">
        <f>+Tabela1107[[#This Row],[PIS]]+Tabela1107[[#This Row],[COFINS]]+Tabela1107[[#This Row],[CONTRIB. FOLHA]]+Tabela1107[[#This Row],[TRIBUTOS S/ LUCRO]]+Tabela1107[[#This Row],[OUTROS]]+Tabela1107[[#This Row],[MS]]</f>
        <v>36.74</v>
      </c>
      <c r="BP103" s="97">
        <f>+Tabela1107[[#This Row],[PIS]]+Tabela1107[[#This Row],[COFINS]]+Tabela1107[[#This Row],[CONTRIB. FOLHA]]+Tabela1107[[#This Row],[TRIBUTOS S/ LUCRO]]+Tabela1107[[#This Row],[OUTROS]]+Tabela1107[[#This Row],[DF]]</f>
        <v>36.74</v>
      </c>
      <c r="BQ103" s="97">
        <f>+Tabela1107[[#This Row],[PIS]]+Tabela1107[[#This Row],[COFINS]]+Tabela1107[[#This Row],[CONTRIB. FOLHA]]+Tabela1107[[#This Row],[TRIBUTOS S/ LUCRO]]+Tabela1107[[#This Row],[OUTROS]]+Tabela1107[[#This Row],[BA]]</f>
        <v>36.74</v>
      </c>
      <c r="BR103" s="97">
        <f>+Tabela1107[[#This Row],[PIS]]+Tabela1107[[#This Row],[COFINS]]+Tabela1107[[#This Row],[CONTRIB. FOLHA]]+Tabela1107[[#This Row],[TRIBUTOS S/ LUCRO]]+Tabela1107[[#This Row],[OUTROS]]+Tabela1107[[#This Row],[BA]]</f>
        <v>36.74</v>
      </c>
      <c r="BS103" s="97">
        <f>+Tabela1107[[#This Row],[PIS]]+Tabela1107[[#This Row],[COFINS]]+Tabela1107[[#This Row],[CONTRIB. FOLHA]]+Tabela1107[[#This Row],[TRIBUTOS S/ LUCRO]]+Tabela1107[[#This Row],[OUTROS]]+Tabela1107[[#This Row],[PE]]</f>
        <v>36.74</v>
      </c>
      <c r="BT103" s="97">
        <f>+Tabela1107[[#This Row],[PIS]]+Tabela1107[[#This Row],[COFINS]]+Tabela1107[[#This Row],[CONTRIB. FOLHA]]+Tabela1107[[#This Row],[TRIBUTOS S/ LUCRO]]+Tabela1107[[#This Row],[OUTROS]]+Tabela1107[[#This Row],[PA]]</f>
        <v>36.74</v>
      </c>
      <c r="BU103" s="97">
        <f>+Tabela1107[[#This Row],[PIS]]+Tabela1107[[#This Row],[COFINS]]+Tabela1107[[#This Row],[CONTRIB. FOLHA]]+Tabela1107[[#This Row],[TRIBUTOS S/ LUCRO]]+Tabela1107[[#This Row],[OUTROS]]+Tabela1107[[#This Row],[AM]]</f>
        <v>36.74</v>
      </c>
      <c r="BV103" s="97">
        <f>AVERAGE(Tabela1107[[#This Row],[TOTAL SP]:[TOTAL AM]])</f>
        <v>36.302500000000002</v>
      </c>
      <c r="BW103" s="97"/>
      <c r="BX103" s="97"/>
    </row>
    <row r="104" spans="2:76" x14ac:dyDescent="0.25">
      <c r="B104" s="89">
        <v>12106</v>
      </c>
      <c r="C104" s="91" t="s">
        <v>13183</v>
      </c>
      <c r="D104" s="89"/>
      <c r="E104" s="89">
        <v>20140626</v>
      </c>
      <c r="F104" s="89" t="s">
        <v>20719</v>
      </c>
      <c r="G104" s="89" t="s">
        <v>20720</v>
      </c>
      <c r="H104" s="89" t="s">
        <v>20721</v>
      </c>
      <c r="I104" s="89" t="s">
        <v>2615</v>
      </c>
      <c r="J104" s="89" t="s">
        <v>204</v>
      </c>
      <c r="K104" s="89"/>
      <c r="L104" s="89" t="s">
        <v>2615</v>
      </c>
      <c r="M104" s="89" t="s">
        <v>4496</v>
      </c>
      <c r="N104" s="89" t="s">
        <v>4496</v>
      </c>
      <c r="O104" s="89" t="s">
        <v>4496</v>
      </c>
      <c r="P104" s="89" t="s">
        <v>4496</v>
      </c>
      <c r="Q104" s="89"/>
      <c r="R104" s="89" t="s">
        <v>198</v>
      </c>
      <c r="S104" s="89" t="s">
        <v>21572</v>
      </c>
      <c r="T104" s="89" t="s">
        <v>21573</v>
      </c>
      <c r="U104" s="89" t="str">
        <f>TRIM('Carga Tributária doenças Po (2'!$L104)</f>
        <v>CITRATO DE SILDENAFILA</v>
      </c>
      <c r="V104" s="89">
        <f>SUMIFS('Tabela Federal'!$E$4:$E$2069,'Tabela Federal'!$D$4:$D$2069,'Carga Tributária doenças Po (2'!$L104)</f>
        <v>1</v>
      </c>
      <c r="W104" s="89">
        <f>SUMIFS('Tabela Federal'!$E$4:$E$2069,'Tabela Federal'!$D$4:$D$2069,'Carga Tributária doenças Po (2'!$M104)</f>
        <v>0</v>
      </c>
      <c r="X104" s="89">
        <f>SUMIFS('Tabela Federal'!$E$4:$E$2069,'Tabela Federal'!$D$4:$D$2069,'Carga Tributária doenças Po (2'!$N104)</f>
        <v>0</v>
      </c>
      <c r="Y104" s="89">
        <f>SUMIFS('Tabela Federal'!$E$4:$E$2069,'Tabela Federal'!$D$4:$D$2069,'Carga Tributária doenças Po (2'!$O104)</f>
        <v>0</v>
      </c>
      <c r="Z104" s="92" t="str">
        <f>VLOOKUP('Carga Tributária doenças Po (2'!$AD104,'Carga Tributária doenças Po (2'!$CA$12:$CC$16,2,0)</f>
        <v>-</v>
      </c>
      <c r="AA104" s="89" t="s">
        <v>205</v>
      </c>
      <c r="AB104" s="89" t="s">
        <v>21791</v>
      </c>
      <c r="AC104" s="89" t="s">
        <v>21721</v>
      </c>
      <c r="AD104" s="93" t="s">
        <v>19523</v>
      </c>
      <c r="AE104" s="92" t="s">
        <v>4</v>
      </c>
      <c r="AF104" s="92" t="s">
        <v>10</v>
      </c>
      <c r="AG104" s="94">
        <v>1159476</v>
      </c>
      <c r="AH104" s="95">
        <v>4864377</v>
      </c>
      <c r="AI104" s="95">
        <v>11110119.41</v>
      </c>
      <c r="AJ104" s="89" t="s">
        <v>210</v>
      </c>
      <c r="AK104" s="89">
        <f>IF('Carga Tributária doenças Po (2'!$Z104="+",0,SUMIFS(PISCOFINS!$I$3:$I$10518,PISCOFINS!$C$3:$C$10518,'Carga Tributária doenças Po (2'!$C104))</f>
        <v>2.1</v>
      </c>
      <c r="AL104" s="89">
        <f>IF('Carga Tributária doenças Po (2'!$Z104="+",0,SUMIFS(PISCOFINS!$H$3:$H$10518,PISCOFINS!$C$3:$C$10518,'Carga Tributária doenças Po (2'!$C104))</f>
        <v>9.9</v>
      </c>
      <c r="AM104" s="95">
        <v>3.27</v>
      </c>
      <c r="AN104" s="95">
        <v>3.12</v>
      </c>
      <c r="AO104" s="95">
        <v>1.35</v>
      </c>
      <c r="AP104" s="96">
        <v>18</v>
      </c>
      <c r="AQ104" s="96">
        <v>12</v>
      </c>
      <c r="AR104" s="96">
        <v>17</v>
      </c>
      <c r="AS104" s="97">
        <v>17</v>
      </c>
      <c r="AT104" s="97">
        <v>19</v>
      </c>
      <c r="AU104" s="97">
        <v>12</v>
      </c>
      <c r="AV104" s="97">
        <v>17</v>
      </c>
      <c r="AW104" s="97">
        <v>17</v>
      </c>
      <c r="AX104" s="97">
        <v>17</v>
      </c>
      <c r="AY104" s="97">
        <v>17</v>
      </c>
      <c r="AZ104" s="97">
        <v>17</v>
      </c>
      <c r="BA104" s="97">
        <v>17</v>
      </c>
      <c r="BB104" s="97">
        <v>17</v>
      </c>
      <c r="BC104" s="97">
        <v>17</v>
      </c>
      <c r="BD104" s="97">
        <v>17</v>
      </c>
      <c r="BE104" s="97">
        <v>17</v>
      </c>
      <c r="BF104" s="97">
        <f>+Tabela1107[[#This Row],[PIS]]+Tabela1107[[#This Row],[COFINS]]+Tabela1107[[#This Row],[CONTRIB. FOLHA]]+Tabela1107[[#This Row],[TRIBUTOS S/ LUCRO]]+Tabela1107[[#This Row],[OUTROS]]+Tabela1107[[#This Row],[SP]]</f>
        <v>37.74</v>
      </c>
      <c r="BG104" s="97">
        <f>+Tabela1107[[#This Row],[PIS]]+Tabela1107[[#This Row],[COFINS]]+Tabela1107[[#This Row],[CONTRIB. FOLHA]]+Tabela1107[[#This Row],[TRIBUTOS S/ LUCRO]]+Tabela1107[[#This Row],[OUTROS]]+Tabela1107[[#This Row],[PR]]</f>
        <v>31.740000000000002</v>
      </c>
      <c r="BH104" s="97">
        <f>+Tabela1107[[#This Row],[PIS]]+Tabela1107[[#This Row],[COFINS]]+Tabela1107[[#This Row],[CONTRIB. FOLHA]]+Tabela1107[[#This Row],[TRIBUTOS S/ LUCRO]]+Tabela1107[[#This Row],[OUTROS]]+Tabela1107[[#This Row],[SC]]</f>
        <v>36.74</v>
      </c>
      <c r="BI104" s="97">
        <f>+Tabela1107[[#This Row],[PIS]]+Tabela1107[[#This Row],[COFINS]]+Tabela1107[[#This Row],[CONTRIB. FOLHA]]+Tabela1107[[#This Row],[TRIBUTOS S/ LUCRO]]+Tabela1107[[#This Row],[OUTROS]]+Tabela1107[[#This Row],[RS]]</f>
        <v>36.74</v>
      </c>
      <c r="BJ104" s="97">
        <f>+Tabela1107[[#This Row],[PIS]]+Tabela1107[[#This Row],[COFINS]]+Tabela1107[[#This Row],[CONTRIB. FOLHA]]+Tabela1107[[#This Row],[TRIBUTOS S/ LUCRO]]+Tabela1107[[#This Row],[OUTROS]]+Tabela1107[[#This Row],[RJ]]</f>
        <v>38.74</v>
      </c>
      <c r="BK104" s="97">
        <f>+Tabela1107[[#This Row],[PIS]]+Tabela1107[[#This Row],[COFINS]]+Tabela1107[[#This Row],[CONTRIB. FOLHA]]+Tabela1107[[#This Row],[TRIBUTOS S/ LUCRO]]+Tabela1107[[#This Row],[OUTROS]]+Tabela1107[[#This Row],[MG]]</f>
        <v>31.740000000000002</v>
      </c>
      <c r="BL104" s="97">
        <f>+Tabela1107[[#This Row],[PIS]]+Tabela1107[[#This Row],[COFINS]]+Tabela1107[[#This Row],[CONTRIB. FOLHA]]+Tabela1107[[#This Row],[TRIBUTOS S/ LUCRO]]+Tabela1107[[#This Row],[OUTROS]]+Tabela1107[[#This Row],[ES]]</f>
        <v>36.74</v>
      </c>
      <c r="BM104" s="97">
        <f>+Tabela1107[[#This Row],[PIS]]+Tabela1107[[#This Row],[COFINS]]+Tabela1107[[#This Row],[CONTRIB. FOLHA]]+Tabela1107[[#This Row],[TRIBUTOS S/ LUCRO]]+Tabela1107[[#This Row],[OUTROS]]+Tabela1107[[#This Row],[GO]]</f>
        <v>36.74</v>
      </c>
      <c r="BN104" s="97">
        <f>+Tabela1107[[#This Row],[PIS]]+Tabela1107[[#This Row],[COFINS]]+Tabela1107[[#This Row],[CONTRIB. FOLHA]]+Tabela1107[[#This Row],[TRIBUTOS S/ LUCRO]]+Tabela1107[[#This Row],[OUTROS]]+Tabela1107[[#This Row],[MT]]</f>
        <v>36.74</v>
      </c>
      <c r="BO104" s="97">
        <f>+Tabela1107[[#This Row],[PIS]]+Tabela1107[[#This Row],[COFINS]]+Tabela1107[[#This Row],[CONTRIB. FOLHA]]+Tabela1107[[#This Row],[TRIBUTOS S/ LUCRO]]+Tabela1107[[#This Row],[OUTROS]]+Tabela1107[[#This Row],[MS]]</f>
        <v>36.74</v>
      </c>
      <c r="BP104" s="97">
        <f>+Tabela1107[[#This Row],[PIS]]+Tabela1107[[#This Row],[COFINS]]+Tabela1107[[#This Row],[CONTRIB. FOLHA]]+Tabela1107[[#This Row],[TRIBUTOS S/ LUCRO]]+Tabela1107[[#This Row],[OUTROS]]+Tabela1107[[#This Row],[DF]]</f>
        <v>36.74</v>
      </c>
      <c r="BQ104" s="97">
        <f>+Tabela1107[[#This Row],[PIS]]+Tabela1107[[#This Row],[COFINS]]+Tabela1107[[#This Row],[CONTRIB. FOLHA]]+Tabela1107[[#This Row],[TRIBUTOS S/ LUCRO]]+Tabela1107[[#This Row],[OUTROS]]+Tabela1107[[#This Row],[BA]]</f>
        <v>36.74</v>
      </c>
      <c r="BR104" s="97">
        <f>+Tabela1107[[#This Row],[PIS]]+Tabela1107[[#This Row],[COFINS]]+Tabela1107[[#This Row],[CONTRIB. FOLHA]]+Tabela1107[[#This Row],[TRIBUTOS S/ LUCRO]]+Tabela1107[[#This Row],[OUTROS]]+Tabela1107[[#This Row],[BA]]</f>
        <v>36.74</v>
      </c>
      <c r="BS104" s="97">
        <f>+Tabela1107[[#This Row],[PIS]]+Tabela1107[[#This Row],[COFINS]]+Tabela1107[[#This Row],[CONTRIB. FOLHA]]+Tabela1107[[#This Row],[TRIBUTOS S/ LUCRO]]+Tabela1107[[#This Row],[OUTROS]]+Tabela1107[[#This Row],[PE]]</f>
        <v>36.74</v>
      </c>
      <c r="BT104" s="97">
        <f>+Tabela1107[[#This Row],[PIS]]+Tabela1107[[#This Row],[COFINS]]+Tabela1107[[#This Row],[CONTRIB. FOLHA]]+Tabela1107[[#This Row],[TRIBUTOS S/ LUCRO]]+Tabela1107[[#This Row],[OUTROS]]+Tabela1107[[#This Row],[PA]]</f>
        <v>36.74</v>
      </c>
      <c r="BU104" s="97">
        <f>+Tabela1107[[#This Row],[PIS]]+Tabela1107[[#This Row],[COFINS]]+Tabela1107[[#This Row],[CONTRIB. FOLHA]]+Tabela1107[[#This Row],[TRIBUTOS S/ LUCRO]]+Tabela1107[[#This Row],[OUTROS]]+Tabela1107[[#This Row],[AM]]</f>
        <v>36.74</v>
      </c>
      <c r="BV104" s="97">
        <f>AVERAGE(Tabela1107[[#This Row],[TOTAL SP]:[TOTAL AM]])</f>
        <v>36.302500000000002</v>
      </c>
      <c r="BW104" s="97"/>
      <c r="BX104" s="97"/>
    </row>
    <row r="105" spans="2:76" x14ac:dyDescent="0.25">
      <c r="B105" s="89">
        <v>12107</v>
      </c>
      <c r="C105" s="91" t="s">
        <v>13183</v>
      </c>
      <c r="D105" s="89"/>
      <c r="E105" s="89">
        <v>20140626</v>
      </c>
      <c r="F105" s="89" t="s">
        <v>20619</v>
      </c>
      <c r="G105" s="89" t="s">
        <v>20620</v>
      </c>
      <c r="H105" s="89" t="s">
        <v>20621</v>
      </c>
      <c r="I105" s="89" t="s">
        <v>2615</v>
      </c>
      <c r="J105" s="89" t="s">
        <v>204</v>
      </c>
      <c r="K105" s="89"/>
      <c r="L105" s="89" t="s">
        <v>2615</v>
      </c>
      <c r="M105" s="89" t="s">
        <v>4496</v>
      </c>
      <c r="N105" s="89" t="s">
        <v>4496</v>
      </c>
      <c r="O105" s="89" t="s">
        <v>4496</v>
      </c>
      <c r="P105" s="89" t="s">
        <v>4496</v>
      </c>
      <c r="Q105" s="89"/>
      <c r="R105" s="89" t="s">
        <v>29</v>
      </c>
      <c r="S105" s="89" t="s">
        <v>21616</v>
      </c>
      <c r="T105" s="89" t="s">
        <v>21617</v>
      </c>
      <c r="U105" s="89" t="str">
        <f>TRIM('Carga Tributária doenças Po (2'!$L105)</f>
        <v>CITRATO DE SILDENAFILA</v>
      </c>
      <c r="V105" s="89">
        <f>SUMIFS('Tabela Federal'!$E$4:$E$2069,'Tabela Federal'!$D$4:$D$2069,'Carga Tributária doenças Po (2'!$L105)</f>
        <v>1</v>
      </c>
      <c r="W105" s="89">
        <f>SUMIFS('Tabela Federal'!$E$4:$E$2069,'Tabela Federal'!$D$4:$D$2069,'Carga Tributária doenças Po (2'!$M105)</f>
        <v>0</v>
      </c>
      <c r="X105" s="89">
        <f>SUMIFS('Tabela Federal'!$E$4:$E$2069,'Tabela Federal'!$D$4:$D$2069,'Carga Tributária doenças Po (2'!$N105)</f>
        <v>0</v>
      </c>
      <c r="Y105" s="89">
        <f>SUMIFS('Tabela Federal'!$E$4:$E$2069,'Tabela Federal'!$D$4:$D$2069,'Carga Tributária doenças Po (2'!$O105)</f>
        <v>0</v>
      </c>
      <c r="Z105" s="92" t="str">
        <f>VLOOKUP('Carga Tributária doenças Po (2'!$AD105,'Carga Tributária doenças Po (2'!$CA$12:$CC$16,2,0)</f>
        <v>-</v>
      </c>
      <c r="AA105" s="89" t="s">
        <v>205</v>
      </c>
      <c r="AB105" s="89" t="s">
        <v>21791</v>
      </c>
      <c r="AC105" s="89" t="s">
        <v>21721</v>
      </c>
      <c r="AD105" s="93" t="s">
        <v>19523</v>
      </c>
      <c r="AE105" s="92" t="s">
        <v>4</v>
      </c>
      <c r="AF105" s="92" t="s">
        <v>10</v>
      </c>
      <c r="AG105" s="94">
        <v>1324301</v>
      </c>
      <c r="AH105" s="95">
        <v>5555242</v>
      </c>
      <c r="AI105" s="95">
        <v>12658339.51</v>
      </c>
      <c r="AJ105" s="89" t="s">
        <v>210</v>
      </c>
      <c r="AK105" s="89">
        <f>IF('Carga Tributária doenças Po (2'!$Z105="+",0,SUMIFS(PISCOFINS!$I$3:$I$10518,PISCOFINS!$C$3:$C$10518,'Carga Tributária doenças Po (2'!$C105))</f>
        <v>2.1</v>
      </c>
      <c r="AL105" s="89">
        <f>IF('Carga Tributária doenças Po (2'!$Z105="+",0,SUMIFS(PISCOFINS!$H$3:$H$10518,PISCOFINS!$C$3:$C$10518,'Carga Tributária doenças Po (2'!$C105))</f>
        <v>9.9</v>
      </c>
      <c r="AM105" s="95">
        <v>3.27</v>
      </c>
      <c r="AN105" s="95">
        <v>3.12</v>
      </c>
      <c r="AO105" s="95">
        <v>1.35</v>
      </c>
      <c r="AP105" s="96">
        <v>18</v>
      </c>
      <c r="AQ105" s="96">
        <v>12</v>
      </c>
      <c r="AR105" s="96">
        <v>17</v>
      </c>
      <c r="AS105" s="97">
        <v>17</v>
      </c>
      <c r="AT105" s="97">
        <v>19</v>
      </c>
      <c r="AU105" s="97">
        <v>12</v>
      </c>
      <c r="AV105" s="97">
        <v>17</v>
      </c>
      <c r="AW105" s="97">
        <v>17</v>
      </c>
      <c r="AX105" s="97">
        <v>17</v>
      </c>
      <c r="AY105" s="97">
        <v>17</v>
      </c>
      <c r="AZ105" s="97">
        <v>17</v>
      </c>
      <c r="BA105" s="97">
        <v>17</v>
      </c>
      <c r="BB105" s="97">
        <v>17</v>
      </c>
      <c r="BC105" s="97">
        <v>17</v>
      </c>
      <c r="BD105" s="97">
        <v>17</v>
      </c>
      <c r="BE105" s="97">
        <v>17</v>
      </c>
      <c r="BF105" s="97">
        <f>+Tabela1107[[#This Row],[PIS]]+Tabela1107[[#This Row],[COFINS]]+Tabela1107[[#This Row],[CONTRIB. FOLHA]]+Tabela1107[[#This Row],[TRIBUTOS S/ LUCRO]]+Tabela1107[[#This Row],[OUTROS]]+Tabela1107[[#This Row],[SP]]</f>
        <v>37.74</v>
      </c>
      <c r="BG105" s="97">
        <f>+Tabela1107[[#This Row],[PIS]]+Tabela1107[[#This Row],[COFINS]]+Tabela1107[[#This Row],[CONTRIB. FOLHA]]+Tabela1107[[#This Row],[TRIBUTOS S/ LUCRO]]+Tabela1107[[#This Row],[OUTROS]]+Tabela1107[[#This Row],[PR]]</f>
        <v>31.740000000000002</v>
      </c>
      <c r="BH105" s="97">
        <f>+Tabela1107[[#This Row],[PIS]]+Tabela1107[[#This Row],[COFINS]]+Tabela1107[[#This Row],[CONTRIB. FOLHA]]+Tabela1107[[#This Row],[TRIBUTOS S/ LUCRO]]+Tabela1107[[#This Row],[OUTROS]]+Tabela1107[[#This Row],[SC]]</f>
        <v>36.74</v>
      </c>
      <c r="BI105" s="97">
        <f>+Tabela1107[[#This Row],[PIS]]+Tabela1107[[#This Row],[COFINS]]+Tabela1107[[#This Row],[CONTRIB. FOLHA]]+Tabela1107[[#This Row],[TRIBUTOS S/ LUCRO]]+Tabela1107[[#This Row],[OUTROS]]+Tabela1107[[#This Row],[RS]]</f>
        <v>36.74</v>
      </c>
      <c r="BJ105" s="97">
        <f>+Tabela1107[[#This Row],[PIS]]+Tabela1107[[#This Row],[COFINS]]+Tabela1107[[#This Row],[CONTRIB. FOLHA]]+Tabela1107[[#This Row],[TRIBUTOS S/ LUCRO]]+Tabela1107[[#This Row],[OUTROS]]+Tabela1107[[#This Row],[RJ]]</f>
        <v>38.74</v>
      </c>
      <c r="BK105" s="97">
        <f>+Tabela1107[[#This Row],[PIS]]+Tabela1107[[#This Row],[COFINS]]+Tabela1107[[#This Row],[CONTRIB. FOLHA]]+Tabela1107[[#This Row],[TRIBUTOS S/ LUCRO]]+Tabela1107[[#This Row],[OUTROS]]+Tabela1107[[#This Row],[MG]]</f>
        <v>31.740000000000002</v>
      </c>
      <c r="BL105" s="97">
        <f>+Tabela1107[[#This Row],[PIS]]+Tabela1107[[#This Row],[COFINS]]+Tabela1107[[#This Row],[CONTRIB. FOLHA]]+Tabela1107[[#This Row],[TRIBUTOS S/ LUCRO]]+Tabela1107[[#This Row],[OUTROS]]+Tabela1107[[#This Row],[ES]]</f>
        <v>36.74</v>
      </c>
      <c r="BM105" s="97">
        <f>+Tabela1107[[#This Row],[PIS]]+Tabela1107[[#This Row],[COFINS]]+Tabela1107[[#This Row],[CONTRIB. FOLHA]]+Tabela1107[[#This Row],[TRIBUTOS S/ LUCRO]]+Tabela1107[[#This Row],[OUTROS]]+Tabela1107[[#This Row],[GO]]</f>
        <v>36.74</v>
      </c>
      <c r="BN105" s="97">
        <f>+Tabela1107[[#This Row],[PIS]]+Tabela1107[[#This Row],[COFINS]]+Tabela1107[[#This Row],[CONTRIB. FOLHA]]+Tabela1107[[#This Row],[TRIBUTOS S/ LUCRO]]+Tabela1107[[#This Row],[OUTROS]]+Tabela1107[[#This Row],[MT]]</f>
        <v>36.74</v>
      </c>
      <c r="BO105" s="97">
        <f>+Tabela1107[[#This Row],[PIS]]+Tabela1107[[#This Row],[COFINS]]+Tabela1107[[#This Row],[CONTRIB. FOLHA]]+Tabela1107[[#This Row],[TRIBUTOS S/ LUCRO]]+Tabela1107[[#This Row],[OUTROS]]+Tabela1107[[#This Row],[MS]]</f>
        <v>36.74</v>
      </c>
      <c r="BP105" s="97">
        <f>+Tabela1107[[#This Row],[PIS]]+Tabela1107[[#This Row],[COFINS]]+Tabela1107[[#This Row],[CONTRIB. FOLHA]]+Tabela1107[[#This Row],[TRIBUTOS S/ LUCRO]]+Tabela1107[[#This Row],[OUTROS]]+Tabela1107[[#This Row],[DF]]</f>
        <v>36.74</v>
      </c>
      <c r="BQ105" s="97">
        <f>+Tabela1107[[#This Row],[PIS]]+Tabela1107[[#This Row],[COFINS]]+Tabela1107[[#This Row],[CONTRIB. FOLHA]]+Tabela1107[[#This Row],[TRIBUTOS S/ LUCRO]]+Tabela1107[[#This Row],[OUTROS]]+Tabela1107[[#This Row],[BA]]</f>
        <v>36.74</v>
      </c>
      <c r="BR105" s="97">
        <f>+Tabela1107[[#This Row],[PIS]]+Tabela1107[[#This Row],[COFINS]]+Tabela1107[[#This Row],[CONTRIB. FOLHA]]+Tabela1107[[#This Row],[TRIBUTOS S/ LUCRO]]+Tabela1107[[#This Row],[OUTROS]]+Tabela1107[[#This Row],[BA]]</f>
        <v>36.74</v>
      </c>
      <c r="BS105" s="97">
        <f>+Tabela1107[[#This Row],[PIS]]+Tabela1107[[#This Row],[COFINS]]+Tabela1107[[#This Row],[CONTRIB. FOLHA]]+Tabela1107[[#This Row],[TRIBUTOS S/ LUCRO]]+Tabela1107[[#This Row],[OUTROS]]+Tabela1107[[#This Row],[PE]]</f>
        <v>36.74</v>
      </c>
      <c r="BT105" s="97">
        <f>+Tabela1107[[#This Row],[PIS]]+Tabela1107[[#This Row],[COFINS]]+Tabela1107[[#This Row],[CONTRIB. FOLHA]]+Tabela1107[[#This Row],[TRIBUTOS S/ LUCRO]]+Tabela1107[[#This Row],[OUTROS]]+Tabela1107[[#This Row],[PA]]</f>
        <v>36.74</v>
      </c>
      <c r="BU105" s="97">
        <f>+Tabela1107[[#This Row],[PIS]]+Tabela1107[[#This Row],[COFINS]]+Tabela1107[[#This Row],[CONTRIB. FOLHA]]+Tabela1107[[#This Row],[TRIBUTOS S/ LUCRO]]+Tabela1107[[#This Row],[OUTROS]]+Tabela1107[[#This Row],[AM]]</f>
        <v>36.74</v>
      </c>
      <c r="BV105" s="97">
        <f>AVERAGE(Tabela1107[[#This Row],[TOTAL SP]:[TOTAL AM]])</f>
        <v>36.302500000000002</v>
      </c>
      <c r="BW105" s="97"/>
      <c r="BX105" s="97"/>
    </row>
    <row r="106" spans="2:76" x14ac:dyDescent="0.25">
      <c r="B106" s="89">
        <v>12120</v>
      </c>
      <c r="C106" s="91" t="s">
        <v>13183</v>
      </c>
      <c r="D106" s="89"/>
      <c r="E106" s="89">
        <v>20140626</v>
      </c>
      <c r="F106" s="89" t="s">
        <v>20622</v>
      </c>
      <c r="G106" s="89" t="s">
        <v>20623</v>
      </c>
      <c r="H106" s="89" t="s">
        <v>20624</v>
      </c>
      <c r="I106" s="89" t="s">
        <v>2615</v>
      </c>
      <c r="J106" s="89" t="s">
        <v>207</v>
      </c>
      <c r="K106" s="89"/>
      <c r="L106" s="89" t="s">
        <v>2615</v>
      </c>
      <c r="M106" s="89" t="s">
        <v>4496</v>
      </c>
      <c r="N106" s="89" t="s">
        <v>4496</v>
      </c>
      <c r="O106" s="89" t="s">
        <v>4496</v>
      </c>
      <c r="P106" s="89" t="s">
        <v>4496</v>
      </c>
      <c r="Q106" s="89"/>
      <c r="R106" s="89" t="s">
        <v>29</v>
      </c>
      <c r="S106" s="89" t="s">
        <v>21616</v>
      </c>
      <c r="T106" s="89" t="s">
        <v>21617</v>
      </c>
      <c r="U106" s="89" t="str">
        <f>TRIM('Carga Tributária doenças Po (2'!$L106)</f>
        <v>CITRATO DE SILDENAFILA</v>
      </c>
      <c r="V106" s="89">
        <f>SUMIFS('Tabela Federal'!$E$4:$E$2069,'Tabela Federal'!$D$4:$D$2069,'Carga Tributária doenças Po (2'!$L106)</f>
        <v>1</v>
      </c>
      <c r="W106" s="89">
        <f>SUMIFS('Tabela Federal'!$E$4:$E$2069,'Tabela Federal'!$D$4:$D$2069,'Carga Tributária doenças Po (2'!$M106)</f>
        <v>0</v>
      </c>
      <c r="X106" s="89">
        <f>SUMIFS('Tabela Federal'!$E$4:$E$2069,'Tabela Federal'!$D$4:$D$2069,'Carga Tributária doenças Po (2'!$N106)</f>
        <v>0</v>
      </c>
      <c r="Y106" s="89">
        <f>SUMIFS('Tabela Federal'!$E$4:$E$2069,'Tabela Federal'!$D$4:$D$2069,'Carga Tributária doenças Po (2'!$O106)</f>
        <v>0</v>
      </c>
      <c r="Z106" s="92" t="str">
        <f>VLOOKUP('Carga Tributária doenças Po (2'!$AD106,'Carga Tributária doenças Po (2'!$CA$12:$CC$16,2,0)</f>
        <v>-</v>
      </c>
      <c r="AA106" s="89" t="s">
        <v>205</v>
      </c>
      <c r="AB106" s="89" t="s">
        <v>21791</v>
      </c>
      <c r="AC106" s="89" t="s">
        <v>21721</v>
      </c>
      <c r="AD106" s="93" t="s">
        <v>19523</v>
      </c>
      <c r="AE106" s="92" t="s">
        <v>4</v>
      </c>
      <c r="AF106" s="92" t="s">
        <v>10</v>
      </c>
      <c r="AG106" s="94">
        <v>889085</v>
      </c>
      <c r="AH106" s="95">
        <v>7460020</v>
      </c>
      <c r="AI106" s="95">
        <v>17030841.210000001</v>
      </c>
      <c r="AJ106" s="89" t="s">
        <v>210</v>
      </c>
      <c r="AK106" s="89">
        <f>IF('Carga Tributária doenças Po (2'!$Z106="+",0,SUMIFS(PISCOFINS!$I$3:$I$10518,PISCOFINS!$C$3:$C$10518,'Carga Tributária doenças Po (2'!$C106))</f>
        <v>2.1</v>
      </c>
      <c r="AL106" s="89">
        <f>IF('Carga Tributária doenças Po (2'!$Z106="+",0,SUMIFS(PISCOFINS!$H$3:$H$10518,PISCOFINS!$C$3:$C$10518,'Carga Tributária doenças Po (2'!$C106))</f>
        <v>9.9</v>
      </c>
      <c r="AM106" s="95">
        <v>3.27</v>
      </c>
      <c r="AN106" s="95">
        <v>3.12</v>
      </c>
      <c r="AO106" s="95">
        <v>1.35</v>
      </c>
      <c r="AP106" s="96">
        <v>18</v>
      </c>
      <c r="AQ106" s="96">
        <v>12</v>
      </c>
      <c r="AR106" s="96">
        <v>17</v>
      </c>
      <c r="AS106" s="97">
        <v>17</v>
      </c>
      <c r="AT106" s="97">
        <v>19</v>
      </c>
      <c r="AU106" s="97">
        <v>12</v>
      </c>
      <c r="AV106" s="97">
        <v>17</v>
      </c>
      <c r="AW106" s="97">
        <v>17</v>
      </c>
      <c r="AX106" s="97">
        <v>17</v>
      </c>
      <c r="AY106" s="97">
        <v>17</v>
      </c>
      <c r="AZ106" s="97">
        <v>17</v>
      </c>
      <c r="BA106" s="97">
        <v>17</v>
      </c>
      <c r="BB106" s="97">
        <v>17</v>
      </c>
      <c r="BC106" s="97">
        <v>17</v>
      </c>
      <c r="BD106" s="97">
        <v>17</v>
      </c>
      <c r="BE106" s="97">
        <v>17</v>
      </c>
      <c r="BF106" s="97">
        <f>+Tabela1107[[#This Row],[PIS]]+Tabela1107[[#This Row],[COFINS]]+Tabela1107[[#This Row],[CONTRIB. FOLHA]]+Tabela1107[[#This Row],[TRIBUTOS S/ LUCRO]]+Tabela1107[[#This Row],[OUTROS]]+Tabela1107[[#This Row],[SP]]</f>
        <v>37.74</v>
      </c>
      <c r="BG106" s="97">
        <f>+Tabela1107[[#This Row],[PIS]]+Tabela1107[[#This Row],[COFINS]]+Tabela1107[[#This Row],[CONTRIB. FOLHA]]+Tabela1107[[#This Row],[TRIBUTOS S/ LUCRO]]+Tabela1107[[#This Row],[OUTROS]]+Tabela1107[[#This Row],[PR]]</f>
        <v>31.740000000000002</v>
      </c>
      <c r="BH106" s="97">
        <f>+Tabela1107[[#This Row],[PIS]]+Tabela1107[[#This Row],[COFINS]]+Tabela1107[[#This Row],[CONTRIB. FOLHA]]+Tabela1107[[#This Row],[TRIBUTOS S/ LUCRO]]+Tabela1107[[#This Row],[OUTROS]]+Tabela1107[[#This Row],[SC]]</f>
        <v>36.74</v>
      </c>
      <c r="BI106" s="97">
        <f>+Tabela1107[[#This Row],[PIS]]+Tabela1107[[#This Row],[COFINS]]+Tabela1107[[#This Row],[CONTRIB. FOLHA]]+Tabela1107[[#This Row],[TRIBUTOS S/ LUCRO]]+Tabela1107[[#This Row],[OUTROS]]+Tabela1107[[#This Row],[RS]]</f>
        <v>36.74</v>
      </c>
      <c r="BJ106" s="97">
        <f>+Tabela1107[[#This Row],[PIS]]+Tabela1107[[#This Row],[COFINS]]+Tabela1107[[#This Row],[CONTRIB. FOLHA]]+Tabela1107[[#This Row],[TRIBUTOS S/ LUCRO]]+Tabela1107[[#This Row],[OUTROS]]+Tabela1107[[#This Row],[RJ]]</f>
        <v>38.74</v>
      </c>
      <c r="BK106" s="97">
        <f>+Tabela1107[[#This Row],[PIS]]+Tabela1107[[#This Row],[COFINS]]+Tabela1107[[#This Row],[CONTRIB. FOLHA]]+Tabela1107[[#This Row],[TRIBUTOS S/ LUCRO]]+Tabela1107[[#This Row],[OUTROS]]+Tabela1107[[#This Row],[MG]]</f>
        <v>31.740000000000002</v>
      </c>
      <c r="BL106" s="97">
        <f>+Tabela1107[[#This Row],[PIS]]+Tabela1107[[#This Row],[COFINS]]+Tabela1107[[#This Row],[CONTRIB. FOLHA]]+Tabela1107[[#This Row],[TRIBUTOS S/ LUCRO]]+Tabela1107[[#This Row],[OUTROS]]+Tabela1107[[#This Row],[ES]]</f>
        <v>36.74</v>
      </c>
      <c r="BM106" s="97">
        <f>+Tabela1107[[#This Row],[PIS]]+Tabela1107[[#This Row],[COFINS]]+Tabela1107[[#This Row],[CONTRIB. FOLHA]]+Tabela1107[[#This Row],[TRIBUTOS S/ LUCRO]]+Tabela1107[[#This Row],[OUTROS]]+Tabela1107[[#This Row],[GO]]</f>
        <v>36.74</v>
      </c>
      <c r="BN106" s="97">
        <f>+Tabela1107[[#This Row],[PIS]]+Tabela1107[[#This Row],[COFINS]]+Tabela1107[[#This Row],[CONTRIB. FOLHA]]+Tabela1107[[#This Row],[TRIBUTOS S/ LUCRO]]+Tabela1107[[#This Row],[OUTROS]]+Tabela1107[[#This Row],[MT]]</f>
        <v>36.74</v>
      </c>
      <c r="BO106" s="97">
        <f>+Tabela1107[[#This Row],[PIS]]+Tabela1107[[#This Row],[COFINS]]+Tabela1107[[#This Row],[CONTRIB. FOLHA]]+Tabela1107[[#This Row],[TRIBUTOS S/ LUCRO]]+Tabela1107[[#This Row],[OUTROS]]+Tabela1107[[#This Row],[MS]]</f>
        <v>36.74</v>
      </c>
      <c r="BP106" s="97">
        <f>+Tabela1107[[#This Row],[PIS]]+Tabela1107[[#This Row],[COFINS]]+Tabela1107[[#This Row],[CONTRIB. FOLHA]]+Tabela1107[[#This Row],[TRIBUTOS S/ LUCRO]]+Tabela1107[[#This Row],[OUTROS]]+Tabela1107[[#This Row],[DF]]</f>
        <v>36.74</v>
      </c>
      <c r="BQ106" s="97">
        <f>+Tabela1107[[#This Row],[PIS]]+Tabela1107[[#This Row],[COFINS]]+Tabela1107[[#This Row],[CONTRIB. FOLHA]]+Tabela1107[[#This Row],[TRIBUTOS S/ LUCRO]]+Tabela1107[[#This Row],[OUTROS]]+Tabela1107[[#This Row],[BA]]</f>
        <v>36.74</v>
      </c>
      <c r="BR106" s="97">
        <f>+Tabela1107[[#This Row],[PIS]]+Tabela1107[[#This Row],[COFINS]]+Tabela1107[[#This Row],[CONTRIB. FOLHA]]+Tabela1107[[#This Row],[TRIBUTOS S/ LUCRO]]+Tabela1107[[#This Row],[OUTROS]]+Tabela1107[[#This Row],[BA]]</f>
        <v>36.74</v>
      </c>
      <c r="BS106" s="97">
        <f>+Tabela1107[[#This Row],[PIS]]+Tabela1107[[#This Row],[COFINS]]+Tabela1107[[#This Row],[CONTRIB. FOLHA]]+Tabela1107[[#This Row],[TRIBUTOS S/ LUCRO]]+Tabela1107[[#This Row],[OUTROS]]+Tabela1107[[#This Row],[PE]]</f>
        <v>36.74</v>
      </c>
      <c r="BT106" s="97">
        <f>+Tabela1107[[#This Row],[PIS]]+Tabela1107[[#This Row],[COFINS]]+Tabela1107[[#This Row],[CONTRIB. FOLHA]]+Tabela1107[[#This Row],[TRIBUTOS S/ LUCRO]]+Tabela1107[[#This Row],[OUTROS]]+Tabela1107[[#This Row],[PA]]</f>
        <v>36.74</v>
      </c>
      <c r="BU106" s="97">
        <f>+Tabela1107[[#This Row],[PIS]]+Tabela1107[[#This Row],[COFINS]]+Tabela1107[[#This Row],[CONTRIB. FOLHA]]+Tabela1107[[#This Row],[TRIBUTOS S/ LUCRO]]+Tabela1107[[#This Row],[OUTROS]]+Tabela1107[[#This Row],[AM]]</f>
        <v>36.74</v>
      </c>
      <c r="BV106" s="97">
        <f>AVERAGE(Tabela1107[[#This Row],[TOTAL SP]:[TOTAL AM]])</f>
        <v>36.302500000000002</v>
      </c>
      <c r="BW106" s="97"/>
      <c r="BX106" s="97"/>
    </row>
    <row r="107" spans="2:76" x14ac:dyDescent="0.25">
      <c r="B107" s="89">
        <v>12137</v>
      </c>
      <c r="C107" s="91" t="s">
        <v>13183</v>
      </c>
      <c r="D107" s="89"/>
      <c r="E107" s="89">
        <v>20140626</v>
      </c>
      <c r="F107" s="89" t="s">
        <v>20725</v>
      </c>
      <c r="G107" s="89" t="s">
        <v>20726</v>
      </c>
      <c r="H107" s="89" t="s">
        <v>20727</v>
      </c>
      <c r="I107" s="89" t="s">
        <v>2615</v>
      </c>
      <c r="J107" s="89" t="s">
        <v>206</v>
      </c>
      <c r="K107" s="89"/>
      <c r="L107" s="89" t="s">
        <v>2615</v>
      </c>
      <c r="M107" s="89" t="s">
        <v>4496</v>
      </c>
      <c r="N107" s="89" t="s">
        <v>4496</v>
      </c>
      <c r="O107" s="89" t="s">
        <v>4496</v>
      </c>
      <c r="P107" s="89" t="s">
        <v>4496</v>
      </c>
      <c r="Q107" s="89"/>
      <c r="R107" s="89" t="s">
        <v>198</v>
      </c>
      <c r="S107" s="89" t="s">
        <v>21572</v>
      </c>
      <c r="T107" s="89" t="s">
        <v>21573</v>
      </c>
      <c r="U107" s="89" t="str">
        <f>TRIM('Carga Tributária doenças Po (2'!$L107)</f>
        <v>CITRATO DE SILDENAFILA</v>
      </c>
      <c r="V107" s="89">
        <f>SUMIFS('Tabela Federal'!$E$4:$E$2069,'Tabela Federal'!$D$4:$D$2069,'Carga Tributária doenças Po (2'!$L107)</f>
        <v>1</v>
      </c>
      <c r="W107" s="89">
        <f>SUMIFS('Tabela Federal'!$E$4:$E$2069,'Tabela Federal'!$D$4:$D$2069,'Carga Tributária doenças Po (2'!$M107)</f>
        <v>0</v>
      </c>
      <c r="X107" s="89">
        <f>SUMIFS('Tabela Federal'!$E$4:$E$2069,'Tabela Federal'!$D$4:$D$2069,'Carga Tributária doenças Po (2'!$N107)</f>
        <v>0</v>
      </c>
      <c r="Y107" s="89">
        <f>SUMIFS('Tabela Federal'!$E$4:$E$2069,'Tabela Federal'!$D$4:$D$2069,'Carga Tributária doenças Po (2'!$O107)</f>
        <v>0</v>
      </c>
      <c r="Z107" s="92" t="str">
        <f>VLOOKUP('Carga Tributária doenças Po (2'!$AD107,'Carga Tributária doenças Po (2'!$CA$12:$CC$16,2,0)</f>
        <v>-</v>
      </c>
      <c r="AA107" s="89" t="s">
        <v>205</v>
      </c>
      <c r="AB107" s="89" t="s">
        <v>21791</v>
      </c>
      <c r="AC107" s="89" t="s">
        <v>21721</v>
      </c>
      <c r="AD107" s="93" t="s">
        <v>19523</v>
      </c>
      <c r="AE107" s="92" t="s">
        <v>4</v>
      </c>
      <c r="AF107" s="92" t="s">
        <v>10</v>
      </c>
      <c r="AG107" s="94">
        <v>4945715</v>
      </c>
      <c r="AH107" s="95">
        <v>82840835</v>
      </c>
      <c r="AI107" s="95">
        <v>189796058</v>
      </c>
      <c r="AJ107" s="89" t="s">
        <v>210</v>
      </c>
      <c r="AK107" s="89">
        <f>IF('Carga Tributária doenças Po (2'!$Z107="+",0,SUMIFS(PISCOFINS!$I$3:$I$10518,PISCOFINS!$C$3:$C$10518,'Carga Tributária doenças Po (2'!$C107))</f>
        <v>2.1</v>
      </c>
      <c r="AL107" s="89">
        <f>IF('Carga Tributária doenças Po (2'!$Z107="+",0,SUMIFS(PISCOFINS!$H$3:$H$10518,PISCOFINS!$C$3:$C$10518,'Carga Tributária doenças Po (2'!$C107))</f>
        <v>9.9</v>
      </c>
      <c r="AM107" s="95">
        <v>3.27</v>
      </c>
      <c r="AN107" s="95">
        <v>3.12</v>
      </c>
      <c r="AO107" s="95">
        <v>1.35</v>
      </c>
      <c r="AP107" s="96">
        <v>18</v>
      </c>
      <c r="AQ107" s="96">
        <v>12</v>
      </c>
      <c r="AR107" s="96">
        <v>17</v>
      </c>
      <c r="AS107" s="97">
        <v>17</v>
      </c>
      <c r="AT107" s="97">
        <v>19</v>
      </c>
      <c r="AU107" s="97">
        <v>12</v>
      </c>
      <c r="AV107" s="97">
        <v>17</v>
      </c>
      <c r="AW107" s="97">
        <v>17</v>
      </c>
      <c r="AX107" s="97">
        <v>17</v>
      </c>
      <c r="AY107" s="97">
        <v>17</v>
      </c>
      <c r="AZ107" s="97">
        <v>17</v>
      </c>
      <c r="BA107" s="97">
        <v>17</v>
      </c>
      <c r="BB107" s="97">
        <v>17</v>
      </c>
      <c r="BC107" s="97">
        <v>17</v>
      </c>
      <c r="BD107" s="97">
        <v>17</v>
      </c>
      <c r="BE107" s="97">
        <v>17</v>
      </c>
      <c r="BF107" s="97">
        <f>+Tabela1107[[#This Row],[PIS]]+Tabela1107[[#This Row],[COFINS]]+Tabela1107[[#This Row],[CONTRIB. FOLHA]]+Tabela1107[[#This Row],[TRIBUTOS S/ LUCRO]]+Tabela1107[[#This Row],[OUTROS]]+Tabela1107[[#This Row],[SP]]</f>
        <v>37.74</v>
      </c>
      <c r="BG107" s="97">
        <f>+Tabela1107[[#This Row],[PIS]]+Tabela1107[[#This Row],[COFINS]]+Tabela1107[[#This Row],[CONTRIB. FOLHA]]+Tabela1107[[#This Row],[TRIBUTOS S/ LUCRO]]+Tabela1107[[#This Row],[OUTROS]]+Tabela1107[[#This Row],[PR]]</f>
        <v>31.740000000000002</v>
      </c>
      <c r="BH107" s="97">
        <f>+Tabela1107[[#This Row],[PIS]]+Tabela1107[[#This Row],[COFINS]]+Tabela1107[[#This Row],[CONTRIB. FOLHA]]+Tabela1107[[#This Row],[TRIBUTOS S/ LUCRO]]+Tabela1107[[#This Row],[OUTROS]]+Tabela1107[[#This Row],[SC]]</f>
        <v>36.74</v>
      </c>
      <c r="BI107" s="97">
        <f>+Tabela1107[[#This Row],[PIS]]+Tabela1107[[#This Row],[COFINS]]+Tabela1107[[#This Row],[CONTRIB. FOLHA]]+Tabela1107[[#This Row],[TRIBUTOS S/ LUCRO]]+Tabela1107[[#This Row],[OUTROS]]+Tabela1107[[#This Row],[RS]]</f>
        <v>36.74</v>
      </c>
      <c r="BJ107" s="97">
        <f>+Tabela1107[[#This Row],[PIS]]+Tabela1107[[#This Row],[COFINS]]+Tabela1107[[#This Row],[CONTRIB. FOLHA]]+Tabela1107[[#This Row],[TRIBUTOS S/ LUCRO]]+Tabela1107[[#This Row],[OUTROS]]+Tabela1107[[#This Row],[RJ]]</f>
        <v>38.74</v>
      </c>
      <c r="BK107" s="97">
        <f>+Tabela1107[[#This Row],[PIS]]+Tabela1107[[#This Row],[COFINS]]+Tabela1107[[#This Row],[CONTRIB. FOLHA]]+Tabela1107[[#This Row],[TRIBUTOS S/ LUCRO]]+Tabela1107[[#This Row],[OUTROS]]+Tabela1107[[#This Row],[MG]]</f>
        <v>31.740000000000002</v>
      </c>
      <c r="BL107" s="97">
        <f>+Tabela1107[[#This Row],[PIS]]+Tabela1107[[#This Row],[COFINS]]+Tabela1107[[#This Row],[CONTRIB. FOLHA]]+Tabela1107[[#This Row],[TRIBUTOS S/ LUCRO]]+Tabela1107[[#This Row],[OUTROS]]+Tabela1107[[#This Row],[ES]]</f>
        <v>36.74</v>
      </c>
      <c r="BM107" s="97">
        <f>+Tabela1107[[#This Row],[PIS]]+Tabela1107[[#This Row],[COFINS]]+Tabela1107[[#This Row],[CONTRIB. FOLHA]]+Tabela1107[[#This Row],[TRIBUTOS S/ LUCRO]]+Tabela1107[[#This Row],[OUTROS]]+Tabela1107[[#This Row],[GO]]</f>
        <v>36.74</v>
      </c>
      <c r="BN107" s="97">
        <f>+Tabela1107[[#This Row],[PIS]]+Tabela1107[[#This Row],[COFINS]]+Tabela1107[[#This Row],[CONTRIB. FOLHA]]+Tabela1107[[#This Row],[TRIBUTOS S/ LUCRO]]+Tabela1107[[#This Row],[OUTROS]]+Tabela1107[[#This Row],[MT]]</f>
        <v>36.74</v>
      </c>
      <c r="BO107" s="97">
        <f>+Tabela1107[[#This Row],[PIS]]+Tabela1107[[#This Row],[COFINS]]+Tabela1107[[#This Row],[CONTRIB. FOLHA]]+Tabela1107[[#This Row],[TRIBUTOS S/ LUCRO]]+Tabela1107[[#This Row],[OUTROS]]+Tabela1107[[#This Row],[MS]]</f>
        <v>36.74</v>
      </c>
      <c r="BP107" s="97">
        <f>+Tabela1107[[#This Row],[PIS]]+Tabela1107[[#This Row],[COFINS]]+Tabela1107[[#This Row],[CONTRIB. FOLHA]]+Tabela1107[[#This Row],[TRIBUTOS S/ LUCRO]]+Tabela1107[[#This Row],[OUTROS]]+Tabela1107[[#This Row],[DF]]</f>
        <v>36.74</v>
      </c>
      <c r="BQ107" s="97">
        <f>+Tabela1107[[#This Row],[PIS]]+Tabela1107[[#This Row],[COFINS]]+Tabela1107[[#This Row],[CONTRIB. FOLHA]]+Tabela1107[[#This Row],[TRIBUTOS S/ LUCRO]]+Tabela1107[[#This Row],[OUTROS]]+Tabela1107[[#This Row],[BA]]</f>
        <v>36.74</v>
      </c>
      <c r="BR107" s="97">
        <f>+Tabela1107[[#This Row],[PIS]]+Tabela1107[[#This Row],[COFINS]]+Tabela1107[[#This Row],[CONTRIB. FOLHA]]+Tabela1107[[#This Row],[TRIBUTOS S/ LUCRO]]+Tabela1107[[#This Row],[OUTROS]]+Tabela1107[[#This Row],[BA]]</f>
        <v>36.74</v>
      </c>
      <c r="BS107" s="97">
        <f>+Tabela1107[[#This Row],[PIS]]+Tabela1107[[#This Row],[COFINS]]+Tabela1107[[#This Row],[CONTRIB. FOLHA]]+Tabela1107[[#This Row],[TRIBUTOS S/ LUCRO]]+Tabela1107[[#This Row],[OUTROS]]+Tabela1107[[#This Row],[PE]]</f>
        <v>36.74</v>
      </c>
      <c r="BT107" s="97">
        <f>+Tabela1107[[#This Row],[PIS]]+Tabela1107[[#This Row],[COFINS]]+Tabela1107[[#This Row],[CONTRIB. FOLHA]]+Tabela1107[[#This Row],[TRIBUTOS S/ LUCRO]]+Tabela1107[[#This Row],[OUTROS]]+Tabela1107[[#This Row],[PA]]</f>
        <v>36.74</v>
      </c>
      <c r="BU107" s="97">
        <f>+Tabela1107[[#This Row],[PIS]]+Tabela1107[[#This Row],[COFINS]]+Tabela1107[[#This Row],[CONTRIB. FOLHA]]+Tabela1107[[#This Row],[TRIBUTOS S/ LUCRO]]+Tabela1107[[#This Row],[OUTROS]]+Tabela1107[[#This Row],[AM]]</f>
        <v>36.74</v>
      </c>
      <c r="BV107" s="97">
        <f>AVERAGE(Tabela1107[[#This Row],[TOTAL SP]:[TOTAL AM]])</f>
        <v>36.302500000000002</v>
      </c>
      <c r="BW107" s="97"/>
      <c r="BX107" s="97"/>
    </row>
    <row r="108" spans="2:76" x14ac:dyDescent="0.25">
      <c r="B108" s="89">
        <v>12172</v>
      </c>
      <c r="C108" s="91" t="s">
        <v>13183</v>
      </c>
      <c r="D108" s="89"/>
      <c r="E108" s="89">
        <v>20140626</v>
      </c>
      <c r="F108" s="89" t="s">
        <v>21092</v>
      </c>
      <c r="G108" s="89" t="s">
        <v>21093</v>
      </c>
      <c r="H108" s="89" t="s">
        <v>21094</v>
      </c>
      <c r="I108" s="89" t="s">
        <v>2615</v>
      </c>
      <c r="J108" s="89" t="s">
        <v>204</v>
      </c>
      <c r="K108" s="89"/>
      <c r="L108" s="89" t="s">
        <v>2615</v>
      </c>
      <c r="M108" s="89" t="s">
        <v>4496</v>
      </c>
      <c r="N108" s="89" t="s">
        <v>4496</v>
      </c>
      <c r="O108" s="89" t="s">
        <v>4496</v>
      </c>
      <c r="P108" s="89" t="s">
        <v>4496</v>
      </c>
      <c r="Q108" s="89"/>
      <c r="R108" s="89" t="s">
        <v>34</v>
      </c>
      <c r="S108" s="89" t="s">
        <v>21668</v>
      </c>
      <c r="T108" s="89" t="s">
        <v>21669</v>
      </c>
      <c r="U108" s="89" t="str">
        <f>TRIM('Carga Tributária doenças Po (2'!$L108)</f>
        <v>CITRATO DE SILDENAFILA</v>
      </c>
      <c r="V108" s="89">
        <f>SUMIFS('Tabela Federal'!$E$4:$E$2069,'Tabela Federal'!$D$4:$D$2069,'Carga Tributária doenças Po (2'!$L108)</f>
        <v>1</v>
      </c>
      <c r="W108" s="89">
        <f>SUMIFS('Tabela Federal'!$E$4:$E$2069,'Tabela Federal'!$D$4:$D$2069,'Carga Tributária doenças Po (2'!$M108)</f>
        <v>0</v>
      </c>
      <c r="X108" s="89">
        <f>SUMIFS('Tabela Federal'!$E$4:$E$2069,'Tabela Federal'!$D$4:$D$2069,'Carga Tributária doenças Po (2'!$N108)</f>
        <v>0</v>
      </c>
      <c r="Y108" s="89">
        <f>SUMIFS('Tabela Federal'!$E$4:$E$2069,'Tabela Federal'!$D$4:$D$2069,'Carga Tributária doenças Po (2'!$O108)</f>
        <v>0</v>
      </c>
      <c r="Z108" s="92" t="str">
        <f>VLOOKUP('Carga Tributária doenças Po (2'!$AD108,'Carga Tributária doenças Po (2'!$CA$12:$CC$16,2,0)</f>
        <v>-</v>
      </c>
      <c r="AA108" s="89" t="s">
        <v>205</v>
      </c>
      <c r="AB108" s="89" t="s">
        <v>21791</v>
      </c>
      <c r="AC108" s="89" t="s">
        <v>21721</v>
      </c>
      <c r="AD108" s="93" t="s">
        <v>19523</v>
      </c>
      <c r="AE108" s="92" t="s">
        <v>4</v>
      </c>
      <c r="AF108" s="92" t="s">
        <v>10</v>
      </c>
      <c r="AG108" s="94">
        <v>15279428</v>
      </c>
      <c r="AH108" s="95">
        <v>64203431</v>
      </c>
      <c r="AI108" s="95">
        <v>146551693.11000001</v>
      </c>
      <c r="AJ108" s="89" t="s">
        <v>210</v>
      </c>
      <c r="AK108" s="89">
        <f>IF('Carga Tributária doenças Po (2'!$Z108="+",0,SUMIFS(PISCOFINS!$I$3:$I$10518,PISCOFINS!$C$3:$C$10518,'Carga Tributária doenças Po (2'!$C108))</f>
        <v>2.1</v>
      </c>
      <c r="AL108" s="89">
        <f>IF('Carga Tributária doenças Po (2'!$Z108="+",0,SUMIFS(PISCOFINS!$H$3:$H$10518,PISCOFINS!$C$3:$C$10518,'Carga Tributária doenças Po (2'!$C108))</f>
        <v>9.9</v>
      </c>
      <c r="AM108" s="95">
        <v>3.27</v>
      </c>
      <c r="AN108" s="95">
        <v>3.12</v>
      </c>
      <c r="AO108" s="95">
        <v>1.35</v>
      </c>
      <c r="AP108" s="96">
        <v>18</v>
      </c>
      <c r="AQ108" s="96">
        <v>12</v>
      </c>
      <c r="AR108" s="96">
        <v>17</v>
      </c>
      <c r="AS108" s="97">
        <v>17</v>
      </c>
      <c r="AT108" s="97">
        <v>19</v>
      </c>
      <c r="AU108" s="97">
        <v>12</v>
      </c>
      <c r="AV108" s="97">
        <v>17</v>
      </c>
      <c r="AW108" s="97">
        <v>17</v>
      </c>
      <c r="AX108" s="97">
        <v>17</v>
      </c>
      <c r="AY108" s="97">
        <v>17</v>
      </c>
      <c r="AZ108" s="97">
        <v>17</v>
      </c>
      <c r="BA108" s="97">
        <v>17</v>
      </c>
      <c r="BB108" s="97">
        <v>17</v>
      </c>
      <c r="BC108" s="97">
        <v>17</v>
      </c>
      <c r="BD108" s="97">
        <v>17</v>
      </c>
      <c r="BE108" s="97">
        <v>17</v>
      </c>
      <c r="BF108" s="97">
        <f>+Tabela1107[[#This Row],[PIS]]+Tabela1107[[#This Row],[COFINS]]+Tabela1107[[#This Row],[CONTRIB. FOLHA]]+Tabela1107[[#This Row],[TRIBUTOS S/ LUCRO]]+Tabela1107[[#This Row],[OUTROS]]+Tabela1107[[#This Row],[SP]]</f>
        <v>37.74</v>
      </c>
      <c r="BG108" s="97">
        <f>+Tabela1107[[#This Row],[PIS]]+Tabela1107[[#This Row],[COFINS]]+Tabela1107[[#This Row],[CONTRIB. FOLHA]]+Tabela1107[[#This Row],[TRIBUTOS S/ LUCRO]]+Tabela1107[[#This Row],[OUTROS]]+Tabela1107[[#This Row],[PR]]</f>
        <v>31.740000000000002</v>
      </c>
      <c r="BH108" s="97">
        <f>+Tabela1107[[#This Row],[PIS]]+Tabela1107[[#This Row],[COFINS]]+Tabela1107[[#This Row],[CONTRIB. FOLHA]]+Tabela1107[[#This Row],[TRIBUTOS S/ LUCRO]]+Tabela1107[[#This Row],[OUTROS]]+Tabela1107[[#This Row],[SC]]</f>
        <v>36.74</v>
      </c>
      <c r="BI108" s="97">
        <f>+Tabela1107[[#This Row],[PIS]]+Tabela1107[[#This Row],[COFINS]]+Tabela1107[[#This Row],[CONTRIB. FOLHA]]+Tabela1107[[#This Row],[TRIBUTOS S/ LUCRO]]+Tabela1107[[#This Row],[OUTROS]]+Tabela1107[[#This Row],[RS]]</f>
        <v>36.74</v>
      </c>
      <c r="BJ108" s="97">
        <f>+Tabela1107[[#This Row],[PIS]]+Tabela1107[[#This Row],[COFINS]]+Tabela1107[[#This Row],[CONTRIB. FOLHA]]+Tabela1107[[#This Row],[TRIBUTOS S/ LUCRO]]+Tabela1107[[#This Row],[OUTROS]]+Tabela1107[[#This Row],[RJ]]</f>
        <v>38.74</v>
      </c>
      <c r="BK108" s="97">
        <f>+Tabela1107[[#This Row],[PIS]]+Tabela1107[[#This Row],[COFINS]]+Tabela1107[[#This Row],[CONTRIB. FOLHA]]+Tabela1107[[#This Row],[TRIBUTOS S/ LUCRO]]+Tabela1107[[#This Row],[OUTROS]]+Tabela1107[[#This Row],[MG]]</f>
        <v>31.740000000000002</v>
      </c>
      <c r="BL108" s="97">
        <f>+Tabela1107[[#This Row],[PIS]]+Tabela1107[[#This Row],[COFINS]]+Tabela1107[[#This Row],[CONTRIB. FOLHA]]+Tabela1107[[#This Row],[TRIBUTOS S/ LUCRO]]+Tabela1107[[#This Row],[OUTROS]]+Tabela1107[[#This Row],[ES]]</f>
        <v>36.74</v>
      </c>
      <c r="BM108" s="97">
        <f>+Tabela1107[[#This Row],[PIS]]+Tabela1107[[#This Row],[COFINS]]+Tabela1107[[#This Row],[CONTRIB. FOLHA]]+Tabela1107[[#This Row],[TRIBUTOS S/ LUCRO]]+Tabela1107[[#This Row],[OUTROS]]+Tabela1107[[#This Row],[GO]]</f>
        <v>36.74</v>
      </c>
      <c r="BN108" s="97">
        <f>+Tabela1107[[#This Row],[PIS]]+Tabela1107[[#This Row],[COFINS]]+Tabela1107[[#This Row],[CONTRIB. FOLHA]]+Tabela1107[[#This Row],[TRIBUTOS S/ LUCRO]]+Tabela1107[[#This Row],[OUTROS]]+Tabela1107[[#This Row],[MT]]</f>
        <v>36.74</v>
      </c>
      <c r="BO108" s="97">
        <f>+Tabela1107[[#This Row],[PIS]]+Tabela1107[[#This Row],[COFINS]]+Tabela1107[[#This Row],[CONTRIB. FOLHA]]+Tabela1107[[#This Row],[TRIBUTOS S/ LUCRO]]+Tabela1107[[#This Row],[OUTROS]]+Tabela1107[[#This Row],[MS]]</f>
        <v>36.74</v>
      </c>
      <c r="BP108" s="97">
        <f>+Tabela1107[[#This Row],[PIS]]+Tabela1107[[#This Row],[COFINS]]+Tabela1107[[#This Row],[CONTRIB. FOLHA]]+Tabela1107[[#This Row],[TRIBUTOS S/ LUCRO]]+Tabela1107[[#This Row],[OUTROS]]+Tabela1107[[#This Row],[DF]]</f>
        <v>36.74</v>
      </c>
      <c r="BQ108" s="97">
        <f>+Tabela1107[[#This Row],[PIS]]+Tabela1107[[#This Row],[COFINS]]+Tabela1107[[#This Row],[CONTRIB. FOLHA]]+Tabela1107[[#This Row],[TRIBUTOS S/ LUCRO]]+Tabela1107[[#This Row],[OUTROS]]+Tabela1107[[#This Row],[BA]]</f>
        <v>36.74</v>
      </c>
      <c r="BR108" s="97">
        <f>+Tabela1107[[#This Row],[PIS]]+Tabela1107[[#This Row],[COFINS]]+Tabela1107[[#This Row],[CONTRIB. FOLHA]]+Tabela1107[[#This Row],[TRIBUTOS S/ LUCRO]]+Tabela1107[[#This Row],[OUTROS]]+Tabela1107[[#This Row],[BA]]</f>
        <v>36.74</v>
      </c>
      <c r="BS108" s="97">
        <f>+Tabela1107[[#This Row],[PIS]]+Tabela1107[[#This Row],[COFINS]]+Tabela1107[[#This Row],[CONTRIB. FOLHA]]+Tabela1107[[#This Row],[TRIBUTOS S/ LUCRO]]+Tabela1107[[#This Row],[OUTROS]]+Tabela1107[[#This Row],[PE]]</f>
        <v>36.74</v>
      </c>
      <c r="BT108" s="97">
        <f>+Tabela1107[[#This Row],[PIS]]+Tabela1107[[#This Row],[COFINS]]+Tabela1107[[#This Row],[CONTRIB. FOLHA]]+Tabela1107[[#This Row],[TRIBUTOS S/ LUCRO]]+Tabela1107[[#This Row],[OUTROS]]+Tabela1107[[#This Row],[PA]]</f>
        <v>36.74</v>
      </c>
      <c r="BU108" s="97">
        <f>+Tabela1107[[#This Row],[PIS]]+Tabela1107[[#This Row],[COFINS]]+Tabela1107[[#This Row],[CONTRIB. FOLHA]]+Tabela1107[[#This Row],[TRIBUTOS S/ LUCRO]]+Tabela1107[[#This Row],[OUTROS]]+Tabela1107[[#This Row],[AM]]</f>
        <v>36.74</v>
      </c>
      <c r="BV108" s="97">
        <f>AVERAGE(Tabela1107[[#This Row],[TOTAL SP]:[TOTAL AM]])</f>
        <v>36.302500000000002</v>
      </c>
      <c r="BW108" s="97"/>
      <c r="BX108" s="97"/>
    </row>
    <row r="109" spans="2:76" x14ac:dyDescent="0.25">
      <c r="B109" s="89">
        <v>12173</v>
      </c>
      <c r="C109" s="91" t="s">
        <v>13183</v>
      </c>
      <c r="D109" s="89"/>
      <c r="E109" s="89">
        <v>20140626</v>
      </c>
      <c r="F109" s="89" t="s">
        <v>21095</v>
      </c>
      <c r="G109" s="89" t="s">
        <v>21096</v>
      </c>
      <c r="H109" s="89" t="s">
        <v>21097</v>
      </c>
      <c r="I109" s="89" t="s">
        <v>2615</v>
      </c>
      <c r="J109" s="89" t="s">
        <v>207</v>
      </c>
      <c r="K109" s="89"/>
      <c r="L109" s="89" t="s">
        <v>2615</v>
      </c>
      <c r="M109" s="89" t="s">
        <v>4496</v>
      </c>
      <c r="N109" s="89" t="s">
        <v>4496</v>
      </c>
      <c r="O109" s="89" t="s">
        <v>4496</v>
      </c>
      <c r="P109" s="89" t="s">
        <v>4496</v>
      </c>
      <c r="Q109" s="89"/>
      <c r="R109" s="89" t="s">
        <v>34</v>
      </c>
      <c r="S109" s="89" t="s">
        <v>21668</v>
      </c>
      <c r="T109" s="89" t="s">
        <v>21669</v>
      </c>
      <c r="U109" s="89" t="str">
        <f>TRIM('Carga Tributária doenças Po (2'!$L109)</f>
        <v>CITRATO DE SILDENAFILA</v>
      </c>
      <c r="V109" s="89">
        <f>SUMIFS('Tabela Federal'!$E$4:$E$2069,'Tabela Federal'!$D$4:$D$2069,'Carga Tributária doenças Po (2'!$L109)</f>
        <v>1</v>
      </c>
      <c r="W109" s="89">
        <f>SUMIFS('Tabela Federal'!$E$4:$E$2069,'Tabela Federal'!$D$4:$D$2069,'Carga Tributária doenças Po (2'!$M109)</f>
        <v>0</v>
      </c>
      <c r="X109" s="89">
        <f>SUMIFS('Tabela Federal'!$E$4:$E$2069,'Tabela Federal'!$D$4:$D$2069,'Carga Tributária doenças Po (2'!$N109)</f>
        <v>0</v>
      </c>
      <c r="Y109" s="89">
        <f>SUMIFS('Tabela Federal'!$E$4:$E$2069,'Tabela Federal'!$D$4:$D$2069,'Carga Tributária doenças Po (2'!$O109)</f>
        <v>0</v>
      </c>
      <c r="Z109" s="92" t="str">
        <f>VLOOKUP('Carga Tributária doenças Po (2'!$AD109,'Carga Tributária doenças Po (2'!$CA$12:$CC$16,2,0)</f>
        <v>-</v>
      </c>
      <c r="AA109" s="89" t="s">
        <v>205</v>
      </c>
      <c r="AB109" s="89" t="s">
        <v>21791</v>
      </c>
      <c r="AC109" s="89" t="s">
        <v>21721</v>
      </c>
      <c r="AD109" s="93" t="s">
        <v>19523</v>
      </c>
      <c r="AE109" s="92" t="s">
        <v>4</v>
      </c>
      <c r="AF109" s="92" t="s">
        <v>10</v>
      </c>
      <c r="AG109" s="94">
        <v>4544967</v>
      </c>
      <c r="AH109" s="95">
        <v>38253152</v>
      </c>
      <c r="AI109" s="95">
        <v>87337336.420000002</v>
      </c>
      <c r="AJ109" s="89" t="s">
        <v>210</v>
      </c>
      <c r="AK109" s="89">
        <f>IF('Carga Tributária doenças Po (2'!$Z109="+",0,SUMIFS(PISCOFINS!$I$3:$I$10518,PISCOFINS!$C$3:$C$10518,'Carga Tributária doenças Po (2'!$C109))</f>
        <v>2.1</v>
      </c>
      <c r="AL109" s="89">
        <f>IF('Carga Tributária doenças Po (2'!$Z109="+",0,SUMIFS(PISCOFINS!$H$3:$H$10518,PISCOFINS!$C$3:$C$10518,'Carga Tributária doenças Po (2'!$C109))</f>
        <v>9.9</v>
      </c>
      <c r="AM109" s="95">
        <v>3.27</v>
      </c>
      <c r="AN109" s="95">
        <v>3.12</v>
      </c>
      <c r="AO109" s="95">
        <v>1.35</v>
      </c>
      <c r="AP109" s="96">
        <v>18</v>
      </c>
      <c r="AQ109" s="96">
        <v>12</v>
      </c>
      <c r="AR109" s="96">
        <v>17</v>
      </c>
      <c r="AS109" s="97">
        <v>17</v>
      </c>
      <c r="AT109" s="97">
        <v>19</v>
      </c>
      <c r="AU109" s="97">
        <v>12</v>
      </c>
      <c r="AV109" s="97">
        <v>17</v>
      </c>
      <c r="AW109" s="97">
        <v>17</v>
      </c>
      <c r="AX109" s="97">
        <v>17</v>
      </c>
      <c r="AY109" s="97">
        <v>17</v>
      </c>
      <c r="AZ109" s="97">
        <v>17</v>
      </c>
      <c r="BA109" s="97">
        <v>17</v>
      </c>
      <c r="BB109" s="97">
        <v>17</v>
      </c>
      <c r="BC109" s="97">
        <v>17</v>
      </c>
      <c r="BD109" s="97">
        <v>17</v>
      </c>
      <c r="BE109" s="97">
        <v>17</v>
      </c>
      <c r="BF109" s="97">
        <f>+Tabela1107[[#This Row],[PIS]]+Tabela1107[[#This Row],[COFINS]]+Tabela1107[[#This Row],[CONTRIB. FOLHA]]+Tabela1107[[#This Row],[TRIBUTOS S/ LUCRO]]+Tabela1107[[#This Row],[OUTROS]]+Tabela1107[[#This Row],[SP]]</f>
        <v>37.74</v>
      </c>
      <c r="BG109" s="97">
        <f>+Tabela1107[[#This Row],[PIS]]+Tabela1107[[#This Row],[COFINS]]+Tabela1107[[#This Row],[CONTRIB. FOLHA]]+Tabela1107[[#This Row],[TRIBUTOS S/ LUCRO]]+Tabela1107[[#This Row],[OUTROS]]+Tabela1107[[#This Row],[PR]]</f>
        <v>31.740000000000002</v>
      </c>
      <c r="BH109" s="97">
        <f>+Tabela1107[[#This Row],[PIS]]+Tabela1107[[#This Row],[COFINS]]+Tabela1107[[#This Row],[CONTRIB. FOLHA]]+Tabela1107[[#This Row],[TRIBUTOS S/ LUCRO]]+Tabela1107[[#This Row],[OUTROS]]+Tabela1107[[#This Row],[SC]]</f>
        <v>36.74</v>
      </c>
      <c r="BI109" s="97">
        <f>+Tabela1107[[#This Row],[PIS]]+Tabela1107[[#This Row],[COFINS]]+Tabela1107[[#This Row],[CONTRIB. FOLHA]]+Tabela1107[[#This Row],[TRIBUTOS S/ LUCRO]]+Tabela1107[[#This Row],[OUTROS]]+Tabela1107[[#This Row],[RS]]</f>
        <v>36.74</v>
      </c>
      <c r="BJ109" s="97">
        <f>+Tabela1107[[#This Row],[PIS]]+Tabela1107[[#This Row],[COFINS]]+Tabela1107[[#This Row],[CONTRIB. FOLHA]]+Tabela1107[[#This Row],[TRIBUTOS S/ LUCRO]]+Tabela1107[[#This Row],[OUTROS]]+Tabela1107[[#This Row],[RJ]]</f>
        <v>38.74</v>
      </c>
      <c r="BK109" s="97">
        <f>+Tabela1107[[#This Row],[PIS]]+Tabela1107[[#This Row],[COFINS]]+Tabela1107[[#This Row],[CONTRIB. FOLHA]]+Tabela1107[[#This Row],[TRIBUTOS S/ LUCRO]]+Tabela1107[[#This Row],[OUTROS]]+Tabela1107[[#This Row],[MG]]</f>
        <v>31.740000000000002</v>
      </c>
      <c r="BL109" s="97">
        <f>+Tabela1107[[#This Row],[PIS]]+Tabela1107[[#This Row],[COFINS]]+Tabela1107[[#This Row],[CONTRIB. FOLHA]]+Tabela1107[[#This Row],[TRIBUTOS S/ LUCRO]]+Tabela1107[[#This Row],[OUTROS]]+Tabela1107[[#This Row],[ES]]</f>
        <v>36.74</v>
      </c>
      <c r="BM109" s="97">
        <f>+Tabela1107[[#This Row],[PIS]]+Tabela1107[[#This Row],[COFINS]]+Tabela1107[[#This Row],[CONTRIB. FOLHA]]+Tabela1107[[#This Row],[TRIBUTOS S/ LUCRO]]+Tabela1107[[#This Row],[OUTROS]]+Tabela1107[[#This Row],[GO]]</f>
        <v>36.74</v>
      </c>
      <c r="BN109" s="97">
        <f>+Tabela1107[[#This Row],[PIS]]+Tabela1107[[#This Row],[COFINS]]+Tabela1107[[#This Row],[CONTRIB. FOLHA]]+Tabela1107[[#This Row],[TRIBUTOS S/ LUCRO]]+Tabela1107[[#This Row],[OUTROS]]+Tabela1107[[#This Row],[MT]]</f>
        <v>36.74</v>
      </c>
      <c r="BO109" s="97">
        <f>+Tabela1107[[#This Row],[PIS]]+Tabela1107[[#This Row],[COFINS]]+Tabela1107[[#This Row],[CONTRIB. FOLHA]]+Tabela1107[[#This Row],[TRIBUTOS S/ LUCRO]]+Tabela1107[[#This Row],[OUTROS]]+Tabela1107[[#This Row],[MS]]</f>
        <v>36.74</v>
      </c>
      <c r="BP109" s="97">
        <f>+Tabela1107[[#This Row],[PIS]]+Tabela1107[[#This Row],[COFINS]]+Tabela1107[[#This Row],[CONTRIB. FOLHA]]+Tabela1107[[#This Row],[TRIBUTOS S/ LUCRO]]+Tabela1107[[#This Row],[OUTROS]]+Tabela1107[[#This Row],[DF]]</f>
        <v>36.74</v>
      </c>
      <c r="BQ109" s="97">
        <f>+Tabela1107[[#This Row],[PIS]]+Tabela1107[[#This Row],[COFINS]]+Tabela1107[[#This Row],[CONTRIB. FOLHA]]+Tabela1107[[#This Row],[TRIBUTOS S/ LUCRO]]+Tabela1107[[#This Row],[OUTROS]]+Tabela1107[[#This Row],[BA]]</f>
        <v>36.74</v>
      </c>
      <c r="BR109" s="97">
        <f>+Tabela1107[[#This Row],[PIS]]+Tabela1107[[#This Row],[COFINS]]+Tabela1107[[#This Row],[CONTRIB. FOLHA]]+Tabela1107[[#This Row],[TRIBUTOS S/ LUCRO]]+Tabela1107[[#This Row],[OUTROS]]+Tabela1107[[#This Row],[BA]]</f>
        <v>36.74</v>
      </c>
      <c r="BS109" s="97">
        <f>+Tabela1107[[#This Row],[PIS]]+Tabela1107[[#This Row],[COFINS]]+Tabela1107[[#This Row],[CONTRIB. FOLHA]]+Tabela1107[[#This Row],[TRIBUTOS S/ LUCRO]]+Tabela1107[[#This Row],[OUTROS]]+Tabela1107[[#This Row],[PE]]</f>
        <v>36.74</v>
      </c>
      <c r="BT109" s="97">
        <f>+Tabela1107[[#This Row],[PIS]]+Tabela1107[[#This Row],[COFINS]]+Tabela1107[[#This Row],[CONTRIB. FOLHA]]+Tabela1107[[#This Row],[TRIBUTOS S/ LUCRO]]+Tabela1107[[#This Row],[OUTROS]]+Tabela1107[[#This Row],[PA]]</f>
        <v>36.74</v>
      </c>
      <c r="BU109" s="97">
        <f>+Tabela1107[[#This Row],[PIS]]+Tabela1107[[#This Row],[COFINS]]+Tabela1107[[#This Row],[CONTRIB. FOLHA]]+Tabela1107[[#This Row],[TRIBUTOS S/ LUCRO]]+Tabela1107[[#This Row],[OUTROS]]+Tabela1107[[#This Row],[AM]]</f>
        <v>36.74</v>
      </c>
      <c r="BV109" s="97">
        <f>AVERAGE(Tabela1107[[#This Row],[TOTAL SP]:[TOTAL AM]])</f>
        <v>36.302500000000002</v>
      </c>
      <c r="BW109" s="97"/>
      <c r="BX109" s="97"/>
    </row>
    <row r="110" spans="2:76" x14ac:dyDescent="0.25">
      <c r="B110" s="89">
        <v>12186</v>
      </c>
      <c r="C110" s="91" t="s">
        <v>13183</v>
      </c>
      <c r="D110" s="89"/>
      <c r="E110" s="89">
        <v>20140626</v>
      </c>
      <c r="F110" s="89" t="s">
        <v>21308</v>
      </c>
      <c r="G110" s="89" t="s">
        <v>21309</v>
      </c>
      <c r="H110" s="89" t="s">
        <v>21310</v>
      </c>
      <c r="I110" s="89" t="s">
        <v>2615</v>
      </c>
      <c r="J110" s="89" t="s">
        <v>207</v>
      </c>
      <c r="K110" s="89"/>
      <c r="L110" s="89" t="s">
        <v>2615</v>
      </c>
      <c r="M110" s="89" t="s">
        <v>4496</v>
      </c>
      <c r="N110" s="89" t="s">
        <v>4496</v>
      </c>
      <c r="O110" s="89" t="s">
        <v>4496</v>
      </c>
      <c r="P110" s="89" t="s">
        <v>4496</v>
      </c>
      <c r="Q110" s="89"/>
      <c r="R110" s="89" t="s">
        <v>103</v>
      </c>
      <c r="S110" s="89" t="s">
        <v>21690</v>
      </c>
      <c r="T110" s="89" t="s">
        <v>21691</v>
      </c>
      <c r="U110" s="89" t="str">
        <f>TRIM('Carga Tributária doenças Po (2'!$L110)</f>
        <v>CITRATO DE SILDENAFILA</v>
      </c>
      <c r="V110" s="89">
        <f>SUMIFS('Tabela Federal'!$E$4:$E$2069,'Tabela Federal'!$D$4:$D$2069,'Carga Tributária doenças Po (2'!$L110)</f>
        <v>1</v>
      </c>
      <c r="W110" s="89">
        <f>SUMIFS('Tabela Federal'!$E$4:$E$2069,'Tabela Federal'!$D$4:$D$2069,'Carga Tributária doenças Po (2'!$M110)</f>
        <v>0</v>
      </c>
      <c r="X110" s="89">
        <f>SUMIFS('Tabela Federal'!$E$4:$E$2069,'Tabela Federal'!$D$4:$D$2069,'Carga Tributária doenças Po (2'!$N110)</f>
        <v>0</v>
      </c>
      <c r="Y110" s="89">
        <f>SUMIFS('Tabela Federal'!$E$4:$E$2069,'Tabela Federal'!$D$4:$D$2069,'Carga Tributária doenças Po (2'!$O110)</f>
        <v>0</v>
      </c>
      <c r="Z110" s="92" t="str">
        <f>VLOOKUP('Carga Tributária doenças Po (2'!$AD110,'Carga Tributária doenças Po (2'!$CA$12:$CC$16,2,0)</f>
        <v>-</v>
      </c>
      <c r="AA110" s="89" t="s">
        <v>205</v>
      </c>
      <c r="AB110" s="89" t="s">
        <v>21791</v>
      </c>
      <c r="AC110" s="89" t="s">
        <v>21721</v>
      </c>
      <c r="AD110" s="93" t="s">
        <v>19523</v>
      </c>
      <c r="AE110" s="92" t="s">
        <v>4</v>
      </c>
      <c r="AF110" s="92" t="s">
        <v>10</v>
      </c>
      <c r="AG110" s="94">
        <v>1122432</v>
      </c>
      <c r="AH110" s="95">
        <v>9246676</v>
      </c>
      <c r="AI110" s="95">
        <v>21180427.670000002</v>
      </c>
      <c r="AJ110" s="89" t="s">
        <v>210</v>
      </c>
      <c r="AK110" s="89">
        <f>IF('Carga Tributária doenças Po (2'!$Z110="+",0,SUMIFS(PISCOFINS!$I$3:$I$10518,PISCOFINS!$C$3:$C$10518,'Carga Tributária doenças Po (2'!$C110))</f>
        <v>2.1</v>
      </c>
      <c r="AL110" s="89">
        <f>IF('Carga Tributária doenças Po (2'!$Z110="+",0,SUMIFS(PISCOFINS!$H$3:$H$10518,PISCOFINS!$C$3:$C$10518,'Carga Tributária doenças Po (2'!$C110))</f>
        <v>9.9</v>
      </c>
      <c r="AM110" s="95">
        <v>3.27</v>
      </c>
      <c r="AN110" s="95">
        <v>3.12</v>
      </c>
      <c r="AO110" s="95">
        <v>1.35</v>
      </c>
      <c r="AP110" s="96">
        <v>18</v>
      </c>
      <c r="AQ110" s="96">
        <v>12</v>
      </c>
      <c r="AR110" s="96">
        <v>17</v>
      </c>
      <c r="AS110" s="97">
        <v>17</v>
      </c>
      <c r="AT110" s="97">
        <v>19</v>
      </c>
      <c r="AU110" s="97">
        <v>12</v>
      </c>
      <c r="AV110" s="97">
        <v>17</v>
      </c>
      <c r="AW110" s="97">
        <v>17</v>
      </c>
      <c r="AX110" s="97">
        <v>17</v>
      </c>
      <c r="AY110" s="97">
        <v>17</v>
      </c>
      <c r="AZ110" s="97">
        <v>17</v>
      </c>
      <c r="BA110" s="97">
        <v>17</v>
      </c>
      <c r="BB110" s="97">
        <v>17</v>
      </c>
      <c r="BC110" s="97">
        <v>17</v>
      </c>
      <c r="BD110" s="97">
        <v>17</v>
      </c>
      <c r="BE110" s="97">
        <v>17</v>
      </c>
      <c r="BF110" s="97">
        <f>+Tabela1107[[#This Row],[PIS]]+Tabela1107[[#This Row],[COFINS]]+Tabela1107[[#This Row],[CONTRIB. FOLHA]]+Tabela1107[[#This Row],[TRIBUTOS S/ LUCRO]]+Tabela1107[[#This Row],[OUTROS]]+Tabela1107[[#This Row],[SP]]</f>
        <v>37.74</v>
      </c>
      <c r="BG110" s="97">
        <f>+Tabela1107[[#This Row],[PIS]]+Tabela1107[[#This Row],[COFINS]]+Tabela1107[[#This Row],[CONTRIB. FOLHA]]+Tabela1107[[#This Row],[TRIBUTOS S/ LUCRO]]+Tabela1107[[#This Row],[OUTROS]]+Tabela1107[[#This Row],[PR]]</f>
        <v>31.740000000000002</v>
      </c>
      <c r="BH110" s="97">
        <f>+Tabela1107[[#This Row],[PIS]]+Tabela1107[[#This Row],[COFINS]]+Tabela1107[[#This Row],[CONTRIB. FOLHA]]+Tabela1107[[#This Row],[TRIBUTOS S/ LUCRO]]+Tabela1107[[#This Row],[OUTROS]]+Tabela1107[[#This Row],[SC]]</f>
        <v>36.74</v>
      </c>
      <c r="BI110" s="97">
        <f>+Tabela1107[[#This Row],[PIS]]+Tabela1107[[#This Row],[COFINS]]+Tabela1107[[#This Row],[CONTRIB. FOLHA]]+Tabela1107[[#This Row],[TRIBUTOS S/ LUCRO]]+Tabela1107[[#This Row],[OUTROS]]+Tabela1107[[#This Row],[RS]]</f>
        <v>36.74</v>
      </c>
      <c r="BJ110" s="97">
        <f>+Tabela1107[[#This Row],[PIS]]+Tabela1107[[#This Row],[COFINS]]+Tabela1107[[#This Row],[CONTRIB. FOLHA]]+Tabela1107[[#This Row],[TRIBUTOS S/ LUCRO]]+Tabela1107[[#This Row],[OUTROS]]+Tabela1107[[#This Row],[RJ]]</f>
        <v>38.74</v>
      </c>
      <c r="BK110" s="97">
        <f>+Tabela1107[[#This Row],[PIS]]+Tabela1107[[#This Row],[COFINS]]+Tabela1107[[#This Row],[CONTRIB. FOLHA]]+Tabela1107[[#This Row],[TRIBUTOS S/ LUCRO]]+Tabela1107[[#This Row],[OUTROS]]+Tabela1107[[#This Row],[MG]]</f>
        <v>31.740000000000002</v>
      </c>
      <c r="BL110" s="97">
        <f>+Tabela1107[[#This Row],[PIS]]+Tabela1107[[#This Row],[COFINS]]+Tabela1107[[#This Row],[CONTRIB. FOLHA]]+Tabela1107[[#This Row],[TRIBUTOS S/ LUCRO]]+Tabela1107[[#This Row],[OUTROS]]+Tabela1107[[#This Row],[ES]]</f>
        <v>36.74</v>
      </c>
      <c r="BM110" s="97">
        <f>+Tabela1107[[#This Row],[PIS]]+Tabela1107[[#This Row],[COFINS]]+Tabela1107[[#This Row],[CONTRIB. FOLHA]]+Tabela1107[[#This Row],[TRIBUTOS S/ LUCRO]]+Tabela1107[[#This Row],[OUTROS]]+Tabela1107[[#This Row],[GO]]</f>
        <v>36.74</v>
      </c>
      <c r="BN110" s="97">
        <f>+Tabela1107[[#This Row],[PIS]]+Tabela1107[[#This Row],[COFINS]]+Tabela1107[[#This Row],[CONTRIB. FOLHA]]+Tabela1107[[#This Row],[TRIBUTOS S/ LUCRO]]+Tabela1107[[#This Row],[OUTROS]]+Tabela1107[[#This Row],[MT]]</f>
        <v>36.74</v>
      </c>
      <c r="BO110" s="97">
        <f>+Tabela1107[[#This Row],[PIS]]+Tabela1107[[#This Row],[COFINS]]+Tabela1107[[#This Row],[CONTRIB. FOLHA]]+Tabela1107[[#This Row],[TRIBUTOS S/ LUCRO]]+Tabela1107[[#This Row],[OUTROS]]+Tabela1107[[#This Row],[MS]]</f>
        <v>36.74</v>
      </c>
      <c r="BP110" s="97">
        <f>+Tabela1107[[#This Row],[PIS]]+Tabela1107[[#This Row],[COFINS]]+Tabela1107[[#This Row],[CONTRIB. FOLHA]]+Tabela1107[[#This Row],[TRIBUTOS S/ LUCRO]]+Tabela1107[[#This Row],[OUTROS]]+Tabela1107[[#This Row],[DF]]</f>
        <v>36.74</v>
      </c>
      <c r="BQ110" s="97">
        <f>+Tabela1107[[#This Row],[PIS]]+Tabela1107[[#This Row],[COFINS]]+Tabela1107[[#This Row],[CONTRIB. FOLHA]]+Tabela1107[[#This Row],[TRIBUTOS S/ LUCRO]]+Tabela1107[[#This Row],[OUTROS]]+Tabela1107[[#This Row],[BA]]</f>
        <v>36.74</v>
      </c>
      <c r="BR110" s="97">
        <f>+Tabela1107[[#This Row],[PIS]]+Tabela1107[[#This Row],[COFINS]]+Tabela1107[[#This Row],[CONTRIB. FOLHA]]+Tabela1107[[#This Row],[TRIBUTOS S/ LUCRO]]+Tabela1107[[#This Row],[OUTROS]]+Tabela1107[[#This Row],[BA]]</f>
        <v>36.74</v>
      </c>
      <c r="BS110" s="97">
        <f>+Tabela1107[[#This Row],[PIS]]+Tabela1107[[#This Row],[COFINS]]+Tabela1107[[#This Row],[CONTRIB. FOLHA]]+Tabela1107[[#This Row],[TRIBUTOS S/ LUCRO]]+Tabela1107[[#This Row],[OUTROS]]+Tabela1107[[#This Row],[PE]]</f>
        <v>36.74</v>
      </c>
      <c r="BT110" s="97">
        <f>+Tabela1107[[#This Row],[PIS]]+Tabela1107[[#This Row],[COFINS]]+Tabela1107[[#This Row],[CONTRIB. FOLHA]]+Tabela1107[[#This Row],[TRIBUTOS S/ LUCRO]]+Tabela1107[[#This Row],[OUTROS]]+Tabela1107[[#This Row],[PA]]</f>
        <v>36.74</v>
      </c>
      <c r="BU110" s="97">
        <f>+Tabela1107[[#This Row],[PIS]]+Tabela1107[[#This Row],[COFINS]]+Tabela1107[[#This Row],[CONTRIB. FOLHA]]+Tabela1107[[#This Row],[TRIBUTOS S/ LUCRO]]+Tabela1107[[#This Row],[OUTROS]]+Tabela1107[[#This Row],[AM]]</f>
        <v>36.74</v>
      </c>
      <c r="BV110" s="97">
        <f>AVERAGE(Tabela1107[[#This Row],[TOTAL SP]:[TOTAL AM]])</f>
        <v>36.302500000000002</v>
      </c>
      <c r="BW110" s="97"/>
      <c r="BX110" s="97"/>
    </row>
    <row r="111" spans="2:76" x14ac:dyDescent="0.25">
      <c r="B111" s="89">
        <v>23703</v>
      </c>
      <c r="C111" s="91" t="s">
        <v>13183</v>
      </c>
      <c r="D111" s="89"/>
      <c r="E111" s="89">
        <v>20140626</v>
      </c>
      <c r="F111" s="89" t="s">
        <v>20788</v>
      </c>
      <c r="G111" s="89" t="s">
        <v>20789</v>
      </c>
      <c r="H111" s="89" t="s">
        <v>20790</v>
      </c>
      <c r="I111" s="89" t="s">
        <v>20791</v>
      </c>
      <c r="J111" s="89" t="s">
        <v>246</v>
      </c>
      <c r="K111" s="89" t="s">
        <v>2476</v>
      </c>
      <c r="L111" s="89" t="s">
        <v>2648</v>
      </c>
      <c r="M111" s="89" t="s">
        <v>4496</v>
      </c>
      <c r="N111" s="89" t="s">
        <v>4496</v>
      </c>
      <c r="O111" s="89" t="s">
        <v>4496</v>
      </c>
      <c r="P111" s="89" t="s">
        <v>4496</v>
      </c>
      <c r="Q111" s="89"/>
      <c r="R111" s="89" t="s">
        <v>247</v>
      </c>
      <c r="S111" s="89" t="s">
        <v>21622</v>
      </c>
      <c r="T111" s="89" t="s">
        <v>21623</v>
      </c>
      <c r="U111" s="89" t="str">
        <f>TRIM('Carga Tributária doenças Po (2'!$L111)</f>
        <v>COLCHICINA</v>
      </c>
      <c r="V111" s="89">
        <f>SUMIFS('Tabela Federal'!$E$4:$E$2069,'Tabela Federal'!$D$4:$D$2069,'Carga Tributária doenças Po (2'!$L111)</f>
        <v>1</v>
      </c>
      <c r="W111" s="89">
        <f>SUMIFS('Tabela Federal'!$E$4:$E$2069,'Tabela Federal'!$D$4:$D$2069,'Carga Tributária doenças Po (2'!$M111)</f>
        <v>0</v>
      </c>
      <c r="X111" s="89">
        <f>SUMIFS('Tabela Federal'!$E$4:$E$2069,'Tabela Federal'!$D$4:$D$2069,'Carga Tributária doenças Po (2'!$N111)</f>
        <v>0</v>
      </c>
      <c r="Y111" s="89">
        <f>SUMIFS('Tabela Federal'!$E$4:$E$2069,'Tabela Federal'!$D$4:$D$2069,'Carga Tributária doenças Po (2'!$O111)</f>
        <v>0</v>
      </c>
      <c r="Z111" s="92" t="str">
        <f>VLOOKUP('Carga Tributária doenças Po (2'!$AD111,'Carga Tributária doenças Po (2'!$CA$12:$CC$16,2,0)</f>
        <v>+</v>
      </c>
      <c r="AA111" s="89" t="s">
        <v>242</v>
      </c>
      <c r="AB111" s="89" t="s">
        <v>21840</v>
      </c>
      <c r="AC111" s="89" t="s">
        <v>21721</v>
      </c>
      <c r="AD111" s="93" t="s">
        <v>21722</v>
      </c>
      <c r="AE111" s="92" t="s">
        <v>2</v>
      </c>
      <c r="AF111" s="92" t="s">
        <v>3</v>
      </c>
      <c r="AG111" s="94">
        <v>458352</v>
      </c>
      <c r="AH111" s="95">
        <v>2805205</v>
      </c>
      <c r="AI111" s="95">
        <v>6363428.8099999996</v>
      </c>
      <c r="AJ111" s="89" t="s">
        <v>250</v>
      </c>
      <c r="AK111" s="89">
        <f>IF('Carga Tributária doenças Po (2'!$Z111="+",0,SUMIFS(PISCOFINS!$I$3:$I$10518,PISCOFINS!$C$3:$C$10518,'Carga Tributária doenças Po (2'!$C111))</f>
        <v>0</v>
      </c>
      <c r="AL111" s="89">
        <f>IF('Carga Tributária doenças Po (2'!$Z111="+",0,SUMIFS(PISCOFINS!$H$3:$H$10518,PISCOFINS!$C$3:$C$10518,'Carga Tributária doenças Po (2'!$C111))</f>
        <v>0</v>
      </c>
      <c r="AM111" s="95">
        <v>3.27</v>
      </c>
      <c r="AN111" s="95">
        <v>3.12</v>
      </c>
      <c r="AO111" s="95">
        <v>1.35</v>
      </c>
      <c r="AP111" s="96">
        <v>18</v>
      </c>
      <c r="AQ111" s="96">
        <v>12</v>
      </c>
      <c r="AR111" s="96">
        <v>17</v>
      </c>
      <c r="AS111" s="97">
        <v>17</v>
      </c>
      <c r="AT111" s="97">
        <v>19</v>
      </c>
      <c r="AU111" s="97">
        <v>18</v>
      </c>
      <c r="AV111" s="97">
        <v>17</v>
      </c>
      <c r="AW111" s="97">
        <v>17</v>
      </c>
      <c r="AX111" s="97">
        <v>17</v>
      </c>
      <c r="AY111" s="97">
        <v>17</v>
      </c>
      <c r="AZ111" s="97">
        <v>17</v>
      </c>
      <c r="BA111" s="97">
        <v>17</v>
      </c>
      <c r="BB111" s="97">
        <v>17</v>
      </c>
      <c r="BC111" s="97">
        <v>17</v>
      </c>
      <c r="BD111" s="97">
        <v>17</v>
      </c>
      <c r="BE111" s="97">
        <v>17</v>
      </c>
      <c r="BF111" s="97">
        <f>+Tabela1107[[#This Row],[PIS]]+Tabela1107[[#This Row],[COFINS]]+Tabela1107[[#This Row],[CONTRIB. FOLHA]]+Tabela1107[[#This Row],[TRIBUTOS S/ LUCRO]]+Tabela1107[[#This Row],[OUTROS]]+Tabela1107[[#This Row],[SP]]</f>
        <v>25.740000000000002</v>
      </c>
      <c r="BG111" s="97">
        <f>+Tabela1107[[#This Row],[PIS]]+Tabela1107[[#This Row],[COFINS]]+Tabela1107[[#This Row],[CONTRIB. FOLHA]]+Tabela1107[[#This Row],[TRIBUTOS S/ LUCRO]]+Tabela1107[[#This Row],[OUTROS]]+Tabela1107[[#This Row],[PR]]</f>
        <v>19.740000000000002</v>
      </c>
      <c r="BH111" s="97">
        <f>+Tabela1107[[#This Row],[PIS]]+Tabela1107[[#This Row],[COFINS]]+Tabela1107[[#This Row],[CONTRIB. FOLHA]]+Tabela1107[[#This Row],[TRIBUTOS S/ LUCRO]]+Tabela1107[[#This Row],[OUTROS]]+Tabela1107[[#This Row],[SC]]</f>
        <v>24.740000000000002</v>
      </c>
      <c r="BI111" s="97">
        <f>+Tabela1107[[#This Row],[PIS]]+Tabela1107[[#This Row],[COFINS]]+Tabela1107[[#This Row],[CONTRIB. FOLHA]]+Tabela1107[[#This Row],[TRIBUTOS S/ LUCRO]]+Tabela1107[[#This Row],[OUTROS]]+Tabela1107[[#This Row],[RS]]</f>
        <v>24.740000000000002</v>
      </c>
      <c r="BJ111" s="97">
        <f>+Tabela1107[[#This Row],[PIS]]+Tabela1107[[#This Row],[COFINS]]+Tabela1107[[#This Row],[CONTRIB. FOLHA]]+Tabela1107[[#This Row],[TRIBUTOS S/ LUCRO]]+Tabela1107[[#This Row],[OUTROS]]+Tabela1107[[#This Row],[RJ]]</f>
        <v>26.740000000000002</v>
      </c>
      <c r="BK111" s="97">
        <f>+Tabela1107[[#This Row],[PIS]]+Tabela1107[[#This Row],[COFINS]]+Tabela1107[[#This Row],[CONTRIB. FOLHA]]+Tabela1107[[#This Row],[TRIBUTOS S/ LUCRO]]+Tabela1107[[#This Row],[OUTROS]]+Tabela1107[[#This Row],[MG]]</f>
        <v>25.740000000000002</v>
      </c>
      <c r="BL111" s="97">
        <f>+Tabela1107[[#This Row],[PIS]]+Tabela1107[[#This Row],[COFINS]]+Tabela1107[[#This Row],[CONTRIB. FOLHA]]+Tabela1107[[#This Row],[TRIBUTOS S/ LUCRO]]+Tabela1107[[#This Row],[OUTROS]]+Tabela1107[[#This Row],[ES]]</f>
        <v>24.740000000000002</v>
      </c>
      <c r="BM111" s="97">
        <f>+Tabela1107[[#This Row],[PIS]]+Tabela1107[[#This Row],[COFINS]]+Tabela1107[[#This Row],[CONTRIB. FOLHA]]+Tabela1107[[#This Row],[TRIBUTOS S/ LUCRO]]+Tabela1107[[#This Row],[OUTROS]]+Tabela1107[[#This Row],[GO]]</f>
        <v>24.740000000000002</v>
      </c>
      <c r="BN111" s="97">
        <f>+Tabela1107[[#This Row],[PIS]]+Tabela1107[[#This Row],[COFINS]]+Tabela1107[[#This Row],[CONTRIB. FOLHA]]+Tabela1107[[#This Row],[TRIBUTOS S/ LUCRO]]+Tabela1107[[#This Row],[OUTROS]]+Tabela1107[[#This Row],[MT]]</f>
        <v>24.740000000000002</v>
      </c>
      <c r="BO111" s="97">
        <f>+Tabela1107[[#This Row],[PIS]]+Tabela1107[[#This Row],[COFINS]]+Tabela1107[[#This Row],[CONTRIB. FOLHA]]+Tabela1107[[#This Row],[TRIBUTOS S/ LUCRO]]+Tabela1107[[#This Row],[OUTROS]]+Tabela1107[[#This Row],[MS]]</f>
        <v>24.740000000000002</v>
      </c>
      <c r="BP111" s="97">
        <f>+Tabela1107[[#This Row],[PIS]]+Tabela1107[[#This Row],[COFINS]]+Tabela1107[[#This Row],[CONTRIB. FOLHA]]+Tabela1107[[#This Row],[TRIBUTOS S/ LUCRO]]+Tabela1107[[#This Row],[OUTROS]]+Tabela1107[[#This Row],[DF]]</f>
        <v>24.740000000000002</v>
      </c>
      <c r="BQ111" s="97">
        <f>+Tabela1107[[#This Row],[PIS]]+Tabela1107[[#This Row],[COFINS]]+Tabela1107[[#This Row],[CONTRIB. FOLHA]]+Tabela1107[[#This Row],[TRIBUTOS S/ LUCRO]]+Tabela1107[[#This Row],[OUTROS]]+Tabela1107[[#This Row],[BA]]</f>
        <v>24.740000000000002</v>
      </c>
      <c r="BR111" s="97">
        <f>+Tabela1107[[#This Row],[PIS]]+Tabela1107[[#This Row],[COFINS]]+Tabela1107[[#This Row],[CONTRIB. FOLHA]]+Tabela1107[[#This Row],[TRIBUTOS S/ LUCRO]]+Tabela1107[[#This Row],[OUTROS]]+Tabela1107[[#This Row],[BA]]</f>
        <v>24.740000000000002</v>
      </c>
      <c r="BS111" s="97">
        <f>+Tabela1107[[#This Row],[PIS]]+Tabela1107[[#This Row],[COFINS]]+Tabela1107[[#This Row],[CONTRIB. FOLHA]]+Tabela1107[[#This Row],[TRIBUTOS S/ LUCRO]]+Tabela1107[[#This Row],[OUTROS]]+Tabela1107[[#This Row],[PE]]</f>
        <v>24.740000000000002</v>
      </c>
      <c r="BT111" s="97">
        <f>+Tabela1107[[#This Row],[PIS]]+Tabela1107[[#This Row],[COFINS]]+Tabela1107[[#This Row],[CONTRIB. FOLHA]]+Tabela1107[[#This Row],[TRIBUTOS S/ LUCRO]]+Tabela1107[[#This Row],[OUTROS]]+Tabela1107[[#This Row],[PA]]</f>
        <v>24.740000000000002</v>
      </c>
      <c r="BU111" s="97">
        <f>+Tabela1107[[#This Row],[PIS]]+Tabela1107[[#This Row],[COFINS]]+Tabela1107[[#This Row],[CONTRIB. FOLHA]]+Tabela1107[[#This Row],[TRIBUTOS S/ LUCRO]]+Tabela1107[[#This Row],[OUTROS]]+Tabela1107[[#This Row],[AM]]</f>
        <v>24.740000000000002</v>
      </c>
      <c r="BV111" s="97">
        <f>AVERAGE(Tabela1107[[#This Row],[TOTAL SP]:[TOTAL AM]])</f>
        <v>24.677500000000006</v>
      </c>
      <c r="BW111" s="97"/>
      <c r="BX111" s="97"/>
    </row>
    <row r="112" spans="2:76" x14ac:dyDescent="0.25">
      <c r="B112" s="89">
        <v>3501</v>
      </c>
      <c r="C112" s="91" t="s">
        <v>13183</v>
      </c>
      <c r="D112" s="89"/>
      <c r="E112" s="89">
        <v>20140626</v>
      </c>
      <c r="F112" s="89" t="s">
        <v>20552</v>
      </c>
      <c r="G112" s="89" t="s">
        <v>20553</v>
      </c>
      <c r="H112" s="89" t="s">
        <v>20554</v>
      </c>
      <c r="I112" s="89" t="s">
        <v>20555</v>
      </c>
      <c r="J112" s="89" t="s">
        <v>530</v>
      </c>
      <c r="K112" s="89" t="s">
        <v>2446</v>
      </c>
      <c r="L112" s="89" t="s">
        <v>2446</v>
      </c>
      <c r="M112" s="89" t="s">
        <v>4496</v>
      </c>
      <c r="N112" s="89" t="s">
        <v>4496</v>
      </c>
      <c r="O112" s="89" t="s">
        <v>4496</v>
      </c>
      <c r="P112" s="89" t="s">
        <v>4496</v>
      </c>
      <c r="Q112" s="89"/>
      <c r="R112" s="89" t="s">
        <v>532</v>
      </c>
      <c r="S112" s="89" t="s">
        <v>21604</v>
      </c>
      <c r="T112" s="89" t="s">
        <v>21605</v>
      </c>
      <c r="U112" s="89" t="str">
        <f>TRIM('Carga Tributária doenças Po (2'!$L112)</f>
        <v>DIPROPIONATO DE BECLOMETASONA</v>
      </c>
      <c r="V112" s="89">
        <f>SUMIFS('Tabela Federal'!$E$4:$E$2069,'Tabela Federal'!$D$4:$D$2069,'Carga Tributária doenças Po (2'!$L112)</f>
        <v>3</v>
      </c>
      <c r="W112" s="89">
        <f>SUMIFS('Tabela Federal'!$E$4:$E$2069,'Tabela Federal'!$D$4:$D$2069,'Carga Tributária doenças Po (2'!$M112)</f>
        <v>0</v>
      </c>
      <c r="X112" s="89">
        <f>SUMIFS('Tabela Federal'!$E$4:$E$2069,'Tabela Federal'!$D$4:$D$2069,'Carga Tributária doenças Po (2'!$N112)</f>
        <v>0</v>
      </c>
      <c r="Y112" s="89">
        <f>SUMIFS('Tabela Federal'!$E$4:$E$2069,'Tabela Federal'!$D$4:$D$2069,'Carga Tributária doenças Po (2'!$O112)</f>
        <v>0</v>
      </c>
      <c r="Z112" s="92" t="str">
        <f>VLOOKUP('Carga Tributária doenças Po (2'!$AD112,'Carga Tributária doenças Po (2'!$CA$12:$CC$16,2,0)</f>
        <v>+</v>
      </c>
      <c r="AA112" s="89" t="s">
        <v>531</v>
      </c>
      <c r="AB112" s="89" t="s">
        <v>21748</v>
      </c>
      <c r="AC112" s="89" t="s">
        <v>21721</v>
      </c>
      <c r="AD112" s="93" t="s">
        <v>19445</v>
      </c>
      <c r="AE112" s="92" t="s">
        <v>4</v>
      </c>
      <c r="AF112" s="92" t="s">
        <v>3</v>
      </c>
      <c r="AG112" s="94">
        <v>926268</v>
      </c>
      <c r="AH112" s="95">
        <v>15369999</v>
      </c>
      <c r="AI112" s="95">
        <v>34832021.299999997</v>
      </c>
      <c r="AJ112" s="89" t="s">
        <v>533</v>
      </c>
      <c r="AK112" s="89">
        <f>IF('Carga Tributária doenças Po (2'!$Z112="+",0,SUMIFS(PISCOFINS!$I$3:$I$10518,PISCOFINS!$C$3:$C$10518,'Carga Tributária doenças Po (2'!$C112))</f>
        <v>0</v>
      </c>
      <c r="AL112" s="89">
        <f>IF('Carga Tributária doenças Po (2'!$Z112="+",0,SUMIFS(PISCOFINS!$H$3:$H$10518,PISCOFINS!$C$3:$C$10518,'Carga Tributária doenças Po (2'!$C112))</f>
        <v>0</v>
      </c>
      <c r="AM112" s="95">
        <v>3.27</v>
      </c>
      <c r="AN112" s="95">
        <v>3.12</v>
      </c>
      <c r="AO112" s="95">
        <v>1.35</v>
      </c>
      <c r="AP112" s="96">
        <v>18</v>
      </c>
      <c r="AQ112" s="96">
        <v>12</v>
      </c>
      <c r="AR112" s="96">
        <v>17</v>
      </c>
      <c r="AS112" s="97">
        <v>17</v>
      </c>
      <c r="AT112" s="97">
        <v>19</v>
      </c>
      <c r="AU112" s="97">
        <v>18</v>
      </c>
      <c r="AV112" s="97">
        <v>17</v>
      </c>
      <c r="AW112" s="97">
        <v>17</v>
      </c>
      <c r="AX112" s="97">
        <v>17</v>
      </c>
      <c r="AY112" s="97">
        <v>17</v>
      </c>
      <c r="AZ112" s="97">
        <v>17</v>
      </c>
      <c r="BA112" s="97">
        <v>17</v>
      </c>
      <c r="BB112" s="97">
        <v>17</v>
      </c>
      <c r="BC112" s="97">
        <v>17</v>
      </c>
      <c r="BD112" s="97">
        <v>17</v>
      </c>
      <c r="BE112" s="97">
        <v>17</v>
      </c>
      <c r="BF112" s="97">
        <f>+Tabela1107[[#This Row],[PIS]]+Tabela1107[[#This Row],[COFINS]]+Tabela1107[[#This Row],[CONTRIB. FOLHA]]+Tabela1107[[#This Row],[TRIBUTOS S/ LUCRO]]+Tabela1107[[#This Row],[OUTROS]]+Tabela1107[[#This Row],[SP]]</f>
        <v>25.740000000000002</v>
      </c>
      <c r="BG112" s="97">
        <f>+Tabela1107[[#This Row],[PIS]]+Tabela1107[[#This Row],[COFINS]]+Tabela1107[[#This Row],[CONTRIB. FOLHA]]+Tabela1107[[#This Row],[TRIBUTOS S/ LUCRO]]+Tabela1107[[#This Row],[OUTROS]]+Tabela1107[[#This Row],[PR]]</f>
        <v>19.740000000000002</v>
      </c>
      <c r="BH112" s="97">
        <f>+Tabela1107[[#This Row],[PIS]]+Tabela1107[[#This Row],[COFINS]]+Tabela1107[[#This Row],[CONTRIB. FOLHA]]+Tabela1107[[#This Row],[TRIBUTOS S/ LUCRO]]+Tabela1107[[#This Row],[OUTROS]]+Tabela1107[[#This Row],[SC]]</f>
        <v>24.740000000000002</v>
      </c>
      <c r="BI112" s="97">
        <f>+Tabela1107[[#This Row],[PIS]]+Tabela1107[[#This Row],[COFINS]]+Tabela1107[[#This Row],[CONTRIB. FOLHA]]+Tabela1107[[#This Row],[TRIBUTOS S/ LUCRO]]+Tabela1107[[#This Row],[OUTROS]]+Tabela1107[[#This Row],[RS]]</f>
        <v>24.740000000000002</v>
      </c>
      <c r="BJ112" s="97">
        <f>+Tabela1107[[#This Row],[PIS]]+Tabela1107[[#This Row],[COFINS]]+Tabela1107[[#This Row],[CONTRIB. FOLHA]]+Tabela1107[[#This Row],[TRIBUTOS S/ LUCRO]]+Tabela1107[[#This Row],[OUTROS]]+Tabela1107[[#This Row],[RJ]]</f>
        <v>26.740000000000002</v>
      </c>
      <c r="BK112" s="97">
        <f>+Tabela1107[[#This Row],[PIS]]+Tabela1107[[#This Row],[COFINS]]+Tabela1107[[#This Row],[CONTRIB. FOLHA]]+Tabela1107[[#This Row],[TRIBUTOS S/ LUCRO]]+Tabela1107[[#This Row],[OUTROS]]+Tabela1107[[#This Row],[MG]]</f>
        <v>25.740000000000002</v>
      </c>
      <c r="BL112" s="97">
        <f>+Tabela1107[[#This Row],[PIS]]+Tabela1107[[#This Row],[COFINS]]+Tabela1107[[#This Row],[CONTRIB. FOLHA]]+Tabela1107[[#This Row],[TRIBUTOS S/ LUCRO]]+Tabela1107[[#This Row],[OUTROS]]+Tabela1107[[#This Row],[ES]]</f>
        <v>24.740000000000002</v>
      </c>
      <c r="BM112" s="97">
        <f>+Tabela1107[[#This Row],[PIS]]+Tabela1107[[#This Row],[COFINS]]+Tabela1107[[#This Row],[CONTRIB. FOLHA]]+Tabela1107[[#This Row],[TRIBUTOS S/ LUCRO]]+Tabela1107[[#This Row],[OUTROS]]+Tabela1107[[#This Row],[GO]]</f>
        <v>24.740000000000002</v>
      </c>
      <c r="BN112" s="97">
        <f>+Tabela1107[[#This Row],[PIS]]+Tabela1107[[#This Row],[COFINS]]+Tabela1107[[#This Row],[CONTRIB. FOLHA]]+Tabela1107[[#This Row],[TRIBUTOS S/ LUCRO]]+Tabela1107[[#This Row],[OUTROS]]+Tabela1107[[#This Row],[MT]]</f>
        <v>24.740000000000002</v>
      </c>
      <c r="BO112" s="97">
        <f>+Tabela1107[[#This Row],[PIS]]+Tabela1107[[#This Row],[COFINS]]+Tabela1107[[#This Row],[CONTRIB. FOLHA]]+Tabela1107[[#This Row],[TRIBUTOS S/ LUCRO]]+Tabela1107[[#This Row],[OUTROS]]+Tabela1107[[#This Row],[MS]]</f>
        <v>24.740000000000002</v>
      </c>
      <c r="BP112" s="97">
        <f>+Tabela1107[[#This Row],[PIS]]+Tabela1107[[#This Row],[COFINS]]+Tabela1107[[#This Row],[CONTRIB. FOLHA]]+Tabela1107[[#This Row],[TRIBUTOS S/ LUCRO]]+Tabela1107[[#This Row],[OUTROS]]+Tabela1107[[#This Row],[DF]]</f>
        <v>24.740000000000002</v>
      </c>
      <c r="BQ112" s="97">
        <f>+Tabela1107[[#This Row],[PIS]]+Tabela1107[[#This Row],[COFINS]]+Tabela1107[[#This Row],[CONTRIB. FOLHA]]+Tabela1107[[#This Row],[TRIBUTOS S/ LUCRO]]+Tabela1107[[#This Row],[OUTROS]]+Tabela1107[[#This Row],[BA]]</f>
        <v>24.740000000000002</v>
      </c>
      <c r="BR112" s="97">
        <f>+Tabela1107[[#This Row],[PIS]]+Tabela1107[[#This Row],[COFINS]]+Tabela1107[[#This Row],[CONTRIB. FOLHA]]+Tabela1107[[#This Row],[TRIBUTOS S/ LUCRO]]+Tabela1107[[#This Row],[OUTROS]]+Tabela1107[[#This Row],[BA]]</f>
        <v>24.740000000000002</v>
      </c>
      <c r="BS112" s="97">
        <f>+Tabela1107[[#This Row],[PIS]]+Tabela1107[[#This Row],[COFINS]]+Tabela1107[[#This Row],[CONTRIB. FOLHA]]+Tabela1107[[#This Row],[TRIBUTOS S/ LUCRO]]+Tabela1107[[#This Row],[OUTROS]]+Tabela1107[[#This Row],[PE]]</f>
        <v>24.740000000000002</v>
      </c>
      <c r="BT112" s="97">
        <f>+Tabela1107[[#This Row],[PIS]]+Tabela1107[[#This Row],[COFINS]]+Tabela1107[[#This Row],[CONTRIB. FOLHA]]+Tabela1107[[#This Row],[TRIBUTOS S/ LUCRO]]+Tabela1107[[#This Row],[OUTROS]]+Tabela1107[[#This Row],[PA]]</f>
        <v>24.740000000000002</v>
      </c>
      <c r="BU112" s="97">
        <f>+Tabela1107[[#This Row],[PIS]]+Tabela1107[[#This Row],[COFINS]]+Tabela1107[[#This Row],[CONTRIB. FOLHA]]+Tabela1107[[#This Row],[TRIBUTOS S/ LUCRO]]+Tabela1107[[#This Row],[OUTROS]]+Tabela1107[[#This Row],[AM]]</f>
        <v>24.740000000000002</v>
      </c>
      <c r="BV112" s="97">
        <f>AVERAGE(Tabela1107[[#This Row],[TOTAL SP]:[TOTAL AM]])</f>
        <v>24.677500000000006</v>
      </c>
      <c r="BW112" s="97"/>
      <c r="BX112" s="97"/>
    </row>
    <row r="113" spans="2:76" x14ac:dyDescent="0.25">
      <c r="B113" s="89">
        <v>3501</v>
      </c>
      <c r="C113" s="91" t="s">
        <v>13183</v>
      </c>
      <c r="D113" s="89"/>
      <c r="E113" s="89">
        <v>20140626</v>
      </c>
      <c r="F113" s="89" t="s">
        <v>20552</v>
      </c>
      <c r="G113" s="89" t="s">
        <v>20553</v>
      </c>
      <c r="H113" s="89" t="s">
        <v>20554</v>
      </c>
      <c r="I113" s="89" t="s">
        <v>20555</v>
      </c>
      <c r="J113" s="89" t="s">
        <v>530</v>
      </c>
      <c r="K113" s="89" t="s">
        <v>2446</v>
      </c>
      <c r="L113" s="89" t="s">
        <v>2446</v>
      </c>
      <c r="M113" s="89" t="s">
        <v>4496</v>
      </c>
      <c r="N113" s="89" t="s">
        <v>4496</v>
      </c>
      <c r="O113" s="89" t="s">
        <v>4496</v>
      </c>
      <c r="P113" s="89" t="s">
        <v>4496</v>
      </c>
      <c r="Q113" s="89"/>
      <c r="R113" s="89" t="s">
        <v>532</v>
      </c>
      <c r="S113" s="89" t="s">
        <v>21604</v>
      </c>
      <c r="T113" s="89" t="s">
        <v>21605</v>
      </c>
      <c r="U113" s="89" t="str">
        <f>TRIM('Carga Tributária doenças Po (2'!$L113)</f>
        <v>DIPROPIONATO DE BECLOMETASONA</v>
      </c>
      <c r="V113" s="89">
        <f>SUMIFS('Tabela Federal'!$E$4:$E$2069,'Tabela Federal'!$D$4:$D$2069,'Carga Tributária doenças Po (2'!$L113)</f>
        <v>3</v>
      </c>
      <c r="W113" s="89">
        <f>SUMIFS('Tabela Federal'!$E$4:$E$2069,'Tabela Federal'!$D$4:$D$2069,'Carga Tributária doenças Po (2'!$M113)</f>
        <v>0</v>
      </c>
      <c r="X113" s="89">
        <f>SUMIFS('Tabela Federal'!$E$4:$E$2069,'Tabela Federal'!$D$4:$D$2069,'Carga Tributária doenças Po (2'!$N113)</f>
        <v>0</v>
      </c>
      <c r="Y113" s="89">
        <f>SUMIFS('Tabela Federal'!$E$4:$E$2069,'Tabela Federal'!$D$4:$D$2069,'Carga Tributária doenças Po (2'!$O113)</f>
        <v>0</v>
      </c>
      <c r="Z113" s="92" t="str">
        <f>VLOOKUP('Carga Tributária doenças Po (2'!$AD113,'Carga Tributária doenças Po (2'!$CA$12:$CC$16,2,0)</f>
        <v>+</v>
      </c>
      <c r="AA113" s="89" t="s">
        <v>531</v>
      </c>
      <c r="AB113" s="89" t="s">
        <v>21748</v>
      </c>
      <c r="AC113" s="89" t="s">
        <v>21721</v>
      </c>
      <c r="AD113" s="93" t="s">
        <v>19445</v>
      </c>
      <c r="AE113" s="92" t="s">
        <v>4</v>
      </c>
      <c r="AF113" s="92" t="s">
        <v>3</v>
      </c>
      <c r="AG113" s="94">
        <v>926268</v>
      </c>
      <c r="AH113" s="95">
        <v>15369999</v>
      </c>
      <c r="AI113" s="95">
        <v>34832021.299999997</v>
      </c>
      <c r="AJ113" s="89" t="s">
        <v>595</v>
      </c>
      <c r="AK113" s="89">
        <f>IF('Carga Tributária doenças Po (2'!$Z113="+",0,SUMIFS(PISCOFINS!$I$3:$I$10518,PISCOFINS!$C$3:$C$10518,'Carga Tributária doenças Po (2'!$C113))</f>
        <v>0</v>
      </c>
      <c r="AL113" s="89">
        <f>IF('Carga Tributária doenças Po (2'!$Z113="+",0,SUMIFS(PISCOFINS!$H$3:$H$10518,PISCOFINS!$C$3:$C$10518,'Carga Tributária doenças Po (2'!$C113))</f>
        <v>0</v>
      </c>
      <c r="AM113" s="95">
        <v>3.27</v>
      </c>
      <c r="AN113" s="95">
        <v>3.12</v>
      </c>
      <c r="AO113" s="95">
        <v>1.35</v>
      </c>
      <c r="AP113" s="96">
        <v>18</v>
      </c>
      <c r="AQ113" s="96">
        <v>12</v>
      </c>
      <c r="AR113" s="96">
        <v>17</v>
      </c>
      <c r="AS113" s="97">
        <v>17</v>
      </c>
      <c r="AT113" s="97">
        <v>19</v>
      </c>
      <c r="AU113" s="97">
        <v>18</v>
      </c>
      <c r="AV113" s="97">
        <v>17</v>
      </c>
      <c r="AW113" s="97">
        <v>17</v>
      </c>
      <c r="AX113" s="97">
        <v>17</v>
      </c>
      <c r="AY113" s="97">
        <v>17</v>
      </c>
      <c r="AZ113" s="97">
        <v>17</v>
      </c>
      <c r="BA113" s="97">
        <v>17</v>
      </c>
      <c r="BB113" s="97">
        <v>17</v>
      </c>
      <c r="BC113" s="97">
        <v>17</v>
      </c>
      <c r="BD113" s="97">
        <v>17</v>
      </c>
      <c r="BE113" s="97">
        <v>17</v>
      </c>
      <c r="BF113" s="97">
        <f>+Tabela1107[[#This Row],[PIS]]+Tabela1107[[#This Row],[COFINS]]+Tabela1107[[#This Row],[CONTRIB. FOLHA]]+Tabela1107[[#This Row],[TRIBUTOS S/ LUCRO]]+Tabela1107[[#This Row],[OUTROS]]+Tabela1107[[#This Row],[SP]]</f>
        <v>25.740000000000002</v>
      </c>
      <c r="BG113" s="97">
        <f>+Tabela1107[[#This Row],[PIS]]+Tabela1107[[#This Row],[COFINS]]+Tabela1107[[#This Row],[CONTRIB. FOLHA]]+Tabela1107[[#This Row],[TRIBUTOS S/ LUCRO]]+Tabela1107[[#This Row],[OUTROS]]+Tabela1107[[#This Row],[PR]]</f>
        <v>19.740000000000002</v>
      </c>
      <c r="BH113" s="97">
        <f>+Tabela1107[[#This Row],[PIS]]+Tabela1107[[#This Row],[COFINS]]+Tabela1107[[#This Row],[CONTRIB. FOLHA]]+Tabela1107[[#This Row],[TRIBUTOS S/ LUCRO]]+Tabela1107[[#This Row],[OUTROS]]+Tabela1107[[#This Row],[SC]]</f>
        <v>24.740000000000002</v>
      </c>
      <c r="BI113" s="97">
        <f>+Tabela1107[[#This Row],[PIS]]+Tabela1107[[#This Row],[COFINS]]+Tabela1107[[#This Row],[CONTRIB. FOLHA]]+Tabela1107[[#This Row],[TRIBUTOS S/ LUCRO]]+Tabela1107[[#This Row],[OUTROS]]+Tabela1107[[#This Row],[RS]]</f>
        <v>24.740000000000002</v>
      </c>
      <c r="BJ113" s="97">
        <f>+Tabela1107[[#This Row],[PIS]]+Tabela1107[[#This Row],[COFINS]]+Tabela1107[[#This Row],[CONTRIB. FOLHA]]+Tabela1107[[#This Row],[TRIBUTOS S/ LUCRO]]+Tabela1107[[#This Row],[OUTROS]]+Tabela1107[[#This Row],[RJ]]</f>
        <v>26.740000000000002</v>
      </c>
      <c r="BK113" s="97">
        <f>+Tabela1107[[#This Row],[PIS]]+Tabela1107[[#This Row],[COFINS]]+Tabela1107[[#This Row],[CONTRIB. FOLHA]]+Tabela1107[[#This Row],[TRIBUTOS S/ LUCRO]]+Tabela1107[[#This Row],[OUTROS]]+Tabela1107[[#This Row],[MG]]</f>
        <v>25.740000000000002</v>
      </c>
      <c r="BL113" s="97">
        <f>+Tabela1107[[#This Row],[PIS]]+Tabela1107[[#This Row],[COFINS]]+Tabela1107[[#This Row],[CONTRIB. FOLHA]]+Tabela1107[[#This Row],[TRIBUTOS S/ LUCRO]]+Tabela1107[[#This Row],[OUTROS]]+Tabela1107[[#This Row],[ES]]</f>
        <v>24.740000000000002</v>
      </c>
      <c r="BM113" s="97">
        <f>+Tabela1107[[#This Row],[PIS]]+Tabela1107[[#This Row],[COFINS]]+Tabela1107[[#This Row],[CONTRIB. FOLHA]]+Tabela1107[[#This Row],[TRIBUTOS S/ LUCRO]]+Tabela1107[[#This Row],[OUTROS]]+Tabela1107[[#This Row],[GO]]</f>
        <v>24.740000000000002</v>
      </c>
      <c r="BN113" s="97">
        <f>+Tabela1107[[#This Row],[PIS]]+Tabela1107[[#This Row],[COFINS]]+Tabela1107[[#This Row],[CONTRIB. FOLHA]]+Tabela1107[[#This Row],[TRIBUTOS S/ LUCRO]]+Tabela1107[[#This Row],[OUTROS]]+Tabela1107[[#This Row],[MT]]</f>
        <v>24.740000000000002</v>
      </c>
      <c r="BO113" s="97">
        <f>+Tabela1107[[#This Row],[PIS]]+Tabela1107[[#This Row],[COFINS]]+Tabela1107[[#This Row],[CONTRIB. FOLHA]]+Tabela1107[[#This Row],[TRIBUTOS S/ LUCRO]]+Tabela1107[[#This Row],[OUTROS]]+Tabela1107[[#This Row],[MS]]</f>
        <v>24.740000000000002</v>
      </c>
      <c r="BP113" s="97">
        <f>+Tabela1107[[#This Row],[PIS]]+Tabela1107[[#This Row],[COFINS]]+Tabela1107[[#This Row],[CONTRIB. FOLHA]]+Tabela1107[[#This Row],[TRIBUTOS S/ LUCRO]]+Tabela1107[[#This Row],[OUTROS]]+Tabela1107[[#This Row],[DF]]</f>
        <v>24.740000000000002</v>
      </c>
      <c r="BQ113" s="97">
        <f>+Tabela1107[[#This Row],[PIS]]+Tabela1107[[#This Row],[COFINS]]+Tabela1107[[#This Row],[CONTRIB. FOLHA]]+Tabela1107[[#This Row],[TRIBUTOS S/ LUCRO]]+Tabela1107[[#This Row],[OUTROS]]+Tabela1107[[#This Row],[BA]]</f>
        <v>24.740000000000002</v>
      </c>
      <c r="BR113" s="97">
        <f>+Tabela1107[[#This Row],[PIS]]+Tabela1107[[#This Row],[COFINS]]+Tabela1107[[#This Row],[CONTRIB. FOLHA]]+Tabela1107[[#This Row],[TRIBUTOS S/ LUCRO]]+Tabela1107[[#This Row],[OUTROS]]+Tabela1107[[#This Row],[BA]]</f>
        <v>24.740000000000002</v>
      </c>
      <c r="BS113" s="97">
        <f>+Tabela1107[[#This Row],[PIS]]+Tabela1107[[#This Row],[COFINS]]+Tabela1107[[#This Row],[CONTRIB. FOLHA]]+Tabela1107[[#This Row],[TRIBUTOS S/ LUCRO]]+Tabela1107[[#This Row],[OUTROS]]+Tabela1107[[#This Row],[PE]]</f>
        <v>24.740000000000002</v>
      </c>
      <c r="BT113" s="97">
        <f>+Tabela1107[[#This Row],[PIS]]+Tabela1107[[#This Row],[COFINS]]+Tabela1107[[#This Row],[CONTRIB. FOLHA]]+Tabela1107[[#This Row],[TRIBUTOS S/ LUCRO]]+Tabela1107[[#This Row],[OUTROS]]+Tabela1107[[#This Row],[PA]]</f>
        <v>24.740000000000002</v>
      </c>
      <c r="BU113" s="97">
        <f>+Tabela1107[[#This Row],[PIS]]+Tabela1107[[#This Row],[COFINS]]+Tabela1107[[#This Row],[CONTRIB. FOLHA]]+Tabela1107[[#This Row],[TRIBUTOS S/ LUCRO]]+Tabela1107[[#This Row],[OUTROS]]+Tabela1107[[#This Row],[AM]]</f>
        <v>24.740000000000002</v>
      </c>
      <c r="BV113" s="97">
        <f>AVERAGE(Tabela1107[[#This Row],[TOTAL SP]:[TOTAL AM]])</f>
        <v>24.677500000000006</v>
      </c>
      <c r="BW113" s="97"/>
      <c r="BX113" s="97"/>
    </row>
    <row r="114" spans="2:76" x14ac:dyDescent="0.25">
      <c r="B114" s="89">
        <v>3501</v>
      </c>
      <c r="C114" s="91" t="s">
        <v>13183</v>
      </c>
      <c r="D114" s="89"/>
      <c r="E114" s="89">
        <v>20140626</v>
      </c>
      <c r="F114" s="89" t="s">
        <v>20552</v>
      </c>
      <c r="G114" s="89" t="s">
        <v>20553</v>
      </c>
      <c r="H114" s="89" t="s">
        <v>20554</v>
      </c>
      <c r="I114" s="89" t="s">
        <v>20555</v>
      </c>
      <c r="J114" s="89" t="s">
        <v>530</v>
      </c>
      <c r="K114" s="89" t="s">
        <v>2446</v>
      </c>
      <c r="L114" s="89" t="s">
        <v>2446</v>
      </c>
      <c r="M114" s="89" t="s">
        <v>4496</v>
      </c>
      <c r="N114" s="89" t="s">
        <v>4496</v>
      </c>
      <c r="O114" s="89" t="s">
        <v>4496</v>
      </c>
      <c r="P114" s="89" t="s">
        <v>4496</v>
      </c>
      <c r="Q114" s="89"/>
      <c r="R114" s="89" t="s">
        <v>532</v>
      </c>
      <c r="S114" s="89" t="s">
        <v>21604</v>
      </c>
      <c r="T114" s="89" t="s">
        <v>21605</v>
      </c>
      <c r="U114" s="89" t="str">
        <f>TRIM('Carga Tributária doenças Po (2'!$L114)</f>
        <v>DIPROPIONATO DE BECLOMETASONA</v>
      </c>
      <c r="V114" s="89">
        <f>SUMIFS('Tabela Federal'!$E$4:$E$2069,'Tabela Federal'!$D$4:$D$2069,'Carga Tributária doenças Po (2'!$L114)</f>
        <v>3</v>
      </c>
      <c r="W114" s="89">
        <f>SUMIFS('Tabela Federal'!$E$4:$E$2069,'Tabela Federal'!$D$4:$D$2069,'Carga Tributária doenças Po (2'!$M114)</f>
        <v>0</v>
      </c>
      <c r="X114" s="89">
        <f>SUMIFS('Tabela Federal'!$E$4:$E$2069,'Tabela Federal'!$D$4:$D$2069,'Carga Tributária doenças Po (2'!$N114)</f>
        <v>0</v>
      </c>
      <c r="Y114" s="89">
        <f>SUMIFS('Tabela Federal'!$E$4:$E$2069,'Tabela Federal'!$D$4:$D$2069,'Carga Tributária doenças Po (2'!$O114)</f>
        <v>0</v>
      </c>
      <c r="Z114" s="92" t="str">
        <f>VLOOKUP('Carga Tributária doenças Po (2'!$AD114,'Carga Tributária doenças Po (2'!$CA$12:$CC$16,2,0)</f>
        <v>+</v>
      </c>
      <c r="AA114" s="89" t="s">
        <v>531</v>
      </c>
      <c r="AB114" s="89" t="s">
        <v>21748</v>
      </c>
      <c r="AC114" s="89" t="s">
        <v>21721</v>
      </c>
      <c r="AD114" s="93" t="s">
        <v>19445</v>
      </c>
      <c r="AE114" s="92" t="s">
        <v>4</v>
      </c>
      <c r="AF114" s="92" t="s">
        <v>3</v>
      </c>
      <c r="AG114" s="94">
        <v>926268</v>
      </c>
      <c r="AH114" s="95">
        <v>15369999</v>
      </c>
      <c r="AI114" s="95">
        <v>34832021.299999997</v>
      </c>
      <c r="AJ114" s="89" t="s">
        <v>611</v>
      </c>
      <c r="AK114" s="89">
        <f>IF('Carga Tributária doenças Po (2'!$Z114="+",0,SUMIFS(PISCOFINS!$I$3:$I$10518,PISCOFINS!$C$3:$C$10518,'Carga Tributária doenças Po (2'!$C114))</f>
        <v>0</v>
      </c>
      <c r="AL114" s="89">
        <f>IF('Carga Tributária doenças Po (2'!$Z114="+",0,SUMIFS(PISCOFINS!$H$3:$H$10518,PISCOFINS!$C$3:$C$10518,'Carga Tributária doenças Po (2'!$C114))</f>
        <v>0</v>
      </c>
      <c r="AM114" s="95">
        <v>3.27</v>
      </c>
      <c r="AN114" s="95">
        <v>3.12</v>
      </c>
      <c r="AO114" s="95">
        <v>1.35</v>
      </c>
      <c r="AP114" s="96">
        <v>18</v>
      </c>
      <c r="AQ114" s="96">
        <v>12</v>
      </c>
      <c r="AR114" s="96">
        <v>17</v>
      </c>
      <c r="AS114" s="97">
        <v>17</v>
      </c>
      <c r="AT114" s="97">
        <v>19</v>
      </c>
      <c r="AU114" s="97">
        <v>18</v>
      </c>
      <c r="AV114" s="97">
        <v>17</v>
      </c>
      <c r="AW114" s="97">
        <v>17</v>
      </c>
      <c r="AX114" s="97">
        <v>17</v>
      </c>
      <c r="AY114" s="97">
        <v>17</v>
      </c>
      <c r="AZ114" s="97">
        <v>17</v>
      </c>
      <c r="BA114" s="97">
        <v>17</v>
      </c>
      <c r="BB114" s="97">
        <v>17</v>
      </c>
      <c r="BC114" s="97">
        <v>17</v>
      </c>
      <c r="BD114" s="97">
        <v>17</v>
      </c>
      <c r="BE114" s="97">
        <v>17</v>
      </c>
      <c r="BF114" s="97">
        <f>+Tabela1107[[#This Row],[PIS]]+Tabela1107[[#This Row],[COFINS]]+Tabela1107[[#This Row],[CONTRIB. FOLHA]]+Tabela1107[[#This Row],[TRIBUTOS S/ LUCRO]]+Tabela1107[[#This Row],[OUTROS]]+Tabela1107[[#This Row],[SP]]</f>
        <v>25.740000000000002</v>
      </c>
      <c r="BG114" s="97">
        <f>+Tabela1107[[#This Row],[PIS]]+Tabela1107[[#This Row],[COFINS]]+Tabela1107[[#This Row],[CONTRIB. FOLHA]]+Tabela1107[[#This Row],[TRIBUTOS S/ LUCRO]]+Tabela1107[[#This Row],[OUTROS]]+Tabela1107[[#This Row],[PR]]</f>
        <v>19.740000000000002</v>
      </c>
      <c r="BH114" s="97">
        <f>+Tabela1107[[#This Row],[PIS]]+Tabela1107[[#This Row],[COFINS]]+Tabela1107[[#This Row],[CONTRIB. FOLHA]]+Tabela1107[[#This Row],[TRIBUTOS S/ LUCRO]]+Tabela1107[[#This Row],[OUTROS]]+Tabela1107[[#This Row],[SC]]</f>
        <v>24.740000000000002</v>
      </c>
      <c r="BI114" s="97">
        <f>+Tabela1107[[#This Row],[PIS]]+Tabela1107[[#This Row],[COFINS]]+Tabela1107[[#This Row],[CONTRIB. FOLHA]]+Tabela1107[[#This Row],[TRIBUTOS S/ LUCRO]]+Tabela1107[[#This Row],[OUTROS]]+Tabela1107[[#This Row],[RS]]</f>
        <v>24.740000000000002</v>
      </c>
      <c r="BJ114" s="97">
        <f>+Tabela1107[[#This Row],[PIS]]+Tabela1107[[#This Row],[COFINS]]+Tabela1107[[#This Row],[CONTRIB. FOLHA]]+Tabela1107[[#This Row],[TRIBUTOS S/ LUCRO]]+Tabela1107[[#This Row],[OUTROS]]+Tabela1107[[#This Row],[RJ]]</f>
        <v>26.740000000000002</v>
      </c>
      <c r="BK114" s="97">
        <f>+Tabela1107[[#This Row],[PIS]]+Tabela1107[[#This Row],[COFINS]]+Tabela1107[[#This Row],[CONTRIB. FOLHA]]+Tabela1107[[#This Row],[TRIBUTOS S/ LUCRO]]+Tabela1107[[#This Row],[OUTROS]]+Tabela1107[[#This Row],[MG]]</f>
        <v>25.740000000000002</v>
      </c>
      <c r="BL114" s="97">
        <f>+Tabela1107[[#This Row],[PIS]]+Tabela1107[[#This Row],[COFINS]]+Tabela1107[[#This Row],[CONTRIB. FOLHA]]+Tabela1107[[#This Row],[TRIBUTOS S/ LUCRO]]+Tabela1107[[#This Row],[OUTROS]]+Tabela1107[[#This Row],[ES]]</f>
        <v>24.740000000000002</v>
      </c>
      <c r="BM114" s="97">
        <f>+Tabela1107[[#This Row],[PIS]]+Tabela1107[[#This Row],[COFINS]]+Tabela1107[[#This Row],[CONTRIB. FOLHA]]+Tabela1107[[#This Row],[TRIBUTOS S/ LUCRO]]+Tabela1107[[#This Row],[OUTROS]]+Tabela1107[[#This Row],[GO]]</f>
        <v>24.740000000000002</v>
      </c>
      <c r="BN114" s="97">
        <f>+Tabela1107[[#This Row],[PIS]]+Tabela1107[[#This Row],[COFINS]]+Tabela1107[[#This Row],[CONTRIB. FOLHA]]+Tabela1107[[#This Row],[TRIBUTOS S/ LUCRO]]+Tabela1107[[#This Row],[OUTROS]]+Tabela1107[[#This Row],[MT]]</f>
        <v>24.740000000000002</v>
      </c>
      <c r="BO114" s="97">
        <f>+Tabela1107[[#This Row],[PIS]]+Tabela1107[[#This Row],[COFINS]]+Tabela1107[[#This Row],[CONTRIB. FOLHA]]+Tabela1107[[#This Row],[TRIBUTOS S/ LUCRO]]+Tabela1107[[#This Row],[OUTROS]]+Tabela1107[[#This Row],[MS]]</f>
        <v>24.740000000000002</v>
      </c>
      <c r="BP114" s="97">
        <f>+Tabela1107[[#This Row],[PIS]]+Tabela1107[[#This Row],[COFINS]]+Tabela1107[[#This Row],[CONTRIB. FOLHA]]+Tabela1107[[#This Row],[TRIBUTOS S/ LUCRO]]+Tabela1107[[#This Row],[OUTROS]]+Tabela1107[[#This Row],[DF]]</f>
        <v>24.740000000000002</v>
      </c>
      <c r="BQ114" s="97">
        <f>+Tabela1107[[#This Row],[PIS]]+Tabela1107[[#This Row],[COFINS]]+Tabela1107[[#This Row],[CONTRIB. FOLHA]]+Tabela1107[[#This Row],[TRIBUTOS S/ LUCRO]]+Tabela1107[[#This Row],[OUTROS]]+Tabela1107[[#This Row],[BA]]</f>
        <v>24.740000000000002</v>
      </c>
      <c r="BR114" s="97">
        <f>+Tabela1107[[#This Row],[PIS]]+Tabela1107[[#This Row],[COFINS]]+Tabela1107[[#This Row],[CONTRIB. FOLHA]]+Tabela1107[[#This Row],[TRIBUTOS S/ LUCRO]]+Tabela1107[[#This Row],[OUTROS]]+Tabela1107[[#This Row],[BA]]</f>
        <v>24.740000000000002</v>
      </c>
      <c r="BS114" s="97">
        <f>+Tabela1107[[#This Row],[PIS]]+Tabela1107[[#This Row],[COFINS]]+Tabela1107[[#This Row],[CONTRIB. FOLHA]]+Tabela1107[[#This Row],[TRIBUTOS S/ LUCRO]]+Tabela1107[[#This Row],[OUTROS]]+Tabela1107[[#This Row],[PE]]</f>
        <v>24.740000000000002</v>
      </c>
      <c r="BT114" s="97">
        <f>+Tabela1107[[#This Row],[PIS]]+Tabela1107[[#This Row],[COFINS]]+Tabela1107[[#This Row],[CONTRIB. FOLHA]]+Tabela1107[[#This Row],[TRIBUTOS S/ LUCRO]]+Tabela1107[[#This Row],[OUTROS]]+Tabela1107[[#This Row],[PA]]</f>
        <v>24.740000000000002</v>
      </c>
      <c r="BU114" s="97">
        <f>+Tabela1107[[#This Row],[PIS]]+Tabela1107[[#This Row],[COFINS]]+Tabela1107[[#This Row],[CONTRIB. FOLHA]]+Tabela1107[[#This Row],[TRIBUTOS S/ LUCRO]]+Tabela1107[[#This Row],[OUTROS]]+Tabela1107[[#This Row],[AM]]</f>
        <v>24.740000000000002</v>
      </c>
      <c r="BV114" s="97">
        <f>AVERAGE(Tabela1107[[#This Row],[TOTAL SP]:[TOTAL AM]])</f>
        <v>24.677500000000006</v>
      </c>
      <c r="BW114" s="97"/>
      <c r="BX114" s="97"/>
    </row>
    <row r="115" spans="2:76" x14ac:dyDescent="0.25">
      <c r="B115" s="89">
        <v>3502</v>
      </c>
      <c r="C115" s="91" t="s">
        <v>13183</v>
      </c>
      <c r="D115" s="89"/>
      <c r="E115" s="89">
        <v>20140626</v>
      </c>
      <c r="F115" s="89" t="s">
        <v>20556</v>
      </c>
      <c r="G115" s="89" t="s">
        <v>20557</v>
      </c>
      <c r="H115" s="98" t="s">
        <v>21960</v>
      </c>
      <c r="I115" s="89" t="s">
        <v>20558</v>
      </c>
      <c r="J115" s="89" t="s">
        <v>596</v>
      </c>
      <c r="K115" s="89" t="s">
        <v>2446</v>
      </c>
      <c r="L115" s="89" t="s">
        <v>2446</v>
      </c>
      <c r="M115" s="89" t="s">
        <v>4496</v>
      </c>
      <c r="N115" s="89" t="s">
        <v>4496</v>
      </c>
      <c r="O115" s="89" t="s">
        <v>4496</v>
      </c>
      <c r="P115" s="89" t="s">
        <v>4496</v>
      </c>
      <c r="Q115" s="89"/>
      <c r="R115" s="89" t="s">
        <v>532</v>
      </c>
      <c r="S115" s="89" t="s">
        <v>21604</v>
      </c>
      <c r="T115" s="89" t="s">
        <v>21605</v>
      </c>
      <c r="U115" s="89" t="str">
        <f>TRIM('Carga Tributária doenças Po (2'!$L115)</f>
        <v>DIPROPIONATO DE BECLOMETASONA</v>
      </c>
      <c r="V115" s="89">
        <f>SUMIFS('Tabela Federal'!$E$4:$E$2069,'Tabela Federal'!$D$4:$D$2069,'Carga Tributária doenças Po (2'!$L115)</f>
        <v>3</v>
      </c>
      <c r="W115" s="89">
        <f>SUMIFS('Tabela Federal'!$E$4:$E$2069,'Tabela Federal'!$D$4:$D$2069,'Carga Tributária doenças Po (2'!$M115)</f>
        <v>0</v>
      </c>
      <c r="X115" s="89">
        <f>SUMIFS('Tabela Federal'!$E$4:$E$2069,'Tabela Federal'!$D$4:$D$2069,'Carga Tributária doenças Po (2'!$N115)</f>
        <v>0</v>
      </c>
      <c r="Y115" s="89">
        <f>SUMIFS('Tabela Federal'!$E$4:$E$2069,'Tabela Federal'!$D$4:$D$2069,'Carga Tributária doenças Po (2'!$O115)</f>
        <v>0</v>
      </c>
      <c r="Z115" s="92" t="str">
        <f>VLOOKUP('Carga Tributária doenças Po (2'!$AD115,'Carga Tributária doenças Po (2'!$CA$12:$CC$16,2,0)</f>
        <v>+</v>
      </c>
      <c r="AA115" s="89" t="s">
        <v>531</v>
      </c>
      <c r="AB115" s="89" t="s">
        <v>21747</v>
      </c>
      <c r="AC115" s="89" t="s">
        <v>21721</v>
      </c>
      <c r="AD115" s="93" t="s">
        <v>19445</v>
      </c>
      <c r="AE115" s="92" t="s">
        <v>4</v>
      </c>
      <c r="AF115" s="92" t="s">
        <v>3</v>
      </c>
      <c r="AG115" s="94">
        <v>452010</v>
      </c>
      <c r="AH115" s="95">
        <v>9405441</v>
      </c>
      <c r="AI115" s="95">
        <v>21412522.609999999</v>
      </c>
      <c r="AJ115" s="89" t="s">
        <v>533</v>
      </c>
      <c r="AK115" s="89">
        <f>IF('Carga Tributária doenças Po (2'!$Z115="+",0,SUMIFS(PISCOFINS!$I$3:$I$10518,PISCOFINS!$C$3:$C$10518,'Carga Tributária doenças Po (2'!$C115))</f>
        <v>0</v>
      </c>
      <c r="AL115" s="89">
        <f>IF('Carga Tributária doenças Po (2'!$Z115="+",0,SUMIFS(PISCOFINS!$H$3:$H$10518,PISCOFINS!$C$3:$C$10518,'Carga Tributária doenças Po (2'!$C115))</f>
        <v>0</v>
      </c>
      <c r="AM115" s="95">
        <v>3.27</v>
      </c>
      <c r="AN115" s="95">
        <v>3.12</v>
      </c>
      <c r="AO115" s="95">
        <v>1.35</v>
      </c>
      <c r="AP115" s="96">
        <v>18</v>
      </c>
      <c r="AQ115" s="96">
        <v>12</v>
      </c>
      <c r="AR115" s="96">
        <v>17</v>
      </c>
      <c r="AS115" s="97">
        <v>17</v>
      </c>
      <c r="AT115" s="97">
        <v>19</v>
      </c>
      <c r="AU115" s="97">
        <v>18</v>
      </c>
      <c r="AV115" s="97">
        <v>17</v>
      </c>
      <c r="AW115" s="97">
        <v>17</v>
      </c>
      <c r="AX115" s="97">
        <v>17</v>
      </c>
      <c r="AY115" s="97">
        <v>17</v>
      </c>
      <c r="AZ115" s="97">
        <v>17</v>
      </c>
      <c r="BA115" s="97">
        <v>17</v>
      </c>
      <c r="BB115" s="97">
        <v>17</v>
      </c>
      <c r="BC115" s="97">
        <v>17</v>
      </c>
      <c r="BD115" s="97">
        <v>17</v>
      </c>
      <c r="BE115" s="97">
        <v>17</v>
      </c>
      <c r="BF115" s="97">
        <f>+Tabela1107[[#This Row],[PIS]]+Tabela1107[[#This Row],[COFINS]]+Tabela1107[[#This Row],[CONTRIB. FOLHA]]+Tabela1107[[#This Row],[TRIBUTOS S/ LUCRO]]+Tabela1107[[#This Row],[OUTROS]]+Tabela1107[[#This Row],[SP]]</f>
        <v>25.740000000000002</v>
      </c>
      <c r="BG115" s="97">
        <f>+Tabela1107[[#This Row],[PIS]]+Tabela1107[[#This Row],[COFINS]]+Tabela1107[[#This Row],[CONTRIB. FOLHA]]+Tabela1107[[#This Row],[TRIBUTOS S/ LUCRO]]+Tabela1107[[#This Row],[OUTROS]]+Tabela1107[[#This Row],[PR]]</f>
        <v>19.740000000000002</v>
      </c>
      <c r="BH115" s="97">
        <f>+Tabela1107[[#This Row],[PIS]]+Tabela1107[[#This Row],[COFINS]]+Tabela1107[[#This Row],[CONTRIB. FOLHA]]+Tabela1107[[#This Row],[TRIBUTOS S/ LUCRO]]+Tabela1107[[#This Row],[OUTROS]]+Tabela1107[[#This Row],[SC]]</f>
        <v>24.740000000000002</v>
      </c>
      <c r="BI115" s="97">
        <f>+Tabela1107[[#This Row],[PIS]]+Tabela1107[[#This Row],[COFINS]]+Tabela1107[[#This Row],[CONTRIB. FOLHA]]+Tabela1107[[#This Row],[TRIBUTOS S/ LUCRO]]+Tabela1107[[#This Row],[OUTROS]]+Tabela1107[[#This Row],[RS]]</f>
        <v>24.740000000000002</v>
      </c>
      <c r="BJ115" s="97">
        <f>+Tabela1107[[#This Row],[PIS]]+Tabela1107[[#This Row],[COFINS]]+Tabela1107[[#This Row],[CONTRIB. FOLHA]]+Tabela1107[[#This Row],[TRIBUTOS S/ LUCRO]]+Tabela1107[[#This Row],[OUTROS]]+Tabela1107[[#This Row],[RJ]]</f>
        <v>26.740000000000002</v>
      </c>
      <c r="BK115" s="97">
        <f>+Tabela1107[[#This Row],[PIS]]+Tabela1107[[#This Row],[COFINS]]+Tabela1107[[#This Row],[CONTRIB. FOLHA]]+Tabela1107[[#This Row],[TRIBUTOS S/ LUCRO]]+Tabela1107[[#This Row],[OUTROS]]+Tabela1107[[#This Row],[MG]]</f>
        <v>25.740000000000002</v>
      </c>
      <c r="BL115" s="97">
        <f>+Tabela1107[[#This Row],[PIS]]+Tabela1107[[#This Row],[COFINS]]+Tabela1107[[#This Row],[CONTRIB. FOLHA]]+Tabela1107[[#This Row],[TRIBUTOS S/ LUCRO]]+Tabela1107[[#This Row],[OUTROS]]+Tabela1107[[#This Row],[ES]]</f>
        <v>24.740000000000002</v>
      </c>
      <c r="BM115" s="97">
        <f>+Tabela1107[[#This Row],[PIS]]+Tabela1107[[#This Row],[COFINS]]+Tabela1107[[#This Row],[CONTRIB. FOLHA]]+Tabela1107[[#This Row],[TRIBUTOS S/ LUCRO]]+Tabela1107[[#This Row],[OUTROS]]+Tabela1107[[#This Row],[GO]]</f>
        <v>24.740000000000002</v>
      </c>
      <c r="BN115" s="97">
        <f>+Tabela1107[[#This Row],[PIS]]+Tabela1107[[#This Row],[COFINS]]+Tabela1107[[#This Row],[CONTRIB. FOLHA]]+Tabela1107[[#This Row],[TRIBUTOS S/ LUCRO]]+Tabela1107[[#This Row],[OUTROS]]+Tabela1107[[#This Row],[MT]]</f>
        <v>24.740000000000002</v>
      </c>
      <c r="BO115" s="97">
        <f>+Tabela1107[[#This Row],[PIS]]+Tabela1107[[#This Row],[COFINS]]+Tabela1107[[#This Row],[CONTRIB. FOLHA]]+Tabela1107[[#This Row],[TRIBUTOS S/ LUCRO]]+Tabela1107[[#This Row],[OUTROS]]+Tabela1107[[#This Row],[MS]]</f>
        <v>24.740000000000002</v>
      </c>
      <c r="BP115" s="97">
        <f>+Tabela1107[[#This Row],[PIS]]+Tabela1107[[#This Row],[COFINS]]+Tabela1107[[#This Row],[CONTRIB. FOLHA]]+Tabela1107[[#This Row],[TRIBUTOS S/ LUCRO]]+Tabela1107[[#This Row],[OUTROS]]+Tabela1107[[#This Row],[DF]]</f>
        <v>24.740000000000002</v>
      </c>
      <c r="BQ115" s="97">
        <f>+Tabela1107[[#This Row],[PIS]]+Tabela1107[[#This Row],[COFINS]]+Tabela1107[[#This Row],[CONTRIB. FOLHA]]+Tabela1107[[#This Row],[TRIBUTOS S/ LUCRO]]+Tabela1107[[#This Row],[OUTROS]]+Tabela1107[[#This Row],[BA]]</f>
        <v>24.740000000000002</v>
      </c>
      <c r="BR115" s="97">
        <f>+Tabela1107[[#This Row],[PIS]]+Tabela1107[[#This Row],[COFINS]]+Tabela1107[[#This Row],[CONTRIB. FOLHA]]+Tabela1107[[#This Row],[TRIBUTOS S/ LUCRO]]+Tabela1107[[#This Row],[OUTROS]]+Tabela1107[[#This Row],[BA]]</f>
        <v>24.740000000000002</v>
      </c>
      <c r="BS115" s="97">
        <f>+Tabela1107[[#This Row],[PIS]]+Tabela1107[[#This Row],[COFINS]]+Tabela1107[[#This Row],[CONTRIB. FOLHA]]+Tabela1107[[#This Row],[TRIBUTOS S/ LUCRO]]+Tabela1107[[#This Row],[OUTROS]]+Tabela1107[[#This Row],[PE]]</f>
        <v>24.740000000000002</v>
      </c>
      <c r="BT115" s="97">
        <f>+Tabela1107[[#This Row],[PIS]]+Tabela1107[[#This Row],[COFINS]]+Tabela1107[[#This Row],[CONTRIB. FOLHA]]+Tabela1107[[#This Row],[TRIBUTOS S/ LUCRO]]+Tabela1107[[#This Row],[OUTROS]]+Tabela1107[[#This Row],[PA]]</f>
        <v>24.740000000000002</v>
      </c>
      <c r="BU115" s="97">
        <f>+Tabela1107[[#This Row],[PIS]]+Tabela1107[[#This Row],[COFINS]]+Tabela1107[[#This Row],[CONTRIB. FOLHA]]+Tabela1107[[#This Row],[TRIBUTOS S/ LUCRO]]+Tabela1107[[#This Row],[OUTROS]]+Tabela1107[[#This Row],[AM]]</f>
        <v>24.740000000000002</v>
      </c>
      <c r="BV115" s="97">
        <f>AVERAGE(Tabela1107[[#This Row],[TOTAL SP]:[TOTAL AM]])</f>
        <v>24.677500000000006</v>
      </c>
      <c r="BW115" s="97"/>
      <c r="BX115" s="97"/>
    </row>
    <row r="116" spans="2:76" x14ac:dyDescent="0.25">
      <c r="B116" s="89">
        <v>3502</v>
      </c>
      <c r="C116" s="91" t="s">
        <v>13183</v>
      </c>
      <c r="D116" s="89"/>
      <c r="E116" s="89">
        <v>20140626</v>
      </c>
      <c r="F116" s="89" t="s">
        <v>20556</v>
      </c>
      <c r="G116" s="89" t="s">
        <v>20557</v>
      </c>
      <c r="H116" s="98" t="s">
        <v>21960</v>
      </c>
      <c r="I116" s="89" t="s">
        <v>20558</v>
      </c>
      <c r="J116" s="89" t="s">
        <v>596</v>
      </c>
      <c r="K116" s="89" t="s">
        <v>2446</v>
      </c>
      <c r="L116" s="89" t="s">
        <v>2446</v>
      </c>
      <c r="M116" s="89" t="s">
        <v>4496</v>
      </c>
      <c r="N116" s="89" t="s">
        <v>4496</v>
      </c>
      <c r="O116" s="89" t="s">
        <v>4496</v>
      </c>
      <c r="P116" s="89" t="s">
        <v>4496</v>
      </c>
      <c r="Q116" s="89"/>
      <c r="R116" s="89" t="s">
        <v>532</v>
      </c>
      <c r="S116" s="89" t="s">
        <v>21604</v>
      </c>
      <c r="T116" s="89" t="s">
        <v>21605</v>
      </c>
      <c r="U116" s="89" t="str">
        <f>TRIM('Carga Tributária doenças Po (2'!$L116)</f>
        <v>DIPROPIONATO DE BECLOMETASONA</v>
      </c>
      <c r="V116" s="89">
        <f>SUMIFS('Tabela Federal'!$E$4:$E$2069,'Tabela Federal'!$D$4:$D$2069,'Carga Tributária doenças Po (2'!$L116)</f>
        <v>3</v>
      </c>
      <c r="W116" s="89">
        <f>SUMIFS('Tabela Federal'!$E$4:$E$2069,'Tabela Federal'!$D$4:$D$2069,'Carga Tributária doenças Po (2'!$M116)</f>
        <v>0</v>
      </c>
      <c r="X116" s="89">
        <f>SUMIFS('Tabela Federal'!$E$4:$E$2069,'Tabela Federal'!$D$4:$D$2069,'Carga Tributária doenças Po (2'!$N116)</f>
        <v>0</v>
      </c>
      <c r="Y116" s="89">
        <f>SUMIFS('Tabela Federal'!$E$4:$E$2069,'Tabela Federal'!$D$4:$D$2069,'Carga Tributária doenças Po (2'!$O116)</f>
        <v>0</v>
      </c>
      <c r="Z116" s="92" t="str">
        <f>VLOOKUP('Carga Tributária doenças Po (2'!$AD116,'Carga Tributária doenças Po (2'!$CA$12:$CC$16,2,0)</f>
        <v>+</v>
      </c>
      <c r="AA116" s="89" t="s">
        <v>531</v>
      </c>
      <c r="AB116" s="89" t="s">
        <v>21747</v>
      </c>
      <c r="AC116" s="89" t="s">
        <v>21721</v>
      </c>
      <c r="AD116" s="93" t="s">
        <v>19445</v>
      </c>
      <c r="AE116" s="92" t="s">
        <v>4</v>
      </c>
      <c r="AF116" s="92" t="s">
        <v>3</v>
      </c>
      <c r="AG116" s="94">
        <v>452010</v>
      </c>
      <c r="AH116" s="95">
        <v>9405441</v>
      </c>
      <c r="AI116" s="95">
        <v>21412522.609999999</v>
      </c>
      <c r="AJ116" s="89" t="s">
        <v>595</v>
      </c>
      <c r="AK116" s="89">
        <f>IF('Carga Tributária doenças Po (2'!$Z116="+",0,SUMIFS(PISCOFINS!$I$3:$I$10518,PISCOFINS!$C$3:$C$10518,'Carga Tributária doenças Po (2'!$C116))</f>
        <v>0</v>
      </c>
      <c r="AL116" s="89">
        <f>IF('Carga Tributária doenças Po (2'!$Z116="+",0,SUMIFS(PISCOFINS!$H$3:$H$10518,PISCOFINS!$C$3:$C$10518,'Carga Tributária doenças Po (2'!$C116))</f>
        <v>0</v>
      </c>
      <c r="AM116" s="95">
        <v>3.27</v>
      </c>
      <c r="AN116" s="95">
        <v>3.12</v>
      </c>
      <c r="AO116" s="95">
        <v>1.35</v>
      </c>
      <c r="AP116" s="96">
        <v>18</v>
      </c>
      <c r="AQ116" s="96">
        <v>12</v>
      </c>
      <c r="AR116" s="96">
        <v>17</v>
      </c>
      <c r="AS116" s="97">
        <v>17</v>
      </c>
      <c r="AT116" s="97">
        <v>19</v>
      </c>
      <c r="AU116" s="97">
        <v>18</v>
      </c>
      <c r="AV116" s="97">
        <v>17</v>
      </c>
      <c r="AW116" s="97">
        <v>17</v>
      </c>
      <c r="AX116" s="97">
        <v>17</v>
      </c>
      <c r="AY116" s="97">
        <v>17</v>
      </c>
      <c r="AZ116" s="97">
        <v>17</v>
      </c>
      <c r="BA116" s="97">
        <v>17</v>
      </c>
      <c r="BB116" s="97">
        <v>17</v>
      </c>
      <c r="BC116" s="97">
        <v>17</v>
      </c>
      <c r="BD116" s="97">
        <v>17</v>
      </c>
      <c r="BE116" s="97">
        <v>17</v>
      </c>
      <c r="BF116" s="97">
        <f>+Tabela1107[[#This Row],[PIS]]+Tabela1107[[#This Row],[COFINS]]+Tabela1107[[#This Row],[CONTRIB. FOLHA]]+Tabela1107[[#This Row],[TRIBUTOS S/ LUCRO]]+Tabela1107[[#This Row],[OUTROS]]+Tabela1107[[#This Row],[SP]]</f>
        <v>25.740000000000002</v>
      </c>
      <c r="BG116" s="97">
        <f>+Tabela1107[[#This Row],[PIS]]+Tabela1107[[#This Row],[COFINS]]+Tabela1107[[#This Row],[CONTRIB. FOLHA]]+Tabela1107[[#This Row],[TRIBUTOS S/ LUCRO]]+Tabela1107[[#This Row],[OUTROS]]+Tabela1107[[#This Row],[PR]]</f>
        <v>19.740000000000002</v>
      </c>
      <c r="BH116" s="97">
        <f>+Tabela1107[[#This Row],[PIS]]+Tabela1107[[#This Row],[COFINS]]+Tabela1107[[#This Row],[CONTRIB. FOLHA]]+Tabela1107[[#This Row],[TRIBUTOS S/ LUCRO]]+Tabela1107[[#This Row],[OUTROS]]+Tabela1107[[#This Row],[SC]]</f>
        <v>24.740000000000002</v>
      </c>
      <c r="BI116" s="97">
        <f>+Tabela1107[[#This Row],[PIS]]+Tabela1107[[#This Row],[COFINS]]+Tabela1107[[#This Row],[CONTRIB. FOLHA]]+Tabela1107[[#This Row],[TRIBUTOS S/ LUCRO]]+Tabela1107[[#This Row],[OUTROS]]+Tabela1107[[#This Row],[RS]]</f>
        <v>24.740000000000002</v>
      </c>
      <c r="BJ116" s="97">
        <f>+Tabela1107[[#This Row],[PIS]]+Tabela1107[[#This Row],[COFINS]]+Tabela1107[[#This Row],[CONTRIB. FOLHA]]+Tabela1107[[#This Row],[TRIBUTOS S/ LUCRO]]+Tabela1107[[#This Row],[OUTROS]]+Tabela1107[[#This Row],[RJ]]</f>
        <v>26.740000000000002</v>
      </c>
      <c r="BK116" s="97">
        <f>+Tabela1107[[#This Row],[PIS]]+Tabela1107[[#This Row],[COFINS]]+Tabela1107[[#This Row],[CONTRIB. FOLHA]]+Tabela1107[[#This Row],[TRIBUTOS S/ LUCRO]]+Tabela1107[[#This Row],[OUTROS]]+Tabela1107[[#This Row],[MG]]</f>
        <v>25.740000000000002</v>
      </c>
      <c r="BL116" s="97">
        <f>+Tabela1107[[#This Row],[PIS]]+Tabela1107[[#This Row],[COFINS]]+Tabela1107[[#This Row],[CONTRIB. FOLHA]]+Tabela1107[[#This Row],[TRIBUTOS S/ LUCRO]]+Tabela1107[[#This Row],[OUTROS]]+Tabela1107[[#This Row],[ES]]</f>
        <v>24.740000000000002</v>
      </c>
      <c r="BM116" s="97">
        <f>+Tabela1107[[#This Row],[PIS]]+Tabela1107[[#This Row],[COFINS]]+Tabela1107[[#This Row],[CONTRIB. FOLHA]]+Tabela1107[[#This Row],[TRIBUTOS S/ LUCRO]]+Tabela1107[[#This Row],[OUTROS]]+Tabela1107[[#This Row],[GO]]</f>
        <v>24.740000000000002</v>
      </c>
      <c r="BN116" s="97">
        <f>+Tabela1107[[#This Row],[PIS]]+Tabela1107[[#This Row],[COFINS]]+Tabela1107[[#This Row],[CONTRIB. FOLHA]]+Tabela1107[[#This Row],[TRIBUTOS S/ LUCRO]]+Tabela1107[[#This Row],[OUTROS]]+Tabela1107[[#This Row],[MT]]</f>
        <v>24.740000000000002</v>
      </c>
      <c r="BO116" s="97">
        <f>+Tabela1107[[#This Row],[PIS]]+Tabela1107[[#This Row],[COFINS]]+Tabela1107[[#This Row],[CONTRIB. FOLHA]]+Tabela1107[[#This Row],[TRIBUTOS S/ LUCRO]]+Tabela1107[[#This Row],[OUTROS]]+Tabela1107[[#This Row],[MS]]</f>
        <v>24.740000000000002</v>
      </c>
      <c r="BP116" s="97">
        <f>+Tabela1107[[#This Row],[PIS]]+Tabela1107[[#This Row],[COFINS]]+Tabela1107[[#This Row],[CONTRIB. FOLHA]]+Tabela1107[[#This Row],[TRIBUTOS S/ LUCRO]]+Tabela1107[[#This Row],[OUTROS]]+Tabela1107[[#This Row],[DF]]</f>
        <v>24.740000000000002</v>
      </c>
      <c r="BQ116" s="97">
        <f>+Tabela1107[[#This Row],[PIS]]+Tabela1107[[#This Row],[COFINS]]+Tabela1107[[#This Row],[CONTRIB. FOLHA]]+Tabela1107[[#This Row],[TRIBUTOS S/ LUCRO]]+Tabela1107[[#This Row],[OUTROS]]+Tabela1107[[#This Row],[BA]]</f>
        <v>24.740000000000002</v>
      </c>
      <c r="BR116" s="97">
        <f>+Tabela1107[[#This Row],[PIS]]+Tabela1107[[#This Row],[COFINS]]+Tabela1107[[#This Row],[CONTRIB. FOLHA]]+Tabela1107[[#This Row],[TRIBUTOS S/ LUCRO]]+Tabela1107[[#This Row],[OUTROS]]+Tabela1107[[#This Row],[BA]]</f>
        <v>24.740000000000002</v>
      </c>
      <c r="BS116" s="97">
        <f>+Tabela1107[[#This Row],[PIS]]+Tabela1107[[#This Row],[COFINS]]+Tabela1107[[#This Row],[CONTRIB. FOLHA]]+Tabela1107[[#This Row],[TRIBUTOS S/ LUCRO]]+Tabela1107[[#This Row],[OUTROS]]+Tabela1107[[#This Row],[PE]]</f>
        <v>24.740000000000002</v>
      </c>
      <c r="BT116" s="97">
        <f>+Tabela1107[[#This Row],[PIS]]+Tabela1107[[#This Row],[COFINS]]+Tabela1107[[#This Row],[CONTRIB. FOLHA]]+Tabela1107[[#This Row],[TRIBUTOS S/ LUCRO]]+Tabela1107[[#This Row],[OUTROS]]+Tabela1107[[#This Row],[PA]]</f>
        <v>24.740000000000002</v>
      </c>
      <c r="BU116" s="97">
        <f>+Tabela1107[[#This Row],[PIS]]+Tabela1107[[#This Row],[COFINS]]+Tabela1107[[#This Row],[CONTRIB. FOLHA]]+Tabela1107[[#This Row],[TRIBUTOS S/ LUCRO]]+Tabela1107[[#This Row],[OUTROS]]+Tabela1107[[#This Row],[AM]]</f>
        <v>24.740000000000002</v>
      </c>
      <c r="BV116" s="97">
        <f>AVERAGE(Tabela1107[[#This Row],[TOTAL SP]:[TOTAL AM]])</f>
        <v>24.677500000000006</v>
      </c>
      <c r="BW116" s="97"/>
      <c r="BX116" s="97"/>
    </row>
    <row r="117" spans="2:76" x14ac:dyDescent="0.25">
      <c r="B117" s="89">
        <v>3502</v>
      </c>
      <c r="C117" s="91" t="s">
        <v>13183</v>
      </c>
      <c r="D117" s="89"/>
      <c r="E117" s="89">
        <v>20140626</v>
      </c>
      <c r="F117" s="89" t="s">
        <v>20556</v>
      </c>
      <c r="G117" s="89" t="s">
        <v>20557</v>
      </c>
      <c r="H117" s="98" t="s">
        <v>21960</v>
      </c>
      <c r="I117" s="89" t="s">
        <v>20558</v>
      </c>
      <c r="J117" s="89" t="s">
        <v>597</v>
      </c>
      <c r="K117" s="89" t="s">
        <v>2446</v>
      </c>
      <c r="L117" s="89" t="s">
        <v>2446</v>
      </c>
      <c r="M117" s="89" t="s">
        <v>4496</v>
      </c>
      <c r="N117" s="89" t="s">
        <v>4496</v>
      </c>
      <c r="O117" s="89" t="s">
        <v>4496</v>
      </c>
      <c r="P117" s="89" t="s">
        <v>4496</v>
      </c>
      <c r="Q117" s="89"/>
      <c r="R117" s="89" t="s">
        <v>532</v>
      </c>
      <c r="S117" s="89" t="s">
        <v>21604</v>
      </c>
      <c r="T117" s="89" t="s">
        <v>21605</v>
      </c>
      <c r="U117" s="89" t="str">
        <f>TRIM('Carga Tributária doenças Po (2'!$L117)</f>
        <v>DIPROPIONATO DE BECLOMETASONA</v>
      </c>
      <c r="V117" s="89">
        <f>SUMIFS('Tabela Federal'!$E$4:$E$2069,'Tabela Federal'!$D$4:$D$2069,'Carga Tributária doenças Po (2'!$L117)</f>
        <v>3</v>
      </c>
      <c r="W117" s="89">
        <f>SUMIFS('Tabela Federal'!$E$4:$E$2069,'Tabela Federal'!$D$4:$D$2069,'Carga Tributária doenças Po (2'!$M117)</f>
        <v>0</v>
      </c>
      <c r="X117" s="89">
        <f>SUMIFS('Tabela Federal'!$E$4:$E$2069,'Tabela Federal'!$D$4:$D$2069,'Carga Tributária doenças Po (2'!$N117)</f>
        <v>0</v>
      </c>
      <c r="Y117" s="89">
        <f>SUMIFS('Tabela Federal'!$E$4:$E$2069,'Tabela Federal'!$D$4:$D$2069,'Carga Tributária doenças Po (2'!$O117)</f>
        <v>0</v>
      </c>
      <c r="Z117" s="92" t="str">
        <f>VLOOKUP('Carga Tributária doenças Po (2'!$AD117,'Carga Tributária doenças Po (2'!$CA$12:$CC$16,2,0)</f>
        <v>+</v>
      </c>
      <c r="AA117" s="89" t="s">
        <v>531</v>
      </c>
      <c r="AB117" s="89" t="s">
        <v>21747</v>
      </c>
      <c r="AC117" s="89" t="s">
        <v>21721</v>
      </c>
      <c r="AD117" s="93" t="s">
        <v>19445</v>
      </c>
      <c r="AE117" s="92" t="s">
        <v>4</v>
      </c>
      <c r="AF117" s="92" t="s">
        <v>3</v>
      </c>
      <c r="AG117" s="94">
        <v>197921</v>
      </c>
      <c r="AH117" s="95">
        <v>2557411</v>
      </c>
      <c r="AI117" s="95">
        <v>5810342.6100000003</v>
      </c>
      <c r="AJ117" s="89" t="s">
        <v>533</v>
      </c>
      <c r="AK117" s="89">
        <f>IF('Carga Tributária doenças Po (2'!$Z117="+",0,SUMIFS(PISCOFINS!$I$3:$I$10518,PISCOFINS!$C$3:$C$10518,'Carga Tributária doenças Po (2'!$C117))</f>
        <v>0</v>
      </c>
      <c r="AL117" s="89">
        <f>IF('Carga Tributária doenças Po (2'!$Z117="+",0,SUMIFS(PISCOFINS!$H$3:$H$10518,PISCOFINS!$C$3:$C$10518,'Carga Tributária doenças Po (2'!$C117))</f>
        <v>0</v>
      </c>
      <c r="AM117" s="95">
        <v>3.27</v>
      </c>
      <c r="AN117" s="95">
        <v>3.12</v>
      </c>
      <c r="AO117" s="95">
        <v>1.35</v>
      </c>
      <c r="AP117" s="96">
        <v>18</v>
      </c>
      <c r="AQ117" s="96">
        <v>12</v>
      </c>
      <c r="AR117" s="96">
        <v>17</v>
      </c>
      <c r="AS117" s="97">
        <v>17</v>
      </c>
      <c r="AT117" s="97">
        <v>19</v>
      </c>
      <c r="AU117" s="97">
        <v>18</v>
      </c>
      <c r="AV117" s="97">
        <v>17</v>
      </c>
      <c r="AW117" s="97">
        <v>17</v>
      </c>
      <c r="AX117" s="97">
        <v>17</v>
      </c>
      <c r="AY117" s="97">
        <v>17</v>
      </c>
      <c r="AZ117" s="97">
        <v>17</v>
      </c>
      <c r="BA117" s="97">
        <v>17</v>
      </c>
      <c r="BB117" s="97">
        <v>17</v>
      </c>
      <c r="BC117" s="97">
        <v>17</v>
      </c>
      <c r="BD117" s="97">
        <v>17</v>
      </c>
      <c r="BE117" s="97">
        <v>17</v>
      </c>
      <c r="BF117" s="97">
        <f>+Tabela1107[[#This Row],[PIS]]+Tabela1107[[#This Row],[COFINS]]+Tabela1107[[#This Row],[CONTRIB. FOLHA]]+Tabela1107[[#This Row],[TRIBUTOS S/ LUCRO]]+Tabela1107[[#This Row],[OUTROS]]+Tabela1107[[#This Row],[SP]]</f>
        <v>25.740000000000002</v>
      </c>
      <c r="BG117" s="97">
        <f>+Tabela1107[[#This Row],[PIS]]+Tabela1107[[#This Row],[COFINS]]+Tabela1107[[#This Row],[CONTRIB. FOLHA]]+Tabela1107[[#This Row],[TRIBUTOS S/ LUCRO]]+Tabela1107[[#This Row],[OUTROS]]+Tabela1107[[#This Row],[PR]]</f>
        <v>19.740000000000002</v>
      </c>
      <c r="BH117" s="97">
        <f>+Tabela1107[[#This Row],[PIS]]+Tabela1107[[#This Row],[COFINS]]+Tabela1107[[#This Row],[CONTRIB. FOLHA]]+Tabela1107[[#This Row],[TRIBUTOS S/ LUCRO]]+Tabela1107[[#This Row],[OUTROS]]+Tabela1107[[#This Row],[SC]]</f>
        <v>24.740000000000002</v>
      </c>
      <c r="BI117" s="97">
        <f>+Tabela1107[[#This Row],[PIS]]+Tabela1107[[#This Row],[COFINS]]+Tabela1107[[#This Row],[CONTRIB. FOLHA]]+Tabela1107[[#This Row],[TRIBUTOS S/ LUCRO]]+Tabela1107[[#This Row],[OUTROS]]+Tabela1107[[#This Row],[RS]]</f>
        <v>24.740000000000002</v>
      </c>
      <c r="BJ117" s="97">
        <f>+Tabela1107[[#This Row],[PIS]]+Tabela1107[[#This Row],[COFINS]]+Tabela1107[[#This Row],[CONTRIB. FOLHA]]+Tabela1107[[#This Row],[TRIBUTOS S/ LUCRO]]+Tabela1107[[#This Row],[OUTROS]]+Tabela1107[[#This Row],[RJ]]</f>
        <v>26.740000000000002</v>
      </c>
      <c r="BK117" s="97">
        <f>+Tabela1107[[#This Row],[PIS]]+Tabela1107[[#This Row],[COFINS]]+Tabela1107[[#This Row],[CONTRIB. FOLHA]]+Tabela1107[[#This Row],[TRIBUTOS S/ LUCRO]]+Tabela1107[[#This Row],[OUTROS]]+Tabela1107[[#This Row],[MG]]</f>
        <v>25.740000000000002</v>
      </c>
      <c r="BL117" s="97">
        <f>+Tabela1107[[#This Row],[PIS]]+Tabela1107[[#This Row],[COFINS]]+Tabela1107[[#This Row],[CONTRIB. FOLHA]]+Tabela1107[[#This Row],[TRIBUTOS S/ LUCRO]]+Tabela1107[[#This Row],[OUTROS]]+Tabela1107[[#This Row],[ES]]</f>
        <v>24.740000000000002</v>
      </c>
      <c r="BM117" s="97">
        <f>+Tabela1107[[#This Row],[PIS]]+Tabela1107[[#This Row],[COFINS]]+Tabela1107[[#This Row],[CONTRIB. FOLHA]]+Tabela1107[[#This Row],[TRIBUTOS S/ LUCRO]]+Tabela1107[[#This Row],[OUTROS]]+Tabela1107[[#This Row],[GO]]</f>
        <v>24.740000000000002</v>
      </c>
      <c r="BN117" s="97">
        <f>+Tabela1107[[#This Row],[PIS]]+Tabela1107[[#This Row],[COFINS]]+Tabela1107[[#This Row],[CONTRIB. FOLHA]]+Tabela1107[[#This Row],[TRIBUTOS S/ LUCRO]]+Tabela1107[[#This Row],[OUTROS]]+Tabela1107[[#This Row],[MT]]</f>
        <v>24.740000000000002</v>
      </c>
      <c r="BO117" s="97">
        <f>+Tabela1107[[#This Row],[PIS]]+Tabela1107[[#This Row],[COFINS]]+Tabela1107[[#This Row],[CONTRIB. FOLHA]]+Tabela1107[[#This Row],[TRIBUTOS S/ LUCRO]]+Tabela1107[[#This Row],[OUTROS]]+Tabela1107[[#This Row],[MS]]</f>
        <v>24.740000000000002</v>
      </c>
      <c r="BP117" s="97">
        <f>+Tabela1107[[#This Row],[PIS]]+Tabela1107[[#This Row],[COFINS]]+Tabela1107[[#This Row],[CONTRIB. FOLHA]]+Tabela1107[[#This Row],[TRIBUTOS S/ LUCRO]]+Tabela1107[[#This Row],[OUTROS]]+Tabela1107[[#This Row],[DF]]</f>
        <v>24.740000000000002</v>
      </c>
      <c r="BQ117" s="97">
        <f>+Tabela1107[[#This Row],[PIS]]+Tabela1107[[#This Row],[COFINS]]+Tabela1107[[#This Row],[CONTRIB. FOLHA]]+Tabela1107[[#This Row],[TRIBUTOS S/ LUCRO]]+Tabela1107[[#This Row],[OUTROS]]+Tabela1107[[#This Row],[BA]]</f>
        <v>24.740000000000002</v>
      </c>
      <c r="BR117" s="97">
        <f>+Tabela1107[[#This Row],[PIS]]+Tabela1107[[#This Row],[COFINS]]+Tabela1107[[#This Row],[CONTRIB. FOLHA]]+Tabela1107[[#This Row],[TRIBUTOS S/ LUCRO]]+Tabela1107[[#This Row],[OUTROS]]+Tabela1107[[#This Row],[BA]]</f>
        <v>24.740000000000002</v>
      </c>
      <c r="BS117" s="97">
        <f>+Tabela1107[[#This Row],[PIS]]+Tabela1107[[#This Row],[COFINS]]+Tabela1107[[#This Row],[CONTRIB. FOLHA]]+Tabela1107[[#This Row],[TRIBUTOS S/ LUCRO]]+Tabela1107[[#This Row],[OUTROS]]+Tabela1107[[#This Row],[PE]]</f>
        <v>24.740000000000002</v>
      </c>
      <c r="BT117" s="97">
        <f>+Tabela1107[[#This Row],[PIS]]+Tabela1107[[#This Row],[COFINS]]+Tabela1107[[#This Row],[CONTRIB. FOLHA]]+Tabela1107[[#This Row],[TRIBUTOS S/ LUCRO]]+Tabela1107[[#This Row],[OUTROS]]+Tabela1107[[#This Row],[PA]]</f>
        <v>24.740000000000002</v>
      </c>
      <c r="BU117" s="97">
        <f>+Tabela1107[[#This Row],[PIS]]+Tabela1107[[#This Row],[COFINS]]+Tabela1107[[#This Row],[CONTRIB. FOLHA]]+Tabela1107[[#This Row],[TRIBUTOS S/ LUCRO]]+Tabela1107[[#This Row],[OUTROS]]+Tabela1107[[#This Row],[AM]]</f>
        <v>24.740000000000002</v>
      </c>
      <c r="BV117" s="97">
        <f>AVERAGE(Tabela1107[[#This Row],[TOTAL SP]:[TOTAL AM]])</f>
        <v>24.677500000000006</v>
      </c>
      <c r="BW117" s="97"/>
      <c r="BX117" s="97"/>
    </row>
    <row r="118" spans="2:76" x14ac:dyDescent="0.25">
      <c r="B118" s="89">
        <v>15447</v>
      </c>
      <c r="C118" s="91" t="s">
        <v>13183</v>
      </c>
      <c r="D118" s="89"/>
      <c r="E118" s="89">
        <v>20140626</v>
      </c>
      <c r="F118" s="89" t="s">
        <v>20631</v>
      </c>
      <c r="G118" s="89" t="s">
        <v>20632</v>
      </c>
      <c r="H118" s="89" t="s">
        <v>20633</v>
      </c>
      <c r="I118" s="89" t="s">
        <v>20634</v>
      </c>
      <c r="J118" s="89" t="s">
        <v>194</v>
      </c>
      <c r="K118" s="99" t="s">
        <v>2506</v>
      </c>
      <c r="L118" s="89" t="s">
        <v>2643</v>
      </c>
      <c r="M118" s="89" t="s">
        <v>4496</v>
      </c>
      <c r="N118" s="89" t="s">
        <v>4496</v>
      </c>
      <c r="O118" s="89" t="s">
        <v>4496</v>
      </c>
      <c r="P118" s="89" t="s">
        <v>4496</v>
      </c>
      <c r="Q118" s="89"/>
      <c r="R118" s="89" t="s">
        <v>29</v>
      </c>
      <c r="S118" s="89" t="s">
        <v>21616</v>
      </c>
      <c r="T118" s="89" t="s">
        <v>21617</v>
      </c>
      <c r="U118" s="89" t="str">
        <f>TRIM('Carga Tributária doenças Po (2'!$L118)</f>
        <v>CLORIDRATO DE CIPROFLOXACINO</v>
      </c>
      <c r="V118" s="89">
        <f>SUMIFS('Tabela Federal'!$E$4:$E$2069,'Tabela Federal'!$D$4:$D$2069,'Carga Tributária doenças Po (2'!$L118)</f>
        <v>4</v>
      </c>
      <c r="W118" s="89">
        <f>SUMIFS('Tabela Federal'!$E$4:$E$2069,'Tabela Federal'!$D$4:$D$2069,'Carga Tributária doenças Po (2'!$M118)</f>
        <v>0</v>
      </c>
      <c r="X118" s="89">
        <f>SUMIFS('Tabela Federal'!$E$4:$E$2069,'Tabela Federal'!$D$4:$D$2069,'Carga Tributária doenças Po (2'!$N118)</f>
        <v>0</v>
      </c>
      <c r="Y118" s="89">
        <f>SUMIFS('Tabela Federal'!$E$4:$E$2069,'Tabela Federal'!$D$4:$D$2069,'Carga Tributária doenças Po (2'!$O118)</f>
        <v>0</v>
      </c>
      <c r="Z118" s="92" t="str">
        <f>VLOOKUP('Carga Tributária doenças Po (2'!$AD118,'Carga Tributária doenças Po (2'!$CA$12:$CC$16,2,0)</f>
        <v>+</v>
      </c>
      <c r="AA118" s="89" t="s">
        <v>195</v>
      </c>
      <c r="AB118" s="89" t="s">
        <v>21853</v>
      </c>
      <c r="AC118" s="89" t="s">
        <v>21721</v>
      </c>
      <c r="AD118" s="93" t="s">
        <v>21722</v>
      </c>
      <c r="AE118" s="92" t="s">
        <v>4</v>
      </c>
      <c r="AF118" s="92" t="s">
        <v>10</v>
      </c>
      <c r="AG118" s="94">
        <v>1235965</v>
      </c>
      <c r="AH118" s="95">
        <v>16971959</v>
      </c>
      <c r="AI118" s="95">
        <v>38746282.380000003</v>
      </c>
      <c r="AJ118" s="89" t="s">
        <v>203</v>
      </c>
      <c r="AK118" s="89">
        <f>IF('Carga Tributária doenças Po (2'!$Z118="+",0,SUMIFS(PISCOFINS!$I$3:$I$10518,PISCOFINS!$C$3:$C$10518,'Carga Tributária doenças Po (2'!$C118))</f>
        <v>0</v>
      </c>
      <c r="AL118" s="89">
        <f>IF('Carga Tributária doenças Po (2'!$Z118="+",0,SUMIFS(PISCOFINS!$H$3:$H$10518,PISCOFINS!$C$3:$C$10518,'Carga Tributária doenças Po (2'!$C118))</f>
        <v>0</v>
      </c>
      <c r="AM118" s="95">
        <v>3.27</v>
      </c>
      <c r="AN118" s="95">
        <v>3.12</v>
      </c>
      <c r="AO118" s="95">
        <v>1.35</v>
      </c>
      <c r="AP118" s="96">
        <v>18</v>
      </c>
      <c r="AQ118" s="96">
        <v>12</v>
      </c>
      <c r="AR118" s="96">
        <v>17</v>
      </c>
      <c r="AS118" s="97">
        <v>17</v>
      </c>
      <c r="AT118" s="97">
        <v>19</v>
      </c>
      <c r="AU118" s="97">
        <v>12</v>
      </c>
      <c r="AV118" s="97">
        <v>17</v>
      </c>
      <c r="AW118" s="97">
        <v>17</v>
      </c>
      <c r="AX118" s="97">
        <v>17</v>
      </c>
      <c r="AY118" s="97">
        <v>17</v>
      </c>
      <c r="AZ118" s="97">
        <v>17</v>
      </c>
      <c r="BA118" s="97">
        <v>17</v>
      </c>
      <c r="BB118" s="97">
        <v>17</v>
      </c>
      <c r="BC118" s="97">
        <v>17</v>
      </c>
      <c r="BD118" s="97">
        <v>17</v>
      </c>
      <c r="BE118" s="97">
        <v>17</v>
      </c>
      <c r="BF118" s="97">
        <f>+Tabela1107[[#This Row],[PIS]]+Tabela1107[[#This Row],[COFINS]]+Tabela1107[[#This Row],[CONTRIB. FOLHA]]+Tabela1107[[#This Row],[TRIBUTOS S/ LUCRO]]+Tabela1107[[#This Row],[OUTROS]]+Tabela1107[[#This Row],[SP]]</f>
        <v>25.740000000000002</v>
      </c>
      <c r="BG118" s="97">
        <f>+Tabela1107[[#This Row],[PIS]]+Tabela1107[[#This Row],[COFINS]]+Tabela1107[[#This Row],[CONTRIB. FOLHA]]+Tabela1107[[#This Row],[TRIBUTOS S/ LUCRO]]+Tabela1107[[#This Row],[OUTROS]]+Tabela1107[[#This Row],[PR]]</f>
        <v>19.740000000000002</v>
      </c>
      <c r="BH118" s="97">
        <f>+Tabela1107[[#This Row],[PIS]]+Tabela1107[[#This Row],[COFINS]]+Tabela1107[[#This Row],[CONTRIB. FOLHA]]+Tabela1107[[#This Row],[TRIBUTOS S/ LUCRO]]+Tabela1107[[#This Row],[OUTROS]]+Tabela1107[[#This Row],[SC]]</f>
        <v>24.740000000000002</v>
      </c>
      <c r="BI118" s="97">
        <f>+Tabela1107[[#This Row],[PIS]]+Tabela1107[[#This Row],[COFINS]]+Tabela1107[[#This Row],[CONTRIB. FOLHA]]+Tabela1107[[#This Row],[TRIBUTOS S/ LUCRO]]+Tabela1107[[#This Row],[OUTROS]]+Tabela1107[[#This Row],[RS]]</f>
        <v>24.740000000000002</v>
      </c>
      <c r="BJ118" s="97">
        <f>+Tabela1107[[#This Row],[PIS]]+Tabela1107[[#This Row],[COFINS]]+Tabela1107[[#This Row],[CONTRIB. FOLHA]]+Tabela1107[[#This Row],[TRIBUTOS S/ LUCRO]]+Tabela1107[[#This Row],[OUTROS]]+Tabela1107[[#This Row],[RJ]]</f>
        <v>26.740000000000002</v>
      </c>
      <c r="BK118" s="97">
        <f>+Tabela1107[[#This Row],[PIS]]+Tabela1107[[#This Row],[COFINS]]+Tabela1107[[#This Row],[CONTRIB. FOLHA]]+Tabela1107[[#This Row],[TRIBUTOS S/ LUCRO]]+Tabela1107[[#This Row],[OUTROS]]+Tabela1107[[#This Row],[MG]]</f>
        <v>19.740000000000002</v>
      </c>
      <c r="BL118" s="97">
        <f>+Tabela1107[[#This Row],[PIS]]+Tabela1107[[#This Row],[COFINS]]+Tabela1107[[#This Row],[CONTRIB. FOLHA]]+Tabela1107[[#This Row],[TRIBUTOS S/ LUCRO]]+Tabela1107[[#This Row],[OUTROS]]+Tabela1107[[#This Row],[ES]]</f>
        <v>24.740000000000002</v>
      </c>
      <c r="BM118" s="97">
        <f>+Tabela1107[[#This Row],[PIS]]+Tabela1107[[#This Row],[COFINS]]+Tabela1107[[#This Row],[CONTRIB. FOLHA]]+Tabela1107[[#This Row],[TRIBUTOS S/ LUCRO]]+Tabela1107[[#This Row],[OUTROS]]+Tabela1107[[#This Row],[GO]]</f>
        <v>24.740000000000002</v>
      </c>
      <c r="BN118" s="97">
        <f>+Tabela1107[[#This Row],[PIS]]+Tabela1107[[#This Row],[COFINS]]+Tabela1107[[#This Row],[CONTRIB. FOLHA]]+Tabela1107[[#This Row],[TRIBUTOS S/ LUCRO]]+Tabela1107[[#This Row],[OUTROS]]+Tabela1107[[#This Row],[MT]]</f>
        <v>24.740000000000002</v>
      </c>
      <c r="BO118" s="97">
        <f>+Tabela1107[[#This Row],[PIS]]+Tabela1107[[#This Row],[COFINS]]+Tabela1107[[#This Row],[CONTRIB. FOLHA]]+Tabela1107[[#This Row],[TRIBUTOS S/ LUCRO]]+Tabela1107[[#This Row],[OUTROS]]+Tabela1107[[#This Row],[MS]]</f>
        <v>24.740000000000002</v>
      </c>
      <c r="BP118" s="97">
        <f>+Tabela1107[[#This Row],[PIS]]+Tabela1107[[#This Row],[COFINS]]+Tabela1107[[#This Row],[CONTRIB. FOLHA]]+Tabela1107[[#This Row],[TRIBUTOS S/ LUCRO]]+Tabela1107[[#This Row],[OUTROS]]+Tabela1107[[#This Row],[DF]]</f>
        <v>24.740000000000002</v>
      </c>
      <c r="BQ118" s="97">
        <f>+Tabela1107[[#This Row],[PIS]]+Tabela1107[[#This Row],[COFINS]]+Tabela1107[[#This Row],[CONTRIB. FOLHA]]+Tabela1107[[#This Row],[TRIBUTOS S/ LUCRO]]+Tabela1107[[#This Row],[OUTROS]]+Tabela1107[[#This Row],[BA]]</f>
        <v>24.740000000000002</v>
      </c>
      <c r="BR118" s="97">
        <f>+Tabela1107[[#This Row],[PIS]]+Tabela1107[[#This Row],[COFINS]]+Tabela1107[[#This Row],[CONTRIB. FOLHA]]+Tabela1107[[#This Row],[TRIBUTOS S/ LUCRO]]+Tabela1107[[#This Row],[OUTROS]]+Tabela1107[[#This Row],[BA]]</f>
        <v>24.740000000000002</v>
      </c>
      <c r="BS118" s="97">
        <f>+Tabela1107[[#This Row],[PIS]]+Tabela1107[[#This Row],[COFINS]]+Tabela1107[[#This Row],[CONTRIB. FOLHA]]+Tabela1107[[#This Row],[TRIBUTOS S/ LUCRO]]+Tabela1107[[#This Row],[OUTROS]]+Tabela1107[[#This Row],[PE]]</f>
        <v>24.740000000000002</v>
      </c>
      <c r="BT118" s="97">
        <f>+Tabela1107[[#This Row],[PIS]]+Tabela1107[[#This Row],[COFINS]]+Tabela1107[[#This Row],[CONTRIB. FOLHA]]+Tabela1107[[#This Row],[TRIBUTOS S/ LUCRO]]+Tabela1107[[#This Row],[OUTROS]]+Tabela1107[[#This Row],[PA]]</f>
        <v>24.740000000000002</v>
      </c>
      <c r="BU118" s="97">
        <f>+Tabela1107[[#This Row],[PIS]]+Tabela1107[[#This Row],[COFINS]]+Tabela1107[[#This Row],[CONTRIB. FOLHA]]+Tabela1107[[#This Row],[TRIBUTOS S/ LUCRO]]+Tabela1107[[#This Row],[OUTROS]]+Tabela1107[[#This Row],[AM]]</f>
        <v>24.740000000000002</v>
      </c>
      <c r="BV118" s="97">
        <f>AVERAGE(Tabela1107[[#This Row],[TOTAL SP]:[TOTAL AM]])</f>
        <v>24.302500000000006</v>
      </c>
      <c r="BW118" s="97"/>
      <c r="BX118" s="97"/>
    </row>
    <row r="119" spans="2:76" x14ac:dyDescent="0.25">
      <c r="B119" s="89">
        <v>15447</v>
      </c>
      <c r="C119" s="91" t="s">
        <v>13183</v>
      </c>
      <c r="D119" s="89"/>
      <c r="E119" s="89">
        <v>20140626</v>
      </c>
      <c r="F119" s="89" t="s">
        <v>20631</v>
      </c>
      <c r="G119" s="89" t="s">
        <v>20632</v>
      </c>
      <c r="H119" s="89" t="s">
        <v>20633</v>
      </c>
      <c r="I119" s="89" t="s">
        <v>20634</v>
      </c>
      <c r="J119" s="89" t="s">
        <v>194</v>
      </c>
      <c r="K119" s="99" t="s">
        <v>2506</v>
      </c>
      <c r="L119" s="89" t="s">
        <v>2643</v>
      </c>
      <c r="M119" s="89" t="s">
        <v>4496</v>
      </c>
      <c r="N119" s="89" t="s">
        <v>4496</v>
      </c>
      <c r="O119" s="89" t="s">
        <v>4496</v>
      </c>
      <c r="P119" s="89" t="s">
        <v>4496</v>
      </c>
      <c r="Q119" s="89"/>
      <c r="R119" s="89" t="s">
        <v>29</v>
      </c>
      <c r="S119" s="89" t="s">
        <v>21616</v>
      </c>
      <c r="T119" s="89" t="s">
        <v>21617</v>
      </c>
      <c r="U119" s="89" t="str">
        <f>TRIM('Carga Tributária doenças Po (2'!$L119)</f>
        <v>CLORIDRATO DE CIPROFLOXACINO</v>
      </c>
      <c r="V119" s="89">
        <f>SUMIFS('Tabela Federal'!$E$4:$E$2069,'Tabela Federal'!$D$4:$D$2069,'Carga Tributária doenças Po (2'!$L119)</f>
        <v>4</v>
      </c>
      <c r="W119" s="89">
        <f>SUMIFS('Tabela Federal'!$E$4:$E$2069,'Tabela Federal'!$D$4:$D$2069,'Carga Tributária doenças Po (2'!$M119)</f>
        <v>0</v>
      </c>
      <c r="X119" s="89">
        <f>SUMIFS('Tabela Federal'!$E$4:$E$2069,'Tabela Federal'!$D$4:$D$2069,'Carga Tributária doenças Po (2'!$N119)</f>
        <v>0</v>
      </c>
      <c r="Y119" s="89">
        <f>SUMIFS('Tabela Federal'!$E$4:$E$2069,'Tabela Federal'!$D$4:$D$2069,'Carga Tributária doenças Po (2'!$O119)</f>
        <v>0</v>
      </c>
      <c r="Z119" s="92" t="str">
        <f>VLOOKUP('Carga Tributária doenças Po (2'!$AD119,'Carga Tributária doenças Po (2'!$CA$12:$CC$16,2,0)</f>
        <v>+</v>
      </c>
      <c r="AA119" s="89" t="s">
        <v>195</v>
      </c>
      <c r="AB119" s="89" t="s">
        <v>21853</v>
      </c>
      <c r="AC119" s="89" t="s">
        <v>21721</v>
      </c>
      <c r="AD119" s="93" t="s">
        <v>21722</v>
      </c>
      <c r="AE119" s="92" t="s">
        <v>4</v>
      </c>
      <c r="AF119" s="92" t="s">
        <v>10</v>
      </c>
      <c r="AG119" s="94">
        <v>1235965</v>
      </c>
      <c r="AH119" s="95">
        <v>16971959</v>
      </c>
      <c r="AI119" s="95">
        <v>38746282.380000003</v>
      </c>
      <c r="AJ119" s="89" t="s">
        <v>594</v>
      </c>
      <c r="AK119" s="89">
        <f>IF('Carga Tributária doenças Po (2'!$Z119="+",0,SUMIFS(PISCOFINS!$I$3:$I$10518,PISCOFINS!$C$3:$C$10518,'Carga Tributária doenças Po (2'!$C119))</f>
        <v>0</v>
      </c>
      <c r="AL119" s="89">
        <f>IF('Carga Tributária doenças Po (2'!$Z119="+",0,SUMIFS(PISCOFINS!$H$3:$H$10518,PISCOFINS!$C$3:$C$10518,'Carga Tributária doenças Po (2'!$C119))</f>
        <v>0</v>
      </c>
      <c r="AM119" s="95">
        <v>3.27</v>
      </c>
      <c r="AN119" s="95">
        <v>3.12</v>
      </c>
      <c r="AO119" s="95">
        <v>1.35</v>
      </c>
      <c r="AP119" s="96">
        <v>18</v>
      </c>
      <c r="AQ119" s="96">
        <v>12</v>
      </c>
      <c r="AR119" s="96">
        <v>17</v>
      </c>
      <c r="AS119" s="97">
        <v>17</v>
      </c>
      <c r="AT119" s="97">
        <v>19</v>
      </c>
      <c r="AU119" s="97">
        <v>12</v>
      </c>
      <c r="AV119" s="97">
        <v>17</v>
      </c>
      <c r="AW119" s="97">
        <v>17</v>
      </c>
      <c r="AX119" s="97">
        <v>17</v>
      </c>
      <c r="AY119" s="97">
        <v>17</v>
      </c>
      <c r="AZ119" s="97">
        <v>17</v>
      </c>
      <c r="BA119" s="97">
        <v>17</v>
      </c>
      <c r="BB119" s="97">
        <v>17</v>
      </c>
      <c r="BC119" s="97">
        <v>17</v>
      </c>
      <c r="BD119" s="97">
        <v>17</v>
      </c>
      <c r="BE119" s="97">
        <v>17</v>
      </c>
      <c r="BF119" s="97">
        <f>+Tabela1107[[#This Row],[PIS]]+Tabela1107[[#This Row],[COFINS]]+Tabela1107[[#This Row],[CONTRIB. FOLHA]]+Tabela1107[[#This Row],[TRIBUTOS S/ LUCRO]]+Tabela1107[[#This Row],[OUTROS]]+Tabela1107[[#This Row],[SP]]</f>
        <v>25.740000000000002</v>
      </c>
      <c r="BG119" s="97">
        <f>+Tabela1107[[#This Row],[PIS]]+Tabela1107[[#This Row],[COFINS]]+Tabela1107[[#This Row],[CONTRIB. FOLHA]]+Tabela1107[[#This Row],[TRIBUTOS S/ LUCRO]]+Tabela1107[[#This Row],[OUTROS]]+Tabela1107[[#This Row],[PR]]</f>
        <v>19.740000000000002</v>
      </c>
      <c r="BH119" s="97">
        <f>+Tabela1107[[#This Row],[PIS]]+Tabela1107[[#This Row],[COFINS]]+Tabela1107[[#This Row],[CONTRIB. FOLHA]]+Tabela1107[[#This Row],[TRIBUTOS S/ LUCRO]]+Tabela1107[[#This Row],[OUTROS]]+Tabela1107[[#This Row],[SC]]</f>
        <v>24.740000000000002</v>
      </c>
      <c r="BI119" s="97">
        <f>+Tabela1107[[#This Row],[PIS]]+Tabela1107[[#This Row],[COFINS]]+Tabela1107[[#This Row],[CONTRIB. FOLHA]]+Tabela1107[[#This Row],[TRIBUTOS S/ LUCRO]]+Tabela1107[[#This Row],[OUTROS]]+Tabela1107[[#This Row],[RS]]</f>
        <v>24.740000000000002</v>
      </c>
      <c r="BJ119" s="97">
        <f>+Tabela1107[[#This Row],[PIS]]+Tabela1107[[#This Row],[COFINS]]+Tabela1107[[#This Row],[CONTRIB. FOLHA]]+Tabela1107[[#This Row],[TRIBUTOS S/ LUCRO]]+Tabela1107[[#This Row],[OUTROS]]+Tabela1107[[#This Row],[RJ]]</f>
        <v>26.740000000000002</v>
      </c>
      <c r="BK119" s="97">
        <f>+Tabela1107[[#This Row],[PIS]]+Tabela1107[[#This Row],[COFINS]]+Tabela1107[[#This Row],[CONTRIB. FOLHA]]+Tabela1107[[#This Row],[TRIBUTOS S/ LUCRO]]+Tabela1107[[#This Row],[OUTROS]]+Tabela1107[[#This Row],[MG]]</f>
        <v>19.740000000000002</v>
      </c>
      <c r="BL119" s="97">
        <f>+Tabela1107[[#This Row],[PIS]]+Tabela1107[[#This Row],[COFINS]]+Tabela1107[[#This Row],[CONTRIB. FOLHA]]+Tabela1107[[#This Row],[TRIBUTOS S/ LUCRO]]+Tabela1107[[#This Row],[OUTROS]]+Tabela1107[[#This Row],[ES]]</f>
        <v>24.740000000000002</v>
      </c>
      <c r="BM119" s="97">
        <f>+Tabela1107[[#This Row],[PIS]]+Tabela1107[[#This Row],[COFINS]]+Tabela1107[[#This Row],[CONTRIB. FOLHA]]+Tabela1107[[#This Row],[TRIBUTOS S/ LUCRO]]+Tabela1107[[#This Row],[OUTROS]]+Tabela1107[[#This Row],[GO]]</f>
        <v>24.740000000000002</v>
      </c>
      <c r="BN119" s="97">
        <f>+Tabela1107[[#This Row],[PIS]]+Tabela1107[[#This Row],[COFINS]]+Tabela1107[[#This Row],[CONTRIB. FOLHA]]+Tabela1107[[#This Row],[TRIBUTOS S/ LUCRO]]+Tabela1107[[#This Row],[OUTROS]]+Tabela1107[[#This Row],[MT]]</f>
        <v>24.740000000000002</v>
      </c>
      <c r="BO119" s="97">
        <f>+Tabela1107[[#This Row],[PIS]]+Tabela1107[[#This Row],[COFINS]]+Tabela1107[[#This Row],[CONTRIB. FOLHA]]+Tabela1107[[#This Row],[TRIBUTOS S/ LUCRO]]+Tabela1107[[#This Row],[OUTROS]]+Tabela1107[[#This Row],[MS]]</f>
        <v>24.740000000000002</v>
      </c>
      <c r="BP119" s="97">
        <f>+Tabela1107[[#This Row],[PIS]]+Tabela1107[[#This Row],[COFINS]]+Tabela1107[[#This Row],[CONTRIB. FOLHA]]+Tabela1107[[#This Row],[TRIBUTOS S/ LUCRO]]+Tabela1107[[#This Row],[OUTROS]]+Tabela1107[[#This Row],[DF]]</f>
        <v>24.740000000000002</v>
      </c>
      <c r="BQ119" s="97">
        <f>+Tabela1107[[#This Row],[PIS]]+Tabela1107[[#This Row],[COFINS]]+Tabela1107[[#This Row],[CONTRIB. FOLHA]]+Tabela1107[[#This Row],[TRIBUTOS S/ LUCRO]]+Tabela1107[[#This Row],[OUTROS]]+Tabela1107[[#This Row],[BA]]</f>
        <v>24.740000000000002</v>
      </c>
      <c r="BR119" s="97">
        <f>+Tabela1107[[#This Row],[PIS]]+Tabela1107[[#This Row],[COFINS]]+Tabela1107[[#This Row],[CONTRIB. FOLHA]]+Tabela1107[[#This Row],[TRIBUTOS S/ LUCRO]]+Tabela1107[[#This Row],[OUTROS]]+Tabela1107[[#This Row],[BA]]</f>
        <v>24.740000000000002</v>
      </c>
      <c r="BS119" s="97">
        <f>+Tabela1107[[#This Row],[PIS]]+Tabela1107[[#This Row],[COFINS]]+Tabela1107[[#This Row],[CONTRIB. FOLHA]]+Tabela1107[[#This Row],[TRIBUTOS S/ LUCRO]]+Tabela1107[[#This Row],[OUTROS]]+Tabela1107[[#This Row],[PE]]</f>
        <v>24.740000000000002</v>
      </c>
      <c r="BT119" s="97">
        <f>+Tabela1107[[#This Row],[PIS]]+Tabela1107[[#This Row],[COFINS]]+Tabela1107[[#This Row],[CONTRIB. FOLHA]]+Tabela1107[[#This Row],[TRIBUTOS S/ LUCRO]]+Tabela1107[[#This Row],[OUTROS]]+Tabela1107[[#This Row],[PA]]</f>
        <v>24.740000000000002</v>
      </c>
      <c r="BU119" s="97">
        <f>+Tabela1107[[#This Row],[PIS]]+Tabela1107[[#This Row],[COFINS]]+Tabela1107[[#This Row],[CONTRIB. FOLHA]]+Tabela1107[[#This Row],[TRIBUTOS S/ LUCRO]]+Tabela1107[[#This Row],[OUTROS]]+Tabela1107[[#This Row],[AM]]</f>
        <v>24.740000000000002</v>
      </c>
      <c r="BV119" s="97">
        <f>AVERAGE(Tabela1107[[#This Row],[TOTAL SP]:[TOTAL AM]])</f>
        <v>24.302500000000006</v>
      </c>
      <c r="BW119" s="97"/>
      <c r="BX119" s="97"/>
    </row>
    <row r="120" spans="2:76" x14ac:dyDescent="0.25">
      <c r="B120" s="89">
        <v>14813</v>
      </c>
      <c r="C120" s="91" t="s">
        <v>13155</v>
      </c>
      <c r="D120" s="89"/>
      <c r="E120" s="89">
        <v>20140626</v>
      </c>
      <c r="F120" s="89" t="s">
        <v>20278</v>
      </c>
      <c r="G120" s="89" t="s">
        <v>20279</v>
      </c>
      <c r="H120" s="89" t="s">
        <v>20280</v>
      </c>
      <c r="I120" s="89" t="s">
        <v>2620</v>
      </c>
      <c r="J120" s="89" t="s">
        <v>490</v>
      </c>
      <c r="K120" s="89" t="s">
        <v>2444</v>
      </c>
      <c r="L120" s="89" t="s">
        <v>2620</v>
      </c>
      <c r="M120" s="89" t="s">
        <v>4496</v>
      </c>
      <c r="N120" s="89" t="s">
        <v>4496</v>
      </c>
      <c r="O120" s="89" t="s">
        <v>4496</v>
      </c>
      <c r="P120" s="89" t="s">
        <v>4496</v>
      </c>
      <c r="Q120" s="89"/>
      <c r="R120" s="89" t="s">
        <v>1</v>
      </c>
      <c r="S120" s="89" t="s">
        <v>21566</v>
      </c>
      <c r="T120" s="89" t="s">
        <v>21567</v>
      </c>
      <c r="U120" s="89" t="str">
        <f>TRIM('Carga Tributária doenças Po (2'!$L120)</f>
        <v>CLORIDRATO DE AMIODARONA</v>
      </c>
      <c r="V120" s="89">
        <f>SUMIFS('Tabela Federal'!$E$4:$E$2069,'Tabela Federal'!$D$4:$D$2069,'Carga Tributária doenças Po (2'!$L120)</f>
        <v>1</v>
      </c>
      <c r="W120" s="89">
        <f>SUMIFS('Tabela Federal'!$E$4:$E$2069,'Tabela Federal'!$D$4:$D$2069,'Carga Tributária doenças Po (2'!$M120)</f>
        <v>0</v>
      </c>
      <c r="X120" s="89">
        <f>SUMIFS('Tabela Federal'!$E$4:$E$2069,'Tabela Federal'!$D$4:$D$2069,'Carga Tributária doenças Po (2'!$N120)</f>
        <v>0</v>
      </c>
      <c r="Y120" s="89">
        <f>SUMIFS('Tabela Federal'!$E$4:$E$2069,'Tabela Federal'!$D$4:$D$2069,'Carga Tributária doenças Po (2'!$O120)</f>
        <v>0</v>
      </c>
      <c r="Z120" s="92" t="str">
        <f>VLOOKUP('Carga Tributária doenças Po (2'!$AD120,'Carga Tributária doenças Po (2'!$CA$12:$CC$16,2,0)</f>
        <v>+</v>
      </c>
      <c r="AA120" s="89" t="s">
        <v>488</v>
      </c>
      <c r="AB120" s="89" t="s">
        <v>21744</v>
      </c>
      <c r="AC120" s="89" t="s">
        <v>21721</v>
      </c>
      <c r="AD120" s="93" t="s">
        <v>21722</v>
      </c>
      <c r="AE120" s="92" t="s">
        <v>2</v>
      </c>
      <c r="AF120" s="92" t="s">
        <v>10</v>
      </c>
      <c r="AG120" s="94">
        <v>733849</v>
      </c>
      <c r="AH120" s="95">
        <v>6158029</v>
      </c>
      <c r="AI120" s="95">
        <v>14070360.33</v>
      </c>
      <c r="AJ120" s="89" t="s">
        <v>498</v>
      </c>
      <c r="AK120" s="89">
        <f>IF('Carga Tributária doenças Po (2'!$Z120="+",0,SUMIFS(PISCOFINS!$I$3:$I$10518,PISCOFINS!$C$3:$C$10518,'Carga Tributária doenças Po (2'!$C120))</f>
        <v>0</v>
      </c>
      <c r="AL120" s="89">
        <f>IF('Carga Tributária doenças Po (2'!$Z120="+",0,SUMIFS(PISCOFINS!$H$3:$H$10518,PISCOFINS!$C$3:$C$10518,'Carga Tributária doenças Po (2'!$C120))</f>
        <v>0</v>
      </c>
      <c r="AM120" s="95">
        <v>3.27</v>
      </c>
      <c r="AN120" s="95">
        <v>3.12</v>
      </c>
      <c r="AO120" s="95">
        <v>1.35</v>
      </c>
      <c r="AP120" s="96">
        <v>18</v>
      </c>
      <c r="AQ120" s="96">
        <v>12</v>
      </c>
      <c r="AR120" s="96">
        <v>17</v>
      </c>
      <c r="AS120" s="97">
        <v>17</v>
      </c>
      <c r="AT120" s="97">
        <v>19</v>
      </c>
      <c r="AU120" s="97">
        <v>12</v>
      </c>
      <c r="AV120" s="97">
        <v>17</v>
      </c>
      <c r="AW120" s="97">
        <v>17</v>
      </c>
      <c r="AX120" s="97">
        <v>17</v>
      </c>
      <c r="AY120" s="97">
        <v>17</v>
      </c>
      <c r="AZ120" s="97">
        <v>17</v>
      </c>
      <c r="BA120" s="97">
        <v>17</v>
      </c>
      <c r="BB120" s="97">
        <v>17</v>
      </c>
      <c r="BC120" s="97">
        <v>17</v>
      </c>
      <c r="BD120" s="97">
        <v>17</v>
      </c>
      <c r="BE120" s="97">
        <v>17</v>
      </c>
      <c r="BF120" s="97">
        <f>+Tabela1107[[#This Row],[PIS]]+Tabela1107[[#This Row],[COFINS]]+Tabela1107[[#This Row],[CONTRIB. FOLHA]]+Tabela1107[[#This Row],[TRIBUTOS S/ LUCRO]]+Tabela1107[[#This Row],[OUTROS]]+Tabela1107[[#This Row],[SP]]</f>
        <v>25.740000000000002</v>
      </c>
      <c r="BG120" s="97">
        <f>+Tabela1107[[#This Row],[PIS]]+Tabela1107[[#This Row],[COFINS]]+Tabela1107[[#This Row],[CONTRIB. FOLHA]]+Tabela1107[[#This Row],[TRIBUTOS S/ LUCRO]]+Tabela1107[[#This Row],[OUTROS]]+Tabela1107[[#This Row],[PR]]</f>
        <v>19.740000000000002</v>
      </c>
      <c r="BH120" s="97">
        <f>+Tabela1107[[#This Row],[PIS]]+Tabela1107[[#This Row],[COFINS]]+Tabela1107[[#This Row],[CONTRIB. FOLHA]]+Tabela1107[[#This Row],[TRIBUTOS S/ LUCRO]]+Tabela1107[[#This Row],[OUTROS]]+Tabela1107[[#This Row],[SC]]</f>
        <v>24.740000000000002</v>
      </c>
      <c r="BI120" s="97">
        <f>+Tabela1107[[#This Row],[PIS]]+Tabela1107[[#This Row],[COFINS]]+Tabela1107[[#This Row],[CONTRIB. FOLHA]]+Tabela1107[[#This Row],[TRIBUTOS S/ LUCRO]]+Tabela1107[[#This Row],[OUTROS]]+Tabela1107[[#This Row],[RS]]</f>
        <v>24.740000000000002</v>
      </c>
      <c r="BJ120" s="97">
        <f>+Tabela1107[[#This Row],[PIS]]+Tabela1107[[#This Row],[COFINS]]+Tabela1107[[#This Row],[CONTRIB. FOLHA]]+Tabela1107[[#This Row],[TRIBUTOS S/ LUCRO]]+Tabela1107[[#This Row],[OUTROS]]+Tabela1107[[#This Row],[RJ]]</f>
        <v>26.740000000000002</v>
      </c>
      <c r="BK120" s="97">
        <f>+Tabela1107[[#This Row],[PIS]]+Tabela1107[[#This Row],[COFINS]]+Tabela1107[[#This Row],[CONTRIB. FOLHA]]+Tabela1107[[#This Row],[TRIBUTOS S/ LUCRO]]+Tabela1107[[#This Row],[OUTROS]]+Tabela1107[[#This Row],[MG]]</f>
        <v>19.740000000000002</v>
      </c>
      <c r="BL120" s="97">
        <f>+Tabela1107[[#This Row],[PIS]]+Tabela1107[[#This Row],[COFINS]]+Tabela1107[[#This Row],[CONTRIB. FOLHA]]+Tabela1107[[#This Row],[TRIBUTOS S/ LUCRO]]+Tabela1107[[#This Row],[OUTROS]]+Tabela1107[[#This Row],[ES]]</f>
        <v>24.740000000000002</v>
      </c>
      <c r="BM120" s="97">
        <f>+Tabela1107[[#This Row],[PIS]]+Tabela1107[[#This Row],[COFINS]]+Tabela1107[[#This Row],[CONTRIB. FOLHA]]+Tabela1107[[#This Row],[TRIBUTOS S/ LUCRO]]+Tabela1107[[#This Row],[OUTROS]]+Tabela1107[[#This Row],[GO]]</f>
        <v>24.740000000000002</v>
      </c>
      <c r="BN120" s="97">
        <f>+Tabela1107[[#This Row],[PIS]]+Tabela1107[[#This Row],[COFINS]]+Tabela1107[[#This Row],[CONTRIB. FOLHA]]+Tabela1107[[#This Row],[TRIBUTOS S/ LUCRO]]+Tabela1107[[#This Row],[OUTROS]]+Tabela1107[[#This Row],[MT]]</f>
        <v>24.740000000000002</v>
      </c>
      <c r="BO120" s="97">
        <f>+Tabela1107[[#This Row],[PIS]]+Tabela1107[[#This Row],[COFINS]]+Tabela1107[[#This Row],[CONTRIB. FOLHA]]+Tabela1107[[#This Row],[TRIBUTOS S/ LUCRO]]+Tabela1107[[#This Row],[OUTROS]]+Tabela1107[[#This Row],[MS]]</f>
        <v>24.740000000000002</v>
      </c>
      <c r="BP120" s="97">
        <f>+Tabela1107[[#This Row],[PIS]]+Tabela1107[[#This Row],[COFINS]]+Tabela1107[[#This Row],[CONTRIB. FOLHA]]+Tabela1107[[#This Row],[TRIBUTOS S/ LUCRO]]+Tabela1107[[#This Row],[OUTROS]]+Tabela1107[[#This Row],[DF]]</f>
        <v>24.740000000000002</v>
      </c>
      <c r="BQ120" s="97">
        <f>+Tabela1107[[#This Row],[PIS]]+Tabela1107[[#This Row],[COFINS]]+Tabela1107[[#This Row],[CONTRIB. FOLHA]]+Tabela1107[[#This Row],[TRIBUTOS S/ LUCRO]]+Tabela1107[[#This Row],[OUTROS]]+Tabela1107[[#This Row],[BA]]</f>
        <v>24.740000000000002</v>
      </c>
      <c r="BR120" s="97">
        <f>+Tabela1107[[#This Row],[PIS]]+Tabela1107[[#This Row],[COFINS]]+Tabela1107[[#This Row],[CONTRIB. FOLHA]]+Tabela1107[[#This Row],[TRIBUTOS S/ LUCRO]]+Tabela1107[[#This Row],[OUTROS]]+Tabela1107[[#This Row],[BA]]</f>
        <v>24.740000000000002</v>
      </c>
      <c r="BS120" s="97">
        <f>+Tabela1107[[#This Row],[PIS]]+Tabela1107[[#This Row],[COFINS]]+Tabela1107[[#This Row],[CONTRIB. FOLHA]]+Tabela1107[[#This Row],[TRIBUTOS S/ LUCRO]]+Tabela1107[[#This Row],[OUTROS]]+Tabela1107[[#This Row],[PE]]</f>
        <v>24.740000000000002</v>
      </c>
      <c r="BT120" s="97">
        <f>+Tabela1107[[#This Row],[PIS]]+Tabela1107[[#This Row],[COFINS]]+Tabela1107[[#This Row],[CONTRIB. FOLHA]]+Tabela1107[[#This Row],[TRIBUTOS S/ LUCRO]]+Tabela1107[[#This Row],[OUTROS]]+Tabela1107[[#This Row],[PA]]</f>
        <v>24.740000000000002</v>
      </c>
      <c r="BU120" s="97">
        <f>+Tabela1107[[#This Row],[PIS]]+Tabela1107[[#This Row],[COFINS]]+Tabela1107[[#This Row],[CONTRIB. FOLHA]]+Tabela1107[[#This Row],[TRIBUTOS S/ LUCRO]]+Tabela1107[[#This Row],[OUTROS]]+Tabela1107[[#This Row],[AM]]</f>
        <v>24.740000000000002</v>
      </c>
      <c r="BV120" s="97">
        <f>AVERAGE(Tabela1107[[#This Row],[TOTAL SP]:[TOTAL AM]])</f>
        <v>24.302500000000006</v>
      </c>
      <c r="BW120" s="97"/>
      <c r="BX120" s="97"/>
    </row>
    <row r="121" spans="2:76" x14ac:dyDescent="0.25">
      <c r="B121" s="89">
        <v>14841</v>
      </c>
      <c r="C121" s="91" t="s">
        <v>13183</v>
      </c>
      <c r="D121" s="89"/>
      <c r="E121" s="89">
        <v>20140626</v>
      </c>
      <c r="F121" s="89" t="s">
        <v>20734</v>
      </c>
      <c r="G121" s="89" t="s">
        <v>20735</v>
      </c>
      <c r="H121" s="89" t="s">
        <v>20736</v>
      </c>
      <c r="I121" s="89" t="s">
        <v>3401</v>
      </c>
      <c r="J121" s="89" t="s">
        <v>417</v>
      </c>
      <c r="K121" s="89"/>
      <c r="L121" s="89" t="s">
        <v>2622</v>
      </c>
      <c r="M121" s="89" t="s">
        <v>4496</v>
      </c>
      <c r="N121" s="89" t="s">
        <v>4496</v>
      </c>
      <c r="O121" s="89" t="s">
        <v>4496</v>
      </c>
      <c r="P121" s="89" t="s">
        <v>4496</v>
      </c>
      <c r="Q121" s="89"/>
      <c r="R121" s="89" t="s">
        <v>198</v>
      </c>
      <c r="S121" s="89" t="s">
        <v>21572</v>
      </c>
      <c r="T121" s="89" t="s">
        <v>21573</v>
      </c>
      <c r="U121" s="89" t="str">
        <f>TRIM('Carga Tributária doenças Po (2'!$L121)</f>
        <v>AMITRIPTILINA</v>
      </c>
      <c r="V121" s="89">
        <f>SUMIFS('Tabela Federal'!$E$4:$E$2069,'Tabela Federal'!$D$4:$D$2069,'Carga Tributária doenças Po (2'!$L121)</f>
        <v>1</v>
      </c>
      <c r="W121" s="89">
        <f>SUMIFS('Tabela Federal'!$E$4:$E$2069,'Tabela Federal'!$D$4:$D$2069,'Carga Tributária doenças Po (2'!$M121)</f>
        <v>0</v>
      </c>
      <c r="X121" s="89">
        <f>SUMIFS('Tabela Federal'!$E$4:$E$2069,'Tabela Federal'!$D$4:$D$2069,'Carga Tributária doenças Po (2'!$N121)</f>
        <v>0</v>
      </c>
      <c r="Y121" s="89">
        <f>SUMIFS('Tabela Federal'!$E$4:$E$2069,'Tabela Federal'!$D$4:$D$2069,'Carga Tributária doenças Po (2'!$O121)</f>
        <v>0</v>
      </c>
      <c r="Z121" s="92" t="str">
        <f>VLOOKUP('Carga Tributária doenças Po (2'!$AD121,'Carga Tributária doenças Po (2'!$CA$12:$CC$16,2,0)</f>
        <v>+</v>
      </c>
      <c r="AA121" s="89" t="s">
        <v>415</v>
      </c>
      <c r="AB121" s="89" t="s">
        <v>21774</v>
      </c>
      <c r="AC121" s="89" t="s">
        <v>21721</v>
      </c>
      <c r="AD121" s="93" t="s">
        <v>21722</v>
      </c>
      <c r="AE121" s="92" t="s">
        <v>2</v>
      </c>
      <c r="AF121" s="92" t="s">
        <v>10</v>
      </c>
      <c r="AG121" s="94">
        <v>1071999</v>
      </c>
      <c r="AH121" s="95">
        <v>3827676</v>
      </c>
      <c r="AI121" s="95">
        <v>8737535.4499999993</v>
      </c>
      <c r="AJ121" s="89" t="s">
        <v>426</v>
      </c>
      <c r="AK121" s="89">
        <f>IF('Carga Tributária doenças Po (2'!$Z121="+",0,SUMIFS(PISCOFINS!$I$3:$I$10518,PISCOFINS!$C$3:$C$10518,'Carga Tributária doenças Po (2'!$C121))</f>
        <v>0</v>
      </c>
      <c r="AL121" s="89">
        <f>IF('Carga Tributária doenças Po (2'!$Z121="+",0,SUMIFS(PISCOFINS!$H$3:$H$10518,PISCOFINS!$C$3:$C$10518,'Carga Tributária doenças Po (2'!$C121))</f>
        <v>0</v>
      </c>
      <c r="AM121" s="95">
        <v>3.27</v>
      </c>
      <c r="AN121" s="95">
        <v>3.12</v>
      </c>
      <c r="AO121" s="95">
        <v>1.35</v>
      </c>
      <c r="AP121" s="96">
        <v>18</v>
      </c>
      <c r="AQ121" s="96">
        <v>12</v>
      </c>
      <c r="AR121" s="96">
        <v>17</v>
      </c>
      <c r="AS121" s="97">
        <v>17</v>
      </c>
      <c r="AT121" s="97">
        <v>19</v>
      </c>
      <c r="AU121" s="97">
        <v>12</v>
      </c>
      <c r="AV121" s="97">
        <v>17</v>
      </c>
      <c r="AW121" s="97">
        <v>17</v>
      </c>
      <c r="AX121" s="97">
        <v>17</v>
      </c>
      <c r="AY121" s="97">
        <v>17</v>
      </c>
      <c r="AZ121" s="97">
        <v>17</v>
      </c>
      <c r="BA121" s="97">
        <v>17</v>
      </c>
      <c r="BB121" s="97">
        <v>17</v>
      </c>
      <c r="BC121" s="97">
        <v>17</v>
      </c>
      <c r="BD121" s="97">
        <v>17</v>
      </c>
      <c r="BE121" s="97">
        <v>17</v>
      </c>
      <c r="BF121" s="97">
        <f>+Tabela1107[[#This Row],[PIS]]+Tabela1107[[#This Row],[COFINS]]+Tabela1107[[#This Row],[CONTRIB. FOLHA]]+Tabela1107[[#This Row],[TRIBUTOS S/ LUCRO]]+Tabela1107[[#This Row],[OUTROS]]+Tabela1107[[#This Row],[SP]]</f>
        <v>25.740000000000002</v>
      </c>
      <c r="BG121" s="97">
        <f>+Tabela1107[[#This Row],[PIS]]+Tabela1107[[#This Row],[COFINS]]+Tabela1107[[#This Row],[CONTRIB. FOLHA]]+Tabela1107[[#This Row],[TRIBUTOS S/ LUCRO]]+Tabela1107[[#This Row],[OUTROS]]+Tabela1107[[#This Row],[PR]]</f>
        <v>19.740000000000002</v>
      </c>
      <c r="BH121" s="97">
        <f>+Tabela1107[[#This Row],[PIS]]+Tabela1107[[#This Row],[COFINS]]+Tabela1107[[#This Row],[CONTRIB. FOLHA]]+Tabela1107[[#This Row],[TRIBUTOS S/ LUCRO]]+Tabela1107[[#This Row],[OUTROS]]+Tabela1107[[#This Row],[SC]]</f>
        <v>24.740000000000002</v>
      </c>
      <c r="BI121" s="97">
        <f>+Tabela1107[[#This Row],[PIS]]+Tabela1107[[#This Row],[COFINS]]+Tabela1107[[#This Row],[CONTRIB. FOLHA]]+Tabela1107[[#This Row],[TRIBUTOS S/ LUCRO]]+Tabela1107[[#This Row],[OUTROS]]+Tabela1107[[#This Row],[RS]]</f>
        <v>24.740000000000002</v>
      </c>
      <c r="BJ121" s="97">
        <f>+Tabela1107[[#This Row],[PIS]]+Tabela1107[[#This Row],[COFINS]]+Tabela1107[[#This Row],[CONTRIB. FOLHA]]+Tabela1107[[#This Row],[TRIBUTOS S/ LUCRO]]+Tabela1107[[#This Row],[OUTROS]]+Tabela1107[[#This Row],[RJ]]</f>
        <v>26.740000000000002</v>
      </c>
      <c r="BK121" s="97">
        <f>+Tabela1107[[#This Row],[PIS]]+Tabela1107[[#This Row],[COFINS]]+Tabela1107[[#This Row],[CONTRIB. FOLHA]]+Tabela1107[[#This Row],[TRIBUTOS S/ LUCRO]]+Tabela1107[[#This Row],[OUTROS]]+Tabela1107[[#This Row],[MG]]</f>
        <v>19.740000000000002</v>
      </c>
      <c r="BL121" s="97">
        <f>+Tabela1107[[#This Row],[PIS]]+Tabela1107[[#This Row],[COFINS]]+Tabela1107[[#This Row],[CONTRIB. FOLHA]]+Tabela1107[[#This Row],[TRIBUTOS S/ LUCRO]]+Tabela1107[[#This Row],[OUTROS]]+Tabela1107[[#This Row],[ES]]</f>
        <v>24.740000000000002</v>
      </c>
      <c r="BM121" s="97">
        <f>+Tabela1107[[#This Row],[PIS]]+Tabela1107[[#This Row],[COFINS]]+Tabela1107[[#This Row],[CONTRIB. FOLHA]]+Tabela1107[[#This Row],[TRIBUTOS S/ LUCRO]]+Tabela1107[[#This Row],[OUTROS]]+Tabela1107[[#This Row],[GO]]</f>
        <v>24.740000000000002</v>
      </c>
      <c r="BN121" s="97">
        <f>+Tabela1107[[#This Row],[PIS]]+Tabela1107[[#This Row],[COFINS]]+Tabela1107[[#This Row],[CONTRIB. FOLHA]]+Tabela1107[[#This Row],[TRIBUTOS S/ LUCRO]]+Tabela1107[[#This Row],[OUTROS]]+Tabela1107[[#This Row],[MT]]</f>
        <v>24.740000000000002</v>
      </c>
      <c r="BO121" s="97">
        <f>+Tabela1107[[#This Row],[PIS]]+Tabela1107[[#This Row],[COFINS]]+Tabela1107[[#This Row],[CONTRIB. FOLHA]]+Tabela1107[[#This Row],[TRIBUTOS S/ LUCRO]]+Tabela1107[[#This Row],[OUTROS]]+Tabela1107[[#This Row],[MS]]</f>
        <v>24.740000000000002</v>
      </c>
      <c r="BP121" s="97">
        <f>+Tabela1107[[#This Row],[PIS]]+Tabela1107[[#This Row],[COFINS]]+Tabela1107[[#This Row],[CONTRIB. FOLHA]]+Tabela1107[[#This Row],[TRIBUTOS S/ LUCRO]]+Tabela1107[[#This Row],[OUTROS]]+Tabela1107[[#This Row],[DF]]</f>
        <v>24.740000000000002</v>
      </c>
      <c r="BQ121" s="97">
        <f>+Tabela1107[[#This Row],[PIS]]+Tabela1107[[#This Row],[COFINS]]+Tabela1107[[#This Row],[CONTRIB. FOLHA]]+Tabela1107[[#This Row],[TRIBUTOS S/ LUCRO]]+Tabela1107[[#This Row],[OUTROS]]+Tabela1107[[#This Row],[BA]]</f>
        <v>24.740000000000002</v>
      </c>
      <c r="BR121" s="97">
        <f>+Tabela1107[[#This Row],[PIS]]+Tabela1107[[#This Row],[COFINS]]+Tabela1107[[#This Row],[CONTRIB. FOLHA]]+Tabela1107[[#This Row],[TRIBUTOS S/ LUCRO]]+Tabela1107[[#This Row],[OUTROS]]+Tabela1107[[#This Row],[BA]]</f>
        <v>24.740000000000002</v>
      </c>
      <c r="BS121" s="97">
        <f>+Tabela1107[[#This Row],[PIS]]+Tabela1107[[#This Row],[COFINS]]+Tabela1107[[#This Row],[CONTRIB. FOLHA]]+Tabela1107[[#This Row],[TRIBUTOS S/ LUCRO]]+Tabela1107[[#This Row],[OUTROS]]+Tabela1107[[#This Row],[PE]]</f>
        <v>24.740000000000002</v>
      </c>
      <c r="BT121" s="97">
        <f>+Tabela1107[[#This Row],[PIS]]+Tabela1107[[#This Row],[COFINS]]+Tabela1107[[#This Row],[CONTRIB. FOLHA]]+Tabela1107[[#This Row],[TRIBUTOS S/ LUCRO]]+Tabela1107[[#This Row],[OUTROS]]+Tabela1107[[#This Row],[PA]]</f>
        <v>24.740000000000002</v>
      </c>
      <c r="BU121" s="97">
        <f>+Tabela1107[[#This Row],[PIS]]+Tabela1107[[#This Row],[COFINS]]+Tabela1107[[#This Row],[CONTRIB. FOLHA]]+Tabela1107[[#This Row],[TRIBUTOS S/ LUCRO]]+Tabela1107[[#This Row],[OUTROS]]+Tabela1107[[#This Row],[AM]]</f>
        <v>24.740000000000002</v>
      </c>
      <c r="BV121" s="97">
        <f>AVERAGE(Tabela1107[[#This Row],[TOTAL SP]:[TOTAL AM]])</f>
        <v>24.302500000000006</v>
      </c>
      <c r="BW121" s="97"/>
      <c r="BX121" s="97"/>
    </row>
    <row r="122" spans="2:76" x14ac:dyDescent="0.25">
      <c r="B122" s="89">
        <v>14853</v>
      </c>
      <c r="C122" s="91" t="s">
        <v>13183</v>
      </c>
      <c r="D122" s="89"/>
      <c r="E122" s="89">
        <v>20140626</v>
      </c>
      <c r="F122" s="89" t="s">
        <v>20792</v>
      </c>
      <c r="G122" s="89" t="s">
        <v>20793</v>
      </c>
      <c r="H122" s="89" t="s">
        <v>20794</v>
      </c>
      <c r="I122" s="89" t="s">
        <v>3401</v>
      </c>
      <c r="J122" s="89" t="s">
        <v>414</v>
      </c>
      <c r="K122" s="89"/>
      <c r="L122" s="89" t="s">
        <v>2622</v>
      </c>
      <c r="M122" s="89" t="s">
        <v>4496</v>
      </c>
      <c r="N122" s="89" t="s">
        <v>4496</v>
      </c>
      <c r="O122" s="89" t="s">
        <v>4496</v>
      </c>
      <c r="P122" s="89" t="s">
        <v>4496</v>
      </c>
      <c r="Q122" s="89"/>
      <c r="R122" s="89" t="s">
        <v>424</v>
      </c>
      <c r="S122" s="89" t="s">
        <v>21624</v>
      </c>
      <c r="T122" s="89" t="s">
        <v>21625</v>
      </c>
      <c r="U122" s="89" t="str">
        <f>TRIM('Carga Tributária doenças Po (2'!$L122)</f>
        <v>AMITRIPTILINA</v>
      </c>
      <c r="V122" s="89">
        <f>SUMIFS('Tabela Federal'!$E$4:$E$2069,'Tabela Federal'!$D$4:$D$2069,'Carga Tributária doenças Po (2'!$L122)</f>
        <v>1</v>
      </c>
      <c r="W122" s="89">
        <f>SUMIFS('Tabela Federal'!$E$4:$E$2069,'Tabela Federal'!$D$4:$D$2069,'Carga Tributária doenças Po (2'!$M122)</f>
        <v>0</v>
      </c>
      <c r="X122" s="89">
        <f>SUMIFS('Tabela Federal'!$E$4:$E$2069,'Tabela Federal'!$D$4:$D$2069,'Carga Tributária doenças Po (2'!$N122)</f>
        <v>0</v>
      </c>
      <c r="Y122" s="89">
        <f>SUMIFS('Tabela Federal'!$E$4:$E$2069,'Tabela Federal'!$D$4:$D$2069,'Carga Tributária doenças Po (2'!$O122)</f>
        <v>0</v>
      </c>
      <c r="Z122" s="92" t="str">
        <f>VLOOKUP('Carga Tributária doenças Po (2'!$AD122,'Carga Tributária doenças Po (2'!$CA$12:$CC$16,2,0)</f>
        <v>+</v>
      </c>
      <c r="AA122" s="89" t="s">
        <v>415</v>
      </c>
      <c r="AB122" s="89" t="s">
        <v>21774</v>
      </c>
      <c r="AC122" s="89" t="s">
        <v>21721</v>
      </c>
      <c r="AD122" s="93" t="s">
        <v>21722</v>
      </c>
      <c r="AE122" s="92" t="s">
        <v>2</v>
      </c>
      <c r="AF122" s="92" t="s">
        <v>10</v>
      </c>
      <c r="AG122" s="94">
        <v>678777</v>
      </c>
      <c r="AH122" s="95">
        <v>2366734</v>
      </c>
      <c r="AI122" s="95">
        <v>5403263.1299999999</v>
      </c>
      <c r="AJ122" s="89" t="s">
        <v>426</v>
      </c>
      <c r="AK122" s="89">
        <f>IF('Carga Tributária doenças Po (2'!$Z122="+",0,SUMIFS(PISCOFINS!$I$3:$I$10518,PISCOFINS!$C$3:$C$10518,'Carga Tributária doenças Po (2'!$C122))</f>
        <v>0</v>
      </c>
      <c r="AL122" s="89">
        <f>IF('Carga Tributária doenças Po (2'!$Z122="+",0,SUMIFS(PISCOFINS!$H$3:$H$10518,PISCOFINS!$C$3:$C$10518,'Carga Tributária doenças Po (2'!$C122))</f>
        <v>0</v>
      </c>
      <c r="AM122" s="95">
        <v>3.27</v>
      </c>
      <c r="AN122" s="95">
        <v>3.12</v>
      </c>
      <c r="AO122" s="95">
        <v>1.35</v>
      </c>
      <c r="AP122" s="96">
        <v>18</v>
      </c>
      <c r="AQ122" s="96">
        <v>12</v>
      </c>
      <c r="AR122" s="96">
        <v>17</v>
      </c>
      <c r="AS122" s="97">
        <v>17</v>
      </c>
      <c r="AT122" s="97">
        <v>19</v>
      </c>
      <c r="AU122" s="97">
        <v>12</v>
      </c>
      <c r="AV122" s="97">
        <v>17</v>
      </c>
      <c r="AW122" s="97">
        <v>17</v>
      </c>
      <c r="AX122" s="97">
        <v>17</v>
      </c>
      <c r="AY122" s="97">
        <v>17</v>
      </c>
      <c r="AZ122" s="97">
        <v>17</v>
      </c>
      <c r="BA122" s="97">
        <v>17</v>
      </c>
      <c r="BB122" s="97">
        <v>17</v>
      </c>
      <c r="BC122" s="97">
        <v>17</v>
      </c>
      <c r="BD122" s="97">
        <v>17</v>
      </c>
      <c r="BE122" s="97">
        <v>17</v>
      </c>
      <c r="BF122" s="97">
        <f>+Tabela1107[[#This Row],[PIS]]+Tabela1107[[#This Row],[COFINS]]+Tabela1107[[#This Row],[CONTRIB. FOLHA]]+Tabela1107[[#This Row],[TRIBUTOS S/ LUCRO]]+Tabela1107[[#This Row],[OUTROS]]+Tabela1107[[#This Row],[SP]]</f>
        <v>25.740000000000002</v>
      </c>
      <c r="BG122" s="97">
        <f>+Tabela1107[[#This Row],[PIS]]+Tabela1107[[#This Row],[COFINS]]+Tabela1107[[#This Row],[CONTRIB. FOLHA]]+Tabela1107[[#This Row],[TRIBUTOS S/ LUCRO]]+Tabela1107[[#This Row],[OUTROS]]+Tabela1107[[#This Row],[PR]]</f>
        <v>19.740000000000002</v>
      </c>
      <c r="BH122" s="97">
        <f>+Tabela1107[[#This Row],[PIS]]+Tabela1107[[#This Row],[COFINS]]+Tabela1107[[#This Row],[CONTRIB. FOLHA]]+Tabela1107[[#This Row],[TRIBUTOS S/ LUCRO]]+Tabela1107[[#This Row],[OUTROS]]+Tabela1107[[#This Row],[SC]]</f>
        <v>24.740000000000002</v>
      </c>
      <c r="BI122" s="97">
        <f>+Tabela1107[[#This Row],[PIS]]+Tabela1107[[#This Row],[COFINS]]+Tabela1107[[#This Row],[CONTRIB. FOLHA]]+Tabela1107[[#This Row],[TRIBUTOS S/ LUCRO]]+Tabela1107[[#This Row],[OUTROS]]+Tabela1107[[#This Row],[RS]]</f>
        <v>24.740000000000002</v>
      </c>
      <c r="BJ122" s="97">
        <f>+Tabela1107[[#This Row],[PIS]]+Tabela1107[[#This Row],[COFINS]]+Tabela1107[[#This Row],[CONTRIB. FOLHA]]+Tabela1107[[#This Row],[TRIBUTOS S/ LUCRO]]+Tabela1107[[#This Row],[OUTROS]]+Tabela1107[[#This Row],[RJ]]</f>
        <v>26.740000000000002</v>
      </c>
      <c r="BK122" s="97">
        <f>+Tabela1107[[#This Row],[PIS]]+Tabela1107[[#This Row],[COFINS]]+Tabela1107[[#This Row],[CONTRIB. FOLHA]]+Tabela1107[[#This Row],[TRIBUTOS S/ LUCRO]]+Tabela1107[[#This Row],[OUTROS]]+Tabela1107[[#This Row],[MG]]</f>
        <v>19.740000000000002</v>
      </c>
      <c r="BL122" s="97">
        <f>+Tabela1107[[#This Row],[PIS]]+Tabela1107[[#This Row],[COFINS]]+Tabela1107[[#This Row],[CONTRIB. FOLHA]]+Tabela1107[[#This Row],[TRIBUTOS S/ LUCRO]]+Tabela1107[[#This Row],[OUTROS]]+Tabela1107[[#This Row],[ES]]</f>
        <v>24.740000000000002</v>
      </c>
      <c r="BM122" s="97">
        <f>+Tabela1107[[#This Row],[PIS]]+Tabela1107[[#This Row],[COFINS]]+Tabela1107[[#This Row],[CONTRIB. FOLHA]]+Tabela1107[[#This Row],[TRIBUTOS S/ LUCRO]]+Tabela1107[[#This Row],[OUTROS]]+Tabela1107[[#This Row],[GO]]</f>
        <v>24.740000000000002</v>
      </c>
      <c r="BN122" s="97">
        <f>+Tabela1107[[#This Row],[PIS]]+Tabela1107[[#This Row],[COFINS]]+Tabela1107[[#This Row],[CONTRIB. FOLHA]]+Tabela1107[[#This Row],[TRIBUTOS S/ LUCRO]]+Tabela1107[[#This Row],[OUTROS]]+Tabela1107[[#This Row],[MT]]</f>
        <v>24.740000000000002</v>
      </c>
      <c r="BO122" s="97">
        <f>+Tabela1107[[#This Row],[PIS]]+Tabela1107[[#This Row],[COFINS]]+Tabela1107[[#This Row],[CONTRIB. FOLHA]]+Tabela1107[[#This Row],[TRIBUTOS S/ LUCRO]]+Tabela1107[[#This Row],[OUTROS]]+Tabela1107[[#This Row],[MS]]</f>
        <v>24.740000000000002</v>
      </c>
      <c r="BP122" s="97">
        <f>+Tabela1107[[#This Row],[PIS]]+Tabela1107[[#This Row],[COFINS]]+Tabela1107[[#This Row],[CONTRIB. FOLHA]]+Tabela1107[[#This Row],[TRIBUTOS S/ LUCRO]]+Tabela1107[[#This Row],[OUTROS]]+Tabela1107[[#This Row],[DF]]</f>
        <v>24.740000000000002</v>
      </c>
      <c r="BQ122" s="97">
        <f>+Tabela1107[[#This Row],[PIS]]+Tabela1107[[#This Row],[COFINS]]+Tabela1107[[#This Row],[CONTRIB. FOLHA]]+Tabela1107[[#This Row],[TRIBUTOS S/ LUCRO]]+Tabela1107[[#This Row],[OUTROS]]+Tabela1107[[#This Row],[BA]]</f>
        <v>24.740000000000002</v>
      </c>
      <c r="BR122" s="97">
        <f>+Tabela1107[[#This Row],[PIS]]+Tabela1107[[#This Row],[COFINS]]+Tabela1107[[#This Row],[CONTRIB. FOLHA]]+Tabela1107[[#This Row],[TRIBUTOS S/ LUCRO]]+Tabela1107[[#This Row],[OUTROS]]+Tabela1107[[#This Row],[BA]]</f>
        <v>24.740000000000002</v>
      </c>
      <c r="BS122" s="97">
        <f>+Tabela1107[[#This Row],[PIS]]+Tabela1107[[#This Row],[COFINS]]+Tabela1107[[#This Row],[CONTRIB. FOLHA]]+Tabela1107[[#This Row],[TRIBUTOS S/ LUCRO]]+Tabela1107[[#This Row],[OUTROS]]+Tabela1107[[#This Row],[PE]]</f>
        <v>24.740000000000002</v>
      </c>
      <c r="BT122" s="97">
        <f>+Tabela1107[[#This Row],[PIS]]+Tabela1107[[#This Row],[COFINS]]+Tabela1107[[#This Row],[CONTRIB. FOLHA]]+Tabela1107[[#This Row],[TRIBUTOS S/ LUCRO]]+Tabela1107[[#This Row],[OUTROS]]+Tabela1107[[#This Row],[PA]]</f>
        <v>24.740000000000002</v>
      </c>
      <c r="BU122" s="97">
        <f>+Tabela1107[[#This Row],[PIS]]+Tabela1107[[#This Row],[COFINS]]+Tabela1107[[#This Row],[CONTRIB. FOLHA]]+Tabela1107[[#This Row],[TRIBUTOS S/ LUCRO]]+Tabela1107[[#This Row],[OUTROS]]+Tabela1107[[#This Row],[AM]]</f>
        <v>24.740000000000002</v>
      </c>
      <c r="BV122" s="97">
        <f>AVERAGE(Tabela1107[[#This Row],[TOTAL SP]:[TOTAL AM]])</f>
        <v>24.302500000000006</v>
      </c>
      <c r="BW122" s="97"/>
      <c r="BX122" s="97"/>
    </row>
    <row r="123" spans="2:76" x14ac:dyDescent="0.25">
      <c r="B123" s="89">
        <v>14855</v>
      </c>
      <c r="C123" s="91" t="s">
        <v>13183</v>
      </c>
      <c r="D123" s="89"/>
      <c r="E123" s="89">
        <v>20140626</v>
      </c>
      <c r="F123" s="89" t="s">
        <v>20628</v>
      </c>
      <c r="G123" s="89" t="s">
        <v>20629</v>
      </c>
      <c r="H123" s="89" t="s">
        <v>20630</v>
      </c>
      <c r="I123" s="89" t="s">
        <v>3401</v>
      </c>
      <c r="J123" s="89" t="s">
        <v>414</v>
      </c>
      <c r="K123" s="89"/>
      <c r="L123" s="89" t="s">
        <v>2622</v>
      </c>
      <c r="M123" s="89" t="s">
        <v>4496</v>
      </c>
      <c r="N123" s="89" t="s">
        <v>4496</v>
      </c>
      <c r="O123" s="89" t="s">
        <v>4496</v>
      </c>
      <c r="P123" s="89" t="s">
        <v>4496</v>
      </c>
      <c r="Q123" s="89"/>
      <c r="R123" s="89" t="s">
        <v>29</v>
      </c>
      <c r="S123" s="89" t="s">
        <v>21616</v>
      </c>
      <c r="T123" s="89" t="s">
        <v>21617</v>
      </c>
      <c r="U123" s="89" t="str">
        <f>TRIM('Carga Tributária doenças Po (2'!$L123)</f>
        <v>AMITRIPTILINA</v>
      </c>
      <c r="V123" s="89">
        <f>SUMIFS('Tabela Federal'!$E$4:$E$2069,'Tabela Federal'!$D$4:$D$2069,'Carga Tributária doenças Po (2'!$L123)</f>
        <v>1</v>
      </c>
      <c r="W123" s="89">
        <f>SUMIFS('Tabela Federal'!$E$4:$E$2069,'Tabela Federal'!$D$4:$D$2069,'Carga Tributária doenças Po (2'!$M123)</f>
        <v>0</v>
      </c>
      <c r="X123" s="89">
        <f>SUMIFS('Tabela Federal'!$E$4:$E$2069,'Tabela Federal'!$D$4:$D$2069,'Carga Tributária doenças Po (2'!$N123)</f>
        <v>0</v>
      </c>
      <c r="Y123" s="89">
        <f>SUMIFS('Tabela Federal'!$E$4:$E$2069,'Tabela Federal'!$D$4:$D$2069,'Carga Tributária doenças Po (2'!$O123)</f>
        <v>0</v>
      </c>
      <c r="Z123" s="92" t="str">
        <f>VLOOKUP('Carga Tributária doenças Po (2'!$AD123,'Carga Tributária doenças Po (2'!$CA$12:$CC$16,2,0)</f>
        <v>+</v>
      </c>
      <c r="AA123" s="89" t="s">
        <v>415</v>
      </c>
      <c r="AB123" s="89" t="s">
        <v>21774</v>
      </c>
      <c r="AC123" s="89" t="s">
        <v>21721</v>
      </c>
      <c r="AD123" s="93" t="s">
        <v>21722</v>
      </c>
      <c r="AE123" s="92" t="s">
        <v>2</v>
      </c>
      <c r="AF123" s="92" t="s">
        <v>10</v>
      </c>
      <c r="AG123" s="94">
        <v>1376793</v>
      </c>
      <c r="AH123" s="95">
        <v>4904670</v>
      </c>
      <c r="AI123" s="95">
        <v>11196403.9</v>
      </c>
      <c r="AJ123" s="89" t="s">
        <v>426</v>
      </c>
      <c r="AK123" s="89">
        <f>IF('Carga Tributária doenças Po (2'!$Z123="+",0,SUMIFS(PISCOFINS!$I$3:$I$10518,PISCOFINS!$C$3:$C$10518,'Carga Tributária doenças Po (2'!$C123))</f>
        <v>0</v>
      </c>
      <c r="AL123" s="89">
        <f>IF('Carga Tributária doenças Po (2'!$Z123="+",0,SUMIFS(PISCOFINS!$H$3:$H$10518,PISCOFINS!$C$3:$C$10518,'Carga Tributária doenças Po (2'!$C123))</f>
        <v>0</v>
      </c>
      <c r="AM123" s="95">
        <v>3.27</v>
      </c>
      <c r="AN123" s="95">
        <v>3.12</v>
      </c>
      <c r="AO123" s="95">
        <v>1.35</v>
      </c>
      <c r="AP123" s="96">
        <v>18</v>
      </c>
      <c r="AQ123" s="96">
        <v>12</v>
      </c>
      <c r="AR123" s="96">
        <v>17</v>
      </c>
      <c r="AS123" s="97">
        <v>17</v>
      </c>
      <c r="AT123" s="97">
        <v>19</v>
      </c>
      <c r="AU123" s="97">
        <v>12</v>
      </c>
      <c r="AV123" s="97">
        <v>17</v>
      </c>
      <c r="AW123" s="97">
        <v>17</v>
      </c>
      <c r="AX123" s="97">
        <v>17</v>
      </c>
      <c r="AY123" s="97">
        <v>17</v>
      </c>
      <c r="AZ123" s="97">
        <v>17</v>
      </c>
      <c r="BA123" s="97">
        <v>17</v>
      </c>
      <c r="BB123" s="97">
        <v>17</v>
      </c>
      <c r="BC123" s="97">
        <v>17</v>
      </c>
      <c r="BD123" s="97">
        <v>17</v>
      </c>
      <c r="BE123" s="97">
        <v>17</v>
      </c>
      <c r="BF123" s="97">
        <f>+Tabela1107[[#This Row],[PIS]]+Tabela1107[[#This Row],[COFINS]]+Tabela1107[[#This Row],[CONTRIB. FOLHA]]+Tabela1107[[#This Row],[TRIBUTOS S/ LUCRO]]+Tabela1107[[#This Row],[OUTROS]]+Tabela1107[[#This Row],[SP]]</f>
        <v>25.740000000000002</v>
      </c>
      <c r="BG123" s="97">
        <f>+Tabela1107[[#This Row],[PIS]]+Tabela1107[[#This Row],[COFINS]]+Tabela1107[[#This Row],[CONTRIB. FOLHA]]+Tabela1107[[#This Row],[TRIBUTOS S/ LUCRO]]+Tabela1107[[#This Row],[OUTROS]]+Tabela1107[[#This Row],[PR]]</f>
        <v>19.740000000000002</v>
      </c>
      <c r="BH123" s="97">
        <f>+Tabela1107[[#This Row],[PIS]]+Tabela1107[[#This Row],[COFINS]]+Tabela1107[[#This Row],[CONTRIB. FOLHA]]+Tabela1107[[#This Row],[TRIBUTOS S/ LUCRO]]+Tabela1107[[#This Row],[OUTROS]]+Tabela1107[[#This Row],[SC]]</f>
        <v>24.740000000000002</v>
      </c>
      <c r="BI123" s="97">
        <f>+Tabela1107[[#This Row],[PIS]]+Tabela1107[[#This Row],[COFINS]]+Tabela1107[[#This Row],[CONTRIB. FOLHA]]+Tabela1107[[#This Row],[TRIBUTOS S/ LUCRO]]+Tabela1107[[#This Row],[OUTROS]]+Tabela1107[[#This Row],[RS]]</f>
        <v>24.740000000000002</v>
      </c>
      <c r="BJ123" s="97">
        <f>+Tabela1107[[#This Row],[PIS]]+Tabela1107[[#This Row],[COFINS]]+Tabela1107[[#This Row],[CONTRIB. FOLHA]]+Tabela1107[[#This Row],[TRIBUTOS S/ LUCRO]]+Tabela1107[[#This Row],[OUTROS]]+Tabela1107[[#This Row],[RJ]]</f>
        <v>26.740000000000002</v>
      </c>
      <c r="BK123" s="97">
        <f>+Tabela1107[[#This Row],[PIS]]+Tabela1107[[#This Row],[COFINS]]+Tabela1107[[#This Row],[CONTRIB. FOLHA]]+Tabela1107[[#This Row],[TRIBUTOS S/ LUCRO]]+Tabela1107[[#This Row],[OUTROS]]+Tabela1107[[#This Row],[MG]]</f>
        <v>19.740000000000002</v>
      </c>
      <c r="BL123" s="97">
        <f>+Tabela1107[[#This Row],[PIS]]+Tabela1107[[#This Row],[COFINS]]+Tabela1107[[#This Row],[CONTRIB. FOLHA]]+Tabela1107[[#This Row],[TRIBUTOS S/ LUCRO]]+Tabela1107[[#This Row],[OUTROS]]+Tabela1107[[#This Row],[ES]]</f>
        <v>24.740000000000002</v>
      </c>
      <c r="BM123" s="97">
        <f>+Tabela1107[[#This Row],[PIS]]+Tabela1107[[#This Row],[COFINS]]+Tabela1107[[#This Row],[CONTRIB. FOLHA]]+Tabela1107[[#This Row],[TRIBUTOS S/ LUCRO]]+Tabela1107[[#This Row],[OUTROS]]+Tabela1107[[#This Row],[GO]]</f>
        <v>24.740000000000002</v>
      </c>
      <c r="BN123" s="97">
        <f>+Tabela1107[[#This Row],[PIS]]+Tabela1107[[#This Row],[COFINS]]+Tabela1107[[#This Row],[CONTRIB. FOLHA]]+Tabela1107[[#This Row],[TRIBUTOS S/ LUCRO]]+Tabela1107[[#This Row],[OUTROS]]+Tabela1107[[#This Row],[MT]]</f>
        <v>24.740000000000002</v>
      </c>
      <c r="BO123" s="97">
        <f>+Tabela1107[[#This Row],[PIS]]+Tabela1107[[#This Row],[COFINS]]+Tabela1107[[#This Row],[CONTRIB. FOLHA]]+Tabela1107[[#This Row],[TRIBUTOS S/ LUCRO]]+Tabela1107[[#This Row],[OUTROS]]+Tabela1107[[#This Row],[MS]]</f>
        <v>24.740000000000002</v>
      </c>
      <c r="BP123" s="97">
        <f>+Tabela1107[[#This Row],[PIS]]+Tabela1107[[#This Row],[COFINS]]+Tabela1107[[#This Row],[CONTRIB. FOLHA]]+Tabela1107[[#This Row],[TRIBUTOS S/ LUCRO]]+Tabela1107[[#This Row],[OUTROS]]+Tabela1107[[#This Row],[DF]]</f>
        <v>24.740000000000002</v>
      </c>
      <c r="BQ123" s="97">
        <f>+Tabela1107[[#This Row],[PIS]]+Tabela1107[[#This Row],[COFINS]]+Tabela1107[[#This Row],[CONTRIB. FOLHA]]+Tabela1107[[#This Row],[TRIBUTOS S/ LUCRO]]+Tabela1107[[#This Row],[OUTROS]]+Tabela1107[[#This Row],[BA]]</f>
        <v>24.740000000000002</v>
      </c>
      <c r="BR123" s="97">
        <f>+Tabela1107[[#This Row],[PIS]]+Tabela1107[[#This Row],[COFINS]]+Tabela1107[[#This Row],[CONTRIB. FOLHA]]+Tabela1107[[#This Row],[TRIBUTOS S/ LUCRO]]+Tabela1107[[#This Row],[OUTROS]]+Tabela1107[[#This Row],[BA]]</f>
        <v>24.740000000000002</v>
      </c>
      <c r="BS123" s="97">
        <f>+Tabela1107[[#This Row],[PIS]]+Tabela1107[[#This Row],[COFINS]]+Tabela1107[[#This Row],[CONTRIB. FOLHA]]+Tabela1107[[#This Row],[TRIBUTOS S/ LUCRO]]+Tabela1107[[#This Row],[OUTROS]]+Tabela1107[[#This Row],[PE]]</f>
        <v>24.740000000000002</v>
      </c>
      <c r="BT123" s="97">
        <f>+Tabela1107[[#This Row],[PIS]]+Tabela1107[[#This Row],[COFINS]]+Tabela1107[[#This Row],[CONTRIB. FOLHA]]+Tabela1107[[#This Row],[TRIBUTOS S/ LUCRO]]+Tabela1107[[#This Row],[OUTROS]]+Tabela1107[[#This Row],[PA]]</f>
        <v>24.740000000000002</v>
      </c>
      <c r="BU123" s="97">
        <f>+Tabela1107[[#This Row],[PIS]]+Tabela1107[[#This Row],[COFINS]]+Tabela1107[[#This Row],[CONTRIB. FOLHA]]+Tabela1107[[#This Row],[TRIBUTOS S/ LUCRO]]+Tabela1107[[#This Row],[OUTROS]]+Tabela1107[[#This Row],[AM]]</f>
        <v>24.740000000000002</v>
      </c>
      <c r="BV123" s="97">
        <f>AVERAGE(Tabela1107[[#This Row],[TOTAL SP]:[TOTAL AM]])</f>
        <v>24.302500000000006</v>
      </c>
      <c r="BW123" s="97"/>
      <c r="BX123" s="97"/>
    </row>
    <row r="124" spans="2:76" x14ac:dyDescent="0.25">
      <c r="B124" s="89">
        <v>15429</v>
      </c>
      <c r="C124" s="91" t="s">
        <v>13168</v>
      </c>
      <c r="D124" s="89"/>
      <c r="E124" s="89">
        <v>20140626</v>
      </c>
      <c r="F124" s="89" t="s">
        <v>21311</v>
      </c>
      <c r="G124" s="89" t="s">
        <v>21312</v>
      </c>
      <c r="H124" s="89" t="s">
        <v>21313</v>
      </c>
      <c r="I124" s="89" t="s">
        <v>2643</v>
      </c>
      <c r="J124" s="89" t="s">
        <v>194</v>
      </c>
      <c r="K124" s="99" t="s">
        <v>2506</v>
      </c>
      <c r="L124" s="89" t="s">
        <v>2643</v>
      </c>
      <c r="M124" s="89" t="s">
        <v>4496</v>
      </c>
      <c r="N124" s="89" t="s">
        <v>4496</v>
      </c>
      <c r="O124" s="89" t="s">
        <v>4496</v>
      </c>
      <c r="P124" s="89" t="s">
        <v>4496</v>
      </c>
      <c r="Q124" s="89"/>
      <c r="R124" s="89" t="s">
        <v>103</v>
      </c>
      <c r="S124" s="89" t="s">
        <v>21690</v>
      </c>
      <c r="T124" s="89" t="s">
        <v>21691</v>
      </c>
      <c r="U124" s="89" t="str">
        <f>TRIM('Carga Tributária doenças Po (2'!$L124)</f>
        <v>CLORIDRATO DE CIPROFLOXACINO</v>
      </c>
      <c r="V124" s="89">
        <f>SUMIFS('Tabela Federal'!$E$4:$E$2069,'Tabela Federal'!$D$4:$D$2069,'Carga Tributária doenças Po (2'!$L124)</f>
        <v>4</v>
      </c>
      <c r="W124" s="89">
        <f>SUMIFS('Tabela Federal'!$E$4:$E$2069,'Tabela Federal'!$D$4:$D$2069,'Carga Tributária doenças Po (2'!$M124)</f>
        <v>0</v>
      </c>
      <c r="X124" s="89">
        <f>SUMIFS('Tabela Federal'!$E$4:$E$2069,'Tabela Federal'!$D$4:$D$2069,'Carga Tributária doenças Po (2'!$N124)</f>
        <v>0</v>
      </c>
      <c r="Y124" s="89">
        <f>SUMIFS('Tabela Federal'!$E$4:$E$2069,'Tabela Federal'!$D$4:$D$2069,'Carga Tributária doenças Po (2'!$O124)</f>
        <v>0</v>
      </c>
      <c r="Z124" s="92" t="str">
        <f>VLOOKUP('Carga Tributária doenças Po (2'!$AD124,'Carga Tributária doenças Po (2'!$CA$12:$CC$16,2,0)</f>
        <v>+</v>
      </c>
      <c r="AA124" s="89" t="s">
        <v>195</v>
      </c>
      <c r="AB124" s="89" t="s">
        <v>21853</v>
      </c>
      <c r="AC124" s="89" t="s">
        <v>21721</v>
      </c>
      <c r="AD124" s="93" t="s">
        <v>21722</v>
      </c>
      <c r="AE124" s="92" t="s">
        <v>4</v>
      </c>
      <c r="AF124" s="92" t="s">
        <v>10</v>
      </c>
      <c r="AG124" s="94">
        <v>734457</v>
      </c>
      <c r="AH124" s="95">
        <v>14138658</v>
      </c>
      <c r="AI124" s="95">
        <v>32333953.84</v>
      </c>
      <c r="AJ124" s="89" t="s">
        <v>594</v>
      </c>
      <c r="AK124" s="89">
        <f>IF('Carga Tributária doenças Po (2'!$Z124="+",0,SUMIFS(PISCOFINS!$I$3:$I$10518,PISCOFINS!$C$3:$C$10518,'Carga Tributária doenças Po (2'!$C124))</f>
        <v>0</v>
      </c>
      <c r="AL124" s="89">
        <f>IF('Carga Tributária doenças Po (2'!$Z124="+",0,SUMIFS(PISCOFINS!$H$3:$H$10518,PISCOFINS!$C$3:$C$10518,'Carga Tributária doenças Po (2'!$C124))</f>
        <v>0</v>
      </c>
      <c r="AM124" s="95">
        <v>3.27</v>
      </c>
      <c r="AN124" s="95">
        <v>3.12</v>
      </c>
      <c r="AO124" s="95">
        <v>1.35</v>
      </c>
      <c r="AP124" s="96">
        <v>18</v>
      </c>
      <c r="AQ124" s="96">
        <v>12</v>
      </c>
      <c r="AR124" s="96">
        <v>17</v>
      </c>
      <c r="AS124" s="97">
        <v>17</v>
      </c>
      <c r="AT124" s="97">
        <v>19</v>
      </c>
      <c r="AU124" s="97">
        <v>12</v>
      </c>
      <c r="AV124" s="97">
        <v>17</v>
      </c>
      <c r="AW124" s="97">
        <v>17</v>
      </c>
      <c r="AX124" s="97">
        <v>17</v>
      </c>
      <c r="AY124" s="97">
        <v>17</v>
      </c>
      <c r="AZ124" s="97">
        <v>17</v>
      </c>
      <c r="BA124" s="97">
        <v>17</v>
      </c>
      <c r="BB124" s="97">
        <v>17</v>
      </c>
      <c r="BC124" s="97">
        <v>17</v>
      </c>
      <c r="BD124" s="97">
        <v>17</v>
      </c>
      <c r="BE124" s="97">
        <v>17</v>
      </c>
      <c r="BF124" s="97">
        <f>+Tabela1107[[#This Row],[PIS]]+Tabela1107[[#This Row],[COFINS]]+Tabela1107[[#This Row],[CONTRIB. FOLHA]]+Tabela1107[[#This Row],[TRIBUTOS S/ LUCRO]]+Tabela1107[[#This Row],[OUTROS]]+Tabela1107[[#This Row],[SP]]</f>
        <v>25.740000000000002</v>
      </c>
      <c r="BG124" s="97">
        <f>+Tabela1107[[#This Row],[PIS]]+Tabela1107[[#This Row],[COFINS]]+Tabela1107[[#This Row],[CONTRIB. FOLHA]]+Tabela1107[[#This Row],[TRIBUTOS S/ LUCRO]]+Tabela1107[[#This Row],[OUTROS]]+Tabela1107[[#This Row],[PR]]</f>
        <v>19.740000000000002</v>
      </c>
      <c r="BH124" s="97">
        <f>+Tabela1107[[#This Row],[PIS]]+Tabela1107[[#This Row],[COFINS]]+Tabela1107[[#This Row],[CONTRIB. FOLHA]]+Tabela1107[[#This Row],[TRIBUTOS S/ LUCRO]]+Tabela1107[[#This Row],[OUTROS]]+Tabela1107[[#This Row],[SC]]</f>
        <v>24.740000000000002</v>
      </c>
      <c r="BI124" s="97">
        <f>+Tabela1107[[#This Row],[PIS]]+Tabela1107[[#This Row],[COFINS]]+Tabela1107[[#This Row],[CONTRIB. FOLHA]]+Tabela1107[[#This Row],[TRIBUTOS S/ LUCRO]]+Tabela1107[[#This Row],[OUTROS]]+Tabela1107[[#This Row],[RS]]</f>
        <v>24.740000000000002</v>
      </c>
      <c r="BJ124" s="97">
        <f>+Tabela1107[[#This Row],[PIS]]+Tabela1107[[#This Row],[COFINS]]+Tabela1107[[#This Row],[CONTRIB. FOLHA]]+Tabela1107[[#This Row],[TRIBUTOS S/ LUCRO]]+Tabela1107[[#This Row],[OUTROS]]+Tabela1107[[#This Row],[RJ]]</f>
        <v>26.740000000000002</v>
      </c>
      <c r="BK124" s="97">
        <f>+Tabela1107[[#This Row],[PIS]]+Tabela1107[[#This Row],[COFINS]]+Tabela1107[[#This Row],[CONTRIB. FOLHA]]+Tabela1107[[#This Row],[TRIBUTOS S/ LUCRO]]+Tabela1107[[#This Row],[OUTROS]]+Tabela1107[[#This Row],[MG]]</f>
        <v>19.740000000000002</v>
      </c>
      <c r="BL124" s="97">
        <f>+Tabela1107[[#This Row],[PIS]]+Tabela1107[[#This Row],[COFINS]]+Tabela1107[[#This Row],[CONTRIB. FOLHA]]+Tabela1107[[#This Row],[TRIBUTOS S/ LUCRO]]+Tabela1107[[#This Row],[OUTROS]]+Tabela1107[[#This Row],[ES]]</f>
        <v>24.740000000000002</v>
      </c>
      <c r="BM124" s="97">
        <f>+Tabela1107[[#This Row],[PIS]]+Tabela1107[[#This Row],[COFINS]]+Tabela1107[[#This Row],[CONTRIB. FOLHA]]+Tabela1107[[#This Row],[TRIBUTOS S/ LUCRO]]+Tabela1107[[#This Row],[OUTROS]]+Tabela1107[[#This Row],[GO]]</f>
        <v>24.740000000000002</v>
      </c>
      <c r="BN124" s="97">
        <f>+Tabela1107[[#This Row],[PIS]]+Tabela1107[[#This Row],[COFINS]]+Tabela1107[[#This Row],[CONTRIB. FOLHA]]+Tabela1107[[#This Row],[TRIBUTOS S/ LUCRO]]+Tabela1107[[#This Row],[OUTROS]]+Tabela1107[[#This Row],[MT]]</f>
        <v>24.740000000000002</v>
      </c>
      <c r="BO124" s="97">
        <f>+Tabela1107[[#This Row],[PIS]]+Tabela1107[[#This Row],[COFINS]]+Tabela1107[[#This Row],[CONTRIB. FOLHA]]+Tabela1107[[#This Row],[TRIBUTOS S/ LUCRO]]+Tabela1107[[#This Row],[OUTROS]]+Tabela1107[[#This Row],[MS]]</f>
        <v>24.740000000000002</v>
      </c>
      <c r="BP124" s="97">
        <f>+Tabela1107[[#This Row],[PIS]]+Tabela1107[[#This Row],[COFINS]]+Tabela1107[[#This Row],[CONTRIB. FOLHA]]+Tabela1107[[#This Row],[TRIBUTOS S/ LUCRO]]+Tabela1107[[#This Row],[OUTROS]]+Tabela1107[[#This Row],[DF]]</f>
        <v>24.740000000000002</v>
      </c>
      <c r="BQ124" s="97">
        <f>+Tabela1107[[#This Row],[PIS]]+Tabela1107[[#This Row],[COFINS]]+Tabela1107[[#This Row],[CONTRIB. FOLHA]]+Tabela1107[[#This Row],[TRIBUTOS S/ LUCRO]]+Tabela1107[[#This Row],[OUTROS]]+Tabela1107[[#This Row],[BA]]</f>
        <v>24.740000000000002</v>
      </c>
      <c r="BR124" s="97">
        <f>+Tabela1107[[#This Row],[PIS]]+Tabela1107[[#This Row],[COFINS]]+Tabela1107[[#This Row],[CONTRIB. FOLHA]]+Tabela1107[[#This Row],[TRIBUTOS S/ LUCRO]]+Tabela1107[[#This Row],[OUTROS]]+Tabela1107[[#This Row],[BA]]</f>
        <v>24.740000000000002</v>
      </c>
      <c r="BS124" s="97">
        <f>+Tabela1107[[#This Row],[PIS]]+Tabela1107[[#This Row],[COFINS]]+Tabela1107[[#This Row],[CONTRIB. FOLHA]]+Tabela1107[[#This Row],[TRIBUTOS S/ LUCRO]]+Tabela1107[[#This Row],[OUTROS]]+Tabela1107[[#This Row],[PE]]</f>
        <v>24.740000000000002</v>
      </c>
      <c r="BT124" s="97">
        <f>+Tabela1107[[#This Row],[PIS]]+Tabela1107[[#This Row],[COFINS]]+Tabela1107[[#This Row],[CONTRIB. FOLHA]]+Tabela1107[[#This Row],[TRIBUTOS S/ LUCRO]]+Tabela1107[[#This Row],[OUTROS]]+Tabela1107[[#This Row],[PA]]</f>
        <v>24.740000000000002</v>
      </c>
      <c r="BU124" s="97">
        <f>+Tabela1107[[#This Row],[PIS]]+Tabela1107[[#This Row],[COFINS]]+Tabela1107[[#This Row],[CONTRIB. FOLHA]]+Tabela1107[[#This Row],[TRIBUTOS S/ LUCRO]]+Tabela1107[[#This Row],[OUTROS]]+Tabela1107[[#This Row],[AM]]</f>
        <v>24.740000000000002</v>
      </c>
      <c r="BV124" s="97">
        <f>AVERAGE(Tabela1107[[#This Row],[TOTAL SP]:[TOTAL AM]])</f>
        <v>24.302500000000006</v>
      </c>
      <c r="BW124" s="97"/>
      <c r="BX124" s="97"/>
    </row>
    <row r="125" spans="2:76" x14ac:dyDescent="0.25">
      <c r="B125" s="89">
        <v>17354</v>
      </c>
      <c r="C125" s="91" t="s">
        <v>13151</v>
      </c>
      <c r="D125" s="89"/>
      <c r="E125" s="89">
        <v>20140626</v>
      </c>
      <c r="F125" s="89" t="s">
        <v>21465</v>
      </c>
      <c r="G125" s="89" t="s">
        <v>21466</v>
      </c>
      <c r="H125" s="89" t="s">
        <v>21467</v>
      </c>
      <c r="I125" s="89" t="s">
        <v>2644</v>
      </c>
      <c r="J125" s="89" t="s">
        <v>423</v>
      </c>
      <c r="K125" s="89"/>
      <c r="L125" s="89" t="s">
        <v>2644</v>
      </c>
      <c r="M125" s="89" t="s">
        <v>4496</v>
      </c>
      <c r="N125" s="89" t="s">
        <v>4496</v>
      </c>
      <c r="O125" s="89" t="s">
        <v>4496</v>
      </c>
      <c r="P125" s="89" t="s">
        <v>4496</v>
      </c>
      <c r="Q125" s="89"/>
      <c r="R125" s="89" t="s">
        <v>64</v>
      </c>
      <c r="S125" s="89" t="s">
        <v>21698</v>
      </c>
      <c r="T125" s="89" t="s">
        <v>21699</v>
      </c>
      <c r="U125" s="89" t="str">
        <f>TRIM('Carga Tributária doenças Po (2'!$L125)</f>
        <v>CLORIDRATO DE FLUOXETINA</v>
      </c>
      <c r="V125" s="89">
        <f>SUMIFS('Tabela Federal'!$E$4:$E$2069,'Tabela Federal'!$D$4:$D$2069,'Carga Tributária doenças Po (2'!$L125)</f>
        <v>2</v>
      </c>
      <c r="W125" s="89">
        <f>SUMIFS('Tabela Federal'!$E$4:$E$2069,'Tabela Federal'!$D$4:$D$2069,'Carga Tributária doenças Po (2'!$M125)</f>
        <v>0</v>
      </c>
      <c r="X125" s="89">
        <f>SUMIFS('Tabela Federal'!$E$4:$E$2069,'Tabela Federal'!$D$4:$D$2069,'Carga Tributária doenças Po (2'!$N125)</f>
        <v>0</v>
      </c>
      <c r="Y125" s="89">
        <f>SUMIFS('Tabela Federal'!$E$4:$E$2069,'Tabela Federal'!$D$4:$D$2069,'Carga Tributária doenças Po (2'!$O125)</f>
        <v>0</v>
      </c>
      <c r="Z125" s="92" t="str">
        <f>VLOOKUP('Carga Tributária doenças Po (2'!$AD125,'Carga Tributária doenças Po (2'!$CA$12:$CC$16,2,0)</f>
        <v>+</v>
      </c>
      <c r="AA125" s="89" t="s">
        <v>419</v>
      </c>
      <c r="AB125" s="89" t="s">
        <v>21778</v>
      </c>
      <c r="AC125" s="89" t="s">
        <v>21721</v>
      </c>
      <c r="AD125" s="93" t="s">
        <v>21722</v>
      </c>
      <c r="AE125" s="92" t="s">
        <v>2</v>
      </c>
      <c r="AF125" s="92" t="s">
        <v>10</v>
      </c>
      <c r="AG125" s="94">
        <v>704692</v>
      </c>
      <c r="AH125" s="95">
        <v>8303895</v>
      </c>
      <c r="AI125" s="95">
        <v>18913682.73</v>
      </c>
      <c r="AJ125" s="89" t="s">
        <v>426</v>
      </c>
      <c r="AK125" s="89">
        <f>IF('Carga Tributária doenças Po (2'!$Z125="+",0,SUMIFS(PISCOFINS!$I$3:$I$10518,PISCOFINS!$C$3:$C$10518,'Carga Tributária doenças Po (2'!$C125))</f>
        <v>0</v>
      </c>
      <c r="AL125" s="89">
        <f>IF('Carga Tributária doenças Po (2'!$Z125="+",0,SUMIFS(PISCOFINS!$H$3:$H$10518,PISCOFINS!$C$3:$C$10518,'Carga Tributária doenças Po (2'!$C125))</f>
        <v>0</v>
      </c>
      <c r="AM125" s="95">
        <v>3.27</v>
      </c>
      <c r="AN125" s="95">
        <v>3.12</v>
      </c>
      <c r="AO125" s="95">
        <v>1.35</v>
      </c>
      <c r="AP125" s="96">
        <v>18</v>
      </c>
      <c r="AQ125" s="96">
        <v>12</v>
      </c>
      <c r="AR125" s="96">
        <v>17</v>
      </c>
      <c r="AS125" s="97">
        <v>17</v>
      </c>
      <c r="AT125" s="97">
        <v>19</v>
      </c>
      <c r="AU125" s="97">
        <v>12</v>
      </c>
      <c r="AV125" s="97">
        <v>17</v>
      </c>
      <c r="AW125" s="97">
        <v>17</v>
      </c>
      <c r="AX125" s="97">
        <v>17</v>
      </c>
      <c r="AY125" s="97">
        <v>17</v>
      </c>
      <c r="AZ125" s="97">
        <v>17</v>
      </c>
      <c r="BA125" s="97">
        <v>17</v>
      </c>
      <c r="BB125" s="97">
        <v>17</v>
      </c>
      <c r="BC125" s="97">
        <v>17</v>
      </c>
      <c r="BD125" s="97">
        <v>17</v>
      </c>
      <c r="BE125" s="97">
        <v>17</v>
      </c>
      <c r="BF125" s="97">
        <f>+Tabela1107[[#This Row],[PIS]]+Tabela1107[[#This Row],[COFINS]]+Tabela1107[[#This Row],[CONTRIB. FOLHA]]+Tabela1107[[#This Row],[TRIBUTOS S/ LUCRO]]+Tabela1107[[#This Row],[OUTROS]]+Tabela1107[[#This Row],[SP]]</f>
        <v>25.740000000000002</v>
      </c>
      <c r="BG125" s="97">
        <f>+Tabela1107[[#This Row],[PIS]]+Tabela1107[[#This Row],[COFINS]]+Tabela1107[[#This Row],[CONTRIB. FOLHA]]+Tabela1107[[#This Row],[TRIBUTOS S/ LUCRO]]+Tabela1107[[#This Row],[OUTROS]]+Tabela1107[[#This Row],[PR]]</f>
        <v>19.740000000000002</v>
      </c>
      <c r="BH125" s="97">
        <f>+Tabela1107[[#This Row],[PIS]]+Tabela1107[[#This Row],[COFINS]]+Tabela1107[[#This Row],[CONTRIB. FOLHA]]+Tabela1107[[#This Row],[TRIBUTOS S/ LUCRO]]+Tabela1107[[#This Row],[OUTROS]]+Tabela1107[[#This Row],[SC]]</f>
        <v>24.740000000000002</v>
      </c>
      <c r="BI125" s="97">
        <f>+Tabela1107[[#This Row],[PIS]]+Tabela1107[[#This Row],[COFINS]]+Tabela1107[[#This Row],[CONTRIB. FOLHA]]+Tabela1107[[#This Row],[TRIBUTOS S/ LUCRO]]+Tabela1107[[#This Row],[OUTROS]]+Tabela1107[[#This Row],[RS]]</f>
        <v>24.740000000000002</v>
      </c>
      <c r="BJ125" s="97">
        <f>+Tabela1107[[#This Row],[PIS]]+Tabela1107[[#This Row],[COFINS]]+Tabela1107[[#This Row],[CONTRIB. FOLHA]]+Tabela1107[[#This Row],[TRIBUTOS S/ LUCRO]]+Tabela1107[[#This Row],[OUTROS]]+Tabela1107[[#This Row],[RJ]]</f>
        <v>26.740000000000002</v>
      </c>
      <c r="BK125" s="97">
        <f>+Tabela1107[[#This Row],[PIS]]+Tabela1107[[#This Row],[COFINS]]+Tabela1107[[#This Row],[CONTRIB. FOLHA]]+Tabela1107[[#This Row],[TRIBUTOS S/ LUCRO]]+Tabela1107[[#This Row],[OUTROS]]+Tabela1107[[#This Row],[MG]]</f>
        <v>19.740000000000002</v>
      </c>
      <c r="BL125" s="97">
        <f>+Tabela1107[[#This Row],[PIS]]+Tabela1107[[#This Row],[COFINS]]+Tabela1107[[#This Row],[CONTRIB. FOLHA]]+Tabela1107[[#This Row],[TRIBUTOS S/ LUCRO]]+Tabela1107[[#This Row],[OUTROS]]+Tabela1107[[#This Row],[ES]]</f>
        <v>24.740000000000002</v>
      </c>
      <c r="BM125" s="97">
        <f>+Tabela1107[[#This Row],[PIS]]+Tabela1107[[#This Row],[COFINS]]+Tabela1107[[#This Row],[CONTRIB. FOLHA]]+Tabela1107[[#This Row],[TRIBUTOS S/ LUCRO]]+Tabela1107[[#This Row],[OUTROS]]+Tabela1107[[#This Row],[GO]]</f>
        <v>24.740000000000002</v>
      </c>
      <c r="BN125" s="97">
        <f>+Tabela1107[[#This Row],[PIS]]+Tabela1107[[#This Row],[COFINS]]+Tabela1107[[#This Row],[CONTRIB. FOLHA]]+Tabela1107[[#This Row],[TRIBUTOS S/ LUCRO]]+Tabela1107[[#This Row],[OUTROS]]+Tabela1107[[#This Row],[MT]]</f>
        <v>24.740000000000002</v>
      </c>
      <c r="BO125" s="97">
        <f>+Tabela1107[[#This Row],[PIS]]+Tabela1107[[#This Row],[COFINS]]+Tabela1107[[#This Row],[CONTRIB. FOLHA]]+Tabela1107[[#This Row],[TRIBUTOS S/ LUCRO]]+Tabela1107[[#This Row],[OUTROS]]+Tabela1107[[#This Row],[MS]]</f>
        <v>24.740000000000002</v>
      </c>
      <c r="BP125" s="97">
        <f>+Tabela1107[[#This Row],[PIS]]+Tabela1107[[#This Row],[COFINS]]+Tabela1107[[#This Row],[CONTRIB. FOLHA]]+Tabela1107[[#This Row],[TRIBUTOS S/ LUCRO]]+Tabela1107[[#This Row],[OUTROS]]+Tabela1107[[#This Row],[DF]]</f>
        <v>24.740000000000002</v>
      </c>
      <c r="BQ125" s="97">
        <f>+Tabela1107[[#This Row],[PIS]]+Tabela1107[[#This Row],[COFINS]]+Tabela1107[[#This Row],[CONTRIB. FOLHA]]+Tabela1107[[#This Row],[TRIBUTOS S/ LUCRO]]+Tabela1107[[#This Row],[OUTROS]]+Tabela1107[[#This Row],[BA]]</f>
        <v>24.740000000000002</v>
      </c>
      <c r="BR125" s="97">
        <f>+Tabela1107[[#This Row],[PIS]]+Tabela1107[[#This Row],[COFINS]]+Tabela1107[[#This Row],[CONTRIB. FOLHA]]+Tabela1107[[#This Row],[TRIBUTOS S/ LUCRO]]+Tabela1107[[#This Row],[OUTROS]]+Tabela1107[[#This Row],[BA]]</f>
        <v>24.740000000000002</v>
      </c>
      <c r="BS125" s="97">
        <f>+Tabela1107[[#This Row],[PIS]]+Tabela1107[[#This Row],[COFINS]]+Tabela1107[[#This Row],[CONTRIB. FOLHA]]+Tabela1107[[#This Row],[TRIBUTOS S/ LUCRO]]+Tabela1107[[#This Row],[OUTROS]]+Tabela1107[[#This Row],[PE]]</f>
        <v>24.740000000000002</v>
      </c>
      <c r="BT125" s="97">
        <f>+Tabela1107[[#This Row],[PIS]]+Tabela1107[[#This Row],[COFINS]]+Tabela1107[[#This Row],[CONTRIB. FOLHA]]+Tabela1107[[#This Row],[TRIBUTOS S/ LUCRO]]+Tabela1107[[#This Row],[OUTROS]]+Tabela1107[[#This Row],[PA]]</f>
        <v>24.740000000000002</v>
      </c>
      <c r="BU125" s="97">
        <f>+Tabela1107[[#This Row],[PIS]]+Tabela1107[[#This Row],[COFINS]]+Tabela1107[[#This Row],[CONTRIB. FOLHA]]+Tabela1107[[#This Row],[TRIBUTOS S/ LUCRO]]+Tabela1107[[#This Row],[OUTROS]]+Tabela1107[[#This Row],[AM]]</f>
        <v>24.740000000000002</v>
      </c>
      <c r="BV125" s="97">
        <f>AVERAGE(Tabela1107[[#This Row],[TOTAL SP]:[TOTAL AM]])</f>
        <v>24.302500000000006</v>
      </c>
      <c r="BW125" s="97"/>
      <c r="BX125" s="97"/>
    </row>
    <row r="126" spans="2:76" x14ac:dyDescent="0.25">
      <c r="B126" s="89">
        <v>17673</v>
      </c>
      <c r="C126" s="91" t="s">
        <v>13142</v>
      </c>
      <c r="D126" s="89"/>
      <c r="E126" s="89">
        <v>20140626</v>
      </c>
      <c r="F126" s="89" t="s">
        <v>20728</v>
      </c>
      <c r="G126" s="89" t="s">
        <v>20729</v>
      </c>
      <c r="H126" s="89" t="s">
        <v>20730</v>
      </c>
      <c r="I126" s="89" t="s">
        <v>2618</v>
      </c>
      <c r="J126" s="89" t="s">
        <v>350</v>
      </c>
      <c r="K126" s="89"/>
      <c r="L126" s="89" t="s">
        <v>2618</v>
      </c>
      <c r="M126" s="89" t="s">
        <v>4496</v>
      </c>
      <c r="N126" s="89" t="s">
        <v>4496</v>
      </c>
      <c r="O126" s="89" t="s">
        <v>4496</v>
      </c>
      <c r="P126" s="89" t="s">
        <v>4496</v>
      </c>
      <c r="Q126" s="89"/>
      <c r="R126" s="89" t="s">
        <v>198</v>
      </c>
      <c r="S126" s="89" t="s">
        <v>21572</v>
      </c>
      <c r="T126" s="89" t="s">
        <v>21573</v>
      </c>
      <c r="U126" s="89" t="str">
        <f>TRIM('Carga Tributária doenças Po (2'!$L126)</f>
        <v>CLORIDRATO DE MEMANTINA</v>
      </c>
      <c r="V126" s="89">
        <f>SUMIFS('Tabela Federal'!$E$4:$E$2069,'Tabela Federal'!$D$4:$D$2069,'Carga Tributária doenças Po (2'!$L126)</f>
        <v>1</v>
      </c>
      <c r="W126" s="89">
        <f>SUMIFS('Tabela Federal'!$E$4:$E$2069,'Tabela Federal'!$D$4:$D$2069,'Carga Tributária doenças Po (2'!$M126)</f>
        <v>0</v>
      </c>
      <c r="X126" s="89">
        <f>SUMIFS('Tabela Federal'!$E$4:$E$2069,'Tabela Federal'!$D$4:$D$2069,'Carga Tributária doenças Po (2'!$N126)</f>
        <v>0</v>
      </c>
      <c r="Y126" s="89">
        <f>SUMIFS('Tabela Federal'!$E$4:$E$2069,'Tabela Federal'!$D$4:$D$2069,'Carga Tributária doenças Po (2'!$O126)</f>
        <v>0</v>
      </c>
      <c r="Z126" s="92" t="str">
        <f>VLOOKUP('Carga Tributária doenças Po (2'!$AD126,'Carga Tributária doenças Po (2'!$CA$12:$CC$16,2,0)</f>
        <v>+</v>
      </c>
      <c r="AA126" s="89" t="s">
        <v>348</v>
      </c>
      <c r="AB126" s="89" t="s">
        <v>21735</v>
      </c>
      <c r="AC126" s="89" t="s">
        <v>21721</v>
      </c>
      <c r="AD126" s="93" t="s">
        <v>21722</v>
      </c>
      <c r="AE126" s="92" t="s">
        <v>2</v>
      </c>
      <c r="AF126" s="92" t="s">
        <v>10</v>
      </c>
      <c r="AG126" s="94">
        <v>155049</v>
      </c>
      <c r="AH126" s="95">
        <v>3423910</v>
      </c>
      <c r="AI126" s="95">
        <v>7826805.0300000003</v>
      </c>
      <c r="AJ126" s="89" t="s">
        <v>361</v>
      </c>
      <c r="AK126" s="89">
        <f>IF('Carga Tributária doenças Po (2'!$Z126="+",0,SUMIFS(PISCOFINS!$I$3:$I$10518,PISCOFINS!$C$3:$C$10518,'Carga Tributária doenças Po (2'!$C126))</f>
        <v>0</v>
      </c>
      <c r="AL126" s="89">
        <f>IF('Carga Tributária doenças Po (2'!$Z126="+",0,SUMIFS(PISCOFINS!$H$3:$H$10518,PISCOFINS!$C$3:$C$10518,'Carga Tributária doenças Po (2'!$C126))</f>
        <v>0</v>
      </c>
      <c r="AM126" s="95">
        <v>3.27</v>
      </c>
      <c r="AN126" s="95">
        <v>3.12</v>
      </c>
      <c r="AO126" s="95">
        <v>1.35</v>
      </c>
      <c r="AP126" s="96">
        <v>18</v>
      </c>
      <c r="AQ126" s="96">
        <v>12</v>
      </c>
      <c r="AR126" s="96">
        <v>17</v>
      </c>
      <c r="AS126" s="97">
        <v>17</v>
      </c>
      <c r="AT126" s="97">
        <v>19</v>
      </c>
      <c r="AU126" s="97">
        <v>12</v>
      </c>
      <c r="AV126" s="97">
        <v>17</v>
      </c>
      <c r="AW126" s="97">
        <v>17</v>
      </c>
      <c r="AX126" s="97">
        <v>17</v>
      </c>
      <c r="AY126" s="97">
        <v>17</v>
      </c>
      <c r="AZ126" s="97">
        <v>17</v>
      </c>
      <c r="BA126" s="97">
        <v>17</v>
      </c>
      <c r="BB126" s="97">
        <v>17</v>
      </c>
      <c r="BC126" s="97">
        <v>17</v>
      </c>
      <c r="BD126" s="97">
        <v>17</v>
      </c>
      <c r="BE126" s="97">
        <v>17</v>
      </c>
      <c r="BF126" s="97">
        <f>+Tabela1107[[#This Row],[PIS]]+Tabela1107[[#This Row],[COFINS]]+Tabela1107[[#This Row],[CONTRIB. FOLHA]]+Tabela1107[[#This Row],[TRIBUTOS S/ LUCRO]]+Tabela1107[[#This Row],[OUTROS]]+Tabela1107[[#This Row],[SP]]</f>
        <v>25.740000000000002</v>
      </c>
      <c r="BG126" s="97">
        <f>+Tabela1107[[#This Row],[PIS]]+Tabela1107[[#This Row],[COFINS]]+Tabela1107[[#This Row],[CONTRIB. FOLHA]]+Tabela1107[[#This Row],[TRIBUTOS S/ LUCRO]]+Tabela1107[[#This Row],[OUTROS]]+Tabela1107[[#This Row],[PR]]</f>
        <v>19.740000000000002</v>
      </c>
      <c r="BH126" s="97">
        <f>+Tabela1107[[#This Row],[PIS]]+Tabela1107[[#This Row],[COFINS]]+Tabela1107[[#This Row],[CONTRIB. FOLHA]]+Tabela1107[[#This Row],[TRIBUTOS S/ LUCRO]]+Tabela1107[[#This Row],[OUTROS]]+Tabela1107[[#This Row],[SC]]</f>
        <v>24.740000000000002</v>
      </c>
      <c r="BI126" s="97">
        <f>+Tabela1107[[#This Row],[PIS]]+Tabela1107[[#This Row],[COFINS]]+Tabela1107[[#This Row],[CONTRIB. FOLHA]]+Tabela1107[[#This Row],[TRIBUTOS S/ LUCRO]]+Tabela1107[[#This Row],[OUTROS]]+Tabela1107[[#This Row],[RS]]</f>
        <v>24.740000000000002</v>
      </c>
      <c r="BJ126" s="97">
        <f>+Tabela1107[[#This Row],[PIS]]+Tabela1107[[#This Row],[COFINS]]+Tabela1107[[#This Row],[CONTRIB. FOLHA]]+Tabela1107[[#This Row],[TRIBUTOS S/ LUCRO]]+Tabela1107[[#This Row],[OUTROS]]+Tabela1107[[#This Row],[RJ]]</f>
        <v>26.740000000000002</v>
      </c>
      <c r="BK126" s="97">
        <f>+Tabela1107[[#This Row],[PIS]]+Tabela1107[[#This Row],[COFINS]]+Tabela1107[[#This Row],[CONTRIB. FOLHA]]+Tabela1107[[#This Row],[TRIBUTOS S/ LUCRO]]+Tabela1107[[#This Row],[OUTROS]]+Tabela1107[[#This Row],[MG]]</f>
        <v>19.740000000000002</v>
      </c>
      <c r="BL126" s="97">
        <f>+Tabela1107[[#This Row],[PIS]]+Tabela1107[[#This Row],[COFINS]]+Tabela1107[[#This Row],[CONTRIB. FOLHA]]+Tabela1107[[#This Row],[TRIBUTOS S/ LUCRO]]+Tabela1107[[#This Row],[OUTROS]]+Tabela1107[[#This Row],[ES]]</f>
        <v>24.740000000000002</v>
      </c>
      <c r="BM126" s="97">
        <f>+Tabela1107[[#This Row],[PIS]]+Tabela1107[[#This Row],[COFINS]]+Tabela1107[[#This Row],[CONTRIB. FOLHA]]+Tabela1107[[#This Row],[TRIBUTOS S/ LUCRO]]+Tabela1107[[#This Row],[OUTROS]]+Tabela1107[[#This Row],[GO]]</f>
        <v>24.740000000000002</v>
      </c>
      <c r="BN126" s="97">
        <f>+Tabela1107[[#This Row],[PIS]]+Tabela1107[[#This Row],[COFINS]]+Tabela1107[[#This Row],[CONTRIB. FOLHA]]+Tabela1107[[#This Row],[TRIBUTOS S/ LUCRO]]+Tabela1107[[#This Row],[OUTROS]]+Tabela1107[[#This Row],[MT]]</f>
        <v>24.740000000000002</v>
      </c>
      <c r="BO126" s="97">
        <f>+Tabela1107[[#This Row],[PIS]]+Tabela1107[[#This Row],[COFINS]]+Tabela1107[[#This Row],[CONTRIB. FOLHA]]+Tabela1107[[#This Row],[TRIBUTOS S/ LUCRO]]+Tabela1107[[#This Row],[OUTROS]]+Tabela1107[[#This Row],[MS]]</f>
        <v>24.740000000000002</v>
      </c>
      <c r="BP126" s="97">
        <f>+Tabela1107[[#This Row],[PIS]]+Tabela1107[[#This Row],[COFINS]]+Tabela1107[[#This Row],[CONTRIB. FOLHA]]+Tabela1107[[#This Row],[TRIBUTOS S/ LUCRO]]+Tabela1107[[#This Row],[OUTROS]]+Tabela1107[[#This Row],[DF]]</f>
        <v>24.740000000000002</v>
      </c>
      <c r="BQ126" s="97">
        <f>+Tabela1107[[#This Row],[PIS]]+Tabela1107[[#This Row],[COFINS]]+Tabela1107[[#This Row],[CONTRIB. FOLHA]]+Tabela1107[[#This Row],[TRIBUTOS S/ LUCRO]]+Tabela1107[[#This Row],[OUTROS]]+Tabela1107[[#This Row],[BA]]</f>
        <v>24.740000000000002</v>
      </c>
      <c r="BR126" s="97">
        <f>+Tabela1107[[#This Row],[PIS]]+Tabela1107[[#This Row],[COFINS]]+Tabela1107[[#This Row],[CONTRIB. FOLHA]]+Tabela1107[[#This Row],[TRIBUTOS S/ LUCRO]]+Tabela1107[[#This Row],[OUTROS]]+Tabela1107[[#This Row],[BA]]</f>
        <v>24.740000000000002</v>
      </c>
      <c r="BS126" s="97">
        <f>+Tabela1107[[#This Row],[PIS]]+Tabela1107[[#This Row],[COFINS]]+Tabela1107[[#This Row],[CONTRIB. FOLHA]]+Tabela1107[[#This Row],[TRIBUTOS S/ LUCRO]]+Tabela1107[[#This Row],[OUTROS]]+Tabela1107[[#This Row],[PE]]</f>
        <v>24.740000000000002</v>
      </c>
      <c r="BT126" s="97">
        <f>+Tabela1107[[#This Row],[PIS]]+Tabela1107[[#This Row],[COFINS]]+Tabela1107[[#This Row],[CONTRIB. FOLHA]]+Tabela1107[[#This Row],[TRIBUTOS S/ LUCRO]]+Tabela1107[[#This Row],[OUTROS]]+Tabela1107[[#This Row],[PA]]</f>
        <v>24.740000000000002</v>
      </c>
      <c r="BU126" s="97">
        <f>+Tabela1107[[#This Row],[PIS]]+Tabela1107[[#This Row],[COFINS]]+Tabela1107[[#This Row],[CONTRIB. FOLHA]]+Tabela1107[[#This Row],[TRIBUTOS S/ LUCRO]]+Tabela1107[[#This Row],[OUTROS]]+Tabela1107[[#This Row],[AM]]</f>
        <v>24.740000000000002</v>
      </c>
      <c r="BV126" s="97">
        <f>AVERAGE(Tabela1107[[#This Row],[TOTAL SP]:[TOTAL AM]])</f>
        <v>24.302500000000006</v>
      </c>
      <c r="BW126" s="97"/>
      <c r="BX126" s="97"/>
    </row>
    <row r="127" spans="2:76" x14ac:dyDescent="0.25">
      <c r="B127" s="89">
        <v>17674</v>
      </c>
      <c r="C127" s="91" t="s">
        <v>13142</v>
      </c>
      <c r="D127" s="89"/>
      <c r="E127" s="89">
        <v>20140626</v>
      </c>
      <c r="F127" s="89" t="s">
        <v>20731</v>
      </c>
      <c r="G127" s="89" t="s">
        <v>20732</v>
      </c>
      <c r="H127" s="89" t="s">
        <v>20733</v>
      </c>
      <c r="I127" s="89" t="s">
        <v>2618</v>
      </c>
      <c r="J127" s="89" t="s">
        <v>358</v>
      </c>
      <c r="K127" s="89"/>
      <c r="L127" s="89" t="s">
        <v>2618</v>
      </c>
      <c r="M127" s="89" t="s">
        <v>4496</v>
      </c>
      <c r="N127" s="89" t="s">
        <v>4496</v>
      </c>
      <c r="O127" s="89" t="s">
        <v>4496</v>
      </c>
      <c r="P127" s="89" t="s">
        <v>4496</v>
      </c>
      <c r="Q127" s="89"/>
      <c r="R127" s="89" t="s">
        <v>198</v>
      </c>
      <c r="S127" s="89" t="s">
        <v>21572</v>
      </c>
      <c r="T127" s="89" t="s">
        <v>21573</v>
      </c>
      <c r="U127" s="89" t="str">
        <f>TRIM('Carga Tributária doenças Po (2'!$L127)</f>
        <v>CLORIDRATO DE MEMANTINA</v>
      </c>
      <c r="V127" s="89">
        <f>SUMIFS('Tabela Federal'!$E$4:$E$2069,'Tabela Federal'!$D$4:$D$2069,'Carga Tributária doenças Po (2'!$L127)</f>
        <v>1</v>
      </c>
      <c r="W127" s="89">
        <f>SUMIFS('Tabela Federal'!$E$4:$E$2069,'Tabela Federal'!$D$4:$D$2069,'Carga Tributária doenças Po (2'!$M127)</f>
        <v>0</v>
      </c>
      <c r="X127" s="89">
        <f>SUMIFS('Tabela Federal'!$E$4:$E$2069,'Tabela Federal'!$D$4:$D$2069,'Carga Tributária doenças Po (2'!$N127)</f>
        <v>0</v>
      </c>
      <c r="Y127" s="89">
        <f>SUMIFS('Tabela Federal'!$E$4:$E$2069,'Tabela Federal'!$D$4:$D$2069,'Carga Tributária doenças Po (2'!$O127)</f>
        <v>0</v>
      </c>
      <c r="Z127" s="92" t="str">
        <f>VLOOKUP('Carga Tributária doenças Po (2'!$AD127,'Carga Tributária doenças Po (2'!$CA$12:$CC$16,2,0)</f>
        <v>+</v>
      </c>
      <c r="AA127" s="89" t="s">
        <v>348</v>
      </c>
      <c r="AB127" s="89" t="s">
        <v>21735</v>
      </c>
      <c r="AC127" s="89" t="s">
        <v>21721</v>
      </c>
      <c r="AD127" s="93" t="s">
        <v>21722</v>
      </c>
      <c r="AE127" s="92" t="s">
        <v>2</v>
      </c>
      <c r="AF127" s="92" t="s">
        <v>10</v>
      </c>
      <c r="AG127" s="94">
        <v>117302</v>
      </c>
      <c r="AH127" s="95">
        <v>5134073</v>
      </c>
      <c r="AI127" s="95">
        <v>11722739.93</v>
      </c>
      <c r="AJ127" s="89" t="s">
        <v>361</v>
      </c>
      <c r="AK127" s="89">
        <f>IF('Carga Tributária doenças Po (2'!$Z127="+",0,SUMIFS(PISCOFINS!$I$3:$I$10518,PISCOFINS!$C$3:$C$10518,'Carga Tributária doenças Po (2'!$C127))</f>
        <v>0</v>
      </c>
      <c r="AL127" s="89">
        <f>IF('Carga Tributária doenças Po (2'!$Z127="+",0,SUMIFS(PISCOFINS!$H$3:$H$10518,PISCOFINS!$C$3:$C$10518,'Carga Tributária doenças Po (2'!$C127))</f>
        <v>0</v>
      </c>
      <c r="AM127" s="95">
        <v>3.27</v>
      </c>
      <c r="AN127" s="95">
        <v>3.12</v>
      </c>
      <c r="AO127" s="95">
        <v>1.35</v>
      </c>
      <c r="AP127" s="96">
        <v>18</v>
      </c>
      <c r="AQ127" s="96">
        <v>12</v>
      </c>
      <c r="AR127" s="96">
        <v>17</v>
      </c>
      <c r="AS127" s="97">
        <v>17</v>
      </c>
      <c r="AT127" s="97">
        <v>19</v>
      </c>
      <c r="AU127" s="97">
        <v>12</v>
      </c>
      <c r="AV127" s="97">
        <v>17</v>
      </c>
      <c r="AW127" s="97">
        <v>17</v>
      </c>
      <c r="AX127" s="97">
        <v>17</v>
      </c>
      <c r="AY127" s="97">
        <v>17</v>
      </c>
      <c r="AZ127" s="97">
        <v>17</v>
      </c>
      <c r="BA127" s="97">
        <v>17</v>
      </c>
      <c r="BB127" s="97">
        <v>17</v>
      </c>
      <c r="BC127" s="97">
        <v>17</v>
      </c>
      <c r="BD127" s="97">
        <v>17</v>
      </c>
      <c r="BE127" s="97">
        <v>17</v>
      </c>
      <c r="BF127" s="97">
        <f>+Tabela1107[[#This Row],[PIS]]+Tabela1107[[#This Row],[COFINS]]+Tabela1107[[#This Row],[CONTRIB. FOLHA]]+Tabela1107[[#This Row],[TRIBUTOS S/ LUCRO]]+Tabela1107[[#This Row],[OUTROS]]+Tabela1107[[#This Row],[SP]]</f>
        <v>25.740000000000002</v>
      </c>
      <c r="BG127" s="97">
        <f>+Tabela1107[[#This Row],[PIS]]+Tabela1107[[#This Row],[COFINS]]+Tabela1107[[#This Row],[CONTRIB. FOLHA]]+Tabela1107[[#This Row],[TRIBUTOS S/ LUCRO]]+Tabela1107[[#This Row],[OUTROS]]+Tabela1107[[#This Row],[PR]]</f>
        <v>19.740000000000002</v>
      </c>
      <c r="BH127" s="97">
        <f>+Tabela1107[[#This Row],[PIS]]+Tabela1107[[#This Row],[COFINS]]+Tabela1107[[#This Row],[CONTRIB. FOLHA]]+Tabela1107[[#This Row],[TRIBUTOS S/ LUCRO]]+Tabela1107[[#This Row],[OUTROS]]+Tabela1107[[#This Row],[SC]]</f>
        <v>24.740000000000002</v>
      </c>
      <c r="BI127" s="97">
        <f>+Tabela1107[[#This Row],[PIS]]+Tabela1107[[#This Row],[COFINS]]+Tabela1107[[#This Row],[CONTRIB. FOLHA]]+Tabela1107[[#This Row],[TRIBUTOS S/ LUCRO]]+Tabela1107[[#This Row],[OUTROS]]+Tabela1107[[#This Row],[RS]]</f>
        <v>24.740000000000002</v>
      </c>
      <c r="BJ127" s="97">
        <f>+Tabela1107[[#This Row],[PIS]]+Tabela1107[[#This Row],[COFINS]]+Tabela1107[[#This Row],[CONTRIB. FOLHA]]+Tabela1107[[#This Row],[TRIBUTOS S/ LUCRO]]+Tabela1107[[#This Row],[OUTROS]]+Tabela1107[[#This Row],[RJ]]</f>
        <v>26.740000000000002</v>
      </c>
      <c r="BK127" s="97">
        <f>+Tabela1107[[#This Row],[PIS]]+Tabela1107[[#This Row],[COFINS]]+Tabela1107[[#This Row],[CONTRIB. FOLHA]]+Tabela1107[[#This Row],[TRIBUTOS S/ LUCRO]]+Tabela1107[[#This Row],[OUTROS]]+Tabela1107[[#This Row],[MG]]</f>
        <v>19.740000000000002</v>
      </c>
      <c r="BL127" s="97">
        <f>+Tabela1107[[#This Row],[PIS]]+Tabela1107[[#This Row],[COFINS]]+Tabela1107[[#This Row],[CONTRIB. FOLHA]]+Tabela1107[[#This Row],[TRIBUTOS S/ LUCRO]]+Tabela1107[[#This Row],[OUTROS]]+Tabela1107[[#This Row],[ES]]</f>
        <v>24.740000000000002</v>
      </c>
      <c r="BM127" s="97">
        <f>+Tabela1107[[#This Row],[PIS]]+Tabela1107[[#This Row],[COFINS]]+Tabela1107[[#This Row],[CONTRIB. FOLHA]]+Tabela1107[[#This Row],[TRIBUTOS S/ LUCRO]]+Tabela1107[[#This Row],[OUTROS]]+Tabela1107[[#This Row],[GO]]</f>
        <v>24.740000000000002</v>
      </c>
      <c r="BN127" s="97">
        <f>+Tabela1107[[#This Row],[PIS]]+Tabela1107[[#This Row],[COFINS]]+Tabela1107[[#This Row],[CONTRIB. FOLHA]]+Tabela1107[[#This Row],[TRIBUTOS S/ LUCRO]]+Tabela1107[[#This Row],[OUTROS]]+Tabela1107[[#This Row],[MT]]</f>
        <v>24.740000000000002</v>
      </c>
      <c r="BO127" s="97">
        <f>+Tabela1107[[#This Row],[PIS]]+Tabela1107[[#This Row],[COFINS]]+Tabela1107[[#This Row],[CONTRIB. FOLHA]]+Tabela1107[[#This Row],[TRIBUTOS S/ LUCRO]]+Tabela1107[[#This Row],[OUTROS]]+Tabela1107[[#This Row],[MS]]</f>
        <v>24.740000000000002</v>
      </c>
      <c r="BP127" s="97">
        <f>+Tabela1107[[#This Row],[PIS]]+Tabela1107[[#This Row],[COFINS]]+Tabela1107[[#This Row],[CONTRIB. FOLHA]]+Tabela1107[[#This Row],[TRIBUTOS S/ LUCRO]]+Tabela1107[[#This Row],[OUTROS]]+Tabela1107[[#This Row],[DF]]</f>
        <v>24.740000000000002</v>
      </c>
      <c r="BQ127" s="97">
        <f>+Tabela1107[[#This Row],[PIS]]+Tabela1107[[#This Row],[COFINS]]+Tabela1107[[#This Row],[CONTRIB. FOLHA]]+Tabela1107[[#This Row],[TRIBUTOS S/ LUCRO]]+Tabela1107[[#This Row],[OUTROS]]+Tabela1107[[#This Row],[BA]]</f>
        <v>24.740000000000002</v>
      </c>
      <c r="BR127" s="97">
        <f>+Tabela1107[[#This Row],[PIS]]+Tabela1107[[#This Row],[COFINS]]+Tabela1107[[#This Row],[CONTRIB. FOLHA]]+Tabela1107[[#This Row],[TRIBUTOS S/ LUCRO]]+Tabela1107[[#This Row],[OUTROS]]+Tabela1107[[#This Row],[BA]]</f>
        <v>24.740000000000002</v>
      </c>
      <c r="BS127" s="97">
        <f>+Tabela1107[[#This Row],[PIS]]+Tabela1107[[#This Row],[COFINS]]+Tabela1107[[#This Row],[CONTRIB. FOLHA]]+Tabela1107[[#This Row],[TRIBUTOS S/ LUCRO]]+Tabela1107[[#This Row],[OUTROS]]+Tabela1107[[#This Row],[PE]]</f>
        <v>24.740000000000002</v>
      </c>
      <c r="BT127" s="97">
        <f>+Tabela1107[[#This Row],[PIS]]+Tabela1107[[#This Row],[COFINS]]+Tabela1107[[#This Row],[CONTRIB. FOLHA]]+Tabela1107[[#This Row],[TRIBUTOS S/ LUCRO]]+Tabela1107[[#This Row],[OUTROS]]+Tabela1107[[#This Row],[PA]]</f>
        <v>24.740000000000002</v>
      </c>
      <c r="BU127" s="97">
        <f>+Tabela1107[[#This Row],[PIS]]+Tabela1107[[#This Row],[COFINS]]+Tabela1107[[#This Row],[CONTRIB. FOLHA]]+Tabela1107[[#This Row],[TRIBUTOS S/ LUCRO]]+Tabela1107[[#This Row],[OUTROS]]+Tabela1107[[#This Row],[AM]]</f>
        <v>24.740000000000002</v>
      </c>
      <c r="BV127" s="97">
        <f>AVERAGE(Tabela1107[[#This Row],[TOTAL SP]:[TOTAL AM]])</f>
        <v>24.302500000000006</v>
      </c>
      <c r="BW127" s="97"/>
      <c r="BX127" s="97"/>
    </row>
    <row r="128" spans="2:76" x14ac:dyDescent="0.25">
      <c r="B128" s="89">
        <v>17738</v>
      </c>
      <c r="C128" s="91" t="s">
        <v>13151</v>
      </c>
      <c r="D128" s="89"/>
      <c r="E128" s="89">
        <v>20140626</v>
      </c>
      <c r="F128" s="89" t="s">
        <v>20995</v>
      </c>
      <c r="G128" s="89" t="s">
        <v>20996</v>
      </c>
      <c r="H128" s="89" t="s">
        <v>20997</v>
      </c>
      <c r="I128" s="89" t="s">
        <v>2645</v>
      </c>
      <c r="J128" s="89" t="s">
        <v>122</v>
      </c>
      <c r="K128" s="89"/>
      <c r="L128" s="89" t="s">
        <v>2645</v>
      </c>
      <c r="M128" s="89" t="s">
        <v>4496</v>
      </c>
      <c r="N128" s="89" t="s">
        <v>4496</v>
      </c>
      <c r="O128" s="89" t="s">
        <v>4496</v>
      </c>
      <c r="P128" s="89" t="s">
        <v>4496</v>
      </c>
      <c r="Q128" s="89"/>
      <c r="R128" s="89" t="s">
        <v>52</v>
      </c>
      <c r="S128" s="89" t="s">
        <v>21652</v>
      </c>
      <c r="T128" s="89" t="s">
        <v>21653</v>
      </c>
      <c r="U128" s="89" t="str">
        <f>TRIM('Carga Tributária doenças Po (2'!$L128)</f>
        <v>CLORIDRATO DE METFORMINA</v>
      </c>
      <c r="V128" s="89">
        <f>SUMIFS('Tabela Federal'!$E$4:$E$2069,'Tabela Federal'!$D$4:$D$2069,'Carga Tributária doenças Po (2'!$L128)</f>
        <v>9</v>
      </c>
      <c r="W128" s="89">
        <f>SUMIFS('Tabela Federal'!$E$4:$E$2069,'Tabela Federal'!$D$4:$D$2069,'Carga Tributária doenças Po (2'!$M128)</f>
        <v>0</v>
      </c>
      <c r="X128" s="89">
        <f>SUMIFS('Tabela Federal'!$E$4:$E$2069,'Tabela Federal'!$D$4:$D$2069,'Carga Tributária doenças Po (2'!$N128)</f>
        <v>0</v>
      </c>
      <c r="Y128" s="89">
        <f>SUMIFS('Tabela Federal'!$E$4:$E$2069,'Tabela Federal'!$D$4:$D$2069,'Carga Tributária doenças Po (2'!$O128)</f>
        <v>0</v>
      </c>
      <c r="Z128" s="92" t="str">
        <f>VLOOKUP('Carga Tributária doenças Po (2'!$AD128,'Carga Tributária doenças Po (2'!$CA$12:$CC$16,2,0)</f>
        <v>+</v>
      </c>
      <c r="AA128" s="89" t="s">
        <v>121</v>
      </c>
      <c r="AB128" s="89" t="s">
        <v>21781</v>
      </c>
      <c r="AC128" s="89" t="s">
        <v>21721</v>
      </c>
      <c r="AD128" s="93" t="s">
        <v>21722</v>
      </c>
      <c r="AE128" s="92" t="s">
        <v>2</v>
      </c>
      <c r="AF128" s="92" t="s">
        <v>10</v>
      </c>
      <c r="AG128" s="94">
        <v>2186933</v>
      </c>
      <c r="AH128" s="95">
        <v>8997740</v>
      </c>
      <c r="AI128" s="95">
        <v>20559236.170000002</v>
      </c>
      <c r="AJ128" s="89" t="s">
        <v>127</v>
      </c>
      <c r="AK128" s="89">
        <f>IF('Carga Tributária doenças Po (2'!$Z128="+",0,SUMIFS(PISCOFINS!$I$3:$I$10518,PISCOFINS!$C$3:$C$10518,'Carga Tributária doenças Po (2'!$C128))</f>
        <v>0</v>
      </c>
      <c r="AL128" s="89">
        <f>IF('Carga Tributária doenças Po (2'!$Z128="+",0,SUMIFS(PISCOFINS!$H$3:$H$10518,PISCOFINS!$C$3:$C$10518,'Carga Tributária doenças Po (2'!$C128))</f>
        <v>0</v>
      </c>
      <c r="AM128" s="95">
        <v>3.27</v>
      </c>
      <c r="AN128" s="95">
        <v>3.12</v>
      </c>
      <c r="AO128" s="95">
        <v>1.35</v>
      </c>
      <c r="AP128" s="96">
        <v>18</v>
      </c>
      <c r="AQ128" s="96">
        <v>12</v>
      </c>
      <c r="AR128" s="96">
        <v>17</v>
      </c>
      <c r="AS128" s="97">
        <v>17</v>
      </c>
      <c r="AT128" s="97">
        <v>19</v>
      </c>
      <c r="AU128" s="97">
        <v>12</v>
      </c>
      <c r="AV128" s="97">
        <v>17</v>
      </c>
      <c r="AW128" s="97">
        <v>17</v>
      </c>
      <c r="AX128" s="97">
        <v>17</v>
      </c>
      <c r="AY128" s="97">
        <v>17</v>
      </c>
      <c r="AZ128" s="97">
        <v>17</v>
      </c>
      <c r="BA128" s="97">
        <v>17</v>
      </c>
      <c r="BB128" s="97">
        <v>17</v>
      </c>
      <c r="BC128" s="97">
        <v>17</v>
      </c>
      <c r="BD128" s="97">
        <v>17</v>
      </c>
      <c r="BE128" s="97">
        <v>17</v>
      </c>
      <c r="BF128" s="97">
        <f>+Tabela1107[[#This Row],[PIS]]+Tabela1107[[#This Row],[COFINS]]+Tabela1107[[#This Row],[CONTRIB. FOLHA]]+Tabela1107[[#This Row],[TRIBUTOS S/ LUCRO]]+Tabela1107[[#This Row],[OUTROS]]+Tabela1107[[#This Row],[SP]]</f>
        <v>25.740000000000002</v>
      </c>
      <c r="BG128" s="97">
        <f>+Tabela1107[[#This Row],[PIS]]+Tabela1107[[#This Row],[COFINS]]+Tabela1107[[#This Row],[CONTRIB. FOLHA]]+Tabela1107[[#This Row],[TRIBUTOS S/ LUCRO]]+Tabela1107[[#This Row],[OUTROS]]+Tabela1107[[#This Row],[PR]]</f>
        <v>19.740000000000002</v>
      </c>
      <c r="BH128" s="97">
        <f>+Tabela1107[[#This Row],[PIS]]+Tabela1107[[#This Row],[COFINS]]+Tabela1107[[#This Row],[CONTRIB. FOLHA]]+Tabela1107[[#This Row],[TRIBUTOS S/ LUCRO]]+Tabela1107[[#This Row],[OUTROS]]+Tabela1107[[#This Row],[SC]]</f>
        <v>24.740000000000002</v>
      </c>
      <c r="BI128" s="97">
        <f>+Tabela1107[[#This Row],[PIS]]+Tabela1107[[#This Row],[COFINS]]+Tabela1107[[#This Row],[CONTRIB. FOLHA]]+Tabela1107[[#This Row],[TRIBUTOS S/ LUCRO]]+Tabela1107[[#This Row],[OUTROS]]+Tabela1107[[#This Row],[RS]]</f>
        <v>24.740000000000002</v>
      </c>
      <c r="BJ128" s="97">
        <f>+Tabela1107[[#This Row],[PIS]]+Tabela1107[[#This Row],[COFINS]]+Tabela1107[[#This Row],[CONTRIB. FOLHA]]+Tabela1107[[#This Row],[TRIBUTOS S/ LUCRO]]+Tabela1107[[#This Row],[OUTROS]]+Tabela1107[[#This Row],[RJ]]</f>
        <v>26.740000000000002</v>
      </c>
      <c r="BK128" s="97">
        <f>+Tabela1107[[#This Row],[PIS]]+Tabela1107[[#This Row],[COFINS]]+Tabela1107[[#This Row],[CONTRIB. FOLHA]]+Tabela1107[[#This Row],[TRIBUTOS S/ LUCRO]]+Tabela1107[[#This Row],[OUTROS]]+Tabela1107[[#This Row],[MG]]</f>
        <v>19.740000000000002</v>
      </c>
      <c r="BL128" s="97">
        <f>+Tabela1107[[#This Row],[PIS]]+Tabela1107[[#This Row],[COFINS]]+Tabela1107[[#This Row],[CONTRIB. FOLHA]]+Tabela1107[[#This Row],[TRIBUTOS S/ LUCRO]]+Tabela1107[[#This Row],[OUTROS]]+Tabela1107[[#This Row],[ES]]</f>
        <v>24.740000000000002</v>
      </c>
      <c r="BM128" s="97">
        <f>+Tabela1107[[#This Row],[PIS]]+Tabela1107[[#This Row],[COFINS]]+Tabela1107[[#This Row],[CONTRIB. FOLHA]]+Tabela1107[[#This Row],[TRIBUTOS S/ LUCRO]]+Tabela1107[[#This Row],[OUTROS]]+Tabela1107[[#This Row],[GO]]</f>
        <v>24.740000000000002</v>
      </c>
      <c r="BN128" s="97">
        <f>+Tabela1107[[#This Row],[PIS]]+Tabela1107[[#This Row],[COFINS]]+Tabela1107[[#This Row],[CONTRIB. FOLHA]]+Tabela1107[[#This Row],[TRIBUTOS S/ LUCRO]]+Tabela1107[[#This Row],[OUTROS]]+Tabela1107[[#This Row],[MT]]</f>
        <v>24.740000000000002</v>
      </c>
      <c r="BO128" s="97">
        <f>+Tabela1107[[#This Row],[PIS]]+Tabela1107[[#This Row],[COFINS]]+Tabela1107[[#This Row],[CONTRIB. FOLHA]]+Tabela1107[[#This Row],[TRIBUTOS S/ LUCRO]]+Tabela1107[[#This Row],[OUTROS]]+Tabela1107[[#This Row],[MS]]</f>
        <v>24.740000000000002</v>
      </c>
      <c r="BP128" s="97">
        <f>+Tabela1107[[#This Row],[PIS]]+Tabela1107[[#This Row],[COFINS]]+Tabela1107[[#This Row],[CONTRIB. FOLHA]]+Tabela1107[[#This Row],[TRIBUTOS S/ LUCRO]]+Tabela1107[[#This Row],[OUTROS]]+Tabela1107[[#This Row],[DF]]</f>
        <v>24.740000000000002</v>
      </c>
      <c r="BQ128" s="97">
        <f>+Tabela1107[[#This Row],[PIS]]+Tabela1107[[#This Row],[COFINS]]+Tabela1107[[#This Row],[CONTRIB. FOLHA]]+Tabela1107[[#This Row],[TRIBUTOS S/ LUCRO]]+Tabela1107[[#This Row],[OUTROS]]+Tabela1107[[#This Row],[BA]]</f>
        <v>24.740000000000002</v>
      </c>
      <c r="BR128" s="97">
        <f>+Tabela1107[[#This Row],[PIS]]+Tabela1107[[#This Row],[COFINS]]+Tabela1107[[#This Row],[CONTRIB. FOLHA]]+Tabela1107[[#This Row],[TRIBUTOS S/ LUCRO]]+Tabela1107[[#This Row],[OUTROS]]+Tabela1107[[#This Row],[BA]]</f>
        <v>24.740000000000002</v>
      </c>
      <c r="BS128" s="97">
        <f>+Tabela1107[[#This Row],[PIS]]+Tabela1107[[#This Row],[COFINS]]+Tabela1107[[#This Row],[CONTRIB. FOLHA]]+Tabela1107[[#This Row],[TRIBUTOS S/ LUCRO]]+Tabela1107[[#This Row],[OUTROS]]+Tabela1107[[#This Row],[PE]]</f>
        <v>24.740000000000002</v>
      </c>
      <c r="BT128" s="97">
        <f>+Tabela1107[[#This Row],[PIS]]+Tabela1107[[#This Row],[COFINS]]+Tabela1107[[#This Row],[CONTRIB. FOLHA]]+Tabela1107[[#This Row],[TRIBUTOS S/ LUCRO]]+Tabela1107[[#This Row],[OUTROS]]+Tabela1107[[#This Row],[PA]]</f>
        <v>24.740000000000002</v>
      </c>
      <c r="BU128" s="97">
        <f>+Tabela1107[[#This Row],[PIS]]+Tabela1107[[#This Row],[COFINS]]+Tabela1107[[#This Row],[CONTRIB. FOLHA]]+Tabela1107[[#This Row],[TRIBUTOS S/ LUCRO]]+Tabela1107[[#This Row],[OUTROS]]+Tabela1107[[#This Row],[AM]]</f>
        <v>24.740000000000002</v>
      </c>
      <c r="BV128" s="97">
        <f>AVERAGE(Tabela1107[[#This Row],[TOTAL SP]:[TOTAL AM]])</f>
        <v>24.302500000000006</v>
      </c>
      <c r="BW128" s="97"/>
      <c r="BX128" s="97"/>
    </row>
    <row r="129" spans="2:76" x14ac:dyDescent="0.25">
      <c r="B129" s="89">
        <v>17739</v>
      </c>
      <c r="C129" s="91" t="s">
        <v>13151</v>
      </c>
      <c r="D129" s="89"/>
      <c r="E129" s="89">
        <v>20140626</v>
      </c>
      <c r="F129" s="89" t="s">
        <v>21259</v>
      </c>
      <c r="G129" s="89" t="s">
        <v>21260</v>
      </c>
      <c r="H129" s="89" t="s">
        <v>21261</v>
      </c>
      <c r="I129" s="89" t="s">
        <v>2645</v>
      </c>
      <c r="J129" s="89" t="s">
        <v>122</v>
      </c>
      <c r="K129" s="89"/>
      <c r="L129" s="89" t="s">
        <v>2645</v>
      </c>
      <c r="M129" s="89" t="s">
        <v>4496</v>
      </c>
      <c r="N129" s="89" t="s">
        <v>4496</v>
      </c>
      <c r="O129" s="89" t="s">
        <v>4496</v>
      </c>
      <c r="P129" s="89" t="s">
        <v>4496</v>
      </c>
      <c r="Q129" s="89"/>
      <c r="R129" s="89" t="s">
        <v>123</v>
      </c>
      <c r="S129" s="89" t="s">
        <v>21570</v>
      </c>
      <c r="T129" s="89" t="s">
        <v>21571</v>
      </c>
      <c r="U129" s="89" t="str">
        <f>TRIM('Carga Tributária doenças Po (2'!$L129)</f>
        <v>CLORIDRATO DE METFORMINA</v>
      </c>
      <c r="V129" s="89">
        <f>SUMIFS('Tabela Federal'!$E$4:$E$2069,'Tabela Federal'!$D$4:$D$2069,'Carga Tributária doenças Po (2'!$L129)</f>
        <v>9</v>
      </c>
      <c r="W129" s="89">
        <f>SUMIFS('Tabela Federal'!$E$4:$E$2069,'Tabela Federal'!$D$4:$D$2069,'Carga Tributária doenças Po (2'!$M129)</f>
        <v>0</v>
      </c>
      <c r="X129" s="89">
        <f>SUMIFS('Tabela Federal'!$E$4:$E$2069,'Tabela Federal'!$D$4:$D$2069,'Carga Tributária doenças Po (2'!$N129)</f>
        <v>0</v>
      </c>
      <c r="Y129" s="89">
        <f>SUMIFS('Tabela Federal'!$E$4:$E$2069,'Tabela Federal'!$D$4:$D$2069,'Carga Tributária doenças Po (2'!$O129)</f>
        <v>0</v>
      </c>
      <c r="Z129" s="92" t="str">
        <f>VLOOKUP('Carga Tributária doenças Po (2'!$AD129,'Carga Tributária doenças Po (2'!$CA$12:$CC$16,2,0)</f>
        <v>+</v>
      </c>
      <c r="AA129" s="89" t="s">
        <v>121</v>
      </c>
      <c r="AB129" s="89" t="s">
        <v>21781</v>
      </c>
      <c r="AC129" s="89" t="s">
        <v>21721</v>
      </c>
      <c r="AD129" s="93" t="s">
        <v>21722</v>
      </c>
      <c r="AE129" s="92" t="s">
        <v>2</v>
      </c>
      <c r="AF129" s="92" t="s">
        <v>10</v>
      </c>
      <c r="AG129" s="94">
        <v>3082160</v>
      </c>
      <c r="AH129" s="95">
        <v>6056659</v>
      </c>
      <c r="AI129" s="95">
        <v>13795919</v>
      </c>
      <c r="AJ129" s="89" t="s">
        <v>127</v>
      </c>
      <c r="AK129" s="89">
        <f>IF('Carga Tributária doenças Po (2'!$Z129="+",0,SUMIFS(PISCOFINS!$I$3:$I$10518,PISCOFINS!$C$3:$C$10518,'Carga Tributária doenças Po (2'!$C129))</f>
        <v>0</v>
      </c>
      <c r="AL129" s="89">
        <f>IF('Carga Tributária doenças Po (2'!$Z129="+",0,SUMIFS(PISCOFINS!$H$3:$H$10518,PISCOFINS!$C$3:$C$10518,'Carga Tributária doenças Po (2'!$C129))</f>
        <v>0</v>
      </c>
      <c r="AM129" s="95">
        <v>3.27</v>
      </c>
      <c r="AN129" s="95">
        <v>3.12</v>
      </c>
      <c r="AO129" s="95">
        <v>1.35</v>
      </c>
      <c r="AP129" s="96">
        <v>18</v>
      </c>
      <c r="AQ129" s="96">
        <v>12</v>
      </c>
      <c r="AR129" s="96">
        <v>17</v>
      </c>
      <c r="AS129" s="97">
        <v>17</v>
      </c>
      <c r="AT129" s="97">
        <v>19</v>
      </c>
      <c r="AU129" s="97">
        <v>12</v>
      </c>
      <c r="AV129" s="97">
        <v>17</v>
      </c>
      <c r="AW129" s="97">
        <v>17</v>
      </c>
      <c r="AX129" s="97">
        <v>17</v>
      </c>
      <c r="AY129" s="97">
        <v>17</v>
      </c>
      <c r="AZ129" s="97">
        <v>17</v>
      </c>
      <c r="BA129" s="97">
        <v>17</v>
      </c>
      <c r="BB129" s="97">
        <v>17</v>
      </c>
      <c r="BC129" s="97">
        <v>17</v>
      </c>
      <c r="BD129" s="97">
        <v>17</v>
      </c>
      <c r="BE129" s="97">
        <v>17</v>
      </c>
      <c r="BF129" s="97">
        <f>+Tabela1107[[#This Row],[PIS]]+Tabela1107[[#This Row],[COFINS]]+Tabela1107[[#This Row],[CONTRIB. FOLHA]]+Tabela1107[[#This Row],[TRIBUTOS S/ LUCRO]]+Tabela1107[[#This Row],[OUTROS]]+Tabela1107[[#This Row],[SP]]</f>
        <v>25.740000000000002</v>
      </c>
      <c r="BG129" s="97">
        <f>+Tabela1107[[#This Row],[PIS]]+Tabela1107[[#This Row],[COFINS]]+Tabela1107[[#This Row],[CONTRIB. FOLHA]]+Tabela1107[[#This Row],[TRIBUTOS S/ LUCRO]]+Tabela1107[[#This Row],[OUTROS]]+Tabela1107[[#This Row],[PR]]</f>
        <v>19.740000000000002</v>
      </c>
      <c r="BH129" s="97">
        <f>+Tabela1107[[#This Row],[PIS]]+Tabela1107[[#This Row],[COFINS]]+Tabela1107[[#This Row],[CONTRIB. FOLHA]]+Tabela1107[[#This Row],[TRIBUTOS S/ LUCRO]]+Tabela1107[[#This Row],[OUTROS]]+Tabela1107[[#This Row],[SC]]</f>
        <v>24.740000000000002</v>
      </c>
      <c r="BI129" s="97">
        <f>+Tabela1107[[#This Row],[PIS]]+Tabela1107[[#This Row],[COFINS]]+Tabela1107[[#This Row],[CONTRIB. FOLHA]]+Tabela1107[[#This Row],[TRIBUTOS S/ LUCRO]]+Tabela1107[[#This Row],[OUTROS]]+Tabela1107[[#This Row],[RS]]</f>
        <v>24.740000000000002</v>
      </c>
      <c r="BJ129" s="97">
        <f>+Tabela1107[[#This Row],[PIS]]+Tabela1107[[#This Row],[COFINS]]+Tabela1107[[#This Row],[CONTRIB. FOLHA]]+Tabela1107[[#This Row],[TRIBUTOS S/ LUCRO]]+Tabela1107[[#This Row],[OUTROS]]+Tabela1107[[#This Row],[RJ]]</f>
        <v>26.740000000000002</v>
      </c>
      <c r="BK129" s="97">
        <f>+Tabela1107[[#This Row],[PIS]]+Tabela1107[[#This Row],[COFINS]]+Tabela1107[[#This Row],[CONTRIB. FOLHA]]+Tabela1107[[#This Row],[TRIBUTOS S/ LUCRO]]+Tabela1107[[#This Row],[OUTROS]]+Tabela1107[[#This Row],[MG]]</f>
        <v>19.740000000000002</v>
      </c>
      <c r="BL129" s="97">
        <f>+Tabela1107[[#This Row],[PIS]]+Tabela1107[[#This Row],[COFINS]]+Tabela1107[[#This Row],[CONTRIB. FOLHA]]+Tabela1107[[#This Row],[TRIBUTOS S/ LUCRO]]+Tabela1107[[#This Row],[OUTROS]]+Tabela1107[[#This Row],[ES]]</f>
        <v>24.740000000000002</v>
      </c>
      <c r="BM129" s="97">
        <f>+Tabela1107[[#This Row],[PIS]]+Tabela1107[[#This Row],[COFINS]]+Tabela1107[[#This Row],[CONTRIB. FOLHA]]+Tabela1107[[#This Row],[TRIBUTOS S/ LUCRO]]+Tabela1107[[#This Row],[OUTROS]]+Tabela1107[[#This Row],[GO]]</f>
        <v>24.740000000000002</v>
      </c>
      <c r="BN129" s="97">
        <f>+Tabela1107[[#This Row],[PIS]]+Tabela1107[[#This Row],[COFINS]]+Tabela1107[[#This Row],[CONTRIB. FOLHA]]+Tabela1107[[#This Row],[TRIBUTOS S/ LUCRO]]+Tabela1107[[#This Row],[OUTROS]]+Tabela1107[[#This Row],[MT]]</f>
        <v>24.740000000000002</v>
      </c>
      <c r="BO129" s="97">
        <f>+Tabela1107[[#This Row],[PIS]]+Tabela1107[[#This Row],[COFINS]]+Tabela1107[[#This Row],[CONTRIB. FOLHA]]+Tabela1107[[#This Row],[TRIBUTOS S/ LUCRO]]+Tabela1107[[#This Row],[OUTROS]]+Tabela1107[[#This Row],[MS]]</f>
        <v>24.740000000000002</v>
      </c>
      <c r="BP129" s="97">
        <f>+Tabela1107[[#This Row],[PIS]]+Tabela1107[[#This Row],[COFINS]]+Tabela1107[[#This Row],[CONTRIB. FOLHA]]+Tabela1107[[#This Row],[TRIBUTOS S/ LUCRO]]+Tabela1107[[#This Row],[OUTROS]]+Tabela1107[[#This Row],[DF]]</f>
        <v>24.740000000000002</v>
      </c>
      <c r="BQ129" s="97">
        <f>+Tabela1107[[#This Row],[PIS]]+Tabela1107[[#This Row],[COFINS]]+Tabela1107[[#This Row],[CONTRIB. FOLHA]]+Tabela1107[[#This Row],[TRIBUTOS S/ LUCRO]]+Tabela1107[[#This Row],[OUTROS]]+Tabela1107[[#This Row],[BA]]</f>
        <v>24.740000000000002</v>
      </c>
      <c r="BR129" s="97">
        <f>+Tabela1107[[#This Row],[PIS]]+Tabela1107[[#This Row],[COFINS]]+Tabela1107[[#This Row],[CONTRIB. FOLHA]]+Tabela1107[[#This Row],[TRIBUTOS S/ LUCRO]]+Tabela1107[[#This Row],[OUTROS]]+Tabela1107[[#This Row],[BA]]</f>
        <v>24.740000000000002</v>
      </c>
      <c r="BS129" s="97">
        <f>+Tabela1107[[#This Row],[PIS]]+Tabela1107[[#This Row],[COFINS]]+Tabela1107[[#This Row],[CONTRIB. FOLHA]]+Tabela1107[[#This Row],[TRIBUTOS S/ LUCRO]]+Tabela1107[[#This Row],[OUTROS]]+Tabela1107[[#This Row],[PE]]</f>
        <v>24.740000000000002</v>
      </c>
      <c r="BT129" s="97">
        <f>+Tabela1107[[#This Row],[PIS]]+Tabela1107[[#This Row],[COFINS]]+Tabela1107[[#This Row],[CONTRIB. FOLHA]]+Tabela1107[[#This Row],[TRIBUTOS S/ LUCRO]]+Tabela1107[[#This Row],[OUTROS]]+Tabela1107[[#This Row],[PA]]</f>
        <v>24.740000000000002</v>
      </c>
      <c r="BU129" s="97">
        <f>+Tabela1107[[#This Row],[PIS]]+Tabela1107[[#This Row],[COFINS]]+Tabela1107[[#This Row],[CONTRIB. FOLHA]]+Tabela1107[[#This Row],[TRIBUTOS S/ LUCRO]]+Tabela1107[[#This Row],[OUTROS]]+Tabela1107[[#This Row],[AM]]</f>
        <v>24.740000000000002</v>
      </c>
      <c r="BV129" s="97">
        <f>AVERAGE(Tabela1107[[#This Row],[TOTAL SP]:[TOTAL AM]])</f>
        <v>24.302500000000006</v>
      </c>
      <c r="BW129" s="97"/>
      <c r="BX129" s="97"/>
    </row>
    <row r="130" spans="2:76" x14ac:dyDescent="0.25">
      <c r="B130" s="89">
        <v>17781</v>
      </c>
      <c r="C130" s="91" t="s">
        <v>13151</v>
      </c>
      <c r="D130" s="89"/>
      <c r="E130" s="89">
        <v>20140626</v>
      </c>
      <c r="F130" s="89" t="s">
        <v>21468</v>
      </c>
      <c r="G130" s="89" t="s">
        <v>21469</v>
      </c>
      <c r="H130" s="89" t="s">
        <v>21470</v>
      </c>
      <c r="I130" s="89" t="s">
        <v>2645</v>
      </c>
      <c r="J130" s="89" t="s">
        <v>124</v>
      </c>
      <c r="K130" s="89"/>
      <c r="L130" s="89" t="s">
        <v>2645</v>
      </c>
      <c r="M130" s="89" t="s">
        <v>4496</v>
      </c>
      <c r="N130" s="89" t="s">
        <v>4496</v>
      </c>
      <c r="O130" s="89" t="s">
        <v>4496</v>
      </c>
      <c r="P130" s="89" t="s">
        <v>4496</v>
      </c>
      <c r="Q130" s="89"/>
      <c r="R130" s="89" t="s">
        <v>64</v>
      </c>
      <c r="S130" s="89" t="s">
        <v>21698</v>
      </c>
      <c r="T130" s="89" t="s">
        <v>21699</v>
      </c>
      <c r="U130" s="89" t="str">
        <f>TRIM('Carga Tributária doenças Po (2'!$L130)</f>
        <v>CLORIDRATO DE METFORMINA</v>
      </c>
      <c r="V130" s="89">
        <f>SUMIFS('Tabela Federal'!$E$4:$E$2069,'Tabela Federal'!$D$4:$D$2069,'Carga Tributária doenças Po (2'!$L130)</f>
        <v>9</v>
      </c>
      <c r="W130" s="89">
        <f>SUMIFS('Tabela Federal'!$E$4:$E$2069,'Tabela Federal'!$D$4:$D$2069,'Carga Tributária doenças Po (2'!$M130)</f>
        <v>0</v>
      </c>
      <c r="X130" s="89">
        <f>SUMIFS('Tabela Federal'!$E$4:$E$2069,'Tabela Federal'!$D$4:$D$2069,'Carga Tributária doenças Po (2'!$N130)</f>
        <v>0</v>
      </c>
      <c r="Y130" s="89">
        <f>SUMIFS('Tabela Federal'!$E$4:$E$2069,'Tabela Federal'!$D$4:$D$2069,'Carga Tributária doenças Po (2'!$O130)</f>
        <v>0</v>
      </c>
      <c r="Z130" s="92" t="str">
        <f>VLOOKUP('Carga Tributária doenças Po (2'!$AD130,'Carga Tributária doenças Po (2'!$CA$12:$CC$16,2,0)</f>
        <v>+</v>
      </c>
      <c r="AA130" s="89" t="s">
        <v>121</v>
      </c>
      <c r="AB130" s="89" t="s">
        <v>21781</v>
      </c>
      <c r="AC130" s="89" t="s">
        <v>21721</v>
      </c>
      <c r="AD130" s="93" t="s">
        <v>21722</v>
      </c>
      <c r="AE130" s="92" t="s">
        <v>2</v>
      </c>
      <c r="AF130" s="92" t="s">
        <v>10</v>
      </c>
      <c r="AG130" s="94">
        <v>2994645</v>
      </c>
      <c r="AH130" s="95">
        <v>12272426</v>
      </c>
      <c r="AI130" s="95">
        <v>28048600.890000001</v>
      </c>
      <c r="AJ130" s="89" t="s">
        <v>127</v>
      </c>
      <c r="AK130" s="89">
        <f>IF('Carga Tributária doenças Po (2'!$Z130="+",0,SUMIFS(PISCOFINS!$I$3:$I$10518,PISCOFINS!$C$3:$C$10518,'Carga Tributária doenças Po (2'!$C130))</f>
        <v>0</v>
      </c>
      <c r="AL130" s="89">
        <f>IF('Carga Tributária doenças Po (2'!$Z130="+",0,SUMIFS(PISCOFINS!$H$3:$H$10518,PISCOFINS!$C$3:$C$10518,'Carga Tributária doenças Po (2'!$C130))</f>
        <v>0</v>
      </c>
      <c r="AM130" s="95">
        <v>3.27</v>
      </c>
      <c r="AN130" s="95">
        <v>3.12</v>
      </c>
      <c r="AO130" s="95">
        <v>1.35</v>
      </c>
      <c r="AP130" s="96">
        <v>18</v>
      </c>
      <c r="AQ130" s="96">
        <v>12</v>
      </c>
      <c r="AR130" s="96">
        <v>17</v>
      </c>
      <c r="AS130" s="97">
        <v>17</v>
      </c>
      <c r="AT130" s="97">
        <v>19</v>
      </c>
      <c r="AU130" s="97">
        <v>12</v>
      </c>
      <c r="AV130" s="97">
        <v>17</v>
      </c>
      <c r="AW130" s="97">
        <v>17</v>
      </c>
      <c r="AX130" s="97">
        <v>17</v>
      </c>
      <c r="AY130" s="97">
        <v>17</v>
      </c>
      <c r="AZ130" s="97">
        <v>17</v>
      </c>
      <c r="BA130" s="97">
        <v>17</v>
      </c>
      <c r="BB130" s="97">
        <v>17</v>
      </c>
      <c r="BC130" s="97">
        <v>17</v>
      </c>
      <c r="BD130" s="97">
        <v>17</v>
      </c>
      <c r="BE130" s="97">
        <v>17</v>
      </c>
      <c r="BF130" s="97">
        <f>+Tabela1107[[#This Row],[PIS]]+Tabela1107[[#This Row],[COFINS]]+Tabela1107[[#This Row],[CONTRIB. FOLHA]]+Tabela1107[[#This Row],[TRIBUTOS S/ LUCRO]]+Tabela1107[[#This Row],[OUTROS]]+Tabela1107[[#This Row],[SP]]</f>
        <v>25.740000000000002</v>
      </c>
      <c r="BG130" s="97">
        <f>+Tabela1107[[#This Row],[PIS]]+Tabela1107[[#This Row],[COFINS]]+Tabela1107[[#This Row],[CONTRIB. FOLHA]]+Tabela1107[[#This Row],[TRIBUTOS S/ LUCRO]]+Tabela1107[[#This Row],[OUTROS]]+Tabela1107[[#This Row],[PR]]</f>
        <v>19.740000000000002</v>
      </c>
      <c r="BH130" s="97">
        <f>+Tabela1107[[#This Row],[PIS]]+Tabela1107[[#This Row],[COFINS]]+Tabela1107[[#This Row],[CONTRIB. FOLHA]]+Tabela1107[[#This Row],[TRIBUTOS S/ LUCRO]]+Tabela1107[[#This Row],[OUTROS]]+Tabela1107[[#This Row],[SC]]</f>
        <v>24.740000000000002</v>
      </c>
      <c r="BI130" s="97">
        <f>+Tabela1107[[#This Row],[PIS]]+Tabela1107[[#This Row],[COFINS]]+Tabela1107[[#This Row],[CONTRIB. FOLHA]]+Tabela1107[[#This Row],[TRIBUTOS S/ LUCRO]]+Tabela1107[[#This Row],[OUTROS]]+Tabela1107[[#This Row],[RS]]</f>
        <v>24.740000000000002</v>
      </c>
      <c r="BJ130" s="97">
        <f>+Tabela1107[[#This Row],[PIS]]+Tabela1107[[#This Row],[COFINS]]+Tabela1107[[#This Row],[CONTRIB. FOLHA]]+Tabela1107[[#This Row],[TRIBUTOS S/ LUCRO]]+Tabela1107[[#This Row],[OUTROS]]+Tabela1107[[#This Row],[RJ]]</f>
        <v>26.740000000000002</v>
      </c>
      <c r="BK130" s="97">
        <f>+Tabela1107[[#This Row],[PIS]]+Tabela1107[[#This Row],[COFINS]]+Tabela1107[[#This Row],[CONTRIB. FOLHA]]+Tabela1107[[#This Row],[TRIBUTOS S/ LUCRO]]+Tabela1107[[#This Row],[OUTROS]]+Tabela1107[[#This Row],[MG]]</f>
        <v>19.740000000000002</v>
      </c>
      <c r="BL130" s="97">
        <f>+Tabela1107[[#This Row],[PIS]]+Tabela1107[[#This Row],[COFINS]]+Tabela1107[[#This Row],[CONTRIB. FOLHA]]+Tabela1107[[#This Row],[TRIBUTOS S/ LUCRO]]+Tabela1107[[#This Row],[OUTROS]]+Tabela1107[[#This Row],[ES]]</f>
        <v>24.740000000000002</v>
      </c>
      <c r="BM130" s="97">
        <f>+Tabela1107[[#This Row],[PIS]]+Tabela1107[[#This Row],[COFINS]]+Tabela1107[[#This Row],[CONTRIB. FOLHA]]+Tabela1107[[#This Row],[TRIBUTOS S/ LUCRO]]+Tabela1107[[#This Row],[OUTROS]]+Tabela1107[[#This Row],[GO]]</f>
        <v>24.740000000000002</v>
      </c>
      <c r="BN130" s="97">
        <f>+Tabela1107[[#This Row],[PIS]]+Tabela1107[[#This Row],[COFINS]]+Tabela1107[[#This Row],[CONTRIB. FOLHA]]+Tabela1107[[#This Row],[TRIBUTOS S/ LUCRO]]+Tabela1107[[#This Row],[OUTROS]]+Tabela1107[[#This Row],[MT]]</f>
        <v>24.740000000000002</v>
      </c>
      <c r="BO130" s="97">
        <f>+Tabela1107[[#This Row],[PIS]]+Tabela1107[[#This Row],[COFINS]]+Tabela1107[[#This Row],[CONTRIB. FOLHA]]+Tabela1107[[#This Row],[TRIBUTOS S/ LUCRO]]+Tabela1107[[#This Row],[OUTROS]]+Tabela1107[[#This Row],[MS]]</f>
        <v>24.740000000000002</v>
      </c>
      <c r="BP130" s="97">
        <f>+Tabela1107[[#This Row],[PIS]]+Tabela1107[[#This Row],[COFINS]]+Tabela1107[[#This Row],[CONTRIB. FOLHA]]+Tabela1107[[#This Row],[TRIBUTOS S/ LUCRO]]+Tabela1107[[#This Row],[OUTROS]]+Tabela1107[[#This Row],[DF]]</f>
        <v>24.740000000000002</v>
      </c>
      <c r="BQ130" s="97">
        <f>+Tabela1107[[#This Row],[PIS]]+Tabela1107[[#This Row],[COFINS]]+Tabela1107[[#This Row],[CONTRIB. FOLHA]]+Tabela1107[[#This Row],[TRIBUTOS S/ LUCRO]]+Tabela1107[[#This Row],[OUTROS]]+Tabela1107[[#This Row],[BA]]</f>
        <v>24.740000000000002</v>
      </c>
      <c r="BR130" s="97">
        <f>+Tabela1107[[#This Row],[PIS]]+Tabela1107[[#This Row],[COFINS]]+Tabela1107[[#This Row],[CONTRIB. FOLHA]]+Tabela1107[[#This Row],[TRIBUTOS S/ LUCRO]]+Tabela1107[[#This Row],[OUTROS]]+Tabela1107[[#This Row],[BA]]</f>
        <v>24.740000000000002</v>
      </c>
      <c r="BS130" s="97">
        <f>+Tabela1107[[#This Row],[PIS]]+Tabela1107[[#This Row],[COFINS]]+Tabela1107[[#This Row],[CONTRIB. FOLHA]]+Tabela1107[[#This Row],[TRIBUTOS S/ LUCRO]]+Tabela1107[[#This Row],[OUTROS]]+Tabela1107[[#This Row],[PE]]</f>
        <v>24.740000000000002</v>
      </c>
      <c r="BT130" s="97">
        <f>+Tabela1107[[#This Row],[PIS]]+Tabela1107[[#This Row],[COFINS]]+Tabela1107[[#This Row],[CONTRIB. FOLHA]]+Tabela1107[[#This Row],[TRIBUTOS S/ LUCRO]]+Tabela1107[[#This Row],[OUTROS]]+Tabela1107[[#This Row],[PA]]</f>
        <v>24.740000000000002</v>
      </c>
      <c r="BU130" s="97">
        <f>+Tabela1107[[#This Row],[PIS]]+Tabela1107[[#This Row],[COFINS]]+Tabela1107[[#This Row],[CONTRIB. FOLHA]]+Tabela1107[[#This Row],[TRIBUTOS S/ LUCRO]]+Tabela1107[[#This Row],[OUTROS]]+Tabela1107[[#This Row],[AM]]</f>
        <v>24.740000000000002</v>
      </c>
      <c r="BV130" s="97">
        <f>AVERAGE(Tabela1107[[#This Row],[TOTAL SP]:[TOTAL AM]])</f>
        <v>24.302500000000006</v>
      </c>
      <c r="BW130" s="97"/>
      <c r="BX130" s="97"/>
    </row>
    <row r="131" spans="2:76" x14ac:dyDescent="0.25">
      <c r="B131" s="89">
        <v>18971</v>
      </c>
      <c r="C131" s="91" t="s">
        <v>13183</v>
      </c>
      <c r="D131" s="89"/>
      <c r="E131" s="89">
        <v>20140626</v>
      </c>
      <c r="F131" s="89" t="s">
        <v>20625</v>
      </c>
      <c r="G131" s="89" t="s">
        <v>20626</v>
      </c>
      <c r="H131" s="89" t="s">
        <v>20627</v>
      </c>
      <c r="I131" s="89" t="s">
        <v>2642</v>
      </c>
      <c r="J131" s="89" t="s">
        <v>332</v>
      </c>
      <c r="K131" s="89"/>
      <c r="L131" s="89" t="s">
        <v>2642</v>
      </c>
      <c r="M131" s="89" t="s">
        <v>4496</v>
      </c>
      <c r="N131" s="89" t="s">
        <v>4496</v>
      </c>
      <c r="O131" s="89" t="s">
        <v>4496</v>
      </c>
      <c r="P131" s="89" t="s">
        <v>4496</v>
      </c>
      <c r="Q131" s="89"/>
      <c r="R131" s="89" t="s">
        <v>29</v>
      </c>
      <c r="S131" s="89" t="s">
        <v>21616</v>
      </c>
      <c r="T131" s="89" t="s">
        <v>21617</v>
      </c>
      <c r="U131" s="89" t="str">
        <f>TRIM('Carga Tributária doenças Po (2'!$L131)</f>
        <v>CLORIDRATO DE NARATRIPTANA</v>
      </c>
      <c r="V131" s="89">
        <f>SUMIFS('Tabela Federal'!$E$4:$E$2069,'Tabela Federal'!$D$4:$D$2069,'Carga Tributária doenças Po (2'!$L131)</f>
        <v>1</v>
      </c>
      <c r="W131" s="89">
        <f>SUMIFS('Tabela Federal'!$E$4:$E$2069,'Tabela Federal'!$D$4:$D$2069,'Carga Tributária doenças Po (2'!$M131)</f>
        <v>0</v>
      </c>
      <c r="X131" s="89">
        <f>SUMIFS('Tabela Federal'!$E$4:$E$2069,'Tabela Federal'!$D$4:$D$2069,'Carga Tributária doenças Po (2'!$N131)</f>
        <v>0</v>
      </c>
      <c r="Y131" s="89">
        <f>SUMIFS('Tabela Federal'!$E$4:$E$2069,'Tabela Federal'!$D$4:$D$2069,'Carga Tributária doenças Po (2'!$O131)</f>
        <v>0</v>
      </c>
      <c r="Z131" s="92" t="str">
        <f>VLOOKUP('Carga Tributária doenças Po (2'!$AD131,'Carga Tributária doenças Po (2'!$CA$12:$CC$16,2,0)</f>
        <v>+</v>
      </c>
      <c r="AA131" s="89" t="s">
        <v>327</v>
      </c>
      <c r="AB131" s="89" t="s">
        <v>21809</v>
      </c>
      <c r="AC131" s="89" t="s">
        <v>21721</v>
      </c>
      <c r="AD131" s="93" t="s">
        <v>21722</v>
      </c>
      <c r="AE131" s="92" t="s">
        <v>2</v>
      </c>
      <c r="AF131" s="92" t="s">
        <v>10</v>
      </c>
      <c r="AG131" s="94">
        <v>1402272</v>
      </c>
      <c r="AH131" s="95">
        <v>4412025</v>
      </c>
      <c r="AI131" s="95">
        <v>10098790</v>
      </c>
      <c r="AJ131" s="89" t="s">
        <v>333</v>
      </c>
      <c r="AK131" s="89">
        <f>IF('Carga Tributária doenças Po (2'!$Z131="+",0,SUMIFS(PISCOFINS!$I$3:$I$10518,PISCOFINS!$C$3:$C$10518,'Carga Tributária doenças Po (2'!$C131))</f>
        <v>0</v>
      </c>
      <c r="AL131" s="89">
        <f>IF('Carga Tributária doenças Po (2'!$Z131="+",0,SUMIFS(PISCOFINS!$H$3:$H$10518,PISCOFINS!$C$3:$C$10518,'Carga Tributária doenças Po (2'!$C131))</f>
        <v>0</v>
      </c>
      <c r="AM131" s="95">
        <v>3.27</v>
      </c>
      <c r="AN131" s="95">
        <v>3.12</v>
      </c>
      <c r="AO131" s="95">
        <v>1.35</v>
      </c>
      <c r="AP131" s="96">
        <v>18</v>
      </c>
      <c r="AQ131" s="96">
        <v>12</v>
      </c>
      <c r="AR131" s="96">
        <v>17</v>
      </c>
      <c r="AS131" s="97">
        <v>17</v>
      </c>
      <c r="AT131" s="97">
        <v>19</v>
      </c>
      <c r="AU131" s="97">
        <v>12</v>
      </c>
      <c r="AV131" s="97">
        <v>17</v>
      </c>
      <c r="AW131" s="97">
        <v>17</v>
      </c>
      <c r="AX131" s="97">
        <v>17</v>
      </c>
      <c r="AY131" s="97">
        <v>17</v>
      </c>
      <c r="AZ131" s="97">
        <v>17</v>
      </c>
      <c r="BA131" s="97">
        <v>17</v>
      </c>
      <c r="BB131" s="97">
        <v>17</v>
      </c>
      <c r="BC131" s="97">
        <v>17</v>
      </c>
      <c r="BD131" s="97">
        <v>17</v>
      </c>
      <c r="BE131" s="97">
        <v>17</v>
      </c>
      <c r="BF131" s="97">
        <f>+Tabela1107[[#This Row],[PIS]]+Tabela1107[[#This Row],[COFINS]]+Tabela1107[[#This Row],[CONTRIB. FOLHA]]+Tabela1107[[#This Row],[TRIBUTOS S/ LUCRO]]+Tabela1107[[#This Row],[OUTROS]]+Tabela1107[[#This Row],[SP]]</f>
        <v>25.740000000000002</v>
      </c>
      <c r="BG131" s="97">
        <f>+Tabela1107[[#This Row],[PIS]]+Tabela1107[[#This Row],[COFINS]]+Tabela1107[[#This Row],[CONTRIB. FOLHA]]+Tabela1107[[#This Row],[TRIBUTOS S/ LUCRO]]+Tabela1107[[#This Row],[OUTROS]]+Tabela1107[[#This Row],[PR]]</f>
        <v>19.740000000000002</v>
      </c>
      <c r="BH131" s="97">
        <f>+Tabela1107[[#This Row],[PIS]]+Tabela1107[[#This Row],[COFINS]]+Tabela1107[[#This Row],[CONTRIB. FOLHA]]+Tabela1107[[#This Row],[TRIBUTOS S/ LUCRO]]+Tabela1107[[#This Row],[OUTROS]]+Tabela1107[[#This Row],[SC]]</f>
        <v>24.740000000000002</v>
      </c>
      <c r="BI131" s="97">
        <f>+Tabela1107[[#This Row],[PIS]]+Tabela1107[[#This Row],[COFINS]]+Tabela1107[[#This Row],[CONTRIB. FOLHA]]+Tabela1107[[#This Row],[TRIBUTOS S/ LUCRO]]+Tabela1107[[#This Row],[OUTROS]]+Tabela1107[[#This Row],[RS]]</f>
        <v>24.740000000000002</v>
      </c>
      <c r="BJ131" s="97">
        <f>+Tabela1107[[#This Row],[PIS]]+Tabela1107[[#This Row],[COFINS]]+Tabela1107[[#This Row],[CONTRIB. FOLHA]]+Tabela1107[[#This Row],[TRIBUTOS S/ LUCRO]]+Tabela1107[[#This Row],[OUTROS]]+Tabela1107[[#This Row],[RJ]]</f>
        <v>26.740000000000002</v>
      </c>
      <c r="BK131" s="97">
        <f>+Tabela1107[[#This Row],[PIS]]+Tabela1107[[#This Row],[COFINS]]+Tabela1107[[#This Row],[CONTRIB. FOLHA]]+Tabela1107[[#This Row],[TRIBUTOS S/ LUCRO]]+Tabela1107[[#This Row],[OUTROS]]+Tabela1107[[#This Row],[MG]]</f>
        <v>19.740000000000002</v>
      </c>
      <c r="BL131" s="97">
        <f>+Tabela1107[[#This Row],[PIS]]+Tabela1107[[#This Row],[COFINS]]+Tabela1107[[#This Row],[CONTRIB. FOLHA]]+Tabela1107[[#This Row],[TRIBUTOS S/ LUCRO]]+Tabela1107[[#This Row],[OUTROS]]+Tabela1107[[#This Row],[ES]]</f>
        <v>24.740000000000002</v>
      </c>
      <c r="BM131" s="97">
        <f>+Tabela1107[[#This Row],[PIS]]+Tabela1107[[#This Row],[COFINS]]+Tabela1107[[#This Row],[CONTRIB. FOLHA]]+Tabela1107[[#This Row],[TRIBUTOS S/ LUCRO]]+Tabela1107[[#This Row],[OUTROS]]+Tabela1107[[#This Row],[GO]]</f>
        <v>24.740000000000002</v>
      </c>
      <c r="BN131" s="97">
        <f>+Tabela1107[[#This Row],[PIS]]+Tabela1107[[#This Row],[COFINS]]+Tabela1107[[#This Row],[CONTRIB. FOLHA]]+Tabela1107[[#This Row],[TRIBUTOS S/ LUCRO]]+Tabela1107[[#This Row],[OUTROS]]+Tabela1107[[#This Row],[MT]]</f>
        <v>24.740000000000002</v>
      </c>
      <c r="BO131" s="97">
        <f>+Tabela1107[[#This Row],[PIS]]+Tabela1107[[#This Row],[COFINS]]+Tabela1107[[#This Row],[CONTRIB. FOLHA]]+Tabela1107[[#This Row],[TRIBUTOS S/ LUCRO]]+Tabela1107[[#This Row],[OUTROS]]+Tabela1107[[#This Row],[MS]]</f>
        <v>24.740000000000002</v>
      </c>
      <c r="BP131" s="97">
        <f>+Tabela1107[[#This Row],[PIS]]+Tabela1107[[#This Row],[COFINS]]+Tabela1107[[#This Row],[CONTRIB. FOLHA]]+Tabela1107[[#This Row],[TRIBUTOS S/ LUCRO]]+Tabela1107[[#This Row],[OUTROS]]+Tabela1107[[#This Row],[DF]]</f>
        <v>24.740000000000002</v>
      </c>
      <c r="BQ131" s="97">
        <f>+Tabela1107[[#This Row],[PIS]]+Tabela1107[[#This Row],[COFINS]]+Tabela1107[[#This Row],[CONTRIB. FOLHA]]+Tabela1107[[#This Row],[TRIBUTOS S/ LUCRO]]+Tabela1107[[#This Row],[OUTROS]]+Tabela1107[[#This Row],[BA]]</f>
        <v>24.740000000000002</v>
      </c>
      <c r="BR131" s="97">
        <f>+Tabela1107[[#This Row],[PIS]]+Tabela1107[[#This Row],[COFINS]]+Tabela1107[[#This Row],[CONTRIB. FOLHA]]+Tabela1107[[#This Row],[TRIBUTOS S/ LUCRO]]+Tabela1107[[#This Row],[OUTROS]]+Tabela1107[[#This Row],[BA]]</f>
        <v>24.740000000000002</v>
      </c>
      <c r="BS131" s="97">
        <f>+Tabela1107[[#This Row],[PIS]]+Tabela1107[[#This Row],[COFINS]]+Tabela1107[[#This Row],[CONTRIB. FOLHA]]+Tabela1107[[#This Row],[TRIBUTOS S/ LUCRO]]+Tabela1107[[#This Row],[OUTROS]]+Tabela1107[[#This Row],[PE]]</f>
        <v>24.740000000000002</v>
      </c>
      <c r="BT131" s="97">
        <f>+Tabela1107[[#This Row],[PIS]]+Tabela1107[[#This Row],[COFINS]]+Tabela1107[[#This Row],[CONTRIB. FOLHA]]+Tabela1107[[#This Row],[TRIBUTOS S/ LUCRO]]+Tabela1107[[#This Row],[OUTROS]]+Tabela1107[[#This Row],[PA]]</f>
        <v>24.740000000000002</v>
      </c>
      <c r="BU131" s="97">
        <f>+Tabela1107[[#This Row],[PIS]]+Tabela1107[[#This Row],[COFINS]]+Tabela1107[[#This Row],[CONTRIB. FOLHA]]+Tabela1107[[#This Row],[TRIBUTOS S/ LUCRO]]+Tabela1107[[#This Row],[OUTROS]]+Tabela1107[[#This Row],[AM]]</f>
        <v>24.740000000000002</v>
      </c>
      <c r="BV131" s="97">
        <f>AVERAGE(Tabela1107[[#This Row],[TOTAL SP]:[TOTAL AM]])</f>
        <v>24.302500000000006</v>
      </c>
      <c r="BW131" s="97"/>
      <c r="BX131" s="97"/>
    </row>
    <row r="132" spans="2:76" x14ac:dyDescent="0.25">
      <c r="B132" s="89">
        <v>20433</v>
      </c>
      <c r="C132" s="91" t="s">
        <v>13038</v>
      </c>
      <c r="D132" s="89"/>
      <c r="E132" s="89">
        <v>20140626</v>
      </c>
      <c r="F132" s="89" t="s">
        <v>21471</v>
      </c>
      <c r="G132" s="89" t="s">
        <v>21472</v>
      </c>
      <c r="H132" s="98" t="s">
        <v>21978</v>
      </c>
      <c r="I132" s="89" t="s">
        <v>2646</v>
      </c>
      <c r="J132" s="89" t="s">
        <v>62</v>
      </c>
      <c r="K132" s="89"/>
      <c r="L132" s="89" t="s">
        <v>2646</v>
      </c>
      <c r="M132" s="89" t="s">
        <v>4496</v>
      </c>
      <c r="N132" s="89" t="s">
        <v>4496</v>
      </c>
      <c r="O132" s="89" t="s">
        <v>4496</v>
      </c>
      <c r="P132" s="89" t="s">
        <v>4496</v>
      </c>
      <c r="Q132" s="89"/>
      <c r="R132" s="89" t="s">
        <v>64</v>
      </c>
      <c r="S132" s="89" t="s">
        <v>21698</v>
      </c>
      <c r="T132" s="89" t="s">
        <v>21699</v>
      </c>
      <c r="U132" s="89" t="str">
        <f>TRIM('Carga Tributária doenças Po (2'!$L132)</f>
        <v>CLORIDRATO DE RANITIDINA</v>
      </c>
      <c r="V132" s="89">
        <f>SUMIFS('Tabela Federal'!$E$4:$E$2069,'Tabela Federal'!$D$4:$D$2069,'Carga Tributária doenças Po (2'!$L132)</f>
        <v>1</v>
      </c>
      <c r="W132" s="89">
        <f>SUMIFS('Tabela Federal'!$E$4:$E$2069,'Tabela Federal'!$D$4:$D$2069,'Carga Tributária doenças Po (2'!$M132)</f>
        <v>0</v>
      </c>
      <c r="X132" s="89">
        <f>SUMIFS('Tabela Federal'!$E$4:$E$2069,'Tabela Federal'!$D$4:$D$2069,'Carga Tributária doenças Po (2'!$N132)</f>
        <v>0</v>
      </c>
      <c r="Y132" s="89">
        <f>SUMIFS('Tabela Federal'!$E$4:$E$2069,'Tabela Federal'!$D$4:$D$2069,'Carga Tributária doenças Po (2'!$O132)</f>
        <v>0</v>
      </c>
      <c r="Z132" s="92" t="str">
        <f>VLOOKUP('Carga Tributária doenças Po (2'!$AD132,'Carga Tributária doenças Po (2'!$CA$12:$CC$16,2,0)</f>
        <v>+</v>
      </c>
      <c r="AA132" s="89" t="s">
        <v>63</v>
      </c>
      <c r="AB132" s="89" t="s">
        <v>21832</v>
      </c>
      <c r="AC132" s="89" t="s">
        <v>21721</v>
      </c>
      <c r="AD132" s="93" t="s">
        <v>21722</v>
      </c>
      <c r="AE132" s="92" t="s">
        <v>2</v>
      </c>
      <c r="AF132" s="92" t="s">
        <v>10</v>
      </c>
      <c r="AG132" s="94">
        <v>609951</v>
      </c>
      <c r="AH132" s="95">
        <v>3688152</v>
      </c>
      <c r="AI132" s="95">
        <v>8409886.8800000008</v>
      </c>
      <c r="AJ132" s="89" t="s">
        <v>61</v>
      </c>
      <c r="AK132" s="89">
        <f>IF('Carga Tributária doenças Po (2'!$Z132="+",0,SUMIFS(PISCOFINS!$I$3:$I$10518,PISCOFINS!$C$3:$C$10518,'Carga Tributária doenças Po (2'!$C132))</f>
        <v>0</v>
      </c>
      <c r="AL132" s="89">
        <f>IF('Carga Tributária doenças Po (2'!$Z132="+",0,SUMIFS(PISCOFINS!$H$3:$H$10518,PISCOFINS!$C$3:$C$10518,'Carga Tributária doenças Po (2'!$C132))</f>
        <v>0</v>
      </c>
      <c r="AM132" s="95">
        <v>3.27</v>
      </c>
      <c r="AN132" s="95">
        <v>3.12</v>
      </c>
      <c r="AO132" s="95">
        <v>1.35</v>
      </c>
      <c r="AP132" s="96">
        <v>18</v>
      </c>
      <c r="AQ132" s="96">
        <v>12</v>
      </c>
      <c r="AR132" s="96">
        <v>17</v>
      </c>
      <c r="AS132" s="97">
        <v>17</v>
      </c>
      <c r="AT132" s="97">
        <v>19</v>
      </c>
      <c r="AU132" s="97">
        <v>12</v>
      </c>
      <c r="AV132" s="97">
        <v>17</v>
      </c>
      <c r="AW132" s="97">
        <v>17</v>
      </c>
      <c r="AX132" s="97">
        <v>17</v>
      </c>
      <c r="AY132" s="97">
        <v>17</v>
      </c>
      <c r="AZ132" s="97">
        <v>17</v>
      </c>
      <c r="BA132" s="97">
        <v>17</v>
      </c>
      <c r="BB132" s="97">
        <v>17</v>
      </c>
      <c r="BC132" s="97">
        <v>17</v>
      </c>
      <c r="BD132" s="97">
        <v>17</v>
      </c>
      <c r="BE132" s="97">
        <v>17</v>
      </c>
      <c r="BF132" s="97">
        <f>+Tabela1107[[#This Row],[PIS]]+Tabela1107[[#This Row],[COFINS]]+Tabela1107[[#This Row],[CONTRIB. FOLHA]]+Tabela1107[[#This Row],[TRIBUTOS S/ LUCRO]]+Tabela1107[[#This Row],[OUTROS]]+Tabela1107[[#This Row],[SP]]</f>
        <v>25.740000000000002</v>
      </c>
      <c r="BG132" s="97">
        <f>+Tabela1107[[#This Row],[PIS]]+Tabela1107[[#This Row],[COFINS]]+Tabela1107[[#This Row],[CONTRIB. FOLHA]]+Tabela1107[[#This Row],[TRIBUTOS S/ LUCRO]]+Tabela1107[[#This Row],[OUTROS]]+Tabela1107[[#This Row],[PR]]</f>
        <v>19.740000000000002</v>
      </c>
      <c r="BH132" s="97">
        <f>+Tabela1107[[#This Row],[PIS]]+Tabela1107[[#This Row],[COFINS]]+Tabela1107[[#This Row],[CONTRIB. FOLHA]]+Tabela1107[[#This Row],[TRIBUTOS S/ LUCRO]]+Tabela1107[[#This Row],[OUTROS]]+Tabela1107[[#This Row],[SC]]</f>
        <v>24.740000000000002</v>
      </c>
      <c r="BI132" s="97">
        <f>+Tabela1107[[#This Row],[PIS]]+Tabela1107[[#This Row],[COFINS]]+Tabela1107[[#This Row],[CONTRIB. FOLHA]]+Tabela1107[[#This Row],[TRIBUTOS S/ LUCRO]]+Tabela1107[[#This Row],[OUTROS]]+Tabela1107[[#This Row],[RS]]</f>
        <v>24.740000000000002</v>
      </c>
      <c r="BJ132" s="97">
        <f>+Tabela1107[[#This Row],[PIS]]+Tabela1107[[#This Row],[COFINS]]+Tabela1107[[#This Row],[CONTRIB. FOLHA]]+Tabela1107[[#This Row],[TRIBUTOS S/ LUCRO]]+Tabela1107[[#This Row],[OUTROS]]+Tabela1107[[#This Row],[RJ]]</f>
        <v>26.740000000000002</v>
      </c>
      <c r="BK132" s="97">
        <f>+Tabela1107[[#This Row],[PIS]]+Tabela1107[[#This Row],[COFINS]]+Tabela1107[[#This Row],[CONTRIB. FOLHA]]+Tabela1107[[#This Row],[TRIBUTOS S/ LUCRO]]+Tabela1107[[#This Row],[OUTROS]]+Tabela1107[[#This Row],[MG]]</f>
        <v>19.740000000000002</v>
      </c>
      <c r="BL132" s="97">
        <f>+Tabela1107[[#This Row],[PIS]]+Tabela1107[[#This Row],[COFINS]]+Tabela1107[[#This Row],[CONTRIB. FOLHA]]+Tabela1107[[#This Row],[TRIBUTOS S/ LUCRO]]+Tabela1107[[#This Row],[OUTROS]]+Tabela1107[[#This Row],[ES]]</f>
        <v>24.740000000000002</v>
      </c>
      <c r="BM132" s="97">
        <f>+Tabela1107[[#This Row],[PIS]]+Tabela1107[[#This Row],[COFINS]]+Tabela1107[[#This Row],[CONTRIB. FOLHA]]+Tabela1107[[#This Row],[TRIBUTOS S/ LUCRO]]+Tabela1107[[#This Row],[OUTROS]]+Tabela1107[[#This Row],[GO]]</f>
        <v>24.740000000000002</v>
      </c>
      <c r="BN132" s="97">
        <f>+Tabela1107[[#This Row],[PIS]]+Tabela1107[[#This Row],[COFINS]]+Tabela1107[[#This Row],[CONTRIB. FOLHA]]+Tabela1107[[#This Row],[TRIBUTOS S/ LUCRO]]+Tabela1107[[#This Row],[OUTROS]]+Tabela1107[[#This Row],[MT]]</f>
        <v>24.740000000000002</v>
      </c>
      <c r="BO132" s="97">
        <f>+Tabela1107[[#This Row],[PIS]]+Tabela1107[[#This Row],[COFINS]]+Tabela1107[[#This Row],[CONTRIB. FOLHA]]+Tabela1107[[#This Row],[TRIBUTOS S/ LUCRO]]+Tabela1107[[#This Row],[OUTROS]]+Tabela1107[[#This Row],[MS]]</f>
        <v>24.740000000000002</v>
      </c>
      <c r="BP132" s="97">
        <f>+Tabela1107[[#This Row],[PIS]]+Tabela1107[[#This Row],[COFINS]]+Tabela1107[[#This Row],[CONTRIB. FOLHA]]+Tabela1107[[#This Row],[TRIBUTOS S/ LUCRO]]+Tabela1107[[#This Row],[OUTROS]]+Tabela1107[[#This Row],[DF]]</f>
        <v>24.740000000000002</v>
      </c>
      <c r="BQ132" s="97">
        <f>+Tabela1107[[#This Row],[PIS]]+Tabela1107[[#This Row],[COFINS]]+Tabela1107[[#This Row],[CONTRIB. FOLHA]]+Tabela1107[[#This Row],[TRIBUTOS S/ LUCRO]]+Tabela1107[[#This Row],[OUTROS]]+Tabela1107[[#This Row],[BA]]</f>
        <v>24.740000000000002</v>
      </c>
      <c r="BR132" s="97">
        <f>+Tabela1107[[#This Row],[PIS]]+Tabela1107[[#This Row],[COFINS]]+Tabela1107[[#This Row],[CONTRIB. FOLHA]]+Tabela1107[[#This Row],[TRIBUTOS S/ LUCRO]]+Tabela1107[[#This Row],[OUTROS]]+Tabela1107[[#This Row],[BA]]</f>
        <v>24.740000000000002</v>
      </c>
      <c r="BS132" s="97">
        <f>+Tabela1107[[#This Row],[PIS]]+Tabela1107[[#This Row],[COFINS]]+Tabela1107[[#This Row],[CONTRIB. FOLHA]]+Tabela1107[[#This Row],[TRIBUTOS S/ LUCRO]]+Tabela1107[[#This Row],[OUTROS]]+Tabela1107[[#This Row],[PE]]</f>
        <v>24.740000000000002</v>
      </c>
      <c r="BT132" s="97">
        <f>+Tabela1107[[#This Row],[PIS]]+Tabela1107[[#This Row],[COFINS]]+Tabela1107[[#This Row],[CONTRIB. FOLHA]]+Tabela1107[[#This Row],[TRIBUTOS S/ LUCRO]]+Tabela1107[[#This Row],[OUTROS]]+Tabela1107[[#This Row],[PA]]</f>
        <v>24.740000000000002</v>
      </c>
      <c r="BU132" s="97">
        <f>+Tabela1107[[#This Row],[PIS]]+Tabela1107[[#This Row],[COFINS]]+Tabela1107[[#This Row],[CONTRIB. FOLHA]]+Tabela1107[[#This Row],[TRIBUTOS S/ LUCRO]]+Tabela1107[[#This Row],[OUTROS]]+Tabela1107[[#This Row],[AM]]</f>
        <v>24.740000000000002</v>
      </c>
      <c r="BV132" s="97">
        <f>AVERAGE(Tabela1107[[#This Row],[TOTAL SP]:[TOTAL AM]])</f>
        <v>24.302500000000006</v>
      </c>
      <c r="BW132" s="97"/>
      <c r="BX132" s="97"/>
    </row>
    <row r="133" spans="2:76" x14ac:dyDescent="0.25">
      <c r="B133" s="89">
        <v>20461</v>
      </c>
      <c r="C133" s="91" t="s">
        <v>13038</v>
      </c>
      <c r="D133" s="89"/>
      <c r="E133" s="89">
        <v>20140626</v>
      </c>
      <c r="F133" s="89" t="s">
        <v>20998</v>
      </c>
      <c r="G133" s="89" t="s">
        <v>20999</v>
      </c>
      <c r="H133" s="89" t="s">
        <v>21000</v>
      </c>
      <c r="I133" s="89" t="s">
        <v>2646</v>
      </c>
      <c r="J133" s="89" t="s">
        <v>62</v>
      </c>
      <c r="K133" s="89"/>
      <c r="L133" s="89" t="s">
        <v>2646</v>
      </c>
      <c r="M133" s="89" t="s">
        <v>4496</v>
      </c>
      <c r="N133" s="89" t="s">
        <v>4496</v>
      </c>
      <c r="O133" s="89" t="s">
        <v>4496</v>
      </c>
      <c r="P133" s="89" t="s">
        <v>4496</v>
      </c>
      <c r="Q133" s="89"/>
      <c r="R133" s="89" t="s">
        <v>52</v>
      </c>
      <c r="S133" s="89" t="s">
        <v>21652</v>
      </c>
      <c r="T133" s="89" t="s">
        <v>21653</v>
      </c>
      <c r="U133" s="89" t="str">
        <f>TRIM('Carga Tributária doenças Po (2'!$L133)</f>
        <v>CLORIDRATO DE RANITIDINA</v>
      </c>
      <c r="V133" s="89">
        <f>SUMIFS('Tabela Federal'!$E$4:$E$2069,'Tabela Federal'!$D$4:$D$2069,'Carga Tributária doenças Po (2'!$L133)</f>
        <v>1</v>
      </c>
      <c r="W133" s="89">
        <f>SUMIFS('Tabela Federal'!$E$4:$E$2069,'Tabela Federal'!$D$4:$D$2069,'Carga Tributária doenças Po (2'!$M133)</f>
        <v>0</v>
      </c>
      <c r="X133" s="89">
        <f>SUMIFS('Tabela Federal'!$E$4:$E$2069,'Tabela Federal'!$D$4:$D$2069,'Carga Tributária doenças Po (2'!$N133)</f>
        <v>0</v>
      </c>
      <c r="Y133" s="89">
        <f>SUMIFS('Tabela Federal'!$E$4:$E$2069,'Tabela Federal'!$D$4:$D$2069,'Carga Tributária doenças Po (2'!$O133)</f>
        <v>0</v>
      </c>
      <c r="Z133" s="92" t="str">
        <f>VLOOKUP('Carga Tributária doenças Po (2'!$AD133,'Carga Tributária doenças Po (2'!$CA$12:$CC$16,2,0)</f>
        <v>+</v>
      </c>
      <c r="AA133" s="89" t="s">
        <v>63</v>
      </c>
      <c r="AB133" s="89" t="s">
        <v>21832</v>
      </c>
      <c r="AC133" s="89" t="s">
        <v>21721</v>
      </c>
      <c r="AD133" s="93" t="s">
        <v>21722</v>
      </c>
      <c r="AE133" s="92" t="s">
        <v>2</v>
      </c>
      <c r="AF133" s="92" t="s">
        <v>10</v>
      </c>
      <c r="AG133" s="94">
        <v>800170</v>
      </c>
      <c r="AH133" s="95">
        <v>5609392</v>
      </c>
      <c r="AI133" s="95">
        <v>12790194.199999999</v>
      </c>
      <c r="AJ133" s="89" t="s">
        <v>61</v>
      </c>
      <c r="AK133" s="89">
        <f>IF('Carga Tributária doenças Po (2'!$Z133="+",0,SUMIFS(PISCOFINS!$I$3:$I$10518,PISCOFINS!$C$3:$C$10518,'Carga Tributária doenças Po (2'!$C133))</f>
        <v>0</v>
      </c>
      <c r="AL133" s="89">
        <f>IF('Carga Tributária doenças Po (2'!$Z133="+",0,SUMIFS(PISCOFINS!$H$3:$H$10518,PISCOFINS!$C$3:$C$10518,'Carga Tributária doenças Po (2'!$C133))</f>
        <v>0</v>
      </c>
      <c r="AM133" s="95">
        <v>3.27</v>
      </c>
      <c r="AN133" s="95">
        <v>3.12</v>
      </c>
      <c r="AO133" s="95">
        <v>1.35</v>
      </c>
      <c r="AP133" s="96">
        <v>18</v>
      </c>
      <c r="AQ133" s="96">
        <v>12</v>
      </c>
      <c r="AR133" s="96">
        <v>17</v>
      </c>
      <c r="AS133" s="97">
        <v>17</v>
      </c>
      <c r="AT133" s="97">
        <v>19</v>
      </c>
      <c r="AU133" s="97">
        <v>12</v>
      </c>
      <c r="AV133" s="97">
        <v>17</v>
      </c>
      <c r="AW133" s="97">
        <v>17</v>
      </c>
      <c r="AX133" s="97">
        <v>17</v>
      </c>
      <c r="AY133" s="97">
        <v>17</v>
      </c>
      <c r="AZ133" s="97">
        <v>17</v>
      </c>
      <c r="BA133" s="97">
        <v>17</v>
      </c>
      <c r="BB133" s="97">
        <v>17</v>
      </c>
      <c r="BC133" s="97">
        <v>17</v>
      </c>
      <c r="BD133" s="97">
        <v>17</v>
      </c>
      <c r="BE133" s="97">
        <v>17</v>
      </c>
      <c r="BF133" s="97">
        <f>+Tabela1107[[#This Row],[PIS]]+Tabela1107[[#This Row],[COFINS]]+Tabela1107[[#This Row],[CONTRIB. FOLHA]]+Tabela1107[[#This Row],[TRIBUTOS S/ LUCRO]]+Tabela1107[[#This Row],[OUTROS]]+Tabela1107[[#This Row],[SP]]</f>
        <v>25.740000000000002</v>
      </c>
      <c r="BG133" s="97">
        <f>+Tabela1107[[#This Row],[PIS]]+Tabela1107[[#This Row],[COFINS]]+Tabela1107[[#This Row],[CONTRIB. FOLHA]]+Tabela1107[[#This Row],[TRIBUTOS S/ LUCRO]]+Tabela1107[[#This Row],[OUTROS]]+Tabela1107[[#This Row],[PR]]</f>
        <v>19.740000000000002</v>
      </c>
      <c r="BH133" s="97">
        <f>+Tabela1107[[#This Row],[PIS]]+Tabela1107[[#This Row],[COFINS]]+Tabela1107[[#This Row],[CONTRIB. FOLHA]]+Tabela1107[[#This Row],[TRIBUTOS S/ LUCRO]]+Tabela1107[[#This Row],[OUTROS]]+Tabela1107[[#This Row],[SC]]</f>
        <v>24.740000000000002</v>
      </c>
      <c r="BI133" s="97">
        <f>+Tabela1107[[#This Row],[PIS]]+Tabela1107[[#This Row],[COFINS]]+Tabela1107[[#This Row],[CONTRIB. FOLHA]]+Tabela1107[[#This Row],[TRIBUTOS S/ LUCRO]]+Tabela1107[[#This Row],[OUTROS]]+Tabela1107[[#This Row],[RS]]</f>
        <v>24.740000000000002</v>
      </c>
      <c r="BJ133" s="97">
        <f>+Tabela1107[[#This Row],[PIS]]+Tabela1107[[#This Row],[COFINS]]+Tabela1107[[#This Row],[CONTRIB. FOLHA]]+Tabela1107[[#This Row],[TRIBUTOS S/ LUCRO]]+Tabela1107[[#This Row],[OUTROS]]+Tabela1107[[#This Row],[RJ]]</f>
        <v>26.740000000000002</v>
      </c>
      <c r="BK133" s="97">
        <f>+Tabela1107[[#This Row],[PIS]]+Tabela1107[[#This Row],[COFINS]]+Tabela1107[[#This Row],[CONTRIB. FOLHA]]+Tabela1107[[#This Row],[TRIBUTOS S/ LUCRO]]+Tabela1107[[#This Row],[OUTROS]]+Tabela1107[[#This Row],[MG]]</f>
        <v>19.740000000000002</v>
      </c>
      <c r="BL133" s="97">
        <f>+Tabela1107[[#This Row],[PIS]]+Tabela1107[[#This Row],[COFINS]]+Tabela1107[[#This Row],[CONTRIB. FOLHA]]+Tabela1107[[#This Row],[TRIBUTOS S/ LUCRO]]+Tabela1107[[#This Row],[OUTROS]]+Tabela1107[[#This Row],[ES]]</f>
        <v>24.740000000000002</v>
      </c>
      <c r="BM133" s="97">
        <f>+Tabela1107[[#This Row],[PIS]]+Tabela1107[[#This Row],[COFINS]]+Tabela1107[[#This Row],[CONTRIB. FOLHA]]+Tabela1107[[#This Row],[TRIBUTOS S/ LUCRO]]+Tabela1107[[#This Row],[OUTROS]]+Tabela1107[[#This Row],[GO]]</f>
        <v>24.740000000000002</v>
      </c>
      <c r="BN133" s="97">
        <f>+Tabela1107[[#This Row],[PIS]]+Tabela1107[[#This Row],[COFINS]]+Tabela1107[[#This Row],[CONTRIB. FOLHA]]+Tabela1107[[#This Row],[TRIBUTOS S/ LUCRO]]+Tabela1107[[#This Row],[OUTROS]]+Tabela1107[[#This Row],[MT]]</f>
        <v>24.740000000000002</v>
      </c>
      <c r="BO133" s="97">
        <f>+Tabela1107[[#This Row],[PIS]]+Tabela1107[[#This Row],[COFINS]]+Tabela1107[[#This Row],[CONTRIB. FOLHA]]+Tabela1107[[#This Row],[TRIBUTOS S/ LUCRO]]+Tabela1107[[#This Row],[OUTROS]]+Tabela1107[[#This Row],[MS]]</f>
        <v>24.740000000000002</v>
      </c>
      <c r="BP133" s="97">
        <f>+Tabela1107[[#This Row],[PIS]]+Tabela1107[[#This Row],[COFINS]]+Tabela1107[[#This Row],[CONTRIB. FOLHA]]+Tabela1107[[#This Row],[TRIBUTOS S/ LUCRO]]+Tabela1107[[#This Row],[OUTROS]]+Tabela1107[[#This Row],[DF]]</f>
        <v>24.740000000000002</v>
      </c>
      <c r="BQ133" s="97">
        <f>+Tabela1107[[#This Row],[PIS]]+Tabela1107[[#This Row],[COFINS]]+Tabela1107[[#This Row],[CONTRIB. FOLHA]]+Tabela1107[[#This Row],[TRIBUTOS S/ LUCRO]]+Tabela1107[[#This Row],[OUTROS]]+Tabela1107[[#This Row],[BA]]</f>
        <v>24.740000000000002</v>
      </c>
      <c r="BR133" s="97">
        <f>+Tabela1107[[#This Row],[PIS]]+Tabela1107[[#This Row],[COFINS]]+Tabela1107[[#This Row],[CONTRIB. FOLHA]]+Tabela1107[[#This Row],[TRIBUTOS S/ LUCRO]]+Tabela1107[[#This Row],[OUTROS]]+Tabela1107[[#This Row],[BA]]</f>
        <v>24.740000000000002</v>
      </c>
      <c r="BS133" s="97">
        <f>+Tabela1107[[#This Row],[PIS]]+Tabela1107[[#This Row],[COFINS]]+Tabela1107[[#This Row],[CONTRIB. FOLHA]]+Tabela1107[[#This Row],[TRIBUTOS S/ LUCRO]]+Tabela1107[[#This Row],[OUTROS]]+Tabela1107[[#This Row],[PE]]</f>
        <v>24.740000000000002</v>
      </c>
      <c r="BT133" s="97">
        <f>+Tabela1107[[#This Row],[PIS]]+Tabela1107[[#This Row],[COFINS]]+Tabela1107[[#This Row],[CONTRIB. FOLHA]]+Tabela1107[[#This Row],[TRIBUTOS S/ LUCRO]]+Tabela1107[[#This Row],[OUTROS]]+Tabela1107[[#This Row],[PA]]</f>
        <v>24.740000000000002</v>
      </c>
      <c r="BU133" s="97">
        <f>+Tabela1107[[#This Row],[PIS]]+Tabela1107[[#This Row],[COFINS]]+Tabela1107[[#This Row],[CONTRIB. FOLHA]]+Tabela1107[[#This Row],[TRIBUTOS S/ LUCRO]]+Tabela1107[[#This Row],[OUTROS]]+Tabela1107[[#This Row],[AM]]</f>
        <v>24.740000000000002</v>
      </c>
      <c r="BV133" s="97">
        <f>AVERAGE(Tabela1107[[#This Row],[TOTAL SP]:[TOTAL AM]])</f>
        <v>24.302500000000006</v>
      </c>
      <c r="BW133" s="97"/>
      <c r="BX133" s="97"/>
    </row>
    <row r="134" spans="2:76" x14ac:dyDescent="0.25">
      <c r="B134" s="89">
        <v>20537</v>
      </c>
      <c r="C134" s="91" t="s">
        <v>13038</v>
      </c>
      <c r="D134" s="89"/>
      <c r="E134" s="89">
        <v>20140626</v>
      </c>
      <c r="F134" s="89" t="s">
        <v>20635</v>
      </c>
      <c r="G134" s="89" t="s">
        <v>20636</v>
      </c>
      <c r="H134" s="98" t="s">
        <v>21979</v>
      </c>
      <c r="I134" s="89" t="s">
        <v>2646</v>
      </c>
      <c r="J134" s="89" t="s">
        <v>62</v>
      </c>
      <c r="K134" s="89"/>
      <c r="L134" s="89" t="s">
        <v>2646</v>
      </c>
      <c r="M134" s="89" t="s">
        <v>4496</v>
      </c>
      <c r="N134" s="89" t="s">
        <v>4496</v>
      </c>
      <c r="O134" s="89" t="s">
        <v>4496</v>
      </c>
      <c r="P134" s="89" t="s">
        <v>4496</v>
      </c>
      <c r="Q134" s="89"/>
      <c r="R134" s="89" t="s">
        <v>29</v>
      </c>
      <c r="S134" s="89" t="s">
        <v>21568</v>
      </c>
      <c r="T134" s="89" t="s">
        <v>21569</v>
      </c>
      <c r="U134" s="89" t="str">
        <f>TRIM('Carga Tributária doenças Po (2'!$L134)</f>
        <v>CLORIDRATO DE RANITIDINA</v>
      </c>
      <c r="V134" s="89">
        <f>SUMIFS('Tabela Federal'!$E$4:$E$2069,'Tabela Federal'!$D$4:$D$2069,'Carga Tributária doenças Po (2'!$L134)</f>
        <v>1</v>
      </c>
      <c r="W134" s="89">
        <f>SUMIFS('Tabela Federal'!$E$4:$E$2069,'Tabela Federal'!$D$4:$D$2069,'Carga Tributária doenças Po (2'!$M134)</f>
        <v>0</v>
      </c>
      <c r="X134" s="89">
        <f>SUMIFS('Tabela Federal'!$E$4:$E$2069,'Tabela Federal'!$D$4:$D$2069,'Carga Tributária doenças Po (2'!$N134)</f>
        <v>0</v>
      </c>
      <c r="Y134" s="89">
        <f>SUMIFS('Tabela Federal'!$E$4:$E$2069,'Tabela Federal'!$D$4:$D$2069,'Carga Tributária doenças Po (2'!$O134)</f>
        <v>0</v>
      </c>
      <c r="Z134" s="92" t="str">
        <f>VLOOKUP('Carga Tributária doenças Po (2'!$AD134,'Carga Tributária doenças Po (2'!$CA$12:$CC$16,2,0)</f>
        <v>+</v>
      </c>
      <c r="AA134" s="89" t="s">
        <v>63</v>
      </c>
      <c r="AB134" s="89" t="s">
        <v>21832</v>
      </c>
      <c r="AC134" s="89" t="s">
        <v>21721</v>
      </c>
      <c r="AD134" s="93" t="s">
        <v>21722</v>
      </c>
      <c r="AE134" s="92" t="s">
        <v>2</v>
      </c>
      <c r="AF134" s="92" t="s">
        <v>10</v>
      </c>
      <c r="AG134" s="94">
        <v>800350</v>
      </c>
      <c r="AH134" s="95">
        <v>5590482</v>
      </c>
      <c r="AI134" s="95">
        <v>12754146.039999999</v>
      </c>
      <c r="AJ134" s="89" t="s">
        <v>61</v>
      </c>
      <c r="AK134" s="89">
        <f>IF('Carga Tributária doenças Po (2'!$Z134="+",0,SUMIFS(PISCOFINS!$I$3:$I$10518,PISCOFINS!$C$3:$C$10518,'Carga Tributária doenças Po (2'!$C134))</f>
        <v>0</v>
      </c>
      <c r="AL134" s="89">
        <f>IF('Carga Tributária doenças Po (2'!$Z134="+",0,SUMIFS(PISCOFINS!$H$3:$H$10518,PISCOFINS!$C$3:$C$10518,'Carga Tributária doenças Po (2'!$C134))</f>
        <v>0</v>
      </c>
      <c r="AM134" s="95">
        <v>3.27</v>
      </c>
      <c r="AN134" s="95">
        <v>3.12</v>
      </c>
      <c r="AO134" s="95">
        <v>1.35</v>
      </c>
      <c r="AP134" s="96">
        <v>18</v>
      </c>
      <c r="AQ134" s="96">
        <v>12</v>
      </c>
      <c r="AR134" s="96">
        <v>17</v>
      </c>
      <c r="AS134" s="97">
        <v>17</v>
      </c>
      <c r="AT134" s="97">
        <v>19</v>
      </c>
      <c r="AU134" s="97">
        <v>12</v>
      </c>
      <c r="AV134" s="97">
        <v>17</v>
      </c>
      <c r="AW134" s="97">
        <v>17</v>
      </c>
      <c r="AX134" s="97">
        <v>17</v>
      </c>
      <c r="AY134" s="97">
        <v>17</v>
      </c>
      <c r="AZ134" s="97">
        <v>17</v>
      </c>
      <c r="BA134" s="97">
        <v>17</v>
      </c>
      <c r="BB134" s="97">
        <v>17</v>
      </c>
      <c r="BC134" s="97">
        <v>17</v>
      </c>
      <c r="BD134" s="97">
        <v>17</v>
      </c>
      <c r="BE134" s="97">
        <v>17</v>
      </c>
      <c r="BF134" s="97">
        <f>+Tabela1107[[#This Row],[PIS]]+Tabela1107[[#This Row],[COFINS]]+Tabela1107[[#This Row],[CONTRIB. FOLHA]]+Tabela1107[[#This Row],[TRIBUTOS S/ LUCRO]]+Tabela1107[[#This Row],[OUTROS]]+Tabela1107[[#This Row],[SP]]</f>
        <v>25.740000000000002</v>
      </c>
      <c r="BG134" s="97">
        <f>+Tabela1107[[#This Row],[PIS]]+Tabela1107[[#This Row],[COFINS]]+Tabela1107[[#This Row],[CONTRIB. FOLHA]]+Tabela1107[[#This Row],[TRIBUTOS S/ LUCRO]]+Tabela1107[[#This Row],[OUTROS]]+Tabela1107[[#This Row],[PR]]</f>
        <v>19.740000000000002</v>
      </c>
      <c r="BH134" s="97">
        <f>+Tabela1107[[#This Row],[PIS]]+Tabela1107[[#This Row],[COFINS]]+Tabela1107[[#This Row],[CONTRIB. FOLHA]]+Tabela1107[[#This Row],[TRIBUTOS S/ LUCRO]]+Tabela1107[[#This Row],[OUTROS]]+Tabela1107[[#This Row],[SC]]</f>
        <v>24.740000000000002</v>
      </c>
      <c r="BI134" s="97">
        <f>+Tabela1107[[#This Row],[PIS]]+Tabela1107[[#This Row],[COFINS]]+Tabela1107[[#This Row],[CONTRIB. FOLHA]]+Tabela1107[[#This Row],[TRIBUTOS S/ LUCRO]]+Tabela1107[[#This Row],[OUTROS]]+Tabela1107[[#This Row],[RS]]</f>
        <v>24.740000000000002</v>
      </c>
      <c r="BJ134" s="97">
        <f>+Tabela1107[[#This Row],[PIS]]+Tabela1107[[#This Row],[COFINS]]+Tabela1107[[#This Row],[CONTRIB. FOLHA]]+Tabela1107[[#This Row],[TRIBUTOS S/ LUCRO]]+Tabela1107[[#This Row],[OUTROS]]+Tabela1107[[#This Row],[RJ]]</f>
        <v>26.740000000000002</v>
      </c>
      <c r="BK134" s="97">
        <f>+Tabela1107[[#This Row],[PIS]]+Tabela1107[[#This Row],[COFINS]]+Tabela1107[[#This Row],[CONTRIB. FOLHA]]+Tabela1107[[#This Row],[TRIBUTOS S/ LUCRO]]+Tabela1107[[#This Row],[OUTROS]]+Tabela1107[[#This Row],[MG]]</f>
        <v>19.740000000000002</v>
      </c>
      <c r="BL134" s="97">
        <f>+Tabela1107[[#This Row],[PIS]]+Tabela1107[[#This Row],[COFINS]]+Tabela1107[[#This Row],[CONTRIB. FOLHA]]+Tabela1107[[#This Row],[TRIBUTOS S/ LUCRO]]+Tabela1107[[#This Row],[OUTROS]]+Tabela1107[[#This Row],[ES]]</f>
        <v>24.740000000000002</v>
      </c>
      <c r="BM134" s="97">
        <f>+Tabela1107[[#This Row],[PIS]]+Tabela1107[[#This Row],[COFINS]]+Tabela1107[[#This Row],[CONTRIB. FOLHA]]+Tabela1107[[#This Row],[TRIBUTOS S/ LUCRO]]+Tabela1107[[#This Row],[OUTROS]]+Tabela1107[[#This Row],[GO]]</f>
        <v>24.740000000000002</v>
      </c>
      <c r="BN134" s="97">
        <f>+Tabela1107[[#This Row],[PIS]]+Tabela1107[[#This Row],[COFINS]]+Tabela1107[[#This Row],[CONTRIB. FOLHA]]+Tabela1107[[#This Row],[TRIBUTOS S/ LUCRO]]+Tabela1107[[#This Row],[OUTROS]]+Tabela1107[[#This Row],[MT]]</f>
        <v>24.740000000000002</v>
      </c>
      <c r="BO134" s="97">
        <f>+Tabela1107[[#This Row],[PIS]]+Tabela1107[[#This Row],[COFINS]]+Tabela1107[[#This Row],[CONTRIB. FOLHA]]+Tabela1107[[#This Row],[TRIBUTOS S/ LUCRO]]+Tabela1107[[#This Row],[OUTROS]]+Tabela1107[[#This Row],[MS]]</f>
        <v>24.740000000000002</v>
      </c>
      <c r="BP134" s="97">
        <f>+Tabela1107[[#This Row],[PIS]]+Tabela1107[[#This Row],[COFINS]]+Tabela1107[[#This Row],[CONTRIB. FOLHA]]+Tabela1107[[#This Row],[TRIBUTOS S/ LUCRO]]+Tabela1107[[#This Row],[OUTROS]]+Tabela1107[[#This Row],[DF]]</f>
        <v>24.740000000000002</v>
      </c>
      <c r="BQ134" s="97">
        <f>+Tabela1107[[#This Row],[PIS]]+Tabela1107[[#This Row],[COFINS]]+Tabela1107[[#This Row],[CONTRIB. FOLHA]]+Tabela1107[[#This Row],[TRIBUTOS S/ LUCRO]]+Tabela1107[[#This Row],[OUTROS]]+Tabela1107[[#This Row],[BA]]</f>
        <v>24.740000000000002</v>
      </c>
      <c r="BR134" s="97">
        <f>+Tabela1107[[#This Row],[PIS]]+Tabela1107[[#This Row],[COFINS]]+Tabela1107[[#This Row],[CONTRIB. FOLHA]]+Tabela1107[[#This Row],[TRIBUTOS S/ LUCRO]]+Tabela1107[[#This Row],[OUTROS]]+Tabela1107[[#This Row],[BA]]</f>
        <v>24.740000000000002</v>
      </c>
      <c r="BS134" s="97">
        <f>+Tabela1107[[#This Row],[PIS]]+Tabela1107[[#This Row],[COFINS]]+Tabela1107[[#This Row],[CONTRIB. FOLHA]]+Tabela1107[[#This Row],[TRIBUTOS S/ LUCRO]]+Tabela1107[[#This Row],[OUTROS]]+Tabela1107[[#This Row],[PE]]</f>
        <v>24.740000000000002</v>
      </c>
      <c r="BT134" s="97">
        <f>+Tabela1107[[#This Row],[PIS]]+Tabela1107[[#This Row],[COFINS]]+Tabela1107[[#This Row],[CONTRIB. FOLHA]]+Tabela1107[[#This Row],[TRIBUTOS S/ LUCRO]]+Tabela1107[[#This Row],[OUTROS]]+Tabela1107[[#This Row],[PA]]</f>
        <v>24.740000000000002</v>
      </c>
      <c r="BU134" s="97">
        <f>+Tabela1107[[#This Row],[PIS]]+Tabela1107[[#This Row],[COFINS]]+Tabela1107[[#This Row],[CONTRIB. FOLHA]]+Tabela1107[[#This Row],[TRIBUTOS S/ LUCRO]]+Tabela1107[[#This Row],[OUTROS]]+Tabela1107[[#This Row],[AM]]</f>
        <v>24.740000000000002</v>
      </c>
      <c r="BV134" s="97">
        <f>AVERAGE(Tabela1107[[#This Row],[TOTAL SP]:[TOTAL AM]])</f>
        <v>24.302500000000006</v>
      </c>
      <c r="BW134" s="97"/>
      <c r="BX134" s="97"/>
    </row>
    <row r="135" spans="2:76" x14ac:dyDescent="0.25">
      <c r="B135" s="89">
        <v>21956</v>
      </c>
      <c r="C135" s="91" t="s">
        <v>13142</v>
      </c>
      <c r="D135" s="89"/>
      <c r="E135" s="89">
        <v>20140626</v>
      </c>
      <c r="F135" s="89" t="s">
        <v>20737</v>
      </c>
      <c r="G135" s="89" t="s">
        <v>20738</v>
      </c>
      <c r="H135" s="89" t="s">
        <v>20739</v>
      </c>
      <c r="I135" s="89" t="s">
        <v>2647</v>
      </c>
      <c r="J135" s="89" t="s">
        <v>425</v>
      </c>
      <c r="K135" s="89"/>
      <c r="L135" s="89" t="s">
        <v>2647</v>
      </c>
      <c r="M135" s="89" t="s">
        <v>4496</v>
      </c>
      <c r="N135" s="89" t="s">
        <v>4496</v>
      </c>
      <c r="O135" s="89" t="s">
        <v>4496</v>
      </c>
      <c r="P135" s="89" t="s">
        <v>4496</v>
      </c>
      <c r="Q135" s="89"/>
      <c r="R135" s="89" t="s">
        <v>198</v>
      </c>
      <c r="S135" s="89" t="s">
        <v>21572</v>
      </c>
      <c r="T135" s="89" t="s">
        <v>21573</v>
      </c>
      <c r="U135" s="89" t="str">
        <f>TRIM('Carga Tributária doenças Po (2'!$L135)</f>
        <v>CLORIDRATO DE SERTRALINA</v>
      </c>
      <c r="V135" s="89">
        <f>SUMIFS('Tabela Federal'!$E$4:$E$2069,'Tabela Federal'!$D$4:$D$2069,'Carga Tributária doenças Po (2'!$L135)</f>
        <v>1</v>
      </c>
      <c r="W135" s="89">
        <f>SUMIFS('Tabela Federal'!$E$4:$E$2069,'Tabela Federal'!$D$4:$D$2069,'Carga Tributária doenças Po (2'!$M135)</f>
        <v>0</v>
      </c>
      <c r="X135" s="89">
        <f>SUMIFS('Tabela Federal'!$E$4:$E$2069,'Tabela Federal'!$D$4:$D$2069,'Carga Tributária doenças Po (2'!$N135)</f>
        <v>0</v>
      </c>
      <c r="Y135" s="89">
        <f>SUMIFS('Tabela Federal'!$E$4:$E$2069,'Tabela Federal'!$D$4:$D$2069,'Carga Tributária doenças Po (2'!$O135)</f>
        <v>0</v>
      </c>
      <c r="Z135" s="92" t="str">
        <f>VLOOKUP('Carga Tributária doenças Po (2'!$AD135,'Carga Tributária doenças Po (2'!$CA$12:$CC$16,2,0)</f>
        <v>+</v>
      </c>
      <c r="AA135" s="89" t="s">
        <v>419</v>
      </c>
      <c r="AB135" s="89" t="s">
        <v>21780</v>
      </c>
      <c r="AC135" s="89" t="s">
        <v>21721</v>
      </c>
      <c r="AD135" s="93" t="s">
        <v>21722</v>
      </c>
      <c r="AE135" s="92" t="s">
        <v>2</v>
      </c>
      <c r="AF135" s="92" t="s">
        <v>10</v>
      </c>
      <c r="AG135" s="94">
        <v>604394</v>
      </c>
      <c r="AH135" s="95">
        <v>12594653</v>
      </c>
      <c r="AI135" s="95">
        <v>28738179.289999999</v>
      </c>
      <c r="AJ135" s="89" t="s">
        <v>426</v>
      </c>
      <c r="AK135" s="89">
        <f>IF('Carga Tributária doenças Po (2'!$Z135="+",0,SUMIFS(PISCOFINS!$I$3:$I$10518,PISCOFINS!$C$3:$C$10518,'Carga Tributária doenças Po (2'!$C135))</f>
        <v>0</v>
      </c>
      <c r="AL135" s="89">
        <f>IF('Carga Tributária doenças Po (2'!$Z135="+",0,SUMIFS(PISCOFINS!$H$3:$H$10518,PISCOFINS!$C$3:$C$10518,'Carga Tributária doenças Po (2'!$C135))</f>
        <v>0</v>
      </c>
      <c r="AM135" s="95">
        <v>3.27</v>
      </c>
      <c r="AN135" s="95">
        <v>3.12</v>
      </c>
      <c r="AO135" s="95">
        <v>1.35</v>
      </c>
      <c r="AP135" s="96">
        <v>18</v>
      </c>
      <c r="AQ135" s="96">
        <v>12</v>
      </c>
      <c r="AR135" s="96">
        <v>17</v>
      </c>
      <c r="AS135" s="97">
        <v>17</v>
      </c>
      <c r="AT135" s="97">
        <v>19</v>
      </c>
      <c r="AU135" s="97">
        <v>12</v>
      </c>
      <c r="AV135" s="97">
        <v>17</v>
      </c>
      <c r="AW135" s="97">
        <v>17</v>
      </c>
      <c r="AX135" s="97">
        <v>17</v>
      </c>
      <c r="AY135" s="97">
        <v>17</v>
      </c>
      <c r="AZ135" s="97">
        <v>17</v>
      </c>
      <c r="BA135" s="97">
        <v>17</v>
      </c>
      <c r="BB135" s="97">
        <v>17</v>
      </c>
      <c r="BC135" s="97">
        <v>17</v>
      </c>
      <c r="BD135" s="97">
        <v>17</v>
      </c>
      <c r="BE135" s="97">
        <v>17</v>
      </c>
      <c r="BF135" s="97">
        <f>+Tabela1107[[#This Row],[PIS]]+Tabela1107[[#This Row],[COFINS]]+Tabela1107[[#This Row],[CONTRIB. FOLHA]]+Tabela1107[[#This Row],[TRIBUTOS S/ LUCRO]]+Tabela1107[[#This Row],[OUTROS]]+Tabela1107[[#This Row],[SP]]</f>
        <v>25.740000000000002</v>
      </c>
      <c r="BG135" s="97">
        <f>+Tabela1107[[#This Row],[PIS]]+Tabela1107[[#This Row],[COFINS]]+Tabela1107[[#This Row],[CONTRIB. FOLHA]]+Tabela1107[[#This Row],[TRIBUTOS S/ LUCRO]]+Tabela1107[[#This Row],[OUTROS]]+Tabela1107[[#This Row],[PR]]</f>
        <v>19.740000000000002</v>
      </c>
      <c r="BH135" s="97">
        <f>+Tabela1107[[#This Row],[PIS]]+Tabela1107[[#This Row],[COFINS]]+Tabela1107[[#This Row],[CONTRIB. FOLHA]]+Tabela1107[[#This Row],[TRIBUTOS S/ LUCRO]]+Tabela1107[[#This Row],[OUTROS]]+Tabela1107[[#This Row],[SC]]</f>
        <v>24.740000000000002</v>
      </c>
      <c r="BI135" s="97">
        <f>+Tabela1107[[#This Row],[PIS]]+Tabela1107[[#This Row],[COFINS]]+Tabela1107[[#This Row],[CONTRIB. FOLHA]]+Tabela1107[[#This Row],[TRIBUTOS S/ LUCRO]]+Tabela1107[[#This Row],[OUTROS]]+Tabela1107[[#This Row],[RS]]</f>
        <v>24.740000000000002</v>
      </c>
      <c r="BJ135" s="97">
        <f>+Tabela1107[[#This Row],[PIS]]+Tabela1107[[#This Row],[COFINS]]+Tabela1107[[#This Row],[CONTRIB. FOLHA]]+Tabela1107[[#This Row],[TRIBUTOS S/ LUCRO]]+Tabela1107[[#This Row],[OUTROS]]+Tabela1107[[#This Row],[RJ]]</f>
        <v>26.740000000000002</v>
      </c>
      <c r="BK135" s="97">
        <f>+Tabela1107[[#This Row],[PIS]]+Tabela1107[[#This Row],[COFINS]]+Tabela1107[[#This Row],[CONTRIB. FOLHA]]+Tabela1107[[#This Row],[TRIBUTOS S/ LUCRO]]+Tabela1107[[#This Row],[OUTROS]]+Tabela1107[[#This Row],[MG]]</f>
        <v>19.740000000000002</v>
      </c>
      <c r="BL135" s="97">
        <f>+Tabela1107[[#This Row],[PIS]]+Tabela1107[[#This Row],[COFINS]]+Tabela1107[[#This Row],[CONTRIB. FOLHA]]+Tabela1107[[#This Row],[TRIBUTOS S/ LUCRO]]+Tabela1107[[#This Row],[OUTROS]]+Tabela1107[[#This Row],[ES]]</f>
        <v>24.740000000000002</v>
      </c>
      <c r="BM135" s="97">
        <f>+Tabela1107[[#This Row],[PIS]]+Tabela1107[[#This Row],[COFINS]]+Tabela1107[[#This Row],[CONTRIB. FOLHA]]+Tabela1107[[#This Row],[TRIBUTOS S/ LUCRO]]+Tabela1107[[#This Row],[OUTROS]]+Tabela1107[[#This Row],[GO]]</f>
        <v>24.740000000000002</v>
      </c>
      <c r="BN135" s="97">
        <f>+Tabela1107[[#This Row],[PIS]]+Tabela1107[[#This Row],[COFINS]]+Tabela1107[[#This Row],[CONTRIB. FOLHA]]+Tabela1107[[#This Row],[TRIBUTOS S/ LUCRO]]+Tabela1107[[#This Row],[OUTROS]]+Tabela1107[[#This Row],[MT]]</f>
        <v>24.740000000000002</v>
      </c>
      <c r="BO135" s="97">
        <f>+Tabela1107[[#This Row],[PIS]]+Tabela1107[[#This Row],[COFINS]]+Tabela1107[[#This Row],[CONTRIB. FOLHA]]+Tabela1107[[#This Row],[TRIBUTOS S/ LUCRO]]+Tabela1107[[#This Row],[OUTROS]]+Tabela1107[[#This Row],[MS]]</f>
        <v>24.740000000000002</v>
      </c>
      <c r="BP135" s="97">
        <f>+Tabela1107[[#This Row],[PIS]]+Tabela1107[[#This Row],[COFINS]]+Tabela1107[[#This Row],[CONTRIB. FOLHA]]+Tabela1107[[#This Row],[TRIBUTOS S/ LUCRO]]+Tabela1107[[#This Row],[OUTROS]]+Tabela1107[[#This Row],[DF]]</f>
        <v>24.740000000000002</v>
      </c>
      <c r="BQ135" s="97">
        <f>+Tabela1107[[#This Row],[PIS]]+Tabela1107[[#This Row],[COFINS]]+Tabela1107[[#This Row],[CONTRIB. FOLHA]]+Tabela1107[[#This Row],[TRIBUTOS S/ LUCRO]]+Tabela1107[[#This Row],[OUTROS]]+Tabela1107[[#This Row],[BA]]</f>
        <v>24.740000000000002</v>
      </c>
      <c r="BR135" s="97">
        <f>+Tabela1107[[#This Row],[PIS]]+Tabela1107[[#This Row],[COFINS]]+Tabela1107[[#This Row],[CONTRIB. FOLHA]]+Tabela1107[[#This Row],[TRIBUTOS S/ LUCRO]]+Tabela1107[[#This Row],[OUTROS]]+Tabela1107[[#This Row],[BA]]</f>
        <v>24.740000000000002</v>
      </c>
      <c r="BS135" s="97">
        <f>+Tabela1107[[#This Row],[PIS]]+Tabela1107[[#This Row],[COFINS]]+Tabela1107[[#This Row],[CONTRIB. FOLHA]]+Tabela1107[[#This Row],[TRIBUTOS S/ LUCRO]]+Tabela1107[[#This Row],[OUTROS]]+Tabela1107[[#This Row],[PE]]</f>
        <v>24.740000000000002</v>
      </c>
      <c r="BT135" s="97">
        <f>+Tabela1107[[#This Row],[PIS]]+Tabela1107[[#This Row],[COFINS]]+Tabela1107[[#This Row],[CONTRIB. FOLHA]]+Tabela1107[[#This Row],[TRIBUTOS S/ LUCRO]]+Tabela1107[[#This Row],[OUTROS]]+Tabela1107[[#This Row],[PA]]</f>
        <v>24.740000000000002</v>
      </c>
      <c r="BU135" s="97">
        <f>+Tabela1107[[#This Row],[PIS]]+Tabela1107[[#This Row],[COFINS]]+Tabela1107[[#This Row],[CONTRIB. FOLHA]]+Tabela1107[[#This Row],[TRIBUTOS S/ LUCRO]]+Tabela1107[[#This Row],[OUTROS]]+Tabela1107[[#This Row],[AM]]</f>
        <v>24.740000000000002</v>
      </c>
      <c r="BV135" s="97">
        <f>AVERAGE(Tabela1107[[#This Row],[TOTAL SP]:[TOTAL AM]])</f>
        <v>24.302500000000006</v>
      </c>
      <c r="BW135" s="97"/>
      <c r="BX135" s="97"/>
    </row>
    <row r="136" spans="2:76" x14ac:dyDescent="0.25">
      <c r="B136" s="89">
        <v>18687</v>
      </c>
      <c r="C136" s="106" t="s">
        <v>13183</v>
      </c>
      <c r="D136" s="89"/>
      <c r="E136" s="89">
        <v>20140626</v>
      </c>
      <c r="F136" s="66" t="s">
        <v>21841</v>
      </c>
      <c r="G136" s="98" t="s">
        <v>21940</v>
      </c>
      <c r="H136" s="98" t="s">
        <v>21926</v>
      </c>
      <c r="I136" s="89" t="s">
        <v>21914</v>
      </c>
      <c r="J136" s="89" t="s">
        <v>248</v>
      </c>
      <c r="K136" s="89" t="s">
        <v>2476</v>
      </c>
      <c r="L136" s="89" t="s">
        <v>2648</v>
      </c>
      <c r="M136" s="89" t="s">
        <v>4496</v>
      </c>
      <c r="N136" s="89" t="s">
        <v>4496</v>
      </c>
      <c r="O136" s="89" t="s">
        <v>4496</v>
      </c>
      <c r="P136" s="89" t="s">
        <v>4496</v>
      </c>
      <c r="Q136" s="89"/>
      <c r="R136" s="89" t="s">
        <v>68</v>
      </c>
      <c r="S136" s="89" t="s">
        <v>21664</v>
      </c>
      <c r="T136" s="98" t="s">
        <v>21665</v>
      </c>
      <c r="U136" s="89" t="str">
        <f>TRIM('Carga Tributária doenças Po (2'!$L136)</f>
        <v>COLCHICINA</v>
      </c>
      <c r="V136" s="89">
        <f>SUMIFS('Tabela Federal'!$E$4:$E$2069,'Tabela Federal'!$D$4:$D$2069,'Carga Tributária doenças Po (2'!$L136)</f>
        <v>1</v>
      </c>
      <c r="W136" s="89">
        <f>SUMIFS('Tabela Federal'!$E$4:$E$2069,'Tabela Federal'!$D$4:$D$2069,'Carga Tributária doenças Po (2'!$M136)</f>
        <v>0</v>
      </c>
      <c r="X136" s="89">
        <f>SUMIFS('Tabela Federal'!$E$4:$E$2069,'Tabela Federal'!$D$4:$D$2069,'Carga Tributária doenças Po (2'!$N136)</f>
        <v>0</v>
      </c>
      <c r="Y136" s="89">
        <f>SUMIFS('Tabela Federal'!$E$4:$E$2069,'Tabela Federal'!$D$4:$D$2069,'Carga Tributária doenças Po (2'!$O136)</f>
        <v>0</v>
      </c>
      <c r="Z136" s="92" t="str">
        <f>VLOOKUP('Carga Tributária doenças Po (2'!$AD136,'Carga Tributária doenças Po (2'!$CA$12:$CC$16,2,0)</f>
        <v>+</v>
      </c>
      <c r="AA136" s="89" t="s">
        <v>242</v>
      </c>
      <c r="AB136" s="89" t="s">
        <v>21840</v>
      </c>
      <c r="AC136" s="89" t="s">
        <v>21721</v>
      </c>
      <c r="AD136" s="93" t="s">
        <v>21722</v>
      </c>
      <c r="AE136" s="92" t="s">
        <v>2</v>
      </c>
      <c r="AF136" s="92" t="s">
        <v>3</v>
      </c>
      <c r="AG136" s="94">
        <v>434894</v>
      </c>
      <c r="AH136" s="95">
        <v>1954886</v>
      </c>
      <c r="AI136" s="95">
        <v>4451724.22</v>
      </c>
      <c r="AJ136" s="89" t="s">
        <v>250</v>
      </c>
      <c r="AK136" s="89">
        <f>IF('Carga Tributária doenças Po (2'!$Z136="+",0,SUMIFS(PISCOFINS!$I$3:$I$10518,PISCOFINS!$C$3:$C$10518,'Carga Tributária doenças Po (2'!$C136))</f>
        <v>0</v>
      </c>
      <c r="AL136" s="89">
        <f>IF('Carga Tributária doenças Po (2'!$Z136="+",0,SUMIFS(PISCOFINS!$H$3:$H$10518,PISCOFINS!$C$3:$C$10518,'Carga Tributária doenças Po (2'!$C136))</f>
        <v>0</v>
      </c>
      <c r="AM136" s="95">
        <v>3.27</v>
      </c>
      <c r="AN136" s="95">
        <v>3.12</v>
      </c>
      <c r="AO136" s="95">
        <v>1.35</v>
      </c>
      <c r="AP136" s="96">
        <v>18</v>
      </c>
      <c r="AQ136" s="96">
        <v>12</v>
      </c>
      <c r="AR136" s="96">
        <v>17</v>
      </c>
      <c r="AS136" s="97">
        <v>17</v>
      </c>
      <c r="AT136" s="97">
        <v>19</v>
      </c>
      <c r="AU136" s="97">
        <v>18</v>
      </c>
      <c r="AV136" s="97">
        <v>17</v>
      </c>
      <c r="AW136" s="97">
        <v>17</v>
      </c>
      <c r="AX136" s="97">
        <v>17</v>
      </c>
      <c r="AY136" s="97">
        <v>17</v>
      </c>
      <c r="AZ136" s="97">
        <v>17</v>
      </c>
      <c r="BA136" s="97">
        <v>17</v>
      </c>
      <c r="BB136" s="97">
        <v>17</v>
      </c>
      <c r="BC136" s="97">
        <v>17</v>
      </c>
      <c r="BD136" s="97">
        <v>17</v>
      </c>
      <c r="BE136" s="97">
        <v>17</v>
      </c>
      <c r="BF136" s="97">
        <f>+Tabela1107[[#This Row],[PIS]]+Tabela1107[[#This Row],[COFINS]]+Tabela1107[[#This Row],[CONTRIB. FOLHA]]+Tabela1107[[#This Row],[TRIBUTOS S/ LUCRO]]+Tabela1107[[#This Row],[OUTROS]]+Tabela1107[[#This Row],[SP]]</f>
        <v>25.740000000000002</v>
      </c>
      <c r="BG136" s="97">
        <f>+Tabela1107[[#This Row],[PIS]]+Tabela1107[[#This Row],[COFINS]]+Tabela1107[[#This Row],[CONTRIB. FOLHA]]+Tabela1107[[#This Row],[TRIBUTOS S/ LUCRO]]+Tabela1107[[#This Row],[OUTROS]]+Tabela1107[[#This Row],[PR]]</f>
        <v>19.740000000000002</v>
      </c>
      <c r="BH136" s="97">
        <f>+Tabela1107[[#This Row],[PIS]]+Tabela1107[[#This Row],[COFINS]]+Tabela1107[[#This Row],[CONTRIB. FOLHA]]+Tabela1107[[#This Row],[TRIBUTOS S/ LUCRO]]+Tabela1107[[#This Row],[OUTROS]]+Tabela1107[[#This Row],[SC]]</f>
        <v>24.740000000000002</v>
      </c>
      <c r="BI136" s="97">
        <f>+Tabela1107[[#This Row],[PIS]]+Tabela1107[[#This Row],[COFINS]]+Tabela1107[[#This Row],[CONTRIB. FOLHA]]+Tabela1107[[#This Row],[TRIBUTOS S/ LUCRO]]+Tabela1107[[#This Row],[OUTROS]]+Tabela1107[[#This Row],[RS]]</f>
        <v>24.740000000000002</v>
      </c>
      <c r="BJ136" s="97">
        <f>+Tabela1107[[#This Row],[PIS]]+Tabela1107[[#This Row],[COFINS]]+Tabela1107[[#This Row],[CONTRIB. FOLHA]]+Tabela1107[[#This Row],[TRIBUTOS S/ LUCRO]]+Tabela1107[[#This Row],[OUTROS]]+Tabela1107[[#This Row],[RJ]]</f>
        <v>26.740000000000002</v>
      </c>
      <c r="BK136" s="97">
        <f>+Tabela1107[[#This Row],[PIS]]+Tabela1107[[#This Row],[COFINS]]+Tabela1107[[#This Row],[CONTRIB. FOLHA]]+Tabela1107[[#This Row],[TRIBUTOS S/ LUCRO]]+Tabela1107[[#This Row],[OUTROS]]+Tabela1107[[#This Row],[MG]]</f>
        <v>25.740000000000002</v>
      </c>
      <c r="BL136" s="97">
        <f>+Tabela1107[[#This Row],[PIS]]+Tabela1107[[#This Row],[COFINS]]+Tabela1107[[#This Row],[CONTRIB. FOLHA]]+Tabela1107[[#This Row],[TRIBUTOS S/ LUCRO]]+Tabela1107[[#This Row],[OUTROS]]+Tabela1107[[#This Row],[ES]]</f>
        <v>24.740000000000002</v>
      </c>
      <c r="BM136" s="97">
        <f>+Tabela1107[[#This Row],[PIS]]+Tabela1107[[#This Row],[COFINS]]+Tabela1107[[#This Row],[CONTRIB. FOLHA]]+Tabela1107[[#This Row],[TRIBUTOS S/ LUCRO]]+Tabela1107[[#This Row],[OUTROS]]+Tabela1107[[#This Row],[GO]]</f>
        <v>24.740000000000002</v>
      </c>
      <c r="BN136" s="97">
        <f>+Tabela1107[[#This Row],[PIS]]+Tabela1107[[#This Row],[COFINS]]+Tabela1107[[#This Row],[CONTRIB. FOLHA]]+Tabela1107[[#This Row],[TRIBUTOS S/ LUCRO]]+Tabela1107[[#This Row],[OUTROS]]+Tabela1107[[#This Row],[MT]]</f>
        <v>24.740000000000002</v>
      </c>
      <c r="BO136" s="97">
        <f>+Tabela1107[[#This Row],[PIS]]+Tabela1107[[#This Row],[COFINS]]+Tabela1107[[#This Row],[CONTRIB. FOLHA]]+Tabela1107[[#This Row],[TRIBUTOS S/ LUCRO]]+Tabela1107[[#This Row],[OUTROS]]+Tabela1107[[#This Row],[MS]]</f>
        <v>24.740000000000002</v>
      </c>
      <c r="BP136" s="97">
        <f>+Tabela1107[[#This Row],[PIS]]+Tabela1107[[#This Row],[COFINS]]+Tabela1107[[#This Row],[CONTRIB. FOLHA]]+Tabela1107[[#This Row],[TRIBUTOS S/ LUCRO]]+Tabela1107[[#This Row],[OUTROS]]+Tabela1107[[#This Row],[DF]]</f>
        <v>24.740000000000002</v>
      </c>
      <c r="BQ136" s="97">
        <f>+Tabela1107[[#This Row],[PIS]]+Tabela1107[[#This Row],[COFINS]]+Tabela1107[[#This Row],[CONTRIB. FOLHA]]+Tabela1107[[#This Row],[TRIBUTOS S/ LUCRO]]+Tabela1107[[#This Row],[OUTROS]]+Tabela1107[[#This Row],[BA]]</f>
        <v>24.740000000000002</v>
      </c>
      <c r="BR136" s="97">
        <f>+Tabela1107[[#This Row],[PIS]]+Tabela1107[[#This Row],[COFINS]]+Tabela1107[[#This Row],[CONTRIB. FOLHA]]+Tabela1107[[#This Row],[TRIBUTOS S/ LUCRO]]+Tabela1107[[#This Row],[OUTROS]]+Tabela1107[[#This Row],[BA]]</f>
        <v>24.740000000000002</v>
      </c>
      <c r="BS136" s="97">
        <f>+Tabela1107[[#This Row],[PIS]]+Tabela1107[[#This Row],[COFINS]]+Tabela1107[[#This Row],[CONTRIB. FOLHA]]+Tabela1107[[#This Row],[TRIBUTOS S/ LUCRO]]+Tabela1107[[#This Row],[OUTROS]]+Tabela1107[[#This Row],[PE]]</f>
        <v>24.740000000000002</v>
      </c>
      <c r="BT136" s="97">
        <f>+Tabela1107[[#This Row],[PIS]]+Tabela1107[[#This Row],[COFINS]]+Tabela1107[[#This Row],[CONTRIB. FOLHA]]+Tabela1107[[#This Row],[TRIBUTOS S/ LUCRO]]+Tabela1107[[#This Row],[OUTROS]]+Tabela1107[[#This Row],[PA]]</f>
        <v>24.740000000000002</v>
      </c>
      <c r="BU136" s="97">
        <f>+Tabela1107[[#This Row],[PIS]]+Tabela1107[[#This Row],[COFINS]]+Tabela1107[[#This Row],[CONTRIB. FOLHA]]+Tabela1107[[#This Row],[TRIBUTOS S/ LUCRO]]+Tabela1107[[#This Row],[OUTROS]]+Tabela1107[[#This Row],[AM]]</f>
        <v>24.740000000000002</v>
      </c>
      <c r="BV136" s="97">
        <f>AVERAGE(Tabela1107[[#This Row],[TOTAL SP]:[TOTAL AM]])</f>
        <v>24.677500000000006</v>
      </c>
      <c r="BW136" s="97"/>
      <c r="BX136" s="97"/>
    </row>
    <row r="137" spans="2:76" x14ac:dyDescent="0.25">
      <c r="B137" s="89">
        <v>23702</v>
      </c>
      <c r="C137" s="91" t="s">
        <v>13038</v>
      </c>
      <c r="D137" s="89"/>
      <c r="E137" s="89">
        <v>20140626</v>
      </c>
      <c r="F137" s="89" t="s">
        <v>20416</v>
      </c>
      <c r="G137" s="89" t="s">
        <v>20417</v>
      </c>
      <c r="H137" s="89" t="s">
        <v>20418</v>
      </c>
      <c r="I137" s="89" t="s">
        <v>20419</v>
      </c>
      <c r="J137" s="89" t="s">
        <v>249</v>
      </c>
      <c r="K137" s="89" t="s">
        <v>2476</v>
      </c>
      <c r="L137" s="89" t="s">
        <v>2648</v>
      </c>
      <c r="M137" s="89" t="s">
        <v>4496</v>
      </c>
      <c r="N137" s="89" t="s">
        <v>4496</v>
      </c>
      <c r="O137" s="89" t="s">
        <v>4496</v>
      </c>
      <c r="P137" s="89" t="s">
        <v>4496</v>
      </c>
      <c r="Q137" s="89"/>
      <c r="R137" s="89" t="s">
        <v>109</v>
      </c>
      <c r="S137" s="89" t="s">
        <v>21578</v>
      </c>
      <c r="T137" s="89" t="s">
        <v>21579</v>
      </c>
      <c r="U137" s="89" t="str">
        <f>TRIM('Carga Tributária doenças Po (2'!$L137)</f>
        <v>COLCHICINA</v>
      </c>
      <c r="V137" s="89">
        <f>SUMIFS('Tabela Federal'!$E$4:$E$2069,'Tabela Federal'!$D$4:$D$2069,'Carga Tributária doenças Po (2'!$L137)</f>
        <v>1</v>
      </c>
      <c r="W137" s="89">
        <f>SUMIFS('Tabela Federal'!$E$4:$E$2069,'Tabela Federal'!$D$4:$D$2069,'Carga Tributária doenças Po (2'!$M137)</f>
        <v>0</v>
      </c>
      <c r="X137" s="89">
        <f>SUMIFS('Tabela Federal'!$E$4:$E$2069,'Tabela Federal'!$D$4:$D$2069,'Carga Tributária doenças Po (2'!$N137)</f>
        <v>0</v>
      </c>
      <c r="Y137" s="89">
        <f>SUMIFS('Tabela Federal'!$E$4:$E$2069,'Tabela Federal'!$D$4:$D$2069,'Carga Tributária doenças Po (2'!$O137)</f>
        <v>0</v>
      </c>
      <c r="Z137" s="92" t="str">
        <f>VLOOKUP('Carga Tributária doenças Po (2'!$AD137,'Carga Tributária doenças Po (2'!$CA$12:$CC$16,2,0)</f>
        <v>+</v>
      </c>
      <c r="AA137" s="89" t="s">
        <v>242</v>
      </c>
      <c r="AB137" s="89" t="s">
        <v>21840</v>
      </c>
      <c r="AC137" s="89" t="s">
        <v>21721</v>
      </c>
      <c r="AD137" s="93" t="s">
        <v>21722</v>
      </c>
      <c r="AE137" s="92" t="s">
        <v>2</v>
      </c>
      <c r="AF137" s="92" t="s">
        <v>23</v>
      </c>
      <c r="AG137" s="94">
        <v>298401</v>
      </c>
      <c r="AH137" s="95">
        <v>4054885</v>
      </c>
      <c r="AI137" s="95">
        <v>9257105.9800000004</v>
      </c>
      <c r="AJ137" s="89" t="s">
        <v>250</v>
      </c>
      <c r="AK137" s="89">
        <f>IF('Carga Tributária doenças Po (2'!$Z137="+",0,SUMIFS(PISCOFINS!$I$3:$I$10518,PISCOFINS!$C$3:$C$10518,'Carga Tributária doenças Po (2'!$C137))</f>
        <v>0</v>
      </c>
      <c r="AL137" s="89">
        <f>IF('Carga Tributária doenças Po (2'!$Z137="+",0,SUMIFS(PISCOFINS!$H$3:$H$10518,PISCOFINS!$C$3:$C$10518,'Carga Tributária doenças Po (2'!$C137))</f>
        <v>0</v>
      </c>
      <c r="AM137" s="95">
        <v>3.27</v>
      </c>
      <c r="AN137" s="95">
        <v>3.12</v>
      </c>
      <c r="AO137" s="95">
        <v>1.35</v>
      </c>
      <c r="AP137" s="96">
        <v>18</v>
      </c>
      <c r="AQ137" s="96">
        <v>12</v>
      </c>
      <c r="AR137" s="96">
        <v>17</v>
      </c>
      <c r="AS137" s="97">
        <v>17</v>
      </c>
      <c r="AT137" s="97">
        <v>19</v>
      </c>
      <c r="AU137" s="97">
        <v>18</v>
      </c>
      <c r="AV137" s="97">
        <v>17</v>
      </c>
      <c r="AW137" s="97">
        <v>17</v>
      </c>
      <c r="AX137" s="97">
        <v>17</v>
      </c>
      <c r="AY137" s="97">
        <v>17</v>
      </c>
      <c r="AZ137" s="97">
        <v>17</v>
      </c>
      <c r="BA137" s="97">
        <v>17</v>
      </c>
      <c r="BB137" s="97">
        <v>17</v>
      </c>
      <c r="BC137" s="97">
        <v>17</v>
      </c>
      <c r="BD137" s="97">
        <v>17</v>
      </c>
      <c r="BE137" s="97">
        <v>17</v>
      </c>
      <c r="BF137" s="97">
        <f>+Tabela1107[[#This Row],[PIS]]+Tabela1107[[#This Row],[COFINS]]+Tabela1107[[#This Row],[CONTRIB. FOLHA]]+Tabela1107[[#This Row],[TRIBUTOS S/ LUCRO]]+Tabela1107[[#This Row],[OUTROS]]+Tabela1107[[#This Row],[SP]]</f>
        <v>25.740000000000002</v>
      </c>
      <c r="BG137" s="97">
        <f>+Tabela1107[[#This Row],[PIS]]+Tabela1107[[#This Row],[COFINS]]+Tabela1107[[#This Row],[CONTRIB. FOLHA]]+Tabela1107[[#This Row],[TRIBUTOS S/ LUCRO]]+Tabela1107[[#This Row],[OUTROS]]+Tabela1107[[#This Row],[PR]]</f>
        <v>19.740000000000002</v>
      </c>
      <c r="BH137" s="97">
        <f>+Tabela1107[[#This Row],[PIS]]+Tabela1107[[#This Row],[COFINS]]+Tabela1107[[#This Row],[CONTRIB. FOLHA]]+Tabela1107[[#This Row],[TRIBUTOS S/ LUCRO]]+Tabela1107[[#This Row],[OUTROS]]+Tabela1107[[#This Row],[SC]]</f>
        <v>24.740000000000002</v>
      </c>
      <c r="BI137" s="97">
        <f>+Tabela1107[[#This Row],[PIS]]+Tabela1107[[#This Row],[COFINS]]+Tabela1107[[#This Row],[CONTRIB. FOLHA]]+Tabela1107[[#This Row],[TRIBUTOS S/ LUCRO]]+Tabela1107[[#This Row],[OUTROS]]+Tabela1107[[#This Row],[RS]]</f>
        <v>24.740000000000002</v>
      </c>
      <c r="BJ137" s="97">
        <f>+Tabela1107[[#This Row],[PIS]]+Tabela1107[[#This Row],[COFINS]]+Tabela1107[[#This Row],[CONTRIB. FOLHA]]+Tabela1107[[#This Row],[TRIBUTOS S/ LUCRO]]+Tabela1107[[#This Row],[OUTROS]]+Tabela1107[[#This Row],[RJ]]</f>
        <v>26.740000000000002</v>
      </c>
      <c r="BK137" s="97">
        <f>+Tabela1107[[#This Row],[PIS]]+Tabela1107[[#This Row],[COFINS]]+Tabela1107[[#This Row],[CONTRIB. FOLHA]]+Tabela1107[[#This Row],[TRIBUTOS S/ LUCRO]]+Tabela1107[[#This Row],[OUTROS]]+Tabela1107[[#This Row],[MG]]</f>
        <v>25.740000000000002</v>
      </c>
      <c r="BL137" s="97">
        <f>+Tabela1107[[#This Row],[PIS]]+Tabela1107[[#This Row],[COFINS]]+Tabela1107[[#This Row],[CONTRIB. FOLHA]]+Tabela1107[[#This Row],[TRIBUTOS S/ LUCRO]]+Tabela1107[[#This Row],[OUTROS]]+Tabela1107[[#This Row],[ES]]</f>
        <v>24.740000000000002</v>
      </c>
      <c r="BM137" s="97">
        <f>+Tabela1107[[#This Row],[PIS]]+Tabela1107[[#This Row],[COFINS]]+Tabela1107[[#This Row],[CONTRIB. FOLHA]]+Tabela1107[[#This Row],[TRIBUTOS S/ LUCRO]]+Tabela1107[[#This Row],[OUTROS]]+Tabela1107[[#This Row],[GO]]</f>
        <v>24.740000000000002</v>
      </c>
      <c r="BN137" s="97">
        <f>+Tabela1107[[#This Row],[PIS]]+Tabela1107[[#This Row],[COFINS]]+Tabela1107[[#This Row],[CONTRIB. FOLHA]]+Tabela1107[[#This Row],[TRIBUTOS S/ LUCRO]]+Tabela1107[[#This Row],[OUTROS]]+Tabela1107[[#This Row],[MT]]</f>
        <v>24.740000000000002</v>
      </c>
      <c r="BO137" s="97">
        <f>+Tabela1107[[#This Row],[PIS]]+Tabela1107[[#This Row],[COFINS]]+Tabela1107[[#This Row],[CONTRIB. FOLHA]]+Tabela1107[[#This Row],[TRIBUTOS S/ LUCRO]]+Tabela1107[[#This Row],[OUTROS]]+Tabela1107[[#This Row],[MS]]</f>
        <v>24.740000000000002</v>
      </c>
      <c r="BP137" s="97">
        <f>+Tabela1107[[#This Row],[PIS]]+Tabela1107[[#This Row],[COFINS]]+Tabela1107[[#This Row],[CONTRIB. FOLHA]]+Tabela1107[[#This Row],[TRIBUTOS S/ LUCRO]]+Tabela1107[[#This Row],[OUTROS]]+Tabela1107[[#This Row],[DF]]</f>
        <v>24.740000000000002</v>
      </c>
      <c r="BQ137" s="97">
        <f>+Tabela1107[[#This Row],[PIS]]+Tabela1107[[#This Row],[COFINS]]+Tabela1107[[#This Row],[CONTRIB. FOLHA]]+Tabela1107[[#This Row],[TRIBUTOS S/ LUCRO]]+Tabela1107[[#This Row],[OUTROS]]+Tabela1107[[#This Row],[BA]]</f>
        <v>24.740000000000002</v>
      </c>
      <c r="BR137" s="97">
        <f>+Tabela1107[[#This Row],[PIS]]+Tabela1107[[#This Row],[COFINS]]+Tabela1107[[#This Row],[CONTRIB. FOLHA]]+Tabela1107[[#This Row],[TRIBUTOS S/ LUCRO]]+Tabela1107[[#This Row],[OUTROS]]+Tabela1107[[#This Row],[BA]]</f>
        <v>24.740000000000002</v>
      </c>
      <c r="BS137" s="97">
        <f>+Tabela1107[[#This Row],[PIS]]+Tabela1107[[#This Row],[COFINS]]+Tabela1107[[#This Row],[CONTRIB. FOLHA]]+Tabela1107[[#This Row],[TRIBUTOS S/ LUCRO]]+Tabela1107[[#This Row],[OUTROS]]+Tabela1107[[#This Row],[PE]]</f>
        <v>24.740000000000002</v>
      </c>
      <c r="BT137" s="97">
        <f>+Tabela1107[[#This Row],[PIS]]+Tabela1107[[#This Row],[COFINS]]+Tabela1107[[#This Row],[CONTRIB. FOLHA]]+Tabela1107[[#This Row],[TRIBUTOS S/ LUCRO]]+Tabela1107[[#This Row],[OUTROS]]+Tabela1107[[#This Row],[PA]]</f>
        <v>24.740000000000002</v>
      </c>
      <c r="BU137" s="97">
        <f>+Tabela1107[[#This Row],[PIS]]+Tabela1107[[#This Row],[COFINS]]+Tabela1107[[#This Row],[CONTRIB. FOLHA]]+Tabela1107[[#This Row],[TRIBUTOS S/ LUCRO]]+Tabela1107[[#This Row],[OUTROS]]+Tabela1107[[#This Row],[AM]]</f>
        <v>24.740000000000002</v>
      </c>
      <c r="BV137" s="97">
        <f>AVERAGE(Tabela1107[[#This Row],[TOTAL SP]:[TOTAL AM]])</f>
        <v>24.677500000000006</v>
      </c>
      <c r="BW137" s="97"/>
      <c r="BX137" s="97"/>
    </row>
    <row r="138" spans="2:76" x14ac:dyDescent="0.25">
      <c r="B138" s="89">
        <v>722</v>
      </c>
      <c r="C138" s="91" t="s">
        <v>13183</v>
      </c>
      <c r="D138" s="89"/>
      <c r="E138" s="89">
        <v>20140626</v>
      </c>
      <c r="F138" s="98" t="s">
        <v>21969</v>
      </c>
      <c r="G138" s="71" t="s">
        <v>21970</v>
      </c>
      <c r="H138" s="98" t="s">
        <v>21971</v>
      </c>
      <c r="I138" s="89" t="s">
        <v>20284</v>
      </c>
      <c r="J138" s="89" t="s">
        <v>21972</v>
      </c>
      <c r="K138" s="89"/>
      <c r="L138" s="89" t="s">
        <v>2800</v>
      </c>
      <c r="M138" s="89" t="s">
        <v>3364</v>
      </c>
      <c r="N138" s="89" t="s">
        <v>4598</v>
      </c>
      <c r="O138" s="89" t="s">
        <v>4166</v>
      </c>
      <c r="P138" s="89" t="s">
        <v>4496</v>
      </c>
      <c r="Q138" s="89"/>
      <c r="R138" s="89" t="s">
        <v>1</v>
      </c>
      <c r="S138" s="89" t="s">
        <v>21568</v>
      </c>
      <c r="T138" s="89" t="s">
        <v>21569</v>
      </c>
      <c r="U138" s="89" t="str">
        <f>TRIM('Carga Tributária doenças Po (2'!$L138)</f>
        <v>GLICINATO FERRICO</v>
      </c>
      <c r="V138" s="89">
        <f>SUMIFS('Tabela Federal'!$E$4:$E$2069,'Tabela Federal'!$D$4:$D$2069,'Carga Tributária doenças Po (2'!$L138)</f>
        <v>0</v>
      </c>
      <c r="W138" s="89">
        <f>SUMIFS('Tabela Federal'!$E$4:$E$2069,'Tabela Federal'!$D$4:$D$2069,'Carga Tributária doenças Po (2'!$M138)</f>
        <v>7</v>
      </c>
      <c r="X138" s="89">
        <f>SUMIFS('Tabela Federal'!$E$4:$E$2069,'Tabela Federal'!$D$4:$D$2069,'Carga Tributária doenças Po (2'!$N138)</f>
        <v>1</v>
      </c>
      <c r="Y138" s="89">
        <f>SUMIFS('Tabela Federal'!$E$4:$E$2069,'Tabela Federal'!$D$4:$D$2069,'Carga Tributária doenças Po (2'!$O138)</f>
        <v>2</v>
      </c>
      <c r="Z138" s="92" t="str">
        <f>VLOOKUP('Carga Tributária doenças Po (2'!$AD138,'Carga Tributária doenças Po (2'!$CA$12:$CC$16,2,0)</f>
        <v>-</v>
      </c>
      <c r="AA138" s="89" t="s">
        <v>179</v>
      </c>
      <c r="AB138" s="89" t="s">
        <v>21737</v>
      </c>
      <c r="AC138" s="89" t="s">
        <v>21721</v>
      </c>
      <c r="AD138" s="93" t="s">
        <v>19523</v>
      </c>
      <c r="AE138" s="92" t="s">
        <v>4</v>
      </c>
      <c r="AF138" s="92" t="s">
        <v>3</v>
      </c>
      <c r="AG138" s="94">
        <v>599313</v>
      </c>
      <c r="AH138" s="95">
        <v>2411474</v>
      </c>
      <c r="AI138" s="95">
        <v>5503566.5099999998</v>
      </c>
      <c r="AJ138" s="89" t="s">
        <v>174</v>
      </c>
      <c r="AK138" s="89">
        <f>IF('Carga Tributária doenças Po (2'!$Z138="+",0,SUMIFS(PISCOFINS!$I$3:$I$10518,PISCOFINS!$C$3:$C$10518,'Carga Tributária doenças Po (2'!$C138))</f>
        <v>2.1</v>
      </c>
      <c r="AL138" s="89">
        <f>IF('Carga Tributária doenças Po (2'!$Z138="+",0,SUMIFS(PISCOFINS!$H$3:$H$10518,PISCOFINS!$C$3:$C$10518,'Carga Tributária doenças Po (2'!$C138))</f>
        <v>9.9</v>
      </c>
      <c r="AM138" s="95">
        <v>3.27</v>
      </c>
      <c r="AN138" s="95">
        <v>3.12</v>
      </c>
      <c r="AO138" s="95">
        <v>1.35</v>
      </c>
      <c r="AP138" s="96">
        <v>18</v>
      </c>
      <c r="AQ138" s="96">
        <v>12</v>
      </c>
      <c r="AR138" s="96">
        <v>17</v>
      </c>
      <c r="AS138" s="97">
        <v>17</v>
      </c>
      <c r="AT138" s="97">
        <v>19</v>
      </c>
      <c r="AU138" s="97">
        <v>18</v>
      </c>
      <c r="AV138" s="97">
        <v>17</v>
      </c>
      <c r="AW138" s="97">
        <v>17</v>
      </c>
      <c r="AX138" s="97">
        <v>17</v>
      </c>
      <c r="AY138" s="97">
        <v>17</v>
      </c>
      <c r="AZ138" s="97">
        <v>17</v>
      </c>
      <c r="BA138" s="97">
        <v>17</v>
      </c>
      <c r="BB138" s="97">
        <v>17</v>
      </c>
      <c r="BC138" s="97">
        <v>17</v>
      </c>
      <c r="BD138" s="97">
        <v>17</v>
      </c>
      <c r="BE138" s="97">
        <v>17</v>
      </c>
      <c r="BF138" s="97">
        <f>+Tabela1107[[#This Row],[PIS]]+Tabela1107[[#This Row],[COFINS]]+Tabela1107[[#This Row],[CONTRIB. FOLHA]]+Tabela1107[[#This Row],[TRIBUTOS S/ LUCRO]]+Tabela1107[[#This Row],[OUTROS]]+Tabela1107[[#This Row],[SP]]</f>
        <v>37.74</v>
      </c>
      <c r="BG138" s="97">
        <f>+Tabela1107[[#This Row],[PIS]]+Tabela1107[[#This Row],[COFINS]]+Tabela1107[[#This Row],[CONTRIB. FOLHA]]+Tabela1107[[#This Row],[TRIBUTOS S/ LUCRO]]+Tabela1107[[#This Row],[OUTROS]]+Tabela1107[[#This Row],[PR]]</f>
        <v>31.740000000000002</v>
      </c>
      <c r="BH138" s="97">
        <f>+Tabela1107[[#This Row],[PIS]]+Tabela1107[[#This Row],[COFINS]]+Tabela1107[[#This Row],[CONTRIB. FOLHA]]+Tabela1107[[#This Row],[TRIBUTOS S/ LUCRO]]+Tabela1107[[#This Row],[OUTROS]]+Tabela1107[[#This Row],[SC]]</f>
        <v>36.74</v>
      </c>
      <c r="BI138" s="97">
        <f>+Tabela1107[[#This Row],[PIS]]+Tabela1107[[#This Row],[COFINS]]+Tabela1107[[#This Row],[CONTRIB. FOLHA]]+Tabela1107[[#This Row],[TRIBUTOS S/ LUCRO]]+Tabela1107[[#This Row],[OUTROS]]+Tabela1107[[#This Row],[RS]]</f>
        <v>36.74</v>
      </c>
      <c r="BJ138" s="97">
        <f>+Tabela1107[[#This Row],[PIS]]+Tabela1107[[#This Row],[COFINS]]+Tabela1107[[#This Row],[CONTRIB. FOLHA]]+Tabela1107[[#This Row],[TRIBUTOS S/ LUCRO]]+Tabela1107[[#This Row],[OUTROS]]+Tabela1107[[#This Row],[RJ]]</f>
        <v>38.74</v>
      </c>
      <c r="BK138" s="97">
        <f>+Tabela1107[[#This Row],[PIS]]+Tabela1107[[#This Row],[COFINS]]+Tabela1107[[#This Row],[CONTRIB. FOLHA]]+Tabela1107[[#This Row],[TRIBUTOS S/ LUCRO]]+Tabela1107[[#This Row],[OUTROS]]+Tabela1107[[#This Row],[MG]]</f>
        <v>37.74</v>
      </c>
      <c r="BL138" s="97">
        <f>+Tabela1107[[#This Row],[PIS]]+Tabela1107[[#This Row],[COFINS]]+Tabela1107[[#This Row],[CONTRIB. FOLHA]]+Tabela1107[[#This Row],[TRIBUTOS S/ LUCRO]]+Tabela1107[[#This Row],[OUTROS]]+Tabela1107[[#This Row],[ES]]</f>
        <v>36.74</v>
      </c>
      <c r="BM138" s="97">
        <f>+Tabela1107[[#This Row],[PIS]]+Tabela1107[[#This Row],[COFINS]]+Tabela1107[[#This Row],[CONTRIB. FOLHA]]+Tabela1107[[#This Row],[TRIBUTOS S/ LUCRO]]+Tabela1107[[#This Row],[OUTROS]]+Tabela1107[[#This Row],[GO]]</f>
        <v>36.74</v>
      </c>
      <c r="BN138" s="97">
        <f>+Tabela1107[[#This Row],[PIS]]+Tabela1107[[#This Row],[COFINS]]+Tabela1107[[#This Row],[CONTRIB. FOLHA]]+Tabela1107[[#This Row],[TRIBUTOS S/ LUCRO]]+Tabela1107[[#This Row],[OUTROS]]+Tabela1107[[#This Row],[MT]]</f>
        <v>36.74</v>
      </c>
      <c r="BO138" s="97">
        <f>+Tabela1107[[#This Row],[PIS]]+Tabela1107[[#This Row],[COFINS]]+Tabela1107[[#This Row],[CONTRIB. FOLHA]]+Tabela1107[[#This Row],[TRIBUTOS S/ LUCRO]]+Tabela1107[[#This Row],[OUTROS]]+Tabela1107[[#This Row],[MS]]</f>
        <v>36.74</v>
      </c>
      <c r="BP138" s="97">
        <f>+Tabela1107[[#This Row],[PIS]]+Tabela1107[[#This Row],[COFINS]]+Tabela1107[[#This Row],[CONTRIB. FOLHA]]+Tabela1107[[#This Row],[TRIBUTOS S/ LUCRO]]+Tabela1107[[#This Row],[OUTROS]]+Tabela1107[[#This Row],[DF]]</f>
        <v>36.74</v>
      </c>
      <c r="BQ138" s="97">
        <f>+Tabela1107[[#This Row],[PIS]]+Tabela1107[[#This Row],[COFINS]]+Tabela1107[[#This Row],[CONTRIB. FOLHA]]+Tabela1107[[#This Row],[TRIBUTOS S/ LUCRO]]+Tabela1107[[#This Row],[OUTROS]]+Tabela1107[[#This Row],[BA]]</f>
        <v>36.74</v>
      </c>
      <c r="BR138" s="97">
        <f>+Tabela1107[[#This Row],[PIS]]+Tabela1107[[#This Row],[COFINS]]+Tabela1107[[#This Row],[CONTRIB. FOLHA]]+Tabela1107[[#This Row],[TRIBUTOS S/ LUCRO]]+Tabela1107[[#This Row],[OUTROS]]+Tabela1107[[#This Row],[BA]]</f>
        <v>36.74</v>
      </c>
      <c r="BS138" s="97">
        <f>+Tabela1107[[#This Row],[PIS]]+Tabela1107[[#This Row],[COFINS]]+Tabela1107[[#This Row],[CONTRIB. FOLHA]]+Tabela1107[[#This Row],[TRIBUTOS S/ LUCRO]]+Tabela1107[[#This Row],[OUTROS]]+Tabela1107[[#This Row],[PE]]</f>
        <v>36.74</v>
      </c>
      <c r="BT138" s="97">
        <f>+Tabela1107[[#This Row],[PIS]]+Tabela1107[[#This Row],[COFINS]]+Tabela1107[[#This Row],[CONTRIB. FOLHA]]+Tabela1107[[#This Row],[TRIBUTOS S/ LUCRO]]+Tabela1107[[#This Row],[OUTROS]]+Tabela1107[[#This Row],[PA]]</f>
        <v>36.74</v>
      </c>
      <c r="BU138" s="97">
        <f>+Tabela1107[[#This Row],[PIS]]+Tabela1107[[#This Row],[COFINS]]+Tabela1107[[#This Row],[CONTRIB. FOLHA]]+Tabela1107[[#This Row],[TRIBUTOS S/ LUCRO]]+Tabela1107[[#This Row],[OUTROS]]+Tabela1107[[#This Row],[AM]]</f>
        <v>36.74</v>
      </c>
      <c r="BV138" s="97">
        <f>AVERAGE(Tabela1107[[#This Row],[TOTAL SP]:[TOTAL AM]])</f>
        <v>36.677500000000002</v>
      </c>
      <c r="BW138" s="97"/>
      <c r="BX138" s="97"/>
    </row>
    <row r="139" spans="2:76" x14ac:dyDescent="0.25">
      <c r="B139" s="89">
        <v>721</v>
      </c>
      <c r="C139" s="91" t="s">
        <v>13120</v>
      </c>
      <c r="D139" s="89"/>
      <c r="E139" s="89">
        <v>20140626</v>
      </c>
      <c r="F139" s="89" t="s">
        <v>20281</v>
      </c>
      <c r="G139" s="89" t="s">
        <v>20282</v>
      </c>
      <c r="H139" s="89" t="s">
        <v>20283</v>
      </c>
      <c r="I139" s="89" t="s">
        <v>20284</v>
      </c>
      <c r="J139" s="89" t="s">
        <v>178</v>
      </c>
      <c r="K139" s="89"/>
      <c r="L139" s="89" t="s">
        <v>2649</v>
      </c>
      <c r="M139" s="89" t="s">
        <v>4166</v>
      </c>
      <c r="N139" s="89" t="s">
        <v>4598</v>
      </c>
      <c r="O139" s="89" t="s">
        <v>3484</v>
      </c>
      <c r="P139" s="89" t="s">
        <v>4496</v>
      </c>
      <c r="Q139" s="89"/>
      <c r="R139" s="89" t="s">
        <v>1</v>
      </c>
      <c r="S139" s="89" t="s">
        <v>21568</v>
      </c>
      <c r="T139" s="89" t="s">
        <v>21569</v>
      </c>
      <c r="U139" s="89" t="str">
        <f>TRIM('Carga Tributária doenças Po (2'!$L139)</f>
        <v>FERROCARBONILA</v>
      </c>
      <c r="V139" s="89">
        <f>SUMIFS('Tabela Federal'!$E$4:$E$2069,'Tabela Federal'!$D$4:$D$2069,'Carga Tributária doenças Po (2'!$L139)</f>
        <v>0</v>
      </c>
      <c r="W139" s="89">
        <f>SUMIFS('Tabela Federal'!$E$4:$E$2069,'Tabela Federal'!$D$4:$D$2069,'Carga Tributária doenças Po (2'!$M139)</f>
        <v>2</v>
      </c>
      <c r="X139" s="89">
        <f>SUMIFS('Tabela Federal'!$E$4:$E$2069,'Tabela Federal'!$D$4:$D$2069,'Carga Tributária doenças Po (2'!$N139)</f>
        <v>1</v>
      </c>
      <c r="Y139" s="89">
        <f>SUMIFS('Tabela Federal'!$E$4:$E$2069,'Tabela Federal'!$D$4:$D$2069,'Carga Tributária doenças Po (2'!$O139)</f>
        <v>6</v>
      </c>
      <c r="Z139" s="92" t="str">
        <f>VLOOKUP('Carga Tributária doenças Po (2'!$AD139,'Carga Tributária doenças Po (2'!$CA$12:$CC$16,2,0)</f>
        <v>-</v>
      </c>
      <c r="AA139" s="89" t="s">
        <v>179</v>
      </c>
      <c r="AB139" s="89" t="s">
        <v>21737</v>
      </c>
      <c r="AC139" s="89" t="s">
        <v>21721</v>
      </c>
      <c r="AD139" s="93" t="s">
        <v>19523</v>
      </c>
      <c r="AE139" s="92" t="s">
        <v>4</v>
      </c>
      <c r="AF139" s="92" t="s">
        <v>3</v>
      </c>
      <c r="AG139" s="94">
        <v>1613528</v>
      </c>
      <c r="AH139" s="95">
        <v>14394211</v>
      </c>
      <c r="AI139" s="95">
        <v>32872534.949999999</v>
      </c>
      <c r="AJ139" s="89" t="s">
        <v>174</v>
      </c>
      <c r="AK139" s="89">
        <f>IF('Carga Tributária doenças Po (2'!$Z139="+",0,SUMIFS(PISCOFINS!$I$3:$I$10518,PISCOFINS!$C$3:$C$10518,'Carga Tributária doenças Po (2'!$C139))</f>
        <v>2.1</v>
      </c>
      <c r="AL139" s="89">
        <f>IF('Carga Tributária doenças Po (2'!$Z139="+",0,SUMIFS(PISCOFINS!$H$3:$H$10518,PISCOFINS!$C$3:$C$10518,'Carga Tributária doenças Po (2'!$C139))</f>
        <v>9.9</v>
      </c>
      <c r="AM139" s="95">
        <v>3.27</v>
      </c>
      <c r="AN139" s="95">
        <v>3.12</v>
      </c>
      <c r="AO139" s="95">
        <v>1.35</v>
      </c>
      <c r="AP139" s="96">
        <v>18</v>
      </c>
      <c r="AQ139" s="96">
        <v>12</v>
      </c>
      <c r="AR139" s="96">
        <v>17</v>
      </c>
      <c r="AS139" s="97">
        <v>17</v>
      </c>
      <c r="AT139" s="97">
        <v>19</v>
      </c>
      <c r="AU139" s="97">
        <v>18</v>
      </c>
      <c r="AV139" s="97">
        <v>17</v>
      </c>
      <c r="AW139" s="97">
        <v>17</v>
      </c>
      <c r="AX139" s="97">
        <v>17</v>
      </c>
      <c r="AY139" s="97">
        <v>17</v>
      </c>
      <c r="AZ139" s="97">
        <v>17</v>
      </c>
      <c r="BA139" s="97">
        <v>17</v>
      </c>
      <c r="BB139" s="97">
        <v>17</v>
      </c>
      <c r="BC139" s="97">
        <v>17</v>
      </c>
      <c r="BD139" s="97">
        <v>17</v>
      </c>
      <c r="BE139" s="97">
        <v>17</v>
      </c>
      <c r="BF139" s="97">
        <f>+Tabela1107[[#This Row],[PIS]]+Tabela1107[[#This Row],[COFINS]]+Tabela1107[[#This Row],[CONTRIB. FOLHA]]+Tabela1107[[#This Row],[TRIBUTOS S/ LUCRO]]+Tabela1107[[#This Row],[OUTROS]]+Tabela1107[[#This Row],[SP]]</f>
        <v>37.74</v>
      </c>
      <c r="BG139" s="97">
        <f>+Tabela1107[[#This Row],[PIS]]+Tabela1107[[#This Row],[COFINS]]+Tabela1107[[#This Row],[CONTRIB. FOLHA]]+Tabela1107[[#This Row],[TRIBUTOS S/ LUCRO]]+Tabela1107[[#This Row],[OUTROS]]+Tabela1107[[#This Row],[PR]]</f>
        <v>31.740000000000002</v>
      </c>
      <c r="BH139" s="97">
        <f>+Tabela1107[[#This Row],[PIS]]+Tabela1107[[#This Row],[COFINS]]+Tabela1107[[#This Row],[CONTRIB. FOLHA]]+Tabela1107[[#This Row],[TRIBUTOS S/ LUCRO]]+Tabela1107[[#This Row],[OUTROS]]+Tabela1107[[#This Row],[SC]]</f>
        <v>36.74</v>
      </c>
      <c r="BI139" s="97">
        <f>+Tabela1107[[#This Row],[PIS]]+Tabela1107[[#This Row],[COFINS]]+Tabela1107[[#This Row],[CONTRIB. FOLHA]]+Tabela1107[[#This Row],[TRIBUTOS S/ LUCRO]]+Tabela1107[[#This Row],[OUTROS]]+Tabela1107[[#This Row],[RS]]</f>
        <v>36.74</v>
      </c>
      <c r="BJ139" s="97">
        <f>+Tabela1107[[#This Row],[PIS]]+Tabela1107[[#This Row],[COFINS]]+Tabela1107[[#This Row],[CONTRIB. FOLHA]]+Tabela1107[[#This Row],[TRIBUTOS S/ LUCRO]]+Tabela1107[[#This Row],[OUTROS]]+Tabela1107[[#This Row],[RJ]]</f>
        <v>38.74</v>
      </c>
      <c r="BK139" s="97">
        <f>+Tabela1107[[#This Row],[PIS]]+Tabela1107[[#This Row],[COFINS]]+Tabela1107[[#This Row],[CONTRIB. FOLHA]]+Tabela1107[[#This Row],[TRIBUTOS S/ LUCRO]]+Tabela1107[[#This Row],[OUTROS]]+Tabela1107[[#This Row],[MG]]</f>
        <v>37.74</v>
      </c>
      <c r="BL139" s="97">
        <f>+Tabela1107[[#This Row],[PIS]]+Tabela1107[[#This Row],[COFINS]]+Tabela1107[[#This Row],[CONTRIB. FOLHA]]+Tabela1107[[#This Row],[TRIBUTOS S/ LUCRO]]+Tabela1107[[#This Row],[OUTROS]]+Tabela1107[[#This Row],[ES]]</f>
        <v>36.74</v>
      </c>
      <c r="BM139" s="97">
        <f>+Tabela1107[[#This Row],[PIS]]+Tabela1107[[#This Row],[COFINS]]+Tabela1107[[#This Row],[CONTRIB. FOLHA]]+Tabela1107[[#This Row],[TRIBUTOS S/ LUCRO]]+Tabela1107[[#This Row],[OUTROS]]+Tabela1107[[#This Row],[GO]]</f>
        <v>36.74</v>
      </c>
      <c r="BN139" s="97">
        <f>+Tabela1107[[#This Row],[PIS]]+Tabela1107[[#This Row],[COFINS]]+Tabela1107[[#This Row],[CONTRIB. FOLHA]]+Tabela1107[[#This Row],[TRIBUTOS S/ LUCRO]]+Tabela1107[[#This Row],[OUTROS]]+Tabela1107[[#This Row],[MT]]</f>
        <v>36.74</v>
      </c>
      <c r="BO139" s="97">
        <f>+Tabela1107[[#This Row],[PIS]]+Tabela1107[[#This Row],[COFINS]]+Tabela1107[[#This Row],[CONTRIB. FOLHA]]+Tabela1107[[#This Row],[TRIBUTOS S/ LUCRO]]+Tabela1107[[#This Row],[OUTROS]]+Tabela1107[[#This Row],[MS]]</f>
        <v>36.74</v>
      </c>
      <c r="BP139" s="97">
        <f>+Tabela1107[[#This Row],[PIS]]+Tabela1107[[#This Row],[COFINS]]+Tabela1107[[#This Row],[CONTRIB. FOLHA]]+Tabela1107[[#This Row],[TRIBUTOS S/ LUCRO]]+Tabela1107[[#This Row],[OUTROS]]+Tabela1107[[#This Row],[DF]]</f>
        <v>36.74</v>
      </c>
      <c r="BQ139" s="97">
        <f>+Tabela1107[[#This Row],[PIS]]+Tabela1107[[#This Row],[COFINS]]+Tabela1107[[#This Row],[CONTRIB. FOLHA]]+Tabela1107[[#This Row],[TRIBUTOS S/ LUCRO]]+Tabela1107[[#This Row],[OUTROS]]+Tabela1107[[#This Row],[BA]]</f>
        <v>36.74</v>
      </c>
      <c r="BR139" s="97">
        <f>+Tabela1107[[#This Row],[PIS]]+Tabela1107[[#This Row],[COFINS]]+Tabela1107[[#This Row],[CONTRIB. FOLHA]]+Tabela1107[[#This Row],[TRIBUTOS S/ LUCRO]]+Tabela1107[[#This Row],[OUTROS]]+Tabela1107[[#This Row],[BA]]</f>
        <v>36.74</v>
      </c>
      <c r="BS139" s="97">
        <f>+Tabela1107[[#This Row],[PIS]]+Tabela1107[[#This Row],[COFINS]]+Tabela1107[[#This Row],[CONTRIB. FOLHA]]+Tabela1107[[#This Row],[TRIBUTOS S/ LUCRO]]+Tabela1107[[#This Row],[OUTROS]]+Tabela1107[[#This Row],[PE]]</f>
        <v>36.74</v>
      </c>
      <c r="BT139" s="97">
        <f>+Tabela1107[[#This Row],[PIS]]+Tabela1107[[#This Row],[COFINS]]+Tabela1107[[#This Row],[CONTRIB. FOLHA]]+Tabela1107[[#This Row],[TRIBUTOS S/ LUCRO]]+Tabela1107[[#This Row],[OUTROS]]+Tabela1107[[#This Row],[PA]]</f>
        <v>36.74</v>
      </c>
      <c r="BU139" s="97">
        <f>+Tabela1107[[#This Row],[PIS]]+Tabela1107[[#This Row],[COFINS]]+Tabela1107[[#This Row],[CONTRIB. FOLHA]]+Tabela1107[[#This Row],[TRIBUTOS S/ LUCRO]]+Tabela1107[[#This Row],[OUTROS]]+Tabela1107[[#This Row],[AM]]</f>
        <v>36.74</v>
      </c>
      <c r="BV139" s="97">
        <f>AVERAGE(Tabela1107[[#This Row],[TOTAL SP]:[TOTAL AM]])</f>
        <v>36.677500000000002</v>
      </c>
      <c r="BW139" s="97"/>
      <c r="BX139" s="97"/>
    </row>
    <row r="140" spans="2:76" x14ac:dyDescent="0.25">
      <c r="B140" s="89">
        <v>14810</v>
      </c>
      <c r="C140" s="91" t="s">
        <v>13155</v>
      </c>
      <c r="D140" s="89"/>
      <c r="E140" s="89">
        <v>20140626</v>
      </c>
      <c r="F140" s="89" t="s">
        <v>21314</v>
      </c>
      <c r="G140" s="89" t="s">
        <v>21315</v>
      </c>
      <c r="H140" s="89" t="s">
        <v>21316</v>
      </c>
      <c r="I140" s="89" t="s">
        <v>21317</v>
      </c>
      <c r="J140" s="89" t="s">
        <v>495</v>
      </c>
      <c r="K140" s="89"/>
      <c r="L140" s="89" t="s">
        <v>2650</v>
      </c>
      <c r="M140" s="89" t="s">
        <v>4496</v>
      </c>
      <c r="N140" s="89" t="s">
        <v>4496</v>
      </c>
      <c r="O140" s="89" t="s">
        <v>4496</v>
      </c>
      <c r="P140" s="89" t="s">
        <v>4496</v>
      </c>
      <c r="Q140" s="89"/>
      <c r="R140" s="89" t="s">
        <v>103</v>
      </c>
      <c r="S140" s="89" t="s">
        <v>21690</v>
      </c>
      <c r="T140" s="89" t="s">
        <v>21691</v>
      </c>
      <c r="U140" s="89" t="str">
        <f>TRIM('Carga Tributária doenças Po (2'!$L140)</f>
        <v>AMIODARONA</v>
      </c>
      <c r="V140" s="89">
        <f>SUMIFS('Tabela Federal'!$E$4:$E$2069,'Tabela Federal'!$D$4:$D$2069,'Carga Tributária doenças Po (2'!$L140)</f>
        <v>0</v>
      </c>
      <c r="W140" s="89">
        <f>SUMIFS('Tabela Federal'!$E$4:$E$2069,'Tabela Federal'!$D$4:$D$2069,'Carga Tributária doenças Po (2'!$M140)</f>
        <v>0</v>
      </c>
      <c r="X140" s="89">
        <f>SUMIFS('Tabela Federal'!$E$4:$E$2069,'Tabela Federal'!$D$4:$D$2069,'Carga Tributária doenças Po (2'!$N140)</f>
        <v>0</v>
      </c>
      <c r="Y140" s="89">
        <f>SUMIFS('Tabela Federal'!$E$4:$E$2069,'Tabela Federal'!$D$4:$D$2069,'Carga Tributária doenças Po (2'!$O140)</f>
        <v>0</v>
      </c>
      <c r="Z140" s="92" t="str">
        <f>VLOOKUP('Carga Tributária doenças Po (2'!$AD140,'Carga Tributária doenças Po (2'!$CA$12:$CC$16,2,0)</f>
        <v>+</v>
      </c>
      <c r="AA140" s="89" t="s">
        <v>488</v>
      </c>
      <c r="AB140" s="89" t="s">
        <v>21744</v>
      </c>
      <c r="AC140" s="89" t="s">
        <v>21721</v>
      </c>
      <c r="AD140" s="93" t="s">
        <v>21722</v>
      </c>
      <c r="AE140" s="92" t="s">
        <v>2</v>
      </c>
      <c r="AF140" s="92" t="s">
        <v>3</v>
      </c>
      <c r="AG140" s="94">
        <v>90668</v>
      </c>
      <c r="AH140" s="95">
        <v>720552.81</v>
      </c>
      <c r="AI140" s="95">
        <v>1624034.01</v>
      </c>
      <c r="AJ140" s="89" t="s">
        <v>498</v>
      </c>
      <c r="AK140" s="89">
        <f>IF('Carga Tributária doenças Po (2'!$Z140="+",0,SUMIFS(PISCOFINS!$I$3:$I$10518,PISCOFINS!$C$3:$C$10518,'Carga Tributária doenças Po (2'!$C140))</f>
        <v>0</v>
      </c>
      <c r="AL140" s="89">
        <f>IF('Carga Tributária doenças Po (2'!$Z140="+",0,SUMIFS(PISCOFINS!$H$3:$H$10518,PISCOFINS!$C$3:$C$10518,'Carga Tributária doenças Po (2'!$C140))</f>
        <v>0</v>
      </c>
      <c r="AM140" s="95">
        <v>3.27</v>
      </c>
      <c r="AN140" s="95">
        <v>3.12</v>
      </c>
      <c r="AO140" s="95">
        <v>1.35</v>
      </c>
      <c r="AP140" s="96">
        <v>18</v>
      </c>
      <c r="AQ140" s="96">
        <v>12</v>
      </c>
      <c r="AR140" s="96">
        <v>17</v>
      </c>
      <c r="AS140" s="97">
        <v>17</v>
      </c>
      <c r="AT140" s="97">
        <v>19</v>
      </c>
      <c r="AU140" s="97">
        <v>18</v>
      </c>
      <c r="AV140" s="97">
        <v>17</v>
      </c>
      <c r="AW140" s="97">
        <v>17</v>
      </c>
      <c r="AX140" s="97">
        <v>17</v>
      </c>
      <c r="AY140" s="97">
        <v>17</v>
      </c>
      <c r="AZ140" s="97">
        <v>17</v>
      </c>
      <c r="BA140" s="97">
        <v>17</v>
      </c>
      <c r="BB140" s="97">
        <v>17</v>
      </c>
      <c r="BC140" s="97">
        <v>17</v>
      </c>
      <c r="BD140" s="97">
        <v>17</v>
      </c>
      <c r="BE140" s="97">
        <v>17</v>
      </c>
      <c r="BF140" s="97">
        <f>+Tabela1107[[#This Row],[PIS]]+Tabela1107[[#This Row],[COFINS]]+Tabela1107[[#This Row],[CONTRIB. FOLHA]]+Tabela1107[[#This Row],[TRIBUTOS S/ LUCRO]]+Tabela1107[[#This Row],[OUTROS]]+Tabela1107[[#This Row],[SP]]</f>
        <v>25.740000000000002</v>
      </c>
      <c r="BG140" s="97">
        <f>+Tabela1107[[#This Row],[PIS]]+Tabela1107[[#This Row],[COFINS]]+Tabela1107[[#This Row],[CONTRIB. FOLHA]]+Tabela1107[[#This Row],[TRIBUTOS S/ LUCRO]]+Tabela1107[[#This Row],[OUTROS]]+Tabela1107[[#This Row],[PR]]</f>
        <v>19.740000000000002</v>
      </c>
      <c r="BH140" s="97">
        <f>+Tabela1107[[#This Row],[PIS]]+Tabela1107[[#This Row],[COFINS]]+Tabela1107[[#This Row],[CONTRIB. FOLHA]]+Tabela1107[[#This Row],[TRIBUTOS S/ LUCRO]]+Tabela1107[[#This Row],[OUTROS]]+Tabela1107[[#This Row],[SC]]</f>
        <v>24.740000000000002</v>
      </c>
      <c r="BI140" s="97">
        <f>+Tabela1107[[#This Row],[PIS]]+Tabela1107[[#This Row],[COFINS]]+Tabela1107[[#This Row],[CONTRIB. FOLHA]]+Tabela1107[[#This Row],[TRIBUTOS S/ LUCRO]]+Tabela1107[[#This Row],[OUTROS]]+Tabela1107[[#This Row],[RS]]</f>
        <v>24.740000000000002</v>
      </c>
      <c r="BJ140" s="97">
        <f>+Tabela1107[[#This Row],[PIS]]+Tabela1107[[#This Row],[COFINS]]+Tabela1107[[#This Row],[CONTRIB. FOLHA]]+Tabela1107[[#This Row],[TRIBUTOS S/ LUCRO]]+Tabela1107[[#This Row],[OUTROS]]+Tabela1107[[#This Row],[RJ]]</f>
        <v>26.740000000000002</v>
      </c>
      <c r="BK140" s="97">
        <f>+Tabela1107[[#This Row],[PIS]]+Tabela1107[[#This Row],[COFINS]]+Tabela1107[[#This Row],[CONTRIB. FOLHA]]+Tabela1107[[#This Row],[TRIBUTOS S/ LUCRO]]+Tabela1107[[#This Row],[OUTROS]]+Tabela1107[[#This Row],[MG]]</f>
        <v>25.740000000000002</v>
      </c>
      <c r="BL140" s="97">
        <f>+Tabela1107[[#This Row],[PIS]]+Tabela1107[[#This Row],[COFINS]]+Tabela1107[[#This Row],[CONTRIB. FOLHA]]+Tabela1107[[#This Row],[TRIBUTOS S/ LUCRO]]+Tabela1107[[#This Row],[OUTROS]]+Tabela1107[[#This Row],[ES]]</f>
        <v>24.740000000000002</v>
      </c>
      <c r="BM140" s="97">
        <f>+Tabela1107[[#This Row],[PIS]]+Tabela1107[[#This Row],[COFINS]]+Tabela1107[[#This Row],[CONTRIB. FOLHA]]+Tabela1107[[#This Row],[TRIBUTOS S/ LUCRO]]+Tabela1107[[#This Row],[OUTROS]]+Tabela1107[[#This Row],[GO]]</f>
        <v>24.740000000000002</v>
      </c>
      <c r="BN140" s="97">
        <f>+Tabela1107[[#This Row],[PIS]]+Tabela1107[[#This Row],[COFINS]]+Tabela1107[[#This Row],[CONTRIB. FOLHA]]+Tabela1107[[#This Row],[TRIBUTOS S/ LUCRO]]+Tabela1107[[#This Row],[OUTROS]]+Tabela1107[[#This Row],[MT]]</f>
        <v>24.740000000000002</v>
      </c>
      <c r="BO140" s="97">
        <f>+Tabela1107[[#This Row],[PIS]]+Tabela1107[[#This Row],[COFINS]]+Tabela1107[[#This Row],[CONTRIB. FOLHA]]+Tabela1107[[#This Row],[TRIBUTOS S/ LUCRO]]+Tabela1107[[#This Row],[OUTROS]]+Tabela1107[[#This Row],[MS]]</f>
        <v>24.740000000000002</v>
      </c>
      <c r="BP140" s="97">
        <f>+Tabela1107[[#This Row],[PIS]]+Tabela1107[[#This Row],[COFINS]]+Tabela1107[[#This Row],[CONTRIB. FOLHA]]+Tabela1107[[#This Row],[TRIBUTOS S/ LUCRO]]+Tabela1107[[#This Row],[OUTROS]]+Tabela1107[[#This Row],[DF]]</f>
        <v>24.740000000000002</v>
      </c>
      <c r="BQ140" s="97">
        <f>+Tabela1107[[#This Row],[PIS]]+Tabela1107[[#This Row],[COFINS]]+Tabela1107[[#This Row],[CONTRIB. FOLHA]]+Tabela1107[[#This Row],[TRIBUTOS S/ LUCRO]]+Tabela1107[[#This Row],[OUTROS]]+Tabela1107[[#This Row],[BA]]</f>
        <v>24.740000000000002</v>
      </c>
      <c r="BR140" s="97">
        <f>+Tabela1107[[#This Row],[PIS]]+Tabela1107[[#This Row],[COFINS]]+Tabela1107[[#This Row],[CONTRIB. FOLHA]]+Tabela1107[[#This Row],[TRIBUTOS S/ LUCRO]]+Tabela1107[[#This Row],[OUTROS]]+Tabela1107[[#This Row],[BA]]</f>
        <v>24.740000000000002</v>
      </c>
      <c r="BS140" s="97">
        <f>+Tabela1107[[#This Row],[PIS]]+Tabela1107[[#This Row],[COFINS]]+Tabela1107[[#This Row],[CONTRIB. FOLHA]]+Tabela1107[[#This Row],[TRIBUTOS S/ LUCRO]]+Tabela1107[[#This Row],[OUTROS]]+Tabela1107[[#This Row],[PE]]</f>
        <v>24.740000000000002</v>
      </c>
      <c r="BT140" s="97">
        <f>+Tabela1107[[#This Row],[PIS]]+Tabela1107[[#This Row],[COFINS]]+Tabela1107[[#This Row],[CONTRIB. FOLHA]]+Tabela1107[[#This Row],[TRIBUTOS S/ LUCRO]]+Tabela1107[[#This Row],[OUTROS]]+Tabela1107[[#This Row],[PA]]</f>
        <v>24.740000000000002</v>
      </c>
      <c r="BU140" s="97">
        <f>+Tabela1107[[#This Row],[PIS]]+Tabela1107[[#This Row],[COFINS]]+Tabela1107[[#This Row],[CONTRIB. FOLHA]]+Tabela1107[[#This Row],[TRIBUTOS S/ LUCRO]]+Tabela1107[[#This Row],[OUTROS]]+Tabela1107[[#This Row],[AM]]</f>
        <v>24.740000000000002</v>
      </c>
      <c r="BV140" s="97">
        <f>AVERAGE(Tabela1107[[#This Row],[TOTAL SP]:[TOTAL AM]])</f>
        <v>24.677500000000006</v>
      </c>
      <c r="BW140" s="97"/>
      <c r="BX140" s="97"/>
    </row>
    <row r="141" spans="2:76" x14ac:dyDescent="0.25">
      <c r="B141" s="89">
        <v>3299</v>
      </c>
      <c r="C141" s="106" t="s">
        <v>13107</v>
      </c>
      <c r="D141" s="89"/>
      <c r="E141" s="89">
        <v>20140626</v>
      </c>
      <c r="F141" s="89" t="s">
        <v>21098</v>
      </c>
      <c r="G141" s="89" t="s">
        <v>21099</v>
      </c>
      <c r="H141" s="89" t="s">
        <v>21100</v>
      </c>
      <c r="I141" s="89" t="s">
        <v>21101</v>
      </c>
      <c r="J141" s="89" t="s">
        <v>253</v>
      </c>
      <c r="K141" s="89"/>
      <c r="L141" s="89" t="s">
        <v>3920</v>
      </c>
      <c r="M141" s="89" t="s">
        <v>4496</v>
      </c>
      <c r="N141" s="89" t="s">
        <v>4496</v>
      </c>
      <c r="O141" s="89" t="s">
        <v>4496</v>
      </c>
      <c r="P141" s="89" t="s">
        <v>4496</v>
      </c>
      <c r="Q141" s="89"/>
      <c r="R141" s="89" t="s">
        <v>34</v>
      </c>
      <c r="S141" s="89" t="s">
        <v>21670</v>
      </c>
      <c r="T141" s="89" t="s">
        <v>21671</v>
      </c>
      <c r="U141" s="89" t="str">
        <f>TRIM('Carga Tributária doenças Po (2'!$L141)</f>
        <v>PREDNISONA</v>
      </c>
      <c r="V141" s="89">
        <f>SUMIFS('Tabela Federal'!$E$4:$E$2069,'Tabela Federal'!$D$4:$D$2069,'Carga Tributária doenças Po (2'!$L141)</f>
        <v>1</v>
      </c>
      <c r="W141" s="89">
        <f>SUMIFS('Tabela Federal'!$E$4:$E$2069,'Tabela Federal'!$D$4:$D$2069,'Carga Tributária doenças Po (2'!$M141)</f>
        <v>0</v>
      </c>
      <c r="X141" s="89">
        <f>SUMIFS('Tabela Federal'!$E$4:$E$2069,'Tabela Federal'!$D$4:$D$2069,'Carga Tributária doenças Po (2'!$N141)</f>
        <v>0</v>
      </c>
      <c r="Y141" s="89">
        <f>SUMIFS('Tabela Federal'!$E$4:$E$2069,'Tabela Federal'!$D$4:$D$2069,'Carga Tributária doenças Po (2'!$O141)</f>
        <v>0</v>
      </c>
      <c r="Z141" s="92" t="str">
        <f>VLOOKUP('Carga Tributária doenças Po (2'!$AD141,'Carga Tributária doenças Po (2'!$CA$12:$CC$16,2,0)</f>
        <v>+</v>
      </c>
      <c r="AA141" s="89" t="s">
        <v>254</v>
      </c>
      <c r="AB141" s="89" t="s">
        <v>21827</v>
      </c>
      <c r="AC141" s="89" t="s">
        <v>21721</v>
      </c>
      <c r="AD141" s="93" t="s">
        <v>21722</v>
      </c>
      <c r="AE141" s="92" t="s">
        <v>2</v>
      </c>
      <c r="AF141" s="92" t="s">
        <v>3</v>
      </c>
      <c r="AG141" s="94">
        <v>2884397</v>
      </c>
      <c r="AH141" s="95">
        <v>14945696</v>
      </c>
      <c r="AI141" s="95">
        <v>34068993.380000003</v>
      </c>
      <c r="AJ141" s="89" t="s">
        <v>554</v>
      </c>
      <c r="AK141" s="89">
        <f>IF('Carga Tributária doenças Po (2'!$Z141="+",0,SUMIFS(PISCOFINS!$I$3:$I$10518,PISCOFINS!$C$3:$C$10518,'Carga Tributária doenças Po (2'!$C141))</f>
        <v>0</v>
      </c>
      <c r="AL141" s="89">
        <f>IF('Carga Tributária doenças Po (2'!$Z141="+",0,SUMIFS(PISCOFINS!$H$3:$H$10518,PISCOFINS!$C$3:$C$10518,'Carga Tributária doenças Po (2'!$C141))</f>
        <v>0</v>
      </c>
      <c r="AM141" s="95">
        <v>3.27</v>
      </c>
      <c r="AN141" s="95">
        <v>3.12</v>
      </c>
      <c r="AO141" s="95">
        <v>1.35</v>
      </c>
      <c r="AP141" s="96">
        <v>18</v>
      </c>
      <c r="AQ141" s="96">
        <v>12</v>
      </c>
      <c r="AR141" s="96">
        <v>17</v>
      </c>
      <c r="AS141" s="97">
        <v>17</v>
      </c>
      <c r="AT141" s="97">
        <v>19</v>
      </c>
      <c r="AU141" s="97">
        <v>18</v>
      </c>
      <c r="AV141" s="97">
        <v>17</v>
      </c>
      <c r="AW141" s="97">
        <v>17</v>
      </c>
      <c r="AX141" s="97">
        <v>17</v>
      </c>
      <c r="AY141" s="97">
        <v>17</v>
      </c>
      <c r="AZ141" s="97">
        <v>17</v>
      </c>
      <c r="BA141" s="97">
        <v>17</v>
      </c>
      <c r="BB141" s="97">
        <v>17</v>
      </c>
      <c r="BC141" s="97">
        <v>17</v>
      </c>
      <c r="BD141" s="97">
        <v>17</v>
      </c>
      <c r="BE141" s="97">
        <v>17</v>
      </c>
      <c r="BF141" s="97">
        <f>+Tabela1107[[#This Row],[PIS]]+Tabela1107[[#This Row],[COFINS]]+Tabela1107[[#This Row],[CONTRIB. FOLHA]]+Tabela1107[[#This Row],[TRIBUTOS S/ LUCRO]]+Tabela1107[[#This Row],[OUTROS]]+Tabela1107[[#This Row],[SP]]</f>
        <v>25.740000000000002</v>
      </c>
      <c r="BG141" s="97">
        <f>+Tabela1107[[#This Row],[PIS]]+Tabela1107[[#This Row],[COFINS]]+Tabela1107[[#This Row],[CONTRIB. FOLHA]]+Tabela1107[[#This Row],[TRIBUTOS S/ LUCRO]]+Tabela1107[[#This Row],[OUTROS]]+Tabela1107[[#This Row],[PR]]</f>
        <v>19.740000000000002</v>
      </c>
      <c r="BH141" s="97">
        <f>+Tabela1107[[#This Row],[PIS]]+Tabela1107[[#This Row],[COFINS]]+Tabela1107[[#This Row],[CONTRIB. FOLHA]]+Tabela1107[[#This Row],[TRIBUTOS S/ LUCRO]]+Tabela1107[[#This Row],[OUTROS]]+Tabela1107[[#This Row],[SC]]</f>
        <v>24.740000000000002</v>
      </c>
      <c r="BI141" s="97">
        <f>+Tabela1107[[#This Row],[PIS]]+Tabela1107[[#This Row],[COFINS]]+Tabela1107[[#This Row],[CONTRIB. FOLHA]]+Tabela1107[[#This Row],[TRIBUTOS S/ LUCRO]]+Tabela1107[[#This Row],[OUTROS]]+Tabela1107[[#This Row],[RS]]</f>
        <v>24.740000000000002</v>
      </c>
      <c r="BJ141" s="97">
        <f>+Tabela1107[[#This Row],[PIS]]+Tabela1107[[#This Row],[COFINS]]+Tabela1107[[#This Row],[CONTRIB. FOLHA]]+Tabela1107[[#This Row],[TRIBUTOS S/ LUCRO]]+Tabela1107[[#This Row],[OUTROS]]+Tabela1107[[#This Row],[RJ]]</f>
        <v>26.740000000000002</v>
      </c>
      <c r="BK141" s="97">
        <f>+Tabela1107[[#This Row],[PIS]]+Tabela1107[[#This Row],[COFINS]]+Tabela1107[[#This Row],[CONTRIB. FOLHA]]+Tabela1107[[#This Row],[TRIBUTOS S/ LUCRO]]+Tabela1107[[#This Row],[OUTROS]]+Tabela1107[[#This Row],[MG]]</f>
        <v>25.740000000000002</v>
      </c>
      <c r="BL141" s="97">
        <f>+Tabela1107[[#This Row],[PIS]]+Tabela1107[[#This Row],[COFINS]]+Tabela1107[[#This Row],[CONTRIB. FOLHA]]+Tabela1107[[#This Row],[TRIBUTOS S/ LUCRO]]+Tabela1107[[#This Row],[OUTROS]]+Tabela1107[[#This Row],[ES]]</f>
        <v>24.740000000000002</v>
      </c>
      <c r="BM141" s="97">
        <f>+Tabela1107[[#This Row],[PIS]]+Tabela1107[[#This Row],[COFINS]]+Tabela1107[[#This Row],[CONTRIB. FOLHA]]+Tabela1107[[#This Row],[TRIBUTOS S/ LUCRO]]+Tabela1107[[#This Row],[OUTROS]]+Tabela1107[[#This Row],[GO]]</f>
        <v>24.740000000000002</v>
      </c>
      <c r="BN141" s="97">
        <f>+Tabela1107[[#This Row],[PIS]]+Tabela1107[[#This Row],[COFINS]]+Tabela1107[[#This Row],[CONTRIB. FOLHA]]+Tabela1107[[#This Row],[TRIBUTOS S/ LUCRO]]+Tabela1107[[#This Row],[OUTROS]]+Tabela1107[[#This Row],[MT]]</f>
        <v>24.740000000000002</v>
      </c>
      <c r="BO141" s="97">
        <f>+Tabela1107[[#This Row],[PIS]]+Tabela1107[[#This Row],[COFINS]]+Tabela1107[[#This Row],[CONTRIB. FOLHA]]+Tabela1107[[#This Row],[TRIBUTOS S/ LUCRO]]+Tabela1107[[#This Row],[OUTROS]]+Tabela1107[[#This Row],[MS]]</f>
        <v>24.740000000000002</v>
      </c>
      <c r="BP141" s="97">
        <f>+Tabela1107[[#This Row],[PIS]]+Tabela1107[[#This Row],[COFINS]]+Tabela1107[[#This Row],[CONTRIB. FOLHA]]+Tabela1107[[#This Row],[TRIBUTOS S/ LUCRO]]+Tabela1107[[#This Row],[OUTROS]]+Tabela1107[[#This Row],[DF]]</f>
        <v>24.740000000000002</v>
      </c>
      <c r="BQ141" s="97">
        <f>+Tabela1107[[#This Row],[PIS]]+Tabela1107[[#This Row],[COFINS]]+Tabela1107[[#This Row],[CONTRIB. FOLHA]]+Tabela1107[[#This Row],[TRIBUTOS S/ LUCRO]]+Tabela1107[[#This Row],[OUTROS]]+Tabela1107[[#This Row],[BA]]</f>
        <v>24.740000000000002</v>
      </c>
      <c r="BR141" s="97">
        <f>+Tabela1107[[#This Row],[PIS]]+Tabela1107[[#This Row],[COFINS]]+Tabela1107[[#This Row],[CONTRIB. FOLHA]]+Tabela1107[[#This Row],[TRIBUTOS S/ LUCRO]]+Tabela1107[[#This Row],[OUTROS]]+Tabela1107[[#This Row],[BA]]</f>
        <v>24.740000000000002</v>
      </c>
      <c r="BS141" s="97">
        <f>+Tabela1107[[#This Row],[PIS]]+Tabela1107[[#This Row],[COFINS]]+Tabela1107[[#This Row],[CONTRIB. FOLHA]]+Tabela1107[[#This Row],[TRIBUTOS S/ LUCRO]]+Tabela1107[[#This Row],[OUTROS]]+Tabela1107[[#This Row],[PE]]</f>
        <v>24.740000000000002</v>
      </c>
      <c r="BT141" s="97">
        <f>+Tabela1107[[#This Row],[PIS]]+Tabela1107[[#This Row],[COFINS]]+Tabela1107[[#This Row],[CONTRIB. FOLHA]]+Tabela1107[[#This Row],[TRIBUTOS S/ LUCRO]]+Tabela1107[[#This Row],[OUTROS]]+Tabela1107[[#This Row],[PA]]</f>
        <v>24.740000000000002</v>
      </c>
      <c r="BU141" s="97">
        <f>+Tabela1107[[#This Row],[PIS]]+Tabela1107[[#This Row],[COFINS]]+Tabela1107[[#This Row],[CONTRIB. FOLHA]]+Tabela1107[[#This Row],[TRIBUTOS S/ LUCRO]]+Tabela1107[[#This Row],[OUTROS]]+Tabela1107[[#This Row],[AM]]</f>
        <v>24.740000000000002</v>
      </c>
      <c r="BV141" s="97">
        <f>AVERAGE(Tabela1107[[#This Row],[TOTAL SP]:[TOTAL AM]])</f>
        <v>24.677500000000006</v>
      </c>
      <c r="BW141" s="97"/>
      <c r="BX141" s="97"/>
    </row>
    <row r="142" spans="2:76" x14ac:dyDescent="0.25">
      <c r="B142" s="89">
        <v>3299</v>
      </c>
      <c r="C142" s="106" t="s">
        <v>13107</v>
      </c>
      <c r="D142" s="89"/>
      <c r="E142" s="89">
        <v>20140626</v>
      </c>
      <c r="F142" s="89" t="s">
        <v>21098</v>
      </c>
      <c r="G142" s="89" t="s">
        <v>21099</v>
      </c>
      <c r="H142" s="89" t="s">
        <v>21100</v>
      </c>
      <c r="I142" s="89" t="s">
        <v>21101</v>
      </c>
      <c r="J142" s="89" t="s">
        <v>253</v>
      </c>
      <c r="K142" s="89"/>
      <c r="L142" s="89" t="s">
        <v>3920</v>
      </c>
      <c r="M142" s="89" t="s">
        <v>4496</v>
      </c>
      <c r="N142" s="89" t="s">
        <v>4496</v>
      </c>
      <c r="O142" s="89" t="s">
        <v>4496</v>
      </c>
      <c r="P142" s="89" t="s">
        <v>4496</v>
      </c>
      <c r="Q142" s="89"/>
      <c r="R142" s="89" t="s">
        <v>34</v>
      </c>
      <c r="S142" s="89" t="s">
        <v>21670</v>
      </c>
      <c r="T142" s="89" t="s">
        <v>21671</v>
      </c>
      <c r="U142" s="89" t="str">
        <f>TRIM('Carga Tributária doenças Po (2'!$L142)</f>
        <v>PREDNISONA</v>
      </c>
      <c r="V142" s="89">
        <f>SUMIFS('Tabela Federal'!$E$4:$E$2069,'Tabela Federal'!$D$4:$D$2069,'Carga Tributária doenças Po (2'!$L142)</f>
        <v>1</v>
      </c>
      <c r="W142" s="89">
        <f>SUMIFS('Tabela Federal'!$E$4:$E$2069,'Tabela Federal'!$D$4:$D$2069,'Carga Tributária doenças Po (2'!$M142)</f>
        <v>0</v>
      </c>
      <c r="X142" s="89">
        <f>SUMIFS('Tabela Federal'!$E$4:$E$2069,'Tabela Federal'!$D$4:$D$2069,'Carga Tributária doenças Po (2'!$N142)</f>
        <v>0</v>
      </c>
      <c r="Y142" s="89">
        <f>SUMIFS('Tabela Federal'!$E$4:$E$2069,'Tabela Federal'!$D$4:$D$2069,'Carga Tributária doenças Po (2'!$O142)</f>
        <v>0</v>
      </c>
      <c r="Z142" s="92" t="str">
        <f>VLOOKUP('Carga Tributária doenças Po (2'!$AD142,'Carga Tributária doenças Po (2'!$CA$12:$CC$16,2,0)</f>
        <v>+</v>
      </c>
      <c r="AA142" s="89" t="s">
        <v>254</v>
      </c>
      <c r="AB142" s="89" t="s">
        <v>21827</v>
      </c>
      <c r="AC142" s="89" t="s">
        <v>21721</v>
      </c>
      <c r="AD142" s="93" t="s">
        <v>21722</v>
      </c>
      <c r="AE142" s="92" t="s">
        <v>2</v>
      </c>
      <c r="AF142" s="92" t="s">
        <v>3</v>
      </c>
      <c r="AG142" s="94">
        <v>2884397</v>
      </c>
      <c r="AH142" s="95">
        <v>14945696</v>
      </c>
      <c r="AI142" s="95">
        <v>34068993.380000003</v>
      </c>
      <c r="AJ142" s="89" t="s">
        <v>250</v>
      </c>
      <c r="AK142" s="89">
        <f>IF('Carga Tributária doenças Po (2'!$Z142="+",0,SUMIFS(PISCOFINS!$I$3:$I$10518,PISCOFINS!$C$3:$C$10518,'Carga Tributária doenças Po (2'!$C142))</f>
        <v>0</v>
      </c>
      <c r="AL142" s="89">
        <f>IF('Carga Tributária doenças Po (2'!$Z142="+",0,SUMIFS(PISCOFINS!$H$3:$H$10518,PISCOFINS!$C$3:$C$10518,'Carga Tributária doenças Po (2'!$C142))</f>
        <v>0</v>
      </c>
      <c r="AM142" s="95">
        <v>3.27</v>
      </c>
      <c r="AN142" s="95">
        <v>3.12</v>
      </c>
      <c r="AO142" s="95">
        <v>1.35</v>
      </c>
      <c r="AP142" s="96">
        <v>18</v>
      </c>
      <c r="AQ142" s="96">
        <v>12</v>
      </c>
      <c r="AR142" s="96">
        <v>17</v>
      </c>
      <c r="AS142" s="97">
        <v>17</v>
      </c>
      <c r="AT142" s="97">
        <v>19</v>
      </c>
      <c r="AU142" s="97">
        <v>18</v>
      </c>
      <c r="AV142" s="97">
        <v>17</v>
      </c>
      <c r="AW142" s="97">
        <v>17</v>
      </c>
      <c r="AX142" s="97">
        <v>17</v>
      </c>
      <c r="AY142" s="97">
        <v>17</v>
      </c>
      <c r="AZ142" s="97">
        <v>17</v>
      </c>
      <c r="BA142" s="97">
        <v>17</v>
      </c>
      <c r="BB142" s="97">
        <v>17</v>
      </c>
      <c r="BC142" s="97">
        <v>17</v>
      </c>
      <c r="BD142" s="97">
        <v>17</v>
      </c>
      <c r="BE142" s="97">
        <v>17</v>
      </c>
      <c r="BF142" s="97">
        <f>+Tabela1107[[#This Row],[PIS]]+Tabela1107[[#This Row],[COFINS]]+Tabela1107[[#This Row],[CONTRIB. FOLHA]]+Tabela1107[[#This Row],[TRIBUTOS S/ LUCRO]]+Tabela1107[[#This Row],[OUTROS]]+Tabela1107[[#This Row],[SP]]</f>
        <v>25.740000000000002</v>
      </c>
      <c r="BG142" s="97">
        <f>+Tabela1107[[#This Row],[PIS]]+Tabela1107[[#This Row],[COFINS]]+Tabela1107[[#This Row],[CONTRIB. FOLHA]]+Tabela1107[[#This Row],[TRIBUTOS S/ LUCRO]]+Tabela1107[[#This Row],[OUTROS]]+Tabela1107[[#This Row],[PR]]</f>
        <v>19.740000000000002</v>
      </c>
      <c r="BH142" s="97">
        <f>+Tabela1107[[#This Row],[PIS]]+Tabela1107[[#This Row],[COFINS]]+Tabela1107[[#This Row],[CONTRIB. FOLHA]]+Tabela1107[[#This Row],[TRIBUTOS S/ LUCRO]]+Tabela1107[[#This Row],[OUTROS]]+Tabela1107[[#This Row],[SC]]</f>
        <v>24.740000000000002</v>
      </c>
      <c r="BI142" s="97">
        <f>+Tabela1107[[#This Row],[PIS]]+Tabela1107[[#This Row],[COFINS]]+Tabela1107[[#This Row],[CONTRIB. FOLHA]]+Tabela1107[[#This Row],[TRIBUTOS S/ LUCRO]]+Tabela1107[[#This Row],[OUTROS]]+Tabela1107[[#This Row],[RS]]</f>
        <v>24.740000000000002</v>
      </c>
      <c r="BJ142" s="97">
        <f>+Tabela1107[[#This Row],[PIS]]+Tabela1107[[#This Row],[COFINS]]+Tabela1107[[#This Row],[CONTRIB. FOLHA]]+Tabela1107[[#This Row],[TRIBUTOS S/ LUCRO]]+Tabela1107[[#This Row],[OUTROS]]+Tabela1107[[#This Row],[RJ]]</f>
        <v>26.740000000000002</v>
      </c>
      <c r="BK142" s="97">
        <f>+Tabela1107[[#This Row],[PIS]]+Tabela1107[[#This Row],[COFINS]]+Tabela1107[[#This Row],[CONTRIB. FOLHA]]+Tabela1107[[#This Row],[TRIBUTOS S/ LUCRO]]+Tabela1107[[#This Row],[OUTROS]]+Tabela1107[[#This Row],[MG]]</f>
        <v>25.740000000000002</v>
      </c>
      <c r="BL142" s="97">
        <f>+Tabela1107[[#This Row],[PIS]]+Tabela1107[[#This Row],[COFINS]]+Tabela1107[[#This Row],[CONTRIB. FOLHA]]+Tabela1107[[#This Row],[TRIBUTOS S/ LUCRO]]+Tabela1107[[#This Row],[OUTROS]]+Tabela1107[[#This Row],[ES]]</f>
        <v>24.740000000000002</v>
      </c>
      <c r="BM142" s="97">
        <f>+Tabela1107[[#This Row],[PIS]]+Tabela1107[[#This Row],[COFINS]]+Tabela1107[[#This Row],[CONTRIB. FOLHA]]+Tabela1107[[#This Row],[TRIBUTOS S/ LUCRO]]+Tabela1107[[#This Row],[OUTROS]]+Tabela1107[[#This Row],[GO]]</f>
        <v>24.740000000000002</v>
      </c>
      <c r="BN142" s="97">
        <f>+Tabela1107[[#This Row],[PIS]]+Tabela1107[[#This Row],[COFINS]]+Tabela1107[[#This Row],[CONTRIB. FOLHA]]+Tabela1107[[#This Row],[TRIBUTOS S/ LUCRO]]+Tabela1107[[#This Row],[OUTROS]]+Tabela1107[[#This Row],[MT]]</f>
        <v>24.740000000000002</v>
      </c>
      <c r="BO142" s="97">
        <f>+Tabela1107[[#This Row],[PIS]]+Tabela1107[[#This Row],[COFINS]]+Tabela1107[[#This Row],[CONTRIB. FOLHA]]+Tabela1107[[#This Row],[TRIBUTOS S/ LUCRO]]+Tabela1107[[#This Row],[OUTROS]]+Tabela1107[[#This Row],[MS]]</f>
        <v>24.740000000000002</v>
      </c>
      <c r="BP142" s="97">
        <f>+Tabela1107[[#This Row],[PIS]]+Tabela1107[[#This Row],[COFINS]]+Tabela1107[[#This Row],[CONTRIB. FOLHA]]+Tabela1107[[#This Row],[TRIBUTOS S/ LUCRO]]+Tabela1107[[#This Row],[OUTROS]]+Tabela1107[[#This Row],[DF]]</f>
        <v>24.740000000000002</v>
      </c>
      <c r="BQ142" s="97">
        <f>+Tabela1107[[#This Row],[PIS]]+Tabela1107[[#This Row],[COFINS]]+Tabela1107[[#This Row],[CONTRIB. FOLHA]]+Tabela1107[[#This Row],[TRIBUTOS S/ LUCRO]]+Tabela1107[[#This Row],[OUTROS]]+Tabela1107[[#This Row],[BA]]</f>
        <v>24.740000000000002</v>
      </c>
      <c r="BR142" s="97">
        <f>+Tabela1107[[#This Row],[PIS]]+Tabela1107[[#This Row],[COFINS]]+Tabela1107[[#This Row],[CONTRIB. FOLHA]]+Tabela1107[[#This Row],[TRIBUTOS S/ LUCRO]]+Tabela1107[[#This Row],[OUTROS]]+Tabela1107[[#This Row],[BA]]</f>
        <v>24.740000000000002</v>
      </c>
      <c r="BS142" s="97">
        <f>+Tabela1107[[#This Row],[PIS]]+Tabela1107[[#This Row],[COFINS]]+Tabela1107[[#This Row],[CONTRIB. FOLHA]]+Tabela1107[[#This Row],[TRIBUTOS S/ LUCRO]]+Tabela1107[[#This Row],[OUTROS]]+Tabela1107[[#This Row],[PE]]</f>
        <v>24.740000000000002</v>
      </c>
      <c r="BT142" s="97">
        <f>+Tabela1107[[#This Row],[PIS]]+Tabela1107[[#This Row],[COFINS]]+Tabela1107[[#This Row],[CONTRIB. FOLHA]]+Tabela1107[[#This Row],[TRIBUTOS S/ LUCRO]]+Tabela1107[[#This Row],[OUTROS]]+Tabela1107[[#This Row],[PA]]</f>
        <v>24.740000000000002</v>
      </c>
      <c r="BU142" s="97">
        <f>+Tabela1107[[#This Row],[PIS]]+Tabela1107[[#This Row],[COFINS]]+Tabela1107[[#This Row],[CONTRIB. FOLHA]]+Tabela1107[[#This Row],[TRIBUTOS S/ LUCRO]]+Tabela1107[[#This Row],[OUTROS]]+Tabela1107[[#This Row],[AM]]</f>
        <v>24.740000000000002</v>
      </c>
      <c r="BV142" s="97">
        <f>AVERAGE(Tabela1107[[#This Row],[TOTAL SP]:[TOTAL AM]])</f>
        <v>24.677500000000006</v>
      </c>
      <c r="BW142" s="97"/>
      <c r="BX142" s="97"/>
    </row>
    <row r="143" spans="2:76" x14ac:dyDescent="0.25">
      <c r="B143" s="89">
        <v>3299</v>
      </c>
      <c r="C143" s="106" t="s">
        <v>13107</v>
      </c>
      <c r="D143" s="89"/>
      <c r="E143" s="89">
        <v>20140626</v>
      </c>
      <c r="F143" s="89" t="s">
        <v>21098</v>
      </c>
      <c r="G143" s="89" t="s">
        <v>21099</v>
      </c>
      <c r="H143" s="89" t="s">
        <v>21100</v>
      </c>
      <c r="I143" s="89" t="s">
        <v>21101</v>
      </c>
      <c r="J143" s="89" t="s">
        <v>253</v>
      </c>
      <c r="K143" s="89"/>
      <c r="L143" s="89" t="s">
        <v>3920</v>
      </c>
      <c r="M143" s="89" t="s">
        <v>4496</v>
      </c>
      <c r="N143" s="89" t="s">
        <v>4496</v>
      </c>
      <c r="O143" s="89" t="s">
        <v>4496</v>
      </c>
      <c r="P143" s="89" t="s">
        <v>4496</v>
      </c>
      <c r="Q143" s="89"/>
      <c r="R143" s="89" t="s">
        <v>34</v>
      </c>
      <c r="S143" s="89" t="s">
        <v>21670</v>
      </c>
      <c r="T143" s="89" t="s">
        <v>21671</v>
      </c>
      <c r="U143" s="89" t="str">
        <f>TRIM('Carga Tributária doenças Po (2'!$L143)</f>
        <v>PREDNISONA</v>
      </c>
      <c r="V143" s="89">
        <f>SUMIFS('Tabela Federal'!$E$4:$E$2069,'Tabela Federal'!$D$4:$D$2069,'Carga Tributária doenças Po (2'!$L143)</f>
        <v>1</v>
      </c>
      <c r="W143" s="89">
        <f>SUMIFS('Tabela Federal'!$E$4:$E$2069,'Tabela Federal'!$D$4:$D$2069,'Carga Tributária doenças Po (2'!$M143)</f>
        <v>0</v>
      </c>
      <c r="X143" s="89">
        <f>SUMIFS('Tabela Federal'!$E$4:$E$2069,'Tabela Federal'!$D$4:$D$2069,'Carga Tributária doenças Po (2'!$N143)</f>
        <v>0</v>
      </c>
      <c r="Y143" s="89">
        <f>SUMIFS('Tabela Federal'!$E$4:$E$2069,'Tabela Federal'!$D$4:$D$2069,'Carga Tributária doenças Po (2'!$O143)</f>
        <v>0</v>
      </c>
      <c r="Z143" s="92" t="str">
        <f>VLOOKUP('Carga Tributária doenças Po (2'!$AD143,'Carga Tributária doenças Po (2'!$CA$12:$CC$16,2,0)</f>
        <v>+</v>
      </c>
      <c r="AA143" s="89" t="s">
        <v>254</v>
      </c>
      <c r="AB143" s="89" t="s">
        <v>21827</v>
      </c>
      <c r="AC143" s="89" t="s">
        <v>21721</v>
      </c>
      <c r="AD143" s="93" t="s">
        <v>21722</v>
      </c>
      <c r="AE143" s="92" t="s">
        <v>2</v>
      </c>
      <c r="AF143" s="92" t="s">
        <v>3</v>
      </c>
      <c r="AG143" s="94">
        <v>2884397</v>
      </c>
      <c r="AH143" s="95">
        <v>14945696</v>
      </c>
      <c r="AI143" s="95">
        <v>34068993.380000003</v>
      </c>
      <c r="AJ143" s="89" t="s">
        <v>559</v>
      </c>
      <c r="AK143" s="89">
        <f>IF('Carga Tributária doenças Po (2'!$Z143="+",0,SUMIFS(PISCOFINS!$I$3:$I$10518,PISCOFINS!$C$3:$C$10518,'Carga Tributária doenças Po (2'!$C143))</f>
        <v>0</v>
      </c>
      <c r="AL143" s="89">
        <f>IF('Carga Tributária doenças Po (2'!$Z143="+",0,SUMIFS(PISCOFINS!$H$3:$H$10518,PISCOFINS!$C$3:$C$10518,'Carga Tributária doenças Po (2'!$C143))</f>
        <v>0</v>
      </c>
      <c r="AM143" s="95">
        <v>3.27</v>
      </c>
      <c r="AN143" s="95">
        <v>3.12</v>
      </c>
      <c r="AO143" s="95">
        <v>1.35</v>
      </c>
      <c r="AP143" s="96">
        <v>18</v>
      </c>
      <c r="AQ143" s="96">
        <v>12</v>
      </c>
      <c r="AR143" s="96">
        <v>17</v>
      </c>
      <c r="AS143" s="97">
        <v>17</v>
      </c>
      <c r="AT143" s="97">
        <v>19</v>
      </c>
      <c r="AU143" s="97">
        <v>18</v>
      </c>
      <c r="AV143" s="97">
        <v>17</v>
      </c>
      <c r="AW143" s="97">
        <v>17</v>
      </c>
      <c r="AX143" s="97">
        <v>17</v>
      </c>
      <c r="AY143" s="97">
        <v>17</v>
      </c>
      <c r="AZ143" s="97">
        <v>17</v>
      </c>
      <c r="BA143" s="97">
        <v>17</v>
      </c>
      <c r="BB143" s="97">
        <v>17</v>
      </c>
      <c r="BC143" s="97">
        <v>17</v>
      </c>
      <c r="BD143" s="97">
        <v>17</v>
      </c>
      <c r="BE143" s="97">
        <v>17</v>
      </c>
      <c r="BF143" s="97">
        <f>+Tabela1107[[#This Row],[PIS]]+Tabela1107[[#This Row],[COFINS]]+Tabela1107[[#This Row],[CONTRIB. FOLHA]]+Tabela1107[[#This Row],[TRIBUTOS S/ LUCRO]]+Tabela1107[[#This Row],[OUTROS]]+Tabela1107[[#This Row],[SP]]</f>
        <v>25.740000000000002</v>
      </c>
      <c r="BG143" s="97">
        <f>+Tabela1107[[#This Row],[PIS]]+Tabela1107[[#This Row],[COFINS]]+Tabela1107[[#This Row],[CONTRIB. FOLHA]]+Tabela1107[[#This Row],[TRIBUTOS S/ LUCRO]]+Tabela1107[[#This Row],[OUTROS]]+Tabela1107[[#This Row],[PR]]</f>
        <v>19.740000000000002</v>
      </c>
      <c r="BH143" s="97">
        <f>+Tabela1107[[#This Row],[PIS]]+Tabela1107[[#This Row],[COFINS]]+Tabela1107[[#This Row],[CONTRIB. FOLHA]]+Tabela1107[[#This Row],[TRIBUTOS S/ LUCRO]]+Tabela1107[[#This Row],[OUTROS]]+Tabela1107[[#This Row],[SC]]</f>
        <v>24.740000000000002</v>
      </c>
      <c r="BI143" s="97">
        <f>+Tabela1107[[#This Row],[PIS]]+Tabela1107[[#This Row],[COFINS]]+Tabela1107[[#This Row],[CONTRIB. FOLHA]]+Tabela1107[[#This Row],[TRIBUTOS S/ LUCRO]]+Tabela1107[[#This Row],[OUTROS]]+Tabela1107[[#This Row],[RS]]</f>
        <v>24.740000000000002</v>
      </c>
      <c r="BJ143" s="97">
        <f>+Tabela1107[[#This Row],[PIS]]+Tabela1107[[#This Row],[COFINS]]+Tabela1107[[#This Row],[CONTRIB. FOLHA]]+Tabela1107[[#This Row],[TRIBUTOS S/ LUCRO]]+Tabela1107[[#This Row],[OUTROS]]+Tabela1107[[#This Row],[RJ]]</f>
        <v>26.740000000000002</v>
      </c>
      <c r="BK143" s="97">
        <f>+Tabela1107[[#This Row],[PIS]]+Tabela1107[[#This Row],[COFINS]]+Tabela1107[[#This Row],[CONTRIB. FOLHA]]+Tabela1107[[#This Row],[TRIBUTOS S/ LUCRO]]+Tabela1107[[#This Row],[OUTROS]]+Tabela1107[[#This Row],[MG]]</f>
        <v>25.740000000000002</v>
      </c>
      <c r="BL143" s="97">
        <f>+Tabela1107[[#This Row],[PIS]]+Tabela1107[[#This Row],[COFINS]]+Tabela1107[[#This Row],[CONTRIB. FOLHA]]+Tabela1107[[#This Row],[TRIBUTOS S/ LUCRO]]+Tabela1107[[#This Row],[OUTROS]]+Tabela1107[[#This Row],[ES]]</f>
        <v>24.740000000000002</v>
      </c>
      <c r="BM143" s="97">
        <f>+Tabela1107[[#This Row],[PIS]]+Tabela1107[[#This Row],[COFINS]]+Tabela1107[[#This Row],[CONTRIB. FOLHA]]+Tabela1107[[#This Row],[TRIBUTOS S/ LUCRO]]+Tabela1107[[#This Row],[OUTROS]]+Tabela1107[[#This Row],[GO]]</f>
        <v>24.740000000000002</v>
      </c>
      <c r="BN143" s="97">
        <f>+Tabela1107[[#This Row],[PIS]]+Tabela1107[[#This Row],[COFINS]]+Tabela1107[[#This Row],[CONTRIB. FOLHA]]+Tabela1107[[#This Row],[TRIBUTOS S/ LUCRO]]+Tabela1107[[#This Row],[OUTROS]]+Tabela1107[[#This Row],[MT]]</f>
        <v>24.740000000000002</v>
      </c>
      <c r="BO143" s="97">
        <f>+Tabela1107[[#This Row],[PIS]]+Tabela1107[[#This Row],[COFINS]]+Tabela1107[[#This Row],[CONTRIB. FOLHA]]+Tabela1107[[#This Row],[TRIBUTOS S/ LUCRO]]+Tabela1107[[#This Row],[OUTROS]]+Tabela1107[[#This Row],[MS]]</f>
        <v>24.740000000000002</v>
      </c>
      <c r="BP143" s="97">
        <f>+Tabela1107[[#This Row],[PIS]]+Tabela1107[[#This Row],[COFINS]]+Tabela1107[[#This Row],[CONTRIB. FOLHA]]+Tabela1107[[#This Row],[TRIBUTOS S/ LUCRO]]+Tabela1107[[#This Row],[OUTROS]]+Tabela1107[[#This Row],[DF]]</f>
        <v>24.740000000000002</v>
      </c>
      <c r="BQ143" s="97">
        <f>+Tabela1107[[#This Row],[PIS]]+Tabela1107[[#This Row],[COFINS]]+Tabela1107[[#This Row],[CONTRIB. FOLHA]]+Tabela1107[[#This Row],[TRIBUTOS S/ LUCRO]]+Tabela1107[[#This Row],[OUTROS]]+Tabela1107[[#This Row],[BA]]</f>
        <v>24.740000000000002</v>
      </c>
      <c r="BR143" s="97">
        <f>+Tabela1107[[#This Row],[PIS]]+Tabela1107[[#This Row],[COFINS]]+Tabela1107[[#This Row],[CONTRIB. FOLHA]]+Tabela1107[[#This Row],[TRIBUTOS S/ LUCRO]]+Tabela1107[[#This Row],[OUTROS]]+Tabela1107[[#This Row],[BA]]</f>
        <v>24.740000000000002</v>
      </c>
      <c r="BS143" s="97">
        <f>+Tabela1107[[#This Row],[PIS]]+Tabela1107[[#This Row],[COFINS]]+Tabela1107[[#This Row],[CONTRIB. FOLHA]]+Tabela1107[[#This Row],[TRIBUTOS S/ LUCRO]]+Tabela1107[[#This Row],[OUTROS]]+Tabela1107[[#This Row],[PE]]</f>
        <v>24.740000000000002</v>
      </c>
      <c r="BT143" s="97">
        <f>+Tabela1107[[#This Row],[PIS]]+Tabela1107[[#This Row],[COFINS]]+Tabela1107[[#This Row],[CONTRIB. FOLHA]]+Tabela1107[[#This Row],[TRIBUTOS S/ LUCRO]]+Tabela1107[[#This Row],[OUTROS]]+Tabela1107[[#This Row],[PA]]</f>
        <v>24.740000000000002</v>
      </c>
      <c r="BU143" s="97">
        <f>+Tabela1107[[#This Row],[PIS]]+Tabela1107[[#This Row],[COFINS]]+Tabela1107[[#This Row],[CONTRIB. FOLHA]]+Tabela1107[[#This Row],[TRIBUTOS S/ LUCRO]]+Tabela1107[[#This Row],[OUTROS]]+Tabela1107[[#This Row],[AM]]</f>
        <v>24.740000000000002</v>
      </c>
      <c r="BV143" s="97">
        <f>AVERAGE(Tabela1107[[#This Row],[TOTAL SP]:[TOTAL AM]])</f>
        <v>24.677500000000006</v>
      </c>
      <c r="BW143" s="97"/>
      <c r="BX143" s="97"/>
    </row>
    <row r="144" spans="2:76" x14ac:dyDescent="0.25">
      <c r="B144" s="89">
        <v>17089</v>
      </c>
      <c r="C144" s="91" t="s">
        <v>13183</v>
      </c>
      <c r="D144" s="89"/>
      <c r="E144" s="89">
        <v>20140626</v>
      </c>
      <c r="F144" s="89" t="s">
        <v>21060</v>
      </c>
      <c r="G144" s="89" t="s">
        <v>21061</v>
      </c>
      <c r="H144" s="89" t="s">
        <v>21062</v>
      </c>
      <c r="I144" s="89" t="s">
        <v>21063</v>
      </c>
      <c r="J144" s="89" t="s">
        <v>344</v>
      </c>
      <c r="K144" s="89"/>
      <c r="L144" s="89" t="s">
        <v>2442</v>
      </c>
      <c r="M144" s="89" t="s">
        <v>4496</v>
      </c>
      <c r="N144" s="89" t="s">
        <v>4496</v>
      </c>
      <c r="O144" s="89" t="s">
        <v>4496</v>
      </c>
      <c r="P144" s="89" t="s">
        <v>4496</v>
      </c>
      <c r="Q144" s="89"/>
      <c r="R144" s="89" t="s">
        <v>68</v>
      </c>
      <c r="S144" s="89" t="s">
        <v>21664</v>
      </c>
      <c r="T144" s="89" t="s">
        <v>21665</v>
      </c>
      <c r="U144" s="89" t="str">
        <f>TRIM('Carga Tributária doenças Po (2'!$L144)</f>
        <v>DEXAMETASONA</v>
      </c>
      <c r="V144" s="89">
        <f>SUMIFS('Tabela Federal'!$E$4:$E$2069,'Tabela Federal'!$D$4:$D$2069,'Carga Tributária doenças Po (2'!$L144)</f>
        <v>10</v>
      </c>
      <c r="W144" s="89">
        <f>SUMIFS('Tabela Federal'!$E$4:$E$2069,'Tabela Federal'!$D$4:$D$2069,'Carga Tributária doenças Po (2'!$M144)</f>
        <v>0</v>
      </c>
      <c r="X144" s="89">
        <f>SUMIFS('Tabela Federal'!$E$4:$E$2069,'Tabela Federal'!$D$4:$D$2069,'Carga Tributária doenças Po (2'!$N144)</f>
        <v>0</v>
      </c>
      <c r="Y144" s="89">
        <f>SUMIFS('Tabela Federal'!$E$4:$E$2069,'Tabela Federal'!$D$4:$D$2069,'Carga Tributária doenças Po (2'!$O144)</f>
        <v>0</v>
      </c>
      <c r="Z144" s="92" t="str">
        <f>VLOOKUP('Carga Tributária doenças Po (2'!$AD144,'Carga Tributária doenças Po (2'!$CA$12:$CC$16,2,0)</f>
        <v>+</v>
      </c>
      <c r="AA144" s="89" t="s">
        <v>345</v>
      </c>
      <c r="AB144" s="89" t="s">
        <v>21731</v>
      </c>
      <c r="AC144" s="89" t="s">
        <v>21721</v>
      </c>
      <c r="AD144" s="93" t="s">
        <v>21722</v>
      </c>
      <c r="AE144" s="92" t="s">
        <v>2</v>
      </c>
      <c r="AF144" s="92" t="s">
        <v>3</v>
      </c>
      <c r="AG144" s="94">
        <v>934058</v>
      </c>
      <c r="AH144" s="95">
        <v>3082151</v>
      </c>
      <c r="AI144" s="95">
        <v>7041280.6699999999</v>
      </c>
      <c r="AJ144" s="89" t="s">
        <v>338</v>
      </c>
      <c r="AK144" s="89">
        <f>IF('Carga Tributária doenças Po (2'!$Z144="+",0,SUMIFS(PISCOFINS!$I$3:$I$10518,PISCOFINS!$C$3:$C$10518,'Carga Tributária doenças Po (2'!$C144))</f>
        <v>0</v>
      </c>
      <c r="AL144" s="89">
        <f>IF('Carga Tributária doenças Po (2'!$Z144="+",0,SUMIFS(PISCOFINS!$H$3:$H$10518,PISCOFINS!$C$3:$C$10518,'Carga Tributária doenças Po (2'!$C144))</f>
        <v>0</v>
      </c>
      <c r="AM144" s="95">
        <v>3.27</v>
      </c>
      <c r="AN144" s="95">
        <v>3.12</v>
      </c>
      <c r="AO144" s="95">
        <v>1.35</v>
      </c>
      <c r="AP144" s="96">
        <v>18</v>
      </c>
      <c r="AQ144" s="96">
        <v>12</v>
      </c>
      <c r="AR144" s="96">
        <v>17</v>
      </c>
      <c r="AS144" s="97">
        <v>17</v>
      </c>
      <c r="AT144" s="97">
        <v>19</v>
      </c>
      <c r="AU144" s="97">
        <v>18</v>
      </c>
      <c r="AV144" s="97">
        <v>17</v>
      </c>
      <c r="AW144" s="97">
        <v>17</v>
      </c>
      <c r="AX144" s="97">
        <v>17</v>
      </c>
      <c r="AY144" s="97">
        <v>17</v>
      </c>
      <c r="AZ144" s="97">
        <v>17</v>
      </c>
      <c r="BA144" s="97">
        <v>17</v>
      </c>
      <c r="BB144" s="97">
        <v>17</v>
      </c>
      <c r="BC144" s="97">
        <v>17</v>
      </c>
      <c r="BD144" s="97">
        <v>17</v>
      </c>
      <c r="BE144" s="97">
        <v>17</v>
      </c>
      <c r="BF144" s="97">
        <f>+Tabela1107[[#This Row],[PIS]]+Tabela1107[[#This Row],[COFINS]]+Tabela1107[[#This Row],[CONTRIB. FOLHA]]+Tabela1107[[#This Row],[TRIBUTOS S/ LUCRO]]+Tabela1107[[#This Row],[OUTROS]]+Tabela1107[[#This Row],[SP]]</f>
        <v>25.740000000000002</v>
      </c>
      <c r="BG144" s="97">
        <f>+Tabela1107[[#This Row],[PIS]]+Tabela1107[[#This Row],[COFINS]]+Tabela1107[[#This Row],[CONTRIB. FOLHA]]+Tabela1107[[#This Row],[TRIBUTOS S/ LUCRO]]+Tabela1107[[#This Row],[OUTROS]]+Tabela1107[[#This Row],[PR]]</f>
        <v>19.740000000000002</v>
      </c>
      <c r="BH144" s="97">
        <f>+Tabela1107[[#This Row],[PIS]]+Tabela1107[[#This Row],[COFINS]]+Tabela1107[[#This Row],[CONTRIB. FOLHA]]+Tabela1107[[#This Row],[TRIBUTOS S/ LUCRO]]+Tabela1107[[#This Row],[OUTROS]]+Tabela1107[[#This Row],[SC]]</f>
        <v>24.740000000000002</v>
      </c>
      <c r="BI144" s="97">
        <f>+Tabela1107[[#This Row],[PIS]]+Tabela1107[[#This Row],[COFINS]]+Tabela1107[[#This Row],[CONTRIB. FOLHA]]+Tabela1107[[#This Row],[TRIBUTOS S/ LUCRO]]+Tabela1107[[#This Row],[OUTROS]]+Tabela1107[[#This Row],[RS]]</f>
        <v>24.740000000000002</v>
      </c>
      <c r="BJ144" s="97">
        <f>+Tabela1107[[#This Row],[PIS]]+Tabela1107[[#This Row],[COFINS]]+Tabela1107[[#This Row],[CONTRIB. FOLHA]]+Tabela1107[[#This Row],[TRIBUTOS S/ LUCRO]]+Tabela1107[[#This Row],[OUTROS]]+Tabela1107[[#This Row],[RJ]]</f>
        <v>26.740000000000002</v>
      </c>
      <c r="BK144" s="97">
        <f>+Tabela1107[[#This Row],[PIS]]+Tabela1107[[#This Row],[COFINS]]+Tabela1107[[#This Row],[CONTRIB. FOLHA]]+Tabela1107[[#This Row],[TRIBUTOS S/ LUCRO]]+Tabela1107[[#This Row],[OUTROS]]+Tabela1107[[#This Row],[MG]]</f>
        <v>25.740000000000002</v>
      </c>
      <c r="BL144" s="97">
        <f>+Tabela1107[[#This Row],[PIS]]+Tabela1107[[#This Row],[COFINS]]+Tabela1107[[#This Row],[CONTRIB. FOLHA]]+Tabela1107[[#This Row],[TRIBUTOS S/ LUCRO]]+Tabela1107[[#This Row],[OUTROS]]+Tabela1107[[#This Row],[ES]]</f>
        <v>24.740000000000002</v>
      </c>
      <c r="BM144" s="97">
        <f>+Tabela1107[[#This Row],[PIS]]+Tabela1107[[#This Row],[COFINS]]+Tabela1107[[#This Row],[CONTRIB. FOLHA]]+Tabela1107[[#This Row],[TRIBUTOS S/ LUCRO]]+Tabela1107[[#This Row],[OUTROS]]+Tabela1107[[#This Row],[GO]]</f>
        <v>24.740000000000002</v>
      </c>
      <c r="BN144" s="97">
        <f>+Tabela1107[[#This Row],[PIS]]+Tabela1107[[#This Row],[COFINS]]+Tabela1107[[#This Row],[CONTRIB. FOLHA]]+Tabela1107[[#This Row],[TRIBUTOS S/ LUCRO]]+Tabela1107[[#This Row],[OUTROS]]+Tabela1107[[#This Row],[MT]]</f>
        <v>24.740000000000002</v>
      </c>
      <c r="BO144" s="97">
        <f>+Tabela1107[[#This Row],[PIS]]+Tabela1107[[#This Row],[COFINS]]+Tabela1107[[#This Row],[CONTRIB. FOLHA]]+Tabela1107[[#This Row],[TRIBUTOS S/ LUCRO]]+Tabela1107[[#This Row],[OUTROS]]+Tabela1107[[#This Row],[MS]]</f>
        <v>24.740000000000002</v>
      </c>
      <c r="BP144" s="97">
        <f>+Tabela1107[[#This Row],[PIS]]+Tabela1107[[#This Row],[COFINS]]+Tabela1107[[#This Row],[CONTRIB. FOLHA]]+Tabela1107[[#This Row],[TRIBUTOS S/ LUCRO]]+Tabela1107[[#This Row],[OUTROS]]+Tabela1107[[#This Row],[DF]]</f>
        <v>24.740000000000002</v>
      </c>
      <c r="BQ144" s="97">
        <f>+Tabela1107[[#This Row],[PIS]]+Tabela1107[[#This Row],[COFINS]]+Tabela1107[[#This Row],[CONTRIB. FOLHA]]+Tabela1107[[#This Row],[TRIBUTOS S/ LUCRO]]+Tabela1107[[#This Row],[OUTROS]]+Tabela1107[[#This Row],[BA]]</f>
        <v>24.740000000000002</v>
      </c>
      <c r="BR144" s="97">
        <f>+Tabela1107[[#This Row],[PIS]]+Tabela1107[[#This Row],[COFINS]]+Tabela1107[[#This Row],[CONTRIB. FOLHA]]+Tabela1107[[#This Row],[TRIBUTOS S/ LUCRO]]+Tabela1107[[#This Row],[OUTROS]]+Tabela1107[[#This Row],[BA]]</f>
        <v>24.740000000000002</v>
      </c>
      <c r="BS144" s="97">
        <f>+Tabela1107[[#This Row],[PIS]]+Tabela1107[[#This Row],[COFINS]]+Tabela1107[[#This Row],[CONTRIB. FOLHA]]+Tabela1107[[#This Row],[TRIBUTOS S/ LUCRO]]+Tabela1107[[#This Row],[OUTROS]]+Tabela1107[[#This Row],[PE]]</f>
        <v>24.740000000000002</v>
      </c>
      <c r="BT144" s="97">
        <f>+Tabela1107[[#This Row],[PIS]]+Tabela1107[[#This Row],[COFINS]]+Tabela1107[[#This Row],[CONTRIB. FOLHA]]+Tabela1107[[#This Row],[TRIBUTOS S/ LUCRO]]+Tabela1107[[#This Row],[OUTROS]]+Tabela1107[[#This Row],[PA]]</f>
        <v>24.740000000000002</v>
      </c>
      <c r="BU144" s="97">
        <f>+Tabela1107[[#This Row],[PIS]]+Tabela1107[[#This Row],[COFINS]]+Tabela1107[[#This Row],[CONTRIB. FOLHA]]+Tabela1107[[#This Row],[TRIBUTOS S/ LUCRO]]+Tabela1107[[#This Row],[OUTROS]]+Tabela1107[[#This Row],[AM]]</f>
        <v>24.740000000000002</v>
      </c>
      <c r="BV144" s="97">
        <f>AVERAGE(Tabela1107[[#This Row],[TOTAL SP]:[TOTAL AM]])</f>
        <v>24.677500000000006</v>
      </c>
      <c r="BW144" s="97"/>
      <c r="BX144" s="97"/>
    </row>
    <row r="145" spans="2:76" x14ac:dyDescent="0.25">
      <c r="B145" s="89">
        <v>13760</v>
      </c>
      <c r="C145" s="91" t="s">
        <v>13183</v>
      </c>
      <c r="D145" s="89"/>
      <c r="E145" s="89">
        <v>20140626</v>
      </c>
      <c r="F145" s="89" t="s">
        <v>20637</v>
      </c>
      <c r="G145" s="89" t="s">
        <v>20638</v>
      </c>
      <c r="H145" s="89" t="s">
        <v>20639</v>
      </c>
      <c r="I145" s="89" t="s">
        <v>20640</v>
      </c>
      <c r="J145" s="89" t="s">
        <v>188</v>
      </c>
      <c r="K145" s="89"/>
      <c r="L145" s="89" t="s">
        <v>3163</v>
      </c>
      <c r="M145" s="89" t="s">
        <v>4172</v>
      </c>
      <c r="N145" s="89" t="s">
        <v>3164</v>
      </c>
      <c r="O145" s="89" t="s">
        <v>4496</v>
      </c>
      <c r="P145" s="89" t="s">
        <v>4496</v>
      </c>
      <c r="Q145" s="89"/>
      <c r="R145" s="89" t="s">
        <v>29</v>
      </c>
      <c r="S145" s="89" t="s">
        <v>21616</v>
      </c>
      <c r="T145" s="89" t="s">
        <v>21617</v>
      </c>
      <c r="U145" s="89" t="str">
        <f>TRIM('Carga Tributária doenças Po (2'!$L145)</f>
        <v>ACRIFLAVINA</v>
      </c>
      <c r="V145" s="89">
        <f>SUMIFS('Tabela Federal'!$E$4:$E$2069,'Tabela Federal'!$D$4:$D$2069,'Carga Tributária doenças Po (2'!$L145)</f>
        <v>0</v>
      </c>
      <c r="W145" s="89">
        <f>SUMIFS('Tabela Federal'!$E$4:$E$2069,'Tabela Federal'!$D$4:$D$2069,'Carga Tributária doenças Po (2'!$M145)</f>
        <v>0</v>
      </c>
      <c r="X145" s="89">
        <f>SUMIFS('Tabela Federal'!$E$4:$E$2069,'Tabela Federal'!$D$4:$D$2069,'Carga Tributária doenças Po (2'!$N145)</f>
        <v>0</v>
      </c>
      <c r="Y145" s="89">
        <f>SUMIFS('Tabela Federal'!$E$4:$E$2069,'Tabela Federal'!$D$4:$D$2069,'Carga Tributária doenças Po (2'!$O145)</f>
        <v>0</v>
      </c>
      <c r="Z145" s="92" t="str">
        <f>VLOOKUP('Carga Tributária doenças Po (2'!$AD145,'Carga Tributária doenças Po (2'!$CA$12:$CC$16,2,0)</f>
        <v>-</v>
      </c>
      <c r="AA145" s="89" t="s">
        <v>189</v>
      </c>
      <c r="AB145" s="89" t="s">
        <v>21856</v>
      </c>
      <c r="AC145" s="89" t="s">
        <v>21740</v>
      </c>
      <c r="AD145" s="93" t="s">
        <v>19523</v>
      </c>
      <c r="AE145" s="92" t="s">
        <v>4</v>
      </c>
      <c r="AF145" s="92" t="s">
        <v>3</v>
      </c>
      <c r="AG145" s="94">
        <v>1915905</v>
      </c>
      <c r="AH145" s="95">
        <v>9897887</v>
      </c>
      <c r="AI145" s="95">
        <v>22611292.859999999</v>
      </c>
      <c r="AJ145" s="89" t="s">
        <v>203</v>
      </c>
      <c r="AK145" s="89">
        <f>IF('Carga Tributária doenças Po (2'!$Z145="+",0,SUMIFS(PISCOFINS!$I$3:$I$10518,PISCOFINS!$C$3:$C$10518,'Carga Tributária doenças Po (2'!$C145))</f>
        <v>2.1</v>
      </c>
      <c r="AL145" s="89">
        <f>IF('Carga Tributária doenças Po (2'!$Z145="+",0,SUMIFS(PISCOFINS!$H$3:$H$10518,PISCOFINS!$C$3:$C$10518,'Carga Tributária doenças Po (2'!$C145))</f>
        <v>9.9</v>
      </c>
      <c r="AM145" s="95">
        <v>3.27</v>
      </c>
      <c r="AN145" s="95">
        <v>3.12</v>
      </c>
      <c r="AO145" s="95">
        <v>1.35</v>
      </c>
      <c r="AP145" s="96">
        <v>18</v>
      </c>
      <c r="AQ145" s="96">
        <v>12</v>
      </c>
      <c r="AR145" s="96">
        <v>17</v>
      </c>
      <c r="AS145" s="97">
        <v>17</v>
      </c>
      <c r="AT145" s="97">
        <v>19</v>
      </c>
      <c r="AU145" s="97">
        <v>18</v>
      </c>
      <c r="AV145" s="97">
        <v>17</v>
      </c>
      <c r="AW145" s="97">
        <v>17</v>
      </c>
      <c r="AX145" s="97">
        <v>17</v>
      </c>
      <c r="AY145" s="97">
        <v>17</v>
      </c>
      <c r="AZ145" s="97">
        <v>17</v>
      </c>
      <c r="BA145" s="97">
        <v>17</v>
      </c>
      <c r="BB145" s="97">
        <v>17</v>
      </c>
      <c r="BC145" s="97">
        <v>17</v>
      </c>
      <c r="BD145" s="97">
        <v>17</v>
      </c>
      <c r="BE145" s="97">
        <v>17</v>
      </c>
      <c r="BF145" s="97">
        <f>+Tabela1107[[#This Row],[PIS]]+Tabela1107[[#This Row],[COFINS]]+Tabela1107[[#This Row],[CONTRIB. FOLHA]]+Tabela1107[[#This Row],[TRIBUTOS S/ LUCRO]]+Tabela1107[[#This Row],[OUTROS]]+Tabela1107[[#This Row],[SP]]</f>
        <v>37.74</v>
      </c>
      <c r="BG145" s="97">
        <f>+Tabela1107[[#This Row],[PIS]]+Tabela1107[[#This Row],[COFINS]]+Tabela1107[[#This Row],[CONTRIB. FOLHA]]+Tabela1107[[#This Row],[TRIBUTOS S/ LUCRO]]+Tabela1107[[#This Row],[OUTROS]]+Tabela1107[[#This Row],[PR]]</f>
        <v>31.740000000000002</v>
      </c>
      <c r="BH145" s="97">
        <f>+Tabela1107[[#This Row],[PIS]]+Tabela1107[[#This Row],[COFINS]]+Tabela1107[[#This Row],[CONTRIB. FOLHA]]+Tabela1107[[#This Row],[TRIBUTOS S/ LUCRO]]+Tabela1107[[#This Row],[OUTROS]]+Tabela1107[[#This Row],[SC]]</f>
        <v>36.74</v>
      </c>
      <c r="BI145" s="97">
        <f>+Tabela1107[[#This Row],[PIS]]+Tabela1107[[#This Row],[COFINS]]+Tabela1107[[#This Row],[CONTRIB. FOLHA]]+Tabela1107[[#This Row],[TRIBUTOS S/ LUCRO]]+Tabela1107[[#This Row],[OUTROS]]+Tabela1107[[#This Row],[RS]]</f>
        <v>36.74</v>
      </c>
      <c r="BJ145" s="97">
        <f>+Tabela1107[[#This Row],[PIS]]+Tabela1107[[#This Row],[COFINS]]+Tabela1107[[#This Row],[CONTRIB. FOLHA]]+Tabela1107[[#This Row],[TRIBUTOS S/ LUCRO]]+Tabela1107[[#This Row],[OUTROS]]+Tabela1107[[#This Row],[RJ]]</f>
        <v>38.74</v>
      </c>
      <c r="BK145" s="97">
        <f>+Tabela1107[[#This Row],[PIS]]+Tabela1107[[#This Row],[COFINS]]+Tabela1107[[#This Row],[CONTRIB. FOLHA]]+Tabela1107[[#This Row],[TRIBUTOS S/ LUCRO]]+Tabela1107[[#This Row],[OUTROS]]+Tabela1107[[#This Row],[MG]]</f>
        <v>37.74</v>
      </c>
      <c r="BL145" s="97">
        <f>+Tabela1107[[#This Row],[PIS]]+Tabela1107[[#This Row],[COFINS]]+Tabela1107[[#This Row],[CONTRIB. FOLHA]]+Tabela1107[[#This Row],[TRIBUTOS S/ LUCRO]]+Tabela1107[[#This Row],[OUTROS]]+Tabela1107[[#This Row],[ES]]</f>
        <v>36.74</v>
      </c>
      <c r="BM145" s="97">
        <f>+Tabela1107[[#This Row],[PIS]]+Tabela1107[[#This Row],[COFINS]]+Tabela1107[[#This Row],[CONTRIB. FOLHA]]+Tabela1107[[#This Row],[TRIBUTOS S/ LUCRO]]+Tabela1107[[#This Row],[OUTROS]]+Tabela1107[[#This Row],[GO]]</f>
        <v>36.74</v>
      </c>
      <c r="BN145" s="97">
        <f>+Tabela1107[[#This Row],[PIS]]+Tabela1107[[#This Row],[COFINS]]+Tabela1107[[#This Row],[CONTRIB. FOLHA]]+Tabela1107[[#This Row],[TRIBUTOS S/ LUCRO]]+Tabela1107[[#This Row],[OUTROS]]+Tabela1107[[#This Row],[MT]]</f>
        <v>36.74</v>
      </c>
      <c r="BO145" s="97">
        <f>+Tabela1107[[#This Row],[PIS]]+Tabela1107[[#This Row],[COFINS]]+Tabela1107[[#This Row],[CONTRIB. FOLHA]]+Tabela1107[[#This Row],[TRIBUTOS S/ LUCRO]]+Tabela1107[[#This Row],[OUTROS]]+Tabela1107[[#This Row],[MS]]</f>
        <v>36.74</v>
      </c>
      <c r="BP145" s="97">
        <f>+Tabela1107[[#This Row],[PIS]]+Tabela1107[[#This Row],[COFINS]]+Tabela1107[[#This Row],[CONTRIB. FOLHA]]+Tabela1107[[#This Row],[TRIBUTOS S/ LUCRO]]+Tabela1107[[#This Row],[OUTROS]]+Tabela1107[[#This Row],[DF]]</f>
        <v>36.74</v>
      </c>
      <c r="BQ145" s="97">
        <f>+Tabela1107[[#This Row],[PIS]]+Tabela1107[[#This Row],[COFINS]]+Tabela1107[[#This Row],[CONTRIB. FOLHA]]+Tabela1107[[#This Row],[TRIBUTOS S/ LUCRO]]+Tabela1107[[#This Row],[OUTROS]]+Tabela1107[[#This Row],[BA]]</f>
        <v>36.74</v>
      </c>
      <c r="BR145" s="97">
        <f>+Tabela1107[[#This Row],[PIS]]+Tabela1107[[#This Row],[COFINS]]+Tabela1107[[#This Row],[CONTRIB. FOLHA]]+Tabela1107[[#This Row],[TRIBUTOS S/ LUCRO]]+Tabela1107[[#This Row],[OUTROS]]+Tabela1107[[#This Row],[BA]]</f>
        <v>36.74</v>
      </c>
      <c r="BS145" s="97">
        <f>+Tabela1107[[#This Row],[PIS]]+Tabela1107[[#This Row],[COFINS]]+Tabela1107[[#This Row],[CONTRIB. FOLHA]]+Tabela1107[[#This Row],[TRIBUTOS S/ LUCRO]]+Tabela1107[[#This Row],[OUTROS]]+Tabela1107[[#This Row],[PE]]</f>
        <v>36.74</v>
      </c>
      <c r="BT145" s="97">
        <f>+Tabela1107[[#This Row],[PIS]]+Tabela1107[[#This Row],[COFINS]]+Tabela1107[[#This Row],[CONTRIB. FOLHA]]+Tabela1107[[#This Row],[TRIBUTOS S/ LUCRO]]+Tabela1107[[#This Row],[OUTROS]]+Tabela1107[[#This Row],[PA]]</f>
        <v>36.74</v>
      </c>
      <c r="BU145" s="97">
        <f>+Tabela1107[[#This Row],[PIS]]+Tabela1107[[#This Row],[COFINS]]+Tabela1107[[#This Row],[CONTRIB. FOLHA]]+Tabela1107[[#This Row],[TRIBUTOS S/ LUCRO]]+Tabela1107[[#This Row],[OUTROS]]+Tabela1107[[#This Row],[AM]]</f>
        <v>36.74</v>
      </c>
      <c r="BV145" s="97">
        <f>AVERAGE(Tabela1107[[#This Row],[TOTAL SP]:[TOTAL AM]])</f>
        <v>36.677500000000002</v>
      </c>
      <c r="BW145" s="97"/>
      <c r="BX145" s="97"/>
    </row>
    <row r="146" spans="2:76" x14ac:dyDescent="0.25">
      <c r="B146" s="89">
        <v>20211</v>
      </c>
      <c r="C146" s="91" t="s">
        <v>13168</v>
      </c>
      <c r="D146" s="89"/>
      <c r="E146" s="89">
        <v>20140626</v>
      </c>
      <c r="F146" s="89" t="s">
        <v>21345</v>
      </c>
      <c r="G146" s="89" t="s">
        <v>21346</v>
      </c>
      <c r="H146" s="89" t="s">
        <v>21347</v>
      </c>
      <c r="I146" s="89" t="s">
        <v>21348</v>
      </c>
      <c r="J146" s="89" t="s">
        <v>27</v>
      </c>
      <c r="K146" s="89"/>
      <c r="L146" s="89" t="s">
        <v>4338</v>
      </c>
      <c r="M146" s="89" t="s">
        <v>4173</v>
      </c>
      <c r="N146" s="89" t="s">
        <v>3165</v>
      </c>
      <c r="O146" s="89" t="s">
        <v>4496</v>
      </c>
      <c r="P146" s="89" t="s">
        <v>4496</v>
      </c>
      <c r="Q146" s="89"/>
      <c r="R146" s="89" t="s">
        <v>28</v>
      </c>
      <c r="S146" s="89" t="s">
        <v>21692</v>
      </c>
      <c r="T146" s="89" t="s">
        <v>21693</v>
      </c>
      <c r="U146" s="89" t="str">
        <f>TRIM('Carga Tributária doenças Po (2'!$L146)</f>
        <v>ACIDO ASCORBICO</v>
      </c>
      <c r="V146" s="89">
        <f>SUMIFS('Tabela Federal'!$E$4:$E$2069,'Tabela Federal'!$D$4:$D$2069,'Carga Tributária doenças Po (2'!$L146)</f>
        <v>1</v>
      </c>
      <c r="W146" s="89">
        <f>SUMIFS('Tabela Federal'!$E$4:$E$2069,'Tabela Federal'!$D$4:$D$2069,'Carga Tributária doenças Po (2'!$M146)</f>
        <v>0</v>
      </c>
      <c r="X146" s="89">
        <f>SUMIFS('Tabela Federal'!$E$4:$E$2069,'Tabela Federal'!$D$4:$D$2069,'Carga Tributária doenças Po (2'!$N146)</f>
        <v>0</v>
      </c>
      <c r="Y146" s="89">
        <f>SUMIFS('Tabela Federal'!$E$4:$E$2069,'Tabela Federal'!$D$4:$D$2069,'Carga Tributária doenças Po (2'!$O146)</f>
        <v>0</v>
      </c>
      <c r="Z146" s="92" t="str">
        <f>VLOOKUP('Carga Tributária doenças Po (2'!$AD146,'Carga Tributária doenças Po (2'!$CA$12:$CC$16,2,0)</f>
        <v>-</v>
      </c>
      <c r="AA146" s="89" t="s">
        <v>21</v>
      </c>
      <c r="AB146" s="89" t="s">
        <v>21804</v>
      </c>
      <c r="AC146" s="89" t="s">
        <v>21721</v>
      </c>
      <c r="AD146" s="93" t="s">
        <v>19523</v>
      </c>
      <c r="AE146" s="92" t="s">
        <v>4</v>
      </c>
      <c r="AF146" s="92" t="s">
        <v>23</v>
      </c>
      <c r="AG146" s="94">
        <v>388550</v>
      </c>
      <c r="AH146" s="95">
        <v>1961904</v>
      </c>
      <c r="AI146" s="95">
        <v>4479782.1399999997</v>
      </c>
      <c r="AJ146" s="89" t="s">
        <v>40</v>
      </c>
      <c r="AK146" s="89">
        <f>IF('Carga Tributária doenças Po (2'!$Z146="+",0,SUMIFS(PISCOFINS!$I$3:$I$10518,PISCOFINS!$C$3:$C$10518,'Carga Tributária doenças Po (2'!$C146))</f>
        <v>2.1</v>
      </c>
      <c r="AL146" s="89">
        <f>IF('Carga Tributária doenças Po (2'!$Z146="+",0,SUMIFS(PISCOFINS!$H$3:$H$10518,PISCOFINS!$C$3:$C$10518,'Carga Tributária doenças Po (2'!$C146))</f>
        <v>9.9</v>
      </c>
      <c r="AM146" s="95">
        <v>3.27</v>
      </c>
      <c r="AN146" s="95">
        <v>3.12</v>
      </c>
      <c r="AO146" s="95">
        <v>1.35</v>
      </c>
      <c r="AP146" s="96">
        <v>18</v>
      </c>
      <c r="AQ146" s="96">
        <v>12</v>
      </c>
      <c r="AR146" s="96">
        <v>17</v>
      </c>
      <c r="AS146" s="97">
        <v>17</v>
      </c>
      <c r="AT146" s="97">
        <v>19</v>
      </c>
      <c r="AU146" s="97">
        <v>18</v>
      </c>
      <c r="AV146" s="97">
        <v>17</v>
      </c>
      <c r="AW146" s="97">
        <v>17</v>
      </c>
      <c r="AX146" s="97">
        <v>17</v>
      </c>
      <c r="AY146" s="97">
        <v>17</v>
      </c>
      <c r="AZ146" s="97">
        <v>17</v>
      </c>
      <c r="BA146" s="97">
        <v>17</v>
      </c>
      <c r="BB146" s="97">
        <v>17</v>
      </c>
      <c r="BC146" s="97">
        <v>17</v>
      </c>
      <c r="BD146" s="97">
        <v>17</v>
      </c>
      <c r="BE146" s="97">
        <v>17</v>
      </c>
      <c r="BF146" s="97">
        <f>+Tabela1107[[#This Row],[PIS]]+Tabela1107[[#This Row],[COFINS]]+Tabela1107[[#This Row],[CONTRIB. FOLHA]]+Tabela1107[[#This Row],[TRIBUTOS S/ LUCRO]]+Tabela1107[[#This Row],[OUTROS]]+Tabela1107[[#This Row],[SP]]</f>
        <v>37.74</v>
      </c>
      <c r="BG146" s="97">
        <f>+Tabela1107[[#This Row],[PIS]]+Tabela1107[[#This Row],[COFINS]]+Tabela1107[[#This Row],[CONTRIB. FOLHA]]+Tabela1107[[#This Row],[TRIBUTOS S/ LUCRO]]+Tabela1107[[#This Row],[OUTROS]]+Tabela1107[[#This Row],[PR]]</f>
        <v>31.740000000000002</v>
      </c>
      <c r="BH146" s="97">
        <f>+Tabela1107[[#This Row],[PIS]]+Tabela1107[[#This Row],[COFINS]]+Tabela1107[[#This Row],[CONTRIB. FOLHA]]+Tabela1107[[#This Row],[TRIBUTOS S/ LUCRO]]+Tabela1107[[#This Row],[OUTROS]]+Tabela1107[[#This Row],[SC]]</f>
        <v>36.74</v>
      </c>
      <c r="BI146" s="97">
        <f>+Tabela1107[[#This Row],[PIS]]+Tabela1107[[#This Row],[COFINS]]+Tabela1107[[#This Row],[CONTRIB. FOLHA]]+Tabela1107[[#This Row],[TRIBUTOS S/ LUCRO]]+Tabela1107[[#This Row],[OUTROS]]+Tabela1107[[#This Row],[RS]]</f>
        <v>36.74</v>
      </c>
      <c r="BJ146" s="97">
        <f>+Tabela1107[[#This Row],[PIS]]+Tabela1107[[#This Row],[COFINS]]+Tabela1107[[#This Row],[CONTRIB. FOLHA]]+Tabela1107[[#This Row],[TRIBUTOS S/ LUCRO]]+Tabela1107[[#This Row],[OUTROS]]+Tabela1107[[#This Row],[RJ]]</f>
        <v>38.74</v>
      </c>
      <c r="BK146" s="97">
        <f>+Tabela1107[[#This Row],[PIS]]+Tabela1107[[#This Row],[COFINS]]+Tabela1107[[#This Row],[CONTRIB. FOLHA]]+Tabela1107[[#This Row],[TRIBUTOS S/ LUCRO]]+Tabela1107[[#This Row],[OUTROS]]+Tabela1107[[#This Row],[MG]]</f>
        <v>37.74</v>
      </c>
      <c r="BL146" s="97">
        <f>+Tabela1107[[#This Row],[PIS]]+Tabela1107[[#This Row],[COFINS]]+Tabela1107[[#This Row],[CONTRIB. FOLHA]]+Tabela1107[[#This Row],[TRIBUTOS S/ LUCRO]]+Tabela1107[[#This Row],[OUTROS]]+Tabela1107[[#This Row],[ES]]</f>
        <v>36.74</v>
      </c>
      <c r="BM146" s="97">
        <f>+Tabela1107[[#This Row],[PIS]]+Tabela1107[[#This Row],[COFINS]]+Tabela1107[[#This Row],[CONTRIB. FOLHA]]+Tabela1107[[#This Row],[TRIBUTOS S/ LUCRO]]+Tabela1107[[#This Row],[OUTROS]]+Tabela1107[[#This Row],[GO]]</f>
        <v>36.74</v>
      </c>
      <c r="BN146" s="97">
        <f>+Tabela1107[[#This Row],[PIS]]+Tabela1107[[#This Row],[COFINS]]+Tabela1107[[#This Row],[CONTRIB. FOLHA]]+Tabela1107[[#This Row],[TRIBUTOS S/ LUCRO]]+Tabela1107[[#This Row],[OUTROS]]+Tabela1107[[#This Row],[MT]]</f>
        <v>36.74</v>
      </c>
      <c r="BO146" s="97">
        <f>+Tabela1107[[#This Row],[PIS]]+Tabela1107[[#This Row],[COFINS]]+Tabela1107[[#This Row],[CONTRIB. FOLHA]]+Tabela1107[[#This Row],[TRIBUTOS S/ LUCRO]]+Tabela1107[[#This Row],[OUTROS]]+Tabela1107[[#This Row],[MS]]</f>
        <v>36.74</v>
      </c>
      <c r="BP146" s="97">
        <f>+Tabela1107[[#This Row],[PIS]]+Tabela1107[[#This Row],[COFINS]]+Tabela1107[[#This Row],[CONTRIB. FOLHA]]+Tabela1107[[#This Row],[TRIBUTOS S/ LUCRO]]+Tabela1107[[#This Row],[OUTROS]]+Tabela1107[[#This Row],[DF]]</f>
        <v>36.74</v>
      </c>
      <c r="BQ146" s="97">
        <f>+Tabela1107[[#This Row],[PIS]]+Tabela1107[[#This Row],[COFINS]]+Tabela1107[[#This Row],[CONTRIB. FOLHA]]+Tabela1107[[#This Row],[TRIBUTOS S/ LUCRO]]+Tabela1107[[#This Row],[OUTROS]]+Tabela1107[[#This Row],[BA]]</f>
        <v>36.74</v>
      </c>
      <c r="BR146" s="97">
        <f>+Tabela1107[[#This Row],[PIS]]+Tabela1107[[#This Row],[COFINS]]+Tabela1107[[#This Row],[CONTRIB. FOLHA]]+Tabela1107[[#This Row],[TRIBUTOS S/ LUCRO]]+Tabela1107[[#This Row],[OUTROS]]+Tabela1107[[#This Row],[BA]]</f>
        <v>36.74</v>
      </c>
      <c r="BS146" s="97">
        <f>+Tabela1107[[#This Row],[PIS]]+Tabela1107[[#This Row],[COFINS]]+Tabela1107[[#This Row],[CONTRIB. FOLHA]]+Tabela1107[[#This Row],[TRIBUTOS S/ LUCRO]]+Tabela1107[[#This Row],[OUTROS]]+Tabela1107[[#This Row],[PE]]</f>
        <v>36.74</v>
      </c>
      <c r="BT146" s="97">
        <f>+Tabela1107[[#This Row],[PIS]]+Tabela1107[[#This Row],[COFINS]]+Tabela1107[[#This Row],[CONTRIB. FOLHA]]+Tabela1107[[#This Row],[TRIBUTOS S/ LUCRO]]+Tabela1107[[#This Row],[OUTROS]]+Tabela1107[[#This Row],[PA]]</f>
        <v>36.74</v>
      </c>
      <c r="BU146" s="97">
        <f>+Tabela1107[[#This Row],[PIS]]+Tabela1107[[#This Row],[COFINS]]+Tabela1107[[#This Row],[CONTRIB. FOLHA]]+Tabela1107[[#This Row],[TRIBUTOS S/ LUCRO]]+Tabela1107[[#This Row],[OUTROS]]+Tabela1107[[#This Row],[AM]]</f>
        <v>36.74</v>
      </c>
      <c r="BV146" s="97">
        <f>AVERAGE(Tabela1107[[#This Row],[TOTAL SP]:[TOTAL AM]])</f>
        <v>36.677500000000002</v>
      </c>
      <c r="BW146" s="97"/>
      <c r="BX146" s="97"/>
    </row>
    <row r="147" spans="2:76" x14ac:dyDescent="0.25">
      <c r="B147" s="89">
        <v>2251</v>
      </c>
      <c r="C147" s="91" t="s">
        <v>13031</v>
      </c>
      <c r="D147" s="89"/>
      <c r="E147" s="89">
        <v>20140626</v>
      </c>
      <c r="F147" s="89" t="s">
        <v>21374</v>
      </c>
      <c r="G147" s="89" t="s">
        <v>21375</v>
      </c>
      <c r="H147" s="89" t="s">
        <v>21376</v>
      </c>
      <c r="I147" s="89" t="s">
        <v>21377</v>
      </c>
      <c r="J147" s="89" t="s">
        <v>546</v>
      </c>
      <c r="K147" s="89"/>
      <c r="L147" s="89" t="s">
        <v>3166</v>
      </c>
      <c r="M147" s="89" t="s">
        <v>4173</v>
      </c>
      <c r="N147" s="89" t="s">
        <v>4496</v>
      </c>
      <c r="O147" s="89" t="s">
        <v>4496</v>
      </c>
      <c r="P147" s="89" t="s">
        <v>4496</v>
      </c>
      <c r="Q147" s="89"/>
      <c r="R147" s="89" t="s">
        <v>144</v>
      </c>
      <c r="S147" s="89" t="s">
        <v>21694</v>
      </c>
      <c r="T147" s="89" t="s">
        <v>21695</v>
      </c>
      <c r="U147" s="89" t="str">
        <f>TRIM('Carga Tributária doenças Po (2'!$L147)</f>
        <v>DIOSMINA</v>
      </c>
      <c r="V147" s="89">
        <f>SUMIFS('Tabela Federal'!$E$4:$E$2069,'Tabela Federal'!$D$4:$D$2069,'Carga Tributária doenças Po (2'!$L147)</f>
        <v>0</v>
      </c>
      <c r="W147" s="89">
        <f>SUMIFS('Tabela Federal'!$E$4:$E$2069,'Tabela Federal'!$D$4:$D$2069,'Carga Tributária doenças Po (2'!$M147)</f>
        <v>0</v>
      </c>
      <c r="X147" s="89">
        <f>SUMIFS('Tabela Federal'!$E$4:$E$2069,'Tabela Federal'!$D$4:$D$2069,'Carga Tributária doenças Po (2'!$N147)</f>
        <v>0</v>
      </c>
      <c r="Y147" s="89">
        <f>SUMIFS('Tabela Federal'!$E$4:$E$2069,'Tabela Federal'!$D$4:$D$2069,'Carga Tributária doenças Po (2'!$O147)</f>
        <v>0</v>
      </c>
      <c r="Z147" s="92" t="str">
        <f>VLOOKUP('Carga Tributária doenças Po (2'!$AD147,'Carga Tributária doenças Po (2'!$CA$12:$CC$16,2,0)</f>
        <v>-</v>
      </c>
      <c r="AA147" s="89" t="s">
        <v>541</v>
      </c>
      <c r="AB147" s="89" t="s">
        <v>21794</v>
      </c>
      <c r="AC147" s="89" t="s">
        <v>21721</v>
      </c>
      <c r="AD147" s="93" t="s">
        <v>19523</v>
      </c>
      <c r="AE147" s="92" t="s">
        <v>4</v>
      </c>
      <c r="AF147" s="92" t="s">
        <v>23</v>
      </c>
      <c r="AG147" s="94">
        <v>766125</v>
      </c>
      <c r="AH147" s="95">
        <v>17444669</v>
      </c>
      <c r="AI147" s="95">
        <v>39895271.140000001</v>
      </c>
      <c r="AJ147" s="89" t="s">
        <v>548</v>
      </c>
      <c r="AK147" s="89">
        <f>IF('Carga Tributária doenças Po (2'!$Z147="+",0,SUMIFS(PISCOFINS!$I$3:$I$10518,PISCOFINS!$C$3:$C$10518,'Carga Tributária doenças Po (2'!$C147))</f>
        <v>2.1</v>
      </c>
      <c r="AL147" s="89">
        <f>IF('Carga Tributária doenças Po (2'!$Z147="+",0,SUMIFS(PISCOFINS!$H$3:$H$10518,PISCOFINS!$C$3:$C$10518,'Carga Tributária doenças Po (2'!$C147))</f>
        <v>9.9</v>
      </c>
      <c r="AM147" s="95">
        <v>3.27</v>
      </c>
      <c r="AN147" s="95">
        <v>3.12</v>
      </c>
      <c r="AO147" s="95">
        <v>1.35</v>
      </c>
      <c r="AP147" s="96">
        <v>18</v>
      </c>
      <c r="AQ147" s="96">
        <v>12</v>
      </c>
      <c r="AR147" s="96">
        <v>17</v>
      </c>
      <c r="AS147" s="97">
        <v>17</v>
      </c>
      <c r="AT147" s="97">
        <v>19</v>
      </c>
      <c r="AU147" s="97">
        <v>18</v>
      </c>
      <c r="AV147" s="97">
        <v>17</v>
      </c>
      <c r="AW147" s="97">
        <v>17</v>
      </c>
      <c r="AX147" s="97">
        <v>17</v>
      </c>
      <c r="AY147" s="97">
        <v>17</v>
      </c>
      <c r="AZ147" s="97">
        <v>17</v>
      </c>
      <c r="BA147" s="97">
        <v>17</v>
      </c>
      <c r="BB147" s="97">
        <v>17</v>
      </c>
      <c r="BC147" s="97">
        <v>17</v>
      </c>
      <c r="BD147" s="97">
        <v>17</v>
      </c>
      <c r="BE147" s="97">
        <v>17</v>
      </c>
      <c r="BF147" s="97">
        <f>+Tabela1107[[#This Row],[PIS]]+Tabela1107[[#This Row],[COFINS]]+Tabela1107[[#This Row],[CONTRIB. FOLHA]]+Tabela1107[[#This Row],[TRIBUTOS S/ LUCRO]]+Tabela1107[[#This Row],[OUTROS]]+Tabela1107[[#This Row],[SP]]</f>
        <v>37.74</v>
      </c>
      <c r="BG147" s="97">
        <f>+Tabela1107[[#This Row],[PIS]]+Tabela1107[[#This Row],[COFINS]]+Tabela1107[[#This Row],[CONTRIB. FOLHA]]+Tabela1107[[#This Row],[TRIBUTOS S/ LUCRO]]+Tabela1107[[#This Row],[OUTROS]]+Tabela1107[[#This Row],[PR]]</f>
        <v>31.740000000000002</v>
      </c>
      <c r="BH147" s="97">
        <f>+Tabela1107[[#This Row],[PIS]]+Tabela1107[[#This Row],[COFINS]]+Tabela1107[[#This Row],[CONTRIB. FOLHA]]+Tabela1107[[#This Row],[TRIBUTOS S/ LUCRO]]+Tabela1107[[#This Row],[OUTROS]]+Tabela1107[[#This Row],[SC]]</f>
        <v>36.74</v>
      </c>
      <c r="BI147" s="97">
        <f>+Tabela1107[[#This Row],[PIS]]+Tabela1107[[#This Row],[COFINS]]+Tabela1107[[#This Row],[CONTRIB. FOLHA]]+Tabela1107[[#This Row],[TRIBUTOS S/ LUCRO]]+Tabela1107[[#This Row],[OUTROS]]+Tabela1107[[#This Row],[RS]]</f>
        <v>36.74</v>
      </c>
      <c r="BJ147" s="97">
        <f>+Tabela1107[[#This Row],[PIS]]+Tabela1107[[#This Row],[COFINS]]+Tabela1107[[#This Row],[CONTRIB. FOLHA]]+Tabela1107[[#This Row],[TRIBUTOS S/ LUCRO]]+Tabela1107[[#This Row],[OUTROS]]+Tabela1107[[#This Row],[RJ]]</f>
        <v>38.74</v>
      </c>
      <c r="BK147" s="97">
        <f>+Tabela1107[[#This Row],[PIS]]+Tabela1107[[#This Row],[COFINS]]+Tabela1107[[#This Row],[CONTRIB. FOLHA]]+Tabela1107[[#This Row],[TRIBUTOS S/ LUCRO]]+Tabela1107[[#This Row],[OUTROS]]+Tabela1107[[#This Row],[MG]]</f>
        <v>37.74</v>
      </c>
      <c r="BL147" s="97">
        <f>+Tabela1107[[#This Row],[PIS]]+Tabela1107[[#This Row],[COFINS]]+Tabela1107[[#This Row],[CONTRIB. FOLHA]]+Tabela1107[[#This Row],[TRIBUTOS S/ LUCRO]]+Tabela1107[[#This Row],[OUTROS]]+Tabela1107[[#This Row],[ES]]</f>
        <v>36.74</v>
      </c>
      <c r="BM147" s="97">
        <f>+Tabela1107[[#This Row],[PIS]]+Tabela1107[[#This Row],[COFINS]]+Tabela1107[[#This Row],[CONTRIB. FOLHA]]+Tabela1107[[#This Row],[TRIBUTOS S/ LUCRO]]+Tabela1107[[#This Row],[OUTROS]]+Tabela1107[[#This Row],[GO]]</f>
        <v>36.74</v>
      </c>
      <c r="BN147" s="97">
        <f>+Tabela1107[[#This Row],[PIS]]+Tabela1107[[#This Row],[COFINS]]+Tabela1107[[#This Row],[CONTRIB. FOLHA]]+Tabela1107[[#This Row],[TRIBUTOS S/ LUCRO]]+Tabela1107[[#This Row],[OUTROS]]+Tabela1107[[#This Row],[MT]]</f>
        <v>36.74</v>
      </c>
      <c r="BO147" s="97">
        <f>+Tabela1107[[#This Row],[PIS]]+Tabela1107[[#This Row],[COFINS]]+Tabela1107[[#This Row],[CONTRIB. FOLHA]]+Tabela1107[[#This Row],[TRIBUTOS S/ LUCRO]]+Tabela1107[[#This Row],[OUTROS]]+Tabela1107[[#This Row],[MS]]</f>
        <v>36.74</v>
      </c>
      <c r="BP147" s="97">
        <f>+Tabela1107[[#This Row],[PIS]]+Tabela1107[[#This Row],[COFINS]]+Tabela1107[[#This Row],[CONTRIB. FOLHA]]+Tabela1107[[#This Row],[TRIBUTOS S/ LUCRO]]+Tabela1107[[#This Row],[OUTROS]]+Tabela1107[[#This Row],[DF]]</f>
        <v>36.74</v>
      </c>
      <c r="BQ147" s="97">
        <f>+Tabela1107[[#This Row],[PIS]]+Tabela1107[[#This Row],[COFINS]]+Tabela1107[[#This Row],[CONTRIB. FOLHA]]+Tabela1107[[#This Row],[TRIBUTOS S/ LUCRO]]+Tabela1107[[#This Row],[OUTROS]]+Tabela1107[[#This Row],[BA]]</f>
        <v>36.74</v>
      </c>
      <c r="BR147" s="97">
        <f>+Tabela1107[[#This Row],[PIS]]+Tabela1107[[#This Row],[COFINS]]+Tabela1107[[#This Row],[CONTRIB. FOLHA]]+Tabela1107[[#This Row],[TRIBUTOS S/ LUCRO]]+Tabela1107[[#This Row],[OUTROS]]+Tabela1107[[#This Row],[BA]]</f>
        <v>36.74</v>
      </c>
      <c r="BS147" s="97">
        <f>+Tabela1107[[#This Row],[PIS]]+Tabela1107[[#This Row],[COFINS]]+Tabela1107[[#This Row],[CONTRIB. FOLHA]]+Tabela1107[[#This Row],[TRIBUTOS S/ LUCRO]]+Tabela1107[[#This Row],[OUTROS]]+Tabela1107[[#This Row],[PE]]</f>
        <v>36.74</v>
      </c>
      <c r="BT147" s="97">
        <f>+Tabela1107[[#This Row],[PIS]]+Tabela1107[[#This Row],[COFINS]]+Tabela1107[[#This Row],[CONTRIB. FOLHA]]+Tabela1107[[#This Row],[TRIBUTOS S/ LUCRO]]+Tabela1107[[#This Row],[OUTROS]]+Tabela1107[[#This Row],[PA]]</f>
        <v>36.74</v>
      </c>
      <c r="BU147" s="97">
        <f>+Tabela1107[[#This Row],[PIS]]+Tabela1107[[#This Row],[COFINS]]+Tabela1107[[#This Row],[CONTRIB. FOLHA]]+Tabela1107[[#This Row],[TRIBUTOS S/ LUCRO]]+Tabela1107[[#This Row],[OUTROS]]+Tabela1107[[#This Row],[AM]]</f>
        <v>36.74</v>
      </c>
      <c r="BV147" s="97">
        <f>AVERAGE(Tabela1107[[#This Row],[TOTAL SP]:[TOTAL AM]])</f>
        <v>36.677500000000002</v>
      </c>
      <c r="BW147" s="97"/>
      <c r="BX147" s="97"/>
    </row>
    <row r="148" spans="2:76" x14ac:dyDescent="0.25">
      <c r="B148" s="89">
        <v>17430</v>
      </c>
      <c r="C148" s="91" t="s">
        <v>13151</v>
      </c>
      <c r="D148" s="89"/>
      <c r="E148" s="89">
        <v>20140626</v>
      </c>
      <c r="F148" s="89" t="s">
        <v>20641</v>
      </c>
      <c r="G148" s="89" t="s">
        <v>20642</v>
      </c>
      <c r="H148" s="98" t="s">
        <v>21975</v>
      </c>
      <c r="I148" s="89" t="s">
        <v>20643</v>
      </c>
      <c r="J148" s="89" t="s">
        <v>421</v>
      </c>
      <c r="K148" s="89"/>
      <c r="L148" s="89" t="s">
        <v>2644</v>
      </c>
      <c r="M148" s="89" t="s">
        <v>4496</v>
      </c>
      <c r="N148" s="89" t="s">
        <v>4496</v>
      </c>
      <c r="O148" s="89" t="s">
        <v>4496</v>
      </c>
      <c r="P148" s="89" t="s">
        <v>4496</v>
      </c>
      <c r="Q148" s="89"/>
      <c r="R148" s="89" t="s">
        <v>29</v>
      </c>
      <c r="S148" s="89" t="s">
        <v>21618</v>
      </c>
      <c r="T148" s="89" t="s">
        <v>21619</v>
      </c>
      <c r="U148" s="89" t="str">
        <f>TRIM('Carga Tributária doenças Po (2'!$L148)</f>
        <v>CLORIDRATO DE FLUOXETINA</v>
      </c>
      <c r="V148" s="89">
        <f>SUMIFS('Tabela Federal'!$E$4:$E$2069,'Tabela Federal'!$D$4:$D$2069,'Carga Tributária doenças Po (2'!$L148)</f>
        <v>2</v>
      </c>
      <c r="W148" s="89">
        <f>SUMIFS('Tabela Federal'!$E$4:$E$2069,'Tabela Federal'!$D$4:$D$2069,'Carga Tributária doenças Po (2'!$M148)</f>
        <v>0</v>
      </c>
      <c r="X148" s="89">
        <f>SUMIFS('Tabela Federal'!$E$4:$E$2069,'Tabela Federal'!$D$4:$D$2069,'Carga Tributária doenças Po (2'!$N148)</f>
        <v>0</v>
      </c>
      <c r="Y148" s="89">
        <f>SUMIFS('Tabela Federal'!$E$4:$E$2069,'Tabela Federal'!$D$4:$D$2069,'Carga Tributária doenças Po (2'!$O148)</f>
        <v>0</v>
      </c>
      <c r="Z148" s="92" t="str">
        <f>VLOOKUP('Carga Tributária doenças Po (2'!$AD148,'Carga Tributária doenças Po (2'!$CA$12:$CC$16,2,0)</f>
        <v>+</v>
      </c>
      <c r="AA148" s="89" t="s">
        <v>419</v>
      </c>
      <c r="AB148" s="89" t="s">
        <v>21778</v>
      </c>
      <c r="AC148" s="89" t="s">
        <v>21779</v>
      </c>
      <c r="AD148" s="93" t="s">
        <v>21722</v>
      </c>
      <c r="AE148" s="92" t="s">
        <v>2</v>
      </c>
      <c r="AF148" s="92" t="s">
        <v>23</v>
      </c>
      <c r="AG148" s="94">
        <v>742745</v>
      </c>
      <c r="AH148" s="95">
        <v>10752522</v>
      </c>
      <c r="AI148" s="95">
        <v>24518533.579999998</v>
      </c>
      <c r="AJ148" s="89" t="s">
        <v>426</v>
      </c>
      <c r="AK148" s="89">
        <f>IF('Carga Tributária doenças Po (2'!$Z148="+",0,SUMIFS(PISCOFINS!$I$3:$I$10518,PISCOFINS!$C$3:$C$10518,'Carga Tributária doenças Po (2'!$C148))</f>
        <v>0</v>
      </c>
      <c r="AL148" s="89">
        <f>IF('Carga Tributária doenças Po (2'!$Z148="+",0,SUMIFS(PISCOFINS!$H$3:$H$10518,PISCOFINS!$C$3:$C$10518,'Carga Tributária doenças Po (2'!$C148))</f>
        <v>0</v>
      </c>
      <c r="AM148" s="95">
        <v>3.27</v>
      </c>
      <c r="AN148" s="95">
        <v>3.12</v>
      </c>
      <c r="AO148" s="95">
        <v>1.35</v>
      </c>
      <c r="AP148" s="96">
        <v>18</v>
      </c>
      <c r="AQ148" s="96">
        <v>12</v>
      </c>
      <c r="AR148" s="96">
        <v>17</v>
      </c>
      <c r="AS148" s="97">
        <v>17</v>
      </c>
      <c r="AT148" s="97">
        <v>19</v>
      </c>
      <c r="AU148" s="97">
        <v>18</v>
      </c>
      <c r="AV148" s="97">
        <v>17</v>
      </c>
      <c r="AW148" s="97">
        <v>17</v>
      </c>
      <c r="AX148" s="97">
        <v>17</v>
      </c>
      <c r="AY148" s="97">
        <v>17</v>
      </c>
      <c r="AZ148" s="97">
        <v>17</v>
      </c>
      <c r="BA148" s="97">
        <v>17</v>
      </c>
      <c r="BB148" s="97">
        <v>17</v>
      </c>
      <c r="BC148" s="97">
        <v>17</v>
      </c>
      <c r="BD148" s="97">
        <v>17</v>
      </c>
      <c r="BE148" s="97">
        <v>17</v>
      </c>
      <c r="BF148" s="97">
        <f>+Tabela1107[[#This Row],[PIS]]+Tabela1107[[#This Row],[COFINS]]+Tabela1107[[#This Row],[CONTRIB. FOLHA]]+Tabela1107[[#This Row],[TRIBUTOS S/ LUCRO]]+Tabela1107[[#This Row],[OUTROS]]+Tabela1107[[#This Row],[SP]]</f>
        <v>25.740000000000002</v>
      </c>
      <c r="BG148" s="97">
        <f>+Tabela1107[[#This Row],[PIS]]+Tabela1107[[#This Row],[COFINS]]+Tabela1107[[#This Row],[CONTRIB. FOLHA]]+Tabela1107[[#This Row],[TRIBUTOS S/ LUCRO]]+Tabela1107[[#This Row],[OUTROS]]+Tabela1107[[#This Row],[PR]]</f>
        <v>19.740000000000002</v>
      </c>
      <c r="BH148" s="97">
        <f>+Tabela1107[[#This Row],[PIS]]+Tabela1107[[#This Row],[COFINS]]+Tabela1107[[#This Row],[CONTRIB. FOLHA]]+Tabela1107[[#This Row],[TRIBUTOS S/ LUCRO]]+Tabela1107[[#This Row],[OUTROS]]+Tabela1107[[#This Row],[SC]]</f>
        <v>24.740000000000002</v>
      </c>
      <c r="BI148" s="97">
        <f>+Tabela1107[[#This Row],[PIS]]+Tabela1107[[#This Row],[COFINS]]+Tabela1107[[#This Row],[CONTRIB. FOLHA]]+Tabela1107[[#This Row],[TRIBUTOS S/ LUCRO]]+Tabela1107[[#This Row],[OUTROS]]+Tabela1107[[#This Row],[RS]]</f>
        <v>24.740000000000002</v>
      </c>
      <c r="BJ148" s="97">
        <f>+Tabela1107[[#This Row],[PIS]]+Tabela1107[[#This Row],[COFINS]]+Tabela1107[[#This Row],[CONTRIB. FOLHA]]+Tabela1107[[#This Row],[TRIBUTOS S/ LUCRO]]+Tabela1107[[#This Row],[OUTROS]]+Tabela1107[[#This Row],[RJ]]</f>
        <v>26.740000000000002</v>
      </c>
      <c r="BK148" s="97">
        <f>+Tabela1107[[#This Row],[PIS]]+Tabela1107[[#This Row],[COFINS]]+Tabela1107[[#This Row],[CONTRIB. FOLHA]]+Tabela1107[[#This Row],[TRIBUTOS S/ LUCRO]]+Tabela1107[[#This Row],[OUTROS]]+Tabela1107[[#This Row],[MG]]</f>
        <v>25.740000000000002</v>
      </c>
      <c r="BL148" s="97">
        <f>+Tabela1107[[#This Row],[PIS]]+Tabela1107[[#This Row],[COFINS]]+Tabela1107[[#This Row],[CONTRIB. FOLHA]]+Tabela1107[[#This Row],[TRIBUTOS S/ LUCRO]]+Tabela1107[[#This Row],[OUTROS]]+Tabela1107[[#This Row],[ES]]</f>
        <v>24.740000000000002</v>
      </c>
      <c r="BM148" s="97">
        <f>+Tabela1107[[#This Row],[PIS]]+Tabela1107[[#This Row],[COFINS]]+Tabela1107[[#This Row],[CONTRIB. FOLHA]]+Tabela1107[[#This Row],[TRIBUTOS S/ LUCRO]]+Tabela1107[[#This Row],[OUTROS]]+Tabela1107[[#This Row],[GO]]</f>
        <v>24.740000000000002</v>
      </c>
      <c r="BN148" s="97">
        <f>+Tabela1107[[#This Row],[PIS]]+Tabela1107[[#This Row],[COFINS]]+Tabela1107[[#This Row],[CONTRIB. FOLHA]]+Tabela1107[[#This Row],[TRIBUTOS S/ LUCRO]]+Tabela1107[[#This Row],[OUTROS]]+Tabela1107[[#This Row],[MT]]</f>
        <v>24.740000000000002</v>
      </c>
      <c r="BO148" s="97">
        <f>+Tabela1107[[#This Row],[PIS]]+Tabela1107[[#This Row],[COFINS]]+Tabela1107[[#This Row],[CONTRIB. FOLHA]]+Tabela1107[[#This Row],[TRIBUTOS S/ LUCRO]]+Tabela1107[[#This Row],[OUTROS]]+Tabela1107[[#This Row],[MS]]</f>
        <v>24.740000000000002</v>
      </c>
      <c r="BP148" s="97">
        <f>+Tabela1107[[#This Row],[PIS]]+Tabela1107[[#This Row],[COFINS]]+Tabela1107[[#This Row],[CONTRIB. FOLHA]]+Tabela1107[[#This Row],[TRIBUTOS S/ LUCRO]]+Tabela1107[[#This Row],[OUTROS]]+Tabela1107[[#This Row],[DF]]</f>
        <v>24.740000000000002</v>
      </c>
      <c r="BQ148" s="97">
        <f>+Tabela1107[[#This Row],[PIS]]+Tabela1107[[#This Row],[COFINS]]+Tabela1107[[#This Row],[CONTRIB. FOLHA]]+Tabela1107[[#This Row],[TRIBUTOS S/ LUCRO]]+Tabela1107[[#This Row],[OUTROS]]+Tabela1107[[#This Row],[BA]]</f>
        <v>24.740000000000002</v>
      </c>
      <c r="BR148" s="97">
        <f>+Tabela1107[[#This Row],[PIS]]+Tabela1107[[#This Row],[COFINS]]+Tabela1107[[#This Row],[CONTRIB. FOLHA]]+Tabela1107[[#This Row],[TRIBUTOS S/ LUCRO]]+Tabela1107[[#This Row],[OUTROS]]+Tabela1107[[#This Row],[BA]]</f>
        <v>24.740000000000002</v>
      </c>
      <c r="BS148" s="97">
        <f>+Tabela1107[[#This Row],[PIS]]+Tabela1107[[#This Row],[COFINS]]+Tabela1107[[#This Row],[CONTRIB. FOLHA]]+Tabela1107[[#This Row],[TRIBUTOS S/ LUCRO]]+Tabela1107[[#This Row],[OUTROS]]+Tabela1107[[#This Row],[PE]]</f>
        <v>24.740000000000002</v>
      </c>
      <c r="BT148" s="97">
        <f>+Tabela1107[[#This Row],[PIS]]+Tabela1107[[#This Row],[COFINS]]+Tabela1107[[#This Row],[CONTRIB. FOLHA]]+Tabela1107[[#This Row],[TRIBUTOS S/ LUCRO]]+Tabela1107[[#This Row],[OUTROS]]+Tabela1107[[#This Row],[PA]]</f>
        <v>24.740000000000002</v>
      </c>
      <c r="BU148" s="97">
        <f>+Tabela1107[[#This Row],[PIS]]+Tabela1107[[#This Row],[COFINS]]+Tabela1107[[#This Row],[CONTRIB. FOLHA]]+Tabela1107[[#This Row],[TRIBUTOS S/ LUCRO]]+Tabela1107[[#This Row],[OUTROS]]+Tabela1107[[#This Row],[AM]]</f>
        <v>24.740000000000002</v>
      </c>
      <c r="BV148" s="97">
        <f>AVERAGE(Tabela1107[[#This Row],[TOTAL SP]:[TOTAL AM]])</f>
        <v>24.677500000000006</v>
      </c>
      <c r="BW148" s="97"/>
      <c r="BX148" s="97"/>
    </row>
    <row r="149" spans="2:76" x14ac:dyDescent="0.25">
      <c r="B149" s="89">
        <v>3950</v>
      </c>
      <c r="C149" s="91" t="s">
        <v>13183</v>
      </c>
      <c r="D149" s="89"/>
      <c r="E149" s="89">
        <v>20140626</v>
      </c>
      <c r="F149" s="89" t="s">
        <v>20285</v>
      </c>
      <c r="G149" s="89" t="s">
        <v>20286</v>
      </c>
      <c r="H149" s="89" t="s">
        <v>20287</v>
      </c>
      <c r="I149" s="89" t="s">
        <v>20288</v>
      </c>
      <c r="J149" s="89" t="s">
        <v>590</v>
      </c>
      <c r="K149" s="89"/>
      <c r="L149" s="89" t="s">
        <v>3167</v>
      </c>
      <c r="M149" s="89" t="s">
        <v>3168</v>
      </c>
      <c r="N149" s="89" t="s">
        <v>4496</v>
      </c>
      <c r="O149" s="89" t="s">
        <v>4496</v>
      </c>
      <c r="P149" s="89" t="s">
        <v>4496</v>
      </c>
      <c r="Q149" s="89"/>
      <c r="R149" s="89" t="s">
        <v>1</v>
      </c>
      <c r="S149" s="89" t="s">
        <v>21568</v>
      </c>
      <c r="T149" s="89" t="s">
        <v>21569</v>
      </c>
      <c r="U149" s="89" t="str">
        <f>TRIM('Carga Tributária doenças Po (2'!$L149)</f>
        <v>BRONFENIRAMINA</v>
      </c>
      <c r="V149" s="89">
        <f>SUMIFS('Tabela Federal'!$E$4:$E$2069,'Tabela Federal'!$D$4:$D$2069,'Carga Tributária doenças Po (2'!$L149)</f>
        <v>0</v>
      </c>
      <c r="W149" s="89">
        <f>SUMIFS('Tabela Federal'!$E$4:$E$2069,'Tabela Federal'!$D$4:$D$2069,'Carga Tributária doenças Po (2'!$M149)</f>
        <v>0</v>
      </c>
      <c r="X149" s="89">
        <f>SUMIFS('Tabela Federal'!$E$4:$E$2069,'Tabela Federal'!$D$4:$D$2069,'Carga Tributária doenças Po (2'!$N149)</f>
        <v>0</v>
      </c>
      <c r="Y149" s="89">
        <f>SUMIFS('Tabela Federal'!$E$4:$E$2069,'Tabela Federal'!$D$4:$D$2069,'Carga Tributária doenças Po (2'!$O149)</f>
        <v>0</v>
      </c>
      <c r="Z149" s="92" t="str">
        <f>VLOOKUP('Carga Tributária doenças Po (2'!$AD149,'Carga Tributária doenças Po (2'!$CA$12:$CC$16,2,0)</f>
        <v>-</v>
      </c>
      <c r="AA149" s="89" t="s">
        <v>226</v>
      </c>
      <c r="AB149" s="89" t="s">
        <v>21757</v>
      </c>
      <c r="AC149" s="89" t="s">
        <v>21721</v>
      </c>
      <c r="AD149" s="93" t="s">
        <v>19523</v>
      </c>
      <c r="AE149" s="92" t="s">
        <v>4</v>
      </c>
      <c r="AF149" s="92" t="s">
        <v>3</v>
      </c>
      <c r="AG149" s="94">
        <v>2930313</v>
      </c>
      <c r="AH149" s="95">
        <v>16580280</v>
      </c>
      <c r="AI149" s="95">
        <v>37663082.909999996</v>
      </c>
      <c r="AJ149" s="89" t="s">
        <v>611</v>
      </c>
      <c r="AK149" s="89">
        <f>IF('Carga Tributária doenças Po (2'!$Z149="+",0,SUMIFS(PISCOFINS!$I$3:$I$10518,PISCOFINS!$C$3:$C$10518,'Carga Tributária doenças Po (2'!$C149))</f>
        <v>2.1</v>
      </c>
      <c r="AL149" s="89">
        <f>IF('Carga Tributária doenças Po (2'!$Z149="+",0,SUMIFS(PISCOFINS!$H$3:$H$10518,PISCOFINS!$C$3:$C$10518,'Carga Tributária doenças Po (2'!$C149))</f>
        <v>9.9</v>
      </c>
      <c r="AM149" s="95">
        <v>3.27</v>
      </c>
      <c r="AN149" s="95">
        <v>3.12</v>
      </c>
      <c r="AO149" s="95">
        <v>1.35</v>
      </c>
      <c r="AP149" s="96">
        <v>18</v>
      </c>
      <c r="AQ149" s="96">
        <v>12</v>
      </c>
      <c r="AR149" s="96">
        <v>17</v>
      </c>
      <c r="AS149" s="97">
        <v>17</v>
      </c>
      <c r="AT149" s="97">
        <v>19</v>
      </c>
      <c r="AU149" s="97">
        <v>18</v>
      </c>
      <c r="AV149" s="97">
        <v>17</v>
      </c>
      <c r="AW149" s="97">
        <v>17</v>
      </c>
      <c r="AX149" s="97">
        <v>17</v>
      </c>
      <c r="AY149" s="97">
        <v>17</v>
      </c>
      <c r="AZ149" s="97">
        <v>17</v>
      </c>
      <c r="BA149" s="97">
        <v>17</v>
      </c>
      <c r="BB149" s="97">
        <v>17</v>
      </c>
      <c r="BC149" s="97">
        <v>17</v>
      </c>
      <c r="BD149" s="97">
        <v>17</v>
      </c>
      <c r="BE149" s="97">
        <v>17</v>
      </c>
      <c r="BF149" s="97">
        <f>+Tabela1107[[#This Row],[PIS]]+Tabela1107[[#This Row],[COFINS]]+Tabela1107[[#This Row],[CONTRIB. FOLHA]]+Tabela1107[[#This Row],[TRIBUTOS S/ LUCRO]]+Tabela1107[[#This Row],[OUTROS]]+Tabela1107[[#This Row],[SP]]</f>
        <v>37.74</v>
      </c>
      <c r="BG149" s="97">
        <f>+Tabela1107[[#This Row],[PIS]]+Tabela1107[[#This Row],[COFINS]]+Tabela1107[[#This Row],[CONTRIB. FOLHA]]+Tabela1107[[#This Row],[TRIBUTOS S/ LUCRO]]+Tabela1107[[#This Row],[OUTROS]]+Tabela1107[[#This Row],[PR]]</f>
        <v>31.740000000000002</v>
      </c>
      <c r="BH149" s="97">
        <f>+Tabela1107[[#This Row],[PIS]]+Tabela1107[[#This Row],[COFINS]]+Tabela1107[[#This Row],[CONTRIB. FOLHA]]+Tabela1107[[#This Row],[TRIBUTOS S/ LUCRO]]+Tabela1107[[#This Row],[OUTROS]]+Tabela1107[[#This Row],[SC]]</f>
        <v>36.74</v>
      </c>
      <c r="BI149" s="97">
        <f>+Tabela1107[[#This Row],[PIS]]+Tabela1107[[#This Row],[COFINS]]+Tabela1107[[#This Row],[CONTRIB. FOLHA]]+Tabela1107[[#This Row],[TRIBUTOS S/ LUCRO]]+Tabela1107[[#This Row],[OUTROS]]+Tabela1107[[#This Row],[RS]]</f>
        <v>36.74</v>
      </c>
      <c r="BJ149" s="97">
        <f>+Tabela1107[[#This Row],[PIS]]+Tabela1107[[#This Row],[COFINS]]+Tabela1107[[#This Row],[CONTRIB. FOLHA]]+Tabela1107[[#This Row],[TRIBUTOS S/ LUCRO]]+Tabela1107[[#This Row],[OUTROS]]+Tabela1107[[#This Row],[RJ]]</f>
        <v>38.74</v>
      </c>
      <c r="BK149" s="97">
        <f>+Tabela1107[[#This Row],[PIS]]+Tabela1107[[#This Row],[COFINS]]+Tabela1107[[#This Row],[CONTRIB. FOLHA]]+Tabela1107[[#This Row],[TRIBUTOS S/ LUCRO]]+Tabela1107[[#This Row],[OUTROS]]+Tabela1107[[#This Row],[MG]]</f>
        <v>37.74</v>
      </c>
      <c r="BL149" s="97">
        <f>+Tabela1107[[#This Row],[PIS]]+Tabela1107[[#This Row],[COFINS]]+Tabela1107[[#This Row],[CONTRIB. FOLHA]]+Tabela1107[[#This Row],[TRIBUTOS S/ LUCRO]]+Tabela1107[[#This Row],[OUTROS]]+Tabela1107[[#This Row],[ES]]</f>
        <v>36.74</v>
      </c>
      <c r="BM149" s="97">
        <f>+Tabela1107[[#This Row],[PIS]]+Tabela1107[[#This Row],[COFINS]]+Tabela1107[[#This Row],[CONTRIB. FOLHA]]+Tabela1107[[#This Row],[TRIBUTOS S/ LUCRO]]+Tabela1107[[#This Row],[OUTROS]]+Tabela1107[[#This Row],[GO]]</f>
        <v>36.74</v>
      </c>
      <c r="BN149" s="97">
        <f>+Tabela1107[[#This Row],[PIS]]+Tabela1107[[#This Row],[COFINS]]+Tabela1107[[#This Row],[CONTRIB. FOLHA]]+Tabela1107[[#This Row],[TRIBUTOS S/ LUCRO]]+Tabela1107[[#This Row],[OUTROS]]+Tabela1107[[#This Row],[MT]]</f>
        <v>36.74</v>
      </c>
      <c r="BO149" s="97">
        <f>+Tabela1107[[#This Row],[PIS]]+Tabela1107[[#This Row],[COFINS]]+Tabela1107[[#This Row],[CONTRIB. FOLHA]]+Tabela1107[[#This Row],[TRIBUTOS S/ LUCRO]]+Tabela1107[[#This Row],[OUTROS]]+Tabela1107[[#This Row],[MS]]</f>
        <v>36.74</v>
      </c>
      <c r="BP149" s="97">
        <f>+Tabela1107[[#This Row],[PIS]]+Tabela1107[[#This Row],[COFINS]]+Tabela1107[[#This Row],[CONTRIB. FOLHA]]+Tabela1107[[#This Row],[TRIBUTOS S/ LUCRO]]+Tabela1107[[#This Row],[OUTROS]]+Tabela1107[[#This Row],[DF]]</f>
        <v>36.74</v>
      </c>
      <c r="BQ149" s="97">
        <f>+Tabela1107[[#This Row],[PIS]]+Tabela1107[[#This Row],[COFINS]]+Tabela1107[[#This Row],[CONTRIB. FOLHA]]+Tabela1107[[#This Row],[TRIBUTOS S/ LUCRO]]+Tabela1107[[#This Row],[OUTROS]]+Tabela1107[[#This Row],[BA]]</f>
        <v>36.74</v>
      </c>
      <c r="BR149" s="97">
        <f>+Tabela1107[[#This Row],[PIS]]+Tabela1107[[#This Row],[COFINS]]+Tabela1107[[#This Row],[CONTRIB. FOLHA]]+Tabela1107[[#This Row],[TRIBUTOS S/ LUCRO]]+Tabela1107[[#This Row],[OUTROS]]+Tabela1107[[#This Row],[BA]]</f>
        <v>36.74</v>
      </c>
      <c r="BS149" s="97">
        <f>+Tabela1107[[#This Row],[PIS]]+Tabela1107[[#This Row],[COFINS]]+Tabela1107[[#This Row],[CONTRIB. FOLHA]]+Tabela1107[[#This Row],[TRIBUTOS S/ LUCRO]]+Tabela1107[[#This Row],[OUTROS]]+Tabela1107[[#This Row],[PE]]</f>
        <v>36.74</v>
      </c>
      <c r="BT149" s="97">
        <f>+Tabela1107[[#This Row],[PIS]]+Tabela1107[[#This Row],[COFINS]]+Tabela1107[[#This Row],[CONTRIB. FOLHA]]+Tabela1107[[#This Row],[TRIBUTOS S/ LUCRO]]+Tabela1107[[#This Row],[OUTROS]]+Tabela1107[[#This Row],[PA]]</f>
        <v>36.74</v>
      </c>
      <c r="BU149" s="97">
        <f>+Tabela1107[[#This Row],[PIS]]+Tabela1107[[#This Row],[COFINS]]+Tabela1107[[#This Row],[CONTRIB. FOLHA]]+Tabela1107[[#This Row],[TRIBUTOS S/ LUCRO]]+Tabela1107[[#This Row],[OUTROS]]+Tabela1107[[#This Row],[AM]]</f>
        <v>36.74</v>
      </c>
      <c r="BV149" s="97">
        <f>AVERAGE(Tabela1107[[#This Row],[TOTAL SP]:[TOTAL AM]])</f>
        <v>36.677500000000002</v>
      </c>
      <c r="BW149" s="97"/>
      <c r="BX149" s="97"/>
    </row>
    <row r="150" spans="2:76" x14ac:dyDescent="0.25">
      <c r="B150" s="89">
        <v>3950</v>
      </c>
      <c r="C150" s="91" t="s">
        <v>13183</v>
      </c>
      <c r="D150" s="89"/>
      <c r="E150" s="89">
        <v>20140626</v>
      </c>
      <c r="F150" s="89" t="s">
        <v>20285</v>
      </c>
      <c r="G150" s="89" t="s">
        <v>20286</v>
      </c>
      <c r="H150" s="89" t="s">
        <v>20287</v>
      </c>
      <c r="I150" s="89" t="s">
        <v>20288</v>
      </c>
      <c r="J150" s="89" t="s">
        <v>590</v>
      </c>
      <c r="K150" s="89"/>
      <c r="L150" s="89" t="s">
        <v>3167</v>
      </c>
      <c r="M150" s="89" t="s">
        <v>3168</v>
      </c>
      <c r="N150" s="89" t="s">
        <v>4496</v>
      </c>
      <c r="O150" s="89" t="s">
        <v>4496</v>
      </c>
      <c r="P150" s="89" t="s">
        <v>4496</v>
      </c>
      <c r="Q150" s="89"/>
      <c r="R150" s="89" t="s">
        <v>1</v>
      </c>
      <c r="S150" s="89" t="s">
        <v>21568</v>
      </c>
      <c r="T150" s="89" t="s">
        <v>21569</v>
      </c>
      <c r="U150" s="89" t="str">
        <f>TRIM('Carga Tributária doenças Po (2'!$L150)</f>
        <v>BRONFENIRAMINA</v>
      </c>
      <c r="V150" s="89">
        <f>SUMIFS('Tabela Federal'!$E$4:$E$2069,'Tabela Federal'!$D$4:$D$2069,'Carga Tributária doenças Po (2'!$L150)</f>
        <v>0</v>
      </c>
      <c r="W150" s="89">
        <f>SUMIFS('Tabela Federal'!$E$4:$E$2069,'Tabela Federal'!$D$4:$D$2069,'Carga Tributária doenças Po (2'!$M150)</f>
        <v>0</v>
      </c>
      <c r="X150" s="89">
        <f>SUMIFS('Tabela Federal'!$E$4:$E$2069,'Tabela Federal'!$D$4:$D$2069,'Carga Tributária doenças Po (2'!$N150)</f>
        <v>0</v>
      </c>
      <c r="Y150" s="89">
        <f>SUMIFS('Tabela Federal'!$E$4:$E$2069,'Tabela Federal'!$D$4:$D$2069,'Carga Tributária doenças Po (2'!$O150)</f>
        <v>0</v>
      </c>
      <c r="Z150" s="92" t="str">
        <f>VLOOKUP('Carga Tributária doenças Po (2'!$AD150,'Carga Tributária doenças Po (2'!$CA$12:$CC$16,2,0)</f>
        <v>-</v>
      </c>
      <c r="AA150" s="89" t="s">
        <v>226</v>
      </c>
      <c r="AB150" s="89" t="s">
        <v>21757</v>
      </c>
      <c r="AC150" s="89" t="s">
        <v>21721</v>
      </c>
      <c r="AD150" s="93" t="s">
        <v>19523</v>
      </c>
      <c r="AE150" s="92" t="s">
        <v>4</v>
      </c>
      <c r="AF150" s="92" t="s">
        <v>3</v>
      </c>
      <c r="AG150" s="94">
        <v>2930313</v>
      </c>
      <c r="AH150" s="95">
        <v>16580280</v>
      </c>
      <c r="AI150" s="95">
        <v>37663082.909999996</v>
      </c>
      <c r="AJ150" s="89" t="s">
        <v>589</v>
      </c>
      <c r="AK150" s="89">
        <f>IF('Carga Tributária doenças Po (2'!$Z150="+",0,SUMIFS(PISCOFINS!$I$3:$I$10518,PISCOFINS!$C$3:$C$10518,'Carga Tributária doenças Po (2'!$C150))</f>
        <v>2.1</v>
      </c>
      <c r="AL150" s="89">
        <f>IF('Carga Tributária doenças Po (2'!$Z150="+",0,SUMIFS(PISCOFINS!$H$3:$H$10518,PISCOFINS!$C$3:$C$10518,'Carga Tributária doenças Po (2'!$C150))</f>
        <v>9.9</v>
      </c>
      <c r="AM150" s="95">
        <v>3.27</v>
      </c>
      <c r="AN150" s="95">
        <v>3.12</v>
      </c>
      <c r="AO150" s="95">
        <v>1.35</v>
      </c>
      <c r="AP150" s="96">
        <v>18</v>
      </c>
      <c r="AQ150" s="96">
        <v>12</v>
      </c>
      <c r="AR150" s="96">
        <v>17</v>
      </c>
      <c r="AS150" s="97">
        <v>17</v>
      </c>
      <c r="AT150" s="97">
        <v>19</v>
      </c>
      <c r="AU150" s="97">
        <v>18</v>
      </c>
      <c r="AV150" s="97">
        <v>17</v>
      </c>
      <c r="AW150" s="97">
        <v>17</v>
      </c>
      <c r="AX150" s="97">
        <v>17</v>
      </c>
      <c r="AY150" s="97">
        <v>17</v>
      </c>
      <c r="AZ150" s="97">
        <v>17</v>
      </c>
      <c r="BA150" s="97">
        <v>17</v>
      </c>
      <c r="BB150" s="97">
        <v>17</v>
      </c>
      <c r="BC150" s="97">
        <v>17</v>
      </c>
      <c r="BD150" s="97">
        <v>17</v>
      </c>
      <c r="BE150" s="97">
        <v>17</v>
      </c>
      <c r="BF150" s="97">
        <f>+Tabela1107[[#This Row],[PIS]]+Tabela1107[[#This Row],[COFINS]]+Tabela1107[[#This Row],[CONTRIB. FOLHA]]+Tabela1107[[#This Row],[TRIBUTOS S/ LUCRO]]+Tabela1107[[#This Row],[OUTROS]]+Tabela1107[[#This Row],[SP]]</f>
        <v>37.74</v>
      </c>
      <c r="BG150" s="97">
        <f>+Tabela1107[[#This Row],[PIS]]+Tabela1107[[#This Row],[COFINS]]+Tabela1107[[#This Row],[CONTRIB. FOLHA]]+Tabela1107[[#This Row],[TRIBUTOS S/ LUCRO]]+Tabela1107[[#This Row],[OUTROS]]+Tabela1107[[#This Row],[PR]]</f>
        <v>31.740000000000002</v>
      </c>
      <c r="BH150" s="97">
        <f>+Tabela1107[[#This Row],[PIS]]+Tabela1107[[#This Row],[COFINS]]+Tabela1107[[#This Row],[CONTRIB. FOLHA]]+Tabela1107[[#This Row],[TRIBUTOS S/ LUCRO]]+Tabela1107[[#This Row],[OUTROS]]+Tabela1107[[#This Row],[SC]]</f>
        <v>36.74</v>
      </c>
      <c r="BI150" s="97">
        <f>+Tabela1107[[#This Row],[PIS]]+Tabela1107[[#This Row],[COFINS]]+Tabela1107[[#This Row],[CONTRIB. FOLHA]]+Tabela1107[[#This Row],[TRIBUTOS S/ LUCRO]]+Tabela1107[[#This Row],[OUTROS]]+Tabela1107[[#This Row],[RS]]</f>
        <v>36.74</v>
      </c>
      <c r="BJ150" s="97">
        <f>+Tabela1107[[#This Row],[PIS]]+Tabela1107[[#This Row],[COFINS]]+Tabela1107[[#This Row],[CONTRIB. FOLHA]]+Tabela1107[[#This Row],[TRIBUTOS S/ LUCRO]]+Tabela1107[[#This Row],[OUTROS]]+Tabela1107[[#This Row],[RJ]]</f>
        <v>38.74</v>
      </c>
      <c r="BK150" s="97">
        <f>+Tabela1107[[#This Row],[PIS]]+Tabela1107[[#This Row],[COFINS]]+Tabela1107[[#This Row],[CONTRIB. FOLHA]]+Tabela1107[[#This Row],[TRIBUTOS S/ LUCRO]]+Tabela1107[[#This Row],[OUTROS]]+Tabela1107[[#This Row],[MG]]</f>
        <v>37.74</v>
      </c>
      <c r="BL150" s="97">
        <f>+Tabela1107[[#This Row],[PIS]]+Tabela1107[[#This Row],[COFINS]]+Tabela1107[[#This Row],[CONTRIB. FOLHA]]+Tabela1107[[#This Row],[TRIBUTOS S/ LUCRO]]+Tabela1107[[#This Row],[OUTROS]]+Tabela1107[[#This Row],[ES]]</f>
        <v>36.74</v>
      </c>
      <c r="BM150" s="97">
        <f>+Tabela1107[[#This Row],[PIS]]+Tabela1107[[#This Row],[COFINS]]+Tabela1107[[#This Row],[CONTRIB. FOLHA]]+Tabela1107[[#This Row],[TRIBUTOS S/ LUCRO]]+Tabela1107[[#This Row],[OUTROS]]+Tabela1107[[#This Row],[GO]]</f>
        <v>36.74</v>
      </c>
      <c r="BN150" s="97">
        <f>+Tabela1107[[#This Row],[PIS]]+Tabela1107[[#This Row],[COFINS]]+Tabela1107[[#This Row],[CONTRIB. FOLHA]]+Tabela1107[[#This Row],[TRIBUTOS S/ LUCRO]]+Tabela1107[[#This Row],[OUTROS]]+Tabela1107[[#This Row],[MT]]</f>
        <v>36.74</v>
      </c>
      <c r="BO150" s="97">
        <f>+Tabela1107[[#This Row],[PIS]]+Tabela1107[[#This Row],[COFINS]]+Tabela1107[[#This Row],[CONTRIB. FOLHA]]+Tabela1107[[#This Row],[TRIBUTOS S/ LUCRO]]+Tabela1107[[#This Row],[OUTROS]]+Tabela1107[[#This Row],[MS]]</f>
        <v>36.74</v>
      </c>
      <c r="BP150" s="97">
        <f>+Tabela1107[[#This Row],[PIS]]+Tabela1107[[#This Row],[COFINS]]+Tabela1107[[#This Row],[CONTRIB. FOLHA]]+Tabela1107[[#This Row],[TRIBUTOS S/ LUCRO]]+Tabela1107[[#This Row],[OUTROS]]+Tabela1107[[#This Row],[DF]]</f>
        <v>36.74</v>
      </c>
      <c r="BQ150" s="97">
        <f>+Tabela1107[[#This Row],[PIS]]+Tabela1107[[#This Row],[COFINS]]+Tabela1107[[#This Row],[CONTRIB. FOLHA]]+Tabela1107[[#This Row],[TRIBUTOS S/ LUCRO]]+Tabela1107[[#This Row],[OUTROS]]+Tabela1107[[#This Row],[BA]]</f>
        <v>36.74</v>
      </c>
      <c r="BR150" s="97">
        <f>+Tabela1107[[#This Row],[PIS]]+Tabela1107[[#This Row],[COFINS]]+Tabela1107[[#This Row],[CONTRIB. FOLHA]]+Tabela1107[[#This Row],[TRIBUTOS S/ LUCRO]]+Tabela1107[[#This Row],[OUTROS]]+Tabela1107[[#This Row],[BA]]</f>
        <v>36.74</v>
      </c>
      <c r="BS150" s="97">
        <f>+Tabela1107[[#This Row],[PIS]]+Tabela1107[[#This Row],[COFINS]]+Tabela1107[[#This Row],[CONTRIB. FOLHA]]+Tabela1107[[#This Row],[TRIBUTOS S/ LUCRO]]+Tabela1107[[#This Row],[OUTROS]]+Tabela1107[[#This Row],[PE]]</f>
        <v>36.74</v>
      </c>
      <c r="BT150" s="97">
        <f>+Tabela1107[[#This Row],[PIS]]+Tabela1107[[#This Row],[COFINS]]+Tabela1107[[#This Row],[CONTRIB. FOLHA]]+Tabela1107[[#This Row],[TRIBUTOS S/ LUCRO]]+Tabela1107[[#This Row],[OUTROS]]+Tabela1107[[#This Row],[PA]]</f>
        <v>36.74</v>
      </c>
      <c r="BU150" s="97">
        <f>+Tabela1107[[#This Row],[PIS]]+Tabela1107[[#This Row],[COFINS]]+Tabela1107[[#This Row],[CONTRIB. FOLHA]]+Tabela1107[[#This Row],[TRIBUTOS S/ LUCRO]]+Tabela1107[[#This Row],[OUTROS]]+Tabela1107[[#This Row],[AM]]</f>
        <v>36.74</v>
      </c>
      <c r="BV150" s="97">
        <f>AVERAGE(Tabela1107[[#This Row],[TOTAL SP]:[TOTAL AM]])</f>
        <v>36.677500000000002</v>
      </c>
      <c r="BW150" s="97"/>
      <c r="BX150" s="97"/>
    </row>
    <row r="151" spans="2:76" x14ac:dyDescent="0.25">
      <c r="B151" s="89">
        <v>3951</v>
      </c>
      <c r="C151" s="91" t="s">
        <v>13183</v>
      </c>
      <c r="D151" s="89"/>
      <c r="E151" s="89">
        <v>20140626</v>
      </c>
      <c r="F151" s="89" t="s">
        <v>20292</v>
      </c>
      <c r="G151" s="89" t="s">
        <v>20293</v>
      </c>
      <c r="H151" s="89" t="s">
        <v>20294</v>
      </c>
      <c r="I151" s="89" t="s">
        <v>20288</v>
      </c>
      <c r="J151" s="89" t="s">
        <v>610</v>
      </c>
      <c r="K151" s="89"/>
      <c r="L151" s="89" t="s">
        <v>3167</v>
      </c>
      <c r="M151" s="89" t="s">
        <v>3168</v>
      </c>
      <c r="N151" s="89" t="s">
        <v>4496</v>
      </c>
      <c r="O151" s="89" t="s">
        <v>4496</v>
      </c>
      <c r="P151" s="89" t="s">
        <v>4496</v>
      </c>
      <c r="Q151" s="89"/>
      <c r="R151" s="89" t="s">
        <v>1</v>
      </c>
      <c r="S151" s="89" t="s">
        <v>21568</v>
      </c>
      <c r="T151" s="89" t="s">
        <v>21569</v>
      </c>
      <c r="U151" s="89" t="str">
        <f>TRIM('Carga Tributária doenças Po (2'!$L151)</f>
        <v>BRONFENIRAMINA</v>
      </c>
      <c r="V151" s="89">
        <f>SUMIFS('Tabela Federal'!$E$4:$E$2069,'Tabela Federal'!$D$4:$D$2069,'Carga Tributária doenças Po (2'!$L151)</f>
        <v>0</v>
      </c>
      <c r="W151" s="89">
        <f>SUMIFS('Tabela Federal'!$E$4:$E$2069,'Tabela Federal'!$D$4:$D$2069,'Carga Tributária doenças Po (2'!$M151)</f>
        <v>0</v>
      </c>
      <c r="X151" s="89">
        <f>SUMIFS('Tabela Federal'!$E$4:$E$2069,'Tabela Federal'!$D$4:$D$2069,'Carga Tributária doenças Po (2'!$N151)</f>
        <v>0</v>
      </c>
      <c r="Y151" s="89">
        <f>SUMIFS('Tabela Federal'!$E$4:$E$2069,'Tabela Federal'!$D$4:$D$2069,'Carga Tributária doenças Po (2'!$O151)</f>
        <v>0</v>
      </c>
      <c r="Z151" s="92" t="str">
        <f>VLOOKUP('Carga Tributária doenças Po (2'!$AD151,'Carga Tributária doenças Po (2'!$CA$12:$CC$16,2,0)</f>
        <v>-</v>
      </c>
      <c r="AA151" s="89" t="s">
        <v>226</v>
      </c>
      <c r="AB151" s="89" t="s">
        <v>21757</v>
      </c>
      <c r="AC151" s="89" t="s">
        <v>21721</v>
      </c>
      <c r="AD151" s="93" t="s">
        <v>19523</v>
      </c>
      <c r="AE151" s="92" t="s">
        <v>4</v>
      </c>
      <c r="AF151" s="92" t="s">
        <v>3</v>
      </c>
      <c r="AG151" s="94">
        <v>2935677</v>
      </c>
      <c r="AH151" s="95">
        <v>13229526</v>
      </c>
      <c r="AI151" s="95">
        <v>30000562.27</v>
      </c>
      <c r="AJ151" s="89" t="s">
        <v>595</v>
      </c>
      <c r="AK151" s="89">
        <f>IF('Carga Tributária doenças Po (2'!$Z151="+",0,SUMIFS(PISCOFINS!$I$3:$I$10518,PISCOFINS!$C$3:$C$10518,'Carga Tributária doenças Po (2'!$C151))</f>
        <v>2.1</v>
      </c>
      <c r="AL151" s="89">
        <f>IF('Carga Tributária doenças Po (2'!$Z151="+",0,SUMIFS(PISCOFINS!$H$3:$H$10518,PISCOFINS!$C$3:$C$10518,'Carga Tributária doenças Po (2'!$C151))</f>
        <v>9.9</v>
      </c>
      <c r="AM151" s="95">
        <v>3.27</v>
      </c>
      <c r="AN151" s="95">
        <v>3.12</v>
      </c>
      <c r="AO151" s="95">
        <v>1.35</v>
      </c>
      <c r="AP151" s="96">
        <v>18</v>
      </c>
      <c r="AQ151" s="96">
        <v>12</v>
      </c>
      <c r="AR151" s="96">
        <v>17</v>
      </c>
      <c r="AS151" s="97">
        <v>17</v>
      </c>
      <c r="AT151" s="97">
        <v>19</v>
      </c>
      <c r="AU151" s="97">
        <v>18</v>
      </c>
      <c r="AV151" s="97">
        <v>17</v>
      </c>
      <c r="AW151" s="97">
        <v>17</v>
      </c>
      <c r="AX151" s="97">
        <v>17</v>
      </c>
      <c r="AY151" s="97">
        <v>17</v>
      </c>
      <c r="AZ151" s="97">
        <v>17</v>
      </c>
      <c r="BA151" s="97">
        <v>17</v>
      </c>
      <c r="BB151" s="97">
        <v>17</v>
      </c>
      <c r="BC151" s="97">
        <v>17</v>
      </c>
      <c r="BD151" s="97">
        <v>17</v>
      </c>
      <c r="BE151" s="97">
        <v>17</v>
      </c>
      <c r="BF151" s="97">
        <f>+Tabela1107[[#This Row],[PIS]]+Tabela1107[[#This Row],[COFINS]]+Tabela1107[[#This Row],[CONTRIB. FOLHA]]+Tabela1107[[#This Row],[TRIBUTOS S/ LUCRO]]+Tabela1107[[#This Row],[OUTROS]]+Tabela1107[[#This Row],[SP]]</f>
        <v>37.74</v>
      </c>
      <c r="BG151" s="97">
        <f>+Tabela1107[[#This Row],[PIS]]+Tabela1107[[#This Row],[COFINS]]+Tabela1107[[#This Row],[CONTRIB. FOLHA]]+Tabela1107[[#This Row],[TRIBUTOS S/ LUCRO]]+Tabela1107[[#This Row],[OUTROS]]+Tabela1107[[#This Row],[PR]]</f>
        <v>31.740000000000002</v>
      </c>
      <c r="BH151" s="97">
        <f>+Tabela1107[[#This Row],[PIS]]+Tabela1107[[#This Row],[COFINS]]+Tabela1107[[#This Row],[CONTRIB. FOLHA]]+Tabela1107[[#This Row],[TRIBUTOS S/ LUCRO]]+Tabela1107[[#This Row],[OUTROS]]+Tabela1107[[#This Row],[SC]]</f>
        <v>36.74</v>
      </c>
      <c r="BI151" s="97">
        <f>+Tabela1107[[#This Row],[PIS]]+Tabela1107[[#This Row],[COFINS]]+Tabela1107[[#This Row],[CONTRIB. FOLHA]]+Tabela1107[[#This Row],[TRIBUTOS S/ LUCRO]]+Tabela1107[[#This Row],[OUTROS]]+Tabela1107[[#This Row],[RS]]</f>
        <v>36.74</v>
      </c>
      <c r="BJ151" s="97">
        <f>+Tabela1107[[#This Row],[PIS]]+Tabela1107[[#This Row],[COFINS]]+Tabela1107[[#This Row],[CONTRIB. FOLHA]]+Tabela1107[[#This Row],[TRIBUTOS S/ LUCRO]]+Tabela1107[[#This Row],[OUTROS]]+Tabela1107[[#This Row],[RJ]]</f>
        <v>38.74</v>
      </c>
      <c r="BK151" s="97">
        <f>+Tabela1107[[#This Row],[PIS]]+Tabela1107[[#This Row],[COFINS]]+Tabela1107[[#This Row],[CONTRIB. FOLHA]]+Tabela1107[[#This Row],[TRIBUTOS S/ LUCRO]]+Tabela1107[[#This Row],[OUTROS]]+Tabela1107[[#This Row],[MG]]</f>
        <v>37.74</v>
      </c>
      <c r="BL151" s="97">
        <f>+Tabela1107[[#This Row],[PIS]]+Tabela1107[[#This Row],[COFINS]]+Tabela1107[[#This Row],[CONTRIB. FOLHA]]+Tabela1107[[#This Row],[TRIBUTOS S/ LUCRO]]+Tabela1107[[#This Row],[OUTROS]]+Tabela1107[[#This Row],[ES]]</f>
        <v>36.74</v>
      </c>
      <c r="BM151" s="97">
        <f>+Tabela1107[[#This Row],[PIS]]+Tabela1107[[#This Row],[COFINS]]+Tabela1107[[#This Row],[CONTRIB. FOLHA]]+Tabela1107[[#This Row],[TRIBUTOS S/ LUCRO]]+Tabela1107[[#This Row],[OUTROS]]+Tabela1107[[#This Row],[GO]]</f>
        <v>36.74</v>
      </c>
      <c r="BN151" s="97">
        <f>+Tabela1107[[#This Row],[PIS]]+Tabela1107[[#This Row],[COFINS]]+Tabela1107[[#This Row],[CONTRIB. FOLHA]]+Tabela1107[[#This Row],[TRIBUTOS S/ LUCRO]]+Tabela1107[[#This Row],[OUTROS]]+Tabela1107[[#This Row],[MT]]</f>
        <v>36.74</v>
      </c>
      <c r="BO151" s="97">
        <f>+Tabela1107[[#This Row],[PIS]]+Tabela1107[[#This Row],[COFINS]]+Tabela1107[[#This Row],[CONTRIB. FOLHA]]+Tabela1107[[#This Row],[TRIBUTOS S/ LUCRO]]+Tabela1107[[#This Row],[OUTROS]]+Tabela1107[[#This Row],[MS]]</f>
        <v>36.74</v>
      </c>
      <c r="BP151" s="97">
        <f>+Tabela1107[[#This Row],[PIS]]+Tabela1107[[#This Row],[COFINS]]+Tabela1107[[#This Row],[CONTRIB. FOLHA]]+Tabela1107[[#This Row],[TRIBUTOS S/ LUCRO]]+Tabela1107[[#This Row],[OUTROS]]+Tabela1107[[#This Row],[DF]]</f>
        <v>36.74</v>
      </c>
      <c r="BQ151" s="97">
        <f>+Tabela1107[[#This Row],[PIS]]+Tabela1107[[#This Row],[COFINS]]+Tabela1107[[#This Row],[CONTRIB. FOLHA]]+Tabela1107[[#This Row],[TRIBUTOS S/ LUCRO]]+Tabela1107[[#This Row],[OUTROS]]+Tabela1107[[#This Row],[BA]]</f>
        <v>36.74</v>
      </c>
      <c r="BR151" s="97">
        <f>+Tabela1107[[#This Row],[PIS]]+Tabela1107[[#This Row],[COFINS]]+Tabela1107[[#This Row],[CONTRIB. FOLHA]]+Tabela1107[[#This Row],[TRIBUTOS S/ LUCRO]]+Tabela1107[[#This Row],[OUTROS]]+Tabela1107[[#This Row],[BA]]</f>
        <v>36.74</v>
      </c>
      <c r="BS151" s="97">
        <f>+Tabela1107[[#This Row],[PIS]]+Tabela1107[[#This Row],[COFINS]]+Tabela1107[[#This Row],[CONTRIB. FOLHA]]+Tabela1107[[#This Row],[TRIBUTOS S/ LUCRO]]+Tabela1107[[#This Row],[OUTROS]]+Tabela1107[[#This Row],[PE]]</f>
        <v>36.74</v>
      </c>
      <c r="BT151" s="97">
        <f>+Tabela1107[[#This Row],[PIS]]+Tabela1107[[#This Row],[COFINS]]+Tabela1107[[#This Row],[CONTRIB. FOLHA]]+Tabela1107[[#This Row],[TRIBUTOS S/ LUCRO]]+Tabela1107[[#This Row],[OUTROS]]+Tabela1107[[#This Row],[PA]]</f>
        <v>36.74</v>
      </c>
      <c r="BU151" s="97">
        <f>+Tabela1107[[#This Row],[PIS]]+Tabela1107[[#This Row],[COFINS]]+Tabela1107[[#This Row],[CONTRIB. FOLHA]]+Tabela1107[[#This Row],[TRIBUTOS S/ LUCRO]]+Tabela1107[[#This Row],[OUTROS]]+Tabela1107[[#This Row],[AM]]</f>
        <v>36.74</v>
      </c>
      <c r="BV151" s="97">
        <f>AVERAGE(Tabela1107[[#This Row],[TOTAL SP]:[TOTAL AM]])</f>
        <v>36.677500000000002</v>
      </c>
      <c r="BW151" s="97"/>
      <c r="BX151" s="97"/>
    </row>
    <row r="152" spans="2:76" x14ac:dyDescent="0.25">
      <c r="B152" s="89">
        <v>3953</v>
      </c>
      <c r="C152" s="91" t="s">
        <v>13183</v>
      </c>
      <c r="D152" s="89"/>
      <c r="E152" s="89">
        <v>20140626</v>
      </c>
      <c r="F152" s="89" t="s">
        <v>20289</v>
      </c>
      <c r="G152" s="89" t="s">
        <v>20290</v>
      </c>
      <c r="H152" s="89" t="s">
        <v>20291</v>
      </c>
      <c r="I152" s="89" t="s">
        <v>20288</v>
      </c>
      <c r="J152" s="89" t="s">
        <v>225</v>
      </c>
      <c r="K152" s="89"/>
      <c r="L152" s="89" t="s">
        <v>3167</v>
      </c>
      <c r="M152" s="89" t="s">
        <v>3168</v>
      </c>
      <c r="N152" s="89" t="s">
        <v>4496</v>
      </c>
      <c r="O152" s="89" t="s">
        <v>4496</v>
      </c>
      <c r="P152" s="89" t="s">
        <v>4496</v>
      </c>
      <c r="Q152" s="89"/>
      <c r="R152" s="89" t="s">
        <v>1</v>
      </c>
      <c r="S152" s="89" t="s">
        <v>21568</v>
      </c>
      <c r="T152" s="89" t="s">
        <v>21569</v>
      </c>
      <c r="U152" s="89" t="str">
        <f>TRIM('Carga Tributária doenças Po (2'!$L152)</f>
        <v>BRONFENIRAMINA</v>
      </c>
      <c r="V152" s="89">
        <f>SUMIFS('Tabela Federal'!$E$4:$E$2069,'Tabela Federal'!$D$4:$D$2069,'Carga Tributária doenças Po (2'!$L152)</f>
        <v>0</v>
      </c>
      <c r="W152" s="89">
        <f>SUMIFS('Tabela Federal'!$E$4:$E$2069,'Tabela Federal'!$D$4:$D$2069,'Carga Tributária doenças Po (2'!$M152)</f>
        <v>0</v>
      </c>
      <c r="X152" s="89">
        <f>SUMIFS('Tabela Federal'!$E$4:$E$2069,'Tabela Federal'!$D$4:$D$2069,'Carga Tributária doenças Po (2'!$N152)</f>
        <v>0</v>
      </c>
      <c r="Y152" s="89">
        <f>SUMIFS('Tabela Federal'!$E$4:$E$2069,'Tabela Federal'!$D$4:$D$2069,'Carga Tributária doenças Po (2'!$O152)</f>
        <v>0</v>
      </c>
      <c r="Z152" s="92" t="str">
        <f>VLOOKUP('Carga Tributária doenças Po (2'!$AD152,'Carga Tributária doenças Po (2'!$CA$12:$CC$16,2,0)</f>
        <v>-</v>
      </c>
      <c r="AA152" s="89" t="s">
        <v>226</v>
      </c>
      <c r="AB152" s="89" t="s">
        <v>21757</v>
      </c>
      <c r="AC152" s="89" t="s">
        <v>21721</v>
      </c>
      <c r="AD152" s="93" t="s">
        <v>19523</v>
      </c>
      <c r="AE152" s="92" t="s">
        <v>4</v>
      </c>
      <c r="AF152" s="92" t="s">
        <v>3</v>
      </c>
      <c r="AG152" s="94">
        <v>3488119</v>
      </c>
      <c r="AH152" s="95">
        <v>10692324</v>
      </c>
      <c r="AI152" s="95">
        <v>24262392.280000001</v>
      </c>
      <c r="AJ152" s="89" t="s">
        <v>595</v>
      </c>
      <c r="AK152" s="89">
        <f>IF('Carga Tributária doenças Po (2'!$Z152="+",0,SUMIFS(PISCOFINS!$I$3:$I$10518,PISCOFINS!$C$3:$C$10518,'Carga Tributária doenças Po (2'!$C152))</f>
        <v>2.1</v>
      </c>
      <c r="AL152" s="89">
        <f>IF('Carga Tributária doenças Po (2'!$Z152="+",0,SUMIFS(PISCOFINS!$H$3:$H$10518,PISCOFINS!$C$3:$C$10518,'Carga Tributária doenças Po (2'!$C152))</f>
        <v>9.9</v>
      </c>
      <c r="AM152" s="95">
        <v>3.27</v>
      </c>
      <c r="AN152" s="95">
        <v>3.12</v>
      </c>
      <c r="AO152" s="95">
        <v>1.35</v>
      </c>
      <c r="AP152" s="96">
        <v>18</v>
      </c>
      <c r="AQ152" s="96">
        <v>12</v>
      </c>
      <c r="AR152" s="96">
        <v>17</v>
      </c>
      <c r="AS152" s="97">
        <v>17</v>
      </c>
      <c r="AT152" s="97">
        <v>19</v>
      </c>
      <c r="AU152" s="97">
        <v>18</v>
      </c>
      <c r="AV152" s="97">
        <v>17</v>
      </c>
      <c r="AW152" s="97">
        <v>17</v>
      </c>
      <c r="AX152" s="97">
        <v>17</v>
      </c>
      <c r="AY152" s="97">
        <v>17</v>
      </c>
      <c r="AZ152" s="97">
        <v>17</v>
      </c>
      <c r="BA152" s="97">
        <v>17</v>
      </c>
      <c r="BB152" s="97">
        <v>17</v>
      </c>
      <c r="BC152" s="97">
        <v>17</v>
      </c>
      <c r="BD152" s="97">
        <v>17</v>
      </c>
      <c r="BE152" s="97">
        <v>17</v>
      </c>
      <c r="BF152" s="97">
        <f>+Tabela1107[[#This Row],[PIS]]+Tabela1107[[#This Row],[COFINS]]+Tabela1107[[#This Row],[CONTRIB. FOLHA]]+Tabela1107[[#This Row],[TRIBUTOS S/ LUCRO]]+Tabela1107[[#This Row],[OUTROS]]+Tabela1107[[#This Row],[SP]]</f>
        <v>37.74</v>
      </c>
      <c r="BG152" s="97">
        <f>+Tabela1107[[#This Row],[PIS]]+Tabela1107[[#This Row],[COFINS]]+Tabela1107[[#This Row],[CONTRIB. FOLHA]]+Tabela1107[[#This Row],[TRIBUTOS S/ LUCRO]]+Tabela1107[[#This Row],[OUTROS]]+Tabela1107[[#This Row],[PR]]</f>
        <v>31.740000000000002</v>
      </c>
      <c r="BH152" s="97">
        <f>+Tabela1107[[#This Row],[PIS]]+Tabela1107[[#This Row],[COFINS]]+Tabela1107[[#This Row],[CONTRIB. FOLHA]]+Tabela1107[[#This Row],[TRIBUTOS S/ LUCRO]]+Tabela1107[[#This Row],[OUTROS]]+Tabela1107[[#This Row],[SC]]</f>
        <v>36.74</v>
      </c>
      <c r="BI152" s="97">
        <f>+Tabela1107[[#This Row],[PIS]]+Tabela1107[[#This Row],[COFINS]]+Tabela1107[[#This Row],[CONTRIB. FOLHA]]+Tabela1107[[#This Row],[TRIBUTOS S/ LUCRO]]+Tabela1107[[#This Row],[OUTROS]]+Tabela1107[[#This Row],[RS]]</f>
        <v>36.74</v>
      </c>
      <c r="BJ152" s="97">
        <f>+Tabela1107[[#This Row],[PIS]]+Tabela1107[[#This Row],[COFINS]]+Tabela1107[[#This Row],[CONTRIB. FOLHA]]+Tabela1107[[#This Row],[TRIBUTOS S/ LUCRO]]+Tabela1107[[#This Row],[OUTROS]]+Tabela1107[[#This Row],[RJ]]</f>
        <v>38.74</v>
      </c>
      <c r="BK152" s="97">
        <f>+Tabela1107[[#This Row],[PIS]]+Tabela1107[[#This Row],[COFINS]]+Tabela1107[[#This Row],[CONTRIB. FOLHA]]+Tabela1107[[#This Row],[TRIBUTOS S/ LUCRO]]+Tabela1107[[#This Row],[OUTROS]]+Tabela1107[[#This Row],[MG]]</f>
        <v>37.74</v>
      </c>
      <c r="BL152" s="97">
        <f>+Tabela1107[[#This Row],[PIS]]+Tabela1107[[#This Row],[COFINS]]+Tabela1107[[#This Row],[CONTRIB. FOLHA]]+Tabela1107[[#This Row],[TRIBUTOS S/ LUCRO]]+Tabela1107[[#This Row],[OUTROS]]+Tabela1107[[#This Row],[ES]]</f>
        <v>36.74</v>
      </c>
      <c r="BM152" s="97">
        <f>+Tabela1107[[#This Row],[PIS]]+Tabela1107[[#This Row],[COFINS]]+Tabela1107[[#This Row],[CONTRIB. FOLHA]]+Tabela1107[[#This Row],[TRIBUTOS S/ LUCRO]]+Tabela1107[[#This Row],[OUTROS]]+Tabela1107[[#This Row],[GO]]</f>
        <v>36.74</v>
      </c>
      <c r="BN152" s="97">
        <f>+Tabela1107[[#This Row],[PIS]]+Tabela1107[[#This Row],[COFINS]]+Tabela1107[[#This Row],[CONTRIB. FOLHA]]+Tabela1107[[#This Row],[TRIBUTOS S/ LUCRO]]+Tabela1107[[#This Row],[OUTROS]]+Tabela1107[[#This Row],[MT]]</f>
        <v>36.74</v>
      </c>
      <c r="BO152" s="97">
        <f>+Tabela1107[[#This Row],[PIS]]+Tabela1107[[#This Row],[COFINS]]+Tabela1107[[#This Row],[CONTRIB. FOLHA]]+Tabela1107[[#This Row],[TRIBUTOS S/ LUCRO]]+Tabela1107[[#This Row],[OUTROS]]+Tabela1107[[#This Row],[MS]]</f>
        <v>36.74</v>
      </c>
      <c r="BP152" s="97">
        <f>+Tabela1107[[#This Row],[PIS]]+Tabela1107[[#This Row],[COFINS]]+Tabela1107[[#This Row],[CONTRIB. FOLHA]]+Tabela1107[[#This Row],[TRIBUTOS S/ LUCRO]]+Tabela1107[[#This Row],[OUTROS]]+Tabela1107[[#This Row],[DF]]</f>
        <v>36.74</v>
      </c>
      <c r="BQ152" s="97">
        <f>+Tabela1107[[#This Row],[PIS]]+Tabela1107[[#This Row],[COFINS]]+Tabela1107[[#This Row],[CONTRIB. FOLHA]]+Tabela1107[[#This Row],[TRIBUTOS S/ LUCRO]]+Tabela1107[[#This Row],[OUTROS]]+Tabela1107[[#This Row],[BA]]</f>
        <v>36.74</v>
      </c>
      <c r="BR152" s="97">
        <f>+Tabela1107[[#This Row],[PIS]]+Tabela1107[[#This Row],[COFINS]]+Tabela1107[[#This Row],[CONTRIB. FOLHA]]+Tabela1107[[#This Row],[TRIBUTOS S/ LUCRO]]+Tabela1107[[#This Row],[OUTROS]]+Tabela1107[[#This Row],[BA]]</f>
        <v>36.74</v>
      </c>
      <c r="BS152" s="97">
        <f>+Tabela1107[[#This Row],[PIS]]+Tabela1107[[#This Row],[COFINS]]+Tabela1107[[#This Row],[CONTRIB. FOLHA]]+Tabela1107[[#This Row],[TRIBUTOS S/ LUCRO]]+Tabela1107[[#This Row],[OUTROS]]+Tabela1107[[#This Row],[PE]]</f>
        <v>36.74</v>
      </c>
      <c r="BT152" s="97">
        <f>+Tabela1107[[#This Row],[PIS]]+Tabela1107[[#This Row],[COFINS]]+Tabela1107[[#This Row],[CONTRIB. FOLHA]]+Tabela1107[[#This Row],[TRIBUTOS S/ LUCRO]]+Tabela1107[[#This Row],[OUTROS]]+Tabela1107[[#This Row],[PA]]</f>
        <v>36.74</v>
      </c>
      <c r="BU152" s="97">
        <f>+Tabela1107[[#This Row],[PIS]]+Tabela1107[[#This Row],[COFINS]]+Tabela1107[[#This Row],[CONTRIB. FOLHA]]+Tabela1107[[#This Row],[TRIBUTOS S/ LUCRO]]+Tabela1107[[#This Row],[OUTROS]]+Tabela1107[[#This Row],[AM]]</f>
        <v>36.74</v>
      </c>
      <c r="BV152" s="97">
        <f>AVERAGE(Tabela1107[[#This Row],[TOTAL SP]:[TOTAL AM]])</f>
        <v>36.677500000000002</v>
      </c>
      <c r="BW152" s="97"/>
      <c r="BX152" s="97"/>
    </row>
    <row r="153" spans="2:76" x14ac:dyDescent="0.25">
      <c r="B153" s="89">
        <v>3953</v>
      </c>
      <c r="C153" s="91" t="s">
        <v>13183</v>
      </c>
      <c r="D153" s="89"/>
      <c r="E153" s="89">
        <v>20140626</v>
      </c>
      <c r="F153" s="89" t="s">
        <v>20289</v>
      </c>
      <c r="G153" s="89" t="s">
        <v>20290</v>
      </c>
      <c r="H153" s="89" t="s">
        <v>20291</v>
      </c>
      <c r="I153" s="89" t="s">
        <v>20288</v>
      </c>
      <c r="J153" s="89" t="s">
        <v>225</v>
      </c>
      <c r="K153" s="89"/>
      <c r="L153" s="89" t="s">
        <v>3167</v>
      </c>
      <c r="M153" s="89" t="s">
        <v>3168</v>
      </c>
      <c r="N153" s="89" t="s">
        <v>4496</v>
      </c>
      <c r="O153" s="89" t="s">
        <v>4496</v>
      </c>
      <c r="P153" s="89" t="s">
        <v>4496</v>
      </c>
      <c r="Q153" s="89"/>
      <c r="R153" s="89" t="s">
        <v>1</v>
      </c>
      <c r="S153" s="89" t="s">
        <v>21568</v>
      </c>
      <c r="T153" s="89" t="s">
        <v>21569</v>
      </c>
      <c r="U153" s="89" t="str">
        <f>TRIM('Carga Tributária doenças Po (2'!$L153)</f>
        <v>BRONFENIRAMINA</v>
      </c>
      <c r="V153" s="89">
        <f>SUMIFS('Tabela Federal'!$E$4:$E$2069,'Tabela Federal'!$D$4:$D$2069,'Carga Tributária doenças Po (2'!$L153)</f>
        <v>0</v>
      </c>
      <c r="W153" s="89">
        <f>SUMIFS('Tabela Federal'!$E$4:$E$2069,'Tabela Federal'!$D$4:$D$2069,'Carga Tributária doenças Po (2'!$M153)</f>
        <v>0</v>
      </c>
      <c r="X153" s="89">
        <f>SUMIFS('Tabela Federal'!$E$4:$E$2069,'Tabela Federal'!$D$4:$D$2069,'Carga Tributária doenças Po (2'!$N153)</f>
        <v>0</v>
      </c>
      <c r="Y153" s="89">
        <f>SUMIFS('Tabela Federal'!$E$4:$E$2069,'Tabela Federal'!$D$4:$D$2069,'Carga Tributária doenças Po (2'!$O153)</f>
        <v>0</v>
      </c>
      <c r="Z153" s="92" t="str">
        <f>VLOOKUP('Carga Tributária doenças Po (2'!$AD153,'Carga Tributária doenças Po (2'!$CA$12:$CC$16,2,0)</f>
        <v>-</v>
      </c>
      <c r="AA153" s="89" t="s">
        <v>226</v>
      </c>
      <c r="AB153" s="89" t="s">
        <v>21757</v>
      </c>
      <c r="AC153" s="89" t="s">
        <v>21721</v>
      </c>
      <c r="AD153" s="93" t="s">
        <v>19523</v>
      </c>
      <c r="AE153" s="92" t="s">
        <v>4</v>
      </c>
      <c r="AF153" s="92" t="s">
        <v>3</v>
      </c>
      <c r="AG153" s="94">
        <v>3488119</v>
      </c>
      <c r="AH153" s="95">
        <v>10692324</v>
      </c>
      <c r="AI153" s="95">
        <v>24262392.280000001</v>
      </c>
      <c r="AJ153" s="89" t="s">
        <v>227</v>
      </c>
      <c r="AK153" s="89">
        <f>IF('Carga Tributária doenças Po (2'!$Z153="+",0,SUMIFS(PISCOFINS!$I$3:$I$10518,PISCOFINS!$C$3:$C$10518,'Carga Tributária doenças Po (2'!$C153))</f>
        <v>2.1</v>
      </c>
      <c r="AL153" s="89">
        <f>IF('Carga Tributária doenças Po (2'!$Z153="+",0,SUMIFS(PISCOFINS!$H$3:$H$10518,PISCOFINS!$C$3:$C$10518,'Carga Tributária doenças Po (2'!$C153))</f>
        <v>9.9</v>
      </c>
      <c r="AM153" s="95">
        <v>3.27</v>
      </c>
      <c r="AN153" s="95">
        <v>3.12</v>
      </c>
      <c r="AO153" s="95">
        <v>1.35</v>
      </c>
      <c r="AP153" s="96">
        <v>18</v>
      </c>
      <c r="AQ153" s="96">
        <v>12</v>
      </c>
      <c r="AR153" s="96">
        <v>17</v>
      </c>
      <c r="AS153" s="97">
        <v>17</v>
      </c>
      <c r="AT153" s="97">
        <v>19</v>
      </c>
      <c r="AU153" s="97">
        <v>18</v>
      </c>
      <c r="AV153" s="97">
        <v>17</v>
      </c>
      <c r="AW153" s="97">
        <v>17</v>
      </c>
      <c r="AX153" s="97">
        <v>17</v>
      </c>
      <c r="AY153" s="97">
        <v>17</v>
      </c>
      <c r="AZ153" s="97">
        <v>17</v>
      </c>
      <c r="BA153" s="97">
        <v>17</v>
      </c>
      <c r="BB153" s="97">
        <v>17</v>
      </c>
      <c r="BC153" s="97">
        <v>17</v>
      </c>
      <c r="BD153" s="97">
        <v>17</v>
      </c>
      <c r="BE153" s="97">
        <v>17</v>
      </c>
      <c r="BF153" s="97">
        <f>+Tabela1107[[#This Row],[PIS]]+Tabela1107[[#This Row],[COFINS]]+Tabela1107[[#This Row],[CONTRIB. FOLHA]]+Tabela1107[[#This Row],[TRIBUTOS S/ LUCRO]]+Tabela1107[[#This Row],[OUTROS]]+Tabela1107[[#This Row],[SP]]</f>
        <v>37.74</v>
      </c>
      <c r="BG153" s="97">
        <f>+Tabela1107[[#This Row],[PIS]]+Tabela1107[[#This Row],[COFINS]]+Tabela1107[[#This Row],[CONTRIB. FOLHA]]+Tabela1107[[#This Row],[TRIBUTOS S/ LUCRO]]+Tabela1107[[#This Row],[OUTROS]]+Tabela1107[[#This Row],[PR]]</f>
        <v>31.740000000000002</v>
      </c>
      <c r="BH153" s="97">
        <f>+Tabela1107[[#This Row],[PIS]]+Tabela1107[[#This Row],[COFINS]]+Tabela1107[[#This Row],[CONTRIB. FOLHA]]+Tabela1107[[#This Row],[TRIBUTOS S/ LUCRO]]+Tabela1107[[#This Row],[OUTROS]]+Tabela1107[[#This Row],[SC]]</f>
        <v>36.74</v>
      </c>
      <c r="BI153" s="97">
        <f>+Tabela1107[[#This Row],[PIS]]+Tabela1107[[#This Row],[COFINS]]+Tabela1107[[#This Row],[CONTRIB. FOLHA]]+Tabela1107[[#This Row],[TRIBUTOS S/ LUCRO]]+Tabela1107[[#This Row],[OUTROS]]+Tabela1107[[#This Row],[RS]]</f>
        <v>36.74</v>
      </c>
      <c r="BJ153" s="97">
        <f>+Tabela1107[[#This Row],[PIS]]+Tabela1107[[#This Row],[COFINS]]+Tabela1107[[#This Row],[CONTRIB. FOLHA]]+Tabela1107[[#This Row],[TRIBUTOS S/ LUCRO]]+Tabela1107[[#This Row],[OUTROS]]+Tabela1107[[#This Row],[RJ]]</f>
        <v>38.74</v>
      </c>
      <c r="BK153" s="97">
        <f>+Tabela1107[[#This Row],[PIS]]+Tabela1107[[#This Row],[COFINS]]+Tabela1107[[#This Row],[CONTRIB. FOLHA]]+Tabela1107[[#This Row],[TRIBUTOS S/ LUCRO]]+Tabela1107[[#This Row],[OUTROS]]+Tabela1107[[#This Row],[MG]]</f>
        <v>37.74</v>
      </c>
      <c r="BL153" s="97">
        <f>+Tabela1107[[#This Row],[PIS]]+Tabela1107[[#This Row],[COFINS]]+Tabela1107[[#This Row],[CONTRIB. FOLHA]]+Tabela1107[[#This Row],[TRIBUTOS S/ LUCRO]]+Tabela1107[[#This Row],[OUTROS]]+Tabela1107[[#This Row],[ES]]</f>
        <v>36.74</v>
      </c>
      <c r="BM153" s="97">
        <f>+Tabela1107[[#This Row],[PIS]]+Tabela1107[[#This Row],[COFINS]]+Tabela1107[[#This Row],[CONTRIB. FOLHA]]+Tabela1107[[#This Row],[TRIBUTOS S/ LUCRO]]+Tabela1107[[#This Row],[OUTROS]]+Tabela1107[[#This Row],[GO]]</f>
        <v>36.74</v>
      </c>
      <c r="BN153" s="97">
        <f>+Tabela1107[[#This Row],[PIS]]+Tabela1107[[#This Row],[COFINS]]+Tabela1107[[#This Row],[CONTRIB. FOLHA]]+Tabela1107[[#This Row],[TRIBUTOS S/ LUCRO]]+Tabela1107[[#This Row],[OUTROS]]+Tabela1107[[#This Row],[MT]]</f>
        <v>36.74</v>
      </c>
      <c r="BO153" s="97">
        <f>+Tabela1107[[#This Row],[PIS]]+Tabela1107[[#This Row],[COFINS]]+Tabela1107[[#This Row],[CONTRIB. FOLHA]]+Tabela1107[[#This Row],[TRIBUTOS S/ LUCRO]]+Tabela1107[[#This Row],[OUTROS]]+Tabela1107[[#This Row],[MS]]</f>
        <v>36.74</v>
      </c>
      <c r="BP153" s="97">
        <f>+Tabela1107[[#This Row],[PIS]]+Tabela1107[[#This Row],[COFINS]]+Tabela1107[[#This Row],[CONTRIB. FOLHA]]+Tabela1107[[#This Row],[TRIBUTOS S/ LUCRO]]+Tabela1107[[#This Row],[OUTROS]]+Tabela1107[[#This Row],[DF]]</f>
        <v>36.74</v>
      </c>
      <c r="BQ153" s="97">
        <f>+Tabela1107[[#This Row],[PIS]]+Tabela1107[[#This Row],[COFINS]]+Tabela1107[[#This Row],[CONTRIB. FOLHA]]+Tabela1107[[#This Row],[TRIBUTOS S/ LUCRO]]+Tabela1107[[#This Row],[OUTROS]]+Tabela1107[[#This Row],[BA]]</f>
        <v>36.74</v>
      </c>
      <c r="BR153" s="97">
        <f>+Tabela1107[[#This Row],[PIS]]+Tabela1107[[#This Row],[COFINS]]+Tabela1107[[#This Row],[CONTRIB. FOLHA]]+Tabela1107[[#This Row],[TRIBUTOS S/ LUCRO]]+Tabela1107[[#This Row],[OUTROS]]+Tabela1107[[#This Row],[BA]]</f>
        <v>36.74</v>
      </c>
      <c r="BS153" s="97">
        <f>+Tabela1107[[#This Row],[PIS]]+Tabela1107[[#This Row],[COFINS]]+Tabela1107[[#This Row],[CONTRIB. FOLHA]]+Tabela1107[[#This Row],[TRIBUTOS S/ LUCRO]]+Tabela1107[[#This Row],[OUTROS]]+Tabela1107[[#This Row],[PE]]</f>
        <v>36.74</v>
      </c>
      <c r="BT153" s="97">
        <f>+Tabela1107[[#This Row],[PIS]]+Tabela1107[[#This Row],[COFINS]]+Tabela1107[[#This Row],[CONTRIB. FOLHA]]+Tabela1107[[#This Row],[TRIBUTOS S/ LUCRO]]+Tabela1107[[#This Row],[OUTROS]]+Tabela1107[[#This Row],[PA]]</f>
        <v>36.74</v>
      </c>
      <c r="BU153" s="97">
        <f>+Tabela1107[[#This Row],[PIS]]+Tabela1107[[#This Row],[COFINS]]+Tabela1107[[#This Row],[CONTRIB. FOLHA]]+Tabela1107[[#This Row],[TRIBUTOS S/ LUCRO]]+Tabela1107[[#This Row],[OUTROS]]+Tabela1107[[#This Row],[AM]]</f>
        <v>36.74</v>
      </c>
      <c r="BV153" s="97">
        <f>AVERAGE(Tabela1107[[#This Row],[TOTAL SP]:[TOTAL AM]])</f>
        <v>36.677500000000002</v>
      </c>
      <c r="BW153" s="97"/>
      <c r="BX153" s="97"/>
    </row>
    <row r="154" spans="2:76" x14ac:dyDescent="0.25">
      <c r="B154" s="89">
        <v>1874</v>
      </c>
      <c r="C154" s="106" t="s">
        <v>13183</v>
      </c>
      <c r="D154" s="89"/>
      <c r="E154" s="89">
        <v>20140626</v>
      </c>
      <c r="F154" s="66" t="s">
        <v>21875</v>
      </c>
      <c r="G154" s="89" t="s">
        <v>21923</v>
      </c>
      <c r="H154" s="98" t="s">
        <v>21931</v>
      </c>
      <c r="I154" s="89" t="s">
        <v>21911</v>
      </c>
      <c r="J154" s="89" t="s">
        <v>21932</v>
      </c>
      <c r="K154" s="89"/>
      <c r="L154" s="89" t="s">
        <v>3364</v>
      </c>
      <c r="M154" s="89" t="s">
        <v>2442</v>
      </c>
      <c r="N154" s="89" t="s">
        <v>3169</v>
      </c>
      <c r="O154" s="89" t="s">
        <v>4316</v>
      </c>
      <c r="P154" s="89" t="s">
        <v>4174</v>
      </c>
      <c r="Q154" s="89"/>
      <c r="R154" s="89" t="s">
        <v>21934</v>
      </c>
      <c r="S154" s="89" t="s">
        <v>21933</v>
      </c>
      <c r="T154" s="98" t="s">
        <v>21935</v>
      </c>
      <c r="U154" s="89" t="str">
        <f>TRIM('Carga Tributária doenças Po (2'!$L154)</f>
        <v>CIANOCOBALAMINA</v>
      </c>
      <c r="V154" s="89">
        <f>SUMIFS('Tabela Federal'!$E$4:$E$2069,'Tabela Federal'!$D$4:$D$2069,'Carga Tributária doenças Po (2'!$L154)</f>
        <v>7</v>
      </c>
      <c r="W154" s="89">
        <f>SUMIFS('Tabela Federal'!$E$4:$E$2069,'Tabela Federal'!$D$4:$D$2069,'Carga Tributária doenças Po (2'!$M154)</f>
        <v>10</v>
      </c>
      <c r="X154" s="89">
        <f>SUMIFS('Tabela Federal'!$E$4:$E$2069,'Tabela Federal'!$D$4:$D$2069,'Carga Tributária doenças Po (2'!$N154)</f>
        <v>2</v>
      </c>
      <c r="Y154" s="89">
        <f>SUMIFS('Tabela Federal'!$E$4:$E$2069,'Tabela Federal'!$D$4:$D$2069,'Carga Tributária doenças Po (2'!$O154)</f>
        <v>1</v>
      </c>
      <c r="Z154" s="92" t="str">
        <f>VLOOKUP('Carga Tributária doenças Po (2'!$AD154,'Carga Tributária doenças Po (2'!$CA$12:$CC$16,2,0)</f>
        <v>-</v>
      </c>
      <c r="AA154" s="89" t="s">
        <v>391</v>
      </c>
      <c r="AB154" s="89" t="s">
        <v>21770</v>
      </c>
      <c r="AC154" s="89" t="s">
        <v>21721</v>
      </c>
      <c r="AD154" s="93" t="s">
        <v>19523</v>
      </c>
      <c r="AE154" s="92" t="s">
        <v>2</v>
      </c>
      <c r="AF154" s="92" t="s">
        <v>3</v>
      </c>
      <c r="AG154" s="94">
        <v>283744</v>
      </c>
      <c r="AH154" s="95">
        <v>2617008</v>
      </c>
      <c r="AI154" s="95">
        <v>5998263.9699999997</v>
      </c>
      <c r="AJ154" s="89" t="s">
        <v>394</v>
      </c>
      <c r="AK154" s="89">
        <f>IF('Carga Tributária doenças Po (2'!$Z154="+",0,SUMIFS(PISCOFINS!$I$3:$I$10518,PISCOFINS!$C$3:$C$10518,'Carga Tributária doenças Po (2'!$C154))</f>
        <v>2.1</v>
      </c>
      <c r="AL154" s="89">
        <f>IF('Carga Tributária doenças Po (2'!$Z154="+",0,SUMIFS(PISCOFINS!$H$3:$H$10518,PISCOFINS!$C$3:$C$10518,'Carga Tributária doenças Po (2'!$C154))</f>
        <v>9.9</v>
      </c>
      <c r="AM154" s="95">
        <v>3.27</v>
      </c>
      <c r="AN154" s="95">
        <v>3.12</v>
      </c>
      <c r="AO154" s="95">
        <v>1.35</v>
      </c>
      <c r="AP154" s="96">
        <v>18</v>
      </c>
      <c r="AQ154" s="96">
        <v>12</v>
      </c>
      <c r="AR154" s="96">
        <v>17</v>
      </c>
      <c r="AS154" s="97">
        <v>17</v>
      </c>
      <c r="AT154" s="97">
        <v>19</v>
      </c>
      <c r="AU154" s="97">
        <v>18</v>
      </c>
      <c r="AV154" s="97">
        <v>17</v>
      </c>
      <c r="AW154" s="97">
        <v>17</v>
      </c>
      <c r="AX154" s="97">
        <v>17</v>
      </c>
      <c r="AY154" s="97">
        <v>17</v>
      </c>
      <c r="AZ154" s="97">
        <v>17</v>
      </c>
      <c r="BA154" s="97">
        <v>17</v>
      </c>
      <c r="BB154" s="97">
        <v>17</v>
      </c>
      <c r="BC154" s="97">
        <v>17</v>
      </c>
      <c r="BD154" s="97">
        <v>17</v>
      </c>
      <c r="BE154" s="97">
        <v>17</v>
      </c>
      <c r="BF154" s="97">
        <f>+Tabela1107[[#This Row],[PIS]]+Tabela1107[[#This Row],[COFINS]]+Tabela1107[[#This Row],[CONTRIB. FOLHA]]+Tabela1107[[#This Row],[TRIBUTOS S/ LUCRO]]+Tabela1107[[#This Row],[OUTROS]]+Tabela1107[[#This Row],[SP]]</f>
        <v>37.74</v>
      </c>
      <c r="BG154" s="97">
        <f>+Tabela1107[[#This Row],[PIS]]+Tabela1107[[#This Row],[COFINS]]+Tabela1107[[#This Row],[CONTRIB. FOLHA]]+Tabela1107[[#This Row],[TRIBUTOS S/ LUCRO]]+Tabela1107[[#This Row],[OUTROS]]+Tabela1107[[#This Row],[PR]]</f>
        <v>31.740000000000002</v>
      </c>
      <c r="BH154" s="97">
        <f>+Tabela1107[[#This Row],[PIS]]+Tabela1107[[#This Row],[COFINS]]+Tabela1107[[#This Row],[CONTRIB. FOLHA]]+Tabela1107[[#This Row],[TRIBUTOS S/ LUCRO]]+Tabela1107[[#This Row],[OUTROS]]+Tabela1107[[#This Row],[SC]]</f>
        <v>36.74</v>
      </c>
      <c r="BI154" s="97">
        <f>+Tabela1107[[#This Row],[PIS]]+Tabela1107[[#This Row],[COFINS]]+Tabela1107[[#This Row],[CONTRIB. FOLHA]]+Tabela1107[[#This Row],[TRIBUTOS S/ LUCRO]]+Tabela1107[[#This Row],[OUTROS]]+Tabela1107[[#This Row],[RS]]</f>
        <v>36.74</v>
      </c>
      <c r="BJ154" s="97">
        <f>+Tabela1107[[#This Row],[PIS]]+Tabela1107[[#This Row],[COFINS]]+Tabela1107[[#This Row],[CONTRIB. FOLHA]]+Tabela1107[[#This Row],[TRIBUTOS S/ LUCRO]]+Tabela1107[[#This Row],[OUTROS]]+Tabela1107[[#This Row],[RJ]]</f>
        <v>38.74</v>
      </c>
      <c r="BK154" s="97">
        <f>+Tabela1107[[#This Row],[PIS]]+Tabela1107[[#This Row],[COFINS]]+Tabela1107[[#This Row],[CONTRIB. FOLHA]]+Tabela1107[[#This Row],[TRIBUTOS S/ LUCRO]]+Tabela1107[[#This Row],[OUTROS]]+Tabela1107[[#This Row],[MG]]</f>
        <v>37.74</v>
      </c>
      <c r="BL154" s="97">
        <f>+Tabela1107[[#This Row],[PIS]]+Tabela1107[[#This Row],[COFINS]]+Tabela1107[[#This Row],[CONTRIB. FOLHA]]+Tabela1107[[#This Row],[TRIBUTOS S/ LUCRO]]+Tabela1107[[#This Row],[OUTROS]]+Tabela1107[[#This Row],[ES]]</f>
        <v>36.74</v>
      </c>
      <c r="BM154" s="97">
        <f>+Tabela1107[[#This Row],[PIS]]+Tabela1107[[#This Row],[COFINS]]+Tabela1107[[#This Row],[CONTRIB. FOLHA]]+Tabela1107[[#This Row],[TRIBUTOS S/ LUCRO]]+Tabela1107[[#This Row],[OUTROS]]+Tabela1107[[#This Row],[GO]]</f>
        <v>36.74</v>
      </c>
      <c r="BN154" s="97">
        <f>+Tabela1107[[#This Row],[PIS]]+Tabela1107[[#This Row],[COFINS]]+Tabela1107[[#This Row],[CONTRIB. FOLHA]]+Tabela1107[[#This Row],[TRIBUTOS S/ LUCRO]]+Tabela1107[[#This Row],[OUTROS]]+Tabela1107[[#This Row],[MT]]</f>
        <v>36.74</v>
      </c>
      <c r="BO154" s="97">
        <f>+Tabela1107[[#This Row],[PIS]]+Tabela1107[[#This Row],[COFINS]]+Tabela1107[[#This Row],[CONTRIB. FOLHA]]+Tabela1107[[#This Row],[TRIBUTOS S/ LUCRO]]+Tabela1107[[#This Row],[OUTROS]]+Tabela1107[[#This Row],[MS]]</f>
        <v>36.74</v>
      </c>
      <c r="BP154" s="97">
        <f>+Tabela1107[[#This Row],[PIS]]+Tabela1107[[#This Row],[COFINS]]+Tabela1107[[#This Row],[CONTRIB. FOLHA]]+Tabela1107[[#This Row],[TRIBUTOS S/ LUCRO]]+Tabela1107[[#This Row],[OUTROS]]+Tabela1107[[#This Row],[DF]]</f>
        <v>36.74</v>
      </c>
      <c r="BQ154" s="97">
        <f>+Tabela1107[[#This Row],[PIS]]+Tabela1107[[#This Row],[COFINS]]+Tabela1107[[#This Row],[CONTRIB. FOLHA]]+Tabela1107[[#This Row],[TRIBUTOS S/ LUCRO]]+Tabela1107[[#This Row],[OUTROS]]+Tabela1107[[#This Row],[BA]]</f>
        <v>36.74</v>
      </c>
      <c r="BR154" s="97">
        <f>+Tabela1107[[#This Row],[PIS]]+Tabela1107[[#This Row],[COFINS]]+Tabela1107[[#This Row],[CONTRIB. FOLHA]]+Tabela1107[[#This Row],[TRIBUTOS S/ LUCRO]]+Tabela1107[[#This Row],[OUTROS]]+Tabela1107[[#This Row],[BA]]</f>
        <v>36.74</v>
      </c>
      <c r="BS154" s="97">
        <f>+Tabela1107[[#This Row],[PIS]]+Tabela1107[[#This Row],[COFINS]]+Tabela1107[[#This Row],[CONTRIB. FOLHA]]+Tabela1107[[#This Row],[TRIBUTOS S/ LUCRO]]+Tabela1107[[#This Row],[OUTROS]]+Tabela1107[[#This Row],[PE]]</f>
        <v>36.74</v>
      </c>
      <c r="BT154" s="97">
        <f>+Tabela1107[[#This Row],[PIS]]+Tabela1107[[#This Row],[COFINS]]+Tabela1107[[#This Row],[CONTRIB. FOLHA]]+Tabela1107[[#This Row],[TRIBUTOS S/ LUCRO]]+Tabela1107[[#This Row],[OUTROS]]+Tabela1107[[#This Row],[PA]]</f>
        <v>36.74</v>
      </c>
      <c r="BU154" s="97">
        <f>+Tabela1107[[#This Row],[PIS]]+Tabela1107[[#This Row],[COFINS]]+Tabela1107[[#This Row],[CONTRIB. FOLHA]]+Tabela1107[[#This Row],[TRIBUTOS S/ LUCRO]]+Tabela1107[[#This Row],[OUTROS]]+Tabela1107[[#This Row],[AM]]</f>
        <v>36.74</v>
      </c>
      <c r="BV154" s="97">
        <f>AVERAGE(Tabela1107[[#This Row],[TOTAL SP]:[TOTAL AM]])</f>
        <v>36.677500000000002</v>
      </c>
      <c r="BW154" s="97"/>
      <c r="BX154" s="97"/>
    </row>
    <row r="155" spans="2:76" x14ac:dyDescent="0.25">
      <c r="B155" s="89">
        <v>17112</v>
      </c>
      <c r="C155" s="91" t="s">
        <v>13183</v>
      </c>
      <c r="D155" s="89"/>
      <c r="E155" s="89">
        <v>20140626</v>
      </c>
      <c r="F155" s="89" t="s">
        <v>21473</v>
      </c>
      <c r="G155" s="89" t="s">
        <v>21474</v>
      </c>
      <c r="H155" s="89" t="s">
        <v>21475</v>
      </c>
      <c r="I155" s="89" t="s">
        <v>21476</v>
      </c>
      <c r="J155" s="89" t="s">
        <v>390</v>
      </c>
      <c r="K155" s="89"/>
      <c r="L155" s="89" t="s">
        <v>3364</v>
      </c>
      <c r="M155" s="89" t="s">
        <v>2442</v>
      </c>
      <c r="N155" s="89" t="s">
        <v>3169</v>
      </c>
      <c r="O155" s="89" t="s">
        <v>4174</v>
      </c>
      <c r="P155" s="89" t="s">
        <v>4496</v>
      </c>
      <c r="Q155" s="89"/>
      <c r="R155" s="89" t="s">
        <v>64</v>
      </c>
      <c r="S155" s="89" t="s">
        <v>21698</v>
      </c>
      <c r="T155" s="89" t="s">
        <v>21699</v>
      </c>
      <c r="U155" s="89" t="str">
        <f>TRIM('Carga Tributária doenças Po (2'!$L155)</f>
        <v>CIANOCOBALAMINA</v>
      </c>
      <c r="V155" s="89">
        <f>SUMIFS('Tabela Federal'!$E$4:$E$2069,'Tabela Federal'!$D$4:$D$2069,'Carga Tributária doenças Po (2'!$L155)</f>
        <v>7</v>
      </c>
      <c r="W155" s="89">
        <f>SUMIFS('Tabela Federal'!$E$4:$E$2069,'Tabela Federal'!$D$4:$D$2069,'Carga Tributária doenças Po (2'!$M155)</f>
        <v>10</v>
      </c>
      <c r="X155" s="89">
        <f>SUMIFS('Tabela Federal'!$E$4:$E$2069,'Tabela Federal'!$D$4:$D$2069,'Carga Tributária doenças Po (2'!$N155)</f>
        <v>2</v>
      </c>
      <c r="Y155" s="89">
        <f>SUMIFS('Tabela Federal'!$E$4:$E$2069,'Tabela Federal'!$D$4:$D$2069,'Carga Tributária doenças Po (2'!$O155)</f>
        <v>1</v>
      </c>
      <c r="Z155" s="92" t="str">
        <f>VLOOKUP('Carga Tributária doenças Po (2'!$AD155,'Carga Tributária doenças Po (2'!$CA$12:$CC$16,2,0)</f>
        <v>+</v>
      </c>
      <c r="AA155" s="89" t="s">
        <v>391</v>
      </c>
      <c r="AB155" s="89" t="s">
        <v>21876</v>
      </c>
      <c r="AC155" s="89" t="s">
        <v>21721</v>
      </c>
      <c r="AD155" s="93" t="s">
        <v>19445</v>
      </c>
      <c r="AE155" s="92" t="s">
        <v>4</v>
      </c>
      <c r="AF155" s="92" t="s">
        <v>3</v>
      </c>
      <c r="AG155" s="94">
        <v>442031</v>
      </c>
      <c r="AH155" s="95">
        <v>3435626</v>
      </c>
      <c r="AI155" s="95">
        <v>7860163.21</v>
      </c>
      <c r="AJ155" s="89" t="s">
        <v>394</v>
      </c>
      <c r="AK155" s="89">
        <f>IF('Carga Tributária doenças Po (2'!$Z155="+",0,SUMIFS(PISCOFINS!$I$3:$I$10518,PISCOFINS!$C$3:$C$10518,'Carga Tributária doenças Po (2'!$C155))</f>
        <v>0</v>
      </c>
      <c r="AL155" s="89">
        <f>IF('Carga Tributária doenças Po (2'!$Z155="+",0,SUMIFS(PISCOFINS!$H$3:$H$10518,PISCOFINS!$C$3:$C$10518,'Carga Tributária doenças Po (2'!$C155))</f>
        <v>0</v>
      </c>
      <c r="AM155" s="95">
        <v>3.27</v>
      </c>
      <c r="AN155" s="95">
        <v>3.12</v>
      </c>
      <c r="AO155" s="95">
        <v>1.35</v>
      </c>
      <c r="AP155" s="96">
        <v>18</v>
      </c>
      <c r="AQ155" s="96">
        <v>12</v>
      </c>
      <c r="AR155" s="96">
        <v>17</v>
      </c>
      <c r="AS155" s="97">
        <v>17</v>
      </c>
      <c r="AT155" s="97">
        <v>19</v>
      </c>
      <c r="AU155" s="97">
        <v>18</v>
      </c>
      <c r="AV155" s="97">
        <v>17</v>
      </c>
      <c r="AW155" s="97">
        <v>17</v>
      </c>
      <c r="AX155" s="97">
        <v>17</v>
      </c>
      <c r="AY155" s="97">
        <v>17</v>
      </c>
      <c r="AZ155" s="97">
        <v>17</v>
      </c>
      <c r="BA155" s="97">
        <v>17</v>
      </c>
      <c r="BB155" s="97">
        <v>17</v>
      </c>
      <c r="BC155" s="97">
        <v>17</v>
      </c>
      <c r="BD155" s="97">
        <v>17</v>
      </c>
      <c r="BE155" s="97">
        <v>17</v>
      </c>
      <c r="BF155" s="97">
        <f>+Tabela1107[[#This Row],[PIS]]+Tabela1107[[#This Row],[COFINS]]+Tabela1107[[#This Row],[CONTRIB. FOLHA]]+Tabela1107[[#This Row],[TRIBUTOS S/ LUCRO]]+Tabela1107[[#This Row],[OUTROS]]+Tabela1107[[#This Row],[SP]]</f>
        <v>25.740000000000002</v>
      </c>
      <c r="BG155" s="97">
        <f>+Tabela1107[[#This Row],[PIS]]+Tabela1107[[#This Row],[COFINS]]+Tabela1107[[#This Row],[CONTRIB. FOLHA]]+Tabela1107[[#This Row],[TRIBUTOS S/ LUCRO]]+Tabela1107[[#This Row],[OUTROS]]+Tabela1107[[#This Row],[PR]]</f>
        <v>19.740000000000002</v>
      </c>
      <c r="BH155" s="97">
        <f>+Tabela1107[[#This Row],[PIS]]+Tabela1107[[#This Row],[COFINS]]+Tabela1107[[#This Row],[CONTRIB. FOLHA]]+Tabela1107[[#This Row],[TRIBUTOS S/ LUCRO]]+Tabela1107[[#This Row],[OUTROS]]+Tabela1107[[#This Row],[SC]]</f>
        <v>24.740000000000002</v>
      </c>
      <c r="BI155" s="97">
        <f>+Tabela1107[[#This Row],[PIS]]+Tabela1107[[#This Row],[COFINS]]+Tabela1107[[#This Row],[CONTRIB. FOLHA]]+Tabela1107[[#This Row],[TRIBUTOS S/ LUCRO]]+Tabela1107[[#This Row],[OUTROS]]+Tabela1107[[#This Row],[RS]]</f>
        <v>24.740000000000002</v>
      </c>
      <c r="BJ155" s="97">
        <f>+Tabela1107[[#This Row],[PIS]]+Tabela1107[[#This Row],[COFINS]]+Tabela1107[[#This Row],[CONTRIB. FOLHA]]+Tabela1107[[#This Row],[TRIBUTOS S/ LUCRO]]+Tabela1107[[#This Row],[OUTROS]]+Tabela1107[[#This Row],[RJ]]</f>
        <v>26.740000000000002</v>
      </c>
      <c r="BK155" s="97">
        <f>+Tabela1107[[#This Row],[PIS]]+Tabela1107[[#This Row],[COFINS]]+Tabela1107[[#This Row],[CONTRIB. FOLHA]]+Tabela1107[[#This Row],[TRIBUTOS S/ LUCRO]]+Tabela1107[[#This Row],[OUTROS]]+Tabela1107[[#This Row],[MG]]</f>
        <v>25.740000000000002</v>
      </c>
      <c r="BL155" s="97">
        <f>+Tabela1107[[#This Row],[PIS]]+Tabela1107[[#This Row],[COFINS]]+Tabela1107[[#This Row],[CONTRIB. FOLHA]]+Tabela1107[[#This Row],[TRIBUTOS S/ LUCRO]]+Tabela1107[[#This Row],[OUTROS]]+Tabela1107[[#This Row],[ES]]</f>
        <v>24.740000000000002</v>
      </c>
      <c r="BM155" s="97">
        <f>+Tabela1107[[#This Row],[PIS]]+Tabela1107[[#This Row],[COFINS]]+Tabela1107[[#This Row],[CONTRIB. FOLHA]]+Tabela1107[[#This Row],[TRIBUTOS S/ LUCRO]]+Tabela1107[[#This Row],[OUTROS]]+Tabela1107[[#This Row],[GO]]</f>
        <v>24.740000000000002</v>
      </c>
      <c r="BN155" s="97">
        <f>+Tabela1107[[#This Row],[PIS]]+Tabela1107[[#This Row],[COFINS]]+Tabela1107[[#This Row],[CONTRIB. FOLHA]]+Tabela1107[[#This Row],[TRIBUTOS S/ LUCRO]]+Tabela1107[[#This Row],[OUTROS]]+Tabela1107[[#This Row],[MT]]</f>
        <v>24.740000000000002</v>
      </c>
      <c r="BO155" s="97">
        <f>+Tabela1107[[#This Row],[PIS]]+Tabela1107[[#This Row],[COFINS]]+Tabela1107[[#This Row],[CONTRIB. FOLHA]]+Tabela1107[[#This Row],[TRIBUTOS S/ LUCRO]]+Tabela1107[[#This Row],[OUTROS]]+Tabela1107[[#This Row],[MS]]</f>
        <v>24.740000000000002</v>
      </c>
      <c r="BP155" s="97">
        <f>+Tabela1107[[#This Row],[PIS]]+Tabela1107[[#This Row],[COFINS]]+Tabela1107[[#This Row],[CONTRIB. FOLHA]]+Tabela1107[[#This Row],[TRIBUTOS S/ LUCRO]]+Tabela1107[[#This Row],[OUTROS]]+Tabela1107[[#This Row],[DF]]</f>
        <v>24.740000000000002</v>
      </c>
      <c r="BQ155" s="97">
        <f>+Tabela1107[[#This Row],[PIS]]+Tabela1107[[#This Row],[COFINS]]+Tabela1107[[#This Row],[CONTRIB. FOLHA]]+Tabela1107[[#This Row],[TRIBUTOS S/ LUCRO]]+Tabela1107[[#This Row],[OUTROS]]+Tabela1107[[#This Row],[BA]]</f>
        <v>24.740000000000002</v>
      </c>
      <c r="BR155" s="97">
        <f>+Tabela1107[[#This Row],[PIS]]+Tabela1107[[#This Row],[COFINS]]+Tabela1107[[#This Row],[CONTRIB. FOLHA]]+Tabela1107[[#This Row],[TRIBUTOS S/ LUCRO]]+Tabela1107[[#This Row],[OUTROS]]+Tabela1107[[#This Row],[BA]]</f>
        <v>24.740000000000002</v>
      </c>
      <c r="BS155" s="97">
        <f>+Tabela1107[[#This Row],[PIS]]+Tabela1107[[#This Row],[COFINS]]+Tabela1107[[#This Row],[CONTRIB. FOLHA]]+Tabela1107[[#This Row],[TRIBUTOS S/ LUCRO]]+Tabela1107[[#This Row],[OUTROS]]+Tabela1107[[#This Row],[PE]]</f>
        <v>24.740000000000002</v>
      </c>
      <c r="BT155" s="97">
        <f>+Tabela1107[[#This Row],[PIS]]+Tabela1107[[#This Row],[COFINS]]+Tabela1107[[#This Row],[CONTRIB. FOLHA]]+Tabela1107[[#This Row],[TRIBUTOS S/ LUCRO]]+Tabela1107[[#This Row],[OUTROS]]+Tabela1107[[#This Row],[PA]]</f>
        <v>24.740000000000002</v>
      </c>
      <c r="BU155" s="97">
        <f>+Tabela1107[[#This Row],[PIS]]+Tabela1107[[#This Row],[COFINS]]+Tabela1107[[#This Row],[CONTRIB. FOLHA]]+Tabela1107[[#This Row],[TRIBUTOS S/ LUCRO]]+Tabela1107[[#This Row],[OUTROS]]+Tabela1107[[#This Row],[AM]]</f>
        <v>24.740000000000002</v>
      </c>
      <c r="BV155" s="97">
        <f>AVERAGE(Tabela1107[[#This Row],[TOTAL SP]:[TOTAL AM]])</f>
        <v>24.677500000000006</v>
      </c>
      <c r="BW155" s="97"/>
      <c r="BX155" s="97"/>
    </row>
    <row r="156" spans="2:76" x14ac:dyDescent="0.25">
      <c r="B156" s="89">
        <v>3469</v>
      </c>
      <c r="C156" s="91" t="s">
        <v>13120</v>
      </c>
      <c r="D156" s="89"/>
      <c r="E156" s="89">
        <v>20140626</v>
      </c>
      <c r="F156" s="89" t="s">
        <v>20740</v>
      </c>
      <c r="G156" s="89" t="s">
        <v>20741</v>
      </c>
      <c r="H156" s="89" t="s">
        <v>20742</v>
      </c>
      <c r="I156" s="89" t="s">
        <v>20743</v>
      </c>
      <c r="J156" s="89" t="s">
        <v>336</v>
      </c>
      <c r="K156" s="89"/>
      <c r="L156" s="89" t="s">
        <v>2442</v>
      </c>
      <c r="M156" s="89" t="s">
        <v>2655</v>
      </c>
      <c r="N156" s="89" t="s">
        <v>4507</v>
      </c>
      <c r="O156" s="89" t="s">
        <v>4496</v>
      </c>
      <c r="P156" s="89" t="s">
        <v>4496</v>
      </c>
      <c r="Q156" s="89"/>
      <c r="R156" s="89" t="s">
        <v>198</v>
      </c>
      <c r="S156" s="89" t="s">
        <v>21572</v>
      </c>
      <c r="T156" s="89" t="s">
        <v>21573</v>
      </c>
      <c r="U156" s="89" t="str">
        <f>TRIM('Carga Tributária doenças Po (2'!$L156)</f>
        <v>DEXAMETASONA</v>
      </c>
      <c r="V156" s="89">
        <f>SUMIFS('Tabela Federal'!$E$4:$E$2069,'Tabela Federal'!$D$4:$D$2069,'Carga Tributária doenças Po (2'!$L156)</f>
        <v>10</v>
      </c>
      <c r="W156" s="89">
        <f>SUMIFS('Tabela Federal'!$E$4:$E$2069,'Tabela Federal'!$D$4:$D$2069,'Carga Tributária doenças Po (2'!$M156)</f>
        <v>1</v>
      </c>
      <c r="X156" s="89">
        <f>SUMIFS('Tabela Federal'!$E$4:$E$2069,'Tabela Federal'!$D$4:$D$2069,'Carga Tributária doenças Po (2'!$N156)</f>
        <v>0</v>
      </c>
      <c r="Y156" s="89">
        <f>SUMIFS('Tabela Federal'!$E$4:$E$2069,'Tabela Federal'!$D$4:$D$2069,'Carga Tributária doenças Po (2'!$O156)</f>
        <v>0</v>
      </c>
      <c r="Z156" s="92" t="str">
        <f>VLOOKUP('Carga Tributária doenças Po (2'!$AD156,'Carga Tributária doenças Po (2'!$CA$12:$CC$16,2,0)</f>
        <v>-</v>
      </c>
      <c r="AA156" s="89" t="s">
        <v>335</v>
      </c>
      <c r="AB156" s="89" t="s">
        <v>21730</v>
      </c>
      <c r="AC156" s="89" t="s">
        <v>21721</v>
      </c>
      <c r="AD156" s="93" t="s">
        <v>19523</v>
      </c>
      <c r="AE156" s="92" t="s">
        <v>4</v>
      </c>
      <c r="AF156" s="92" t="s">
        <v>3</v>
      </c>
      <c r="AG156" s="94">
        <v>1189457</v>
      </c>
      <c r="AH156" s="95">
        <v>13314597</v>
      </c>
      <c r="AI156" s="95">
        <v>30440907.140000001</v>
      </c>
      <c r="AJ156" s="89" t="s">
        <v>338</v>
      </c>
      <c r="AK156" s="89">
        <f>IF('Carga Tributária doenças Po (2'!$Z156="+",0,SUMIFS(PISCOFINS!$I$3:$I$10518,PISCOFINS!$C$3:$C$10518,'Carga Tributária doenças Po (2'!$C156))</f>
        <v>2.1</v>
      </c>
      <c r="AL156" s="89">
        <f>IF('Carga Tributária doenças Po (2'!$Z156="+",0,SUMIFS(PISCOFINS!$H$3:$H$10518,PISCOFINS!$C$3:$C$10518,'Carga Tributária doenças Po (2'!$C156))</f>
        <v>9.9</v>
      </c>
      <c r="AM156" s="95">
        <v>3.27</v>
      </c>
      <c r="AN156" s="95">
        <v>3.12</v>
      </c>
      <c r="AO156" s="95">
        <v>1.35</v>
      </c>
      <c r="AP156" s="96">
        <v>18</v>
      </c>
      <c r="AQ156" s="96">
        <v>12</v>
      </c>
      <c r="AR156" s="96">
        <v>17</v>
      </c>
      <c r="AS156" s="97">
        <v>17</v>
      </c>
      <c r="AT156" s="97">
        <v>19</v>
      </c>
      <c r="AU156" s="97">
        <v>18</v>
      </c>
      <c r="AV156" s="97">
        <v>17</v>
      </c>
      <c r="AW156" s="97">
        <v>17</v>
      </c>
      <c r="AX156" s="97">
        <v>17</v>
      </c>
      <c r="AY156" s="97">
        <v>17</v>
      </c>
      <c r="AZ156" s="97">
        <v>17</v>
      </c>
      <c r="BA156" s="97">
        <v>17</v>
      </c>
      <c r="BB156" s="97">
        <v>17</v>
      </c>
      <c r="BC156" s="97">
        <v>17</v>
      </c>
      <c r="BD156" s="97">
        <v>17</v>
      </c>
      <c r="BE156" s="97">
        <v>17</v>
      </c>
      <c r="BF156" s="97">
        <f>+Tabela1107[[#This Row],[PIS]]+Tabela1107[[#This Row],[COFINS]]+Tabela1107[[#This Row],[CONTRIB. FOLHA]]+Tabela1107[[#This Row],[TRIBUTOS S/ LUCRO]]+Tabela1107[[#This Row],[OUTROS]]+Tabela1107[[#This Row],[SP]]</f>
        <v>37.74</v>
      </c>
      <c r="BG156" s="97">
        <f>+Tabela1107[[#This Row],[PIS]]+Tabela1107[[#This Row],[COFINS]]+Tabela1107[[#This Row],[CONTRIB. FOLHA]]+Tabela1107[[#This Row],[TRIBUTOS S/ LUCRO]]+Tabela1107[[#This Row],[OUTROS]]+Tabela1107[[#This Row],[PR]]</f>
        <v>31.740000000000002</v>
      </c>
      <c r="BH156" s="97">
        <f>+Tabela1107[[#This Row],[PIS]]+Tabela1107[[#This Row],[COFINS]]+Tabela1107[[#This Row],[CONTRIB. FOLHA]]+Tabela1107[[#This Row],[TRIBUTOS S/ LUCRO]]+Tabela1107[[#This Row],[OUTROS]]+Tabela1107[[#This Row],[SC]]</f>
        <v>36.74</v>
      </c>
      <c r="BI156" s="97">
        <f>+Tabela1107[[#This Row],[PIS]]+Tabela1107[[#This Row],[COFINS]]+Tabela1107[[#This Row],[CONTRIB. FOLHA]]+Tabela1107[[#This Row],[TRIBUTOS S/ LUCRO]]+Tabela1107[[#This Row],[OUTROS]]+Tabela1107[[#This Row],[RS]]</f>
        <v>36.74</v>
      </c>
      <c r="BJ156" s="97">
        <f>+Tabela1107[[#This Row],[PIS]]+Tabela1107[[#This Row],[COFINS]]+Tabela1107[[#This Row],[CONTRIB. FOLHA]]+Tabela1107[[#This Row],[TRIBUTOS S/ LUCRO]]+Tabela1107[[#This Row],[OUTROS]]+Tabela1107[[#This Row],[RJ]]</f>
        <v>38.74</v>
      </c>
      <c r="BK156" s="97">
        <f>+Tabela1107[[#This Row],[PIS]]+Tabela1107[[#This Row],[COFINS]]+Tabela1107[[#This Row],[CONTRIB. FOLHA]]+Tabela1107[[#This Row],[TRIBUTOS S/ LUCRO]]+Tabela1107[[#This Row],[OUTROS]]+Tabela1107[[#This Row],[MG]]</f>
        <v>37.74</v>
      </c>
      <c r="BL156" s="97">
        <f>+Tabela1107[[#This Row],[PIS]]+Tabela1107[[#This Row],[COFINS]]+Tabela1107[[#This Row],[CONTRIB. FOLHA]]+Tabela1107[[#This Row],[TRIBUTOS S/ LUCRO]]+Tabela1107[[#This Row],[OUTROS]]+Tabela1107[[#This Row],[ES]]</f>
        <v>36.74</v>
      </c>
      <c r="BM156" s="97">
        <f>+Tabela1107[[#This Row],[PIS]]+Tabela1107[[#This Row],[COFINS]]+Tabela1107[[#This Row],[CONTRIB. FOLHA]]+Tabela1107[[#This Row],[TRIBUTOS S/ LUCRO]]+Tabela1107[[#This Row],[OUTROS]]+Tabela1107[[#This Row],[GO]]</f>
        <v>36.74</v>
      </c>
      <c r="BN156" s="97">
        <f>+Tabela1107[[#This Row],[PIS]]+Tabela1107[[#This Row],[COFINS]]+Tabela1107[[#This Row],[CONTRIB. FOLHA]]+Tabela1107[[#This Row],[TRIBUTOS S/ LUCRO]]+Tabela1107[[#This Row],[OUTROS]]+Tabela1107[[#This Row],[MT]]</f>
        <v>36.74</v>
      </c>
      <c r="BO156" s="97">
        <f>+Tabela1107[[#This Row],[PIS]]+Tabela1107[[#This Row],[COFINS]]+Tabela1107[[#This Row],[CONTRIB. FOLHA]]+Tabela1107[[#This Row],[TRIBUTOS S/ LUCRO]]+Tabela1107[[#This Row],[OUTROS]]+Tabela1107[[#This Row],[MS]]</f>
        <v>36.74</v>
      </c>
      <c r="BP156" s="97">
        <f>+Tabela1107[[#This Row],[PIS]]+Tabela1107[[#This Row],[COFINS]]+Tabela1107[[#This Row],[CONTRIB. FOLHA]]+Tabela1107[[#This Row],[TRIBUTOS S/ LUCRO]]+Tabela1107[[#This Row],[OUTROS]]+Tabela1107[[#This Row],[DF]]</f>
        <v>36.74</v>
      </c>
      <c r="BQ156" s="97">
        <f>+Tabela1107[[#This Row],[PIS]]+Tabela1107[[#This Row],[COFINS]]+Tabela1107[[#This Row],[CONTRIB. FOLHA]]+Tabela1107[[#This Row],[TRIBUTOS S/ LUCRO]]+Tabela1107[[#This Row],[OUTROS]]+Tabela1107[[#This Row],[BA]]</f>
        <v>36.74</v>
      </c>
      <c r="BR156" s="97">
        <f>+Tabela1107[[#This Row],[PIS]]+Tabela1107[[#This Row],[COFINS]]+Tabela1107[[#This Row],[CONTRIB. FOLHA]]+Tabela1107[[#This Row],[TRIBUTOS S/ LUCRO]]+Tabela1107[[#This Row],[OUTROS]]+Tabela1107[[#This Row],[BA]]</f>
        <v>36.74</v>
      </c>
      <c r="BS156" s="97">
        <f>+Tabela1107[[#This Row],[PIS]]+Tabela1107[[#This Row],[COFINS]]+Tabela1107[[#This Row],[CONTRIB. FOLHA]]+Tabela1107[[#This Row],[TRIBUTOS S/ LUCRO]]+Tabela1107[[#This Row],[OUTROS]]+Tabela1107[[#This Row],[PE]]</f>
        <v>36.74</v>
      </c>
      <c r="BT156" s="97">
        <f>+Tabela1107[[#This Row],[PIS]]+Tabela1107[[#This Row],[COFINS]]+Tabela1107[[#This Row],[CONTRIB. FOLHA]]+Tabela1107[[#This Row],[TRIBUTOS S/ LUCRO]]+Tabela1107[[#This Row],[OUTROS]]+Tabela1107[[#This Row],[PA]]</f>
        <v>36.74</v>
      </c>
      <c r="BU156" s="97">
        <f>+Tabela1107[[#This Row],[PIS]]+Tabela1107[[#This Row],[COFINS]]+Tabela1107[[#This Row],[CONTRIB. FOLHA]]+Tabela1107[[#This Row],[TRIBUTOS S/ LUCRO]]+Tabela1107[[#This Row],[OUTROS]]+Tabela1107[[#This Row],[AM]]</f>
        <v>36.74</v>
      </c>
      <c r="BV156" s="97">
        <f>AVERAGE(Tabela1107[[#This Row],[TOTAL SP]:[TOTAL AM]])</f>
        <v>36.677500000000002</v>
      </c>
      <c r="BW156" s="97"/>
      <c r="BX156" s="97"/>
    </row>
    <row r="157" spans="2:76" x14ac:dyDescent="0.25">
      <c r="B157" s="89">
        <v>7816</v>
      </c>
      <c r="C157" s="91" t="s">
        <v>13183</v>
      </c>
      <c r="D157" s="89"/>
      <c r="E157" s="89">
        <v>20140626</v>
      </c>
      <c r="F157" s="89" t="s">
        <v>21477</v>
      </c>
      <c r="G157" s="89" t="s">
        <v>21478</v>
      </c>
      <c r="H157" s="89" t="s">
        <v>21479</v>
      </c>
      <c r="I157" s="89" t="s">
        <v>21480</v>
      </c>
      <c r="J157" s="89" t="s">
        <v>527</v>
      </c>
      <c r="K157" s="89"/>
      <c r="L157" s="89" t="s">
        <v>4480</v>
      </c>
      <c r="M157" s="89" t="s">
        <v>3170</v>
      </c>
      <c r="N157" s="89" t="s">
        <v>4496</v>
      </c>
      <c r="O157" s="89" t="s">
        <v>4496</v>
      </c>
      <c r="P157" s="89" t="s">
        <v>4496</v>
      </c>
      <c r="Q157" s="89"/>
      <c r="R157" s="89" t="s">
        <v>64</v>
      </c>
      <c r="S157" s="89" t="s">
        <v>21698</v>
      </c>
      <c r="T157" s="89" t="s">
        <v>21699</v>
      </c>
      <c r="U157" s="89" t="str">
        <f>TRIM('Carga Tributária doenças Po (2'!$L157)</f>
        <v>DEXAMETASONAASONA</v>
      </c>
      <c r="V157" s="89">
        <f>SUMIFS('Tabela Federal'!$E$4:$E$2069,'Tabela Federal'!$D$4:$D$2069,'Carga Tributária doenças Po (2'!$L157)</f>
        <v>0</v>
      </c>
      <c r="W157" s="89">
        <f>SUMIFS('Tabela Federal'!$E$4:$E$2069,'Tabela Federal'!$D$4:$D$2069,'Carga Tributária doenças Po (2'!$M157)</f>
        <v>2</v>
      </c>
      <c r="X157" s="89">
        <f>SUMIFS('Tabela Federal'!$E$4:$E$2069,'Tabela Federal'!$D$4:$D$2069,'Carga Tributária doenças Po (2'!$N157)</f>
        <v>0</v>
      </c>
      <c r="Y157" s="89">
        <f>SUMIFS('Tabela Federal'!$E$4:$E$2069,'Tabela Federal'!$D$4:$D$2069,'Carga Tributária doenças Po (2'!$O157)</f>
        <v>0</v>
      </c>
      <c r="Z157" s="92" t="str">
        <f>VLOOKUP('Carga Tributária doenças Po (2'!$AD157,'Carga Tributária doenças Po (2'!$CA$12:$CC$16,2,0)</f>
        <v>+</v>
      </c>
      <c r="AA157" s="89" t="s">
        <v>521</v>
      </c>
      <c r="AB157" s="89" t="s">
        <v>21771</v>
      </c>
      <c r="AC157" s="89" t="s">
        <v>21721</v>
      </c>
      <c r="AD157" s="93" t="s">
        <v>19445</v>
      </c>
      <c r="AE157" s="92" t="s">
        <v>4</v>
      </c>
      <c r="AF157" s="92" t="s">
        <v>3</v>
      </c>
      <c r="AG157" s="94">
        <v>712227</v>
      </c>
      <c r="AH157" s="95">
        <v>1392263</v>
      </c>
      <c r="AI157" s="95">
        <v>3183042.21</v>
      </c>
      <c r="AJ157" s="89" t="s">
        <v>525</v>
      </c>
      <c r="AK157" s="89">
        <f>IF('Carga Tributária doenças Po (2'!$Z157="+",0,SUMIFS(PISCOFINS!$I$3:$I$10518,PISCOFINS!$C$3:$C$10518,'Carga Tributária doenças Po (2'!$C157))</f>
        <v>0</v>
      </c>
      <c r="AL157" s="89">
        <f>IF('Carga Tributária doenças Po (2'!$Z157="+",0,SUMIFS(PISCOFINS!$H$3:$H$10518,PISCOFINS!$C$3:$C$10518,'Carga Tributária doenças Po (2'!$C157))</f>
        <v>0</v>
      </c>
      <c r="AM157" s="95">
        <v>3.27</v>
      </c>
      <c r="AN157" s="95">
        <v>3.12</v>
      </c>
      <c r="AO157" s="95">
        <v>1.35</v>
      </c>
      <c r="AP157" s="96">
        <v>18</v>
      </c>
      <c r="AQ157" s="96">
        <v>12</v>
      </c>
      <c r="AR157" s="96">
        <v>17</v>
      </c>
      <c r="AS157" s="97">
        <v>17</v>
      </c>
      <c r="AT157" s="97">
        <v>19</v>
      </c>
      <c r="AU157" s="97">
        <v>18</v>
      </c>
      <c r="AV157" s="97">
        <v>17</v>
      </c>
      <c r="AW157" s="97">
        <v>17</v>
      </c>
      <c r="AX157" s="97">
        <v>17</v>
      </c>
      <c r="AY157" s="97">
        <v>17</v>
      </c>
      <c r="AZ157" s="97">
        <v>17</v>
      </c>
      <c r="BA157" s="97">
        <v>17</v>
      </c>
      <c r="BB157" s="97">
        <v>17</v>
      </c>
      <c r="BC157" s="97">
        <v>17</v>
      </c>
      <c r="BD157" s="97">
        <v>17</v>
      </c>
      <c r="BE157" s="97">
        <v>17</v>
      </c>
      <c r="BF157" s="97">
        <f>+Tabela1107[[#This Row],[PIS]]+Tabela1107[[#This Row],[COFINS]]+Tabela1107[[#This Row],[CONTRIB. FOLHA]]+Tabela1107[[#This Row],[TRIBUTOS S/ LUCRO]]+Tabela1107[[#This Row],[OUTROS]]+Tabela1107[[#This Row],[SP]]</f>
        <v>25.740000000000002</v>
      </c>
      <c r="BG157" s="97">
        <f>+Tabela1107[[#This Row],[PIS]]+Tabela1107[[#This Row],[COFINS]]+Tabela1107[[#This Row],[CONTRIB. FOLHA]]+Tabela1107[[#This Row],[TRIBUTOS S/ LUCRO]]+Tabela1107[[#This Row],[OUTROS]]+Tabela1107[[#This Row],[PR]]</f>
        <v>19.740000000000002</v>
      </c>
      <c r="BH157" s="97">
        <f>+Tabela1107[[#This Row],[PIS]]+Tabela1107[[#This Row],[COFINS]]+Tabela1107[[#This Row],[CONTRIB. FOLHA]]+Tabela1107[[#This Row],[TRIBUTOS S/ LUCRO]]+Tabela1107[[#This Row],[OUTROS]]+Tabela1107[[#This Row],[SC]]</f>
        <v>24.740000000000002</v>
      </c>
      <c r="BI157" s="97">
        <f>+Tabela1107[[#This Row],[PIS]]+Tabela1107[[#This Row],[COFINS]]+Tabela1107[[#This Row],[CONTRIB. FOLHA]]+Tabela1107[[#This Row],[TRIBUTOS S/ LUCRO]]+Tabela1107[[#This Row],[OUTROS]]+Tabela1107[[#This Row],[RS]]</f>
        <v>24.740000000000002</v>
      </c>
      <c r="BJ157" s="97">
        <f>+Tabela1107[[#This Row],[PIS]]+Tabela1107[[#This Row],[COFINS]]+Tabela1107[[#This Row],[CONTRIB. FOLHA]]+Tabela1107[[#This Row],[TRIBUTOS S/ LUCRO]]+Tabela1107[[#This Row],[OUTROS]]+Tabela1107[[#This Row],[RJ]]</f>
        <v>26.740000000000002</v>
      </c>
      <c r="BK157" s="97">
        <f>+Tabela1107[[#This Row],[PIS]]+Tabela1107[[#This Row],[COFINS]]+Tabela1107[[#This Row],[CONTRIB. FOLHA]]+Tabela1107[[#This Row],[TRIBUTOS S/ LUCRO]]+Tabela1107[[#This Row],[OUTROS]]+Tabela1107[[#This Row],[MG]]</f>
        <v>25.740000000000002</v>
      </c>
      <c r="BL157" s="97">
        <f>+Tabela1107[[#This Row],[PIS]]+Tabela1107[[#This Row],[COFINS]]+Tabela1107[[#This Row],[CONTRIB. FOLHA]]+Tabela1107[[#This Row],[TRIBUTOS S/ LUCRO]]+Tabela1107[[#This Row],[OUTROS]]+Tabela1107[[#This Row],[ES]]</f>
        <v>24.740000000000002</v>
      </c>
      <c r="BM157" s="97">
        <f>+Tabela1107[[#This Row],[PIS]]+Tabela1107[[#This Row],[COFINS]]+Tabela1107[[#This Row],[CONTRIB. FOLHA]]+Tabela1107[[#This Row],[TRIBUTOS S/ LUCRO]]+Tabela1107[[#This Row],[OUTROS]]+Tabela1107[[#This Row],[GO]]</f>
        <v>24.740000000000002</v>
      </c>
      <c r="BN157" s="97">
        <f>+Tabela1107[[#This Row],[PIS]]+Tabela1107[[#This Row],[COFINS]]+Tabela1107[[#This Row],[CONTRIB. FOLHA]]+Tabela1107[[#This Row],[TRIBUTOS S/ LUCRO]]+Tabela1107[[#This Row],[OUTROS]]+Tabela1107[[#This Row],[MT]]</f>
        <v>24.740000000000002</v>
      </c>
      <c r="BO157" s="97">
        <f>+Tabela1107[[#This Row],[PIS]]+Tabela1107[[#This Row],[COFINS]]+Tabela1107[[#This Row],[CONTRIB. FOLHA]]+Tabela1107[[#This Row],[TRIBUTOS S/ LUCRO]]+Tabela1107[[#This Row],[OUTROS]]+Tabela1107[[#This Row],[MS]]</f>
        <v>24.740000000000002</v>
      </c>
      <c r="BP157" s="97">
        <f>+Tabela1107[[#This Row],[PIS]]+Tabela1107[[#This Row],[COFINS]]+Tabela1107[[#This Row],[CONTRIB. FOLHA]]+Tabela1107[[#This Row],[TRIBUTOS S/ LUCRO]]+Tabela1107[[#This Row],[OUTROS]]+Tabela1107[[#This Row],[DF]]</f>
        <v>24.740000000000002</v>
      </c>
      <c r="BQ157" s="97">
        <f>+Tabela1107[[#This Row],[PIS]]+Tabela1107[[#This Row],[COFINS]]+Tabela1107[[#This Row],[CONTRIB. FOLHA]]+Tabela1107[[#This Row],[TRIBUTOS S/ LUCRO]]+Tabela1107[[#This Row],[OUTROS]]+Tabela1107[[#This Row],[BA]]</f>
        <v>24.740000000000002</v>
      </c>
      <c r="BR157" s="97">
        <f>+Tabela1107[[#This Row],[PIS]]+Tabela1107[[#This Row],[COFINS]]+Tabela1107[[#This Row],[CONTRIB. FOLHA]]+Tabela1107[[#This Row],[TRIBUTOS S/ LUCRO]]+Tabela1107[[#This Row],[OUTROS]]+Tabela1107[[#This Row],[BA]]</f>
        <v>24.740000000000002</v>
      </c>
      <c r="BS157" s="97">
        <f>+Tabela1107[[#This Row],[PIS]]+Tabela1107[[#This Row],[COFINS]]+Tabela1107[[#This Row],[CONTRIB. FOLHA]]+Tabela1107[[#This Row],[TRIBUTOS S/ LUCRO]]+Tabela1107[[#This Row],[OUTROS]]+Tabela1107[[#This Row],[PE]]</f>
        <v>24.740000000000002</v>
      </c>
      <c r="BT157" s="97">
        <f>+Tabela1107[[#This Row],[PIS]]+Tabela1107[[#This Row],[COFINS]]+Tabela1107[[#This Row],[CONTRIB. FOLHA]]+Tabela1107[[#This Row],[TRIBUTOS S/ LUCRO]]+Tabela1107[[#This Row],[OUTROS]]+Tabela1107[[#This Row],[PA]]</f>
        <v>24.740000000000002</v>
      </c>
      <c r="BU157" s="97">
        <f>+Tabela1107[[#This Row],[PIS]]+Tabela1107[[#This Row],[COFINS]]+Tabela1107[[#This Row],[CONTRIB. FOLHA]]+Tabela1107[[#This Row],[TRIBUTOS S/ LUCRO]]+Tabela1107[[#This Row],[OUTROS]]+Tabela1107[[#This Row],[AM]]</f>
        <v>24.740000000000002</v>
      </c>
      <c r="BV157" s="97">
        <f>AVERAGE(Tabela1107[[#This Row],[TOTAL SP]:[TOTAL AM]])</f>
        <v>24.677500000000006</v>
      </c>
      <c r="BW157" s="97"/>
      <c r="BX157" s="97"/>
    </row>
    <row r="158" spans="2:76" x14ac:dyDescent="0.25">
      <c r="B158" s="89">
        <v>15577</v>
      </c>
      <c r="C158" s="91" t="s">
        <v>12953</v>
      </c>
      <c r="D158" s="89"/>
      <c r="E158" s="89">
        <v>20140626</v>
      </c>
      <c r="F158" s="89" t="s">
        <v>20567</v>
      </c>
      <c r="G158" s="89" t="s">
        <v>20568</v>
      </c>
      <c r="H158" s="98" t="s">
        <v>21974</v>
      </c>
      <c r="I158" s="89" t="s">
        <v>20569</v>
      </c>
      <c r="J158" s="89" t="s">
        <v>405</v>
      </c>
      <c r="K158" s="89"/>
      <c r="L158" s="89" t="s">
        <v>2638</v>
      </c>
      <c r="M158" s="89" t="s">
        <v>4496</v>
      </c>
      <c r="N158" s="89" t="s">
        <v>4496</v>
      </c>
      <c r="O158" s="89" t="s">
        <v>4496</v>
      </c>
      <c r="P158" s="89" t="s">
        <v>4496</v>
      </c>
      <c r="Q158" s="89"/>
      <c r="R158" s="89" t="s">
        <v>213</v>
      </c>
      <c r="S158" s="89" t="s">
        <v>21606</v>
      </c>
      <c r="T158" s="89" t="s">
        <v>21607</v>
      </c>
      <c r="U158" s="89" t="str">
        <f>TRIM('Carga Tributária doenças Po (2'!$L158)</f>
        <v>LEVONORGESTREL</v>
      </c>
      <c r="V158" s="89">
        <f>SUMIFS('Tabela Federal'!$E$4:$E$2069,'Tabela Federal'!$D$4:$D$2069,'Carga Tributária doenças Po (2'!$L158)</f>
        <v>5</v>
      </c>
      <c r="W158" s="89">
        <f>SUMIFS('Tabela Federal'!$E$4:$E$2069,'Tabela Federal'!$D$4:$D$2069,'Carga Tributária doenças Po (2'!$M158)</f>
        <v>0</v>
      </c>
      <c r="X158" s="89">
        <f>SUMIFS('Tabela Federal'!$E$4:$E$2069,'Tabela Federal'!$D$4:$D$2069,'Carga Tributária doenças Po (2'!$N158)</f>
        <v>0</v>
      </c>
      <c r="Y158" s="89">
        <f>SUMIFS('Tabela Federal'!$E$4:$E$2069,'Tabela Federal'!$D$4:$D$2069,'Carga Tributária doenças Po (2'!$O158)</f>
        <v>0</v>
      </c>
      <c r="Z158" s="92" t="str">
        <f>VLOOKUP('Carga Tributária doenças Po (2'!$AD158,'Carga Tributária doenças Po (2'!$CA$12:$CC$16,2,0)</f>
        <v>+</v>
      </c>
      <c r="AA158" s="89" t="s">
        <v>406</v>
      </c>
      <c r="AB158" s="89" t="s">
        <v>21741</v>
      </c>
      <c r="AC158" s="89" t="s">
        <v>21721</v>
      </c>
      <c r="AD158" s="93" t="s">
        <v>21722</v>
      </c>
      <c r="AE158" s="92" t="s">
        <v>2</v>
      </c>
      <c r="AF158" s="92" t="s">
        <v>3</v>
      </c>
      <c r="AG158" s="94">
        <v>3855860</v>
      </c>
      <c r="AH158" s="95">
        <v>23783709</v>
      </c>
      <c r="AI158" s="95">
        <v>54292749.310000002</v>
      </c>
      <c r="AJ158" s="89" t="s">
        <v>413</v>
      </c>
      <c r="AK158" s="89">
        <f>IF('Carga Tributária doenças Po (2'!$Z158="+",0,SUMIFS(PISCOFINS!$I$3:$I$10518,PISCOFINS!$C$3:$C$10518,'Carga Tributária doenças Po (2'!$C158))</f>
        <v>0</v>
      </c>
      <c r="AL158" s="89">
        <f>IF('Carga Tributária doenças Po (2'!$Z158="+",0,SUMIFS(PISCOFINS!$H$3:$H$10518,PISCOFINS!$C$3:$C$10518,'Carga Tributária doenças Po (2'!$C158))</f>
        <v>0</v>
      </c>
      <c r="AM158" s="95">
        <v>3.27</v>
      </c>
      <c r="AN158" s="95">
        <v>3.12</v>
      </c>
      <c r="AO158" s="95">
        <v>1.35</v>
      </c>
      <c r="AP158" s="96">
        <v>18</v>
      </c>
      <c r="AQ158" s="96">
        <v>12</v>
      </c>
      <c r="AR158" s="96">
        <v>17</v>
      </c>
      <c r="AS158" s="97">
        <v>17</v>
      </c>
      <c r="AT158" s="97">
        <v>19</v>
      </c>
      <c r="AU158" s="97">
        <v>18</v>
      </c>
      <c r="AV158" s="97">
        <v>17</v>
      </c>
      <c r="AW158" s="97">
        <v>17</v>
      </c>
      <c r="AX158" s="97">
        <v>17</v>
      </c>
      <c r="AY158" s="97">
        <v>17</v>
      </c>
      <c r="AZ158" s="97">
        <v>17</v>
      </c>
      <c r="BA158" s="97">
        <v>17</v>
      </c>
      <c r="BB158" s="97">
        <v>17</v>
      </c>
      <c r="BC158" s="97">
        <v>17</v>
      </c>
      <c r="BD158" s="97">
        <v>17</v>
      </c>
      <c r="BE158" s="97">
        <v>17</v>
      </c>
      <c r="BF158" s="97">
        <f>+Tabela1107[[#This Row],[PIS]]+Tabela1107[[#This Row],[COFINS]]+Tabela1107[[#This Row],[CONTRIB. FOLHA]]+Tabela1107[[#This Row],[TRIBUTOS S/ LUCRO]]+Tabela1107[[#This Row],[OUTROS]]+Tabela1107[[#This Row],[SP]]</f>
        <v>25.740000000000002</v>
      </c>
      <c r="BG158" s="97">
        <f>+Tabela1107[[#This Row],[PIS]]+Tabela1107[[#This Row],[COFINS]]+Tabela1107[[#This Row],[CONTRIB. FOLHA]]+Tabela1107[[#This Row],[TRIBUTOS S/ LUCRO]]+Tabela1107[[#This Row],[OUTROS]]+Tabela1107[[#This Row],[PR]]</f>
        <v>19.740000000000002</v>
      </c>
      <c r="BH158" s="97">
        <f>+Tabela1107[[#This Row],[PIS]]+Tabela1107[[#This Row],[COFINS]]+Tabela1107[[#This Row],[CONTRIB. FOLHA]]+Tabela1107[[#This Row],[TRIBUTOS S/ LUCRO]]+Tabela1107[[#This Row],[OUTROS]]+Tabela1107[[#This Row],[SC]]</f>
        <v>24.740000000000002</v>
      </c>
      <c r="BI158" s="97">
        <f>+Tabela1107[[#This Row],[PIS]]+Tabela1107[[#This Row],[COFINS]]+Tabela1107[[#This Row],[CONTRIB. FOLHA]]+Tabela1107[[#This Row],[TRIBUTOS S/ LUCRO]]+Tabela1107[[#This Row],[OUTROS]]+Tabela1107[[#This Row],[RS]]</f>
        <v>24.740000000000002</v>
      </c>
      <c r="BJ158" s="97">
        <f>+Tabela1107[[#This Row],[PIS]]+Tabela1107[[#This Row],[COFINS]]+Tabela1107[[#This Row],[CONTRIB. FOLHA]]+Tabela1107[[#This Row],[TRIBUTOS S/ LUCRO]]+Tabela1107[[#This Row],[OUTROS]]+Tabela1107[[#This Row],[RJ]]</f>
        <v>26.740000000000002</v>
      </c>
      <c r="BK158" s="97">
        <f>+Tabela1107[[#This Row],[PIS]]+Tabela1107[[#This Row],[COFINS]]+Tabela1107[[#This Row],[CONTRIB. FOLHA]]+Tabela1107[[#This Row],[TRIBUTOS S/ LUCRO]]+Tabela1107[[#This Row],[OUTROS]]+Tabela1107[[#This Row],[MG]]</f>
        <v>25.740000000000002</v>
      </c>
      <c r="BL158" s="97">
        <f>+Tabela1107[[#This Row],[PIS]]+Tabela1107[[#This Row],[COFINS]]+Tabela1107[[#This Row],[CONTRIB. FOLHA]]+Tabela1107[[#This Row],[TRIBUTOS S/ LUCRO]]+Tabela1107[[#This Row],[OUTROS]]+Tabela1107[[#This Row],[ES]]</f>
        <v>24.740000000000002</v>
      </c>
      <c r="BM158" s="97">
        <f>+Tabela1107[[#This Row],[PIS]]+Tabela1107[[#This Row],[COFINS]]+Tabela1107[[#This Row],[CONTRIB. FOLHA]]+Tabela1107[[#This Row],[TRIBUTOS S/ LUCRO]]+Tabela1107[[#This Row],[OUTROS]]+Tabela1107[[#This Row],[GO]]</f>
        <v>24.740000000000002</v>
      </c>
      <c r="BN158" s="97">
        <f>+Tabela1107[[#This Row],[PIS]]+Tabela1107[[#This Row],[COFINS]]+Tabela1107[[#This Row],[CONTRIB. FOLHA]]+Tabela1107[[#This Row],[TRIBUTOS S/ LUCRO]]+Tabela1107[[#This Row],[OUTROS]]+Tabela1107[[#This Row],[MT]]</f>
        <v>24.740000000000002</v>
      </c>
      <c r="BO158" s="97">
        <f>+Tabela1107[[#This Row],[PIS]]+Tabela1107[[#This Row],[COFINS]]+Tabela1107[[#This Row],[CONTRIB. FOLHA]]+Tabela1107[[#This Row],[TRIBUTOS S/ LUCRO]]+Tabela1107[[#This Row],[OUTROS]]+Tabela1107[[#This Row],[MS]]</f>
        <v>24.740000000000002</v>
      </c>
      <c r="BP158" s="97">
        <f>+Tabela1107[[#This Row],[PIS]]+Tabela1107[[#This Row],[COFINS]]+Tabela1107[[#This Row],[CONTRIB. FOLHA]]+Tabela1107[[#This Row],[TRIBUTOS S/ LUCRO]]+Tabela1107[[#This Row],[OUTROS]]+Tabela1107[[#This Row],[DF]]</f>
        <v>24.740000000000002</v>
      </c>
      <c r="BQ158" s="97">
        <f>+Tabela1107[[#This Row],[PIS]]+Tabela1107[[#This Row],[COFINS]]+Tabela1107[[#This Row],[CONTRIB. FOLHA]]+Tabela1107[[#This Row],[TRIBUTOS S/ LUCRO]]+Tabela1107[[#This Row],[OUTROS]]+Tabela1107[[#This Row],[BA]]</f>
        <v>24.740000000000002</v>
      </c>
      <c r="BR158" s="97">
        <f>+Tabela1107[[#This Row],[PIS]]+Tabela1107[[#This Row],[COFINS]]+Tabela1107[[#This Row],[CONTRIB. FOLHA]]+Tabela1107[[#This Row],[TRIBUTOS S/ LUCRO]]+Tabela1107[[#This Row],[OUTROS]]+Tabela1107[[#This Row],[BA]]</f>
        <v>24.740000000000002</v>
      </c>
      <c r="BS158" s="97">
        <f>+Tabela1107[[#This Row],[PIS]]+Tabela1107[[#This Row],[COFINS]]+Tabela1107[[#This Row],[CONTRIB. FOLHA]]+Tabela1107[[#This Row],[TRIBUTOS S/ LUCRO]]+Tabela1107[[#This Row],[OUTROS]]+Tabela1107[[#This Row],[PE]]</f>
        <v>24.740000000000002</v>
      </c>
      <c r="BT158" s="97">
        <f>+Tabela1107[[#This Row],[PIS]]+Tabela1107[[#This Row],[COFINS]]+Tabela1107[[#This Row],[CONTRIB. FOLHA]]+Tabela1107[[#This Row],[TRIBUTOS S/ LUCRO]]+Tabela1107[[#This Row],[OUTROS]]+Tabela1107[[#This Row],[PA]]</f>
        <v>24.740000000000002</v>
      </c>
      <c r="BU158" s="97">
        <f>+Tabela1107[[#This Row],[PIS]]+Tabela1107[[#This Row],[COFINS]]+Tabela1107[[#This Row],[CONTRIB. FOLHA]]+Tabela1107[[#This Row],[TRIBUTOS S/ LUCRO]]+Tabela1107[[#This Row],[OUTROS]]+Tabela1107[[#This Row],[AM]]</f>
        <v>24.740000000000002</v>
      </c>
      <c r="BV158" s="97">
        <f>AVERAGE(Tabela1107[[#This Row],[TOTAL SP]:[TOTAL AM]])</f>
        <v>24.677500000000006</v>
      </c>
      <c r="BW158" s="97"/>
      <c r="BX158" s="97"/>
    </row>
    <row r="159" spans="2:76" x14ac:dyDescent="0.25">
      <c r="B159" s="89">
        <v>17655</v>
      </c>
      <c r="C159" s="91" t="s">
        <v>13161</v>
      </c>
      <c r="D159" s="89"/>
      <c r="E159" s="89">
        <v>20140626</v>
      </c>
      <c r="F159" s="89" t="s">
        <v>21318</v>
      </c>
      <c r="G159" s="89" t="s">
        <v>21319</v>
      </c>
      <c r="H159" s="89" t="s">
        <v>21320</v>
      </c>
      <c r="I159" s="89" t="s">
        <v>21321</v>
      </c>
      <c r="J159" s="89" t="s">
        <v>102</v>
      </c>
      <c r="K159" s="89"/>
      <c r="L159" s="89" t="s">
        <v>2651</v>
      </c>
      <c r="M159" s="89" t="s">
        <v>4496</v>
      </c>
      <c r="N159" s="89" t="s">
        <v>4496</v>
      </c>
      <c r="O159" s="89" t="s">
        <v>4496</v>
      </c>
      <c r="P159" s="89" t="s">
        <v>4496</v>
      </c>
      <c r="Q159" s="89"/>
      <c r="R159" s="89" t="s">
        <v>103</v>
      </c>
      <c r="S159" s="89" t="s">
        <v>21690</v>
      </c>
      <c r="T159" s="89" t="s">
        <v>21691</v>
      </c>
      <c r="U159" s="89" t="str">
        <f>TRIM('Carga Tributária doenças Po (2'!$L159)</f>
        <v>CLORIDRATO DE LOPERAMIDA</v>
      </c>
      <c r="V159" s="89">
        <f>SUMIFS('Tabela Federal'!$E$4:$E$2069,'Tabela Federal'!$D$4:$D$2069,'Carga Tributária doenças Po (2'!$L159)</f>
        <v>0</v>
      </c>
      <c r="W159" s="89">
        <f>SUMIFS('Tabela Federal'!$E$4:$E$2069,'Tabela Federal'!$D$4:$D$2069,'Carga Tributária doenças Po (2'!$M159)</f>
        <v>0</v>
      </c>
      <c r="X159" s="89">
        <f>SUMIFS('Tabela Federal'!$E$4:$E$2069,'Tabela Federal'!$D$4:$D$2069,'Carga Tributária doenças Po (2'!$N159)</f>
        <v>0</v>
      </c>
      <c r="Y159" s="89">
        <f>SUMIFS('Tabela Federal'!$E$4:$E$2069,'Tabela Federal'!$D$4:$D$2069,'Carga Tributária doenças Po (2'!$O159)</f>
        <v>0</v>
      </c>
      <c r="Z159" s="92" t="str">
        <f>VLOOKUP('Carga Tributária doenças Po (2'!$AD159,'Carga Tributária doenças Po (2'!$CA$12:$CC$16,2,0)</f>
        <v>-</v>
      </c>
      <c r="AA159" s="89" t="s">
        <v>101</v>
      </c>
      <c r="AB159" s="89" t="s">
        <v>21789</v>
      </c>
      <c r="AC159" s="89" t="s">
        <v>21721</v>
      </c>
      <c r="AD159" s="93" t="s">
        <v>19523</v>
      </c>
      <c r="AE159" s="92" t="s">
        <v>4</v>
      </c>
      <c r="AF159" s="92" t="s">
        <v>3</v>
      </c>
      <c r="AG159" s="94">
        <v>1235551</v>
      </c>
      <c r="AH159" s="95">
        <v>4490895</v>
      </c>
      <c r="AI159" s="95">
        <v>10271031.32</v>
      </c>
      <c r="AJ159" s="89" t="s">
        <v>111</v>
      </c>
      <c r="AK159" s="89">
        <f>IF('Carga Tributária doenças Po (2'!$Z159="+",0,SUMIFS(PISCOFINS!$I$3:$I$10518,PISCOFINS!$C$3:$C$10518,'Carga Tributária doenças Po (2'!$C159))</f>
        <v>2.1</v>
      </c>
      <c r="AL159" s="89">
        <f>IF('Carga Tributária doenças Po (2'!$Z159="+",0,SUMIFS(PISCOFINS!$H$3:$H$10518,PISCOFINS!$C$3:$C$10518,'Carga Tributária doenças Po (2'!$C159))</f>
        <v>9.9</v>
      </c>
      <c r="AM159" s="95">
        <v>3.27</v>
      </c>
      <c r="AN159" s="95">
        <v>3.12</v>
      </c>
      <c r="AO159" s="95">
        <v>1.35</v>
      </c>
      <c r="AP159" s="96">
        <v>18</v>
      </c>
      <c r="AQ159" s="96">
        <v>12</v>
      </c>
      <c r="AR159" s="96">
        <v>17</v>
      </c>
      <c r="AS159" s="97">
        <v>17</v>
      </c>
      <c r="AT159" s="97">
        <v>19</v>
      </c>
      <c r="AU159" s="97">
        <v>18</v>
      </c>
      <c r="AV159" s="97">
        <v>17</v>
      </c>
      <c r="AW159" s="97">
        <v>17</v>
      </c>
      <c r="AX159" s="97">
        <v>17</v>
      </c>
      <c r="AY159" s="97">
        <v>17</v>
      </c>
      <c r="AZ159" s="97">
        <v>17</v>
      </c>
      <c r="BA159" s="97">
        <v>17</v>
      </c>
      <c r="BB159" s="97">
        <v>17</v>
      </c>
      <c r="BC159" s="97">
        <v>17</v>
      </c>
      <c r="BD159" s="97">
        <v>17</v>
      </c>
      <c r="BE159" s="97">
        <v>17</v>
      </c>
      <c r="BF159" s="97">
        <f>+Tabela1107[[#This Row],[PIS]]+Tabela1107[[#This Row],[COFINS]]+Tabela1107[[#This Row],[CONTRIB. FOLHA]]+Tabela1107[[#This Row],[TRIBUTOS S/ LUCRO]]+Tabela1107[[#This Row],[OUTROS]]+Tabela1107[[#This Row],[SP]]</f>
        <v>37.74</v>
      </c>
      <c r="BG159" s="97">
        <f>+Tabela1107[[#This Row],[PIS]]+Tabela1107[[#This Row],[COFINS]]+Tabela1107[[#This Row],[CONTRIB. FOLHA]]+Tabela1107[[#This Row],[TRIBUTOS S/ LUCRO]]+Tabela1107[[#This Row],[OUTROS]]+Tabela1107[[#This Row],[PR]]</f>
        <v>31.740000000000002</v>
      </c>
      <c r="BH159" s="97">
        <f>+Tabela1107[[#This Row],[PIS]]+Tabela1107[[#This Row],[COFINS]]+Tabela1107[[#This Row],[CONTRIB. FOLHA]]+Tabela1107[[#This Row],[TRIBUTOS S/ LUCRO]]+Tabela1107[[#This Row],[OUTROS]]+Tabela1107[[#This Row],[SC]]</f>
        <v>36.74</v>
      </c>
      <c r="BI159" s="97">
        <f>+Tabela1107[[#This Row],[PIS]]+Tabela1107[[#This Row],[COFINS]]+Tabela1107[[#This Row],[CONTRIB. FOLHA]]+Tabela1107[[#This Row],[TRIBUTOS S/ LUCRO]]+Tabela1107[[#This Row],[OUTROS]]+Tabela1107[[#This Row],[RS]]</f>
        <v>36.74</v>
      </c>
      <c r="BJ159" s="97">
        <f>+Tabela1107[[#This Row],[PIS]]+Tabela1107[[#This Row],[COFINS]]+Tabela1107[[#This Row],[CONTRIB. FOLHA]]+Tabela1107[[#This Row],[TRIBUTOS S/ LUCRO]]+Tabela1107[[#This Row],[OUTROS]]+Tabela1107[[#This Row],[RJ]]</f>
        <v>38.74</v>
      </c>
      <c r="BK159" s="97">
        <f>+Tabela1107[[#This Row],[PIS]]+Tabela1107[[#This Row],[COFINS]]+Tabela1107[[#This Row],[CONTRIB. FOLHA]]+Tabela1107[[#This Row],[TRIBUTOS S/ LUCRO]]+Tabela1107[[#This Row],[OUTROS]]+Tabela1107[[#This Row],[MG]]</f>
        <v>37.74</v>
      </c>
      <c r="BL159" s="97">
        <f>+Tabela1107[[#This Row],[PIS]]+Tabela1107[[#This Row],[COFINS]]+Tabela1107[[#This Row],[CONTRIB. FOLHA]]+Tabela1107[[#This Row],[TRIBUTOS S/ LUCRO]]+Tabela1107[[#This Row],[OUTROS]]+Tabela1107[[#This Row],[ES]]</f>
        <v>36.74</v>
      </c>
      <c r="BM159" s="97">
        <f>+Tabela1107[[#This Row],[PIS]]+Tabela1107[[#This Row],[COFINS]]+Tabela1107[[#This Row],[CONTRIB. FOLHA]]+Tabela1107[[#This Row],[TRIBUTOS S/ LUCRO]]+Tabela1107[[#This Row],[OUTROS]]+Tabela1107[[#This Row],[GO]]</f>
        <v>36.74</v>
      </c>
      <c r="BN159" s="97">
        <f>+Tabela1107[[#This Row],[PIS]]+Tabela1107[[#This Row],[COFINS]]+Tabela1107[[#This Row],[CONTRIB. FOLHA]]+Tabela1107[[#This Row],[TRIBUTOS S/ LUCRO]]+Tabela1107[[#This Row],[OUTROS]]+Tabela1107[[#This Row],[MT]]</f>
        <v>36.74</v>
      </c>
      <c r="BO159" s="97">
        <f>+Tabela1107[[#This Row],[PIS]]+Tabela1107[[#This Row],[COFINS]]+Tabela1107[[#This Row],[CONTRIB. FOLHA]]+Tabela1107[[#This Row],[TRIBUTOS S/ LUCRO]]+Tabela1107[[#This Row],[OUTROS]]+Tabela1107[[#This Row],[MS]]</f>
        <v>36.74</v>
      </c>
      <c r="BP159" s="97">
        <f>+Tabela1107[[#This Row],[PIS]]+Tabela1107[[#This Row],[COFINS]]+Tabela1107[[#This Row],[CONTRIB. FOLHA]]+Tabela1107[[#This Row],[TRIBUTOS S/ LUCRO]]+Tabela1107[[#This Row],[OUTROS]]+Tabela1107[[#This Row],[DF]]</f>
        <v>36.74</v>
      </c>
      <c r="BQ159" s="97">
        <f>+Tabela1107[[#This Row],[PIS]]+Tabela1107[[#This Row],[COFINS]]+Tabela1107[[#This Row],[CONTRIB. FOLHA]]+Tabela1107[[#This Row],[TRIBUTOS S/ LUCRO]]+Tabela1107[[#This Row],[OUTROS]]+Tabela1107[[#This Row],[BA]]</f>
        <v>36.74</v>
      </c>
      <c r="BR159" s="97">
        <f>+Tabela1107[[#This Row],[PIS]]+Tabela1107[[#This Row],[COFINS]]+Tabela1107[[#This Row],[CONTRIB. FOLHA]]+Tabela1107[[#This Row],[TRIBUTOS S/ LUCRO]]+Tabela1107[[#This Row],[OUTROS]]+Tabela1107[[#This Row],[BA]]</f>
        <v>36.74</v>
      </c>
      <c r="BS159" s="97">
        <f>+Tabela1107[[#This Row],[PIS]]+Tabela1107[[#This Row],[COFINS]]+Tabela1107[[#This Row],[CONTRIB. FOLHA]]+Tabela1107[[#This Row],[TRIBUTOS S/ LUCRO]]+Tabela1107[[#This Row],[OUTROS]]+Tabela1107[[#This Row],[PE]]</f>
        <v>36.74</v>
      </c>
      <c r="BT159" s="97">
        <f>+Tabela1107[[#This Row],[PIS]]+Tabela1107[[#This Row],[COFINS]]+Tabela1107[[#This Row],[CONTRIB. FOLHA]]+Tabela1107[[#This Row],[TRIBUTOS S/ LUCRO]]+Tabela1107[[#This Row],[OUTROS]]+Tabela1107[[#This Row],[PA]]</f>
        <v>36.74</v>
      </c>
      <c r="BU159" s="97">
        <f>+Tabela1107[[#This Row],[PIS]]+Tabela1107[[#This Row],[COFINS]]+Tabela1107[[#This Row],[CONTRIB. FOLHA]]+Tabela1107[[#This Row],[TRIBUTOS S/ LUCRO]]+Tabela1107[[#This Row],[OUTROS]]+Tabela1107[[#This Row],[AM]]</f>
        <v>36.74</v>
      </c>
      <c r="BV159" s="97">
        <f>AVERAGE(Tabela1107[[#This Row],[TOTAL SP]:[TOTAL AM]])</f>
        <v>36.677500000000002</v>
      </c>
      <c r="BW159" s="97"/>
      <c r="BX159" s="97"/>
    </row>
    <row r="160" spans="2:76" x14ac:dyDescent="0.25">
      <c r="B160" s="89">
        <v>806</v>
      </c>
      <c r="C160" s="91" t="s">
        <v>13140</v>
      </c>
      <c r="D160" s="89"/>
      <c r="E160" s="89">
        <v>20140626</v>
      </c>
      <c r="F160" s="89" t="s">
        <v>21102</v>
      </c>
      <c r="G160" s="89" t="s">
        <v>21103</v>
      </c>
      <c r="H160" s="98" t="s">
        <v>21983</v>
      </c>
      <c r="I160" s="89" t="s">
        <v>21104</v>
      </c>
      <c r="J160" s="89" t="s">
        <v>380</v>
      </c>
      <c r="K160" s="89"/>
      <c r="L160" s="89" t="s">
        <v>2653</v>
      </c>
      <c r="M160" s="89" t="s">
        <v>4496</v>
      </c>
      <c r="N160" s="89" t="s">
        <v>4496</v>
      </c>
      <c r="O160" s="89" t="s">
        <v>4496</v>
      </c>
      <c r="P160" s="89" t="s">
        <v>4496</v>
      </c>
      <c r="Q160" s="89"/>
      <c r="R160" s="89" t="s">
        <v>34</v>
      </c>
      <c r="S160" s="89" t="s">
        <v>21670</v>
      </c>
      <c r="T160" s="89" t="s">
        <v>21671</v>
      </c>
      <c r="U160" s="89" t="str">
        <f>TRIM('Carga Tributária doenças Po (2'!$L160)</f>
        <v>DICLOFENACO DIETILAMONIO</v>
      </c>
      <c r="V160" s="89">
        <f>SUMIFS('Tabela Federal'!$E$4:$E$2069,'Tabela Federal'!$D$4:$D$2069,'Carga Tributária doenças Po (2'!$L160)</f>
        <v>1</v>
      </c>
      <c r="W160" s="89">
        <f>SUMIFS('Tabela Federal'!$E$4:$E$2069,'Tabela Federal'!$D$4:$D$2069,'Carga Tributária doenças Po (2'!$M160)</f>
        <v>0</v>
      </c>
      <c r="X160" s="89">
        <f>SUMIFS('Tabela Federal'!$E$4:$E$2069,'Tabela Federal'!$D$4:$D$2069,'Carga Tributária doenças Po (2'!$N160)</f>
        <v>0</v>
      </c>
      <c r="Y160" s="89">
        <f>SUMIFS('Tabela Federal'!$E$4:$E$2069,'Tabela Federal'!$D$4:$D$2069,'Carga Tributária doenças Po (2'!$O160)</f>
        <v>0</v>
      </c>
      <c r="Z160" s="92" t="str">
        <f>VLOOKUP('Carga Tributária doenças Po (2'!$AD160,'Carga Tributária doenças Po (2'!$CA$12:$CC$16,2,0)</f>
        <v>-</v>
      </c>
      <c r="AA160" s="89" t="s">
        <v>374</v>
      </c>
      <c r="AB160" s="89"/>
      <c r="AC160" s="89" t="s">
        <v>21740</v>
      </c>
      <c r="AD160" s="93" t="s">
        <v>19523</v>
      </c>
      <c r="AE160" s="92" t="s">
        <v>2</v>
      </c>
      <c r="AF160" s="92" t="s">
        <v>10</v>
      </c>
      <c r="AG160" s="94">
        <v>1241951</v>
      </c>
      <c r="AH160" s="95">
        <v>3784870</v>
      </c>
      <c r="AI160" s="95">
        <v>8649668.3100000005</v>
      </c>
      <c r="AJ160" s="89" t="s">
        <v>383</v>
      </c>
      <c r="AK160" s="89">
        <f>IF('Carga Tributária doenças Po (2'!$Z160="+",0,SUMIFS(PISCOFINS!$I$3:$I$10518,PISCOFINS!$C$3:$C$10518,'Carga Tributária doenças Po (2'!$C160))</f>
        <v>2.1</v>
      </c>
      <c r="AL160" s="89">
        <f>IF('Carga Tributária doenças Po (2'!$Z160="+",0,SUMIFS(PISCOFINS!$H$3:$H$10518,PISCOFINS!$C$3:$C$10518,'Carga Tributária doenças Po (2'!$C160))</f>
        <v>9.9</v>
      </c>
      <c r="AM160" s="95">
        <v>3.27</v>
      </c>
      <c r="AN160" s="95">
        <v>3.12</v>
      </c>
      <c r="AO160" s="95">
        <v>1.35</v>
      </c>
      <c r="AP160" s="96">
        <v>18</v>
      </c>
      <c r="AQ160" s="96">
        <v>12</v>
      </c>
      <c r="AR160" s="96">
        <v>17</v>
      </c>
      <c r="AS160" s="97">
        <v>17</v>
      </c>
      <c r="AT160" s="97">
        <v>19</v>
      </c>
      <c r="AU160" s="97">
        <v>12</v>
      </c>
      <c r="AV160" s="97">
        <v>17</v>
      </c>
      <c r="AW160" s="97">
        <v>17</v>
      </c>
      <c r="AX160" s="97">
        <v>17</v>
      </c>
      <c r="AY160" s="97">
        <v>17</v>
      </c>
      <c r="AZ160" s="97">
        <v>17</v>
      </c>
      <c r="BA160" s="97">
        <v>17</v>
      </c>
      <c r="BB160" s="97">
        <v>17</v>
      </c>
      <c r="BC160" s="97">
        <v>17</v>
      </c>
      <c r="BD160" s="97">
        <v>17</v>
      </c>
      <c r="BE160" s="97">
        <v>17</v>
      </c>
      <c r="BF160" s="97">
        <f>+Tabela1107[[#This Row],[PIS]]+Tabela1107[[#This Row],[COFINS]]+Tabela1107[[#This Row],[CONTRIB. FOLHA]]+Tabela1107[[#This Row],[TRIBUTOS S/ LUCRO]]+Tabela1107[[#This Row],[OUTROS]]+Tabela1107[[#This Row],[SP]]</f>
        <v>37.74</v>
      </c>
      <c r="BG160" s="97">
        <f>+Tabela1107[[#This Row],[PIS]]+Tabela1107[[#This Row],[COFINS]]+Tabela1107[[#This Row],[CONTRIB. FOLHA]]+Tabela1107[[#This Row],[TRIBUTOS S/ LUCRO]]+Tabela1107[[#This Row],[OUTROS]]+Tabela1107[[#This Row],[PR]]</f>
        <v>31.740000000000002</v>
      </c>
      <c r="BH160" s="97">
        <f>+Tabela1107[[#This Row],[PIS]]+Tabela1107[[#This Row],[COFINS]]+Tabela1107[[#This Row],[CONTRIB. FOLHA]]+Tabela1107[[#This Row],[TRIBUTOS S/ LUCRO]]+Tabela1107[[#This Row],[OUTROS]]+Tabela1107[[#This Row],[SC]]</f>
        <v>36.74</v>
      </c>
      <c r="BI160" s="97">
        <f>+Tabela1107[[#This Row],[PIS]]+Tabela1107[[#This Row],[COFINS]]+Tabela1107[[#This Row],[CONTRIB. FOLHA]]+Tabela1107[[#This Row],[TRIBUTOS S/ LUCRO]]+Tabela1107[[#This Row],[OUTROS]]+Tabela1107[[#This Row],[RS]]</f>
        <v>36.74</v>
      </c>
      <c r="BJ160" s="97">
        <f>+Tabela1107[[#This Row],[PIS]]+Tabela1107[[#This Row],[COFINS]]+Tabela1107[[#This Row],[CONTRIB. FOLHA]]+Tabela1107[[#This Row],[TRIBUTOS S/ LUCRO]]+Tabela1107[[#This Row],[OUTROS]]+Tabela1107[[#This Row],[RJ]]</f>
        <v>38.74</v>
      </c>
      <c r="BK160" s="97">
        <f>+Tabela1107[[#This Row],[PIS]]+Tabela1107[[#This Row],[COFINS]]+Tabela1107[[#This Row],[CONTRIB. FOLHA]]+Tabela1107[[#This Row],[TRIBUTOS S/ LUCRO]]+Tabela1107[[#This Row],[OUTROS]]+Tabela1107[[#This Row],[MG]]</f>
        <v>31.740000000000002</v>
      </c>
      <c r="BL160" s="97">
        <f>+Tabela1107[[#This Row],[PIS]]+Tabela1107[[#This Row],[COFINS]]+Tabela1107[[#This Row],[CONTRIB. FOLHA]]+Tabela1107[[#This Row],[TRIBUTOS S/ LUCRO]]+Tabela1107[[#This Row],[OUTROS]]+Tabela1107[[#This Row],[ES]]</f>
        <v>36.74</v>
      </c>
      <c r="BM160" s="97">
        <f>+Tabela1107[[#This Row],[PIS]]+Tabela1107[[#This Row],[COFINS]]+Tabela1107[[#This Row],[CONTRIB. FOLHA]]+Tabela1107[[#This Row],[TRIBUTOS S/ LUCRO]]+Tabela1107[[#This Row],[OUTROS]]+Tabela1107[[#This Row],[GO]]</f>
        <v>36.74</v>
      </c>
      <c r="BN160" s="97">
        <f>+Tabela1107[[#This Row],[PIS]]+Tabela1107[[#This Row],[COFINS]]+Tabela1107[[#This Row],[CONTRIB. FOLHA]]+Tabela1107[[#This Row],[TRIBUTOS S/ LUCRO]]+Tabela1107[[#This Row],[OUTROS]]+Tabela1107[[#This Row],[MT]]</f>
        <v>36.74</v>
      </c>
      <c r="BO160" s="97">
        <f>+Tabela1107[[#This Row],[PIS]]+Tabela1107[[#This Row],[COFINS]]+Tabela1107[[#This Row],[CONTRIB. FOLHA]]+Tabela1107[[#This Row],[TRIBUTOS S/ LUCRO]]+Tabela1107[[#This Row],[OUTROS]]+Tabela1107[[#This Row],[MS]]</f>
        <v>36.74</v>
      </c>
      <c r="BP160" s="97">
        <f>+Tabela1107[[#This Row],[PIS]]+Tabela1107[[#This Row],[COFINS]]+Tabela1107[[#This Row],[CONTRIB. FOLHA]]+Tabela1107[[#This Row],[TRIBUTOS S/ LUCRO]]+Tabela1107[[#This Row],[OUTROS]]+Tabela1107[[#This Row],[DF]]</f>
        <v>36.74</v>
      </c>
      <c r="BQ160" s="97">
        <f>+Tabela1107[[#This Row],[PIS]]+Tabela1107[[#This Row],[COFINS]]+Tabela1107[[#This Row],[CONTRIB. FOLHA]]+Tabela1107[[#This Row],[TRIBUTOS S/ LUCRO]]+Tabela1107[[#This Row],[OUTROS]]+Tabela1107[[#This Row],[BA]]</f>
        <v>36.74</v>
      </c>
      <c r="BR160" s="97">
        <f>+Tabela1107[[#This Row],[PIS]]+Tabela1107[[#This Row],[COFINS]]+Tabela1107[[#This Row],[CONTRIB. FOLHA]]+Tabela1107[[#This Row],[TRIBUTOS S/ LUCRO]]+Tabela1107[[#This Row],[OUTROS]]+Tabela1107[[#This Row],[BA]]</f>
        <v>36.74</v>
      </c>
      <c r="BS160" s="97">
        <f>+Tabela1107[[#This Row],[PIS]]+Tabela1107[[#This Row],[COFINS]]+Tabela1107[[#This Row],[CONTRIB. FOLHA]]+Tabela1107[[#This Row],[TRIBUTOS S/ LUCRO]]+Tabela1107[[#This Row],[OUTROS]]+Tabela1107[[#This Row],[PE]]</f>
        <v>36.74</v>
      </c>
      <c r="BT160" s="97">
        <f>+Tabela1107[[#This Row],[PIS]]+Tabela1107[[#This Row],[COFINS]]+Tabela1107[[#This Row],[CONTRIB. FOLHA]]+Tabela1107[[#This Row],[TRIBUTOS S/ LUCRO]]+Tabela1107[[#This Row],[OUTROS]]+Tabela1107[[#This Row],[PA]]</f>
        <v>36.74</v>
      </c>
      <c r="BU160" s="97">
        <f>+Tabela1107[[#This Row],[PIS]]+Tabela1107[[#This Row],[COFINS]]+Tabela1107[[#This Row],[CONTRIB. FOLHA]]+Tabela1107[[#This Row],[TRIBUTOS S/ LUCRO]]+Tabela1107[[#This Row],[OUTROS]]+Tabela1107[[#This Row],[AM]]</f>
        <v>36.74</v>
      </c>
      <c r="BV160" s="97">
        <f>AVERAGE(Tabela1107[[#This Row],[TOTAL SP]:[TOTAL AM]])</f>
        <v>36.302500000000002</v>
      </c>
      <c r="BW160" s="97"/>
      <c r="BX160" s="97"/>
    </row>
    <row r="161" spans="2:76" x14ac:dyDescent="0.25">
      <c r="B161" s="89">
        <v>847</v>
      </c>
      <c r="C161" s="91" t="s">
        <v>13140</v>
      </c>
      <c r="D161" s="89"/>
      <c r="E161" s="89">
        <v>20140626</v>
      </c>
      <c r="F161" s="89" t="s">
        <v>21481</v>
      </c>
      <c r="G161" s="89" t="s">
        <v>21482</v>
      </c>
      <c r="H161" s="89" t="s">
        <v>21483</v>
      </c>
      <c r="I161" s="89" t="s">
        <v>2653</v>
      </c>
      <c r="J161" s="89" t="s">
        <v>380</v>
      </c>
      <c r="K161" s="89"/>
      <c r="L161" s="89" t="s">
        <v>2653</v>
      </c>
      <c r="M161" s="89" t="s">
        <v>4496</v>
      </c>
      <c r="N161" s="89" t="s">
        <v>4496</v>
      </c>
      <c r="O161" s="89" t="s">
        <v>4496</v>
      </c>
      <c r="P161" s="89" t="s">
        <v>4496</v>
      </c>
      <c r="Q161" s="89"/>
      <c r="R161" s="89" t="s">
        <v>64</v>
      </c>
      <c r="S161" s="89" t="s">
        <v>21698</v>
      </c>
      <c r="T161" s="89" t="s">
        <v>21699</v>
      </c>
      <c r="U161" s="89" t="str">
        <f>TRIM('Carga Tributária doenças Po (2'!$L161)</f>
        <v>DICLOFENACO DIETILAMONIO</v>
      </c>
      <c r="V161" s="89">
        <f>SUMIFS('Tabela Federal'!$E$4:$E$2069,'Tabela Federal'!$D$4:$D$2069,'Carga Tributária doenças Po (2'!$L161)</f>
        <v>1</v>
      </c>
      <c r="W161" s="89">
        <f>SUMIFS('Tabela Federal'!$E$4:$E$2069,'Tabela Federal'!$D$4:$D$2069,'Carga Tributária doenças Po (2'!$M161)</f>
        <v>0</v>
      </c>
      <c r="X161" s="89">
        <f>SUMIFS('Tabela Federal'!$E$4:$E$2069,'Tabela Federal'!$D$4:$D$2069,'Carga Tributária doenças Po (2'!$N161)</f>
        <v>0</v>
      </c>
      <c r="Y161" s="89">
        <f>SUMIFS('Tabela Federal'!$E$4:$E$2069,'Tabela Federal'!$D$4:$D$2069,'Carga Tributária doenças Po (2'!$O161)</f>
        <v>0</v>
      </c>
      <c r="Z161" s="92" t="str">
        <f>VLOOKUP('Carga Tributária doenças Po (2'!$AD161,'Carga Tributária doenças Po (2'!$CA$12:$CC$16,2,0)</f>
        <v>-</v>
      </c>
      <c r="AA161" s="89" t="s">
        <v>374</v>
      </c>
      <c r="AB161" s="89" t="s">
        <v>21866</v>
      </c>
      <c r="AC161" s="89" t="s">
        <v>21740</v>
      </c>
      <c r="AD161" s="93" t="s">
        <v>19523</v>
      </c>
      <c r="AE161" s="92" t="s">
        <v>2</v>
      </c>
      <c r="AF161" s="92" t="s">
        <v>10</v>
      </c>
      <c r="AG161" s="94">
        <v>1424727</v>
      </c>
      <c r="AH161" s="95">
        <v>4781353</v>
      </c>
      <c r="AI161" s="95">
        <v>10892223.91</v>
      </c>
      <c r="AJ161" s="89" t="s">
        <v>383</v>
      </c>
      <c r="AK161" s="89">
        <f>IF('Carga Tributária doenças Po (2'!$Z161="+",0,SUMIFS(PISCOFINS!$I$3:$I$10518,PISCOFINS!$C$3:$C$10518,'Carga Tributária doenças Po (2'!$C161))</f>
        <v>2.1</v>
      </c>
      <c r="AL161" s="89">
        <f>IF('Carga Tributária doenças Po (2'!$Z161="+",0,SUMIFS(PISCOFINS!$H$3:$H$10518,PISCOFINS!$C$3:$C$10518,'Carga Tributária doenças Po (2'!$C161))</f>
        <v>9.9</v>
      </c>
      <c r="AM161" s="95">
        <v>3.27</v>
      </c>
      <c r="AN161" s="95">
        <v>3.12</v>
      </c>
      <c r="AO161" s="95">
        <v>1.35</v>
      </c>
      <c r="AP161" s="96">
        <v>18</v>
      </c>
      <c r="AQ161" s="96">
        <v>12</v>
      </c>
      <c r="AR161" s="96">
        <v>17</v>
      </c>
      <c r="AS161" s="97">
        <v>17</v>
      </c>
      <c r="AT161" s="97">
        <v>19</v>
      </c>
      <c r="AU161" s="97">
        <v>12</v>
      </c>
      <c r="AV161" s="97">
        <v>17</v>
      </c>
      <c r="AW161" s="97">
        <v>17</v>
      </c>
      <c r="AX161" s="97">
        <v>17</v>
      </c>
      <c r="AY161" s="97">
        <v>17</v>
      </c>
      <c r="AZ161" s="97">
        <v>17</v>
      </c>
      <c r="BA161" s="97">
        <v>17</v>
      </c>
      <c r="BB161" s="97">
        <v>17</v>
      </c>
      <c r="BC161" s="97">
        <v>17</v>
      </c>
      <c r="BD161" s="97">
        <v>17</v>
      </c>
      <c r="BE161" s="97">
        <v>17</v>
      </c>
      <c r="BF161" s="97">
        <f>+Tabela1107[[#This Row],[PIS]]+Tabela1107[[#This Row],[COFINS]]+Tabela1107[[#This Row],[CONTRIB. FOLHA]]+Tabela1107[[#This Row],[TRIBUTOS S/ LUCRO]]+Tabela1107[[#This Row],[OUTROS]]+Tabela1107[[#This Row],[SP]]</f>
        <v>37.74</v>
      </c>
      <c r="BG161" s="97">
        <f>+Tabela1107[[#This Row],[PIS]]+Tabela1107[[#This Row],[COFINS]]+Tabela1107[[#This Row],[CONTRIB. FOLHA]]+Tabela1107[[#This Row],[TRIBUTOS S/ LUCRO]]+Tabela1107[[#This Row],[OUTROS]]+Tabela1107[[#This Row],[PR]]</f>
        <v>31.740000000000002</v>
      </c>
      <c r="BH161" s="97">
        <f>+Tabela1107[[#This Row],[PIS]]+Tabela1107[[#This Row],[COFINS]]+Tabela1107[[#This Row],[CONTRIB. FOLHA]]+Tabela1107[[#This Row],[TRIBUTOS S/ LUCRO]]+Tabela1107[[#This Row],[OUTROS]]+Tabela1107[[#This Row],[SC]]</f>
        <v>36.74</v>
      </c>
      <c r="BI161" s="97">
        <f>+Tabela1107[[#This Row],[PIS]]+Tabela1107[[#This Row],[COFINS]]+Tabela1107[[#This Row],[CONTRIB. FOLHA]]+Tabela1107[[#This Row],[TRIBUTOS S/ LUCRO]]+Tabela1107[[#This Row],[OUTROS]]+Tabela1107[[#This Row],[RS]]</f>
        <v>36.74</v>
      </c>
      <c r="BJ161" s="97">
        <f>+Tabela1107[[#This Row],[PIS]]+Tabela1107[[#This Row],[COFINS]]+Tabela1107[[#This Row],[CONTRIB. FOLHA]]+Tabela1107[[#This Row],[TRIBUTOS S/ LUCRO]]+Tabela1107[[#This Row],[OUTROS]]+Tabela1107[[#This Row],[RJ]]</f>
        <v>38.74</v>
      </c>
      <c r="BK161" s="97">
        <f>+Tabela1107[[#This Row],[PIS]]+Tabela1107[[#This Row],[COFINS]]+Tabela1107[[#This Row],[CONTRIB. FOLHA]]+Tabela1107[[#This Row],[TRIBUTOS S/ LUCRO]]+Tabela1107[[#This Row],[OUTROS]]+Tabela1107[[#This Row],[MG]]</f>
        <v>31.740000000000002</v>
      </c>
      <c r="BL161" s="97">
        <f>+Tabela1107[[#This Row],[PIS]]+Tabela1107[[#This Row],[COFINS]]+Tabela1107[[#This Row],[CONTRIB. FOLHA]]+Tabela1107[[#This Row],[TRIBUTOS S/ LUCRO]]+Tabela1107[[#This Row],[OUTROS]]+Tabela1107[[#This Row],[ES]]</f>
        <v>36.74</v>
      </c>
      <c r="BM161" s="97">
        <f>+Tabela1107[[#This Row],[PIS]]+Tabela1107[[#This Row],[COFINS]]+Tabela1107[[#This Row],[CONTRIB. FOLHA]]+Tabela1107[[#This Row],[TRIBUTOS S/ LUCRO]]+Tabela1107[[#This Row],[OUTROS]]+Tabela1107[[#This Row],[GO]]</f>
        <v>36.74</v>
      </c>
      <c r="BN161" s="97">
        <f>+Tabela1107[[#This Row],[PIS]]+Tabela1107[[#This Row],[COFINS]]+Tabela1107[[#This Row],[CONTRIB. FOLHA]]+Tabela1107[[#This Row],[TRIBUTOS S/ LUCRO]]+Tabela1107[[#This Row],[OUTROS]]+Tabela1107[[#This Row],[MT]]</f>
        <v>36.74</v>
      </c>
      <c r="BO161" s="97">
        <f>+Tabela1107[[#This Row],[PIS]]+Tabela1107[[#This Row],[COFINS]]+Tabela1107[[#This Row],[CONTRIB. FOLHA]]+Tabela1107[[#This Row],[TRIBUTOS S/ LUCRO]]+Tabela1107[[#This Row],[OUTROS]]+Tabela1107[[#This Row],[MS]]</f>
        <v>36.74</v>
      </c>
      <c r="BP161" s="97">
        <f>+Tabela1107[[#This Row],[PIS]]+Tabela1107[[#This Row],[COFINS]]+Tabela1107[[#This Row],[CONTRIB. FOLHA]]+Tabela1107[[#This Row],[TRIBUTOS S/ LUCRO]]+Tabela1107[[#This Row],[OUTROS]]+Tabela1107[[#This Row],[DF]]</f>
        <v>36.74</v>
      </c>
      <c r="BQ161" s="97">
        <f>+Tabela1107[[#This Row],[PIS]]+Tabela1107[[#This Row],[COFINS]]+Tabela1107[[#This Row],[CONTRIB. FOLHA]]+Tabela1107[[#This Row],[TRIBUTOS S/ LUCRO]]+Tabela1107[[#This Row],[OUTROS]]+Tabela1107[[#This Row],[BA]]</f>
        <v>36.74</v>
      </c>
      <c r="BR161" s="97">
        <f>+Tabela1107[[#This Row],[PIS]]+Tabela1107[[#This Row],[COFINS]]+Tabela1107[[#This Row],[CONTRIB. FOLHA]]+Tabela1107[[#This Row],[TRIBUTOS S/ LUCRO]]+Tabela1107[[#This Row],[OUTROS]]+Tabela1107[[#This Row],[BA]]</f>
        <v>36.74</v>
      </c>
      <c r="BS161" s="97">
        <f>+Tabela1107[[#This Row],[PIS]]+Tabela1107[[#This Row],[COFINS]]+Tabela1107[[#This Row],[CONTRIB. FOLHA]]+Tabela1107[[#This Row],[TRIBUTOS S/ LUCRO]]+Tabela1107[[#This Row],[OUTROS]]+Tabela1107[[#This Row],[PE]]</f>
        <v>36.74</v>
      </c>
      <c r="BT161" s="97">
        <f>+Tabela1107[[#This Row],[PIS]]+Tabela1107[[#This Row],[COFINS]]+Tabela1107[[#This Row],[CONTRIB. FOLHA]]+Tabela1107[[#This Row],[TRIBUTOS S/ LUCRO]]+Tabela1107[[#This Row],[OUTROS]]+Tabela1107[[#This Row],[PA]]</f>
        <v>36.74</v>
      </c>
      <c r="BU161" s="97">
        <f>+Tabela1107[[#This Row],[PIS]]+Tabela1107[[#This Row],[COFINS]]+Tabela1107[[#This Row],[CONTRIB. FOLHA]]+Tabela1107[[#This Row],[TRIBUTOS S/ LUCRO]]+Tabela1107[[#This Row],[OUTROS]]+Tabela1107[[#This Row],[AM]]</f>
        <v>36.74</v>
      </c>
      <c r="BV161" s="97">
        <f>AVERAGE(Tabela1107[[#This Row],[TOTAL SP]:[TOTAL AM]])</f>
        <v>36.302500000000002</v>
      </c>
      <c r="BW161" s="97"/>
      <c r="BX161" s="97"/>
    </row>
    <row r="162" spans="2:76" x14ac:dyDescent="0.25">
      <c r="B162" s="89">
        <v>856</v>
      </c>
      <c r="C162" s="91" t="s">
        <v>13140</v>
      </c>
      <c r="D162" s="89"/>
      <c r="E162" s="89">
        <v>20140626</v>
      </c>
      <c r="F162" s="89" t="s">
        <v>21001</v>
      </c>
      <c r="G162" s="89" t="s">
        <v>21002</v>
      </c>
      <c r="H162" s="89" t="s">
        <v>21003</v>
      </c>
      <c r="I162" s="89" t="s">
        <v>21004</v>
      </c>
      <c r="J162" s="89" t="s">
        <v>379</v>
      </c>
      <c r="K162" s="89"/>
      <c r="L162" s="89" t="s">
        <v>2653</v>
      </c>
      <c r="M162" s="89" t="s">
        <v>4496</v>
      </c>
      <c r="N162" s="89" t="s">
        <v>4496</v>
      </c>
      <c r="O162" s="89" t="s">
        <v>4496</v>
      </c>
      <c r="P162" s="89" t="s">
        <v>4496</v>
      </c>
      <c r="Q162" s="89"/>
      <c r="R162" s="89" t="s">
        <v>52</v>
      </c>
      <c r="S162" s="89" t="s">
        <v>21652</v>
      </c>
      <c r="T162" s="89" t="s">
        <v>21653</v>
      </c>
      <c r="U162" s="89" t="str">
        <f>TRIM('Carga Tributária doenças Po (2'!$L162)</f>
        <v>DICLOFENACO DIETILAMONIO</v>
      </c>
      <c r="V162" s="89">
        <f>SUMIFS('Tabela Federal'!$E$4:$E$2069,'Tabela Federal'!$D$4:$D$2069,'Carga Tributária doenças Po (2'!$L162)</f>
        <v>1</v>
      </c>
      <c r="W162" s="89">
        <f>SUMIFS('Tabela Federal'!$E$4:$E$2069,'Tabela Federal'!$D$4:$D$2069,'Carga Tributária doenças Po (2'!$M162)</f>
        <v>0</v>
      </c>
      <c r="X162" s="89">
        <f>SUMIFS('Tabela Federal'!$E$4:$E$2069,'Tabela Federal'!$D$4:$D$2069,'Carga Tributária doenças Po (2'!$N162)</f>
        <v>0</v>
      </c>
      <c r="Y162" s="89">
        <f>SUMIFS('Tabela Federal'!$E$4:$E$2069,'Tabela Federal'!$D$4:$D$2069,'Carga Tributária doenças Po (2'!$O162)</f>
        <v>0</v>
      </c>
      <c r="Z162" s="92" t="str">
        <f>VLOOKUP('Carga Tributária doenças Po (2'!$AD162,'Carga Tributária doenças Po (2'!$CA$12:$CC$16,2,0)</f>
        <v>-</v>
      </c>
      <c r="AA162" s="89" t="s">
        <v>374</v>
      </c>
      <c r="AB162" s="89" t="s">
        <v>21866</v>
      </c>
      <c r="AC162" s="89" t="s">
        <v>21740</v>
      </c>
      <c r="AD162" s="93" t="s">
        <v>19523</v>
      </c>
      <c r="AE162" s="92" t="s">
        <v>2</v>
      </c>
      <c r="AF162" s="92" t="s">
        <v>10</v>
      </c>
      <c r="AG162" s="94">
        <v>1576041</v>
      </c>
      <c r="AH162" s="95">
        <v>6503537</v>
      </c>
      <c r="AI162" s="95">
        <v>14838761.619999999</v>
      </c>
      <c r="AJ162" s="89" t="s">
        <v>383</v>
      </c>
      <c r="AK162" s="89">
        <f>IF('Carga Tributária doenças Po (2'!$Z162="+",0,SUMIFS(PISCOFINS!$I$3:$I$10518,PISCOFINS!$C$3:$C$10518,'Carga Tributária doenças Po (2'!$C162))</f>
        <v>2.1</v>
      </c>
      <c r="AL162" s="89">
        <f>IF('Carga Tributária doenças Po (2'!$Z162="+",0,SUMIFS(PISCOFINS!$H$3:$H$10518,PISCOFINS!$C$3:$C$10518,'Carga Tributária doenças Po (2'!$C162))</f>
        <v>9.9</v>
      </c>
      <c r="AM162" s="95">
        <v>3.27</v>
      </c>
      <c r="AN162" s="95">
        <v>3.12</v>
      </c>
      <c r="AO162" s="95">
        <v>1.35</v>
      </c>
      <c r="AP162" s="96">
        <v>18</v>
      </c>
      <c r="AQ162" s="96">
        <v>12</v>
      </c>
      <c r="AR162" s="96">
        <v>17</v>
      </c>
      <c r="AS162" s="97">
        <v>17</v>
      </c>
      <c r="AT162" s="97">
        <v>19</v>
      </c>
      <c r="AU162" s="97">
        <v>12</v>
      </c>
      <c r="AV162" s="97">
        <v>17</v>
      </c>
      <c r="AW162" s="97">
        <v>17</v>
      </c>
      <c r="AX162" s="97">
        <v>17</v>
      </c>
      <c r="AY162" s="97">
        <v>17</v>
      </c>
      <c r="AZ162" s="97">
        <v>17</v>
      </c>
      <c r="BA162" s="97">
        <v>17</v>
      </c>
      <c r="BB162" s="97">
        <v>17</v>
      </c>
      <c r="BC162" s="97">
        <v>17</v>
      </c>
      <c r="BD162" s="97">
        <v>17</v>
      </c>
      <c r="BE162" s="97">
        <v>17</v>
      </c>
      <c r="BF162" s="97">
        <f>+Tabela1107[[#This Row],[PIS]]+Tabela1107[[#This Row],[COFINS]]+Tabela1107[[#This Row],[CONTRIB. FOLHA]]+Tabela1107[[#This Row],[TRIBUTOS S/ LUCRO]]+Tabela1107[[#This Row],[OUTROS]]+Tabela1107[[#This Row],[SP]]</f>
        <v>37.74</v>
      </c>
      <c r="BG162" s="97">
        <f>+Tabela1107[[#This Row],[PIS]]+Tabela1107[[#This Row],[COFINS]]+Tabela1107[[#This Row],[CONTRIB. FOLHA]]+Tabela1107[[#This Row],[TRIBUTOS S/ LUCRO]]+Tabela1107[[#This Row],[OUTROS]]+Tabela1107[[#This Row],[PR]]</f>
        <v>31.740000000000002</v>
      </c>
      <c r="BH162" s="97">
        <f>+Tabela1107[[#This Row],[PIS]]+Tabela1107[[#This Row],[COFINS]]+Tabela1107[[#This Row],[CONTRIB. FOLHA]]+Tabela1107[[#This Row],[TRIBUTOS S/ LUCRO]]+Tabela1107[[#This Row],[OUTROS]]+Tabela1107[[#This Row],[SC]]</f>
        <v>36.74</v>
      </c>
      <c r="BI162" s="97">
        <f>+Tabela1107[[#This Row],[PIS]]+Tabela1107[[#This Row],[COFINS]]+Tabela1107[[#This Row],[CONTRIB. FOLHA]]+Tabela1107[[#This Row],[TRIBUTOS S/ LUCRO]]+Tabela1107[[#This Row],[OUTROS]]+Tabela1107[[#This Row],[RS]]</f>
        <v>36.74</v>
      </c>
      <c r="BJ162" s="97">
        <f>+Tabela1107[[#This Row],[PIS]]+Tabela1107[[#This Row],[COFINS]]+Tabela1107[[#This Row],[CONTRIB. FOLHA]]+Tabela1107[[#This Row],[TRIBUTOS S/ LUCRO]]+Tabela1107[[#This Row],[OUTROS]]+Tabela1107[[#This Row],[RJ]]</f>
        <v>38.74</v>
      </c>
      <c r="BK162" s="97">
        <f>+Tabela1107[[#This Row],[PIS]]+Tabela1107[[#This Row],[COFINS]]+Tabela1107[[#This Row],[CONTRIB. FOLHA]]+Tabela1107[[#This Row],[TRIBUTOS S/ LUCRO]]+Tabela1107[[#This Row],[OUTROS]]+Tabela1107[[#This Row],[MG]]</f>
        <v>31.740000000000002</v>
      </c>
      <c r="BL162" s="97">
        <f>+Tabela1107[[#This Row],[PIS]]+Tabela1107[[#This Row],[COFINS]]+Tabela1107[[#This Row],[CONTRIB. FOLHA]]+Tabela1107[[#This Row],[TRIBUTOS S/ LUCRO]]+Tabela1107[[#This Row],[OUTROS]]+Tabela1107[[#This Row],[ES]]</f>
        <v>36.74</v>
      </c>
      <c r="BM162" s="97">
        <f>+Tabela1107[[#This Row],[PIS]]+Tabela1107[[#This Row],[COFINS]]+Tabela1107[[#This Row],[CONTRIB. FOLHA]]+Tabela1107[[#This Row],[TRIBUTOS S/ LUCRO]]+Tabela1107[[#This Row],[OUTROS]]+Tabela1107[[#This Row],[GO]]</f>
        <v>36.74</v>
      </c>
      <c r="BN162" s="97">
        <f>+Tabela1107[[#This Row],[PIS]]+Tabela1107[[#This Row],[COFINS]]+Tabela1107[[#This Row],[CONTRIB. FOLHA]]+Tabela1107[[#This Row],[TRIBUTOS S/ LUCRO]]+Tabela1107[[#This Row],[OUTROS]]+Tabela1107[[#This Row],[MT]]</f>
        <v>36.74</v>
      </c>
      <c r="BO162" s="97">
        <f>+Tabela1107[[#This Row],[PIS]]+Tabela1107[[#This Row],[COFINS]]+Tabela1107[[#This Row],[CONTRIB. FOLHA]]+Tabela1107[[#This Row],[TRIBUTOS S/ LUCRO]]+Tabela1107[[#This Row],[OUTROS]]+Tabela1107[[#This Row],[MS]]</f>
        <v>36.74</v>
      </c>
      <c r="BP162" s="97">
        <f>+Tabela1107[[#This Row],[PIS]]+Tabela1107[[#This Row],[COFINS]]+Tabela1107[[#This Row],[CONTRIB. FOLHA]]+Tabela1107[[#This Row],[TRIBUTOS S/ LUCRO]]+Tabela1107[[#This Row],[OUTROS]]+Tabela1107[[#This Row],[DF]]</f>
        <v>36.74</v>
      </c>
      <c r="BQ162" s="97">
        <f>+Tabela1107[[#This Row],[PIS]]+Tabela1107[[#This Row],[COFINS]]+Tabela1107[[#This Row],[CONTRIB. FOLHA]]+Tabela1107[[#This Row],[TRIBUTOS S/ LUCRO]]+Tabela1107[[#This Row],[OUTROS]]+Tabela1107[[#This Row],[BA]]</f>
        <v>36.74</v>
      </c>
      <c r="BR162" s="97">
        <f>+Tabela1107[[#This Row],[PIS]]+Tabela1107[[#This Row],[COFINS]]+Tabela1107[[#This Row],[CONTRIB. FOLHA]]+Tabela1107[[#This Row],[TRIBUTOS S/ LUCRO]]+Tabela1107[[#This Row],[OUTROS]]+Tabela1107[[#This Row],[BA]]</f>
        <v>36.74</v>
      </c>
      <c r="BS162" s="97">
        <f>+Tabela1107[[#This Row],[PIS]]+Tabela1107[[#This Row],[COFINS]]+Tabela1107[[#This Row],[CONTRIB. FOLHA]]+Tabela1107[[#This Row],[TRIBUTOS S/ LUCRO]]+Tabela1107[[#This Row],[OUTROS]]+Tabela1107[[#This Row],[PE]]</f>
        <v>36.74</v>
      </c>
      <c r="BT162" s="97">
        <f>+Tabela1107[[#This Row],[PIS]]+Tabela1107[[#This Row],[COFINS]]+Tabela1107[[#This Row],[CONTRIB. FOLHA]]+Tabela1107[[#This Row],[TRIBUTOS S/ LUCRO]]+Tabela1107[[#This Row],[OUTROS]]+Tabela1107[[#This Row],[PA]]</f>
        <v>36.74</v>
      </c>
      <c r="BU162" s="97">
        <f>+Tabela1107[[#This Row],[PIS]]+Tabela1107[[#This Row],[COFINS]]+Tabela1107[[#This Row],[CONTRIB. FOLHA]]+Tabela1107[[#This Row],[TRIBUTOS S/ LUCRO]]+Tabela1107[[#This Row],[OUTROS]]+Tabela1107[[#This Row],[AM]]</f>
        <v>36.74</v>
      </c>
      <c r="BV162" s="97">
        <f>AVERAGE(Tabela1107[[#This Row],[TOTAL SP]:[TOTAL AM]])</f>
        <v>36.302500000000002</v>
      </c>
      <c r="BW162" s="97"/>
      <c r="BX162" s="97"/>
    </row>
    <row r="163" spans="2:76" x14ac:dyDescent="0.25">
      <c r="B163" s="89">
        <v>1047</v>
      </c>
      <c r="C163" s="91" t="s">
        <v>13168</v>
      </c>
      <c r="D163" s="89"/>
      <c r="E163" s="89">
        <v>20140626</v>
      </c>
      <c r="F163" s="89" t="s">
        <v>20295</v>
      </c>
      <c r="G163" s="89" t="s">
        <v>20296</v>
      </c>
      <c r="H163" s="89" t="s">
        <v>20297</v>
      </c>
      <c r="I163" s="89" t="s">
        <v>20298</v>
      </c>
      <c r="J163" s="89" t="s">
        <v>366</v>
      </c>
      <c r="K163" s="89"/>
      <c r="L163" s="89" t="s">
        <v>4656</v>
      </c>
      <c r="M163" s="89" t="s">
        <v>4496</v>
      </c>
      <c r="N163" s="89" t="s">
        <v>4496</v>
      </c>
      <c r="O163" s="89" t="s">
        <v>4496</v>
      </c>
      <c r="P163" s="89" t="s">
        <v>4496</v>
      </c>
      <c r="Q163" s="89"/>
      <c r="R163" s="89" t="s">
        <v>1</v>
      </c>
      <c r="S163" s="89" t="s">
        <v>21568</v>
      </c>
      <c r="T163" s="89" t="s">
        <v>21569</v>
      </c>
      <c r="U163" s="89" t="str">
        <f>TRIM('Carga Tributária doenças Po (2'!$L163)</f>
        <v>DICLORATO DE BETAISTINA</v>
      </c>
      <c r="V163" s="89">
        <f>SUMIFS('Tabela Federal'!$E$4:$E$2069,'Tabela Federal'!$D$4:$D$2069,'Carga Tributária doenças Po (2'!$L163)</f>
        <v>0</v>
      </c>
      <c r="W163" s="89">
        <f>SUMIFS('Tabela Federal'!$E$4:$E$2069,'Tabela Federal'!$D$4:$D$2069,'Carga Tributária doenças Po (2'!$M163)</f>
        <v>0</v>
      </c>
      <c r="X163" s="89">
        <f>SUMIFS('Tabela Federal'!$E$4:$E$2069,'Tabela Federal'!$D$4:$D$2069,'Carga Tributária doenças Po (2'!$N163)</f>
        <v>0</v>
      </c>
      <c r="Y163" s="89">
        <f>SUMIFS('Tabela Federal'!$E$4:$E$2069,'Tabela Federal'!$D$4:$D$2069,'Carga Tributária doenças Po (2'!$O163)</f>
        <v>0</v>
      </c>
      <c r="Z163" s="92" t="str">
        <f>VLOOKUP('Carga Tributária doenças Po (2'!$AD163,'Carga Tributária doenças Po (2'!$CA$12:$CC$16,2,0)</f>
        <v>-</v>
      </c>
      <c r="AA163" s="89" t="s">
        <v>363</v>
      </c>
      <c r="AB163" s="89"/>
      <c r="AC163" s="89" t="s">
        <v>21721</v>
      </c>
      <c r="AD163" s="93" t="s">
        <v>19523</v>
      </c>
      <c r="AE163" s="92" t="s">
        <v>4</v>
      </c>
      <c r="AF163" s="92" t="s">
        <v>10</v>
      </c>
      <c r="AG163" s="94">
        <v>717576</v>
      </c>
      <c r="AH163" s="95">
        <v>6374008</v>
      </c>
      <c r="AI163" s="95">
        <v>14561900.710000001</v>
      </c>
      <c r="AJ163" s="89" t="s">
        <v>372</v>
      </c>
      <c r="AK163" s="89">
        <f>IF('Carga Tributária doenças Po (2'!$Z163="+",0,SUMIFS(PISCOFINS!$I$3:$I$10518,PISCOFINS!$C$3:$C$10518,'Carga Tributária doenças Po (2'!$C163))</f>
        <v>2.1</v>
      </c>
      <c r="AL163" s="89">
        <f>IF('Carga Tributária doenças Po (2'!$Z163="+",0,SUMIFS(PISCOFINS!$H$3:$H$10518,PISCOFINS!$C$3:$C$10518,'Carga Tributária doenças Po (2'!$C163))</f>
        <v>9.9</v>
      </c>
      <c r="AM163" s="95">
        <v>3.27</v>
      </c>
      <c r="AN163" s="95">
        <v>3.12</v>
      </c>
      <c r="AO163" s="95">
        <v>1.35</v>
      </c>
      <c r="AP163" s="96">
        <v>18</v>
      </c>
      <c r="AQ163" s="96">
        <v>12</v>
      </c>
      <c r="AR163" s="96">
        <v>17</v>
      </c>
      <c r="AS163" s="97">
        <v>17</v>
      </c>
      <c r="AT163" s="97">
        <v>19</v>
      </c>
      <c r="AU163" s="97">
        <v>12</v>
      </c>
      <c r="AV163" s="97">
        <v>17</v>
      </c>
      <c r="AW163" s="97">
        <v>17</v>
      </c>
      <c r="AX163" s="97">
        <v>17</v>
      </c>
      <c r="AY163" s="97">
        <v>17</v>
      </c>
      <c r="AZ163" s="97">
        <v>17</v>
      </c>
      <c r="BA163" s="97">
        <v>17</v>
      </c>
      <c r="BB163" s="97">
        <v>17</v>
      </c>
      <c r="BC163" s="97">
        <v>17</v>
      </c>
      <c r="BD163" s="97">
        <v>17</v>
      </c>
      <c r="BE163" s="97">
        <v>17</v>
      </c>
      <c r="BF163" s="97">
        <f>+Tabela1107[[#This Row],[PIS]]+Tabela1107[[#This Row],[COFINS]]+Tabela1107[[#This Row],[CONTRIB. FOLHA]]+Tabela1107[[#This Row],[TRIBUTOS S/ LUCRO]]+Tabela1107[[#This Row],[OUTROS]]+Tabela1107[[#This Row],[SP]]</f>
        <v>37.74</v>
      </c>
      <c r="BG163" s="97">
        <f>+Tabela1107[[#This Row],[PIS]]+Tabela1107[[#This Row],[COFINS]]+Tabela1107[[#This Row],[CONTRIB. FOLHA]]+Tabela1107[[#This Row],[TRIBUTOS S/ LUCRO]]+Tabela1107[[#This Row],[OUTROS]]+Tabela1107[[#This Row],[PR]]</f>
        <v>31.740000000000002</v>
      </c>
      <c r="BH163" s="97">
        <f>+Tabela1107[[#This Row],[PIS]]+Tabela1107[[#This Row],[COFINS]]+Tabela1107[[#This Row],[CONTRIB. FOLHA]]+Tabela1107[[#This Row],[TRIBUTOS S/ LUCRO]]+Tabela1107[[#This Row],[OUTROS]]+Tabela1107[[#This Row],[SC]]</f>
        <v>36.74</v>
      </c>
      <c r="BI163" s="97">
        <f>+Tabela1107[[#This Row],[PIS]]+Tabela1107[[#This Row],[COFINS]]+Tabela1107[[#This Row],[CONTRIB. FOLHA]]+Tabela1107[[#This Row],[TRIBUTOS S/ LUCRO]]+Tabela1107[[#This Row],[OUTROS]]+Tabela1107[[#This Row],[RS]]</f>
        <v>36.74</v>
      </c>
      <c r="BJ163" s="97">
        <f>+Tabela1107[[#This Row],[PIS]]+Tabela1107[[#This Row],[COFINS]]+Tabela1107[[#This Row],[CONTRIB. FOLHA]]+Tabela1107[[#This Row],[TRIBUTOS S/ LUCRO]]+Tabela1107[[#This Row],[OUTROS]]+Tabela1107[[#This Row],[RJ]]</f>
        <v>38.74</v>
      </c>
      <c r="BK163" s="97">
        <f>+Tabela1107[[#This Row],[PIS]]+Tabela1107[[#This Row],[COFINS]]+Tabela1107[[#This Row],[CONTRIB. FOLHA]]+Tabela1107[[#This Row],[TRIBUTOS S/ LUCRO]]+Tabela1107[[#This Row],[OUTROS]]+Tabela1107[[#This Row],[MG]]</f>
        <v>31.740000000000002</v>
      </c>
      <c r="BL163" s="97">
        <f>+Tabela1107[[#This Row],[PIS]]+Tabela1107[[#This Row],[COFINS]]+Tabela1107[[#This Row],[CONTRIB. FOLHA]]+Tabela1107[[#This Row],[TRIBUTOS S/ LUCRO]]+Tabela1107[[#This Row],[OUTROS]]+Tabela1107[[#This Row],[ES]]</f>
        <v>36.74</v>
      </c>
      <c r="BM163" s="97">
        <f>+Tabela1107[[#This Row],[PIS]]+Tabela1107[[#This Row],[COFINS]]+Tabela1107[[#This Row],[CONTRIB. FOLHA]]+Tabela1107[[#This Row],[TRIBUTOS S/ LUCRO]]+Tabela1107[[#This Row],[OUTROS]]+Tabela1107[[#This Row],[GO]]</f>
        <v>36.74</v>
      </c>
      <c r="BN163" s="97">
        <f>+Tabela1107[[#This Row],[PIS]]+Tabela1107[[#This Row],[COFINS]]+Tabela1107[[#This Row],[CONTRIB. FOLHA]]+Tabela1107[[#This Row],[TRIBUTOS S/ LUCRO]]+Tabela1107[[#This Row],[OUTROS]]+Tabela1107[[#This Row],[MT]]</f>
        <v>36.74</v>
      </c>
      <c r="BO163" s="97">
        <f>+Tabela1107[[#This Row],[PIS]]+Tabela1107[[#This Row],[COFINS]]+Tabela1107[[#This Row],[CONTRIB. FOLHA]]+Tabela1107[[#This Row],[TRIBUTOS S/ LUCRO]]+Tabela1107[[#This Row],[OUTROS]]+Tabela1107[[#This Row],[MS]]</f>
        <v>36.74</v>
      </c>
      <c r="BP163" s="97">
        <f>+Tabela1107[[#This Row],[PIS]]+Tabela1107[[#This Row],[COFINS]]+Tabela1107[[#This Row],[CONTRIB. FOLHA]]+Tabela1107[[#This Row],[TRIBUTOS S/ LUCRO]]+Tabela1107[[#This Row],[OUTROS]]+Tabela1107[[#This Row],[DF]]</f>
        <v>36.74</v>
      </c>
      <c r="BQ163" s="97">
        <f>+Tabela1107[[#This Row],[PIS]]+Tabela1107[[#This Row],[COFINS]]+Tabela1107[[#This Row],[CONTRIB. FOLHA]]+Tabela1107[[#This Row],[TRIBUTOS S/ LUCRO]]+Tabela1107[[#This Row],[OUTROS]]+Tabela1107[[#This Row],[BA]]</f>
        <v>36.74</v>
      </c>
      <c r="BR163" s="97">
        <f>+Tabela1107[[#This Row],[PIS]]+Tabela1107[[#This Row],[COFINS]]+Tabela1107[[#This Row],[CONTRIB. FOLHA]]+Tabela1107[[#This Row],[TRIBUTOS S/ LUCRO]]+Tabela1107[[#This Row],[OUTROS]]+Tabela1107[[#This Row],[BA]]</f>
        <v>36.74</v>
      </c>
      <c r="BS163" s="97">
        <f>+Tabela1107[[#This Row],[PIS]]+Tabela1107[[#This Row],[COFINS]]+Tabela1107[[#This Row],[CONTRIB. FOLHA]]+Tabela1107[[#This Row],[TRIBUTOS S/ LUCRO]]+Tabela1107[[#This Row],[OUTROS]]+Tabela1107[[#This Row],[PE]]</f>
        <v>36.74</v>
      </c>
      <c r="BT163" s="97">
        <f>+Tabela1107[[#This Row],[PIS]]+Tabela1107[[#This Row],[COFINS]]+Tabela1107[[#This Row],[CONTRIB. FOLHA]]+Tabela1107[[#This Row],[TRIBUTOS S/ LUCRO]]+Tabela1107[[#This Row],[OUTROS]]+Tabela1107[[#This Row],[PA]]</f>
        <v>36.74</v>
      </c>
      <c r="BU163" s="97">
        <f>+Tabela1107[[#This Row],[PIS]]+Tabela1107[[#This Row],[COFINS]]+Tabela1107[[#This Row],[CONTRIB. FOLHA]]+Tabela1107[[#This Row],[TRIBUTOS S/ LUCRO]]+Tabela1107[[#This Row],[OUTROS]]+Tabela1107[[#This Row],[AM]]</f>
        <v>36.74</v>
      </c>
      <c r="BV163" s="97">
        <f>AVERAGE(Tabela1107[[#This Row],[TOTAL SP]:[TOTAL AM]])</f>
        <v>36.302500000000002</v>
      </c>
      <c r="BW163" s="97"/>
      <c r="BX163" s="97"/>
    </row>
    <row r="164" spans="2:76" x14ac:dyDescent="0.25">
      <c r="B164" s="89">
        <v>2092</v>
      </c>
      <c r="C164" s="91" t="s">
        <v>13177</v>
      </c>
      <c r="D164" s="89"/>
      <c r="E164" s="89">
        <v>20140626</v>
      </c>
      <c r="F164" s="89" t="s">
        <v>21484</v>
      </c>
      <c r="G164" s="89" t="s">
        <v>21485</v>
      </c>
      <c r="H164" s="89" t="s">
        <v>21486</v>
      </c>
      <c r="I164" s="89" t="s">
        <v>2654</v>
      </c>
      <c r="J164" s="89" t="s">
        <v>506</v>
      </c>
      <c r="K164" s="89"/>
      <c r="L164" s="89" t="s">
        <v>2654</v>
      </c>
      <c r="M164" s="89" t="s">
        <v>4496</v>
      </c>
      <c r="N164" s="89" t="s">
        <v>4496</v>
      </c>
      <c r="O164" s="89" t="s">
        <v>4496</v>
      </c>
      <c r="P164" s="89" t="s">
        <v>4496</v>
      </c>
      <c r="Q164" s="89"/>
      <c r="R164" s="89" t="s">
        <v>64</v>
      </c>
      <c r="S164" s="89" t="s">
        <v>21698</v>
      </c>
      <c r="T164" s="89" t="s">
        <v>21699</v>
      </c>
      <c r="U164" s="89" t="str">
        <f>TRIM('Carga Tributária doenças Po (2'!$L164)</f>
        <v>DIGOXINA</v>
      </c>
      <c r="V164" s="89">
        <f>SUMIFS('Tabela Federal'!$E$4:$E$2069,'Tabela Federal'!$D$4:$D$2069,'Carga Tributária doenças Po (2'!$L164)</f>
        <v>1</v>
      </c>
      <c r="W164" s="89">
        <f>SUMIFS('Tabela Federal'!$E$4:$E$2069,'Tabela Federal'!$D$4:$D$2069,'Carga Tributária doenças Po (2'!$M164)</f>
        <v>0</v>
      </c>
      <c r="X164" s="89">
        <f>SUMIFS('Tabela Federal'!$E$4:$E$2069,'Tabela Federal'!$D$4:$D$2069,'Carga Tributária doenças Po (2'!$N164)</f>
        <v>0</v>
      </c>
      <c r="Y164" s="89">
        <f>SUMIFS('Tabela Federal'!$E$4:$E$2069,'Tabela Federal'!$D$4:$D$2069,'Carga Tributária doenças Po (2'!$O164)</f>
        <v>0</v>
      </c>
      <c r="Z164" s="92" t="str">
        <f>VLOOKUP('Carga Tributária doenças Po (2'!$AD164,'Carga Tributária doenças Po (2'!$CA$12:$CC$16,2,0)</f>
        <v>+</v>
      </c>
      <c r="AA164" s="89" t="s">
        <v>507</v>
      </c>
      <c r="AB164" s="89" t="s">
        <v>21758</v>
      </c>
      <c r="AC164" s="89" t="s">
        <v>21721</v>
      </c>
      <c r="AD164" s="93" t="s">
        <v>21722</v>
      </c>
      <c r="AE164" s="92" t="s">
        <v>2</v>
      </c>
      <c r="AF164" s="92" t="s">
        <v>10</v>
      </c>
      <c r="AG164" s="94">
        <v>498588</v>
      </c>
      <c r="AH164" s="95">
        <v>1682887</v>
      </c>
      <c r="AI164" s="95">
        <v>3858283.29</v>
      </c>
      <c r="AJ164" s="89" t="s">
        <v>499</v>
      </c>
      <c r="AK164" s="89">
        <f>IF('Carga Tributária doenças Po (2'!$Z164="+",0,SUMIFS(PISCOFINS!$I$3:$I$10518,PISCOFINS!$C$3:$C$10518,'Carga Tributária doenças Po (2'!$C164))</f>
        <v>0</v>
      </c>
      <c r="AL164" s="89">
        <f>IF('Carga Tributária doenças Po (2'!$Z164="+",0,SUMIFS(PISCOFINS!$H$3:$H$10518,PISCOFINS!$C$3:$C$10518,'Carga Tributária doenças Po (2'!$C164))</f>
        <v>0</v>
      </c>
      <c r="AM164" s="95">
        <v>3.27</v>
      </c>
      <c r="AN164" s="95">
        <v>3.12</v>
      </c>
      <c r="AO164" s="95">
        <v>1.35</v>
      </c>
      <c r="AP164" s="96">
        <v>18</v>
      </c>
      <c r="AQ164" s="96">
        <v>12</v>
      </c>
      <c r="AR164" s="96">
        <v>17</v>
      </c>
      <c r="AS164" s="97">
        <v>17</v>
      </c>
      <c r="AT164" s="97">
        <v>19</v>
      </c>
      <c r="AU164" s="97">
        <v>12</v>
      </c>
      <c r="AV164" s="97">
        <v>17</v>
      </c>
      <c r="AW164" s="97">
        <v>17</v>
      </c>
      <c r="AX164" s="97">
        <v>17</v>
      </c>
      <c r="AY164" s="97">
        <v>17</v>
      </c>
      <c r="AZ164" s="97">
        <v>17</v>
      </c>
      <c r="BA164" s="97">
        <v>17</v>
      </c>
      <c r="BB164" s="97">
        <v>17</v>
      </c>
      <c r="BC164" s="97">
        <v>17</v>
      </c>
      <c r="BD164" s="97">
        <v>17</v>
      </c>
      <c r="BE164" s="97">
        <v>17</v>
      </c>
      <c r="BF164" s="97">
        <f>+Tabela1107[[#This Row],[PIS]]+Tabela1107[[#This Row],[COFINS]]+Tabela1107[[#This Row],[CONTRIB. FOLHA]]+Tabela1107[[#This Row],[TRIBUTOS S/ LUCRO]]+Tabela1107[[#This Row],[OUTROS]]+Tabela1107[[#This Row],[SP]]</f>
        <v>25.740000000000002</v>
      </c>
      <c r="BG164" s="97">
        <f>+Tabela1107[[#This Row],[PIS]]+Tabela1107[[#This Row],[COFINS]]+Tabela1107[[#This Row],[CONTRIB. FOLHA]]+Tabela1107[[#This Row],[TRIBUTOS S/ LUCRO]]+Tabela1107[[#This Row],[OUTROS]]+Tabela1107[[#This Row],[PR]]</f>
        <v>19.740000000000002</v>
      </c>
      <c r="BH164" s="97">
        <f>+Tabela1107[[#This Row],[PIS]]+Tabela1107[[#This Row],[COFINS]]+Tabela1107[[#This Row],[CONTRIB. FOLHA]]+Tabela1107[[#This Row],[TRIBUTOS S/ LUCRO]]+Tabela1107[[#This Row],[OUTROS]]+Tabela1107[[#This Row],[SC]]</f>
        <v>24.740000000000002</v>
      </c>
      <c r="BI164" s="97">
        <f>+Tabela1107[[#This Row],[PIS]]+Tabela1107[[#This Row],[COFINS]]+Tabela1107[[#This Row],[CONTRIB. FOLHA]]+Tabela1107[[#This Row],[TRIBUTOS S/ LUCRO]]+Tabela1107[[#This Row],[OUTROS]]+Tabela1107[[#This Row],[RS]]</f>
        <v>24.740000000000002</v>
      </c>
      <c r="BJ164" s="97">
        <f>+Tabela1107[[#This Row],[PIS]]+Tabela1107[[#This Row],[COFINS]]+Tabela1107[[#This Row],[CONTRIB. FOLHA]]+Tabela1107[[#This Row],[TRIBUTOS S/ LUCRO]]+Tabela1107[[#This Row],[OUTROS]]+Tabela1107[[#This Row],[RJ]]</f>
        <v>26.740000000000002</v>
      </c>
      <c r="BK164" s="97">
        <f>+Tabela1107[[#This Row],[PIS]]+Tabela1107[[#This Row],[COFINS]]+Tabela1107[[#This Row],[CONTRIB. FOLHA]]+Tabela1107[[#This Row],[TRIBUTOS S/ LUCRO]]+Tabela1107[[#This Row],[OUTROS]]+Tabela1107[[#This Row],[MG]]</f>
        <v>19.740000000000002</v>
      </c>
      <c r="BL164" s="97">
        <f>+Tabela1107[[#This Row],[PIS]]+Tabela1107[[#This Row],[COFINS]]+Tabela1107[[#This Row],[CONTRIB. FOLHA]]+Tabela1107[[#This Row],[TRIBUTOS S/ LUCRO]]+Tabela1107[[#This Row],[OUTROS]]+Tabela1107[[#This Row],[ES]]</f>
        <v>24.740000000000002</v>
      </c>
      <c r="BM164" s="97">
        <f>+Tabela1107[[#This Row],[PIS]]+Tabela1107[[#This Row],[COFINS]]+Tabela1107[[#This Row],[CONTRIB. FOLHA]]+Tabela1107[[#This Row],[TRIBUTOS S/ LUCRO]]+Tabela1107[[#This Row],[OUTROS]]+Tabela1107[[#This Row],[GO]]</f>
        <v>24.740000000000002</v>
      </c>
      <c r="BN164" s="97">
        <f>+Tabela1107[[#This Row],[PIS]]+Tabela1107[[#This Row],[COFINS]]+Tabela1107[[#This Row],[CONTRIB. FOLHA]]+Tabela1107[[#This Row],[TRIBUTOS S/ LUCRO]]+Tabela1107[[#This Row],[OUTROS]]+Tabela1107[[#This Row],[MT]]</f>
        <v>24.740000000000002</v>
      </c>
      <c r="BO164" s="97">
        <f>+Tabela1107[[#This Row],[PIS]]+Tabela1107[[#This Row],[COFINS]]+Tabela1107[[#This Row],[CONTRIB. FOLHA]]+Tabela1107[[#This Row],[TRIBUTOS S/ LUCRO]]+Tabela1107[[#This Row],[OUTROS]]+Tabela1107[[#This Row],[MS]]</f>
        <v>24.740000000000002</v>
      </c>
      <c r="BP164" s="97">
        <f>+Tabela1107[[#This Row],[PIS]]+Tabela1107[[#This Row],[COFINS]]+Tabela1107[[#This Row],[CONTRIB. FOLHA]]+Tabela1107[[#This Row],[TRIBUTOS S/ LUCRO]]+Tabela1107[[#This Row],[OUTROS]]+Tabela1107[[#This Row],[DF]]</f>
        <v>24.740000000000002</v>
      </c>
      <c r="BQ164" s="97">
        <f>+Tabela1107[[#This Row],[PIS]]+Tabela1107[[#This Row],[COFINS]]+Tabela1107[[#This Row],[CONTRIB. FOLHA]]+Tabela1107[[#This Row],[TRIBUTOS S/ LUCRO]]+Tabela1107[[#This Row],[OUTROS]]+Tabela1107[[#This Row],[BA]]</f>
        <v>24.740000000000002</v>
      </c>
      <c r="BR164" s="97">
        <f>+Tabela1107[[#This Row],[PIS]]+Tabela1107[[#This Row],[COFINS]]+Tabela1107[[#This Row],[CONTRIB. FOLHA]]+Tabela1107[[#This Row],[TRIBUTOS S/ LUCRO]]+Tabela1107[[#This Row],[OUTROS]]+Tabela1107[[#This Row],[BA]]</f>
        <v>24.740000000000002</v>
      </c>
      <c r="BS164" s="97">
        <f>+Tabela1107[[#This Row],[PIS]]+Tabela1107[[#This Row],[COFINS]]+Tabela1107[[#This Row],[CONTRIB. FOLHA]]+Tabela1107[[#This Row],[TRIBUTOS S/ LUCRO]]+Tabela1107[[#This Row],[OUTROS]]+Tabela1107[[#This Row],[PE]]</f>
        <v>24.740000000000002</v>
      </c>
      <c r="BT164" s="97">
        <f>+Tabela1107[[#This Row],[PIS]]+Tabela1107[[#This Row],[COFINS]]+Tabela1107[[#This Row],[CONTRIB. FOLHA]]+Tabela1107[[#This Row],[TRIBUTOS S/ LUCRO]]+Tabela1107[[#This Row],[OUTROS]]+Tabela1107[[#This Row],[PA]]</f>
        <v>24.740000000000002</v>
      </c>
      <c r="BU164" s="97">
        <f>+Tabela1107[[#This Row],[PIS]]+Tabela1107[[#This Row],[COFINS]]+Tabela1107[[#This Row],[CONTRIB. FOLHA]]+Tabela1107[[#This Row],[TRIBUTOS S/ LUCRO]]+Tabela1107[[#This Row],[OUTROS]]+Tabela1107[[#This Row],[AM]]</f>
        <v>24.740000000000002</v>
      </c>
      <c r="BV164" s="97">
        <f>AVERAGE(Tabela1107[[#This Row],[TOTAL SP]:[TOTAL AM]])</f>
        <v>24.302500000000006</v>
      </c>
      <c r="BW164" s="97"/>
      <c r="BX164" s="97"/>
    </row>
    <row r="165" spans="2:76" x14ac:dyDescent="0.25">
      <c r="B165" s="89">
        <v>2108</v>
      </c>
      <c r="C165" s="91" t="s">
        <v>13177</v>
      </c>
      <c r="D165" s="89"/>
      <c r="E165" s="89">
        <v>20140626</v>
      </c>
      <c r="F165" s="89" t="s">
        <v>20443</v>
      </c>
      <c r="G165" s="89" t="s">
        <v>20444</v>
      </c>
      <c r="H165" s="89" t="s">
        <v>20445</v>
      </c>
      <c r="I165" s="89" t="s">
        <v>2654</v>
      </c>
      <c r="J165" s="89" t="s">
        <v>508</v>
      </c>
      <c r="K165" s="89"/>
      <c r="L165" s="89" t="s">
        <v>2654</v>
      </c>
      <c r="M165" s="89" t="s">
        <v>4496</v>
      </c>
      <c r="N165" s="89" t="s">
        <v>4496</v>
      </c>
      <c r="O165" s="89" t="s">
        <v>4496</v>
      </c>
      <c r="P165" s="89" t="s">
        <v>4496</v>
      </c>
      <c r="Q165" s="89"/>
      <c r="R165" s="89" t="s">
        <v>245</v>
      </c>
      <c r="S165" s="89" t="s">
        <v>21580</v>
      </c>
      <c r="T165" s="89" t="s">
        <v>21581</v>
      </c>
      <c r="U165" s="89" t="str">
        <f>TRIM('Carga Tributária doenças Po (2'!$L165)</f>
        <v>DIGOXINA</v>
      </c>
      <c r="V165" s="89">
        <f>SUMIFS('Tabela Federal'!$E$4:$E$2069,'Tabela Federal'!$D$4:$D$2069,'Carga Tributária doenças Po (2'!$L165)</f>
        <v>1</v>
      </c>
      <c r="W165" s="89">
        <f>SUMIFS('Tabela Federal'!$E$4:$E$2069,'Tabela Federal'!$D$4:$D$2069,'Carga Tributária doenças Po (2'!$M165)</f>
        <v>0</v>
      </c>
      <c r="X165" s="89">
        <f>SUMIFS('Tabela Federal'!$E$4:$E$2069,'Tabela Federal'!$D$4:$D$2069,'Carga Tributária doenças Po (2'!$N165)</f>
        <v>0</v>
      </c>
      <c r="Y165" s="89">
        <f>SUMIFS('Tabela Federal'!$E$4:$E$2069,'Tabela Federal'!$D$4:$D$2069,'Carga Tributária doenças Po (2'!$O165)</f>
        <v>0</v>
      </c>
      <c r="Z165" s="92" t="str">
        <f>VLOOKUP('Carga Tributária doenças Po (2'!$AD165,'Carga Tributária doenças Po (2'!$CA$12:$CC$16,2,0)</f>
        <v>+</v>
      </c>
      <c r="AA165" s="89" t="s">
        <v>507</v>
      </c>
      <c r="AB165" s="89" t="s">
        <v>21758</v>
      </c>
      <c r="AC165" s="89" t="s">
        <v>21721</v>
      </c>
      <c r="AD165" s="93" t="s">
        <v>21722</v>
      </c>
      <c r="AE165" s="92" t="s">
        <v>2</v>
      </c>
      <c r="AF165" s="92" t="s">
        <v>23</v>
      </c>
      <c r="AG165" s="94">
        <v>393201</v>
      </c>
      <c r="AH165" s="95">
        <v>1706594</v>
      </c>
      <c r="AI165" s="95">
        <v>3897517.57</v>
      </c>
      <c r="AJ165" s="89" t="s">
        <v>499</v>
      </c>
      <c r="AK165" s="89">
        <f>IF('Carga Tributária doenças Po (2'!$Z165="+",0,SUMIFS(PISCOFINS!$I$3:$I$10518,PISCOFINS!$C$3:$C$10518,'Carga Tributária doenças Po (2'!$C165))</f>
        <v>0</v>
      </c>
      <c r="AL165" s="89">
        <f>IF('Carga Tributária doenças Po (2'!$Z165="+",0,SUMIFS(PISCOFINS!$H$3:$H$10518,PISCOFINS!$C$3:$C$10518,'Carga Tributária doenças Po (2'!$C165))</f>
        <v>0</v>
      </c>
      <c r="AM165" s="95">
        <v>3.27</v>
      </c>
      <c r="AN165" s="95">
        <v>3.12</v>
      </c>
      <c r="AO165" s="95">
        <v>1.35</v>
      </c>
      <c r="AP165" s="96">
        <v>18</v>
      </c>
      <c r="AQ165" s="96">
        <v>12</v>
      </c>
      <c r="AR165" s="96">
        <v>17</v>
      </c>
      <c r="AS165" s="97">
        <v>17</v>
      </c>
      <c r="AT165" s="97">
        <v>19</v>
      </c>
      <c r="AU165" s="97">
        <v>18</v>
      </c>
      <c r="AV165" s="97">
        <v>17</v>
      </c>
      <c r="AW165" s="97">
        <v>17</v>
      </c>
      <c r="AX165" s="97">
        <v>17</v>
      </c>
      <c r="AY165" s="97">
        <v>17</v>
      </c>
      <c r="AZ165" s="97">
        <v>17</v>
      </c>
      <c r="BA165" s="97">
        <v>17</v>
      </c>
      <c r="BB165" s="97">
        <v>17</v>
      </c>
      <c r="BC165" s="97">
        <v>17</v>
      </c>
      <c r="BD165" s="97">
        <v>17</v>
      </c>
      <c r="BE165" s="97">
        <v>17</v>
      </c>
      <c r="BF165" s="97">
        <f>+Tabela1107[[#This Row],[PIS]]+Tabela1107[[#This Row],[COFINS]]+Tabela1107[[#This Row],[CONTRIB. FOLHA]]+Tabela1107[[#This Row],[TRIBUTOS S/ LUCRO]]+Tabela1107[[#This Row],[OUTROS]]+Tabela1107[[#This Row],[SP]]</f>
        <v>25.740000000000002</v>
      </c>
      <c r="BG165" s="97">
        <f>+Tabela1107[[#This Row],[PIS]]+Tabela1107[[#This Row],[COFINS]]+Tabela1107[[#This Row],[CONTRIB. FOLHA]]+Tabela1107[[#This Row],[TRIBUTOS S/ LUCRO]]+Tabela1107[[#This Row],[OUTROS]]+Tabela1107[[#This Row],[PR]]</f>
        <v>19.740000000000002</v>
      </c>
      <c r="BH165" s="97">
        <f>+Tabela1107[[#This Row],[PIS]]+Tabela1107[[#This Row],[COFINS]]+Tabela1107[[#This Row],[CONTRIB. FOLHA]]+Tabela1107[[#This Row],[TRIBUTOS S/ LUCRO]]+Tabela1107[[#This Row],[OUTROS]]+Tabela1107[[#This Row],[SC]]</f>
        <v>24.740000000000002</v>
      </c>
      <c r="BI165" s="97">
        <f>+Tabela1107[[#This Row],[PIS]]+Tabela1107[[#This Row],[COFINS]]+Tabela1107[[#This Row],[CONTRIB. FOLHA]]+Tabela1107[[#This Row],[TRIBUTOS S/ LUCRO]]+Tabela1107[[#This Row],[OUTROS]]+Tabela1107[[#This Row],[RS]]</f>
        <v>24.740000000000002</v>
      </c>
      <c r="BJ165" s="97">
        <f>+Tabela1107[[#This Row],[PIS]]+Tabela1107[[#This Row],[COFINS]]+Tabela1107[[#This Row],[CONTRIB. FOLHA]]+Tabela1107[[#This Row],[TRIBUTOS S/ LUCRO]]+Tabela1107[[#This Row],[OUTROS]]+Tabela1107[[#This Row],[RJ]]</f>
        <v>26.740000000000002</v>
      </c>
      <c r="BK165" s="97">
        <f>+Tabela1107[[#This Row],[PIS]]+Tabela1107[[#This Row],[COFINS]]+Tabela1107[[#This Row],[CONTRIB. FOLHA]]+Tabela1107[[#This Row],[TRIBUTOS S/ LUCRO]]+Tabela1107[[#This Row],[OUTROS]]+Tabela1107[[#This Row],[MG]]</f>
        <v>25.740000000000002</v>
      </c>
      <c r="BL165" s="97">
        <f>+Tabela1107[[#This Row],[PIS]]+Tabela1107[[#This Row],[COFINS]]+Tabela1107[[#This Row],[CONTRIB. FOLHA]]+Tabela1107[[#This Row],[TRIBUTOS S/ LUCRO]]+Tabela1107[[#This Row],[OUTROS]]+Tabela1107[[#This Row],[ES]]</f>
        <v>24.740000000000002</v>
      </c>
      <c r="BM165" s="97">
        <f>+Tabela1107[[#This Row],[PIS]]+Tabela1107[[#This Row],[COFINS]]+Tabela1107[[#This Row],[CONTRIB. FOLHA]]+Tabela1107[[#This Row],[TRIBUTOS S/ LUCRO]]+Tabela1107[[#This Row],[OUTROS]]+Tabela1107[[#This Row],[GO]]</f>
        <v>24.740000000000002</v>
      </c>
      <c r="BN165" s="97">
        <f>+Tabela1107[[#This Row],[PIS]]+Tabela1107[[#This Row],[COFINS]]+Tabela1107[[#This Row],[CONTRIB. FOLHA]]+Tabela1107[[#This Row],[TRIBUTOS S/ LUCRO]]+Tabela1107[[#This Row],[OUTROS]]+Tabela1107[[#This Row],[MT]]</f>
        <v>24.740000000000002</v>
      </c>
      <c r="BO165" s="97">
        <f>+Tabela1107[[#This Row],[PIS]]+Tabela1107[[#This Row],[COFINS]]+Tabela1107[[#This Row],[CONTRIB. FOLHA]]+Tabela1107[[#This Row],[TRIBUTOS S/ LUCRO]]+Tabela1107[[#This Row],[OUTROS]]+Tabela1107[[#This Row],[MS]]</f>
        <v>24.740000000000002</v>
      </c>
      <c r="BP165" s="97">
        <f>+Tabela1107[[#This Row],[PIS]]+Tabela1107[[#This Row],[COFINS]]+Tabela1107[[#This Row],[CONTRIB. FOLHA]]+Tabela1107[[#This Row],[TRIBUTOS S/ LUCRO]]+Tabela1107[[#This Row],[OUTROS]]+Tabela1107[[#This Row],[DF]]</f>
        <v>24.740000000000002</v>
      </c>
      <c r="BQ165" s="97">
        <f>+Tabela1107[[#This Row],[PIS]]+Tabela1107[[#This Row],[COFINS]]+Tabela1107[[#This Row],[CONTRIB. FOLHA]]+Tabela1107[[#This Row],[TRIBUTOS S/ LUCRO]]+Tabela1107[[#This Row],[OUTROS]]+Tabela1107[[#This Row],[BA]]</f>
        <v>24.740000000000002</v>
      </c>
      <c r="BR165" s="97">
        <f>+Tabela1107[[#This Row],[PIS]]+Tabela1107[[#This Row],[COFINS]]+Tabela1107[[#This Row],[CONTRIB. FOLHA]]+Tabela1107[[#This Row],[TRIBUTOS S/ LUCRO]]+Tabela1107[[#This Row],[OUTROS]]+Tabela1107[[#This Row],[BA]]</f>
        <v>24.740000000000002</v>
      </c>
      <c r="BS165" s="97">
        <f>+Tabela1107[[#This Row],[PIS]]+Tabela1107[[#This Row],[COFINS]]+Tabela1107[[#This Row],[CONTRIB. FOLHA]]+Tabela1107[[#This Row],[TRIBUTOS S/ LUCRO]]+Tabela1107[[#This Row],[OUTROS]]+Tabela1107[[#This Row],[PE]]</f>
        <v>24.740000000000002</v>
      </c>
      <c r="BT165" s="97">
        <f>+Tabela1107[[#This Row],[PIS]]+Tabela1107[[#This Row],[COFINS]]+Tabela1107[[#This Row],[CONTRIB. FOLHA]]+Tabela1107[[#This Row],[TRIBUTOS S/ LUCRO]]+Tabela1107[[#This Row],[OUTROS]]+Tabela1107[[#This Row],[PA]]</f>
        <v>24.740000000000002</v>
      </c>
      <c r="BU165" s="97">
        <f>+Tabela1107[[#This Row],[PIS]]+Tabela1107[[#This Row],[COFINS]]+Tabela1107[[#This Row],[CONTRIB. FOLHA]]+Tabela1107[[#This Row],[TRIBUTOS S/ LUCRO]]+Tabela1107[[#This Row],[OUTROS]]+Tabela1107[[#This Row],[AM]]</f>
        <v>24.740000000000002</v>
      </c>
      <c r="BV165" s="97">
        <f>AVERAGE(Tabela1107[[#This Row],[TOTAL SP]:[TOTAL AM]])</f>
        <v>24.677500000000006</v>
      </c>
      <c r="BW165" s="97"/>
      <c r="BX165" s="97"/>
    </row>
    <row r="166" spans="2:76" x14ac:dyDescent="0.25">
      <c r="B166" s="89">
        <v>2153</v>
      </c>
      <c r="C166" s="91" t="s">
        <v>13183</v>
      </c>
      <c r="D166" s="89"/>
      <c r="E166" s="89">
        <v>20140626</v>
      </c>
      <c r="F166" s="89" t="s">
        <v>21012</v>
      </c>
      <c r="G166" s="89" t="s">
        <v>21013</v>
      </c>
      <c r="H166" s="89" t="s">
        <v>21014</v>
      </c>
      <c r="I166" s="89" t="s">
        <v>2789</v>
      </c>
      <c r="J166" s="89" t="s">
        <v>51</v>
      </c>
      <c r="K166" s="99" t="s">
        <v>2516</v>
      </c>
      <c r="L166" s="89" t="s">
        <v>2692</v>
      </c>
      <c r="M166" s="89" t="s">
        <v>4496</v>
      </c>
      <c r="N166" s="89" t="s">
        <v>4496</v>
      </c>
      <c r="O166" s="89" t="s">
        <v>4496</v>
      </c>
      <c r="P166" s="89" t="s">
        <v>4496</v>
      </c>
      <c r="Q166" s="89"/>
      <c r="R166" s="89" t="s">
        <v>52</v>
      </c>
      <c r="S166" s="89" t="s">
        <v>21652</v>
      </c>
      <c r="T166" s="89" t="s">
        <v>21653</v>
      </c>
      <c r="U166" s="89" t="str">
        <f>TRIM('Carga Tributária doenças Po (2'!$L166)</f>
        <v>SIMETICONA</v>
      </c>
      <c r="V166" s="89">
        <f>SUMIFS('Tabela Federal'!$E$4:$E$2069,'Tabela Federal'!$D$4:$D$2069,'Carga Tributária doenças Po (2'!$L166)</f>
        <v>0</v>
      </c>
      <c r="W166" s="89">
        <f>SUMIFS('Tabela Federal'!$E$4:$E$2069,'Tabela Federal'!$D$4:$D$2069,'Carga Tributária doenças Po (2'!$M166)</f>
        <v>0</v>
      </c>
      <c r="X166" s="89">
        <f>SUMIFS('Tabela Federal'!$E$4:$E$2069,'Tabela Federal'!$D$4:$D$2069,'Carga Tributária doenças Po (2'!$N166)</f>
        <v>0</v>
      </c>
      <c r="Y166" s="89">
        <f>SUMIFS('Tabela Federal'!$E$4:$E$2069,'Tabela Federal'!$D$4:$D$2069,'Carga Tributária doenças Po (2'!$O166)</f>
        <v>0</v>
      </c>
      <c r="Z166" s="92" t="str">
        <f>VLOOKUP('Carga Tributária doenças Po (2'!$AD166,'Carga Tributária doenças Po (2'!$CA$12:$CC$16,2,0)</f>
        <v>-</v>
      </c>
      <c r="AA166" s="89" t="s">
        <v>49</v>
      </c>
      <c r="AB166" s="89" t="s">
        <v>21751</v>
      </c>
      <c r="AC166" s="89" t="s">
        <v>21740</v>
      </c>
      <c r="AD166" s="93" t="s">
        <v>19523</v>
      </c>
      <c r="AE166" s="92" t="s">
        <v>2</v>
      </c>
      <c r="AF166" s="92" t="s">
        <v>10</v>
      </c>
      <c r="AG166" s="94">
        <v>2931535</v>
      </c>
      <c r="AH166" s="95">
        <v>12096752</v>
      </c>
      <c r="AI166" s="95">
        <v>27554454.280000001</v>
      </c>
      <c r="AJ166" s="89" t="s">
        <v>41</v>
      </c>
      <c r="AK166" s="89">
        <f>IF('Carga Tributária doenças Po (2'!$Z166="+",0,SUMIFS(PISCOFINS!$I$3:$I$10518,PISCOFINS!$C$3:$C$10518,'Carga Tributária doenças Po (2'!$C166))</f>
        <v>2.1</v>
      </c>
      <c r="AL166" s="89">
        <f>IF('Carga Tributária doenças Po (2'!$Z166="+",0,SUMIFS(PISCOFINS!$H$3:$H$10518,PISCOFINS!$C$3:$C$10518,'Carga Tributária doenças Po (2'!$C166))</f>
        <v>9.9</v>
      </c>
      <c r="AM166" s="95">
        <v>3.27</v>
      </c>
      <c r="AN166" s="95">
        <v>3.12</v>
      </c>
      <c r="AO166" s="95">
        <v>1.35</v>
      </c>
      <c r="AP166" s="96">
        <v>18</v>
      </c>
      <c r="AQ166" s="96">
        <v>12</v>
      </c>
      <c r="AR166" s="96">
        <v>17</v>
      </c>
      <c r="AS166" s="97">
        <v>17</v>
      </c>
      <c r="AT166" s="97">
        <v>19</v>
      </c>
      <c r="AU166" s="97">
        <v>12</v>
      </c>
      <c r="AV166" s="97">
        <v>17</v>
      </c>
      <c r="AW166" s="97">
        <v>17</v>
      </c>
      <c r="AX166" s="97">
        <v>17</v>
      </c>
      <c r="AY166" s="97">
        <v>17</v>
      </c>
      <c r="AZ166" s="97">
        <v>17</v>
      </c>
      <c r="BA166" s="97">
        <v>17</v>
      </c>
      <c r="BB166" s="97">
        <v>17</v>
      </c>
      <c r="BC166" s="97">
        <v>17</v>
      </c>
      <c r="BD166" s="97">
        <v>17</v>
      </c>
      <c r="BE166" s="97">
        <v>17</v>
      </c>
      <c r="BF166" s="97">
        <f>+Tabela1107[[#This Row],[PIS]]+Tabela1107[[#This Row],[COFINS]]+Tabela1107[[#This Row],[CONTRIB. FOLHA]]+Tabela1107[[#This Row],[TRIBUTOS S/ LUCRO]]+Tabela1107[[#This Row],[OUTROS]]+Tabela1107[[#This Row],[SP]]</f>
        <v>37.74</v>
      </c>
      <c r="BG166" s="97">
        <f>+Tabela1107[[#This Row],[PIS]]+Tabela1107[[#This Row],[COFINS]]+Tabela1107[[#This Row],[CONTRIB. FOLHA]]+Tabela1107[[#This Row],[TRIBUTOS S/ LUCRO]]+Tabela1107[[#This Row],[OUTROS]]+Tabela1107[[#This Row],[PR]]</f>
        <v>31.740000000000002</v>
      </c>
      <c r="BH166" s="97">
        <f>+Tabela1107[[#This Row],[PIS]]+Tabela1107[[#This Row],[COFINS]]+Tabela1107[[#This Row],[CONTRIB. FOLHA]]+Tabela1107[[#This Row],[TRIBUTOS S/ LUCRO]]+Tabela1107[[#This Row],[OUTROS]]+Tabela1107[[#This Row],[SC]]</f>
        <v>36.74</v>
      </c>
      <c r="BI166" s="97">
        <f>+Tabela1107[[#This Row],[PIS]]+Tabela1107[[#This Row],[COFINS]]+Tabela1107[[#This Row],[CONTRIB. FOLHA]]+Tabela1107[[#This Row],[TRIBUTOS S/ LUCRO]]+Tabela1107[[#This Row],[OUTROS]]+Tabela1107[[#This Row],[RS]]</f>
        <v>36.74</v>
      </c>
      <c r="BJ166" s="97">
        <f>+Tabela1107[[#This Row],[PIS]]+Tabela1107[[#This Row],[COFINS]]+Tabela1107[[#This Row],[CONTRIB. FOLHA]]+Tabela1107[[#This Row],[TRIBUTOS S/ LUCRO]]+Tabela1107[[#This Row],[OUTROS]]+Tabela1107[[#This Row],[RJ]]</f>
        <v>38.74</v>
      </c>
      <c r="BK166" s="97">
        <f>+Tabela1107[[#This Row],[PIS]]+Tabela1107[[#This Row],[COFINS]]+Tabela1107[[#This Row],[CONTRIB. FOLHA]]+Tabela1107[[#This Row],[TRIBUTOS S/ LUCRO]]+Tabela1107[[#This Row],[OUTROS]]+Tabela1107[[#This Row],[MG]]</f>
        <v>31.740000000000002</v>
      </c>
      <c r="BL166" s="97">
        <f>+Tabela1107[[#This Row],[PIS]]+Tabela1107[[#This Row],[COFINS]]+Tabela1107[[#This Row],[CONTRIB. FOLHA]]+Tabela1107[[#This Row],[TRIBUTOS S/ LUCRO]]+Tabela1107[[#This Row],[OUTROS]]+Tabela1107[[#This Row],[ES]]</f>
        <v>36.74</v>
      </c>
      <c r="BM166" s="97">
        <f>+Tabela1107[[#This Row],[PIS]]+Tabela1107[[#This Row],[COFINS]]+Tabela1107[[#This Row],[CONTRIB. FOLHA]]+Tabela1107[[#This Row],[TRIBUTOS S/ LUCRO]]+Tabela1107[[#This Row],[OUTROS]]+Tabela1107[[#This Row],[GO]]</f>
        <v>36.74</v>
      </c>
      <c r="BN166" s="97">
        <f>+Tabela1107[[#This Row],[PIS]]+Tabela1107[[#This Row],[COFINS]]+Tabela1107[[#This Row],[CONTRIB. FOLHA]]+Tabela1107[[#This Row],[TRIBUTOS S/ LUCRO]]+Tabela1107[[#This Row],[OUTROS]]+Tabela1107[[#This Row],[MT]]</f>
        <v>36.74</v>
      </c>
      <c r="BO166" s="97">
        <f>+Tabela1107[[#This Row],[PIS]]+Tabela1107[[#This Row],[COFINS]]+Tabela1107[[#This Row],[CONTRIB. FOLHA]]+Tabela1107[[#This Row],[TRIBUTOS S/ LUCRO]]+Tabela1107[[#This Row],[OUTROS]]+Tabela1107[[#This Row],[MS]]</f>
        <v>36.74</v>
      </c>
      <c r="BP166" s="97">
        <f>+Tabela1107[[#This Row],[PIS]]+Tabela1107[[#This Row],[COFINS]]+Tabela1107[[#This Row],[CONTRIB. FOLHA]]+Tabela1107[[#This Row],[TRIBUTOS S/ LUCRO]]+Tabela1107[[#This Row],[OUTROS]]+Tabela1107[[#This Row],[DF]]</f>
        <v>36.74</v>
      </c>
      <c r="BQ166" s="97">
        <f>+Tabela1107[[#This Row],[PIS]]+Tabela1107[[#This Row],[COFINS]]+Tabela1107[[#This Row],[CONTRIB. FOLHA]]+Tabela1107[[#This Row],[TRIBUTOS S/ LUCRO]]+Tabela1107[[#This Row],[OUTROS]]+Tabela1107[[#This Row],[BA]]</f>
        <v>36.74</v>
      </c>
      <c r="BR166" s="97">
        <f>+Tabela1107[[#This Row],[PIS]]+Tabela1107[[#This Row],[COFINS]]+Tabela1107[[#This Row],[CONTRIB. FOLHA]]+Tabela1107[[#This Row],[TRIBUTOS S/ LUCRO]]+Tabela1107[[#This Row],[OUTROS]]+Tabela1107[[#This Row],[BA]]</f>
        <v>36.74</v>
      </c>
      <c r="BS166" s="97">
        <f>+Tabela1107[[#This Row],[PIS]]+Tabela1107[[#This Row],[COFINS]]+Tabela1107[[#This Row],[CONTRIB. FOLHA]]+Tabela1107[[#This Row],[TRIBUTOS S/ LUCRO]]+Tabela1107[[#This Row],[OUTROS]]+Tabela1107[[#This Row],[PE]]</f>
        <v>36.74</v>
      </c>
      <c r="BT166" s="97">
        <f>+Tabela1107[[#This Row],[PIS]]+Tabela1107[[#This Row],[COFINS]]+Tabela1107[[#This Row],[CONTRIB. FOLHA]]+Tabela1107[[#This Row],[TRIBUTOS S/ LUCRO]]+Tabela1107[[#This Row],[OUTROS]]+Tabela1107[[#This Row],[PA]]</f>
        <v>36.74</v>
      </c>
      <c r="BU166" s="97">
        <f>+Tabela1107[[#This Row],[PIS]]+Tabela1107[[#This Row],[COFINS]]+Tabela1107[[#This Row],[CONTRIB. FOLHA]]+Tabela1107[[#This Row],[TRIBUTOS S/ LUCRO]]+Tabela1107[[#This Row],[OUTROS]]+Tabela1107[[#This Row],[AM]]</f>
        <v>36.74</v>
      </c>
      <c r="BV166" s="97">
        <f>AVERAGE(Tabela1107[[#This Row],[TOTAL SP]:[TOTAL AM]])</f>
        <v>36.302500000000002</v>
      </c>
      <c r="BW166" s="97"/>
      <c r="BX166" s="97"/>
    </row>
    <row r="167" spans="2:76" x14ac:dyDescent="0.25">
      <c r="B167" s="89">
        <v>2269</v>
      </c>
      <c r="C167" s="91" t="s">
        <v>13183</v>
      </c>
      <c r="D167" s="89"/>
      <c r="E167" s="89">
        <v>20140626</v>
      </c>
      <c r="F167" s="89" t="s">
        <v>20299</v>
      </c>
      <c r="G167" s="89" t="s">
        <v>20300</v>
      </c>
      <c r="H167" s="89" t="s">
        <v>20301</v>
      </c>
      <c r="I167" s="89" t="s">
        <v>20302</v>
      </c>
      <c r="J167" s="89" t="s">
        <v>547</v>
      </c>
      <c r="K167" s="89" t="s">
        <v>2491</v>
      </c>
      <c r="L167" s="89" t="s">
        <v>3166</v>
      </c>
      <c r="M167" s="89" t="s">
        <v>4173</v>
      </c>
      <c r="N167" s="89" t="s">
        <v>4496</v>
      </c>
      <c r="O167" s="89" t="s">
        <v>4496</v>
      </c>
      <c r="P167" s="89" t="s">
        <v>4496</v>
      </c>
      <c r="Q167" s="89"/>
      <c r="R167" s="89" t="s">
        <v>1</v>
      </c>
      <c r="S167" s="89" t="s">
        <v>21568</v>
      </c>
      <c r="T167" s="89" t="s">
        <v>21569</v>
      </c>
      <c r="U167" s="89" t="str">
        <f>TRIM('Carga Tributária doenças Po (2'!$L167)</f>
        <v>DIOSMINA</v>
      </c>
      <c r="V167" s="89">
        <f>SUMIFS('Tabela Federal'!$E$4:$E$2069,'Tabela Federal'!$D$4:$D$2069,'Carga Tributária doenças Po (2'!$L167)</f>
        <v>0</v>
      </c>
      <c r="W167" s="89">
        <f>SUMIFS('Tabela Federal'!$E$4:$E$2069,'Tabela Federal'!$D$4:$D$2069,'Carga Tributária doenças Po (2'!$M167)</f>
        <v>0</v>
      </c>
      <c r="X167" s="89">
        <f>SUMIFS('Tabela Federal'!$E$4:$E$2069,'Tabela Federal'!$D$4:$D$2069,'Carga Tributária doenças Po (2'!$N167)</f>
        <v>0</v>
      </c>
      <c r="Y167" s="89">
        <f>SUMIFS('Tabela Federal'!$E$4:$E$2069,'Tabela Federal'!$D$4:$D$2069,'Carga Tributária doenças Po (2'!$O167)</f>
        <v>0</v>
      </c>
      <c r="Z167" s="92" t="str">
        <f>VLOOKUP('Carga Tributária doenças Po (2'!$AD167,'Carga Tributária doenças Po (2'!$CA$12:$CC$16,2,0)</f>
        <v>-</v>
      </c>
      <c r="AA167" s="89" t="s">
        <v>541</v>
      </c>
      <c r="AB167" s="89" t="s">
        <v>21794</v>
      </c>
      <c r="AC167" s="89" t="s">
        <v>21721</v>
      </c>
      <c r="AD167" s="93" t="s">
        <v>19523</v>
      </c>
      <c r="AE167" s="92" t="s">
        <v>4</v>
      </c>
      <c r="AF167" s="92" t="s">
        <v>3</v>
      </c>
      <c r="AG167" s="94">
        <v>723005</v>
      </c>
      <c r="AH167" s="95">
        <v>13000880</v>
      </c>
      <c r="AI167" s="95">
        <v>29705647.059999999</v>
      </c>
      <c r="AJ167" s="89" t="s">
        <v>548</v>
      </c>
      <c r="AK167" s="89">
        <f>IF('Carga Tributária doenças Po (2'!$Z167="+",0,SUMIFS(PISCOFINS!$I$3:$I$10518,PISCOFINS!$C$3:$C$10518,'Carga Tributária doenças Po (2'!$C167))</f>
        <v>2.1</v>
      </c>
      <c r="AL167" s="89">
        <f>IF('Carga Tributária doenças Po (2'!$Z167="+",0,SUMIFS(PISCOFINS!$H$3:$H$10518,PISCOFINS!$C$3:$C$10518,'Carga Tributária doenças Po (2'!$C167))</f>
        <v>9.9</v>
      </c>
      <c r="AM167" s="95">
        <v>3.27</v>
      </c>
      <c r="AN167" s="95">
        <v>3.12</v>
      </c>
      <c r="AO167" s="95">
        <v>1.35</v>
      </c>
      <c r="AP167" s="96">
        <v>18</v>
      </c>
      <c r="AQ167" s="96">
        <v>12</v>
      </c>
      <c r="AR167" s="96">
        <v>17</v>
      </c>
      <c r="AS167" s="97">
        <v>17</v>
      </c>
      <c r="AT167" s="97">
        <v>19</v>
      </c>
      <c r="AU167" s="97">
        <v>18</v>
      </c>
      <c r="AV167" s="97">
        <v>17</v>
      </c>
      <c r="AW167" s="97">
        <v>17</v>
      </c>
      <c r="AX167" s="97">
        <v>17</v>
      </c>
      <c r="AY167" s="97">
        <v>17</v>
      </c>
      <c r="AZ167" s="97">
        <v>17</v>
      </c>
      <c r="BA167" s="97">
        <v>17</v>
      </c>
      <c r="BB167" s="97">
        <v>17</v>
      </c>
      <c r="BC167" s="97">
        <v>17</v>
      </c>
      <c r="BD167" s="97">
        <v>17</v>
      </c>
      <c r="BE167" s="97">
        <v>17</v>
      </c>
      <c r="BF167" s="97">
        <f>+Tabela1107[[#This Row],[PIS]]+Tabela1107[[#This Row],[COFINS]]+Tabela1107[[#This Row],[CONTRIB. FOLHA]]+Tabela1107[[#This Row],[TRIBUTOS S/ LUCRO]]+Tabela1107[[#This Row],[OUTROS]]+Tabela1107[[#This Row],[SP]]</f>
        <v>37.74</v>
      </c>
      <c r="BG167" s="97">
        <f>+Tabela1107[[#This Row],[PIS]]+Tabela1107[[#This Row],[COFINS]]+Tabela1107[[#This Row],[CONTRIB. FOLHA]]+Tabela1107[[#This Row],[TRIBUTOS S/ LUCRO]]+Tabela1107[[#This Row],[OUTROS]]+Tabela1107[[#This Row],[PR]]</f>
        <v>31.740000000000002</v>
      </c>
      <c r="BH167" s="97">
        <f>+Tabela1107[[#This Row],[PIS]]+Tabela1107[[#This Row],[COFINS]]+Tabela1107[[#This Row],[CONTRIB. FOLHA]]+Tabela1107[[#This Row],[TRIBUTOS S/ LUCRO]]+Tabela1107[[#This Row],[OUTROS]]+Tabela1107[[#This Row],[SC]]</f>
        <v>36.74</v>
      </c>
      <c r="BI167" s="97">
        <f>+Tabela1107[[#This Row],[PIS]]+Tabela1107[[#This Row],[COFINS]]+Tabela1107[[#This Row],[CONTRIB. FOLHA]]+Tabela1107[[#This Row],[TRIBUTOS S/ LUCRO]]+Tabela1107[[#This Row],[OUTROS]]+Tabela1107[[#This Row],[RS]]</f>
        <v>36.74</v>
      </c>
      <c r="BJ167" s="97">
        <f>+Tabela1107[[#This Row],[PIS]]+Tabela1107[[#This Row],[COFINS]]+Tabela1107[[#This Row],[CONTRIB. FOLHA]]+Tabela1107[[#This Row],[TRIBUTOS S/ LUCRO]]+Tabela1107[[#This Row],[OUTROS]]+Tabela1107[[#This Row],[RJ]]</f>
        <v>38.74</v>
      </c>
      <c r="BK167" s="97">
        <f>+Tabela1107[[#This Row],[PIS]]+Tabela1107[[#This Row],[COFINS]]+Tabela1107[[#This Row],[CONTRIB. FOLHA]]+Tabela1107[[#This Row],[TRIBUTOS S/ LUCRO]]+Tabela1107[[#This Row],[OUTROS]]+Tabela1107[[#This Row],[MG]]</f>
        <v>37.74</v>
      </c>
      <c r="BL167" s="97">
        <f>+Tabela1107[[#This Row],[PIS]]+Tabela1107[[#This Row],[COFINS]]+Tabela1107[[#This Row],[CONTRIB. FOLHA]]+Tabela1107[[#This Row],[TRIBUTOS S/ LUCRO]]+Tabela1107[[#This Row],[OUTROS]]+Tabela1107[[#This Row],[ES]]</f>
        <v>36.74</v>
      </c>
      <c r="BM167" s="97">
        <f>+Tabela1107[[#This Row],[PIS]]+Tabela1107[[#This Row],[COFINS]]+Tabela1107[[#This Row],[CONTRIB. FOLHA]]+Tabela1107[[#This Row],[TRIBUTOS S/ LUCRO]]+Tabela1107[[#This Row],[OUTROS]]+Tabela1107[[#This Row],[GO]]</f>
        <v>36.74</v>
      </c>
      <c r="BN167" s="97">
        <f>+Tabela1107[[#This Row],[PIS]]+Tabela1107[[#This Row],[COFINS]]+Tabela1107[[#This Row],[CONTRIB. FOLHA]]+Tabela1107[[#This Row],[TRIBUTOS S/ LUCRO]]+Tabela1107[[#This Row],[OUTROS]]+Tabela1107[[#This Row],[MT]]</f>
        <v>36.74</v>
      </c>
      <c r="BO167" s="97">
        <f>+Tabela1107[[#This Row],[PIS]]+Tabela1107[[#This Row],[COFINS]]+Tabela1107[[#This Row],[CONTRIB. FOLHA]]+Tabela1107[[#This Row],[TRIBUTOS S/ LUCRO]]+Tabela1107[[#This Row],[OUTROS]]+Tabela1107[[#This Row],[MS]]</f>
        <v>36.74</v>
      </c>
      <c r="BP167" s="97">
        <f>+Tabela1107[[#This Row],[PIS]]+Tabela1107[[#This Row],[COFINS]]+Tabela1107[[#This Row],[CONTRIB. FOLHA]]+Tabela1107[[#This Row],[TRIBUTOS S/ LUCRO]]+Tabela1107[[#This Row],[OUTROS]]+Tabela1107[[#This Row],[DF]]</f>
        <v>36.74</v>
      </c>
      <c r="BQ167" s="97">
        <f>+Tabela1107[[#This Row],[PIS]]+Tabela1107[[#This Row],[COFINS]]+Tabela1107[[#This Row],[CONTRIB. FOLHA]]+Tabela1107[[#This Row],[TRIBUTOS S/ LUCRO]]+Tabela1107[[#This Row],[OUTROS]]+Tabela1107[[#This Row],[BA]]</f>
        <v>36.74</v>
      </c>
      <c r="BR167" s="97">
        <f>+Tabela1107[[#This Row],[PIS]]+Tabela1107[[#This Row],[COFINS]]+Tabela1107[[#This Row],[CONTRIB. FOLHA]]+Tabela1107[[#This Row],[TRIBUTOS S/ LUCRO]]+Tabela1107[[#This Row],[OUTROS]]+Tabela1107[[#This Row],[BA]]</f>
        <v>36.74</v>
      </c>
      <c r="BS167" s="97">
        <f>+Tabela1107[[#This Row],[PIS]]+Tabela1107[[#This Row],[COFINS]]+Tabela1107[[#This Row],[CONTRIB. FOLHA]]+Tabela1107[[#This Row],[TRIBUTOS S/ LUCRO]]+Tabela1107[[#This Row],[OUTROS]]+Tabela1107[[#This Row],[PE]]</f>
        <v>36.74</v>
      </c>
      <c r="BT167" s="97">
        <f>+Tabela1107[[#This Row],[PIS]]+Tabela1107[[#This Row],[COFINS]]+Tabela1107[[#This Row],[CONTRIB. FOLHA]]+Tabela1107[[#This Row],[TRIBUTOS S/ LUCRO]]+Tabela1107[[#This Row],[OUTROS]]+Tabela1107[[#This Row],[PA]]</f>
        <v>36.74</v>
      </c>
      <c r="BU167" s="97">
        <f>+Tabela1107[[#This Row],[PIS]]+Tabela1107[[#This Row],[COFINS]]+Tabela1107[[#This Row],[CONTRIB. FOLHA]]+Tabela1107[[#This Row],[TRIBUTOS S/ LUCRO]]+Tabela1107[[#This Row],[OUTROS]]+Tabela1107[[#This Row],[AM]]</f>
        <v>36.74</v>
      </c>
      <c r="BV167" s="97">
        <f>AVERAGE(Tabela1107[[#This Row],[TOTAL SP]:[TOTAL AM]])</f>
        <v>36.677500000000002</v>
      </c>
      <c r="BW167" s="97"/>
      <c r="BX167" s="97"/>
    </row>
    <row r="168" spans="2:76" x14ac:dyDescent="0.25">
      <c r="B168" s="89">
        <v>3386</v>
      </c>
      <c r="C168" s="91" t="s">
        <v>13183</v>
      </c>
      <c r="D168" s="89"/>
      <c r="E168" s="89">
        <v>20140626</v>
      </c>
      <c r="F168" s="89" t="s">
        <v>21015</v>
      </c>
      <c r="G168" s="89" t="s">
        <v>21016</v>
      </c>
      <c r="H168" s="98" t="s">
        <v>21959</v>
      </c>
      <c r="I168" s="89" t="s">
        <v>21017</v>
      </c>
      <c r="J168" s="89" t="s">
        <v>147</v>
      </c>
      <c r="K168" s="89"/>
      <c r="L168" s="89" t="s">
        <v>2655</v>
      </c>
      <c r="M168" s="89" t="s">
        <v>4496</v>
      </c>
      <c r="N168" s="89" t="s">
        <v>4496</v>
      </c>
      <c r="O168" s="89" t="s">
        <v>4496</v>
      </c>
      <c r="P168" s="89" t="s">
        <v>4496</v>
      </c>
      <c r="Q168" s="89"/>
      <c r="R168" s="89" t="s">
        <v>60</v>
      </c>
      <c r="S168" s="89" t="s">
        <v>21654</v>
      </c>
      <c r="T168" s="89" t="s">
        <v>21655</v>
      </c>
      <c r="U168" s="89" t="str">
        <f>TRIM('Carga Tributária doenças Po (2'!$L168)</f>
        <v>DIPIRONA SODICA</v>
      </c>
      <c r="V168" s="89">
        <f>SUMIFS('Tabela Federal'!$E$4:$E$2069,'Tabela Federal'!$D$4:$D$2069,'Carga Tributária doenças Po (2'!$L168)</f>
        <v>1</v>
      </c>
      <c r="W168" s="89">
        <f>SUMIFS('Tabela Federal'!$E$4:$E$2069,'Tabela Federal'!$D$4:$D$2069,'Carga Tributária doenças Po (2'!$M168)</f>
        <v>0</v>
      </c>
      <c r="X168" s="89">
        <f>SUMIFS('Tabela Federal'!$E$4:$E$2069,'Tabela Federal'!$D$4:$D$2069,'Carga Tributária doenças Po (2'!$N168)</f>
        <v>0</v>
      </c>
      <c r="Y168" s="89">
        <f>SUMIFS('Tabela Federal'!$E$4:$E$2069,'Tabela Federal'!$D$4:$D$2069,'Carga Tributária doenças Po (2'!$O168)</f>
        <v>0</v>
      </c>
      <c r="Z168" s="92" t="str">
        <f>VLOOKUP('Carga Tributária doenças Po (2'!$AD168,'Carga Tributária doenças Po (2'!$CA$12:$CC$16,2,0)</f>
        <v>-</v>
      </c>
      <c r="AA168" s="89" t="s">
        <v>7</v>
      </c>
      <c r="AB168" s="89" t="s">
        <v>21730</v>
      </c>
      <c r="AC168" s="89" t="s">
        <v>21740</v>
      </c>
      <c r="AD168" s="93" t="s">
        <v>19523</v>
      </c>
      <c r="AE168" s="92" t="s">
        <v>4</v>
      </c>
      <c r="AF168" s="92" t="s">
        <v>3</v>
      </c>
      <c r="AG168" s="94">
        <v>9091226</v>
      </c>
      <c r="AH168" s="95">
        <v>10601439</v>
      </c>
      <c r="AI168" s="95">
        <v>24141973.27</v>
      </c>
      <c r="AJ168" s="89" t="s">
        <v>595</v>
      </c>
      <c r="AK168" s="89">
        <f>IF('Carga Tributária doenças Po (2'!$Z168="+",0,SUMIFS(PISCOFINS!$I$3:$I$10518,PISCOFINS!$C$3:$C$10518,'Carga Tributária doenças Po (2'!$C168))</f>
        <v>2.1</v>
      </c>
      <c r="AL168" s="89">
        <f>IF('Carga Tributária doenças Po (2'!$Z168="+",0,SUMIFS(PISCOFINS!$H$3:$H$10518,PISCOFINS!$C$3:$C$10518,'Carga Tributária doenças Po (2'!$C168))</f>
        <v>9.9</v>
      </c>
      <c r="AM168" s="95">
        <v>3.27</v>
      </c>
      <c r="AN168" s="95">
        <v>3.12</v>
      </c>
      <c r="AO168" s="95">
        <v>1.35</v>
      </c>
      <c r="AP168" s="96">
        <v>18</v>
      </c>
      <c r="AQ168" s="96">
        <v>12</v>
      </c>
      <c r="AR168" s="96">
        <v>17</v>
      </c>
      <c r="AS168" s="97">
        <v>17</v>
      </c>
      <c r="AT168" s="97">
        <v>19</v>
      </c>
      <c r="AU168" s="97">
        <v>18</v>
      </c>
      <c r="AV168" s="97">
        <v>17</v>
      </c>
      <c r="AW168" s="97">
        <v>17</v>
      </c>
      <c r="AX168" s="97">
        <v>17</v>
      </c>
      <c r="AY168" s="97">
        <v>17</v>
      </c>
      <c r="AZ168" s="97">
        <v>17</v>
      </c>
      <c r="BA168" s="97">
        <v>17</v>
      </c>
      <c r="BB168" s="97">
        <v>17</v>
      </c>
      <c r="BC168" s="97">
        <v>17</v>
      </c>
      <c r="BD168" s="97">
        <v>17</v>
      </c>
      <c r="BE168" s="97">
        <v>17</v>
      </c>
      <c r="BF168" s="97">
        <f>+Tabela1107[[#This Row],[PIS]]+Tabela1107[[#This Row],[COFINS]]+Tabela1107[[#This Row],[CONTRIB. FOLHA]]+Tabela1107[[#This Row],[TRIBUTOS S/ LUCRO]]+Tabela1107[[#This Row],[OUTROS]]+Tabela1107[[#This Row],[SP]]</f>
        <v>37.74</v>
      </c>
      <c r="BG168" s="97">
        <f>+Tabela1107[[#This Row],[PIS]]+Tabela1107[[#This Row],[COFINS]]+Tabela1107[[#This Row],[CONTRIB. FOLHA]]+Tabela1107[[#This Row],[TRIBUTOS S/ LUCRO]]+Tabela1107[[#This Row],[OUTROS]]+Tabela1107[[#This Row],[PR]]</f>
        <v>31.740000000000002</v>
      </c>
      <c r="BH168" s="97">
        <f>+Tabela1107[[#This Row],[PIS]]+Tabela1107[[#This Row],[COFINS]]+Tabela1107[[#This Row],[CONTRIB. FOLHA]]+Tabela1107[[#This Row],[TRIBUTOS S/ LUCRO]]+Tabela1107[[#This Row],[OUTROS]]+Tabela1107[[#This Row],[SC]]</f>
        <v>36.74</v>
      </c>
      <c r="BI168" s="97">
        <f>+Tabela1107[[#This Row],[PIS]]+Tabela1107[[#This Row],[COFINS]]+Tabela1107[[#This Row],[CONTRIB. FOLHA]]+Tabela1107[[#This Row],[TRIBUTOS S/ LUCRO]]+Tabela1107[[#This Row],[OUTROS]]+Tabela1107[[#This Row],[RS]]</f>
        <v>36.74</v>
      </c>
      <c r="BJ168" s="97">
        <f>+Tabela1107[[#This Row],[PIS]]+Tabela1107[[#This Row],[COFINS]]+Tabela1107[[#This Row],[CONTRIB. FOLHA]]+Tabela1107[[#This Row],[TRIBUTOS S/ LUCRO]]+Tabela1107[[#This Row],[OUTROS]]+Tabela1107[[#This Row],[RJ]]</f>
        <v>38.74</v>
      </c>
      <c r="BK168" s="97">
        <f>+Tabela1107[[#This Row],[PIS]]+Tabela1107[[#This Row],[COFINS]]+Tabela1107[[#This Row],[CONTRIB. FOLHA]]+Tabela1107[[#This Row],[TRIBUTOS S/ LUCRO]]+Tabela1107[[#This Row],[OUTROS]]+Tabela1107[[#This Row],[MG]]</f>
        <v>37.74</v>
      </c>
      <c r="BL168" s="97">
        <f>+Tabela1107[[#This Row],[PIS]]+Tabela1107[[#This Row],[COFINS]]+Tabela1107[[#This Row],[CONTRIB. FOLHA]]+Tabela1107[[#This Row],[TRIBUTOS S/ LUCRO]]+Tabela1107[[#This Row],[OUTROS]]+Tabela1107[[#This Row],[ES]]</f>
        <v>36.74</v>
      </c>
      <c r="BM168" s="97">
        <f>+Tabela1107[[#This Row],[PIS]]+Tabela1107[[#This Row],[COFINS]]+Tabela1107[[#This Row],[CONTRIB. FOLHA]]+Tabela1107[[#This Row],[TRIBUTOS S/ LUCRO]]+Tabela1107[[#This Row],[OUTROS]]+Tabela1107[[#This Row],[GO]]</f>
        <v>36.74</v>
      </c>
      <c r="BN168" s="97">
        <f>+Tabela1107[[#This Row],[PIS]]+Tabela1107[[#This Row],[COFINS]]+Tabela1107[[#This Row],[CONTRIB. FOLHA]]+Tabela1107[[#This Row],[TRIBUTOS S/ LUCRO]]+Tabela1107[[#This Row],[OUTROS]]+Tabela1107[[#This Row],[MT]]</f>
        <v>36.74</v>
      </c>
      <c r="BO168" s="97">
        <f>+Tabela1107[[#This Row],[PIS]]+Tabela1107[[#This Row],[COFINS]]+Tabela1107[[#This Row],[CONTRIB. FOLHA]]+Tabela1107[[#This Row],[TRIBUTOS S/ LUCRO]]+Tabela1107[[#This Row],[OUTROS]]+Tabela1107[[#This Row],[MS]]</f>
        <v>36.74</v>
      </c>
      <c r="BP168" s="97">
        <f>+Tabela1107[[#This Row],[PIS]]+Tabela1107[[#This Row],[COFINS]]+Tabela1107[[#This Row],[CONTRIB. FOLHA]]+Tabela1107[[#This Row],[TRIBUTOS S/ LUCRO]]+Tabela1107[[#This Row],[OUTROS]]+Tabela1107[[#This Row],[DF]]</f>
        <v>36.74</v>
      </c>
      <c r="BQ168" s="97">
        <f>+Tabela1107[[#This Row],[PIS]]+Tabela1107[[#This Row],[COFINS]]+Tabela1107[[#This Row],[CONTRIB. FOLHA]]+Tabela1107[[#This Row],[TRIBUTOS S/ LUCRO]]+Tabela1107[[#This Row],[OUTROS]]+Tabela1107[[#This Row],[BA]]</f>
        <v>36.74</v>
      </c>
      <c r="BR168" s="97">
        <f>+Tabela1107[[#This Row],[PIS]]+Tabela1107[[#This Row],[COFINS]]+Tabela1107[[#This Row],[CONTRIB. FOLHA]]+Tabela1107[[#This Row],[TRIBUTOS S/ LUCRO]]+Tabela1107[[#This Row],[OUTROS]]+Tabela1107[[#This Row],[BA]]</f>
        <v>36.74</v>
      </c>
      <c r="BS168" s="97">
        <f>+Tabela1107[[#This Row],[PIS]]+Tabela1107[[#This Row],[COFINS]]+Tabela1107[[#This Row],[CONTRIB. FOLHA]]+Tabela1107[[#This Row],[TRIBUTOS S/ LUCRO]]+Tabela1107[[#This Row],[OUTROS]]+Tabela1107[[#This Row],[PE]]</f>
        <v>36.74</v>
      </c>
      <c r="BT168" s="97">
        <f>+Tabela1107[[#This Row],[PIS]]+Tabela1107[[#This Row],[COFINS]]+Tabela1107[[#This Row],[CONTRIB. FOLHA]]+Tabela1107[[#This Row],[TRIBUTOS S/ LUCRO]]+Tabela1107[[#This Row],[OUTROS]]+Tabela1107[[#This Row],[PA]]</f>
        <v>36.74</v>
      </c>
      <c r="BU168" s="97">
        <f>+Tabela1107[[#This Row],[PIS]]+Tabela1107[[#This Row],[COFINS]]+Tabela1107[[#This Row],[CONTRIB. FOLHA]]+Tabela1107[[#This Row],[TRIBUTOS S/ LUCRO]]+Tabela1107[[#This Row],[OUTROS]]+Tabela1107[[#This Row],[AM]]</f>
        <v>36.74</v>
      </c>
      <c r="BV168" s="97">
        <f>AVERAGE(Tabela1107[[#This Row],[TOTAL SP]:[TOTAL AM]])</f>
        <v>36.677500000000002</v>
      </c>
      <c r="BW168" s="97"/>
      <c r="BX168" s="97"/>
    </row>
    <row r="169" spans="2:76" x14ac:dyDescent="0.25">
      <c r="B169" s="89">
        <v>3386</v>
      </c>
      <c r="C169" s="91" t="s">
        <v>13183</v>
      </c>
      <c r="D169" s="89"/>
      <c r="E169" s="89">
        <v>20140626</v>
      </c>
      <c r="F169" s="89" t="s">
        <v>21015</v>
      </c>
      <c r="G169" s="89" t="s">
        <v>21016</v>
      </c>
      <c r="H169" s="98" t="s">
        <v>21959</v>
      </c>
      <c r="I169" s="89" t="s">
        <v>21017</v>
      </c>
      <c r="J169" s="89" t="s">
        <v>147</v>
      </c>
      <c r="K169" s="89"/>
      <c r="L169" s="89" t="s">
        <v>2655</v>
      </c>
      <c r="M169" s="89" t="s">
        <v>4496</v>
      </c>
      <c r="N169" s="89" t="s">
        <v>4496</v>
      </c>
      <c r="O169" s="89" t="s">
        <v>4496</v>
      </c>
      <c r="P169" s="89" t="s">
        <v>4496</v>
      </c>
      <c r="Q169" s="89"/>
      <c r="R169" s="89" t="s">
        <v>60</v>
      </c>
      <c r="S169" s="89" t="s">
        <v>21654</v>
      </c>
      <c r="T169" s="89" t="s">
        <v>21655</v>
      </c>
      <c r="U169" s="89" t="str">
        <f>TRIM('Carga Tributária doenças Po (2'!$L169)</f>
        <v>DIPIRONA SODICA</v>
      </c>
      <c r="V169" s="89">
        <f>SUMIFS('Tabela Federal'!$E$4:$E$2069,'Tabela Federal'!$D$4:$D$2069,'Carga Tributária doenças Po (2'!$L169)</f>
        <v>1</v>
      </c>
      <c r="W169" s="89">
        <f>SUMIFS('Tabela Federal'!$E$4:$E$2069,'Tabela Federal'!$D$4:$D$2069,'Carga Tributária doenças Po (2'!$M169)</f>
        <v>0</v>
      </c>
      <c r="X169" s="89">
        <f>SUMIFS('Tabela Federal'!$E$4:$E$2069,'Tabela Federal'!$D$4:$D$2069,'Carga Tributária doenças Po (2'!$N169)</f>
        <v>0</v>
      </c>
      <c r="Y169" s="89">
        <f>SUMIFS('Tabela Federal'!$E$4:$E$2069,'Tabela Federal'!$D$4:$D$2069,'Carga Tributária doenças Po (2'!$O169)</f>
        <v>0</v>
      </c>
      <c r="Z169" s="92" t="str">
        <f>VLOOKUP('Carga Tributária doenças Po (2'!$AD169,'Carga Tributária doenças Po (2'!$CA$12:$CC$16,2,0)</f>
        <v>-</v>
      </c>
      <c r="AA169" s="89" t="s">
        <v>7</v>
      </c>
      <c r="AB169" s="89" t="s">
        <v>21730</v>
      </c>
      <c r="AC169" s="89" t="s">
        <v>21740</v>
      </c>
      <c r="AD169" s="93" t="s">
        <v>19523</v>
      </c>
      <c r="AE169" s="92" t="s">
        <v>4</v>
      </c>
      <c r="AF169" s="92" t="s">
        <v>3</v>
      </c>
      <c r="AG169" s="94">
        <v>9091226</v>
      </c>
      <c r="AH169" s="95">
        <v>10601439</v>
      </c>
      <c r="AI169" s="95">
        <v>24141973.27</v>
      </c>
      <c r="AJ169" s="89" t="s">
        <v>611</v>
      </c>
      <c r="AK169" s="89">
        <f>IF('Carga Tributária doenças Po (2'!$Z169="+",0,SUMIFS(PISCOFINS!$I$3:$I$10518,PISCOFINS!$C$3:$C$10518,'Carga Tributária doenças Po (2'!$C169))</f>
        <v>2.1</v>
      </c>
      <c r="AL169" s="89">
        <f>IF('Carga Tributária doenças Po (2'!$Z169="+",0,SUMIFS(PISCOFINS!$H$3:$H$10518,PISCOFINS!$C$3:$C$10518,'Carga Tributária doenças Po (2'!$C169))</f>
        <v>9.9</v>
      </c>
      <c r="AM169" s="95">
        <v>3.27</v>
      </c>
      <c r="AN169" s="95">
        <v>3.12</v>
      </c>
      <c r="AO169" s="95">
        <v>1.35</v>
      </c>
      <c r="AP169" s="96">
        <v>18</v>
      </c>
      <c r="AQ169" s="96">
        <v>12</v>
      </c>
      <c r="AR169" s="96">
        <v>17</v>
      </c>
      <c r="AS169" s="97">
        <v>17</v>
      </c>
      <c r="AT169" s="97">
        <v>19</v>
      </c>
      <c r="AU169" s="97">
        <v>18</v>
      </c>
      <c r="AV169" s="97">
        <v>17</v>
      </c>
      <c r="AW169" s="97">
        <v>17</v>
      </c>
      <c r="AX169" s="97">
        <v>17</v>
      </c>
      <c r="AY169" s="97">
        <v>17</v>
      </c>
      <c r="AZ169" s="97">
        <v>17</v>
      </c>
      <c r="BA169" s="97">
        <v>17</v>
      </c>
      <c r="BB169" s="97">
        <v>17</v>
      </c>
      <c r="BC169" s="97">
        <v>17</v>
      </c>
      <c r="BD169" s="97">
        <v>17</v>
      </c>
      <c r="BE169" s="97">
        <v>17</v>
      </c>
      <c r="BF169" s="97">
        <f>+Tabela1107[[#This Row],[PIS]]+Tabela1107[[#This Row],[COFINS]]+Tabela1107[[#This Row],[CONTRIB. FOLHA]]+Tabela1107[[#This Row],[TRIBUTOS S/ LUCRO]]+Tabela1107[[#This Row],[OUTROS]]+Tabela1107[[#This Row],[SP]]</f>
        <v>37.74</v>
      </c>
      <c r="BG169" s="97">
        <f>+Tabela1107[[#This Row],[PIS]]+Tabela1107[[#This Row],[COFINS]]+Tabela1107[[#This Row],[CONTRIB. FOLHA]]+Tabela1107[[#This Row],[TRIBUTOS S/ LUCRO]]+Tabela1107[[#This Row],[OUTROS]]+Tabela1107[[#This Row],[PR]]</f>
        <v>31.740000000000002</v>
      </c>
      <c r="BH169" s="97">
        <f>+Tabela1107[[#This Row],[PIS]]+Tabela1107[[#This Row],[COFINS]]+Tabela1107[[#This Row],[CONTRIB. FOLHA]]+Tabela1107[[#This Row],[TRIBUTOS S/ LUCRO]]+Tabela1107[[#This Row],[OUTROS]]+Tabela1107[[#This Row],[SC]]</f>
        <v>36.74</v>
      </c>
      <c r="BI169" s="97">
        <f>+Tabela1107[[#This Row],[PIS]]+Tabela1107[[#This Row],[COFINS]]+Tabela1107[[#This Row],[CONTRIB. FOLHA]]+Tabela1107[[#This Row],[TRIBUTOS S/ LUCRO]]+Tabela1107[[#This Row],[OUTROS]]+Tabela1107[[#This Row],[RS]]</f>
        <v>36.74</v>
      </c>
      <c r="BJ169" s="97">
        <f>+Tabela1107[[#This Row],[PIS]]+Tabela1107[[#This Row],[COFINS]]+Tabela1107[[#This Row],[CONTRIB. FOLHA]]+Tabela1107[[#This Row],[TRIBUTOS S/ LUCRO]]+Tabela1107[[#This Row],[OUTROS]]+Tabela1107[[#This Row],[RJ]]</f>
        <v>38.74</v>
      </c>
      <c r="BK169" s="97">
        <f>+Tabela1107[[#This Row],[PIS]]+Tabela1107[[#This Row],[COFINS]]+Tabela1107[[#This Row],[CONTRIB. FOLHA]]+Tabela1107[[#This Row],[TRIBUTOS S/ LUCRO]]+Tabela1107[[#This Row],[OUTROS]]+Tabela1107[[#This Row],[MG]]</f>
        <v>37.74</v>
      </c>
      <c r="BL169" s="97">
        <f>+Tabela1107[[#This Row],[PIS]]+Tabela1107[[#This Row],[COFINS]]+Tabela1107[[#This Row],[CONTRIB. FOLHA]]+Tabela1107[[#This Row],[TRIBUTOS S/ LUCRO]]+Tabela1107[[#This Row],[OUTROS]]+Tabela1107[[#This Row],[ES]]</f>
        <v>36.74</v>
      </c>
      <c r="BM169" s="97">
        <f>+Tabela1107[[#This Row],[PIS]]+Tabela1107[[#This Row],[COFINS]]+Tabela1107[[#This Row],[CONTRIB. FOLHA]]+Tabela1107[[#This Row],[TRIBUTOS S/ LUCRO]]+Tabela1107[[#This Row],[OUTROS]]+Tabela1107[[#This Row],[GO]]</f>
        <v>36.74</v>
      </c>
      <c r="BN169" s="97">
        <f>+Tabela1107[[#This Row],[PIS]]+Tabela1107[[#This Row],[COFINS]]+Tabela1107[[#This Row],[CONTRIB. FOLHA]]+Tabela1107[[#This Row],[TRIBUTOS S/ LUCRO]]+Tabela1107[[#This Row],[OUTROS]]+Tabela1107[[#This Row],[MT]]</f>
        <v>36.74</v>
      </c>
      <c r="BO169" s="97">
        <f>+Tabela1107[[#This Row],[PIS]]+Tabela1107[[#This Row],[COFINS]]+Tabela1107[[#This Row],[CONTRIB. FOLHA]]+Tabela1107[[#This Row],[TRIBUTOS S/ LUCRO]]+Tabela1107[[#This Row],[OUTROS]]+Tabela1107[[#This Row],[MS]]</f>
        <v>36.74</v>
      </c>
      <c r="BP169" s="97">
        <f>+Tabela1107[[#This Row],[PIS]]+Tabela1107[[#This Row],[COFINS]]+Tabela1107[[#This Row],[CONTRIB. FOLHA]]+Tabela1107[[#This Row],[TRIBUTOS S/ LUCRO]]+Tabela1107[[#This Row],[OUTROS]]+Tabela1107[[#This Row],[DF]]</f>
        <v>36.74</v>
      </c>
      <c r="BQ169" s="97">
        <f>+Tabela1107[[#This Row],[PIS]]+Tabela1107[[#This Row],[COFINS]]+Tabela1107[[#This Row],[CONTRIB. FOLHA]]+Tabela1107[[#This Row],[TRIBUTOS S/ LUCRO]]+Tabela1107[[#This Row],[OUTROS]]+Tabela1107[[#This Row],[BA]]</f>
        <v>36.74</v>
      </c>
      <c r="BR169" s="97">
        <f>+Tabela1107[[#This Row],[PIS]]+Tabela1107[[#This Row],[COFINS]]+Tabela1107[[#This Row],[CONTRIB. FOLHA]]+Tabela1107[[#This Row],[TRIBUTOS S/ LUCRO]]+Tabela1107[[#This Row],[OUTROS]]+Tabela1107[[#This Row],[BA]]</f>
        <v>36.74</v>
      </c>
      <c r="BS169" s="97">
        <f>+Tabela1107[[#This Row],[PIS]]+Tabela1107[[#This Row],[COFINS]]+Tabela1107[[#This Row],[CONTRIB. FOLHA]]+Tabela1107[[#This Row],[TRIBUTOS S/ LUCRO]]+Tabela1107[[#This Row],[OUTROS]]+Tabela1107[[#This Row],[PE]]</f>
        <v>36.74</v>
      </c>
      <c r="BT169" s="97">
        <f>+Tabela1107[[#This Row],[PIS]]+Tabela1107[[#This Row],[COFINS]]+Tabela1107[[#This Row],[CONTRIB. FOLHA]]+Tabela1107[[#This Row],[TRIBUTOS S/ LUCRO]]+Tabela1107[[#This Row],[OUTROS]]+Tabela1107[[#This Row],[PA]]</f>
        <v>36.74</v>
      </c>
      <c r="BU169" s="97">
        <f>+Tabela1107[[#This Row],[PIS]]+Tabela1107[[#This Row],[COFINS]]+Tabela1107[[#This Row],[CONTRIB. FOLHA]]+Tabela1107[[#This Row],[TRIBUTOS S/ LUCRO]]+Tabela1107[[#This Row],[OUTROS]]+Tabela1107[[#This Row],[AM]]</f>
        <v>36.74</v>
      </c>
      <c r="BV169" s="97">
        <f>AVERAGE(Tabela1107[[#This Row],[TOTAL SP]:[TOTAL AM]])</f>
        <v>36.677500000000002</v>
      </c>
      <c r="BW169" s="97"/>
      <c r="BX169" s="97"/>
    </row>
    <row r="170" spans="2:76" x14ac:dyDescent="0.25">
      <c r="B170" s="89">
        <v>3386</v>
      </c>
      <c r="C170" s="91" t="s">
        <v>13183</v>
      </c>
      <c r="D170" s="89"/>
      <c r="E170" s="89">
        <v>20140626</v>
      </c>
      <c r="F170" s="89" t="s">
        <v>21015</v>
      </c>
      <c r="G170" s="89" t="s">
        <v>21016</v>
      </c>
      <c r="H170" s="98" t="s">
        <v>21959</v>
      </c>
      <c r="I170" s="89" t="s">
        <v>21017</v>
      </c>
      <c r="J170" s="89" t="s">
        <v>147</v>
      </c>
      <c r="K170" s="89"/>
      <c r="L170" s="89" t="s">
        <v>2655</v>
      </c>
      <c r="M170" s="89" t="s">
        <v>4496</v>
      </c>
      <c r="N170" s="89" t="s">
        <v>4496</v>
      </c>
      <c r="O170" s="89" t="s">
        <v>4496</v>
      </c>
      <c r="P170" s="89" t="s">
        <v>4496</v>
      </c>
      <c r="Q170" s="89"/>
      <c r="R170" s="89" t="s">
        <v>60</v>
      </c>
      <c r="S170" s="89" t="s">
        <v>21654</v>
      </c>
      <c r="T170" s="89" t="s">
        <v>21655</v>
      </c>
      <c r="U170" s="89" t="str">
        <f>TRIM('Carga Tributária doenças Po (2'!$L170)</f>
        <v>DIPIRONA SODICA</v>
      </c>
      <c r="V170" s="89">
        <f>SUMIFS('Tabela Federal'!$E$4:$E$2069,'Tabela Federal'!$D$4:$D$2069,'Carga Tributária doenças Po (2'!$L170)</f>
        <v>1</v>
      </c>
      <c r="W170" s="89">
        <f>SUMIFS('Tabela Federal'!$E$4:$E$2069,'Tabela Federal'!$D$4:$D$2069,'Carga Tributária doenças Po (2'!$M170)</f>
        <v>0</v>
      </c>
      <c r="X170" s="89">
        <f>SUMIFS('Tabela Federal'!$E$4:$E$2069,'Tabela Federal'!$D$4:$D$2069,'Carga Tributária doenças Po (2'!$N170)</f>
        <v>0</v>
      </c>
      <c r="Y170" s="89">
        <f>SUMIFS('Tabela Federal'!$E$4:$E$2069,'Tabela Federal'!$D$4:$D$2069,'Carga Tributária doenças Po (2'!$O170)</f>
        <v>0</v>
      </c>
      <c r="Z170" s="92" t="str">
        <f>VLOOKUP('Carga Tributária doenças Po (2'!$AD170,'Carga Tributária doenças Po (2'!$CA$12:$CC$16,2,0)</f>
        <v>-</v>
      </c>
      <c r="AA170" s="89" t="s">
        <v>7</v>
      </c>
      <c r="AB170" s="89" t="s">
        <v>21730</v>
      </c>
      <c r="AC170" s="89" t="s">
        <v>21740</v>
      </c>
      <c r="AD170" s="93" t="s">
        <v>19523</v>
      </c>
      <c r="AE170" s="92" t="s">
        <v>4</v>
      </c>
      <c r="AF170" s="92" t="s">
        <v>3</v>
      </c>
      <c r="AG170" s="94">
        <v>9091226</v>
      </c>
      <c r="AH170" s="95">
        <v>10601439</v>
      </c>
      <c r="AI170" s="95">
        <v>24141973.27</v>
      </c>
      <c r="AJ170" s="89" t="s">
        <v>333</v>
      </c>
      <c r="AK170" s="89">
        <f>IF('Carga Tributária doenças Po (2'!$Z170="+",0,SUMIFS(PISCOFINS!$I$3:$I$10518,PISCOFINS!$C$3:$C$10518,'Carga Tributária doenças Po (2'!$C170))</f>
        <v>2.1</v>
      </c>
      <c r="AL170" s="89">
        <f>IF('Carga Tributária doenças Po (2'!$Z170="+",0,SUMIFS(PISCOFINS!$H$3:$H$10518,PISCOFINS!$C$3:$C$10518,'Carga Tributária doenças Po (2'!$C170))</f>
        <v>9.9</v>
      </c>
      <c r="AM170" s="95">
        <v>3.27</v>
      </c>
      <c r="AN170" s="95">
        <v>3.12</v>
      </c>
      <c r="AO170" s="95">
        <v>1.35</v>
      </c>
      <c r="AP170" s="96">
        <v>18</v>
      </c>
      <c r="AQ170" s="96">
        <v>12</v>
      </c>
      <c r="AR170" s="96">
        <v>17</v>
      </c>
      <c r="AS170" s="97">
        <v>17</v>
      </c>
      <c r="AT170" s="97">
        <v>19</v>
      </c>
      <c r="AU170" s="97">
        <v>18</v>
      </c>
      <c r="AV170" s="97">
        <v>17</v>
      </c>
      <c r="AW170" s="97">
        <v>17</v>
      </c>
      <c r="AX170" s="97">
        <v>17</v>
      </c>
      <c r="AY170" s="97">
        <v>17</v>
      </c>
      <c r="AZ170" s="97">
        <v>17</v>
      </c>
      <c r="BA170" s="97">
        <v>17</v>
      </c>
      <c r="BB170" s="97">
        <v>17</v>
      </c>
      <c r="BC170" s="97">
        <v>17</v>
      </c>
      <c r="BD170" s="97">
        <v>17</v>
      </c>
      <c r="BE170" s="97">
        <v>17</v>
      </c>
      <c r="BF170" s="97">
        <f>+Tabela1107[[#This Row],[PIS]]+Tabela1107[[#This Row],[COFINS]]+Tabela1107[[#This Row],[CONTRIB. FOLHA]]+Tabela1107[[#This Row],[TRIBUTOS S/ LUCRO]]+Tabela1107[[#This Row],[OUTROS]]+Tabela1107[[#This Row],[SP]]</f>
        <v>37.74</v>
      </c>
      <c r="BG170" s="97">
        <f>+Tabela1107[[#This Row],[PIS]]+Tabela1107[[#This Row],[COFINS]]+Tabela1107[[#This Row],[CONTRIB. FOLHA]]+Tabela1107[[#This Row],[TRIBUTOS S/ LUCRO]]+Tabela1107[[#This Row],[OUTROS]]+Tabela1107[[#This Row],[PR]]</f>
        <v>31.740000000000002</v>
      </c>
      <c r="BH170" s="97">
        <f>+Tabela1107[[#This Row],[PIS]]+Tabela1107[[#This Row],[COFINS]]+Tabela1107[[#This Row],[CONTRIB. FOLHA]]+Tabela1107[[#This Row],[TRIBUTOS S/ LUCRO]]+Tabela1107[[#This Row],[OUTROS]]+Tabela1107[[#This Row],[SC]]</f>
        <v>36.74</v>
      </c>
      <c r="BI170" s="97">
        <f>+Tabela1107[[#This Row],[PIS]]+Tabela1107[[#This Row],[COFINS]]+Tabela1107[[#This Row],[CONTRIB. FOLHA]]+Tabela1107[[#This Row],[TRIBUTOS S/ LUCRO]]+Tabela1107[[#This Row],[OUTROS]]+Tabela1107[[#This Row],[RS]]</f>
        <v>36.74</v>
      </c>
      <c r="BJ170" s="97">
        <f>+Tabela1107[[#This Row],[PIS]]+Tabela1107[[#This Row],[COFINS]]+Tabela1107[[#This Row],[CONTRIB. FOLHA]]+Tabela1107[[#This Row],[TRIBUTOS S/ LUCRO]]+Tabela1107[[#This Row],[OUTROS]]+Tabela1107[[#This Row],[RJ]]</f>
        <v>38.74</v>
      </c>
      <c r="BK170" s="97">
        <f>+Tabela1107[[#This Row],[PIS]]+Tabela1107[[#This Row],[COFINS]]+Tabela1107[[#This Row],[CONTRIB. FOLHA]]+Tabela1107[[#This Row],[TRIBUTOS S/ LUCRO]]+Tabela1107[[#This Row],[OUTROS]]+Tabela1107[[#This Row],[MG]]</f>
        <v>37.74</v>
      </c>
      <c r="BL170" s="97">
        <f>+Tabela1107[[#This Row],[PIS]]+Tabela1107[[#This Row],[COFINS]]+Tabela1107[[#This Row],[CONTRIB. FOLHA]]+Tabela1107[[#This Row],[TRIBUTOS S/ LUCRO]]+Tabela1107[[#This Row],[OUTROS]]+Tabela1107[[#This Row],[ES]]</f>
        <v>36.74</v>
      </c>
      <c r="BM170" s="97">
        <f>+Tabela1107[[#This Row],[PIS]]+Tabela1107[[#This Row],[COFINS]]+Tabela1107[[#This Row],[CONTRIB. FOLHA]]+Tabela1107[[#This Row],[TRIBUTOS S/ LUCRO]]+Tabela1107[[#This Row],[OUTROS]]+Tabela1107[[#This Row],[GO]]</f>
        <v>36.74</v>
      </c>
      <c r="BN170" s="97">
        <f>+Tabela1107[[#This Row],[PIS]]+Tabela1107[[#This Row],[COFINS]]+Tabela1107[[#This Row],[CONTRIB. FOLHA]]+Tabela1107[[#This Row],[TRIBUTOS S/ LUCRO]]+Tabela1107[[#This Row],[OUTROS]]+Tabela1107[[#This Row],[MT]]</f>
        <v>36.74</v>
      </c>
      <c r="BO170" s="97">
        <f>+Tabela1107[[#This Row],[PIS]]+Tabela1107[[#This Row],[COFINS]]+Tabela1107[[#This Row],[CONTRIB. FOLHA]]+Tabela1107[[#This Row],[TRIBUTOS S/ LUCRO]]+Tabela1107[[#This Row],[OUTROS]]+Tabela1107[[#This Row],[MS]]</f>
        <v>36.74</v>
      </c>
      <c r="BP170" s="97">
        <f>+Tabela1107[[#This Row],[PIS]]+Tabela1107[[#This Row],[COFINS]]+Tabela1107[[#This Row],[CONTRIB. FOLHA]]+Tabela1107[[#This Row],[TRIBUTOS S/ LUCRO]]+Tabela1107[[#This Row],[OUTROS]]+Tabela1107[[#This Row],[DF]]</f>
        <v>36.74</v>
      </c>
      <c r="BQ170" s="97">
        <f>+Tabela1107[[#This Row],[PIS]]+Tabela1107[[#This Row],[COFINS]]+Tabela1107[[#This Row],[CONTRIB. FOLHA]]+Tabela1107[[#This Row],[TRIBUTOS S/ LUCRO]]+Tabela1107[[#This Row],[OUTROS]]+Tabela1107[[#This Row],[BA]]</f>
        <v>36.74</v>
      </c>
      <c r="BR170" s="97">
        <f>+Tabela1107[[#This Row],[PIS]]+Tabela1107[[#This Row],[COFINS]]+Tabela1107[[#This Row],[CONTRIB. FOLHA]]+Tabela1107[[#This Row],[TRIBUTOS S/ LUCRO]]+Tabela1107[[#This Row],[OUTROS]]+Tabela1107[[#This Row],[BA]]</f>
        <v>36.74</v>
      </c>
      <c r="BS170" s="97">
        <f>+Tabela1107[[#This Row],[PIS]]+Tabela1107[[#This Row],[COFINS]]+Tabela1107[[#This Row],[CONTRIB. FOLHA]]+Tabela1107[[#This Row],[TRIBUTOS S/ LUCRO]]+Tabela1107[[#This Row],[OUTROS]]+Tabela1107[[#This Row],[PE]]</f>
        <v>36.74</v>
      </c>
      <c r="BT170" s="97">
        <f>+Tabela1107[[#This Row],[PIS]]+Tabela1107[[#This Row],[COFINS]]+Tabela1107[[#This Row],[CONTRIB. FOLHA]]+Tabela1107[[#This Row],[TRIBUTOS S/ LUCRO]]+Tabela1107[[#This Row],[OUTROS]]+Tabela1107[[#This Row],[PA]]</f>
        <v>36.74</v>
      </c>
      <c r="BU170" s="97">
        <f>+Tabela1107[[#This Row],[PIS]]+Tabela1107[[#This Row],[COFINS]]+Tabela1107[[#This Row],[CONTRIB. FOLHA]]+Tabela1107[[#This Row],[TRIBUTOS S/ LUCRO]]+Tabela1107[[#This Row],[OUTROS]]+Tabela1107[[#This Row],[AM]]</f>
        <v>36.74</v>
      </c>
      <c r="BV170" s="97">
        <f>AVERAGE(Tabela1107[[#This Row],[TOTAL SP]:[TOTAL AM]])</f>
        <v>36.677500000000002</v>
      </c>
      <c r="BW170" s="97"/>
      <c r="BX170" s="97"/>
    </row>
    <row r="171" spans="2:76" x14ac:dyDescent="0.25">
      <c r="B171" s="89">
        <v>3386</v>
      </c>
      <c r="C171" s="91" t="s">
        <v>13183</v>
      </c>
      <c r="D171" s="89"/>
      <c r="E171" s="89">
        <v>20140626</v>
      </c>
      <c r="F171" s="89" t="s">
        <v>21015</v>
      </c>
      <c r="G171" s="89" t="s">
        <v>21016</v>
      </c>
      <c r="H171" s="98" t="s">
        <v>21959</v>
      </c>
      <c r="I171" s="89" t="s">
        <v>21017</v>
      </c>
      <c r="J171" s="89" t="s">
        <v>147</v>
      </c>
      <c r="K171" s="89"/>
      <c r="L171" s="89" t="s">
        <v>2655</v>
      </c>
      <c r="M171" s="89" t="s">
        <v>4496</v>
      </c>
      <c r="N171" s="89" t="s">
        <v>4496</v>
      </c>
      <c r="O171" s="89" t="s">
        <v>4496</v>
      </c>
      <c r="P171" s="89" t="s">
        <v>4496</v>
      </c>
      <c r="Q171" s="89"/>
      <c r="R171" s="89" t="s">
        <v>60</v>
      </c>
      <c r="S171" s="89" t="s">
        <v>21654</v>
      </c>
      <c r="T171" s="89" t="s">
        <v>21655</v>
      </c>
      <c r="U171" s="89" t="str">
        <f>TRIM('Carga Tributária doenças Po (2'!$L171)</f>
        <v>DIPIRONA SODICA</v>
      </c>
      <c r="V171" s="89">
        <f>SUMIFS('Tabela Federal'!$E$4:$E$2069,'Tabela Federal'!$D$4:$D$2069,'Carga Tributária doenças Po (2'!$L171)</f>
        <v>1</v>
      </c>
      <c r="W171" s="89">
        <f>SUMIFS('Tabela Federal'!$E$4:$E$2069,'Tabela Federal'!$D$4:$D$2069,'Carga Tributária doenças Po (2'!$M171)</f>
        <v>0</v>
      </c>
      <c r="X171" s="89">
        <f>SUMIFS('Tabela Federal'!$E$4:$E$2069,'Tabela Federal'!$D$4:$D$2069,'Carga Tributária doenças Po (2'!$N171)</f>
        <v>0</v>
      </c>
      <c r="Y171" s="89">
        <f>SUMIFS('Tabela Federal'!$E$4:$E$2069,'Tabela Federal'!$D$4:$D$2069,'Carga Tributária doenças Po (2'!$O171)</f>
        <v>0</v>
      </c>
      <c r="Z171" s="92" t="str">
        <f>VLOOKUP('Carga Tributária doenças Po (2'!$AD171,'Carga Tributária doenças Po (2'!$CA$12:$CC$16,2,0)</f>
        <v>-</v>
      </c>
      <c r="AA171" s="89" t="s">
        <v>7</v>
      </c>
      <c r="AB171" s="89" t="s">
        <v>21730</v>
      </c>
      <c r="AC171" s="89" t="s">
        <v>21740</v>
      </c>
      <c r="AD171" s="93" t="s">
        <v>19523</v>
      </c>
      <c r="AE171" s="92" t="s">
        <v>4</v>
      </c>
      <c r="AF171" s="92" t="s">
        <v>3</v>
      </c>
      <c r="AG171" s="94">
        <v>9091226</v>
      </c>
      <c r="AH171" s="95">
        <v>10601439</v>
      </c>
      <c r="AI171" s="95">
        <v>24141973.27</v>
      </c>
      <c r="AJ171" s="89" t="s">
        <v>5</v>
      </c>
      <c r="AK171" s="89">
        <f>IF('Carga Tributária doenças Po (2'!$Z171="+",0,SUMIFS(PISCOFINS!$I$3:$I$10518,PISCOFINS!$C$3:$C$10518,'Carga Tributária doenças Po (2'!$C171))</f>
        <v>2.1</v>
      </c>
      <c r="AL171" s="89">
        <f>IF('Carga Tributária doenças Po (2'!$Z171="+",0,SUMIFS(PISCOFINS!$H$3:$H$10518,PISCOFINS!$C$3:$C$10518,'Carga Tributária doenças Po (2'!$C171))</f>
        <v>9.9</v>
      </c>
      <c r="AM171" s="95">
        <v>3.27</v>
      </c>
      <c r="AN171" s="95">
        <v>3.12</v>
      </c>
      <c r="AO171" s="95">
        <v>1.35</v>
      </c>
      <c r="AP171" s="96">
        <v>18</v>
      </c>
      <c r="AQ171" s="96">
        <v>12</v>
      </c>
      <c r="AR171" s="96">
        <v>17</v>
      </c>
      <c r="AS171" s="97">
        <v>17</v>
      </c>
      <c r="AT171" s="97">
        <v>19</v>
      </c>
      <c r="AU171" s="97">
        <v>18</v>
      </c>
      <c r="AV171" s="97">
        <v>17</v>
      </c>
      <c r="AW171" s="97">
        <v>17</v>
      </c>
      <c r="AX171" s="97">
        <v>17</v>
      </c>
      <c r="AY171" s="97">
        <v>17</v>
      </c>
      <c r="AZ171" s="97">
        <v>17</v>
      </c>
      <c r="BA171" s="97">
        <v>17</v>
      </c>
      <c r="BB171" s="97">
        <v>17</v>
      </c>
      <c r="BC171" s="97">
        <v>17</v>
      </c>
      <c r="BD171" s="97">
        <v>17</v>
      </c>
      <c r="BE171" s="97">
        <v>17</v>
      </c>
      <c r="BF171" s="97">
        <f>+Tabela1107[[#This Row],[PIS]]+Tabela1107[[#This Row],[COFINS]]+Tabela1107[[#This Row],[CONTRIB. FOLHA]]+Tabela1107[[#This Row],[TRIBUTOS S/ LUCRO]]+Tabela1107[[#This Row],[OUTROS]]+Tabela1107[[#This Row],[SP]]</f>
        <v>37.74</v>
      </c>
      <c r="BG171" s="97">
        <f>+Tabela1107[[#This Row],[PIS]]+Tabela1107[[#This Row],[COFINS]]+Tabela1107[[#This Row],[CONTRIB. FOLHA]]+Tabela1107[[#This Row],[TRIBUTOS S/ LUCRO]]+Tabela1107[[#This Row],[OUTROS]]+Tabela1107[[#This Row],[PR]]</f>
        <v>31.740000000000002</v>
      </c>
      <c r="BH171" s="97">
        <f>+Tabela1107[[#This Row],[PIS]]+Tabela1107[[#This Row],[COFINS]]+Tabela1107[[#This Row],[CONTRIB. FOLHA]]+Tabela1107[[#This Row],[TRIBUTOS S/ LUCRO]]+Tabela1107[[#This Row],[OUTROS]]+Tabela1107[[#This Row],[SC]]</f>
        <v>36.74</v>
      </c>
      <c r="BI171" s="97">
        <f>+Tabela1107[[#This Row],[PIS]]+Tabela1107[[#This Row],[COFINS]]+Tabela1107[[#This Row],[CONTRIB. FOLHA]]+Tabela1107[[#This Row],[TRIBUTOS S/ LUCRO]]+Tabela1107[[#This Row],[OUTROS]]+Tabela1107[[#This Row],[RS]]</f>
        <v>36.74</v>
      </c>
      <c r="BJ171" s="97">
        <f>+Tabela1107[[#This Row],[PIS]]+Tabela1107[[#This Row],[COFINS]]+Tabela1107[[#This Row],[CONTRIB. FOLHA]]+Tabela1107[[#This Row],[TRIBUTOS S/ LUCRO]]+Tabela1107[[#This Row],[OUTROS]]+Tabela1107[[#This Row],[RJ]]</f>
        <v>38.74</v>
      </c>
      <c r="BK171" s="97">
        <f>+Tabela1107[[#This Row],[PIS]]+Tabela1107[[#This Row],[COFINS]]+Tabela1107[[#This Row],[CONTRIB. FOLHA]]+Tabela1107[[#This Row],[TRIBUTOS S/ LUCRO]]+Tabela1107[[#This Row],[OUTROS]]+Tabela1107[[#This Row],[MG]]</f>
        <v>37.74</v>
      </c>
      <c r="BL171" s="97">
        <f>+Tabela1107[[#This Row],[PIS]]+Tabela1107[[#This Row],[COFINS]]+Tabela1107[[#This Row],[CONTRIB. FOLHA]]+Tabela1107[[#This Row],[TRIBUTOS S/ LUCRO]]+Tabela1107[[#This Row],[OUTROS]]+Tabela1107[[#This Row],[ES]]</f>
        <v>36.74</v>
      </c>
      <c r="BM171" s="97">
        <f>+Tabela1107[[#This Row],[PIS]]+Tabela1107[[#This Row],[COFINS]]+Tabela1107[[#This Row],[CONTRIB. FOLHA]]+Tabela1107[[#This Row],[TRIBUTOS S/ LUCRO]]+Tabela1107[[#This Row],[OUTROS]]+Tabela1107[[#This Row],[GO]]</f>
        <v>36.74</v>
      </c>
      <c r="BN171" s="97">
        <f>+Tabela1107[[#This Row],[PIS]]+Tabela1107[[#This Row],[COFINS]]+Tabela1107[[#This Row],[CONTRIB. FOLHA]]+Tabela1107[[#This Row],[TRIBUTOS S/ LUCRO]]+Tabela1107[[#This Row],[OUTROS]]+Tabela1107[[#This Row],[MT]]</f>
        <v>36.74</v>
      </c>
      <c r="BO171" s="97">
        <f>+Tabela1107[[#This Row],[PIS]]+Tabela1107[[#This Row],[COFINS]]+Tabela1107[[#This Row],[CONTRIB. FOLHA]]+Tabela1107[[#This Row],[TRIBUTOS S/ LUCRO]]+Tabela1107[[#This Row],[OUTROS]]+Tabela1107[[#This Row],[MS]]</f>
        <v>36.74</v>
      </c>
      <c r="BP171" s="97">
        <f>+Tabela1107[[#This Row],[PIS]]+Tabela1107[[#This Row],[COFINS]]+Tabela1107[[#This Row],[CONTRIB. FOLHA]]+Tabela1107[[#This Row],[TRIBUTOS S/ LUCRO]]+Tabela1107[[#This Row],[OUTROS]]+Tabela1107[[#This Row],[DF]]</f>
        <v>36.74</v>
      </c>
      <c r="BQ171" s="97">
        <f>+Tabela1107[[#This Row],[PIS]]+Tabela1107[[#This Row],[COFINS]]+Tabela1107[[#This Row],[CONTRIB. FOLHA]]+Tabela1107[[#This Row],[TRIBUTOS S/ LUCRO]]+Tabela1107[[#This Row],[OUTROS]]+Tabela1107[[#This Row],[BA]]</f>
        <v>36.74</v>
      </c>
      <c r="BR171" s="97">
        <f>+Tabela1107[[#This Row],[PIS]]+Tabela1107[[#This Row],[COFINS]]+Tabela1107[[#This Row],[CONTRIB. FOLHA]]+Tabela1107[[#This Row],[TRIBUTOS S/ LUCRO]]+Tabela1107[[#This Row],[OUTROS]]+Tabela1107[[#This Row],[BA]]</f>
        <v>36.74</v>
      </c>
      <c r="BS171" s="97">
        <f>+Tabela1107[[#This Row],[PIS]]+Tabela1107[[#This Row],[COFINS]]+Tabela1107[[#This Row],[CONTRIB. FOLHA]]+Tabela1107[[#This Row],[TRIBUTOS S/ LUCRO]]+Tabela1107[[#This Row],[OUTROS]]+Tabela1107[[#This Row],[PE]]</f>
        <v>36.74</v>
      </c>
      <c r="BT171" s="97">
        <f>+Tabela1107[[#This Row],[PIS]]+Tabela1107[[#This Row],[COFINS]]+Tabela1107[[#This Row],[CONTRIB. FOLHA]]+Tabela1107[[#This Row],[TRIBUTOS S/ LUCRO]]+Tabela1107[[#This Row],[OUTROS]]+Tabela1107[[#This Row],[PA]]</f>
        <v>36.74</v>
      </c>
      <c r="BU171" s="97">
        <f>+Tabela1107[[#This Row],[PIS]]+Tabela1107[[#This Row],[COFINS]]+Tabela1107[[#This Row],[CONTRIB. FOLHA]]+Tabela1107[[#This Row],[TRIBUTOS S/ LUCRO]]+Tabela1107[[#This Row],[OUTROS]]+Tabela1107[[#This Row],[AM]]</f>
        <v>36.74</v>
      </c>
      <c r="BV171" s="97">
        <f>AVERAGE(Tabela1107[[#This Row],[TOTAL SP]:[TOTAL AM]])</f>
        <v>36.677500000000002</v>
      </c>
      <c r="BW171" s="97"/>
      <c r="BX171" s="97"/>
    </row>
    <row r="172" spans="2:76" x14ac:dyDescent="0.25">
      <c r="B172" s="89">
        <v>3386</v>
      </c>
      <c r="C172" s="91" t="s">
        <v>13183</v>
      </c>
      <c r="D172" s="89"/>
      <c r="E172" s="89">
        <v>20140626</v>
      </c>
      <c r="F172" s="89" t="s">
        <v>21015</v>
      </c>
      <c r="G172" s="89" t="s">
        <v>21016</v>
      </c>
      <c r="H172" s="98" t="s">
        <v>21959</v>
      </c>
      <c r="I172" s="89" t="s">
        <v>21017</v>
      </c>
      <c r="J172" s="89" t="s">
        <v>147</v>
      </c>
      <c r="K172" s="89"/>
      <c r="L172" s="89" t="s">
        <v>2655</v>
      </c>
      <c r="M172" s="89" t="s">
        <v>4496</v>
      </c>
      <c r="N172" s="89" t="s">
        <v>4496</v>
      </c>
      <c r="O172" s="89" t="s">
        <v>4496</v>
      </c>
      <c r="P172" s="89" t="s">
        <v>4496</v>
      </c>
      <c r="Q172" s="89"/>
      <c r="R172" s="89" t="s">
        <v>60</v>
      </c>
      <c r="S172" s="89" t="s">
        <v>21654</v>
      </c>
      <c r="T172" s="89" t="s">
        <v>21655</v>
      </c>
      <c r="U172" s="89" t="str">
        <f>TRIM('Carga Tributária doenças Po (2'!$L172)</f>
        <v>DIPIRONA SODICA</v>
      </c>
      <c r="V172" s="89">
        <f>SUMIFS('Tabela Federal'!$E$4:$E$2069,'Tabela Federal'!$D$4:$D$2069,'Carga Tributária doenças Po (2'!$L172)</f>
        <v>1</v>
      </c>
      <c r="W172" s="89">
        <f>SUMIFS('Tabela Federal'!$E$4:$E$2069,'Tabela Federal'!$D$4:$D$2069,'Carga Tributária doenças Po (2'!$M172)</f>
        <v>0</v>
      </c>
      <c r="X172" s="89">
        <f>SUMIFS('Tabela Federal'!$E$4:$E$2069,'Tabela Federal'!$D$4:$D$2069,'Carga Tributária doenças Po (2'!$N172)</f>
        <v>0</v>
      </c>
      <c r="Y172" s="89">
        <f>SUMIFS('Tabela Federal'!$E$4:$E$2069,'Tabela Federal'!$D$4:$D$2069,'Carga Tributária doenças Po (2'!$O172)</f>
        <v>0</v>
      </c>
      <c r="Z172" s="92" t="str">
        <f>VLOOKUP('Carga Tributária doenças Po (2'!$AD172,'Carga Tributária doenças Po (2'!$CA$12:$CC$16,2,0)</f>
        <v>-</v>
      </c>
      <c r="AA172" s="89" t="s">
        <v>7</v>
      </c>
      <c r="AB172" s="89" t="s">
        <v>21730</v>
      </c>
      <c r="AC172" s="89" t="s">
        <v>21740</v>
      </c>
      <c r="AD172" s="93" t="s">
        <v>19523</v>
      </c>
      <c r="AE172" s="92" t="s">
        <v>4</v>
      </c>
      <c r="AF172" s="92" t="s">
        <v>3</v>
      </c>
      <c r="AG172" s="94">
        <v>9091226</v>
      </c>
      <c r="AH172" s="95">
        <v>10601439</v>
      </c>
      <c r="AI172" s="95">
        <v>24141973.27</v>
      </c>
      <c r="AJ172" s="89" t="s">
        <v>594</v>
      </c>
      <c r="AK172" s="89">
        <f>IF('Carga Tributária doenças Po (2'!$Z172="+",0,SUMIFS(PISCOFINS!$I$3:$I$10518,PISCOFINS!$C$3:$C$10518,'Carga Tributária doenças Po (2'!$C172))</f>
        <v>2.1</v>
      </c>
      <c r="AL172" s="89">
        <f>IF('Carga Tributária doenças Po (2'!$Z172="+",0,SUMIFS(PISCOFINS!$H$3:$H$10518,PISCOFINS!$C$3:$C$10518,'Carga Tributária doenças Po (2'!$C172))</f>
        <v>9.9</v>
      </c>
      <c r="AM172" s="95">
        <v>3.27</v>
      </c>
      <c r="AN172" s="95">
        <v>3.12</v>
      </c>
      <c r="AO172" s="95">
        <v>1.35</v>
      </c>
      <c r="AP172" s="96">
        <v>18</v>
      </c>
      <c r="AQ172" s="96">
        <v>12</v>
      </c>
      <c r="AR172" s="96">
        <v>17</v>
      </c>
      <c r="AS172" s="97">
        <v>17</v>
      </c>
      <c r="AT172" s="97">
        <v>19</v>
      </c>
      <c r="AU172" s="97">
        <v>18</v>
      </c>
      <c r="AV172" s="97">
        <v>17</v>
      </c>
      <c r="AW172" s="97">
        <v>17</v>
      </c>
      <c r="AX172" s="97">
        <v>17</v>
      </c>
      <c r="AY172" s="97">
        <v>17</v>
      </c>
      <c r="AZ172" s="97">
        <v>17</v>
      </c>
      <c r="BA172" s="97">
        <v>17</v>
      </c>
      <c r="BB172" s="97">
        <v>17</v>
      </c>
      <c r="BC172" s="97">
        <v>17</v>
      </c>
      <c r="BD172" s="97">
        <v>17</v>
      </c>
      <c r="BE172" s="97">
        <v>17</v>
      </c>
      <c r="BF172" s="97">
        <f>+Tabela1107[[#This Row],[PIS]]+Tabela1107[[#This Row],[COFINS]]+Tabela1107[[#This Row],[CONTRIB. FOLHA]]+Tabela1107[[#This Row],[TRIBUTOS S/ LUCRO]]+Tabela1107[[#This Row],[OUTROS]]+Tabela1107[[#This Row],[SP]]</f>
        <v>37.74</v>
      </c>
      <c r="BG172" s="97">
        <f>+Tabela1107[[#This Row],[PIS]]+Tabela1107[[#This Row],[COFINS]]+Tabela1107[[#This Row],[CONTRIB. FOLHA]]+Tabela1107[[#This Row],[TRIBUTOS S/ LUCRO]]+Tabela1107[[#This Row],[OUTROS]]+Tabela1107[[#This Row],[PR]]</f>
        <v>31.740000000000002</v>
      </c>
      <c r="BH172" s="97">
        <f>+Tabela1107[[#This Row],[PIS]]+Tabela1107[[#This Row],[COFINS]]+Tabela1107[[#This Row],[CONTRIB. FOLHA]]+Tabela1107[[#This Row],[TRIBUTOS S/ LUCRO]]+Tabela1107[[#This Row],[OUTROS]]+Tabela1107[[#This Row],[SC]]</f>
        <v>36.74</v>
      </c>
      <c r="BI172" s="97">
        <f>+Tabela1107[[#This Row],[PIS]]+Tabela1107[[#This Row],[COFINS]]+Tabela1107[[#This Row],[CONTRIB. FOLHA]]+Tabela1107[[#This Row],[TRIBUTOS S/ LUCRO]]+Tabela1107[[#This Row],[OUTROS]]+Tabela1107[[#This Row],[RS]]</f>
        <v>36.74</v>
      </c>
      <c r="BJ172" s="97">
        <f>+Tabela1107[[#This Row],[PIS]]+Tabela1107[[#This Row],[COFINS]]+Tabela1107[[#This Row],[CONTRIB. FOLHA]]+Tabela1107[[#This Row],[TRIBUTOS S/ LUCRO]]+Tabela1107[[#This Row],[OUTROS]]+Tabela1107[[#This Row],[RJ]]</f>
        <v>38.74</v>
      </c>
      <c r="BK172" s="97">
        <f>+Tabela1107[[#This Row],[PIS]]+Tabela1107[[#This Row],[COFINS]]+Tabela1107[[#This Row],[CONTRIB. FOLHA]]+Tabela1107[[#This Row],[TRIBUTOS S/ LUCRO]]+Tabela1107[[#This Row],[OUTROS]]+Tabela1107[[#This Row],[MG]]</f>
        <v>37.74</v>
      </c>
      <c r="BL172" s="97">
        <f>+Tabela1107[[#This Row],[PIS]]+Tabela1107[[#This Row],[COFINS]]+Tabela1107[[#This Row],[CONTRIB. FOLHA]]+Tabela1107[[#This Row],[TRIBUTOS S/ LUCRO]]+Tabela1107[[#This Row],[OUTROS]]+Tabela1107[[#This Row],[ES]]</f>
        <v>36.74</v>
      </c>
      <c r="BM172" s="97">
        <f>+Tabela1107[[#This Row],[PIS]]+Tabela1107[[#This Row],[COFINS]]+Tabela1107[[#This Row],[CONTRIB. FOLHA]]+Tabela1107[[#This Row],[TRIBUTOS S/ LUCRO]]+Tabela1107[[#This Row],[OUTROS]]+Tabela1107[[#This Row],[GO]]</f>
        <v>36.74</v>
      </c>
      <c r="BN172" s="97">
        <f>+Tabela1107[[#This Row],[PIS]]+Tabela1107[[#This Row],[COFINS]]+Tabela1107[[#This Row],[CONTRIB. FOLHA]]+Tabela1107[[#This Row],[TRIBUTOS S/ LUCRO]]+Tabela1107[[#This Row],[OUTROS]]+Tabela1107[[#This Row],[MT]]</f>
        <v>36.74</v>
      </c>
      <c r="BO172" s="97">
        <f>+Tabela1107[[#This Row],[PIS]]+Tabela1107[[#This Row],[COFINS]]+Tabela1107[[#This Row],[CONTRIB. FOLHA]]+Tabela1107[[#This Row],[TRIBUTOS S/ LUCRO]]+Tabela1107[[#This Row],[OUTROS]]+Tabela1107[[#This Row],[MS]]</f>
        <v>36.74</v>
      </c>
      <c r="BP172" s="97">
        <f>+Tabela1107[[#This Row],[PIS]]+Tabela1107[[#This Row],[COFINS]]+Tabela1107[[#This Row],[CONTRIB. FOLHA]]+Tabela1107[[#This Row],[TRIBUTOS S/ LUCRO]]+Tabela1107[[#This Row],[OUTROS]]+Tabela1107[[#This Row],[DF]]</f>
        <v>36.74</v>
      </c>
      <c r="BQ172" s="97">
        <f>+Tabela1107[[#This Row],[PIS]]+Tabela1107[[#This Row],[COFINS]]+Tabela1107[[#This Row],[CONTRIB. FOLHA]]+Tabela1107[[#This Row],[TRIBUTOS S/ LUCRO]]+Tabela1107[[#This Row],[OUTROS]]+Tabela1107[[#This Row],[BA]]</f>
        <v>36.74</v>
      </c>
      <c r="BR172" s="97">
        <f>+Tabela1107[[#This Row],[PIS]]+Tabela1107[[#This Row],[COFINS]]+Tabela1107[[#This Row],[CONTRIB. FOLHA]]+Tabela1107[[#This Row],[TRIBUTOS S/ LUCRO]]+Tabela1107[[#This Row],[OUTROS]]+Tabela1107[[#This Row],[BA]]</f>
        <v>36.74</v>
      </c>
      <c r="BS172" s="97">
        <f>+Tabela1107[[#This Row],[PIS]]+Tabela1107[[#This Row],[COFINS]]+Tabela1107[[#This Row],[CONTRIB. FOLHA]]+Tabela1107[[#This Row],[TRIBUTOS S/ LUCRO]]+Tabela1107[[#This Row],[OUTROS]]+Tabela1107[[#This Row],[PE]]</f>
        <v>36.74</v>
      </c>
      <c r="BT172" s="97">
        <f>+Tabela1107[[#This Row],[PIS]]+Tabela1107[[#This Row],[COFINS]]+Tabela1107[[#This Row],[CONTRIB. FOLHA]]+Tabela1107[[#This Row],[TRIBUTOS S/ LUCRO]]+Tabela1107[[#This Row],[OUTROS]]+Tabela1107[[#This Row],[PA]]</f>
        <v>36.74</v>
      </c>
      <c r="BU172" s="97">
        <f>+Tabela1107[[#This Row],[PIS]]+Tabela1107[[#This Row],[COFINS]]+Tabela1107[[#This Row],[CONTRIB. FOLHA]]+Tabela1107[[#This Row],[TRIBUTOS S/ LUCRO]]+Tabela1107[[#This Row],[OUTROS]]+Tabela1107[[#This Row],[AM]]</f>
        <v>36.74</v>
      </c>
      <c r="BV172" s="97">
        <f>AVERAGE(Tabela1107[[#This Row],[TOTAL SP]:[TOTAL AM]])</f>
        <v>36.677500000000002</v>
      </c>
      <c r="BW172" s="97"/>
      <c r="BX172" s="97"/>
    </row>
    <row r="173" spans="2:76" x14ac:dyDescent="0.25">
      <c r="B173" s="89">
        <v>3393</v>
      </c>
      <c r="C173" s="91" t="s">
        <v>13183</v>
      </c>
      <c r="D173" s="89"/>
      <c r="E173" s="89">
        <v>20140626</v>
      </c>
      <c r="F173" s="89" t="s">
        <v>21018</v>
      </c>
      <c r="G173" s="89" t="s">
        <v>21019</v>
      </c>
      <c r="H173" s="98" t="s">
        <v>21959</v>
      </c>
      <c r="I173" s="89" t="s">
        <v>21017</v>
      </c>
      <c r="J173" s="89" t="s">
        <v>148</v>
      </c>
      <c r="K173" s="89"/>
      <c r="L173" s="89" t="s">
        <v>2655</v>
      </c>
      <c r="M173" s="89" t="s">
        <v>4496</v>
      </c>
      <c r="N173" s="89" t="s">
        <v>4496</v>
      </c>
      <c r="O173" s="89" t="s">
        <v>4496</v>
      </c>
      <c r="P173" s="89" t="s">
        <v>4496</v>
      </c>
      <c r="Q173" s="89"/>
      <c r="R173" s="89" t="s">
        <v>60</v>
      </c>
      <c r="S173" s="89" t="s">
        <v>21654</v>
      </c>
      <c r="T173" s="89" t="s">
        <v>21655</v>
      </c>
      <c r="U173" s="89" t="str">
        <f>TRIM('Carga Tributária doenças Po (2'!$L173)</f>
        <v>DIPIRONA SODICA</v>
      </c>
      <c r="V173" s="89">
        <f>SUMIFS('Tabela Federal'!$E$4:$E$2069,'Tabela Federal'!$D$4:$D$2069,'Carga Tributária doenças Po (2'!$L173)</f>
        <v>1</v>
      </c>
      <c r="W173" s="89">
        <f>SUMIFS('Tabela Federal'!$E$4:$E$2069,'Tabela Federal'!$D$4:$D$2069,'Carga Tributária doenças Po (2'!$M173)</f>
        <v>0</v>
      </c>
      <c r="X173" s="89">
        <f>SUMIFS('Tabela Federal'!$E$4:$E$2069,'Tabela Federal'!$D$4:$D$2069,'Carga Tributária doenças Po (2'!$N173)</f>
        <v>0</v>
      </c>
      <c r="Y173" s="89">
        <f>SUMIFS('Tabela Federal'!$E$4:$E$2069,'Tabela Federal'!$D$4:$D$2069,'Carga Tributária doenças Po (2'!$O173)</f>
        <v>0</v>
      </c>
      <c r="Z173" s="92" t="str">
        <f>VLOOKUP('Carga Tributária doenças Po (2'!$AD173,'Carga Tributária doenças Po (2'!$CA$12:$CC$16,2,0)</f>
        <v>-</v>
      </c>
      <c r="AA173" s="89" t="s">
        <v>7</v>
      </c>
      <c r="AB173" s="89" t="s">
        <v>21730</v>
      </c>
      <c r="AC173" s="89" t="s">
        <v>21740</v>
      </c>
      <c r="AD173" s="93" t="s">
        <v>19523</v>
      </c>
      <c r="AE173" s="92" t="s">
        <v>4</v>
      </c>
      <c r="AF173" s="92" t="s">
        <v>3</v>
      </c>
      <c r="AG173" s="94">
        <v>6116125</v>
      </c>
      <c r="AH173" s="95">
        <v>12659844</v>
      </c>
      <c r="AI173" s="95">
        <v>28825478.34</v>
      </c>
      <c r="AJ173" s="89" t="s">
        <v>595</v>
      </c>
      <c r="AK173" s="89">
        <f>IF('Carga Tributária doenças Po (2'!$Z173="+",0,SUMIFS(PISCOFINS!$I$3:$I$10518,PISCOFINS!$C$3:$C$10518,'Carga Tributária doenças Po (2'!$C173))</f>
        <v>2.1</v>
      </c>
      <c r="AL173" s="89">
        <f>IF('Carga Tributária doenças Po (2'!$Z173="+",0,SUMIFS(PISCOFINS!$H$3:$H$10518,PISCOFINS!$C$3:$C$10518,'Carga Tributária doenças Po (2'!$C173))</f>
        <v>9.9</v>
      </c>
      <c r="AM173" s="95">
        <v>3.27</v>
      </c>
      <c r="AN173" s="95">
        <v>3.12</v>
      </c>
      <c r="AO173" s="95">
        <v>1.35</v>
      </c>
      <c r="AP173" s="96">
        <v>18</v>
      </c>
      <c r="AQ173" s="96">
        <v>12</v>
      </c>
      <c r="AR173" s="96">
        <v>17</v>
      </c>
      <c r="AS173" s="97">
        <v>17</v>
      </c>
      <c r="AT173" s="97">
        <v>19</v>
      </c>
      <c r="AU173" s="97">
        <v>18</v>
      </c>
      <c r="AV173" s="97">
        <v>17</v>
      </c>
      <c r="AW173" s="97">
        <v>17</v>
      </c>
      <c r="AX173" s="97">
        <v>17</v>
      </c>
      <c r="AY173" s="97">
        <v>17</v>
      </c>
      <c r="AZ173" s="97">
        <v>17</v>
      </c>
      <c r="BA173" s="97">
        <v>17</v>
      </c>
      <c r="BB173" s="97">
        <v>17</v>
      </c>
      <c r="BC173" s="97">
        <v>17</v>
      </c>
      <c r="BD173" s="97">
        <v>17</v>
      </c>
      <c r="BE173" s="97">
        <v>17</v>
      </c>
      <c r="BF173" s="97">
        <f>+Tabela1107[[#This Row],[PIS]]+Tabela1107[[#This Row],[COFINS]]+Tabela1107[[#This Row],[CONTRIB. FOLHA]]+Tabela1107[[#This Row],[TRIBUTOS S/ LUCRO]]+Tabela1107[[#This Row],[OUTROS]]+Tabela1107[[#This Row],[SP]]</f>
        <v>37.74</v>
      </c>
      <c r="BG173" s="97">
        <f>+Tabela1107[[#This Row],[PIS]]+Tabela1107[[#This Row],[COFINS]]+Tabela1107[[#This Row],[CONTRIB. FOLHA]]+Tabela1107[[#This Row],[TRIBUTOS S/ LUCRO]]+Tabela1107[[#This Row],[OUTROS]]+Tabela1107[[#This Row],[PR]]</f>
        <v>31.740000000000002</v>
      </c>
      <c r="BH173" s="97">
        <f>+Tabela1107[[#This Row],[PIS]]+Tabela1107[[#This Row],[COFINS]]+Tabela1107[[#This Row],[CONTRIB. FOLHA]]+Tabela1107[[#This Row],[TRIBUTOS S/ LUCRO]]+Tabela1107[[#This Row],[OUTROS]]+Tabela1107[[#This Row],[SC]]</f>
        <v>36.74</v>
      </c>
      <c r="BI173" s="97">
        <f>+Tabela1107[[#This Row],[PIS]]+Tabela1107[[#This Row],[COFINS]]+Tabela1107[[#This Row],[CONTRIB. FOLHA]]+Tabela1107[[#This Row],[TRIBUTOS S/ LUCRO]]+Tabela1107[[#This Row],[OUTROS]]+Tabela1107[[#This Row],[RS]]</f>
        <v>36.74</v>
      </c>
      <c r="BJ173" s="97">
        <f>+Tabela1107[[#This Row],[PIS]]+Tabela1107[[#This Row],[COFINS]]+Tabela1107[[#This Row],[CONTRIB. FOLHA]]+Tabela1107[[#This Row],[TRIBUTOS S/ LUCRO]]+Tabela1107[[#This Row],[OUTROS]]+Tabela1107[[#This Row],[RJ]]</f>
        <v>38.74</v>
      </c>
      <c r="BK173" s="97">
        <f>+Tabela1107[[#This Row],[PIS]]+Tabela1107[[#This Row],[COFINS]]+Tabela1107[[#This Row],[CONTRIB. FOLHA]]+Tabela1107[[#This Row],[TRIBUTOS S/ LUCRO]]+Tabela1107[[#This Row],[OUTROS]]+Tabela1107[[#This Row],[MG]]</f>
        <v>37.74</v>
      </c>
      <c r="BL173" s="97">
        <f>+Tabela1107[[#This Row],[PIS]]+Tabela1107[[#This Row],[COFINS]]+Tabela1107[[#This Row],[CONTRIB. FOLHA]]+Tabela1107[[#This Row],[TRIBUTOS S/ LUCRO]]+Tabela1107[[#This Row],[OUTROS]]+Tabela1107[[#This Row],[ES]]</f>
        <v>36.74</v>
      </c>
      <c r="BM173" s="97">
        <f>+Tabela1107[[#This Row],[PIS]]+Tabela1107[[#This Row],[COFINS]]+Tabela1107[[#This Row],[CONTRIB. FOLHA]]+Tabela1107[[#This Row],[TRIBUTOS S/ LUCRO]]+Tabela1107[[#This Row],[OUTROS]]+Tabela1107[[#This Row],[GO]]</f>
        <v>36.74</v>
      </c>
      <c r="BN173" s="97">
        <f>+Tabela1107[[#This Row],[PIS]]+Tabela1107[[#This Row],[COFINS]]+Tabela1107[[#This Row],[CONTRIB. FOLHA]]+Tabela1107[[#This Row],[TRIBUTOS S/ LUCRO]]+Tabela1107[[#This Row],[OUTROS]]+Tabela1107[[#This Row],[MT]]</f>
        <v>36.74</v>
      </c>
      <c r="BO173" s="97">
        <f>+Tabela1107[[#This Row],[PIS]]+Tabela1107[[#This Row],[COFINS]]+Tabela1107[[#This Row],[CONTRIB. FOLHA]]+Tabela1107[[#This Row],[TRIBUTOS S/ LUCRO]]+Tabela1107[[#This Row],[OUTROS]]+Tabela1107[[#This Row],[MS]]</f>
        <v>36.74</v>
      </c>
      <c r="BP173" s="97">
        <f>+Tabela1107[[#This Row],[PIS]]+Tabela1107[[#This Row],[COFINS]]+Tabela1107[[#This Row],[CONTRIB. FOLHA]]+Tabela1107[[#This Row],[TRIBUTOS S/ LUCRO]]+Tabela1107[[#This Row],[OUTROS]]+Tabela1107[[#This Row],[DF]]</f>
        <v>36.74</v>
      </c>
      <c r="BQ173" s="97">
        <f>+Tabela1107[[#This Row],[PIS]]+Tabela1107[[#This Row],[COFINS]]+Tabela1107[[#This Row],[CONTRIB. FOLHA]]+Tabela1107[[#This Row],[TRIBUTOS S/ LUCRO]]+Tabela1107[[#This Row],[OUTROS]]+Tabela1107[[#This Row],[BA]]</f>
        <v>36.74</v>
      </c>
      <c r="BR173" s="97">
        <f>+Tabela1107[[#This Row],[PIS]]+Tabela1107[[#This Row],[COFINS]]+Tabela1107[[#This Row],[CONTRIB. FOLHA]]+Tabela1107[[#This Row],[TRIBUTOS S/ LUCRO]]+Tabela1107[[#This Row],[OUTROS]]+Tabela1107[[#This Row],[BA]]</f>
        <v>36.74</v>
      </c>
      <c r="BS173" s="97">
        <f>+Tabela1107[[#This Row],[PIS]]+Tabela1107[[#This Row],[COFINS]]+Tabela1107[[#This Row],[CONTRIB. FOLHA]]+Tabela1107[[#This Row],[TRIBUTOS S/ LUCRO]]+Tabela1107[[#This Row],[OUTROS]]+Tabela1107[[#This Row],[PE]]</f>
        <v>36.74</v>
      </c>
      <c r="BT173" s="97">
        <f>+Tabela1107[[#This Row],[PIS]]+Tabela1107[[#This Row],[COFINS]]+Tabela1107[[#This Row],[CONTRIB. FOLHA]]+Tabela1107[[#This Row],[TRIBUTOS S/ LUCRO]]+Tabela1107[[#This Row],[OUTROS]]+Tabela1107[[#This Row],[PA]]</f>
        <v>36.74</v>
      </c>
      <c r="BU173" s="97">
        <f>+Tabela1107[[#This Row],[PIS]]+Tabela1107[[#This Row],[COFINS]]+Tabela1107[[#This Row],[CONTRIB. FOLHA]]+Tabela1107[[#This Row],[TRIBUTOS S/ LUCRO]]+Tabela1107[[#This Row],[OUTROS]]+Tabela1107[[#This Row],[AM]]</f>
        <v>36.74</v>
      </c>
      <c r="BV173" s="97">
        <f>AVERAGE(Tabela1107[[#This Row],[TOTAL SP]:[TOTAL AM]])</f>
        <v>36.677500000000002</v>
      </c>
      <c r="BW173" s="97"/>
      <c r="BX173" s="97"/>
    </row>
    <row r="174" spans="2:76" x14ac:dyDescent="0.25">
      <c r="B174" s="89">
        <v>3393</v>
      </c>
      <c r="C174" s="91" t="s">
        <v>13183</v>
      </c>
      <c r="D174" s="89"/>
      <c r="E174" s="89">
        <v>20140626</v>
      </c>
      <c r="F174" s="89" t="s">
        <v>21018</v>
      </c>
      <c r="G174" s="89" t="s">
        <v>21019</v>
      </c>
      <c r="H174" s="98" t="s">
        <v>21959</v>
      </c>
      <c r="I174" s="89" t="s">
        <v>21017</v>
      </c>
      <c r="J174" s="89" t="s">
        <v>148</v>
      </c>
      <c r="K174" s="89"/>
      <c r="L174" s="89" t="s">
        <v>2655</v>
      </c>
      <c r="M174" s="89" t="s">
        <v>4496</v>
      </c>
      <c r="N174" s="89" t="s">
        <v>4496</v>
      </c>
      <c r="O174" s="89" t="s">
        <v>4496</v>
      </c>
      <c r="P174" s="89" t="s">
        <v>4496</v>
      </c>
      <c r="Q174" s="89"/>
      <c r="R174" s="89" t="s">
        <v>60</v>
      </c>
      <c r="S174" s="89" t="s">
        <v>21654</v>
      </c>
      <c r="T174" s="89" t="s">
        <v>21655</v>
      </c>
      <c r="U174" s="89" t="str">
        <f>TRIM('Carga Tributária doenças Po (2'!$L174)</f>
        <v>DIPIRONA SODICA</v>
      </c>
      <c r="V174" s="89">
        <f>SUMIFS('Tabela Federal'!$E$4:$E$2069,'Tabela Federal'!$D$4:$D$2069,'Carga Tributária doenças Po (2'!$L174)</f>
        <v>1</v>
      </c>
      <c r="W174" s="89">
        <f>SUMIFS('Tabela Federal'!$E$4:$E$2069,'Tabela Federal'!$D$4:$D$2069,'Carga Tributária doenças Po (2'!$M174)</f>
        <v>0</v>
      </c>
      <c r="X174" s="89">
        <f>SUMIFS('Tabela Federal'!$E$4:$E$2069,'Tabela Federal'!$D$4:$D$2069,'Carga Tributária doenças Po (2'!$N174)</f>
        <v>0</v>
      </c>
      <c r="Y174" s="89">
        <f>SUMIFS('Tabela Federal'!$E$4:$E$2069,'Tabela Federal'!$D$4:$D$2069,'Carga Tributária doenças Po (2'!$O174)</f>
        <v>0</v>
      </c>
      <c r="Z174" s="92" t="str">
        <f>VLOOKUP('Carga Tributária doenças Po (2'!$AD174,'Carga Tributária doenças Po (2'!$CA$12:$CC$16,2,0)</f>
        <v>-</v>
      </c>
      <c r="AA174" s="89" t="s">
        <v>7</v>
      </c>
      <c r="AB174" s="89" t="s">
        <v>21730</v>
      </c>
      <c r="AC174" s="89" t="s">
        <v>21740</v>
      </c>
      <c r="AD174" s="93" t="s">
        <v>19523</v>
      </c>
      <c r="AE174" s="92" t="s">
        <v>4</v>
      </c>
      <c r="AF174" s="92" t="s">
        <v>3</v>
      </c>
      <c r="AG174" s="94">
        <v>6116125</v>
      </c>
      <c r="AH174" s="95">
        <v>12659844</v>
      </c>
      <c r="AI174" s="95">
        <v>28825478.34</v>
      </c>
      <c r="AJ174" s="89" t="s">
        <v>333</v>
      </c>
      <c r="AK174" s="89">
        <f>IF('Carga Tributária doenças Po (2'!$Z174="+",0,SUMIFS(PISCOFINS!$I$3:$I$10518,PISCOFINS!$C$3:$C$10518,'Carga Tributária doenças Po (2'!$C174))</f>
        <v>2.1</v>
      </c>
      <c r="AL174" s="89">
        <f>IF('Carga Tributária doenças Po (2'!$Z174="+",0,SUMIFS(PISCOFINS!$H$3:$H$10518,PISCOFINS!$C$3:$C$10518,'Carga Tributária doenças Po (2'!$C174))</f>
        <v>9.9</v>
      </c>
      <c r="AM174" s="95">
        <v>3.27</v>
      </c>
      <c r="AN174" s="95">
        <v>3.12</v>
      </c>
      <c r="AO174" s="95">
        <v>1.35</v>
      </c>
      <c r="AP174" s="96">
        <v>18</v>
      </c>
      <c r="AQ174" s="96">
        <v>12</v>
      </c>
      <c r="AR174" s="96">
        <v>17</v>
      </c>
      <c r="AS174" s="97">
        <v>17</v>
      </c>
      <c r="AT174" s="97">
        <v>19</v>
      </c>
      <c r="AU174" s="97">
        <v>18</v>
      </c>
      <c r="AV174" s="97">
        <v>17</v>
      </c>
      <c r="AW174" s="97">
        <v>17</v>
      </c>
      <c r="AX174" s="97">
        <v>17</v>
      </c>
      <c r="AY174" s="97">
        <v>17</v>
      </c>
      <c r="AZ174" s="97">
        <v>17</v>
      </c>
      <c r="BA174" s="97">
        <v>17</v>
      </c>
      <c r="BB174" s="97">
        <v>17</v>
      </c>
      <c r="BC174" s="97">
        <v>17</v>
      </c>
      <c r="BD174" s="97">
        <v>17</v>
      </c>
      <c r="BE174" s="97">
        <v>17</v>
      </c>
      <c r="BF174" s="97">
        <f>+Tabela1107[[#This Row],[PIS]]+Tabela1107[[#This Row],[COFINS]]+Tabela1107[[#This Row],[CONTRIB. FOLHA]]+Tabela1107[[#This Row],[TRIBUTOS S/ LUCRO]]+Tabela1107[[#This Row],[OUTROS]]+Tabela1107[[#This Row],[SP]]</f>
        <v>37.74</v>
      </c>
      <c r="BG174" s="97">
        <f>+Tabela1107[[#This Row],[PIS]]+Tabela1107[[#This Row],[COFINS]]+Tabela1107[[#This Row],[CONTRIB. FOLHA]]+Tabela1107[[#This Row],[TRIBUTOS S/ LUCRO]]+Tabela1107[[#This Row],[OUTROS]]+Tabela1107[[#This Row],[PR]]</f>
        <v>31.740000000000002</v>
      </c>
      <c r="BH174" s="97">
        <f>+Tabela1107[[#This Row],[PIS]]+Tabela1107[[#This Row],[COFINS]]+Tabela1107[[#This Row],[CONTRIB. FOLHA]]+Tabela1107[[#This Row],[TRIBUTOS S/ LUCRO]]+Tabela1107[[#This Row],[OUTROS]]+Tabela1107[[#This Row],[SC]]</f>
        <v>36.74</v>
      </c>
      <c r="BI174" s="97">
        <f>+Tabela1107[[#This Row],[PIS]]+Tabela1107[[#This Row],[COFINS]]+Tabela1107[[#This Row],[CONTRIB. FOLHA]]+Tabela1107[[#This Row],[TRIBUTOS S/ LUCRO]]+Tabela1107[[#This Row],[OUTROS]]+Tabela1107[[#This Row],[RS]]</f>
        <v>36.74</v>
      </c>
      <c r="BJ174" s="97">
        <f>+Tabela1107[[#This Row],[PIS]]+Tabela1107[[#This Row],[COFINS]]+Tabela1107[[#This Row],[CONTRIB. FOLHA]]+Tabela1107[[#This Row],[TRIBUTOS S/ LUCRO]]+Tabela1107[[#This Row],[OUTROS]]+Tabela1107[[#This Row],[RJ]]</f>
        <v>38.74</v>
      </c>
      <c r="BK174" s="97">
        <f>+Tabela1107[[#This Row],[PIS]]+Tabela1107[[#This Row],[COFINS]]+Tabela1107[[#This Row],[CONTRIB. FOLHA]]+Tabela1107[[#This Row],[TRIBUTOS S/ LUCRO]]+Tabela1107[[#This Row],[OUTROS]]+Tabela1107[[#This Row],[MG]]</f>
        <v>37.74</v>
      </c>
      <c r="BL174" s="97">
        <f>+Tabela1107[[#This Row],[PIS]]+Tabela1107[[#This Row],[COFINS]]+Tabela1107[[#This Row],[CONTRIB. FOLHA]]+Tabela1107[[#This Row],[TRIBUTOS S/ LUCRO]]+Tabela1107[[#This Row],[OUTROS]]+Tabela1107[[#This Row],[ES]]</f>
        <v>36.74</v>
      </c>
      <c r="BM174" s="97">
        <f>+Tabela1107[[#This Row],[PIS]]+Tabela1107[[#This Row],[COFINS]]+Tabela1107[[#This Row],[CONTRIB. FOLHA]]+Tabela1107[[#This Row],[TRIBUTOS S/ LUCRO]]+Tabela1107[[#This Row],[OUTROS]]+Tabela1107[[#This Row],[GO]]</f>
        <v>36.74</v>
      </c>
      <c r="BN174" s="97">
        <f>+Tabela1107[[#This Row],[PIS]]+Tabela1107[[#This Row],[COFINS]]+Tabela1107[[#This Row],[CONTRIB. FOLHA]]+Tabela1107[[#This Row],[TRIBUTOS S/ LUCRO]]+Tabela1107[[#This Row],[OUTROS]]+Tabela1107[[#This Row],[MT]]</f>
        <v>36.74</v>
      </c>
      <c r="BO174" s="97">
        <f>+Tabela1107[[#This Row],[PIS]]+Tabela1107[[#This Row],[COFINS]]+Tabela1107[[#This Row],[CONTRIB. FOLHA]]+Tabela1107[[#This Row],[TRIBUTOS S/ LUCRO]]+Tabela1107[[#This Row],[OUTROS]]+Tabela1107[[#This Row],[MS]]</f>
        <v>36.74</v>
      </c>
      <c r="BP174" s="97">
        <f>+Tabela1107[[#This Row],[PIS]]+Tabela1107[[#This Row],[COFINS]]+Tabela1107[[#This Row],[CONTRIB. FOLHA]]+Tabela1107[[#This Row],[TRIBUTOS S/ LUCRO]]+Tabela1107[[#This Row],[OUTROS]]+Tabela1107[[#This Row],[DF]]</f>
        <v>36.74</v>
      </c>
      <c r="BQ174" s="97">
        <f>+Tabela1107[[#This Row],[PIS]]+Tabela1107[[#This Row],[COFINS]]+Tabela1107[[#This Row],[CONTRIB. FOLHA]]+Tabela1107[[#This Row],[TRIBUTOS S/ LUCRO]]+Tabela1107[[#This Row],[OUTROS]]+Tabela1107[[#This Row],[BA]]</f>
        <v>36.74</v>
      </c>
      <c r="BR174" s="97">
        <f>+Tabela1107[[#This Row],[PIS]]+Tabela1107[[#This Row],[COFINS]]+Tabela1107[[#This Row],[CONTRIB. FOLHA]]+Tabela1107[[#This Row],[TRIBUTOS S/ LUCRO]]+Tabela1107[[#This Row],[OUTROS]]+Tabela1107[[#This Row],[BA]]</f>
        <v>36.74</v>
      </c>
      <c r="BS174" s="97">
        <f>+Tabela1107[[#This Row],[PIS]]+Tabela1107[[#This Row],[COFINS]]+Tabela1107[[#This Row],[CONTRIB. FOLHA]]+Tabela1107[[#This Row],[TRIBUTOS S/ LUCRO]]+Tabela1107[[#This Row],[OUTROS]]+Tabela1107[[#This Row],[PE]]</f>
        <v>36.74</v>
      </c>
      <c r="BT174" s="97">
        <f>+Tabela1107[[#This Row],[PIS]]+Tabela1107[[#This Row],[COFINS]]+Tabela1107[[#This Row],[CONTRIB. FOLHA]]+Tabela1107[[#This Row],[TRIBUTOS S/ LUCRO]]+Tabela1107[[#This Row],[OUTROS]]+Tabela1107[[#This Row],[PA]]</f>
        <v>36.74</v>
      </c>
      <c r="BU174" s="97">
        <f>+Tabela1107[[#This Row],[PIS]]+Tabela1107[[#This Row],[COFINS]]+Tabela1107[[#This Row],[CONTRIB. FOLHA]]+Tabela1107[[#This Row],[TRIBUTOS S/ LUCRO]]+Tabela1107[[#This Row],[OUTROS]]+Tabela1107[[#This Row],[AM]]</f>
        <v>36.74</v>
      </c>
      <c r="BV174" s="97">
        <f>AVERAGE(Tabela1107[[#This Row],[TOTAL SP]:[TOTAL AM]])</f>
        <v>36.677500000000002</v>
      </c>
      <c r="BW174" s="97"/>
      <c r="BX174" s="97"/>
    </row>
    <row r="175" spans="2:76" x14ac:dyDescent="0.25">
      <c r="B175" s="89">
        <v>3393</v>
      </c>
      <c r="C175" s="91" t="s">
        <v>13183</v>
      </c>
      <c r="D175" s="89"/>
      <c r="E175" s="89">
        <v>20140626</v>
      </c>
      <c r="F175" s="89" t="s">
        <v>21018</v>
      </c>
      <c r="G175" s="89" t="s">
        <v>21019</v>
      </c>
      <c r="H175" s="98" t="s">
        <v>21959</v>
      </c>
      <c r="I175" s="89" t="s">
        <v>21017</v>
      </c>
      <c r="J175" s="89" t="s">
        <v>148</v>
      </c>
      <c r="K175" s="89"/>
      <c r="L175" s="89" t="s">
        <v>2655</v>
      </c>
      <c r="M175" s="89" t="s">
        <v>4496</v>
      </c>
      <c r="N175" s="89" t="s">
        <v>4496</v>
      </c>
      <c r="O175" s="89" t="s">
        <v>4496</v>
      </c>
      <c r="P175" s="89" t="s">
        <v>4496</v>
      </c>
      <c r="Q175" s="89"/>
      <c r="R175" s="89" t="s">
        <v>60</v>
      </c>
      <c r="S175" s="89" t="s">
        <v>21654</v>
      </c>
      <c r="T175" s="89" t="s">
        <v>21655</v>
      </c>
      <c r="U175" s="89" t="str">
        <f>TRIM('Carga Tributária doenças Po (2'!$L175)</f>
        <v>DIPIRONA SODICA</v>
      </c>
      <c r="V175" s="89">
        <f>SUMIFS('Tabela Federal'!$E$4:$E$2069,'Tabela Federal'!$D$4:$D$2069,'Carga Tributária doenças Po (2'!$L175)</f>
        <v>1</v>
      </c>
      <c r="W175" s="89">
        <f>SUMIFS('Tabela Federal'!$E$4:$E$2069,'Tabela Federal'!$D$4:$D$2069,'Carga Tributária doenças Po (2'!$M175)</f>
        <v>0</v>
      </c>
      <c r="X175" s="89">
        <f>SUMIFS('Tabela Federal'!$E$4:$E$2069,'Tabela Federal'!$D$4:$D$2069,'Carga Tributária doenças Po (2'!$N175)</f>
        <v>0</v>
      </c>
      <c r="Y175" s="89">
        <f>SUMIFS('Tabela Federal'!$E$4:$E$2069,'Tabela Federal'!$D$4:$D$2069,'Carga Tributária doenças Po (2'!$O175)</f>
        <v>0</v>
      </c>
      <c r="Z175" s="92" t="str">
        <f>VLOOKUP('Carga Tributária doenças Po (2'!$AD175,'Carga Tributária doenças Po (2'!$CA$12:$CC$16,2,0)</f>
        <v>-</v>
      </c>
      <c r="AA175" s="89" t="s">
        <v>7</v>
      </c>
      <c r="AB175" s="89" t="s">
        <v>21730</v>
      </c>
      <c r="AC175" s="89" t="s">
        <v>21740</v>
      </c>
      <c r="AD175" s="93" t="s">
        <v>19523</v>
      </c>
      <c r="AE175" s="92" t="s">
        <v>4</v>
      </c>
      <c r="AF175" s="92" t="s">
        <v>3</v>
      </c>
      <c r="AG175" s="94">
        <v>6116125</v>
      </c>
      <c r="AH175" s="95">
        <v>12659844</v>
      </c>
      <c r="AI175" s="95">
        <v>28825478.34</v>
      </c>
      <c r="AJ175" s="89" t="s">
        <v>5</v>
      </c>
      <c r="AK175" s="89">
        <f>IF('Carga Tributária doenças Po (2'!$Z175="+",0,SUMIFS(PISCOFINS!$I$3:$I$10518,PISCOFINS!$C$3:$C$10518,'Carga Tributária doenças Po (2'!$C175))</f>
        <v>2.1</v>
      </c>
      <c r="AL175" s="89">
        <f>IF('Carga Tributária doenças Po (2'!$Z175="+",0,SUMIFS(PISCOFINS!$H$3:$H$10518,PISCOFINS!$C$3:$C$10518,'Carga Tributária doenças Po (2'!$C175))</f>
        <v>9.9</v>
      </c>
      <c r="AM175" s="95">
        <v>3.27</v>
      </c>
      <c r="AN175" s="95">
        <v>3.12</v>
      </c>
      <c r="AO175" s="95">
        <v>1.35</v>
      </c>
      <c r="AP175" s="96">
        <v>18</v>
      </c>
      <c r="AQ175" s="96">
        <v>12</v>
      </c>
      <c r="AR175" s="96">
        <v>17</v>
      </c>
      <c r="AS175" s="97">
        <v>17</v>
      </c>
      <c r="AT175" s="97">
        <v>19</v>
      </c>
      <c r="AU175" s="97">
        <v>18</v>
      </c>
      <c r="AV175" s="97">
        <v>17</v>
      </c>
      <c r="AW175" s="97">
        <v>17</v>
      </c>
      <c r="AX175" s="97">
        <v>17</v>
      </c>
      <c r="AY175" s="97">
        <v>17</v>
      </c>
      <c r="AZ175" s="97">
        <v>17</v>
      </c>
      <c r="BA175" s="97">
        <v>17</v>
      </c>
      <c r="BB175" s="97">
        <v>17</v>
      </c>
      <c r="BC175" s="97">
        <v>17</v>
      </c>
      <c r="BD175" s="97">
        <v>17</v>
      </c>
      <c r="BE175" s="97">
        <v>17</v>
      </c>
      <c r="BF175" s="97">
        <f>+Tabela1107[[#This Row],[PIS]]+Tabela1107[[#This Row],[COFINS]]+Tabela1107[[#This Row],[CONTRIB. FOLHA]]+Tabela1107[[#This Row],[TRIBUTOS S/ LUCRO]]+Tabela1107[[#This Row],[OUTROS]]+Tabela1107[[#This Row],[SP]]</f>
        <v>37.74</v>
      </c>
      <c r="BG175" s="97">
        <f>+Tabela1107[[#This Row],[PIS]]+Tabela1107[[#This Row],[COFINS]]+Tabela1107[[#This Row],[CONTRIB. FOLHA]]+Tabela1107[[#This Row],[TRIBUTOS S/ LUCRO]]+Tabela1107[[#This Row],[OUTROS]]+Tabela1107[[#This Row],[PR]]</f>
        <v>31.740000000000002</v>
      </c>
      <c r="BH175" s="97">
        <f>+Tabela1107[[#This Row],[PIS]]+Tabela1107[[#This Row],[COFINS]]+Tabela1107[[#This Row],[CONTRIB. FOLHA]]+Tabela1107[[#This Row],[TRIBUTOS S/ LUCRO]]+Tabela1107[[#This Row],[OUTROS]]+Tabela1107[[#This Row],[SC]]</f>
        <v>36.74</v>
      </c>
      <c r="BI175" s="97">
        <f>+Tabela1107[[#This Row],[PIS]]+Tabela1107[[#This Row],[COFINS]]+Tabela1107[[#This Row],[CONTRIB. FOLHA]]+Tabela1107[[#This Row],[TRIBUTOS S/ LUCRO]]+Tabela1107[[#This Row],[OUTROS]]+Tabela1107[[#This Row],[RS]]</f>
        <v>36.74</v>
      </c>
      <c r="BJ175" s="97">
        <f>+Tabela1107[[#This Row],[PIS]]+Tabela1107[[#This Row],[COFINS]]+Tabela1107[[#This Row],[CONTRIB. FOLHA]]+Tabela1107[[#This Row],[TRIBUTOS S/ LUCRO]]+Tabela1107[[#This Row],[OUTROS]]+Tabela1107[[#This Row],[RJ]]</f>
        <v>38.74</v>
      </c>
      <c r="BK175" s="97">
        <f>+Tabela1107[[#This Row],[PIS]]+Tabela1107[[#This Row],[COFINS]]+Tabela1107[[#This Row],[CONTRIB. FOLHA]]+Tabela1107[[#This Row],[TRIBUTOS S/ LUCRO]]+Tabela1107[[#This Row],[OUTROS]]+Tabela1107[[#This Row],[MG]]</f>
        <v>37.74</v>
      </c>
      <c r="BL175" s="97">
        <f>+Tabela1107[[#This Row],[PIS]]+Tabela1107[[#This Row],[COFINS]]+Tabela1107[[#This Row],[CONTRIB. FOLHA]]+Tabela1107[[#This Row],[TRIBUTOS S/ LUCRO]]+Tabela1107[[#This Row],[OUTROS]]+Tabela1107[[#This Row],[ES]]</f>
        <v>36.74</v>
      </c>
      <c r="BM175" s="97">
        <f>+Tabela1107[[#This Row],[PIS]]+Tabela1107[[#This Row],[COFINS]]+Tabela1107[[#This Row],[CONTRIB. FOLHA]]+Tabela1107[[#This Row],[TRIBUTOS S/ LUCRO]]+Tabela1107[[#This Row],[OUTROS]]+Tabela1107[[#This Row],[GO]]</f>
        <v>36.74</v>
      </c>
      <c r="BN175" s="97">
        <f>+Tabela1107[[#This Row],[PIS]]+Tabela1107[[#This Row],[COFINS]]+Tabela1107[[#This Row],[CONTRIB. FOLHA]]+Tabela1107[[#This Row],[TRIBUTOS S/ LUCRO]]+Tabela1107[[#This Row],[OUTROS]]+Tabela1107[[#This Row],[MT]]</f>
        <v>36.74</v>
      </c>
      <c r="BO175" s="97">
        <f>+Tabela1107[[#This Row],[PIS]]+Tabela1107[[#This Row],[COFINS]]+Tabela1107[[#This Row],[CONTRIB. FOLHA]]+Tabela1107[[#This Row],[TRIBUTOS S/ LUCRO]]+Tabela1107[[#This Row],[OUTROS]]+Tabela1107[[#This Row],[MS]]</f>
        <v>36.74</v>
      </c>
      <c r="BP175" s="97">
        <f>+Tabela1107[[#This Row],[PIS]]+Tabela1107[[#This Row],[COFINS]]+Tabela1107[[#This Row],[CONTRIB. FOLHA]]+Tabela1107[[#This Row],[TRIBUTOS S/ LUCRO]]+Tabela1107[[#This Row],[OUTROS]]+Tabela1107[[#This Row],[DF]]</f>
        <v>36.74</v>
      </c>
      <c r="BQ175" s="97">
        <f>+Tabela1107[[#This Row],[PIS]]+Tabela1107[[#This Row],[COFINS]]+Tabela1107[[#This Row],[CONTRIB. FOLHA]]+Tabela1107[[#This Row],[TRIBUTOS S/ LUCRO]]+Tabela1107[[#This Row],[OUTROS]]+Tabela1107[[#This Row],[BA]]</f>
        <v>36.74</v>
      </c>
      <c r="BR175" s="97">
        <f>+Tabela1107[[#This Row],[PIS]]+Tabela1107[[#This Row],[COFINS]]+Tabela1107[[#This Row],[CONTRIB. FOLHA]]+Tabela1107[[#This Row],[TRIBUTOS S/ LUCRO]]+Tabela1107[[#This Row],[OUTROS]]+Tabela1107[[#This Row],[BA]]</f>
        <v>36.74</v>
      </c>
      <c r="BS175" s="97">
        <f>+Tabela1107[[#This Row],[PIS]]+Tabela1107[[#This Row],[COFINS]]+Tabela1107[[#This Row],[CONTRIB. FOLHA]]+Tabela1107[[#This Row],[TRIBUTOS S/ LUCRO]]+Tabela1107[[#This Row],[OUTROS]]+Tabela1107[[#This Row],[PE]]</f>
        <v>36.74</v>
      </c>
      <c r="BT175" s="97">
        <f>+Tabela1107[[#This Row],[PIS]]+Tabela1107[[#This Row],[COFINS]]+Tabela1107[[#This Row],[CONTRIB. FOLHA]]+Tabela1107[[#This Row],[TRIBUTOS S/ LUCRO]]+Tabela1107[[#This Row],[OUTROS]]+Tabela1107[[#This Row],[PA]]</f>
        <v>36.74</v>
      </c>
      <c r="BU175" s="97">
        <f>+Tabela1107[[#This Row],[PIS]]+Tabela1107[[#This Row],[COFINS]]+Tabela1107[[#This Row],[CONTRIB. FOLHA]]+Tabela1107[[#This Row],[TRIBUTOS S/ LUCRO]]+Tabela1107[[#This Row],[OUTROS]]+Tabela1107[[#This Row],[AM]]</f>
        <v>36.74</v>
      </c>
      <c r="BV175" s="97">
        <f>AVERAGE(Tabela1107[[#This Row],[TOTAL SP]:[TOTAL AM]])</f>
        <v>36.677500000000002</v>
      </c>
      <c r="BW175" s="97"/>
      <c r="BX175" s="97"/>
    </row>
    <row r="176" spans="2:76" x14ac:dyDescent="0.25">
      <c r="B176" s="89">
        <v>3393</v>
      </c>
      <c r="C176" s="91" t="s">
        <v>13183</v>
      </c>
      <c r="D176" s="89"/>
      <c r="E176" s="89">
        <v>20140626</v>
      </c>
      <c r="F176" s="89" t="s">
        <v>21018</v>
      </c>
      <c r="G176" s="89" t="s">
        <v>21019</v>
      </c>
      <c r="H176" s="98" t="s">
        <v>21959</v>
      </c>
      <c r="I176" s="89" t="s">
        <v>21017</v>
      </c>
      <c r="J176" s="89" t="s">
        <v>148</v>
      </c>
      <c r="K176" s="89"/>
      <c r="L176" s="89" t="s">
        <v>2655</v>
      </c>
      <c r="M176" s="89" t="s">
        <v>4496</v>
      </c>
      <c r="N176" s="89" t="s">
        <v>4496</v>
      </c>
      <c r="O176" s="89" t="s">
        <v>4496</v>
      </c>
      <c r="P176" s="89" t="s">
        <v>4496</v>
      </c>
      <c r="Q176" s="89"/>
      <c r="R176" s="89" t="s">
        <v>60</v>
      </c>
      <c r="S176" s="89" t="s">
        <v>21654</v>
      </c>
      <c r="T176" s="89" t="s">
        <v>21655</v>
      </c>
      <c r="U176" s="89" t="str">
        <f>TRIM('Carga Tributária doenças Po (2'!$L176)</f>
        <v>DIPIRONA SODICA</v>
      </c>
      <c r="V176" s="89">
        <f>SUMIFS('Tabela Federal'!$E$4:$E$2069,'Tabela Federal'!$D$4:$D$2069,'Carga Tributária doenças Po (2'!$L176)</f>
        <v>1</v>
      </c>
      <c r="W176" s="89">
        <f>SUMIFS('Tabela Federal'!$E$4:$E$2069,'Tabela Federal'!$D$4:$D$2069,'Carga Tributária doenças Po (2'!$M176)</f>
        <v>0</v>
      </c>
      <c r="X176" s="89">
        <f>SUMIFS('Tabela Federal'!$E$4:$E$2069,'Tabela Federal'!$D$4:$D$2069,'Carga Tributária doenças Po (2'!$N176)</f>
        <v>0</v>
      </c>
      <c r="Y176" s="89">
        <f>SUMIFS('Tabela Federal'!$E$4:$E$2069,'Tabela Federal'!$D$4:$D$2069,'Carga Tributária doenças Po (2'!$O176)</f>
        <v>0</v>
      </c>
      <c r="Z176" s="92" t="str">
        <f>VLOOKUP('Carga Tributária doenças Po (2'!$AD176,'Carga Tributária doenças Po (2'!$CA$12:$CC$16,2,0)</f>
        <v>-</v>
      </c>
      <c r="AA176" s="89" t="s">
        <v>7</v>
      </c>
      <c r="AB176" s="89" t="s">
        <v>21730</v>
      </c>
      <c r="AC176" s="89" t="s">
        <v>21740</v>
      </c>
      <c r="AD176" s="93" t="s">
        <v>19523</v>
      </c>
      <c r="AE176" s="92" t="s">
        <v>4</v>
      </c>
      <c r="AF176" s="92" t="s">
        <v>3</v>
      </c>
      <c r="AG176" s="94">
        <v>6116125</v>
      </c>
      <c r="AH176" s="95">
        <v>12659844</v>
      </c>
      <c r="AI176" s="95">
        <v>28825478.34</v>
      </c>
      <c r="AJ176" s="89" t="s">
        <v>594</v>
      </c>
      <c r="AK176" s="89">
        <f>IF('Carga Tributária doenças Po (2'!$Z176="+",0,SUMIFS(PISCOFINS!$I$3:$I$10518,PISCOFINS!$C$3:$C$10518,'Carga Tributária doenças Po (2'!$C176))</f>
        <v>2.1</v>
      </c>
      <c r="AL176" s="89">
        <f>IF('Carga Tributária doenças Po (2'!$Z176="+",0,SUMIFS(PISCOFINS!$H$3:$H$10518,PISCOFINS!$C$3:$C$10518,'Carga Tributária doenças Po (2'!$C176))</f>
        <v>9.9</v>
      </c>
      <c r="AM176" s="95">
        <v>3.27</v>
      </c>
      <c r="AN176" s="95">
        <v>3.12</v>
      </c>
      <c r="AO176" s="95">
        <v>1.35</v>
      </c>
      <c r="AP176" s="96">
        <v>18</v>
      </c>
      <c r="AQ176" s="96">
        <v>12</v>
      </c>
      <c r="AR176" s="96">
        <v>17</v>
      </c>
      <c r="AS176" s="97">
        <v>17</v>
      </c>
      <c r="AT176" s="97">
        <v>19</v>
      </c>
      <c r="AU176" s="97">
        <v>18</v>
      </c>
      <c r="AV176" s="97">
        <v>17</v>
      </c>
      <c r="AW176" s="97">
        <v>17</v>
      </c>
      <c r="AX176" s="97">
        <v>17</v>
      </c>
      <c r="AY176" s="97">
        <v>17</v>
      </c>
      <c r="AZ176" s="97">
        <v>17</v>
      </c>
      <c r="BA176" s="97">
        <v>17</v>
      </c>
      <c r="BB176" s="97">
        <v>17</v>
      </c>
      <c r="BC176" s="97">
        <v>17</v>
      </c>
      <c r="BD176" s="97">
        <v>17</v>
      </c>
      <c r="BE176" s="97">
        <v>17</v>
      </c>
      <c r="BF176" s="97">
        <f>+Tabela1107[[#This Row],[PIS]]+Tabela1107[[#This Row],[COFINS]]+Tabela1107[[#This Row],[CONTRIB. FOLHA]]+Tabela1107[[#This Row],[TRIBUTOS S/ LUCRO]]+Tabela1107[[#This Row],[OUTROS]]+Tabela1107[[#This Row],[SP]]</f>
        <v>37.74</v>
      </c>
      <c r="BG176" s="97">
        <f>+Tabela1107[[#This Row],[PIS]]+Tabela1107[[#This Row],[COFINS]]+Tabela1107[[#This Row],[CONTRIB. FOLHA]]+Tabela1107[[#This Row],[TRIBUTOS S/ LUCRO]]+Tabela1107[[#This Row],[OUTROS]]+Tabela1107[[#This Row],[PR]]</f>
        <v>31.740000000000002</v>
      </c>
      <c r="BH176" s="97">
        <f>+Tabela1107[[#This Row],[PIS]]+Tabela1107[[#This Row],[COFINS]]+Tabela1107[[#This Row],[CONTRIB. FOLHA]]+Tabela1107[[#This Row],[TRIBUTOS S/ LUCRO]]+Tabela1107[[#This Row],[OUTROS]]+Tabela1107[[#This Row],[SC]]</f>
        <v>36.74</v>
      </c>
      <c r="BI176" s="97">
        <f>+Tabela1107[[#This Row],[PIS]]+Tabela1107[[#This Row],[COFINS]]+Tabela1107[[#This Row],[CONTRIB. FOLHA]]+Tabela1107[[#This Row],[TRIBUTOS S/ LUCRO]]+Tabela1107[[#This Row],[OUTROS]]+Tabela1107[[#This Row],[RS]]</f>
        <v>36.74</v>
      </c>
      <c r="BJ176" s="97">
        <f>+Tabela1107[[#This Row],[PIS]]+Tabela1107[[#This Row],[COFINS]]+Tabela1107[[#This Row],[CONTRIB. FOLHA]]+Tabela1107[[#This Row],[TRIBUTOS S/ LUCRO]]+Tabela1107[[#This Row],[OUTROS]]+Tabela1107[[#This Row],[RJ]]</f>
        <v>38.74</v>
      </c>
      <c r="BK176" s="97">
        <f>+Tabela1107[[#This Row],[PIS]]+Tabela1107[[#This Row],[COFINS]]+Tabela1107[[#This Row],[CONTRIB. FOLHA]]+Tabela1107[[#This Row],[TRIBUTOS S/ LUCRO]]+Tabela1107[[#This Row],[OUTROS]]+Tabela1107[[#This Row],[MG]]</f>
        <v>37.74</v>
      </c>
      <c r="BL176" s="97">
        <f>+Tabela1107[[#This Row],[PIS]]+Tabela1107[[#This Row],[COFINS]]+Tabela1107[[#This Row],[CONTRIB. FOLHA]]+Tabela1107[[#This Row],[TRIBUTOS S/ LUCRO]]+Tabela1107[[#This Row],[OUTROS]]+Tabela1107[[#This Row],[ES]]</f>
        <v>36.74</v>
      </c>
      <c r="BM176" s="97">
        <f>+Tabela1107[[#This Row],[PIS]]+Tabela1107[[#This Row],[COFINS]]+Tabela1107[[#This Row],[CONTRIB. FOLHA]]+Tabela1107[[#This Row],[TRIBUTOS S/ LUCRO]]+Tabela1107[[#This Row],[OUTROS]]+Tabela1107[[#This Row],[GO]]</f>
        <v>36.74</v>
      </c>
      <c r="BN176" s="97">
        <f>+Tabela1107[[#This Row],[PIS]]+Tabela1107[[#This Row],[COFINS]]+Tabela1107[[#This Row],[CONTRIB. FOLHA]]+Tabela1107[[#This Row],[TRIBUTOS S/ LUCRO]]+Tabela1107[[#This Row],[OUTROS]]+Tabela1107[[#This Row],[MT]]</f>
        <v>36.74</v>
      </c>
      <c r="BO176" s="97">
        <f>+Tabela1107[[#This Row],[PIS]]+Tabela1107[[#This Row],[COFINS]]+Tabela1107[[#This Row],[CONTRIB. FOLHA]]+Tabela1107[[#This Row],[TRIBUTOS S/ LUCRO]]+Tabela1107[[#This Row],[OUTROS]]+Tabela1107[[#This Row],[MS]]</f>
        <v>36.74</v>
      </c>
      <c r="BP176" s="97">
        <f>+Tabela1107[[#This Row],[PIS]]+Tabela1107[[#This Row],[COFINS]]+Tabela1107[[#This Row],[CONTRIB. FOLHA]]+Tabela1107[[#This Row],[TRIBUTOS S/ LUCRO]]+Tabela1107[[#This Row],[OUTROS]]+Tabela1107[[#This Row],[DF]]</f>
        <v>36.74</v>
      </c>
      <c r="BQ176" s="97">
        <f>+Tabela1107[[#This Row],[PIS]]+Tabela1107[[#This Row],[COFINS]]+Tabela1107[[#This Row],[CONTRIB. FOLHA]]+Tabela1107[[#This Row],[TRIBUTOS S/ LUCRO]]+Tabela1107[[#This Row],[OUTROS]]+Tabela1107[[#This Row],[BA]]</f>
        <v>36.74</v>
      </c>
      <c r="BR176" s="97">
        <f>+Tabela1107[[#This Row],[PIS]]+Tabela1107[[#This Row],[COFINS]]+Tabela1107[[#This Row],[CONTRIB. FOLHA]]+Tabela1107[[#This Row],[TRIBUTOS S/ LUCRO]]+Tabela1107[[#This Row],[OUTROS]]+Tabela1107[[#This Row],[BA]]</f>
        <v>36.74</v>
      </c>
      <c r="BS176" s="97">
        <f>+Tabela1107[[#This Row],[PIS]]+Tabela1107[[#This Row],[COFINS]]+Tabela1107[[#This Row],[CONTRIB. FOLHA]]+Tabela1107[[#This Row],[TRIBUTOS S/ LUCRO]]+Tabela1107[[#This Row],[OUTROS]]+Tabela1107[[#This Row],[PE]]</f>
        <v>36.74</v>
      </c>
      <c r="BT176" s="97">
        <f>+Tabela1107[[#This Row],[PIS]]+Tabela1107[[#This Row],[COFINS]]+Tabela1107[[#This Row],[CONTRIB. FOLHA]]+Tabela1107[[#This Row],[TRIBUTOS S/ LUCRO]]+Tabela1107[[#This Row],[OUTROS]]+Tabela1107[[#This Row],[PA]]</f>
        <v>36.74</v>
      </c>
      <c r="BU176" s="97">
        <f>+Tabela1107[[#This Row],[PIS]]+Tabela1107[[#This Row],[COFINS]]+Tabela1107[[#This Row],[CONTRIB. FOLHA]]+Tabela1107[[#This Row],[TRIBUTOS S/ LUCRO]]+Tabela1107[[#This Row],[OUTROS]]+Tabela1107[[#This Row],[AM]]</f>
        <v>36.74</v>
      </c>
      <c r="BV176" s="97">
        <f>AVERAGE(Tabela1107[[#This Row],[TOTAL SP]:[TOTAL AM]])</f>
        <v>36.677500000000002</v>
      </c>
      <c r="BW176" s="97"/>
      <c r="BX176" s="97"/>
    </row>
    <row r="177" spans="2:76" x14ac:dyDescent="0.25">
      <c r="B177" s="89">
        <v>2293</v>
      </c>
      <c r="C177" s="91" t="s">
        <v>13168</v>
      </c>
      <c r="D177" s="89"/>
      <c r="E177" s="89">
        <v>20140626</v>
      </c>
      <c r="F177" s="89" t="s">
        <v>20644</v>
      </c>
      <c r="G177" s="89" t="s">
        <v>20645</v>
      </c>
      <c r="H177" s="89" t="s">
        <v>20646</v>
      </c>
      <c r="I177" s="89" t="s">
        <v>20647</v>
      </c>
      <c r="J177" s="89" t="s">
        <v>6</v>
      </c>
      <c r="K177" s="89"/>
      <c r="L177" s="89" t="s">
        <v>2655</v>
      </c>
      <c r="M177" s="89" t="s">
        <v>4496</v>
      </c>
      <c r="N177" s="89" t="s">
        <v>4496</v>
      </c>
      <c r="O177" s="89" t="s">
        <v>4496</v>
      </c>
      <c r="P177" s="89" t="s">
        <v>4496</v>
      </c>
      <c r="Q177" s="89"/>
      <c r="R177" s="89" t="s">
        <v>29</v>
      </c>
      <c r="S177" s="89" t="s">
        <v>21616</v>
      </c>
      <c r="T177" s="89" t="s">
        <v>21617</v>
      </c>
      <c r="U177" s="89" t="str">
        <f>TRIM('Carga Tributária doenças Po (2'!$L177)</f>
        <v>DIPIRONA SODICA</v>
      </c>
      <c r="V177" s="89">
        <f>SUMIFS('Tabela Federal'!$E$4:$E$2069,'Tabela Federal'!$D$4:$D$2069,'Carga Tributária doenças Po (2'!$L177)</f>
        <v>1</v>
      </c>
      <c r="W177" s="89">
        <f>SUMIFS('Tabela Federal'!$E$4:$E$2069,'Tabela Federal'!$D$4:$D$2069,'Carga Tributária doenças Po (2'!$M177)</f>
        <v>0</v>
      </c>
      <c r="X177" s="89">
        <f>SUMIFS('Tabela Federal'!$E$4:$E$2069,'Tabela Federal'!$D$4:$D$2069,'Carga Tributária doenças Po (2'!$N177)</f>
        <v>0</v>
      </c>
      <c r="Y177" s="89">
        <f>SUMIFS('Tabela Federal'!$E$4:$E$2069,'Tabela Federal'!$D$4:$D$2069,'Carga Tributária doenças Po (2'!$O177)</f>
        <v>0</v>
      </c>
      <c r="Z177" s="92" t="str">
        <f>VLOOKUP('Carga Tributária doenças Po (2'!$AD177,'Carga Tributária doenças Po (2'!$CA$12:$CC$16,2,0)</f>
        <v>-</v>
      </c>
      <c r="AA177" s="89" t="s">
        <v>7</v>
      </c>
      <c r="AB177" s="89" t="s">
        <v>21730</v>
      </c>
      <c r="AC177" s="89" t="s">
        <v>21740</v>
      </c>
      <c r="AD177" s="93" t="s">
        <v>19523</v>
      </c>
      <c r="AE177" s="92" t="s">
        <v>4</v>
      </c>
      <c r="AF177" s="92" t="s">
        <v>10</v>
      </c>
      <c r="AG177" s="94">
        <v>3001664</v>
      </c>
      <c r="AH177" s="95">
        <v>4048502</v>
      </c>
      <c r="AI177" s="95">
        <v>9237535.5</v>
      </c>
      <c r="AJ177" s="89" t="s">
        <v>5</v>
      </c>
      <c r="AK177" s="89">
        <f>IF('Carga Tributária doenças Po (2'!$Z177="+",0,SUMIFS(PISCOFINS!$I$3:$I$10518,PISCOFINS!$C$3:$C$10518,'Carga Tributária doenças Po (2'!$C177))</f>
        <v>2.1</v>
      </c>
      <c r="AL177" s="89">
        <f>IF('Carga Tributária doenças Po (2'!$Z177="+",0,SUMIFS(PISCOFINS!$H$3:$H$10518,PISCOFINS!$C$3:$C$10518,'Carga Tributária doenças Po (2'!$C177))</f>
        <v>9.9</v>
      </c>
      <c r="AM177" s="95">
        <v>3.27</v>
      </c>
      <c r="AN177" s="95">
        <v>3.12</v>
      </c>
      <c r="AO177" s="95">
        <v>1.35</v>
      </c>
      <c r="AP177" s="96">
        <v>18</v>
      </c>
      <c r="AQ177" s="96">
        <v>12</v>
      </c>
      <c r="AR177" s="96">
        <v>17</v>
      </c>
      <c r="AS177" s="97">
        <v>17</v>
      </c>
      <c r="AT177" s="97">
        <v>19</v>
      </c>
      <c r="AU177" s="97">
        <v>12</v>
      </c>
      <c r="AV177" s="97">
        <v>17</v>
      </c>
      <c r="AW177" s="97">
        <v>17</v>
      </c>
      <c r="AX177" s="97">
        <v>17</v>
      </c>
      <c r="AY177" s="97">
        <v>17</v>
      </c>
      <c r="AZ177" s="97">
        <v>17</v>
      </c>
      <c r="BA177" s="97">
        <v>17</v>
      </c>
      <c r="BB177" s="97">
        <v>17</v>
      </c>
      <c r="BC177" s="97">
        <v>17</v>
      </c>
      <c r="BD177" s="97">
        <v>17</v>
      </c>
      <c r="BE177" s="97">
        <v>17</v>
      </c>
      <c r="BF177" s="97">
        <f>+Tabela1107[[#This Row],[PIS]]+Tabela1107[[#This Row],[COFINS]]+Tabela1107[[#This Row],[CONTRIB. FOLHA]]+Tabela1107[[#This Row],[TRIBUTOS S/ LUCRO]]+Tabela1107[[#This Row],[OUTROS]]+Tabela1107[[#This Row],[SP]]</f>
        <v>37.74</v>
      </c>
      <c r="BG177" s="97">
        <f>+Tabela1107[[#This Row],[PIS]]+Tabela1107[[#This Row],[COFINS]]+Tabela1107[[#This Row],[CONTRIB. FOLHA]]+Tabela1107[[#This Row],[TRIBUTOS S/ LUCRO]]+Tabela1107[[#This Row],[OUTROS]]+Tabela1107[[#This Row],[PR]]</f>
        <v>31.740000000000002</v>
      </c>
      <c r="BH177" s="97">
        <f>+Tabela1107[[#This Row],[PIS]]+Tabela1107[[#This Row],[COFINS]]+Tabela1107[[#This Row],[CONTRIB. FOLHA]]+Tabela1107[[#This Row],[TRIBUTOS S/ LUCRO]]+Tabela1107[[#This Row],[OUTROS]]+Tabela1107[[#This Row],[SC]]</f>
        <v>36.74</v>
      </c>
      <c r="BI177" s="97">
        <f>+Tabela1107[[#This Row],[PIS]]+Tabela1107[[#This Row],[COFINS]]+Tabela1107[[#This Row],[CONTRIB. FOLHA]]+Tabela1107[[#This Row],[TRIBUTOS S/ LUCRO]]+Tabela1107[[#This Row],[OUTROS]]+Tabela1107[[#This Row],[RS]]</f>
        <v>36.74</v>
      </c>
      <c r="BJ177" s="97">
        <f>+Tabela1107[[#This Row],[PIS]]+Tabela1107[[#This Row],[COFINS]]+Tabela1107[[#This Row],[CONTRIB. FOLHA]]+Tabela1107[[#This Row],[TRIBUTOS S/ LUCRO]]+Tabela1107[[#This Row],[OUTROS]]+Tabela1107[[#This Row],[RJ]]</f>
        <v>38.74</v>
      </c>
      <c r="BK177" s="97">
        <f>+Tabela1107[[#This Row],[PIS]]+Tabela1107[[#This Row],[COFINS]]+Tabela1107[[#This Row],[CONTRIB. FOLHA]]+Tabela1107[[#This Row],[TRIBUTOS S/ LUCRO]]+Tabela1107[[#This Row],[OUTROS]]+Tabela1107[[#This Row],[MG]]</f>
        <v>31.740000000000002</v>
      </c>
      <c r="BL177" s="97">
        <f>+Tabela1107[[#This Row],[PIS]]+Tabela1107[[#This Row],[COFINS]]+Tabela1107[[#This Row],[CONTRIB. FOLHA]]+Tabela1107[[#This Row],[TRIBUTOS S/ LUCRO]]+Tabela1107[[#This Row],[OUTROS]]+Tabela1107[[#This Row],[ES]]</f>
        <v>36.74</v>
      </c>
      <c r="BM177" s="97">
        <f>+Tabela1107[[#This Row],[PIS]]+Tabela1107[[#This Row],[COFINS]]+Tabela1107[[#This Row],[CONTRIB. FOLHA]]+Tabela1107[[#This Row],[TRIBUTOS S/ LUCRO]]+Tabela1107[[#This Row],[OUTROS]]+Tabela1107[[#This Row],[GO]]</f>
        <v>36.74</v>
      </c>
      <c r="BN177" s="97">
        <f>+Tabela1107[[#This Row],[PIS]]+Tabela1107[[#This Row],[COFINS]]+Tabela1107[[#This Row],[CONTRIB. FOLHA]]+Tabela1107[[#This Row],[TRIBUTOS S/ LUCRO]]+Tabela1107[[#This Row],[OUTROS]]+Tabela1107[[#This Row],[MT]]</f>
        <v>36.74</v>
      </c>
      <c r="BO177" s="97">
        <f>+Tabela1107[[#This Row],[PIS]]+Tabela1107[[#This Row],[COFINS]]+Tabela1107[[#This Row],[CONTRIB. FOLHA]]+Tabela1107[[#This Row],[TRIBUTOS S/ LUCRO]]+Tabela1107[[#This Row],[OUTROS]]+Tabela1107[[#This Row],[MS]]</f>
        <v>36.74</v>
      </c>
      <c r="BP177" s="97">
        <f>+Tabela1107[[#This Row],[PIS]]+Tabela1107[[#This Row],[COFINS]]+Tabela1107[[#This Row],[CONTRIB. FOLHA]]+Tabela1107[[#This Row],[TRIBUTOS S/ LUCRO]]+Tabela1107[[#This Row],[OUTROS]]+Tabela1107[[#This Row],[DF]]</f>
        <v>36.74</v>
      </c>
      <c r="BQ177" s="97">
        <f>+Tabela1107[[#This Row],[PIS]]+Tabela1107[[#This Row],[COFINS]]+Tabela1107[[#This Row],[CONTRIB. FOLHA]]+Tabela1107[[#This Row],[TRIBUTOS S/ LUCRO]]+Tabela1107[[#This Row],[OUTROS]]+Tabela1107[[#This Row],[BA]]</f>
        <v>36.74</v>
      </c>
      <c r="BR177" s="97">
        <f>+Tabela1107[[#This Row],[PIS]]+Tabela1107[[#This Row],[COFINS]]+Tabela1107[[#This Row],[CONTRIB. FOLHA]]+Tabela1107[[#This Row],[TRIBUTOS S/ LUCRO]]+Tabela1107[[#This Row],[OUTROS]]+Tabela1107[[#This Row],[BA]]</f>
        <v>36.74</v>
      </c>
      <c r="BS177" s="97">
        <f>+Tabela1107[[#This Row],[PIS]]+Tabela1107[[#This Row],[COFINS]]+Tabela1107[[#This Row],[CONTRIB. FOLHA]]+Tabela1107[[#This Row],[TRIBUTOS S/ LUCRO]]+Tabela1107[[#This Row],[OUTROS]]+Tabela1107[[#This Row],[PE]]</f>
        <v>36.74</v>
      </c>
      <c r="BT177" s="97">
        <f>+Tabela1107[[#This Row],[PIS]]+Tabela1107[[#This Row],[COFINS]]+Tabela1107[[#This Row],[CONTRIB. FOLHA]]+Tabela1107[[#This Row],[TRIBUTOS S/ LUCRO]]+Tabela1107[[#This Row],[OUTROS]]+Tabela1107[[#This Row],[PA]]</f>
        <v>36.74</v>
      </c>
      <c r="BU177" s="97">
        <f>+Tabela1107[[#This Row],[PIS]]+Tabela1107[[#This Row],[COFINS]]+Tabela1107[[#This Row],[CONTRIB. FOLHA]]+Tabela1107[[#This Row],[TRIBUTOS S/ LUCRO]]+Tabela1107[[#This Row],[OUTROS]]+Tabela1107[[#This Row],[AM]]</f>
        <v>36.74</v>
      </c>
      <c r="BV177" s="97">
        <f>AVERAGE(Tabela1107[[#This Row],[TOTAL SP]:[TOTAL AM]])</f>
        <v>36.302500000000002</v>
      </c>
      <c r="BW177" s="97"/>
      <c r="BX177" s="97"/>
    </row>
    <row r="178" spans="2:76" x14ac:dyDescent="0.25">
      <c r="B178" s="89">
        <v>2293</v>
      </c>
      <c r="C178" s="91" t="s">
        <v>13168</v>
      </c>
      <c r="D178" s="89"/>
      <c r="E178" s="89">
        <v>20140626</v>
      </c>
      <c r="F178" s="89" t="s">
        <v>20644</v>
      </c>
      <c r="G178" s="89" t="s">
        <v>20645</v>
      </c>
      <c r="H178" s="89" t="s">
        <v>20646</v>
      </c>
      <c r="I178" s="89" t="s">
        <v>20647</v>
      </c>
      <c r="J178" s="89" t="s">
        <v>6</v>
      </c>
      <c r="K178" s="89"/>
      <c r="L178" s="89" t="s">
        <v>2655</v>
      </c>
      <c r="M178" s="89" t="s">
        <v>4496</v>
      </c>
      <c r="N178" s="89" t="s">
        <v>4496</v>
      </c>
      <c r="O178" s="89" t="s">
        <v>4496</v>
      </c>
      <c r="P178" s="89" t="s">
        <v>4496</v>
      </c>
      <c r="Q178" s="89"/>
      <c r="R178" s="89" t="s">
        <v>29</v>
      </c>
      <c r="S178" s="89" t="s">
        <v>21616</v>
      </c>
      <c r="T178" s="89" t="s">
        <v>21617</v>
      </c>
      <c r="U178" s="89" t="str">
        <f>TRIM('Carga Tributária doenças Po (2'!$L178)</f>
        <v>DIPIRONA SODICA</v>
      </c>
      <c r="V178" s="89">
        <f>SUMIFS('Tabela Federal'!$E$4:$E$2069,'Tabela Federal'!$D$4:$D$2069,'Carga Tributária doenças Po (2'!$L178)</f>
        <v>1</v>
      </c>
      <c r="W178" s="89">
        <f>SUMIFS('Tabela Federal'!$E$4:$E$2069,'Tabela Federal'!$D$4:$D$2069,'Carga Tributária doenças Po (2'!$M178)</f>
        <v>0</v>
      </c>
      <c r="X178" s="89">
        <f>SUMIFS('Tabela Federal'!$E$4:$E$2069,'Tabela Federal'!$D$4:$D$2069,'Carga Tributária doenças Po (2'!$N178)</f>
        <v>0</v>
      </c>
      <c r="Y178" s="89">
        <f>SUMIFS('Tabela Federal'!$E$4:$E$2069,'Tabela Federal'!$D$4:$D$2069,'Carga Tributária doenças Po (2'!$O178)</f>
        <v>0</v>
      </c>
      <c r="Z178" s="92" t="str">
        <f>VLOOKUP('Carga Tributária doenças Po (2'!$AD178,'Carga Tributária doenças Po (2'!$CA$12:$CC$16,2,0)</f>
        <v>-</v>
      </c>
      <c r="AA178" s="89" t="s">
        <v>7</v>
      </c>
      <c r="AB178" s="89" t="s">
        <v>21730</v>
      </c>
      <c r="AC178" s="89" t="s">
        <v>21740</v>
      </c>
      <c r="AD178" s="93" t="s">
        <v>19523</v>
      </c>
      <c r="AE178" s="92" t="s">
        <v>4</v>
      </c>
      <c r="AF178" s="92" t="s">
        <v>10</v>
      </c>
      <c r="AG178" s="94">
        <v>3001664</v>
      </c>
      <c r="AH178" s="95">
        <v>4048502</v>
      </c>
      <c r="AI178" s="95">
        <v>9237535.5</v>
      </c>
      <c r="AJ178" s="89" t="s">
        <v>549</v>
      </c>
      <c r="AK178" s="89">
        <f>IF('Carga Tributária doenças Po (2'!$Z178="+",0,SUMIFS(PISCOFINS!$I$3:$I$10518,PISCOFINS!$C$3:$C$10518,'Carga Tributária doenças Po (2'!$C178))</f>
        <v>2.1</v>
      </c>
      <c r="AL178" s="89">
        <f>IF('Carga Tributária doenças Po (2'!$Z178="+",0,SUMIFS(PISCOFINS!$H$3:$H$10518,PISCOFINS!$C$3:$C$10518,'Carga Tributária doenças Po (2'!$C178))</f>
        <v>9.9</v>
      </c>
      <c r="AM178" s="95">
        <v>3.27</v>
      </c>
      <c r="AN178" s="95">
        <v>3.12</v>
      </c>
      <c r="AO178" s="95">
        <v>1.35</v>
      </c>
      <c r="AP178" s="96">
        <v>18</v>
      </c>
      <c r="AQ178" s="96">
        <v>12</v>
      </c>
      <c r="AR178" s="96">
        <v>17</v>
      </c>
      <c r="AS178" s="97">
        <v>17</v>
      </c>
      <c r="AT178" s="97">
        <v>19</v>
      </c>
      <c r="AU178" s="97">
        <v>12</v>
      </c>
      <c r="AV178" s="97">
        <v>17</v>
      </c>
      <c r="AW178" s="97">
        <v>17</v>
      </c>
      <c r="AX178" s="97">
        <v>17</v>
      </c>
      <c r="AY178" s="97">
        <v>17</v>
      </c>
      <c r="AZ178" s="97">
        <v>17</v>
      </c>
      <c r="BA178" s="97">
        <v>17</v>
      </c>
      <c r="BB178" s="97">
        <v>17</v>
      </c>
      <c r="BC178" s="97">
        <v>17</v>
      </c>
      <c r="BD178" s="97">
        <v>17</v>
      </c>
      <c r="BE178" s="97">
        <v>17</v>
      </c>
      <c r="BF178" s="97">
        <f>+Tabela1107[[#This Row],[PIS]]+Tabela1107[[#This Row],[COFINS]]+Tabela1107[[#This Row],[CONTRIB. FOLHA]]+Tabela1107[[#This Row],[TRIBUTOS S/ LUCRO]]+Tabela1107[[#This Row],[OUTROS]]+Tabela1107[[#This Row],[SP]]</f>
        <v>37.74</v>
      </c>
      <c r="BG178" s="97">
        <f>+Tabela1107[[#This Row],[PIS]]+Tabela1107[[#This Row],[COFINS]]+Tabela1107[[#This Row],[CONTRIB. FOLHA]]+Tabela1107[[#This Row],[TRIBUTOS S/ LUCRO]]+Tabela1107[[#This Row],[OUTROS]]+Tabela1107[[#This Row],[PR]]</f>
        <v>31.740000000000002</v>
      </c>
      <c r="BH178" s="97">
        <f>+Tabela1107[[#This Row],[PIS]]+Tabela1107[[#This Row],[COFINS]]+Tabela1107[[#This Row],[CONTRIB. FOLHA]]+Tabela1107[[#This Row],[TRIBUTOS S/ LUCRO]]+Tabela1107[[#This Row],[OUTROS]]+Tabela1107[[#This Row],[SC]]</f>
        <v>36.74</v>
      </c>
      <c r="BI178" s="97">
        <f>+Tabela1107[[#This Row],[PIS]]+Tabela1107[[#This Row],[COFINS]]+Tabela1107[[#This Row],[CONTRIB. FOLHA]]+Tabela1107[[#This Row],[TRIBUTOS S/ LUCRO]]+Tabela1107[[#This Row],[OUTROS]]+Tabela1107[[#This Row],[RS]]</f>
        <v>36.74</v>
      </c>
      <c r="BJ178" s="97">
        <f>+Tabela1107[[#This Row],[PIS]]+Tabela1107[[#This Row],[COFINS]]+Tabela1107[[#This Row],[CONTRIB. FOLHA]]+Tabela1107[[#This Row],[TRIBUTOS S/ LUCRO]]+Tabela1107[[#This Row],[OUTROS]]+Tabela1107[[#This Row],[RJ]]</f>
        <v>38.74</v>
      </c>
      <c r="BK178" s="97">
        <f>+Tabela1107[[#This Row],[PIS]]+Tabela1107[[#This Row],[COFINS]]+Tabela1107[[#This Row],[CONTRIB. FOLHA]]+Tabela1107[[#This Row],[TRIBUTOS S/ LUCRO]]+Tabela1107[[#This Row],[OUTROS]]+Tabela1107[[#This Row],[MG]]</f>
        <v>31.740000000000002</v>
      </c>
      <c r="BL178" s="97">
        <f>+Tabela1107[[#This Row],[PIS]]+Tabela1107[[#This Row],[COFINS]]+Tabela1107[[#This Row],[CONTRIB. FOLHA]]+Tabela1107[[#This Row],[TRIBUTOS S/ LUCRO]]+Tabela1107[[#This Row],[OUTROS]]+Tabela1107[[#This Row],[ES]]</f>
        <v>36.74</v>
      </c>
      <c r="BM178" s="97">
        <f>+Tabela1107[[#This Row],[PIS]]+Tabela1107[[#This Row],[COFINS]]+Tabela1107[[#This Row],[CONTRIB. FOLHA]]+Tabela1107[[#This Row],[TRIBUTOS S/ LUCRO]]+Tabela1107[[#This Row],[OUTROS]]+Tabela1107[[#This Row],[GO]]</f>
        <v>36.74</v>
      </c>
      <c r="BN178" s="97">
        <f>+Tabela1107[[#This Row],[PIS]]+Tabela1107[[#This Row],[COFINS]]+Tabela1107[[#This Row],[CONTRIB. FOLHA]]+Tabela1107[[#This Row],[TRIBUTOS S/ LUCRO]]+Tabela1107[[#This Row],[OUTROS]]+Tabela1107[[#This Row],[MT]]</f>
        <v>36.74</v>
      </c>
      <c r="BO178" s="97">
        <f>+Tabela1107[[#This Row],[PIS]]+Tabela1107[[#This Row],[COFINS]]+Tabela1107[[#This Row],[CONTRIB. FOLHA]]+Tabela1107[[#This Row],[TRIBUTOS S/ LUCRO]]+Tabela1107[[#This Row],[OUTROS]]+Tabela1107[[#This Row],[MS]]</f>
        <v>36.74</v>
      </c>
      <c r="BP178" s="97">
        <f>+Tabela1107[[#This Row],[PIS]]+Tabela1107[[#This Row],[COFINS]]+Tabela1107[[#This Row],[CONTRIB. FOLHA]]+Tabela1107[[#This Row],[TRIBUTOS S/ LUCRO]]+Tabela1107[[#This Row],[OUTROS]]+Tabela1107[[#This Row],[DF]]</f>
        <v>36.74</v>
      </c>
      <c r="BQ178" s="97">
        <f>+Tabela1107[[#This Row],[PIS]]+Tabela1107[[#This Row],[COFINS]]+Tabela1107[[#This Row],[CONTRIB. FOLHA]]+Tabela1107[[#This Row],[TRIBUTOS S/ LUCRO]]+Tabela1107[[#This Row],[OUTROS]]+Tabela1107[[#This Row],[BA]]</f>
        <v>36.74</v>
      </c>
      <c r="BR178" s="97">
        <f>+Tabela1107[[#This Row],[PIS]]+Tabela1107[[#This Row],[COFINS]]+Tabela1107[[#This Row],[CONTRIB. FOLHA]]+Tabela1107[[#This Row],[TRIBUTOS S/ LUCRO]]+Tabela1107[[#This Row],[OUTROS]]+Tabela1107[[#This Row],[BA]]</f>
        <v>36.74</v>
      </c>
      <c r="BS178" s="97">
        <f>+Tabela1107[[#This Row],[PIS]]+Tabela1107[[#This Row],[COFINS]]+Tabela1107[[#This Row],[CONTRIB. FOLHA]]+Tabela1107[[#This Row],[TRIBUTOS S/ LUCRO]]+Tabela1107[[#This Row],[OUTROS]]+Tabela1107[[#This Row],[PE]]</f>
        <v>36.74</v>
      </c>
      <c r="BT178" s="97">
        <f>+Tabela1107[[#This Row],[PIS]]+Tabela1107[[#This Row],[COFINS]]+Tabela1107[[#This Row],[CONTRIB. FOLHA]]+Tabela1107[[#This Row],[TRIBUTOS S/ LUCRO]]+Tabela1107[[#This Row],[OUTROS]]+Tabela1107[[#This Row],[PA]]</f>
        <v>36.74</v>
      </c>
      <c r="BU178" s="97">
        <f>+Tabela1107[[#This Row],[PIS]]+Tabela1107[[#This Row],[COFINS]]+Tabela1107[[#This Row],[CONTRIB. FOLHA]]+Tabela1107[[#This Row],[TRIBUTOS S/ LUCRO]]+Tabela1107[[#This Row],[OUTROS]]+Tabela1107[[#This Row],[AM]]</f>
        <v>36.74</v>
      </c>
      <c r="BV178" s="97">
        <f>AVERAGE(Tabela1107[[#This Row],[TOTAL SP]:[TOTAL AM]])</f>
        <v>36.302500000000002</v>
      </c>
      <c r="BW178" s="97"/>
      <c r="BX178" s="97"/>
    </row>
    <row r="179" spans="2:76" x14ac:dyDescent="0.25">
      <c r="B179" s="89">
        <v>2294</v>
      </c>
      <c r="C179" s="91" t="s">
        <v>13168</v>
      </c>
      <c r="D179" s="89"/>
      <c r="E179" s="89">
        <v>20140626</v>
      </c>
      <c r="F179" s="89" t="s">
        <v>20648</v>
      </c>
      <c r="G179" s="89" t="s">
        <v>20649</v>
      </c>
      <c r="H179" s="89" t="s">
        <v>20650</v>
      </c>
      <c r="I179" s="89" t="s">
        <v>20647</v>
      </c>
      <c r="J179" s="89" t="s">
        <v>158</v>
      </c>
      <c r="K179" s="89"/>
      <c r="L179" s="89" t="s">
        <v>2655</v>
      </c>
      <c r="M179" s="89" t="s">
        <v>4496</v>
      </c>
      <c r="N179" s="89" t="s">
        <v>4496</v>
      </c>
      <c r="O179" s="89" t="s">
        <v>4496</v>
      </c>
      <c r="P179" s="89" t="s">
        <v>4496</v>
      </c>
      <c r="Q179" s="89"/>
      <c r="R179" s="89" t="s">
        <v>29</v>
      </c>
      <c r="S179" s="89" t="s">
        <v>21616</v>
      </c>
      <c r="T179" s="89" t="s">
        <v>21617</v>
      </c>
      <c r="U179" s="89" t="str">
        <f>TRIM('Carga Tributária doenças Po (2'!$L179)</f>
        <v>DIPIRONA SODICA</v>
      </c>
      <c r="V179" s="89">
        <f>SUMIFS('Tabela Federal'!$E$4:$E$2069,'Tabela Federal'!$D$4:$D$2069,'Carga Tributária doenças Po (2'!$L179)</f>
        <v>1</v>
      </c>
      <c r="W179" s="89">
        <f>SUMIFS('Tabela Federal'!$E$4:$E$2069,'Tabela Federal'!$D$4:$D$2069,'Carga Tributária doenças Po (2'!$M179)</f>
        <v>0</v>
      </c>
      <c r="X179" s="89">
        <f>SUMIFS('Tabela Federal'!$E$4:$E$2069,'Tabela Federal'!$D$4:$D$2069,'Carga Tributária doenças Po (2'!$N179)</f>
        <v>0</v>
      </c>
      <c r="Y179" s="89">
        <f>SUMIFS('Tabela Federal'!$E$4:$E$2069,'Tabela Federal'!$D$4:$D$2069,'Carga Tributária doenças Po (2'!$O179)</f>
        <v>0</v>
      </c>
      <c r="Z179" s="92" t="str">
        <f>VLOOKUP('Carga Tributária doenças Po (2'!$AD179,'Carga Tributária doenças Po (2'!$CA$12:$CC$16,2,0)</f>
        <v>-</v>
      </c>
      <c r="AA179" s="89" t="s">
        <v>7</v>
      </c>
      <c r="AB179" s="89" t="s">
        <v>21730</v>
      </c>
      <c r="AC179" s="89" t="s">
        <v>21740</v>
      </c>
      <c r="AD179" s="93" t="s">
        <v>19523</v>
      </c>
      <c r="AE179" s="92" t="s">
        <v>4</v>
      </c>
      <c r="AF179" s="92" t="s">
        <v>10</v>
      </c>
      <c r="AG179" s="94">
        <v>3025704</v>
      </c>
      <c r="AH179" s="95">
        <v>7498617</v>
      </c>
      <c r="AI179" s="95">
        <v>17085712.440000001</v>
      </c>
      <c r="AJ179" s="89" t="s">
        <v>5</v>
      </c>
      <c r="AK179" s="89">
        <f>IF('Carga Tributária doenças Po (2'!$Z179="+",0,SUMIFS(PISCOFINS!$I$3:$I$10518,PISCOFINS!$C$3:$C$10518,'Carga Tributária doenças Po (2'!$C179))</f>
        <v>2.1</v>
      </c>
      <c r="AL179" s="89">
        <f>IF('Carga Tributária doenças Po (2'!$Z179="+",0,SUMIFS(PISCOFINS!$H$3:$H$10518,PISCOFINS!$C$3:$C$10518,'Carga Tributária doenças Po (2'!$C179))</f>
        <v>9.9</v>
      </c>
      <c r="AM179" s="95">
        <v>3.27</v>
      </c>
      <c r="AN179" s="95">
        <v>3.12</v>
      </c>
      <c r="AO179" s="95">
        <v>1.35</v>
      </c>
      <c r="AP179" s="96">
        <v>18</v>
      </c>
      <c r="AQ179" s="96">
        <v>12</v>
      </c>
      <c r="AR179" s="96">
        <v>17</v>
      </c>
      <c r="AS179" s="97">
        <v>17</v>
      </c>
      <c r="AT179" s="97">
        <v>19</v>
      </c>
      <c r="AU179" s="97">
        <v>12</v>
      </c>
      <c r="AV179" s="97">
        <v>17</v>
      </c>
      <c r="AW179" s="97">
        <v>17</v>
      </c>
      <c r="AX179" s="97">
        <v>17</v>
      </c>
      <c r="AY179" s="97">
        <v>17</v>
      </c>
      <c r="AZ179" s="97">
        <v>17</v>
      </c>
      <c r="BA179" s="97">
        <v>17</v>
      </c>
      <c r="BB179" s="97">
        <v>17</v>
      </c>
      <c r="BC179" s="97">
        <v>17</v>
      </c>
      <c r="BD179" s="97">
        <v>17</v>
      </c>
      <c r="BE179" s="97">
        <v>17</v>
      </c>
      <c r="BF179" s="97">
        <f>+Tabela1107[[#This Row],[PIS]]+Tabela1107[[#This Row],[COFINS]]+Tabela1107[[#This Row],[CONTRIB. FOLHA]]+Tabela1107[[#This Row],[TRIBUTOS S/ LUCRO]]+Tabela1107[[#This Row],[OUTROS]]+Tabela1107[[#This Row],[SP]]</f>
        <v>37.74</v>
      </c>
      <c r="BG179" s="97">
        <f>+Tabela1107[[#This Row],[PIS]]+Tabela1107[[#This Row],[COFINS]]+Tabela1107[[#This Row],[CONTRIB. FOLHA]]+Tabela1107[[#This Row],[TRIBUTOS S/ LUCRO]]+Tabela1107[[#This Row],[OUTROS]]+Tabela1107[[#This Row],[PR]]</f>
        <v>31.740000000000002</v>
      </c>
      <c r="BH179" s="97">
        <f>+Tabela1107[[#This Row],[PIS]]+Tabela1107[[#This Row],[COFINS]]+Tabela1107[[#This Row],[CONTRIB. FOLHA]]+Tabela1107[[#This Row],[TRIBUTOS S/ LUCRO]]+Tabela1107[[#This Row],[OUTROS]]+Tabela1107[[#This Row],[SC]]</f>
        <v>36.74</v>
      </c>
      <c r="BI179" s="97">
        <f>+Tabela1107[[#This Row],[PIS]]+Tabela1107[[#This Row],[COFINS]]+Tabela1107[[#This Row],[CONTRIB. FOLHA]]+Tabela1107[[#This Row],[TRIBUTOS S/ LUCRO]]+Tabela1107[[#This Row],[OUTROS]]+Tabela1107[[#This Row],[RS]]</f>
        <v>36.74</v>
      </c>
      <c r="BJ179" s="97">
        <f>+Tabela1107[[#This Row],[PIS]]+Tabela1107[[#This Row],[COFINS]]+Tabela1107[[#This Row],[CONTRIB. FOLHA]]+Tabela1107[[#This Row],[TRIBUTOS S/ LUCRO]]+Tabela1107[[#This Row],[OUTROS]]+Tabela1107[[#This Row],[RJ]]</f>
        <v>38.74</v>
      </c>
      <c r="BK179" s="97">
        <f>+Tabela1107[[#This Row],[PIS]]+Tabela1107[[#This Row],[COFINS]]+Tabela1107[[#This Row],[CONTRIB. FOLHA]]+Tabela1107[[#This Row],[TRIBUTOS S/ LUCRO]]+Tabela1107[[#This Row],[OUTROS]]+Tabela1107[[#This Row],[MG]]</f>
        <v>31.740000000000002</v>
      </c>
      <c r="BL179" s="97">
        <f>+Tabela1107[[#This Row],[PIS]]+Tabela1107[[#This Row],[COFINS]]+Tabela1107[[#This Row],[CONTRIB. FOLHA]]+Tabela1107[[#This Row],[TRIBUTOS S/ LUCRO]]+Tabela1107[[#This Row],[OUTROS]]+Tabela1107[[#This Row],[ES]]</f>
        <v>36.74</v>
      </c>
      <c r="BM179" s="97">
        <f>+Tabela1107[[#This Row],[PIS]]+Tabela1107[[#This Row],[COFINS]]+Tabela1107[[#This Row],[CONTRIB. FOLHA]]+Tabela1107[[#This Row],[TRIBUTOS S/ LUCRO]]+Tabela1107[[#This Row],[OUTROS]]+Tabela1107[[#This Row],[GO]]</f>
        <v>36.74</v>
      </c>
      <c r="BN179" s="97">
        <f>+Tabela1107[[#This Row],[PIS]]+Tabela1107[[#This Row],[COFINS]]+Tabela1107[[#This Row],[CONTRIB. FOLHA]]+Tabela1107[[#This Row],[TRIBUTOS S/ LUCRO]]+Tabela1107[[#This Row],[OUTROS]]+Tabela1107[[#This Row],[MT]]</f>
        <v>36.74</v>
      </c>
      <c r="BO179" s="97">
        <f>+Tabela1107[[#This Row],[PIS]]+Tabela1107[[#This Row],[COFINS]]+Tabela1107[[#This Row],[CONTRIB. FOLHA]]+Tabela1107[[#This Row],[TRIBUTOS S/ LUCRO]]+Tabela1107[[#This Row],[OUTROS]]+Tabela1107[[#This Row],[MS]]</f>
        <v>36.74</v>
      </c>
      <c r="BP179" s="97">
        <f>+Tabela1107[[#This Row],[PIS]]+Tabela1107[[#This Row],[COFINS]]+Tabela1107[[#This Row],[CONTRIB. FOLHA]]+Tabela1107[[#This Row],[TRIBUTOS S/ LUCRO]]+Tabela1107[[#This Row],[OUTROS]]+Tabela1107[[#This Row],[DF]]</f>
        <v>36.74</v>
      </c>
      <c r="BQ179" s="97">
        <f>+Tabela1107[[#This Row],[PIS]]+Tabela1107[[#This Row],[COFINS]]+Tabela1107[[#This Row],[CONTRIB. FOLHA]]+Tabela1107[[#This Row],[TRIBUTOS S/ LUCRO]]+Tabela1107[[#This Row],[OUTROS]]+Tabela1107[[#This Row],[BA]]</f>
        <v>36.74</v>
      </c>
      <c r="BR179" s="97">
        <f>+Tabela1107[[#This Row],[PIS]]+Tabela1107[[#This Row],[COFINS]]+Tabela1107[[#This Row],[CONTRIB. FOLHA]]+Tabela1107[[#This Row],[TRIBUTOS S/ LUCRO]]+Tabela1107[[#This Row],[OUTROS]]+Tabela1107[[#This Row],[BA]]</f>
        <v>36.74</v>
      </c>
      <c r="BS179" s="97">
        <f>+Tabela1107[[#This Row],[PIS]]+Tabela1107[[#This Row],[COFINS]]+Tabela1107[[#This Row],[CONTRIB. FOLHA]]+Tabela1107[[#This Row],[TRIBUTOS S/ LUCRO]]+Tabela1107[[#This Row],[OUTROS]]+Tabela1107[[#This Row],[PE]]</f>
        <v>36.74</v>
      </c>
      <c r="BT179" s="97">
        <f>+Tabela1107[[#This Row],[PIS]]+Tabela1107[[#This Row],[COFINS]]+Tabela1107[[#This Row],[CONTRIB. FOLHA]]+Tabela1107[[#This Row],[TRIBUTOS S/ LUCRO]]+Tabela1107[[#This Row],[OUTROS]]+Tabela1107[[#This Row],[PA]]</f>
        <v>36.74</v>
      </c>
      <c r="BU179" s="97">
        <f>+Tabela1107[[#This Row],[PIS]]+Tabela1107[[#This Row],[COFINS]]+Tabela1107[[#This Row],[CONTRIB. FOLHA]]+Tabela1107[[#This Row],[TRIBUTOS S/ LUCRO]]+Tabela1107[[#This Row],[OUTROS]]+Tabela1107[[#This Row],[AM]]</f>
        <v>36.74</v>
      </c>
      <c r="BV179" s="97">
        <f>AVERAGE(Tabela1107[[#This Row],[TOTAL SP]:[TOTAL AM]])</f>
        <v>36.302500000000002</v>
      </c>
      <c r="BW179" s="97"/>
      <c r="BX179" s="97"/>
    </row>
    <row r="180" spans="2:76" x14ac:dyDescent="0.25">
      <c r="B180" s="89">
        <v>2294</v>
      </c>
      <c r="C180" s="91" t="s">
        <v>13168</v>
      </c>
      <c r="D180" s="89"/>
      <c r="E180" s="89">
        <v>20140626</v>
      </c>
      <c r="F180" s="89" t="s">
        <v>20648</v>
      </c>
      <c r="G180" s="89" t="s">
        <v>20649</v>
      </c>
      <c r="H180" s="89" t="s">
        <v>20650</v>
      </c>
      <c r="I180" s="89" t="s">
        <v>20647</v>
      </c>
      <c r="J180" s="89" t="s">
        <v>158</v>
      </c>
      <c r="K180" s="89"/>
      <c r="L180" s="89" t="s">
        <v>2655</v>
      </c>
      <c r="M180" s="89" t="s">
        <v>4496</v>
      </c>
      <c r="N180" s="89" t="s">
        <v>4496</v>
      </c>
      <c r="O180" s="89" t="s">
        <v>4496</v>
      </c>
      <c r="P180" s="89" t="s">
        <v>4496</v>
      </c>
      <c r="Q180" s="89"/>
      <c r="R180" s="89" t="s">
        <v>29</v>
      </c>
      <c r="S180" s="89" t="s">
        <v>21616</v>
      </c>
      <c r="T180" s="89" t="s">
        <v>21617</v>
      </c>
      <c r="U180" s="89" t="str">
        <f>TRIM('Carga Tributária doenças Po (2'!$L180)</f>
        <v>DIPIRONA SODICA</v>
      </c>
      <c r="V180" s="89">
        <f>SUMIFS('Tabela Federal'!$E$4:$E$2069,'Tabela Federal'!$D$4:$D$2069,'Carga Tributária doenças Po (2'!$L180)</f>
        <v>1</v>
      </c>
      <c r="W180" s="89">
        <f>SUMIFS('Tabela Federal'!$E$4:$E$2069,'Tabela Federal'!$D$4:$D$2069,'Carga Tributária doenças Po (2'!$M180)</f>
        <v>0</v>
      </c>
      <c r="X180" s="89">
        <f>SUMIFS('Tabela Federal'!$E$4:$E$2069,'Tabela Federal'!$D$4:$D$2069,'Carga Tributária doenças Po (2'!$N180)</f>
        <v>0</v>
      </c>
      <c r="Y180" s="89">
        <f>SUMIFS('Tabela Federal'!$E$4:$E$2069,'Tabela Federal'!$D$4:$D$2069,'Carga Tributária doenças Po (2'!$O180)</f>
        <v>0</v>
      </c>
      <c r="Z180" s="92" t="str">
        <f>VLOOKUP('Carga Tributária doenças Po (2'!$AD180,'Carga Tributária doenças Po (2'!$CA$12:$CC$16,2,0)</f>
        <v>-</v>
      </c>
      <c r="AA180" s="89" t="s">
        <v>7</v>
      </c>
      <c r="AB180" s="89" t="s">
        <v>21730</v>
      </c>
      <c r="AC180" s="89" t="s">
        <v>21740</v>
      </c>
      <c r="AD180" s="93" t="s">
        <v>19523</v>
      </c>
      <c r="AE180" s="92" t="s">
        <v>4</v>
      </c>
      <c r="AF180" s="92" t="s">
        <v>10</v>
      </c>
      <c r="AG180" s="94">
        <v>3025704</v>
      </c>
      <c r="AH180" s="95">
        <v>7498617</v>
      </c>
      <c r="AI180" s="95">
        <v>17085712.440000001</v>
      </c>
      <c r="AJ180" s="89" t="s">
        <v>549</v>
      </c>
      <c r="AK180" s="89">
        <f>IF('Carga Tributária doenças Po (2'!$Z180="+",0,SUMIFS(PISCOFINS!$I$3:$I$10518,PISCOFINS!$C$3:$C$10518,'Carga Tributária doenças Po (2'!$C180))</f>
        <v>2.1</v>
      </c>
      <c r="AL180" s="89">
        <f>IF('Carga Tributária doenças Po (2'!$Z180="+",0,SUMIFS(PISCOFINS!$H$3:$H$10518,PISCOFINS!$C$3:$C$10518,'Carga Tributária doenças Po (2'!$C180))</f>
        <v>9.9</v>
      </c>
      <c r="AM180" s="95">
        <v>3.27</v>
      </c>
      <c r="AN180" s="95">
        <v>3.12</v>
      </c>
      <c r="AO180" s="95">
        <v>1.35</v>
      </c>
      <c r="AP180" s="96">
        <v>18</v>
      </c>
      <c r="AQ180" s="96">
        <v>12</v>
      </c>
      <c r="AR180" s="96">
        <v>17</v>
      </c>
      <c r="AS180" s="97">
        <v>17</v>
      </c>
      <c r="AT180" s="97">
        <v>19</v>
      </c>
      <c r="AU180" s="97">
        <v>12</v>
      </c>
      <c r="AV180" s="97">
        <v>17</v>
      </c>
      <c r="AW180" s="97">
        <v>17</v>
      </c>
      <c r="AX180" s="97">
        <v>17</v>
      </c>
      <c r="AY180" s="97">
        <v>17</v>
      </c>
      <c r="AZ180" s="97">
        <v>17</v>
      </c>
      <c r="BA180" s="97">
        <v>17</v>
      </c>
      <c r="BB180" s="97">
        <v>17</v>
      </c>
      <c r="BC180" s="97">
        <v>17</v>
      </c>
      <c r="BD180" s="97">
        <v>17</v>
      </c>
      <c r="BE180" s="97">
        <v>17</v>
      </c>
      <c r="BF180" s="97">
        <f>+Tabela1107[[#This Row],[PIS]]+Tabela1107[[#This Row],[COFINS]]+Tabela1107[[#This Row],[CONTRIB. FOLHA]]+Tabela1107[[#This Row],[TRIBUTOS S/ LUCRO]]+Tabela1107[[#This Row],[OUTROS]]+Tabela1107[[#This Row],[SP]]</f>
        <v>37.74</v>
      </c>
      <c r="BG180" s="97">
        <f>+Tabela1107[[#This Row],[PIS]]+Tabela1107[[#This Row],[COFINS]]+Tabela1107[[#This Row],[CONTRIB. FOLHA]]+Tabela1107[[#This Row],[TRIBUTOS S/ LUCRO]]+Tabela1107[[#This Row],[OUTROS]]+Tabela1107[[#This Row],[PR]]</f>
        <v>31.740000000000002</v>
      </c>
      <c r="BH180" s="97">
        <f>+Tabela1107[[#This Row],[PIS]]+Tabela1107[[#This Row],[COFINS]]+Tabela1107[[#This Row],[CONTRIB. FOLHA]]+Tabela1107[[#This Row],[TRIBUTOS S/ LUCRO]]+Tabela1107[[#This Row],[OUTROS]]+Tabela1107[[#This Row],[SC]]</f>
        <v>36.74</v>
      </c>
      <c r="BI180" s="97">
        <f>+Tabela1107[[#This Row],[PIS]]+Tabela1107[[#This Row],[COFINS]]+Tabela1107[[#This Row],[CONTRIB. FOLHA]]+Tabela1107[[#This Row],[TRIBUTOS S/ LUCRO]]+Tabela1107[[#This Row],[OUTROS]]+Tabela1107[[#This Row],[RS]]</f>
        <v>36.74</v>
      </c>
      <c r="BJ180" s="97">
        <f>+Tabela1107[[#This Row],[PIS]]+Tabela1107[[#This Row],[COFINS]]+Tabela1107[[#This Row],[CONTRIB. FOLHA]]+Tabela1107[[#This Row],[TRIBUTOS S/ LUCRO]]+Tabela1107[[#This Row],[OUTROS]]+Tabela1107[[#This Row],[RJ]]</f>
        <v>38.74</v>
      </c>
      <c r="BK180" s="97">
        <f>+Tabela1107[[#This Row],[PIS]]+Tabela1107[[#This Row],[COFINS]]+Tabela1107[[#This Row],[CONTRIB. FOLHA]]+Tabela1107[[#This Row],[TRIBUTOS S/ LUCRO]]+Tabela1107[[#This Row],[OUTROS]]+Tabela1107[[#This Row],[MG]]</f>
        <v>31.740000000000002</v>
      </c>
      <c r="BL180" s="97">
        <f>+Tabela1107[[#This Row],[PIS]]+Tabela1107[[#This Row],[COFINS]]+Tabela1107[[#This Row],[CONTRIB. FOLHA]]+Tabela1107[[#This Row],[TRIBUTOS S/ LUCRO]]+Tabela1107[[#This Row],[OUTROS]]+Tabela1107[[#This Row],[ES]]</f>
        <v>36.74</v>
      </c>
      <c r="BM180" s="97">
        <f>+Tabela1107[[#This Row],[PIS]]+Tabela1107[[#This Row],[COFINS]]+Tabela1107[[#This Row],[CONTRIB. FOLHA]]+Tabela1107[[#This Row],[TRIBUTOS S/ LUCRO]]+Tabela1107[[#This Row],[OUTROS]]+Tabela1107[[#This Row],[GO]]</f>
        <v>36.74</v>
      </c>
      <c r="BN180" s="97">
        <f>+Tabela1107[[#This Row],[PIS]]+Tabela1107[[#This Row],[COFINS]]+Tabela1107[[#This Row],[CONTRIB. FOLHA]]+Tabela1107[[#This Row],[TRIBUTOS S/ LUCRO]]+Tabela1107[[#This Row],[OUTROS]]+Tabela1107[[#This Row],[MT]]</f>
        <v>36.74</v>
      </c>
      <c r="BO180" s="97">
        <f>+Tabela1107[[#This Row],[PIS]]+Tabela1107[[#This Row],[COFINS]]+Tabela1107[[#This Row],[CONTRIB. FOLHA]]+Tabela1107[[#This Row],[TRIBUTOS S/ LUCRO]]+Tabela1107[[#This Row],[OUTROS]]+Tabela1107[[#This Row],[MS]]</f>
        <v>36.74</v>
      </c>
      <c r="BP180" s="97">
        <f>+Tabela1107[[#This Row],[PIS]]+Tabela1107[[#This Row],[COFINS]]+Tabela1107[[#This Row],[CONTRIB. FOLHA]]+Tabela1107[[#This Row],[TRIBUTOS S/ LUCRO]]+Tabela1107[[#This Row],[OUTROS]]+Tabela1107[[#This Row],[DF]]</f>
        <v>36.74</v>
      </c>
      <c r="BQ180" s="97">
        <f>+Tabela1107[[#This Row],[PIS]]+Tabela1107[[#This Row],[COFINS]]+Tabela1107[[#This Row],[CONTRIB. FOLHA]]+Tabela1107[[#This Row],[TRIBUTOS S/ LUCRO]]+Tabela1107[[#This Row],[OUTROS]]+Tabela1107[[#This Row],[BA]]</f>
        <v>36.74</v>
      </c>
      <c r="BR180" s="97">
        <f>+Tabela1107[[#This Row],[PIS]]+Tabela1107[[#This Row],[COFINS]]+Tabela1107[[#This Row],[CONTRIB. FOLHA]]+Tabela1107[[#This Row],[TRIBUTOS S/ LUCRO]]+Tabela1107[[#This Row],[OUTROS]]+Tabela1107[[#This Row],[BA]]</f>
        <v>36.74</v>
      </c>
      <c r="BS180" s="97">
        <f>+Tabela1107[[#This Row],[PIS]]+Tabela1107[[#This Row],[COFINS]]+Tabela1107[[#This Row],[CONTRIB. FOLHA]]+Tabela1107[[#This Row],[TRIBUTOS S/ LUCRO]]+Tabela1107[[#This Row],[OUTROS]]+Tabela1107[[#This Row],[PE]]</f>
        <v>36.74</v>
      </c>
      <c r="BT180" s="97">
        <f>+Tabela1107[[#This Row],[PIS]]+Tabela1107[[#This Row],[COFINS]]+Tabela1107[[#This Row],[CONTRIB. FOLHA]]+Tabela1107[[#This Row],[TRIBUTOS S/ LUCRO]]+Tabela1107[[#This Row],[OUTROS]]+Tabela1107[[#This Row],[PA]]</f>
        <v>36.74</v>
      </c>
      <c r="BU180" s="97">
        <f>+Tabela1107[[#This Row],[PIS]]+Tabela1107[[#This Row],[COFINS]]+Tabela1107[[#This Row],[CONTRIB. FOLHA]]+Tabela1107[[#This Row],[TRIBUTOS S/ LUCRO]]+Tabela1107[[#This Row],[OUTROS]]+Tabela1107[[#This Row],[AM]]</f>
        <v>36.74</v>
      </c>
      <c r="BV180" s="97">
        <f>AVERAGE(Tabela1107[[#This Row],[TOTAL SP]:[TOTAL AM]])</f>
        <v>36.302500000000002</v>
      </c>
      <c r="BW180" s="97"/>
      <c r="BX180" s="97"/>
    </row>
    <row r="181" spans="2:76" x14ac:dyDescent="0.25">
      <c r="B181" s="89">
        <v>3332</v>
      </c>
      <c r="C181" s="91" t="s">
        <v>13168</v>
      </c>
      <c r="D181" s="89"/>
      <c r="E181" s="89">
        <v>20140626</v>
      </c>
      <c r="F181" s="89" t="s">
        <v>21105</v>
      </c>
      <c r="G181" s="89" t="s">
        <v>21106</v>
      </c>
      <c r="H181" s="89" t="s">
        <v>21107</v>
      </c>
      <c r="I181" s="89" t="s">
        <v>20647</v>
      </c>
      <c r="J181" s="89" t="s">
        <v>6</v>
      </c>
      <c r="K181" s="89"/>
      <c r="L181" s="89" t="s">
        <v>2655</v>
      </c>
      <c r="M181" s="89" t="s">
        <v>4496</v>
      </c>
      <c r="N181" s="89" t="s">
        <v>4496</v>
      </c>
      <c r="O181" s="89" t="s">
        <v>4496</v>
      </c>
      <c r="P181" s="89" t="s">
        <v>4496</v>
      </c>
      <c r="Q181" s="89"/>
      <c r="R181" s="89" t="s">
        <v>34</v>
      </c>
      <c r="S181" s="89" t="s">
        <v>21672</v>
      </c>
      <c r="T181" s="89" t="s">
        <v>21673</v>
      </c>
      <c r="U181" s="89" t="str">
        <f>TRIM('Carga Tributária doenças Po (2'!$L181)</f>
        <v>DIPIRONA SODICA</v>
      </c>
      <c r="V181" s="89">
        <f>SUMIFS('Tabela Federal'!$E$4:$E$2069,'Tabela Federal'!$D$4:$D$2069,'Carga Tributária doenças Po (2'!$L181)</f>
        <v>1</v>
      </c>
      <c r="W181" s="89">
        <f>SUMIFS('Tabela Federal'!$E$4:$E$2069,'Tabela Federal'!$D$4:$D$2069,'Carga Tributária doenças Po (2'!$M181)</f>
        <v>0</v>
      </c>
      <c r="X181" s="89">
        <f>SUMIFS('Tabela Federal'!$E$4:$E$2069,'Tabela Federal'!$D$4:$D$2069,'Carga Tributária doenças Po (2'!$N181)</f>
        <v>0</v>
      </c>
      <c r="Y181" s="89">
        <f>SUMIFS('Tabela Federal'!$E$4:$E$2069,'Tabela Federal'!$D$4:$D$2069,'Carga Tributária doenças Po (2'!$O181)</f>
        <v>0</v>
      </c>
      <c r="Z181" s="92" t="str">
        <f>VLOOKUP('Carga Tributária doenças Po (2'!$AD181,'Carga Tributária doenças Po (2'!$CA$12:$CC$16,2,0)</f>
        <v>-</v>
      </c>
      <c r="AA181" s="89" t="s">
        <v>7</v>
      </c>
      <c r="AB181" s="89" t="s">
        <v>21730</v>
      </c>
      <c r="AC181" s="89" t="s">
        <v>21740</v>
      </c>
      <c r="AD181" s="93" t="s">
        <v>19523</v>
      </c>
      <c r="AE181" s="92" t="s">
        <v>4</v>
      </c>
      <c r="AF181" s="92" t="s">
        <v>10</v>
      </c>
      <c r="AG181" s="94">
        <v>2415851</v>
      </c>
      <c r="AH181" s="95">
        <v>3433698</v>
      </c>
      <c r="AI181" s="95">
        <v>7805105.5300000003</v>
      </c>
      <c r="AJ181" s="89" t="s">
        <v>549</v>
      </c>
      <c r="AK181" s="89">
        <f>IF('Carga Tributária doenças Po (2'!$Z181="+",0,SUMIFS(PISCOFINS!$I$3:$I$10518,PISCOFINS!$C$3:$C$10518,'Carga Tributária doenças Po (2'!$C181))</f>
        <v>2.1</v>
      </c>
      <c r="AL181" s="89">
        <f>IF('Carga Tributária doenças Po (2'!$Z181="+",0,SUMIFS(PISCOFINS!$H$3:$H$10518,PISCOFINS!$C$3:$C$10518,'Carga Tributária doenças Po (2'!$C181))</f>
        <v>9.9</v>
      </c>
      <c r="AM181" s="95">
        <v>3.27</v>
      </c>
      <c r="AN181" s="95">
        <v>3.12</v>
      </c>
      <c r="AO181" s="95">
        <v>1.35</v>
      </c>
      <c r="AP181" s="96">
        <v>18</v>
      </c>
      <c r="AQ181" s="96">
        <v>12</v>
      </c>
      <c r="AR181" s="96">
        <v>17</v>
      </c>
      <c r="AS181" s="97">
        <v>17</v>
      </c>
      <c r="AT181" s="97">
        <v>19</v>
      </c>
      <c r="AU181" s="97">
        <v>12</v>
      </c>
      <c r="AV181" s="97">
        <v>17</v>
      </c>
      <c r="AW181" s="97">
        <v>17</v>
      </c>
      <c r="AX181" s="97">
        <v>17</v>
      </c>
      <c r="AY181" s="97">
        <v>17</v>
      </c>
      <c r="AZ181" s="97">
        <v>17</v>
      </c>
      <c r="BA181" s="97">
        <v>17</v>
      </c>
      <c r="BB181" s="97">
        <v>17</v>
      </c>
      <c r="BC181" s="97">
        <v>17</v>
      </c>
      <c r="BD181" s="97">
        <v>17</v>
      </c>
      <c r="BE181" s="97">
        <v>17</v>
      </c>
      <c r="BF181" s="97">
        <f>+Tabela1107[[#This Row],[PIS]]+Tabela1107[[#This Row],[COFINS]]+Tabela1107[[#This Row],[CONTRIB. FOLHA]]+Tabela1107[[#This Row],[TRIBUTOS S/ LUCRO]]+Tabela1107[[#This Row],[OUTROS]]+Tabela1107[[#This Row],[SP]]</f>
        <v>37.74</v>
      </c>
      <c r="BG181" s="97">
        <f>+Tabela1107[[#This Row],[PIS]]+Tabela1107[[#This Row],[COFINS]]+Tabela1107[[#This Row],[CONTRIB. FOLHA]]+Tabela1107[[#This Row],[TRIBUTOS S/ LUCRO]]+Tabela1107[[#This Row],[OUTROS]]+Tabela1107[[#This Row],[PR]]</f>
        <v>31.740000000000002</v>
      </c>
      <c r="BH181" s="97">
        <f>+Tabela1107[[#This Row],[PIS]]+Tabela1107[[#This Row],[COFINS]]+Tabela1107[[#This Row],[CONTRIB. FOLHA]]+Tabela1107[[#This Row],[TRIBUTOS S/ LUCRO]]+Tabela1107[[#This Row],[OUTROS]]+Tabela1107[[#This Row],[SC]]</f>
        <v>36.74</v>
      </c>
      <c r="BI181" s="97">
        <f>+Tabela1107[[#This Row],[PIS]]+Tabela1107[[#This Row],[COFINS]]+Tabela1107[[#This Row],[CONTRIB. FOLHA]]+Tabela1107[[#This Row],[TRIBUTOS S/ LUCRO]]+Tabela1107[[#This Row],[OUTROS]]+Tabela1107[[#This Row],[RS]]</f>
        <v>36.74</v>
      </c>
      <c r="BJ181" s="97">
        <f>+Tabela1107[[#This Row],[PIS]]+Tabela1107[[#This Row],[COFINS]]+Tabela1107[[#This Row],[CONTRIB. FOLHA]]+Tabela1107[[#This Row],[TRIBUTOS S/ LUCRO]]+Tabela1107[[#This Row],[OUTROS]]+Tabela1107[[#This Row],[RJ]]</f>
        <v>38.74</v>
      </c>
      <c r="BK181" s="97">
        <f>+Tabela1107[[#This Row],[PIS]]+Tabela1107[[#This Row],[COFINS]]+Tabela1107[[#This Row],[CONTRIB. FOLHA]]+Tabela1107[[#This Row],[TRIBUTOS S/ LUCRO]]+Tabela1107[[#This Row],[OUTROS]]+Tabela1107[[#This Row],[MG]]</f>
        <v>31.740000000000002</v>
      </c>
      <c r="BL181" s="97">
        <f>+Tabela1107[[#This Row],[PIS]]+Tabela1107[[#This Row],[COFINS]]+Tabela1107[[#This Row],[CONTRIB. FOLHA]]+Tabela1107[[#This Row],[TRIBUTOS S/ LUCRO]]+Tabela1107[[#This Row],[OUTROS]]+Tabela1107[[#This Row],[ES]]</f>
        <v>36.74</v>
      </c>
      <c r="BM181" s="97">
        <f>+Tabela1107[[#This Row],[PIS]]+Tabela1107[[#This Row],[COFINS]]+Tabela1107[[#This Row],[CONTRIB. FOLHA]]+Tabela1107[[#This Row],[TRIBUTOS S/ LUCRO]]+Tabela1107[[#This Row],[OUTROS]]+Tabela1107[[#This Row],[GO]]</f>
        <v>36.74</v>
      </c>
      <c r="BN181" s="97">
        <f>+Tabela1107[[#This Row],[PIS]]+Tabela1107[[#This Row],[COFINS]]+Tabela1107[[#This Row],[CONTRIB. FOLHA]]+Tabela1107[[#This Row],[TRIBUTOS S/ LUCRO]]+Tabela1107[[#This Row],[OUTROS]]+Tabela1107[[#This Row],[MT]]</f>
        <v>36.74</v>
      </c>
      <c r="BO181" s="97">
        <f>+Tabela1107[[#This Row],[PIS]]+Tabela1107[[#This Row],[COFINS]]+Tabela1107[[#This Row],[CONTRIB. FOLHA]]+Tabela1107[[#This Row],[TRIBUTOS S/ LUCRO]]+Tabela1107[[#This Row],[OUTROS]]+Tabela1107[[#This Row],[MS]]</f>
        <v>36.74</v>
      </c>
      <c r="BP181" s="97">
        <f>+Tabela1107[[#This Row],[PIS]]+Tabela1107[[#This Row],[COFINS]]+Tabela1107[[#This Row],[CONTRIB. FOLHA]]+Tabela1107[[#This Row],[TRIBUTOS S/ LUCRO]]+Tabela1107[[#This Row],[OUTROS]]+Tabela1107[[#This Row],[DF]]</f>
        <v>36.74</v>
      </c>
      <c r="BQ181" s="97">
        <f>+Tabela1107[[#This Row],[PIS]]+Tabela1107[[#This Row],[COFINS]]+Tabela1107[[#This Row],[CONTRIB. FOLHA]]+Tabela1107[[#This Row],[TRIBUTOS S/ LUCRO]]+Tabela1107[[#This Row],[OUTROS]]+Tabela1107[[#This Row],[BA]]</f>
        <v>36.74</v>
      </c>
      <c r="BR181" s="97">
        <f>+Tabela1107[[#This Row],[PIS]]+Tabela1107[[#This Row],[COFINS]]+Tabela1107[[#This Row],[CONTRIB. FOLHA]]+Tabela1107[[#This Row],[TRIBUTOS S/ LUCRO]]+Tabela1107[[#This Row],[OUTROS]]+Tabela1107[[#This Row],[BA]]</f>
        <v>36.74</v>
      </c>
      <c r="BS181" s="97">
        <f>+Tabela1107[[#This Row],[PIS]]+Tabela1107[[#This Row],[COFINS]]+Tabela1107[[#This Row],[CONTRIB. FOLHA]]+Tabela1107[[#This Row],[TRIBUTOS S/ LUCRO]]+Tabela1107[[#This Row],[OUTROS]]+Tabela1107[[#This Row],[PE]]</f>
        <v>36.74</v>
      </c>
      <c r="BT181" s="97">
        <f>+Tabela1107[[#This Row],[PIS]]+Tabela1107[[#This Row],[COFINS]]+Tabela1107[[#This Row],[CONTRIB. FOLHA]]+Tabela1107[[#This Row],[TRIBUTOS S/ LUCRO]]+Tabela1107[[#This Row],[OUTROS]]+Tabela1107[[#This Row],[PA]]</f>
        <v>36.74</v>
      </c>
      <c r="BU181" s="97">
        <f>+Tabela1107[[#This Row],[PIS]]+Tabela1107[[#This Row],[COFINS]]+Tabela1107[[#This Row],[CONTRIB. FOLHA]]+Tabela1107[[#This Row],[TRIBUTOS S/ LUCRO]]+Tabela1107[[#This Row],[OUTROS]]+Tabela1107[[#This Row],[AM]]</f>
        <v>36.74</v>
      </c>
      <c r="BV181" s="97">
        <f>AVERAGE(Tabela1107[[#This Row],[TOTAL SP]:[TOTAL AM]])</f>
        <v>36.302500000000002</v>
      </c>
      <c r="BW181" s="97"/>
      <c r="BX181" s="97"/>
    </row>
    <row r="182" spans="2:76" x14ac:dyDescent="0.25">
      <c r="B182" s="89">
        <v>23317</v>
      </c>
      <c r="C182" s="91" t="s">
        <v>13022</v>
      </c>
      <c r="D182" s="89"/>
      <c r="E182" s="89">
        <v>20140626</v>
      </c>
      <c r="F182" s="89" t="s">
        <v>20420</v>
      </c>
      <c r="G182" s="89" t="s">
        <v>20421</v>
      </c>
      <c r="H182" s="89" t="s">
        <v>20422</v>
      </c>
      <c r="I182" s="89" t="s">
        <v>20423</v>
      </c>
      <c r="J182" s="89" t="s">
        <v>420</v>
      </c>
      <c r="K182" s="89"/>
      <c r="L182" s="89" t="s">
        <v>2656</v>
      </c>
      <c r="M182" s="89" t="s">
        <v>4496</v>
      </c>
      <c r="N182" s="89" t="s">
        <v>4496</v>
      </c>
      <c r="O182" s="89" t="s">
        <v>4496</v>
      </c>
      <c r="P182" s="89" t="s">
        <v>4496</v>
      </c>
      <c r="Q182" s="89"/>
      <c r="R182" s="89" t="s">
        <v>109</v>
      </c>
      <c r="S182" s="89" t="s">
        <v>21578</v>
      </c>
      <c r="T182" s="89" t="s">
        <v>21579</v>
      </c>
      <c r="U182" s="89" t="str">
        <f>TRIM('Carga Tributária doenças Po (2'!$L182)</f>
        <v>TRAZODONA</v>
      </c>
      <c r="V182" s="89">
        <f>SUMIFS('Tabela Federal'!$E$4:$E$2069,'Tabela Federal'!$D$4:$D$2069,'Carga Tributária doenças Po (2'!$L182)</f>
        <v>1</v>
      </c>
      <c r="W182" s="89">
        <f>SUMIFS('Tabela Federal'!$E$4:$E$2069,'Tabela Federal'!$D$4:$D$2069,'Carga Tributária doenças Po (2'!$M182)</f>
        <v>0</v>
      </c>
      <c r="X182" s="89">
        <f>SUMIFS('Tabela Federal'!$E$4:$E$2069,'Tabela Federal'!$D$4:$D$2069,'Carga Tributária doenças Po (2'!$N182)</f>
        <v>0</v>
      </c>
      <c r="Y182" s="89">
        <f>SUMIFS('Tabela Federal'!$E$4:$E$2069,'Tabela Federal'!$D$4:$D$2069,'Carga Tributária doenças Po (2'!$O182)</f>
        <v>0</v>
      </c>
      <c r="Z182" s="92" t="str">
        <f>VLOOKUP('Carga Tributária doenças Po (2'!$AD182,'Carga Tributária doenças Po (2'!$CA$12:$CC$16,2,0)</f>
        <v>+</v>
      </c>
      <c r="AA182" s="89" t="s">
        <v>415</v>
      </c>
      <c r="AB182" s="89" t="s">
        <v>21776</v>
      </c>
      <c r="AC182" s="89" t="s">
        <v>21721</v>
      </c>
      <c r="AD182" s="93" t="s">
        <v>21722</v>
      </c>
      <c r="AE182" s="92" t="s">
        <v>4</v>
      </c>
      <c r="AF182" s="92" t="s">
        <v>23</v>
      </c>
      <c r="AG182" s="94">
        <v>745192</v>
      </c>
      <c r="AH182" s="95">
        <v>14957852</v>
      </c>
      <c r="AI182" s="95">
        <v>34129724.020000003</v>
      </c>
      <c r="AJ182" s="89" t="s">
        <v>426</v>
      </c>
      <c r="AK182" s="89">
        <f>IF('Carga Tributária doenças Po (2'!$Z182="+",0,SUMIFS(PISCOFINS!$I$3:$I$10518,PISCOFINS!$C$3:$C$10518,'Carga Tributária doenças Po (2'!$C182))</f>
        <v>0</v>
      </c>
      <c r="AL182" s="89">
        <f>IF('Carga Tributária doenças Po (2'!$Z182="+",0,SUMIFS(PISCOFINS!$H$3:$H$10518,PISCOFINS!$C$3:$C$10518,'Carga Tributária doenças Po (2'!$C182))</f>
        <v>0</v>
      </c>
      <c r="AM182" s="95">
        <v>3.27</v>
      </c>
      <c r="AN182" s="95">
        <v>3.12</v>
      </c>
      <c r="AO182" s="95">
        <v>1.35</v>
      </c>
      <c r="AP182" s="96">
        <v>18</v>
      </c>
      <c r="AQ182" s="96">
        <v>12</v>
      </c>
      <c r="AR182" s="96">
        <v>17</v>
      </c>
      <c r="AS182" s="97">
        <v>17</v>
      </c>
      <c r="AT182" s="97">
        <v>19</v>
      </c>
      <c r="AU182" s="97">
        <v>18</v>
      </c>
      <c r="AV182" s="97">
        <v>17</v>
      </c>
      <c r="AW182" s="97">
        <v>17</v>
      </c>
      <c r="AX182" s="97">
        <v>17</v>
      </c>
      <c r="AY182" s="97">
        <v>17</v>
      </c>
      <c r="AZ182" s="97">
        <v>17</v>
      </c>
      <c r="BA182" s="97">
        <v>17</v>
      </c>
      <c r="BB182" s="97">
        <v>17</v>
      </c>
      <c r="BC182" s="97">
        <v>17</v>
      </c>
      <c r="BD182" s="97">
        <v>17</v>
      </c>
      <c r="BE182" s="97">
        <v>17</v>
      </c>
      <c r="BF182" s="97">
        <f>+Tabela1107[[#This Row],[PIS]]+Tabela1107[[#This Row],[COFINS]]+Tabela1107[[#This Row],[CONTRIB. FOLHA]]+Tabela1107[[#This Row],[TRIBUTOS S/ LUCRO]]+Tabela1107[[#This Row],[OUTROS]]+Tabela1107[[#This Row],[SP]]</f>
        <v>25.740000000000002</v>
      </c>
      <c r="BG182" s="97">
        <f>+Tabela1107[[#This Row],[PIS]]+Tabela1107[[#This Row],[COFINS]]+Tabela1107[[#This Row],[CONTRIB. FOLHA]]+Tabela1107[[#This Row],[TRIBUTOS S/ LUCRO]]+Tabela1107[[#This Row],[OUTROS]]+Tabela1107[[#This Row],[PR]]</f>
        <v>19.740000000000002</v>
      </c>
      <c r="BH182" s="97">
        <f>+Tabela1107[[#This Row],[PIS]]+Tabela1107[[#This Row],[COFINS]]+Tabela1107[[#This Row],[CONTRIB. FOLHA]]+Tabela1107[[#This Row],[TRIBUTOS S/ LUCRO]]+Tabela1107[[#This Row],[OUTROS]]+Tabela1107[[#This Row],[SC]]</f>
        <v>24.740000000000002</v>
      </c>
      <c r="BI182" s="97">
        <f>+Tabela1107[[#This Row],[PIS]]+Tabela1107[[#This Row],[COFINS]]+Tabela1107[[#This Row],[CONTRIB. FOLHA]]+Tabela1107[[#This Row],[TRIBUTOS S/ LUCRO]]+Tabela1107[[#This Row],[OUTROS]]+Tabela1107[[#This Row],[RS]]</f>
        <v>24.740000000000002</v>
      </c>
      <c r="BJ182" s="97">
        <f>+Tabela1107[[#This Row],[PIS]]+Tabela1107[[#This Row],[COFINS]]+Tabela1107[[#This Row],[CONTRIB. FOLHA]]+Tabela1107[[#This Row],[TRIBUTOS S/ LUCRO]]+Tabela1107[[#This Row],[OUTROS]]+Tabela1107[[#This Row],[RJ]]</f>
        <v>26.740000000000002</v>
      </c>
      <c r="BK182" s="97">
        <f>+Tabela1107[[#This Row],[PIS]]+Tabela1107[[#This Row],[COFINS]]+Tabela1107[[#This Row],[CONTRIB. FOLHA]]+Tabela1107[[#This Row],[TRIBUTOS S/ LUCRO]]+Tabela1107[[#This Row],[OUTROS]]+Tabela1107[[#This Row],[MG]]</f>
        <v>25.740000000000002</v>
      </c>
      <c r="BL182" s="97">
        <f>+Tabela1107[[#This Row],[PIS]]+Tabela1107[[#This Row],[COFINS]]+Tabela1107[[#This Row],[CONTRIB. FOLHA]]+Tabela1107[[#This Row],[TRIBUTOS S/ LUCRO]]+Tabela1107[[#This Row],[OUTROS]]+Tabela1107[[#This Row],[ES]]</f>
        <v>24.740000000000002</v>
      </c>
      <c r="BM182" s="97">
        <f>+Tabela1107[[#This Row],[PIS]]+Tabela1107[[#This Row],[COFINS]]+Tabela1107[[#This Row],[CONTRIB. FOLHA]]+Tabela1107[[#This Row],[TRIBUTOS S/ LUCRO]]+Tabela1107[[#This Row],[OUTROS]]+Tabela1107[[#This Row],[GO]]</f>
        <v>24.740000000000002</v>
      </c>
      <c r="BN182" s="97">
        <f>+Tabela1107[[#This Row],[PIS]]+Tabela1107[[#This Row],[COFINS]]+Tabela1107[[#This Row],[CONTRIB. FOLHA]]+Tabela1107[[#This Row],[TRIBUTOS S/ LUCRO]]+Tabela1107[[#This Row],[OUTROS]]+Tabela1107[[#This Row],[MT]]</f>
        <v>24.740000000000002</v>
      </c>
      <c r="BO182" s="97">
        <f>+Tabela1107[[#This Row],[PIS]]+Tabela1107[[#This Row],[COFINS]]+Tabela1107[[#This Row],[CONTRIB. FOLHA]]+Tabela1107[[#This Row],[TRIBUTOS S/ LUCRO]]+Tabela1107[[#This Row],[OUTROS]]+Tabela1107[[#This Row],[MS]]</f>
        <v>24.740000000000002</v>
      </c>
      <c r="BP182" s="97">
        <f>+Tabela1107[[#This Row],[PIS]]+Tabela1107[[#This Row],[COFINS]]+Tabela1107[[#This Row],[CONTRIB. FOLHA]]+Tabela1107[[#This Row],[TRIBUTOS S/ LUCRO]]+Tabela1107[[#This Row],[OUTROS]]+Tabela1107[[#This Row],[DF]]</f>
        <v>24.740000000000002</v>
      </c>
      <c r="BQ182" s="97">
        <f>+Tabela1107[[#This Row],[PIS]]+Tabela1107[[#This Row],[COFINS]]+Tabela1107[[#This Row],[CONTRIB. FOLHA]]+Tabela1107[[#This Row],[TRIBUTOS S/ LUCRO]]+Tabela1107[[#This Row],[OUTROS]]+Tabela1107[[#This Row],[BA]]</f>
        <v>24.740000000000002</v>
      </c>
      <c r="BR182" s="97">
        <f>+Tabela1107[[#This Row],[PIS]]+Tabela1107[[#This Row],[COFINS]]+Tabela1107[[#This Row],[CONTRIB. FOLHA]]+Tabela1107[[#This Row],[TRIBUTOS S/ LUCRO]]+Tabela1107[[#This Row],[OUTROS]]+Tabela1107[[#This Row],[BA]]</f>
        <v>24.740000000000002</v>
      </c>
      <c r="BS182" s="97">
        <f>+Tabela1107[[#This Row],[PIS]]+Tabela1107[[#This Row],[COFINS]]+Tabela1107[[#This Row],[CONTRIB. FOLHA]]+Tabela1107[[#This Row],[TRIBUTOS S/ LUCRO]]+Tabela1107[[#This Row],[OUTROS]]+Tabela1107[[#This Row],[PE]]</f>
        <v>24.740000000000002</v>
      </c>
      <c r="BT182" s="97">
        <f>+Tabela1107[[#This Row],[PIS]]+Tabela1107[[#This Row],[COFINS]]+Tabela1107[[#This Row],[CONTRIB. FOLHA]]+Tabela1107[[#This Row],[TRIBUTOS S/ LUCRO]]+Tabela1107[[#This Row],[OUTROS]]+Tabela1107[[#This Row],[PA]]</f>
        <v>24.740000000000002</v>
      </c>
      <c r="BU182" s="97">
        <f>+Tabela1107[[#This Row],[PIS]]+Tabela1107[[#This Row],[COFINS]]+Tabela1107[[#This Row],[CONTRIB. FOLHA]]+Tabela1107[[#This Row],[TRIBUTOS S/ LUCRO]]+Tabela1107[[#This Row],[OUTROS]]+Tabela1107[[#This Row],[AM]]</f>
        <v>24.740000000000002</v>
      </c>
      <c r="BV182" s="97">
        <f>AVERAGE(Tabela1107[[#This Row],[TOTAL SP]:[TOTAL AM]])</f>
        <v>24.677500000000006</v>
      </c>
      <c r="BW182" s="97"/>
      <c r="BX182" s="97"/>
    </row>
    <row r="183" spans="2:76" x14ac:dyDescent="0.25">
      <c r="B183" s="89">
        <v>5125</v>
      </c>
      <c r="C183" s="91" t="s">
        <v>13142</v>
      </c>
      <c r="D183" s="89"/>
      <c r="E183" s="89">
        <v>20140626</v>
      </c>
      <c r="F183" s="89" t="s">
        <v>21353</v>
      </c>
      <c r="G183" s="89" t="s">
        <v>21354</v>
      </c>
      <c r="H183" s="89" t="s">
        <v>21355</v>
      </c>
      <c r="I183" s="89" t="s">
        <v>21352</v>
      </c>
      <c r="J183" s="89" t="s">
        <v>159</v>
      </c>
      <c r="K183" s="89"/>
      <c r="L183" s="89" t="s">
        <v>2655</v>
      </c>
      <c r="M183" s="89" t="s">
        <v>4657</v>
      </c>
      <c r="N183" s="89" t="s">
        <v>3172</v>
      </c>
      <c r="O183" s="89" t="s">
        <v>4496</v>
      </c>
      <c r="P183" s="89" t="s">
        <v>4496</v>
      </c>
      <c r="Q183" s="89"/>
      <c r="R183" s="89" t="s">
        <v>28</v>
      </c>
      <c r="S183" s="89" t="s">
        <v>21692</v>
      </c>
      <c r="T183" s="89" t="s">
        <v>21693</v>
      </c>
      <c r="U183" s="89" t="str">
        <f>TRIM('Carga Tributária doenças Po (2'!$L183)</f>
        <v>DIPIRONA SODICA</v>
      </c>
      <c r="V183" s="89">
        <f>SUMIFS('Tabela Federal'!$E$4:$E$2069,'Tabela Federal'!$D$4:$D$2069,'Carga Tributária doenças Po (2'!$L183)</f>
        <v>1</v>
      </c>
      <c r="W183" s="89">
        <f>SUMIFS('Tabela Federal'!$E$4:$E$2069,'Tabela Federal'!$D$4:$D$2069,'Carga Tributária doenças Po (2'!$M183)</f>
        <v>0</v>
      </c>
      <c r="X183" s="89">
        <f>SUMIFS('Tabela Federal'!$E$4:$E$2069,'Tabela Federal'!$D$4:$D$2069,'Carga Tributária doenças Po (2'!$N183)</f>
        <v>0</v>
      </c>
      <c r="Y183" s="89">
        <f>SUMIFS('Tabela Federal'!$E$4:$E$2069,'Tabela Federal'!$D$4:$D$2069,'Carga Tributária doenças Po (2'!$O183)</f>
        <v>0</v>
      </c>
      <c r="Z183" s="92" t="str">
        <f>VLOOKUP('Carga Tributária doenças Po (2'!$AD183,'Carga Tributária doenças Po (2'!$CA$12:$CC$16,2,0)</f>
        <v>-</v>
      </c>
      <c r="AA183" s="89" t="s">
        <v>160</v>
      </c>
      <c r="AB183" s="89" t="s">
        <v>21824</v>
      </c>
      <c r="AC183" s="89" t="s">
        <v>21740</v>
      </c>
      <c r="AD183" s="93" t="s">
        <v>19523</v>
      </c>
      <c r="AE183" s="92" t="s">
        <v>4</v>
      </c>
      <c r="AF183" s="92" t="s">
        <v>23</v>
      </c>
      <c r="AG183" s="94">
        <v>10863491</v>
      </c>
      <c r="AH183" s="95">
        <v>44588604</v>
      </c>
      <c r="AI183" s="95">
        <v>101768410.88</v>
      </c>
      <c r="AJ183" s="89" t="s">
        <v>171</v>
      </c>
      <c r="AK183" s="89">
        <f>IF('Carga Tributária doenças Po (2'!$Z183="+",0,SUMIFS(PISCOFINS!$I$3:$I$10518,PISCOFINS!$C$3:$C$10518,'Carga Tributária doenças Po (2'!$C183))</f>
        <v>2.1</v>
      </c>
      <c r="AL183" s="89">
        <f>IF('Carga Tributária doenças Po (2'!$Z183="+",0,SUMIFS(PISCOFINS!$H$3:$H$10518,PISCOFINS!$C$3:$C$10518,'Carga Tributária doenças Po (2'!$C183))</f>
        <v>9.9</v>
      </c>
      <c r="AM183" s="95">
        <v>3.27</v>
      </c>
      <c r="AN183" s="95">
        <v>3.12</v>
      </c>
      <c r="AO183" s="95">
        <v>1.35</v>
      </c>
      <c r="AP183" s="96">
        <v>18</v>
      </c>
      <c r="AQ183" s="96">
        <v>12</v>
      </c>
      <c r="AR183" s="96">
        <v>17</v>
      </c>
      <c r="AS183" s="97">
        <v>17</v>
      </c>
      <c r="AT183" s="97">
        <v>19</v>
      </c>
      <c r="AU183" s="97">
        <v>18</v>
      </c>
      <c r="AV183" s="97">
        <v>17</v>
      </c>
      <c r="AW183" s="97">
        <v>17</v>
      </c>
      <c r="AX183" s="97">
        <v>17</v>
      </c>
      <c r="AY183" s="97">
        <v>17</v>
      </c>
      <c r="AZ183" s="97">
        <v>17</v>
      </c>
      <c r="BA183" s="97">
        <v>17</v>
      </c>
      <c r="BB183" s="97">
        <v>17</v>
      </c>
      <c r="BC183" s="97">
        <v>17</v>
      </c>
      <c r="BD183" s="97">
        <v>17</v>
      </c>
      <c r="BE183" s="97">
        <v>17</v>
      </c>
      <c r="BF183" s="97">
        <f>+Tabela1107[[#This Row],[PIS]]+Tabela1107[[#This Row],[COFINS]]+Tabela1107[[#This Row],[CONTRIB. FOLHA]]+Tabela1107[[#This Row],[TRIBUTOS S/ LUCRO]]+Tabela1107[[#This Row],[OUTROS]]+Tabela1107[[#This Row],[SP]]</f>
        <v>37.74</v>
      </c>
      <c r="BG183" s="97">
        <f>+Tabela1107[[#This Row],[PIS]]+Tabela1107[[#This Row],[COFINS]]+Tabela1107[[#This Row],[CONTRIB. FOLHA]]+Tabela1107[[#This Row],[TRIBUTOS S/ LUCRO]]+Tabela1107[[#This Row],[OUTROS]]+Tabela1107[[#This Row],[PR]]</f>
        <v>31.740000000000002</v>
      </c>
      <c r="BH183" s="97">
        <f>+Tabela1107[[#This Row],[PIS]]+Tabela1107[[#This Row],[COFINS]]+Tabela1107[[#This Row],[CONTRIB. FOLHA]]+Tabela1107[[#This Row],[TRIBUTOS S/ LUCRO]]+Tabela1107[[#This Row],[OUTROS]]+Tabela1107[[#This Row],[SC]]</f>
        <v>36.74</v>
      </c>
      <c r="BI183" s="97">
        <f>+Tabela1107[[#This Row],[PIS]]+Tabela1107[[#This Row],[COFINS]]+Tabela1107[[#This Row],[CONTRIB. FOLHA]]+Tabela1107[[#This Row],[TRIBUTOS S/ LUCRO]]+Tabela1107[[#This Row],[OUTROS]]+Tabela1107[[#This Row],[RS]]</f>
        <v>36.74</v>
      </c>
      <c r="BJ183" s="97">
        <f>+Tabela1107[[#This Row],[PIS]]+Tabela1107[[#This Row],[COFINS]]+Tabela1107[[#This Row],[CONTRIB. FOLHA]]+Tabela1107[[#This Row],[TRIBUTOS S/ LUCRO]]+Tabela1107[[#This Row],[OUTROS]]+Tabela1107[[#This Row],[RJ]]</f>
        <v>38.74</v>
      </c>
      <c r="BK183" s="97">
        <f>+Tabela1107[[#This Row],[PIS]]+Tabela1107[[#This Row],[COFINS]]+Tabela1107[[#This Row],[CONTRIB. FOLHA]]+Tabela1107[[#This Row],[TRIBUTOS S/ LUCRO]]+Tabela1107[[#This Row],[OUTROS]]+Tabela1107[[#This Row],[MG]]</f>
        <v>37.74</v>
      </c>
      <c r="BL183" s="97">
        <f>+Tabela1107[[#This Row],[PIS]]+Tabela1107[[#This Row],[COFINS]]+Tabela1107[[#This Row],[CONTRIB. FOLHA]]+Tabela1107[[#This Row],[TRIBUTOS S/ LUCRO]]+Tabela1107[[#This Row],[OUTROS]]+Tabela1107[[#This Row],[ES]]</f>
        <v>36.74</v>
      </c>
      <c r="BM183" s="97">
        <f>+Tabela1107[[#This Row],[PIS]]+Tabela1107[[#This Row],[COFINS]]+Tabela1107[[#This Row],[CONTRIB. FOLHA]]+Tabela1107[[#This Row],[TRIBUTOS S/ LUCRO]]+Tabela1107[[#This Row],[OUTROS]]+Tabela1107[[#This Row],[GO]]</f>
        <v>36.74</v>
      </c>
      <c r="BN183" s="97">
        <f>+Tabela1107[[#This Row],[PIS]]+Tabela1107[[#This Row],[COFINS]]+Tabela1107[[#This Row],[CONTRIB. FOLHA]]+Tabela1107[[#This Row],[TRIBUTOS S/ LUCRO]]+Tabela1107[[#This Row],[OUTROS]]+Tabela1107[[#This Row],[MT]]</f>
        <v>36.74</v>
      </c>
      <c r="BO183" s="97">
        <f>+Tabela1107[[#This Row],[PIS]]+Tabela1107[[#This Row],[COFINS]]+Tabela1107[[#This Row],[CONTRIB. FOLHA]]+Tabela1107[[#This Row],[TRIBUTOS S/ LUCRO]]+Tabela1107[[#This Row],[OUTROS]]+Tabela1107[[#This Row],[MS]]</f>
        <v>36.74</v>
      </c>
      <c r="BP183" s="97">
        <f>+Tabela1107[[#This Row],[PIS]]+Tabela1107[[#This Row],[COFINS]]+Tabela1107[[#This Row],[CONTRIB. FOLHA]]+Tabela1107[[#This Row],[TRIBUTOS S/ LUCRO]]+Tabela1107[[#This Row],[OUTROS]]+Tabela1107[[#This Row],[DF]]</f>
        <v>36.74</v>
      </c>
      <c r="BQ183" s="97">
        <f>+Tabela1107[[#This Row],[PIS]]+Tabela1107[[#This Row],[COFINS]]+Tabela1107[[#This Row],[CONTRIB. FOLHA]]+Tabela1107[[#This Row],[TRIBUTOS S/ LUCRO]]+Tabela1107[[#This Row],[OUTROS]]+Tabela1107[[#This Row],[BA]]</f>
        <v>36.74</v>
      </c>
      <c r="BR183" s="97">
        <f>+Tabela1107[[#This Row],[PIS]]+Tabela1107[[#This Row],[COFINS]]+Tabela1107[[#This Row],[CONTRIB. FOLHA]]+Tabela1107[[#This Row],[TRIBUTOS S/ LUCRO]]+Tabela1107[[#This Row],[OUTROS]]+Tabela1107[[#This Row],[BA]]</f>
        <v>36.74</v>
      </c>
      <c r="BS183" s="97">
        <f>+Tabela1107[[#This Row],[PIS]]+Tabela1107[[#This Row],[COFINS]]+Tabela1107[[#This Row],[CONTRIB. FOLHA]]+Tabela1107[[#This Row],[TRIBUTOS S/ LUCRO]]+Tabela1107[[#This Row],[OUTROS]]+Tabela1107[[#This Row],[PE]]</f>
        <v>36.74</v>
      </c>
      <c r="BT183" s="97">
        <f>+Tabela1107[[#This Row],[PIS]]+Tabela1107[[#This Row],[COFINS]]+Tabela1107[[#This Row],[CONTRIB. FOLHA]]+Tabela1107[[#This Row],[TRIBUTOS S/ LUCRO]]+Tabela1107[[#This Row],[OUTROS]]+Tabela1107[[#This Row],[PA]]</f>
        <v>36.74</v>
      </c>
      <c r="BU183" s="97">
        <f>+Tabela1107[[#This Row],[PIS]]+Tabela1107[[#This Row],[COFINS]]+Tabela1107[[#This Row],[CONTRIB. FOLHA]]+Tabela1107[[#This Row],[TRIBUTOS S/ LUCRO]]+Tabela1107[[#This Row],[OUTROS]]+Tabela1107[[#This Row],[AM]]</f>
        <v>36.74</v>
      </c>
      <c r="BV183" s="97">
        <f>AVERAGE(Tabela1107[[#This Row],[TOTAL SP]:[TOTAL AM]])</f>
        <v>36.677500000000002</v>
      </c>
      <c r="BW183" s="97"/>
      <c r="BX183" s="97"/>
    </row>
    <row r="184" spans="2:76" x14ac:dyDescent="0.25">
      <c r="B184" s="89">
        <v>5126</v>
      </c>
      <c r="C184" s="91" t="s">
        <v>13142</v>
      </c>
      <c r="D184" s="89"/>
      <c r="E184" s="89">
        <v>20140626</v>
      </c>
      <c r="F184" s="89" t="s">
        <v>21349</v>
      </c>
      <c r="G184" s="89" t="s">
        <v>21350</v>
      </c>
      <c r="H184" s="89" t="s">
        <v>21351</v>
      </c>
      <c r="I184" s="89" t="s">
        <v>21352</v>
      </c>
      <c r="J184" s="89" t="s">
        <v>164</v>
      </c>
      <c r="K184" s="89"/>
      <c r="L184" s="89" t="s">
        <v>2655</v>
      </c>
      <c r="M184" s="89" t="s">
        <v>4657</v>
      </c>
      <c r="N184" s="89" t="s">
        <v>3172</v>
      </c>
      <c r="O184" s="89" t="s">
        <v>4496</v>
      </c>
      <c r="P184" s="89" t="s">
        <v>4496</v>
      </c>
      <c r="Q184" s="89"/>
      <c r="R184" s="89" t="s">
        <v>28</v>
      </c>
      <c r="S184" s="89" t="s">
        <v>21692</v>
      </c>
      <c r="T184" s="89" t="s">
        <v>21693</v>
      </c>
      <c r="U184" s="89" t="str">
        <f>TRIM('Carga Tributária doenças Po (2'!$L184)</f>
        <v>DIPIRONA SODICA</v>
      </c>
      <c r="V184" s="89">
        <f>SUMIFS('Tabela Federal'!$E$4:$E$2069,'Tabela Federal'!$D$4:$D$2069,'Carga Tributária doenças Po (2'!$L184)</f>
        <v>1</v>
      </c>
      <c r="W184" s="89">
        <f>SUMIFS('Tabela Federal'!$E$4:$E$2069,'Tabela Federal'!$D$4:$D$2069,'Carga Tributária doenças Po (2'!$M184)</f>
        <v>0</v>
      </c>
      <c r="X184" s="89">
        <f>SUMIFS('Tabela Federal'!$E$4:$E$2069,'Tabela Federal'!$D$4:$D$2069,'Carga Tributária doenças Po (2'!$N184)</f>
        <v>0</v>
      </c>
      <c r="Y184" s="89">
        <f>SUMIFS('Tabela Federal'!$E$4:$E$2069,'Tabela Federal'!$D$4:$D$2069,'Carga Tributária doenças Po (2'!$O184)</f>
        <v>0</v>
      </c>
      <c r="Z184" s="92" t="str">
        <f>VLOOKUP('Carga Tributária doenças Po (2'!$AD184,'Carga Tributária doenças Po (2'!$CA$12:$CC$16,2,0)</f>
        <v>-</v>
      </c>
      <c r="AA184" s="89" t="s">
        <v>160</v>
      </c>
      <c r="AB184" s="89" t="s">
        <v>21824</v>
      </c>
      <c r="AC184" s="89" t="s">
        <v>21740</v>
      </c>
      <c r="AD184" s="93" t="s">
        <v>19523</v>
      </c>
      <c r="AE184" s="92" t="s">
        <v>4</v>
      </c>
      <c r="AF184" s="92" t="s">
        <v>23</v>
      </c>
      <c r="AG184" s="94">
        <v>4397078</v>
      </c>
      <c r="AH184" s="95">
        <v>144180962</v>
      </c>
      <c r="AI184" s="95">
        <v>329288150.98000002</v>
      </c>
      <c r="AJ184" s="89" t="s">
        <v>171</v>
      </c>
      <c r="AK184" s="89">
        <f>IF('Carga Tributária doenças Po (2'!$Z184="+",0,SUMIFS(PISCOFINS!$I$3:$I$10518,PISCOFINS!$C$3:$C$10518,'Carga Tributária doenças Po (2'!$C184))</f>
        <v>2.1</v>
      </c>
      <c r="AL184" s="89">
        <f>IF('Carga Tributária doenças Po (2'!$Z184="+",0,SUMIFS(PISCOFINS!$H$3:$H$10518,PISCOFINS!$C$3:$C$10518,'Carga Tributária doenças Po (2'!$C184))</f>
        <v>9.9</v>
      </c>
      <c r="AM184" s="95">
        <v>3.27</v>
      </c>
      <c r="AN184" s="95">
        <v>3.12</v>
      </c>
      <c r="AO184" s="95">
        <v>1.35</v>
      </c>
      <c r="AP184" s="96">
        <v>18</v>
      </c>
      <c r="AQ184" s="96">
        <v>12</v>
      </c>
      <c r="AR184" s="96">
        <v>17</v>
      </c>
      <c r="AS184" s="97">
        <v>17</v>
      </c>
      <c r="AT184" s="97">
        <v>19</v>
      </c>
      <c r="AU184" s="97">
        <v>18</v>
      </c>
      <c r="AV184" s="97">
        <v>17</v>
      </c>
      <c r="AW184" s="97">
        <v>17</v>
      </c>
      <c r="AX184" s="97">
        <v>17</v>
      </c>
      <c r="AY184" s="97">
        <v>17</v>
      </c>
      <c r="AZ184" s="97">
        <v>17</v>
      </c>
      <c r="BA184" s="97">
        <v>17</v>
      </c>
      <c r="BB184" s="97">
        <v>17</v>
      </c>
      <c r="BC184" s="97">
        <v>17</v>
      </c>
      <c r="BD184" s="97">
        <v>17</v>
      </c>
      <c r="BE184" s="97">
        <v>17</v>
      </c>
      <c r="BF184" s="97">
        <f>+Tabela1107[[#This Row],[PIS]]+Tabela1107[[#This Row],[COFINS]]+Tabela1107[[#This Row],[CONTRIB. FOLHA]]+Tabela1107[[#This Row],[TRIBUTOS S/ LUCRO]]+Tabela1107[[#This Row],[OUTROS]]+Tabela1107[[#This Row],[SP]]</f>
        <v>37.74</v>
      </c>
      <c r="BG184" s="97">
        <f>+Tabela1107[[#This Row],[PIS]]+Tabela1107[[#This Row],[COFINS]]+Tabela1107[[#This Row],[CONTRIB. FOLHA]]+Tabela1107[[#This Row],[TRIBUTOS S/ LUCRO]]+Tabela1107[[#This Row],[OUTROS]]+Tabela1107[[#This Row],[PR]]</f>
        <v>31.740000000000002</v>
      </c>
      <c r="BH184" s="97">
        <f>+Tabela1107[[#This Row],[PIS]]+Tabela1107[[#This Row],[COFINS]]+Tabela1107[[#This Row],[CONTRIB. FOLHA]]+Tabela1107[[#This Row],[TRIBUTOS S/ LUCRO]]+Tabela1107[[#This Row],[OUTROS]]+Tabela1107[[#This Row],[SC]]</f>
        <v>36.74</v>
      </c>
      <c r="BI184" s="97">
        <f>+Tabela1107[[#This Row],[PIS]]+Tabela1107[[#This Row],[COFINS]]+Tabela1107[[#This Row],[CONTRIB. FOLHA]]+Tabela1107[[#This Row],[TRIBUTOS S/ LUCRO]]+Tabela1107[[#This Row],[OUTROS]]+Tabela1107[[#This Row],[RS]]</f>
        <v>36.74</v>
      </c>
      <c r="BJ184" s="97">
        <f>+Tabela1107[[#This Row],[PIS]]+Tabela1107[[#This Row],[COFINS]]+Tabela1107[[#This Row],[CONTRIB. FOLHA]]+Tabela1107[[#This Row],[TRIBUTOS S/ LUCRO]]+Tabela1107[[#This Row],[OUTROS]]+Tabela1107[[#This Row],[RJ]]</f>
        <v>38.74</v>
      </c>
      <c r="BK184" s="97">
        <f>+Tabela1107[[#This Row],[PIS]]+Tabela1107[[#This Row],[COFINS]]+Tabela1107[[#This Row],[CONTRIB. FOLHA]]+Tabela1107[[#This Row],[TRIBUTOS S/ LUCRO]]+Tabela1107[[#This Row],[OUTROS]]+Tabela1107[[#This Row],[MG]]</f>
        <v>37.74</v>
      </c>
      <c r="BL184" s="97">
        <f>+Tabela1107[[#This Row],[PIS]]+Tabela1107[[#This Row],[COFINS]]+Tabela1107[[#This Row],[CONTRIB. FOLHA]]+Tabela1107[[#This Row],[TRIBUTOS S/ LUCRO]]+Tabela1107[[#This Row],[OUTROS]]+Tabela1107[[#This Row],[ES]]</f>
        <v>36.74</v>
      </c>
      <c r="BM184" s="97">
        <f>+Tabela1107[[#This Row],[PIS]]+Tabela1107[[#This Row],[COFINS]]+Tabela1107[[#This Row],[CONTRIB. FOLHA]]+Tabela1107[[#This Row],[TRIBUTOS S/ LUCRO]]+Tabela1107[[#This Row],[OUTROS]]+Tabela1107[[#This Row],[GO]]</f>
        <v>36.74</v>
      </c>
      <c r="BN184" s="97">
        <f>+Tabela1107[[#This Row],[PIS]]+Tabela1107[[#This Row],[COFINS]]+Tabela1107[[#This Row],[CONTRIB. FOLHA]]+Tabela1107[[#This Row],[TRIBUTOS S/ LUCRO]]+Tabela1107[[#This Row],[OUTROS]]+Tabela1107[[#This Row],[MT]]</f>
        <v>36.74</v>
      </c>
      <c r="BO184" s="97">
        <f>+Tabela1107[[#This Row],[PIS]]+Tabela1107[[#This Row],[COFINS]]+Tabela1107[[#This Row],[CONTRIB. FOLHA]]+Tabela1107[[#This Row],[TRIBUTOS S/ LUCRO]]+Tabela1107[[#This Row],[OUTROS]]+Tabela1107[[#This Row],[MS]]</f>
        <v>36.74</v>
      </c>
      <c r="BP184" s="97">
        <f>+Tabela1107[[#This Row],[PIS]]+Tabela1107[[#This Row],[COFINS]]+Tabela1107[[#This Row],[CONTRIB. FOLHA]]+Tabela1107[[#This Row],[TRIBUTOS S/ LUCRO]]+Tabela1107[[#This Row],[OUTROS]]+Tabela1107[[#This Row],[DF]]</f>
        <v>36.74</v>
      </c>
      <c r="BQ184" s="97">
        <f>+Tabela1107[[#This Row],[PIS]]+Tabela1107[[#This Row],[COFINS]]+Tabela1107[[#This Row],[CONTRIB. FOLHA]]+Tabela1107[[#This Row],[TRIBUTOS S/ LUCRO]]+Tabela1107[[#This Row],[OUTROS]]+Tabela1107[[#This Row],[BA]]</f>
        <v>36.74</v>
      </c>
      <c r="BR184" s="97">
        <f>+Tabela1107[[#This Row],[PIS]]+Tabela1107[[#This Row],[COFINS]]+Tabela1107[[#This Row],[CONTRIB. FOLHA]]+Tabela1107[[#This Row],[TRIBUTOS S/ LUCRO]]+Tabela1107[[#This Row],[OUTROS]]+Tabela1107[[#This Row],[BA]]</f>
        <v>36.74</v>
      </c>
      <c r="BS184" s="97">
        <f>+Tabela1107[[#This Row],[PIS]]+Tabela1107[[#This Row],[COFINS]]+Tabela1107[[#This Row],[CONTRIB. FOLHA]]+Tabela1107[[#This Row],[TRIBUTOS S/ LUCRO]]+Tabela1107[[#This Row],[OUTROS]]+Tabela1107[[#This Row],[PE]]</f>
        <v>36.74</v>
      </c>
      <c r="BT184" s="97">
        <f>+Tabela1107[[#This Row],[PIS]]+Tabela1107[[#This Row],[COFINS]]+Tabela1107[[#This Row],[CONTRIB. FOLHA]]+Tabela1107[[#This Row],[TRIBUTOS S/ LUCRO]]+Tabela1107[[#This Row],[OUTROS]]+Tabela1107[[#This Row],[PA]]</f>
        <v>36.74</v>
      </c>
      <c r="BU184" s="97">
        <f>+Tabela1107[[#This Row],[PIS]]+Tabela1107[[#This Row],[COFINS]]+Tabela1107[[#This Row],[CONTRIB. FOLHA]]+Tabela1107[[#This Row],[TRIBUTOS S/ LUCRO]]+Tabela1107[[#This Row],[OUTROS]]+Tabela1107[[#This Row],[AM]]</f>
        <v>36.74</v>
      </c>
      <c r="BV184" s="97">
        <f>AVERAGE(Tabela1107[[#This Row],[TOTAL SP]:[TOTAL AM]])</f>
        <v>36.677500000000002</v>
      </c>
      <c r="BW184" s="97"/>
      <c r="BX184" s="97"/>
    </row>
    <row r="185" spans="2:76" x14ac:dyDescent="0.25">
      <c r="B185" s="89">
        <v>20244</v>
      </c>
      <c r="C185" s="91" t="s">
        <v>13142</v>
      </c>
      <c r="D185" s="89"/>
      <c r="E185" s="89">
        <v>20140626</v>
      </c>
      <c r="F185" s="89" t="s">
        <v>21411</v>
      </c>
      <c r="G185" s="89" t="s">
        <v>21412</v>
      </c>
      <c r="H185" s="89" t="s">
        <v>21413</v>
      </c>
      <c r="I185" s="89" t="s">
        <v>21410</v>
      </c>
      <c r="J185" s="89" t="s">
        <v>93</v>
      </c>
      <c r="K185" s="89"/>
      <c r="L185" s="89" t="s">
        <v>3171</v>
      </c>
      <c r="M185" s="89" t="s">
        <v>3169</v>
      </c>
      <c r="N185" s="89" t="s">
        <v>4496</v>
      </c>
      <c r="O185" s="89" t="s">
        <v>4496</v>
      </c>
      <c r="P185" s="89" t="s">
        <v>4496</v>
      </c>
      <c r="Q185" s="89"/>
      <c r="R185" s="89" t="s">
        <v>92</v>
      </c>
      <c r="S185" s="89" t="s">
        <v>21696</v>
      </c>
      <c r="T185" s="89" t="s">
        <v>21697</v>
      </c>
      <c r="U185" s="89" t="str">
        <f>TRIM('Carga Tributária doenças Po (2'!$L185)</f>
        <v>DIMENIDRINATO</v>
      </c>
      <c r="V185" s="89">
        <f>SUMIFS('Tabela Federal'!$E$4:$E$2069,'Tabela Federal'!$D$4:$D$2069,'Carga Tributária doenças Po (2'!$L185)</f>
        <v>0</v>
      </c>
      <c r="W185" s="89">
        <f>SUMIFS('Tabela Federal'!$E$4:$E$2069,'Tabela Federal'!$D$4:$D$2069,'Carga Tributária doenças Po (2'!$M185)</f>
        <v>2</v>
      </c>
      <c r="X185" s="89">
        <f>SUMIFS('Tabela Federal'!$E$4:$E$2069,'Tabela Federal'!$D$4:$D$2069,'Carga Tributária doenças Po (2'!$N185)</f>
        <v>0</v>
      </c>
      <c r="Y185" s="89">
        <f>SUMIFS('Tabela Federal'!$E$4:$E$2069,'Tabela Federal'!$D$4:$D$2069,'Carga Tributária doenças Po (2'!$O185)</f>
        <v>0</v>
      </c>
      <c r="Z185" s="92" t="str">
        <f>VLOOKUP('Carga Tributária doenças Po (2'!$AD185,'Carga Tributária doenças Po (2'!$CA$12:$CC$16,2,0)</f>
        <v>-</v>
      </c>
      <c r="AA185" s="89" t="s">
        <v>91</v>
      </c>
      <c r="AB185" s="89" t="s">
        <v>21828</v>
      </c>
      <c r="AC185" s="89" t="s">
        <v>21721</v>
      </c>
      <c r="AD185" s="93" t="s">
        <v>19523</v>
      </c>
      <c r="AE185" s="92" t="s">
        <v>4</v>
      </c>
      <c r="AF185" s="92" t="s">
        <v>23</v>
      </c>
      <c r="AG185" s="94">
        <v>2011565</v>
      </c>
      <c r="AH185" s="95">
        <v>9203492</v>
      </c>
      <c r="AI185" s="95">
        <v>21055297.219999999</v>
      </c>
      <c r="AJ185" s="89" t="s">
        <v>554</v>
      </c>
      <c r="AK185" s="89">
        <f>IF('Carga Tributária doenças Po (2'!$Z185="+",0,SUMIFS(PISCOFINS!$I$3:$I$10518,PISCOFINS!$C$3:$C$10518,'Carga Tributária doenças Po (2'!$C185))</f>
        <v>2.1</v>
      </c>
      <c r="AL185" s="89">
        <f>IF('Carga Tributária doenças Po (2'!$Z185="+",0,SUMIFS(PISCOFINS!$H$3:$H$10518,PISCOFINS!$C$3:$C$10518,'Carga Tributária doenças Po (2'!$C185))</f>
        <v>9.9</v>
      </c>
      <c r="AM185" s="95">
        <v>3.27</v>
      </c>
      <c r="AN185" s="95">
        <v>3.12</v>
      </c>
      <c r="AO185" s="95">
        <v>1.35</v>
      </c>
      <c r="AP185" s="96">
        <v>18</v>
      </c>
      <c r="AQ185" s="96">
        <v>12</v>
      </c>
      <c r="AR185" s="96">
        <v>17</v>
      </c>
      <c r="AS185" s="97">
        <v>17</v>
      </c>
      <c r="AT185" s="97">
        <v>19</v>
      </c>
      <c r="AU185" s="97">
        <v>18</v>
      </c>
      <c r="AV185" s="97">
        <v>17</v>
      </c>
      <c r="AW185" s="97">
        <v>17</v>
      </c>
      <c r="AX185" s="97">
        <v>17</v>
      </c>
      <c r="AY185" s="97">
        <v>17</v>
      </c>
      <c r="AZ185" s="97">
        <v>17</v>
      </c>
      <c r="BA185" s="97">
        <v>17</v>
      </c>
      <c r="BB185" s="97">
        <v>17</v>
      </c>
      <c r="BC185" s="97">
        <v>17</v>
      </c>
      <c r="BD185" s="97">
        <v>17</v>
      </c>
      <c r="BE185" s="97">
        <v>17</v>
      </c>
      <c r="BF185" s="97">
        <f>+Tabela1107[[#This Row],[PIS]]+Tabela1107[[#This Row],[COFINS]]+Tabela1107[[#This Row],[CONTRIB. FOLHA]]+Tabela1107[[#This Row],[TRIBUTOS S/ LUCRO]]+Tabela1107[[#This Row],[OUTROS]]+Tabela1107[[#This Row],[SP]]</f>
        <v>37.74</v>
      </c>
      <c r="BG185" s="97">
        <f>+Tabela1107[[#This Row],[PIS]]+Tabela1107[[#This Row],[COFINS]]+Tabela1107[[#This Row],[CONTRIB. FOLHA]]+Tabela1107[[#This Row],[TRIBUTOS S/ LUCRO]]+Tabela1107[[#This Row],[OUTROS]]+Tabela1107[[#This Row],[PR]]</f>
        <v>31.740000000000002</v>
      </c>
      <c r="BH185" s="97">
        <f>+Tabela1107[[#This Row],[PIS]]+Tabela1107[[#This Row],[COFINS]]+Tabela1107[[#This Row],[CONTRIB. FOLHA]]+Tabela1107[[#This Row],[TRIBUTOS S/ LUCRO]]+Tabela1107[[#This Row],[OUTROS]]+Tabela1107[[#This Row],[SC]]</f>
        <v>36.74</v>
      </c>
      <c r="BI185" s="97">
        <f>+Tabela1107[[#This Row],[PIS]]+Tabela1107[[#This Row],[COFINS]]+Tabela1107[[#This Row],[CONTRIB. FOLHA]]+Tabela1107[[#This Row],[TRIBUTOS S/ LUCRO]]+Tabela1107[[#This Row],[OUTROS]]+Tabela1107[[#This Row],[RS]]</f>
        <v>36.74</v>
      </c>
      <c r="BJ185" s="97">
        <f>+Tabela1107[[#This Row],[PIS]]+Tabela1107[[#This Row],[COFINS]]+Tabela1107[[#This Row],[CONTRIB. FOLHA]]+Tabela1107[[#This Row],[TRIBUTOS S/ LUCRO]]+Tabela1107[[#This Row],[OUTROS]]+Tabela1107[[#This Row],[RJ]]</f>
        <v>38.74</v>
      </c>
      <c r="BK185" s="97">
        <f>+Tabela1107[[#This Row],[PIS]]+Tabela1107[[#This Row],[COFINS]]+Tabela1107[[#This Row],[CONTRIB. FOLHA]]+Tabela1107[[#This Row],[TRIBUTOS S/ LUCRO]]+Tabela1107[[#This Row],[OUTROS]]+Tabela1107[[#This Row],[MG]]</f>
        <v>37.74</v>
      </c>
      <c r="BL185" s="97">
        <f>+Tabela1107[[#This Row],[PIS]]+Tabela1107[[#This Row],[COFINS]]+Tabela1107[[#This Row],[CONTRIB. FOLHA]]+Tabela1107[[#This Row],[TRIBUTOS S/ LUCRO]]+Tabela1107[[#This Row],[OUTROS]]+Tabela1107[[#This Row],[ES]]</f>
        <v>36.74</v>
      </c>
      <c r="BM185" s="97">
        <f>+Tabela1107[[#This Row],[PIS]]+Tabela1107[[#This Row],[COFINS]]+Tabela1107[[#This Row],[CONTRIB. FOLHA]]+Tabela1107[[#This Row],[TRIBUTOS S/ LUCRO]]+Tabela1107[[#This Row],[OUTROS]]+Tabela1107[[#This Row],[GO]]</f>
        <v>36.74</v>
      </c>
      <c r="BN185" s="97">
        <f>+Tabela1107[[#This Row],[PIS]]+Tabela1107[[#This Row],[COFINS]]+Tabela1107[[#This Row],[CONTRIB. FOLHA]]+Tabela1107[[#This Row],[TRIBUTOS S/ LUCRO]]+Tabela1107[[#This Row],[OUTROS]]+Tabela1107[[#This Row],[MT]]</f>
        <v>36.74</v>
      </c>
      <c r="BO185" s="97">
        <f>+Tabela1107[[#This Row],[PIS]]+Tabela1107[[#This Row],[COFINS]]+Tabela1107[[#This Row],[CONTRIB. FOLHA]]+Tabela1107[[#This Row],[TRIBUTOS S/ LUCRO]]+Tabela1107[[#This Row],[OUTROS]]+Tabela1107[[#This Row],[MS]]</f>
        <v>36.74</v>
      </c>
      <c r="BP185" s="97">
        <f>+Tabela1107[[#This Row],[PIS]]+Tabela1107[[#This Row],[COFINS]]+Tabela1107[[#This Row],[CONTRIB. FOLHA]]+Tabela1107[[#This Row],[TRIBUTOS S/ LUCRO]]+Tabela1107[[#This Row],[OUTROS]]+Tabela1107[[#This Row],[DF]]</f>
        <v>36.74</v>
      </c>
      <c r="BQ185" s="97">
        <f>+Tabela1107[[#This Row],[PIS]]+Tabela1107[[#This Row],[COFINS]]+Tabela1107[[#This Row],[CONTRIB. FOLHA]]+Tabela1107[[#This Row],[TRIBUTOS S/ LUCRO]]+Tabela1107[[#This Row],[OUTROS]]+Tabela1107[[#This Row],[BA]]</f>
        <v>36.74</v>
      </c>
      <c r="BR185" s="97">
        <f>+Tabela1107[[#This Row],[PIS]]+Tabela1107[[#This Row],[COFINS]]+Tabela1107[[#This Row],[CONTRIB. FOLHA]]+Tabela1107[[#This Row],[TRIBUTOS S/ LUCRO]]+Tabela1107[[#This Row],[OUTROS]]+Tabela1107[[#This Row],[BA]]</f>
        <v>36.74</v>
      </c>
      <c r="BS185" s="97">
        <f>+Tabela1107[[#This Row],[PIS]]+Tabela1107[[#This Row],[COFINS]]+Tabela1107[[#This Row],[CONTRIB. FOLHA]]+Tabela1107[[#This Row],[TRIBUTOS S/ LUCRO]]+Tabela1107[[#This Row],[OUTROS]]+Tabela1107[[#This Row],[PE]]</f>
        <v>36.74</v>
      </c>
      <c r="BT185" s="97">
        <f>+Tabela1107[[#This Row],[PIS]]+Tabela1107[[#This Row],[COFINS]]+Tabela1107[[#This Row],[CONTRIB. FOLHA]]+Tabela1107[[#This Row],[TRIBUTOS S/ LUCRO]]+Tabela1107[[#This Row],[OUTROS]]+Tabela1107[[#This Row],[PA]]</f>
        <v>36.74</v>
      </c>
      <c r="BU185" s="97">
        <f>+Tabela1107[[#This Row],[PIS]]+Tabela1107[[#This Row],[COFINS]]+Tabela1107[[#This Row],[CONTRIB. FOLHA]]+Tabela1107[[#This Row],[TRIBUTOS S/ LUCRO]]+Tabela1107[[#This Row],[OUTROS]]+Tabela1107[[#This Row],[AM]]</f>
        <v>36.74</v>
      </c>
      <c r="BV185" s="97">
        <f>AVERAGE(Tabela1107[[#This Row],[TOTAL SP]:[TOTAL AM]])</f>
        <v>36.677500000000002</v>
      </c>
      <c r="BW185" s="97"/>
      <c r="BX185" s="97"/>
    </row>
    <row r="186" spans="2:76" x14ac:dyDescent="0.25">
      <c r="B186" s="89">
        <v>20244</v>
      </c>
      <c r="C186" s="91" t="s">
        <v>13142</v>
      </c>
      <c r="D186" s="89"/>
      <c r="E186" s="89">
        <v>20140626</v>
      </c>
      <c r="F186" s="89" t="s">
        <v>21411</v>
      </c>
      <c r="G186" s="89" t="s">
        <v>21412</v>
      </c>
      <c r="H186" s="89" t="s">
        <v>21413</v>
      </c>
      <c r="I186" s="89" t="s">
        <v>21410</v>
      </c>
      <c r="J186" s="89" t="s">
        <v>93</v>
      </c>
      <c r="K186" s="89"/>
      <c r="L186" s="89" t="s">
        <v>3171</v>
      </c>
      <c r="M186" s="89" t="s">
        <v>3169</v>
      </c>
      <c r="N186" s="89" t="s">
        <v>4496</v>
      </c>
      <c r="O186" s="89" t="s">
        <v>4496</v>
      </c>
      <c r="P186" s="89" t="s">
        <v>4496</v>
      </c>
      <c r="Q186" s="89"/>
      <c r="R186" s="89" t="s">
        <v>92</v>
      </c>
      <c r="S186" s="89" t="s">
        <v>21696</v>
      </c>
      <c r="T186" s="89" t="s">
        <v>21697</v>
      </c>
      <c r="U186" s="89" t="str">
        <f>TRIM('Carga Tributária doenças Po (2'!$L186)</f>
        <v>DIMENIDRINATO</v>
      </c>
      <c r="V186" s="89">
        <f>SUMIFS('Tabela Federal'!$E$4:$E$2069,'Tabela Federal'!$D$4:$D$2069,'Carga Tributária doenças Po (2'!$L186)</f>
        <v>0</v>
      </c>
      <c r="W186" s="89">
        <f>SUMIFS('Tabela Federal'!$E$4:$E$2069,'Tabela Federal'!$D$4:$D$2069,'Carga Tributária doenças Po (2'!$M186)</f>
        <v>2</v>
      </c>
      <c r="X186" s="89">
        <f>SUMIFS('Tabela Federal'!$E$4:$E$2069,'Tabela Federal'!$D$4:$D$2069,'Carga Tributária doenças Po (2'!$N186)</f>
        <v>0</v>
      </c>
      <c r="Y186" s="89">
        <f>SUMIFS('Tabela Federal'!$E$4:$E$2069,'Tabela Federal'!$D$4:$D$2069,'Carga Tributária doenças Po (2'!$O186)</f>
        <v>0</v>
      </c>
      <c r="Z186" s="92" t="str">
        <f>VLOOKUP('Carga Tributária doenças Po (2'!$AD186,'Carga Tributária doenças Po (2'!$CA$12:$CC$16,2,0)</f>
        <v>-</v>
      </c>
      <c r="AA186" s="89" t="s">
        <v>91</v>
      </c>
      <c r="AB186" s="89" t="s">
        <v>21828</v>
      </c>
      <c r="AC186" s="89" t="s">
        <v>21721</v>
      </c>
      <c r="AD186" s="93" t="s">
        <v>19523</v>
      </c>
      <c r="AE186" s="92" t="s">
        <v>4</v>
      </c>
      <c r="AF186" s="92" t="s">
        <v>23</v>
      </c>
      <c r="AG186" s="94">
        <v>2011565</v>
      </c>
      <c r="AH186" s="95">
        <v>9203492</v>
      </c>
      <c r="AI186" s="95">
        <v>21055297.219999999</v>
      </c>
      <c r="AJ186" s="89" t="s">
        <v>372</v>
      </c>
      <c r="AK186" s="89">
        <f>IF('Carga Tributária doenças Po (2'!$Z186="+",0,SUMIFS(PISCOFINS!$I$3:$I$10518,PISCOFINS!$C$3:$C$10518,'Carga Tributária doenças Po (2'!$C186))</f>
        <v>2.1</v>
      </c>
      <c r="AL186" s="89">
        <f>IF('Carga Tributária doenças Po (2'!$Z186="+",0,SUMIFS(PISCOFINS!$H$3:$H$10518,PISCOFINS!$C$3:$C$10518,'Carga Tributária doenças Po (2'!$C186))</f>
        <v>9.9</v>
      </c>
      <c r="AM186" s="95">
        <v>3.27</v>
      </c>
      <c r="AN186" s="95">
        <v>3.12</v>
      </c>
      <c r="AO186" s="95">
        <v>1.35</v>
      </c>
      <c r="AP186" s="96">
        <v>18</v>
      </c>
      <c r="AQ186" s="96">
        <v>12</v>
      </c>
      <c r="AR186" s="96">
        <v>17</v>
      </c>
      <c r="AS186" s="97">
        <v>17</v>
      </c>
      <c r="AT186" s="97">
        <v>19</v>
      </c>
      <c r="AU186" s="97">
        <v>18</v>
      </c>
      <c r="AV186" s="97">
        <v>17</v>
      </c>
      <c r="AW186" s="97">
        <v>17</v>
      </c>
      <c r="AX186" s="97">
        <v>17</v>
      </c>
      <c r="AY186" s="97">
        <v>17</v>
      </c>
      <c r="AZ186" s="97">
        <v>17</v>
      </c>
      <c r="BA186" s="97">
        <v>17</v>
      </c>
      <c r="BB186" s="97">
        <v>17</v>
      </c>
      <c r="BC186" s="97">
        <v>17</v>
      </c>
      <c r="BD186" s="97">
        <v>17</v>
      </c>
      <c r="BE186" s="97">
        <v>17</v>
      </c>
      <c r="BF186" s="97">
        <f>+Tabela1107[[#This Row],[PIS]]+Tabela1107[[#This Row],[COFINS]]+Tabela1107[[#This Row],[CONTRIB. FOLHA]]+Tabela1107[[#This Row],[TRIBUTOS S/ LUCRO]]+Tabela1107[[#This Row],[OUTROS]]+Tabela1107[[#This Row],[SP]]</f>
        <v>37.74</v>
      </c>
      <c r="BG186" s="97">
        <f>+Tabela1107[[#This Row],[PIS]]+Tabela1107[[#This Row],[COFINS]]+Tabela1107[[#This Row],[CONTRIB. FOLHA]]+Tabela1107[[#This Row],[TRIBUTOS S/ LUCRO]]+Tabela1107[[#This Row],[OUTROS]]+Tabela1107[[#This Row],[PR]]</f>
        <v>31.740000000000002</v>
      </c>
      <c r="BH186" s="97">
        <f>+Tabela1107[[#This Row],[PIS]]+Tabela1107[[#This Row],[COFINS]]+Tabela1107[[#This Row],[CONTRIB. FOLHA]]+Tabela1107[[#This Row],[TRIBUTOS S/ LUCRO]]+Tabela1107[[#This Row],[OUTROS]]+Tabela1107[[#This Row],[SC]]</f>
        <v>36.74</v>
      </c>
      <c r="BI186" s="97">
        <f>+Tabela1107[[#This Row],[PIS]]+Tabela1107[[#This Row],[COFINS]]+Tabela1107[[#This Row],[CONTRIB. FOLHA]]+Tabela1107[[#This Row],[TRIBUTOS S/ LUCRO]]+Tabela1107[[#This Row],[OUTROS]]+Tabela1107[[#This Row],[RS]]</f>
        <v>36.74</v>
      </c>
      <c r="BJ186" s="97">
        <f>+Tabela1107[[#This Row],[PIS]]+Tabela1107[[#This Row],[COFINS]]+Tabela1107[[#This Row],[CONTRIB. FOLHA]]+Tabela1107[[#This Row],[TRIBUTOS S/ LUCRO]]+Tabela1107[[#This Row],[OUTROS]]+Tabela1107[[#This Row],[RJ]]</f>
        <v>38.74</v>
      </c>
      <c r="BK186" s="97">
        <f>+Tabela1107[[#This Row],[PIS]]+Tabela1107[[#This Row],[COFINS]]+Tabela1107[[#This Row],[CONTRIB. FOLHA]]+Tabela1107[[#This Row],[TRIBUTOS S/ LUCRO]]+Tabela1107[[#This Row],[OUTROS]]+Tabela1107[[#This Row],[MG]]</f>
        <v>37.74</v>
      </c>
      <c r="BL186" s="97">
        <f>+Tabela1107[[#This Row],[PIS]]+Tabela1107[[#This Row],[COFINS]]+Tabela1107[[#This Row],[CONTRIB. FOLHA]]+Tabela1107[[#This Row],[TRIBUTOS S/ LUCRO]]+Tabela1107[[#This Row],[OUTROS]]+Tabela1107[[#This Row],[ES]]</f>
        <v>36.74</v>
      </c>
      <c r="BM186" s="97">
        <f>+Tabela1107[[#This Row],[PIS]]+Tabela1107[[#This Row],[COFINS]]+Tabela1107[[#This Row],[CONTRIB. FOLHA]]+Tabela1107[[#This Row],[TRIBUTOS S/ LUCRO]]+Tabela1107[[#This Row],[OUTROS]]+Tabela1107[[#This Row],[GO]]</f>
        <v>36.74</v>
      </c>
      <c r="BN186" s="97">
        <f>+Tabela1107[[#This Row],[PIS]]+Tabela1107[[#This Row],[COFINS]]+Tabela1107[[#This Row],[CONTRIB. FOLHA]]+Tabela1107[[#This Row],[TRIBUTOS S/ LUCRO]]+Tabela1107[[#This Row],[OUTROS]]+Tabela1107[[#This Row],[MT]]</f>
        <v>36.74</v>
      </c>
      <c r="BO186" s="97">
        <f>+Tabela1107[[#This Row],[PIS]]+Tabela1107[[#This Row],[COFINS]]+Tabela1107[[#This Row],[CONTRIB. FOLHA]]+Tabela1107[[#This Row],[TRIBUTOS S/ LUCRO]]+Tabela1107[[#This Row],[OUTROS]]+Tabela1107[[#This Row],[MS]]</f>
        <v>36.74</v>
      </c>
      <c r="BP186" s="97">
        <f>+Tabela1107[[#This Row],[PIS]]+Tabela1107[[#This Row],[COFINS]]+Tabela1107[[#This Row],[CONTRIB. FOLHA]]+Tabela1107[[#This Row],[TRIBUTOS S/ LUCRO]]+Tabela1107[[#This Row],[OUTROS]]+Tabela1107[[#This Row],[DF]]</f>
        <v>36.74</v>
      </c>
      <c r="BQ186" s="97">
        <f>+Tabela1107[[#This Row],[PIS]]+Tabela1107[[#This Row],[COFINS]]+Tabela1107[[#This Row],[CONTRIB. FOLHA]]+Tabela1107[[#This Row],[TRIBUTOS S/ LUCRO]]+Tabela1107[[#This Row],[OUTROS]]+Tabela1107[[#This Row],[BA]]</f>
        <v>36.74</v>
      </c>
      <c r="BR186" s="97">
        <f>+Tabela1107[[#This Row],[PIS]]+Tabela1107[[#This Row],[COFINS]]+Tabela1107[[#This Row],[CONTRIB. FOLHA]]+Tabela1107[[#This Row],[TRIBUTOS S/ LUCRO]]+Tabela1107[[#This Row],[OUTROS]]+Tabela1107[[#This Row],[BA]]</f>
        <v>36.74</v>
      </c>
      <c r="BS186" s="97">
        <f>+Tabela1107[[#This Row],[PIS]]+Tabela1107[[#This Row],[COFINS]]+Tabela1107[[#This Row],[CONTRIB. FOLHA]]+Tabela1107[[#This Row],[TRIBUTOS S/ LUCRO]]+Tabela1107[[#This Row],[OUTROS]]+Tabela1107[[#This Row],[PE]]</f>
        <v>36.74</v>
      </c>
      <c r="BT186" s="97">
        <f>+Tabela1107[[#This Row],[PIS]]+Tabela1107[[#This Row],[COFINS]]+Tabela1107[[#This Row],[CONTRIB. FOLHA]]+Tabela1107[[#This Row],[TRIBUTOS S/ LUCRO]]+Tabela1107[[#This Row],[OUTROS]]+Tabela1107[[#This Row],[PA]]</f>
        <v>36.74</v>
      </c>
      <c r="BU186" s="97">
        <f>+Tabela1107[[#This Row],[PIS]]+Tabela1107[[#This Row],[COFINS]]+Tabela1107[[#This Row],[CONTRIB. FOLHA]]+Tabela1107[[#This Row],[TRIBUTOS S/ LUCRO]]+Tabela1107[[#This Row],[OUTROS]]+Tabela1107[[#This Row],[AM]]</f>
        <v>36.74</v>
      </c>
      <c r="BV186" s="97">
        <f>AVERAGE(Tabela1107[[#This Row],[TOTAL SP]:[TOTAL AM]])</f>
        <v>36.677500000000002</v>
      </c>
      <c r="BW186" s="97"/>
      <c r="BX186" s="97"/>
    </row>
    <row r="187" spans="2:76" x14ac:dyDescent="0.25">
      <c r="B187" s="89">
        <v>20244</v>
      </c>
      <c r="C187" s="91" t="s">
        <v>13142</v>
      </c>
      <c r="D187" s="89"/>
      <c r="E187" s="89">
        <v>20140626</v>
      </c>
      <c r="F187" s="89" t="s">
        <v>21411</v>
      </c>
      <c r="G187" s="89" t="s">
        <v>21412</v>
      </c>
      <c r="H187" s="89" t="s">
        <v>21413</v>
      </c>
      <c r="I187" s="89" t="s">
        <v>21410</v>
      </c>
      <c r="J187" s="89" t="s">
        <v>93</v>
      </c>
      <c r="K187" s="89"/>
      <c r="L187" s="89" t="s">
        <v>3171</v>
      </c>
      <c r="M187" s="89" t="s">
        <v>3169</v>
      </c>
      <c r="N187" s="89" t="s">
        <v>4496</v>
      </c>
      <c r="O187" s="89" t="s">
        <v>4496</v>
      </c>
      <c r="P187" s="89" t="s">
        <v>4496</v>
      </c>
      <c r="Q187" s="89"/>
      <c r="R187" s="89" t="s">
        <v>92</v>
      </c>
      <c r="S187" s="89" t="s">
        <v>21696</v>
      </c>
      <c r="T187" s="89" t="s">
        <v>21697</v>
      </c>
      <c r="U187" s="89" t="str">
        <f>TRIM('Carga Tributária doenças Po (2'!$L187)</f>
        <v>DIMENIDRINATO</v>
      </c>
      <c r="V187" s="89">
        <f>SUMIFS('Tabela Federal'!$E$4:$E$2069,'Tabela Federal'!$D$4:$D$2069,'Carga Tributária doenças Po (2'!$L187)</f>
        <v>0</v>
      </c>
      <c r="W187" s="89">
        <f>SUMIFS('Tabela Federal'!$E$4:$E$2069,'Tabela Federal'!$D$4:$D$2069,'Carga Tributária doenças Po (2'!$M187)</f>
        <v>2</v>
      </c>
      <c r="X187" s="89">
        <f>SUMIFS('Tabela Federal'!$E$4:$E$2069,'Tabela Federal'!$D$4:$D$2069,'Carga Tributária doenças Po (2'!$N187)</f>
        <v>0</v>
      </c>
      <c r="Y187" s="89">
        <f>SUMIFS('Tabela Federal'!$E$4:$E$2069,'Tabela Federal'!$D$4:$D$2069,'Carga Tributária doenças Po (2'!$O187)</f>
        <v>0</v>
      </c>
      <c r="Z187" s="92" t="str">
        <f>VLOOKUP('Carga Tributária doenças Po (2'!$AD187,'Carga Tributária doenças Po (2'!$CA$12:$CC$16,2,0)</f>
        <v>-</v>
      </c>
      <c r="AA187" s="89" t="s">
        <v>91</v>
      </c>
      <c r="AB187" s="89" t="s">
        <v>21828</v>
      </c>
      <c r="AC187" s="89" t="s">
        <v>21721</v>
      </c>
      <c r="AD187" s="93" t="s">
        <v>19523</v>
      </c>
      <c r="AE187" s="92" t="s">
        <v>4</v>
      </c>
      <c r="AF187" s="92" t="s">
        <v>23</v>
      </c>
      <c r="AG187" s="94">
        <v>2011565</v>
      </c>
      <c r="AH187" s="95">
        <v>9203492</v>
      </c>
      <c r="AI187" s="95">
        <v>21055297.219999999</v>
      </c>
      <c r="AJ187" s="89" t="s">
        <v>76</v>
      </c>
      <c r="AK187" s="89">
        <f>IF('Carga Tributária doenças Po (2'!$Z187="+",0,SUMIFS(PISCOFINS!$I$3:$I$10518,PISCOFINS!$C$3:$C$10518,'Carga Tributária doenças Po (2'!$C187))</f>
        <v>2.1</v>
      </c>
      <c r="AL187" s="89">
        <f>IF('Carga Tributária doenças Po (2'!$Z187="+",0,SUMIFS(PISCOFINS!$H$3:$H$10518,PISCOFINS!$C$3:$C$10518,'Carga Tributária doenças Po (2'!$C187))</f>
        <v>9.9</v>
      </c>
      <c r="AM187" s="95">
        <v>3.27</v>
      </c>
      <c r="AN187" s="95">
        <v>3.12</v>
      </c>
      <c r="AO187" s="95">
        <v>1.35</v>
      </c>
      <c r="AP187" s="96">
        <v>18</v>
      </c>
      <c r="AQ187" s="96">
        <v>12</v>
      </c>
      <c r="AR187" s="96">
        <v>17</v>
      </c>
      <c r="AS187" s="97">
        <v>17</v>
      </c>
      <c r="AT187" s="97">
        <v>19</v>
      </c>
      <c r="AU187" s="97">
        <v>18</v>
      </c>
      <c r="AV187" s="97">
        <v>17</v>
      </c>
      <c r="AW187" s="97">
        <v>17</v>
      </c>
      <c r="AX187" s="97">
        <v>17</v>
      </c>
      <c r="AY187" s="97">
        <v>17</v>
      </c>
      <c r="AZ187" s="97">
        <v>17</v>
      </c>
      <c r="BA187" s="97">
        <v>17</v>
      </c>
      <c r="BB187" s="97">
        <v>17</v>
      </c>
      <c r="BC187" s="97">
        <v>17</v>
      </c>
      <c r="BD187" s="97">
        <v>17</v>
      </c>
      <c r="BE187" s="97">
        <v>17</v>
      </c>
      <c r="BF187" s="97">
        <f>+Tabela1107[[#This Row],[PIS]]+Tabela1107[[#This Row],[COFINS]]+Tabela1107[[#This Row],[CONTRIB. FOLHA]]+Tabela1107[[#This Row],[TRIBUTOS S/ LUCRO]]+Tabela1107[[#This Row],[OUTROS]]+Tabela1107[[#This Row],[SP]]</f>
        <v>37.74</v>
      </c>
      <c r="BG187" s="97">
        <f>+Tabela1107[[#This Row],[PIS]]+Tabela1107[[#This Row],[COFINS]]+Tabela1107[[#This Row],[CONTRIB. FOLHA]]+Tabela1107[[#This Row],[TRIBUTOS S/ LUCRO]]+Tabela1107[[#This Row],[OUTROS]]+Tabela1107[[#This Row],[PR]]</f>
        <v>31.740000000000002</v>
      </c>
      <c r="BH187" s="97">
        <f>+Tabela1107[[#This Row],[PIS]]+Tabela1107[[#This Row],[COFINS]]+Tabela1107[[#This Row],[CONTRIB. FOLHA]]+Tabela1107[[#This Row],[TRIBUTOS S/ LUCRO]]+Tabela1107[[#This Row],[OUTROS]]+Tabela1107[[#This Row],[SC]]</f>
        <v>36.74</v>
      </c>
      <c r="BI187" s="97">
        <f>+Tabela1107[[#This Row],[PIS]]+Tabela1107[[#This Row],[COFINS]]+Tabela1107[[#This Row],[CONTRIB. FOLHA]]+Tabela1107[[#This Row],[TRIBUTOS S/ LUCRO]]+Tabela1107[[#This Row],[OUTROS]]+Tabela1107[[#This Row],[RS]]</f>
        <v>36.74</v>
      </c>
      <c r="BJ187" s="97">
        <f>+Tabela1107[[#This Row],[PIS]]+Tabela1107[[#This Row],[COFINS]]+Tabela1107[[#This Row],[CONTRIB. FOLHA]]+Tabela1107[[#This Row],[TRIBUTOS S/ LUCRO]]+Tabela1107[[#This Row],[OUTROS]]+Tabela1107[[#This Row],[RJ]]</f>
        <v>38.74</v>
      </c>
      <c r="BK187" s="97">
        <f>+Tabela1107[[#This Row],[PIS]]+Tabela1107[[#This Row],[COFINS]]+Tabela1107[[#This Row],[CONTRIB. FOLHA]]+Tabela1107[[#This Row],[TRIBUTOS S/ LUCRO]]+Tabela1107[[#This Row],[OUTROS]]+Tabela1107[[#This Row],[MG]]</f>
        <v>37.74</v>
      </c>
      <c r="BL187" s="97">
        <f>+Tabela1107[[#This Row],[PIS]]+Tabela1107[[#This Row],[COFINS]]+Tabela1107[[#This Row],[CONTRIB. FOLHA]]+Tabela1107[[#This Row],[TRIBUTOS S/ LUCRO]]+Tabela1107[[#This Row],[OUTROS]]+Tabela1107[[#This Row],[ES]]</f>
        <v>36.74</v>
      </c>
      <c r="BM187" s="97">
        <f>+Tabela1107[[#This Row],[PIS]]+Tabela1107[[#This Row],[COFINS]]+Tabela1107[[#This Row],[CONTRIB. FOLHA]]+Tabela1107[[#This Row],[TRIBUTOS S/ LUCRO]]+Tabela1107[[#This Row],[OUTROS]]+Tabela1107[[#This Row],[GO]]</f>
        <v>36.74</v>
      </c>
      <c r="BN187" s="97">
        <f>+Tabela1107[[#This Row],[PIS]]+Tabela1107[[#This Row],[COFINS]]+Tabela1107[[#This Row],[CONTRIB. FOLHA]]+Tabela1107[[#This Row],[TRIBUTOS S/ LUCRO]]+Tabela1107[[#This Row],[OUTROS]]+Tabela1107[[#This Row],[MT]]</f>
        <v>36.74</v>
      </c>
      <c r="BO187" s="97">
        <f>+Tabela1107[[#This Row],[PIS]]+Tabela1107[[#This Row],[COFINS]]+Tabela1107[[#This Row],[CONTRIB. FOLHA]]+Tabela1107[[#This Row],[TRIBUTOS S/ LUCRO]]+Tabela1107[[#This Row],[OUTROS]]+Tabela1107[[#This Row],[MS]]</f>
        <v>36.74</v>
      </c>
      <c r="BP187" s="97">
        <f>+Tabela1107[[#This Row],[PIS]]+Tabela1107[[#This Row],[COFINS]]+Tabela1107[[#This Row],[CONTRIB. FOLHA]]+Tabela1107[[#This Row],[TRIBUTOS S/ LUCRO]]+Tabela1107[[#This Row],[OUTROS]]+Tabela1107[[#This Row],[DF]]</f>
        <v>36.74</v>
      </c>
      <c r="BQ187" s="97">
        <f>+Tabela1107[[#This Row],[PIS]]+Tabela1107[[#This Row],[COFINS]]+Tabela1107[[#This Row],[CONTRIB. FOLHA]]+Tabela1107[[#This Row],[TRIBUTOS S/ LUCRO]]+Tabela1107[[#This Row],[OUTROS]]+Tabela1107[[#This Row],[BA]]</f>
        <v>36.74</v>
      </c>
      <c r="BR187" s="97">
        <f>+Tabela1107[[#This Row],[PIS]]+Tabela1107[[#This Row],[COFINS]]+Tabela1107[[#This Row],[CONTRIB. FOLHA]]+Tabela1107[[#This Row],[TRIBUTOS S/ LUCRO]]+Tabela1107[[#This Row],[OUTROS]]+Tabela1107[[#This Row],[BA]]</f>
        <v>36.74</v>
      </c>
      <c r="BS187" s="97">
        <f>+Tabela1107[[#This Row],[PIS]]+Tabela1107[[#This Row],[COFINS]]+Tabela1107[[#This Row],[CONTRIB. FOLHA]]+Tabela1107[[#This Row],[TRIBUTOS S/ LUCRO]]+Tabela1107[[#This Row],[OUTROS]]+Tabela1107[[#This Row],[PE]]</f>
        <v>36.74</v>
      </c>
      <c r="BT187" s="97">
        <f>+Tabela1107[[#This Row],[PIS]]+Tabela1107[[#This Row],[COFINS]]+Tabela1107[[#This Row],[CONTRIB. FOLHA]]+Tabela1107[[#This Row],[TRIBUTOS S/ LUCRO]]+Tabela1107[[#This Row],[OUTROS]]+Tabela1107[[#This Row],[PA]]</f>
        <v>36.74</v>
      </c>
      <c r="BU187" s="97">
        <f>+Tabela1107[[#This Row],[PIS]]+Tabela1107[[#This Row],[COFINS]]+Tabela1107[[#This Row],[CONTRIB. FOLHA]]+Tabela1107[[#This Row],[TRIBUTOS S/ LUCRO]]+Tabela1107[[#This Row],[OUTROS]]+Tabela1107[[#This Row],[AM]]</f>
        <v>36.74</v>
      </c>
      <c r="BV187" s="97">
        <f>AVERAGE(Tabela1107[[#This Row],[TOTAL SP]:[TOTAL AM]])</f>
        <v>36.677500000000002</v>
      </c>
      <c r="BW187" s="97"/>
      <c r="BX187" s="97"/>
    </row>
    <row r="188" spans="2:76" x14ac:dyDescent="0.25">
      <c r="B188" s="89">
        <v>20246</v>
      </c>
      <c r="C188" s="91" t="s">
        <v>13142</v>
      </c>
      <c r="D188" s="89"/>
      <c r="E188" s="89">
        <v>20140626</v>
      </c>
      <c r="F188" s="89" t="s">
        <v>21407</v>
      </c>
      <c r="G188" s="89" t="s">
        <v>21408</v>
      </c>
      <c r="H188" s="89" t="s">
        <v>21409</v>
      </c>
      <c r="I188" s="89" t="s">
        <v>21410</v>
      </c>
      <c r="J188" s="89" t="s">
        <v>90</v>
      </c>
      <c r="K188" s="89"/>
      <c r="L188" s="89" t="s">
        <v>3171</v>
      </c>
      <c r="M188" s="89" t="s">
        <v>3169</v>
      </c>
      <c r="N188" s="89" t="s">
        <v>4496</v>
      </c>
      <c r="O188" s="89" t="s">
        <v>4496</v>
      </c>
      <c r="P188" s="89" t="s">
        <v>4496</v>
      </c>
      <c r="Q188" s="89"/>
      <c r="R188" s="89" t="s">
        <v>92</v>
      </c>
      <c r="S188" s="89" t="s">
        <v>21696</v>
      </c>
      <c r="T188" s="89" t="s">
        <v>21697</v>
      </c>
      <c r="U188" s="89" t="str">
        <f>TRIM('Carga Tributária doenças Po (2'!$L188)</f>
        <v>DIMENIDRINATO</v>
      </c>
      <c r="V188" s="89">
        <f>SUMIFS('Tabela Federal'!$E$4:$E$2069,'Tabela Federal'!$D$4:$D$2069,'Carga Tributária doenças Po (2'!$L188)</f>
        <v>0</v>
      </c>
      <c r="W188" s="89">
        <f>SUMIFS('Tabela Federal'!$E$4:$E$2069,'Tabela Federal'!$D$4:$D$2069,'Carga Tributária doenças Po (2'!$M188)</f>
        <v>2</v>
      </c>
      <c r="X188" s="89">
        <f>SUMIFS('Tabela Federal'!$E$4:$E$2069,'Tabela Federal'!$D$4:$D$2069,'Carga Tributária doenças Po (2'!$N188)</f>
        <v>0</v>
      </c>
      <c r="Y188" s="89">
        <f>SUMIFS('Tabela Federal'!$E$4:$E$2069,'Tabela Federal'!$D$4:$D$2069,'Carga Tributária doenças Po (2'!$O188)</f>
        <v>0</v>
      </c>
      <c r="Z188" s="92" t="str">
        <f>VLOOKUP('Carga Tributária doenças Po (2'!$AD188,'Carga Tributária doenças Po (2'!$CA$12:$CC$16,2,0)</f>
        <v>-</v>
      </c>
      <c r="AA188" s="89" t="s">
        <v>91</v>
      </c>
      <c r="AB188" s="89" t="s">
        <v>21828</v>
      </c>
      <c r="AC188" s="89" t="s">
        <v>21721</v>
      </c>
      <c r="AD188" s="93" t="s">
        <v>19523</v>
      </c>
      <c r="AE188" s="92" t="s">
        <v>4</v>
      </c>
      <c r="AF188" s="92" t="s">
        <v>23</v>
      </c>
      <c r="AG188" s="94">
        <v>3963119</v>
      </c>
      <c r="AH188" s="95">
        <v>19055991</v>
      </c>
      <c r="AI188" s="95">
        <v>43544694.899999999</v>
      </c>
      <c r="AJ188" s="89" t="s">
        <v>372</v>
      </c>
      <c r="AK188" s="89">
        <f>IF('Carga Tributária doenças Po (2'!$Z188="+",0,SUMIFS(PISCOFINS!$I$3:$I$10518,PISCOFINS!$C$3:$C$10518,'Carga Tributária doenças Po (2'!$C188))</f>
        <v>2.1</v>
      </c>
      <c r="AL188" s="89">
        <f>IF('Carga Tributária doenças Po (2'!$Z188="+",0,SUMIFS(PISCOFINS!$H$3:$H$10518,PISCOFINS!$C$3:$C$10518,'Carga Tributária doenças Po (2'!$C188))</f>
        <v>9.9</v>
      </c>
      <c r="AM188" s="95">
        <v>3.27</v>
      </c>
      <c r="AN188" s="95">
        <v>3.12</v>
      </c>
      <c r="AO188" s="95">
        <v>1.35</v>
      </c>
      <c r="AP188" s="96">
        <v>18</v>
      </c>
      <c r="AQ188" s="96">
        <v>12</v>
      </c>
      <c r="AR188" s="96">
        <v>17</v>
      </c>
      <c r="AS188" s="97">
        <v>17</v>
      </c>
      <c r="AT188" s="97">
        <v>19</v>
      </c>
      <c r="AU188" s="97">
        <v>18</v>
      </c>
      <c r="AV188" s="97">
        <v>17</v>
      </c>
      <c r="AW188" s="97">
        <v>17</v>
      </c>
      <c r="AX188" s="97">
        <v>17</v>
      </c>
      <c r="AY188" s="97">
        <v>17</v>
      </c>
      <c r="AZ188" s="97">
        <v>17</v>
      </c>
      <c r="BA188" s="97">
        <v>17</v>
      </c>
      <c r="BB188" s="97">
        <v>17</v>
      </c>
      <c r="BC188" s="97">
        <v>17</v>
      </c>
      <c r="BD188" s="97">
        <v>17</v>
      </c>
      <c r="BE188" s="97">
        <v>17</v>
      </c>
      <c r="BF188" s="97">
        <f>+Tabela1107[[#This Row],[PIS]]+Tabela1107[[#This Row],[COFINS]]+Tabela1107[[#This Row],[CONTRIB. FOLHA]]+Tabela1107[[#This Row],[TRIBUTOS S/ LUCRO]]+Tabela1107[[#This Row],[OUTROS]]+Tabela1107[[#This Row],[SP]]</f>
        <v>37.74</v>
      </c>
      <c r="BG188" s="97">
        <f>+Tabela1107[[#This Row],[PIS]]+Tabela1107[[#This Row],[COFINS]]+Tabela1107[[#This Row],[CONTRIB. FOLHA]]+Tabela1107[[#This Row],[TRIBUTOS S/ LUCRO]]+Tabela1107[[#This Row],[OUTROS]]+Tabela1107[[#This Row],[PR]]</f>
        <v>31.740000000000002</v>
      </c>
      <c r="BH188" s="97">
        <f>+Tabela1107[[#This Row],[PIS]]+Tabela1107[[#This Row],[COFINS]]+Tabela1107[[#This Row],[CONTRIB. FOLHA]]+Tabela1107[[#This Row],[TRIBUTOS S/ LUCRO]]+Tabela1107[[#This Row],[OUTROS]]+Tabela1107[[#This Row],[SC]]</f>
        <v>36.74</v>
      </c>
      <c r="BI188" s="97">
        <f>+Tabela1107[[#This Row],[PIS]]+Tabela1107[[#This Row],[COFINS]]+Tabela1107[[#This Row],[CONTRIB. FOLHA]]+Tabela1107[[#This Row],[TRIBUTOS S/ LUCRO]]+Tabela1107[[#This Row],[OUTROS]]+Tabela1107[[#This Row],[RS]]</f>
        <v>36.74</v>
      </c>
      <c r="BJ188" s="97">
        <f>+Tabela1107[[#This Row],[PIS]]+Tabela1107[[#This Row],[COFINS]]+Tabela1107[[#This Row],[CONTRIB. FOLHA]]+Tabela1107[[#This Row],[TRIBUTOS S/ LUCRO]]+Tabela1107[[#This Row],[OUTROS]]+Tabela1107[[#This Row],[RJ]]</f>
        <v>38.74</v>
      </c>
      <c r="BK188" s="97">
        <f>+Tabela1107[[#This Row],[PIS]]+Tabela1107[[#This Row],[COFINS]]+Tabela1107[[#This Row],[CONTRIB. FOLHA]]+Tabela1107[[#This Row],[TRIBUTOS S/ LUCRO]]+Tabela1107[[#This Row],[OUTROS]]+Tabela1107[[#This Row],[MG]]</f>
        <v>37.74</v>
      </c>
      <c r="BL188" s="97">
        <f>+Tabela1107[[#This Row],[PIS]]+Tabela1107[[#This Row],[COFINS]]+Tabela1107[[#This Row],[CONTRIB. FOLHA]]+Tabela1107[[#This Row],[TRIBUTOS S/ LUCRO]]+Tabela1107[[#This Row],[OUTROS]]+Tabela1107[[#This Row],[ES]]</f>
        <v>36.74</v>
      </c>
      <c r="BM188" s="97">
        <f>+Tabela1107[[#This Row],[PIS]]+Tabela1107[[#This Row],[COFINS]]+Tabela1107[[#This Row],[CONTRIB. FOLHA]]+Tabela1107[[#This Row],[TRIBUTOS S/ LUCRO]]+Tabela1107[[#This Row],[OUTROS]]+Tabela1107[[#This Row],[GO]]</f>
        <v>36.74</v>
      </c>
      <c r="BN188" s="97">
        <f>+Tabela1107[[#This Row],[PIS]]+Tabela1107[[#This Row],[COFINS]]+Tabela1107[[#This Row],[CONTRIB. FOLHA]]+Tabela1107[[#This Row],[TRIBUTOS S/ LUCRO]]+Tabela1107[[#This Row],[OUTROS]]+Tabela1107[[#This Row],[MT]]</f>
        <v>36.74</v>
      </c>
      <c r="BO188" s="97">
        <f>+Tabela1107[[#This Row],[PIS]]+Tabela1107[[#This Row],[COFINS]]+Tabela1107[[#This Row],[CONTRIB. FOLHA]]+Tabela1107[[#This Row],[TRIBUTOS S/ LUCRO]]+Tabela1107[[#This Row],[OUTROS]]+Tabela1107[[#This Row],[MS]]</f>
        <v>36.74</v>
      </c>
      <c r="BP188" s="97">
        <f>+Tabela1107[[#This Row],[PIS]]+Tabela1107[[#This Row],[COFINS]]+Tabela1107[[#This Row],[CONTRIB. FOLHA]]+Tabela1107[[#This Row],[TRIBUTOS S/ LUCRO]]+Tabela1107[[#This Row],[OUTROS]]+Tabela1107[[#This Row],[DF]]</f>
        <v>36.74</v>
      </c>
      <c r="BQ188" s="97">
        <f>+Tabela1107[[#This Row],[PIS]]+Tabela1107[[#This Row],[COFINS]]+Tabela1107[[#This Row],[CONTRIB. FOLHA]]+Tabela1107[[#This Row],[TRIBUTOS S/ LUCRO]]+Tabela1107[[#This Row],[OUTROS]]+Tabela1107[[#This Row],[BA]]</f>
        <v>36.74</v>
      </c>
      <c r="BR188" s="97">
        <f>+Tabela1107[[#This Row],[PIS]]+Tabela1107[[#This Row],[COFINS]]+Tabela1107[[#This Row],[CONTRIB. FOLHA]]+Tabela1107[[#This Row],[TRIBUTOS S/ LUCRO]]+Tabela1107[[#This Row],[OUTROS]]+Tabela1107[[#This Row],[BA]]</f>
        <v>36.74</v>
      </c>
      <c r="BS188" s="97">
        <f>+Tabela1107[[#This Row],[PIS]]+Tabela1107[[#This Row],[COFINS]]+Tabela1107[[#This Row],[CONTRIB. FOLHA]]+Tabela1107[[#This Row],[TRIBUTOS S/ LUCRO]]+Tabela1107[[#This Row],[OUTROS]]+Tabela1107[[#This Row],[PE]]</f>
        <v>36.74</v>
      </c>
      <c r="BT188" s="97">
        <f>+Tabela1107[[#This Row],[PIS]]+Tabela1107[[#This Row],[COFINS]]+Tabela1107[[#This Row],[CONTRIB. FOLHA]]+Tabela1107[[#This Row],[TRIBUTOS S/ LUCRO]]+Tabela1107[[#This Row],[OUTROS]]+Tabela1107[[#This Row],[PA]]</f>
        <v>36.74</v>
      </c>
      <c r="BU188" s="97">
        <f>+Tabela1107[[#This Row],[PIS]]+Tabela1107[[#This Row],[COFINS]]+Tabela1107[[#This Row],[CONTRIB. FOLHA]]+Tabela1107[[#This Row],[TRIBUTOS S/ LUCRO]]+Tabela1107[[#This Row],[OUTROS]]+Tabela1107[[#This Row],[AM]]</f>
        <v>36.74</v>
      </c>
      <c r="BV188" s="97">
        <f>AVERAGE(Tabela1107[[#This Row],[TOTAL SP]:[TOTAL AM]])</f>
        <v>36.677500000000002</v>
      </c>
      <c r="BW188" s="97"/>
      <c r="BX188" s="97"/>
    </row>
    <row r="189" spans="2:76" x14ac:dyDescent="0.25">
      <c r="B189" s="89">
        <v>20246</v>
      </c>
      <c r="C189" s="91" t="s">
        <v>13142</v>
      </c>
      <c r="D189" s="89"/>
      <c r="E189" s="89">
        <v>20140626</v>
      </c>
      <c r="F189" s="89" t="s">
        <v>21407</v>
      </c>
      <c r="G189" s="89" t="s">
        <v>21408</v>
      </c>
      <c r="H189" s="89" t="s">
        <v>21409</v>
      </c>
      <c r="I189" s="89" t="s">
        <v>21410</v>
      </c>
      <c r="J189" s="89" t="s">
        <v>90</v>
      </c>
      <c r="K189" s="89"/>
      <c r="L189" s="89" t="s">
        <v>3171</v>
      </c>
      <c r="M189" s="89" t="s">
        <v>3169</v>
      </c>
      <c r="N189" s="89" t="s">
        <v>4496</v>
      </c>
      <c r="O189" s="89" t="s">
        <v>4496</v>
      </c>
      <c r="P189" s="89" t="s">
        <v>4496</v>
      </c>
      <c r="Q189" s="89"/>
      <c r="R189" s="89" t="s">
        <v>92</v>
      </c>
      <c r="S189" s="89" t="s">
        <v>21696</v>
      </c>
      <c r="T189" s="89" t="s">
        <v>21697</v>
      </c>
      <c r="U189" s="89" t="str">
        <f>TRIM('Carga Tributária doenças Po (2'!$L189)</f>
        <v>DIMENIDRINATO</v>
      </c>
      <c r="V189" s="89">
        <f>SUMIFS('Tabela Federal'!$E$4:$E$2069,'Tabela Federal'!$D$4:$D$2069,'Carga Tributária doenças Po (2'!$L189)</f>
        <v>0</v>
      </c>
      <c r="W189" s="89">
        <f>SUMIFS('Tabela Federal'!$E$4:$E$2069,'Tabela Federal'!$D$4:$D$2069,'Carga Tributária doenças Po (2'!$M189)</f>
        <v>2</v>
      </c>
      <c r="X189" s="89">
        <f>SUMIFS('Tabela Federal'!$E$4:$E$2069,'Tabela Federal'!$D$4:$D$2069,'Carga Tributária doenças Po (2'!$N189)</f>
        <v>0</v>
      </c>
      <c r="Y189" s="89">
        <f>SUMIFS('Tabela Federal'!$E$4:$E$2069,'Tabela Federal'!$D$4:$D$2069,'Carga Tributária doenças Po (2'!$O189)</f>
        <v>0</v>
      </c>
      <c r="Z189" s="92" t="str">
        <f>VLOOKUP('Carga Tributária doenças Po (2'!$AD189,'Carga Tributária doenças Po (2'!$CA$12:$CC$16,2,0)</f>
        <v>-</v>
      </c>
      <c r="AA189" s="89" t="s">
        <v>91</v>
      </c>
      <c r="AB189" s="89" t="s">
        <v>21828</v>
      </c>
      <c r="AC189" s="89" t="s">
        <v>21721</v>
      </c>
      <c r="AD189" s="93" t="s">
        <v>19523</v>
      </c>
      <c r="AE189" s="92" t="s">
        <v>4</v>
      </c>
      <c r="AF189" s="92" t="s">
        <v>23</v>
      </c>
      <c r="AG189" s="94">
        <v>3963119</v>
      </c>
      <c r="AH189" s="95">
        <v>19055991</v>
      </c>
      <c r="AI189" s="95">
        <v>43544694.899999999</v>
      </c>
      <c r="AJ189" s="89" t="s">
        <v>76</v>
      </c>
      <c r="AK189" s="89">
        <f>IF('Carga Tributária doenças Po (2'!$Z189="+",0,SUMIFS(PISCOFINS!$I$3:$I$10518,PISCOFINS!$C$3:$C$10518,'Carga Tributária doenças Po (2'!$C189))</f>
        <v>2.1</v>
      </c>
      <c r="AL189" s="89">
        <f>IF('Carga Tributária doenças Po (2'!$Z189="+",0,SUMIFS(PISCOFINS!$H$3:$H$10518,PISCOFINS!$C$3:$C$10518,'Carga Tributária doenças Po (2'!$C189))</f>
        <v>9.9</v>
      </c>
      <c r="AM189" s="95">
        <v>3.27</v>
      </c>
      <c r="AN189" s="95">
        <v>3.12</v>
      </c>
      <c r="AO189" s="95">
        <v>1.35</v>
      </c>
      <c r="AP189" s="96">
        <v>18</v>
      </c>
      <c r="AQ189" s="96">
        <v>12</v>
      </c>
      <c r="AR189" s="96">
        <v>17</v>
      </c>
      <c r="AS189" s="97">
        <v>17</v>
      </c>
      <c r="AT189" s="97">
        <v>19</v>
      </c>
      <c r="AU189" s="97">
        <v>18</v>
      </c>
      <c r="AV189" s="97">
        <v>17</v>
      </c>
      <c r="AW189" s="97">
        <v>17</v>
      </c>
      <c r="AX189" s="97">
        <v>17</v>
      </c>
      <c r="AY189" s="97">
        <v>17</v>
      </c>
      <c r="AZ189" s="97">
        <v>17</v>
      </c>
      <c r="BA189" s="97">
        <v>17</v>
      </c>
      <c r="BB189" s="97">
        <v>17</v>
      </c>
      <c r="BC189" s="97">
        <v>17</v>
      </c>
      <c r="BD189" s="97">
        <v>17</v>
      </c>
      <c r="BE189" s="97">
        <v>17</v>
      </c>
      <c r="BF189" s="97">
        <f>+Tabela1107[[#This Row],[PIS]]+Tabela1107[[#This Row],[COFINS]]+Tabela1107[[#This Row],[CONTRIB. FOLHA]]+Tabela1107[[#This Row],[TRIBUTOS S/ LUCRO]]+Tabela1107[[#This Row],[OUTROS]]+Tabela1107[[#This Row],[SP]]</f>
        <v>37.74</v>
      </c>
      <c r="BG189" s="97">
        <f>+Tabela1107[[#This Row],[PIS]]+Tabela1107[[#This Row],[COFINS]]+Tabela1107[[#This Row],[CONTRIB. FOLHA]]+Tabela1107[[#This Row],[TRIBUTOS S/ LUCRO]]+Tabela1107[[#This Row],[OUTROS]]+Tabela1107[[#This Row],[PR]]</f>
        <v>31.740000000000002</v>
      </c>
      <c r="BH189" s="97">
        <f>+Tabela1107[[#This Row],[PIS]]+Tabela1107[[#This Row],[COFINS]]+Tabela1107[[#This Row],[CONTRIB. FOLHA]]+Tabela1107[[#This Row],[TRIBUTOS S/ LUCRO]]+Tabela1107[[#This Row],[OUTROS]]+Tabela1107[[#This Row],[SC]]</f>
        <v>36.74</v>
      </c>
      <c r="BI189" s="97">
        <f>+Tabela1107[[#This Row],[PIS]]+Tabela1107[[#This Row],[COFINS]]+Tabela1107[[#This Row],[CONTRIB. FOLHA]]+Tabela1107[[#This Row],[TRIBUTOS S/ LUCRO]]+Tabela1107[[#This Row],[OUTROS]]+Tabela1107[[#This Row],[RS]]</f>
        <v>36.74</v>
      </c>
      <c r="BJ189" s="97">
        <f>+Tabela1107[[#This Row],[PIS]]+Tabela1107[[#This Row],[COFINS]]+Tabela1107[[#This Row],[CONTRIB. FOLHA]]+Tabela1107[[#This Row],[TRIBUTOS S/ LUCRO]]+Tabela1107[[#This Row],[OUTROS]]+Tabela1107[[#This Row],[RJ]]</f>
        <v>38.74</v>
      </c>
      <c r="BK189" s="97">
        <f>+Tabela1107[[#This Row],[PIS]]+Tabela1107[[#This Row],[COFINS]]+Tabela1107[[#This Row],[CONTRIB. FOLHA]]+Tabela1107[[#This Row],[TRIBUTOS S/ LUCRO]]+Tabela1107[[#This Row],[OUTROS]]+Tabela1107[[#This Row],[MG]]</f>
        <v>37.74</v>
      </c>
      <c r="BL189" s="97">
        <f>+Tabela1107[[#This Row],[PIS]]+Tabela1107[[#This Row],[COFINS]]+Tabela1107[[#This Row],[CONTRIB. FOLHA]]+Tabela1107[[#This Row],[TRIBUTOS S/ LUCRO]]+Tabela1107[[#This Row],[OUTROS]]+Tabela1107[[#This Row],[ES]]</f>
        <v>36.74</v>
      </c>
      <c r="BM189" s="97">
        <f>+Tabela1107[[#This Row],[PIS]]+Tabela1107[[#This Row],[COFINS]]+Tabela1107[[#This Row],[CONTRIB. FOLHA]]+Tabela1107[[#This Row],[TRIBUTOS S/ LUCRO]]+Tabela1107[[#This Row],[OUTROS]]+Tabela1107[[#This Row],[GO]]</f>
        <v>36.74</v>
      </c>
      <c r="BN189" s="97">
        <f>+Tabela1107[[#This Row],[PIS]]+Tabela1107[[#This Row],[COFINS]]+Tabela1107[[#This Row],[CONTRIB. FOLHA]]+Tabela1107[[#This Row],[TRIBUTOS S/ LUCRO]]+Tabela1107[[#This Row],[OUTROS]]+Tabela1107[[#This Row],[MT]]</f>
        <v>36.74</v>
      </c>
      <c r="BO189" s="97">
        <f>+Tabela1107[[#This Row],[PIS]]+Tabela1107[[#This Row],[COFINS]]+Tabela1107[[#This Row],[CONTRIB. FOLHA]]+Tabela1107[[#This Row],[TRIBUTOS S/ LUCRO]]+Tabela1107[[#This Row],[OUTROS]]+Tabela1107[[#This Row],[MS]]</f>
        <v>36.74</v>
      </c>
      <c r="BP189" s="97">
        <f>+Tabela1107[[#This Row],[PIS]]+Tabela1107[[#This Row],[COFINS]]+Tabela1107[[#This Row],[CONTRIB. FOLHA]]+Tabela1107[[#This Row],[TRIBUTOS S/ LUCRO]]+Tabela1107[[#This Row],[OUTROS]]+Tabela1107[[#This Row],[DF]]</f>
        <v>36.74</v>
      </c>
      <c r="BQ189" s="97">
        <f>+Tabela1107[[#This Row],[PIS]]+Tabela1107[[#This Row],[COFINS]]+Tabela1107[[#This Row],[CONTRIB. FOLHA]]+Tabela1107[[#This Row],[TRIBUTOS S/ LUCRO]]+Tabela1107[[#This Row],[OUTROS]]+Tabela1107[[#This Row],[BA]]</f>
        <v>36.74</v>
      </c>
      <c r="BR189" s="97">
        <f>+Tabela1107[[#This Row],[PIS]]+Tabela1107[[#This Row],[COFINS]]+Tabela1107[[#This Row],[CONTRIB. FOLHA]]+Tabela1107[[#This Row],[TRIBUTOS S/ LUCRO]]+Tabela1107[[#This Row],[OUTROS]]+Tabela1107[[#This Row],[BA]]</f>
        <v>36.74</v>
      </c>
      <c r="BS189" s="97">
        <f>+Tabela1107[[#This Row],[PIS]]+Tabela1107[[#This Row],[COFINS]]+Tabela1107[[#This Row],[CONTRIB. FOLHA]]+Tabela1107[[#This Row],[TRIBUTOS S/ LUCRO]]+Tabela1107[[#This Row],[OUTROS]]+Tabela1107[[#This Row],[PE]]</f>
        <v>36.74</v>
      </c>
      <c r="BT189" s="97">
        <f>+Tabela1107[[#This Row],[PIS]]+Tabela1107[[#This Row],[COFINS]]+Tabela1107[[#This Row],[CONTRIB. FOLHA]]+Tabela1107[[#This Row],[TRIBUTOS S/ LUCRO]]+Tabela1107[[#This Row],[OUTROS]]+Tabela1107[[#This Row],[PA]]</f>
        <v>36.74</v>
      </c>
      <c r="BU189" s="97">
        <f>+Tabela1107[[#This Row],[PIS]]+Tabela1107[[#This Row],[COFINS]]+Tabela1107[[#This Row],[CONTRIB. FOLHA]]+Tabela1107[[#This Row],[TRIBUTOS S/ LUCRO]]+Tabela1107[[#This Row],[OUTROS]]+Tabela1107[[#This Row],[AM]]</f>
        <v>36.74</v>
      </c>
      <c r="BV189" s="97">
        <f>AVERAGE(Tabela1107[[#This Row],[TOTAL SP]:[TOTAL AM]])</f>
        <v>36.677500000000002</v>
      </c>
      <c r="BW189" s="97"/>
      <c r="BX189" s="97"/>
    </row>
    <row r="190" spans="2:76" x14ac:dyDescent="0.25">
      <c r="B190" s="89">
        <v>20246</v>
      </c>
      <c r="C190" s="91" t="s">
        <v>13142</v>
      </c>
      <c r="D190" s="89"/>
      <c r="E190" s="89">
        <v>20140626</v>
      </c>
      <c r="F190" s="89" t="s">
        <v>21407</v>
      </c>
      <c r="G190" s="89" t="s">
        <v>21408</v>
      </c>
      <c r="H190" s="89" t="s">
        <v>21409</v>
      </c>
      <c r="I190" s="89" t="s">
        <v>21410</v>
      </c>
      <c r="J190" s="89" t="s">
        <v>90</v>
      </c>
      <c r="K190" s="89"/>
      <c r="L190" s="89" t="s">
        <v>3171</v>
      </c>
      <c r="M190" s="89" t="s">
        <v>3169</v>
      </c>
      <c r="N190" s="89" t="s">
        <v>4496</v>
      </c>
      <c r="O190" s="89" t="s">
        <v>4496</v>
      </c>
      <c r="P190" s="89" t="s">
        <v>4496</v>
      </c>
      <c r="Q190" s="89"/>
      <c r="R190" s="89" t="s">
        <v>92</v>
      </c>
      <c r="S190" s="89" t="s">
        <v>21696</v>
      </c>
      <c r="T190" s="89" t="s">
        <v>21697</v>
      </c>
      <c r="U190" s="89" t="str">
        <f>TRIM('Carga Tributária doenças Po (2'!$L190)</f>
        <v>DIMENIDRINATO</v>
      </c>
      <c r="V190" s="89">
        <f>SUMIFS('Tabela Federal'!$E$4:$E$2069,'Tabela Federal'!$D$4:$D$2069,'Carga Tributária doenças Po (2'!$L190)</f>
        <v>0</v>
      </c>
      <c r="W190" s="89">
        <f>SUMIFS('Tabela Federal'!$E$4:$E$2069,'Tabela Federal'!$D$4:$D$2069,'Carga Tributária doenças Po (2'!$M190)</f>
        <v>2</v>
      </c>
      <c r="X190" s="89">
        <f>SUMIFS('Tabela Federal'!$E$4:$E$2069,'Tabela Federal'!$D$4:$D$2069,'Carga Tributária doenças Po (2'!$N190)</f>
        <v>0</v>
      </c>
      <c r="Y190" s="89">
        <f>SUMIFS('Tabela Federal'!$E$4:$E$2069,'Tabela Federal'!$D$4:$D$2069,'Carga Tributária doenças Po (2'!$O190)</f>
        <v>0</v>
      </c>
      <c r="Z190" s="92" t="str">
        <f>VLOOKUP('Carga Tributária doenças Po (2'!$AD190,'Carga Tributária doenças Po (2'!$CA$12:$CC$16,2,0)</f>
        <v>-</v>
      </c>
      <c r="AA190" s="89" t="s">
        <v>91</v>
      </c>
      <c r="AB190" s="89" t="s">
        <v>21828</v>
      </c>
      <c r="AC190" s="89" t="s">
        <v>21721</v>
      </c>
      <c r="AD190" s="93" t="s">
        <v>19523</v>
      </c>
      <c r="AE190" s="92" t="s">
        <v>4</v>
      </c>
      <c r="AF190" s="92" t="s">
        <v>23</v>
      </c>
      <c r="AG190" s="94">
        <v>3963119</v>
      </c>
      <c r="AH190" s="95">
        <v>19055991</v>
      </c>
      <c r="AI190" s="95">
        <v>43544694.899999999</v>
      </c>
      <c r="AJ190" s="89" t="s">
        <v>549</v>
      </c>
      <c r="AK190" s="89">
        <f>IF('Carga Tributária doenças Po (2'!$Z190="+",0,SUMIFS(PISCOFINS!$I$3:$I$10518,PISCOFINS!$C$3:$C$10518,'Carga Tributária doenças Po (2'!$C190))</f>
        <v>2.1</v>
      </c>
      <c r="AL190" s="89">
        <f>IF('Carga Tributária doenças Po (2'!$Z190="+",0,SUMIFS(PISCOFINS!$H$3:$H$10518,PISCOFINS!$C$3:$C$10518,'Carga Tributária doenças Po (2'!$C190))</f>
        <v>9.9</v>
      </c>
      <c r="AM190" s="95">
        <v>3.27</v>
      </c>
      <c r="AN190" s="95">
        <v>3.12</v>
      </c>
      <c r="AO190" s="95">
        <v>1.35</v>
      </c>
      <c r="AP190" s="96">
        <v>18</v>
      </c>
      <c r="AQ190" s="96">
        <v>12</v>
      </c>
      <c r="AR190" s="96">
        <v>17</v>
      </c>
      <c r="AS190" s="97">
        <v>17</v>
      </c>
      <c r="AT190" s="97">
        <v>19</v>
      </c>
      <c r="AU190" s="97">
        <v>18</v>
      </c>
      <c r="AV190" s="97">
        <v>17</v>
      </c>
      <c r="AW190" s="97">
        <v>17</v>
      </c>
      <c r="AX190" s="97">
        <v>17</v>
      </c>
      <c r="AY190" s="97">
        <v>17</v>
      </c>
      <c r="AZ190" s="97">
        <v>17</v>
      </c>
      <c r="BA190" s="97">
        <v>17</v>
      </c>
      <c r="BB190" s="97">
        <v>17</v>
      </c>
      <c r="BC190" s="97">
        <v>17</v>
      </c>
      <c r="BD190" s="97">
        <v>17</v>
      </c>
      <c r="BE190" s="97">
        <v>17</v>
      </c>
      <c r="BF190" s="97">
        <f>+Tabela1107[[#This Row],[PIS]]+Tabela1107[[#This Row],[COFINS]]+Tabela1107[[#This Row],[CONTRIB. FOLHA]]+Tabela1107[[#This Row],[TRIBUTOS S/ LUCRO]]+Tabela1107[[#This Row],[OUTROS]]+Tabela1107[[#This Row],[SP]]</f>
        <v>37.74</v>
      </c>
      <c r="BG190" s="97">
        <f>+Tabela1107[[#This Row],[PIS]]+Tabela1107[[#This Row],[COFINS]]+Tabela1107[[#This Row],[CONTRIB. FOLHA]]+Tabela1107[[#This Row],[TRIBUTOS S/ LUCRO]]+Tabela1107[[#This Row],[OUTROS]]+Tabela1107[[#This Row],[PR]]</f>
        <v>31.740000000000002</v>
      </c>
      <c r="BH190" s="97">
        <f>+Tabela1107[[#This Row],[PIS]]+Tabela1107[[#This Row],[COFINS]]+Tabela1107[[#This Row],[CONTRIB. FOLHA]]+Tabela1107[[#This Row],[TRIBUTOS S/ LUCRO]]+Tabela1107[[#This Row],[OUTROS]]+Tabela1107[[#This Row],[SC]]</f>
        <v>36.74</v>
      </c>
      <c r="BI190" s="97">
        <f>+Tabela1107[[#This Row],[PIS]]+Tabela1107[[#This Row],[COFINS]]+Tabela1107[[#This Row],[CONTRIB. FOLHA]]+Tabela1107[[#This Row],[TRIBUTOS S/ LUCRO]]+Tabela1107[[#This Row],[OUTROS]]+Tabela1107[[#This Row],[RS]]</f>
        <v>36.74</v>
      </c>
      <c r="BJ190" s="97">
        <f>+Tabela1107[[#This Row],[PIS]]+Tabela1107[[#This Row],[COFINS]]+Tabela1107[[#This Row],[CONTRIB. FOLHA]]+Tabela1107[[#This Row],[TRIBUTOS S/ LUCRO]]+Tabela1107[[#This Row],[OUTROS]]+Tabela1107[[#This Row],[RJ]]</f>
        <v>38.74</v>
      </c>
      <c r="BK190" s="97">
        <f>+Tabela1107[[#This Row],[PIS]]+Tabela1107[[#This Row],[COFINS]]+Tabela1107[[#This Row],[CONTRIB. FOLHA]]+Tabela1107[[#This Row],[TRIBUTOS S/ LUCRO]]+Tabela1107[[#This Row],[OUTROS]]+Tabela1107[[#This Row],[MG]]</f>
        <v>37.74</v>
      </c>
      <c r="BL190" s="97">
        <f>+Tabela1107[[#This Row],[PIS]]+Tabela1107[[#This Row],[COFINS]]+Tabela1107[[#This Row],[CONTRIB. FOLHA]]+Tabela1107[[#This Row],[TRIBUTOS S/ LUCRO]]+Tabela1107[[#This Row],[OUTROS]]+Tabela1107[[#This Row],[ES]]</f>
        <v>36.74</v>
      </c>
      <c r="BM190" s="97">
        <f>+Tabela1107[[#This Row],[PIS]]+Tabela1107[[#This Row],[COFINS]]+Tabela1107[[#This Row],[CONTRIB. FOLHA]]+Tabela1107[[#This Row],[TRIBUTOS S/ LUCRO]]+Tabela1107[[#This Row],[OUTROS]]+Tabela1107[[#This Row],[GO]]</f>
        <v>36.74</v>
      </c>
      <c r="BN190" s="97">
        <f>+Tabela1107[[#This Row],[PIS]]+Tabela1107[[#This Row],[COFINS]]+Tabela1107[[#This Row],[CONTRIB. FOLHA]]+Tabela1107[[#This Row],[TRIBUTOS S/ LUCRO]]+Tabela1107[[#This Row],[OUTROS]]+Tabela1107[[#This Row],[MT]]</f>
        <v>36.74</v>
      </c>
      <c r="BO190" s="97">
        <f>+Tabela1107[[#This Row],[PIS]]+Tabela1107[[#This Row],[COFINS]]+Tabela1107[[#This Row],[CONTRIB. FOLHA]]+Tabela1107[[#This Row],[TRIBUTOS S/ LUCRO]]+Tabela1107[[#This Row],[OUTROS]]+Tabela1107[[#This Row],[MS]]</f>
        <v>36.74</v>
      </c>
      <c r="BP190" s="97">
        <f>+Tabela1107[[#This Row],[PIS]]+Tabela1107[[#This Row],[COFINS]]+Tabela1107[[#This Row],[CONTRIB. FOLHA]]+Tabela1107[[#This Row],[TRIBUTOS S/ LUCRO]]+Tabela1107[[#This Row],[OUTROS]]+Tabela1107[[#This Row],[DF]]</f>
        <v>36.74</v>
      </c>
      <c r="BQ190" s="97">
        <f>+Tabela1107[[#This Row],[PIS]]+Tabela1107[[#This Row],[COFINS]]+Tabela1107[[#This Row],[CONTRIB. FOLHA]]+Tabela1107[[#This Row],[TRIBUTOS S/ LUCRO]]+Tabela1107[[#This Row],[OUTROS]]+Tabela1107[[#This Row],[BA]]</f>
        <v>36.74</v>
      </c>
      <c r="BR190" s="97">
        <f>+Tabela1107[[#This Row],[PIS]]+Tabela1107[[#This Row],[COFINS]]+Tabela1107[[#This Row],[CONTRIB. FOLHA]]+Tabela1107[[#This Row],[TRIBUTOS S/ LUCRO]]+Tabela1107[[#This Row],[OUTROS]]+Tabela1107[[#This Row],[BA]]</f>
        <v>36.74</v>
      </c>
      <c r="BS190" s="97">
        <f>+Tabela1107[[#This Row],[PIS]]+Tabela1107[[#This Row],[COFINS]]+Tabela1107[[#This Row],[CONTRIB. FOLHA]]+Tabela1107[[#This Row],[TRIBUTOS S/ LUCRO]]+Tabela1107[[#This Row],[OUTROS]]+Tabela1107[[#This Row],[PE]]</f>
        <v>36.74</v>
      </c>
      <c r="BT190" s="97">
        <f>+Tabela1107[[#This Row],[PIS]]+Tabela1107[[#This Row],[COFINS]]+Tabela1107[[#This Row],[CONTRIB. FOLHA]]+Tabela1107[[#This Row],[TRIBUTOS S/ LUCRO]]+Tabela1107[[#This Row],[OUTROS]]+Tabela1107[[#This Row],[PA]]</f>
        <v>36.74</v>
      </c>
      <c r="BU190" s="97">
        <f>+Tabela1107[[#This Row],[PIS]]+Tabela1107[[#This Row],[COFINS]]+Tabela1107[[#This Row],[CONTRIB. FOLHA]]+Tabela1107[[#This Row],[TRIBUTOS S/ LUCRO]]+Tabela1107[[#This Row],[OUTROS]]+Tabela1107[[#This Row],[AM]]</f>
        <v>36.74</v>
      </c>
      <c r="BV190" s="97">
        <f>AVERAGE(Tabela1107[[#This Row],[TOTAL SP]:[TOTAL AM]])</f>
        <v>36.677500000000002</v>
      </c>
      <c r="BW190" s="97"/>
      <c r="BX190" s="97"/>
    </row>
    <row r="191" spans="2:76" x14ac:dyDescent="0.25">
      <c r="B191" s="89">
        <v>17694</v>
      </c>
      <c r="C191" s="91" t="s">
        <v>13142</v>
      </c>
      <c r="D191" s="89"/>
      <c r="E191" s="89">
        <v>20140626</v>
      </c>
      <c r="F191" s="89" t="s">
        <v>20966</v>
      </c>
      <c r="G191" s="89" t="s">
        <v>20967</v>
      </c>
      <c r="H191" s="89" t="s">
        <v>20968</v>
      </c>
      <c r="I191" s="89" t="s">
        <v>20969</v>
      </c>
      <c r="J191" s="89" t="s">
        <v>351</v>
      </c>
      <c r="K191" s="89"/>
      <c r="L191" s="89" t="s">
        <v>2657</v>
      </c>
      <c r="M191" s="89" t="s">
        <v>4496</v>
      </c>
      <c r="N191" s="89" t="s">
        <v>4496</v>
      </c>
      <c r="O191" s="89" t="s">
        <v>4496</v>
      </c>
      <c r="P191" s="89" t="s">
        <v>4496</v>
      </c>
      <c r="Q191" s="89"/>
      <c r="R191" s="89" t="s">
        <v>352</v>
      </c>
      <c r="S191" s="89" t="s">
        <v>21644</v>
      </c>
      <c r="T191" s="89" t="s">
        <v>21645</v>
      </c>
      <c r="U191" s="89" t="str">
        <f>TRIM('Carga Tributária doenças Po (2'!$L191)</f>
        <v>MEMANTINA</v>
      </c>
      <c r="V191" s="89">
        <f>SUMIFS('Tabela Federal'!$E$4:$E$2069,'Tabela Federal'!$D$4:$D$2069,'Carga Tributária doenças Po (2'!$L191)</f>
        <v>1</v>
      </c>
      <c r="W191" s="89">
        <f>SUMIFS('Tabela Federal'!$E$4:$E$2069,'Tabela Federal'!$D$4:$D$2069,'Carga Tributária doenças Po (2'!$M191)</f>
        <v>0</v>
      </c>
      <c r="X191" s="89">
        <f>SUMIFS('Tabela Federal'!$E$4:$E$2069,'Tabela Federal'!$D$4:$D$2069,'Carga Tributária doenças Po (2'!$N191)</f>
        <v>0</v>
      </c>
      <c r="Y191" s="89">
        <f>SUMIFS('Tabela Federal'!$E$4:$E$2069,'Tabela Federal'!$D$4:$D$2069,'Carga Tributária doenças Po (2'!$O191)</f>
        <v>0</v>
      </c>
      <c r="Z191" s="92" t="str">
        <f>VLOOKUP('Carga Tributária doenças Po (2'!$AD191,'Carga Tributária doenças Po (2'!$CA$12:$CC$16,2,0)</f>
        <v>+</v>
      </c>
      <c r="AA191" s="89" t="s">
        <v>348</v>
      </c>
      <c r="AB191" s="89" t="s">
        <v>21734</v>
      </c>
      <c r="AC191" s="89" t="s">
        <v>21721</v>
      </c>
      <c r="AD191" s="93" t="s">
        <v>21722</v>
      </c>
      <c r="AE191" s="92" t="s">
        <v>4</v>
      </c>
      <c r="AF191" s="92" t="s">
        <v>23</v>
      </c>
      <c r="AG191" s="94">
        <v>151644</v>
      </c>
      <c r="AH191" s="95">
        <v>2967861</v>
      </c>
      <c r="AI191" s="95">
        <v>6764938.5899999999</v>
      </c>
      <c r="AJ191" s="89" t="s">
        <v>361</v>
      </c>
      <c r="AK191" s="89">
        <f>IF('Carga Tributária doenças Po (2'!$Z191="+",0,SUMIFS(PISCOFINS!$I$3:$I$10518,PISCOFINS!$C$3:$C$10518,'Carga Tributária doenças Po (2'!$C191))</f>
        <v>0</v>
      </c>
      <c r="AL191" s="89">
        <f>IF('Carga Tributária doenças Po (2'!$Z191="+",0,SUMIFS(PISCOFINS!$H$3:$H$10518,PISCOFINS!$C$3:$C$10518,'Carga Tributária doenças Po (2'!$C191))</f>
        <v>0</v>
      </c>
      <c r="AM191" s="95">
        <v>3.27</v>
      </c>
      <c r="AN191" s="95">
        <v>3.12</v>
      </c>
      <c r="AO191" s="95">
        <v>1.35</v>
      </c>
      <c r="AP191" s="96">
        <v>18</v>
      </c>
      <c r="AQ191" s="96">
        <v>12</v>
      </c>
      <c r="AR191" s="96">
        <v>17</v>
      </c>
      <c r="AS191" s="97">
        <v>17</v>
      </c>
      <c r="AT191" s="97">
        <v>19</v>
      </c>
      <c r="AU191" s="97">
        <v>18</v>
      </c>
      <c r="AV191" s="97">
        <v>17</v>
      </c>
      <c r="AW191" s="97">
        <v>17</v>
      </c>
      <c r="AX191" s="97">
        <v>17</v>
      </c>
      <c r="AY191" s="97">
        <v>17</v>
      </c>
      <c r="AZ191" s="97">
        <v>17</v>
      </c>
      <c r="BA191" s="97">
        <v>17</v>
      </c>
      <c r="BB191" s="97">
        <v>17</v>
      </c>
      <c r="BC191" s="97">
        <v>17</v>
      </c>
      <c r="BD191" s="97">
        <v>17</v>
      </c>
      <c r="BE191" s="97">
        <v>17</v>
      </c>
      <c r="BF191" s="97">
        <f>+Tabela1107[[#This Row],[PIS]]+Tabela1107[[#This Row],[COFINS]]+Tabela1107[[#This Row],[CONTRIB. FOLHA]]+Tabela1107[[#This Row],[TRIBUTOS S/ LUCRO]]+Tabela1107[[#This Row],[OUTROS]]+Tabela1107[[#This Row],[SP]]</f>
        <v>25.740000000000002</v>
      </c>
      <c r="BG191" s="97">
        <f>+Tabela1107[[#This Row],[PIS]]+Tabela1107[[#This Row],[COFINS]]+Tabela1107[[#This Row],[CONTRIB. FOLHA]]+Tabela1107[[#This Row],[TRIBUTOS S/ LUCRO]]+Tabela1107[[#This Row],[OUTROS]]+Tabela1107[[#This Row],[PR]]</f>
        <v>19.740000000000002</v>
      </c>
      <c r="BH191" s="97">
        <f>+Tabela1107[[#This Row],[PIS]]+Tabela1107[[#This Row],[COFINS]]+Tabela1107[[#This Row],[CONTRIB. FOLHA]]+Tabela1107[[#This Row],[TRIBUTOS S/ LUCRO]]+Tabela1107[[#This Row],[OUTROS]]+Tabela1107[[#This Row],[SC]]</f>
        <v>24.740000000000002</v>
      </c>
      <c r="BI191" s="97">
        <f>+Tabela1107[[#This Row],[PIS]]+Tabela1107[[#This Row],[COFINS]]+Tabela1107[[#This Row],[CONTRIB. FOLHA]]+Tabela1107[[#This Row],[TRIBUTOS S/ LUCRO]]+Tabela1107[[#This Row],[OUTROS]]+Tabela1107[[#This Row],[RS]]</f>
        <v>24.740000000000002</v>
      </c>
      <c r="BJ191" s="97">
        <f>+Tabela1107[[#This Row],[PIS]]+Tabela1107[[#This Row],[COFINS]]+Tabela1107[[#This Row],[CONTRIB. FOLHA]]+Tabela1107[[#This Row],[TRIBUTOS S/ LUCRO]]+Tabela1107[[#This Row],[OUTROS]]+Tabela1107[[#This Row],[RJ]]</f>
        <v>26.740000000000002</v>
      </c>
      <c r="BK191" s="97">
        <f>+Tabela1107[[#This Row],[PIS]]+Tabela1107[[#This Row],[COFINS]]+Tabela1107[[#This Row],[CONTRIB. FOLHA]]+Tabela1107[[#This Row],[TRIBUTOS S/ LUCRO]]+Tabela1107[[#This Row],[OUTROS]]+Tabela1107[[#This Row],[MG]]</f>
        <v>25.740000000000002</v>
      </c>
      <c r="BL191" s="97">
        <f>+Tabela1107[[#This Row],[PIS]]+Tabela1107[[#This Row],[COFINS]]+Tabela1107[[#This Row],[CONTRIB. FOLHA]]+Tabela1107[[#This Row],[TRIBUTOS S/ LUCRO]]+Tabela1107[[#This Row],[OUTROS]]+Tabela1107[[#This Row],[ES]]</f>
        <v>24.740000000000002</v>
      </c>
      <c r="BM191" s="97">
        <f>+Tabela1107[[#This Row],[PIS]]+Tabela1107[[#This Row],[COFINS]]+Tabela1107[[#This Row],[CONTRIB. FOLHA]]+Tabela1107[[#This Row],[TRIBUTOS S/ LUCRO]]+Tabela1107[[#This Row],[OUTROS]]+Tabela1107[[#This Row],[GO]]</f>
        <v>24.740000000000002</v>
      </c>
      <c r="BN191" s="97">
        <f>+Tabela1107[[#This Row],[PIS]]+Tabela1107[[#This Row],[COFINS]]+Tabela1107[[#This Row],[CONTRIB. FOLHA]]+Tabela1107[[#This Row],[TRIBUTOS S/ LUCRO]]+Tabela1107[[#This Row],[OUTROS]]+Tabela1107[[#This Row],[MT]]</f>
        <v>24.740000000000002</v>
      </c>
      <c r="BO191" s="97">
        <f>+Tabela1107[[#This Row],[PIS]]+Tabela1107[[#This Row],[COFINS]]+Tabela1107[[#This Row],[CONTRIB. FOLHA]]+Tabela1107[[#This Row],[TRIBUTOS S/ LUCRO]]+Tabela1107[[#This Row],[OUTROS]]+Tabela1107[[#This Row],[MS]]</f>
        <v>24.740000000000002</v>
      </c>
      <c r="BP191" s="97">
        <f>+Tabela1107[[#This Row],[PIS]]+Tabela1107[[#This Row],[COFINS]]+Tabela1107[[#This Row],[CONTRIB. FOLHA]]+Tabela1107[[#This Row],[TRIBUTOS S/ LUCRO]]+Tabela1107[[#This Row],[OUTROS]]+Tabela1107[[#This Row],[DF]]</f>
        <v>24.740000000000002</v>
      </c>
      <c r="BQ191" s="97">
        <f>+Tabela1107[[#This Row],[PIS]]+Tabela1107[[#This Row],[COFINS]]+Tabela1107[[#This Row],[CONTRIB. FOLHA]]+Tabela1107[[#This Row],[TRIBUTOS S/ LUCRO]]+Tabela1107[[#This Row],[OUTROS]]+Tabela1107[[#This Row],[BA]]</f>
        <v>24.740000000000002</v>
      </c>
      <c r="BR191" s="97">
        <f>+Tabela1107[[#This Row],[PIS]]+Tabela1107[[#This Row],[COFINS]]+Tabela1107[[#This Row],[CONTRIB. FOLHA]]+Tabela1107[[#This Row],[TRIBUTOS S/ LUCRO]]+Tabela1107[[#This Row],[OUTROS]]+Tabela1107[[#This Row],[BA]]</f>
        <v>24.740000000000002</v>
      </c>
      <c r="BS191" s="97">
        <f>+Tabela1107[[#This Row],[PIS]]+Tabela1107[[#This Row],[COFINS]]+Tabela1107[[#This Row],[CONTRIB. FOLHA]]+Tabela1107[[#This Row],[TRIBUTOS S/ LUCRO]]+Tabela1107[[#This Row],[OUTROS]]+Tabela1107[[#This Row],[PE]]</f>
        <v>24.740000000000002</v>
      </c>
      <c r="BT191" s="97">
        <f>+Tabela1107[[#This Row],[PIS]]+Tabela1107[[#This Row],[COFINS]]+Tabela1107[[#This Row],[CONTRIB. FOLHA]]+Tabela1107[[#This Row],[TRIBUTOS S/ LUCRO]]+Tabela1107[[#This Row],[OUTROS]]+Tabela1107[[#This Row],[PA]]</f>
        <v>24.740000000000002</v>
      </c>
      <c r="BU191" s="97">
        <f>+Tabela1107[[#This Row],[PIS]]+Tabela1107[[#This Row],[COFINS]]+Tabela1107[[#This Row],[CONTRIB. FOLHA]]+Tabela1107[[#This Row],[TRIBUTOS S/ LUCRO]]+Tabela1107[[#This Row],[OUTROS]]+Tabela1107[[#This Row],[AM]]</f>
        <v>24.740000000000002</v>
      </c>
      <c r="BV191" s="97">
        <f>AVERAGE(Tabela1107[[#This Row],[TOTAL SP]:[TOTAL AM]])</f>
        <v>24.677500000000006</v>
      </c>
      <c r="BW191" s="97"/>
      <c r="BX191" s="97"/>
    </row>
    <row r="192" spans="2:76" x14ac:dyDescent="0.25">
      <c r="B192" s="89">
        <v>3726</v>
      </c>
      <c r="C192" s="91" t="s">
        <v>13214</v>
      </c>
      <c r="D192" s="89"/>
      <c r="E192" s="89">
        <v>20140626</v>
      </c>
      <c r="F192" s="89" t="s">
        <v>20927</v>
      </c>
      <c r="G192" s="89" t="s">
        <v>20928</v>
      </c>
      <c r="H192" s="89" t="s">
        <v>20929</v>
      </c>
      <c r="I192" s="89" t="s">
        <v>20930</v>
      </c>
      <c r="J192" s="89" t="s">
        <v>411</v>
      </c>
      <c r="K192" s="89" t="s">
        <v>2477</v>
      </c>
      <c r="L192" s="89" t="s">
        <v>4497</v>
      </c>
      <c r="M192" s="89" t="s">
        <v>3182</v>
      </c>
      <c r="N192" s="89" t="s">
        <v>4496</v>
      </c>
      <c r="O192" s="89" t="s">
        <v>4496</v>
      </c>
      <c r="P192" s="89" t="s">
        <v>4496</v>
      </c>
      <c r="Q192" s="89"/>
      <c r="R192" s="89" t="s">
        <v>136</v>
      </c>
      <c r="S192" s="89" t="s">
        <v>21640</v>
      </c>
      <c r="T192" s="89" t="s">
        <v>21641</v>
      </c>
      <c r="U192" s="89" t="str">
        <f>TRIM('Carga Tributária doenças Po (2'!$L192)</f>
        <v>DROSPERINONA</v>
      </c>
      <c r="V192" s="89">
        <f>SUMIFS('Tabela Federal'!$E$4:$E$2069,'Tabela Federal'!$D$4:$D$2069,'Carga Tributária doenças Po (2'!$L192)</f>
        <v>0</v>
      </c>
      <c r="W192" s="89">
        <f>SUMIFS('Tabela Federal'!$E$4:$E$2069,'Tabela Federal'!$D$4:$D$2069,'Carga Tributária doenças Po (2'!$M192)</f>
        <v>17</v>
      </c>
      <c r="X192" s="89">
        <f>SUMIFS('Tabela Federal'!$E$4:$E$2069,'Tabela Federal'!$D$4:$D$2069,'Carga Tributária doenças Po (2'!$N192)</f>
        <v>0</v>
      </c>
      <c r="Y192" s="89">
        <f>SUMIFS('Tabela Federal'!$E$4:$E$2069,'Tabela Federal'!$D$4:$D$2069,'Carga Tributária doenças Po (2'!$O192)</f>
        <v>0</v>
      </c>
      <c r="Z192" s="92" t="str">
        <f>VLOOKUP('Carga Tributária doenças Po (2'!$AD192,'Carga Tributária doenças Po (2'!$CA$12:$CC$16,2,0)</f>
        <v>+</v>
      </c>
      <c r="AA192" s="89" t="s">
        <v>398</v>
      </c>
      <c r="AB192" s="89" t="s">
        <v>21742</v>
      </c>
      <c r="AC192" s="89" t="s">
        <v>21721</v>
      </c>
      <c r="AD192" s="93" t="s">
        <v>19445</v>
      </c>
      <c r="AE192" s="92" t="s">
        <v>4</v>
      </c>
      <c r="AF192" s="92" t="s">
        <v>3</v>
      </c>
      <c r="AG192" s="94">
        <v>2541406</v>
      </c>
      <c r="AH192" s="95">
        <v>30386426</v>
      </c>
      <c r="AI192" s="95">
        <v>69360532.719999999</v>
      </c>
      <c r="AJ192" s="89" t="s">
        <v>413</v>
      </c>
      <c r="AK192" s="89">
        <f>IF('Carga Tributária doenças Po (2'!$Z192="+",0,SUMIFS(PISCOFINS!$I$3:$I$10518,PISCOFINS!$C$3:$C$10518,'Carga Tributária doenças Po (2'!$C192))</f>
        <v>0</v>
      </c>
      <c r="AL192" s="89">
        <f>IF('Carga Tributária doenças Po (2'!$Z192="+",0,SUMIFS(PISCOFINS!$H$3:$H$10518,PISCOFINS!$C$3:$C$10518,'Carga Tributária doenças Po (2'!$C192))</f>
        <v>0</v>
      </c>
      <c r="AM192" s="95">
        <v>3.27</v>
      </c>
      <c r="AN192" s="95">
        <v>3.12</v>
      </c>
      <c r="AO192" s="95">
        <v>1.35</v>
      </c>
      <c r="AP192" s="96">
        <v>18</v>
      </c>
      <c r="AQ192" s="96">
        <v>12</v>
      </c>
      <c r="AR192" s="96">
        <v>17</v>
      </c>
      <c r="AS192" s="97">
        <v>17</v>
      </c>
      <c r="AT192" s="97">
        <v>19</v>
      </c>
      <c r="AU192" s="97">
        <v>18</v>
      </c>
      <c r="AV192" s="97">
        <v>17</v>
      </c>
      <c r="AW192" s="97">
        <v>17</v>
      </c>
      <c r="AX192" s="97">
        <v>17</v>
      </c>
      <c r="AY192" s="97">
        <v>17</v>
      </c>
      <c r="AZ192" s="97">
        <v>17</v>
      </c>
      <c r="BA192" s="97">
        <v>17</v>
      </c>
      <c r="BB192" s="97">
        <v>17</v>
      </c>
      <c r="BC192" s="97">
        <v>17</v>
      </c>
      <c r="BD192" s="97">
        <v>17</v>
      </c>
      <c r="BE192" s="97">
        <v>17</v>
      </c>
      <c r="BF192" s="97">
        <f>+Tabela1107[[#This Row],[PIS]]+Tabela1107[[#This Row],[COFINS]]+Tabela1107[[#This Row],[CONTRIB. FOLHA]]+Tabela1107[[#This Row],[TRIBUTOS S/ LUCRO]]+Tabela1107[[#This Row],[OUTROS]]+Tabela1107[[#This Row],[SP]]</f>
        <v>25.740000000000002</v>
      </c>
      <c r="BG192" s="97">
        <f>+Tabela1107[[#This Row],[PIS]]+Tabela1107[[#This Row],[COFINS]]+Tabela1107[[#This Row],[CONTRIB. FOLHA]]+Tabela1107[[#This Row],[TRIBUTOS S/ LUCRO]]+Tabela1107[[#This Row],[OUTROS]]+Tabela1107[[#This Row],[PR]]</f>
        <v>19.740000000000002</v>
      </c>
      <c r="BH192" s="97">
        <f>+Tabela1107[[#This Row],[PIS]]+Tabela1107[[#This Row],[COFINS]]+Tabela1107[[#This Row],[CONTRIB. FOLHA]]+Tabela1107[[#This Row],[TRIBUTOS S/ LUCRO]]+Tabela1107[[#This Row],[OUTROS]]+Tabela1107[[#This Row],[SC]]</f>
        <v>24.740000000000002</v>
      </c>
      <c r="BI192" s="97">
        <f>+Tabela1107[[#This Row],[PIS]]+Tabela1107[[#This Row],[COFINS]]+Tabela1107[[#This Row],[CONTRIB. FOLHA]]+Tabela1107[[#This Row],[TRIBUTOS S/ LUCRO]]+Tabela1107[[#This Row],[OUTROS]]+Tabela1107[[#This Row],[RS]]</f>
        <v>24.740000000000002</v>
      </c>
      <c r="BJ192" s="97">
        <f>+Tabela1107[[#This Row],[PIS]]+Tabela1107[[#This Row],[COFINS]]+Tabela1107[[#This Row],[CONTRIB. FOLHA]]+Tabela1107[[#This Row],[TRIBUTOS S/ LUCRO]]+Tabela1107[[#This Row],[OUTROS]]+Tabela1107[[#This Row],[RJ]]</f>
        <v>26.740000000000002</v>
      </c>
      <c r="BK192" s="97">
        <f>+Tabela1107[[#This Row],[PIS]]+Tabela1107[[#This Row],[COFINS]]+Tabela1107[[#This Row],[CONTRIB. FOLHA]]+Tabela1107[[#This Row],[TRIBUTOS S/ LUCRO]]+Tabela1107[[#This Row],[OUTROS]]+Tabela1107[[#This Row],[MG]]</f>
        <v>25.740000000000002</v>
      </c>
      <c r="BL192" s="97">
        <f>+Tabela1107[[#This Row],[PIS]]+Tabela1107[[#This Row],[COFINS]]+Tabela1107[[#This Row],[CONTRIB. FOLHA]]+Tabela1107[[#This Row],[TRIBUTOS S/ LUCRO]]+Tabela1107[[#This Row],[OUTROS]]+Tabela1107[[#This Row],[ES]]</f>
        <v>24.740000000000002</v>
      </c>
      <c r="BM192" s="97">
        <f>+Tabela1107[[#This Row],[PIS]]+Tabela1107[[#This Row],[COFINS]]+Tabela1107[[#This Row],[CONTRIB. FOLHA]]+Tabela1107[[#This Row],[TRIBUTOS S/ LUCRO]]+Tabela1107[[#This Row],[OUTROS]]+Tabela1107[[#This Row],[GO]]</f>
        <v>24.740000000000002</v>
      </c>
      <c r="BN192" s="97">
        <f>+Tabela1107[[#This Row],[PIS]]+Tabela1107[[#This Row],[COFINS]]+Tabela1107[[#This Row],[CONTRIB. FOLHA]]+Tabela1107[[#This Row],[TRIBUTOS S/ LUCRO]]+Tabela1107[[#This Row],[OUTROS]]+Tabela1107[[#This Row],[MT]]</f>
        <v>24.740000000000002</v>
      </c>
      <c r="BO192" s="97">
        <f>+Tabela1107[[#This Row],[PIS]]+Tabela1107[[#This Row],[COFINS]]+Tabela1107[[#This Row],[CONTRIB. FOLHA]]+Tabela1107[[#This Row],[TRIBUTOS S/ LUCRO]]+Tabela1107[[#This Row],[OUTROS]]+Tabela1107[[#This Row],[MS]]</f>
        <v>24.740000000000002</v>
      </c>
      <c r="BP192" s="97">
        <f>+Tabela1107[[#This Row],[PIS]]+Tabela1107[[#This Row],[COFINS]]+Tabela1107[[#This Row],[CONTRIB. FOLHA]]+Tabela1107[[#This Row],[TRIBUTOS S/ LUCRO]]+Tabela1107[[#This Row],[OUTROS]]+Tabela1107[[#This Row],[DF]]</f>
        <v>24.740000000000002</v>
      </c>
      <c r="BQ192" s="97">
        <f>+Tabela1107[[#This Row],[PIS]]+Tabela1107[[#This Row],[COFINS]]+Tabela1107[[#This Row],[CONTRIB. FOLHA]]+Tabela1107[[#This Row],[TRIBUTOS S/ LUCRO]]+Tabela1107[[#This Row],[OUTROS]]+Tabela1107[[#This Row],[BA]]</f>
        <v>24.740000000000002</v>
      </c>
      <c r="BR192" s="97">
        <f>+Tabela1107[[#This Row],[PIS]]+Tabela1107[[#This Row],[COFINS]]+Tabela1107[[#This Row],[CONTRIB. FOLHA]]+Tabela1107[[#This Row],[TRIBUTOS S/ LUCRO]]+Tabela1107[[#This Row],[OUTROS]]+Tabela1107[[#This Row],[BA]]</f>
        <v>24.740000000000002</v>
      </c>
      <c r="BS192" s="97">
        <f>+Tabela1107[[#This Row],[PIS]]+Tabela1107[[#This Row],[COFINS]]+Tabela1107[[#This Row],[CONTRIB. FOLHA]]+Tabela1107[[#This Row],[TRIBUTOS S/ LUCRO]]+Tabela1107[[#This Row],[OUTROS]]+Tabela1107[[#This Row],[PE]]</f>
        <v>24.740000000000002</v>
      </c>
      <c r="BT192" s="97">
        <f>+Tabela1107[[#This Row],[PIS]]+Tabela1107[[#This Row],[COFINS]]+Tabela1107[[#This Row],[CONTRIB. FOLHA]]+Tabela1107[[#This Row],[TRIBUTOS S/ LUCRO]]+Tabela1107[[#This Row],[OUTROS]]+Tabela1107[[#This Row],[PA]]</f>
        <v>24.740000000000002</v>
      </c>
      <c r="BU192" s="97">
        <f>+Tabela1107[[#This Row],[PIS]]+Tabela1107[[#This Row],[COFINS]]+Tabela1107[[#This Row],[CONTRIB. FOLHA]]+Tabela1107[[#This Row],[TRIBUTOS S/ LUCRO]]+Tabela1107[[#This Row],[OUTROS]]+Tabela1107[[#This Row],[AM]]</f>
        <v>24.740000000000002</v>
      </c>
      <c r="BV192" s="97">
        <f>AVERAGE(Tabela1107[[#This Row],[TOTAL SP]:[TOTAL AM]])</f>
        <v>24.677500000000006</v>
      </c>
      <c r="BW192" s="97"/>
      <c r="BX192" s="97"/>
    </row>
    <row r="193" spans="2:76" x14ac:dyDescent="0.25">
      <c r="B193" s="89">
        <v>5806</v>
      </c>
      <c r="C193" s="106" t="s">
        <v>13190</v>
      </c>
      <c r="D193" s="89"/>
      <c r="E193" s="89">
        <v>20140626</v>
      </c>
      <c r="F193" s="89" t="s">
        <v>20858</v>
      </c>
      <c r="G193" s="89" t="s">
        <v>20859</v>
      </c>
      <c r="H193" s="89" t="s">
        <v>20860</v>
      </c>
      <c r="I193" s="89" t="s">
        <v>20861</v>
      </c>
      <c r="J193" s="89" t="s">
        <v>373</v>
      </c>
      <c r="K193" s="99" t="s">
        <v>2521</v>
      </c>
      <c r="L193" s="89" t="s">
        <v>3179</v>
      </c>
      <c r="M193" s="89" t="s">
        <v>3180</v>
      </c>
      <c r="N193" s="89" t="s">
        <v>3181</v>
      </c>
      <c r="O193" s="89" t="s">
        <v>4496</v>
      </c>
      <c r="P193" s="89" t="s">
        <v>4496</v>
      </c>
      <c r="Q193" s="89"/>
      <c r="R193" s="89" t="s">
        <v>375</v>
      </c>
      <c r="S193" s="89" t="s">
        <v>21632</v>
      </c>
      <c r="T193" s="89" t="s">
        <v>21633</v>
      </c>
      <c r="U193" s="89" t="str">
        <f>TRIM('Carga Tributária doenças Po (2'!$L193)</f>
        <v>CANFORA</v>
      </c>
      <c r="V193" s="89">
        <f>SUMIFS('Tabela Federal'!$E$4:$E$2069,'Tabela Federal'!$D$4:$D$2069,'Carga Tributária doenças Po (2'!$L193)</f>
        <v>0</v>
      </c>
      <c r="W193" s="89">
        <f>SUMIFS('Tabela Federal'!$E$4:$E$2069,'Tabela Federal'!$D$4:$D$2069,'Carga Tributária doenças Po (2'!$M193)</f>
        <v>1</v>
      </c>
      <c r="X193" s="89">
        <f>SUMIFS('Tabela Federal'!$E$4:$E$2069,'Tabela Federal'!$D$4:$D$2069,'Carga Tributária doenças Po (2'!$N193)</f>
        <v>0</v>
      </c>
      <c r="Y193" s="89">
        <f>SUMIFS('Tabela Federal'!$E$4:$E$2069,'Tabela Federal'!$D$4:$D$2069,'Carga Tributária doenças Po (2'!$O193)</f>
        <v>0</v>
      </c>
      <c r="Z193" s="92" t="str">
        <f>VLOOKUP('Carga Tributária doenças Po (2'!$AD193,'Carga Tributária doenças Po (2'!$CA$12:$CC$16,2,0)</f>
        <v>-</v>
      </c>
      <c r="AA193" s="89" t="s">
        <v>374</v>
      </c>
      <c r="AB193" s="89" t="s">
        <v>21865</v>
      </c>
      <c r="AC193" s="89" t="s">
        <v>21740</v>
      </c>
      <c r="AD193" s="93" t="s">
        <v>19523</v>
      </c>
      <c r="AE193" s="92" t="s">
        <v>4</v>
      </c>
      <c r="AF193" s="92" t="s">
        <v>3</v>
      </c>
      <c r="AG193" s="94">
        <v>8813908</v>
      </c>
      <c r="AH193" s="95">
        <v>16214219</v>
      </c>
      <c r="AI193" s="95">
        <v>36992942.590000004</v>
      </c>
      <c r="AJ193" s="89" t="s">
        <v>383</v>
      </c>
      <c r="AK193" s="89">
        <f>IF('Carga Tributária doenças Po (2'!$Z193="+",0,SUMIFS(PISCOFINS!$I$3:$I$10518,PISCOFINS!$C$3:$C$10518,'Carga Tributária doenças Po (2'!$C193))</f>
        <v>1.65</v>
      </c>
      <c r="AL193" s="89">
        <f>IF('Carga Tributária doenças Po (2'!$Z193="+",0,SUMIFS(PISCOFINS!$H$3:$H$10518,PISCOFINS!$C$3:$C$10518,'Carga Tributária doenças Po (2'!$C193))</f>
        <v>7.6</v>
      </c>
      <c r="AM193" s="95">
        <v>3.27</v>
      </c>
      <c r="AN193" s="95">
        <v>3.12</v>
      </c>
      <c r="AO193" s="95">
        <v>1.35</v>
      </c>
      <c r="AP193" s="96">
        <v>18</v>
      </c>
      <c r="AQ193" s="96">
        <v>12</v>
      </c>
      <c r="AR193" s="96">
        <v>17</v>
      </c>
      <c r="AS193" s="97">
        <v>17</v>
      </c>
      <c r="AT193" s="97">
        <v>19</v>
      </c>
      <c r="AU193" s="97">
        <v>18</v>
      </c>
      <c r="AV193" s="97">
        <v>17</v>
      </c>
      <c r="AW193" s="97">
        <v>17</v>
      </c>
      <c r="AX193" s="97">
        <v>17</v>
      </c>
      <c r="AY193" s="97">
        <v>17</v>
      </c>
      <c r="AZ193" s="97">
        <v>17</v>
      </c>
      <c r="BA193" s="97">
        <v>17</v>
      </c>
      <c r="BB193" s="97">
        <v>17</v>
      </c>
      <c r="BC193" s="97">
        <v>17</v>
      </c>
      <c r="BD193" s="97">
        <v>17</v>
      </c>
      <c r="BE193" s="97">
        <v>17</v>
      </c>
      <c r="BF193" s="97">
        <f>+Tabela1107[[#This Row],[PIS]]+Tabela1107[[#This Row],[COFINS]]+Tabela1107[[#This Row],[CONTRIB. FOLHA]]+Tabela1107[[#This Row],[TRIBUTOS S/ LUCRO]]+Tabela1107[[#This Row],[OUTROS]]+Tabela1107[[#This Row],[SP]]</f>
        <v>34.99</v>
      </c>
      <c r="BG193" s="97">
        <f>+Tabela1107[[#This Row],[PIS]]+Tabela1107[[#This Row],[COFINS]]+Tabela1107[[#This Row],[CONTRIB. FOLHA]]+Tabela1107[[#This Row],[TRIBUTOS S/ LUCRO]]+Tabela1107[[#This Row],[OUTROS]]+Tabela1107[[#This Row],[PR]]</f>
        <v>28.990000000000002</v>
      </c>
      <c r="BH193" s="97">
        <f>+Tabela1107[[#This Row],[PIS]]+Tabela1107[[#This Row],[COFINS]]+Tabela1107[[#This Row],[CONTRIB. FOLHA]]+Tabela1107[[#This Row],[TRIBUTOS S/ LUCRO]]+Tabela1107[[#This Row],[OUTROS]]+Tabela1107[[#This Row],[SC]]</f>
        <v>33.99</v>
      </c>
      <c r="BI193" s="97">
        <f>+Tabela1107[[#This Row],[PIS]]+Tabela1107[[#This Row],[COFINS]]+Tabela1107[[#This Row],[CONTRIB. FOLHA]]+Tabela1107[[#This Row],[TRIBUTOS S/ LUCRO]]+Tabela1107[[#This Row],[OUTROS]]+Tabela1107[[#This Row],[RS]]</f>
        <v>33.99</v>
      </c>
      <c r="BJ193" s="97">
        <f>+Tabela1107[[#This Row],[PIS]]+Tabela1107[[#This Row],[COFINS]]+Tabela1107[[#This Row],[CONTRIB. FOLHA]]+Tabela1107[[#This Row],[TRIBUTOS S/ LUCRO]]+Tabela1107[[#This Row],[OUTROS]]+Tabela1107[[#This Row],[RJ]]</f>
        <v>35.99</v>
      </c>
      <c r="BK193" s="97">
        <f>+Tabela1107[[#This Row],[PIS]]+Tabela1107[[#This Row],[COFINS]]+Tabela1107[[#This Row],[CONTRIB. FOLHA]]+Tabela1107[[#This Row],[TRIBUTOS S/ LUCRO]]+Tabela1107[[#This Row],[OUTROS]]+Tabela1107[[#This Row],[MG]]</f>
        <v>34.99</v>
      </c>
      <c r="BL193" s="97">
        <f>+Tabela1107[[#This Row],[PIS]]+Tabela1107[[#This Row],[COFINS]]+Tabela1107[[#This Row],[CONTRIB. FOLHA]]+Tabela1107[[#This Row],[TRIBUTOS S/ LUCRO]]+Tabela1107[[#This Row],[OUTROS]]+Tabela1107[[#This Row],[ES]]</f>
        <v>33.99</v>
      </c>
      <c r="BM193" s="97">
        <f>+Tabela1107[[#This Row],[PIS]]+Tabela1107[[#This Row],[COFINS]]+Tabela1107[[#This Row],[CONTRIB. FOLHA]]+Tabela1107[[#This Row],[TRIBUTOS S/ LUCRO]]+Tabela1107[[#This Row],[OUTROS]]+Tabela1107[[#This Row],[GO]]</f>
        <v>33.99</v>
      </c>
      <c r="BN193" s="97">
        <f>+Tabela1107[[#This Row],[PIS]]+Tabela1107[[#This Row],[COFINS]]+Tabela1107[[#This Row],[CONTRIB. FOLHA]]+Tabela1107[[#This Row],[TRIBUTOS S/ LUCRO]]+Tabela1107[[#This Row],[OUTROS]]+Tabela1107[[#This Row],[MT]]</f>
        <v>33.99</v>
      </c>
      <c r="BO193" s="97">
        <f>+Tabela1107[[#This Row],[PIS]]+Tabela1107[[#This Row],[COFINS]]+Tabela1107[[#This Row],[CONTRIB. FOLHA]]+Tabela1107[[#This Row],[TRIBUTOS S/ LUCRO]]+Tabela1107[[#This Row],[OUTROS]]+Tabela1107[[#This Row],[MS]]</f>
        <v>33.99</v>
      </c>
      <c r="BP193" s="97">
        <f>+Tabela1107[[#This Row],[PIS]]+Tabela1107[[#This Row],[COFINS]]+Tabela1107[[#This Row],[CONTRIB. FOLHA]]+Tabela1107[[#This Row],[TRIBUTOS S/ LUCRO]]+Tabela1107[[#This Row],[OUTROS]]+Tabela1107[[#This Row],[DF]]</f>
        <v>33.99</v>
      </c>
      <c r="BQ193" s="97">
        <f>+Tabela1107[[#This Row],[PIS]]+Tabela1107[[#This Row],[COFINS]]+Tabela1107[[#This Row],[CONTRIB. FOLHA]]+Tabela1107[[#This Row],[TRIBUTOS S/ LUCRO]]+Tabela1107[[#This Row],[OUTROS]]+Tabela1107[[#This Row],[BA]]</f>
        <v>33.99</v>
      </c>
      <c r="BR193" s="97">
        <f>+Tabela1107[[#This Row],[PIS]]+Tabela1107[[#This Row],[COFINS]]+Tabela1107[[#This Row],[CONTRIB. FOLHA]]+Tabela1107[[#This Row],[TRIBUTOS S/ LUCRO]]+Tabela1107[[#This Row],[OUTROS]]+Tabela1107[[#This Row],[BA]]</f>
        <v>33.99</v>
      </c>
      <c r="BS193" s="97">
        <f>+Tabela1107[[#This Row],[PIS]]+Tabela1107[[#This Row],[COFINS]]+Tabela1107[[#This Row],[CONTRIB. FOLHA]]+Tabela1107[[#This Row],[TRIBUTOS S/ LUCRO]]+Tabela1107[[#This Row],[OUTROS]]+Tabela1107[[#This Row],[PE]]</f>
        <v>33.99</v>
      </c>
      <c r="BT193" s="97">
        <f>+Tabela1107[[#This Row],[PIS]]+Tabela1107[[#This Row],[COFINS]]+Tabela1107[[#This Row],[CONTRIB. FOLHA]]+Tabela1107[[#This Row],[TRIBUTOS S/ LUCRO]]+Tabela1107[[#This Row],[OUTROS]]+Tabela1107[[#This Row],[PA]]</f>
        <v>33.99</v>
      </c>
      <c r="BU193" s="97">
        <f>+Tabela1107[[#This Row],[PIS]]+Tabela1107[[#This Row],[COFINS]]+Tabela1107[[#This Row],[CONTRIB. FOLHA]]+Tabela1107[[#This Row],[TRIBUTOS S/ LUCRO]]+Tabela1107[[#This Row],[OUTROS]]+Tabela1107[[#This Row],[AM]]</f>
        <v>33.99</v>
      </c>
      <c r="BV193" s="97">
        <f>AVERAGE(Tabela1107[[#This Row],[TOTAL SP]:[TOTAL AM]])</f>
        <v>33.927500000000002</v>
      </c>
      <c r="BW193" s="97"/>
      <c r="BX193" s="97"/>
    </row>
    <row r="194" spans="2:76" x14ac:dyDescent="0.25">
      <c r="B194" s="89">
        <v>5806</v>
      </c>
      <c r="C194" s="106" t="s">
        <v>13190</v>
      </c>
      <c r="D194" s="89"/>
      <c r="E194" s="89">
        <v>20140626</v>
      </c>
      <c r="F194" s="89" t="s">
        <v>20858</v>
      </c>
      <c r="G194" s="89" t="s">
        <v>20859</v>
      </c>
      <c r="H194" s="89" t="s">
        <v>20860</v>
      </c>
      <c r="I194" s="89" t="s">
        <v>20861</v>
      </c>
      <c r="J194" s="89" t="s">
        <v>373</v>
      </c>
      <c r="K194" s="99" t="s">
        <v>2521</v>
      </c>
      <c r="L194" s="89" t="s">
        <v>3179</v>
      </c>
      <c r="M194" s="89" t="s">
        <v>3180</v>
      </c>
      <c r="N194" s="89" t="s">
        <v>3181</v>
      </c>
      <c r="O194" s="89" t="s">
        <v>4496</v>
      </c>
      <c r="P194" s="89" t="s">
        <v>4496</v>
      </c>
      <c r="Q194" s="89"/>
      <c r="R194" s="89" t="s">
        <v>375</v>
      </c>
      <c r="S194" s="89" t="s">
        <v>21632</v>
      </c>
      <c r="T194" s="89" t="s">
        <v>21633</v>
      </c>
      <c r="U194" s="89" t="str">
        <f>TRIM('Carga Tributária doenças Po (2'!$L194)</f>
        <v>CANFORA</v>
      </c>
      <c r="V194" s="89">
        <f>SUMIFS('Tabela Federal'!$E$4:$E$2069,'Tabela Federal'!$D$4:$D$2069,'Carga Tributária doenças Po (2'!$L194)</f>
        <v>0</v>
      </c>
      <c r="W194" s="89">
        <f>SUMIFS('Tabela Federal'!$E$4:$E$2069,'Tabela Federal'!$D$4:$D$2069,'Carga Tributária doenças Po (2'!$M194)</f>
        <v>1</v>
      </c>
      <c r="X194" s="89">
        <f>SUMIFS('Tabela Federal'!$E$4:$E$2069,'Tabela Federal'!$D$4:$D$2069,'Carga Tributária doenças Po (2'!$N194)</f>
        <v>0</v>
      </c>
      <c r="Y194" s="89">
        <f>SUMIFS('Tabela Federal'!$E$4:$E$2069,'Tabela Federal'!$D$4:$D$2069,'Carga Tributária doenças Po (2'!$O194)</f>
        <v>0</v>
      </c>
      <c r="Z194" s="92" t="str">
        <f>VLOOKUP('Carga Tributária doenças Po (2'!$AD194,'Carga Tributária doenças Po (2'!$CA$12:$CC$16,2,0)</f>
        <v>-</v>
      </c>
      <c r="AA194" s="89" t="s">
        <v>374</v>
      </c>
      <c r="AB194" s="89" t="s">
        <v>21865</v>
      </c>
      <c r="AC194" s="89" t="s">
        <v>21740</v>
      </c>
      <c r="AD194" s="93" t="s">
        <v>19523</v>
      </c>
      <c r="AE194" s="92" t="s">
        <v>4</v>
      </c>
      <c r="AF194" s="92" t="s">
        <v>3</v>
      </c>
      <c r="AG194" s="94">
        <v>8813908</v>
      </c>
      <c r="AH194" s="95">
        <v>16214219</v>
      </c>
      <c r="AI194" s="95">
        <v>36992942.590000004</v>
      </c>
      <c r="AJ194" s="89" t="s">
        <v>394</v>
      </c>
      <c r="AK194" s="89">
        <f>IF('Carga Tributária doenças Po (2'!$Z194="+",0,SUMIFS(PISCOFINS!$I$3:$I$10518,PISCOFINS!$C$3:$C$10518,'Carga Tributária doenças Po (2'!$C194))</f>
        <v>1.65</v>
      </c>
      <c r="AL194" s="89">
        <f>IF('Carga Tributária doenças Po (2'!$Z194="+",0,SUMIFS(PISCOFINS!$H$3:$H$10518,PISCOFINS!$C$3:$C$10518,'Carga Tributária doenças Po (2'!$C194))</f>
        <v>7.6</v>
      </c>
      <c r="AM194" s="95">
        <v>3.27</v>
      </c>
      <c r="AN194" s="95">
        <v>3.12</v>
      </c>
      <c r="AO194" s="95">
        <v>1.35</v>
      </c>
      <c r="AP194" s="96">
        <v>18</v>
      </c>
      <c r="AQ194" s="96">
        <v>12</v>
      </c>
      <c r="AR194" s="96">
        <v>17</v>
      </c>
      <c r="AS194" s="97">
        <v>17</v>
      </c>
      <c r="AT194" s="97">
        <v>19</v>
      </c>
      <c r="AU194" s="97">
        <v>18</v>
      </c>
      <c r="AV194" s="97">
        <v>17</v>
      </c>
      <c r="AW194" s="97">
        <v>17</v>
      </c>
      <c r="AX194" s="97">
        <v>17</v>
      </c>
      <c r="AY194" s="97">
        <v>17</v>
      </c>
      <c r="AZ194" s="97">
        <v>17</v>
      </c>
      <c r="BA194" s="97">
        <v>17</v>
      </c>
      <c r="BB194" s="97">
        <v>17</v>
      </c>
      <c r="BC194" s="97">
        <v>17</v>
      </c>
      <c r="BD194" s="97">
        <v>17</v>
      </c>
      <c r="BE194" s="97">
        <v>17</v>
      </c>
      <c r="BF194" s="97">
        <f>+Tabela1107[[#This Row],[PIS]]+Tabela1107[[#This Row],[COFINS]]+Tabela1107[[#This Row],[CONTRIB. FOLHA]]+Tabela1107[[#This Row],[TRIBUTOS S/ LUCRO]]+Tabela1107[[#This Row],[OUTROS]]+Tabela1107[[#This Row],[SP]]</f>
        <v>34.99</v>
      </c>
      <c r="BG194" s="97">
        <f>+Tabela1107[[#This Row],[PIS]]+Tabela1107[[#This Row],[COFINS]]+Tabela1107[[#This Row],[CONTRIB. FOLHA]]+Tabela1107[[#This Row],[TRIBUTOS S/ LUCRO]]+Tabela1107[[#This Row],[OUTROS]]+Tabela1107[[#This Row],[PR]]</f>
        <v>28.990000000000002</v>
      </c>
      <c r="BH194" s="97">
        <f>+Tabela1107[[#This Row],[PIS]]+Tabela1107[[#This Row],[COFINS]]+Tabela1107[[#This Row],[CONTRIB. FOLHA]]+Tabela1107[[#This Row],[TRIBUTOS S/ LUCRO]]+Tabela1107[[#This Row],[OUTROS]]+Tabela1107[[#This Row],[SC]]</f>
        <v>33.99</v>
      </c>
      <c r="BI194" s="97">
        <f>+Tabela1107[[#This Row],[PIS]]+Tabela1107[[#This Row],[COFINS]]+Tabela1107[[#This Row],[CONTRIB. FOLHA]]+Tabela1107[[#This Row],[TRIBUTOS S/ LUCRO]]+Tabela1107[[#This Row],[OUTROS]]+Tabela1107[[#This Row],[RS]]</f>
        <v>33.99</v>
      </c>
      <c r="BJ194" s="97">
        <f>+Tabela1107[[#This Row],[PIS]]+Tabela1107[[#This Row],[COFINS]]+Tabela1107[[#This Row],[CONTRIB. FOLHA]]+Tabela1107[[#This Row],[TRIBUTOS S/ LUCRO]]+Tabela1107[[#This Row],[OUTROS]]+Tabela1107[[#This Row],[RJ]]</f>
        <v>35.99</v>
      </c>
      <c r="BK194" s="97">
        <f>+Tabela1107[[#This Row],[PIS]]+Tabela1107[[#This Row],[COFINS]]+Tabela1107[[#This Row],[CONTRIB. FOLHA]]+Tabela1107[[#This Row],[TRIBUTOS S/ LUCRO]]+Tabela1107[[#This Row],[OUTROS]]+Tabela1107[[#This Row],[MG]]</f>
        <v>34.99</v>
      </c>
      <c r="BL194" s="97">
        <f>+Tabela1107[[#This Row],[PIS]]+Tabela1107[[#This Row],[COFINS]]+Tabela1107[[#This Row],[CONTRIB. FOLHA]]+Tabela1107[[#This Row],[TRIBUTOS S/ LUCRO]]+Tabela1107[[#This Row],[OUTROS]]+Tabela1107[[#This Row],[ES]]</f>
        <v>33.99</v>
      </c>
      <c r="BM194" s="97">
        <f>+Tabela1107[[#This Row],[PIS]]+Tabela1107[[#This Row],[COFINS]]+Tabela1107[[#This Row],[CONTRIB. FOLHA]]+Tabela1107[[#This Row],[TRIBUTOS S/ LUCRO]]+Tabela1107[[#This Row],[OUTROS]]+Tabela1107[[#This Row],[GO]]</f>
        <v>33.99</v>
      </c>
      <c r="BN194" s="97">
        <f>+Tabela1107[[#This Row],[PIS]]+Tabela1107[[#This Row],[COFINS]]+Tabela1107[[#This Row],[CONTRIB. FOLHA]]+Tabela1107[[#This Row],[TRIBUTOS S/ LUCRO]]+Tabela1107[[#This Row],[OUTROS]]+Tabela1107[[#This Row],[MT]]</f>
        <v>33.99</v>
      </c>
      <c r="BO194" s="97">
        <f>+Tabela1107[[#This Row],[PIS]]+Tabela1107[[#This Row],[COFINS]]+Tabela1107[[#This Row],[CONTRIB. FOLHA]]+Tabela1107[[#This Row],[TRIBUTOS S/ LUCRO]]+Tabela1107[[#This Row],[OUTROS]]+Tabela1107[[#This Row],[MS]]</f>
        <v>33.99</v>
      </c>
      <c r="BP194" s="97">
        <f>+Tabela1107[[#This Row],[PIS]]+Tabela1107[[#This Row],[COFINS]]+Tabela1107[[#This Row],[CONTRIB. FOLHA]]+Tabela1107[[#This Row],[TRIBUTOS S/ LUCRO]]+Tabela1107[[#This Row],[OUTROS]]+Tabela1107[[#This Row],[DF]]</f>
        <v>33.99</v>
      </c>
      <c r="BQ194" s="97">
        <f>+Tabela1107[[#This Row],[PIS]]+Tabela1107[[#This Row],[COFINS]]+Tabela1107[[#This Row],[CONTRIB. FOLHA]]+Tabela1107[[#This Row],[TRIBUTOS S/ LUCRO]]+Tabela1107[[#This Row],[OUTROS]]+Tabela1107[[#This Row],[BA]]</f>
        <v>33.99</v>
      </c>
      <c r="BR194" s="97">
        <f>+Tabela1107[[#This Row],[PIS]]+Tabela1107[[#This Row],[COFINS]]+Tabela1107[[#This Row],[CONTRIB. FOLHA]]+Tabela1107[[#This Row],[TRIBUTOS S/ LUCRO]]+Tabela1107[[#This Row],[OUTROS]]+Tabela1107[[#This Row],[BA]]</f>
        <v>33.99</v>
      </c>
      <c r="BS194" s="97">
        <f>+Tabela1107[[#This Row],[PIS]]+Tabela1107[[#This Row],[COFINS]]+Tabela1107[[#This Row],[CONTRIB. FOLHA]]+Tabela1107[[#This Row],[TRIBUTOS S/ LUCRO]]+Tabela1107[[#This Row],[OUTROS]]+Tabela1107[[#This Row],[PE]]</f>
        <v>33.99</v>
      </c>
      <c r="BT194" s="97">
        <f>+Tabela1107[[#This Row],[PIS]]+Tabela1107[[#This Row],[COFINS]]+Tabela1107[[#This Row],[CONTRIB. FOLHA]]+Tabela1107[[#This Row],[TRIBUTOS S/ LUCRO]]+Tabela1107[[#This Row],[OUTROS]]+Tabela1107[[#This Row],[PA]]</f>
        <v>33.99</v>
      </c>
      <c r="BU194" s="97">
        <f>+Tabela1107[[#This Row],[PIS]]+Tabela1107[[#This Row],[COFINS]]+Tabela1107[[#This Row],[CONTRIB. FOLHA]]+Tabela1107[[#This Row],[TRIBUTOS S/ LUCRO]]+Tabela1107[[#This Row],[OUTROS]]+Tabela1107[[#This Row],[AM]]</f>
        <v>33.99</v>
      </c>
      <c r="BV194" s="97">
        <f>AVERAGE(Tabela1107[[#This Row],[TOTAL SP]:[TOTAL AM]])</f>
        <v>33.927500000000002</v>
      </c>
      <c r="BW194" s="97"/>
      <c r="BX194" s="97"/>
    </row>
    <row r="195" spans="2:76" x14ac:dyDescent="0.25">
      <c r="B195" s="89">
        <v>5807</v>
      </c>
      <c r="C195" s="91" t="s">
        <v>13185</v>
      </c>
      <c r="D195" s="89"/>
      <c r="E195" s="89">
        <v>20140626</v>
      </c>
      <c r="F195" s="89" t="s">
        <v>20862</v>
      </c>
      <c r="G195" s="89" t="s">
        <v>20863</v>
      </c>
      <c r="H195" s="89" t="s">
        <v>20864</v>
      </c>
      <c r="I195" s="89" t="s">
        <v>20861</v>
      </c>
      <c r="J195" s="89" t="s">
        <v>376</v>
      </c>
      <c r="K195" s="99" t="s">
        <v>2521</v>
      </c>
      <c r="L195" s="89" t="s">
        <v>3179</v>
      </c>
      <c r="M195" s="89" t="s">
        <v>3180</v>
      </c>
      <c r="N195" s="89" t="s">
        <v>3181</v>
      </c>
      <c r="O195" s="89" t="s">
        <v>4496</v>
      </c>
      <c r="P195" s="89" t="s">
        <v>4496</v>
      </c>
      <c r="Q195" s="89"/>
      <c r="R195" s="89" t="s">
        <v>375</v>
      </c>
      <c r="S195" s="89" t="s">
        <v>21632</v>
      </c>
      <c r="T195" s="89" t="s">
        <v>21633</v>
      </c>
      <c r="U195" s="89" t="str">
        <f>TRIM('Carga Tributária doenças Po (2'!$L195)</f>
        <v>CANFORA</v>
      </c>
      <c r="V195" s="89">
        <f>SUMIFS('Tabela Federal'!$E$4:$E$2069,'Tabela Federal'!$D$4:$D$2069,'Carga Tributária doenças Po (2'!$L195)</f>
        <v>0</v>
      </c>
      <c r="W195" s="89">
        <f>SUMIFS('Tabela Federal'!$E$4:$E$2069,'Tabela Federal'!$D$4:$D$2069,'Carga Tributária doenças Po (2'!$M195)</f>
        <v>1</v>
      </c>
      <c r="X195" s="89">
        <f>SUMIFS('Tabela Federal'!$E$4:$E$2069,'Tabela Federal'!$D$4:$D$2069,'Carga Tributária doenças Po (2'!$N195)</f>
        <v>0</v>
      </c>
      <c r="Y195" s="89">
        <f>SUMIFS('Tabela Federal'!$E$4:$E$2069,'Tabela Federal'!$D$4:$D$2069,'Carga Tributária doenças Po (2'!$O195)</f>
        <v>0</v>
      </c>
      <c r="Z195" s="92" t="str">
        <f>VLOOKUP('Carga Tributária doenças Po (2'!$AD195,'Carga Tributária doenças Po (2'!$CA$12:$CC$16,2,0)</f>
        <v>-</v>
      </c>
      <c r="AA195" s="89" t="s">
        <v>374</v>
      </c>
      <c r="AB195" s="89" t="s">
        <v>21865</v>
      </c>
      <c r="AC195" s="89" t="s">
        <v>21740</v>
      </c>
      <c r="AD195" s="93" t="s">
        <v>19523</v>
      </c>
      <c r="AE195" s="92" t="s">
        <v>4</v>
      </c>
      <c r="AF195" s="92" t="s">
        <v>3</v>
      </c>
      <c r="AG195" s="94">
        <v>8805469</v>
      </c>
      <c r="AH195" s="95">
        <v>8073972</v>
      </c>
      <c r="AI195" s="95">
        <v>18433973.879999999</v>
      </c>
      <c r="AJ195" s="89" t="s">
        <v>383</v>
      </c>
      <c r="AK195" s="89">
        <f>IF('Carga Tributária doenças Po (2'!$Z195="+",0,SUMIFS(PISCOFINS!$I$3:$I$10518,PISCOFINS!$C$3:$C$10518,'Carga Tributária doenças Po (2'!$C195))</f>
        <v>2.1</v>
      </c>
      <c r="AL195" s="89">
        <f>IF('Carga Tributária doenças Po (2'!$Z195="+",0,SUMIFS(PISCOFINS!$H$3:$H$10518,PISCOFINS!$C$3:$C$10518,'Carga Tributária doenças Po (2'!$C195))</f>
        <v>9.9</v>
      </c>
      <c r="AM195" s="95">
        <v>3.27</v>
      </c>
      <c r="AN195" s="95">
        <v>3.12</v>
      </c>
      <c r="AO195" s="95">
        <v>1.35</v>
      </c>
      <c r="AP195" s="96">
        <v>18</v>
      </c>
      <c r="AQ195" s="96">
        <v>12</v>
      </c>
      <c r="AR195" s="96">
        <v>17</v>
      </c>
      <c r="AS195" s="97">
        <v>17</v>
      </c>
      <c r="AT195" s="97">
        <v>19</v>
      </c>
      <c r="AU195" s="97">
        <v>18</v>
      </c>
      <c r="AV195" s="97">
        <v>17</v>
      </c>
      <c r="AW195" s="97">
        <v>17</v>
      </c>
      <c r="AX195" s="97">
        <v>17</v>
      </c>
      <c r="AY195" s="97">
        <v>17</v>
      </c>
      <c r="AZ195" s="97">
        <v>17</v>
      </c>
      <c r="BA195" s="97">
        <v>17</v>
      </c>
      <c r="BB195" s="97">
        <v>17</v>
      </c>
      <c r="BC195" s="97">
        <v>17</v>
      </c>
      <c r="BD195" s="97">
        <v>17</v>
      </c>
      <c r="BE195" s="97">
        <v>17</v>
      </c>
      <c r="BF195" s="97">
        <f>+Tabela1107[[#This Row],[PIS]]+Tabela1107[[#This Row],[COFINS]]+Tabela1107[[#This Row],[CONTRIB. FOLHA]]+Tabela1107[[#This Row],[TRIBUTOS S/ LUCRO]]+Tabela1107[[#This Row],[OUTROS]]+Tabela1107[[#This Row],[SP]]</f>
        <v>37.74</v>
      </c>
      <c r="BG195" s="97">
        <f>+Tabela1107[[#This Row],[PIS]]+Tabela1107[[#This Row],[COFINS]]+Tabela1107[[#This Row],[CONTRIB. FOLHA]]+Tabela1107[[#This Row],[TRIBUTOS S/ LUCRO]]+Tabela1107[[#This Row],[OUTROS]]+Tabela1107[[#This Row],[PR]]</f>
        <v>31.740000000000002</v>
      </c>
      <c r="BH195" s="97">
        <f>+Tabela1107[[#This Row],[PIS]]+Tabela1107[[#This Row],[COFINS]]+Tabela1107[[#This Row],[CONTRIB. FOLHA]]+Tabela1107[[#This Row],[TRIBUTOS S/ LUCRO]]+Tabela1107[[#This Row],[OUTROS]]+Tabela1107[[#This Row],[SC]]</f>
        <v>36.74</v>
      </c>
      <c r="BI195" s="97">
        <f>+Tabela1107[[#This Row],[PIS]]+Tabela1107[[#This Row],[COFINS]]+Tabela1107[[#This Row],[CONTRIB. FOLHA]]+Tabela1107[[#This Row],[TRIBUTOS S/ LUCRO]]+Tabela1107[[#This Row],[OUTROS]]+Tabela1107[[#This Row],[RS]]</f>
        <v>36.74</v>
      </c>
      <c r="BJ195" s="97">
        <f>+Tabela1107[[#This Row],[PIS]]+Tabela1107[[#This Row],[COFINS]]+Tabela1107[[#This Row],[CONTRIB. FOLHA]]+Tabela1107[[#This Row],[TRIBUTOS S/ LUCRO]]+Tabela1107[[#This Row],[OUTROS]]+Tabela1107[[#This Row],[RJ]]</f>
        <v>38.74</v>
      </c>
      <c r="BK195" s="97">
        <f>+Tabela1107[[#This Row],[PIS]]+Tabela1107[[#This Row],[COFINS]]+Tabela1107[[#This Row],[CONTRIB. FOLHA]]+Tabela1107[[#This Row],[TRIBUTOS S/ LUCRO]]+Tabela1107[[#This Row],[OUTROS]]+Tabela1107[[#This Row],[MG]]</f>
        <v>37.74</v>
      </c>
      <c r="BL195" s="97">
        <f>+Tabela1107[[#This Row],[PIS]]+Tabela1107[[#This Row],[COFINS]]+Tabela1107[[#This Row],[CONTRIB. FOLHA]]+Tabela1107[[#This Row],[TRIBUTOS S/ LUCRO]]+Tabela1107[[#This Row],[OUTROS]]+Tabela1107[[#This Row],[ES]]</f>
        <v>36.74</v>
      </c>
      <c r="BM195" s="97">
        <f>+Tabela1107[[#This Row],[PIS]]+Tabela1107[[#This Row],[COFINS]]+Tabela1107[[#This Row],[CONTRIB. FOLHA]]+Tabela1107[[#This Row],[TRIBUTOS S/ LUCRO]]+Tabela1107[[#This Row],[OUTROS]]+Tabela1107[[#This Row],[GO]]</f>
        <v>36.74</v>
      </c>
      <c r="BN195" s="97">
        <f>+Tabela1107[[#This Row],[PIS]]+Tabela1107[[#This Row],[COFINS]]+Tabela1107[[#This Row],[CONTRIB. FOLHA]]+Tabela1107[[#This Row],[TRIBUTOS S/ LUCRO]]+Tabela1107[[#This Row],[OUTROS]]+Tabela1107[[#This Row],[MT]]</f>
        <v>36.74</v>
      </c>
      <c r="BO195" s="97">
        <f>+Tabela1107[[#This Row],[PIS]]+Tabela1107[[#This Row],[COFINS]]+Tabela1107[[#This Row],[CONTRIB. FOLHA]]+Tabela1107[[#This Row],[TRIBUTOS S/ LUCRO]]+Tabela1107[[#This Row],[OUTROS]]+Tabela1107[[#This Row],[MS]]</f>
        <v>36.74</v>
      </c>
      <c r="BP195" s="97">
        <f>+Tabela1107[[#This Row],[PIS]]+Tabela1107[[#This Row],[COFINS]]+Tabela1107[[#This Row],[CONTRIB. FOLHA]]+Tabela1107[[#This Row],[TRIBUTOS S/ LUCRO]]+Tabela1107[[#This Row],[OUTROS]]+Tabela1107[[#This Row],[DF]]</f>
        <v>36.74</v>
      </c>
      <c r="BQ195" s="97">
        <f>+Tabela1107[[#This Row],[PIS]]+Tabela1107[[#This Row],[COFINS]]+Tabela1107[[#This Row],[CONTRIB. FOLHA]]+Tabela1107[[#This Row],[TRIBUTOS S/ LUCRO]]+Tabela1107[[#This Row],[OUTROS]]+Tabela1107[[#This Row],[BA]]</f>
        <v>36.74</v>
      </c>
      <c r="BR195" s="97">
        <f>+Tabela1107[[#This Row],[PIS]]+Tabela1107[[#This Row],[COFINS]]+Tabela1107[[#This Row],[CONTRIB. FOLHA]]+Tabela1107[[#This Row],[TRIBUTOS S/ LUCRO]]+Tabela1107[[#This Row],[OUTROS]]+Tabela1107[[#This Row],[BA]]</f>
        <v>36.74</v>
      </c>
      <c r="BS195" s="97">
        <f>+Tabela1107[[#This Row],[PIS]]+Tabela1107[[#This Row],[COFINS]]+Tabela1107[[#This Row],[CONTRIB. FOLHA]]+Tabela1107[[#This Row],[TRIBUTOS S/ LUCRO]]+Tabela1107[[#This Row],[OUTROS]]+Tabela1107[[#This Row],[PE]]</f>
        <v>36.74</v>
      </c>
      <c r="BT195" s="97">
        <f>+Tabela1107[[#This Row],[PIS]]+Tabela1107[[#This Row],[COFINS]]+Tabela1107[[#This Row],[CONTRIB. FOLHA]]+Tabela1107[[#This Row],[TRIBUTOS S/ LUCRO]]+Tabela1107[[#This Row],[OUTROS]]+Tabela1107[[#This Row],[PA]]</f>
        <v>36.74</v>
      </c>
      <c r="BU195" s="97">
        <f>+Tabela1107[[#This Row],[PIS]]+Tabela1107[[#This Row],[COFINS]]+Tabela1107[[#This Row],[CONTRIB. FOLHA]]+Tabela1107[[#This Row],[TRIBUTOS S/ LUCRO]]+Tabela1107[[#This Row],[OUTROS]]+Tabela1107[[#This Row],[AM]]</f>
        <v>36.74</v>
      </c>
      <c r="BV195" s="97">
        <f>AVERAGE(Tabela1107[[#This Row],[TOTAL SP]:[TOTAL AM]])</f>
        <v>36.677500000000002</v>
      </c>
      <c r="BW195" s="97"/>
      <c r="BX195" s="97"/>
    </row>
    <row r="196" spans="2:76" x14ac:dyDescent="0.25">
      <c r="B196" s="89">
        <v>10494</v>
      </c>
      <c r="C196" s="91" t="s">
        <v>13183</v>
      </c>
      <c r="D196" s="89"/>
      <c r="E196" s="89">
        <v>20140626</v>
      </c>
      <c r="F196" s="89" t="s">
        <v>20651</v>
      </c>
      <c r="G196" s="89" t="s">
        <v>20652</v>
      </c>
      <c r="H196" s="89" t="s">
        <v>20653</v>
      </c>
      <c r="I196" s="89" t="s">
        <v>20654</v>
      </c>
      <c r="J196" s="89" t="s">
        <v>291</v>
      </c>
      <c r="K196" s="89"/>
      <c r="L196" s="89" t="s">
        <v>4496</v>
      </c>
      <c r="M196" s="89" t="s">
        <v>4496</v>
      </c>
      <c r="N196" s="89" t="s">
        <v>4496</v>
      </c>
      <c r="O196" s="89" t="s">
        <v>4496</v>
      </c>
      <c r="P196" s="89" t="s">
        <v>4496</v>
      </c>
      <c r="Q196" s="89"/>
      <c r="R196" s="89" t="s">
        <v>29</v>
      </c>
      <c r="S196" s="89" t="s">
        <v>21616</v>
      </c>
      <c r="T196" s="89" t="s">
        <v>21617</v>
      </c>
      <c r="U196" s="89" t="str">
        <f>TRIM('Carga Tributária doenças Po (2'!$L196)</f>
        <v/>
      </c>
      <c r="V196" s="89">
        <f>SUMIFS('Tabela Federal'!$E$4:$E$2069,'Tabela Federal'!$D$4:$D$2069,'Carga Tributária doenças Po (2'!$L196)</f>
        <v>0</v>
      </c>
      <c r="W196" s="89">
        <f>SUMIFS('Tabela Federal'!$E$4:$E$2069,'Tabela Federal'!$D$4:$D$2069,'Carga Tributária doenças Po (2'!$M196)</f>
        <v>0</v>
      </c>
      <c r="X196" s="89">
        <f>SUMIFS('Tabela Federal'!$E$4:$E$2069,'Tabela Federal'!$D$4:$D$2069,'Carga Tributária doenças Po (2'!$N196)</f>
        <v>0</v>
      </c>
      <c r="Y196" s="89">
        <f>SUMIFS('Tabela Federal'!$E$4:$E$2069,'Tabela Federal'!$D$4:$D$2069,'Carga Tributária doenças Po (2'!$O196)</f>
        <v>0</v>
      </c>
      <c r="Z196" s="92" t="str">
        <f>VLOOKUP('Carga Tributária doenças Po (2'!$AD196,'Carga Tributária doenças Po (2'!$CA$12:$CC$16,2,0)</f>
        <v>-</v>
      </c>
      <c r="AA196" s="89" t="s">
        <v>288</v>
      </c>
      <c r="AB196" s="89" t="s">
        <v>21726</v>
      </c>
      <c r="AC196" s="89" t="s">
        <v>21721</v>
      </c>
      <c r="AD196" s="93" t="s">
        <v>19523</v>
      </c>
      <c r="AE196" s="92" t="s">
        <v>4</v>
      </c>
      <c r="AF196" s="92" t="s">
        <v>3</v>
      </c>
      <c r="AG196" s="94">
        <v>1805127</v>
      </c>
      <c r="AH196" s="95">
        <v>9454570</v>
      </c>
      <c r="AI196" s="95">
        <v>21455324.280000001</v>
      </c>
      <c r="AJ196" s="89" t="s">
        <v>286</v>
      </c>
      <c r="AK196" s="89">
        <f>IF('Carga Tributária doenças Po (2'!$Z196="+",0,SUMIFS(PISCOFINS!$I$3:$I$10518,PISCOFINS!$C$3:$C$10518,'Carga Tributária doenças Po (2'!$C196))</f>
        <v>2.1</v>
      </c>
      <c r="AL196" s="89">
        <f>IF('Carga Tributária doenças Po (2'!$Z196="+",0,SUMIFS(PISCOFINS!$H$3:$H$10518,PISCOFINS!$C$3:$C$10518,'Carga Tributária doenças Po (2'!$C196))</f>
        <v>9.9</v>
      </c>
      <c r="AM196" s="95">
        <v>3.27</v>
      </c>
      <c r="AN196" s="95">
        <v>3.12</v>
      </c>
      <c r="AO196" s="95">
        <v>1.35</v>
      </c>
      <c r="AP196" s="96">
        <v>18</v>
      </c>
      <c r="AQ196" s="96">
        <v>12</v>
      </c>
      <c r="AR196" s="96">
        <v>17</v>
      </c>
      <c r="AS196" s="97">
        <v>17</v>
      </c>
      <c r="AT196" s="97">
        <v>19</v>
      </c>
      <c r="AU196" s="97">
        <v>18</v>
      </c>
      <c r="AV196" s="97">
        <v>17</v>
      </c>
      <c r="AW196" s="97">
        <v>17</v>
      </c>
      <c r="AX196" s="97">
        <v>17</v>
      </c>
      <c r="AY196" s="97">
        <v>17</v>
      </c>
      <c r="AZ196" s="97">
        <v>17</v>
      </c>
      <c r="BA196" s="97">
        <v>17</v>
      </c>
      <c r="BB196" s="97">
        <v>17</v>
      </c>
      <c r="BC196" s="97">
        <v>17</v>
      </c>
      <c r="BD196" s="97">
        <v>17</v>
      </c>
      <c r="BE196" s="97">
        <v>17</v>
      </c>
      <c r="BF196" s="97">
        <f>+Tabela1107[[#This Row],[PIS]]+Tabela1107[[#This Row],[COFINS]]+Tabela1107[[#This Row],[CONTRIB. FOLHA]]+Tabela1107[[#This Row],[TRIBUTOS S/ LUCRO]]+Tabela1107[[#This Row],[OUTROS]]+Tabela1107[[#This Row],[SP]]</f>
        <v>37.74</v>
      </c>
      <c r="BG196" s="97">
        <f>+Tabela1107[[#This Row],[PIS]]+Tabela1107[[#This Row],[COFINS]]+Tabela1107[[#This Row],[CONTRIB. FOLHA]]+Tabela1107[[#This Row],[TRIBUTOS S/ LUCRO]]+Tabela1107[[#This Row],[OUTROS]]+Tabela1107[[#This Row],[PR]]</f>
        <v>31.740000000000002</v>
      </c>
      <c r="BH196" s="97">
        <f>+Tabela1107[[#This Row],[PIS]]+Tabela1107[[#This Row],[COFINS]]+Tabela1107[[#This Row],[CONTRIB. FOLHA]]+Tabela1107[[#This Row],[TRIBUTOS S/ LUCRO]]+Tabela1107[[#This Row],[OUTROS]]+Tabela1107[[#This Row],[SC]]</f>
        <v>36.74</v>
      </c>
      <c r="BI196" s="97">
        <f>+Tabela1107[[#This Row],[PIS]]+Tabela1107[[#This Row],[COFINS]]+Tabela1107[[#This Row],[CONTRIB. FOLHA]]+Tabela1107[[#This Row],[TRIBUTOS S/ LUCRO]]+Tabela1107[[#This Row],[OUTROS]]+Tabela1107[[#This Row],[RS]]</f>
        <v>36.74</v>
      </c>
      <c r="BJ196" s="97">
        <f>+Tabela1107[[#This Row],[PIS]]+Tabela1107[[#This Row],[COFINS]]+Tabela1107[[#This Row],[CONTRIB. FOLHA]]+Tabela1107[[#This Row],[TRIBUTOS S/ LUCRO]]+Tabela1107[[#This Row],[OUTROS]]+Tabela1107[[#This Row],[RJ]]</f>
        <v>38.74</v>
      </c>
      <c r="BK196" s="97">
        <f>+Tabela1107[[#This Row],[PIS]]+Tabela1107[[#This Row],[COFINS]]+Tabela1107[[#This Row],[CONTRIB. FOLHA]]+Tabela1107[[#This Row],[TRIBUTOS S/ LUCRO]]+Tabela1107[[#This Row],[OUTROS]]+Tabela1107[[#This Row],[MG]]</f>
        <v>37.74</v>
      </c>
      <c r="BL196" s="97">
        <f>+Tabela1107[[#This Row],[PIS]]+Tabela1107[[#This Row],[COFINS]]+Tabela1107[[#This Row],[CONTRIB. FOLHA]]+Tabela1107[[#This Row],[TRIBUTOS S/ LUCRO]]+Tabela1107[[#This Row],[OUTROS]]+Tabela1107[[#This Row],[ES]]</f>
        <v>36.74</v>
      </c>
      <c r="BM196" s="97">
        <f>+Tabela1107[[#This Row],[PIS]]+Tabela1107[[#This Row],[COFINS]]+Tabela1107[[#This Row],[CONTRIB. FOLHA]]+Tabela1107[[#This Row],[TRIBUTOS S/ LUCRO]]+Tabela1107[[#This Row],[OUTROS]]+Tabela1107[[#This Row],[GO]]</f>
        <v>36.74</v>
      </c>
      <c r="BN196" s="97">
        <f>+Tabela1107[[#This Row],[PIS]]+Tabela1107[[#This Row],[COFINS]]+Tabela1107[[#This Row],[CONTRIB. FOLHA]]+Tabela1107[[#This Row],[TRIBUTOS S/ LUCRO]]+Tabela1107[[#This Row],[OUTROS]]+Tabela1107[[#This Row],[MT]]</f>
        <v>36.74</v>
      </c>
      <c r="BO196" s="97">
        <f>+Tabela1107[[#This Row],[PIS]]+Tabela1107[[#This Row],[COFINS]]+Tabela1107[[#This Row],[CONTRIB. FOLHA]]+Tabela1107[[#This Row],[TRIBUTOS S/ LUCRO]]+Tabela1107[[#This Row],[OUTROS]]+Tabela1107[[#This Row],[MS]]</f>
        <v>36.74</v>
      </c>
      <c r="BP196" s="97">
        <f>+Tabela1107[[#This Row],[PIS]]+Tabela1107[[#This Row],[COFINS]]+Tabela1107[[#This Row],[CONTRIB. FOLHA]]+Tabela1107[[#This Row],[TRIBUTOS S/ LUCRO]]+Tabela1107[[#This Row],[OUTROS]]+Tabela1107[[#This Row],[DF]]</f>
        <v>36.74</v>
      </c>
      <c r="BQ196" s="97">
        <f>+Tabela1107[[#This Row],[PIS]]+Tabela1107[[#This Row],[COFINS]]+Tabela1107[[#This Row],[CONTRIB. FOLHA]]+Tabela1107[[#This Row],[TRIBUTOS S/ LUCRO]]+Tabela1107[[#This Row],[OUTROS]]+Tabela1107[[#This Row],[BA]]</f>
        <v>36.74</v>
      </c>
      <c r="BR196" s="97">
        <f>+Tabela1107[[#This Row],[PIS]]+Tabela1107[[#This Row],[COFINS]]+Tabela1107[[#This Row],[CONTRIB. FOLHA]]+Tabela1107[[#This Row],[TRIBUTOS S/ LUCRO]]+Tabela1107[[#This Row],[OUTROS]]+Tabela1107[[#This Row],[BA]]</f>
        <v>36.74</v>
      </c>
      <c r="BS196" s="97">
        <f>+Tabela1107[[#This Row],[PIS]]+Tabela1107[[#This Row],[COFINS]]+Tabela1107[[#This Row],[CONTRIB. FOLHA]]+Tabela1107[[#This Row],[TRIBUTOS S/ LUCRO]]+Tabela1107[[#This Row],[OUTROS]]+Tabela1107[[#This Row],[PE]]</f>
        <v>36.74</v>
      </c>
      <c r="BT196" s="97">
        <f>+Tabela1107[[#This Row],[PIS]]+Tabela1107[[#This Row],[COFINS]]+Tabela1107[[#This Row],[CONTRIB. FOLHA]]+Tabela1107[[#This Row],[TRIBUTOS S/ LUCRO]]+Tabela1107[[#This Row],[OUTROS]]+Tabela1107[[#This Row],[PA]]</f>
        <v>36.74</v>
      </c>
      <c r="BU196" s="97">
        <f>+Tabela1107[[#This Row],[PIS]]+Tabela1107[[#This Row],[COFINS]]+Tabela1107[[#This Row],[CONTRIB. FOLHA]]+Tabela1107[[#This Row],[TRIBUTOS S/ LUCRO]]+Tabela1107[[#This Row],[OUTROS]]+Tabela1107[[#This Row],[AM]]</f>
        <v>36.74</v>
      </c>
      <c r="BV196" s="97">
        <f>AVERAGE(Tabela1107[[#This Row],[TOTAL SP]:[TOTAL AM]])</f>
        <v>36.677500000000002</v>
      </c>
      <c r="BW196" s="97"/>
      <c r="BX196" s="97"/>
    </row>
    <row r="197" spans="2:76" x14ac:dyDescent="0.25">
      <c r="B197" s="89">
        <v>5194</v>
      </c>
      <c r="C197" s="91" t="s">
        <v>13113</v>
      </c>
      <c r="D197" s="89"/>
      <c r="E197" s="89">
        <v>20140626</v>
      </c>
      <c r="F197" s="89" t="s">
        <v>20548</v>
      </c>
      <c r="G197" s="89" t="s">
        <v>20549</v>
      </c>
      <c r="H197" s="89" t="s">
        <v>20550</v>
      </c>
      <c r="I197" s="89" t="s">
        <v>20551</v>
      </c>
      <c r="J197" s="89" t="s">
        <v>330</v>
      </c>
      <c r="K197" s="89"/>
      <c r="L197" s="89" t="s">
        <v>4481</v>
      </c>
      <c r="M197" s="89" t="s">
        <v>2655</v>
      </c>
      <c r="N197" s="89" t="s">
        <v>3172</v>
      </c>
      <c r="O197" s="89" t="s">
        <v>4496</v>
      </c>
      <c r="P197" s="89" t="s">
        <v>4496</v>
      </c>
      <c r="Q197" s="89"/>
      <c r="R197" s="89" t="s">
        <v>331</v>
      </c>
      <c r="S197" s="89" t="s">
        <v>21602</v>
      </c>
      <c r="T197" s="89" t="s">
        <v>21603</v>
      </c>
      <c r="U197" s="89" t="str">
        <f>TRIM('Carga Tributária doenças Po (2'!$L197)</f>
        <v>MDIDROERGOTAMINA</v>
      </c>
      <c r="V197" s="89">
        <f>SUMIFS('Tabela Federal'!$E$4:$E$2069,'Tabela Federal'!$D$4:$D$2069,'Carga Tributária doenças Po (2'!$L197)</f>
        <v>0</v>
      </c>
      <c r="W197" s="89">
        <f>SUMIFS('Tabela Federal'!$E$4:$E$2069,'Tabela Federal'!$D$4:$D$2069,'Carga Tributária doenças Po (2'!$M197)</f>
        <v>1</v>
      </c>
      <c r="X197" s="89">
        <f>SUMIFS('Tabela Federal'!$E$4:$E$2069,'Tabela Federal'!$D$4:$D$2069,'Carga Tributária doenças Po (2'!$N197)</f>
        <v>0</v>
      </c>
      <c r="Y197" s="89">
        <f>SUMIFS('Tabela Federal'!$E$4:$E$2069,'Tabela Federal'!$D$4:$D$2069,'Carga Tributária doenças Po (2'!$O197)</f>
        <v>0</v>
      </c>
      <c r="Z197" s="92" t="str">
        <f>VLOOKUP('Carga Tributária doenças Po (2'!$AD197,'Carga Tributária doenças Po (2'!$CA$12:$CC$16,2,0)</f>
        <v>-</v>
      </c>
      <c r="AA197" s="89" t="s">
        <v>325</v>
      </c>
      <c r="AB197" s="89" t="s">
        <v>21807</v>
      </c>
      <c r="AC197" s="89" t="s">
        <v>21721</v>
      </c>
      <c r="AD197" s="93" t="s">
        <v>19523</v>
      </c>
      <c r="AE197" s="92" t="s">
        <v>4</v>
      </c>
      <c r="AF197" s="92" t="s">
        <v>3</v>
      </c>
      <c r="AG197" s="94">
        <v>1817060</v>
      </c>
      <c r="AH197" s="95">
        <v>7663035</v>
      </c>
      <c r="AI197" s="95">
        <v>17480116.969999999</v>
      </c>
      <c r="AJ197" s="89" t="s">
        <v>333</v>
      </c>
      <c r="AK197" s="89">
        <f>IF('Carga Tributária doenças Po (2'!$Z197="+",0,SUMIFS(PISCOFINS!$I$3:$I$10518,PISCOFINS!$C$3:$C$10518,'Carga Tributária doenças Po (2'!$C197))</f>
        <v>2.1</v>
      </c>
      <c r="AL197" s="89">
        <f>IF('Carga Tributária doenças Po (2'!$Z197="+",0,SUMIFS(PISCOFINS!$H$3:$H$10518,PISCOFINS!$C$3:$C$10518,'Carga Tributária doenças Po (2'!$C197))</f>
        <v>9.9</v>
      </c>
      <c r="AM197" s="95">
        <v>3.27</v>
      </c>
      <c r="AN197" s="95">
        <v>3.12</v>
      </c>
      <c r="AO197" s="95">
        <v>1.35</v>
      </c>
      <c r="AP197" s="96">
        <v>18</v>
      </c>
      <c r="AQ197" s="96">
        <v>12</v>
      </c>
      <c r="AR197" s="96">
        <v>17</v>
      </c>
      <c r="AS197" s="97">
        <v>17</v>
      </c>
      <c r="AT197" s="97">
        <v>19</v>
      </c>
      <c r="AU197" s="97">
        <v>18</v>
      </c>
      <c r="AV197" s="97">
        <v>17</v>
      </c>
      <c r="AW197" s="97">
        <v>17</v>
      </c>
      <c r="AX197" s="97">
        <v>17</v>
      </c>
      <c r="AY197" s="97">
        <v>17</v>
      </c>
      <c r="AZ197" s="97">
        <v>17</v>
      </c>
      <c r="BA197" s="97">
        <v>17</v>
      </c>
      <c r="BB197" s="97">
        <v>17</v>
      </c>
      <c r="BC197" s="97">
        <v>17</v>
      </c>
      <c r="BD197" s="97">
        <v>17</v>
      </c>
      <c r="BE197" s="97">
        <v>17</v>
      </c>
      <c r="BF197" s="97">
        <f>+Tabela1107[[#This Row],[PIS]]+Tabela1107[[#This Row],[COFINS]]+Tabela1107[[#This Row],[CONTRIB. FOLHA]]+Tabela1107[[#This Row],[TRIBUTOS S/ LUCRO]]+Tabela1107[[#This Row],[OUTROS]]+Tabela1107[[#This Row],[SP]]</f>
        <v>37.74</v>
      </c>
      <c r="BG197" s="97">
        <f>+Tabela1107[[#This Row],[PIS]]+Tabela1107[[#This Row],[COFINS]]+Tabela1107[[#This Row],[CONTRIB. FOLHA]]+Tabela1107[[#This Row],[TRIBUTOS S/ LUCRO]]+Tabela1107[[#This Row],[OUTROS]]+Tabela1107[[#This Row],[PR]]</f>
        <v>31.740000000000002</v>
      </c>
      <c r="BH197" s="97">
        <f>+Tabela1107[[#This Row],[PIS]]+Tabela1107[[#This Row],[COFINS]]+Tabela1107[[#This Row],[CONTRIB. FOLHA]]+Tabela1107[[#This Row],[TRIBUTOS S/ LUCRO]]+Tabela1107[[#This Row],[OUTROS]]+Tabela1107[[#This Row],[SC]]</f>
        <v>36.74</v>
      </c>
      <c r="BI197" s="97">
        <f>+Tabela1107[[#This Row],[PIS]]+Tabela1107[[#This Row],[COFINS]]+Tabela1107[[#This Row],[CONTRIB. FOLHA]]+Tabela1107[[#This Row],[TRIBUTOS S/ LUCRO]]+Tabela1107[[#This Row],[OUTROS]]+Tabela1107[[#This Row],[RS]]</f>
        <v>36.74</v>
      </c>
      <c r="BJ197" s="97">
        <f>+Tabela1107[[#This Row],[PIS]]+Tabela1107[[#This Row],[COFINS]]+Tabela1107[[#This Row],[CONTRIB. FOLHA]]+Tabela1107[[#This Row],[TRIBUTOS S/ LUCRO]]+Tabela1107[[#This Row],[OUTROS]]+Tabela1107[[#This Row],[RJ]]</f>
        <v>38.74</v>
      </c>
      <c r="BK197" s="97">
        <f>+Tabela1107[[#This Row],[PIS]]+Tabela1107[[#This Row],[COFINS]]+Tabela1107[[#This Row],[CONTRIB. FOLHA]]+Tabela1107[[#This Row],[TRIBUTOS S/ LUCRO]]+Tabela1107[[#This Row],[OUTROS]]+Tabela1107[[#This Row],[MG]]</f>
        <v>37.74</v>
      </c>
      <c r="BL197" s="97">
        <f>+Tabela1107[[#This Row],[PIS]]+Tabela1107[[#This Row],[COFINS]]+Tabela1107[[#This Row],[CONTRIB. FOLHA]]+Tabela1107[[#This Row],[TRIBUTOS S/ LUCRO]]+Tabela1107[[#This Row],[OUTROS]]+Tabela1107[[#This Row],[ES]]</f>
        <v>36.74</v>
      </c>
      <c r="BM197" s="97">
        <f>+Tabela1107[[#This Row],[PIS]]+Tabela1107[[#This Row],[COFINS]]+Tabela1107[[#This Row],[CONTRIB. FOLHA]]+Tabela1107[[#This Row],[TRIBUTOS S/ LUCRO]]+Tabela1107[[#This Row],[OUTROS]]+Tabela1107[[#This Row],[GO]]</f>
        <v>36.74</v>
      </c>
      <c r="BN197" s="97">
        <f>+Tabela1107[[#This Row],[PIS]]+Tabela1107[[#This Row],[COFINS]]+Tabela1107[[#This Row],[CONTRIB. FOLHA]]+Tabela1107[[#This Row],[TRIBUTOS S/ LUCRO]]+Tabela1107[[#This Row],[OUTROS]]+Tabela1107[[#This Row],[MT]]</f>
        <v>36.74</v>
      </c>
      <c r="BO197" s="97">
        <f>+Tabela1107[[#This Row],[PIS]]+Tabela1107[[#This Row],[COFINS]]+Tabela1107[[#This Row],[CONTRIB. FOLHA]]+Tabela1107[[#This Row],[TRIBUTOS S/ LUCRO]]+Tabela1107[[#This Row],[OUTROS]]+Tabela1107[[#This Row],[MS]]</f>
        <v>36.74</v>
      </c>
      <c r="BP197" s="97">
        <f>+Tabela1107[[#This Row],[PIS]]+Tabela1107[[#This Row],[COFINS]]+Tabela1107[[#This Row],[CONTRIB. FOLHA]]+Tabela1107[[#This Row],[TRIBUTOS S/ LUCRO]]+Tabela1107[[#This Row],[OUTROS]]+Tabela1107[[#This Row],[DF]]</f>
        <v>36.74</v>
      </c>
      <c r="BQ197" s="97">
        <f>+Tabela1107[[#This Row],[PIS]]+Tabela1107[[#This Row],[COFINS]]+Tabela1107[[#This Row],[CONTRIB. FOLHA]]+Tabela1107[[#This Row],[TRIBUTOS S/ LUCRO]]+Tabela1107[[#This Row],[OUTROS]]+Tabela1107[[#This Row],[BA]]</f>
        <v>36.74</v>
      </c>
      <c r="BR197" s="97">
        <f>+Tabela1107[[#This Row],[PIS]]+Tabela1107[[#This Row],[COFINS]]+Tabela1107[[#This Row],[CONTRIB. FOLHA]]+Tabela1107[[#This Row],[TRIBUTOS S/ LUCRO]]+Tabela1107[[#This Row],[OUTROS]]+Tabela1107[[#This Row],[BA]]</f>
        <v>36.74</v>
      </c>
      <c r="BS197" s="97">
        <f>+Tabela1107[[#This Row],[PIS]]+Tabela1107[[#This Row],[COFINS]]+Tabela1107[[#This Row],[CONTRIB. FOLHA]]+Tabela1107[[#This Row],[TRIBUTOS S/ LUCRO]]+Tabela1107[[#This Row],[OUTROS]]+Tabela1107[[#This Row],[PE]]</f>
        <v>36.74</v>
      </c>
      <c r="BT197" s="97">
        <f>+Tabela1107[[#This Row],[PIS]]+Tabela1107[[#This Row],[COFINS]]+Tabela1107[[#This Row],[CONTRIB. FOLHA]]+Tabela1107[[#This Row],[TRIBUTOS S/ LUCRO]]+Tabela1107[[#This Row],[OUTROS]]+Tabela1107[[#This Row],[PA]]</f>
        <v>36.74</v>
      </c>
      <c r="BU197" s="97">
        <f>+Tabela1107[[#This Row],[PIS]]+Tabela1107[[#This Row],[COFINS]]+Tabela1107[[#This Row],[CONTRIB. FOLHA]]+Tabela1107[[#This Row],[TRIBUTOS S/ LUCRO]]+Tabela1107[[#This Row],[OUTROS]]+Tabela1107[[#This Row],[AM]]</f>
        <v>36.74</v>
      </c>
      <c r="BV197" s="97">
        <f>AVERAGE(Tabela1107[[#This Row],[TOTAL SP]:[TOTAL AM]])</f>
        <v>36.677500000000002</v>
      </c>
      <c r="BW197" s="97"/>
      <c r="BX197" s="97"/>
    </row>
    <row r="198" spans="2:76" x14ac:dyDescent="0.25">
      <c r="B198" s="89">
        <v>16071</v>
      </c>
      <c r="C198" s="91" t="s">
        <v>13168</v>
      </c>
      <c r="D198" s="89"/>
      <c r="E198" s="89">
        <v>20140626</v>
      </c>
      <c r="F198" s="89" t="s">
        <v>21523</v>
      </c>
      <c r="G198" s="89" t="s">
        <v>21524</v>
      </c>
      <c r="H198" s="89" t="s">
        <v>21525</v>
      </c>
      <c r="I198" s="89" t="s">
        <v>21526</v>
      </c>
      <c r="J198" s="89" t="s">
        <v>357</v>
      </c>
      <c r="K198" s="89"/>
      <c r="L198" s="89" t="s">
        <v>2658</v>
      </c>
      <c r="M198" s="89" t="s">
        <v>4496</v>
      </c>
      <c r="N198" s="89" t="s">
        <v>4496</v>
      </c>
      <c r="O198" s="89" t="s">
        <v>4496</v>
      </c>
      <c r="P198" s="89" t="s">
        <v>4496</v>
      </c>
      <c r="Q198" s="89"/>
      <c r="R198" s="89" t="s">
        <v>355</v>
      </c>
      <c r="S198" s="89" t="s">
        <v>21702</v>
      </c>
      <c r="T198" s="89" t="s">
        <v>21703</v>
      </c>
      <c r="U198" s="89" t="str">
        <f>TRIM('Carga Tributária doenças Po (2'!$L198)</f>
        <v>CLORIDRATO DE DONEPEZILA</v>
      </c>
      <c r="V198" s="89">
        <f>SUMIFS('Tabela Federal'!$E$4:$E$2069,'Tabela Federal'!$D$4:$D$2069,'Carga Tributária doenças Po (2'!$L198)</f>
        <v>1</v>
      </c>
      <c r="W198" s="89">
        <f>SUMIFS('Tabela Federal'!$E$4:$E$2069,'Tabela Federal'!$D$4:$D$2069,'Carga Tributária doenças Po (2'!$M198)</f>
        <v>0</v>
      </c>
      <c r="X198" s="89">
        <f>SUMIFS('Tabela Federal'!$E$4:$E$2069,'Tabela Federal'!$D$4:$D$2069,'Carga Tributária doenças Po (2'!$N198)</f>
        <v>0</v>
      </c>
      <c r="Y198" s="89">
        <f>SUMIFS('Tabela Federal'!$E$4:$E$2069,'Tabela Federal'!$D$4:$D$2069,'Carga Tributária doenças Po (2'!$O198)</f>
        <v>0</v>
      </c>
      <c r="Z198" s="92" t="str">
        <f>VLOOKUP('Carga Tributária doenças Po (2'!$AD198,'Carga Tributária doenças Po (2'!$CA$12:$CC$16,2,0)</f>
        <v>+</v>
      </c>
      <c r="AA198" s="89" t="s">
        <v>354</v>
      </c>
      <c r="AB198" s="89" t="s">
        <v>21732</v>
      </c>
      <c r="AC198" s="89" t="s">
        <v>21721</v>
      </c>
      <c r="AD198" s="93" t="s">
        <v>21722</v>
      </c>
      <c r="AE198" s="92" t="s">
        <v>2</v>
      </c>
      <c r="AF198" s="92" t="s">
        <v>3</v>
      </c>
      <c r="AG198" s="94">
        <v>126764</v>
      </c>
      <c r="AH198" s="95">
        <v>4221081</v>
      </c>
      <c r="AI198" s="95">
        <v>9639356.2200000007</v>
      </c>
      <c r="AJ198" s="89" t="s">
        <v>361</v>
      </c>
      <c r="AK198" s="89">
        <f>IF('Carga Tributária doenças Po (2'!$Z198="+",0,SUMIFS(PISCOFINS!$I$3:$I$10518,PISCOFINS!$C$3:$C$10518,'Carga Tributária doenças Po (2'!$C198))</f>
        <v>0</v>
      </c>
      <c r="AL198" s="89">
        <f>IF('Carga Tributária doenças Po (2'!$Z198="+",0,SUMIFS(PISCOFINS!$H$3:$H$10518,PISCOFINS!$C$3:$C$10518,'Carga Tributária doenças Po (2'!$C198))</f>
        <v>0</v>
      </c>
      <c r="AM198" s="95">
        <v>3.27</v>
      </c>
      <c r="AN198" s="95">
        <v>3.12</v>
      </c>
      <c r="AO198" s="95">
        <v>1.35</v>
      </c>
      <c r="AP198" s="96">
        <v>18</v>
      </c>
      <c r="AQ198" s="96">
        <v>12</v>
      </c>
      <c r="AR198" s="96">
        <v>17</v>
      </c>
      <c r="AS198" s="97">
        <v>17</v>
      </c>
      <c r="AT198" s="97">
        <v>19</v>
      </c>
      <c r="AU198" s="97">
        <v>18</v>
      </c>
      <c r="AV198" s="97">
        <v>17</v>
      </c>
      <c r="AW198" s="97">
        <v>17</v>
      </c>
      <c r="AX198" s="97">
        <v>17</v>
      </c>
      <c r="AY198" s="97">
        <v>17</v>
      </c>
      <c r="AZ198" s="97">
        <v>17</v>
      </c>
      <c r="BA198" s="97">
        <v>17</v>
      </c>
      <c r="BB198" s="97">
        <v>17</v>
      </c>
      <c r="BC198" s="97">
        <v>17</v>
      </c>
      <c r="BD198" s="97">
        <v>17</v>
      </c>
      <c r="BE198" s="97">
        <v>17</v>
      </c>
      <c r="BF198" s="97">
        <f>+Tabela1107[[#This Row],[PIS]]+Tabela1107[[#This Row],[COFINS]]+Tabela1107[[#This Row],[CONTRIB. FOLHA]]+Tabela1107[[#This Row],[TRIBUTOS S/ LUCRO]]+Tabela1107[[#This Row],[OUTROS]]+Tabela1107[[#This Row],[SP]]</f>
        <v>25.740000000000002</v>
      </c>
      <c r="BG198" s="97">
        <f>+Tabela1107[[#This Row],[PIS]]+Tabela1107[[#This Row],[COFINS]]+Tabela1107[[#This Row],[CONTRIB. FOLHA]]+Tabela1107[[#This Row],[TRIBUTOS S/ LUCRO]]+Tabela1107[[#This Row],[OUTROS]]+Tabela1107[[#This Row],[PR]]</f>
        <v>19.740000000000002</v>
      </c>
      <c r="BH198" s="97">
        <f>+Tabela1107[[#This Row],[PIS]]+Tabela1107[[#This Row],[COFINS]]+Tabela1107[[#This Row],[CONTRIB. FOLHA]]+Tabela1107[[#This Row],[TRIBUTOS S/ LUCRO]]+Tabela1107[[#This Row],[OUTROS]]+Tabela1107[[#This Row],[SC]]</f>
        <v>24.740000000000002</v>
      </c>
      <c r="BI198" s="97">
        <f>+Tabela1107[[#This Row],[PIS]]+Tabela1107[[#This Row],[COFINS]]+Tabela1107[[#This Row],[CONTRIB. FOLHA]]+Tabela1107[[#This Row],[TRIBUTOS S/ LUCRO]]+Tabela1107[[#This Row],[OUTROS]]+Tabela1107[[#This Row],[RS]]</f>
        <v>24.740000000000002</v>
      </c>
      <c r="BJ198" s="97">
        <f>+Tabela1107[[#This Row],[PIS]]+Tabela1107[[#This Row],[COFINS]]+Tabela1107[[#This Row],[CONTRIB. FOLHA]]+Tabela1107[[#This Row],[TRIBUTOS S/ LUCRO]]+Tabela1107[[#This Row],[OUTROS]]+Tabela1107[[#This Row],[RJ]]</f>
        <v>26.740000000000002</v>
      </c>
      <c r="BK198" s="97">
        <f>+Tabela1107[[#This Row],[PIS]]+Tabela1107[[#This Row],[COFINS]]+Tabela1107[[#This Row],[CONTRIB. FOLHA]]+Tabela1107[[#This Row],[TRIBUTOS S/ LUCRO]]+Tabela1107[[#This Row],[OUTROS]]+Tabela1107[[#This Row],[MG]]</f>
        <v>25.740000000000002</v>
      </c>
      <c r="BL198" s="97">
        <f>+Tabela1107[[#This Row],[PIS]]+Tabela1107[[#This Row],[COFINS]]+Tabela1107[[#This Row],[CONTRIB. FOLHA]]+Tabela1107[[#This Row],[TRIBUTOS S/ LUCRO]]+Tabela1107[[#This Row],[OUTROS]]+Tabela1107[[#This Row],[ES]]</f>
        <v>24.740000000000002</v>
      </c>
      <c r="BM198" s="97">
        <f>+Tabela1107[[#This Row],[PIS]]+Tabela1107[[#This Row],[COFINS]]+Tabela1107[[#This Row],[CONTRIB. FOLHA]]+Tabela1107[[#This Row],[TRIBUTOS S/ LUCRO]]+Tabela1107[[#This Row],[OUTROS]]+Tabela1107[[#This Row],[GO]]</f>
        <v>24.740000000000002</v>
      </c>
      <c r="BN198" s="97">
        <f>+Tabela1107[[#This Row],[PIS]]+Tabela1107[[#This Row],[COFINS]]+Tabela1107[[#This Row],[CONTRIB. FOLHA]]+Tabela1107[[#This Row],[TRIBUTOS S/ LUCRO]]+Tabela1107[[#This Row],[OUTROS]]+Tabela1107[[#This Row],[MT]]</f>
        <v>24.740000000000002</v>
      </c>
      <c r="BO198" s="97">
        <f>+Tabela1107[[#This Row],[PIS]]+Tabela1107[[#This Row],[COFINS]]+Tabela1107[[#This Row],[CONTRIB. FOLHA]]+Tabela1107[[#This Row],[TRIBUTOS S/ LUCRO]]+Tabela1107[[#This Row],[OUTROS]]+Tabela1107[[#This Row],[MS]]</f>
        <v>24.740000000000002</v>
      </c>
      <c r="BP198" s="97">
        <f>+Tabela1107[[#This Row],[PIS]]+Tabela1107[[#This Row],[COFINS]]+Tabela1107[[#This Row],[CONTRIB. FOLHA]]+Tabela1107[[#This Row],[TRIBUTOS S/ LUCRO]]+Tabela1107[[#This Row],[OUTROS]]+Tabela1107[[#This Row],[DF]]</f>
        <v>24.740000000000002</v>
      </c>
      <c r="BQ198" s="97">
        <f>+Tabela1107[[#This Row],[PIS]]+Tabela1107[[#This Row],[COFINS]]+Tabela1107[[#This Row],[CONTRIB. FOLHA]]+Tabela1107[[#This Row],[TRIBUTOS S/ LUCRO]]+Tabela1107[[#This Row],[OUTROS]]+Tabela1107[[#This Row],[BA]]</f>
        <v>24.740000000000002</v>
      </c>
      <c r="BR198" s="97">
        <f>+Tabela1107[[#This Row],[PIS]]+Tabela1107[[#This Row],[COFINS]]+Tabela1107[[#This Row],[CONTRIB. FOLHA]]+Tabela1107[[#This Row],[TRIBUTOS S/ LUCRO]]+Tabela1107[[#This Row],[OUTROS]]+Tabela1107[[#This Row],[BA]]</f>
        <v>24.740000000000002</v>
      </c>
      <c r="BS198" s="97">
        <f>+Tabela1107[[#This Row],[PIS]]+Tabela1107[[#This Row],[COFINS]]+Tabela1107[[#This Row],[CONTRIB. FOLHA]]+Tabela1107[[#This Row],[TRIBUTOS S/ LUCRO]]+Tabela1107[[#This Row],[OUTROS]]+Tabela1107[[#This Row],[PE]]</f>
        <v>24.740000000000002</v>
      </c>
      <c r="BT198" s="97">
        <f>+Tabela1107[[#This Row],[PIS]]+Tabela1107[[#This Row],[COFINS]]+Tabela1107[[#This Row],[CONTRIB. FOLHA]]+Tabela1107[[#This Row],[TRIBUTOS S/ LUCRO]]+Tabela1107[[#This Row],[OUTROS]]+Tabela1107[[#This Row],[PA]]</f>
        <v>24.740000000000002</v>
      </c>
      <c r="BU198" s="97">
        <f>+Tabela1107[[#This Row],[PIS]]+Tabela1107[[#This Row],[COFINS]]+Tabela1107[[#This Row],[CONTRIB. FOLHA]]+Tabela1107[[#This Row],[TRIBUTOS S/ LUCRO]]+Tabela1107[[#This Row],[OUTROS]]+Tabela1107[[#This Row],[AM]]</f>
        <v>24.740000000000002</v>
      </c>
      <c r="BV198" s="97">
        <f>AVERAGE(Tabela1107[[#This Row],[TOTAL SP]:[TOTAL AM]])</f>
        <v>24.677500000000006</v>
      </c>
      <c r="BW198" s="97"/>
      <c r="BX198" s="97"/>
    </row>
    <row r="199" spans="2:76" x14ac:dyDescent="0.25">
      <c r="B199" s="89">
        <v>16075</v>
      </c>
      <c r="C199" s="91" t="s">
        <v>13168</v>
      </c>
      <c r="D199" s="89"/>
      <c r="E199" s="89">
        <v>20140626</v>
      </c>
      <c r="F199" s="89" t="s">
        <v>21527</v>
      </c>
      <c r="G199" s="89" t="s">
        <v>21528</v>
      </c>
      <c r="H199" s="89" t="s">
        <v>21529</v>
      </c>
      <c r="I199" s="89" t="s">
        <v>21526</v>
      </c>
      <c r="J199" s="89" t="s">
        <v>353</v>
      </c>
      <c r="K199" s="89"/>
      <c r="L199" s="89" t="s">
        <v>2658</v>
      </c>
      <c r="M199" s="89" t="s">
        <v>4496</v>
      </c>
      <c r="N199" s="89" t="s">
        <v>4496</v>
      </c>
      <c r="O199" s="89" t="s">
        <v>4496</v>
      </c>
      <c r="P199" s="89" t="s">
        <v>4496</v>
      </c>
      <c r="Q199" s="89"/>
      <c r="R199" s="89" t="s">
        <v>355</v>
      </c>
      <c r="S199" s="89" t="s">
        <v>21702</v>
      </c>
      <c r="T199" s="89" t="s">
        <v>21703</v>
      </c>
      <c r="U199" s="89" t="str">
        <f>TRIM('Carga Tributária doenças Po (2'!$L199)</f>
        <v>CLORIDRATO DE DONEPEZILA</v>
      </c>
      <c r="V199" s="89">
        <f>SUMIFS('Tabela Federal'!$E$4:$E$2069,'Tabela Federal'!$D$4:$D$2069,'Carga Tributária doenças Po (2'!$L199)</f>
        <v>1</v>
      </c>
      <c r="W199" s="89">
        <f>SUMIFS('Tabela Federal'!$E$4:$E$2069,'Tabela Federal'!$D$4:$D$2069,'Carga Tributária doenças Po (2'!$M199)</f>
        <v>0</v>
      </c>
      <c r="X199" s="89">
        <f>SUMIFS('Tabela Federal'!$E$4:$E$2069,'Tabela Federal'!$D$4:$D$2069,'Carga Tributária doenças Po (2'!$N199)</f>
        <v>0</v>
      </c>
      <c r="Y199" s="89">
        <f>SUMIFS('Tabela Federal'!$E$4:$E$2069,'Tabela Federal'!$D$4:$D$2069,'Carga Tributária doenças Po (2'!$O199)</f>
        <v>0</v>
      </c>
      <c r="Z199" s="92" t="str">
        <f>VLOOKUP('Carga Tributária doenças Po (2'!$AD199,'Carga Tributária doenças Po (2'!$CA$12:$CC$16,2,0)</f>
        <v>+</v>
      </c>
      <c r="AA199" s="89" t="s">
        <v>354</v>
      </c>
      <c r="AB199" s="89" t="s">
        <v>21732</v>
      </c>
      <c r="AC199" s="89" t="s">
        <v>21721</v>
      </c>
      <c r="AD199" s="93" t="s">
        <v>21722</v>
      </c>
      <c r="AE199" s="92" t="s">
        <v>2</v>
      </c>
      <c r="AF199" s="92" t="s">
        <v>3</v>
      </c>
      <c r="AG199" s="94">
        <v>144340</v>
      </c>
      <c r="AH199" s="95">
        <v>4380130</v>
      </c>
      <c r="AI199" s="95">
        <v>9999875</v>
      </c>
      <c r="AJ199" s="89" t="s">
        <v>361</v>
      </c>
      <c r="AK199" s="89">
        <f>IF('Carga Tributária doenças Po (2'!$Z199="+",0,SUMIFS(PISCOFINS!$I$3:$I$10518,PISCOFINS!$C$3:$C$10518,'Carga Tributária doenças Po (2'!$C199))</f>
        <v>0</v>
      </c>
      <c r="AL199" s="89">
        <f>IF('Carga Tributária doenças Po (2'!$Z199="+",0,SUMIFS(PISCOFINS!$H$3:$H$10518,PISCOFINS!$C$3:$C$10518,'Carga Tributária doenças Po (2'!$C199))</f>
        <v>0</v>
      </c>
      <c r="AM199" s="95">
        <v>3.27</v>
      </c>
      <c r="AN199" s="95">
        <v>3.12</v>
      </c>
      <c r="AO199" s="95">
        <v>1.35</v>
      </c>
      <c r="AP199" s="96">
        <v>18</v>
      </c>
      <c r="AQ199" s="96">
        <v>12</v>
      </c>
      <c r="AR199" s="96">
        <v>17</v>
      </c>
      <c r="AS199" s="97">
        <v>17</v>
      </c>
      <c r="AT199" s="97">
        <v>19</v>
      </c>
      <c r="AU199" s="97">
        <v>18</v>
      </c>
      <c r="AV199" s="97">
        <v>17</v>
      </c>
      <c r="AW199" s="97">
        <v>17</v>
      </c>
      <c r="AX199" s="97">
        <v>17</v>
      </c>
      <c r="AY199" s="97">
        <v>17</v>
      </c>
      <c r="AZ199" s="97">
        <v>17</v>
      </c>
      <c r="BA199" s="97">
        <v>17</v>
      </c>
      <c r="BB199" s="97">
        <v>17</v>
      </c>
      <c r="BC199" s="97">
        <v>17</v>
      </c>
      <c r="BD199" s="97">
        <v>17</v>
      </c>
      <c r="BE199" s="97">
        <v>17</v>
      </c>
      <c r="BF199" s="97">
        <f>+Tabela1107[[#This Row],[PIS]]+Tabela1107[[#This Row],[COFINS]]+Tabela1107[[#This Row],[CONTRIB. FOLHA]]+Tabela1107[[#This Row],[TRIBUTOS S/ LUCRO]]+Tabela1107[[#This Row],[OUTROS]]+Tabela1107[[#This Row],[SP]]</f>
        <v>25.740000000000002</v>
      </c>
      <c r="BG199" s="97">
        <f>+Tabela1107[[#This Row],[PIS]]+Tabela1107[[#This Row],[COFINS]]+Tabela1107[[#This Row],[CONTRIB. FOLHA]]+Tabela1107[[#This Row],[TRIBUTOS S/ LUCRO]]+Tabela1107[[#This Row],[OUTROS]]+Tabela1107[[#This Row],[PR]]</f>
        <v>19.740000000000002</v>
      </c>
      <c r="BH199" s="97">
        <f>+Tabela1107[[#This Row],[PIS]]+Tabela1107[[#This Row],[COFINS]]+Tabela1107[[#This Row],[CONTRIB. FOLHA]]+Tabela1107[[#This Row],[TRIBUTOS S/ LUCRO]]+Tabela1107[[#This Row],[OUTROS]]+Tabela1107[[#This Row],[SC]]</f>
        <v>24.740000000000002</v>
      </c>
      <c r="BI199" s="97">
        <f>+Tabela1107[[#This Row],[PIS]]+Tabela1107[[#This Row],[COFINS]]+Tabela1107[[#This Row],[CONTRIB. FOLHA]]+Tabela1107[[#This Row],[TRIBUTOS S/ LUCRO]]+Tabela1107[[#This Row],[OUTROS]]+Tabela1107[[#This Row],[RS]]</f>
        <v>24.740000000000002</v>
      </c>
      <c r="BJ199" s="97">
        <f>+Tabela1107[[#This Row],[PIS]]+Tabela1107[[#This Row],[COFINS]]+Tabela1107[[#This Row],[CONTRIB. FOLHA]]+Tabela1107[[#This Row],[TRIBUTOS S/ LUCRO]]+Tabela1107[[#This Row],[OUTROS]]+Tabela1107[[#This Row],[RJ]]</f>
        <v>26.740000000000002</v>
      </c>
      <c r="BK199" s="97">
        <f>+Tabela1107[[#This Row],[PIS]]+Tabela1107[[#This Row],[COFINS]]+Tabela1107[[#This Row],[CONTRIB. FOLHA]]+Tabela1107[[#This Row],[TRIBUTOS S/ LUCRO]]+Tabela1107[[#This Row],[OUTROS]]+Tabela1107[[#This Row],[MG]]</f>
        <v>25.740000000000002</v>
      </c>
      <c r="BL199" s="97">
        <f>+Tabela1107[[#This Row],[PIS]]+Tabela1107[[#This Row],[COFINS]]+Tabela1107[[#This Row],[CONTRIB. FOLHA]]+Tabela1107[[#This Row],[TRIBUTOS S/ LUCRO]]+Tabela1107[[#This Row],[OUTROS]]+Tabela1107[[#This Row],[ES]]</f>
        <v>24.740000000000002</v>
      </c>
      <c r="BM199" s="97">
        <f>+Tabela1107[[#This Row],[PIS]]+Tabela1107[[#This Row],[COFINS]]+Tabela1107[[#This Row],[CONTRIB. FOLHA]]+Tabela1107[[#This Row],[TRIBUTOS S/ LUCRO]]+Tabela1107[[#This Row],[OUTROS]]+Tabela1107[[#This Row],[GO]]</f>
        <v>24.740000000000002</v>
      </c>
      <c r="BN199" s="97">
        <f>+Tabela1107[[#This Row],[PIS]]+Tabela1107[[#This Row],[COFINS]]+Tabela1107[[#This Row],[CONTRIB. FOLHA]]+Tabela1107[[#This Row],[TRIBUTOS S/ LUCRO]]+Tabela1107[[#This Row],[OUTROS]]+Tabela1107[[#This Row],[MT]]</f>
        <v>24.740000000000002</v>
      </c>
      <c r="BO199" s="97">
        <f>+Tabela1107[[#This Row],[PIS]]+Tabela1107[[#This Row],[COFINS]]+Tabela1107[[#This Row],[CONTRIB. FOLHA]]+Tabela1107[[#This Row],[TRIBUTOS S/ LUCRO]]+Tabela1107[[#This Row],[OUTROS]]+Tabela1107[[#This Row],[MS]]</f>
        <v>24.740000000000002</v>
      </c>
      <c r="BP199" s="97">
        <f>+Tabela1107[[#This Row],[PIS]]+Tabela1107[[#This Row],[COFINS]]+Tabela1107[[#This Row],[CONTRIB. FOLHA]]+Tabela1107[[#This Row],[TRIBUTOS S/ LUCRO]]+Tabela1107[[#This Row],[OUTROS]]+Tabela1107[[#This Row],[DF]]</f>
        <v>24.740000000000002</v>
      </c>
      <c r="BQ199" s="97">
        <f>+Tabela1107[[#This Row],[PIS]]+Tabela1107[[#This Row],[COFINS]]+Tabela1107[[#This Row],[CONTRIB. FOLHA]]+Tabela1107[[#This Row],[TRIBUTOS S/ LUCRO]]+Tabela1107[[#This Row],[OUTROS]]+Tabela1107[[#This Row],[BA]]</f>
        <v>24.740000000000002</v>
      </c>
      <c r="BR199" s="97">
        <f>+Tabela1107[[#This Row],[PIS]]+Tabela1107[[#This Row],[COFINS]]+Tabela1107[[#This Row],[CONTRIB. FOLHA]]+Tabela1107[[#This Row],[TRIBUTOS S/ LUCRO]]+Tabela1107[[#This Row],[OUTROS]]+Tabela1107[[#This Row],[BA]]</f>
        <v>24.740000000000002</v>
      </c>
      <c r="BS199" s="97">
        <f>+Tabela1107[[#This Row],[PIS]]+Tabela1107[[#This Row],[COFINS]]+Tabela1107[[#This Row],[CONTRIB. FOLHA]]+Tabela1107[[#This Row],[TRIBUTOS S/ LUCRO]]+Tabela1107[[#This Row],[OUTROS]]+Tabela1107[[#This Row],[PE]]</f>
        <v>24.740000000000002</v>
      </c>
      <c r="BT199" s="97">
        <f>+Tabela1107[[#This Row],[PIS]]+Tabela1107[[#This Row],[COFINS]]+Tabela1107[[#This Row],[CONTRIB. FOLHA]]+Tabela1107[[#This Row],[TRIBUTOS S/ LUCRO]]+Tabela1107[[#This Row],[OUTROS]]+Tabela1107[[#This Row],[PA]]</f>
        <v>24.740000000000002</v>
      </c>
      <c r="BU199" s="97">
        <f>+Tabela1107[[#This Row],[PIS]]+Tabela1107[[#This Row],[COFINS]]+Tabela1107[[#This Row],[CONTRIB. FOLHA]]+Tabela1107[[#This Row],[TRIBUTOS S/ LUCRO]]+Tabela1107[[#This Row],[OUTROS]]+Tabela1107[[#This Row],[AM]]</f>
        <v>24.740000000000002</v>
      </c>
      <c r="BV199" s="97">
        <f>AVERAGE(Tabela1107[[#This Row],[TOTAL SP]:[TOTAL AM]])</f>
        <v>24.677500000000006</v>
      </c>
      <c r="BW199" s="97"/>
      <c r="BX199" s="97"/>
    </row>
    <row r="200" spans="2:76" x14ac:dyDescent="0.25">
      <c r="B200" s="89">
        <v>2221</v>
      </c>
      <c r="C200" s="91" t="s">
        <v>13183</v>
      </c>
      <c r="D200" s="89"/>
      <c r="E200" s="89">
        <v>20140626</v>
      </c>
      <c r="F200" s="89" t="s">
        <v>20895</v>
      </c>
      <c r="G200" s="89" t="s">
        <v>20896</v>
      </c>
      <c r="H200" s="89" t="s">
        <v>20897</v>
      </c>
      <c r="I200" s="89" t="s">
        <v>20898</v>
      </c>
      <c r="J200" s="89" t="s">
        <v>37</v>
      </c>
      <c r="K200" s="89"/>
      <c r="L200" s="89" t="s">
        <v>2692</v>
      </c>
      <c r="M200" s="89" t="s">
        <v>4175</v>
      </c>
      <c r="N200" s="89" t="s">
        <v>4496</v>
      </c>
      <c r="O200" s="89" t="s">
        <v>4496</v>
      </c>
      <c r="P200" s="89" t="s">
        <v>4496</v>
      </c>
      <c r="Q200" s="89"/>
      <c r="R200" s="89" t="s">
        <v>39</v>
      </c>
      <c r="S200" s="89" t="s">
        <v>21638</v>
      </c>
      <c r="T200" s="89" t="s">
        <v>21639</v>
      </c>
      <c r="U200" s="89" t="str">
        <f>TRIM('Carga Tributária doenças Po (2'!$L200)</f>
        <v>SIMETICONA</v>
      </c>
      <c r="V200" s="89">
        <f>SUMIFS('Tabela Federal'!$E$4:$E$2069,'Tabela Federal'!$D$4:$D$2069,'Carga Tributária doenças Po (2'!$L200)</f>
        <v>0</v>
      </c>
      <c r="W200" s="89">
        <f>SUMIFS('Tabela Federal'!$E$4:$E$2069,'Tabela Federal'!$D$4:$D$2069,'Carga Tributária doenças Po (2'!$M200)</f>
        <v>0</v>
      </c>
      <c r="X200" s="89">
        <f>SUMIFS('Tabela Federal'!$E$4:$E$2069,'Tabela Federal'!$D$4:$D$2069,'Carga Tributária doenças Po (2'!$N200)</f>
        <v>0</v>
      </c>
      <c r="Y200" s="89">
        <f>SUMIFS('Tabela Federal'!$E$4:$E$2069,'Tabela Federal'!$D$4:$D$2069,'Carga Tributária doenças Po (2'!$O200)</f>
        <v>0</v>
      </c>
      <c r="Z200" s="92" t="str">
        <f>VLOOKUP('Carga Tributária doenças Po (2'!$AD200,'Carga Tributária doenças Po (2'!$CA$12:$CC$16,2,0)</f>
        <v>+</v>
      </c>
      <c r="AA200" s="89" t="s">
        <v>38</v>
      </c>
      <c r="AB200" s="89" t="s">
        <v>21802</v>
      </c>
      <c r="AC200" s="89" t="s">
        <v>21721</v>
      </c>
      <c r="AD200" s="93" t="s">
        <v>19445</v>
      </c>
      <c r="AE200" s="92" t="s">
        <v>4</v>
      </c>
      <c r="AF200" s="92" t="s">
        <v>3</v>
      </c>
      <c r="AG200" s="94">
        <v>341141</v>
      </c>
      <c r="AH200" s="95">
        <v>1960298</v>
      </c>
      <c r="AI200" s="95">
        <v>4473572.83</v>
      </c>
      <c r="AJ200" s="89" t="s">
        <v>40</v>
      </c>
      <c r="AK200" s="89">
        <f>IF('Carga Tributária doenças Po (2'!$Z200="+",0,SUMIFS(PISCOFINS!$I$3:$I$10518,PISCOFINS!$C$3:$C$10518,'Carga Tributária doenças Po (2'!$C200))</f>
        <v>0</v>
      </c>
      <c r="AL200" s="89">
        <f>IF('Carga Tributária doenças Po (2'!$Z200="+",0,SUMIFS(PISCOFINS!$H$3:$H$10518,PISCOFINS!$C$3:$C$10518,'Carga Tributária doenças Po (2'!$C200))</f>
        <v>0</v>
      </c>
      <c r="AM200" s="95">
        <v>3.27</v>
      </c>
      <c r="AN200" s="95">
        <v>3.12</v>
      </c>
      <c r="AO200" s="95">
        <v>1.35</v>
      </c>
      <c r="AP200" s="96">
        <v>18</v>
      </c>
      <c r="AQ200" s="96">
        <v>12</v>
      </c>
      <c r="AR200" s="96">
        <v>17</v>
      </c>
      <c r="AS200" s="97">
        <v>17</v>
      </c>
      <c r="AT200" s="97">
        <v>19</v>
      </c>
      <c r="AU200" s="97">
        <v>18</v>
      </c>
      <c r="AV200" s="97">
        <v>17</v>
      </c>
      <c r="AW200" s="97">
        <v>17</v>
      </c>
      <c r="AX200" s="97">
        <v>17</v>
      </c>
      <c r="AY200" s="97">
        <v>17</v>
      </c>
      <c r="AZ200" s="97">
        <v>17</v>
      </c>
      <c r="BA200" s="97">
        <v>17</v>
      </c>
      <c r="BB200" s="97">
        <v>17</v>
      </c>
      <c r="BC200" s="97">
        <v>17</v>
      </c>
      <c r="BD200" s="97">
        <v>17</v>
      </c>
      <c r="BE200" s="97">
        <v>17</v>
      </c>
      <c r="BF200" s="97">
        <f>+Tabela1107[[#This Row],[PIS]]+Tabela1107[[#This Row],[COFINS]]+Tabela1107[[#This Row],[CONTRIB. FOLHA]]+Tabela1107[[#This Row],[TRIBUTOS S/ LUCRO]]+Tabela1107[[#This Row],[OUTROS]]+Tabela1107[[#This Row],[SP]]</f>
        <v>25.740000000000002</v>
      </c>
      <c r="BG200" s="97">
        <f>+Tabela1107[[#This Row],[PIS]]+Tabela1107[[#This Row],[COFINS]]+Tabela1107[[#This Row],[CONTRIB. FOLHA]]+Tabela1107[[#This Row],[TRIBUTOS S/ LUCRO]]+Tabela1107[[#This Row],[OUTROS]]+Tabela1107[[#This Row],[PR]]</f>
        <v>19.740000000000002</v>
      </c>
      <c r="BH200" s="97">
        <f>+Tabela1107[[#This Row],[PIS]]+Tabela1107[[#This Row],[COFINS]]+Tabela1107[[#This Row],[CONTRIB. FOLHA]]+Tabela1107[[#This Row],[TRIBUTOS S/ LUCRO]]+Tabela1107[[#This Row],[OUTROS]]+Tabela1107[[#This Row],[SC]]</f>
        <v>24.740000000000002</v>
      </c>
      <c r="BI200" s="97">
        <f>+Tabela1107[[#This Row],[PIS]]+Tabela1107[[#This Row],[COFINS]]+Tabela1107[[#This Row],[CONTRIB. FOLHA]]+Tabela1107[[#This Row],[TRIBUTOS S/ LUCRO]]+Tabela1107[[#This Row],[OUTROS]]+Tabela1107[[#This Row],[RS]]</f>
        <v>24.740000000000002</v>
      </c>
      <c r="BJ200" s="97">
        <f>+Tabela1107[[#This Row],[PIS]]+Tabela1107[[#This Row],[COFINS]]+Tabela1107[[#This Row],[CONTRIB. FOLHA]]+Tabela1107[[#This Row],[TRIBUTOS S/ LUCRO]]+Tabela1107[[#This Row],[OUTROS]]+Tabela1107[[#This Row],[RJ]]</f>
        <v>26.740000000000002</v>
      </c>
      <c r="BK200" s="97">
        <f>+Tabela1107[[#This Row],[PIS]]+Tabela1107[[#This Row],[COFINS]]+Tabela1107[[#This Row],[CONTRIB. FOLHA]]+Tabela1107[[#This Row],[TRIBUTOS S/ LUCRO]]+Tabela1107[[#This Row],[OUTROS]]+Tabela1107[[#This Row],[MG]]</f>
        <v>25.740000000000002</v>
      </c>
      <c r="BL200" s="97">
        <f>+Tabela1107[[#This Row],[PIS]]+Tabela1107[[#This Row],[COFINS]]+Tabela1107[[#This Row],[CONTRIB. FOLHA]]+Tabela1107[[#This Row],[TRIBUTOS S/ LUCRO]]+Tabela1107[[#This Row],[OUTROS]]+Tabela1107[[#This Row],[ES]]</f>
        <v>24.740000000000002</v>
      </c>
      <c r="BM200" s="97">
        <f>+Tabela1107[[#This Row],[PIS]]+Tabela1107[[#This Row],[COFINS]]+Tabela1107[[#This Row],[CONTRIB. FOLHA]]+Tabela1107[[#This Row],[TRIBUTOS S/ LUCRO]]+Tabela1107[[#This Row],[OUTROS]]+Tabela1107[[#This Row],[GO]]</f>
        <v>24.740000000000002</v>
      </c>
      <c r="BN200" s="97">
        <f>+Tabela1107[[#This Row],[PIS]]+Tabela1107[[#This Row],[COFINS]]+Tabela1107[[#This Row],[CONTRIB. FOLHA]]+Tabela1107[[#This Row],[TRIBUTOS S/ LUCRO]]+Tabela1107[[#This Row],[OUTROS]]+Tabela1107[[#This Row],[MT]]</f>
        <v>24.740000000000002</v>
      </c>
      <c r="BO200" s="97">
        <f>+Tabela1107[[#This Row],[PIS]]+Tabela1107[[#This Row],[COFINS]]+Tabela1107[[#This Row],[CONTRIB. FOLHA]]+Tabela1107[[#This Row],[TRIBUTOS S/ LUCRO]]+Tabela1107[[#This Row],[OUTROS]]+Tabela1107[[#This Row],[MS]]</f>
        <v>24.740000000000002</v>
      </c>
      <c r="BP200" s="97">
        <f>+Tabela1107[[#This Row],[PIS]]+Tabela1107[[#This Row],[COFINS]]+Tabela1107[[#This Row],[CONTRIB. FOLHA]]+Tabela1107[[#This Row],[TRIBUTOS S/ LUCRO]]+Tabela1107[[#This Row],[OUTROS]]+Tabela1107[[#This Row],[DF]]</f>
        <v>24.740000000000002</v>
      </c>
      <c r="BQ200" s="97">
        <f>+Tabela1107[[#This Row],[PIS]]+Tabela1107[[#This Row],[COFINS]]+Tabela1107[[#This Row],[CONTRIB. FOLHA]]+Tabela1107[[#This Row],[TRIBUTOS S/ LUCRO]]+Tabela1107[[#This Row],[OUTROS]]+Tabela1107[[#This Row],[BA]]</f>
        <v>24.740000000000002</v>
      </c>
      <c r="BR200" s="97">
        <f>+Tabela1107[[#This Row],[PIS]]+Tabela1107[[#This Row],[COFINS]]+Tabela1107[[#This Row],[CONTRIB. FOLHA]]+Tabela1107[[#This Row],[TRIBUTOS S/ LUCRO]]+Tabela1107[[#This Row],[OUTROS]]+Tabela1107[[#This Row],[BA]]</f>
        <v>24.740000000000002</v>
      </c>
      <c r="BS200" s="97">
        <f>+Tabela1107[[#This Row],[PIS]]+Tabela1107[[#This Row],[COFINS]]+Tabela1107[[#This Row],[CONTRIB. FOLHA]]+Tabela1107[[#This Row],[TRIBUTOS S/ LUCRO]]+Tabela1107[[#This Row],[OUTROS]]+Tabela1107[[#This Row],[PE]]</f>
        <v>24.740000000000002</v>
      </c>
      <c r="BT200" s="97">
        <f>+Tabela1107[[#This Row],[PIS]]+Tabela1107[[#This Row],[COFINS]]+Tabela1107[[#This Row],[CONTRIB. FOLHA]]+Tabela1107[[#This Row],[TRIBUTOS S/ LUCRO]]+Tabela1107[[#This Row],[OUTROS]]+Tabela1107[[#This Row],[PA]]</f>
        <v>24.740000000000002</v>
      </c>
      <c r="BU200" s="97">
        <f>+Tabela1107[[#This Row],[PIS]]+Tabela1107[[#This Row],[COFINS]]+Tabela1107[[#This Row],[CONTRIB. FOLHA]]+Tabela1107[[#This Row],[TRIBUTOS S/ LUCRO]]+Tabela1107[[#This Row],[OUTROS]]+Tabela1107[[#This Row],[AM]]</f>
        <v>24.740000000000002</v>
      </c>
      <c r="BV200" s="97">
        <f>AVERAGE(Tabela1107[[#This Row],[TOTAL SP]:[TOTAL AM]])</f>
        <v>24.677500000000006</v>
      </c>
      <c r="BW200" s="97"/>
      <c r="BX200" s="97"/>
    </row>
    <row r="201" spans="2:76" x14ac:dyDescent="0.25">
      <c r="B201" s="89">
        <v>5066</v>
      </c>
      <c r="C201" s="91" t="s">
        <v>13101</v>
      </c>
      <c r="D201" s="89"/>
      <c r="E201" s="89">
        <v>20140626</v>
      </c>
      <c r="F201" s="89" t="s">
        <v>21519</v>
      </c>
      <c r="G201" s="89" t="s">
        <v>21520</v>
      </c>
      <c r="H201" s="89" t="s">
        <v>21521</v>
      </c>
      <c r="I201" s="89" t="s">
        <v>21522</v>
      </c>
      <c r="J201" s="89" t="s">
        <v>580</v>
      </c>
      <c r="K201" s="89"/>
      <c r="L201" s="89" t="s">
        <v>2659</v>
      </c>
      <c r="M201" s="89" t="s">
        <v>4496</v>
      </c>
      <c r="N201" s="89" t="s">
        <v>4496</v>
      </c>
      <c r="O201" s="89" t="s">
        <v>4496</v>
      </c>
      <c r="P201" s="89" t="s">
        <v>4496</v>
      </c>
      <c r="Q201" s="89"/>
      <c r="R201" s="89" t="s">
        <v>581</v>
      </c>
      <c r="S201" s="89" t="s">
        <v>21700</v>
      </c>
      <c r="T201" s="89" t="s">
        <v>21701</v>
      </c>
      <c r="U201" s="89" t="str">
        <f>TRIM('Carga Tributária doenças Po (2'!$L201)</f>
        <v>ESTRADIOL</v>
      </c>
      <c r="V201" s="89">
        <f>SUMIFS('Tabela Federal'!$E$4:$E$2069,'Tabela Federal'!$D$4:$D$2069,'Carga Tributária doenças Po (2'!$L201)</f>
        <v>9</v>
      </c>
      <c r="W201" s="89">
        <f>SUMIFS('Tabela Federal'!$E$4:$E$2069,'Tabela Federal'!$D$4:$D$2069,'Carga Tributária doenças Po (2'!$M201)</f>
        <v>0</v>
      </c>
      <c r="X201" s="89">
        <f>SUMIFS('Tabela Federal'!$E$4:$E$2069,'Tabela Federal'!$D$4:$D$2069,'Carga Tributária doenças Po (2'!$N201)</f>
        <v>0</v>
      </c>
      <c r="Y201" s="89">
        <f>SUMIFS('Tabela Federal'!$E$4:$E$2069,'Tabela Federal'!$D$4:$D$2069,'Carga Tributária doenças Po (2'!$O201)</f>
        <v>0</v>
      </c>
      <c r="Z201" s="92" t="str">
        <f>VLOOKUP('Carga Tributária doenças Po (2'!$AD201,'Carga Tributária doenças Po (2'!$CA$12:$CC$16,2,0)</f>
        <v>+</v>
      </c>
      <c r="AA201" s="89" t="s">
        <v>573</v>
      </c>
      <c r="AB201" s="89" t="s">
        <v>21900</v>
      </c>
      <c r="AC201" s="89" t="s">
        <v>21721</v>
      </c>
      <c r="AD201" s="93" t="s">
        <v>21722</v>
      </c>
      <c r="AE201" s="92" t="s">
        <v>4</v>
      </c>
      <c r="AF201" s="92" t="s">
        <v>3</v>
      </c>
      <c r="AG201" s="94">
        <v>286986</v>
      </c>
      <c r="AH201" s="95">
        <v>4689132</v>
      </c>
      <c r="AI201" s="95">
        <v>10708263.66</v>
      </c>
      <c r="AJ201" s="89" t="s">
        <v>579</v>
      </c>
      <c r="AK201" s="89">
        <f>IF('Carga Tributária doenças Po (2'!$Z201="+",0,SUMIFS(PISCOFINS!$I$3:$I$10518,PISCOFINS!$C$3:$C$10518,'Carga Tributária doenças Po (2'!$C201))</f>
        <v>0</v>
      </c>
      <c r="AL201" s="89">
        <f>IF('Carga Tributária doenças Po (2'!$Z201="+",0,SUMIFS(PISCOFINS!$H$3:$H$10518,PISCOFINS!$C$3:$C$10518,'Carga Tributária doenças Po (2'!$C201))</f>
        <v>0</v>
      </c>
      <c r="AM201" s="95">
        <v>3.27</v>
      </c>
      <c r="AN201" s="95">
        <v>3.12</v>
      </c>
      <c r="AO201" s="95">
        <v>1.35</v>
      </c>
      <c r="AP201" s="96">
        <v>18</v>
      </c>
      <c r="AQ201" s="96">
        <v>12</v>
      </c>
      <c r="AR201" s="96">
        <v>17</v>
      </c>
      <c r="AS201" s="97">
        <v>17</v>
      </c>
      <c r="AT201" s="97">
        <v>19</v>
      </c>
      <c r="AU201" s="97">
        <v>18</v>
      </c>
      <c r="AV201" s="97">
        <v>17</v>
      </c>
      <c r="AW201" s="97">
        <v>17</v>
      </c>
      <c r="AX201" s="97">
        <v>17</v>
      </c>
      <c r="AY201" s="97">
        <v>17</v>
      </c>
      <c r="AZ201" s="97">
        <v>17</v>
      </c>
      <c r="BA201" s="97">
        <v>17</v>
      </c>
      <c r="BB201" s="97">
        <v>17</v>
      </c>
      <c r="BC201" s="97">
        <v>17</v>
      </c>
      <c r="BD201" s="97">
        <v>17</v>
      </c>
      <c r="BE201" s="97">
        <v>17</v>
      </c>
      <c r="BF201" s="97">
        <f>+Tabela1107[[#This Row],[PIS]]+Tabela1107[[#This Row],[COFINS]]+Tabela1107[[#This Row],[CONTRIB. FOLHA]]+Tabela1107[[#This Row],[TRIBUTOS S/ LUCRO]]+Tabela1107[[#This Row],[OUTROS]]+Tabela1107[[#This Row],[SP]]</f>
        <v>25.740000000000002</v>
      </c>
      <c r="BG201" s="97">
        <f>+Tabela1107[[#This Row],[PIS]]+Tabela1107[[#This Row],[COFINS]]+Tabela1107[[#This Row],[CONTRIB. FOLHA]]+Tabela1107[[#This Row],[TRIBUTOS S/ LUCRO]]+Tabela1107[[#This Row],[OUTROS]]+Tabela1107[[#This Row],[PR]]</f>
        <v>19.740000000000002</v>
      </c>
      <c r="BH201" s="97">
        <f>+Tabela1107[[#This Row],[PIS]]+Tabela1107[[#This Row],[COFINS]]+Tabela1107[[#This Row],[CONTRIB. FOLHA]]+Tabela1107[[#This Row],[TRIBUTOS S/ LUCRO]]+Tabela1107[[#This Row],[OUTROS]]+Tabela1107[[#This Row],[SC]]</f>
        <v>24.740000000000002</v>
      </c>
      <c r="BI201" s="97">
        <f>+Tabela1107[[#This Row],[PIS]]+Tabela1107[[#This Row],[COFINS]]+Tabela1107[[#This Row],[CONTRIB. FOLHA]]+Tabela1107[[#This Row],[TRIBUTOS S/ LUCRO]]+Tabela1107[[#This Row],[OUTROS]]+Tabela1107[[#This Row],[RS]]</f>
        <v>24.740000000000002</v>
      </c>
      <c r="BJ201" s="97">
        <f>+Tabela1107[[#This Row],[PIS]]+Tabela1107[[#This Row],[COFINS]]+Tabela1107[[#This Row],[CONTRIB. FOLHA]]+Tabela1107[[#This Row],[TRIBUTOS S/ LUCRO]]+Tabela1107[[#This Row],[OUTROS]]+Tabela1107[[#This Row],[RJ]]</f>
        <v>26.740000000000002</v>
      </c>
      <c r="BK201" s="97">
        <f>+Tabela1107[[#This Row],[PIS]]+Tabela1107[[#This Row],[COFINS]]+Tabela1107[[#This Row],[CONTRIB. FOLHA]]+Tabela1107[[#This Row],[TRIBUTOS S/ LUCRO]]+Tabela1107[[#This Row],[OUTROS]]+Tabela1107[[#This Row],[MG]]</f>
        <v>25.740000000000002</v>
      </c>
      <c r="BL201" s="97">
        <f>+Tabela1107[[#This Row],[PIS]]+Tabela1107[[#This Row],[COFINS]]+Tabela1107[[#This Row],[CONTRIB. FOLHA]]+Tabela1107[[#This Row],[TRIBUTOS S/ LUCRO]]+Tabela1107[[#This Row],[OUTROS]]+Tabela1107[[#This Row],[ES]]</f>
        <v>24.740000000000002</v>
      </c>
      <c r="BM201" s="97">
        <f>+Tabela1107[[#This Row],[PIS]]+Tabela1107[[#This Row],[COFINS]]+Tabela1107[[#This Row],[CONTRIB. FOLHA]]+Tabela1107[[#This Row],[TRIBUTOS S/ LUCRO]]+Tabela1107[[#This Row],[OUTROS]]+Tabela1107[[#This Row],[GO]]</f>
        <v>24.740000000000002</v>
      </c>
      <c r="BN201" s="97">
        <f>+Tabela1107[[#This Row],[PIS]]+Tabela1107[[#This Row],[COFINS]]+Tabela1107[[#This Row],[CONTRIB. FOLHA]]+Tabela1107[[#This Row],[TRIBUTOS S/ LUCRO]]+Tabela1107[[#This Row],[OUTROS]]+Tabela1107[[#This Row],[MT]]</f>
        <v>24.740000000000002</v>
      </c>
      <c r="BO201" s="97">
        <f>+Tabela1107[[#This Row],[PIS]]+Tabela1107[[#This Row],[COFINS]]+Tabela1107[[#This Row],[CONTRIB. FOLHA]]+Tabela1107[[#This Row],[TRIBUTOS S/ LUCRO]]+Tabela1107[[#This Row],[OUTROS]]+Tabela1107[[#This Row],[MS]]</f>
        <v>24.740000000000002</v>
      </c>
      <c r="BP201" s="97">
        <f>+Tabela1107[[#This Row],[PIS]]+Tabela1107[[#This Row],[COFINS]]+Tabela1107[[#This Row],[CONTRIB. FOLHA]]+Tabela1107[[#This Row],[TRIBUTOS S/ LUCRO]]+Tabela1107[[#This Row],[OUTROS]]+Tabela1107[[#This Row],[DF]]</f>
        <v>24.740000000000002</v>
      </c>
      <c r="BQ201" s="97">
        <f>+Tabela1107[[#This Row],[PIS]]+Tabela1107[[#This Row],[COFINS]]+Tabela1107[[#This Row],[CONTRIB. FOLHA]]+Tabela1107[[#This Row],[TRIBUTOS S/ LUCRO]]+Tabela1107[[#This Row],[OUTROS]]+Tabela1107[[#This Row],[BA]]</f>
        <v>24.740000000000002</v>
      </c>
      <c r="BR201" s="97">
        <f>+Tabela1107[[#This Row],[PIS]]+Tabela1107[[#This Row],[COFINS]]+Tabela1107[[#This Row],[CONTRIB. FOLHA]]+Tabela1107[[#This Row],[TRIBUTOS S/ LUCRO]]+Tabela1107[[#This Row],[OUTROS]]+Tabela1107[[#This Row],[BA]]</f>
        <v>24.740000000000002</v>
      </c>
      <c r="BS201" s="97">
        <f>+Tabela1107[[#This Row],[PIS]]+Tabela1107[[#This Row],[COFINS]]+Tabela1107[[#This Row],[CONTRIB. FOLHA]]+Tabela1107[[#This Row],[TRIBUTOS S/ LUCRO]]+Tabela1107[[#This Row],[OUTROS]]+Tabela1107[[#This Row],[PE]]</f>
        <v>24.740000000000002</v>
      </c>
      <c r="BT201" s="97">
        <f>+Tabela1107[[#This Row],[PIS]]+Tabela1107[[#This Row],[COFINS]]+Tabela1107[[#This Row],[CONTRIB. FOLHA]]+Tabela1107[[#This Row],[TRIBUTOS S/ LUCRO]]+Tabela1107[[#This Row],[OUTROS]]+Tabela1107[[#This Row],[PA]]</f>
        <v>24.740000000000002</v>
      </c>
      <c r="BU201" s="97">
        <f>+Tabela1107[[#This Row],[PIS]]+Tabela1107[[#This Row],[COFINS]]+Tabela1107[[#This Row],[CONTRIB. FOLHA]]+Tabela1107[[#This Row],[TRIBUTOS S/ LUCRO]]+Tabela1107[[#This Row],[OUTROS]]+Tabela1107[[#This Row],[AM]]</f>
        <v>24.740000000000002</v>
      </c>
      <c r="BV201" s="97">
        <f>AVERAGE(Tabela1107[[#This Row],[TOTAL SP]:[TOTAL AM]])</f>
        <v>24.677500000000006</v>
      </c>
      <c r="BW201" s="97"/>
      <c r="BX201" s="97"/>
    </row>
    <row r="202" spans="2:76" x14ac:dyDescent="0.25">
      <c r="B202" s="89">
        <v>5683</v>
      </c>
      <c r="C202" s="91" t="s">
        <v>13168</v>
      </c>
      <c r="D202" s="89"/>
      <c r="E202" s="89">
        <v>20140626</v>
      </c>
      <c r="F202" s="89" t="s">
        <v>21195</v>
      </c>
      <c r="G202" s="89" t="s">
        <v>21196</v>
      </c>
      <c r="H202" s="89" t="s">
        <v>21197</v>
      </c>
      <c r="I202" s="89" t="s">
        <v>21198</v>
      </c>
      <c r="J202" s="89" t="s">
        <v>356</v>
      </c>
      <c r="K202" s="89"/>
      <c r="L202" s="89" t="s">
        <v>3950</v>
      </c>
      <c r="M202" s="89" t="s">
        <v>4496</v>
      </c>
      <c r="N202" s="101" t="s">
        <v>4496</v>
      </c>
      <c r="O202" s="101" t="s">
        <v>4496</v>
      </c>
      <c r="P202" s="89" t="s">
        <v>4496</v>
      </c>
      <c r="Q202" s="89"/>
      <c r="R202" s="89" t="s">
        <v>132</v>
      </c>
      <c r="S202" s="89" t="s">
        <v>21676</v>
      </c>
      <c r="T202" s="89" t="s">
        <v>21677</v>
      </c>
      <c r="U202" s="89" t="str">
        <f>TRIM('Carga Tributária doenças Po (2'!$L202)</f>
        <v>RIVASTIGMINA</v>
      </c>
      <c r="V202" s="89">
        <f>SUMIFS('Tabela Federal'!$E$4:$E$2069,'Tabela Federal'!$D$4:$D$2069,'Carga Tributária doenças Po (2'!$L202)</f>
        <v>1</v>
      </c>
      <c r="W202" s="89">
        <f>SUMIFS('Tabela Federal'!$E$4:$E$2069,'Tabela Federal'!$D$4:$D$2069,'Carga Tributária doenças Po (2'!$M202)</f>
        <v>0</v>
      </c>
      <c r="X202" s="89">
        <f>SUMIFS('Tabela Federal'!$E$4:$E$2069,'Tabela Federal'!$D$4:$D$2069,'Carga Tributária doenças Po (2'!$N202)</f>
        <v>0</v>
      </c>
      <c r="Y202" s="89">
        <f>SUMIFS('Tabela Federal'!$E$4:$E$2069,'Tabela Federal'!$D$4:$D$2069,'Carga Tributária doenças Po (2'!$O202)</f>
        <v>0</v>
      </c>
      <c r="Z202" s="92" t="str">
        <f>VLOOKUP('Carga Tributária doenças Po (2'!$AD202,'Carga Tributária doenças Po (2'!$CA$12:$CC$16,2,0)</f>
        <v>+</v>
      </c>
      <c r="AA202" s="89" t="s">
        <v>354</v>
      </c>
      <c r="AB202" s="89" t="s">
        <v>21733</v>
      </c>
      <c r="AC202" s="89" t="s">
        <v>21721</v>
      </c>
      <c r="AD202" s="93" t="s">
        <v>21722</v>
      </c>
      <c r="AE202" s="92" t="s">
        <v>2</v>
      </c>
      <c r="AF202" s="92" t="s">
        <v>23</v>
      </c>
      <c r="AG202" s="94">
        <v>132544</v>
      </c>
      <c r="AH202" s="95">
        <v>21999304</v>
      </c>
      <c r="AI202" s="95">
        <v>50206096.950000003</v>
      </c>
      <c r="AJ202" s="89" t="s">
        <v>361</v>
      </c>
      <c r="AK202" s="89">
        <f>IF('Carga Tributária doenças Po (2'!$Z202="+",0,SUMIFS(PISCOFINS!$I$3:$I$10518,PISCOFINS!$C$3:$C$10518,'Carga Tributária doenças Po (2'!$C202))</f>
        <v>0</v>
      </c>
      <c r="AL202" s="89">
        <f>IF('Carga Tributária doenças Po (2'!$Z202="+",0,SUMIFS(PISCOFINS!$H$3:$H$10518,PISCOFINS!$C$3:$C$10518,'Carga Tributária doenças Po (2'!$C202))</f>
        <v>0</v>
      </c>
      <c r="AM202" s="95">
        <v>3.27</v>
      </c>
      <c r="AN202" s="95">
        <v>3.12</v>
      </c>
      <c r="AO202" s="95">
        <v>1.35</v>
      </c>
      <c r="AP202" s="96">
        <v>18</v>
      </c>
      <c r="AQ202" s="96">
        <v>12</v>
      </c>
      <c r="AR202" s="96">
        <v>17</v>
      </c>
      <c r="AS202" s="97">
        <v>17</v>
      </c>
      <c r="AT202" s="97">
        <v>19</v>
      </c>
      <c r="AU202" s="97">
        <v>18</v>
      </c>
      <c r="AV202" s="97">
        <v>17</v>
      </c>
      <c r="AW202" s="97">
        <v>17</v>
      </c>
      <c r="AX202" s="97">
        <v>17</v>
      </c>
      <c r="AY202" s="97">
        <v>17</v>
      </c>
      <c r="AZ202" s="97">
        <v>17</v>
      </c>
      <c r="BA202" s="97">
        <v>17</v>
      </c>
      <c r="BB202" s="97">
        <v>17</v>
      </c>
      <c r="BC202" s="97">
        <v>17</v>
      </c>
      <c r="BD202" s="97">
        <v>17</v>
      </c>
      <c r="BE202" s="97">
        <v>17</v>
      </c>
      <c r="BF202" s="97">
        <f>+Tabela1107[[#This Row],[PIS]]+Tabela1107[[#This Row],[COFINS]]+Tabela1107[[#This Row],[CONTRIB. FOLHA]]+Tabela1107[[#This Row],[TRIBUTOS S/ LUCRO]]+Tabela1107[[#This Row],[OUTROS]]+Tabela1107[[#This Row],[SP]]</f>
        <v>25.740000000000002</v>
      </c>
      <c r="BG202" s="97">
        <f>+Tabela1107[[#This Row],[PIS]]+Tabela1107[[#This Row],[COFINS]]+Tabela1107[[#This Row],[CONTRIB. FOLHA]]+Tabela1107[[#This Row],[TRIBUTOS S/ LUCRO]]+Tabela1107[[#This Row],[OUTROS]]+Tabela1107[[#This Row],[PR]]</f>
        <v>19.740000000000002</v>
      </c>
      <c r="BH202" s="97">
        <f>+Tabela1107[[#This Row],[PIS]]+Tabela1107[[#This Row],[COFINS]]+Tabela1107[[#This Row],[CONTRIB. FOLHA]]+Tabela1107[[#This Row],[TRIBUTOS S/ LUCRO]]+Tabela1107[[#This Row],[OUTROS]]+Tabela1107[[#This Row],[SC]]</f>
        <v>24.740000000000002</v>
      </c>
      <c r="BI202" s="97">
        <f>+Tabela1107[[#This Row],[PIS]]+Tabela1107[[#This Row],[COFINS]]+Tabela1107[[#This Row],[CONTRIB. FOLHA]]+Tabela1107[[#This Row],[TRIBUTOS S/ LUCRO]]+Tabela1107[[#This Row],[OUTROS]]+Tabela1107[[#This Row],[RS]]</f>
        <v>24.740000000000002</v>
      </c>
      <c r="BJ202" s="97">
        <f>+Tabela1107[[#This Row],[PIS]]+Tabela1107[[#This Row],[COFINS]]+Tabela1107[[#This Row],[CONTRIB. FOLHA]]+Tabela1107[[#This Row],[TRIBUTOS S/ LUCRO]]+Tabela1107[[#This Row],[OUTROS]]+Tabela1107[[#This Row],[RJ]]</f>
        <v>26.740000000000002</v>
      </c>
      <c r="BK202" s="97">
        <f>+Tabela1107[[#This Row],[PIS]]+Tabela1107[[#This Row],[COFINS]]+Tabela1107[[#This Row],[CONTRIB. FOLHA]]+Tabela1107[[#This Row],[TRIBUTOS S/ LUCRO]]+Tabela1107[[#This Row],[OUTROS]]+Tabela1107[[#This Row],[MG]]</f>
        <v>25.740000000000002</v>
      </c>
      <c r="BL202" s="97">
        <f>+Tabela1107[[#This Row],[PIS]]+Tabela1107[[#This Row],[COFINS]]+Tabela1107[[#This Row],[CONTRIB. FOLHA]]+Tabela1107[[#This Row],[TRIBUTOS S/ LUCRO]]+Tabela1107[[#This Row],[OUTROS]]+Tabela1107[[#This Row],[ES]]</f>
        <v>24.740000000000002</v>
      </c>
      <c r="BM202" s="97">
        <f>+Tabela1107[[#This Row],[PIS]]+Tabela1107[[#This Row],[COFINS]]+Tabela1107[[#This Row],[CONTRIB. FOLHA]]+Tabela1107[[#This Row],[TRIBUTOS S/ LUCRO]]+Tabela1107[[#This Row],[OUTROS]]+Tabela1107[[#This Row],[GO]]</f>
        <v>24.740000000000002</v>
      </c>
      <c r="BN202" s="97">
        <f>+Tabela1107[[#This Row],[PIS]]+Tabela1107[[#This Row],[COFINS]]+Tabela1107[[#This Row],[CONTRIB. FOLHA]]+Tabela1107[[#This Row],[TRIBUTOS S/ LUCRO]]+Tabela1107[[#This Row],[OUTROS]]+Tabela1107[[#This Row],[MT]]</f>
        <v>24.740000000000002</v>
      </c>
      <c r="BO202" s="97">
        <f>+Tabela1107[[#This Row],[PIS]]+Tabela1107[[#This Row],[COFINS]]+Tabela1107[[#This Row],[CONTRIB. FOLHA]]+Tabela1107[[#This Row],[TRIBUTOS S/ LUCRO]]+Tabela1107[[#This Row],[OUTROS]]+Tabela1107[[#This Row],[MS]]</f>
        <v>24.740000000000002</v>
      </c>
      <c r="BP202" s="97">
        <f>+Tabela1107[[#This Row],[PIS]]+Tabela1107[[#This Row],[COFINS]]+Tabela1107[[#This Row],[CONTRIB. FOLHA]]+Tabela1107[[#This Row],[TRIBUTOS S/ LUCRO]]+Tabela1107[[#This Row],[OUTROS]]+Tabela1107[[#This Row],[DF]]</f>
        <v>24.740000000000002</v>
      </c>
      <c r="BQ202" s="97">
        <f>+Tabela1107[[#This Row],[PIS]]+Tabela1107[[#This Row],[COFINS]]+Tabela1107[[#This Row],[CONTRIB. FOLHA]]+Tabela1107[[#This Row],[TRIBUTOS S/ LUCRO]]+Tabela1107[[#This Row],[OUTROS]]+Tabela1107[[#This Row],[BA]]</f>
        <v>24.740000000000002</v>
      </c>
      <c r="BR202" s="97">
        <f>+Tabela1107[[#This Row],[PIS]]+Tabela1107[[#This Row],[COFINS]]+Tabela1107[[#This Row],[CONTRIB. FOLHA]]+Tabela1107[[#This Row],[TRIBUTOS S/ LUCRO]]+Tabela1107[[#This Row],[OUTROS]]+Tabela1107[[#This Row],[BA]]</f>
        <v>24.740000000000002</v>
      </c>
      <c r="BS202" s="97">
        <f>+Tabela1107[[#This Row],[PIS]]+Tabela1107[[#This Row],[COFINS]]+Tabela1107[[#This Row],[CONTRIB. FOLHA]]+Tabela1107[[#This Row],[TRIBUTOS S/ LUCRO]]+Tabela1107[[#This Row],[OUTROS]]+Tabela1107[[#This Row],[PE]]</f>
        <v>24.740000000000002</v>
      </c>
      <c r="BT202" s="97">
        <f>+Tabela1107[[#This Row],[PIS]]+Tabela1107[[#This Row],[COFINS]]+Tabela1107[[#This Row],[CONTRIB. FOLHA]]+Tabela1107[[#This Row],[TRIBUTOS S/ LUCRO]]+Tabela1107[[#This Row],[OUTROS]]+Tabela1107[[#This Row],[PA]]</f>
        <v>24.740000000000002</v>
      </c>
      <c r="BU202" s="97">
        <f>+Tabela1107[[#This Row],[PIS]]+Tabela1107[[#This Row],[COFINS]]+Tabela1107[[#This Row],[CONTRIB. FOLHA]]+Tabela1107[[#This Row],[TRIBUTOS S/ LUCRO]]+Tabela1107[[#This Row],[OUTROS]]+Tabela1107[[#This Row],[AM]]</f>
        <v>24.740000000000002</v>
      </c>
      <c r="BV202" s="97">
        <f>AVERAGE(Tabela1107[[#This Row],[TOTAL SP]:[TOTAL AM]])</f>
        <v>24.677500000000006</v>
      </c>
      <c r="BW202" s="97"/>
      <c r="BX202" s="97"/>
    </row>
    <row r="203" spans="2:76" x14ac:dyDescent="0.25">
      <c r="B203" s="89">
        <v>1553</v>
      </c>
      <c r="C203" s="91" t="s">
        <v>13183</v>
      </c>
      <c r="D203" s="89"/>
      <c r="E203" s="89">
        <v>20140626</v>
      </c>
      <c r="F203" s="89" t="s">
        <v>20899</v>
      </c>
      <c r="G203" s="89" t="s">
        <v>20900</v>
      </c>
      <c r="H203" s="89" t="s">
        <v>20901</v>
      </c>
      <c r="I203" s="89" t="s">
        <v>20902</v>
      </c>
      <c r="J203" s="89" t="s">
        <v>287</v>
      </c>
      <c r="K203" s="89"/>
      <c r="L203" s="89" t="s">
        <v>2660</v>
      </c>
      <c r="M203" s="89" t="s">
        <v>4225</v>
      </c>
      <c r="N203" s="89" t="s">
        <v>2703</v>
      </c>
      <c r="O203" s="89" t="s">
        <v>4658</v>
      </c>
      <c r="P203" s="89" t="s">
        <v>4496</v>
      </c>
      <c r="Q203" s="89"/>
      <c r="R203" s="89" t="s">
        <v>39</v>
      </c>
      <c r="S203" s="89" t="s">
        <v>21638</v>
      </c>
      <c r="T203" s="89" t="s">
        <v>21639</v>
      </c>
      <c r="U203" s="89" t="str">
        <f>TRIM('Carga Tributária doenças Po (2'!$L203)</f>
        <v>OXOMEMAZINA</v>
      </c>
      <c r="V203" s="89">
        <f>SUMIFS('Tabela Federal'!$E$4:$E$2069,'Tabela Federal'!$D$4:$D$2069,'Carga Tributária doenças Po (2'!$L203)</f>
        <v>0</v>
      </c>
      <c r="W203" s="89">
        <f>SUMIFS('Tabela Federal'!$E$4:$E$2069,'Tabela Federal'!$D$4:$D$2069,'Carga Tributária doenças Po (2'!$M203)</f>
        <v>1</v>
      </c>
      <c r="X203" s="89">
        <f>SUMIFS('Tabela Federal'!$E$4:$E$2069,'Tabela Federal'!$D$4:$D$2069,'Carga Tributária doenças Po (2'!$N203)</f>
        <v>2</v>
      </c>
      <c r="Y203" s="89">
        <f>SUMIFS('Tabela Federal'!$E$4:$E$2069,'Tabela Federal'!$D$4:$D$2069,'Carga Tributária doenças Po (2'!$O203)</f>
        <v>0</v>
      </c>
      <c r="Z203" s="92" t="str">
        <f>VLOOKUP('Carga Tributária doenças Po (2'!$AD203,'Carga Tributária doenças Po (2'!$CA$12:$CC$16,2,0)</f>
        <v>-</v>
      </c>
      <c r="AA203" s="89" t="s">
        <v>288</v>
      </c>
      <c r="AB203" s="89" t="s">
        <v>21756</v>
      </c>
      <c r="AC203" s="89" t="s">
        <v>21721</v>
      </c>
      <c r="AD203" s="93" t="s">
        <v>19523</v>
      </c>
      <c r="AE203" s="92" t="s">
        <v>4</v>
      </c>
      <c r="AF203" s="92" t="s">
        <v>3</v>
      </c>
      <c r="AG203" s="94">
        <v>9483693</v>
      </c>
      <c r="AH203" s="95">
        <v>73437802</v>
      </c>
      <c r="AI203" s="95">
        <v>166522516.16999999</v>
      </c>
      <c r="AJ203" s="89" t="s">
        <v>595</v>
      </c>
      <c r="AK203" s="89">
        <f>IF('Carga Tributária doenças Po (2'!$Z203="+",0,SUMIFS(PISCOFINS!$I$3:$I$10518,PISCOFINS!$C$3:$C$10518,'Carga Tributária doenças Po (2'!$C203))</f>
        <v>2.1</v>
      </c>
      <c r="AL203" s="89">
        <f>IF('Carga Tributária doenças Po (2'!$Z203="+",0,SUMIFS(PISCOFINS!$H$3:$H$10518,PISCOFINS!$C$3:$C$10518,'Carga Tributária doenças Po (2'!$C203))</f>
        <v>9.9</v>
      </c>
      <c r="AM203" s="95">
        <v>3.27</v>
      </c>
      <c r="AN203" s="95">
        <v>3.12</v>
      </c>
      <c r="AO203" s="95">
        <v>1.35</v>
      </c>
      <c r="AP203" s="96">
        <v>18</v>
      </c>
      <c r="AQ203" s="96">
        <v>12</v>
      </c>
      <c r="AR203" s="96">
        <v>17</v>
      </c>
      <c r="AS203" s="97">
        <v>17</v>
      </c>
      <c r="AT203" s="97">
        <v>19</v>
      </c>
      <c r="AU203" s="97">
        <v>18</v>
      </c>
      <c r="AV203" s="97">
        <v>17</v>
      </c>
      <c r="AW203" s="97">
        <v>17</v>
      </c>
      <c r="AX203" s="97">
        <v>17</v>
      </c>
      <c r="AY203" s="97">
        <v>17</v>
      </c>
      <c r="AZ203" s="97">
        <v>17</v>
      </c>
      <c r="BA203" s="97">
        <v>17</v>
      </c>
      <c r="BB203" s="97">
        <v>17</v>
      </c>
      <c r="BC203" s="97">
        <v>17</v>
      </c>
      <c r="BD203" s="97">
        <v>17</v>
      </c>
      <c r="BE203" s="97">
        <v>17</v>
      </c>
      <c r="BF203" s="97">
        <f>+Tabela1107[[#This Row],[PIS]]+Tabela1107[[#This Row],[COFINS]]+Tabela1107[[#This Row],[CONTRIB. FOLHA]]+Tabela1107[[#This Row],[TRIBUTOS S/ LUCRO]]+Tabela1107[[#This Row],[OUTROS]]+Tabela1107[[#This Row],[SP]]</f>
        <v>37.74</v>
      </c>
      <c r="BG203" s="97">
        <f>+Tabela1107[[#This Row],[PIS]]+Tabela1107[[#This Row],[COFINS]]+Tabela1107[[#This Row],[CONTRIB. FOLHA]]+Tabela1107[[#This Row],[TRIBUTOS S/ LUCRO]]+Tabela1107[[#This Row],[OUTROS]]+Tabela1107[[#This Row],[PR]]</f>
        <v>31.740000000000002</v>
      </c>
      <c r="BH203" s="97">
        <f>+Tabela1107[[#This Row],[PIS]]+Tabela1107[[#This Row],[COFINS]]+Tabela1107[[#This Row],[CONTRIB. FOLHA]]+Tabela1107[[#This Row],[TRIBUTOS S/ LUCRO]]+Tabela1107[[#This Row],[OUTROS]]+Tabela1107[[#This Row],[SC]]</f>
        <v>36.74</v>
      </c>
      <c r="BI203" s="97">
        <f>+Tabela1107[[#This Row],[PIS]]+Tabela1107[[#This Row],[COFINS]]+Tabela1107[[#This Row],[CONTRIB. FOLHA]]+Tabela1107[[#This Row],[TRIBUTOS S/ LUCRO]]+Tabela1107[[#This Row],[OUTROS]]+Tabela1107[[#This Row],[RS]]</f>
        <v>36.74</v>
      </c>
      <c r="BJ203" s="97">
        <f>+Tabela1107[[#This Row],[PIS]]+Tabela1107[[#This Row],[COFINS]]+Tabela1107[[#This Row],[CONTRIB. FOLHA]]+Tabela1107[[#This Row],[TRIBUTOS S/ LUCRO]]+Tabela1107[[#This Row],[OUTROS]]+Tabela1107[[#This Row],[RJ]]</f>
        <v>38.74</v>
      </c>
      <c r="BK203" s="97">
        <f>+Tabela1107[[#This Row],[PIS]]+Tabela1107[[#This Row],[COFINS]]+Tabela1107[[#This Row],[CONTRIB. FOLHA]]+Tabela1107[[#This Row],[TRIBUTOS S/ LUCRO]]+Tabela1107[[#This Row],[OUTROS]]+Tabela1107[[#This Row],[MG]]</f>
        <v>37.74</v>
      </c>
      <c r="BL203" s="97">
        <f>+Tabela1107[[#This Row],[PIS]]+Tabela1107[[#This Row],[COFINS]]+Tabela1107[[#This Row],[CONTRIB. FOLHA]]+Tabela1107[[#This Row],[TRIBUTOS S/ LUCRO]]+Tabela1107[[#This Row],[OUTROS]]+Tabela1107[[#This Row],[ES]]</f>
        <v>36.74</v>
      </c>
      <c r="BM203" s="97">
        <f>+Tabela1107[[#This Row],[PIS]]+Tabela1107[[#This Row],[COFINS]]+Tabela1107[[#This Row],[CONTRIB. FOLHA]]+Tabela1107[[#This Row],[TRIBUTOS S/ LUCRO]]+Tabela1107[[#This Row],[OUTROS]]+Tabela1107[[#This Row],[GO]]</f>
        <v>36.74</v>
      </c>
      <c r="BN203" s="97">
        <f>+Tabela1107[[#This Row],[PIS]]+Tabela1107[[#This Row],[COFINS]]+Tabela1107[[#This Row],[CONTRIB. FOLHA]]+Tabela1107[[#This Row],[TRIBUTOS S/ LUCRO]]+Tabela1107[[#This Row],[OUTROS]]+Tabela1107[[#This Row],[MT]]</f>
        <v>36.74</v>
      </c>
      <c r="BO203" s="97">
        <f>+Tabela1107[[#This Row],[PIS]]+Tabela1107[[#This Row],[COFINS]]+Tabela1107[[#This Row],[CONTRIB. FOLHA]]+Tabela1107[[#This Row],[TRIBUTOS S/ LUCRO]]+Tabela1107[[#This Row],[OUTROS]]+Tabela1107[[#This Row],[MS]]</f>
        <v>36.74</v>
      </c>
      <c r="BP203" s="97">
        <f>+Tabela1107[[#This Row],[PIS]]+Tabela1107[[#This Row],[COFINS]]+Tabela1107[[#This Row],[CONTRIB. FOLHA]]+Tabela1107[[#This Row],[TRIBUTOS S/ LUCRO]]+Tabela1107[[#This Row],[OUTROS]]+Tabela1107[[#This Row],[DF]]</f>
        <v>36.74</v>
      </c>
      <c r="BQ203" s="97">
        <f>+Tabela1107[[#This Row],[PIS]]+Tabela1107[[#This Row],[COFINS]]+Tabela1107[[#This Row],[CONTRIB. FOLHA]]+Tabela1107[[#This Row],[TRIBUTOS S/ LUCRO]]+Tabela1107[[#This Row],[OUTROS]]+Tabela1107[[#This Row],[BA]]</f>
        <v>36.74</v>
      </c>
      <c r="BR203" s="97">
        <f>+Tabela1107[[#This Row],[PIS]]+Tabela1107[[#This Row],[COFINS]]+Tabela1107[[#This Row],[CONTRIB. FOLHA]]+Tabela1107[[#This Row],[TRIBUTOS S/ LUCRO]]+Tabela1107[[#This Row],[OUTROS]]+Tabela1107[[#This Row],[BA]]</f>
        <v>36.74</v>
      </c>
      <c r="BS203" s="97">
        <f>+Tabela1107[[#This Row],[PIS]]+Tabela1107[[#This Row],[COFINS]]+Tabela1107[[#This Row],[CONTRIB. FOLHA]]+Tabela1107[[#This Row],[TRIBUTOS S/ LUCRO]]+Tabela1107[[#This Row],[OUTROS]]+Tabela1107[[#This Row],[PE]]</f>
        <v>36.74</v>
      </c>
      <c r="BT203" s="97">
        <f>+Tabela1107[[#This Row],[PIS]]+Tabela1107[[#This Row],[COFINS]]+Tabela1107[[#This Row],[CONTRIB. FOLHA]]+Tabela1107[[#This Row],[TRIBUTOS S/ LUCRO]]+Tabela1107[[#This Row],[OUTROS]]+Tabela1107[[#This Row],[PA]]</f>
        <v>36.74</v>
      </c>
      <c r="BU203" s="97">
        <f>+Tabela1107[[#This Row],[PIS]]+Tabela1107[[#This Row],[COFINS]]+Tabela1107[[#This Row],[CONTRIB. FOLHA]]+Tabela1107[[#This Row],[TRIBUTOS S/ LUCRO]]+Tabela1107[[#This Row],[OUTROS]]+Tabela1107[[#This Row],[AM]]</f>
        <v>36.74</v>
      </c>
      <c r="BV203" s="97">
        <f>AVERAGE(Tabela1107[[#This Row],[TOTAL SP]:[TOTAL AM]])</f>
        <v>36.677500000000002</v>
      </c>
      <c r="BW203" s="97"/>
      <c r="BX203" s="97"/>
    </row>
    <row r="204" spans="2:76" x14ac:dyDescent="0.25">
      <c r="B204" s="89">
        <v>1553</v>
      </c>
      <c r="C204" s="91" t="s">
        <v>13183</v>
      </c>
      <c r="D204" s="89"/>
      <c r="E204" s="89">
        <v>20140626</v>
      </c>
      <c r="F204" s="89" t="s">
        <v>20899</v>
      </c>
      <c r="G204" s="89" t="s">
        <v>20900</v>
      </c>
      <c r="H204" s="89" t="s">
        <v>20901</v>
      </c>
      <c r="I204" s="89" t="s">
        <v>20902</v>
      </c>
      <c r="J204" s="89" t="s">
        <v>287</v>
      </c>
      <c r="K204" s="89"/>
      <c r="L204" s="89" t="s">
        <v>2660</v>
      </c>
      <c r="M204" s="89" t="s">
        <v>4225</v>
      </c>
      <c r="N204" s="89" t="s">
        <v>2703</v>
      </c>
      <c r="O204" s="89" t="s">
        <v>4658</v>
      </c>
      <c r="P204" s="89" t="s">
        <v>4496</v>
      </c>
      <c r="Q204" s="89"/>
      <c r="R204" s="89" t="s">
        <v>39</v>
      </c>
      <c r="S204" s="89" t="s">
        <v>21638</v>
      </c>
      <c r="T204" s="89" t="s">
        <v>21639</v>
      </c>
      <c r="U204" s="89" t="str">
        <f>TRIM('Carga Tributária doenças Po (2'!$L204)</f>
        <v>OXOMEMAZINA</v>
      </c>
      <c r="V204" s="89">
        <f>SUMIFS('Tabela Federal'!$E$4:$E$2069,'Tabela Federal'!$D$4:$D$2069,'Carga Tributária doenças Po (2'!$L204)</f>
        <v>0</v>
      </c>
      <c r="W204" s="89">
        <f>SUMIFS('Tabela Federal'!$E$4:$E$2069,'Tabela Federal'!$D$4:$D$2069,'Carga Tributária doenças Po (2'!$M204)</f>
        <v>1</v>
      </c>
      <c r="X204" s="89">
        <f>SUMIFS('Tabela Federal'!$E$4:$E$2069,'Tabela Federal'!$D$4:$D$2069,'Carga Tributária doenças Po (2'!$N204)</f>
        <v>2</v>
      </c>
      <c r="Y204" s="89">
        <f>SUMIFS('Tabela Federal'!$E$4:$E$2069,'Tabela Federal'!$D$4:$D$2069,'Carga Tributária doenças Po (2'!$O204)</f>
        <v>0</v>
      </c>
      <c r="Z204" s="92" t="str">
        <f>VLOOKUP('Carga Tributária doenças Po (2'!$AD204,'Carga Tributária doenças Po (2'!$CA$12:$CC$16,2,0)</f>
        <v>-</v>
      </c>
      <c r="AA204" s="89" t="s">
        <v>288</v>
      </c>
      <c r="AB204" s="89" t="s">
        <v>21756</v>
      </c>
      <c r="AC204" s="89" t="s">
        <v>21721</v>
      </c>
      <c r="AD204" s="93" t="s">
        <v>19523</v>
      </c>
      <c r="AE204" s="92" t="s">
        <v>4</v>
      </c>
      <c r="AF204" s="92" t="s">
        <v>3</v>
      </c>
      <c r="AG204" s="94">
        <v>9483693</v>
      </c>
      <c r="AH204" s="95">
        <v>73437802</v>
      </c>
      <c r="AI204" s="95">
        <v>166522516.16999999</v>
      </c>
      <c r="AJ204" s="89" t="s">
        <v>611</v>
      </c>
      <c r="AK204" s="89">
        <f>IF('Carga Tributária doenças Po (2'!$Z204="+",0,SUMIFS(PISCOFINS!$I$3:$I$10518,PISCOFINS!$C$3:$C$10518,'Carga Tributária doenças Po (2'!$C204))</f>
        <v>2.1</v>
      </c>
      <c r="AL204" s="89">
        <f>IF('Carga Tributária doenças Po (2'!$Z204="+",0,SUMIFS(PISCOFINS!$H$3:$H$10518,PISCOFINS!$C$3:$C$10518,'Carga Tributária doenças Po (2'!$C204))</f>
        <v>9.9</v>
      </c>
      <c r="AM204" s="95">
        <v>3.27</v>
      </c>
      <c r="AN204" s="95">
        <v>3.12</v>
      </c>
      <c r="AO204" s="95">
        <v>1.35</v>
      </c>
      <c r="AP204" s="96">
        <v>18</v>
      </c>
      <c r="AQ204" s="96">
        <v>12</v>
      </c>
      <c r="AR204" s="96">
        <v>17</v>
      </c>
      <c r="AS204" s="97">
        <v>17</v>
      </c>
      <c r="AT204" s="97">
        <v>19</v>
      </c>
      <c r="AU204" s="97">
        <v>18</v>
      </c>
      <c r="AV204" s="97">
        <v>17</v>
      </c>
      <c r="AW204" s="97">
        <v>17</v>
      </c>
      <c r="AX204" s="97">
        <v>17</v>
      </c>
      <c r="AY204" s="97">
        <v>17</v>
      </c>
      <c r="AZ204" s="97">
        <v>17</v>
      </c>
      <c r="BA204" s="97">
        <v>17</v>
      </c>
      <c r="BB204" s="97">
        <v>17</v>
      </c>
      <c r="BC204" s="97">
        <v>17</v>
      </c>
      <c r="BD204" s="97">
        <v>17</v>
      </c>
      <c r="BE204" s="97">
        <v>17</v>
      </c>
      <c r="BF204" s="97">
        <f>+Tabela1107[[#This Row],[PIS]]+Tabela1107[[#This Row],[COFINS]]+Tabela1107[[#This Row],[CONTRIB. FOLHA]]+Tabela1107[[#This Row],[TRIBUTOS S/ LUCRO]]+Tabela1107[[#This Row],[OUTROS]]+Tabela1107[[#This Row],[SP]]</f>
        <v>37.74</v>
      </c>
      <c r="BG204" s="97">
        <f>+Tabela1107[[#This Row],[PIS]]+Tabela1107[[#This Row],[COFINS]]+Tabela1107[[#This Row],[CONTRIB. FOLHA]]+Tabela1107[[#This Row],[TRIBUTOS S/ LUCRO]]+Tabela1107[[#This Row],[OUTROS]]+Tabela1107[[#This Row],[PR]]</f>
        <v>31.740000000000002</v>
      </c>
      <c r="BH204" s="97">
        <f>+Tabela1107[[#This Row],[PIS]]+Tabela1107[[#This Row],[COFINS]]+Tabela1107[[#This Row],[CONTRIB. FOLHA]]+Tabela1107[[#This Row],[TRIBUTOS S/ LUCRO]]+Tabela1107[[#This Row],[OUTROS]]+Tabela1107[[#This Row],[SC]]</f>
        <v>36.74</v>
      </c>
      <c r="BI204" s="97">
        <f>+Tabela1107[[#This Row],[PIS]]+Tabela1107[[#This Row],[COFINS]]+Tabela1107[[#This Row],[CONTRIB. FOLHA]]+Tabela1107[[#This Row],[TRIBUTOS S/ LUCRO]]+Tabela1107[[#This Row],[OUTROS]]+Tabela1107[[#This Row],[RS]]</f>
        <v>36.74</v>
      </c>
      <c r="BJ204" s="97">
        <f>+Tabela1107[[#This Row],[PIS]]+Tabela1107[[#This Row],[COFINS]]+Tabela1107[[#This Row],[CONTRIB. FOLHA]]+Tabela1107[[#This Row],[TRIBUTOS S/ LUCRO]]+Tabela1107[[#This Row],[OUTROS]]+Tabela1107[[#This Row],[RJ]]</f>
        <v>38.74</v>
      </c>
      <c r="BK204" s="97">
        <f>+Tabela1107[[#This Row],[PIS]]+Tabela1107[[#This Row],[COFINS]]+Tabela1107[[#This Row],[CONTRIB. FOLHA]]+Tabela1107[[#This Row],[TRIBUTOS S/ LUCRO]]+Tabela1107[[#This Row],[OUTROS]]+Tabela1107[[#This Row],[MG]]</f>
        <v>37.74</v>
      </c>
      <c r="BL204" s="97">
        <f>+Tabela1107[[#This Row],[PIS]]+Tabela1107[[#This Row],[COFINS]]+Tabela1107[[#This Row],[CONTRIB. FOLHA]]+Tabela1107[[#This Row],[TRIBUTOS S/ LUCRO]]+Tabela1107[[#This Row],[OUTROS]]+Tabela1107[[#This Row],[ES]]</f>
        <v>36.74</v>
      </c>
      <c r="BM204" s="97">
        <f>+Tabela1107[[#This Row],[PIS]]+Tabela1107[[#This Row],[COFINS]]+Tabela1107[[#This Row],[CONTRIB. FOLHA]]+Tabela1107[[#This Row],[TRIBUTOS S/ LUCRO]]+Tabela1107[[#This Row],[OUTROS]]+Tabela1107[[#This Row],[GO]]</f>
        <v>36.74</v>
      </c>
      <c r="BN204" s="97">
        <f>+Tabela1107[[#This Row],[PIS]]+Tabela1107[[#This Row],[COFINS]]+Tabela1107[[#This Row],[CONTRIB. FOLHA]]+Tabela1107[[#This Row],[TRIBUTOS S/ LUCRO]]+Tabela1107[[#This Row],[OUTROS]]+Tabela1107[[#This Row],[MT]]</f>
        <v>36.74</v>
      </c>
      <c r="BO204" s="97">
        <f>+Tabela1107[[#This Row],[PIS]]+Tabela1107[[#This Row],[COFINS]]+Tabela1107[[#This Row],[CONTRIB. FOLHA]]+Tabela1107[[#This Row],[TRIBUTOS S/ LUCRO]]+Tabela1107[[#This Row],[OUTROS]]+Tabela1107[[#This Row],[MS]]</f>
        <v>36.74</v>
      </c>
      <c r="BP204" s="97">
        <f>+Tabela1107[[#This Row],[PIS]]+Tabela1107[[#This Row],[COFINS]]+Tabela1107[[#This Row],[CONTRIB. FOLHA]]+Tabela1107[[#This Row],[TRIBUTOS S/ LUCRO]]+Tabela1107[[#This Row],[OUTROS]]+Tabela1107[[#This Row],[DF]]</f>
        <v>36.74</v>
      </c>
      <c r="BQ204" s="97">
        <f>+Tabela1107[[#This Row],[PIS]]+Tabela1107[[#This Row],[COFINS]]+Tabela1107[[#This Row],[CONTRIB. FOLHA]]+Tabela1107[[#This Row],[TRIBUTOS S/ LUCRO]]+Tabela1107[[#This Row],[OUTROS]]+Tabela1107[[#This Row],[BA]]</f>
        <v>36.74</v>
      </c>
      <c r="BR204" s="97">
        <f>+Tabela1107[[#This Row],[PIS]]+Tabela1107[[#This Row],[COFINS]]+Tabela1107[[#This Row],[CONTRIB. FOLHA]]+Tabela1107[[#This Row],[TRIBUTOS S/ LUCRO]]+Tabela1107[[#This Row],[OUTROS]]+Tabela1107[[#This Row],[BA]]</f>
        <v>36.74</v>
      </c>
      <c r="BS204" s="97">
        <f>+Tabela1107[[#This Row],[PIS]]+Tabela1107[[#This Row],[COFINS]]+Tabela1107[[#This Row],[CONTRIB. FOLHA]]+Tabela1107[[#This Row],[TRIBUTOS S/ LUCRO]]+Tabela1107[[#This Row],[OUTROS]]+Tabela1107[[#This Row],[PE]]</f>
        <v>36.74</v>
      </c>
      <c r="BT204" s="97">
        <f>+Tabela1107[[#This Row],[PIS]]+Tabela1107[[#This Row],[COFINS]]+Tabela1107[[#This Row],[CONTRIB. FOLHA]]+Tabela1107[[#This Row],[TRIBUTOS S/ LUCRO]]+Tabela1107[[#This Row],[OUTROS]]+Tabela1107[[#This Row],[PA]]</f>
        <v>36.74</v>
      </c>
      <c r="BU204" s="97">
        <f>+Tabela1107[[#This Row],[PIS]]+Tabela1107[[#This Row],[COFINS]]+Tabela1107[[#This Row],[CONTRIB. FOLHA]]+Tabela1107[[#This Row],[TRIBUTOS S/ LUCRO]]+Tabela1107[[#This Row],[OUTROS]]+Tabela1107[[#This Row],[AM]]</f>
        <v>36.74</v>
      </c>
      <c r="BV204" s="97">
        <f>AVERAGE(Tabela1107[[#This Row],[TOTAL SP]:[TOTAL AM]])</f>
        <v>36.677500000000002</v>
      </c>
      <c r="BW204" s="97"/>
      <c r="BX204" s="97"/>
    </row>
    <row r="205" spans="2:76" x14ac:dyDescent="0.25">
      <c r="B205" s="89">
        <v>1553</v>
      </c>
      <c r="C205" s="91" t="s">
        <v>13183</v>
      </c>
      <c r="D205" s="89"/>
      <c r="E205" s="89">
        <v>20140626</v>
      </c>
      <c r="F205" s="89" t="s">
        <v>20899</v>
      </c>
      <c r="G205" s="89" t="s">
        <v>20900</v>
      </c>
      <c r="H205" s="89" t="s">
        <v>20901</v>
      </c>
      <c r="I205" s="89" t="s">
        <v>20902</v>
      </c>
      <c r="J205" s="89" t="s">
        <v>287</v>
      </c>
      <c r="K205" s="89"/>
      <c r="L205" s="89" t="s">
        <v>2660</v>
      </c>
      <c r="M205" s="89" t="s">
        <v>4225</v>
      </c>
      <c r="N205" s="89" t="s">
        <v>2703</v>
      </c>
      <c r="O205" s="89" t="s">
        <v>4658</v>
      </c>
      <c r="P205" s="89" t="s">
        <v>4496</v>
      </c>
      <c r="Q205" s="89"/>
      <c r="R205" s="89" t="s">
        <v>39</v>
      </c>
      <c r="S205" s="89" t="s">
        <v>21638</v>
      </c>
      <c r="T205" s="89" t="s">
        <v>21639</v>
      </c>
      <c r="U205" s="89" t="str">
        <f>TRIM('Carga Tributária doenças Po (2'!$L205)</f>
        <v>OXOMEMAZINA</v>
      </c>
      <c r="V205" s="89">
        <f>SUMIFS('Tabela Federal'!$E$4:$E$2069,'Tabela Federal'!$D$4:$D$2069,'Carga Tributária doenças Po (2'!$L205)</f>
        <v>0</v>
      </c>
      <c r="W205" s="89">
        <f>SUMIFS('Tabela Federal'!$E$4:$E$2069,'Tabela Federal'!$D$4:$D$2069,'Carga Tributária doenças Po (2'!$M205)</f>
        <v>1</v>
      </c>
      <c r="X205" s="89">
        <f>SUMIFS('Tabela Federal'!$E$4:$E$2069,'Tabela Federal'!$D$4:$D$2069,'Carga Tributária doenças Po (2'!$N205)</f>
        <v>2</v>
      </c>
      <c r="Y205" s="89">
        <f>SUMIFS('Tabela Federal'!$E$4:$E$2069,'Tabela Federal'!$D$4:$D$2069,'Carga Tributária doenças Po (2'!$O205)</f>
        <v>0</v>
      </c>
      <c r="Z205" s="92" t="str">
        <f>VLOOKUP('Carga Tributária doenças Po (2'!$AD205,'Carga Tributária doenças Po (2'!$CA$12:$CC$16,2,0)</f>
        <v>-</v>
      </c>
      <c r="AA205" s="89" t="s">
        <v>288</v>
      </c>
      <c r="AB205" s="89" t="s">
        <v>21756</v>
      </c>
      <c r="AC205" s="89" t="s">
        <v>21721</v>
      </c>
      <c r="AD205" s="93" t="s">
        <v>19523</v>
      </c>
      <c r="AE205" s="92" t="s">
        <v>4</v>
      </c>
      <c r="AF205" s="92" t="s">
        <v>3</v>
      </c>
      <c r="AG205" s="94">
        <v>9483693</v>
      </c>
      <c r="AH205" s="95">
        <v>73437802</v>
      </c>
      <c r="AI205" s="95">
        <v>166522516.16999999</v>
      </c>
      <c r="AJ205" s="89" t="s">
        <v>286</v>
      </c>
      <c r="AK205" s="89">
        <f>IF('Carga Tributária doenças Po (2'!$Z205="+",0,SUMIFS(PISCOFINS!$I$3:$I$10518,PISCOFINS!$C$3:$C$10518,'Carga Tributária doenças Po (2'!$C205))</f>
        <v>2.1</v>
      </c>
      <c r="AL205" s="89">
        <f>IF('Carga Tributária doenças Po (2'!$Z205="+",0,SUMIFS(PISCOFINS!$H$3:$H$10518,PISCOFINS!$C$3:$C$10518,'Carga Tributária doenças Po (2'!$C205))</f>
        <v>9.9</v>
      </c>
      <c r="AM205" s="95">
        <v>3.27</v>
      </c>
      <c r="AN205" s="95">
        <v>3.12</v>
      </c>
      <c r="AO205" s="95">
        <v>1.35</v>
      </c>
      <c r="AP205" s="96">
        <v>18</v>
      </c>
      <c r="AQ205" s="96">
        <v>12</v>
      </c>
      <c r="AR205" s="96">
        <v>17</v>
      </c>
      <c r="AS205" s="97">
        <v>17</v>
      </c>
      <c r="AT205" s="97">
        <v>19</v>
      </c>
      <c r="AU205" s="97">
        <v>18</v>
      </c>
      <c r="AV205" s="97">
        <v>17</v>
      </c>
      <c r="AW205" s="97">
        <v>17</v>
      </c>
      <c r="AX205" s="97">
        <v>17</v>
      </c>
      <c r="AY205" s="97">
        <v>17</v>
      </c>
      <c r="AZ205" s="97">
        <v>17</v>
      </c>
      <c r="BA205" s="97">
        <v>17</v>
      </c>
      <c r="BB205" s="97">
        <v>17</v>
      </c>
      <c r="BC205" s="97">
        <v>17</v>
      </c>
      <c r="BD205" s="97">
        <v>17</v>
      </c>
      <c r="BE205" s="97">
        <v>17</v>
      </c>
      <c r="BF205" s="97">
        <f>+Tabela1107[[#This Row],[PIS]]+Tabela1107[[#This Row],[COFINS]]+Tabela1107[[#This Row],[CONTRIB. FOLHA]]+Tabela1107[[#This Row],[TRIBUTOS S/ LUCRO]]+Tabela1107[[#This Row],[OUTROS]]+Tabela1107[[#This Row],[SP]]</f>
        <v>37.74</v>
      </c>
      <c r="BG205" s="97">
        <f>+Tabela1107[[#This Row],[PIS]]+Tabela1107[[#This Row],[COFINS]]+Tabela1107[[#This Row],[CONTRIB. FOLHA]]+Tabela1107[[#This Row],[TRIBUTOS S/ LUCRO]]+Tabela1107[[#This Row],[OUTROS]]+Tabela1107[[#This Row],[PR]]</f>
        <v>31.740000000000002</v>
      </c>
      <c r="BH205" s="97">
        <f>+Tabela1107[[#This Row],[PIS]]+Tabela1107[[#This Row],[COFINS]]+Tabela1107[[#This Row],[CONTRIB. FOLHA]]+Tabela1107[[#This Row],[TRIBUTOS S/ LUCRO]]+Tabela1107[[#This Row],[OUTROS]]+Tabela1107[[#This Row],[SC]]</f>
        <v>36.74</v>
      </c>
      <c r="BI205" s="97">
        <f>+Tabela1107[[#This Row],[PIS]]+Tabela1107[[#This Row],[COFINS]]+Tabela1107[[#This Row],[CONTRIB. FOLHA]]+Tabela1107[[#This Row],[TRIBUTOS S/ LUCRO]]+Tabela1107[[#This Row],[OUTROS]]+Tabela1107[[#This Row],[RS]]</f>
        <v>36.74</v>
      </c>
      <c r="BJ205" s="97">
        <f>+Tabela1107[[#This Row],[PIS]]+Tabela1107[[#This Row],[COFINS]]+Tabela1107[[#This Row],[CONTRIB. FOLHA]]+Tabela1107[[#This Row],[TRIBUTOS S/ LUCRO]]+Tabela1107[[#This Row],[OUTROS]]+Tabela1107[[#This Row],[RJ]]</f>
        <v>38.74</v>
      </c>
      <c r="BK205" s="97">
        <f>+Tabela1107[[#This Row],[PIS]]+Tabela1107[[#This Row],[COFINS]]+Tabela1107[[#This Row],[CONTRIB. FOLHA]]+Tabela1107[[#This Row],[TRIBUTOS S/ LUCRO]]+Tabela1107[[#This Row],[OUTROS]]+Tabela1107[[#This Row],[MG]]</f>
        <v>37.74</v>
      </c>
      <c r="BL205" s="97">
        <f>+Tabela1107[[#This Row],[PIS]]+Tabela1107[[#This Row],[COFINS]]+Tabela1107[[#This Row],[CONTRIB. FOLHA]]+Tabela1107[[#This Row],[TRIBUTOS S/ LUCRO]]+Tabela1107[[#This Row],[OUTROS]]+Tabela1107[[#This Row],[ES]]</f>
        <v>36.74</v>
      </c>
      <c r="BM205" s="97">
        <f>+Tabela1107[[#This Row],[PIS]]+Tabela1107[[#This Row],[COFINS]]+Tabela1107[[#This Row],[CONTRIB. FOLHA]]+Tabela1107[[#This Row],[TRIBUTOS S/ LUCRO]]+Tabela1107[[#This Row],[OUTROS]]+Tabela1107[[#This Row],[GO]]</f>
        <v>36.74</v>
      </c>
      <c r="BN205" s="97">
        <f>+Tabela1107[[#This Row],[PIS]]+Tabela1107[[#This Row],[COFINS]]+Tabela1107[[#This Row],[CONTRIB. FOLHA]]+Tabela1107[[#This Row],[TRIBUTOS S/ LUCRO]]+Tabela1107[[#This Row],[OUTROS]]+Tabela1107[[#This Row],[MT]]</f>
        <v>36.74</v>
      </c>
      <c r="BO205" s="97">
        <f>+Tabela1107[[#This Row],[PIS]]+Tabela1107[[#This Row],[COFINS]]+Tabela1107[[#This Row],[CONTRIB. FOLHA]]+Tabela1107[[#This Row],[TRIBUTOS S/ LUCRO]]+Tabela1107[[#This Row],[OUTROS]]+Tabela1107[[#This Row],[MS]]</f>
        <v>36.74</v>
      </c>
      <c r="BP205" s="97">
        <f>+Tabela1107[[#This Row],[PIS]]+Tabela1107[[#This Row],[COFINS]]+Tabela1107[[#This Row],[CONTRIB. FOLHA]]+Tabela1107[[#This Row],[TRIBUTOS S/ LUCRO]]+Tabela1107[[#This Row],[OUTROS]]+Tabela1107[[#This Row],[DF]]</f>
        <v>36.74</v>
      </c>
      <c r="BQ205" s="97">
        <f>+Tabela1107[[#This Row],[PIS]]+Tabela1107[[#This Row],[COFINS]]+Tabela1107[[#This Row],[CONTRIB. FOLHA]]+Tabela1107[[#This Row],[TRIBUTOS S/ LUCRO]]+Tabela1107[[#This Row],[OUTROS]]+Tabela1107[[#This Row],[BA]]</f>
        <v>36.74</v>
      </c>
      <c r="BR205" s="97">
        <f>+Tabela1107[[#This Row],[PIS]]+Tabela1107[[#This Row],[COFINS]]+Tabela1107[[#This Row],[CONTRIB. FOLHA]]+Tabela1107[[#This Row],[TRIBUTOS S/ LUCRO]]+Tabela1107[[#This Row],[OUTROS]]+Tabela1107[[#This Row],[BA]]</f>
        <v>36.74</v>
      </c>
      <c r="BS205" s="97">
        <f>+Tabela1107[[#This Row],[PIS]]+Tabela1107[[#This Row],[COFINS]]+Tabela1107[[#This Row],[CONTRIB. FOLHA]]+Tabela1107[[#This Row],[TRIBUTOS S/ LUCRO]]+Tabela1107[[#This Row],[OUTROS]]+Tabela1107[[#This Row],[PE]]</f>
        <v>36.74</v>
      </c>
      <c r="BT205" s="97">
        <f>+Tabela1107[[#This Row],[PIS]]+Tabela1107[[#This Row],[COFINS]]+Tabela1107[[#This Row],[CONTRIB. FOLHA]]+Tabela1107[[#This Row],[TRIBUTOS S/ LUCRO]]+Tabela1107[[#This Row],[OUTROS]]+Tabela1107[[#This Row],[PA]]</f>
        <v>36.74</v>
      </c>
      <c r="BU205" s="97">
        <f>+Tabela1107[[#This Row],[PIS]]+Tabela1107[[#This Row],[COFINS]]+Tabela1107[[#This Row],[CONTRIB. FOLHA]]+Tabela1107[[#This Row],[TRIBUTOS S/ LUCRO]]+Tabela1107[[#This Row],[OUTROS]]+Tabela1107[[#This Row],[AM]]</f>
        <v>36.74</v>
      </c>
      <c r="BV205" s="97">
        <f>AVERAGE(Tabela1107[[#This Row],[TOTAL SP]:[TOTAL AM]])</f>
        <v>36.677500000000002</v>
      </c>
      <c r="BW205" s="97"/>
      <c r="BX205" s="97"/>
    </row>
    <row r="206" spans="2:76" x14ac:dyDescent="0.25">
      <c r="B206" s="89">
        <v>10495</v>
      </c>
      <c r="C206" s="91" t="s">
        <v>13183</v>
      </c>
      <c r="D206" s="89"/>
      <c r="E206" s="89">
        <v>20140626</v>
      </c>
      <c r="F206" s="89" t="s">
        <v>20903</v>
      </c>
      <c r="G206" s="89" t="s">
        <v>20904</v>
      </c>
      <c r="H206" s="89" t="s">
        <v>20905</v>
      </c>
      <c r="I206" s="89" t="s">
        <v>20906</v>
      </c>
      <c r="J206" s="89" t="s">
        <v>294</v>
      </c>
      <c r="K206" s="89"/>
      <c r="L206" s="89" t="s">
        <v>3173</v>
      </c>
      <c r="M206" s="89" t="s">
        <v>4482</v>
      </c>
      <c r="N206" s="89" t="s">
        <v>2703</v>
      </c>
      <c r="O206" s="89" t="s">
        <v>4496</v>
      </c>
      <c r="P206" s="89" t="s">
        <v>4496</v>
      </c>
      <c r="Q206" s="89"/>
      <c r="R206" s="89" t="s">
        <v>39</v>
      </c>
      <c r="S206" s="89" t="s">
        <v>21638</v>
      </c>
      <c r="T206" s="89" t="s">
        <v>21639</v>
      </c>
      <c r="U206" s="89" t="str">
        <f>TRIM('Carga Tributária doenças Po (2'!$L206)</f>
        <v>DEXCLORFENIRAMINA</v>
      </c>
      <c r="V206" s="89">
        <f>SUMIFS('Tabela Federal'!$E$4:$E$2069,'Tabela Federal'!$D$4:$D$2069,'Carga Tributária doenças Po (2'!$L206)</f>
        <v>0</v>
      </c>
      <c r="W206" s="89">
        <f>SUMIFS('Tabela Federal'!$E$4:$E$2069,'Tabela Federal'!$D$4:$D$2069,'Carga Tributária doenças Po (2'!$M206)</f>
        <v>0</v>
      </c>
      <c r="X206" s="89">
        <f>SUMIFS('Tabela Federal'!$E$4:$E$2069,'Tabela Federal'!$D$4:$D$2069,'Carga Tributária doenças Po (2'!$N206)</f>
        <v>2</v>
      </c>
      <c r="Y206" s="89">
        <f>SUMIFS('Tabela Federal'!$E$4:$E$2069,'Tabela Federal'!$D$4:$D$2069,'Carga Tributária doenças Po (2'!$O206)</f>
        <v>0</v>
      </c>
      <c r="Z206" s="92" t="str">
        <f>VLOOKUP('Carga Tributária doenças Po (2'!$AD206,'Carga Tributária doenças Po (2'!$CA$12:$CC$16,2,0)</f>
        <v>-</v>
      </c>
      <c r="AA206" s="89" t="s">
        <v>288</v>
      </c>
      <c r="AB206" s="89" t="s">
        <v>21726</v>
      </c>
      <c r="AC206" s="89" t="s">
        <v>21721</v>
      </c>
      <c r="AD206" s="93" t="s">
        <v>19523</v>
      </c>
      <c r="AE206" s="92" t="s">
        <v>4</v>
      </c>
      <c r="AF206" s="92" t="s">
        <v>3</v>
      </c>
      <c r="AG206" s="94">
        <v>1107408</v>
      </c>
      <c r="AH206" s="95">
        <v>7392892</v>
      </c>
      <c r="AI206" s="95">
        <v>16745640.220000001</v>
      </c>
      <c r="AJ206" s="89" t="s">
        <v>286</v>
      </c>
      <c r="AK206" s="89">
        <f>IF('Carga Tributária doenças Po (2'!$Z206="+",0,SUMIFS(PISCOFINS!$I$3:$I$10518,PISCOFINS!$C$3:$C$10518,'Carga Tributária doenças Po (2'!$C206))</f>
        <v>2.1</v>
      </c>
      <c r="AL206" s="89">
        <f>IF('Carga Tributária doenças Po (2'!$Z206="+",0,SUMIFS(PISCOFINS!$H$3:$H$10518,PISCOFINS!$C$3:$C$10518,'Carga Tributária doenças Po (2'!$C206))</f>
        <v>9.9</v>
      </c>
      <c r="AM206" s="95">
        <v>3.27</v>
      </c>
      <c r="AN206" s="95">
        <v>3.12</v>
      </c>
      <c r="AO206" s="95">
        <v>1.35</v>
      </c>
      <c r="AP206" s="96">
        <v>18</v>
      </c>
      <c r="AQ206" s="96">
        <v>12</v>
      </c>
      <c r="AR206" s="96">
        <v>17</v>
      </c>
      <c r="AS206" s="97">
        <v>17</v>
      </c>
      <c r="AT206" s="97">
        <v>19</v>
      </c>
      <c r="AU206" s="97">
        <v>18</v>
      </c>
      <c r="AV206" s="97">
        <v>17</v>
      </c>
      <c r="AW206" s="97">
        <v>17</v>
      </c>
      <c r="AX206" s="97">
        <v>17</v>
      </c>
      <c r="AY206" s="97">
        <v>17</v>
      </c>
      <c r="AZ206" s="97">
        <v>17</v>
      </c>
      <c r="BA206" s="97">
        <v>17</v>
      </c>
      <c r="BB206" s="97">
        <v>17</v>
      </c>
      <c r="BC206" s="97">
        <v>17</v>
      </c>
      <c r="BD206" s="97">
        <v>17</v>
      </c>
      <c r="BE206" s="97">
        <v>17</v>
      </c>
      <c r="BF206" s="97">
        <f>+Tabela1107[[#This Row],[PIS]]+Tabela1107[[#This Row],[COFINS]]+Tabela1107[[#This Row],[CONTRIB. FOLHA]]+Tabela1107[[#This Row],[TRIBUTOS S/ LUCRO]]+Tabela1107[[#This Row],[OUTROS]]+Tabela1107[[#This Row],[SP]]</f>
        <v>37.74</v>
      </c>
      <c r="BG206" s="97">
        <f>+Tabela1107[[#This Row],[PIS]]+Tabela1107[[#This Row],[COFINS]]+Tabela1107[[#This Row],[CONTRIB. FOLHA]]+Tabela1107[[#This Row],[TRIBUTOS S/ LUCRO]]+Tabela1107[[#This Row],[OUTROS]]+Tabela1107[[#This Row],[PR]]</f>
        <v>31.740000000000002</v>
      </c>
      <c r="BH206" s="97">
        <f>+Tabela1107[[#This Row],[PIS]]+Tabela1107[[#This Row],[COFINS]]+Tabela1107[[#This Row],[CONTRIB. FOLHA]]+Tabela1107[[#This Row],[TRIBUTOS S/ LUCRO]]+Tabela1107[[#This Row],[OUTROS]]+Tabela1107[[#This Row],[SC]]</f>
        <v>36.74</v>
      </c>
      <c r="BI206" s="97">
        <f>+Tabela1107[[#This Row],[PIS]]+Tabela1107[[#This Row],[COFINS]]+Tabela1107[[#This Row],[CONTRIB. FOLHA]]+Tabela1107[[#This Row],[TRIBUTOS S/ LUCRO]]+Tabela1107[[#This Row],[OUTROS]]+Tabela1107[[#This Row],[RS]]</f>
        <v>36.74</v>
      </c>
      <c r="BJ206" s="97">
        <f>+Tabela1107[[#This Row],[PIS]]+Tabela1107[[#This Row],[COFINS]]+Tabela1107[[#This Row],[CONTRIB. FOLHA]]+Tabela1107[[#This Row],[TRIBUTOS S/ LUCRO]]+Tabela1107[[#This Row],[OUTROS]]+Tabela1107[[#This Row],[RJ]]</f>
        <v>38.74</v>
      </c>
      <c r="BK206" s="97">
        <f>+Tabela1107[[#This Row],[PIS]]+Tabela1107[[#This Row],[COFINS]]+Tabela1107[[#This Row],[CONTRIB. FOLHA]]+Tabela1107[[#This Row],[TRIBUTOS S/ LUCRO]]+Tabela1107[[#This Row],[OUTROS]]+Tabela1107[[#This Row],[MG]]</f>
        <v>37.74</v>
      </c>
      <c r="BL206" s="97">
        <f>+Tabela1107[[#This Row],[PIS]]+Tabela1107[[#This Row],[COFINS]]+Tabela1107[[#This Row],[CONTRIB. FOLHA]]+Tabela1107[[#This Row],[TRIBUTOS S/ LUCRO]]+Tabela1107[[#This Row],[OUTROS]]+Tabela1107[[#This Row],[ES]]</f>
        <v>36.74</v>
      </c>
      <c r="BM206" s="97">
        <f>+Tabela1107[[#This Row],[PIS]]+Tabela1107[[#This Row],[COFINS]]+Tabela1107[[#This Row],[CONTRIB. FOLHA]]+Tabela1107[[#This Row],[TRIBUTOS S/ LUCRO]]+Tabela1107[[#This Row],[OUTROS]]+Tabela1107[[#This Row],[GO]]</f>
        <v>36.74</v>
      </c>
      <c r="BN206" s="97">
        <f>+Tabela1107[[#This Row],[PIS]]+Tabela1107[[#This Row],[COFINS]]+Tabela1107[[#This Row],[CONTRIB. FOLHA]]+Tabela1107[[#This Row],[TRIBUTOS S/ LUCRO]]+Tabela1107[[#This Row],[OUTROS]]+Tabela1107[[#This Row],[MT]]</f>
        <v>36.74</v>
      </c>
      <c r="BO206" s="97">
        <f>+Tabela1107[[#This Row],[PIS]]+Tabela1107[[#This Row],[COFINS]]+Tabela1107[[#This Row],[CONTRIB. FOLHA]]+Tabela1107[[#This Row],[TRIBUTOS S/ LUCRO]]+Tabela1107[[#This Row],[OUTROS]]+Tabela1107[[#This Row],[MS]]</f>
        <v>36.74</v>
      </c>
      <c r="BP206" s="97">
        <f>+Tabela1107[[#This Row],[PIS]]+Tabela1107[[#This Row],[COFINS]]+Tabela1107[[#This Row],[CONTRIB. FOLHA]]+Tabela1107[[#This Row],[TRIBUTOS S/ LUCRO]]+Tabela1107[[#This Row],[OUTROS]]+Tabela1107[[#This Row],[DF]]</f>
        <v>36.74</v>
      </c>
      <c r="BQ206" s="97">
        <f>+Tabela1107[[#This Row],[PIS]]+Tabela1107[[#This Row],[COFINS]]+Tabela1107[[#This Row],[CONTRIB. FOLHA]]+Tabela1107[[#This Row],[TRIBUTOS S/ LUCRO]]+Tabela1107[[#This Row],[OUTROS]]+Tabela1107[[#This Row],[BA]]</f>
        <v>36.74</v>
      </c>
      <c r="BR206" s="97">
        <f>+Tabela1107[[#This Row],[PIS]]+Tabela1107[[#This Row],[COFINS]]+Tabela1107[[#This Row],[CONTRIB. FOLHA]]+Tabela1107[[#This Row],[TRIBUTOS S/ LUCRO]]+Tabela1107[[#This Row],[OUTROS]]+Tabela1107[[#This Row],[BA]]</f>
        <v>36.74</v>
      </c>
      <c r="BS206" s="97">
        <f>+Tabela1107[[#This Row],[PIS]]+Tabela1107[[#This Row],[COFINS]]+Tabela1107[[#This Row],[CONTRIB. FOLHA]]+Tabela1107[[#This Row],[TRIBUTOS S/ LUCRO]]+Tabela1107[[#This Row],[OUTROS]]+Tabela1107[[#This Row],[PE]]</f>
        <v>36.74</v>
      </c>
      <c r="BT206" s="97">
        <f>+Tabela1107[[#This Row],[PIS]]+Tabela1107[[#This Row],[COFINS]]+Tabela1107[[#This Row],[CONTRIB. FOLHA]]+Tabela1107[[#This Row],[TRIBUTOS S/ LUCRO]]+Tabela1107[[#This Row],[OUTROS]]+Tabela1107[[#This Row],[PA]]</f>
        <v>36.74</v>
      </c>
      <c r="BU206" s="97">
        <f>+Tabela1107[[#This Row],[PIS]]+Tabela1107[[#This Row],[COFINS]]+Tabela1107[[#This Row],[CONTRIB. FOLHA]]+Tabela1107[[#This Row],[TRIBUTOS S/ LUCRO]]+Tabela1107[[#This Row],[OUTROS]]+Tabela1107[[#This Row],[AM]]</f>
        <v>36.74</v>
      </c>
      <c r="BV206" s="97">
        <f>AVERAGE(Tabela1107[[#This Row],[TOTAL SP]:[TOTAL AM]])</f>
        <v>36.677500000000002</v>
      </c>
      <c r="BW206" s="97"/>
      <c r="BX206" s="97"/>
    </row>
    <row r="207" spans="2:76" x14ac:dyDescent="0.25">
      <c r="B207" s="89">
        <v>20287</v>
      </c>
      <c r="C207" s="91" t="s">
        <v>13177</v>
      </c>
      <c r="D207" s="89"/>
      <c r="E207" s="89">
        <v>20140626</v>
      </c>
      <c r="F207" s="89" t="s">
        <v>21356</v>
      </c>
      <c r="G207" s="89" t="s">
        <v>21357</v>
      </c>
      <c r="H207" s="89" t="s">
        <v>21358</v>
      </c>
      <c r="I207" s="89" t="s">
        <v>21359</v>
      </c>
      <c r="J207" s="89" t="s">
        <v>342</v>
      </c>
      <c r="K207" s="89"/>
      <c r="L207" s="89" t="s">
        <v>2680</v>
      </c>
      <c r="M207" s="89"/>
      <c r="N207" s="89" t="s">
        <v>4496</v>
      </c>
      <c r="O207" s="89" t="s">
        <v>4496</v>
      </c>
      <c r="P207" s="89" t="s">
        <v>4496</v>
      </c>
      <c r="Q207" s="89"/>
      <c r="R207" s="89" t="s">
        <v>28</v>
      </c>
      <c r="S207" s="89" t="s">
        <v>21692</v>
      </c>
      <c r="T207" s="89" t="s">
        <v>21693</v>
      </c>
      <c r="U207" s="89" t="str">
        <f>TRIM('Carga Tributária doenças Po (2'!$L207)</f>
        <v>PROMETAZINA</v>
      </c>
      <c r="V207" s="89">
        <f>SUMIFS('Tabela Federal'!$E$4:$E$2069,'Tabela Federal'!$D$4:$D$2069,'Carga Tributária doenças Po (2'!$L207)</f>
        <v>0</v>
      </c>
      <c r="W207" s="89">
        <f>SUMIFS('Tabela Federal'!$E$4:$E$2069,'Tabela Federal'!$D$4:$D$2069,'Carga Tributária doenças Po (2'!$M207)</f>
        <v>0</v>
      </c>
      <c r="X207" s="89">
        <f>SUMIFS('Tabela Federal'!$E$4:$E$2069,'Tabela Federal'!$D$4:$D$2069,'Carga Tributária doenças Po (2'!$N207)</f>
        <v>0</v>
      </c>
      <c r="Y207" s="89">
        <f>SUMIFS('Tabela Federal'!$E$4:$E$2069,'Tabela Federal'!$D$4:$D$2069,'Carga Tributária doenças Po (2'!$O207)</f>
        <v>0</v>
      </c>
      <c r="Z207" s="92" t="str">
        <f>VLOOKUP('Carga Tributária doenças Po (2'!$AD207,'Carga Tributária doenças Po (2'!$CA$12:$CC$16,2,0)</f>
        <v>-</v>
      </c>
      <c r="AA207" s="89" t="s">
        <v>340</v>
      </c>
      <c r="AB207" s="89" t="s">
        <v>21728</v>
      </c>
      <c r="AC207" s="89" t="s">
        <v>21721</v>
      </c>
      <c r="AD207" s="93" t="s">
        <v>19523</v>
      </c>
      <c r="AE207" s="92" t="s">
        <v>4</v>
      </c>
      <c r="AF207" s="92" t="s">
        <v>23</v>
      </c>
      <c r="AG207" s="94">
        <v>1835904</v>
      </c>
      <c r="AH207" s="95">
        <v>5784583</v>
      </c>
      <c r="AI207" s="95">
        <v>13209880.640000001</v>
      </c>
      <c r="AJ207" s="89" t="s">
        <v>338</v>
      </c>
      <c r="AK207" s="89">
        <f>IF('Carga Tributária doenças Po (2'!$Z207="+",0,SUMIFS(PISCOFINS!$I$3:$I$10518,PISCOFINS!$C$3:$C$10518,'Carga Tributária doenças Po (2'!$C207))</f>
        <v>2.1</v>
      </c>
      <c r="AL207" s="89">
        <f>IF('Carga Tributária doenças Po (2'!$Z207="+",0,SUMIFS(PISCOFINS!$H$3:$H$10518,PISCOFINS!$C$3:$C$10518,'Carga Tributária doenças Po (2'!$C207))</f>
        <v>9.9</v>
      </c>
      <c r="AM207" s="95">
        <v>3.27</v>
      </c>
      <c r="AN207" s="95">
        <v>3.12</v>
      </c>
      <c r="AO207" s="95">
        <v>1.35</v>
      </c>
      <c r="AP207" s="96">
        <v>18</v>
      </c>
      <c r="AQ207" s="96">
        <v>12</v>
      </c>
      <c r="AR207" s="96">
        <v>17</v>
      </c>
      <c r="AS207" s="97">
        <v>17</v>
      </c>
      <c r="AT207" s="97">
        <v>19</v>
      </c>
      <c r="AU207" s="97">
        <v>18</v>
      </c>
      <c r="AV207" s="97">
        <v>17</v>
      </c>
      <c r="AW207" s="97">
        <v>17</v>
      </c>
      <c r="AX207" s="97">
        <v>17</v>
      </c>
      <c r="AY207" s="97">
        <v>17</v>
      </c>
      <c r="AZ207" s="97">
        <v>17</v>
      </c>
      <c r="BA207" s="97">
        <v>17</v>
      </c>
      <c r="BB207" s="97">
        <v>17</v>
      </c>
      <c r="BC207" s="97">
        <v>17</v>
      </c>
      <c r="BD207" s="97">
        <v>17</v>
      </c>
      <c r="BE207" s="97">
        <v>17</v>
      </c>
      <c r="BF207" s="97">
        <f>+Tabela1107[[#This Row],[PIS]]+Tabela1107[[#This Row],[COFINS]]+Tabela1107[[#This Row],[CONTRIB. FOLHA]]+Tabela1107[[#This Row],[TRIBUTOS S/ LUCRO]]+Tabela1107[[#This Row],[OUTROS]]+Tabela1107[[#This Row],[SP]]</f>
        <v>37.74</v>
      </c>
      <c r="BG207" s="97">
        <f>+Tabela1107[[#This Row],[PIS]]+Tabela1107[[#This Row],[COFINS]]+Tabela1107[[#This Row],[CONTRIB. FOLHA]]+Tabela1107[[#This Row],[TRIBUTOS S/ LUCRO]]+Tabela1107[[#This Row],[OUTROS]]+Tabela1107[[#This Row],[PR]]</f>
        <v>31.740000000000002</v>
      </c>
      <c r="BH207" s="97">
        <f>+Tabela1107[[#This Row],[PIS]]+Tabela1107[[#This Row],[COFINS]]+Tabela1107[[#This Row],[CONTRIB. FOLHA]]+Tabela1107[[#This Row],[TRIBUTOS S/ LUCRO]]+Tabela1107[[#This Row],[OUTROS]]+Tabela1107[[#This Row],[SC]]</f>
        <v>36.74</v>
      </c>
      <c r="BI207" s="97">
        <f>+Tabela1107[[#This Row],[PIS]]+Tabela1107[[#This Row],[COFINS]]+Tabela1107[[#This Row],[CONTRIB. FOLHA]]+Tabela1107[[#This Row],[TRIBUTOS S/ LUCRO]]+Tabela1107[[#This Row],[OUTROS]]+Tabela1107[[#This Row],[RS]]</f>
        <v>36.74</v>
      </c>
      <c r="BJ207" s="97">
        <f>+Tabela1107[[#This Row],[PIS]]+Tabela1107[[#This Row],[COFINS]]+Tabela1107[[#This Row],[CONTRIB. FOLHA]]+Tabela1107[[#This Row],[TRIBUTOS S/ LUCRO]]+Tabela1107[[#This Row],[OUTROS]]+Tabela1107[[#This Row],[RJ]]</f>
        <v>38.74</v>
      </c>
      <c r="BK207" s="97">
        <f>+Tabela1107[[#This Row],[PIS]]+Tabela1107[[#This Row],[COFINS]]+Tabela1107[[#This Row],[CONTRIB. FOLHA]]+Tabela1107[[#This Row],[TRIBUTOS S/ LUCRO]]+Tabela1107[[#This Row],[OUTROS]]+Tabela1107[[#This Row],[MG]]</f>
        <v>37.74</v>
      </c>
      <c r="BL207" s="97">
        <f>+Tabela1107[[#This Row],[PIS]]+Tabela1107[[#This Row],[COFINS]]+Tabela1107[[#This Row],[CONTRIB. FOLHA]]+Tabela1107[[#This Row],[TRIBUTOS S/ LUCRO]]+Tabela1107[[#This Row],[OUTROS]]+Tabela1107[[#This Row],[ES]]</f>
        <v>36.74</v>
      </c>
      <c r="BM207" s="97">
        <f>+Tabela1107[[#This Row],[PIS]]+Tabela1107[[#This Row],[COFINS]]+Tabela1107[[#This Row],[CONTRIB. FOLHA]]+Tabela1107[[#This Row],[TRIBUTOS S/ LUCRO]]+Tabela1107[[#This Row],[OUTROS]]+Tabela1107[[#This Row],[GO]]</f>
        <v>36.74</v>
      </c>
      <c r="BN207" s="97">
        <f>+Tabela1107[[#This Row],[PIS]]+Tabela1107[[#This Row],[COFINS]]+Tabela1107[[#This Row],[CONTRIB. FOLHA]]+Tabela1107[[#This Row],[TRIBUTOS S/ LUCRO]]+Tabela1107[[#This Row],[OUTROS]]+Tabela1107[[#This Row],[MT]]</f>
        <v>36.74</v>
      </c>
      <c r="BO207" s="97">
        <f>+Tabela1107[[#This Row],[PIS]]+Tabela1107[[#This Row],[COFINS]]+Tabela1107[[#This Row],[CONTRIB. FOLHA]]+Tabela1107[[#This Row],[TRIBUTOS S/ LUCRO]]+Tabela1107[[#This Row],[OUTROS]]+Tabela1107[[#This Row],[MS]]</f>
        <v>36.74</v>
      </c>
      <c r="BP207" s="97">
        <f>+Tabela1107[[#This Row],[PIS]]+Tabela1107[[#This Row],[COFINS]]+Tabela1107[[#This Row],[CONTRIB. FOLHA]]+Tabela1107[[#This Row],[TRIBUTOS S/ LUCRO]]+Tabela1107[[#This Row],[OUTROS]]+Tabela1107[[#This Row],[DF]]</f>
        <v>36.74</v>
      </c>
      <c r="BQ207" s="97">
        <f>+Tabela1107[[#This Row],[PIS]]+Tabela1107[[#This Row],[COFINS]]+Tabela1107[[#This Row],[CONTRIB. FOLHA]]+Tabela1107[[#This Row],[TRIBUTOS S/ LUCRO]]+Tabela1107[[#This Row],[OUTROS]]+Tabela1107[[#This Row],[BA]]</f>
        <v>36.74</v>
      </c>
      <c r="BR207" s="97">
        <f>+Tabela1107[[#This Row],[PIS]]+Tabela1107[[#This Row],[COFINS]]+Tabela1107[[#This Row],[CONTRIB. FOLHA]]+Tabela1107[[#This Row],[TRIBUTOS S/ LUCRO]]+Tabela1107[[#This Row],[OUTROS]]+Tabela1107[[#This Row],[BA]]</f>
        <v>36.74</v>
      </c>
      <c r="BS207" s="97">
        <f>+Tabela1107[[#This Row],[PIS]]+Tabela1107[[#This Row],[COFINS]]+Tabela1107[[#This Row],[CONTRIB. FOLHA]]+Tabela1107[[#This Row],[TRIBUTOS S/ LUCRO]]+Tabela1107[[#This Row],[OUTROS]]+Tabela1107[[#This Row],[PE]]</f>
        <v>36.74</v>
      </c>
      <c r="BT207" s="97">
        <f>+Tabela1107[[#This Row],[PIS]]+Tabela1107[[#This Row],[COFINS]]+Tabela1107[[#This Row],[CONTRIB. FOLHA]]+Tabela1107[[#This Row],[TRIBUTOS S/ LUCRO]]+Tabela1107[[#This Row],[OUTROS]]+Tabela1107[[#This Row],[PA]]</f>
        <v>36.74</v>
      </c>
      <c r="BU207" s="97">
        <f>+Tabela1107[[#This Row],[PIS]]+Tabela1107[[#This Row],[COFINS]]+Tabela1107[[#This Row],[CONTRIB. FOLHA]]+Tabela1107[[#This Row],[TRIBUTOS S/ LUCRO]]+Tabela1107[[#This Row],[OUTROS]]+Tabela1107[[#This Row],[AM]]</f>
        <v>36.74</v>
      </c>
      <c r="BV207" s="97">
        <f>AVERAGE(Tabela1107[[#This Row],[TOTAL SP]:[TOTAL AM]])</f>
        <v>36.677500000000002</v>
      </c>
      <c r="BW207" s="97"/>
      <c r="BX207" s="97"/>
    </row>
    <row r="208" spans="2:76" x14ac:dyDescent="0.25">
      <c r="B208" s="89">
        <v>20287</v>
      </c>
      <c r="C208" s="91" t="s">
        <v>13177</v>
      </c>
      <c r="D208" s="89"/>
      <c r="E208" s="89">
        <v>20140626</v>
      </c>
      <c r="F208" s="89" t="s">
        <v>21356</v>
      </c>
      <c r="G208" s="89" t="s">
        <v>21357</v>
      </c>
      <c r="H208" s="89" t="s">
        <v>21358</v>
      </c>
      <c r="I208" s="89" t="s">
        <v>21359</v>
      </c>
      <c r="J208" s="89" t="s">
        <v>342</v>
      </c>
      <c r="K208" s="89"/>
      <c r="L208" s="89" t="s">
        <v>2680</v>
      </c>
      <c r="M208" s="89" t="s">
        <v>4496</v>
      </c>
      <c r="N208" s="89" t="s">
        <v>4496</v>
      </c>
      <c r="O208" s="89" t="s">
        <v>4496</v>
      </c>
      <c r="P208" s="89" t="s">
        <v>4496</v>
      </c>
      <c r="Q208" s="89"/>
      <c r="R208" s="89" t="s">
        <v>28</v>
      </c>
      <c r="S208" s="89" t="s">
        <v>21692</v>
      </c>
      <c r="T208" s="89" t="s">
        <v>21693</v>
      </c>
      <c r="U208" s="89" t="str">
        <f>TRIM('Carga Tributária doenças Po (2'!$L208)</f>
        <v>PROMETAZINA</v>
      </c>
      <c r="V208" s="89">
        <f>SUMIFS('Tabela Federal'!$E$4:$E$2069,'Tabela Federal'!$D$4:$D$2069,'Carga Tributária doenças Po (2'!$L208)</f>
        <v>0</v>
      </c>
      <c r="W208" s="89">
        <f>SUMIFS('Tabela Federal'!$E$4:$E$2069,'Tabela Federal'!$D$4:$D$2069,'Carga Tributária doenças Po (2'!$M208)</f>
        <v>0</v>
      </c>
      <c r="X208" s="89">
        <f>SUMIFS('Tabela Federal'!$E$4:$E$2069,'Tabela Federal'!$D$4:$D$2069,'Carga Tributária doenças Po (2'!$N208)</f>
        <v>0</v>
      </c>
      <c r="Y208" s="89">
        <f>SUMIFS('Tabela Federal'!$E$4:$E$2069,'Tabela Federal'!$D$4:$D$2069,'Carga Tributária doenças Po (2'!$O208)</f>
        <v>0</v>
      </c>
      <c r="Z208" s="92" t="str">
        <f>VLOOKUP('Carga Tributária doenças Po (2'!$AD208,'Carga Tributária doenças Po (2'!$CA$12:$CC$16,2,0)</f>
        <v>-</v>
      </c>
      <c r="AA208" s="89" t="s">
        <v>340</v>
      </c>
      <c r="AB208" s="89" t="s">
        <v>21728</v>
      </c>
      <c r="AC208" s="89" t="s">
        <v>21721</v>
      </c>
      <c r="AD208" s="93" t="s">
        <v>19523</v>
      </c>
      <c r="AE208" s="92" t="s">
        <v>4</v>
      </c>
      <c r="AF208" s="92" t="s">
        <v>23</v>
      </c>
      <c r="AG208" s="94">
        <v>1835904</v>
      </c>
      <c r="AH208" s="95">
        <v>5784583</v>
      </c>
      <c r="AI208" s="95">
        <v>13209880.640000001</v>
      </c>
      <c r="AJ208" s="89" t="s">
        <v>554</v>
      </c>
      <c r="AK208" s="89">
        <f>IF('Carga Tributária doenças Po (2'!$Z208="+",0,SUMIFS(PISCOFINS!$I$3:$I$10518,PISCOFINS!$C$3:$C$10518,'Carga Tributária doenças Po (2'!$C208))</f>
        <v>2.1</v>
      </c>
      <c r="AL208" s="89">
        <f>IF('Carga Tributária doenças Po (2'!$Z208="+",0,SUMIFS(PISCOFINS!$H$3:$H$10518,PISCOFINS!$C$3:$C$10518,'Carga Tributária doenças Po (2'!$C208))</f>
        <v>9.9</v>
      </c>
      <c r="AM208" s="95">
        <v>3.27</v>
      </c>
      <c r="AN208" s="95">
        <v>3.12</v>
      </c>
      <c r="AO208" s="95">
        <v>1.35</v>
      </c>
      <c r="AP208" s="96">
        <v>18</v>
      </c>
      <c r="AQ208" s="96">
        <v>12</v>
      </c>
      <c r="AR208" s="96">
        <v>17</v>
      </c>
      <c r="AS208" s="97">
        <v>17</v>
      </c>
      <c r="AT208" s="97">
        <v>19</v>
      </c>
      <c r="AU208" s="97">
        <v>18</v>
      </c>
      <c r="AV208" s="97">
        <v>17</v>
      </c>
      <c r="AW208" s="97">
        <v>17</v>
      </c>
      <c r="AX208" s="97">
        <v>17</v>
      </c>
      <c r="AY208" s="97">
        <v>17</v>
      </c>
      <c r="AZ208" s="97">
        <v>17</v>
      </c>
      <c r="BA208" s="97">
        <v>17</v>
      </c>
      <c r="BB208" s="97">
        <v>17</v>
      </c>
      <c r="BC208" s="97">
        <v>17</v>
      </c>
      <c r="BD208" s="97">
        <v>17</v>
      </c>
      <c r="BE208" s="97">
        <v>17</v>
      </c>
      <c r="BF208" s="97">
        <f>+Tabela1107[[#This Row],[PIS]]+Tabela1107[[#This Row],[COFINS]]+Tabela1107[[#This Row],[CONTRIB. FOLHA]]+Tabela1107[[#This Row],[TRIBUTOS S/ LUCRO]]+Tabela1107[[#This Row],[OUTROS]]+Tabela1107[[#This Row],[SP]]</f>
        <v>37.74</v>
      </c>
      <c r="BG208" s="97">
        <f>+Tabela1107[[#This Row],[PIS]]+Tabela1107[[#This Row],[COFINS]]+Tabela1107[[#This Row],[CONTRIB. FOLHA]]+Tabela1107[[#This Row],[TRIBUTOS S/ LUCRO]]+Tabela1107[[#This Row],[OUTROS]]+Tabela1107[[#This Row],[PR]]</f>
        <v>31.740000000000002</v>
      </c>
      <c r="BH208" s="97">
        <f>+Tabela1107[[#This Row],[PIS]]+Tabela1107[[#This Row],[COFINS]]+Tabela1107[[#This Row],[CONTRIB. FOLHA]]+Tabela1107[[#This Row],[TRIBUTOS S/ LUCRO]]+Tabela1107[[#This Row],[OUTROS]]+Tabela1107[[#This Row],[SC]]</f>
        <v>36.74</v>
      </c>
      <c r="BI208" s="97">
        <f>+Tabela1107[[#This Row],[PIS]]+Tabela1107[[#This Row],[COFINS]]+Tabela1107[[#This Row],[CONTRIB. FOLHA]]+Tabela1107[[#This Row],[TRIBUTOS S/ LUCRO]]+Tabela1107[[#This Row],[OUTROS]]+Tabela1107[[#This Row],[RS]]</f>
        <v>36.74</v>
      </c>
      <c r="BJ208" s="97">
        <f>+Tabela1107[[#This Row],[PIS]]+Tabela1107[[#This Row],[COFINS]]+Tabela1107[[#This Row],[CONTRIB. FOLHA]]+Tabela1107[[#This Row],[TRIBUTOS S/ LUCRO]]+Tabela1107[[#This Row],[OUTROS]]+Tabela1107[[#This Row],[RJ]]</f>
        <v>38.74</v>
      </c>
      <c r="BK208" s="97">
        <f>+Tabela1107[[#This Row],[PIS]]+Tabela1107[[#This Row],[COFINS]]+Tabela1107[[#This Row],[CONTRIB. FOLHA]]+Tabela1107[[#This Row],[TRIBUTOS S/ LUCRO]]+Tabela1107[[#This Row],[OUTROS]]+Tabela1107[[#This Row],[MG]]</f>
        <v>37.74</v>
      </c>
      <c r="BL208" s="97">
        <f>+Tabela1107[[#This Row],[PIS]]+Tabela1107[[#This Row],[COFINS]]+Tabela1107[[#This Row],[CONTRIB. FOLHA]]+Tabela1107[[#This Row],[TRIBUTOS S/ LUCRO]]+Tabela1107[[#This Row],[OUTROS]]+Tabela1107[[#This Row],[ES]]</f>
        <v>36.74</v>
      </c>
      <c r="BM208" s="97">
        <f>+Tabela1107[[#This Row],[PIS]]+Tabela1107[[#This Row],[COFINS]]+Tabela1107[[#This Row],[CONTRIB. FOLHA]]+Tabela1107[[#This Row],[TRIBUTOS S/ LUCRO]]+Tabela1107[[#This Row],[OUTROS]]+Tabela1107[[#This Row],[GO]]</f>
        <v>36.74</v>
      </c>
      <c r="BN208" s="97">
        <f>+Tabela1107[[#This Row],[PIS]]+Tabela1107[[#This Row],[COFINS]]+Tabela1107[[#This Row],[CONTRIB. FOLHA]]+Tabela1107[[#This Row],[TRIBUTOS S/ LUCRO]]+Tabela1107[[#This Row],[OUTROS]]+Tabela1107[[#This Row],[MT]]</f>
        <v>36.74</v>
      </c>
      <c r="BO208" s="97">
        <f>+Tabela1107[[#This Row],[PIS]]+Tabela1107[[#This Row],[COFINS]]+Tabela1107[[#This Row],[CONTRIB. FOLHA]]+Tabela1107[[#This Row],[TRIBUTOS S/ LUCRO]]+Tabela1107[[#This Row],[OUTROS]]+Tabela1107[[#This Row],[MS]]</f>
        <v>36.74</v>
      </c>
      <c r="BP208" s="97">
        <f>+Tabela1107[[#This Row],[PIS]]+Tabela1107[[#This Row],[COFINS]]+Tabela1107[[#This Row],[CONTRIB. FOLHA]]+Tabela1107[[#This Row],[TRIBUTOS S/ LUCRO]]+Tabela1107[[#This Row],[OUTROS]]+Tabela1107[[#This Row],[DF]]</f>
        <v>36.74</v>
      </c>
      <c r="BQ208" s="97">
        <f>+Tabela1107[[#This Row],[PIS]]+Tabela1107[[#This Row],[COFINS]]+Tabela1107[[#This Row],[CONTRIB. FOLHA]]+Tabela1107[[#This Row],[TRIBUTOS S/ LUCRO]]+Tabela1107[[#This Row],[OUTROS]]+Tabela1107[[#This Row],[BA]]</f>
        <v>36.74</v>
      </c>
      <c r="BR208" s="97">
        <f>+Tabela1107[[#This Row],[PIS]]+Tabela1107[[#This Row],[COFINS]]+Tabela1107[[#This Row],[CONTRIB. FOLHA]]+Tabela1107[[#This Row],[TRIBUTOS S/ LUCRO]]+Tabela1107[[#This Row],[OUTROS]]+Tabela1107[[#This Row],[BA]]</f>
        <v>36.74</v>
      </c>
      <c r="BS208" s="97">
        <f>+Tabela1107[[#This Row],[PIS]]+Tabela1107[[#This Row],[COFINS]]+Tabela1107[[#This Row],[CONTRIB. FOLHA]]+Tabela1107[[#This Row],[TRIBUTOS S/ LUCRO]]+Tabela1107[[#This Row],[OUTROS]]+Tabela1107[[#This Row],[PE]]</f>
        <v>36.74</v>
      </c>
      <c r="BT208" s="97">
        <f>+Tabela1107[[#This Row],[PIS]]+Tabela1107[[#This Row],[COFINS]]+Tabela1107[[#This Row],[CONTRIB. FOLHA]]+Tabela1107[[#This Row],[TRIBUTOS S/ LUCRO]]+Tabela1107[[#This Row],[OUTROS]]+Tabela1107[[#This Row],[PA]]</f>
        <v>36.74</v>
      </c>
      <c r="BU208" s="97">
        <f>+Tabela1107[[#This Row],[PIS]]+Tabela1107[[#This Row],[COFINS]]+Tabela1107[[#This Row],[CONTRIB. FOLHA]]+Tabela1107[[#This Row],[TRIBUTOS S/ LUCRO]]+Tabela1107[[#This Row],[OUTROS]]+Tabela1107[[#This Row],[AM]]</f>
        <v>36.74</v>
      </c>
      <c r="BV208" s="97">
        <f>AVERAGE(Tabela1107[[#This Row],[TOTAL SP]:[TOTAL AM]])</f>
        <v>36.677500000000002</v>
      </c>
      <c r="BW208" s="97"/>
      <c r="BX208" s="97"/>
    </row>
    <row r="209" spans="2:76" x14ac:dyDescent="0.25">
      <c r="B209" s="89">
        <v>2261</v>
      </c>
      <c r="C209" s="91" t="s">
        <v>13183</v>
      </c>
      <c r="D209" s="89"/>
      <c r="E209" s="89">
        <v>20140626</v>
      </c>
      <c r="F209" s="89" t="s">
        <v>21108</v>
      </c>
      <c r="G209" s="89" t="s">
        <v>21109</v>
      </c>
      <c r="H209" s="89" t="s">
        <v>21110</v>
      </c>
      <c r="I209" s="89" t="s">
        <v>21111</v>
      </c>
      <c r="J209" s="89" t="s">
        <v>544</v>
      </c>
      <c r="K209" s="89"/>
      <c r="L209" s="89" t="s">
        <v>3166</v>
      </c>
      <c r="M209" s="89" t="s">
        <v>4173</v>
      </c>
      <c r="N209" s="89" t="s">
        <v>4496</v>
      </c>
      <c r="O209" s="89" t="s">
        <v>4496</v>
      </c>
      <c r="P209" s="89" t="s">
        <v>4496</v>
      </c>
      <c r="Q209" s="89"/>
      <c r="R209" s="89" t="s">
        <v>34</v>
      </c>
      <c r="S209" s="89" t="s">
        <v>21670</v>
      </c>
      <c r="T209" s="89" t="s">
        <v>21671</v>
      </c>
      <c r="U209" s="89" t="str">
        <f>TRIM('Carga Tributária doenças Po (2'!$L209)</f>
        <v>DIOSMINA</v>
      </c>
      <c r="V209" s="89">
        <f>SUMIFS('Tabela Federal'!$E$4:$E$2069,'Tabela Federal'!$D$4:$D$2069,'Carga Tributária doenças Po (2'!$L209)</f>
        <v>0</v>
      </c>
      <c r="W209" s="89">
        <f>SUMIFS('Tabela Federal'!$E$4:$E$2069,'Tabela Federal'!$D$4:$D$2069,'Carga Tributária doenças Po (2'!$M209)</f>
        <v>0</v>
      </c>
      <c r="X209" s="89">
        <f>SUMIFS('Tabela Federal'!$E$4:$E$2069,'Tabela Federal'!$D$4:$D$2069,'Carga Tributária doenças Po (2'!$N209)</f>
        <v>0</v>
      </c>
      <c r="Y209" s="89">
        <f>SUMIFS('Tabela Federal'!$E$4:$E$2069,'Tabela Federal'!$D$4:$D$2069,'Carga Tributária doenças Po (2'!$O209)</f>
        <v>0</v>
      </c>
      <c r="Z209" s="92" t="str">
        <f>VLOOKUP('Carga Tributária doenças Po (2'!$AD209,'Carga Tributária doenças Po (2'!$CA$12:$CC$16,2,0)</f>
        <v>-</v>
      </c>
      <c r="AA209" s="89" t="s">
        <v>541</v>
      </c>
      <c r="AB209" s="89" t="s">
        <v>21794</v>
      </c>
      <c r="AC209" s="89" t="s">
        <v>21721</v>
      </c>
      <c r="AD209" s="93" t="s">
        <v>19523</v>
      </c>
      <c r="AE209" s="92" t="s">
        <v>4</v>
      </c>
      <c r="AF209" s="92" t="s">
        <v>3</v>
      </c>
      <c r="AG209" s="94">
        <v>1083429</v>
      </c>
      <c r="AH209" s="95">
        <v>20780404</v>
      </c>
      <c r="AI209" s="95">
        <v>47507210.039999999</v>
      </c>
      <c r="AJ209" s="89" t="s">
        <v>548</v>
      </c>
      <c r="AK209" s="89">
        <f>IF('Carga Tributária doenças Po (2'!$Z209="+",0,SUMIFS(PISCOFINS!$I$3:$I$10518,PISCOFINS!$C$3:$C$10518,'Carga Tributária doenças Po (2'!$C209))</f>
        <v>2.1</v>
      </c>
      <c r="AL209" s="89">
        <f>IF('Carga Tributária doenças Po (2'!$Z209="+",0,SUMIFS(PISCOFINS!$H$3:$H$10518,PISCOFINS!$C$3:$C$10518,'Carga Tributária doenças Po (2'!$C209))</f>
        <v>9.9</v>
      </c>
      <c r="AM209" s="95">
        <v>3.27</v>
      </c>
      <c r="AN209" s="95">
        <v>3.12</v>
      </c>
      <c r="AO209" s="95">
        <v>1.35</v>
      </c>
      <c r="AP209" s="96">
        <v>18</v>
      </c>
      <c r="AQ209" s="96">
        <v>12</v>
      </c>
      <c r="AR209" s="96">
        <v>17</v>
      </c>
      <c r="AS209" s="97">
        <v>17</v>
      </c>
      <c r="AT209" s="97">
        <v>19</v>
      </c>
      <c r="AU209" s="97">
        <v>18</v>
      </c>
      <c r="AV209" s="97">
        <v>17</v>
      </c>
      <c r="AW209" s="97">
        <v>17</v>
      </c>
      <c r="AX209" s="97">
        <v>17</v>
      </c>
      <c r="AY209" s="97">
        <v>17</v>
      </c>
      <c r="AZ209" s="97">
        <v>17</v>
      </c>
      <c r="BA209" s="97">
        <v>17</v>
      </c>
      <c r="BB209" s="97">
        <v>17</v>
      </c>
      <c r="BC209" s="97">
        <v>17</v>
      </c>
      <c r="BD209" s="97">
        <v>17</v>
      </c>
      <c r="BE209" s="97">
        <v>17</v>
      </c>
      <c r="BF209" s="97">
        <f>+Tabela1107[[#This Row],[PIS]]+Tabela1107[[#This Row],[COFINS]]+Tabela1107[[#This Row],[CONTRIB. FOLHA]]+Tabela1107[[#This Row],[TRIBUTOS S/ LUCRO]]+Tabela1107[[#This Row],[OUTROS]]+Tabela1107[[#This Row],[SP]]</f>
        <v>37.74</v>
      </c>
      <c r="BG209" s="97">
        <f>+Tabela1107[[#This Row],[PIS]]+Tabela1107[[#This Row],[COFINS]]+Tabela1107[[#This Row],[CONTRIB. FOLHA]]+Tabela1107[[#This Row],[TRIBUTOS S/ LUCRO]]+Tabela1107[[#This Row],[OUTROS]]+Tabela1107[[#This Row],[PR]]</f>
        <v>31.740000000000002</v>
      </c>
      <c r="BH209" s="97">
        <f>+Tabela1107[[#This Row],[PIS]]+Tabela1107[[#This Row],[COFINS]]+Tabela1107[[#This Row],[CONTRIB. FOLHA]]+Tabela1107[[#This Row],[TRIBUTOS S/ LUCRO]]+Tabela1107[[#This Row],[OUTROS]]+Tabela1107[[#This Row],[SC]]</f>
        <v>36.74</v>
      </c>
      <c r="BI209" s="97">
        <f>+Tabela1107[[#This Row],[PIS]]+Tabela1107[[#This Row],[COFINS]]+Tabela1107[[#This Row],[CONTRIB. FOLHA]]+Tabela1107[[#This Row],[TRIBUTOS S/ LUCRO]]+Tabela1107[[#This Row],[OUTROS]]+Tabela1107[[#This Row],[RS]]</f>
        <v>36.74</v>
      </c>
      <c r="BJ209" s="97">
        <f>+Tabela1107[[#This Row],[PIS]]+Tabela1107[[#This Row],[COFINS]]+Tabela1107[[#This Row],[CONTRIB. FOLHA]]+Tabela1107[[#This Row],[TRIBUTOS S/ LUCRO]]+Tabela1107[[#This Row],[OUTROS]]+Tabela1107[[#This Row],[RJ]]</f>
        <v>38.74</v>
      </c>
      <c r="BK209" s="97">
        <f>+Tabela1107[[#This Row],[PIS]]+Tabela1107[[#This Row],[COFINS]]+Tabela1107[[#This Row],[CONTRIB. FOLHA]]+Tabela1107[[#This Row],[TRIBUTOS S/ LUCRO]]+Tabela1107[[#This Row],[OUTROS]]+Tabela1107[[#This Row],[MG]]</f>
        <v>37.74</v>
      </c>
      <c r="BL209" s="97">
        <f>+Tabela1107[[#This Row],[PIS]]+Tabela1107[[#This Row],[COFINS]]+Tabela1107[[#This Row],[CONTRIB. FOLHA]]+Tabela1107[[#This Row],[TRIBUTOS S/ LUCRO]]+Tabela1107[[#This Row],[OUTROS]]+Tabela1107[[#This Row],[ES]]</f>
        <v>36.74</v>
      </c>
      <c r="BM209" s="97">
        <f>+Tabela1107[[#This Row],[PIS]]+Tabela1107[[#This Row],[COFINS]]+Tabela1107[[#This Row],[CONTRIB. FOLHA]]+Tabela1107[[#This Row],[TRIBUTOS S/ LUCRO]]+Tabela1107[[#This Row],[OUTROS]]+Tabela1107[[#This Row],[GO]]</f>
        <v>36.74</v>
      </c>
      <c r="BN209" s="97">
        <f>+Tabela1107[[#This Row],[PIS]]+Tabela1107[[#This Row],[COFINS]]+Tabela1107[[#This Row],[CONTRIB. FOLHA]]+Tabela1107[[#This Row],[TRIBUTOS S/ LUCRO]]+Tabela1107[[#This Row],[OUTROS]]+Tabela1107[[#This Row],[MT]]</f>
        <v>36.74</v>
      </c>
      <c r="BO209" s="97">
        <f>+Tabela1107[[#This Row],[PIS]]+Tabela1107[[#This Row],[COFINS]]+Tabela1107[[#This Row],[CONTRIB. FOLHA]]+Tabela1107[[#This Row],[TRIBUTOS S/ LUCRO]]+Tabela1107[[#This Row],[OUTROS]]+Tabela1107[[#This Row],[MS]]</f>
        <v>36.74</v>
      </c>
      <c r="BP209" s="97">
        <f>+Tabela1107[[#This Row],[PIS]]+Tabela1107[[#This Row],[COFINS]]+Tabela1107[[#This Row],[CONTRIB. FOLHA]]+Tabela1107[[#This Row],[TRIBUTOS S/ LUCRO]]+Tabela1107[[#This Row],[OUTROS]]+Tabela1107[[#This Row],[DF]]</f>
        <v>36.74</v>
      </c>
      <c r="BQ209" s="97">
        <f>+Tabela1107[[#This Row],[PIS]]+Tabela1107[[#This Row],[COFINS]]+Tabela1107[[#This Row],[CONTRIB. FOLHA]]+Tabela1107[[#This Row],[TRIBUTOS S/ LUCRO]]+Tabela1107[[#This Row],[OUTROS]]+Tabela1107[[#This Row],[BA]]</f>
        <v>36.74</v>
      </c>
      <c r="BR209" s="97">
        <f>+Tabela1107[[#This Row],[PIS]]+Tabela1107[[#This Row],[COFINS]]+Tabela1107[[#This Row],[CONTRIB. FOLHA]]+Tabela1107[[#This Row],[TRIBUTOS S/ LUCRO]]+Tabela1107[[#This Row],[OUTROS]]+Tabela1107[[#This Row],[BA]]</f>
        <v>36.74</v>
      </c>
      <c r="BS209" s="97">
        <f>+Tabela1107[[#This Row],[PIS]]+Tabela1107[[#This Row],[COFINS]]+Tabela1107[[#This Row],[CONTRIB. FOLHA]]+Tabela1107[[#This Row],[TRIBUTOS S/ LUCRO]]+Tabela1107[[#This Row],[OUTROS]]+Tabela1107[[#This Row],[PE]]</f>
        <v>36.74</v>
      </c>
      <c r="BT209" s="97">
        <f>+Tabela1107[[#This Row],[PIS]]+Tabela1107[[#This Row],[COFINS]]+Tabela1107[[#This Row],[CONTRIB. FOLHA]]+Tabela1107[[#This Row],[TRIBUTOS S/ LUCRO]]+Tabela1107[[#This Row],[OUTROS]]+Tabela1107[[#This Row],[PA]]</f>
        <v>36.74</v>
      </c>
      <c r="BU209" s="97">
        <f>+Tabela1107[[#This Row],[PIS]]+Tabela1107[[#This Row],[COFINS]]+Tabela1107[[#This Row],[CONTRIB. FOLHA]]+Tabela1107[[#This Row],[TRIBUTOS S/ LUCRO]]+Tabela1107[[#This Row],[OUTROS]]+Tabela1107[[#This Row],[AM]]</f>
        <v>36.74</v>
      </c>
      <c r="BV209" s="97">
        <f>AVERAGE(Tabela1107[[#This Row],[TOTAL SP]:[TOTAL AM]])</f>
        <v>36.677500000000002</v>
      </c>
      <c r="BW209" s="97"/>
      <c r="BX209" s="97"/>
    </row>
    <row r="210" spans="2:76" x14ac:dyDescent="0.25">
      <c r="B210" s="89">
        <v>12038</v>
      </c>
      <c r="C210" s="91" t="s">
        <v>13183</v>
      </c>
      <c r="D210" s="89"/>
      <c r="E210" s="89">
        <v>20140626</v>
      </c>
      <c r="F210" s="89" t="s">
        <v>21024</v>
      </c>
      <c r="G210" s="89" t="s">
        <v>21025</v>
      </c>
      <c r="H210" s="89" t="s">
        <v>21026</v>
      </c>
      <c r="I210" s="89" t="s">
        <v>21027</v>
      </c>
      <c r="J210" s="89" t="s">
        <v>550</v>
      </c>
      <c r="K210" s="89"/>
      <c r="L210" s="89" t="s">
        <v>4498</v>
      </c>
      <c r="M210" s="89" t="s">
        <v>3175</v>
      </c>
      <c r="N210" s="89" t="s">
        <v>4496</v>
      </c>
      <c r="O210" s="89" t="s">
        <v>4496</v>
      </c>
      <c r="P210" s="89" t="s">
        <v>4496</v>
      </c>
      <c r="Q210" s="89"/>
      <c r="R210" s="89" t="s">
        <v>97</v>
      </c>
      <c r="S210" s="89" t="s">
        <v>21656</v>
      </c>
      <c r="T210" s="89" t="s">
        <v>21657</v>
      </c>
      <c r="U210" s="89" t="str">
        <f>TRIM('Carga Tributária doenças Po (2'!$L210)</f>
        <v>SODIO</v>
      </c>
      <c r="V210" s="89">
        <f>SUMIFS('Tabela Federal'!$E$4:$E$2069,'Tabela Federal'!$D$4:$D$2069,'Carga Tributária doenças Po (2'!$L210)</f>
        <v>0</v>
      </c>
      <c r="W210" s="89">
        <f>SUMIFS('Tabela Federal'!$E$4:$E$2069,'Tabela Federal'!$D$4:$D$2069,'Carga Tributária doenças Po (2'!$M210)</f>
        <v>4</v>
      </c>
      <c r="X210" s="89">
        <f>SUMIFS('Tabela Federal'!$E$4:$E$2069,'Tabela Federal'!$D$4:$D$2069,'Carga Tributária doenças Po (2'!$N210)</f>
        <v>0</v>
      </c>
      <c r="Y210" s="89">
        <f>SUMIFS('Tabela Federal'!$E$4:$E$2069,'Tabela Federal'!$D$4:$D$2069,'Carga Tributária doenças Po (2'!$O210)</f>
        <v>0</v>
      </c>
      <c r="Z210" s="92" t="str">
        <f>VLOOKUP('Carga Tributária doenças Po (2'!$AD210,'Carga Tributária doenças Po (2'!$CA$12:$CC$16,2,0)</f>
        <v>-</v>
      </c>
      <c r="AA210" s="89" t="s">
        <v>105</v>
      </c>
      <c r="AB210" s="89" t="s">
        <v>21883</v>
      </c>
      <c r="AC210" s="89" t="s">
        <v>21740</v>
      </c>
      <c r="AD210" s="93" t="s">
        <v>19523</v>
      </c>
      <c r="AE210" s="92" t="s">
        <v>4</v>
      </c>
      <c r="AF210" s="92" t="s">
        <v>3</v>
      </c>
      <c r="AG210" s="94">
        <v>241532</v>
      </c>
      <c r="AH210" s="95">
        <v>1148988</v>
      </c>
      <c r="AI210" s="95">
        <v>2624672.81</v>
      </c>
      <c r="AJ210" s="89" t="s">
        <v>549</v>
      </c>
      <c r="AK210" s="89">
        <f>IF('Carga Tributária doenças Po (2'!$Z210="+",0,SUMIFS(PISCOFINS!$I$3:$I$10518,PISCOFINS!$C$3:$C$10518,'Carga Tributária doenças Po (2'!$C210))</f>
        <v>2.1</v>
      </c>
      <c r="AL210" s="89">
        <f>IF('Carga Tributária doenças Po (2'!$Z210="+",0,SUMIFS(PISCOFINS!$H$3:$H$10518,PISCOFINS!$C$3:$C$10518,'Carga Tributária doenças Po (2'!$C210))</f>
        <v>9.9</v>
      </c>
      <c r="AM210" s="95">
        <v>3.27</v>
      </c>
      <c r="AN210" s="95">
        <v>3.12</v>
      </c>
      <c r="AO210" s="95">
        <v>1.35</v>
      </c>
      <c r="AP210" s="96">
        <v>18</v>
      </c>
      <c r="AQ210" s="96">
        <v>12</v>
      </c>
      <c r="AR210" s="96">
        <v>17</v>
      </c>
      <c r="AS210" s="97">
        <v>17</v>
      </c>
      <c r="AT210" s="97">
        <v>19</v>
      </c>
      <c r="AU210" s="97">
        <v>18</v>
      </c>
      <c r="AV210" s="97">
        <v>17</v>
      </c>
      <c r="AW210" s="97">
        <v>17</v>
      </c>
      <c r="AX210" s="97">
        <v>17</v>
      </c>
      <c r="AY210" s="97">
        <v>17</v>
      </c>
      <c r="AZ210" s="97">
        <v>17</v>
      </c>
      <c r="BA210" s="97">
        <v>17</v>
      </c>
      <c r="BB210" s="97">
        <v>17</v>
      </c>
      <c r="BC210" s="97">
        <v>17</v>
      </c>
      <c r="BD210" s="97">
        <v>17</v>
      </c>
      <c r="BE210" s="97">
        <v>17</v>
      </c>
      <c r="BF210" s="97">
        <f>+Tabela1107[[#This Row],[PIS]]+Tabela1107[[#This Row],[COFINS]]+Tabela1107[[#This Row],[CONTRIB. FOLHA]]+Tabela1107[[#This Row],[TRIBUTOS S/ LUCRO]]+Tabela1107[[#This Row],[OUTROS]]+Tabela1107[[#This Row],[SP]]</f>
        <v>37.74</v>
      </c>
      <c r="BG210" s="97">
        <f>+Tabela1107[[#This Row],[PIS]]+Tabela1107[[#This Row],[COFINS]]+Tabela1107[[#This Row],[CONTRIB. FOLHA]]+Tabela1107[[#This Row],[TRIBUTOS S/ LUCRO]]+Tabela1107[[#This Row],[OUTROS]]+Tabela1107[[#This Row],[PR]]</f>
        <v>31.740000000000002</v>
      </c>
      <c r="BH210" s="97">
        <f>+Tabela1107[[#This Row],[PIS]]+Tabela1107[[#This Row],[COFINS]]+Tabela1107[[#This Row],[CONTRIB. FOLHA]]+Tabela1107[[#This Row],[TRIBUTOS S/ LUCRO]]+Tabela1107[[#This Row],[OUTROS]]+Tabela1107[[#This Row],[SC]]</f>
        <v>36.74</v>
      </c>
      <c r="BI210" s="97">
        <f>+Tabela1107[[#This Row],[PIS]]+Tabela1107[[#This Row],[COFINS]]+Tabela1107[[#This Row],[CONTRIB. FOLHA]]+Tabela1107[[#This Row],[TRIBUTOS S/ LUCRO]]+Tabela1107[[#This Row],[OUTROS]]+Tabela1107[[#This Row],[RS]]</f>
        <v>36.74</v>
      </c>
      <c r="BJ210" s="97">
        <f>+Tabela1107[[#This Row],[PIS]]+Tabela1107[[#This Row],[COFINS]]+Tabela1107[[#This Row],[CONTRIB. FOLHA]]+Tabela1107[[#This Row],[TRIBUTOS S/ LUCRO]]+Tabela1107[[#This Row],[OUTROS]]+Tabela1107[[#This Row],[RJ]]</f>
        <v>38.74</v>
      </c>
      <c r="BK210" s="97">
        <f>+Tabela1107[[#This Row],[PIS]]+Tabela1107[[#This Row],[COFINS]]+Tabela1107[[#This Row],[CONTRIB. FOLHA]]+Tabela1107[[#This Row],[TRIBUTOS S/ LUCRO]]+Tabela1107[[#This Row],[OUTROS]]+Tabela1107[[#This Row],[MG]]</f>
        <v>37.74</v>
      </c>
      <c r="BL210" s="97">
        <f>+Tabela1107[[#This Row],[PIS]]+Tabela1107[[#This Row],[COFINS]]+Tabela1107[[#This Row],[CONTRIB. FOLHA]]+Tabela1107[[#This Row],[TRIBUTOS S/ LUCRO]]+Tabela1107[[#This Row],[OUTROS]]+Tabela1107[[#This Row],[ES]]</f>
        <v>36.74</v>
      </c>
      <c r="BM210" s="97">
        <f>+Tabela1107[[#This Row],[PIS]]+Tabela1107[[#This Row],[COFINS]]+Tabela1107[[#This Row],[CONTRIB. FOLHA]]+Tabela1107[[#This Row],[TRIBUTOS S/ LUCRO]]+Tabela1107[[#This Row],[OUTROS]]+Tabela1107[[#This Row],[GO]]</f>
        <v>36.74</v>
      </c>
      <c r="BN210" s="97">
        <f>+Tabela1107[[#This Row],[PIS]]+Tabela1107[[#This Row],[COFINS]]+Tabela1107[[#This Row],[CONTRIB. FOLHA]]+Tabela1107[[#This Row],[TRIBUTOS S/ LUCRO]]+Tabela1107[[#This Row],[OUTROS]]+Tabela1107[[#This Row],[MT]]</f>
        <v>36.74</v>
      </c>
      <c r="BO210" s="97">
        <f>+Tabela1107[[#This Row],[PIS]]+Tabela1107[[#This Row],[COFINS]]+Tabela1107[[#This Row],[CONTRIB. FOLHA]]+Tabela1107[[#This Row],[TRIBUTOS S/ LUCRO]]+Tabela1107[[#This Row],[OUTROS]]+Tabela1107[[#This Row],[MS]]</f>
        <v>36.74</v>
      </c>
      <c r="BP210" s="97">
        <f>+Tabela1107[[#This Row],[PIS]]+Tabela1107[[#This Row],[COFINS]]+Tabela1107[[#This Row],[CONTRIB. FOLHA]]+Tabela1107[[#This Row],[TRIBUTOS S/ LUCRO]]+Tabela1107[[#This Row],[OUTROS]]+Tabela1107[[#This Row],[DF]]</f>
        <v>36.74</v>
      </c>
      <c r="BQ210" s="97">
        <f>+Tabela1107[[#This Row],[PIS]]+Tabela1107[[#This Row],[COFINS]]+Tabela1107[[#This Row],[CONTRIB. FOLHA]]+Tabela1107[[#This Row],[TRIBUTOS S/ LUCRO]]+Tabela1107[[#This Row],[OUTROS]]+Tabela1107[[#This Row],[BA]]</f>
        <v>36.74</v>
      </c>
      <c r="BR210" s="97">
        <f>+Tabela1107[[#This Row],[PIS]]+Tabela1107[[#This Row],[COFINS]]+Tabela1107[[#This Row],[CONTRIB. FOLHA]]+Tabela1107[[#This Row],[TRIBUTOS S/ LUCRO]]+Tabela1107[[#This Row],[OUTROS]]+Tabela1107[[#This Row],[BA]]</f>
        <v>36.74</v>
      </c>
      <c r="BS210" s="97">
        <f>+Tabela1107[[#This Row],[PIS]]+Tabela1107[[#This Row],[COFINS]]+Tabela1107[[#This Row],[CONTRIB. FOLHA]]+Tabela1107[[#This Row],[TRIBUTOS S/ LUCRO]]+Tabela1107[[#This Row],[OUTROS]]+Tabela1107[[#This Row],[PE]]</f>
        <v>36.74</v>
      </c>
      <c r="BT210" s="97">
        <f>+Tabela1107[[#This Row],[PIS]]+Tabela1107[[#This Row],[COFINS]]+Tabela1107[[#This Row],[CONTRIB. FOLHA]]+Tabela1107[[#This Row],[TRIBUTOS S/ LUCRO]]+Tabela1107[[#This Row],[OUTROS]]+Tabela1107[[#This Row],[PA]]</f>
        <v>36.74</v>
      </c>
      <c r="BU210" s="97">
        <f>+Tabela1107[[#This Row],[PIS]]+Tabela1107[[#This Row],[COFINS]]+Tabela1107[[#This Row],[CONTRIB. FOLHA]]+Tabela1107[[#This Row],[TRIBUTOS S/ LUCRO]]+Tabela1107[[#This Row],[OUTROS]]+Tabela1107[[#This Row],[AM]]</f>
        <v>36.74</v>
      </c>
      <c r="BV210" s="97">
        <f>AVERAGE(Tabela1107[[#This Row],[TOTAL SP]:[TOTAL AM]])</f>
        <v>36.677500000000002</v>
      </c>
      <c r="BW210" s="97"/>
      <c r="BX210" s="97"/>
    </row>
    <row r="211" spans="2:76" x14ac:dyDescent="0.25">
      <c r="B211" s="89">
        <v>21302</v>
      </c>
      <c r="C211" s="91" t="s">
        <v>13183</v>
      </c>
      <c r="D211" s="89"/>
      <c r="E211" s="89">
        <v>20140626</v>
      </c>
      <c r="F211" s="89" t="s">
        <v>21028</v>
      </c>
      <c r="G211" s="89" t="s">
        <v>21029</v>
      </c>
      <c r="H211" s="89" t="s">
        <v>21030</v>
      </c>
      <c r="I211" s="89" t="s">
        <v>21031</v>
      </c>
      <c r="J211" s="89" t="s">
        <v>96</v>
      </c>
      <c r="K211" s="89"/>
      <c r="L211" s="89" t="s">
        <v>2778</v>
      </c>
      <c r="M211" s="89" t="s">
        <v>4496</v>
      </c>
      <c r="N211" s="89" t="s">
        <v>4496</v>
      </c>
      <c r="O211" s="89" t="s">
        <v>4496</v>
      </c>
      <c r="P211" s="89" t="s">
        <v>4496</v>
      </c>
      <c r="Q211" s="89"/>
      <c r="R211" s="89" t="s">
        <v>97</v>
      </c>
      <c r="S211" s="89" t="s">
        <v>21656</v>
      </c>
      <c r="T211" s="89" t="s">
        <v>21657</v>
      </c>
      <c r="U211" s="89" t="str">
        <f>TRIM('Carga Tributária doenças Po (2'!$L211)</f>
        <v>SACCHAROMYCES BOULARDII</v>
      </c>
      <c r="V211" s="89">
        <f>SUMIFS('Tabela Federal'!$E$4:$E$2069,'Tabela Federal'!$D$4:$D$2069,'Carga Tributária doenças Po (2'!$L211)</f>
        <v>0</v>
      </c>
      <c r="W211" s="89">
        <f>SUMIFS('Tabela Federal'!$E$4:$E$2069,'Tabela Federal'!$D$4:$D$2069,'Carga Tributária doenças Po (2'!$M211)</f>
        <v>0</v>
      </c>
      <c r="X211" s="89">
        <f>SUMIFS('Tabela Federal'!$E$4:$E$2069,'Tabela Federal'!$D$4:$D$2069,'Carga Tributária doenças Po (2'!$N211)</f>
        <v>0</v>
      </c>
      <c r="Y211" s="89">
        <f>SUMIFS('Tabela Federal'!$E$4:$E$2069,'Tabela Federal'!$D$4:$D$2069,'Carga Tributária doenças Po (2'!$O211)</f>
        <v>0</v>
      </c>
      <c r="Z211" s="92" t="str">
        <f>VLOOKUP('Carga Tributária doenças Po (2'!$AD211,'Carga Tributária doenças Po (2'!$CA$12:$CC$16,2,0)</f>
        <v>-</v>
      </c>
      <c r="AA211" s="89" t="s">
        <v>95</v>
      </c>
      <c r="AB211" s="89" t="s">
        <v>21787</v>
      </c>
      <c r="AC211" s="89" t="s">
        <v>21740</v>
      </c>
      <c r="AD211" s="93" t="s">
        <v>19523</v>
      </c>
      <c r="AE211" s="92" t="s">
        <v>4</v>
      </c>
      <c r="AF211" s="92" t="s">
        <v>3</v>
      </c>
      <c r="AG211" s="94">
        <v>1665726</v>
      </c>
      <c r="AH211" s="95">
        <v>17882683</v>
      </c>
      <c r="AI211" s="95">
        <v>40966505.810000002</v>
      </c>
      <c r="AJ211" s="89" t="s">
        <v>111</v>
      </c>
      <c r="AK211" s="89">
        <f>IF('Carga Tributária doenças Po (2'!$Z211="+",0,SUMIFS(PISCOFINS!$I$3:$I$10518,PISCOFINS!$C$3:$C$10518,'Carga Tributária doenças Po (2'!$C211))</f>
        <v>2.1</v>
      </c>
      <c r="AL211" s="89">
        <f>IF('Carga Tributária doenças Po (2'!$Z211="+",0,SUMIFS(PISCOFINS!$H$3:$H$10518,PISCOFINS!$C$3:$C$10518,'Carga Tributária doenças Po (2'!$C211))</f>
        <v>9.9</v>
      </c>
      <c r="AM211" s="95">
        <v>3.27</v>
      </c>
      <c r="AN211" s="95">
        <v>3.12</v>
      </c>
      <c r="AO211" s="95">
        <v>1.35</v>
      </c>
      <c r="AP211" s="96">
        <v>18</v>
      </c>
      <c r="AQ211" s="96">
        <v>12</v>
      </c>
      <c r="AR211" s="96">
        <v>17</v>
      </c>
      <c r="AS211" s="97">
        <v>17</v>
      </c>
      <c r="AT211" s="97">
        <v>19</v>
      </c>
      <c r="AU211" s="97">
        <v>18</v>
      </c>
      <c r="AV211" s="97">
        <v>17</v>
      </c>
      <c r="AW211" s="97">
        <v>17</v>
      </c>
      <c r="AX211" s="97">
        <v>17</v>
      </c>
      <c r="AY211" s="97">
        <v>17</v>
      </c>
      <c r="AZ211" s="97">
        <v>17</v>
      </c>
      <c r="BA211" s="97">
        <v>17</v>
      </c>
      <c r="BB211" s="97">
        <v>17</v>
      </c>
      <c r="BC211" s="97">
        <v>17</v>
      </c>
      <c r="BD211" s="97">
        <v>17</v>
      </c>
      <c r="BE211" s="97">
        <v>17</v>
      </c>
      <c r="BF211" s="97">
        <f>+Tabela1107[[#This Row],[PIS]]+Tabela1107[[#This Row],[COFINS]]+Tabela1107[[#This Row],[CONTRIB. FOLHA]]+Tabela1107[[#This Row],[TRIBUTOS S/ LUCRO]]+Tabela1107[[#This Row],[OUTROS]]+Tabela1107[[#This Row],[SP]]</f>
        <v>37.74</v>
      </c>
      <c r="BG211" s="97">
        <f>+Tabela1107[[#This Row],[PIS]]+Tabela1107[[#This Row],[COFINS]]+Tabela1107[[#This Row],[CONTRIB. FOLHA]]+Tabela1107[[#This Row],[TRIBUTOS S/ LUCRO]]+Tabela1107[[#This Row],[OUTROS]]+Tabela1107[[#This Row],[PR]]</f>
        <v>31.740000000000002</v>
      </c>
      <c r="BH211" s="97">
        <f>+Tabela1107[[#This Row],[PIS]]+Tabela1107[[#This Row],[COFINS]]+Tabela1107[[#This Row],[CONTRIB. FOLHA]]+Tabela1107[[#This Row],[TRIBUTOS S/ LUCRO]]+Tabela1107[[#This Row],[OUTROS]]+Tabela1107[[#This Row],[SC]]</f>
        <v>36.74</v>
      </c>
      <c r="BI211" s="97">
        <f>+Tabela1107[[#This Row],[PIS]]+Tabela1107[[#This Row],[COFINS]]+Tabela1107[[#This Row],[CONTRIB. FOLHA]]+Tabela1107[[#This Row],[TRIBUTOS S/ LUCRO]]+Tabela1107[[#This Row],[OUTROS]]+Tabela1107[[#This Row],[RS]]</f>
        <v>36.74</v>
      </c>
      <c r="BJ211" s="97">
        <f>+Tabela1107[[#This Row],[PIS]]+Tabela1107[[#This Row],[COFINS]]+Tabela1107[[#This Row],[CONTRIB. FOLHA]]+Tabela1107[[#This Row],[TRIBUTOS S/ LUCRO]]+Tabela1107[[#This Row],[OUTROS]]+Tabela1107[[#This Row],[RJ]]</f>
        <v>38.74</v>
      </c>
      <c r="BK211" s="97">
        <f>+Tabela1107[[#This Row],[PIS]]+Tabela1107[[#This Row],[COFINS]]+Tabela1107[[#This Row],[CONTRIB. FOLHA]]+Tabela1107[[#This Row],[TRIBUTOS S/ LUCRO]]+Tabela1107[[#This Row],[OUTROS]]+Tabela1107[[#This Row],[MG]]</f>
        <v>37.74</v>
      </c>
      <c r="BL211" s="97">
        <f>+Tabela1107[[#This Row],[PIS]]+Tabela1107[[#This Row],[COFINS]]+Tabela1107[[#This Row],[CONTRIB. FOLHA]]+Tabela1107[[#This Row],[TRIBUTOS S/ LUCRO]]+Tabela1107[[#This Row],[OUTROS]]+Tabela1107[[#This Row],[ES]]</f>
        <v>36.74</v>
      </c>
      <c r="BM211" s="97">
        <f>+Tabela1107[[#This Row],[PIS]]+Tabela1107[[#This Row],[COFINS]]+Tabela1107[[#This Row],[CONTRIB. FOLHA]]+Tabela1107[[#This Row],[TRIBUTOS S/ LUCRO]]+Tabela1107[[#This Row],[OUTROS]]+Tabela1107[[#This Row],[GO]]</f>
        <v>36.74</v>
      </c>
      <c r="BN211" s="97">
        <f>+Tabela1107[[#This Row],[PIS]]+Tabela1107[[#This Row],[COFINS]]+Tabela1107[[#This Row],[CONTRIB. FOLHA]]+Tabela1107[[#This Row],[TRIBUTOS S/ LUCRO]]+Tabela1107[[#This Row],[OUTROS]]+Tabela1107[[#This Row],[MT]]</f>
        <v>36.74</v>
      </c>
      <c r="BO211" s="97">
        <f>+Tabela1107[[#This Row],[PIS]]+Tabela1107[[#This Row],[COFINS]]+Tabela1107[[#This Row],[CONTRIB. FOLHA]]+Tabela1107[[#This Row],[TRIBUTOS S/ LUCRO]]+Tabela1107[[#This Row],[OUTROS]]+Tabela1107[[#This Row],[MS]]</f>
        <v>36.74</v>
      </c>
      <c r="BP211" s="97">
        <f>+Tabela1107[[#This Row],[PIS]]+Tabela1107[[#This Row],[COFINS]]+Tabela1107[[#This Row],[CONTRIB. FOLHA]]+Tabela1107[[#This Row],[TRIBUTOS S/ LUCRO]]+Tabela1107[[#This Row],[OUTROS]]+Tabela1107[[#This Row],[DF]]</f>
        <v>36.74</v>
      </c>
      <c r="BQ211" s="97">
        <f>+Tabela1107[[#This Row],[PIS]]+Tabela1107[[#This Row],[COFINS]]+Tabela1107[[#This Row],[CONTRIB. FOLHA]]+Tabela1107[[#This Row],[TRIBUTOS S/ LUCRO]]+Tabela1107[[#This Row],[OUTROS]]+Tabela1107[[#This Row],[BA]]</f>
        <v>36.74</v>
      </c>
      <c r="BR211" s="97">
        <f>+Tabela1107[[#This Row],[PIS]]+Tabela1107[[#This Row],[COFINS]]+Tabela1107[[#This Row],[CONTRIB. FOLHA]]+Tabela1107[[#This Row],[TRIBUTOS S/ LUCRO]]+Tabela1107[[#This Row],[OUTROS]]+Tabela1107[[#This Row],[BA]]</f>
        <v>36.74</v>
      </c>
      <c r="BS211" s="97">
        <f>+Tabela1107[[#This Row],[PIS]]+Tabela1107[[#This Row],[COFINS]]+Tabela1107[[#This Row],[CONTRIB. FOLHA]]+Tabela1107[[#This Row],[TRIBUTOS S/ LUCRO]]+Tabela1107[[#This Row],[OUTROS]]+Tabela1107[[#This Row],[PE]]</f>
        <v>36.74</v>
      </c>
      <c r="BT211" s="97">
        <f>+Tabela1107[[#This Row],[PIS]]+Tabela1107[[#This Row],[COFINS]]+Tabela1107[[#This Row],[CONTRIB. FOLHA]]+Tabela1107[[#This Row],[TRIBUTOS S/ LUCRO]]+Tabela1107[[#This Row],[OUTROS]]+Tabela1107[[#This Row],[PA]]</f>
        <v>36.74</v>
      </c>
      <c r="BU211" s="97">
        <f>+Tabela1107[[#This Row],[PIS]]+Tabela1107[[#This Row],[COFINS]]+Tabela1107[[#This Row],[CONTRIB. FOLHA]]+Tabela1107[[#This Row],[TRIBUTOS S/ LUCRO]]+Tabela1107[[#This Row],[OUTROS]]+Tabela1107[[#This Row],[AM]]</f>
        <v>36.74</v>
      </c>
      <c r="BV211" s="97">
        <f>AVERAGE(Tabela1107[[#This Row],[TOTAL SP]:[TOTAL AM]])</f>
        <v>36.677500000000002</v>
      </c>
      <c r="BW211" s="97"/>
      <c r="BX211" s="97"/>
    </row>
    <row r="212" spans="2:76" x14ac:dyDescent="0.25">
      <c r="B212" s="89">
        <v>7532</v>
      </c>
      <c r="C212" s="91" t="s">
        <v>13022</v>
      </c>
      <c r="D212" s="89"/>
      <c r="E212" s="89">
        <v>20140626</v>
      </c>
      <c r="F212" s="89" t="s">
        <v>20570</v>
      </c>
      <c r="G212" s="89" t="s">
        <v>20571</v>
      </c>
      <c r="H212" s="89" t="s">
        <v>20572</v>
      </c>
      <c r="I212" s="89" t="s">
        <v>20573</v>
      </c>
      <c r="J212" s="89" t="s">
        <v>564</v>
      </c>
      <c r="K212" s="89"/>
      <c r="L212" s="89" t="s">
        <v>2779</v>
      </c>
      <c r="M212" s="89" t="s">
        <v>4496</v>
      </c>
      <c r="N212" s="89" t="s">
        <v>4496</v>
      </c>
      <c r="O212" s="89" t="s">
        <v>4496</v>
      </c>
      <c r="P212" s="89" t="s">
        <v>4496</v>
      </c>
      <c r="Q212" s="89"/>
      <c r="R212" s="89" t="s">
        <v>213</v>
      </c>
      <c r="S212" s="89" t="s">
        <v>21606</v>
      </c>
      <c r="T212" s="89" t="s">
        <v>21607</v>
      </c>
      <c r="U212" s="89" t="str">
        <f>TRIM('Carga Tributária doenças Po (2'!$L212)</f>
        <v>FLUCONAZOL</v>
      </c>
      <c r="V212" s="89">
        <f>SUMIFS('Tabela Federal'!$E$4:$E$2069,'Tabela Federal'!$D$4:$D$2069,'Carga Tributária doenças Po (2'!$L212)</f>
        <v>1</v>
      </c>
      <c r="W212" s="89">
        <f>SUMIFS('Tabela Federal'!$E$4:$E$2069,'Tabela Federal'!$D$4:$D$2069,'Carga Tributária doenças Po (2'!$M212)</f>
        <v>0</v>
      </c>
      <c r="X212" s="89">
        <f>SUMIFS('Tabela Federal'!$E$4:$E$2069,'Tabela Federal'!$D$4:$D$2069,'Carga Tributária doenças Po (2'!$N212)</f>
        <v>0</v>
      </c>
      <c r="Y212" s="89">
        <f>SUMIFS('Tabela Federal'!$E$4:$E$2069,'Tabela Federal'!$D$4:$D$2069,'Carga Tributária doenças Po (2'!$O212)</f>
        <v>0</v>
      </c>
      <c r="Z212" s="92" t="str">
        <f>VLOOKUP('Carga Tributária doenças Po (2'!$AD212,'Carga Tributária doenças Po (2'!$CA$12:$CC$16,2,0)</f>
        <v>+</v>
      </c>
      <c r="AA212" s="89" t="s">
        <v>565</v>
      </c>
      <c r="AB212" s="89" t="s">
        <v>21825</v>
      </c>
      <c r="AC212" s="89" t="s">
        <v>21721</v>
      </c>
      <c r="AD212" s="93" t="s">
        <v>21722</v>
      </c>
      <c r="AE212" s="92" t="s">
        <v>2</v>
      </c>
      <c r="AF212" s="92" t="s">
        <v>3</v>
      </c>
      <c r="AG212" s="94">
        <v>1835740</v>
      </c>
      <c r="AH212" s="95">
        <v>6776428</v>
      </c>
      <c r="AI212" s="95">
        <v>15490998.029999999</v>
      </c>
      <c r="AJ212" s="89" t="s">
        <v>554</v>
      </c>
      <c r="AK212" s="89">
        <f>IF('Carga Tributária doenças Po (2'!$Z212="+",0,SUMIFS(PISCOFINS!$I$3:$I$10518,PISCOFINS!$C$3:$C$10518,'Carga Tributária doenças Po (2'!$C212))</f>
        <v>0</v>
      </c>
      <c r="AL212" s="89">
        <f>IF('Carga Tributária doenças Po (2'!$Z212="+",0,SUMIFS(PISCOFINS!$H$3:$H$10518,PISCOFINS!$C$3:$C$10518,'Carga Tributária doenças Po (2'!$C212))</f>
        <v>0</v>
      </c>
      <c r="AM212" s="95">
        <v>3.27</v>
      </c>
      <c r="AN212" s="95">
        <v>3.12</v>
      </c>
      <c r="AO212" s="95">
        <v>1.35</v>
      </c>
      <c r="AP212" s="96">
        <v>18</v>
      </c>
      <c r="AQ212" s="96">
        <v>12</v>
      </c>
      <c r="AR212" s="96">
        <v>17</v>
      </c>
      <c r="AS212" s="97">
        <v>17</v>
      </c>
      <c r="AT212" s="97">
        <v>19</v>
      </c>
      <c r="AU212" s="97">
        <v>18</v>
      </c>
      <c r="AV212" s="97">
        <v>17</v>
      </c>
      <c r="AW212" s="97">
        <v>17</v>
      </c>
      <c r="AX212" s="97">
        <v>17</v>
      </c>
      <c r="AY212" s="97">
        <v>17</v>
      </c>
      <c r="AZ212" s="97">
        <v>17</v>
      </c>
      <c r="BA212" s="97">
        <v>17</v>
      </c>
      <c r="BB212" s="97">
        <v>17</v>
      </c>
      <c r="BC212" s="97">
        <v>17</v>
      </c>
      <c r="BD212" s="97">
        <v>17</v>
      </c>
      <c r="BE212" s="97">
        <v>17</v>
      </c>
      <c r="BF212" s="97">
        <f>+Tabela1107[[#This Row],[PIS]]+Tabela1107[[#This Row],[COFINS]]+Tabela1107[[#This Row],[CONTRIB. FOLHA]]+Tabela1107[[#This Row],[TRIBUTOS S/ LUCRO]]+Tabela1107[[#This Row],[OUTROS]]+Tabela1107[[#This Row],[SP]]</f>
        <v>25.740000000000002</v>
      </c>
      <c r="BG212" s="97">
        <f>+Tabela1107[[#This Row],[PIS]]+Tabela1107[[#This Row],[COFINS]]+Tabela1107[[#This Row],[CONTRIB. FOLHA]]+Tabela1107[[#This Row],[TRIBUTOS S/ LUCRO]]+Tabela1107[[#This Row],[OUTROS]]+Tabela1107[[#This Row],[PR]]</f>
        <v>19.740000000000002</v>
      </c>
      <c r="BH212" s="97">
        <f>+Tabela1107[[#This Row],[PIS]]+Tabela1107[[#This Row],[COFINS]]+Tabela1107[[#This Row],[CONTRIB. FOLHA]]+Tabela1107[[#This Row],[TRIBUTOS S/ LUCRO]]+Tabela1107[[#This Row],[OUTROS]]+Tabela1107[[#This Row],[SC]]</f>
        <v>24.740000000000002</v>
      </c>
      <c r="BI212" s="97">
        <f>+Tabela1107[[#This Row],[PIS]]+Tabela1107[[#This Row],[COFINS]]+Tabela1107[[#This Row],[CONTRIB. FOLHA]]+Tabela1107[[#This Row],[TRIBUTOS S/ LUCRO]]+Tabela1107[[#This Row],[OUTROS]]+Tabela1107[[#This Row],[RS]]</f>
        <v>24.740000000000002</v>
      </c>
      <c r="BJ212" s="97">
        <f>+Tabela1107[[#This Row],[PIS]]+Tabela1107[[#This Row],[COFINS]]+Tabela1107[[#This Row],[CONTRIB. FOLHA]]+Tabela1107[[#This Row],[TRIBUTOS S/ LUCRO]]+Tabela1107[[#This Row],[OUTROS]]+Tabela1107[[#This Row],[RJ]]</f>
        <v>26.740000000000002</v>
      </c>
      <c r="BK212" s="97">
        <f>+Tabela1107[[#This Row],[PIS]]+Tabela1107[[#This Row],[COFINS]]+Tabela1107[[#This Row],[CONTRIB. FOLHA]]+Tabela1107[[#This Row],[TRIBUTOS S/ LUCRO]]+Tabela1107[[#This Row],[OUTROS]]+Tabela1107[[#This Row],[MG]]</f>
        <v>25.740000000000002</v>
      </c>
      <c r="BL212" s="97">
        <f>+Tabela1107[[#This Row],[PIS]]+Tabela1107[[#This Row],[COFINS]]+Tabela1107[[#This Row],[CONTRIB. FOLHA]]+Tabela1107[[#This Row],[TRIBUTOS S/ LUCRO]]+Tabela1107[[#This Row],[OUTROS]]+Tabela1107[[#This Row],[ES]]</f>
        <v>24.740000000000002</v>
      </c>
      <c r="BM212" s="97">
        <f>+Tabela1107[[#This Row],[PIS]]+Tabela1107[[#This Row],[COFINS]]+Tabela1107[[#This Row],[CONTRIB. FOLHA]]+Tabela1107[[#This Row],[TRIBUTOS S/ LUCRO]]+Tabela1107[[#This Row],[OUTROS]]+Tabela1107[[#This Row],[GO]]</f>
        <v>24.740000000000002</v>
      </c>
      <c r="BN212" s="97">
        <f>+Tabela1107[[#This Row],[PIS]]+Tabela1107[[#This Row],[COFINS]]+Tabela1107[[#This Row],[CONTRIB. FOLHA]]+Tabela1107[[#This Row],[TRIBUTOS S/ LUCRO]]+Tabela1107[[#This Row],[OUTROS]]+Tabela1107[[#This Row],[MT]]</f>
        <v>24.740000000000002</v>
      </c>
      <c r="BO212" s="97">
        <f>+Tabela1107[[#This Row],[PIS]]+Tabela1107[[#This Row],[COFINS]]+Tabela1107[[#This Row],[CONTRIB. FOLHA]]+Tabela1107[[#This Row],[TRIBUTOS S/ LUCRO]]+Tabela1107[[#This Row],[OUTROS]]+Tabela1107[[#This Row],[MS]]</f>
        <v>24.740000000000002</v>
      </c>
      <c r="BP212" s="97">
        <f>+Tabela1107[[#This Row],[PIS]]+Tabela1107[[#This Row],[COFINS]]+Tabela1107[[#This Row],[CONTRIB. FOLHA]]+Tabela1107[[#This Row],[TRIBUTOS S/ LUCRO]]+Tabela1107[[#This Row],[OUTROS]]+Tabela1107[[#This Row],[DF]]</f>
        <v>24.740000000000002</v>
      </c>
      <c r="BQ212" s="97">
        <f>+Tabela1107[[#This Row],[PIS]]+Tabela1107[[#This Row],[COFINS]]+Tabela1107[[#This Row],[CONTRIB. FOLHA]]+Tabela1107[[#This Row],[TRIBUTOS S/ LUCRO]]+Tabela1107[[#This Row],[OUTROS]]+Tabela1107[[#This Row],[BA]]</f>
        <v>24.740000000000002</v>
      </c>
      <c r="BR212" s="97">
        <f>+Tabela1107[[#This Row],[PIS]]+Tabela1107[[#This Row],[COFINS]]+Tabela1107[[#This Row],[CONTRIB. FOLHA]]+Tabela1107[[#This Row],[TRIBUTOS S/ LUCRO]]+Tabela1107[[#This Row],[OUTROS]]+Tabela1107[[#This Row],[BA]]</f>
        <v>24.740000000000002</v>
      </c>
      <c r="BS212" s="97">
        <f>+Tabela1107[[#This Row],[PIS]]+Tabela1107[[#This Row],[COFINS]]+Tabela1107[[#This Row],[CONTRIB. FOLHA]]+Tabela1107[[#This Row],[TRIBUTOS S/ LUCRO]]+Tabela1107[[#This Row],[OUTROS]]+Tabela1107[[#This Row],[PE]]</f>
        <v>24.740000000000002</v>
      </c>
      <c r="BT212" s="97">
        <f>+Tabela1107[[#This Row],[PIS]]+Tabela1107[[#This Row],[COFINS]]+Tabela1107[[#This Row],[CONTRIB. FOLHA]]+Tabela1107[[#This Row],[TRIBUTOS S/ LUCRO]]+Tabela1107[[#This Row],[OUTROS]]+Tabela1107[[#This Row],[PA]]</f>
        <v>24.740000000000002</v>
      </c>
      <c r="BU212" s="97">
        <f>+Tabela1107[[#This Row],[PIS]]+Tabela1107[[#This Row],[COFINS]]+Tabela1107[[#This Row],[CONTRIB. FOLHA]]+Tabela1107[[#This Row],[TRIBUTOS S/ LUCRO]]+Tabela1107[[#This Row],[OUTROS]]+Tabela1107[[#This Row],[AM]]</f>
        <v>24.740000000000002</v>
      </c>
      <c r="BV212" s="97">
        <f>AVERAGE(Tabela1107[[#This Row],[TOTAL SP]:[TOTAL AM]])</f>
        <v>24.677500000000006</v>
      </c>
      <c r="BW212" s="97"/>
      <c r="BX212" s="97"/>
    </row>
    <row r="213" spans="2:76" x14ac:dyDescent="0.25">
      <c r="B213" s="89">
        <v>10870</v>
      </c>
      <c r="C213" s="91" t="s">
        <v>13168</v>
      </c>
      <c r="D213" s="89"/>
      <c r="E213" s="89">
        <v>20140626</v>
      </c>
      <c r="F213" s="89" t="s">
        <v>21112</v>
      </c>
      <c r="G213" s="89" t="s">
        <v>21113</v>
      </c>
      <c r="H213" s="98" t="s">
        <v>21987</v>
      </c>
      <c r="I213" s="89" t="s">
        <v>21114</v>
      </c>
      <c r="J213" s="89" t="s">
        <v>370</v>
      </c>
      <c r="K213" s="89" t="s">
        <v>2489</v>
      </c>
      <c r="L213" s="89" t="s">
        <v>2780</v>
      </c>
      <c r="M213" s="89" t="s">
        <v>4496</v>
      </c>
      <c r="N213" s="89" t="s">
        <v>4496</v>
      </c>
      <c r="O213" s="89" t="s">
        <v>4496</v>
      </c>
      <c r="P213" s="89" t="s">
        <v>4496</v>
      </c>
      <c r="Q213" s="89"/>
      <c r="R213" s="89" t="s">
        <v>34</v>
      </c>
      <c r="S213" s="89" t="s">
        <v>21670</v>
      </c>
      <c r="T213" s="89" t="s">
        <v>21671</v>
      </c>
      <c r="U213" s="89" t="str">
        <f>TRIM('Carga Tributária doenças Po (2'!$L213)</f>
        <v>CINARIZINA</v>
      </c>
      <c r="V213" s="89">
        <f>SUMIFS('Tabela Federal'!$E$4:$E$2069,'Tabela Federal'!$D$4:$D$2069,'Carga Tributária doenças Po (2'!$L213)</f>
        <v>3</v>
      </c>
      <c r="W213" s="89">
        <f>SUMIFS('Tabela Federal'!$E$4:$E$2069,'Tabela Federal'!$D$4:$D$2069,'Carga Tributária doenças Po (2'!$M213)</f>
        <v>0</v>
      </c>
      <c r="X213" s="89">
        <f>SUMIFS('Tabela Federal'!$E$4:$E$2069,'Tabela Federal'!$D$4:$D$2069,'Carga Tributária doenças Po (2'!$N213)</f>
        <v>0</v>
      </c>
      <c r="Y213" s="89">
        <f>SUMIFS('Tabela Federal'!$E$4:$E$2069,'Tabela Federal'!$D$4:$D$2069,'Carga Tributária doenças Po (2'!$O213)</f>
        <v>0</v>
      </c>
      <c r="Z213" s="92" t="str">
        <f>VLOOKUP('Carga Tributária doenças Po (2'!$AD213,'Carga Tributária doenças Po (2'!$CA$12:$CC$16,2,0)</f>
        <v>-</v>
      </c>
      <c r="AA213" s="89" t="s">
        <v>368</v>
      </c>
      <c r="AB213" s="89"/>
      <c r="AC213" s="89" t="s">
        <v>21721</v>
      </c>
      <c r="AD213" s="93" t="s">
        <v>19523</v>
      </c>
      <c r="AE213" s="92" t="s">
        <v>2</v>
      </c>
      <c r="AF213" s="92" t="s">
        <v>3</v>
      </c>
      <c r="AG213" s="94">
        <v>695136</v>
      </c>
      <c r="AH213" s="95">
        <v>1750041</v>
      </c>
      <c r="AI213" s="95">
        <v>3997713.4</v>
      </c>
      <c r="AJ213" s="89" t="s">
        <v>372</v>
      </c>
      <c r="AK213" s="89">
        <f>IF('Carga Tributária doenças Po (2'!$Z213="+",0,SUMIFS(PISCOFINS!$I$3:$I$10518,PISCOFINS!$C$3:$C$10518,'Carga Tributária doenças Po (2'!$C213))</f>
        <v>2.1</v>
      </c>
      <c r="AL213" s="89">
        <f>IF('Carga Tributária doenças Po (2'!$Z213="+",0,SUMIFS(PISCOFINS!$H$3:$H$10518,PISCOFINS!$C$3:$C$10518,'Carga Tributária doenças Po (2'!$C213))</f>
        <v>9.9</v>
      </c>
      <c r="AM213" s="95">
        <v>3.27</v>
      </c>
      <c r="AN213" s="95">
        <v>3.12</v>
      </c>
      <c r="AO213" s="95">
        <v>1.35</v>
      </c>
      <c r="AP213" s="96">
        <v>18</v>
      </c>
      <c r="AQ213" s="96">
        <v>12</v>
      </c>
      <c r="AR213" s="96">
        <v>17</v>
      </c>
      <c r="AS213" s="97">
        <v>17</v>
      </c>
      <c r="AT213" s="97">
        <v>19</v>
      </c>
      <c r="AU213" s="97">
        <v>18</v>
      </c>
      <c r="AV213" s="97">
        <v>17</v>
      </c>
      <c r="AW213" s="97">
        <v>17</v>
      </c>
      <c r="AX213" s="97">
        <v>17</v>
      </c>
      <c r="AY213" s="97">
        <v>17</v>
      </c>
      <c r="AZ213" s="97">
        <v>17</v>
      </c>
      <c r="BA213" s="97">
        <v>17</v>
      </c>
      <c r="BB213" s="97">
        <v>17</v>
      </c>
      <c r="BC213" s="97">
        <v>17</v>
      </c>
      <c r="BD213" s="97">
        <v>17</v>
      </c>
      <c r="BE213" s="97">
        <v>17</v>
      </c>
      <c r="BF213" s="97">
        <f>+Tabela1107[[#This Row],[PIS]]+Tabela1107[[#This Row],[COFINS]]+Tabela1107[[#This Row],[CONTRIB. FOLHA]]+Tabela1107[[#This Row],[TRIBUTOS S/ LUCRO]]+Tabela1107[[#This Row],[OUTROS]]+Tabela1107[[#This Row],[SP]]</f>
        <v>37.74</v>
      </c>
      <c r="BG213" s="97">
        <f>+Tabela1107[[#This Row],[PIS]]+Tabela1107[[#This Row],[COFINS]]+Tabela1107[[#This Row],[CONTRIB. FOLHA]]+Tabela1107[[#This Row],[TRIBUTOS S/ LUCRO]]+Tabela1107[[#This Row],[OUTROS]]+Tabela1107[[#This Row],[PR]]</f>
        <v>31.740000000000002</v>
      </c>
      <c r="BH213" s="97">
        <f>+Tabela1107[[#This Row],[PIS]]+Tabela1107[[#This Row],[COFINS]]+Tabela1107[[#This Row],[CONTRIB. FOLHA]]+Tabela1107[[#This Row],[TRIBUTOS S/ LUCRO]]+Tabela1107[[#This Row],[OUTROS]]+Tabela1107[[#This Row],[SC]]</f>
        <v>36.74</v>
      </c>
      <c r="BI213" s="97">
        <f>+Tabela1107[[#This Row],[PIS]]+Tabela1107[[#This Row],[COFINS]]+Tabela1107[[#This Row],[CONTRIB. FOLHA]]+Tabela1107[[#This Row],[TRIBUTOS S/ LUCRO]]+Tabela1107[[#This Row],[OUTROS]]+Tabela1107[[#This Row],[RS]]</f>
        <v>36.74</v>
      </c>
      <c r="BJ213" s="97">
        <f>+Tabela1107[[#This Row],[PIS]]+Tabela1107[[#This Row],[COFINS]]+Tabela1107[[#This Row],[CONTRIB. FOLHA]]+Tabela1107[[#This Row],[TRIBUTOS S/ LUCRO]]+Tabela1107[[#This Row],[OUTROS]]+Tabela1107[[#This Row],[RJ]]</f>
        <v>38.74</v>
      </c>
      <c r="BK213" s="97">
        <f>+Tabela1107[[#This Row],[PIS]]+Tabela1107[[#This Row],[COFINS]]+Tabela1107[[#This Row],[CONTRIB. FOLHA]]+Tabela1107[[#This Row],[TRIBUTOS S/ LUCRO]]+Tabela1107[[#This Row],[OUTROS]]+Tabela1107[[#This Row],[MG]]</f>
        <v>37.74</v>
      </c>
      <c r="BL213" s="97">
        <f>+Tabela1107[[#This Row],[PIS]]+Tabela1107[[#This Row],[COFINS]]+Tabela1107[[#This Row],[CONTRIB. FOLHA]]+Tabela1107[[#This Row],[TRIBUTOS S/ LUCRO]]+Tabela1107[[#This Row],[OUTROS]]+Tabela1107[[#This Row],[ES]]</f>
        <v>36.74</v>
      </c>
      <c r="BM213" s="97">
        <f>+Tabela1107[[#This Row],[PIS]]+Tabela1107[[#This Row],[COFINS]]+Tabela1107[[#This Row],[CONTRIB. FOLHA]]+Tabela1107[[#This Row],[TRIBUTOS S/ LUCRO]]+Tabela1107[[#This Row],[OUTROS]]+Tabela1107[[#This Row],[GO]]</f>
        <v>36.74</v>
      </c>
      <c r="BN213" s="97">
        <f>+Tabela1107[[#This Row],[PIS]]+Tabela1107[[#This Row],[COFINS]]+Tabela1107[[#This Row],[CONTRIB. FOLHA]]+Tabela1107[[#This Row],[TRIBUTOS S/ LUCRO]]+Tabela1107[[#This Row],[OUTROS]]+Tabela1107[[#This Row],[MT]]</f>
        <v>36.74</v>
      </c>
      <c r="BO213" s="97">
        <f>+Tabela1107[[#This Row],[PIS]]+Tabela1107[[#This Row],[COFINS]]+Tabela1107[[#This Row],[CONTRIB. FOLHA]]+Tabela1107[[#This Row],[TRIBUTOS S/ LUCRO]]+Tabela1107[[#This Row],[OUTROS]]+Tabela1107[[#This Row],[MS]]</f>
        <v>36.74</v>
      </c>
      <c r="BP213" s="97">
        <f>+Tabela1107[[#This Row],[PIS]]+Tabela1107[[#This Row],[COFINS]]+Tabela1107[[#This Row],[CONTRIB. FOLHA]]+Tabela1107[[#This Row],[TRIBUTOS S/ LUCRO]]+Tabela1107[[#This Row],[OUTROS]]+Tabela1107[[#This Row],[DF]]</f>
        <v>36.74</v>
      </c>
      <c r="BQ213" s="97">
        <f>+Tabela1107[[#This Row],[PIS]]+Tabela1107[[#This Row],[COFINS]]+Tabela1107[[#This Row],[CONTRIB. FOLHA]]+Tabela1107[[#This Row],[TRIBUTOS S/ LUCRO]]+Tabela1107[[#This Row],[OUTROS]]+Tabela1107[[#This Row],[BA]]</f>
        <v>36.74</v>
      </c>
      <c r="BR213" s="97">
        <f>+Tabela1107[[#This Row],[PIS]]+Tabela1107[[#This Row],[COFINS]]+Tabela1107[[#This Row],[CONTRIB. FOLHA]]+Tabela1107[[#This Row],[TRIBUTOS S/ LUCRO]]+Tabela1107[[#This Row],[OUTROS]]+Tabela1107[[#This Row],[BA]]</f>
        <v>36.74</v>
      </c>
      <c r="BS213" s="97">
        <f>+Tabela1107[[#This Row],[PIS]]+Tabela1107[[#This Row],[COFINS]]+Tabela1107[[#This Row],[CONTRIB. FOLHA]]+Tabela1107[[#This Row],[TRIBUTOS S/ LUCRO]]+Tabela1107[[#This Row],[OUTROS]]+Tabela1107[[#This Row],[PE]]</f>
        <v>36.74</v>
      </c>
      <c r="BT213" s="97">
        <f>+Tabela1107[[#This Row],[PIS]]+Tabela1107[[#This Row],[COFINS]]+Tabela1107[[#This Row],[CONTRIB. FOLHA]]+Tabela1107[[#This Row],[TRIBUTOS S/ LUCRO]]+Tabela1107[[#This Row],[OUTROS]]+Tabela1107[[#This Row],[PA]]</f>
        <v>36.74</v>
      </c>
      <c r="BU213" s="97">
        <f>+Tabela1107[[#This Row],[PIS]]+Tabela1107[[#This Row],[COFINS]]+Tabela1107[[#This Row],[CONTRIB. FOLHA]]+Tabela1107[[#This Row],[TRIBUTOS S/ LUCRO]]+Tabela1107[[#This Row],[OUTROS]]+Tabela1107[[#This Row],[AM]]</f>
        <v>36.74</v>
      </c>
      <c r="BV213" s="97">
        <f>AVERAGE(Tabela1107[[#This Row],[TOTAL SP]:[TOTAL AM]])</f>
        <v>36.677500000000002</v>
      </c>
      <c r="BW213" s="97"/>
      <c r="BX213" s="97"/>
    </row>
    <row r="214" spans="2:76" x14ac:dyDescent="0.25">
      <c r="B214" s="89">
        <v>10873</v>
      </c>
      <c r="C214" s="91" t="s">
        <v>13168</v>
      </c>
      <c r="D214" s="89"/>
      <c r="E214" s="89">
        <v>20140626</v>
      </c>
      <c r="F214" s="89" t="s">
        <v>21115</v>
      </c>
      <c r="G214" s="89" t="s">
        <v>21116</v>
      </c>
      <c r="H214" s="98" t="s">
        <v>21988</v>
      </c>
      <c r="I214" s="89" t="s">
        <v>21114</v>
      </c>
      <c r="J214" s="89" t="s">
        <v>367</v>
      </c>
      <c r="K214" s="89" t="s">
        <v>2489</v>
      </c>
      <c r="L214" s="89" t="s">
        <v>2780</v>
      </c>
      <c r="M214" s="89" t="s">
        <v>4496</v>
      </c>
      <c r="N214" s="89" t="s">
        <v>4496</v>
      </c>
      <c r="O214" s="89" t="s">
        <v>4496</v>
      </c>
      <c r="P214" s="89" t="s">
        <v>4496</v>
      </c>
      <c r="Q214" s="89"/>
      <c r="R214" s="89" t="s">
        <v>34</v>
      </c>
      <c r="S214" s="89" t="s">
        <v>21670</v>
      </c>
      <c r="T214" s="89" t="s">
        <v>21671</v>
      </c>
      <c r="U214" s="89" t="str">
        <f>TRIM('Carga Tributária doenças Po (2'!$L214)</f>
        <v>CINARIZINA</v>
      </c>
      <c r="V214" s="89">
        <f>SUMIFS('Tabela Federal'!$E$4:$E$2069,'Tabela Federal'!$D$4:$D$2069,'Carga Tributária doenças Po (2'!$L214)</f>
        <v>3</v>
      </c>
      <c r="W214" s="89">
        <f>SUMIFS('Tabela Federal'!$E$4:$E$2069,'Tabela Federal'!$D$4:$D$2069,'Carga Tributária doenças Po (2'!$M214)</f>
        <v>0</v>
      </c>
      <c r="X214" s="89">
        <f>SUMIFS('Tabela Federal'!$E$4:$E$2069,'Tabela Federal'!$D$4:$D$2069,'Carga Tributária doenças Po (2'!$N214)</f>
        <v>0</v>
      </c>
      <c r="Y214" s="89">
        <f>SUMIFS('Tabela Federal'!$E$4:$E$2069,'Tabela Federal'!$D$4:$D$2069,'Carga Tributária doenças Po (2'!$O214)</f>
        <v>0</v>
      </c>
      <c r="Z214" s="92" t="str">
        <f>VLOOKUP('Carga Tributária doenças Po (2'!$AD214,'Carga Tributária doenças Po (2'!$CA$12:$CC$16,2,0)</f>
        <v>-</v>
      </c>
      <c r="AA214" s="89" t="s">
        <v>368</v>
      </c>
      <c r="AB214" s="89"/>
      <c r="AC214" s="89" t="s">
        <v>21721</v>
      </c>
      <c r="AD214" s="93" t="s">
        <v>19523</v>
      </c>
      <c r="AE214" s="92" t="s">
        <v>2</v>
      </c>
      <c r="AF214" s="92" t="s">
        <v>3</v>
      </c>
      <c r="AG214" s="94">
        <v>1391906</v>
      </c>
      <c r="AH214" s="95">
        <v>5265235</v>
      </c>
      <c r="AI214" s="95">
        <v>12022534.26</v>
      </c>
      <c r="AJ214" s="89" t="s">
        <v>372</v>
      </c>
      <c r="AK214" s="89">
        <f>IF('Carga Tributária doenças Po (2'!$Z214="+",0,SUMIFS(PISCOFINS!$I$3:$I$10518,PISCOFINS!$C$3:$C$10518,'Carga Tributária doenças Po (2'!$C214))</f>
        <v>2.1</v>
      </c>
      <c r="AL214" s="89">
        <f>IF('Carga Tributária doenças Po (2'!$Z214="+",0,SUMIFS(PISCOFINS!$H$3:$H$10518,PISCOFINS!$C$3:$C$10518,'Carga Tributária doenças Po (2'!$C214))</f>
        <v>9.9</v>
      </c>
      <c r="AM214" s="95">
        <v>3.27</v>
      </c>
      <c r="AN214" s="95">
        <v>3.12</v>
      </c>
      <c r="AO214" s="95">
        <v>1.35</v>
      </c>
      <c r="AP214" s="96">
        <v>18</v>
      </c>
      <c r="AQ214" s="96">
        <v>12</v>
      </c>
      <c r="AR214" s="96">
        <v>17</v>
      </c>
      <c r="AS214" s="97">
        <v>17</v>
      </c>
      <c r="AT214" s="97">
        <v>19</v>
      </c>
      <c r="AU214" s="97">
        <v>18</v>
      </c>
      <c r="AV214" s="97">
        <v>17</v>
      </c>
      <c r="AW214" s="97">
        <v>17</v>
      </c>
      <c r="AX214" s="97">
        <v>17</v>
      </c>
      <c r="AY214" s="97">
        <v>17</v>
      </c>
      <c r="AZ214" s="97">
        <v>17</v>
      </c>
      <c r="BA214" s="97">
        <v>17</v>
      </c>
      <c r="BB214" s="97">
        <v>17</v>
      </c>
      <c r="BC214" s="97">
        <v>17</v>
      </c>
      <c r="BD214" s="97">
        <v>17</v>
      </c>
      <c r="BE214" s="97">
        <v>17</v>
      </c>
      <c r="BF214" s="97">
        <f>+Tabela1107[[#This Row],[PIS]]+Tabela1107[[#This Row],[COFINS]]+Tabela1107[[#This Row],[CONTRIB. FOLHA]]+Tabela1107[[#This Row],[TRIBUTOS S/ LUCRO]]+Tabela1107[[#This Row],[OUTROS]]+Tabela1107[[#This Row],[SP]]</f>
        <v>37.74</v>
      </c>
      <c r="BG214" s="97">
        <f>+Tabela1107[[#This Row],[PIS]]+Tabela1107[[#This Row],[COFINS]]+Tabela1107[[#This Row],[CONTRIB. FOLHA]]+Tabela1107[[#This Row],[TRIBUTOS S/ LUCRO]]+Tabela1107[[#This Row],[OUTROS]]+Tabela1107[[#This Row],[PR]]</f>
        <v>31.740000000000002</v>
      </c>
      <c r="BH214" s="97">
        <f>+Tabela1107[[#This Row],[PIS]]+Tabela1107[[#This Row],[COFINS]]+Tabela1107[[#This Row],[CONTRIB. FOLHA]]+Tabela1107[[#This Row],[TRIBUTOS S/ LUCRO]]+Tabela1107[[#This Row],[OUTROS]]+Tabela1107[[#This Row],[SC]]</f>
        <v>36.74</v>
      </c>
      <c r="BI214" s="97">
        <f>+Tabela1107[[#This Row],[PIS]]+Tabela1107[[#This Row],[COFINS]]+Tabela1107[[#This Row],[CONTRIB. FOLHA]]+Tabela1107[[#This Row],[TRIBUTOS S/ LUCRO]]+Tabela1107[[#This Row],[OUTROS]]+Tabela1107[[#This Row],[RS]]</f>
        <v>36.74</v>
      </c>
      <c r="BJ214" s="97">
        <f>+Tabela1107[[#This Row],[PIS]]+Tabela1107[[#This Row],[COFINS]]+Tabela1107[[#This Row],[CONTRIB. FOLHA]]+Tabela1107[[#This Row],[TRIBUTOS S/ LUCRO]]+Tabela1107[[#This Row],[OUTROS]]+Tabela1107[[#This Row],[RJ]]</f>
        <v>38.74</v>
      </c>
      <c r="BK214" s="97">
        <f>+Tabela1107[[#This Row],[PIS]]+Tabela1107[[#This Row],[COFINS]]+Tabela1107[[#This Row],[CONTRIB. FOLHA]]+Tabela1107[[#This Row],[TRIBUTOS S/ LUCRO]]+Tabela1107[[#This Row],[OUTROS]]+Tabela1107[[#This Row],[MG]]</f>
        <v>37.74</v>
      </c>
      <c r="BL214" s="97">
        <f>+Tabela1107[[#This Row],[PIS]]+Tabela1107[[#This Row],[COFINS]]+Tabela1107[[#This Row],[CONTRIB. FOLHA]]+Tabela1107[[#This Row],[TRIBUTOS S/ LUCRO]]+Tabela1107[[#This Row],[OUTROS]]+Tabela1107[[#This Row],[ES]]</f>
        <v>36.74</v>
      </c>
      <c r="BM214" s="97">
        <f>+Tabela1107[[#This Row],[PIS]]+Tabela1107[[#This Row],[COFINS]]+Tabela1107[[#This Row],[CONTRIB. FOLHA]]+Tabela1107[[#This Row],[TRIBUTOS S/ LUCRO]]+Tabela1107[[#This Row],[OUTROS]]+Tabela1107[[#This Row],[GO]]</f>
        <v>36.74</v>
      </c>
      <c r="BN214" s="97">
        <f>+Tabela1107[[#This Row],[PIS]]+Tabela1107[[#This Row],[COFINS]]+Tabela1107[[#This Row],[CONTRIB. FOLHA]]+Tabela1107[[#This Row],[TRIBUTOS S/ LUCRO]]+Tabela1107[[#This Row],[OUTROS]]+Tabela1107[[#This Row],[MT]]</f>
        <v>36.74</v>
      </c>
      <c r="BO214" s="97">
        <f>+Tabela1107[[#This Row],[PIS]]+Tabela1107[[#This Row],[COFINS]]+Tabela1107[[#This Row],[CONTRIB. FOLHA]]+Tabela1107[[#This Row],[TRIBUTOS S/ LUCRO]]+Tabela1107[[#This Row],[OUTROS]]+Tabela1107[[#This Row],[MS]]</f>
        <v>36.74</v>
      </c>
      <c r="BP214" s="97">
        <f>+Tabela1107[[#This Row],[PIS]]+Tabela1107[[#This Row],[COFINS]]+Tabela1107[[#This Row],[CONTRIB. FOLHA]]+Tabela1107[[#This Row],[TRIBUTOS S/ LUCRO]]+Tabela1107[[#This Row],[OUTROS]]+Tabela1107[[#This Row],[DF]]</f>
        <v>36.74</v>
      </c>
      <c r="BQ214" s="97">
        <f>+Tabela1107[[#This Row],[PIS]]+Tabela1107[[#This Row],[COFINS]]+Tabela1107[[#This Row],[CONTRIB. FOLHA]]+Tabela1107[[#This Row],[TRIBUTOS S/ LUCRO]]+Tabela1107[[#This Row],[OUTROS]]+Tabela1107[[#This Row],[BA]]</f>
        <v>36.74</v>
      </c>
      <c r="BR214" s="97">
        <f>+Tabela1107[[#This Row],[PIS]]+Tabela1107[[#This Row],[COFINS]]+Tabela1107[[#This Row],[CONTRIB. FOLHA]]+Tabela1107[[#This Row],[TRIBUTOS S/ LUCRO]]+Tabela1107[[#This Row],[OUTROS]]+Tabela1107[[#This Row],[BA]]</f>
        <v>36.74</v>
      </c>
      <c r="BS214" s="97">
        <f>+Tabela1107[[#This Row],[PIS]]+Tabela1107[[#This Row],[COFINS]]+Tabela1107[[#This Row],[CONTRIB. FOLHA]]+Tabela1107[[#This Row],[TRIBUTOS S/ LUCRO]]+Tabela1107[[#This Row],[OUTROS]]+Tabela1107[[#This Row],[PE]]</f>
        <v>36.74</v>
      </c>
      <c r="BT214" s="97">
        <f>+Tabela1107[[#This Row],[PIS]]+Tabela1107[[#This Row],[COFINS]]+Tabela1107[[#This Row],[CONTRIB. FOLHA]]+Tabela1107[[#This Row],[TRIBUTOS S/ LUCRO]]+Tabela1107[[#This Row],[OUTROS]]+Tabela1107[[#This Row],[PA]]</f>
        <v>36.74</v>
      </c>
      <c r="BU214" s="97">
        <f>+Tabela1107[[#This Row],[PIS]]+Tabela1107[[#This Row],[COFINS]]+Tabela1107[[#This Row],[CONTRIB. FOLHA]]+Tabela1107[[#This Row],[TRIBUTOS S/ LUCRO]]+Tabela1107[[#This Row],[OUTROS]]+Tabela1107[[#This Row],[AM]]</f>
        <v>36.74</v>
      </c>
      <c r="BV214" s="97">
        <f>AVERAGE(Tabela1107[[#This Row],[TOTAL SP]:[TOTAL AM]])</f>
        <v>36.677500000000002</v>
      </c>
      <c r="BW214" s="97"/>
      <c r="BX214" s="97"/>
    </row>
    <row r="215" spans="2:76" x14ac:dyDescent="0.25">
      <c r="B215" s="89">
        <v>4005</v>
      </c>
      <c r="C215" s="91" t="s">
        <v>13183</v>
      </c>
      <c r="D215" s="89"/>
      <c r="E215" s="89">
        <v>20140626</v>
      </c>
      <c r="F215" s="89" t="s">
        <v>21199</v>
      </c>
      <c r="G215" s="89" t="s">
        <v>21200</v>
      </c>
      <c r="H215" s="89" t="s">
        <v>21201</v>
      </c>
      <c r="I215" s="89" t="s">
        <v>21202</v>
      </c>
      <c r="J215" s="89" t="s">
        <v>600</v>
      </c>
      <c r="K215" s="89"/>
      <c r="L215" s="89" t="s">
        <v>2631</v>
      </c>
      <c r="M215" s="89" t="s">
        <v>4176</v>
      </c>
      <c r="N215" s="89" t="s">
        <v>4496</v>
      </c>
      <c r="O215" s="89" t="s">
        <v>4496</v>
      </c>
      <c r="P215" s="89" t="s">
        <v>4496</v>
      </c>
      <c r="Q215" s="89"/>
      <c r="R215" s="89" t="s">
        <v>132</v>
      </c>
      <c r="S215" s="89" t="s">
        <v>21676</v>
      </c>
      <c r="T215" s="89" t="s">
        <v>21677</v>
      </c>
      <c r="U215" s="89" t="str">
        <f>TRIM('Carga Tributária doenças Po (2'!$L215)</f>
        <v>BUDESONIDA</v>
      </c>
      <c r="V215" s="89">
        <f>SUMIFS('Tabela Federal'!$E$4:$E$2069,'Tabela Federal'!$D$4:$D$2069,'Carga Tributária doenças Po (2'!$L215)</f>
        <v>2</v>
      </c>
      <c r="W215" s="89">
        <f>SUMIFS('Tabela Federal'!$E$4:$E$2069,'Tabela Federal'!$D$4:$D$2069,'Carga Tributária doenças Po (2'!$M215)</f>
        <v>0</v>
      </c>
      <c r="X215" s="89">
        <f>SUMIFS('Tabela Federal'!$E$4:$E$2069,'Tabela Federal'!$D$4:$D$2069,'Carga Tributária doenças Po (2'!$N215)</f>
        <v>0</v>
      </c>
      <c r="Y215" s="89">
        <f>SUMIFS('Tabela Federal'!$E$4:$E$2069,'Tabela Federal'!$D$4:$D$2069,'Carga Tributária doenças Po (2'!$O215)</f>
        <v>0</v>
      </c>
      <c r="Z215" s="92" t="str">
        <f>VLOOKUP('Carga Tributária doenças Po (2'!$AD215,'Carga Tributária doenças Po (2'!$CA$12:$CC$16,2,0)</f>
        <v>+</v>
      </c>
      <c r="AA215" s="89" t="s">
        <v>529</v>
      </c>
      <c r="AB215" s="89" t="s">
        <v>21749</v>
      </c>
      <c r="AC215" s="89" t="s">
        <v>21721</v>
      </c>
      <c r="AD215" s="93" t="s">
        <v>19445</v>
      </c>
      <c r="AE215" s="92" t="s">
        <v>4</v>
      </c>
      <c r="AF215" s="92" t="s">
        <v>3</v>
      </c>
      <c r="AG215" s="94">
        <v>649795</v>
      </c>
      <c r="AH215" s="95">
        <v>22360449</v>
      </c>
      <c r="AI215" s="95">
        <v>51012685.939999998</v>
      </c>
      <c r="AJ215" s="89" t="s">
        <v>533</v>
      </c>
      <c r="AK215" s="89">
        <f>IF('Carga Tributária doenças Po (2'!$Z215="+",0,SUMIFS(PISCOFINS!$I$3:$I$10518,PISCOFINS!$C$3:$C$10518,'Carga Tributária doenças Po (2'!$C215))</f>
        <v>0</v>
      </c>
      <c r="AL215" s="89">
        <f>IF('Carga Tributária doenças Po (2'!$Z215="+",0,SUMIFS(PISCOFINS!$H$3:$H$10518,PISCOFINS!$C$3:$C$10518,'Carga Tributária doenças Po (2'!$C215))</f>
        <v>0</v>
      </c>
      <c r="AM215" s="95">
        <v>3.27</v>
      </c>
      <c r="AN215" s="95">
        <v>3.12</v>
      </c>
      <c r="AO215" s="95">
        <v>1.35</v>
      </c>
      <c r="AP215" s="96">
        <v>18</v>
      </c>
      <c r="AQ215" s="96">
        <v>12</v>
      </c>
      <c r="AR215" s="96">
        <v>17</v>
      </c>
      <c r="AS215" s="97">
        <v>17</v>
      </c>
      <c r="AT215" s="97">
        <v>19</v>
      </c>
      <c r="AU215" s="97">
        <v>18</v>
      </c>
      <c r="AV215" s="97">
        <v>17</v>
      </c>
      <c r="AW215" s="97">
        <v>17</v>
      </c>
      <c r="AX215" s="97">
        <v>17</v>
      </c>
      <c r="AY215" s="97">
        <v>17</v>
      </c>
      <c r="AZ215" s="97">
        <v>17</v>
      </c>
      <c r="BA215" s="97">
        <v>17</v>
      </c>
      <c r="BB215" s="97">
        <v>17</v>
      </c>
      <c r="BC215" s="97">
        <v>17</v>
      </c>
      <c r="BD215" s="97">
        <v>17</v>
      </c>
      <c r="BE215" s="97">
        <v>17</v>
      </c>
      <c r="BF215" s="97">
        <f>+Tabela1107[[#This Row],[PIS]]+Tabela1107[[#This Row],[COFINS]]+Tabela1107[[#This Row],[CONTRIB. FOLHA]]+Tabela1107[[#This Row],[TRIBUTOS S/ LUCRO]]+Tabela1107[[#This Row],[OUTROS]]+Tabela1107[[#This Row],[SP]]</f>
        <v>25.740000000000002</v>
      </c>
      <c r="BG215" s="97">
        <f>+Tabela1107[[#This Row],[PIS]]+Tabela1107[[#This Row],[COFINS]]+Tabela1107[[#This Row],[CONTRIB. FOLHA]]+Tabela1107[[#This Row],[TRIBUTOS S/ LUCRO]]+Tabela1107[[#This Row],[OUTROS]]+Tabela1107[[#This Row],[PR]]</f>
        <v>19.740000000000002</v>
      </c>
      <c r="BH215" s="97">
        <f>+Tabela1107[[#This Row],[PIS]]+Tabela1107[[#This Row],[COFINS]]+Tabela1107[[#This Row],[CONTRIB. FOLHA]]+Tabela1107[[#This Row],[TRIBUTOS S/ LUCRO]]+Tabela1107[[#This Row],[OUTROS]]+Tabela1107[[#This Row],[SC]]</f>
        <v>24.740000000000002</v>
      </c>
      <c r="BI215" s="97">
        <f>+Tabela1107[[#This Row],[PIS]]+Tabela1107[[#This Row],[COFINS]]+Tabela1107[[#This Row],[CONTRIB. FOLHA]]+Tabela1107[[#This Row],[TRIBUTOS S/ LUCRO]]+Tabela1107[[#This Row],[OUTROS]]+Tabela1107[[#This Row],[RS]]</f>
        <v>24.740000000000002</v>
      </c>
      <c r="BJ215" s="97">
        <f>+Tabela1107[[#This Row],[PIS]]+Tabela1107[[#This Row],[COFINS]]+Tabela1107[[#This Row],[CONTRIB. FOLHA]]+Tabela1107[[#This Row],[TRIBUTOS S/ LUCRO]]+Tabela1107[[#This Row],[OUTROS]]+Tabela1107[[#This Row],[RJ]]</f>
        <v>26.740000000000002</v>
      </c>
      <c r="BK215" s="97">
        <f>+Tabela1107[[#This Row],[PIS]]+Tabela1107[[#This Row],[COFINS]]+Tabela1107[[#This Row],[CONTRIB. FOLHA]]+Tabela1107[[#This Row],[TRIBUTOS S/ LUCRO]]+Tabela1107[[#This Row],[OUTROS]]+Tabela1107[[#This Row],[MG]]</f>
        <v>25.740000000000002</v>
      </c>
      <c r="BL215" s="97">
        <f>+Tabela1107[[#This Row],[PIS]]+Tabela1107[[#This Row],[COFINS]]+Tabela1107[[#This Row],[CONTRIB. FOLHA]]+Tabela1107[[#This Row],[TRIBUTOS S/ LUCRO]]+Tabela1107[[#This Row],[OUTROS]]+Tabela1107[[#This Row],[ES]]</f>
        <v>24.740000000000002</v>
      </c>
      <c r="BM215" s="97">
        <f>+Tabela1107[[#This Row],[PIS]]+Tabela1107[[#This Row],[COFINS]]+Tabela1107[[#This Row],[CONTRIB. FOLHA]]+Tabela1107[[#This Row],[TRIBUTOS S/ LUCRO]]+Tabela1107[[#This Row],[OUTROS]]+Tabela1107[[#This Row],[GO]]</f>
        <v>24.740000000000002</v>
      </c>
      <c r="BN215" s="97">
        <f>+Tabela1107[[#This Row],[PIS]]+Tabela1107[[#This Row],[COFINS]]+Tabela1107[[#This Row],[CONTRIB. FOLHA]]+Tabela1107[[#This Row],[TRIBUTOS S/ LUCRO]]+Tabela1107[[#This Row],[OUTROS]]+Tabela1107[[#This Row],[MT]]</f>
        <v>24.740000000000002</v>
      </c>
      <c r="BO215" s="97">
        <f>+Tabela1107[[#This Row],[PIS]]+Tabela1107[[#This Row],[COFINS]]+Tabela1107[[#This Row],[CONTRIB. FOLHA]]+Tabela1107[[#This Row],[TRIBUTOS S/ LUCRO]]+Tabela1107[[#This Row],[OUTROS]]+Tabela1107[[#This Row],[MS]]</f>
        <v>24.740000000000002</v>
      </c>
      <c r="BP215" s="97">
        <f>+Tabela1107[[#This Row],[PIS]]+Tabela1107[[#This Row],[COFINS]]+Tabela1107[[#This Row],[CONTRIB. FOLHA]]+Tabela1107[[#This Row],[TRIBUTOS S/ LUCRO]]+Tabela1107[[#This Row],[OUTROS]]+Tabela1107[[#This Row],[DF]]</f>
        <v>24.740000000000002</v>
      </c>
      <c r="BQ215" s="97">
        <f>+Tabela1107[[#This Row],[PIS]]+Tabela1107[[#This Row],[COFINS]]+Tabela1107[[#This Row],[CONTRIB. FOLHA]]+Tabela1107[[#This Row],[TRIBUTOS S/ LUCRO]]+Tabela1107[[#This Row],[OUTROS]]+Tabela1107[[#This Row],[BA]]</f>
        <v>24.740000000000002</v>
      </c>
      <c r="BR215" s="97">
        <f>+Tabela1107[[#This Row],[PIS]]+Tabela1107[[#This Row],[COFINS]]+Tabela1107[[#This Row],[CONTRIB. FOLHA]]+Tabela1107[[#This Row],[TRIBUTOS S/ LUCRO]]+Tabela1107[[#This Row],[OUTROS]]+Tabela1107[[#This Row],[BA]]</f>
        <v>24.740000000000002</v>
      </c>
      <c r="BS215" s="97">
        <f>+Tabela1107[[#This Row],[PIS]]+Tabela1107[[#This Row],[COFINS]]+Tabela1107[[#This Row],[CONTRIB. FOLHA]]+Tabela1107[[#This Row],[TRIBUTOS S/ LUCRO]]+Tabela1107[[#This Row],[OUTROS]]+Tabela1107[[#This Row],[PE]]</f>
        <v>24.740000000000002</v>
      </c>
      <c r="BT215" s="97">
        <f>+Tabela1107[[#This Row],[PIS]]+Tabela1107[[#This Row],[COFINS]]+Tabela1107[[#This Row],[CONTRIB. FOLHA]]+Tabela1107[[#This Row],[TRIBUTOS S/ LUCRO]]+Tabela1107[[#This Row],[OUTROS]]+Tabela1107[[#This Row],[PA]]</f>
        <v>24.740000000000002</v>
      </c>
      <c r="BU215" s="97">
        <f>+Tabela1107[[#This Row],[PIS]]+Tabela1107[[#This Row],[COFINS]]+Tabela1107[[#This Row],[CONTRIB. FOLHA]]+Tabela1107[[#This Row],[TRIBUTOS S/ LUCRO]]+Tabela1107[[#This Row],[OUTROS]]+Tabela1107[[#This Row],[AM]]</f>
        <v>24.740000000000002</v>
      </c>
      <c r="BV215" s="97">
        <f>AVERAGE(Tabela1107[[#This Row],[TOTAL SP]:[TOTAL AM]])</f>
        <v>24.677500000000006</v>
      </c>
      <c r="BW215" s="97"/>
      <c r="BX215" s="97"/>
    </row>
    <row r="216" spans="2:76" x14ac:dyDescent="0.25">
      <c r="B216" s="89">
        <v>9810</v>
      </c>
      <c r="C216" s="91" t="s">
        <v>13022</v>
      </c>
      <c r="D216" s="89"/>
      <c r="E216" s="89">
        <v>20140626</v>
      </c>
      <c r="F216" s="89" t="s">
        <v>20955</v>
      </c>
      <c r="G216" s="89" t="s">
        <v>20956</v>
      </c>
      <c r="H216" s="89" t="s">
        <v>20957</v>
      </c>
      <c r="I216" s="89" t="s">
        <v>20958</v>
      </c>
      <c r="J216" s="89" t="s">
        <v>133</v>
      </c>
      <c r="K216" s="89"/>
      <c r="L216" s="89" t="s">
        <v>2781</v>
      </c>
      <c r="M216" s="89" t="s">
        <v>4496</v>
      </c>
      <c r="N216" s="89" t="s">
        <v>4496</v>
      </c>
      <c r="O216" s="89" t="s">
        <v>4496</v>
      </c>
      <c r="P216" s="89" t="s">
        <v>4496</v>
      </c>
      <c r="Q216" s="89"/>
      <c r="R216" s="89" t="s">
        <v>114</v>
      </c>
      <c r="S216" s="89" t="s">
        <v>21642</v>
      </c>
      <c r="T216" s="89" t="s">
        <v>21643</v>
      </c>
      <c r="U216" s="89" t="str">
        <f>TRIM('Carga Tributária doenças Po (2'!$L216)</f>
        <v>TERIPARATIDA</v>
      </c>
      <c r="V216" s="89">
        <f>SUMIFS('Tabela Federal'!$E$4:$E$2069,'Tabela Federal'!$D$4:$D$2069,'Carga Tributária doenças Po (2'!$L216)</f>
        <v>1</v>
      </c>
      <c r="W216" s="89">
        <f>SUMIFS('Tabela Federal'!$E$4:$E$2069,'Tabela Federal'!$D$4:$D$2069,'Carga Tributária doenças Po (2'!$M216)</f>
        <v>0</v>
      </c>
      <c r="X216" s="89">
        <f>SUMIFS('Tabela Federal'!$E$4:$E$2069,'Tabela Federal'!$D$4:$D$2069,'Carga Tributária doenças Po (2'!$N216)</f>
        <v>0</v>
      </c>
      <c r="Y216" s="89">
        <f>SUMIFS('Tabela Federal'!$E$4:$E$2069,'Tabela Federal'!$D$4:$D$2069,'Carga Tributária doenças Po (2'!$O216)</f>
        <v>0</v>
      </c>
      <c r="Z216" s="92" t="str">
        <f>VLOOKUP('Carga Tributária doenças Po (2'!$AD216,'Carga Tributária doenças Po (2'!$CA$12:$CC$16,2,0)</f>
        <v>+</v>
      </c>
      <c r="AA216" s="89" t="s">
        <v>134</v>
      </c>
      <c r="AB216" s="89" t="s">
        <v>21894</v>
      </c>
      <c r="AC216" s="89" t="s">
        <v>21721</v>
      </c>
      <c r="AD216" s="93" t="s">
        <v>21722</v>
      </c>
      <c r="AE216" s="92" t="s">
        <v>2</v>
      </c>
      <c r="AF216" s="92" t="s">
        <v>23</v>
      </c>
      <c r="AG216" s="94">
        <v>1098</v>
      </c>
      <c r="AH216" s="95">
        <v>977086</v>
      </c>
      <c r="AI216" s="95">
        <v>2243778.66</v>
      </c>
      <c r="AJ216" s="89" t="s">
        <v>146</v>
      </c>
      <c r="AK216" s="89">
        <f>IF('Carga Tributária doenças Po (2'!$Z216="+",0,SUMIFS(PISCOFINS!$I$3:$I$10518,PISCOFINS!$C$3:$C$10518,'Carga Tributária doenças Po (2'!$C216))</f>
        <v>0</v>
      </c>
      <c r="AL216" s="89">
        <f>IF('Carga Tributária doenças Po (2'!$Z216="+",0,SUMIFS(PISCOFINS!$H$3:$H$10518,PISCOFINS!$C$3:$C$10518,'Carga Tributária doenças Po (2'!$C216))</f>
        <v>0</v>
      </c>
      <c r="AM216" s="95">
        <v>3.27</v>
      </c>
      <c r="AN216" s="95">
        <v>3.12</v>
      </c>
      <c r="AO216" s="95">
        <v>1.35</v>
      </c>
      <c r="AP216" s="96">
        <v>18</v>
      </c>
      <c r="AQ216" s="96">
        <v>12</v>
      </c>
      <c r="AR216" s="96">
        <v>17</v>
      </c>
      <c r="AS216" s="97">
        <v>17</v>
      </c>
      <c r="AT216" s="97">
        <v>19</v>
      </c>
      <c r="AU216" s="97">
        <v>18</v>
      </c>
      <c r="AV216" s="97">
        <v>17</v>
      </c>
      <c r="AW216" s="97">
        <v>17</v>
      </c>
      <c r="AX216" s="97">
        <v>17</v>
      </c>
      <c r="AY216" s="97">
        <v>17</v>
      </c>
      <c r="AZ216" s="97">
        <v>17</v>
      </c>
      <c r="BA216" s="97">
        <v>17</v>
      </c>
      <c r="BB216" s="97">
        <v>17</v>
      </c>
      <c r="BC216" s="97">
        <v>17</v>
      </c>
      <c r="BD216" s="97">
        <v>17</v>
      </c>
      <c r="BE216" s="97">
        <v>17</v>
      </c>
      <c r="BF216" s="97">
        <f>+Tabela1107[[#This Row],[PIS]]+Tabela1107[[#This Row],[COFINS]]+Tabela1107[[#This Row],[CONTRIB. FOLHA]]+Tabela1107[[#This Row],[TRIBUTOS S/ LUCRO]]+Tabela1107[[#This Row],[OUTROS]]+Tabela1107[[#This Row],[SP]]</f>
        <v>25.740000000000002</v>
      </c>
      <c r="BG216" s="97">
        <f>+Tabela1107[[#This Row],[PIS]]+Tabela1107[[#This Row],[COFINS]]+Tabela1107[[#This Row],[CONTRIB. FOLHA]]+Tabela1107[[#This Row],[TRIBUTOS S/ LUCRO]]+Tabela1107[[#This Row],[OUTROS]]+Tabela1107[[#This Row],[PR]]</f>
        <v>19.740000000000002</v>
      </c>
      <c r="BH216" s="97">
        <f>+Tabela1107[[#This Row],[PIS]]+Tabela1107[[#This Row],[COFINS]]+Tabela1107[[#This Row],[CONTRIB. FOLHA]]+Tabela1107[[#This Row],[TRIBUTOS S/ LUCRO]]+Tabela1107[[#This Row],[OUTROS]]+Tabela1107[[#This Row],[SC]]</f>
        <v>24.740000000000002</v>
      </c>
      <c r="BI216" s="97">
        <f>+Tabela1107[[#This Row],[PIS]]+Tabela1107[[#This Row],[COFINS]]+Tabela1107[[#This Row],[CONTRIB. FOLHA]]+Tabela1107[[#This Row],[TRIBUTOS S/ LUCRO]]+Tabela1107[[#This Row],[OUTROS]]+Tabela1107[[#This Row],[RS]]</f>
        <v>24.740000000000002</v>
      </c>
      <c r="BJ216" s="97">
        <f>+Tabela1107[[#This Row],[PIS]]+Tabela1107[[#This Row],[COFINS]]+Tabela1107[[#This Row],[CONTRIB. FOLHA]]+Tabela1107[[#This Row],[TRIBUTOS S/ LUCRO]]+Tabela1107[[#This Row],[OUTROS]]+Tabela1107[[#This Row],[RJ]]</f>
        <v>26.740000000000002</v>
      </c>
      <c r="BK216" s="97">
        <f>+Tabela1107[[#This Row],[PIS]]+Tabela1107[[#This Row],[COFINS]]+Tabela1107[[#This Row],[CONTRIB. FOLHA]]+Tabela1107[[#This Row],[TRIBUTOS S/ LUCRO]]+Tabela1107[[#This Row],[OUTROS]]+Tabela1107[[#This Row],[MG]]</f>
        <v>25.740000000000002</v>
      </c>
      <c r="BL216" s="97">
        <f>+Tabela1107[[#This Row],[PIS]]+Tabela1107[[#This Row],[COFINS]]+Tabela1107[[#This Row],[CONTRIB. FOLHA]]+Tabela1107[[#This Row],[TRIBUTOS S/ LUCRO]]+Tabela1107[[#This Row],[OUTROS]]+Tabela1107[[#This Row],[ES]]</f>
        <v>24.740000000000002</v>
      </c>
      <c r="BM216" s="97">
        <f>+Tabela1107[[#This Row],[PIS]]+Tabela1107[[#This Row],[COFINS]]+Tabela1107[[#This Row],[CONTRIB. FOLHA]]+Tabela1107[[#This Row],[TRIBUTOS S/ LUCRO]]+Tabela1107[[#This Row],[OUTROS]]+Tabela1107[[#This Row],[GO]]</f>
        <v>24.740000000000002</v>
      </c>
      <c r="BN216" s="97">
        <f>+Tabela1107[[#This Row],[PIS]]+Tabela1107[[#This Row],[COFINS]]+Tabela1107[[#This Row],[CONTRIB. FOLHA]]+Tabela1107[[#This Row],[TRIBUTOS S/ LUCRO]]+Tabela1107[[#This Row],[OUTROS]]+Tabela1107[[#This Row],[MT]]</f>
        <v>24.740000000000002</v>
      </c>
      <c r="BO216" s="97">
        <f>+Tabela1107[[#This Row],[PIS]]+Tabela1107[[#This Row],[COFINS]]+Tabela1107[[#This Row],[CONTRIB. FOLHA]]+Tabela1107[[#This Row],[TRIBUTOS S/ LUCRO]]+Tabela1107[[#This Row],[OUTROS]]+Tabela1107[[#This Row],[MS]]</f>
        <v>24.740000000000002</v>
      </c>
      <c r="BP216" s="97">
        <f>+Tabela1107[[#This Row],[PIS]]+Tabela1107[[#This Row],[COFINS]]+Tabela1107[[#This Row],[CONTRIB. FOLHA]]+Tabela1107[[#This Row],[TRIBUTOS S/ LUCRO]]+Tabela1107[[#This Row],[OUTROS]]+Tabela1107[[#This Row],[DF]]</f>
        <v>24.740000000000002</v>
      </c>
      <c r="BQ216" s="97">
        <f>+Tabela1107[[#This Row],[PIS]]+Tabela1107[[#This Row],[COFINS]]+Tabela1107[[#This Row],[CONTRIB. FOLHA]]+Tabela1107[[#This Row],[TRIBUTOS S/ LUCRO]]+Tabela1107[[#This Row],[OUTROS]]+Tabela1107[[#This Row],[BA]]</f>
        <v>24.740000000000002</v>
      </c>
      <c r="BR216" s="97">
        <f>+Tabela1107[[#This Row],[PIS]]+Tabela1107[[#This Row],[COFINS]]+Tabela1107[[#This Row],[CONTRIB. FOLHA]]+Tabela1107[[#This Row],[TRIBUTOS S/ LUCRO]]+Tabela1107[[#This Row],[OUTROS]]+Tabela1107[[#This Row],[BA]]</f>
        <v>24.740000000000002</v>
      </c>
      <c r="BS216" s="97">
        <f>+Tabela1107[[#This Row],[PIS]]+Tabela1107[[#This Row],[COFINS]]+Tabela1107[[#This Row],[CONTRIB. FOLHA]]+Tabela1107[[#This Row],[TRIBUTOS S/ LUCRO]]+Tabela1107[[#This Row],[OUTROS]]+Tabela1107[[#This Row],[PE]]</f>
        <v>24.740000000000002</v>
      </c>
      <c r="BT216" s="97">
        <f>+Tabela1107[[#This Row],[PIS]]+Tabela1107[[#This Row],[COFINS]]+Tabela1107[[#This Row],[CONTRIB. FOLHA]]+Tabela1107[[#This Row],[TRIBUTOS S/ LUCRO]]+Tabela1107[[#This Row],[OUTROS]]+Tabela1107[[#This Row],[PA]]</f>
        <v>24.740000000000002</v>
      </c>
      <c r="BU216" s="97">
        <f>+Tabela1107[[#This Row],[PIS]]+Tabela1107[[#This Row],[COFINS]]+Tabela1107[[#This Row],[CONTRIB. FOLHA]]+Tabela1107[[#This Row],[TRIBUTOS S/ LUCRO]]+Tabela1107[[#This Row],[OUTROS]]+Tabela1107[[#This Row],[AM]]</f>
        <v>24.740000000000002</v>
      </c>
      <c r="BV216" s="97">
        <f>AVERAGE(Tabela1107[[#This Row],[TOTAL SP]:[TOTAL AM]])</f>
        <v>24.677500000000006</v>
      </c>
      <c r="BW216" s="97"/>
      <c r="BX216" s="97"/>
    </row>
    <row r="217" spans="2:76" x14ac:dyDescent="0.25">
      <c r="B217" s="89">
        <v>8726</v>
      </c>
      <c r="C217" s="91" t="s">
        <v>13075</v>
      </c>
      <c r="D217" s="89"/>
      <c r="E217" s="89">
        <v>20140626</v>
      </c>
      <c r="F217" s="89" t="s">
        <v>20303</v>
      </c>
      <c r="G217" s="89" t="s">
        <v>20304</v>
      </c>
      <c r="H217" s="89" t="s">
        <v>20305</v>
      </c>
      <c r="I217" s="89" t="s">
        <v>20306</v>
      </c>
      <c r="J217" s="89" t="s">
        <v>558</v>
      </c>
      <c r="K217" s="89"/>
      <c r="L217" s="89" t="s">
        <v>2678</v>
      </c>
      <c r="M217" s="89" t="s">
        <v>4496</v>
      </c>
      <c r="N217" s="89" t="s">
        <v>4496</v>
      </c>
      <c r="O217" s="89" t="s">
        <v>4496</v>
      </c>
      <c r="P217" s="89" t="s">
        <v>4496</v>
      </c>
      <c r="Q217" s="89"/>
      <c r="R217" s="89" t="s">
        <v>1</v>
      </c>
      <c r="S217" s="89" t="s">
        <v>21570</v>
      </c>
      <c r="T217" s="89" t="s">
        <v>21571</v>
      </c>
      <c r="U217" s="89" t="str">
        <f>TRIM('Carga Tributária doenças Po (2'!$L217)</f>
        <v>PREDNISOLONA</v>
      </c>
      <c r="V217" s="89">
        <f>SUMIFS('Tabela Federal'!$E$4:$E$2069,'Tabela Federal'!$D$4:$D$2069,'Carga Tributária doenças Po (2'!$L217)</f>
        <v>1</v>
      </c>
      <c r="W217" s="89">
        <f>SUMIFS('Tabela Federal'!$E$4:$E$2069,'Tabela Federal'!$D$4:$D$2069,'Carga Tributária doenças Po (2'!$M217)</f>
        <v>0</v>
      </c>
      <c r="X217" s="89">
        <f>SUMIFS('Tabela Federal'!$E$4:$E$2069,'Tabela Federal'!$D$4:$D$2069,'Carga Tributária doenças Po (2'!$N217)</f>
        <v>0</v>
      </c>
      <c r="Y217" s="89">
        <f>SUMIFS('Tabela Federal'!$E$4:$E$2069,'Tabela Federal'!$D$4:$D$2069,'Carga Tributária doenças Po (2'!$O217)</f>
        <v>0</v>
      </c>
      <c r="Z217" s="92" t="str">
        <f>VLOOKUP('Carga Tributária doenças Po (2'!$AD217,'Carga Tributária doenças Po (2'!$CA$12:$CC$16,2,0)</f>
        <v>+</v>
      </c>
      <c r="AA217" s="89" t="s">
        <v>254</v>
      </c>
      <c r="AB217" s="89" t="s">
        <v>21884</v>
      </c>
      <c r="AC217" s="89" t="s">
        <v>21721</v>
      </c>
      <c r="AD217" s="93" t="s">
        <v>21722</v>
      </c>
      <c r="AE217" s="92" t="s">
        <v>2</v>
      </c>
      <c r="AF217" s="92" t="s">
        <v>10</v>
      </c>
      <c r="AG217" s="94">
        <v>2100465</v>
      </c>
      <c r="AH217" s="95">
        <v>7068677</v>
      </c>
      <c r="AI217" s="95">
        <v>16024350.779999999</v>
      </c>
      <c r="AJ217" s="89" t="s">
        <v>559</v>
      </c>
      <c r="AK217" s="89">
        <f>IF('Carga Tributária doenças Po (2'!$Z217="+",0,SUMIFS(PISCOFINS!$I$3:$I$10518,PISCOFINS!$C$3:$C$10518,'Carga Tributária doenças Po (2'!$C217))</f>
        <v>0</v>
      </c>
      <c r="AL217" s="89">
        <f>IF('Carga Tributária doenças Po (2'!$Z217="+",0,SUMIFS(PISCOFINS!$H$3:$H$10518,PISCOFINS!$C$3:$C$10518,'Carga Tributária doenças Po (2'!$C217))</f>
        <v>0</v>
      </c>
      <c r="AM217" s="95">
        <v>3.27</v>
      </c>
      <c r="AN217" s="95">
        <v>3.12</v>
      </c>
      <c r="AO217" s="95">
        <v>1.35</v>
      </c>
      <c r="AP217" s="96">
        <v>18</v>
      </c>
      <c r="AQ217" s="96">
        <v>12</v>
      </c>
      <c r="AR217" s="96">
        <v>17</v>
      </c>
      <c r="AS217" s="97">
        <v>17</v>
      </c>
      <c r="AT217" s="97">
        <v>19</v>
      </c>
      <c r="AU217" s="97">
        <v>12</v>
      </c>
      <c r="AV217" s="97">
        <v>17</v>
      </c>
      <c r="AW217" s="97">
        <v>17</v>
      </c>
      <c r="AX217" s="97">
        <v>17</v>
      </c>
      <c r="AY217" s="97">
        <v>17</v>
      </c>
      <c r="AZ217" s="97">
        <v>17</v>
      </c>
      <c r="BA217" s="97">
        <v>17</v>
      </c>
      <c r="BB217" s="97">
        <v>17</v>
      </c>
      <c r="BC217" s="97">
        <v>17</v>
      </c>
      <c r="BD217" s="97">
        <v>17</v>
      </c>
      <c r="BE217" s="97">
        <v>17</v>
      </c>
      <c r="BF217" s="97">
        <f>+Tabela1107[[#This Row],[PIS]]+Tabela1107[[#This Row],[COFINS]]+Tabela1107[[#This Row],[CONTRIB. FOLHA]]+Tabela1107[[#This Row],[TRIBUTOS S/ LUCRO]]+Tabela1107[[#This Row],[OUTROS]]+Tabela1107[[#This Row],[SP]]</f>
        <v>25.740000000000002</v>
      </c>
      <c r="BG217" s="97">
        <f>+Tabela1107[[#This Row],[PIS]]+Tabela1107[[#This Row],[COFINS]]+Tabela1107[[#This Row],[CONTRIB. FOLHA]]+Tabela1107[[#This Row],[TRIBUTOS S/ LUCRO]]+Tabela1107[[#This Row],[OUTROS]]+Tabela1107[[#This Row],[PR]]</f>
        <v>19.740000000000002</v>
      </c>
      <c r="BH217" s="97">
        <f>+Tabela1107[[#This Row],[PIS]]+Tabela1107[[#This Row],[COFINS]]+Tabela1107[[#This Row],[CONTRIB. FOLHA]]+Tabela1107[[#This Row],[TRIBUTOS S/ LUCRO]]+Tabela1107[[#This Row],[OUTROS]]+Tabela1107[[#This Row],[SC]]</f>
        <v>24.740000000000002</v>
      </c>
      <c r="BI217" s="97">
        <f>+Tabela1107[[#This Row],[PIS]]+Tabela1107[[#This Row],[COFINS]]+Tabela1107[[#This Row],[CONTRIB. FOLHA]]+Tabela1107[[#This Row],[TRIBUTOS S/ LUCRO]]+Tabela1107[[#This Row],[OUTROS]]+Tabela1107[[#This Row],[RS]]</f>
        <v>24.740000000000002</v>
      </c>
      <c r="BJ217" s="97">
        <f>+Tabela1107[[#This Row],[PIS]]+Tabela1107[[#This Row],[COFINS]]+Tabela1107[[#This Row],[CONTRIB. FOLHA]]+Tabela1107[[#This Row],[TRIBUTOS S/ LUCRO]]+Tabela1107[[#This Row],[OUTROS]]+Tabela1107[[#This Row],[RJ]]</f>
        <v>26.740000000000002</v>
      </c>
      <c r="BK217" s="97">
        <f>+Tabela1107[[#This Row],[PIS]]+Tabela1107[[#This Row],[COFINS]]+Tabela1107[[#This Row],[CONTRIB. FOLHA]]+Tabela1107[[#This Row],[TRIBUTOS S/ LUCRO]]+Tabela1107[[#This Row],[OUTROS]]+Tabela1107[[#This Row],[MG]]</f>
        <v>19.740000000000002</v>
      </c>
      <c r="BL217" s="97">
        <f>+Tabela1107[[#This Row],[PIS]]+Tabela1107[[#This Row],[COFINS]]+Tabela1107[[#This Row],[CONTRIB. FOLHA]]+Tabela1107[[#This Row],[TRIBUTOS S/ LUCRO]]+Tabela1107[[#This Row],[OUTROS]]+Tabela1107[[#This Row],[ES]]</f>
        <v>24.740000000000002</v>
      </c>
      <c r="BM217" s="97">
        <f>+Tabela1107[[#This Row],[PIS]]+Tabela1107[[#This Row],[COFINS]]+Tabela1107[[#This Row],[CONTRIB. FOLHA]]+Tabela1107[[#This Row],[TRIBUTOS S/ LUCRO]]+Tabela1107[[#This Row],[OUTROS]]+Tabela1107[[#This Row],[GO]]</f>
        <v>24.740000000000002</v>
      </c>
      <c r="BN217" s="97">
        <f>+Tabela1107[[#This Row],[PIS]]+Tabela1107[[#This Row],[COFINS]]+Tabela1107[[#This Row],[CONTRIB. FOLHA]]+Tabela1107[[#This Row],[TRIBUTOS S/ LUCRO]]+Tabela1107[[#This Row],[OUTROS]]+Tabela1107[[#This Row],[MT]]</f>
        <v>24.740000000000002</v>
      </c>
      <c r="BO217" s="97">
        <f>+Tabela1107[[#This Row],[PIS]]+Tabela1107[[#This Row],[COFINS]]+Tabela1107[[#This Row],[CONTRIB. FOLHA]]+Tabela1107[[#This Row],[TRIBUTOS S/ LUCRO]]+Tabela1107[[#This Row],[OUTROS]]+Tabela1107[[#This Row],[MS]]</f>
        <v>24.740000000000002</v>
      </c>
      <c r="BP217" s="97">
        <f>+Tabela1107[[#This Row],[PIS]]+Tabela1107[[#This Row],[COFINS]]+Tabela1107[[#This Row],[CONTRIB. FOLHA]]+Tabela1107[[#This Row],[TRIBUTOS S/ LUCRO]]+Tabela1107[[#This Row],[OUTROS]]+Tabela1107[[#This Row],[DF]]</f>
        <v>24.740000000000002</v>
      </c>
      <c r="BQ217" s="97">
        <f>+Tabela1107[[#This Row],[PIS]]+Tabela1107[[#This Row],[COFINS]]+Tabela1107[[#This Row],[CONTRIB. FOLHA]]+Tabela1107[[#This Row],[TRIBUTOS S/ LUCRO]]+Tabela1107[[#This Row],[OUTROS]]+Tabela1107[[#This Row],[BA]]</f>
        <v>24.740000000000002</v>
      </c>
      <c r="BR217" s="97">
        <f>+Tabela1107[[#This Row],[PIS]]+Tabela1107[[#This Row],[COFINS]]+Tabela1107[[#This Row],[CONTRIB. FOLHA]]+Tabela1107[[#This Row],[TRIBUTOS S/ LUCRO]]+Tabela1107[[#This Row],[OUTROS]]+Tabela1107[[#This Row],[BA]]</f>
        <v>24.740000000000002</v>
      </c>
      <c r="BS217" s="97">
        <f>+Tabela1107[[#This Row],[PIS]]+Tabela1107[[#This Row],[COFINS]]+Tabela1107[[#This Row],[CONTRIB. FOLHA]]+Tabela1107[[#This Row],[TRIBUTOS S/ LUCRO]]+Tabela1107[[#This Row],[OUTROS]]+Tabela1107[[#This Row],[PE]]</f>
        <v>24.740000000000002</v>
      </c>
      <c r="BT217" s="97">
        <f>+Tabela1107[[#This Row],[PIS]]+Tabela1107[[#This Row],[COFINS]]+Tabela1107[[#This Row],[CONTRIB. FOLHA]]+Tabela1107[[#This Row],[TRIBUTOS S/ LUCRO]]+Tabela1107[[#This Row],[OUTROS]]+Tabela1107[[#This Row],[PA]]</f>
        <v>24.740000000000002</v>
      </c>
      <c r="BU217" s="97">
        <f>+Tabela1107[[#This Row],[PIS]]+Tabela1107[[#This Row],[COFINS]]+Tabela1107[[#This Row],[CONTRIB. FOLHA]]+Tabela1107[[#This Row],[TRIBUTOS S/ LUCRO]]+Tabela1107[[#This Row],[OUTROS]]+Tabela1107[[#This Row],[AM]]</f>
        <v>24.740000000000002</v>
      </c>
      <c r="BV217" s="97">
        <f>AVERAGE(Tabela1107[[#This Row],[TOTAL SP]:[TOTAL AM]])</f>
        <v>24.302500000000006</v>
      </c>
      <c r="BW217" s="97"/>
      <c r="BX217" s="97"/>
    </row>
    <row r="218" spans="2:76" x14ac:dyDescent="0.25">
      <c r="B218" s="89">
        <v>2194</v>
      </c>
      <c r="C218" s="91" t="s">
        <v>13038</v>
      </c>
      <c r="D218" s="89"/>
      <c r="E218" s="89">
        <v>20140626</v>
      </c>
      <c r="F218" s="89" t="s">
        <v>21020</v>
      </c>
      <c r="G218" s="89" t="s">
        <v>21021</v>
      </c>
      <c r="H218" s="89" t="s">
        <v>21022</v>
      </c>
      <c r="I218" s="89" t="s">
        <v>21023</v>
      </c>
      <c r="J218" s="89" t="s">
        <v>59</v>
      </c>
      <c r="K218" s="89"/>
      <c r="L218" s="89" t="s">
        <v>2789</v>
      </c>
      <c r="M218" s="89" t="s">
        <v>4476</v>
      </c>
      <c r="N218" s="89" t="s">
        <v>4483</v>
      </c>
      <c r="O218" s="89" t="s">
        <v>4496</v>
      </c>
      <c r="P218" s="89" t="s">
        <v>4496</v>
      </c>
      <c r="Q218" s="89"/>
      <c r="R218" s="89" t="s">
        <v>60</v>
      </c>
      <c r="S218" s="89" t="s">
        <v>21654</v>
      </c>
      <c r="T218" s="89" t="s">
        <v>21655</v>
      </c>
      <c r="U218" s="89" t="str">
        <f>TRIM('Carga Tributária doenças Po (2'!$L218)</f>
        <v>DIMETICONA</v>
      </c>
      <c r="V218" s="89">
        <f>SUMIFS('Tabela Federal'!$E$4:$E$2069,'Tabela Federal'!$D$4:$D$2069,'Carga Tributária doenças Po (2'!$L218)</f>
        <v>9</v>
      </c>
      <c r="W218" s="89">
        <f>SUMIFS('Tabela Federal'!$E$4:$E$2069,'Tabela Federal'!$D$4:$D$2069,'Carga Tributária doenças Po (2'!$M218)</f>
        <v>0</v>
      </c>
      <c r="X218" s="89">
        <f>SUMIFS('Tabela Federal'!$E$4:$E$2069,'Tabela Federal'!$D$4:$D$2069,'Carga Tributária doenças Po (2'!$N218)</f>
        <v>0</v>
      </c>
      <c r="Y218" s="89">
        <f>SUMIFS('Tabela Federal'!$E$4:$E$2069,'Tabela Federal'!$D$4:$D$2069,'Carga Tributária doenças Po (2'!$O218)</f>
        <v>0</v>
      </c>
      <c r="Z218" s="92" t="str">
        <f>VLOOKUP('Carga Tributária doenças Po (2'!$AD218,'Carga Tributária doenças Po (2'!$CA$12:$CC$16,2,0)</f>
        <v>-</v>
      </c>
      <c r="AA218" s="89" t="s">
        <v>54</v>
      </c>
      <c r="AB218" s="89" t="s">
        <v>21751</v>
      </c>
      <c r="AC218" s="89" t="s">
        <v>21740</v>
      </c>
      <c r="AD218" s="93" t="s">
        <v>19523</v>
      </c>
      <c r="AE218" s="92" t="s">
        <v>4</v>
      </c>
      <c r="AF218" s="92" t="s">
        <v>3</v>
      </c>
      <c r="AG218" s="94">
        <v>334791</v>
      </c>
      <c r="AH218" s="95">
        <v>1807062</v>
      </c>
      <c r="AI218" s="95">
        <v>4119113.44</v>
      </c>
      <c r="AJ218" s="89" t="s">
        <v>41</v>
      </c>
      <c r="AK218" s="89">
        <f>IF('Carga Tributária doenças Po (2'!$Z218="+",0,SUMIFS(PISCOFINS!$I$3:$I$10518,PISCOFINS!$C$3:$C$10518,'Carga Tributária doenças Po (2'!$C218))</f>
        <v>2.1</v>
      </c>
      <c r="AL218" s="89">
        <f>IF('Carga Tributária doenças Po (2'!$Z218="+",0,SUMIFS(PISCOFINS!$H$3:$H$10518,PISCOFINS!$C$3:$C$10518,'Carga Tributária doenças Po (2'!$C218))</f>
        <v>9.9</v>
      </c>
      <c r="AM218" s="95">
        <v>3.27</v>
      </c>
      <c r="AN218" s="95">
        <v>3.12</v>
      </c>
      <c r="AO218" s="95">
        <v>1.35</v>
      </c>
      <c r="AP218" s="96">
        <v>18</v>
      </c>
      <c r="AQ218" s="96">
        <v>12</v>
      </c>
      <c r="AR218" s="96">
        <v>17</v>
      </c>
      <c r="AS218" s="97">
        <v>17</v>
      </c>
      <c r="AT218" s="97">
        <v>19</v>
      </c>
      <c r="AU218" s="97">
        <v>18</v>
      </c>
      <c r="AV218" s="97">
        <v>17</v>
      </c>
      <c r="AW218" s="97">
        <v>17</v>
      </c>
      <c r="AX218" s="97">
        <v>17</v>
      </c>
      <c r="AY218" s="97">
        <v>17</v>
      </c>
      <c r="AZ218" s="97">
        <v>17</v>
      </c>
      <c r="BA218" s="97">
        <v>17</v>
      </c>
      <c r="BB218" s="97">
        <v>17</v>
      </c>
      <c r="BC218" s="97">
        <v>17</v>
      </c>
      <c r="BD218" s="97">
        <v>17</v>
      </c>
      <c r="BE218" s="97">
        <v>17</v>
      </c>
      <c r="BF218" s="97">
        <f>+Tabela1107[[#This Row],[PIS]]+Tabela1107[[#This Row],[COFINS]]+Tabela1107[[#This Row],[CONTRIB. FOLHA]]+Tabela1107[[#This Row],[TRIBUTOS S/ LUCRO]]+Tabela1107[[#This Row],[OUTROS]]+Tabela1107[[#This Row],[SP]]</f>
        <v>37.74</v>
      </c>
      <c r="BG218" s="97">
        <f>+Tabela1107[[#This Row],[PIS]]+Tabela1107[[#This Row],[COFINS]]+Tabela1107[[#This Row],[CONTRIB. FOLHA]]+Tabela1107[[#This Row],[TRIBUTOS S/ LUCRO]]+Tabela1107[[#This Row],[OUTROS]]+Tabela1107[[#This Row],[PR]]</f>
        <v>31.740000000000002</v>
      </c>
      <c r="BH218" s="97">
        <f>+Tabela1107[[#This Row],[PIS]]+Tabela1107[[#This Row],[COFINS]]+Tabela1107[[#This Row],[CONTRIB. FOLHA]]+Tabela1107[[#This Row],[TRIBUTOS S/ LUCRO]]+Tabela1107[[#This Row],[OUTROS]]+Tabela1107[[#This Row],[SC]]</f>
        <v>36.74</v>
      </c>
      <c r="BI218" s="97">
        <f>+Tabela1107[[#This Row],[PIS]]+Tabela1107[[#This Row],[COFINS]]+Tabela1107[[#This Row],[CONTRIB. FOLHA]]+Tabela1107[[#This Row],[TRIBUTOS S/ LUCRO]]+Tabela1107[[#This Row],[OUTROS]]+Tabela1107[[#This Row],[RS]]</f>
        <v>36.74</v>
      </c>
      <c r="BJ218" s="97">
        <f>+Tabela1107[[#This Row],[PIS]]+Tabela1107[[#This Row],[COFINS]]+Tabela1107[[#This Row],[CONTRIB. FOLHA]]+Tabela1107[[#This Row],[TRIBUTOS S/ LUCRO]]+Tabela1107[[#This Row],[OUTROS]]+Tabela1107[[#This Row],[RJ]]</f>
        <v>38.74</v>
      </c>
      <c r="BK218" s="97">
        <f>+Tabela1107[[#This Row],[PIS]]+Tabela1107[[#This Row],[COFINS]]+Tabela1107[[#This Row],[CONTRIB. FOLHA]]+Tabela1107[[#This Row],[TRIBUTOS S/ LUCRO]]+Tabela1107[[#This Row],[OUTROS]]+Tabela1107[[#This Row],[MG]]</f>
        <v>37.74</v>
      </c>
      <c r="BL218" s="97">
        <f>+Tabela1107[[#This Row],[PIS]]+Tabela1107[[#This Row],[COFINS]]+Tabela1107[[#This Row],[CONTRIB. FOLHA]]+Tabela1107[[#This Row],[TRIBUTOS S/ LUCRO]]+Tabela1107[[#This Row],[OUTROS]]+Tabela1107[[#This Row],[ES]]</f>
        <v>36.74</v>
      </c>
      <c r="BM218" s="97">
        <f>+Tabela1107[[#This Row],[PIS]]+Tabela1107[[#This Row],[COFINS]]+Tabela1107[[#This Row],[CONTRIB. FOLHA]]+Tabela1107[[#This Row],[TRIBUTOS S/ LUCRO]]+Tabela1107[[#This Row],[OUTROS]]+Tabela1107[[#This Row],[GO]]</f>
        <v>36.74</v>
      </c>
      <c r="BN218" s="97">
        <f>+Tabela1107[[#This Row],[PIS]]+Tabela1107[[#This Row],[COFINS]]+Tabela1107[[#This Row],[CONTRIB. FOLHA]]+Tabela1107[[#This Row],[TRIBUTOS S/ LUCRO]]+Tabela1107[[#This Row],[OUTROS]]+Tabela1107[[#This Row],[MT]]</f>
        <v>36.74</v>
      </c>
      <c r="BO218" s="97">
        <f>+Tabela1107[[#This Row],[PIS]]+Tabela1107[[#This Row],[COFINS]]+Tabela1107[[#This Row],[CONTRIB. FOLHA]]+Tabela1107[[#This Row],[TRIBUTOS S/ LUCRO]]+Tabela1107[[#This Row],[OUTROS]]+Tabela1107[[#This Row],[MS]]</f>
        <v>36.74</v>
      </c>
      <c r="BP218" s="97">
        <f>+Tabela1107[[#This Row],[PIS]]+Tabela1107[[#This Row],[COFINS]]+Tabela1107[[#This Row],[CONTRIB. FOLHA]]+Tabela1107[[#This Row],[TRIBUTOS S/ LUCRO]]+Tabela1107[[#This Row],[OUTROS]]+Tabela1107[[#This Row],[DF]]</f>
        <v>36.74</v>
      </c>
      <c r="BQ218" s="97">
        <f>+Tabela1107[[#This Row],[PIS]]+Tabela1107[[#This Row],[COFINS]]+Tabela1107[[#This Row],[CONTRIB. FOLHA]]+Tabela1107[[#This Row],[TRIBUTOS S/ LUCRO]]+Tabela1107[[#This Row],[OUTROS]]+Tabela1107[[#This Row],[BA]]</f>
        <v>36.74</v>
      </c>
      <c r="BR218" s="97">
        <f>+Tabela1107[[#This Row],[PIS]]+Tabela1107[[#This Row],[COFINS]]+Tabela1107[[#This Row],[CONTRIB. FOLHA]]+Tabela1107[[#This Row],[TRIBUTOS S/ LUCRO]]+Tabela1107[[#This Row],[OUTROS]]+Tabela1107[[#This Row],[BA]]</f>
        <v>36.74</v>
      </c>
      <c r="BS218" s="97">
        <f>+Tabela1107[[#This Row],[PIS]]+Tabela1107[[#This Row],[COFINS]]+Tabela1107[[#This Row],[CONTRIB. FOLHA]]+Tabela1107[[#This Row],[TRIBUTOS S/ LUCRO]]+Tabela1107[[#This Row],[OUTROS]]+Tabela1107[[#This Row],[PE]]</f>
        <v>36.74</v>
      </c>
      <c r="BT218" s="97">
        <f>+Tabela1107[[#This Row],[PIS]]+Tabela1107[[#This Row],[COFINS]]+Tabela1107[[#This Row],[CONTRIB. FOLHA]]+Tabela1107[[#This Row],[TRIBUTOS S/ LUCRO]]+Tabela1107[[#This Row],[OUTROS]]+Tabela1107[[#This Row],[PA]]</f>
        <v>36.74</v>
      </c>
      <c r="BU218" s="97">
        <f>+Tabela1107[[#This Row],[PIS]]+Tabela1107[[#This Row],[COFINS]]+Tabela1107[[#This Row],[CONTRIB. FOLHA]]+Tabela1107[[#This Row],[TRIBUTOS S/ LUCRO]]+Tabela1107[[#This Row],[OUTROS]]+Tabela1107[[#This Row],[AM]]</f>
        <v>36.74</v>
      </c>
      <c r="BV218" s="97">
        <f>AVERAGE(Tabela1107[[#This Row],[TOTAL SP]:[TOTAL AM]])</f>
        <v>36.677500000000002</v>
      </c>
      <c r="BW218" s="97"/>
      <c r="BX218" s="97"/>
    </row>
    <row r="219" spans="2:76" x14ac:dyDescent="0.25">
      <c r="B219" s="89">
        <v>18350</v>
      </c>
      <c r="C219" s="91" t="s">
        <v>13175</v>
      </c>
      <c r="D219" s="89"/>
      <c r="E219" s="89">
        <v>20140626</v>
      </c>
      <c r="F219" s="89" t="s">
        <v>21538</v>
      </c>
      <c r="G219" s="89" t="s">
        <v>21539</v>
      </c>
      <c r="H219" s="89" t="s">
        <v>21540</v>
      </c>
      <c r="I219" s="89" t="s">
        <v>21541</v>
      </c>
      <c r="J219" s="89" t="s">
        <v>467</v>
      </c>
      <c r="K219" s="89" t="s">
        <v>2482</v>
      </c>
      <c r="L219" s="89" t="s">
        <v>2662</v>
      </c>
      <c r="M219" s="89" t="s">
        <v>4496</v>
      </c>
      <c r="N219" s="89" t="s">
        <v>4496</v>
      </c>
      <c r="O219" s="89" t="s">
        <v>4496</v>
      </c>
      <c r="P219" s="89" t="s">
        <v>4496</v>
      </c>
      <c r="Q219" s="89"/>
      <c r="R219" s="89" t="s">
        <v>8</v>
      </c>
      <c r="S219" s="89" t="s">
        <v>21704</v>
      </c>
      <c r="T219" s="89" t="s">
        <v>21705</v>
      </c>
      <c r="U219" s="89" t="str">
        <f>TRIM('Carga Tributária doenças Po (2'!$L219)</f>
        <v>TIMOLOL</v>
      </c>
      <c r="V219" s="89">
        <f>SUMIFS('Tabela Federal'!$E$4:$E$2069,'Tabela Federal'!$D$4:$D$2069,'Carga Tributária doenças Po (2'!$L219)</f>
        <v>0</v>
      </c>
      <c r="W219" s="89">
        <f>SUMIFS('Tabela Federal'!$E$4:$E$2069,'Tabela Federal'!$D$4:$D$2069,'Carga Tributária doenças Po (2'!$M219)</f>
        <v>0</v>
      </c>
      <c r="X219" s="89">
        <f>SUMIFS('Tabela Federal'!$E$4:$E$2069,'Tabela Federal'!$D$4:$D$2069,'Carga Tributária doenças Po (2'!$N219)</f>
        <v>0</v>
      </c>
      <c r="Y219" s="89">
        <f>SUMIFS('Tabela Federal'!$E$4:$E$2069,'Tabela Federal'!$D$4:$D$2069,'Carga Tributária doenças Po (2'!$O219)</f>
        <v>0</v>
      </c>
      <c r="Z219" s="92" t="str">
        <f>VLOOKUP('Carga Tributária doenças Po (2'!$AD219,'Carga Tributária doenças Po (2'!$CA$12:$CC$16,2,0)</f>
        <v>+</v>
      </c>
      <c r="AA219" s="89" t="s">
        <v>462</v>
      </c>
      <c r="AB219" s="89" t="s">
        <v>21837</v>
      </c>
      <c r="AC219" s="89" t="s">
        <v>21721</v>
      </c>
      <c r="AD219" s="93" t="s">
        <v>21722</v>
      </c>
      <c r="AE219" s="92" t="s">
        <v>2</v>
      </c>
      <c r="AF219" s="92" t="s">
        <v>3</v>
      </c>
      <c r="AG219" s="94">
        <v>526814</v>
      </c>
      <c r="AH219" s="95">
        <v>1425670</v>
      </c>
      <c r="AI219" s="95">
        <v>3254380.04</v>
      </c>
      <c r="AJ219" s="89" t="s">
        <v>471</v>
      </c>
      <c r="AK219" s="89">
        <f>IF('Carga Tributária doenças Po (2'!$Z219="+",0,SUMIFS(PISCOFINS!$I$3:$I$10518,PISCOFINS!$C$3:$C$10518,'Carga Tributária doenças Po (2'!$C219))</f>
        <v>0</v>
      </c>
      <c r="AL219" s="89">
        <f>IF('Carga Tributária doenças Po (2'!$Z219="+",0,SUMIFS(PISCOFINS!$H$3:$H$10518,PISCOFINS!$C$3:$C$10518,'Carga Tributária doenças Po (2'!$C219))</f>
        <v>0</v>
      </c>
      <c r="AM219" s="95">
        <v>3.27</v>
      </c>
      <c r="AN219" s="95">
        <v>3.12</v>
      </c>
      <c r="AO219" s="95">
        <v>1.35</v>
      </c>
      <c r="AP219" s="96">
        <v>18</v>
      </c>
      <c r="AQ219" s="96">
        <v>12</v>
      </c>
      <c r="AR219" s="96">
        <v>17</v>
      </c>
      <c r="AS219" s="97">
        <v>17</v>
      </c>
      <c r="AT219" s="97">
        <v>19</v>
      </c>
      <c r="AU219" s="97">
        <v>18</v>
      </c>
      <c r="AV219" s="97">
        <v>17</v>
      </c>
      <c r="AW219" s="97">
        <v>17</v>
      </c>
      <c r="AX219" s="97">
        <v>17</v>
      </c>
      <c r="AY219" s="97">
        <v>17</v>
      </c>
      <c r="AZ219" s="97">
        <v>17</v>
      </c>
      <c r="BA219" s="97">
        <v>17</v>
      </c>
      <c r="BB219" s="97">
        <v>17</v>
      </c>
      <c r="BC219" s="97">
        <v>17</v>
      </c>
      <c r="BD219" s="97">
        <v>17</v>
      </c>
      <c r="BE219" s="97">
        <v>17</v>
      </c>
      <c r="BF219" s="97">
        <f>+Tabela1107[[#This Row],[PIS]]+Tabela1107[[#This Row],[COFINS]]+Tabela1107[[#This Row],[CONTRIB. FOLHA]]+Tabela1107[[#This Row],[TRIBUTOS S/ LUCRO]]+Tabela1107[[#This Row],[OUTROS]]+Tabela1107[[#This Row],[SP]]</f>
        <v>25.740000000000002</v>
      </c>
      <c r="BG219" s="97">
        <f>+Tabela1107[[#This Row],[PIS]]+Tabela1107[[#This Row],[COFINS]]+Tabela1107[[#This Row],[CONTRIB. FOLHA]]+Tabela1107[[#This Row],[TRIBUTOS S/ LUCRO]]+Tabela1107[[#This Row],[OUTROS]]+Tabela1107[[#This Row],[PR]]</f>
        <v>19.740000000000002</v>
      </c>
      <c r="BH219" s="97">
        <f>+Tabela1107[[#This Row],[PIS]]+Tabela1107[[#This Row],[COFINS]]+Tabela1107[[#This Row],[CONTRIB. FOLHA]]+Tabela1107[[#This Row],[TRIBUTOS S/ LUCRO]]+Tabela1107[[#This Row],[OUTROS]]+Tabela1107[[#This Row],[SC]]</f>
        <v>24.740000000000002</v>
      </c>
      <c r="BI219" s="97">
        <f>+Tabela1107[[#This Row],[PIS]]+Tabela1107[[#This Row],[COFINS]]+Tabela1107[[#This Row],[CONTRIB. FOLHA]]+Tabela1107[[#This Row],[TRIBUTOS S/ LUCRO]]+Tabela1107[[#This Row],[OUTROS]]+Tabela1107[[#This Row],[RS]]</f>
        <v>24.740000000000002</v>
      </c>
      <c r="BJ219" s="97">
        <f>+Tabela1107[[#This Row],[PIS]]+Tabela1107[[#This Row],[COFINS]]+Tabela1107[[#This Row],[CONTRIB. FOLHA]]+Tabela1107[[#This Row],[TRIBUTOS S/ LUCRO]]+Tabela1107[[#This Row],[OUTROS]]+Tabela1107[[#This Row],[RJ]]</f>
        <v>26.740000000000002</v>
      </c>
      <c r="BK219" s="97">
        <f>+Tabela1107[[#This Row],[PIS]]+Tabela1107[[#This Row],[COFINS]]+Tabela1107[[#This Row],[CONTRIB. FOLHA]]+Tabela1107[[#This Row],[TRIBUTOS S/ LUCRO]]+Tabela1107[[#This Row],[OUTROS]]+Tabela1107[[#This Row],[MG]]</f>
        <v>25.740000000000002</v>
      </c>
      <c r="BL219" s="97">
        <f>+Tabela1107[[#This Row],[PIS]]+Tabela1107[[#This Row],[COFINS]]+Tabela1107[[#This Row],[CONTRIB. FOLHA]]+Tabela1107[[#This Row],[TRIBUTOS S/ LUCRO]]+Tabela1107[[#This Row],[OUTROS]]+Tabela1107[[#This Row],[ES]]</f>
        <v>24.740000000000002</v>
      </c>
      <c r="BM219" s="97">
        <f>+Tabela1107[[#This Row],[PIS]]+Tabela1107[[#This Row],[COFINS]]+Tabela1107[[#This Row],[CONTRIB. FOLHA]]+Tabela1107[[#This Row],[TRIBUTOS S/ LUCRO]]+Tabela1107[[#This Row],[OUTROS]]+Tabela1107[[#This Row],[GO]]</f>
        <v>24.740000000000002</v>
      </c>
      <c r="BN219" s="97">
        <f>+Tabela1107[[#This Row],[PIS]]+Tabela1107[[#This Row],[COFINS]]+Tabela1107[[#This Row],[CONTRIB. FOLHA]]+Tabela1107[[#This Row],[TRIBUTOS S/ LUCRO]]+Tabela1107[[#This Row],[OUTROS]]+Tabela1107[[#This Row],[MT]]</f>
        <v>24.740000000000002</v>
      </c>
      <c r="BO219" s="97">
        <f>+Tabela1107[[#This Row],[PIS]]+Tabela1107[[#This Row],[COFINS]]+Tabela1107[[#This Row],[CONTRIB. FOLHA]]+Tabela1107[[#This Row],[TRIBUTOS S/ LUCRO]]+Tabela1107[[#This Row],[OUTROS]]+Tabela1107[[#This Row],[MS]]</f>
        <v>24.740000000000002</v>
      </c>
      <c r="BP219" s="97">
        <f>+Tabela1107[[#This Row],[PIS]]+Tabela1107[[#This Row],[COFINS]]+Tabela1107[[#This Row],[CONTRIB. FOLHA]]+Tabela1107[[#This Row],[TRIBUTOS S/ LUCRO]]+Tabela1107[[#This Row],[OUTROS]]+Tabela1107[[#This Row],[DF]]</f>
        <v>24.740000000000002</v>
      </c>
      <c r="BQ219" s="97">
        <f>+Tabela1107[[#This Row],[PIS]]+Tabela1107[[#This Row],[COFINS]]+Tabela1107[[#This Row],[CONTRIB. FOLHA]]+Tabela1107[[#This Row],[TRIBUTOS S/ LUCRO]]+Tabela1107[[#This Row],[OUTROS]]+Tabela1107[[#This Row],[BA]]</f>
        <v>24.740000000000002</v>
      </c>
      <c r="BR219" s="97">
        <f>+Tabela1107[[#This Row],[PIS]]+Tabela1107[[#This Row],[COFINS]]+Tabela1107[[#This Row],[CONTRIB. FOLHA]]+Tabela1107[[#This Row],[TRIBUTOS S/ LUCRO]]+Tabela1107[[#This Row],[OUTROS]]+Tabela1107[[#This Row],[BA]]</f>
        <v>24.740000000000002</v>
      </c>
      <c r="BS219" s="97">
        <f>+Tabela1107[[#This Row],[PIS]]+Tabela1107[[#This Row],[COFINS]]+Tabela1107[[#This Row],[CONTRIB. FOLHA]]+Tabela1107[[#This Row],[TRIBUTOS S/ LUCRO]]+Tabela1107[[#This Row],[OUTROS]]+Tabela1107[[#This Row],[PE]]</f>
        <v>24.740000000000002</v>
      </c>
      <c r="BT219" s="97">
        <f>+Tabela1107[[#This Row],[PIS]]+Tabela1107[[#This Row],[COFINS]]+Tabela1107[[#This Row],[CONTRIB. FOLHA]]+Tabela1107[[#This Row],[TRIBUTOS S/ LUCRO]]+Tabela1107[[#This Row],[OUTROS]]+Tabela1107[[#This Row],[PA]]</f>
        <v>24.740000000000002</v>
      </c>
      <c r="BU219" s="97">
        <f>+Tabela1107[[#This Row],[PIS]]+Tabela1107[[#This Row],[COFINS]]+Tabela1107[[#This Row],[CONTRIB. FOLHA]]+Tabela1107[[#This Row],[TRIBUTOS S/ LUCRO]]+Tabela1107[[#This Row],[OUTROS]]+Tabela1107[[#This Row],[AM]]</f>
        <v>24.740000000000002</v>
      </c>
      <c r="BV219" s="97">
        <f>AVERAGE(Tabela1107[[#This Row],[TOTAL SP]:[TOTAL AM]])</f>
        <v>24.677500000000006</v>
      </c>
      <c r="BW219" s="97"/>
      <c r="BX219" s="97"/>
    </row>
    <row r="220" spans="2:76" x14ac:dyDescent="0.25">
      <c r="B220" s="89">
        <v>9096</v>
      </c>
      <c r="C220" s="91" t="s">
        <v>13183</v>
      </c>
      <c r="D220" s="89"/>
      <c r="E220" s="89">
        <v>20140626</v>
      </c>
      <c r="F220" s="89" t="s">
        <v>21117</v>
      </c>
      <c r="G220" s="89" t="s">
        <v>21118</v>
      </c>
      <c r="H220" s="89" t="s">
        <v>21119</v>
      </c>
      <c r="I220" s="89" t="s">
        <v>2782</v>
      </c>
      <c r="J220" s="89" t="s">
        <v>125</v>
      </c>
      <c r="K220" s="89"/>
      <c r="L220" s="89" t="s">
        <v>2782</v>
      </c>
      <c r="M220" s="89" t="s">
        <v>4496</v>
      </c>
      <c r="N220" s="89" t="s">
        <v>4496</v>
      </c>
      <c r="O220" s="89" t="s">
        <v>4496</v>
      </c>
      <c r="P220" s="89" t="s">
        <v>4496</v>
      </c>
      <c r="Q220" s="89"/>
      <c r="R220" s="89" t="s">
        <v>34</v>
      </c>
      <c r="S220" s="89" t="s">
        <v>21670</v>
      </c>
      <c r="T220" s="89" t="s">
        <v>21671</v>
      </c>
      <c r="U220" s="89" t="str">
        <f>TRIM('Carga Tributária doenças Po (2'!$L220)</f>
        <v>GLIBENCLAMIDA</v>
      </c>
      <c r="V220" s="89">
        <f>SUMIFS('Tabela Federal'!$E$4:$E$2069,'Tabela Federal'!$D$4:$D$2069,'Carga Tributária doenças Po (2'!$L220)</f>
        <v>2</v>
      </c>
      <c r="W220" s="89">
        <f>SUMIFS('Tabela Federal'!$E$4:$E$2069,'Tabela Federal'!$D$4:$D$2069,'Carga Tributária doenças Po (2'!$M220)</f>
        <v>0</v>
      </c>
      <c r="X220" s="89">
        <f>SUMIFS('Tabela Federal'!$E$4:$E$2069,'Tabela Federal'!$D$4:$D$2069,'Carga Tributária doenças Po (2'!$N220)</f>
        <v>0</v>
      </c>
      <c r="Y220" s="89">
        <f>SUMIFS('Tabela Federal'!$E$4:$E$2069,'Tabela Federal'!$D$4:$D$2069,'Carga Tributária doenças Po (2'!$O220)</f>
        <v>0</v>
      </c>
      <c r="Z220" s="92" t="str">
        <f>VLOOKUP('Carga Tributária doenças Po (2'!$AD220,'Carga Tributária doenças Po (2'!$CA$12:$CC$16,2,0)</f>
        <v>+</v>
      </c>
      <c r="AA220" s="89" t="s">
        <v>126</v>
      </c>
      <c r="AB220" s="89" t="s">
        <v>21784</v>
      </c>
      <c r="AC220" s="89" t="s">
        <v>21721</v>
      </c>
      <c r="AD220" s="93" t="s">
        <v>21722</v>
      </c>
      <c r="AE220" s="92" t="s">
        <v>2</v>
      </c>
      <c r="AF220" s="92" t="s">
        <v>10</v>
      </c>
      <c r="AG220" s="94">
        <v>1995133</v>
      </c>
      <c r="AH220" s="95">
        <v>4944724</v>
      </c>
      <c r="AI220" s="95">
        <v>11263804.960000001</v>
      </c>
      <c r="AJ220" s="89" t="s">
        <v>127</v>
      </c>
      <c r="AK220" s="89">
        <f>IF('Carga Tributária doenças Po (2'!$Z220="+",0,SUMIFS(PISCOFINS!$I$3:$I$10518,PISCOFINS!$C$3:$C$10518,'Carga Tributária doenças Po (2'!$C220))</f>
        <v>0</v>
      </c>
      <c r="AL220" s="89">
        <f>IF('Carga Tributária doenças Po (2'!$Z220="+",0,SUMIFS(PISCOFINS!$H$3:$H$10518,PISCOFINS!$C$3:$C$10518,'Carga Tributária doenças Po (2'!$C220))</f>
        <v>0</v>
      </c>
      <c r="AM220" s="95">
        <v>3.27</v>
      </c>
      <c r="AN220" s="95">
        <v>3.12</v>
      </c>
      <c r="AO220" s="95">
        <v>1.35</v>
      </c>
      <c r="AP220" s="96">
        <v>18</v>
      </c>
      <c r="AQ220" s="96">
        <v>12</v>
      </c>
      <c r="AR220" s="96">
        <v>17</v>
      </c>
      <c r="AS220" s="97">
        <v>17</v>
      </c>
      <c r="AT220" s="97">
        <v>19</v>
      </c>
      <c r="AU220" s="97">
        <v>12</v>
      </c>
      <c r="AV220" s="97">
        <v>17</v>
      </c>
      <c r="AW220" s="97">
        <v>17</v>
      </c>
      <c r="AX220" s="97">
        <v>17</v>
      </c>
      <c r="AY220" s="97">
        <v>17</v>
      </c>
      <c r="AZ220" s="97">
        <v>17</v>
      </c>
      <c r="BA220" s="97">
        <v>17</v>
      </c>
      <c r="BB220" s="97">
        <v>17</v>
      </c>
      <c r="BC220" s="97">
        <v>17</v>
      </c>
      <c r="BD220" s="97">
        <v>17</v>
      </c>
      <c r="BE220" s="97">
        <v>17</v>
      </c>
      <c r="BF220" s="97">
        <f>+Tabela1107[[#This Row],[PIS]]+Tabela1107[[#This Row],[COFINS]]+Tabela1107[[#This Row],[CONTRIB. FOLHA]]+Tabela1107[[#This Row],[TRIBUTOS S/ LUCRO]]+Tabela1107[[#This Row],[OUTROS]]+Tabela1107[[#This Row],[SP]]</f>
        <v>25.740000000000002</v>
      </c>
      <c r="BG220" s="97">
        <f>+Tabela1107[[#This Row],[PIS]]+Tabela1107[[#This Row],[COFINS]]+Tabela1107[[#This Row],[CONTRIB. FOLHA]]+Tabela1107[[#This Row],[TRIBUTOS S/ LUCRO]]+Tabela1107[[#This Row],[OUTROS]]+Tabela1107[[#This Row],[PR]]</f>
        <v>19.740000000000002</v>
      </c>
      <c r="BH220" s="97">
        <f>+Tabela1107[[#This Row],[PIS]]+Tabela1107[[#This Row],[COFINS]]+Tabela1107[[#This Row],[CONTRIB. FOLHA]]+Tabela1107[[#This Row],[TRIBUTOS S/ LUCRO]]+Tabela1107[[#This Row],[OUTROS]]+Tabela1107[[#This Row],[SC]]</f>
        <v>24.740000000000002</v>
      </c>
      <c r="BI220" s="97">
        <f>+Tabela1107[[#This Row],[PIS]]+Tabela1107[[#This Row],[COFINS]]+Tabela1107[[#This Row],[CONTRIB. FOLHA]]+Tabela1107[[#This Row],[TRIBUTOS S/ LUCRO]]+Tabela1107[[#This Row],[OUTROS]]+Tabela1107[[#This Row],[RS]]</f>
        <v>24.740000000000002</v>
      </c>
      <c r="BJ220" s="97">
        <f>+Tabela1107[[#This Row],[PIS]]+Tabela1107[[#This Row],[COFINS]]+Tabela1107[[#This Row],[CONTRIB. FOLHA]]+Tabela1107[[#This Row],[TRIBUTOS S/ LUCRO]]+Tabela1107[[#This Row],[OUTROS]]+Tabela1107[[#This Row],[RJ]]</f>
        <v>26.740000000000002</v>
      </c>
      <c r="BK220" s="97">
        <f>+Tabela1107[[#This Row],[PIS]]+Tabela1107[[#This Row],[COFINS]]+Tabela1107[[#This Row],[CONTRIB. FOLHA]]+Tabela1107[[#This Row],[TRIBUTOS S/ LUCRO]]+Tabela1107[[#This Row],[OUTROS]]+Tabela1107[[#This Row],[MG]]</f>
        <v>19.740000000000002</v>
      </c>
      <c r="BL220" s="97">
        <f>+Tabela1107[[#This Row],[PIS]]+Tabela1107[[#This Row],[COFINS]]+Tabela1107[[#This Row],[CONTRIB. FOLHA]]+Tabela1107[[#This Row],[TRIBUTOS S/ LUCRO]]+Tabela1107[[#This Row],[OUTROS]]+Tabela1107[[#This Row],[ES]]</f>
        <v>24.740000000000002</v>
      </c>
      <c r="BM220" s="97">
        <f>+Tabela1107[[#This Row],[PIS]]+Tabela1107[[#This Row],[COFINS]]+Tabela1107[[#This Row],[CONTRIB. FOLHA]]+Tabela1107[[#This Row],[TRIBUTOS S/ LUCRO]]+Tabela1107[[#This Row],[OUTROS]]+Tabela1107[[#This Row],[GO]]</f>
        <v>24.740000000000002</v>
      </c>
      <c r="BN220" s="97">
        <f>+Tabela1107[[#This Row],[PIS]]+Tabela1107[[#This Row],[COFINS]]+Tabela1107[[#This Row],[CONTRIB. FOLHA]]+Tabela1107[[#This Row],[TRIBUTOS S/ LUCRO]]+Tabela1107[[#This Row],[OUTROS]]+Tabela1107[[#This Row],[MT]]</f>
        <v>24.740000000000002</v>
      </c>
      <c r="BO220" s="97">
        <f>+Tabela1107[[#This Row],[PIS]]+Tabela1107[[#This Row],[COFINS]]+Tabela1107[[#This Row],[CONTRIB. FOLHA]]+Tabela1107[[#This Row],[TRIBUTOS S/ LUCRO]]+Tabela1107[[#This Row],[OUTROS]]+Tabela1107[[#This Row],[MS]]</f>
        <v>24.740000000000002</v>
      </c>
      <c r="BP220" s="97">
        <f>+Tabela1107[[#This Row],[PIS]]+Tabela1107[[#This Row],[COFINS]]+Tabela1107[[#This Row],[CONTRIB. FOLHA]]+Tabela1107[[#This Row],[TRIBUTOS S/ LUCRO]]+Tabela1107[[#This Row],[OUTROS]]+Tabela1107[[#This Row],[DF]]</f>
        <v>24.740000000000002</v>
      </c>
      <c r="BQ220" s="97">
        <f>+Tabela1107[[#This Row],[PIS]]+Tabela1107[[#This Row],[COFINS]]+Tabela1107[[#This Row],[CONTRIB. FOLHA]]+Tabela1107[[#This Row],[TRIBUTOS S/ LUCRO]]+Tabela1107[[#This Row],[OUTROS]]+Tabela1107[[#This Row],[BA]]</f>
        <v>24.740000000000002</v>
      </c>
      <c r="BR220" s="97">
        <f>+Tabela1107[[#This Row],[PIS]]+Tabela1107[[#This Row],[COFINS]]+Tabela1107[[#This Row],[CONTRIB. FOLHA]]+Tabela1107[[#This Row],[TRIBUTOS S/ LUCRO]]+Tabela1107[[#This Row],[OUTROS]]+Tabela1107[[#This Row],[BA]]</f>
        <v>24.740000000000002</v>
      </c>
      <c r="BS220" s="97">
        <f>+Tabela1107[[#This Row],[PIS]]+Tabela1107[[#This Row],[COFINS]]+Tabela1107[[#This Row],[CONTRIB. FOLHA]]+Tabela1107[[#This Row],[TRIBUTOS S/ LUCRO]]+Tabela1107[[#This Row],[OUTROS]]+Tabela1107[[#This Row],[PE]]</f>
        <v>24.740000000000002</v>
      </c>
      <c r="BT220" s="97">
        <f>+Tabela1107[[#This Row],[PIS]]+Tabela1107[[#This Row],[COFINS]]+Tabela1107[[#This Row],[CONTRIB. FOLHA]]+Tabela1107[[#This Row],[TRIBUTOS S/ LUCRO]]+Tabela1107[[#This Row],[OUTROS]]+Tabela1107[[#This Row],[PA]]</f>
        <v>24.740000000000002</v>
      </c>
      <c r="BU220" s="97">
        <f>+Tabela1107[[#This Row],[PIS]]+Tabela1107[[#This Row],[COFINS]]+Tabela1107[[#This Row],[CONTRIB. FOLHA]]+Tabela1107[[#This Row],[TRIBUTOS S/ LUCRO]]+Tabela1107[[#This Row],[OUTROS]]+Tabela1107[[#This Row],[AM]]</f>
        <v>24.740000000000002</v>
      </c>
      <c r="BV220" s="97">
        <f>AVERAGE(Tabela1107[[#This Row],[TOTAL SP]:[TOTAL AM]])</f>
        <v>24.302500000000006</v>
      </c>
      <c r="BW220" s="97"/>
      <c r="BX220" s="97"/>
    </row>
    <row r="221" spans="2:76" x14ac:dyDescent="0.25">
      <c r="B221" s="89">
        <v>9113</v>
      </c>
      <c r="C221" s="91" t="s">
        <v>13183</v>
      </c>
      <c r="D221" s="89"/>
      <c r="E221" s="89">
        <v>20140626</v>
      </c>
      <c r="F221" s="89" t="s">
        <v>20655</v>
      </c>
      <c r="G221" s="89" t="s">
        <v>20656</v>
      </c>
      <c r="H221" s="89" t="s">
        <v>20657</v>
      </c>
      <c r="I221" s="89" t="s">
        <v>2782</v>
      </c>
      <c r="J221" s="89" t="s">
        <v>125</v>
      </c>
      <c r="K221" s="89"/>
      <c r="L221" s="89" t="s">
        <v>2782</v>
      </c>
      <c r="M221" s="89" t="s">
        <v>4496</v>
      </c>
      <c r="N221" s="89" t="s">
        <v>4496</v>
      </c>
      <c r="O221" s="89" t="s">
        <v>4496</v>
      </c>
      <c r="P221" s="89" t="s">
        <v>4496</v>
      </c>
      <c r="Q221" s="89"/>
      <c r="R221" s="89" t="s">
        <v>29</v>
      </c>
      <c r="S221" s="89" t="s">
        <v>21616</v>
      </c>
      <c r="T221" s="89" t="s">
        <v>21617</v>
      </c>
      <c r="U221" s="89" t="str">
        <f>TRIM('Carga Tributária doenças Po (2'!$L221)</f>
        <v>GLIBENCLAMIDA</v>
      </c>
      <c r="V221" s="89">
        <f>SUMIFS('Tabela Federal'!$E$4:$E$2069,'Tabela Federal'!$D$4:$D$2069,'Carga Tributária doenças Po (2'!$L221)</f>
        <v>2</v>
      </c>
      <c r="W221" s="89">
        <f>SUMIFS('Tabela Federal'!$E$4:$E$2069,'Tabela Federal'!$D$4:$D$2069,'Carga Tributária doenças Po (2'!$M221)</f>
        <v>0</v>
      </c>
      <c r="X221" s="89">
        <f>SUMIFS('Tabela Federal'!$E$4:$E$2069,'Tabela Federal'!$D$4:$D$2069,'Carga Tributária doenças Po (2'!$N221)</f>
        <v>0</v>
      </c>
      <c r="Y221" s="89">
        <f>SUMIFS('Tabela Federal'!$E$4:$E$2069,'Tabela Federal'!$D$4:$D$2069,'Carga Tributária doenças Po (2'!$O221)</f>
        <v>0</v>
      </c>
      <c r="Z221" s="92" t="str">
        <f>VLOOKUP('Carga Tributária doenças Po (2'!$AD221,'Carga Tributária doenças Po (2'!$CA$12:$CC$16,2,0)</f>
        <v>+</v>
      </c>
      <c r="AA221" s="89" t="s">
        <v>126</v>
      </c>
      <c r="AB221" s="89" t="s">
        <v>21784</v>
      </c>
      <c r="AC221" s="89" t="s">
        <v>21721</v>
      </c>
      <c r="AD221" s="93" t="s">
        <v>21722</v>
      </c>
      <c r="AE221" s="92" t="s">
        <v>2</v>
      </c>
      <c r="AF221" s="92" t="s">
        <v>10</v>
      </c>
      <c r="AG221" s="94">
        <v>2058227</v>
      </c>
      <c r="AH221" s="95">
        <v>5366175</v>
      </c>
      <c r="AI221" s="95">
        <v>12241463.529999999</v>
      </c>
      <c r="AJ221" s="89" t="s">
        <v>127</v>
      </c>
      <c r="AK221" s="89">
        <f>IF('Carga Tributária doenças Po (2'!$Z221="+",0,SUMIFS(PISCOFINS!$I$3:$I$10518,PISCOFINS!$C$3:$C$10518,'Carga Tributária doenças Po (2'!$C221))</f>
        <v>0</v>
      </c>
      <c r="AL221" s="89">
        <f>IF('Carga Tributária doenças Po (2'!$Z221="+",0,SUMIFS(PISCOFINS!$H$3:$H$10518,PISCOFINS!$C$3:$C$10518,'Carga Tributária doenças Po (2'!$C221))</f>
        <v>0</v>
      </c>
      <c r="AM221" s="95">
        <v>3.27</v>
      </c>
      <c r="AN221" s="95">
        <v>3.12</v>
      </c>
      <c r="AO221" s="95">
        <v>1.35</v>
      </c>
      <c r="AP221" s="96">
        <v>18</v>
      </c>
      <c r="AQ221" s="96">
        <v>12</v>
      </c>
      <c r="AR221" s="96">
        <v>17</v>
      </c>
      <c r="AS221" s="97">
        <v>17</v>
      </c>
      <c r="AT221" s="97">
        <v>19</v>
      </c>
      <c r="AU221" s="97">
        <v>12</v>
      </c>
      <c r="AV221" s="97">
        <v>17</v>
      </c>
      <c r="AW221" s="97">
        <v>17</v>
      </c>
      <c r="AX221" s="97">
        <v>17</v>
      </c>
      <c r="AY221" s="97">
        <v>17</v>
      </c>
      <c r="AZ221" s="97">
        <v>17</v>
      </c>
      <c r="BA221" s="97">
        <v>17</v>
      </c>
      <c r="BB221" s="97">
        <v>17</v>
      </c>
      <c r="BC221" s="97">
        <v>17</v>
      </c>
      <c r="BD221" s="97">
        <v>17</v>
      </c>
      <c r="BE221" s="97">
        <v>17</v>
      </c>
      <c r="BF221" s="97">
        <f>+Tabela1107[[#This Row],[PIS]]+Tabela1107[[#This Row],[COFINS]]+Tabela1107[[#This Row],[CONTRIB. FOLHA]]+Tabela1107[[#This Row],[TRIBUTOS S/ LUCRO]]+Tabela1107[[#This Row],[OUTROS]]+Tabela1107[[#This Row],[SP]]</f>
        <v>25.740000000000002</v>
      </c>
      <c r="BG221" s="97">
        <f>+Tabela1107[[#This Row],[PIS]]+Tabela1107[[#This Row],[COFINS]]+Tabela1107[[#This Row],[CONTRIB. FOLHA]]+Tabela1107[[#This Row],[TRIBUTOS S/ LUCRO]]+Tabela1107[[#This Row],[OUTROS]]+Tabela1107[[#This Row],[PR]]</f>
        <v>19.740000000000002</v>
      </c>
      <c r="BH221" s="97">
        <f>+Tabela1107[[#This Row],[PIS]]+Tabela1107[[#This Row],[COFINS]]+Tabela1107[[#This Row],[CONTRIB. FOLHA]]+Tabela1107[[#This Row],[TRIBUTOS S/ LUCRO]]+Tabela1107[[#This Row],[OUTROS]]+Tabela1107[[#This Row],[SC]]</f>
        <v>24.740000000000002</v>
      </c>
      <c r="BI221" s="97">
        <f>+Tabela1107[[#This Row],[PIS]]+Tabela1107[[#This Row],[COFINS]]+Tabela1107[[#This Row],[CONTRIB. FOLHA]]+Tabela1107[[#This Row],[TRIBUTOS S/ LUCRO]]+Tabela1107[[#This Row],[OUTROS]]+Tabela1107[[#This Row],[RS]]</f>
        <v>24.740000000000002</v>
      </c>
      <c r="BJ221" s="97">
        <f>+Tabela1107[[#This Row],[PIS]]+Tabela1107[[#This Row],[COFINS]]+Tabela1107[[#This Row],[CONTRIB. FOLHA]]+Tabela1107[[#This Row],[TRIBUTOS S/ LUCRO]]+Tabela1107[[#This Row],[OUTROS]]+Tabela1107[[#This Row],[RJ]]</f>
        <v>26.740000000000002</v>
      </c>
      <c r="BK221" s="97">
        <f>+Tabela1107[[#This Row],[PIS]]+Tabela1107[[#This Row],[COFINS]]+Tabela1107[[#This Row],[CONTRIB. FOLHA]]+Tabela1107[[#This Row],[TRIBUTOS S/ LUCRO]]+Tabela1107[[#This Row],[OUTROS]]+Tabela1107[[#This Row],[MG]]</f>
        <v>19.740000000000002</v>
      </c>
      <c r="BL221" s="97">
        <f>+Tabela1107[[#This Row],[PIS]]+Tabela1107[[#This Row],[COFINS]]+Tabela1107[[#This Row],[CONTRIB. FOLHA]]+Tabela1107[[#This Row],[TRIBUTOS S/ LUCRO]]+Tabela1107[[#This Row],[OUTROS]]+Tabela1107[[#This Row],[ES]]</f>
        <v>24.740000000000002</v>
      </c>
      <c r="BM221" s="97">
        <f>+Tabela1107[[#This Row],[PIS]]+Tabela1107[[#This Row],[COFINS]]+Tabela1107[[#This Row],[CONTRIB. FOLHA]]+Tabela1107[[#This Row],[TRIBUTOS S/ LUCRO]]+Tabela1107[[#This Row],[OUTROS]]+Tabela1107[[#This Row],[GO]]</f>
        <v>24.740000000000002</v>
      </c>
      <c r="BN221" s="97">
        <f>+Tabela1107[[#This Row],[PIS]]+Tabela1107[[#This Row],[COFINS]]+Tabela1107[[#This Row],[CONTRIB. FOLHA]]+Tabela1107[[#This Row],[TRIBUTOS S/ LUCRO]]+Tabela1107[[#This Row],[OUTROS]]+Tabela1107[[#This Row],[MT]]</f>
        <v>24.740000000000002</v>
      </c>
      <c r="BO221" s="97">
        <f>+Tabela1107[[#This Row],[PIS]]+Tabela1107[[#This Row],[COFINS]]+Tabela1107[[#This Row],[CONTRIB. FOLHA]]+Tabela1107[[#This Row],[TRIBUTOS S/ LUCRO]]+Tabela1107[[#This Row],[OUTROS]]+Tabela1107[[#This Row],[MS]]</f>
        <v>24.740000000000002</v>
      </c>
      <c r="BP221" s="97">
        <f>+Tabela1107[[#This Row],[PIS]]+Tabela1107[[#This Row],[COFINS]]+Tabela1107[[#This Row],[CONTRIB. FOLHA]]+Tabela1107[[#This Row],[TRIBUTOS S/ LUCRO]]+Tabela1107[[#This Row],[OUTROS]]+Tabela1107[[#This Row],[DF]]</f>
        <v>24.740000000000002</v>
      </c>
      <c r="BQ221" s="97">
        <f>+Tabela1107[[#This Row],[PIS]]+Tabela1107[[#This Row],[COFINS]]+Tabela1107[[#This Row],[CONTRIB. FOLHA]]+Tabela1107[[#This Row],[TRIBUTOS S/ LUCRO]]+Tabela1107[[#This Row],[OUTROS]]+Tabela1107[[#This Row],[BA]]</f>
        <v>24.740000000000002</v>
      </c>
      <c r="BR221" s="97">
        <f>+Tabela1107[[#This Row],[PIS]]+Tabela1107[[#This Row],[COFINS]]+Tabela1107[[#This Row],[CONTRIB. FOLHA]]+Tabela1107[[#This Row],[TRIBUTOS S/ LUCRO]]+Tabela1107[[#This Row],[OUTROS]]+Tabela1107[[#This Row],[BA]]</f>
        <v>24.740000000000002</v>
      </c>
      <c r="BS221" s="97">
        <f>+Tabela1107[[#This Row],[PIS]]+Tabela1107[[#This Row],[COFINS]]+Tabela1107[[#This Row],[CONTRIB. FOLHA]]+Tabela1107[[#This Row],[TRIBUTOS S/ LUCRO]]+Tabela1107[[#This Row],[OUTROS]]+Tabela1107[[#This Row],[PE]]</f>
        <v>24.740000000000002</v>
      </c>
      <c r="BT221" s="97">
        <f>+Tabela1107[[#This Row],[PIS]]+Tabela1107[[#This Row],[COFINS]]+Tabela1107[[#This Row],[CONTRIB. FOLHA]]+Tabela1107[[#This Row],[TRIBUTOS S/ LUCRO]]+Tabela1107[[#This Row],[OUTROS]]+Tabela1107[[#This Row],[PA]]</f>
        <v>24.740000000000002</v>
      </c>
      <c r="BU221" s="97">
        <f>+Tabela1107[[#This Row],[PIS]]+Tabela1107[[#This Row],[COFINS]]+Tabela1107[[#This Row],[CONTRIB. FOLHA]]+Tabela1107[[#This Row],[TRIBUTOS S/ LUCRO]]+Tabela1107[[#This Row],[OUTROS]]+Tabela1107[[#This Row],[AM]]</f>
        <v>24.740000000000002</v>
      </c>
      <c r="BV221" s="97">
        <f>AVERAGE(Tabela1107[[#This Row],[TOTAL SP]:[TOTAL AM]])</f>
        <v>24.302500000000006</v>
      </c>
      <c r="BW221" s="97"/>
      <c r="BX221" s="97"/>
    </row>
    <row r="222" spans="2:76" x14ac:dyDescent="0.25">
      <c r="B222" s="89">
        <v>17805</v>
      </c>
      <c r="C222" s="91" t="s">
        <v>13151</v>
      </c>
      <c r="D222" s="89"/>
      <c r="E222" s="89">
        <v>20140626</v>
      </c>
      <c r="F222" s="89" t="s">
        <v>21032</v>
      </c>
      <c r="G222" s="89" t="s">
        <v>21033</v>
      </c>
      <c r="H222" s="89" t="s">
        <v>21034</v>
      </c>
      <c r="I222" s="89" t="s">
        <v>21035</v>
      </c>
      <c r="J222" s="89" t="s">
        <v>120</v>
      </c>
      <c r="K222" s="89"/>
      <c r="L222" s="89" t="s">
        <v>2783</v>
      </c>
      <c r="M222" s="89" t="s">
        <v>4496</v>
      </c>
      <c r="N222" s="89" t="s">
        <v>4496</v>
      </c>
      <c r="O222" s="89" t="s">
        <v>4496</v>
      </c>
      <c r="P222" s="89" t="s">
        <v>4496</v>
      </c>
      <c r="Q222" s="89"/>
      <c r="R222" s="89" t="s">
        <v>97</v>
      </c>
      <c r="S222" s="89" t="s">
        <v>21656</v>
      </c>
      <c r="T222" s="89" t="s">
        <v>21657</v>
      </c>
      <c r="U222" s="89" t="str">
        <f>TRIM('Carga Tributária doenças Po (2'!$L222)</f>
        <v>METFORMINA</v>
      </c>
      <c r="V222" s="89">
        <f>SUMIFS('Tabela Federal'!$E$4:$E$2069,'Tabela Federal'!$D$4:$D$2069,'Carga Tributária doenças Po (2'!$L222)</f>
        <v>2</v>
      </c>
      <c r="W222" s="89">
        <f>SUMIFS('Tabela Federal'!$E$4:$E$2069,'Tabela Federal'!$D$4:$D$2069,'Carga Tributária doenças Po (2'!$M222)</f>
        <v>0</v>
      </c>
      <c r="X222" s="89">
        <f>SUMIFS('Tabela Federal'!$E$4:$E$2069,'Tabela Federal'!$D$4:$D$2069,'Carga Tributária doenças Po (2'!$N222)</f>
        <v>0</v>
      </c>
      <c r="Y222" s="89">
        <f>SUMIFS('Tabela Federal'!$E$4:$E$2069,'Tabela Federal'!$D$4:$D$2069,'Carga Tributária doenças Po (2'!$O222)</f>
        <v>0</v>
      </c>
      <c r="Z222" s="92" t="str">
        <f>VLOOKUP('Carga Tributária doenças Po (2'!$AD222,'Carga Tributária doenças Po (2'!$CA$12:$CC$16,2,0)</f>
        <v>+</v>
      </c>
      <c r="AA222" s="89" t="s">
        <v>121</v>
      </c>
      <c r="AB222" s="89" t="s">
        <v>21781</v>
      </c>
      <c r="AC222" s="89" t="s">
        <v>21721</v>
      </c>
      <c r="AD222" s="93" t="s">
        <v>21722</v>
      </c>
      <c r="AE222" s="92" t="s">
        <v>2</v>
      </c>
      <c r="AF222" s="92" t="s">
        <v>3</v>
      </c>
      <c r="AG222" s="94">
        <v>18285060</v>
      </c>
      <c r="AH222" s="95">
        <v>80852244</v>
      </c>
      <c r="AI222" s="95">
        <v>184679175.87</v>
      </c>
      <c r="AJ222" s="89" t="s">
        <v>127</v>
      </c>
      <c r="AK222" s="89">
        <f>IF('Carga Tributária doenças Po (2'!$Z222="+",0,SUMIFS(PISCOFINS!$I$3:$I$10518,PISCOFINS!$C$3:$C$10518,'Carga Tributária doenças Po (2'!$C222))</f>
        <v>0</v>
      </c>
      <c r="AL222" s="89">
        <f>IF('Carga Tributária doenças Po (2'!$Z222="+",0,SUMIFS(PISCOFINS!$H$3:$H$10518,PISCOFINS!$C$3:$C$10518,'Carga Tributária doenças Po (2'!$C222))</f>
        <v>0</v>
      </c>
      <c r="AM222" s="95">
        <v>3.27</v>
      </c>
      <c r="AN222" s="95">
        <v>3.12</v>
      </c>
      <c r="AO222" s="95">
        <v>1.35</v>
      </c>
      <c r="AP222" s="96">
        <v>18</v>
      </c>
      <c r="AQ222" s="96">
        <v>12</v>
      </c>
      <c r="AR222" s="96">
        <v>17</v>
      </c>
      <c r="AS222" s="97">
        <v>17</v>
      </c>
      <c r="AT222" s="97">
        <v>19</v>
      </c>
      <c r="AU222" s="97">
        <v>18</v>
      </c>
      <c r="AV222" s="97">
        <v>17</v>
      </c>
      <c r="AW222" s="97">
        <v>17</v>
      </c>
      <c r="AX222" s="97">
        <v>17</v>
      </c>
      <c r="AY222" s="97">
        <v>17</v>
      </c>
      <c r="AZ222" s="97">
        <v>17</v>
      </c>
      <c r="BA222" s="97">
        <v>17</v>
      </c>
      <c r="BB222" s="97">
        <v>17</v>
      </c>
      <c r="BC222" s="97">
        <v>17</v>
      </c>
      <c r="BD222" s="97">
        <v>17</v>
      </c>
      <c r="BE222" s="97">
        <v>17</v>
      </c>
      <c r="BF222" s="97">
        <f>+Tabela1107[[#This Row],[PIS]]+Tabela1107[[#This Row],[COFINS]]+Tabela1107[[#This Row],[CONTRIB. FOLHA]]+Tabela1107[[#This Row],[TRIBUTOS S/ LUCRO]]+Tabela1107[[#This Row],[OUTROS]]+Tabela1107[[#This Row],[SP]]</f>
        <v>25.740000000000002</v>
      </c>
      <c r="BG222" s="97">
        <f>+Tabela1107[[#This Row],[PIS]]+Tabela1107[[#This Row],[COFINS]]+Tabela1107[[#This Row],[CONTRIB. FOLHA]]+Tabela1107[[#This Row],[TRIBUTOS S/ LUCRO]]+Tabela1107[[#This Row],[OUTROS]]+Tabela1107[[#This Row],[PR]]</f>
        <v>19.740000000000002</v>
      </c>
      <c r="BH222" s="97">
        <f>+Tabela1107[[#This Row],[PIS]]+Tabela1107[[#This Row],[COFINS]]+Tabela1107[[#This Row],[CONTRIB. FOLHA]]+Tabela1107[[#This Row],[TRIBUTOS S/ LUCRO]]+Tabela1107[[#This Row],[OUTROS]]+Tabela1107[[#This Row],[SC]]</f>
        <v>24.740000000000002</v>
      </c>
      <c r="BI222" s="97">
        <f>+Tabela1107[[#This Row],[PIS]]+Tabela1107[[#This Row],[COFINS]]+Tabela1107[[#This Row],[CONTRIB. FOLHA]]+Tabela1107[[#This Row],[TRIBUTOS S/ LUCRO]]+Tabela1107[[#This Row],[OUTROS]]+Tabela1107[[#This Row],[RS]]</f>
        <v>24.740000000000002</v>
      </c>
      <c r="BJ222" s="97">
        <f>+Tabela1107[[#This Row],[PIS]]+Tabela1107[[#This Row],[COFINS]]+Tabela1107[[#This Row],[CONTRIB. FOLHA]]+Tabela1107[[#This Row],[TRIBUTOS S/ LUCRO]]+Tabela1107[[#This Row],[OUTROS]]+Tabela1107[[#This Row],[RJ]]</f>
        <v>26.740000000000002</v>
      </c>
      <c r="BK222" s="97">
        <f>+Tabela1107[[#This Row],[PIS]]+Tabela1107[[#This Row],[COFINS]]+Tabela1107[[#This Row],[CONTRIB. FOLHA]]+Tabela1107[[#This Row],[TRIBUTOS S/ LUCRO]]+Tabela1107[[#This Row],[OUTROS]]+Tabela1107[[#This Row],[MG]]</f>
        <v>25.740000000000002</v>
      </c>
      <c r="BL222" s="97">
        <f>+Tabela1107[[#This Row],[PIS]]+Tabela1107[[#This Row],[COFINS]]+Tabela1107[[#This Row],[CONTRIB. FOLHA]]+Tabela1107[[#This Row],[TRIBUTOS S/ LUCRO]]+Tabela1107[[#This Row],[OUTROS]]+Tabela1107[[#This Row],[ES]]</f>
        <v>24.740000000000002</v>
      </c>
      <c r="BM222" s="97">
        <f>+Tabela1107[[#This Row],[PIS]]+Tabela1107[[#This Row],[COFINS]]+Tabela1107[[#This Row],[CONTRIB. FOLHA]]+Tabela1107[[#This Row],[TRIBUTOS S/ LUCRO]]+Tabela1107[[#This Row],[OUTROS]]+Tabela1107[[#This Row],[GO]]</f>
        <v>24.740000000000002</v>
      </c>
      <c r="BN222" s="97">
        <f>+Tabela1107[[#This Row],[PIS]]+Tabela1107[[#This Row],[COFINS]]+Tabela1107[[#This Row],[CONTRIB. FOLHA]]+Tabela1107[[#This Row],[TRIBUTOS S/ LUCRO]]+Tabela1107[[#This Row],[OUTROS]]+Tabela1107[[#This Row],[MT]]</f>
        <v>24.740000000000002</v>
      </c>
      <c r="BO222" s="97">
        <f>+Tabela1107[[#This Row],[PIS]]+Tabela1107[[#This Row],[COFINS]]+Tabela1107[[#This Row],[CONTRIB. FOLHA]]+Tabela1107[[#This Row],[TRIBUTOS S/ LUCRO]]+Tabela1107[[#This Row],[OUTROS]]+Tabela1107[[#This Row],[MS]]</f>
        <v>24.740000000000002</v>
      </c>
      <c r="BP222" s="97">
        <f>+Tabela1107[[#This Row],[PIS]]+Tabela1107[[#This Row],[COFINS]]+Tabela1107[[#This Row],[CONTRIB. FOLHA]]+Tabela1107[[#This Row],[TRIBUTOS S/ LUCRO]]+Tabela1107[[#This Row],[OUTROS]]+Tabela1107[[#This Row],[DF]]</f>
        <v>24.740000000000002</v>
      </c>
      <c r="BQ222" s="97">
        <f>+Tabela1107[[#This Row],[PIS]]+Tabela1107[[#This Row],[COFINS]]+Tabela1107[[#This Row],[CONTRIB. FOLHA]]+Tabela1107[[#This Row],[TRIBUTOS S/ LUCRO]]+Tabela1107[[#This Row],[OUTROS]]+Tabela1107[[#This Row],[BA]]</f>
        <v>24.740000000000002</v>
      </c>
      <c r="BR222" s="97">
        <f>+Tabela1107[[#This Row],[PIS]]+Tabela1107[[#This Row],[COFINS]]+Tabela1107[[#This Row],[CONTRIB. FOLHA]]+Tabela1107[[#This Row],[TRIBUTOS S/ LUCRO]]+Tabela1107[[#This Row],[OUTROS]]+Tabela1107[[#This Row],[BA]]</f>
        <v>24.740000000000002</v>
      </c>
      <c r="BS222" s="97">
        <f>+Tabela1107[[#This Row],[PIS]]+Tabela1107[[#This Row],[COFINS]]+Tabela1107[[#This Row],[CONTRIB. FOLHA]]+Tabela1107[[#This Row],[TRIBUTOS S/ LUCRO]]+Tabela1107[[#This Row],[OUTROS]]+Tabela1107[[#This Row],[PE]]</f>
        <v>24.740000000000002</v>
      </c>
      <c r="BT222" s="97">
        <f>+Tabela1107[[#This Row],[PIS]]+Tabela1107[[#This Row],[COFINS]]+Tabela1107[[#This Row],[CONTRIB. FOLHA]]+Tabela1107[[#This Row],[TRIBUTOS S/ LUCRO]]+Tabela1107[[#This Row],[OUTROS]]+Tabela1107[[#This Row],[PA]]</f>
        <v>24.740000000000002</v>
      </c>
      <c r="BU222" s="97">
        <f>+Tabela1107[[#This Row],[PIS]]+Tabela1107[[#This Row],[COFINS]]+Tabela1107[[#This Row],[CONTRIB. FOLHA]]+Tabela1107[[#This Row],[TRIBUTOS S/ LUCRO]]+Tabela1107[[#This Row],[OUTROS]]+Tabela1107[[#This Row],[AM]]</f>
        <v>24.740000000000002</v>
      </c>
      <c r="BV222" s="97">
        <f>AVERAGE(Tabela1107[[#This Row],[TOTAL SP]:[TOTAL AM]])</f>
        <v>24.677500000000006</v>
      </c>
      <c r="BW222" s="97"/>
      <c r="BX222" s="97"/>
    </row>
    <row r="223" spans="2:76" x14ac:dyDescent="0.25">
      <c r="B223" s="89">
        <v>17664</v>
      </c>
      <c r="C223" s="91" t="s">
        <v>13142</v>
      </c>
      <c r="D223" s="89"/>
      <c r="E223" s="89">
        <v>20140626</v>
      </c>
      <c r="F223" s="89" t="s">
        <v>20744</v>
      </c>
      <c r="G223" s="89" t="s">
        <v>20745</v>
      </c>
      <c r="H223" s="89" t="s">
        <v>20746</v>
      </c>
      <c r="I223" s="89" t="s">
        <v>20747</v>
      </c>
      <c r="J223" s="89" t="s">
        <v>349</v>
      </c>
      <c r="K223" s="89"/>
      <c r="L223" s="89" t="s">
        <v>2657</v>
      </c>
      <c r="M223" s="89" t="s">
        <v>4496</v>
      </c>
      <c r="N223" s="89" t="s">
        <v>4496</v>
      </c>
      <c r="O223" s="89" t="s">
        <v>4496</v>
      </c>
      <c r="P223" s="89" t="s">
        <v>4496</v>
      </c>
      <c r="Q223" s="89"/>
      <c r="R223" s="89" t="s">
        <v>198</v>
      </c>
      <c r="S223" s="89" t="s">
        <v>21572</v>
      </c>
      <c r="T223" s="89" t="s">
        <v>21573</v>
      </c>
      <c r="U223" s="89" t="str">
        <f>TRIM('Carga Tributária doenças Po (2'!$L223)</f>
        <v>MEMANTINA</v>
      </c>
      <c r="V223" s="89">
        <f>SUMIFS('Tabela Federal'!$E$4:$E$2069,'Tabela Federal'!$D$4:$D$2069,'Carga Tributária doenças Po (2'!$L223)</f>
        <v>1</v>
      </c>
      <c r="W223" s="89">
        <f>SUMIFS('Tabela Federal'!$E$4:$E$2069,'Tabela Federal'!$D$4:$D$2069,'Carga Tributária doenças Po (2'!$M223)</f>
        <v>0</v>
      </c>
      <c r="X223" s="89">
        <f>SUMIFS('Tabela Federal'!$E$4:$E$2069,'Tabela Federal'!$D$4:$D$2069,'Carga Tributária doenças Po (2'!$N223)</f>
        <v>0</v>
      </c>
      <c r="Y223" s="89">
        <f>SUMIFS('Tabela Federal'!$E$4:$E$2069,'Tabela Federal'!$D$4:$D$2069,'Carga Tributária doenças Po (2'!$O223)</f>
        <v>0</v>
      </c>
      <c r="Z223" s="92" t="str">
        <f>VLOOKUP('Carga Tributária doenças Po (2'!$AD223,'Carga Tributária doenças Po (2'!$CA$12:$CC$16,2,0)</f>
        <v>+</v>
      </c>
      <c r="AA223" s="89" t="s">
        <v>348</v>
      </c>
      <c r="AB223" s="89" t="s">
        <v>21735</v>
      </c>
      <c r="AC223" s="89" t="s">
        <v>21721</v>
      </c>
      <c r="AD223" s="93" t="s">
        <v>21722</v>
      </c>
      <c r="AE223" s="92" t="s">
        <v>2</v>
      </c>
      <c r="AF223" s="92" t="s">
        <v>3</v>
      </c>
      <c r="AG223" s="94">
        <v>166999</v>
      </c>
      <c r="AH223" s="95">
        <v>2698159</v>
      </c>
      <c r="AI223" s="95">
        <v>6161575.96</v>
      </c>
      <c r="AJ223" s="89" t="s">
        <v>361</v>
      </c>
      <c r="AK223" s="89">
        <f>IF('Carga Tributária doenças Po (2'!$Z223="+",0,SUMIFS(PISCOFINS!$I$3:$I$10518,PISCOFINS!$C$3:$C$10518,'Carga Tributária doenças Po (2'!$C223))</f>
        <v>0</v>
      </c>
      <c r="AL223" s="89">
        <f>IF('Carga Tributária doenças Po (2'!$Z223="+",0,SUMIFS(PISCOFINS!$H$3:$H$10518,PISCOFINS!$C$3:$C$10518,'Carga Tributária doenças Po (2'!$C223))</f>
        <v>0</v>
      </c>
      <c r="AM223" s="95">
        <v>3.27</v>
      </c>
      <c r="AN223" s="95">
        <v>3.12</v>
      </c>
      <c r="AO223" s="95">
        <v>1.35</v>
      </c>
      <c r="AP223" s="96">
        <v>18</v>
      </c>
      <c r="AQ223" s="96">
        <v>12</v>
      </c>
      <c r="AR223" s="96">
        <v>17</v>
      </c>
      <c r="AS223" s="97">
        <v>17</v>
      </c>
      <c r="AT223" s="97">
        <v>19</v>
      </c>
      <c r="AU223" s="97">
        <v>18</v>
      </c>
      <c r="AV223" s="97">
        <v>17</v>
      </c>
      <c r="AW223" s="97">
        <v>17</v>
      </c>
      <c r="AX223" s="97">
        <v>17</v>
      </c>
      <c r="AY223" s="97">
        <v>17</v>
      </c>
      <c r="AZ223" s="97">
        <v>17</v>
      </c>
      <c r="BA223" s="97">
        <v>17</v>
      </c>
      <c r="BB223" s="97">
        <v>17</v>
      </c>
      <c r="BC223" s="97">
        <v>17</v>
      </c>
      <c r="BD223" s="97">
        <v>17</v>
      </c>
      <c r="BE223" s="97">
        <v>17</v>
      </c>
      <c r="BF223" s="97">
        <f>+Tabela1107[[#This Row],[PIS]]+Tabela1107[[#This Row],[COFINS]]+Tabela1107[[#This Row],[CONTRIB. FOLHA]]+Tabela1107[[#This Row],[TRIBUTOS S/ LUCRO]]+Tabela1107[[#This Row],[OUTROS]]+Tabela1107[[#This Row],[SP]]</f>
        <v>25.740000000000002</v>
      </c>
      <c r="BG223" s="97">
        <f>+Tabela1107[[#This Row],[PIS]]+Tabela1107[[#This Row],[COFINS]]+Tabela1107[[#This Row],[CONTRIB. FOLHA]]+Tabela1107[[#This Row],[TRIBUTOS S/ LUCRO]]+Tabela1107[[#This Row],[OUTROS]]+Tabela1107[[#This Row],[PR]]</f>
        <v>19.740000000000002</v>
      </c>
      <c r="BH223" s="97">
        <f>+Tabela1107[[#This Row],[PIS]]+Tabela1107[[#This Row],[COFINS]]+Tabela1107[[#This Row],[CONTRIB. FOLHA]]+Tabela1107[[#This Row],[TRIBUTOS S/ LUCRO]]+Tabela1107[[#This Row],[OUTROS]]+Tabela1107[[#This Row],[SC]]</f>
        <v>24.740000000000002</v>
      </c>
      <c r="BI223" s="97">
        <f>+Tabela1107[[#This Row],[PIS]]+Tabela1107[[#This Row],[COFINS]]+Tabela1107[[#This Row],[CONTRIB. FOLHA]]+Tabela1107[[#This Row],[TRIBUTOS S/ LUCRO]]+Tabela1107[[#This Row],[OUTROS]]+Tabela1107[[#This Row],[RS]]</f>
        <v>24.740000000000002</v>
      </c>
      <c r="BJ223" s="97">
        <f>+Tabela1107[[#This Row],[PIS]]+Tabela1107[[#This Row],[COFINS]]+Tabela1107[[#This Row],[CONTRIB. FOLHA]]+Tabela1107[[#This Row],[TRIBUTOS S/ LUCRO]]+Tabela1107[[#This Row],[OUTROS]]+Tabela1107[[#This Row],[RJ]]</f>
        <v>26.740000000000002</v>
      </c>
      <c r="BK223" s="97">
        <f>+Tabela1107[[#This Row],[PIS]]+Tabela1107[[#This Row],[COFINS]]+Tabela1107[[#This Row],[CONTRIB. FOLHA]]+Tabela1107[[#This Row],[TRIBUTOS S/ LUCRO]]+Tabela1107[[#This Row],[OUTROS]]+Tabela1107[[#This Row],[MG]]</f>
        <v>25.740000000000002</v>
      </c>
      <c r="BL223" s="97">
        <f>+Tabela1107[[#This Row],[PIS]]+Tabela1107[[#This Row],[COFINS]]+Tabela1107[[#This Row],[CONTRIB. FOLHA]]+Tabela1107[[#This Row],[TRIBUTOS S/ LUCRO]]+Tabela1107[[#This Row],[OUTROS]]+Tabela1107[[#This Row],[ES]]</f>
        <v>24.740000000000002</v>
      </c>
      <c r="BM223" s="97">
        <f>+Tabela1107[[#This Row],[PIS]]+Tabela1107[[#This Row],[COFINS]]+Tabela1107[[#This Row],[CONTRIB. FOLHA]]+Tabela1107[[#This Row],[TRIBUTOS S/ LUCRO]]+Tabela1107[[#This Row],[OUTROS]]+Tabela1107[[#This Row],[GO]]</f>
        <v>24.740000000000002</v>
      </c>
      <c r="BN223" s="97">
        <f>+Tabela1107[[#This Row],[PIS]]+Tabela1107[[#This Row],[COFINS]]+Tabela1107[[#This Row],[CONTRIB. FOLHA]]+Tabela1107[[#This Row],[TRIBUTOS S/ LUCRO]]+Tabela1107[[#This Row],[OUTROS]]+Tabela1107[[#This Row],[MT]]</f>
        <v>24.740000000000002</v>
      </c>
      <c r="BO223" s="97">
        <f>+Tabela1107[[#This Row],[PIS]]+Tabela1107[[#This Row],[COFINS]]+Tabela1107[[#This Row],[CONTRIB. FOLHA]]+Tabela1107[[#This Row],[TRIBUTOS S/ LUCRO]]+Tabela1107[[#This Row],[OUTROS]]+Tabela1107[[#This Row],[MS]]</f>
        <v>24.740000000000002</v>
      </c>
      <c r="BP223" s="97">
        <f>+Tabela1107[[#This Row],[PIS]]+Tabela1107[[#This Row],[COFINS]]+Tabela1107[[#This Row],[CONTRIB. FOLHA]]+Tabela1107[[#This Row],[TRIBUTOS S/ LUCRO]]+Tabela1107[[#This Row],[OUTROS]]+Tabela1107[[#This Row],[DF]]</f>
        <v>24.740000000000002</v>
      </c>
      <c r="BQ223" s="97">
        <f>+Tabela1107[[#This Row],[PIS]]+Tabela1107[[#This Row],[COFINS]]+Tabela1107[[#This Row],[CONTRIB. FOLHA]]+Tabela1107[[#This Row],[TRIBUTOS S/ LUCRO]]+Tabela1107[[#This Row],[OUTROS]]+Tabela1107[[#This Row],[BA]]</f>
        <v>24.740000000000002</v>
      </c>
      <c r="BR223" s="97">
        <f>+Tabela1107[[#This Row],[PIS]]+Tabela1107[[#This Row],[COFINS]]+Tabela1107[[#This Row],[CONTRIB. FOLHA]]+Tabela1107[[#This Row],[TRIBUTOS S/ LUCRO]]+Tabela1107[[#This Row],[OUTROS]]+Tabela1107[[#This Row],[BA]]</f>
        <v>24.740000000000002</v>
      </c>
      <c r="BS223" s="97">
        <f>+Tabela1107[[#This Row],[PIS]]+Tabela1107[[#This Row],[COFINS]]+Tabela1107[[#This Row],[CONTRIB. FOLHA]]+Tabela1107[[#This Row],[TRIBUTOS S/ LUCRO]]+Tabela1107[[#This Row],[OUTROS]]+Tabela1107[[#This Row],[PE]]</f>
        <v>24.740000000000002</v>
      </c>
      <c r="BT223" s="97">
        <f>+Tabela1107[[#This Row],[PIS]]+Tabela1107[[#This Row],[COFINS]]+Tabela1107[[#This Row],[CONTRIB. FOLHA]]+Tabela1107[[#This Row],[TRIBUTOS S/ LUCRO]]+Tabela1107[[#This Row],[OUTROS]]+Tabela1107[[#This Row],[PA]]</f>
        <v>24.740000000000002</v>
      </c>
      <c r="BU223" s="97">
        <f>+Tabela1107[[#This Row],[PIS]]+Tabela1107[[#This Row],[COFINS]]+Tabela1107[[#This Row],[CONTRIB. FOLHA]]+Tabela1107[[#This Row],[TRIBUTOS S/ LUCRO]]+Tabela1107[[#This Row],[OUTROS]]+Tabela1107[[#This Row],[AM]]</f>
        <v>24.740000000000002</v>
      </c>
      <c r="BV223" s="97">
        <f>AVERAGE(Tabela1107[[#This Row],[TOTAL SP]:[TOTAL AM]])</f>
        <v>24.677500000000006</v>
      </c>
      <c r="BW223" s="97"/>
      <c r="BX223" s="97"/>
    </row>
    <row r="224" spans="2:76" x14ac:dyDescent="0.25">
      <c r="B224" s="89">
        <v>17671</v>
      </c>
      <c r="C224" s="91" t="s">
        <v>13142</v>
      </c>
      <c r="D224" s="89"/>
      <c r="E224" s="89">
        <v>20140626</v>
      </c>
      <c r="F224" s="89" t="s">
        <v>20748</v>
      </c>
      <c r="G224" s="89" t="s">
        <v>20749</v>
      </c>
      <c r="H224" s="89" t="s">
        <v>20750</v>
      </c>
      <c r="I224" s="89" t="s">
        <v>20747</v>
      </c>
      <c r="J224" s="89" t="s">
        <v>360</v>
      </c>
      <c r="K224" s="89"/>
      <c r="L224" s="89" t="s">
        <v>2657</v>
      </c>
      <c r="M224" s="89" t="s">
        <v>4496</v>
      </c>
      <c r="N224" s="89" t="s">
        <v>4496</v>
      </c>
      <c r="O224" s="89" t="s">
        <v>4496</v>
      </c>
      <c r="P224" s="89" t="s">
        <v>4496</v>
      </c>
      <c r="Q224" s="89"/>
      <c r="R224" s="89" t="s">
        <v>198</v>
      </c>
      <c r="S224" s="89" t="s">
        <v>21572</v>
      </c>
      <c r="T224" s="89" t="s">
        <v>21573</v>
      </c>
      <c r="U224" s="89" t="str">
        <f>TRIM('Carga Tributária doenças Po (2'!$L224)</f>
        <v>MEMANTINA</v>
      </c>
      <c r="V224" s="89">
        <f>SUMIFS('Tabela Federal'!$E$4:$E$2069,'Tabela Federal'!$D$4:$D$2069,'Carga Tributária doenças Po (2'!$L224)</f>
        <v>1</v>
      </c>
      <c r="W224" s="89">
        <f>SUMIFS('Tabela Federal'!$E$4:$E$2069,'Tabela Federal'!$D$4:$D$2069,'Carga Tributária doenças Po (2'!$M224)</f>
        <v>0</v>
      </c>
      <c r="X224" s="89">
        <f>SUMIFS('Tabela Federal'!$E$4:$E$2069,'Tabela Federal'!$D$4:$D$2069,'Carga Tributária doenças Po (2'!$N224)</f>
        <v>0</v>
      </c>
      <c r="Y224" s="89">
        <f>SUMIFS('Tabela Federal'!$E$4:$E$2069,'Tabela Federal'!$D$4:$D$2069,'Carga Tributária doenças Po (2'!$O224)</f>
        <v>0</v>
      </c>
      <c r="Z224" s="92" t="str">
        <f>VLOOKUP('Carga Tributária doenças Po (2'!$AD224,'Carga Tributária doenças Po (2'!$CA$12:$CC$16,2,0)</f>
        <v>+</v>
      </c>
      <c r="AA224" s="89" t="s">
        <v>348</v>
      </c>
      <c r="AB224" s="89" t="s">
        <v>21735</v>
      </c>
      <c r="AC224" s="89" t="s">
        <v>21721</v>
      </c>
      <c r="AD224" s="93" t="s">
        <v>21722</v>
      </c>
      <c r="AE224" s="92" t="s">
        <v>2</v>
      </c>
      <c r="AF224" s="92" t="s">
        <v>3</v>
      </c>
      <c r="AG224" s="94">
        <v>80927</v>
      </c>
      <c r="AH224" s="95">
        <v>2589417</v>
      </c>
      <c r="AI224" s="95">
        <v>5913173.96</v>
      </c>
      <c r="AJ224" s="89" t="s">
        <v>361</v>
      </c>
      <c r="AK224" s="89">
        <f>IF('Carga Tributária doenças Po (2'!$Z224="+",0,SUMIFS(PISCOFINS!$I$3:$I$10518,PISCOFINS!$C$3:$C$10518,'Carga Tributária doenças Po (2'!$C224))</f>
        <v>0</v>
      </c>
      <c r="AL224" s="89">
        <f>IF('Carga Tributária doenças Po (2'!$Z224="+",0,SUMIFS(PISCOFINS!$H$3:$H$10518,PISCOFINS!$C$3:$C$10518,'Carga Tributária doenças Po (2'!$C224))</f>
        <v>0</v>
      </c>
      <c r="AM224" s="95">
        <v>3.27</v>
      </c>
      <c r="AN224" s="95">
        <v>3.12</v>
      </c>
      <c r="AO224" s="95">
        <v>1.35</v>
      </c>
      <c r="AP224" s="96">
        <v>18</v>
      </c>
      <c r="AQ224" s="96">
        <v>12</v>
      </c>
      <c r="AR224" s="96">
        <v>17</v>
      </c>
      <c r="AS224" s="97">
        <v>17</v>
      </c>
      <c r="AT224" s="97">
        <v>19</v>
      </c>
      <c r="AU224" s="97">
        <v>18</v>
      </c>
      <c r="AV224" s="97">
        <v>17</v>
      </c>
      <c r="AW224" s="97">
        <v>17</v>
      </c>
      <c r="AX224" s="97">
        <v>17</v>
      </c>
      <c r="AY224" s="97">
        <v>17</v>
      </c>
      <c r="AZ224" s="97">
        <v>17</v>
      </c>
      <c r="BA224" s="97">
        <v>17</v>
      </c>
      <c r="BB224" s="97">
        <v>17</v>
      </c>
      <c r="BC224" s="97">
        <v>17</v>
      </c>
      <c r="BD224" s="97">
        <v>17</v>
      </c>
      <c r="BE224" s="97">
        <v>17</v>
      </c>
      <c r="BF224" s="97">
        <f>+Tabela1107[[#This Row],[PIS]]+Tabela1107[[#This Row],[COFINS]]+Tabela1107[[#This Row],[CONTRIB. FOLHA]]+Tabela1107[[#This Row],[TRIBUTOS S/ LUCRO]]+Tabela1107[[#This Row],[OUTROS]]+Tabela1107[[#This Row],[SP]]</f>
        <v>25.740000000000002</v>
      </c>
      <c r="BG224" s="97">
        <f>+Tabela1107[[#This Row],[PIS]]+Tabela1107[[#This Row],[COFINS]]+Tabela1107[[#This Row],[CONTRIB. FOLHA]]+Tabela1107[[#This Row],[TRIBUTOS S/ LUCRO]]+Tabela1107[[#This Row],[OUTROS]]+Tabela1107[[#This Row],[PR]]</f>
        <v>19.740000000000002</v>
      </c>
      <c r="BH224" s="97">
        <f>+Tabela1107[[#This Row],[PIS]]+Tabela1107[[#This Row],[COFINS]]+Tabela1107[[#This Row],[CONTRIB. FOLHA]]+Tabela1107[[#This Row],[TRIBUTOS S/ LUCRO]]+Tabela1107[[#This Row],[OUTROS]]+Tabela1107[[#This Row],[SC]]</f>
        <v>24.740000000000002</v>
      </c>
      <c r="BI224" s="97">
        <f>+Tabela1107[[#This Row],[PIS]]+Tabela1107[[#This Row],[COFINS]]+Tabela1107[[#This Row],[CONTRIB. FOLHA]]+Tabela1107[[#This Row],[TRIBUTOS S/ LUCRO]]+Tabela1107[[#This Row],[OUTROS]]+Tabela1107[[#This Row],[RS]]</f>
        <v>24.740000000000002</v>
      </c>
      <c r="BJ224" s="97">
        <f>+Tabela1107[[#This Row],[PIS]]+Tabela1107[[#This Row],[COFINS]]+Tabela1107[[#This Row],[CONTRIB. FOLHA]]+Tabela1107[[#This Row],[TRIBUTOS S/ LUCRO]]+Tabela1107[[#This Row],[OUTROS]]+Tabela1107[[#This Row],[RJ]]</f>
        <v>26.740000000000002</v>
      </c>
      <c r="BK224" s="97">
        <f>+Tabela1107[[#This Row],[PIS]]+Tabela1107[[#This Row],[COFINS]]+Tabela1107[[#This Row],[CONTRIB. FOLHA]]+Tabela1107[[#This Row],[TRIBUTOS S/ LUCRO]]+Tabela1107[[#This Row],[OUTROS]]+Tabela1107[[#This Row],[MG]]</f>
        <v>25.740000000000002</v>
      </c>
      <c r="BL224" s="97">
        <f>+Tabela1107[[#This Row],[PIS]]+Tabela1107[[#This Row],[COFINS]]+Tabela1107[[#This Row],[CONTRIB. FOLHA]]+Tabela1107[[#This Row],[TRIBUTOS S/ LUCRO]]+Tabela1107[[#This Row],[OUTROS]]+Tabela1107[[#This Row],[ES]]</f>
        <v>24.740000000000002</v>
      </c>
      <c r="BM224" s="97">
        <f>+Tabela1107[[#This Row],[PIS]]+Tabela1107[[#This Row],[COFINS]]+Tabela1107[[#This Row],[CONTRIB. FOLHA]]+Tabela1107[[#This Row],[TRIBUTOS S/ LUCRO]]+Tabela1107[[#This Row],[OUTROS]]+Tabela1107[[#This Row],[GO]]</f>
        <v>24.740000000000002</v>
      </c>
      <c r="BN224" s="97">
        <f>+Tabela1107[[#This Row],[PIS]]+Tabela1107[[#This Row],[COFINS]]+Tabela1107[[#This Row],[CONTRIB. FOLHA]]+Tabela1107[[#This Row],[TRIBUTOS S/ LUCRO]]+Tabela1107[[#This Row],[OUTROS]]+Tabela1107[[#This Row],[MT]]</f>
        <v>24.740000000000002</v>
      </c>
      <c r="BO224" s="97">
        <f>+Tabela1107[[#This Row],[PIS]]+Tabela1107[[#This Row],[COFINS]]+Tabela1107[[#This Row],[CONTRIB. FOLHA]]+Tabela1107[[#This Row],[TRIBUTOS S/ LUCRO]]+Tabela1107[[#This Row],[OUTROS]]+Tabela1107[[#This Row],[MS]]</f>
        <v>24.740000000000002</v>
      </c>
      <c r="BP224" s="97">
        <f>+Tabela1107[[#This Row],[PIS]]+Tabela1107[[#This Row],[COFINS]]+Tabela1107[[#This Row],[CONTRIB. FOLHA]]+Tabela1107[[#This Row],[TRIBUTOS S/ LUCRO]]+Tabela1107[[#This Row],[OUTROS]]+Tabela1107[[#This Row],[DF]]</f>
        <v>24.740000000000002</v>
      </c>
      <c r="BQ224" s="97">
        <f>+Tabela1107[[#This Row],[PIS]]+Tabela1107[[#This Row],[COFINS]]+Tabela1107[[#This Row],[CONTRIB. FOLHA]]+Tabela1107[[#This Row],[TRIBUTOS S/ LUCRO]]+Tabela1107[[#This Row],[OUTROS]]+Tabela1107[[#This Row],[BA]]</f>
        <v>24.740000000000002</v>
      </c>
      <c r="BR224" s="97">
        <f>+Tabela1107[[#This Row],[PIS]]+Tabela1107[[#This Row],[COFINS]]+Tabela1107[[#This Row],[CONTRIB. FOLHA]]+Tabela1107[[#This Row],[TRIBUTOS S/ LUCRO]]+Tabela1107[[#This Row],[OUTROS]]+Tabela1107[[#This Row],[BA]]</f>
        <v>24.740000000000002</v>
      </c>
      <c r="BS224" s="97">
        <f>+Tabela1107[[#This Row],[PIS]]+Tabela1107[[#This Row],[COFINS]]+Tabela1107[[#This Row],[CONTRIB. FOLHA]]+Tabela1107[[#This Row],[TRIBUTOS S/ LUCRO]]+Tabela1107[[#This Row],[OUTROS]]+Tabela1107[[#This Row],[PE]]</f>
        <v>24.740000000000002</v>
      </c>
      <c r="BT224" s="97">
        <f>+Tabela1107[[#This Row],[PIS]]+Tabela1107[[#This Row],[COFINS]]+Tabela1107[[#This Row],[CONTRIB. FOLHA]]+Tabela1107[[#This Row],[TRIBUTOS S/ LUCRO]]+Tabela1107[[#This Row],[OUTROS]]+Tabela1107[[#This Row],[PA]]</f>
        <v>24.740000000000002</v>
      </c>
      <c r="BU224" s="97">
        <f>+Tabela1107[[#This Row],[PIS]]+Tabela1107[[#This Row],[COFINS]]+Tabela1107[[#This Row],[CONTRIB. FOLHA]]+Tabela1107[[#This Row],[TRIBUTOS S/ LUCRO]]+Tabela1107[[#This Row],[OUTROS]]+Tabela1107[[#This Row],[AM]]</f>
        <v>24.740000000000002</v>
      </c>
      <c r="BV224" s="97">
        <f>AVERAGE(Tabela1107[[#This Row],[TOTAL SP]:[TOTAL AM]])</f>
        <v>24.677500000000006</v>
      </c>
      <c r="BW224" s="97"/>
      <c r="BX224" s="97"/>
    </row>
    <row r="225" spans="2:76" x14ac:dyDescent="0.25">
      <c r="B225" s="89">
        <v>4829</v>
      </c>
      <c r="C225" s="91" t="s">
        <v>13128</v>
      </c>
      <c r="D225" s="89"/>
      <c r="E225" s="89">
        <v>20140626</v>
      </c>
      <c r="F225" s="89" t="s">
        <v>20307</v>
      </c>
      <c r="G225" s="89" t="s">
        <v>20308</v>
      </c>
      <c r="H225" s="89" t="s">
        <v>20309</v>
      </c>
      <c r="I225" s="89" t="s">
        <v>20310</v>
      </c>
      <c r="J225" s="89" t="s">
        <v>172</v>
      </c>
      <c r="K225" s="89"/>
      <c r="L225" s="89" t="s">
        <v>2784</v>
      </c>
      <c r="M225" s="89" t="s">
        <v>4496</v>
      </c>
      <c r="N225" s="89" t="s">
        <v>4496</v>
      </c>
      <c r="O225" s="89" t="s">
        <v>4496</v>
      </c>
      <c r="P225" s="89" t="s">
        <v>4496</v>
      </c>
      <c r="Q225" s="89"/>
      <c r="R225" s="89" t="s">
        <v>1</v>
      </c>
      <c r="S225" s="89" t="s">
        <v>21566</v>
      </c>
      <c r="T225" s="89" t="s">
        <v>21567</v>
      </c>
      <c r="U225" s="89" t="str">
        <f>TRIM('Carga Tributária doenças Po (2'!$L225)</f>
        <v>ERITROPOETINA HUMANA</v>
      </c>
      <c r="V225" s="89">
        <f>SUMIFS('Tabela Federal'!$E$4:$E$2069,'Tabela Federal'!$D$4:$D$2069,'Carga Tributária doenças Po (2'!$L225)</f>
        <v>0</v>
      </c>
      <c r="W225" s="89">
        <f>SUMIFS('Tabela Federal'!$E$4:$E$2069,'Tabela Federal'!$D$4:$D$2069,'Carga Tributária doenças Po (2'!$M225)</f>
        <v>0</v>
      </c>
      <c r="X225" s="89">
        <f>SUMIFS('Tabela Federal'!$E$4:$E$2069,'Tabela Federal'!$D$4:$D$2069,'Carga Tributária doenças Po (2'!$N225)</f>
        <v>0</v>
      </c>
      <c r="Y225" s="89">
        <f>SUMIFS('Tabela Federal'!$E$4:$E$2069,'Tabela Federal'!$D$4:$D$2069,'Carga Tributária doenças Po (2'!$O225)</f>
        <v>0</v>
      </c>
      <c r="Z225" s="92" t="str">
        <f>VLOOKUP('Carga Tributária doenças Po (2'!$AD225,'Carga Tributária doenças Po (2'!$CA$12:$CC$16,2,0)</f>
        <v>+</v>
      </c>
      <c r="AA225" s="89" t="s">
        <v>173</v>
      </c>
      <c r="AB225" s="89" t="s">
        <v>21738</v>
      </c>
      <c r="AC225" s="89" t="s">
        <v>21721</v>
      </c>
      <c r="AD225" s="93" t="s">
        <v>21722</v>
      </c>
      <c r="AE225" s="92" t="s">
        <v>4</v>
      </c>
      <c r="AF225" s="92" t="s">
        <v>3</v>
      </c>
      <c r="AG225" s="94">
        <v>160468</v>
      </c>
      <c r="AH225" s="95">
        <v>7433461</v>
      </c>
      <c r="AI225" s="95">
        <v>17003564.859999999</v>
      </c>
      <c r="AJ225" s="89" t="s">
        <v>174</v>
      </c>
      <c r="AK225" s="89">
        <f>IF('Carga Tributária doenças Po (2'!$Z225="+",0,SUMIFS(PISCOFINS!$I$3:$I$10518,PISCOFINS!$C$3:$C$10518,'Carga Tributária doenças Po (2'!$C225))</f>
        <v>0</v>
      </c>
      <c r="AL225" s="89">
        <f>IF('Carga Tributária doenças Po (2'!$Z225="+",0,SUMIFS(PISCOFINS!$H$3:$H$10518,PISCOFINS!$C$3:$C$10518,'Carga Tributária doenças Po (2'!$C225))</f>
        <v>0</v>
      </c>
      <c r="AM225" s="95">
        <v>3.27</v>
      </c>
      <c r="AN225" s="95">
        <v>3.12</v>
      </c>
      <c r="AO225" s="95">
        <v>1.35</v>
      </c>
      <c r="AP225" s="96">
        <v>18</v>
      </c>
      <c r="AQ225" s="96">
        <v>12</v>
      </c>
      <c r="AR225" s="96">
        <v>17</v>
      </c>
      <c r="AS225" s="97">
        <v>17</v>
      </c>
      <c r="AT225" s="97">
        <v>19</v>
      </c>
      <c r="AU225" s="97">
        <v>18</v>
      </c>
      <c r="AV225" s="97">
        <v>17</v>
      </c>
      <c r="AW225" s="97">
        <v>17</v>
      </c>
      <c r="AX225" s="97">
        <v>17</v>
      </c>
      <c r="AY225" s="97">
        <v>17</v>
      </c>
      <c r="AZ225" s="97">
        <v>17</v>
      </c>
      <c r="BA225" s="97">
        <v>17</v>
      </c>
      <c r="BB225" s="97">
        <v>17</v>
      </c>
      <c r="BC225" s="97">
        <v>17</v>
      </c>
      <c r="BD225" s="97">
        <v>17</v>
      </c>
      <c r="BE225" s="97">
        <v>17</v>
      </c>
      <c r="BF225" s="97">
        <f>+Tabela1107[[#This Row],[PIS]]+Tabela1107[[#This Row],[COFINS]]+Tabela1107[[#This Row],[CONTRIB. FOLHA]]+Tabela1107[[#This Row],[TRIBUTOS S/ LUCRO]]+Tabela1107[[#This Row],[OUTROS]]+Tabela1107[[#This Row],[SP]]</f>
        <v>25.740000000000002</v>
      </c>
      <c r="BG225" s="97">
        <f>+Tabela1107[[#This Row],[PIS]]+Tabela1107[[#This Row],[COFINS]]+Tabela1107[[#This Row],[CONTRIB. FOLHA]]+Tabela1107[[#This Row],[TRIBUTOS S/ LUCRO]]+Tabela1107[[#This Row],[OUTROS]]+Tabela1107[[#This Row],[PR]]</f>
        <v>19.740000000000002</v>
      </c>
      <c r="BH225" s="97">
        <f>+Tabela1107[[#This Row],[PIS]]+Tabela1107[[#This Row],[COFINS]]+Tabela1107[[#This Row],[CONTRIB. FOLHA]]+Tabela1107[[#This Row],[TRIBUTOS S/ LUCRO]]+Tabela1107[[#This Row],[OUTROS]]+Tabela1107[[#This Row],[SC]]</f>
        <v>24.740000000000002</v>
      </c>
      <c r="BI225" s="97">
        <f>+Tabela1107[[#This Row],[PIS]]+Tabela1107[[#This Row],[COFINS]]+Tabela1107[[#This Row],[CONTRIB. FOLHA]]+Tabela1107[[#This Row],[TRIBUTOS S/ LUCRO]]+Tabela1107[[#This Row],[OUTROS]]+Tabela1107[[#This Row],[RS]]</f>
        <v>24.740000000000002</v>
      </c>
      <c r="BJ225" s="97">
        <f>+Tabela1107[[#This Row],[PIS]]+Tabela1107[[#This Row],[COFINS]]+Tabela1107[[#This Row],[CONTRIB. FOLHA]]+Tabela1107[[#This Row],[TRIBUTOS S/ LUCRO]]+Tabela1107[[#This Row],[OUTROS]]+Tabela1107[[#This Row],[RJ]]</f>
        <v>26.740000000000002</v>
      </c>
      <c r="BK225" s="97">
        <f>+Tabela1107[[#This Row],[PIS]]+Tabela1107[[#This Row],[COFINS]]+Tabela1107[[#This Row],[CONTRIB. FOLHA]]+Tabela1107[[#This Row],[TRIBUTOS S/ LUCRO]]+Tabela1107[[#This Row],[OUTROS]]+Tabela1107[[#This Row],[MG]]</f>
        <v>25.740000000000002</v>
      </c>
      <c r="BL225" s="97">
        <f>+Tabela1107[[#This Row],[PIS]]+Tabela1107[[#This Row],[COFINS]]+Tabela1107[[#This Row],[CONTRIB. FOLHA]]+Tabela1107[[#This Row],[TRIBUTOS S/ LUCRO]]+Tabela1107[[#This Row],[OUTROS]]+Tabela1107[[#This Row],[ES]]</f>
        <v>24.740000000000002</v>
      </c>
      <c r="BM225" s="97">
        <f>+Tabela1107[[#This Row],[PIS]]+Tabela1107[[#This Row],[COFINS]]+Tabela1107[[#This Row],[CONTRIB. FOLHA]]+Tabela1107[[#This Row],[TRIBUTOS S/ LUCRO]]+Tabela1107[[#This Row],[OUTROS]]+Tabela1107[[#This Row],[GO]]</f>
        <v>24.740000000000002</v>
      </c>
      <c r="BN225" s="97">
        <f>+Tabela1107[[#This Row],[PIS]]+Tabela1107[[#This Row],[COFINS]]+Tabela1107[[#This Row],[CONTRIB. FOLHA]]+Tabela1107[[#This Row],[TRIBUTOS S/ LUCRO]]+Tabela1107[[#This Row],[OUTROS]]+Tabela1107[[#This Row],[MT]]</f>
        <v>24.740000000000002</v>
      </c>
      <c r="BO225" s="97">
        <f>+Tabela1107[[#This Row],[PIS]]+Tabela1107[[#This Row],[COFINS]]+Tabela1107[[#This Row],[CONTRIB. FOLHA]]+Tabela1107[[#This Row],[TRIBUTOS S/ LUCRO]]+Tabela1107[[#This Row],[OUTROS]]+Tabela1107[[#This Row],[MS]]</f>
        <v>24.740000000000002</v>
      </c>
      <c r="BP225" s="97">
        <f>+Tabela1107[[#This Row],[PIS]]+Tabela1107[[#This Row],[COFINS]]+Tabela1107[[#This Row],[CONTRIB. FOLHA]]+Tabela1107[[#This Row],[TRIBUTOS S/ LUCRO]]+Tabela1107[[#This Row],[OUTROS]]+Tabela1107[[#This Row],[DF]]</f>
        <v>24.740000000000002</v>
      </c>
      <c r="BQ225" s="97">
        <f>+Tabela1107[[#This Row],[PIS]]+Tabela1107[[#This Row],[COFINS]]+Tabela1107[[#This Row],[CONTRIB. FOLHA]]+Tabela1107[[#This Row],[TRIBUTOS S/ LUCRO]]+Tabela1107[[#This Row],[OUTROS]]+Tabela1107[[#This Row],[BA]]</f>
        <v>24.740000000000002</v>
      </c>
      <c r="BR225" s="97">
        <f>+Tabela1107[[#This Row],[PIS]]+Tabela1107[[#This Row],[COFINS]]+Tabela1107[[#This Row],[CONTRIB. FOLHA]]+Tabela1107[[#This Row],[TRIBUTOS S/ LUCRO]]+Tabela1107[[#This Row],[OUTROS]]+Tabela1107[[#This Row],[BA]]</f>
        <v>24.740000000000002</v>
      </c>
      <c r="BS225" s="97">
        <f>+Tabela1107[[#This Row],[PIS]]+Tabela1107[[#This Row],[COFINS]]+Tabela1107[[#This Row],[CONTRIB. FOLHA]]+Tabela1107[[#This Row],[TRIBUTOS S/ LUCRO]]+Tabela1107[[#This Row],[OUTROS]]+Tabela1107[[#This Row],[PE]]</f>
        <v>24.740000000000002</v>
      </c>
      <c r="BT225" s="97">
        <f>+Tabela1107[[#This Row],[PIS]]+Tabela1107[[#This Row],[COFINS]]+Tabela1107[[#This Row],[CONTRIB. FOLHA]]+Tabela1107[[#This Row],[TRIBUTOS S/ LUCRO]]+Tabela1107[[#This Row],[OUTROS]]+Tabela1107[[#This Row],[PA]]</f>
        <v>24.740000000000002</v>
      </c>
      <c r="BU225" s="97">
        <f>+Tabela1107[[#This Row],[PIS]]+Tabela1107[[#This Row],[COFINS]]+Tabela1107[[#This Row],[CONTRIB. FOLHA]]+Tabela1107[[#This Row],[TRIBUTOS S/ LUCRO]]+Tabela1107[[#This Row],[OUTROS]]+Tabela1107[[#This Row],[AM]]</f>
        <v>24.740000000000002</v>
      </c>
      <c r="BV225" s="97">
        <f>AVERAGE(Tabela1107[[#This Row],[TOTAL SP]:[TOTAL AM]])</f>
        <v>24.677500000000006</v>
      </c>
      <c r="BW225" s="97"/>
      <c r="BX225" s="97"/>
    </row>
    <row r="226" spans="2:76" x14ac:dyDescent="0.25">
      <c r="B226" s="89">
        <v>22181</v>
      </c>
      <c r="C226" s="91" t="s">
        <v>13142</v>
      </c>
      <c r="D226" s="89"/>
      <c r="E226" s="89">
        <v>20140626</v>
      </c>
      <c r="F226" s="89" t="s">
        <v>21360</v>
      </c>
      <c r="G226" s="89" t="s">
        <v>21361</v>
      </c>
      <c r="H226" s="89" t="s">
        <v>21362</v>
      </c>
      <c r="I226" s="89" t="s">
        <v>21363</v>
      </c>
      <c r="J226" s="89" t="s">
        <v>456</v>
      </c>
      <c r="K226" s="89"/>
      <c r="L226" s="89" t="s">
        <v>3174</v>
      </c>
      <c r="M226" s="89" t="s">
        <v>4177</v>
      </c>
      <c r="N226" s="89" t="s">
        <v>4496</v>
      </c>
      <c r="O226" s="89" t="s">
        <v>4496</v>
      </c>
      <c r="P226" s="89" t="s">
        <v>4496</v>
      </c>
      <c r="Q226" s="89"/>
      <c r="R226" s="89" t="s">
        <v>28</v>
      </c>
      <c r="S226" s="89" t="s">
        <v>21692</v>
      </c>
      <c r="T226" s="89" t="s">
        <v>21693</v>
      </c>
      <c r="U226" s="89" t="str">
        <f>TRIM('Carga Tributária doenças Po (2'!$L226)</f>
        <v>HEXAMIDINA</v>
      </c>
      <c r="V226" s="89">
        <f>SUMIFS('Tabela Federal'!$E$4:$E$2069,'Tabela Federal'!$D$4:$D$2069,'Carga Tributária doenças Po (2'!$L226)</f>
        <v>0</v>
      </c>
      <c r="W226" s="89">
        <f>SUMIFS('Tabela Federal'!$E$4:$E$2069,'Tabela Federal'!$D$4:$D$2069,'Carga Tributária doenças Po (2'!$M226)</f>
        <v>0</v>
      </c>
      <c r="X226" s="89">
        <f>SUMIFS('Tabela Federal'!$E$4:$E$2069,'Tabela Federal'!$D$4:$D$2069,'Carga Tributária doenças Po (2'!$N226)</f>
        <v>0</v>
      </c>
      <c r="Y226" s="89">
        <f>SUMIFS('Tabela Federal'!$E$4:$E$2069,'Tabela Federal'!$D$4:$D$2069,'Carga Tributária doenças Po (2'!$O226)</f>
        <v>0</v>
      </c>
      <c r="Z226" s="92" t="str">
        <f>VLOOKUP('Carga Tributária doenças Po (2'!$AD226,'Carga Tributária doenças Po (2'!$CA$12:$CC$16,2,0)</f>
        <v>-</v>
      </c>
      <c r="AA226" s="89" t="s">
        <v>451</v>
      </c>
      <c r="AB226" s="89" t="s">
        <v>21813</v>
      </c>
      <c r="AC226" s="89" t="s">
        <v>21721</v>
      </c>
      <c r="AD226" s="93" t="s">
        <v>19523</v>
      </c>
      <c r="AE226" s="92" t="s">
        <v>4</v>
      </c>
      <c r="AF226" s="92" t="s">
        <v>23</v>
      </c>
      <c r="AG226" s="94">
        <v>1221689</v>
      </c>
      <c r="AH226" s="95">
        <v>15497027</v>
      </c>
      <c r="AI226" s="95">
        <v>35297248.119999997</v>
      </c>
      <c r="AJ226" s="89" t="s">
        <v>460</v>
      </c>
      <c r="AK226" s="89">
        <f>IF('Carga Tributária doenças Po (2'!$Z226="+",0,SUMIFS(PISCOFINS!$I$3:$I$10518,PISCOFINS!$C$3:$C$10518,'Carga Tributária doenças Po (2'!$C226))</f>
        <v>2.1</v>
      </c>
      <c r="AL226" s="89">
        <f>IF('Carga Tributária doenças Po (2'!$Z226="+",0,SUMIFS(PISCOFINS!$H$3:$H$10518,PISCOFINS!$C$3:$C$10518,'Carga Tributária doenças Po (2'!$C226))</f>
        <v>9.9</v>
      </c>
      <c r="AM226" s="95">
        <v>3.27</v>
      </c>
      <c r="AN226" s="95">
        <v>3.12</v>
      </c>
      <c r="AO226" s="95">
        <v>1.35</v>
      </c>
      <c r="AP226" s="96">
        <v>18</v>
      </c>
      <c r="AQ226" s="96">
        <v>12</v>
      </c>
      <c r="AR226" s="96">
        <v>17</v>
      </c>
      <c r="AS226" s="97">
        <v>17</v>
      </c>
      <c r="AT226" s="97">
        <v>19</v>
      </c>
      <c r="AU226" s="97">
        <v>18</v>
      </c>
      <c r="AV226" s="97">
        <v>17</v>
      </c>
      <c r="AW226" s="97">
        <v>17</v>
      </c>
      <c r="AX226" s="97">
        <v>17</v>
      </c>
      <c r="AY226" s="97">
        <v>17</v>
      </c>
      <c r="AZ226" s="97">
        <v>17</v>
      </c>
      <c r="BA226" s="97">
        <v>17</v>
      </c>
      <c r="BB226" s="97">
        <v>17</v>
      </c>
      <c r="BC226" s="97">
        <v>17</v>
      </c>
      <c r="BD226" s="97">
        <v>17</v>
      </c>
      <c r="BE226" s="97">
        <v>17</v>
      </c>
      <c r="BF226" s="97">
        <f>+Tabela1107[[#This Row],[PIS]]+Tabela1107[[#This Row],[COFINS]]+Tabela1107[[#This Row],[CONTRIB. FOLHA]]+Tabela1107[[#This Row],[TRIBUTOS S/ LUCRO]]+Tabela1107[[#This Row],[OUTROS]]+Tabela1107[[#This Row],[SP]]</f>
        <v>37.74</v>
      </c>
      <c r="BG226" s="97">
        <f>+Tabela1107[[#This Row],[PIS]]+Tabela1107[[#This Row],[COFINS]]+Tabela1107[[#This Row],[CONTRIB. FOLHA]]+Tabela1107[[#This Row],[TRIBUTOS S/ LUCRO]]+Tabela1107[[#This Row],[OUTROS]]+Tabela1107[[#This Row],[PR]]</f>
        <v>31.740000000000002</v>
      </c>
      <c r="BH226" s="97">
        <f>+Tabela1107[[#This Row],[PIS]]+Tabela1107[[#This Row],[COFINS]]+Tabela1107[[#This Row],[CONTRIB. FOLHA]]+Tabela1107[[#This Row],[TRIBUTOS S/ LUCRO]]+Tabela1107[[#This Row],[OUTROS]]+Tabela1107[[#This Row],[SC]]</f>
        <v>36.74</v>
      </c>
      <c r="BI226" s="97">
        <f>+Tabela1107[[#This Row],[PIS]]+Tabela1107[[#This Row],[COFINS]]+Tabela1107[[#This Row],[CONTRIB. FOLHA]]+Tabela1107[[#This Row],[TRIBUTOS S/ LUCRO]]+Tabela1107[[#This Row],[OUTROS]]+Tabela1107[[#This Row],[RS]]</f>
        <v>36.74</v>
      </c>
      <c r="BJ226" s="97">
        <f>+Tabela1107[[#This Row],[PIS]]+Tabela1107[[#This Row],[COFINS]]+Tabela1107[[#This Row],[CONTRIB. FOLHA]]+Tabela1107[[#This Row],[TRIBUTOS S/ LUCRO]]+Tabela1107[[#This Row],[OUTROS]]+Tabela1107[[#This Row],[RJ]]</f>
        <v>38.74</v>
      </c>
      <c r="BK226" s="97">
        <f>+Tabela1107[[#This Row],[PIS]]+Tabela1107[[#This Row],[COFINS]]+Tabela1107[[#This Row],[CONTRIB. FOLHA]]+Tabela1107[[#This Row],[TRIBUTOS S/ LUCRO]]+Tabela1107[[#This Row],[OUTROS]]+Tabela1107[[#This Row],[MG]]</f>
        <v>37.74</v>
      </c>
      <c r="BL226" s="97">
        <f>+Tabela1107[[#This Row],[PIS]]+Tabela1107[[#This Row],[COFINS]]+Tabela1107[[#This Row],[CONTRIB. FOLHA]]+Tabela1107[[#This Row],[TRIBUTOS S/ LUCRO]]+Tabela1107[[#This Row],[OUTROS]]+Tabela1107[[#This Row],[ES]]</f>
        <v>36.74</v>
      </c>
      <c r="BM226" s="97">
        <f>+Tabela1107[[#This Row],[PIS]]+Tabela1107[[#This Row],[COFINS]]+Tabela1107[[#This Row],[CONTRIB. FOLHA]]+Tabela1107[[#This Row],[TRIBUTOS S/ LUCRO]]+Tabela1107[[#This Row],[OUTROS]]+Tabela1107[[#This Row],[GO]]</f>
        <v>36.74</v>
      </c>
      <c r="BN226" s="97">
        <f>+Tabela1107[[#This Row],[PIS]]+Tabela1107[[#This Row],[COFINS]]+Tabela1107[[#This Row],[CONTRIB. FOLHA]]+Tabela1107[[#This Row],[TRIBUTOS S/ LUCRO]]+Tabela1107[[#This Row],[OUTROS]]+Tabela1107[[#This Row],[MT]]</f>
        <v>36.74</v>
      </c>
      <c r="BO226" s="97">
        <f>+Tabela1107[[#This Row],[PIS]]+Tabela1107[[#This Row],[COFINS]]+Tabela1107[[#This Row],[CONTRIB. FOLHA]]+Tabela1107[[#This Row],[TRIBUTOS S/ LUCRO]]+Tabela1107[[#This Row],[OUTROS]]+Tabela1107[[#This Row],[MS]]</f>
        <v>36.74</v>
      </c>
      <c r="BP226" s="97">
        <f>+Tabela1107[[#This Row],[PIS]]+Tabela1107[[#This Row],[COFINS]]+Tabela1107[[#This Row],[CONTRIB. FOLHA]]+Tabela1107[[#This Row],[TRIBUTOS S/ LUCRO]]+Tabela1107[[#This Row],[OUTROS]]+Tabela1107[[#This Row],[DF]]</f>
        <v>36.74</v>
      </c>
      <c r="BQ226" s="97">
        <f>+Tabela1107[[#This Row],[PIS]]+Tabela1107[[#This Row],[COFINS]]+Tabela1107[[#This Row],[CONTRIB. FOLHA]]+Tabela1107[[#This Row],[TRIBUTOS S/ LUCRO]]+Tabela1107[[#This Row],[OUTROS]]+Tabela1107[[#This Row],[BA]]</f>
        <v>36.74</v>
      </c>
      <c r="BR226" s="97">
        <f>+Tabela1107[[#This Row],[PIS]]+Tabela1107[[#This Row],[COFINS]]+Tabela1107[[#This Row],[CONTRIB. FOLHA]]+Tabela1107[[#This Row],[TRIBUTOS S/ LUCRO]]+Tabela1107[[#This Row],[OUTROS]]+Tabela1107[[#This Row],[BA]]</f>
        <v>36.74</v>
      </c>
      <c r="BS226" s="97">
        <f>+Tabela1107[[#This Row],[PIS]]+Tabela1107[[#This Row],[COFINS]]+Tabela1107[[#This Row],[CONTRIB. FOLHA]]+Tabela1107[[#This Row],[TRIBUTOS S/ LUCRO]]+Tabela1107[[#This Row],[OUTROS]]+Tabela1107[[#This Row],[PE]]</f>
        <v>36.74</v>
      </c>
      <c r="BT226" s="97">
        <f>+Tabela1107[[#This Row],[PIS]]+Tabela1107[[#This Row],[COFINS]]+Tabela1107[[#This Row],[CONTRIB. FOLHA]]+Tabela1107[[#This Row],[TRIBUTOS S/ LUCRO]]+Tabela1107[[#This Row],[OUTROS]]+Tabela1107[[#This Row],[PA]]</f>
        <v>36.74</v>
      </c>
      <c r="BU226" s="97">
        <f>+Tabela1107[[#This Row],[PIS]]+Tabela1107[[#This Row],[COFINS]]+Tabela1107[[#This Row],[CONTRIB. FOLHA]]+Tabela1107[[#This Row],[TRIBUTOS S/ LUCRO]]+Tabela1107[[#This Row],[OUTROS]]+Tabela1107[[#This Row],[AM]]</f>
        <v>36.74</v>
      </c>
      <c r="BV226" s="97">
        <f>AVERAGE(Tabela1107[[#This Row],[TOTAL SP]:[TOTAL AM]])</f>
        <v>36.677500000000002</v>
      </c>
      <c r="BW226" s="97"/>
      <c r="BX226" s="97"/>
    </row>
    <row r="227" spans="2:76" x14ac:dyDescent="0.25">
      <c r="B227" s="89">
        <v>12030</v>
      </c>
      <c r="C227" s="91" t="s">
        <v>13183</v>
      </c>
      <c r="D227" s="89"/>
      <c r="E227" s="89">
        <v>20140626</v>
      </c>
      <c r="F227" s="89" t="s">
        <v>21414</v>
      </c>
      <c r="G227" s="89" t="s">
        <v>21415</v>
      </c>
      <c r="H227" s="89" t="s">
        <v>21416</v>
      </c>
      <c r="I227" s="89" t="s">
        <v>21417</v>
      </c>
      <c r="J227" s="89" t="s">
        <v>552</v>
      </c>
      <c r="K227" s="89"/>
      <c r="L227" s="89" t="s">
        <v>3175</v>
      </c>
      <c r="M227" s="89" t="s">
        <v>4178</v>
      </c>
      <c r="N227" s="89" t="s">
        <v>4496</v>
      </c>
      <c r="O227" s="89" t="s">
        <v>4496</v>
      </c>
      <c r="P227" s="89" t="s">
        <v>4496</v>
      </c>
      <c r="Q227" s="89"/>
      <c r="R227" s="89" t="s">
        <v>92</v>
      </c>
      <c r="S227" s="89" t="s">
        <v>21696</v>
      </c>
      <c r="T227" s="89" t="s">
        <v>21697</v>
      </c>
      <c r="U227" s="89" t="str">
        <f>TRIM('Carga Tributária doenças Po (2'!$L227)</f>
        <v>GLICOSE</v>
      </c>
      <c r="V227" s="89">
        <f>SUMIFS('Tabela Federal'!$E$4:$E$2069,'Tabela Federal'!$D$4:$D$2069,'Carga Tributária doenças Po (2'!$L227)</f>
        <v>4</v>
      </c>
      <c r="W227" s="89">
        <f>SUMIFS('Tabela Federal'!$E$4:$E$2069,'Tabela Federal'!$D$4:$D$2069,'Carga Tributária doenças Po (2'!$M227)</f>
        <v>0</v>
      </c>
      <c r="X227" s="89">
        <f>SUMIFS('Tabela Federal'!$E$4:$E$2069,'Tabela Federal'!$D$4:$D$2069,'Carga Tributária doenças Po (2'!$N227)</f>
        <v>0</v>
      </c>
      <c r="Y227" s="89">
        <f>SUMIFS('Tabela Federal'!$E$4:$E$2069,'Tabela Federal'!$D$4:$D$2069,'Carga Tributária doenças Po (2'!$O227)</f>
        <v>0</v>
      </c>
      <c r="Z227" s="92" t="str">
        <f>VLOOKUP('Carga Tributária doenças Po (2'!$AD227,'Carga Tributária doenças Po (2'!$CA$12:$CC$16,2,0)</f>
        <v>-</v>
      </c>
      <c r="AA227" s="89" t="s">
        <v>105</v>
      </c>
      <c r="AB227" s="89" t="s">
        <v>21882</v>
      </c>
      <c r="AC227" s="89" t="s">
        <v>21740</v>
      </c>
      <c r="AD227" s="93" t="s">
        <v>19523</v>
      </c>
      <c r="AE227" s="92" t="s">
        <v>4</v>
      </c>
      <c r="AF227" s="92" t="s">
        <v>3</v>
      </c>
      <c r="AG227" s="94">
        <v>181874</v>
      </c>
      <c r="AH227" s="95">
        <v>458257</v>
      </c>
      <c r="AI227" s="95">
        <v>1052499.79</v>
      </c>
      <c r="AJ227" s="89" t="s">
        <v>549</v>
      </c>
      <c r="AK227" s="89">
        <f>IF('Carga Tributária doenças Po (2'!$Z227="+",0,SUMIFS(PISCOFINS!$I$3:$I$10518,PISCOFINS!$C$3:$C$10518,'Carga Tributária doenças Po (2'!$C227))</f>
        <v>2.1</v>
      </c>
      <c r="AL227" s="89">
        <f>IF('Carga Tributária doenças Po (2'!$Z227="+",0,SUMIFS(PISCOFINS!$H$3:$H$10518,PISCOFINS!$C$3:$C$10518,'Carga Tributária doenças Po (2'!$C227))</f>
        <v>9.9</v>
      </c>
      <c r="AM227" s="95">
        <v>3.27</v>
      </c>
      <c r="AN227" s="95">
        <v>3.12</v>
      </c>
      <c r="AO227" s="95">
        <v>1.35</v>
      </c>
      <c r="AP227" s="96">
        <v>18</v>
      </c>
      <c r="AQ227" s="96">
        <v>12</v>
      </c>
      <c r="AR227" s="96">
        <v>17</v>
      </c>
      <c r="AS227" s="97">
        <v>17</v>
      </c>
      <c r="AT227" s="97">
        <v>19</v>
      </c>
      <c r="AU227" s="97">
        <v>18</v>
      </c>
      <c r="AV227" s="97">
        <v>17</v>
      </c>
      <c r="AW227" s="97">
        <v>17</v>
      </c>
      <c r="AX227" s="97">
        <v>17</v>
      </c>
      <c r="AY227" s="97">
        <v>17</v>
      </c>
      <c r="AZ227" s="97">
        <v>17</v>
      </c>
      <c r="BA227" s="97">
        <v>17</v>
      </c>
      <c r="BB227" s="97">
        <v>17</v>
      </c>
      <c r="BC227" s="97">
        <v>17</v>
      </c>
      <c r="BD227" s="97">
        <v>17</v>
      </c>
      <c r="BE227" s="97">
        <v>17</v>
      </c>
      <c r="BF227" s="97">
        <f>+Tabela1107[[#This Row],[PIS]]+Tabela1107[[#This Row],[COFINS]]+Tabela1107[[#This Row],[CONTRIB. FOLHA]]+Tabela1107[[#This Row],[TRIBUTOS S/ LUCRO]]+Tabela1107[[#This Row],[OUTROS]]+Tabela1107[[#This Row],[SP]]</f>
        <v>37.74</v>
      </c>
      <c r="BG227" s="97">
        <f>+Tabela1107[[#This Row],[PIS]]+Tabela1107[[#This Row],[COFINS]]+Tabela1107[[#This Row],[CONTRIB. FOLHA]]+Tabela1107[[#This Row],[TRIBUTOS S/ LUCRO]]+Tabela1107[[#This Row],[OUTROS]]+Tabela1107[[#This Row],[PR]]</f>
        <v>31.740000000000002</v>
      </c>
      <c r="BH227" s="97">
        <f>+Tabela1107[[#This Row],[PIS]]+Tabela1107[[#This Row],[COFINS]]+Tabela1107[[#This Row],[CONTRIB. FOLHA]]+Tabela1107[[#This Row],[TRIBUTOS S/ LUCRO]]+Tabela1107[[#This Row],[OUTROS]]+Tabela1107[[#This Row],[SC]]</f>
        <v>36.74</v>
      </c>
      <c r="BI227" s="97">
        <f>+Tabela1107[[#This Row],[PIS]]+Tabela1107[[#This Row],[COFINS]]+Tabela1107[[#This Row],[CONTRIB. FOLHA]]+Tabela1107[[#This Row],[TRIBUTOS S/ LUCRO]]+Tabela1107[[#This Row],[OUTROS]]+Tabela1107[[#This Row],[RS]]</f>
        <v>36.74</v>
      </c>
      <c r="BJ227" s="97">
        <f>+Tabela1107[[#This Row],[PIS]]+Tabela1107[[#This Row],[COFINS]]+Tabela1107[[#This Row],[CONTRIB. FOLHA]]+Tabela1107[[#This Row],[TRIBUTOS S/ LUCRO]]+Tabela1107[[#This Row],[OUTROS]]+Tabela1107[[#This Row],[RJ]]</f>
        <v>38.74</v>
      </c>
      <c r="BK227" s="97">
        <f>+Tabela1107[[#This Row],[PIS]]+Tabela1107[[#This Row],[COFINS]]+Tabela1107[[#This Row],[CONTRIB. FOLHA]]+Tabela1107[[#This Row],[TRIBUTOS S/ LUCRO]]+Tabela1107[[#This Row],[OUTROS]]+Tabela1107[[#This Row],[MG]]</f>
        <v>37.74</v>
      </c>
      <c r="BL227" s="97">
        <f>+Tabela1107[[#This Row],[PIS]]+Tabela1107[[#This Row],[COFINS]]+Tabela1107[[#This Row],[CONTRIB. FOLHA]]+Tabela1107[[#This Row],[TRIBUTOS S/ LUCRO]]+Tabela1107[[#This Row],[OUTROS]]+Tabela1107[[#This Row],[ES]]</f>
        <v>36.74</v>
      </c>
      <c r="BM227" s="97">
        <f>+Tabela1107[[#This Row],[PIS]]+Tabela1107[[#This Row],[COFINS]]+Tabela1107[[#This Row],[CONTRIB. FOLHA]]+Tabela1107[[#This Row],[TRIBUTOS S/ LUCRO]]+Tabela1107[[#This Row],[OUTROS]]+Tabela1107[[#This Row],[GO]]</f>
        <v>36.74</v>
      </c>
      <c r="BN227" s="97">
        <f>+Tabela1107[[#This Row],[PIS]]+Tabela1107[[#This Row],[COFINS]]+Tabela1107[[#This Row],[CONTRIB. FOLHA]]+Tabela1107[[#This Row],[TRIBUTOS S/ LUCRO]]+Tabela1107[[#This Row],[OUTROS]]+Tabela1107[[#This Row],[MT]]</f>
        <v>36.74</v>
      </c>
      <c r="BO227" s="97">
        <f>+Tabela1107[[#This Row],[PIS]]+Tabela1107[[#This Row],[COFINS]]+Tabela1107[[#This Row],[CONTRIB. FOLHA]]+Tabela1107[[#This Row],[TRIBUTOS S/ LUCRO]]+Tabela1107[[#This Row],[OUTROS]]+Tabela1107[[#This Row],[MS]]</f>
        <v>36.74</v>
      </c>
      <c r="BP227" s="97">
        <f>+Tabela1107[[#This Row],[PIS]]+Tabela1107[[#This Row],[COFINS]]+Tabela1107[[#This Row],[CONTRIB. FOLHA]]+Tabela1107[[#This Row],[TRIBUTOS S/ LUCRO]]+Tabela1107[[#This Row],[OUTROS]]+Tabela1107[[#This Row],[DF]]</f>
        <v>36.74</v>
      </c>
      <c r="BQ227" s="97">
        <f>+Tabela1107[[#This Row],[PIS]]+Tabela1107[[#This Row],[COFINS]]+Tabela1107[[#This Row],[CONTRIB. FOLHA]]+Tabela1107[[#This Row],[TRIBUTOS S/ LUCRO]]+Tabela1107[[#This Row],[OUTROS]]+Tabela1107[[#This Row],[BA]]</f>
        <v>36.74</v>
      </c>
      <c r="BR227" s="97">
        <f>+Tabela1107[[#This Row],[PIS]]+Tabela1107[[#This Row],[COFINS]]+Tabela1107[[#This Row],[CONTRIB. FOLHA]]+Tabela1107[[#This Row],[TRIBUTOS S/ LUCRO]]+Tabela1107[[#This Row],[OUTROS]]+Tabela1107[[#This Row],[BA]]</f>
        <v>36.74</v>
      </c>
      <c r="BS227" s="97">
        <f>+Tabela1107[[#This Row],[PIS]]+Tabela1107[[#This Row],[COFINS]]+Tabela1107[[#This Row],[CONTRIB. FOLHA]]+Tabela1107[[#This Row],[TRIBUTOS S/ LUCRO]]+Tabela1107[[#This Row],[OUTROS]]+Tabela1107[[#This Row],[PE]]</f>
        <v>36.74</v>
      </c>
      <c r="BT227" s="97">
        <f>+Tabela1107[[#This Row],[PIS]]+Tabela1107[[#This Row],[COFINS]]+Tabela1107[[#This Row],[CONTRIB. FOLHA]]+Tabela1107[[#This Row],[TRIBUTOS S/ LUCRO]]+Tabela1107[[#This Row],[OUTROS]]+Tabela1107[[#This Row],[PA]]</f>
        <v>36.74</v>
      </c>
      <c r="BU227" s="97">
        <f>+Tabela1107[[#This Row],[PIS]]+Tabela1107[[#This Row],[COFINS]]+Tabela1107[[#This Row],[CONTRIB. FOLHA]]+Tabela1107[[#This Row],[TRIBUTOS S/ LUCRO]]+Tabela1107[[#This Row],[OUTROS]]+Tabela1107[[#This Row],[AM]]</f>
        <v>36.74</v>
      </c>
      <c r="BV227" s="97">
        <f>AVERAGE(Tabela1107[[#This Row],[TOTAL SP]:[TOTAL AM]])</f>
        <v>36.677500000000002</v>
      </c>
      <c r="BW227" s="97"/>
      <c r="BX227" s="97"/>
    </row>
    <row r="228" spans="2:76" x14ac:dyDescent="0.25">
      <c r="B228" s="89">
        <v>12655</v>
      </c>
      <c r="C228" s="91" t="s">
        <v>13183</v>
      </c>
      <c r="D228" s="89"/>
      <c r="E228" s="89">
        <v>20140626</v>
      </c>
      <c r="F228" s="89" t="s">
        <v>20658</v>
      </c>
      <c r="G228" s="89" t="s">
        <v>20659</v>
      </c>
      <c r="H228" s="98" t="s">
        <v>21967</v>
      </c>
      <c r="I228" s="89" t="s">
        <v>20660</v>
      </c>
      <c r="J228" s="89" t="s">
        <v>47</v>
      </c>
      <c r="K228" s="89"/>
      <c r="L228" s="89" t="s">
        <v>4476</v>
      </c>
      <c r="M228" s="89" t="s">
        <v>4496</v>
      </c>
      <c r="N228" s="89" t="s">
        <v>4496</v>
      </c>
      <c r="O228" s="89" t="s">
        <v>4496</v>
      </c>
      <c r="P228" s="89" t="s">
        <v>4496</v>
      </c>
      <c r="Q228" s="89"/>
      <c r="R228" s="89" t="s">
        <v>29</v>
      </c>
      <c r="S228" s="89" t="s">
        <v>21616</v>
      </c>
      <c r="T228" s="89" t="s">
        <v>21617</v>
      </c>
      <c r="U228" s="89" t="str">
        <f>TRIM('Carga Tributária doenças Po (2'!$L228)</f>
        <v>HIDROXIDO DE ALUMINIO</v>
      </c>
      <c r="V228" s="89">
        <f>SUMIFS('Tabela Federal'!$E$4:$E$2069,'Tabela Federal'!$D$4:$D$2069,'Carga Tributária doenças Po (2'!$L228)</f>
        <v>0</v>
      </c>
      <c r="W228" s="89">
        <f>SUMIFS('Tabela Federal'!$E$4:$E$2069,'Tabela Federal'!$D$4:$D$2069,'Carga Tributária doenças Po (2'!$M228)</f>
        <v>0</v>
      </c>
      <c r="X228" s="89">
        <f>SUMIFS('Tabela Federal'!$E$4:$E$2069,'Tabela Federal'!$D$4:$D$2069,'Carga Tributária doenças Po (2'!$N228)</f>
        <v>0</v>
      </c>
      <c r="Y228" s="89">
        <f>SUMIFS('Tabela Federal'!$E$4:$E$2069,'Tabela Federal'!$D$4:$D$2069,'Carga Tributária doenças Po (2'!$O228)</f>
        <v>0</v>
      </c>
      <c r="Z228" s="92" t="str">
        <f>VLOOKUP('Carga Tributária doenças Po (2'!$AD228,'Carga Tributária doenças Po (2'!$CA$12:$CC$16,2,0)</f>
        <v>-</v>
      </c>
      <c r="AA228" s="89" t="s">
        <v>43</v>
      </c>
      <c r="AB228" s="89" t="s">
        <v>21753</v>
      </c>
      <c r="AC228" s="89" t="s">
        <v>21740</v>
      </c>
      <c r="AD228" s="93" t="s">
        <v>19523</v>
      </c>
      <c r="AE228" s="92" t="s">
        <v>4</v>
      </c>
      <c r="AF228" s="92" t="s">
        <v>10</v>
      </c>
      <c r="AG228" s="94">
        <v>950650</v>
      </c>
      <c r="AH228" s="95">
        <v>3253520</v>
      </c>
      <c r="AI228" s="95">
        <v>7424597.2599999998</v>
      </c>
      <c r="AJ228" s="89" t="s">
        <v>41</v>
      </c>
      <c r="AK228" s="89">
        <f>IF('Carga Tributária doenças Po (2'!$Z228="+",0,SUMIFS(PISCOFINS!$I$3:$I$10518,PISCOFINS!$C$3:$C$10518,'Carga Tributária doenças Po (2'!$C228))</f>
        <v>2.1</v>
      </c>
      <c r="AL228" s="89">
        <f>IF('Carga Tributária doenças Po (2'!$Z228="+",0,SUMIFS(PISCOFINS!$H$3:$H$10518,PISCOFINS!$C$3:$C$10518,'Carga Tributária doenças Po (2'!$C228))</f>
        <v>9.9</v>
      </c>
      <c r="AM228" s="95">
        <v>3.27</v>
      </c>
      <c r="AN228" s="95">
        <v>3.12</v>
      </c>
      <c r="AO228" s="95">
        <v>1.35</v>
      </c>
      <c r="AP228" s="96">
        <v>18</v>
      </c>
      <c r="AQ228" s="96">
        <v>12</v>
      </c>
      <c r="AR228" s="96">
        <v>17</v>
      </c>
      <c r="AS228" s="97">
        <v>17</v>
      </c>
      <c r="AT228" s="97">
        <v>19</v>
      </c>
      <c r="AU228" s="97">
        <v>12</v>
      </c>
      <c r="AV228" s="97">
        <v>17</v>
      </c>
      <c r="AW228" s="97">
        <v>17</v>
      </c>
      <c r="AX228" s="97">
        <v>17</v>
      </c>
      <c r="AY228" s="97">
        <v>17</v>
      </c>
      <c r="AZ228" s="97">
        <v>17</v>
      </c>
      <c r="BA228" s="97">
        <v>17</v>
      </c>
      <c r="BB228" s="97">
        <v>17</v>
      </c>
      <c r="BC228" s="97">
        <v>17</v>
      </c>
      <c r="BD228" s="97">
        <v>17</v>
      </c>
      <c r="BE228" s="97">
        <v>17</v>
      </c>
      <c r="BF228" s="97">
        <f>+Tabela1107[[#This Row],[PIS]]+Tabela1107[[#This Row],[COFINS]]+Tabela1107[[#This Row],[CONTRIB. FOLHA]]+Tabela1107[[#This Row],[TRIBUTOS S/ LUCRO]]+Tabela1107[[#This Row],[OUTROS]]+Tabela1107[[#This Row],[SP]]</f>
        <v>37.74</v>
      </c>
      <c r="BG228" s="97">
        <f>+Tabela1107[[#This Row],[PIS]]+Tabela1107[[#This Row],[COFINS]]+Tabela1107[[#This Row],[CONTRIB. FOLHA]]+Tabela1107[[#This Row],[TRIBUTOS S/ LUCRO]]+Tabela1107[[#This Row],[OUTROS]]+Tabela1107[[#This Row],[PR]]</f>
        <v>31.740000000000002</v>
      </c>
      <c r="BH228" s="97">
        <f>+Tabela1107[[#This Row],[PIS]]+Tabela1107[[#This Row],[COFINS]]+Tabela1107[[#This Row],[CONTRIB. FOLHA]]+Tabela1107[[#This Row],[TRIBUTOS S/ LUCRO]]+Tabela1107[[#This Row],[OUTROS]]+Tabela1107[[#This Row],[SC]]</f>
        <v>36.74</v>
      </c>
      <c r="BI228" s="97">
        <f>+Tabela1107[[#This Row],[PIS]]+Tabela1107[[#This Row],[COFINS]]+Tabela1107[[#This Row],[CONTRIB. FOLHA]]+Tabela1107[[#This Row],[TRIBUTOS S/ LUCRO]]+Tabela1107[[#This Row],[OUTROS]]+Tabela1107[[#This Row],[RS]]</f>
        <v>36.74</v>
      </c>
      <c r="BJ228" s="97">
        <f>+Tabela1107[[#This Row],[PIS]]+Tabela1107[[#This Row],[COFINS]]+Tabela1107[[#This Row],[CONTRIB. FOLHA]]+Tabela1107[[#This Row],[TRIBUTOS S/ LUCRO]]+Tabela1107[[#This Row],[OUTROS]]+Tabela1107[[#This Row],[RJ]]</f>
        <v>38.74</v>
      </c>
      <c r="BK228" s="97">
        <f>+Tabela1107[[#This Row],[PIS]]+Tabela1107[[#This Row],[COFINS]]+Tabela1107[[#This Row],[CONTRIB. FOLHA]]+Tabela1107[[#This Row],[TRIBUTOS S/ LUCRO]]+Tabela1107[[#This Row],[OUTROS]]+Tabela1107[[#This Row],[MG]]</f>
        <v>31.740000000000002</v>
      </c>
      <c r="BL228" s="97">
        <f>+Tabela1107[[#This Row],[PIS]]+Tabela1107[[#This Row],[COFINS]]+Tabela1107[[#This Row],[CONTRIB. FOLHA]]+Tabela1107[[#This Row],[TRIBUTOS S/ LUCRO]]+Tabela1107[[#This Row],[OUTROS]]+Tabela1107[[#This Row],[ES]]</f>
        <v>36.74</v>
      </c>
      <c r="BM228" s="97">
        <f>+Tabela1107[[#This Row],[PIS]]+Tabela1107[[#This Row],[COFINS]]+Tabela1107[[#This Row],[CONTRIB. FOLHA]]+Tabela1107[[#This Row],[TRIBUTOS S/ LUCRO]]+Tabela1107[[#This Row],[OUTROS]]+Tabela1107[[#This Row],[GO]]</f>
        <v>36.74</v>
      </c>
      <c r="BN228" s="97">
        <f>+Tabela1107[[#This Row],[PIS]]+Tabela1107[[#This Row],[COFINS]]+Tabela1107[[#This Row],[CONTRIB. FOLHA]]+Tabela1107[[#This Row],[TRIBUTOS S/ LUCRO]]+Tabela1107[[#This Row],[OUTROS]]+Tabela1107[[#This Row],[MT]]</f>
        <v>36.74</v>
      </c>
      <c r="BO228" s="97">
        <f>+Tabela1107[[#This Row],[PIS]]+Tabela1107[[#This Row],[COFINS]]+Tabela1107[[#This Row],[CONTRIB. FOLHA]]+Tabela1107[[#This Row],[TRIBUTOS S/ LUCRO]]+Tabela1107[[#This Row],[OUTROS]]+Tabela1107[[#This Row],[MS]]</f>
        <v>36.74</v>
      </c>
      <c r="BP228" s="97">
        <f>+Tabela1107[[#This Row],[PIS]]+Tabela1107[[#This Row],[COFINS]]+Tabela1107[[#This Row],[CONTRIB. FOLHA]]+Tabela1107[[#This Row],[TRIBUTOS S/ LUCRO]]+Tabela1107[[#This Row],[OUTROS]]+Tabela1107[[#This Row],[DF]]</f>
        <v>36.74</v>
      </c>
      <c r="BQ228" s="97">
        <f>+Tabela1107[[#This Row],[PIS]]+Tabela1107[[#This Row],[COFINS]]+Tabela1107[[#This Row],[CONTRIB. FOLHA]]+Tabela1107[[#This Row],[TRIBUTOS S/ LUCRO]]+Tabela1107[[#This Row],[OUTROS]]+Tabela1107[[#This Row],[BA]]</f>
        <v>36.74</v>
      </c>
      <c r="BR228" s="97">
        <f>+Tabela1107[[#This Row],[PIS]]+Tabela1107[[#This Row],[COFINS]]+Tabela1107[[#This Row],[CONTRIB. FOLHA]]+Tabela1107[[#This Row],[TRIBUTOS S/ LUCRO]]+Tabela1107[[#This Row],[OUTROS]]+Tabela1107[[#This Row],[BA]]</f>
        <v>36.74</v>
      </c>
      <c r="BS228" s="97">
        <f>+Tabela1107[[#This Row],[PIS]]+Tabela1107[[#This Row],[COFINS]]+Tabela1107[[#This Row],[CONTRIB. FOLHA]]+Tabela1107[[#This Row],[TRIBUTOS S/ LUCRO]]+Tabela1107[[#This Row],[OUTROS]]+Tabela1107[[#This Row],[PE]]</f>
        <v>36.74</v>
      </c>
      <c r="BT228" s="97">
        <f>+Tabela1107[[#This Row],[PIS]]+Tabela1107[[#This Row],[COFINS]]+Tabela1107[[#This Row],[CONTRIB. FOLHA]]+Tabela1107[[#This Row],[TRIBUTOS S/ LUCRO]]+Tabela1107[[#This Row],[OUTROS]]+Tabela1107[[#This Row],[PA]]</f>
        <v>36.74</v>
      </c>
      <c r="BU228" s="97">
        <f>+Tabela1107[[#This Row],[PIS]]+Tabela1107[[#This Row],[COFINS]]+Tabela1107[[#This Row],[CONTRIB. FOLHA]]+Tabela1107[[#This Row],[TRIBUTOS S/ LUCRO]]+Tabela1107[[#This Row],[OUTROS]]+Tabela1107[[#This Row],[AM]]</f>
        <v>36.74</v>
      </c>
      <c r="BV228" s="97">
        <f>AVERAGE(Tabela1107[[#This Row],[TOTAL SP]:[TOTAL AM]])</f>
        <v>36.302500000000002</v>
      </c>
      <c r="BW228" s="97"/>
      <c r="BX228" s="97"/>
    </row>
    <row r="229" spans="2:76" x14ac:dyDescent="0.25">
      <c r="B229" s="89">
        <v>2722</v>
      </c>
      <c r="C229" s="91" t="s">
        <v>13183</v>
      </c>
      <c r="D229" s="89"/>
      <c r="E229" s="89">
        <v>20140626</v>
      </c>
      <c r="F229" s="89" t="s">
        <v>20596</v>
      </c>
      <c r="G229" s="89" t="s">
        <v>20597</v>
      </c>
      <c r="H229" s="98" t="s">
        <v>21956</v>
      </c>
      <c r="I229" s="89" t="s">
        <v>20598</v>
      </c>
      <c r="J229" s="89" t="s">
        <v>444</v>
      </c>
      <c r="K229" s="89"/>
      <c r="L229" s="89" t="s">
        <v>2785</v>
      </c>
      <c r="M229" s="89" t="s">
        <v>4496</v>
      </c>
      <c r="N229" s="89" t="s">
        <v>4496</v>
      </c>
      <c r="O229" s="89" t="s">
        <v>4496</v>
      </c>
      <c r="P229" s="89" t="s">
        <v>4496</v>
      </c>
      <c r="Q229" s="89"/>
      <c r="R229" s="89" t="s">
        <v>445</v>
      </c>
      <c r="S229" s="89" t="s">
        <v>21612</v>
      </c>
      <c r="T229" s="89" t="s">
        <v>21613</v>
      </c>
      <c r="U229" s="89" t="str">
        <f>TRIM('Carga Tributária doenças Po (2'!$L229)</f>
        <v>POLISSULFATO DE MUCOPOLISSACARIDIO</v>
      </c>
      <c r="V229" s="89">
        <f>SUMIFS('Tabela Federal'!$E$4:$E$2069,'Tabela Federal'!$D$4:$D$2069,'Carga Tributária doenças Po (2'!$L229)</f>
        <v>0</v>
      </c>
      <c r="W229" s="89">
        <f>SUMIFS('Tabela Federal'!$E$4:$E$2069,'Tabela Federal'!$D$4:$D$2069,'Carga Tributária doenças Po (2'!$M229)</f>
        <v>0</v>
      </c>
      <c r="X229" s="89">
        <f>SUMIFS('Tabela Federal'!$E$4:$E$2069,'Tabela Federal'!$D$4:$D$2069,'Carga Tributária doenças Po (2'!$N229)</f>
        <v>0</v>
      </c>
      <c r="Y229" s="89">
        <f>SUMIFS('Tabela Federal'!$E$4:$E$2069,'Tabela Federal'!$D$4:$D$2069,'Carga Tributária doenças Po (2'!$O229)</f>
        <v>0</v>
      </c>
      <c r="Z229" s="92" t="str">
        <f>VLOOKUP('Carga Tributária doenças Po (2'!$AD229,'Carga Tributária doenças Po (2'!$CA$12:$CC$16,2,0)</f>
        <v>-</v>
      </c>
      <c r="AA229" s="89" t="s">
        <v>443</v>
      </c>
      <c r="AB229" s="89" t="s">
        <v>21864</v>
      </c>
      <c r="AC229" s="89" t="s">
        <v>21740</v>
      </c>
      <c r="AD229" s="93" t="s">
        <v>19523</v>
      </c>
      <c r="AE229" s="92" t="s">
        <v>4</v>
      </c>
      <c r="AF229" s="92" t="s">
        <v>23</v>
      </c>
      <c r="AG229" s="94">
        <v>985961</v>
      </c>
      <c r="AH229" s="95">
        <v>6902673</v>
      </c>
      <c r="AI229" s="95">
        <v>15808361.5</v>
      </c>
      <c r="AJ229" s="89" t="s">
        <v>383</v>
      </c>
      <c r="AK229" s="89">
        <f>IF('Carga Tributária doenças Po (2'!$Z229="+",0,SUMIFS(PISCOFINS!$I$3:$I$10518,PISCOFINS!$C$3:$C$10518,'Carga Tributária doenças Po (2'!$C229))</f>
        <v>2.1</v>
      </c>
      <c r="AL229" s="89">
        <f>IF('Carga Tributária doenças Po (2'!$Z229="+",0,SUMIFS(PISCOFINS!$H$3:$H$10518,PISCOFINS!$C$3:$C$10518,'Carga Tributária doenças Po (2'!$C229))</f>
        <v>9.9</v>
      </c>
      <c r="AM229" s="95">
        <v>3.27</v>
      </c>
      <c r="AN229" s="95">
        <v>3.12</v>
      </c>
      <c r="AO229" s="95">
        <v>1.35</v>
      </c>
      <c r="AP229" s="96">
        <v>18</v>
      </c>
      <c r="AQ229" s="96">
        <v>12</v>
      </c>
      <c r="AR229" s="96">
        <v>17</v>
      </c>
      <c r="AS229" s="97">
        <v>17</v>
      </c>
      <c r="AT229" s="97">
        <v>19</v>
      </c>
      <c r="AU229" s="97">
        <v>18</v>
      </c>
      <c r="AV229" s="97">
        <v>17</v>
      </c>
      <c r="AW229" s="97">
        <v>17</v>
      </c>
      <c r="AX229" s="97">
        <v>17</v>
      </c>
      <c r="AY229" s="97">
        <v>17</v>
      </c>
      <c r="AZ229" s="97">
        <v>17</v>
      </c>
      <c r="BA229" s="97">
        <v>17</v>
      </c>
      <c r="BB229" s="97">
        <v>17</v>
      </c>
      <c r="BC229" s="97">
        <v>17</v>
      </c>
      <c r="BD229" s="97">
        <v>17</v>
      </c>
      <c r="BE229" s="97">
        <v>17</v>
      </c>
      <c r="BF229" s="97">
        <f>+Tabela1107[[#This Row],[PIS]]+Tabela1107[[#This Row],[COFINS]]+Tabela1107[[#This Row],[CONTRIB. FOLHA]]+Tabela1107[[#This Row],[TRIBUTOS S/ LUCRO]]+Tabela1107[[#This Row],[OUTROS]]+Tabela1107[[#This Row],[SP]]</f>
        <v>37.74</v>
      </c>
      <c r="BG229" s="97">
        <f>+Tabela1107[[#This Row],[PIS]]+Tabela1107[[#This Row],[COFINS]]+Tabela1107[[#This Row],[CONTRIB. FOLHA]]+Tabela1107[[#This Row],[TRIBUTOS S/ LUCRO]]+Tabela1107[[#This Row],[OUTROS]]+Tabela1107[[#This Row],[PR]]</f>
        <v>31.740000000000002</v>
      </c>
      <c r="BH229" s="97">
        <f>+Tabela1107[[#This Row],[PIS]]+Tabela1107[[#This Row],[COFINS]]+Tabela1107[[#This Row],[CONTRIB. FOLHA]]+Tabela1107[[#This Row],[TRIBUTOS S/ LUCRO]]+Tabela1107[[#This Row],[OUTROS]]+Tabela1107[[#This Row],[SC]]</f>
        <v>36.74</v>
      </c>
      <c r="BI229" s="97">
        <f>+Tabela1107[[#This Row],[PIS]]+Tabela1107[[#This Row],[COFINS]]+Tabela1107[[#This Row],[CONTRIB. FOLHA]]+Tabela1107[[#This Row],[TRIBUTOS S/ LUCRO]]+Tabela1107[[#This Row],[OUTROS]]+Tabela1107[[#This Row],[RS]]</f>
        <v>36.74</v>
      </c>
      <c r="BJ229" s="97">
        <f>+Tabela1107[[#This Row],[PIS]]+Tabela1107[[#This Row],[COFINS]]+Tabela1107[[#This Row],[CONTRIB. FOLHA]]+Tabela1107[[#This Row],[TRIBUTOS S/ LUCRO]]+Tabela1107[[#This Row],[OUTROS]]+Tabela1107[[#This Row],[RJ]]</f>
        <v>38.74</v>
      </c>
      <c r="BK229" s="97">
        <f>+Tabela1107[[#This Row],[PIS]]+Tabela1107[[#This Row],[COFINS]]+Tabela1107[[#This Row],[CONTRIB. FOLHA]]+Tabela1107[[#This Row],[TRIBUTOS S/ LUCRO]]+Tabela1107[[#This Row],[OUTROS]]+Tabela1107[[#This Row],[MG]]</f>
        <v>37.74</v>
      </c>
      <c r="BL229" s="97">
        <f>+Tabela1107[[#This Row],[PIS]]+Tabela1107[[#This Row],[COFINS]]+Tabela1107[[#This Row],[CONTRIB. FOLHA]]+Tabela1107[[#This Row],[TRIBUTOS S/ LUCRO]]+Tabela1107[[#This Row],[OUTROS]]+Tabela1107[[#This Row],[ES]]</f>
        <v>36.74</v>
      </c>
      <c r="BM229" s="97">
        <f>+Tabela1107[[#This Row],[PIS]]+Tabela1107[[#This Row],[COFINS]]+Tabela1107[[#This Row],[CONTRIB. FOLHA]]+Tabela1107[[#This Row],[TRIBUTOS S/ LUCRO]]+Tabela1107[[#This Row],[OUTROS]]+Tabela1107[[#This Row],[GO]]</f>
        <v>36.74</v>
      </c>
      <c r="BN229" s="97">
        <f>+Tabela1107[[#This Row],[PIS]]+Tabela1107[[#This Row],[COFINS]]+Tabela1107[[#This Row],[CONTRIB. FOLHA]]+Tabela1107[[#This Row],[TRIBUTOS S/ LUCRO]]+Tabela1107[[#This Row],[OUTROS]]+Tabela1107[[#This Row],[MT]]</f>
        <v>36.74</v>
      </c>
      <c r="BO229" s="97">
        <f>+Tabela1107[[#This Row],[PIS]]+Tabela1107[[#This Row],[COFINS]]+Tabela1107[[#This Row],[CONTRIB. FOLHA]]+Tabela1107[[#This Row],[TRIBUTOS S/ LUCRO]]+Tabela1107[[#This Row],[OUTROS]]+Tabela1107[[#This Row],[MS]]</f>
        <v>36.74</v>
      </c>
      <c r="BP229" s="97">
        <f>+Tabela1107[[#This Row],[PIS]]+Tabela1107[[#This Row],[COFINS]]+Tabela1107[[#This Row],[CONTRIB. FOLHA]]+Tabela1107[[#This Row],[TRIBUTOS S/ LUCRO]]+Tabela1107[[#This Row],[OUTROS]]+Tabela1107[[#This Row],[DF]]</f>
        <v>36.74</v>
      </c>
      <c r="BQ229" s="97">
        <f>+Tabela1107[[#This Row],[PIS]]+Tabela1107[[#This Row],[COFINS]]+Tabela1107[[#This Row],[CONTRIB. FOLHA]]+Tabela1107[[#This Row],[TRIBUTOS S/ LUCRO]]+Tabela1107[[#This Row],[OUTROS]]+Tabela1107[[#This Row],[BA]]</f>
        <v>36.74</v>
      </c>
      <c r="BR229" s="97">
        <f>+Tabela1107[[#This Row],[PIS]]+Tabela1107[[#This Row],[COFINS]]+Tabela1107[[#This Row],[CONTRIB. FOLHA]]+Tabela1107[[#This Row],[TRIBUTOS S/ LUCRO]]+Tabela1107[[#This Row],[OUTROS]]+Tabela1107[[#This Row],[BA]]</f>
        <v>36.74</v>
      </c>
      <c r="BS229" s="97">
        <f>+Tabela1107[[#This Row],[PIS]]+Tabela1107[[#This Row],[COFINS]]+Tabela1107[[#This Row],[CONTRIB. FOLHA]]+Tabela1107[[#This Row],[TRIBUTOS S/ LUCRO]]+Tabela1107[[#This Row],[OUTROS]]+Tabela1107[[#This Row],[PE]]</f>
        <v>36.74</v>
      </c>
      <c r="BT229" s="97">
        <f>+Tabela1107[[#This Row],[PIS]]+Tabela1107[[#This Row],[COFINS]]+Tabela1107[[#This Row],[CONTRIB. FOLHA]]+Tabela1107[[#This Row],[TRIBUTOS S/ LUCRO]]+Tabela1107[[#This Row],[OUTROS]]+Tabela1107[[#This Row],[PA]]</f>
        <v>36.74</v>
      </c>
      <c r="BU229" s="97">
        <f>+Tabela1107[[#This Row],[PIS]]+Tabela1107[[#This Row],[COFINS]]+Tabela1107[[#This Row],[CONTRIB. FOLHA]]+Tabela1107[[#This Row],[TRIBUTOS S/ LUCRO]]+Tabela1107[[#This Row],[OUTROS]]+Tabela1107[[#This Row],[AM]]</f>
        <v>36.74</v>
      </c>
      <c r="BV229" s="97">
        <f>AVERAGE(Tabela1107[[#This Row],[TOTAL SP]:[TOTAL AM]])</f>
        <v>36.677500000000002</v>
      </c>
      <c r="BW229" s="97"/>
      <c r="BX229" s="97"/>
    </row>
    <row r="230" spans="2:76" x14ac:dyDescent="0.25">
      <c r="B230" s="89">
        <v>15920</v>
      </c>
      <c r="C230" s="91" t="s">
        <v>13168</v>
      </c>
      <c r="D230" s="89"/>
      <c r="E230" s="89">
        <v>20140626</v>
      </c>
      <c r="F230" s="89" t="s">
        <v>21542</v>
      </c>
      <c r="G230" s="89" t="s">
        <v>21543</v>
      </c>
      <c r="H230" s="89" t="s">
        <v>21544</v>
      </c>
      <c r="I230" s="89" t="s">
        <v>21545</v>
      </c>
      <c r="J230" s="89" t="s">
        <v>593</v>
      </c>
      <c r="K230" s="89"/>
      <c r="L230" s="89" t="s">
        <v>2786</v>
      </c>
      <c r="M230" s="89" t="s">
        <v>4659</v>
      </c>
      <c r="N230" s="89" t="s">
        <v>4496</v>
      </c>
      <c r="O230" s="89" t="s">
        <v>4496</v>
      </c>
      <c r="P230" s="89" t="s">
        <v>4496</v>
      </c>
      <c r="Q230" s="89"/>
      <c r="R230" s="89" t="s">
        <v>8</v>
      </c>
      <c r="S230" s="89" t="s">
        <v>21704</v>
      </c>
      <c r="T230" s="89" t="s">
        <v>21705</v>
      </c>
      <c r="U230" s="89" t="str">
        <f>TRIM('Carga Tributária doenças Po (2'!$L230)</f>
        <v>LORATADINA</v>
      </c>
      <c r="V230" s="89">
        <f>SUMIFS('Tabela Federal'!$E$4:$E$2069,'Tabela Federal'!$D$4:$D$2069,'Carga Tributária doenças Po (2'!$L230)</f>
        <v>0</v>
      </c>
      <c r="W230" s="89">
        <f>SUMIFS('Tabela Federal'!$E$4:$E$2069,'Tabela Federal'!$D$4:$D$2069,'Carga Tributária doenças Po (2'!$M230)</f>
        <v>0</v>
      </c>
      <c r="X230" s="89">
        <f>SUMIFS('Tabela Federal'!$E$4:$E$2069,'Tabela Federal'!$D$4:$D$2069,'Carga Tributária doenças Po (2'!$N230)</f>
        <v>0</v>
      </c>
      <c r="Y230" s="89">
        <f>SUMIFS('Tabela Federal'!$E$4:$E$2069,'Tabela Federal'!$D$4:$D$2069,'Carga Tributária doenças Po (2'!$O230)</f>
        <v>0</v>
      </c>
      <c r="Z230" s="92" t="str">
        <f>VLOOKUP('Carga Tributária doenças Po (2'!$AD230,'Carga Tributária doenças Po (2'!$CA$12:$CC$16,2,0)</f>
        <v>-</v>
      </c>
      <c r="AA230" s="89" t="s">
        <v>226</v>
      </c>
      <c r="AB230" s="89" t="s">
        <v>21724</v>
      </c>
      <c r="AC230" s="89" t="s">
        <v>21721</v>
      </c>
      <c r="AD230" s="93" t="s">
        <v>19523</v>
      </c>
      <c r="AE230" s="92" t="s">
        <v>4</v>
      </c>
      <c r="AF230" s="92" t="s">
        <v>3</v>
      </c>
      <c r="AG230" s="94">
        <v>647773</v>
      </c>
      <c r="AH230" s="95">
        <v>7177502</v>
      </c>
      <c r="AI230" s="95">
        <v>16340847.5</v>
      </c>
      <c r="AJ230" s="89" t="s">
        <v>589</v>
      </c>
      <c r="AK230" s="89">
        <f>IF('Carga Tributária doenças Po (2'!$Z230="+",0,SUMIFS(PISCOFINS!$I$3:$I$10518,PISCOFINS!$C$3:$C$10518,'Carga Tributária doenças Po (2'!$C230))</f>
        <v>2.1</v>
      </c>
      <c r="AL230" s="89">
        <f>IF('Carga Tributária doenças Po (2'!$Z230="+",0,SUMIFS(PISCOFINS!$H$3:$H$10518,PISCOFINS!$C$3:$C$10518,'Carga Tributária doenças Po (2'!$C230))</f>
        <v>9.9</v>
      </c>
      <c r="AM230" s="95">
        <v>3.27</v>
      </c>
      <c r="AN230" s="95">
        <v>3.12</v>
      </c>
      <c r="AO230" s="95">
        <v>1.35</v>
      </c>
      <c r="AP230" s="96">
        <v>18</v>
      </c>
      <c r="AQ230" s="96">
        <v>12</v>
      </c>
      <c r="AR230" s="96">
        <v>17</v>
      </c>
      <c r="AS230" s="97">
        <v>17</v>
      </c>
      <c r="AT230" s="97">
        <v>19</v>
      </c>
      <c r="AU230" s="97">
        <v>18</v>
      </c>
      <c r="AV230" s="97">
        <v>17</v>
      </c>
      <c r="AW230" s="97">
        <v>17</v>
      </c>
      <c r="AX230" s="97">
        <v>17</v>
      </c>
      <c r="AY230" s="97">
        <v>17</v>
      </c>
      <c r="AZ230" s="97">
        <v>17</v>
      </c>
      <c r="BA230" s="97">
        <v>17</v>
      </c>
      <c r="BB230" s="97">
        <v>17</v>
      </c>
      <c r="BC230" s="97">
        <v>17</v>
      </c>
      <c r="BD230" s="97">
        <v>17</v>
      </c>
      <c r="BE230" s="97">
        <v>17</v>
      </c>
      <c r="BF230" s="97">
        <f>+Tabela1107[[#This Row],[PIS]]+Tabela1107[[#This Row],[COFINS]]+Tabela1107[[#This Row],[CONTRIB. FOLHA]]+Tabela1107[[#This Row],[TRIBUTOS S/ LUCRO]]+Tabela1107[[#This Row],[OUTROS]]+Tabela1107[[#This Row],[SP]]</f>
        <v>37.74</v>
      </c>
      <c r="BG230" s="97">
        <f>+Tabela1107[[#This Row],[PIS]]+Tabela1107[[#This Row],[COFINS]]+Tabela1107[[#This Row],[CONTRIB. FOLHA]]+Tabela1107[[#This Row],[TRIBUTOS S/ LUCRO]]+Tabela1107[[#This Row],[OUTROS]]+Tabela1107[[#This Row],[PR]]</f>
        <v>31.740000000000002</v>
      </c>
      <c r="BH230" s="97">
        <f>+Tabela1107[[#This Row],[PIS]]+Tabela1107[[#This Row],[COFINS]]+Tabela1107[[#This Row],[CONTRIB. FOLHA]]+Tabela1107[[#This Row],[TRIBUTOS S/ LUCRO]]+Tabela1107[[#This Row],[OUTROS]]+Tabela1107[[#This Row],[SC]]</f>
        <v>36.74</v>
      </c>
      <c r="BI230" s="97">
        <f>+Tabela1107[[#This Row],[PIS]]+Tabela1107[[#This Row],[COFINS]]+Tabela1107[[#This Row],[CONTRIB. FOLHA]]+Tabela1107[[#This Row],[TRIBUTOS S/ LUCRO]]+Tabela1107[[#This Row],[OUTROS]]+Tabela1107[[#This Row],[RS]]</f>
        <v>36.74</v>
      </c>
      <c r="BJ230" s="97">
        <f>+Tabela1107[[#This Row],[PIS]]+Tabela1107[[#This Row],[COFINS]]+Tabela1107[[#This Row],[CONTRIB. FOLHA]]+Tabela1107[[#This Row],[TRIBUTOS S/ LUCRO]]+Tabela1107[[#This Row],[OUTROS]]+Tabela1107[[#This Row],[RJ]]</f>
        <v>38.74</v>
      </c>
      <c r="BK230" s="97">
        <f>+Tabela1107[[#This Row],[PIS]]+Tabela1107[[#This Row],[COFINS]]+Tabela1107[[#This Row],[CONTRIB. FOLHA]]+Tabela1107[[#This Row],[TRIBUTOS S/ LUCRO]]+Tabela1107[[#This Row],[OUTROS]]+Tabela1107[[#This Row],[MG]]</f>
        <v>37.74</v>
      </c>
      <c r="BL230" s="97">
        <f>+Tabela1107[[#This Row],[PIS]]+Tabela1107[[#This Row],[COFINS]]+Tabela1107[[#This Row],[CONTRIB. FOLHA]]+Tabela1107[[#This Row],[TRIBUTOS S/ LUCRO]]+Tabela1107[[#This Row],[OUTROS]]+Tabela1107[[#This Row],[ES]]</f>
        <v>36.74</v>
      </c>
      <c r="BM230" s="97">
        <f>+Tabela1107[[#This Row],[PIS]]+Tabela1107[[#This Row],[COFINS]]+Tabela1107[[#This Row],[CONTRIB. FOLHA]]+Tabela1107[[#This Row],[TRIBUTOS S/ LUCRO]]+Tabela1107[[#This Row],[OUTROS]]+Tabela1107[[#This Row],[GO]]</f>
        <v>36.74</v>
      </c>
      <c r="BN230" s="97">
        <f>+Tabela1107[[#This Row],[PIS]]+Tabela1107[[#This Row],[COFINS]]+Tabela1107[[#This Row],[CONTRIB. FOLHA]]+Tabela1107[[#This Row],[TRIBUTOS S/ LUCRO]]+Tabela1107[[#This Row],[OUTROS]]+Tabela1107[[#This Row],[MT]]</f>
        <v>36.74</v>
      </c>
      <c r="BO230" s="97">
        <f>+Tabela1107[[#This Row],[PIS]]+Tabela1107[[#This Row],[COFINS]]+Tabela1107[[#This Row],[CONTRIB. FOLHA]]+Tabela1107[[#This Row],[TRIBUTOS S/ LUCRO]]+Tabela1107[[#This Row],[OUTROS]]+Tabela1107[[#This Row],[MS]]</f>
        <v>36.74</v>
      </c>
      <c r="BP230" s="97">
        <f>+Tabela1107[[#This Row],[PIS]]+Tabela1107[[#This Row],[COFINS]]+Tabela1107[[#This Row],[CONTRIB. FOLHA]]+Tabela1107[[#This Row],[TRIBUTOS S/ LUCRO]]+Tabela1107[[#This Row],[OUTROS]]+Tabela1107[[#This Row],[DF]]</f>
        <v>36.74</v>
      </c>
      <c r="BQ230" s="97">
        <f>+Tabela1107[[#This Row],[PIS]]+Tabela1107[[#This Row],[COFINS]]+Tabela1107[[#This Row],[CONTRIB. FOLHA]]+Tabela1107[[#This Row],[TRIBUTOS S/ LUCRO]]+Tabela1107[[#This Row],[OUTROS]]+Tabela1107[[#This Row],[BA]]</f>
        <v>36.74</v>
      </c>
      <c r="BR230" s="97">
        <f>+Tabela1107[[#This Row],[PIS]]+Tabela1107[[#This Row],[COFINS]]+Tabela1107[[#This Row],[CONTRIB. FOLHA]]+Tabela1107[[#This Row],[TRIBUTOS S/ LUCRO]]+Tabela1107[[#This Row],[OUTROS]]+Tabela1107[[#This Row],[BA]]</f>
        <v>36.74</v>
      </c>
      <c r="BS230" s="97">
        <f>+Tabela1107[[#This Row],[PIS]]+Tabela1107[[#This Row],[COFINS]]+Tabela1107[[#This Row],[CONTRIB. FOLHA]]+Tabela1107[[#This Row],[TRIBUTOS S/ LUCRO]]+Tabela1107[[#This Row],[OUTROS]]+Tabela1107[[#This Row],[PE]]</f>
        <v>36.74</v>
      </c>
      <c r="BT230" s="97">
        <f>+Tabela1107[[#This Row],[PIS]]+Tabela1107[[#This Row],[COFINS]]+Tabela1107[[#This Row],[CONTRIB. FOLHA]]+Tabela1107[[#This Row],[TRIBUTOS S/ LUCRO]]+Tabela1107[[#This Row],[OUTROS]]+Tabela1107[[#This Row],[PA]]</f>
        <v>36.74</v>
      </c>
      <c r="BU230" s="97">
        <f>+Tabela1107[[#This Row],[PIS]]+Tabela1107[[#This Row],[COFINS]]+Tabela1107[[#This Row],[CONTRIB. FOLHA]]+Tabela1107[[#This Row],[TRIBUTOS S/ LUCRO]]+Tabela1107[[#This Row],[OUTROS]]+Tabela1107[[#This Row],[AM]]</f>
        <v>36.74</v>
      </c>
      <c r="BV230" s="97">
        <f>AVERAGE(Tabela1107[[#This Row],[TOTAL SP]:[TOTAL AM]])</f>
        <v>36.677500000000002</v>
      </c>
      <c r="BW230" s="97"/>
      <c r="BX230" s="97"/>
    </row>
    <row r="231" spans="2:76" x14ac:dyDescent="0.25">
      <c r="B231" s="89">
        <v>16741</v>
      </c>
      <c r="C231" s="91" t="s">
        <v>13183</v>
      </c>
      <c r="D231" s="89"/>
      <c r="E231" s="89">
        <v>20140626</v>
      </c>
      <c r="F231" s="89" t="s">
        <v>21124</v>
      </c>
      <c r="G231" s="89" t="s">
        <v>21125</v>
      </c>
      <c r="H231" s="89" t="s">
        <v>21126</v>
      </c>
      <c r="I231" s="89" t="s">
        <v>21123</v>
      </c>
      <c r="J231" s="89" t="s">
        <v>341</v>
      </c>
      <c r="K231" s="89"/>
      <c r="L231" s="89" t="s">
        <v>2634</v>
      </c>
      <c r="M231" s="89" t="s">
        <v>4496</v>
      </c>
      <c r="N231" s="89" t="s">
        <v>4496</v>
      </c>
      <c r="O231" s="89" t="s">
        <v>4496</v>
      </c>
      <c r="P231" s="89" t="s">
        <v>4496</v>
      </c>
      <c r="Q231" s="89"/>
      <c r="R231" s="89" t="s">
        <v>34</v>
      </c>
      <c r="S231" s="89" t="s">
        <v>21670</v>
      </c>
      <c r="T231" s="89" t="s">
        <v>21671</v>
      </c>
      <c r="U231" s="89" t="str">
        <f>TRIM('Carga Tributária doenças Po (2'!$L231)</f>
        <v>MALEATO DE DEXCLORFENIRAMINA</v>
      </c>
      <c r="V231" s="89">
        <f>SUMIFS('Tabela Federal'!$E$4:$E$2069,'Tabela Federal'!$D$4:$D$2069,'Carga Tributária doenças Po (2'!$L231)</f>
        <v>0</v>
      </c>
      <c r="W231" s="89">
        <f>SUMIFS('Tabela Federal'!$E$4:$E$2069,'Tabela Federal'!$D$4:$D$2069,'Carga Tributária doenças Po (2'!$M231)</f>
        <v>0</v>
      </c>
      <c r="X231" s="89">
        <f>SUMIFS('Tabela Federal'!$E$4:$E$2069,'Tabela Federal'!$D$4:$D$2069,'Carga Tributária doenças Po (2'!$N231)</f>
        <v>0</v>
      </c>
      <c r="Y231" s="89">
        <f>SUMIFS('Tabela Federal'!$E$4:$E$2069,'Tabela Federal'!$D$4:$D$2069,'Carga Tributária doenças Po (2'!$O231)</f>
        <v>0</v>
      </c>
      <c r="Z231" s="92" t="str">
        <f>VLOOKUP('Carga Tributária doenças Po (2'!$AD231,'Carga Tributária doenças Po (2'!$CA$12:$CC$16,2,0)</f>
        <v>-</v>
      </c>
      <c r="AA231" s="89" t="s">
        <v>340</v>
      </c>
      <c r="AB231" s="89" t="s">
        <v>21726</v>
      </c>
      <c r="AC231" s="89" t="s">
        <v>21721</v>
      </c>
      <c r="AD231" s="93" t="s">
        <v>19523</v>
      </c>
      <c r="AE231" s="92" t="s">
        <v>4</v>
      </c>
      <c r="AF231" s="92" t="s">
        <v>3</v>
      </c>
      <c r="AG231" s="94">
        <v>4787691</v>
      </c>
      <c r="AH231" s="95">
        <v>17693119</v>
      </c>
      <c r="AI231" s="95">
        <v>40236456</v>
      </c>
      <c r="AJ231" s="89" t="s">
        <v>338</v>
      </c>
      <c r="AK231" s="89">
        <f>IF('Carga Tributária doenças Po (2'!$Z231="+",0,SUMIFS(PISCOFINS!$I$3:$I$10518,PISCOFINS!$C$3:$C$10518,'Carga Tributária doenças Po (2'!$C231))</f>
        <v>2.1</v>
      </c>
      <c r="AL231" s="89">
        <f>IF('Carga Tributária doenças Po (2'!$Z231="+",0,SUMIFS(PISCOFINS!$H$3:$H$10518,PISCOFINS!$C$3:$C$10518,'Carga Tributária doenças Po (2'!$C231))</f>
        <v>9.9</v>
      </c>
      <c r="AM231" s="95">
        <v>3.27</v>
      </c>
      <c r="AN231" s="95">
        <v>3.12</v>
      </c>
      <c r="AO231" s="95">
        <v>1.35</v>
      </c>
      <c r="AP231" s="96">
        <v>18</v>
      </c>
      <c r="AQ231" s="96">
        <v>12</v>
      </c>
      <c r="AR231" s="96">
        <v>17</v>
      </c>
      <c r="AS231" s="97">
        <v>17</v>
      </c>
      <c r="AT231" s="97">
        <v>19</v>
      </c>
      <c r="AU231" s="97">
        <v>18</v>
      </c>
      <c r="AV231" s="97">
        <v>17</v>
      </c>
      <c r="AW231" s="97">
        <v>17</v>
      </c>
      <c r="AX231" s="97">
        <v>17</v>
      </c>
      <c r="AY231" s="97">
        <v>17</v>
      </c>
      <c r="AZ231" s="97">
        <v>17</v>
      </c>
      <c r="BA231" s="97">
        <v>17</v>
      </c>
      <c r="BB231" s="97">
        <v>17</v>
      </c>
      <c r="BC231" s="97">
        <v>17</v>
      </c>
      <c r="BD231" s="97">
        <v>17</v>
      </c>
      <c r="BE231" s="97">
        <v>17</v>
      </c>
      <c r="BF231" s="97">
        <f>+Tabela1107[[#This Row],[PIS]]+Tabela1107[[#This Row],[COFINS]]+Tabela1107[[#This Row],[CONTRIB. FOLHA]]+Tabela1107[[#This Row],[TRIBUTOS S/ LUCRO]]+Tabela1107[[#This Row],[OUTROS]]+Tabela1107[[#This Row],[SP]]</f>
        <v>37.74</v>
      </c>
      <c r="BG231" s="97">
        <f>+Tabela1107[[#This Row],[PIS]]+Tabela1107[[#This Row],[COFINS]]+Tabela1107[[#This Row],[CONTRIB. FOLHA]]+Tabela1107[[#This Row],[TRIBUTOS S/ LUCRO]]+Tabela1107[[#This Row],[OUTROS]]+Tabela1107[[#This Row],[PR]]</f>
        <v>31.740000000000002</v>
      </c>
      <c r="BH231" s="97">
        <f>+Tabela1107[[#This Row],[PIS]]+Tabela1107[[#This Row],[COFINS]]+Tabela1107[[#This Row],[CONTRIB. FOLHA]]+Tabela1107[[#This Row],[TRIBUTOS S/ LUCRO]]+Tabela1107[[#This Row],[OUTROS]]+Tabela1107[[#This Row],[SC]]</f>
        <v>36.74</v>
      </c>
      <c r="BI231" s="97">
        <f>+Tabela1107[[#This Row],[PIS]]+Tabela1107[[#This Row],[COFINS]]+Tabela1107[[#This Row],[CONTRIB. FOLHA]]+Tabela1107[[#This Row],[TRIBUTOS S/ LUCRO]]+Tabela1107[[#This Row],[OUTROS]]+Tabela1107[[#This Row],[RS]]</f>
        <v>36.74</v>
      </c>
      <c r="BJ231" s="97">
        <f>+Tabela1107[[#This Row],[PIS]]+Tabela1107[[#This Row],[COFINS]]+Tabela1107[[#This Row],[CONTRIB. FOLHA]]+Tabela1107[[#This Row],[TRIBUTOS S/ LUCRO]]+Tabela1107[[#This Row],[OUTROS]]+Tabela1107[[#This Row],[RJ]]</f>
        <v>38.74</v>
      </c>
      <c r="BK231" s="97">
        <f>+Tabela1107[[#This Row],[PIS]]+Tabela1107[[#This Row],[COFINS]]+Tabela1107[[#This Row],[CONTRIB. FOLHA]]+Tabela1107[[#This Row],[TRIBUTOS S/ LUCRO]]+Tabela1107[[#This Row],[OUTROS]]+Tabela1107[[#This Row],[MG]]</f>
        <v>37.74</v>
      </c>
      <c r="BL231" s="97">
        <f>+Tabela1107[[#This Row],[PIS]]+Tabela1107[[#This Row],[COFINS]]+Tabela1107[[#This Row],[CONTRIB. FOLHA]]+Tabela1107[[#This Row],[TRIBUTOS S/ LUCRO]]+Tabela1107[[#This Row],[OUTROS]]+Tabela1107[[#This Row],[ES]]</f>
        <v>36.74</v>
      </c>
      <c r="BM231" s="97">
        <f>+Tabela1107[[#This Row],[PIS]]+Tabela1107[[#This Row],[COFINS]]+Tabela1107[[#This Row],[CONTRIB. FOLHA]]+Tabela1107[[#This Row],[TRIBUTOS S/ LUCRO]]+Tabela1107[[#This Row],[OUTROS]]+Tabela1107[[#This Row],[GO]]</f>
        <v>36.74</v>
      </c>
      <c r="BN231" s="97">
        <f>+Tabela1107[[#This Row],[PIS]]+Tabela1107[[#This Row],[COFINS]]+Tabela1107[[#This Row],[CONTRIB. FOLHA]]+Tabela1107[[#This Row],[TRIBUTOS S/ LUCRO]]+Tabela1107[[#This Row],[OUTROS]]+Tabela1107[[#This Row],[MT]]</f>
        <v>36.74</v>
      </c>
      <c r="BO231" s="97">
        <f>+Tabela1107[[#This Row],[PIS]]+Tabela1107[[#This Row],[COFINS]]+Tabela1107[[#This Row],[CONTRIB. FOLHA]]+Tabela1107[[#This Row],[TRIBUTOS S/ LUCRO]]+Tabela1107[[#This Row],[OUTROS]]+Tabela1107[[#This Row],[MS]]</f>
        <v>36.74</v>
      </c>
      <c r="BP231" s="97">
        <f>+Tabela1107[[#This Row],[PIS]]+Tabela1107[[#This Row],[COFINS]]+Tabela1107[[#This Row],[CONTRIB. FOLHA]]+Tabela1107[[#This Row],[TRIBUTOS S/ LUCRO]]+Tabela1107[[#This Row],[OUTROS]]+Tabela1107[[#This Row],[DF]]</f>
        <v>36.74</v>
      </c>
      <c r="BQ231" s="97">
        <f>+Tabela1107[[#This Row],[PIS]]+Tabela1107[[#This Row],[COFINS]]+Tabela1107[[#This Row],[CONTRIB. FOLHA]]+Tabela1107[[#This Row],[TRIBUTOS S/ LUCRO]]+Tabela1107[[#This Row],[OUTROS]]+Tabela1107[[#This Row],[BA]]</f>
        <v>36.74</v>
      </c>
      <c r="BR231" s="97">
        <f>+Tabela1107[[#This Row],[PIS]]+Tabela1107[[#This Row],[COFINS]]+Tabela1107[[#This Row],[CONTRIB. FOLHA]]+Tabela1107[[#This Row],[TRIBUTOS S/ LUCRO]]+Tabela1107[[#This Row],[OUTROS]]+Tabela1107[[#This Row],[BA]]</f>
        <v>36.74</v>
      </c>
      <c r="BS231" s="97">
        <f>+Tabela1107[[#This Row],[PIS]]+Tabela1107[[#This Row],[COFINS]]+Tabela1107[[#This Row],[CONTRIB. FOLHA]]+Tabela1107[[#This Row],[TRIBUTOS S/ LUCRO]]+Tabela1107[[#This Row],[OUTROS]]+Tabela1107[[#This Row],[PE]]</f>
        <v>36.74</v>
      </c>
      <c r="BT231" s="97">
        <f>+Tabela1107[[#This Row],[PIS]]+Tabela1107[[#This Row],[COFINS]]+Tabela1107[[#This Row],[CONTRIB. FOLHA]]+Tabela1107[[#This Row],[TRIBUTOS S/ LUCRO]]+Tabela1107[[#This Row],[OUTROS]]+Tabela1107[[#This Row],[PA]]</f>
        <v>36.74</v>
      </c>
      <c r="BU231" s="97">
        <f>+Tabela1107[[#This Row],[PIS]]+Tabela1107[[#This Row],[COFINS]]+Tabela1107[[#This Row],[CONTRIB. FOLHA]]+Tabela1107[[#This Row],[TRIBUTOS S/ LUCRO]]+Tabela1107[[#This Row],[OUTROS]]+Tabela1107[[#This Row],[AM]]</f>
        <v>36.74</v>
      </c>
      <c r="BV231" s="97">
        <f>AVERAGE(Tabela1107[[#This Row],[TOTAL SP]:[TOTAL AM]])</f>
        <v>36.677500000000002</v>
      </c>
      <c r="BW231" s="97"/>
      <c r="BX231" s="97"/>
    </row>
    <row r="232" spans="2:76" x14ac:dyDescent="0.25">
      <c r="B232" s="89">
        <v>16742</v>
      </c>
      <c r="C232" s="91" t="s">
        <v>13183</v>
      </c>
      <c r="D232" s="89"/>
      <c r="E232" s="89">
        <v>20140626</v>
      </c>
      <c r="F232" s="89" t="s">
        <v>21120</v>
      </c>
      <c r="G232" s="89" t="s">
        <v>21121</v>
      </c>
      <c r="H232" s="89" t="s">
        <v>21122</v>
      </c>
      <c r="I232" s="89" t="s">
        <v>21123</v>
      </c>
      <c r="J232" s="89" t="s">
        <v>339</v>
      </c>
      <c r="K232" s="89"/>
      <c r="L232" s="89" t="s">
        <v>2634</v>
      </c>
      <c r="M232" s="89" t="s">
        <v>4496</v>
      </c>
      <c r="N232" s="89" t="s">
        <v>4496</v>
      </c>
      <c r="O232" s="89" t="s">
        <v>4496</v>
      </c>
      <c r="P232" s="89" t="s">
        <v>4496</v>
      </c>
      <c r="Q232" s="89"/>
      <c r="R232" s="89" t="s">
        <v>34</v>
      </c>
      <c r="S232" s="89" t="s">
        <v>21670</v>
      </c>
      <c r="T232" s="89" t="s">
        <v>21671</v>
      </c>
      <c r="U232" s="89" t="str">
        <f>TRIM('Carga Tributária doenças Po (2'!$L232)</f>
        <v>MALEATO DE DEXCLORFENIRAMINA</v>
      </c>
      <c r="V232" s="89">
        <f>SUMIFS('Tabela Federal'!$E$4:$E$2069,'Tabela Federal'!$D$4:$D$2069,'Carga Tributária doenças Po (2'!$L232)</f>
        <v>0</v>
      </c>
      <c r="W232" s="89">
        <f>SUMIFS('Tabela Federal'!$E$4:$E$2069,'Tabela Federal'!$D$4:$D$2069,'Carga Tributária doenças Po (2'!$M232)</f>
        <v>0</v>
      </c>
      <c r="X232" s="89">
        <f>SUMIFS('Tabela Federal'!$E$4:$E$2069,'Tabela Federal'!$D$4:$D$2069,'Carga Tributária doenças Po (2'!$N232)</f>
        <v>0</v>
      </c>
      <c r="Y232" s="89">
        <f>SUMIFS('Tabela Federal'!$E$4:$E$2069,'Tabela Federal'!$D$4:$D$2069,'Carga Tributária doenças Po (2'!$O232)</f>
        <v>0</v>
      </c>
      <c r="Z232" s="92" t="str">
        <f>VLOOKUP('Carga Tributária doenças Po (2'!$AD232,'Carga Tributária doenças Po (2'!$CA$12:$CC$16,2,0)</f>
        <v>-</v>
      </c>
      <c r="AA232" s="89" t="s">
        <v>340</v>
      </c>
      <c r="AB232" s="89" t="s">
        <v>21726</v>
      </c>
      <c r="AC232" s="89" t="s">
        <v>21721</v>
      </c>
      <c r="AD232" s="93" t="s">
        <v>19523</v>
      </c>
      <c r="AE232" s="92" t="s">
        <v>4</v>
      </c>
      <c r="AF232" s="92" t="s">
        <v>3</v>
      </c>
      <c r="AG232" s="94">
        <v>5330434</v>
      </c>
      <c r="AH232" s="95">
        <v>12718216</v>
      </c>
      <c r="AI232" s="95">
        <v>29000546.920000002</v>
      </c>
      <c r="AJ232" s="89" t="s">
        <v>338</v>
      </c>
      <c r="AK232" s="89">
        <f>IF('Carga Tributária doenças Po (2'!$Z232="+",0,SUMIFS(PISCOFINS!$I$3:$I$10518,PISCOFINS!$C$3:$C$10518,'Carga Tributária doenças Po (2'!$C232))</f>
        <v>2.1</v>
      </c>
      <c r="AL232" s="89">
        <f>IF('Carga Tributária doenças Po (2'!$Z232="+",0,SUMIFS(PISCOFINS!$H$3:$H$10518,PISCOFINS!$C$3:$C$10518,'Carga Tributária doenças Po (2'!$C232))</f>
        <v>9.9</v>
      </c>
      <c r="AM232" s="95">
        <v>3.27</v>
      </c>
      <c r="AN232" s="95">
        <v>3.12</v>
      </c>
      <c r="AO232" s="95">
        <v>1.35</v>
      </c>
      <c r="AP232" s="96">
        <v>18</v>
      </c>
      <c r="AQ232" s="96">
        <v>12</v>
      </c>
      <c r="AR232" s="96">
        <v>17</v>
      </c>
      <c r="AS232" s="97">
        <v>17</v>
      </c>
      <c r="AT232" s="97">
        <v>19</v>
      </c>
      <c r="AU232" s="97">
        <v>18</v>
      </c>
      <c r="AV232" s="97">
        <v>17</v>
      </c>
      <c r="AW232" s="97">
        <v>17</v>
      </c>
      <c r="AX232" s="97">
        <v>17</v>
      </c>
      <c r="AY232" s="97">
        <v>17</v>
      </c>
      <c r="AZ232" s="97">
        <v>17</v>
      </c>
      <c r="BA232" s="97">
        <v>17</v>
      </c>
      <c r="BB232" s="97">
        <v>17</v>
      </c>
      <c r="BC232" s="97">
        <v>17</v>
      </c>
      <c r="BD232" s="97">
        <v>17</v>
      </c>
      <c r="BE232" s="97">
        <v>17</v>
      </c>
      <c r="BF232" s="97">
        <f>+Tabela1107[[#This Row],[PIS]]+Tabela1107[[#This Row],[COFINS]]+Tabela1107[[#This Row],[CONTRIB. FOLHA]]+Tabela1107[[#This Row],[TRIBUTOS S/ LUCRO]]+Tabela1107[[#This Row],[OUTROS]]+Tabela1107[[#This Row],[SP]]</f>
        <v>37.74</v>
      </c>
      <c r="BG232" s="97">
        <f>+Tabela1107[[#This Row],[PIS]]+Tabela1107[[#This Row],[COFINS]]+Tabela1107[[#This Row],[CONTRIB. FOLHA]]+Tabela1107[[#This Row],[TRIBUTOS S/ LUCRO]]+Tabela1107[[#This Row],[OUTROS]]+Tabela1107[[#This Row],[PR]]</f>
        <v>31.740000000000002</v>
      </c>
      <c r="BH232" s="97">
        <f>+Tabela1107[[#This Row],[PIS]]+Tabela1107[[#This Row],[COFINS]]+Tabela1107[[#This Row],[CONTRIB. FOLHA]]+Tabela1107[[#This Row],[TRIBUTOS S/ LUCRO]]+Tabela1107[[#This Row],[OUTROS]]+Tabela1107[[#This Row],[SC]]</f>
        <v>36.74</v>
      </c>
      <c r="BI232" s="97">
        <f>+Tabela1107[[#This Row],[PIS]]+Tabela1107[[#This Row],[COFINS]]+Tabela1107[[#This Row],[CONTRIB. FOLHA]]+Tabela1107[[#This Row],[TRIBUTOS S/ LUCRO]]+Tabela1107[[#This Row],[OUTROS]]+Tabela1107[[#This Row],[RS]]</f>
        <v>36.74</v>
      </c>
      <c r="BJ232" s="97">
        <f>+Tabela1107[[#This Row],[PIS]]+Tabela1107[[#This Row],[COFINS]]+Tabela1107[[#This Row],[CONTRIB. FOLHA]]+Tabela1107[[#This Row],[TRIBUTOS S/ LUCRO]]+Tabela1107[[#This Row],[OUTROS]]+Tabela1107[[#This Row],[RJ]]</f>
        <v>38.74</v>
      </c>
      <c r="BK232" s="97">
        <f>+Tabela1107[[#This Row],[PIS]]+Tabela1107[[#This Row],[COFINS]]+Tabela1107[[#This Row],[CONTRIB. FOLHA]]+Tabela1107[[#This Row],[TRIBUTOS S/ LUCRO]]+Tabela1107[[#This Row],[OUTROS]]+Tabela1107[[#This Row],[MG]]</f>
        <v>37.74</v>
      </c>
      <c r="BL232" s="97">
        <f>+Tabela1107[[#This Row],[PIS]]+Tabela1107[[#This Row],[COFINS]]+Tabela1107[[#This Row],[CONTRIB. FOLHA]]+Tabela1107[[#This Row],[TRIBUTOS S/ LUCRO]]+Tabela1107[[#This Row],[OUTROS]]+Tabela1107[[#This Row],[ES]]</f>
        <v>36.74</v>
      </c>
      <c r="BM232" s="97">
        <f>+Tabela1107[[#This Row],[PIS]]+Tabela1107[[#This Row],[COFINS]]+Tabela1107[[#This Row],[CONTRIB. FOLHA]]+Tabela1107[[#This Row],[TRIBUTOS S/ LUCRO]]+Tabela1107[[#This Row],[OUTROS]]+Tabela1107[[#This Row],[GO]]</f>
        <v>36.74</v>
      </c>
      <c r="BN232" s="97">
        <f>+Tabela1107[[#This Row],[PIS]]+Tabela1107[[#This Row],[COFINS]]+Tabela1107[[#This Row],[CONTRIB. FOLHA]]+Tabela1107[[#This Row],[TRIBUTOS S/ LUCRO]]+Tabela1107[[#This Row],[OUTROS]]+Tabela1107[[#This Row],[MT]]</f>
        <v>36.74</v>
      </c>
      <c r="BO232" s="97">
        <f>+Tabela1107[[#This Row],[PIS]]+Tabela1107[[#This Row],[COFINS]]+Tabela1107[[#This Row],[CONTRIB. FOLHA]]+Tabela1107[[#This Row],[TRIBUTOS S/ LUCRO]]+Tabela1107[[#This Row],[OUTROS]]+Tabela1107[[#This Row],[MS]]</f>
        <v>36.74</v>
      </c>
      <c r="BP232" s="97">
        <f>+Tabela1107[[#This Row],[PIS]]+Tabela1107[[#This Row],[COFINS]]+Tabela1107[[#This Row],[CONTRIB. FOLHA]]+Tabela1107[[#This Row],[TRIBUTOS S/ LUCRO]]+Tabela1107[[#This Row],[OUTROS]]+Tabela1107[[#This Row],[DF]]</f>
        <v>36.74</v>
      </c>
      <c r="BQ232" s="97">
        <f>+Tabela1107[[#This Row],[PIS]]+Tabela1107[[#This Row],[COFINS]]+Tabela1107[[#This Row],[CONTRIB. FOLHA]]+Tabela1107[[#This Row],[TRIBUTOS S/ LUCRO]]+Tabela1107[[#This Row],[OUTROS]]+Tabela1107[[#This Row],[BA]]</f>
        <v>36.74</v>
      </c>
      <c r="BR232" s="97">
        <f>+Tabela1107[[#This Row],[PIS]]+Tabela1107[[#This Row],[COFINS]]+Tabela1107[[#This Row],[CONTRIB. FOLHA]]+Tabela1107[[#This Row],[TRIBUTOS S/ LUCRO]]+Tabela1107[[#This Row],[OUTROS]]+Tabela1107[[#This Row],[BA]]</f>
        <v>36.74</v>
      </c>
      <c r="BS232" s="97">
        <f>+Tabela1107[[#This Row],[PIS]]+Tabela1107[[#This Row],[COFINS]]+Tabela1107[[#This Row],[CONTRIB. FOLHA]]+Tabela1107[[#This Row],[TRIBUTOS S/ LUCRO]]+Tabela1107[[#This Row],[OUTROS]]+Tabela1107[[#This Row],[PE]]</f>
        <v>36.74</v>
      </c>
      <c r="BT232" s="97">
        <f>+Tabela1107[[#This Row],[PIS]]+Tabela1107[[#This Row],[COFINS]]+Tabela1107[[#This Row],[CONTRIB. FOLHA]]+Tabela1107[[#This Row],[TRIBUTOS S/ LUCRO]]+Tabela1107[[#This Row],[OUTROS]]+Tabela1107[[#This Row],[PA]]</f>
        <v>36.74</v>
      </c>
      <c r="BU232" s="97">
        <f>+Tabela1107[[#This Row],[PIS]]+Tabela1107[[#This Row],[COFINS]]+Tabela1107[[#This Row],[CONTRIB. FOLHA]]+Tabela1107[[#This Row],[TRIBUTOS S/ LUCRO]]+Tabela1107[[#This Row],[OUTROS]]+Tabela1107[[#This Row],[AM]]</f>
        <v>36.74</v>
      </c>
      <c r="BV232" s="97">
        <f>AVERAGE(Tabela1107[[#This Row],[TOTAL SP]:[TOTAL AM]])</f>
        <v>36.677500000000002</v>
      </c>
      <c r="BW232" s="97"/>
      <c r="BX232" s="97"/>
    </row>
    <row r="233" spans="2:76" x14ac:dyDescent="0.25">
      <c r="B233" s="89">
        <v>13636</v>
      </c>
      <c r="C233" s="91" t="s">
        <v>13072</v>
      </c>
      <c r="D233" s="89"/>
      <c r="E233" s="89">
        <v>20140626</v>
      </c>
      <c r="F233" s="89" t="s">
        <v>20963</v>
      </c>
      <c r="G233" s="89" t="s">
        <v>20964</v>
      </c>
      <c r="H233" s="89" t="s">
        <v>20965</v>
      </c>
      <c r="I233" s="89" t="s">
        <v>20962</v>
      </c>
      <c r="J233" s="89" t="s">
        <v>119</v>
      </c>
      <c r="K233" s="89"/>
      <c r="L233" s="89" t="s">
        <v>2671</v>
      </c>
      <c r="M233" s="89" t="s">
        <v>4496</v>
      </c>
      <c r="N233" s="89" t="s">
        <v>4496</v>
      </c>
      <c r="O233" s="89" t="s">
        <v>4496</v>
      </c>
      <c r="P233" s="89" t="s">
        <v>4496</v>
      </c>
      <c r="Q233" s="89"/>
      <c r="R233" s="89" t="s">
        <v>114</v>
      </c>
      <c r="S233" s="89" t="s">
        <v>21642</v>
      </c>
      <c r="T233" s="89" t="s">
        <v>21643</v>
      </c>
      <c r="U233" s="89" t="str">
        <f>TRIM('Carga Tributária doenças Po (2'!$L233)</f>
        <v>INSULINA HUMANA</v>
      </c>
      <c r="V233" s="89">
        <f>SUMIFS('Tabela Federal'!$E$4:$E$2069,'Tabela Federal'!$D$4:$D$2069,'Carga Tributária doenças Po (2'!$L233)</f>
        <v>1</v>
      </c>
      <c r="W233" s="89">
        <f>SUMIFS('Tabela Federal'!$E$4:$E$2069,'Tabela Federal'!$D$4:$D$2069,'Carga Tributária doenças Po (2'!$M233)</f>
        <v>0</v>
      </c>
      <c r="X233" s="89">
        <f>SUMIFS('Tabela Federal'!$E$4:$E$2069,'Tabela Federal'!$D$4:$D$2069,'Carga Tributária doenças Po (2'!$N233)</f>
        <v>0</v>
      </c>
      <c r="Y233" s="89">
        <f>SUMIFS('Tabela Federal'!$E$4:$E$2069,'Tabela Federal'!$D$4:$D$2069,'Carga Tributária doenças Po (2'!$O233)</f>
        <v>0</v>
      </c>
      <c r="Z233" s="92" t="str">
        <f>VLOOKUP('Carga Tributária doenças Po (2'!$AD233,'Carga Tributária doenças Po (2'!$CA$12:$CC$16,2,0)</f>
        <v>+</v>
      </c>
      <c r="AA233" s="89" t="s">
        <v>113</v>
      </c>
      <c r="AB233" s="89" t="s">
        <v>21782</v>
      </c>
      <c r="AC233" s="89" t="s">
        <v>21721</v>
      </c>
      <c r="AD233" s="93" t="s">
        <v>21722</v>
      </c>
      <c r="AE233" s="92" t="s">
        <v>2</v>
      </c>
      <c r="AF233" s="92" t="s">
        <v>23</v>
      </c>
      <c r="AG233" s="94">
        <v>827057</v>
      </c>
      <c r="AH233" s="95">
        <v>13939787</v>
      </c>
      <c r="AI233" s="95">
        <v>31836964.140000001</v>
      </c>
      <c r="AJ233" s="89" t="s">
        <v>127</v>
      </c>
      <c r="AK233" s="89">
        <f>IF('Carga Tributária doenças Po (2'!$Z233="+",0,SUMIFS(PISCOFINS!$I$3:$I$10518,PISCOFINS!$C$3:$C$10518,'Carga Tributária doenças Po (2'!$C233))</f>
        <v>0</v>
      </c>
      <c r="AL233" s="89">
        <f>IF('Carga Tributária doenças Po (2'!$Z233="+",0,SUMIFS(PISCOFINS!$H$3:$H$10518,PISCOFINS!$C$3:$C$10518,'Carga Tributária doenças Po (2'!$C233))</f>
        <v>0</v>
      </c>
      <c r="AM233" s="95">
        <v>3.27</v>
      </c>
      <c r="AN233" s="95">
        <v>3.12</v>
      </c>
      <c r="AO233" s="95">
        <v>1.35</v>
      </c>
      <c r="AP233" s="96">
        <v>18</v>
      </c>
      <c r="AQ233" s="96">
        <v>12</v>
      </c>
      <c r="AR233" s="96">
        <v>17</v>
      </c>
      <c r="AS233" s="97">
        <v>17</v>
      </c>
      <c r="AT233" s="97">
        <v>19</v>
      </c>
      <c r="AU233" s="97">
        <v>18</v>
      </c>
      <c r="AV233" s="97">
        <v>17</v>
      </c>
      <c r="AW233" s="97">
        <v>17</v>
      </c>
      <c r="AX233" s="97">
        <v>17</v>
      </c>
      <c r="AY233" s="97">
        <v>17</v>
      </c>
      <c r="AZ233" s="97">
        <v>17</v>
      </c>
      <c r="BA233" s="97">
        <v>17</v>
      </c>
      <c r="BB233" s="97">
        <v>17</v>
      </c>
      <c r="BC233" s="97">
        <v>17</v>
      </c>
      <c r="BD233" s="97">
        <v>17</v>
      </c>
      <c r="BE233" s="97">
        <v>17</v>
      </c>
      <c r="BF233" s="97">
        <f>+Tabela1107[[#This Row],[PIS]]+Tabela1107[[#This Row],[COFINS]]+Tabela1107[[#This Row],[CONTRIB. FOLHA]]+Tabela1107[[#This Row],[TRIBUTOS S/ LUCRO]]+Tabela1107[[#This Row],[OUTROS]]+Tabela1107[[#This Row],[SP]]</f>
        <v>25.740000000000002</v>
      </c>
      <c r="BG233" s="97">
        <f>+Tabela1107[[#This Row],[PIS]]+Tabela1107[[#This Row],[COFINS]]+Tabela1107[[#This Row],[CONTRIB. FOLHA]]+Tabela1107[[#This Row],[TRIBUTOS S/ LUCRO]]+Tabela1107[[#This Row],[OUTROS]]+Tabela1107[[#This Row],[PR]]</f>
        <v>19.740000000000002</v>
      </c>
      <c r="BH233" s="97">
        <f>+Tabela1107[[#This Row],[PIS]]+Tabela1107[[#This Row],[COFINS]]+Tabela1107[[#This Row],[CONTRIB. FOLHA]]+Tabela1107[[#This Row],[TRIBUTOS S/ LUCRO]]+Tabela1107[[#This Row],[OUTROS]]+Tabela1107[[#This Row],[SC]]</f>
        <v>24.740000000000002</v>
      </c>
      <c r="BI233" s="97">
        <f>+Tabela1107[[#This Row],[PIS]]+Tabela1107[[#This Row],[COFINS]]+Tabela1107[[#This Row],[CONTRIB. FOLHA]]+Tabela1107[[#This Row],[TRIBUTOS S/ LUCRO]]+Tabela1107[[#This Row],[OUTROS]]+Tabela1107[[#This Row],[RS]]</f>
        <v>24.740000000000002</v>
      </c>
      <c r="BJ233" s="97">
        <f>+Tabela1107[[#This Row],[PIS]]+Tabela1107[[#This Row],[COFINS]]+Tabela1107[[#This Row],[CONTRIB. FOLHA]]+Tabela1107[[#This Row],[TRIBUTOS S/ LUCRO]]+Tabela1107[[#This Row],[OUTROS]]+Tabela1107[[#This Row],[RJ]]</f>
        <v>26.740000000000002</v>
      </c>
      <c r="BK233" s="97">
        <f>+Tabela1107[[#This Row],[PIS]]+Tabela1107[[#This Row],[COFINS]]+Tabela1107[[#This Row],[CONTRIB. FOLHA]]+Tabela1107[[#This Row],[TRIBUTOS S/ LUCRO]]+Tabela1107[[#This Row],[OUTROS]]+Tabela1107[[#This Row],[MG]]</f>
        <v>25.740000000000002</v>
      </c>
      <c r="BL233" s="97">
        <f>+Tabela1107[[#This Row],[PIS]]+Tabela1107[[#This Row],[COFINS]]+Tabela1107[[#This Row],[CONTRIB. FOLHA]]+Tabela1107[[#This Row],[TRIBUTOS S/ LUCRO]]+Tabela1107[[#This Row],[OUTROS]]+Tabela1107[[#This Row],[ES]]</f>
        <v>24.740000000000002</v>
      </c>
      <c r="BM233" s="97">
        <f>+Tabela1107[[#This Row],[PIS]]+Tabela1107[[#This Row],[COFINS]]+Tabela1107[[#This Row],[CONTRIB. FOLHA]]+Tabela1107[[#This Row],[TRIBUTOS S/ LUCRO]]+Tabela1107[[#This Row],[OUTROS]]+Tabela1107[[#This Row],[GO]]</f>
        <v>24.740000000000002</v>
      </c>
      <c r="BN233" s="97">
        <f>+Tabela1107[[#This Row],[PIS]]+Tabela1107[[#This Row],[COFINS]]+Tabela1107[[#This Row],[CONTRIB. FOLHA]]+Tabela1107[[#This Row],[TRIBUTOS S/ LUCRO]]+Tabela1107[[#This Row],[OUTROS]]+Tabela1107[[#This Row],[MT]]</f>
        <v>24.740000000000002</v>
      </c>
      <c r="BO233" s="97">
        <f>+Tabela1107[[#This Row],[PIS]]+Tabela1107[[#This Row],[COFINS]]+Tabela1107[[#This Row],[CONTRIB. FOLHA]]+Tabela1107[[#This Row],[TRIBUTOS S/ LUCRO]]+Tabela1107[[#This Row],[OUTROS]]+Tabela1107[[#This Row],[MS]]</f>
        <v>24.740000000000002</v>
      </c>
      <c r="BP233" s="97">
        <f>+Tabela1107[[#This Row],[PIS]]+Tabela1107[[#This Row],[COFINS]]+Tabela1107[[#This Row],[CONTRIB. FOLHA]]+Tabela1107[[#This Row],[TRIBUTOS S/ LUCRO]]+Tabela1107[[#This Row],[OUTROS]]+Tabela1107[[#This Row],[DF]]</f>
        <v>24.740000000000002</v>
      </c>
      <c r="BQ233" s="97">
        <f>+Tabela1107[[#This Row],[PIS]]+Tabela1107[[#This Row],[COFINS]]+Tabela1107[[#This Row],[CONTRIB. FOLHA]]+Tabela1107[[#This Row],[TRIBUTOS S/ LUCRO]]+Tabela1107[[#This Row],[OUTROS]]+Tabela1107[[#This Row],[BA]]</f>
        <v>24.740000000000002</v>
      </c>
      <c r="BR233" s="97">
        <f>+Tabela1107[[#This Row],[PIS]]+Tabela1107[[#This Row],[COFINS]]+Tabela1107[[#This Row],[CONTRIB. FOLHA]]+Tabela1107[[#This Row],[TRIBUTOS S/ LUCRO]]+Tabela1107[[#This Row],[OUTROS]]+Tabela1107[[#This Row],[BA]]</f>
        <v>24.740000000000002</v>
      </c>
      <c r="BS233" s="97">
        <f>+Tabela1107[[#This Row],[PIS]]+Tabela1107[[#This Row],[COFINS]]+Tabela1107[[#This Row],[CONTRIB. FOLHA]]+Tabela1107[[#This Row],[TRIBUTOS S/ LUCRO]]+Tabela1107[[#This Row],[OUTROS]]+Tabela1107[[#This Row],[PE]]</f>
        <v>24.740000000000002</v>
      </c>
      <c r="BT233" s="97">
        <f>+Tabela1107[[#This Row],[PIS]]+Tabela1107[[#This Row],[COFINS]]+Tabela1107[[#This Row],[CONTRIB. FOLHA]]+Tabela1107[[#This Row],[TRIBUTOS S/ LUCRO]]+Tabela1107[[#This Row],[OUTROS]]+Tabela1107[[#This Row],[PA]]</f>
        <v>24.740000000000002</v>
      </c>
      <c r="BU233" s="97">
        <f>+Tabela1107[[#This Row],[PIS]]+Tabela1107[[#This Row],[COFINS]]+Tabela1107[[#This Row],[CONTRIB. FOLHA]]+Tabela1107[[#This Row],[TRIBUTOS S/ LUCRO]]+Tabela1107[[#This Row],[OUTROS]]+Tabela1107[[#This Row],[AM]]</f>
        <v>24.740000000000002</v>
      </c>
      <c r="BV233" s="97">
        <f>AVERAGE(Tabela1107[[#This Row],[TOTAL SP]:[TOTAL AM]])</f>
        <v>24.677500000000006</v>
      </c>
      <c r="BW233" s="97"/>
      <c r="BX233" s="97"/>
    </row>
    <row r="234" spans="2:76" x14ac:dyDescent="0.25">
      <c r="B234" s="89">
        <v>13639</v>
      </c>
      <c r="C234" s="91" t="s">
        <v>13072</v>
      </c>
      <c r="D234" s="89"/>
      <c r="E234" s="89">
        <v>20140626</v>
      </c>
      <c r="F234" s="89" t="s">
        <v>20959</v>
      </c>
      <c r="G234" s="89" t="s">
        <v>20960</v>
      </c>
      <c r="H234" s="89" t="s">
        <v>20961</v>
      </c>
      <c r="I234" s="89" t="s">
        <v>20962</v>
      </c>
      <c r="J234" s="89" t="s">
        <v>112</v>
      </c>
      <c r="K234" s="89"/>
      <c r="L234" s="89" t="s">
        <v>2671</v>
      </c>
      <c r="M234" s="89" t="s">
        <v>4496</v>
      </c>
      <c r="N234" s="89" t="s">
        <v>4496</v>
      </c>
      <c r="O234" s="89" t="s">
        <v>4496</v>
      </c>
      <c r="P234" s="89" t="s">
        <v>4496</v>
      </c>
      <c r="Q234" s="89"/>
      <c r="R234" s="89" t="s">
        <v>114</v>
      </c>
      <c r="S234" s="89" t="s">
        <v>21642</v>
      </c>
      <c r="T234" s="89" t="s">
        <v>21643</v>
      </c>
      <c r="U234" s="89" t="str">
        <f>TRIM('Carga Tributária doenças Po (2'!$L234)</f>
        <v>INSULINA HUMANA</v>
      </c>
      <c r="V234" s="89">
        <f>SUMIFS('Tabela Federal'!$E$4:$E$2069,'Tabela Federal'!$D$4:$D$2069,'Carga Tributária doenças Po (2'!$L234)</f>
        <v>1</v>
      </c>
      <c r="W234" s="89">
        <f>SUMIFS('Tabela Federal'!$E$4:$E$2069,'Tabela Federal'!$D$4:$D$2069,'Carga Tributária doenças Po (2'!$M234)</f>
        <v>0</v>
      </c>
      <c r="X234" s="89">
        <f>SUMIFS('Tabela Federal'!$E$4:$E$2069,'Tabela Federal'!$D$4:$D$2069,'Carga Tributária doenças Po (2'!$N234)</f>
        <v>0</v>
      </c>
      <c r="Y234" s="89">
        <f>SUMIFS('Tabela Federal'!$E$4:$E$2069,'Tabela Federal'!$D$4:$D$2069,'Carga Tributária doenças Po (2'!$O234)</f>
        <v>0</v>
      </c>
      <c r="Z234" s="92" t="str">
        <f>VLOOKUP('Carga Tributária doenças Po (2'!$AD234,'Carga Tributária doenças Po (2'!$CA$12:$CC$16,2,0)</f>
        <v>+</v>
      </c>
      <c r="AA234" s="89" t="s">
        <v>113</v>
      </c>
      <c r="AB234" s="89" t="s">
        <v>21782</v>
      </c>
      <c r="AC234" s="89" t="s">
        <v>21721</v>
      </c>
      <c r="AD234" s="93" t="s">
        <v>21722</v>
      </c>
      <c r="AE234" s="92" t="s">
        <v>2</v>
      </c>
      <c r="AF234" s="92" t="s">
        <v>23</v>
      </c>
      <c r="AG234" s="94">
        <v>1791790</v>
      </c>
      <c r="AH234" s="95">
        <v>28023337</v>
      </c>
      <c r="AI234" s="95">
        <v>63929131.700000003</v>
      </c>
      <c r="AJ234" s="89" t="s">
        <v>127</v>
      </c>
      <c r="AK234" s="89">
        <f>IF('Carga Tributária doenças Po (2'!$Z234="+",0,SUMIFS(PISCOFINS!$I$3:$I$10518,PISCOFINS!$C$3:$C$10518,'Carga Tributária doenças Po (2'!$C234))</f>
        <v>0</v>
      </c>
      <c r="AL234" s="89">
        <f>IF('Carga Tributária doenças Po (2'!$Z234="+",0,SUMIFS(PISCOFINS!$H$3:$H$10518,PISCOFINS!$C$3:$C$10518,'Carga Tributária doenças Po (2'!$C234))</f>
        <v>0</v>
      </c>
      <c r="AM234" s="95">
        <v>3.27</v>
      </c>
      <c r="AN234" s="95">
        <v>3.12</v>
      </c>
      <c r="AO234" s="95">
        <v>1.35</v>
      </c>
      <c r="AP234" s="96">
        <v>18</v>
      </c>
      <c r="AQ234" s="96">
        <v>12</v>
      </c>
      <c r="AR234" s="96">
        <v>17</v>
      </c>
      <c r="AS234" s="97">
        <v>17</v>
      </c>
      <c r="AT234" s="97">
        <v>19</v>
      </c>
      <c r="AU234" s="97">
        <v>18</v>
      </c>
      <c r="AV234" s="97">
        <v>17</v>
      </c>
      <c r="AW234" s="97">
        <v>17</v>
      </c>
      <c r="AX234" s="97">
        <v>17</v>
      </c>
      <c r="AY234" s="97">
        <v>17</v>
      </c>
      <c r="AZ234" s="97">
        <v>17</v>
      </c>
      <c r="BA234" s="97">
        <v>17</v>
      </c>
      <c r="BB234" s="97">
        <v>17</v>
      </c>
      <c r="BC234" s="97">
        <v>17</v>
      </c>
      <c r="BD234" s="97">
        <v>17</v>
      </c>
      <c r="BE234" s="97">
        <v>17</v>
      </c>
      <c r="BF234" s="97">
        <f>+Tabela1107[[#This Row],[PIS]]+Tabela1107[[#This Row],[COFINS]]+Tabela1107[[#This Row],[CONTRIB. FOLHA]]+Tabela1107[[#This Row],[TRIBUTOS S/ LUCRO]]+Tabela1107[[#This Row],[OUTROS]]+Tabela1107[[#This Row],[SP]]</f>
        <v>25.740000000000002</v>
      </c>
      <c r="BG234" s="97">
        <f>+Tabela1107[[#This Row],[PIS]]+Tabela1107[[#This Row],[COFINS]]+Tabela1107[[#This Row],[CONTRIB. FOLHA]]+Tabela1107[[#This Row],[TRIBUTOS S/ LUCRO]]+Tabela1107[[#This Row],[OUTROS]]+Tabela1107[[#This Row],[PR]]</f>
        <v>19.740000000000002</v>
      </c>
      <c r="BH234" s="97">
        <f>+Tabela1107[[#This Row],[PIS]]+Tabela1107[[#This Row],[COFINS]]+Tabela1107[[#This Row],[CONTRIB. FOLHA]]+Tabela1107[[#This Row],[TRIBUTOS S/ LUCRO]]+Tabela1107[[#This Row],[OUTROS]]+Tabela1107[[#This Row],[SC]]</f>
        <v>24.740000000000002</v>
      </c>
      <c r="BI234" s="97">
        <f>+Tabela1107[[#This Row],[PIS]]+Tabela1107[[#This Row],[COFINS]]+Tabela1107[[#This Row],[CONTRIB. FOLHA]]+Tabela1107[[#This Row],[TRIBUTOS S/ LUCRO]]+Tabela1107[[#This Row],[OUTROS]]+Tabela1107[[#This Row],[RS]]</f>
        <v>24.740000000000002</v>
      </c>
      <c r="BJ234" s="97">
        <f>+Tabela1107[[#This Row],[PIS]]+Tabela1107[[#This Row],[COFINS]]+Tabela1107[[#This Row],[CONTRIB. FOLHA]]+Tabela1107[[#This Row],[TRIBUTOS S/ LUCRO]]+Tabela1107[[#This Row],[OUTROS]]+Tabela1107[[#This Row],[RJ]]</f>
        <v>26.740000000000002</v>
      </c>
      <c r="BK234" s="97">
        <f>+Tabela1107[[#This Row],[PIS]]+Tabela1107[[#This Row],[COFINS]]+Tabela1107[[#This Row],[CONTRIB. FOLHA]]+Tabela1107[[#This Row],[TRIBUTOS S/ LUCRO]]+Tabela1107[[#This Row],[OUTROS]]+Tabela1107[[#This Row],[MG]]</f>
        <v>25.740000000000002</v>
      </c>
      <c r="BL234" s="97">
        <f>+Tabela1107[[#This Row],[PIS]]+Tabela1107[[#This Row],[COFINS]]+Tabela1107[[#This Row],[CONTRIB. FOLHA]]+Tabela1107[[#This Row],[TRIBUTOS S/ LUCRO]]+Tabela1107[[#This Row],[OUTROS]]+Tabela1107[[#This Row],[ES]]</f>
        <v>24.740000000000002</v>
      </c>
      <c r="BM234" s="97">
        <f>+Tabela1107[[#This Row],[PIS]]+Tabela1107[[#This Row],[COFINS]]+Tabela1107[[#This Row],[CONTRIB. FOLHA]]+Tabela1107[[#This Row],[TRIBUTOS S/ LUCRO]]+Tabela1107[[#This Row],[OUTROS]]+Tabela1107[[#This Row],[GO]]</f>
        <v>24.740000000000002</v>
      </c>
      <c r="BN234" s="97">
        <f>+Tabela1107[[#This Row],[PIS]]+Tabela1107[[#This Row],[COFINS]]+Tabela1107[[#This Row],[CONTRIB. FOLHA]]+Tabela1107[[#This Row],[TRIBUTOS S/ LUCRO]]+Tabela1107[[#This Row],[OUTROS]]+Tabela1107[[#This Row],[MT]]</f>
        <v>24.740000000000002</v>
      </c>
      <c r="BO234" s="97">
        <f>+Tabela1107[[#This Row],[PIS]]+Tabela1107[[#This Row],[COFINS]]+Tabela1107[[#This Row],[CONTRIB. FOLHA]]+Tabela1107[[#This Row],[TRIBUTOS S/ LUCRO]]+Tabela1107[[#This Row],[OUTROS]]+Tabela1107[[#This Row],[MS]]</f>
        <v>24.740000000000002</v>
      </c>
      <c r="BP234" s="97">
        <f>+Tabela1107[[#This Row],[PIS]]+Tabela1107[[#This Row],[COFINS]]+Tabela1107[[#This Row],[CONTRIB. FOLHA]]+Tabela1107[[#This Row],[TRIBUTOS S/ LUCRO]]+Tabela1107[[#This Row],[OUTROS]]+Tabela1107[[#This Row],[DF]]</f>
        <v>24.740000000000002</v>
      </c>
      <c r="BQ234" s="97">
        <f>+Tabela1107[[#This Row],[PIS]]+Tabela1107[[#This Row],[COFINS]]+Tabela1107[[#This Row],[CONTRIB. FOLHA]]+Tabela1107[[#This Row],[TRIBUTOS S/ LUCRO]]+Tabela1107[[#This Row],[OUTROS]]+Tabela1107[[#This Row],[BA]]</f>
        <v>24.740000000000002</v>
      </c>
      <c r="BR234" s="97">
        <f>+Tabela1107[[#This Row],[PIS]]+Tabela1107[[#This Row],[COFINS]]+Tabela1107[[#This Row],[CONTRIB. FOLHA]]+Tabela1107[[#This Row],[TRIBUTOS S/ LUCRO]]+Tabela1107[[#This Row],[OUTROS]]+Tabela1107[[#This Row],[BA]]</f>
        <v>24.740000000000002</v>
      </c>
      <c r="BS234" s="97">
        <f>+Tabela1107[[#This Row],[PIS]]+Tabela1107[[#This Row],[COFINS]]+Tabela1107[[#This Row],[CONTRIB. FOLHA]]+Tabela1107[[#This Row],[TRIBUTOS S/ LUCRO]]+Tabela1107[[#This Row],[OUTROS]]+Tabela1107[[#This Row],[PE]]</f>
        <v>24.740000000000002</v>
      </c>
      <c r="BT234" s="97">
        <f>+Tabela1107[[#This Row],[PIS]]+Tabela1107[[#This Row],[COFINS]]+Tabela1107[[#This Row],[CONTRIB. FOLHA]]+Tabela1107[[#This Row],[TRIBUTOS S/ LUCRO]]+Tabela1107[[#This Row],[OUTROS]]+Tabela1107[[#This Row],[PA]]</f>
        <v>24.740000000000002</v>
      </c>
      <c r="BU234" s="97">
        <f>+Tabela1107[[#This Row],[PIS]]+Tabela1107[[#This Row],[COFINS]]+Tabela1107[[#This Row],[CONTRIB. FOLHA]]+Tabela1107[[#This Row],[TRIBUTOS S/ LUCRO]]+Tabela1107[[#This Row],[OUTROS]]+Tabela1107[[#This Row],[AM]]</f>
        <v>24.740000000000002</v>
      </c>
      <c r="BV234" s="97">
        <f>AVERAGE(Tabela1107[[#This Row],[TOTAL SP]:[TOTAL AM]])</f>
        <v>24.677500000000006</v>
      </c>
      <c r="BW234" s="97"/>
      <c r="BX234" s="97"/>
    </row>
    <row r="235" spans="2:76" x14ac:dyDescent="0.25">
      <c r="B235" s="89">
        <v>15481</v>
      </c>
      <c r="C235" s="91" t="s">
        <v>13142</v>
      </c>
      <c r="D235" s="89"/>
      <c r="E235" s="89">
        <v>20140626</v>
      </c>
      <c r="F235" s="89" t="s">
        <v>21546</v>
      </c>
      <c r="G235" s="89" t="s">
        <v>21547</v>
      </c>
      <c r="H235" s="89" t="s">
        <v>21548</v>
      </c>
      <c r="I235" s="89" t="s">
        <v>21549</v>
      </c>
      <c r="J235" s="89" t="s">
        <v>295</v>
      </c>
      <c r="K235" s="89"/>
      <c r="L235" s="89" t="s">
        <v>3176</v>
      </c>
      <c r="M235" s="89" t="s">
        <v>4179</v>
      </c>
      <c r="N235" s="89" t="s">
        <v>4496</v>
      </c>
      <c r="O235" s="89" t="s">
        <v>4496</v>
      </c>
      <c r="P235" s="89" t="s">
        <v>4496</v>
      </c>
      <c r="Q235" s="89"/>
      <c r="R235" s="89" t="s">
        <v>8</v>
      </c>
      <c r="S235" s="89" t="s">
        <v>21704</v>
      </c>
      <c r="T235" s="89" t="s">
        <v>21705</v>
      </c>
      <c r="U235" s="89" t="str">
        <f>TRIM('Carga Tributária doenças Po (2'!$L235)</f>
        <v>CLOBUTINOL</v>
      </c>
      <c r="V235" s="89">
        <f>SUMIFS('Tabela Federal'!$E$4:$E$2069,'Tabela Federal'!$D$4:$D$2069,'Carga Tributária doenças Po (2'!$L235)</f>
        <v>0</v>
      </c>
      <c r="W235" s="89">
        <f>SUMIFS('Tabela Federal'!$E$4:$E$2069,'Tabela Federal'!$D$4:$D$2069,'Carga Tributária doenças Po (2'!$M235)</f>
        <v>0</v>
      </c>
      <c r="X235" s="89">
        <f>SUMIFS('Tabela Federal'!$E$4:$E$2069,'Tabela Federal'!$D$4:$D$2069,'Carga Tributária doenças Po (2'!$N235)</f>
        <v>0</v>
      </c>
      <c r="Y235" s="89">
        <f>SUMIFS('Tabela Federal'!$E$4:$E$2069,'Tabela Federal'!$D$4:$D$2069,'Carga Tributária doenças Po (2'!$O235)</f>
        <v>0</v>
      </c>
      <c r="Z235" s="92" t="str">
        <f>VLOOKUP('Carga Tributária doenças Po (2'!$AD235,'Carga Tributária doenças Po (2'!$CA$12:$CC$16,2,0)</f>
        <v>-</v>
      </c>
      <c r="AA235" s="89" t="s">
        <v>296</v>
      </c>
      <c r="AB235" s="89" t="s">
        <v>21887</v>
      </c>
      <c r="AC235" s="89" t="s">
        <v>21721</v>
      </c>
      <c r="AD235" s="93" t="s">
        <v>19523</v>
      </c>
      <c r="AE235" s="92" t="s">
        <v>4</v>
      </c>
      <c r="AF235" s="92" t="s">
        <v>3</v>
      </c>
      <c r="AG235" s="94">
        <v>1593825</v>
      </c>
      <c r="AH235" s="95">
        <v>9117104</v>
      </c>
      <c r="AI235" s="95">
        <v>20646454.620000001</v>
      </c>
      <c r="AJ235" s="89" t="s">
        <v>286</v>
      </c>
      <c r="AK235" s="89">
        <f>IF('Carga Tributária doenças Po (2'!$Z235="+",0,SUMIFS(PISCOFINS!$I$3:$I$10518,PISCOFINS!$C$3:$C$10518,'Carga Tributária doenças Po (2'!$C235))</f>
        <v>2.1</v>
      </c>
      <c r="AL235" s="89">
        <f>IF('Carga Tributária doenças Po (2'!$Z235="+",0,SUMIFS(PISCOFINS!$H$3:$H$10518,PISCOFINS!$C$3:$C$10518,'Carga Tributária doenças Po (2'!$C235))</f>
        <v>9.9</v>
      </c>
      <c r="AM235" s="95">
        <v>3.27</v>
      </c>
      <c r="AN235" s="95">
        <v>3.12</v>
      </c>
      <c r="AO235" s="95">
        <v>1.35</v>
      </c>
      <c r="AP235" s="96">
        <v>18</v>
      </c>
      <c r="AQ235" s="96">
        <v>12</v>
      </c>
      <c r="AR235" s="96">
        <v>17</v>
      </c>
      <c r="AS235" s="97">
        <v>17</v>
      </c>
      <c r="AT235" s="97">
        <v>19</v>
      </c>
      <c r="AU235" s="97">
        <v>18</v>
      </c>
      <c r="AV235" s="97">
        <v>17</v>
      </c>
      <c r="AW235" s="97">
        <v>17</v>
      </c>
      <c r="AX235" s="97">
        <v>17</v>
      </c>
      <c r="AY235" s="97">
        <v>17</v>
      </c>
      <c r="AZ235" s="97">
        <v>17</v>
      </c>
      <c r="BA235" s="97">
        <v>17</v>
      </c>
      <c r="BB235" s="97">
        <v>17</v>
      </c>
      <c r="BC235" s="97">
        <v>17</v>
      </c>
      <c r="BD235" s="97">
        <v>17</v>
      </c>
      <c r="BE235" s="97">
        <v>17</v>
      </c>
      <c r="BF235" s="97">
        <f>+Tabela1107[[#This Row],[PIS]]+Tabela1107[[#This Row],[COFINS]]+Tabela1107[[#This Row],[CONTRIB. FOLHA]]+Tabela1107[[#This Row],[TRIBUTOS S/ LUCRO]]+Tabela1107[[#This Row],[OUTROS]]+Tabela1107[[#This Row],[SP]]</f>
        <v>37.74</v>
      </c>
      <c r="BG235" s="97">
        <f>+Tabela1107[[#This Row],[PIS]]+Tabela1107[[#This Row],[COFINS]]+Tabela1107[[#This Row],[CONTRIB. FOLHA]]+Tabela1107[[#This Row],[TRIBUTOS S/ LUCRO]]+Tabela1107[[#This Row],[OUTROS]]+Tabela1107[[#This Row],[PR]]</f>
        <v>31.740000000000002</v>
      </c>
      <c r="BH235" s="97">
        <f>+Tabela1107[[#This Row],[PIS]]+Tabela1107[[#This Row],[COFINS]]+Tabela1107[[#This Row],[CONTRIB. FOLHA]]+Tabela1107[[#This Row],[TRIBUTOS S/ LUCRO]]+Tabela1107[[#This Row],[OUTROS]]+Tabela1107[[#This Row],[SC]]</f>
        <v>36.74</v>
      </c>
      <c r="BI235" s="97">
        <f>+Tabela1107[[#This Row],[PIS]]+Tabela1107[[#This Row],[COFINS]]+Tabela1107[[#This Row],[CONTRIB. FOLHA]]+Tabela1107[[#This Row],[TRIBUTOS S/ LUCRO]]+Tabela1107[[#This Row],[OUTROS]]+Tabela1107[[#This Row],[RS]]</f>
        <v>36.74</v>
      </c>
      <c r="BJ235" s="97">
        <f>+Tabela1107[[#This Row],[PIS]]+Tabela1107[[#This Row],[COFINS]]+Tabela1107[[#This Row],[CONTRIB. FOLHA]]+Tabela1107[[#This Row],[TRIBUTOS S/ LUCRO]]+Tabela1107[[#This Row],[OUTROS]]+Tabela1107[[#This Row],[RJ]]</f>
        <v>38.74</v>
      </c>
      <c r="BK235" s="97">
        <f>+Tabela1107[[#This Row],[PIS]]+Tabela1107[[#This Row],[COFINS]]+Tabela1107[[#This Row],[CONTRIB. FOLHA]]+Tabela1107[[#This Row],[TRIBUTOS S/ LUCRO]]+Tabela1107[[#This Row],[OUTROS]]+Tabela1107[[#This Row],[MG]]</f>
        <v>37.74</v>
      </c>
      <c r="BL235" s="97">
        <f>+Tabela1107[[#This Row],[PIS]]+Tabela1107[[#This Row],[COFINS]]+Tabela1107[[#This Row],[CONTRIB. FOLHA]]+Tabela1107[[#This Row],[TRIBUTOS S/ LUCRO]]+Tabela1107[[#This Row],[OUTROS]]+Tabela1107[[#This Row],[ES]]</f>
        <v>36.74</v>
      </c>
      <c r="BM235" s="97">
        <f>+Tabela1107[[#This Row],[PIS]]+Tabela1107[[#This Row],[COFINS]]+Tabela1107[[#This Row],[CONTRIB. FOLHA]]+Tabela1107[[#This Row],[TRIBUTOS S/ LUCRO]]+Tabela1107[[#This Row],[OUTROS]]+Tabela1107[[#This Row],[GO]]</f>
        <v>36.74</v>
      </c>
      <c r="BN235" s="97">
        <f>+Tabela1107[[#This Row],[PIS]]+Tabela1107[[#This Row],[COFINS]]+Tabela1107[[#This Row],[CONTRIB. FOLHA]]+Tabela1107[[#This Row],[TRIBUTOS S/ LUCRO]]+Tabela1107[[#This Row],[OUTROS]]+Tabela1107[[#This Row],[MT]]</f>
        <v>36.74</v>
      </c>
      <c r="BO235" s="97">
        <f>+Tabela1107[[#This Row],[PIS]]+Tabela1107[[#This Row],[COFINS]]+Tabela1107[[#This Row],[CONTRIB. FOLHA]]+Tabela1107[[#This Row],[TRIBUTOS S/ LUCRO]]+Tabela1107[[#This Row],[OUTROS]]+Tabela1107[[#This Row],[MS]]</f>
        <v>36.74</v>
      </c>
      <c r="BP235" s="97">
        <f>+Tabela1107[[#This Row],[PIS]]+Tabela1107[[#This Row],[COFINS]]+Tabela1107[[#This Row],[CONTRIB. FOLHA]]+Tabela1107[[#This Row],[TRIBUTOS S/ LUCRO]]+Tabela1107[[#This Row],[OUTROS]]+Tabela1107[[#This Row],[DF]]</f>
        <v>36.74</v>
      </c>
      <c r="BQ235" s="97">
        <f>+Tabela1107[[#This Row],[PIS]]+Tabela1107[[#This Row],[COFINS]]+Tabela1107[[#This Row],[CONTRIB. FOLHA]]+Tabela1107[[#This Row],[TRIBUTOS S/ LUCRO]]+Tabela1107[[#This Row],[OUTROS]]+Tabela1107[[#This Row],[BA]]</f>
        <v>36.74</v>
      </c>
      <c r="BR235" s="97">
        <f>+Tabela1107[[#This Row],[PIS]]+Tabela1107[[#This Row],[COFINS]]+Tabela1107[[#This Row],[CONTRIB. FOLHA]]+Tabela1107[[#This Row],[TRIBUTOS S/ LUCRO]]+Tabela1107[[#This Row],[OUTROS]]+Tabela1107[[#This Row],[BA]]</f>
        <v>36.74</v>
      </c>
      <c r="BS235" s="97">
        <f>+Tabela1107[[#This Row],[PIS]]+Tabela1107[[#This Row],[COFINS]]+Tabela1107[[#This Row],[CONTRIB. FOLHA]]+Tabela1107[[#This Row],[TRIBUTOS S/ LUCRO]]+Tabela1107[[#This Row],[OUTROS]]+Tabela1107[[#This Row],[PE]]</f>
        <v>36.74</v>
      </c>
      <c r="BT235" s="97">
        <f>+Tabela1107[[#This Row],[PIS]]+Tabela1107[[#This Row],[COFINS]]+Tabela1107[[#This Row],[CONTRIB. FOLHA]]+Tabela1107[[#This Row],[TRIBUTOS S/ LUCRO]]+Tabela1107[[#This Row],[OUTROS]]+Tabela1107[[#This Row],[PA]]</f>
        <v>36.74</v>
      </c>
      <c r="BU235" s="97">
        <f>+Tabela1107[[#This Row],[PIS]]+Tabela1107[[#This Row],[COFINS]]+Tabela1107[[#This Row],[CONTRIB. FOLHA]]+Tabela1107[[#This Row],[TRIBUTOS S/ LUCRO]]+Tabela1107[[#This Row],[OUTROS]]+Tabela1107[[#This Row],[AM]]</f>
        <v>36.74</v>
      </c>
      <c r="BV235" s="97">
        <f>AVERAGE(Tabela1107[[#This Row],[TOTAL SP]:[TOTAL AM]])</f>
        <v>36.677500000000002</v>
      </c>
      <c r="BW235" s="97"/>
      <c r="BX235" s="97"/>
    </row>
    <row r="236" spans="2:76" x14ac:dyDescent="0.25">
      <c r="B236" s="89">
        <v>12739</v>
      </c>
      <c r="C236" s="91" t="s">
        <v>13183</v>
      </c>
      <c r="D236" s="89"/>
      <c r="E236" s="89">
        <v>20140626</v>
      </c>
      <c r="F236" s="89" t="s">
        <v>21487</v>
      </c>
      <c r="G236" s="66" t="s">
        <v>21842</v>
      </c>
      <c r="H236" s="66" t="s">
        <v>21843</v>
      </c>
      <c r="I236" s="89" t="s">
        <v>21488</v>
      </c>
      <c r="J236" s="89" t="s">
        <v>251</v>
      </c>
      <c r="K236" s="89"/>
      <c r="L236" s="89" t="s">
        <v>2614</v>
      </c>
      <c r="M236" s="89" t="s">
        <v>4496</v>
      </c>
      <c r="N236" s="89" t="s">
        <v>4496</v>
      </c>
      <c r="O236" s="89" t="s">
        <v>4496</v>
      </c>
      <c r="P236" s="89" t="s">
        <v>4496</v>
      </c>
      <c r="Q236" s="89"/>
      <c r="R236" s="89" t="s">
        <v>64</v>
      </c>
      <c r="S236" s="89" t="s">
        <v>21698</v>
      </c>
      <c r="T236" s="89" t="s">
        <v>21699</v>
      </c>
      <c r="U236" s="89" t="str">
        <f>TRIM('Carga Tributária doenças Po (2'!$L236)</f>
        <v>IBUPROFENO</v>
      </c>
      <c r="V236" s="89">
        <f>SUMIFS('Tabela Federal'!$E$4:$E$2069,'Tabela Federal'!$D$4:$D$2069,'Carga Tributária doenças Po (2'!$L236)</f>
        <v>2</v>
      </c>
      <c r="W236" s="89">
        <f>SUMIFS('Tabela Federal'!$E$4:$E$2069,'Tabela Federal'!$D$4:$D$2069,'Carga Tributária doenças Po (2'!$M236)</f>
        <v>0</v>
      </c>
      <c r="X236" s="89">
        <f>SUMIFS('Tabela Federal'!$E$4:$E$2069,'Tabela Federal'!$D$4:$D$2069,'Carga Tributária doenças Po (2'!$N236)</f>
        <v>0</v>
      </c>
      <c r="Y236" s="89">
        <f>SUMIFS('Tabela Federal'!$E$4:$E$2069,'Tabela Federal'!$D$4:$D$2069,'Carga Tributária doenças Po (2'!$O236)</f>
        <v>0</v>
      </c>
      <c r="Z236" s="92" t="str">
        <f>VLOOKUP('Carga Tributária doenças Po (2'!$AD236,'Carga Tributária doenças Po (2'!$CA$12:$CC$16,2,0)</f>
        <v>+</v>
      </c>
      <c r="AA236" s="89" t="s">
        <v>252</v>
      </c>
      <c r="AB236" s="89" t="s">
        <v>21765</v>
      </c>
      <c r="AC236" s="89" t="s">
        <v>21721</v>
      </c>
      <c r="AD236" s="93" t="s">
        <v>21722</v>
      </c>
      <c r="AE236" s="92" t="s">
        <v>2</v>
      </c>
      <c r="AF236" s="92" t="s">
        <v>3</v>
      </c>
      <c r="AG236" s="94">
        <v>3397774</v>
      </c>
      <c r="AH236" s="95">
        <v>21062219</v>
      </c>
      <c r="AI236" s="95">
        <v>48146459.350000001</v>
      </c>
      <c r="AJ236" s="89" t="s">
        <v>250</v>
      </c>
      <c r="AK236" s="89">
        <f>IF('Carga Tributária doenças Po (2'!$Z236="+",0,SUMIFS(PISCOFINS!$I$3:$I$10518,PISCOFINS!$C$3:$C$10518,'Carga Tributária doenças Po (2'!$C236))</f>
        <v>0</v>
      </c>
      <c r="AL236" s="89">
        <f>IF('Carga Tributária doenças Po (2'!$Z236="+",0,SUMIFS(PISCOFINS!$H$3:$H$10518,PISCOFINS!$C$3:$C$10518,'Carga Tributária doenças Po (2'!$C236))</f>
        <v>0</v>
      </c>
      <c r="AM236" s="95">
        <v>3.27</v>
      </c>
      <c r="AN236" s="95">
        <v>3.12</v>
      </c>
      <c r="AO236" s="95">
        <v>1.35</v>
      </c>
      <c r="AP236" s="96">
        <v>18</v>
      </c>
      <c r="AQ236" s="96">
        <v>12</v>
      </c>
      <c r="AR236" s="96">
        <v>17</v>
      </c>
      <c r="AS236" s="97">
        <v>17</v>
      </c>
      <c r="AT236" s="97">
        <v>19</v>
      </c>
      <c r="AU236" s="97">
        <v>18</v>
      </c>
      <c r="AV236" s="97">
        <v>17</v>
      </c>
      <c r="AW236" s="97">
        <v>17</v>
      </c>
      <c r="AX236" s="97">
        <v>17</v>
      </c>
      <c r="AY236" s="97">
        <v>17</v>
      </c>
      <c r="AZ236" s="97">
        <v>17</v>
      </c>
      <c r="BA236" s="97">
        <v>17</v>
      </c>
      <c r="BB236" s="97">
        <v>17</v>
      </c>
      <c r="BC236" s="97">
        <v>17</v>
      </c>
      <c r="BD236" s="97">
        <v>17</v>
      </c>
      <c r="BE236" s="97">
        <v>17</v>
      </c>
      <c r="BF236" s="97">
        <f>+Tabela1107[[#This Row],[PIS]]+Tabela1107[[#This Row],[COFINS]]+Tabela1107[[#This Row],[CONTRIB. FOLHA]]+Tabela1107[[#This Row],[TRIBUTOS S/ LUCRO]]+Tabela1107[[#This Row],[OUTROS]]+Tabela1107[[#This Row],[SP]]</f>
        <v>25.740000000000002</v>
      </c>
      <c r="BG236" s="97">
        <f>+Tabela1107[[#This Row],[PIS]]+Tabela1107[[#This Row],[COFINS]]+Tabela1107[[#This Row],[CONTRIB. FOLHA]]+Tabela1107[[#This Row],[TRIBUTOS S/ LUCRO]]+Tabela1107[[#This Row],[OUTROS]]+Tabela1107[[#This Row],[PR]]</f>
        <v>19.740000000000002</v>
      </c>
      <c r="BH236" s="97">
        <f>+Tabela1107[[#This Row],[PIS]]+Tabela1107[[#This Row],[COFINS]]+Tabela1107[[#This Row],[CONTRIB. FOLHA]]+Tabela1107[[#This Row],[TRIBUTOS S/ LUCRO]]+Tabela1107[[#This Row],[OUTROS]]+Tabela1107[[#This Row],[SC]]</f>
        <v>24.740000000000002</v>
      </c>
      <c r="BI236" s="97">
        <f>+Tabela1107[[#This Row],[PIS]]+Tabela1107[[#This Row],[COFINS]]+Tabela1107[[#This Row],[CONTRIB. FOLHA]]+Tabela1107[[#This Row],[TRIBUTOS S/ LUCRO]]+Tabela1107[[#This Row],[OUTROS]]+Tabela1107[[#This Row],[RS]]</f>
        <v>24.740000000000002</v>
      </c>
      <c r="BJ236" s="97">
        <f>+Tabela1107[[#This Row],[PIS]]+Tabela1107[[#This Row],[COFINS]]+Tabela1107[[#This Row],[CONTRIB. FOLHA]]+Tabela1107[[#This Row],[TRIBUTOS S/ LUCRO]]+Tabela1107[[#This Row],[OUTROS]]+Tabela1107[[#This Row],[RJ]]</f>
        <v>26.740000000000002</v>
      </c>
      <c r="BK236" s="97">
        <f>+Tabela1107[[#This Row],[PIS]]+Tabela1107[[#This Row],[COFINS]]+Tabela1107[[#This Row],[CONTRIB. FOLHA]]+Tabela1107[[#This Row],[TRIBUTOS S/ LUCRO]]+Tabela1107[[#This Row],[OUTROS]]+Tabela1107[[#This Row],[MG]]</f>
        <v>25.740000000000002</v>
      </c>
      <c r="BL236" s="97">
        <f>+Tabela1107[[#This Row],[PIS]]+Tabela1107[[#This Row],[COFINS]]+Tabela1107[[#This Row],[CONTRIB. FOLHA]]+Tabela1107[[#This Row],[TRIBUTOS S/ LUCRO]]+Tabela1107[[#This Row],[OUTROS]]+Tabela1107[[#This Row],[ES]]</f>
        <v>24.740000000000002</v>
      </c>
      <c r="BM236" s="97">
        <f>+Tabela1107[[#This Row],[PIS]]+Tabela1107[[#This Row],[COFINS]]+Tabela1107[[#This Row],[CONTRIB. FOLHA]]+Tabela1107[[#This Row],[TRIBUTOS S/ LUCRO]]+Tabela1107[[#This Row],[OUTROS]]+Tabela1107[[#This Row],[GO]]</f>
        <v>24.740000000000002</v>
      </c>
      <c r="BN236" s="97">
        <f>+Tabela1107[[#This Row],[PIS]]+Tabela1107[[#This Row],[COFINS]]+Tabela1107[[#This Row],[CONTRIB. FOLHA]]+Tabela1107[[#This Row],[TRIBUTOS S/ LUCRO]]+Tabela1107[[#This Row],[OUTROS]]+Tabela1107[[#This Row],[MT]]</f>
        <v>24.740000000000002</v>
      </c>
      <c r="BO236" s="97">
        <f>+Tabela1107[[#This Row],[PIS]]+Tabela1107[[#This Row],[COFINS]]+Tabela1107[[#This Row],[CONTRIB. FOLHA]]+Tabela1107[[#This Row],[TRIBUTOS S/ LUCRO]]+Tabela1107[[#This Row],[OUTROS]]+Tabela1107[[#This Row],[MS]]</f>
        <v>24.740000000000002</v>
      </c>
      <c r="BP236" s="97">
        <f>+Tabela1107[[#This Row],[PIS]]+Tabela1107[[#This Row],[COFINS]]+Tabela1107[[#This Row],[CONTRIB. FOLHA]]+Tabela1107[[#This Row],[TRIBUTOS S/ LUCRO]]+Tabela1107[[#This Row],[OUTROS]]+Tabela1107[[#This Row],[DF]]</f>
        <v>24.740000000000002</v>
      </c>
      <c r="BQ236" s="97">
        <f>+Tabela1107[[#This Row],[PIS]]+Tabela1107[[#This Row],[COFINS]]+Tabela1107[[#This Row],[CONTRIB. FOLHA]]+Tabela1107[[#This Row],[TRIBUTOS S/ LUCRO]]+Tabela1107[[#This Row],[OUTROS]]+Tabela1107[[#This Row],[BA]]</f>
        <v>24.740000000000002</v>
      </c>
      <c r="BR236" s="97">
        <f>+Tabela1107[[#This Row],[PIS]]+Tabela1107[[#This Row],[COFINS]]+Tabela1107[[#This Row],[CONTRIB. FOLHA]]+Tabela1107[[#This Row],[TRIBUTOS S/ LUCRO]]+Tabela1107[[#This Row],[OUTROS]]+Tabela1107[[#This Row],[BA]]</f>
        <v>24.740000000000002</v>
      </c>
      <c r="BS236" s="97">
        <f>+Tabela1107[[#This Row],[PIS]]+Tabela1107[[#This Row],[COFINS]]+Tabela1107[[#This Row],[CONTRIB. FOLHA]]+Tabela1107[[#This Row],[TRIBUTOS S/ LUCRO]]+Tabela1107[[#This Row],[OUTROS]]+Tabela1107[[#This Row],[PE]]</f>
        <v>24.740000000000002</v>
      </c>
      <c r="BT236" s="97">
        <f>+Tabela1107[[#This Row],[PIS]]+Tabela1107[[#This Row],[COFINS]]+Tabela1107[[#This Row],[CONTRIB. FOLHA]]+Tabela1107[[#This Row],[TRIBUTOS S/ LUCRO]]+Tabela1107[[#This Row],[OUTROS]]+Tabela1107[[#This Row],[PA]]</f>
        <v>24.740000000000002</v>
      </c>
      <c r="BU236" s="97">
        <f>+Tabela1107[[#This Row],[PIS]]+Tabela1107[[#This Row],[COFINS]]+Tabela1107[[#This Row],[CONTRIB. FOLHA]]+Tabela1107[[#This Row],[TRIBUTOS S/ LUCRO]]+Tabela1107[[#This Row],[OUTROS]]+Tabela1107[[#This Row],[AM]]</f>
        <v>24.740000000000002</v>
      </c>
      <c r="BV236" s="97">
        <f>AVERAGE(Tabela1107[[#This Row],[TOTAL SP]:[TOTAL AM]])</f>
        <v>24.677500000000006</v>
      </c>
      <c r="BW236" s="97"/>
      <c r="BX236" s="97"/>
    </row>
    <row r="237" spans="2:76" x14ac:dyDescent="0.25">
      <c r="B237" s="89">
        <v>12344</v>
      </c>
      <c r="C237" s="106" t="s">
        <v>13183</v>
      </c>
      <c r="D237" s="89"/>
      <c r="E237" s="89">
        <v>20140626</v>
      </c>
      <c r="F237" s="66" t="s">
        <v>21788</v>
      </c>
      <c r="G237" s="89" t="s">
        <v>21925</v>
      </c>
      <c r="H237" s="98" t="s">
        <v>21936</v>
      </c>
      <c r="I237" s="89" t="s">
        <v>21913</v>
      </c>
      <c r="J237" s="89" t="s">
        <v>21937</v>
      </c>
      <c r="K237" s="89"/>
      <c r="L237" s="89" t="s">
        <v>2651</v>
      </c>
      <c r="M237" s="89" t="s">
        <v>4496</v>
      </c>
      <c r="N237" s="89" t="s">
        <v>4496</v>
      </c>
      <c r="O237" s="89" t="s">
        <v>4496</v>
      </c>
      <c r="P237" s="89" t="s">
        <v>4496</v>
      </c>
      <c r="Q237" s="89"/>
      <c r="R237" s="89" t="s">
        <v>82</v>
      </c>
      <c r="S237" s="89" t="s">
        <v>21634</v>
      </c>
      <c r="T237" s="98" t="s">
        <v>21635</v>
      </c>
      <c r="U237" s="89" t="str">
        <f>TRIM('Carga Tributária doenças Po (2'!$L237)</f>
        <v>CLORIDRATO DE LOPERAMIDA</v>
      </c>
      <c r="V237" s="89">
        <f>SUMIFS('Tabela Federal'!$E$4:$E$2069,'Tabela Federal'!$D$4:$D$2069,'Carga Tributária doenças Po (2'!$L237)</f>
        <v>0</v>
      </c>
      <c r="W237" s="89">
        <f>SUMIFS('Tabela Federal'!$E$4:$E$2069,'Tabela Federal'!$D$4:$D$2069,'Carga Tributária doenças Po (2'!$M237)</f>
        <v>0</v>
      </c>
      <c r="X237" s="89">
        <f>SUMIFS('Tabela Federal'!$E$4:$E$2069,'Tabela Federal'!$D$4:$D$2069,'Carga Tributária doenças Po (2'!$N237)</f>
        <v>0</v>
      </c>
      <c r="Y237" s="89">
        <f>SUMIFS('Tabela Federal'!$E$4:$E$2069,'Tabela Federal'!$D$4:$D$2069,'Carga Tributária doenças Po (2'!$O237)</f>
        <v>0</v>
      </c>
      <c r="Z237" s="92" t="str">
        <f>VLOOKUP('Carga Tributária doenças Po (2'!$AD237,'Carga Tributária doenças Po (2'!$CA$12:$CC$16,2,0)</f>
        <v>-</v>
      </c>
      <c r="AA237" s="89" t="s">
        <v>101</v>
      </c>
      <c r="AB237" s="89" t="s">
        <v>21789</v>
      </c>
      <c r="AC237" s="89" t="s">
        <v>21721</v>
      </c>
      <c r="AD237" s="93" t="s">
        <v>19523</v>
      </c>
      <c r="AE237" s="92" t="s">
        <v>2</v>
      </c>
      <c r="AF237" s="92" t="s">
        <v>23</v>
      </c>
      <c r="AG237" s="94">
        <v>2479287</v>
      </c>
      <c r="AH237" s="95">
        <v>5709785</v>
      </c>
      <c r="AI237" s="95">
        <v>13061610.119999999</v>
      </c>
      <c r="AJ237" s="89" t="s">
        <v>111</v>
      </c>
      <c r="AK237" s="89">
        <f>IF('Carga Tributária doenças Po (2'!$Z237="+",0,SUMIFS(PISCOFINS!$I$3:$I$10518,PISCOFINS!$C$3:$C$10518,'Carga Tributária doenças Po (2'!$C237))</f>
        <v>2.1</v>
      </c>
      <c r="AL237" s="89">
        <f>IF('Carga Tributária doenças Po (2'!$Z237="+",0,SUMIFS(PISCOFINS!$H$3:$H$10518,PISCOFINS!$C$3:$C$10518,'Carga Tributária doenças Po (2'!$C237))</f>
        <v>9.9</v>
      </c>
      <c r="AM237" s="95">
        <v>3.27</v>
      </c>
      <c r="AN237" s="95">
        <v>3.12</v>
      </c>
      <c r="AO237" s="95">
        <v>1.35</v>
      </c>
      <c r="AP237" s="96">
        <v>18</v>
      </c>
      <c r="AQ237" s="96">
        <v>12</v>
      </c>
      <c r="AR237" s="96">
        <v>17</v>
      </c>
      <c r="AS237" s="97">
        <v>17</v>
      </c>
      <c r="AT237" s="97">
        <v>19</v>
      </c>
      <c r="AU237" s="97">
        <v>18</v>
      </c>
      <c r="AV237" s="97">
        <v>17</v>
      </c>
      <c r="AW237" s="97">
        <v>17</v>
      </c>
      <c r="AX237" s="97">
        <v>17</v>
      </c>
      <c r="AY237" s="97">
        <v>17</v>
      </c>
      <c r="AZ237" s="97">
        <v>17</v>
      </c>
      <c r="BA237" s="97">
        <v>17</v>
      </c>
      <c r="BB237" s="97">
        <v>17</v>
      </c>
      <c r="BC237" s="97">
        <v>17</v>
      </c>
      <c r="BD237" s="97">
        <v>17</v>
      </c>
      <c r="BE237" s="97">
        <v>17</v>
      </c>
      <c r="BF237" s="97">
        <f>+Tabela1107[[#This Row],[PIS]]+Tabela1107[[#This Row],[COFINS]]+Tabela1107[[#This Row],[CONTRIB. FOLHA]]+Tabela1107[[#This Row],[TRIBUTOS S/ LUCRO]]+Tabela1107[[#This Row],[OUTROS]]+Tabela1107[[#This Row],[SP]]</f>
        <v>37.74</v>
      </c>
      <c r="BG237" s="97">
        <f>+Tabela1107[[#This Row],[PIS]]+Tabela1107[[#This Row],[COFINS]]+Tabela1107[[#This Row],[CONTRIB. FOLHA]]+Tabela1107[[#This Row],[TRIBUTOS S/ LUCRO]]+Tabela1107[[#This Row],[OUTROS]]+Tabela1107[[#This Row],[PR]]</f>
        <v>31.740000000000002</v>
      </c>
      <c r="BH237" s="97">
        <f>+Tabela1107[[#This Row],[PIS]]+Tabela1107[[#This Row],[COFINS]]+Tabela1107[[#This Row],[CONTRIB. FOLHA]]+Tabela1107[[#This Row],[TRIBUTOS S/ LUCRO]]+Tabela1107[[#This Row],[OUTROS]]+Tabela1107[[#This Row],[SC]]</f>
        <v>36.74</v>
      </c>
      <c r="BI237" s="97">
        <f>+Tabela1107[[#This Row],[PIS]]+Tabela1107[[#This Row],[COFINS]]+Tabela1107[[#This Row],[CONTRIB. FOLHA]]+Tabela1107[[#This Row],[TRIBUTOS S/ LUCRO]]+Tabela1107[[#This Row],[OUTROS]]+Tabela1107[[#This Row],[RS]]</f>
        <v>36.74</v>
      </c>
      <c r="BJ237" s="97">
        <f>+Tabela1107[[#This Row],[PIS]]+Tabela1107[[#This Row],[COFINS]]+Tabela1107[[#This Row],[CONTRIB. FOLHA]]+Tabela1107[[#This Row],[TRIBUTOS S/ LUCRO]]+Tabela1107[[#This Row],[OUTROS]]+Tabela1107[[#This Row],[RJ]]</f>
        <v>38.74</v>
      </c>
      <c r="BK237" s="97">
        <f>+Tabela1107[[#This Row],[PIS]]+Tabela1107[[#This Row],[COFINS]]+Tabela1107[[#This Row],[CONTRIB. FOLHA]]+Tabela1107[[#This Row],[TRIBUTOS S/ LUCRO]]+Tabela1107[[#This Row],[OUTROS]]+Tabela1107[[#This Row],[MG]]</f>
        <v>37.74</v>
      </c>
      <c r="BL237" s="97">
        <f>+Tabela1107[[#This Row],[PIS]]+Tabela1107[[#This Row],[COFINS]]+Tabela1107[[#This Row],[CONTRIB. FOLHA]]+Tabela1107[[#This Row],[TRIBUTOS S/ LUCRO]]+Tabela1107[[#This Row],[OUTROS]]+Tabela1107[[#This Row],[ES]]</f>
        <v>36.74</v>
      </c>
      <c r="BM237" s="97">
        <f>+Tabela1107[[#This Row],[PIS]]+Tabela1107[[#This Row],[COFINS]]+Tabela1107[[#This Row],[CONTRIB. FOLHA]]+Tabela1107[[#This Row],[TRIBUTOS S/ LUCRO]]+Tabela1107[[#This Row],[OUTROS]]+Tabela1107[[#This Row],[GO]]</f>
        <v>36.74</v>
      </c>
      <c r="BN237" s="97">
        <f>+Tabela1107[[#This Row],[PIS]]+Tabela1107[[#This Row],[COFINS]]+Tabela1107[[#This Row],[CONTRIB. FOLHA]]+Tabela1107[[#This Row],[TRIBUTOS S/ LUCRO]]+Tabela1107[[#This Row],[OUTROS]]+Tabela1107[[#This Row],[MT]]</f>
        <v>36.74</v>
      </c>
      <c r="BO237" s="97">
        <f>+Tabela1107[[#This Row],[PIS]]+Tabela1107[[#This Row],[COFINS]]+Tabela1107[[#This Row],[CONTRIB. FOLHA]]+Tabela1107[[#This Row],[TRIBUTOS S/ LUCRO]]+Tabela1107[[#This Row],[OUTROS]]+Tabela1107[[#This Row],[MS]]</f>
        <v>36.74</v>
      </c>
      <c r="BP237" s="97">
        <f>+Tabela1107[[#This Row],[PIS]]+Tabela1107[[#This Row],[COFINS]]+Tabela1107[[#This Row],[CONTRIB. FOLHA]]+Tabela1107[[#This Row],[TRIBUTOS S/ LUCRO]]+Tabela1107[[#This Row],[OUTROS]]+Tabela1107[[#This Row],[DF]]</f>
        <v>36.74</v>
      </c>
      <c r="BQ237" s="97">
        <f>+Tabela1107[[#This Row],[PIS]]+Tabela1107[[#This Row],[COFINS]]+Tabela1107[[#This Row],[CONTRIB. FOLHA]]+Tabela1107[[#This Row],[TRIBUTOS S/ LUCRO]]+Tabela1107[[#This Row],[OUTROS]]+Tabela1107[[#This Row],[BA]]</f>
        <v>36.74</v>
      </c>
      <c r="BR237" s="97">
        <f>+Tabela1107[[#This Row],[PIS]]+Tabela1107[[#This Row],[COFINS]]+Tabela1107[[#This Row],[CONTRIB. FOLHA]]+Tabela1107[[#This Row],[TRIBUTOS S/ LUCRO]]+Tabela1107[[#This Row],[OUTROS]]+Tabela1107[[#This Row],[BA]]</f>
        <v>36.74</v>
      </c>
      <c r="BS237" s="97">
        <f>+Tabela1107[[#This Row],[PIS]]+Tabela1107[[#This Row],[COFINS]]+Tabela1107[[#This Row],[CONTRIB. FOLHA]]+Tabela1107[[#This Row],[TRIBUTOS S/ LUCRO]]+Tabela1107[[#This Row],[OUTROS]]+Tabela1107[[#This Row],[PE]]</f>
        <v>36.74</v>
      </c>
      <c r="BT237" s="97">
        <f>+Tabela1107[[#This Row],[PIS]]+Tabela1107[[#This Row],[COFINS]]+Tabela1107[[#This Row],[CONTRIB. FOLHA]]+Tabela1107[[#This Row],[TRIBUTOS S/ LUCRO]]+Tabela1107[[#This Row],[OUTROS]]+Tabela1107[[#This Row],[PA]]</f>
        <v>36.74</v>
      </c>
      <c r="BU237" s="97">
        <f>+Tabela1107[[#This Row],[PIS]]+Tabela1107[[#This Row],[COFINS]]+Tabela1107[[#This Row],[CONTRIB. FOLHA]]+Tabela1107[[#This Row],[TRIBUTOS S/ LUCRO]]+Tabela1107[[#This Row],[OUTROS]]+Tabela1107[[#This Row],[AM]]</f>
        <v>36.74</v>
      </c>
      <c r="BV237" s="97">
        <f>AVERAGE(Tabela1107[[#This Row],[TOTAL SP]:[TOTAL AM]])</f>
        <v>36.677500000000002</v>
      </c>
      <c r="BW237" s="97"/>
      <c r="BX237" s="97"/>
    </row>
    <row r="238" spans="2:76" x14ac:dyDescent="0.25">
      <c r="B238" s="89">
        <v>2239</v>
      </c>
      <c r="C238" s="91" t="s">
        <v>13152</v>
      </c>
      <c r="D238" s="89"/>
      <c r="E238" s="89">
        <v>20140626</v>
      </c>
      <c r="F238" s="89" t="s">
        <v>20661</v>
      </c>
      <c r="G238" s="89" t="s">
        <v>20662</v>
      </c>
      <c r="H238" s="89" t="s">
        <v>20663</v>
      </c>
      <c r="I238" s="89" t="s">
        <v>20664</v>
      </c>
      <c r="J238" s="89" t="s">
        <v>511</v>
      </c>
      <c r="K238" s="89" t="s">
        <v>2510</v>
      </c>
      <c r="L238" s="89" t="s">
        <v>2663</v>
      </c>
      <c r="M238" s="89" t="s">
        <v>4496</v>
      </c>
      <c r="N238" s="89" t="s">
        <v>4496</v>
      </c>
      <c r="O238" s="89" t="s">
        <v>4496</v>
      </c>
      <c r="P238" s="89" t="s">
        <v>4496</v>
      </c>
      <c r="Q238" s="89"/>
      <c r="R238" s="89" t="s">
        <v>29</v>
      </c>
      <c r="S238" s="89" t="s">
        <v>21618</v>
      </c>
      <c r="T238" s="89" t="s">
        <v>21619</v>
      </c>
      <c r="U238" s="89" t="str">
        <f>TRIM('Carga Tributária doenças Po (2'!$L238)</f>
        <v>DINITRATO DE ISOSSORBIDA</v>
      </c>
      <c r="V238" s="89">
        <f>SUMIFS('Tabela Federal'!$E$4:$E$2069,'Tabela Federal'!$D$4:$D$2069,'Carga Tributária doenças Po (2'!$L238)</f>
        <v>1</v>
      </c>
      <c r="W238" s="89">
        <f>SUMIFS('Tabela Federal'!$E$4:$E$2069,'Tabela Federal'!$D$4:$D$2069,'Carga Tributária doenças Po (2'!$M238)</f>
        <v>0</v>
      </c>
      <c r="X238" s="89">
        <f>SUMIFS('Tabela Federal'!$E$4:$E$2069,'Tabela Federal'!$D$4:$D$2069,'Carga Tributária doenças Po (2'!$N238)</f>
        <v>0</v>
      </c>
      <c r="Y238" s="89">
        <f>SUMIFS('Tabela Federal'!$E$4:$E$2069,'Tabela Federal'!$D$4:$D$2069,'Carga Tributária doenças Po (2'!$O238)</f>
        <v>0</v>
      </c>
      <c r="Z238" s="92" t="str">
        <f>VLOOKUP('Carga Tributária doenças Po (2'!$AD238,'Carga Tributária doenças Po (2'!$CA$12:$CC$16,2,0)</f>
        <v>+</v>
      </c>
      <c r="AA238" s="89" t="s">
        <v>501</v>
      </c>
      <c r="AB238" s="89" t="s">
        <v>21759</v>
      </c>
      <c r="AC238" s="89" t="s">
        <v>21721</v>
      </c>
      <c r="AD238" s="93" t="s">
        <v>21722</v>
      </c>
      <c r="AE238" s="92" t="s">
        <v>2</v>
      </c>
      <c r="AF238" s="92" t="s">
        <v>23</v>
      </c>
      <c r="AG238" s="94">
        <v>291786</v>
      </c>
      <c r="AH238" s="95">
        <v>694488</v>
      </c>
      <c r="AI238" s="95">
        <v>1584256.61</v>
      </c>
      <c r="AJ238" s="89" t="s">
        <v>499</v>
      </c>
      <c r="AK238" s="89">
        <f>IF('Carga Tributária doenças Po (2'!$Z238="+",0,SUMIFS(PISCOFINS!$I$3:$I$10518,PISCOFINS!$C$3:$C$10518,'Carga Tributária doenças Po (2'!$C238))</f>
        <v>0</v>
      </c>
      <c r="AL238" s="89">
        <f>IF('Carga Tributária doenças Po (2'!$Z238="+",0,SUMIFS(PISCOFINS!$H$3:$H$10518,PISCOFINS!$C$3:$C$10518,'Carga Tributária doenças Po (2'!$C238))</f>
        <v>0</v>
      </c>
      <c r="AM238" s="95">
        <v>3.27</v>
      </c>
      <c r="AN238" s="95">
        <v>3.12</v>
      </c>
      <c r="AO238" s="95">
        <v>1.35</v>
      </c>
      <c r="AP238" s="96">
        <v>18</v>
      </c>
      <c r="AQ238" s="96">
        <v>12</v>
      </c>
      <c r="AR238" s="96">
        <v>17</v>
      </c>
      <c r="AS238" s="97">
        <v>17</v>
      </c>
      <c r="AT238" s="97">
        <v>19</v>
      </c>
      <c r="AU238" s="97">
        <v>18</v>
      </c>
      <c r="AV238" s="97">
        <v>17</v>
      </c>
      <c r="AW238" s="97">
        <v>17</v>
      </c>
      <c r="AX238" s="97">
        <v>17</v>
      </c>
      <c r="AY238" s="97">
        <v>17</v>
      </c>
      <c r="AZ238" s="97">
        <v>17</v>
      </c>
      <c r="BA238" s="97">
        <v>17</v>
      </c>
      <c r="BB238" s="97">
        <v>17</v>
      </c>
      <c r="BC238" s="97">
        <v>17</v>
      </c>
      <c r="BD238" s="97">
        <v>17</v>
      </c>
      <c r="BE238" s="97">
        <v>17</v>
      </c>
      <c r="BF238" s="97">
        <f>+Tabela1107[[#This Row],[PIS]]+Tabela1107[[#This Row],[COFINS]]+Tabela1107[[#This Row],[CONTRIB. FOLHA]]+Tabela1107[[#This Row],[TRIBUTOS S/ LUCRO]]+Tabela1107[[#This Row],[OUTROS]]+Tabela1107[[#This Row],[SP]]</f>
        <v>25.740000000000002</v>
      </c>
      <c r="BG238" s="97">
        <f>+Tabela1107[[#This Row],[PIS]]+Tabela1107[[#This Row],[COFINS]]+Tabela1107[[#This Row],[CONTRIB. FOLHA]]+Tabela1107[[#This Row],[TRIBUTOS S/ LUCRO]]+Tabela1107[[#This Row],[OUTROS]]+Tabela1107[[#This Row],[PR]]</f>
        <v>19.740000000000002</v>
      </c>
      <c r="BH238" s="97">
        <f>+Tabela1107[[#This Row],[PIS]]+Tabela1107[[#This Row],[COFINS]]+Tabela1107[[#This Row],[CONTRIB. FOLHA]]+Tabela1107[[#This Row],[TRIBUTOS S/ LUCRO]]+Tabela1107[[#This Row],[OUTROS]]+Tabela1107[[#This Row],[SC]]</f>
        <v>24.740000000000002</v>
      </c>
      <c r="BI238" s="97">
        <f>+Tabela1107[[#This Row],[PIS]]+Tabela1107[[#This Row],[COFINS]]+Tabela1107[[#This Row],[CONTRIB. FOLHA]]+Tabela1107[[#This Row],[TRIBUTOS S/ LUCRO]]+Tabela1107[[#This Row],[OUTROS]]+Tabela1107[[#This Row],[RS]]</f>
        <v>24.740000000000002</v>
      </c>
      <c r="BJ238" s="97">
        <f>+Tabela1107[[#This Row],[PIS]]+Tabela1107[[#This Row],[COFINS]]+Tabela1107[[#This Row],[CONTRIB. FOLHA]]+Tabela1107[[#This Row],[TRIBUTOS S/ LUCRO]]+Tabela1107[[#This Row],[OUTROS]]+Tabela1107[[#This Row],[RJ]]</f>
        <v>26.740000000000002</v>
      </c>
      <c r="BK238" s="97">
        <f>+Tabela1107[[#This Row],[PIS]]+Tabela1107[[#This Row],[COFINS]]+Tabela1107[[#This Row],[CONTRIB. FOLHA]]+Tabela1107[[#This Row],[TRIBUTOS S/ LUCRO]]+Tabela1107[[#This Row],[OUTROS]]+Tabela1107[[#This Row],[MG]]</f>
        <v>25.740000000000002</v>
      </c>
      <c r="BL238" s="97">
        <f>+Tabela1107[[#This Row],[PIS]]+Tabela1107[[#This Row],[COFINS]]+Tabela1107[[#This Row],[CONTRIB. FOLHA]]+Tabela1107[[#This Row],[TRIBUTOS S/ LUCRO]]+Tabela1107[[#This Row],[OUTROS]]+Tabela1107[[#This Row],[ES]]</f>
        <v>24.740000000000002</v>
      </c>
      <c r="BM238" s="97">
        <f>+Tabela1107[[#This Row],[PIS]]+Tabela1107[[#This Row],[COFINS]]+Tabela1107[[#This Row],[CONTRIB. FOLHA]]+Tabela1107[[#This Row],[TRIBUTOS S/ LUCRO]]+Tabela1107[[#This Row],[OUTROS]]+Tabela1107[[#This Row],[GO]]</f>
        <v>24.740000000000002</v>
      </c>
      <c r="BN238" s="97">
        <f>+Tabela1107[[#This Row],[PIS]]+Tabela1107[[#This Row],[COFINS]]+Tabela1107[[#This Row],[CONTRIB. FOLHA]]+Tabela1107[[#This Row],[TRIBUTOS S/ LUCRO]]+Tabela1107[[#This Row],[OUTROS]]+Tabela1107[[#This Row],[MT]]</f>
        <v>24.740000000000002</v>
      </c>
      <c r="BO238" s="97">
        <f>+Tabela1107[[#This Row],[PIS]]+Tabela1107[[#This Row],[COFINS]]+Tabela1107[[#This Row],[CONTRIB. FOLHA]]+Tabela1107[[#This Row],[TRIBUTOS S/ LUCRO]]+Tabela1107[[#This Row],[OUTROS]]+Tabela1107[[#This Row],[MS]]</f>
        <v>24.740000000000002</v>
      </c>
      <c r="BP238" s="97">
        <f>+Tabela1107[[#This Row],[PIS]]+Tabela1107[[#This Row],[COFINS]]+Tabela1107[[#This Row],[CONTRIB. FOLHA]]+Tabela1107[[#This Row],[TRIBUTOS S/ LUCRO]]+Tabela1107[[#This Row],[OUTROS]]+Tabela1107[[#This Row],[DF]]</f>
        <v>24.740000000000002</v>
      </c>
      <c r="BQ238" s="97">
        <f>+Tabela1107[[#This Row],[PIS]]+Tabela1107[[#This Row],[COFINS]]+Tabela1107[[#This Row],[CONTRIB. FOLHA]]+Tabela1107[[#This Row],[TRIBUTOS S/ LUCRO]]+Tabela1107[[#This Row],[OUTROS]]+Tabela1107[[#This Row],[BA]]</f>
        <v>24.740000000000002</v>
      </c>
      <c r="BR238" s="97">
        <f>+Tabela1107[[#This Row],[PIS]]+Tabela1107[[#This Row],[COFINS]]+Tabela1107[[#This Row],[CONTRIB. FOLHA]]+Tabela1107[[#This Row],[TRIBUTOS S/ LUCRO]]+Tabela1107[[#This Row],[OUTROS]]+Tabela1107[[#This Row],[BA]]</f>
        <v>24.740000000000002</v>
      </c>
      <c r="BS238" s="97">
        <f>+Tabela1107[[#This Row],[PIS]]+Tabela1107[[#This Row],[COFINS]]+Tabela1107[[#This Row],[CONTRIB. FOLHA]]+Tabela1107[[#This Row],[TRIBUTOS S/ LUCRO]]+Tabela1107[[#This Row],[OUTROS]]+Tabela1107[[#This Row],[PE]]</f>
        <v>24.740000000000002</v>
      </c>
      <c r="BT238" s="97">
        <f>+Tabela1107[[#This Row],[PIS]]+Tabela1107[[#This Row],[COFINS]]+Tabela1107[[#This Row],[CONTRIB. FOLHA]]+Tabela1107[[#This Row],[TRIBUTOS S/ LUCRO]]+Tabela1107[[#This Row],[OUTROS]]+Tabela1107[[#This Row],[PA]]</f>
        <v>24.740000000000002</v>
      </c>
      <c r="BU238" s="97">
        <f>+Tabela1107[[#This Row],[PIS]]+Tabela1107[[#This Row],[COFINS]]+Tabela1107[[#This Row],[CONTRIB. FOLHA]]+Tabela1107[[#This Row],[TRIBUTOS S/ LUCRO]]+Tabela1107[[#This Row],[OUTROS]]+Tabela1107[[#This Row],[AM]]</f>
        <v>24.740000000000002</v>
      </c>
      <c r="BV238" s="97">
        <f>AVERAGE(Tabela1107[[#This Row],[TOTAL SP]:[TOTAL AM]])</f>
        <v>24.677500000000006</v>
      </c>
      <c r="BW238" s="97"/>
      <c r="BX238" s="97"/>
    </row>
    <row r="239" spans="2:76" x14ac:dyDescent="0.25">
      <c r="B239" s="89">
        <v>14271</v>
      </c>
      <c r="C239" s="91" t="s">
        <v>13183</v>
      </c>
      <c r="D239" s="89"/>
      <c r="E239" s="89">
        <v>20140626</v>
      </c>
      <c r="F239" s="89" t="s">
        <v>21192</v>
      </c>
      <c r="G239" s="89" t="s">
        <v>21193</v>
      </c>
      <c r="H239" s="89" t="s">
        <v>21194</v>
      </c>
      <c r="I239" s="89" t="s">
        <v>2689</v>
      </c>
      <c r="J239" s="89" t="s">
        <v>270</v>
      </c>
      <c r="K239" s="89"/>
      <c r="L239" s="89" t="s">
        <v>2689</v>
      </c>
      <c r="M239" s="89" t="s">
        <v>4496</v>
      </c>
      <c r="N239" s="89" t="s">
        <v>4496</v>
      </c>
      <c r="O239" s="89" t="s">
        <v>4496</v>
      </c>
      <c r="P239" s="89" t="s">
        <v>4496</v>
      </c>
      <c r="Q239" s="89"/>
      <c r="R239" s="89" t="s">
        <v>273</v>
      </c>
      <c r="S239" s="89" t="s">
        <v>21674</v>
      </c>
      <c r="T239" s="89" t="s">
        <v>21675</v>
      </c>
      <c r="U239" s="89" t="str">
        <f>TRIM('Carga Tributária doenças Po (2'!$L239)</f>
        <v>ISOTRETINOINA</v>
      </c>
      <c r="V239" s="89">
        <f>SUMIFS('Tabela Federal'!$E$4:$E$2069,'Tabela Federal'!$D$4:$D$2069,'Carga Tributária doenças Po (2'!$L239)</f>
        <v>1</v>
      </c>
      <c r="W239" s="89">
        <f>SUMIFS('Tabela Federal'!$E$4:$E$2069,'Tabela Federal'!$D$4:$D$2069,'Carga Tributária doenças Po (2'!$M239)</f>
        <v>0</v>
      </c>
      <c r="X239" s="89">
        <f>SUMIFS('Tabela Federal'!$E$4:$E$2069,'Tabela Federal'!$D$4:$D$2069,'Carga Tributária doenças Po (2'!$N239)</f>
        <v>0</v>
      </c>
      <c r="Y239" s="89">
        <f>SUMIFS('Tabela Federal'!$E$4:$E$2069,'Tabela Federal'!$D$4:$D$2069,'Carga Tributária doenças Po (2'!$O239)</f>
        <v>0</v>
      </c>
      <c r="Z239" s="92" t="str">
        <f>VLOOKUP('Carga Tributária doenças Po (2'!$AD239,'Carga Tributária doenças Po (2'!$CA$12:$CC$16,2,0)</f>
        <v>+</v>
      </c>
      <c r="AA239" s="107" t="s">
        <v>21989</v>
      </c>
      <c r="AB239" s="89" t="s">
        <v>21720</v>
      </c>
      <c r="AC239" s="89" t="s">
        <v>21721</v>
      </c>
      <c r="AD239" s="93" t="s">
        <v>21722</v>
      </c>
      <c r="AE239" s="92" t="s">
        <v>2</v>
      </c>
      <c r="AF239" s="92" t="s">
        <v>10</v>
      </c>
      <c r="AG239" s="94">
        <v>308049</v>
      </c>
      <c r="AH239" s="95">
        <v>10997525</v>
      </c>
      <c r="AI239" s="95">
        <v>25054038.489999998</v>
      </c>
      <c r="AJ239" s="89" t="s">
        <v>285</v>
      </c>
      <c r="AK239" s="89">
        <f>IF('Carga Tributária doenças Po (2'!$Z239="+",0,SUMIFS(PISCOFINS!$I$3:$I$10518,PISCOFINS!$C$3:$C$10518,'Carga Tributária doenças Po (2'!$C239))</f>
        <v>0</v>
      </c>
      <c r="AL239" s="89">
        <f>IF('Carga Tributária doenças Po (2'!$Z239="+",0,SUMIFS(PISCOFINS!$H$3:$H$10518,PISCOFINS!$C$3:$C$10518,'Carga Tributária doenças Po (2'!$C239))</f>
        <v>0</v>
      </c>
      <c r="AM239" s="95">
        <v>3.27</v>
      </c>
      <c r="AN239" s="95">
        <v>3.12</v>
      </c>
      <c r="AO239" s="95">
        <v>1.35</v>
      </c>
      <c r="AP239" s="96">
        <v>18</v>
      </c>
      <c r="AQ239" s="96">
        <v>12</v>
      </c>
      <c r="AR239" s="96">
        <v>17</v>
      </c>
      <c r="AS239" s="97">
        <v>17</v>
      </c>
      <c r="AT239" s="97">
        <v>19</v>
      </c>
      <c r="AU239" s="97">
        <v>12</v>
      </c>
      <c r="AV239" s="97">
        <v>17</v>
      </c>
      <c r="AW239" s="97">
        <v>17</v>
      </c>
      <c r="AX239" s="97">
        <v>17</v>
      </c>
      <c r="AY239" s="97">
        <v>17</v>
      </c>
      <c r="AZ239" s="97">
        <v>17</v>
      </c>
      <c r="BA239" s="97">
        <v>17</v>
      </c>
      <c r="BB239" s="97">
        <v>17</v>
      </c>
      <c r="BC239" s="97">
        <v>17</v>
      </c>
      <c r="BD239" s="97">
        <v>17</v>
      </c>
      <c r="BE239" s="97">
        <v>17</v>
      </c>
      <c r="BF239" s="97">
        <f>+Tabela1107[[#This Row],[PIS]]+Tabela1107[[#This Row],[COFINS]]+Tabela1107[[#This Row],[CONTRIB. FOLHA]]+Tabela1107[[#This Row],[TRIBUTOS S/ LUCRO]]+Tabela1107[[#This Row],[OUTROS]]+Tabela1107[[#This Row],[SP]]</f>
        <v>25.740000000000002</v>
      </c>
      <c r="BG239" s="97">
        <f>+Tabela1107[[#This Row],[PIS]]+Tabela1107[[#This Row],[COFINS]]+Tabela1107[[#This Row],[CONTRIB. FOLHA]]+Tabela1107[[#This Row],[TRIBUTOS S/ LUCRO]]+Tabela1107[[#This Row],[OUTROS]]+Tabela1107[[#This Row],[PR]]</f>
        <v>19.740000000000002</v>
      </c>
      <c r="BH239" s="97">
        <f>+Tabela1107[[#This Row],[PIS]]+Tabela1107[[#This Row],[COFINS]]+Tabela1107[[#This Row],[CONTRIB. FOLHA]]+Tabela1107[[#This Row],[TRIBUTOS S/ LUCRO]]+Tabela1107[[#This Row],[OUTROS]]+Tabela1107[[#This Row],[SC]]</f>
        <v>24.740000000000002</v>
      </c>
      <c r="BI239" s="97">
        <f>+Tabela1107[[#This Row],[PIS]]+Tabela1107[[#This Row],[COFINS]]+Tabela1107[[#This Row],[CONTRIB. FOLHA]]+Tabela1107[[#This Row],[TRIBUTOS S/ LUCRO]]+Tabela1107[[#This Row],[OUTROS]]+Tabela1107[[#This Row],[RS]]</f>
        <v>24.740000000000002</v>
      </c>
      <c r="BJ239" s="97">
        <f>+Tabela1107[[#This Row],[PIS]]+Tabela1107[[#This Row],[COFINS]]+Tabela1107[[#This Row],[CONTRIB. FOLHA]]+Tabela1107[[#This Row],[TRIBUTOS S/ LUCRO]]+Tabela1107[[#This Row],[OUTROS]]+Tabela1107[[#This Row],[RJ]]</f>
        <v>26.740000000000002</v>
      </c>
      <c r="BK239" s="97">
        <f>+Tabela1107[[#This Row],[PIS]]+Tabela1107[[#This Row],[COFINS]]+Tabela1107[[#This Row],[CONTRIB. FOLHA]]+Tabela1107[[#This Row],[TRIBUTOS S/ LUCRO]]+Tabela1107[[#This Row],[OUTROS]]+Tabela1107[[#This Row],[MG]]</f>
        <v>19.740000000000002</v>
      </c>
      <c r="BL239" s="97">
        <f>+Tabela1107[[#This Row],[PIS]]+Tabela1107[[#This Row],[COFINS]]+Tabela1107[[#This Row],[CONTRIB. FOLHA]]+Tabela1107[[#This Row],[TRIBUTOS S/ LUCRO]]+Tabela1107[[#This Row],[OUTROS]]+Tabela1107[[#This Row],[ES]]</f>
        <v>24.740000000000002</v>
      </c>
      <c r="BM239" s="97">
        <f>+Tabela1107[[#This Row],[PIS]]+Tabela1107[[#This Row],[COFINS]]+Tabela1107[[#This Row],[CONTRIB. FOLHA]]+Tabela1107[[#This Row],[TRIBUTOS S/ LUCRO]]+Tabela1107[[#This Row],[OUTROS]]+Tabela1107[[#This Row],[GO]]</f>
        <v>24.740000000000002</v>
      </c>
      <c r="BN239" s="97">
        <f>+Tabela1107[[#This Row],[PIS]]+Tabela1107[[#This Row],[COFINS]]+Tabela1107[[#This Row],[CONTRIB. FOLHA]]+Tabela1107[[#This Row],[TRIBUTOS S/ LUCRO]]+Tabela1107[[#This Row],[OUTROS]]+Tabela1107[[#This Row],[MT]]</f>
        <v>24.740000000000002</v>
      </c>
      <c r="BO239" s="97">
        <f>+Tabela1107[[#This Row],[PIS]]+Tabela1107[[#This Row],[COFINS]]+Tabela1107[[#This Row],[CONTRIB. FOLHA]]+Tabela1107[[#This Row],[TRIBUTOS S/ LUCRO]]+Tabela1107[[#This Row],[OUTROS]]+Tabela1107[[#This Row],[MS]]</f>
        <v>24.740000000000002</v>
      </c>
      <c r="BP239" s="97">
        <f>+Tabela1107[[#This Row],[PIS]]+Tabela1107[[#This Row],[COFINS]]+Tabela1107[[#This Row],[CONTRIB. FOLHA]]+Tabela1107[[#This Row],[TRIBUTOS S/ LUCRO]]+Tabela1107[[#This Row],[OUTROS]]+Tabela1107[[#This Row],[DF]]</f>
        <v>24.740000000000002</v>
      </c>
      <c r="BQ239" s="97">
        <f>+Tabela1107[[#This Row],[PIS]]+Tabela1107[[#This Row],[COFINS]]+Tabela1107[[#This Row],[CONTRIB. FOLHA]]+Tabela1107[[#This Row],[TRIBUTOS S/ LUCRO]]+Tabela1107[[#This Row],[OUTROS]]+Tabela1107[[#This Row],[BA]]</f>
        <v>24.740000000000002</v>
      </c>
      <c r="BR239" s="97">
        <f>+Tabela1107[[#This Row],[PIS]]+Tabela1107[[#This Row],[COFINS]]+Tabela1107[[#This Row],[CONTRIB. FOLHA]]+Tabela1107[[#This Row],[TRIBUTOS S/ LUCRO]]+Tabela1107[[#This Row],[OUTROS]]+Tabela1107[[#This Row],[BA]]</f>
        <v>24.740000000000002</v>
      </c>
      <c r="BS239" s="97">
        <f>+Tabela1107[[#This Row],[PIS]]+Tabela1107[[#This Row],[COFINS]]+Tabela1107[[#This Row],[CONTRIB. FOLHA]]+Tabela1107[[#This Row],[TRIBUTOS S/ LUCRO]]+Tabela1107[[#This Row],[OUTROS]]+Tabela1107[[#This Row],[PE]]</f>
        <v>24.740000000000002</v>
      </c>
      <c r="BT239" s="97">
        <f>+Tabela1107[[#This Row],[PIS]]+Tabela1107[[#This Row],[COFINS]]+Tabela1107[[#This Row],[CONTRIB. FOLHA]]+Tabela1107[[#This Row],[TRIBUTOS S/ LUCRO]]+Tabela1107[[#This Row],[OUTROS]]+Tabela1107[[#This Row],[PA]]</f>
        <v>24.740000000000002</v>
      </c>
      <c r="BU239" s="97">
        <f>+Tabela1107[[#This Row],[PIS]]+Tabela1107[[#This Row],[COFINS]]+Tabela1107[[#This Row],[CONTRIB. FOLHA]]+Tabela1107[[#This Row],[TRIBUTOS S/ LUCRO]]+Tabela1107[[#This Row],[OUTROS]]+Tabela1107[[#This Row],[AM]]</f>
        <v>24.740000000000002</v>
      </c>
      <c r="BV239" s="97">
        <f>AVERAGE(Tabela1107[[#This Row],[TOTAL SP]:[TOTAL AM]])</f>
        <v>24.302500000000006</v>
      </c>
      <c r="BW239" s="97"/>
      <c r="BX239" s="97"/>
    </row>
    <row r="240" spans="2:76" x14ac:dyDescent="0.25">
      <c r="B240" s="89">
        <v>14282</v>
      </c>
      <c r="C240" s="91" t="s">
        <v>13120</v>
      </c>
      <c r="D240" s="89"/>
      <c r="E240" s="89">
        <v>20140626</v>
      </c>
      <c r="F240" s="89" t="s">
        <v>21550</v>
      </c>
      <c r="G240" s="89" t="s">
        <v>21551</v>
      </c>
      <c r="H240" s="89" t="s">
        <v>21552</v>
      </c>
      <c r="I240" s="89" t="s">
        <v>21553</v>
      </c>
      <c r="J240" s="89" t="s">
        <v>270</v>
      </c>
      <c r="K240" s="89"/>
      <c r="L240" s="89" t="s">
        <v>2689</v>
      </c>
      <c r="M240" s="89" t="s">
        <v>4496</v>
      </c>
      <c r="N240" s="89" t="s">
        <v>4496</v>
      </c>
      <c r="O240" s="89" t="s">
        <v>4496</v>
      </c>
      <c r="P240" s="89" t="s">
        <v>4496</v>
      </c>
      <c r="Q240" s="89"/>
      <c r="R240" s="89" t="s">
        <v>272</v>
      </c>
      <c r="S240" s="89" t="s">
        <v>21706</v>
      </c>
      <c r="T240" s="89" t="s">
        <v>21707</v>
      </c>
      <c r="U240" s="89" t="str">
        <f>TRIM('Carga Tributária doenças Po (2'!$L240)</f>
        <v>ISOTRETINOINA</v>
      </c>
      <c r="V240" s="89">
        <f>SUMIFS('Tabela Federal'!$E$4:$E$2069,'Tabela Federal'!$D$4:$D$2069,'Carga Tributária doenças Po (2'!$L240)</f>
        <v>1</v>
      </c>
      <c r="W240" s="89">
        <f>SUMIFS('Tabela Federal'!$E$4:$E$2069,'Tabela Federal'!$D$4:$D$2069,'Carga Tributária doenças Po (2'!$M240)</f>
        <v>0</v>
      </c>
      <c r="X240" s="89">
        <f>SUMIFS('Tabela Federal'!$E$4:$E$2069,'Tabela Federal'!$D$4:$D$2069,'Carga Tributária doenças Po (2'!$N240)</f>
        <v>0</v>
      </c>
      <c r="Y240" s="89">
        <f>SUMIFS('Tabela Federal'!$E$4:$E$2069,'Tabela Federal'!$D$4:$D$2069,'Carga Tributária doenças Po (2'!$O240)</f>
        <v>0</v>
      </c>
      <c r="Z240" s="92" t="str">
        <f>VLOOKUP('Carga Tributária doenças Po (2'!$AD240,'Carga Tributária doenças Po (2'!$CA$12:$CC$16,2,0)</f>
        <v>+</v>
      </c>
      <c r="AA240" s="107" t="s">
        <v>21989</v>
      </c>
      <c r="AB240" s="89" t="s">
        <v>21720</v>
      </c>
      <c r="AC240" s="89" t="s">
        <v>21721</v>
      </c>
      <c r="AD240" s="93" t="s">
        <v>21722</v>
      </c>
      <c r="AE240" s="92" t="s">
        <v>2</v>
      </c>
      <c r="AF240" s="92" t="s">
        <v>10</v>
      </c>
      <c r="AG240" s="94">
        <v>654144</v>
      </c>
      <c r="AH240" s="95">
        <v>23305214</v>
      </c>
      <c r="AI240" s="95">
        <v>53108774.409999996</v>
      </c>
      <c r="AJ240" s="89" t="s">
        <v>285</v>
      </c>
      <c r="AK240" s="89">
        <f>IF('Carga Tributária doenças Po (2'!$Z240="+",0,SUMIFS(PISCOFINS!$I$3:$I$10518,PISCOFINS!$C$3:$C$10518,'Carga Tributária doenças Po (2'!$C240))</f>
        <v>0</v>
      </c>
      <c r="AL240" s="89">
        <f>IF('Carga Tributária doenças Po (2'!$Z240="+",0,SUMIFS(PISCOFINS!$H$3:$H$10518,PISCOFINS!$C$3:$C$10518,'Carga Tributária doenças Po (2'!$C240))</f>
        <v>0</v>
      </c>
      <c r="AM240" s="95">
        <v>3.27</v>
      </c>
      <c r="AN240" s="95">
        <v>3.12</v>
      </c>
      <c r="AO240" s="95">
        <v>1.35</v>
      </c>
      <c r="AP240" s="96">
        <v>18</v>
      </c>
      <c r="AQ240" s="96">
        <v>12</v>
      </c>
      <c r="AR240" s="96">
        <v>17</v>
      </c>
      <c r="AS240" s="97">
        <v>17</v>
      </c>
      <c r="AT240" s="97">
        <v>19</v>
      </c>
      <c r="AU240" s="97">
        <v>12</v>
      </c>
      <c r="AV240" s="97">
        <v>17</v>
      </c>
      <c r="AW240" s="97">
        <v>17</v>
      </c>
      <c r="AX240" s="97">
        <v>17</v>
      </c>
      <c r="AY240" s="97">
        <v>17</v>
      </c>
      <c r="AZ240" s="97">
        <v>17</v>
      </c>
      <c r="BA240" s="97">
        <v>17</v>
      </c>
      <c r="BB240" s="97">
        <v>17</v>
      </c>
      <c r="BC240" s="97">
        <v>17</v>
      </c>
      <c r="BD240" s="97">
        <v>17</v>
      </c>
      <c r="BE240" s="97">
        <v>17</v>
      </c>
      <c r="BF240" s="97">
        <f>+Tabela1107[[#This Row],[PIS]]+Tabela1107[[#This Row],[COFINS]]+Tabela1107[[#This Row],[CONTRIB. FOLHA]]+Tabela1107[[#This Row],[TRIBUTOS S/ LUCRO]]+Tabela1107[[#This Row],[OUTROS]]+Tabela1107[[#This Row],[SP]]</f>
        <v>25.740000000000002</v>
      </c>
      <c r="BG240" s="97">
        <f>+Tabela1107[[#This Row],[PIS]]+Tabela1107[[#This Row],[COFINS]]+Tabela1107[[#This Row],[CONTRIB. FOLHA]]+Tabela1107[[#This Row],[TRIBUTOS S/ LUCRO]]+Tabela1107[[#This Row],[OUTROS]]+Tabela1107[[#This Row],[PR]]</f>
        <v>19.740000000000002</v>
      </c>
      <c r="BH240" s="97">
        <f>+Tabela1107[[#This Row],[PIS]]+Tabela1107[[#This Row],[COFINS]]+Tabela1107[[#This Row],[CONTRIB. FOLHA]]+Tabela1107[[#This Row],[TRIBUTOS S/ LUCRO]]+Tabela1107[[#This Row],[OUTROS]]+Tabela1107[[#This Row],[SC]]</f>
        <v>24.740000000000002</v>
      </c>
      <c r="BI240" s="97">
        <f>+Tabela1107[[#This Row],[PIS]]+Tabela1107[[#This Row],[COFINS]]+Tabela1107[[#This Row],[CONTRIB. FOLHA]]+Tabela1107[[#This Row],[TRIBUTOS S/ LUCRO]]+Tabela1107[[#This Row],[OUTROS]]+Tabela1107[[#This Row],[RS]]</f>
        <v>24.740000000000002</v>
      </c>
      <c r="BJ240" s="97">
        <f>+Tabela1107[[#This Row],[PIS]]+Tabela1107[[#This Row],[COFINS]]+Tabela1107[[#This Row],[CONTRIB. FOLHA]]+Tabela1107[[#This Row],[TRIBUTOS S/ LUCRO]]+Tabela1107[[#This Row],[OUTROS]]+Tabela1107[[#This Row],[RJ]]</f>
        <v>26.740000000000002</v>
      </c>
      <c r="BK240" s="97">
        <f>+Tabela1107[[#This Row],[PIS]]+Tabela1107[[#This Row],[COFINS]]+Tabela1107[[#This Row],[CONTRIB. FOLHA]]+Tabela1107[[#This Row],[TRIBUTOS S/ LUCRO]]+Tabela1107[[#This Row],[OUTROS]]+Tabela1107[[#This Row],[MG]]</f>
        <v>19.740000000000002</v>
      </c>
      <c r="BL240" s="97">
        <f>+Tabela1107[[#This Row],[PIS]]+Tabela1107[[#This Row],[COFINS]]+Tabela1107[[#This Row],[CONTRIB. FOLHA]]+Tabela1107[[#This Row],[TRIBUTOS S/ LUCRO]]+Tabela1107[[#This Row],[OUTROS]]+Tabela1107[[#This Row],[ES]]</f>
        <v>24.740000000000002</v>
      </c>
      <c r="BM240" s="97">
        <f>+Tabela1107[[#This Row],[PIS]]+Tabela1107[[#This Row],[COFINS]]+Tabela1107[[#This Row],[CONTRIB. FOLHA]]+Tabela1107[[#This Row],[TRIBUTOS S/ LUCRO]]+Tabela1107[[#This Row],[OUTROS]]+Tabela1107[[#This Row],[GO]]</f>
        <v>24.740000000000002</v>
      </c>
      <c r="BN240" s="97">
        <f>+Tabela1107[[#This Row],[PIS]]+Tabela1107[[#This Row],[COFINS]]+Tabela1107[[#This Row],[CONTRIB. FOLHA]]+Tabela1107[[#This Row],[TRIBUTOS S/ LUCRO]]+Tabela1107[[#This Row],[OUTROS]]+Tabela1107[[#This Row],[MT]]</f>
        <v>24.740000000000002</v>
      </c>
      <c r="BO240" s="97">
        <f>+Tabela1107[[#This Row],[PIS]]+Tabela1107[[#This Row],[COFINS]]+Tabela1107[[#This Row],[CONTRIB. FOLHA]]+Tabela1107[[#This Row],[TRIBUTOS S/ LUCRO]]+Tabela1107[[#This Row],[OUTROS]]+Tabela1107[[#This Row],[MS]]</f>
        <v>24.740000000000002</v>
      </c>
      <c r="BP240" s="97">
        <f>+Tabela1107[[#This Row],[PIS]]+Tabela1107[[#This Row],[COFINS]]+Tabela1107[[#This Row],[CONTRIB. FOLHA]]+Tabela1107[[#This Row],[TRIBUTOS S/ LUCRO]]+Tabela1107[[#This Row],[OUTROS]]+Tabela1107[[#This Row],[DF]]</f>
        <v>24.740000000000002</v>
      </c>
      <c r="BQ240" s="97">
        <f>+Tabela1107[[#This Row],[PIS]]+Tabela1107[[#This Row],[COFINS]]+Tabela1107[[#This Row],[CONTRIB. FOLHA]]+Tabela1107[[#This Row],[TRIBUTOS S/ LUCRO]]+Tabela1107[[#This Row],[OUTROS]]+Tabela1107[[#This Row],[BA]]</f>
        <v>24.740000000000002</v>
      </c>
      <c r="BR240" s="97">
        <f>+Tabela1107[[#This Row],[PIS]]+Tabela1107[[#This Row],[COFINS]]+Tabela1107[[#This Row],[CONTRIB. FOLHA]]+Tabela1107[[#This Row],[TRIBUTOS S/ LUCRO]]+Tabela1107[[#This Row],[OUTROS]]+Tabela1107[[#This Row],[BA]]</f>
        <v>24.740000000000002</v>
      </c>
      <c r="BS240" s="97">
        <f>+Tabela1107[[#This Row],[PIS]]+Tabela1107[[#This Row],[COFINS]]+Tabela1107[[#This Row],[CONTRIB. FOLHA]]+Tabela1107[[#This Row],[TRIBUTOS S/ LUCRO]]+Tabela1107[[#This Row],[OUTROS]]+Tabela1107[[#This Row],[PE]]</f>
        <v>24.740000000000002</v>
      </c>
      <c r="BT240" s="97">
        <f>+Tabela1107[[#This Row],[PIS]]+Tabela1107[[#This Row],[COFINS]]+Tabela1107[[#This Row],[CONTRIB. FOLHA]]+Tabela1107[[#This Row],[TRIBUTOS S/ LUCRO]]+Tabela1107[[#This Row],[OUTROS]]+Tabela1107[[#This Row],[PA]]</f>
        <v>24.740000000000002</v>
      </c>
      <c r="BU240" s="97">
        <f>+Tabela1107[[#This Row],[PIS]]+Tabela1107[[#This Row],[COFINS]]+Tabela1107[[#This Row],[CONTRIB. FOLHA]]+Tabela1107[[#This Row],[TRIBUTOS S/ LUCRO]]+Tabela1107[[#This Row],[OUTROS]]+Tabela1107[[#This Row],[AM]]</f>
        <v>24.740000000000002</v>
      </c>
      <c r="BV240" s="97">
        <f>AVERAGE(Tabela1107[[#This Row],[TOTAL SP]:[TOTAL AM]])</f>
        <v>24.302500000000006</v>
      </c>
      <c r="BW240" s="97"/>
      <c r="BX240" s="97"/>
    </row>
    <row r="241" spans="2:76" x14ac:dyDescent="0.25">
      <c r="B241" s="89">
        <v>3725</v>
      </c>
      <c r="C241" s="91" t="s">
        <v>13214</v>
      </c>
      <c r="D241" s="89"/>
      <c r="E241" s="89">
        <v>20140626</v>
      </c>
      <c r="F241" s="89" t="s">
        <v>20931</v>
      </c>
      <c r="G241" s="98" t="s">
        <v>20932</v>
      </c>
      <c r="H241" s="89" t="s">
        <v>20933</v>
      </c>
      <c r="I241" s="89" t="s">
        <v>20934</v>
      </c>
      <c r="J241" s="89" t="s">
        <v>412</v>
      </c>
      <c r="K241" s="89"/>
      <c r="L241" s="89" t="s">
        <v>4497</v>
      </c>
      <c r="M241" s="89" t="s">
        <v>3182</v>
      </c>
      <c r="N241" s="89" t="s">
        <v>4496</v>
      </c>
      <c r="O241" s="89" t="s">
        <v>4496</v>
      </c>
      <c r="P241" s="89" t="s">
        <v>4496</v>
      </c>
      <c r="Q241" s="89"/>
      <c r="R241" s="89" t="s">
        <v>136</v>
      </c>
      <c r="S241" s="89" t="s">
        <v>21640</v>
      </c>
      <c r="T241" s="89" t="s">
        <v>21641</v>
      </c>
      <c r="U241" s="89" t="str">
        <f>TRIM('Carga Tributária doenças Po (2'!$L241)</f>
        <v>DROSPERINONA</v>
      </c>
      <c r="V241" s="89">
        <f>SUMIFS('Tabela Federal'!$E$4:$E$2069,'Tabela Federal'!$D$4:$D$2069,'Carga Tributária doenças Po (2'!$L241)</f>
        <v>0</v>
      </c>
      <c r="W241" s="89">
        <f>SUMIFS('Tabela Federal'!$E$4:$E$2069,'Tabela Federal'!$D$4:$D$2069,'Carga Tributária doenças Po (2'!$M241)</f>
        <v>17</v>
      </c>
      <c r="X241" s="89">
        <f>SUMIFS('Tabela Federal'!$E$4:$E$2069,'Tabela Federal'!$D$4:$D$2069,'Carga Tributária doenças Po (2'!$N241)</f>
        <v>0</v>
      </c>
      <c r="Y241" s="89">
        <f>SUMIFS('Tabela Federal'!$E$4:$E$2069,'Tabela Federal'!$D$4:$D$2069,'Carga Tributária doenças Po (2'!$O241)</f>
        <v>0</v>
      </c>
      <c r="Z241" s="92" t="str">
        <f>VLOOKUP('Carga Tributária doenças Po (2'!$AD241,'Carga Tributária doenças Po (2'!$CA$12:$CC$16,2,0)</f>
        <v>+</v>
      </c>
      <c r="AA241" s="89" t="s">
        <v>398</v>
      </c>
      <c r="AB241" s="89" t="s">
        <v>21742</v>
      </c>
      <c r="AC241" s="89" t="s">
        <v>21721</v>
      </c>
      <c r="AD241" s="93" t="s">
        <v>19445</v>
      </c>
      <c r="AE241" s="92" t="s">
        <v>4</v>
      </c>
      <c r="AF241" s="92" t="s">
        <v>3</v>
      </c>
      <c r="AG241" s="94">
        <v>2316341</v>
      </c>
      <c r="AH241" s="95">
        <v>29265479</v>
      </c>
      <c r="AI241" s="95">
        <v>66858325.420000002</v>
      </c>
      <c r="AJ241" s="89" t="s">
        <v>413</v>
      </c>
      <c r="AK241" s="89">
        <f>IF('Carga Tributária doenças Po (2'!$Z241="+",0,SUMIFS(PISCOFINS!$I$3:$I$10518,PISCOFINS!$C$3:$C$10518,'Carga Tributária doenças Po (2'!$C241))</f>
        <v>0</v>
      </c>
      <c r="AL241" s="89">
        <f>IF('Carga Tributária doenças Po (2'!$Z241="+",0,SUMIFS(PISCOFINS!$H$3:$H$10518,PISCOFINS!$C$3:$C$10518,'Carga Tributária doenças Po (2'!$C241))</f>
        <v>0</v>
      </c>
      <c r="AM241" s="95">
        <v>3.27</v>
      </c>
      <c r="AN241" s="95">
        <v>3.12</v>
      </c>
      <c r="AO241" s="95">
        <v>1.35</v>
      </c>
      <c r="AP241" s="96">
        <v>18</v>
      </c>
      <c r="AQ241" s="96">
        <v>12</v>
      </c>
      <c r="AR241" s="96">
        <v>17</v>
      </c>
      <c r="AS241" s="97">
        <v>17</v>
      </c>
      <c r="AT241" s="97">
        <v>19</v>
      </c>
      <c r="AU241" s="97">
        <v>18</v>
      </c>
      <c r="AV241" s="97">
        <v>17</v>
      </c>
      <c r="AW241" s="97">
        <v>17</v>
      </c>
      <c r="AX241" s="97">
        <v>17</v>
      </c>
      <c r="AY241" s="97">
        <v>17</v>
      </c>
      <c r="AZ241" s="97">
        <v>17</v>
      </c>
      <c r="BA241" s="97">
        <v>17</v>
      </c>
      <c r="BB241" s="97">
        <v>17</v>
      </c>
      <c r="BC241" s="97">
        <v>17</v>
      </c>
      <c r="BD241" s="97">
        <v>17</v>
      </c>
      <c r="BE241" s="97">
        <v>17</v>
      </c>
      <c r="BF241" s="97">
        <f>+Tabela1107[[#This Row],[PIS]]+Tabela1107[[#This Row],[COFINS]]+Tabela1107[[#This Row],[CONTRIB. FOLHA]]+Tabela1107[[#This Row],[TRIBUTOS S/ LUCRO]]+Tabela1107[[#This Row],[OUTROS]]+Tabela1107[[#This Row],[SP]]</f>
        <v>25.740000000000002</v>
      </c>
      <c r="BG241" s="97">
        <f>+Tabela1107[[#This Row],[PIS]]+Tabela1107[[#This Row],[COFINS]]+Tabela1107[[#This Row],[CONTRIB. FOLHA]]+Tabela1107[[#This Row],[TRIBUTOS S/ LUCRO]]+Tabela1107[[#This Row],[OUTROS]]+Tabela1107[[#This Row],[PR]]</f>
        <v>19.740000000000002</v>
      </c>
      <c r="BH241" s="97">
        <f>+Tabela1107[[#This Row],[PIS]]+Tabela1107[[#This Row],[COFINS]]+Tabela1107[[#This Row],[CONTRIB. FOLHA]]+Tabela1107[[#This Row],[TRIBUTOS S/ LUCRO]]+Tabela1107[[#This Row],[OUTROS]]+Tabela1107[[#This Row],[SC]]</f>
        <v>24.740000000000002</v>
      </c>
      <c r="BI241" s="97">
        <f>+Tabela1107[[#This Row],[PIS]]+Tabela1107[[#This Row],[COFINS]]+Tabela1107[[#This Row],[CONTRIB. FOLHA]]+Tabela1107[[#This Row],[TRIBUTOS S/ LUCRO]]+Tabela1107[[#This Row],[OUTROS]]+Tabela1107[[#This Row],[RS]]</f>
        <v>24.740000000000002</v>
      </c>
      <c r="BJ241" s="97">
        <f>+Tabela1107[[#This Row],[PIS]]+Tabela1107[[#This Row],[COFINS]]+Tabela1107[[#This Row],[CONTRIB. FOLHA]]+Tabela1107[[#This Row],[TRIBUTOS S/ LUCRO]]+Tabela1107[[#This Row],[OUTROS]]+Tabela1107[[#This Row],[RJ]]</f>
        <v>26.740000000000002</v>
      </c>
      <c r="BK241" s="97">
        <f>+Tabela1107[[#This Row],[PIS]]+Tabela1107[[#This Row],[COFINS]]+Tabela1107[[#This Row],[CONTRIB. FOLHA]]+Tabela1107[[#This Row],[TRIBUTOS S/ LUCRO]]+Tabela1107[[#This Row],[OUTROS]]+Tabela1107[[#This Row],[MG]]</f>
        <v>25.740000000000002</v>
      </c>
      <c r="BL241" s="97">
        <f>+Tabela1107[[#This Row],[PIS]]+Tabela1107[[#This Row],[COFINS]]+Tabela1107[[#This Row],[CONTRIB. FOLHA]]+Tabela1107[[#This Row],[TRIBUTOS S/ LUCRO]]+Tabela1107[[#This Row],[OUTROS]]+Tabela1107[[#This Row],[ES]]</f>
        <v>24.740000000000002</v>
      </c>
      <c r="BM241" s="97">
        <f>+Tabela1107[[#This Row],[PIS]]+Tabela1107[[#This Row],[COFINS]]+Tabela1107[[#This Row],[CONTRIB. FOLHA]]+Tabela1107[[#This Row],[TRIBUTOS S/ LUCRO]]+Tabela1107[[#This Row],[OUTROS]]+Tabela1107[[#This Row],[GO]]</f>
        <v>24.740000000000002</v>
      </c>
      <c r="BN241" s="97">
        <f>+Tabela1107[[#This Row],[PIS]]+Tabela1107[[#This Row],[COFINS]]+Tabela1107[[#This Row],[CONTRIB. FOLHA]]+Tabela1107[[#This Row],[TRIBUTOS S/ LUCRO]]+Tabela1107[[#This Row],[OUTROS]]+Tabela1107[[#This Row],[MT]]</f>
        <v>24.740000000000002</v>
      </c>
      <c r="BO241" s="97">
        <f>+Tabela1107[[#This Row],[PIS]]+Tabela1107[[#This Row],[COFINS]]+Tabela1107[[#This Row],[CONTRIB. FOLHA]]+Tabela1107[[#This Row],[TRIBUTOS S/ LUCRO]]+Tabela1107[[#This Row],[OUTROS]]+Tabela1107[[#This Row],[MS]]</f>
        <v>24.740000000000002</v>
      </c>
      <c r="BP241" s="97">
        <f>+Tabela1107[[#This Row],[PIS]]+Tabela1107[[#This Row],[COFINS]]+Tabela1107[[#This Row],[CONTRIB. FOLHA]]+Tabela1107[[#This Row],[TRIBUTOS S/ LUCRO]]+Tabela1107[[#This Row],[OUTROS]]+Tabela1107[[#This Row],[DF]]</f>
        <v>24.740000000000002</v>
      </c>
      <c r="BQ241" s="97">
        <f>+Tabela1107[[#This Row],[PIS]]+Tabela1107[[#This Row],[COFINS]]+Tabela1107[[#This Row],[CONTRIB. FOLHA]]+Tabela1107[[#This Row],[TRIBUTOS S/ LUCRO]]+Tabela1107[[#This Row],[OUTROS]]+Tabela1107[[#This Row],[BA]]</f>
        <v>24.740000000000002</v>
      </c>
      <c r="BR241" s="97">
        <f>+Tabela1107[[#This Row],[PIS]]+Tabela1107[[#This Row],[COFINS]]+Tabela1107[[#This Row],[CONTRIB. FOLHA]]+Tabela1107[[#This Row],[TRIBUTOS S/ LUCRO]]+Tabela1107[[#This Row],[OUTROS]]+Tabela1107[[#This Row],[BA]]</f>
        <v>24.740000000000002</v>
      </c>
      <c r="BS241" s="97">
        <f>+Tabela1107[[#This Row],[PIS]]+Tabela1107[[#This Row],[COFINS]]+Tabela1107[[#This Row],[CONTRIB. FOLHA]]+Tabela1107[[#This Row],[TRIBUTOS S/ LUCRO]]+Tabela1107[[#This Row],[OUTROS]]+Tabela1107[[#This Row],[PE]]</f>
        <v>24.740000000000002</v>
      </c>
      <c r="BT241" s="97">
        <f>+Tabela1107[[#This Row],[PIS]]+Tabela1107[[#This Row],[COFINS]]+Tabela1107[[#This Row],[CONTRIB. FOLHA]]+Tabela1107[[#This Row],[TRIBUTOS S/ LUCRO]]+Tabela1107[[#This Row],[OUTROS]]+Tabela1107[[#This Row],[PA]]</f>
        <v>24.740000000000002</v>
      </c>
      <c r="BU241" s="97">
        <f>+Tabela1107[[#This Row],[PIS]]+Tabela1107[[#This Row],[COFINS]]+Tabela1107[[#This Row],[CONTRIB. FOLHA]]+Tabela1107[[#This Row],[TRIBUTOS S/ LUCRO]]+Tabela1107[[#This Row],[OUTROS]]+Tabela1107[[#This Row],[AM]]</f>
        <v>24.740000000000002</v>
      </c>
      <c r="BV241" s="97">
        <f>AVERAGE(Tabela1107[[#This Row],[TOTAL SP]:[TOTAL AM]])</f>
        <v>24.677500000000006</v>
      </c>
      <c r="BW241" s="97"/>
      <c r="BX241" s="97"/>
    </row>
    <row r="242" spans="2:76" x14ac:dyDescent="0.25">
      <c r="B242" s="89">
        <v>2884</v>
      </c>
      <c r="C242" s="91" t="s">
        <v>13107</v>
      </c>
      <c r="D242" s="89"/>
      <c r="E242" s="89">
        <v>20140626</v>
      </c>
      <c r="F242" s="89" t="s">
        <v>21036</v>
      </c>
      <c r="G242" s="89" t="s">
        <v>21037</v>
      </c>
      <c r="H242" s="89" t="s">
        <v>21038</v>
      </c>
      <c r="I242" s="89" t="s">
        <v>21039</v>
      </c>
      <c r="J242" s="89" t="s">
        <v>334</v>
      </c>
      <c r="K242" s="89"/>
      <c r="L242" s="89" t="s">
        <v>2646</v>
      </c>
      <c r="M242" s="89" t="s">
        <v>4496</v>
      </c>
      <c r="N242" s="89" t="s">
        <v>4496</v>
      </c>
      <c r="O242" s="89" t="s">
        <v>4496</v>
      </c>
      <c r="P242" s="89" t="s">
        <v>4496</v>
      </c>
      <c r="Q242" s="89"/>
      <c r="R242" s="89" t="s">
        <v>307</v>
      </c>
      <c r="S242" s="89" t="s">
        <v>21572</v>
      </c>
      <c r="T242" s="89" t="s">
        <v>21573</v>
      </c>
      <c r="U242" s="89" t="str">
        <f>TRIM('Carga Tributária doenças Po (2'!$L242)</f>
        <v>CLORIDRATO DE RANITIDINA</v>
      </c>
      <c r="V242" s="89">
        <f>SUMIFS('Tabela Federal'!$E$4:$E$2069,'Tabela Federal'!$D$4:$D$2069,'Carga Tributária doenças Po (2'!$L242)</f>
        <v>1</v>
      </c>
      <c r="W242" s="89">
        <f>SUMIFS('Tabela Federal'!$E$4:$E$2069,'Tabela Federal'!$D$4:$D$2069,'Carga Tributária doenças Po (2'!$M242)</f>
        <v>0</v>
      </c>
      <c r="X242" s="89">
        <f>SUMIFS('Tabela Federal'!$E$4:$E$2069,'Tabela Federal'!$D$4:$D$2069,'Carga Tributária doenças Po (2'!$N242)</f>
        <v>0</v>
      </c>
      <c r="Y242" s="89">
        <f>SUMIFS('Tabela Federal'!$E$4:$E$2069,'Tabela Federal'!$D$4:$D$2069,'Carga Tributária doenças Po (2'!$O242)</f>
        <v>0</v>
      </c>
      <c r="Z242" s="92" t="str">
        <f>VLOOKUP('Carga Tributária doenças Po (2'!$AD242,'Carga Tributária doenças Po (2'!$CA$12:$CC$16,2,0)</f>
        <v>-</v>
      </c>
      <c r="AA242" s="89" t="s">
        <v>335</v>
      </c>
      <c r="AB242" s="89" t="s">
        <v>21729</v>
      </c>
      <c r="AC242" s="89" t="s">
        <v>21721</v>
      </c>
      <c r="AD242" s="93" t="s">
        <v>19523</v>
      </c>
      <c r="AE242" s="92" t="s">
        <v>4</v>
      </c>
      <c r="AF242" s="92" t="s">
        <v>3</v>
      </c>
      <c r="AG242" s="94">
        <v>1595390</v>
      </c>
      <c r="AH242" s="95">
        <v>14261165</v>
      </c>
      <c r="AI242" s="95">
        <v>32364317.719999999</v>
      </c>
      <c r="AJ242" s="89" t="s">
        <v>338</v>
      </c>
      <c r="AK242" s="89">
        <f>IF('Carga Tributária doenças Po (2'!$Z242="+",0,SUMIFS(PISCOFINS!$I$3:$I$10518,PISCOFINS!$C$3:$C$10518,'Carga Tributária doenças Po (2'!$C242))</f>
        <v>2.1</v>
      </c>
      <c r="AL242" s="89">
        <f>IF('Carga Tributária doenças Po (2'!$Z242="+",0,SUMIFS(PISCOFINS!$H$3:$H$10518,PISCOFINS!$C$3:$C$10518,'Carga Tributária doenças Po (2'!$C242))</f>
        <v>9.9</v>
      </c>
      <c r="AM242" s="95">
        <v>3.27</v>
      </c>
      <c r="AN242" s="95">
        <v>3.12</v>
      </c>
      <c r="AO242" s="95">
        <v>1.35</v>
      </c>
      <c r="AP242" s="96">
        <v>18</v>
      </c>
      <c r="AQ242" s="96">
        <v>12</v>
      </c>
      <c r="AR242" s="96">
        <v>17</v>
      </c>
      <c r="AS242" s="97">
        <v>17</v>
      </c>
      <c r="AT242" s="97">
        <v>19</v>
      </c>
      <c r="AU242" s="97">
        <v>18</v>
      </c>
      <c r="AV242" s="97">
        <v>17</v>
      </c>
      <c r="AW242" s="97">
        <v>17</v>
      </c>
      <c r="AX242" s="97">
        <v>17</v>
      </c>
      <c r="AY242" s="97">
        <v>17</v>
      </c>
      <c r="AZ242" s="97">
        <v>17</v>
      </c>
      <c r="BA242" s="97">
        <v>17</v>
      </c>
      <c r="BB242" s="97">
        <v>17</v>
      </c>
      <c r="BC242" s="97">
        <v>17</v>
      </c>
      <c r="BD242" s="97">
        <v>17</v>
      </c>
      <c r="BE242" s="97">
        <v>17</v>
      </c>
      <c r="BF242" s="97">
        <f>+Tabela1107[[#This Row],[PIS]]+Tabela1107[[#This Row],[COFINS]]+Tabela1107[[#This Row],[CONTRIB. FOLHA]]+Tabela1107[[#This Row],[TRIBUTOS S/ LUCRO]]+Tabela1107[[#This Row],[OUTROS]]+Tabela1107[[#This Row],[SP]]</f>
        <v>37.74</v>
      </c>
      <c r="BG242" s="97">
        <f>+Tabela1107[[#This Row],[PIS]]+Tabela1107[[#This Row],[COFINS]]+Tabela1107[[#This Row],[CONTRIB. FOLHA]]+Tabela1107[[#This Row],[TRIBUTOS S/ LUCRO]]+Tabela1107[[#This Row],[OUTROS]]+Tabela1107[[#This Row],[PR]]</f>
        <v>31.740000000000002</v>
      </c>
      <c r="BH242" s="97">
        <f>+Tabela1107[[#This Row],[PIS]]+Tabela1107[[#This Row],[COFINS]]+Tabela1107[[#This Row],[CONTRIB. FOLHA]]+Tabela1107[[#This Row],[TRIBUTOS S/ LUCRO]]+Tabela1107[[#This Row],[OUTROS]]+Tabela1107[[#This Row],[SC]]</f>
        <v>36.74</v>
      </c>
      <c r="BI242" s="97">
        <f>+Tabela1107[[#This Row],[PIS]]+Tabela1107[[#This Row],[COFINS]]+Tabela1107[[#This Row],[CONTRIB. FOLHA]]+Tabela1107[[#This Row],[TRIBUTOS S/ LUCRO]]+Tabela1107[[#This Row],[OUTROS]]+Tabela1107[[#This Row],[RS]]</f>
        <v>36.74</v>
      </c>
      <c r="BJ242" s="97">
        <f>+Tabela1107[[#This Row],[PIS]]+Tabela1107[[#This Row],[COFINS]]+Tabela1107[[#This Row],[CONTRIB. FOLHA]]+Tabela1107[[#This Row],[TRIBUTOS S/ LUCRO]]+Tabela1107[[#This Row],[OUTROS]]+Tabela1107[[#This Row],[RJ]]</f>
        <v>38.74</v>
      </c>
      <c r="BK242" s="97">
        <f>+Tabela1107[[#This Row],[PIS]]+Tabela1107[[#This Row],[COFINS]]+Tabela1107[[#This Row],[CONTRIB. FOLHA]]+Tabela1107[[#This Row],[TRIBUTOS S/ LUCRO]]+Tabela1107[[#This Row],[OUTROS]]+Tabela1107[[#This Row],[MG]]</f>
        <v>37.74</v>
      </c>
      <c r="BL242" s="97">
        <f>+Tabela1107[[#This Row],[PIS]]+Tabela1107[[#This Row],[COFINS]]+Tabela1107[[#This Row],[CONTRIB. FOLHA]]+Tabela1107[[#This Row],[TRIBUTOS S/ LUCRO]]+Tabela1107[[#This Row],[OUTROS]]+Tabela1107[[#This Row],[ES]]</f>
        <v>36.74</v>
      </c>
      <c r="BM242" s="97">
        <f>+Tabela1107[[#This Row],[PIS]]+Tabela1107[[#This Row],[COFINS]]+Tabela1107[[#This Row],[CONTRIB. FOLHA]]+Tabela1107[[#This Row],[TRIBUTOS S/ LUCRO]]+Tabela1107[[#This Row],[OUTROS]]+Tabela1107[[#This Row],[GO]]</f>
        <v>36.74</v>
      </c>
      <c r="BN242" s="97">
        <f>+Tabela1107[[#This Row],[PIS]]+Tabela1107[[#This Row],[COFINS]]+Tabela1107[[#This Row],[CONTRIB. FOLHA]]+Tabela1107[[#This Row],[TRIBUTOS S/ LUCRO]]+Tabela1107[[#This Row],[OUTROS]]+Tabela1107[[#This Row],[MT]]</f>
        <v>36.74</v>
      </c>
      <c r="BO242" s="97">
        <f>+Tabela1107[[#This Row],[PIS]]+Tabela1107[[#This Row],[COFINS]]+Tabela1107[[#This Row],[CONTRIB. FOLHA]]+Tabela1107[[#This Row],[TRIBUTOS S/ LUCRO]]+Tabela1107[[#This Row],[OUTROS]]+Tabela1107[[#This Row],[MS]]</f>
        <v>36.74</v>
      </c>
      <c r="BP242" s="97">
        <f>+Tabela1107[[#This Row],[PIS]]+Tabela1107[[#This Row],[COFINS]]+Tabela1107[[#This Row],[CONTRIB. FOLHA]]+Tabela1107[[#This Row],[TRIBUTOS S/ LUCRO]]+Tabela1107[[#This Row],[OUTROS]]+Tabela1107[[#This Row],[DF]]</f>
        <v>36.74</v>
      </c>
      <c r="BQ242" s="97">
        <f>+Tabela1107[[#This Row],[PIS]]+Tabela1107[[#This Row],[COFINS]]+Tabela1107[[#This Row],[CONTRIB. FOLHA]]+Tabela1107[[#This Row],[TRIBUTOS S/ LUCRO]]+Tabela1107[[#This Row],[OUTROS]]+Tabela1107[[#This Row],[BA]]</f>
        <v>36.74</v>
      </c>
      <c r="BR242" s="97">
        <f>+Tabela1107[[#This Row],[PIS]]+Tabela1107[[#This Row],[COFINS]]+Tabela1107[[#This Row],[CONTRIB. FOLHA]]+Tabela1107[[#This Row],[TRIBUTOS S/ LUCRO]]+Tabela1107[[#This Row],[OUTROS]]+Tabela1107[[#This Row],[BA]]</f>
        <v>36.74</v>
      </c>
      <c r="BS242" s="97">
        <f>+Tabela1107[[#This Row],[PIS]]+Tabela1107[[#This Row],[COFINS]]+Tabela1107[[#This Row],[CONTRIB. FOLHA]]+Tabela1107[[#This Row],[TRIBUTOS S/ LUCRO]]+Tabela1107[[#This Row],[OUTROS]]+Tabela1107[[#This Row],[PE]]</f>
        <v>36.74</v>
      </c>
      <c r="BT242" s="97">
        <f>+Tabela1107[[#This Row],[PIS]]+Tabela1107[[#This Row],[COFINS]]+Tabela1107[[#This Row],[CONTRIB. FOLHA]]+Tabela1107[[#This Row],[TRIBUTOS S/ LUCRO]]+Tabela1107[[#This Row],[OUTROS]]+Tabela1107[[#This Row],[PA]]</f>
        <v>36.74</v>
      </c>
      <c r="BU242" s="97">
        <f>+Tabela1107[[#This Row],[PIS]]+Tabela1107[[#This Row],[COFINS]]+Tabela1107[[#This Row],[CONTRIB. FOLHA]]+Tabela1107[[#This Row],[TRIBUTOS S/ LUCRO]]+Tabela1107[[#This Row],[OUTROS]]+Tabela1107[[#This Row],[AM]]</f>
        <v>36.74</v>
      </c>
      <c r="BV242" s="97">
        <f>AVERAGE(Tabela1107[[#This Row],[TOTAL SP]:[TOTAL AM]])</f>
        <v>36.677500000000002</v>
      </c>
      <c r="BW242" s="97"/>
      <c r="BX242" s="97"/>
    </row>
    <row r="243" spans="2:76" x14ac:dyDescent="0.25">
      <c r="B243" s="89">
        <v>20529</v>
      </c>
      <c r="C243" s="91" t="s">
        <v>13183</v>
      </c>
      <c r="D243" s="89"/>
      <c r="E243" s="89">
        <v>20140626</v>
      </c>
      <c r="F243" s="89" t="s">
        <v>20311</v>
      </c>
      <c r="G243" s="89" t="s">
        <v>20312</v>
      </c>
      <c r="H243" s="89" t="s">
        <v>20313</v>
      </c>
      <c r="I243" s="89" t="s">
        <v>20314</v>
      </c>
      <c r="J243" s="89" t="s">
        <v>65</v>
      </c>
      <c r="K243" s="89"/>
      <c r="L243" s="89" t="s">
        <v>2646</v>
      </c>
      <c r="M243" s="89" t="s">
        <v>4496</v>
      </c>
      <c r="N243" s="89" t="s">
        <v>4496</v>
      </c>
      <c r="O243" s="89" t="s">
        <v>4496</v>
      </c>
      <c r="P243" s="89" t="s">
        <v>4496</v>
      </c>
      <c r="Q243" s="89"/>
      <c r="R243" s="89" t="s">
        <v>1</v>
      </c>
      <c r="S243" s="89" t="s">
        <v>21568</v>
      </c>
      <c r="T243" s="89" t="s">
        <v>21569</v>
      </c>
      <c r="U243" s="89" t="str">
        <f>TRIM('Carga Tributária doenças Po (2'!$L243)</f>
        <v>CLORIDRATO DE RANITIDINA</v>
      </c>
      <c r="V243" s="89">
        <f>SUMIFS('Tabela Federal'!$E$4:$E$2069,'Tabela Federal'!$D$4:$D$2069,'Carga Tributária doenças Po (2'!$L243)</f>
        <v>1</v>
      </c>
      <c r="W243" s="89">
        <f>SUMIFS('Tabela Federal'!$E$4:$E$2069,'Tabela Federal'!$D$4:$D$2069,'Carga Tributária doenças Po (2'!$M243)</f>
        <v>0</v>
      </c>
      <c r="X243" s="89">
        <f>SUMIFS('Tabela Federal'!$E$4:$E$2069,'Tabela Federal'!$D$4:$D$2069,'Carga Tributária doenças Po (2'!$N243)</f>
        <v>0</v>
      </c>
      <c r="Y243" s="89">
        <f>SUMIFS('Tabela Federal'!$E$4:$E$2069,'Tabela Federal'!$D$4:$D$2069,'Carga Tributária doenças Po (2'!$O243)</f>
        <v>0</v>
      </c>
      <c r="Z243" s="92" t="str">
        <f>VLOOKUP('Carga Tributária doenças Po (2'!$AD243,'Carga Tributária doenças Po (2'!$CA$12:$CC$16,2,0)</f>
        <v>+</v>
      </c>
      <c r="AA243" s="89" t="s">
        <v>63</v>
      </c>
      <c r="AB243" s="89" t="s">
        <v>21832</v>
      </c>
      <c r="AC243" s="89" t="s">
        <v>21721</v>
      </c>
      <c r="AD243" s="93" t="s">
        <v>21722</v>
      </c>
      <c r="AE243" s="92" t="s">
        <v>2</v>
      </c>
      <c r="AF243" s="92" t="s">
        <v>3</v>
      </c>
      <c r="AG243" s="94">
        <v>595681</v>
      </c>
      <c r="AH243" s="95">
        <v>5344668</v>
      </c>
      <c r="AI243" s="95">
        <v>12185026.710000001</v>
      </c>
      <c r="AJ243" s="89" t="s">
        <v>61</v>
      </c>
      <c r="AK243" s="89">
        <f>IF('Carga Tributária doenças Po (2'!$Z243="+",0,SUMIFS(PISCOFINS!$I$3:$I$10518,PISCOFINS!$C$3:$C$10518,'Carga Tributária doenças Po (2'!$C243))</f>
        <v>0</v>
      </c>
      <c r="AL243" s="89">
        <f>IF('Carga Tributária doenças Po (2'!$Z243="+",0,SUMIFS(PISCOFINS!$H$3:$H$10518,PISCOFINS!$C$3:$C$10518,'Carga Tributária doenças Po (2'!$C243))</f>
        <v>0</v>
      </c>
      <c r="AM243" s="95">
        <v>3.27</v>
      </c>
      <c r="AN243" s="95">
        <v>3.12</v>
      </c>
      <c r="AO243" s="95">
        <v>1.35</v>
      </c>
      <c r="AP243" s="96">
        <v>18</v>
      </c>
      <c r="AQ243" s="96">
        <v>12</v>
      </c>
      <c r="AR243" s="96">
        <v>17</v>
      </c>
      <c r="AS243" s="97">
        <v>17</v>
      </c>
      <c r="AT243" s="97">
        <v>19</v>
      </c>
      <c r="AU243" s="97">
        <v>18</v>
      </c>
      <c r="AV243" s="97">
        <v>17</v>
      </c>
      <c r="AW243" s="97">
        <v>17</v>
      </c>
      <c r="AX243" s="97">
        <v>17</v>
      </c>
      <c r="AY243" s="97">
        <v>17</v>
      </c>
      <c r="AZ243" s="97">
        <v>17</v>
      </c>
      <c r="BA243" s="97">
        <v>17</v>
      </c>
      <c r="BB243" s="97">
        <v>17</v>
      </c>
      <c r="BC243" s="97">
        <v>17</v>
      </c>
      <c r="BD243" s="97">
        <v>17</v>
      </c>
      <c r="BE243" s="97">
        <v>17</v>
      </c>
      <c r="BF243" s="97">
        <f>+Tabela1107[[#This Row],[PIS]]+Tabela1107[[#This Row],[COFINS]]+Tabela1107[[#This Row],[CONTRIB. FOLHA]]+Tabela1107[[#This Row],[TRIBUTOS S/ LUCRO]]+Tabela1107[[#This Row],[OUTROS]]+Tabela1107[[#This Row],[SP]]</f>
        <v>25.740000000000002</v>
      </c>
      <c r="BG243" s="97">
        <f>+Tabela1107[[#This Row],[PIS]]+Tabela1107[[#This Row],[COFINS]]+Tabela1107[[#This Row],[CONTRIB. FOLHA]]+Tabela1107[[#This Row],[TRIBUTOS S/ LUCRO]]+Tabela1107[[#This Row],[OUTROS]]+Tabela1107[[#This Row],[PR]]</f>
        <v>19.740000000000002</v>
      </c>
      <c r="BH243" s="97">
        <f>+Tabela1107[[#This Row],[PIS]]+Tabela1107[[#This Row],[COFINS]]+Tabela1107[[#This Row],[CONTRIB. FOLHA]]+Tabela1107[[#This Row],[TRIBUTOS S/ LUCRO]]+Tabela1107[[#This Row],[OUTROS]]+Tabela1107[[#This Row],[SC]]</f>
        <v>24.740000000000002</v>
      </c>
      <c r="BI243" s="97">
        <f>+Tabela1107[[#This Row],[PIS]]+Tabela1107[[#This Row],[COFINS]]+Tabela1107[[#This Row],[CONTRIB. FOLHA]]+Tabela1107[[#This Row],[TRIBUTOS S/ LUCRO]]+Tabela1107[[#This Row],[OUTROS]]+Tabela1107[[#This Row],[RS]]</f>
        <v>24.740000000000002</v>
      </c>
      <c r="BJ243" s="97">
        <f>+Tabela1107[[#This Row],[PIS]]+Tabela1107[[#This Row],[COFINS]]+Tabela1107[[#This Row],[CONTRIB. FOLHA]]+Tabela1107[[#This Row],[TRIBUTOS S/ LUCRO]]+Tabela1107[[#This Row],[OUTROS]]+Tabela1107[[#This Row],[RJ]]</f>
        <v>26.740000000000002</v>
      </c>
      <c r="BK243" s="97">
        <f>+Tabela1107[[#This Row],[PIS]]+Tabela1107[[#This Row],[COFINS]]+Tabela1107[[#This Row],[CONTRIB. FOLHA]]+Tabela1107[[#This Row],[TRIBUTOS S/ LUCRO]]+Tabela1107[[#This Row],[OUTROS]]+Tabela1107[[#This Row],[MG]]</f>
        <v>25.740000000000002</v>
      </c>
      <c r="BL243" s="97">
        <f>+Tabela1107[[#This Row],[PIS]]+Tabela1107[[#This Row],[COFINS]]+Tabela1107[[#This Row],[CONTRIB. FOLHA]]+Tabela1107[[#This Row],[TRIBUTOS S/ LUCRO]]+Tabela1107[[#This Row],[OUTROS]]+Tabela1107[[#This Row],[ES]]</f>
        <v>24.740000000000002</v>
      </c>
      <c r="BM243" s="97">
        <f>+Tabela1107[[#This Row],[PIS]]+Tabela1107[[#This Row],[COFINS]]+Tabela1107[[#This Row],[CONTRIB. FOLHA]]+Tabela1107[[#This Row],[TRIBUTOS S/ LUCRO]]+Tabela1107[[#This Row],[OUTROS]]+Tabela1107[[#This Row],[GO]]</f>
        <v>24.740000000000002</v>
      </c>
      <c r="BN243" s="97">
        <f>+Tabela1107[[#This Row],[PIS]]+Tabela1107[[#This Row],[COFINS]]+Tabela1107[[#This Row],[CONTRIB. FOLHA]]+Tabela1107[[#This Row],[TRIBUTOS S/ LUCRO]]+Tabela1107[[#This Row],[OUTROS]]+Tabela1107[[#This Row],[MT]]</f>
        <v>24.740000000000002</v>
      </c>
      <c r="BO243" s="97">
        <f>+Tabela1107[[#This Row],[PIS]]+Tabela1107[[#This Row],[COFINS]]+Tabela1107[[#This Row],[CONTRIB. FOLHA]]+Tabela1107[[#This Row],[TRIBUTOS S/ LUCRO]]+Tabela1107[[#This Row],[OUTROS]]+Tabela1107[[#This Row],[MS]]</f>
        <v>24.740000000000002</v>
      </c>
      <c r="BP243" s="97">
        <f>+Tabela1107[[#This Row],[PIS]]+Tabela1107[[#This Row],[COFINS]]+Tabela1107[[#This Row],[CONTRIB. FOLHA]]+Tabela1107[[#This Row],[TRIBUTOS S/ LUCRO]]+Tabela1107[[#This Row],[OUTROS]]+Tabela1107[[#This Row],[DF]]</f>
        <v>24.740000000000002</v>
      </c>
      <c r="BQ243" s="97">
        <f>+Tabela1107[[#This Row],[PIS]]+Tabela1107[[#This Row],[COFINS]]+Tabela1107[[#This Row],[CONTRIB. FOLHA]]+Tabela1107[[#This Row],[TRIBUTOS S/ LUCRO]]+Tabela1107[[#This Row],[OUTROS]]+Tabela1107[[#This Row],[BA]]</f>
        <v>24.740000000000002</v>
      </c>
      <c r="BR243" s="97">
        <f>+Tabela1107[[#This Row],[PIS]]+Tabela1107[[#This Row],[COFINS]]+Tabela1107[[#This Row],[CONTRIB. FOLHA]]+Tabela1107[[#This Row],[TRIBUTOS S/ LUCRO]]+Tabela1107[[#This Row],[OUTROS]]+Tabela1107[[#This Row],[BA]]</f>
        <v>24.740000000000002</v>
      </c>
      <c r="BS243" s="97">
        <f>+Tabela1107[[#This Row],[PIS]]+Tabela1107[[#This Row],[COFINS]]+Tabela1107[[#This Row],[CONTRIB. FOLHA]]+Tabela1107[[#This Row],[TRIBUTOS S/ LUCRO]]+Tabela1107[[#This Row],[OUTROS]]+Tabela1107[[#This Row],[PE]]</f>
        <v>24.740000000000002</v>
      </c>
      <c r="BT243" s="97">
        <f>+Tabela1107[[#This Row],[PIS]]+Tabela1107[[#This Row],[COFINS]]+Tabela1107[[#This Row],[CONTRIB. FOLHA]]+Tabela1107[[#This Row],[TRIBUTOS S/ LUCRO]]+Tabela1107[[#This Row],[OUTROS]]+Tabela1107[[#This Row],[PA]]</f>
        <v>24.740000000000002</v>
      </c>
      <c r="BU243" s="97">
        <f>+Tabela1107[[#This Row],[PIS]]+Tabela1107[[#This Row],[COFINS]]+Tabela1107[[#This Row],[CONTRIB. FOLHA]]+Tabela1107[[#This Row],[TRIBUTOS S/ LUCRO]]+Tabela1107[[#This Row],[OUTROS]]+Tabela1107[[#This Row],[AM]]</f>
        <v>24.740000000000002</v>
      </c>
      <c r="BV243" s="97">
        <f>AVERAGE(Tabela1107[[#This Row],[TOTAL SP]:[TOTAL AM]])</f>
        <v>24.677500000000006</v>
      </c>
      <c r="BW243" s="97"/>
      <c r="BX243" s="97"/>
    </row>
    <row r="244" spans="2:76" x14ac:dyDescent="0.25">
      <c r="B244" s="89">
        <v>2813</v>
      </c>
      <c r="C244" s="91" t="s">
        <v>13022</v>
      </c>
      <c r="D244" s="89"/>
      <c r="E244" s="89">
        <v>20140626</v>
      </c>
      <c r="F244" s="89" t="s">
        <v>20428</v>
      </c>
      <c r="G244" s="89" t="s">
        <v>20429</v>
      </c>
      <c r="H244" s="89" t="s">
        <v>20430</v>
      </c>
      <c r="I244" s="89" t="s">
        <v>20427</v>
      </c>
      <c r="J244" s="89" t="s">
        <v>362</v>
      </c>
      <c r="K244" s="89"/>
      <c r="L244" s="89" t="s">
        <v>2652</v>
      </c>
      <c r="M244" s="89" t="s">
        <v>4496</v>
      </c>
      <c r="N244" s="89" t="s">
        <v>4496</v>
      </c>
      <c r="O244" s="89" t="s">
        <v>4496</v>
      </c>
      <c r="P244" s="89" t="s">
        <v>4496</v>
      </c>
      <c r="Q244" s="89"/>
      <c r="R244" s="89" t="s">
        <v>109</v>
      </c>
      <c r="S244" s="89" t="s">
        <v>21578</v>
      </c>
      <c r="T244" s="89" t="s">
        <v>21579</v>
      </c>
      <c r="U244" s="89" t="str">
        <f>TRIM('Carga Tributária doenças Po (2'!$L244)</f>
        <v>BETAISTINA</v>
      </c>
      <c r="V244" s="89">
        <f>SUMIFS('Tabela Federal'!$E$4:$E$2069,'Tabela Federal'!$D$4:$D$2069,'Carga Tributária doenças Po (2'!$L244)</f>
        <v>0</v>
      </c>
      <c r="W244" s="89">
        <f>SUMIFS('Tabela Federal'!$E$4:$E$2069,'Tabela Federal'!$D$4:$D$2069,'Carga Tributária doenças Po (2'!$M244)</f>
        <v>0</v>
      </c>
      <c r="X244" s="89">
        <f>SUMIFS('Tabela Federal'!$E$4:$E$2069,'Tabela Federal'!$D$4:$D$2069,'Carga Tributária doenças Po (2'!$N244)</f>
        <v>0</v>
      </c>
      <c r="Y244" s="89">
        <f>SUMIFS('Tabela Federal'!$E$4:$E$2069,'Tabela Federal'!$D$4:$D$2069,'Carga Tributária doenças Po (2'!$O244)</f>
        <v>0</v>
      </c>
      <c r="Z244" s="92" t="str">
        <f>VLOOKUP('Carga Tributária doenças Po (2'!$AD244,'Carga Tributária doenças Po (2'!$CA$12:$CC$16,2,0)</f>
        <v>-</v>
      </c>
      <c r="AA244" s="89" t="s">
        <v>363</v>
      </c>
      <c r="AB244" s="89" t="s">
        <v>21862</v>
      </c>
      <c r="AC244" s="89" t="s">
        <v>21721</v>
      </c>
      <c r="AD244" s="93" t="s">
        <v>19523</v>
      </c>
      <c r="AE244" s="92" t="s">
        <v>4</v>
      </c>
      <c r="AF244" s="92" t="s">
        <v>23</v>
      </c>
      <c r="AG244" s="94">
        <v>1750235</v>
      </c>
      <c r="AH244" s="95">
        <v>20761182</v>
      </c>
      <c r="AI244" s="95">
        <v>47369201.859999999</v>
      </c>
      <c r="AJ244" s="89" t="s">
        <v>372</v>
      </c>
      <c r="AK244" s="89">
        <f>IF('Carga Tributária doenças Po (2'!$Z244="+",0,SUMIFS(PISCOFINS!$I$3:$I$10518,PISCOFINS!$C$3:$C$10518,'Carga Tributária doenças Po (2'!$C244))</f>
        <v>2.1</v>
      </c>
      <c r="AL244" s="89">
        <f>IF('Carga Tributária doenças Po (2'!$Z244="+",0,SUMIFS(PISCOFINS!$H$3:$H$10518,PISCOFINS!$C$3:$C$10518,'Carga Tributária doenças Po (2'!$C244))</f>
        <v>9.9</v>
      </c>
      <c r="AM244" s="95">
        <v>3.27</v>
      </c>
      <c r="AN244" s="95">
        <v>3.12</v>
      </c>
      <c r="AO244" s="95">
        <v>1.35</v>
      </c>
      <c r="AP244" s="96">
        <v>18</v>
      </c>
      <c r="AQ244" s="96">
        <v>12</v>
      </c>
      <c r="AR244" s="96">
        <v>17</v>
      </c>
      <c r="AS244" s="97">
        <v>17</v>
      </c>
      <c r="AT244" s="97">
        <v>19</v>
      </c>
      <c r="AU244" s="97">
        <v>18</v>
      </c>
      <c r="AV244" s="97">
        <v>17</v>
      </c>
      <c r="AW244" s="97">
        <v>17</v>
      </c>
      <c r="AX244" s="97">
        <v>17</v>
      </c>
      <c r="AY244" s="97">
        <v>17</v>
      </c>
      <c r="AZ244" s="97">
        <v>17</v>
      </c>
      <c r="BA244" s="97">
        <v>17</v>
      </c>
      <c r="BB244" s="97">
        <v>17</v>
      </c>
      <c r="BC244" s="97">
        <v>17</v>
      </c>
      <c r="BD244" s="97">
        <v>17</v>
      </c>
      <c r="BE244" s="97">
        <v>17</v>
      </c>
      <c r="BF244" s="97">
        <f>+Tabela1107[[#This Row],[PIS]]+Tabela1107[[#This Row],[COFINS]]+Tabela1107[[#This Row],[CONTRIB. FOLHA]]+Tabela1107[[#This Row],[TRIBUTOS S/ LUCRO]]+Tabela1107[[#This Row],[OUTROS]]+Tabela1107[[#This Row],[SP]]</f>
        <v>37.74</v>
      </c>
      <c r="BG244" s="97">
        <f>+Tabela1107[[#This Row],[PIS]]+Tabela1107[[#This Row],[COFINS]]+Tabela1107[[#This Row],[CONTRIB. FOLHA]]+Tabela1107[[#This Row],[TRIBUTOS S/ LUCRO]]+Tabela1107[[#This Row],[OUTROS]]+Tabela1107[[#This Row],[PR]]</f>
        <v>31.740000000000002</v>
      </c>
      <c r="BH244" s="97">
        <f>+Tabela1107[[#This Row],[PIS]]+Tabela1107[[#This Row],[COFINS]]+Tabela1107[[#This Row],[CONTRIB. FOLHA]]+Tabela1107[[#This Row],[TRIBUTOS S/ LUCRO]]+Tabela1107[[#This Row],[OUTROS]]+Tabela1107[[#This Row],[SC]]</f>
        <v>36.74</v>
      </c>
      <c r="BI244" s="97">
        <f>+Tabela1107[[#This Row],[PIS]]+Tabela1107[[#This Row],[COFINS]]+Tabela1107[[#This Row],[CONTRIB. FOLHA]]+Tabela1107[[#This Row],[TRIBUTOS S/ LUCRO]]+Tabela1107[[#This Row],[OUTROS]]+Tabela1107[[#This Row],[RS]]</f>
        <v>36.74</v>
      </c>
      <c r="BJ244" s="97">
        <f>+Tabela1107[[#This Row],[PIS]]+Tabela1107[[#This Row],[COFINS]]+Tabela1107[[#This Row],[CONTRIB. FOLHA]]+Tabela1107[[#This Row],[TRIBUTOS S/ LUCRO]]+Tabela1107[[#This Row],[OUTROS]]+Tabela1107[[#This Row],[RJ]]</f>
        <v>38.74</v>
      </c>
      <c r="BK244" s="97">
        <f>+Tabela1107[[#This Row],[PIS]]+Tabela1107[[#This Row],[COFINS]]+Tabela1107[[#This Row],[CONTRIB. FOLHA]]+Tabela1107[[#This Row],[TRIBUTOS S/ LUCRO]]+Tabela1107[[#This Row],[OUTROS]]+Tabela1107[[#This Row],[MG]]</f>
        <v>37.74</v>
      </c>
      <c r="BL244" s="97">
        <f>+Tabela1107[[#This Row],[PIS]]+Tabela1107[[#This Row],[COFINS]]+Tabela1107[[#This Row],[CONTRIB. FOLHA]]+Tabela1107[[#This Row],[TRIBUTOS S/ LUCRO]]+Tabela1107[[#This Row],[OUTROS]]+Tabela1107[[#This Row],[ES]]</f>
        <v>36.74</v>
      </c>
      <c r="BM244" s="97">
        <f>+Tabela1107[[#This Row],[PIS]]+Tabela1107[[#This Row],[COFINS]]+Tabela1107[[#This Row],[CONTRIB. FOLHA]]+Tabela1107[[#This Row],[TRIBUTOS S/ LUCRO]]+Tabela1107[[#This Row],[OUTROS]]+Tabela1107[[#This Row],[GO]]</f>
        <v>36.74</v>
      </c>
      <c r="BN244" s="97">
        <f>+Tabela1107[[#This Row],[PIS]]+Tabela1107[[#This Row],[COFINS]]+Tabela1107[[#This Row],[CONTRIB. FOLHA]]+Tabela1107[[#This Row],[TRIBUTOS S/ LUCRO]]+Tabela1107[[#This Row],[OUTROS]]+Tabela1107[[#This Row],[MT]]</f>
        <v>36.74</v>
      </c>
      <c r="BO244" s="97">
        <f>+Tabela1107[[#This Row],[PIS]]+Tabela1107[[#This Row],[COFINS]]+Tabela1107[[#This Row],[CONTRIB. FOLHA]]+Tabela1107[[#This Row],[TRIBUTOS S/ LUCRO]]+Tabela1107[[#This Row],[OUTROS]]+Tabela1107[[#This Row],[MS]]</f>
        <v>36.74</v>
      </c>
      <c r="BP244" s="97">
        <f>+Tabela1107[[#This Row],[PIS]]+Tabela1107[[#This Row],[COFINS]]+Tabela1107[[#This Row],[CONTRIB. FOLHA]]+Tabela1107[[#This Row],[TRIBUTOS S/ LUCRO]]+Tabela1107[[#This Row],[OUTROS]]+Tabela1107[[#This Row],[DF]]</f>
        <v>36.74</v>
      </c>
      <c r="BQ244" s="97">
        <f>+Tabela1107[[#This Row],[PIS]]+Tabela1107[[#This Row],[COFINS]]+Tabela1107[[#This Row],[CONTRIB. FOLHA]]+Tabela1107[[#This Row],[TRIBUTOS S/ LUCRO]]+Tabela1107[[#This Row],[OUTROS]]+Tabela1107[[#This Row],[BA]]</f>
        <v>36.74</v>
      </c>
      <c r="BR244" s="97">
        <f>+Tabela1107[[#This Row],[PIS]]+Tabela1107[[#This Row],[COFINS]]+Tabela1107[[#This Row],[CONTRIB. FOLHA]]+Tabela1107[[#This Row],[TRIBUTOS S/ LUCRO]]+Tabela1107[[#This Row],[OUTROS]]+Tabela1107[[#This Row],[BA]]</f>
        <v>36.74</v>
      </c>
      <c r="BS244" s="97">
        <f>+Tabela1107[[#This Row],[PIS]]+Tabela1107[[#This Row],[COFINS]]+Tabela1107[[#This Row],[CONTRIB. FOLHA]]+Tabela1107[[#This Row],[TRIBUTOS S/ LUCRO]]+Tabela1107[[#This Row],[OUTROS]]+Tabela1107[[#This Row],[PE]]</f>
        <v>36.74</v>
      </c>
      <c r="BT244" s="97">
        <f>+Tabela1107[[#This Row],[PIS]]+Tabela1107[[#This Row],[COFINS]]+Tabela1107[[#This Row],[CONTRIB. FOLHA]]+Tabela1107[[#This Row],[TRIBUTOS S/ LUCRO]]+Tabela1107[[#This Row],[OUTROS]]+Tabela1107[[#This Row],[PA]]</f>
        <v>36.74</v>
      </c>
      <c r="BU244" s="97">
        <f>+Tabela1107[[#This Row],[PIS]]+Tabela1107[[#This Row],[COFINS]]+Tabela1107[[#This Row],[CONTRIB. FOLHA]]+Tabela1107[[#This Row],[TRIBUTOS S/ LUCRO]]+Tabela1107[[#This Row],[OUTROS]]+Tabela1107[[#This Row],[AM]]</f>
        <v>36.74</v>
      </c>
      <c r="BV244" s="97">
        <f>AVERAGE(Tabela1107[[#This Row],[TOTAL SP]:[TOTAL AM]])</f>
        <v>36.677500000000002</v>
      </c>
      <c r="BW244" s="97"/>
      <c r="BX244" s="97"/>
    </row>
    <row r="245" spans="2:76" x14ac:dyDescent="0.25">
      <c r="B245" s="89">
        <v>2816</v>
      </c>
      <c r="C245" s="91" t="s">
        <v>13022</v>
      </c>
      <c r="D245" s="89"/>
      <c r="E245" s="89">
        <v>20140626</v>
      </c>
      <c r="F245" s="89" t="s">
        <v>20424</v>
      </c>
      <c r="G245" s="89" t="s">
        <v>20425</v>
      </c>
      <c r="H245" s="89" t="s">
        <v>20426</v>
      </c>
      <c r="I245" s="89" t="s">
        <v>20427</v>
      </c>
      <c r="J245" s="89" t="s">
        <v>365</v>
      </c>
      <c r="K245" s="89"/>
      <c r="L245" s="89" t="s">
        <v>2652</v>
      </c>
      <c r="M245" s="89" t="s">
        <v>4496</v>
      </c>
      <c r="N245" s="89" t="s">
        <v>4496</v>
      </c>
      <c r="O245" s="89" t="s">
        <v>4496</v>
      </c>
      <c r="P245" s="89" t="s">
        <v>4496</v>
      </c>
      <c r="Q245" s="89"/>
      <c r="R245" s="89" t="s">
        <v>109</v>
      </c>
      <c r="S245" s="89" t="s">
        <v>21578</v>
      </c>
      <c r="T245" s="89" t="s">
        <v>21579</v>
      </c>
      <c r="U245" s="89" t="str">
        <f>TRIM('Carga Tributária doenças Po (2'!$L245)</f>
        <v>BETAISTINA</v>
      </c>
      <c r="V245" s="89">
        <f>SUMIFS('Tabela Federal'!$E$4:$E$2069,'Tabela Federal'!$D$4:$D$2069,'Carga Tributária doenças Po (2'!$L245)</f>
        <v>0</v>
      </c>
      <c r="W245" s="89">
        <f>SUMIFS('Tabela Federal'!$E$4:$E$2069,'Tabela Federal'!$D$4:$D$2069,'Carga Tributária doenças Po (2'!$M245)</f>
        <v>0</v>
      </c>
      <c r="X245" s="89">
        <f>SUMIFS('Tabela Federal'!$E$4:$E$2069,'Tabela Federal'!$D$4:$D$2069,'Carga Tributária doenças Po (2'!$N245)</f>
        <v>0</v>
      </c>
      <c r="Y245" s="89">
        <f>SUMIFS('Tabela Federal'!$E$4:$E$2069,'Tabela Federal'!$D$4:$D$2069,'Carga Tributária doenças Po (2'!$O245)</f>
        <v>0</v>
      </c>
      <c r="Z245" s="92" t="str">
        <f>VLOOKUP('Carga Tributária doenças Po (2'!$AD245,'Carga Tributária doenças Po (2'!$CA$12:$CC$16,2,0)</f>
        <v>-</v>
      </c>
      <c r="AA245" s="89" t="s">
        <v>363</v>
      </c>
      <c r="AB245" s="89" t="s">
        <v>21862</v>
      </c>
      <c r="AC245" s="89" t="s">
        <v>21721</v>
      </c>
      <c r="AD245" s="93" t="s">
        <v>19523</v>
      </c>
      <c r="AE245" s="92" t="s">
        <v>4</v>
      </c>
      <c r="AF245" s="92" t="s">
        <v>23</v>
      </c>
      <c r="AG245" s="94">
        <v>1263483</v>
      </c>
      <c r="AH245" s="95">
        <v>11194307</v>
      </c>
      <c r="AI245" s="95">
        <v>25537902.640000001</v>
      </c>
      <c r="AJ245" s="89" t="s">
        <v>372</v>
      </c>
      <c r="AK245" s="89">
        <f>IF('Carga Tributária doenças Po (2'!$Z245="+",0,SUMIFS(PISCOFINS!$I$3:$I$10518,PISCOFINS!$C$3:$C$10518,'Carga Tributária doenças Po (2'!$C245))</f>
        <v>2.1</v>
      </c>
      <c r="AL245" s="89">
        <f>IF('Carga Tributária doenças Po (2'!$Z245="+",0,SUMIFS(PISCOFINS!$H$3:$H$10518,PISCOFINS!$C$3:$C$10518,'Carga Tributária doenças Po (2'!$C245))</f>
        <v>9.9</v>
      </c>
      <c r="AM245" s="95">
        <v>3.27</v>
      </c>
      <c r="AN245" s="95">
        <v>3.12</v>
      </c>
      <c r="AO245" s="95">
        <v>1.35</v>
      </c>
      <c r="AP245" s="96">
        <v>18</v>
      </c>
      <c r="AQ245" s="96">
        <v>12</v>
      </c>
      <c r="AR245" s="96">
        <v>17</v>
      </c>
      <c r="AS245" s="97">
        <v>17</v>
      </c>
      <c r="AT245" s="97">
        <v>19</v>
      </c>
      <c r="AU245" s="97">
        <v>18</v>
      </c>
      <c r="AV245" s="97">
        <v>17</v>
      </c>
      <c r="AW245" s="97">
        <v>17</v>
      </c>
      <c r="AX245" s="97">
        <v>17</v>
      </c>
      <c r="AY245" s="97">
        <v>17</v>
      </c>
      <c r="AZ245" s="97">
        <v>17</v>
      </c>
      <c r="BA245" s="97">
        <v>17</v>
      </c>
      <c r="BB245" s="97">
        <v>17</v>
      </c>
      <c r="BC245" s="97">
        <v>17</v>
      </c>
      <c r="BD245" s="97">
        <v>17</v>
      </c>
      <c r="BE245" s="97">
        <v>17</v>
      </c>
      <c r="BF245" s="97">
        <f>+Tabela1107[[#This Row],[PIS]]+Tabela1107[[#This Row],[COFINS]]+Tabela1107[[#This Row],[CONTRIB. FOLHA]]+Tabela1107[[#This Row],[TRIBUTOS S/ LUCRO]]+Tabela1107[[#This Row],[OUTROS]]+Tabela1107[[#This Row],[SP]]</f>
        <v>37.74</v>
      </c>
      <c r="BG245" s="97">
        <f>+Tabela1107[[#This Row],[PIS]]+Tabela1107[[#This Row],[COFINS]]+Tabela1107[[#This Row],[CONTRIB. FOLHA]]+Tabela1107[[#This Row],[TRIBUTOS S/ LUCRO]]+Tabela1107[[#This Row],[OUTROS]]+Tabela1107[[#This Row],[PR]]</f>
        <v>31.740000000000002</v>
      </c>
      <c r="BH245" s="97">
        <f>+Tabela1107[[#This Row],[PIS]]+Tabela1107[[#This Row],[COFINS]]+Tabela1107[[#This Row],[CONTRIB. FOLHA]]+Tabela1107[[#This Row],[TRIBUTOS S/ LUCRO]]+Tabela1107[[#This Row],[OUTROS]]+Tabela1107[[#This Row],[SC]]</f>
        <v>36.74</v>
      </c>
      <c r="BI245" s="97">
        <f>+Tabela1107[[#This Row],[PIS]]+Tabela1107[[#This Row],[COFINS]]+Tabela1107[[#This Row],[CONTRIB. FOLHA]]+Tabela1107[[#This Row],[TRIBUTOS S/ LUCRO]]+Tabela1107[[#This Row],[OUTROS]]+Tabela1107[[#This Row],[RS]]</f>
        <v>36.74</v>
      </c>
      <c r="BJ245" s="97">
        <f>+Tabela1107[[#This Row],[PIS]]+Tabela1107[[#This Row],[COFINS]]+Tabela1107[[#This Row],[CONTRIB. FOLHA]]+Tabela1107[[#This Row],[TRIBUTOS S/ LUCRO]]+Tabela1107[[#This Row],[OUTROS]]+Tabela1107[[#This Row],[RJ]]</f>
        <v>38.74</v>
      </c>
      <c r="BK245" s="97">
        <f>+Tabela1107[[#This Row],[PIS]]+Tabela1107[[#This Row],[COFINS]]+Tabela1107[[#This Row],[CONTRIB. FOLHA]]+Tabela1107[[#This Row],[TRIBUTOS S/ LUCRO]]+Tabela1107[[#This Row],[OUTROS]]+Tabela1107[[#This Row],[MG]]</f>
        <v>37.74</v>
      </c>
      <c r="BL245" s="97">
        <f>+Tabela1107[[#This Row],[PIS]]+Tabela1107[[#This Row],[COFINS]]+Tabela1107[[#This Row],[CONTRIB. FOLHA]]+Tabela1107[[#This Row],[TRIBUTOS S/ LUCRO]]+Tabela1107[[#This Row],[OUTROS]]+Tabela1107[[#This Row],[ES]]</f>
        <v>36.74</v>
      </c>
      <c r="BM245" s="97">
        <f>+Tabela1107[[#This Row],[PIS]]+Tabela1107[[#This Row],[COFINS]]+Tabela1107[[#This Row],[CONTRIB. FOLHA]]+Tabela1107[[#This Row],[TRIBUTOS S/ LUCRO]]+Tabela1107[[#This Row],[OUTROS]]+Tabela1107[[#This Row],[GO]]</f>
        <v>36.74</v>
      </c>
      <c r="BN245" s="97">
        <f>+Tabela1107[[#This Row],[PIS]]+Tabela1107[[#This Row],[COFINS]]+Tabela1107[[#This Row],[CONTRIB. FOLHA]]+Tabela1107[[#This Row],[TRIBUTOS S/ LUCRO]]+Tabela1107[[#This Row],[OUTROS]]+Tabela1107[[#This Row],[MT]]</f>
        <v>36.74</v>
      </c>
      <c r="BO245" s="97">
        <f>+Tabela1107[[#This Row],[PIS]]+Tabela1107[[#This Row],[COFINS]]+Tabela1107[[#This Row],[CONTRIB. FOLHA]]+Tabela1107[[#This Row],[TRIBUTOS S/ LUCRO]]+Tabela1107[[#This Row],[OUTROS]]+Tabela1107[[#This Row],[MS]]</f>
        <v>36.74</v>
      </c>
      <c r="BP245" s="97">
        <f>+Tabela1107[[#This Row],[PIS]]+Tabela1107[[#This Row],[COFINS]]+Tabela1107[[#This Row],[CONTRIB. FOLHA]]+Tabela1107[[#This Row],[TRIBUTOS S/ LUCRO]]+Tabela1107[[#This Row],[OUTROS]]+Tabela1107[[#This Row],[DF]]</f>
        <v>36.74</v>
      </c>
      <c r="BQ245" s="97">
        <f>+Tabela1107[[#This Row],[PIS]]+Tabela1107[[#This Row],[COFINS]]+Tabela1107[[#This Row],[CONTRIB. FOLHA]]+Tabela1107[[#This Row],[TRIBUTOS S/ LUCRO]]+Tabela1107[[#This Row],[OUTROS]]+Tabela1107[[#This Row],[BA]]</f>
        <v>36.74</v>
      </c>
      <c r="BR245" s="97">
        <f>+Tabela1107[[#This Row],[PIS]]+Tabela1107[[#This Row],[COFINS]]+Tabela1107[[#This Row],[CONTRIB. FOLHA]]+Tabela1107[[#This Row],[TRIBUTOS S/ LUCRO]]+Tabela1107[[#This Row],[OUTROS]]+Tabela1107[[#This Row],[BA]]</f>
        <v>36.74</v>
      </c>
      <c r="BS245" s="97">
        <f>+Tabela1107[[#This Row],[PIS]]+Tabela1107[[#This Row],[COFINS]]+Tabela1107[[#This Row],[CONTRIB. FOLHA]]+Tabela1107[[#This Row],[TRIBUTOS S/ LUCRO]]+Tabela1107[[#This Row],[OUTROS]]+Tabela1107[[#This Row],[PE]]</f>
        <v>36.74</v>
      </c>
      <c r="BT245" s="97">
        <f>+Tabela1107[[#This Row],[PIS]]+Tabela1107[[#This Row],[COFINS]]+Tabela1107[[#This Row],[CONTRIB. FOLHA]]+Tabela1107[[#This Row],[TRIBUTOS S/ LUCRO]]+Tabela1107[[#This Row],[OUTROS]]+Tabela1107[[#This Row],[PA]]</f>
        <v>36.74</v>
      </c>
      <c r="BU245" s="97">
        <f>+Tabela1107[[#This Row],[PIS]]+Tabela1107[[#This Row],[COFINS]]+Tabela1107[[#This Row],[CONTRIB. FOLHA]]+Tabela1107[[#This Row],[TRIBUTOS S/ LUCRO]]+Tabela1107[[#This Row],[OUTROS]]+Tabela1107[[#This Row],[AM]]</f>
        <v>36.74</v>
      </c>
      <c r="BV245" s="97">
        <f>AVERAGE(Tabela1107[[#This Row],[TOTAL SP]:[TOTAL AM]])</f>
        <v>36.677500000000002</v>
      </c>
      <c r="BW245" s="97"/>
      <c r="BX245" s="97"/>
    </row>
    <row r="246" spans="2:76" x14ac:dyDescent="0.25">
      <c r="B246" s="89">
        <v>13615</v>
      </c>
      <c r="C246" s="91" t="s">
        <v>13183</v>
      </c>
      <c r="D246" s="89"/>
      <c r="E246" s="89">
        <v>20140626</v>
      </c>
      <c r="F246" s="89" t="s">
        <v>21364</v>
      </c>
      <c r="G246" s="89" t="s">
        <v>21365</v>
      </c>
      <c r="H246" s="98" t="s">
        <v>21968</v>
      </c>
      <c r="I246" s="89" t="s">
        <v>21366</v>
      </c>
      <c r="J246" s="89" t="s">
        <v>117</v>
      </c>
      <c r="K246" s="89"/>
      <c r="L246" s="89" t="s">
        <v>2787</v>
      </c>
      <c r="M246" s="89" t="s">
        <v>4496</v>
      </c>
      <c r="N246" s="89" t="s">
        <v>4496</v>
      </c>
      <c r="O246" s="89" t="s">
        <v>4496</v>
      </c>
      <c r="P246" s="89" t="s">
        <v>4496</v>
      </c>
      <c r="Q246" s="89"/>
      <c r="R246" s="89" t="s">
        <v>28</v>
      </c>
      <c r="S246" s="89" t="s">
        <v>21692</v>
      </c>
      <c r="T246" s="89" t="s">
        <v>21693</v>
      </c>
      <c r="U246" s="89" t="str">
        <f>TRIM('Carga Tributária doenças Po (2'!$L246)</f>
        <v>INSULINA GLARGINA</v>
      </c>
      <c r="V246" s="89">
        <f>SUMIFS('Tabela Federal'!$E$4:$E$2069,'Tabela Federal'!$D$4:$D$2069,'Carga Tributária doenças Po (2'!$L246)</f>
        <v>1</v>
      </c>
      <c r="W246" s="89">
        <f>SUMIFS('Tabela Federal'!$E$4:$E$2069,'Tabela Federal'!$D$4:$D$2069,'Carga Tributária doenças Po (2'!$M246)</f>
        <v>0</v>
      </c>
      <c r="X246" s="89">
        <f>SUMIFS('Tabela Federal'!$E$4:$E$2069,'Tabela Federal'!$D$4:$D$2069,'Carga Tributária doenças Po (2'!$N246)</f>
        <v>0</v>
      </c>
      <c r="Y246" s="89">
        <f>SUMIFS('Tabela Federal'!$E$4:$E$2069,'Tabela Federal'!$D$4:$D$2069,'Carga Tributária doenças Po (2'!$O246)</f>
        <v>0</v>
      </c>
      <c r="Z246" s="92" t="str">
        <f>VLOOKUP('Carga Tributária doenças Po (2'!$AD246,'Carga Tributária doenças Po (2'!$CA$12:$CC$16,2,0)</f>
        <v>+</v>
      </c>
      <c r="AA246" s="89" t="s">
        <v>118</v>
      </c>
      <c r="AB246" s="89" t="s">
        <v>21783</v>
      </c>
      <c r="AC246" s="89" t="s">
        <v>21721</v>
      </c>
      <c r="AD246" s="93" t="s">
        <v>21722</v>
      </c>
      <c r="AE246" s="92" t="s">
        <v>2</v>
      </c>
      <c r="AF246" s="92" t="s">
        <v>23</v>
      </c>
      <c r="AG246" s="94">
        <v>951627</v>
      </c>
      <c r="AH246" s="95">
        <v>33226915</v>
      </c>
      <c r="AI246" s="95">
        <v>75870903.200000003</v>
      </c>
      <c r="AJ246" s="89" t="s">
        <v>127</v>
      </c>
      <c r="AK246" s="89">
        <f>IF('Carga Tributária doenças Po (2'!$Z246="+",0,SUMIFS(PISCOFINS!$I$3:$I$10518,PISCOFINS!$C$3:$C$10518,'Carga Tributária doenças Po (2'!$C246))</f>
        <v>0</v>
      </c>
      <c r="AL246" s="89">
        <f>IF('Carga Tributária doenças Po (2'!$Z246="+",0,SUMIFS(PISCOFINS!$H$3:$H$10518,PISCOFINS!$C$3:$C$10518,'Carga Tributária doenças Po (2'!$C246))</f>
        <v>0</v>
      </c>
      <c r="AM246" s="95">
        <v>3.27</v>
      </c>
      <c r="AN246" s="95">
        <v>3.12</v>
      </c>
      <c r="AO246" s="95">
        <v>1.35</v>
      </c>
      <c r="AP246" s="96">
        <v>18</v>
      </c>
      <c r="AQ246" s="96">
        <v>12</v>
      </c>
      <c r="AR246" s="96">
        <v>17</v>
      </c>
      <c r="AS246" s="97">
        <v>17</v>
      </c>
      <c r="AT246" s="97">
        <v>19</v>
      </c>
      <c r="AU246" s="97">
        <v>18</v>
      </c>
      <c r="AV246" s="97">
        <v>17</v>
      </c>
      <c r="AW246" s="97">
        <v>17</v>
      </c>
      <c r="AX246" s="97">
        <v>17</v>
      </c>
      <c r="AY246" s="97">
        <v>17</v>
      </c>
      <c r="AZ246" s="97">
        <v>17</v>
      </c>
      <c r="BA246" s="97">
        <v>17</v>
      </c>
      <c r="BB246" s="97">
        <v>17</v>
      </c>
      <c r="BC246" s="97">
        <v>17</v>
      </c>
      <c r="BD246" s="97">
        <v>17</v>
      </c>
      <c r="BE246" s="97">
        <v>17</v>
      </c>
      <c r="BF246" s="97">
        <f>+Tabela1107[[#This Row],[PIS]]+Tabela1107[[#This Row],[COFINS]]+Tabela1107[[#This Row],[CONTRIB. FOLHA]]+Tabela1107[[#This Row],[TRIBUTOS S/ LUCRO]]+Tabela1107[[#This Row],[OUTROS]]+Tabela1107[[#This Row],[SP]]</f>
        <v>25.740000000000002</v>
      </c>
      <c r="BG246" s="97">
        <f>+Tabela1107[[#This Row],[PIS]]+Tabela1107[[#This Row],[COFINS]]+Tabela1107[[#This Row],[CONTRIB. FOLHA]]+Tabela1107[[#This Row],[TRIBUTOS S/ LUCRO]]+Tabela1107[[#This Row],[OUTROS]]+Tabela1107[[#This Row],[PR]]</f>
        <v>19.740000000000002</v>
      </c>
      <c r="BH246" s="97">
        <f>+Tabela1107[[#This Row],[PIS]]+Tabela1107[[#This Row],[COFINS]]+Tabela1107[[#This Row],[CONTRIB. FOLHA]]+Tabela1107[[#This Row],[TRIBUTOS S/ LUCRO]]+Tabela1107[[#This Row],[OUTROS]]+Tabela1107[[#This Row],[SC]]</f>
        <v>24.740000000000002</v>
      </c>
      <c r="BI246" s="97">
        <f>+Tabela1107[[#This Row],[PIS]]+Tabela1107[[#This Row],[COFINS]]+Tabela1107[[#This Row],[CONTRIB. FOLHA]]+Tabela1107[[#This Row],[TRIBUTOS S/ LUCRO]]+Tabela1107[[#This Row],[OUTROS]]+Tabela1107[[#This Row],[RS]]</f>
        <v>24.740000000000002</v>
      </c>
      <c r="BJ246" s="97">
        <f>+Tabela1107[[#This Row],[PIS]]+Tabela1107[[#This Row],[COFINS]]+Tabela1107[[#This Row],[CONTRIB. FOLHA]]+Tabela1107[[#This Row],[TRIBUTOS S/ LUCRO]]+Tabela1107[[#This Row],[OUTROS]]+Tabela1107[[#This Row],[RJ]]</f>
        <v>26.740000000000002</v>
      </c>
      <c r="BK246" s="97">
        <f>+Tabela1107[[#This Row],[PIS]]+Tabela1107[[#This Row],[COFINS]]+Tabela1107[[#This Row],[CONTRIB. FOLHA]]+Tabela1107[[#This Row],[TRIBUTOS S/ LUCRO]]+Tabela1107[[#This Row],[OUTROS]]+Tabela1107[[#This Row],[MG]]</f>
        <v>25.740000000000002</v>
      </c>
      <c r="BL246" s="97">
        <f>+Tabela1107[[#This Row],[PIS]]+Tabela1107[[#This Row],[COFINS]]+Tabela1107[[#This Row],[CONTRIB. FOLHA]]+Tabela1107[[#This Row],[TRIBUTOS S/ LUCRO]]+Tabela1107[[#This Row],[OUTROS]]+Tabela1107[[#This Row],[ES]]</f>
        <v>24.740000000000002</v>
      </c>
      <c r="BM246" s="97">
        <f>+Tabela1107[[#This Row],[PIS]]+Tabela1107[[#This Row],[COFINS]]+Tabela1107[[#This Row],[CONTRIB. FOLHA]]+Tabela1107[[#This Row],[TRIBUTOS S/ LUCRO]]+Tabela1107[[#This Row],[OUTROS]]+Tabela1107[[#This Row],[GO]]</f>
        <v>24.740000000000002</v>
      </c>
      <c r="BN246" s="97">
        <f>+Tabela1107[[#This Row],[PIS]]+Tabela1107[[#This Row],[COFINS]]+Tabela1107[[#This Row],[CONTRIB. FOLHA]]+Tabela1107[[#This Row],[TRIBUTOS S/ LUCRO]]+Tabela1107[[#This Row],[OUTROS]]+Tabela1107[[#This Row],[MT]]</f>
        <v>24.740000000000002</v>
      </c>
      <c r="BO246" s="97">
        <f>+Tabela1107[[#This Row],[PIS]]+Tabela1107[[#This Row],[COFINS]]+Tabela1107[[#This Row],[CONTRIB. FOLHA]]+Tabela1107[[#This Row],[TRIBUTOS S/ LUCRO]]+Tabela1107[[#This Row],[OUTROS]]+Tabela1107[[#This Row],[MS]]</f>
        <v>24.740000000000002</v>
      </c>
      <c r="BP246" s="97">
        <f>+Tabela1107[[#This Row],[PIS]]+Tabela1107[[#This Row],[COFINS]]+Tabela1107[[#This Row],[CONTRIB. FOLHA]]+Tabela1107[[#This Row],[TRIBUTOS S/ LUCRO]]+Tabela1107[[#This Row],[OUTROS]]+Tabela1107[[#This Row],[DF]]</f>
        <v>24.740000000000002</v>
      </c>
      <c r="BQ246" s="97">
        <f>+Tabela1107[[#This Row],[PIS]]+Tabela1107[[#This Row],[COFINS]]+Tabela1107[[#This Row],[CONTRIB. FOLHA]]+Tabela1107[[#This Row],[TRIBUTOS S/ LUCRO]]+Tabela1107[[#This Row],[OUTROS]]+Tabela1107[[#This Row],[BA]]</f>
        <v>24.740000000000002</v>
      </c>
      <c r="BR246" s="97">
        <f>+Tabela1107[[#This Row],[PIS]]+Tabela1107[[#This Row],[COFINS]]+Tabela1107[[#This Row],[CONTRIB. FOLHA]]+Tabela1107[[#This Row],[TRIBUTOS S/ LUCRO]]+Tabela1107[[#This Row],[OUTROS]]+Tabela1107[[#This Row],[BA]]</f>
        <v>24.740000000000002</v>
      </c>
      <c r="BS246" s="97">
        <f>+Tabela1107[[#This Row],[PIS]]+Tabela1107[[#This Row],[COFINS]]+Tabela1107[[#This Row],[CONTRIB. FOLHA]]+Tabela1107[[#This Row],[TRIBUTOS S/ LUCRO]]+Tabela1107[[#This Row],[OUTROS]]+Tabela1107[[#This Row],[PE]]</f>
        <v>24.740000000000002</v>
      </c>
      <c r="BT246" s="97">
        <f>+Tabela1107[[#This Row],[PIS]]+Tabela1107[[#This Row],[COFINS]]+Tabela1107[[#This Row],[CONTRIB. FOLHA]]+Tabela1107[[#This Row],[TRIBUTOS S/ LUCRO]]+Tabela1107[[#This Row],[OUTROS]]+Tabela1107[[#This Row],[PA]]</f>
        <v>24.740000000000002</v>
      </c>
      <c r="BU246" s="97">
        <f>+Tabela1107[[#This Row],[PIS]]+Tabela1107[[#This Row],[COFINS]]+Tabela1107[[#This Row],[CONTRIB. FOLHA]]+Tabela1107[[#This Row],[TRIBUTOS S/ LUCRO]]+Tabela1107[[#This Row],[OUTROS]]+Tabela1107[[#This Row],[AM]]</f>
        <v>24.740000000000002</v>
      </c>
      <c r="BV246" s="97">
        <f>AVERAGE(Tabela1107[[#This Row],[TOTAL SP]:[TOTAL AM]])</f>
        <v>24.677500000000006</v>
      </c>
      <c r="BW246" s="97"/>
      <c r="BX246" s="97"/>
    </row>
    <row r="247" spans="2:76" x14ac:dyDescent="0.25">
      <c r="B247" s="89">
        <v>14616</v>
      </c>
      <c r="C247" s="91" t="s">
        <v>13183</v>
      </c>
      <c r="D247" s="89"/>
      <c r="E247" s="89">
        <v>20140626</v>
      </c>
      <c r="F247" s="89" t="s">
        <v>20751</v>
      </c>
      <c r="G247" s="89" t="s">
        <v>20752</v>
      </c>
      <c r="H247" s="89" t="s">
        <v>20753</v>
      </c>
      <c r="I247" s="89" t="s">
        <v>2664</v>
      </c>
      <c r="J247" s="89" t="s">
        <v>199</v>
      </c>
      <c r="K247" s="99" t="s">
        <v>2504</v>
      </c>
      <c r="L247" s="89" t="s">
        <v>2664</v>
      </c>
      <c r="M247" s="89" t="s">
        <v>4496</v>
      </c>
      <c r="N247" s="89" t="s">
        <v>4496</v>
      </c>
      <c r="O247" s="89" t="s">
        <v>4496</v>
      </c>
      <c r="P247" s="89" t="s">
        <v>4496</v>
      </c>
      <c r="Q247" s="89"/>
      <c r="R247" s="89" t="s">
        <v>198</v>
      </c>
      <c r="S247" s="89" t="s">
        <v>21572</v>
      </c>
      <c r="T247" s="89" t="s">
        <v>21573</v>
      </c>
      <c r="U247" s="89" t="str">
        <f>TRIM('Carga Tributária doenças Po (2'!$L247)</f>
        <v>LEVOFLOXACINO</v>
      </c>
      <c r="V247" s="89">
        <f>SUMIFS('Tabela Federal'!$E$4:$E$2069,'Tabela Federal'!$D$4:$D$2069,'Carga Tributária doenças Po (2'!$L247)</f>
        <v>2</v>
      </c>
      <c r="W247" s="89">
        <f>SUMIFS('Tabela Federal'!$E$4:$E$2069,'Tabela Federal'!$D$4:$D$2069,'Carga Tributária doenças Po (2'!$M247)</f>
        <v>0</v>
      </c>
      <c r="X247" s="89">
        <f>SUMIFS('Tabela Federal'!$E$4:$E$2069,'Tabela Federal'!$D$4:$D$2069,'Carga Tributária doenças Po (2'!$N247)</f>
        <v>0</v>
      </c>
      <c r="Y247" s="89">
        <f>SUMIFS('Tabela Federal'!$E$4:$E$2069,'Tabela Federal'!$D$4:$D$2069,'Carga Tributária doenças Po (2'!$O247)</f>
        <v>0</v>
      </c>
      <c r="Z247" s="92" t="str">
        <f>VLOOKUP('Carga Tributária doenças Po (2'!$AD247,'Carga Tributária doenças Po (2'!$CA$12:$CC$16,2,0)</f>
        <v>+</v>
      </c>
      <c r="AA247" s="89" t="s">
        <v>195</v>
      </c>
      <c r="AB247" s="89" t="s">
        <v>21854</v>
      </c>
      <c r="AC247" s="89" t="s">
        <v>21721</v>
      </c>
      <c r="AD247" s="93" t="s">
        <v>21722</v>
      </c>
      <c r="AE247" s="92" t="s">
        <v>2</v>
      </c>
      <c r="AF247" s="92" t="s">
        <v>10</v>
      </c>
      <c r="AG247" s="94">
        <v>430229</v>
      </c>
      <c r="AH247" s="95">
        <v>8571879</v>
      </c>
      <c r="AI247" s="95">
        <v>19466187.390000001</v>
      </c>
      <c r="AJ247" s="89" t="s">
        <v>203</v>
      </c>
      <c r="AK247" s="89">
        <f>IF('Carga Tributária doenças Po (2'!$Z247="+",0,SUMIFS(PISCOFINS!$I$3:$I$10518,PISCOFINS!$C$3:$C$10518,'Carga Tributária doenças Po (2'!$C247))</f>
        <v>0</v>
      </c>
      <c r="AL247" s="89">
        <f>IF('Carga Tributária doenças Po (2'!$Z247="+",0,SUMIFS(PISCOFINS!$H$3:$H$10518,PISCOFINS!$C$3:$C$10518,'Carga Tributária doenças Po (2'!$C247))</f>
        <v>0</v>
      </c>
      <c r="AM247" s="95">
        <v>3.27</v>
      </c>
      <c r="AN247" s="95">
        <v>3.12</v>
      </c>
      <c r="AO247" s="95">
        <v>1.35</v>
      </c>
      <c r="AP247" s="96">
        <v>18</v>
      </c>
      <c r="AQ247" s="96">
        <v>12</v>
      </c>
      <c r="AR247" s="96">
        <v>17</v>
      </c>
      <c r="AS247" s="97">
        <v>17</v>
      </c>
      <c r="AT247" s="97">
        <v>19</v>
      </c>
      <c r="AU247" s="97">
        <v>12</v>
      </c>
      <c r="AV247" s="97">
        <v>17</v>
      </c>
      <c r="AW247" s="97">
        <v>17</v>
      </c>
      <c r="AX247" s="97">
        <v>17</v>
      </c>
      <c r="AY247" s="97">
        <v>17</v>
      </c>
      <c r="AZ247" s="97">
        <v>17</v>
      </c>
      <c r="BA247" s="97">
        <v>17</v>
      </c>
      <c r="BB247" s="97">
        <v>17</v>
      </c>
      <c r="BC247" s="97">
        <v>17</v>
      </c>
      <c r="BD247" s="97">
        <v>17</v>
      </c>
      <c r="BE247" s="97">
        <v>17</v>
      </c>
      <c r="BF247" s="97">
        <f>+Tabela1107[[#This Row],[PIS]]+Tabela1107[[#This Row],[COFINS]]+Tabela1107[[#This Row],[CONTRIB. FOLHA]]+Tabela1107[[#This Row],[TRIBUTOS S/ LUCRO]]+Tabela1107[[#This Row],[OUTROS]]+Tabela1107[[#This Row],[SP]]</f>
        <v>25.740000000000002</v>
      </c>
      <c r="BG247" s="97">
        <f>+Tabela1107[[#This Row],[PIS]]+Tabela1107[[#This Row],[COFINS]]+Tabela1107[[#This Row],[CONTRIB. FOLHA]]+Tabela1107[[#This Row],[TRIBUTOS S/ LUCRO]]+Tabela1107[[#This Row],[OUTROS]]+Tabela1107[[#This Row],[PR]]</f>
        <v>19.740000000000002</v>
      </c>
      <c r="BH247" s="97">
        <f>+Tabela1107[[#This Row],[PIS]]+Tabela1107[[#This Row],[COFINS]]+Tabela1107[[#This Row],[CONTRIB. FOLHA]]+Tabela1107[[#This Row],[TRIBUTOS S/ LUCRO]]+Tabela1107[[#This Row],[OUTROS]]+Tabela1107[[#This Row],[SC]]</f>
        <v>24.740000000000002</v>
      </c>
      <c r="BI247" s="97">
        <f>+Tabela1107[[#This Row],[PIS]]+Tabela1107[[#This Row],[COFINS]]+Tabela1107[[#This Row],[CONTRIB. FOLHA]]+Tabela1107[[#This Row],[TRIBUTOS S/ LUCRO]]+Tabela1107[[#This Row],[OUTROS]]+Tabela1107[[#This Row],[RS]]</f>
        <v>24.740000000000002</v>
      </c>
      <c r="BJ247" s="97">
        <f>+Tabela1107[[#This Row],[PIS]]+Tabela1107[[#This Row],[COFINS]]+Tabela1107[[#This Row],[CONTRIB. FOLHA]]+Tabela1107[[#This Row],[TRIBUTOS S/ LUCRO]]+Tabela1107[[#This Row],[OUTROS]]+Tabela1107[[#This Row],[RJ]]</f>
        <v>26.740000000000002</v>
      </c>
      <c r="BK247" s="97">
        <f>+Tabela1107[[#This Row],[PIS]]+Tabela1107[[#This Row],[COFINS]]+Tabela1107[[#This Row],[CONTRIB. FOLHA]]+Tabela1107[[#This Row],[TRIBUTOS S/ LUCRO]]+Tabela1107[[#This Row],[OUTROS]]+Tabela1107[[#This Row],[MG]]</f>
        <v>19.740000000000002</v>
      </c>
      <c r="BL247" s="97">
        <f>+Tabela1107[[#This Row],[PIS]]+Tabela1107[[#This Row],[COFINS]]+Tabela1107[[#This Row],[CONTRIB. FOLHA]]+Tabela1107[[#This Row],[TRIBUTOS S/ LUCRO]]+Tabela1107[[#This Row],[OUTROS]]+Tabela1107[[#This Row],[ES]]</f>
        <v>24.740000000000002</v>
      </c>
      <c r="BM247" s="97">
        <f>+Tabela1107[[#This Row],[PIS]]+Tabela1107[[#This Row],[COFINS]]+Tabela1107[[#This Row],[CONTRIB. FOLHA]]+Tabela1107[[#This Row],[TRIBUTOS S/ LUCRO]]+Tabela1107[[#This Row],[OUTROS]]+Tabela1107[[#This Row],[GO]]</f>
        <v>24.740000000000002</v>
      </c>
      <c r="BN247" s="97">
        <f>+Tabela1107[[#This Row],[PIS]]+Tabela1107[[#This Row],[COFINS]]+Tabela1107[[#This Row],[CONTRIB. FOLHA]]+Tabela1107[[#This Row],[TRIBUTOS S/ LUCRO]]+Tabela1107[[#This Row],[OUTROS]]+Tabela1107[[#This Row],[MT]]</f>
        <v>24.740000000000002</v>
      </c>
      <c r="BO247" s="97">
        <f>+Tabela1107[[#This Row],[PIS]]+Tabela1107[[#This Row],[COFINS]]+Tabela1107[[#This Row],[CONTRIB. FOLHA]]+Tabela1107[[#This Row],[TRIBUTOS S/ LUCRO]]+Tabela1107[[#This Row],[OUTROS]]+Tabela1107[[#This Row],[MS]]</f>
        <v>24.740000000000002</v>
      </c>
      <c r="BP247" s="97">
        <f>+Tabela1107[[#This Row],[PIS]]+Tabela1107[[#This Row],[COFINS]]+Tabela1107[[#This Row],[CONTRIB. FOLHA]]+Tabela1107[[#This Row],[TRIBUTOS S/ LUCRO]]+Tabela1107[[#This Row],[OUTROS]]+Tabela1107[[#This Row],[DF]]</f>
        <v>24.740000000000002</v>
      </c>
      <c r="BQ247" s="97">
        <f>+Tabela1107[[#This Row],[PIS]]+Tabela1107[[#This Row],[COFINS]]+Tabela1107[[#This Row],[CONTRIB. FOLHA]]+Tabela1107[[#This Row],[TRIBUTOS S/ LUCRO]]+Tabela1107[[#This Row],[OUTROS]]+Tabela1107[[#This Row],[BA]]</f>
        <v>24.740000000000002</v>
      </c>
      <c r="BR247" s="97">
        <f>+Tabela1107[[#This Row],[PIS]]+Tabela1107[[#This Row],[COFINS]]+Tabela1107[[#This Row],[CONTRIB. FOLHA]]+Tabela1107[[#This Row],[TRIBUTOS S/ LUCRO]]+Tabela1107[[#This Row],[OUTROS]]+Tabela1107[[#This Row],[BA]]</f>
        <v>24.740000000000002</v>
      </c>
      <c r="BS247" s="97">
        <f>+Tabela1107[[#This Row],[PIS]]+Tabela1107[[#This Row],[COFINS]]+Tabela1107[[#This Row],[CONTRIB. FOLHA]]+Tabela1107[[#This Row],[TRIBUTOS S/ LUCRO]]+Tabela1107[[#This Row],[OUTROS]]+Tabela1107[[#This Row],[PE]]</f>
        <v>24.740000000000002</v>
      </c>
      <c r="BT247" s="97">
        <f>+Tabela1107[[#This Row],[PIS]]+Tabela1107[[#This Row],[COFINS]]+Tabela1107[[#This Row],[CONTRIB. FOLHA]]+Tabela1107[[#This Row],[TRIBUTOS S/ LUCRO]]+Tabela1107[[#This Row],[OUTROS]]+Tabela1107[[#This Row],[PA]]</f>
        <v>24.740000000000002</v>
      </c>
      <c r="BU247" s="97">
        <f>+Tabela1107[[#This Row],[PIS]]+Tabela1107[[#This Row],[COFINS]]+Tabela1107[[#This Row],[CONTRIB. FOLHA]]+Tabela1107[[#This Row],[TRIBUTOS S/ LUCRO]]+Tabela1107[[#This Row],[OUTROS]]+Tabela1107[[#This Row],[AM]]</f>
        <v>24.740000000000002</v>
      </c>
      <c r="BV247" s="97">
        <f>AVERAGE(Tabela1107[[#This Row],[TOTAL SP]:[TOTAL AM]])</f>
        <v>24.302500000000006</v>
      </c>
      <c r="BW247" s="97"/>
      <c r="BX247" s="97"/>
    </row>
    <row r="248" spans="2:76" x14ac:dyDescent="0.25">
      <c r="B248" s="89">
        <v>15105</v>
      </c>
      <c r="C248" s="91" t="s">
        <v>13183</v>
      </c>
      <c r="D248" s="89"/>
      <c r="E248" s="89">
        <v>20140626</v>
      </c>
      <c r="F248" s="89" t="s">
        <v>20665</v>
      </c>
      <c r="G248" s="89" t="s">
        <v>20666</v>
      </c>
      <c r="H248" s="89" t="s">
        <v>20667</v>
      </c>
      <c r="I248" s="89" t="s">
        <v>2664</v>
      </c>
      <c r="J248" s="89" t="s">
        <v>199</v>
      </c>
      <c r="K248" s="99" t="s">
        <v>2504</v>
      </c>
      <c r="L248" s="89" t="s">
        <v>2664</v>
      </c>
      <c r="M248" s="89" t="s">
        <v>4496</v>
      </c>
      <c r="N248" s="89" t="s">
        <v>4496</v>
      </c>
      <c r="O248" s="89" t="s">
        <v>4496</v>
      </c>
      <c r="P248" s="89" t="s">
        <v>4496</v>
      </c>
      <c r="Q248" s="89"/>
      <c r="R248" s="89" t="s">
        <v>29</v>
      </c>
      <c r="S248" s="89" t="s">
        <v>21616</v>
      </c>
      <c r="T248" s="89" t="s">
        <v>21617</v>
      </c>
      <c r="U248" s="89" t="str">
        <f>TRIM('Carga Tributária doenças Po (2'!$L248)</f>
        <v>LEVOFLOXACINO</v>
      </c>
      <c r="V248" s="89">
        <f>SUMIFS('Tabela Federal'!$E$4:$E$2069,'Tabela Federal'!$D$4:$D$2069,'Carga Tributária doenças Po (2'!$L248)</f>
        <v>2</v>
      </c>
      <c r="W248" s="89">
        <f>SUMIFS('Tabela Federal'!$E$4:$E$2069,'Tabela Federal'!$D$4:$D$2069,'Carga Tributária doenças Po (2'!$M248)</f>
        <v>0</v>
      </c>
      <c r="X248" s="89">
        <f>SUMIFS('Tabela Federal'!$E$4:$E$2069,'Tabela Federal'!$D$4:$D$2069,'Carga Tributária doenças Po (2'!$N248)</f>
        <v>0</v>
      </c>
      <c r="Y248" s="89">
        <f>SUMIFS('Tabela Federal'!$E$4:$E$2069,'Tabela Federal'!$D$4:$D$2069,'Carga Tributária doenças Po (2'!$O248)</f>
        <v>0</v>
      </c>
      <c r="Z248" s="92" t="str">
        <f>VLOOKUP('Carga Tributária doenças Po (2'!$AD248,'Carga Tributária doenças Po (2'!$CA$12:$CC$16,2,0)</f>
        <v>+</v>
      </c>
      <c r="AA248" s="89" t="s">
        <v>195</v>
      </c>
      <c r="AB248" s="89" t="s">
        <v>21854</v>
      </c>
      <c r="AC248" s="89" t="s">
        <v>21721</v>
      </c>
      <c r="AD248" s="93" t="s">
        <v>21722</v>
      </c>
      <c r="AE248" s="92" t="s">
        <v>2</v>
      </c>
      <c r="AF248" s="92" t="s">
        <v>10</v>
      </c>
      <c r="AG248" s="94">
        <v>481482</v>
      </c>
      <c r="AH248" s="95">
        <v>9545894</v>
      </c>
      <c r="AI248" s="95">
        <v>21725966.699999999</v>
      </c>
      <c r="AJ248" s="89" t="s">
        <v>203</v>
      </c>
      <c r="AK248" s="89">
        <f>IF('Carga Tributária doenças Po (2'!$Z248="+",0,SUMIFS(PISCOFINS!$I$3:$I$10518,PISCOFINS!$C$3:$C$10518,'Carga Tributária doenças Po (2'!$C248))</f>
        <v>0</v>
      </c>
      <c r="AL248" s="89">
        <f>IF('Carga Tributária doenças Po (2'!$Z248="+",0,SUMIFS(PISCOFINS!$H$3:$H$10518,PISCOFINS!$C$3:$C$10518,'Carga Tributária doenças Po (2'!$C248))</f>
        <v>0</v>
      </c>
      <c r="AM248" s="95">
        <v>3.27</v>
      </c>
      <c r="AN248" s="95">
        <v>3.12</v>
      </c>
      <c r="AO248" s="95">
        <v>1.35</v>
      </c>
      <c r="AP248" s="96">
        <v>18</v>
      </c>
      <c r="AQ248" s="96">
        <v>12</v>
      </c>
      <c r="AR248" s="96">
        <v>17</v>
      </c>
      <c r="AS248" s="97">
        <v>17</v>
      </c>
      <c r="AT248" s="97">
        <v>19</v>
      </c>
      <c r="AU248" s="97">
        <v>12</v>
      </c>
      <c r="AV248" s="97">
        <v>17</v>
      </c>
      <c r="AW248" s="97">
        <v>17</v>
      </c>
      <c r="AX248" s="97">
        <v>17</v>
      </c>
      <c r="AY248" s="97">
        <v>17</v>
      </c>
      <c r="AZ248" s="97">
        <v>17</v>
      </c>
      <c r="BA248" s="97">
        <v>17</v>
      </c>
      <c r="BB248" s="97">
        <v>17</v>
      </c>
      <c r="BC248" s="97">
        <v>17</v>
      </c>
      <c r="BD248" s="97">
        <v>17</v>
      </c>
      <c r="BE248" s="97">
        <v>17</v>
      </c>
      <c r="BF248" s="97">
        <f>+Tabela1107[[#This Row],[PIS]]+Tabela1107[[#This Row],[COFINS]]+Tabela1107[[#This Row],[CONTRIB. FOLHA]]+Tabela1107[[#This Row],[TRIBUTOS S/ LUCRO]]+Tabela1107[[#This Row],[OUTROS]]+Tabela1107[[#This Row],[SP]]</f>
        <v>25.740000000000002</v>
      </c>
      <c r="BG248" s="97">
        <f>+Tabela1107[[#This Row],[PIS]]+Tabela1107[[#This Row],[COFINS]]+Tabela1107[[#This Row],[CONTRIB. FOLHA]]+Tabela1107[[#This Row],[TRIBUTOS S/ LUCRO]]+Tabela1107[[#This Row],[OUTROS]]+Tabela1107[[#This Row],[PR]]</f>
        <v>19.740000000000002</v>
      </c>
      <c r="BH248" s="97">
        <f>+Tabela1107[[#This Row],[PIS]]+Tabela1107[[#This Row],[COFINS]]+Tabela1107[[#This Row],[CONTRIB. FOLHA]]+Tabela1107[[#This Row],[TRIBUTOS S/ LUCRO]]+Tabela1107[[#This Row],[OUTROS]]+Tabela1107[[#This Row],[SC]]</f>
        <v>24.740000000000002</v>
      </c>
      <c r="BI248" s="97">
        <f>+Tabela1107[[#This Row],[PIS]]+Tabela1107[[#This Row],[COFINS]]+Tabela1107[[#This Row],[CONTRIB. FOLHA]]+Tabela1107[[#This Row],[TRIBUTOS S/ LUCRO]]+Tabela1107[[#This Row],[OUTROS]]+Tabela1107[[#This Row],[RS]]</f>
        <v>24.740000000000002</v>
      </c>
      <c r="BJ248" s="97">
        <f>+Tabela1107[[#This Row],[PIS]]+Tabela1107[[#This Row],[COFINS]]+Tabela1107[[#This Row],[CONTRIB. FOLHA]]+Tabela1107[[#This Row],[TRIBUTOS S/ LUCRO]]+Tabela1107[[#This Row],[OUTROS]]+Tabela1107[[#This Row],[RJ]]</f>
        <v>26.740000000000002</v>
      </c>
      <c r="BK248" s="97">
        <f>+Tabela1107[[#This Row],[PIS]]+Tabela1107[[#This Row],[COFINS]]+Tabela1107[[#This Row],[CONTRIB. FOLHA]]+Tabela1107[[#This Row],[TRIBUTOS S/ LUCRO]]+Tabela1107[[#This Row],[OUTROS]]+Tabela1107[[#This Row],[MG]]</f>
        <v>19.740000000000002</v>
      </c>
      <c r="BL248" s="97">
        <f>+Tabela1107[[#This Row],[PIS]]+Tabela1107[[#This Row],[COFINS]]+Tabela1107[[#This Row],[CONTRIB. FOLHA]]+Tabela1107[[#This Row],[TRIBUTOS S/ LUCRO]]+Tabela1107[[#This Row],[OUTROS]]+Tabela1107[[#This Row],[ES]]</f>
        <v>24.740000000000002</v>
      </c>
      <c r="BM248" s="97">
        <f>+Tabela1107[[#This Row],[PIS]]+Tabela1107[[#This Row],[COFINS]]+Tabela1107[[#This Row],[CONTRIB. FOLHA]]+Tabela1107[[#This Row],[TRIBUTOS S/ LUCRO]]+Tabela1107[[#This Row],[OUTROS]]+Tabela1107[[#This Row],[GO]]</f>
        <v>24.740000000000002</v>
      </c>
      <c r="BN248" s="97">
        <f>+Tabela1107[[#This Row],[PIS]]+Tabela1107[[#This Row],[COFINS]]+Tabela1107[[#This Row],[CONTRIB. FOLHA]]+Tabela1107[[#This Row],[TRIBUTOS S/ LUCRO]]+Tabela1107[[#This Row],[OUTROS]]+Tabela1107[[#This Row],[MT]]</f>
        <v>24.740000000000002</v>
      </c>
      <c r="BO248" s="97">
        <f>+Tabela1107[[#This Row],[PIS]]+Tabela1107[[#This Row],[COFINS]]+Tabela1107[[#This Row],[CONTRIB. FOLHA]]+Tabela1107[[#This Row],[TRIBUTOS S/ LUCRO]]+Tabela1107[[#This Row],[OUTROS]]+Tabela1107[[#This Row],[MS]]</f>
        <v>24.740000000000002</v>
      </c>
      <c r="BP248" s="97">
        <f>+Tabela1107[[#This Row],[PIS]]+Tabela1107[[#This Row],[COFINS]]+Tabela1107[[#This Row],[CONTRIB. FOLHA]]+Tabela1107[[#This Row],[TRIBUTOS S/ LUCRO]]+Tabela1107[[#This Row],[OUTROS]]+Tabela1107[[#This Row],[DF]]</f>
        <v>24.740000000000002</v>
      </c>
      <c r="BQ248" s="97">
        <f>+Tabela1107[[#This Row],[PIS]]+Tabela1107[[#This Row],[COFINS]]+Tabela1107[[#This Row],[CONTRIB. FOLHA]]+Tabela1107[[#This Row],[TRIBUTOS S/ LUCRO]]+Tabela1107[[#This Row],[OUTROS]]+Tabela1107[[#This Row],[BA]]</f>
        <v>24.740000000000002</v>
      </c>
      <c r="BR248" s="97">
        <f>+Tabela1107[[#This Row],[PIS]]+Tabela1107[[#This Row],[COFINS]]+Tabela1107[[#This Row],[CONTRIB. FOLHA]]+Tabela1107[[#This Row],[TRIBUTOS S/ LUCRO]]+Tabela1107[[#This Row],[OUTROS]]+Tabela1107[[#This Row],[BA]]</f>
        <v>24.740000000000002</v>
      </c>
      <c r="BS248" s="97">
        <f>+Tabela1107[[#This Row],[PIS]]+Tabela1107[[#This Row],[COFINS]]+Tabela1107[[#This Row],[CONTRIB. FOLHA]]+Tabela1107[[#This Row],[TRIBUTOS S/ LUCRO]]+Tabela1107[[#This Row],[OUTROS]]+Tabela1107[[#This Row],[PE]]</f>
        <v>24.740000000000002</v>
      </c>
      <c r="BT248" s="97">
        <f>+Tabela1107[[#This Row],[PIS]]+Tabela1107[[#This Row],[COFINS]]+Tabela1107[[#This Row],[CONTRIB. FOLHA]]+Tabela1107[[#This Row],[TRIBUTOS S/ LUCRO]]+Tabela1107[[#This Row],[OUTROS]]+Tabela1107[[#This Row],[PA]]</f>
        <v>24.740000000000002</v>
      </c>
      <c r="BU248" s="97">
        <f>+Tabela1107[[#This Row],[PIS]]+Tabela1107[[#This Row],[COFINS]]+Tabela1107[[#This Row],[CONTRIB. FOLHA]]+Tabela1107[[#This Row],[TRIBUTOS S/ LUCRO]]+Tabela1107[[#This Row],[OUTROS]]+Tabela1107[[#This Row],[AM]]</f>
        <v>24.740000000000002</v>
      </c>
      <c r="BV248" s="97">
        <f>AVERAGE(Tabela1107[[#This Row],[TOTAL SP]:[TOTAL AM]])</f>
        <v>24.302500000000006</v>
      </c>
      <c r="BW248" s="97"/>
      <c r="BX248" s="97"/>
    </row>
    <row r="249" spans="2:76" x14ac:dyDescent="0.25">
      <c r="B249" s="89">
        <v>9858</v>
      </c>
      <c r="C249" s="91" t="s">
        <v>13101</v>
      </c>
      <c r="D249" s="89"/>
      <c r="E249" s="89">
        <v>20140626</v>
      </c>
      <c r="F249" s="89" t="s">
        <v>20935</v>
      </c>
      <c r="G249" s="89" t="s">
        <v>20936</v>
      </c>
      <c r="H249" s="89" t="s">
        <v>20937</v>
      </c>
      <c r="I249" s="89" t="s">
        <v>20938</v>
      </c>
      <c r="J249" s="89" t="s">
        <v>135</v>
      </c>
      <c r="K249" s="89"/>
      <c r="L249" s="89" t="s">
        <v>2698</v>
      </c>
      <c r="M249" s="89" t="s">
        <v>4496</v>
      </c>
      <c r="N249" s="89" t="s">
        <v>4496</v>
      </c>
      <c r="O249" s="89" t="s">
        <v>4496</v>
      </c>
      <c r="P249" s="89" t="s">
        <v>4496</v>
      </c>
      <c r="Q249" s="89"/>
      <c r="R249" s="89" t="s">
        <v>136</v>
      </c>
      <c r="S249" s="89" t="s">
        <v>21640</v>
      </c>
      <c r="T249" s="89" t="s">
        <v>21641</v>
      </c>
      <c r="U249" s="89" t="str">
        <f>TRIM('Carga Tributária doenças Po (2'!$L249)</f>
        <v>TIBOLONA</v>
      </c>
      <c r="V249" s="89">
        <f>SUMIFS('Tabela Federal'!$E$4:$E$2069,'Tabela Federal'!$D$4:$D$2069,'Carga Tributária doenças Po (2'!$L249)</f>
        <v>1</v>
      </c>
      <c r="W249" s="89">
        <f>SUMIFS('Tabela Federal'!$E$4:$E$2069,'Tabela Federal'!$D$4:$D$2069,'Carga Tributária doenças Po (2'!$M249)</f>
        <v>0</v>
      </c>
      <c r="X249" s="89">
        <f>SUMIFS('Tabela Federal'!$E$4:$E$2069,'Tabela Federal'!$D$4:$D$2069,'Carga Tributária doenças Po (2'!$N249)</f>
        <v>0</v>
      </c>
      <c r="Y249" s="89">
        <f>SUMIFS('Tabela Federal'!$E$4:$E$2069,'Tabela Federal'!$D$4:$D$2069,'Carga Tributária doenças Po (2'!$O249)</f>
        <v>0</v>
      </c>
      <c r="Z249" s="92" t="str">
        <f>VLOOKUP('Carga Tributária doenças Po (2'!$AD249,'Carga Tributária doenças Po (2'!$CA$12:$CC$16,2,0)</f>
        <v>+</v>
      </c>
      <c r="AA249" s="89" t="s">
        <v>129</v>
      </c>
      <c r="AB249" s="89" t="s">
        <v>21896</v>
      </c>
      <c r="AC249" s="89" t="s">
        <v>21721</v>
      </c>
      <c r="AD249" s="93" t="s">
        <v>21722</v>
      </c>
      <c r="AE249" s="92" t="s">
        <v>2</v>
      </c>
      <c r="AF249" s="92" t="s">
        <v>3</v>
      </c>
      <c r="AG249" s="94">
        <v>380144</v>
      </c>
      <c r="AH249" s="95">
        <v>4595959</v>
      </c>
      <c r="AI249" s="95">
        <v>10494856.220000001</v>
      </c>
      <c r="AJ249" s="89" t="s">
        <v>146</v>
      </c>
      <c r="AK249" s="89">
        <f>IF('Carga Tributária doenças Po (2'!$Z249="+",0,SUMIFS(PISCOFINS!$I$3:$I$10518,PISCOFINS!$C$3:$C$10518,'Carga Tributária doenças Po (2'!$C249))</f>
        <v>0</v>
      </c>
      <c r="AL249" s="89">
        <f>IF('Carga Tributária doenças Po (2'!$Z249="+",0,SUMIFS(PISCOFINS!$H$3:$H$10518,PISCOFINS!$C$3:$C$10518,'Carga Tributária doenças Po (2'!$C249))</f>
        <v>0</v>
      </c>
      <c r="AM249" s="95">
        <v>3.27</v>
      </c>
      <c r="AN249" s="95">
        <v>3.12</v>
      </c>
      <c r="AO249" s="95">
        <v>1.35</v>
      </c>
      <c r="AP249" s="96">
        <v>18</v>
      </c>
      <c r="AQ249" s="96">
        <v>12</v>
      </c>
      <c r="AR249" s="96">
        <v>17</v>
      </c>
      <c r="AS249" s="97">
        <v>17</v>
      </c>
      <c r="AT249" s="97">
        <v>19</v>
      </c>
      <c r="AU249" s="97">
        <v>18</v>
      </c>
      <c r="AV249" s="97">
        <v>17</v>
      </c>
      <c r="AW249" s="97">
        <v>17</v>
      </c>
      <c r="AX249" s="97">
        <v>17</v>
      </c>
      <c r="AY249" s="97">
        <v>17</v>
      </c>
      <c r="AZ249" s="97">
        <v>17</v>
      </c>
      <c r="BA249" s="97">
        <v>17</v>
      </c>
      <c r="BB249" s="97">
        <v>17</v>
      </c>
      <c r="BC249" s="97">
        <v>17</v>
      </c>
      <c r="BD249" s="97">
        <v>17</v>
      </c>
      <c r="BE249" s="97">
        <v>17</v>
      </c>
      <c r="BF249" s="97">
        <f>+Tabela1107[[#This Row],[PIS]]+Tabela1107[[#This Row],[COFINS]]+Tabela1107[[#This Row],[CONTRIB. FOLHA]]+Tabela1107[[#This Row],[TRIBUTOS S/ LUCRO]]+Tabela1107[[#This Row],[OUTROS]]+Tabela1107[[#This Row],[SP]]</f>
        <v>25.740000000000002</v>
      </c>
      <c r="BG249" s="97">
        <f>+Tabela1107[[#This Row],[PIS]]+Tabela1107[[#This Row],[COFINS]]+Tabela1107[[#This Row],[CONTRIB. FOLHA]]+Tabela1107[[#This Row],[TRIBUTOS S/ LUCRO]]+Tabela1107[[#This Row],[OUTROS]]+Tabela1107[[#This Row],[PR]]</f>
        <v>19.740000000000002</v>
      </c>
      <c r="BH249" s="97">
        <f>+Tabela1107[[#This Row],[PIS]]+Tabela1107[[#This Row],[COFINS]]+Tabela1107[[#This Row],[CONTRIB. FOLHA]]+Tabela1107[[#This Row],[TRIBUTOS S/ LUCRO]]+Tabela1107[[#This Row],[OUTROS]]+Tabela1107[[#This Row],[SC]]</f>
        <v>24.740000000000002</v>
      </c>
      <c r="BI249" s="97">
        <f>+Tabela1107[[#This Row],[PIS]]+Tabela1107[[#This Row],[COFINS]]+Tabela1107[[#This Row],[CONTRIB. FOLHA]]+Tabela1107[[#This Row],[TRIBUTOS S/ LUCRO]]+Tabela1107[[#This Row],[OUTROS]]+Tabela1107[[#This Row],[RS]]</f>
        <v>24.740000000000002</v>
      </c>
      <c r="BJ249" s="97">
        <f>+Tabela1107[[#This Row],[PIS]]+Tabela1107[[#This Row],[COFINS]]+Tabela1107[[#This Row],[CONTRIB. FOLHA]]+Tabela1107[[#This Row],[TRIBUTOS S/ LUCRO]]+Tabela1107[[#This Row],[OUTROS]]+Tabela1107[[#This Row],[RJ]]</f>
        <v>26.740000000000002</v>
      </c>
      <c r="BK249" s="97">
        <f>+Tabela1107[[#This Row],[PIS]]+Tabela1107[[#This Row],[COFINS]]+Tabela1107[[#This Row],[CONTRIB. FOLHA]]+Tabela1107[[#This Row],[TRIBUTOS S/ LUCRO]]+Tabela1107[[#This Row],[OUTROS]]+Tabela1107[[#This Row],[MG]]</f>
        <v>25.740000000000002</v>
      </c>
      <c r="BL249" s="97">
        <f>+Tabela1107[[#This Row],[PIS]]+Tabela1107[[#This Row],[COFINS]]+Tabela1107[[#This Row],[CONTRIB. FOLHA]]+Tabela1107[[#This Row],[TRIBUTOS S/ LUCRO]]+Tabela1107[[#This Row],[OUTROS]]+Tabela1107[[#This Row],[ES]]</f>
        <v>24.740000000000002</v>
      </c>
      <c r="BM249" s="97">
        <f>+Tabela1107[[#This Row],[PIS]]+Tabela1107[[#This Row],[COFINS]]+Tabela1107[[#This Row],[CONTRIB. FOLHA]]+Tabela1107[[#This Row],[TRIBUTOS S/ LUCRO]]+Tabela1107[[#This Row],[OUTROS]]+Tabela1107[[#This Row],[GO]]</f>
        <v>24.740000000000002</v>
      </c>
      <c r="BN249" s="97">
        <f>+Tabela1107[[#This Row],[PIS]]+Tabela1107[[#This Row],[COFINS]]+Tabela1107[[#This Row],[CONTRIB. FOLHA]]+Tabela1107[[#This Row],[TRIBUTOS S/ LUCRO]]+Tabela1107[[#This Row],[OUTROS]]+Tabela1107[[#This Row],[MT]]</f>
        <v>24.740000000000002</v>
      </c>
      <c r="BO249" s="97">
        <f>+Tabela1107[[#This Row],[PIS]]+Tabela1107[[#This Row],[COFINS]]+Tabela1107[[#This Row],[CONTRIB. FOLHA]]+Tabela1107[[#This Row],[TRIBUTOS S/ LUCRO]]+Tabela1107[[#This Row],[OUTROS]]+Tabela1107[[#This Row],[MS]]</f>
        <v>24.740000000000002</v>
      </c>
      <c r="BP249" s="97">
        <f>+Tabela1107[[#This Row],[PIS]]+Tabela1107[[#This Row],[COFINS]]+Tabela1107[[#This Row],[CONTRIB. FOLHA]]+Tabela1107[[#This Row],[TRIBUTOS S/ LUCRO]]+Tabela1107[[#This Row],[OUTROS]]+Tabela1107[[#This Row],[DF]]</f>
        <v>24.740000000000002</v>
      </c>
      <c r="BQ249" s="97">
        <f>+Tabela1107[[#This Row],[PIS]]+Tabela1107[[#This Row],[COFINS]]+Tabela1107[[#This Row],[CONTRIB. FOLHA]]+Tabela1107[[#This Row],[TRIBUTOS S/ LUCRO]]+Tabela1107[[#This Row],[OUTROS]]+Tabela1107[[#This Row],[BA]]</f>
        <v>24.740000000000002</v>
      </c>
      <c r="BR249" s="97">
        <f>+Tabela1107[[#This Row],[PIS]]+Tabela1107[[#This Row],[COFINS]]+Tabela1107[[#This Row],[CONTRIB. FOLHA]]+Tabela1107[[#This Row],[TRIBUTOS S/ LUCRO]]+Tabela1107[[#This Row],[OUTROS]]+Tabela1107[[#This Row],[BA]]</f>
        <v>24.740000000000002</v>
      </c>
      <c r="BS249" s="97">
        <f>+Tabela1107[[#This Row],[PIS]]+Tabela1107[[#This Row],[COFINS]]+Tabela1107[[#This Row],[CONTRIB. FOLHA]]+Tabela1107[[#This Row],[TRIBUTOS S/ LUCRO]]+Tabela1107[[#This Row],[OUTROS]]+Tabela1107[[#This Row],[PE]]</f>
        <v>24.740000000000002</v>
      </c>
      <c r="BT249" s="97">
        <f>+Tabela1107[[#This Row],[PIS]]+Tabela1107[[#This Row],[COFINS]]+Tabela1107[[#This Row],[CONTRIB. FOLHA]]+Tabela1107[[#This Row],[TRIBUTOS S/ LUCRO]]+Tabela1107[[#This Row],[OUTROS]]+Tabela1107[[#This Row],[PA]]</f>
        <v>24.740000000000002</v>
      </c>
      <c r="BU249" s="97">
        <f>+Tabela1107[[#This Row],[PIS]]+Tabela1107[[#This Row],[COFINS]]+Tabela1107[[#This Row],[CONTRIB. FOLHA]]+Tabela1107[[#This Row],[TRIBUTOS S/ LUCRO]]+Tabela1107[[#This Row],[OUTROS]]+Tabela1107[[#This Row],[AM]]</f>
        <v>24.740000000000002</v>
      </c>
      <c r="BV249" s="97">
        <f>AVERAGE(Tabela1107[[#This Row],[TOTAL SP]:[TOTAL AM]])</f>
        <v>24.677500000000006</v>
      </c>
      <c r="BW249" s="97"/>
      <c r="BX249" s="97"/>
    </row>
    <row r="250" spans="2:76" x14ac:dyDescent="0.25">
      <c r="B250" s="89">
        <v>15749</v>
      </c>
      <c r="C250" s="91" t="s">
        <v>13183</v>
      </c>
      <c r="D250" s="89"/>
      <c r="E250" s="89">
        <v>20140626</v>
      </c>
      <c r="F250" s="89" t="s">
        <v>20764</v>
      </c>
      <c r="G250" s="89" t="s">
        <v>20765</v>
      </c>
      <c r="H250" s="89" t="s">
        <v>20766</v>
      </c>
      <c r="I250" s="89" t="s">
        <v>20767</v>
      </c>
      <c r="J250" s="89" t="s">
        <v>486</v>
      </c>
      <c r="K250" s="89"/>
      <c r="L250" s="89" t="s">
        <v>3177</v>
      </c>
      <c r="M250" s="89" t="s">
        <v>3178</v>
      </c>
      <c r="N250" s="89" t="s">
        <v>4496</v>
      </c>
      <c r="O250" s="89" t="s">
        <v>4496</v>
      </c>
      <c r="P250" s="89" t="s">
        <v>4496</v>
      </c>
      <c r="Q250" s="89"/>
      <c r="R250" s="89" t="s">
        <v>290</v>
      </c>
      <c r="S250" s="89" t="s">
        <v>21620</v>
      </c>
      <c r="T250" s="89" t="s">
        <v>21621</v>
      </c>
      <c r="U250" s="89" t="str">
        <f>TRIM('Carga Tributária doenças Po (2'!$L250)</f>
        <v>LIDOCAINA</v>
      </c>
      <c r="V250" s="89">
        <f>SUMIFS('Tabela Federal'!$E$4:$E$2069,'Tabela Federal'!$D$4:$D$2069,'Carga Tributária doenças Po (2'!$L250)</f>
        <v>5</v>
      </c>
      <c r="W250" s="89">
        <f>SUMIFS('Tabela Federal'!$E$4:$E$2069,'Tabela Federal'!$D$4:$D$2069,'Carga Tributária doenças Po (2'!$M250)</f>
        <v>0</v>
      </c>
      <c r="X250" s="89">
        <f>SUMIFS('Tabela Federal'!$E$4:$E$2069,'Tabela Federal'!$D$4:$D$2069,'Carga Tributária doenças Po (2'!$N250)</f>
        <v>0</v>
      </c>
      <c r="Y250" s="89">
        <f>SUMIFS('Tabela Federal'!$E$4:$E$2069,'Tabela Federal'!$D$4:$D$2069,'Carga Tributária doenças Po (2'!$O250)</f>
        <v>0</v>
      </c>
      <c r="Z250" s="92" t="str">
        <f>VLOOKUP('Carga Tributária doenças Po (2'!$AD250,'Carga Tributária doenças Po (2'!$CA$12:$CC$16,2,0)</f>
        <v>-</v>
      </c>
      <c r="AA250" s="89" t="s">
        <v>476</v>
      </c>
      <c r="AB250" s="89" t="s">
        <v>21816</v>
      </c>
      <c r="AC250" s="89" t="s">
        <v>21721</v>
      </c>
      <c r="AD250" s="93" t="s">
        <v>19523</v>
      </c>
      <c r="AE250" s="92" t="s">
        <v>4</v>
      </c>
      <c r="AF250" s="92" t="s">
        <v>23</v>
      </c>
      <c r="AG250" s="94">
        <v>317610</v>
      </c>
      <c r="AH250" s="95">
        <v>1012774</v>
      </c>
      <c r="AI250" s="95">
        <v>2315518.2999999998</v>
      </c>
      <c r="AJ250" s="89" t="s">
        <v>472</v>
      </c>
      <c r="AK250" s="89">
        <f>IF('Carga Tributária doenças Po (2'!$Z250="+",0,SUMIFS(PISCOFINS!$I$3:$I$10518,PISCOFINS!$C$3:$C$10518,'Carga Tributária doenças Po (2'!$C250))</f>
        <v>2.1</v>
      </c>
      <c r="AL250" s="89">
        <f>IF('Carga Tributária doenças Po (2'!$Z250="+",0,SUMIFS(PISCOFINS!$H$3:$H$10518,PISCOFINS!$C$3:$C$10518,'Carga Tributária doenças Po (2'!$C250))</f>
        <v>9.9</v>
      </c>
      <c r="AM250" s="95">
        <v>3.27</v>
      </c>
      <c r="AN250" s="95">
        <v>3.12</v>
      </c>
      <c r="AO250" s="95">
        <v>1.35</v>
      </c>
      <c r="AP250" s="96">
        <v>18</v>
      </c>
      <c r="AQ250" s="96">
        <v>12</v>
      </c>
      <c r="AR250" s="96">
        <v>17</v>
      </c>
      <c r="AS250" s="97">
        <v>17</v>
      </c>
      <c r="AT250" s="97">
        <v>19</v>
      </c>
      <c r="AU250" s="97">
        <v>18</v>
      </c>
      <c r="AV250" s="97">
        <v>17</v>
      </c>
      <c r="AW250" s="97">
        <v>17</v>
      </c>
      <c r="AX250" s="97">
        <v>17</v>
      </c>
      <c r="AY250" s="97">
        <v>17</v>
      </c>
      <c r="AZ250" s="97">
        <v>17</v>
      </c>
      <c r="BA250" s="97">
        <v>17</v>
      </c>
      <c r="BB250" s="97">
        <v>17</v>
      </c>
      <c r="BC250" s="97">
        <v>17</v>
      </c>
      <c r="BD250" s="97">
        <v>17</v>
      </c>
      <c r="BE250" s="97">
        <v>17</v>
      </c>
      <c r="BF250" s="97">
        <f>+Tabela1107[[#This Row],[PIS]]+Tabela1107[[#This Row],[COFINS]]+Tabela1107[[#This Row],[CONTRIB. FOLHA]]+Tabela1107[[#This Row],[TRIBUTOS S/ LUCRO]]+Tabela1107[[#This Row],[OUTROS]]+Tabela1107[[#This Row],[SP]]</f>
        <v>37.74</v>
      </c>
      <c r="BG250" s="97">
        <f>+Tabela1107[[#This Row],[PIS]]+Tabela1107[[#This Row],[COFINS]]+Tabela1107[[#This Row],[CONTRIB. FOLHA]]+Tabela1107[[#This Row],[TRIBUTOS S/ LUCRO]]+Tabela1107[[#This Row],[OUTROS]]+Tabela1107[[#This Row],[PR]]</f>
        <v>31.740000000000002</v>
      </c>
      <c r="BH250" s="97">
        <f>+Tabela1107[[#This Row],[PIS]]+Tabela1107[[#This Row],[COFINS]]+Tabela1107[[#This Row],[CONTRIB. FOLHA]]+Tabela1107[[#This Row],[TRIBUTOS S/ LUCRO]]+Tabela1107[[#This Row],[OUTROS]]+Tabela1107[[#This Row],[SC]]</f>
        <v>36.74</v>
      </c>
      <c r="BI250" s="97">
        <f>+Tabela1107[[#This Row],[PIS]]+Tabela1107[[#This Row],[COFINS]]+Tabela1107[[#This Row],[CONTRIB. FOLHA]]+Tabela1107[[#This Row],[TRIBUTOS S/ LUCRO]]+Tabela1107[[#This Row],[OUTROS]]+Tabela1107[[#This Row],[RS]]</f>
        <v>36.74</v>
      </c>
      <c r="BJ250" s="97">
        <f>+Tabela1107[[#This Row],[PIS]]+Tabela1107[[#This Row],[COFINS]]+Tabela1107[[#This Row],[CONTRIB. FOLHA]]+Tabela1107[[#This Row],[TRIBUTOS S/ LUCRO]]+Tabela1107[[#This Row],[OUTROS]]+Tabela1107[[#This Row],[RJ]]</f>
        <v>38.74</v>
      </c>
      <c r="BK250" s="97">
        <f>+Tabela1107[[#This Row],[PIS]]+Tabela1107[[#This Row],[COFINS]]+Tabela1107[[#This Row],[CONTRIB. FOLHA]]+Tabela1107[[#This Row],[TRIBUTOS S/ LUCRO]]+Tabela1107[[#This Row],[OUTROS]]+Tabela1107[[#This Row],[MG]]</f>
        <v>37.74</v>
      </c>
      <c r="BL250" s="97">
        <f>+Tabela1107[[#This Row],[PIS]]+Tabela1107[[#This Row],[COFINS]]+Tabela1107[[#This Row],[CONTRIB. FOLHA]]+Tabela1107[[#This Row],[TRIBUTOS S/ LUCRO]]+Tabela1107[[#This Row],[OUTROS]]+Tabela1107[[#This Row],[ES]]</f>
        <v>36.74</v>
      </c>
      <c r="BM250" s="97">
        <f>+Tabela1107[[#This Row],[PIS]]+Tabela1107[[#This Row],[COFINS]]+Tabela1107[[#This Row],[CONTRIB. FOLHA]]+Tabela1107[[#This Row],[TRIBUTOS S/ LUCRO]]+Tabela1107[[#This Row],[OUTROS]]+Tabela1107[[#This Row],[GO]]</f>
        <v>36.74</v>
      </c>
      <c r="BN250" s="97">
        <f>+Tabela1107[[#This Row],[PIS]]+Tabela1107[[#This Row],[COFINS]]+Tabela1107[[#This Row],[CONTRIB. FOLHA]]+Tabela1107[[#This Row],[TRIBUTOS S/ LUCRO]]+Tabela1107[[#This Row],[OUTROS]]+Tabela1107[[#This Row],[MT]]</f>
        <v>36.74</v>
      </c>
      <c r="BO250" s="97">
        <f>+Tabela1107[[#This Row],[PIS]]+Tabela1107[[#This Row],[COFINS]]+Tabela1107[[#This Row],[CONTRIB. FOLHA]]+Tabela1107[[#This Row],[TRIBUTOS S/ LUCRO]]+Tabela1107[[#This Row],[OUTROS]]+Tabela1107[[#This Row],[MS]]</f>
        <v>36.74</v>
      </c>
      <c r="BP250" s="97">
        <f>+Tabela1107[[#This Row],[PIS]]+Tabela1107[[#This Row],[COFINS]]+Tabela1107[[#This Row],[CONTRIB. FOLHA]]+Tabela1107[[#This Row],[TRIBUTOS S/ LUCRO]]+Tabela1107[[#This Row],[OUTROS]]+Tabela1107[[#This Row],[DF]]</f>
        <v>36.74</v>
      </c>
      <c r="BQ250" s="97">
        <f>+Tabela1107[[#This Row],[PIS]]+Tabela1107[[#This Row],[COFINS]]+Tabela1107[[#This Row],[CONTRIB. FOLHA]]+Tabela1107[[#This Row],[TRIBUTOS S/ LUCRO]]+Tabela1107[[#This Row],[OUTROS]]+Tabela1107[[#This Row],[BA]]</f>
        <v>36.74</v>
      </c>
      <c r="BR250" s="97">
        <f>+Tabela1107[[#This Row],[PIS]]+Tabela1107[[#This Row],[COFINS]]+Tabela1107[[#This Row],[CONTRIB. FOLHA]]+Tabela1107[[#This Row],[TRIBUTOS S/ LUCRO]]+Tabela1107[[#This Row],[OUTROS]]+Tabela1107[[#This Row],[BA]]</f>
        <v>36.74</v>
      </c>
      <c r="BS250" s="97">
        <f>+Tabela1107[[#This Row],[PIS]]+Tabela1107[[#This Row],[COFINS]]+Tabela1107[[#This Row],[CONTRIB. FOLHA]]+Tabela1107[[#This Row],[TRIBUTOS S/ LUCRO]]+Tabela1107[[#This Row],[OUTROS]]+Tabela1107[[#This Row],[PE]]</f>
        <v>36.74</v>
      </c>
      <c r="BT250" s="97">
        <f>+Tabela1107[[#This Row],[PIS]]+Tabela1107[[#This Row],[COFINS]]+Tabela1107[[#This Row],[CONTRIB. FOLHA]]+Tabela1107[[#This Row],[TRIBUTOS S/ LUCRO]]+Tabela1107[[#This Row],[OUTROS]]+Tabela1107[[#This Row],[PA]]</f>
        <v>36.74</v>
      </c>
      <c r="BU250" s="97">
        <f>+Tabela1107[[#This Row],[PIS]]+Tabela1107[[#This Row],[COFINS]]+Tabela1107[[#This Row],[CONTRIB. FOLHA]]+Tabela1107[[#This Row],[TRIBUTOS S/ LUCRO]]+Tabela1107[[#This Row],[OUTROS]]+Tabela1107[[#This Row],[AM]]</f>
        <v>36.74</v>
      </c>
      <c r="BV250" s="97">
        <f>AVERAGE(Tabela1107[[#This Row],[TOTAL SP]:[TOTAL AM]])</f>
        <v>36.677500000000002</v>
      </c>
      <c r="BW250" s="97"/>
      <c r="BX250" s="97"/>
    </row>
    <row r="251" spans="2:76" x14ac:dyDescent="0.25">
      <c r="B251" s="89">
        <v>15865</v>
      </c>
      <c r="C251" s="91" t="s">
        <v>13022</v>
      </c>
      <c r="D251" s="89"/>
      <c r="E251" s="89">
        <v>20140626</v>
      </c>
      <c r="F251" s="89" t="s">
        <v>20574</v>
      </c>
      <c r="G251" s="89" t="s">
        <v>20575</v>
      </c>
      <c r="H251" s="89" t="s">
        <v>20576</v>
      </c>
      <c r="I251" s="89" t="s">
        <v>20577</v>
      </c>
      <c r="J251" s="89" t="s">
        <v>343</v>
      </c>
      <c r="K251" s="89"/>
      <c r="L251" s="89" t="s">
        <v>2786</v>
      </c>
      <c r="M251" s="89" t="s">
        <v>4496</v>
      </c>
      <c r="N251" s="89" t="s">
        <v>4496</v>
      </c>
      <c r="O251" s="89" t="s">
        <v>4496</v>
      </c>
      <c r="P251" s="89" t="s">
        <v>4496</v>
      </c>
      <c r="Q251" s="89"/>
      <c r="R251" s="89" t="s">
        <v>213</v>
      </c>
      <c r="S251" s="89" t="s">
        <v>21606</v>
      </c>
      <c r="T251" s="89" t="s">
        <v>21607</v>
      </c>
      <c r="U251" s="89" t="str">
        <f>TRIM('Carga Tributária doenças Po (2'!$L251)</f>
        <v>LORATADINA</v>
      </c>
      <c r="V251" s="89">
        <f>SUMIFS('Tabela Federal'!$E$4:$E$2069,'Tabela Federal'!$D$4:$D$2069,'Carga Tributária doenças Po (2'!$L251)</f>
        <v>0</v>
      </c>
      <c r="W251" s="89">
        <f>SUMIFS('Tabela Federal'!$E$4:$E$2069,'Tabela Federal'!$D$4:$D$2069,'Carga Tributária doenças Po (2'!$M251)</f>
        <v>0</v>
      </c>
      <c r="X251" s="89">
        <f>SUMIFS('Tabela Federal'!$E$4:$E$2069,'Tabela Federal'!$D$4:$D$2069,'Carga Tributária doenças Po (2'!$N251)</f>
        <v>0</v>
      </c>
      <c r="Y251" s="89">
        <f>SUMIFS('Tabela Federal'!$E$4:$E$2069,'Tabela Federal'!$D$4:$D$2069,'Carga Tributária doenças Po (2'!$O251)</f>
        <v>0</v>
      </c>
      <c r="Z251" s="92" t="str">
        <f>VLOOKUP('Carga Tributária doenças Po (2'!$AD251,'Carga Tributária doenças Po (2'!$CA$12:$CC$16,2,0)</f>
        <v>-</v>
      </c>
      <c r="AA251" s="89" t="s">
        <v>340</v>
      </c>
      <c r="AB251" s="89" t="s">
        <v>21724</v>
      </c>
      <c r="AC251" s="89" t="s">
        <v>21721</v>
      </c>
      <c r="AD251" s="93" t="s">
        <v>19523</v>
      </c>
      <c r="AE251" s="92" t="s">
        <v>4</v>
      </c>
      <c r="AF251" s="92" t="s">
        <v>3</v>
      </c>
      <c r="AG251" s="94">
        <v>1503708</v>
      </c>
      <c r="AH251" s="95">
        <v>13048207</v>
      </c>
      <c r="AI251" s="95">
        <v>29710959.469999999</v>
      </c>
      <c r="AJ251" s="89" t="s">
        <v>338</v>
      </c>
      <c r="AK251" s="89">
        <f>IF('Carga Tributária doenças Po (2'!$Z251="+",0,SUMIFS(PISCOFINS!$I$3:$I$10518,PISCOFINS!$C$3:$C$10518,'Carga Tributária doenças Po (2'!$C251))</f>
        <v>2.1</v>
      </c>
      <c r="AL251" s="89">
        <f>IF('Carga Tributária doenças Po (2'!$Z251="+",0,SUMIFS(PISCOFINS!$H$3:$H$10518,PISCOFINS!$C$3:$C$10518,'Carga Tributária doenças Po (2'!$C251))</f>
        <v>9.9</v>
      </c>
      <c r="AM251" s="95">
        <v>3.27</v>
      </c>
      <c r="AN251" s="95">
        <v>3.12</v>
      </c>
      <c r="AO251" s="95">
        <v>1.35</v>
      </c>
      <c r="AP251" s="96">
        <v>18</v>
      </c>
      <c r="AQ251" s="96">
        <v>12</v>
      </c>
      <c r="AR251" s="96">
        <v>17</v>
      </c>
      <c r="AS251" s="97">
        <v>17</v>
      </c>
      <c r="AT251" s="97">
        <v>19</v>
      </c>
      <c r="AU251" s="97">
        <v>18</v>
      </c>
      <c r="AV251" s="97">
        <v>17</v>
      </c>
      <c r="AW251" s="97">
        <v>17</v>
      </c>
      <c r="AX251" s="97">
        <v>17</v>
      </c>
      <c r="AY251" s="97">
        <v>17</v>
      </c>
      <c r="AZ251" s="97">
        <v>17</v>
      </c>
      <c r="BA251" s="97">
        <v>17</v>
      </c>
      <c r="BB251" s="97">
        <v>17</v>
      </c>
      <c r="BC251" s="97">
        <v>17</v>
      </c>
      <c r="BD251" s="97">
        <v>17</v>
      </c>
      <c r="BE251" s="97">
        <v>17</v>
      </c>
      <c r="BF251" s="97">
        <f>+Tabela1107[[#This Row],[PIS]]+Tabela1107[[#This Row],[COFINS]]+Tabela1107[[#This Row],[CONTRIB. FOLHA]]+Tabela1107[[#This Row],[TRIBUTOS S/ LUCRO]]+Tabela1107[[#This Row],[OUTROS]]+Tabela1107[[#This Row],[SP]]</f>
        <v>37.74</v>
      </c>
      <c r="BG251" s="97">
        <f>+Tabela1107[[#This Row],[PIS]]+Tabela1107[[#This Row],[COFINS]]+Tabela1107[[#This Row],[CONTRIB. FOLHA]]+Tabela1107[[#This Row],[TRIBUTOS S/ LUCRO]]+Tabela1107[[#This Row],[OUTROS]]+Tabela1107[[#This Row],[PR]]</f>
        <v>31.740000000000002</v>
      </c>
      <c r="BH251" s="97">
        <f>+Tabela1107[[#This Row],[PIS]]+Tabela1107[[#This Row],[COFINS]]+Tabela1107[[#This Row],[CONTRIB. FOLHA]]+Tabela1107[[#This Row],[TRIBUTOS S/ LUCRO]]+Tabela1107[[#This Row],[OUTROS]]+Tabela1107[[#This Row],[SC]]</f>
        <v>36.74</v>
      </c>
      <c r="BI251" s="97">
        <f>+Tabela1107[[#This Row],[PIS]]+Tabela1107[[#This Row],[COFINS]]+Tabela1107[[#This Row],[CONTRIB. FOLHA]]+Tabela1107[[#This Row],[TRIBUTOS S/ LUCRO]]+Tabela1107[[#This Row],[OUTROS]]+Tabela1107[[#This Row],[RS]]</f>
        <v>36.74</v>
      </c>
      <c r="BJ251" s="97">
        <f>+Tabela1107[[#This Row],[PIS]]+Tabela1107[[#This Row],[COFINS]]+Tabela1107[[#This Row],[CONTRIB. FOLHA]]+Tabela1107[[#This Row],[TRIBUTOS S/ LUCRO]]+Tabela1107[[#This Row],[OUTROS]]+Tabela1107[[#This Row],[RJ]]</f>
        <v>38.74</v>
      </c>
      <c r="BK251" s="97">
        <f>+Tabela1107[[#This Row],[PIS]]+Tabela1107[[#This Row],[COFINS]]+Tabela1107[[#This Row],[CONTRIB. FOLHA]]+Tabela1107[[#This Row],[TRIBUTOS S/ LUCRO]]+Tabela1107[[#This Row],[OUTROS]]+Tabela1107[[#This Row],[MG]]</f>
        <v>37.74</v>
      </c>
      <c r="BL251" s="97">
        <f>+Tabela1107[[#This Row],[PIS]]+Tabela1107[[#This Row],[COFINS]]+Tabela1107[[#This Row],[CONTRIB. FOLHA]]+Tabela1107[[#This Row],[TRIBUTOS S/ LUCRO]]+Tabela1107[[#This Row],[OUTROS]]+Tabela1107[[#This Row],[ES]]</f>
        <v>36.74</v>
      </c>
      <c r="BM251" s="97">
        <f>+Tabela1107[[#This Row],[PIS]]+Tabela1107[[#This Row],[COFINS]]+Tabela1107[[#This Row],[CONTRIB. FOLHA]]+Tabela1107[[#This Row],[TRIBUTOS S/ LUCRO]]+Tabela1107[[#This Row],[OUTROS]]+Tabela1107[[#This Row],[GO]]</f>
        <v>36.74</v>
      </c>
      <c r="BN251" s="97">
        <f>+Tabela1107[[#This Row],[PIS]]+Tabela1107[[#This Row],[COFINS]]+Tabela1107[[#This Row],[CONTRIB. FOLHA]]+Tabela1107[[#This Row],[TRIBUTOS S/ LUCRO]]+Tabela1107[[#This Row],[OUTROS]]+Tabela1107[[#This Row],[MT]]</f>
        <v>36.74</v>
      </c>
      <c r="BO251" s="97">
        <f>+Tabela1107[[#This Row],[PIS]]+Tabela1107[[#This Row],[COFINS]]+Tabela1107[[#This Row],[CONTRIB. FOLHA]]+Tabela1107[[#This Row],[TRIBUTOS S/ LUCRO]]+Tabela1107[[#This Row],[OUTROS]]+Tabela1107[[#This Row],[MS]]</f>
        <v>36.74</v>
      </c>
      <c r="BP251" s="97">
        <f>+Tabela1107[[#This Row],[PIS]]+Tabela1107[[#This Row],[COFINS]]+Tabela1107[[#This Row],[CONTRIB. FOLHA]]+Tabela1107[[#This Row],[TRIBUTOS S/ LUCRO]]+Tabela1107[[#This Row],[OUTROS]]+Tabela1107[[#This Row],[DF]]</f>
        <v>36.74</v>
      </c>
      <c r="BQ251" s="97">
        <f>+Tabela1107[[#This Row],[PIS]]+Tabela1107[[#This Row],[COFINS]]+Tabela1107[[#This Row],[CONTRIB. FOLHA]]+Tabela1107[[#This Row],[TRIBUTOS S/ LUCRO]]+Tabela1107[[#This Row],[OUTROS]]+Tabela1107[[#This Row],[BA]]</f>
        <v>36.74</v>
      </c>
      <c r="BR251" s="97">
        <f>+Tabela1107[[#This Row],[PIS]]+Tabela1107[[#This Row],[COFINS]]+Tabela1107[[#This Row],[CONTRIB. FOLHA]]+Tabela1107[[#This Row],[TRIBUTOS S/ LUCRO]]+Tabela1107[[#This Row],[OUTROS]]+Tabela1107[[#This Row],[BA]]</f>
        <v>36.74</v>
      </c>
      <c r="BS251" s="97">
        <f>+Tabela1107[[#This Row],[PIS]]+Tabela1107[[#This Row],[COFINS]]+Tabela1107[[#This Row],[CONTRIB. FOLHA]]+Tabela1107[[#This Row],[TRIBUTOS S/ LUCRO]]+Tabela1107[[#This Row],[OUTROS]]+Tabela1107[[#This Row],[PE]]</f>
        <v>36.74</v>
      </c>
      <c r="BT251" s="97">
        <f>+Tabela1107[[#This Row],[PIS]]+Tabela1107[[#This Row],[COFINS]]+Tabela1107[[#This Row],[CONTRIB. FOLHA]]+Tabela1107[[#This Row],[TRIBUTOS S/ LUCRO]]+Tabela1107[[#This Row],[OUTROS]]+Tabela1107[[#This Row],[PA]]</f>
        <v>36.74</v>
      </c>
      <c r="BU251" s="97">
        <f>+Tabela1107[[#This Row],[PIS]]+Tabela1107[[#This Row],[COFINS]]+Tabela1107[[#This Row],[CONTRIB. FOLHA]]+Tabela1107[[#This Row],[TRIBUTOS S/ LUCRO]]+Tabela1107[[#This Row],[OUTROS]]+Tabela1107[[#This Row],[AM]]</f>
        <v>36.74</v>
      </c>
      <c r="BV251" s="97">
        <f>AVERAGE(Tabela1107[[#This Row],[TOTAL SP]:[TOTAL AM]])</f>
        <v>36.677500000000002</v>
      </c>
      <c r="BW251" s="97"/>
      <c r="BX251" s="97"/>
    </row>
    <row r="252" spans="2:76" x14ac:dyDescent="0.25">
      <c r="B252" s="89">
        <v>15984</v>
      </c>
      <c r="C252" s="91" t="s">
        <v>13177</v>
      </c>
      <c r="D252" s="89"/>
      <c r="E252" s="89">
        <v>20140626</v>
      </c>
      <c r="F252" s="89" t="s">
        <v>21005</v>
      </c>
      <c r="G252" s="89" t="s">
        <v>21006</v>
      </c>
      <c r="H252" s="89" t="s">
        <v>21007</v>
      </c>
      <c r="I252" s="89" t="s">
        <v>20318</v>
      </c>
      <c r="J252" s="89" t="s">
        <v>322</v>
      </c>
      <c r="K252" s="89"/>
      <c r="L252" s="89" t="s">
        <v>2788</v>
      </c>
      <c r="M252" s="89" t="s">
        <v>4496</v>
      </c>
      <c r="N252" s="89" t="s">
        <v>4496</v>
      </c>
      <c r="O252" s="89" t="s">
        <v>4496</v>
      </c>
      <c r="P252" s="89" t="s">
        <v>4496</v>
      </c>
      <c r="Q252" s="89"/>
      <c r="R252" s="89" t="s">
        <v>52</v>
      </c>
      <c r="S252" s="89" t="s">
        <v>21652</v>
      </c>
      <c r="T252" s="89" t="s">
        <v>21653</v>
      </c>
      <c r="U252" s="89" t="str">
        <f>TRIM('Carga Tributária doenças Po (2'!$L252)</f>
        <v>LOSARTANA</v>
      </c>
      <c r="V252" s="89">
        <f>SUMIFS('Tabela Federal'!$E$4:$E$2069,'Tabela Federal'!$D$4:$D$2069,'Carga Tributária doenças Po (2'!$L252)</f>
        <v>2</v>
      </c>
      <c r="W252" s="89">
        <f>SUMIFS('Tabela Federal'!$E$4:$E$2069,'Tabela Federal'!$D$4:$D$2069,'Carga Tributária doenças Po (2'!$M252)</f>
        <v>0</v>
      </c>
      <c r="X252" s="89">
        <f>SUMIFS('Tabela Federal'!$E$4:$E$2069,'Tabela Federal'!$D$4:$D$2069,'Carga Tributária doenças Po (2'!$N252)</f>
        <v>0</v>
      </c>
      <c r="Y252" s="89">
        <f>SUMIFS('Tabela Federal'!$E$4:$E$2069,'Tabela Federal'!$D$4:$D$2069,'Carga Tributária doenças Po (2'!$O252)</f>
        <v>0</v>
      </c>
      <c r="Z252" s="92" t="str">
        <f>VLOOKUP('Carga Tributária doenças Po (2'!$AD252,'Carga Tributária doenças Po (2'!$CA$12:$CC$16,2,0)</f>
        <v>+</v>
      </c>
      <c r="AA252" s="89" t="s">
        <v>318</v>
      </c>
      <c r="AB252" s="89" t="s">
        <v>21851</v>
      </c>
      <c r="AC252" s="89" t="s">
        <v>21721</v>
      </c>
      <c r="AD252" s="93" t="s">
        <v>21722</v>
      </c>
      <c r="AE252" s="92" t="s">
        <v>2</v>
      </c>
      <c r="AF252" s="92" t="s">
        <v>10</v>
      </c>
      <c r="AG252" s="94">
        <v>3824603</v>
      </c>
      <c r="AH252" s="95">
        <v>39197160</v>
      </c>
      <c r="AI252" s="95">
        <v>89240810.030000001</v>
      </c>
      <c r="AJ252" s="89" t="s">
        <v>323</v>
      </c>
      <c r="AK252" s="89">
        <f>IF('Carga Tributária doenças Po (2'!$Z252="+",0,SUMIFS(PISCOFINS!$I$3:$I$10518,PISCOFINS!$C$3:$C$10518,'Carga Tributária doenças Po (2'!$C252))</f>
        <v>0</v>
      </c>
      <c r="AL252" s="89">
        <f>IF('Carga Tributária doenças Po (2'!$Z252="+",0,SUMIFS(PISCOFINS!$H$3:$H$10518,PISCOFINS!$C$3:$C$10518,'Carga Tributária doenças Po (2'!$C252))</f>
        <v>0</v>
      </c>
      <c r="AM252" s="95">
        <v>3.27</v>
      </c>
      <c r="AN252" s="95">
        <v>3.12</v>
      </c>
      <c r="AO252" s="95">
        <v>1.35</v>
      </c>
      <c r="AP252" s="96">
        <v>18</v>
      </c>
      <c r="AQ252" s="96">
        <v>12</v>
      </c>
      <c r="AR252" s="96">
        <v>17</v>
      </c>
      <c r="AS252" s="97">
        <v>17</v>
      </c>
      <c r="AT252" s="97">
        <v>19</v>
      </c>
      <c r="AU252" s="97">
        <v>12</v>
      </c>
      <c r="AV252" s="97">
        <v>17</v>
      </c>
      <c r="AW252" s="97">
        <v>17</v>
      </c>
      <c r="AX252" s="97">
        <v>17</v>
      </c>
      <c r="AY252" s="97">
        <v>17</v>
      </c>
      <c r="AZ252" s="97">
        <v>17</v>
      </c>
      <c r="BA252" s="97">
        <v>17</v>
      </c>
      <c r="BB252" s="97">
        <v>17</v>
      </c>
      <c r="BC252" s="97">
        <v>17</v>
      </c>
      <c r="BD252" s="97">
        <v>17</v>
      </c>
      <c r="BE252" s="97">
        <v>17</v>
      </c>
      <c r="BF252" s="97">
        <f>+Tabela1107[[#This Row],[PIS]]+Tabela1107[[#This Row],[COFINS]]+Tabela1107[[#This Row],[CONTRIB. FOLHA]]+Tabela1107[[#This Row],[TRIBUTOS S/ LUCRO]]+Tabela1107[[#This Row],[OUTROS]]+Tabela1107[[#This Row],[SP]]</f>
        <v>25.740000000000002</v>
      </c>
      <c r="BG252" s="97">
        <f>+Tabela1107[[#This Row],[PIS]]+Tabela1107[[#This Row],[COFINS]]+Tabela1107[[#This Row],[CONTRIB. FOLHA]]+Tabela1107[[#This Row],[TRIBUTOS S/ LUCRO]]+Tabela1107[[#This Row],[OUTROS]]+Tabela1107[[#This Row],[PR]]</f>
        <v>19.740000000000002</v>
      </c>
      <c r="BH252" s="97">
        <f>+Tabela1107[[#This Row],[PIS]]+Tabela1107[[#This Row],[COFINS]]+Tabela1107[[#This Row],[CONTRIB. FOLHA]]+Tabela1107[[#This Row],[TRIBUTOS S/ LUCRO]]+Tabela1107[[#This Row],[OUTROS]]+Tabela1107[[#This Row],[SC]]</f>
        <v>24.740000000000002</v>
      </c>
      <c r="BI252" s="97">
        <f>+Tabela1107[[#This Row],[PIS]]+Tabela1107[[#This Row],[COFINS]]+Tabela1107[[#This Row],[CONTRIB. FOLHA]]+Tabela1107[[#This Row],[TRIBUTOS S/ LUCRO]]+Tabela1107[[#This Row],[OUTROS]]+Tabela1107[[#This Row],[RS]]</f>
        <v>24.740000000000002</v>
      </c>
      <c r="BJ252" s="97">
        <f>+Tabela1107[[#This Row],[PIS]]+Tabela1107[[#This Row],[COFINS]]+Tabela1107[[#This Row],[CONTRIB. FOLHA]]+Tabela1107[[#This Row],[TRIBUTOS S/ LUCRO]]+Tabela1107[[#This Row],[OUTROS]]+Tabela1107[[#This Row],[RJ]]</f>
        <v>26.740000000000002</v>
      </c>
      <c r="BK252" s="97">
        <f>+Tabela1107[[#This Row],[PIS]]+Tabela1107[[#This Row],[COFINS]]+Tabela1107[[#This Row],[CONTRIB. FOLHA]]+Tabela1107[[#This Row],[TRIBUTOS S/ LUCRO]]+Tabela1107[[#This Row],[OUTROS]]+Tabela1107[[#This Row],[MG]]</f>
        <v>19.740000000000002</v>
      </c>
      <c r="BL252" s="97">
        <f>+Tabela1107[[#This Row],[PIS]]+Tabela1107[[#This Row],[COFINS]]+Tabela1107[[#This Row],[CONTRIB. FOLHA]]+Tabela1107[[#This Row],[TRIBUTOS S/ LUCRO]]+Tabela1107[[#This Row],[OUTROS]]+Tabela1107[[#This Row],[ES]]</f>
        <v>24.740000000000002</v>
      </c>
      <c r="BM252" s="97">
        <f>+Tabela1107[[#This Row],[PIS]]+Tabela1107[[#This Row],[COFINS]]+Tabela1107[[#This Row],[CONTRIB. FOLHA]]+Tabela1107[[#This Row],[TRIBUTOS S/ LUCRO]]+Tabela1107[[#This Row],[OUTROS]]+Tabela1107[[#This Row],[GO]]</f>
        <v>24.740000000000002</v>
      </c>
      <c r="BN252" s="97">
        <f>+Tabela1107[[#This Row],[PIS]]+Tabela1107[[#This Row],[COFINS]]+Tabela1107[[#This Row],[CONTRIB. FOLHA]]+Tabela1107[[#This Row],[TRIBUTOS S/ LUCRO]]+Tabela1107[[#This Row],[OUTROS]]+Tabela1107[[#This Row],[MT]]</f>
        <v>24.740000000000002</v>
      </c>
      <c r="BO252" s="97">
        <f>+Tabela1107[[#This Row],[PIS]]+Tabela1107[[#This Row],[COFINS]]+Tabela1107[[#This Row],[CONTRIB. FOLHA]]+Tabela1107[[#This Row],[TRIBUTOS S/ LUCRO]]+Tabela1107[[#This Row],[OUTROS]]+Tabela1107[[#This Row],[MS]]</f>
        <v>24.740000000000002</v>
      </c>
      <c r="BP252" s="97">
        <f>+Tabela1107[[#This Row],[PIS]]+Tabela1107[[#This Row],[COFINS]]+Tabela1107[[#This Row],[CONTRIB. FOLHA]]+Tabela1107[[#This Row],[TRIBUTOS S/ LUCRO]]+Tabela1107[[#This Row],[OUTROS]]+Tabela1107[[#This Row],[DF]]</f>
        <v>24.740000000000002</v>
      </c>
      <c r="BQ252" s="97">
        <f>+Tabela1107[[#This Row],[PIS]]+Tabela1107[[#This Row],[COFINS]]+Tabela1107[[#This Row],[CONTRIB. FOLHA]]+Tabela1107[[#This Row],[TRIBUTOS S/ LUCRO]]+Tabela1107[[#This Row],[OUTROS]]+Tabela1107[[#This Row],[BA]]</f>
        <v>24.740000000000002</v>
      </c>
      <c r="BR252" s="97">
        <f>+Tabela1107[[#This Row],[PIS]]+Tabela1107[[#This Row],[COFINS]]+Tabela1107[[#This Row],[CONTRIB. FOLHA]]+Tabela1107[[#This Row],[TRIBUTOS S/ LUCRO]]+Tabela1107[[#This Row],[OUTROS]]+Tabela1107[[#This Row],[BA]]</f>
        <v>24.740000000000002</v>
      </c>
      <c r="BS252" s="97">
        <f>+Tabela1107[[#This Row],[PIS]]+Tabela1107[[#This Row],[COFINS]]+Tabela1107[[#This Row],[CONTRIB. FOLHA]]+Tabela1107[[#This Row],[TRIBUTOS S/ LUCRO]]+Tabela1107[[#This Row],[OUTROS]]+Tabela1107[[#This Row],[PE]]</f>
        <v>24.740000000000002</v>
      </c>
      <c r="BT252" s="97">
        <f>+Tabela1107[[#This Row],[PIS]]+Tabela1107[[#This Row],[COFINS]]+Tabela1107[[#This Row],[CONTRIB. FOLHA]]+Tabela1107[[#This Row],[TRIBUTOS S/ LUCRO]]+Tabela1107[[#This Row],[OUTROS]]+Tabela1107[[#This Row],[PA]]</f>
        <v>24.740000000000002</v>
      </c>
      <c r="BU252" s="97">
        <f>+Tabela1107[[#This Row],[PIS]]+Tabela1107[[#This Row],[COFINS]]+Tabela1107[[#This Row],[CONTRIB. FOLHA]]+Tabela1107[[#This Row],[TRIBUTOS S/ LUCRO]]+Tabela1107[[#This Row],[OUTROS]]+Tabela1107[[#This Row],[AM]]</f>
        <v>24.740000000000002</v>
      </c>
      <c r="BV252" s="97">
        <f>AVERAGE(Tabela1107[[#This Row],[TOTAL SP]:[TOTAL AM]])</f>
        <v>24.302500000000006</v>
      </c>
      <c r="BW252" s="97"/>
      <c r="BX252" s="97"/>
    </row>
    <row r="253" spans="2:76" x14ac:dyDescent="0.25">
      <c r="B253" s="89">
        <v>16006</v>
      </c>
      <c r="C253" s="91" t="s">
        <v>13177</v>
      </c>
      <c r="D253" s="89"/>
      <c r="E253" s="89">
        <v>20140626</v>
      </c>
      <c r="F253" s="89" t="s">
        <v>21262</v>
      </c>
      <c r="G253" s="89" t="s">
        <v>21263</v>
      </c>
      <c r="H253" s="89" t="s">
        <v>21264</v>
      </c>
      <c r="I253" s="89" t="s">
        <v>20318</v>
      </c>
      <c r="J253" s="89" t="s">
        <v>317</v>
      </c>
      <c r="K253" s="89"/>
      <c r="L253" s="89" t="s">
        <v>2788</v>
      </c>
      <c r="M253" s="89" t="s">
        <v>4496</v>
      </c>
      <c r="N253" s="89" t="s">
        <v>4496</v>
      </c>
      <c r="O253" s="89" t="s">
        <v>4496</v>
      </c>
      <c r="P253" s="89" t="s">
        <v>4496</v>
      </c>
      <c r="Q253" s="89"/>
      <c r="R253" s="89" t="s">
        <v>123</v>
      </c>
      <c r="S253" s="89" t="s">
        <v>21570</v>
      </c>
      <c r="T253" s="89" t="s">
        <v>21571</v>
      </c>
      <c r="U253" s="89" t="str">
        <f>TRIM('Carga Tributária doenças Po (2'!$L253)</f>
        <v>LOSARTANA</v>
      </c>
      <c r="V253" s="89">
        <f>SUMIFS('Tabela Federal'!$E$4:$E$2069,'Tabela Federal'!$D$4:$D$2069,'Carga Tributária doenças Po (2'!$L253)</f>
        <v>2</v>
      </c>
      <c r="W253" s="89">
        <f>SUMIFS('Tabela Federal'!$E$4:$E$2069,'Tabela Federal'!$D$4:$D$2069,'Carga Tributária doenças Po (2'!$M253)</f>
        <v>0</v>
      </c>
      <c r="X253" s="89">
        <f>SUMIFS('Tabela Federal'!$E$4:$E$2069,'Tabela Federal'!$D$4:$D$2069,'Carga Tributária doenças Po (2'!$N253)</f>
        <v>0</v>
      </c>
      <c r="Y253" s="89">
        <f>SUMIFS('Tabela Federal'!$E$4:$E$2069,'Tabela Federal'!$D$4:$D$2069,'Carga Tributária doenças Po (2'!$O253)</f>
        <v>0</v>
      </c>
      <c r="Z253" s="92" t="str">
        <f>VLOOKUP('Carga Tributária doenças Po (2'!$AD253,'Carga Tributária doenças Po (2'!$CA$12:$CC$16,2,0)</f>
        <v>+</v>
      </c>
      <c r="AA253" s="89" t="s">
        <v>318</v>
      </c>
      <c r="AB253" s="89" t="s">
        <v>21850</v>
      </c>
      <c r="AC253" s="89" t="s">
        <v>21721</v>
      </c>
      <c r="AD253" s="93" t="s">
        <v>21722</v>
      </c>
      <c r="AE253" s="92" t="s">
        <v>2</v>
      </c>
      <c r="AF253" s="92" t="s">
        <v>10</v>
      </c>
      <c r="AG253" s="94">
        <v>6240296</v>
      </c>
      <c r="AH253" s="95">
        <v>23123130</v>
      </c>
      <c r="AI253" s="95">
        <v>52694030.770000003</v>
      </c>
      <c r="AJ253" s="89" t="s">
        <v>323</v>
      </c>
      <c r="AK253" s="89">
        <f>IF('Carga Tributária doenças Po (2'!$Z253="+",0,SUMIFS(PISCOFINS!$I$3:$I$10518,PISCOFINS!$C$3:$C$10518,'Carga Tributária doenças Po (2'!$C253))</f>
        <v>0</v>
      </c>
      <c r="AL253" s="89">
        <f>IF('Carga Tributária doenças Po (2'!$Z253="+",0,SUMIFS(PISCOFINS!$H$3:$H$10518,PISCOFINS!$C$3:$C$10518,'Carga Tributária doenças Po (2'!$C253))</f>
        <v>0</v>
      </c>
      <c r="AM253" s="95">
        <v>3.27</v>
      </c>
      <c r="AN253" s="95">
        <v>3.12</v>
      </c>
      <c r="AO253" s="95">
        <v>1.35</v>
      </c>
      <c r="AP253" s="96">
        <v>18</v>
      </c>
      <c r="AQ253" s="96">
        <v>12</v>
      </c>
      <c r="AR253" s="96">
        <v>17</v>
      </c>
      <c r="AS253" s="97">
        <v>17</v>
      </c>
      <c r="AT253" s="97">
        <v>19</v>
      </c>
      <c r="AU253" s="97">
        <v>12</v>
      </c>
      <c r="AV253" s="97">
        <v>17</v>
      </c>
      <c r="AW253" s="97">
        <v>17</v>
      </c>
      <c r="AX253" s="97">
        <v>17</v>
      </c>
      <c r="AY253" s="97">
        <v>17</v>
      </c>
      <c r="AZ253" s="97">
        <v>17</v>
      </c>
      <c r="BA253" s="97">
        <v>17</v>
      </c>
      <c r="BB253" s="97">
        <v>17</v>
      </c>
      <c r="BC253" s="97">
        <v>17</v>
      </c>
      <c r="BD253" s="97">
        <v>17</v>
      </c>
      <c r="BE253" s="97">
        <v>17</v>
      </c>
      <c r="BF253" s="97">
        <f>+Tabela1107[[#This Row],[PIS]]+Tabela1107[[#This Row],[COFINS]]+Tabela1107[[#This Row],[CONTRIB. FOLHA]]+Tabela1107[[#This Row],[TRIBUTOS S/ LUCRO]]+Tabela1107[[#This Row],[OUTROS]]+Tabela1107[[#This Row],[SP]]</f>
        <v>25.740000000000002</v>
      </c>
      <c r="BG253" s="97">
        <f>+Tabela1107[[#This Row],[PIS]]+Tabela1107[[#This Row],[COFINS]]+Tabela1107[[#This Row],[CONTRIB. FOLHA]]+Tabela1107[[#This Row],[TRIBUTOS S/ LUCRO]]+Tabela1107[[#This Row],[OUTROS]]+Tabela1107[[#This Row],[PR]]</f>
        <v>19.740000000000002</v>
      </c>
      <c r="BH253" s="97">
        <f>+Tabela1107[[#This Row],[PIS]]+Tabela1107[[#This Row],[COFINS]]+Tabela1107[[#This Row],[CONTRIB. FOLHA]]+Tabela1107[[#This Row],[TRIBUTOS S/ LUCRO]]+Tabela1107[[#This Row],[OUTROS]]+Tabela1107[[#This Row],[SC]]</f>
        <v>24.740000000000002</v>
      </c>
      <c r="BI253" s="97">
        <f>+Tabela1107[[#This Row],[PIS]]+Tabela1107[[#This Row],[COFINS]]+Tabela1107[[#This Row],[CONTRIB. FOLHA]]+Tabela1107[[#This Row],[TRIBUTOS S/ LUCRO]]+Tabela1107[[#This Row],[OUTROS]]+Tabela1107[[#This Row],[RS]]</f>
        <v>24.740000000000002</v>
      </c>
      <c r="BJ253" s="97">
        <f>+Tabela1107[[#This Row],[PIS]]+Tabela1107[[#This Row],[COFINS]]+Tabela1107[[#This Row],[CONTRIB. FOLHA]]+Tabela1107[[#This Row],[TRIBUTOS S/ LUCRO]]+Tabela1107[[#This Row],[OUTROS]]+Tabela1107[[#This Row],[RJ]]</f>
        <v>26.740000000000002</v>
      </c>
      <c r="BK253" s="97">
        <f>+Tabela1107[[#This Row],[PIS]]+Tabela1107[[#This Row],[COFINS]]+Tabela1107[[#This Row],[CONTRIB. FOLHA]]+Tabela1107[[#This Row],[TRIBUTOS S/ LUCRO]]+Tabela1107[[#This Row],[OUTROS]]+Tabela1107[[#This Row],[MG]]</f>
        <v>19.740000000000002</v>
      </c>
      <c r="BL253" s="97">
        <f>+Tabela1107[[#This Row],[PIS]]+Tabela1107[[#This Row],[COFINS]]+Tabela1107[[#This Row],[CONTRIB. FOLHA]]+Tabela1107[[#This Row],[TRIBUTOS S/ LUCRO]]+Tabela1107[[#This Row],[OUTROS]]+Tabela1107[[#This Row],[ES]]</f>
        <v>24.740000000000002</v>
      </c>
      <c r="BM253" s="97">
        <f>+Tabela1107[[#This Row],[PIS]]+Tabela1107[[#This Row],[COFINS]]+Tabela1107[[#This Row],[CONTRIB. FOLHA]]+Tabela1107[[#This Row],[TRIBUTOS S/ LUCRO]]+Tabela1107[[#This Row],[OUTROS]]+Tabela1107[[#This Row],[GO]]</f>
        <v>24.740000000000002</v>
      </c>
      <c r="BN253" s="97">
        <f>+Tabela1107[[#This Row],[PIS]]+Tabela1107[[#This Row],[COFINS]]+Tabela1107[[#This Row],[CONTRIB. FOLHA]]+Tabela1107[[#This Row],[TRIBUTOS S/ LUCRO]]+Tabela1107[[#This Row],[OUTROS]]+Tabela1107[[#This Row],[MT]]</f>
        <v>24.740000000000002</v>
      </c>
      <c r="BO253" s="97">
        <f>+Tabela1107[[#This Row],[PIS]]+Tabela1107[[#This Row],[COFINS]]+Tabela1107[[#This Row],[CONTRIB. FOLHA]]+Tabela1107[[#This Row],[TRIBUTOS S/ LUCRO]]+Tabela1107[[#This Row],[OUTROS]]+Tabela1107[[#This Row],[MS]]</f>
        <v>24.740000000000002</v>
      </c>
      <c r="BP253" s="97">
        <f>+Tabela1107[[#This Row],[PIS]]+Tabela1107[[#This Row],[COFINS]]+Tabela1107[[#This Row],[CONTRIB. FOLHA]]+Tabela1107[[#This Row],[TRIBUTOS S/ LUCRO]]+Tabela1107[[#This Row],[OUTROS]]+Tabela1107[[#This Row],[DF]]</f>
        <v>24.740000000000002</v>
      </c>
      <c r="BQ253" s="97">
        <f>+Tabela1107[[#This Row],[PIS]]+Tabela1107[[#This Row],[COFINS]]+Tabela1107[[#This Row],[CONTRIB. FOLHA]]+Tabela1107[[#This Row],[TRIBUTOS S/ LUCRO]]+Tabela1107[[#This Row],[OUTROS]]+Tabela1107[[#This Row],[BA]]</f>
        <v>24.740000000000002</v>
      </c>
      <c r="BR253" s="97">
        <f>+Tabela1107[[#This Row],[PIS]]+Tabela1107[[#This Row],[COFINS]]+Tabela1107[[#This Row],[CONTRIB. FOLHA]]+Tabela1107[[#This Row],[TRIBUTOS S/ LUCRO]]+Tabela1107[[#This Row],[OUTROS]]+Tabela1107[[#This Row],[BA]]</f>
        <v>24.740000000000002</v>
      </c>
      <c r="BS253" s="97">
        <f>+Tabela1107[[#This Row],[PIS]]+Tabela1107[[#This Row],[COFINS]]+Tabela1107[[#This Row],[CONTRIB. FOLHA]]+Tabela1107[[#This Row],[TRIBUTOS S/ LUCRO]]+Tabela1107[[#This Row],[OUTROS]]+Tabela1107[[#This Row],[PE]]</f>
        <v>24.740000000000002</v>
      </c>
      <c r="BT253" s="97">
        <f>+Tabela1107[[#This Row],[PIS]]+Tabela1107[[#This Row],[COFINS]]+Tabela1107[[#This Row],[CONTRIB. FOLHA]]+Tabela1107[[#This Row],[TRIBUTOS S/ LUCRO]]+Tabela1107[[#This Row],[OUTROS]]+Tabela1107[[#This Row],[PA]]</f>
        <v>24.740000000000002</v>
      </c>
      <c r="BU253" s="97">
        <f>+Tabela1107[[#This Row],[PIS]]+Tabela1107[[#This Row],[COFINS]]+Tabela1107[[#This Row],[CONTRIB. FOLHA]]+Tabela1107[[#This Row],[TRIBUTOS S/ LUCRO]]+Tabela1107[[#This Row],[OUTROS]]+Tabela1107[[#This Row],[AM]]</f>
        <v>24.740000000000002</v>
      </c>
      <c r="BV253" s="97">
        <f>AVERAGE(Tabela1107[[#This Row],[TOTAL SP]:[TOTAL AM]])</f>
        <v>24.302500000000006</v>
      </c>
      <c r="BW253" s="97"/>
      <c r="BX253" s="97"/>
    </row>
    <row r="254" spans="2:76" x14ac:dyDescent="0.25">
      <c r="B254" s="89">
        <v>16561</v>
      </c>
      <c r="C254" s="91" t="s">
        <v>13177</v>
      </c>
      <c r="D254" s="89"/>
      <c r="E254" s="89">
        <v>20140626</v>
      </c>
      <c r="F254" s="89" t="s">
        <v>21489</v>
      </c>
      <c r="G254" s="89" t="s">
        <v>21490</v>
      </c>
      <c r="H254" s="89" t="s">
        <v>21491</v>
      </c>
      <c r="I254" s="89" t="s">
        <v>20318</v>
      </c>
      <c r="J254" s="89" t="s">
        <v>317</v>
      </c>
      <c r="K254" s="89"/>
      <c r="L254" s="89" t="s">
        <v>2788</v>
      </c>
      <c r="M254" s="89" t="s">
        <v>4496</v>
      </c>
      <c r="N254" s="89" t="s">
        <v>4496</v>
      </c>
      <c r="O254" s="89" t="s">
        <v>4496</v>
      </c>
      <c r="P254" s="89" t="s">
        <v>4496</v>
      </c>
      <c r="Q254" s="89"/>
      <c r="R254" s="89" t="s">
        <v>64</v>
      </c>
      <c r="S254" s="89" t="s">
        <v>21698</v>
      </c>
      <c r="T254" s="89" t="s">
        <v>21699</v>
      </c>
      <c r="U254" s="89" t="str">
        <f>TRIM('Carga Tributária doenças Po (2'!$L254)</f>
        <v>LOSARTANA</v>
      </c>
      <c r="V254" s="89">
        <f>SUMIFS('Tabela Federal'!$E$4:$E$2069,'Tabela Federal'!$D$4:$D$2069,'Carga Tributária doenças Po (2'!$L254)</f>
        <v>2</v>
      </c>
      <c r="W254" s="89">
        <f>SUMIFS('Tabela Federal'!$E$4:$E$2069,'Tabela Federal'!$D$4:$D$2069,'Carga Tributária doenças Po (2'!$M254)</f>
        <v>0</v>
      </c>
      <c r="X254" s="89">
        <f>SUMIFS('Tabela Federal'!$E$4:$E$2069,'Tabela Federal'!$D$4:$D$2069,'Carga Tributária doenças Po (2'!$N254)</f>
        <v>0</v>
      </c>
      <c r="Y254" s="89">
        <f>SUMIFS('Tabela Federal'!$E$4:$E$2069,'Tabela Federal'!$D$4:$D$2069,'Carga Tributária doenças Po (2'!$O254)</f>
        <v>0</v>
      </c>
      <c r="Z254" s="92" t="str">
        <f>VLOOKUP('Carga Tributária doenças Po (2'!$AD254,'Carga Tributária doenças Po (2'!$CA$12:$CC$16,2,0)</f>
        <v>+</v>
      </c>
      <c r="AA254" s="89" t="s">
        <v>318</v>
      </c>
      <c r="AB254" s="89" t="s">
        <v>21850</v>
      </c>
      <c r="AC254" s="89" t="s">
        <v>21721</v>
      </c>
      <c r="AD254" s="93" t="s">
        <v>21722</v>
      </c>
      <c r="AE254" s="92" t="s">
        <v>2</v>
      </c>
      <c r="AF254" s="92" t="s">
        <v>10</v>
      </c>
      <c r="AG254" s="94">
        <v>4581265</v>
      </c>
      <c r="AH254" s="95">
        <v>20799883</v>
      </c>
      <c r="AI254" s="95">
        <v>47403205.590000004</v>
      </c>
      <c r="AJ254" s="89" t="s">
        <v>323</v>
      </c>
      <c r="AK254" s="89">
        <f>IF('Carga Tributária doenças Po (2'!$Z254="+",0,SUMIFS(PISCOFINS!$I$3:$I$10518,PISCOFINS!$C$3:$C$10518,'Carga Tributária doenças Po (2'!$C254))</f>
        <v>0</v>
      </c>
      <c r="AL254" s="89">
        <f>IF('Carga Tributária doenças Po (2'!$Z254="+",0,SUMIFS(PISCOFINS!$H$3:$H$10518,PISCOFINS!$C$3:$C$10518,'Carga Tributária doenças Po (2'!$C254))</f>
        <v>0</v>
      </c>
      <c r="AM254" s="95">
        <v>3.27</v>
      </c>
      <c r="AN254" s="95">
        <v>3.12</v>
      </c>
      <c r="AO254" s="95">
        <v>1.35</v>
      </c>
      <c r="AP254" s="96">
        <v>18</v>
      </c>
      <c r="AQ254" s="96">
        <v>12</v>
      </c>
      <c r="AR254" s="96">
        <v>17</v>
      </c>
      <c r="AS254" s="97">
        <v>17</v>
      </c>
      <c r="AT254" s="97">
        <v>19</v>
      </c>
      <c r="AU254" s="97">
        <v>12</v>
      </c>
      <c r="AV254" s="97">
        <v>17</v>
      </c>
      <c r="AW254" s="97">
        <v>17</v>
      </c>
      <c r="AX254" s="97">
        <v>17</v>
      </c>
      <c r="AY254" s="97">
        <v>17</v>
      </c>
      <c r="AZ254" s="97">
        <v>17</v>
      </c>
      <c r="BA254" s="97">
        <v>17</v>
      </c>
      <c r="BB254" s="97">
        <v>17</v>
      </c>
      <c r="BC254" s="97">
        <v>17</v>
      </c>
      <c r="BD254" s="97">
        <v>17</v>
      </c>
      <c r="BE254" s="97">
        <v>17</v>
      </c>
      <c r="BF254" s="97">
        <f>+Tabela1107[[#This Row],[PIS]]+Tabela1107[[#This Row],[COFINS]]+Tabela1107[[#This Row],[CONTRIB. FOLHA]]+Tabela1107[[#This Row],[TRIBUTOS S/ LUCRO]]+Tabela1107[[#This Row],[OUTROS]]+Tabela1107[[#This Row],[SP]]</f>
        <v>25.740000000000002</v>
      </c>
      <c r="BG254" s="97">
        <f>+Tabela1107[[#This Row],[PIS]]+Tabela1107[[#This Row],[COFINS]]+Tabela1107[[#This Row],[CONTRIB. FOLHA]]+Tabela1107[[#This Row],[TRIBUTOS S/ LUCRO]]+Tabela1107[[#This Row],[OUTROS]]+Tabela1107[[#This Row],[PR]]</f>
        <v>19.740000000000002</v>
      </c>
      <c r="BH254" s="97">
        <f>+Tabela1107[[#This Row],[PIS]]+Tabela1107[[#This Row],[COFINS]]+Tabela1107[[#This Row],[CONTRIB. FOLHA]]+Tabela1107[[#This Row],[TRIBUTOS S/ LUCRO]]+Tabela1107[[#This Row],[OUTROS]]+Tabela1107[[#This Row],[SC]]</f>
        <v>24.740000000000002</v>
      </c>
      <c r="BI254" s="97">
        <f>+Tabela1107[[#This Row],[PIS]]+Tabela1107[[#This Row],[COFINS]]+Tabela1107[[#This Row],[CONTRIB. FOLHA]]+Tabela1107[[#This Row],[TRIBUTOS S/ LUCRO]]+Tabela1107[[#This Row],[OUTROS]]+Tabela1107[[#This Row],[RS]]</f>
        <v>24.740000000000002</v>
      </c>
      <c r="BJ254" s="97">
        <f>+Tabela1107[[#This Row],[PIS]]+Tabela1107[[#This Row],[COFINS]]+Tabela1107[[#This Row],[CONTRIB. FOLHA]]+Tabela1107[[#This Row],[TRIBUTOS S/ LUCRO]]+Tabela1107[[#This Row],[OUTROS]]+Tabela1107[[#This Row],[RJ]]</f>
        <v>26.740000000000002</v>
      </c>
      <c r="BK254" s="97">
        <f>+Tabela1107[[#This Row],[PIS]]+Tabela1107[[#This Row],[COFINS]]+Tabela1107[[#This Row],[CONTRIB. FOLHA]]+Tabela1107[[#This Row],[TRIBUTOS S/ LUCRO]]+Tabela1107[[#This Row],[OUTROS]]+Tabela1107[[#This Row],[MG]]</f>
        <v>19.740000000000002</v>
      </c>
      <c r="BL254" s="97">
        <f>+Tabela1107[[#This Row],[PIS]]+Tabela1107[[#This Row],[COFINS]]+Tabela1107[[#This Row],[CONTRIB. FOLHA]]+Tabela1107[[#This Row],[TRIBUTOS S/ LUCRO]]+Tabela1107[[#This Row],[OUTROS]]+Tabela1107[[#This Row],[ES]]</f>
        <v>24.740000000000002</v>
      </c>
      <c r="BM254" s="97">
        <f>+Tabela1107[[#This Row],[PIS]]+Tabela1107[[#This Row],[COFINS]]+Tabela1107[[#This Row],[CONTRIB. FOLHA]]+Tabela1107[[#This Row],[TRIBUTOS S/ LUCRO]]+Tabela1107[[#This Row],[OUTROS]]+Tabela1107[[#This Row],[GO]]</f>
        <v>24.740000000000002</v>
      </c>
      <c r="BN254" s="97">
        <f>+Tabela1107[[#This Row],[PIS]]+Tabela1107[[#This Row],[COFINS]]+Tabela1107[[#This Row],[CONTRIB. FOLHA]]+Tabela1107[[#This Row],[TRIBUTOS S/ LUCRO]]+Tabela1107[[#This Row],[OUTROS]]+Tabela1107[[#This Row],[MT]]</f>
        <v>24.740000000000002</v>
      </c>
      <c r="BO254" s="97">
        <f>+Tabela1107[[#This Row],[PIS]]+Tabela1107[[#This Row],[COFINS]]+Tabela1107[[#This Row],[CONTRIB. FOLHA]]+Tabela1107[[#This Row],[TRIBUTOS S/ LUCRO]]+Tabela1107[[#This Row],[OUTROS]]+Tabela1107[[#This Row],[MS]]</f>
        <v>24.740000000000002</v>
      </c>
      <c r="BP254" s="97">
        <f>+Tabela1107[[#This Row],[PIS]]+Tabela1107[[#This Row],[COFINS]]+Tabela1107[[#This Row],[CONTRIB. FOLHA]]+Tabela1107[[#This Row],[TRIBUTOS S/ LUCRO]]+Tabela1107[[#This Row],[OUTROS]]+Tabela1107[[#This Row],[DF]]</f>
        <v>24.740000000000002</v>
      </c>
      <c r="BQ254" s="97">
        <f>+Tabela1107[[#This Row],[PIS]]+Tabela1107[[#This Row],[COFINS]]+Tabela1107[[#This Row],[CONTRIB. FOLHA]]+Tabela1107[[#This Row],[TRIBUTOS S/ LUCRO]]+Tabela1107[[#This Row],[OUTROS]]+Tabela1107[[#This Row],[BA]]</f>
        <v>24.740000000000002</v>
      </c>
      <c r="BR254" s="97">
        <f>+Tabela1107[[#This Row],[PIS]]+Tabela1107[[#This Row],[COFINS]]+Tabela1107[[#This Row],[CONTRIB. FOLHA]]+Tabela1107[[#This Row],[TRIBUTOS S/ LUCRO]]+Tabela1107[[#This Row],[OUTROS]]+Tabela1107[[#This Row],[BA]]</f>
        <v>24.740000000000002</v>
      </c>
      <c r="BS254" s="97">
        <f>+Tabela1107[[#This Row],[PIS]]+Tabela1107[[#This Row],[COFINS]]+Tabela1107[[#This Row],[CONTRIB. FOLHA]]+Tabela1107[[#This Row],[TRIBUTOS S/ LUCRO]]+Tabela1107[[#This Row],[OUTROS]]+Tabela1107[[#This Row],[PE]]</f>
        <v>24.740000000000002</v>
      </c>
      <c r="BT254" s="97">
        <f>+Tabela1107[[#This Row],[PIS]]+Tabela1107[[#This Row],[COFINS]]+Tabela1107[[#This Row],[CONTRIB. FOLHA]]+Tabela1107[[#This Row],[TRIBUTOS S/ LUCRO]]+Tabela1107[[#This Row],[OUTROS]]+Tabela1107[[#This Row],[PA]]</f>
        <v>24.740000000000002</v>
      </c>
      <c r="BU254" s="97">
        <f>+Tabela1107[[#This Row],[PIS]]+Tabela1107[[#This Row],[COFINS]]+Tabela1107[[#This Row],[CONTRIB. FOLHA]]+Tabela1107[[#This Row],[TRIBUTOS S/ LUCRO]]+Tabela1107[[#This Row],[OUTROS]]+Tabela1107[[#This Row],[AM]]</f>
        <v>24.740000000000002</v>
      </c>
      <c r="BV254" s="97">
        <f>AVERAGE(Tabela1107[[#This Row],[TOTAL SP]:[TOTAL AM]])</f>
        <v>24.302500000000006</v>
      </c>
      <c r="BW254" s="97"/>
      <c r="BX254" s="97"/>
    </row>
    <row r="255" spans="2:76" x14ac:dyDescent="0.25">
      <c r="B255" s="89">
        <v>16597</v>
      </c>
      <c r="C255" s="91" t="s">
        <v>13177</v>
      </c>
      <c r="D255" s="89"/>
      <c r="E255" s="89">
        <v>20140626</v>
      </c>
      <c r="F255" s="89" t="s">
        <v>21127</v>
      </c>
      <c r="G255" s="89" t="s">
        <v>21128</v>
      </c>
      <c r="H255" s="89" t="s">
        <v>21129</v>
      </c>
      <c r="I255" s="89" t="s">
        <v>20318</v>
      </c>
      <c r="J255" s="89" t="s">
        <v>317</v>
      </c>
      <c r="K255" s="89"/>
      <c r="L255" s="89" t="s">
        <v>2788</v>
      </c>
      <c r="M255" s="89" t="s">
        <v>4496</v>
      </c>
      <c r="N255" s="89" t="s">
        <v>4496</v>
      </c>
      <c r="O255" s="89" t="s">
        <v>4496</v>
      </c>
      <c r="P255" s="89" t="s">
        <v>4496</v>
      </c>
      <c r="Q255" s="89"/>
      <c r="R255" s="89" t="s">
        <v>34</v>
      </c>
      <c r="S255" s="89" t="s">
        <v>21670</v>
      </c>
      <c r="T255" s="89" t="s">
        <v>21671</v>
      </c>
      <c r="U255" s="89" t="str">
        <f>TRIM('Carga Tributária doenças Po (2'!$L255)</f>
        <v>LOSARTANA</v>
      </c>
      <c r="V255" s="89">
        <f>SUMIFS('Tabela Federal'!$E$4:$E$2069,'Tabela Federal'!$D$4:$D$2069,'Carga Tributária doenças Po (2'!$L255)</f>
        <v>2</v>
      </c>
      <c r="W255" s="89">
        <f>SUMIFS('Tabela Federal'!$E$4:$E$2069,'Tabela Federal'!$D$4:$D$2069,'Carga Tributária doenças Po (2'!$M255)</f>
        <v>0</v>
      </c>
      <c r="X255" s="89">
        <f>SUMIFS('Tabela Federal'!$E$4:$E$2069,'Tabela Federal'!$D$4:$D$2069,'Carga Tributária doenças Po (2'!$N255)</f>
        <v>0</v>
      </c>
      <c r="Y255" s="89">
        <f>SUMIFS('Tabela Federal'!$E$4:$E$2069,'Tabela Federal'!$D$4:$D$2069,'Carga Tributária doenças Po (2'!$O255)</f>
        <v>0</v>
      </c>
      <c r="Z255" s="92" t="str">
        <f>VLOOKUP('Carga Tributária doenças Po (2'!$AD255,'Carga Tributária doenças Po (2'!$CA$12:$CC$16,2,0)</f>
        <v>+</v>
      </c>
      <c r="AA255" s="89" t="s">
        <v>318</v>
      </c>
      <c r="AB255" s="89" t="s">
        <v>21850</v>
      </c>
      <c r="AC255" s="89" t="s">
        <v>21721</v>
      </c>
      <c r="AD255" s="93" t="s">
        <v>21722</v>
      </c>
      <c r="AE255" s="92" t="s">
        <v>2</v>
      </c>
      <c r="AF255" s="92" t="s">
        <v>10</v>
      </c>
      <c r="AG255" s="94">
        <v>17486987</v>
      </c>
      <c r="AH255" s="95">
        <v>178996891</v>
      </c>
      <c r="AI255" s="95">
        <v>408669801.89999998</v>
      </c>
      <c r="AJ255" s="89" t="s">
        <v>323</v>
      </c>
      <c r="AK255" s="89">
        <f>IF('Carga Tributária doenças Po (2'!$Z255="+",0,SUMIFS(PISCOFINS!$I$3:$I$10518,PISCOFINS!$C$3:$C$10518,'Carga Tributária doenças Po (2'!$C255))</f>
        <v>0</v>
      </c>
      <c r="AL255" s="89">
        <f>IF('Carga Tributária doenças Po (2'!$Z255="+",0,SUMIFS(PISCOFINS!$H$3:$H$10518,PISCOFINS!$C$3:$C$10518,'Carga Tributária doenças Po (2'!$C255))</f>
        <v>0</v>
      </c>
      <c r="AM255" s="95">
        <v>3.27</v>
      </c>
      <c r="AN255" s="95">
        <v>3.12</v>
      </c>
      <c r="AO255" s="95">
        <v>1.35</v>
      </c>
      <c r="AP255" s="96">
        <v>18</v>
      </c>
      <c r="AQ255" s="96">
        <v>12</v>
      </c>
      <c r="AR255" s="96">
        <v>17</v>
      </c>
      <c r="AS255" s="97">
        <v>17</v>
      </c>
      <c r="AT255" s="97">
        <v>19</v>
      </c>
      <c r="AU255" s="97">
        <v>12</v>
      </c>
      <c r="AV255" s="97">
        <v>17</v>
      </c>
      <c r="AW255" s="97">
        <v>17</v>
      </c>
      <c r="AX255" s="97">
        <v>17</v>
      </c>
      <c r="AY255" s="97">
        <v>17</v>
      </c>
      <c r="AZ255" s="97">
        <v>17</v>
      </c>
      <c r="BA255" s="97">
        <v>17</v>
      </c>
      <c r="BB255" s="97">
        <v>17</v>
      </c>
      <c r="BC255" s="97">
        <v>17</v>
      </c>
      <c r="BD255" s="97">
        <v>17</v>
      </c>
      <c r="BE255" s="97">
        <v>17</v>
      </c>
      <c r="BF255" s="97">
        <f>+Tabela1107[[#This Row],[PIS]]+Tabela1107[[#This Row],[COFINS]]+Tabela1107[[#This Row],[CONTRIB. FOLHA]]+Tabela1107[[#This Row],[TRIBUTOS S/ LUCRO]]+Tabela1107[[#This Row],[OUTROS]]+Tabela1107[[#This Row],[SP]]</f>
        <v>25.740000000000002</v>
      </c>
      <c r="BG255" s="97">
        <f>+Tabela1107[[#This Row],[PIS]]+Tabela1107[[#This Row],[COFINS]]+Tabela1107[[#This Row],[CONTRIB. FOLHA]]+Tabela1107[[#This Row],[TRIBUTOS S/ LUCRO]]+Tabela1107[[#This Row],[OUTROS]]+Tabela1107[[#This Row],[PR]]</f>
        <v>19.740000000000002</v>
      </c>
      <c r="BH255" s="97">
        <f>+Tabela1107[[#This Row],[PIS]]+Tabela1107[[#This Row],[COFINS]]+Tabela1107[[#This Row],[CONTRIB. FOLHA]]+Tabela1107[[#This Row],[TRIBUTOS S/ LUCRO]]+Tabela1107[[#This Row],[OUTROS]]+Tabela1107[[#This Row],[SC]]</f>
        <v>24.740000000000002</v>
      </c>
      <c r="BI255" s="97">
        <f>+Tabela1107[[#This Row],[PIS]]+Tabela1107[[#This Row],[COFINS]]+Tabela1107[[#This Row],[CONTRIB. FOLHA]]+Tabela1107[[#This Row],[TRIBUTOS S/ LUCRO]]+Tabela1107[[#This Row],[OUTROS]]+Tabela1107[[#This Row],[RS]]</f>
        <v>24.740000000000002</v>
      </c>
      <c r="BJ255" s="97">
        <f>+Tabela1107[[#This Row],[PIS]]+Tabela1107[[#This Row],[COFINS]]+Tabela1107[[#This Row],[CONTRIB. FOLHA]]+Tabela1107[[#This Row],[TRIBUTOS S/ LUCRO]]+Tabela1107[[#This Row],[OUTROS]]+Tabela1107[[#This Row],[RJ]]</f>
        <v>26.740000000000002</v>
      </c>
      <c r="BK255" s="97">
        <f>+Tabela1107[[#This Row],[PIS]]+Tabela1107[[#This Row],[COFINS]]+Tabela1107[[#This Row],[CONTRIB. FOLHA]]+Tabela1107[[#This Row],[TRIBUTOS S/ LUCRO]]+Tabela1107[[#This Row],[OUTROS]]+Tabela1107[[#This Row],[MG]]</f>
        <v>19.740000000000002</v>
      </c>
      <c r="BL255" s="97">
        <f>+Tabela1107[[#This Row],[PIS]]+Tabela1107[[#This Row],[COFINS]]+Tabela1107[[#This Row],[CONTRIB. FOLHA]]+Tabela1107[[#This Row],[TRIBUTOS S/ LUCRO]]+Tabela1107[[#This Row],[OUTROS]]+Tabela1107[[#This Row],[ES]]</f>
        <v>24.740000000000002</v>
      </c>
      <c r="BM255" s="97">
        <f>+Tabela1107[[#This Row],[PIS]]+Tabela1107[[#This Row],[COFINS]]+Tabela1107[[#This Row],[CONTRIB. FOLHA]]+Tabela1107[[#This Row],[TRIBUTOS S/ LUCRO]]+Tabela1107[[#This Row],[OUTROS]]+Tabela1107[[#This Row],[GO]]</f>
        <v>24.740000000000002</v>
      </c>
      <c r="BN255" s="97">
        <f>+Tabela1107[[#This Row],[PIS]]+Tabela1107[[#This Row],[COFINS]]+Tabela1107[[#This Row],[CONTRIB. FOLHA]]+Tabela1107[[#This Row],[TRIBUTOS S/ LUCRO]]+Tabela1107[[#This Row],[OUTROS]]+Tabela1107[[#This Row],[MT]]</f>
        <v>24.740000000000002</v>
      </c>
      <c r="BO255" s="97">
        <f>+Tabela1107[[#This Row],[PIS]]+Tabela1107[[#This Row],[COFINS]]+Tabela1107[[#This Row],[CONTRIB. FOLHA]]+Tabela1107[[#This Row],[TRIBUTOS S/ LUCRO]]+Tabela1107[[#This Row],[OUTROS]]+Tabela1107[[#This Row],[MS]]</f>
        <v>24.740000000000002</v>
      </c>
      <c r="BP255" s="97">
        <f>+Tabela1107[[#This Row],[PIS]]+Tabela1107[[#This Row],[COFINS]]+Tabela1107[[#This Row],[CONTRIB. FOLHA]]+Tabela1107[[#This Row],[TRIBUTOS S/ LUCRO]]+Tabela1107[[#This Row],[OUTROS]]+Tabela1107[[#This Row],[DF]]</f>
        <v>24.740000000000002</v>
      </c>
      <c r="BQ255" s="97">
        <f>+Tabela1107[[#This Row],[PIS]]+Tabela1107[[#This Row],[COFINS]]+Tabela1107[[#This Row],[CONTRIB. FOLHA]]+Tabela1107[[#This Row],[TRIBUTOS S/ LUCRO]]+Tabela1107[[#This Row],[OUTROS]]+Tabela1107[[#This Row],[BA]]</f>
        <v>24.740000000000002</v>
      </c>
      <c r="BR255" s="97">
        <f>+Tabela1107[[#This Row],[PIS]]+Tabela1107[[#This Row],[COFINS]]+Tabela1107[[#This Row],[CONTRIB. FOLHA]]+Tabela1107[[#This Row],[TRIBUTOS S/ LUCRO]]+Tabela1107[[#This Row],[OUTROS]]+Tabela1107[[#This Row],[BA]]</f>
        <v>24.740000000000002</v>
      </c>
      <c r="BS255" s="97">
        <f>+Tabela1107[[#This Row],[PIS]]+Tabela1107[[#This Row],[COFINS]]+Tabela1107[[#This Row],[CONTRIB. FOLHA]]+Tabela1107[[#This Row],[TRIBUTOS S/ LUCRO]]+Tabela1107[[#This Row],[OUTROS]]+Tabela1107[[#This Row],[PE]]</f>
        <v>24.740000000000002</v>
      </c>
      <c r="BT255" s="97">
        <f>+Tabela1107[[#This Row],[PIS]]+Tabela1107[[#This Row],[COFINS]]+Tabela1107[[#This Row],[CONTRIB. FOLHA]]+Tabela1107[[#This Row],[TRIBUTOS S/ LUCRO]]+Tabela1107[[#This Row],[OUTROS]]+Tabela1107[[#This Row],[PA]]</f>
        <v>24.740000000000002</v>
      </c>
      <c r="BU255" s="97">
        <f>+Tabela1107[[#This Row],[PIS]]+Tabela1107[[#This Row],[COFINS]]+Tabela1107[[#This Row],[CONTRIB. FOLHA]]+Tabela1107[[#This Row],[TRIBUTOS S/ LUCRO]]+Tabela1107[[#This Row],[OUTROS]]+Tabela1107[[#This Row],[AM]]</f>
        <v>24.740000000000002</v>
      </c>
      <c r="BV255" s="97">
        <f>AVERAGE(Tabela1107[[#This Row],[TOTAL SP]:[TOTAL AM]])</f>
        <v>24.302500000000006</v>
      </c>
      <c r="BW255" s="97"/>
      <c r="BX255" s="97"/>
    </row>
    <row r="256" spans="2:76" x14ac:dyDescent="0.25">
      <c r="B256" s="89">
        <v>16616</v>
      </c>
      <c r="C256" s="91" t="s">
        <v>13177</v>
      </c>
      <c r="D256" s="89"/>
      <c r="E256" s="89">
        <v>20140626</v>
      </c>
      <c r="F256" s="89" t="s">
        <v>20668</v>
      </c>
      <c r="G256" s="89" t="s">
        <v>20669</v>
      </c>
      <c r="H256" s="89" t="s">
        <v>20670</v>
      </c>
      <c r="I256" s="89" t="s">
        <v>20318</v>
      </c>
      <c r="J256" s="89" t="s">
        <v>317</v>
      </c>
      <c r="K256" s="89"/>
      <c r="L256" s="89" t="s">
        <v>2788</v>
      </c>
      <c r="M256" s="89" t="s">
        <v>4496</v>
      </c>
      <c r="N256" s="89" t="s">
        <v>4496</v>
      </c>
      <c r="O256" s="89" t="s">
        <v>4496</v>
      </c>
      <c r="P256" s="89" t="s">
        <v>4496</v>
      </c>
      <c r="Q256" s="89"/>
      <c r="R256" s="89" t="s">
        <v>29</v>
      </c>
      <c r="S256" s="89" t="s">
        <v>21616</v>
      </c>
      <c r="T256" s="89" t="s">
        <v>21617</v>
      </c>
      <c r="U256" s="89" t="str">
        <f>TRIM('Carga Tributária doenças Po (2'!$L256)</f>
        <v>LOSARTANA</v>
      </c>
      <c r="V256" s="89">
        <f>SUMIFS('Tabela Federal'!$E$4:$E$2069,'Tabela Federal'!$D$4:$D$2069,'Carga Tributária doenças Po (2'!$L256)</f>
        <v>2</v>
      </c>
      <c r="W256" s="89">
        <f>SUMIFS('Tabela Federal'!$E$4:$E$2069,'Tabela Federal'!$D$4:$D$2069,'Carga Tributária doenças Po (2'!$M256)</f>
        <v>0</v>
      </c>
      <c r="X256" s="89">
        <f>SUMIFS('Tabela Federal'!$E$4:$E$2069,'Tabela Federal'!$D$4:$D$2069,'Carga Tributária doenças Po (2'!$N256)</f>
        <v>0</v>
      </c>
      <c r="Y256" s="89">
        <f>SUMIFS('Tabela Federal'!$E$4:$E$2069,'Tabela Federal'!$D$4:$D$2069,'Carga Tributária doenças Po (2'!$O256)</f>
        <v>0</v>
      </c>
      <c r="Z256" s="92" t="str">
        <f>VLOOKUP('Carga Tributária doenças Po (2'!$AD256,'Carga Tributária doenças Po (2'!$CA$12:$CC$16,2,0)</f>
        <v>+</v>
      </c>
      <c r="AA256" s="89" t="s">
        <v>318</v>
      </c>
      <c r="AB256" s="89" t="s">
        <v>21850</v>
      </c>
      <c r="AC256" s="89" t="s">
        <v>21721</v>
      </c>
      <c r="AD256" s="93" t="s">
        <v>21722</v>
      </c>
      <c r="AE256" s="92" t="s">
        <v>2</v>
      </c>
      <c r="AF256" s="92" t="s">
        <v>10</v>
      </c>
      <c r="AG256" s="94">
        <v>6680316</v>
      </c>
      <c r="AH256" s="95">
        <v>68365392</v>
      </c>
      <c r="AI256" s="95">
        <v>156003914.25999999</v>
      </c>
      <c r="AJ256" s="89" t="s">
        <v>323</v>
      </c>
      <c r="AK256" s="89">
        <f>IF('Carga Tributária doenças Po (2'!$Z256="+",0,SUMIFS(PISCOFINS!$I$3:$I$10518,PISCOFINS!$C$3:$C$10518,'Carga Tributária doenças Po (2'!$C256))</f>
        <v>0</v>
      </c>
      <c r="AL256" s="89">
        <f>IF('Carga Tributária doenças Po (2'!$Z256="+",0,SUMIFS(PISCOFINS!$H$3:$H$10518,PISCOFINS!$C$3:$C$10518,'Carga Tributária doenças Po (2'!$C256))</f>
        <v>0</v>
      </c>
      <c r="AM256" s="95">
        <v>3.27</v>
      </c>
      <c r="AN256" s="95">
        <v>3.12</v>
      </c>
      <c r="AO256" s="95">
        <v>1.35</v>
      </c>
      <c r="AP256" s="96">
        <v>18</v>
      </c>
      <c r="AQ256" s="96">
        <v>12</v>
      </c>
      <c r="AR256" s="96">
        <v>17</v>
      </c>
      <c r="AS256" s="97">
        <v>17</v>
      </c>
      <c r="AT256" s="97">
        <v>19</v>
      </c>
      <c r="AU256" s="97">
        <v>12</v>
      </c>
      <c r="AV256" s="97">
        <v>17</v>
      </c>
      <c r="AW256" s="97">
        <v>17</v>
      </c>
      <c r="AX256" s="97">
        <v>17</v>
      </c>
      <c r="AY256" s="97">
        <v>17</v>
      </c>
      <c r="AZ256" s="97">
        <v>17</v>
      </c>
      <c r="BA256" s="97">
        <v>17</v>
      </c>
      <c r="BB256" s="97">
        <v>17</v>
      </c>
      <c r="BC256" s="97">
        <v>17</v>
      </c>
      <c r="BD256" s="97">
        <v>17</v>
      </c>
      <c r="BE256" s="97">
        <v>17</v>
      </c>
      <c r="BF256" s="97">
        <f>+Tabela1107[[#This Row],[PIS]]+Tabela1107[[#This Row],[COFINS]]+Tabela1107[[#This Row],[CONTRIB. FOLHA]]+Tabela1107[[#This Row],[TRIBUTOS S/ LUCRO]]+Tabela1107[[#This Row],[OUTROS]]+Tabela1107[[#This Row],[SP]]</f>
        <v>25.740000000000002</v>
      </c>
      <c r="BG256" s="97">
        <f>+Tabela1107[[#This Row],[PIS]]+Tabela1107[[#This Row],[COFINS]]+Tabela1107[[#This Row],[CONTRIB. FOLHA]]+Tabela1107[[#This Row],[TRIBUTOS S/ LUCRO]]+Tabela1107[[#This Row],[OUTROS]]+Tabela1107[[#This Row],[PR]]</f>
        <v>19.740000000000002</v>
      </c>
      <c r="BH256" s="97">
        <f>+Tabela1107[[#This Row],[PIS]]+Tabela1107[[#This Row],[COFINS]]+Tabela1107[[#This Row],[CONTRIB. FOLHA]]+Tabela1107[[#This Row],[TRIBUTOS S/ LUCRO]]+Tabela1107[[#This Row],[OUTROS]]+Tabela1107[[#This Row],[SC]]</f>
        <v>24.740000000000002</v>
      </c>
      <c r="BI256" s="97">
        <f>+Tabela1107[[#This Row],[PIS]]+Tabela1107[[#This Row],[COFINS]]+Tabela1107[[#This Row],[CONTRIB. FOLHA]]+Tabela1107[[#This Row],[TRIBUTOS S/ LUCRO]]+Tabela1107[[#This Row],[OUTROS]]+Tabela1107[[#This Row],[RS]]</f>
        <v>24.740000000000002</v>
      </c>
      <c r="BJ256" s="97">
        <f>+Tabela1107[[#This Row],[PIS]]+Tabela1107[[#This Row],[COFINS]]+Tabela1107[[#This Row],[CONTRIB. FOLHA]]+Tabela1107[[#This Row],[TRIBUTOS S/ LUCRO]]+Tabela1107[[#This Row],[OUTROS]]+Tabela1107[[#This Row],[RJ]]</f>
        <v>26.740000000000002</v>
      </c>
      <c r="BK256" s="97">
        <f>+Tabela1107[[#This Row],[PIS]]+Tabela1107[[#This Row],[COFINS]]+Tabela1107[[#This Row],[CONTRIB. FOLHA]]+Tabela1107[[#This Row],[TRIBUTOS S/ LUCRO]]+Tabela1107[[#This Row],[OUTROS]]+Tabela1107[[#This Row],[MG]]</f>
        <v>19.740000000000002</v>
      </c>
      <c r="BL256" s="97">
        <f>+Tabela1107[[#This Row],[PIS]]+Tabela1107[[#This Row],[COFINS]]+Tabela1107[[#This Row],[CONTRIB. FOLHA]]+Tabela1107[[#This Row],[TRIBUTOS S/ LUCRO]]+Tabela1107[[#This Row],[OUTROS]]+Tabela1107[[#This Row],[ES]]</f>
        <v>24.740000000000002</v>
      </c>
      <c r="BM256" s="97">
        <f>+Tabela1107[[#This Row],[PIS]]+Tabela1107[[#This Row],[COFINS]]+Tabela1107[[#This Row],[CONTRIB. FOLHA]]+Tabela1107[[#This Row],[TRIBUTOS S/ LUCRO]]+Tabela1107[[#This Row],[OUTROS]]+Tabela1107[[#This Row],[GO]]</f>
        <v>24.740000000000002</v>
      </c>
      <c r="BN256" s="97">
        <f>+Tabela1107[[#This Row],[PIS]]+Tabela1107[[#This Row],[COFINS]]+Tabela1107[[#This Row],[CONTRIB. FOLHA]]+Tabela1107[[#This Row],[TRIBUTOS S/ LUCRO]]+Tabela1107[[#This Row],[OUTROS]]+Tabela1107[[#This Row],[MT]]</f>
        <v>24.740000000000002</v>
      </c>
      <c r="BO256" s="97">
        <f>+Tabela1107[[#This Row],[PIS]]+Tabela1107[[#This Row],[COFINS]]+Tabela1107[[#This Row],[CONTRIB. FOLHA]]+Tabela1107[[#This Row],[TRIBUTOS S/ LUCRO]]+Tabela1107[[#This Row],[OUTROS]]+Tabela1107[[#This Row],[MS]]</f>
        <v>24.740000000000002</v>
      </c>
      <c r="BP256" s="97">
        <f>+Tabela1107[[#This Row],[PIS]]+Tabela1107[[#This Row],[COFINS]]+Tabela1107[[#This Row],[CONTRIB. FOLHA]]+Tabela1107[[#This Row],[TRIBUTOS S/ LUCRO]]+Tabela1107[[#This Row],[OUTROS]]+Tabela1107[[#This Row],[DF]]</f>
        <v>24.740000000000002</v>
      </c>
      <c r="BQ256" s="97">
        <f>+Tabela1107[[#This Row],[PIS]]+Tabela1107[[#This Row],[COFINS]]+Tabela1107[[#This Row],[CONTRIB. FOLHA]]+Tabela1107[[#This Row],[TRIBUTOS S/ LUCRO]]+Tabela1107[[#This Row],[OUTROS]]+Tabela1107[[#This Row],[BA]]</f>
        <v>24.740000000000002</v>
      </c>
      <c r="BR256" s="97">
        <f>+Tabela1107[[#This Row],[PIS]]+Tabela1107[[#This Row],[COFINS]]+Tabela1107[[#This Row],[CONTRIB. FOLHA]]+Tabela1107[[#This Row],[TRIBUTOS S/ LUCRO]]+Tabela1107[[#This Row],[OUTROS]]+Tabela1107[[#This Row],[BA]]</f>
        <v>24.740000000000002</v>
      </c>
      <c r="BS256" s="97">
        <f>+Tabela1107[[#This Row],[PIS]]+Tabela1107[[#This Row],[COFINS]]+Tabela1107[[#This Row],[CONTRIB. FOLHA]]+Tabela1107[[#This Row],[TRIBUTOS S/ LUCRO]]+Tabela1107[[#This Row],[OUTROS]]+Tabela1107[[#This Row],[PE]]</f>
        <v>24.740000000000002</v>
      </c>
      <c r="BT256" s="97">
        <f>+Tabela1107[[#This Row],[PIS]]+Tabela1107[[#This Row],[COFINS]]+Tabela1107[[#This Row],[CONTRIB. FOLHA]]+Tabela1107[[#This Row],[TRIBUTOS S/ LUCRO]]+Tabela1107[[#This Row],[OUTROS]]+Tabela1107[[#This Row],[PA]]</f>
        <v>24.740000000000002</v>
      </c>
      <c r="BU256" s="97">
        <f>+Tabela1107[[#This Row],[PIS]]+Tabela1107[[#This Row],[COFINS]]+Tabela1107[[#This Row],[CONTRIB. FOLHA]]+Tabela1107[[#This Row],[TRIBUTOS S/ LUCRO]]+Tabela1107[[#This Row],[OUTROS]]+Tabela1107[[#This Row],[AM]]</f>
        <v>24.740000000000002</v>
      </c>
      <c r="BV256" s="97">
        <f>AVERAGE(Tabela1107[[#This Row],[TOTAL SP]:[TOTAL AM]])</f>
        <v>24.302500000000006</v>
      </c>
      <c r="BW256" s="97"/>
      <c r="BX256" s="97"/>
    </row>
    <row r="257" spans="2:76" x14ac:dyDescent="0.25">
      <c r="B257" s="89">
        <v>16626</v>
      </c>
      <c r="C257" s="91" t="s">
        <v>13177</v>
      </c>
      <c r="D257" s="89"/>
      <c r="E257" s="89">
        <v>20140626</v>
      </c>
      <c r="F257" s="89" t="s">
        <v>20315</v>
      </c>
      <c r="G257" s="89" t="s">
        <v>20316</v>
      </c>
      <c r="H257" s="89" t="s">
        <v>20317</v>
      </c>
      <c r="I257" s="89" t="s">
        <v>20318</v>
      </c>
      <c r="J257" s="89" t="s">
        <v>317</v>
      </c>
      <c r="K257" s="89"/>
      <c r="L257" s="89" t="s">
        <v>2788</v>
      </c>
      <c r="M257" s="89" t="s">
        <v>4496</v>
      </c>
      <c r="N257" s="89" t="s">
        <v>4496</v>
      </c>
      <c r="O257" s="89" t="s">
        <v>4496</v>
      </c>
      <c r="P257" s="89" t="s">
        <v>4496</v>
      </c>
      <c r="Q257" s="89"/>
      <c r="R257" s="89" t="s">
        <v>1</v>
      </c>
      <c r="S257" s="89" t="s">
        <v>21572</v>
      </c>
      <c r="T257" s="89" t="s">
        <v>21573</v>
      </c>
      <c r="U257" s="89" t="str">
        <f>TRIM('Carga Tributária doenças Po (2'!$L257)</f>
        <v>LOSARTANA</v>
      </c>
      <c r="V257" s="89">
        <f>SUMIFS('Tabela Federal'!$E$4:$E$2069,'Tabela Federal'!$D$4:$D$2069,'Carga Tributária doenças Po (2'!$L257)</f>
        <v>2</v>
      </c>
      <c r="W257" s="89">
        <f>SUMIFS('Tabela Federal'!$E$4:$E$2069,'Tabela Federal'!$D$4:$D$2069,'Carga Tributária doenças Po (2'!$M257)</f>
        <v>0</v>
      </c>
      <c r="X257" s="89">
        <f>SUMIFS('Tabela Federal'!$E$4:$E$2069,'Tabela Federal'!$D$4:$D$2069,'Carga Tributária doenças Po (2'!$N257)</f>
        <v>0</v>
      </c>
      <c r="Y257" s="89">
        <f>SUMIFS('Tabela Federal'!$E$4:$E$2069,'Tabela Federal'!$D$4:$D$2069,'Carga Tributária doenças Po (2'!$O257)</f>
        <v>0</v>
      </c>
      <c r="Z257" s="92" t="str">
        <f>VLOOKUP('Carga Tributária doenças Po (2'!$AD257,'Carga Tributária doenças Po (2'!$CA$12:$CC$16,2,0)</f>
        <v>+</v>
      </c>
      <c r="AA257" s="89" t="s">
        <v>318</v>
      </c>
      <c r="AB257" s="89" t="s">
        <v>21850</v>
      </c>
      <c r="AC257" s="89" t="s">
        <v>21721</v>
      </c>
      <c r="AD257" s="93" t="s">
        <v>21722</v>
      </c>
      <c r="AE257" s="92" t="s">
        <v>4</v>
      </c>
      <c r="AF257" s="92" t="s">
        <v>10</v>
      </c>
      <c r="AG257" s="94">
        <v>3411659</v>
      </c>
      <c r="AH257" s="95">
        <v>30788997</v>
      </c>
      <c r="AI257" s="95">
        <v>70181377.390000001</v>
      </c>
      <c r="AJ257" s="89" t="s">
        <v>323</v>
      </c>
      <c r="AK257" s="89">
        <f>IF('Carga Tributária doenças Po (2'!$Z257="+",0,SUMIFS(PISCOFINS!$I$3:$I$10518,PISCOFINS!$C$3:$C$10518,'Carga Tributária doenças Po (2'!$C257))</f>
        <v>0</v>
      </c>
      <c r="AL257" s="89">
        <f>IF('Carga Tributária doenças Po (2'!$Z257="+",0,SUMIFS(PISCOFINS!$H$3:$H$10518,PISCOFINS!$C$3:$C$10518,'Carga Tributária doenças Po (2'!$C257))</f>
        <v>0</v>
      </c>
      <c r="AM257" s="95">
        <v>3.27</v>
      </c>
      <c r="AN257" s="95">
        <v>3.12</v>
      </c>
      <c r="AO257" s="95">
        <v>1.35</v>
      </c>
      <c r="AP257" s="96">
        <v>18</v>
      </c>
      <c r="AQ257" s="96">
        <v>12</v>
      </c>
      <c r="AR257" s="96">
        <v>17</v>
      </c>
      <c r="AS257" s="97">
        <v>17</v>
      </c>
      <c r="AT257" s="97">
        <v>19</v>
      </c>
      <c r="AU257" s="97">
        <v>12</v>
      </c>
      <c r="AV257" s="97">
        <v>17</v>
      </c>
      <c r="AW257" s="97">
        <v>17</v>
      </c>
      <c r="AX257" s="97">
        <v>17</v>
      </c>
      <c r="AY257" s="97">
        <v>17</v>
      </c>
      <c r="AZ257" s="97">
        <v>17</v>
      </c>
      <c r="BA257" s="97">
        <v>17</v>
      </c>
      <c r="BB257" s="97">
        <v>17</v>
      </c>
      <c r="BC257" s="97">
        <v>17</v>
      </c>
      <c r="BD257" s="97">
        <v>17</v>
      </c>
      <c r="BE257" s="97">
        <v>17</v>
      </c>
      <c r="BF257" s="97">
        <f>+Tabela1107[[#This Row],[PIS]]+Tabela1107[[#This Row],[COFINS]]+Tabela1107[[#This Row],[CONTRIB. FOLHA]]+Tabela1107[[#This Row],[TRIBUTOS S/ LUCRO]]+Tabela1107[[#This Row],[OUTROS]]+Tabela1107[[#This Row],[SP]]</f>
        <v>25.740000000000002</v>
      </c>
      <c r="BG257" s="97">
        <f>+Tabela1107[[#This Row],[PIS]]+Tabela1107[[#This Row],[COFINS]]+Tabela1107[[#This Row],[CONTRIB. FOLHA]]+Tabela1107[[#This Row],[TRIBUTOS S/ LUCRO]]+Tabela1107[[#This Row],[OUTROS]]+Tabela1107[[#This Row],[PR]]</f>
        <v>19.740000000000002</v>
      </c>
      <c r="BH257" s="97">
        <f>+Tabela1107[[#This Row],[PIS]]+Tabela1107[[#This Row],[COFINS]]+Tabela1107[[#This Row],[CONTRIB. FOLHA]]+Tabela1107[[#This Row],[TRIBUTOS S/ LUCRO]]+Tabela1107[[#This Row],[OUTROS]]+Tabela1107[[#This Row],[SC]]</f>
        <v>24.740000000000002</v>
      </c>
      <c r="BI257" s="97">
        <f>+Tabela1107[[#This Row],[PIS]]+Tabela1107[[#This Row],[COFINS]]+Tabela1107[[#This Row],[CONTRIB. FOLHA]]+Tabela1107[[#This Row],[TRIBUTOS S/ LUCRO]]+Tabela1107[[#This Row],[OUTROS]]+Tabela1107[[#This Row],[RS]]</f>
        <v>24.740000000000002</v>
      </c>
      <c r="BJ257" s="97">
        <f>+Tabela1107[[#This Row],[PIS]]+Tabela1107[[#This Row],[COFINS]]+Tabela1107[[#This Row],[CONTRIB. FOLHA]]+Tabela1107[[#This Row],[TRIBUTOS S/ LUCRO]]+Tabela1107[[#This Row],[OUTROS]]+Tabela1107[[#This Row],[RJ]]</f>
        <v>26.740000000000002</v>
      </c>
      <c r="BK257" s="97">
        <f>+Tabela1107[[#This Row],[PIS]]+Tabela1107[[#This Row],[COFINS]]+Tabela1107[[#This Row],[CONTRIB. FOLHA]]+Tabela1107[[#This Row],[TRIBUTOS S/ LUCRO]]+Tabela1107[[#This Row],[OUTROS]]+Tabela1107[[#This Row],[MG]]</f>
        <v>19.740000000000002</v>
      </c>
      <c r="BL257" s="97">
        <f>+Tabela1107[[#This Row],[PIS]]+Tabela1107[[#This Row],[COFINS]]+Tabela1107[[#This Row],[CONTRIB. FOLHA]]+Tabela1107[[#This Row],[TRIBUTOS S/ LUCRO]]+Tabela1107[[#This Row],[OUTROS]]+Tabela1107[[#This Row],[ES]]</f>
        <v>24.740000000000002</v>
      </c>
      <c r="BM257" s="97">
        <f>+Tabela1107[[#This Row],[PIS]]+Tabela1107[[#This Row],[COFINS]]+Tabela1107[[#This Row],[CONTRIB. FOLHA]]+Tabela1107[[#This Row],[TRIBUTOS S/ LUCRO]]+Tabela1107[[#This Row],[OUTROS]]+Tabela1107[[#This Row],[GO]]</f>
        <v>24.740000000000002</v>
      </c>
      <c r="BN257" s="97">
        <f>+Tabela1107[[#This Row],[PIS]]+Tabela1107[[#This Row],[COFINS]]+Tabela1107[[#This Row],[CONTRIB. FOLHA]]+Tabela1107[[#This Row],[TRIBUTOS S/ LUCRO]]+Tabela1107[[#This Row],[OUTROS]]+Tabela1107[[#This Row],[MT]]</f>
        <v>24.740000000000002</v>
      </c>
      <c r="BO257" s="97">
        <f>+Tabela1107[[#This Row],[PIS]]+Tabela1107[[#This Row],[COFINS]]+Tabela1107[[#This Row],[CONTRIB. FOLHA]]+Tabela1107[[#This Row],[TRIBUTOS S/ LUCRO]]+Tabela1107[[#This Row],[OUTROS]]+Tabela1107[[#This Row],[MS]]</f>
        <v>24.740000000000002</v>
      </c>
      <c r="BP257" s="97">
        <f>+Tabela1107[[#This Row],[PIS]]+Tabela1107[[#This Row],[COFINS]]+Tabela1107[[#This Row],[CONTRIB. FOLHA]]+Tabela1107[[#This Row],[TRIBUTOS S/ LUCRO]]+Tabela1107[[#This Row],[OUTROS]]+Tabela1107[[#This Row],[DF]]</f>
        <v>24.740000000000002</v>
      </c>
      <c r="BQ257" s="97">
        <f>+Tabela1107[[#This Row],[PIS]]+Tabela1107[[#This Row],[COFINS]]+Tabela1107[[#This Row],[CONTRIB. FOLHA]]+Tabela1107[[#This Row],[TRIBUTOS S/ LUCRO]]+Tabela1107[[#This Row],[OUTROS]]+Tabela1107[[#This Row],[BA]]</f>
        <v>24.740000000000002</v>
      </c>
      <c r="BR257" s="97">
        <f>+Tabela1107[[#This Row],[PIS]]+Tabela1107[[#This Row],[COFINS]]+Tabela1107[[#This Row],[CONTRIB. FOLHA]]+Tabela1107[[#This Row],[TRIBUTOS S/ LUCRO]]+Tabela1107[[#This Row],[OUTROS]]+Tabela1107[[#This Row],[BA]]</f>
        <v>24.740000000000002</v>
      </c>
      <c r="BS257" s="97">
        <f>+Tabela1107[[#This Row],[PIS]]+Tabela1107[[#This Row],[COFINS]]+Tabela1107[[#This Row],[CONTRIB. FOLHA]]+Tabela1107[[#This Row],[TRIBUTOS S/ LUCRO]]+Tabela1107[[#This Row],[OUTROS]]+Tabela1107[[#This Row],[PE]]</f>
        <v>24.740000000000002</v>
      </c>
      <c r="BT257" s="97">
        <f>+Tabela1107[[#This Row],[PIS]]+Tabela1107[[#This Row],[COFINS]]+Tabela1107[[#This Row],[CONTRIB. FOLHA]]+Tabela1107[[#This Row],[TRIBUTOS S/ LUCRO]]+Tabela1107[[#This Row],[OUTROS]]+Tabela1107[[#This Row],[PA]]</f>
        <v>24.740000000000002</v>
      </c>
      <c r="BU257" s="97">
        <f>+Tabela1107[[#This Row],[PIS]]+Tabela1107[[#This Row],[COFINS]]+Tabela1107[[#This Row],[CONTRIB. FOLHA]]+Tabela1107[[#This Row],[TRIBUTOS S/ LUCRO]]+Tabela1107[[#This Row],[OUTROS]]+Tabela1107[[#This Row],[AM]]</f>
        <v>24.740000000000002</v>
      </c>
      <c r="BV257" s="97">
        <f>AVERAGE(Tabela1107[[#This Row],[TOTAL SP]:[TOTAL AM]])</f>
        <v>24.302500000000006</v>
      </c>
      <c r="BW257" s="97"/>
      <c r="BX257" s="97"/>
    </row>
    <row r="258" spans="2:76" x14ac:dyDescent="0.25">
      <c r="B258" s="89">
        <v>16626</v>
      </c>
      <c r="C258" s="91" t="s">
        <v>13177</v>
      </c>
      <c r="D258" s="89"/>
      <c r="E258" s="89">
        <v>20140626</v>
      </c>
      <c r="F258" s="89" t="s">
        <v>20315</v>
      </c>
      <c r="G258" s="89" t="s">
        <v>20316</v>
      </c>
      <c r="H258" s="89" t="s">
        <v>20317</v>
      </c>
      <c r="I258" s="89" t="s">
        <v>20318</v>
      </c>
      <c r="J258" s="89" t="s">
        <v>317</v>
      </c>
      <c r="K258" s="89"/>
      <c r="L258" s="89" t="s">
        <v>2788</v>
      </c>
      <c r="M258" s="89" t="s">
        <v>4496</v>
      </c>
      <c r="N258" s="89" t="s">
        <v>4496</v>
      </c>
      <c r="O258" s="89" t="s">
        <v>4496</v>
      </c>
      <c r="P258" s="89" t="s">
        <v>4496</v>
      </c>
      <c r="Q258" s="89"/>
      <c r="R258" s="89" t="s">
        <v>198</v>
      </c>
      <c r="S258" s="89" t="s">
        <v>21572</v>
      </c>
      <c r="T258" s="89" t="s">
        <v>21573</v>
      </c>
      <c r="U258" s="89" t="str">
        <f>TRIM('Carga Tributária doenças Po (2'!$L258)</f>
        <v>LOSARTANA</v>
      </c>
      <c r="V258" s="89">
        <f>SUMIFS('Tabela Federal'!$E$4:$E$2069,'Tabela Federal'!$D$4:$D$2069,'Carga Tributária doenças Po (2'!$L258)</f>
        <v>2</v>
      </c>
      <c r="W258" s="89">
        <f>SUMIFS('Tabela Federal'!$E$4:$E$2069,'Tabela Federal'!$D$4:$D$2069,'Carga Tributária doenças Po (2'!$M258)</f>
        <v>0</v>
      </c>
      <c r="X258" s="89">
        <f>SUMIFS('Tabela Federal'!$E$4:$E$2069,'Tabela Federal'!$D$4:$D$2069,'Carga Tributária doenças Po (2'!$N258)</f>
        <v>0</v>
      </c>
      <c r="Y258" s="89">
        <f>SUMIFS('Tabela Federal'!$E$4:$E$2069,'Tabela Federal'!$D$4:$D$2069,'Carga Tributária doenças Po (2'!$O258)</f>
        <v>0</v>
      </c>
      <c r="Z258" s="92" t="str">
        <f>VLOOKUP('Carga Tributária doenças Po (2'!$AD258,'Carga Tributária doenças Po (2'!$CA$12:$CC$16,2,0)</f>
        <v>+</v>
      </c>
      <c r="AA258" s="89" t="s">
        <v>318</v>
      </c>
      <c r="AB258" s="89" t="s">
        <v>21850</v>
      </c>
      <c r="AC258" s="89" t="s">
        <v>21721</v>
      </c>
      <c r="AD258" s="93" t="s">
        <v>21722</v>
      </c>
      <c r="AE258" s="92" t="s">
        <v>4</v>
      </c>
      <c r="AF258" s="92" t="s">
        <v>10</v>
      </c>
      <c r="AG258" s="94">
        <v>3991245</v>
      </c>
      <c r="AH258" s="95">
        <v>40757517</v>
      </c>
      <c r="AI258" s="95">
        <v>93220169.310000002</v>
      </c>
      <c r="AJ258" s="89" t="s">
        <v>323</v>
      </c>
      <c r="AK258" s="89">
        <f>IF('Carga Tributária doenças Po (2'!$Z258="+",0,SUMIFS(PISCOFINS!$I$3:$I$10518,PISCOFINS!$C$3:$C$10518,'Carga Tributária doenças Po (2'!$C258))</f>
        <v>0</v>
      </c>
      <c r="AL258" s="89">
        <f>IF('Carga Tributária doenças Po (2'!$Z258="+",0,SUMIFS(PISCOFINS!$H$3:$H$10518,PISCOFINS!$C$3:$C$10518,'Carga Tributária doenças Po (2'!$C258))</f>
        <v>0</v>
      </c>
      <c r="AM258" s="95">
        <v>3.27</v>
      </c>
      <c r="AN258" s="95">
        <v>3.12</v>
      </c>
      <c r="AO258" s="95">
        <v>1.35</v>
      </c>
      <c r="AP258" s="96">
        <v>18</v>
      </c>
      <c r="AQ258" s="96">
        <v>12</v>
      </c>
      <c r="AR258" s="96">
        <v>17</v>
      </c>
      <c r="AS258" s="97">
        <v>17</v>
      </c>
      <c r="AT258" s="97">
        <v>19</v>
      </c>
      <c r="AU258" s="97">
        <v>12</v>
      </c>
      <c r="AV258" s="97">
        <v>17</v>
      </c>
      <c r="AW258" s="97">
        <v>17</v>
      </c>
      <c r="AX258" s="97">
        <v>17</v>
      </c>
      <c r="AY258" s="97">
        <v>17</v>
      </c>
      <c r="AZ258" s="97">
        <v>17</v>
      </c>
      <c r="BA258" s="97">
        <v>17</v>
      </c>
      <c r="BB258" s="97">
        <v>17</v>
      </c>
      <c r="BC258" s="97">
        <v>17</v>
      </c>
      <c r="BD258" s="97">
        <v>17</v>
      </c>
      <c r="BE258" s="97">
        <v>17</v>
      </c>
      <c r="BF258" s="97">
        <f>+Tabela1107[[#This Row],[PIS]]+Tabela1107[[#This Row],[COFINS]]+Tabela1107[[#This Row],[CONTRIB. FOLHA]]+Tabela1107[[#This Row],[TRIBUTOS S/ LUCRO]]+Tabela1107[[#This Row],[OUTROS]]+Tabela1107[[#This Row],[SP]]</f>
        <v>25.740000000000002</v>
      </c>
      <c r="BG258" s="97">
        <f>+Tabela1107[[#This Row],[PIS]]+Tabela1107[[#This Row],[COFINS]]+Tabela1107[[#This Row],[CONTRIB. FOLHA]]+Tabela1107[[#This Row],[TRIBUTOS S/ LUCRO]]+Tabela1107[[#This Row],[OUTROS]]+Tabela1107[[#This Row],[PR]]</f>
        <v>19.740000000000002</v>
      </c>
      <c r="BH258" s="97">
        <f>+Tabela1107[[#This Row],[PIS]]+Tabela1107[[#This Row],[COFINS]]+Tabela1107[[#This Row],[CONTRIB. FOLHA]]+Tabela1107[[#This Row],[TRIBUTOS S/ LUCRO]]+Tabela1107[[#This Row],[OUTROS]]+Tabela1107[[#This Row],[SC]]</f>
        <v>24.740000000000002</v>
      </c>
      <c r="BI258" s="97">
        <f>+Tabela1107[[#This Row],[PIS]]+Tabela1107[[#This Row],[COFINS]]+Tabela1107[[#This Row],[CONTRIB. FOLHA]]+Tabela1107[[#This Row],[TRIBUTOS S/ LUCRO]]+Tabela1107[[#This Row],[OUTROS]]+Tabela1107[[#This Row],[RS]]</f>
        <v>24.740000000000002</v>
      </c>
      <c r="BJ258" s="97">
        <f>+Tabela1107[[#This Row],[PIS]]+Tabela1107[[#This Row],[COFINS]]+Tabela1107[[#This Row],[CONTRIB. FOLHA]]+Tabela1107[[#This Row],[TRIBUTOS S/ LUCRO]]+Tabela1107[[#This Row],[OUTROS]]+Tabela1107[[#This Row],[RJ]]</f>
        <v>26.740000000000002</v>
      </c>
      <c r="BK258" s="97">
        <f>+Tabela1107[[#This Row],[PIS]]+Tabela1107[[#This Row],[COFINS]]+Tabela1107[[#This Row],[CONTRIB. FOLHA]]+Tabela1107[[#This Row],[TRIBUTOS S/ LUCRO]]+Tabela1107[[#This Row],[OUTROS]]+Tabela1107[[#This Row],[MG]]</f>
        <v>19.740000000000002</v>
      </c>
      <c r="BL258" s="97">
        <f>+Tabela1107[[#This Row],[PIS]]+Tabela1107[[#This Row],[COFINS]]+Tabela1107[[#This Row],[CONTRIB. FOLHA]]+Tabela1107[[#This Row],[TRIBUTOS S/ LUCRO]]+Tabela1107[[#This Row],[OUTROS]]+Tabela1107[[#This Row],[ES]]</f>
        <v>24.740000000000002</v>
      </c>
      <c r="BM258" s="97">
        <f>+Tabela1107[[#This Row],[PIS]]+Tabela1107[[#This Row],[COFINS]]+Tabela1107[[#This Row],[CONTRIB. FOLHA]]+Tabela1107[[#This Row],[TRIBUTOS S/ LUCRO]]+Tabela1107[[#This Row],[OUTROS]]+Tabela1107[[#This Row],[GO]]</f>
        <v>24.740000000000002</v>
      </c>
      <c r="BN258" s="97">
        <f>+Tabela1107[[#This Row],[PIS]]+Tabela1107[[#This Row],[COFINS]]+Tabela1107[[#This Row],[CONTRIB. FOLHA]]+Tabela1107[[#This Row],[TRIBUTOS S/ LUCRO]]+Tabela1107[[#This Row],[OUTROS]]+Tabela1107[[#This Row],[MT]]</f>
        <v>24.740000000000002</v>
      </c>
      <c r="BO258" s="97">
        <f>+Tabela1107[[#This Row],[PIS]]+Tabela1107[[#This Row],[COFINS]]+Tabela1107[[#This Row],[CONTRIB. FOLHA]]+Tabela1107[[#This Row],[TRIBUTOS S/ LUCRO]]+Tabela1107[[#This Row],[OUTROS]]+Tabela1107[[#This Row],[MS]]</f>
        <v>24.740000000000002</v>
      </c>
      <c r="BP258" s="97">
        <f>+Tabela1107[[#This Row],[PIS]]+Tabela1107[[#This Row],[COFINS]]+Tabela1107[[#This Row],[CONTRIB. FOLHA]]+Tabela1107[[#This Row],[TRIBUTOS S/ LUCRO]]+Tabela1107[[#This Row],[OUTROS]]+Tabela1107[[#This Row],[DF]]</f>
        <v>24.740000000000002</v>
      </c>
      <c r="BQ258" s="97">
        <f>+Tabela1107[[#This Row],[PIS]]+Tabela1107[[#This Row],[COFINS]]+Tabela1107[[#This Row],[CONTRIB. FOLHA]]+Tabela1107[[#This Row],[TRIBUTOS S/ LUCRO]]+Tabela1107[[#This Row],[OUTROS]]+Tabela1107[[#This Row],[BA]]</f>
        <v>24.740000000000002</v>
      </c>
      <c r="BR258" s="97">
        <f>+Tabela1107[[#This Row],[PIS]]+Tabela1107[[#This Row],[COFINS]]+Tabela1107[[#This Row],[CONTRIB. FOLHA]]+Tabela1107[[#This Row],[TRIBUTOS S/ LUCRO]]+Tabela1107[[#This Row],[OUTROS]]+Tabela1107[[#This Row],[BA]]</f>
        <v>24.740000000000002</v>
      </c>
      <c r="BS258" s="97">
        <f>+Tabela1107[[#This Row],[PIS]]+Tabela1107[[#This Row],[COFINS]]+Tabela1107[[#This Row],[CONTRIB. FOLHA]]+Tabela1107[[#This Row],[TRIBUTOS S/ LUCRO]]+Tabela1107[[#This Row],[OUTROS]]+Tabela1107[[#This Row],[PE]]</f>
        <v>24.740000000000002</v>
      </c>
      <c r="BT258" s="97">
        <f>+Tabela1107[[#This Row],[PIS]]+Tabela1107[[#This Row],[COFINS]]+Tabela1107[[#This Row],[CONTRIB. FOLHA]]+Tabela1107[[#This Row],[TRIBUTOS S/ LUCRO]]+Tabela1107[[#This Row],[OUTROS]]+Tabela1107[[#This Row],[PA]]</f>
        <v>24.740000000000002</v>
      </c>
      <c r="BU258" s="97">
        <f>+Tabela1107[[#This Row],[PIS]]+Tabela1107[[#This Row],[COFINS]]+Tabela1107[[#This Row],[CONTRIB. FOLHA]]+Tabela1107[[#This Row],[TRIBUTOS S/ LUCRO]]+Tabela1107[[#This Row],[OUTROS]]+Tabela1107[[#This Row],[AM]]</f>
        <v>24.740000000000002</v>
      </c>
      <c r="BV258" s="97">
        <f>AVERAGE(Tabela1107[[#This Row],[TOTAL SP]:[TOTAL AM]])</f>
        <v>24.302500000000006</v>
      </c>
      <c r="BW258" s="97"/>
      <c r="BX258" s="97"/>
    </row>
    <row r="259" spans="2:76" x14ac:dyDescent="0.25">
      <c r="B259" s="89">
        <v>23952</v>
      </c>
      <c r="C259" s="91" t="s">
        <v>13177</v>
      </c>
      <c r="D259" s="89"/>
      <c r="E259" s="89">
        <v>20140626</v>
      </c>
      <c r="F259" s="89" t="s">
        <v>21068</v>
      </c>
      <c r="G259" s="89" t="s">
        <v>21069</v>
      </c>
      <c r="H259" s="89" t="s">
        <v>21070</v>
      </c>
      <c r="I259" s="89" t="s">
        <v>21067</v>
      </c>
      <c r="J259" s="89" t="s">
        <v>66</v>
      </c>
      <c r="K259" s="89"/>
      <c r="L259" s="89" t="s">
        <v>2672</v>
      </c>
      <c r="M259" s="89" t="s">
        <v>4496</v>
      </c>
      <c r="N259" s="89" t="s">
        <v>4496</v>
      </c>
      <c r="O259" s="89" t="s">
        <v>4496</v>
      </c>
      <c r="P259" s="89" t="s">
        <v>4496</v>
      </c>
      <c r="Q259" s="89"/>
      <c r="R259" s="89" t="s">
        <v>68</v>
      </c>
      <c r="S259" s="89" t="s">
        <v>21664</v>
      </c>
      <c r="T259" s="89" t="s">
        <v>21665</v>
      </c>
      <c r="U259" s="89" t="str">
        <f>TRIM('Carga Tributária doenças Po (2'!$L259)</f>
        <v>OMEPRAZOL</v>
      </c>
      <c r="V259" s="89">
        <f>SUMIFS('Tabela Federal'!$E$4:$E$2069,'Tabela Federal'!$D$4:$D$2069,'Carga Tributária doenças Po (2'!$L259)</f>
        <v>3</v>
      </c>
      <c r="W259" s="89">
        <f>SUMIFS('Tabela Federal'!$E$4:$E$2069,'Tabela Federal'!$D$4:$D$2069,'Carga Tributária doenças Po (2'!$M259)</f>
        <v>0</v>
      </c>
      <c r="X259" s="89">
        <f>SUMIFS('Tabela Federal'!$E$4:$E$2069,'Tabela Federal'!$D$4:$D$2069,'Carga Tributária doenças Po (2'!$N259)</f>
        <v>0</v>
      </c>
      <c r="Y259" s="89">
        <f>SUMIFS('Tabela Federal'!$E$4:$E$2069,'Tabela Federal'!$D$4:$D$2069,'Carga Tributária doenças Po (2'!$O259)</f>
        <v>0</v>
      </c>
      <c r="Z259" s="92" t="str">
        <f>VLOOKUP('Carga Tributária doenças Po (2'!$AD259,'Carga Tributária doenças Po (2'!$CA$12:$CC$16,2,0)</f>
        <v>-</v>
      </c>
      <c r="AA259" s="89" t="s">
        <v>67</v>
      </c>
      <c r="AB259" s="89"/>
      <c r="AC259" s="89"/>
      <c r="AD259" s="93" t="s">
        <v>19523</v>
      </c>
      <c r="AE259" s="92" t="s">
        <v>2</v>
      </c>
      <c r="AF259" s="92" t="s">
        <v>3</v>
      </c>
      <c r="AG259" s="94">
        <v>4049820</v>
      </c>
      <c r="AH259" s="95">
        <v>57552678</v>
      </c>
      <c r="AI259" s="95">
        <v>131485899.95</v>
      </c>
      <c r="AJ259" s="89" t="s">
        <v>61</v>
      </c>
      <c r="AK259" s="89">
        <f>IF('Carga Tributária doenças Po (2'!$Z259="+",0,SUMIFS(PISCOFINS!$I$3:$I$10518,PISCOFINS!$C$3:$C$10518,'Carga Tributária doenças Po (2'!$C259))</f>
        <v>2.1</v>
      </c>
      <c r="AL259" s="89">
        <f>IF('Carga Tributária doenças Po (2'!$Z259="+",0,SUMIFS(PISCOFINS!$H$3:$H$10518,PISCOFINS!$C$3:$C$10518,'Carga Tributária doenças Po (2'!$C259))</f>
        <v>9.9</v>
      </c>
      <c r="AM259" s="95">
        <v>3.27</v>
      </c>
      <c r="AN259" s="95">
        <v>3.12</v>
      </c>
      <c r="AO259" s="95">
        <v>1.35</v>
      </c>
      <c r="AP259" s="96">
        <v>18</v>
      </c>
      <c r="AQ259" s="96">
        <v>12</v>
      </c>
      <c r="AR259" s="96">
        <v>17</v>
      </c>
      <c r="AS259" s="97">
        <v>17</v>
      </c>
      <c r="AT259" s="97">
        <v>19</v>
      </c>
      <c r="AU259" s="97">
        <v>18</v>
      </c>
      <c r="AV259" s="97">
        <v>17</v>
      </c>
      <c r="AW259" s="97">
        <v>17</v>
      </c>
      <c r="AX259" s="97">
        <v>17</v>
      </c>
      <c r="AY259" s="97">
        <v>17</v>
      </c>
      <c r="AZ259" s="97">
        <v>17</v>
      </c>
      <c r="BA259" s="97">
        <v>17</v>
      </c>
      <c r="BB259" s="97">
        <v>17</v>
      </c>
      <c r="BC259" s="97">
        <v>17</v>
      </c>
      <c r="BD259" s="97">
        <v>17</v>
      </c>
      <c r="BE259" s="97">
        <v>17</v>
      </c>
      <c r="BF259" s="97">
        <f>+Tabela1107[[#This Row],[PIS]]+Tabela1107[[#This Row],[COFINS]]+Tabela1107[[#This Row],[CONTRIB. FOLHA]]+Tabela1107[[#This Row],[TRIBUTOS S/ LUCRO]]+Tabela1107[[#This Row],[OUTROS]]+Tabela1107[[#This Row],[SP]]</f>
        <v>37.74</v>
      </c>
      <c r="BG259" s="97">
        <f>+Tabela1107[[#This Row],[PIS]]+Tabela1107[[#This Row],[COFINS]]+Tabela1107[[#This Row],[CONTRIB. FOLHA]]+Tabela1107[[#This Row],[TRIBUTOS S/ LUCRO]]+Tabela1107[[#This Row],[OUTROS]]+Tabela1107[[#This Row],[PR]]</f>
        <v>31.740000000000002</v>
      </c>
      <c r="BH259" s="97">
        <f>+Tabela1107[[#This Row],[PIS]]+Tabela1107[[#This Row],[COFINS]]+Tabela1107[[#This Row],[CONTRIB. FOLHA]]+Tabela1107[[#This Row],[TRIBUTOS S/ LUCRO]]+Tabela1107[[#This Row],[OUTROS]]+Tabela1107[[#This Row],[SC]]</f>
        <v>36.74</v>
      </c>
      <c r="BI259" s="97">
        <f>+Tabela1107[[#This Row],[PIS]]+Tabela1107[[#This Row],[COFINS]]+Tabela1107[[#This Row],[CONTRIB. FOLHA]]+Tabela1107[[#This Row],[TRIBUTOS S/ LUCRO]]+Tabela1107[[#This Row],[OUTROS]]+Tabela1107[[#This Row],[RS]]</f>
        <v>36.74</v>
      </c>
      <c r="BJ259" s="97">
        <f>+Tabela1107[[#This Row],[PIS]]+Tabela1107[[#This Row],[COFINS]]+Tabela1107[[#This Row],[CONTRIB. FOLHA]]+Tabela1107[[#This Row],[TRIBUTOS S/ LUCRO]]+Tabela1107[[#This Row],[OUTROS]]+Tabela1107[[#This Row],[RJ]]</f>
        <v>38.74</v>
      </c>
      <c r="BK259" s="97">
        <f>+Tabela1107[[#This Row],[PIS]]+Tabela1107[[#This Row],[COFINS]]+Tabela1107[[#This Row],[CONTRIB. FOLHA]]+Tabela1107[[#This Row],[TRIBUTOS S/ LUCRO]]+Tabela1107[[#This Row],[OUTROS]]+Tabela1107[[#This Row],[MG]]</f>
        <v>37.74</v>
      </c>
      <c r="BL259" s="97">
        <f>+Tabela1107[[#This Row],[PIS]]+Tabela1107[[#This Row],[COFINS]]+Tabela1107[[#This Row],[CONTRIB. FOLHA]]+Tabela1107[[#This Row],[TRIBUTOS S/ LUCRO]]+Tabela1107[[#This Row],[OUTROS]]+Tabela1107[[#This Row],[ES]]</f>
        <v>36.74</v>
      </c>
      <c r="BM259" s="97">
        <f>+Tabela1107[[#This Row],[PIS]]+Tabela1107[[#This Row],[COFINS]]+Tabela1107[[#This Row],[CONTRIB. FOLHA]]+Tabela1107[[#This Row],[TRIBUTOS S/ LUCRO]]+Tabela1107[[#This Row],[OUTROS]]+Tabela1107[[#This Row],[GO]]</f>
        <v>36.74</v>
      </c>
      <c r="BN259" s="97">
        <f>+Tabela1107[[#This Row],[PIS]]+Tabela1107[[#This Row],[COFINS]]+Tabela1107[[#This Row],[CONTRIB. FOLHA]]+Tabela1107[[#This Row],[TRIBUTOS S/ LUCRO]]+Tabela1107[[#This Row],[OUTROS]]+Tabela1107[[#This Row],[MT]]</f>
        <v>36.74</v>
      </c>
      <c r="BO259" s="97">
        <f>+Tabela1107[[#This Row],[PIS]]+Tabela1107[[#This Row],[COFINS]]+Tabela1107[[#This Row],[CONTRIB. FOLHA]]+Tabela1107[[#This Row],[TRIBUTOS S/ LUCRO]]+Tabela1107[[#This Row],[OUTROS]]+Tabela1107[[#This Row],[MS]]</f>
        <v>36.74</v>
      </c>
      <c r="BP259" s="97">
        <f>+Tabela1107[[#This Row],[PIS]]+Tabela1107[[#This Row],[COFINS]]+Tabela1107[[#This Row],[CONTRIB. FOLHA]]+Tabela1107[[#This Row],[TRIBUTOS S/ LUCRO]]+Tabela1107[[#This Row],[OUTROS]]+Tabela1107[[#This Row],[DF]]</f>
        <v>36.74</v>
      </c>
      <c r="BQ259" s="97">
        <f>+Tabela1107[[#This Row],[PIS]]+Tabela1107[[#This Row],[COFINS]]+Tabela1107[[#This Row],[CONTRIB. FOLHA]]+Tabela1107[[#This Row],[TRIBUTOS S/ LUCRO]]+Tabela1107[[#This Row],[OUTROS]]+Tabela1107[[#This Row],[BA]]</f>
        <v>36.74</v>
      </c>
      <c r="BR259" s="97">
        <f>+Tabela1107[[#This Row],[PIS]]+Tabela1107[[#This Row],[COFINS]]+Tabela1107[[#This Row],[CONTRIB. FOLHA]]+Tabela1107[[#This Row],[TRIBUTOS S/ LUCRO]]+Tabela1107[[#This Row],[OUTROS]]+Tabela1107[[#This Row],[BA]]</f>
        <v>36.74</v>
      </c>
      <c r="BS259" s="97">
        <f>+Tabela1107[[#This Row],[PIS]]+Tabela1107[[#This Row],[COFINS]]+Tabela1107[[#This Row],[CONTRIB. FOLHA]]+Tabela1107[[#This Row],[TRIBUTOS S/ LUCRO]]+Tabela1107[[#This Row],[OUTROS]]+Tabela1107[[#This Row],[PE]]</f>
        <v>36.74</v>
      </c>
      <c r="BT259" s="97">
        <f>+Tabela1107[[#This Row],[PIS]]+Tabela1107[[#This Row],[COFINS]]+Tabela1107[[#This Row],[CONTRIB. FOLHA]]+Tabela1107[[#This Row],[TRIBUTOS S/ LUCRO]]+Tabela1107[[#This Row],[OUTROS]]+Tabela1107[[#This Row],[PA]]</f>
        <v>36.74</v>
      </c>
      <c r="BU259" s="97">
        <f>+Tabela1107[[#This Row],[PIS]]+Tabela1107[[#This Row],[COFINS]]+Tabela1107[[#This Row],[CONTRIB. FOLHA]]+Tabela1107[[#This Row],[TRIBUTOS S/ LUCRO]]+Tabela1107[[#This Row],[OUTROS]]+Tabela1107[[#This Row],[AM]]</f>
        <v>36.74</v>
      </c>
      <c r="BV259" s="97">
        <f>AVERAGE(Tabela1107[[#This Row],[TOTAL SP]:[TOTAL AM]])</f>
        <v>36.677500000000002</v>
      </c>
      <c r="BW259" s="97"/>
      <c r="BX259" s="97"/>
    </row>
    <row r="260" spans="2:76" x14ac:dyDescent="0.25">
      <c r="B260" s="89">
        <v>23953</v>
      </c>
      <c r="C260" s="91" t="s">
        <v>13183</v>
      </c>
      <c r="D260" s="89"/>
      <c r="E260" s="89">
        <v>20140626</v>
      </c>
      <c r="F260" s="98" t="s">
        <v>21064</v>
      </c>
      <c r="G260" s="89" t="s">
        <v>21065</v>
      </c>
      <c r="H260" s="89" t="s">
        <v>21066</v>
      </c>
      <c r="I260" s="89" t="s">
        <v>21067</v>
      </c>
      <c r="J260" s="89" t="s">
        <v>70</v>
      </c>
      <c r="K260" s="89"/>
      <c r="L260" s="89" t="s">
        <v>2672</v>
      </c>
      <c r="M260" s="89" t="s">
        <v>4496</v>
      </c>
      <c r="N260" s="89" t="s">
        <v>4496</v>
      </c>
      <c r="O260" s="89" t="s">
        <v>4496</v>
      </c>
      <c r="P260" s="89" t="s">
        <v>4496</v>
      </c>
      <c r="Q260" s="89"/>
      <c r="R260" s="89" t="s">
        <v>68</v>
      </c>
      <c r="S260" s="89" t="s">
        <v>21664</v>
      </c>
      <c r="T260" s="89" t="s">
        <v>21665</v>
      </c>
      <c r="U260" s="89" t="str">
        <f>TRIM('Carga Tributária doenças Po (2'!$L260)</f>
        <v>OMEPRAZOL</v>
      </c>
      <c r="V260" s="89">
        <f>SUMIFS('Tabela Federal'!$E$4:$E$2069,'Tabela Federal'!$D$4:$D$2069,'Carga Tributária doenças Po (2'!$L260)</f>
        <v>3</v>
      </c>
      <c r="W260" s="89">
        <f>SUMIFS('Tabela Federal'!$E$4:$E$2069,'Tabela Federal'!$D$4:$D$2069,'Carga Tributária doenças Po (2'!$M260)</f>
        <v>0</v>
      </c>
      <c r="X260" s="89">
        <f>SUMIFS('Tabela Federal'!$E$4:$E$2069,'Tabela Federal'!$D$4:$D$2069,'Carga Tributária doenças Po (2'!$N260)</f>
        <v>0</v>
      </c>
      <c r="Y260" s="89">
        <f>SUMIFS('Tabela Federal'!$E$4:$E$2069,'Tabela Federal'!$D$4:$D$2069,'Carga Tributária doenças Po (2'!$O260)</f>
        <v>0</v>
      </c>
      <c r="Z260" s="92" t="str">
        <f>VLOOKUP('Carga Tributária doenças Po (2'!$AD260,'Carga Tributária doenças Po (2'!$CA$12:$CC$16,2,0)</f>
        <v>-</v>
      </c>
      <c r="AA260" s="89" t="s">
        <v>67</v>
      </c>
      <c r="AB260" s="89"/>
      <c r="AC260" s="89"/>
      <c r="AD260" s="93" t="s">
        <v>19523</v>
      </c>
      <c r="AE260" s="92" t="s">
        <v>2</v>
      </c>
      <c r="AF260" s="92" t="s">
        <v>3</v>
      </c>
      <c r="AG260" s="94">
        <v>3044856</v>
      </c>
      <c r="AH260" s="95">
        <v>24010600</v>
      </c>
      <c r="AI260" s="95">
        <v>54859663.890000001</v>
      </c>
      <c r="AJ260" s="89" t="s">
        <v>61</v>
      </c>
      <c r="AK260" s="89">
        <f>IF('Carga Tributária doenças Po (2'!$Z260="+",0,SUMIFS(PISCOFINS!$I$3:$I$10518,PISCOFINS!$C$3:$C$10518,'Carga Tributária doenças Po (2'!$C260))</f>
        <v>2.1</v>
      </c>
      <c r="AL260" s="89">
        <f>IF('Carga Tributária doenças Po (2'!$Z260="+",0,SUMIFS(PISCOFINS!$H$3:$H$10518,PISCOFINS!$C$3:$C$10518,'Carga Tributária doenças Po (2'!$C260))</f>
        <v>9.9</v>
      </c>
      <c r="AM260" s="95">
        <v>3.27</v>
      </c>
      <c r="AN260" s="95">
        <v>3.12</v>
      </c>
      <c r="AO260" s="95">
        <v>1.35</v>
      </c>
      <c r="AP260" s="96">
        <v>18</v>
      </c>
      <c r="AQ260" s="96">
        <v>12</v>
      </c>
      <c r="AR260" s="96">
        <v>17</v>
      </c>
      <c r="AS260" s="97">
        <v>17</v>
      </c>
      <c r="AT260" s="97">
        <v>19</v>
      </c>
      <c r="AU260" s="97">
        <v>18</v>
      </c>
      <c r="AV260" s="97">
        <v>17</v>
      </c>
      <c r="AW260" s="97">
        <v>17</v>
      </c>
      <c r="AX260" s="97">
        <v>17</v>
      </c>
      <c r="AY260" s="97">
        <v>17</v>
      </c>
      <c r="AZ260" s="97">
        <v>17</v>
      </c>
      <c r="BA260" s="97">
        <v>17</v>
      </c>
      <c r="BB260" s="97">
        <v>17</v>
      </c>
      <c r="BC260" s="97">
        <v>17</v>
      </c>
      <c r="BD260" s="97">
        <v>17</v>
      </c>
      <c r="BE260" s="97">
        <v>17</v>
      </c>
      <c r="BF260" s="97">
        <f>+Tabela1107[[#This Row],[PIS]]+Tabela1107[[#This Row],[COFINS]]+Tabela1107[[#This Row],[CONTRIB. FOLHA]]+Tabela1107[[#This Row],[TRIBUTOS S/ LUCRO]]+Tabela1107[[#This Row],[OUTROS]]+Tabela1107[[#This Row],[SP]]</f>
        <v>37.74</v>
      </c>
      <c r="BG260" s="97">
        <f>+Tabela1107[[#This Row],[PIS]]+Tabela1107[[#This Row],[COFINS]]+Tabela1107[[#This Row],[CONTRIB. FOLHA]]+Tabela1107[[#This Row],[TRIBUTOS S/ LUCRO]]+Tabela1107[[#This Row],[OUTROS]]+Tabela1107[[#This Row],[PR]]</f>
        <v>31.740000000000002</v>
      </c>
      <c r="BH260" s="97">
        <f>+Tabela1107[[#This Row],[PIS]]+Tabela1107[[#This Row],[COFINS]]+Tabela1107[[#This Row],[CONTRIB. FOLHA]]+Tabela1107[[#This Row],[TRIBUTOS S/ LUCRO]]+Tabela1107[[#This Row],[OUTROS]]+Tabela1107[[#This Row],[SC]]</f>
        <v>36.74</v>
      </c>
      <c r="BI260" s="97">
        <f>+Tabela1107[[#This Row],[PIS]]+Tabela1107[[#This Row],[COFINS]]+Tabela1107[[#This Row],[CONTRIB. FOLHA]]+Tabela1107[[#This Row],[TRIBUTOS S/ LUCRO]]+Tabela1107[[#This Row],[OUTROS]]+Tabela1107[[#This Row],[RS]]</f>
        <v>36.74</v>
      </c>
      <c r="BJ260" s="97">
        <f>+Tabela1107[[#This Row],[PIS]]+Tabela1107[[#This Row],[COFINS]]+Tabela1107[[#This Row],[CONTRIB. FOLHA]]+Tabela1107[[#This Row],[TRIBUTOS S/ LUCRO]]+Tabela1107[[#This Row],[OUTROS]]+Tabela1107[[#This Row],[RJ]]</f>
        <v>38.74</v>
      </c>
      <c r="BK260" s="97">
        <f>+Tabela1107[[#This Row],[PIS]]+Tabela1107[[#This Row],[COFINS]]+Tabela1107[[#This Row],[CONTRIB. FOLHA]]+Tabela1107[[#This Row],[TRIBUTOS S/ LUCRO]]+Tabela1107[[#This Row],[OUTROS]]+Tabela1107[[#This Row],[MG]]</f>
        <v>37.74</v>
      </c>
      <c r="BL260" s="97">
        <f>+Tabela1107[[#This Row],[PIS]]+Tabela1107[[#This Row],[COFINS]]+Tabela1107[[#This Row],[CONTRIB. FOLHA]]+Tabela1107[[#This Row],[TRIBUTOS S/ LUCRO]]+Tabela1107[[#This Row],[OUTROS]]+Tabela1107[[#This Row],[ES]]</f>
        <v>36.74</v>
      </c>
      <c r="BM260" s="97">
        <f>+Tabela1107[[#This Row],[PIS]]+Tabela1107[[#This Row],[COFINS]]+Tabela1107[[#This Row],[CONTRIB. FOLHA]]+Tabela1107[[#This Row],[TRIBUTOS S/ LUCRO]]+Tabela1107[[#This Row],[OUTROS]]+Tabela1107[[#This Row],[GO]]</f>
        <v>36.74</v>
      </c>
      <c r="BN260" s="97">
        <f>+Tabela1107[[#This Row],[PIS]]+Tabela1107[[#This Row],[COFINS]]+Tabela1107[[#This Row],[CONTRIB. FOLHA]]+Tabela1107[[#This Row],[TRIBUTOS S/ LUCRO]]+Tabela1107[[#This Row],[OUTROS]]+Tabela1107[[#This Row],[MT]]</f>
        <v>36.74</v>
      </c>
      <c r="BO260" s="97">
        <f>+Tabela1107[[#This Row],[PIS]]+Tabela1107[[#This Row],[COFINS]]+Tabela1107[[#This Row],[CONTRIB. FOLHA]]+Tabela1107[[#This Row],[TRIBUTOS S/ LUCRO]]+Tabela1107[[#This Row],[OUTROS]]+Tabela1107[[#This Row],[MS]]</f>
        <v>36.74</v>
      </c>
      <c r="BP260" s="97">
        <f>+Tabela1107[[#This Row],[PIS]]+Tabela1107[[#This Row],[COFINS]]+Tabela1107[[#This Row],[CONTRIB. FOLHA]]+Tabela1107[[#This Row],[TRIBUTOS S/ LUCRO]]+Tabela1107[[#This Row],[OUTROS]]+Tabela1107[[#This Row],[DF]]</f>
        <v>36.74</v>
      </c>
      <c r="BQ260" s="97">
        <f>+Tabela1107[[#This Row],[PIS]]+Tabela1107[[#This Row],[COFINS]]+Tabela1107[[#This Row],[CONTRIB. FOLHA]]+Tabela1107[[#This Row],[TRIBUTOS S/ LUCRO]]+Tabela1107[[#This Row],[OUTROS]]+Tabela1107[[#This Row],[BA]]</f>
        <v>36.74</v>
      </c>
      <c r="BR260" s="97">
        <f>+Tabela1107[[#This Row],[PIS]]+Tabela1107[[#This Row],[COFINS]]+Tabela1107[[#This Row],[CONTRIB. FOLHA]]+Tabela1107[[#This Row],[TRIBUTOS S/ LUCRO]]+Tabela1107[[#This Row],[OUTROS]]+Tabela1107[[#This Row],[BA]]</f>
        <v>36.74</v>
      </c>
      <c r="BS260" s="97">
        <f>+Tabela1107[[#This Row],[PIS]]+Tabela1107[[#This Row],[COFINS]]+Tabela1107[[#This Row],[CONTRIB. FOLHA]]+Tabela1107[[#This Row],[TRIBUTOS S/ LUCRO]]+Tabela1107[[#This Row],[OUTROS]]+Tabela1107[[#This Row],[PE]]</f>
        <v>36.74</v>
      </c>
      <c r="BT260" s="97">
        <f>+Tabela1107[[#This Row],[PIS]]+Tabela1107[[#This Row],[COFINS]]+Tabela1107[[#This Row],[CONTRIB. FOLHA]]+Tabela1107[[#This Row],[TRIBUTOS S/ LUCRO]]+Tabela1107[[#This Row],[OUTROS]]+Tabela1107[[#This Row],[PA]]</f>
        <v>36.74</v>
      </c>
      <c r="BU260" s="97">
        <f>+Tabela1107[[#This Row],[PIS]]+Tabela1107[[#This Row],[COFINS]]+Tabela1107[[#This Row],[CONTRIB. FOLHA]]+Tabela1107[[#This Row],[TRIBUTOS S/ LUCRO]]+Tabela1107[[#This Row],[OUTROS]]+Tabela1107[[#This Row],[AM]]</f>
        <v>36.74</v>
      </c>
      <c r="BV260" s="97">
        <f>AVERAGE(Tabela1107[[#This Row],[TOTAL SP]:[TOTAL AM]])</f>
        <v>36.677500000000002</v>
      </c>
      <c r="BW260" s="97"/>
      <c r="BX260" s="97"/>
    </row>
    <row r="261" spans="2:76" x14ac:dyDescent="0.25">
      <c r="B261" s="89">
        <v>2144</v>
      </c>
      <c r="C261" s="91" t="s">
        <v>13183</v>
      </c>
      <c r="D261" s="89"/>
      <c r="E261" s="89">
        <v>20140626</v>
      </c>
      <c r="F261" s="89" t="s">
        <v>21269</v>
      </c>
      <c r="G261" s="89" t="s">
        <v>21270</v>
      </c>
      <c r="H261" s="89" t="s">
        <v>21271</v>
      </c>
      <c r="I261" s="89" t="s">
        <v>21272</v>
      </c>
      <c r="J261" s="89" t="s">
        <v>48</v>
      </c>
      <c r="K261" s="89"/>
      <c r="L261" s="89" t="s">
        <v>2789</v>
      </c>
      <c r="M261" s="89" t="s">
        <v>4496</v>
      </c>
      <c r="N261" s="89" t="s">
        <v>4496</v>
      </c>
      <c r="O261" s="89" t="s">
        <v>4496</v>
      </c>
      <c r="P261" s="89" t="s">
        <v>4496</v>
      </c>
      <c r="Q261" s="89"/>
      <c r="R261" s="89" t="s">
        <v>50</v>
      </c>
      <c r="S261" s="89" t="s">
        <v>21686</v>
      </c>
      <c r="T261" s="89" t="s">
        <v>21687</v>
      </c>
      <c r="U261" s="89" t="str">
        <f>TRIM('Carga Tributária doenças Po (2'!$L261)</f>
        <v>DIMETICONA</v>
      </c>
      <c r="V261" s="89">
        <f>SUMIFS('Tabela Federal'!$E$4:$E$2069,'Tabela Federal'!$D$4:$D$2069,'Carga Tributária doenças Po (2'!$L261)</f>
        <v>9</v>
      </c>
      <c r="W261" s="89">
        <f>SUMIFS('Tabela Federal'!$E$4:$E$2069,'Tabela Federal'!$D$4:$D$2069,'Carga Tributária doenças Po (2'!$M261)</f>
        <v>0</v>
      </c>
      <c r="X261" s="89">
        <f>SUMIFS('Tabela Federal'!$E$4:$E$2069,'Tabela Federal'!$D$4:$D$2069,'Carga Tributária doenças Po (2'!$N261)</f>
        <v>0</v>
      </c>
      <c r="Y261" s="89">
        <f>SUMIFS('Tabela Federal'!$E$4:$E$2069,'Tabela Federal'!$D$4:$D$2069,'Carga Tributária doenças Po (2'!$O261)</f>
        <v>0</v>
      </c>
      <c r="Z261" s="92" t="str">
        <f>VLOOKUP('Carga Tributária doenças Po (2'!$AD261,'Carga Tributária doenças Po (2'!$CA$12:$CC$16,2,0)</f>
        <v>-</v>
      </c>
      <c r="AA261" s="89" t="s">
        <v>49</v>
      </c>
      <c r="AB261" s="89" t="s">
        <v>21754</v>
      </c>
      <c r="AC261" s="89" t="s">
        <v>21740</v>
      </c>
      <c r="AD261" s="93" t="s">
        <v>19523</v>
      </c>
      <c r="AE261" s="92" t="s">
        <v>2</v>
      </c>
      <c r="AF261" s="92" t="s">
        <v>23</v>
      </c>
      <c r="AG261" s="94">
        <v>4556765</v>
      </c>
      <c r="AH261" s="95">
        <v>25309472</v>
      </c>
      <c r="AI261" s="95">
        <v>57768187.609999999</v>
      </c>
      <c r="AJ261" s="89" t="s">
        <v>41</v>
      </c>
      <c r="AK261" s="89">
        <f>IF('Carga Tributária doenças Po (2'!$Z261="+",0,SUMIFS(PISCOFINS!$I$3:$I$10518,PISCOFINS!$C$3:$C$10518,'Carga Tributária doenças Po (2'!$C261))</f>
        <v>2.1</v>
      </c>
      <c r="AL261" s="89">
        <f>IF('Carga Tributária doenças Po (2'!$Z261="+",0,SUMIFS(PISCOFINS!$H$3:$H$10518,PISCOFINS!$C$3:$C$10518,'Carga Tributária doenças Po (2'!$C261))</f>
        <v>9.9</v>
      </c>
      <c r="AM261" s="95">
        <v>3.27</v>
      </c>
      <c r="AN261" s="95">
        <v>3.12</v>
      </c>
      <c r="AO261" s="95">
        <v>1.35</v>
      </c>
      <c r="AP261" s="96">
        <v>18</v>
      </c>
      <c r="AQ261" s="96">
        <v>12</v>
      </c>
      <c r="AR261" s="96">
        <v>17</v>
      </c>
      <c r="AS261" s="97">
        <v>17</v>
      </c>
      <c r="AT261" s="97">
        <v>19</v>
      </c>
      <c r="AU261" s="97">
        <v>18</v>
      </c>
      <c r="AV261" s="97">
        <v>17</v>
      </c>
      <c r="AW261" s="97">
        <v>17</v>
      </c>
      <c r="AX261" s="97">
        <v>17</v>
      </c>
      <c r="AY261" s="97">
        <v>17</v>
      </c>
      <c r="AZ261" s="97">
        <v>17</v>
      </c>
      <c r="BA261" s="97">
        <v>17</v>
      </c>
      <c r="BB261" s="97">
        <v>17</v>
      </c>
      <c r="BC261" s="97">
        <v>17</v>
      </c>
      <c r="BD261" s="97">
        <v>17</v>
      </c>
      <c r="BE261" s="97">
        <v>17</v>
      </c>
      <c r="BF261" s="97">
        <f>+Tabela1107[[#This Row],[PIS]]+Tabela1107[[#This Row],[COFINS]]+Tabela1107[[#This Row],[CONTRIB. FOLHA]]+Tabela1107[[#This Row],[TRIBUTOS S/ LUCRO]]+Tabela1107[[#This Row],[OUTROS]]+Tabela1107[[#This Row],[SP]]</f>
        <v>37.74</v>
      </c>
      <c r="BG261" s="97">
        <f>+Tabela1107[[#This Row],[PIS]]+Tabela1107[[#This Row],[COFINS]]+Tabela1107[[#This Row],[CONTRIB. FOLHA]]+Tabela1107[[#This Row],[TRIBUTOS S/ LUCRO]]+Tabela1107[[#This Row],[OUTROS]]+Tabela1107[[#This Row],[PR]]</f>
        <v>31.740000000000002</v>
      </c>
      <c r="BH261" s="97">
        <f>+Tabela1107[[#This Row],[PIS]]+Tabela1107[[#This Row],[COFINS]]+Tabela1107[[#This Row],[CONTRIB. FOLHA]]+Tabela1107[[#This Row],[TRIBUTOS S/ LUCRO]]+Tabela1107[[#This Row],[OUTROS]]+Tabela1107[[#This Row],[SC]]</f>
        <v>36.74</v>
      </c>
      <c r="BI261" s="97">
        <f>+Tabela1107[[#This Row],[PIS]]+Tabela1107[[#This Row],[COFINS]]+Tabela1107[[#This Row],[CONTRIB. FOLHA]]+Tabela1107[[#This Row],[TRIBUTOS S/ LUCRO]]+Tabela1107[[#This Row],[OUTROS]]+Tabela1107[[#This Row],[RS]]</f>
        <v>36.74</v>
      </c>
      <c r="BJ261" s="97">
        <f>+Tabela1107[[#This Row],[PIS]]+Tabela1107[[#This Row],[COFINS]]+Tabela1107[[#This Row],[CONTRIB. FOLHA]]+Tabela1107[[#This Row],[TRIBUTOS S/ LUCRO]]+Tabela1107[[#This Row],[OUTROS]]+Tabela1107[[#This Row],[RJ]]</f>
        <v>38.74</v>
      </c>
      <c r="BK261" s="97">
        <f>+Tabela1107[[#This Row],[PIS]]+Tabela1107[[#This Row],[COFINS]]+Tabela1107[[#This Row],[CONTRIB. FOLHA]]+Tabela1107[[#This Row],[TRIBUTOS S/ LUCRO]]+Tabela1107[[#This Row],[OUTROS]]+Tabela1107[[#This Row],[MG]]</f>
        <v>37.74</v>
      </c>
      <c r="BL261" s="97">
        <f>+Tabela1107[[#This Row],[PIS]]+Tabela1107[[#This Row],[COFINS]]+Tabela1107[[#This Row],[CONTRIB. FOLHA]]+Tabela1107[[#This Row],[TRIBUTOS S/ LUCRO]]+Tabela1107[[#This Row],[OUTROS]]+Tabela1107[[#This Row],[ES]]</f>
        <v>36.74</v>
      </c>
      <c r="BM261" s="97">
        <f>+Tabela1107[[#This Row],[PIS]]+Tabela1107[[#This Row],[COFINS]]+Tabela1107[[#This Row],[CONTRIB. FOLHA]]+Tabela1107[[#This Row],[TRIBUTOS S/ LUCRO]]+Tabela1107[[#This Row],[OUTROS]]+Tabela1107[[#This Row],[GO]]</f>
        <v>36.74</v>
      </c>
      <c r="BN261" s="97">
        <f>+Tabela1107[[#This Row],[PIS]]+Tabela1107[[#This Row],[COFINS]]+Tabela1107[[#This Row],[CONTRIB. FOLHA]]+Tabela1107[[#This Row],[TRIBUTOS S/ LUCRO]]+Tabela1107[[#This Row],[OUTROS]]+Tabela1107[[#This Row],[MT]]</f>
        <v>36.74</v>
      </c>
      <c r="BO261" s="97">
        <f>+Tabela1107[[#This Row],[PIS]]+Tabela1107[[#This Row],[COFINS]]+Tabela1107[[#This Row],[CONTRIB. FOLHA]]+Tabela1107[[#This Row],[TRIBUTOS S/ LUCRO]]+Tabela1107[[#This Row],[OUTROS]]+Tabela1107[[#This Row],[MS]]</f>
        <v>36.74</v>
      </c>
      <c r="BP261" s="97">
        <f>+Tabela1107[[#This Row],[PIS]]+Tabela1107[[#This Row],[COFINS]]+Tabela1107[[#This Row],[CONTRIB. FOLHA]]+Tabela1107[[#This Row],[TRIBUTOS S/ LUCRO]]+Tabela1107[[#This Row],[OUTROS]]+Tabela1107[[#This Row],[DF]]</f>
        <v>36.74</v>
      </c>
      <c r="BQ261" s="97">
        <f>+Tabela1107[[#This Row],[PIS]]+Tabela1107[[#This Row],[COFINS]]+Tabela1107[[#This Row],[CONTRIB. FOLHA]]+Tabela1107[[#This Row],[TRIBUTOS S/ LUCRO]]+Tabela1107[[#This Row],[OUTROS]]+Tabela1107[[#This Row],[BA]]</f>
        <v>36.74</v>
      </c>
      <c r="BR261" s="97">
        <f>+Tabela1107[[#This Row],[PIS]]+Tabela1107[[#This Row],[COFINS]]+Tabela1107[[#This Row],[CONTRIB. FOLHA]]+Tabela1107[[#This Row],[TRIBUTOS S/ LUCRO]]+Tabela1107[[#This Row],[OUTROS]]+Tabela1107[[#This Row],[BA]]</f>
        <v>36.74</v>
      </c>
      <c r="BS261" s="97">
        <f>+Tabela1107[[#This Row],[PIS]]+Tabela1107[[#This Row],[COFINS]]+Tabela1107[[#This Row],[CONTRIB. FOLHA]]+Tabela1107[[#This Row],[TRIBUTOS S/ LUCRO]]+Tabela1107[[#This Row],[OUTROS]]+Tabela1107[[#This Row],[PE]]</f>
        <v>36.74</v>
      </c>
      <c r="BT261" s="97">
        <f>+Tabela1107[[#This Row],[PIS]]+Tabela1107[[#This Row],[COFINS]]+Tabela1107[[#This Row],[CONTRIB. FOLHA]]+Tabela1107[[#This Row],[TRIBUTOS S/ LUCRO]]+Tabela1107[[#This Row],[OUTROS]]+Tabela1107[[#This Row],[PA]]</f>
        <v>36.74</v>
      </c>
      <c r="BU261" s="97">
        <f>+Tabela1107[[#This Row],[PIS]]+Tabela1107[[#This Row],[COFINS]]+Tabela1107[[#This Row],[CONTRIB. FOLHA]]+Tabela1107[[#This Row],[TRIBUTOS S/ LUCRO]]+Tabela1107[[#This Row],[OUTROS]]+Tabela1107[[#This Row],[AM]]</f>
        <v>36.74</v>
      </c>
      <c r="BV261" s="97">
        <f>AVERAGE(Tabela1107[[#This Row],[TOTAL SP]:[TOTAL AM]])</f>
        <v>36.677500000000002</v>
      </c>
      <c r="BW261" s="97"/>
      <c r="BX261" s="97"/>
    </row>
    <row r="262" spans="2:76" x14ac:dyDescent="0.25">
      <c r="B262" s="89">
        <v>22756</v>
      </c>
      <c r="C262" s="91" t="s">
        <v>13065</v>
      </c>
      <c r="D262" s="89"/>
      <c r="E262" s="89">
        <v>20140626</v>
      </c>
      <c r="F262" s="89" t="s">
        <v>20978</v>
      </c>
      <c r="G262" s="89" t="s">
        <v>20979</v>
      </c>
      <c r="H262" s="89" t="s">
        <v>20980</v>
      </c>
      <c r="I262" s="89" t="s">
        <v>20981</v>
      </c>
      <c r="J262" s="89" t="s">
        <v>190</v>
      </c>
      <c r="K262" s="89"/>
      <c r="L262" s="89" t="s">
        <v>4314</v>
      </c>
      <c r="M262" s="89" t="s">
        <v>4496</v>
      </c>
      <c r="N262" s="89" t="s">
        <v>4496</v>
      </c>
      <c r="O262" s="89" t="s">
        <v>4496</v>
      </c>
      <c r="P262" s="89" t="s">
        <v>4496</v>
      </c>
      <c r="Q262" s="89"/>
      <c r="R262" s="89" t="s">
        <v>153</v>
      </c>
      <c r="S262" s="89" t="s">
        <v>21648</v>
      </c>
      <c r="T262" s="89" t="s">
        <v>21649</v>
      </c>
      <c r="U262" s="89" t="str">
        <f>TRIM('Carga Tributária doenças Po (2'!$L262)</f>
        <v>NITROFURANTOINA</v>
      </c>
      <c r="V262" s="89">
        <f>SUMIFS('Tabela Federal'!$E$4:$E$2069,'Tabela Federal'!$D$4:$D$2069,'Carga Tributária doenças Po (2'!$L262)</f>
        <v>1</v>
      </c>
      <c r="W262" s="89">
        <f>SUMIFS('Tabela Federal'!$E$4:$E$2069,'Tabela Federal'!$D$4:$D$2069,'Carga Tributária doenças Po (2'!$M262)</f>
        <v>0</v>
      </c>
      <c r="X262" s="89">
        <f>SUMIFS('Tabela Federal'!$E$4:$E$2069,'Tabela Federal'!$D$4:$D$2069,'Carga Tributária doenças Po (2'!$N262)</f>
        <v>0</v>
      </c>
      <c r="Y262" s="89">
        <f>SUMIFS('Tabela Federal'!$E$4:$E$2069,'Tabela Federal'!$D$4:$D$2069,'Carga Tributária doenças Po (2'!$O262)</f>
        <v>0</v>
      </c>
      <c r="Z262" s="92" t="str">
        <f>VLOOKUP('Carga Tributária doenças Po (2'!$AD262,'Carga Tributária doenças Po (2'!$CA$12:$CC$16,2,0)</f>
        <v>+</v>
      </c>
      <c r="AA262" s="89" t="s">
        <v>189</v>
      </c>
      <c r="AB262" s="89" t="s">
        <v>21858</v>
      </c>
      <c r="AC262" s="89" t="s">
        <v>21721</v>
      </c>
      <c r="AD262" s="93" t="s">
        <v>21722</v>
      </c>
      <c r="AE262" s="92" t="s">
        <v>2</v>
      </c>
      <c r="AF262" s="92" t="s">
        <v>23</v>
      </c>
      <c r="AG262" s="94">
        <v>1573107</v>
      </c>
      <c r="AH262" s="95">
        <v>4816821</v>
      </c>
      <c r="AI262" s="95">
        <v>10999024.26</v>
      </c>
      <c r="AJ262" s="89" t="s">
        <v>203</v>
      </c>
      <c r="AK262" s="89">
        <f>IF('Carga Tributária doenças Po (2'!$Z262="+",0,SUMIFS(PISCOFINS!$I$3:$I$10518,PISCOFINS!$C$3:$C$10518,'Carga Tributária doenças Po (2'!$C262))</f>
        <v>0</v>
      </c>
      <c r="AL262" s="89">
        <f>IF('Carga Tributária doenças Po (2'!$Z262="+",0,SUMIFS(PISCOFINS!$H$3:$H$10518,PISCOFINS!$C$3:$C$10518,'Carga Tributária doenças Po (2'!$C262))</f>
        <v>0</v>
      </c>
      <c r="AM262" s="95">
        <v>3.27</v>
      </c>
      <c r="AN262" s="95">
        <v>3.12</v>
      </c>
      <c r="AO262" s="95">
        <v>1.35</v>
      </c>
      <c r="AP262" s="96">
        <v>18</v>
      </c>
      <c r="AQ262" s="96">
        <v>12</v>
      </c>
      <c r="AR262" s="96">
        <v>17</v>
      </c>
      <c r="AS262" s="97">
        <v>17</v>
      </c>
      <c r="AT262" s="97">
        <v>19</v>
      </c>
      <c r="AU262" s="97">
        <v>18</v>
      </c>
      <c r="AV262" s="97">
        <v>17</v>
      </c>
      <c r="AW262" s="97">
        <v>17</v>
      </c>
      <c r="AX262" s="97">
        <v>17</v>
      </c>
      <c r="AY262" s="97">
        <v>17</v>
      </c>
      <c r="AZ262" s="97">
        <v>17</v>
      </c>
      <c r="BA262" s="97">
        <v>17</v>
      </c>
      <c r="BB262" s="97">
        <v>17</v>
      </c>
      <c r="BC262" s="97">
        <v>17</v>
      </c>
      <c r="BD262" s="97">
        <v>17</v>
      </c>
      <c r="BE262" s="97">
        <v>17</v>
      </c>
      <c r="BF262" s="97">
        <f>+Tabela1107[[#This Row],[PIS]]+Tabela1107[[#This Row],[COFINS]]+Tabela1107[[#This Row],[CONTRIB. FOLHA]]+Tabela1107[[#This Row],[TRIBUTOS S/ LUCRO]]+Tabela1107[[#This Row],[OUTROS]]+Tabela1107[[#This Row],[SP]]</f>
        <v>25.740000000000002</v>
      </c>
      <c r="BG262" s="97">
        <f>+Tabela1107[[#This Row],[PIS]]+Tabela1107[[#This Row],[COFINS]]+Tabela1107[[#This Row],[CONTRIB. FOLHA]]+Tabela1107[[#This Row],[TRIBUTOS S/ LUCRO]]+Tabela1107[[#This Row],[OUTROS]]+Tabela1107[[#This Row],[PR]]</f>
        <v>19.740000000000002</v>
      </c>
      <c r="BH262" s="97">
        <f>+Tabela1107[[#This Row],[PIS]]+Tabela1107[[#This Row],[COFINS]]+Tabela1107[[#This Row],[CONTRIB. FOLHA]]+Tabela1107[[#This Row],[TRIBUTOS S/ LUCRO]]+Tabela1107[[#This Row],[OUTROS]]+Tabela1107[[#This Row],[SC]]</f>
        <v>24.740000000000002</v>
      </c>
      <c r="BI262" s="97">
        <f>+Tabela1107[[#This Row],[PIS]]+Tabela1107[[#This Row],[COFINS]]+Tabela1107[[#This Row],[CONTRIB. FOLHA]]+Tabela1107[[#This Row],[TRIBUTOS S/ LUCRO]]+Tabela1107[[#This Row],[OUTROS]]+Tabela1107[[#This Row],[RS]]</f>
        <v>24.740000000000002</v>
      </c>
      <c r="BJ262" s="97">
        <f>+Tabela1107[[#This Row],[PIS]]+Tabela1107[[#This Row],[COFINS]]+Tabela1107[[#This Row],[CONTRIB. FOLHA]]+Tabela1107[[#This Row],[TRIBUTOS S/ LUCRO]]+Tabela1107[[#This Row],[OUTROS]]+Tabela1107[[#This Row],[RJ]]</f>
        <v>26.740000000000002</v>
      </c>
      <c r="BK262" s="97">
        <f>+Tabela1107[[#This Row],[PIS]]+Tabela1107[[#This Row],[COFINS]]+Tabela1107[[#This Row],[CONTRIB. FOLHA]]+Tabela1107[[#This Row],[TRIBUTOS S/ LUCRO]]+Tabela1107[[#This Row],[OUTROS]]+Tabela1107[[#This Row],[MG]]</f>
        <v>25.740000000000002</v>
      </c>
      <c r="BL262" s="97">
        <f>+Tabela1107[[#This Row],[PIS]]+Tabela1107[[#This Row],[COFINS]]+Tabela1107[[#This Row],[CONTRIB. FOLHA]]+Tabela1107[[#This Row],[TRIBUTOS S/ LUCRO]]+Tabela1107[[#This Row],[OUTROS]]+Tabela1107[[#This Row],[ES]]</f>
        <v>24.740000000000002</v>
      </c>
      <c r="BM262" s="97">
        <f>+Tabela1107[[#This Row],[PIS]]+Tabela1107[[#This Row],[COFINS]]+Tabela1107[[#This Row],[CONTRIB. FOLHA]]+Tabela1107[[#This Row],[TRIBUTOS S/ LUCRO]]+Tabela1107[[#This Row],[OUTROS]]+Tabela1107[[#This Row],[GO]]</f>
        <v>24.740000000000002</v>
      </c>
      <c r="BN262" s="97">
        <f>+Tabela1107[[#This Row],[PIS]]+Tabela1107[[#This Row],[COFINS]]+Tabela1107[[#This Row],[CONTRIB. FOLHA]]+Tabela1107[[#This Row],[TRIBUTOS S/ LUCRO]]+Tabela1107[[#This Row],[OUTROS]]+Tabela1107[[#This Row],[MT]]</f>
        <v>24.740000000000002</v>
      </c>
      <c r="BO262" s="97">
        <f>+Tabela1107[[#This Row],[PIS]]+Tabela1107[[#This Row],[COFINS]]+Tabela1107[[#This Row],[CONTRIB. FOLHA]]+Tabela1107[[#This Row],[TRIBUTOS S/ LUCRO]]+Tabela1107[[#This Row],[OUTROS]]+Tabela1107[[#This Row],[MS]]</f>
        <v>24.740000000000002</v>
      </c>
      <c r="BP262" s="97">
        <f>+Tabela1107[[#This Row],[PIS]]+Tabela1107[[#This Row],[COFINS]]+Tabela1107[[#This Row],[CONTRIB. FOLHA]]+Tabela1107[[#This Row],[TRIBUTOS S/ LUCRO]]+Tabela1107[[#This Row],[OUTROS]]+Tabela1107[[#This Row],[DF]]</f>
        <v>24.740000000000002</v>
      </c>
      <c r="BQ262" s="97">
        <f>+Tabela1107[[#This Row],[PIS]]+Tabela1107[[#This Row],[COFINS]]+Tabela1107[[#This Row],[CONTRIB. FOLHA]]+Tabela1107[[#This Row],[TRIBUTOS S/ LUCRO]]+Tabela1107[[#This Row],[OUTROS]]+Tabela1107[[#This Row],[BA]]</f>
        <v>24.740000000000002</v>
      </c>
      <c r="BR262" s="97">
        <f>+Tabela1107[[#This Row],[PIS]]+Tabela1107[[#This Row],[COFINS]]+Tabela1107[[#This Row],[CONTRIB. FOLHA]]+Tabela1107[[#This Row],[TRIBUTOS S/ LUCRO]]+Tabela1107[[#This Row],[OUTROS]]+Tabela1107[[#This Row],[BA]]</f>
        <v>24.740000000000002</v>
      </c>
      <c r="BS262" s="97">
        <f>+Tabela1107[[#This Row],[PIS]]+Tabela1107[[#This Row],[COFINS]]+Tabela1107[[#This Row],[CONTRIB. FOLHA]]+Tabela1107[[#This Row],[TRIBUTOS S/ LUCRO]]+Tabela1107[[#This Row],[OUTROS]]+Tabela1107[[#This Row],[PE]]</f>
        <v>24.740000000000002</v>
      </c>
      <c r="BT262" s="97">
        <f>+Tabela1107[[#This Row],[PIS]]+Tabela1107[[#This Row],[COFINS]]+Tabela1107[[#This Row],[CONTRIB. FOLHA]]+Tabela1107[[#This Row],[TRIBUTOS S/ LUCRO]]+Tabela1107[[#This Row],[OUTROS]]+Tabela1107[[#This Row],[PA]]</f>
        <v>24.740000000000002</v>
      </c>
      <c r="BU262" s="97">
        <f>+Tabela1107[[#This Row],[PIS]]+Tabela1107[[#This Row],[COFINS]]+Tabela1107[[#This Row],[CONTRIB. FOLHA]]+Tabela1107[[#This Row],[TRIBUTOS S/ LUCRO]]+Tabela1107[[#This Row],[OUTROS]]+Tabela1107[[#This Row],[AM]]</f>
        <v>24.740000000000002</v>
      </c>
      <c r="BV262" s="97">
        <f>AVERAGE(Tabela1107[[#This Row],[TOTAL SP]:[TOTAL AM]])</f>
        <v>24.677500000000006</v>
      </c>
      <c r="BW262" s="97"/>
      <c r="BX262" s="97"/>
    </row>
    <row r="263" spans="2:76" x14ac:dyDescent="0.25">
      <c r="B263" s="89">
        <v>16785</v>
      </c>
      <c r="C263" s="91" t="s">
        <v>13166</v>
      </c>
      <c r="D263" s="89"/>
      <c r="E263" s="89">
        <v>20140626</v>
      </c>
      <c r="F263" s="89" t="s">
        <v>21492</v>
      </c>
      <c r="G263" s="89" t="s">
        <v>21493</v>
      </c>
      <c r="H263" s="89" t="s">
        <v>21494</v>
      </c>
      <c r="I263" s="89" t="s">
        <v>3783</v>
      </c>
      <c r="J263" s="89" t="s">
        <v>319</v>
      </c>
      <c r="K263" s="89"/>
      <c r="L263" s="89" t="s">
        <v>3783</v>
      </c>
      <c r="M263" s="89" t="s">
        <v>4496</v>
      </c>
      <c r="N263" s="89" t="s">
        <v>4496</v>
      </c>
      <c r="O263" s="89" t="s">
        <v>4496</v>
      </c>
      <c r="P263" s="89" t="s">
        <v>4496</v>
      </c>
      <c r="Q263" s="89"/>
      <c r="R263" s="89" t="s">
        <v>64</v>
      </c>
      <c r="S263" s="89" t="s">
        <v>21698</v>
      </c>
      <c r="T263" s="89" t="s">
        <v>21699</v>
      </c>
      <c r="U263" s="89" t="str">
        <f>TRIM('Carga Tributária doenças Po (2'!$L263)</f>
        <v>MALEATO DE ENALAPRIL</v>
      </c>
      <c r="V263" s="89">
        <f>SUMIFS('Tabela Federal'!$E$4:$E$2069,'Tabela Federal'!$D$4:$D$2069,'Carga Tributária doenças Po (2'!$L263)</f>
        <v>3</v>
      </c>
      <c r="W263" s="89">
        <f>SUMIFS('Tabela Federal'!$E$4:$E$2069,'Tabela Federal'!$D$4:$D$2069,'Carga Tributária doenças Po (2'!$M263)</f>
        <v>0</v>
      </c>
      <c r="X263" s="89">
        <f>SUMIFS('Tabela Federal'!$E$4:$E$2069,'Tabela Federal'!$D$4:$D$2069,'Carga Tributária doenças Po (2'!$N263)</f>
        <v>0</v>
      </c>
      <c r="Y263" s="89">
        <f>SUMIFS('Tabela Federal'!$E$4:$E$2069,'Tabela Federal'!$D$4:$D$2069,'Carga Tributária doenças Po (2'!$O263)</f>
        <v>0</v>
      </c>
      <c r="Z263" s="92" t="str">
        <f>VLOOKUP('Carga Tributária doenças Po (2'!$AD263,'Carga Tributária doenças Po (2'!$CA$12:$CC$16,2,0)</f>
        <v>+</v>
      </c>
      <c r="AA263" s="89" t="s">
        <v>320</v>
      </c>
      <c r="AB263" s="89" t="s">
        <v>21852</v>
      </c>
      <c r="AC263" s="89" t="s">
        <v>21721</v>
      </c>
      <c r="AD263" s="93" t="s">
        <v>21722</v>
      </c>
      <c r="AE263" s="92" t="s">
        <v>2</v>
      </c>
      <c r="AF263" s="92" t="s">
        <v>10</v>
      </c>
      <c r="AG263" s="94">
        <v>4248695</v>
      </c>
      <c r="AH263" s="95">
        <v>23465440</v>
      </c>
      <c r="AI263" s="95">
        <v>53543879.039999999</v>
      </c>
      <c r="AJ263" s="89" t="s">
        <v>323</v>
      </c>
      <c r="AK263" s="89">
        <f>IF('Carga Tributária doenças Po (2'!$Z263="+",0,SUMIFS(PISCOFINS!$I$3:$I$10518,PISCOFINS!$C$3:$C$10518,'Carga Tributária doenças Po (2'!$C263))</f>
        <v>0</v>
      </c>
      <c r="AL263" s="89">
        <f>IF('Carga Tributária doenças Po (2'!$Z263="+",0,SUMIFS(PISCOFINS!$H$3:$H$10518,PISCOFINS!$C$3:$C$10518,'Carga Tributária doenças Po (2'!$C263))</f>
        <v>0</v>
      </c>
      <c r="AM263" s="95">
        <v>3.27</v>
      </c>
      <c r="AN263" s="95">
        <v>3.12</v>
      </c>
      <c r="AO263" s="95">
        <v>1.35</v>
      </c>
      <c r="AP263" s="96">
        <v>18</v>
      </c>
      <c r="AQ263" s="96">
        <v>12</v>
      </c>
      <c r="AR263" s="96">
        <v>17</v>
      </c>
      <c r="AS263" s="97">
        <v>17</v>
      </c>
      <c r="AT263" s="97">
        <v>19</v>
      </c>
      <c r="AU263" s="97">
        <v>12</v>
      </c>
      <c r="AV263" s="97">
        <v>17</v>
      </c>
      <c r="AW263" s="97">
        <v>17</v>
      </c>
      <c r="AX263" s="97">
        <v>17</v>
      </c>
      <c r="AY263" s="97">
        <v>17</v>
      </c>
      <c r="AZ263" s="97">
        <v>17</v>
      </c>
      <c r="BA263" s="97">
        <v>17</v>
      </c>
      <c r="BB263" s="97">
        <v>17</v>
      </c>
      <c r="BC263" s="97">
        <v>17</v>
      </c>
      <c r="BD263" s="97">
        <v>17</v>
      </c>
      <c r="BE263" s="97">
        <v>17</v>
      </c>
      <c r="BF263" s="97">
        <f>+Tabela1107[[#This Row],[PIS]]+Tabela1107[[#This Row],[COFINS]]+Tabela1107[[#This Row],[CONTRIB. FOLHA]]+Tabela1107[[#This Row],[TRIBUTOS S/ LUCRO]]+Tabela1107[[#This Row],[OUTROS]]+Tabela1107[[#This Row],[SP]]</f>
        <v>25.740000000000002</v>
      </c>
      <c r="BG263" s="97">
        <f>+Tabela1107[[#This Row],[PIS]]+Tabela1107[[#This Row],[COFINS]]+Tabela1107[[#This Row],[CONTRIB. FOLHA]]+Tabela1107[[#This Row],[TRIBUTOS S/ LUCRO]]+Tabela1107[[#This Row],[OUTROS]]+Tabela1107[[#This Row],[PR]]</f>
        <v>19.740000000000002</v>
      </c>
      <c r="BH263" s="97">
        <f>+Tabela1107[[#This Row],[PIS]]+Tabela1107[[#This Row],[COFINS]]+Tabela1107[[#This Row],[CONTRIB. FOLHA]]+Tabela1107[[#This Row],[TRIBUTOS S/ LUCRO]]+Tabela1107[[#This Row],[OUTROS]]+Tabela1107[[#This Row],[SC]]</f>
        <v>24.740000000000002</v>
      </c>
      <c r="BI263" s="97">
        <f>+Tabela1107[[#This Row],[PIS]]+Tabela1107[[#This Row],[COFINS]]+Tabela1107[[#This Row],[CONTRIB. FOLHA]]+Tabela1107[[#This Row],[TRIBUTOS S/ LUCRO]]+Tabela1107[[#This Row],[OUTROS]]+Tabela1107[[#This Row],[RS]]</f>
        <v>24.740000000000002</v>
      </c>
      <c r="BJ263" s="97">
        <f>+Tabela1107[[#This Row],[PIS]]+Tabela1107[[#This Row],[COFINS]]+Tabela1107[[#This Row],[CONTRIB. FOLHA]]+Tabela1107[[#This Row],[TRIBUTOS S/ LUCRO]]+Tabela1107[[#This Row],[OUTROS]]+Tabela1107[[#This Row],[RJ]]</f>
        <v>26.740000000000002</v>
      </c>
      <c r="BK263" s="97">
        <f>+Tabela1107[[#This Row],[PIS]]+Tabela1107[[#This Row],[COFINS]]+Tabela1107[[#This Row],[CONTRIB. FOLHA]]+Tabela1107[[#This Row],[TRIBUTOS S/ LUCRO]]+Tabela1107[[#This Row],[OUTROS]]+Tabela1107[[#This Row],[MG]]</f>
        <v>19.740000000000002</v>
      </c>
      <c r="BL263" s="97">
        <f>+Tabela1107[[#This Row],[PIS]]+Tabela1107[[#This Row],[COFINS]]+Tabela1107[[#This Row],[CONTRIB. FOLHA]]+Tabela1107[[#This Row],[TRIBUTOS S/ LUCRO]]+Tabela1107[[#This Row],[OUTROS]]+Tabela1107[[#This Row],[ES]]</f>
        <v>24.740000000000002</v>
      </c>
      <c r="BM263" s="97">
        <f>+Tabela1107[[#This Row],[PIS]]+Tabela1107[[#This Row],[COFINS]]+Tabela1107[[#This Row],[CONTRIB. FOLHA]]+Tabela1107[[#This Row],[TRIBUTOS S/ LUCRO]]+Tabela1107[[#This Row],[OUTROS]]+Tabela1107[[#This Row],[GO]]</f>
        <v>24.740000000000002</v>
      </c>
      <c r="BN263" s="97">
        <f>+Tabela1107[[#This Row],[PIS]]+Tabela1107[[#This Row],[COFINS]]+Tabela1107[[#This Row],[CONTRIB. FOLHA]]+Tabela1107[[#This Row],[TRIBUTOS S/ LUCRO]]+Tabela1107[[#This Row],[OUTROS]]+Tabela1107[[#This Row],[MT]]</f>
        <v>24.740000000000002</v>
      </c>
      <c r="BO263" s="97">
        <f>+Tabela1107[[#This Row],[PIS]]+Tabela1107[[#This Row],[COFINS]]+Tabela1107[[#This Row],[CONTRIB. FOLHA]]+Tabela1107[[#This Row],[TRIBUTOS S/ LUCRO]]+Tabela1107[[#This Row],[OUTROS]]+Tabela1107[[#This Row],[MS]]</f>
        <v>24.740000000000002</v>
      </c>
      <c r="BP263" s="97">
        <f>+Tabela1107[[#This Row],[PIS]]+Tabela1107[[#This Row],[COFINS]]+Tabela1107[[#This Row],[CONTRIB. FOLHA]]+Tabela1107[[#This Row],[TRIBUTOS S/ LUCRO]]+Tabela1107[[#This Row],[OUTROS]]+Tabela1107[[#This Row],[DF]]</f>
        <v>24.740000000000002</v>
      </c>
      <c r="BQ263" s="97">
        <f>+Tabela1107[[#This Row],[PIS]]+Tabela1107[[#This Row],[COFINS]]+Tabela1107[[#This Row],[CONTRIB. FOLHA]]+Tabela1107[[#This Row],[TRIBUTOS S/ LUCRO]]+Tabela1107[[#This Row],[OUTROS]]+Tabela1107[[#This Row],[BA]]</f>
        <v>24.740000000000002</v>
      </c>
      <c r="BR263" s="97">
        <f>+Tabela1107[[#This Row],[PIS]]+Tabela1107[[#This Row],[COFINS]]+Tabela1107[[#This Row],[CONTRIB. FOLHA]]+Tabela1107[[#This Row],[TRIBUTOS S/ LUCRO]]+Tabela1107[[#This Row],[OUTROS]]+Tabela1107[[#This Row],[BA]]</f>
        <v>24.740000000000002</v>
      </c>
      <c r="BS263" s="97">
        <f>+Tabela1107[[#This Row],[PIS]]+Tabela1107[[#This Row],[COFINS]]+Tabela1107[[#This Row],[CONTRIB. FOLHA]]+Tabela1107[[#This Row],[TRIBUTOS S/ LUCRO]]+Tabela1107[[#This Row],[OUTROS]]+Tabela1107[[#This Row],[PE]]</f>
        <v>24.740000000000002</v>
      </c>
      <c r="BT263" s="97">
        <f>+Tabela1107[[#This Row],[PIS]]+Tabela1107[[#This Row],[COFINS]]+Tabela1107[[#This Row],[CONTRIB. FOLHA]]+Tabela1107[[#This Row],[TRIBUTOS S/ LUCRO]]+Tabela1107[[#This Row],[OUTROS]]+Tabela1107[[#This Row],[PA]]</f>
        <v>24.740000000000002</v>
      </c>
      <c r="BU263" s="97">
        <f>+Tabela1107[[#This Row],[PIS]]+Tabela1107[[#This Row],[COFINS]]+Tabela1107[[#This Row],[CONTRIB. FOLHA]]+Tabela1107[[#This Row],[TRIBUTOS S/ LUCRO]]+Tabela1107[[#This Row],[OUTROS]]+Tabela1107[[#This Row],[AM]]</f>
        <v>24.740000000000002</v>
      </c>
      <c r="BV263" s="97">
        <f>AVERAGE(Tabela1107[[#This Row],[TOTAL SP]:[TOTAL AM]])</f>
        <v>24.302500000000006</v>
      </c>
      <c r="BW263" s="97"/>
      <c r="BX263" s="97"/>
    </row>
    <row r="264" spans="2:76" x14ac:dyDescent="0.25">
      <c r="B264" s="89">
        <v>16895</v>
      </c>
      <c r="C264" s="91" t="s">
        <v>13166</v>
      </c>
      <c r="D264" s="89"/>
      <c r="E264" s="89">
        <v>20140626</v>
      </c>
      <c r="F264" s="89" t="s">
        <v>21130</v>
      </c>
      <c r="G264" s="89" t="s">
        <v>21131</v>
      </c>
      <c r="H264" s="89" t="s">
        <v>21132</v>
      </c>
      <c r="I264" s="89" t="s">
        <v>3783</v>
      </c>
      <c r="J264" s="89" t="s">
        <v>319</v>
      </c>
      <c r="K264" s="89"/>
      <c r="L264" s="89" t="s">
        <v>3783</v>
      </c>
      <c r="M264" s="89" t="s">
        <v>4496</v>
      </c>
      <c r="N264" s="89" t="s">
        <v>4496</v>
      </c>
      <c r="O264" s="89" t="s">
        <v>4496</v>
      </c>
      <c r="P264" s="89" t="s">
        <v>4496</v>
      </c>
      <c r="Q264" s="89"/>
      <c r="R264" s="89" t="s">
        <v>34</v>
      </c>
      <c r="S264" s="89" t="s">
        <v>21670</v>
      </c>
      <c r="T264" s="89" t="s">
        <v>21671</v>
      </c>
      <c r="U264" s="89" t="str">
        <f>TRIM('Carga Tributária doenças Po (2'!$L264)</f>
        <v>MALEATO DE ENALAPRIL</v>
      </c>
      <c r="V264" s="89">
        <f>SUMIFS('Tabela Federal'!$E$4:$E$2069,'Tabela Federal'!$D$4:$D$2069,'Carga Tributária doenças Po (2'!$L264)</f>
        <v>3</v>
      </c>
      <c r="W264" s="89">
        <f>SUMIFS('Tabela Federal'!$E$4:$E$2069,'Tabela Federal'!$D$4:$D$2069,'Carga Tributária doenças Po (2'!$M264)</f>
        <v>0</v>
      </c>
      <c r="X264" s="89">
        <f>SUMIFS('Tabela Federal'!$E$4:$E$2069,'Tabela Federal'!$D$4:$D$2069,'Carga Tributária doenças Po (2'!$N264)</f>
        <v>0</v>
      </c>
      <c r="Y264" s="89">
        <f>SUMIFS('Tabela Federal'!$E$4:$E$2069,'Tabela Federal'!$D$4:$D$2069,'Carga Tributária doenças Po (2'!$O264)</f>
        <v>0</v>
      </c>
      <c r="Z264" s="92" t="str">
        <f>VLOOKUP('Carga Tributária doenças Po (2'!$AD264,'Carga Tributária doenças Po (2'!$CA$12:$CC$16,2,0)</f>
        <v>+</v>
      </c>
      <c r="AA264" s="89" t="s">
        <v>320</v>
      </c>
      <c r="AB264" s="89" t="s">
        <v>21852</v>
      </c>
      <c r="AC264" s="89" t="s">
        <v>21721</v>
      </c>
      <c r="AD264" s="93" t="s">
        <v>21722</v>
      </c>
      <c r="AE264" s="92" t="s">
        <v>2</v>
      </c>
      <c r="AF264" s="92" t="s">
        <v>10</v>
      </c>
      <c r="AG264" s="94">
        <v>5234009</v>
      </c>
      <c r="AH264" s="95">
        <v>42571965</v>
      </c>
      <c r="AI264" s="95">
        <v>97232847.359999999</v>
      </c>
      <c r="AJ264" s="89" t="s">
        <v>323</v>
      </c>
      <c r="AK264" s="89">
        <f>IF('Carga Tributária doenças Po (2'!$Z264="+",0,SUMIFS(PISCOFINS!$I$3:$I$10518,PISCOFINS!$C$3:$C$10518,'Carga Tributária doenças Po (2'!$C264))</f>
        <v>0</v>
      </c>
      <c r="AL264" s="89">
        <f>IF('Carga Tributária doenças Po (2'!$Z264="+",0,SUMIFS(PISCOFINS!$H$3:$H$10518,PISCOFINS!$C$3:$C$10518,'Carga Tributária doenças Po (2'!$C264))</f>
        <v>0</v>
      </c>
      <c r="AM264" s="95">
        <v>3.27</v>
      </c>
      <c r="AN264" s="95">
        <v>3.12</v>
      </c>
      <c r="AO264" s="95">
        <v>1.35</v>
      </c>
      <c r="AP264" s="96">
        <v>18</v>
      </c>
      <c r="AQ264" s="96">
        <v>12</v>
      </c>
      <c r="AR264" s="96">
        <v>17</v>
      </c>
      <c r="AS264" s="97">
        <v>17</v>
      </c>
      <c r="AT264" s="97">
        <v>19</v>
      </c>
      <c r="AU264" s="97">
        <v>12</v>
      </c>
      <c r="AV264" s="97">
        <v>17</v>
      </c>
      <c r="AW264" s="97">
        <v>17</v>
      </c>
      <c r="AX264" s="97">
        <v>17</v>
      </c>
      <c r="AY264" s="97">
        <v>17</v>
      </c>
      <c r="AZ264" s="97">
        <v>17</v>
      </c>
      <c r="BA264" s="97">
        <v>17</v>
      </c>
      <c r="BB264" s="97">
        <v>17</v>
      </c>
      <c r="BC264" s="97">
        <v>17</v>
      </c>
      <c r="BD264" s="97">
        <v>17</v>
      </c>
      <c r="BE264" s="97">
        <v>17</v>
      </c>
      <c r="BF264" s="97">
        <f>+Tabela1107[[#This Row],[PIS]]+Tabela1107[[#This Row],[COFINS]]+Tabela1107[[#This Row],[CONTRIB. FOLHA]]+Tabela1107[[#This Row],[TRIBUTOS S/ LUCRO]]+Tabela1107[[#This Row],[OUTROS]]+Tabela1107[[#This Row],[SP]]</f>
        <v>25.740000000000002</v>
      </c>
      <c r="BG264" s="97">
        <f>+Tabela1107[[#This Row],[PIS]]+Tabela1107[[#This Row],[COFINS]]+Tabela1107[[#This Row],[CONTRIB. FOLHA]]+Tabela1107[[#This Row],[TRIBUTOS S/ LUCRO]]+Tabela1107[[#This Row],[OUTROS]]+Tabela1107[[#This Row],[PR]]</f>
        <v>19.740000000000002</v>
      </c>
      <c r="BH264" s="97">
        <f>+Tabela1107[[#This Row],[PIS]]+Tabela1107[[#This Row],[COFINS]]+Tabela1107[[#This Row],[CONTRIB. FOLHA]]+Tabela1107[[#This Row],[TRIBUTOS S/ LUCRO]]+Tabela1107[[#This Row],[OUTROS]]+Tabela1107[[#This Row],[SC]]</f>
        <v>24.740000000000002</v>
      </c>
      <c r="BI264" s="97">
        <f>+Tabela1107[[#This Row],[PIS]]+Tabela1107[[#This Row],[COFINS]]+Tabela1107[[#This Row],[CONTRIB. FOLHA]]+Tabela1107[[#This Row],[TRIBUTOS S/ LUCRO]]+Tabela1107[[#This Row],[OUTROS]]+Tabela1107[[#This Row],[RS]]</f>
        <v>24.740000000000002</v>
      </c>
      <c r="BJ264" s="97">
        <f>+Tabela1107[[#This Row],[PIS]]+Tabela1107[[#This Row],[COFINS]]+Tabela1107[[#This Row],[CONTRIB. FOLHA]]+Tabela1107[[#This Row],[TRIBUTOS S/ LUCRO]]+Tabela1107[[#This Row],[OUTROS]]+Tabela1107[[#This Row],[RJ]]</f>
        <v>26.740000000000002</v>
      </c>
      <c r="BK264" s="97">
        <f>+Tabela1107[[#This Row],[PIS]]+Tabela1107[[#This Row],[COFINS]]+Tabela1107[[#This Row],[CONTRIB. FOLHA]]+Tabela1107[[#This Row],[TRIBUTOS S/ LUCRO]]+Tabela1107[[#This Row],[OUTROS]]+Tabela1107[[#This Row],[MG]]</f>
        <v>19.740000000000002</v>
      </c>
      <c r="BL264" s="97">
        <f>+Tabela1107[[#This Row],[PIS]]+Tabela1107[[#This Row],[COFINS]]+Tabela1107[[#This Row],[CONTRIB. FOLHA]]+Tabela1107[[#This Row],[TRIBUTOS S/ LUCRO]]+Tabela1107[[#This Row],[OUTROS]]+Tabela1107[[#This Row],[ES]]</f>
        <v>24.740000000000002</v>
      </c>
      <c r="BM264" s="97">
        <f>+Tabela1107[[#This Row],[PIS]]+Tabela1107[[#This Row],[COFINS]]+Tabela1107[[#This Row],[CONTRIB. FOLHA]]+Tabela1107[[#This Row],[TRIBUTOS S/ LUCRO]]+Tabela1107[[#This Row],[OUTROS]]+Tabela1107[[#This Row],[GO]]</f>
        <v>24.740000000000002</v>
      </c>
      <c r="BN264" s="97">
        <f>+Tabela1107[[#This Row],[PIS]]+Tabela1107[[#This Row],[COFINS]]+Tabela1107[[#This Row],[CONTRIB. FOLHA]]+Tabela1107[[#This Row],[TRIBUTOS S/ LUCRO]]+Tabela1107[[#This Row],[OUTROS]]+Tabela1107[[#This Row],[MT]]</f>
        <v>24.740000000000002</v>
      </c>
      <c r="BO264" s="97">
        <f>+Tabela1107[[#This Row],[PIS]]+Tabela1107[[#This Row],[COFINS]]+Tabela1107[[#This Row],[CONTRIB. FOLHA]]+Tabela1107[[#This Row],[TRIBUTOS S/ LUCRO]]+Tabela1107[[#This Row],[OUTROS]]+Tabela1107[[#This Row],[MS]]</f>
        <v>24.740000000000002</v>
      </c>
      <c r="BP264" s="97">
        <f>+Tabela1107[[#This Row],[PIS]]+Tabela1107[[#This Row],[COFINS]]+Tabela1107[[#This Row],[CONTRIB. FOLHA]]+Tabela1107[[#This Row],[TRIBUTOS S/ LUCRO]]+Tabela1107[[#This Row],[OUTROS]]+Tabela1107[[#This Row],[DF]]</f>
        <v>24.740000000000002</v>
      </c>
      <c r="BQ264" s="97">
        <f>+Tabela1107[[#This Row],[PIS]]+Tabela1107[[#This Row],[COFINS]]+Tabela1107[[#This Row],[CONTRIB. FOLHA]]+Tabela1107[[#This Row],[TRIBUTOS S/ LUCRO]]+Tabela1107[[#This Row],[OUTROS]]+Tabela1107[[#This Row],[BA]]</f>
        <v>24.740000000000002</v>
      </c>
      <c r="BR264" s="97">
        <f>+Tabela1107[[#This Row],[PIS]]+Tabela1107[[#This Row],[COFINS]]+Tabela1107[[#This Row],[CONTRIB. FOLHA]]+Tabela1107[[#This Row],[TRIBUTOS S/ LUCRO]]+Tabela1107[[#This Row],[OUTROS]]+Tabela1107[[#This Row],[BA]]</f>
        <v>24.740000000000002</v>
      </c>
      <c r="BS264" s="97">
        <f>+Tabela1107[[#This Row],[PIS]]+Tabela1107[[#This Row],[COFINS]]+Tabela1107[[#This Row],[CONTRIB. FOLHA]]+Tabela1107[[#This Row],[TRIBUTOS S/ LUCRO]]+Tabela1107[[#This Row],[OUTROS]]+Tabela1107[[#This Row],[PE]]</f>
        <v>24.740000000000002</v>
      </c>
      <c r="BT264" s="97">
        <f>+Tabela1107[[#This Row],[PIS]]+Tabela1107[[#This Row],[COFINS]]+Tabela1107[[#This Row],[CONTRIB. FOLHA]]+Tabela1107[[#This Row],[TRIBUTOS S/ LUCRO]]+Tabela1107[[#This Row],[OUTROS]]+Tabela1107[[#This Row],[PA]]</f>
        <v>24.740000000000002</v>
      </c>
      <c r="BU264" s="97">
        <f>+Tabela1107[[#This Row],[PIS]]+Tabela1107[[#This Row],[COFINS]]+Tabela1107[[#This Row],[CONTRIB. FOLHA]]+Tabela1107[[#This Row],[TRIBUTOS S/ LUCRO]]+Tabela1107[[#This Row],[OUTROS]]+Tabela1107[[#This Row],[AM]]</f>
        <v>24.740000000000002</v>
      </c>
      <c r="BV264" s="97">
        <f>AVERAGE(Tabela1107[[#This Row],[TOTAL SP]:[TOTAL AM]])</f>
        <v>24.302500000000006</v>
      </c>
      <c r="BW264" s="97"/>
      <c r="BX264" s="97"/>
    </row>
    <row r="265" spans="2:76" x14ac:dyDescent="0.25">
      <c r="B265" s="89">
        <v>18348</v>
      </c>
      <c r="C265" s="91" t="s">
        <v>13177</v>
      </c>
      <c r="D265" s="89"/>
      <c r="E265" s="89">
        <v>20140626</v>
      </c>
      <c r="F265" s="89" t="s">
        <v>21495</v>
      </c>
      <c r="G265" s="89" t="s">
        <v>21496</v>
      </c>
      <c r="H265" s="89" t="s">
        <v>21497</v>
      </c>
      <c r="I265" s="89" t="s">
        <v>2790</v>
      </c>
      <c r="J265" s="89" t="s">
        <v>463</v>
      </c>
      <c r="K265" s="89" t="s">
        <v>2482</v>
      </c>
      <c r="L265" s="89" t="s">
        <v>2790</v>
      </c>
      <c r="M265" s="89" t="s">
        <v>4496</v>
      </c>
      <c r="N265" s="89" t="s">
        <v>4496</v>
      </c>
      <c r="O265" s="89" t="s">
        <v>4496</v>
      </c>
      <c r="P265" s="89" t="s">
        <v>4496</v>
      </c>
      <c r="Q265" s="89"/>
      <c r="R265" s="89" t="s">
        <v>64</v>
      </c>
      <c r="S265" s="89" t="s">
        <v>21698</v>
      </c>
      <c r="T265" s="89" t="s">
        <v>21699</v>
      </c>
      <c r="U265" s="89" t="str">
        <f>TRIM('Carga Tributária doenças Po (2'!$L265)</f>
        <v>MALEATO DE TIMOLOL</v>
      </c>
      <c r="V265" s="89">
        <f>SUMIFS('Tabela Federal'!$E$4:$E$2069,'Tabela Federal'!$D$4:$D$2069,'Carga Tributária doenças Po (2'!$L265)</f>
        <v>7</v>
      </c>
      <c r="W265" s="89">
        <f>SUMIFS('Tabela Federal'!$E$4:$E$2069,'Tabela Federal'!$D$4:$D$2069,'Carga Tributária doenças Po (2'!$M265)</f>
        <v>0</v>
      </c>
      <c r="X265" s="89">
        <f>SUMIFS('Tabela Federal'!$E$4:$E$2069,'Tabela Federal'!$D$4:$D$2069,'Carga Tributária doenças Po (2'!$N265)</f>
        <v>0</v>
      </c>
      <c r="Y265" s="89">
        <f>SUMIFS('Tabela Federal'!$E$4:$E$2069,'Tabela Federal'!$D$4:$D$2069,'Carga Tributária doenças Po (2'!$O265)</f>
        <v>0</v>
      </c>
      <c r="Z265" s="92" t="str">
        <f>VLOOKUP('Carga Tributária doenças Po (2'!$AD265,'Carga Tributária doenças Po (2'!$CA$12:$CC$16,2,0)</f>
        <v>+</v>
      </c>
      <c r="AA265" s="89" t="s">
        <v>462</v>
      </c>
      <c r="AB265" s="89" t="s">
        <v>21837</v>
      </c>
      <c r="AC265" s="89" t="s">
        <v>21721</v>
      </c>
      <c r="AD265" s="93" t="s">
        <v>21722</v>
      </c>
      <c r="AE265" s="92" t="s">
        <v>2</v>
      </c>
      <c r="AF265" s="92" t="s">
        <v>10</v>
      </c>
      <c r="AG265" s="94">
        <v>497090</v>
      </c>
      <c r="AH265" s="95">
        <v>1249060</v>
      </c>
      <c r="AI265" s="95">
        <v>2851845.47</v>
      </c>
      <c r="AJ265" s="89" t="s">
        <v>471</v>
      </c>
      <c r="AK265" s="89">
        <f>IF('Carga Tributária doenças Po (2'!$Z265="+",0,SUMIFS(PISCOFINS!$I$3:$I$10518,PISCOFINS!$C$3:$C$10518,'Carga Tributária doenças Po (2'!$C265))</f>
        <v>0</v>
      </c>
      <c r="AL265" s="89">
        <f>IF('Carga Tributária doenças Po (2'!$Z265="+",0,SUMIFS(PISCOFINS!$H$3:$H$10518,PISCOFINS!$C$3:$C$10518,'Carga Tributária doenças Po (2'!$C265))</f>
        <v>0</v>
      </c>
      <c r="AM265" s="95">
        <v>3.27</v>
      </c>
      <c r="AN265" s="95">
        <v>3.12</v>
      </c>
      <c r="AO265" s="95">
        <v>1.35</v>
      </c>
      <c r="AP265" s="96">
        <v>18</v>
      </c>
      <c r="AQ265" s="96">
        <v>12</v>
      </c>
      <c r="AR265" s="96">
        <v>17</v>
      </c>
      <c r="AS265" s="97">
        <v>17</v>
      </c>
      <c r="AT265" s="97">
        <v>19</v>
      </c>
      <c r="AU265" s="97">
        <v>12</v>
      </c>
      <c r="AV265" s="97">
        <v>17</v>
      </c>
      <c r="AW265" s="97">
        <v>17</v>
      </c>
      <c r="AX265" s="97">
        <v>17</v>
      </c>
      <c r="AY265" s="97">
        <v>17</v>
      </c>
      <c r="AZ265" s="97">
        <v>17</v>
      </c>
      <c r="BA265" s="97">
        <v>17</v>
      </c>
      <c r="BB265" s="97">
        <v>17</v>
      </c>
      <c r="BC265" s="97">
        <v>17</v>
      </c>
      <c r="BD265" s="97">
        <v>17</v>
      </c>
      <c r="BE265" s="97">
        <v>17</v>
      </c>
      <c r="BF265" s="97">
        <f>+Tabela1107[[#This Row],[PIS]]+Tabela1107[[#This Row],[COFINS]]+Tabela1107[[#This Row],[CONTRIB. FOLHA]]+Tabela1107[[#This Row],[TRIBUTOS S/ LUCRO]]+Tabela1107[[#This Row],[OUTROS]]+Tabela1107[[#This Row],[SP]]</f>
        <v>25.740000000000002</v>
      </c>
      <c r="BG265" s="97">
        <f>+Tabela1107[[#This Row],[PIS]]+Tabela1107[[#This Row],[COFINS]]+Tabela1107[[#This Row],[CONTRIB. FOLHA]]+Tabela1107[[#This Row],[TRIBUTOS S/ LUCRO]]+Tabela1107[[#This Row],[OUTROS]]+Tabela1107[[#This Row],[PR]]</f>
        <v>19.740000000000002</v>
      </c>
      <c r="BH265" s="97">
        <f>+Tabela1107[[#This Row],[PIS]]+Tabela1107[[#This Row],[COFINS]]+Tabela1107[[#This Row],[CONTRIB. FOLHA]]+Tabela1107[[#This Row],[TRIBUTOS S/ LUCRO]]+Tabela1107[[#This Row],[OUTROS]]+Tabela1107[[#This Row],[SC]]</f>
        <v>24.740000000000002</v>
      </c>
      <c r="BI265" s="97">
        <f>+Tabela1107[[#This Row],[PIS]]+Tabela1107[[#This Row],[COFINS]]+Tabela1107[[#This Row],[CONTRIB. FOLHA]]+Tabela1107[[#This Row],[TRIBUTOS S/ LUCRO]]+Tabela1107[[#This Row],[OUTROS]]+Tabela1107[[#This Row],[RS]]</f>
        <v>24.740000000000002</v>
      </c>
      <c r="BJ265" s="97">
        <f>+Tabela1107[[#This Row],[PIS]]+Tabela1107[[#This Row],[COFINS]]+Tabela1107[[#This Row],[CONTRIB. FOLHA]]+Tabela1107[[#This Row],[TRIBUTOS S/ LUCRO]]+Tabela1107[[#This Row],[OUTROS]]+Tabela1107[[#This Row],[RJ]]</f>
        <v>26.740000000000002</v>
      </c>
      <c r="BK265" s="97">
        <f>+Tabela1107[[#This Row],[PIS]]+Tabela1107[[#This Row],[COFINS]]+Tabela1107[[#This Row],[CONTRIB. FOLHA]]+Tabela1107[[#This Row],[TRIBUTOS S/ LUCRO]]+Tabela1107[[#This Row],[OUTROS]]+Tabela1107[[#This Row],[MG]]</f>
        <v>19.740000000000002</v>
      </c>
      <c r="BL265" s="97">
        <f>+Tabela1107[[#This Row],[PIS]]+Tabela1107[[#This Row],[COFINS]]+Tabela1107[[#This Row],[CONTRIB. FOLHA]]+Tabela1107[[#This Row],[TRIBUTOS S/ LUCRO]]+Tabela1107[[#This Row],[OUTROS]]+Tabela1107[[#This Row],[ES]]</f>
        <v>24.740000000000002</v>
      </c>
      <c r="BM265" s="97">
        <f>+Tabela1107[[#This Row],[PIS]]+Tabela1107[[#This Row],[COFINS]]+Tabela1107[[#This Row],[CONTRIB. FOLHA]]+Tabela1107[[#This Row],[TRIBUTOS S/ LUCRO]]+Tabela1107[[#This Row],[OUTROS]]+Tabela1107[[#This Row],[GO]]</f>
        <v>24.740000000000002</v>
      </c>
      <c r="BN265" s="97">
        <f>+Tabela1107[[#This Row],[PIS]]+Tabela1107[[#This Row],[COFINS]]+Tabela1107[[#This Row],[CONTRIB. FOLHA]]+Tabela1107[[#This Row],[TRIBUTOS S/ LUCRO]]+Tabela1107[[#This Row],[OUTROS]]+Tabela1107[[#This Row],[MT]]</f>
        <v>24.740000000000002</v>
      </c>
      <c r="BO265" s="97">
        <f>+Tabela1107[[#This Row],[PIS]]+Tabela1107[[#This Row],[COFINS]]+Tabela1107[[#This Row],[CONTRIB. FOLHA]]+Tabela1107[[#This Row],[TRIBUTOS S/ LUCRO]]+Tabela1107[[#This Row],[OUTROS]]+Tabela1107[[#This Row],[MS]]</f>
        <v>24.740000000000002</v>
      </c>
      <c r="BP265" s="97">
        <f>+Tabela1107[[#This Row],[PIS]]+Tabela1107[[#This Row],[COFINS]]+Tabela1107[[#This Row],[CONTRIB. FOLHA]]+Tabela1107[[#This Row],[TRIBUTOS S/ LUCRO]]+Tabela1107[[#This Row],[OUTROS]]+Tabela1107[[#This Row],[DF]]</f>
        <v>24.740000000000002</v>
      </c>
      <c r="BQ265" s="97">
        <f>+Tabela1107[[#This Row],[PIS]]+Tabela1107[[#This Row],[COFINS]]+Tabela1107[[#This Row],[CONTRIB. FOLHA]]+Tabela1107[[#This Row],[TRIBUTOS S/ LUCRO]]+Tabela1107[[#This Row],[OUTROS]]+Tabela1107[[#This Row],[BA]]</f>
        <v>24.740000000000002</v>
      </c>
      <c r="BR265" s="97">
        <f>+Tabela1107[[#This Row],[PIS]]+Tabela1107[[#This Row],[COFINS]]+Tabela1107[[#This Row],[CONTRIB. FOLHA]]+Tabela1107[[#This Row],[TRIBUTOS S/ LUCRO]]+Tabela1107[[#This Row],[OUTROS]]+Tabela1107[[#This Row],[BA]]</f>
        <v>24.740000000000002</v>
      </c>
      <c r="BS265" s="97">
        <f>+Tabela1107[[#This Row],[PIS]]+Tabela1107[[#This Row],[COFINS]]+Tabela1107[[#This Row],[CONTRIB. FOLHA]]+Tabela1107[[#This Row],[TRIBUTOS S/ LUCRO]]+Tabela1107[[#This Row],[OUTROS]]+Tabela1107[[#This Row],[PE]]</f>
        <v>24.740000000000002</v>
      </c>
      <c r="BT265" s="97">
        <f>+Tabela1107[[#This Row],[PIS]]+Tabela1107[[#This Row],[COFINS]]+Tabela1107[[#This Row],[CONTRIB. FOLHA]]+Tabela1107[[#This Row],[TRIBUTOS S/ LUCRO]]+Tabela1107[[#This Row],[OUTROS]]+Tabela1107[[#This Row],[PA]]</f>
        <v>24.740000000000002</v>
      </c>
      <c r="BU265" s="97">
        <f>+Tabela1107[[#This Row],[PIS]]+Tabela1107[[#This Row],[COFINS]]+Tabela1107[[#This Row],[CONTRIB. FOLHA]]+Tabela1107[[#This Row],[TRIBUTOS S/ LUCRO]]+Tabela1107[[#This Row],[OUTROS]]+Tabela1107[[#This Row],[AM]]</f>
        <v>24.740000000000002</v>
      </c>
      <c r="BV265" s="97">
        <f>AVERAGE(Tabela1107[[#This Row],[TOTAL SP]:[TOTAL AM]])</f>
        <v>24.302500000000006</v>
      </c>
      <c r="BW265" s="97"/>
      <c r="BX265" s="97"/>
    </row>
    <row r="266" spans="2:76" x14ac:dyDescent="0.25">
      <c r="B266" s="89">
        <v>18349</v>
      </c>
      <c r="C266" s="91" t="s">
        <v>13177</v>
      </c>
      <c r="D266" s="89"/>
      <c r="E266" s="89">
        <v>20140626</v>
      </c>
      <c r="F266" s="89" t="s">
        <v>20795</v>
      </c>
      <c r="G266" s="89" t="s">
        <v>20796</v>
      </c>
      <c r="H266" s="98" t="s">
        <v>21976</v>
      </c>
      <c r="I266" s="89" t="s">
        <v>2790</v>
      </c>
      <c r="J266" s="89" t="s">
        <v>463</v>
      </c>
      <c r="K266" s="89" t="s">
        <v>2482</v>
      </c>
      <c r="L266" s="89" t="s">
        <v>2790</v>
      </c>
      <c r="M266" s="89" t="s">
        <v>4496</v>
      </c>
      <c r="N266" s="89" t="s">
        <v>4496</v>
      </c>
      <c r="O266" s="89" t="s">
        <v>4496</v>
      </c>
      <c r="P266" s="89" t="s">
        <v>4496</v>
      </c>
      <c r="Q266" s="89"/>
      <c r="R266" s="89" t="s">
        <v>424</v>
      </c>
      <c r="S266" s="89" t="s">
        <v>21624</v>
      </c>
      <c r="T266" s="89" t="s">
        <v>21625</v>
      </c>
      <c r="U266" s="89" t="str">
        <f>TRIM('Carga Tributária doenças Po (2'!$L266)</f>
        <v>MALEATO DE TIMOLOL</v>
      </c>
      <c r="V266" s="89">
        <f>SUMIFS('Tabela Federal'!$E$4:$E$2069,'Tabela Federal'!$D$4:$D$2069,'Carga Tributária doenças Po (2'!$L266)</f>
        <v>7</v>
      </c>
      <c r="W266" s="89">
        <f>SUMIFS('Tabela Federal'!$E$4:$E$2069,'Tabela Federal'!$D$4:$D$2069,'Carga Tributária doenças Po (2'!$M266)</f>
        <v>0</v>
      </c>
      <c r="X266" s="89">
        <f>SUMIFS('Tabela Federal'!$E$4:$E$2069,'Tabela Federal'!$D$4:$D$2069,'Carga Tributária doenças Po (2'!$N266)</f>
        <v>0</v>
      </c>
      <c r="Y266" s="89">
        <f>SUMIFS('Tabela Federal'!$E$4:$E$2069,'Tabela Federal'!$D$4:$D$2069,'Carga Tributária doenças Po (2'!$O266)</f>
        <v>0</v>
      </c>
      <c r="Z266" s="92" t="str">
        <f>VLOOKUP('Carga Tributária doenças Po (2'!$AD266,'Carga Tributária doenças Po (2'!$CA$12:$CC$16,2,0)</f>
        <v>+</v>
      </c>
      <c r="AA266" s="89" t="s">
        <v>462</v>
      </c>
      <c r="AB266" s="89" t="s">
        <v>21837</v>
      </c>
      <c r="AC266" s="89" t="s">
        <v>21721</v>
      </c>
      <c r="AD266" s="93" t="s">
        <v>21722</v>
      </c>
      <c r="AE266" s="92" t="s">
        <v>2</v>
      </c>
      <c r="AF266" s="92" t="s">
        <v>10</v>
      </c>
      <c r="AG266" s="94">
        <v>446176</v>
      </c>
      <c r="AH266" s="95">
        <v>1005591</v>
      </c>
      <c r="AI266" s="95">
        <v>2297935.44</v>
      </c>
      <c r="AJ266" s="89" t="s">
        <v>471</v>
      </c>
      <c r="AK266" s="89">
        <f>IF('Carga Tributária doenças Po (2'!$Z266="+",0,SUMIFS(PISCOFINS!$I$3:$I$10518,PISCOFINS!$C$3:$C$10518,'Carga Tributária doenças Po (2'!$C266))</f>
        <v>0</v>
      </c>
      <c r="AL266" s="89">
        <f>IF('Carga Tributária doenças Po (2'!$Z266="+",0,SUMIFS(PISCOFINS!$H$3:$H$10518,PISCOFINS!$C$3:$C$10518,'Carga Tributária doenças Po (2'!$C266))</f>
        <v>0</v>
      </c>
      <c r="AM266" s="95">
        <v>3.27</v>
      </c>
      <c r="AN266" s="95">
        <v>3.12</v>
      </c>
      <c r="AO266" s="95">
        <v>1.35</v>
      </c>
      <c r="AP266" s="96">
        <v>18</v>
      </c>
      <c r="AQ266" s="96">
        <v>12</v>
      </c>
      <c r="AR266" s="96">
        <v>17</v>
      </c>
      <c r="AS266" s="97">
        <v>17</v>
      </c>
      <c r="AT266" s="97">
        <v>19</v>
      </c>
      <c r="AU266" s="97">
        <v>12</v>
      </c>
      <c r="AV266" s="97">
        <v>17</v>
      </c>
      <c r="AW266" s="97">
        <v>17</v>
      </c>
      <c r="AX266" s="97">
        <v>17</v>
      </c>
      <c r="AY266" s="97">
        <v>17</v>
      </c>
      <c r="AZ266" s="97">
        <v>17</v>
      </c>
      <c r="BA266" s="97">
        <v>17</v>
      </c>
      <c r="BB266" s="97">
        <v>17</v>
      </c>
      <c r="BC266" s="97">
        <v>17</v>
      </c>
      <c r="BD266" s="97">
        <v>17</v>
      </c>
      <c r="BE266" s="97">
        <v>17</v>
      </c>
      <c r="BF266" s="97">
        <f>+Tabela1107[[#This Row],[PIS]]+Tabela1107[[#This Row],[COFINS]]+Tabela1107[[#This Row],[CONTRIB. FOLHA]]+Tabela1107[[#This Row],[TRIBUTOS S/ LUCRO]]+Tabela1107[[#This Row],[OUTROS]]+Tabela1107[[#This Row],[SP]]</f>
        <v>25.740000000000002</v>
      </c>
      <c r="BG266" s="97">
        <f>+Tabela1107[[#This Row],[PIS]]+Tabela1107[[#This Row],[COFINS]]+Tabela1107[[#This Row],[CONTRIB. FOLHA]]+Tabela1107[[#This Row],[TRIBUTOS S/ LUCRO]]+Tabela1107[[#This Row],[OUTROS]]+Tabela1107[[#This Row],[PR]]</f>
        <v>19.740000000000002</v>
      </c>
      <c r="BH266" s="97">
        <f>+Tabela1107[[#This Row],[PIS]]+Tabela1107[[#This Row],[COFINS]]+Tabela1107[[#This Row],[CONTRIB. FOLHA]]+Tabela1107[[#This Row],[TRIBUTOS S/ LUCRO]]+Tabela1107[[#This Row],[OUTROS]]+Tabela1107[[#This Row],[SC]]</f>
        <v>24.740000000000002</v>
      </c>
      <c r="BI266" s="97">
        <f>+Tabela1107[[#This Row],[PIS]]+Tabela1107[[#This Row],[COFINS]]+Tabela1107[[#This Row],[CONTRIB. FOLHA]]+Tabela1107[[#This Row],[TRIBUTOS S/ LUCRO]]+Tabela1107[[#This Row],[OUTROS]]+Tabela1107[[#This Row],[RS]]</f>
        <v>24.740000000000002</v>
      </c>
      <c r="BJ266" s="97">
        <f>+Tabela1107[[#This Row],[PIS]]+Tabela1107[[#This Row],[COFINS]]+Tabela1107[[#This Row],[CONTRIB. FOLHA]]+Tabela1107[[#This Row],[TRIBUTOS S/ LUCRO]]+Tabela1107[[#This Row],[OUTROS]]+Tabela1107[[#This Row],[RJ]]</f>
        <v>26.740000000000002</v>
      </c>
      <c r="BK266" s="97">
        <f>+Tabela1107[[#This Row],[PIS]]+Tabela1107[[#This Row],[COFINS]]+Tabela1107[[#This Row],[CONTRIB. FOLHA]]+Tabela1107[[#This Row],[TRIBUTOS S/ LUCRO]]+Tabela1107[[#This Row],[OUTROS]]+Tabela1107[[#This Row],[MG]]</f>
        <v>19.740000000000002</v>
      </c>
      <c r="BL266" s="97">
        <f>+Tabela1107[[#This Row],[PIS]]+Tabela1107[[#This Row],[COFINS]]+Tabela1107[[#This Row],[CONTRIB. FOLHA]]+Tabela1107[[#This Row],[TRIBUTOS S/ LUCRO]]+Tabela1107[[#This Row],[OUTROS]]+Tabela1107[[#This Row],[ES]]</f>
        <v>24.740000000000002</v>
      </c>
      <c r="BM266" s="97">
        <f>+Tabela1107[[#This Row],[PIS]]+Tabela1107[[#This Row],[COFINS]]+Tabela1107[[#This Row],[CONTRIB. FOLHA]]+Tabela1107[[#This Row],[TRIBUTOS S/ LUCRO]]+Tabela1107[[#This Row],[OUTROS]]+Tabela1107[[#This Row],[GO]]</f>
        <v>24.740000000000002</v>
      </c>
      <c r="BN266" s="97">
        <f>+Tabela1107[[#This Row],[PIS]]+Tabela1107[[#This Row],[COFINS]]+Tabela1107[[#This Row],[CONTRIB. FOLHA]]+Tabela1107[[#This Row],[TRIBUTOS S/ LUCRO]]+Tabela1107[[#This Row],[OUTROS]]+Tabela1107[[#This Row],[MT]]</f>
        <v>24.740000000000002</v>
      </c>
      <c r="BO266" s="97">
        <f>+Tabela1107[[#This Row],[PIS]]+Tabela1107[[#This Row],[COFINS]]+Tabela1107[[#This Row],[CONTRIB. FOLHA]]+Tabela1107[[#This Row],[TRIBUTOS S/ LUCRO]]+Tabela1107[[#This Row],[OUTROS]]+Tabela1107[[#This Row],[MS]]</f>
        <v>24.740000000000002</v>
      </c>
      <c r="BP266" s="97">
        <f>+Tabela1107[[#This Row],[PIS]]+Tabela1107[[#This Row],[COFINS]]+Tabela1107[[#This Row],[CONTRIB. FOLHA]]+Tabela1107[[#This Row],[TRIBUTOS S/ LUCRO]]+Tabela1107[[#This Row],[OUTROS]]+Tabela1107[[#This Row],[DF]]</f>
        <v>24.740000000000002</v>
      </c>
      <c r="BQ266" s="97">
        <f>+Tabela1107[[#This Row],[PIS]]+Tabela1107[[#This Row],[COFINS]]+Tabela1107[[#This Row],[CONTRIB. FOLHA]]+Tabela1107[[#This Row],[TRIBUTOS S/ LUCRO]]+Tabela1107[[#This Row],[OUTROS]]+Tabela1107[[#This Row],[BA]]</f>
        <v>24.740000000000002</v>
      </c>
      <c r="BR266" s="97">
        <f>+Tabela1107[[#This Row],[PIS]]+Tabela1107[[#This Row],[COFINS]]+Tabela1107[[#This Row],[CONTRIB. FOLHA]]+Tabela1107[[#This Row],[TRIBUTOS S/ LUCRO]]+Tabela1107[[#This Row],[OUTROS]]+Tabela1107[[#This Row],[BA]]</f>
        <v>24.740000000000002</v>
      </c>
      <c r="BS266" s="97">
        <f>+Tabela1107[[#This Row],[PIS]]+Tabela1107[[#This Row],[COFINS]]+Tabela1107[[#This Row],[CONTRIB. FOLHA]]+Tabela1107[[#This Row],[TRIBUTOS S/ LUCRO]]+Tabela1107[[#This Row],[OUTROS]]+Tabela1107[[#This Row],[PE]]</f>
        <v>24.740000000000002</v>
      </c>
      <c r="BT266" s="97">
        <f>+Tabela1107[[#This Row],[PIS]]+Tabela1107[[#This Row],[COFINS]]+Tabela1107[[#This Row],[CONTRIB. FOLHA]]+Tabela1107[[#This Row],[TRIBUTOS S/ LUCRO]]+Tabela1107[[#This Row],[OUTROS]]+Tabela1107[[#This Row],[PA]]</f>
        <v>24.740000000000002</v>
      </c>
      <c r="BU266" s="97">
        <f>+Tabela1107[[#This Row],[PIS]]+Tabela1107[[#This Row],[COFINS]]+Tabela1107[[#This Row],[CONTRIB. FOLHA]]+Tabela1107[[#This Row],[TRIBUTOS S/ LUCRO]]+Tabela1107[[#This Row],[OUTROS]]+Tabela1107[[#This Row],[AM]]</f>
        <v>24.740000000000002</v>
      </c>
      <c r="BV266" s="97">
        <f>AVERAGE(Tabela1107[[#This Row],[TOTAL SP]:[TOTAL AM]])</f>
        <v>24.302500000000006</v>
      </c>
      <c r="BW266" s="97"/>
      <c r="BX266" s="97"/>
    </row>
    <row r="267" spans="2:76" x14ac:dyDescent="0.25">
      <c r="B267" s="89">
        <v>18359</v>
      </c>
      <c r="C267" s="91" t="s">
        <v>13177</v>
      </c>
      <c r="D267" s="89"/>
      <c r="E267" s="89">
        <v>20140626</v>
      </c>
      <c r="F267" s="89" t="s">
        <v>21133</v>
      </c>
      <c r="G267" s="89" t="s">
        <v>21134</v>
      </c>
      <c r="H267" s="89" t="s">
        <v>21135</v>
      </c>
      <c r="I267" s="89" t="s">
        <v>2790</v>
      </c>
      <c r="J267" s="89" t="s">
        <v>461</v>
      </c>
      <c r="K267" s="99" t="s">
        <v>2482</v>
      </c>
      <c r="L267" s="89" t="s">
        <v>2790</v>
      </c>
      <c r="M267" s="89" t="s">
        <v>4496</v>
      </c>
      <c r="N267" s="89" t="s">
        <v>4496</v>
      </c>
      <c r="O267" s="89" t="s">
        <v>4496</v>
      </c>
      <c r="P267" s="89" t="s">
        <v>4496</v>
      </c>
      <c r="Q267" s="89"/>
      <c r="R267" s="89" t="s">
        <v>34</v>
      </c>
      <c r="S267" s="89" t="s">
        <v>21670</v>
      </c>
      <c r="T267" s="89" t="s">
        <v>21671</v>
      </c>
      <c r="U267" s="89" t="str">
        <f>TRIM('Carga Tributária doenças Po (2'!$L267)</f>
        <v>MALEATO DE TIMOLOL</v>
      </c>
      <c r="V267" s="89">
        <f>SUMIFS('Tabela Federal'!$E$4:$E$2069,'Tabela Federal'!$D$4:$D$2069,'Carga Tributária doenças Po (2'!$L267)</f>
        <v>7</v>
      </c>
      <c r="W267" s="89">
        <f>SUMIFS('Tabela Federal'!$E$4:$E$2069,'Tabela Federal'!$D$4:$D$2069,'Carga Tributária doenças Po (2'!$M267)</f>
        <v>0</v>
      </c>
      <c r="X267" s="89">
        <f>SUMIFS('Tabela Federal'!$E$4:$E$2069,'Tabela Federal'!$D$4:$D$2069,'Carga Tributária doenças Po (2'!$N267)</f>
        <v>0</v>
      </c>
      <c r="Y267" s="89">
        <f>SUMIFS('Tabela Federal'!$E$4:$E$2069,'Tabela Federal'!$D$4:$D$2069,'Carga Tributária doenças Po (2'!$O267)</f>
        <v>0</v>
      </c>
      <c r="Z267" s="92" t="str">
        <f>VLOOKUP('Carga Tributária doenças Po (2'!$AD267,'Carga Tributária doenças Po (2'!$CA$12:$CC$16,2,0)</f>
        <v>+</v>
      </c>
      <c r="AA267" s="89" t="s">
        <v>462</v>
      </c>
      <c r="AB267" s="89" t="s">
        <v>21837</v>
      </c>
      <c r="AC267" s="89" t="s">
        <v>21721</v>
      </c>
      <c r="AD267" s="93" t="s">
        <v>21722</v>
      </c>
      <c r="AE267" s="92" t="s">
        <v>2</v>
      </c>
      <c r="AF267" s="92" t="s">
        <v>10</v>
      </c>
      <c r="AG267" s="94">
        <v>502335</v>
      </c>
      <c r="AH267" s="95">
        <v>1255886</v>
      </c>
      <c r="AI267" s="95">
        <v>2865235.72</v>
      </c>
      <c r="AJ267" s="89" t="s">
        <v>471</v>
      </c>
      <c r="AK267" s="89">
        <f>IF('Carga Tributária doenças Po (2'!$Z267="+",0,SUMIFS(PISCOFINS!$I$3:$I$10518,PISCOFINS!$C$3:$C$10518,'Carga Tributária doenças Po (2'!$C267))</f>
        <v>0</v>
      </c>
      <c r="AL267" s="89">
        <f>IF('Carga Tributária doenças Po (2'!$Z267="+",0,SUMIFS(PISCOFINS!$H$3:$H$10518,PISCOFINS!$C$3:$C$10518,'Carga Tributária doenças Po (2'!$C267))</f>
        <v>0</v>
      </c>
      <c r="AM267" s="95">
        <v>3.27</v>
      </c>
      <c r="AN267" s="95">
        <v>3.12</v>
      </c>
      <c r="AO267" s="95">
        <v>1.35</v>
      </c>
      <c r="AP267" s="96">
        <v>18</v>
      </c>
      <c r="AQ267" s="96">
        <v>12</v>
      </c>
      <c r="AR267" s="96">
        <v>17</v>
      </c>
      <c r="AS267" s="97">
        <v>17</v>
      </c>
      <c r="AT267" s="97">
        <v>19</v>
      </c>
      <c r="AU267" s="97">
        <v>12</v>
      </c>
      <c r="AV267" s="97">
        <v>17</v>
      </c>
      <c r="AW267" s="97">
        <v>17</v>
      </c>
      <c r="AX267" s="97">
        <v>17</v>
      </c>
      <c r="AY267" s="97">
        <v>17</v>
      </c>
      <c r="AZ267" s="97">
        <v>17</v>
      </c>
      <c r="BA267" s="97">
        <v>17</v>
      </c>
      <c r="BB267" s="97">
        <v>17</v>
      </c>
      <c r="BC267" s="97">
        <v>17</v>
      </c>
      <c r="BD267" s="97">
        <v>17</v>
      </c>
      <c r="BE267" s="97">
        <v>17</v>
      </c>
      <c r="BF267" s="97">
        <f>+Tabela1107[[#This Row],[PIS]]+Tabela1107[[#This Row],[COFINS]]+Tabela1107[[#This Row],[CONTRIB. FOLHA]]+Tabela1107[[#This Row],[TRIBUTOS S/ LUCRO]]+Tabela1107[[#This Row],[OUTROS]]+Tabela1107[[#This Row],[SP]]</f>
        <v>25.740000000000002</v>
      </c>
      <c r="BG267" s="97">
        <f>+Tabela1107[[#This Row],[PIS]]+Tabela1107[[#This Row],[COFINS]]+Tabela1107[[#This Row],[CONTRIB. FOLHA]]+Tabela1107[[#This Row],[TRIBUTOS S/ LUCRO]]+Tabela1107[[#This Row],[OUTROS]]+Tabela1107[[#This Row],[PR]]</f>
        <v>19.740000000000002</v>
      </c>
      <c r="BH267" s="97">
        <f>+Tabela1107[[#This Row],[PIS]]+Tabela1107[[#This Row],[COFINS]]+Tabela1107[[#This Row],[CONTRIB. FOLHA]]+Tabela1107[[#This Row],[TRIBUTOS S/ LUCRO]]+Tabela1107[[#This Row],[OUTROS]]+Tabela1107[[#This Row],[SC]]</f>
        <v>24.740000000000002</v>
      </c>
      <c r="BI267" s="97">
        <f>+Tabela1107[[#This Row],[PIS]]+Tabela1107[[#This Row],[COFINS]]+Tabela1107[[#This Row],[CONTRIB. FOLHA]]+Tabela1107[[#This Row],[TRIBUTOS S/ LUCRO]]+Tabela1107[[#This Row],[OUTROS]]+Tabela1107[[#This Row],[RS]]</f>
        <v>24.740000000000002</v>
      </c>
      <c r="BJ267" s="97">
        <f>+Tabela1107[[#This Row],[PIS]]+Tabela1107[[#This Row],[COFINS]]+Tabela1107[[#This Row],[CONTRIB. FOLHA]]+Tabela1107[[#This Row],[TRIBUTOS S/ LUCRO]]+Tabela1107[[#This Row],[OUTROS]]+Tabela1107[[#This Row],[RJ]]</f>
        <v>26.740000000000002</v>
      </c>
      <c r="BK267" s="97">
        <f>+Tabela1107[[#This Row],[PIS]]+Tabela1107[[#This Row],[COFINS]]+Tabela1107[[#This Row],[CONTRIB. FOLHA]]+Tabela1107[[#This Row],[TRIBUTOS S/ LUCRO]]+Tabela1107[[#This Row],[OUTROS]]+Tabela1107[[#This Row],[MG]]</f>
        <v>19.740000000000002</v>
      </c>
      <c r="BL267" s="97">
        <f>+Tabela1107[[#This Row],[PIS]]+Tabela1107[[#This Row],[COFINS]]+Tabela1107[[#This Row],[CONTRIB. FOLHA]]+Tabela1107[[#This Row],[TRIBUTOS S/ LUCRO]]+Tabela1107[[#This Row],[OUTROS]]+Tabela1107[[#This Row],[ES]]</f>
        <v>24.740000000000002</v>
      </c>
      <c r="BM267" s="97">
        <f>+Tabela1107[[#This Row],[PIS]]+Tabela1107[[#This Row],[COFINS]]+Tabela1107[[#This Row],[CONTRIB. FOLHA]]+Tabela1107[[#This Row],[TRIBUTOS S/ LUCRO]]+Tabela1107[[#This Row],[OUTROS]]+Tabela1107[[#This Row],[GO]]</f>
        <v>24.740000000000002</v>
      </c>
      <c r="BN267" s="97">
        <f>+Tabela1107[[#This Row],[PIS]]+Tabela1107[[#This Row],[COFINS]]+Tabela1107[[#This Row],[CONTRIB. FOLHA]]+Tabela1107[[#This Row],[TRIBUTOS S/ LUCRO]]+Tabela1107[[#This Row],[OUTROS]]+Tabela1107[[#This Row],[MT]]</f>
        <v>24.740000000000002</v>
      </c>
      <c r="BO267" s="97">
        <f>+Tabela1107[[#This Row],[PIS]]+Tabela1107[[#This Row],[COFINS]]+Tabela1107[[#This Row],[CONTRIB. FOLHA]]+Tabela1107[[#This Row],[TRIBUTOS S/ LUCRO]]+Tabela1107[[#This Row],[OUTROS]]+Tabela1107[[#This Row],[MS]]</f>
        <v>24.740000000000002</v>
      </c>
      <c r="BP267" s="97">
        <f>+Tabela1107[[#This Row],[PIS]]+Tabela1107[[#This Row],[COFINS]]+Tabela1107[[#This Row],[CONTRIB. FOLHA]]+Tabela1107[[#This Row],[TRIBUTOS S/ LUCRO]]+Tabela1107[[#This Row],[OUTROS]]+Tabela1107[[#This Row],[DF]]</f>
        <v>24.740000000000002</v>
      </c>
      <c r="BQ267" s="97">
        <f>+Tabela1107[[#This Row],[PIS]]+Tabela1107[[#This Row],[COFINS]]+Tabela1107[[#This Row],[CONTRIB. FOLHA]]+Tabela1107[[#This Row],[TRIBUTOS S/ LUCRO]]+Tabela1107[[#This Row],[OUTROS]]+Tabela1107[[#This Row],[BA]]</f>
        <v>24.740000000000002</v>
      </c>
      <c r="BR267" s="97">
        <f>+Tabela1107[[#This Row],[PIS]]+Tabela1107[[#This Row],[COFINS]]+Tabela1107[[#This Row],[CONTRIB. FOLHA]]+Tabela1107[[#This Row],[TRIBUTOS S/ LUCRO]]+Tabela1107[[#This Row],[OUTROS]]+Tabela1107[[#This Row],[BA]]</f>
        <v>24.740000000000002</v>
      </c>
      <c r="BS267" s="97">
        <f>+Tabela1107[[#This Row],[PIS]]+Tabela1107[[#This Row],[COFINS]]+Tabela1107[[#This Row],[CONTRIB. FOLHA]]+Tabela1107[[#This Row],[TRIBUTOS S/ LUCRO]]+Tabela1107[[#This Row],[OUTROS]]+Tabela1107[[#This Row],[PE]]</f>
        <v>24.740000000000002</v>
      </c>
      <c r="BT267" s="97">
        <f>+Tabela1107[[#This Row],[PIS]]+Tabela1107[[#This Row],[COFINS]]+Tabela1107[[#This Row],[CONTRIB. FOLHA]]+Tabela1107[[#This Row],[TRIBUTOS S/ LUCRO]]+Tabela1107[[#This Row],[OUTROS]]+Tabela1107[[#This Row],[PA]]</f>
        <v>24.740000000000002</v>
      </c>
      <c r="BU267" s="97">
        <f>+Tabela1107[[#This Row],[PIS]]+Tabela1107[[#This Row],[COFINS]]+Tabela1107[[#This Row],[CONTRIB. FOLHA]]+Tabela1107[[#This Row],[TRIBUTOS S/ LUCRO]]+Tabela1107[[#This Row],[OUTROS]]+Tabela1107[[#This Row],[AM]]</f>
        <v>24.740000000000002</v>
      </c>
      <c r="BV267" s="97">
        <f>AVERAGE(Tabela1107[[#This Row],[TOTAL SP]:[TOTAL AM]])</f>
        <v>24.302500000000006</v>
      </c>
      <c r="BW267" s="97"/>
      <c r="BX267" s="97"/>
    </row>
    <row r="268" spans="2:76" x14ac:dyDescent="0.25">
      <c r="B268" s="89">
        <v>18372</v>
      </c>
      <c r="C268" s="91" t="s">
        <v>13177</v>
      </c>
      <c r="D268" s="89"/>
      <c r="E268" s="89">
        <v>20140626</v>
      </c>
      <c r="F268" s="89" t="s">
        <v>20319</v>
      </c>
      <c r="G268" s="89" t="s">
        <v>20320</v>
      </c>
      <c r="H268" s="89" t="s">
        <v>20321</v>
      </c>
      <c r="I268" s="89" t="s">
        <v>2790</v>
      </c>
      <c r="J268" s="89" t="s">
        <v>463</v>
      </c>
      <c r="K268" s="89" t="s">
        <v>2482</v>
      </c>
      <c r="L268" s="89" t="s">
        <v>2790</v>
      </c>
      <c r="M268" s="89" t="s">
        <v>4496</v>
      </c>
      <c r="N268" s="89" t="s">
        <v>4496</v>
      </c>
      <c r="O268" s="89" t="s">
        <v>4496</v>
      </c>
      <c r="P268" s="89" t="s">
        <v>4496</v>
      </c>
      <c r="Q268" s="89"/>
      <c r="R268" s="89" t="s">
        <v>1</v>
      </c>
      <c r="S268" s="89" t="s">
        <v>21574</v>
      </c>
      <c r="T268" s="89" t="s">
        <v>21575</v>
      </c>
      <c r="U268" s="89" t="str">
        <f>TRIM('Carga Tributária doenças Po (2'!$L268)</f>
        <v>MALEATO DE TIMOLOL</v>
      </c>
      <c r="V268" s="89">
        <f>SUMIFS('Tabela Federal'!$E$4:$E$2069,'Tabela Federal'!$D$4:$D$2069,'Carga Tributária doenças Po (2'!$L268)</f>
        <v>7</v>
      </c>
      <c r="W268" s="89">
        <f>SUMIFS('Tabela Federal'!$E$4:$E$2069,'Tabela Federal'!$D$4:$D$2069,'Carga Tributária doenças Po (2'!$M268)</f>
        <v>0</v>
      </c>
      <c r="X268" s="89">
        <f>SUMIFS('Tabela Federal'!$E$4:$E$2069,'Tabela Federal'!$D$4:$D$2069,'Carga Tributária doenças Po (2'!$N268)</f>
        <v>0</v>
      </c>
      <c r="Y268" s="89">
        <f>SUMIFS('Tabela Federal'!$E$4:$E$2069,'Tabela Federal'!$D$4:$D$2069,'Carga Tributária doenças Po (2'!$O268)</f>
        <v>0</v>
      </c>
      <c r="Z268" s="92" t="str">
        <f>VLOOKUP('Carga Tributária doenças Po (2'!$AD268,'Carga Tributária doenças Po (2'!$CA$12:$CC$16,2,0)</f>
        <v>+</v>
      </c>
      <c r="AA268" s="89" t="s">
        <v>462</v>
      </c>
      <c r="AB268" s="89" t="s">
        <v>21837</v>
      </c>
      <c r="AC268" s="89" t="s">
        <v>21721</v>
      </c>
      <c r="AD268" s="93" t="s">
        <v>21722</v>
      </c>
      <c r="AE268" s="92" t="s">
        <v>2</v>
      </c>
      <c r="AF268" s="92" t="s">
        <v>10</v>
      </c>
      <c r="AG268" s="94">
        <v>793004</v>
      </c>
      <c r="AH268" s="95">
        <v>1892368</v>
      </c>
      <c r="AI268" s="95">
        <v>4321413.62</v>
      </c>
      <c r="AJ268" s="89" t="s">
        <v>471</v>
      </c>
      <c r="AK268" s="89">
        <f>IF('Carga Tributária doenças Po (2'!$Z268="+",0,SUMIFS(PISCOFINS!$I$3:$I$10518,PISCOFINS!$C$3:$C$10518,'Carga Tributária doenças Po (2'!$C268))</f>
        <v>0</v>
      </c>
      <c r="AL268" s="89">
        <f>IF('Carga Tributária doenças Po (2'!$Z268="+",0,SUMIFS(PISCOFINS!$H$3:$H$10518,PISCOFINS!$C$3:$C$10518,'Carga Tributária doenças Po (2'!$C268))</f>
        <v>0</v>
      </c>
      <c r="AM268" s="95">
        <v>3.27</v>
      </c>
      <c r="AN268" s="95">
        <v>3.12</v>
      </c>
      <c r="AO268" s="95">
        <v>1.35</v>
      </c>
      <c r="AP268" s="96">
        <v>18</v>
      </c>
      <c r="AQ268" s="96">
        <v>12</v>
      </c>
      <c r="AR268" s="96">
        <v>17</v>
      </c>
      <c r="AS268" s="97">
        <v>17</v>
      </c>
      <c r="AT268" s="97">
        <v>19</v>
      </c>
      <c r="AU268" s="97">
        <v>12</v>
      </c>
      <c r="AV268" s="97">
        <v>17</v>
      </c>
      <c r="AW268" s="97">
        <v>17</v>
      </c>
      <c r="AX268" s="97">
        <v>17</v>
      </c>
      <c r="AY268" s="97">
        <v>17</v>
      </c>
      <c r="AZ268" s="97">
        <v>17</v>
      </c>
      <c r="BA268" s="97">
        <v>17</v>
      </c>
      <c r="BB268" s="97">
        <v>17</v>
      </c>
      <c r="BC268" s="97">
        <v>17</v>
      </c>
      <c r="BD268" s="97">
        <v>17</v>
      </c>
      <c r="BE268" s="97">
        <v>17</v>
      </c>
      <c r="BF268" s="97">
        <f>+Tabela1107[[#This Row],[PIS]]+Tabela1107[[#This Row],[COFINS]]+Tabela1107[[#This Row],[CONTRIB. FOLHA]]+Tabela1107[[#This Row],[TRIBUTOS S/ LUCRO]]+Tabela1107[[#This Row],[OUTROS]]+Tabela1107[[#This Row],[SP]]</f>
        <v>25.740000000000002</v>
      </c>
      <c r="BG268" s="97">
        <f>+Tabela1107[[#This Row],[PIS]]+Tabela1107[[#This Row],[COFINS]]+Tabela1107[[#This Row],[CONTRIB. FOLHA]]+Tabela1107[[#This Row],[TRIBUTOS S/ LUCRO]]+Tabela1107[[#This Row],[OUTROS]]+Tabela1107[[#This Row],[PR]]</f>
        <v>19.740000000000002</v>
      </c>
      <c r="BH268" s="97">
        <f>+Tabela1107[[#This Row],[PIS]]+Tabela1107[[#This Row],[COFINS]]+Tabela1107[[#This Row],[CONTRIB. FOLHA]]+Tabela1107[[#This Row],[TRIBUTOS S/ LUCRO]]+Tabela1107[[#This Row],[OUTROS]]+Tabela1107[[#This Row],[SC]]</f>
        <v>24.740000000000002</v>
      </c>
      <c r="BI268" s="97">
        <f>+Tabela1107[[#This Row],[PIS]]+Tabela1107[[#This Row],[COFINS]]+Tabela1107[[#This Row],[CONTRIB. FOLHA]]+Tabela1107[[#This Row],[TRIBUTOS S/ LUCRO]]+Tabela1107[[#This Row],[OUTROS]]+Tabela1107[[#This Row],[RS]]</f>
        <v>24.740000000000002</v>
      </c>
      <c r="BJ268" s="97">
        <f>+Tabela1107[[#This Row],[PIS]]+Tabela1107[[#This Row],[COFINS]]+Tabela1107[[#This Row],[CONTRIB. FOLHA]]+Tabela1107[[#This Row],[TRIBUTOS S/ LUCRO]]+Tabela1107[[#This Row],[OUTROS]]+Tabela1107[[#This Row],[RJ]]</f>
        <v>26.740000000000002</v>
      </c>
      <c r="BK268" s="97">
        <f>+Tabela1107[[#This Row],[PIS]]+Tabela1107[[#This Row],[COFINS]]+Tabela1107[[#This Row],[CONTRIB. FOLHA]]+Tabela1107[[#This Row],[TRIBUTOS S/ LUCRO]]+Tabela1107[[#This Row],[OUTROS]]+Tabela1107[[#This Row],[MG]]</f>
        <v>19.740000000000002</v>
      </c>
      <c r="BL268" s="97">
        <f>+Tabela1107[[#This Row],[PIS]]+Tabela1107[[#This Row],[COFINS]]+Tabela1107[[#This Row],[CONTRIB. FOLHA]]+Tabela1107[[#This Row],[TRIBUTOS S/ LUCRO]]+Tabela1107[[#This Row],[OUTROS]]+Tabela1107[[#This Row],[ES]]</f>
        <v>24.740000000000002</v>
      </c>
      <c r="BM268" s="97">
        <f>+Tabela1107[[#This Row],[PIS]]+Tabela1107[[#This Row],[COFINS]]+Tabela1107[[#This Row],[CONTRIB. FOLHA]]+Tabela1107[[#This Row],[TRIBUTOS S/ LUCRO]]+Tabela1107[[#This Row],[OUTROS]]+Tabela1107[[#This Row],[GO]]</f>
        <v>24.740000000000002</v>
      </c>
      <c r="BN268" s="97">
        <f>+Tabela1107[[#This Row],[PIS]]+Tabela1107[[#This Row],[COFINS]]+Tabela1107[[#This Row],[CONTRIB. FOLHA]]+Tabela1107[[#This Row],[TRIBUTOS S/ LUCRO]]+Tabela1107[[#This Row],[OUTROS]]+Tabela1107[[#This Row],[MT]]</f>
        <v>24.740000000000002</v>
      </c>
      <c r="BO268" s="97">
        <f>+Tabela1107[[#This Row],[PIS]]+Tabela1107[[#This Row],[COFINS]]+Tabela1107[[#This Row],[CONTRIB. FOLHA]]+Tabela1107[[#This Row],[TRIBUTOS S/ LUCRO]]+Tabela1107[[#This Row],[OUTROS]]+Tabela1107[[#This Row],[MS]]</f>
        <v>24.740000000000002</v>
      </c>
      <c r="BP268" s="97">
        <f>+Tabela1107[[#This Row],[PIS]]+Tabela1107[[#This Row],[COFINS]]+Tabela1107[[#This Row],[CONTRIB. FOLHA]]+Tabela1107[[#This Row],[TRIBUTOS S/ LUCRO]]+Tabela1107[[#This Row],[OUTROS]]+Tabela1107[[#This Row],[DF]]</f>
        <v>24.740000000000002</v>
      </c>
      <c r="BQ268" s="97">
        <f>+Tabela1107[[#This Row],[PIS]]+Tabela1107[[#This Row],[COFINS]]+Tabela1107[[#This Row],[CONTRIB. FOLHA]]+Tabela1107[[#This Row],[TRIBUTOS S/ LUCRO]]+Tabela1107[[#This Row],[OUTROS]]+Tabela1107[[#This Row],[BA]]</f>
        <v>24.740000000000002</v>
      </c>
      <c r="BR268" s="97">
        <f>+Tabela1107[[#This Row],[PIS]]+Tabela1107[[#This Row],[COFINS]]+Tabela1107[[#This Row],[CONTRIB. FOLHA]]+Tabela1107[[#This Row],[TRIBUTOS S/ LUCRO]]+Tabela1107[[#This Row],[OUTROS]]+Tabela1107[[#This Row],[BA]]</f>
        <v>24.740000000000002</v>
      </c>
      <c r="BS268" s="97">
        <f>+Tabela1107[[#This Row],[PIS]]+Tabela1107[[#This Row],[COFINS]]+Tabela1107[[#This Row],[CONTRIB. FOLHA]]+Tabela1107[[#This Row],[TRIBUTOS S/ LUCRO]]+Tabela1107[[#This Row],[OUTROS]]+Tabela1107[[#This Row],[PE]]</f>
        <v>24.740000000000002</v>
      </c>
      <c r="BT268" s="97">
        <f>+Tabela1107[[#This Row],[PIS]]+Tabela1107[[#This Row],[COFINS]]+Tabela1107[[#This Row],[CONTRIB. FOLHA]]+Tabela1107[[#This Row],[TRIBUTOS S/ LUCRO]]+Tabela1107[[#This Row],[OUTROS]]+Tabela1107[[#This Row],[PA]]</f>
        <v>24.740000000000002</v>
      </c>
      <c r="BU268" s="97">
        <f>+Tabela1107[[#This Row],[PIS]]+Tabela1107[[#This Row],[COFINS]]+Tabela1107[[#This Row],[CONTRIB. FOLHA]]+Tabela1107[[#This Row],[TRIBUTOS S/ LUCRO]]+Tabela1107[[#This Row],[OUTROS]]+Tabela1107[[#This Row],[AM]]</f>
        <v>24.740000000000002</v>
      </c>
      <c r="BV268" s="97">
        <f>AVERAGE(Tabela1107[[#This Row],[TOTAL SP]:[TOTAL AM]])</f>
        <v>24.302500000000006</v>
      </c>
      <c r="BW268" s="97"/>
      <c r="BX268" s="97"/>
    </row>
    <row r="269" spans="2:76" x14ac:dyDescent="0.25">
      <c r="B269" s="89">
        <v>18374</v>
      </c>
      <c r="C269" s="91" t="s">
        <v>13177</v>
      </c>
      <c r="D269" s="89"/>
      <c r="E269" s="89">
        <v>20140626</v>
      </c>
      <c r="F269" s="89" t="s">
        <v>20671</v>
      </c>
      <c r="G269" s="89" t="s">
        <v>20672</v>
      </c>
      <c r="H269" s="89" t="s">
        <v>20673</v>
      </c>
      <c r="I269" s="89" t="s">
        <v>2790</v>
      </c>
      <c r="J269" s="89" t="s">
        <v>461</v>
      </c>
      <c r="K269" s="89" t="s">
        <v>2482</v>
      </c>
      <c r="L269" s="89" t="s">
        <v>2790</v>
      </c>
      <c r="M269" s="89" t="s">
        <v>4496</v>
      </c>
      <c r="N269" s="89" t="s">
        <v>4496</v>
      </c>
      <c r="O269" s="89" t="s">
        <v>4496</v>
      </c>
      <c r="P269" s="89" t="s">
        <v>4496</v>
      </c>
      <c r="Q269" s="89"/>
      <c r="R269" s="89" t="s">
        <v>29</v>
      </c>
      <c r="S269" s="89" t="s">
        <v>21616</v>
      </c>
      <c r="T269" s="89" t="s">
        <v>21617</v>
      </c>
      <c r="U269" s="89" t="str">
        <f>TRIM('Carga Tributária doenças Po (2'!$L269)</f>
        <v>MALEATO DE TIMOLOL</v>
      </c>
      <c r="V269" s="89">
        <f>SUMIFS('Tabela Federal'!$E$4:$E$2069,'Tabela Federal'!$D$4:$D$2069,'Carga Tributária doenças Po (2'!$L269)</f>
        <v>7</v>
      </c>
      <c r="W269" s="89">
        <f>SUMIFS('Tabela Federal'!$E$4:$E$2069,'Tabela Federal'!$D$4:$D$2069,'Carga Tributária doenças Po (2'!$M269)</f>
        <v>0</v>
      </c>
      <c r="X269" s="89">
        <f>SUMIFS('Tabela Federal'!$E$4:$E$2069,'Tabela Federal'!$D$4:$D$2069,'Carga Tributária doenças Po (2'!$N269)</f>
        <v>0</v>
      </c>
      <c r="Y269" s="89">
        <f>SUMIFS('Tabela Federal'!$E$4:$E$2069,'Tabela Federal'!$D$4:$D$2069,'Carga Tributária doenças Po (2'!$O269)</f>
        <v>0</v>
      </c>
      <c r="Z269" s="92" t="str">
        <f>VLOOKUP('Carga Tributária doenças Po (2'!$AD269,'Carga Tributária doenças Po (2'!$CA$12:$CC$16,2,0)</f>
        <v>+</v>
      </c>
      <c r="AA269" s="89" t="s">
        <v>462</v>
      </c>
      <c r="AB269" s="89" t="s">
        <v>21837</v>
      </c>
      <c r="AC269" s="89" t="s">
        <v>21721</v>
      </c>
      <c r="AD269" s="93" t="s">
        <v>21722</v>
      </c>
      <c r="AE269" s="92" t="s">
        <v>2</v>
      </c>
      <c r="AF269" s="92" t="s">
        <v>10</v>
      </c>
      <c r="AG269" s="94">
        <v>1120971</v>
      </c>
      <c r="AH269" s="95">
        <v>2794123</v>
      </c>
      <c r="AI269" s="95">
        <v>6377148.2400000002</v>
      </c>
      <c r="AJ269" s="89" t="s">
        <v>471</v>
      </c>
      <c r="AK269" s="89">
        <f>IF('Carga Tributária doenças Po (2'!$Z269="+",0,SUMIFS(PISCOFINS!$I$3:$I$10518,PISCOFINS!$C$3:$C$10518,'Carga Tributária doenças Po (2'!$C269))</f>
        <v>0</v>
      </c>
      <c r="AL269" s="89">
        <f>IF('Carga Tributária doenças Po (2'!$Z269="+",0,SUMIFS(PISCOFINS!$H$3:$H$10518,PISCOFINS!$C$3:$C$10518,'Carga Tributária doenças Po (2'!$C269))</f>
        <v>0</v>
      </c>
      <c r="AM269" s="95">
        <v>3.27</v>
      </c>
      <c r="AN269" s="95">
        <v>3.12</v>
      </c>
      <c r="AO269" s="95">
        <v>1.35</v>
      </c>
      <c r="AP269" s="96">
        <v>18</v>
      </c>
      <c r="AQ269" s="96">
        <v>12</v>
      </c>
      <c r="AR269" s="96">
        <v>17</v>
      </c>
      <c r="AS269" s="97">
        <v>17</v>
      </c>
      <c r="AT269" s="97">
        <v>19</v>
      </c>
      <c r="AU269" s="97">
        <v>12</v>
      </c>
      <c r="AV269" s="97">
        <v>17</v>
      </c>
      <c r="AW269" s="97">
        <v>17</v>
      </c>
      <c r="AX269" s="97">
        <v>17</v>
      </c>
      <c r="AY269" s="97">
        <v>17</v>
      </c>
      <c r="AZ269" s="97">
        <v>17</v>
      </c>
      <c r="BA269" s="97">
        <v>17</v>
      </c>
      <c r="BB269" s="97">
        <v>17</v>
      </c>
      <c r="BC269" s="97">
        <v>17</v>
      </c>
      <c r="BD269" s="97">
        <v>17</v>
      </c>
      <c r="BE269" s="97">
        <v>17</v>
      </c>
      <c r="BF269" s="97">
        <f>+Tabela1107[[#This Row],[PIS]]+Tabela1107[[#This Row],[COFINS]]+Tabela1107[[#This Row],[CONTRIB. FOLHA]]+Tabela1107[[#This Row],[TRIBUTOS S/ LUCRO]]+Tabela1107[[#This Row],[OUTROS]]+Tabela1107[[#This Row],[SP]]</f>
        <v>25.740000000000002</v>
      </c>
      <c r="BG269" s="97">
        <f>+Tabela1107[[#This Row],[PIS]]+Tabela1107[[#This Row],[COFINS]]+Tabela1107[[#This Row],[CONTRIB. FOLHA]]+Tabela1107[[#This Row],[TRIBUTOS S/ LUCRO]]+Tabela1107[[#This Row],[OUTROS]]+Tabela1107[[#This Row],[PR]]</f>
        <v>19.740000000000002</v>
      </c>
      <c r="BH269" s="97">
        <f>+Tabela1107[[#This Row],[PIS]]+Tabela1107[[#This Row],[COFINS]]+Tabela1107[[#This Row],[CONTRIB. FOLHA]]+Tabela1107[[#This Row],[TRIBUTOS S/ LUCRO]]+Tabela1107[[#This Row],[OUTROS]]+Tabela1107[[#This Row],[SC]]</f>
        <v>24.740000000000002</v>
      </c>
      <c r="BI269" s="97">
        <f>+Tabela1107[[#This Row],[PIS]]+Tabela1107[[#This Row],[COFINS]]+Tabela1107[[#This Row],[CONTRIB. FOLHA]]+Tabela1107[[#This Row],[TRIBUTOS S/ LUCRO]]+Tabela1107[[#This Row],[OUTROS]]+Tabela1107[[#This Row],[RS]]</f>
        <v>24.740000000000002</v>
      </c>
      <c r="BJ269" s="97">
        <f>+Tabela1107[[#This Row],[PIS]]+Tabela1107[[#This Row],[COFINS]]+Tabela1107[[#This Row],[CONTRIB. FOLHA]]+Tabela1107[[#This Row],[TRIBUTOS S/ LUCRO]]+Tabela1107[[#This Row],[OUTROS]]+Tabela1107[[#This Row],[RJ]]</f>
        <v>26.740000000000002</v>
      </c>
      <c r="BK269" s="97">
        <f>+Tabela1107[[#This Row],[PIS]]+Tabela1107[[#This Row],[COFINS]]+Tabela1107[[#This Row],[CONTRIB. FOLHA]]+Tabela1107[[#This Row],[TRIBUTOS S/ LUCRO]]+Tabela1107[[#This Row],[OUTROS]]+Tabela1107[[#This Row],[MG]]</f>
        <v>19.740000000000002</v>
      </c>
      <c r="BL269" s="97">
        <f>+Tabela1107[[#This Row],[PIS]]+Tabela1107[[#This Row],[COFINS]]+Tabela1107[[#This Row],[CONTRIB. FOLHA]]+Tabela1107[[#This Row],[TRIBUTOS S/ LUCRO]]+Tabela1107[[#This Row],[OUTROS]]+Tabela1107[[#This Row],[ES]]</f>
        <v>24.740000000000002</v>
      </c>
      <c r="BM269" s="97">
        <f>+Tabela1107[[#This Row],[PIS]]+Tabela1107[[#This Row],[COFINS]]+Tabela1107[[#This Row],[CONTRIB. FOLHA]]+Tabela1107[[#This Row],[TRIBUTOS S/ LUCRO]]+Tabela1107[[#This Row],[OUTROS]]+Tabela1107[[#This Row],[GO]]</f>
        <v>24.740000000000002</v>
      </c>
      <c r="BN269" s="97">
        <f>+Tabela1107[[#This Row],[PIS]]+Tabela1107[[#This Row],[COFINS]]+Tabela1107[[#This Row],[CONTRIB. FOLHA]]+Tabela1107[[#This Row],[TRIBUTOS S/ LUCRO]]+Tabela1107[[#This Row],[OUTROS]]+Tabela1107[[#This Row],[MT]]</f>
        <v>24.740000000000002</v>
      </c>
      <c r="BO269" s="97">
        <f>+Tabela1107[[#This Row],[PIS]]+Tabela1107[[#This Row],[COFINS]]+Tabela1107[[#This Row],[CONTRIB. FOLHA]]+Tabela1107[[#This Row],[TRIBUTOS S/ LUCRO]]+Tabela1107[[#This Row],[OUTROS]]+Tabela1107[[#This Row],[MS]]</f>
        <v>24.740000000000002</v>
      </c>
      <c r="BP269" s="97">
        <f>+Tabela1107[[#This Row],[PIS]]+Tabela1107[[#This Row],[COFINS]]+Tabela1107[[#This Row],[CONTRIB. FOLHA]]+Tabela1107[[#This Row],[TRIBUTOS S/ LUCRO]]+Tabela1107[[#This Row],[OUTROS]]+Tabela1107[[#This Row],[DF]]</f>
        <v>24.740000000000002</v>
      </c>
      <c r="BQ269" s="97">
        <f>+Tabela1107[[#This Row],[PIS]]+Tabela1107[[#This Row],[COFINS]]+Tabela1107[[#This Row],[CONTRIB. FOLHA]]+Tabela1107[[#This Row],[TRIBUTOS S/ LUCRO]]+Tabela1107[[#This Row],[OUTROS]]+Tabela1107[[#This Row],[BA]]</f>
        <v>24.740000000000002</v>
      </c>
      <c r="BR269" s="97">
        <f>+Tabela1107[[#This Row],[PIS]]+Tabela1107[[#This Row],[COFINS]]+Tabela1107[[#This Row],[CONTRIB. FOLHA]]+Tabela1107[[#This Row],[TRIBUTOS S/ LUCRO]]+Tabela1107[[#This Row],[OUTROS]]+Tabela1107[[#This Row],[BA]]</f>
        <v>24.740000000000002</v>
      </c>
      <c r="BS269" s="97">
        <f>+Tabela1107[[#This Row],[PIS]]+Tabela1107[[#This Row],[COFINS]]+Tabela1107[[#This Row],[CONTRIB. FOLHA]]+Tabela1107[[#This Row],[TRIBUTOS S/ LUCRO]]+Tabela1107[[#This Row],[OUTROS]]+Tabela1107[[#This Row],[PE]]</f>
        <v>24.740000000000002</v>
      </c>
      <c r="BT269" s="97">
        <f>+Tabela1107[[#This Row],[PIS]]+Tabela1107[[#This Row],[COFINS]]+Tabela1107[[#This Row],[CONTRIB. FOLHA]]+Tabela1107[[#This Row],[TRIBUTOS S/ LUCRO]]+Tabela1107[[#This Row],[OUTROS]]+Tabela1107[[#This Row],[PA]]</f>
        <v>24.740000000000002</v>
      </c>
      <c r="BU269" s="97">
        <f>+Tabela1107[[#This Row],[PIS]]+Tabela1107[[#This Row],[COFINS]]+Tabela1107[[#This Row],[CONTRIB. FOLHA]]+Tabela1107[[#This Row],[TRIBUTOS S/ LUCRO]]+Tabela1107[[#This Row],[OUTROS]]+Tabela1107[[#This Row],[AM]]</f>
        <v>24.740000000000002</v>
      </c>
      <c r="BV269" s="97">
        <f>AVERAGE(Tabela1107[[#This Row],[TOTAL SP]:[TOTAL AM]])</f>
        <v>24.302500000000006</v>
      </c>
      <c r="BW269" s="97"/>
      <c r="BX269" s="97"/>
    </row>
    <row r="270" spans="2:76" x14ac:dyDescent="0.25">
      <c r="B270" s="89">
        <v>14177</v>
      </c>
      <c r="C270" s="91" t="s">
        <v>13183</v>
      </c>
      <c r="D270" s="89"/>
      <c r="E270" s="89">
        <v>20140626</v>
      </c>
      <c r="F270" s="89" t="s">
        <v>21040</v>
      </c>
      <c r="G270" s="89" t="s">
        <v>21041</v>
      </c>
      <c r="H270" s="89" t="s">
        <v>21042</v>
      </c>
      <c r="I270" s="89" t="s">
        <v>21043</v>
      </c>
      <c r="J270" s="89" t="s">
        <v>306</v>
      </c>
      <c r="K270" s="89"/>
      <c r="L270" s="89" t="s">
        <v>2791</v>
      </c>
      <c r="M270" s="89" t="s">
        <v>4496</v>
      </c>
      <c r="N270" s="89" t="s">
        <v>4496</v>
      </c>
      <c r="O270" s="89" t="s">
        <v>4496</v>
      </c>
      <c r="P270" s="89" t="s">
        <v>4496</v>
      </c>
      <c r="Q270" s="89"/>
      <c r="R270" s="89" t="s">
        <v>307</v>
      </c>
      <c r="S270" s="89" t="s">
        <v>21572</v>
      </c>
      <c r="T270" s="89" t="s">
        <v>21573</v>
      </c>
      <c r="U270" s="89" t="str">
        <f>TRIM('Carga Tributária doenças Po (2'!$L270)</f>
        <v>AMANTADINA</v>
      </c>
      <c r="V270" s="89">
        <f>SUMIFS('Tabela Federal'!$E$4:$E$2069,'Tabela Federal'!$D$4:$D$2069,'Carga Tributária doenças Po (2'!$L270)</f>
        <v>0</v>
      </c>
      <c r="W270" s="89">
        <f>SUMIFS('Tabela Federal'!$E$4:$E$2069,'Tabela Federal'!$D$4:$D$2069,'Carga Tributária doenças Po (2'!$M270)</f>
        <v>0</v>
      </c>
      <c r="X270" s="89">
        <f>SUMIFS('Tabela Federal'!$E$4:$E$2069,'Tabela Federal'!$D$4:$D$2069,'Carga Tributária doenças Po (2'!$N270)</f>
        <v>0</v>
      </c>
      <c r="Y270" s="89">
        <f>SUMIFS('Tabela Federal'!$E$4:$E$2069,'Tabela Federal'!$D$4:$D$2069,'Carga Tributária doenças Po (2'!$O270)</f>
        <v>0</v>
      </c>
      <c r="Z270" s="92" t="str">
        <f>VLOOKUP('Carga Tributária doenças Po (2'!$AD270,'Carga Tributária doenças Po (2'!$CA$12:$CC$16,2,0)</f>
        <v>+</v>
      </c>
      <c r="AA270" s="89" t="s">
        <v>305</v>
      </c>
      <c r="AB270" s="89" t="s">
        <v>21869</v>
      </c>
      <c r="AC270" s="89" t="s">
        <v>21721</v>
      </c>
      <c r="AD270" s="93" t="s">
        <v>21722</v>
      </c>
      <c r="AE270" s="92" t="s">
        <v>2</v>
      </c>
      <c r="AF270" s="92" t="s">
        <v>3</v>
      </c>
      <c r="AG270" s="94">
        <v>743974</v>
      </c>
      <c r="AH270" s="95">
        <v>3428345</v>
      </c>
      <c r="AI270" s="95">
        <v>7825831.75</v>
      </c>
      <c r="AJ270" s="89" t="s">
        <v>316</v>
      </c>
      <c r="AK270" s="89">
        <f>IF('Carga Tributária doenças Po (2'!$Z270="+",0,SUMIFS(PISCOFINS!$I$3:$I$10518,PISCOFINS!$C$3:$C$10518,'Carga Tributária doenças Po (2'!$C270))</f>
        <v>0</v>
      </c>
      <c r="AL270" s="89">
        <f>IF('Carga Tributária doenças Po (2'!$Z270="+",0,SUMIFS(PISCOFINS!$H$3:$H$10518,PISCOFINS!$C$3:$C$10518,'Carga Tributária doenças Po (2'!$C270))</f>
        <v>0</v>
      </c>
      <c r="AM270" s="95">
        <v>3.27</v>
      </c>
      <c r="AN270" s="95">
        <v>3.12</v>
      </c>
      <c r="AO270" s="95">
        <v>1.35</v>
      </c>
      <c r="AP270" s="96">
        <v>18</v>
      </c>
      <c r="AQ270" s="96">
        <v>12</v>
      </c>
      <c r="AR270" s="96">
        <v>17</v>
      </c>
      <c r="AS270" s="97">
        <v>17</v>
      </c>
      <c r="AT270" s="97">
        <v>19</v>
      </c>
      <c r="AU270" s="97">
        <v>18</v>
      </c>
      <c r="AV270" s="97">
        <v>17</v>
      </c>
      <c r="AW270" s="97">
        <v>17</v>
      </c>
      <c r="AX270" s="97">
        <v>17</v>
      </c>
      <c r="AY270" s="97">
        <v>17</v>
      </c>
      <c r="AZ270" s="97">
        <v>17</v>
      </c>
      <c r="BA270" s="97">
        <v>17</v>
      </c>
      <c r="BB270" s="97">
        <v>17</v>
      </c>
      <c r="BC270" s="97">
        <v>17</v>
      </c>
      <c r="BD270" s="97">
        <v>17</v>
      </c>
      <c r="BE270" s="97">
        <v>17</v>
      </c>
      <c r="BF270" s="97">
        <f>+Tabela1107[[#This Row],[PIS]]+Tabela1107[[#This Row],[COFINS]]+Tabela1107[[#This Row],[CONTRIB. FOLHA]]+Tabela1107[[#This Row],[TRIBUTOS S/ LUCRO]]+Tabela1107[[#This Row],[OUTROS]]+Tabela1107[[#This Row],[SP]]</f>
        <v>25.740000000000002</v>
      </c>
      <c r="BG270" s="97">
        <f>+Tabela1107[[#This Row],[PIS]]+Tabela1107[[#This Row],[COFINS]]+Tabela1107[[#This Row],[CONTRIB. FOLHA]]+Tabela1107[[#This Row],[TRIBUTOS S/ LUCRO]]+Tabela1107[[#This Row],[OUTROS]]+Tabela1107[[#This Row],[PR]]</f>
        <v>19.740000000000002</v>
      </c>
      <c r="BH270" s="97">
        <f>+Tabela1107[[#This Row],[PIS]]+Tabela1107[[#This Row],[COFINS]]+Tabela1107[[#This Row],[CONTRIB. FOLHA]]+Tabela1107[[#This Row],[TRIBUTOS S/ LUCRO]]+Tabela1107[[#This Row],[OUTROS]]+Tabela1107[[#This Row],[SC]]</f>
        <v>24.740000000000002</v>
      </c>
      <c r="BI270" s="97">
        <f>+Tabela1107[[#This Row],[PIS]]+Tabela1107[[#This Row],[COFINS]]+Tabela1107[[#This Row],[CONTRIB. FOLHA]]+Tabela1107[[#This Row],[TRIBUTOS S/ LUCRO]]+Tabela1107[[#This Row],[OUTROS]]+Tabela1107[[#This Row],[RS]]</f>
        <v>24.740000000000002</v>
      </c>
      <c r="BJ270" s="97">
        <f>+Tabela1107[[#This Row],[PIS]]+Tabela1107[[#This Row],[COFINS]]+Tabela1107[[#This Row],[CONTRIB. FOLHA]]+Tabela1107[[#This Row],[TRIBUTOS S/ LUCRO]]+Tabela1107[[#This Row],[OUTROS]]+Tabela1107[[#This Row],[RJ]]</f>
        <v>26.740000000000002</v>
      </c>
      <c r="BK270" s="97">
        <f>+Tabela1107[[#This Row],[PIS]]+Tabela1107[[#This Row],[COFINS]]+Tabela1107[[#This Row],[CONTRIB. FOLHA]]+Tabela1107[[#This Row],[TRIBUTOS S/ LUCRO]]+Tabela1107[[#This Row],[OUTROS]]+Tabela1107[[#This Row],[MG]]</f>
        <v>25.740000000000002</v>
      </c>
      <c r="BL270" s="97">
        <f>+Tabela1107[[#This Row],[PIS]]+Tabela1107[[#This Row],[COFINS]]+Tabela1107[[#This Row],[CONTRIB. FOLHA]]+Tabela1107[[#This Row],[TRIBUTOS S/ LUCRO]]+Tabela1107[[#This Row],[OUTROS]]+Tabela1107[[#This Row],[ES]]</f>
        <v>24.740000000000002</v>
      </c>
      <c r="BM270" s="97">
        <f>+Tabela1107[[#This Row],[PIS]]+Tabela1107[[#This Row],[COFINS]]+Tabela1107[[#This Row],[CONTRIB. FOLHA]]+Tabela1107[[#This Row],[TRIBUTOS S/ LUCRO]]+Tabela1107[[#This Row],[OUTROS]]+Tabela1107[[#This Row],[GO]]</f>
        <v>24.740000000000002</v>
      </c>
      <c r="BN270" s="97">
        <f>+Tabela1107[[#This Row],[PIS]]+Tabela1107[[#This Row],[COFINS]]+Tabela1107[[#This Row],[CONTRIB. FOLHA]]+Tabela1107[[#This Row],[TRIBUTOS S/ LUCRO]]+Tabela1107[[#This Row],[OUTROS]]+Tabela1107[[#This Row],[MT]]</f>
        <v>24.740000000000002</v>
      </c>
      <c r="BO270" s="97">
        <f>+Tabela1107[[#This Row],[PIS]]+Tabela1107[[#This Row],[COFINS]]+Tabela1107[[#This Row],[CONTRIB. FOLHA]]+Tabela1107[[#This Row],[TRIBUTOS S/ LUCRO]]+Tabela1107[[#This Row],[OUTROS]]+Tabela1107[[#This Row],[MS]]</f>
        <v>24.740000000000002</v>
      </c>
      <c r="BP270" s="97">
        <f>+Tabela1107[[#This Row],[PIS]]+Tabela1107[[#This Row],[COFINS]]+Tabela1107[[#This Row],[CONTRIB. FOLHA]]+Tabela1107[[#This Row],[TRIBUTOS S/ LUCRO]]+Tabela1107[[#This Row],[OUTROS]]+Tabela1107[[#This Row],[DF]]</f>
        <v>24.740000000000002</v>
      </c>
      <c r="BQ270" s="97">
        <f>+Tabela1107[[#This Row],[PIS]]+Tabela1107[[#This Row],[COFINS]]+Tabela1107[[#This Row],[CONTRIB. FOLHA]]+Tabela1107[[#This Row],[TRIBUTOS S/ LUCRO]]+Tabela1107[[#This Row],[OUTROS]]+Tabela1107[[#This Row],[BA]]</f>
        <v>24.740000000000002</v>
      </c>
      <c r="BR270" s="97">
        <f>+Tabela1107[[#This Row],[PIS]]+Tabela1107[[#This Row],[COFINS]]+Tabela1107[[#This Row],[CONTRIB. FOLHA]]+Tabela1107[[#This Row],[TRIBUTOS S/ LUCRO]]+Tabela1107[[#This Row],[OUTROS]]+Tabela1107[[#This Row],[BA]]</f>
        <v>24.740000000000002</v>
      </c>
      <c r="BS270" s="97">
        <f>+Tabela1107[[#This Row],[PIS]]+Tabela1107[[#This Row],[COFINS]]+Tabela1107[[#This Row],[CONTRIB. FOLHA]]+Tabela1107[[#This Row],[TRIBUTOS S/ LUCRO]]+Tabela1107[[#This Row],[OUTROS]]+Tabela1107[[#This Row],[PE]]</f>
        <v>24.740000000000002</v>
      </c>
      <c r="BT270" s="97">
        <f>+Tabela1107[[#This Row],[PIS]]+Tabela1107[[#This Row],[COFINS]]+Tabela1107[[#This Row],[CONTRIB. FOLHA]]+Tabela1107[[#This Row],[TRIBUTOS S/ LUCRO]]+Tabela1107[[#This Row],[OUTROS]]+Tabela1107[[#This Row],[PA]]</f>
        <v>24.740000000000002</v>
      </c>
      <c r="BU270" s="97">
        <f>+Tabela1107[[#This Row],[PIS]]+Tabela1107[[#This Row],[COFINS]]+Tabela1107[[#This Row],[CONTRIB. FOLHA]]+Tabela1107[[#This Row],[TRIBUTOS S/ LUCRO]]+Tabela1107[[#This Row],[OUTROS]]+Tabela1107[[#This Row],[AM]]</f>
        <v>24.740000000000002</v>
      </c>
      <c r="BV270" s="97">
        <f>AVERAGE(Tabela1107[[#This Row],[TOTAL SP]:[TOTAL AM]])</f>
        <v>24.677500000000006</v>
      </c>
      <c r="BW270" s="97"/>
      <c r="BX270" s="97"/>
    </row>
    <row r="271" spans="2:76" x14ac:dyDescent="0.25">
      <c r="B271" s="89">
        <v>5338</v>
      </c>
      <c r="C271" s="91" t="s">
        <v>13183</v>
      </c>
      <c r="D271" s="89"/>
      <c r="E271" s="89">
        <v>20140626</v>
      </c>
      <c r="F271" s="98" t="s">
        <v>21944</v>
      </c>
      <c r="G271" s="89" t="s">
        <v>21136</v>
      </c>
      <c r="H271" s="98" t="s">
        <v>21945</v>
      </c>
      <c r="I271" s="89" t="s">
        <v>21137</v>
      </c>
      <c r="J271" s="89" t="s">
        <v>377</v>
      </c>
      <c r="K271" s="99"/>
      <c r="L271" s="89" t="s">
        <v>3179</v>
      </c>
      <c r="M271" s="89" t="s">
        <v>3180</v>
      </c>
      <c r="N271" s="89" t="s">
        <v>3181</v>
      </c>
      <c r="O271" s="89" t="s">
        <v>4496</v>
      </c>
      <c r="P271" s="89" t="s">
        <v>4496</v>
      </c>
      <c r="Q271" s="89"/>
      <c r="R271" s="89" t="s">
        <v>34</v>
      </c>
      <c r="S271" s="89" t="s">
        <v>21670</v>
      </c>
      <c r="T271" s="98" t="s">
        <v>21671</v>
      </c>
      <c r="U271" s="89" t="str">
        <f>TRIM('Carga Tributária doenças Po (2'!$L271)</f>
        <v>CANFORA</v>
      </c>
      <c r="V271" s="89">
        <f>SUMIFS('Tabela Federal'!$E$4:$E$2069,'Tabela Federal'!$D$4:$D$2069,'Carga Tributária doenças Po (2'!$L271)</f>
        <v>0</v>
      </c>
      <c r="W271" s="89">
        <f>SUMIFS('Tabela Federal'!$E$4:$E$2069,'Tabela Federal'!$D$4:$D$2069,'Carga Tributária doenças Po (2'!$M271)</f>
        <v>1</v>
      </c>
      <c r="X271" s="89">
        <f>SUMIFS('Tabela Federal'!$E$4:$E$2069,'Tabela Federal'!$D$4:$D$2069,'Carga Tributária doenças Po (2'!$N271)</f>
        <v>0</v>
      </c>
      <c r="Y271" s="89">
        <f>SUMIFS('Tabela Federal'!$E$4:$E$2069,'Tabela Federal'!$D$4:$D$2069,'Carga Tributária doenças Po (2'!$O271)</f>
        <v>0</v>
      </c>
      <c r="Z271" s="92" t="str">
        <f>VLOOKUP('Carga Tributária doenças Po (2'!$AD271,'Carga Tributária doenças Po (2'!$CA$12:$CC$16,2,0)</f>
        <v>-</v>
      </c>
      <c r="AA271" s="89" t="s">
        <v>374</v>
      </c>
      <c r="AB271" s="89" t="s">
        <v>21865</v>
      </c>
      <c r="AC271" s="89" t="s">
        <v>21740</v>
      </c>
      <c r="AD271" s="93" t="s">
        <v>19523</v>
      </c>
      <c r="AE271" s="92" t="s">
        <v>4</v>
      </c>
      <c r="AF271" s="92" t="s">
        <v>3</v>
      </c>
      <c r="AG271" s="94">
        <v>2289882</v>
      </c>
      <c r="AH271" s="95">
        <v>22759391</v>
      </c>
      <c r="AI271" s="95">
        <v>51941398.119999997</v>
      </c>
      <c r="AJ271" s="89" t="s">
        <v>383</v>
      </c>
      <c r="AK271" s="89">
        <f>IF('Carga Tributária doenças Po (2'!$Z271="+",0,SUMIFS(PISCOFINS!$I$3:$I$10518,PISCOFINS!$C$3:$C$10518,'Carga Tributária doenças Po (2'!$C271))</f>
        <v>2.1</v>
      </c>
      <c r="AL271" s="89">
        <f>IF('Carga Tributária doenças Po (2'!$Z271="+",0,SUMIFS(PISCOFINS!$H$3:$H$10518,PISCOFINS!$C$3:$C$10518,'Carga Tributária doenças Po (2'!$C271))</f>
        <v>9.9</v>
      </c>
      <c r="AM271" s="95">
        <v>3.27</v>
      </c>
      <c r="AN271" s="95">
        <v>3.12</v>
      </c>
      <c r="AO271" s="95">
        <v>1.35</v>
      </c>
      <c r="AP271" s="96">
        <v>18</v>
      </c>
      <c r="AQ271" s="96">
        <v>12</v>
      </c>
      <c r="AR271" s="96">
        <v>17</v>
      </c>
      <c r="AS271" s="97">
        <v>17</v>
      </c>
      <c r="AT271" s="97">
        <v>19</v>
      </c>
      <c r="AU271" s="97">
        <v>18</v>
      </c>
      <c r="AV271" s="97">
        <v>17</v>
      </c>
      <c r="AW271" s="97">
        <v>17</v>
      </c>
      <c r="AX271" s="97">
        <v>17</v>
      </c>
      <c r="AY271" s="97">
        <v>17</v>
      </c>
      <c r="AZ271" s="97">
        <v>17</v>
      </c>
      <c r="BA271" s="97">
        <v>17</v>
      </c>
      <c r="BB271" s="97">
        <v>17</v>
      </c>
      <c r="BC271" s="97">
        <v>17</v>
      </c>
      <c r="BD271" s="97">
        <v>17</v>
      </c>
      <c r="BE271" s="97">
        <v>17</v>
      </c>
      <c r="BF271" s="97">
        <f>+Tabela1107[[#This Row],[PIS]]+Tabela1107[[#This Row],[COFINS]]+Tabela1107[[#This Row],[CONTRIB. FOLHA]]+Tabela1107[[#This Row],[TRIBUTOS S/ LUCRO]]+Tabela1107[[#This Row],[OUTROS]]+Tabela1107[[#This Row],[SP]]</f>
        <v>37.74</v>
      </c>
      <c r="BG271" s="97">
        <f>+Tabela1107[[#This Row],[PIS]]+Tabela1107[[#This Row],[COFINS]]+Tabela1107[[#This Row],[CONTRIB. FOLHA]]+Tabela1107[[#This Row],[TRIBUTOS S/ LUCRO]]+Tabela1107[[#This Row],[OUTROS]]+Tabela1107[[#This Row],[PR]]</f>
        <v>31.740000000000002</v>
      </c>
      <c r="BH271" s="97">
        <f>+Tabela1107[[#This Row],[PIS]]+Tabela1107[[#This Row],[COFINS]]+Tabela1107[[#This Row],[CONTRIB. FOLHA]]+Tabela1107[[#This Row],[TRIBUTOS S/ LUCRO]]+Tabela1107[[#This Row],[OUTROS]]+Tabela1107[[#This Row],[SC]]</f>
        <v>36.74</v>
      </c>
      <c r="BI271" s="97">
        <f>+Tabela1107[[#This Row],[PIS]]+Tabela1107[[#This Row],[COFINS]]+Tabela1107[[#This Row],[CONTRIB. FOLHA]]+Tabela1107[[#This Row],[TRIBUTOS S/ LUCRO]]+Tabela1107[[#This Row],[OUTROS]]+Tabela1107[[#This Row],[RS]]</f>
        <v>36.74</v>
      </c>
      <c r="BJ271" s="97">
        <f>+Tabela1107[[#This Row],[PIS]]+Tabela1107[[#This Row],[COFINS]]+Tabela1107[[#This Row],[CONTRIB. FOLHA]]+Tabela1107[[#This Row],[TRIBUTOS S/ LUCRO]]+Tabela1107[[#This Row],[OUTROS]]+Tabela1107[[#This Row],[RJ]]</f>
        <v>38.74</v>
      </c>
      <c r="BK271" s="97">
        <f>+Tabela1107[[#This Row],[PIS]]+Tabela1107[[#This Row],[COFINS]]+Tabela1107[[#This Row],[CONTRIB. FOLHA]]+Tabela1107[[#This Row],[TRIBUTOS S/ LUCRO]]+Tabela1107[[#This Row],[OUTROS]]+Tabela1107[[#This Row],[MG]]</f>
        <v>37.74</v>
      </c>
      <c r="BL271" s="97">
        <f>+Tabela1107[[#This Row],[PIS]]+Tabela1107[[#This Row],[COFINS]]+Tabela1107[[#This Row],[CONTRIB. FOLHA]]+Tabela1107[[#This Row],[TRIBUTOS S/ LUCRO]]+Tabela1107[[#This Row],[OUTROS]]+Tabela1107[[#This Row],[ES]]</f>
        <v>36.74</v>
      </c>
      <c r="BM271" s="97">
        <f>+Tabela1107[[#This Row],[PIS]]+Tabela1107[[#This Row],[COFINS]]+Tabela1107[[#This Row],[CONTRIB. FOLHA]]+Tabela1107[[#This Row],[TRIBUTOS S/ LUCRO]]+Tabela1107[[#This Row],[OUTROS]]+Tabela1107[[#This Row],[GO]]</f>
        <v>36.74</v>
      </c>
      <c r="BN271" s="97">
        <f>+Tabela1107[[#This Row],[PIS]]+Tabela1107[[#This Row],[COFINS]]+Tabela1107[[#This Row],[CONTRIB. FOLHA]]+Tabela1107[[#This Row],[TRIBUTOS S/ LUCRO]]+Tabela1107[[#This Row],[OUTROS]]+Tabela1107[[#This Row],[MT]]</f>
        <v>36.74</v>
      </c>
      <c r="BO271" s="97">
        <f>+Tabela1107[[#This Row],[PIS]]+Tabela1107[[#This Row],[COFINS]]+Tabela1107[[#This Row],[CONTRIB. FOLHA]]+Tabela1107[[#This Row],[TRIBUTOS S/ LUCRO]]+Tabela1107[[#This Row],[OUTROS]]+Tabela1107[[#This Row],[MS]]</f>
        <v>36.74</v>
      </c>
      <c r="BP271" s="97">
        <f>+Tabela1107[[#This Row],[PIS]]+Tabela1107[[#This Row],[COFINS]]+Tabela1107[[#This Row],[CONTRIB. FOLHA]]+Tabela1107[[#This Row],[TRIBUTOS S/ LUCRO]]+Tabela1107[[#This Row],[OUTROS]]+Tabela1107[[#This Row],[DF]]</f>
        <v>36.74</v>
      </c>
      <c r="BQ271" s="97">
        <f>+Tabela1107[[#This Row],[PIS]]+Tabela1107[[#This Row],[COFINS]]+Tabela1107[[#This Row],[CONTRIB. FOLHA]]+Tabela1107[[#This Row],[TRIBUTOS S/ LUCRO]]+Tabela1107[[#This Row],[OUTROS]]+Tabela1107[[#This Row],[BA]]</f>
        <v>36.74</v>
      </c>
      <c r="BR271" s="97">
        <f>+Tabela1107[[#This Row],[PIS]]+Tabela1107[[#This Row],[COFINS]]+Tabela1107[[#This Row],[CONTRIB. FOLHA]]+Tabela1107[[#This Row],[TRIBUTOS S/ LUCRO]]+Tabela1107[[#This Row],[OUTROS]]+Tabela1107[[#This Row],[BA]]</f>
        <v>36.74</v>
      </c>
      <c r="BS271" s="97">
        <f>+Tabela1107[[#This Row],[PIS]]+Tabela1107[[#This Row],[COFINS]]+Tabela1107[[#This Row],[CONTRIB. FOLHA]]+Tabela1107[[#This Row],[TRIBUTOS S/ LUCRO]]+Tabela1107[[#This Row],[OUTROS]]+Tabela1107[[#This Row],[PE]]</f>
        <v>36.74</v>
      </c>
      <c r="BT271" s="97">
        <f>+Tabela1107[[#This Row],[PIS]]+Tabela1107[[#This Row],[COFINS]]+Tabela1107[[#This Row],[CONTRIB. FOLHA]]+Tabela1107[[#This Row],[TRIBUTOS S/ LUCRO]]+Tabela1107[[#This Row],[OUTROS]]+Tabela1107[[#This Row],[PA]]</f>
        <v>36.74</v>
      </c>
      <c r="BU271" s="97">
        <f>+Tabela1107[[#This Row],[PIS]]+Tabela1107[[#This Row],[COFINS]]+Tabela1107[[#This Row],[CONTRIB. FOLHA]]+Tabela1107[[#This Row],[TRIBUTOS S/ LUCRO]]+Tabela1107[[#This Row],[OUTROS]]+Tabela1107[[#This Row],[AM]]</f>
        <v>36.74</v>
      </c>
      <c r="BV271" s="97">
        <f>AVERAGE(Tabela1107[[#This Row],[TOTAL SP]:[TOTAL AM]])</f>
        <v>36.677500000000002</v>
      </c>
      <c r="BW271" s="97"/>
      <c r="BX271" s="97"/>
    </row>
    <row r="272" spans="2:76" x14ac:dyDescent="0.25">
      <c r="B272" s="89">
        <v>3364</v>
      </c>
      <c r="C272" s="91" t="s">
        <v>13183</v>
      </c>
      <c r="D272" s="89"/>
      <c r="E272" s="89">
        <v>20140626</v>
      </c>
      <c r="F272" s="89" t="s">
        <v>21086</v>
      </c>
      <c r="G272" s="89" t="s">
        <v>21087</v>
      </c>
      <c r="H272" s="98" t="s">
        <v>21958</v>
      </c>
      <c r="I272" s="89" t="s">
        <v>21088</v>
      </c>
      <c r="J272" s="89" t="s">
        <v>150</v>
      </c>
      <c r="K272" s="89"/>
      <c r="L272" s="89" t="s">
        <v>2655</v>
      </c>
      <c r="M272" s="89" t="s">
        <v>4496</v>
      </c>
      <c r="N272" s="89" t="s">
        <v>4496</v>
      </c>
      <c r="O272" s="89" t="s">
        <v>4496</v>
      </c>
      <c r="P272" s="89" t="s">
        <v>4496</v>
      </c>
      <c r="Q272" s="89"/>
      <c r="R272" s="89" t="s">
        <v>151</v>
      </c>
      <c r="S272" s="89" t="s">
        <v>21666</v>
      </c>
      <c r="T272" s="89" t="s">
        <v>21667</v>
      </c>
      <c r="U272" s="89" t="str">
        <f>TRIM('Carga Tributária doenças Po (2'!$L272)</f>
        <v>DIPIRONA SODICA</v>
      </c>
      <c r="V272" s="89">
        <f>SUMIFS('Tabela Federal'!$E$4:$E$2069,'Tabela Federal'!$D$4:$D$2069,'Carga Tributária doenças Po (2'!$L272)</f>
        <v>1</v>
      </c>
      <c r="W272" s="89">
        <f>SUMIFS('Tabela Federal'!$E$4:$E$2069,'Tabela Federal'!$D$4:$D$2069,'Carga Tributária doenças Po (2'!$M272)</f>
        <v>0</v>
      </c>
      <c r="X272" s="89">
        <f>SUMIFS('Tabela Federal'!$E$4:$E$2069,'Tabela Federal'!$D$4:$D$2069,'Carga Tributária doenças Po (2'!$N272)</f>
        <v>0</v>
      </c>
      <c r="Y272" s="89">
        <f>SUMIFS('Tabela Federal'!$E$4:$E$2069,'Tabela Federal'!$D$4:$D$2069,'Carga Tributária doenças Po (2'!$O272)</f>
        <v>0</v>
      </c>
      <c r="Z272" s="92" t="str">
        <f>VLOOKUP('Carga Tributária doenças Po (2'!$AD272,'Carga Tributária doenças Po (2'!$CA$12:$CC$16,2,0)</f>
        <v>-</v>
      </c>
      <c r="AA272" s="89" t="s">
        <v>7</v>
      </c>
      <c r="AB272" s="89" t="s">
        <v>21730</v>
      </c>
      <c r="AC272" s="89" t="s">
        <v>21740</v>
      </c>
      <c r="AD272" s="93" t="s">
        <v>19523</v>
      </c>
      <c r="AE272" s="92" t="s">
        <v>4</v>
      </c>
      <c r="AF272" s="92" t="s">
        <v>3</v>
      </c>
      <c r="AG272" s="94">
        <v>4819671</v>
      </c>
      <c r="AH272" s="95">
        <v>6081977</v>
      </c>
      <c r="AI272" s="95">
        <v>13823748.720000001</v>
      </c>
      <c r="AJ272" s="89" t="s">
        <v>333</v>
      </c>
      <c r="AK272" s="89">
        <f>IF('Carga Tributária doenças Po (2'!$Z272="+",0,SUMIFS(PISCOFINS!$I$3:$I$10518,PISCOFINS!$C$3:$C$10518,'Carga Tributária doenças Po (2'!$C272))</f>
        <v>2.1</v>
      </c>
      <c r="AL272" s="89">
        <f>IF('Carga Tributária doenças Po (2'!$Z272="+",0,SUMIFS(PISCOFINS!$H$3:$H$10518,PISCOFINS!$C$3:$C$10518,'Carga Tributária doenças Po (2'!$C272))</f>
        <v>9.9</v>
      </c>
      <c r="AM272" s="95">
        <v>3.27</v>
      </c>
      <c r="AN272" s="95">
        <v>3.12</v>
      </c>
      <c r="AO272" s="95">
        <v>1.35</v>
      </c>
      <c r="AP272" s="96">
        <v>18</v>
      </c>
      <c r="AQ272" s="96">
        <v>12</v>
      </c>
      <c r="AR272" s="96">
        <v>17</v>
      </c>
      <c r="AS272" s="97">
        <v>17</v>
      </c>
      <c r="AT272" s="97">
        <v>19</v>
      </c>
      <c r="AU272" s="97">
        <v>18</v>
      </c>
      <c r="AV272" s="97">
        <v>17</v>
      </c>
      <c r="AW272" s="97">
        <v>17</v>
      </c>
      <c r="AX272" s="97">
        <v>17</v>
      </c>
      <c r="AY272" s="97">
        <v>17</v>
      </c>
      <c r="AZ272" s="97">
        <v>17</v>
      </c>
      <c r="BA272" s="97">
        <v>17</v>
      </c>
      <c r="BB272" s="97">
        <v>17</v>
      </c>
      <c r="BC272" s="97">
        <v>17</v>
      </c>
      <c r="BD272" s="97">
        <v>17</v>
      </c>
      <c r="BE272" s="97">
        <v>17</v>
      </c>
      <c r="BF272" s="97">
        <f>+Tabela1107[[#This Row],[PIS]]+Tabela1107[[#This Row],[COFINS]]+Tabela1107[[#This Row],[CONTRIB. FOLHA]]+Tabela1107[[#This Row],[TRIBUTOS S/ LUCRO]]+Tabela1107[[#This Row],[OUTROS]]+Tabela1107[[#This Row],[SP]]</f>
        <v>37.74</v>
      </c>
      <c r="BG272" s="97">
        <f>+Tabela1107[[#This Row],[PIS]]+Tabela1107[[#This Row],[COFINS]]+Tabela1107[[#This Row],[CONTRIB. FOLHA]]+Tabela1107[[#This Row],[TRIBUTOS S/ LUCRO]]+Tabela1107[[#This Row],[OUTROS]]+Tabela1107[[#This Row],[PR]]</f>
        <v>31.740000000000002</v>
      </c>
      <c r="BH272" s="97">
        <f>+Tabela1107[[#This Row],[PIS]]+Tabela1107[[#This Row],[COFINS]]+Tabela1107[[#This Row],[CONTRIB. FOLHA]]+Tabela1107[[#This Row],[TRIBUTOS S/ LUCRO]]+Tabela1107[[#This Row],[OUTROS]]+Tabela1107[[#This Row],[SC]]</f>
        <v>36.74</v>
      </c>
      <c r="BI272" s="97">
        <f>+Tabela1107[[#This Row],[PIS]]+Tabela1107[[#This Row],[COFINS]]+Tabela1107[[#This Row],[CONTRIB. FOLHA]]+Tabela1107[[#This Row],[TRIBUTOS S/ LUCRO]]+Tabela1107[[#This Row],[OUTROS]]+Tabela1107[[#This Row],[RS]]</f>
        <v>36.74</v>
      </c>
      <c r="BJ272" s="97">
        <f>+Tabela1107[[#This Row],[PIS]]+Tabela1107[[#This Row],[COFINS]]+Tabela1107[[#This Row],[CONTRIB. FOLHA]]+Tabela1107[[#This Row],[TRIBUTOS S/ LUCRO]]+Tabela1107[[#This Row],[OUTROS]]+Tabela1107[[#This Row],[RJ]]</f>
        <v>38.74</v>
      </c>
      <c r="BK272" s="97">
        <f>+Tabela1107[[#This Row],[PIS]]+Tabela1107[[#This Row],[COFINS]]+Tabela1107[[#This Row],[CONTRIB. FOLHA]]+Tabela1107[[#This Row],[TRIBUTOS S/ LUCRO]]+Tabela1107[[#This Row],[OUTROS]]+Tabela1107[[#This Row],[MG]]</f>
        <v>37.74</v>
      </c>
      <c r="BL272" s="97">
        <f>+Tabela1107[[#This Row],[PIS]]+Tabela1107[[#This Row],[COFINS]]+Tabela1107[[#This Row],[CONTRIB. FOLHA]]+Tabela1107[[#This Row],[TRIBUTOS S/ LUCRO]]+Tabela1107[[#This Row],[OUTROS]]+Tabela1107[[#This Row],[ES]]</f>
        <v>36.74</v>
      </c>
      <c r="BM272" s="97">
        <f>+Tabela1107[[#This Row],[PIS]]+Tabela1107[[#This Row],[COFINS]]+Tabela1107[[#This Row],[CONTRIB. FOLHA]]+Tabela1107[[#This Row],[TRIBUTOS S/ LUCRO]]+Tabela1107[[#This Row],[OUTROS]]+Tabela1107[[#This Row],[GO]]</f>
        <v>36.74</v>
      </c>
      <c r="BN272" s="97">
        <f>+Tabela1107[[#This Row],[PIS]]+Tabela1107[[#This Row],[COFINS]]+Tabela1107[[#This Row],[CONTRIB. FOLHA]]+Tabela1107[[#This Row],[TRIBUTOS S/ LUCRO]]+Tabela1107[[#This Row],[OUTROS]]+Tabela1107[[#This Row],[MT]]</f>
        <v>36.74</v>
      </c>
      <c r="BO272" s="97">
        <f>+Tabela1107[[#This Row],[PIS]]+Tabela1107[[#This Row],[COFINS]]+Tabela1107[[#This Row],[CONTRIB. FOLHA]]+Tabela1107[[#This Row],[TRIBUTOS S/ LUCRO]]+Tabela1107[[#This Row],[OUTROS]]+Tabela1107[[#This Row],[MS]]</f>
        <v>36.74</v>
      </c>
      <c r="BP272" s="97">
        <f>+Tabela1107[[#This Row],[PIS]]+Tabela1107[[#This Row],[COFINS]]+Tabela1107[[#This Row],[CONTRIB. FOLHA]]+Tabela1107[[#This Row],[TRIBUTOS S/ LUCRO]]+Tabela1107[[#This Row],[OUTROS]]+Tabela1107[[#This Row],[DF]]</f>
        <v>36.74</v>
      </c>
      <c r="BQ272" s="97">
        <f>+Tabela1107[[#This Row],[PIS]]+Tabela1107[[#This Row],[COFINS]]+Tabela1107[[#This Row],[CONTRIB. FOLHA]]+Tabela1107[[#This Row],[TRIBUTOS S/ LUCRO]]+Tabela1107[[#This Row],[OUTROS]]+Tabela1107[[#This Row],[BA]]</f>
        <v>36.74</v>
      </c>
      <c r="BR272" s="97">
        <f>+Tabela1107[[#This Row],[PIS]]+Tabela1107[[#This Row],[COFINS]]+Tabela1107[[#This Row],[CONTRIB. FOLHA]]+Tabela1107[[#This Row],[TRIBUTOS S/ LUCRO]]+Tabela1107[[#This Row],[OUTROS]]+Tabela1107[[#This Row],[BA]]</f>
        <v>36.74</v>
      </c>
      <c r="BS272" s="97">
        <f>+Tabela1107[[#This Row],[PIS]]+Tabela1107[[#This Row],[COFINS]]+Tabela1107[[#This Row],[CONTRIB. FOLHA]]+Tabela1107[[#This Row],[TRIBUTOS S/ LUCRO]]+Tabela1107[[#This Row],[OUTROS]]+Tabela1107[[#This Row],[PE]]</f>
        <v>36.74</v>
      </c>
      <c r="BT272" s="97">
        <f>+Tabela1107[[#This Row],[PIS]]+Tabela1107[[#This Row],[COFINS]]+Tabela1107[[#This Row],[CONTRIB. FOLHA]]+Tabela1107[[#This Row],[TRIBUTOS S/ LUCRO]]+Tabela1107[[#This Row],[OUTROS]]+Tabela1107[[#This Row],[PA]]</f>
        <v>36.74</v>
      </c>
      <c r="BU272" s="97">
        <f>+Tabela1107[[#This Row],[PIS]]+Tabela1107[[#This Row],[COFINS]]+Tabela1107[[#This Row],[CONTRIB. FOLHA]]+Tabela1107[[#This Row],[TRIBUTOS S/ LUCRO]]+Tabela1107[[#This Row],[OUTROS]]+Tabela1107[[#This Row],[AM]]</f>
        <v>36.74</v>
      </c>
      <c r="BV272" s="97">
        <f>AVERAGE(Tabela1107[[#This Row],[TOTAL SP]:[TOTAL AM]])</f>
        <v>36.677500000000002</v>
      </c>
      <c r="BW272" s="97"/>
      <c r="BX272" s="97"/>
    </row>
    <row r="273" spans="2:76" x14ac:dyDescent="0.25">
      <c r="B273" s="89">
        <v>3364</v>
      </c>
      <c r="C273" s="91" t="s">
        <v>13183</v>
      </c>
      <c r="D273" s="89"/>
      <c r="E273" s="89">
        <v>20140626</v>
      </c>
      <c r="F273" s="89" t="s">
        <v>21086</v>
      </c>
      <c r="G273" s="89" t="s">
        <v>21087</v>
      </c>
      <c r="H273" s="98" t="s">
        <v>21958</v>
      </c>
      <c r="I273" s="89" t="s">
        <v>21088</v>
      </c>
      <c r="J273" s="89" t="s">
        <v>21953</v>
      </c>
      <c r="K273" s="89"/>
      <c r="L273" s="89" t="s">
        <v>2655</v>
      </c>
      <c r="M273" s="89" t="s">
        <v>4496</v>
      </c>
      <c r="N273" s="89" t="s">
        <v>4496</v>
      </c>
      <c r="O273" s="89" t="s">
        <v>4496</v>
      </c>
      <c r="P273" s="89" t="s">
        <v>4496</v>
      </c>
      <c r="Q273" s="89"/>
      <c r="R273" s="89" t="s">
        <v>151</v>
      </c>
      <c r="S273" s="89" t="s">
        <v>21666</v>
      </c>
      <c r="T273" s="89" t="s">
        <v>21667</v>
      </c>
      <c r="U273" s="89" t="str">
        <f>TRIM('Carga Tributária doenças Po (2'!$L273)</f>
        <v>DIPIRONA SODICA</v>
      </c>
      <c r="V273" s="89">
        <f>SUMIFS('Tabela Federal'!$E$4:$E$2069,'Tabela Federal'!$D$4:$D$2069,'Carga Tributária doenças Po (2'!$L273)</f>
        <v>1</v>
      </c>
      <c r="W273" s="89">
        <f>SUMIFS('Tabela Federal'!$E$4:$E$2069,'Tabela Federal'!$D$4:$D$2069,'Carga Tributária doenças Po (2'!$M273)</f>
        <v>0</v>
      </c>
      <c r="X273" s="89">
        <f>SUMIFS('Tabela Federal'!$E$4:$E$2069,'Tabela Federal'!$D$4:$D$2069,'Carga Tributária doenças Po (2'!$N273)</f>
        <v>0</v>
      </c>
      <c r="Y273" s="89">
        <f>SUMIFS('Tabela Federal'!$E$4:$E$2069,'Tabela Federal'!$D$4:$D$2069,'Carga Tributária doenças Po (2'!$O273)</f>
        <v>0</v>
      </c>
      <c r="Z273" s="92" t="str">
        <f>VLOOKUP('Carga Tributária doenças Po (2'!$AD273,'Carga Tributária doenças Po (2'!$CA$12:$CC$16,2,0)</f>
        <v>-</v>
      </c>
      <c r="AA273" s="89" t="s">
        <v>7</v>
      </c>
      <c r="AB273" s="89" t="s">
        <v>21730</v>
      </c>
      <c r="AC273" s="89" t="s">
        <v>21740</v>
      </c>
      <c r="AD273" s="93" t="s">
        <v>19523</v>
      </c>
      <c r="AE273" s="92" t="s">
        <v>4</v>
      </c>
      <c r="AF273" s="92" t="s">
        <v>3</v>
      </c>
      <c r="AG273" s="94">
        <v>4819671</v>
      </c>
      <c r="AH273" s="95">
        <v>6081977</v>
      </c>
      <c r="AI273" s="95">
        <v>13823748.720000001</v>
      </c>
      <c r="AJ273" s="89" t="s">
        <v>5</v>
      </c>
      <c r="AK273" s="89">
        <f>IF('Carga Tributária doenças Po (2'!$Z273="+",0,SUMIFS(PISCOFINS!$I$3:$I$10518,PISCOFINS!$C$3:$C$10518,'Carga Tributária doenças Po (2'!$C273))</f>
        <v>2.1</v>
      </c>
      <c r="AL273" s="89">
        <f>IF('Carga Tributária doenças Po (2'!$Z273="+",0,SUMIFS(PISCOFINS!$H$3:$H$10518,PISCOFINS!$C$3:$C$10518,'Carga Tributária doenças Po (2'!$C273))</f>
        <v>9.9</v>
      </c>
      <c r="AM273" s="95">
        <v>3.27</v>
      </c>
      <c r="AN273" s="95">
        <v>3.12</v>
      </c>
      <c r="AO273" s="95">
        <v>1.35</v>
      </c>
      <c r="AP273" s="96">
        <v>18</v>
      </c>
      <c r="AQ273" s="96">
        <v>12</v>
      </c>
      <c r="AR273" s="96">
        <v>17</v>
      </c>
      <c r="AS273" s="97">
        <v>17</v>
      </c>
      <c r="AT273" s="97">
        <v>19</v>
      </c>
      <c r="AU273" s="97">
        <v>18</v>
      </c>
      <c r="AV273" s="97">
        <v>17</v>
      </c>
      <c r="AW273" s="97">
        <v>17</v>
      </c>
      <c r="AX273" s="97">
        <v>17</v>
      </c>
      <c r="AY273" s="97">
        <v>17</v>
      </c>
      <c r="AZ273" s="97">
        <v>17</v>
      </c>
      <c r="BA273" s="97">
        <v>17</v>
      </c>
      <c r="BB273" s="97">
        <v>17</v>
      </c>
      <c r="BC273" s="97">
        <v>17</v>
      </c>
      <c r="BD273" s="97">
        <v>17</v>
      </c>
      <c r="BE273" s="97">
        <v>17</v>
      </c>
      <c r="BF273" s="97">
        <f>+Tabela1107[[#This Row],[PIS]]+Tabela1107[[#This Row],[COFINS]]+Tabela1107[[#This Row],[CONTRIB. FOLHA]]+Tabela1107[[#This Row],[TRIBUTOS S/ LUCRO]]+Tabela1107[[#This Row],[OUTROS]]+Tabela1107[[#This Row],[SP]]</f>
        <v>37.74</v>
      </c>
      <c r="BG273" s="97">
        <f>+Tabela1107[[#This Row],[PIS]]+Tabela1107[[#This Row],[COFINS]]+Tabela1107[[#This Row],[CONTRIB. FOLHA]]+Tabela1107[[#This Row],[TRIBUTOS S/ LUCRO]]+Tabela1107[[#This Row],[OUTROS]]+Tabela1107[[#This Row],[PR]]</f>
        <v>31.740000000000002</v>
      </c>
      <c r="BH273" s="97">
        <f>+Tabela1107[[#This Row],[PIS]]+Tabela1107[[#This Row],[COFINS]]+Tabela1107[[#This Row],[CONTRIB. FOLHA]]+Tabela1107[[#This Row],[TRIBUTOS S/ LUCRO]]+Tabela1107[[#This Row],[OUTROS]]+Tabela1107[[#This Row],[SC]]</f>
        <v>36.74</v>
      </c>
      <c r="BI273" s="97">
        <f>+Tabela1107[[#This Row],[PIS]]+Tabela1107[[#This Row],[COFINS]]+Tabela1107[[#This Row],[CONTRIB. FOLHA]]+Tabela1107[[#This Row],[TRIBUTOS S/ LUCRO]]+Tabela1107[[#This Row],[OUTROS]]+Tabela1107[[#This Row],[RS]]</f>
        <v>36.74</v>
      </c>
      <c r="BJ273" s="97">
        <f>+Tabela1107[[#This Row],[PIS]]+Tabela1107[[#This Row],[COFINS]]+Tabela1107[[#This Row],[CONTRIB. FOLHA]]+Tabela1107[[#This Row],[TRIBUTOS S/ LUCRO]]+Tabela1107[[#This Row],[OUTROS]]+Tabela1107[[#This Row],[RJ]]</f>
        <v>38.74</v>
      </c>
      <c r="BK273" s="97">
        <f>+Tabela1107[[#This Row],[PIS]]+Tabela1107[[#This Row],[COFINS]]+Tabela1107[[#This Row],[CONTRIB. FOLHA]]+Tabela1107[[#This Row],[TRIBUTOS S/ LUCRO]]+Tabela1107[[#This Row],[OUTROS]]+Tabela1107[[#This Row],[MG]]</f>
        <v>37.74</v>
      </c>
      <c r="BL273" s="97">
        <f>+Tabela1107[[#This Row],[PIS]]+Tabela1107[[#This Row],[COFINS]]+Tabela1107[[#This Row],[CONTRIB. FOLHA]]+Tabela1107[[#This Row],[TRIBUTOS S/ LUCRO]]+Tabela1107[[#This Row],[OUTROS]]+Tabela1107[[#This Row],[ES]]</f>
        <v>36.74</v>
      </c>
      <c r="BM273" s="97">
        <f>+Tabela1107[[#This Row],[PIS]]+Tabela1107[[#This Row],[COFINS]]+Tabela1107[[#This Row],[CONTRIB. FOLHA]]+Tabela1107[[#This Row],[TRIBUTOS S/ LUCRO]]+Tabela1107[[#This Row],[OUTROS]]+Tabela1107[[#This Row],[GO]]</f>
        <v>36.74</v>
      </c>
      <c r="BN273" s="97">
        <f>+Tabela1107[[#This Row],[PIS]]+Tabela1107[[#This Row],[COFINS]]+Tabela1107[[#This Row],[CONTRIB. FOLHA]]+Tabela1107[[#This Row],[TRIBUTOS S/ LUCRO]]+Tabela1107[[#This Row],[OUTROS]]+Tabela1107[[#This Row],[MT]]</f>
        <v>36.74</v>
      </c>
      <c r="BO273" s="97">
        <f>+Tabela1107[[#This Row],[PIS]]+Tabela1107[[#This Row],[COFINS]]+Tabela1107[[#This Row],[CONTRIB. FOLHA]]+Tabela1107[[#This Row],[TRIBUTOS S/ LUCRO]]+Tabela1107[[#This Row],[OUTROS]]+Tabela1107[[#This Row],[MS]]</f>
        <v>36.74</v>
      </c>
      <c r="BP273" s="97">
        <f>+Tabela1107[[#This Row],[PIS]]+Tabela1107[[#This Row],[COFINS]]+Tabela1107[[#This Row],[CONTRIB. FOLHA]]+Tabela1107[[#This Row],[TRIBUTOS S/ LUCRO]]+Tabela1107[[#This Row],[OUTROS]]+Tabela1107[[#This Row],[DF]]</f>
        <v>36.74</v>
      </c>
      <c r="BQ273" s="97">
        <f>+Tabela1107[[#This Row],[PIS]]+Tabela1107[[#This Row],[COFINS]]+Tabela1107[[#This Row],[CONTRIB. FOLHA]]+Tabela1107[[#This Row],[TRIBUTOS S/ LUCRO]]+Tabela1107[[#This Row],[OUTROS]]+Tabela1107[[#This Row],[BA]]</f>
        <v>36.74</v>
      </c>
      <c r="BR273" s="97">
        <f>+Tabela1107[[#This Row],[PIS]]+Tabela1107[[#This Row],[COFINS]]+Tabela1107[[#This Row],[CONTRIB. FOLHA]]+Tabela1107[[#This Row],[TRIBUTOS S/ LUCRO]]+Tabela1107[[#This Row],[OUTROS]]+Tabela1107[[#This Row],[BA]]</f>
        <v>36.74</v>
      </c>
      <c r="BS273" s="97">
        <f>+Tabela1107[[#This Row],[PIS]]+Tabela1107[[#This Row],[COFINS]]+Tabela1107[[#This Row],[CONTRIB. FOLHA]]+Tabela1107[[#This Row],[TRIBUTOS S/ LUCRO]]+Tabela1107[[#This Row],[OUTROS]]+Tabela1107[[#This Row],[PE]]</f>
        <v>36.74</v>
      </c>
      <c r="BT273" s="97">
        <f>+Tabela1107[[#This Row],[PIS]]+Tabela1107[[#This Row],[COFINS]]+Tabela1107[[#This Row],[CONTRIB. FOLHA]]+Tabela1107[[#This Row],[TRIBUTOS S/ LUCRO]]+Tabela1107[[#This Row],[OUTROS]]+Tabela1107[[#This Row],[PA]]</f>
        <v>36.74</v>
      </c>
      <c r="BU273" s="97">
        <f>+Tabela1107[[#This Row],[PIS]]+Tabela1107[[#This Row],[COFINS]]+Tabela1107[[#This Row],[CONTRIB. FOLHA]]+Tabela1107[[#This Row],[TRIBUTOS S/ LUCRO]]+Tabela1107[[#This Row],[OUTROS]]+Tabela1107[[#This Row],[AM]]</f>
        <v>36.74</v>
      </c>
      <c r="BV273" s="97">
        <f>AVERAGE(Tabela1107[[#This Row],[TOTAL SP]:[TOTAL AM]])</f>
        <v>36.677500000000002</v>
      </c>
      <c r="BW273" s="97"/>
      <c r="BX273" s="97"/>
    </row>
    <row r="274" spans="2:76" x14ac:dyDescent="0.25">
      <c r="B274" s="89">
        <v>3364</v>
      </c>
      <c r="C274" s="91" t="s">
        <v>13183</v>
      </c>
      <c r="D274" s="89"/>
      <c r="E274" s="89">
        <v>20140626</v>
      </c>
      <c r="F274" s="89" t="s">
        <v>21086</v>
      </c>
      <c r="G274" s="89" t="s">
        <v>21087</v>
      </c>
      <c r="H274" s="98" t="s">
        <v>21958</v>
      </c>
      <c r="I274" s="89" t="s">
        <v>21088</v>
      </c>
      <c r="J274" s="89" t="s">
        <v>21957</v>
      </c>
      <c r="K274" s="89"/>
      <c r="L274" s="89" t="s">
        <v>2655</v>
      </c>
      <c r="M274" s="89" t="s">
        <v>4496</v>
      </c>
      <c r="N274" s="89" t="s">
        <v>4496</v>
      </c>
      <c r="O274" s="89" t="s">
        <v>4496</v>
      </c>
      <c r="P274" s="89" t="s">
        <v>4496</v>
      </c>
      <c r="Q274" s="89"/>
      <c r="R274" s="89" t="s">
        <v>151</v>
      </c>
      <c r="S274" s="89" t="s">
        <v>21666</v>
      </c>
      <c r="T274" s="89" t="s">
        <v>21667</v>
      </c>
      <c r="U274" s="89" t="str">
        <f>TRIM('Carga Tributária doenças Po (2'!$L274)</f>
        <v>DIPIRONA SODICA</v>
      </c>
      <c r="V274" s="89">
        <f>SUMIFS('Tabela Federal'!$E$4:$E$2069,'Tabela Federal'!$D$4:$D$2069,'Carga Tributária doenças Po (2'!$L274)</f>
        <v>1</v>
      </c>
      <c r="W274" s="89">
        <f>SUMIFS('Tabela Federal'!$E$4:$E$2069,'Tabela Federal'!$D$4:$D$2069,'Carga Tributária doenças Po (2'!$M274)</f>
        <v>0</v>
      </c>
      <c r="X274" s="89">
        <f>SUMIFS('Tabela Federal'!$E$4:$E$2069,'Tabela Federal'!$D$4:$D$2069,'Carga Tributária doenças Po (2'!$N274)</f>
        <v>0</v>
      </c>
      <c r="Y274" s="89">
        <f>SUMIFS('Tabela Federal'!$E$4:$E$2069,'Tabela Federal'!$D$4:$D$2069,'Carga Tributária doenças Po (2'!$O274)</f>
        <v>0</v>
      </c>
      <c r="Z274" s="92" t="str">
        <f>VLOOKUP('Carga Tributária doenças Po (2'!$AD274,'Carga Tributária doenças Po (2'!$CA$12:$CC$16,2,0)</f>
        <v>-</v>
      </c>
      <c r="AA274" s="89" t="s">
        <v>7</v>
      </c>
      <c r="AB274" s="89" t="s">
        <v>21730</v>
      </c>
      <c r="AC274" s="89" t="s">
        <v>21740</v>
      </c>
      <c r="AD274" s="93" t="s">
        <v>19523</v>
      </c>
      <c r="AE274" s="92" t="s">
        <v>4</v>
      </c>
      <c r="AF274" s="92" t="s">
        <v>3</v>
      </c>
      <c r="AG274" s="94">
        <v>4819671</v>
      </c>
      <c r="AH274" s="95">
        <v>6081977</v>
      </c>
      <c r="AI274" s="95">
        <v>13823748.720000001</v>
      </c>
      <c r="AJ274" s="89" t="s">
        <v>594</v>
      </c>
      <c r="AK274" s="89">
        <f>IF('Carga Tributária doenças Po (2'!$Z274="+",0,SUMIFS(PISCOFINS!$I$3:$I$10518,PISCOFINS!$C$3:$C$10518,'Carga Tributária doenças Po (2'!$C274))</f>
        <v>2.1</v>
      </c>
      <c r="AL274" s="89">
        <f>IF('Carga Tributária doenças Po (2'!$Z274="+",0,SUMIFS(PISCOFINS!$H$3:$H$10518,PISCOFINS!$C$3:$C$10518,'Carga Tributária doenças Po (2'!$C274))</f>
        <v>9.9</v>
      </c>
      <c r="AM274" s="95">
        <v>3.27</v>
      </c>
      <c r="AN274" s="95">
        <v>3.12</v>
      </c>
      <c r="AO274" s="95">
        <v>1.35</v>
      </c>
      <c r="AP274" s="96">
        <v>18</v>
      </c>
      <c r="AQ274" s="96">
        <v>12</v>
      </c>
      <c r="AR274" s="96">
        <v>17</v>
      </c>
      <c r="AS274" s="97">
        <v>17</v>
      </c>
      <c r="AT274" s="97">
        <v>19</v>
      </c>
      <c r="AU274" s="97">
        <v>18</v>
      </c>
      <c r="AV274" s="97">
        <v>17</v>
      </c>
      <c r="AW274" s="97">
        <v>17</v>
      </c>
      <c r="AX274" s="97">
        <v>17</v>
      </c>
      <c r="AY274" s="97">
        <v>17</v>
      </c>
      <c r="AZ274" s="97">
        <v>17</v>
      </c>
      <c r="BA274" s="97">
        <v>17</v>
      </c>
      <c r="BB274" s="97">
        <v>17</v>
      </c>
      <c r="BC274" s="97">
        <v>17</v>
      </c>
      <c r="BD274" s="97">
        <v>17</v>
      </c>
      <c r="BE274" s="97">
        <v>17</v>
      </c>
      <c r="BF274" s="97">
        <f>+Tabela1107[[#This Row],[PIS]]+Tabela1107[[#This Row],[COFINS]]+Tabela1107[[#This Row],[CONTRIB. FOLHA]]+Tabela1107[[#This Row],[TRIBUTOS S/ LUCRO]]+Tabela1107[[#This Row],[OUTROS]]+Tabela1107[[#This Row],[SP]]</f>
        <v>37.74</v>
      </c>
      <c r="BG274" s="97">
        <f>+Tabela1107[[#This Row],[PIS]]+Tabela1107[[#This Row],[COFINS]]+Tabela1107[[#This Row],[CONTRIB. FOLHA]]+Tabela1107[[#This Row],[TRIBUTOS S/ LUCRO]]+Tabela1107[[#This Row],[OUTROS]]+Tabela1107[[#This Row],[PR]]</f>
        <v>31.740000000000002</v>
      </c>
      <c r="BH274" s="97">
        <f>+Tabela1107[[#This Row],[PIS]]+Tabela1107[[#This Row],[COFINS]]+Tabela1107[[#This Row],[CONTRIB. FOLHA]]+Tabela1107[[#This Row],[TRIBUTOS S/ LUCRO]]+Tabela1107[[#This Row],[OUTROS]]+Tabela1107[[#This Row],[SC]]</f>
        <v>36.74</v>
      </c>
      <c r="BI274" s="97">
        <f>+Tabela1107[[#This Row],[PIS]]+Tabela1107[[#This Row],[COFINS]]+Tabela1107[[#This Row],[CONTRIB. FOLHA]]+Tabela1107[[#This Row],[TRIBUTOS S/ LUCRO]]+Tabela1107[[#This Row],[OUTROS]]+Tabela1107[[#This Row],[RS]]</f>
        <v>36.74</v>
      </c>
      <c r="BJ274" s="97">
        <f>+Tabela1107[[#This Row],[PIS]]+Tabela1107[[#This Row],[COFINS]]+Tabela1107[[#This Row],[CONTRIB. FOLHA]]+Tabela1107[[#This Row],[TRIBUTOS S/ LUCRO]]+Tabela1107[[#This Row],[OUTROS]]+Tabela1107[[#This Row],[RJ]]</f>
        <v>38.74</v>
      </c>
      <c r="BK274" s="97">
        <f>+Tabela1107[[#This Row],[PIS]]+Tabela1107[[#This Row],[COFINS]]+Tabela1107[[#This Row],[CONTRIB. FOLHA]]+Tabela1107[[#This Row],[TRIBUTOS S/ LUCRO]]+Tabela1107[[#This Row],[OUTROS]]+Tabela1107[[#This Row],[MG]]</f>
        <v>37.74</v>
      </c>
      <c r="BL274" s="97">
        <f>+Tabela1107[[#This Row],[PIS]]+Tabela1107[[#This Row],[COFINS]]+Tabela1107[[#This Row],[CONTRIB. FOLHA]]+Tabela1107[[#This Row],[TRIBUTOS S/ LUCRO]]+Tabela1107[[#This Row],[OUTROS]]+Tabela1107[[#This Row],[ES]]</f>
        <v>36.74</v>
      </c>
      <c r="BM274" s="97">
        <f>+Tabela1107[[#This Row],[PIS]]+Tabela1107[[#This Row],[COFINS]]+Tabela1107[[#This Row],[CONTRIB. FOLHA]]+Tabela1107[[#This Row],[TRIBUTOS S/ LUCRO]]+Tabela1107[[#This Row],[OUTROS]]+Tabela1107[[#This Row],[GO]]</f>
        <v>36.74</v>
      </c>
      <c r="BN274" s="97">
        <f>+Tabela1107[[#This Row],[PIS]]+Tabela1107[[#This Row],[COFINS]]+Tabela1107[[#This Row],[CONTRIB. FOLHA]]+Tabela1107[[#This Row],[TRIBUTOS S/ LUCRO]]+Tabela1107[[#This Row],[OUTROS]]+Tabela1107[[#This Row],[MT]]</f>
        <v>36.74</v>
      </c>
      <c r="BO274" s="97">
        <f>+Tabela1107[[#This Row],[PIS]]+Tabela1107[[#This Row],[COFINS]]+Tabela1107[[#This Row],[CONTRIB. FOLHA]]+Tabela1107[[#This Row],[TRIBUTOS S/ LUCRO]]+Tabela1107[[#This Row],[OUTROS]]+Tabela1107[[#This Row],[MS]]</f>
        <v>36.74</v>
      </c>
      <c r="BP274" s="97">
        <f>+Tabela1107[[#This Row],[PIS]]+Tabela1107[[#This Row],[COFINS]]+Tabela1107[[#This Row],[CONTRIB. FOLHA]]+Tabela1107[[#This Row],[TRIBUTOS S/ LUCRO]]+Tabela1107[[#This Row],[OUTROS]]+Tabela1107[[#This Row],[DF]]</f>
        <v>36.74</v>
      </c>
      <c r="BQ274" s="97">
        <f>+Tabela1107[[#This Row],[PIS]]+Tabela1107[[#This Row],[COFINS]]+Tabela1107[[#This Row],[CONTRIB. FOLHA]]+Tabela1107[[#This Row],[TRIBUTOS S/ LUCRO]]+Tabela1107[[#This Row],[OUTROS]]+Tabela1107[[#This Row],[BA]]</f>
        <v>36.74</v>
      </c>
      <c r="BR274" s="97">
        <f>+Tabela1107[[#This Row],[PIS]]+Tabela1107[[#This Row],[COFINS]]+Tabela1107[[#This Row],[CONTRIB. FOLHA]]+Tabela1107[[#This Row],[TRIBUTOS S/ LUCRO]]+Tabela1107[[#This Row],[OUTROS]]+Tabela1107[[#This Row],[BA]]</f>
        <v>36.74</v>
      </c>
      <c r="BS274" s="97">
        <f>+Tabela1107[[#This Row],[PIS]]+Tabela1107[[#This Row],[COFINS]]+Tabela1107[[#This Row],[CONTRIB. FOLHA]]+Tabela1107[[#This Row],[TRIBUTOS S/ LUCRO]]+Tabela1107[[#This Row],[OUTROS]]+Tabela1107[[#This Row],[PE]]</f>
        <v>36.74</v>
      </c>
      <c r="BT274" s="97">
        <f>+Tabela1107[[#This Row],[PIS]]+Tabela1107[[#This Row],[COFINS]]+Tabela1107[[#This Row],[CONTRIB. FOLHA]]+Tabela1107[[#This Row],[TRIBUTOS S/ LUCRO]]+Tabela1107[[#This Row],[OUTROS]]+Tabela1107[[#This Row],[PA]]</f>
        <v>36.74</v>
      </c>
      <c r="BU274" s="97">
        <f>+Tabela1107[[#This Row],[PIS]]+Tabela1107[[#This Row],[COFINS]]+Tabela1107[[#This Row],[CONTRIB. FOLHA]]+Tabela1107[[#This Row],[TRIBUTOS S/ LUCRO]]+Tabela1107[[#This Row],[OUTROS]]+Tabela1107[[#This Row],[AM]]</f>
        <v>36.74</v>
      </c>
      <c r="BV274" s="97">
        <f>AVERAGE(Tabela1107[[#This Row],[TOTAL SP]:[TOTAL AM]])</f>
        <v>36.677500000000002</v>
      </c>
      <c r="BW274" s="97"/>
      <c r="BX274" s="97"/>
    </row>
    <row r="275" spans="2:76" x14ac:dyDescent="0.25">
      <c r="B275" s="89">
        <v>25004</v>
      </c>
      <c r="C275" s="91" t="s">
        <v>13073</v>
      </c>
      <c r="D275" s="89"/>
      <c r="E275" s="89">
        <v>20140626</v>
      </c>
      <c r="F275" s="89" t="s">
        <v>20369</v>
      </c>
      <c r="G275" s="89" t="s">
        <v>20370</v>
      </c>
      <c r="H275" s="89" t="s">
        <v>20371</v>
      </c>
      <c r="I275" s="89" t="s">
        <v>20372</v>
      </c>
      <c r="J275" s="89" t="s">
        <v>518</v>
      </c>
      <c r="K275" s="89"/>
      <c r="L275" s="89" t="s">
        <v>2442</v>
      </c>
      <c r="M275" s="89" t="s">
        <v>4496</v>
      </c>
      <c r="N275" s="89" t="s">
        <v>4496</v>
      </c>
      <c r="O275" s="89" t="s">
        <v>4496</v>
      </c>
      <c r="P275" s="89" t="s">
        <v>4496</v>
      </c>
      <c r="Q275" s="89"/>
      <c r="R275" s="89" t="s">
        <v>466</v>
      </c>
      <c r="S275" s="89" t="s">
        <v>21576</v>
      </c>
      <c r="T275" s="89" t="s">
        <v>21577</v>
      </c>
      <c r="U275" s="89" t="str">
        <f>TRIM('Carga Tributária doenças Po (2'!$L275)</f>
        <v>DEXAMETASONA</v>
      </c>
      <c r="V275" s="89">
        <f>SUMIFS('Tabela Federal'!$E$4:$E$2069,'Tabela Federal'!$D$4:$D$2069,'Carga Tributária doenças Po (2'!$L275)</f>
        <v>10</v>
      </c>
      <c r="W275" s="89">
        <f>SUMIFS('Tabela Federal'!$E$4:$E$2069,'Tabela Federal'!$D$4:$D$2069,'Carga Tributária doenças Po (2'!$M275)</f>
        <v>0</v>
      </c>
      <c r="X275" s="89">
        <f>SUMIFS('Tabela Federal'!$E$4:$E$2069,'Tabela Federal'!$D$4:$D$2069,'Carga Tributária doenças Po (2'!$N275)</f>
        <v>0</v>
      </c>
      <c r="Y275" s="89">
        <f>SUMIFS('Tabela Federal'!$E$4:$E$2069,'Tabela Federal'!$D$4:$D$2069,'Carga Tributária doenças Po (2'!$O275)</f>
        <v>0</v>
      </c>
      <c r="Z275" s="92" t="str">
        <f>VLOOKUP('Carga Tributária doenças Po (2'!$AD275,'Carga Tributária doenças Po (2'!$CA$12:$CC$16,2,0)</f>
        <v>+</v>
      </c>
      <c r="AA275" s="89" t="s">
        <v>519</v>
      </c>
      <c r="AB275" s="89" t="s">
        <v>21770</v>
      </c>
      <c r="AC275" s="89" t="s">
        <v>21721</v>
      </c>
      <c r="AD275" s="93" t="s">
        <v>21722</v>
      </c>
      <c r="AE275" s="92" t="s">
        <v>2</v>
      </c>
      <c r="AF275" s="92" t="s">
        <v>23</v>
      </c>
      <c r="AG275" s="94">
        <v>1381370</v>
      </c>
      <c r="AH275" s="95">
        <v>2896739</v>
      </c>
      <c r="AI275" s="95">
        <v>6614474.4500000002</v>
      </c>
      <c r="AJ275" s="89" t="s">
        <v>525</v>
      </c>
      <c r="AK275" s="89">
        <f>IF('Carga Tributária doenças Po (2'!$Z275="+",0,SUMIFS(PISCOFINS!$I$3:$I$10518,PISCOFINS!$C$3:$C$10518,'Carga Tributária doenças Po (2'!$C275))</f>
        <v>0</v>
      </c>
      <c r="AL275" s="89">
        <f>IF('Carga Tributária doenças Po (2'!$Z275="+",0,SUMIFS(PISCOFINS!$H$3:$H$10518,PISCOFINS!$C$3:$C$10518,'Carga Tributária doenças Po (2'!$C275))</f>
        <v>0</v>
      </c>
      <c r="AM275" s="95">
        <v>3.27</v>
      </c>
      <c r="AN275" s="95">
        <v>3.12</v>
      </c>
      <c r="AO275" s="95">
        <v>1.35</v>
      </c>
      <c r="AP275" s="96">
        <v>18</v>
      </c>
      <c r="AQ275" s="96">
        <v>12</v>
      </c>
      <c r="AR275" s="96">
        <v>17</v>
      </c>
      <c r="AS275" s="97">
        <v>17</v>
      </c>
      <c r="AT275" s="97">
        <v>19</v>
      </c>
      <c r="AU275" s="97">
        <v>18</v>
      </c>
      <c r="AV275" s="97">
        <v>17</v>
      </c>
      <c r="AW275" s="97">
        <v>17</v>
      </c>
      <c r="AX275" s="97">
        <v>17</v>
      </c>
      <c r="AY275" s="97">
        <v>17</v>
      </c>
      <c r="AZ275" s="97">
        <v>17</v>
      </c>
      <c r="BA275" s="97">
        <v>17</v>
      </c>
      <c r="BB275" s="97">
        <v>17</v>
      </c>
      <c r="BC275" s="97">
        <v>17</v>
      </c>
      <c r="BD275" s="97">
        <v>17</v>
      </c>
      <c r="BE275" s="97">
        <v>17</v>
      </c>
      <c r="BF275" s="97">
        <f>+Tabela1107[[#This Row],[PIS]]+Tabela1107[[#This Row],[COFINS]]+Tabela1107[[#This Row],[CONTRIB. FOLHA]]+Tabela1107[[#This Row],[TRIBUTOS S/ LUCRO]]+Tabela1107[[#This Row],[OUTROS]]+Tabela1107[[#This Row],[SP]]</f>
        <v>25.740000000000002</v>
      </c>
      <c r="BG275" s="97">
        <f>+Tabela1107[[#This Row],[PIS]]+Tabela1107[[#This Row],[COFINS]]+Tabela1107[[#This Row],[CONTRIB. FOLHA]]+Tabela1107[[#This Row],[TRIBUTOS S/ LUCRO]]+Tabela1107[[#This Row],[OUTROS]]+Tabela1107[[#This Row],[PR]]</f>
        <v>19.740000000000002</v>
      </c>
      <c r="BH275" s="97">
        <f>+Tabela1107[[#This Row],[PIS]]+Tabela1107[[#This Row],[COFINS]]+Tabela1107[[#This Row],[CONTRIB. FOLHA]]+Tabela1107[[#This Row],[TRIBUTOS S/ LUCRO]]+Tabela1107[[#This Row],[OUTROS]]+Tabela1107[[#This Row],[SC]]</f>
        <v>24.740000000000002</v>
      </c>
      <c r="BI275" s="97">
        <f>+Tabela1107[[#This Row],[PIS]]+Tabela1107[[#This Row],[COFINS]]+Tabela1107[[#This Row],[CONTRIB. FOLHA]]+Tabela1107[[#This Row],[TRIBUTOS S/ LUCRO]]+Tabela1107[[#This Row],[OUTROS]]+Tabela1107[[#This Row],[RS]]</f>
        <v>24.740000000000002</v>
      </c>
      <c r="BJ275" s="97">
        <f>+Tabela1107[[#This Row],[PIS]]+Tabela1107[[#This Row],[COFINS]]+Tabela1107[[#This Row],[CONTRIB. FOLHA]]+Tabela1107[[#This Row],[TRIBUTOS S/ LUCRO]]+Tabela1107[[#This Row],[OUTROS]]+Tabela1107[[#This Row],[RJ]]</f>
        <v>26.740000000000002</v>
      </c>
      <c r="BK275" s="97">
        <f>+Tabela1107[[#This Row],[PIS]]+Tabela1107[[#This Row],[COFINS]]+Tabela1107[[#This Row],[CONTRIB. FOLHA]]+Tabela1107[[#This Row],[TRIBUTOS S/ LUCRO]]+Tabela1107[[#This Row],[OUTROS]]+Tabela1107[[#This Row],[MG]]</f>
        <v>25.740000000000002</v>
      </c>
      <c r="BL275" s="97">
        <f>+Tabela1107[[#This Row],[PIS]]+Tabela1107[[#This Row],[COFINS]]+Tabela1107[[#This Row],[CONTRIB. FOLHA]]+Tabela1107[[#This Row],[TRIBUTOS S/ LUCRO]]+Tabela1107[[#This Row],[OUTROS]]+Tabela1107[[#This Row],[ES]]</f>
        <v>24.740000000000002</v>
      </c>
      <c r="BM275" s="97">
        <f>+Tabela1107[[#This Row],[PIS]]+Tabela1107[[#This Row],[COFINS]]+Tabela1107[[#This Row],[CONTRIB. FOLHA]]+Tabela1107[[#This Row],[TRIBUTOS S/ LUCRO]]+Tabela1107[[#This Row],[OUTROS]]+Tabela1107[[#This Row],[GO]]</f>
        <v>24.740000000000002</v>
      </c>
      <c r="BN275" s="97">
        <f>+Tabela1107[[#This Row],[PIS]]+Tabela1107[[#This Row],[COFINS]]+Tabela1107[[#This Row],[CONTRIB. FOLHA]]+Tabela1107[[#This Row],[TRIBUTOS S/ LUCRO]]+Tabela1107[[#This Row],[OUTROS]]+Tabela1107[[#This Row],[MT]]</f>
        <v>24.740000000000002</v>
      </c>
      <c r="BO275" s="97">
        <f>+Tabela1107[[#This Row],[PIS]]+Tabela1107[[#This Row],[COFINS]]+Tabela1107[[#This Row],[CONTRIB. FOLHA]]+Tabela1107[[#This Row],[TRIBUTOS S/ LUCRO]]+Tabela1107[[#This Row],[OUTROS]]+Tabela1107[[#This Row],[MS]]</f>
        <v>24.740000000000002</v>
      </c>
      <c r="BP275" s="97">
        <f>+Tabela1107[[#This Row],[PIS]]+Tabela1107[[#This Row],[COFINS]]+Tabela1107[[#This Row],[CONTRIB. FOLHA]]+Tabela1107[[#This Row],[TRIBUTOS S/ LUCRO]]+Tabela1107[[#This Row],[OUTROS]]+Tabela1107[[#This Row],[DF]]</f>
        <v>24.740000000000002</v>
      </c>
      <c r="BQ275" s="97">
        <f>+Tabela1107[[#This Row],[PIS]]+Tabela1107[[#This Row],[COFINS]]+Tabela1107[[#This Row],[CONTRIB. FOLHA]]+Tabela1107[[#This Row],[TRIBUTOS S/ LUCRO]]+Tabela1107[[#This Row],[OUTROS]]+Tabela1107[[#This Row],[BA]]</f>
        <v>24.740000000000002</v>
      </c>
      <c r="BR275" s="97">
        <f>+Tabela1107[[#This Row],[PIS]]+Tabela1107[[#This Row],[COFINS]]+Tabela1107[[#This Row],[CONTRIB. FOLHA]]+Tabela1107[[#This Row],[TRIBUTOS S/ LUCRO]]+Tabela1107[[#This Row],[OUTROS]]+Tabela1107[[#This Row],[BA]]</f>
        <v>24.740000000000002</v>
      </c>
      <c r="BS275" s="97">
        <f>+Tabela1107[[#This Row],[PIS]]+Tabela1107[[#This Row],[COFINS]]+Tabela1107[[#This Row],[CONTRIB. FOLHA]]+Tabela1107[[#This Row],[TRIBUTOS S/ LUCRO]]+Tabela1107[[#This Row],[OUTROS]]+Tabela1107[[#This Row],[PE]]</f>
        <v>24.740000000000002</v>
      </c>
      <c r="BT275" s="97">
        <f>+Tabela1107[[#This Row],[PIS]]+Tabela1107[[#This Row],[COFINS]]+Tabela1107[[#This Row],[CONTRIB. FOLHA]]+Tabela1107[[#This Row],[TRIBUTOS S/ LUCRO]]+Tabela1107[[#This Row],[OUTROS]]+Tabela1107[[#This Row],[PA]]</f>
        <v>24.740000000000002</v>
      </c>
      <c r="BU275" s="97">
        <f>+Tabela1107[[#This Row],[PIS]]+Tabela1107[[#This Row],[COFINS]]+Tabela1107[[#This Row],[CONTRIB. FOLHA]]+Tabela1107[[#This Row],[TRIBUTOS S/ LUCRO]]+Tabela1107[[#This Row],[OUTROS]]+Tabela1107[[#This Row],[AM]]</f>
        <v>24.740000000000002</v>
      </c>
      <c r="BV275" s="97">
        <f>AVERAGE(Tabela1107[[#This Row],[TOTAL SP]:[TOTAL AM]])</f>
        <v>24.677500000000006</v>
      </c>
      <c r="BW275" s="97"/>
      <c r="BX275" s="97"/>
    </row>
    <row r="276" spans="2:76" x14ac:dyDescent="0.25">
      <c r="B276" s="89">
        <v>25046</v>
      </c>
      <c r="C276" s="91" t="s">
        <v>13071</v>
      </c>
      <c r="D276" s="89"/>
      <c r="E276" s="89">
        <v>20140626</v>
      </c>
      <c r="F276" s="89" t="s">
        <v>20373</v>
      </c>
      <c r="G276" s="89" t="s">
        <v>20374</v>
      </c>
      <c r="H276" s="89" t="s">
        <v>20375</v>
      </c>
      <c r="I276" s="89" t="s">
        <v>20376</v>
      </c>
      <c r="J276" s="89" t="s">
        <v>520</v>
      </c>
      <c r="K276" s="89"/>
      <c r="L276" s="89" t="s">
        <v>4480</v>
      </c>
      <c r="M276" s="89" t="s">
        <v>3170</v>
      </c>
      <c r="N276" s="89" t="s">
        <v>3178</v>
      </c>
      <c r="O276" s="89" t="s">
        <v>4496</v>
      </c>
      <c r="P276" s="89" t="s">
        <v>4496</v>
      </c>
      <c r="Q276" s="89"/>
      <c r="R276" s="89" t="s">
        <v>466</v>
      </c>
      <c r="S276" s="89" t="s">
        <v>21576</v>
      </c>
      <c r="T276" s="89" t="s">
        <v>21577</v>
      </c>
      <c r="U276" s="89" t="str">
        <f>TRIM('Carga Tributária doenças Po (2'!$L276)</f>
        <v>DEXAMETASONAASONA</v>
      </c>
      <c r="V276" s="89">
        <f>SUMIFS('Tabela Federal'!$E$4:$E$2069,'Tabela Federal'!$D$4:$D$2069,'Carga Tributária doenças Po (2'!$L276)</f>
        <v>0</v>
      </c>
      <c r="W276" s="89">
        <f>SUMIFS('Tabela Federal'!$E$4:$E$2069,'Tabela Federal'!$D$4:$D$2069,'Carga Tributária doenças Po (2'!$M276)</f>
        <v>2</v>
      </c>
      <c r="X276" s="89">
        <f>SUMIFS('Tabela Federal'!$E$4:$E$2069,'Tabela Federal'!$D$4:$D$2069,'Carga Tributária doenças Po (2'!$N276)</f>
        <v>0</v>
      </c>
      <c r="Y276" s="89">
        <f>SUMIFS('Tabela Federal'!$E$4:$E$2069,'Tabela Federal'!$D$4:$D$2069,'Carga Tributária doenças Po (2'!$O276)</f>
        <v>0</v>
      </c>
      <c r="Z276" s="92" t="str">
        <f>VLOOKUP('Carga Tributária doenças Po (2'!$AD276,'Carga Tributária doenças Po (2'!$CA$12:$CC$16,2,0)</f>
        <v>+</v>
      </c>
      <c r="AA276" s="89" t="s">
        <v>521</v>
      </c>
      <c r="AB276" s="89" t="s">
        <v>21770</v>
      </c>
      <c r="AC276" s="89" t="s">
        <v>21721</v>
      </c>
      <c r="AD276" s="93" t="s">
        <v>19445</v>
      </c>
      <c r="AE276" s="92" t="s">
        <v>4</v>
      </c>
      <c r="AF276" s="92" t="s">
        <v>23</v>
      </c>
      <c r="AG276" s="94">
        <v>955071</v>
      </c>
      <c r="AH276" s="95">
        <v>4143618</v>
      </c>
      <c r="AI276" s="95">
        <v>9459753.4499999993</v>
      </c>
      <c r="AJ276" s="89" t="s">
        <v>525</v>
      </c>
      <c r="AK276" s="89">
        <f>IF('Carga Tributária doenças Po (2'!$Z276="+",0,SUMIFS(PISCOFINS!$I$3:$I$10518,PISCOFINS!$C$3:$C$10518,'Carga Tributária doenças Po (2'!$C276))</f>
        <v>0</v>
      </c>
      <c r="AL276" s="89">
        <f>IF('Carga Tributária doenças Po (2'!$Z276="+",0,SUMIFS(PISCOFINS!$H$3:$H$10518,PISCOFINS!$C$3:$C$10518,'Carga Tributária doenças Po (2'!$C276))</f>
        <v>0</v>
      </c>
      <c r="AM276" s="95">
        <v>3.27</v>
      </c>
      <c r="AN276" s="95">
        <v>3.12</v>
      </c>
      <c r="AO276" s="95">
        <v>1.35</v>
      </c>
      <c r="AP276" s="96">
        <v>18</v>
      </c>
      <c r="AQ276" s="96">
        <v>12</v>
      </c>
      <c r="AR276" s="96">
        <v>17</v>
      </c>
      <c r="AS276" s="97">
        <v>17</v>
      </c>
      <c r="AT276" s="97">
        <v>19</v>
      </c>
      <c r="AU276" s="97">
        <v>18</v>
      </c>
      <c r="AV276" s="97">
        <v>17</v>
      </c>
      <c r="AW276" s="97">
        <v>17</v>
      </c>
      <c r="AX276" s="97">
        <v>17</v>
      </c>
      <c r="AY276" s="97">
        <v>17</v>
      </c>
      <c r="AZ276" s="97">
        <v>17</v>
      </c>
      <c r="BA276" s="97">
        <v>17</v>
      </c>
      <c r="BB276" s="97">
        <v>17</v>
      </c>
      <c r="BC276" s="97">
        <v>17</v>
      </c>
      <c r="BD276" s="97">
        <v>17</v>
      </c>
      <c r="BE276" s="97">
        <v>17</v>
      </c>
      <c r="BF276" s="97">
        <f>+Tabela1107[[#This Row],[PIS]]+Tabela1107[[#This Row],[COFINS]]+Tabela1107[[#This Row],[CONTRIB. FOLHA]]+Tabela1107[[#This Row],[TRIBUTOS S/ LUCRO]]+Tabela1107[[#This Row],[OUTROS]]+Tabela1107[[#This Row],[SP]]</f>
        <v>25.740000000000002</v>
      </c>
      <c r="BG276" s="97">
        <f>+Tabela1107[[#This Row],[PIS]]+Tabela1107[[#This Row],[COFINS]]+Tabela1107[[#This Row],[CONTRIB. FOLHA]]+Tabela1107[[#This Row],[TRIBUTOS S/ LUCRO]]+Tabela1107[[#This Row],[OUTROS]]+Tabela1107[[#This Row],[PR]]</f>
        <v>19.740000000000002</v>
      </c>
      <c r="BH276" s="97">
        <f>+Tabela1107[[#This Row],[PIS]]+Tabela1107[[#This Row],[COFINS]]+Tabela1107[[#This Row],[CONTRIB. FOLHA]]+Tabela1107[[#This Row],[TRIBUTOS S/ LUCRO]]+Tabela1107[[#This Row],[OUTROS]]+Tabela1107[[#This Row],[SC]]</f>
        <v>24.740000000000002</v>
      </c>
      <c r="BI276" s="97">
        <f>+Tabela1107[[#This Row],[PIS]]+Tabela1107[[#This Row],[COFINS]]+Tabela1107[[#This Row],[CONTRIB. FOLHA]]+Tabela1107[[#This Row],[TRIBUTOS S/ LUCRO]]+Tabela1107[[#This Row],[OUTROS]]+Tabela1107[[#This Row],[RS]]</f>
        <v>24.740000000000002</v>
      </c>
      <c r="BJ276" s="97">
        <f>+Tabela1107[[#This Row],[PIS]]+Tabela1107[[#This Row],[COFINS]]+Tabela1107[[#This Row],[CONTRIB. FOLHA]]+Tabela1107[[#This Row],[TRIBUTOS S/ LUCRO]]+Tabela1107[[#This Row],[OUTROS]]+Tabela1107[[#This Row],[RJ]]</f>
        <v>26.740000000000002</v>
      </c>
      <c r="BK276" s="97">
        <f>+Tabela1107[[#This Row],[PIS]]+Tabela1107[[#This Row],[COFINS]]+Tabela1107[[#This Row],[CONTRIB. FOLHA]]+Tabela1107[[#This Row],[TRIBUTOS S/ LUCRO]]+Tabela1107[[#This Row],[OUTROS]]+Tabela1107[[#This Row],[MG]]</f>
        <v>25.740000000000002</v>
      </c>
      <c r="BL276" s="97">
        <f>+Tabela1107[[#This Row],[PIS]]+Tabela1107[[#This Row],[COFINS]]+Tabela1107[[#This Row],[CONTRIB. FOLHA]]+Tabela1107[[#This Row],[TRIBUTOS S/ LUCRO]]+Tabela1107[[#This Row],[OUTROS]]+Tabela1107[[#This Row],[ES]]</f>
        <v>24.740000000000002</v>
      </c>
      <c r="BM276" s="97">
        <f>+Tabela1107[[#This Row],[PIS]]+Tabela1107[[#This Row],[COFINS]]+Tabela1107[[#This Row],[CONTRIB. FOLHA]]+Tabela1107[[#This Row],[TRIBUTOS S/ LUCRO]]+Tabela1107[[#This Row],[OUTROS]]+Tabela1107[[#This Row],[GO]]</f>
        <v>24.740000000000002</v>
      </c>
      <c r="BN276" s="97">
        <f>+Tabela1107[[#This Row],[PIS]]+Tabela1107[[#This Row],[COFINS]]+Tabela1107[[#This Row],[CONTRIB. FOLHA]]+Tabela1107[[#This Row],[TRIBUTOS S/ LUCRO]]+Tabela1107[[#This Row],[OUTROS]]+Tabela1107[[#This Row],[MT]]</f>
        <v>24.740000000000002</v>
      </c>
      <c r="BO276" s="97">
        <f>+Tabela1107[[#This Row],[PIS]]+Tabela1107[[#This Row],[COFINS]]+Tabela1107[[#This Row],[CONTRIB. FOLHA]]+Tabela1107[[#This Row],[TRIBUTOS S/ LUCRO]]+Tabela1107[[#This Row],[OUTROS]]+Tabela1107[[#This Row],[MS]]</f>
        <v>24.740000000000002</v>
      </c>
      <c r="BP276" s="97">
        <f>+Tabela1107[[#This Row],[PIS]]+Tabela1107[[#This Row],[COFINS]]+Tabela1107[[#This Row],[CONTRIB. FOLHA]]+Tabela1107[[#This Row],[TRIBUTOS S/ LUCRO]]+Tabela1107[[#This Row],[OUTROS]]+Tabela1107[[#This Row],[DF]]</f>
        <v>24.740000000000002</v>
      </c>
      <c r="BQ276" s="97">
        <f>+Tabela1107[[#This Row],[PIS]]+Tabela1107[[#This Row],[COFINS]]+Tabela1107[[#This Row],[CONTRIB. FOLHA]]+Tabela1107[[#This Row],[TRIBUTOS S/ LUCRO]]+Tabela1107[[#This Row],[OUTROS]]+Tabela1107[[#This Row],[BA]]</f>
        <v>24.740000000000002</v>
      </c>
      <c r="BR276" s="97">
        <f>+Tabela1107[[#This Row],[PIS]]+Tabela1107[[#This Row],[COFINS]]+Tabela1107[[#This Row],[CONTRIB. FOLHA]]+Tabela1107[[#This Row],[TRIBUTOS S/ LUCRO]]+Tabela1107[[#This Row],[OUTROS]]+Tabela1107[[#This Row],[BA]]</f>
        <v>24.740000000000002</v>
      </c>
      <c r="BS276" s="97">
        <f>+Tabela1107[[#This Row],[PIS]]+Tabela1107[[#This Row],[COFINS]]+Tabela1107[[#This Row],[CONTRIB. FOLHA]]+Tabela1107[[#This Row],[TRIBUTOS S/ LUCRO]]+Tabela1107[[#This Row],[OUTROS]]+Tabela1107[[#This Row],[PE]]</f>
        <v>24.740000000000002</v>
      </c>
      <c r="BT276" s="97">
        <f>+Tabela1107[[#This Row],[PIS]]+Tabela1107[[#This Row],[COFINS]]+Tabela1107[[#This Row],[CONTRIB. FOLHA]]+Tabela1107[[#This Row],[TRIBUTOS S/ LUCRO]]+Tabela1107[[#This Row],[OUTROS]]+Tabela1107[[#This Row],[PA]]</f>
        <v>24.740000000000002</v>
      </c>
      <c r="BU276" s="97">
        <f>+Tabela1107[[#This Row],[PIS]]+Tabela1107[[#This Row],[COFINS]]+Tabela1107[[#This Row],[CONTRIB. FOLHA]]+Tabela1107[[#This Row],[TRIBUTOS S/ LUCRO]]+Tabela1107[[#This Row],[OUTROS]]+Tabela1107[[#This Row],[AM]]</f>
        <v>24.740000000000002</v>
      </c>
      <c r="BV276" s="97">
        <f>AVERAGE(Tabela1107[[#This Row],[TOTAL SP]:[TOTAL AM]])</f>
        <v>24.677500000000006</v>
      </c>
      <c r="BW276" s="97"/>
      <c r="BX276" s="97"/>
    </row>
    <row r="277" spans="2:76" x14ac:dyDescent="0.25">
      <c r="B277" s="89">
        <v>18571</v>
      </c>
      <c r="C277" s="91" t="s">
        <v>13022</v>
      </c>
      <c r="D277" s="89"/>
      <c r="E277" s="89">
        <v>20140626</v>
      </c>
      <c r="F277" s="89" t="s">
        <v>20431</v>
      </c>
      <c r="G277" s="89" t="s">
        <v>20432</v>
      </c>
      <c r="H277" s="89" t="s">
        <v>20433</v>
      </c>
      <c r="I277" s="89" t="s">
        <v>20434</v>
      </c>
      <c r="J277" s="89" t="s">
        <v>553</v>
      </c>
      <c r="K277" s="89"/>
      <c r="L277" s="89" t="s">
        <v>2792</v>
      </c>
      <c r="M277" s="89" t="s">
        <v>4496</v>
      </c>
      <c r="N277" s="89" t="s">
        <v>4496</v>
      </c>
      <c r="O277" s="89" t="s">
        <v>4496</v>
      </c>
      <c r="P277" s="89" t="s">
        <v>4496</v>
      </c>
      <c r="Q277" s="89"/>
      <c r="R277" s="89" t="s">
        <v>109</v>
      </c>
      <c r="S277" s="89" t="s">
        <v>21578</v>
      </c>
      <c r="T277" s="89" t="s">
        <v>21579</v>
      </c>
      <c r="U277" s="89" t="str">
        <f>TRIM('Carga Tributária doenças Po (2'!$L277)</f>
        <v>MECLIZINA</v>
      </c>
      <c r="V277" s="89">
        <f>SUMIFS('Tabela Federal'!$E$4:$E$2069,'Tabela Federal'!$D$4:$D$2069,'Carga Tributária doenças Po (2'!$L277)</f>
        <v>0</v>
      </c>
      <c r="W277" s="89">
        <f>SUMIFS('Tabela Federal'!$E$4:$E$2069,'Tabela Federal'!$D$4:$D$2069,'Carga Tributária doenças Po (2'!$M277)</f>
        <v>0</v>
      </c>
      <c r="X277" s="89">
        <f>SUMIFS('Tabela Federal'!$E$4:$E$2069,'Tabela Federal'!$D$4:$D$2069,'Carga Tributária doenças Po (2'!$N277)</f>
        <v>0</v>
      </c>
      <c r="Y277" s="89">
        <f>SUMIFS('Tabela Federal'!$E$4:$E$2069,'Tabela Federal'!$D$4:$D$2069,'Carga Tributária doenças Po (2'!$O277)</f>
        <v>0</v>
      </c>
      <c r="Z277" s="92" t="str">
        <f>VLOOKUP('Carga Tributária doenças Po (2'!$AD277,'Carga Tributária doenças Po (2'!$CA$12:$CC$16,2,0)</f>
        <v>-</v>
      </c>
      <c r="AA277" s="89" t="s">
        <v>91</v>
      </c>
      <c r="AB277" s="89" t="s">
        <v>21829</v>
      </c>
      <c r="AC277" s="89" t="s">
        <v>21721</v>
      </c>
      <c r="AD277" s="93" t="s">
        <v>19523</v>
      </c>
      <c r="AE277" s="92" t="s">
        <v>4</v>
      </c>
      <c r="AF277" s="92" t="s">
        <v>23</v>
      </c>
      <c r="AG277" s="94">
        <v>1308560</v>
      </c>
      <c r="AH277" s="95">
        <v>7316368</v>
      </c>
      <c r="AI277" s="95">
        <v>16709722.789999999</v>
      </c>
      <c r="AJ277" s="89" t="s">
        <v>554</v>
      </c>
      <c r="AK277" s="89">
        <f>IF('Carga Tributária doenças Po (2'!$Z277="+",0,SUMIFS(PISCOFINS!$I$3:$I$10518,PISCOFINS!$C$3:$C$10518,'Carga Tributária doenças Po (2'!$C277))</f>
        <v>2.1</v>
      </c>
      <c r="AL277" s="89">
        <f>IF('Carga Tributária doenças Po (2'!$Z277="+",0,SUMIFS(PISCOFINS!$H$3:$H$10518,PISCOFINS!$C$3:$C$10518,'Carga Tributária doenças Po (2'!$C277))</f>
        <v>9.9</v>
      </c>
      <c r="AM277" s="95">
        <v>3.27</v>
      </c>
      <c r="AN277" s="95">
        <v>3.12</v>
      </c>
      <c r="AO277" s="95">
        <v>1.35</v>
      </c>
      <c r="AP277" s="96">
        <v>18</v>
      </c>
      <c r="AQ277" s="96">
        <v>12</v>
      </c>
      <c r="AR277" s="96">
        <v>17</v>
      </c>
      <c r="AS277" s="97">
        <v>17</v>
      </c>
      <c r="AT277" s="97">
        <v>19</v>
      </c>
      <c r="AU277" s="97">
        <v>18</v>
      </c>
      <c r="AV277" s="97">
        <v>17</v>
      </c>
      <c r="AW277" s="97">
        <v>17</v>
      </c>
      <c r="AX277" s="97">
        <v>17</v>
      </c>
      <c r="AY277" s="97">
        <v>17</v>
      </c>
      <c r="AZ277" s="97">
        <v>17</v>
      </c>
      <c r="BA277" s="97">
        <v>17</v>
      </c>
      <c r="BB277" s="97">
        <v>17</v>
      </c>
      <c r="BC277" s="97">
        <v>17</v>
      </c>
      <c r="BD277" s="97">
        <v>17</v>
      </c>
      <c r="BE277" s="97">
        <v>17</v>
      </c>
      <c r="BF277" s="97">
        <f>+Tabela1107[[#This Row],[PIS]]+Tabela1107[[#This Row],[COFINS]]+Tabela1107[[#This Row],[CONTRIB. FOLHA]]+Tabela1107[[#This Row],[TRIBUTOS S/ LUCRO]]+Tabela1107[[#This Row],[OUTROS]]+Tabela1107[[#This Row],[SP]]</f>
        <v>37.74</v>
      </c>
      <c r="BG277" s="97">
        <f>+Tabela1107[[#This Row],[PIS]]+Tabela1107[[#This Row],[COFINS]]+Tabela1107[[#This Row],[CONTRIB. FOLHA]]+Tabela1107[[#This Row],[TRIBUTOS S/ LUCRO]]+Tabela1107[[#This Row],[OUTROS]]+Tabela1107[[#This Row],[PR]]</f>
        <v>31.740000000000002</v>
      </c>
      <c r="BH277" s="97">
        <f>+Tabela1107[[#This Row],[PIS]]+Tabela1107[[#This Row],[COFINS]]+Tabela1107[[#This Row],[CONTRIB. FOLHA]]+Tabela1107[[#This Row],[TRIBUTOS S/ LUCRO]]+Tabela1107[[#This Row],[OUTROS]]+Tabela1107[[#This Row],[SC]]</f>
        <v>36.74</v>
      </c>
      <c r="BI277" s="97">
        <f>+Tabela1107[[#This Row],[PIS]]+Tabela1107[[#This Row],[COFINS]]+Tabela1107[[#This Row],[CONTRIB. FOLHA]]+Tabela1107[[#This Row],[TRIBUTOS S/ LUCRO]]+Tabela1107[[#This Row],[OUTROS]]+Tabela1107[[#This Row],[RS]]</f>
        <v>36.74</v>
      </c>
      <c r="BJ277" s="97">
        <f>+Tabela1107[[#This Row],[PIS]]+Tabela1107[[#This Row],[COFINS]]+Tabela1107[[#This Row],[CONTRIB. FOLHA]]+Tabela1107[[#This Row],[TRIBUTOS S/ LUCRO]]+Tabela1107[[#This Row],[OUTROS]]+Tabela1107[[#This Row],[RJ]]</f>
        <v>38.74</v>
      </c>
      <c r="BK277" s="97">
        <f>+Tabela1107[[#This Row],[PIS]]+Tabela1107[[#This Row],[COFINS]]+Tabela1107[[#This Row],[CONTRIB. FOLHA]]+Tabela1107[[#This Row],[TRIBUTOS S/ LUCRO]]+Tabela1107[[#This Row],[OUTROS]]+Tabela1107[[#This Row],[MG]]</f>
        <v>37.74</v>
      </c>
      <c r="BL277" s="97">
        <f>+Tabela1107[[#This Row],[PIS]]+Tabela1107[[#This Row],[COFINS]]+Tabela1107[[#This Row],[CONTRIB. FOLHA]]+Tabela1107[[#This Row],[TRIBUTOS S/ LUCRO]]+Tabela1107[[#This Row],[OUTROS]]+Tabela1107[[#This Row],[ES]]</f>
        <v>36.74</v>
      </c>
      <c r="BM277" s="97">
        <f>+Tabela1107[[#This Row],[PIS]]+Tabela1107[[#This Row],[COFINS]]+Tabela1107[[#This Row],[CONTRIB. FOLHA]]+Tabela1107[[#This Row],[TRIBUTOS S/ LUCRO]]+Tabela1107[[#This Row],[OUTROS]]+Tabela1107[[#This Row],[GO]]</f>
        <v>36.74</v>
      </c>
      <c r="BN277" s="97">
        <f>+Tabela1107[[#This Row],[PIS]]+Tabela1107[[#This Row],[COFINS]]+Tabela1107[[#This Row],[CONTRIB. FOLHA]]+Tabela1107[[#This Row],[TRIBUTOS S/ LUCRO]]+Tabela1107[[#This Row],[OUTROS]]+Tabela1107[[#This Row],[MT]]</f>
        <v>36.74</v>
      </c>
      <c r="BO277" s="97">
        <f>+Tabela1107[[#This Row],[PIS]]+Tabela1107[[#This Row],[COFINS]]+Tabela1107[[#This Row],[CONTRIB. FOLHA]]+Tabela1107[[#This Row],[TRIBUTOS S/ LUCRO]]+Tabela1107[[#This Row],[OUTROS]]+Tabela1107[[#This Row],[MS]]</f>
        <v>36.74</v>
      </c>
      <c r="BP277" s="97">
        <f>+Tabela1107[[#This Row],[PIS]]+Tabela1107[[#This Row],[COFINS]]+Tabela1107[[#This Row],[CONTRIB. FOLHA]]+Tabela1107[[#This Row],[TRIBUTOS S/ LUCRO]]+Tabela1107[[#This Row],[OUTROS]]+Tabela1107[[#This Row],[DF]]</f>
        <v>36.74</v>
      </c>
      <c r="BQ277" s="97">
        <f>+Tabela1107[[#This Row],[PIS]]+Tabela1107[[#This Row],[COFINS]]+Tabela1107[[#This Row],[CONTRIB. FOLHA]]+Tabela1107[[#This Row],[TRIBUTOS S/ LUCRO]]+Tabela1107[[#This Row],[OUTROS]]+Tabela1107[[#This Row],[BA]]</f>
        <v>36.74</v>
      </c>
      <c r="BR277" s="97">
        <f>+Tabela1107[[#This Row],[PIS]]+Tabela1107[[#This Row],[COFINS]]+Tabela1107[[#This Row],[CONTRIB. FOLHA]]+Tabela1107[[#This Row],[TRIBUTOS S/ LUCRO]]+Tabela1107[[#This Row],[OUTROS]]+Tabela1107[[#This Row],[BA]]</f>
        <v>36.74</v>
      </c>
      <c r="BS277" s="97">
        <f>+Tabela1107[[#This Row],[PIS]]+Tabela1107[[#This Row],[COFINS]]+Tabela1107[[#This Row],[CONTRIB. FOLHA]]+Tabela1107[[#This Row],[TRIBUTOS S/ LUCRO]]+Tabela1107[[#This Row],[OUTROS]]+Tabela1107[[#This Row],[PE]]</f>
        <v>36.74</v>
      </c>
      <c r="BT277" s="97">
        <f>+Tabela1107[[#This Row],[PIS]]+Tabela1107[[#This Row],[COFINS]]+Tabela1107[[#This Row],[CONTRIB. FOLHA]]+Tabela1107[[#This Row],[TRIBUTOS S/ LUCRO]]+Tabela1107[[#This Row],[OUTROS]]+Tabela1107[[#This Row],[PA]]</f>
        <v>36.74</v>
      </c>
      <c r="BU277" s="97">
        <f>+Tabela1107[[#This Row],[PIS]]+Tabela1107[[#This Row],[COFINS]]+Tabela1107[[#This Row],[CONTRIB. FOLHA]]+Tabela1107[[#This Row],[TRIBUTOS S/ LUCRO]]+Tabela1107[[#This Row],[OUTROS]]+Tabela1107[[#This Row],[AM]]</f>
        <v>36.74</v>
      </c>
      <c r="BV277" s="97">
        <f>AVERAGE(Tabela1107[[#This Row],[TOTAL SP]:[TOTAL AM]])</f>
        <v>36.677500000000002</v>
      </c>
      <c r="BW277" s="97"/>
      <c r="BX277" s="97"/>
    </row>
    <row r="278" spans="2:76" x14ac:dyDescent="0.25">
      <c r="B278" s="89">
        <v>2090</v>
      </c>
      <c r="C278" s="91" t="s">
        <v>13149</v>
      </c>
      <c r="D278" s="89"/>
      <c r="E278" s="89">
        <v>20140626</v>
      </c>
      <c r="F278" s="89" t="s">
        <v>20593</v>
      </c>
      <c r="G278" s="89" t="s">
        <v>20594</v>
      </c>
      <c r="H278" s="98" t="s">
        <v>21955</v>
      </c>
      <c r="I278" s="89" t="s">
        <v>20595</v>
      </c>
      <c r="J278" s="89" t="s">
        <v>381</v>
      </c>
      <c r="K278" s="89"/>
      <c r="L278" s="89" t="s">
        <v>2793</v>
      </c>
      <c r="M278" s="89" t="s">
        <v>4496</v>
      </c>
      <c r="N278" s="89" t="s">
        <v>4496</v>
      </c>
      <c r="O278" s="89" t="s">
        <v>4496</v>
      </c>
      <c r="P278" s="89" t="s">
        <v>4496</v>
      </c>
      <c r="Q278" s="89"/>
      <c r="R278" s="89" t="s">
        <v>26</v>
      </c>
      <c r="S278" s="89" t="s">
        <v>21610</v>
      </c>
      <c r="T278" s="89" t="s">
        <v>21611</v>
      </c>
      <c r="U278" s="89" t="str">
        <f>TRIM('Carga Tributária doenças Po (2'!$L278)</f>
        <v>DIGLUCONATO DE CLOREXIDINA</v>
      </c>
      <c r="V278" s="89">
        <f>SUMIFS('Tabela Federal'!$E$4:$E$2069,'Tabela Federal'!$D$4:$D$2069,'Carga Tributária doenças Po (2'!$L278)</f>
        <v>0</v>
      </c>
      <c r="W278" s="89">
        <f>SUMIFS('Tabela Federal'!$E$4:$E$2069,'Tabela Federal'!$D$4:$D$2069,'Carga Tributária doenças Po (2'!$M278)</f>
        <v>0</v>
      </c>
      <c r="X278" s="89">
        <f>SUMIFS('Tabela Federal'!$E$4:$E$2069,'Tabela Federal'!$D$4:$D$2069,'Carga Tributária doenças Po (2'!$N278)</f>
        <v>0</v>
      </c>
      <c r="Y278" s="89">
        <f>SUMIFS('Tabela Federal'!$E$4:$E$2069,'Tabela Federal'!$D$4:$D$2069,'Carga Tributária doenças Po (2'!$O278)</f>
        <v>0</v>
      </c>
      <c r="Z278" s="92" t="str">
        <f>VLOOKUP('Carga Tributária doenças Po (2'!$AD278,'Carga Tributária doenças Po (2'!$CA$12:$CC$16,2,0)</f>
        <v>-</v>
      </c>
      <c r="AA278" s="89" t="s">
        <v>382</v>
      </c>
      <c r="AB278" s="89"/>
      <c r="AC278" s="89" t="s">
        <v>21740</v>
      </c>
      <c r="AD278" s="93" t="s">
        <v>19523</v>
      </c>
      <c r="AE278" s="92" t="s">
        <v>4</v>
      </c>
      <c r="AF278" s="92" t="s">
        <v>23</v>
      </c>
      <c r="AG278" s="94">
        <v>2766147</v>
      </c>
      <c r="AH278" s="95">
        <v>10237150</v>
      </c>
      <c r="AI278" s="95">
        <v>23407787.18</v>
      </c>
      <c r="AJ278" s="89" t="s">
        <v>383</v>
      </c>
      <c r="AK278" s="89">
        <f>IF('Carga Tributária doenças Po (2'!$Z278="+",0,SUMIFS(PISCOFINS!$I$3:$I$10518,PISCOFINS!$C$3:$C$10518,'Carga Tributária doenças Po (2'!$C278))</f>
        <v>2.1</v>
      </c>
      <c r="AL278" s="89">
        <f>IF('Carga Tributária doenças Po (2'!$Z278="+",0,SUMIFS(PISCOFINS!$H$3:$H$10518,PISCOFINS!$C$3:$C$10518,'Carga Tributária doenças Po (2'!$C278))</f>
        <v>9.9</v>
      </c>
      <c r="AM278" s="95">
        <v>3.27</v>
      </c>
      <c r="AN278" s="95">
        <v>3.12</v>
      </c>
      <c r="AO278" s="95">
        <v>1.35</v>
      </c>
      <c r="AP278" s="96">
        <v>18</v>
      </c>
      <c r="AQ278" s="96">
        <v>12</v>
      </c>
      <c r="AR278" s="96">
        <v>17</v>
      </c>
      <c r="AS278" s="97">
        <v>17</v>
      </c>
      <c r="AT278" s="97">
        <v>19</v>
      </c>
      <c r="AU278" s="97">
        <v>18</v>
      </c>
      <c r="AV278" s="97">
        <v>17</v>
      </c>
      <c r="AW278" s="97">
        <v>17</v>
      </c>
      <c r="AX278" s="97">
        <v>17</v>
      </c>
      <c r="AY278" s="97">
        <v>17</v>
      </c>
      <c r="AZ278" s="97">
        <v>17</v>
      </c>
      <c r="BA278" s="97">
        <v>17</v>
      </c>
      <c r="BB278" s="97">
        <v>17</v>
      </c>
      <c r="BC278" s="97">
        <v>17</v>
      </c>
      <c r="BD278" s="97">
        <v>17</v>
      </c>
      <c r="BE278" s="97">
        <v>17</v>
      </c>
      <c r="BF278" s="97">
        <f>+Tabela1107[[#This Row],[PIS]]+Tabela1107[[#This Row],[COFINS]]+Tabela1107[[#This Row],[CONTRIB. FOLHA]]+Tabela1107[[#This Row],[TRIBUTOS S/ LUCRO]]+Tabela1107[[#This Row],[OUTROS]]+Tabela1107[[#This Row],[SP]]</f>
        <v>37.74</v>
      </c>
      <c r="BG278" s="97">
        <f>+Tabela1107[[#This Row],[PIS]]+Tabela1107[[#This Row],[COFINS]]+Tabela1107[[#This Row],[CONTRIB. FOLHA]]+Tabela1107[[#This Row],[TRIBUTOS S/ LUCRO]]+Tabela1107[[#This Row],[OUTROS]]+Tabela1107[[#This Row],[PR]]</f>
        <v>31.740000000000002</v>
      </c>
      <c r="BH278" s="97">
        <f>+Tabela1107[[#This Row],[PIS]]+Tabela1107[[#This Row],[COFINS]]+Tabela1107[[#This Row],[CONTRIB. FOLHA]]+Tabela1107[[#This Row],[TRIBUTOS S/ LUCRO]]+Tabela1107[[#This Row],[OUTROS]]+Tabela1107[[#This Row],[SC]]</f>
        <v>36.74</v>
      </c>
      <c r="BI278" s="97">
        <f>+Tabela1107[[#This Row],[PIS]]+Tabela1107[[#This Row],[COFINS]]+Tabela1107[[#This Row],[CONTRIB. FOLHA]]+Tabela1107[[#This Row],[TRIBUTOS S/ LUCRO]]+Tabela1107[[#This Row],[OUTROS]]+Tabela1107[[#This Row],[RS]]</f>
        <v>36.74</v>
      </c>
      <c r="BJ278" s="97">
        <f>+Tabela1107[[#This Row],[PIS]]+Tabela1107[[#This Row],[COFINS]]+Tabela1107[[#This Row],[CONTRIB. FOLHA]]+Tabela1107[[#This Row],[TRIBUTOS S/ LUCRO]]+Tabela1107[[#This Row],[OUTROS]]+Tabela1107[[#This Row],[RJ]]</f>
        <v>38.74</v>
      </c>
      <c r="BK278" s="97">
        <f>+Tabela1107[[#This Row],[PIS]]+Tabela1107[[#This Row],[COFINS]]+Tabela1107[[#This Row],[CONTRIB. FOLHA]]+Tabela1107[[#This Row],[TRIBUTOS S/ LUCRO]]+Tabela1107[[#This Row],[OUTROS]]+Tabela1107[[#This Row],[MG]]</f>
        <v>37.74</v>
      </c>
      <c r="BL278" s="97">
        <f>+Tabela1107[[#This Row],[PIS]]+Tabela1107[[#This Row],[COFINS]]+Tabela1107[[#This Row],[CONTRIB. FOLHA]]+Tabela1107[[#This Row],[TRIBUTOS S/ LUCRO]]+Tabela1107[[#This Row],[OUTROS]]+Tabela1107[[#This Row],[ES]]</f>
        <v>36.74</v>
      </c>
      <c r="BM278" s="97">
        <f>+Tabela1107[[#This Row],[PIS]]+Tabela1107[[#This Row],[COFINS]]+Tabela1107[[#This Row],[CONTRIB. FOLHA]]+Tabela1107[[#This Row],[TRIBUTOS S/ LUCRO]]+Tabela1107[[#This Row],[OUTROS]]+Tabela1107[[#This Row],[GO]]</f>
        <v>36.74</v>
      </c>
      <c r="BN278" s="97">
        <f>+Tabela1107[[#This Row],[PIS]]+Tabela1107[[#This Row],[COFINS]]+Tabela1107[[#This Row],[CONTRIB. FOLHA]]+Tabela1107[[#This Row],[TRIBUTOS S/ LUCRO]]+Tabela1107[[#This Row],[OUTROS]]+Tabela1107[[#This Row],[MT]]</f>
        <v>36.74</v>
      </c>
      <c r="BO278" s="97">
        <f>+Tabela1107[[#This Row],[PIS]]+Tabela1107[[#This Row],[COFINS]]+Tabela1107[[#This Row],[CONTRIB. FOLHA]]+Tabela1107[[#This Row],[TRIBUTOS S/ LUCRO]]+Tabela1107[[#This Row],[OUTROS]]+Tabela1107[[#This Row],[MS]]</f>
        <v>36.74</v>
      </c>
      <c r="BP278" s="97">
        <f>+Tabela1107[[#This Row],[PIS]]+Tabela1107[[#This Row],[COFINS]]+Tabela1107[[#This Row],[CONTRIB. FOLHA]]+Tabela1107[[#This Row],[TRIBUTOS S/ LUCRO]]+Tabela1107[[#This Row],[OUTROS]]+Tabela1107[[#This Row],[DF]]</f>
        <v>36.74</v>
      </c>
      <c r="BQ278" s="97">
        <f>+Tabela1107[[#This Row],[PIS]]+Tabela1107[[#This Row],[COFINS]]+Tabela1107[[#This Row],[CONTRIB. FOLHA]]+Tabela1107[[#This Row],[TRIBUTOS S/ LUCRO]]+Tabela1107[[#This Row],[OUTROS]]+Tabela1107[[#This Row],[BA]]</f>
        <v>36.74</v>
      </c>
      <c r="BR278" s="97">
        <f>+Tabela1107[[#This Row],[PIS]]+Tabela1107[[#This Row],[COFINS]]+Tabela1107[[#This Row],[CONTRIB. FOLHA]]+Tabela1107[[#This Row],[TRIBUTOS S/ LUCRO]]+Tabela1107[[#This Row],[OUTROS]]+Tabela1107[[#This Row],[BA]]</f>
        <v>36.74</v>
      </c>
      <c r="BS278" s="97">
        <f>+Tabela1107[[#This Row],[PIS]]+Tabela1107[[#This Row],[COFINS]]+Tabela1107[[#This Row],[CONTRIB. FOLHA]]+Tabela1107[[#This Row],[TRIBUTOS S/ LUCRO]]+Tabela1107[[#This Row],[OUTROS]]+Tabela1107[[#This Row],[PE]]</f>
        <v>36.74</v>
      </c>
      <c r="BT278" s="97">
        <f>+Tabela1107[[#This Row],[PIS]]+Tabela1107[[#This Row],[COFINS]]+Tabela1107[[#This Row],[CONTRIB. FOLHA]]+Tabela1107[[#This Row],[TRIBUTOS S/ LUCRO]]+Tabela1107[[#This Row],[OUTROS]]+Tabela1107[[#This Row],[PA]]</f>
        <v>36.74</v>
      </c>
      <c r="BU278" s="97">
        <f>+Tabela1107[[#This Row],[PIS]]+Tabela1107[[#This Row],[COFINS]]+Tabela1107[[#This Row],[CONTRIB. FOLHA]]+Tabela1107[[#This Row],[TRIBUTOS S/ LUCRO]]+Tabela1107[[#This Row],[OUTROS]]+Tabela1107[[#This Row],[AM]]</f>
        <v>36.74</v>
      </c>
      <c r="BV278" s="97">
        <f>AVERAGE(Tabela1107[[#This Row],[TOTAL SP]:[TOTAL AM]])</f>
        <v>36.677500000000002</v>
      </c>
      <c r="BW278" s="97"/>
      <c r="BX278" s="97"/>
    </row>
    <row r="279" spans="2:76" x14ac:dyDescent="0.25">
      <c r="B279" s="89">
        <v>19701</v>
      </c>
      <c r="C279" s="91" t="s">
        <v>13183</v>
      </c>
      <c r="D279" s="89"/>
      <c r="E279" s="89">
        <v>20140626</v>
      </c>
      <c r="F279" s="89" t="s">
        <v>20674</v>
      </c>
      <c r="G279" s="89" t="s">
        <v>20675</v>
      </c>
      <c r="H279" s="89" t="s">
        <v>20676</v>
      </c>
      <c r="I279" s="89" t="s">
        <v>2794</v>
      </c>
      <c r="J279" s="89" t="s">
        <v>110</v>
      </c>
      <c r="K279" s="89"/>
      <c r="L279" s="89" t="s">
        <v>2794</v>
      </c>
      <c r="M279" s="89" t="s">
        <v>4496</v>
      </c>
      <c r="N279" s="89" t="s">
        <v>4496</v>
      </c>
      <c r="O279" s="89" t="s">
        <v>4496</v>
      </c>
      <c r="P279" s="89" t="s">
        <v>4496</v>
      </c>
      <c r="Q279" s="89"/>
      <c r="R279" s="89" t="s">
        <v>29</v>
      </c>
      <c r="S279" s="89" t="s">
        <v>21616</v>
      </c>
      <c r="T279" s="89" t="s">
        <v>21617</v>
      </c>
      <c r="U279" s="89" t="str">
        <f>TRIM('Carga Tributária doenças Po (2'!$L279)</f>
        <v>MESALAZINA</v>
      </c>
      <c r="V279" s="89">
        <f>SUMIFS('Tabela Federal'!$E$4:$E$2069,'Tabela Federal'!$D$4:$D$2069,'Carga Tributária doenças Po (2'!$L279)</f>
        <v>1</v>
      </c>
      <c r="W279" s="89">
        <f>SUMIFS('Tabela Federal'!$E$4:$E$2069,'Tabela Federal'!$D$4:$D$2069,'Carga Tributária doenças Po (2'!$M279)</f>
        <v>0</v>
      </c>
      <c r="X279" s="89">
        <f>SUMIFS('Tabela Federal'!$E$4:$E$2069,'Tabela Federal'!$D$4:$D$2069,'Carga Tributária doenças Po (2'!$N279)</f>
        <v>0</v>
      </c>
      <c r="Y279" s="89">
        <f>SUMIFS('Tabela Federal'!$E$4:$E$2069,'Tabela Federal'!$D$4:$D$2069,'Carga Tributária doenças Po (2'!$O279)</f>
        <v>0</v>
      </c>
      <c r="Z279" s="92" t="str">
        <f>VLOOKUP('Carga Tributária doenças Po (2'!$AD279,'Carga Tributária doenças Po (2'!$CA$12:$CC$16,2,0)</f>
        <v>+</v>
      </c>
      <c r="AA279" s="89" t="s">
        <v>108</v>
      </c>
      <c r="AB279" s="89" t="s">
        <v>21785</v>
      </c>
      <c r="AC279" s="89" t="s">
        <v>21721</v>
      </c>
      <c r="AD279" s="93" t="s">
        <v>21722</v>
      </c>
      <c r="AE279" s="92" t="s">
        <v>2</v>
      </c>
      <c r="AF279" s="92" t="s">
        <v>10</v>
      </c>
      <c r="AG279" s="94">
        <v>150741</v>
      </c>
      <c r="AH279" s="95">
        <v>4492505</v>
      </c>
      <c r="AI279" s="95">
        <v>10256591.24</v>
      </c>
      <c r="AJ279" s="89" t="s">
        <v>111</v>
      </c>
      <c r="AK279" s="89">
        <f>IF('Carga Tributária doenças Po (2'!$Z279="+",0,SUMIFS(PISCOFINS!$I$3:$I$10518,PISCOFINS!$C$3:$C$10518,'Carga Tributária doenças Po (2'!$C279))</f>
        <v>0</v>
      </c>
      <c r="AL279" s="89">
        <f>IF('Carga Tributária doenças Po (2'!$Z279="+",0,SUMIFS(PISCOFINS!$H$3:$H$10518,PISCOFINS!$C$3:$C$10518,'Carga Tributária doenças Po (2'!$C279))</f>
        <v>0</v>
      </c>
      <c r="AM279" s="95">
        <v>3.27</v>
      </c>
      <c r="AN279" s="95">
        <v>3.12</v>
      </c>
      <c r="AO279" s="95">
        <v>1.35</v>
      </c>
      <c r="AP279" s="96">
        <v>18</v>
      </c>
      <c r="AQ279" s="96">
        <v>12</v>
      </c>
      <c r="AR279" s="96">
        <v>17</v>
      </c>
      <c r="AS279" s="97">
        <v>17</v>
      </c>
      <c r="AT279" s="97">
        <v>19</v>
      </c>
      <c r="AU279" s="97">
        <v>12</v>
      </c>
      <c r="AV279" s="97">
        <v>17</v>
      </c>
      <c r="AW279" s="97">
        <v>17</v>
      </c>
      <c r="AX279" s="97">
        <v>17</v>
      </c>
      <c r="AY279" s="97">
        <v>17</v>
      </c>
      <c r="AZ279" s="97">
        <v>17</v>
      </c>
      <c r="BA279" s="97">
        <v>17</v>
      </c>
      <c r="BB279" s="97">
        <v>17</v>
      </c>
      <c r="BC279" s="97">
        <v>17</v>
      </c>
      <c r="BD279" s="97">
        <v>17</v>
      </c>
      <c r="BE279" s="97">
        <v>17</v>
      </c>
      <c r="BF279" s="97">
        <f>+Tabela1107[[#This Row],[PIS]]+Tabela1107[[#This Row],[COFINS]]+Tabela1107[[#This Row],[CONTRIB. FOLHA]]+Tabela1107[[#This Row],[TRIBUTOS S/ LUCRO]]+Tabela1107[[#This Row],[OUTROS]]+Tabela1107[[#This Row],[SP]]</f>
        <v>25.740000000000002</v>
      </c>
      <c r="BG279" s="97">
        <f>+Tabela1107[[#This Row],[PIS]]+Tabela1107[[#This Row],[COFINS]]+Tabela1107[[#This Row],[CONTRIB. FOLHA]]+Tabela1107[[#This Row],[TRIBUTOS S/ LUCRO]]+Tabela1107[[#This Row],[OUTROS]]+Tabela1107[[#This Row],[PR]]</f>
        <v>19.740000000000002</v>
      </c>
      <c r="BH279" s="97">
        <f>+Tabela1107[[#This Row],[PIS]]+Tabela1107[[#This Row],[COFINS]]+Tabela1107[[#This Row],[CONTRIB. FOLHA]]+Tabela1107[[#This Row],[TRIBUTOS S/ LUCRO]]+Tabela1107[[#This Row],[OUTROS]]+Tabela1107[[#This Row],[SC]]</f>
        <v>24.740000000000002</v>
      </c>
      <c r="BI279" s="97">
        <f>+Tabela1107[[#This Row],[PIS]]+Tabela1107[[#This Row],[COFINS]]+Tabela1107[[#This Row],[CONTRIB. FOLHA]]+Tabela1107[[#This Row],[TRIBUTOS S/ LUCRO]]+Tabela1107[[#This Row],[OUTROS]]+Tabela1107[[#This Row],[RS]]</f>
        <v>24.740000000000002</v>
      </c>
      <c r="BJ279" s="97">
        <f>+Tabela1107[[#This Row],[PIS]]+Tabela1107[[#This Row],[COFINS]]+Tabela1107[[#This Row],[CONTRIB. FOLHA]]+Tabela1107[[#This Row],[TRIBUTOS S/ LUCRO]]+Tabela1107[[#This Row],[OUTROS]]+Tabela1107[[#This Row],[RJ]]</f>
        <v>26.740000000000002</v>
      </c>
      <c r="BK279" s="97">
        <f>+Tabela1107[[#This Row],[PIS]]+Tabela1107[[#This Row],[COFINS]]+Tabela1107[[#This Row],[CONTRIB. FOLHA]]+Tabela1107[[#This Row],[TRIBUTOS S/ LUCRO]]+Tabela1107[[#This Row],[OUTROS]]+Tabela1107[[#This Row],[MG]]</f>
        <v>19.740000000000002</v>
      </c>
      <c r="BL279" s="97">
        <f>+Tabela1107[[#This Row],[PIS]]+Tabela1107[[#This Row],[COFINS]]+Tabela1107[[#This Row],[CONTRIB. FOLHA]]+Tabela1107[[#This Row],[TRIBUTOS S/ LUCRO]]+Tabela1107[[#This Row],[OUTROS]]+Tabela1107[[#This Row],[ES]]</f>
        <v>24.740000000000002</v>
      </c>
      <c r="BM279" s="97">
        <f>+Tabela1107[[#This Row],[PIS]]+Tabela1107[[#This Row],[COFINS]]+Tabela1107[[#This Row],[CONTRIB. FOLHA]]+Tabela1107[[#This Row],[TRIBUTOS S/ LUCRO]]+Tabela1107[[#This Row],[OUTROS]]+Tabela1107[[#This Row],[GO]]</f>
        <v>24.740000000000002</v>
      </c>
      <c r="BN279" s="97">
        <f>+Tabela1107[[#This Row],[PIS]]+Tabela1107[[#This Row],[COFINS]]+Tabela1107[[#This Row],[CONTRIB. FOLHA]]+Tabela1107[[#This Row],[TRIBUTOS S/ LUCRO]]+Tabela1107[[#This Row],[OUTROS]]+Tabela1107[[#This Row],[MT]]</f>
        <v>24.740000000000002</v>
      </c>
      <c r="BO279" s="97">
        <f>+Tabela1107[[#This Row],[PIS]]+Tabela1107[[#This Row],[COFINS]]+Tabela1107[[#This Row],[CONTRIB. FOLHA]]+Tabela1107[[#This Row],[TRIBUTOS S/ LUCRO]]+Tabela1107[[#This Row],[OUTROS]]+Tabela1107[[#This Row],[MS]]</f>
        <v>24.740000000000002</v>
      </c>
      <c r="BP279" s="97">
        <f>+Tabela1107[[#This Row],[PIS]]+Tabela1107[[#This Row],[COFINS]]+Tabela1107[[#This Row],[CONTRIB. FOLHA]]+Tabela1107[[#This Row],[TRIBUTOS S/ LUCRO]]+Tabela1107[[#This Row],[OUTROS]]+Tabela1107[[#This Row],[DF]]</f>
        <v>24.740000000000002</v>
      </c>
      <c r="BQ279" s="97">
        <f>+Tabela1107[[#This Row],[PIS]]+Tabela1107[[#This Row],[COFINS]]+Tabela1107[[#This Row],[CONTRIB. FOLHA]]+Tabela1107[[#This Row],[TRIBUTOS S/ LUCRO]]+Tabela1107[[#This Row],[OUTROS]]+Tabela1107[[#This Row],[BA]]</f>
        <v>24.740000000000002</v>
      </c>
      <c r="BR279" s="97">
        <f>+Tabela1107[[#This Row],[PIS]]+Tabela1107[[#This Row],[COFINS]]+Tabela1107[[#This Row],[CONTRIB. FOLHA]]+Tabela1107[[#This Row],[TRIBUTOS S/ LUCRO]]+Tabela1107[[#This Row],[OUTROS]]+Tabela1107[[#This Row],[BA]]</f>
        <v>24.740000000000002</v>
      </c>
      <c r="BS279" s="97">
        <f>+Tabela1107[[#This Row],[PIS]]+Tabela1107[[#This Row],[COFINS]]+Tabela1107[[#This Row],[CONTRIB. FOLHA]]+Tabela1107[[#This Row],[TRIBUTOS S/ LUCRO]]+Tabela1107[[#This Row],[OUTROS]]+Tabela1107[[#This Row],[PE]]</f>
        <v>24.740000000000002</v>
      </c>
      <c r="BT279" s="97">
        <f>+Tabela1107[[#This Row],[PIS]]+Tabela1107[[#This Row],[COFINS]]+Tabela1107[[#This Row],[CONTRIB. FOLHA]]+Tabela1107[[#This Row],[TRIBUTOS S/ LUCRO]]+Tabela1107[[#This Row],[OUTROS]]+Tabela1107[[#This Row],[PA]]</f>
        <v>24.740000000000002</v>
      </c>
      <c r="BU279" s="97">
        <f>+Tabela1107[[#This Row],[PIS]]+Tabela1107[[#This Row],[COFINS]]+Tabela1107[[#This Row],[CONTRIB. FOLHA]]+Tabela1107[[#This Row],[TRIBUTOS S/ LUCRO]]+Tabela1107[[#This Row],[OUTROS]]+Tabela1107[[#This Row],[AM]]</f>
        <v>24.740000000000002</v>
      </c>
      <c r="BV279" s="97">
        <f>AVERAGE(Tabela1107[[#This Row],[TOTAL SP]:[TOTAL AM]])</f>
        <v>24.302500000000006</v>
      </c>
      <c r="BW279" s="97"/>
      <c r="BX279" s="97"/>
    </row>
    <row r="280" spans="2:76" x14ac:dyDescent="0.25">
      <c r="B280" s="89">
        <v>5273</v>
      </c>
      <c r="C280" s="91" t="s">
        <v>13093</v>
      </c>
      <c r="D280" s="89"/>
      <c r="E280" s="89">
        <v>20140626</v>
      </c>
      <c r="F280" s="89" t="s">
        <v>21203</v>
      </c>
      <c r="G280" s="89" t="s">
        <v>21204</v>
      </c>
      <c r="H280" s="89" t="s">
        <v>21205</v>
      </c>
      <c r="I280" s="89" t="s">
        <v>21206</v>
      </c>
      <c r="J280" s="89" t="s">
        <v>130</v>
      </c>
      <c r="K280" s="89"/>
      <c r="L280" s="89" t="s">
        <v>2795</v>
      </c>
      <c r="M280" s="89" t="s">
        <v>4496</v>
      </c>
      <c r="N280" s="89" t="s">
        <v>4496</v>
      </c>
      <c r="O280" s="89" t="s">
        <v>4496</v>
      </c>
      <c r="P280" s="89" t="s">
        <v>4496</v>
      </c>
      <c r="Q280" s="89"/>
      <c r="R280" s="89" t="s">
        <v>132</v>
      </c>
      <c r="S280" s="89" t="s">
        <v>21676</v>
      </c>
      <c r="T280" s="89" t="s">
        <v>21677</v>
      </c>
      <c r="U280" s="89" t="str">
        <f>TRIM('Carga Tributária doenças Po (2'!$L280)</f>
        <v>CALCITONINA DE SALMAO</v>
      </c>
      <c r="V280" s="89">
        <f>SUMIFS('Tabela Federal'!$E$4:$E$2069,'Tabela Federal'!$D$4:$D$2069,'Carga Tributária doenças Po (2'!$L280)</f>
        <v>0</v>
      </c>
      <c r="W280" s="89">
        <f>SUMIFS('Tabela Federal'!$E$4:$E$2069,'Tabela Federal'!$D$4:$D$2069,'Carga Tributária doenças Po (2'!$M280)</f>
        <v>0</v>
      </c>
      <c r="X280" s="89">
        <f>SUMIFS('Tabela Federal'!$E$4:$E$2069,'Tabela Federal'!$D$4:$D$2069,'Carga Tributária doenças Po (2'!$N280)</f>
        <v>0</v>
      </c>
      <c r="Y280" s="89">
        <f>SUMIFS('Tabela Federal'!$E$4:$E$2069,'Tabela Federal'!$D$4:$D$2069,'Carga Tributária doenças Po (2'!$O280)</f>
        <v>0</v>
      </c>
      <c r="Z280" s="92" t="str">
        <f>VLOOKUP('Carga Tributária doenças Po (2'!$AD280,'Carga Tributária doenças Po (2'!$CA$12:$CC$16,2,0)</f>
        <v>+</v>
      </c>
      <c r="AA280" s="89" t="s">
        <v>131</v>
      </c>
      <c r="AB280" s="89" t="s">
        <v>21893</v>
      </c>
      <c r="AC280" s="89" t="s">
        <v>21721</v>
      </c>
      <c r="AD280" s="93" t="s">
        <v>21722</v>
      </c>
      <c r="AE280" s="92" t="s">
        <v>2</v>
      </c>
      <c r="AF280" s="92" t="s">
        <v>3</v>
      </c>
      <c r="AG280" s="94">
        <v>8740</v>
      </c>
      <c r="AH280" s="95">
        <v>585701</v>
      </c>
      <c r="AI280" s="95">
        <v>1336583.83</v>
      </c>
      <c r="AJ280" s="89" t="s">
        <v>146</v>
      </c>
      <c r="AK280" s="89">
        <f>IF('Carga Tributária doenças Po (2'!$Z280="+",0,SUMIFS(PISCOFINS!$I$3:$I$10518,PISCOFINS!$C$3:$C$10518,'Carga Tributária doenças Po (2'!$C280))</f>
        <v>0</v>
      </c>
      <c r="AL280" s="89">
        <f>IF('Carga Tributária doenças Po (2'!$Z280="+",0,SUMIFS(PISCOFINS!$H$3:$H$10518,PISCOFINS!$C$3:$C$10518,'Carga Tributária doenças Po (2'!$C280))</f>
        <v>0</v>
      </c>
      <c r="AM280" s="95">
        <v>3.27</v>
      </c>
      <c r="AN280" s="95">
        <v>3.12</v>
      </c>
      <c r="AO280" s="95">
        <v>1.35</v>
      </c>
      <c r="AP280" s="96">
        <v>18</v>
      </c>
      <c r="AQ280" s="96">
        <v>12</v>
      </c>
      <c r="AR280" s="96">
        <v>17</v>
      </c>
      <c r="AS280" s="97">
        <v>17</v>
      </c>
      <c r="AT280" s="97">
        <v>19</v>
      </c>
      <c r="AU280" s="97">
        <v>18</v>
      </c>
      <c r="AV280" s="97">
        <v>17</v>
      </c>
      <c r="AW280" s="97">
        <v>17</v>
      </c>
      <c r="AX280" s="97">
        <v>17</v>
      </c>
      <c r="AY280" s="97">
        <v>17</v>
      </c>
      <c r="AZ280" s="97">
        <v>17</v>
      </c>
      <c r="BA280" s="97">
        <v>17</v>
      </c>
      <c r="BB280" s="97">
        <v>17</v>
      </c>
      <c r="BC280" s="97">
        <v>17</v>
      </c>
      <c r="BD280" s="97">
        <v>17</v>
      </c>
      <c r="BE280" s="97">
        <v>17</v>
      </c>
      <c r="BF280" s="97">
        <f>+Tabela1107[[#This Row],[PIS]]+Tabela1107[[#This Row],[COFINS]]+Tabela1107[[#This Row],[CONTRIB. FOLHA]]+Tabela1107[[#This Row],[TRIBUTOS S/ LUCRO]]+Tabela1107[[#This Row],[OUTROS]]+Tabela1107[[#This Row],[SP]]</f>
        <v>25.740000000000002</v>
      </c>
      <c r="BG280" s="97">
        <f>+Tabela1107[[#This Row],[PIS]]+Tabela1107[[#This Row],[COFINS]]+Tabela1107[[#This Row],[CONTRIB. FOLHA]]+Tabela1107[[#This Row],[TRIBUTOS S/ LUCRO]]+Tabela1107[[#This Row],[OUTROS]]+Tabela1107[[#This Row],[PR]]</f>
        <v>19.740000000000002</v>
      </c>
      <c r="BH280" s="97">
        <f>+Tabela1107[[#This Row],[PIS]]+Tabela1107[[#This Row],[COFINS]]+Tabela1107[[#This Row],[CONTRIB. FOLHA]]+Tabela1107[[#This Row],[TRIBUTOS S/ LUCRO]]+Tabela1107[[#This Row],[OUTROS]]+Tabela1107[[#This Row],[SC]]</f>
        <v>24.740000000000002</v>
      </c>
      <c r="BI280" s="97">
        <f>+Tabela1107[[#This Row],[PIS]]+Tabela1107[[#This Row],[COFINS]]+Tabela1107[[#This Row],[CONTRIB. FOLHA]]+Tabela1107[[#This Row],[TRIBUTOS S/ LUCRO]]+Tabela1107[[#This Row],[OUTROS]]+Tabela1107[[#This Row],[RS]]</f>
        <v>24.740000000000002</v>
      </c>
      <c r="BJ280" s="97">
        <f>+Tabela1107[[#This Row],[PIS]]+Tabela1107[[#This Row],[COFINS]]+Tabela1107[[#This Row],[CONTRIB. FOLHA]]+Tabela1107[[#This Row],[TRIBUTOS S/ LUCRO]]+Tabela1107[[#This Row],[OUTROS]]+Tabela1107[[#This Row],[RJ]]</f>
        <v>26.740000000000002</v>
      </c>
      <c r="BK280" s="97">
        <f>+Tabela1107[[#This Row],[PIS]]+Tabela1107[[#This Row],[COFINS]]+Tabela1107[[#This Row],[CONTRIB. FOLHA]]+Tabela1107[[#This Row],[TRIBUTOS S/ LUCRO]]+Tabela1107[[#This Row],[OUTROS]]+Tabela1107[[#This Row],[MG]]</f>
        <v>25.740000000000002</v>
      </c>
      <c r="BL280" s="97">
        <f>+Tabela1107[[#This Row],[PIS]]+Tabela1107[[#This Row],[COFINS]]+Tabela1107[[#This Row],[CONTRIB. FOLHA]]+Tabela1107[[#This Row],[TRIBUTOS S/ LUCRO]]+Tabela1107[[#This Row],[OUTROS]]+Tabela1107[[#This Row],[ES]]</f>
        <v>24.740000000000002</v>
      </c>
      <c r="BM280" s="97">
        <f>+Tabela1107[[#This Row],[PIS]]+Tabela1107[[#This Row],[COFINS]]+Tabela1107[[#This Row],[CONTRIB. FOLHA]]+Tabela1107[[#This Row],[TRIBUTOS S/ LUCRO]]+Tabela1107[[#This Row],[OUTROS]]+Tabela1107[[#This Row],[GO]]</f>
        <v>24.740000000000002</v>
      </c>
      <c r="BN280" s="97">
        <f>+Tabela1107[[#This Row],[PIS]]+Tabela1107[[#This Row],[COFINS]]+Tabela1107[[#This Row],[CONTRIB. FOLHA]]+Tabela1107[[#This Row],[TRIBUTOS S/ LUCRO]]+Tabela1107[[#This Row],[OUTROS]]+Tabela1107[[#This Row],[MT]]</f>
        <v>24.740000000000002</v>
      </c>
      <c r="BO280" s="97">
        <f>+Tabela1107[[#This Row],[PIS]]+Tabela1107[[#This Row],[COFINS]]+Tabela1107[[#This Row],[CONTRIB. FOLHA]]+Tabela1107[[#This Row],[TRIBUTOS S/ LUCRO]]+Tabela1107[[#This Row],[OUTROS]]+Tabela1107[[#This Row],[MS]]</f>
        <v>24.740000000000002</v>
      </c>
      <c r="BP280" s="97">
        <f>+Tabela1107[[#This Row],[PIS]]+Tabela1107[[#This Row],[COFINS]]+Tabela1107[[#This Row],[CONTRIB. FOLHA]]+Tabela1107[[#This Row],[TRIBUTOS S/ LUCRO]]+Tabela1107[[#This Row],[OUTROS]]+Tabela1107[[#This Row],[DF]]</f>
        <v>24.740000000000002</v>
      </c>
      <c r="BQ280" s="97">
        <f>+Tabela1107[[#This Row],[PIS]]+Tabela1107[[#This Row],[COFINS]]+Tabela1107[[#This Row],[CONTRIB. FOLHA]]+Tabela1107[[#This Row],[TRIBUTOS S/ LUCRO]]+Tabela1107[[#This Row],[OUTROS]]+Tabela1107[[#This Row],[BA]]</f>
        <v>24.740000000000002</v>
      </c>
      <c r="BR280" s="97">
        <f>+Tabela1107[[#This Row],[PIS]]+Tabela1107[[#This Row],[COFINS]]+Tabela1107[[#This Row],[CONTRIB. FOLHA]]+Tabela1107[[#This Row],[TRIBUTOS S/ LUCRO]]+Tabela1107[[#This Row],[OUTROS]]+Tabela1107[[#This Row],[BA]]</f>
        <v>24.740000000000002</v>
      </c>
      <c r="BS280" s="97">
        <f>+Tabela1107[[#This Row],[PIS]]+Tabela1107[[#This Row],[COFINS]]+Tabela1107[[#This Row],[CONTRIB. FOLHA]]+Tabela1107[[#This Row],[TRIBUTOS S/ LUCRO]]+Tabela1107[[#This Row],[OUTROS]]+Tabela1107[[#This Row],[PE]]</f>
        <v>24.740000000000002</v>
      </c>
      <c r="BT280" s="97">
        <f>+Tabela1107[[#This Row],[PIS]]+Tabela1107[[#This Row],[COFINS]]+Tabela1107[[#This Row],[CONTRIB. FOLHA]]+Tabela1107[[#This Row],[TRIBUTOS S/ LUCRO]]+Tabela1107[[#This Row],[OUTROS]]+Tabela1107[[#This Row],[PA]]</f>
        <v>24.740000000000002</v>
      </c>
      <c r="BU280" s="97">
        <f>+Tabela1107[[#This Row],[PIS]]+Tabela1107[[#This Row],[COFINS]]+Tabela1107[[#This Row],[CONTRIB. FOLHA]]+Tabela1107[[#This Row],[TRIBUTOS S/ LUCRO]]+Tabela1107[[#This Row],[OUTROS]]+Tabela1107[[#This Row],[AM]]</f>
        <v>24.740000000000002</v>
      </c>
      <c r="BV280" s="97">
        <f>AVERAGE(Tabela1107[[#This Row],[TOTAL SP]:[TOTAL AM]])</f>
        <v>24.677500000000006</v>
      </c>
      <c r="BW280" s="97"/>
      <c r="BX280" s="97"/>
    </row>
    <row r="281" spans="2:76" x14ac:dyDescent="0.25">
      <c r="B281" s="89">
        <v>6064</v>
      </c>
      <c r="C281" s="91" t="s">
        <v>13214</v>
      </c>
      <c r="D281" s="89"/>
      <c r="E281" s="89">
        <v>20140626</v>
      </c>
      <c r="F281" s="89" t="s">
        <v>20479</v>
      </c>
      <c r="G281" s="98" t="s">
        <v>20480</v>
      </c>
      <c r="H281" s="89" t="s">
        <v>20481</v>
      </c>
      <c r="I281" s="89" t="s">
        <v>20482</v>
      </c>
      <c r="J281" s="89" t="s">
        <v>399</v>
      </c>
      <c r="K281" s="89" t="s">
        <v>2478</v>
      </c>
      <c r="L281" s="89" t="s">
        <v>3182</v>
      </c>
      <c r="M281" s="89" t="s">
        <v>2638</v>
      </c>
      <c r="N281" s="89" t="s">
        <v>4496</v>
      </c>
      <c r="O281" s="89" t="s">
        <v>4496</v>
      </c>
      <c r="P281" s="89" t="s">
        <v>4496</v>
      </c>
      <c r="Q281" s="89"/>
      <c r="R281" s="89" t="s">
        <v>400</v>
      </c>
      <c r="S281" s="89" t="s">
        <v>21590</v>
      </c>
      <c r="T281" s="89" t="s">
        <v>21591</v>
      </c>
      <c r="U281" s="89" t="str">
        <f>TRIM('Carga Tributária doenças Po (2'!$L281)</f>
        <v>ETINILESTRADIOL</v>
      </c>
      <c r="V281" s="89">
        <f>SUMIFS('Tabela Federal'!$E$4:$E$2069,'Tabela Federal'!$D$4:$D$2069,'Carga Tributária doenças Po (2'!$L281)</f>
        <v>17</v>
      </c>
      <c r="W281" s="89">
        <f>SUMIFS('Tabela Federal'!$E$4:$E$2069,'Tabela Federal'!$D$4:$D$2069,'Carga Tributária doenças Po (2'!$M281)</f>
        <v>5</v>
      </c>
      <c r="X281" s="89">
        <f>SUMIFS('Tabela Federal'!$E$4:$E$2069,'Tabela Federal'!$D$4:$D$2069,'Carga Tributária doenças Po (2'!$N281)</f>
        <v>0</v>
      </c>
      <c r="Y281" s="89">
        <f>SUMIFS('Tabela Federal'!$E$4:$E$2069,'Tabela Federal'!$D$4:$D$2069,'Carga Tributária doenças Po (2'!$O281)</f>
        <v>0</v>
      </c>
      <c r="Z281" s="92" t="str">
        <f>VLOOKUP('Carga Tributária doenças Po (2'!$AD281,'Carga Tributária doenças Po (2'!$CA$12:$CC$16,2,0)</f>
        <v>+</v>
      </c>
      <c r="AA281" s="89" t="s">
        <v>398</v>
      </c>
      <c r="AB281" s="89" t="s">
        <v>21742</v>
      </c>
      <c r="AC281" s="89" t="s">
        <v>21721</v>
      </c>
      <c r="AD281" s="93" t="s">
        <v>19445</v>
      </c>
      <c r="AE281" s="92" t="s">
        <v>4</v>
      </c>
      <c r="AF281" s="92" t="s">
        <v>23</v>
      </c>
      <c r="AG281" s="94">
        <v>16968361</v>
      </c>
      <c r="AH281" s="95">
        <v>32961291</v>
      </c>
      <c r="AI281" s="95">
        <v>75301813.430000007</v>
      </c>
      <c r="AJ281" s="89" t="s">
        <v>413</v>
      </c>
      <c r="AK281" s="89">
        <f>IF('Carga Tributária doenças Po (2'!$Z281="+",0,SUMIFS(PISCOFINS!$I$3:$I$10518,PISCOFINS!$C$3:$C$10518,'Carga Tributária doenças Po (2'!$C281))</f>
        <v>0</v>
      </c>
      <c r="AL281" s="89">
        <f>IF('Carga Tributária doenças Po (2'!$Z281="+",0,SUMIFS(PISCOFINS!$H$3:$H$10518,PISCOFINS!$C$3:$C$10518,'Carga Tributária doenças Po (2'!$C281))</f>
        <v>0</v>
      </c>
      <c r="AM281" s="95">
        <v>3.27</v>
      </c>
      <c r="AN281" s="95">
        <v>3.12</v>
      </c>
      <c r="AO281" s="95">
        <v>1.35</v>
      </c>
      <c r="AP281" s="96">
        <v>18</v>
      </c>
      <c r="AQ281" s="96">
        <v>12</v>
      </c>
      <c r="AR281" s="96">
        <v>17</v>
      </c>
      <c r="AS281" s="97">
        <v>17</v>
      </c>
      <c r="AT281" s="97">
        <v>19</v>
      </c>
      <c r="AU281" s="97">
        <v>18</v>
      </c>
      <c r="AV281" s="97">
        <v>17</v>
      </c>
      <c r="AW281" s="97">
        <v>17</v>
      </c>
      <c r="AX281" s="97">
        <v>17</v>
      </c>
      <c r="AY281" s="97">
        <v>17</v>
      </c>
      <c r="AZ281" s="97">
        <v>17</v>
      </c>
      <c r="BA281" s="97">
        <v>17</v>
      </c>
      <c r="BB281" s="97">
        <v>17</v>
      </c>
      <c r="BC281" s="97">
        <v>17</v>
      </c>
      <c r="BD281" s="97">
        <v>17</v>
      </c>
      <c r="BE281" s="97">
        <v>17</v>
      </c>
      <c r="BF281" s="97">
        <f>+Tabela1107[[#This Row],[PIS]]+Tabela1107[[#This Row],[COFINS]]+Tabela1107[[#This Row],[CONTRIB. FOLHA]]+Tabela1107[[#This Row],[TRIBUTOS S/ LUCRO]]+Tabela1107[[#This Row],[OUTROS]]+Tabela1107[[#This Row],[SP]]</f>
        <v>25.740000000000002</v>
      </c>
      <c r="BG281" s="97">
        <f>+Tabela1107[[#This Row],[PIS]]+Tabela1107[[#This Row],[COFINS]]+Tabela1107[[#This Row],[CONTRIB. FOLHA]]+Tabela1107[[#This Row],[TRIBUTOS S/ LUCRO]]+Tabela1107[[#This Row],[OUTROS]]+Tabela1107[[#This Row],[PR]]</f>
        <v>19.740000000000002</v>
      </c>
      <c r="BH281" s="97">
        <f>+Tabela1107[[#This Row],[PIS]]+Tabela1107[[#This Row],[COFINS]]+Tabela1107[[#This Row],[CONTRIB. FOLHA]]+Tabela1107[[#This Row],[TRIBUTOS S/ LUCRO]]+Tabela1107[[#This Row],[OUTROS]]+Tabela1107[[#This Row],[SC]]</f>
        <v>24.740000000000002</v>
      </c>
      <c r="BI281" s="97">
        <f>+Tabela1107[[#This Row],[PIS]]+Tabela1107[[#This Row],[COFINS]]+Tabela1107[[#This Row],[CONTRIB. FOLHA]]+Tabela1107[[#This Row],[TRIBUTOS S/ LUCRO]]+Tabela1107[[#This Row],[OUTROS]]+Tabela1107[[#This Row],[RS]]</f>
        <v>24.740000000000002</v>
      </c>
      <c r="BJ281" s="97">
        <f>+Tabela1107[[#This Row],[PIS]]+Tabela1107[[#This Row],[COFINS]]+Tabela1107[[#This Row],[CONTRIB. FOLHA]]+Tabela1107[[#This Row],[TRIBUTOS S/ LUCRO]]+Tabela1107[[#This Row],[OUTROS]]+Tabela1107[[#This Row],[RJ]]</f>
        <v>26.740000000000002</v>
      </c>
      <c r="BK281" s="97">
        <f>+Tabela1107[[#This Row],[PIS]]+Tabela1107[[#This Row],[COFINS]]+Tabela1107[[#This Row],[CONTRIB. FOLHA]]+Tabela1107[[#This Row],[TRIBUTOS S/ LUCRO]]+Tabela1107[[#This Row],[OUTROS]]+Tabela1107[[#This Row],[MG]]</f>
        <v>25.740000000000002</v>
      </c>
      <c r="BL281" s="97">
        <f>+Tabela1107[[#This Row],[PIS]]+Tabela1107[[#This Row],[COFINS]]+Tabela1107[[#This Row],[CONTRIB. FOLHA]]+Tabela1107[[#This Row],[TRIBUTOS S/ LUCRO]]+Tabela1107[[#This Row],[OUTROS]]+Tabela1107[[#This Row],[ES]]</f>
        <v>24.740000000000002</v>
      </c>
      <c r="BM281" s="97">
        <f>+Tabela1107[[#This Row],[PIS]]+Tabela1107[[#This Row],[COFINS]]+Tabela1107[[#This Row],[CONTRIB. FOLHA]]+Tabela1107[[#This Row],[TRIBUTOS S/ LUCRO]]+Tabela1107[[#This Row],[OUTROS]]+Tabela1107[[#This Row],[GO]]</f>
        <v>24.740000000000002</v>
      </c>
      <c r="BN281" s="97">
        <f>+Tabela1107[[#This Row],[PIS]]+Tabela1107[[#This Row],[COFINS]]+Tabela1107[[#This Row],[CONTRIB. FOLHA]]+Tabela1107[[#This Row],[TRIBUTOS S/ LUCRO]]+Tabela1107[[#This Row],[OUTROS]]+Tabela1107[[#This Row],[MT]]</f>
        <v>24.740000000000002</v>
      </c>
      <c r="BO281" s="97">
        <f>+Tabela1107[[#This Row],[PIS]]+Tabela1107[[#This Row],[COFINS]]+Tabela1107[[#This Row],[CONTRIB. FOLHA]]+Tabela1107[[#This Row],[TRIBUTOS S/ LUCRO]]+Tabela1107[[#This Row],[OUTROS]]+Tabela1107[[#This Row],[MS]]</f>
        <v>24.740000000000002</v>
      </c>
      <c r="BP281" s="97">
        <f>+Tabela1107[[#This Row],[PIS]]+Tabela1107[[#This Row],[COFINS]]+Tabela1107[[#This Row],[CONTRIB. FOLHA]]+Tabela1107[[#This Row],[TRIBUTOS S/ LUCRO]]+Tabela1107[[#This Row],[OUTROS]]+Tabela1107[[#This Row],[DF]]</f>
        <v>24.740000000000002</v>
      </c>
      <c r="BQ281" s="97">
        <f>+Tabela1107[[#This Row],[PIS]]+Tabela1107[[#This Row],[COFINS]]+Tabela1107[[#This Row],[CONTRIB. FOLHA]]+Tabela1107[[#This Row],[TRIBUTOS S/ LUCRO]]+Tabela1107[[#This Row],[OUTROS]]+Tabela1107[[#This Row],[BA]]</f>
        <v>24.740000000000002</v>
      </c>
      <c r="BR281" s="97">
        <f>+Tabela1107[[#This Row],[PIS]]+Tabela1107[[#This Row],[COFINS]]+Tabela1107[[#This Row],[CONTRIB. FOLHA]]+Tabela1107[[#This Row],[TRIBUTOS S/ LUCRO]]+Tabela1107[[#This Row],[OUTROS]]+Tabela1107[[#This Row],[BA]]</f>
        <v>24.740000000000002</v>
      </c>
      <c r="BS281" s="97">
        <f>+Tabela1107[[#This Row],[PIS]]+Tabela1107[[#This Row],[COFINS]]+Tabela1107[[#This Row],[CONTRIB. FOLHA]]+Tabela1107[[#This Row],[TRIBUTOS S/ LUCRO]]+Tabela1107[[#This Row],[OUTROS]]+Tabela1107[[#This Row],[PE]]</f>
        <v>24.740000000000002</v>
      </c>
      <c r="BT281" s="97">
        <f>+Tabela1107[[#This Row],[PIS]]+Tabela1107[[#This Row],[COFINS]]+Tabela1107[[#This Row],[CONTRIB. FOLHA]]+Tabela1107[[#This Row],[TRIBUTOS S/ LUCRO]]+Tabela1107[[#This Row],[OUTROS]]+Tabela1107[[#This Row],[PA]]</f>
        <v>24.740000000000002</v>
      </c>
      <c r="BU281" s="97">
        <f>+Tabela1107[[#This Row],[PIS]]+Tabela1107[[#This Row],[COFINS]]+Tabela1107[[#This Row],[CONTRIB. FOLHA]]+Tabela1107[[#This Row],[TRIBUTOS S/ LUCRO]]+Tabela1107[[#This Row],[OUTROS]]+Tabela1107[[#This Row],[AM]]</f>
        <v>24.740000000000002</v>
      </c>
      <c r="BV281" s="97">
        <f>AVERAGE(Tabela1107[[#This Row],[TOTAL SP]:[TOTAL AM]])</f>
        <v>24.677500000000006</v>
      </c>
      <c r="BW281" s="97"/>
      <c r="BX281" s="97"/>
    </row>
    <row r="282" spans="2:76" x14ac:dyDescent="0.25">
      <c r="B282" s="89">
        <v>3472</v>
      </c>
      <c r="C282" s="91" t="s">
        <v>13183</v>
      </c>
      <c r="D282" s="89"/>
      <c r="E282" s="89">
        <v>20140626</v>
      </c>
      <c r="F282" s="89" t="s">
        <v>21207</v>
      </c>
      <c r="G282" s="89" t="s">
        <v>21208</v>
      </c>
      <c r="H282" s="89" t="s">
        <v>21209</v>
      </c>
      <c r="I282" s="89" t="s">
        <v>21210</v>
      </c>
      <c r="J282" s="89" t="s">
        <v>598</v>
      </c>
      <c r="K282" s="89"/>
      <c r="L282" s="89" t="s">
        <v>2796</v>
      </c>
      <c r="M282" s="89" t="s">
        <v>4496</v>
      </c>
      <c r="N282" s="89" t="s">
        <v>4496</v>
      </c>
      <c r="O282" s="89" t="s">
        <v>4496</v>
      </c>
      <c r="P282" s="89" t="s">
        <v>4496</v>
      </c>
      <c r="Q282" s="89"/>
      <c r="R282" s="89" t="s">
        <v>132</v>
      </c>
      <c r="S282" s="89" t="s">
        <v>21676</v>
      </c>
      <c r="T282" s="89" t="s">
        <v>21677</v>
      </c>
      <c r="U282" s="89" t="str">
        <f>TRIM('Carga Tributária doenças Po (2'!$L282)</f>
        <v>BECLOMETASONA</v>
      </c>
      <c r="V282" s="89">
        <f>SUMIFS('Tabela Federal'!$E$4:$E$2069,'Tabela Federal'!$D$4:$D$2069,'Carga Tributária doenças Po (2'!$L282)</f>
        <v>0</v>
      </c>
      <c r="W282" s="89">
        <f>SUMIFS('Tabela Federal'!$E$4:$E$2069,'Tabela Federal'!$D$4:$D$2069,'Carga Tributária doenças Po (2'!$M282)</f>
        <v>0</v>
      </c>
      <c r="X282" s="89">
        <f>SUMIFS('Tabela Federal'!$E$4:$E$2069,'Tabela Federal'!$D$4:$D$2069,'Carga Tributária doenças Po (2'!$N282)</f>
        <v>0</v>
      </c>
      <c r="Y282" s="89">
        <f>SUMIFS('Tabela Federal'!$E$4:$E$2069,'Tabela Federal'!$D$4:$D$2069,'Carga Tributária doenças Po (2'!$O282)</f>
        <v>0</v>
      </c>
      <c r="Z282" s="92" t="str">
        <f>VLOOKUP('Carga Tributária doenças Po (2'!$AD282,'Carga Tributária doenças Po (2'!$CA$12:$CC$16,2,0)</f>
        <v>+</v>
      </c>
      <c r="AA282" s="89" t="s">
        <v>531</v>
      </c>
      <c r="AB282" s="89" t="s">
        <v>21747</v>
      </c>
      <c r="AC282" s="89" t="s">
        <v>21721</v>
      </c>
      <c r="AD282" s="93" t="s">
        <v>21722</v>
      </c>
      <c r="AE282" s="92" t="s">
        <v>2</v>
      </c>
      <c r="AF282" s="92" t="s">
        <v>3</v>
      </c>
      <c r="AG282" s="94">
        <v>173220</v>
      </c>
      <c r="AH282" s="95">
        <v>1268816</v>
      </c>
      <c r="AI282" s="95">
        <v>2893518.7</v>
      </c>
      <c r="AJ282" s="89" t="s">
        <v>533</v>
      </c>
      <c r="AK282" s="89">
        <f>IF('Carga Tributária doenças Po (2'!$Z282="+",0,SUMIFS(PISCOFINS!$I$3:$I$10518,PISCOFINS!$C$3:$C$10518,'Carga Tributária doenças Po (2'!$C282))</f>
        <v>0</v>
      </c>
      <c r="AL282" s="89">
        <f>IF('Carga Tributária doenças Po (2'!$Z282="+",0,SUMIFS(PISCOFINS!$H$3:$H$10518,PISCOFINS!$C$3:$C$10518,'Carga Tributária doenças Po (2'!$C282))</f>
        <v>0</v>
      </c>
      <c r="AM282" s="95">
        <v>3.27</v>
      </c>
      <c r="AN282" s="95">
        <v>3.12</v>
      </c>
      <c r="AO282" s="95">
        <v>1.35</v>
      </c>
      <c r="AP282" s="96">
        <v>18</v>
      </c>
      <c r="AQ282" s="96">
        <v>12</v>
      </c>
      <c r="AR282" s="96">
        <v>17</v>
      </c>
      <c r="AS282" s="97">
        <v>17</v>
      </c>
      <c r="AT282" s="97">
        <v>19</v>
      </c>
      <c r="AU282" s="97">
        <v>18</v>
      </c>
      <c r="AV282" s="97">
        <v>17</v>
      </c>
      <c r="AW282" s="97">
        <v>17</v>
      </c>
      <c r="AX282" s="97">
        <v>17</v>
      </c>
      <c r="AY282" s="97">
        <v>17</v>
      </c>
      <c r="AZ282" s="97">
        <v>17</v>
      </c>
      <c r="BA282" s="97">
        <v>17</v>
      </c>
      <c r="BB282" s="97">
        <v>17</v>
      </c>
      <c r="BC282" s="97">
        <v>17</v>
      </c>
      <c r="BD282" s="97">
        <v>17</v>
      </c>
      <c r="BE282" s="97">
        <v>17</v>
      </c>
      <c r="BF282" s="97">
        <f>+Tabela1107[[#This Row],[PIS]]+Tabela1107[[#This Row],[COFINS]]+Tabela1107[[#This Row],[CONTRIB. FOLHA]]+Tabela1107[[#This Row],[TRIBUTOS S/ LUCRO]]+Tabela1107[[#This Row],[OUTROS]]+Tabela1107[[#This Row],[SP]]</f>
        <v>25.740000000000002</v>
      </c>
      <c r="BG282" s="97">
        <f>+Tabela1107[[#This Row],[PIS]]+Tabela1107[[#This Row],[COFINS]]+Tabela1107[[#This Row],[CONTRIB. FOLHA]]+Tabela1107[[#This Row],[TRIBUTOS S/ LUCRO]]+Tabela1107[[#This Row],[OUTROS]]+Tabela1107[[#This Row],[PR]]</f>
        <v>19.740000000000002</v>
      </c>
      <c r="BH282" s="97">
        <f>+Tabela1107[[#This Row],[PIS]]+Tabela1107[[#This Row],[COFINS]]+Tabela1107[[#This Row],[CONTRIB. FOLHA]]+Tabela1107[[#This Row],[TRIBUTOS S/ LUCRO]]+Tabela1107[[#This Row],[OUTROS]]+Tabela1107[[#This Row],[SC]]</f>
        <v>24.740000000000002</v>
      </c>
      <c r="BI282" s="97">
        <f>+Tabela1107[[#This Row],[PIS]]+Tabela1107[[#This Row],[COFINS]]+Tabela1107[[#This Row],[CONTRIB. FOLHA]]+Tabela1107[[#This Row],[TRIBUTOS S/ LUCRO]]+Tabela1107[[#This Row],[OUTROS]]+Tabela1107[[#This Row],[RS]]</f>
        <v>24.740000000000002</v>
      </c>
      <c r="BJ282" s="97">
        <f>+Tabela1107[[#This Row],[PIS]]+Tabela1107[[#This Row],[COFINS]]+Tabela1107[[#This Row],[CONTRIB. FOLHA]]+Tabela1107[[#This Row],[TRIBUTOS S/ LUCRO]]+Tabela1107[[#This Row],[OUTROS]]+Tabela1107[[#This Row],[RJ]]</f>
        <v>26.740000000000002</v>
      </c>
      <c r="BK282" s="97">
        <f>+Tabela1107[[#This Row],[PIS]]+Tabela1107[[#This Row],[COFINS]]+Tabela1107[[#This Row],[CONTRIB. FOLHA]]+Tabela1107[[#This Row],[TRIBUTOS S/ LUCRO]]+Tabela1107[[#This Row],[OUTROS]]+Tabela1107[[#This Row],[MG]]</f>
        <v>25.740000000000002</v>
      </c>
      <c r="BL282" s="97">
        <f>+Tabela1107[[#This Row],[PIS]]+Tabela1107[[#This Row],[COFINS]]+Tabela1107[[#This Row],[CONTRIB. FOLHA]]+Tabela1107[[#This Row],[TRIBUTOS S/ LUCRO]]+Tabela1107[[#This Row],[OUTROS]]+Tabela1107[[#This Row],[ES]]</f>
        <v>24.740000000000002</v>
      </c>
      <c r="BM282" s="97">
        <f>+Tabela1107[[#This Row],[PIS]]+Tabela1107[[#This Row],[COFINS]]+Tabela1107[[#This Row],[CONTRIB. FOLHA]]+Tabela1107[[#This Row],[TRIBUTOS S/ LUCRO]]+Tabela1107[[#This Row],[OUTROS]]+Tabela1107[[#This Row],[GO]]</f>
        <v>24.740000000000002</v>
      </c>
      <c r="BN282" s="97">
        <f>+Tabela1107[[#This Row],[PIS]]+Tabela1107[[#This Row],[COFINS]]+Tabela1107[[#This Row],[CONTRIB. FOLHA]]+Tabela1107[[#This Row],[TRIBUTOS S/ LUCRO]]+Tabela1107[[#This Row],[OUTROS]]+Tabela1107[[#This Row],[MT]]</f>
        <v>24.740000000000002</v>
      </c>
      <c r="BO282" s="97">
        <f>+Tabela1107[[#This Row],[PIS]]+Tabela1107[[#This Row],[COFINS]]+Tabela1107[[#This Row],[CONTRIB. FOLHA]]+Tabela1107[[#This Row],[TRIBUTOS S/ LUCRO]]+Tabela1107[[#This Row],[OUTROS]]+Tabela1107[[#This Row],[MS]]</f>
        <v>24.740000000000002</v>
      </c>
      <c r="BP282" s="97">
        <f>+Tabela1107[[#This Row],[PIS]]+Tabela1107[[#This Row],[COFINS]]+Tabela1107[[#This Row],[CONTRIB. FOLHA]]+Tabela1107[[#This Row],[TRIBUTOS S/ LUCRO]]+Tabela1107[[#This Row],[OUTROS]]+Tabela1107[[#This Row],[DF]]</f>
        <v>24.740000000000002</v>
      </c>
      <c r="BQ282" s="97">
        <f>+Tabela1107[[#This Row],[PIS]]+Tabela1107[[#This Row],[COFINS]]+Tabela1107[[#This Row],[CONTRIB. FOLHA]]+Tabela1107[[#This Row],[TRIBUTOS S/ LUCRO]]+Tabela1107[[#This Row],[OUTROS]]+Tabela1107[[#This Row],[BA]]</f>
        <v>24.740000000000002</v>
      </c>
      <c r="BR282" s="97">
        <f>+Tabela1107[[#This Row],[PIS]]+Tabela1107[[#This Row],[COFINS]]+Tabela1107[[#This Row],[CONTRIB. FOLHA]]+Tabela1107[[#This Row],[TRIBUTOS S/ LUCRO]]+Tabela1107[[#This Row],[OUTROS]]+Tabela1107[[#This Row],[BA]]</f>
        <v>24.740000000000002</v>
      </c>
      <c r="BS282" s="97">
        <f>+Tabela1107[[#This Row],[PIS]]+Tabela1107[[#This Row],[COFINS]]+Tabela1107[[#This Row],[CONTRIB. FOLHA]]+Tabela1107[[#This Row],[TRIBUTOS S/ LUCRO]]+Tabela1107[[#This Row],[OUTROS]]+Tabela1107[[#This Row],[PE]]</f>
        <v>24.740000000000002</v>
      </c>
      <c r="BT282" s="97">
        <f>+Tabela1107[[#This Row],[PIS]]+Tabela1107[[#This Row],[COFINS]]+Tabela1107[[#This Row],[CONTRIB. FOLHA]]+Tabela1107[[#This Row],[TRIBUTOS S/ LUCRO]]+Tabela1107[[#This Row],[OUTROS]]+Tabela1107[[#This Row],[PA]]</f>
        <v>24.740000000000002</v>
      </c>
      <c r="BU282" s="97">
        <f>+Tabela1107[[#This Row],[PIS]]+Tabela1107[[#This Row],[COFINS]]+Tabela1107[[#This Row],[CONTRIB. FOLHA]]+Tabela1107[[#This Row],[TRIBUTOS S/ LUCRO]]+Tabela1107[[#This Row],[OUTROS]]+Tabela1107[[#This Row],[AM]]</f>
        <v>24.740000000000002</v>
      </c>
      <c r="BV282" s="97">
        <f>AVERAGE(Tabela1107[[#This Row],[TOTAL SP]:[TOTAL AM]])</f>
        <v>24.677500000000006</v>
      </c>
      <c r="BW282" s="97"/>
      <c r="BX282" s="97"/>
    </row>
    <row r="283" spans="2:76" x14ac:dyDescent="0.25">
      <c r="B283" s="89">
        <v>21011</v>
      </c>
      <c r="C283" s="91" t="s">
        <v>13159</v>
      </c>
      <c r="D283" s="89"/>
      <c r="E283" s="89">
        <v>20140626</v>
      </c>
      <c r="F283" s="89" t="s">
        <v>20459</v>
      </c>
      <c r="G283" s="89" t="s">
        <v>20460</v>
      </c>
      <c r="H283" s="89" t="s">
        <v>20461</v>
      </c>
      <c r="I283" s="89" t="s">
        <v>20462</v>
      </c>
      <c r="J283" s="89" t="s">
        <v>502</v>
      </c>
      <c r="K283" s="99" t="s">
        <v>2508</v>
      </c>
      <c r="L283" s="89" t="s">
        <v>2665</v>
      </c>
      <c r="M283" s="89" t="s">
        <v>4496</v>
      </c>
      <c r="N283" s="89" t="s">
        <v>4496</v>
      </c>
      <c r="O283" s="89" t="s">
        <v>4496</v>
      </c>
      <c r="P283" s="89" t="s">
        <v>4496</v>
      </c>
      <c r="Q283" s="89"/>
      <c r="R283" s="89" t="s">
        <v>264</v>
      </c>
      <c r="S283" s="89" t="s">
        <v>21588</v>
      </c>
      <c r="T283" s="89" t="s">
        <v>21589</v>
      </c>
      <c r="U283" s="89" t="str">
        <f>TRIM('Carga Tributária doenças Po (2'!$L283)</f>
        <v>ISOSSORBIDA</v>
      </c>
      <c r="V283" s="89">
        <f>SUMIFS('Tabela Federal'!$E$4:$E$2069,'Tabela Federal'!$D$4:$D$2069,'Carga Tributária doenças Po (2'!$L283)</f>
        <v>0</v>
      </c>
      <c r="W283" s="89">
        <f>SUMIFS('Tabela Federal'!$E$4:$E$2069,'Tabela Federal'!$D$4:$D$2069,'Carga Tributária doenças Po (2'!$M283)</f>
        <v>0</v>
      </c>
      <c r="X283" s="89">
        <f>SUMIFS('Tabela Federal'!$E$4:$E$2069,'Tabela Federal'!$D$4:$D$2069,'Carga Tributária doenças Po (2'!$N283)</f>
        <v>0</v>
      </c>
      <c r="Y283" s="89">
        <f>SUMIFS('Tabela Federal'!$E$4:$E$2069,'Tabela Federal'!$D$4:$D$2069,'Carga Tributária doenças Po (2'!$O283)</f>
        <v>0</v>
      </c>
      <c r="Z283" s="92" t="str">
        <f>VLOOKUP('Carga Tributária doenças Po (2'!$AD283,'Carga Tributária doenças Po (2'!$CA$12:$CC$16,2,0)</f>
        <v>+</v>
      </c>
      <c r="AA283" s="89" t="s">
        <v>501</v>
      </c>
      <c r="AB283" s="89" t="s">
        <v>21760</v>
      </c>
      <c r="AC283" s="89" t="s">
        <v>21721</v>
      </c>
      <c r="AD283" s="93" t="s">
        <v>21722</v>
      </c>
      <c r="AE283" s="92" t="s">
        <v>2</v>
      </c>
      <c r="AF283" s="92" t="s">
        <v>23</v>
      </c>
      <c r="AG283" s="94">
        <v>1679529</v>
      </c>
      <c r="AH283" s="95">
        <v>5987171</v>
      </c>
      <c r="AI283" s="95">
        <v>13662154.57</v>
      </c>
      <c r="AJ283" s="89" t="s">
        <v>499</v>
      </c>
      <c r="AK283" s="89">
        <f>IF('Carga Tributária doenças Po (2'!$Z283="+",0,SUMIFS(PISCOFINS!$I$3:$I$10518,PISCOFINS!$C$3:$C$10518,'Carga Tributária doenças Po (2'!$C283))</f>
        <v>0</v>
      </c>
      <c r="AL283" s="89">
        <f>IF('Carga Tributária doenças Po (2'!$Z283="+",0,SUMIFS(PISCOFINS!$H$3:$H$10518,PISCOFINS!$C$3:$C$10518,'Carga Tributária doenças Po (2'!$C283))</f>
        <v>0</v>
      </c>
      <c r="AM283" s="95">
        <v>3.27</v>
      </c>
      <c r="AN283" s="95">
        <v>3.12</v>
      </c>
      <c r="AO283" s="95">
        <v>1.35</v>
      </c>
      <c r="AP283" s="96">
        <v>18</v>
      </c>
      <c r="AQ283" s="96">
        <v>12</v>
      </c>
      <c r="AR283" s="96">
        <v>17</v>
      </c>
      <c r="AS283" s="97">
        <v>17</v>
      </c>
      <c r="AT283" s="97">
        <v>19</v>
      </c>
      <c r="AU283" s="97">
        <v>18</v>
      </c>
      <c r="AV283" s="97">
        <v>17</v>
      </c>
      <c r="AW283" s="97">
        <v>17</v>
      </c>
      <c r="AX283" s="97">
        <v>17</v>
      </c>
      <c r="AY283" s="97">
        <v>17</v>
      </c>
      <c r="AZ283" s="97">
        <v>17</v>
      </c>
      <c r="BA283" s="97">
        <v>17</v>
      </c>
      <c r="BB283" s="97">
        <v>17</v>
      </c>
      <c r="BC283" s="97">
        <v>17</v>
      </c>
      <c r="BD283" s="97">
        <v>17</v>
      </c>
      <c r="BE283" s="97">
        <v>17</v>
      </c>
      <c r="BF283" s="97">
        <f>+Tabela1107[[#This Row],[PIS]]+Tabela1107[[#This Row],[COFINS]]+Tabela1107[[#This Row],[CONTRIB. FOLHA]]+Tabela1107[[#This Row],[TRIBUTOS S/ LUCRO]]+Tabela1107[[#This Row],[OUTROS]]+Tabela1107[[#This Row],[SP]]</f>
        <v>25.740000000000002</v>
      </c>
      <c r="BG283" s="97">
        <f>+Tabela1107[[#This Row],[PIS]]+Tabela1107[[#This Row],[COFINS]]+Tabela1107[[#This Row],[CONTRIB. FOLHA]]+Tabela1107[[#This Row],[TRIBUTOS S/ LUCRO]]+Tabela1107[[#This Row],[OUTROS]]+Tabela1107[[#This Row],[PR]]</f>
        <v>19.740000000000002</v>
      </c>
      <c r="BH283" s="97">
        <f>+Tabela1107[[#This Row],[PIS]]+Tabela1107[[#This Row],[COFINS]]+Tabela1107[[#This Row],[CONTRIB. FOLHA]]+Tabela1107[[#This Row],[TRIBUTOS S/ LUCRO]]+Tabela1107[[#This Row],[OUTROS]]+Tabela1107[[#This Row],[SC]]</f>
        <v>24.740000000000002</v>
      </c>
      <c r="BI283" s="97">
        <f>+Tabela1107[[#This Row],[PIS]]+Tabela1107[[#This Row],[COFINS]]+Tabela1107[[#This Row],[CONTRIB. FOLHA]]+Tabela1107[[#This Row],[TRIBUTOS S/ LUCRO]]+Tabela1107[[#This Row],[OUTROS]]+Tabela1107[[#This Row],[RS]]</f>
        <v>24.740000000000002</v>
      </c>
      <c r="BJ283" s="97">
        <f>+Tabela1107[[#This Row],[PIS]]+Tabela1107[[#This Row],[COFINS]]+Tabela1107[[#This Row],[CONTRIB. FOLHA]]+Tabela1107[[#This Row],[TRIBUTOS S/ LUCRO]]+Tabela1107[[#This Row],[OUTROS]]+Tabela1107[[#This Row],[RJ]]</f>
        <v>26.740000000000002</v>
      </c>
      <c r="BK283" s="97">
        <f>+Tabela1107[[#This Row],[PIS]]+Tabela1107[[#This Row],[COFINS]]+Tabela1107[[#This Row],[CONTRIB. FOLHA]]+Tabela1107[[#This Row],[TRIBUTOS S/ LUCRO]]+Tabela1107[[#This Row],[OUTROS]]+Tabela1107[[#This Row],[MG]]</f>
        <v>25.740000000000002</v>
      </c>
      <c r="BL283" s="97">
        <f>+Tabela1107[[#This Row],[PIS]]+Tabela1107[[#This Row],[COFINS]]+Tabela1107[[#This Row],[CONTRIB. FOLHA]]+Tabela1107[[#This Row],[TRIBUTOS S/ LUCRO]]+Tabela1107[[#This Row],[OUTROS]]+Tabela1107[[#This Row],[ES]]</f>
        <v>24.740000000000002</v>
      </c>
      <c r="BM283" s="97">
        <f>+Tabela1107[[#This Row],[PIS]]+Tabela1107[[#This Row],[COFINS]]+Tabela1107[[#This Row],[CONTRIB. FOLHA]]+Tabela1107[[#This Row],[TRIBUTOS S/ LUCRO]]+Tabela1107[[#This Row],[OUTROS]]+Tabela1107[[#This Row],[GO]]</f>
        <v>24.740000000000002</v>
      </c>
      <c r="BN283" s="97">
        <f>+Tabela1107[[#This Row],[PIS]]+Tabela1107[[#This Row],[COFINS]]+Tabela1107[[#This Row],[CONTRIB. FOLHA]]+Tabela1107[[#This Row],[TRIBUTOS S/ LUCRO]]+Tabela1107[[#This Row],[OUTROS]]+Tabela1107[[#This Row],[MT]]</f>
        <v>24.740000000000002</v>
      </c>
      <c r="BO283" s="97">
        <f>+Tabela1107[[#This Row],[PIS]]+Tabela1107[[#This Row],[COFINS]]+Tabela1107[[#This Row],[CONTRIB. FOLHA]]+Tabela1107[[#This Row],[TRIBUTOS S/ LUCRO]]+Tabela1107[[#This Row],[OUTROS]]+Tabela1107[[#This Row],[MS]]</f>
        <v>24.740000000000002</v>
      </c>
      <c r="BP283" s="97">
        <f>+Tabela1107[[#This Row],[PIS]]+Tabela1107[[#This Row],[COFINS]]+Tabela1107[[#This Row],[CONTRIB. FOLHA]]+Tabela1107[[#This Row],[TRIBUTOS S/ LUCRO]]+Tabela1107[[#This Row],[OUTROS]]+Tabela1107[[#This Row],[DF]]</f>
        <v>24.740000000000002</v>
      </c>
      <c r="BQ283" s="97">
        <f>+Tabela1107[[#This Row],[PIS]]+Tabela1107[[#This Row],[COFINS]]+Tabela1107[[#This Row],[CONTRIB. FOLHA]]+Tabela1107[[#This Row],[TRIBUTOS S/ LUCRO]]+Tabela1107[[#This Row],[OUTROS]]+Tabela1107[[#This Row],[BA]]</f>
        <v>24.740000000000002</v>
      </c>
      <c r="BR283" s="97">
        <f>+Tabela1107[[#This Row],[PIS]]+Tabela1107[[#This Row],[COFINS]]+Tabela1107[[#This Row],[CONTRIB. FOLHA]]+Tabela1107[[#This Row],[TRIBUTOS S/ LUCRO]]+Tabela1107[[#This Row],[OUTROS]]+Tabela1107[[#This Row],[BA]]</f>
        <v>24.740000000000002</v>
      </c>
      <c r="BS283" s="97">
        <f>+Tabela1107[[#This Row],[PIS]]+Tabela1107[[#This Row],[COFINS]]+Tabela1107[[#This Row],[CONTRIB. FOLHA]]+Tabela1107[[#This Row],[TRIBUTOS S/ LUCRO]]+Tabela1107[[#This Row],[OUTROS]]+Tabela1107[[#This Row],[PE]]</f>
        <v>24.740000000000002</v>
      </c>
      <c r="BT283" s="97">
        <f>+Tabela1107[[#This Row],[PIS]]+Tabela1107[[#This Row],[COFINS]]+Tabela1107[[#This Row],[CONTRIB. FOLHA]]+Tabela1107[[#This Row],[TRIBUTOS S/ LUCRO]]+Tabela1107[[#This Row],[OUTROS]]+Tabela1107[[#This Row],[PA]]</f>
        <v>24.740000000000002</v>
      </c>
      <c r="BU283" s="97">
        <f>+Tabela1107[[#This Row],[PIS]]+Tabela1107[[#This Row],[COFINS]]+Tabela1107[[#This Row],[CONTRIB. FOLHA]]+Tabela1107[[#This Row],[TRIBUTOS S/ LUCRO]]+Tabela1107[[#This Row],[OUTROS]]+Tabela1107[[#This Row],[AM]]</f>
        <v>24.740000000000002</v>
      </c>
      <c r="BV283" s="97">
        <f>AVERAGE(Tabela1107[[#This Row],[TOTAL SP]:[TOTAL AM]])</f>
        <v>24.677500000000006</v>
      </c>
      <c r="BW283" s="97"/>
      <c r="BX283" s="97"/>
    </row>
    <row r="284" spans="2:76" x14ac:dyDescent="0.25">
      <c r="B284" s="89">
        <v>21015</v>
      </c>
      <c r="C284" s="91" t="s">
        <v>13159</v>
      </c>
      <c r="D284" s="89"/>
      <c r="E284" s="89">
        <v>20140626</v>
      </c>
      <c r="F284" s="89" t="s">
        <v>20325</v>
      </c>
      <c r="G284" s="89" t="s">
        <v>20326</v>
      </c>
      <c r="H284" s="89" t="s">
        <v>20327</v>
      </c>
      <c r="I284" s="89" t="s">
        <v>3843</v>
      </c>
      <c r="J284" s="89" t="s">
        <v>512</v>
      </c>
      <c r="K284" s="99" t="s">
        <v>2508</v>
      </c>
      <c r="L284" s="89" t="s">
        <v>3843</v>
      </c>
      <c r="M284" s="89" t="s">
        <v>4496</v>
      </c>
      <c r="N284" s="89" t="s">
        <v>4496</v>
      </c>
      <c r="O284" s="89" t="s">
        <v>4496</v>
      </c>
      <c r="P284" s="89" t="s">
        <v>4496</v>
      </c>
      <c r="Q284" s="89"/>
      <c r="R284" s="89" t="s">
        <v>1</v>
      </c>
      <c r="S284" s="89" t="s">
        <v>21566</v>
      </c>
      <c r="T284" s="89" t="s">
        <v>21567</v>
      </c>
      <c r="U284" s="89" t="str">
        <f>TRIM('Carga Tributária doenças Po (2'!$L284)</f>
        <v>MONONITRATO DE ISOSSORBIDA</v>
      </c>
      <c r="V284" s="89">
        <f>SUMIFS('Tabela Federal'!$E$4:$E$2069,'Tabela Federal'!$D$4:$D$2069,'Carga Tributária doenças Po (2'!$L284)</f>
        <v>2</v>
      </c>
      <c r="W284" s="89">
        <f>SUMIFS('Tabela Federal'!$E$4:$E$2069,'Tabela Federal'!$D$4:$D$2069,'Carga Tributária doenças Po (2'!$M284)</f>
        <v>0</v>
      </c>
      <c r="X284" s="89">
        <f>SUMIFS('Tabela Federal'!$E$4:$E$2069,'Tabela Federal'!$D$4:$D$2069,'Carga Tributária doenças Po (2'!$N284)</f>
        <v>0</v>
      </c>
      <c r="Y284" s="89">
        <f>SUMIFS('Tabela Federal'!$E$4:$E$2069,'Tabela Federal'!$D$4:$D$2069,'Carga Tributária doenças Po (2'!$O284)</f>
        <v>0</v>
      </c>
      <c r="Z284" s="92" t="str">
        <f>VLOOKUP('Carga Tributária doenças Po (2'!$AD284,'Carga Tributária doenças Po (2'!$CA$12:$CC$16,2,0)</f>
        <v>+</v>
      </c>
      <c r="AA284" s="89" t="s">
        <v>501</v>
      </c>
      <c r="AB284" s="89" t="s">
        <v>21760</v>
      </c>
      <c r="AC284" s="89" t="s">
        <v>21721</v>
      </c>
      <c r="AD284" s="93" t="s">
        <v>21722</v>
      </c>
      <c r="AE284" s="92" t="s">
        <v>2</v>
      </c>
      <c r="AF284" s="92" t="s">
        <v>10</v>
      </c>
      <c r="AG284" s="94">
        <v>223459</v>
      </c>
      <c r="AH284" s="95">
        <v>1089760</v>
      </c>
      <c r="AI284" s="95">
        <v>2486971.7400000002</v>
      </c>
      <c r="AJ284" s="89" t="s">
        <v>499</v>
      </c>
      <c r="AK284" s="89">
        <f>IF('Carga Tributária doenças Po (2'!$Z284="+",0,SUMIFS(PISCOFINS!$I$3:$I$10518,PISCOFINS!$C$3:$C$10518,'Carga Tributária doenças Po (2'!$C284))</f>
        <v>0</v>
      </c>
      <c r="AL284" s="89">
        <f>IF('Carga Tributária doenças Po (2'!$Z284="+",0,SUMIFS(PISCOFINS!$H$3:$H$10518,PISCOFINS!$C$3:$C$10518,'Carga Tributária doenças Po (2'!$C284))</f>
        <v>0</v>
      </c>
      <c r="AM284" s="95">
        <v>3.27</v>
      </c>
      <c r="AN284" s="95">
        <v>3.12</v>
      </c>
      <c r="AO284" s="95">
        <v>1.35</v>
      </c>
      <c r="AP284" s="96">
        <v>18</v>
      </c>
      <c r="AQ284" s="96">
        <v>12</v>
      </c>
      <c r="AR284" s="96">
        <v>17</v>
      </c>
      <c r="AS284" s="97">
        <v>17</v>
      </c>
      <c r="AT284" s="97">
        <v>19</v>
      </c>
      <c r="AU284" s="97">
        <v>12</v>
      </c>
      <c r="AV284" s="97">
        <v>17</v>
      </c>
      <c r="AW284" s="97">
        <v>17</v>
      </c>
      <c r="AX284" s="97">
        <v>17</v>
      </c>
      <c r="AY284" s="97">
        <v>17</v>
      </c>
      <c r="AZ284" s="97">
        <v>17</v>
      </c>
      <c r="BA284" s="97">
        <v>17</v>
      </c>
      <c r="BB284" s="97">
        <v>17</v>
      </c>
      <c r="BC284" s="97">
        <v>17</v>
      </c>
      <c r="BD284" s="97">
        <v>17</v>
      </c>
      <c r="BE284" s="97">
        <v>17</v>
      </c>
      <c r="BF284" s="97">
        <f>+Tabela1107[[#This Row],[PIS]]+Tabela1107[[#This Row],[COFINS]]+Tabela1107[[#This Row],[CONTRIB. FOLHA]]+Tabela1107[[#This Row],[TRIBUTOS S/ LUCRO]]+Tabela1107[[#This Row],[OUTROS]]+Tabela1107[[#This Row],[SP]]</f>
        <v>25.740000000000002</v>
      </c>
      <c r="BG284" s="97">
        <f>+Tabela1107[[#This Row],[PIS]]+Tabela1107[[#This Row],[COFINS]]+Tabela1107[[#This Row],[CONTRIB. FOLHA]]+Tabela1107[[#This Row],[TRIBUTOS S/ LUCRO]]+Tabela1107[[#This Row],[OUTROS]]+Tabela1107[[#This Row],[PR]]</f>
        <v>19.740000000000002</v>
      </c>
      <c r="BH284" s="97">
        <f>+Tabela1107[[#This Row],[PIS]]+Tabela1107[[#This Row],[COFINS]]+Tabela1107[[#This Row],[CONTRIB. FOLHA]]+Tabela1107[[#This Row],[TRIBUTOS S/ LUCRO]]+Tabela1107[[#This Row],[OUTROS]]+Tabela1107[[#This Row],[SC]]</f>
        <v>24.740000000000002</v>
      </c>
      <c r="BI284" s="97">
        <f>+Tabela1107[[#This Row],[PIS]]+Tabela1107[[#This Row],[COFINS]]+Tabela1107[[#This Row],[CONTRIB. FOLHA]]+Tabela1107[[#This Row],[TRIBUTOS S/ LUCRO]]+Tabela1107[[#This Row],[OUTROS]]+Tabela1107[[#This Row],[RS]]</f>
        <v>24.740000000000002</v>
      </c>
      <c r="BJ284" s="97">
        <f>+Tabela1107[[#This Row],[PIS]]+Tabela1107[[#This Row],[COFINS]]+Tabela1107[[#This Row],[CONTRIB. FOLHA]]+Tabela1107[[#This Row],[TRIBUTOS S/ LUCRO]]+Tabela1107[[#This Row],[OUTROS]]+Tabela1107[[#This Row],[RJ]]</f>
        <v>26.740000000000002</v>
      </c>
      <c r="BK284" s="97">
        <f>+Tabela1107[[#This Row],[PIS]]+Tabela1107[[#This Row],[COFINS]]+Tabela1107[[#This Row],[CONTRIB. FOLHA]]+Tabela1107[[#This Row],[TRIBUTOS S/ LUCRO]]+Tabela1107[[#This Row],[OUTROS]]+Tabela1107[[#This Row],[MG]]</f>
        <v>19.740000000000002</v>
      </c>
      <c r="BL284" s="97">
        <f>+Tabela1107[[#This Row],[PIS]]+Tabela1107[[#This Row],[COFINS]]+Tabela1107[[#This Row],[CONTRIB. FOLHA]]+Tabela1107[[#This Row],[TRIBUTOS S/ LUCRO]]+Tabela1107[[#This Row],[OUTROS]]+Tabela1107[[#This Row],[ES]]</f>
        <v>24.740000000000002</v>
      </c>
      <c r="BM284" s="97">
        <f>+Tabela1107[[#This Row],[PIS]]+Tabela1107[[#This Row],[COFINS]]+Tabela1107[[#This Row],[CONTRIB. FOLHA]]+Tabela1107[[#This Row],[TRIBUTOS S/ LUCRO]]+Tabela1107[[#This Row],[OUTROS]]+Tabela1107[[#This Row],[GO]]</f>
        <v>24.740000000000002</v>
      </c>
      <c r="BN284" s="97">
        <f>+Tabela1107[[#This Row],[PIS]]+Tabela1107[[#This Row],[COFINS]]+Tabela1107[[#This Row],[CONTRIB. FOLHA]]+Tabela1107[[#This Row],[TRIBUTOS S/ LUCRO]]+Tabela1107[[#This Row],[OUTROS]]+Tabela1107[[#This Row],[MT]]</f>
        <v>24.740000000000002</v>
      </c>
      <c r="BO284" s="97">
        <f>+Tabela1107[[#This Row],[PIS]]+Tabela1107[[#This Row],[COFINS]]+Tabela1107[[#This Row],[CONTRIB. FOLHA]]+Tabela1107[[#This Row],[TRIBUTOS S/ LUCRO]]+Tabela1107[[#This Row],[OUTROS]]+Tabela1107[[#This Row],[MS]]</f>
        <v>24.740000000000002</v>
      </c>
      <c r="BP284" s="97">
        <f>+Tabela1107[[#This Row],[PIS]]+Tabela1107[[#This Row],[COFINS]]+Tabela1107[[#This Row],[CONTRIB. FOLHA]]+Tabela1107[[#This Row],[TRIBUTOS S/ LUCRO]]+Tabela1107[[#This Row],[OUTROS]]+Tabela1107[[#This Row],[DF]]</f>
        <v>24.740000000000002</v>
      </c>
      <c r="BQ284" s="97">
        <f>+Tabela1107[[#This Row],[PIS]]+Tabela1107[[#This Row],[COFINS]]+Tabela1107[[#This Row],[CONTRIB. FOLHA]]+Tabela1107[[#This Row],[TRIBUTOS S/ LUCRO]]+Tabela1107[[#This Row],[OUTROS]]+Tabela1107[[#This Row],[BA]]</f>
        <v>24.740000000000002</v>
      </c>
      <c r="BR284" s="97">
        <f>+Tabela1107[[#This Row],[PIS]]+Tabela1107[[#This Row],[COFINS]]+Tabela1107[[#This Row],[CONTRIB. FOLHA]]+Tabela1107[[#This Row],[TRIBUTOS S/ LUCRO]]+Tabela1107[[#This Row],[OUTROS]]+Tabela1107[[#This Row],[BA]]</f>
        <v>24.740000000000002</v>
      </c>
      <c r="BS284" s="97">
        <f>+Tabela1107[[#This Row],[PIS]]+Tabela1107[[#This Row],[COFINS]]+Tabela1107[[#This Row],[CONTRIB. FOLHA]]+Tabela1107[[#This Row],[TRIBUTOS S/ LUCRO]]+Tabela1107[[#This Row],[OUTROS]]+Tabela1107[[#This Row],[PE]]</f>
        <v>24.740000000000002</v>
      </c>
      <c r="BT284" s="97">
        <f>+Tabela1107[[#This Row],[PIS]]+Tabela1107[[#This Row],[COFINS]]+Tabela1107[[#This Row],[CONTRIB. FOLHA]]+Tabela1107[[#This Row],[TRIBUTOS S/ LUCRO]]+Tabela1107[[#This Row],[OUTROS]]+Tabela1107[[#This Row],[PA]]</f>
        <v>24.740000000000002</v>
      </c>
      <c r="BU284" s="97">
        <f>+Tabela1107[[#This Row],[PIS]]+Tabela1107[[#This Row],[COFINS]]+Tabela1107[[#This Row],[CONTRIB. FOLHA]]+Tabela1107[[#This Row],[TRIBUTOS S/ LUCRO]]+Tabela1107[[#This Row],[OUTROS]]+Tabela1107[[#This Row],[AM]]</f>
        <v>24.740000000000002</v>
      </c>
      <c r="BV284" s="97">
        <f>AVERAGE(Tabela1107[[#This Row],[TOTAL SP]:[TOTAL AM]])</f>
        <v>24.302500000000006</v>
      </c>
      <c r="BW284" s="97"/>
      <c r="BX284" s="97"/>
    </row>
    <row r="285" spans="2:76" x14ac:dyDescent="0.25">
      <c r="B285" s="89">
        <v>21018</v>
      </c>
      <c r="C285" s="91" t="s">
        <v>13159</v>
      </c>
      <c r="D285" s="89"/>
      <c r="E285" s="89">
        <v>20140626</v>
      </c>
      <c r="F285" s="89" t="s">
        <v>20322</v>
      </c>
      <c r="G285" s="89" t="s">
        <v>20323</v>
      </c>
      <c r="H285" s="89" t="s">
        <v>20324</v>
      </c>
      <c r="I285" s="89" t="s">
        <v>3843</v>
      </c>
      <c r="J285" s="89" t="s">
        <v>503</v>
      </c>
      <c r="K285" s="99" t="s">
        <v>2508</v>
      </c>
      <c r="L285" s="89" t="s">
        <v>3843</v>
      </c>
      <c r="M285" s="89" t="s">
        <v>4496</v>
      </c>
      <c r="N285" s="89" t="s">
        <v>4496</v>
      </c>
      <c r="O285" s="89" t="s">
        <v>4496</v>
      </c>
      <c r="P285" s="89" t="s">
        <v>4496</v>
      </c>
      <c r="Q285" s="89"/>
      <c r="R285" s="89" t="s">
        <v>1</v>
      </c>
      <c r="S285" s="89" t="s">
        <v>21566</v>
      </c>
      <c r="T285" s="89" t="s">
        <v>21567</v>
      </c>
      <c r="U285" s="89" t="str">
        <f>TRIM('Carga Tributária doenças Po (2'!$L285)</f>
        <v>MONONITRATO DE ISOSSORBIDA</v>
      </c>
      <c r="V285" s="89">
        <f>SUMIFS('Tabela Federal'!$E$4:$E$2069,'Tabela Federal'!$D$4:$D$2069,'Carga Tributária doenças Po (2'!$L285)</f>
        <v>2</v>
      </c>
      <c r="W285" s="89">
        <f>SUMIFS('Tabela Federal'!$E$4:$E$2069,'Tabela Federal'!$D$4:$D$2069,'Carga Tributária doenças Po (2'!$M285)</f>
        <v>0</v>
      </c>
      <c r="X285" s="89">
        <f>SUMIFS('Tabela Federal'!$E$4:$E$2069,'Tabela Federal'!$D$4:$D$2069,'Carga Tributária doenças Po (2'!$N285)</f>
        <v>0</v>
      </c>
      <c r="Y285" s="89">
        <f>SUMIFS('Tabela Federal'!$E$4:$E$2069,'Tabela Federal'!$D$4:$D$2069,'Carga Tributária doenças Po (2'!$O285)</f>
        <v>0</v>
      </c>
      <c r="Z285" s="92" t="str">
        <f>VLOOKUP('Carga Tributária doenças Po (2'!$AD285,'Carga Tributária doenças Po (2'!$CA$12:$CC$16,2,0)</f>
        <v>+</v>
      </c>
      <c r="AA285" s="89" t="s">
        <v>501</v>
      </c>
      <c r="AB285" s="89" t="s">
        <v>21760</v>
      </c>
      <c r="AC285" s="89" t="s">
        <v>21721</v>
      </c>
      <c r="AD285" s="93" t="s">
        <v>21722</v>
      </c>
      <c r="AE285" s="92" t="s">
        <v>2</v>
      </c>
      <c r="AF285" s="92" t="s">
        <v>10</v>
      </c>
      <c r="AG285" s="94">
        <v>1319615</v>
      </c>
      <c r="AH285" s="95">
        <v>3293617</v>
      </c>
      <c r="AI285" s="95">
        <v>7518886.75</v>
      </c>
      <c r="AJ285" s="89" t="s">
        <v>499</v>
      </c>
      <c r="AK285" s="89">
        <f>IF('Carga Tributária doenças Po (2'!$Z285="+",0,SUMIFS(PISCOFINS!$I$3:$I$10518,PISCOFINS!$C$3:$C$10518,'Carga Tributária doenças Po (2'!$C285))</f>
        <v>0</v>
      </c>
      <c r="AL285" s="89">
        <f>IF('Carga Tributária doenças Po (2'!$Z285="+",0,SUMIFS(PISCOFINS!$H$3:$H$10518,PISCOFINS!$C$3:$C$10518,'Carga Tributária doenças Po (2'!$C285))</f>
        <v>0</v>
      </c>
      <c r="AM285" s="95">
        <v>3.27</v>
      </c>
      <c r="AN285" s="95">
        <v>3.12</v>
      </c>
      <c r="AO285" s="95">
        <v>1.35</v>
      </c>
      <c r="AP285" s="96">
        <v>18</v>
      </c>
      <c r="AQ285" s="96">
        <v>12</v>
      </c>
      <c r="AR285" s="96">
        <v>17</v>
      </c>
      <c r="AS285" s="97">
        <v>17</v>
      </c>
      <c r="AT285" s="97">
        <v>19</v>
      </c>
      <c r="AU285" s="97">
        <v>12</v>
      </c>
      <c r="AV285" s="97">
        <v>17</v>
      </c>
      <c r="AW285" s="97">
        <v>17</v>
      </c>
      <c r="AX285" s="97">
        <v>17</v>
      </c>
      <c r="AY285" s="97">
        <v>17</v>
      </c>
      <c r="AZ285" s="97">
        <v>17</v>
      </c>
      <c r="BA285" s="97">
        <v>17</v>
      </c>
      <c r="BB285" s="97">
        <v>17</v>
      </c>
      <c r="BC285" s="97">
        <v>17</v>
      </c>
      <c r="BD285" s="97">
        <v>17</v>
      </c>
      <c r="BE285" s="97">
        <v>17</v>
      </c>
      <c r="BF285" s="97">
        <f>+Tabela1107[[#This Row],[PIS]]+Tabela1107[[#This Row],[COFINS]]+Tabela1107[[#This Row],[CONTRIB. FOLHA]]+Tabela1107[[#This Row],[TRIBUTOS S/ LUCRO]]+Tabela1107[[#This Row],[OUTROS]]+Tabela1107[[#This Row],[SP]]</f>
        <v>25.740000000000002</v>
      </c>
      <c r="BG285" s="97">
        <f>+Tabela1107[[#This Row],[PIS]]+Tabela1107[[#This Row],[COFINS]]+Tabela1107[[#This Row],[CONTRIB. FOLHA]]+Tabela1107[[#This Row],[TRIBUTOS S/ LUCRO]]+Tabela1107[[#This Row],[OUTROS]]+Tabela1107[[#This Row],[PR]]</f>
        <v>19.740000000000002</v>
      </c>
      <c r="BH285" s="97">
        <f>+Tabela1107[[#This Row],[PIS]]+Tabela1107[[#This Row],[COFINS]]+Tabela1107[[#This Row],[CONTRIB. FOLHA]]+Tabela1107[[#This Row],[TRIBUTOS S/ LUCRO]]+Tabela1107[[#This Row],[OUTROS]]+Tabela1107[[#This Row],[SC]]</f>
        <v>24.740000000000002</v>
      </c>
      <c r="BI285" s="97">
        <f>+Tabela1107[[#This Row],[PIS]]+Tabela1107[[#This Row],[COFINS]]+Tabela1107[[#This Row],[CONTRIB. FOLHA]]+Tabela1107[[#This Row],[TRIBUTOS S/ LUCRO]]+Tabela1107[[#This Row],[OUTROS]]+Tabela1107[[#This Row],[RS]]</f>
        <v>24.740000000000002</v>
      </c>
      <c r="BJ285" s="97">
        <f>+Tabela1107[[#This Row],[PIS]]+Tabela1107[[#This Row],[COFINS]]+Tabela1107[[#This Row],[CONTRIB. FOLHA]]+Tabela1107[[#This Row],[TRIBUTOS S/ LUCRO]]+Tabela1107[[#This Row],[OUTROS]]+Tabela1107[[#This Row],[RJ]]</f>
        <v>26.740000000000002</v>
      </c>
      <c r="BK285" s="97">
        <f>+Tabela1107[[#This Row],[PIS]]+Tabela1107[[#This Row],[COFINS]]+Tabela1107[[#This Row],[CONTRIB. FOLHA]]+Tabela1107[[#This Row],[TRIBUTOS S/ LUCRO]]+Tabela1107[[#This Row],[OUTROS]]+Tabela1107[[#This Row],[MG]]</f>
        <v>19.740000000000002</v>
      </c>
      <c r="BL285" s="97">
        <f>+Tabela1107[[#This Row],[PIS]]+Tabela1107[[#This Row],[COFINS]]+Tabela1107[[#This Row],[CONTRIB. FOLHA]]+Tabela1107[[#This Row],[TRIBUTOS S/ LUCRO]]+Tabela1107[[#This Row],[OUTROS]]+Tabela1107[[#This Row],[ES]]</f>
        <v>24.740000000000002</v>
      </c>
      <c r="BM285" s="97">
        <f>+Tabela1107[[#This Row],[PIS]]+Tabela1107[[#This Row],[COFINS]]+Tabela1107[[#This Row],[CONTRIB. FOLHA]]+Tabela1107[[#This Row],[TRIBUTOS S/ LUCRO]]+Tabela1107[[#This Row],[OUTROS]]+Tabela1107[[#This Row],[GO]]</f>
        <v>24.740000000000002</v>
      </c>
      <c r="BN285" s="97">
        <f>+Tabela1107[[#This Row],[PIS]]+Tabela1107[[#This Row],[COFINS]]+Tabela1107[[#This Row],[CONTRIB. FOLHA]]+Tabela1107[[#This Row],[TRIBUTOS S/ LUCRO]]+Tabela1107[[#This Row],[OUTROS]]+Tabela1107[[#This Row],[MT]]</f>
        <v>24.740000000000002</v>
      </c>
      <c r="BO285" s="97">
        <f>+Tabela1107[[#This Row],[PIS]]+Tabela1107[[#This Row],[COFINS]]+Tabela1107[[#This Row],[CONTRIB. FOLHA]]+Tabela1107[[#This Row],[TRIBUTOS S/ LUCRO]]+Tabela1107[[#This Row],[OUTROS]]+Tabela1107[[#This Row],[MS]]</f>
        <v>24.740000000000002</v>
      </c>
      <c r="BP285" s="97">
        <f>+Tabela1107[[#This Row],[PIS]]+Tabela1107[[#This Row],[COFINS]]+Tabela1107[[#This Row],[CONTRIB. FOLHA]]+Tabela1107[[#This Row],[TRIBUTOS S/ LUCRO]]+Tabela1107[[#This Row],[OUTROS]]+Tabela1107[[#This Row],[DF]]</f>
        <v>24.740000000000002</v>
      </c>
      <c r="BQ285" s="97">
        <f>+Tabela1107[[#This Row],[PIS]]+Tabela1107[[#This Row],[COFINS]]+Tabela1107[[#This Row],[CONTRIB. FOLHA]]+Tabela1107[[#This Row],[TRIBUTOS S/ LUCRO]]+Tabela1107[[#This Row],[OUTROS]]+Tabela1107[[#This Row],[BA]]</f>
        <v>24.740000000000002</v>
      </c>
      <c r="BR285" s="97">
        <f>+Tabela1107[[#This Row],[PIS]]+Tabela1107[[#This Row],[COFINS]]+Tabela1107[[#This Row],[CONTRIB. FOLHA]]+Tabela1107[[#This Row],[TRIBUTOS S/ LUCRO]]+Tabela1107[[#This Row],[OUTROS]]+Tabela1107[[#This Row],[BA]]</f>
        <v>24.740000000000002</v>
      </c>
      <c r="BS285" s="97">
        <f>+Tabela1107[[#This Row],[PIS]]+Tabela1107[[#This Row],[COFINS]]+Tabela1107[[#This Row],[CONTRIB. FOLHA]]+Tabela1107[[#This Row],[TRIBUTOS S/ LUCRO]]+Tabela1107[[#This Row],[OUTROS]]+Tabela1107[[#This Row],[PE]]</f>
        <v>24.740000000000002</v>
      </c>
      <c r="BT285" s="97">
        <f>+Tabela1107[[#This Row],[PIS]]+Tabela1107[[#This Row],[COFINS]]+Tabela1107[[#This Row],[CONTRIB. FOLHA]]+Tabela1107[[#This Row],[TRIBUTOS S/ LUCRO]]+Tabela1107[[#This Row],[OUTROS]]+Tabela1107[[#This Row],[PA]]</f>
        <v>24.740000000000002</v>
      </c>
      <c r="BU285" s="97">
        <f>+Tabela1107[[#This Row],[PIS]]+Tabela1107[[#This Row],[COFINS]]+Tabela1107[[#This Row],[CONTRIB. FOLHA]]+Tabela1107[[#This Row],[TRIBUTOS S/ LUCRO]]+Tabela1107[[#This Row],[OUTROS]]+Tabela1107[[#This Row],[AM]]</f>
        <v>24.740000000000002</v>
      </c>
      <c r="BV285" s="97">
        <f>AVERAGE(Tabela1107[[#This Row],[TOTAL SP]:[TOTAL AM]])</f>
        <v>24.302500000000006</v>
      </c>
      <c r="BW285" s="97"/>
      <c r="BX285" s="97"/>
    </row>
    <row r="286" spans="2:76" x14ac:dyDescent="0.25">
      <c r="B286" s="89">
        <v>21037</v>
      </c>
      <c r="C286" s="91" t="s">
        <v>13177</v>
      </c>
      <c r="D286" s="89"/>
      <c r="E286" s="89">
        <v>20140626</v>
      </c>
      <c r="F286" s="89" t="s">
        <v>20328</v>
      </c>
      <c r="G286" s="89" t="s">
        <v>20329</v>
      </c>
      <c r="H286" s="89" t="s">
        <v>20330</v>
      </c>
      <c r="I286" s="89" t="s">
        <v>20331</v>
      </c>
      <c r="J286" s="89" t="s">
        <v>602</v>
      </c>
      <c r="K286" s="89"/>
      <c r="L286" s="89" t="s">
        <v>2797</v>
      </c>
      <c r="M286" s="89" t="s">
        <v>4496</v>
      </c>
      <c r="N286" s="89" t="s">
        <v>4496</v>
      </c>
      <c r="O286" s="89" t="s">
        <v>4496</v>
      </c>
      <c r="P286" s="89" t="s">
        <v>4496</v>
      </c>
      <c r="Q286" s="89"/>
      <c r="R286" s="89" t="s">
        <v>1</v>
      </c>
      <c r="S286" s="89" t="s">
        <v>21568</v>
      </c>
      <c r="T286" s="89" t="s">
        <v>21569</v>
      </c>
      <c r="U286" s="89" t="str">
        <f>TRIM('Carga Tributária doenças Po (2'!$L286)</f>
        <v>MONTELUCASTE DE SODIO</v>
      </c>
      <c r="V286" s="89">
        <f>SUMIFS('Tabela Federal'!$E$4:$E$2069,'Tabela Federal'!$D$4:$D$2069,'Carga Tributária doenças Po (2'!$L286)</f>
        <v>1</v>
      </c>
      <c r="W286" s="89">
        <f>SUMIFS('Tabela Federal'!$E$4:$E$2069,'Tabela Federal'!$D$4:$D$2069,'Carga Tributária doenças Po (2'!$M286)</f>
        <v>0</v>
      </c>
      <c r="X286" s="89">
        <f>SUMIFS('Tabela Federal'!$E$4:$E$2069,'Tabela Federal'!$D$4:$D$2069,'Carga Tributária doenças Po (2'!$N286)</f>
        <v>0</v>
      </c>
      <c r="Y286" s="89">
        <f>SUMIFS('Tabela Federal'!$E$4:$E$2069,'Tabela Federal'!$D$4:$D$2069,'Carga Tributária doenças Po (2'!$O286)</f>
        <v>0</v>
      </c>
      <c r="Z286" s="92" t="str">
        <f>VLOOKUP('Carga Tributária doenças Po (2'!$AD286,'Carga Tributária doenças Po (2'!$CA$12:$CC$16,2,0)</f>
        <v>+</v>
      </c>
      <c r="AA286" s="89" t="s">
        <v>603</v>
      </c>
      <c r="AB286" s="89" t="s">
        <v>21746</v>
      </c>
      <c r="AC286" s="89" t="s">
        <v>21721</v>
      </c>
      <c r="AD286" s="93" t="s">
        <v>21722</v>
      </c>
      <c r="AE286" s="92" t="s">
        <v>2</v>
      </c>
      <c r="AF286" s="92" t="s">
        <v>3</v>
      </c>
      <c r="AG286" s="94">
        <v>378988</v>
      </c>
      <c r="AH286" s="95">
        <v>6113130</v>
      </c>
      <c r="AI286" s="95">
        <v>13923759.24</v>
      </c>
      <c r="AJ286" s="89" t="s">
        <v>533</v>
      </c>
      <c r="AK286" s="89">
        <f>IF('Carga Tributária doenças Po (2'!$Z286="+",0,SUMIFS(PISCOFINS!$I$3:$I$10518,PISCOFINS!$C$3:$C$10518,'Carga Tributária doenças Po (2'!$C286))</f>
        <v>0</v>
      </c>
      <c r="AL286" s="89">
        <f>IF('Carga Tributária doenças Po (2'!$Z286="+",0,SUMIFS(PISCOFINS!$H$3:$H$10518,PISCOFINS!$C$3:$C$10518,'Carga Tributária doenças Po (2'!$C286))</f>
        <v>0</v>
      </c>
      <c r="AM286" s="95">
        <v>3.27</v>
      </c>
      <c r="AN286" s="95">
        <v>3.12</v>
      </c>
      <c r="AO286" s="95">
        <v>1.35</v>
      </c>
      <c r="AP286" s="96">
        <v>18</v>
      </c>
      <c r="AQ286" s="96">
        <v>12</v>
      </c>
      <c r="AR286" s="96">
        <v>17</v>
      </c>
      <c r="AS286" s="97">
        <v>17</v>
      </c>
      <c r="AT286" s="97">
        <v>19</v>
      </c>
      <c r="AU286" s="97">
        <v>18</v>
      </c>
      <c r="AV286" s="97">
        <v>17</v>
      </c>
      <c r="AW286" s="97">
        <v>17</v>
      </c>
      <c r="AX286" s="97">
        <v>17</v>
      </c>
      <c r="AY286" s="97">
        <v>17</v>
      </c>
      <c r="AZ286" s="97">
        <v>17</v>
      </c>
      <c r="BA286" s="97">
        <v>17</v>
      </c>
      <c r="BB286" s="97">
        <v>17</v>
      </c>
      <c r="BC286" s="97">
        <v>17</v>
      </c>
      <c r="BD286" s="97">
        <v>17</v>
      </c>
      <c r="BE286" s="97">
        <v>17</v>
      </c>
      <c r="BF286" s="97">
        <f>+Tabela1107[[#This Row],[PIS]]+Tabela1107[[#This Row],[COFINS]]+Tabela1107[[#This Row],[CONTRIB. FOLHA]]+Tabela1107[[#This Row],[TRIBUTOS S/ LUCRO]]+Tabela1107[[#This Row],[OUTROS]]+Tabela1107[[#This Row],[SP]]</f>
        <v>25.740000000000002</v>
      </c>
      <c r="BG286" s="97">
        <f>+Tabela1107[[#This Row],[PIS]]+Tabela1107[[#This Row],[COFINS]]+Tabela1107[[#This Row],[CONTRIB. FOLHA]]+Tabela1107[[#This Row],[TRIBUTOS S/ LUCRO]]+Tabela1107[[#This Row],[OUTROS]]+Tabela1107[[#This Row],[PR]]</f>
        <v>19.740000000000002</v>
      </c>
      <c r="BH286" s="97">
        <f>+Tabela1107[[#This Row],[PIS]]+Tabela1107[[#This Row],[COFINS]]+Tabela1107[[#This Row],[CONTRIB. FOLHA]]+Tabela1107[[#This Row],[TRIBUTOS S/ LUCRO]]+Tabela1107[[#This Row],[OUTROS]]+Tabela1107[[#This Row],[SC]]</f>
        <v>24.740000000000002</v>
      </c>
      <c r="BI286" s="97">
        <f>+Tabela1107[[#This Row],[PIS]]+Tabela1107[[#This Row],[COFINS]]+Tabela1107[[#This Row],[CONTRIB. FOLHA]]+Tabela1107[[#This Row],[TRIBUTOS S/ LUCRO]]+Tabela1107[[#This Row],[OUTROS]]+Tabela1107[[#This Row],[RS]]</f>
        <v>24.740000000000002</v>
      </c>
      <c r="BJ286" s="97">
        <f>+Tabela1107[[#This Row],[PIS]]+Tabela1107[[#This Row],[COFINS]]+Tabela1107[[#This Row],[CONTRIB. FOLHA]]+Tabela1107[[#This Row],[TRIBUTOS S/ LUCRO]]+Tabela1107[[#This Row],[OUTROS]]+Tabela1107[[#This Row],[RJ]]</f>
        <v>26.740000000000002</v>
      </c>
      <c r="BK286" s="97">
        <f>+Tabela1107[[#This Row],[PIS]]+Tabela1107[[#This Row],[COFINS]]+Tabela1107[[#This Row],[CONTRIB. FOLHA]]+Tabela1107[[#This Row],[TRIBUTOS S/ LUCRO]]+Tabela1107[[#This Row],[OUTROS]]+Tabela1107[[#This Row],[MG]]</f>
        <v>25.740000000000002</v>
      </c>
      <c r="BL286" s="97">
        <f>+Tabela1107[[#This Row],[PIS]]+Tabela1107[[#This Row],[COFINS]]+Tabela1107[[#This Row],[CONTRIB. FOLHA]]+Tabela1107[[#This Row],[TRIBUTOS S/ LUCRO]]+Tabela1107[[#This Row],[OUTROS]]+Tabela1107[[#This Row],[ES]]</f>
        <v>24.740000000000002</v>
      </c>
      <c r="BM286" s="97">
        <f>+Tabela1107[[#This Row],[PIS]]+Tabela1107[[#This Row],[COFINS]]+Tabela1107[[#This Row],[CONTRIB. FOLHA]]+Tabela1107[[#This Row],[TRIBUTOS S/ LUCRO]]+Tabela1107[[#This Row],[OUTROS]]+Tabela1107[[#This Row],[GO]]</f>
        <v>24.740000000000002</v>
      </c>
      <c r="BN286" s="97">
        <f>+Tabela1107[[#This Row],[PIS]]+Tabela1107[[#This Row],[COFINS]]+Tabela1107[[#This Row],[CONTRIB. FOLHA]]+Tabela1107[[#This Row],[TRIBUTOS S/ LUCRO]]+Tabela1107[[#This Row],[OUTROS]]+Tabela1107[[#This Row],[MT]]</f>
        <v>24.740000000000002</v>
      </c>
      <c r="BO286" s="97">
        <f>+Tabela1107[[#This Row],[PIS]]+Tabela1107[[#This Row],[COFINS]]+Tabela1107[[#This Row],[CONTRIB. FOLHA]]+Tabela1107[[#This Row],[TRIBUTOS S/ LUCRO]]+Tabela1107[[#This Row],[OUTROS]]+Tabela1107[[#This Row],[MS]]</f>
        <v>24.740000000000002</v>
      </c>
      <c r="BP286" s="97">
        <f>+Tabela1107[[#This Row],[PIS]]+Tabela1107[[#This Row],[COFINS]]+Tabela1107[[#This Row],[CONTRIB. FOLHA]]+Tabela1107[[#This Row],[TRIBUTOS S/ LUCRO]]+Tabela1107[[#This Row],[OUTROS]]+Tabela1107[[#This Row],[DF]]</f>
        <v>24.740000000000002</v>
      </c>
      <c r="BQ286" s="97">
        <f>+Tabela1107[[#This Row],[PIS]]+Tabela1107[[#This Row],[COFINS]]+Tabela1107[[#This Row],[CONTRIB. FOLHA]]+Tabela1107[[#This Row],[TRIBUTOS S/ LUCRO]]+Tabela1107[[#This Row],[OUTROS]]+Tabela1107[[#This Row],[BA]]</f>
        <v>24.740000000000002</v>
      </c>
      <c r="BR286" s="97">
        <f>+Tabela1107[[#This Row],[PIS]]+Tabela1107[[#This Row],[COFINS]]+Tabela1107[[#This Row],[CONTRIB. FOLHA]]+Tabela1107[[#This Row],[TRIBUTOS S/ LUCRO]]+Tabela1107[[#This Row],[OUTROS]]+Tabela1107[[#This Row],[BA]]</f>
        <v>24.740000000000002</v>
      </c>
      <c r="BS286" s="97">
        <f>+Tabela1107[[#This Row],[PIS]]+Tabela1107[[#This Row],[COFINS]]+Tabela1107[[#This Row],[CONTRIB. FOLHA]]+Tabela1107[[#This Row],[TRIBUTOS S/ LUCRO]]+Tabela1107[[#This Row],[OUTROS]]+Tabela1107[[#This Row],[PE]]</f>
        <v>24.740000000000002</v>
      </c>
      <c r="BT286" s="97">
        <f>+Tabela1107[[#This Row],[PIS]]+Tabela1107[[#This Row],[COFINS]]+Tabela1107[[#This Row],[CONTRIB. FOLHA]]+Tabela1107[[#This Row],[TRIBUTOS S/ LUCRO]]+Tabela1107[[#This Row],[OUTROS]]+Tabela1107[[#This Row],[PA]]</f>
        <v>24.740000000000002</v>
      </c>
      <c r="BU286" s="97">
        <f>+Tabela1107[[#This Row],[PIS]]+Tabela1107[[#This Row],[COFINS]]+Tabela1107[[#This Row],[CONTRIB. FOLHA]]+Tabela1107[[#This Row],[TRIBUTOS S/ LUCRO]]+Tabela1107[[#This Row],[OUTROS]]+Tabela1107[[#This Row],[AM]]</f>
        <v>24.740000000000002</v>
      </c>
      <c r="BV286" s="97">
        <f>AVERAGE(Tabela1107[[#This Row],[TOTAL SP]:[TOTAL AM]])</f>
        <v>24.677500000000006</v>
      </c>
      <c r="BW286" s="97"/>
      <c r="BX286" s="97"/>
    </row>
    <row r="287" spans="2:76" x14ac:dyDescent="0.25">
      <c r="B287" s="89">
        <v>21053</v>
      </c>
      <c r="C287" s="91" t="s">
        <v>13177</v>
      </c>
      <c r="D287" s="89"/>
      <c r="E287" s="89">
        <v>20140626</v>
      </c>
      <c r="F287" s="89" t="s">
        <v>20332</v>
      </c>
      <c r="G287" s="89" t="s">
        <v>20333</v>
      </c>
      <c r="H287" s="89" t="s">
        <v>20334</v>
      </c>
      <c r="I287" s="89" t="s">
        <v>20331</v>
      </c>
      <c r="J287" s="89" t="s">
        <v>604</v>
      </c>
      <c r="K287" s="89"/>
      <c r="L287" s="89" t="s">
        <v>2797</v>
      </c>
      <c r="M287" s="89" t="s">
        <v>4496</v>
      </c>
      <c r="N287" s="89" t="s">
        <v>4496</v>
      </c>
      <c r="O287" s="89" t="s">
        <v>4496</v>
      </c>
      <c r="P287" s="89" t="s">
        <v>4496</v>
      </c>
      <c r="Q287" s="89"/>
      <c r="R287" s="89" t="s">
        <v>1</v>
      </c>
      <c r="S287" s="89" t="s">
        <v>21568</v>
      </c>
      <c r="T287" s="89" t="s">
        <v>21569</v>
      </c>
      <c r="U287" s="89" t="str">
        <f>TRIM('Carga Tributária doenças Po (2'!$L287)</f>
        <v>MONTELUCASTE DE SODIO</v>
      </c>
      <c r="V287" s="89">
        <f>SUMIFS('Tabela Federal'!$E$4:$E$2069,'Tabela Federal'!$D$4:$D$2069,'Carga Tributária doenças Po (2'!$L287)</f>
        <v>1</v>
      </c>
      <c r="W287" s="89">
        <f>SUMIFS('Tabela Federal'!$E$4:$E$2069,'Tabela Federal'!$D$4:$D$2069,'Carga Tributária doenças Po (2'!$M287)</f>
        <v>0</v>
      </c>
      <c r="X287" s="89">
        <f>SUMIFS('Tabela Federal'!$E$4:$E$2069,'Tabela Federal'!$D$4:$D$2069,'Carga Tributária doenças Po (2'!$N287)</f>
        <v>0</v>
      </c>
      <c r="Y287" s="89">
        <f>SUMIFS('Tabela Federal'!$E$4:$E$2069,'Tabela Federal'!$D$4:$D$2069,'Carga Tributária doenças Po (2'!$O287)</f>
        <v>0</v>
      </c>
      <c r="Z287" s="92" t="str">
        <f>VLOOKUP('Carga Tributária doenças Po (2'!$AD287,'Carga Tributária doenças Po (2'!$CA$12:$CC$16,2,0)</f>
        <v>+</v>
      </c>
      <c r="AA287" s="89" t="s">
        <v>603</v>
      </c>
      <c r="AB287" s="89" t="s">
        <v>21746</v>
      </c>
      <c r="AC287" s="89" t="s">
        <v>21721</v>
      </c>
      <c r="AD287" s="93" t="s">
        <v>21722</v>
      </c>
      <c r="AE287" s="92" t="s">
        <v>2</v>
      </c>
      <c r="AF287" s="92" t="s">
        <v>3</v>
      </c>
      <c r="AG287" s="94">
        <v>365433</v>
      </c>
      <c r="AH287" s="95">
        <v>5918030</v>
      </c>
      <c r="AI287" s="95">
        <v>13464861.710000001</v>
      </c>
      <c r="AJ287" s="89" t="s">
        <v>533</v>
      </c>
      <c r="AK287" s="89">
        <f>IF('Carga Tributária doenças Po (2'!$Z287="+",0,SUMIFS(PISCOFINS!$I$3:$I$10518,PISCOFINS!$C$3:$C$10518,'Carga Tributária doenças Po (2'!$C287))</f>
        <v>0</v>
      </c>
      <c r="AL287" s="89">
        <f>IF('Carga Tributária doenças Po (2'!$Z287="+",0,SUMIFS(PISCOFINS!$H$3:$H$10518,PISCOFINS!$C$3:$C$10518,'Carga Tributária doenças Po (2'!$C287))</f>
        <v>0</v>
      </c>
      <c r="AM287" s="95">
        <v>3.27</v>
      </c>
      <c r="AN287" s="95">
        <v>3.12</v>
      </c>
      <c r="AO287" s="95">
        <v>1.35</v>
      </c>
      <c r="AP287" s="96">
        <v>18</v>
      </c>
      <c r="AQ287" s="96">
        <v>12</v>
      </c>
      <c r="AR287" s="96">
        <v>17</v>
      </c>
      <c r="AS287" s="97">
        <v>17</v>
      </c>
      <c r="AT287" s="97">
        <v>19</v>
      </c>
      <c r="AU287" s="97">
        <v>18</v>
      </c>
      <c r="AV287" s="97">
        <v>17</v>
      </c>
      <c r="AW287" s="97">
        <v>17</v>
      </c>
      <c r="AX287" s="97">
        <v>17</v>
      </c>
      <c r="AY287" s="97">
        <v>17</v>
      </c>
      <c r="AZ287" s="97">
        <v>17</v>
      </c>
      <c r="BA287" s="97">
        <v>17</v>
      </c>
      <c r="BB287" s="97">
        <v>17</v>
      </c>
      <c r="BC287" s="97">
        <v>17</v>
      </c>
      <c r="BD287" s="97">
        <v>17</v>
      </c>
      <c r="BE287" s="97">
        <v>17</v>
      </c>
      <c r="BF287" s="97">
        <f>+Tabela1107[[#This Row],[PIS]]+Tabela1107[[#This Row],[COFINS]]+Tabela1107[[#This Row],[CONTRIB. FOLHA]]+Tabela1107[[#This Row],[TRIBUTOS S/ LUCRO]]+Tabela1107[[#This Row],[OUTROS]]+Tabela1107[[#This Row],[SP]]</f>
        <v>25.740000000000002</v>
      </c>
      <c r="BG287" s="97">
        <f>+Tabela1107[[#This Row],[PIS]]+Tabela1107[[#This Row],[COFINS]]+Tabela1107[[#This Row],[CONTRIB. FOLHA]]+Tabela1107[[#This Row],[TRIBUTOS S/ LUCRO]]+Tabela1107[[#This Row],[OUTROS]]+Tabela1107[[#This Row],[PR]]</f>
        <v>19.740000000000002</v>
      </c>
      <c r="BH287" s="97">
        <f>+Tabela1107[[#This Row],[PIS]]+Tabela1107[[#This Row],[COFINS]]+Tabela1107[[#This Row],[CONTRIB. FOLHA]]+Tabela1107[[#This Row],[TRIBUTOS S/ LUCRO]]+Tabela1107[[#This Row],[OUTROS]]+Tabela1107[[#This Row],[SC]]</f>
        <v>24.740000000000002</v>
      </c>
      <c r="BI287" s="97">
        <f>+Tabela1107[[#This Row],[PIS]]+Tabela1107[[#This Row],[COFINS]]+Tabela1107[[#This Row],[CONTRIB. FOLHA]]+Tabela1107[[#This Row],[TRIBUTOS S/ LUCRO]]+Tabela1107[[#This Row],[OUTROS]]+Tabela1107[[#This Row],[RS]]</f>
        <v>24.740000000000002</v>
      </c>
      <c r="BJ287" s="97">
        <f>+Tabela1107[[#This Row],[PIS]]+Tabela1107[[#This Row],[COFINS]]+Tabela1107[[#This Row],[CONTRIB. FOLHA]]+Tabela1107[[#This Row],[TRIBUTOS S/ LUCRO]]+Tabela1107[[#This Row],[OUTROS]]+Tabela1107[[#This Row],[RJ]]</f>
        <v>26.740000000000002</v>
      </c>
      <c r="BK287" s="97">
        <f>+Tabela1107[[#This Row],[PIS]]+Tabela1107[[#This Row],[COFINS]]+Tabela1107[[#This Row],[CONTRIB. FOLHA]]+Tabela1107[[#This Row],[TRIBUTOS S/ LUCRO]]+Tabela1107[[#This Row],[OUTROS]]+Tabela1107[[#This Row],[MG]]</f>
        <v>25.740000000000002</v>
      </c>
      <c r="BL287" s="97">
        <f>+Tabela1107[[#This Row],[PIS]]+Tabela1107[[#This Row],[COFINS]]+Tabela1107[[#This Row],[CONTRIB. FOLHA]]+Tabela1107[[#This Row],[TRIBUTOS S/ LUCRO]]+Tabela1107[[#This Row],[OUTROS]]+Tabela1107[[#This Row],[ES]]</f>
        <v>24.740000000000002</v>
      </c>
      <c r="BM287" s="97">
        <f>+Tabela1107[[#This Row],[PIS]]+Tabela1107[[#This Row],[COFINS]]+Tabela1107[[#This Row],[CONTRIB. FOLHA]]+Tabela1107[[#This Row],[TRIBUTOS S/ LUCRO]]+Tabela1107[[#This Row],[OUTROS]]+Tabela1107[[#This Row],[GO]]</f>
        <v>24.740000000000002</v>
      </c>
      <c r="BN287" s="97">
        <f>+Tabela1107[[#This Row],[PIS]]+Tabela1107[[#This Row],[COFINS]]+Tabela1107[[#This Row],[CONTRIB. FOLHA]]+Tabela1107[[#This Row],[TRIBUTOS S/ LUCRO]]+Tabela1107[[#This Row],[OUTROS]]+Tabela1107[[#This Row],[MT]]</f>
        <v>24.740000000000002</v>
      </c>
      <c r="BO287" s="97">
        <f>+Tabela1107[[#This Row],[PIS]]+Tabela1107[[#This Row],[COFINS]]+Tabela1107[[#This Row],[CONTRIB. FOLHA]]+Tabela1107[[#This Row],[TRIBUTOS S/ LUCRO]]+Tabela1107[[#This Row],[OUTROS]]+Tabela1107[[#This Row],[MS]]</f>
        <v>24.740000000000002</v>
      </c>
      <c r="BP287" s="97">
        <f>+Tabela1107[[#This Row],[PIS]]+Tabela1107[[#This Row],[COFINS]]+Tabela1107[[#This Row],[CONTRIB. FOLHA]]+Tabela1107[[#This Row],[TRIBUTOS S/ LUCRO]]+Tabela1107[[#This Row],[OUTROS]]+Tabela1107[[#This Row],[DF]]</f>
        <v>24.740000000000002</v>
      </c>
      <c r="BQ287" s="97">
        <f>+Tabela1107[[#This Row],[PIS]]+Tabela1107[[#This Row],[COFINS]]+Tabela1107[[#This Row],[CONTRIB. FOLHA]]+Tabela1107[[#This Row],[TRIBUTOS S/ LUCRO]]+Tabela1107[[#This Row],[OUTROS]]+Tabela1107[[#This Row],[BA]]</f>
        <v>24.740000000000002</v>
      </c>
      <c r="BR287" s="97">
        <f>+Tabela1107[[#This Row],[PIS]]+Tabela1107[[#This Row],[COFINS]]+Tabela1107[[#This Row],[CONTRIB. FOLHA]]+Tabela1107[[#This Row],[TRIBUTOS S/ LUCRO]]+Tabela1107[[#This Row],[OUTROS]]+Tabela1107[[#This Row],[BA]]</f>
        <v>24.740000000000002</v>
      </c>
      <c r="BS287" s="97">
        <f>+Tabela1107[[#This Row],[PIS]]+Tabela1107[[#This Row],[COFINS]]+Tabela1107[[#This Row],[CONTRIB. FOLHA]]+Tabela1107[[#This Row],[TRIBUTOS S/ LUCRO]]+Tabela1107[[#This Row],[OUTROS]]+Tabela1107[[#This Row],[PE]]</f>
        <v>24.740000000000002</v>
      </c>
      <c r="BT287" s="97">
        <f>+Tabela1107[[#This Row],[PIS]]+Tabela1107[[#This Row],[COFINS]]+Tabela1107[[#This Row],[CONTRIB. FOLHA]]+Tabela1107[[#This Row],[TRIBUTOS S/ LUCRO]]+Tabela1107[[#This Row],[OUTROS]]+Tabela1107[[#This Row],[PA]]</f>
        <v>24.740000000000002</v>
      </c>
      <c r="BU287" s="97">
        <f>+Tabela1107[[#This Row],[PIS]]+Tabela1107[[#This Row],[COFINS]]+Tabela1107[[#This Row],[CONTRIB. FOLHA]]+Tabela1107[[#This Row],[TRIBUTOS S/ LUCRO]]+Tabela1107[[#This Row],[OUTROS]]+Tabela1107[[#This Row],[AM]]</f>
        <v>24.740000000000002</v>
      </c>
      <c r="BV287" s="97">
        <f>AVERAGE(Tabela1107[[#This Row],[TOTAL SP]:[TOTAL AM]])</f>
        <v>24.677500000000006</v>
      </c>
      <c r="BW287" s="97"/>
      <c r="BX287" s="97"/>
    </row>
    <row r="288" spans="2:76" x14ac:dyDescent="0.25">
      <c r="B288" s="89">
        <v>3641</v>
      </c>
      <c r="C288" s="91" t="s">
        <v>13168</v>
      </c>
      <c r="D288" s="89"/>
      <c r="E288" s="89">
        <v>20140626</v>
      </c>
      <c r="F288" s="89" t="s">
        <v>20865</v>
      </c>
      <c r="G288" s="89" t="s">
        <v>20866</v>
      </c>
      <c r="H288" s="89" t="s">
        <v>20867</v>
      </c>
      <c r="I288" s="89" t="s">
        <v>20868</v>
      </c>
      <c r="J288" s="89" t="s">
        <v>81</v>
      </c>
      <c r="K288" s="89"/>
      <c r="L288" s="89" t="s">
        <v>2666</v>
      </c>
      <c r="M288" s="89" t="s">
        <v>4496</v>
      </c>
      <c r="N288" s="89" t="s">
        <v>4496</v>
      </c>
      <c r="O288" s="89" t="s">
        <v>4496</v>
      </c>
      <c r="P288" s="89" t="s">
        <v>4496</v>
      </c>
      <c r="Q288" s="89"/>
      <c r="R288" s="89" t="s">
        <v>82</v>
      </c>
      <c r="S288" s="89" t="s">
        <v>21634</v>
      </c>
      <c r="T288" s="89" t="s">
        <v>21635</v>
      </c>
      <c r="U288" s="89" t="str">
        <f>TRIM('Carga Tributária doenças Po (2'!$L288)</f>
        <v>DOMPERIDONA</v>
      </c>
      <c r="V288" s="89">
        <f>SUMIFS('Tabela Federal'!$E$4:$E$2069,'Tabela Federal'!$D$4:$D$2069,'Carga Tributária doenças Po (2'!$L288)</f>
        <v>0</v>
      </c>
      <c r="W288" s="89">
        <f>SUMIFS('Tabela Federal'!$E$4:$E$2069,'Tabela Federal'!$D$4:$D$2069,'Carga Tributária doenças Po (2'!$M288)</f>
        <v>0</v>
      </c>
      <c r="X288" s="89">
        <f>SUMIFS('Tabela Federal'!$E$4:$E$2069,'Tabela Federal'!$D$4:$D$2069,'Carga Tributária doenças Po (2'!$N288)</f>
        <v>0</v>
      </c>
      <c r="Y288" s="89">
        <f>SUMIFS('Tabela Federal'!$E$4:$E$2069,'Tabela Federal'!$D$4:$D$2069,'Carga Tributária doenças Po (2'!$O288)</f>
        <v>0</v>
      </c>
      <c r="Z288" s="92" t="str">
        <f>VLOOKUP('Carga Tributária doenças Po (2'!$AD288,'Carga Tributária doenças Po (2'!$CA$12:$CC$16,2,0)</f>
        <v>-</v>
      </c>
      <c r="AA288" s="89" t="s">
        <v>78</v>
      </c>
      <c r="AB288" s="89" t="s">
        <v>21868</v>
      </c>
      <c r="AC288" s="89" t="s">
        <v>21721</v>
      </c>
      <c r="AD288" s="93" t="s">
        <v>19523</v>
      </c>
      <c r="AE288" s="92" t="s">
        <v>4</v>
      </c>
      <c r="AF288" s="92" t="s">
        <v>23</v>
      </c>
      <c r="AG288" s="94">
        <v>843694</v>
      </c>
      <c r="AH288" s="95">
        <v>5197778</v>
      </c>
      <c r="AI288" s="95">
        <v>11851712.67</v>
      </c>
      <c r="AJ288" s="89" t="s">
        <v>76</v>
      </c>
      <c r="AK288" s="89">
        <f>IF('Carga Tributária doenças Po (2'!$Z288="+",0,SUMIFS(PISCOFINS!$I$3:$I$10518,PISCOFINS!$C$3:$C$10518,'Carga Tributária doenças Po (2'!$C288))</f>
        <v>2.1</v>
      </c>
      <c r="AL288" s="89">
        <f>IF('Carga Tributária doenças Po (2'!$Z288="+",0,SUMIFS(PISCOFINS!$H$3:$H$10518,PISCOFINS!$C$3:$C$10518,'Carga Tributária doenças Po (2'!$C288))</f>
        <v>9.9</v>
      </c>
      <c r="AM288" s="95">
        <v>3.27</v>
      </c>
      <c r="AN288" s="95">
        <v>3.12</v>
      </c>
      <c r="AO288" s="95">
        <v>1.35</v>
      </c>
      <c r="AP288" s="96">
        <v>18</v>
      </c>
      <c r="AQ288" s="96">
        <v>12</v>
      </c>
      <c r="AR288" s="96">
        <v>17</v>
      </c>
      <c r="AS288" s="97">
        <v>17</v>
      </c>
      <c r="AT288" s="97">
        <v>19</v>
      </c>
      <c r="AU288" s="97">
        <v>18</v>
      </c>
      <c r="AV288" s="97">
        <v>17</v>
      </c>
      <c r="AW288" s="97">
        <v>17</v>
      </c>
      <c r="AX288" s="97">
        <v>17</v>
      </c>
      <c r="AY288" s="97">
        <v>17</v>
      </c>
      <c r="AZ288" s="97">
        <v>17</v>
      </c>
      <c r="BA288" s="97">
        <v>17</v>
      </c>
      <c r="BB288" s="97">
        <v>17</v>
      </c>
      <c r="BC288" s="97">
        <v>17</v>
      </c>
      <c r="BD288" s="97">
        <v>17</v>
      </c>
      <c r="BE288" s="97">
        <v>17</v>
      </c>
      <c r="BF288" s="97">
        <f>+Tabela1107[[#This Row],[PIS]]+Tabela1107[[#This Row],[COFINS]]+Tabela1107[[#This Row],[CONTRIB. FOLHA]]+Tabela1107[[#This Row],[TRIBUTOS S/ LUCRO]]+Tabela1107[[#This Row],[OUTROS]]+Tabela1107[[#This Row],[SP]]</f>
        <v>37.74</v>
      </c>
      <c r="BG288" s="97">
        <f>+Tabela1107[[#This Row],[PIS]]+Tabela1107[[#This Row],[COFINS]]+Tabela1107[[#This Row],[CONTRIB. FOLHA]]+Tabela1107[[#This Row],[TRIBUTOS S/ LUCRO]]+Tabela1107[[#This Row],[OUTROS]]+Tabela1107[[#This Row],[PR]]</f>
        <v>31.740000000000002</v>
      </c>
      <c r="BH288" s="97">
        <f>+Tabela1107[[#This Row],[PIS]]+Tabela1107[[#This Row],[COFINS]]+Tabela1107[[#This Row],[CONTRIB. FOLHA]]+Tabela1107[[#This Row],[TRIBUTOS S/ LUCRO]]+Tabela1107[[#This Row],[OUTROS]]+Tabela1107[[#This Row],[SC]]</f>
        <v>36.74</v>
      </c>
      <c r="BI288" s="97">
        <f>+Tabela1107[[#This Row],[PIS]]+Tabela1107[[#This Row],[COFINS]]+Tabela1107[[#This Row],[CONTRIB. FOLHA]]+Tabela1107[[#This Row],[TRIBUTOS S/ LUCRO]]+Tabela1107[[#This Row],[OUTROS]]+Tabela1107[[#This Row],[RS]]</f>
        <v>36.74</v>
      </c>
      <c r="BJ288" s="97">
        <f>+Tabela1107[[#This Row],[PIS]]+Tabela1107[[#This Row],[COFINS]]+Tabela1107[[#This Row],[CONTRIB. FOLHA]]+Tabela1107[[#This Row],[TRIBUTOS S/ LUCRO]]+Tabela1107[[#This Row],[OUTROS]]+Tabela1107[[#This Row],[RJ]]</f>
        <v>38.74</v>
      </c>
      <c r="BK288" s="97">
        <f>+Tabela1107[[#This Row],[PIS]]+Tabela1107[[#This Row],[COFINS]]+Tabela1107[[#This Row],[CONTRIB. FOLHA]]+Tabela1107[[#This Row],[TRIBUTOS S/ LUCRO]]+Tabela1107[[#This Row],[OUTROS]]+Tabela1107[[#This Row],[MG]]</f>
        <v>37.74</v>
      </c>
      <c r="BL288" s="97">
        <f>+Tabela1107[[#This Row],[PIS]]+Tabela1107[[#This Row],[COFINS]]+Tabela1107[[#This Row],[CONTRIB. FOLHA]]+Tabela1107[[#This Row],[TRIBUTOS S/ LUCRO]]+Tabela1107[[#This Row],[OUTROS]]+Tabela1107[[#This Row],[ES]]</f>
        <v>36.74</v>
      </c>
      <c r="BM288" s="97">
        <f>+Tabela1107[[#This Row],[PIS]]+Tabela1107[[#This Row],[COFINS]]+Tabela1107[[#This Row],[CONTRIB. FOLHA]]+Tabela1107[[#This Row],[TRIBUTOS S/ LUCRO]]+Tabela1107[[#This Row],[OUTROS]]+Tabela1107[[#This Row],[GO]]</f>
        <v>36.74</v>
      </c>
      <c r="BN288" s="97">
        <f>+Tabela1107[[#This Row],[PIS]]+Tabela1107[[#This Row],[COFINS]]+Tabela1107[[#This Row],[CONTRIB. FOLHA]]+Tabela1107[[#This Row],[TRIBUTOS S/ LUCRO]]+Tabela1107[[#This Row],[OUTROS]]+Tabela1107[[#This Row],[MT]]</f>
        <v>36.74</v>
      </c>
      <c r="BO288" s="97">
        <f>+Tabela1107[[#This Row],[PIS]]+Tabela1107[[#This Row],[COFINS]]+Tabela1107[[#This Row],[CONTRIB. FOLHA]]+Tabela1107[[#This Row],[TRIBUTOS S/ LUCRO]]+Tabela1107[[#This Row],[OUTROS]]+Tabela1107[[#This Row],[MS]]</f>
        <v>36.74</v>
      </c>
      <c r="BP288" s="97">
        <f>+Tabela1107[[#This Row],[PIS]]+Tabela1107[[#This Row],[COFINS]]+Tabela1107[[#This Row],[CONTRIB. FOLHA]]+Tabela1107[[#This Row],[TRIBUTOS S/ LUCRO]]+Tabela1107[[#This Row],[OUTROS]]+Tabela1107[[#This Row],[DF]]</f>
        <v>36.74</v>
      </c>
      <c r="BQ288" s="97">
        <f>+Tabela1107[[#This Row],[PIS]]+Tabela1107[[#This Row],[COFINS]]+Tabela1107[[#This Row],[CONTRIB. FOLHA]]+Tabela1107[[#This Row],[TRIBUTOS S/ LUCRO]]+Tabela1107[[#This Row],[OUTROS]]+Tabela1107[[#This Row],[BA]]</f>
        <v>36.74</v>
      </c>
      <c r="BR288" s="97">
        <f>+Tabela1107[[#This Row],[PIS]]+Tabela1107[[#This Row],[COFINS]]+Tabela1107[[#This Row],[CONTRIB. FOLHA]]+Tabela1107[[#This Row],[TRIBUTOS S/ LUCRO]]+Tabela1107[[#This Row],[OUTROS]]+Tabela1107[[#This Row],[BA]]</f>
        <v>36.74</v>
      </c>
      <c r="BS288" s="97">
        <f>+Tabela1107[[#This Row],[PIS]]+Tabela1107[[#This Row],[COFINS]]+Tabela1107[[#This Row],[CONTRIB. FOLHA]]+Tabela1107[[#This Row],[TRIBUTOS S/ LUCRO]]+Tabela1107[[#This Row],[OUTROS]]+Tabela1107[[#This Row],[PE]]</f>
        <v>36.74</v>
      </c>
      <c r="BT288" s="97">
        <f>+Tabela1107[[#This Row],[PIS]]+Tabela1107[[#This Row],[COFINS]]+Tabela1107[[#This Row],[CONTRIB. FOLHA]]+Tabela1107[[#This Row],[TRIBUTOS S/ LUCRO]]+Tabela1107[[#This Row],[OUTROS]]+Tabela1107[[#This Row],[PA]]</f>
        <v>36.74</v>
      </c>
      <c r="BU288" s="97">
        <f>+Tabela1107[[#This Row],[PIS]]+Tabela1107[[#This Row],[COFINS]]+Tabela1107[[#This Row],[CONTRIB. FOLHA]]+Tabela1107[[#This Row],[TRIBUTOS S/ LUCRO]]+Tabela1107[[#This Row],[OUTROS]]+Tabela1107[[#This Row],[AM]]</f>
        <v>36.74</v>
      </c>
      <c r="BV288" s="97">
        <f>AVERAGE(Tabela1107[[#This Row],[TOTAL SP]:[TOTAL AM]])</f>
        <v>36.677500000000002</v>
      </c>
      <c r="BW288" s="97"/>
      <c r="BX288" s="97"/>
    </row>
    <row r="289" spans="1:76" x14ac:dyDescent="0.25">
      <c r="B289" s="89">
        <v>16320</v>
      </c>
      <c r="C289" s="91" t="s">
        <v>13183</v>
      </c>
      <c r="D289" s="89"/>
      <c r="E289" s="89">
        <v>20140626</v>
      </c>
      <c r="F289" s="89" t="s">
        <v>21071</v>
      </c>
      <c r="G289" s="89" t="s">
        <v>21072</v>
      </c>
      <c r="H289" s="89" t="s">
        <v>21073</v>
      </c>
      <c r="I289" s="89" t="s">
        <v>21074</v>
      </c>
      <c r="J289" s="89" t="s">
        <v>211</v>
      </c>
      <c r="K289" s="99" t="s">
        <v>2736</v>
      </c>
      <c r="L289" s="89" t="s">
        <v>2667</v>
      </c>
      <c r="M289" s="89" t="s">
        <v>4496</v>
      </c>
      <c r="N289" s="89" t="s">
        <v>4496</v>
      </c>
      <c r="O289" s="89" t="s">
        <v>4496</v>
      </c>
      <c r="P289" s="89" t="s">
        <v>4496</v>
      </c>
      <c r="Q289" s="89"/>
      <c r="R289" s="89" t="s">
        <v>68</v>
      </c>
      <c r="S289" s="89" t="s">
        <v>21664</v>
      </c>
      <c r="T289" s="89" t="s">
        <v>21665</v>
      </c>
      <c r="U289" s="89" t="str">
        <f>TRIM('Carga Tributária doenças Po (2'!$L289)</f>
        <v>CLORIDRATO DE FENILEFRINA</v>
      </c>
      <c r="V289" s="89">
        <f>SUMIFS('Tabela Federal'!$E$4:$E$2069,'Tabela Federal'!$D$4:$D$2069,'Carga Tributária doenças Po (2'!$L289)</f>
        <v>3</v>
      </c>
      <c r="W289" s="89">
        <f>SUMIFS('Tabela Federal'!$E$4:$E$2069,'Tabela Federal'!$D$4:$D$2069,'Carga Tributária doenças Po (2'!$M289)</f>
        <v>0</v>
      </c>
      <c r="X289" s="89">
        <f>SUMIFS('Tabela Federal'!$E$4:$E$2069,'Tabela Federal'!$D$4:$D$2069,'Carga Tributária doenças Po (2'!$N289)</f>
        <v>0</v>
      </c>
      <c r="Y289" s="89">
        <f>SUMIFS('Tabela Federal'!$E$4:$E$2069,'Tabela Federal'!$D$4:$D$2069,'Carga Tributária doenças Po (2'!$O289)</f>
        <v>0</v>
      </c>
      <c r="Z289" s="92" t="str">
        <f>VLOOKUP('Carga Tributária doenças Po (2'!$AD289,'Carga Tributária doenças Po (2'!$CA$12:$CC$16,2,0)</f>
        <v>-</v>
      </c>
      <c r="AA289" s="89" t="s">
        <v>0</v>
      </c>
      <c r="AB289" s="89" t="s">
        <v>21797</v>
      </c>
      <c r="AC289" s="89" t="s">
        <v>21740</v>
      </c>
      <c r="AD289" s="93" t="s">
        <v>19523</v>
      </c>
      <c r="AE289" s="92" t="s">
        <v>4</v>
      </c>
      <c r="AF289" s="92" t="s">
        <v>3</v>
      </c>
      <c r="AG289" s="94">
        <v>5593867</v>
      </c>
      <c r="AH289" s="95">
        <v>33598289</v>
      </c>
      <c r="AI289" s="95">
        <v>76401776.450000003</v>
      </c>
      <c r="AJ289" s="89" t="s">
        <v>611</v>
      </c>
      <c r="AK289" s="89">
        <f>IF('Carga Tributária doenças Po (2'!$Z289="+",0,SUMIFS(PISCOFINS!$I$3:$I$10518,PISCOFINS!$C$3:$C$10518,'Carga Tributária doenças Po (2'!$C289))</f>
        <v>2.1</v>
      </c>
      <c r="AL289" s="89">
        <f>IF('Carga Tributária doenças Po (2'!$Z289="+",0,SUMIFS(PISCOFINS!$H$3:$H$10518,PISCOFINS!$C$3:$C$10518,'Carga Tributária doenças Po (2'!$C289))</f>
        <v>9.9</v>
      </c>
      <c r="AM289" s="95">
        <v>3.27</v>
      </c>
      <c r="AN289" s="95">
        <v>3.12</v>
      </c>
      <c r="AO289" s="95">
        <v>1.35</v>
      </c>
      <c r="AP289" s="96">
        <v>18</v>
      </c>
      <c r="AQ289" s="96">
        <v>12</v>
      </c>
      <c r="AR289" s="96">
        <v>17</v>
      </c>
      <c r="AS289" s="97">
        <v>17</v>
      </c>
      <c r="AT289" s="97">
        <v>19</v>
      </c>
      <c r="AU289" s="97">
        <v>18</v>
      </c>
      <c r="AV289" s="97">
        <v>17</v>
      </c>
      <c r="AW289" s="97">
        <v>17</v>
      </c>
      <c r="AX289" s="97">
        <v>17</v>
      </c>
      <c r="AY289" s="97">
        <v>17</v>
      </c>
      <c r="AZ289" s="97">
        <v>17</v>
      </c>
      <c r="BA289" s="97">
        <v>17</v>
      </c>
      <c r="BB289" s="97">
        <v>17</v>
      </c>
      <c r="BC289" s="97">
        <v>17</v>
      </c>
      <c r="BD289" s="97">
        <v>17</v>
      </c>
      <c r="BE289" s="97">
        <v>17</v>
      </c>
      <c r="BF289" s="97">
        <f>+Tabela1107[[#This Row],[PIS]]+Tabela1107[[#This Row],[COFINS]]+Tabela1107[[#This Row],[CONTRIB. FOLHA]]+Tabela1107[[#This Row],[TRIBUTOS S/ LUCRO]]+Tabela1107[[#This Row],[OUTROS]]+Tabela1107[[#This Row],[SP]]</f>
        <v>37.74</v>
      </c>
      <c r="BG289" s="97">
        <f>+Tabela1107[[#This Row],[PIS]]+Tabela1107[[#This Row],[COFINS]]+Tabela1107[[#This Row],[CONTRIB. FOLHA]]+Tabela1107[[#This Row],[TRIBUTOS S/ LUCRO]]+Tabela1107[[#This Row],[OUTROS]]+Tabela1107[[#This Row],[PR]]</f>
        <v>31.740000000000002</v>
      </c>
      <c r="BH289" s="97">
        <f>+Tabela1107[[#This Row],[PIS]]+Tabela1107[[#This Row],[COFINS]]+Tabela1107[[#This Row],[CONTRIB. FOLHA]]+Tabela1107[[#This Row],[TRIBUTOS S/ LUCRO]]+Tabela1107[[#This Row],[OUTROS]]+Tabela1107[[#This Row],[SC]]</f>
        <v>36.74</v>
      </c>
      <c r="BI289" s="97">
        <f>+Tabela1107[[#This Row],[PIS]]+Tabela1107[[#This Row],[COFINS]]+Tabela1107[[#This Row],[CONTRIB. FOLHA]]+Tabela1107[[#This Row],[TRIBUTOS S/ LUCRO]]+Tabela1107[[#This Row],[OUTROS]]+Tabela1107[[#This Row],[RS]]</f>
        <v>36.74</v>
      </c>
      <c r="BJ289" s="97">
        <f>+Tabela1107[[#This Row],[PIS]]+Tabela1107[[#This Row],[COFINS]]+Tabela1107[[#This Row],[CONTRIB. FOLHA]]+Tabela1107[[#This Row],[TRIBUTOS S/ LUCRO]]+Tabela1107[[#This Row],[OUTROS]]+Tabela1107[[#This Row],[RJ]]</f>
        <v>38.74</v>
      </c>
      <c r="BK289" s="97">
        <f>+Tabela1107[[#This Row],[PIS]]+Tabela1107[[#This Row],[COFINS]]+Tabela1107[[#This Row],[CONTRIB. FOLHA]]+Tabela1107[[#This Row],[TRIBUTOS S/ LUCRO]]+Tabela1107[[#This Row],[OUTROS]]+Tabela1107[[#This Row],[MG]]</f>
        <v>37.74</v>
      </c>
      <c r="BL289" s="97">
        <f>+Tabela1107[[#This Row],[PIS]]+Tabela1107[[#This Row],[COFINS]]+Tabela1107[[#This Row],[CONTRIB. FOLHA]]+Tabela1107[[#This Row],[TRIBUTOS S/ LUCRO]]+Tabela1107[[#This Row],[OUTROS]]+Tabela1107[[#This Row],[ES]]</f>
        <v>36.74</v>
      </c>
      <c r="BM289" s="97">
        <f>+Tabela1107[[#This Row],[PIS]]+Tabela1107[[#This Row],[COFINS]]+Tabela1107[[#This Row],[CONTRIB. FOLHA]]+Tabela1107[[#This Row],[TRIBUTOS S/ LUCRO]]+Tabela1107[[#This Row],[OUTROS]]+Tabela1107[[#This Row],[GO]]</f>
        <v>36.74</v>
      </c>
      <c r="BN289" s="97">
        <f>+Tabela1107[[#This Row],[PIS]]+Tabela1107[[#This Row],[COFINS]]+Tabela1107[[#This Row],[CONTRIB. FOLHA]]+Tabela1107[[#This Row],[TRIBUTOS S/ LUCRO]]+Tabela1107[[#This Row],[OUTROS]]+Tabela1107[[#This Row],[MT]]</f>
        <v>36.74</v>
      </c>
      <c r="BO289" s="97">
        <f>+Tabela1107[[#This Row],[PIS]]+Tabela1107[[#This Row],[COFINS]]+Tabela1107[[#This Row],[CONTRIB. FOLHA]]+Tabela1107[[#This Row],[TRIBUTOS S/ LUCRO]]+Tabela1107[[#This Row],[OUTROS]]+Tabela1107[[#This Row],[MS]]</f>
        <v>36.74</v>
      </c>
      <c r="BP289" s="97">
        <f>+Tabela1107[[#This Row],[PIS]]+Tabela1107[[#This Row],[COFINS]]+Tabela1107[[#This Row],[CONTRIB. FOLHA]]+Tabela1107[[#This Row],[TRIBUTOS S/ LUCRO]]+Tabela1107[[#This Row],[OUTROS]]+Tabela1107[[#This Row],[DF]]</f>
        <v>36.74</v>
      </c>
      <c r="BQ289" s="97">
        <f>+Tabela1107[[#This Row],[PIS]]+Tabela1107[[#This Row],[COFINS]]+Tabela1107[[#This Row],[CONTRIB. FOLHA]]+Tabela1107[[#This Row],[TRIBUTOS S/ LUCRO]]+Tabela1107[[#This Row],[OUTROS]]+Tabela1107[[#This Row],[BA]]</f>
        <v>36.74</v>
      </c>
      <c r="BR289" s="97">
        <f>+Tabela1107[[#This Row],[PIS]]+Tabela1107[[#This Row],[COFINS]]+Tabela1107[[#This Row],[CONTRIB. FOLHA]]+Tabela1107[[#This Row],[TRIBUTOS S/ LUCRO]]+Tabela1107[[#This Row],[OUTROS]]+Tabela1107[[#This Row],[BA]]</f>
        <v>36.74</v>
      </c>
      <c r="BS289" s="97">
        <f>+Tabela1107[[#This Row],[PIS]]+Tabela1107[[#This Row],[COFINS]]+Tabela1107[[#This Row],[CONTRIB. FOLHA]]+Tabela1107[[#This Row],[TRIBUTOS S/ LUCRO]]+Tabela1107[[#This Row],[OUTROS]]+Tabela1107[[#This Row],[PE]]</f>
        <v>36.74</v>
      </c>
      <c r="BT289" s="97">
        <f>+Tabela1107[[#This Row],[PIS]]+Tabela1107[[#This Row],[COFINS]]+Tabela1107[[#This Row],[CONTRIB. FOLHA]]+Tabela1107[[#This Row],[TRIBUTOS S/ LUCRO]]+Tabela1107[[#This Row],[OUTROS]]+Tabela1107[[#This Row],[PA]]</f>
        <v>36.74</v>
      </c>
      <c r="BU289" s="97">
        <f>+Tabela1107[[#This Row],[PIS]]+Tabela1107[[#This Row],[COFINS]]+Tabela1107[[#This Row],[CONTRIB. FOLHA]]+Tabela1107[[#This Row],[TRIBUTOS S/ LUCRO]]+Tabela1107[[#This Row],[OUTROS]]+Tabela1107[[#This Row],[AM]]</f>
        <v>36.74</v>
      </c>
      <c r="BV289" s="97">
        <f>AVERAGE(Tabela1107[[#This Row],[TOTAL SP]:[TOTAL AM]])</f>
        <v>36.677500000000002</v>
      </c>
      <c r="BW289" s="97"/>
      <c r="BX289" s="97"/>
    </row>
    <row r="290" spans="1:76" x14ac:dyDescent="0.25">
      <c r="B290" s="89">
        <v>16320</v>
      </c>
      <c r="C290" s="91" t="s">
        <v>13183</v>
      </c>
      <c r="D290" s="89"/>
      <c r="E290" s="89">
        <v>20140626</v>
      </c>
      <c r="F290" s="89" t="s">
        <v>21071</v>
      </c>
      <c r="G290" s="89" t="s">
        <v>21072</v>
      </c>
      <c r="H290" s="89" t="s">
        <v>21073</v>
      </c>
      <c r="I290" s="89" t="s">
        <v>21074</v>
      </c>
      <c r="J290" s="89" t="s">
        <v>211</v>
      </c>
      <c r="K290" s="99" t="s">
        <v>2736</v>
      </c>
      <c r="L290" s="89" t="s">
        <v>2667</v>
      </c>
      <c r="M290" s="89" t="s">
        <v>4496</v>
      </c>
      <c r="N290" s="89" t="s">
        <v>4496</v>
      </c>
      <c r="O290" s="89" t="s">
        <v>4496</v>
      </c>
      <c r="P290" s="89" t="s">
        <v>4496</v>
      </c>
      <c r="Q290" s="89"/>
      <c r="R290" s="89" t="s">
        <v>68</v>
      </c>
      <c r="S290" s="89" t="s">
        <v>21664</v>
      </c>
      <c r="T290" s="89" t="s">
        <v>21665</v>
      </c>
      <c r="U290" s="89" t="str">
        <f>TRIM('Carga Tributária doenças Po (2'!$L290)</f>
        <v>CLORIDRATO DE FENILEFRINA</v>
      </c>
      <c r="V290" s="89">
        <f>SUMIFS('Tabela Federal'!$E$4:$E$2069,'Tabela Federal'!$D$4:$D$2069,'Carga Tributária doenças Po (2'!$L290)</f>
        <v>3</v>
      </c>
      <c r="W290" s="89">
        <f>SUMIFS('Tabela Federal'!$E$4:$E$2069,'Tabela Federal'!$D$4:$D$2069,'Carga Tributária doenças Po (2'!$M290)</f>
        <v>0</v>
      </c>
      <c r="X290" s="89">
        <f>SUMIFS('Tabela Federal'!$E$4:$E$2069,'Tabela Federal'!$D$4:$D$2069,'Carga Tributária doenças Po (2'!$N290)</f>
        <v>0</v>
      </c>
      <c r="Y290" s="89">
        <f>SUMIFS('Tabela Federal'!$E$4:$E$2069,'Tabela Federal'!$D$4:$D$2069,'Carga Tributária doenças Po (2'!$O290)</f>
        <v>0</v>
      </c>
      <c r="Z290" s="92" t="str">
        <f>VLOOKUP('Carga Tributária doenças Po (2'!$AD290,'Carga Tributária doenças Po (2'!$CA$12:$CC$16,2,0)</f>
        <v>-</v>
      </c>
      <c r="AA290" s="89" t="s">
        <v>0</v>
      </c>
      <c r="AB290" s="89" t="s">
        <v>21797</v>
      </c>
      <c r="AC290" s="89" t="s">
        <v>21740</v>
      </c>
      <c r="AD290" s="93" t="s">
        <v>19523</v>
      </c>
      <c r="AE290" s="92" t="s">
        <v>4</v>
      </c>
      <c r="AF290" s="92" t="s">
        <v>3</v>
      </c>
      <c r="AG290" s="94">
        <v>5593867</v>
      </c>
      <c r="AH290" s="95">
        <v>33598289</v>
      </c>
      <c r="AI290" s="95">
        <v>76401776.450000003</v>
      </c>
      <c r="AJ290" s="89" t="s">
        <v>227</v>
      </c>
      <c r="AK290" s="89">
        <f>IF('Carga Tributária doenças Po (2'!$Z290="+",0,SUMIFS(PISCOFINS!$I$3:$I$10518,PISCOFINS!$C$3:$C$10518,'Carga Tributária doenças Po (2'!$C290))</f>
        <v>2.1</v>
      </c>
      <c r="AL290" s="89">
        <f>IF('Carga Tributária doenças Po (2'!$Z290="+",0,SUMIFS(PISCOFINS!$H$3:$H$10518,PISCOFINS!$C$3:$C$10518,'Carga Tributária doenças Po (2'!$C290))</f>
        <v>9.9</v>
      </c>
      <c r="AM290" s="95">
        <v>3.27</v>
      </c>
      <c r="AN290" s="95">
        <v>3.12</v>
      </c>
      <c r="AO290" s="95">
        <v>1.35</v>
      </c>
      <c r="AP290" s="96">
        <v>18</v>
      </c>
      <c r="AQ290" s="96">
        <v>12</v>
      </c>
      <c r="AR290" s="96">
        <v>17</v>
      </c>
      <c r="AS290" s="97">
        <v>17</v>
      </c>
      <c r="AT290" s="97">
        <v>19</v>
      </c>
      <c r="AU290" s="97">
        <v>18</v>
      </c>
      <c r="AV290" s="97">
        <v>17</v>
      </c>
      <c r="AW290" s="97">
        <v>17</v>
      </c>
      <c r="AX290" s="97">
        <v>17</v>
      </c>
      <c r="AY290" s="97">
        <v>17</v>
      </c>
      <c r="AZ290" s="97">
        <v>17</v>
      </c>
      <c r="BA290" s="97">
        <v>17</v>
      </c>
      <c r="BB290" s="97">
        <v>17</v>
      </c>
      <c r="BC290" s="97">
        <v>17</v>
      </c>
      <c r="BD290" s="97">
        <v>17</v>
      </c>
      <c r="BE290" s="97">
        <v>17</v>
      </c>
      <c r="BF290" s="97">
        <f>+Tabela1107[[#This Row],[PIS]]+Tabela1107[[#This Row],[COFINS]]+Tabela1107[[#This Row],[CONTRIB. FOLHA]]+Tabela1107[[#This Row],[TRIBUTOS S/ LUCRO]]+Tabela1107[[#This Row],[OUTROS]]+Tabela1107[[#This Row],[SP]]</f>
        <v>37.74</v>
      </c>
      <c r="BG290" s="97">
        <f>+Tabela1107[[#This Row],[PIS]]+Tabela1107[[#This Row],[COFINS]]+Tabela1107[[#This Row],[CONTRIB. FOLHA]]+Tabela1107[[#This Row],[TRIBUTOS S/ LUCRO]]+Tabela1107[[#This Row],[OUTROS]]+Tabela1107[[#This Row],[PR]]</f>
        <v>31.740000000000002</v>
      </c>
      <c r="BH290" s="97">
        <f>+Tabela1107[[#This Row],[PIS]]+Tabela1107[[#This Row],[COFINS]]+Tabela1107[[#This Row],[CONTRIB. FOLHA]]+Tabela1107[[#This Row],[TRIBUTOS S/ LUCRO]]+Tabela1107[[#This Row],[OUTROS]]+Tabela1107[[#This Row],[SC]]</f>
        <v>36.74</v>
      </c>
      <c r="BI290" s="97">
        <f>+Tabela1107[[#This Row],[PIS]]+Tabela1107[[#This Row],[COFINS]]+Tabela1107[[#This Row],[CONTRIB. FOLHA]]+Tabela1107[[#This Row],[TRIBUTOS S/ LUCRO]]+Tabela1107[[#This Row],[OUTROS]]+Tabela1107[[#This Row],[RS]]</f>
        <v>36.74</v>
      </c>
      <c r="BJ290" s="97">
        <f>+Tabela1107[[#This Row],[PIS]]+Tabela1107[[#This Row],[COFINS]]+Tabela1107[[#This Row],[CONTRIB. FOLHA]]+Tabela1107[[#This Row],[TRIBUTOS S/ LUCRO]]+Tabela1107[[#This Row],[OUTROS]]+Tabela1107[[#This Row],[RJ]]</f>
        <v>38.74</v>
      </c>
      <c r="BK290" s="97">
        <f>+Tabela1107[[#This Row],[PIS]]+Tabela1107[[#This Row],[COFINS]]+Tabela1107[[#This Row],[CONTRIB. FOLHA]]+Tabela1107[[#This Row],[TRIBUTOS S/ LUCRO]]+Tabela1107[[#This Row],[OUTROS]]+Tabela1107[[#This Row],[MG]]</f>
        <v>37.74</v>
      </c>
      <c r="BL290" s="97">
        <f>+Tabela1107[[#This Row],[PIS]]+Tabela1107[[#This Row],[COFINS]]+Tabela1107[[#This Row],[CONTRIB. FOLHA]]+Tabela1107[[#This Row],[TRIBUTOS S/ LUCRO]]+Tabela1107[[#This Row],[OUTROS]]+Tabela1107[[#This Row],[ES]]</f>
        <v>36.74</v>
      </c>
      <c r="BM290" s="97">
        <f>+Tabela1107[[#This Row],[PIS]]+Tabela1107[[#This Row],[COFINS]]+Tabela1107[[#This Row],[CONTRIB. FOLHA]]+Tabela1107[[#This Row],[TRIBUTOS S/ LUCRO]]+Tabela1107[[#This Row],[OUTROS]]+Tabela1107[[#This Row],[GO]]</f>
        <v>36.74</v>
      </c>
      <c r="BN290" s="97">
        <f>+Tabela1107[[#This Row],[PIS]]+Tabela1107[[#This Row],[COFINS]]+Tabela1107[[#This Row],[CONTRIB. FOLHA]]+Tabela1107[[#This Row],[TRIBUTOS S/ LUCRO]]+Tabela1107[[#This Row],[OUTROS]]+Tabela1107[[#This Row],[MT]]</f>
        <v>36.74</v>
      </c>
      <c r="BO290" s="97">
        <f>+Tabela1107[[#This Row],[PIS]]+Tabela1107[[#This Row],[COFINS]]+Tabela1107[[#This Row],[CONTRIB. FOLHA]]+Tabela1107[[#This Row],[TRIBUTOS S/ LUCRO]]+Tabela1107[[#This Row],[OUTROS]]+Tabela1107[[#This Row],[MS]]</f>
        <v>36.74</v>
      </c>
      <c r="BP290" s="97">
        <f>+Tabela1107[[#This Row],[PIS]]+Tabela1107[[#This Row],[COFINS]]+Tabela1107[[#This Row],[CONTRIB. FOLHA]]+Tabela1107[[#This Row],[TRIBUTOS S/ LUCRO]]+Tabela1107[[#This Row],[OUTROS]]+Tabela1107[[#This Row],[DF]]</f>
        <v>36.74</v>
      </c>
      <c r="BQ290" s="97">
        <f>+Tabela1107[[#This Row],[PIS]]+Tabela1107[[#This Row],[COFINS]]+Tabela1107[[#This Row],[CONTRIB. FOLHA]]+Tabela1107[[#This Row],[TRIBUTOS S/ LUCRO]]+Tabela1107[[#This Row],[OUTROS]]+Tabela1107[[#This Row],[BA]]</f>
        <v>36.74</v>
      </c>
      <c r="BR290" s="97">
        <f>+Tabela1107[[#This Row],[PIS]]+Tabela1107[[#This Row],[COFINS]]+Tabela1107[[#This Row],[CONTRIB. FOLHA]]+Tabela1107[[#This Row],[TRIBUTOS S/ LUCRO]]+Tabela1107[[#This Row],[OUTROS]]+Tabela1107[[#This Row],[BA]]</f>
        <v>36.74</v>
      </c>
      <c r="BS290" s="97">
        <f>+Tabela1107[[#This Row],[PIS]]+Tabela1107[[#This Row],[COFINS]]+Tabela1107[[#This Row],[CONTRIB. FOLHA]]+Tabela1107[[#This Row],[TRIBUTOS S/ LUCRO]]+Tabela1107[[#This Row],[OUTROS]]+Tabela1107[[#This Row],[PE]]</f>
        <v>36.74</v>
      </c>
      <c r="BT290" s="97">
        <f>+Tabela1107[[#This Row],[PIS]]+Tabela1107[[#This Row],[COFINS]]+Tabela1107[[#This Row],[CONTRIB. FOLHA]]+Tabela1107[[#This Row],[TRIBUTOS S/ LUCRO]]+Tabela1107[[#This Row],[OUTROS]]+Tabela1107[[#This Row],[PA]]</f>
        <v>36.74</v>
      </c>
      <c r="BU290" s="97">
        <f>+Tabela1107[[#This Row],[PIS]]+Tabela1107[[#This Row],[COFINS]]+Tabela1107[[#This Row],[CONTRIB. FOLHA]]+Tabela1107[[#This Row],[TRIBUTOS S/ LUCRO]]+Tabela1107[[#This Row],[OUTROS]]+Tabela1107[[#This Row],[AM]]</f>
        <v>36.74</v>
      </c>
      <c r="BV290" s="97">
        <f>AVERAGE(Tabela1107[[#This Row],[TOTAL SP]:[TOTAL AM]])</f>
        <v>36.677500000000002</v>
      </c>
      <c r="BW290" s="97"/>
      <c r="BX290" s="97"/>
    </row>
    <row r="291" spans="1:76" x14ac:dyDescent="0.25">
      <c r="B291" s="89">
        <v>18974</v>
      </c>
      <c r="C291" s="91" t="s">
        <v>13113</v>
      </c>
      <c r="D291" s="89"/>
      <c r="E291" s="89">
        <v>20140626</v>
      </c>
      <c r="F291" s="89" t="s">
        <v>20842</v>
      </c>
      <c r="G291" s="89" t="s">
        <v>20843</v>
      </c>
      <c r="H291" s="89" t="s">
        <v>20844</v>
      </c>
      <c r="I291" s="89" t="s">
        <v>20845</v>
      </c>
      <c r="J291" s="89" t="s">
        <v>326</v>
      </c>
      <c r="K291" s="105" t="s">
        <v>2572</v>
      </c>
      <c r="L291" s="89" t="s">
        <v>3185</v>
      </c>
      <c r="M291" s="89" t="s">
        <v>3186</v>
      </c>
      <c r="N291" s="89" t="s">
        <v>3187</v>
      </c>
      <c r="O291" s="89" t="s">
        <v>4496</v>
      </c>
      <c r="P291" s="89" t="s">
        <v>4496</v>
      </c>
      <c r="Q291" s="89"/>
      <c r="R291" s="89" t="s">
        <v>328</v>
      </c>
      <c r="S291" s="89" t="s">
        <v>21580</v>
      </c>
      <c r="T291" s="89" t="s">
        <v>21581</v>
      </c>
      <c r="U291" s="89" t="str">
        <f>TRIM('Carga Tributária doenças Po (2'!$L291)</f>
        <v>MEPIRAMINA</v>
      </c>
      <c r="V291" s="89">
        <f>SUMIFS('Tabela Federal'!$E$4:$E$2069,'Tabela Federal'!$D$4:$D$2069,'Carga Tributária doenças Po (2'!$L291)</f>
        <v>0</v>
      </c>
      <c r="W291" s="89">
        <f>SUMIFS('Tabela Federal'!$E$4:$E$2069,'Tabela Federal'!$D$4:$D$2069,'Carga Tributária doenças Po (2'!$M291)</f>
        <v>0</v>
      </c>
      <c r="X291" s="89">
        <f>SUMIFS('Tabela Federal'!$E$4:$E$2069,'Tabela Federal'!$D$4:$D$2069,'Carga Tributária doenças Po (2'!$N291)</f>
        <v>0</v>
      </c>
      <c r="Y291" s="89">
        <f>SUMIFS('Tabela Federal'!$E$4:$E$2069,'Tabela Federal'!$D$4:$D$2069,'Carga Tributária doenças Po (2'!$O291)</f>
        <v>0</v>
      </c>
      <c r="Z291" s="92" t="str">
        <f>VLOOKUP('Carga Tributária doenças Po (2'!$AD291,'Carga Tributária doenças Po (2'!$CA$12:$CC$16,2,0)</f>
        <v>+</v>
      </c>
      <c r="AA291" s="89" t="s">
        <v>327</v>
      </c>
      <c r="AB291" s="89" t="s">
        <v>21809</v>
      </c>
      <c r="AC291" s="89" t="s">
        <v>21721</v>
      </c>
      <c r="AD291" s="93" t="s">
        <v>21722</v>
      </c>
      <c r="AE291" s="92" t="s">
        <v>2</v>
      </c>
      <c r="AF291" s="92" t="s">
        <v>23</v>
      </c>
      <c r="AG291" s="94">
        <v>2960012</v>
      </c>
      <c r="AH291" s="95">
        <v>14390217</v>
      </c>
      <c r="AI291" s="95">
        <v>32787293.960000001</v>
      </c>
      <c r="AJ291" s="89" t="s">
        <v>333</v>
      </c>
      <c r="AK291" s="89">
        <f>IF('Carga Tributária doenças Po (2'!$Z291="+",0,SUMIFS(PISCOFINS!$I$3:$I$10518,PISCOFINS!$C$3:$C$10518,'Carga Tributária doenças Po (2'!$C291))</f>
        <v>0</v>
      </c>
      <c r="AL291" s="89">
        <f>IF('Carga Tributária doenças Po (2'!$Z291="+",0,SUMIFS(PISCOFINS!$H$3:$H$10518,PISCOFINS!$C$3:$C$10518,'Carga Tributária doenças Po (2'!$C291))</f>
        <v>0</v>
      </c>
      <c r="AM291" s="95">
        <v>3.27</v>
      </c>
      <c r="AN291" s="95">
        <v>3.12</v>
      </c>
      <c r="AO291" s="95">
        <v>1.35</v>
      </c>
      <c r="AP291" s="96">
        <v>18</v>
      </c>
      <c r="AQ291" s="96">
        <v>12</v>
      </c>
      <c r="AR291" s="96">
        <v>17</v>
      </c>
      <c r="AS291" s="97">
        <v>17</v>
      </c>
      <c r="AT291" s="97">
        <v>19</v>
      </c>
      <c r="AU291" s="97">
        <v>18</v>
      </c>
      <c r="AV291" s="97">
        <v>17</v>
      </c>
      <c r="AW291" s="97">
        <v>17</v>
      </c>
      <c r="AX291" s="97">
        <v>17</v>
      </c>
      <c r="AY291" s="97">
        <v>17</v>
      </c>
      <c r="AZ291" s="97">
        <v>17</v>
      </c>
      <c r="BA291" s="97">
        <v>17</v>
      </c>
      <c r="BB291" s="97">
        <v>17</v>
      </c>
      <c r="BC291" s="97">
        <v>17</v>
      </c>
      <c r="BD291" s="97">
        <v>17</v>
      </c>
      <c r="BE291" s="97">
        <v>17</v>
      </c>
      <c r="BF291" s="97">
        <f>+Tabela1107[[#This Row],[PIS]]+Tabela1107[[#This Row],[COFINS]]+Tabela1107[[#This Row],[CONTRIB. FOLHA]]+Tabela1107[[#This Row],[TRIBUTOS S/ LUCRO]]+Tabela1107[[#This Row],[OUTROS]]+Tabela1107[[#This Row],[SP]]</f>
        <v>25.740000000000002</v>
      </c>
      <c r="BG291" s="97">
        <f>+Tabela1107[[#This Row],[PIS]]+Tabela1107[[#This Row],[COFINS]]+Tabela1107[[#This Row],[CONTRIB. FOLHA]]+Tabela1107[[#This Row],[TRIBUTOS S/ LUCRO]]+Tabela1107[[#This Row],[OUTROS]]+Tabela1107[[#This Row],[PR]]</f>
        <v>19.740000000000002</v>
      </c>
      <c r="BH291" s="97">
        <f>+Tabela1107[[#This Row],[PIS]]+Tabela1107[[#This Row],[COFINS]]+Tabela1107[[#This Row],[CONTRIB. FOLHA]]+Tabela1107[[#This Row],[TRIBUTOS S/ LUCRO]]+Tabela1107[[#This Row],[OUTROS]]+Tabela1107[[#This Row],[SC]]</f>
        <v>24.740000000000002</v>
      </c>
      <c r="BI291" s="97">
        <f>+Tabela1107[[#This Row],[PIS]]+Tabela1107[[#This Row],[COFINS]]+Tabela1107[[#This Row],[CONTRIB. FOLHA]]+Tabela1107[[#This Row],[TRIBUTOS S/ LUCRO]]+Tabela1107[[#This Row],[OUTROS]]+Tabela1107[[#This Row],[RS]]</f>
        <v>24.740000000000002</v>
      </c>
      <c r="BJ291" s="97">
        <f>+Tabela1107[[#This Row],[PIS]]+Tabela1107[[#This Row],[COFINS]]+Tabela1107[[#This Row],[CONTRIB. FOLHA]]+Tabela1107[[#This Row],[TRIBUTOS S/ LUCRO]]+Tabela1107[[#This Row],[OUTROS]]+Tabela1107[[#This Row],[RJ]]</f>
        <v>26.740000000000002</v>
      </c>
      <c r="BK291" s="97">
        <f>+Tabela1107[[#This Row],[PIS]]+Tabela1107[[#This Row],[COFINS]]+Tabela1107[[#This Row],[CONTRIB. FOLHA]]+Tabela1107[[#This Row],[TRIBUTOS S/ LUCRO]]+Tabela1107[[#This Row],[OUTROS]]+Tabela1107[[#This Row],[MG]]</f>
        <v>25.740000000000002</v>
      </c>
      <c r="BL291" s="97">
        <f>+Tabela1107[[#This Row],[PIS]]+Tabela1107[[#This Row],[COFINS]]+Tabela1107[[#This Row],[CONTRIB. FOLHA]]+Tabela1107[[#This Row],[TRIBUTOS S/ LUCRO]]+Tabela1107[[#This Row],[OUTROS]]+Tabela1107[[#This Row],[ES]]</f>
        <v>24.740000000000002</v>
      </c>
      <c r="BM291" s="97">
        <f>+Tabela1107[[#This Row],[PIS]]+Tabela1107[[#This Row],[COFINS]]+Tabela1107[[#This Row],[CONTRIB. FOLHA]]+Tabela1107[[#This Row],[TRIBUTOS S/ LUCRO]]+Tabela1107[[#This Row],[OUTROS]]+Tabela1107[[#This Row],[GO]]</f>
        <v>24.740000000000002</v>
      </c>
      <c r="BN291" s="97">
        <f>+Tabela1107[[#This Row],[PIS]]+Tabela1107[[#This Row],[COFINS]]+Tabela1107[[#This Row],[CONTRIB. FOLHA]]+Tabela1107[[#This Row],[TRIBUTOS S/ LUCRO]]+Tabela1107[[#This Row],[OUTROS]]+Tabela1107[[#This Row],[MT]]</f>
        <v>24.740000000000002</v>
      </c>
      <c r="BO291" s="97">
        <f>+Tabela1107[[#This Row],[PIS]]+Tabela1107[[#This Row],[COFINS]]+Tabela1107[[#This Row],[CONTRIB. FOLHA]]+Tabela1107[[#This Row],[TRIBUTOS S/ LUCRO]]+Tabela1107[[#This Row],[OUTROS]]+Tabela1107[[#This Row],[MS]]</f>
        <v>24.740000000000002</v>
      </c>
      <c r="BP291" s="97">
        <f>+Tabela1107[[#This Row],[PIS]]+Tabela1107[[#This Row],[COFINS]]+Tabela1107[[#This Row],[CONTRIB. FOLHA]]+Tabela1107[[#This Row],[TRIBUTOS S/ LUCRO]]+Tabela1107[[#This Row],[OUTROS]]+Tabela1107[[#This Row],[DF]]</f>
        <v>24.740000000000002</v>
      </c>
      <c r="BQ291" s="97">
        <f>+Tabela1107[[#This Row],[PIS]]+Tabela1107[[#This Row],[COFINS]]+Tabela1107[[#This Row],[CONTRIB. FOLHA]]+Tabela1107[[#This Row],[TRIBUTOS S/ LUCRO]]+Tabela1107[[#This Row],[OUTROS]]+Tabela1107[[#This Row],[BA]]</f>
        <v>24.740000000000002</v>
      </c>
      <c r="BR291" s="97">
        <f>+Tabela1107[[#This Row],[PIS]]+Tabela1107[[#This Row],[COFINS]]+Tabela1107[[#This Row],[CONTRIB. FOLHA]]+Tabela1107[[#This Row],[TRIBUTOS S/ LUCRO]]+Tabela1107[[#This Row],[OUTROS]]+Tabela1107[[#This Row],[BA]]</f>
        <v>24.740000000000002</v>
      </c>
      <c r="BS291" s="97">
        <f>+Tabela1107[[#This Row],[PIS]]+Tabela1107[[#This Row],[COFINS]]+Tabela1107[[#This Row],[CONTRIB. FOLHA]]+Tabela1107[[#This Row],[TRIBUTOS S/ LUCRO]]+Tabela1107[[#This Row],[OUTROS]]+Tabela1107[[#This Row],[PE]]</f>
        <v>24.740000000000002</v>
      </c>
      <c r="BT291" s="97">
        <f>+Tabela1107[[#This Row],[PIS]]+Tabela1107[[#This Row],[COFINS]]+Tabela1107[[#This Row],[CONTRIB. FOLHA]]+Tabela1107[[#This Row],[TRIBUTOS S/ LUCRO]]+Tabela1107[[#This Row],[OUTROS]]+Tabela1107[[#This Row],[PA]]</f>
        <v>24.740000000000002</v>
      </c>
      <c r="BU291" s="97">
        <f>+Tabela1107[[#This Row],[PIS]]+Tabela1107[[#This Row],[COFINS]]+Tabela1107[[#This Row],[CONTRIB. FOLHA]]+Tabela1107[[#This Row],[TRIBUTOS S/ LUCRO]]+Tabela1107[[#This Row],[OUTROS]]+Tabela1107[[#This Row],[AM]]</f>
        <v>24.740000000000002</v>
      </c>
      <c r="BV291" s="97">
        <f>AVERAGE(Tabela1107[[#This Row],[TOTAL SP]:[TOTAL AM]])</f>
        <v>24.677500000000006</v>
      </c>
      <c r="BW291" s="97"/>
      <c r="BX291" s="97"/>
    </row>
    <row r="292" spans="1:76" x14ac:dyDescent="0.25">
      <c r="B292" s="89">
        <v>18947</v>
      </c>
      <c r="C292" s="91" t="s">
        <v>13093</v>
      </c>
      <c r="D292" s="89"/>
      <c r="E292" s="89">
        <v>20140626</v>
      </c>
      <c r="F292" s="89" t="s">
        <v>20677</v>
      </c>
      <c r="G292" s="89" t="s">
        <v>20678</v>
      </c>
      <c r="H292" s="89" t="s">
        <v>20679</v>
      </c>
      <c r="I292" s="89" t="s">
        <v>20680</v>
      </c>
      <c r="J292" s="89" t="s">
        <v>223</v>
      </c>
      <c r="K292" s="99" t="s">
        <v>2734</v>
      </c>
      <c r="L292" s="89" t="s">
        <v>3185</v>
      </c>
      <c r="M292" s="89" t="s">
        <v>3186</v>
      </c>
      <c r="N292" s="89" t="s">
        <v>3187</v>
      </c>
      <c r="O292" s="89" t="s">
        <v>4496</v>
      </c>
      <c r="P292" s="89" t="s">
        <v>4496</v>
      </c>
      <c r="Q292" s="89"/>
      <c r="R292" s="89" t="s">
        <v>29</v>
      </c>
      <c r="S292" s="89" t="s">
        <v>21616</v>
      </c>
      <c r="T292" s="89" t="s">
        <v>21617</v>
      </c>
      <c r="U292" s="89" t="str">
        <f>TRIM('Carga Tributária doenças Po (2'!$L292)</f>
        <v>MEPIRAMINA</v>
      </c>
      <c r="V292" s="89">
        <f>SUMIFS('Tabela Federal'!$E$4:$E$2069,'Tabela Federal'!$D$4:$D$2069,'Carga Tributária doenças Po (2'!$L292)</f>
        <v>0</v>
      </c>
      <c r="W292" s="89">
        <f>SUMIFS('Tabela Federal'!$E$4:$E$2069,'Tabela Federal'!$D$4:$D$2069,'Carga Tributária doenças Po (2'!$M292)</f>
        <v>0</v>
      </c>
      <c r="X292" s="89">
        <f>SUMIFS('Tabela Federal'!$E$4:$E$2069,'Tabela Federal'!$D$4:$D$2069,'Carga Tributária doenças Po (2'!$N292)</f>
        <v>0</v>
      </c>
      <c r="Y292" s="89">
        <f>SUMIFS('Tabela Federal'!$E$4:$E$2069,'Tabela Federal'!$D$4:$D$2069,'Carga Tributária doenças Po (2'!$O292)</f>
        <v>0</v>
      </c>
      <c r="Z292" s="92" t="str">
        <f>VLOOKUP('Carga Tributária doenças Po (2'!$AD292,'Carga Tributária doenças Po (2'!$CA$12:$CC$16,2,0)</f>
        <v>-</v>
      </c>
      <c r="AA292" s="89" t="s">
        <v>224</v>
      </c>
      <c r="AB292" s="89" t="s">
        <v>21846</v>
      </c>
      <c r="AC292" s="89" t="s">
        <v>21721</v>
      </c>
      <c r="AD292" s="93" t="s">
        <v>19523</v>
      </c>
      <c r="AE292" s="92" t="s">
        <v>4</v>
      </c>
      <c r="AF292" s="92" t="s">
        <v>3</v>
      </c>
      <c r="AG292" s="94">
        <v>3805301</v>
      </c>
      <c r="AH292" s="95">
        <v>27121716</v>
      </c>
      <c r="AI292" s="95">
        <v>61851999.030000001</v>
      </c>
      <c r="AJ292" s="89" t="s">
        <v>227</v>
      </c>
      <c r="AK292" s="89">
        <f>IF('Carga Tributária doenças Po (2'!$Z292="+",0,SUMIFS(PISCOFINS!$I$3:$I$10518,PISCOFINS!$C$3:$C$10518,'Carga Tributária doenças Po (2'!$C292))</f>
        <v>2.1</v>
      </c>
      <c r="AL292" s="89">
        <f>IF('Carga Tributária doenças Po (2'!$Z292="+",0,SUMIFS(PISCOFINS!$H$3:$H$10518,PISCOFINS!$C$3:$C$10518,'Carga Tributária doenças Po (2'!$C292))</f>
        <v>9.9</v>
      </c>
      <c r="AM292" s="95">
        <v>3.27</v>
      </c>
      <c r="AN292" s="95">
        <v>3.12</v>
      </c>
      <c r="AO292" s="95">
        <v>1.35</v>
      </c>
      <c r="AP292" s="96">
        <v>18</v>
      </c>
      <c r="AQ292" s="96">
        <v>12</v>
      </c>
      <c r="AR292" s="96">
        <v>17</v>
      </c>
      <c r="AS292" s="97">
        <v>17</v>
      </c>
      <c r="AT292" s="97">
        <v>19</v>
      </c>
      <c r="AU292" s="97">
        <v>18</v>
      </c>
      <c r="AV292" s="97">
        <v>17</v>
      </c>
      <c r="AW292" s="97">
        <v>17</v>
      </c>
      <c r="AX292" s="97">
        <v>17</v>
      </c>
      <c r="AY292" s="97">
        <v>17</v>
      </c>
      <c r="AZ292" s="97">
        <v>17</v>
      </c>
      <c r="BA292" s="97">
        <v>17</v>
      </c>
      <c r="BB292" s="97">
        <v>17</v>
      </c>
      <c r="BC292" s="97">
        <v>17</v>
      </c>
      <c r="BD292" s="97">
        <v>17</v>
      </c>
      <c r="BE292" s="97">
        <v>17</v>
      </c>
      <c r="BF292" s="97">
        <f>+Tabela1107[[#This Row],[PIS]]+Tabela1107[[#This Row],[COFINS]]+Tabela1107[[#This Row],[CONTRIB. FOLHA]]+Tabela1107[[#This Row],[TRIBUTOS S/ LUCRO]]+Tabela1107[[#This Row],[OUTROS]]+Tabela1107[[#This Row],[SP]]</f>
        <v>37.74</v>
      </c>
      <c r="BG292" s="97">
        <f>+Tabela1107[[#This Row],[PIS]]+Tabela1107[[#This Row],[COFINS]]+Tabela1107[[#This Row],[CONTRIB. FOLHA]]+Tabela1107[[#This Row],[TRIBUTOS S/ LUCRO]]+Tabela1107[[#This Row],[OUTROS]]+Tabela1107[[#This Row],[PR]]</f>
        <v>31.740000000000002</v>
      </c>
      <c r="BH292" s="97">
        <f>+Tabela1107[[#This Row],[PIS]]+Tabela1107[[#This Row],[COFINS]]+Tabela1107[[#This Row],[CONTRIB. FOLHA]]+Tabela1107[[#This Row],[TRIBUTOS S/ LUCRO]]+Tabela1107[[#This Row],[OUTROS]]+Tabela1107[[#This Row],[SC]]</f>
        <v>36.74</v>
      </c>
      <c r="BI292" s="97">
        <f>+Tabela1107[[#This Row],[PIS]]+Tabela1107[[#This Row],[COFINS]]+Tabela1107[[#This Row],[CONTRIB. FOLHA]]+Tabela1107[[#This Row],[TRIBUTOS S/ LUCRO]]+Tabela1107[[#This Row],[OUTROS]]+Tabela1107[[#This Row],[RS]]</f>
        <v>36.74</v>
      </c>
      <c r="BJ292" s="97">
        <f>+Tabela1107[[#This Row],[PIS]]+Tabela1107[[#This Row],[COFINS]]+Tabela1107[[#This Row],[CONTRIB. FOLHA]]+Tabela1107[[#This Row],[TRIBUTOS S/ LUCRO]]+Tabela1107[[#This Row],[OUTROS]]+Tabela1107[[#This Row],[RJ]]</f>
        <v>38.74</v>
      </c>
      <c r="BK292" s="97">
        <f>+Tabela1107[[#This Row],[PIS]]+Tabela1107[[#This Row],[COFINS]]+Tabela1107[[#This Row],[CONTRIB. FOLHA]]+Tabela1107[[#This Row],[TRIBUTOS S/ LUCRO]]+Tabela1107[[#This Row],[OUTROS]]+Tabela1107[[#This Row],[MG]]</f>
        <v>37.74</v>
      </c>
      <c r="BL292" s="97">
        <f>+Tabela1107[[#This Row],[PIS]]+Tabela1107[[#This Row],[COFINS]]+Tabela1107[[#This Row],[CONTRIB. FOLHA]]+Tabela1107[[#This Row],[TRIBUTOS S/ LUCRO]]+Tabela1107[[#This Row],[OUTROS]]+Tabela1107[[#This Row],[ES]]</f>
        <v>36.74</v>
      </c>
      <c r="BM292" s="97">
        <f>+Tabela1107[[#This Row],[PIS]]+Tabela1107[[#This Row],[COFINS]]+Tabela1107[[#This Row],[CONTRIB. FOLHA]]+Tabela1107[[#This Row],[TRIBUTOS S/ LUCRO]]+Tabela1107[[#This Row],[OUTROS]]+Tabela1107[[#This Row],[GO]]</f>
        <v>36.74</v>
      </c>
      <c r="BN292" s="97">
        <f>+Tabela1107[[#This Row],[PIS]]+Tabela1107[[#This Row],[COFINS]]+Tabela1107[[#This Row],[CONTRIB. FOLHA]]+Tabela1107[[#This Row],[TRIBUTOS S/ LUCRO]]+Tabela1107[[#This Row],[OUTROS]]+Tabela1107[[#This Row],[MT]]</f>
        <v>36.74</v>
      </c>
      <c r="BO292" s="97">
        <f>+Tabela1107[[#This Row],[PIS]]+Tabela1107[[#This Row],[COFINS]]+Tabela1107[[#This Row],[CONTRIB. FOLHA]]+Tabela1107[[#This Row],[TRIBUTOS S/ LUCRO]]+Tabela1107[[#This Row],[OUTROS]]+Tabela1107[[#This Row],[MS]]</f>
        <v>36.74</v>
      </c>
      <c r="BP292" s="97">
        <f>+Tabela1107[[#This Row],[PIS]]+Tabela1107[[#This Row],[COFINS]]+Tabela1107[[#This Row],[CONTRIB. FOLHA]]+Tabela1107[[#This Row],[TRIBUTOS S/ LUCRO]]+Tabela1107[[#This Row],[OUTROS]]+Tabela1107[[#This Row],[DF]]</f>
        <v>36.74</v>
      </c>
      <c r="BQ292" s="97">
        <f>+Tabela1107[[#This Row],[PIS]]+Tabela1107[[#This Row],[COFINS]]+Tabela1107[[#This Row],[CONTRIB. FOLHA]]+Tabela1107[[#This Row],[TRIBUTOS S/ LUCRO]]+Tabela1107[[#This Row],[OUTROS]]+Tabela1107[[#This Row],[BA]]</f>
        <v>36.74</v>
      </c>
      <c r="BR292" s="97">
        <f>+Tabela1107[[#This Row],[PIS]]+Tabela1107[[#This Row],[COFINS]]+Tabela1107[[#This Row],[CONTRIB. FOLHA]]+Tabela1107[[#This Row],[TRIBUTOS S/ LUCRO]]+Tabela1107[[#This Row],[OUTROS]]+Tabela1107[[#This Row],[BA]]</f>
        <v>36.74</v>
      </c>
      <c r="BS292" s="97">
        <f>+Tabela1107[[#This Row],[PIS]]+Tabela1107[[#This Row],[COFINS]]+Tabela1107[[#This Row],[CONTRIB. FOLHA]]+Tabela1107[[#This Row],[TRIBUTOS S/ LUCRO]]+Tabela1107[[#This Row],[OUTROS]]+Tabela1107[[#This Row],[PE]]</f>
        <v>36.74</v>
      </c>
      <c r="BT292" s="97">
        <f>+Tabela1107[[#This Row],[PIS]]+Tabela1107[[#This Row],[COFINS]]+Tabela1107[[#This Row],[CONTRIB. FOLHA]]+Tabela1107[[#This Row],[TRIBUTOS S/ LUCRO]]+Tabela1107[[#This Row],[OUTROS]]+Tabela1107[[#This Row],[PA]]</f>
        <v>36.74</v>
      </c>
      <c r="BU292" s="97">
        <f>+Tabela1107[[#This Row],[PIS]]+Tabela1107[[#This Row],[COFINS]]+Tabela1107[[#This Row],[CONTRIB. FOLHA]]+Tabela1107[[#This Row],[TRIBUTOS S/ LUCRO]]+Tabela1107[[#This Row],[OUTROS]]+Tabela1107[[#This Row],[AM]]</f>
        <v>36.74</v>
      </c>
      <c r="BV292" s="97">
        <f>AVERAGE(Tabela1107[[#This Row],[TOTAL SP]:[TOTAL AM]])</f>
        <v>36.677500000000002</v>
      </c>
      <c r="BW292" s="97"/>
      <c r="BX292" s="97"/>
    </row>
    <row r="293" spans="1:76" x14ac:dyDescent="0.25">
      <c r="B293" s="89">
        <v>8910</v>
      </c>
      <c r="C293" s="91" t="s">
        <v>13073</v>
      </c>
      <c r="D293" s="89"/>
      <c r="E293" s="89">
        <v>20140626</v>
      </c>
      <c r="F293" s="89" t="s">
        <v>21050</v>
      </c>
      <c r="G293" s="98" t="s">
        <v>21949</v>
      </c>
      <c r="H293" s="98" t="s">
        <v>21952</v>
      </c>
      <c r="I293" s="89" t="s">
        <v>21051</v>
      </c>
      <c r="J293" s="89" t="s">
        <v>586</v>
      </c>
      <c r="K293" s="99" t="s">
        <v>2733</v>
      </c>
      <c r="L293" s="89" t="s">
        <v>2798</v>
      </c>
      <c r="M293" s="89" t="s">
        <v>4496</v>
      </c>
      <c r="N293" s="89" t="s">
        <v>4496</v>
      </c>
      <c r="O293" s="89" t="s">
        <v>4496</v>
      </c>
      <c r="P293" s="89" t="s">
        <v>4496</v>
      </c>
      <c r="Q293" s="89"/>
      <c r="R293" s="89" t="s">
        <v>267</v>
      </c>
      <c r="S293" s="89" t="s">
        <v>21662</v>
      </c>
      <c r="T293" s="89" t="s">
        <v>21663</v>
      </c>
      <c r="U293" s="89" t="str">
        <f>TRIM('Carga Tributária doenças Po (2'!$L293)</f>
        <v>MOMETASONA</v>
      </c>
      <c r="V293" s="89">
        <f>SUMIFS('Tabela Federal'!$E$4:$E$2069,'Tabela Federal'!$D$4:$D$2069,'Carga Tributária doenças Po (2'!$L293)</f>
        <v>0</v>
      </c>
      <c r="W293" s="89">
        <f>SUMIFS('Tabela Federal'!$E$4:$E$2069,'Tabela Federal'!$D$4:$D$2069,'Carga Tributária doenças Po (2'!$M293)</f>
        <v>0</v>
      </c>
      <c r="X293" s="89">
        <f>SUMIFS('Tabela Federal'!$E$4:$E$2069,'Tabela Federal'!$D$4:$D$2069,'Carga Tributária doenças Po (2'!$N293)</f>
        <v>0</v>
      </c>
      <c r="Y293" s="89">
        <f>SUMIFS('Tabela Federal'!$E$4:$E$2069,'Tabela Federal'!$D$4:$D$2069,'Carga Tributária doenças Po (2'!$O293)</f>
        <v>0</v>
      </c>
      <c r="Z293" s="92" t="str">
        <f>VLOOKUP('Carga Tributária doenças Po (2'!$AD293,'Carga Tributária doenças Po (2'!$CA$12:$CC$16,2,0)</f>
        <v>+</v>
      </c>
      <c r="AA293" s="89" t="s">
        <v>583</v>
      </c>
      <c r="AB293" s="89" t="s">
        <v>21881</v>
      </c>
      <c r="AC293" s="89" t="s">
        <v>21721</v>
      </c>
      <c r="AD293" s="93" t="s">
        <v>21722</v>
      </c>
      <c r="AE293" s="92" t="s">
        <v>2</v>
      </c>
      <c r="AF293" s="92" t="s">
        <v>23</v>
      </c>
      <c r="AG293" s="94">
        <v>1317697</v>
      </c>
      <c r="AH293" s="95">
        <v>28558864</v>
      </c>
      <c r="AI293" s="95">
        <v>64979619.100000001</v>
      </c>
      <c r="AJ293" s="89" t="s">
        <v>589</v>
      </c>
      <c r="AK293" s="89">
        <f>IF('Carga Tributária doenças Po (2'!$Z293="+",0,SUMIFS(PISCOFINS!$I$3:$I$10518,PISCOFINS!$C$3:$C$10518,'Carga Tributária doenças Po (2'!$C293))</f>
        <v>0</v>
      </c>
      <c r="AL293" s="89">
        <f>IF('Carga Tributária doenças Po (2'!$Z293="+",0,SUMIFS(PISCOFINS!$H$3:$H$10518,PISCOFINS!$C$3:$C$10518,'Carga Tributária doenças Po (2'!$C293))</f>
        <v>0</v>
      </c>
      <c r="AM293" s="95">
        <v>3.27</v>
      </c>
      <c r="AN293" s="95">
        <v>3.12</v>
      </c>
      <c r="AO293" s="95">
        <v>1.35</v>
      </c>
      <c r="AP293" s="96">
        <v>18</v>
      </c>
      <c r="AQ293" s="96">
        <v>12</v>
      </c>
      <c r="AR293" s="96">
        <v>17</v>
      </c>
      <c r="AS293" s="97">
        <v>17</v>
      </c>
      <c r="AT293" s="97">
        <v>19</v>
      </c>
      <c r="AU293" s="97">
        <v>18</v>
      </c>
      <c r="AV293" s="97">
        <v>17</v>
      </c>
      <c r="AW293" s="97">
        <v>17</v>
      </c>
      <c r="AX293" s="97">
        <v>17</v>
      </c>
      <c r="AY293" s="97">
        <v>17</v>
      </c>
      <c r="AZ293" s="97">
        <v>17</v>
      </c>
      <c r="BA293" s="97">
        <v>17</v>
      </c>
      <c r="BB293" s="97">
        <v>17</v>
      </c>
      <c r="BC293" s="97">
        <v>17</v>
      </c>
      <c r="BD293" s="97">
        <v>17</v>
      </c>
      <c r="BE293" s="97">
        <v>17</v>
      </c>
      <c r="BF293" s="97">
        <f>+Tabela1107[[#This Row],[PIS]]+Tabela1107[[#This Row],[COFINS]]+Tabela1107[[#This Row],[CONTRIB. FOLHA]]+Tabela1107[[#This Row],[TRIBUTOS S/ LUCRO]]+Tabela1107[[#This Row],[OUTROS]]+Tabela1107[[#This Row],[SP]]</f>
        <v>25.740000000000002</v>
      </c>
      <c r="BG293" s="97">
        <f>+Tabela1107[[#This Row],[PIS]]+Tabela1107[[#This Row],[COFINS]]+Tabela1107[[#This Row],[CONTRIB. FOLHA]]+Tabela1107[[#This Row],[TRIBUTOS S/ LUCRO]]+Tabela1107[[#This Row],[OUTROS]]+Tabela1107[[#This Row],[PR]]</f>
        <v>19.740000000000002</v>
      </c>
      <c r="BH293" s="97">
        <f>+Tabela1107[[#This Row],[PIS]]+Tabela1107[[#This Row],[COFINS]]+Tabela1107[[#This Row],[CONTRIB. FOLHA]]+Tabela1107[[#This Row],[TRIBUTOS S/ LUCRO]]+Tabela1107[[#This Row],[OUTROS]]+Tabela1107[[#This Row],[SC]]</f>
        <v>24.740000000000002</v>
      </c>
      <c r="BI293" s="97">
        <f>+Tabela1107[[#This Row],[PIS]]+Tabela1107[[#This Row],[COFINS]]+Tabela1107[[#This Row],[CONTRIB. FOLHA]]+Tabela1107[[#This Row],[TRIBUTOS S/ LUCRO]]+Tabela1107[[#This Row],[OUTROS]]+Tabela1107[[#This Row],[RS]]</f>
        <v>24.740000000000002</v>
      </c>
      <c r="BJ293" s="97">
        <f>+Tabela1107[[#This Row],[PIS]]+Tabela1107[[#This Row],[COFINS]]+Tabela1107[[#This Row],[CONTRIB. FOLHA]]+Tabela1107[[#This Row],[TRIBUTOS S/ LUCRO]]+Tabela1107[[#This Row],[OUTROS]]+Tabela1107[[#This Row],[RJ]]</f>
        <v>26.740000000000002</v>
      </c>
      <c r="BK293" s="97">
        <f>+Tabela1107[[#This Row],[PIS]]+Tabela1107[[#This Row],[COFINS]]+Tabela1107[[#This Row],[CONTRIB. FOLHA]]+Tabela1107[[#This Row],[TRIBUTOS S/ LUCRO]]+Tabela1107[[#This Row],[OUTROS]]+Tabela1107[[#This Row],[MG]]</f>
        <v>25.740000000000002</v>
      </c>
      <c r="BL293" s="97">
        <f>+Tabela1107[[#This Row],[PIS]]+Tabela1107[[#This Row],[COFINS]]+Tabela1107[[#This Row],[CONTRIB. FOLHA]]+Tabela1107[[#This Row],[TRIBUTOS S/ LUCRO]]+Tabela1107[[#This Row],[OUTROS]]+Tabela1107[[#This Row],[ES]]</f>
        <v>24.740000000000002</v>
      </c>
      <c r="BM293" s="97">
        <f>+Tabela1107[[#This Row],[PIS]]+Tabela1107[[#This Row],[COFINS]]+Tabela1107[[#This Row],[CONTRIB. FOLHA]]+Tabela1107[[#This Row],[TRIBUTOS S/ LUCRO]]+Tabela1107[[#This Row],[OUTROS]]+Tabela1107[[#This Row],[GO]]</f>
        <v>24.740000000000002</v>
      </c>
      <c r="BN293" s="97">
        <f>+Tabela1107[[#This Row],[PIS]]+Tabela1107[[#This Row],[COFINS]]+Tabela1107[[#This Row],[CONTRIB. FOLHA]]+Tabela1107[[#This Row],[TRIBUTOS S/ LUCRO]]+Tabela1107[[#This Row],[OUTROS]]+Tabela1107[[#This Row],[MT]]</f>
        <v>24.740000000000002</v>
      </c>
      <c r="BO293" s="97">
        <f>+Tabela1107[[#This Row],[PIS]]+Tabela1107[[#This Row],[COFINS]]+Tabela1107[[#This Row],[CONTRIB. FOLHA]]+Tabela1107[[#This Row],[TRIBUTOS S/ LUCRO]]+Tabela1107[[#This Row],[OUTROS]]+Tabela1107[[#This Row],[MS]]</f>
        <v>24.740000000000002</v>
      </c>
      <c r="BP293" s="97">
        <f>+Tabela1107[[#This Row],[PIS]]+Tabela1107[[#This Row],[COFINS]]+Tabela1107[[#This Row],[CONTRIB. FOLHA]]+Tabela1107[[#This Row],[TRIBUTOS S/ LUCRO]]+Tabela1107[[#This Row],[OUTROS]]+Tabela1107[[#This Row],[DF]]</f>
        <v>24.740000000000002</v>
      </c>
      <c r="BQ293" s="97">
        <f>+Tabela1107[[#This Row],[PIS]]+Tabela1107[[#This Row],[COFINS]]+Tabela1107[[#This Row],[CONTRIB. FOLHA]]+Tabela1107[[#This Row],[TRIBUTOS S/ LUCRO]]+Tabela1107[[#This Row],[OUTROS]]+Tabela1107[[#This Row],[BA]]</f>
        <v>24.740000000000002</v>
      </c>
      <c r="BR293" s="97">
        <f>+Tabela1107[[#This Row],[PIS]]+Tabela1107[[#This Row],[COFINS]]+Tabela1107[[#This Row],[CONTRIB. FOLHA]]+Tabela1107[[#This Row],[TRIBUTOS S/ LUCRO]]+Tabela1107[[#This Row],[OUTROS]]+Tabela1107[[#This Row],[BA]]</f>
        <v>24.740000000000002</v>
      </c>
      <c r="BS293" s="97">
        <f>+Tabela1107[[#This Row],[PIS]]+Tabela1107[[#This Row],[COFINS]]+Tabela1107[[#This Row],[CONTRIB. FOLHA]]+Tabela1107[[#This Row],[TRIBUTOS S/ LUCRO]]+Tabela1107[[#This Row],[OUTROS]]+Tabela1107[[#This Row],[PE]]</f>
        <v>24.740000000000002</v>
      </c>
      <c r="BT293" s="97">
        <f>+Tabela1107[[#This Row],[PIS]]+Tabela1107[[#This Row],[COFINS]]+Tabela1107[[#This Row],[CONTRIB. FOLHA]]+Tabela1107[[#This Row],[TRIBUTOS S/ LUCRO]]+Tabela1107[[#This Row],[OUTROS]]+Tabela1107[[#This Row],[PA]]</f>
        <v>24.740000000000002</v>
      </c>
      <c r="BU293" s="97">
        <f>+Tabela1107[[#This Row],[PIS]]+Tabela1107[[#This Row],[COFINS]]+Tabela1107[[#This Row],[CONTRIB. FOLHA]]+Tabela1107[[#This Row],[TRIBUTOS S/ LUCRO]]+Tabela1107[[#This Row],[OUTROS]]+Tabela1107[[#This Row],[AM]]</f>
        <v>24.740000000000002</v>
      </c>
      <c r="BV293" s="97">
        <f>AVERAGE(Tabela1107[[#This Row],[TOTAL SP]:[TOTAL AM]])</f>
        <v>24.677500000000006</v>
      </c>
      <c r="BW293" s="97"/>
      <c r="BX293" s="97"/>
    </row>
    <row r="294" spans="1:76" x14ac:dyDescent="0.25">
      <c r="B294" s="89">
        <v>5061</v>
      </c>
      <c r="C294" s="91" t="s">
        <v>13101</v>
      </c>
      <c r="D294" s="89"/>
      <c r="E294" s="89">
        <v>20140626</v>
      </c>
      <c r="F294" s="89" t="s">
        <v>20939</v>
      </c>
      <c r="G294" s="89" t="s">
        <v>20940</v>
      </c>
      <c r="H294" s="89" t="s">
        <v>20941</v>
      </c>
      <c r="I294" s="89" t="s">
        <v>20942</v>
      </c>
      <c r="J294" s="89" t="s">
        <v>576</v>
      </c>
      <c r="K294" s="99" t="s">
        <v>2536</v>
      </c>
      <c r="L294" s="89" t="s">
        <v>2659</v>
      </c>
      <c r="M294" s="89" t="s">
        <v>4496</v>
      </c>
      <c r="N294" s="89" t="s">
        <v>4496</v>
      </c>
      <c r="O294" s="89" t="s">
        <v>4496</v>
      </c>
      <c r="P294" s="89" t="s">
        <v>4496</v>
      </c>
      <c r="Q294" s="89"/>
      <c r="R294" s="89" t="s">
        <v>136</v>
      </c>
      <c r="S294" s="89" t="s">
        <v>21640</v>
      </c>
      <c r="T294" s="89" t="s">
        <v>21641</v>
      </c>
      <c r="U294" s="89" t="str">
        <f>TRIM('Carga Tributária doenças Po (2'!$L294)</f>
        <v>ESTRADIOL</v>
      </c>
      <c r="V294" s="89">
        <f>SUMIFS('Tabela Federal'!$E$4:$E$2069,'Tabela Federal'!$D$4:$D$2069,'Carga Tributária doenças Po (2'!$L294)</f>
        <v>9</v>
      </c>
      <c r="W294" s="89">
        <f>SUMIFS('Tabela Federal'!$E$4:$E$2069,'Tabela Federal'!$D$4:$D$2069,'Carga Tributária doenças Po (2'!$M294)</f>
        <v>0</v>
      </c>
      <c r="X294" s="89">
        <f>SUMIFS('Tabela Federal'!$E$4:$E$2069,'Tabela Federal'!$D$4:$D$2069,'Carga Tributária doenças Po (2'!$N294)</f>
        <v>0</v>
      </c>
      <c r="Y294" s="89">
        <f>SUMIFS('Tabela Federal'!$E$4:$E$2069,'Tabela Federal'!$D$4:$D$2069,'Carga Tributária doenças Po (2'!$O294)</f>
        <v>0</v>
      </c>
      <c r="Z294" s="92" t="str">
        <f>VLOOKUP('Carga Tributária doenças Po (2'!$AD294,'Carga Tributária doenças Po (2'!$CA$12:$CC$16,2,0)</f>
        <v>+</v>
      </c>
      <c r="AA294" s="89" t="s">
        <v>573</v>
      </c>
      <c r="AB294" s="89" t="s">
        <v>21898</v>
      </c>
      <c r="AC294" s="89" t="s">
        <v>21721</v>
      </c>
      <c r="AD294" s="93" t="s">
        <v>21722</v>
      </c>
      <c r="AE294" s="92" t="s">
        <v>2</v>
      </c>
      <c r="AF294" s="92" t="s">
        <v>3</v>
      </c>
      <c r="AG294" s="94">
        <v>403936</v>
      </c>
      <c r="AH294" s="95">
        <v>5004971</v>
      </c>
      <c r="AI294" s="95">
        <v>11426216.49</v>
      </c>
      <c r="AJ294" s="89" t="s">
        <v>579</v>
      </c>
      <c r="AK294" s="89">
        <f>IF('Carga Tributária doenças Po (2'!$Z294="+",0,SUMIFS(PISCOFINS!$I$3:$I$10518,PISCOFINS!$C$3:$C$10518,'Carga Tributária doenças Po (2'!$C294))</f>
        <v>0</v>
      </c>
      <c r="AL294" s="89">
        <f>IF('Carga Tributária doenças Po (2'!$Z294="+",0,SUMIFS(PISCOFINS!$H$3:$H$10518,PISCOFINS!$C$3:$C$10518,'Carga Tributária doenças Po (2'!$C294))</f>
        <v>0</v>
      </c>
      <c r="AM294" s="95">
        <v>3.27</v>
      </c>
      <c r="AN294" s="95">
        <v>3.12</v>
      </c>
      <c r="AO294" s="95">
        <v>1.35</v>
      </c>
      <c r="AP294" s="96">
        <v>18</v>
      </c>
      <c r="AQ294" s="96">
        <v>12</v>
      </c>
      <c r="AR294" s="96">
        <v>17</v>
      </c>
      <c r="AS294" s="97">
        <v>17</v>
      </c>
      <c r="AT294" s="97">
        <v>19</v>
      </c>
      <c r="AU294" s="97">
        <v>18</v>
      </c>
      <c r="AV294" s="97">
        <v>17</v>
      </c>
      <c r="AW294" s="97">
        <v>17</v>
      </c>
      <c r="AX294" s="97">
        <v>17</v>
      </c>
      <c r="AY294" s="97">
        <v>17</v>
      </c>
      <c r="AZ294" s="97">
        <v>17</v>
      </c>
      <c r="BA294" s="97">
        <v>17</v>
      </c>
      <c r="BB294" s="97">
        <v>17</v>
      </c>
      <c r="BC294" s="97">
        <v>17</v>
      </c>
      <c r="BD294" s="97">
        <v>17</v>
      </c>
      <c r="BE294" s="97">
        <v>17</v>
      </c>
      <c r="BF294" s="97">
        <f>+Tabela1107[[#This Row],[PIS]]+Tabela1107[[#This Row],[COFINS]]+Tabela1107[[#This Row],[CONTRIB. FOLHA]]+Tabela1107[[#This Row],[TRIBUTOS S/ LUCRO]]+Tabela1107[[#This Row],[OUTROS]]+Tabela1107[[#This Row],[SP]]</f>
        <v>25.740000000000002</v>
      </c>
      <c r="BG294" s="97">
        <f>+Tabela1107[[#This Row],[PIS]]+Tabela1107[[#This Row],[COFINS]]+Tabela1107[[#This Row],[CONTRIB. FOLHA]]+Tabela1107[[#This Row],[TRIBUTOS S/ LUCRO]]+Tabela1107[[#This Row],[OUTROS]]+Tabela1107[[#This Row],[PR]]</f>
        <v>19.740000000000002</v>
      </c>
      <c r="BH294" s="97">
        <f>+Tabela1107[[#This Row],[PIS]]+Tabela1107[[#This Row],[COFINS]]+Tabela1107[[#This Row],[CONTRIB. FOLHA]]+Tabela1107[[#This Row],[TRIBUTOS S/ LUCRO]]+Tabela1107[[#This Row],[OUTROS]]+Tabela1107[[#This Row],[SC]]</f>
        <v>24.740000000000002</v>
      </c>
      <c r="BI294" s="97">
        <f>+Tabela1107[[#This Row],[PIS]]+Tabela1107[[#This Row],[COFINS]]+Tabela1107[[#This Row],[CONTRIB. FOLHA]]+Tabela1107[[#This Row],[TRIBUTOS S/ LUCRO]]+Tabela1107[[#This Row],[OUTROS]]+Tabela1107[[#This Row],[RS]]</f>
        <v>24.740000000000002</v>
      </c>
      <c r="BJ294" s="97">
        <f>+Tabela1107[[#This Row],[PIS]]+Tabela1107[[#This Row],[COFINS]]+Tabela1107[[#This Row],[CONTRIB. FOLHA]]+Tabela1107[[#This Row],[TRIBUTOS S/ LUCRO]]+Tabela1107[[#This Row],[OUTROS]]+Tabela1107[[#This Row],[RJ]]</f>
        <v>26.740000000000002</v>
      </c>
      <c r="BK294" s="97">
        <f>+Tabela1107[[#This Row],[PIS]]+Tabela1107[[#This Row],[COFINS]]+Tabela1107[[#This Row],[CONTRIB. FOLHA]]+Tabela1107[[#This Row],[TRIBUTOS S/ LUCRO]]+Tabela1107[[#This Row],[OUTROS]]+Tabela1107[[#This Row],[MG]]</f>
        <v>25.740000000000002</v>
      </c>
      <c r="BL294" s="97">
        <f>+Tabela1107[[#This Row],[PIS]]+Tabela1107[[#This Row],[COFINS]]+Tabela1107[[#This Row],[CONTRIB. FOLHA]]+Tabela1107[[#This Row],[TRIBUTOS S/ LUCRO]]+Tabela1107[[#This Row],[OUTROS]]+Tabela1107[[#This Row],[ES]]</f>
        <v>24.740000000000002</v>
      </c>
      <c r="BM294" s="97">
        <f>+Tabela1107[[#This Row],[PIS]]+Tabela1107[[#This Row],[COFINS]]+Tabela1107[[#This Row],[CONTRIB. FOLHA]]+Tabela1107[[#This Row],[TRIBUTOS S/ LUCRO]]+Tabela1107[[#This Row],[OUTROS]]+Tabela1107[[#This Row],[GO]]</f>
        <v>24.740000000000002</v>
      </c>
      <c r="BN294" s="97">
        <f>+Tabela1107[[#This Row],[PIS]]+Tabela1107[[#This Row],[COFINS]]+Tabela1107[[#This Row],[CONTRIB. FOLHA]]+Tabela1107[[#This Row],[TRIBUTOS S/ LUCRO]]+Tabela1107[[#This Row],[OUTROS]]+Tabela1107[[#This Row],[MT]]</f>
        <v>24.740000000000002</v>
      </c>
      <c r="BO294" s="97">
        <f>+Tabela1107[[#This Row],[PIS]]+Tabela1107[[#This Row],[COFINS]]+Tabela1107[[#This Row],[CONTRIB. FOLHA]]+Tabela1107[[#This Row],[TRIBUTOS S/ LUCRO]]+Tabela1107[[#This Row],[OUTROS]]+Tabela1107[[#This Row],[MS]]</f>
        <v>24.740000000000002</v>
      </c>
      <c r="BP294" s="97">
        <f>+Tabela1107[[#This Row],[PIS]]+Tabela1107[[#This Row],[COFINS]]+Tabela1107[[#This Row],[CONTRIB. FOLHA]]+Tabela1107[[#This Row],[TRIBUTOS S/ LUCRO]]+Tabela1107[[#This Row],[OUTROS]]+Tabela1107[[#This Row],[DF]]</f>
        <v>24.740000000000002</v>
      </c>
      <c r="BQ294" s="97">
        <f>+Tabela1107[[#This Row],[PIS]]+Tabela1107[[#This Row],[COFINS]]+Tabela1107[[#This Row],[CONTRIB. FOLHA]]+Tabela1107[[#This Row],[TRIBUTOS S/ LUCRO]]+Tabela1107[[#This Row],[OUTROS]]+Tabela1107[[#This Row],[BA]]</f>
        <v>24.740000000000002</v>
      </c>
      <c r="BR294" s="97">
        <f>+Tabela1107[[#This Row],[PIS]]+Tabela1107[[#This Row],[COFINS]]+Tabela1107[[#This Row],[CONTRIB. FOLHA]]+Tabela1107[[#This Row],[TRIBUTOS S/ LUCRO]]+Tabela1107[[#This Row],[OUTROS]]+Tabela1107[[#This Row],[BA]]</f>
        <v>24.740000000000002</v>
      </c>
      <c r="BS294" s="97">
        <f>+Tabela1107[[#This Row],[PIS]]+Tabela1107[[#This Row],[COFINS]]+Tabela1107[[#This Row],[CONTRIB. FOLHA]]+Tabela1107[[#This Row],[TRIBUTOS S/ LUCRO]]+Tabela1107[[#This Row],[OUTROS]]+Tabela1107[[#This Row],[PE]]</f>
        <v>24.740000000000002</v>
      </c>
      <c r="BT294" s="97">
        <f>+Tabela1107[[#This Row],[PIS]]+Tabela1107[[#This Row],[COFINS]]+Tabela1107[[#This Row],[CONTRIB. FOLHA]]+Tabela1107[[#This Row],[TRIBUTOS S/ LUCRO]]+Tabela1107[[#This Row],[OUTROS]]+Tabela1107[[#This Row],[PA]]</f>
        <v>24.740000000000002</v>
      </c>
      <c r="BU294" s="97">
        <f>+Tabela1107[[#This Row],[PIS]]+Tabela1107[[#This Row],[COFINS]]+Tabela1107[[#This Row],[CONTRIB. FOLHA]]+Tabela1107[[#This Row],[TRIBUTOS S/ LUCRO]]+Tabela1107[[#This Row],[OUTROS]]+Tabela1107[[#This Row],[AM]]</f>
        <v>24.740000000000002</v>
      </c>
      <c r="BV294" s="97">
        <f>AVERAGE(Tabela1107[[#This Row],[TOTAL SP]:[TOTAL AM]])</f>
        <v>24.677500000000006</v>
      </c>
      <c r="BW294" s="97"/>
      <c r="BX294" s="97"/>
    </row>
    <row r="295" spans="1:76" x14ac:dyDescent="0.25">
      <c r="B295" s="89">
        <v>17309</v>
      </c>
      <c r="C295" s="91" t="s">
        <v>13101</v>
      </c>
      <c r="D295" s="89"/>
      <c r="E295" s="89">
        <v>20140626</v>
      </c>
      <c r="F295" s="89" t="s">
        <v>20943</v>
      </c>
      <c r="G295" s="89" t="s">
        <v>20944</v>
      </c>
      <c r="H295" s="89" t="s">
        <v>20945</v>
      </c>
      <c r="I295" s="89" t="s">
        <v>20946</v>
      </c>
      <c r="J295" s="89" t="s">
        <v>577</v>
      </c>
      <c r="K295" s="99" t="s">
        <v>2732</v>
      </c>
      <c r="L295" s="89" t="s">
        <v>2659</v>
      </c>
      <c r="M295" s="89" t="s">
        <v>3188</v>
      </c>
      <c r="N295" s="89" t="s">
        <v>4496</v>
      </c>
      <c r="O295" s="89" t="s">
        <v>4496</v>
      </c>
      <c r="P295" s="89" t="s">
        <v>4496</v>
      </c>
      <c r="Q295" s="89"/>
      <c r="R295" s="89" t="s">
        <v>136</v>
      </c>
      <c r="S295" s="89" t="s">
        <v>21640</v>
      </c>
      <c r="T295" s="89" t="s">
        <v>21641</v>
      </c>
      <c r="U295" s="89" t="str">
        <f>TRIM('Carga Tributária doenças Po (2'!$L295)</f>
        <v>ESTRADIOL</v>
      </c>
      <c r="V295" s="89">
        <f>SUMIFS('Tabela Federal'!$E$4:$E$2069,'Tabela Federal'!$D$4:$D$2069,'Carga Tributária doenças Po (2'!$L295)</f>
        <v>9</v>
      </c>
      <c r="W295" s="89">
        <f>SUMIFS('Tabela Federal'!$E$4:$E$2069,'Tabela Federal'!$D$4:$D$2069,'Carga Tributária doenças Po (2'!$M295)</f>
        <v>3</v>
      </c>
      <c r="X295" s="89">
        <f>SUMIFS('Tabela Federal'!$E$4:$E$2069,'Tabela Federal'!$D$4:$D$2069,'Carga Tributária doenças Po (2'!$N295)</f>
        <v>0</v>
      </c>
      <c r="Y295" s="89">
        <f>SUMIFS('Tabela Federal'!$E$4:$E$2069,'Tabela Federal'!$D$4:$D$2069,'Carga Tributária doenças Po (2'!$O295)</f>
        <v>0</v>
      </c>
      <c r="Z295" s="92" t="str">
        <f>VLOOKUP('Carga Tributária doenças Po (2'!$AD295,'Carga Tributária doenças Po (2'!$CA$12:$CC$16,2,0)</f>
        <v>+</v>
      </c>
      <c r="AA295" s="89" t="s">
        <v>570</v>
      </c>
      <c r="AB295" s="89" t="s">
        <v>21898</v>
      </c>
      <c r="AC295" s="89" t="s">
        <v>21721</v>
      </c>
      <c r="AD295" s="93" t="s">
        <v>19445</v>
      </c>
      <c r="AE295" s="92" t="s">
        <v>4</v>
      </c>
      <c r="AF295" s="92" t="s">
        <v>3</v>
      </c>
      <c r="AG295" s="94">
        <v>385636</v>
      </c>
      <c r="AH295" s="95">
        <v>6742553</v>
      </c>
      <c r="AI295" s="95">
        <v>15393922.73</v>
      </c>
      <c r="AJ295" s="89" t="s">
        <v>579</v>
      </c>
      <c r="AK295" s="89">
        <f>IF('Carga Tributária doenças Po (2'!$Z295="+",0,SUMIFS(PISCOFINS!$I$3:$I$10518,PISCOFINS!$C$3:$C$10518,'Carga Tributária doenças Po (2'!$C295))</f>
        <v>0</v>
      </c>
      <c r="AL295" s="89">
        <f>IF('Carga Tributária doenças Po (2'!$Z295="+",0,SUMIFS(PISCOFINS!$H$3:$H$10518,PISCOFINS!$C$3:$C$10518,'Carga Tributária doenças Po (2'!$C295))</f>
        <v>0</v>
      </c>
      <c r="AM295" s="95">
        <v>3.27</v>
      </c>
      <c r="AN295" s="95">
        <v>3.12</v>
      </c>
      <c r="AO295" s="95">
        <v>1.35</v>
      </c>
      <c r="AP295" s="96">
        <v>18</v>
      </c>
      <c r="AQ295" s="96">
        <v>12</v>
      </c>
      <c r="AR295" s="96">
        <v>17</v>
      </c>
      <c r="AS295" s="97">
        <v>17</v>
      </c>
      <c r="AT295" s="97">
        <v>19</v>
      </c>
      <c r="AU295" s="97">
        <v>18</v>
      </c>
      <c r="AV295" s="97">
        <v>17</v>
      </c>
      <c r="AW295" s="97">
        <v>17</v>
      </c>
      <c r="AX295" s="97">
        <v>17</v>
      </c>
      <c r="AY295" s="97">
        <v>17</v>
      </c>
      <c r="AZ295" s="97">
        <v>17</v>
      </c>
      <c r="BA295" s="97">
        <v>17</v>
      </c>
      <c r="BB295" s="97">
        <v>17</v>
      </c>
      <c r="BC295" s="97">
        <v>17</v>
      </c>
      <c r="BD295" s="97">
        <v>17</v>
      </c>
      <c r="BE295" s="97">
        <v>17</v>
      </c>
      <c r="BF295" s="97">
        <f>+Tabela1107[[#This Row],[PIS]]+Tabela1107[[#This Row],[COFINS]]+Tabela1107[[#This Row],[CONTRIB. FOLHA]]+Tabela1107[[#This Row],[TRIBUTOS S/ LUCRO]]+Tabela1107[[#This Row],[OUTROS]]+Tabela1107[[#This Row],[SP]]</f>
        <v>25.740000000000002</v>
      </c>
      <c r="BG295" s="97">
        <f>+Tabela1107[[#This Row],[PIS]]+Tabela1107[[#This Row],[COFINS]]+Tabela1107[[#This Row],[CONTRIB. FOLHA]]+Tabela1107[[#This Row],[TRIBUTOS S/ LUCRO]]+Tabela1107[[#This Row],[OUTROS]]+Tabela1107[[#This Row],[PR]]</f>
        <v>19.740000000000002</v>
      </c>
      <c r="BH295" s="97">
        <f>+Tabela1107[[#This Row],[PIS]]+Tabela1107[[#This Row],[COFINS]]+Tabela1107[[#This Row],[CONTRIB. FOLHA]]+Tabela1107[[#This Row],[TRIBUTOS S/ LUCRO]]+Tabela1107[[#This Row],[OUTROS]]+Tabela1107[[#This Row],[SC]]</f>
        <v>24.740000000000002</v>
      </c>
      <c r="BI295" s="97">
        <f>+Tabela1107[[#This Row],[PIS]]+Tabela1107[[#This Row],[COFINS]]+Tabela1107[[#This Row],[CONTRIB. FOLHA]]+Tabela1107[[#This Row],[TRIBUTOS S/ LUCRO]]+Tabela1107[[#This Row],[OUTROS]]+Tabela1107[[#This Row],[RS]]</f>
        <v>24.740000000000002</v>
      </c>
      <c r="BJ295" s="97">
        <f>+Tabela1107[[#This Row],[PIS]]+Tabela1107[[#This Row],[COFINS]]+Tabela1107[[#This Row],[CONTRIB. FOLHA]]+Tabela1107[[#This Row],[TRIBUTOS S/ LUCRO]]+Tabela1107[[#This Row],[OUTROS]]+Tabela1107[[#This Row],[RJ]]</f>
        <v>26.740000000000002</v>
      </c>
      <c r="BK295" s="97">
        <f>+Tabela1107[[#This Row],[PIS]]+Tabela1107[[#This Row],[COFINS]]+Tabela1107[[#This Row],[CONTRIB. FOLHA]]+Tabela1107[[#This Row],[TRIBUTOS S/ LUCRO]]+Tabela1107[[#This Row],[OUTROS]]+Tabela1107[[#This Row],[MG]]</f>
        <v>25.740000000000002</v>
      </c>
      <c r="BL295" s="97">
        <f>+Tabela1107[[#This Row],[PIS]]+Tabela1107[[#This Row],[COFINS]]+Tabela1107[[#This Row],[CONTRIB. FOLHA]]+Tabela1107[[#This Row],[TRIBUTOS S/ LUCRO]]+Tabela1107[[#This Row],[OUTROS]]+Tabela1107[[#This Row],[ES]]</f>
        <v>24.740000000000002</v>
      </c>
      <c r="BM295" s="97">
        <f>+Tabela1107[[#This Row],[PIS]]+Tabela1107[[#This Row],[COFINS]]+Tabela1107[[#This Row],[CONTRIB. FOLHA]]+Tabela1107[[#This Row],[TRIBUTOS S/ LUCRO]]+Tabela1107[[#This Row],[OUTROS]]+Tabela1107[[#This Row],[GO]]</f>
        <v>24.740000000000002</v>
      </c>
      <c r="BN295" s="97">
        <f>+Tabela1107[[#This Row],[PIS]]+Tabela1107[[#This Row],[COFINS]]+Tabela1107[[#This Row],[CONTRIB. FOLHA]]+Tabela1107[[#This Row],[TRIBUTOS S/ LUCRO]]+Tabela1107[[#This Row],[OUTROS]]+Tabela1107[[#This Row],[MT]]</f>
        <v>24.740000000000002</v>
      </c>
      <c r="BO295" s="97">
        <f>+Tabela1107[[#This Row],[PIS]]+Tabela1107[[#This Row],[COFINS]]+Tabela1107[[#This Row],[CONTRIB. FOLHA]]+Tabela1107[[#This Row],[TRIBUTOS S/ LUCRO]]+Tabela1107[[#This Row],[OUTROS]]+Tabela1107[[#This Row],[MS]]</f>
        <v>24.740000000000002</v>
      </c>
      <c r="BP295" s="97">
        <f>+Tabela1107[[#This Row],[PIS]]+Tabela1107[[#This Row],[COFINS]]+Tabela1107[[#This Row],[CONTRIB. FOLHA]]+Tabela1107[[#This Row],[TRIBUTOS S/ LUCRO]]+Tabela1107[[#This Row],[OUTROS]]+Tabela1107[[#This Row],[DF]]</f>
        <v>24.740000000000002</v>
      </c>
      <c r="BQ295" s="97">
        <f>+Tabela1107[[#This Row],[PIS]]+Tabela1107[[#This Row],[COFINS]]+Tabela1107[[#This Row],[CONTRIB. FOLHA]]+Tabela1107[[#This Row],[TRIBUTOS S/ LUCRO]]+Tabela1107[[#This Row],[OUTROS]]+Tabela1107[[#This Row],[BA]]</f>
        <v>24.740000000000002</v>
      </c>
      <c r="BR295" s="97">
        <f>+Tabela1107[[#This Row],[PIS]]+Tabela1107[[#This Row],[COFINS]]+Tabela1107[[#This Row],[CONTRIB. FOLHA]]+Tabela1107[[#This Row],[TRIBUTOS S/ LUCRO]]+Tabela1107[[#This Row],[OUTROS]]+Tabela1107[[#This Row],[BA]]</f>
        <v>24.740000000000002</v>
      </c>
      <c r="BS295" s="97">
        <f>+Tabela1107[[#This Row],[PIS]]+Tabela1107[[#This Row],[COFINS]]+Tabela1107[[#This Row],[CONTRIB. FOLHA]]+Tabela1107[[#This Row],[TRIBUTOS S/ LUCRO]]+Tabela1107[[#This Row],[OUTROS]]+Tabela1107[[#This Row],[PE]]</f>
        <v>24.740000000000002</v>
      </c>
      <c r="BT295" s="97">
        <f>+Tabela1107[[#This Row],[PIS]]+Tabela1107[[#This Row],[COFINS]]+Tabela1107[[#This Row],[CONTRIB. FOLHA]]+Tabela1107[[#This Row],[TRIBUTOS S/ LUCRO]]+Tabela1107[[#This Row],[OUTROS]]+Tabela1107[[#This Row],[PA]]</f>
        <v>24.740000000000002</v>
      </c>
      <c r="BU295" s="97">
        <f>+Tabela1107[[#This Row],[PIS]]+Tabela1107[[#This Row],[COFINS]]+Tabela1107[[#This Row],[CONTRIB. FOLHA]]+Tabela1107[[#This Row],[TRIBUTOS S/ LUCRO]]+Tabela1107[[#This Row],[OUTROS]]+Tabela1107[[#This Row],[AM]]</f>
        <v>24.740000000000002</v>
      </c>
      <c r="BV295" s="97">
        <f>AVERAGE(Tabela1107[[#This Row],[TOTAL SP]:[TOTAL AM]])</f>
        <v>24.677500000000006</v>
      </c>
      <c r="BW295" s="97"/>
      <c r="BX295" s="97"/>
    </row>
    <row r="296" spans="1:76" x14ac:dyDescent="0.25">
      <c r="B296" s="89">
        <v>19038</v>
      </c>
      <c r="C296" s="91" t="s">
        <v>13168</v>
      </c>
      <c r="D296" s="89"/>
      <c r="E296" s="89">
        <v>20140626</v>
      </c>
      <c r="F296" s="89" t="s">
        <v>20586</v>
      </c>
      <c r="G296" s="89" t="s">
        <v>20587</v>
      </c>
      <c r="H296" s="89" t="s">
        <v>20588</v>
      </c>
      <c r="I296" s="89" t="s">
        <v>20585</v>
      </c>
      <c r="J296" s="89" t="s">
        <v>87</v>
      </c>
      <c r="K296" s="89" t="s">
        <v>2484</v>
      </c>
      <c r="L296" s="89" t="s">
        <v>2668</v>
      </c>
      <c r="M296" s="89" t="s">
        <v>4496</v>
      </c>
      <c r="N296" s="89" t="s">
        <v>4496</v>
      </c>
      <c r="O296" s="89" t="s">
        <v>4496</v>
      </c>
      <c r="P296" s="89" t="s">
        <v>4496</v>
      </c>
      <c r="Q296" s="89"/>
      <c r="R296" s="89" t="s">
        <v>88</v>
      </c>
      <c r="S296" s="89" t="s">
        <v>21608</v>
      </c>
      <c r="T296" s="89" t="s">
        <v>21609</v>
      </c>
      <c r="U296" s="89" t="str">
        <f>TRIM('Carga Tributária doenças Po (2'!$L296)</f>
        <v>CLORIDRATO DE ONDANSETRONA</v>
      </c>
      <c r="V296" s="89">
        <f>SUMIFS('Tabela Federal'!$E$4:$E$2069,'Tabela Federal'!$D$4:$D$2069,'Carga Tributária doenças Po (2'!$L296)</f>
        <v>1</v>
      </c>
      <c r="W296" s="89">
        <f>SUMIFS('Tabela Federal'!$E$4:$E$2069,'Tabela Federal'!$D$4:$D$2069,'Carga Tributária doenças Po (2'!$M296)</f>
        <v>0</v>
      </c>
      <c r="X296" s="89">
        <f>SUMIFS('Tabela Federal'!$E$4:$E$2069,'Tabela Federal'!$D$4:$D$2069,'Carga Tributária doenças Po (2'!$N296)</f>
        <v>0</v>
      </c>
      <c r="Y296" s="89">
        <f>SUMIFS('Tabela Federal'!$E$4:$E$2069,'Tabela Federal'!$D$4:$D$2069,'Carga Tributária doenças Po (2'!$O296)</f>
        <v>0</v>
      </c>
      <c r="Z296" s="92" t="str">
        <f>VLOOKUP('Carga Tributária doenças Po (2'!$AD296,'Carga Tributária doenças Po (2'!$CA$12:$CC$16,2,0)</f>
        <v>+</v>
      </c>
      <c r="AA296" s="89" t="s">
        <v>84</v>
      </c>
      <c r="AB296" s="89" t="s">
        <v>21826</v>
      </c>
      <c r="AC296" s="89" t="s">
        <v>21721</v>
      </c>
      <c r="AD296" s="93" t="s">
        <v>21722</v>
      </c>
      <c r="AE296" s="92" t="s">
        <v>4</v>
      </c>
      <c r="AF296" s="92" t="s">
        <v>3</v>
      </c>
      <c r="AG296" s="94">
        <v>61261</v>
      </c>
      <c r="AH296" s="95">
        <v>2893789</v>
      </c>
      <c r="AI296" s="95">
        <v>6601143.7000000002</v>
      </c>
      <c r="AJ296" s="89" t="s">
        <v>76</v>
      </c>
      <c r="AK296" s="89">
        <f>IF('Carga Tributária doenças Po (2'!$Z296="+",0,SUMIFS(PISCOFINS!$I$3:$I$10518,PISCOFINS!$C$3:$C$10518,'Carga Tributária doenças Po (2'!$C296))</f>
        <v>0</v>
      </c>
      <c r="AL296" s="89">
        <f>IF('Carga Tributária doenças Po (2'!$Z296="+",0,SUMIFS(PISCOFINS!$H$3:$H$10518,PISCOFINS!$C$3:$C$10518,'Carga Tributária doenças Po (2'!$C296))</f>
        <v>0</v>
      </c>
      <c r="AM296" s="95">
        <v>3.27</v>
      </c>
      <c r="AN296" s="95">
        <v>3.12</v>
      </c>
      <c r="AO296" s="95">
        <v>1.35</v>
      </c>
      <c r="AP296" s="96">
        <v>18</v>
      </c>
      <c r="AQ296" s="96">
        <v>12</v>
      </c>
      <c r="AR296" s="96">
        <v>17</v>
      </c>
      <c r="AS296" s="97">
        <v>17</v>
      </c>
      <c r="AT296" s="97">
        <v>19</v>
      </c>
      <c r="AU296" s="97">
        <v>18</v>
      </c>
      <c r="AV296" s="97">
        <v>17</v>
      </c>
      <c r="AW296" s="97">
        <v>17</v>
      </c>
      <c r="AX296" s="97">
        <v>17</v>
      </c>
      <c r="AY296" s="97">
        <v>17</v>
      </c>
      <c r="AZ296" s="97">
        <v>17</v>
      </c>
      <c r="BA296" s="97">
        <v>17</v>
      </c>
      <c r="BB296" s="97">
        <v>17</v>
      </c>
      <c r="BC296" s="97">
        <v>17</v>
      </c>
      <c r="BD296" s="97">
        <v>17</v>
      </c>
      <c r="BE296" s="97">
        <v>17</v>
      </c>
      <c r="BF296" s="97">
        <f>+Tabela1107[[#This Row],[PIS]]+Tabela1107[[#This Row],[COFINS]]+Tabela1107[[#This Row],[CONTRIB. FOLHA]]+Tabela1107[[#This Row],[TRIBUTOS S/ LUCRO]]+Tabela1107[[#This Row],[OUTROS]]+Tabela1107[[#This Row],[SP]]</f>
        <v>25.740000000000002</v>
      </c>
      <c r="BG296" s="97">
        <f>+Tabela1107[[#This Row],[PIS]]+Tabela1107[[#This Row],[COFINS]]+Tabela1107[[#This Row],[CONTRIB. FOLHA]]+Tabela1107[[#This Row],[TRIBUTOS S/ LUCRO]]+Tabela1107[[#This Row],[OUTROS]]+Tabela1107[[#This Row],[PR]]</f>
        <v>19.740000000000002</v>
      </c>
      <c r="BH296" s="97">
        <f>+Tabela1107[[#This Row],[PIS]]+Tabela1107[[#This Row],[COFINS]]+Tabela1107[[#This Row],[CONTRIB. FOLHA]]+Tabela1107[[#This Row],[TRIBUTOS S/ LUCRO]]+Tabela1107[[#This Row],[OUTROS]]+Tabela1107[[#This Row],[SC]]</f>
        <v>24.740000000000002</v>
      </c>
      <c r="BI296" s="97">
        <f>+Tabela1107[[#This Row],[PIS]]+Tabela1107[[#This Row],[COFINS]]+Tabela1107[[#This Row],[CONTRIB. FOLHA]]+Tabela1107[[#This Row],[TRIBUTOS S/ LUCRO]]+Tabela1107[[#This Row],[OUTROS]]+Tabela1107[[#This Row],[RS]]</f>
        <v>24.740000000000002</v>
      </c>
      <c r="BJ296" s="97">
        <f>+Tabela1107[[#This Row],[PIS]]+Tabela1107[[#This Row],[COFINS]]+Tabela1107[[#This Row],[CONTRIB. FOLHA]]+Tabela1107[[#This Row],[TRIBUTOS S/ LUCRO]]+Tabela1107[[#This Row],[OUTROS]]+Tabela1107[[#This Row],[RJ]]</f>
        <v>26.740000000000002</v>
      </c>
      <c r="BK296" s="97">
        <f>+Tabela1107[[#This Row],[PIS]]+Tabela1107[[#This Row],[COFINS]]+Tabela1107[[#This Row],[CONTRIB. FOLHA]]+Tabela1107[[#This Row],[TRIBUTOS S/ LUCRO]]+Tabela1107[[#This Row],[OUTROS]]+Tabela1107[[#This Row],[MG]]</f>
        <v>25.740000000000002</v>
      </c>
      <c r="BL296" s="97">
        <f>+Tabela1107[[#This Row],[PIS]]+Tabela1107[[#This Row],[COFINS]]+Tabela1107[[#This Row],[CONTRIB. FOLHA]]+Tabela1107[[#This Row],[TRIBUTOS S/ LUCRO]]+Tabela1107[[#This Row],[OUTROS]]+Tabela1107[[#This Row],[ES]]</f>
        <v>24.740000000000002</v>
      </c>
      <c r="BM296" s="97">
        <f>+Tabela1107[[#This Row],[PIS]]+Tabela1107[[#This Row],[COFINS]]+Tabela1107[[#This Row],[CONTRIB. FOLHA]]+Tabela1107[[#This Row],[TRIBUTOS S/ LUCRO]]+Tabela1107[[#This Row],[OUTROS]]+Tabela1107[[#This Row],[GO]]</f>
        <v>24.740000000000002</v>
      </c>
      <c r="BN296" s="97">
        <f>+Tabela1107[[#This Row],[PIS]]+Tabela1107[[#This Row],[COFINS]]+Tabela1107[[#This Row],[CONTRIB. FOLHA]]+Tabela1107[[#This Row],[TRIBUTOS S/ LUCRO]]+Tabela1107[[#This Row],[OUTROS]]+Tabela1107[[#This Row],[MT]]</f>
        <v>24.740000000000002</v>
      </c>
      <c r="BO296" s="97">
        <f>+Tabela1107[[#This Row],[PIS]]+Tabela1107[[#This Row],[COFINS]]+Tabela1107[[#This Row],[CONTRIB. FOLHA]]+Tabela1107[[#This Row],[TRIBUTOS S/ LUCRO]]+Tabela1107[[#This Row],[OUTROS]]+Tabela1107[[#This Row],[MS]]</f>
        <v>24.740000000000002</v>
      </c>
      <c r="BP296" s="97">
        <f>+Tabela1107[[#This Row],[PIS]]+Tabela1107[[#This Row],[COFINS]]+Tabela1107[[#This Row],[CONTRIB. FOLHA]]+Tabela1107[[#This Row],[TRIBUTOS S/ LUCRO]]+Tabela1107[[#This Row],[OUTROS]]+Tabela1107[[#This Row],[DF]]</f>
        <v>24.740000000000002</v>
      </c>
      <c r="BQ296" s="97">
        <f>+Tabela1107[[#This Row],[PIS]]+Tabela1107[[#This Row],[COFINS]]+Tabela1107[[#This Row],[CONTRIB. FOLHA]]+Tabela1107[[#This Row],[TRIBUTOS S/ LUCRO]]+Tabela1107[[#This Row],[OUTROS]]+Tabela1107[[#This Row],[BA]]</f>
        <v>24.740000000000002</v>
      </c>
      <c r="BR296" s="97">
        <f>+Tabela1107[[#This Row],[PIS]]+Tabela1107[[#This Row],[COFINS]]+Tabela1107[[#This Row],[CONTRIB. FOLHA]]+Tabela1107[[#This Row],[TRIBUTOS S/ LUCRO]]+Tabela1107[[#This Row],[OUTROS]]+Tabela1107[[#This Row],[BA]]</f>
        <v>24.740000000000002</v>
      </c>
      <c r="BS296" s="97">
        <f>+Tabela1107[[#This Row],[PIS]]+Tabela1107[[#This Row],[COFINS]]+Tabela1107[[#This Row],[CONTRIB. FOLHA]]+Tabela1107[[#This Row],[TRIBUTOS S/ LUCRO]]+Tabela1107[[#This Row],[OUTROS]]+Tabela1107[[#This Row],[PE]]</f>
        <v>24.740000000000002</v>
      </c>
      <c r="BT296" s="97">
        <f>+Tabela1107[[#This Row],[PIS]]+Tabela1107[[#This Row],[COFINS]]+Tabela1107[[#This Row],[CONTRIB. FOLHA]]+Tabela1107[[#This Row],[TRIBUTOS S/ LUCRO]]+Tabela1107[[#This Row],[OUTROS]]+Tabela1107[[#This Row],[PA]]</f>
        <v>24.740000000000002</v>
      </c>
      <c r="BU296" s="97">
        <f>+Tabela1107[[#This Row],[PIS]]+Tabela1107[[#This Row],[COFINS]]+Tabela1107[[#This Row],[CONTRIB. FOLHA]]+Tabela1107[[#This Row],[TRIBUTOS S/ LUCRO]]+Tabela1107[[#This Row],[OUTROS]]+Tabela1107[[#This Row],[AM]]</f>
        <v>24.740000000000002</v>
      </c>
      <c r="BV296" s="97">
        <f>AVERAGE(Tabela1107[[#This Row],[TOTAL SP]:[TOTAL AM]])</f>
        <v>24.677500000000006</v>
      </c>
      <c r="BW296" s="97"/>
      <c r="BX296" s="97"/>
    </row>
    <row r="297" spans="1:76" x14ac:dyDescent="0.25">
      <c r="A297" s="57" t="s">
        <v>2737</v>
      </c>
      <c r="B297" s="89">
        <v>19040</v>
      </c>
      <c r="C297" s="91" t="s">
        <v>13168</v>
      </c>
      <c r="D297" s="89"/>
      <c r="E297" s="89">
        <v>20140626</v>
      </c>
      <c r="F297" s="89" t="s">
        <v>20582</v>
      </c>
      <c r="G297" s="89" t="s">
        <v>20583</v>
      </c>
      <c r="H297" s="89" t="s">
        <v>20584</v>
      </c>
      <c r="I297" s="89" t="s">
        <v>20585</v>
      </c>
      <c r="J297" s="89" t="s">
        <v>89</v>
      </c>
      <c r="K297" s="89" t="s">
        <v>2484</v>
      </c>
      <c r="L297" s="89" t="s">
        <v>2668</v>
      </c>
      <c r="M297" s="89" t="s">
        <v>4496</v>
      </c>
      <c r="N297" s="89" t="s">
        <v>4496</v>
      </c>
      <c r="O297" s="89" t="s">
        <v>4496</v>
      </c>
      <c r="P297" s="89" t="s">
        <v>4496</v>
      </c>
      <c r="Q297" s="89"/>
      <c r="R297" s="89" t="s">
        <v>88</v>
      </c>
      <c r="S297" s="89" t="s">
        <v>21608</v>
      </c>
      <c r="T297" s="89" t="s">
        <v>21609</v>
      </c>
      <c r="U297" s="89" t="str">
        <f>TRIM('Carga Tributária doenças Po (2'!$L297)</f>
        <v>CLORIDRATO DE ONDANSETRONA</v>
      </c>
      <c r="V297" s="89">
        <f>SUMIFS('Tabela Federal'!$E$4:$E$2069,'Tabela Federal'!$D$4:$D$2069,'Carga Tributária doenças Po (2'!$L297)</f>
        <v>1</v>
      </c>
      <c r="W297" s="89">
        <f>SUMIFS('Tabela Federal'!$E$4:$E$2069,'Tabela Federal'!$D$4:$D$2069,'Carga Tributária doenças Po (2'!$M297)</f>
        <v>0</v>
      </c>
      <c r="X297" s="89">
        <f>SUMIFS('Tabela Federal'!$E$4:$E$2069,'Tabela Federal'!$D$4:$D$2069,'Carga Tributária doenças Po (2'!$N297)</f>
        <v>0</v>
      </c>
      <c r="Y297" s="89">
        <f>SUMIFS('Tabela Federal'!$E$4:$E$2069,'Tabela Federal'!$D$4:$D$2069,'Carga Tributária doenças Po (2'!$O297)</f>
        <v>0</v>
      </c>
      <c r="Z297" s="92" t="str">
        <f>VLOOKUP('Carga Tributária doenças Po (2'!$AD297,'Carga Tributária doenças Po (2'!$CA$12:$CC$16,2,0)</f>
        <v>+</v>
      </c>
      <c r="AA297" s="89" t="s">
        <v>84</v>
      </c>
      <c r="AB297" s="89" t="s">
        <v>21826</v>
      </c>
      <c r="AC297" s="89" t="s">
        <v>21721</v>
      </c>
      <c r="AD297" s="93" t="s">
        <v>21722</v>
      </c>
      <c r="AE297" s="92" t="s">
        <v>4</v>
      </c>
      <c r="AF297" s="92" t="s">
        <v>3</v>
      </c>
      <c r="AG297" s="94">
        <v>1140</v>
      </c>
      <c r="AH297" s="95">
        <v>10825</v>
      </c>
      <c r="AI297" s="95">
        <v>24524.639999999999</v>
      </c>
      <c r="AJ297" s="89" t="s">
        <v>76</v>
      </c>
      <c r="AK297" s="89">
        <f>IF('Carga Tributária doenças Po (2'!$Z297="+",0,SUMIFS(PISCOFINS!$I$3:$I$10518,PISCOFINS!$C$3:$C$10518,'Carga Tributária doenças Po (2'!$C297))</f>
        <v>0</v>
      </c>
      <c r="AL297" s="89">
        <f>IF('Carga Tributária doenças Po (2'!$Z297="+",0,SUMIFS(PISCOFINS!$H$3:$H$10518,PISCOFINS!$C$3:$C$10518,'Carga Tributária doenças Po (2'!$C297))</f>
        <v>0</v>
      </c>
      <c r="AM297" s="95">
        <v>3.27</v>
      </c>
      <c r="AN297" s="95">
        <v>3.12</v>
      </c>
      <c r="AO297" s="95">
        <v>1.35</v>
      </c>
      <c r="AP297" s="96">
        <v>18</v>
      </c>
      <c r="AQ297" s="96">
        <v>12</v>
      </c>
      <c r="AR297" s="96">
        <v>17</v>
      </c>
      <c r="AS297" s="97">
        <v>17</v>
      </c>
      <c r="AT297" s="97">
        <v>19</v>
      </c>
      <c r="AU297" s="97">
        <v>18</v>
      </c>
      <c r="AV297" s="97">
        <v>17</v>
      </c>
      <c r="AW297" s="97">
        <v>17</v>
      </c>
      <c r="AX297" s="97">
        <v>17</v>
      </c>
      <c r="AY297" s="97">
        <v>17</v>
      </c>
      <c r="AZ297" s="97">
        <v>17</v>
      </c>
      <c r="BA297" s="97">
        <v>17</v>
      </c>
      <c r="BB297" s="97">
        <v>17</v>
      </c>
      <c r="BC297" s="97">
        <v>17</v>
      </c>
      <c r="BD297" s="97">
        <v>17</v>
      </c>
      <c r="BE297" s="97">
        <v>17</v>
      </c>
      <c r="BF297" s="97">
        <f>+Tabela1107[[#This Row],[PIS]]+Tabela1107[[#This Row],[COFINS]]+Tabela1107[[#This Row],[CONTRIB. FOLHA]]+Tabela1107[[#This Row],[TRIBUTOS S/ LUCRO]]+Tabela1107[[#This Row],[OUTROS]]+Tabela1107[[#This Row],[SP]]</f>
        <v>25.740000000000002</v>
      </c>
      <c r="BG297" s="97">
        <f>+Tabela1107[[#This Row],[PIS]]+Tabela1107[[#This Row],[COFINS]]+Tabela1107[[#This Row],[CONTRIB. FOLHA]]+Tabela1107[[#This Row],[TRIBUTOS S/ LUCRO]]+Tabela1107[[#This Row],[OUTROS]]+Tabela1107[[#This Row],[PR]]</f>
        <v>19.740000000000002</v>
      </c>
      <c r="BH297" s="97">
        <f>+Tabela1107[[#This Row],[PIS]]+Tabela1107[[#This Row],[COFINS]]+Tabela1107[[#This Row],[CONTRIB. FOLHA]]+Tabela1107[[#This Row],[TRIBUTOS S/ LUCRO]]+Tabela1107[[#This Row],[OUTROS]]+Tabela1107[[#This Row],[SC]]</f>
        <v>24.740000000000002</v>
      </c>
      <c r="BI297" s="97">
        <f>+Tabela1107[[#This Row],[PIS]]+Tabela1107[[#This Row],[COFINS]]+Tabela1107[[#This Row],[CONTRIB. FOLHA]]+Tabela1107[[#This Row],[TRIBUTOS S/ LUCRO]]+Tabela1107[[#This Row],[OUTROS]]+Tabela1107[[#This Row],[RS]]</f>
        <v>24.740000000000002</v>
      </c>
      <c r="BJ297" s="97">
        <f>+Tabela1107[[#This Row],[PIS]]+Tabela1107[[#This Row],[COFINS]]+Tabela1107[[#This Row],[CONTRIB. FOLHA]]+Tabela1107[[#This Row],[TRIBUTOS S/ LUCRO]]+Tabela1107[[#This Row],[OUTROS]]+Tabela1107[[#This Row],[RJ]]</f>
        <v>26.740000000000002</v>
      </c>
      <c r="BK297" s="97">
        <f>+Tabela1107[[#This Row],[PIS]]+Tabela1107[[#This Row],[COFINS]]+Tabela1107[[#This Row],[CONTRIB. FOLHA]]+Tabela1107[[#This Row],[TRIBUTOS S/ LUCRO]]+Tabela1107[[#This Row],[OUTROS]]+Tabela1107[[#This Row],[MG]]</f>
        <v>25.740000000000002</v>
      </c>
      <c r="BL297" s="97">
        <f>+Tabela1107[[#This Row],[PIS]]+Tabela1107[[#This Row],[COFINS]]+Tabela1107[[#This Row],[CONTRIB. FOLHA]]+Tabela1107[[#This Row],[TRIBUTOS S/ LUCRO]]+Tabela1107[[#This Row],[OUTROS]]+Tabela1107[[#This Row],[ES]]</f>
        <v>24.740000000000002</v>
      </c>
      <c r="BM297" s="97">
        <f>+Tabela1107[[#This Row],[PIS]]+Tabela1107[[#This Row],[COFINS]]+Tabela1107[[#This Row],[CONTRIB. FOLHA]]+Tabela1107[[#This Row],[TRIBUTOS S/ LUCRO]]+Tabela1107[[#This Row],[OUTROS]]+Tabela1107[[#This Row],[GO]]</f>
        <v>24.740000000000002</v>
      </c>
      <c r="BN297" s="97">
        <f>+Tabela1107[[#This Row],[PIS]]+Tabela1107[[#This Row],[COFINS]]+Tabela1107[[#This Row],[CONTRIB. FOLHA]]+Tabela1107[[#This Row],[TRIBUTOS S/ LUCRO]]+Tabela1107[[#This Row],[OUTROS]]+Tabela1107[[#This Row],[MT]]</f>
        <v>24.740000000000002</v>
      </c>
      <c r="BO297" s="97">
        <f>+Tabela1107[[#This Row],[PIS]]+Tabela1107[[#This Row],[COFINS]]+Tabela1107[[#This Row],[CONTRIB. FOLHA]]+Tabela1107[[#This Row],[TRIBUTOS S/ LUCRO]]+Tabela1107[[#This Row],[OUTROS]]+Tabela1107[[#This Row],[MS]]</f>
        <v>24.740000000000002</v>
      </c>
      <c r="BP297" s="97">
        <f>+Tabela1107[[#This Row],[PIS]]+Tabela1107[[#This Row],[COFINS]]+Tabela1107[[#This Row],[CONTRIB. FOLHA]]+Tabela1107[[#This Row],[TRIBUTOS S/ LUCRO]]+Tabela1107[[#This Row],[OUTROS]]+Tabela1107[[#This Row],[DF]]</f>
        <v>24.740000000000002</v>
      </c>
      <c r="BQ297" s="97">
        <f>+Tabela1107[[#This Row],[PIS]]+Tabela1107[[#This Row],[COFINS]]+Tabela1107[[#This Row],[CONTRIB. FOLHA]]+Tabela1107[[#This Row],[TRIBUTOS S/ LUCRO]]+Tabela1107[[#This Row],[OUTROS]]+Tabela1107[[#This Row],[BA]]</f>
        <v>24.740000000000002</v>
      </c>
      <c r="BR297" s="97">
        <f>+Tabela1107[[#This Row],[PIS]]+Tabela1107[[#This Row],[COFINS]]+Tabela1107[[#This Row],[CONTRIB. FOLHA]]+Tabela1107[[#This Row],[TRIBUTOS S/ LUCRO]]+Tabela1107[[#This Row],[OUTROS]]+Tabela1107[[#This Row],[BA]]</f>
        <v>24.740000000000002</v>
      </c>
      <c r="BS297" s="97">
        <f>+Tabela1107[[#This Row],[PIS]]+Tabela1107[[#This Row],[COFINS]]+Tabela1107[[#This Row],[CONTRIB. FOLHA]]+Tabela1107[[#This Row],[TRIBUTOS S/ LUCRO]]+Tabela1107[[#This Row],[OUTROS]]+Tabela1107[[#This Row],[PE]]</f>
        <v>24.740000000000002</v>
      </c>
      <c r="BT297" s="97">
        <f>+Tabela1107[[#This Row],[PIS]]+Tabela1107[[#This Row],[COFINS]]+Tabela1107[[#This Row],[CONTRIB. FOLHA]]+Tabela1107[[#This Row],[TRIBUTOS S/ LUCRO]]+Tabela1107[[#This Row],[OUTROS]]+Tabela1107[[#This Row],[PA]]</f>
        <v>24.740000000000002</v>
      </c>
      <c r="BU297" s="97">
        <f>+Tabela1107[[#This Row],[PIS]]+Tabela1107[[#This Row],[COFINS]]+Tabela1107[[#This Row],[CONTRIB. FOLHA]]+Tabela1107[[#This Row],[TRIBUTOS S/ LUCRO]]+Tabela1107[[#This Row],[OUTROS]]+Tabela1107[[#This Row],[AM]]</f>
        <v>24.740000000000002</v>
      </c>
      <c r="BV297" s="97">
        <f>AVERAGE(Tabela1107[[#This Row],[TOTAL SP]:[TOTAL AM]])</f>
        <v>24.677500000000006</v>
      </c>
      <c r="BW297" s="97"/>
      <c r="BX297" s="97"/>
    </row>
    <row r="298" spans="1:76" x14ac:dyDescent="0.25">
      <c r="B298" s="89">
        <v>4099</v>
      </c>
      <c r="C298" s="91" t="s">
        <v>13142</v>
      </c>
      <c r="D298" s="89"/>
      <c r="E298" s="89">
        <v>20140626</v>
      </c>
      <c r="F298" s="89" t="s">
        <v>21142</v>
      </c>
      <c r="G298" s="98" t="s">
        <v>21143</v>
      </c>
      <c r="H298" s="98" t="s">
        <v>21986</v>
      </c>
      <c r="I298" s="89" t="s">
        <v>21144</v>
      </c>
      <c r="J298" s="89" t="s">
        <v>33</v>
      </c>
      <c r="K298" s="99" t="s">
        <v>2730</v>
      </c>
      <c r="L298" s="89" t="s">
        <v>3160</v>
      </c>
      <c r="M298" s="89" t="s">
        <v>2655</v>
      </c>
      <c r="N298" s="89" t="s">
        <v>4496</v>
      </c>
      <c r="O298" s="89" t="s">
        <v>4496</v>
      </c>
      <c r="P298" s="89" t="s">
        <v>4496</v>
      </c>
      <c r="Q298" s="89"/>
      <c r="R298" s="89" t="s">
        <v>34</v>
      </c>
      <c r="S298" s="89" t="s">
        <v>21646</v>
      </c>
      <c r="T298" s="89" t="s">
        <v>21647</v>
      </c>
      <c r="U298" s="89" t="str">
        <f>TRIM('Carga Tributária doenças Po (2'!$L298)</f>
        <v>ESCOPOLAMINA</v>
      </c>
      <c r="V298" s="89">
        <f>SUMIFS('Tabela Federal'!$E$4:$E$2069,'Tabela Federal'!$D$4:$D$2069,'Carga Tributária doenças Po (2'!$L298)</f>
        <v>0</v>
      </c>
      <c r="W298" s="89">
        <f>SUMIFS('Tabela Federal'!$E$4:$E$2069,'Tabela Federal'!$D$4:$D$2069,'Carga Tributária doenças Po (2'!$M298)</f>
        <v>1</v>
      </c>
      <c r="X298" s="89">
        <f>SUMIFS('Tabela Federal'!$E$4:$E$2069,'Tabela Federal'!$D$4:$D$2069,'Carga Tributária doenças Po (2'!$N298)</f>
        <v>0</v>
      </c>
      <c r="Y298" s="89">
        <f>SUMIFS('Tabela Federal'!$E$4:$E$2069,'Tabela Federal'!$D$4:$D$2069,'Carga Tributária doenças Po (2'!$O298)</f>
        <v>0</v>
      </c>
      <c r="Z298" s="92" t="str">
        <f>VLOOKUP('Carga Tributária doenças Po (2'!$AD298,'Carga Tributária doenças Po (2'!$CA$12:$CC$16,2,0)</f>
        <v>-</v>
      </c>
      <c r="AA298" s="89" t="s">
        <v>31</v>
      </c>
      <c r="AB298" s="89"/>
      <c r="AC298" s="89" t="s">
        <v>21740</v>
      </c>
      <c r="AD298" s="93" t="s">
        <v>19523</v>
      </c>
      <c r="AE298" s="92" t="s">
        <v>4</v>
      </c>
      <c r="AF298" s="92" t="s">
        <v>3</v>
      </c>
      <c r="AG298" s="94">
        <v>1660694</v>
      </c>
      <c r="AH298" s="95">
        <v>6331887</v>
      </c>
      <c r="AI298" s="95">
        <v>14462610.08</v>
      </c>
      <c r="AJ298" s="89" t="s">
        <v>449</v>
      </c>
      <c r="AK298" s="89">
        <f>IF('Carga Tributária doenças Po (2'!$Z298="+",0,SUMIFS(PISCOFINS!$I$3:$I$10518,PISCOFINS!$C$3:$C$10518,'Carga Tributária doenças Po (2'!$C298))</f>
        <v>2.1</v>
      </c>
      <c r="AL298" s="89">
        <f>IF('Carga Tributária doenças Po (2'!$Z298="+",0,SUMIFS(PISCOFINS!$H$3:$H$10518,PISCOFINS!$C$3:$C$10518,'Carga Tributária doenças Po (2'!$C298))</f>
        <v>9.9</v>
      </c>
      <c r="AM298" s="95">
        <v>3.27</v>
      </c>
      <c r="AN298" s="95">
        <v>3.12</v>
      </c>
      <c r="AO298" s="95">
        <v>1.35</v>
      </c>
      <c r="AP298" s="96">
        <v>18</v>
      </c>
      <c r="AQ298" s="96">
        <v>12</v>
      </c>
      <c r="AR298" s="96">
        <v>17</v>
      </c>
      <c r="AS298" s="97">
        <v>17</v>
      </c>
      <c r="AT298" s="97">
        <v>19</v>
      </c>
      <c r="AU298" s="97">
        <v>18</v>
      </c>
      <c r="AV298" s="97">
        <v>17</v>
      </c>
      <c r="AW298" s="97">
        <v>17</v>
      </c>
      <c r="AX298" s="97">
        <v>17</v>
      </c>
      <c r="AY298" s="97">
        <v>17</v>
      </c>
      <c r="AZ298" s="97">
        <v>17</v>
      </c>
      <c r="BA298" s="97">
        <v>17</v>
      </c>
      <c r="BB298" s="97">
        <v>17</v>
      </c>
      <c r="BC298" s="97">
        <v>17</v>
      </c>
      <c r="BD298" s="97">
        <v>17</v>
      </c>
      <c r="BE298" s="97">
        <v>17</v>
      </c>
      <c r="BF298" s="97">
        <f>+Tabela1107[[#This Row],[PIS]]+Tabela1107[[#This Row],[COFINS]]+Tabela1107[[#This Row],[CONTRIB. FOLHA]]+Tabela1107[[#This Row],[TRIBUTOS S/ LUCRO]]+Tabela1107[[#This Row],[OUTROS]]+Tabela1107[[#This Row],[SP]]</f>
        <v>37.74</v>
      </c>
      <c r="BG298" s="97">
        <f>+Tabela1107[[#This Row],[PIS]]+Tabela1107[[#This Row],[COFINS]]+Tabela1107[[#This Row],[CONTRIB. FOLHA]]+Tabela1107[[#This Row],[TRIBUTOS S/ LUCRO]]+Tabela1107[[#This Row],[OUTROS]]+Tabela1107[[#This Row],[PR]]</f>
        <v>31.740000000000002</v>
      </c>
      <c r="BH298" s="97">
        <f>+Tabela1107[[#This Row],[PIS]]+Tabela1107[[#This Row],[COFINS]]+Tabela1107[[#This Row],[CONTRIB. FOLHA]]+Tabela1107[[#This Row],[TRIBUTOS S/ LUCRO]]+Tabela1107[[#This Row],[OUTROS]]+Tabela1107[[#This Row],[SC]]</f>
        <v>36.74</v>
      </c>
      <c r="BI298" s="97">
        <f>+Tabela1107[[#This Row],[PIS]]+Tabela1107[[#This Row],[COFINS]]+Tabela1107[[#This Row],[CONTRIB. FOLHA]]+Tabela1107[[#This Row],[TRIBUTOS S/ LUCRO]]+Tabela1107[[#This Row],[OUTROS]]+Tabela1107[[#This Row],[RS]]</f>
        <v>36.74</v>
      </c>
      <c r="BJ298" s="97">
        <f>+Tabela1107[[#This Row],[PIS]]+Tabela1107[[#This Row],[COFINS]]+Tabela1107[[#This Row],[CONTRIB. FOLHA]]+Tabela1107[[#This Row],[TRIBUTOS S/ LUCRO]]+Tabela1107[[#This Row],[OUTROS]]+Tabela1107[[#This Row],[RJ]]</f>
        <v>38.74</v>
      </c>
      <c r="BK298" s="97">
        <f>+Tabela1107[[#This Row],[PIS]]+Tabela1107[[#This Row],[COFINS]]+Tabela1107[[#This Row],[CONTRIB. FOLHA]]+Tabela1107[[#This Row],[TRIBUTOS S/ LUCRO]]+Tabela1107[[#This Row],[OUTROS]]+Tabela1107[[#This Row],[MG]]</f>
        <v>37.74</v>
      </c>
      <c r="BL298" s="97">
        <f>+Tabela1107[[#This Row],[PIS]]+Tabela1107[[#This Row],[COFINS]]+Tabela1107[[#This Row],[CONTRIB. FOLHA]]+Tabela1107[[#This Row],[TRIBUTOS S/ LUCRO]]+Tabela1107[[#This Row],[OUTROS]]+Tabela1107[[#This Row],[ES]]</f>
        <v>36.74</v>
      </c>
      <c r="BM298" s="97">
        <f>+Tabela1107[[#This Row],[PIS]]+Tabela1107[[#This Row],[COFINS]]+Tabela1107[[#This Row],[CONTRIB. FOLHA]]+Tabela1107[[#This Row],[TRIBUTOS S/ LUCRO]]+Tabela1107[[#This Row],[OUTROS]]+Tabela1107[[#This Row],[GO]]</f>
        <v>36.74</v>
      </c>
      <c r="BN298" s="97">
        <f>+Tabela1107[[#This Row],[PIS]]+Tabela1107[[#This Row],[COFINS]]+Tabela1107[[#This Row],[CONTRIB. FOLHA]]+Tabela1107[[#This Row],[TRIBUTOS S/ LUCRO]]+Tabela1107[[#This Row],[OUTROS]]+Tabela1107[[#This Row],[MT]]</f>
        <v>36.74</v>
      </c>
      <c r="BO298" s="97">
        <f>+Tabela1107[[#This Row],[PIS]]+Tabela1107[[#This Row],[COFINS]]+Tabela1107[[#This Row],[CONTRIB. FOLHA]]+Tabela1107[[#This Row],[TRIBUTOS S/ LUCRO]]+Tabela1107[[#This Row],[OUTROS]]+Tabela1107[[#This Row],[MS]]</f>
        <v>36.74</v>
      </c>
      <c r="BP298" s="97">
        <f>+Tabela1107[[#This Row],[PIS]]+Tabela1107[[#This Row],[COFINS]]+Tabela1107[[#This Row],[CONTRIB. FOLHA]]+Tabela1107[[#This Row],[TRIBUTOS S/ LUCRO]]+Tabela1107[[#This Row],[OUTROS]]+Tabela1107[[#This Row],[DF]]</f>
        <v>36.74</v>
      </c>
      <c r="BQ298" s="97">
        <f>+Tabela1107[[#This Row],[PIS]]+Tabela1107[[#This Row],[COFINS]]+Tabela1107[[#This Row],[CONTRIB. FOLHA]]+Tabela1107[[#This Row],[TRIBUTOS S/ LUCRO]]+Tabela1107[[#This Row],[OUTROS]]+Tabela1107[[#This Row],[BA]]</f>
        <v>36.74</v>
      </c>
      <c r="BR298" s="97">
        <f>+Tabela1107[[#This Row],[PIS]]+Tabela1107[[#This Row],[COFINS]]+Tabela1107[[#This Row],[CONTRIB. FOLHA]]+Tabela1107[[#This Row],[TRIBUTOS S/ LUCRO]]+Tabela1107[[#This Row],[OUTROS]]+Tabela1107[[#This Row],[BA]]</f>
        <v>36.74</v>
      </c>
      <c r="BS298" s="97">
        <f>+Tabela1107[[#This Row],[PIS]]+Tabela1107[[#This Row],[COFINS]]+Tabela1107[[#This Row],[CONTRIB. FOLHA]]+Tabela1107[[#This Row],[TRIBUTOS S/ LUCRO]]+Tabela1107[[#This Row],[OUTROS]]+Tabela1107[[#This Row],[PE]]</f>
        <v>36.74</v>
      </c>
      <c r="BT298" s="97">
        <f>+Tabela1107[[#This Row],[PIS]]+Tabela1107[[#This Row],[COFINS]]+Tabela1107[[#This Row],[CONTRIB. FOLHA]]+Tabela1107[[#This Row],[TRIBUTOS S/ LUCRO]]+Tabela1107[[#This Row],[OUTROS]]+Tabela1107[[#This Row],[PA]]</f>
        <v>36.74</v>
      </c>
      <c r="BU298" s="97">
        <f>+Tabela1107[[#This Row],[PIS]]+Tabela1107[[#This Row],[COFINS]]+Tabela1107[[#This Row],[CONTRIB. FOLHA]]+Tabela1107[[#This Row],[TRIBUTOS S/ LUCRO]]+Tabela1107[[#This Row],[OUTROS]]+Tabela1107[[#This Row],[AM]]</f>
        <v>36.74</v>
      </c>
      <c r="BV298" s="97">
        <f>AVERAGE(Tabela1107[[#This Row],[TOTAL SP]:[TOTAL AM]])</f>
        <v>36.677500000000002</v>
      </c>
      <c r="BW298" s="97"/>
      <c r="BX298" s="97"/>
    </row>
    <row r="299" spans="1:76" x14ac:dyDescent="0.25">
      <c r="B299" s="89">
        <v>4099</v>
      </c>
      <c r="C299" s="91" t="s">
        <v>13142</v>
      </c>
      <c r="D299" s="89"/>
      <c r="E299" s="89">
        <v>20140626</v>
      </c>
      <c r="F299" s="89" t="s">
        <v>21142</v>
      </c>
      <c r="G299" s="89" t="s">
        <v>21143</v>
      </c>
      <c r="H299" s="98" t="s">
        <v>21986</v>
      </c>
      <c r="I299" s="89" t="s">
        <v>21144</v>
      </c>
      <c r="J299" s="89" t="s">
        <v>33</v>
      </c>
      <c r="K299" s="99" t="s">
        <v>2730</v>
      </c>
      <c r="L299" s="89" t="s">
        <v>3160</v>
      </c>
      <c r="M299" s="89" t="s">
        <v>2655</v>
      </c>
      <c r="N299" s="89" t="s">
        <v>4496</v>
      </c>
      <c r="O299" s="89" t="s">
        <v>4496</v>
      </c>
      <c r="P299" s="89" t="s">
        <v>4496</v>
      </c>
      <c r="Q299" s="89"/>
      <c r="R299" s="89" t="s">
        <v>34</v>
      </c>
      <c r="S299" s="89" t="s">
        <v>21646</v>
      </c>
      <c r="T299" s="89" t="s">
        <v>21647</v>
      </c>
      <c r="U299" s="89" t="str">
        <f>TRIM('Carga Tributária doenças Po (2'!$L299)</f>
        <v>ESCOPOLAMINA</v>
      </c>
      <c r="V299" s="89">
        <f>SUMIFS('Tabela Federal'!$E$4:$E$2069,'Tabela Federal'!$D$4:$D$2069,'Carga Tributária doenças Po (2'!$L299)</f>
        <v>0</v>
      </c>
      <c r="W299" s="89">
        <f>SUMIFS('Tabela Federal'!$E$4:$E$2069,'Tabela Federal'!$D$4:$D$2069,'Carga Tributária doenças Po (2'!$M299)</f>
        <v>1</v>
      </c>
      <c r="X299" s="89">
        <f>SUMIFS('Tabela Federal'!$E$4:$E$2069,'Tabela Federal'!$D$4:$D$2069,'Carga Tributária doenças Po (2'!$N299)</f>
        <v>0</v>
      </c>
      <c r="Y299" s="89">
        <f>SUMIFS('Tabela Federal'!$E$4:$E$2069,'Tabela Federal'!$D$4:$D$2069,'Carga Tributária doenças Po (2'!$O299)</f>
        <v>0</v>
      </c>
      <c r="Z299" s="92" t="str">
        <f>VLOOKUP('Carga Tributária doenças Po (2'!$AD299,'Carga Tributária doenças Po (2'!$CA$12:$CC$16,2,0)</f>
        <v>-</v>
      </c>
      <c r="AA299" s="89" t="s">
        <v>31</v>
      </c>
      <c r="AB299" s="89"/>
      <c r="AC299" s="89" t="s">
        <v>21740</v>
      </c>
      <c r="AD299" s="93" t="s">
        <v>19523</v>
      </c>
      <c r="AE299" s="92" t="s">
        <v>4</v>
      </c>
      <c r="AF299" s="92" t="s">
        <v>3</v>
      </c>
      <c r="AG299" s="94">
        <v>1660694</v>
      </c>
      <c r="AH299" s="95">
        <v>6331887</v>
      </c>
      <c r="AI299" s="95">
        <v>14462610.08</v>
      </c>
      <c r="AJ299" s="89" t="s">
        <v>40</v>
      </c>
      <c r="AK299" s="89">
        <f>IF('Carga Tributária doenças Po (2'!$Z299="+",0,SUMIFS(PISCOFINS!$I$3:$I$10518,PISCOFINS!$C$3:$C$10518,'Carga Tributária doenças Po (2'!$C299))</f>
        <v>2.1</v>
      </c>
      <c r="AL299" s="89">
        <f>IF('Carga Tributária doenças Po (2'!$Z299="+",0,SUMIFS(PISCOFINS!$H$3:$H$10518,PISCOFINS!$C$3:$C$10518,'Carga Tributária doenças Po (2'!$C299))</f>
        <v>9.9</v>
      </c>
      <c r="AM299" s="95">
        <v>3.27</v>
      </c>
      <c r="AN299" s="95">
        <v>3.12</v>
      </c>
      <c r="AO299" s="95">
        <v>1.35</v>
      </c>
      <c r="AP299" s="96">
        <v>18</v>
      </c>
      <c r="AQ299" s="96">
        <v>12</v>
      </c>
      <c r="AR299" s="96">
        <v>17</v>
      </c>
      <c r="AS299" s="97">
        <v>17</v>
      </c>
      <c r="AT299" s="97">
        <v>19</v>
      </c>
      <c r="AU299" s="97">
        <v>18</v>
      </c>
      <c r="AV299" s="97">
        <v>17</v>
      </c>
      <c r="AW299" s="97">
        <v>17</v>
      </c>
      <c r="AX299" s="97">
        <v>17</v>
      </c>
      <c r="AY299" s="97">
        <v>17</v>
      </c>
      <c r="AZ299" s="97">
        <v>17</v>
      </c>
      <c r="BA299" s="97">
        <v>17</v>
      </c>
      <c r="BB299" s="97">
        <v>17</v>
      </c>
      <c r="BC299" s="97">
        <v>17</v>
      </c>
      <c r="BD299" s="97">
        <v>17</v>
      </c>
      <c r="BE299" s="97">
        <v>17</v>
      </c>
      <c r="BF299" s="97">
        <f>+Tabela1107[[#This Row],[PIS]]+Tabela1107[[#This Row],[COFINS]]+Tabela1107[[#This Row],[CONTRIB. FOLHA]]+Tabela1107[[#This Row],[TRIBUTOS S/ LUCRO]]+Tabela1107[[#This Row],[OUTROS]]+Tabela1107[[#This Row],[SP]]</f>
        <v>37.74</v>
      </c>
      <c r="BG299" s="97">
        <f>+Tabela1107[[#This Row],[PIS]]+Tabela1107[[#This Row],[COFINS]]+Tabela1107[[#This Row],[CONTRIB. FOLHA]]+Tabela1107[[#This Row],[TRIBUTOS S/ LUCRO]]+Tabela1107[[#This Row],[OUTROS]]+Tabela1107[[#This Row],[PR]]</f>
        <v>31.740000000000002</v>
      </c>
      <c r="BH299" s="97">
        <f>+Tabela1107[[#This Row],[PIS]]+Tabela1107[[#This Row],[COFINS]]+Tabela1107[[#This Row],[CONTRIB. FOLHA]]+Tabela1107[[#This Row],[TRIBUTOS S/ LUCRO]]+Tabela1107[[#This Row],[OUTROS]]+Tabela1107[[#This Row],[SC]]</f>
        <v>36.74</v>
      </c>
      <c r="BI299" s="97">
        <f>+Tabela1107[[#This Row],[PIS]]+Tabela1107[[#This Row],[COFINS]]+Tabela1107[[#This Row],[CONTRIB. FOLHA]]+Tabela1107[[#This Row],[TRIBUTOS S/ LUCRO]]+Tabela1107[[#This Row],[OUTROS]]+Tabela1107[[#This Row],[RS]]</f>
        <v>36.74</v>
      </c>
      <c r="BJ299" s="97">
        <f>+Tabela1107[[#This Row],[PIS]]+Tabela1107[[#This Row],[COFINS]]+Tabela1107[[#This Row],[CONTRIB. FOLHA]]+Tabela1107[[#This Row],[TRIBUTOS S/ LUCRO]]+Tabela1107[[#This Row],[OUTROS]]+Tabela1107[[#This Row],[RJ]]</f>
        <v>38.74</v>
      </c>
      <c r="BK299" s="97">
        <f>+Tabela1107[[#This Row],[PIS]]+Tabela1107[[#This Row],[COFINS]]+Tabela1107[[#This Row],[CONTRIB. FOLHA]]+Tabela1107[[#This Row],[TRIBUTOS S/ LUCRO]]+Tabela1107[[#This Row],[OUTROS]]+Tabela1107[[#This Row],[MG]]</f>
        <v>37.74</v>
      </c>
      <c r="BL299" s="97">
        <f>+Tabela1107[[#This Row],[PIS]]+Tabela1107[[#This Row],[COFINS]]+Tabela1107[[#This Row],[CONTRIB. FOLHA]]+Tabela1107[[#This Row],[TRIBUTOS S/ LUCRO]]+Tabela1107[[#This Row],[OUTROS]]+Tabela1107[[#This Row],[ES]]</f>
        <v>36.74</v>
      </c>
      <c r="BM299" s="97">
        <f>+Tabela1107[[#This Row],[PIS]]+Tabela1107[[#This Row],[COFINS]]+Tabela1107[[#This Row],[CONTRIB. FOLHA]]+Tabela1107[[#This Row],[TRIBUTOS S/ LUCRO]]+Tabela1107[[#This Row],[OUTROS]]+Tabela1107[[#This Row],[GO]]</f>
        <v>36.74</v>
      </c>
      <c r="BN299" s="97">
        <f>+Tabela1107[[#This Row],[PIS]]+Tabela1107[[#This Row],[COFINS]]+Tabela1107[[#This Row],[CONTRIB. FOLHA]]+Tabela1107[[#This Row],[TRIBUTOS S/ LUCRO]]+Tabela1107[[#This Row],[OUTROS]]+Tabela1107[[#This Row],[MT]]</f>
        <v>36.74</v>
      </c>
      <c r="BO299" s="97">
        <f>+Tabela1107[[#This Row],[PIS]]+Tabela1107[[#This Row],[COFINS]]+Tabela1107[[#This Row],[CONTRIB. FOLHA]]+Tabela1107[[#This Row],[TRIBUTOS S/ LUCRO]]+Tabela1107[[#This Row],[OUTROS]]+Tabela1107[[#This Row],[MS]]</f>
        <v>36.74</v>
      </c>
      <c r="BP299" s="97">
        <f>+Tabela1107[[#This Row],[PIS]]+Tabela1107[[#This Row],[COFINS]]+Tabela1107[[#This Row],[CONTRIB. FOLHA]]+Tabela1107[[#This Row],[TRIBUTOS S/ LUCRO]]+Tabela1107[[#This Row],[OUTROS]]+Tabela1107[[#This Row],[DF]]</f>
        <v>36.74</v>
      </c>
      <c r="BQ299" s="97">
        <f>+Tabela1107[[#This Row],[PIS]]+Tabela1107[[#This Row],[COFINS]]+Tabela1107[[#This Row],[CONTRIB. FOLHA]]+Tabela1107[[#This Row],[TRIBUTOS S/ LUCRO]]+Tabela1107[[#This Row],[OUTROS]]+Tabela1107[[#This Row],[BA]]</f>
        <v>36.74</v>
      </c>
      <c r="BR299" s="97">
        <f>+Tabela1107[[#This Row],[PIS]]+Tabela1107[[#This Row],[COFINS]]+Tabela1107[[#This Row],[CONTRIB. FOLHA]]+Tabela1107[[#This Row],[TRIBUTOS S/ LUCRO]]+Tabela1107[[#This Row],[OUTROS]]+Tabela1107[[#This Row],[BA]]</f>
        <v>36.74</v>
      </c>
      <c r="BS299" s="97">
        <f>+Tabela1107[[#This Row],[PIS]]+Tabela1107[[#This Row],[COFINS]]+Tabela1107[[#This Row],[CONTRIB. FOLHA]]+Tabela1107[[#This Row],[TRIBUTOS S/ LUCRO]]+Tabela1107[[#This Row],[OUTROS]]+Tabela1107[[#This Row],[PE]]</f>
        <v>36.74</v>
      </c>
      <c r="BT299" s="97">
        <f>+Tabela1107[[#This Row],[PIS]]+Tabela1107[[#This Row],[COFINS]]+Tabela1107[[#This Row],[CONTRIB. FOLHA]]+Tabela1107[[#This Row],[TRIBUTOS S/ LUCRO]]+Tabela1107[[#This Row],[OUTROS]]+Tabela1107[[#This Row],[PA]]</f>
        <v>36.74</v>
      </c>
      <c r="BU299" s="97">
        <f>+Tabela1107[[#This Row],[PIS]]+Tabela1107[[#This Row],[COFINS]]+Tabela1107[[#This Row],[CONTRIB. FOLHA]]+Tabela1107[[#This Row],[TRIBUTOS S/ LUCRO]]+Tabela1107[[#This Row],[OUTROS]]+Tabela1107[[#This Row],[AM]]</f>
        <v>36.74</v>
      </c>
      <c r="BV299" s="97">
        <f>AVERAGE(Tabela1107[[#This Row],[TOTAL SP]:[TOTAL AM]])</f>
        <v>36.677500000000002</v>
      </c>
      <c r="BW299" s="97"/>
      <c r="BX299" s="97"/>
    </row>
    <row r="300" spans="1:76" x14ac:dyDescent="0.25">
      <c r="B300" s="89">
        <v>19271</v>
      </c>
      <c r="C300" s="91" t="s">
        <v>13120</v>
      </c>
      <c r="D300" s="89"/>
      <c r="E300" s="89">
        <v>20140626</v>
      </c>
      <c r="F300" s="89" t="s">
        <v>21138</v>
      </c>
      <c r="G300" s="89" t="s">
        <v>21139</v>
      </c>
      <c r="H300" s="89" t="s">
        <v>21140</v>
      </c>
      <c r="I300" s="89" t="s">
        <v>21141</v>
      </c>
      <c r="J300" s="89" t="s">
        <v>175</v>
      </c>
      <c r="K300" s="99" t="s">
        <v>2731</v>
      </c>
      <c r="L300" s="89" t="s">
        <v>2799</v>
      </c>
      <c r="M300" s="89" t="s">
        <v>4496</v>
      </c>
      <c r="N300" s="89" t="s">
        <v>4496</v>
      </c>
      <c r="O300" s="89" t="s">
        <v>4496</v>
      </c>
      <c r="P300" s="89" t="s">
        <v>4496</v>
      </c>
      <c r="Q300" s="89"/>
      <c r="R300" s="89" t="s">
        <v>34</v>
      </c>
      <c r="S300" s="89" t="s">
        <v>21670</v>
      </c>
      <c r="T300" s="89" t="s">
        <v>21671</v>
      </c>
      <c r="U300" s="89" t="str">
        <f>TRIM('Carga Tributária doenças Po (2'!$L300)</f>
        <v>ACIDO FOLICO</v>
      </c>
      <c r="V300" s="89">
        <f>SUMIFS('Tabela Federal'!$E$4:$E$2069,'Tabela Federal'!$D$4:$D$2069,'Carga Tributária doenças Po (2'!$L300)</f>
        <v>1</v>
      </c>
      <c r="W300" s="89">
        <f>SUMIFS('Tabela Federal'!$E$4:$E$2069,'Tabela Federal'!$D$4:$D$2069,'Carga Tributária doenças Po (2'!$M300)</f>
        <v>0</v>
      </c>
      <c r="X300" s="89">
        <f>SUMIFS('Tabela Federal'!$E$4:$E$2069,'Tabela Federal'!$D$4:$D$2069,'Carga Tributária doenças Po (2'!$N300)</f>
        <v>0</v>
      </c>
      <c r="Y300" s="89">
        <f>SUMIFS('Tabela Federal'!$E$4:$E$2069,'Tabela Federal'!$D$4:$D$2069,'Carga Tributária doenças Po (2'!$O300)</f>
        <v>0</v>
      </c>
      <c r="Z300" s="92" t="str">
        <f>VLOOKUP('Carga Tributária doenças Po (2'!$AD300,'Carga Tributária doenças Po (2'!$CA$12:$CC$16,2,0)</f>
        <v>-</v>
      </c>
      <c r="AA300" s="89" t="s">
        <v>176</v>
      </c>
      <c r="AB300" s="89" t="s">
        <v>21736</v>
      </c>
      <c r="AC300" s="89" t="s">
        <v>21721</v>
      </c>
      <c r="AD300" s="93" t="s">
        <v>19523</v>
      </c>
      <c r="AE300" s="92" t="s">
        <v>2</v>
      </c>
      <c r="AF300" s="92" t="s">
        <v>3</v>
      </c>
      <c r="AG300" s="94">
        <v>1735180</v>
      </c>
      <c r="AH300" s="95">
        <v>4226857</v>
      </c>
      <c r="AI300" s="95">
        <v>9651259.7799999993</v>
      </c>
      <c r="AJ300" s="89" t="s">
        <v>174</v>
      </c>
      <c r="AK300" s="89">
        <f>IF('Carga Tributária doenças Po (2'!$Z300="+",0,SUMIFS(PISCOFINS!$I$3:$I$10518,PISCOFINS!$C$3:$C$10518,'Carga Tributária doenças Po (2'!$C300))</f>
        <v>2.1</v>
      </c>
      <c r="AL300" s="89">
        <f>IF('Carga Tributária doenças Po (2'!$Z300="+",0,SUMIFS(PISCOFINS!$H$3:$H$10518,PISCOFINS!$C$3:$C$10518,'Carga Tributária doenças Po (2'!$C300))</f>
        <v>9.9</v>
      </c>
      <c r="AM300" s="95">
        <v>3.27</v>
      </c>
      <c r="AN300" s="95">
        <v>3.12</v>
      </c>
      <c r="AO300" s="95">
        <v>1.35</v>
      </c>
      <c r="AP300" s="96">
        <v>18</v>
      </c>
      <c r="AQ300" s="96">
        <v>12</v>
      </c>
      <c r="AR300" s="96">
        <v>17</v>
      </c>
      <c r="AS300" s="97">
        <v>17</v>
      </c>
      <c r="AT300" s="97">
        <v>19</v>
      </c>
      <c r="AU300" s="97">
        <v>18</v>
      </c>
      <c r="AV300" s="97">
        <v>17</v>
      </c>
      <c r="AW300" s="97">
        <v>17</v>
      </c>
      <c r="AX300" s="97">
        <v>17</v>
      </c>
      <c r="AY300" s="97">
        <v>17</v>
      </c>
      <c r="AZ300" s="97">
        <v>17</v>
      </c>
      <c r="BA300" s="97">
        <v>17</v>
      </c>
      <c r="BB300" s="97">
        <v>17</v>
      </c>
      <c r="BC300" s="97">
        <v>17</v>
      </c>
      <c r="BD300" s="97">
        <v>17</v>
      </c>
      <c r="BE300" s="97">
        <v>17</v>
      </c>
      <c r="BF300" s="97">
        <f>+Tabela1107[[#This Row],[PIS]]+Tabela1107[[#This Row],[COFINS]]+Tabela1107[[#This Row],[CONTRIB. FOLHA]]+Tabela1107[[#This Row],[TRIBUTOS S/ LUCRO]]+Tabela1107[[#This Row],[OUTROS]]+Tabela1107[[#This Row],[SP]]</f>
        <v>37.74</v>
      </c>
      <c r="BG300" s="97">
        <f>+Tabela1107[[#This Row],[PIS]]+Tabela1107[[#This Row],[COFINS]]+Tabela1107[[#This Row],[CONTRIB. FOLHA]]+Tabela1107[[#This Row],[TRIBUTOS S/ LUCRO]]+Tabela1107[[#This Row],[OUTROS]]+Tabela1107[[#This Row],[PR]]</f>
        <v>31.740000000000002</v>
      </c>
      <c r="BH300" s="97">
        <f>+Tabela1107[[#This Row],[PIS]]+Tabela1107[[#This Row],[COFINS]]+Tabela1107[[#This Row],[CONTRIB. FOLHA]]+Tabela1107[[#This Row],[TRIBUTOS S/ LUCRO]]+Tabela1107[[#This Row],[OUTROS]]+Tabela1107[[#This Row],[SC]]</f>
        <v>36.74</v>
      </c>
      <c r="BI300" s="97">
        <f>+Tabela1107[[#This Row],[PIS]]+Tabela1107[[#This Row],[COFINS]]+Tabela1107[[#This Row],[CONTRIB. FOLHA]]+Tabela1107[[#This Row],[TRIBUTOS S/ LUCRO]]+Tabela1107[[#This Row],[OUTROS]]+Tabela1107[[#This Row],[RS]]</f>
        <v>36.74</v>
      </c>
      <c r="BJ300" s="97">
        <f>+Tabela1107[[#This Row],[PIS]]+Tabela1107[[#This Row],[COFINS]]+Tabela1107[[#This Row],[CONTRIB. FOLHA]]+Tabela1107[[#This Row],[TRIBUTOS S/ LUCRO]]+Tabela1107[[#This Row],[OUTROS]]+Tabela1107[[#This Row],[RJ]]</f>
        <v>38.74</v>
      </c>
      <c r="BK300" s="97">
        <f>+Tabela1107[[#This Row],[PIS]]+Tabela1107[[#This Row],[COFINS]]+Tabela1107[[#This Row],[CONTRIB. FOLHA]]+Tabela1107[[#This Row],[TRIBUTOS S/ LUCRO]]+Tabela1107[[#This Row],[OUTROS]]+Tabela1107[[#This Row],[MG]]</f>
        <v>37.74</v>
      </c>
      <c r="BL300" s="97">
        <f>+Tabela1107[[#This Row],[PIS]]+Tabela1107[[#This Row],[COFINS]]+Tabela1107[[#This Row],[CONTRIB. FOLHA]]+Tabela1107[[#This Row],[TRIBUTOS S/ LUCRO]]+Tabela1107[[#This Row],[OUTROS]]+Tabela1107[[#This Row],[ES]]</f>
        <v>36.74</v>
      </c>
      <c r="BM300" s="97">
        <f>+Tabela1107[[#This Row],[PIS]]+Tabela1107[[#This Row],[COFINS]]+Tabela1107[[#This Row],[CONTRIB. FOLHA]]+Tabela1107[[#This Row],[TRIBUTOS S/ LUCRO]]+Tabela1107[[#This Row],[OUTROS]]+Tabela1107[[#This Row],[GO]]</f>
        <v>36.74</v>
      </c>
      <c r="BN300" s="97">
        <f>+Tabela1107[[#This Row],[PIS]]+Tabela1107[[#This Row],[COFINS]]+Tabela1107[[#This Row],[CONTRIB. FOLHA]]+Tabela1107[[#This Row],[TRIBUTOS S/ LUCRO]]+Tabela1107[[#This Row],[OUTROS]]+Tabela1107[[#This Row],[MT]]</f>
        <v>36.74</v>
      </c>
      <c r="BO300" s="97">
        <f>+Tabela1107[[#This Row],[PIS]]+Tabela1107[[#This Row],[COFINS]]+Tabela1107[[#This Row],[CONTRIB. FOLHA]]+Tabela1107[[#This Row],[TRIBUTOS S/ LUCRO]]+Tabela1107[[#This Row],[OUTROS]]+Tabela1107[[#This Row],[MS]]</f>
        <v>36.74</v>
      </c>
      <c r="BP300" s="97">
        <f>+Tabela1107[[#This Row],[PIS]]+Tabela1107[[#This Row],[COFINS]]+Tabela1107[[#This Row],[CONTRIB. FOLHA]]+Tabela1107[[#This Row],[TRIBUTOS S/ LUCRO]]+Tabela1107[[#This Row],[OUTROS]]+Tabela1107[[#This Row],[DF]]</f>
        <v>36.74</v>
      </c>
      <c r="BQ300" s="97">
        <f>+Tabela1107[[#This Row],[PIS]]+Tabela1107[[#This Row],[COFINS]]+Tabela1107[[#This Row],[CONTRIB. FOLHA]]+Tabela1107[[#This Row],[TRIBUTOS S/ LUCRO]]+Tabela1107[[#This Row],[OUTROS]]+Tabela1107[[#This Row],[BA]]</f>
        <v>36.74</v>
      </c>
      <c r="BR300" s="97">
        <f>+Tabela1107[[#This Row],[PIS]]+Tabela1107[[#This Row],[COFINS]]+Tabela1107[[#This Row],[CONTRIB. FOLHA]]+Tabela1107[[#This Row],[TRIBUTOS S/ LUCRO]]+Tabela1107[[#This Row],[OUTROS]]+Tabela1107[[#This Row],[BA]]</f>
        <v>36.74</v>
      </c>
      <c r="BS300" s="97">
        <f>+Tabela1107[[#This Row],[PIS]]+Tabela1107[[#This Row],[COFINS]]+Tabela1107[[#This Row],[CONTRIB. FOLHA]]+Tabela1107[[#This Row],[TRIBUTOS S/ LUCRO]]+Tabela1107[[#This Row],[OUTROS]]+Tabela1107[[#This Row],[PE]]</f>
        <v>36.74</v>
      </c>
      <c r="BT300" s="97">
        <f>+Tabela1107[[#This Row],[PIS]]+Tabela1107[[#This Row],[COFINS]]+Tabela1107[[#This Row],[CONTRIB. FOLHA]]+Tabela1107[[#This Row],[TRIBUTOS S/ LUCRO]]+Tabela1107[[#This Row],[OUTROS]]+Tabela1107[[#This Row],[PA]]</f>
        <v>36.74</v>
      </c>
      <c r="BU300" s="97">
        <f>+Tabela1107[[#This Row],[PIS]]+Tabela1107[[#This Row],[COFINS]]+Tabela1107[[#This Row],[CONTRIB. FOLHA]]+Tabela1107[[#This Row],[TRIBUTOS S/ LUCRO]]+Tabela1107[[#This Row],[OUTROS]]+Tabela1107[[#This Row],[AM]]</f>
        <v>36.74</v>
      </c>
      <c r="BV300" s="97">
        <f>AVERAGE(Tabela1107[[#This Row],[TOTAL SP]:[TOTAL AM]])</f>
        <v>36.677500000000002</v>
      </c>
      <c r="BW300" s="97"/>
      <c r="BX300" s="97"/>
    </row>
    <row r="301" spans="1:76" x14ac:dyDescent="0.25">
      <c r="B301" s="89">
        <v>1581</v>
      </c>
      <c r="C301" s="91" t="s">
        <v>13168</v>
      </c>
      <c r="D301" s="89"/>
      <c r="E301" s="89">
        <v>20140626</v>
      </c>
      <c r="F301" s="89" t="s">
        <v>21145</v>
      </c>
      <c r="G301" s="89" t="s">
        <v>21146</v>
      </c>
      <c r="H301" s="89" t="s">
        <v>21147</v>
      </c>
      <c r="I301" s="89" t="s">
        <v>21148</v>
      </c>
      <c r="J301" s="89" t="s">
        <v>450</v>
      </c>
      <c r="K301" s="99" t="s">
        <v>2729</v>
      </c>
      <c r="L301" s="89" t="s">
        <v>3189</v>
      </c>
      <c r="M301" s="89" t="s">
        <v>4181</v>
      </c>
      <c r="N301" s="89" t="s">
        <v>4496</v>
      </c>
      <c r="O301" s="89" t="s">
        <v>4496</v>
      </c>
      <c r="P301" s="89" t="s">
        <v>4496</v>
      </c>
      <c r="Q301" s="89"/>
      <c r="R301" s="89" t="s">
        <v>34</v>
      </c>
      <c r="S301" s="89" t="s">
        <v>21646</v>
      </c>
      <c r="T301" s="89" t="s">
        <v>21647</v>
      </c>
      <c r="U301" s="89" t="str">
        <f>TRIM('Carga Tributária doenças Po (2'!$L301)</f>
        <v>BENZOCAINA</v>
      </c>
      <c r="V301" s="89">
        <f>SUMIFS('Tabela Federal'!$E$4:$E$2069,'Tabela Federal'!$D$4:$D$2069,'Carga Tributária doenças Po (2'!$L301)</f>
        <v>1</v>
      </c>
      <c r="W301" s="89">
        <f>SUMIFS('Tabela Federal'!$E$4:$E$2069,'Tabela Federal'!$D$4:$D$2069,'Carga Tributária doenças Po (2'!$M301)</f>
        <v>0</v>
      </c>
      <c r="X301" s="89">
        <f>SUMIFS('Tabela Federal'!$E$4:$E$2069,'Tabela Federal'!$D$4:$D$2069,'Carga Tributária doenças Po (2'!$N301)</f>
        <v>0</v>
      </c>
      <c r="Y301" s="89">
        <f>SUMIFS('Tabela Federal'!$E$4:$E$2069,'Tabela Federal'!$D$4:$D$2069,'Carga Tributária doenças Po (2'!$O301)</f>
        <v>0</v>
      </c>
      <c r="Z301" s="92" t="str">
        <f>VLOOKUP('Carga Tributária doenças Po (2'!$AD301,'Carga Tributária doenças Po (2'!$CA$12:$CC$16,2,0)</f>
        <v>-</v>
      </c>
      <c r="AA301" s="89" t="s">
        <v>451</v>
      </c>
      <c r="AB301" s="89" t="s">
        <v>21810</v>
      </c>
      <c r="AC301" s="89" t="s">
        <v>21740</v>
      </c>
      <c r="AD301" s="93" t="s">
        <v>19523</v>
      </c>
      <c r="AE301" s="92" t="s">
        <v>4</v>
      </c>
      <c r="AF301" s="92" t="s">
        <v>3</v>
      </c>
      <c r="AG301" s="94">
        <v>3727479</v>
      </c>
      <c r="AH301" s="95">
        <v>6936265</v>
      </c>
      <c r="AI301" s="95">
        <v>15761102.68</v>
      </c>
      <c r="AJ301" s="89" t="s">
        <v>460</v>
      </c>
      <c r="AK301" s="89">
        <f>IF('Carga Tributária doenças Po (2'!$Z301="+",0,SUMIFS(PISCOFINS!$I$3:$I$10518,PISCOFINS!$C$3:$C$10518,'Carga Tributária doenças Po (2'!$C301))</f>
        <v>2.1</v>
      </c>
      <c r="AL301" s="89">
        <f>IF('Carga Tributária doenças Po (2'!$Z301="+",0,SUMIFS(PISCOFINS!$H$3:$H$10518,PISCOFINS!$C$3:$C$10518,'Carga Tributária doenças Po (2'!$C301))</f>
        <v>9.9</v>
      </c>
      <c r="AM301" s="95">
        <v>3.27</v>
      </c>
      <c r="AN301" s="95">
        <v>3.12</v>
      </c>
      <c r="AO301" s="95">
        <v>1.35</v>
      </c>
      <c r="AP301" s="96">
        <v>18</v>
      </c>
      <c r="AQ301" s="96">
        <v>12</v>
      </c>
      <c r="AR301" s="96">
        <v>17</v>
      </c>
      <c r="AS301" s="97">
        <v>17</v>
      </c>
      <c r="AT301" s="97">
        <v>19</v>
      </c>
      <c r="AU301" s="97">
        <v>18</v>
      </c>
      <c r="AV301" s="97">
        <v>17</v>
      </c>
      <c r="AW301" s="97">
        <v>17</v>
      </c>
      <c r="AX301" s="97">
        <v>17</v>
      </c>
      <c r="AY301" s="97">
        <v>17</v>
      </c>
      <c r="AZ301" s="97">
        <v>17</v>
      </c>
      <c r="BA301" s="97">
        <v>17</v>
      </c>
      <c r="BB301" s="97">
        <v>17</v>
      </c>
      <c r="BC301" s="97">
        <v>17</v>
      </c>
      <c r="BD301" s="97">
        <v>17</v>
      </c>
      <c r="BE301" s="97">
        <v>17</v>
      </c>
      <c r="BF301" s="97">
        <f>+Tabela1107[[#This Row],[PIS]]+Tabela1107[[#This Row],[COFINS]]+Tabela1107[[#This Row],[CONTRIB. FOLHA]]+Tabela1107[[#This Row],[TRIBUTOS S/ LUCRO]]+Tabela1107[[#This Row],[OUTROS]]+Tabela1107[[#This Row],[SP]]</f>
        <v>37.74</v>
      </c>
      <c r="BG301" s="97">
        <f>+Tabela1107[[#This Row],[PIS]]+Tabela1107[[#This Row],[COFINS]]+Tabela1107[[#This Row],[CONTRIB. FOLHA]]+Tabela1107[[#This Row],[TRIBUTOS S/ LUCRO]]+Tabela1107[[#This Row],[OUTROS]]+Tabela1107[[#This Row],[PR]]</f>
        <v>31.740000000000002</v>
      </c>
      <c r="BH301" s="97">
        <f>+Tabela1107[[#This Row],[PIS]]+Tabela1107[[#This Row],[COFINS]]+Tabela1107[[#This Row],[CONTRIB. FOLHA]]+Tabela1107[[#This Row],[TRIBUTOS S/ LUCRO]]+Tabela1107[[#This Row],[OUTROS]]+Tabela1107[[#This Row],[SC]]</f>
        <v>36.74</v>
      </c>
      <c r="BI301" s="97">
        <f>+Tabela1107[[#This Row],[PIS]]+Tabela1107[[#This Row],[COFINS]]+Tabela1107[[#This Row],[CONTRIB. FOLHA]]+Tabela1107[[#This Row],[TRIBUTOS S/ LUCRO]]+Tabela1107[[#This Row],[OUTROS]]+Tabela1107[[#This Row],[RS]]</f>
        <v>36.74</v>
      </c>
      <c r="BJ301" s="97">
        <f>+Tabela1107[[#This Row],[PIS]]+Tabela1107[[#This Row],[COFINS]]+Tabela1107[[#This Row],[CONTRIB. FOLHA]]+Tabela1107[[#This Row],[TRIBUTOS S/ LUCRO]]+Tabela1107[[#This Row],[OUTROS]]+Tabela1107[[#This Row],[RJ]]</f>
        <v>38.74</v>
      </c>
      <c r="BK301" s="97">
        <f>+Tabela1107[[#This Row],[PIS]]+Tabela1107[[#This Row],[COFINS]]+Tabela1107[[#This Row],[CONTRIB. FOLHA]]+Tabela1107[[#This Row],[TRIBUTOS S/ LUCRO]]+Tabela1107[[#This Row],[OUTROS]]+Tabela1107[[#This Row],[MG]]</f>
        <v>37.74</v>
      </c>
      <c r="BL301" s="97">
        <f>+Tabela1107[[#This Row],[PIS]]+Tabela1107[[#This Row],[COFINS]]+Tabela1107[[#This Row],[CONTRIB. FOLHA]]+Tabela1107[[#This Row],[TRIBUTOS S/ LUCRO]]+Tabela1107[[#This Row],[OUTROS]]+Tabela1107[[#This Row],[ES]]</f>
        <v>36.74</v>
      </c>
      <c r="BM301" s="97">
        <f>+Tabela1107[[#This Row],[PIS]]+Tabela1107[[#This Row],[COFINS]]+Tabela1107[[#This Row],[CONTRIB. FOLHA]]+Tabela1107[[#This Row],[TRIBUTOS S/ LUCRO]]+Tabela1107[[#This Row],[OUTROS]]+Tabela1107[[#This Row],[GO]]</f>
        <v>36.74</v>
      </c>
      <c r="BN301" s="97">
        <f>+Tabela1107[[#This Row],[PIS]]+Tabela1107[[#This Row],[COFINS]]+Tabela1107[[#This Row],[CONTRIB. FOLHA]]+Tabela1107[[#This Row],[TRIBUTOS S/ LUCRO]]+Tabela1107[[#This Row],[OUTROS]]+Tabela1107[[#This Row],[MT]]</f>
        <v>36.74</v>
      </c>
      <c r="BO301" s="97">
        <f>+Tabela1107[[#This Row],[PIS]]+Tabela1107[[#This Row],[COFINS]]+Tabela1107[[#This Row],[CONTRIB. FOLHA]]+Tabela1107[[#This Row],[TRIBUTOS S/ LUCRO]]+Tabela1107[[#This Row],[OUTROS]]+Tabela1107[[#This Row],[MS]]</f>
        <v>36.74</v>
      </c>
      <c r="BP301" s="97">
        <f>+Tabela1107[[#This Row],[PIS]]+Tabela1107[[#This Row],[COFINS]]+Tabela1107[[#This Row],[CONTRIB. FOLHA]]+Tabela1107[[#This Row],[TRIBUTOS S/ LUCRO]]+Tabela1107[[#This Row],[OUTROS]]+Tabela1107[[#This Row],[DF]]</f>
        <v>36.74</v>
      </c>
      <c r="BQ301" s="97">
        <f>+Tabela1107[[#This Row],[PIS]]+Tabela1107[[#This Row],[COFINS]]+Tabela1107[[#This Row],[CONTRIB. FOLHA]]+Tabela1107[[#This Row],[TRIBUTOS S/ LUCRO]]+Tabela1107[[#This Row],[OUTROS]]+Tabela1107[[#This Row],[BA]]</f>
        <v>36.74</v>
      </c>
      <c r="BR301" s="97">
        <f>+Tabela1107[[#This Row],[PIS]]+Tabela1107[[#This Row],[COFINS]]+Tabela1107[[#This Row],[CONTRIB. FOLHA]]+Tabela1107[[#This Row],[TRIBUTOS S/ LUCRO]]+Tabela1107[[#This Row],[OUTROS]]+Tabela1107[[#This Row],[BA]]</f>
        <v>36.74</v>
      </c>
      <c r="BS301" s="97">
        <f>+Tabela1107[[#This Row],[PIS]]+Tabela1107[[#This Row],[COFINS]]+Tabela1107[[#This Row],[CONTRIB. FOLHA]]+Tabela1107[[#This Row],[TRIBUTOS S/ LUCRO]]+Tabela1107[[#This Row],[OUTROS]]+Tabela1107[[#This Row],[PE]]</f>
        <v>36.74</v>
      </c>
      <c r="BT301" s="97">
        <f>+Tabela1107[[#This Row],[PIS]]+Tabela1107[[#This Row],[COFINS]]+Tabela1107[[#This Row],[CONTRIB. FOLHA]]+Tabela1107[[#This Row],[TRIBUTOS S/ LUCRO]]+Tabela1107[[#This Row],[OUTROS]]+Tabela1107[[#This Row],[PA]]</f>
        <v>36.74</v>
      </c>
      <c r="BU301" s="97">
        <f>+Tabela1107[[#This Row],[PIS]]+Tabela1107[[#This Row],[COFINS]]+Tabela1107[[#This Row],[CONTRIB. FOLHA]]+Tabela1107[[#This Row],[TRIBUTOS S/ LUCRO]]+Tabela1107[[#This Row],[OUTROS]]+Tabela1107[[#This Row],[AM]]</f>
        <v>36.74</v>
      </c>
      <c r="BV301" s="97">
        <f>AVERAGE(Tabela1107[[#This Row],[TOTAL SP]:[TOTAL AM]])</f>
        <v>36.677500000000002</v>
      </c>
      <c r="BW301" s="97"/>
      <c r="BX301" s="97"/>
    </row>
    <row r="302" spans="1:76" x14ac:dyDescent="0.25">
      <c r="B302" s="89">
        <v>24137</v>
      </c>
      <c r="C302" s="91" t="s">
        <v>13183</v>
      </c>
      <c r="D302" s="89"/>
      <c r="E302" s="89">
        <v>20140626</v>
      </c>
      <c r="F302" s="98" t="s">
        <v>21982</v>
      </c>
      <c r="G302" s="89" t="s">
        <v>21149</v>
      </c>
      <c r="H302" s="89" t="s">
        <v>21150</v>
      </c>
      <c r="I302" s="89" t="s">
        <v>21151</v>
      </c>
      <c r="J302" s="89" t="s">
        <v>73</v>
      </c>
      <c r="K302" s="99" t="s">
        <v>2547</v>
      </c>
      <c r="L302" s="89" t="s">
        <v>2672</v>
      </c>
      <c r="M302" s="89" t="s">
        <v>4496</v>
      </c>
      <c r="N302" s="89" t="s">
        <v>4496</v>
      </c>
      <c r="O302" s="89" t="s">
        <v>4496</v>
      </c>
      <c r="P302" s="89" t="s">
        <v>4496</v>
      </c>
      <c r="Q302" s="89"/>
      <c r="R302" s="89" t="s">
        <v>34</v>
      </c>
      <c r="S302" s="89" t="s">
        <v>21646</v>
      </c>
      <c r="T302" s="89" t="s">
        <v>21647</v>
      </c>
      <c r="U302" s="89" t="str">
        <f>TRIM('Carga Tributária doenças Po (2'!$L302)</f>
        <v>OMEPRAZOL</v>
      </c>
      <c r="V302" s="89">
        <f>SUMIFS('Tabela Federal'!$E$4:$E$2069,'Tabela Federal'!$D$4:$D$2069,'Carga Tributária doenças Po (2'!$L302)</f>
        <v>3</v>
      </c>
      <c r="W302" s="89">
        <f>SUMIFS('Tabela Federal'!$E$4:$E$2069,'Tabela Federal'!$D$4:$D$2069,'Carga Tributária doenças Po (2'!$M302)</f>
        <v>0</v>
      </c>
      <c r="X302" s="89">
        <f>SUMIFS('Tabela Federal'!$E$4:$E$2069,'Tabela Federal'!$D$4:$D$2069,'Carga Tributária doenças Po (2'!$N302)</f>
        <v>0</v>
      </c>
      <c r="Y302" s="89">
        <f>SUMIFS('Tabela Federal'!$E$4:$E$2069,'Tabela Federal'!$D$4:$D$2069,'Carga Tributária doenças Po (2'!$O302)</f>
        <v>0</v>
      </c>
      <c r="Z302" s="92" t="str">
        <f>VLOOKUP('Carga Tributária doenças Po (2'!$AD302,'Carga Tributária doenças Po (2'!$CA$12:$CC$16,2,0)</f>
        <v>+</v>
      </c>
      <c r="AA302" s="89" t="s">
        <v>67</v>
      </c>
      <c r="AB302" s="89" t="s">
        <v>21833</v>
      </c>
      <c r="AC302" s="89" t="s">
        <v>21721</v>
      </c>
      <c r="AD302" s="93" t="s">
        <v>21722</v>
      </c>
      <c r="AE302" s="92" t="s">
        <v>2</v>
      </c>
      <c r="AF302" s="92" t="s">
        <v>3</v>
      </c>
      <c r="AG302" s="94">
        <v>1877845</v>
      </c>
      <c r="AH302" s="95">
        <v>15730792</v>
      </c>
      <c r="AI302" s="95">
        <v>35932009.68</v>
      </c>
      <c r="AJ302" s="89" t="s">
        <v>61</v>
      </c>
      <c r="AK302" s="89">
        <f>IF('Carga Tributária doenças Po (2'!$Z302="+",0,SUMIFS(PISCOFINS!$I$3:$I$10518,PISCOFINS!$C$3:$C$10518,'Carga Tributária doenças Po (2'!$C302))</f>
        <v>0</v>
      </c>
      <c r="AL302" s="89">
        <f>IF('Carga Tributária doenças Po (2'!$Z302="+",0,SUMIFS(PISCOFINS!$H$3:$H$10518,PISCOFINS!$C$3:$C$10518,'Carga Tributária doenças Po (2'!$C302))</f>
        <v>0</v>
      </c>
      <c r="AM302" s="95">
        <v>3.27</v>
      </c>
      <c r="AN302" s="95">
        <v>3.12</v>
      </c>
      <c r="AO302" s="95">
        <v>1.35</v>
      </c>
      <c r="AP302" s="96">
        <v>18</v>
      </c>
      <c r="AQ302" s="96">
        <v>12</v>
      </c>
      <c r="AR302" s="96">
        <v>17</v>
      </c>
      <c r="AS302" s="97">
        <v>17</v>
      </c>
      <c r="AT302" s="97">
        <v>19</v>
      </c>
      <c r="AU302" s="97">
        <v>18</v>
      </c>
      <c r="AV302" s="97">
        <v>17</v>
      </c>
      <c r="AW302" s="97">
        <v>17</v>
      </c>
      <c r="AX302" s="97">
        <v>17</v>
      </c>
      <c r="AY302" s="97">
        <v>17</v>
      </c>
      <c r="AZ302" s="97">
        <v>17</v>
      </c>
      <c r="BA302" s="97">
        <v>17</v>
      </c>
      <c r="BB302" s="97">
        <v>17</v>
      </c>
      <c r="BC302" s="97">
        <v>17</v>
      </c>
      <c r="BD302" s="97">
        <v>17</v>
      </c>
      <c r="BE302" s="97">
        <v>17</v>
      </c>
      <c r="BF302" s="97">
        <f>+Tabela1107[[#This Row],[PIS]]+Tabela1107[[#This Row],[COFINS]]+Tabela1107[[#This Row],[CONTRIB. FOLHA]]+Tabela1107[[#This Row],[TRIBUTOS S/ LUCRO]]+Tabela1107[[#This Row],[OUTROS]]+Tabela1107[[#This Row],[SP]]</f>
        <v>25.740000000000002</v>
      </c>
      <c r="BG302" s="97">
        <f>+Tabela1107[[#This Row],[PIS]]+Tabela1107[[#This Row],[COFINS]]+Tabela1107[[#This Row],[CONTRIB. FOLHA]]+Tabela1107[[#This Row],[TRIBUTOS S/ LUCRO]]+Tabela1107[[#This Row],[OUTROS]]+Tabela1107[[#This Row],[PR]]</f>
        <v>19.740000000000002</v>
      </c>
      <c r="BH302" s="97">
        <f>+Tabela1107[[#This Row],[PIS]]+Tabela1107[[#This Row],[COFINS]]+Tabela1107[[#This Row],[CONTRIB. FOLHA]]+Tabela1107[[#This Row],[TRIBUTOS S/ LUCRO]]+Tabela1107[[#This Row],[OUTROS]]+Tabela1107[[#This Row],[SC]]</f>
        <v>24.740000000000002</v>
      </c>
      <c r="BI302" s="97">
        <f>+Tabela1107[[#This Row],[PIS]]+Tabela1107[[#This Row],[COFINS]]+Tabela1107[[#This Row],[CONTRIB. FOLHA]]+Tabela1107[[#This Row],[TRIBUTOS S/ LUCRO]]+Tabela1107[[#This Row],[OUTROS]]+Tabela1107[[#This Row],[RS]]</f>
        <v>24.740000000000002</v>
      </c>
      <c r="BJ302" s="97">
        <f>+Tabela1107[[#This Row],[PIS]]+Tabela1107[[#This Row],[COFINS]]+Tabela1107[[#This Row],[CONTRIB. FOLHA]]+Tabela1107[[#This Row],[TRIBUTOS S/ LUCRO]]+Tabela1107[[#This Row],[OUTROS]]+Tabela1107[[#This Row],[RJ]]</f>
        <v>26.740000000000002</v>
      </c>
      <c r="BK302" s="97">
        <f>+Tabela1107[[#This Row],[PIS]]+Tabela1107[[#This Row],[COFINS]]+Tabela1107[[#This Row],[CONTRIB. FOLHA]]+Tabela1107[[#This Row],[TRIBUTOS S/ LUCRO]]+Tabela1107[[#This Row],[OUTROS]]+Tabela1107[[#This Row],[MG]]</f>
        <v>25.740000000000002</v>
      </c>
      <c r="BL302" s="97">
        <f>+Tabela1107[[#This Row],[PIS]]+Tabela1107[[#This Row],[COFINS]]+Tabela1107[[#This Row],[CONTRIB. FOLHA]]+Tabela1107[[#This Row],[TRIBUTOS S/ LUCRO]]+Tabela1107[[#This Row],[OUTROS]]+Tabela1107[[#This Row],[ES]]</f>
        <v>24.740000000000002</v>
      </c>
      <c r="BM302" s="97">
        <f>+Tabela1107[[#This Row],[PIS]]+Tabela1107[[#This Row],[COFINS]]+Tabela1107[[#This Row],[CONTRIB. FOLHA]]+Tabela1107[[#This Row],[TRIBUTOS S/ LUCRO]]+Tabela1107[[#This Row],[OUTROS]]+Tabela1107[[#This Row],[GO]]</f>
        <v>24.740000000000002</v>
      </c>
      <c r="BN302" s="97">
        <f>+Tabela1107[[#This Row],[PIS]]+Tabela1107[[#This Row],[COFINS]]+Tabela1107[[#This Row],[CONTRIB. FOLHA]]+Tabela1107[[#This Row],[TRIBUTOS S/ LUCRO]]+Tabela1107[[#This Row],[OUTROS]]+Tabela1107[[#This Row],[MT]]</f>
        <v>24.740000000000002</v>
      </c>
      <c r="BO302" s="97">
        <f>+Tabela1107[[#This Row],[PIS]]+Tabela1107[[#This Row],[COFINS]]+Tabela1107[[#This Row],[CONTRIB. FOLHA]]+Tabela1107[[#This Row],[TRIBUTOS S/ LUCRO]]+Tabela1107[[#This Row],[OUTROS]]+Tabela1107[[#This Row],[MS]]</f>
        <v>24.740000000000002</v>
      </c>
      <c r="BP302" s="97">
        <f>+Tabela1107[[#This Row],[PIS]]+Tabela1107[[#This Row],[COFINS]]+Tabela1107[[#This Row],[CONTRIB. FOLHA]]+Tabela1107[[#This Row],[TRIBUTOS S/ LUCRO]]+Tabela1107[[#This Row],[OUTROS]]+Tabela1107[[#This Row],[DF]]</f>
        <v>24.740000000000002</v>
      </c>
      <c r="BQ302" s="97">
        <f>+Tabela1107[[#This Row],[PIS]]+Tabela1107[[#This Row],[COFINS]]+Tabela1107[[#This Row],[CONTRIB. FOLHA]]+Tabela1107[[#This Row],[TRIBUTOS S/ LUCRO]]+Tabela1107[[#This Row],[OUTROS]]+Tabela1107[[#This Row],[BA]]</f>
        <v>24.740000000000002</v>
      </c>
      <c r="BR302" s="97">
        <f>+Tabela1107[[#This Row],[PIS]]+Tabela1107[[#This Row],[COFINS]]+Tabela1107[[#This Row],[CONTRIB. FOLHA]]+Tabela1107[[#This Row],[TRIBUTOS S/ LUCRO]]+Tabela1107[[#This Row],[OUTROS]]+Tabela1107[[#This Row],[BA]]</f>
        <v>24.740000000000002</v>
      </c>
      <c r="BS302" s="97">
        <f>+Tabela1107[[#This Row],[PIS]]+Tabela1107[[#This Row],[COFINS]]+Tabela1107[[#This Row],[CONTRIB. FOLHA]]+Tabela1107[[#This Row],[TRIBUTOS S/ LUCRO]]+Tabela1107[[#This Row],[OUTROS]]+Tabela1107[[#This Row],[PE]]</f>
        <v>24.740000000000002</v>
      </c>
      <c r="BT302" s="97">
        <f>+Tabela1107[[#This Row],[PIS]]+Tabela1107[[#This Row],[COFINS]]+Tabela1107[[#This Row],[CONTRIB. FOLHA]]+Tabela1107[[#This Row],[TRIBUTOS S/ LUCRO]]+Tabela1107[[#This Row],[OUTROS]]+Tabela1107[[#This Row],[PA]]</f>
        <v>24.740000000000002</v>
      </c>
      <c r="BU302" s="97">
        <f>+Tabela1107[[#This Row],[PIS]]+Tabela1107[[#This Row],[COFINS]]+Tabela1107[[#This Row],[CONTRIB. FOLHA]]+Tabela1107[[#This Row],[TRIBUTOS S/ LUCRO]]+Tabela1107[[#This Row],[OUTROS]]+Tabela1107[[#This Row],[AM]]</f>
        <v>24.740000000000002</v>
      </c>
      <c r="BV302" s="97">
        <f>AVERAGE(Tabela1107[[#This Row],[TOTAL SP]:[TOTAL AM]])</f>
        <v>24.677500000000006</v>
      </c>
      <c r="BW302" s="97"/>
      <c r="BX302" s="97"/>
    </row>
    <row r="303" spans="1:76" x14ac:dyDescent="0.25">
      <c r="B303" s="89">
        <v>5206</v>
      </c>
      <c r="C303" s="91" t="s">
        <v>13168</v>
      </c>
      <c r="D303" s="89"/>
      <c r="E303" s="89">
        <v>20140626</v>
      </c>
      <c r="F303" s="89" t="s">
        <v>21418</v>
      </c>
      <c r="G303" s="89" t="s">
        <v>21419</v>
      </c>
      <c r="H303" s="89" t="s">
        <v>21420</v>
      </c>
      <c r="I303" s="89" t="s">
        <v>21421</v>
      </c>
      <c r="J303" s="89" t="s">
        <v>149</v>
      </c>
      <c r="K303" s="99" t="s">
        <v>2728</v>
      </c>
      <c r="L303" s="89" t="s">
        <v>3172</v>
      </c>
      <c r="M303" s="89" t="s">
        <v>2655</v>
      </c>
      <c r="N303" s="89" t="s">
        <v>3190</v>
      </c>
      <c r="O303" s="89" t="s">
        <v>4496</v>
      </c>
      <c r="P303" s="89" t="s">
        <v>4496</v>
      </c>
      <c r="Q303" s="89"/>
      <c r="R303" s="89" t="s">
        <v>92</v>
      </c>
      <c r="S303" s="89" t="s">
        <v>21696</v>
      </c>
      <c r="T303" s="89" t="s">
        <v>21697</v>
      </c>
      <c r="U303" s="89" t="str">
        <f>TRIM('Carga Tributária doenças Po (2'!$L303)</f>
        <v>CAFEINA</v>
      </c>
      <c r="V303" s="89">
        <f>SUMIFS('Tabela Federal'!$E$4:$E$2069,'Tabela Federal'!$D$4:$D$2069,'Carga Tributária doenças Po (2'!$L303)</f>
        <v>0</v>
      </c>
      <c r="W303" s="89">
        <f>SUMIFS('Tabela Federal'!$E$4:$E$2069,'Tabela Federal'!$D$4:$D$2069,'Carga Tributária doenças Po (2'!$M303)</f>
        <v>1</v>
      </c>
      <c r="X303" s="89">
        <f>SUMIFS('Tabela Federal'!$E$4:$E$2069,'Tabela Federal'!$D$4:$D$2069,'Carga Tributária doenças Po (2'!$N303)</f>
        <v>0</v>
      </c>
      <c r="Y303" s="89">
        <f>SUMIFS('Tabela Federal'!$E$4:$E$2069,'Tabela Federal'!$D$4:$D$2069,'Carga Tributária doenças Po (2'!$O303)</f>
        <v>0</v>
      </c>
      <c r="Z303" s="92" t="str">
        <f>VLOOKUP('Carga Tributária doenças Po (2'!$AD303,'Carga Tributária doenças Po (2'!$CA$12:$CC$16,2,0)</f>
        <v>-</v>
      </c>
      <c r="AA303" s="89" t="s">
        <v>7</v>
      </c>
      <c r="AB303" s="89" t="s">
        <v>21805</v>
      </c>
      <c r="AC303" s="89" t="s">
        <v>21740</v>
      </c>
      <c r="AD303" s="93" t="s">
        <v>19523</v>
      </c>
      <c r="AE303" s="92" t="s">
        <v>4</v>
      </c>
      <c r="AF303" s="92" t="s">
        <v>23</v>
      </c>
      <c r="AG303" s="94">
        <v>6046641</v>
      </c>
      <c r="AH303" s="95">
        <v>44668970</v>
      </c>
      <c r="AI303" s="95">
        <v>101946358.86</v>
      </c>
      <c r="AJ303" s="89" t="s">
        <v>333</v>
      </c>
      <c r="AK303" s="89">
        <f>IF('Carga Tributária doenças Po (2'!$Z303="+",0,SUMIFS(PISCOFINS!$I$3:$I$10518,PISCOFINS!$C$3:$C$10518,'Carga Tributária doenças Po (2'!$C303))</f>
        <v>2.1</v>
      </c>
      <c r="AL303" s="89">
        <f>IF('Carga Tributária doenças Po (2'!$Z303="+",0,SUMIFS(PISCOFINS!$H$3:$H$10518,PISCOFINS!$C$3:$C$10518,'Carga Tributária doenças Po (2'!$C303))</f>
        <v>9.9</v>
      </c>
      <c r="AM303" s="95">
        <v>3.27</v>
      </c>
      <c r="AN303" s="95">
        <v>3.12</v>
      </c>
      <c r="AO303" s="95">
        <v>1.35</v>
      </c>
      <c r="AP303" s="96">
        <v>18</v>
      </c>
      <c r="AQ303" s="96">
        <v>12</v>
      </c>
      <c r="AR303" s="96">
        <v>17</v>
      </c>
      <c r="AS303" s="97">
        <v>17</v>
      </c>
      <c r="AT303" s="97">
        <v>19</v>
      </c>
      <c r="AU303" s="97">
        <v>18</v>
      </c>
      <c r="AV303" s="97">
        <v>17</v>
      </c>
      <c r="AW303" s="97">
        <v>17</v>
      </c>
      <c r="AX303" s="97">
        <v>17</v>
      </c>
      <c r="AY303" s="97">
        <v>17</v>
      </c>
      <c r="AZ303" s="97">
        <v>17</v>
      </c>
      <c r="BA303" s="97">
        <v>17</v>
      </c>
      <c r="BB303" s="97">
        <v>17</v>
      </c>
      <c r="BC303" s="97">
        <v>17</v>
      </c>
      <c r="BD303" s="97">
        <v>17</v>
      </c>
      <c r="BE303" s="97">
        <v>17</v>
      </c>
      <c r="BF303" s="97">
        <f>+Tabela1107[[#This Row],[PIS]]+Tabela1107[[#This Row],[COFINS]]+Tabela1107[[#This Row],[CONTRIB. FOLHA]]+Tabela1107[[#This Row],[TRIBUTOS S/ LUCRO]]+Tabela1107[[#This Row],[OUTROS]]+Tabela1107[[#This Row],[SP]]</f>
        <v>37.74</v>
      </c>
      <c r="BG303" s="97">
        <f>+Tabela1107[[#This Row],[PIS]]+Tabela1107[[#This Row],[COFINS]]+Tabela1107[[#This Row],[CONTRIB. FOLHA]]+Tabela1107[[#This Row],[TRIBUTOS S/ LUCRO]]+Tabela1107[[#This Row],[OUTROS]]+Tabela1107[[#This Row],[PR]]</f>
        <v>31.740000000000002</v>
      </c>
      <c r="BH303" s="97">
        <f>+Tabela1107[[#This Row],[PIS]]+Tabela1107[[#This Row],[COFINS]]+Tabela1107[[#This Row],[CONTRIB. FOLHA]]+Tabela1107[[#This Row],[TRIBUTOS S/ LUCRO]]+Tabela1107[[#This Row],[OUTROS]]+Tabela1107[[#This Row],[SC]]</f>
        <v>36.74</v>
      </c>
      <c r="BI303" s="97">
        <f>+Tabela1107[[#This Row],[PIS]]+Tabela1107[[#This Row],[COFINS]]+Tabela1107[[#This Row],[CONTRIB. FOLHA]]+Tabela1107[[#This Row],[TRIBUTOS S/ LUCRO]]+Tabela1107[[#This Row],[OUTROS]]+Tabela1107[[#This Row],[RS]]</f>
        <v>36.74</v>
      </c>
      <c r="BJ303" s="97">
        <f>+Tabela1107[[#This Row],[PIS]]+Tabela1107[[#This Row],[COFINS]]+Tabela1107[[#This Row],[CONTRIB. FOLHA]]+Tabela1107[[#This Row],[TRIBUTOS S/ LUCRO]]+Tabela1107[[#This Row],[OUTROS]]+Tabela1107[[#This Row],[RJ]]</f>
        <v>38.74</v>
      </c>
      <c r="BK303" s="97">
        <f>+Tabela1107[[#This Row],[PIS]]+Tabela1107[[#This Row],[COFINS]]+Tabela1107[[#This Row],[CONTRIB. FOLHA]]+Tabela1107[[#This Row],[TRIBUTOS S/ LUCRO]]+Tabela1107[[#This Row],[OUTROS]]+Tabela1107[[#This Row],[MG]]</f>
        <v>37.74</v>
      </c>
      <c r="BL303" s="97">
        <f>+Tabela1107[[#This Row],[PIS]]+Tabela1107[[#This Row],[COFINS]]+Tabela1107[[#This Row],[CONTRIB. FOLHA]]+Tabela1107[[#This Row],[TRIBUTOS S/ LUCRO]]+Tabela1107[[#This Row],[OUTROS]]+Tabela1107[[#This Row],[ES]]</f>
        <v>36.74</v>
      </c>
      <c r="BM303" s="97">
        <f>+Tabela1107[[#This Row],[PIS]]+Tabela1107[[#This Row],[COFINS]]+Tabela1107[[#This Row],[CONTRIB. FOLHA]]+Tabela1107[[#This Row],[TRIBUTOS S/ LUCRO]]+Tabela1107[[#This Row],[OUTROS]]+Tabela1107[[#This Row],[GO]]</f>
        <v>36.74</v>
      </c>
      <c r="BN303" s="97">
        <f>+Tabela1107[[#This Row],[PIS]]+Tabela1107[[#This Row],[COFINS]]+Tabela1107[[#This Row],[CONTRIB. FOLHA]]+Tabela1107[[#This Row],[TRIBUTOS S/ LUCRO]]+Tabela1107[[#This Row],[OUTROS]]+Tabela1107[[#This Row],[MT]]</f>
        <v>36.74</v>
      </c>
      <c r="BO303" s="97">
        <f>+Tabela1107[[#This Row],[PIS]]+Tabela1107[[#This Row],[COFINS]]+Tabela1107[[#This Row],[CONTRIB. FOLHA]]+Tabela1107[[#This Row],[TRIBUTOS S/ LUCRO]]+Tabela1107[[#This Row],[OUTROS]]+Tabela1107[[#This Row],[MS]]</f>
        <v>36.74</v>
      </c>
      <c r="BP303" s="97">
        <f>+Tabela1107[[#This Row],[PIS]]+Tabela1107[[#This Row],[COFINS]]+Tabela1107[[#This Row],[CONTRIB. FOLHA]]+Tabela1107[[#This Row],[TRIBUTOS S/ LUCRO]]+Tabela1107[[#This Row],[OUTROS]]+Tabela1107[[#This Row],[DF]]</f>
        <v>36.74</v>
      </c>
      <c r="BQ303" s="97">
        <f>+Tabela1107[[#This Row],[PIS]]+Tabela1107[[#This Row],[COFINS]]+Tabela1107[[#This Row],[CONTRIB. FOLHA]]+Tabela1107[[#This Row],[TRIBUTOS S/ LUCRO]]+Tabela1107[[#This Row],[OUTROS]]+Tabela1107[[#This Row],[BA]]</f>
        <v>36.74</v>
      </c>
      <c r="BR303" s="97">
        <f>+Tabela1107[[#This Row],[PIS]]+Tabela1107[[#This Row],[COFINS]]+Tabela1107[[#This Row],[CONTRIB. FOLHA]]+Tabela1107[[#This Row],[TRIBUTOS S/ LUCRO]]+Tabela1107[[#This Row],[OUTROS]]+Tabela1107[[#This Row],[BA]]</f>
        <v>36.74</v>
      </c>
      <c r="BS303" s="97">
        <f>+Tabela1107[[#This Row],[PIS]]+Tabela1107[[#This Row],[COFINS]]+Tabela1107[[#This Row],[CONTRIB. FOLHA]]+Tabela1107[[#This Row],[TRIBUTOS S/ LUCRO]]+Tabela1107[[#This Row],[OUTROS]]+Tabela1107[[#This Row],[PE]]</f>
        <v>36.74</v>
      </c>
      <c r="BT303" s="97">
        <f>+Tabela1107[[#This Row],[PIS]]+Tabela1107[[#This Row],[COFINS]]+Tabela1107[[#This Row],[CONTRIB. FOLHA]]+Tabela1107[[#This Row],[TRIBUTOS S/ LUCRO]]+Tabela1107[[#This Row],[OUTROS]]+Tabela1107[[#This Row],[PA]]</f>
        <v>36.74</v>
      </c>
      <c r="BU303" s="97">
        <f>+Tabela1107[[#This Row],[PIS]]+Tabela1107[[#This Row],[COFINS]]+Tabela1107[[#This Row],[CONTRIB. FOLHA]]+Tabela1107[[#This Row],[TRIBUTOS S/ LUCRO]]+Tabela1107[[#This Row],[OUTROS]]+Tabela1107[[#This Row],[AM]]</f>
        <v>36.74</v>
      </c>
      <c r="BV303" s="97">
        <f>AVERAGE(Tabela1107[[#This Row],[TOTAL SP]:[TOTAL AM]])</f>
        <v>36.677500000000002</v>
      </c>
      <c r="BW303" s="97"/>
      <c r="BX303" s="97"/>
    </row>
    <row r="304" spans="1:76" x14ac:dyDescent="0.25">
      <c r="B304" s="89">
        <v>5206</v>
      </c>
      <c r="C304" s="91" t="s">
        <v>13168</v>
      </c>
      <c r="D304" s="89"/>
      <c r="E304" s="89">
        <v>20140626</v>
      </c>
      <c r="F304" s="89" t="s">
        <v>21418</v>
      </c>
      <c r="G304" s="89" t="s">
        <v>21419</v>
      </c>
      <c r="H304" s="89" t="s">
        <v>21420</v>
      </c>
      <c r="I304" s="89" t="s">
        <v>21421</v>
      </c>
      <c r="J304" s="89" t="s">
        <v>149</v>
      </c>
      <c r="K304" s="99" t="s">
        <v>2728</v>
      </c>
      <c r="L304" s="89" t="s">
        <v>3172</v>
      </c>
      <c r="M304" s="89" t="s">
        <v>2655</v>
      </c>
      <c r="N304" s="89" t="s">
        <v>3190</v>
      </c>
      <c r="O304" s="89" t="s">
        <v>4496</v>
      </c>
      <c r="P304" s="89" t="s">
        <v>4496</v>
      </c>
      <c r="Q304" s="89"/>
      <c r="R304" s="89" t="s">
        <v>92</v>
      </c>
      <c r="S304" s="89" t="s">
        <v>21696</v>
      </c>
      <c r="T304" s="89" t="s">
        <v>21697</v>
      </c>
      <c r="U304" s="89" t="str">
        <f>TRIM('Carga Tributária doenças Po (2'!$L304)</f>
        <v>CAFEINA</v>
      </c>
      <c r="V304" s="89">
        <f>SUMIFS('Tabela Federal'!$E$4:$E$2069,'Tabela Federal'!$D$4:$D$2069,'Carga Tributária doenças Po (2'!$L304)</f>
        <v>0</v>
      </c>
      <c r="W304" s="89">
        <f>SUMIFS('Tabela Federal'!$E$4:$E$2069,'Tabela Federal'!$D$4:$D$2069,'Carga Tributária doenças Po (2'!$M304)</f>
        <v>1</v>
      </c>
      <c r="X304" s="89">
        <f>SUMIFS('Tabela Federal'!$E$4:$E$2069,'Tabela Federal'!$D$4:$D$2069,'Carga Tributária doenças Po (2'!$N304)</f>
        <v>0</v>
      </c>
      <c r="Y304" s="89">
        <f>SUMIFS('Tabela Federal'!$E$4:$E$2069,'Tabela Federal'!$D$4:$D$2069,'Carga Tributária doenças Po (2'!$O304)</f>
        <v>0</v>
      </c>
      <c r="Z304" s="92" t="str">
        <f>VLOOKUP('Carga Tributária doenças Po (2'!$AD304,'Carga Tributária doenças Po (2'!$CA$12:$CC$16,2,0)</f>
        <v>-</v>
      </c>
      <c r="AA304" s="89" t="s">
        <v>7</v>
      </c>
      <c r="AB304" s="89" t="s">
        <v>21805</v>
      </c>
      <c r="AC304" s="89" t="s">
        <v>21740</v>
      </c>
      <c r="AD304" s="93" t="s">
        <v>19523</v>
      </c>
      <c r="AE304" s="92" t="s">
        <v>4</v>
      </c>
      <c r="AF304" s="92" t="s">
        <v>23</v>
      </c>
      <c r="AG304" s="94">
        <v>6046641</v>
      </c>
      <c r="AH304" s="95">
        <v>44668970</v>
      </c>
      <c r="AI304" s="95">
        <v>101946358.86</v>
      </c>
      <c r="AJ304" s="89" t="s">
        <v>5</v>
      </c>
      <c r="AK304" s="89">
        <f>IF('Carga Tributária doenças Po (2'!$Z304="+",0,SUMIFS(PISCOFINS!$I$3:$I$10518,PISCOFINS!$C$3:$C$10518,'Carga Tributária doenças Po (2'!$C304))</f>
        <v>2.1</v>
      </c>
      <c r="AL304" s="89">
        <f>IF('Carga Tributária doenças Po (2'!$Z304="+",0,SUMIFS(PISCOFINS!$H$3:$H$10518,PISCOFINS!$C$3:$C$10518,'Carga Tributária doenças Po (2'!$C304))</f>
        <v>9.9</v>
      </c>
      <c r="AM304" s="95">
        <v>3.27</v>
      </c>
      <c r="AN304" s="95">
        <v>3.12</v>
      </c>
      <c r="AO304" s="95">
        <v>1.35</v>
      </c>
      <c r="AP304" s="96">
        <v>18</v>
      </c>
      <c r="AQ304" s="96">
        <v>12</v>
      </c>
      <c r="AR304" s="96">
        <v>17</v>
      </c>
      <c r="AS304" s="97">
        <v>17</v>
      </c>
      <c r="AT304" s="97">
        <v>19</v>
      </c>
      <c r="AU304" s="97">
        <v>18</v>
      </c>
      <c r="AV304" s="97">
        <v>17</v>
      </c>
      <c r="AW304" s="97">
        <v>17</v>
      </c>
      <c r="AX304" s="97">
        <v>17</v>
      </c>
      <c r="AY304" s="97">
        <v>17</v>
      </c>
      <c r="AZ304" s="97">
        <v>17</v>
      </c>
      <c r="BA304" s="97">
        <v>17</v>
      </c>
      <c r="BB304" s="97">
        <v>17</v>
      </c>
      <c r="BC304" s="97">
        <v>17</v>
      </c>
      <c r="BD304" s="97">
        <v>17</v>
      </c>
      <c r="BE304" s="97">
        <v>17</v>
      </c>
      <c r="BF304" s="97">
        <f>+Tabela1107[[#This Row],[PIS]]+Tabela1107[[#This Row],[COFINS]]+Tabela1107[[#This Row],[CONTRIB. FOLHA]]+Tabela1107[[#This Row],[TRIBUTOS S/ LUCRO]]+Tabela1107[[#This Row],[OUTROS]]+Tabela1107[[#This Row],[SP]]</f>
        <v>37.74</v>
      </c>
      <c r="BG304" s="97">
        <f>+Tabela1107[[#This Row],[PIS]]+Tabela1107[[#This Row],[COFINS]]+Tabela1107[[#This Row],[CONTRIB. FOLHA]]+Tabela1107[[#This Row],[TRIBUTOS S/ LUCRO]]+Tabela1107[[#This Row],[OUTROS]]+Tabela1107[[#This Row],[PR]]</f>
        <v>31.740000000000002</v>
      </c>
      <c r="BH304" s="97">
        <f>+Tabela1107[[#This Row],[PIS]]+Tabela1107[[#This Row],[COFINS]]+Tabela1107[[#This Row],[CONTRIB. FOLHA]]+Tabela1107[[#This Row],[TRIBUTOS S/ LUCRO]]+Tabela1107[[#This Row],[OUTROS]]+Tabela1107[[#This Row],[SC]]</f>
        <v>36.74</v>
      </c>
      <c r="BI304" s="97">
        <f>+Tabela1107[[#This Row],[PIS]]+Tabela1107[[#This Row],[COFINS]]+Tabela1107[[#This Row],[CONTRIB. FOLHA]]+Tabela1107[[#This Row],[TRIBUTOS S/ LUCRO]]+Tabela1107[[#This Row],[OUTROS]]+Tabela1107[[#This Row],[RS]]</f>
        <v>36.74</v>
      </c>
      <c r="BJ304" s="97">
        <f>+Tabela1107[[#This Row],[PIS]]+Tabela1107[[#This Row],[COFINS]]+Tabela1107[[#This Row],[CONTRIB. FOLHA]]+Tabela1107[[#This Row],[TRIBUTOS S/ LUCRO]]+Tabela1107[[#This Row],[OUTROS]]+Tabela1107[[#This Row],[RJ]]</f>
        <v>38.74</v>
      </c>
      <c r="BK304" s="97">
        <f>+Tabela1107[[#This Row],[PIS]]+Tabela1107[[#This Row],[COFINS]]+Tabela1107[[#This Row],[CONTRIB. FOLHA]]+Tabela1107[[#This Row],[TRIBUTOS S/ LUCRO]]+Tabela1107[[#This Row],[OUTROS]]+Tabela1107[[#This Row],[MG]]</f>
        <v>37.74</v>
      </c>
      <c r="BL304" s="97">
        <f>+Tabela1107[[#This Row],[PIS]]+Tabela1107[[#This Row],[COFINS]]+Tabela1107[[#This Row],[CONTRIB. FOLHA]]+Tabela1107[[#This Row],[TRIBUTOS S/ LUCRO]]+Tabela1107[[#This Row],[OUTROS]]+Tabela1107[[#This Row],[ES]]</f>
        <v>36.74</v>
      </c>
      <c r="BM304" s="97">
        <f>+Tabela1107[[#This Row],[PIS]]+Tabela1107[[#This Row],[COFINS]]+Tabela1107[[#This Row],[CONTRIB. FOLHA]]+Tabela1107[[#This Row],[TRIBUTOS S/ LUCRO]]+Tabela1107[[#This Row],[OUTROS]]+Tabela1107[[#This Row],[GO]]</f>
        <v>36.74</v>
      </c>
      <c r="BN304" s="97">
        <f>+Tabela1107[[#This Row],[PIS]]+Tabela1107[[#This Row],[COFINS]]+Tabela1107[[#This Row],[CONTRIB. FOLHA]]+Tabela1107[[#This Row],[TRIBUTOS S/ LUCRO]]+Tabela1107[[#This Row],[OUTROS]]+Tabela1107[[#This Row],[MT]]</f>
        <v>36.74</v>
      </c>
      <c r="BO304" s="97">
        <f>+Tabela1107[[#This Row],[PIS]]+Tabela1107[[#This Row],[COFINS]]+Tabela1107[[#This Row],[CONTRIB. FOLHA]]+Tabela1107[[#This Row],[TRIBUTOS S/ LUCRO]]+Tabela1107[[#This Row],[OUTROS]]+Tabela1107[[#This Row],[MS]]</f>
        <v>36.74</v>
      </c>
      <c r="BP304" s="97">
        <f>+Tabela1107[[#This Row],[PIS]]+Tabela1107[[#This Row],[COFINS]]+Tabela1107[[#This Row],[CONTRIB. FOLHA]]+Tabela1107[[#This Row],[TRIBUTOS S/ LUCRO]]+Tabela1107[[#This Row],[OUTROS]]+Tabela1107[[#This Row],[DF]]</f>
        <v>36.74</v>
      </c>
      <c r="BQ304" s="97">
        <f>+Tabela1107[[#This Row],[PIS]]+Tabela1107[[#This Row],[COFINS]]+Tabela1107[[#This Row],[CONTRIB. FOLHA]]+Tabela1107[[#This Row],[TRIBUTOS S/ LUCRO]]+Tabela1107[[#This Row],[OUTROS]]+Tabela1107[[#This Row],[BA]]</f>
        <v>36.74</v>
      </c>
      <c r="BR304" s="97">
        <f>+Tabela1107[[#This Row],[PIS]]+Tabela1107[[#This Row],[COFINS]]+Tabela1107[[#This Row],[CONTRIB. FOLHA]]+Tabela1107[[#This Row],[TRIBUTOS S/ LUCRO]]+Tabela1107[[#This Row],[OUTROS]]+Tabela1107[[#This Row],[BA]]</f>
        <v>36.74</v>
      </c>
      <c r="BS304" s="97">
        <f>+Tabela1107[[#This Row],[PIS]]+Tabela1107[[#This Row],[COFINS]]+Tabela1107[[#This Row],[CONTRIB. FOLHA]]+Tabela1107[[#This Row],[TRIBUTOS S/ LUCRO]]+Tabela1107[[#This Row],[OUTROS]]+Tabela1107[[#This Row],[PE]]</f>
        <v>36.74</v>
      </c>
      <c r="BT304" s="97">
        <f>+Tabela1107[[#This Row],[PIS]]+Tabela1107[[#This Row],[COFINS]]+Tabela1107[[#This Row],[CONTRIB. FOLHA]]+Tabela1107[[#This Row],[TRIBUTOS S/ LUCRO]]+Tabela1107[[#This Row],[OUTROS]]+Tabela1107[[#This Row],[PA]]</f>
        <v>36.74</v>
      </c>
      <c r="BU304" s="97">
        <f>+Tabela1107[[#This Row],[PIS]]+Tabela1107[[#This Row],[COFINS]]+Tabela1107[[#This Row],[CONTRIB. FOLHA]]+Tabela1107[[#This Row],[TRIBUTOS S/ LUCRO]]+Tabela1107[[#This Row],[OUTROS]]+Tabela1107[[#This Row],[AM]]</f>
        <v>36.74</v>
      </c>
      <c r="BV304" s="97">
        <f>AVERAGE(Tabela1107[[#This Row],[TOTAL SP]:[TOTAL AM]])</f>
        <v>36.677500000000002</v>
      </c>
      <c r="BW304" s="97"/>
      <c r="BX304" s="97"/>
    </row>
    <row r="305" spans="2:76" x14ac:dyDescent="0.25">
      <c r="B305" s="89">
        <v>5206</v>
      </c>
      <c r="C305" s="91" t="s">
        <v>13168</v>
      </c>
      <c r="D305" s="89"/>
      <c r="E305" s="89">
        <v>20140626</v>
      </c>
      <c r="F305" s="89" t="s">
        <v>21418</v>
      </c>
      <c r="G305" s="89" t="s">
        <v>21419</v>
      </c>
      <c r="H305" s="89" t="s">
        <v>21420</v>
      </c>
      <c r="I305" s="89" t="s">
        <v>21421</v>
      </c>
      <c r="J305" s="89" t="s">
        <v>149</v>
      </c>
      <c r="K305" s="99" t="s">
        <v>2728</v>
      </c>
      <c r="L305" s="89" t="s">
        <v>3172</v>
      </c>
      <c r="M305" s="89" t="s">
        <v>2655</v>
      </c>
      <c r="N305" s="89" t="s">
        <v>3190</v>
      </c>
      <c r="O305" s="89" t="s">
        <v>4496</v>
      </c>
      <c r="P305" s="89" t="s">
        <v>4496</v>
      </c>
      <c r="Q305" s="89"/>
      <c r="R305" s="89" t="s">
        <v>92</v>
      </c>
      <c r="S305" s="89" t="s">
        <v>21696</v>
      </c>
      <c r="T305" s="89" t="s">
        <v>21697</v>
      </c>
      <c r="U305" s="89" t="str">
        <f>TRIM('Carga Tributária doenças Po (2'!$L305)</f>
        <v>CAFEINA</v>
      </c>
      <c r="V305" s="89">
        <f>SUMIFS('Tabela Federal'!$E$4:$E$2069,'Tabela Federal'!$D$4:$D$2069,'Carga Tributária doenças Po (2'!$L305)</f>
        <v>0</v>
      </c>
      <c r="W305" s="89">
        <f>SUMIFS('Tabela Federal'!$E$4:$E$2069,'Tabela Federal'!$D$4:$D$2069,'Carga Tributária doenças Po (2'!$M305)</f>
        <v>1</v>
      </c>
      <c r="X305" s="89">
        <f>SUMIFS('Tabela Federal'!$E$4:$E$2069,'Tabela Federal'!$D$4:$D$2069,'Carga Tributária doenças Po (2'!$N305)</f>
        <v>0</v>
      </c>
      <c r="Y305" s="89">
        <f>SUMIFS('Tabela Federal'!$E$4:$E$2069,'Tabela Federal'!$D$4:$D$2069,'Carga Tributária doenças Po (2'!$O305)</f>
        <v>0</v>
      </c>
      <c r="Z305" s="92" t="str">
        <f>VLOOKUP('Carga Tributária doenças Po (2'!$AD305,'Carga Tributária doenças Po (2'!$CA$12:$CC$16,2,0)</f>
        <v>-</v>
      </c>
      <c r="AA305" s="89" t="s">
        <v>7</v>
      </c>
      <c r="AB305" s="89" t="s">
        <v>21805</v>
      </c>
      <c r="AC305" s="89" t="s">
        <v>21740</v>
      </c>
      <c r="AD305" s="93" t="s">
        <v>19523</v>
      </c>
      <c r="AE305" s="92" t="s">
        <v>4</v>
      </c>
      <c r="AF305" s="92" t="s">
        <v>23</v>
      </c>
      <c r="AG305" s="94">
        <v>6046641</v>
      </c>
      <c r="AH305" s="95">
        <v>44668970</v>
      </c>
      <c r="AI305" s="95">
        <v>101946358.86</v>
      </c>
      <c r="AJ305" s="89" t="s">
        <v>594</v>
      </c>
      <c r="AK305" s="89">
        <f>IF('Carga Tributária doenças Po (2'!$Z305="+",0,SUMIFS(PISCOFINS!$I$3:$I$10518,PISCOFINS!$C$3:$C$10518,'Carga Tributária doenças Po (2'!$C305))</f>
        <v>2.1</v>
      </c>
      <c r="AL305" s="89">
        <f>IF('Carga Tributária doenças Po (2'!$Z305="+",0,SUMIFS(PISCOFINS!$H$3:$H$10518,PISCOFINS!$C$3:$C$10518,'Carga Tributária doenças Po (2'!$C305))</f>
        <v>9.9</v>
      </c>
      <c r="AM305" s="95">
        <v>3.27</v>
      </c>
      <c r="AN305" s="95">
        <v>3.12</v>
      </c>
      <c r="AO305" s="95">
        <v>1.35</v>
      </c>
      <c r="AP305" s="96">
        <v>18</v>
      </c>
      <c r="AQ305" s="96">
        <v>12</v>
      </c>
      <c r="AR305" s="96">
        <v>17</v>
      </c>
      <c r="AS305" s="97">
        <v>17</v>
      </c>
      <c r="AT305" s="97">
        <v>19</v>
      </c>
      <c r="AU305" s="97">
        <v>18</v>
      </c>
      <c r="AV305" s="97">
        <v>17</v>
      </c>
      <c r="AW305" s="97">
        <v>17</v>
      </c>
      <c r="AX305" s="97">
        <v>17</v>
      </c>
      <c r="AY305" s="97">
        <v>17</v>
      </c>
      <c r="AZ305" s="97">
        <v>17</v>
      </c>
      <c r="BA305" s="97">
        <v>17</v>
      </c>
      <c r="BB305" s="97">
        <v>17</v>
      </c>
      <c r="BC305" s="97">
        <v>17</v>
      </c>
      <c r="BD305" s="97">
        <v>17</v>
      </c>
      <c r="BE305" s="97">
        <v>17</v>
      </c>
      <c r="BF305" s="97">
        <f>+Tabela1107[[#This Row],[PIS]]+Tabela1107[[#This Row],[COFINS]]+Tabela1107[[#This Row],[CONTRIB. FOLHA]]+Tabela1107[[#This Row],[TRIBUTOS S/ LUCRO]]+Tabela1107[[#This Row],[OUTROS]]+Tabela1107[[#This Row],[SP]]</f>
        <v>37.74</v>
      </c>
      <c r="BG305" s="97">
        <f>+Tabela1107[[#This Row],[PIS]]+Tabela1107[[#This Row],[COFINS]]+Tabela1107[[#This Row],[CONTRIB. FOLHA]]+Tabela1107[[#This Row],[TRIBUTOS S/ LUCRO]]+Tabela1107[[#This Row],[OUTROS]]+Tabela1107[[#This Row],[PR]]</f>
        <v>31.740000000000002</v>
      </c>
      <c r="BH305" s="97">
        <f>+Tabela1107[[#This Row],[PIS]]+Tabela1107[[#This Row],[COFINS]]+Tabela1107[[#This Row],[CONTRIB. FOLHA]]+Tabela1107[[#This Row],[TRIBUTOS S/ LUCRO]]+Tabela1107[[#This Row],[OUTROS]]+Tabela1107[[#This Row],[SC]]</f>
        <v>36.74</v>
      </c>
      <c r="BI305" s="97">
        <f>+Tabela1107[[#This Row],[PIS]]+Tabela1107[[#This Row],[COFINS]]+Tabela1107[[#This Row],[CONTRIB. FOLHA]]+Tabela1107[[#This Row],[TRIBUTOS S/ LUCRO]]+Tabela1107[[#This Row],[OUTROS]]+Tabela1107[[#This Row],[RS]]</f>
        <v>36.74</v>
      </c>
      <c r="BJ305" s="97">
        <f>+Tabela1107[[#This Row],[PIS]]+Tabela1107[[#This Row],[COFINS]]+Tabela1107[[#This Row],[CONTRIB. FOLHA]]+Tabela1107[[#This Row],[TRIBUTOS S/ LUCRO]]+Tabela1107[[#This Row],[OUTROS]]+Tabela1107[[#This Row],[RJ]]</f>
        <v>38.74</v>
      </c>
      <c r="BK305" s="97">
        <f>+Tabela1107[[#This Row],[PIS]]+Tabela1107[[#This Row],[COFINS]]+Tabela1107[[#This Row],[CONTRIB. FOLHA]]+Tabela1107[[#This Row],[TRIBUTOS S/ LUCRO]]+Tabela1107[[#This Row],[OUTROS]]+Tabela1107[[#This Row],[MG]]</f>
        <v>37.74</v>
      </c>
      <c r="BL305" s="97">
        <f>+Tabela1107[[#This Row],[PIS]]+Tabela1107[[#This Row],[COFINS]]+Tabela1107[[#This Row],[CONTRIB. FOLHA]]+Tabela1107[[#This Row],[TRIBUTOS S/ LUCRO]]+Tabela1107[[#This Row],[OUTROS]]+Tabela1107[[#This Row],[ES]]</f>
        <v>36.74</v>
      </c>
      <c r="BM305" s="97">
        <f>+Tabela1107[[#This Row],[PIS]]+Tabela1107[[#This Row],[COFINS]]+Tabela1107[[#This Row],[CONTRIB. FOLHA]]+Tabela1107[[#This Row],[TRIBUTOS S/ LUCRO]]+Tabela1107[[#This Row],[OUTROS]]+Tabela1107[[#This Row],[GO]]</f>
        <v>36.74</v>
      </c>
      <c r="BN305" s="97">
        <f>+Tabela1107[[#This Row],[PIS]]+Tabela1107[[#This Row],[COFINS]]+Tabela1107[[#This Row],[CONTRIB. FOLHA]]+Tabela1107[[#This Row],[TRIBUTOS S/ LUCRO]]+Tabela1107[[#This Row],[OUTROS]]+Tabela1107[[#This Row],[MT]]</f>
        <v>36.74</v>
      </c>
      <c r="BO305" s="97">
        <f>+Tabela1107[[#This Row],[PIS]]+Tabela1107[[#This Row],[COFINS]]+Tabela1107[[#This Row],[CONTRIB. FOLHA]]+Tabela1107[[#This Row],[TRIBUTOS S/ LUCRO]]+Tabela1107[[#This Row],[OUTROS]]+Tabela1107[[#This Row],[MS]]</f>
        <v>36.74</v>
      </c>
      <c r="BP305" s="97">
        <f>+Tabela1107[[#This Row],[PIS]]+Tabela1107[[#This Row],[COFINS]]+Tabela1107[[#This Row],[CONTRIB. FOLHA]]+Tabela1107[[#This Row],[TRIBUTOS S/ LUCRO]]+Tabela1107[[#This Row],[OUTROS]]+Tabela1107[[#This Row],[DF]]</f>
        <v>36.74</v>
      </c>
      <c r="BQ305" s="97">
        <f>+Tabela1107[[#This Row],[PIS]]+Tabela1107[[#This Row],[COFINS]]+Tabela1107[[#This Row],[CONTRIB. FOLHA]]+Tabela1107[[#This Row],[TRIBUTOS S/ LUCRO]]+Tabela1107[[#This Row],[OUTROS]]+Tabela1107[[#This Row],[BA]]</f>
        <v>36.74</v>
      </c>
      <c r="BR305" s="97">
        <f>+Tabela1107[[#This Row],[PIS]]+Tabela1107[[#This Row],[COFINS]]+Tabela1107[[#This Row],[CONTRIB. FOLHA]]+Tabela1107[[#This Row],[TRIBUTOS S/ LUCRO]]+Tabela1107[[#This Row],[OUTROS]]+Tabela1107[[#This Row],[BA]]</f>
        <v>36.74</v>
      </c>
      <c r="BS305" s="97">
        <f>+Tabela1107[[#This Row],[PIS]]+Tabela1107[[#This Row],[COFINS]]+Tabela1107[[#This Row],[CONTRIB. FOLHA]]+Tabela1107[[#This Row],[TRIBUTOS S/ LUCRO]]+Tabela1107[[#This Row],[OUTROS]]+Tabela1107[[#This Row],[PE]]</f>
        <v>36.74</v>
      </c>
      <c r="BT305" s="97">
        <f>+Tabela1107[[#This Row],[PIS]]+Tabela1107[[#This Row],[COFINS]]+Tabela1107[[#This Row],[CONTRIB. FOLHA]]+Tabela1107[[#This Row],[TRIBUTOS S/ LUCRO]]+Tabela1107[[#This Row],[OUTROS]]+Tabela1107[[#This Row],[PA]]</f>
        <v>36.74</v>
      </c>
      <c r="BU305" s="97">
        <f>+Tabela1107[[#This Row],[PIS]]+Tabela1107[[#This Row],[COFINS]]+Tabela1107[[#This Row],[CONTRIB. FOLHA]]+Tabela1107[[#This Row],[TRIBUTOS S/ LUCRO]]+Tabela1107[[#This Row],[OUTROS]]+Tabela1107[[#This Row],[AM]]</f>
        <v>36.74</v>
      </c>
      <c r="BV305" s="97">
        <f>AVERAGE(Tabela1107[[#This Row],[TOTAL SP]:[TOTAL AM]])</f>
        <v>36.677500000000002</v>
      </c>
      <c r="BW305" s="97"/>
      <c r="BX305" s="97"/>
    </row>
    <row r="306" spans="2:76" x14ac:dyDescent="0.25">
      <c r="B306" s="89">
        <v>13047</v>
      </c>
      <c r="C306" s="91" t="s">
        <v>13142</v>
      </c>
      <c r="D306" s="89"/>
      <c r="E306" s="89">
        <v>20140626</v>
      </c>
      <c r="F306" s="89" t="s">
        <v>21152</v>
      </c>
      <c r="G306" s="89" t="s">
        <v>21153</v>
      </c>
      <c r="H306" s="89" t="s">
        <v>21154</v>
      </c>
      <c r="I306" s="89" t="s">
        <v>21155</v>
      </c>
      <c r="J306" s="89" t="s">
        <v>221</v>
      </c>
      <c r="K306" s="99" t="s">
        <v>4484</v>
      </c>
      <c r="L306" s="89" t="s">
        <v>4499</v>
      </c>
      <c r="M306" s="89" t="s">
        <v>4371</v>
      </c>
      <c r="N306" s="89" t="s">
        <v>3186</v>
      </c>
      <c r="O306" s="89" t="s">
        <v>4496</v>
      </c>
      <c r="P306" s="89" t="s">
        <v>4496</v>
      </c>
      <c r="Q306" s="89"/>
      <c r="R306" s="89" t="s">
        <v>34</v>
      </c>
      <c r="S306" s="89" t="s">
        <v>21670</v>
      </c>
      <c r="T306" s="89" t="s">
        <v>21671</v>
      </c>
      <c r="U306" s="89" t="str">
        <f>TRIM('Carga Tributária doenças Po (2'!$L306)</f>
        <v>BENZALCONIO</v>
      </c>
      <c r="V306" s="89">
        <f>SUMIFS('Tabela Federal'!$E$4:$E$2069,'Tabela Federal'!$D$4:$D$2069,'Carga Tributária doenças Po (2'!$L306)</f>
        <v>0</v>
      </c>
      <c r="W306" s="89">
        <f>SUMIFS('Tabela Federal'!$E$4:$E$2069,'Tabela Federal'!$D$4:$D$2069,'Carga Tributária doenças Po (2'!$M306)</f>
        <v>1</v>
      </c>
      <c r="X306" s="89">
        <f>SUMIFS('Tabela Federal'!$E$4:$E$2069,'Tabela Federal'!$D$4:$D$2069,'Carga Tributária doenças Po (2'!$N306)</f>
        <v>0</v>
      </c>
      <c r="Y306" s="89">
        <f>SUMIFS('Tabela Federal'!$E$4:$E$2069,'Tabela Federal'!$D$4:$D$2069,'Carga Tributária doenças Po (2'!$O306)</f>
        <v>0</v>
      </c>
      <c r="Z306" s="92" t="str">
        <f>VLOOKUP('Carga Tributária doenças Po (2'!$AD306,'Carga Tributária doenças Po (2'!$CA$12:$CC$16,2,0)</f>
        <v>-</v>
      </c>
      <c r="AA306" s="89" t="s">
        <v>222</v>
      </c>
      <c r="AB306" s="89" t="s">
        <v>21799</v>
      </c>
      <c r="AC306" s="89" t="s">
        <v>21721</v>
      </c>
      <c r="AD306" s="93" t="s">
        <v>19523</v>
      </c>
      <c r="AE306" s="92" t="s">
        <v>4</v>
      </c>
      <c r="AF306" s="92" t="s">
        <v>3</v>
      </c>
      <c r="AG306" s="94">
        <v>37026509</v>
      </c>
      <c r="AH306" s="95">
        <v>83966189</v>
      </c>
      <c r="AI306" s="95">
        <v>191372902.19999999</v>
      </c>
      <c r="AJ306" s="89" t="s">
        <v>611</v>
      </c>
      <c r="AK306" s="89">
        <f>IF('Carga Tributária doenças Po (2'!$Z306="+",0,SUMIFS(PISCOFINS!$I$3:$I$10518,PISCOFINS!$C$3:$C$10518,'Carga Tributária doenças Po (2'!$C306))</f>
        <v>2.1</v>
      </c>
      <c r="AL306" s="89">
        <f>IF('Carga Tributária doenças Po (2'!$Z306="+",0,SUMIFS(PISCOFINS!$H$3:$H$10518,PISCOFINS!$C$3:$C$10518,'Carga Tributária doenças Po (2'!$C306))</f>
        <v>9.9</v>
      </c>
      <c r="AM306" s="95">
        <v>3.27</v>
      </c>
      <c r="AN306" s="95">
        <v>3.12</v>
      </c>
      <c r="AO306" s="95">
        <v>1.35</v>
      </c>
      <c r="AP306" s="96">
        <v>18</v>
      </c>
      <c r="AQ306" s="96">
        <v>12</v>
      </c>
      <c r="AR306" s="96">
        <v>17</v>
      </c>
      <c r="AS306" s="97">
        <v>17</v>
      </c>
      <c r="AT306" s="97">
        <v>19</v>
      </c>
      <c r="AU306" s="97">
        <v>18</v>
      </c>
      <c r="AV306" s="97">
        <v>17</v>
      </c>
      <c r="AW306" s="97">
        <v>17</v>
      </c>
      <c r="AX306" s="97">
        <v>17</v>
      </c>
      <c r="AY306" s="97">
        <v>17</v>
      </c>
      <c r="AZ306" s="97">
        <v>17</v>
      </c>
      <c r="BA306" s="97">
        <v>17</v>
      </c>
      <c r="BB306" s="97">
        <v>17</v>
      </c>
      <c r="BC306" s="97">
        <v>17</v>
      </c>
      <c r="BD306" s="97">
        <v>17</v>
      </c>
      <c r="BE306" s="97">
        <v>17</v>
      </c>
      <c r="BF306" s="97">
        <f>+Tabela1107[[#This Row],[PIS]]+Tabela1107[[#This Row],[COFINS]]+Tabela1107[[#This Row],[CONTRIB. FOLHA]]+Tabela1107[[#This Row],[TRIBUTOS S/ LUCRO]]+Tabela1107[[#This Row],[OUTROS]]+Tabela1107[[#This Row],[SP]]</f>
        <v>37.74</v>
      </c>
      <c r="BG306" s="97">
        <f>+Tabela1107[[#This Row],[PIS]]+Tabela1107[[#This Row],[COFINS]]+Tabela1107[[#This Row],[CONTRIB. FOLHA]]+Tabela1107[[#This Row],[TRIBUTOS S/ LUCRO]]+Tabela1107[[#This Row],[OUTROS]]+Tabela1107[[#This Row],[PR]]</f>
        <v>31.740000000000002</v>
      </c>
      <c r="BH306" s="97">
        <f>+Tabela1107[[#This Row],[PIS]]+Tabela1107[[#This Row],[COFINS]]+Tabela1107[[#This Row],[CONTRIB. FOLHA]]+Tabela1107[[#This Row],[TRIBUTOS S/ LUCRO]]+Tabela1107[[#This Row],[OUTROS]]+Tabela1107[[#This Row],[SC]]</f>
        <v>36.74</v>
      </c>
      <c r="BI306" s="97">
        <f>+Tabela1107[[#This Row],[PIS]]+Tabela1107[[#This Row],[COFINS]]+Tabela1107[[#This Row],[CONTRIB. FOLHA]]+Tabela1107[[#This Row],[TRIBUTOS S/ LUCRO]]+Tabela1107[[#This Row],[OUTROS]]+Tabela1107[[#This Row],[RS]]</f>
        <v>36.74</v>
      </c>
      <c r="BJ306" s="97">
        <f>+Tabela1107[[#This Row],[PIS]]+Tabela1107[[#This Row],[COFINS]]+Tabela1107[[#This Row],[CONTRIB. FOLHA]]+Tabela1107[[#This Row],[TRIBUTOS S/ LUCRO]]+Tabela1107[[#This Row],[OUTROS]]+Tabela1107[[#This Row],[RJ]]</f>
        <v>38.74</v>
      </c>
      <c r="BK306" s="97">
        <f>+Tabela1107[[#This Row],[PIS]]+Tabela1107[[#This Row],[COFINS]]+Tabela1107[[#This Row],[CONTRIB. FOLHA]]+Tabela1107[[#This Row],[TRIBUTOS S/ LUCRO]]+Tabela1107[[#This Row],[OUTROS]]+Tabela1107[[#This Row],[MG]]</f>
        <v>37.74</v>
      </c>
      <c r="BL306" s="97">
        <f>+Tabela1107[[#This Row],[PIS]]+Tabela1107[[#This Row],[COFINS]]+Tabela1107[[#This Row],[CONTRIB. FOLHA]]+Tabela1107[[#This Row],[TRIBUTOS S/ LUCRO]]+Tabela1107[[#This Row],[OUTROS]]+Tabela1107[[#This Row],[ES]]</f>
        <v>36.74</v>
      </c>
      <c r="BM306" s="97">
        <f>+Tabela1107[[#This Row],[PIS]]+Tabela1107[[#This Row],[COFINS]]+Tabela1107[[#This Row],[CONTRIB. FOLHA]]+Tabela1107[[#This Row],[TRIBUTOS S/ LUCRO]]+Tabela1107[[#This Row],[OUTROS]]+Tabela1107[[#This Row],[GO]]</f>
        <v>36.74</v>
      </c>
      <c r="BN306" s="97">
        <f>+Tabela1107[[#This Row],[PIS]]+Tabela1107[[#This Row],[COFINS]]+Tabela1107[[#This Row],[CONTRIB. FOLHA]]+Tabela1107[[#This Row],[TRIBUTOS S/ LUCRO]]+Tabela1107[[#This Row],[OUTROS]]+Tabela1107[[#This Row],[MT]]</f>
        <v>36.74</v>
      </c>
      <c r="BO306" s="97">
        <f>+Tabela1107[[#This Row],[PIS]]+Tabela1107[[#This Row],[COFINS]]+Tabela1107[[#This Row],[CONTRIB. FOLHA]]+Tabela1107[[#This Row],[TRIBUTOS S/ LUCRO]]+Tabela1107[[#This Row],[OUTROS]]+Tabela1107[[#This Row],[MS]]</f>
        <v>36.74</v>
      </c>
      <c r="BP306" s="97">
        <f>+Tabela1107[[#This Row],[PIS]]+Tabela1107[[#This Row],[COFINS]]+Tabela1107[[#This Row],[CONTRIB. FOLHA]]+Tabela1107[[#This Row],[TRIBUTOS S/ LUCRO]]+Tabela1107[[#This Row],[OUTROS]]+Tabela1107[[#This Row],[DF]]</f>
        <v>36.74</v>
      </c>
      <c r="BQ306" s="97">
        <f>+Tabela1107[[#This Row],[PIS]]+Tabela1107[[#This Row],[COFINS]]+Tabela1107[[#This Row],[CONTRIB. FOLHA]]+Tabela1107[[#This Row],[TRIBUTOS S/ LUCRO]]+Tabela1107[[#This Row],[OUTROS]]+Tabela1107[[#This Row],[BA]]</f>
        <v>36.74</v>
      </c>
      <c r="BR306" s="97">
        <f>+Tabela1107[[#This Row],[PIS]]+Tabela1107[[#This Row],[COFINS]]+Tabela1107[[#This Row],[CONTRIB. FOLHA]]+Tabela1107[[#This Row],[TRIBUTOS S/ LUCRO]]+Tabela1107[[#This Row],[OUTROS]]+Tabela1107[[#This Row],[BA]]</f>
        <v>36.74</v>
      </c>
      <c r="BS306" s="97">
        <f>+Tabela1107[[#This Row],[PIS]]+Tabela1107[[#This Row],[COFINS]]+Tabela1107[[#This Row],[CONTRIB. FOLHA]]+Tabela1107[[#This Row],[TRIBUTOS S/ LUCRO]]+Tabela1107[[#This Row],[OUTROS]]+Tabela1107[[#This Row],[PE]]</f>
        <v>36.74</v>
      </c>
      <c r="BT306" s="97">
        <f>+Tabela1107[[#This Row],[PIS]]+Tabela1107[[#This Row],[COFINS]]+Tabela1107[[#This Row],[CONTRIB. FOLHA]]+Tabela1107[[#This Row],[TRIBUTOS S/ LUCRO]]+Tabela1107[[#This Row],[OUTROS]]+Tabela1107[[#This Row],[PA]]</f>
        <v>36.74</v>
      </c>
      <c r="BU306" s="97">
        <f>+Tabela1107[[#This Row],[PIS]]+Tabela1107[[#This Row],[COFINS]]+Tabela1107[[#This Row],[CONTRIB. FOLHA]]+Tabela1107[[#This Row],[TRIBUTOS S/ LUCRO]]+Tabela1107[[#This Row],[OUTROS]]+Tabela1107[[#This Row],[AM]]</f>
        <v>36.74</v>
      </c>
      <c r="BV306" s="97">
        <f>AVERAGE(Tabela1107[[#This Row],[TOTAL SP]:[TOTAL AM]])</f>
        <v>36.677500000000002</v>
      </c>
      <c r="BW306" s="97"/>
      <c r="BX306" s="97"/>
    </row>
    <row r="307" spans="2:76" x14ac:dyDescent="0.25">
      <c r="B307" s="89">
        <v>13047</v>
      </c>
      <c r="C307" s="91" t="s">
        <v>13142</v>
      </c>
      <c r="D307" s="89"/>
      <c r="E307" s="89">
        <v>20140626</v>
      </c>
      <c r="F307" s="89" t="s">
        <v>21152</v>
      </c>
      <c r="G307" s="89" t="s">
        <v>21153</v>
      </c>
      <c r="H307" s="89" t="s">
        <v>21154</v>
      </c>
      <c r="I307" s="89" t="s">
        <v>21155</v>
      </c>
      <c r="J307" s="89" t="s">
        <v>221</v>
      </c>
      <c r="K307" s="99" t="s">
        <v>4484</v>
      </c>
      <c r="L307" s="89" t="s">
        <v>4499</v>
      </c>
      <c r="M307" s="89" t="s">
        <v>4371</v>
      </c>
      <c r="N307" s="89" t="s">
        <v>3186</v>
      </c>
      <c r="O307" s="89" t="s">
        <v>4496</v>
      </c>
      <c r="P307" s="89" t="s">
        <v>4496</v>
      </c>
      <c r="Q307" s="89"/>
      <c r="R307" s="89" t="s">
        <v>34</v>
      </c>
      <c r="S307" s="89" t="s">
        <v>21670</v>
      </c>
      <c r="T307" s="89" t="s">
        <v>21671</v>
      </c>
      <c r="U307" s="89" t="str">
        <f>TRIM('Carga Tributária doenças Po (2'!$L307)</f>
        <v>BENZALCONIO</v>
      </c>
      <c r="V307" s="89">
        <f>SUMIFS('Tabela Federal'!$E$4:$E$2069,'Tabela Federal'!$D$4:$D$2069,'Carga Tributária doenças Po (2'!$L307)</f>
        <v>0</v>
      </c>
      <c r="W307" s="89">
        <f>SUMIFS('Tabela Federal'!$E$4:$E$2069,'Tabela Federal'!$D$4:$D$2069,'Carga Tributária doenças Po (2'!$M307)</f>
        <v>1</v>
      </c>
      <c r="X307" s="89">
        <f>SUMIFS('Tabela Federal'!$E$4:$E$2069,'Tabela Federal'!$D$4:$D$2069,'Carga Tributária doenças Po (2'!$N307)</f>
        <v>0</v>
      </c>
      <c r="Y307" s="89">
        <f>SUMIFS('Tabela Federal'!$E$4:$E$2069,'Tabela Federal'!$D$4:$D$2069,'Carga Tributária doenças Po (2'!$O307)</f>
        <v>0</v>
      </c>
      <c r="Z307" s="92" t="str">
        <f>VLOOKUP('Carga Tributária doenças Po (2'!$AD307,'Carga Tributária doenças Po (2'!$CA$12:$CC$16,2,0)</f>
        <v>-</v>
      </c>
      <c r="AA307" s="89" t="s">
        <v>222</v>
      </c>
      <c r="AB307" s="89" t="s">
        <v>21799</v>
      </c>
      <c r="AC307" s="89" t="s">
        <v>21721</v>
      </c>
      <c r="AD307" s="93" t="s">
        <v>19523</v>
      </c>
      <c r="AE307" s="92" t="s">
        <v>4</v>
      </c>
      <c r="AF307" s="92" t="s">
        <v>3</v>
      </c>
      <c r="AG307" s="94">
        <v>37026509</v>
      </c>
      <c r="AH307" s="95">
        <v>83966189</v>
      </c>
      <c r="AI307" s="95">
        <v>191372902.19999999</v>
      </c>
      <c r="AJ307" s="89" t="s">
        <v>227</v>
      </c>
      <c r="AK307" s="89">
        <f>IF('Carga Tributária doenças Po (2'!$Z307="+",0,SUMIFS(PISCOFINS!$I$3:$I$10518,PISCOFINS!$C$3:$C$10518,'Carga Tributária doenças Po (2'!$C307))</f>
        <v>2.1</v>
      </c>
      <c r="AL307" s="89">
        <f>IF('Carga Tributária doenças Po (2'!$Z307="+",0,SUMIFS(PISCOFINS!$H$3:$H$10518,PISCOFINS!$C$3:$C$10518,'Carga Tributária doenças Po (2'!$C307))</f>
        <v>9.9</v>
      </c>
      <c r="AM307" s="95">
        <v>3.27</v>
      </c>
      <c r="AN307" s="95">
        <v>3.12</v>
      </c>
      <c r="AO307" s="95">
        <v>1.35</v>
      </c>
      <c r="AP307" s="96">
        <v>18</v>
      </c>
      <c r="AQ307" s="96">
        <v>12</v>
      </c>
      <c r="AR307" s="96">
        <v>17</v>
      </c>
      <c r="AS307" s="97">
        <v>17</v>
      </c>
      <c r="AT307" s="97">
        <v>19</v>
      </c>
      <c r="AU307" s="97">
        <v>18</v>
      </c>
      <c r="AV307" s="97">
        <v>17</v>
      </c>
      <c r="AW307" s="97">
        <v>17</v>
      </c>
      <c r="AX307" s="97">
        <v>17</v>
      </c>
      <c r="AY307" s="97">
        <v>17</v>
      </c>
      <c r="AZ307" s="97">
        <v>17</v>
      </c>
      <c r="BA307" s="97">
        <v>17</v>
      </c>
      <c r="BB307" s="97">
        <v>17</v>
      </c>
      <c r="BC307" s="97">
        <v>17</v>
      </c>
      <c r="BD307" s="97">
        <v>17</v>
      </c>
      <c r="BE307" s="97">
        <v>17</v>
      </c>
      <c r="BF307" s="97">
        <f>+Tabela1107[[#This Row],[PIS]]+Tabela1107[[#This Row],[COFINS]]+Tabela1107[[#This Row],[CONTRIB. FOLHA]]+Tabela1107[[#This Row],[TRIBUTOS S/ LUCRO]]+Tabela1107[[#This Row],[OUTROS]]+Tabela1107[[#This Row],[SP]]</f>
        <v>37.74</v>
      </c>
      <c r="BG307" s="97">
        <f>+Tabela1107[[#This Row],[PIS]]+Tabela1107[[#This Row],[COFINS]]+Tabela1107[[#This Row],[CONTRIB. FOLHA]]+Tabela1107[[#This Row],[TRIBUTOS S/ LUCRO]]+Tabela1107[[#This Row],[OUTROS]]+Tabela1107[[#This Row],[PR]]</f>
        <v>31.740000000000002</v>
      </c>
      <c r="BH307" s="97">
        <f>+Tabela1107[[#This Row],[PIS]]+Tabela1107[[#This Row],[COFINS]]+Tabela1107[[#This Row],[CONTRIB. FOLHA]]+Tabela1107[[#This Row],[TRIBUTOS S/ LUCRO]]+Tabela1107[[#This Row],[OUTROS]]+Tabela1107[[#This Row],[SC]]</f>
        <v>36.74</v>
      </c>
      <c r="BI307" s="97">
        <f>+Tabela1107[[#This Row],[PIS]]+Tabela1107[[#This Row],[COFINS]]+Tabela1107[[#This Row],[CONTRIB. FOLHA]]+Tabela1107[[#This Row],[TRIBUTOS S/ LUCRO]]+Tabela1107[[#This Row],[OUTROS]]+Tabela1107[[#This Row],[RS]]</f>
        <v>36.74</v>
      </c>
      <c r="BJ307" s="97">
        <f>+Tabela1107[[#This Row],[PIS]]+Tabela1107[[#This Row],[COFINS]]+Tabela1107[[#This Row],[CONTRIB. FOLHA]]+Tabela1107[[#This Row],[TRIBUTOS S/ LUCRO]]+Tabela1107[[#This Row],[OUTROS]]+Tabela1107[[#This Row],[RJ]]</f>
        <v>38.74</v>
      </c>
      <c r="BK307" s="97">
        <f>+Tabela1107[[#This Row],[PIS]]+Tabela1107[[#This Row],[COFINS]]+Tabela1107[[#This Row],[CONTRIB. FOLHA]]+Tabela1107[[#This Row],[TRIBUTOS S/ LUCRO]]+Tabela1107[[#This Row],[OUTROS]]+Tabela1107[[#This Row],[MG]]</f>
        <v>37.74</v>
      </c>
      <c r="BL307" s="97">
        <f>+Tabela1107[[#This Row],[PIS]]+Tabela1107[[#This Row],[COFINS]]+Tabela1107[[#This Row],[CONTRIB. FOLHA]]+Tabela1107[[#This Row],[TRIBUTOS S/ LUCRO]]+Tabela1107[[#This Row],[OUTROS]]+Tabela1107[[#This Row],[ES]]</f>
        <v>36.74</v>
      </c>
      <c r="BM307" s="97">
        <f>+Tabela1107[[#This Row],[PIS]]+Tabela1107[[#This Row],[COFINS]]+Tabela1107[[#This Row],[CONTRIB. FOLHA]]+Tabela1107[[#This Row],[TRIBUTOS S/ LUCRO]]+Tabela1107[[#This Row],[OUTROS]]+Tabela1107[[#This Row],[GO]]</f>
        <v>36.74</v>
      </c>
      <c r="BN307" s="97">
        <f>+Tabela1107[[#This Row],[PIS]]+Tabela1107[[#This Row],[COFINS]]+Tabela1107[[#This Row],[CONTRIB. FOLHA]]+Tabela1107[[#This Row],[TRIBUTOS S/ LUCRO]]+Tabela1107[[#This Row],[OUTROS]]+Tabela1107[[#This Row],[MT]]</f>
        <v>36.74</v>
      </c>
      <c r="BO307" s="97">
        <f>+Tabela1107[[#This Row],[PIS]]+Tabela1107[[#This Row],[COFINS]]+Tabela1107[[#This Row],[CONTRIB. FOLHA]]+Tabela1107[[#This Row],[TRIBUTOS S/ LUCRO]]+Tabela1107[[#This Row],[OUTROS]]+Tabela1107[[#This Row],[MS]]</f>
        <v>36.74</v>
      </c>
      <c r="BP307" s="97">
        <f>+Tabela1107[[#This Row],[PIS]]+Tabela1107[[#This Row],[COFINS]]+Tabela1107[[#This Row],[CONTRIB. FOLHA]]+Tabela1107[[#This Row],[TRIBUTOS S/ LUCRO]]+Tabela1107[[#This Row],[OUTROS]]+Tabela1107[[#This Row],[DF]]</f>
        <v>36.74</v>
      </c>
      <c r="BQ307" s="97">
        <f>+Tabela1107[[#This Row],[PIS]]+Tabela1107[[#This Row],[COFINS]]+Tabela1107[[#This Row],[CONTRIB. FOLHA]]+Tabela1107[[#This Row],[TRIBUTOS S/ LUCRO]]+Tabela1107[[#This Row],[OUTROS]]+Tabela1107[[#This Row],[BA]]</f>
        <v>36.74</v>
      </c>
      <c r="BR307" s="97">
        <f>+Tabela1107[[#This Row],[PIS]]+Tabela1107[[#This Row],[COFINS]]+Tabela1107[[#This Row],[CONTRIB. FOLHA]]+Tabela1107[[#This Row],[TRIBUTOS S/ LUCRO]]+Tabela1107[[#This Row],[OUTROS]]+Tabela1107[[#This Row],[BA]]</f>
        <v>36.74</v>
      </c>
      <c r="BS307" s="97">
        <f>+Tabela1107[[#This Row],[PIS]]+Tabela1107[[#This Row],[COFINS]]+Tabela1107[[#This Row],[CONTRIB. FOLHA]]+Tabela1107[[#This Row],[TRIBUTOS S/ LUCRO]]+Tabela1107[[#This Row],[OUTROS]]+Tabela1107[[#This Row],[PE]]</f>
        <v>36.74</v>
      </c>
      <c r="BT307" s="97">
        <f>+Tabela1107[[#This Row],[PIS]]+Tabela1107[[#This Row],[COFINS]]+Tabela1107[[#This Row],[CONTRIB. FOLHA]]+Tabela1107[[#This Row],[TRIBUTOS S/ LUCRO]]+Tabela1107[[#This Row],[OUTROS]]+Tabela1107[[#This Row],[PA]]</f>
        <v>36.74</v>
      </c>
      <c r="BU307" s="97">
        <f>+Tabela1107[[#This Row],[PIS]]+Tabela1107[[#This Row],[COFINS]]+Tabela1107[[#This Row],[CONTRIB. FOLHA]]+Tabela1107[[#This Row],[TRIBUTOS S/ LUCRO]]+Tabela1107[[#This Row],[OUTROS]]+Tabela1107[[#This Row],[AM]]</f>
        <v>36.74</v>
      </c>
      <c r="BV307" s="97">
        <f>AVERAGE(Tabela1107[[#This Row],[TOTAL SP]:[TOTAL AM]])</f>
        <v>36.677500000000002</v>
      </c>
      <c r="BW307" s="97"/>
      <c r="BX307" s="97"/>
    </row>
    <row r="308" spans="2:76" x14ac:dyDescent="0.25">
      <c r="B308" s="89">
        <v>13047</v>
      </c>
      <c r="C308" s="91" t="s">
        <v>13142</v>
      </c>
      <c r="D308" s="89"/>
      <c r="E308" s="89">
        <v>20140626</v>
      </c>
      <c r="F308" s="89" t="s">
        <v>21152</v>
      </c>
      <c r="G308" s="89" t="s">
        <v>21153</v>
      </c>
      <c r="H308" s="89" t="s">
        <v>21154</v>
      </c>
      <c r="I308" s="89" t="s">
        <v>21155</v>
      </c>
      <c r="J308" s="89" t="s">
        <v>221</v>
      </c>
      <c r="K308" s="99" t="s">
        <v>4484</v>
      </c>
      <c r="L308" s="89" t="s">
        <v>4499</v>
      </c>
      <c r="M308" s="89" t="s">
        <v>4371</v>
      </c>
      <c r="N308" s="89" t="s">
        <v>3186</v>
      </c>
      <c r="O308" s="89" t="s">
        <v>4496</v>
      </c>
      <c r="P308" s="89" t="s">
        <v>4496</v>
      </c>
      <c r="Q308" s="89"/>
      <c r="R308" s="89" t="s">
        <v>34</v>
      </c>
      <c r="S308" s="89" t="s">
        <v>21670</v>
      </c>
      <c r="T308" s="89" t="s">
        <v>21671</v>
      </c>
      <c r="U308" s="89" t="str">
        <f>TRIM('Carga Tributária doenças Po (2'!$L308)</f>
        <v>BENZALCONIO</v>
      </c>
      <c r="V308" s="89">
        <f>SUMIFS('Tabela Federal'!$E$4:$E$2069,'Tabela Federal'!$D$4:$D$2069,'Carga Tributária doenças Po (2'!$L308)</f>
        <v>0</v>
      </c>
      <c r="W308" s="89">
        <f>SUMIFS('Tabela Federal'!$E$4:$E$2069,'Tabela Federal'!$D$4:$D$2069,'Carga Tributária doenças Po (2'!$M308)</f>
        <v>1</v>
      </c>
      <c r="X308" s="89">
        <f>SUMIFS('Tabela Federal'!$E$4:$E$2069,'Tabela Federal'!$D$4:$D$2069,'Carga Tributária doenças Po (2'!$N308)</f>
        <v>0</v>
      </c>
      <c r="Y308" s="89">
        <f>SUMIFS('Tabela Federal'!$E$4:$E$2069,'Tabela Federal'!$D$4:$D$2069,'Carga Tributária doenças Po (2'!$O308)</f>
        <v>0</v>
      </c>
      <c r="Z308" s="92" t="str">
        <f>VLOOKUP('Carga Tributária doenças Po (2'!$AD308,'Carga Tributária doenças Po (2'!$CA$12:$CC$16,2,0)</f>
        <v>-</v>
      </c>
      <c r="AA308" s="89" t="s">
        <v>222</v>
      </c>
      <c r="AB308" s="89" t="s">
        <v>21799</v>
      </c>
      <c r="AC308" s="89" t="s">
        <v>21721</v>
      </c>
      <c r="AD308" s="93" t="s">
        <v>19523</v>
      </c>
      <c r="AE308" s="92" t="s">
        <v>4</v>
      </c>
      <c r="AF308" s="92" t="s">
        <v>3</v>
      </c>
      <c r="AG308" s="94">
        <v>37026509</v>
      </c>
      <c r="AH308" s="95">
        <v>83966189</v>
      </c>
      <c r="AI308" s="95">
        <v>191372902.19999999</v>
      </c>
      <c r="AJ308" s="89" t="s">
        <v>559</v>
      </c>
      <c r="AK308" s="89">
        <f>IF('Carga Tributária doenças Po (2'!$Z308="+",0,SUMIFS(PISCOFINS!$I$3:$I$10518,PISCOFINS!$C$3:$C$10518,'Carga Tributária doenças Po (2'!$C308))</f>
        <v>2.1</v>
      </c>
      <c r="AL308" s="89">
        <f>IF('Carga Tributária doenças Po (2'!$Z308="+",0,SUMIFS(PISCOFINS!$H$3:$H$10518,PISCOFINS!$C$3:$C$10518,'Carga Tributária doenças Po (2'!$C308))</f>
        <v>9.9</v>
      </c>
      <c r="AM308" s="95">
        <v>3.27</v>
      </c>
      <c r="AN308" s="95">
        <v>3.12</v>
      </c>
      <c r="AO308" s="95">
        <v>1.35</v>
      </c>
      <c r="AP308" s="96">
        <v>18</v>
      </c>
      <c r="AQ308" s="96">
        <v>12</v>
      </c>
      <c r="AR308" s="96">
        <v>17</v>
      </c>
      <c r="AS308" s="97">
        <v>17</v>
      </c>
      <c r="AT308" s="97">
        <v>19</v>
      </c>
      <c r="AU308" s="97">
        <v>18</v>
      </c>
      <c r="AV308" s="97">
        <v>17</v>
      </c>
      <c r="AW308" s="97">
        <v>17</v>
      </c>
      <c r="AX308" s="97">
        <v>17</v>
      </c>
      <c r="AY308" s="97">
        <v>17</v>
      </c>
      <c r="AZ308" s="97">
        <v>17</v>
      </c>
      <c r="BA308" s="97">
        <v>17</v>
      </c>
      <c r="BB308" s="97">
        <v>17</v>
      </c>
      <c r="BC308" s="97">
        <v>17</v>
      </c>
      <c r="BD308" s="97">
        <v>17</v>
      </c>
      <c r="BE308" s="97">
        <v>17</v>
      </c>
      <c r="BF308" s="97">
        <f>+Tabela1107[[#This Row],[PIS]]+Tabela1107[[#This Row],[COFINS]]+Tabela1107[[#This Row],[CONTRIB. FOLHA]]+Tabela1107[[#This Row],[TRIBUTOS S/ LUCRO]]+Tabela1107[[#This Row],[OUTROS]]+Tabela1107[[#This Row],[SP]]</f>
        <v>37.74</v>
      </c>
      <c r="BG308" s="97">
        <f>+Tabela1107[[#This Row],[PIS]]+Tabela1107[[#This Row],[COFINS]]+Tabela1107[[#This Row],[CONTRIB. FOLHA]]+Tabela1107[[#This Row],[TRIBUTOS S/ LUCRO]]+Tabela1107[[#This Row],[OUTROS]]+Tabela1107[[#This Row],[PR]]</f>
        <v>31.740000000000002</v>
      </c>
      <c r="BH308" s="97">
        <f>+Tabela1107[[#This Row],[PIS]]+Tabela1107[[#This Row],[COFINS]]+Tabela1107[[#This Row],[CONTRIB. FOLHA]]+Tabela1107[[#This Row],[TRIBUTOS S/ LUCRO]]+Tabela1107[[#This Row],[OUTROS]]+Tabela1107[[#This Row],[SC]]</f>
        <v>36.74</v>
      </c>
      <c r="BI308" s="97">
        <f>+Tabela1107[[#This Row],[PIS]]+Tabela1107[[#This Row],[COFINS]]+Tabela1107[[#This Row],[CONTRIB. FOLHA]]+Tabela1107[[#This Row],[TRIBUTOS S/ LUCRO]]+Tabela1107[[#This Row],[OUTROS]]+Tabela1107[[#This Row],[RS]]</f>
        <v>36.74</v>
      </c>
      <c r="BJ308" s="97">
        <f>+Tabela1107[[#This Row],[PIS]]+Tabela1107[[#This Row],[COFINS]]+Tabela1107[[#This Row],[CONTRIB. FOLHA]]+Tabela1107[[#This Row],[TRIBUTOS S/ LUCRO]]+Tabela1107[[#This Row],[OUTROS]]+Tabela1107[[#This Row],[RJ]]</f>
        <v>38.74</v>
      </c>
      <c r="BK308" s="97">
        <f>+Tabela1107[[#This Row],[PIS]]+Tabela1107[[#This Row],[COFINS]]+Tabela1107[[#This Row],[CONTRIB. FOLHA]]+Tabela1107[[#This Row],[TRIBUTOS S/ LUCRO]]+Tabela1107[[#This Row],[OUTROS]]+Tabela1107[[#This Row],[MG]]</f>
        <v>37.74</v>
      </c>
      <c r="BL308" s="97">
        <f>+Tabela1107[[#This Row],[PIS]]+Tabela1107[[#This Row],[COFINS]]+Tabela1107[[#This Row],[CONTRIB. FOLHA]]+Tabela1107[[#This Row],[TRIBUTOS S/ LUCRO]]+Tabela1107[[#This Row],[OUTROS]]+Tabela1107[[#This Row],[ES]]</f>
        <v>36.74</v>
      </c>
      <c r="BM308" s="97">
        <f>+Tabela1107[[#This Row],[PIS]]+Tabela1107[[#This Row],[COFINS]]+Tabela1107[[#This Row],[CONTRIB. FOLHA]]+Tabela1107[[#This Row],[TRIBUTOS S/ LUCRO]]+Tabela1107[[#This Row],[OUTROS]]+Tabela1107[[#This Row],[GO]]</f>
        <v>36.74</v>
      </c>
      <c r="BN308" s="97">
        <f>+Tabela1107[[#This Row],[PIS]]+Tabela1107[[#This Row],[COFINS]]+Tabela1107[[#This Row],[CONTRIB. FOLHA]]+Tabela1107[[#This Row],[TRIBUTOS S/ LUCRO]]+Tabela1107[[#This Row],[OUTROS]]+Tabela1107[[#This Row],[MT]]</f>
        <v>36.74</v>
      </c>
      <c r="BO308" s="97">
        <f>+Tabela1107[[#This Row],[PIS]]+Tabela1107[[#This Row],[COFINS]]+Tabela1107[[#This Row],[CONTRIB. FOLHA]]+Tabela1107[[#This Row],[TRIBUTOS S/ LUCRO]]+Tabela1107[[#This Row],[OUTROS]]+Tabela1107[[#This Row],[MS]]</f>
        <v>36.74</v>
      </c>
      <c r="BP308" s="97">
        <f>+Tabela1107[[#This Row],[PIS]]+Tabela1107[[#This Row],[COFINS]]+Tabela1107[[#This Row],[CONTRIB. FOLHA]]+Tabela1107[[#This Row],[TRIBUTOS S/ LUCRO]]+Tabela1107[[#This Row],[OUTROS]]+Tabela1107[[#This Row],[DF]]</f>
        <v>36.74</v>
      </c>
      <c r="BQ308" s="97">
        <f>+Tabela1107[[#This Row],[PIS]]+Tabela1107[[#This Row],[COFINS]]+Tabela1107[[#This Row],[CONTRIB. FOLHA]]+Tabela1107[[#This Row],[TRIBUTOS S/ LUCRO]]+Tabela1107[[#This Row],[OUTROS]]+Tabela1107[[#This Row],[BA]]</f>
        <v>36.74</v>
      </c>
      <c r="BR308" s="97">
        <f>+Tabela1107[[#This Row],[PIS]]+Tabela1107[[#This Row],[COFINS]]+Tabela1107[[#This Row],[CONTRIB. FOLHA]]+Tabela1107[[#This Row],[TRIBUTOS S/ LUCRO]]+Tabela1107[[#This Row],[OUTROS]]+Tabela1107[[#This Row],[BA]]</f>
        <v>36.74</v>
      </c>
      <c r="BS308" s="97">
        <f>+Tabela1107[[#This Row],[PIS]]+Tabela1107[[#This Row],[COFINS]]+Tabela1107[[#This Row],[CONTRIB. FOLHA]]+Tabela1107[[#This Row],[TRIBUTOS S/ LUCRO]]+Tabela1107[[#This Row],[OUTROS]]+Tabela1107[[#This Row],[PE]]</f>
        <v>36.74</v>
      </c>
      <c r="BT308" s="97">
        <f>+Tabela1107[[#This Row],[PIS]]+Tabela1107[[#This Row],[COFINS]]+Tabela1107[[#This Row],[CONTRIB. FOLHA]]+Tabela1107[[#This Row],[TRIBUTOS S/ LUCRO]]+Tabela1107[[#This Row],[OUTROS]]+Tabela1107[[#This Row],[PA]]</f>
        <v>36.74</v>
      </c>
      <c r="BU308" s="97">
        <f>+Tabela1107[[#This Row],[PIS]]+Tabela1107[[#This Row],[COFINS]]+Tabela1107[[#This Row],[CONTRIB. FOLHA]]+Tabela1107[[#This Row],[TRIBUTOS S/ LUCRO]]+Tabela1107[[#This Row],[OUTROS]]+Tabela1107[[#This Row],[AM]]</f>
        <v>36.74</v>
      </c>
      <c r="BV308" s="97">
        <f>AVERAGE(Tabela1107[[#This Row],[TOTAL SP]:[TOTAL AM]])</f>
        <v>36.677500000000002</v>
      </c>
      <c r="BW308" s="97"/>
      <c r="BX308" s="97"/>
    </row>
    <row r="309" spans="2:76" x14ac:dyDescent="0.25">
      <c r="B309" s="89">
        <v>22355</v>
      </c>
      <c r="C309" s="91" t="s">
        <v>13183</v>
      </c>
      <c r="D309" s="89"/>
      <c r="E309" s="89">
        <v>20140626</v>
      </c>
      <c r="F309" s="89" t="s">
        <v>21156</v>
      </c>
      <c r="G309" s="89" t="s">
        <v>21157</v>
      </c>
      <c r="H309" s="89" t="s">
        <v>21158</v>
      </c>
      <c r="I309" s="89" t="s">
        <v>21159</v>
      </c>
      <c r="J309" s="89" t="s">
        <v>395</v>
      </c>
      <c r="K309" s="99" t="s">
        <v>2568</v>
      </c>
      <c r="L309" s="89" t="s">
        <v>2640</v>
      </c>
      <c r="M309" s="89" t="s">
        <v>4496</v>
      </c>
      <c r="N309" s="89" t="s">
        <v>4496</v>
      </c>
      <c r="O309" s="89" t="s">
        <v>4496</v>
      </c>
      <c r="P309" s="89" t="s">
        <v>4496</v>
      </c>
      <c r="Q309" s="89"/>
      <c r="R309" s="89" t="s">
        <v>34</v>
      </c>
      <c r="S309" s="89" t="s">
        <v>21670</v>
      </c>
      <c r="T309" s="89" t="s">
        <v>21671</v>
      </c>
      <c r="U309" s="89" t="str">
        <f>TRIM('Carga Tributária doenças Po (2'!$L309)</f>
        <v>NIMESULIDA</v>
      </c>
      <c r="V309" s="89">
        <f>SUMIFS('Tabela Federal'!$E$4:$E$2069,'Tabela Federal'!$D$4:$D$2069,'Carga Tributária doenças Po (2'!$L309)</f>
        <v>1</v>
      </c>
      <c r="W309" s="89">
        <f>SUMIFS('Tabela Federal'!$E$4:$E$2069,'Tabela Federal'!$D$4:$D$2069,'Carga Tributária doenças Po (2'!$M309)</f>
        <v>0</v>
      </c>
      <c r="X309" s="89">
        <f>SUMIFS('Tabela Federal'!$E$4:$E$2069,'Tabela Federal'!$D$4:$D$2069,'Carga Tributária doenças Po (2'!$N309)</f>
        <v>0</v>
      </c>
      <c r="Y309" s="89">
        <f>SUMIFS('Tabela Federal'!$E$4:$E$2069,'Tabela Federal'!$D$4:$D$2069,'Carga Tributária doenças Po (2'!$O309)</f>
        <v>0</v>
      </c>
      <c r="Z309" s="92" t="str">
        <f>VLOOKUP('Carga Tributária doenças Po (2'!$AD309,'Carga Tributária doenças Po (2'!$CA$12:$CC$16,2,0)</f>
        <v>+</v>
      </c>
      <c r="AA309" s="89" t="s">
        <v>252</v>
      </c>
      <c r="AB309" s="89" t="s">
        <v>21755</v>
      </c>
      <c r="AC309" s="89" t="s">
        <v>21721</v>
      </c>
      <c r="AD309" s="93" t="s">
        <v>21722</v>
      </c>
      <c r="AE309" s="92" t="s">
        <v>2</v>
      </c>
      <c r="AF309" s="92" t="s">
        <v>3</v>
      </c>
      <c r="AG309" s="94">
        <v>4463309</v>
      </c>
      <c r="AH309" s="95">
        <v>29015157</v>
      </c>
      <c r="AI309" s="95">
        <v>66214330.390000001</v>
      </c>
      <c r="AJ309" s="89" t="s">
        <v>394</v>
      </c>
      <c r="AK309" s="89">
        <f>IF('Carga Tributária doenças Po (2'!$Z309="+",0,SUMIFS(PISCOFINS!$I$3:$I$10518,PISCOFINS!$C$3:$C$10518,'Carga Tributária doenças Po (2'!$C309))</f>
        <v>0</v>
      </c>
      <c r="AL309" s="89">
        <f>IF('Carga Tributária doenças Po (2'!$Z309="+",0,SUMIFS(PISCOFINS!$H$3:$H$10518,PISCOFINS!$C$3:$C$10518,'Carga Tributária doenças Po (2'!$C309))</f>
        <v>0</v>
      </c>
      <c r="AM309" s="95">
        <v>3.27</v>
      </c>
      <c r="AN309" s="95">
        <v>3.12</v>
      </c>
      <c r="AO309" s="95">
        <v>1.35</v>
      </c>
      <c r="AP309" s="96">
        <v>18</v>
      </c>
      <c r="AQ309" s="96">
        <v>12</v>
      </c>
      <c r="AR309" s="96">
        <v>17</v>
      </c>
      <c r="AS309" s="97">
        <v>17</v>
      </c>
      <c r="AT309" s="97">
        <v>19</v>
      </c>
      <c r="AU309" s="97">
        <v>18</v>
      </c>
      <c r="AV309" s="97">
        <v>17</v>
      </c>
      <c r="AW309" s="97">
        <v>17</v>
      </c>
      <c r="AX309" s="97">
        <v>17</v>
      </c>
      <c r="AY309" s="97">
        <v>17</v>
      </c>
      <c r="AZ309" s="97">
        <v>17</v>
      </c>
      <c r="BA309" s="97">
        <v>17</v>
      </c>
      <c r="BB309" s="97">
        <v>17</v>
      </c>
      <c r="BC309" s="97">
        <v>17</v>
      </c>
      <c r="BD309" s="97">
        <v>17</v>
      </c>
      <c r="BE309" s="97">
        <v>17</v>
      </c>
      <c r="BF309" s="97">
        <f>+Tabela1107[[#This Row],[PIS]]+Tabela1107[[#This Row],[COFINS]]+Tabela1107[[#This Row],[CONTRIB. FOLHA]]+Tabela1107[[#This Row],[TRIBUTOS S/ LUCRO]]+Tabela1107[[#This Row],[OUTROS]]+Tabela1107[[#This Row],[SP]]</f>
        <v>25.740000000000002</v>
      </c>
      <c r="BG309" s="97">
        <f>+Tabela1107[[#This Row],[PIS]]+Tabela1107[[#This Row],[COFINS]]+Tabela1107[[#This Row],[CONTRIB. FOLHA]]+Tabela1107[[#This Row],[TRIBUTOS S/ LUCRO]]+Tabela1107[[#This Row],[OUTROS]]+Tabela1107[[#This Row],[PR]]</f>
        <v>19.740000000000002</v>
      </c>
      <c r="BH309" s="97">
        <f>+Tabela1107[[#This Row],[PIS]]+Tabela1107[[#This Row],[COFINS]]+Tabela1107[[#This Row],[CONTRIB. FOLHA]]+Tabela1107[[#This Row],[TRIBUTOS S/ LUCRO]]+Tabela1107[[#This Row],[OUTROS]]+Tabela1107[[#This Row],[SC]]</f>
        <v>24.740000000000002</v>
      </c>
      <c r="BI309" s="97">
        <f>+Tabela1107[[#This Row],[PIS]]+Tabela1107[[#This Row],[COFINS]]+Tabela1107[[#This Row],[CONTRIB. FOLHA]]+Tabela1107[[#This Row],[TRIBUTOS S/ LUCRO]]+Tabela1107[[#This Row],[OUTROS]]+Tabela1107[[#This Row],[RS]]</f>
        <v>24.740000000000002</v>
      </c>
      <c r="BJ309" s="97">
        <f>+Tabela1107[[#This Row],[PIS]]+Tabela1107[[#This Row],[COFINS]]+Tabela1107[[#This Row],[CONTRIB. FOLHA]]+Tabela1107[[#This Row],[TRIBUTOS S/ LUCRO]]+Tabela1107[[#This Row],[OUTROS]]+Tabela1107[[#This Row],[RJ]]</f>
        <v>26.740000000000002</v>
      </c>
      <c r="BK309" s="97">
        <f>+Tabela1107[[#This Row],[PIS]]+Tabela1107[[#This Row],[COFINS]]+Tabela1107[[#This Row],[CONTRIB. FOLHA]]+Tabela1107[[#This Row],[TRIBUTOS S/ LUCRO]]+Tabela1107[[#This Row],[OUTROS]]+Tabela1107[[#This Row],[MG]]</f>
        <v>25.740000000000002</v>
      </c>
      <c r="BL309" s="97">
        <f>+Tabela1107[[#This Row],[PIS]]+Tabela1107[[#This Row],[COFINS]]+Tabela1107[[#This Row],[CONTRIB. FOLHA]]+Tabela1107[[#This Row],[TRIBUTOS S/ LUCRO]]+Tabela1107[[#This Row],[OUTROS]]+Tabela1107[[#This Row],[ES]]</f>
        <v>24.740000000000002</v>
      </c>
      <c r="BM309" s="97">
        <f>+Tabela1107[[#This Row],[PIS]]+Tabela1107[[#This Row],[COFINS]]+Tabela1107[[#This Row],[CONTRIB. FOLHA]]+Tabela1107[[#This Row],[TRIBUTOS S/ LUCRO]]+Tabela1107[[#This Row],[OUTROS]]+Tabela1107[[#This Row],[GO]]</f>
        <v>24.740000000000002</v>
      </c>
      <c r="BN309" s="97">
        <f>+Tabela1107[[#This Row],[PIS]]+Tabela1107[[#This Row],[COFINS]]+Tabela1107[[#This Row],[CONTRIB. FOLHA]]+Tabela1107[[#This Row],[TRIBUTOS S/ LUCRO]]+Tabela1107[[#This Row],[OUTROS]]+Tabela1107[[#This Row],[MT]]</f>
        <v>24.740000000000002</v>
      </c>
      <c r="BO309" s="97">
        <f>+Tabela1107[[#This Row],[PIS]]+Tabela1107[[#This Row],[COFINS]]+Tabela1107[[#This Row],[CONTRIB. FOLHA]]+Tabela1107[[#This Row],[TRIBUTOS S/ LUCRO]]+Tabela1107[[#This Row],[OUTROS]]+Tabela1107[[#This Row],[MS]]</f>
        <v>24.740000000000002</v>
      </c>
      <c r="BP309" s="97">
        <f>+Tabela1107[[#This Row],[PIS]]+Tabela1107[[#This Row],[COFINS]]+Tabela1107[[#This Row],[CONTRIB. FOLHA]]+Tabela1107[[#This Row],[TRIBUTOS S/ LUCRO]]+Tabela1107[[#This Row],[OUTROS]]+Tabela1107[[#This Row],[DF]]</f>
        <v>24.740000000000002</v>
      </c>
      <c r="BQ309" s="97">
        <f>+Tabela1107[[#This Row],[PIS]]+Tabela1107[[#This Row],[COFINS]]+Tabela1107[[#This Row],[CONTRIB. FOLHA]]+Tabela1107[[#This Row],[TRIBUTOS S/ LUCRO]]+Tabela1107[[#This Row],[OUTROS]]+Tabela1107[[#This Row],[BA]]</f>
        <v>24.740000000000002</v>
      </c>
      <c r="BR309" s="97">
        <f>+Tabela1107[[#This Row],[PIS]]+Tabela1107[[#This Row],[COFINS]]+Tabela1107[[#This Row],[CONTRIB. FOLHA]]+Tabela1107[[#This Row],[TRIBUTOS S/ LUCRO]]+Tabela1107[[#This Row],[OUTROS]]+Tabela1107[[#This Row],[BA]]</f>
        <v>24.740000000000002</v>
      </c>
      <c r="BS309" s="97">
        <f>+Tabela1107[[#This Row],[PIS]]+Tabela1107[[#This Row],[COFINS]]+Tabela1107[[#This Row],[CONTRIB. FOLHA]]+Tabela1107[[#This Row],[TRIBUTOS S/ LUCRO]]+Tabela1107[[#This Row],[OUTROS]]+Tabela1107[[#This Row],[PE]]</f>
        <v>24.740000000000002</v>
      </c>
      <c r="BT309" s="97">
        <f>+Tabela1107[[#This Row],[PIS]]+Tabela1107[[#This Row],[COFINS]]+Tabela1107[[#This Row],[CONTRIB. FOLHA]]+Tabela1107[[#This Row],[TRIBUTOS S/ LUCRO]]+Tabela1107[[#This Row],[OUTROS]]+Tabela1107[[#This Row],[PA]]</f>
        <v>24.740000000000002</v>
      </c>
      <c r="BU309" s="97">
        <f>+Tabela1107[[#This Row],[PIS]]+Tabela1107[[#This Row],[COFINS]]+Tabela1107[[#This Row],[CONTRIB. FOLHA]]+Tabela1107[[#This Row],[TRIBUTOS S/ LUCRO]]+Tabela1107[[#This Row],[OUTROS]]+Tabela1107[[#This Row],[AM]]</f>
        <v>24.740000000000002</v>
      </c>
      <c r="BV309" s="97">
        <f>AVERAGE(Tabela1107[[#This Row],[TOTAL SP]:[TOTAL AM]])</f>
        <v>24.677500000000006</v>
      </c>
      <c r="BW309" s="97"/>
      <c r="BX309" s="97"/>
    </row>
    <row r="310" spans="2:76" x14ac:dyDescent="0.25">
      <c r="B310" s="89">
        <v>1033</v>
      </c>
      <c r="C310" s="91" t="s">
        <v>13183</v>
      </c>
      <c r="D310" s="89"/>
      <c r="E310" s="89">
        <v>20140626</v>
      </c>
      <c r="F310" s="89" t="s">
        <v>21160</v>
      </c>
      <c r="G310" s="89" t="s">
        <v>21161</v>
      </c>
      <c r="H310" s="89" t="s">
        <v>21162</v>
      </c>
      <c r="I310" s="89" t="s">
        <v>21163</v>
      </c>
      <c r="J310" s="89" t="s">
        <v>457</v>
      </c>
      <c r="K310" s="99" t="s">
        <v>2513</v>
      </c>
      <c r="L310" s="89" t="s">
        <v>2694</v>
      </c>
      <c r="M310" s="89" t="s">
        <v>4496</v>
      </c>
      <c r="N310" s="89" t="s">
        <v>4496</v>
      </c>
      <c r="O310" s="89" t="s">
        <v>4496</v>
      </c>
      <c r="P310" s="89" t="s">
        <v>4496</v>
      </c>
      <c r="Q310" s="89"/>
      <c r="R310" s="89" t="s">
        <v>34</v>
      </c>
      <c r="S310" s="89" t="s">
        <v>21670</v>
      </c>
      <c r="T310" s="89" t="s">
        <v>21671</v>
      </c>
      <c r="U310" s="89" t="str">
        <f>TRIM('Carga Tributária doenças Po (2'!$L310)</f>
        <v>DICLOFENACO DE SODIO</v>
      </c>
      <c r="V310" s="89">
        <f>SUMIFS('Tabela Federal'!$E$4:$E$2069,'Tabela Federal'!$D$4:$D$2069,'Carga Tributária doenças Po (2'!$L310)</f>
        <v>0</v>
      </c>
      <c r="W310" s="89">
        <f>SUMIFS('Tabela Federal'!$E$4:$E$2069,'Tabela Federal'!$D$4:$D$2069,'Carga Tributária doenças Po (2'!$M310)</f>
        <v>0</v>
      </c>
      <c r="X310" s="89">
        <f>SUMIFS('Tabela Federal'!$E$4:$E$2069,'Tabela Federal'!$D$4:$D$2069,'Carga Tributária doenças Po (2'!$N310)</f>
        <v>0</v>
      </c>
      <c r="Y310" s="89">
        <f>SUMIFS('Tabela Federal'!$E$4:$E$2069,'Tabela Federal'!$D$4:$D$2069,'Carga Tributária doenças Po (2'!$O310)</f>
        <v>0</v>
      </c>
      <c r="Z310" s="92" t="str">
        <f>VLOOKUP('Carga Tributária doenças Po (2'!$AD310,'Carga Tributária doenças Po (2'!$CA$12:$CC$16,2,0)</f>
        <v>+</v>
      </c>
      <c r="AA310" s="89" t="s">
        <v>252</v>
      </c>
      <c r="AB310" s="89" t="s">
        <v>21767</v>
      </c>
      <c r="AC310" s="89" t="s">
        <v>21721</v>
      </c>
      <c r="AD310" s="93" t="s">
        <v>21722</v>
      </c>
      <c r="AE310" s="92" t="s">
        <v>4</v>
      </c>
      <c r="AF310" s="92" t="s">
        <v>3</v>
      </c>
      <c r="AG310" s="94">
        <v>3934746</v>
      </c>
      <c r="AH310" s="95">
        <v>12063043</v>
      </c>
      <c r="AI310" s="95">
        <v>27510864.359999999</v>
      </c>
      <c r="AJ310" s="89" t="s">
        <v>460</v>
      </c>
      <c r="AK310" s="89">
        <f>IF('Carga Tributária doenças Po (2'!$Z310="+",0,SUMIFS(PISCOFINS!$I$3:$I$10518,PISCOFINS!$C$3:$C$10518,'Carga Tributária doenças Po (2'!$C310))</f>
        <v>0</v>
      </c>
      <c r="AL310" s="89">
        <f>IF('Carga Tributária doenças Po (2'!$Z310="+",0,SUMIFS(PISCOFINS!$H$3:$H$10518,PISCOFINS!$C$3:$C$10518,'Carga Tributária doenças Po (2'!$C310))</f>
        <v>0</v>
      </c>
      <c r="AM310" s="95">
        <v>3.27</v>
      </c>
      <c r="AN310" s="95">
        <v>3.12</v>
      </c>
      <c r="AO310" s="95">
        <v>1.35</v>
      </c>
      <c r="AP310" s="96">
        <v>18</v>
      </c>
      <c r="AQ310" s="96">
        <v>12</v>
      </c>
      <c r="AR310" s="96">
        <v>17</v>
      </c>
      <c r="AS310" s="97">
        <v>17</v>
      </c>
      <c r="AT310" s="97">
        <v>19</v>
      </c>
      <c r="AU310" s="97">
        <v>18</v>
      </c>
      <c r="AV310" s="97">
        <v>17</v>
      </c>
      <c r="AW310" s="97">
        <v>17</v>
      </c>
      <c r="AX310" s="97">
        <v>17</v>
      </c>
      <c r="AY310" s="97">
        <v>17</v>
      </c>
      <c r="AZ310" s="97">
        <v>17</v>
      </c>
      <c r="BA310" s="97">
        <v>17</v>
      </c>
      <c r="BB310" s="97">
        <v>17</v>
      </c>
      <c r="BC310" s="97">
        <v>17</v>
      </c>
      <c r="BD310" s="97">
        <v>17</v>
      </c>
      <c r="BE310" s="97">
        <v>17</v>
      </c>
      <c r="BF310" s="97">
        <f>+Tabela1107[[#This Row],[PIS]]+Tabela1107[[#This Row],[COFINS]]+Tabela1107[[#This Row],[CONTRIB. FOLHA]]+Tabela1107[[#This Row],[TRIBUTOS S/ LUCRO]]+Tabela1107[[#This Row],[OUTROS]]+Tabela1107[[#This Row],[SP]]</f>
        <v>25.740000000000002</v>
      </c>
      <c r="BG310" s="97">
        <f>+Tabela1107[[#This Row],[PIS]]+Tabela1107[[#This Row],[COFINS]]+Tabela1107[[#This Row],[CONTRIB. FOLHA]]+Tabela1107[[#This Row],[TRIBUTOS S/ LUCRO]]+Tabela1107[[#This Row],[OUTROS]]+Tabela1107[[#This Row],[PR]]</f>
        <v>19.740000000000002</v>
      </c>
      <c r="BH310" s="97">
        <f>+Tabela1107[[#This Row],[PIS]]+Tabela1107[[#This Row],[COFINS]]+Tabela1107[[#This Row],[CONTRIB. FOLHA]]+Tabela1107[[#This Row],[TRIBUTOS S/ LUCRO]]+Tabela1107[[#This Row],[OUTROS]]+Tabela1107[[#This Row],[SC]]</f>
        <v>24.740000000000002</v>
      </c>
      <c r="BI310" s="97">
        <f>+Tabela1107[[#This Row],[PIS]]+Tabela1107[[#This Row],[COFINS]]+Tabela1107[[#This Row],[CONTRIB. FOLHA]]+Tabela1107[[#This Row],[TRIBUTOS S/ LUCRO]]+Tabela1107[[#This Row],[OUTROS]]+Tabela1107[[#This Row],[RS]]</f>
        <v>24.740000000000002</v>
      </c>
      <c r="BJ310" s="97">
        <f>+Tabela1107[[#This Row],[PIS]]+Tabela1107[[#This Row],[COFINS]]+Tabela1107[[#This Row],[CONTRIB. FOLHA]]+Tabela1107[[#This Row],[TRIBUTOS S/ LUCRO]]+Tabela1107[[#This Row],[OUTROS]]+Tabela1107[[#This Row],[RJ]]</f>
        <v>26.740000000000002</v>
      </c>
      <c r="BK310" s="97">
        <f>+Tabela1107[[#This Row],[PIS]]+Tabela1107[[#This Row],[COFINS]]+Tabela1107[[#This Row],[CONTRIB. FOLHA]]+Tabela1107[[#This Row],[TRIBUTOS S/ LUCRO]]+Tabela1107[[#This Row],[OUTROS]]+Tabela1107[[#This Row],[MG]]</f>
        <v>25.740000000000002</v>
      </c>
      <c r="BL310" s="97">
        <f>+Tabela1107[[#This Row],[PIS]]+Tabela1107[[#This Row],[COFINS]]+Tabela1107[[#This Row],[CONTRIB. FOLHA]]+Tabela1107[[#This Row],[TRIBUTOS S/ LUCRO]]+Tabela1107[[#This Row],[OUTROS]]+Tabela1107[[#This Row],[ES]]</f>
        <v>24.740000000000002</v>
      </c>
      <c r="BM310" s="97">
        <f>+Tabela1107[[#This Row],[PIS]]+Tabela1107[[#This Row],[COFINS]]+Tabela1107[[#This Row],[CONTRIB. FOLHA]]+Tabela1107[[#This Row],[TRIBUTOS S/ LUCRO]]+Tabela1107[[#This Row],[OUTROS]]+Tabela1107[[#This Row],[GO]]</f>
        <v>24.740000000000002</v>
      </c>
      <c r="BN310" s="97">
        <f>+Tabela1107[[#This Row],[PIS]]+Tabela1107[[#This Row],[COFINS]]+Tabela1107[[#This Row],[CONTRIB. FOLHA]]+Tabela1107[[#This Row],[TRIBUTOS S/ LUCRO]]+Tabela1107[[#This Row],[OUTROS]]+Tabela1107[[#This Row],[MT]]</f>
        <v>24.740000000000002</v>
      </c>
      <c r="BO310" s="97">
        <f>+Tabela1107[[#This Row],[PIS]]+Tabela1107[[#This Row],[COFINS]]+Tabela1107[[#This Row],[CONTRIB. FOLHA]]+Tabela1107[[#This Row],[TRIBUTOS S/ LUCRO]]+Tabela1107[[#This Row],[OUTROS]]+Tabela1107[[#This Row],[MS]]</f>
        <v>24.740000000000002</v>
      </c>
      <c r="BP310" s="97">
        <f>+Tabela1107[[#This Row],[PIS]]+Tabela1107[[#This Row],[COFINS]]+Tabela1107[[#This Row],[CONTRIB. FOLHA]]+Tabela1107[[#This Row],[TRIBUTOS S/ LUCRO]]+Tabela1107[[#This Row],[OUTROS]]+Tabela1107[[#This Row],[DF]]</f>
        <v>24.740000000000002</v>
      </c>
      <c r="BQ310" s="97">
        <f>+Tabela1107[[#This Row],[PIS]]+Tabela1107[[#This Row],[COFINS]]+Tabela1107[[#This Row],[CONTRIB. FOLHA]]+Tabela1107[[#This Row],[TRIBUTOS S/ LUCRO]]+Tabela1107[[#This Row],[OUTROS]]+Tabela1107[[#This Row],[BA]]</f>
        <v>24.740000000000002</v>
      </c>
      <c r="BR310" s="97">
        <f>+Tabela1107[[#This Row],[PIS]]+Tabela1107[[#This Row],[COFINS]]+Tabela1107[[#This Row],[CONTRIB. FOLHA]]+Tabela1107[[#This Row],[TRIBUTOS S/ LUCRO]]+Tabela1107[[#This Row],[OUTROS]]+Tabela1107[[#This Row],[BA]]</f>
        <v>24.740000000000002</v>
      </c>
      <c r="BS310" s="97">
        <f>+Tabela1107[[#This Row],[PIS]]+Tabela1107[[#This Row],[COFINS]]+Tabela1107[[#This Row],[CONTRIB. FOLHA]]+Tabela1107[[#This Row],[TRIBUTOS S/ LUCRO]]+Tabela1107[[#This Row],[OUTROS]]+Tabela1107[[#This Row],[PE]]</f>
        <v>24.740000000000002</v>
      </c>
      <c r="BT310" s="97">
        <f>+Tabela1107[[#This Row],[PIS]]+Tabela1107[[#This Row],[COFINS]]+Tabela1107[[#This Row],[CONTRIB. FOLHA]]+Tabela1107[[#This Row],[TRIBUTOS S/ LUCRO]]+Tabela1107[[#This Row],[OUTROS]]+Tabela1107[[#This Row],[PA]]</f>
        <v>24.740000000000002</v>
      </c>
      <c r="BU310" s="97">
        <f>+Tabela1107[[#This Row],[PIS]]+Tabela1107[[#This Row],[COFINS]]+Tabela1107[[#This Row],[CONTRIB. FOLHA]]+Tabela1107[[#This Row],[TRIBUTOS S/ LUCRO]]+Tabela1107[[#This Row],[OUTROS]]+Tabela1107[[#This Row],[AM]]</f>
        <v>24.740000000000002</v>
      </c>
      <c r="BV310" s="97">
        <f>AVERAGE(Tabela1107[[#This Row],[TOTAL SP]:[TOTAL AM]])</f>
        <v>24.677500000000006</v>
      </c>
      <c r="BW310" s="97"/>
      <c r="BX310" s="97"/>
    </row>
    <row r="311" spans="2:76" x14ac:dyDescent="0.25">
      <c r="B311" s="89">
        <v>6062</v>
      </c>
      <c r="C311" s="91" t="s">
        <v>13214</v>
      </c>
      <c r="D311" s="89"/>
      <c r="E311" s="89">
        <v>20140626</v>
      </c>
      <c r="F311" s="89" t="s">
        <v>20483</v>
      </c>
      <c r="G311" s="89" t="s">
        <v>20484</v>
      </c>
      <c r="H311" s="89" t="s">
        <v>20485</v>
      </c>
      <c r="I311" s="89" t="s">
        <v>20486</v>
      </c>
      <c r="J311" s="89" t="s">
        <v>401</v>
      </c>
      <c r="K311" s="89" t="s">
        <v>2478</v>
      </c>
      <c r="L311" s="89" t="s">
        <v>2638</v>
      </c>
      <c r="M311" s="89" t="s">
        <v>4496</v>
      </c>
      <c r="N311" s="89" t="s">
        <v>4496</v>
      </c>
      <c r="O311" s="89" t="s">
        <v>4496</v>
      </c>
      <c r="P311" s="89" t="s">
        <v>4496</v>
      </c>
      <c r="Q311" s="89"/>
      <c r="R311" s="89" t="s">
        <v>400</v>
      </c>
      <c r="S311" s="89" t="s">
        <v>21590</v>
      </c>
      <c r="T311" s="89" t="s">
        <v>21591</v>
      </c>
      <c r="U311" s="89" t="str">
        <f>TRIM('Carga Tributária doenças Po (2'!$L311)</f>
        <v>LEVONORGESTREL</v>
      </c>
      <c r="V311" s="89">
        <f>SUMIFS('Tabela Federal'!$E$4:$E$2069,'Tabela Federal'!$D$4:$D$2069,'Carga Tributária doenças Po (2'!$L311)</f>
        <v>5</v>
      </c>
      <c r="W311" s="89">
        <f>SUMIFS('Tabela Federal'!$E$4:$E$2069,'Tabela Federal'!$D$4:$D$2069,'Carga Tributária doenças Po (2'!$M311)</f>
        <v>0</v>
      </c>
      <c r="X311" s="89">
        <f>SUMIFS('Tabela Federal'!$E$4:$E$2069,'Tabela Federal'!$D$4:$D$2069,'Carga Tributária doenças Po (2'!$N311)</f>
        <v>0</v>
      </c>
      <c r="Y311" s="89">
        <f>SUMIFS('Tabela Federal'!$E$4:$E$2069,'Tabela Federal'!$D$4:$D$2069,'Carga Tributária doenças Po (2'!$O311)</f>
        <v>0</v>
      </c>
      <c r="Z311" s="92" t="str">
        <f>VLOOKUP('Carga Tributária doenças Po (2'!$AD311,'Carga Tributária doenças Po (2'!$CA$12:$CC$16,2,0)</f>
        <v>+</v>
      </c>
      <c r="AA311" s="89" t="s">
        <v>402</v>
      </c>
      <c r="AB311" s="89" t="s">
        <v>21742</v>
      </c>
      <c r="AC311" s="89" t="s">
        <v>21721</v>
      </c>
      <c r="AD311" s="93" t="s">
        <v>19445</v>
      </c>
      <c r="AE311" s="92" t="s">
        <v>4</v>
      </c>
      <c r="AF311" s="92" t="s">
        <v>23</v>
      </c>
      <c r="AG311" s="94">
        <v>5986777</v>
      </c>
      <c r="AH311" s="95">
        <v>10422512</v>
      </c>
      <c r="AI311" s="95">
        <v>23804328.510000002</v>
      </c>
      <c r="AJ311" s="89" t="s">
        <v>413</v>
      </c>
      <c r="AK311" s="89">
        <f>IF('Carga Tributária doenças Po (2'!$Z311="+",0,SUMIFS(PISCOFINS!$I$3:$I$10518,PISCOFINS!$C$3:$C$10518,'Carga Tributária doenças Po (2'!$C311))</f>
        <v>0</v>
      </c>
      <c r="AL311" s="89">
        <f>IF('Carga Tributária doenças Po (2'!$Z311="+",0,SUMIFS(PISCOFINS!$H$3:$H$10518,PISCOFINS!$C$3:$C$10518,'Carga Tributária doenças Po (2'!$C311))</f>
        <v>0</v>
      </c>
      <c r="AM311" s="95">
        <v>3.27</v>
      </c>
      <c r="AN311" s="95">
        <v>3.12</v>
      </c>
      <c r="AO311" s="95">
        <v>1.35</v>
      </c>
      <c r="AP311" s="96">
        <v>18</v>
      </c>
      <c r="AQ311" s="96">
        <v>12</v>
      </c>
      <c r="AR311" s="96">
        <v>17</v>
      </c>
      <c r="AS311" s="97">
        <v>17</v>
      </c>
      <c r="AT311" s="97">
        <v>19</v>
      </c>
      <c r="AU311" s="97">
        <v>18</v>
      </c>
      <c r="AV311" s="97">
        <v>17</v>
      </c>
      <c r="AW311" s="97">
        <v>17</v>
      </c>
      <c r="AX311" s="97">
        <v>17</v>
      </c>
      <c r="AY311" s="97">
        <v>17</v>
      </c>
      <c r="AZ311" s="97">
        <v>17</v>
      </c>
      <c r="BA311" s="97">
        <v>17</v>
      </c>
      <c r="BB311" s="97">
        <v>17</v>
      </c>
      <c r="BC311" s="97">
        <v>17</v>
      </c>
      <c r="BD311" s="97">
        <v>17</v>
      </c>
      <c r="BE311" s="97">
        <v>17</v>
      </c>
      <c r="BF311" s="97">
        <f>+Tabela1107[[#This Row],[PIS]]+Tabela1107[[#This Row],[COFINS]]+Tabela1107[[#This Row],[CONTRIB. FOLHA]]+Tabela1107[[#This Row],[TRIBUTOS S/ LUCRO]]+Tabela1107[[#This Row],[OUTROS]]+Tabela1107[[#This Row],[SP]]</f>
        <v>25.740000000000002</v>
      </c>
      <c r="BG311" s="97">
        <f>+Tabela1107[[#This Row],[PIS]]+Tabela1107[[#This Row],[COFINS]]+Tabela1107[[#This Row],[CONTRIB. FOLHA]]+Tabela1107[[#This Row],[TRIBUTOS S/ LUCRO]]+Tabela1107[[#This Row],[OUTROS]]+Tabela1107[[#This Row],[PR]]</f>
        <v>19.740000000000002</v>
      </c>
      <c r="BH311" s="97">
        <f>+Tabela1107[[#This Row],[PIS]]+Tabela1107[[#This Row],[COFINS]]+Tabela1107[[#This Row],[CONTRIB. FOLHA]]+Tabela1107[[#This Row],[TRIBUTOS S/ LUCRO]]+Tabela1107[[#This Row],[OUTROS]]+Tabela1107[[#This Row],[SC]]</f>
        <v>24.740000000000002</v>
      </c>
      <c r="BI311" s="97">
        <f>+Tabela1107[[#This Row],[PIS]]+Tabela1107[[#This Row],[COFINS]]+Tabela1107[[#This Row],[CONTRIB. FOLHA]]+Tabela1107[[#This Row],[TRIBUTOS S/ LUCRO]]+Tabela1107[[#This Row],[OUTROS]]+Tabela1107[[#This Row],[RS]]</f>
        <v>24.740000000000002</v>
      </c>
      <c r="BJ311" s="97">
        <f>+Tabela1107[[#This Row],[PIS]]+Tabela1107[[#This Row],[COFINS]]+Tabela1107[[#This Row],[CONTRIB. FOLHA]]+Tabela1107[[#This Row],[TRIBUTOS S/ LUCRO]]+Tabela1107[[#This Row],[OUTROS]]+Tabela1107[[#This Row],[RJ]]</f>
        <v>26.740000000000002</v>
      </c>
      <c r="BK311" s="97">
        <f>+Tabela1107[[#This Row],[PIS]]+Tabela1107[[#This Row],[COFINS]]+Tabela1107[[#This Row],[CONTRIB. FOLHA]]+Tabela1107[[#This Row],[TRIBUTOS S/ LUCRO]]+Tabela1107[[#This Row],[OUTROS]]+Tabela1107[[#This Row],[MG]]</f>
        <v>25.740000000000002</v>
      </c>
      <c r="BL311" s="97">
        <f>+Tabela1107[[#This Row],[PIS]]+Tabela1107[[#This Row],[COFINS]]+Tabela1107[[#This Row],[CONTRIB. FOLHA]]+Tabela1107[[#This Row],[TRIBUTOS S/ LUCRO]]+Tabela1107[[#This Row],[OUTROS]]+Tabela1107[[#This Row],[ES]]</f>
        <v>24.740000000000002</v>
      </c>
      <c r="BM311" s="97">
        <f>+Tabela1107[[#This Row],[PIS]]+Tabela1107[[#This Row],[COFINS]]+Tabela1107[[#This Row],[CONTRIB. FOLHA]]+Tabela1107[[#This Row],[TRIBUTOS S/ LUCRO]]+Tabela1107[[#This Row],[OUTROS]]+Tabela1107[[#This Row],[GO]]</f>
        <v>24.740000000000002</v>
      </c>
      <c r="BN311" s="97">
        <f>+Tabela1107[[#This Row],[PIS]]+Tabela1107[[#This Row],[COFINS]]+Tabela1107[[#This Row],[CONTRIB. FOLHA]]+Tabela1107[[#This Row],[TRIBUTOS S/ LUCRO]]+Tabela1107[[#This Row],[OUTROS]]+Tabela1107[[#This Row],[MT]]</f>
        <v>24.740000000000002</v>
      </c>
      <c r="BO311" s="97">
        <f>+Tabela1107[[#This Row],[PIS]]+Tabela1107[[#This Row],[COFINS]]+Tabela1107[[#This Row],[CONTRIB. FOLHA]]+Tabela1107[[#This Row],[TRIBUTOS S/ LUCRO]]+Tabela1107[[#This Row],[OUTROS]]+Tabela1107[[#This Row],[MS]]</f>
        <v>24.740000000000002</v>
      </c>
      <c r="BP311" s="97">
        <f>+Tabela1107[[#This Row],[PIS]]+Tabela1107[[#This Row],[COFINS]]+Tabela1107[[#This Row],[CONTRIB. FOLHA]]+Tabela1107[[#This Row],[TRIBUTOS S/ LUCRO]]+Tabela1107[[#This Row],[OUTROS]]+Tabela1107[[#This Row],[DF]]</f>
        <v>24.740000000000002</v>
      </c>
      <c r="BQ311" s="97">
        <f>+Tabela1107[[#This Row],[PIS]]+Tabela1107[[#This Row],[COFINS]]+Tabela1107[[#This Row],[CONTRIB. FOLHA]]+Tabela1107[[#This Row],[TRIBUTOS S/ LUCRO]]+Tabela1107[[#This Row],[OUTROS]]+Tabela1107[[#This Row],[BA]]</f>
        <v>24.740000000000002</v>
      </c>
      <c r="BR311" s="97">
        <f>+Tabela1107[[#This Row],[PIS]]+Tabela1107[[#This Row],[COFINS]]+Tabela1107[[#This Row],[CONTRIB. FOLHA]]+Tabela1107[[#This Row],[TRIBUTOS S/ LUCRO]]+Tabela1107[[#This Row],[OUTROS]]+Tabela1107[[#This Row],[BA]]</f>
        <v>24.740000000000002</v>
      </c>
      <c r="BS311" s="97">
        <f>+Tabela1107[[#This Row],[PIS]]+Tabela1107[[#This Row],[COFINS]]+Tabela1107[[#This Row],[CONTRIB. FOLHA]]+Tabela1107[[#This Row],[TRIBUTOS S/ LUCRO]]+Tabela1107[[#This Row],[OUTROS]]+Tabela1107[[#This Row],[PE]]</f>
        <v>24.740000000000002</v>
      </c>
      <c r="BT311" s="97">
        <f>+Tabela1107[[#This Row],[PIS]]+Tabela1107[[#This Row],[COFINS]]+Tabela1107[[#This Row],[CONTRIB. FOLHA]]+Tabela1107[[#This Row],[TRIBUTOS S/ LUCRO]]+Tabela1107[[#This Row],[OUTROS]]+Tabela1107[[#This Row],[PA]]</f>
        <v>24.740000000000002</v>
      </c>
      <c r="BU311" s="97">
        <f>+Tabela1107[[#This Row],[PIS]]+Tabela1107[[#This Row],[COFINS]]+Tabela1107[[#This Row],[CONTRIB. FOLHA]]+Tabela1107[[#This Row],[TRIBUTOS S/ LUCRO]]+Tabela1107[[#This Row],[OUTROS]]+Tabela1107[[#This Row],[AM]]</f>
        <v>24.740000000000002</v>
      </c>
      <c r="BV311" s="97">
        <f>AVERAGE(Tabela1107[[#This Row],[TOTAL SP]:[TOTAL AM]])</f>
        <v>24.677500000000006</v>
      </c>
      <c r="BW311" s="97"/>
      <c r="BX311" s="97"/>
    </row>
    <row r="312" spans="2:76" x14ac:dyDescent="0.25">
      <c r="B312" s="89">
        <v>6401</v>
      </c>
      <c r="C312" s="91" t="s">
        <v>13183</v>
      </c>
      <c r="D312" s="89"/>
      <c r="E312" s="89">
        <v>20140626</v>
      </c>
      <c r="F312" s="89" t="s">
        <v>20685</v>
      </c>
      <c r="G312" s="89" t="s">
        <v>20686</v>
      </c>
      <c r="H312" s="89" t="s">
        <v>20687</v>
      </c>
      <c r="I312" s="89" t="s">
        <v>20684</v>
      </c>
      <c r="J312" s="89" t="s">
        <v>187</v>
      </c>
      <c r="K312" s="99" t="s">
        <v>2726</v>
      </c>
      <c r="L312" s="89" t="s">
        <v>2800</v>
      </c>
      <c r="M312" s="89" t="s">
        <v>4496</v>
      </c>
      <c r="N312" s="89" t="s">
        <v>4496</v>
      </c>
      <c r="O312" s="89" t="s">
        <v>4496</v>
      </c>
      <c r="P312" s="89" t="s">
        <v>4496</v>
      </c>
      <c r="Q312" s="89"/>
      <c r="R312" s="89" t="s">
        <v>29</v>
      </c>
      <c r="S312" s="89" t="s">
        <v>21618</v>
      </c>
      <c r="T312" s="89" t="s">
        <v>21619</v>
      </c>
      <c r="U312" s="89" t="str">
        <f>TRIM('Carga Tributária doenças Po (2'!$L312)</f>
        <v>GLICINATO FERRICO</v>
      </c>
      <c r="V312" s="89">
        <f>SUMIFS('Tabela Federal'!$E$4:$E$2069,'Tabela Federal'!$D$4:$D$2069,'Carga Tributária doenças Po (2'!$L312)</f>
        <v>0</v>
      </c>
      <c r="W312" s="89">
        <f>SUMIFS('Tabela Federal'!$E$4:$E$2069,'Tabela Federal'!$D$4:$D$2069,'Carga Tributária doenças Po (2'!$M312)</f>
        <v>0</v>
      </c>
      <c r="X312" s="89">
        <f>SUMIFS('Tabela Federal'!$E$4:$E$2069,'Tabela Federal'!$D$4:$D$2069,'Carga Tributária doenças Po (2'!$N312)</f>
        <v>0</v>
      </c>
      <c r="Y312" s="89">
        <f>SUMIFS('Tabela Federal'!$E$4:$E$2069,'Tabela Federal'!$D$4:$D$2069,'Carga Tributária doenças Po (2'!$O312)</f>
        <v>0</v>
      </c>
      <c r="Z312" s="92" t="str">
        <f>VLOOKUP('Carga Tributária doenças Po (2'!$AD312,'Carga Tributária doenças Po (2'!$CA$12:$CC$16,2,0)</f>
        <v>-</v>
      </c>
      <c r="AA312" s="89" t="s">
        <v>184</v>
      </c>
      <c r="AB312" s="89" t="s">
        <v>21736</v>
      </c>
      <c r="AC312" s="89" t="s">
        <v>21721</v>
      </c>
      <c r="AD312" s="93" t="s">
        <v>19523</v>
      </c>
      <c r="AE312" s="92" t="s">
        <v>4</v>
      </c>
      <c r="AF312" s="92" t="s">
        <v>3</v>
      </c>
      <c r="AG312" s="94">
        <v>581454</v>
      </c>
      <c r="AH312" s="95">
        <v>7069918</v>
      </c>
      <c r="AI312" s="95">
        <v>16146326.74</v>
      </c>
      <c r="AJ312" s="89" t="s">
        <v>174</v>
      </c>
      <c r="AK312" s="89">
        <f>IF('Carga Tributária doenças Po (2'!$Z312="+",0,SUMIFS(PISCOFINS!$I$3:$I$10518,PISCOFINS!$C$3:$C$10518,'Carga Tributária doenças Po (2'!$C312))</f>
        <v>2.1</v>
      </c>
      <c r="AL312" s="89">
        <f>IF('Carga Tributária doenças Po (2'!$Z312="+",0,SUMIFS(PISCOFINS!$H$3:$H$10518,PISCOFINS!$C$3:$C$10518,'Carga Tributária doenças Po (2'!$C312))</f>
        <v>9.9</v>
      </c>
      <c r="AM312" s="95">
        <v>3.27</v>
      </c>
      <c r="AN312" s="95">
        <v>3.12</v>
      </c>
      <c r="AO312" s="95">
        <v>1.35</v>
      </c>
      <c r="AP312" s="96">
        <v>18</v>
      </c>
      <c r="AQ312" s="96">
        <v>12</v>
      </c>
      <c r="AR312" s="96">
        <v>17</v>
      </c>
      <c r="AS312" s="97">
        <v>17</v>
      </c>
      <c r="AT312" s="97">
        <v>19</v>
      </c>
      <c r="AU312" s="97">
        <v>18</v>
      </c>
      <c r="AV312" s="97">
        <v>17</v>
      </c>
      <c r="AW312" s="97">
        <v>17</v>
      </c>
      <c r="AX312" s="97">
        <v>17</v>
      </c>
      <c r="AY312" s="97">
        <v>17</v>
      </c>
      <c r="AZ312" s="97">
        <v>17</v>
      </c>
      <c r="BA312" s="97">
        <v>17</v>
      </c>
      <c r="BB312" s="97">
        <v>17</v>
      </c>
      <c r="BC312" s="97">
        <v>17</v>
      </c>
      <c r="BD312" s="97">
        <v>17</v>
      </c>
      <c r="BE312" s="97">
        <v>17</v>
      </c>
      <c r="BF312" s="97">
        <f>+Tabela1107[[#This Row],[PIS]]+Tabela1107[[#This Row],[COFINS]]+Tabela1107[[#This Row],[CONTRIB. FOLHA]]+Tabela1107[[#This Row],[TRIBUTOS S/ LUCRO]]+Tabela1107[[#This Row],[OUTROS]]+Tabela1107[[#This Row],[SP]]</f>
        <v>37.74</v>
      </c>
      <c r="BG312" s="97">
        <f>+Tabela1107[[#This Row],[PIS]]+Tabela1107[[#This Row],[COFINS]]+Tabela1107[[#This Row],[CONTRIB. FOLHA]]+Tabela1107[[#This Row],[TRIBUTOS S/ LUCRO]]+Tabela1107[[#This Row],[OUTROS]]+Tabela1107[[#This Row],[PR]]</f>
        <v>31.740000000000002</v>
      </c>
      <c r="BH312" s="97">
        <f>+Tabela1107[[#This Row],[PIS]]+Tabela1107[[#This Row],[COFINS]]+Tabela1107[[#This Row],[CONTRIB. FOLHA]]+Tabela1107[[#This Row],[TRIBUTOS S/ LUCRO]]+Tabela1107[[#This Row],[OUTROS]]+Tabela1107[[#This Row],[SC]]</f>
        <v>36.74</v>
      </c>
      <c r="BI312" s="97">
        <f>+Tabela1107[[#This Row],[PIS]]+Tabela1107[[#This Row],[COFINS]]+Tabela1107[[#This Row],[CONTRIB. FOLHA]]+Tabela1107[[#This Row],[TRIBUTOS S/ LUCRO]]+Tabela1107[[#This Row],[OUTROS]]+Tabela1107[[#This Row],[RS]]</f>
        <v>36.74</v>
      </c>
      <c r="BJ312" s="97">
        <f>+Tabela1107[[#This Row],[PIS]]+Tabela1107[[#This Row],[COFINS]]+Tabela1107[[#This Row],[CONTRIB. FOLHA]]+Tabela1107[[#This Row],[TRIBUTOS S/ LUCRO]]+Tabela1107[[#This Row],[OUTROS]]+Tabela1107[[#This Row],[RJ]]</f>
        <v>38.74</v>
      </c>
      <c r="BK312" s="97">
        <f>+Tabela1107[[#This Row],[PIS]]+Tabela1107[[#This Row],[COFINS]]+Tabela1107[[#This Row],[CONTRIB. FOLHA]]+Tabela1107[[#This Row],[TRIBUTOS S/ LUCRO]]+Tabela1107[[#This Row],[OUTROS]]+Tabela1107[[#This Row],[MG]]</f>
        <v>37.74</v>
      </c>
      <c r="BL312" s="97">
        <f>+Tabela1107[[#This Row],[PIS]]+Tabela1107[[#This Row],[COFINS]]+Tabela1107[[#This Row],[CONTRIB. FOLHA]]+Tabela1107[[#This Row],[TRIBUTOS S/ LUCRO]]+Tabela1107[[#This Row],[OUTROS]]+Tabela1107[[#This Row],[ES]]</f>
        <v>36.74</v>
      </c>
      <c r="BM312" s="97">
        <f>+Tabela1107[[#This Row],[PIS]]+Tabela1107[[#This Row],[COFINS]]+Tabela1107[[#This Row],[CONTRIB. FOLHA]]+Tabela1107[[#This Row],[TRIBUTOS S/ LUCRO]]+Tabela1107[[#This Row],[OUTROS]]+Tabela1107[[#This Row],[GO]]</f>
        <v>36.74</v>
      </c>
      <c r="BN312" s="97">
        <f>+Tabela1107[[#This Row],[PIS]]+Tabela1107[[#This Row],[COFINS]]+Tabela1107[[#This Row],[CONTRIB. FOLHA]]+Tabela1107[[#This Row],[TRIBUTOS S/ LUCRO]]+Tabela1107[[#This Row],[OUTROS]]+Tabela1107[[#This Row],[MT]]</f>
        <v>36.74</v>
      </c>
      <c r="BO312" s="97">
        <f>+Tabela1107[[#This Row],[PIS]]+Tabela1107[[#This Row],[COFINS]]+Tabela1107[[#This Row],[CONTRIB. FOLHA]]+Tabela1107[[#This Row],[TRIBUTOS S/ LUCRO]]+Tabela1107[[#This Row],[OUTROS]]+Tabela1107[[#This Row],[MS]]</f>
        <v>36.74</v>
      </c>
      <c r="BP312" s="97">
        <f>+Tabela1107[[#This Row],[PIS]]+Tabela1107[[#This Row],[COFINS]]+Tabela1107[[#This Row],[CONTRIB. FOLHA]]+Tabela1107[[#This Row],[TRIBUTOS S/ LUCRO]]+Tabela1107[[#This Row],[OUTROS]]+Tabela1107[[#This Row],[DF]]</f>
        <v>36.74</v>
      </c>
      <c r="BQ312" s="97">
        <f>+Tabela1107[[#This Row],[PIS]]+Tabela1107[[#This Row],[COFINS]]+Tabela1107[[#This Row],[CONTRIB. FOLHA]]+Tabela1107[[#This Row],[TRIBUTOS S/ LUCRO]]+Tabela1107[[#This Row],[OUTROS]]+Tabela1107[[#This Row],[BA]]</f>
        <v>36.74</v>
      </c>
      <c r="BR312" s="97">
        <f>+Tabela1107[[#This Row],[PIS]]+Tabela1107[[#This Row],[COFINS]]+Tabela1107[[#This Row],[CONTRIB. FOLHA]]+Tabela1107[[#This Row],[TRIBUTOS S/ LUCRO]]+Tabela1107[[#This Row],[OUTROS]]+Tabela1107[[#This Row],[BA]]</f>
        <v>36.74</v>
      </c>
      <c r="BS312" s="97">
        <f>+Tabela1107[[#This Row],[PIS]]+Tabela1107[[#This Row],[COFINS]]+Tabela1107[[#This Row],[CONTRIB. FOLHA]]+Tabela1107[[#This Row],[TRIBUTOS S/ LUCRO]]+Tabela1107[[#This Row],[OUTROS]]+Tabela1107[[#This Row],[PE]]</f>
        <v>36.74</v>
      </c>
      <c r="BT312" s="97">
        <f>+Tabela1107[[#This Row],[PIS]]+Tabela1107[[#This Row],[COFINS]]+Tabela1107[[#This Row],[CONTRIB. FOLHA]]+Tabela1107[[#This Row],[TRIBUTOS S/ LUCRO]]+Tabela1107[[#This Row],[OUTROS]]+Tabela1107[[#This Row],[PA]]</f>
        <v>36.74</v>
      </c>
      <c r="BU312" s="97">
        <f>+Tabela1107[[#This Row],[PIS]]+Tabela1107[[#This Row],[COFINS]]+Tabela1107[[#This Row],[CONTRIB. FOLHA]]+Tabela1107[[#This Row],[TRIBUTOS S/ LUCRO]]+Tabela1107[[#This Row],[OUTROS]]+Tabela1107[[#This Row],[AM]]</f>
        <v>36.74</v>
      </c>
      <c r="BV312" s="97">
        <f>AVERAGE(Tabela1107[[#This Row],[TOTAL SP]:[TOTAL AM]])</f>
        <v>36.677500000000002</v>
      </c>
      <c r="BW312" s="97"/>
      <c r="BX312" s="97"/>
    </row>
    <row r="313" spans="2:76" x14ac:dyDescent="0.25">
      <c r="B313" s="89">
        <v>6402</v>
      </c>
      <c r="C313" s="91" t="s">
        <v>13183</v>
      </c>
      <c r="D313" s="89"/>
      <c r="E313" s="89">
        <v>20140626</v>
      </c>
      <c r="F313" s="89" t="s">
        <v>20681</v>
      </c>
      <c r="G313" s="89" t="s">
        <v>20682</v>
      </c>
      <c r="H313" s="89" t="s">
        <v>20683</v>
      </c>
      <c r="I313" s="89" t="s">
        <v>20684</v>
      </c>
      <c r="J313" s="89" t="s">
        <v>182</v>
      </c>
      <c r="K313" s="99" t="s">
        <v>2727</v>
      </c>
      <c r="L313" s="89" t="s">
        <v>4500</v>
      </c>
      <c r="M313" s="89" t="s">
        <v>2799</v>
      </c>
      <c r="N313" s="89" t="s">
        <v>4496</v>
      </c>
      <c r="O313" s="89" t="s">
        <v>4496</v>
      </c>
      <c r="P313" s="89" t="s">
        <v>4496</v>
      </c>
      <c r="Q313" s="89"/>
      <c r="R313" s="89" t="s">
        <v>29</v>
      </c>
      <c r="S313" s="89" t="s">
        <v>21618</v>
      </c>
      <c r="T313" s="89" t="s">
        <v>21619</v>
      </c>
      <c r="U313" s="89" t="str">
        <f>TRIM('Carga Tributária doenças Po (2'!$L313)</f>
        <v>FERRO QUELATO GLICINATO</v>
      </c>
      <c r="V313" s="89">
        <f>SUMIFS('Tabela Federal'!$E$4:$E$2069,'Tabela Federal'!$D$4:$D$2069,'Carga Tributária doenças Po (2'!$L313)</f>
        <v>0</v>
      </c>
      <c r="W313" s="89">
        <f>SUMIFS('Tabela Federal'!$E$4:$E$2069,'Tabela Federal'!$D$4:$D$2069,'Carga Tributária doenças Po (2'!$M313)</f>
        <v>1</v>
      </c>
      <c r="X313" s="89">
        <f>SUMIFS('Tabela Federal'!$E$4:$E$2069,'Tabela Federal'!$D$4:$D$2069,'Carga Tributária doenças Po (2'!$N313)</f>
        <v>0</v>
      </c>
      <c r="Y313" s="89">
        <f>SUMIFS('Tabela Federal'!$E$4:$E$2069,'Tabela Federal'!$D$4:$D$2069,'Carga Tributária doenças Po (2'!$O313)</f>
        <v>0</v>
      </c>
      <c r="Z313" s="92" t="str">
        <f>VLOOKUP('Carga Tributária doenças Po (2'!$AD313,'Carga Tributária doenças Po (2'!$CA$12:$CC$16,2,0)</f>
        <v>-</v>
      </c>
      <c r="AA313" s="89" t="s">
        <v>179</v>
      </c>
      <c r="AB313" s="89" t="s">
        <v>21736</v>
      </c>
      <c r="AC313" s="89" t="s">
        <v>21721</v>
      </c>
      <c r="AD313" s="93" t="s">
        <v>19523</v>
      </c>
      <c r="AE313" s="92" t="s">
        <v>4</v>
      </c>
      <c r="AF313" s="92" t="s">
        <v>3</v>
      </c>
      <c r="AG313" s="94">
        <v>417513</v>
      </c>
      <c r="AH313" s="95">
        <v>3762809</v>
      </c>
      <c r="AI313" s="95">
        <v>8590640.1199999992</v>
      </c>
      <c r="AJ313" s="89" t="s">
        <v>174</v>
      </c>
      <c r="AK313" s="89">
        <f>IF('Carga Tributária doenças Po (2'!$Z313="+",0,SUMIFS(PISCOFINS!$I$3:$I$10518,PISCOFINS!$C$3:$C$10518,'Carga Tributária doenças Po (2'!$C313))</f>
        <v>2.1</v>
      </c>
      <c r="AL313" s="89">
        <f>IF('Carga Tributária doenças Po (2'!$Z313="+",0,SUMIFS(PISCOFINS!$H$3:$H$10518,PISCOFINS!$C$3:$C$10518,'Carga Tributária doenças Po (2'!$C313))</f>
        <v>9.9</v>
      </c>
      <c r="AM313" s="95">
        <v>3.27</v>
      </c>
      <c r="AN313" s="95">
        <v>3.12</v>
      </c>
      <c r="AO313" s="95">
        <v>1.35</v>
      </c>
      <c r="AP313" s="96">
        <v>18</v>
      </c>
      <c r="AQ313" s="96">
        <v>12</v>
      </c>
      <c r="AR313" s="96">
        <v>17</v>
      </c>
      <c r="AS313" s="97">
        <v>17</v>
      </c>
      <c r="AT313" s="97">
        <v>19</v>
      </c>
      <c r="AU313" s="97">
        <v>18</v>
      </c>
      <c r="AV313" s="97">
        <v>17</v>
      </c>
      <c r="AW313" s="97">
        <v>17</v>
      </c>
      <c r="AX313" s="97">
        <v>17</v>
      </c>
      <c r="AY313" s="97">
        <v>17</v>
      </c>
      <c r="AZ313" s="97">
        <v>17</v>
      </c>
      <c r="BA313" s="97">
        <v>17</v>
      </c>
      <c r="BB313" s="97">
        <v>17</v>
      </c>
      <c r="BC313" s="97">
        <v>17</v>
      </c>
      <c r="BD313" s="97">
        <v>17</v>
      </c>
      <c r="BE313" s="97">
        <v>17</v>
      </c>
      <c r="BF313" s="97">
        <f>+Tabela1107[[#This Row],[PIS]]+Tabela1107[[#This Row],[COFINS]]+Tabela1107[[#This Row],[CONTRIB. FOLHA]]+Tabela1107[[#This Row],[TRIBUTOS S/ LUCRO]]+Tabela1107[[#This Row],[OUTROS]]+Tabela1107[[#This Row],[SP]]</f>
        <v>37.74</v>
      </c>
      <c r="BG313" s="97">
        <f>+Tabela1107[[#This Row],[PIS]]+Tabela1107[[#This Row],[COFINS]]+Tabela1107[[#This Row],[CONTRIB. FOLHA]]+Tabela1107[[#This Row],[TRIBUTOS S/ LUCRO]]+Tabela1107[[#This Row],[OUTROS]]+Tabela1107[[#This Row],[PR]]</f>
        <v>31.740000000000002</v>
      </c>
      <c r="BH313" s="97">
        <f>+Tabela1107[[#This Row],[PIS]]+Tabela1107[[#This Row],[COFINS]]+Tabela1107[[#This Row],[CONTRIB. FOLHA]]+Tabela1107[[#This Row],[TRIBUTOS S/ LUCRO]]+Tabela1107[[#This Row],[OUTROS]]+Tabela1107[[#This Row],[SC]]</f>
        <v>36.74</v>
      </c>
      <c r="BI313" s="97">
        <f>+Tabela1107[[#This Row],[PIS]]+Tabela1107[[#This Row],[COFINS]]+Tabela1107[[#This Row],[CONTRIB. FOLHA]]+Tabela1107[[#This Row],[TRIBUTOS S/ LUCRO]]+Tabela1107[[#This Row],[OUTROS]]+Tabela1107[[#This Row],[RS]]</f>
        <v>36.74</v>
      </c>
      <c r="BJ313" s="97">
        <f>+Tabela1107[[#This Row],[PIS]]+Tabela1107[[#This Row],[COFINS]]+Tabela1107[[#This Row],[CONTRIB. FOLHA]]+Tabela1107[[#This Row],[TRIBUTOS S/ LUCRO]]+Tabela1107[[#This Row],[OUTROS]]+Tabela1107[[#This Row],[RJ]]</f>
        <v>38.74</v>
      </c>
      <c r="BK313" s="97">
        <f>+Tabela1107[[#This Row],[PIS]]+Tabela1107[[#This Row],[COFINS]]+Tabela1107[[#This Row],[CONTRIB. FOLHA]]+Tabela1107[[#This Row],[TRIBUTOS S/ LUCRO]]+Tabela1107[[#This Row],[OUTROS]]+Tabela1107[[#This Row],[MG]]</f>
        <v>37.74</v>
      </c>
      <c r="BL313" s="97">
        <f>+Tabela1107[[#This Row],[PIS]]+Tabela1107[[#This Row],[COFINS]]+Tabela1107[[#This Row],[CONTRIB. FOLHA]]+Tabela1107[[#This Row],[TRIBUTOS S/ LUCRO]]+Tabela1107[[#This Row],[OUTROS]]+Tabela1107[[#This Row],[ES]]</f>
        <v>36.74</v>
      </c>
      <c r="BM313" s="97">
        <f>+Tabela1107[[#This Row],[PIS]]+Tabela1107[[#This Row],[COFINS]]+Tabela1107[[#This Row],[CONTRIB. FOLHA]]+Tabela1107[[#This Row],[TRIBUTOS S/ LUCRO]]+Tabela1107[[#This Row],[OUTROS]]+Tabela1107[[#This Row],[GO]]</f>
        <v>36.74</v>
      </c>
      <c r="BN313" s="97">
        <f>+Tabela1107[[#This Row],[PIS]]+Tabela1107[[#This Row],[COFINS]]+Tabela1107[[#This Row],[CONTRIB. FOLHA]]+Tabela1107[[#This Row],[TRIBUTOS S/ LUCRO]]+Tabela1107[[#This Row],[OUTROS]]+Tabela1107[[#This Row],[MT]]</f>
        <v>36.74</v>
      </c>
      <c r="BO313" s="97">
        <f>+Tabela1107[[#This Row],[PIS]]+Tabela1107[[#This Row],[COFINS]]+Tabela1107[[#This Row],[CONTRIB. FOLHA]]+Tabela1107[[#This Row],[TRIBUTOS S/ LUCRO]]+Tabela1107[[#This Row],[OUTROS]]+Tabela1107[[#This Row],[MS]]</f>
        <v>36.74</v>
      </c>
      <c r="BP313" s="97">
        <f>+Tabela1107[[#This Row],[PIS]]+Tabela1107[[#This Row],[COFINS]]+Tabela1107[[#This Row],[CONTRIB. FOLHA]]+Tabela1107[[#This Row],[TRIBUTOS S/ LUCRO]]+Tabela1107[[#This Row],[OUTROS]]+Tabela1107[[#This Row],[DF]]</f>
        <v>36.74</v>
      </c>
      <c r="BQ313" s="97">
        <f>+Tabela1107[[#This Row],[PIS]]+Tabela1107[[#This Row],[COFINS]]+Tabela1107[[#This Row],[CONTRIB. FOLHA]]+Tabela1107[[#This Row],[TRIBUTOS S/ LUCRO]]+Tabela1107[[#This Row],[OUTROS]]+Tabela1107[[#This Row],[BA]]</f>
        <v>36.74</v>
      </c>
      <c r="BR313" s="97">
        <f>+Tabela1107[[#This Row],[PIS]]+Tabela1107[[#This Row],[COFINS]]+Tabela1107[[#This Row],[CONTRIB. FOLHA]]+Tabela1107[[#This Row],[TRIBUTOS S/ LUCRO]]+Tabela1107[[#This Row],[OUTROS]]+Tabela1107[[#This Row],[BA]]</f>
        <v>36.74</v>
      </c>
      <c r="BS313" s="97">
        <f>+Tabela1107[[#This Row],[PIS]]+Tabela1107[[#This Row],[COFINS]]+Tabela1107[[#This Row],[CONTRIB. FOLHA]]+Tabela1107[[#This Row],[TRIBUTOS S/ LUCRO]]+Tabela1107[[#This Row],[OUTROS]]+Tabela1107[[#This Row],[PE]]</f>
        <v>36.74</v>
      </c>
      <c r="BT313" s="97">
        <f>+Tabela1107[[#This Row],[PIS]]+Tabela1107[[#This Row],[COFINS]]+Tabela1107[[#This Row],[CONTRIB. FOLHA]]+Tabela1107[[#This Row],[TRIBUTOS S/ LUCRO]]+Tabela1107[[#This Row],[OUTROS]]+Tabela1107[[#This Row],[PA]]</f>
        <v>36.74</v>
      </c>
      <c r="BU313" s="97">
        <f>+Tabela1107[[#This Row],[PIS]]+Tabela1107[[#This Row],[COFINS]]+Tabela1107[[#This Row],[CONTRIB. FOLHA]]+Tabela1107[[#This Row],[TRIBUTOS S/ LUCRO]]+Tabela1107[[#This Row],[OUTROS]]+Tabela1107[[#This Row],[AM]]</f>
        <v>36.74</v>
      </c>
      <c r="BV313" s="97">
        <f>AVERAGE(Tabela1107[[#This Row],[TOTAL SP]:[TOTAL AM]])</f>
        <v>36.677500000000002</v>
      </c>
      <c r="BW313" s="97"/>
      <c r="BX313" s="97"/>
    </row>
    <row r="314" spans="2:76" x14ac:dyDescent="0.25">
      <c r="B314" s="89">
        <v>21341</v>
      </c>
      <c r="C314" s="91" t="s">
        <v>13113</v>
      </c>
      <c r="D314" s="89"/>
      <c r="E314" s="89">
        <v>20140626</v>
      </c>
      <c r="F314" s="89" t="s">
        <v>20876</v>
      </c>
      <c r="G314" s="89" t="s">
        <v>20877</v>
      </c>
      <c r="H314" s="98" t="s">
        <v>21980</v>
      </c>
      <c r="I314" s="89" t="s">
        <v>20878</v>
      </c>
      <c r="J314" s="89" t="s">
        <v>230</v>
      </c>
      <c r="K314" s="99" t="s">
        <v>2725</v>
      </c>
      <c r="L314" s="89" t="s">
        <v>2801</v>
      </c>
      <c r="M314" s="89" t="s">
        <v>4496</v>
      </c>
      <c r="N314" s="89" t="s">
        <v>4496</v>
      </c>
      <c r="O314" s="89" t="s">
        <v>4496</v>
      </c>
      <c r="P314" s="89" t="s">
        <v>4496</v>
      </c>
      <c r="Q314" s="89"/>
      <c r="R314" s="89" t="s">
        <v>55</v>
      </c>
      <c r="S314" s="89" t="s">
        <v>21636</v>
      </c>
      <c r="T314" s="89" t="s">
        <v>21637</v>
      </c>
      <c r="U314" s="89" t="str">
        <f>TRIM('Carga Tributária doenças Po (2'!$L314)</f>
        <v>NICOTINA</v>
      </c>
      <c r="V314" s="89">
        <f>SUMIFS('Tabela Federal'!$E$4:$E$2069,'Tabela Federal'!$D$4:$D$2069,'Carga Tributária doenças Po (2'!$L314)</f>
        <v>1</v>
      </c>
      <c r="W314" s="89">
        <f>SUMIFS('Tabela Federal'!$E$4:$E$2069,'Tabela Federal'!$D$4:$D$2069,'Carga Tributária doenças Po (2'!$M314)</f>
        <v>0</v>
      </c>
      <c r="X314" s="89">
        <f>SUMIFS('Tabela Federal'!$E$4:$E$2069,'Tabela Federal'!$D$4:$D$2069,'Carga Tributária doenças Po (2'!$N314)</f>
        <v>0</v>
      </c>
      <c r="Y314" s="89">
        <f>SUMIFS('Tabela Federal'!$E$4:$E$2069,'Tabela Federal'!$D$4:$D$2069,'Carga Tributária doenças Po (2'!$O314)</f>
        <v>0</v>
      </c>
      <c r="Z314" s="92" t="str">
        <f>VLOOKUP('Carga Tributária doenças Po (2'!$AD314,'Carga Tributária doenças Po (2'!$CA$12:$CC$16,2,0)</f>
        <v>-</v>
      </c>
      <c r="AA314" s="89" t="s">
        <v>229</v>
      </c>
      <c r="AB314" s="89" t="s">
        <v>21889</v>
      </c>
      <c r="AC314" s="89" t="s">
        <v>21740</v>
      </c>
      <c r="AD314" s="93" t="s">
        <v>19523</v>
      </c>
      <c r="AE314" s="92" t="s">
        <v>4</v>
      </c>
      <c r="AF314" s="92" t="s">
        <v>23</v>
      </c>
      <c r="AG314" s="94">
        <v>275127</v>
      </c>
      <c r="AH314" s="95">
        <v>4171223</v>
      </c>
      <c r="AI314" s="95">
        <v>9510609.1500000004</v>
      </c>
      <c r="AJ314" s="89" t="s">
        <v>240</v>
      </c>
      <c r="AK314" s="89">
        <f>IF('Carga Tributária doenças Po (2'!$Z314="+",0,SUMIFS(PISCOFINS!$I$3:$I$10518,PISCOFINS!$C$3:$C$10518,'Carga Tributária doenças Po (2'!$C314))</f>
        <v>2.1</v>
      </c>
      <c r="AL314" s="89">
        <f>IF('Carga Tributária doenças Po (2'!$Z314="+",0,SUMIFS(PISCOFINS!$H$3:$H$10518,PISCOFINS!$C$3:$C$10518,'Carga Tributária doenças Po (2'!$C314))</f>
        <v>9.9</v>
      </c>
      <c r="AM314" s="95">
        <v>3.27</v>
      </c>
      <c r="AN314" s="95">
        <v>3.12</v>
      </c>
      <c r="AO314" s="95">
        <v>1.35</v>
      </c>
      <c r="AP314" s="96">
        <v>18</v>
      </c>
      <c r="AQ314" s="96">
        <v>12</v>
      </c>
      <c r="AR314" s="96">
        <v>17</v>
      </c>
      <c r="AS314" s="97">
        <v>17</v>
      </c>
      <c r="AT314" s="97">
        <v>19</v>
      </c>
      <c r="AU314" s="97">
        <v>18</v>
      </c>
      <c r="AV314" s="97">
        <v>17</v>
      </c>
      <c r="AW314" s="97">
        <v>17</v>
      </c>
      <c r="AX314" s="97">
        <v>17</v>
      </c>
      <c r="AY314" s="97">
        <v>17</v>
      </c>
      <c r="AZ314" s="97">
        <v>17</v>
      </c>
      <c r="BA314" s="97">
        <v>17</v>
      </c>
      <c r="BB314" s="97">
        <v>17</v>
      </c>
      <c r="BC314" s="97">
        <v>17</v>
      </c>
      <c r="BD314" s="97">
        <v>17</v>
      </c>
      <c r="BE314" s="97">
        <v>17</v>
      </c>
      <c r="BF314" s="97">
        <f>+Tabela1107[[#This Row],[PIS]]+Tabela1107[[#This Row],[COFINS]]+Tabela1107[[#This Row],[CONTRIB. FOLHA]]+Tabela1107[[#This Row],[TRIBUTOS S/ LUCRO]]+Tabela1107[[#This Row],[OUTROS]]+Tabela1107[[#This Row],[SP]]</f>
        <v>37.74</v>
      </c>
      <c r="BG314" s="97">
        <f>+Tabela1107[[#This Row],[PIS]]+Tabela1107[[#This Row],[COFINS]]+Tabela1107[[#This Row],[CONTRIB. FOLHA]]+Tabela1107[[#This Row],[TRIBUTOS S/ LUCRO]]+Tabela1107[[#This Row],[OUTROS]]+Tabela1107[[#This Row],[PR]]</f>
        <v>31.740000000000002</v>
      </c>
      <c r="BH314" s="97">
        <f>+Tabela1107[[#This Row],[PIS]]+Tabela1107[[#This Row],[COFINS]]+Tabela1107[[#This Row],[CONTRIB. FOLHA]]+Tabela1107[[#This Row],[TRIBUTOS S/ LUCRO]]+Tabela1107[[#This Row],[OUTROS]]+Tabela1107[[#This Row],[SC]]</f>
        <v>36.74</v>
      </c>
      <c r="BI314" s="97">
        <f>+Tabela1107[[#This Row],[PIS]]+Tabela1107[[#This Row],[COFINS]]+Tabela1107[[#This Row],[CONTRIB. FOLHA]]+Tabela1107[[#This Row],[TRIBUTOS S/ LUCRO]]+Tabela1107[[#This Row],[OUTROS]]+Tabela1107[[#This Row],[RS]]</f>
        <v>36.74</v>
      </c>
      <c r="BJ314" s="97">
        <f>+Tabela1107[[#This Row],[PIS]]+Tabela1107[[#This Row],[COFINS]]+Tabela1107[[#This Row],[CONTRIB. FOLHA]]+Tabela1107[[#This Row],[TRIBUTOS S/ LUCRO]]+Tabela1107[[#This Row],[OUTROS]]+Tabela1107[[#This Row],[RJ]]</f>
        <v>38.74</v>
      </c>
      <c r="BK314" s="97">
        <f>+Tabela1107[[#This Row],[PIS]]+Tabela1107[[#This Row],[COFINS]]+Tabela1107[[#This Row],[CONTRIB. FOLHA]]+Tabela1107[[#This Row],[TRIBUTOS S/ LUCRO]]+Tabela1107[[#This Row],[OUTROS]]+Tabela1107[[#This Row],[MG]]</f>
        <v>37.74</v>
      </c>
      <c r="BL314" s="97">
        <f>+Tabela1107[[#This Row],[PIS]]+Tabela1107[[#This Row],[COFINS]]+Tabela1107[[#This Row],[CONTRIB. FOLHA]]+Tabela1107[[#This Row],[TRIBUTOS S/ LUCRO]]+Tabela1107[[#This Row],[OUTROS]]+Tabela1107[[#This Row],[ES]]</f>
        <v>36.74</v>
      </c>
      <c r="BM314" s="97">
        <f>+Tabela1107[[#This Row],[PIS]]+Tabela1107[[#This Row],[COFINS]]+Tabela1107[[#This Row],[CONTRIB. FOLHA]]+Tabela1107[[#This Row],[TRIBUTOS S/ LUCRO]]+Tabela1107[[#This Row],[OUTROS]]+Tabela1107[[#This Row],[GO]]</f>
        <v>36.74</v>
      </c>
      <c r="BN314" s="97">
        <f>+Tabela1107[[#This Row],[PIS]]+Tabela1107[[#This Row],[COFINS]]+Tabela1107[[#This Row],[CONTRIB. FOLHA]]+Tabela1107[[#This Row],[TRIBUTOS S/ LUCRO]]+Tabela1107[[#This Row],[OUTROS]]+Tabela1107[[#This Row],[MT]]</f>
        <v>36.74</v>
      </c>
      <c r="BO314" s="97">
        <f>+Tabela1107[[#This Row],[PIS]]+Tabela1107[[#This Row],[COFINS]]+Tabela1107[[#This Row],[CONTRIB. FOLHA]]+Tabela1107[[#This Row],[TRIBUTOS S/ LUCRO]]+Tabela1107[[#This Row],[OUTROS]]+Tabela1107[[#This Row],[MS]]</f>
        <v>36.74</v>
      </c>
      <c r="BP314" s="97">
        <f>+Tabela1107[[#This Row],[PIS]]+Tabela1107[[#This Row],[COFINS]]+Tabela1107[[#This Row],[CONTRIB. FOLHA]]+Tabela1107[[#This Row],[TRIBUTOS S/ LUCRO]]+Tabela1107[[#This Row],[OUTROS]]+Tabela1107[[#This Row],[DF]]</f>
        <v>36.74</v>
      </c>
      <c r="BQ314" s="97">
        <f>+Tabela1107[[#This Row],[PIS]]+Tabela1107[[#This Row],[COFINS]]+Tabela1107[[#This Row],[CONTRIB. FOLHA]]+Tabela1107[[#This Row],[TRIBUTOS S/ LUCRO]]+Tabela1107[[#This Row],[OUTROS]]+Tabela1107[[#This Row],[BA]]</f>
        <v>36.74</v>
      </c>
      <c r="BR314" s="97">
        <f>+Tabela1107[[#This Row],[PIS]]+Tabela1107[[#This Row],[COFINS]]+Tabela1107[[#This Row],[CONTRIB. FOLHA]]+Tabela1107[[#This Row],[TRIBUTOS S/ LUCRO]]+Tabela1107[[#This Row],[OUTROS]]+Tabela1107[[#This Row],[BA]]</f>
        <v>36.74</v>
      </c>
      <c r="BS314" s="97">
        <f>+Tabela1107[[#This Row],[PIS]]+Tabela1107[[#This Row],[COFINS]]+Tabela1107[[#This Row],[CONTRIB. FOLHA]]+Tabela1107[[#This Row],[TRIBUTOS S/ LUCRO]]+Tabela1107[[#This Row],[OUTROS]]+Tabela1107[[#This Row],[PE]]</f>
        <v>36.74</v>
      </c>
      <c r="BT314" s="97">
        <f>+Tabela1107[[#This Row],[PIS]]+Tabela1107[[#This Row],[COFINS]]+Tabela1107[[#This Row],[CONTRIB. FOLHA]]+Tabela1107[[#This Row],[TRIBUTOS S/ LUCRO]]+Tabela1107[[#This Row],[OUTROS]]+Tabela1107[[#This Row],[PA]]</f>
        <v>36.74</v>
      </c>
      <c r="BU314" s="97">
        <f>+Tabela1107[[#This Row],[PIS]]+Tabela1107[[#This Row],[COFINS]]+Tabela1107[[#This Row],[CONTRIB. FOLHA]]+Tabela1107[[#This Row],[TRIBUTOS S/ LUCRO]]+Tabela1107[[#This Row],[OUTROS]]+Tabela1107[[#This Row],[AM]]</f>
        <v>36.74</v>
      </c>
      <c r="BV314" s="97">
        <f>AVERAGE(Tabela1107[[#This Row],[TOTAL SP]:[TOTAL AM]])</f>
        <v>36.677500000000002</v>
      </c>
      <c r="BW314" s="97"/>
      <c r="BX314" s="97"/>
    </row>
    <row r="315" spans="2:76" x14ac:dyDescent="0.25">
      <c r="B315" s="89">
        <v>21342</v>
      </c>
      <c r="C315" s="91" t="s">
        <v>13113</v>
      </c>
      <c r="D315" s="89"/>
      <c r="E315" s="89">
        <v>20140626</v>
      </c>
      <c r="F315" s="89" t="s">
        <v>20879</v>
      </c>
      <c r="G315" s="89" t="s">
        <v>20880</v>
      </c>
      <c r="H315" s="98" t="s">
        <v>21981</v>
      </c>
      <c r="I315" s="89" t="s">
        <v>20878</v>
      </c>
      <c r="J315" s="89" t="s">
        <v>231</v>
      </c>
      <c r="K315" s="99" t="s">
        <v>2725</v>
      </c>
      <c r="L315" s="89" t="s">
        <v>2801</v>
      </c>
      <c r="M315" s="89" t="s">
        <v>4496</v>
      </c>
      <c r="N315" s="89" t="s">
        <v>4496</v>
      </c>
      <c r="O315" s="89" t="s">
        <v>4496</v>
      </c>
      <c r="P315" s="89" t="s">
        <v>4496</v>
      </c>
      <c r="Q315" s="89"/>
      <c r="R315" s="89" t="s">
        <v>55</v>
      </c>
      <c r="S315" s="89" t="s">
        <v>21636</v>
      </c>
      <c r="T315" s="89" t="s">
        <v>21637</v>
      </c>
      <c r="U315" s="89" t="str">
        <f>TRIM('Carga Tributária doenças Po (2'!$L315)</f>
        <v>NICOTINA</v>
      </c>
      <c r="V315" s="89">
        <f>SUMIFS('Tabela Federal'!$E$4:$E$2069,'Tabela Federal'!$D$4:$D$2069,'Carga Tributária doenças Po (2'!$L315)</f>
        <v>1</v>
      </c>
      <c r="W315" s="89">
        <f>SUMIFS('Tabela Federal'!$E$4:$E$2069,'Tabela Federal'!$D$4:$D$2069,'Carga Tributária doenças Po (2'!$M315)</f>
        <v>0</v>
      </c>
      <c r="X315" s="89">
        <f>SUMIFS('Tabela Federal'!$E$4:$E$2069,'Tabela Federal'!$D$4:$D$2069,'Carga Tributária doenças Po (2'!$N315)</f>
        <v>0</v>
      </c>
      <c r="Y315" s="89">
        <f>SUMIFS('Tabela Federal'!$E$4:$E$2069,'Tabela Federal'!$D$4:$D$2069,'Carga Tributária doenças Po (2'!$O315)</f>
        <v>0</v>
      </c>
      <c r="Z315" s="92" t="str">
        <f>VLOOKUP('Carga Tributária doenças Po (2'!$AD315,'Carga Tributária doenças Po (2'!$CA$12:$CC$16,2,0)</f>
        <v>-</v>
      </c>
      <c r="AA315" s="89" t="s">
        <v>229</v>
      </c>
      <c r="AB315" s="89" t="s">
        <v>21889</v>
      </c>
      <c r="AC315" s="89" t="s">
        <v>21740</v>
      </c>
      <c r="AD315" s="93" t="s">
        <v>19523</v>
      </c>
      <c r="AE315" s="92" t="s">
        <v>4</v>
      </c>
      <c r="AF315" s="92" t="s">
        <v>23</v>
      </c>
      <c r="AG315" s="94">
        <v>151419</v>
      </c>
      <c r="AH315" s="95">
        <v>2542698</v>
      </c>
      <c r="AI315" s="95">
        <v>5804786.5999999996</v>
      </c>
      <c r="AJ315" s="89" t="s">
        <v>240</v>
      </c>
      <c r="AK315" s="89">
        <f>IF('Carga Tributária doenças Po (2'!$Z315="+",0,SUMIFS(PISCOFINS!$I$3:$I$10518,PISCOFINS!$C$3:$C$10518,'Carga Tributária doenças Po (2'!$C315))</f>
        <v>2.1</v>
      </c>
      <c r="AL315" s="89">
        <f>IF('Carga Tributária doenças Po (2'!$Z315="+",0,SUMIFS(PISCOFINS!$H$3:$H$10518,PISCOFINS!$C$3:$C$10518,'Carga Tributária doenças Po (2'!$C315))</f>
        <v>9.9</v>
      </c>
      <c r="AM315" s="95">
        <v>3.27</v>
      </c>
      <c r="AN315" s="95">
        <v>3.12</v>
      </c>
      <c r="AO315" s="95">
        <v>1.35</v>
      </c>
      <c r="AP315" s="96">
        <v>18</v>
      </c>
      <c r="AQ315" s="96">
        <v>12</v>
      </c>
      <c r="AR315" s="96">
        <v>17</v>
      </c>
      <c r="AS315" s="97">
        <v>17</v>
      </c>
      <c r="AT315" s="97">
        <v>19</v>
      </c>
      <c r="AU315" s="97">
        <v>18</v>
      </c>
      <c r="AV315" s="97">
        <v>17</v>
      </c>
      <c r="AW315" s="97">
        <v>17</v>
      </c>
      <c r="AX315" s="97">
        <v>17</v>
      </c>
      <c r="AY315" s="97">
        <v>17</v>
      </c>
      <c r="AZ315" s="97">
        <v>17</v>
      </c>
      <c r="BA315" s="97">
        <v>17</v>
      </c>
      <c r="BB315" s="97">
        <v>17</v>
      </c>
      <c r="BC315" s="97">
        <v>17</v>
      </c>
      <c r="BD315" s="97">
        <v>17</v>
      </c>
      <c r="BE315" s="97">
        <v>17</v>
      </c>
      <c r="BF315" s="97">
        <f>+Tabela1107[[#This Row],[PIS]]+Tabela1107[[#This Row],[COFINS]]+Tabela1107[[#This Row],[CONTRIB. FOLHA]]+Tabela1107[[#This Row],[TRIBUTOS S/ LUCRO]]+Tabela1107[[#This Row],[OUTROS]]+Tabela1107[[#This Row],[SP]]</f>
        <v>37.74</v>
      </c>
      <c r="BG315" s="97">
        <f>+Tabela1107[[#This Row],[PIS]]+Tabela1107[[#This Row],[COFINS]]+Tabela1107[[#This Row],[CONTRIB. FOLHA]]+Tabela1107[[#This Row],[TRIBUTOS S/ LUCRO]]+Tabela1107[[#This Row],[OUTROS]]+Tabela1107[[#This Row],[PR]]</f>
        <v>31.740000000000002</v>
      </c>
      <c r="BH315" s="97">
        <f>+Tabela1107[[#This Row],[PIS]]+Tabela1107[[#This Row],[COFINS]]+Tabela1107[[#This Row],[CONTRIB. FOLHA]]+Tabela1107[[#This Row],[TRIBUTOS S/ LUCRO]]+Tabela1107[[#This Row],[OUTROS]]+Tabela1107[[#This Row],[SC]]</f>
        <v>36.74</v>
      </c>
      <c r="BI315" s="97">
        <f>+Tabela1107[[#This Row],[PIS]]+Tabela1107[[#This Row],[COFINS]]+Tabela1107[[#This Row],[CONTRIB. FOLHA]]+Tabela1107[[#This Row],[TRIBUTOS S/ LUCRO]]+Tabela1107[[#This Row],[OUTROS]]+Tabela1107[[#This Row],[RS]]</f>
        <v>36.74</v>
      </c>
      <c r="BJ315" s="97">
        <f>+Tabela1107[[#This Row],[PIS]]+Tabela1107[[#This Row],[COFINS]]+Tabela1107[[#This Row],[CONTRIB. FOLHA]]+Tabela1107[[#This Row],[TRIBUTOS S/ LUCRO]]+Tabela1107[[#This Row],[OUTROS]]+Tabela1107[[#This Row],[RJ]]</f>
        <v>38.74</v>
      </c>
      <c r="BK315" s="97">
        <f>+Tabela1107[[#This Row],[PIS]]+Tabela1107[[#This Row],[COFINS]]+Tabela1107[[#This Row],[CONTRIB. FOLHA]]+Tabela1107[[#This Row],[TRIBUTOS S/ LUCRO]]+Tabela1107[[#This Row],[OUTROS]]+Tabela1107[[#This Row],[MG]]</f>
        <v>37.74</v>
      </c>
      <c r="BL315" s="97">
        <f>+Tabela1107[[#This Row],[PIS]]+Tabela1107[[#This Row],[COFINS]]+Tabela1107[[#This Row],[CONTRIB. FOLHA]]+Tabela1107[[#This Row],[TRIBUTOS S/ LUCRO]]+Tabela1107[[#This Row],[OUTROS]]+Tabela1107[[#This Row],[ES]]</f>
        <v>36.74</v>
      </c>
      <c r="BM315" s="97">
        <f>+Tabela1107[[#This Row],[PIS]]+Tabela1107[[#This Row],[COFINS]]+Tabela1107[[#This Row],[CONTRIB. FOLHA]]+Tabela1107[[#This Row],[TRIBUTOS S/ LUCRO]]+Tabela1107[[#This Row],[OUTROS]]+Tabela1107[[#This Row],[GO]]</f>
        <v>36.74</v>
      </c>
      <c r="BN315" s="97">
        <f>+Tabela1107[[#This Row],[PIS]]+Tabela1107[[#This Row],[COFINS]]+Tabela1107[[#This Row],[CONTRIB. FOLHA]]+Tabela1107[[#This Row],[TRIBUTOS S/ LUCRO]]+Tabela1107[[#This Row],[OUTROS]]+Tabela1107[[#This Row],[MT]]</f>
        <v>36.74</v>
      </c>
      <c r="BO315" s="97">
        <f>+Tabela1107[[#This Row],[PIS]]+Tabela1107[[#This Row],[COFINS]]+Tabela1107[[#This Row],[CONTRIB. FOLHA]]+Tabela1107[[#This Row],[TRIBUTOS S/ LUCRO]]+Tabela1107[[#This Row],[OUTROS]]+Tabela1107[[#This Row],[MS]]</f>
        <v>36.74</v>
      </c>
      <c r="BP315" s="97">
        <f>+Tabela1107[[#This Row],[PIS]]+Tabela1107[[#This Row],[COFINS]]+Tabela1107[[#This Row],[CONTRIB. FOLHA]]+Tabela1107[[#This Row],[TRIBUTOS S/ LUCRO]]+Tabela1107[[#This Row],[OUTROS]]+Tabela1107[[#This Row],[DF]]</f>
        <v>36.74</v>
      </c>
      <c r="BQ315" s="97">
        <f>+Tabela1107[[#This Row],[PIS]]+Tabela1107[[#This Row],[COFINS]]+Tabela1107[[#This Row],[CONTRIB. FOLHA]]+Tabela1107[[#This Row],[TRIBUTOS S/ LUCRO]]+Tabela1107[[#This Row],[OUTROS]]+Tabela1107[[#This Row],[BA]]</f>
        <v>36.74</v>
      </c>
      <c r="BR315" s="97">
        <f>+Tabela1107[[#This Row],[PIS]]+Tabela1107[[#This Row],[COFINS]]+Tabela1107[[#This Row],[CONTRIB. FOLHA]]+Tabela1107[[#This Row],[TRIBUTOS S/ LUCRO]]+Tabela1107[[#This Row],[OUTROS]]+Tabela1107[[#This Row],[BA]]</f>
        <v>36.74</v>
      </c>
      <c r="BS315" s="97">
        <f>+Tabela1107[[#This Row],[PIS]]+Tabela1107[[#This Row],[COFINS]]+Tabela1107[[#This Row],[CONTRIB. FOLHA]]+Tabela1107[[#This Row],[TRIBUTOS S/ LUCRO]]+Tabela1107[[#This Row],[OUTROS]]+Tabela1107[[#This Row],[PE]]</f>
        <v>36.74</v>
      </c>
      <c r="BT315" s="97">
        <f>+Tabela1107[[#This Row],[PIS]]+Tabela1107[[#This Row],[COFINS]]+Tabela1107[[#This Row],[CONTRIB. FOLHA]]+Tabela1107[[#This Row],[TRIBUTOS S/ LUCRO]]+Tabela1107[[#This Row],[OUTROS]]+Tabela1107[[#This Row],[PA]]</f>
        <v>36.74</v>
      </c>
      <c r="BU315" s="97">
        <f>+Tabela1107[[#This Row],[PIS]]+Tabela1107[[#This Row],[COFINS]]+Tabela1107[[#This Row],[CONTRIB. FOLHA]]+Tabela1107[[#This Row],[TRIBUTOS S/ LUCRO]]+Tabela1107[[#This Row],[OUTROS]]+Tabela1107[[#This Row],[AM]]</f>
        <v>36.74</v>
      </c>
      <c r="BV315" s="97">
        <f>AVERAGE(Tabela1107[[#This Row],[TOTAL SP]:[TOTAL AM]])</f>
        <v>36.677500000000002</v>
      </c>
      <c r="BW315" s="97"/>
      <c r="BX315" s="97"/>
    </row>
    <row r="316" spans="2:76" x14ac:dyDescent="0.25">
      <c r="B316" s="89">
        <v>21325</v>
      </c>
      <c r="C316" s="91" t="s">
        <v>13113</v>
      </c>
      <c r="D316" s="89"/>
      <c r="E316" s="89">
        <v>20140626</v>
      </c>
      <c r="F316" s="89" t="s">
        <v>21219</v>
      </c>
      <c r="G316" s="89" t="s">
        <v>21220</v>
      </c>
      <c r="H316" s="89" t="s">
        <v>21221</v>
      </c>
      <c r="I316" s="89" t="s">
        <v>21218</v>
      </c>
      <c r="J316" s="89" t="s">
        <v>235</v>
      </c>
      <c r="K316" s="99" t="s">
        <v>2725</v>
      </c>
      <c r="L316" s="89" t="s">
        <v>2801</v>
      </c>
      <c r="M316" s="89" t="s">
        <v>4496</v>
      </c>
      <c r="N316" s="89" t="s">
        <v>4496</v>
      </c>
      <c r="O316" s="89" t="s">
        <v>4496</v>
      </c>
      <c r="P316" s="89" t="s">
        <v>4496</v>
      </c>
      <c r="Q316" s="89"/>
      <c r="R316" s="89" t="s">
        <v>219</v>
      </c>
      <c r="S316" s="89" t="s">
        <v>21676</v>
      </c>
      <c r="T316" s="89" t="s">
        <v>21677</v>
      </c>
      <c r="U316" s="89" t="str">
        <f>TRIM('Carga Tributária doenças Po (2'!$L316)</f>
        <v>NICOTINA</v>
      </c>
      <c r="V316" s="89">
        <f>SUMIFS('Tabela Federal'!$E$4:$E$2069,'Tabela Federal'!$D$4:$D$2069,'Carga Tributária doenças Po (2'!$L316)</f>
        <v>1</v>
      </c>
      <c r="W316" s="89">
        <f>SUMIFS('Tabela Federal'!$E$4:$E$2069,'Tabela Federal'!$D$4:$D$2069,'Carga Tributária doenças Po (2'!$M316)</f>
        <v>0</v>
      </c>
      <c r="X316" s="89">
        <f>SUMIFS('Tabela Federal'!$E$4:$E$2069,'Tabela Federal'!$D$4:$D$2069,'Carga Tributária doenças Po (2'!$N316)</f>
        <v>0</v>
      </c>
      <c r="Y316" s="89">
        <f>SUMIFS('Tabela Federal'!$E$4:$E$2069,'Tabela Federal'!$D$4:$D$2069,'Carga Tributária doenças Po (2'!$O316)</f>
        <v>0</v>
      </c>
      <c r="Z316" s="92" t="str">
        <f>VLOOKUP('Carga Tributária doenças Po (2'!$AD316,'Carga Tributária doenças Po (2'!$CA$12:$CC$16,2,0)</f>
        <v>-</v>
      </c>
      <c r="AA316" s="89" t="s">
        <v>229</v>
      </c>
      <c r="AB316" s="89" t="s">
        <v>21889</v>
      </c>
      <c r="AC316" s="89" t="s">
        <v>21740</v>
      </c>
      <c r="AD316" s="93" t="s">
        <v>19523</v>
      </c>
      <c r="AE316" s="92" t="s">
        <v>4</v>
      </c>
      <c r="AF316" s="92" t="s">
        <v>3</v>
      </c>
      <c r="AG316" s="94">
        <v>51865</v>
      </c>
      <c r="AH316" s="95">
        <v>889886</v>
      </c>
      <c r="AI316" s="95">
        <v>2028522.42</v>
      </c>
      <c r="AJ316" s="89" t="s">
        <v>240</v>
      </c>
      <c r="AK316" s="89">
        <f>IF('Carga Tributária doenças Po (2'!$Z316="+",0,SUMIFS(PISCOFINS!$I$3:$I$10518,PISCOFINS!$C$3:$C$10518,'Carga Tributária doenças Po (2'!$C316))</f>
        <v>2.1</v>
      </c>
      <c r="AL316" s="89">
        <f>IF('Carga Tributária doenças Po (2'!$Z316="+",0,SUMIFS(PISCOFINS!$H$3:$H$10518,PISCOFINS!$C$3:$C$10518,'Carga Tributária doenças Po (2'!$C316))</f>
        <v>9.9</v>
      </c>
      <c r="AM316" s="95">
        <v>3.27</v>
      </c>
      <c r="AN316" s="95">
        <v>3.12</v>
      </c>
      <c r="AO316" s="95">
        <v>1.35</v>
      </c>
      <c r="AP316" s="96">
        <v>18</v>
      </c>
      <c r="AQ316" s="96">
        <v>12</v>
      </c>
      <c r="AR316" s="96">
        <v>17</v>
      </c>
      <c r="AS316" s="97">
        <v>17</v>
      </c>
      <c r="AT316" s="97">
        <v>19</v>
      </c>
      <c r="AU316" s="97">
        <v>18</v>
      </c>
      <c r="AV316" s="97">
        <v>17</v>
      </c>
      <c r="AW316" s="97">
        <v>17</v>
      </c>
      <c r="AX316" s="97">
        <v>17</v>
      </c>
      <c r="AY316" s="97">
        <v>17</v>
      </c>
      <c r="AZ316" s="97">
        <v>17</v>
      </c>
      <c r="BA316" s="97">
        <v>17</v>
      </c>
      <c r="BB316" s="97">
        <v>17</v>
      </c>
      <c r="BC316" s="97">
        <v>17</v>
      </c>
      <c r="BD316" s="97">
        <v>17</v>
      </c>
      <c r="BE316" s="97">
        <v>17</v>
      </c>
      <c r="BF316" s="97">
        <f>+Tabela1107[[#This Row],[PIS]]+Tabela1107[[#This Row],[COFINS]]+Tabela1107[[#This Row],[CONTRIB. FOLHA]]+Tabela1107[[#This Row],[TRIBUTOS S/ LUCRO]]+Tabela1107[[#This Row],[OUTROS]]+Tabela1107[[#This Row],[SP]]</f>
        <v>37.74</v>
      </c>
      <c r="BG316" s="97">
        <f>+Tabela1107[[#This Row],[PIS]]+Tabela1107[[#This Row],[COFINS]]+Tabela1107[[#This Row],[CONTRIB. FOLHA]]+Tabela1107[[#This Row],[TRIBUTOS S/ LUCRO]]+Tabela1107[[#This Row],[OUTROS]]+Tabela1107[[#This Row],[PR]]</f>
        <v>31.740000000000002</v>
      </c>
      <c r="BH316" s="97">
        <f>+Tabela1107[[#This Row],[PIS]]+Tabela1107[[#This Row],[COFINS]]+Tabela1107[[#This Row],[CONTRIB. FOLHA]]+Tabela1107[[#This Row],[TRIBUTOS S/ LUCRO]]+Tabela1107[[#This Row],[OUTROS]]+Tabela1107[[#This Row],[SC]]</f>
        <v>36.74</v>
      </c>
      <c r="BI316" s="97">
        <f>+Tabela1107[[#This Row],[PIS]]+Tabela1107[[#This Row],[COFINS]]+Tabela1107[[#This Row],[CONTRIB. FOLHA]]+Tabela1107[[#This Row],[TRIBUTOS S/ LUCRO]]+Tabela1107[[#This Row],[OUTROS]]+Tabela1107[[#This Row],[RS]]</f>
        <v>36.74</v>
      </c>
      <c r="BJ316" s="97">
        <f>+Tabela1107[[#This Row],[PIS]]+Tabela1107[[#This Row],[COFINS]]+Tabela1107[[#This Row],[CONTRIB. FOLHA]]+Tabela1107[[#This Row],[TRIBUTOS S/ LUCRO]]+Tabela1107[[#This Row],[OUTROS]]+Tabela1107[[#This Row],[RJ]]</f>
        <v>38.74</v>
      </c>
      <c r="BK316" s="97">
        <f>+Tabela1107[[#This Row],[PIS]]+Tabela1107[[#This Row],[COFINS]]+Tabela1107[[#This Row],[CONTRIB. FOLHA]]+Tabela1107[[#This Row],[TRIBUTOS S/ LUCRO]]+Tabela1107[[#This Row],[OUTROS]]+Tabela1107[[#This Row],[MG]]</f>
        <v>37.74</v>
      </c>
      <c r="BL316" s="97">
        <f>+Tabela1107[[#This Row],[PIS]]+Tabela1107[[#This Row],[COFINS]]+Tabela1107[[#This Row],[CONTRIB. FOLHA]]+Tabela1107[[#This Row],[TRIBUTOS S/ LUCRO]]+Tabela1107[[#This Row],[OUTROS]]+Tabela1107[[#This Row],[ES]]</f>
        <v>36.74</v>
      </c>
      <c r="BM316" s="97">
        <f>+Tabela1107[[#This Row],[PIS]]+Tabela1107[[#This Row],[COFINS]]+Tabela1107[[#This Row],[CONTRIB. FOLHA]]+Tabela1107[[#This Row],[TRIBUTOS S/ LUCRO]]+Tabela1107[[#This Row],[OUTROS]]+Tabela1107[[#This Row],[GO]]</f>
        <v>36.74</v>
      </c>
      <c r="BN316" s="97">
        <f>+Tabela1107[[#This Row],[PIS]]+Tabela1107[[#This Row],[COFINS]]+Tabela1107[[#This Row],[CONTRIB. FOLHA]]+Tabela1107[[#This Row],[TRIBUTOS S/ LUCRO]]+Tabela1107[[#This Row],[OUTROS]]+Tabela1107[[#This Row],[MT]]</f>
        <v>36.74</v>
      </c>
      <c r="BO316" s="97">
        <f>+Tabela1107[[#This Row],[PIS]]+Tabela1107[[#This Row],[COFINS]]+Tabela1107[[#This Row],[CONTRIB. FOLHA]]+Tabela1107[[#This Row],[TRIBUTOS S/ LUCRO]]+Tabela1107[[#This Row],[OUTROS]]+Tabela1107[[#This Row],[MS]]</f>
        <v>36.74</v>
      </c>
      <c r="BP316" s="97">
        <f>+Tabela1107[[#This Row],[PIS]]+Tabela1107[[#This Row],[COFINS]]+Tabela1107[[#This Row],[CONTRIB. FOLHA]]+Tabela1107[[#This Row],[TRIBUTOS S/ LUCRO]]+Tabela1107[[#This Row],[OUTROS]]+Tabela1107[[#This Row],[DF]]</f>
        <v>36.74</v>
      </c>
      <c r="BQ316" s="97">
        <f>+Tabela1107[[#This Row],[PIS]]+Tabela1107[[#This Row],[COFINS]]+Tabela1107[[#This Row],[CONTRIB. FOLHA]]+Tabela1107[[#This Row],[TRIBUTOS S/ LUCRO]]+Tabela1107[[#This Row],[OUTROS]]+Tabela1107[[#This Row],[BA]]</f>
        <v>36.74</v>
      </c>
      <c r="BR316" s="97">
        <f>+Tabela1107[[#This Row],[PIS]]+Tabela1107[[#This Row],[COFINS]]+Tabela1107[[#This Row],[CONTRIB. FOLHA]]+Tabela1107[[#This Row],[TRIBUTOS S/ LUCRO]]+Tabela1107[[#This Row],[OUTROS]]+Tabela1107[[#This Row],[BA]]</f>
        <v>36.74</v>
      </c>
      <c r="BS316" s="97">
        <f>+Tabela1107[[#This Row],[PIS]]+Tabela1107[[#This Row],[COFINS]]+Tabela1107[[#This Row],[CONTRIB. FOLHA]]+Tabela1107[[#This Row],[TRIBUTOS S/ LUCRO]]+Tabela1107[[#This Row],[OUTROS]]+Tabela1107[[#This Row],[PE]]</f>
        <v>36.74</v>
      </c>
      <c r="BT316" s="97">
        <f>+Tabela1107[[#This Row],[PIS]]+Tabela1107[[#This Row],[COFINS]]+Tabela1107[[#This Row],[CONTRIB. FOLHA]]+Tabela1107[[#This Row],[TRIBUTOS S/ LUCRO]]+Tabela1107[[#This Row],[OUTROS]]+Tabela1107[[#This Row],[PA]]</f>
        <v>36.74</v>
      </c>
      <c r="BU316" s="97">
        <f>+Tabela1107[[#This Row],[PIS]]+Tabela1107[[#This Row],[COFINS]]+Tabela1107[[#This Row],[CONTRIB. FOLHA]]+Tabela1107[[#This Row],[TRIBUTOS S/ LUCRO]]+Tabela1107[[#This Row],[OUTROS]]+Tabela1107[[#This Row],[AM]]</f>
        <v>36.74</v>
      </c>
      <c r="BV316" s="97">
        <f>AVERAGE(Tabela1107[[#This Row],[TOTAL SP]:[TOTAL AM]])</f>
        <v>36.677500000000002</v>
      </c>
      <c r="BW316" s="97"/>
      <c r="BX316" s="97"/>
    </row>
    <row r="317" spans="2:76" x14ac:dyDescent="0.25">
      <c r="B317" s="89">
        <v>21327</v>
      </c>
      <c r="C317" s="91" t="s">
        <v>13113</v>
      </c>
      <c r="D317" s="89"/>
      <c r="E317" s="89">
        <v>20140626</v>
      </c>
      <c r="F317" s="89" t="s">
        <v>21215</v>
      </c>
      <c r="G317" s="89" t="s">
        <v>21216</v>
      </c>
      <c r="H317" s="89" t="s">
        <v>21217</v>
      </c>
      <c r="I317" s="89" t="s">
        <v>21218</v>
      </c>
      <c r="J317" s="89" t="s">
        <v>237</v>
      </c>
      <c r="K317" s="99" t="s">
        <v>2725</v>
      </c>
      <c r="L317" s="89" t="s">
        <v>2801</v>
      </c>
      <c r="M317" s="89" t="s">
        <v>4496</v>
      </c>
      <c r="N317" s="89" t="s">
        <v>4496</v>
      </c>
      <c r="O317" s="89" t="s">
        <v>4496</v>
      </c>
      <c r="P317" s="89" t="s">
        <v>4496</v>
      </c>
      <c r="Q317" s="89"/>
      <c r="R317" s="89" t="s">
        <v>219</v>
      </c>
      <c r="S317" s="89" t="s">
        <v>21676</v>
      </c>
      <c r="T317" s="89" t="s">
        <v>21677</v>
      </c>
      <c r="U317" s="89" t="str">
        <f>TRIM('Carga Tributária doenças Po (2'!$L317)</f>
        <v>NICOTINA</v>
      </c>
      <c r="V317" s="89">
        <f>SUMIFS('Tabela Federal'!$E$4:$E$2069,'Tabela Federal'!$D$4:$D$2069,'Carga Tributária doenças Po (2'!$L317)</f>
        <v>1</v>
      </c>
      <c r="W317" s="89">
        <f>SUMIFS('Tabela Federal'!$E$4:$E$2069,'Tabela Federal'!$D$4:$D$2069,'Carga Tributária doenças Po (2'!$M317)</f>
        <v>0</v>
      </c>
      <c r="X317" s="89">
        <f>SUMIFS('Tabela Federal'!$E$4:$E$2069,'Tabela Federal'!$D$4:$D$2069,'Carga Tributária doenças Po (2'!$N317)</f>
        <v>0</v>
      </c>
      <c r="Y317" s="89">
        <f>SUMIFS('Tabela Federal'!$E$4:$E$2069,'Tabela Federal'!$D$4:$D$2069,'Carga Tributária doenças Po (2'!$O317)</f>
        <v>0</v>
      </c>
      <c r="Z317" s="92" t="str">
        <f>VLOOKUP('Carga Tributária doenças Po (2'!$AD317,'Carga Tributária doenças Po (2'!$CA$12:$CC$16,2,0)</f>
        <v>-</v>
      </c>
      <c r="AA317" s="89" t="s">
        <v>229</v>
      </c>
      <c r="AB317" s="89" t="s">
        <v>21889</v>
      </c>
      <c r="AC317" s="89" t="s">
        <v>21740</v>
      </c>
      <c r="AD317" s="93" t="s">
        <v>19523</v>
      </c>
      <c r="AE317" s="92" t="s">
        <v>4</v>
      </c>
      <c r="AF317" s="92" t="s">
        <v>3</v>
      </c>
      <c r="AG317" s="94">
        <v>19968</v>
      </c>
      <c r="AH317" s="95">
        <v>326839</v>
      </c>
      <c r="AI317" s="95">
        <v>744898.6</v>
      </c>
      <c r="AJ317" s="89" t="s">
        <v>240</v>
      </c>
      <c r="AK317" s="89">
        <f>IF('Carga Tributária doenças Po (2'!$Z317="+",0,SUMIFS(PISCOFINS!$I$3:$I$10518,PISCOFINS!$C$3:$C$10518,'Carga Tributária doenças Po (2'!$C317))</f>
        <v>2.1</v>
      </c>
      <c r="AL317" s="89">
        <f>IF('Carga Tributária doenças Po (2'!$Z317="+",0,SUMIFS(PISCOFINS!$H$3:$H$10518,PISCOFINS!$C$3:$C$10518,'Carga Tributária doenças Po (2'!$C317))</f>
        <v>9.9</v>
      </c>
      <c r="AM317" s="95">
        <v>3.27</v>
      </c>
      <c r="AN317" s="95">
        <v>3.12</v>
      </c>
      <c r="AO317" s="95">
        <v>1.35</v>
      </c>
      <c r="AP317" s="96">
        <v>18</v>
      </c>
      <c r="AQ317" s="96">
        <v>12</v>
      </c>
      <c r="AR317" s="96">
        <v>17</v>
      </c>
      <c r="AS317" s="97">
        <v>17</v>
      </c>
      <c r="AT317" s="97">
        <v>19</v>
      </c>
      <c r="AU317" s="97">
        <v>18</v>
      </c>
      <c r="AV317" s="97">
        <v>17</v>
      </c>
      <c r="AW317" s="97">
        <v>17</v>
      </c>
      <c r="AX317" s="97">
        <v>17</v>
      </c>
      <c r="AY317" s="97">
        <v>17</v>
      </c>
      <c r="AZ317" s="97">
        <v>17</v>
      </c>
      <c r="BA317" s="97">
        <v>17</v>
      </c>
      <c r="BB317" s="97">
        <v>17</v>
      </c>
      <c r="BC317" s="97">
        <v>17</v>
      </c>
      <c r="BD317" s="97">
        <v>17</v>
      </c>
      <c r="BE317" s="97">
        <v>17</v>
      </c>
      <c r="BF317" s="97">
        <f>+Tabela1107[[#This Row],[PIS]]+Tabela1107[[#This Row],[COFINS]]+Tabela1107[[#This Row],[CONTRIB. FOLHA]]+Tabela1107[[#This Row],[TRIBUTOS S/ LUCRO]]+Tabela1107[[#This Row],[OUTROS]]+Tabela1107[[#This Row],[SP]]</f>
        <v>37.74</v>
      </c>
      <c r="BG317" s="97">
        <f>+Tabela1107[[#This Row],[PIS]]+Tabela1107[[#This Row],[COFINS]]+Tabela1107[[#This Row],[CONTRIB. FOLHA]]+Tabela1107[[#This Row],[TRIBUTOS S/ LUCRO]]+Tabela1107[[#This Row],[OUTROS]]+Tabela1107[[#This Row],[PR]]</f>
        <v>31.740000000000002</v>
      </c>
      <c r="BH317" s="97">
        <f>+Tabela1107[[#This Row],[PIS]]+Tabela1107[[#This Row],[COFINS]]+Tabela1107[[#This Row],[CONTRIB. FOLHA]]+Tabela1107[[#This Row],[TRIBUTOS S/ LUCRO]]+Tabela1107[[#This Row],[OUTROS]]+Tabela1107[[#This Row],[SC]]</f>
        <v>36.74</v>
      </c>
      <c r="BI317" s="97">
        <f>+Tabela1107[[#This Row],[PIS]]+Tabela1107[[#This Row],[COFINS]]+Tabela1107[[#This Row],[CONTRIB. FOLHA]]+Tabela1107[[#This Row],[TRIBUTOS S/ LUCRO]]+Tabela1107[[#This Row],[OUTROS]]+Tabela1107[[#This Row],[RS]]</f>
        <v>36.74</v>
      </c>
      <c r="BJ317" s="97">
        <f>+Tabela1107[[#This Row],[PIS]]+Tabela1107[[#This Row],[COFINS]]+Tabela1107[[#This Row],[CONTRIB. FOLHA]]+Tabela1107[[#This Row],[TRIBUTOS S/ LUCRO]]+Tabela1107[[#This Row],[OUTROS]]+Tabela1107[[#This Row],[RJ]]</f>
        <v>38.74</v>
      </c>
      <c r="BK317" s="97">
        <f>+Tabela1107[[#This Row],[PIS]]+Tabela1107[[#This Row],[COFINS]]+Tabela1107[[#This Row],[CONTRIB. FOLHA]]+Tabela1107[[#This Row],[TRIBUTOS S/ LUCRO]]+Tabela1107[[#This Row],[OUTROS]]+Tabela1107[[#This Row],[MG]]</f>
        <v>37.74</v>
      </c>
      <c r="BL317" s="97">
        <f>+Tabela1107[[#This Row],[PIS]]+Tabela1107[[#This Row],[COFINS]]+Tabela1107[[#This Row],[CONTRIB. FOLHA]]+Tabela1107[[#This Row],[TRIBUTOS S/ LUCRO]]+Tabela1107[[#This Row],[OUTROS]]+Tabela1107[[#This Row],[ES]]</f>
        <v>36.74</v>
      </c>
      <c r="BM317" s="97">
        <f>+Tabela1107[[#This Row],[PIS]]+Tabela1107[[#This Row],[COFINS]]+Tabela1107[[#This Row],[CONTRIB. FOLHA]]+Tabela1107[[#This Row],[TRIBUTOS S/ LUCRO]]+Tabela1107[[#This Row],[OUTROS]]+Tabela1107[[#This Row],[GO]]</f>
        <v>36.74</v>
      </c>
      <c r="BN317" s="97">
        <f>+Tabela1107[[#This Row],[PIS]]+Tabela1107[[#This Row],[COFINS]]+Tabela1107[[#This Row],[CONTRIB. FOLHA]]+Tabela1107[[#This Row],[TRIBUTOS S/ LUCRO]]+Tabela1107[[#This Row],[OUTROS]]+Tabela1107[[#This Row],[MT]]</f>
        <v>36.74</v>
      </c>
      <c r="BO317" s="97">
        <f>+Tabela1107[[#This Row],[PIS]]+Tabela1107[[#This Row],[COFINS]]+Tabela1107[[#This Row],[CONTRIB. FOLHA]]+Tabela1107[[#This Row],[TRIBUTOS S/ LUCRO]]+Tabela1107[[#This Row],[OUTROS]]+Tabela1107[[#This Row],[MS]]</f>
        <v>36.74</v>
      </c>
      <c r="BP317" s="97">
        <f>+Tabela1107[[#This Row],[PIS]]+Tabela1107[[#This Row],[COFINS]]+Tabela1107[[#This Row],[CONTRIB. FOLHA]]+Tabela1107[[#This Row],[TRIBUTOS S/ LUCRO]]+Tabela1107[[#This Row],[OUTROS]]+Tabela1107[[#This Row],[DF]]</f>
        <v>36.74</v>
      </c>
      <c r="BQ317" s="97">
        <f>+Tabela1107[[#This Row],[PIS]]+Tabela1107[[#This Row],[COFINS]]+Tabela1107[[#This Row],[CONTRIB. FOLHA]]+Tabela1107[[#This Row],[TRIBUTOS S/ LUCRO]]+Tabela1107[[#This Row],[OUTROS]]+Tabela1107[[#This Row],[BA]]</f>
        <v>36.74</v>
      </c>
      <c r="BR317" s="97">
        <f>+Tabela1107[[#This Row],[PIS]]+Tabela1107[[#This Row],[COFINS]]+Tabela1107[[#This Row],[CONTRIB. FOLHA]]+Tabela1107[[#This Row],[TRIBUTOS S/ LUCRO]]+Tabela1107[[#This Row],[OUTROS]]+Tabela1107[[#This Row],[BA]]</f>
        <v>36.74</v>
      </c>
      <c r="BS317" s="97">
        <f>+Tabela1107[[#This Row],[PIS]]+Tabela1107[[#This Row],[COFINS]]+Tabela1107[[#This Row],[CONTRIB. FOLHA]]+Tabela1107[[#This Row],[TRIBUTOS S/ LUCRO]]+Tabela1107[[#This Row],[OUTROS]]+Tabela1107[[#This Row],[PE]]</f>
        <v>36.74</v>
      </c>
      <c r="BT317" s="97">
        <f>+Tabela1107[[#This Row],[PIS]]+Tabela1107[[#This Row],[COFINS]]+Tabela1107[[#This Row],[CONTRIB. FOLHA]]+Tabela1107[[#This Row],[TRIBUTOS S/ LUCRO]]+Tabela1107[[#This Row],[OUTROS]]+Tabela1107[[#This Row],[PA]]</f>
        <v>36.74</v>
      </c>
      <c r="BU317" s="97">
        <f>+Tabela1107[[#This Row],[PIS]]+Tabela1107[[#This Row],[COFINS]]+Tabela1107[[#This Row],[CONTRIB. FOLHA]]+Tabela1107[[#This Row],[TRIBUTOS S/ LUCRO]]+Tabela1107[[#This Row],[OUTROS]]+Tabela1107[[#This Row],[AM]]</f>
        <v>36.74</v>
      </c>
      <c r="BV317" s="97">
        <f>AVERAGE(Tabela1107[[#This Row],[TOTAL SP]:[TOTAL AM]])</f>
        <v>36.677500000000002</v>
      </c>
      <c r="BW317" s="97"/>
      <c r="BX317" s="97"/>
    </row>
    <row r="318" spans="2:76" x14ac:dyDescent="0.25">
      <c r="B318" s="89">
        <v>21419</v>
      </c>
      <c r="C318" s="91" t="s">
        <v>13177</v>
      </c>
      <c r="D318" s="89"/>
      <c r="E318" s="89">
        <v>20140626</v>
      </c>
      <c r="F318" s="89" t="s">
        <v>20754</v>
      </c>
      <c r="G318" s="89" t="s">
        <v>20755</v>
      </c>
      <c r="H318" s="89" t="s">
        <v>20756</v>
      </c>
      <c r="I318" s="89" t="s">
        <v>2640</v>
      </c>
      <c r="J318" s="89" t="s">
        <v>385</v>
      </c>
      <c r="K318" s="99" t="s">
        <v>2568</v>
      </c>
      <c r="L318" s="89" t="s">
        <v>2640</v>
      </c>
      <c r="M318" s="89" t="s">
        <v>4496</v>
      </c>
      <c r="N318" s="89" t="s">
        <v>4496</v>
      </c>
      <c r="O318" s="89" t="s">
        <v>4496</v>
      </c>
      <c r="P318" s="89" t="s">
        <v>4496</v>
      </c>
      <c r="Q318" s="89"/>
      <c r="R318" s="89" t="s">
        <v>198</v>
      </c>
      <c r="S318" s="89" t="s">
        <v>21572</v>
      </c>
      <c r="T318" s="89" t="s">
        <v>21573</v>
      </c>
      <c r="U318" s="89" t="str">
        <f>TRIM('Carga Tributária doenças Po (2'!$L318)</f>
        <v>NIMESULIDA</v>
      </c>
      <c r="V318" s="89">
        <f>SUMIFS('Tabela Federal'!$E$4:$E$2069,'Tabela Federal'!$D$4:$D$2069,'Carga Tributária doenças Po (2'!$L318)</f>
        <v>1</v>
      </c>
      <c r="W318" s="89">
        <f>SUMIFS('Tabela Federal'!$E$4:$E$2069,'Tabela Federal'!$D$4:$D$2069,'Carga Tributária doenças Po (2'!$M318)</f>
        <v>0</v>
      </c>
      <c r="X318" s="89">
        <f>SUMIFS('Tabela Federal'!$E$4:$E$2069,'Tabela Federal'!$D$4:$D$2069,'Carga Tributária doenças Po (2'!$N318)</f>
        <v>0</v>
      </c>
      <c r="Y318" s="89">
        <f>SUMIFS('Tabela Federal'!$E$4:$E$2069,'Tabela Federal'!$D$4:$D$2069,'Carga Tributária doenças Po (2'!$O318)</f>
        <v>0</v>
      </c>
      <c r="Z318" s="92" t="str">
        <f>VLOOKUP('Carga Tributária doenças Po (2'!$AD318,'Carga Tributária doenças Po (2'!$CA$12:$CC$16,2,0)</f>
        <v>+</v>
      </c>
      <c r="AA318" s="89" t="s">
        <v>252</v>
      </c>
      <c r="AB318" s="89" t="s">
        <v>21755</v>
      </c>
      <c r="AC318" s="89" t="s">
        <v>21721</v>
      </c>
      <c r="AD318" s="93" t="s">
        <v>21722</v>
      </c>
      <c r="AE318" s="92" t="s">
        <v>2</v>
      </c>
      <c r="AF318" s="92" t="s">
        <v>10</v>
      </c>
      <c r="AG318" s="94">
        <v>4619309</v>
      </c>
      <c r="AH318" s="95">
        <v>25848363</v>
      </c>
      <c r="AI318" s="95">
        <v>58925076.289999999</v>
      </c>
      <c r="AJ318" s="89" t="s">
        <v>394</v>
      </c>
      <c r="AK318" s="89">
        <f>IF('Carga Tributária doenças Po (2'!$Z318="+",0,SUMIFS(PISCOFINS!$I$3:$I$10518,PISCOFINS!$C$3:$C$10518,'Carga Tributária doenças Po (2'!$C318))</f>
        <v>0</v>
      </c>
      <c r="AL318" s="89">
        <f>IF('Carga Tributária doenças Po (2'!$Z318="+",0,SUMIFS(PISCOFINS!$H$3:$H$10518,PISCOFINS!$C$3:$C$10518,'Carga Tributária doenças Po (2'!$C318))</f>
        <v>0</v>
      </c>
      <c r="AM318" s="95">
        <v>3.27</v>
      </c>
      <c r="AN318" s="95">
        <v>3.12</v>
      </c>
      <c r="AO318" s="95">
        <v>1.35</v>
      </c>
      <c r="AP318" s="96">
        <v>18</v>
      </c>
      <c r="AQ318" s="96">
        <v>12</v>
      </c>
      <c r="AR318" s="96">
        <v>17</v>
      </c>
      <c r="AS318" s="97">
        <v>17</v>
      </c>
      <c r="AT318" s="97">
        <v>19</v>
      </c>
      <c r="AU318" s="97">
        <v>12</v>
      </c>
      <c r="AV318" s="97">
        <v>17</v>
      </c>
      <c r="AW318" s="97">
        <v>17</v>
      </c>
      <c r="AX318" s="97">
        <v>17</v>
      </c>
      <c r="AY318" s="97">
        <v>17</v>
      </c>
      <c r="AZ318" s="97">
        <v>17</v>
      </c>
      <c r="BA318" s="97">
        <v>17</v>
      </c>
      <c r="BB318" s="97">
        <v>17</v>
      </c>
      <c r="BC318" s="97">
        <v>17</v>
      </c>
      <c r="BD318" s="97">
        <v>17</v>
      </c>
      <c r="BE318" s="97">
        <v>17</v>
      </c>
      <c r="BF318" s="97">
        <f>+Tabela1107[[#This Row],[PIS]]+Tabela1107[[#This Row],[COFINS]]+Tabela1107[[#This Row],[CONTRIB. FOLHA]]+Tabela1107[[#This Row],[TRIBUTOS S/ LUCRO]]+Tabela1107[[#This Row],[OUTROS]]+Tabela1107[[#This Row],[SP]]</f>
        <v>25.740000000000002</v>
      </c>
      <c r="BG318" s="97">
        <f>+Tabela1107[[#This Row],[PIS]]+Tabela1107[[#This Row],[COFINS]]+Tabela1107[[#This Row],[CONTRIB. FOLHA]]+Tabela1107[[#This Row],[TRIBUTOS S/ LUCRO]]+Tabela1107[[#This Row],[OUTROS]]+Tabela1107[[#This Row],[PR]]</f>
        <v>19.740000000000002</v>
      </c>
      <c r="BH318" s="97">
        <f>+Tabela1107[[#This Row],[PIS]]+Tabela1107[[#This Row],[COFINS]]+Tabela1107[[#This Row],[CONTRIB. FOLHA]]+Tabela1107[[#This Row],[TRIBUTOS S/ LUCRO]]+Tabela1107[[#This Row],[OUTROS]]+Tabela1107[[#This Row],[SC]]</f>
        <v>24.740000000000002</v>
      </c>
      <c r="BI318" s="97">
        <f>+Tabela1107[[#This Row],[PIS]]+Tabela1107[[#This Row],[COFINS]]+Tabela1107[[#This Row],[CONTRIB. FOLHA]]+Tabela1107[[#This Row],[TRIBUTOS S/ LUCRO]]+Tabela1107[[#This Row],[OUTROS]]+Tabela1107[[#This Row],[RS]]</f>
        <v>24.740000000000002</v>
      </c>
      <c r="BJ318" s="97">
        <f>+Tabela1107[[#This Row],[PIS]]+Tabela1107[[#This Row],[COFINS]]+Tabela1107[[#This Row],[CONTRIB. FOLHA]]+Tabela1107[[#This Row],[TRIBUTOS S/ LUCRO]]+Tabela1107[[#This Row],[OUTROS]]+Tabela1107[[#This Row],[RJ]]</f>
        <v>26.740000000000002</v>
      </c>
      <c r="BK318" s="97">
        <f>+Tabela1107[[#This Row],[PIS]]+Tabela1107[[#This Row],[COFINS]]+Tabela1107[[#This Row],[CONTRIB. FOLHA]]+Tabela1107[[#This Row],[TRIBUTOS S/ LUCRO]]+Tabela1107[[#This Row],[OUTROS]]+Tabela1107[[#This Row],[MG]]</f>
        <v>19.740000000000002</v>
      </c>
      <c r="BL318" s="97">
        <f>+Tabela1107[[#This Row],[PIS]]+Tabela1107[[#This Row],[COFINS]]+Tabela1107[[#This Row],[CONTRIB. FOLHA]]+Tabela1107[[#This Row],[TRIBUTOS S/ LUCRO]]+Tabela1107[[#This Row],[OUTROS]]+Tabela1107[[#This Row],[ES]]</f>
        <v>24.740000000000002</v>
      </c>
      <c r="BM318" s="97">
        <f>+Tabela1107[[#This Row],[PIS]]+Tabela1107[[#This Row],[COFINS]]+Tabela1107[[#This Row],[CONTRIB. FOLHA]]+Tabela1107[[#This Row],[TRIBUTOS S/ LUCRO]]+Tabela1107[[#This Row],[OUTROS]]+Tabela1107[[#This Row],[GO]]</f>
        <v>24.740000000000002</v>
      </c>
      <c r="BN318" s="97">
        <f>+Tabela1107[[#This Row],[PIS]]+Tabela1107[[#This Row],[COFINS]]+Tabela1107[[#This Row],[CONTRIB. FOLHA]]+Tabela1107[[#This Row],[TRIBUTOS S/ LUCRO]]+Tabela1107[[#This Row],[OUTROS]]+Tabela1107[[#This Row],[MT]]</f>
        <v>24.740000000000002</v>
      </c>
      <c r="BO318" s="97">
        <f>+Tabela1107[[#This Row],[PIS]]+Tabela1107[[#This Row],[COFINS]]+Tabela1107[[#This Row],[CONTRIB. FOLHA]]+Tabela1107[[#This Row],[TRIBUTOS S/ LUCRO]]+Tabela1107[[#This Row],[OUTROS]]+Tabela1107[[#This Row],[MS]]</f>
        <v>24.740000000000002</v>
      </c>
      <c r="BP318" s="97">
        <f>+Tabela1107[[#This Row],[PIS]]+Tabela1107[[#This Row],[COFINS]]+Tabela1107[[#This Row],[CONTRIB. FOLHA]]+Tabela1107[[#This Row],[TRIBUTOS S/ LUCRO]]+Tabela1107[[#This Row],[OUTROS]]+Tabela1107[[#This Row],[DF]]</f>
        <v>24.740000000000002</v>
      </c>
      <c r="BQ318" s="97">
        <f>+Tabela1107[[#This Row],[PIS]]+Tabela1107[[#This Row],[COFINS]]+Tabela1107[[#This Row],[CONTRIB. FOLHA]]+Tabela1107[[#This Row],[TRIBUTOS S/ LUCRO]]+Tabela1107[[#This Row],[OUTROS]]+Tabela1107[[#This Row],[BA]]</f>
        <v>24.740000000000002</v>
      </c>
      <c r="BR318" s="97">
        <f>+Tabela1107[[#This Row],[PIS]]+Tabela1107[[#This Row],[COFINS]]+Tabela1107[[#This Row],[CONTRIB. FOLHA]]+Tabela1107[[#This Row],[TRIBUTOS S/ LUCRO]]+Tabela1107[[#This Row],[OUTROS]]+Tabela1107[[#This Row],[BA]]</f>
        <v>24.740000000000002</v>
      </c>
      <c r="BS318" s="97">
        <f>+Tabela1107[[#This Row],[PIS]]+Tabela1107[[#This Row],[COFINS]]+Tabela1107[[#This Row],[CONTRIB. FOLHA]]+Tabela1107[[#This Row],[TRIBUTOS S/ LUCRO]]+Tabela1107[[#This Row],[OUTROS]]+Tabela1107[[#This Row],[PE]]</f>
        <v>24.740000000000002</v>
      </c>
      <c r="BT318" s="97">
        <f>+Tabela1107[[#This Row],[PIS]]+Tabela1107[[#This Row],[COFINS]]+Tabela1107[[#This Row],[CONTRIB. FOLHA]]+Tabela1107[[#This Row],[TRIBUTOS S/ LUCRO]]+Tabela1107[[#This Row],[OUTROS]]+Tabela1107[[#This Row],[PA]]</f>
        <v>24.740000000000002</v>
      </c>
      <c r="BU318" s="97">
        <f>+Tabela1107[[#This Row],[PIS]]+Tabela1107[[#This Row],[COFINS]]+Tabela1107[[#This Row],[CONTRIB. FOLHA]]+Tabela1107[[#This Row],[TRIBUTOS S/ LUCRO]]+Tabela1107[[#This Row],[OUTROS]]+Tabela1107[[#This Row],[AM]]</f>
        <v>24.740000000000002</v>
      </c>
      <c r="BV318" s="97">
        <f>AVERAGE(Tabela1107[[#This Row],[TOTAL SP]:[TOTAL AM]])</f>
        <v>24.302500000000006</v>
      </c>
      <c r="BW318" s="97"/>
      <c r="BX318" s="97"/>
    </row>
    <row r="319" spans="2:76" x14ac:dyDescent="0.25">
      <c r="B319" s="89">
        <v>22359</v>
      </c>
      <c r="C319" s="91" t="s">
        <v>13177</v>
      </c>
      <c r="D319" s="89"/>
      <c r="E319" s="89">
        <v>20140626</v>
      </c>
      <c r="F319" s="89" t="s">
        <v>20688</v>
      </c>
      <c r="G319" s="89" t="s">
        <v>20689</v>
      </c>
      <c r="H319" s="89" t="s">
        <v>20690</v>
      </c>
      <c r="I319" s="89" t="s">
        <v>2640</v>
      </c>
      <c r="J319" s="89" t="s">
        <v>385</v>
      </c>
      <c r="K319" s="99" t="s">
        <v>2568</v>
      </c>
      <c r="L319" s="89" t="s">
        <v>2640</v>
      </c>
      <c r="M319" s="89" t="s">
        <v>4496</v>
      </c>
      <c r="N319" s="89" t="s">
        <v>4496</v>
      </c>
      <c r="O319" s="89" t="s">
        <v>4496</v>
      </c>
      <c r="P319" s="89" t="s">
        <v>4496</v>
      </c>
      <c r="Q319" s="89"/>
      <c r="R319" s="89" t="s">
        <v>29</v>
      </c>
      <c r="S319" s="89" t="s">
        <v>21616</v>
      </c>
      <c r="T319" s="89" t="s">
        <v>21617</v>
      </c>
      <c r="U319" s="89" t="str">
        <f>TRIM('Carga Tributária doenças Po (2'!$L319)</f>
        <v>NIMESULIDA</v>
      </c>
      <c r="V319" s="89">
        <f>SUMIFS('Tabela Federal'!$E$4:$E$2069,'Tabela Federal'!$D$4:$D$2069,'Carga Tributária doenças Po (2'!$L319)</f>
        <v>1</v>
      </c>
      <c r="W319" s="89">
        <f>SUMIFS('Tabela Federal'!$E$4:$E$2069,'Tabela Federal'!$D$4:$D$2069,'Carga Tributária doenças Po (2'!$M319)</f>
        <v>0</v>
      </c>
      <c r="X319" s="89">
        <f>SUMIFS('Tabela Federal'!$E$4:$E$2069,'Tabela Federal'!$D$4:$D$2069,'Carga Tributária doenças Po (2'!$N319)</f>
        <v>0</v>
      </c>
      <c r="Y319" s="89">
        <f>SUMIFS('Tabela Federal'!$E$4:$E$2069,'Tabela Federal'!$D$4:$D$2069,'Carga Tributária doenças Po (2'!$O319)</f>
        <v>0</v>
      </c>
      <c r="Z319" s="92" t="str">
        <f>VLOOKUP('Carga Tributária doenças Po (2'!$AD319,'Carga Tributária doenças Po (2'!$CA$12:$CC$16,2,0)</f>
        <v>+</v>
      </c>
      <c r="AA319" s="89" t="s">
        <v>252</v>
      </c>
      <c r="AB319" s="89" t="s">
        <v>21755</v>
      </c>
      <c r="AC319" s="89" t="s">
        <v>21721</v>
      </c>
      <c r="AD319" s="93" t="s">
        <v>21722</v>
      </c>
      <c r="AE319" s="92" t="s">
        <v>2</v>
      </c>
      <c r="AF319" s="92" t="s">
        <v>10</v>
      </c>
      <c r="AG319" s="94">
        <v>5246586</v>
      </c>
      <c r="AH319" s="95">
        <v>32988133</v>
      </c>
      <c r="AI319" s="95">
        <v>75165689.219999999</v>
      </c>
      <c r="AJ319" s="89" t="s">
        <v>460</v>
      </c>
      <c r="AK319" s="89">
        <f>IF('Carga Tributária doenças Po (2'!$Z319="+",0,SUMIFS(PISCOFINS!$I$3:$I$10518,PISCOFINS!$C$3:$C$10518,'Carga Tributária doenças Po (2'!$C319))</f>
        <v>0</v>
      </c>
      <c r="AL319" s="89">
        <f>IF('Carga Tributária doenças Po (2'!$Z319="+",0,SUMIFS(PISCOFINS!$H$3:$H$10518,PISCOFINS!$C$3:$C$10518,'Carga Tributária doenças Po (2'!$C319))</f>
        <v>0</v>
      </c>
      <c r="AM319" s="95">
        <v>3.27</v>
      </c>
      <c r="AN319" s="95">
        <v>3.12</v>
      </c>
      <c r="AO319" s="95">
        <v>1.35</v>
      </c>
      <c r="AP319" s="96">
        <v>18</v>
      </c>
      <c r="AQ319" s="96">
        <v>12</v>
      </c>
      <c r="AR319" s="96">
        <v>17</v>
      </c>
      <c r="AS319" s="97">
        <v>17</v>
      </c>
      <c r="AT319" s="97">
        <v>19</v>
      </c>
      <c r="AU319" s="97">
        <v>12</v>
      </c>
      <c r="AV319" s="97">
        <v>17</v>
      </c>
      <c r="AW319" s="97">
        <v>17</v>
      </c>
      <c r="AX319" s="97">
        <v>17</v>
      </c>
      <c r="AY319" s="97">
        <v>17</v>
      </c>
      <c r="AZ319" s="97">
        <v>17</v>
      </c>
      <c r="BA319" s="97">
        <v>17</v>
      </c>
      <c r="BB319" s="97">
        <v>17</v>
      </c>
      <c r="BC319" s="97">
        <v>17</v>
      </c>
      <c r="BD319" s="97">
        <v>17</v>
      </c>
      <c r="BE319" s="97">
        <v>17</v>
      </c>
      <c r="BF319" s="97">
        <f>+Tabela1107[[#This Row],[PIS]]+Tabela1107[[#This Row],[COFINS]]+Tabela1107[[#This Row],[CONTRIB. FOLHA]]+Tabela1107[[#This Row],[TRIBUTOS S/ LUCRO]]+Tabela1107[[#This Row],[OUTROS]]+Tabela1107[[#This Row],[SP]]</f>
        <v>25.740000000000002</v>
      </c>
      <c r="BG319" s="97">
        <f>+Tabela1107[[#This Row],[PIS]]+Tabela1107[[#This Row],[COFINS]]+Tabela1107[[#This Row],[CONTRIB. FOLHA]]+Tabela1107[[#This Row],[TRIBUTOS S/ LUCRO]]+Tabela1107[[#This Row],[OUTROS]]+Tabela1107[[#This Row],[PR]]</f>
        <v>19.740000000000002</v>
      </c>
      <c r="BH319" s="97">
        <f>+Tabela1107[[#This Row],[PIS]]+Tabela1107[[#This Row],[COFINS]]+Tabela1107[[#This Row],[CONTRIB. FOLHA]]+Tabela1107[[#This Row],[TRIBUTOS S/ LUCRO]]+Tabela1107[[#This Row],[OUTROS]]+Tabela1107[[#This Row],[SC]]</f>
        <v>24.740000000000002</v>
      </c>
      <c r="BI319" s="97">
        <f>+Tabela1107[[#This Row],[PIS]]+Tabela1107[[#This Row],[COFINS]]+Tabela1107[[#This Row],[CONTRIB. FOLHA]]+Tabela1107[[#This Row],[TRIBUTOS S/ LUCRO]]+Tabela1107[[#This Row],[OUTROS]]+Tabela1107[[#This Row],[RS]]</f>
        <v>24.740000000000002</v>
      </c>
      <c r="BJ319" s="97">
        <f>+Tabela1107[[#This Row],[PIS]]+Tabela1107[[#This Row],[COFINS]]+Tabela1107[[#This Row],[CONTRIB. FOLHA]]+Tabela1107[[#This Row],[TRIBUTOS S/ LUCRO]]+Tabela1107[[#This Row],[OUTROS]]+Tabela1107[[#This Row],[RJ]]</f>
        <v>26.740000000000002</v>
      </c>
      <c r="BK319" s="97">
        <f>+Tabela1107[[#This Row],[PIS]]+Tabela1107[[#This Row],[COFINS]]+Tabela1107[[#This Row],[CONTRIB. FOLHA]]+Tabela1107[[#This Row],[TRIBUTOS S/ LUCRO]]+Tabela1107[[#This Row],[OUTROS]]+Tabela1107[[#This Row],[MG]]</f>
        <v>19.740000000000002</v>
      </c>
      <c r="BL319" s="97">
        <f>+Tabela1107[[#This Row],[PIS]]+Tabela1107[[#This Row],[COFINS]]+Tabela1107[[#This Row],[CONTRIB. FOLHA]]+Tabela1107[[#This Row],[TRIBUTOS S/ LUCRO]]+Tabela1107[[#This Row],[OUTROS]]+Tabela1107[[#This Row],[ES]]</f>
        <v>24.740000000000002</v>
      </c>
      <c r="BM319" s="97">
        <f>+Tabela1107[[#This Row],[PIS]]+Tabela1107[[#This Row],[COFINS]]+Tabela1107[[#This Row],[CONTRIB. FOLHA]]+Tabela1107[[#This Row],[TRIBUTOS S/ LUCRO]]+Tabela1107[[#This Row],[OUTROS]]+Tabela1107[[#This Row],[GO]]</f>
        <v>24.740000000000002</v>
      </c>
      <c r="BN319" s="97">
        <f>+Tabela1107[[#This Row],[PIS]]+Tabela1107[[#This Row],[COFINS]]+Tabela1107[[#This Row],[CONTRIB. FOLHA]]+Tabela1107[[#This Row],[TRIBUTOS S/ LUCRO]]+Tabela1107[[#This Row],[OUTROS]]+Tabela1107[[#This Row],[MT]]</f>
        <v>24.740000000000002</v>
      </c>
      <c r="BO319" s="97">
        <f>+Tabela1107[[#This Row],[PIS]]+Tabela1107[[#This Row],[COFINS]]+Tabela1107[[#This Row],[CONTRIB. FOLHA]]+Tabela1107[[#This Row],[TRIBUTOS S/ LUCRO]]+Tabela1107[[#This Row],[OUTROS]]+Tabela1107[[#This Row],[MS]]</f>
        <v>24.740000000000002</v>
      </c>
      <c r="BP319" s="97">
        <f>+Tabela1107[[#This Row],[PIS]]+Tabela1107[[#This Row],[COFINS]]+Tabela1107[[#This Row],[CONTRIB. FOLHA]]+Tabela1107[[#This Row],[TRIBUTOS S/ LUCRO]]+Tabela1107[[#This Row],[OUTROS]]+Tabela1107[[#This Row],[DF]]</f>
        <v>24.740000000000002</v>
      </c>
      <c r="BQ319" s="97">
        <f>+Tabela1107[[#This Row],[PIS]]+Tabela1107[[#This Row],[COFINS]]+Tabela1107[[#This Row],[CONTRIB. FOLHA]]+Tabela1107[[#This Row],[TRIBUTOS S/ LUCRO]]+Tabela1107[[#This Row],[OUTROS]]+Tabela1107[[#This Row],[BA]]</f>
        <v>24.740000000000002</v>
      </c>
      <c r="BR319" s="97">
        <f>+Tabela1107[[#This Row],[PIS]]+Tabela1107[[#This Row],[COFINS]]+Tabela1107[[#This Row],[CONTRIB. FOLHA]]+Tabela1107[[#This Row],[TRIBUTOS S/ LUCRO]]+Tabela1107[[#This Row],[OUTROS]]+Tabela1107[[#This Row],[BA]]</f>
        <v>24.740000000000002</v>
      </c>
      <c r="BS319" s="97">
        <f>+Tabela1107[[#This Row],[PIS]]+Tabela1107[[#This Row],[COFINS]]+Tabela1107[[#This Row],[CONTRIB. FOLHA]]+Tabela1107[[#This Row],[TRIBUTOS S/ LUCRO]]+Tabela1107[[#This Row],[OUTROS]]+Tabela1107[[#This Row],[PE]]</f>
        <v>24.740000000000002</v>
      </c>
      <c r="BT319" s="97">
        <f>+Tabela1107[[#This Row],[PIS]]+Tabela1107[[#This Row],[COFINS]]+Tabela1107[[#This Row],[CONTRIB. FOLHA]]+Tabela1107[[#This Row],[TRIBUTOS S/ LUCRO]]+Tabela1107[[#This Row],[OUTROS]]+Tabela1107[[#This Row],[PA]]</f>
        <v>24.740000000000002</v>
      </c>
      <c r="BU319" s="97">
        <f>+Tabela1107[[#This Row],[PIS]]+Tabela1107[[#This Row],[COFINS]]+Tabela1107[[#This Row],[CONTRIB. FOLHA]]+Tabela1107[[#This Row],[TRIBUTOS S/ LUCRO]]+Tabela1107[[#This Row],[OUTROS]]+Tabela1107[[#This Row],[AM]]</f>
        <v>24.740000000000002</v>
      </c>
      <c r="BV319" s="97">
        <f>AVERAGE(Tabela1107[[#This Row],[TOTAL SP]:[TOTAL AM]])</f>
        <v>24.302500000000006</v>
      </c>
      <c r="BW319" s="97"/>
      <c r="BX319" s="97"/>
    </row>
    <row r="320" spans="2:76" x14ac:dyDescent="0.25">
      <c r="B320" s="89">
        <v>22359</v>
      </c>
      <c r="C320" s="91" t="s">
        <v>13177</v>
      </c>
      <c r="D320" s="89"/>
      <c r="E320" s="89">
        <v>20140626</v>
      </c>
      <c r="F320" s="89" t="s">
        <v>20688</v>
      </c>
      <c r="G320" s="89" t="s">
        <v>20689</v>
      </c>
      <c r="H320" s="89" t="s">
        <v>20690</v>
      </c>
      <c r="I320" s="89" t="s">
        <v>2640</v>
      </c>
      <c r="J320" s="89" t="s">
        <v>385</v>
      </c>
      <c r="K320" s="99" t="s">
        <v>2568</v>
      </c>
      <c r="L320" s="89" t="s">
        <v>2640</v>
      </c>
      <c r="M320" s="89" t="s">
        <v>4496</v>
      </c>
      <c r="N320" s="89" t="s">
        <v>4496</v>
      </c>
      <c r="O320" s="89" t="s">
        <v>4496</v>
      </c>
      <c r="P320" s="89" t="s">
        <v>4496</v>
      </c>
      <c r="Q320" s="89"/>
      <c r="R320" s="89" t="s">
        <v>29</v>
      </c>
      <c r="S320" s="89" t="s">
        <v>21616</v>
      </c>
      <c r="T320" s="89" t="s">
        <v>21617</v>
      </c>
      <c r="U320" s="89" t="str">
        <f>TRIM('Carga Tributária doenças Po (2'!$L320)</f>
        <v>NIMESULIDA</v>
      </c>
      <c r="V320" s="89">
        <f>SUMIFS('Tabela Federal'!$E$4:$E$2069,'Tabela Federal'!$D$4:$D$2069,'Carga Tributária doenças Po (2'!$L320)</f>
        <v>1</v>
      </c>
      <c r="W320" s="89">
        <f>SUMIFS('Tabela Federal'!$E$4:$E$2069,'Tabela Federal'!$D$4:$D$2069,'Carga Tributária doenças Po (2'!$M320)</f>
        <v>0</v>
      </c>
      <c r="X320" s="89">
        <f>SUMIFS('Tabela Federal'!$E$4:$E$2069,'Tabela Federal'!$D$4:$D$2069,'Carga Tributária doenças Po (2'!$N320)</f>
        <v>0</v>
      </c>
      <c r="Y320" s="89">
        <f>SUMIFS('Tabela Federal'!$E$4:$E$2069,'Tabela Federal'!$D$4:$D$2069,'Carga Tributária doenças Po (2'!$O320)</f>
        <v>0</v>
      </c>
      <c r="Z320" s="92" t="str">
        <f>VLOOKUP('Carga Tributária doenças Po (2'!$AD320,'Carga Tributária doenças Po (2'!$CA$12:$CC$16,2,0)</f>
        <v>+</v>
      </c>
      <c r="AA320" s="89" t="s">
        <v>252</v>
      </c>
      <c r="AB320" s="89" t="s">
        <v>21755</v>
      </c>
      <c r="AC320" s="89" t="s">
        <v>21721</v>
      </c>
      <c r="AD320" s="93" t="s">
        <v>21722</v>
      </c>
      <c r="AE320" s="92" t="s">
        <v>2</v>
      </c>
      <c r="AF320" s="92" t="s">
        <v>10</v>
      </c>
      <c r="AG320" s="94">
        <v>5246586</v>
      </c>
      <c r="AH320" s="95">
        <v>32988133</v>
      </c>
      <c r="AI320" s="95">
        <v>75165689.219999999</v>
      </c>
      <c r="AJ320" s="89" t="s">
        <v>394</v>
      </c>
      <c r="AK320" s="89">
        <f>IF('Carga Tributária doenças Po (2'!$Z320="+",0,SUMIFS(PISCOFINS!$I$3:$I$10518,PISCOFINS!$C$3:$C$10518,'Carga Tributária doenças Po (2'!$C320))</f>
        <v>0</v>
      </c>
      <c r="AL320" s="89">
        <f>IF('Carga Tributária doenças Po (2'!$Z320="+",0,SUMIFS(PISCOFINS!$H$3:$H$10518,PISCOFINS!$C$3:$C$10518,'Carga Tributária doenças Po (2'!$C320))</f>
        <v>0</v>
      </c>
      <c r="AM320" s="95">
        <v>3.27</v>
      </c>
      <c r="AN320" s="95">
        <v>3.12</v>
      </c>
      <c r="AO320" s="95">
        <v>1.35</v>
      </c>
      <c r="AP320" s="96">
        <v>18</v>
      </c>
      <c r="AQ320" s="96">
        <v>12</v>
      </c>
      <c r="AR320" s="96">
        <v>17</v>
      </c>
      <c r="AS320" s="97">
        <v>17</v>
      </c>
      <c r="AT320" s="97">
        <v>19</v>
      </c>
      <c r="AU320" s="97">
        <v>12</v>
      </c>
      <c r="AV320" s="97">
        <v>17</v>
      </c>
      <c r="AW320" s="97">
        <v>17</v>
      </c>
      <c r="AX320" s="97">
        <v>17</v>
      </c>
      <c r="AY320" s="97">
        <v>17</v>
      </c>
      <c r="AZ320" s="97">
        <v>17</v>
      </c>
      <c r="BA320" s="97">
        <v>17</v>
      </c>
      <c r="BB320" s="97">
        <v>17</v>
      </c>
      <c r="BC320" s="97">
        <v>17</v>
      </c>
      <c r="BD320" s="97">
        <v>17</v>
      </c>
      <c r="BE320" s="97">
        <v>17</v>
      </c>
      <c r="BF320" s="97">
        <f>+Tabela1107[[#This Row],[PIS]]+Tabela1107[[#This Row],[COFINS]]+Tabela1107[[#This Row],[CONTRIB. FOLHA]]+Tabela1107[[#This Row],[TRIBUTOS S/ LUCRO]]+Tabela1107[[#This Row],[OUTROS]]+Tabela1107[[#This Row],[SP]]</f>
        <v>25.740000000000002</v>
      </c>
      <c r="BG320" s="97">
        <f>+Tabela1107[[#This Row],[PIS]]+Tabela1107[[#This Row],[COFINS]]+Tabela1107[[#This Row],[CONTRIB. FOLHA]]+Tabela1107[[#This Row],[TRIBUTOS S/ LUCRO]]+Tabela1107[[#This Row],[OUTROS]]+Tabela1107[[#This Row],[PR]]</f>
        <v>19.740000000000002</v>
      </c>
      <c r="BH320" s="97">
        <f>+Tabela1107[[#This Row],[PIS]]+Tabela1107[[#This Row],[COFINS]]+Tabela1107[[#This Row],[CONTRIB. FOLHA]]+Tabela1107[[#This Row],[TRIBUTOS S/ LUCRO]]+Tabela1107[[#This Row],[OUTROS]]+Tabela1107[[#This Row],[SC]]</f>
        <v>24.740000000000002</v>
      </c>
      <c r="BI320" s="97">
        <f>+Tabela1107[[#This Row],[PIS]]+Tabela1107[[#This Row],[COFINS]]+Tabela1107[[#This Row],[CONTRIB. FOLHA]]+Tabela1107[[#This Row],[TRIBUTOS S/ LUCRO]]+Tabela1107[[#This Row],[OUTROS]]+Tabela1107[[#This Row],[RS]]</f>
        <v>24.740000000000002</v>
      </c>
      <c r="BJ320" s="97">
        <f>+Tabela1107[[#This Row],[PIS]]+Tabela1107[[#This Row],[COFINS]]+Tabela1107[[#This Row],[CONTRIB. FOLHA]]+Tabela1107[[#This Row],[TRIBUTOS S/ LUCRO]]+Tabela1107[[#This Row],[OUTROS]]+Tabela1107[[#This Row],[RJ]]</f>
        <v>26.740000000000002</v>
      </c>
      <c r="BK320" s="97">
        <f>+Tabela1107[[#This Row],[PIS]]+Tabela1107[[#This Row],[COFINS]]+Tabela1107[[#This Row],[CONTRIB. FOLHA]]+Tabela1107[[#This Row],[TRIBUTOS S/ LUCRO]]+Tabela1107[[#This Row],[OUTROS]]+Tabela1107[[#This Row],[MG]]</f>
        <v>19.740000000000002</v>
      </c>
      <c r="BL320" s="97">
        <f>+Tabela1107[[#This Row],[PIS]]+Tabela1107[[#This Row],[COFINS]]+Tabela1107[[#This Row],[CONTRIB. FOLHA]]+Tabela1107[[#This Row],[TRIBUTOS S/ LUCRO]]+Tabela1107[[#This Row],[OUTROS]]+Tabela1107[[#This Row],[ES]]</f>
        <v>24.740000000000002</v>
      </c>
      <c r="BM320" s="97">
        <f>+Tabela1107[[#This Row],[PIS]]+Tabela1107[[#This Row],[COFINS]]+Tabela1107[[#This Row],[CONTRIB. FOLHA]]+Tabela1107[[#This Row],[TRIBUTOS S/ LUCRO]]+Tabela1107[[#This Row],[OUTROS]]+Tabela1107[[#This Row],[GO]]</f>
        <v>24.740000000000002</v>
      </c>
      <c r="BN320" s="97">
        <f>+Tabela1107[[#This Row],[PIS]]+Tabela1107[[#This Row],[COFINS]]+Tabela1107[[#This Row],[CONTRIB. FOLHA]]+Tabela1107[[#This Row],[TRIBUTOS S/ LUCRO]]+Tabela1107[[#This Row],[OUTROS]]+Tabela1107[[#This Row],[MT]]</f>
        <v>24.740000000000002</v>
      </c>
      <c r="BO320" s="97">
        <f>+Tabela1107[[#This Row],[PIS]]+Tabela1107[[#This Row],[COFINS]]+Tabela1107[[#This Row],[CONTRIB. FOLHA]]+Tabela1107[[#This Row],[TRIBUTOS S/ LUCRO]]+Tabela1107[[#This Row],[OUTROS]]+Tabela1107[[#This Row],[MS]]</f>
        <v>24.740000000000002</v>
      </c>
      <c r="BP320" s="97">
        <f>+Tabela1107[[#This Row],[PIS]]+Tabela1107[[#This Row],[COFINS]]+Tabela1107[[#This Row],[CONTRIB. FOLHA]]+Tabela1107[[#This Row],[TRIBUTOS S/ LUCRO]]+Tabela1107[[#This Row],[OUTROS]]+Tabela1107[[#This Row],[DF]]</f>
        <v>24.740000000000002</v>
      </c>
      <c r="BQ320" s="97">
        <f>+Tabela1107[[#This Row],[PIS]]+Tabela1107[[#This Row],[COFINS]]+Tabela1107[[#This Row],[CONTRIB. FOLHA]]+Tabela1107[[#This Row],[TRIBUTOS S/ LUCRO]]+Tabela1107[[#This Row],[OUTROS]]+Tabela1107[[#This Row],[BA]]</f>
        <v>24.740000000000002</v>
      </c>
      <c r="BR320" s="97">
        <f>+Tabela1107[[#This Row],[PIS]]+Tabela1107[[#This Row],[COFINS]]+Tabela1107[[#This Row],[CONTRIB. FOLHA]]+Tabela1107[[#This Row],[TRIBUTOS S/ LUCRO]]+Tabela1107[[#This Row],[OUTROS]]+Tabela1107[[#This Row],[BA]]</f>
        <v>24.740000000000002</v>
      </c>
      <c r="BS320" s="97">
        <f>+Tabela1107[[#This Row],[PIS]]+Tabela1107[[#This Row],[COFINS]]+Tabela1107[[#This Row],[CONTRIB. FOLHA]]+Tabela1107[[#This Row],[TRIBUTOS S/ LUCRO]]+Tabela1107[[#This Row],[OUTROS]]+Tabela1107[[#This Row],[PE]]</f>
        <v>24.740000000000002</v>
      </c>
      <c r="BT320" s="97">
        <f>+Tabela1107[[#This Row],[PIS]]+Tabela1107[[#This Row],[COFINS]]+Tabela1107[[#This Row],[CONTRIB. FOLHA]]+Tabela1107[[#This Row],[TRIBUTOS S/ LUCRO]]+Tabela1107[[#This Row],[OUTROS]]+Tabela1107[[#This Row],[PA]]</f>
        <v>24.740000000000002</v>
      </c>
      <c r="BU320" s="97">
        <f>+Tabela1107[[#This Row],[PIS]]+Tabela1107[[#This Row],[COFINS]]+Tabela1107[[#This Row],[CONTRIB. FOLHA]]+Tabela1107[[#This Row],[TRIBUTOS S/ LUCRO]]+Tabela1107[[#This Row],[OUTROS]]+Tabela1107[[#This Row],[AM]]</f>
        <v>24.740000000000002</v>
      </c>
      <c r="BV320" s="97">
        <f>AVERAGE(Tabela1107[[#This Row],[TOTAL SP]:[TOTAL AM]])</f>
        <v>24.302500000000006</v>
      </c>
      <c r="BW320" s="97"/>
      <c r="BX320" s="97"/>
    </row>
    <row r="321" spans="2:76" x14ac:dyDescent="0.25">
      <c r="B321" s="89">
        <v>21328</v>
      </c>
      <c r="C321" s="91" t="s">
        <v>13113</v>
      </c>
      <c r="D321" s="89"/>
      <c r="E321" s="89">
        <v>20140626</v>
      </c>
      <c r="F321" s="89" t="s">
        <v>20825</v>
      </c>
      <c r="G321" s="89" t="s">
        <v>20826</v>
      </c>
      <c r="H321" s="89" t="s">
        <v>20827</v>
      </c>
      <c r="I321" s="89" t="s">
        <v>20815</v>
      </c>
      <c r="J321" s="89" t="s">
        <v>233</v>
      </c>
      <c r="K321" s="99" t="s">
        <v>2725</v>
      </c>
      <c r="L321" s="101" t="s">
        <v>2801</v>
      </c>
      <c r="M321" s="89" t="s">
        <v>4496</v>
      </c>
      <c r="N321" s="101" t="s">
        <v>4496</v>
      </c>
      <c r="O321" s="101" t="s">
        <v>4496</v>
      </c>
      <c r="P321" s="89" t="s">
        <v>4496</v>
      </c>
      <c r="Q321" s="89"/>
      <c r="R321" s="89" t="s">
        <v>44</v>
      </c>
      <c r="S321" s="89" t="s">
        <v>21580</v>
      </c>
      <c r="T321" s="89" t="s">
        <v>21581</v>
      </c>
      <c r="U321" s="89" t="str">
        <f>TRIM('Carga Tributária doenças Po (2'!$L321)</f>
        <v>NICOTINA</v>
      </c>
      <c r="V321" s="89">
        <f>SUMIFS('Tabela Federal'!$E$4:$E$2069,'Tabela Federal'!$D$4:$D$2069,'Carga Tributária doenças Po (2'!$L321)</f>
        <v>1</v>
      </c>
      <c r="W321" s="89">
        <f>SUMIFS('Tabela Federal'!$E$4:$E$2069,'Tabela Federal'!$D$4:$D$2069,'Carga Tributária doenças Po (2'!$M321)</f>
        <v>0</v>
      </c>
      <c r="X321" s="89">
        <f>SUMIFS('Tabela Federal'!$E$4:$E$2069,'Tabela Federal'!$D$4:$D$2069,'Carga Tributária doenças Po (2'!$N321)</f>
        <v>0</v>
      </c>
      <c r="Y321" s="89">
        <f>SUMIFS('Tabela Federal'!$E$4:$E$2069,'Tabela Federal'!$D$4:$D$2069,'Carga Tributária doenças Po (2'!$O321)</f>
        <v>0</v>
      </c>
      <c r="Z321" s="92" t="str">
        <f>VLOOKUP('Carga Tributária doenças Po (2'!$AD321,'Carga Tributária doenças Po (2'!$CA$12:$CC$16,2,0)</f>
        <v>-</v>
      </c>
      <c r="AA321" s="89" t="s">
        <v>229</v>
      </c>
      <c r="AB321" s="89" t="s">
        <v>21889</v>
      </c>
      <c r="AC321" s="89" t="s">
        <v>21740</v>
      </c>
      <c r="AD321" s="93" t="s">
        <v>19523</v>
      </c>
      <c r="AE321" s="92" t="s">
        <v>4</v>
      </c>
      <c r="AF321" s="92" t="s">
        <v>3</v>
      </c>
      <c r="AG321" s="94">
        <v>114150</v>
      </c>
      <c r="AH321" s="95">
        <v>2191480</v>
      </c>
      <c r="AI321" s="95">
        <v>5026524.6500000004</v>
      </c>
      <c r="AJ321" s="89" t="s">
        <v>240</v>
      </c>
      <c r="AK321" s="89">
        <f>IF('Carga Tributária doenças Po (2'!$Z321="+",0,SUMIFS(PISCOFINS!$I$3:$I$10518,PISCOFINS!$C$3:$C$10518,'Carga Tributária doenças Po (2'!$C321))</f>
        <v>2.1</v>
      </c>
      <c r="AL321" s="89">
        <f>IF('Carga Tributária doenças Po (2'!$Z321="+",0,SUMIFS(PISCOFINS!$H$3:$H$10518,PISCOFINS!$C$3:$C$10518,'Carga Tributária doenças Po (2'!$C321))</f>
        <v>9.9</v>
      </c>
      <c r="AM321" s="95">
        <v>3.27</v>
      </c>
      <c r="AN321" s="95">
        <v>3.12</v>
      </c>
      <c r="AO321" s="95">
        <v>1.35</v>
      </c>
      <c r="AP321" s="96">
        <v>18</v>
      </c>
      <c r="AQ321" s="96">
        <v>12</v>
      </c>
      <c r="AR321" s="96">
        <v>17</v>
      </c>
      <c r="AS321" s="97">
        <v>17</v>
      </c>
      <c r="AT321" s="97">
        <v>19</v>
      </c>
      <c r="AU321" s="97">
        <v>18</v>
      </c>
      <c r="AV321" s="97">
        <v>17</v>
      </c>
      <c r="AW321" s="97">
        <v>17</v>
      </c>
      <c r="AX321" s="97">
        <v>17</v>
      </c>
      <c r="AY321" s="97">
        <v>17</v>
      </c>
      <c r="AZ321" s="97">
        <v>17</v>
      </c>
      <c r="BA321" s="97">
        <v>17</v>
      </c>
      <c r="BB321" s="97">
        <v>17</v>
      </c>
      <c r="BC321" s="97">
        <v>17</v>
      </c>
      <c r="BD321" s="97">
        <v>17</v>
      </c>
      <c r="BE321" s="97">
        <v>17</v>
      </c>
      <c r="BF321" s="97">
        <f>+Tabela1107[[#This Row],[PIS]]+Tabela1107[[#This Row],[COFINS]]+Tabela1107[[#This Row],[CONTRIB. FOLHA]]+Tabela1107[[#This Row],[TRIBUTOS S/ LUCRO]]+Tabela1107[[#This Row],[OUTROS]]+Tabela1107[[#This Row],[SP]]</f>
        <v>37.74</v>
      </c>
      <c r="BG321" s="97">
        <f>+Tabela1107[[#This Row],[PIS]]+Tabela1107[[#This Row],[COFINS]]+Tabela1107[[#This Row],[CONTRIB. FOLHA]]+Tabela1107[[#This Row],[TRIBUTOS S/ LUCRO]]+Tabela1107[[#This Row],[OUTROS]]+Tabela1107[[#This Row],[PR]]</f>
        <v>31.740000000000002</v>
      </c>
      <c r="BH321" s="97">
        <f>+Tabela1107[[#This Row],[PIS]]+Tabela1107[[#This Row],[COFINS]]+Tabela1107[[#This Row],[CONTRIB. FOLHA]]+Tabela1107[[#This Row],[TRIBUTOS S/ LUCRO]]+Tabela1107[[#This Row],[OUTROS]]+Tabela1107[[#This Row],[SC]]</f>
        <v>36.74</v>
      </c>
      <c r="BI321" s="97">
        <f>+Tabela1107[[#This Row],[PIS]]+Tabela1107[[#This Row],[COFINS]]+Tabela1107[[#This Row],[CONTRIB. FOLHA]]+Tabela1107[[#This Row],[TRIBUTOS S/ LUCRO]]+Tabela1107[[#This Row],[OUTROS]]+Tabela1107[[#This Row],[RS]]</f>
        <v>36.74</v>
      </c>
      <c r="BJ321" s="97">
        <f>+Tabela1107[[#This Row],[PIS]]+Tabela1107[[#This Row],[COFINS]]+Tabela1107[[#This Row],[CONTRIB. FOLHA]]+Tabela1107[[#This Row],[TRIBUTOS S/ LUCRO]]+Tabela1107[[#This Row],[OUTROS]]+Tabela1107[[#This Row],[RJ]]</f>
        <v>38.74</v>
      </c>
      <c r="BK321" s="97">
        <f>+Tabela1107[[#This Row],[PIS]]+Tabela1107[[#This Row],[COFINS]]+Tabela1107[[#This Row],[CONTRIB. FOLHA]]+Tabela1107[[#This Row],[TRIBUTOS S/ LUCRO]]+Tabela1107[[#This Row],[OUTROS]]+Tabela1107[[#This Row],[MG]]</f>
        <v>37.74</v>
      </c>
      <c r="BL321" s="97">
        <f>+Tabela1107[[#This Row],[PIS]]+Tabela1107[[#This Row],[COFINS]]+Tabela1107[[#This Row],[CONTRIB. FOLHA]]+Tabela1107[[#This Row],[TRIBUTOS S/ LUCRO]]+Tabela1107[[#This Row],[OUTROS]]+Tabela1107[[#This Row],[ES]]</f>
        <v>36.74</v>
      </c>
      <c r="BM321" s="97">
        <f>+Tabela1107[[#This Row],[PIS]]+Tabela1107[[#This Row],[COFINS]]+Tabela1107[[#This Row],[CONTRIB. FOLHA]]+Tabela1107[[#This Row],[TRIBUTOS S/ LUCRO]]+Tabela1107[[#This Row],[OUTROS]]+Tabela1107[[#This Row],[GO]]</f>
        <v>36.74</v>
      </c>
      <c r="BN321" s="97">
        <f>+Tabela1107[[#This Row],[PIS]]+Tabela1107[[#This Row],[COFINS]]+Tabela1107[[#This Row],[CONTRIB. FOLHA]]+Tabela1107[[#This Row],[TRIBUTOS S/ LUCRO]]+Tabela1107[[#This Row],[OUTROS]]+Tabela1107[[#This Row],[MT]]</f>
        <v>36.74</v>
      </c>
      <c r="BO321" s="97">
        <f>+Tabela1107[[#This Row],[PIS]]+Tabela1107[[#This Row],[COFINS]]+Tabela1107[[#This Row],[CONTRIB. FOLHA]]+Tabela1107[[#This Row],[TRIBUTOS S/ LUCRO]]+Tabela1107[[#This Row],[OUTROS]]+Tabela1107[[#This Row],[MS]]</f>
        <v>36.74</v>
      </c>
      <c r="BP321" s="97">
        <f>+Tabela1107[[#This Row],[PIS]]+Tabela1107[[#This Row],[COFINS]]+Tabela1107[[#This Row],[CONTRIB. FOLHA]]+Tabela1107[[#This Row],[TRIBUTOS S/ LUCRO]]+Tabela1107[[#This Row],[OUTROS]]+Tabela1107[[#This Row],[DF]]</f>
        <v>36.74</v>
      </c>
      <c r="BQ321" s="97">
        <f>+Tabela1107[[#This Row],[PIS]]+Tabela1107[[#This Row],[COFINS]]+Tabela1107[[#This Row],[CONTRIB. FOLHA]]+Tabela1107[[#This Row],[TRIBUTOS S/ LUCRO]]+Tabela1107[[#This Row],[OUTROS]]+Tabela1107[[#This Row],[BA]]</f>
        <v>36.74</v>
      </c>
      <c r="BR321" s="97">
        <f>+Tabela1107[[#This Row],[PIS]]+Tabela1107[[#This Row],[COFINS]]+Tabela1107[[#This Row],[CONTRIB. FOLHA]]+Tabela1107[[#This Row],[TRIBUTOS S/ LUCRO]]+Tabela1107[[#This Row],[OUTROS]]+Tabela1107[[#This Row],[BA]]</f>
        <v>36.74</v>
      </c>
      <c r="BS321" s="97">
        <f>+Tabela1107[[#This Row],[PIS]]+Tabela1107[[#This Row],[COFINS]]+Tabela1107[[#This Row],[CONTRIB. FOLHA]]+Tabela1107[[#This Row],[TRIBUTOS S/ LUCRO]]+Tabela1107[[#This Row],[OUTROS]]+Tabela1107[[#This Row],[PE]]</f>
        <v>36.74</v>
      </c>
      <c r="BT321" s="97">
        <f>+Tabela1107[[#This Row],[PIS]]+Tabela1107[[#This Row],[COFINS]]+Tabela1107[[#This Row],[CONTRIB. FOLHA]]+Tabela1107[[#This Row],[TRIBUTOS S/ LUCRO]]+Tabela1107[[#This Row],[OUTROS]]+Tabela1107[[#This Row],[PA]]</f>
        <v>36.74</v>
      </c>
      <c r="BU321" s="97">
        <f>+Tabela1107[[#This Row],[PIS]]+Tabela1107[[#This Row],[COFINS]]+Tabela1107[[#This Row],[CONTRIB. FOLHA]]+Tabela1107[[#This Row],[TRIBUTOS S/ LUCRO]]+Tabela1107[[#This Row],[OUTROS]]+Tabela1107[[#This Row],[AM]]</f>
        <v>36.74</v>
      </c>
      <c r="BV321" s="97">
        <f>AVERAGE(Tabela1107[[#This Row],[TOTAL SP]:[TOTAL AM]])</f>
        <v>36.677500000000002</v>
      </c>
      <c r="BW321" s="97"/>
      <c r="BX321" s="97"/>
    </row>
    <row r="322" spans="2:76" x14ac:dyDescent="0.25">
      <c r="B322" s="89">
        <v>21330</v>
      </c>
      <c r="C322" s="91" t="s">
        <v>13113</v>
      </c>
      <c r="D322" s="89"/>
      <c r="E322" s="89">
        <v>20140626</v>
      </c>
      <c r="F322" s="89" t="s">
        <v>20819</v>
      </c>
      <c r="G322" s="89" t="s">
        <v>20820</v>
      </c>
      <c r="H322" s="89" t="s">
        <v>20821</v>
      </c>
      <c r="I322" s="89" t="s">
        <v>20815</v>
      </c>
      <c r="J322" s="89" t="s">
        <v>236</v>
      </c>
      <c r="K322" s="101" t="s">
        <v>2725</v>
      </c>
      <c r="L322" s="101" t="s">
        <v>2801</v>
      </c>
      <c r="M322" s="89" t="s">
        <v>4496</v>
      </c>
      <c r="N322" s="101" t="s">
        <v>4496</v>
      </c>
      <c r="O322" s="101" t="s">
        <v>4496</v>
      </c>
      <c r="P322" s="89" t="s">
        <v>4496</v>
      </c>
      <c r="Q322" s="89"/>
      <c r="R322" s="89" t="s">
        <v>44</v>
      </c>
      <c r="S322" s="89" t="s">
        <v>21580</v>
      </c>
      <c r="T322" s="89" t="s">
        <v>21581</v>
      </c>
      <c r="U322" s="89" t="str">
        <f>TRIM('Carga Tributária doenças Po (2'!$L322)</f>
        <v>NICOTINA</v>
      </c>
      <c r="V322" s="89">
        <f>SUMIFS('Tabela Federal'!$E$4:$E$2069,'Tabela Federal'!$D$4:$D$2069,'Carga Tributária doenças Po (2'!$L322)</f>
        <v>1</v>
      </c>
      <c r="W322" s="89">
        <f>SUMIFS('Tabela Federal'!$E$4:$E$2069,'Tabela Federal'!$D$4:$D$2069,'Carga Tributária doenças Po (2'!$M322)</f>
        <v>0</v>
      </c>
      <c r="X322" s="89">
        <f>SUMIFS('Tabela Federal'!$E$4:$E$2069,'Tabela Federal'!$D$4:$D$2069,'Carga Tributária doenças Po (2'!$N322)</f>
        <v>0</v>
      </c>
      <c r="Y322" s="89">
        <f>SUMIFS('Tabela Federal'!$E$4:$E$2069,'Tabela Federal'!$D$4:$D$2069,'Carga Tributária doenças Po (2'!$O322)</f>
        <v>0</v>
      </c>
      <c r="Z322" s="92" t="str">
        <f>VLOOKUP('Carga Tributária doenças Po (2'!$AD322,'Carga Tributária doenças Po (2'!$CA$12:$CC$16,2,0)</f>
        <v>+</v>
      </c>
      <c r="AA322" s="89" t="s">
        <v>229</v>
      </c>
      <c r="AB322" s="89" t="s">
        <v>21889</v>
      </c>
      <c r="AC322" s="89" t="s">
        <v>21740</v>
      </c>
      <c r="AD322" s="93" t="s">
        <v>21722</v>
      </c>
      <c r="AE322" s="92" t="s">
        <v>4</v>
      </c>
      <c r="AF322" s="92" t="s">
        <v>3</v>
      </c>
      <c r="AG322" s="94">
        <v>50582</v>
      </c>
      <c r="AH322" s="95">
        <v>832298</v>
      </c>
      <c r="AI322" s="95">
        <v>1896820.64</v>
      </c>
      <c r="AJ322" s="89" t="s">
        <v>240</v>
      </c>
      <c r="AK322" s="89">
        <f>IF('Carga Tributária doenças Po (2'!$Z322="+",0,SUMIFS(PISCOFINS!$I$3:$I$10518,PISCOFINS!$C$3:$C$10518,'Carga Tributária doenças Po (2'!$C322))</f>
        <v>0</v>
      </c>
      <c r="AL322" s="89">
        <f>IF('Carga Tributária doenças Po (2'!$Z322="+",0,SUMIFS(PISCOFINS!$H$3:$H$10518,PISCOFINS!$C$3:$C$10518,'Carga Tributária doenças Po (2'!$C322))</f>
        <v>0</v>
      </c>
      <c r="AM322" s="95">
        <v>3.27</v>
      </c>
      <c r="AN322" s="95">
        <v>3.12</v>
      </c>
      <c r="AO322" s="95">
        <v>1.35</v>
      </c>
      <c r="AP322" s="96">
        <v>18</v>
      </c>
      <c r="AQ322" s="96">
        <v>12</v>
      </c>
      <c r="AR322" s="96">
        <v>17</v>
      </c>
      <c r="AS322" s="97">
        <v>17</v>
      </c>
      <c r="AT322" s="97">
        <v>19</v>
      </c>
      <c r="AU322" s="97">
        <v>18</v>
      </c>
      <c r="AV322" s="97">
        <v>17</v>
      </c>
      <c r="AW322" s="97">
        <v>17</v>
      </c>
      <c r="AX322" s="97">
        <v>17</v>
      </c>
      <c r="AY322" s="97">
        <v>17</v>
      </c>
      <c r="AZ322" s="97">
        <v>17</v>
      </c>
      <c r="BA322" s="97">
        <v>17</v>
      </c>
      <c r="BB322" s="97">
        <v>17</v>
      </c>
      <c r="BC322" s="97">
        <v>17</v>
      </c>
      <c r="BD322" s="97">
        <v>17</v>
      </c>
      <c r="BE322" s="97">
        <v>17</v>
      </c>
      <c r="BF322" s="97">
        <f>+Tabela1107[[#This Row],[PIS]]+Tabela1107[[#This Row],[COFINS]]+Tabela1107[[#This Row],[CONTRIB. FOLHA]]+Tabela1107[[#This Row],[TRIBUTOS S/ LUCRO]]+Tabela1107[[#This Row],[OUTROS]]+Tabela1107[[#This Row],[SP]]</f>
        <v>25.740000000000002</v>
      </c>
      <c r="BG322" s="97">
        <f>+Tabela1107[[#This Row],[PIS]]+Tabela1107[[#This Row],[COFINS]]+Tabela1107[[#This Row],[CONTRIB. FOLHA]]+Tabela1107[[#This Row],[TRIBUTOS S/ LUCRO]]+Tabela1107[[#This Row],[OUTROS]]+Tabela1107[[#This Row],[PR]]</f>
        <v>19.740000000000002</v>
      </c>
      <c r="BH322" s="97">
        <f>+Tabela1107[[#This Row],[PIS]]+Tabela1107[[#This Row],[COFINS]]+Tabela1107[[#This Row],[CONTRIB. FOLHA]]+Tabela1107[[#This Row],[TRIBUTOS S/ LUCRO]]+Tabela1107[[#This Row],[OUTROS]]+Tabela1107[[#This Row],[SC]]</f>
        <v>24.740000000000002</v>
      </c>
      <c r="BI322" s="97">
        <f>+Tabela1107[[#This Row],[PIS]]+Tabela1107[[#This Row],[COFINS]]+Tabela1107[[#This Row],[CONTRIB. FOLHA]]+Tabela1107[[#This Row],[TRIBUTOS S/ LUCRO]]+Tabela1107[[#This Row],[OUTROS]]+Tabela1107[[#This Row],[RS]]</f>
        <v>24.740000000000002</v>
      </c>
      <c r="BJ322" s="97">
        <f>+Tabela1107[[#This Row],[PIS]]+Tabela1107[[#This Row],[COFINS]]+Tabela1107[[#This Row],[CONTRIB. FOLHA]]+Tabela1107[[#This Row],[TRIBUTOS S/ LUCRO]]+Tabela1107[[#This Row],[OUTROS]]+Tabela1107[[#This Row],[RJ]]</f>
        <v>26.740000000000002</v>
      </c>
      <c r="BK322" s="97">
        <f>+Tabela1107[[#This Row],[PIS]]+Tabela1107[[#This Row],[COFINS]]+Tabela1107[[#This Row],[CONTRIB. FOLHA]]+Tabela1107[[#This Row],[TRIBUTOS S/ LUCRO]]+Tabela1107[[#This Row],[OUTROS]]+Tabela1107[[#This Row],[MG]]</f>
        <v>25.740000000000002</v>
      </c>
      <c r="BL322" s="97">
        <f>+Tabela1107[[#This Row],[PIS]]+Tabela1107[[#This Row],[COFINS]]+Tabela1107[[#This Row],[CONTRIB. FOLHA]]+Tabela1107[[#This Row],[TRIBUTOS S/ LUCRO]]+Tabela1107[[#This Row],[OUTROS]]+Tabela1107[[#This Row],[ES]]</f>
        <v>24.740000000000002</v>
      </c>
      <c r="BM322" s="97">
        <f>+Tabela1107[[#This Row],[PIS]]+Tabela1107[[#This Row],[COFINS]]+Tabela1107[[#This Row],[CONTRIB. FOLHA]]+Tabela1107[[#This Row],[TRIBUTOS S/ LUCRO]]+Tabela1107[[#This Row],[OUTROS]]+Tabela1107[[#This Row],[GO]]</f>
        <v>24.740000000000002</v>
      </c>
      <c r="BN322" s="97">
        <f>+Tabela1107[[#This Row],[PIS]]+Tabela1107[[#This Row],[COFINS]]+Tabela1107[[#This Row],[CONTRIB. FOLHA]]+Tabela1107[[#This Row],[TRIBUTOS S/ LUCRO]]+Tabela1107[[#This Row],[OUTROS]]+Tabela1107[[#This Row],[MT]]</f>
        <v>24.740000000000002</v>
      </c>
      <c r="BO322" s="97">
        <f>+Tabela1107[[#This Row],[PIS]]+Tabela1107[[#This Row],[COFINS]]+Tabela1107[[#This Row],[CONTRIB. FOLHA]]+Tabela1107[[#This Row],[TRIBUTOS S/ LUCRO]]+Tabela1107[[#This Row],[OUTROS]]+Tabela1107[[#This Row],[MS]]</f>
        <v>24.740000000000002</v>
      </c>
      <c r="BP322" s="97">
        <f>+Tabela1107[[#This Row],[PIS]]+Tabela1107[[#This Row],[COFINS]]+Tabela1107[[#This Row],[CONTRIB. FOLHA]]+Tabela1107[[#This Row],[TRIBUTOS S/ LUCRO]]+Tabela1107[[#This Row],[OUTROS]]+Tabela1107[[#This Row],[DF]]</f>
        <v>24.740000000000002</v>
      </c>
      <c r="BQ322" s="97">
        <f>+Tabela1107[[#This Row],[PIS]]+Tabela1107[[#This Row],[COFINS]]+Tabela1107[[#This Row],[CONTRIB. FOLHA]]+Tabela1107[[#This Row],[TRIBUTOS S/ LUCRO]]+Tabela1107[[#This Row],[OUTROS]]+Tabela1107[[#This Row],[BA]]</f>
        <v>24.740000000000002</v>
      </c>
      <c r="BR322" s="97">
        <f>+Tabela1107[[#This Row],[PIS]]+Tabela1107[[#This Row],[COFINS]]+Tabela1107[[#This Row],[CONTRIB. FOLHA]]+Tabela1107[[#This Row],[TRIBUTOS S/ LUCRO]]+Tabela1107[[#This Row],[OUTROS]]+Tabela1107[[#This Row],[BA]]</f>
        <v>24.740000000000002</v>
      </c>
      <c r="BS322" s="97">
        <f>+Tabela1107[[#This Row],[PIS]]+Tabela1107[[#This Row],[COFINS]]+Tabela1107[[#This Row],[CONTRIB. FOLHA]]+Tabela1107[[#This Row],[TRIBUTOS S/ LUCRO]]+Tabela1107[[#This Row],[OUTROS]]+Tabela1107[[#This Row],[PE]]</f>
        <v>24.740000000000002</v>
      </c>
      <c r="BT322" s="97">
        <f>+Tabela1107[[#This Row],[PIS]]+Tabela1107[[#This Row],[COFINS]]+Tabela1107[[#This Row],[CONTRIB. FOLHA]]+Tabela1107[[#This Row],[TRIBUTOS S/ LUCRO]]+Tabela1107[[#This Row],[OUTROS]]+Tabela1107[[#This Row],[PA]]</f>
        <v>24.740000000000002</v>
      </c>
      <c r="BU322" s="97">
        <f>+Tabela1107[[#This Row],[PIS]]+Tabela1107[[#This Row],[COFINS]]+Tabela1107[[#This Row],[CONTRIB. FOLHA]]+Tabela1107[[#This Row],[TRIBUTOS S/ LUCRO]]+Tabela1107[[#This Row],[OUTROS]]+Tabela1107[[#This Row],[AM]]</f>
        <v>24.740000000000002</v>
      </c>
      <c r="BV322" s="97">
        <f>AVERAGE(Tabela1107[[#This Row],[TOTAL SP]:[TOTAL AM]])</f>
        <v>24.677500000000006</v>
      </c>
      <c r="BW322" s="97"/>
      <c r="BX322" s="97"/>
    </row>
    <row r="323" spans="2:76" x14ac:dyDescent="0.25">
      <c r="B323" s="89">
        <v>21331</v>
      </c>
      <c r="C323" s="91" t="s">
        <v>13113</v>
      </c>
      <c r="D323" s="89"/>
      <c r="E323" s="89">
        <v>20140626</v>
      </c>
      <c r="F323" s="89" t="s">
        <v>20812</v>
      </c>
      <c r="G323" s="89" t="s">
        <v>20813</v>
      </c>
      <c r="H323" s="89" t="s">
        <v>20814</v>
      </c>
      <c r="I323" s="89" t="s">
        <v>20815</v>
      </c>
      <c r="J323" s="89" t="s">
        <v>232</v>
      </c>
      <c r="K323" s="101" t="s">
        <v>2725</v>
      </c>
      <c r="L323" s="101" t="s">
        <v>2801</v>
      </c>
      <c r="M323" s="89" t="s">
        <v>4496</v>
      </c>
      <c r="N323" s="101" t="s">
        <v>4496</v>
      </c>
      <c r="O323" s="101" t="s">
        <v>4496</v>
      </c>
      <c r="P323" s="89" t="s">
        <v>4496</v>
      </c>
      <c r="Q323" s="89"/>
      <c r="R323" s="89" t="s">
        <v>44</v>
      </c>
      <c r="S323" s="89" t="s">
        <v>21580</v>
      </c>
      <c r="T323" s="89" t="s">
        <v>21581</v>
      </c>
      <c r="U323" s="89" t="str">
        <f>TRIM('Carga Tributária doenças Po (2'!$L323)</f>
        <v>NICOTINA</v>
      </c>
      <c r="V323" s="89">
        <f>SUMIFS('Tabela Federal'!$E$4:$E$2069,'Tabela Federal'!$D$4:$D$2069,'Carga Tributária doenças Po (2'!$L323)</f>
        <v>1</v>
      </c>
      <c r="W323" s="89">
        <f>SUMIFS('Tabela Federal'!$E$4:$E$2069,'Tabela Federal'!$D$4:$D$2069,'Carga Tributária doenças Po (2'!$M323)</f>
        <v>0</v>
      </c>
      <c r="X323" s="89">
        <f>SUMIFS('Tabela Federal'!$E$4:$E$2069,'Tabela Federal'!$D$4:$D$2069,'Carga Tributária doenças Po (2'!$N323)</f>
        <v>0</v>
      </c>
      <c r="Y323" s="89">
        <f>SUMIFS('Tabela Federal'!$E$4:$E$2069,'Tabela Federal'!$D$4:$D$2069,'Carga Tributária doenças Po (2'!$O323)</f>
        <v>0</v>
      </c>
      <c r="Z323" s="92" t="str">
        <f>VLOOKUP('Carga Tributária doenças Po (2'!$AD323,'Carga Tributária doenças Po (2'!$CA$12:$CC$16,2,0)</f>
        <v>+</v>
      </c>
      <c r="AA323" s="89" t="s">
        <v>229</v>
      </c>
      <c r="AB323" s="89" t="s">
        <v>21889</v>
      </c>
      <c r="AC323" s="89" t="s">
        <v>21740</v>
      </c>
      <c r="AD323" s="93" t="s">
        <v>21722</v>
      </c>
      <c r="AE323" s="92" t="s">
        <v>4</v>
      </c>
      <c r="AF323" s="92" t="s">
        <v>3</v>
      </c>
      <c r="AG323" s="94">
        <v>122279</v>
      </c>
      <c r="AH323" s="95">
        <v>2105772</v>
      </c>
      <c r="AI323" s="95">
        <v>4800196.13</v>
      </c>
      <c r="AJ323" s="89" t="s">
        <v>240</v>
      </c>
      <c r="AK323" s="89">
        <f>IF('Carga Tributária doenças Po (2'!$Z323="+",0,SUMIFS(PISCOFINS!$I$3:$I$10518,PISCOFINS!$C$3:$C$10518,'Carga Tributária doenças Po (2'!$C323))</f>
        <v>0</v>
      </c>
      <c r="AL323" s="89">
        <f>IF('Carga Tributária doenças Po (2'!$Z323="+",0,SUMIFS(PISCOFINS!$H$3:$H$10518,PISCOFINS!$C$3:$C$10518,'Carga Tributária doenças Po (2'!$C323))</f>
        <v>0</v>
      </c>
      <c r="AM323" s="95">
        <v>3.27</v>
      </c>
      <c r="AN323" s="95">
        <v>3.12</v>
      </c>
      <c r="AO323" s="95">
        <v>1.35</v>
      </c>
      <c r="AP323" s="96">
        <v>18</v>
      </c>
      <c r="AQ323" s="96">
        <v>12</v>
      </c>
      <c r="AR323" s="96">
        <v>17</v>
      </c>
      <c r="AS323" s="97">
        <v>17</v>
      </c>
      <c r="AT323" s="97">
        <v>19</v>
      </c>
      <c r="AU323" s="97">
        <v>18</v>
      </c>
      <c r="AV323" s="97">
        <v>17</v>
      </c>
      <c r="AW323" s="97">
        <v>17</v>
      </c>
      <c r="AX323" s="97">
        <v>17</v>
      </c>
      <c r="AY323" s="97">
        <v>17</v>
      </c>
      <c r="AZ323" s="97">
        <v>17</v>
      </c>
      <c r="BA323" s="97">
        <v>17</v>
      </c>
      <c r="BB323" s="97">
        <v>17</v>
      </c>
      <c r="BC323" s="97">
        <v>17</v>
      </c>
      <c r="BD323" s="97">
        <v>17</v>
      </c>
      <c r="BE323" s="97">
        <v>17</v>
      </c>
      <c r="BF323" s="97">
        <f>+Tabela1107[[#This Row],[PIS]]+Tabela1107[[#This Row],[COFINS]]+Tabela1107[[#This Row],[CONTRIB. FOLHA]]+Tabela1107[[#This Row],[TRIBUTOS S/ LUCRO]]+Tabela1107[[#This Row],[OUTROS]]+Tabela1107[[#This Row],[SP]]</f>
        <v>25.740000000000002</v>
      </c>
      <c r="BG323" s="97">
        <f>+Tabela1107[[#This Row],[PIS]]+Tabela1107[[#This Row],[COFINS]]+Tabela1107[[#This Row],[CONTRIB. FOLHA]]+Tabela1107[[#This Row],[TRIBUTOS S/ LUCRO]]+Tabela1107[[#This Row],[OUTROS]]+Tabela1107[[#This Row],[PR]]</f>
        <v>19.740000000000002</v>
      </c>
      <c r="BH323" s="97">
        <f>+Tabela1107[[#This Row],[PIS]]+Tabela1107[[#This Row],[COFINS]]+Tabela1107[[#This Row],[CONTRIB. FOLHA]]+Tabela1107[[#This Row],[TRIBUTOS S/ LUCRO]]+Tabela1107[[#This Row],[OUTROS]]+Tabela1107[[#This Row],[SC]]</f>
        <v>24.740000000000002</v>
      </c>
      <c r="BI323" s="97">
        <f>+Tabela1107[[#This Row],[PIS]]+Tabela1107[[#This Row],[COFINS]]+Tabela1107[[#This Row],[CONTRIB. FOLHA]]+Tabela1107[[#This Row],[TRIBUTOS S/ LUCRO]]+Tabela1107[[#This Row],[OUTROS]]+Tabela1107[[#This Row],[RS]]</f>
        <v>24.740000000000002</v>
      </c>
      <c r="BJ323" s="97">
        <f>+Tabela1107[[#This Row],[PIS]]+Tabela1107[[#This Row],[COFINS]]+Tabela1107[[#This Row],[CONTRIB. FOLHA]]+Tabela1107[[#This Row],[TRIBUTOS S/ LUCRO]]+Tabela1107[[#This Row],[OUTROS]]+Tabela1107[[#This Row],[RJ]]</f>
        <v>26.740000000000002</v>
      </c>
      <c r="BK323" s="97">
        <f>+Tabela1107[[#This Row],[PIS]]+Tabela1107[[#This Row],[COFINS]]+Tabela1107[[#This Row],[CONTRIB. FOLHA]]+Tabela1107[[#This Row],[TRIBUTOS S/ LUCRO]]+Tabela1107[[#This Row],[OUTROS]]+Tabela1107[[#This Row],[MG]]</f>
        <v>25.740000000000002</v>
      </c>
      <c r="BL323" s="97">
        <f>+Tabela1107[[#This Row],[PIS]]+Tabela1107[[#This Row],[COFINS]]+Tabela1107[[#This Row],[CONTRIB. FOLHA]]+Tabela1107[[#This Row],[TRIBUTOS S/ LUCRO]]+Tabela1107[[#This Row],[OUTROS]]+Tabela1107[[#This Row],[ES]]</f>
        <v>24.740000000000002</v>
      </c>
      <c r="BM323" s="97">
        <f>+Tabela1107[[#This Row],[PIS]]+Tabela1107[[#This Row],[COFINS]]+Tabela1107[[#This Row],[CONTRIB. FOLHA]]+Tabela1107[[#This Row],[TRIBUTOS S/ LUCRO]]+Tabela1107[[#This Row],[OUTROS]]+Tabela1107[[#This Row],[GO]]</f>
        <v>24.740000000000002</v>
      </c>
      <c r="BN323" s="97">
        <f>+Tabela1107[[#This Row],[PIS]]+Tabela1107[[#This Row],[COFINS]]+Tabela1107[[#This Row],[CONTRIB. FOLHA]]+Tabela1107[[#This Row],[TRIBUTOS S/ LUCRO]]+Tabela1107[[#This Row],[OUTROS]]+Tabela1107[[#This Row],[MT]]</f>
        <v>24.740000000000002</v>
      </c>
      <c r="BO323" s="97">
        <f>+Tabela1107[[#This Row],[PIS]]+Tabela1107[[#This Row],[COFINS]]+Tabela1107[[#This Row],[CONTRIB. FOLHA]]+Tabela1107[[#This Row],[TRIBUTOS S/ LUCRO]]+Tabela1107[[#This Row],[OUTROS]]+Tabela1107[[#This Row],[MS]]</f>
        <v>24.740000000000002</v>
      </c>
      <c r="BP323" s="97">
        <f>+Tabela1107[[#This Row],[PIS]]+Tabela1107[[#This Row],[COFINS]]+Tabela1107[[#This Row],[CONTRIB. FOLHA]]+Tabela1107[[#This Row],[TRIBUTOS S/ LUCRO]]+Tabela1107[[#This Row],[OUTROS]]+Tabela1107[[#This Row],[DF]]</f>
        <v>24.740000000000002</v>
      </c>
      <c r="BQ323" s="97">
        <f>+Tabela1107[[#This Row],[PIS]]+Tabela1107[[#This Row],[COFINS]]+Tabela1107[[#This Row],[CONTRIB. FOLHA]]+Tabela1107[[#This Row],[TRIBUTOS S/ LUCRO]]+Tabela1107[[#This Row],[OUTROS]]+Tabela1107[[#This Row],[BA]]</f>
        <v>24.740000000000002</v>
      </c>
      <c r="BR323" s="97">
        <f>+Tabela1107[[#This Row],[PIS]]+Tabela1107[[#This Row],[COFINS]]+Tabela1107[[#This Row],[CONTRIB. FOLHA]]+Tabela1107[[#This Row],[TRIBUTOS S/ LUCRO]]+Tabela1107[[#This Row],[OUTROS]]+Tabela1107[[#This Row],[BA]]</f>
        <v>24.740000000000002</v>
      </c>
      <c r="BS323" s="97">
        <f>+Tabela1107[[#This Row],[PIS]]+Tabela1107[[#This Row],[COFINS]]+Tabela1107[[#This Row],[CONTRIB. FOLHA]]+Tabela1107[[#This Row],[TRIBUTOS S/ LUCRO]]+Tabela1107[[#This Row],[OUTROS]]+Tabela1107[[#This Row],[PE]]</f>
        <v>24.740000000000002</v>
      </c>
      <c r="BT323" s="97">
        <f>+Tabela1107[[#This Row],[PIS]]+Tabela1107[[#This Row],[COFINS]]+Tabela1107[[#This Row],[CONTRIB. FOLHA]]+Tabela1107[[#This Row],[TRIBUTOS S/ LUCRO]]+Tabela1107[[#This Row],[OUTROS]]+Tabela1107[[#This Row],[PA]]</f>
        <v>24.740000000000002</v>
      </c>
      <c r="BU323" s="97">
        <f>+Tabela1107[[#This Row],[PIS]]+Tabela1107[[#This Row],[COFINS]]+Tabela1107[[#This Row],[CONTRIB. FOLHA]]+Tabela1107[[#This Row],[TRIBUTOS S/ LUCRO]]+Tabela1107[[#This Row],[OUTROS]]+Tabela1107[[#This Row],[AM]]</f>
        <v>24.740000000000002</v>
      </c>
      <c r="BV323" s="97">
        <f>AVERAGE(Tabela1107[[#This Row],[TOTAL SP]:[TOTAL AM]])</f>
        <v>24.677500000000006</v>
      </c>
      <c r="BW323" s="97"/>
      <c r="BX323" s="97"/>
    </row>
    <row r="324" spans="2:76" x14ac:dyDescent="0.25">
      <c r="B324" s="89">
        <v>21332</v>
      </c>
      <c r="C324" s="91" t="s">
        <v>13113</v>
      </c>
      <c r="D324" s="89"/>
      <c r="E324" s="89">
        <v>20140626</v>
      </c>
      <c r="F324" s="89" t="s">
        <v>20822</v>
      </c>
      <c r="G324" s="89" t="s">
        <v>20823</v>
      </c>
      <c r="H324" s="89" t="s">
        <v>20824</v>
      </c>
      <c r="I324" s="89" t="s">
        <v>20815</v>
      </c>
      <c r="J324" s="89" t="s">
        <v>234</v>
      </c>
      <c r="K324" s="101" t="s">
        <v>2725</v>
      </c>
      <c r="L324" s="101" t="s">
        <v>2801</v>
      </c>
      <c r="M324" s="89" t="s">
        <v>4496</v>
      </c>
      <c r="N324" s="101" t="s">
        <v>4496</v>
      </c>
      <c r="O324" s="101" t="s">
        <v>4496</v>
      </c>
      <c r="P324" s="89" t="s">
        <v>4496</v>
      </c>
      <c r="Q324" s="89"/>
      <c r="R324" s="89" t="s">
        <v>44</v>
      </c>
      <c r="S324" s="89" t="s">
        <v>21580</v>
      </c>
      <c r="T324" s="89" t="s">
        <v>21581</v>
      </c>
      <c r="U324" s="89" t="str">
        <f>TRIM('Carga Tributária doenças Po (2'!$L324)</f>
        <v>NICOTINA</v>
      </c>
      <c r="V324" s="89">
        <f>SUMIFS('Tabela Federal'!$E$4:$E$2069,'Tabela Federal'!$D$4:$D$2069,'Carga Tributária doenças Po (2'!$L324)</f>
        <v>1</v>
      </c>
      <c r="W324" s="89">
        <f>SUMIFS('Tabela Federal'!$E$4:$E$2069,'Tabela Federal'!$D$4:$D$2069,'Carga Tributária doenças Po (2'!$M324)</f>
        <v>0</v>
      </c>
      <c r="X324" s="89">
        <f>SUMIFS('Tabela Federal'!$E$4:$E$2069,'Tabela Federal'!$D$4:$D$2069,'Carga Tributária doenças Po (2'!$N324)</f>
        <v>0</v>
      </c>
      <c r="Y324" s="89">
        <f>SUMIFS('Tabela Federal'!$E$4:$E$2069,'Tabela Federal'!$D$4:$D$2069,'Carga Tributária doenças Po (2'!$O324)</f>
        <v>0</v>
      </c>
      <c r="Z324" s="92" t="str">
        <f>VLOOKUP('Carga Tributária doenças Po (2'!$AD324,'Carga Tributária doenças Po (2'!$CA$12:$CC$16,2,0)</f>
        <v>-</v>
      </c>
      <c r="AA324" s="89" t="s">
        <v>229</v>
      </c>
      <c r="AB324" s="89" t="s">
        <v>21889</v>
      </c>
      <c r="AC324" s="89" t="s">
        <v>21740</v>
      </c>
      <c r="AD324" s="93" t="s">
        <v>19523</v>
      </c>
      <c r="AE324" s="92" t="s">
        <v>4</v>
      </c>
      <c r="AF324" s="92" t="s">
        <v>3</v>
      </c>
      <c r="AG324" s="94">
        <v>92326</v>
      </c>
      <c r="AH324" s="95">
        <v>1659876</v>
      </c>
      <c r="AI324" s="95">
        <v>3799015.5</v>
      </c>
      <c r="AJ324" s="89" t="s">
        <v>240</v>
      </c>
      <c r="AK324" s="89">
        <f>IF('Carga Tributária doenças Po (2'!$Z324="+",0,SUMIFS(PISCOFINS!$I$3:$I$10518,PISCOFINS!$C$3:$C$10518,'Carga Tributária doenças Po (2'!$C324))</f>
        <v>2.1</v>
      </c>
      <c r="AL324" s="89">
        <f>IF('Carga Tributária doenças Po (2'!$Z324="+",0,SUMIFS(PISCOFINS!$H$3:$H$10518,PISCOFINS!$C$3:$C$10518,'Carga Tributária doenças Po (2'!$C324))</f>
        <v>9.9</v>
      </c>
      <c r="AM324" s="95">
        <v>3.27</v>
      </c>
      <c r="AN324" s="95">
        <v>3.12</v>
      </c>
      <c r="AO324" s="95">
        <v>1.35</v>
      </c>
      <c r="AP324" s="96">
        <v>18</v>
      </c>
      <c r="AQ324" s="96">
        <v>12</v>
      </c>
      <c r="AR324" s="96">
        <v>17</v>
      </c>
      <c r="AS324" s="97">
        <v>17</v>
      </c>
      <c r="AT324" s="97">
        <v>19</v>
      </c>
      <c r="AU324" s="97">
        <v>18</v>
      </c>
      <c r="AV324" s="97">
        <v>17</v>
      </c>
      <c r="AW324" s="97">
        <v>17</v>
      </c>
      <c r="AX324" s="97">
        <v>17</v>
      </c>
      <c r="AY324" s="97">
        <v>17</v>
      </c>
      <c r="AZ324" s="97">
        <v>17</v>
      </c>
      <c r="BA324" s="97">
        <v>17</v>
      </c>
      <c r="BB324" s="97">
        <v>17</v>
      </c>
      <c r="BC324" s="97">
        <v>17</v>
      </c>
      <c r="BD324" s="97">
        <v>17</v>
      </c>
      <c r="BE324" s="97">
        <v>17</v>
      </c>
      <c r="BF324" s="97">
        <f>+Tabela1107[[#This Row],[PIS]]+Tabela1107[[#This Row],[COFINS]]+Tabela1107[[#This Row],[CONTRIB. FOLHA]]+Tabela1107[[#This Row],[TRIBUTOS S/ LUCRO]]+Tabela1107[[#This Row],[OUTROS]]+Tabela1107[[#This Row],[SP]]</f>
        <v>37.74</v>
      </c>
      <c r="BG324" s="97">
        <f>+Tabela1107[[#This Row],[PIS]]+Tabela1107[[#This Row],[COFINS]]+Tabela1107[[#This Row],[CONTRIB. FOLHA]]+Tabela1107[[#This Row],[TRIBUTOS S/ LUCRO]]+Tabela1107[[#This Row],[OUTROS]]+Tabela1107[[#This Row],[PR]]</f>
        <v>31.740000000000002</v>
      </c>
      <c r="BH324" s="97">
        <f>+Tabela1107[[#This Row],[PIS]]+Tabela1107[[#This Row],[COFINS]]+Tabela1107[[#This Row],[CONTRIB. FOLHA]]+Tabela1107[[#This Row],[TRIBUTOS S/ LUCRO]]+Tabela1107[[#This Row],[OUTROS]]+Tabela1107[[#This Row],[SC]]</f>
        <v>36.74</v>
      </c>
      <c r="BI324" s="97">
        <f>+Tabela1107[[#This Row],[PIS]]+Tabela1107[[#This Row],[COFINS]]+Tabela1107[[#This Row],[CONTRIB. FOLHA]]+Tabela1107[[#This Row],[TRIBUTOS S/ LUCRO]]+Tabela1107[[#This Row],[OUTROS]]+Tabela1107[[#This Row],[RS]]</f>
        <v>36.74</v>
      </c>
      <c r="BJ324" s="97">
        <f>+Tabela1107[[#This Row],[PIS]]+Tabela1107[[#This Row],[COFINS]]+Tabela1107[[#This Row],[CONTRIB. FOLHA]]+Tabela1107[[#This Row],[TRIBUTOS S/ LUCRO]]+Tabela1107[[#This Row],[OUTROS]]+Tabela1107[[#This Row],[RJ]]</f>
        <v>38.74</v>
      </c>
      <c r="BK324" s="97">
        <f>+Tabela1107[[#This Row],[PIS]]+Tabela1107[[#This Row],[COFINS]]+Tabela1107[[#This Row],[CONTRIB. FOLHA]]+Tabela1107[[#This Row],[TRIBUTOS S/ LUCRO]]+Tabela1107[[#This Row],[OUTROS]]+Tabela1107[[#This Row],[MG]]</f>
        <v>37.74</v>
      </c>
      <c r="BL324" s="97">
        <f>+Tabela1107[[#This Row],[PIS]]+Tabela1107[[#This Row],[COFINS]]+Tabela1107[[#This Row],[CONTRIB. FOLHA]]+Tabela1107[[#This Row],[TRIBUTOS S/ LUCRO]]+Tabela1107[[#This Row],[OUTROS]]+Tabela1107[[#This Row],[ES]]</f>
        <v>36.74</v>
      </c>
      <c r="BM324" s="97">
        <f>+Tabela1107[[#This Row],[PIS]]+Tabela1107[[#This Row],[COFINS]]+Tabela1107[[#This Row],[CONTRIB. FOLHA]]+Tabela1107[[#This Row],[TRIBUTOS S/ LUCRO]]+Tabela1107[[#This Row],[OUTROS]]+Tabela1107[[#This Row],[GO]]</f>
        <v>36.74</v>
      </c>
      <c r="BN324" s="97">
        <f>+Tabela1107[[#This Row],[PIS]]+Tabela1107[[#This Row],[COFINS]]+Tabela1107[[#This Row],[CONTRIB. FOLHA]]+Tabela1107[[#This Row],[TRIBUTOS S/ LUCRO]]+Tabela1107[[#This Row],[OUTROS]]+Tabela1107[[#This Row],[MT]]</f>
        <v>36.74</v>
      </c>
      <c r="BO324" s="97">
        <f>+Tabela1107[[#This Row],[PIS]]+Tabela1107[[#This Row],[COFINS]]+Tabela1107[[#This Row],[CONTRIB. FOLHA]]+Tabela1107[[#This Row],[TRIBUTOS S/ LUCRO]]+Tabela1107[[#This Row],[OUTROS]]+Tabela1107[[#This Row],[MS]]</f>
        <v>36.74</v>
      </c>
      <c r="BP324" s="97">
        <f>+Tabela1107[[#This Row],[PIS]]+Tabela1107[[#This Row],[COFINS]]+Tabela1107[[#This Row],[CONTRIB. FOLHA]]+Tabela1107[[#This Row],[TRIBUTOS S/ LUCRO]]+Tabela1107[[#This Row],[OUTROS]]+Tabela1107[[#This Row],[DF]]</f>
        <v>36.74</v>
      </c>
      <c r="BQ324" s="97">
        <f>+Tabela1107[[#This Row],[PIS]]+Tabela1107[[#This Row],[COFINS]]+Tabela1107[[#This Row],[CONTRIB. FOLHA]]+Tabela1107[[#This Row],[TRIBUTOS S/ LUCRO]]+Tabela1107[[#This Row],[OUTROS]]+Tabela1107[[#This Row],[BA]]</f>
        <v>36.74</v>
      </c>
      <c r="BR324" s="97">
        <f>+Tabela1107[[#This Row],[PIS]]+Tabela1107[[#This Row],[COFINS]]+Tabela1107[[#This Row],[CONTRIB. FOLHA]]+Tabela1107[[#This Row],[TRIBUTOS S/ LUCRO]]+Tabela1107[[#This Row],[OUTROS]]+Tabela1107[[#This Row],[BA]]</f>
        <v>36.74</v>
      </c>
      <c r="BS324" s="97">
        <f>+Tabela1107[[#This Row],[PIS]]+Tabela1107[[#This Row],[COFINS]]+Tabela1107[[#This Row],[CONTRIB. FOLHA]]+Tabela1107[[#This Row],[TRIBUTOS S/ LUCRO]]+Tabela1107[[#This Row],[OUTROS]]+Tabela1107[[#This Row],[PE]]</f>
        <v>36.74</v>
      </c>
      <c r="BT324" s="97">
        <f>+Tabela1107[[#This Row],[PIS]]+Tabela1107[[#This Row],[COFINS]]+Tabela1107[[#This Row],[CONTRIB. FOLHA]]+Tabela1107[[#This Row],[TRIBUTOS S/ LUCRO]]+Tabela1107[[#This Row],[OUTROS]]+Tabela1107[[#This Row],[PA]]</f>
        <v>36.74</v>
      </c>
      <c r="BU324" s="97">
        <f>+Tabela1107[[#This Row],[PIS]]+Tabela1107[[#This Row],[COFINS]]+Tabela1107[[#This Row],[CONTRIB. FOLHA]]+Tabela1107[[#This Row],[TRIBUTOS S/ LUCRO]]+Tabela1107[[#This Row],[OUTROS]]+Tabela1107[[#This Row],[AM]]</f>
        <v>36.74</v>
      </c>
      <c r="BV324" s="97">
        <f>AVERAGE(Tabela1107[[#This Row],[TOTAL SP]:[TOTAL AM]])</f>
        <v>36.677500000000002</v>
      </c>
      <c r="BW324" s="97"/>
      <c r="BX324" s="97"/>
    </row>
    <row r="325" spans="2:76" x14ac:dyDescent="0.25">
      <c r="B325" s="89">
        <v>21333</v>
      </c>
      <c r="C325" s="91" t="s">
        <v>13113</v>
      </c>
      <c r="D325" s="89"/>
      <c r="E325" s="89">
        <v>20140626</v>
      </c>
      <c r="F325" s="89" t="s">
        <v>20816</v>
      </c>
      <c r="G325" s="89" t="s">
        <v>20817</v>
      </c>
      <c r="H325" s="89" t="s">
        <v>20818</v>
      </c>
      <c r="I325" s="89" t="s">
        <v>20815</v>
      </c>
      <c r="J325" s="89" t="s">
        <v>228</v>
      </c>
      <c r="K325" s="101" t="s">
        <v>2725</v>
      </c>
      <c r="L325" s="101" t="s">
        <v>2801</v>
      </c>
      <c r="M325" s="89" t="s">
        <v>4496</v>
      </c>
      <c r="N325" s="101" t="s">
        <v>4496</v>
      </c>
      <c r="O325" s="101" t="s">
        <v>4496</v>
      </c>
      <c r="P325" s="89" t="s">
        <v>4496</v>
      </c>
      <c r="Q325" s="89"/>
      <c r="R325" s="89" t="s">
        <v>44</v>
      </c>
      <c r="S325" s="89" t="s">
        <v>21580</v>
      </c>
      <c r="T325" s="89" t="s">
        <v>21581</v>
      </c>
      <c r="U325" s="89" t="str">
        <f>TRIM('Carga Tributária doenças Po (2'!$L325)</f>
        <v>NICOTINA</v>
      </c>
      <c r="V325" s="89">
        <f>SUMIFS('Tabela Federal'!$E$4:$E$2069,'Tabela Federal'!$D$4:$D$2069,'Carga Tributária doenças Po (2'!$L325)</f>
        <v>1</v>
      </c>
      <c r="W325" s="89">
        <f>SUMIFS('Tabela Federal'!$E$4:$E$2069,'Tabela Federal'!$D$4:$D$2069,'Carga Tributária doenças Po (2'!$M325)</f>
        <v>0</v>
      </c>
      <c r="X325" s="89">
        <f>SUMIFS('Tabela Federal'!$E$4:$E$2069,'Tabela Federal'!$D$4:$D$2069,'Carga Tributária doenças Po (2'!$N325)</f>
        <v>0</v>
      </c>
      <c r="Y325" s="89">
        <f>SUMIFS('Tabela Federal'!$E$4:$E$2069,'Tabela Federal'!$D$4:$D$2069,'Carga Tributária doenças Po (2'!$O325)</f>
        <v>0</v>
      </c>
      <c r="Z325" s="92" t="str">
        <f>VLOOKUP('Carga Tributária doenças Po (2'!$AD325,'Carga Tributária doenças Po (2'!$CA$12:$CC$16,2,0)</f>
        <v>+</v>
      </c>
      <c r="AA325" s="89" t="s">
        <v>229</v>
      </c>
      <c r="AB325" s="89" t="s">
        <v>21889</v>
      </c>
      <c r="AC325" s="89" t="s">
        <v>21740</v>
      </c>
      <c r="AD325" s="93" t="s">
        <v>21722</v>
      </c>
      <c r="AE325" s="92" t="s">
        <v>4</v>
      </c>
      <c r="AF325" s="92" t="s">
        <v>3</v>
      </c>
      <c r="AG325" s="94">
        <v>432090</v>
      </c>
      <c r="AH325" s="95">
        <v>7773818</v>
      </c>
      <c r="AI325" s="95">
        <v>17727212.059999999</v>
      </c>
      <c r="AJ325" s="89" t="s">
        <v>240</v>
      </c>
      <c r="AK325" s="89">
        <f>IF('Carga Tributária doenças Po (2'!$Z325="+",0,SUMIFS(PISCOFINS!$I$3:$I$10518,PISCOFINS!$C$3:$C$10518,'Carga Tributária doenças Po (2'!$C325))</f>
        <v>0</v>
      </c>
      <c r="AL325" s="89">
        <f>IF('Carga Tributária doenças Po (2'!$Z325="+",0,SUMIFS(PISCOFINS!$H$3:$H$10518,PISCOFINS!$C$3:$C$10518,'Carga Tributária doenças Po (2'!$C325))</f>
        <v>0</v>
      </c>
      <c r="AM325" s="95">
        <v>3.27</v>
      </c>
      <c r="AN325" s="95">
        <v>3.12</v>
      </c>
      <c r="AO325" s="95">
        <v>1.35</v>
      </c>
      <c r="AP325" s="96">
        <v>18</v>
      </c>
      <c r="AQ325" s="96">
        <v>12</v>
      </c>
      <c r="AR325" s="96">
        <v>17</v>
      </c>
      <c r="AS325" s="97">
        <v>17</v>
      </c>
      <c r="AT325" s="97">
        <v>19</v>
      </c>
      <c r="AU325" s="97">
        <v>18</v>
      </c>
      <c r="AV325" s="97">
        <v>17</v>
      </c>
      <c r="AW325" s="97">
        <v>17</v>
      </c>
      <c r="AX325" s="97">
        <v>17</v>
      </c>
      <c r="AY325" s="97">
        <v>17</v>
      </c>
      <c r="AZ325" s="97">
        <v>17</v>
      </c>
      <c r="BA325" s="97">
        <v>17</v>
      </c>
      <c r="BB325" s="97">
        <v>17</v>
      </c>
      <c r="BC325" s="97">
        <v>17</v>
      </c>
      <c r="BD325" s="97">
        <v>17</v>
      </c>
      <c r="BE325" s="97">
        <v>17</v>
      </c>
      <c r="BF325" s="97">
        <f>+Tabela1107[[#This Row],[PIS]]+Tabela1107[[#This Row],[COFINS]]+Tabela1107[[#This Row],[CONTRIB. FOLHA]]+Tabela1107[[#This Row],[TRIBUTOS S/ LUCRO]]+Tabela1107[[#This Row],[OUTROS]]+Tabela1107[[#This Row],[SP]]</f>
        <v>25.740000000000002</v>
      </c>
      <c r="BG325" s="97">
        <f>+Tabela1107[[#This Row],[PIS]]+Tabela1107[[#This Row],[COFINS]]+Tabela1107[[#This Row],[CONTRIB. FOLHA]]+Tabela1107[[#This Row],[TRIBUTOS S/ LUCRO]]+Tabela1107[[#This Row],[OUTROS]]+Tabela1107[[#This Row],[PR]]</f>
        <v>19.740000000000002</v>
      </c>
      <c r="BH325" s="97">
        <f>+Tabela1107[[#This Row],[PIS]]+Tabela1107[[#This Row],[COFINS]]+Tabela1107[[#This Row],[CONTRIB. FOLHA]]+Tabela1107[[#This Row],[TRIBUTOS S/ LUCRO]]+Tabela1107[[#This Row],[OUTROS]]+Tabela1107[[#This Row],[SC]]</f>
        <v>24.740000000000002</v>
      </c>
      <c r="BI325" s="97">
        <f>+Tabela1107[[#This Row],[PIS]]+Tabela1107[[#This Row],[COFINS]]+Tabela1107[[#This Row],[CONTRIB. FOLHA]]+Tabela1107[[#This Row],[TRIBUTOS S/ LUCRO]]+Tabela1107[[#This Row],[OUTROS]]+Tabela1107[[#This Row],[RS]]</f>
        <v>24.740000000000002</v>
      </c>
      <c r="BJ325" s="97">
        <f>+Tabela1107[[#This Row],[PIS]]+Tabela1107[[#This Row],[COFINS]]+Tabela1107[[#This Row],[CONTRIB. FOLHA]]+Tabela1107[[#This Row],[TRIBUTOS S/ LUCRO]]+Tabela1107[[#This Row],[OUTROS]]+Tabela1107[[#This Row],[RJ]]</f>
        <v>26.740000000000002</v>
      </c>
      <c r="BK325" s="97">
        <f>+Tabela1107[[#This Row],[PIS]]+Tabela1107[[#This Row],[COFINS]]+Tabela1107[[#This Row],[CONTRIB. FOLHA]]+Tabela1107[[#This Row],[TRIBUTOS S/ LUCRO]]+Tabela1107[[#This Row],[OUTROS]]+Tabela1107[[#This Row],[MG]]</f>
        <v>25.740000000000002</v>
      </c>
      <c r="BL325" s="97">
        <f>+Tabela1107[[#This Row],[PIS]]+Tabela1107[[#This Row],[COFINS]]+Tabela1107[[#This Row],[CONTRIB. FOLHA]]+Tabela1107[[#This Row],[TRIBUTOS S/ LUCRO]]+Tabela1107[[#This Row],[OUTROS]]+Tabela1107[[#This Row],[ES]]</f>
        <v>24.740000000000002</v>
      </c>
      <c r="BM325" s="97">
        <f>+Tabela1107[[#This Row],[PIS]]+Tabela1107[[#This Row],[COFINS]]+Tabela1107[[#This Row],[CONTRIB. FOLHA]]+Tabela1107[[#This Row],[TRIBUTOS S/ LUCRO]]+Tabela1107[[#This Row],[OUTROS]]+Tabela1107[[#This Row],[GO]]</f>
        <v>24.740000000000002</v>
      </c>
      <c r="BN325" s="97">
        <f>+Tabela1107[[#This Row],[PIS]]+Tabela1107[[#This Row],[COFINS]]+Tabela1107[[#This Row],[CONTRIB. FOLHA]]+Tabela1107[[#This Row],[TRIBUTOS S/ LUCRO]]+Tabela1107[[#This Row],[OUTROS]]+Tabela1107[[#This Row],[MT]]</f>
        <v>24.740000000000002</v>
      </c>
      <c r="BO325" s="97">
        <f>+Tabela1107[[#This Row],[PIS]]+Tabela1107[[#This Row],[COFINS]]+Tabela1107[[#This Row],[CONTRIB. FOLHA]]+Tabela1107[[#This Row],[TRIBUTOS S/ LUCRO]]+Tabela1107[[#This Row],[OUTROS]]+Tabela1107[[#This Row],[MS]]</f>
        <v>24.740000000000002</v>
      </c>
      <c r="BP325" s="97">
        <f>+Tabela1107[[#This Row],[PIS]]+Tabela1107[[#This Row],[COFINS]]+Tabela1107[[#This Row],[CONTRIB. FOLHA]]+Tabela1107[[#This Row],[TRIBUTOS S/ LUCRO]]+Tabela1107[[#This Row],[OUTROS]]+Tabela1107[[#This Row],[DF]]</f>
        <v>24.740000000000002</v>
      </c>
      <c r="BQ325" s="97">
        <f>+Tabela1107[[#This Row],[PIS]]+Tabela1107[[#This Row],[COFINS]]+Tabela1107[[#This Row],[CONTRIB. FOLHA]]+Tabela1107[[#This Row],[TRIBUTOS S/ LUCRO]]+Tabela1107[[#This Row],[OUTROS]]+Tabela1107[[#This Row],[BA]]</f>
        <v>24.740000000000002</v>
      </c>
      <c r="BR325" s="97">
        <f>+Tabela1107[[#This Row],[PIS]]+Tabela1107[[#This Row],[COFINS]]+Tabela1107[[#This Row],[CONTRIB. FOLHA]]+Tabela1107[[#This Row],[TRIBUTOS S/ LUCRO]]+Tabela1107[[#This Row],[OUTROS]]+Tabela1107[[#This Row],[BA]]</f>
        <v>24.740000000000002</v>
      </c>
      <c r="BS325" s="97">
        <f>+Tabela1107[[#This Row],[PIS]]+Tabela1107[[#This Row],[COFINS]]+Tabela1107[[#This Row],[CONTRIB. FOLHA]]+Tabela1107[[#This Row],[TRIBUTOS S/ LUCRO]]+Tabela1107[[#This Row],[OUTROS]]+Tabela1107[[#This Row],[PE]]</f>
        <v>24.740000000000002</v>
      </c>
      <c r="BT325" s="97">
        <f>+Tabela1107[[#This Row],[PIS]]+Tabela1107[[#This Row],[COFINS]]+Tabela1107[[#This Row],[CONTRIB. FOLHA]]+Tabela1107[[#This Row],[TRIBUTOS S/ LUCRO]]+Tabela1107[[#This Row],[OUTROS]]+Tabela1107[[#This Row],[PA]]</f>
        <v>24.740000000000002</v>
      </c>
      <c r="BU325" s="97">
        <f>+Tabela1107[[#This Row],[PIS]]+Tabela1107[[#This Row],[COFINS]]+Tabela1107[[#This Row],[CONTRIB. FOLHA]]+Tabela1107[[#This Row],[TRIBUTOS S/ LUCRO]]+Tabela1107[[#This Row],[OUTROS]]+Tabela1107[[#This Row],[AM]]</f>
        <v>24.740000000000002</v>
      </c>
      <c r="BV325" s="97">
        <f>AVERAGE(Tabela1107[[#This Row],[TOTAL SP]:[TOTAL AM]])</f>
        <v>24.677500000000006</v>
      </c>
      <c r="BW325" s="97"/>
      <c r="BX325" s="97"/>
    </row>
    <row r="326" spans="2:76" x14ac:dyDescent="0.25">
      <c r="B326" s="89">
        <v>3965</v>
      </c>
      <c r="C326" s="91" t="s">
        <v>13142</v>
      </c>
      <c r="D326" s="89"/>
      <c r="E326" s="89">
        <v>20140626</v>
      </c>
      <c r="F326" s="89" t="s">
        <v>20757</v>
      </c>
      <c r="G326" s="89" t="s">
        <v>20758</v>
      </c>
      <c r="H326" s="98" t="s">
        <v>21961</v>
      </c>
      <c r="I326" s="89" t="s">
        <v>20759</v>
      </c>
      <c r="J326" s="89" t="s">
        <v>587</v>
      </c>
      <c r="K326" s="99" t="s">
        <v>4662</v>
      </c>
      <c r="L326" s="101" t="s">
        <v>2631</v>
      </c>
      <c r="M326" s="89" t="s">
        <v>4496</v>
      </c>
      <c r="N326" s="101" t="s">
        <v>4496</v>
      </c>
      <c r="O326" s="101" t="s">
        <v>4496</v>
      </c>
      <c r="P326" s="89" t="s">
        <v>4496</v>
      </c>
      <c r="Q326" s="89"/>
      <c r="R326" s="89" t="s">
        <v>198</v>
      </c>
      <c r="S326" s="89" t="s">
        <v>21572</v>
      </c>
      <c r="T326" s="89" t="s">
        <v>21573</v>
      </c>
      <c r="U326" s="89" t="str">
        <f>TRIM('Carga Tributária doenças Po (2'!$L326)</f>
        <v>BUDESONIDA</v>
      </c>
      <c r="V326" s="89">
        <f>SUMIFS('Tabela Federal'!$E$4:$E$2069,'Tabela Federal'!$D$4:$D$2069,'Carga Tributária doenças Po (2'!$L326)</f>
        <v>2</v>
      </c>
      <c r="W326" s="89">
        <f>SUMIFS('Tabela Federal'!$E$4:$E$2069,'Tabela Federal'!$D$4:$D$2069,'Carga Tributária doenças Po (2'!$M326)</f>
        <v>0</v>
      </c>
      <c r="X326" s="89">
        <f>SUMIFS('Tabela Federal'!$E$4:$E$2069,'Tabela Federal'!$D$4:$D$2069,'Carga Tributária doenças Po (2'!$N326)</f>
        <v>0</v>
      </c>
      <c r="Y326" s="89">
        <f>SUMIFS('Tabela Federal'!$E$4:$E$2069,'Tabela Federal'!$D$4:$D$2069,'Carga Tributária doenças Po (2'!$O326)</f>
        <v>0</v>
      </c>
      <c r="Z326" s="92" t="str">
        <f>VLOOKUP('Carga Tributária doenças Po (2'!$AD326,'Carga Tributária doenças Po (2'!$CA$12:$CC$16,2,0)</f>
        <v>+</v>
      </c>
      <c r="AA326" s="89" t="s">
        <v>583</v>
      </c>
      <c r="AB326" s="89" t="s">
        <v>21879</v>
      </c>
      <c r="AC326" s="89" t="s">
        <v>21721</v>
      </c>
      <c r="AD326" s="93" t="s">
        <v>21722</v>
      </c>
      <c r="AE326" s="92" t="s">
        <v>2</v>
      </c>
      <c r="AF326" s="92" t="s">
        <v>3</v>
      </c>
      <c r="AG326" s="94">
        <v>835922</v>
      </c>
      <c r="AH326" s="95">
        <v>6576811</v>
      </c>
      <c r="AI326" s="95">
        <v>14949607.67</v>
      </c>
      <c r="AJ326" s="89" t="s">
        <v>589</v>
      </c>
      <c r="AK326" s="89">
        <f>IF('Carga Tributária doenças Po (2'!$Z326="+",0,SUMIFS(PISCOFINS!$I$3:$I$10518,PISCOFINS!$C$3:$C$10518,'Carga Tributária doenças Po (2'!$C326))</f>
        <v>0</v>
      </c>
      <c r="AL326" s="89">
        <f>IF('Carga Tributária doenças Po (2'!$Z326="+",0,SUMIFS(PISCOFINS!$H$3:$H$10518,PISCOFINS!$C$3:$C$10518,'Carga Tributária doenças Po (2'!$C326))</f>
        <v>0</v>
      </c>
      <c r="AM326" s="95">
        <v>3.27</v>
      </c>
      <c r="AN326" s="95">
        <v>3.12</v>
      </c>
      <c r="AO326" s="95">
        <v>1.35</v>
      </c>
      <c r="AP326" s="96">
        <v>18</v>
      </c>
      <c r="AQ326" s="96">
        <v>12</v>
      </c>
      <c r="AR326" s="96">
        <v>17</v>
      </c>
      <c r="AS326" s="97">
        <v>17</v>
      </c>
      <c r="AT326" s="97">
        <v>19</v>
      </c>
      <c r="AU326" s="97">
        <v>18</v>
      </c>
      <c r="AV326" s="97">
        <v>17</v>
      </c>
      <c r="AW326" s="97">
        <v>17</v>
      </c>
      <c r="AX326" s="97">
        <v>17</v>
      </c>
      <c r="AY326" s="97">
        <v>17</v>
      </c>
      <c r="AZ326" s="97">
        <v>17</v>
      </c>
      <c r="BA326" s="97">
        <v>17</v>
      </c>
      <c r="BB326" s="97">
        <v>17</v>
      </c>
      <c r="BC326" s="97">
        <v>17</v>
      </c>
      <c r="BD326" s="97">
        <v>17</v>
      </c>
      <c r="BE326" s="97">
        <v>17</v>
      </c>
      <c r="BF326" s="97">
        <f>+Tabela1107[[#This Row],[PIS]]+Tabela1107[[#This Row],[COFINS]]+Tabela1107[[#This Row],[CONTRIB. FOLHA]]+Tabela1107[[#This Row],[TRIBUTOS S/ LUCRO]]+Tabela1107[[#This Row],[OUTROS]]+Tabela1107[[#This Row],[SP]]</f>
        <v>25.740000000000002</v>
      </c>
      <c r="BG326" s="97">
        <f>+Tabela1107[[#This Row],[PIS]]+Tabela1107[[#This Row],[COFINS]]+Tabela1107[[#This Row],[CONTRIB. FOLHA]]+Tabela1107[[#This Row],[TRIBUTOS S/ LUCRO]]+Tabela1107[[#This Row],[OUTROS]]+Tabela1107[[#This Row],[PR]]</f>
        <v>19.740000000000002</v>
      </c>
      <c r="BH326" s="97">
        <f>+Tabela1107[[#This Row],[PIS]]+Tabela1107[[#This Row],[COFINS]]+Tabela1107[[#This Row],[CONTRIB. FOLHA]]+Tabela1107[[#This Row],[TRIBUTOS S/ LUCRO]]+Tabela1107[[#This Row],[OUTROS]]+Tabela1107[[#This Row],[SC]]</f>
        <v>24.740000000000002</v>
      </c>
      <c r="BI326" s="97">
        <f>+Tabela1107[[#This Row],[PIS]]+Tabela1107[[#This Row],[COFINS]]+Tabela1107[[#This Row],[CONTRIB. FOLHA]]+Tabela1107[[#This Row],[TRIBUTOS S/ LUCRO]]+Tabela1107[[#This Row],[OUTROS]]+Tabela1107[[#This Row],[RS]]</f>
        <v>24.740000000000002</v>
      </c>
      <c r="BJ326" s="97">
        <f>+Tabela1107[[#This Row],[PIS]]+Tabela1107[[#This Row],[COFINS]]+Tabela1107[[#This Row],[CONTRIB. FOLHA]]+Tabela1107[[#This Row],[TRIBUTOS S/ LUCRO]]+Tabela1107[[#This Row],[OUTROS]]+Tabela1107[[#This Row],[RJ]]</f>
        <v>26.740000000000002</v>
      </c>
      <c r="BK326" s="97">
        <f>+Tabela1107[[#This Row],[PIS]]+Tabela1107[[#This Row],[COFINS]]+Tabela1107[[#This Row],[CONTRIB. FOLHA]]+Tabela1107[[#This Row],[TRIBUTOS S/ LUCRO]]+Tabela1107[[#This Row],[OUTROS]]+Tabela1107[[#This Row],[MG]]</f>
        <v>25.740000000000002</v>
      </c>
      <c r="BL326" s="97">
        <f>+Tabela1107[[#This Row],[PIS]]+Tabela1107[[#This Row],[COFINS]]+Tabela1107[[#This Row],[CONTRIB. FOLHA]]+Tabela1107[[#This Row],[TRIBUTOS S/ LUCRO]]+Tabela1107[[#This Row],[OUTROS]]+Tabela1107[[#This Row],[ES]]</f>
        <v>24.740000000000002</v>
      </c>
      <c r="BM326" s="97">
        <f>+Tabela1107[[#This Row],[PIS]]+Tabela1107[[#This Row],[COFINS]]+Tabela1107[[#This Row],[CONTRIB. FOLHA]]+Tabela1107[[#This Row],[TRIBUTOS S/ LUCRO]]+Tabela1107[[#This Row],[OUTROS]]+Tabela1107[[#This Row],[GO]]</f>
        <v>24.740000000000002</v>
      </c>
      <c r="BN326" s="97">
        <f>+Tabela1107[[#This Row],[PIS]]+Tabela1107[[#This Row],[COFINS]]+Tabela1107[[#This Row],[CONTRIB. FOLHA]]+Tabela1107[[#This Row],[TRIBUTOS S/ LUCRO]]+Tabela1107[[#This Row],[OUTROS]]+Tabela1107[[#This Row],[MT]]</f>
        <v>24.740000000000002</v>
      </c>
      <c r="BO326" s="97">
        <f>+Tabela1107[[#This Row],[PIS]]+Tabela1107[[#This Row],[COFINS]]+Tabela1107[[#This Row],[CONTRIB. FOLHA]]+Tabela1107[[#This Row],[TRIBUTOS S/ LUCRO]]+Tabela1107[[#This Row],[OUTROS]]+Tabela1107[[#This Row],[MS]]</f>
        <v>24.740000000000002</v>
      </c>
      <c r="BP326" s="97">
        <f>+Tabela1107[[#This Row],[PIS]]+Tabela1107[[#This Row],[COFINS]]+Tabela1107[[#This Row],[CONTRIB. FOLHA]]+Tabela1107[[#This Row],[TRIBUTOS S/ LUCRO]]+Tabela1107[[#This Row],[OUTROS]]+Tabela1107[[#This Row],[DF]]</f>
        <v>24.740000000000002</v>
      </c>
      <c r="BQ326" s="97">
        <f>+Tabela1107[[#This Row],[PIS]]+Tabela1107[[#This Row],[COFINS]]+Tabela1107[[#This Row],[CONTRIB. FOLHA]]+Tabela1107[[#This Row],[TRIBUTOS S/ LUCRO]]+Tabela1107[[#This Row],[OUTROS]]+Tabela1107[[#This Row],[BA]]</f>
        <v>24.740000000000002</v>
      </c>
      <c r="BR326" s="97">
        <f>+Tabela1107[[#This Row],[PIS]]+Tabela1107[[#This Row],[COFINS]]+Tabela1107[[#This Row],[CONTRIB. FOLHA]]+Tabela1107[[#This Row],[TRIBUTOS S/ LUCRO]]+Tabela1107[[#This Row],[OUTROS]]+Tabela1107[[#This Row],[BA]]</f>
        <v>24.740000000000002</v>
      </c>
      <c r="BS326" s="97">
        <f>+Tabela1107[[#This Row],[PIS]]+Tabela1107[[#This Row],[COFINS]]+Tabela1107[[#This Row],[CONTRIB. FOLHA]]+Tabela1107[[#This Row],[TRIBUTOS S/ LUCRO]]+Tabela1107[[#This Row],[OUTROS]]+Tabela1107[[#This Row],[PE]]</f>
        <v>24.740000000000002</v>
      </c>
      <c r="BT326" s="97">
        <f>+Tabela1107[[#This Row],[PIS]]+Tabela1107[[#This Row],[COFINS]]+Tabela1107[[#This Row],[CONTRIB. FOLHA]]+Tabela1107[[#This Row],[TRIBUTOS S/ LUCRO]]+Tabela1107[[#This Row],[OUTROS]]+Tabela1107[[#This Row],[PA]]</f>
        <v>24.740000000000002</v>
      </c>
      <c r="BU326" s="97">
        <f>+Tabela1107[[#This Row],[PIS]]+Tabela1107[[#This Row],[COFINS]]+Tabela1107[[#This Row],[CONTRIB. FOLHA]]+Tabela1107[[#This Row],[TRIBUTOS S/ LUCRO]]+Tabela1107[[#This Row],[OUTROS]]+Tabela1107[[#This Row],[AM]]</f>
        <v>24.740000000000002</v>
      </c>
      <c r="BV326" s="97">
        <f>AVERAGE(Tabela1107[[#This Row],[TOTAL SP]:[TOTAL AM]])</f>
        <v>24.677500000000006</v>
      </c>
      <c r="BW326" s="97"/>
      <c r="BX326" s="97"/>
    </row>
    <row r="327" spans="2:76" x14ac:dyDescent="0.25">
      <c r="B327" s="89">
        <v>6061</v>
      </c>
      <c r="C327" s="91" t="s">
        <v>13214</v>
      </c>
      <c r="D327" s="89"/>
      <c r="E327" s="89">
        <v>20140626</v>
      </c>
      <c r="F327" s="89" t="s">
        <v>21241</v>
      </c>
      <c r="G327" s="89" t="s">
        <v>21242</v>
      </c>
      <c r="H327" s="98" t="s">
        <v>21964</v>
      </c>
      <c r="I327" s="89" t="s">
        <v>21243</v>
      </c>
      <c r="J327" s="89" t="s">
        <v>410</v>
      </c>
      <c r="K327" s="89" t="s">
        <v>2478</v>
      </c>
      <c r="L327" s="89" t="s">
        <v>2638</v>
      </c>
      <c r="M327" s="89" t="s">
        <v>4496</v>
      </c>
      <c r="N327" s="89" t="s">
        <v>4496</v>
      </c>
      <c r="O327" s="89" t="s">
        <v>4496</v>
      </c>
      <c r="P327" s="89" t="s">
        <v>4496</v>
      </c>
      <c r="Q327" s="89"/>
      <c r="R327" s="89" t="s">
        <v>239</v>
      </c>
      <c r="S327" s="89" t="s">
        <v>21682</v>
      </c>
      <c r="T327" s="89" t="s">
        <v>21683</v>
      </c>
      <c r="U327" s="89" t="str">
        <f>TRIM('Carga Tributária doenças Po (2'!$L327)</f>
        <v>LEVONORGESTREL</v>
      </c>
      <c r="V327" s="89">
        <f>SUMIFS('Tabela Federal'!$E$4:$E$2069,'Tabela Federal'!$D$4:$D$2069,'Carga Tributária doenças Po (2'!$L327)</f>
        <v>5</v>
      </c>
      <c r="W327" s="89">
        <f>SUMIFS('Tabela Federal'!$E$4:$E$2069,'Tabela Federal'!$D$4:$D$2069,'Carga Tributária doenças Po (2'!$M327)</f>
        <v>0</v>
      </c>
      <c r="X327" s="89">
        <f>SUMIFS('Tabela Federal'!$E$4:$E$2069,'Tabela Federal'!$D$4:$D$2069,'Carga Tributária doenças Po (2'!$N327)</f>
        <v>0</v>
      </c>
      <c r="Y327" s="89">
        <f>SUMIFS('Tabela Federal'!$E$4:$E$2069,'Tabela Federal'!$D$4:$D$2069,'Carga Tributária doenças Po (2'!$O327)</f>
        <v>0</v>
      </c>
      <c r="Z327" s="92" t="str">
        <f>VLOOKUP('Carga Tributária doenças Po (2'!$AD327,'Carga Tributária doenças Po (2'!$CA$12:$CC$16,2,0)</f>
        <v>+</v>
      </c>
      <c r="AA327" s="89" t="s">
        <v>398</v>
      </c>
      <c r="AB327" s="89" t="s">
        <v>21742</v>
      </c>
      <c r="AC327" s="89" t="s">
        <v>21721</v>
      </c>
      <c r="AD327" s="93" t="s">
        <v>19445</v>
      </c>
      <c r="AE327" s="92" t="s">
        <v>4</v>
      </c>
      <c r="AF327" s="92" t="s">
        <v>23</v>
      </c>
      <c r="AG327" s="94">
        <v>2944573</v>
      </c>
      <c r="AH327" s="95">
        <v>6665736</v>
      </c>
      <c r="AI327" s="95">
        <v>15216243.060000001</v>
      </c>
      <c r="AJ327" s="89" t="s">
        <v>413</v>
      </c>
      <c r="AK327" s="89">
        <f>IF('Carga Tributária doenças Po (2'!$Z327="+",0,SUMIFS(PISCOFINS!$I$3:$I$10518,PISCOFINS!$C$3:$C$10518,'Carga Tributária doenças Po (2'!$C327))</f>
        <v>0</v>
      </c>
      <c r="AL327" s="89">
        <f>IF('Carga Tributária doenças Po (2'!$Z327="+",0,SUMIFS(PISCOFINS!$H$3:$H$10518,PISCOFINS!$C$3:$C$10518,'Carga Tributária doenças Po (2'!$C327))</f>
        <v>0</v>
      </c>
      <c r="AM327" s="95">
        <v>3.27</v>
      </c>
      <c r="AN327" s="95">
        <v>3.12</v>
      </c>
      <c r="AO327" s="95">
        <v>1.35</v>
      </c>
      <c r="AP327" s="96">
        <v>18</v>
      </c>
      <c r="AQ327" s="96">
        <v>12</v>
      </c>
      <c r="AR327" s="96">
        <v>17</v>
      </c>
      <c r="AS327" s="97">
        <v>17</v>
      </c>
      <c r="AT327" s="97">
        <v>19</v>
      </c>
      <c r="AU327" s="97">
        <v>18</v>
      </c>
      <c r="AV327" s="97">
        <v>17</v>
      </c>
      <c r="AW327" s="97">
        <v>17</v>
      </c>
      <c r="AX327" s="97">
        <v>17</v>
      </c>
      <c r="AY327" s="97">
        <v>17</v>
      </c>
      <c r="AZ327" s="97">
        <v>17</v>
      </c>
      <c r="BA327" s="97">
        <v>17</v>
      </c>
      <c r="BB327" s="97">
        <v>17</v>
      </c>
      <c r="BC327" s="97">
        <v>17</v>
      </c>
      <c r="BD327" s="97">
        <v>17</v>
      </c>
      <c r="BE327" s="97">
        <v>17</v>
      </c>
      <c r="BF327" s="97">
        <f>+Tabela1107[[#This Row],[PIS]]+Tabela1107[[#This Row],[COFINS]]+Tabela1107[[#This Row],[CONTRIB. FOLHA]]+Tabela1107[[#This Row],[TRIBUTOS S/ LUCRO]]+Tabela1107[[#This Row],[OUTROS]]+Tabela1107[[#This Row],[SP]]</f>
        <v>25.740000000000002</v>
      </c>
      <c r="BG327" s="97">
        <f>+Tabela1107[[#This Row],[PIS]]+Tabela1107[[#This Row],[COFINS]]+Tabela1107[[#This Row],[CONTRIB. FOLHA]]+Tabela1107[[#This Row],[TRIBUTOS S/ LUCRO]]+Tabela1107[[#This Row],[OUTROS]]+Tabela1107[[#This Row],[PR]]</f>
        <v>19.740000000000002</v>
      </c>
      <c r="BH327" s="97">
        <f>+Tabela1107[[#This Row],[PIS]]+Tabela1107[[#This Row],[COFINS]]+Tabela1107[[#This Row],[CONTRIB. FOLHA]]+Tabela1107[[#This Row],[TRIBUTOS S/ LUCRO]]+Tabela1107[[#This Row],[OUTROS]]+Tabela1107[[#This Row],[SC]]</f>
        <v>24.740000000000002</v>
      </c>
      <c r="BI327" s="97">
        <f>+Tabela1107[[#This Row],[PIS]]+Tabela1107[[#This Row],[COFINS]]+Tabela1107[[#This Row],[CONTRIB. FOLHA]]+Tabela1107[[#This Row],[TRIBUTOS S/ LUCRO]]+Tabela1107[[#This Row],[OUTROS]]+Tabela1107[[#This Row],[RS]]</f>
        <v>24.740000000000002</v>
      </c>
      <c r="BJ327" s="97">
        <f>+Tabela1107[[#This Row],[PIS]]+Tabela1107[[#This Row],[COFINS]]+Tabela1107[[#This Row],[CONTRIB. FOLHA]]+Tabela1107[[#This Row],[TRIBUTOS S/ LUCRO]]+Tabela1107[[#This Row],[OUTROS]]+Tabela1107[[#This Row],[RJ]]</f>
        <v>26.740000000000002</v>
      </c>
      <c r="BK327" s="97">
        <f>+Tabela1107[[#This Row],[PIS]]+Tabela1107[[#This Row],[COFINS]]+Tabela1107[[#This Row],[CONTRIB. FOLHA]]+Tabela1107[[#This Row],[TRIBUTOS S/ LUCRO]]+Tabela1107[[#This Row],[OUTROS]]+Tabela1107[[#This Row],[MG]]</f>
        <v>25.740000000000002</v>
      </c>
      <c r="BL327" s="97">
        <f>+Tabela1107[[#This Row],[PIS]]+Tabela1107[[#This Row],[COFINS]]+Tabela1107[[#This Row],[CONTRIB. FOLHA]]+Tabela1107[[#This Row],[TRIBUTOS S/ LUCRO]]+Tabela1107[[#This Row],[OUTROS]]+Tabela1107[[#This Row],[ES]]</f>
        <v>24.740000000000002</v>
      </c>
      <c r="BM327" s="97">
        <f>+Tabela1107[[#This Row],[PIS]]+Tabela1107[[#This Row],[COFINS]]+Tabela1107[[#This Row],[CONTRIB. FOLHA]]+Tabela1107[[#This Row],[TRIBUTOS S/ LUCRO]]+Tabela1107[[#This Row],[OUTROS]]+Tabela1107[[#This Row],[GO]]</f>
        <v>24.740000000000002</v>
      </c>
      <c r="BN327" s="97">
        <f>+Tabela1107[[#This Row],[PIS]]+Tabela1107[[#This Row],[COFINS]]+Tabela1107[[#This Row],[CONTRIB. FOLHA]]+Tabela1107[[#This Row],[TRIBUTOS S/ LUCRO]]+Tabela1107[[#This Row],[OUTROS]]+Tabela1107[[#This Row],[MT]]</f>
        <v>24.740000000000002</v>
      </c>
      <c r="BO327" s="97">
        <f>+Tabela1107[[#This Row],[PIS]]+Tabela1107[[#This Row],[COFINS]]+Tabela1107[[#This Row],[CONTRIB. FOLHA]]+Tabela1107[[#This Row],[TRIBUTOS S/ LUCRO]]+Tabela1107[[#This Row],[OUTROS]]+Tabela1107[[#This Row],[MS]]</f>
        <v>24.740000000000002</v>
      </c>
      <c r="BP327" s="97">
        <f>+Tabela1107[[#This Row],[PIS]]+Tabela1107[[#This Row],[COFINS]]+Tabela1107[[#This Row],[CONTRIB. FOLHA]]+Tabela1107[[#This Row],[TRIBUTOS S/ LUCRO]]+Tabela1107[[#This Row],[OUTROS]]+Tabela1107[[#This Row],[DF]]</f>
        <v>24.740000000000002</v>
      </c>
      <c r="BQ327" s="97">
        <f>+Tabela1107[[#This Row],[PIS]]+Tabela1107[[#This Row],[COFINS]]+Tabela1107[[#This Row],[CONTRIB. FOLHA]]+Tabela1107[[#This Row],[TRIBUTOS S/ LUCRO]]+Tabela1107[[#This Row],[OUTROS]]+Tabela1107[[#This Row],[BA]]</f>
        <v>24.740000000000002</v>
      </c>
      <c r="BR327" s="97">
        <f>+Tabela1107[[#This Row],[PIS]]+Tabela1107[[#This Row],[COFINS]]+Tabela1107[[#This Row],[CONTRIB. FOLHA]]+Tabela1107[[#This Row],[TRIBUTOS S/ LUCRO]]+Tabela1107[[#This Row],[OUTROS]]+Tabela1107[[#This Row],[BA]]</f>
        <v>24.740000000000002</v>
      </c>
      <c r="BS327" s="97">
        <f>+Tabela1107[[#This Row],[PIS]]+Tabela1107[[#This Row],[COFINS]]+Tabela1107[[#This Row],[CONTRIB. FOLHA]]+Tabela1107[[#This Row],[TRIBUTOS S/ LUCRO]]+Tabela1107[[#This Row],[OUTROS]]+Tabela1107[[#This Row],[PE]]</f>
        <v>24.740000000000002</v>
      </c>
      <c r="BT327" s="97">
        <f>+Tabela1107[[#This Row],[PIS]]+Tabela1107[[#This Row],[COFINS]]+Tabela1107[[#This Row],[CONTRIB. FOLHA]]+Tabela1107[[#This Row],[TRIBUTOS S/ LUCRO]]+Tabela1107[[#This Row],[OUTROS]]+Tabela1107[[#This Row],[PA]]</f>
        <v>24.740000000000002</v>
      </c>
      <c r="BU327" s="97">
        <f>+Tabela1107[[#This Row],[PIS]]+Tabela1107[[#This Row],[COFINS]]+Tabela1107[[#This Row],[CONTRIB. FOLHA]]+Tabela1107[[#This Row],[TRIBUTOS S/ LUCRO]]+Tabela1107[[#This Row],[OUTROS]]+Tabela1107[[#This Row],[AM]]</f>
        <v>24.740000000000002</v>
      </c>
      <c r="BV327" s="97">
        <f>AVERAGE(Tabela1107[[#This Row],[TOTAL SP]:[TOTAL AM]])</f>
        <v>24.677500000000006</v>
      </c>
      <c r="BW327" s="97"/>
      <c r="BX327" s="97"/>
    </row>
    <row r="328" spans="2:76" x14ac:dyDescent="0.25">
      <c r="B328" s="89">
        <v>23714</v>
      </c>
      <c r="C328" s="91" t="s">
        <v>13166</v>
      </c>
      <c r="D328" s="89"/>
      <c r="E328" s="89">
        <v>20140626</v>
      </c>
      <c r="F328" s="89" t="s">
        <v>21008</v>
      </c>
      <c r="G328" s="89" t="s">
        <v>21009</v>
      </c>
      <c r="H328" s="89" t="s">
        <v>21010</v>
      </c>
      <c r="I328" s="89" t="s">
        <v>2669</v>
      </c>
      <c r="J328" s="89" t="s">
        <v>200</v>
      </c>
      <c r="K328" s="99" t="s">
        <v>2505</v>
      </c>
      <c r="L328" s="89" t="s">
        <v>2669</v>
      </c>
      <c r="M328" s="89" t="s">
        <v>4496</v>
      </c>
      <c r="N328" s="89" t="s">
        <v>4496</v>
      </c>
      <c r="O328" s="89" t="s">
        <v>4496</v>
      </c>
      <c r="P328" s="89" t="s">
        <v>4496</v>
      </c>
      <c r="Q328" s="89"/>
      <c r="R328" s="89" t="s">
        <v>52</v>
      </c>
      <c r="S328" s="89" t="s">
        <v>21652</v>
      </c>
      <c r="T328" s="89" t="s">
        <v>21653</v>
      </c>
      <c r="U328" s="89" t="str">
        <f>TRIM('Carga Tributária doenças Po (2'!$L328)</f>
        <v>NORFLOXACINO</v>
      </c>
      <c r="V328" s="89">
        <f>SUMIFS('Tabela Federal'!$E$4:$E$2069,'Tabela Federal'!$D$4:$D$2069,'Carga Tributária doenças Po (2'!$L328)</f>
        <v>1</v>
      </c>
      <c r="W328" s="89">
        <f>SUMIFS('Tabela Federal'!$E$4:$E$2069,'Tabela Federal'!$D$4:$D$2069,'Carga Tributária doenças Po (2'!$M328)</f>
        <v>0</v>
      </c>
      <c r="X328" s="89">
        <f>SUMIFS('Tabela Federal'!$E$4:$E$2069,'Tabela Federal'!$D$4:$D$2069,'Carga Tributária doenças Po (2'!$N328)</f>
        <v>0</v>
      </c>
      <c r="Y328" s="89">
        <f>SUMIFS('Tabela Federal'!$E$4:$E$2069,'Tabela Federal'!$D$4:$D$2069,'Carga Tributária doenças Po (2'!$O328)</f>
        <v>0</v>
      </c>
      <c r="Z328" s="92" t="str">
        <f>VLOOKUP('Carga Tributária doenças Po (2'!$AD328,'Carga Tributária doenças Po (2'!$CA$12:$CC$16,2,0)</f>
        <v>+</v>
      </c>
      <c r="AA328" s="89" t="s">
        <v>195</v>
      </c>
      <c r="AB328" s="89" t="s">
        <v>21855</v>
      </c>
      <c r="AC328" s="89" t="s">
        <v>21721</v>
      </c>
      <c r="AD328" s="93" t="s">
        <v>21722</v>
      </c>
      <c r="AE328" s="92" t="s">
        <v>2</v>
      </c>
      <c r="AF328" s="92" t="s">
        <v>10</v>
      </c>
      <c r="AG328" s="94">
        <v>441724</v>
      </c>
      <c r="AH328" s="95">
        <v>4590096</v>
      </c>
      <c r="AI328" s="95">
        <v>10471394.140000001</v>
      </c>
      <c r="AJ328" s="89" t="s">
        <v>203</v>
      </c>
      <c r="AK328" s="89">
        <f>IF('Carga Tributária doenças Po (2'!$Z328="+",0,SUMIFS(PISCOFINS!$I$3:$I$10518,PISCOFINS!$C$3:$C$10518,'Carga Tributária doenças Po (2'!$C328))</f>
        <v>0</v>
      </c>
      <c r="AL328" s="89">
        <f>IF('Carga Tributária doenças Po (2'!$Z328="+",0,SUMIFS(PISCOFINS!$H$3:$H$10518,PISCOFINS!$C$3:$C$10518,'Carga Tributária doenças Po (2'!$C328))</f>
        <v>0</v>
      </c>
      <c r="AM328" s="95">
        <v>3.27</v>
      </c>
      <c r="AN328" s="95">
        <v>3.12</v>
      </c>
      <c r="AO328" s="95">
        <v>1.35</v>
      </c>
      <c r="AP328" s="96">
        <v>18</v>
      </c>
      <c r="AQ328" s="96">
        <v>12</v>
      </c>
      <c r="AR328" s="96">
        <v>17</v>
      </c>
      <c r="AS328" s="97">
        <v>17</v>
      </c>
      <c r="AT328" s="97">
        <v>19</v>
      </c>
      <c r="AU328" s="97">
        <v>12</v>
      </c>
      <c r="AV328" s="97">
        <v>17</v>
      </c>
      <c r="AW328" s="97">
        <v>17</v>
      </c>
      <c r="AX328" s="97">
        <v>17</v>
      </c>
      <c r="AY328" s="97">
        <v>17</v>
      </c>
      <c r="AZ328" s="97">
        <v>17</v>
      </c>
      <c r="BA328" s="97">
        <v>17</v>
      </c>
      <c r="BB328" s="97">
        <v>17</v>
      </c>
      <c r="BC328" s="97">
        <v>17</v>
      </c>
      <c r="BD328" s="97">
        <v>17</v>
      </c>
      <c r="BE328" s="97">
        <v>17</v>
      </c>
      <c r="BF328" s="97">
        <f>+Tabela1107[[#This Row],[PIS]]+Tabela1107[[#This Row],[COFINS]]+Tabela1107[[#This Row],[CONTRIB. FOLHA]]+Tabela1107[[#This Row],[TRIBUTOS S/ LUCRO]]+Tabela1107[[#This Row],[OUTROS]]+Tabela1107[[#This Row],[SP]]</f>
        <v>25.740000000000002</v>
      </c>
      <c r="BG328" s="97">
        <f>+Tabela1107[[#This Row],[PIS]]+Tabela1107[[#This Row],[COFINS]]+Tabela1107[[#This Row],[CONTRIB. FOLHA]]+Tabela1107[[#This Row],[TRIBUTOS S/ LUCRO]]+Tabela1107[[#This Row],[OUTROS]]+Tabela1107[[#This Row],[PR]]</f>
        <v>19.740000000000002</v>
      </c>
      <c r="BH328" s="97">
        <f>+Tabela1107[[#This Row],[PIS]]+Tabela1107[[#This Row],[COFINS]]+Tabela1107[[#This Row],[CONTRIB. FOLHA]]+Tabela1107[[#This Row],[TRIBUTOS S/ LUCRO]]+Tabela1107[[#This Row],[OUTROS]]+Tabela1107[[#This Row],[SC]]</f>
        <v>24.740000000000002</v>
      </c>
      <c r="BI328" s="97">
        <f>+Tabela1107[[#This Row],[PIS]]+Tabela1107[[#This Row],[COFINS]]+Tabela1107[[#This Row],[CONTRIB. FOLHA]]+Tabela1107[[#This Row],[TRIBUTOS S/ LUCRO]]+Tabela1107[[#This Row],[OUTROS]]+Tabela1107[[#This Row],[RS]]</f>
        <v>24.740000000000002</v>
      </c>
      <c r="BJ328" s="97">
        <f>+Tabela1107[[#This Row],[PIS]]+Tabela1107[[#This Row],[COFINS]]+Tabela1107[[#This Row],[CONTRIB. FOLHA]]+Tabela1107[[#This Row],[TRIBUTOS S/ LUCRO]]+Tabela1107[[#This Row],[OUTROS]]+Tabela1107[[#This Row],[RJ]]</f>
        <v>26.740000000000002</v>
      </c>
      <c r="BK328" s="97">
        <f>+Tabela1107[[#This Row],[PIS]]+Tabela1107[[#This Row],[COFINS]]+Tabela1107[[#This Row],[CONTRIB. FOLHA]]+Tabela1107[[#This Row],[TRIBUTOS S/ LUCRO]]+Tabela1107[[#This Row],[OUTROS]]+Tabela1107[[#This Row],[MG]]</f>
        <v>19.740000000000002</v>
      </c>
      <c r="BL328" s="97">
        <f>+Tabela1107[[#This Row],[PIS]]+Tabela1107[[#This Row],[COFINS]]+Tabela1107[[#This Row],[CONTRIB. FOLHA]]+Tabela1107[[#This Row],[TRIBUTOS S/ LUCRO]]+Tabela1107[[#This Row],[OUTROS]]+Tabela1107[[#This Row],[ES]]</f>
        <v>24.740000000000002</v>
      </c>
      <c r="BM328" s="97">
        <f>+Tabela1107[[#This Row],[PIS]]+Tabela1107[[#This Row],[COFINS]]+Tabela1107[[#This Row],[CONTRIB. FOLHA]]+Tabela1107[[#This Row],[TRIBUTOS S/ LUCRO]]+Tabela1107[[#This Row],[OUTROS]]+Tabela1107[[#This Row],[GO]]</f>
        <v>24.740000000000002</v>
      </c>
      <c r="BN328" s="97">
        <f>+Tabela1107[[#This Row],[PIS]]+Tabela1107[[#This Row],[COFINS]]+Tabela1107[[#This Row],[CONTRIB. FOLHA]]+Tabela1107[[#This Row],[TRIBUTOS S/ LUCRO]]+Tabela1107[[#This Row],[OUTROS]]+Tabela1107[[#This Row],[MT]]</f>
        <v>24.740000000000002</v>
      </c>
      <c r="BO328" s="97">
        <f>+Tabela1107[[#This Row],[PIS]]+Tabela1107[[#This Row],[COFINS]]+Tabela1107[[#This Row],[CONTRIB. FOLHA]]+Tabela1107[[#This Row],[TRIBUTOS S/ LUCRO]]+Tabela1107[[#This Row],[OUTROS]]+Tabela1107[[#This Row],[MS]]</f>
        <v>24.740000000000002</v>
      </c>
      <c r="BP328" s="97">
        <f>+Tabela1107[[#This Row],[PIS]]+Tabela1107[[#This Row],[COFINS]]+Tabela1107[[#This Row],[CONTRIB. FOLHA]]+Tabela1107[[#This Row],[TRIBUTOS S/ LUCRO]]+Tabela1107[[#This Row],[OUTROS]]+Tabela1107[[#This Row],[DF]]</f>
        <v>24.740000000000002</v>
      </c>
      <c r="BQ328" s="97">
        <f>+Tabela1107[[#This Row],[PIS]]+Tabela1107[[#This Row],[COFINS]]+Tabela1107[[#This Row],[CONTRIB. FOLHA]]+Tabela1107[[#This Row],[TRIBUTOS S/ LUCRO]]+Tabela1107[[#This Row],[OUTROS]]+Tabela1107[[#This Row],[BA]]</f>
        <v>24.740000000000002</v>
      </c>
      <c r="BR328" s="97">
        <f>+Tabela1107[[#This Row],[PIS]]+Tabela1107[[#This Row],[COFINS]]+Tabela1107[[#This Row],[CONTRIB. FOLHA]]+Tabela1107[[#This Row],[TRIBUTOS S/ LUCRO]]+Tabela1107[[#This Row],[OUTROS]]+Tabela1107[[#This Row],[BA]]</f>
        <v>24.740000000000002</v>
      </c>
      <c r="BS328" s="97">
        <f>+Tabela1107[[#This Row],[PIS]]+Tabela1107[[#This Row],[COFINS]]+Tabela1107[[#This Row],[CONTRIB. FOLHA]]+Tabela1107[[#This Row],[TRIBUTOS S/ LUCRO]]+Tabela1107[[#This Row],[OUTROS]]+Tabela1107[[#This Row],[PE]]</f>
        <v>24.740000000000002</v>
      </c>
      <c r="BT328" s="97">
        <f>+Tabela1107[[#This Row],[PIS]]+Tabela1107[[#This Row],[COFINS]]+Tabela1107[[#This Row],[CONTRIB. FOLHA]]+Tabela1107[[#This Row],[TRIBUTOS S/ LUCRO]]+Tabela1107[[#This Row],[OUTROS]]+Tabela1107[[#This Row],[PA]]</f>
        <v>24.740000000000002</v>
      </c>
      <c r="BU328" s="97">
        <f>+Tabela1107[[#This Row],[PIS]]+Tabela1107[[#This Row],[COFINS]]+Tabela1107[[#This Row],[CONTRIB. FOLHA]]+Tabela1107[[#This Row],[TRIBUTOS S/ LUCRO]]+Tabela1107[[#This Row],[OUTROS]]+Tabela1107[[#This Row],[AM]]</f>
        <v>24.740000000000002</v>
      </c>
      <c r="BV328" s="97">
        <f>AVERAGE(Tabela1107[[#This Row],[TOTAL SP]:[TOTAL AM]])</f>
        <v>24.302500000000006</v>
      </c>
      <c r="BW328" s="97"/>
      <c r="BX328" s="97"/>
    </row>
    <row r="329" spans="2:76" x14ac:dyDescent="0.25">
      <c r="B329" s="89">
        <v>23737</v>
      </c>
      <c r="C329" s="91" t="s">
        <v>13166</v>
      </c>
      <c r="D329" s="89"/>
      <c r="E329" s="89">
        <v>20140626</v>
      </c>
      <c r="F329" s="89" t="s">
        <v>21075</v>
      </c>
      <c r="G329" s="89" t="s">
        <v>21076</v>
      </c>
      <c r="H329" s="89" t="s">
        <v>21077</v>
      </c>
      <c r="I329" s="89" t="s">
        <v>2669</v>
      </c>
      <c r="J329" s="89" t="s">
        <v>196</v>
      </c>
      <c r="K329" s="99" t="s">
        <v>2505</v>
      </c>
      <c r="L329" s="89" t="s">
        <v>2669</v>
      </c>
      <c r="M329" s="89" t="s">
        <v>4496</v>
      </c>
      <c r="N329" s="89" t="s">
        <v>4496</v>
      </c>
      <c r="O329" s="89" t="s">
        <v>4496</v>
      </c>
      <c r="P329" s="89" t="s">
        <v>4496</v>
      </c>
      <c r="Q329" s="89"/>
      <c r="R329" s="89" t="s">
        <v>68</v>
      </c>
      <c r="S329" s="89" t="s">
        <v>21664</v>
      </c>
      <c r="T329" s="89" t="s">
        <v>21665</v>
      </c>
      <c r="U329" s="89" t="str">
        <f>TRIM('Carga Tributária doenças Po (2'!$L329)</f>
        <v>NORFLOXACINO</v>
      </c>
      <c r="V329" s="89">
        <f>SUMIFS('Tabela Federal'!$E$4:$E$2069,'Tabela Federal'!$D$4:$D$2069,'Carga Tributária doenças Po (2'!$L329)</f>
        <v>1</v>
      </c>
      <c r="W329" s="89">
        <f>SUMIFS('Tabela Federal'!$E$4:$E$2069,'Tabela Federal'!$D$4:$D$2069,'Carga Tributária doenças Po (2'!$M329)</f>
        <v>0</v>
      </c>
      <c r="X329" s="89">
        <f>SUMIFS('Tabela Federal'!$E$4:$E$2069,'Tabela Federal'!$D$4:$D$2069,'Carga Tributária doenças Po (2'!$N329)</f>
        <v>0</v>
      </c>
      <c r="Y329" s="89">
        <f>SUMIFS('Tabela Federal'!$E$4:$E$2069,'Tabela Federal'!$D$4:$D$2069,'Carga Tributária doenças Po (2'!$O329)</f>
        <v>0</v>
      </c>
      <c r="Z329" s="92" t="str">
        <f>VLOOKUP('Carga Tributária doenças Po (2'!$AD329,'Carga Tributária doenças Po (2'!$CA$12:$CC$16,2,0)</f>
        <v>+</v>
      </c>
      <c r="AA329" s="89" t="s">
        <v>195</v>
      </c>
      <c r="AB329" s="89" t="s">
        <v>21855</v>
      </c>
      <c r="AC329" s="89" t="s">
        <v>21721</v>
      </c>
      <c r="AD329" s="93" t="s">
        <v>21722</v>
      </c>
      <c r="AE329" s="92" t="s">
        <v>2</v>
      </c>
      <c r="AF329" s="92" t="s">
        <v>10</v>
      </c>
      <c r="AG329" s="94">
        <v>618355</v>
      </c>
      <c r="AH329" s="95">
        <v>5195303</v>
      </c>
      <c r="AI329" s="95">
        <v>11860837.27</v>
      </c>
      <c r="AJ329" s="89" t="s">
        <v>203</v>
      </c>
      <c r="AK329" s="89">
        <f>IF('Carga Tributária doenças Po (2'!$Z329="+",0,SUMIFS(PISCOFINS!$I$3:$I$10518,PISCOFINS!$C$3:$C$10518,'Carga Tributária doenças Po (2'!$C329))</f>
        <v>0</v>
      </c>
      <c r="AL329" s="89">
        <f>IF('Carga Tributária doenças Po (2'!$Z329="+",0,SUMIFS(PISCOFINS!$H$3:$H$10518,PISCOFINS!$C$3:$C$10518,'Carga Tributária doenças Po (2'!$C329))</f>
        <v>0</v>
      </c>
      <c r="AM329" s="95">
        <v>3.27</v>
      </c>
      <c r="AN329" s="95">
        <v>3.12</v>
      </c>
      <c r="AO329" s="95">
        <v>1.35</v>
      </c>
      <c r="AP329" s="96">
        <v>18</v>
      </c>
      <c r="AQ329" s="96">
        <v>12</v>
      </c>
      <c r="AR329" s="96">
        <v>17</v>
      </c>
      <c r="AS329" s="97">
        <v>17</v>
      </c>
      <c r="AT329" s="97">
        <v>19</v>
      </c>
      <c r="AU329" s="97">
        <v>12</v>
      </c>
      <c r="AV329" s="97">
        <v>17</v>
      </c>
      <c r="AW329" s="97">
        <v>17</v>
      </c>
      <c r="AX329" s="97">
        <v>17</v>
      </c>
      <c r="AY329" s="97">
        <v>17</v>
      </c>
      <c r="AZ329" s="97">
        <v>17</v>
      </c>
      <c r="BA329" s="97">
        <v>17</v>
      </c>
      <c r="BB329" s="97">
        <v>17</v>
      </c>
      <c r="BC329" s="97">
        <v>17</v>
      </c>
      <c r="BD329" s="97">
        <v>17</v>
      </c>
      <c r="BE329" s="97">
        <v>17</v>
      </c>
      <c r="BF329" s="97">
        <f>+Tabela1107[[#This Row],[PIS]]+Tabela1107[[#This Row],[COFINS]]+Tabela1107[[#This Row],[CONTRIB. FOLHA]]+Tabela1107[[#This Row],[TRIBUTOS S/ LUCRO]]+Tabela1107[[#This Row],[OUTROS]]+Tabela1107[[#This Row],[SP]]</f>
        <v>25.740000000000002</v>
      </c>
      <c r="BG329" s="97">
        <f>+Tabela1107[[#This Row],[PIS]]+Tabela1107[[#This Row],[COFINS]]+Tabela1107[[#This Row],[CONTRIB. FOLHA]]+Tabela1107[[#This Row],[TRIBUTOS S/ LUCRO]]+Tabela1107[[#This Row],[OUTROS]]+Tabela1107[[#This Row],[PR]]</f>
        <v>19.740000000000002</v>
      </c>
      <c r="BH329" s="97">
        <f>+Tabela1107[[#This Row],[PIS]]+Tabela1107[[#This Row],[COFINS]]+Tabela1107[[#This Row],[CONTRIB. FOLHA]]+Tabela1107[[#This Row],[TRIBUTOS S/ LUCRO]]+Tabela1107[[#This Row],[OUTROS]]+Tabela1107[[#This Row],[SC]]</f>
        <v>24.740000000000002</v>
      </c>
      <c r="BI329" s="97">
        <f>+Tabela1107[[#This Row],[PIS]]+Tabela1107[[#This Row],[COFINS]]+Tabela1107[[#This Row],[CONTRIB. FOLHA]]+Tabela1107[[#This Row],[TRIBUTOS S/ LUCRO]]+Tabela1107[[#This Row],[OUTROS]]+Tabela1107[[#This Row],[RS]]</f>
        <v>24.740000000000002</v>
      </c>
      <c r="BJ329" s="97">
        <f>+Tabela1107[[#This Row],[PIS]]+Tabela1107[[#This Row],[COFINS]]+Tabela1107[[#This Row],[CONTRIB. FOLHA]]+Tabela1107[[#This Row],[TRIBUTOS S/ LUCRO]]+Tabela1107[[#This Row],[OUTROS]]+Tabela1107[[#This Row],[RJ]]</f>
        <v>26.740000000000002</v>
      </c>
      <c r="BK329" s="97">
        <f>+Tabela1107[[#This Row],[PIS]]+Tabela1107[[#This Row],[COFINS]]+Tabela1107[[#This Row],[CONTRIB. FOLHA]]+Tabela1107[[#This Row],[TRIBUTOS S/ LUCRO]]+Tabela1107[[#This Row],[OUTROS]]+Tabela1107[[#This Row],[MG]]</f>
        <v>19.740000000000002</v>
      </c>
      <c r="BL329" s="97">
        <f>+Tabela1107[[#This Row],[PIS]]+Tabela1107[[#This Row],[COFINS]]+Tabela1107[[#This Row],[CONTRIB. FOLHA]]+Tabela1107[[#This Row],[TRIBUTOS S/ LUCRO]]+Tabela1107[[#This Row],[OUTROS]]+Tabela1107[[#This Row],[ES]]</f>
        <v>24.740000000000002</v>
      </c>
      <c r="BM329" s="97">
        <f>+Tabela1107[[#This Row],[PIS]]+Tabela1107[[#This Row],[COFINS]]+Tabela1107[[#This Row],[CONTRIB. FOLHA]]+Tabela1107[[#This Row],[TRIBUTOS S/ LUCRO]]+Tabela1107[[#This Row],[OUTROS]]+Tabela1107[[#This Row],[GO]]</f>
        <v>24.740000000000002</v>
      </c>
      <c r="BN329" s="97">
        <f>+Tabela1107[[#This Row],[PIS]]+Tabela1107[[#This Row],[COFINS]]+Tabela1107[[#This Row],[CONTRIB. FOLHA]]+Tabela1107[[#This Row],[TRIBUTOS S/ LUCRO]]+Tabela1107[[#This Row],[OUTROS]]+Tabela1107[[#This Row],[MT]]</f>
        <v>24.740000000000002</v>
      </c>
      <c r="BO329" s="97">
        <f>+Tabela1107[[#This Row],[PIS]]+Tabela1107[[#This Row],[COFINS]]+Tabela1107[[#This Row],[CONTRIB. FOLHA]]+Tabela1107[[#This Row],[TRIBUTOS S/ LUCRO]]+Tabela1107[[#This Row],[OUTROS]]+Tabela1107[[#This Row],[MS]]</f>
        <v>24.740000000000002</v>
      </c>
      <c r="BP329" s="97">
        <f>+Tabela1107[[#This Row],[PIS]]+Tabela1107[[#This Row],[COFINS]]+Tabela1107[[#This Row],[CONTRIB. FOLHA]]+Tabela1107[[#This Row],[TRIBUTOS S/ LUCRO]]+Tabela1107[[#This Row],[OUTROS]]+Tabela1107[[#This Row],[DF]]</f>
        <v>24.740000000000002</v>
      </c>
      <c r="BQ329" s="97">
        <f>+Tabela1107[[#This Row],[PIS]]+Tabela1107[[#This Row],[COFINS]]+Tabela1107[[#This Row],[CONTRIB. FOLHA]]+Tabela1107[[#This Row],[TRIBUTOS S/ LUCRO]]+Tabela1107[[#This Row],[OUTROS]]+Tabela1107[[#This Row],[BA]]</f>
        <v>24.740000000000002</v>
      </c>
      <c r="BR329" s="97">
        <f>+Tabela1107[[#This Row],[PIS]]+Tabela1107[[#This Row],[COFINS]]+Tabela1107[[#This Row],[CONTRIB. FOLHA]]+Tabela1107[[#This Row],[TRIBUTOS S/ LUCRO]]+Tabela1107[[#This Row],[OUTROS]]+Tabela1107[[#This Row],[BA]]</f>
        <v>24.740000000000002</v>
      </c>
      <c r="BS329" s="97">
        <f>+Tabela1107[[#This Row],[PIS]]+Tabela1107[[#This Row],[COFINS]]+Tabela1107[[#This Row],[CONTRIB. FOLHA]]+Tabela1107[[#This Row],[TRIBUTOS S/ LUCRO]]+Tabela1107[[#This Row],[OUTROS]]+Tabela1107[[#This Row],[PE]]</f>
        <v>24.740000000000002</v>
      </c>
      <c r="BT329" s="97">
        <f>+Tabela1107[[#This Row],[PIS]]+Tabela1107[[#This Row],[COFINS]]+Tabela1107[[#This Row],[CONTRIB. FOLHA]]+Tabela1107[[#This Row],[TRIBUTOS S/ LUCRO]]+Tabela1107[[#This Row],[OUTROS]]+Tabela1107[[#This Row],[PA]]</f>
        <v>24.740000000000002</v>
      </c>
      <c r="BU329" s="97">
        <f>+Tabela1107[[#This Row],[PIS]]+Tabela1107[[#This Row],[COFINS]]+Tabela1107[[#This Row],[CONTRIB. FOLHA]]+Tabela1107[[#This Row],[TRIBUTOS S/ LUCRO]]+Tabela1107[[#This Row],[OUTROS]]+Tabela1107[[#This Row],[AM]]</f>
        <v>24.740000000000002</v>
      </c>
      <c r="BV329" s="97">
        <f>AVERAGE(Tabela1107[[#This Row],[TOTAL SP]:[TOTAL AM]])</f>
        <v>24.302500000000006</v>
      </c>
      <c r="BW329" s="97"/>
      <c r="BX329" s="97"/>
    </row>
    <row r="330" spans="2:76" x14ac:dyDescent="0.25">
      <c r="B330" s="89">
        <v>6360</v>
      </c>
      <c r="C330" s="91" t="s">
        <v>13183</v>
      </c>
      <c r="D330" s="89"/>
      <c r="E330" s="89">
        <v>20140626</v>
      </c>
      <c r="F330" s="89" t="s">
        <v>21422</v>
      </c>
      <c r="G330" s="89" t="s">
        <v>21423</v>
      </c>
      <c r="H330" s="89" t="s">
        <v>21424</v>
      </c>
      <c r="I330" s="89" t="s">
        <v>21425</v>
      </c>
      <c r="J330" s="89" t="s">
        <v>181</v>
      </c>
      <c r="K330" s="99" t="s">
        <v>2550</v>
      </c>
      <c r="L330" s="89" t="s">
        <v>2670</v>
      </c>
      <c r="M330" s="89" t="s">
        <v>4496</v>
      </c>
      <c r="N330" s="89" t="s">
        <v>4496</v>
      </c>
      <c r="O330" s="89" t="s">
        <v>4496</v>
      </c>
      <c r="P330" s="89" t="s">
        <v>4496</v>
      </c>
      <c r="Q330" s="89"/>
      <c r="R330" s="89" t="s">
        <v>92</v>
      </c>
      <c r="S330" s="89" t="s">
        <v>21696</v>
      </c>
      <c r="T330" s="89" t="s">
        <v>21697</v>
      </c>
      <c r="U330" s="89" t="str">
        <f>TRIM('Carga Tributária doenças Po (2'!$L330)</f>
        <v>FERRIPOLIMALTOSE</v>
      </c>
      <c r="V330" s="89">
        <f>SUMIFS('Tabela Federal'!$E$4:$E$2069,'Tabela Federal'!$D$4:$D$2069,'Carga Tributária doenças Po (2'!$L330)</f>
        <v>0</v>
      </c>
      <c r="W330" s="89">
        <f>SUMIFS('Tabela Federal'!$E$4:$E$2069,'Tabela Federal'!$D$4:$D$2069,'Carga Tributária doenças Po (2'!$M330)</f>
        <v>0</v>
      </c>
      <c r="X330" s="89">
        <f>SUMIFS('Tabela Federal'!$E$4:$E$2069,'Tabela Federal'!$D$4:$D$2069,'Carga Tributária doenças Po (2'!$N330)</f>
        <v>0</v>
      </c>
      <c r="Y330" s="89">
        <f>SUMIFS('Tabela Federal'!$E$4:$E$2069,'Tabela Federal'!$D$4:$D$2069,'Carga Tributária doenças Po (2'!$O330)</f>
        <v>0</v>
      </c>
      <c r="Z330" s="92" t="str">
        <f>VLOOKUP('Carga Tributária doenças Po (2'!$AD330,'Carga Tributária doenças Po (2'!$CA$12:$CC$16,2,0)</f>
        <v>-</v>
      </c>
      <c r="AA330" s="89" t="s">
        <v>179</v>
      </c>
      <c r="AB330" s="89" t="s">
        <v>21736</v>
      </c>
      <c r="AC330" s="89" t="s">
        <v>21721</v>
      </c>
      <c r="AD330" s="93" t="s">
        <v>19523</v>
      </c>
      <c r="AE330" s="92" t="s">
        <v>4</v>
      </c>
      <c r="AF330" s="92" t="s">
        <v>3</v>
      </c>
      <c r="AG330" s="94">
        <v>473540</v>
      </c>
      <c r="AH330" s="95">
        <v>6848330</v>
      </c>
      <c r="AI330" s="95">
        <v>15635601.02</v>
      </c>
      <c r="AJ330" s="89" t="s">
        <v>174</v>
      </c>
      <c r="AK330" s="89">
        <f>IF('Carga Tributária doenças Po (2'!$Z330="+",0,SUMIFS(PISCOFINS!$I$3:$I$10518,PISCOFINS!$C$3:$C$10518,'Carga Tributária doenças Po (2'!$C330))</f>
        <v>2.1</v>
      </c>
      <c r="AL330" s="89">
        <f>IF('Carga Tributária doenças Po (2'!$Z330="+",0,SUMIFS(PISCOFINS!$H$3:$H$10518,PISCOFINS!$C$3:$C$10518,'Carga Tributária doenças Po (2'!$C330))</f>
        <v>9.9</v>
      </c>
      <c r="AM330" s="95">
        <v>3.27</v>
      </c>
      <c r="AN330" s="95">
        <v>3.12</v>
      </c>
      <c r="AO330" s="95">
        <v>1.35</v>
      </c>
      <c r="AP330" s="96">
        <v>18</v>
      </c>
      <c r="AQ330" s="96">
        <v>12</v>
      </c>
      <c r="AR330" s="96">
        <v>17</v>
      </c>
      <c r="AS330" s="97">
        <v>17</v>
      </c>
      <c r="AT330" s="97">
        <v>19</v>
      </c>
      <c r="AU330" s="97">
        <v>18</v>
      </c>
      <c r="AV330" s="97">
        <v>17</v>
      </c>
      <c r="AW330" s="97">
        <v>17</v>
      </c>
      <c r="AX330" s="97">
        <v>17</v>
      </c>
      <c r="AY330" s="97">
        <v>17</v>
      </c>
      <c r="AZ330" s="97">
        <v>17</v>
      </c>
      <c r="BA330" s="97">
        <v>17</v>
      </c>
      <c r="BB330" s="97">
        <v>17</v>
      </c>
      <c r="BC330" s="97">
        <v>17</v>
      </c>
      <c r="BD330" s="97">
        <v>17</v>
      </c>
      <c r="BE330" s="97">
        <v>17</v>
      </c>
      <c r="BF330" s="97">
        <f>+Tabela1107[[#This Row],[PIS]]+Tabela1107[[#This Row],[COFINS]]+Tabela1107[[#This Row],[CONTRIB. FOLHA]]+Tabela1107[[#This Row],[TRIBUTOS S/ LUCRO]]+Tabela1107[[#This Row],[OUTROS]]+Tabela1107[[#This Row],[SP]]</f>
        <v>37.74</v>
      </c>
      <c r="BG330" s="97">
        <f>+Tabela1107[[#This Row],[PIS]]+Tabela1107[[#This Row],[COFINS]]+Tabela1107[[#This Row],[CONTRIB. FOLHA]]+Tabela1107[[#This Row],[TRIBUTOS S/ LUCRO]]+Tabela1107[[#This Row],[OUTROS]]+Tabela1107[[#This Row],[PR]]</f>
        <v>31.740000000000002</v>
      </c>
      <c r="BH330" s="97">
        <f>+Tabela1107[[#This Row],[PIS]]+Tabela1107[[#This Row],[COFINS]]+Tabela1107[[#This Row],[CONTRIB. FOLHA]]+Tabela1107[[#This Row],[TRIBUTOS S/ LUCRO]]+Tabela1107[[#This Row],[OUTROS]]+Tabela1107[[#This Row],[SC]]</f>
        <v>36.74</v>
      </c>
      <c r="BI330" s="97">
        <f>+Tabela1107[[#This Row],[PIS]]+Tabela1107[[#This Row],[COFINS]]+Tabela1107[[#This Row],[CONTRIB. FOLHA]]+Tabela1107[[#This Row],[TRIBUTOS S/ LUCRO]]+Tabela1107[[#This Row],[OUTROS]]+Tabela1107[[#This Row],[RS]]</f>
        <v>36.74</v>
      </c>
      <c r="BJ330" s="97">
        <f>+Tabela1107[[#This Row],[PIS]]+Tabela1107[[#This Row],[COFINS]]+Tabela1107[[#This Row],[CONTRIB. FOLHA]]+Tabela1107[[#This Row],[TRIBUTOS S/ LUCRO]]+Tabela1107[[#This Row],[OUTROS]]+Tabela1107[[#This Row],[RJ]]</f>
        <v>38.74</v>
      </c>
      <c r="BK330" s="97">
        <f>+Tabela1107[[#This Row],[PIS]]+Tabela1107[[#This Row],[COFINS]]+Tabela1107[[#This Row],[CONTRIB. FOLHA]]+Tabela1107[[#This Row],[TRIBUTOS S/ LUCRO]]+Tabela1107[[#This Row],[OUTROS]]+Tabela1107[[#This Row],[MG]]</f>
        <v>37.74</v>
      </c>
      <c r="BL330" s="97">
        <f>+Tabela1107[[#This Row],[PIS]]+Tabela1107[[#This Row],[COFINS]]+Tabela1107[[#This Row],[CONTRIB. FOLHA]]+Tabela1107[[#This Row],[TRIBUTOS S/ LUCRO]]+Tabela1107[[#This Row],[OUTROS]]+Tabela1107[[#This Row],[ES]]</f>
        <v>36.74</v>
      </c>
      <c r="BM330" s="97">
        <f>+Tabela1107[[#This Row],[PIS]]+Tabela1107[[#This Row],[COFINS]]+Tabela1107[[#This Row],[CONTRIB. FOLHA]]+Tabela1107[[#This Row],[TRIBUTOS S/ LUCRO]]+Tabela1107[[#This Row],[OUTROS]]+Tabela1107[[#This Row],[GO]]</f>
        <v>36.74</v>
      </c>
      <c r="BN330" s="97">
        <f>+Tabela1107[[#This Row],[PIS]]+Tabela1107[[#This Row],[COFINS]]+Tabela1107[[#This Row],[CONTRIB. FOLHA]]+Tabela1107[[#This Row],[TRIBUTOS S/ LUCRO]]+Tabela1107[[#This Row],[OUTROS]]+Tabela1107[[#This Row],[MT]]</f>
        <v>36.74</v>
      </c>
      <c r="BO330" s="97">
        <f>+Tabela1107[[#This Row],[PIS]]+Tabela1107[[#This Row],[COFINS]]+Tabela1107[[#This Row],[CONTRIB. FOLHA]]+Tabela1107[[#This Row],[TRIBUTOS S/ LUCRO]]+Tabela1107[[#This Row],[OUTROS]]+Tabela1107[[#This Row],[MS]]</f>
        <v>36.74</v>
      </c>
      <c r="BP330" s="97">
        <f>+Tabela1107[[#This Row],[PIS]]+Tabela1107[[#This Row],[COFINS]]+Tabela1107[[#This Row],[CONTRIB. FOLHA]]+Tabela1107[[#This Row],[TRIBUTOS S/ LUCRO]]+Tabela1107[[#This Row],[OUTROS]]+Tabela1107[[#This Row],[DF]]</f>
        <v>36.74</v>
      </c>
      <c r="BQ330" s="97">
        <f>+Tabela1107[[#This Row],[PIS]]+Tabela1107[[#This Row],[COFINS]]+Tabela1107[[#This Row],[CONTRIB. FOLHA]]+Tabela1107[[#This Row],[TRIBUTOS S/ LUCRO]]+Tabela1107[[#This Row],[OUTROS]]+Tabela1107[[#This Row],[BA]]</f>
        <v>36.74</v>
      </c>
      <c r="BR330" s="97">
        <f>+Tabela1107[[#This Row],[PIS]]+Tabela1107[[#This Row],[COFINS]]+Tabela1107[[#This Row],[CONTRIB. FOLHA]]+Tabela1107[[#This Row],[TRIBUTOS S/ LUCRO]]+Tabela1107[[#This Row],[OUTROS]]+Tabela1107[[#This Row],[BA]]</f>
        <v>36.74</v>
      </c>
      <c r="BS330" s="97">
        <f>+Tabela1107[[#This Row],[PIS]]+Tabela1107[[#This Row],[COFINS]]+Tabela1107[[#This Row],[CONTRIB. FOLHA]]+Tabela1107[[#This Row],[TRIBUTOS S/ LUCRO]]+Tabela1107[[#This Row],[OUTROS]]+Tabela1107[[#This Row],[PE]]</f>
        <v>36.74</v>
      </c>
      <c r="BT330" s="97">
        <f>+Tabela1107[[#This Row],[PIS]]+Tabela1107[[#This Row],[COFINS]]+Tabela1107[[#This Row],[CONTRIB. FOLHA]]+Tabela1107[[#This Row],[TRIBUTOS S/ LUCRO]]+Tabela1107[[#This Row],[OUTROS]]+Tabela1107[[#This Row],[PA]]</f>
        <v>36.74</v>
      </c>
      <c r="BU330" s="97">
        <f>+Tabela1107[[#This Row],[PIS]]+Tabela1107[[#This Row],[COFINS]]+Tabela1107[[#This Row],[CONTRIB. FOLHA]]+Tabela1107[[#This Row],[TRIBUTOS S/ LUCRO]]+Tabela1107[[#This Row],[OUTROS]]+Tabela1107[[#This Row],[AM]]</f>
        <v>36.74</v>
      </c>
      <c r="BV330" s="97">
        <f>AVERAGE(Tabela1107[[#This Row],[TOTAL SP]:[TOTAL AM]])</f>
        <v>36.677500000000002</v>
      </c>
      <c r="BW330" s="97"/>
      <c r="BX330" s="97"/>
    </row>
    <row r="331" spans="2:76" x14ac:dyDescent="0.25">
      <c r="B331" s="89">
        <v>6366</v>
      </c>
      <c r="C331" s="91" t="s">
        <v>13183</v>
      </c>
      <c r="D331" s="89"/>
      <c r="E331" s="89">
        <v>20140626</v>
      </c>
      <c r="F331" s="89" t="s">
        <v>21426</v>
      </c>
      <c r="G331" s="89" t="s">
        <v>21427</v>
      </c>
      <c r="H331" s="89" t="s">
        <v>21428</v>
      </c>
      <c r="I331" s="89" t="s">
        <v>21429</v>
      </c>
      <c r="J331" s="89" t="s">
        <v>183</v>
      </c>
      <c r="K331" s="99" t="s">
        <v>2550</v>
      </c>
      <c r="L331" s="89" t="s">
        <v>2670</v>
      </c>
      <c r="M331" s="89" t="s">
        <v>4496</v>
      </c>
      <c r="N331" s="89" t="s">
        <v>4496</v>
      </c>
      <c r="O331" s="89" t="s">
        <v>4496</v>
      </c>
      <c r="P331" s="89" t="s">
        <v>4496</v>
      </c>
      <c r="Q331" s="89"/>
      <c r="R331" s="89" t="s">
        <v>92</v>
      </c>
      <c r="S331" s="89" t="s">
        <v>21696</v>
      </c>
      <c r="T331" s="89" t="s">
        <v>21697</v>
      </c>
      <c r="U331" s="89" t="str">
        <f>TRIM('Carga Tributária doenças Po (2'!$L331)</f>
        <v>FERRIPOLIMALTOSE</v>
      </c>
      <c r="V331" s="89">
        <f>SUMIFS('Tabela Federal'!$E$4:$E$2069,'Tabela Federal'!$D$4:$D$2069,'Carga Tributária doenças Po (2'!$L331)</f>
        <v>0</v>
      </c>
      <c r="W331" s="89">
        <f>SUMIFS('Tabela Federal'!$E$4:$E$2069,'Tabela Federal'!$D$4:$D$2069,'Carga Tributária doenças Po (2'!$M331)</f>
        <v>0</v>
      </c>
      <c r="X331" s="89">
        <f>SUMIFS('Tabela Federal'!$E$4:$E$2069,'Tabela Federal'!$D$4:$D$2069,'Carga Tributária doenças Po (2'!$N331)</f>
        <v>0</v>
      </c>
      <c r="Y331" s="89">
        <f>SUMIFS('Tabela Federal'!$E$4:$E$2069,'Tabela Federal'!$D$4:$D$2069,'Carga Tributária doenças Po (2'!$O331)</f>
        <v>0</v>
      </c>
      <c r="Z331" s="92" t="str">
        <f>VLOOKUP('Carga Tributária doenças Po (2'!$AD331,'Carga Tributária doenças Po (2'!$CA$12:$CC$16,2,0)</f>
        <v>-</v>
      </c>
      <c r="AA331" s="89" t="s">
        <v>184</v>
      </c>
      <c r="AB331" s="89" t="s">
        <v>21736</v>
      </c>
      <c r="AC331" s="89" t="s">
        <v>21721</v>
      </c>
      <c r="AD331" s="93" t="s">
        <v>19523</v>
      </c>
      <c r="AE331" s="92" t="s">
        <v>4</v>
      </c>
      <c r="AF331" s="92" t="s">
        <v>3</v>
      </c>
      <c r="AG331" s="94">
        <v>768565</v>
      </c>
      <c r="AH331" s="95">
        <v>6804344</v>
      </c>
      <c r="AI331" s="95">
        <v>15528768.25</v>
      </c>
      <c r="AJ331" s="89" t="s">
        <v>174</v>
      </c>
      <c r="AK331" s="89">
        <f>IF('Carga Tributária doenças Po (2'!$Z331="+",0,SUMIFS(PISCOFINS!$I$3:$I$10518,PISCOFINS!$C$3:$C$10518,'Carga Tributária doenças Po (2'!$C331))</f>
        <v>2.1</v>
      </c>
      <c r="AL331" s="89">
        <f>IF('Carga Tributária doenças Po (2'!$Z331="+",0,SUMIFS(PISCOFINS!$H$3:$H$10518,PISCOFINS!$C$3:$C$10518,'Carga Tributária doenças Po (2'!$C331))</f>
        <v>9.9</v>
      </c>
      <c r="AM331" s="95">
        <v>3.27</v>
      </c>
      <c r="AN331" s="95">
        <v>3.12</v>
      </c>
      <c r="AO331" s="95">
        <v>1.35</v>
      </c>
      <c r="AP331" s="96">
        <v>18</v>
      </c>
      <c r="AQ331" s="96">
        <v>12</v>
      </c>
      <c r="AR331" s="96">
        <v>17</v>
      </c>
      <c r="AS331" s="97">
        <v>17</v>
      </c>
      <c r="AT331" s="97">
        <v>19</v>
      </c>
      <c r="AU331" s="97">
        <v>18</v>
      </c>
      <c r="AV331" s="97">
        <v>17</v>
      </c>
      <c r="AW331" s="97">
        <v>17</v>
      </c>
      <c r="AX331" s="97">
        <v>17</v>
      </c>
      <c r="AY331" s="97">
        <v>17</v>
      </c>
      <c r="AZ331" s="97">
        <v>17</v>
      </c>
      <c r="BA331" s="97">
        <v>17</v>
      </c>
      <c r="BB331" s="97">
        <v>17</v>
      </c>
      <c r="BC331" s="97">
        <v>17</v>
      </c>
      <c r="BD331" s="97">
        <v>17</v>
      </c>
      <c r="BE331" s="97">
        <v>17</v>
      </c>
      <c r="BF331" s="97">
        <f>+Tabela1107[[#This Row],[PIS]]+Tabela1107[[#This Row],[COFINS]]+Tabela1107[[#This Row],[CONTRIB. FOLHA]]+Tabela1107[[#This Row],[TRIBUTOS S/ LUCRO]]+Tabela1107[[#This Row],[OUTROS]]+Tabela1107[[#This Row],[SP]]</f>
        <v>37.74</v>
      </c>
      <c r="BG331" s="97">
        <f>+Tabela1107[[#This Row],[PIS]]+Tabela1107[[#This Row],[COFINS]]+Tabela1107[[#This Row],[CONTRIB. FOLHA]]+Tabela1107[[#This Row],[TRIBUTOS S/ LUCRO]]+Tabela1107[[#This Row],[OUTROS]]+Tabela1107[[#This Row],[PR]]</f>
        <v>31.740000000000002</v>
      </c>
      <c r="BH331" s="97">
        <f>+Tabela1107[[#This Row],[PIS]]+Tabela1107[[#This Row],[COFINS]]+Tabela1107[[#This Row],[CONTRIB. FOLHA]]+Tabela1107[[#This Row],[TRIBUTOS S/ LUCRO]]+Tabela1107[[#This Row],[OUTROS]]+Tabela1107[[#This Row],[SC]]</f>
        <v>36.74</v>
      </c>
      <c r="BI331" s="97">
        <f>+Tabela1107[[#This Row],[PIS]]+Tabela1107[[#This Row],[COFINS]]+Tabela1107[[#This Row],[CONTRIB. FOLHA]]+Tabela1107[[#This Row],[TRIBUTOS S/ LUCRO]]+Tabela1107[[#This Row],[OUTROS]]+Tabela1107[[#This Row],[RS]]</f>
        <v>36.74</v>
      </c>
      <c r="BJ331" s="97">
        <f>+Tabela1107[[#This Row],[PIS]]+Tabela1107[[#This Row],[COFINS]]+Tabela1107[[#This Row],[CONTRIB. FOLHA]]+Tabela1107[[#This Row],[TRIBUTOS S/ LUCRO]]+Tabela1107[[#This Row],[OUTROS]]+Tabela1107[[#This Row],[RJ]]</f>
        <v>38.74</v>
      </c>
      <c r="BK331" s="97">
        <f>+Tabela1107[[#This Row],[PIS]]+Tabela1107[[#This Row],[COFINS]]+Tabela1107[[#This Row],[CONTRIB. FOLHA]]+Tabela1107[[#This Row],[TRIBUTOS S/ LUCRO]]+Tabela1107[[#This Row],[OUTROS]]+Tabela1107[[#This Row],[MG]]</f>
        <v>37.74</v>
      </c>
      <c r="BL331" s="97">
        <f>+Tabela1107[[#This Row],[PIS]]+Tabela1107[[#This Row],[COFINS]]+Tabela1107[[#This Row],[CONTRIB. FOLHA]]+Tabela1107[[#This Row],[TRIBUTOS S/ LUCRO]]+Tabela1107[[#This Row],[OUTROS]]+Tabela1107[[#This Row],[ES]]</f>
        <v>36.74</v>
      </c>
      <c r="BM331" s="97">
        <f>+Tabela1107[[#This Row],[PIS]]+Tabela1107[[#This Row],[COFINS]]+Tabela1107[[#This Row],[CONTRIB. FOLHA]]+Tabela1107[[#This Row],[TRIBUTOS S/ LUCRO]]+Tabela1107[[#This Row],[OUTROS]]+Tabela1107[[#This Row],[GO]]</f>
        <v>36.74</v>
      </c>
      <c r="BN331" s="97">
        <f>+Tabela1107[[#This Row],[PIS]]+Tabela1107[[#This Row],[COFINS]]+Tabela1107[[#This Row],[CONTRIB. FOLHA]]+Tabela1107[[#This Row],[TRIBUTOS S/ LUCRO]]+Tabela1107[[#This Row],[OUTROS]]+Tabela1107[[#This Row],[MT]]</f>
        <v>36.74</v>
      </c>
      <c r="BO331" s="97">
        <f>+Tabela1107[[#This Row],[PIS]]+Tabela1107[[#This Row],[COFINS]]+Tabela1107[[#This Row],[CONTRIB. FOLHA]]+Tabela1107[[#This Row],[TRIBUTOS S/ LUCRO]]+Tabela1107[[#This Row],[OUTROS]]+Tabela1107[[#This Row],[MS]]</f>
        <v>36.74</v>
      </c>
      <c r="BP331" s="97">
        <f>+Tabela1107[[#This Row],[PIS]]+Tabela1107[[#This Row],[COFINS]]+Tabela1107[[#This Row],[CONTRIB. FOLHA]]+Tabela1107[[#This Row],[TRIBUTOS S/ LUCRO]]+Tabela1107[[#This Row],[OUTROS]]+Tabela1107[[#This Row],[DF]]</f>
        <v>36.74</v>
      </c>
      <c r="BQ331" s="97">
        <f>+Tabela1107[[#This Row],[PIS]]+Tabela1107[[#This Row],[COFINS]]+Tabela1107[[#This Row],[CONTRIB. FOLHA]]+Tabela1107[[#This Row],[TRIBUTOS S/ LUCRO]]+Tabela1107[[#This Row],[OUTROS]]+Tabela1107[[#This Row],[BA]]</f>
        <v>36.74</v>
      </c>
      <c r="BR331" s="97">
        <f>+Tabela1107[[#This Row],[PIS]]+Tabela1107[[#This Row],[COFINS]]+Tabela1107[[#This Row],[CONTRIB. FOLHA]]+Tabela1107[[#This Row],[TRIBUTOS S/ LUCRO]]+Tabela1107[[#This Row],[OUTROS]]+Tabela1107[[#This Row],[BA]]</f>
        <v>36.74</v>
      </c>
      <c r="BS331" s="97">
        <f>+Tabela1107[[#This Row],[PIS]]+Tabela1107[[#This Row],[COFINS]]+Tabela1107[[#This Row],[CONTRIB. FOLHA]]+Tabela1107[[#This Row],[TRIBUTOS S/ LUCRO]]+Tabela1107[[#This Row],[OUTROS]]+Tabela1107[[#This Row],[PE]]</f>
        <v>36.74</v>
      </c>
      <c r="BT331" s="97">
        <f>+Tabela1107[[#This Row],[PIS]]+Tabela1107[[#This Row],[COFINS]]+Tabela1107[[#This Row],[CONTRIB. FOLHA]]+Tabela1107[[#This Row],[TRIBUTOS S/ LUCRO]]+Tabela1107[[#This Row],[OUTROS]]+Tabela1107[[#This Row],[PA]]</f>
        <v>36.74</v>
      </c>
      <c r="BU331" s="97">
        <f>+Tabela1107[[#This Row],[PIS]]+Tabela1107[[#This Row],[COFINS]]+Tabela1107[[#This Row],[CONTRIB. FOLHA]]+Tabela1107[[#This Row],[TRIBUTOS S/ LUCRO]]+Tabela1107[[#This Row],[OUTROS]]+Tabela1107[[#This Row],[AM]]</f>
        <v>36.74</v>
      </c>
      <c r="BV331" s="97">
        <f>AVERAGE(Tabela1107[[#This Row],[TOTAL SP]:[TOTAL AM]])</f>
        <v>36.677500000000002</v>
      </c>
      <c r="BW331" s="97"/>
      <c r="BX331" s="97"/>
    </row>
    <row r="332" spans="2:76" x14ac:dyDescent="0.25">
      <c r="B332" s="89">
        <v>13630</v>
      </c>
      <c r="C332" s="91" t="s">
        <v>13072</v>
      </c>
      <c r="D332" s="89"/>
      <c r="E332" s="89">
        <v>20140626</v>
      </c>
      <c r="F332" s="89" t="s">
        <v>21230</v>
      </c>
      <c r="G332" s="89" t="s">
        <v>21231</v>
      </c>
      <c r="H332" s="89" t="s">
        <v>21232</v>
      </c>
      <c r="I332" s="89" t="s">
        <v>21233</v>
      </c>
      <c r="J332" s="89" t="s">
        <v>115</v>
      </c>
      <c r="K332" s="99" t="s">
        <v>2549</v>
      </c>
      <c r="L332" s="89" t="s">
        <v>2671</v>
      </c>
      <c r="M332" s="89" t="s">
        <v>4496</v>
      </c>
      <c r="N332" s="89" t="s">
        <v>4496</v>
      </c>
      <c r="O332" s="89" t="s">
        <v>4496</v>
      </c>
      <c r="P332" s="89" t="s">
        <v>4496</v>
      </c>
      <c r="Q332" s="89"/>
      <c r="R332" s="89" t="s">
        <v>116</v>
      </c>
      <c r="S332" s="89" t="s">
        <v>21678</v>
      </c>
      <c r="T332" s="89" t="s">
        <v>21679</v>
      </c>
      <c r="U332" s="89" t="str">
        <f>TRIM('Carga Tributária doenças Po (2'!$L332)</f>
        <v>INSULINA HUMANA</v>
      </c>
      <c r="V332" s="89">
        <f>SUMIFS('Tabela Federal'!$E$4:$E$2069,'Tabela Federal'!$D$4:$D$2069,'Carga Tributária doenças Po (2'!$L332)</f>
        <v>1</v>
      </c>
      <c r="W332" s="89">
        <f>SUMIFS('Tabela Federal'!$E$4:$E$2069,'Tabela Federal'!$D$4:$D$2069,'Carga Tributária doenças Po (2'!$M332)</f>
        <v>0</v>
      </c>
      <c r="X332" s="89">
        <f>SUMIFS('Tabela Federal'!$E$4:$E$2069,'Tabela Federal'!$D$4:$D$2069,'Carga Tributária doenças Po (2'!$N332)</f>
        <v>0</v>
      </c>
      <c r="Y332" s="89">
        <f>SUMIFS('Tabela Federal'!$E$4:$E$2069,'Tabela Federal'!$D$4:$D$2069,'Carga Tributária doenças Po (2'!$O332)</f>
        <v>0</v>
      </c>
      <c r="Z332" s="92" t="str">
        <f>VLOOKUP('Carga Tributária doenças Po (2'!$AD332,'Carga Tributária doenças Po (2'!$CA$12:$CC$16,2,0)</f>
        <v>+</v>
      </c>
      <c r="AA332" s="89" t="s">
        <v>113</v>
      </c>
      <c r="AB332" s="89" t="s">
        <v>21782</v>
      </c>
      <c r="AC332" s="89" t="s">
        <v>21721</v>
      </c>
      <c r="AD332" s="93" t="s">
        <v>21722</v>
      </c>
      <c r="AE332" s="92" t="s">
        <v>2</v>
      </c>
      <c r="AF332" s="92" t="s">
        <v>3</v>
      </c>
      <c r="AG332" s="94">
        <v>1010864</v>
      </c>
      <c r="AH332" s="95">
        <v>15672072</v>
      </c>
      <c r="AI332" s="95">
        <v>35824679.390000001</v>
      </c>
      <c r="AJ332" s="89" t="s">
        <v>127</v>
      </c>
      <c r="AK332" s="89">
        <f>IF('Carga Tributária doenças Po (2'!$Z332="+",0,SUMIFS(PISCOFINS!$I$3:$I$10518,PISCOFINS!$C$3:$C$10518,'Carga Tributária doenças Po (2'!$C332))</f>
        <v>0</v>
      </c>
      <c r="AL332" s="89">
        <f>IF('Carga Tributária doenças Po (2'!$Z332="+",0,SUMIFS(PISCOFINS!$H$3:$H$10518,PISCOFINS!$C$3:$C$10518,'Carga Tributária doenças Po (2'!$C332))</f>
        <v>0</v>
      </c>
      <c r="AM332" s="95">
        <v>3.27</v>
      </c>
      <c r="AN332" s="95">
        <v>3.12</v>
      </c>
      <c r="AO332" s="95">
        <v>1.35</v>
      </c>
      <c r="AP332" s="96">
        <v>18</v>
      </c>
      <c r="AQ332" s="96">
        <v>12</v>
      </c>
      <c r="AR332" s="96">
        <v>17</v>
      </c>
      <c r="AS332" s="97">
        <v>17</v>
      </c>
      <c r="AT332" s="97">
        <v>19</v>
      </c>
      <c r="AU332" s="97">
        <v>18</v>
      </c>
      <c r="AV332" s="97">
        <v>17</v>
      </c>
      <c r="AW332" s="97">
        <v>17</v>
      </c>
      <c r="AX332" s="97">
        <v>17</v>
      </c>
      <c r="AY332" s="97">
        <v>17</v>
      </c>
      <c r="AZ332" s="97">
        <v>17</v>
      </c>
      <c r="BA332" s="97">
        <v>17</v>
      </c>
      <c r="BB332" s="97">
        <v>17</v>
      </c>
      <c r="BC332" s="97">
        <v>17</v>
      </c>
      <c r="BD332" s="97">
        <v>17</v>
      </c>
      <c r="BE332" s="97">
        <v>17</v>
      </c>
      <c r="BF332" s="97">
        <f>+Tabela1107[[#This Row],[PIS]]+Tabela1107[[#This Row],[COFINS]]+Tabela1107[[#This Row],[CONTRIB. FOLHA]]+Tabela1107[[#This Row],[TRIBUTOS S/ LUCRO]]+Tabela1107[[#This Row],[OUTROS]]+Tabela1107[[#This Row],[SP]]</f>
        <v>25.740000000000002</v>
      </c>
      <c r="BG332" s="97">
        <f>+Tabela1107[[#This Row],[PIS]]+Tabela1107[[#This Row],[COFINS]]+Tabela1107[[#This Row],[CONTRIB. FOLHA]]+Tabela1107[[#This Row],[TRIBUTOS S/ LUCRO]]+Tabela1107[[#This Row],[OUTROS]]+Tabela1107[[#This Row],[PR]]</f>
        <v>19.740000000000002</v>
      </c>
      <c r="BH332" s="97">
        <f>+Tabela1107[[#This Row],[PIS]]+Tabela1107[[#This Row],[COFINS]]+Tabela1107[[#This Row],[CONTRIB. FOLHA]]+Tabela1107[[#This Row],[TRIBUTOS S/ LUCRO]]+Tabela1107[[#This Row],[OUTROS]]+Tabela1107[[#This Row],[SC]]</f>
        <v>24.740000000000002</v>
      </c>
      <c r="BI332" s="97">
        <f>+Tabela1107[[#This Row],[PIS]]+Tabela1107[[#This Row],[COFINS]]+Tabela1107[[#This Row],[CONTRIB. FOLHA]]+Tabela1107[[#This Row],[TRIBUTOS S/ LUCRO]]+Tabela1107[[#This Row],[OUTROS]]+Tabela1107[[#This Row],[RS]]</f>
        <v>24.740000000000002</v>
      </c>
      <c r="BJ332" s="97">
        <f>+Tabela1107[[#This Row],[PIS]]+Tabela1107[[#This Row],[COFINS]]+Tabela1107[[#This Row],[CONTRIB. FOLHA]]+Tabela1107[[#This Row],[TRIBUTOS S/ LUCRO]]+Tabela1107[[#This Row],[OUTROS]]+Tabela1107[[#This Row],[RJ]]</f>
        <v>26.740000000000002</v>
      </c>
      <c r="BK332" s="97">
        <f>+Tabela1107[[#This Row],[PIS]]+Tabela1107[[#This Row],[COFINS]]+Tabela1107[[#This Row],[CONTRIB. FOLHA]]+Tabela1107[[#This Row],[TRIBUTOS S/ LUCRO]]+Tabela1107[[#This Row],[OUTROS]]+Tabela1107[[#This Row],[MG]]</f>
        <v>25.740000000000002</v>
      </c>
      <c r="BL332" s="97">
        <f>+Tabela1107[[#This Row],[PIS]]+Tabela1107[[#This Row],[COFINS]]+Tabela1107[[#This Row],[CONTRIB. FOLHA]]+Tabela1107[[#This Row],[TRIBUTOS S/ LUCRO]]+Tabela1107[[#This Row],[OUTROS]]+Tabela1107[[#This Row],[ES]]</f>
        <v>24.740000000000002</v>
      </c>
      <c r="BM332" s="97">
        <f>+Tabela1107[[#This Row],[PIS]]+Tabela1107[[#This Row],[COFINS]]+Tabela1107[[#This Row],[CONTRIB. FOLHA]]+Tabela1107[[#This Row],[TRIBUTOS S/ LUCRO]]+Tabela1107[[#This Row],[OUTROS]]+Tabela1107[[#This Row],[GO]]</f>
        <v>24.740000000000002</v>
      </c>
      <c r="BN332" s="97">
        <f>+Tabela1107[[#This Row],[PIS]]+Tabela1107[[#This Row],[COFINS]]+Tabela1107[[#This Row],[CONTRIB. FOLHA]]+Tabela1107[[#This Row],[TRIBUTOS S/ LUCRO]]+Tabela1107[[#This Row],[OUTROS]]+Tabela1107[[#This Row],[MT]]</f>
        <v>24.740000000000002</v>
      </c>
      <c r="BO332" s="97">
        <f>+Tabela1107[[#This Row],[PIS]]+Tabela1107[[#This Row],[COFINS]]+Tabela1107[[#This Row],[CONTRIB. FOLHA]]+Tabela1107[[#This Row],[TRIBUTOS S/ LUCRO]]+Tabela1107[[#This Row],[OUTROS]]+Tabela1107[[#This Row],[MS]]</f>
        <v>24.740000000000002</v>
      </c>
      <c r="BP332" s="97">
        <f>+Tabela1107[[#This Row],[PIS]]+Tabela1107[[#This Row],[COFINS]]+Tabela1107[[#This Row],[CONTRIB. FOLHA]]+Tabela1107[[#This Row],[TRIBUTOS S/ LUCRO]]+Tabela1107[[#This Row],[OUTROS]]+Tabela1107[[#This Row],[DF]]</f>
        <v>24.740000000000002</v>
      </c>
      <c r="BQ332" s="97">
        <f>+Tabela1107[[#This Row],[PIS]]+Tabela1107[[#This Row],[COFINS]]+Tabela1107[[#This Row],[CONTRIB. FOLHA]]+Tabela1107[[#This Row],[TRIBUTOS S/ LUCRO]]+Tabela1107[[#This Row],[OUTROS]]+Tabela1107[[#This Row],[BA]]</f>
        <v>24.740000000000002</v>
      </c>
      <c r="BR332" s="97">
        <f>+Tabela1107[[#This Row],[PIS]]+Tabela1107[[#This Row],[COFINS]]+Tabela1107[[#This Row],[CONTRIB. FOLHA]]+Tabela1107[[#This Row],[TRIBUTOS S/ LUCRO]]+Tabela1107[[#This Row],[OUTROS]]+Tabela1107[[#This Row],[BA]]</f>
        <v>24.740000000000002</v>
      </c>
      <c r="BS332" s="97">
        <f>+Tabela1107[[#This Row],[PIS]]+Tabela1107[[#This Row],[COFINS]]+Tabela1107[[#This Row],[CONTRIB. FOLHA]]+Tabela1107[[#This Row],[TRIBUTOS S/ LUCRO]]+Tabela1107[[#This Row],[OUTROS]]+Tabela1107[[#This Row],[PE]]</f>
        <v>24.740000000000002</v>
      </c>
      <c r="BT332" s="97">
        <f>+Tabela1107[[#This Row],[PIS]]+Tabela1107[[#This Row],[COFINS]]+Tabela1107[[#This Row],[CONTRIB. FOLHA]]+Tabela1107[[#This Row],[TRIBUTOS S/ LUCRO]]+Tabela1107[[#This Row],[OUTROS]]+Tabela1107[[#This Row],[PA]]</f>
        <v>24.740000000000002</v>
      </c>
      <c r="BU332" s="97">
        <f>+Tabela1107[[#This Row],[PIS]]+Tabela1107[[#This Row],[COFINS]]+Tabela1107[[#This Row],[CONTRIB. FOLHA]]+Tabela1107[[#This Row],[TRIBUTOS S/ LUCRO]]+Tabela1107[[#This Row],[OUTROS]]+Tabela1107[[#This Row],[AM]]</f>
        <v>24.740000000000002</v>
      </c>
      <c r="BV332" s="97">
        <f>AVERAGE(Tabela1107[[#This Row],[TOTAL SP]:[TOTAL AM]])</f>
        <v>24.677500000000006</v>
      </c>
      <c r="BW332" s="97"/>
      <c r="BX332" s="97"/>
    </row>
    <row r="333" spans="2:76" x14ac:dyDescent="0.25">
      <c r="B333" s="89">
        <v>23967</v>
      </c>
      <c r="C333" s="91" t="s">
        <v>13022</v>
      </c>
      <c r="D333" s="89"/>
      <c r="E333" s="89">
        <v>20140626</v>
      </c>
      <c r="F333" s="89" t="s">
        <v>20797</v>
      </c>
      <c r="G333" s="89" t="s">
        <v>20798</v>
      </c>
      <c r="H333" s="89" t="s">
        <v>20799</v>
      </c>
      <c r="I333" s="89" t="s">
        <v>20800</v>
      </c>
      <c r="J333" s="89" t="s">
        <v>71</v>
      </c>
      <c r="K333" s="99" t="s">
        <v>2547</v>
      </c>
      <c r="L333" s="89" t="s">
        <v>2672</v>
      </c>
      <c r="M333" s="89" t="s">
        <v>4496</v>
      </c>
      <c r="N333" s="89" t="s">
        <v>4496</v>
      </c>
      <c r="O333" s="89" t="s">
        <v>4496</v>
      </c>
      <c r="P333" s="89" t="s">
        <v>4496</v>
      </c>
      <c r="Q333" s="89"/>
      <c r="R333" s="89" t="s">
        <v>72</v>
      </c>
      <c r="S333" s="89" t="s">
        <v>21626</v>
      </c>
      <c r="T333" s="89" t="s">
        <v>21627</v>
      </c>
      <c r="U333" s="89" t="str">
        <f>TRIM('Carga Tributária doenças Po (2'!$L333)</f>
        <v>OMEPRAZOL</v>
      </c>
      <c r="V333" s="89">
        <f>SUMIFS('Tabela Federal'!$E$4:$E$2069,'Tabela Federal'!$D$4:$D$2069,'Carga Tributária doenças Po (2'!$L333)</f>
        <v>3</v>
      </c>
      <c r="W333" s="89">
        <f>SUMIFS('Tabela Federal'!$E$4:$E$2069,'Tabela Federal'!$D$4:$D$2069,'Carga Tributária doenças Po (2'!$M333)</f>
        <v>0</v>
      </c>
      <c r="X333" s="89">
        <f>SUMIFS('Tabela Federal'!$E$4:$E$2069,'Tabela Federal'!$D$4:$D$2069,'Carga Tributária doenças Po (2'!$N333)</f>
        <v>0</v>
      </c>
      <c r="Y333" s="89">
        <f>SUMIFS('Tabela Federal'!$E$4:$E$2069,'Tabela Federal'!$D$4:$D$2069,'Carga Tributária doenças Po (2'!$O333)</f>
        <v>0</v>
      </c>
      <c r="Z333" s="92" t="str">
        <f>VLOOKUP('Carga Tributária doenças Po (2'!$AD333,'Carga Tributária doenças Po (2'!$CA$12:$CC$16,2,0)</f>
        <v>+</v>
      </c>
      <c r="AA333" s="89" t="s">
        <v>67</v>
      </c>
      <c r="AB333" s="89" t="s">
        <v>21833</v>
      </c>
      <c r="AC333" s="89" t="s">
        <v>21721</v>
      </c>
      <c r="AD333" s="93" t="s">
        <v>21722</v>
      </c>
      <c r="AE333" s="92" t="s">
        <v>2</v>
      </c>
      <c r="AF333" s="92" t="s">
        <v>3</v>
      </c>
      <c r="AG333" s="94">
        <v>2182725</v>
      </c>
      <c r="AH333" s="95">
        <v>28085102</v>
      </c>
      <c r="AI333" s="95">
        <v>64041144.43</v>
      </c>
      <c r="AJ333" s="89" t="s">
        <v>61</v>
      </c>
      <c r="AK333" s="89">
        <f>IF('Carga Tributária doenças Po (2'!$Z333="+",0,SUMIFS(PISCOFINS!$I$3:$I$10518,PISCOFINS!$C$3:$C$10518,'Carga Tributária doenças Po (2'!$C333))</f>
        <v>0</v>
      </c>
      <c r="AL333" s="89">
        <f>IF('Carga Tributária doenças Po (2'!$Z333="+",0,SUMIFS(PISCOFINS!$H$3:$H$10518,PISCOFINS!$C$3:$C$10518,'Carga Tributária doenças Po (2'!$C333))</f>
        <v>0</v>
      </c>
      <c r="AM333" s="95">
        <v>3.27</v>
      </c>
      <c r="AN333" s="95">
        <v>3.12</v>
      </c>
      <c r="AO333" s="95">
        <v>1.35</v>
      </c>
      <c r="AP333" s="96">
        <v>18</v>
      </c>
      <c r="AQ333" s="96">
        <v>12</v>
      </c>
      <c r="AR333" s="96">
        <v>17</v>
      </c>
      <c r="AS333" s="97">
        <v>17</v>
      </c>
      <c r="AT333" s="97">
        <v>19</v>
      </c>
      <c r="AU333" s="97">
        <v>18</v>
      </c>
      <c r="AV333" s="97">
        <v>17</v>
      </c>
      <c r="AW333" s="97">
        <v>17</v>
      </c>
      <c r="AX333" s="97">
        <v>17</v>
      </c>
      <c r="AY333" s="97">
        <v>17</v>
      </c>
      <c r="AZ333" s="97">
        <v>17</v>
      </c>
      <c r="BA333" s="97">
        <v>17</v>
      </c>
      <c r="BB333" s="97">
        <v>17</v>
      </c>
      <c r="BC333" s="97">
        <v>17</v>
      </c>
      <c r="BD333" s="97">
        <v>17</v>
      </c>
      <c r="BE333" s="97">
        <v>17</v>
      </c>
      <c r="BF333" s="97">
        <f>+Tabela1107[[#This Row],[PIS]]+Tabela1107[[#This Row],[COFINS]]+Tabela1107[[#This Row],[CONTRIB. FOLHA]]+Tabela1107[[#This Row],[TRIBUTOS S/ LUCRO]]+Tabela1107[[#This Row],[OUTROS]]+Tabela1107[[#This Row],[SP]]</f>
        <v>25.740000000000002</v>
      </c>
      <c r="BG333" s="97">
        <f>+Tabela1107[[#This Row],[PIS]]+Tabela1107[[#This Row],[COFINS]]+Tabela1107[[#This Row],[CONTRIB. FOLHA]]+Tabela1107[[#This Row],[TRIBUTOS S/ LUCRO]]+Tabela1107[[#This Row],[OUTROS]]+Tabela1107[[#This Row],[PR]]</f>
        <v>19.740000000000002</v>
      </c>
      <c r="BH333" s="97">
        <f>+Tabela1107[[#This Row],[PIS]]+Tabela1107[[#This Row],[COFINS]]+Tabela1107[[#This Row],[CONTRIB. FOLHA]]+Tabela1107[[#This Row],[TRIBUTOS S/ LUCRO]]+Tabela1107[[#This Row],[OUTROS]]+Tabela1107[[#This Row],[SC]]</f>
        <v>24.740000000000002</v>
      </c>
      <c r="BI333" s="97">
        <f>+Tabela1107[[#This Row],[PIS]]+Tabela1107[[#This Row],[COFINS]]+Tabela1107[[#This Row],[CONTRIB. FOLHA]]+Tabela1107[[#This Row],[TRIBUTOS S/ LUCRO]]+Tabela1107[[#This Row],[OUTROS]]+Tabela1107[[#This Row],[RS]]</f>
        <v>24.740000000000002</v>
      </c>
      <c r="BJ333" s="97">
        <f>+Tabela1107[[#This Row],[PIS]]+Tabela1107[[#This Row],[COFINS]]+Tabela1107[[#This Row],[CONTRIB. FOLHA]]+Tabela1107[[#This Row],[TRIBUTOS S/ LUCRO]]+Tabela1107[[#This Row],[OUTROS]]+Tabela1107[[#This Row],[RJ]]</f>
        <v>26.740000000000002</v>
      </c>
      <c r="BK333" s="97">
        <f>+Tabela1107[[#This Row],[PIS]]+Tabela1107[[#This Row],[COFINS]]+Tabela1107[[#This Row],[CONTRIB. FOLHA]]+Tabela1107[[#This Row],[TRIBUTOS S/ LUCRO]]+Tabela1107[[#This Row],[OUTROS]]+Tabela1107[[#This Row],[MG]]</f>
        <v>25.740000000000002</v>
      </c>
      <c r="BL333" s="97">
        <f>+Tabela1107[[#This Row],[PIS]]+Tabela1107[[#This Row],[COFINS]]+Tabela1107[[#This Row],[CONTRIB. FOLHA]]+Tabela1107[[#This Row],[TRIBUTOS S/ LUCRO]]+Tabela1107[[#This Row],[OUTROS]]+Tabela1107[[#This Row],[ES]]</f>
        <v>24.740000000000002</v>
      </c>
      <c r="BM333" s="97">
        <f>+Tabela1107[[#This Row],[PIS]]+Tabela1107[[#This Row],[COFINS]]+Tabela1107[[#This Row],[CONTRIB. FOLHA]]+Tabela1107[[#This Row],[TRIBUTOS S/ LUCRO]]+Tabela1107[[#This Row],[OUTROS]]+Tabela1107[[#This Row],[GO]]</f>
        <v>24.740000000000002</v>
      </c>
      <c r="BN333" s="97">
        <f>+Tabela1107[[#This Row],[PIS]]+Tabela1107[[#This Row],[COFINS]]+Tabela1107[[#This Row],[CONTRIB. FOLHA]]+Tabela1107[[#This Row],[TRIBUTOS S/ LUCRO]]+Tabela1107[[#This Row],[OUTROS]]+Tabela1107[[#This Row],[MT]]</f>
        <v>24.740000000000002</v>
      </c>
      <c r="BO333" s="97">
        <f>+Tabela1107[[#This Row],[PIS]]+Tabela1107[[#This Row],[COFINS]]+Tabela1107[[#This Row],[CONTRIB. FOLHA]]+Tabela1107[[#This Row],[TRIBUTOS S/ LUCRO]]+Tabela1107[[#This Row],[OUTROS]]+Tabela1107[[#This Row],[MS]]</f>
        <v>24.740000000000002</v>
      </c>
      <c r="BP333" s="97">
        <f>+Tabela1107[[#This Row],[PIS]]+Tabela1107[[#This Row],[COFINS]]+Tabela1107[[#This Row],[CONTRIB. FOLHA]]+Tabela1107[[#This Row],[TRIBUTOS S/ LUCRO]]+Tabela1107[[#This Row],[OUTROS]]+Tabela1107[[#This Row],[DF]]</f>
        <v>24.740000000000002</v>
      </c>
      <c r="BQ333" s="97">
        <f>+Tabela1107[[#This Row],[PIS]]+Tabela1107[[#This Row],[COFINS]]+Tabela1107[[#This Row],[CONTRIB. FOLHA]]+Tabela1107[[#This Row],[TRIBUTOS S/ LUCRO]]+Tabela1107[[#This Row],[OUTROS]]+Tabela1107[[#This Row],[BA]]</f>
        <v>24.740000000000002</v>
      </c>
      <c r="BR333" s="97">
        <f>+Tabela1107[[#This Row],[PIS]]+Tabela1107[[#This Row],[COFINS]]+Tabela1107[[#This Row],[CONTRIB. FOLHA]]+Tabela1107[[#This Row],[TRIBUTOS S/ LUCRO]]+Tabela1107[[#This Row],[OUTROS]]+Tabela1107[[#This Row],[BA]]</f>
        <v>24.740000000000002</v>
      </c>
      <c r="BS333" s="97">
        <f>+Tabela1107[[#This Row],[PIS]]+Tabela1107[[#This Row],[COFINS]]+Tabela1107[[#This Row],[CONTRIB. FOLHA]]+Tabela1107[[#This Row],[TRIBUTOS S/ LUCRO]]+Tabela1107[[#This Row],[OUTROS]]+Tabela1107[[#This Row],[PE]]</f>
        <v>24.740000000000002</v>
      </c>
      <c r="BT333" s="97">
        <f>+Tabela1107[[#This Row],[PIS]]+Tabela1107[[#This Row],[COFINS]]+Tabela1107[[#This Row],[CONTRIB. FOLHA]]+Tabela1107[[#This Row],[TRIBUTOS S/ LUCRO]]+Tabela1107[[#This Row],[OUTROS]]+Tabela1107[[#This Row],[PA]]</f>
        <v>24.740000000000002</v>
      </c>
      <c r="BU333" s="97">
        <f>+Tabela1107[[#This Row],[PIS]]+Tabela1107[[#This Row],[COFINS]]+Tabela1107[[#This Row],[CONTRIB. FOLHA]]+Tabela1107[[#This Row],[TRIBUTOS S/ LUCRO]]+Tabela1107[[#This Row],[OUTROS]]+Tabela1107[[#This Row],[AM]]</f>
        <v>24.740000000000002</v>
      </c>
      <c r="BV333" s="97">
        <f>AVERAGE(Tabela1107[[#This Row],[TOTAL SP]:[TOTAL AM]])</f>
        <v>24.677500000000006</v>
      </c>
      <c r="BW333" s="97"/>
      <c r="BX333" s="97"/>
    </row>
    <row r="334" spans="2:76" x14ac:dyDescent="0.25">
      <c r="B334" s="89">
        <v>22886</v>
      </c>
      <c r="C334" s="91" t="s">
        <v>13039</v>
      </c>
      <c r="D334" s="89"/>
      <c r="E334" s="89">
        <v>20140626</v>
      </c>
      <c r="F334" s="89" t="s">
        <v>21078</v>
      </c>
      <c r="G334" s="89" t="s">
        <v>21079</v>
      </c>
      <c r="H334" s="89" t="s">
        <v>21080</v>
      </c>
      <c r="I334" s="89" t="s">
        <v>21081</v>
      </c>
      <c r="J334" s="89" t="s">
        <v>609</v>
      </c>
      <c r="K334" s="99" t="s">
        <v>2548</v>
      </c>
      <c r="L334" s="89" t="s">
        <v>2621</v>
      </c>
      <c r="M334" s="89" t="s">
        <v>4496</v>
      </c>
      <c r="N334" s="89" t="s">
        <v>4496</v>
      </c>
      <c r="O334" s="89" t="s">
        <v>4496</v>
      </c>
      <c r="P334" s="89" t="s">
        <v>4496</v>
      </c>
      <c r="Q334" s="89"/>
      <c r="R334" s="89" t="s">
        <v>68</v>
      </c>
      <c r="S334" s="89" t="s">
        <v>21664</v>
      </c>
      <c r="T334" s="89" t="s">
        <v>21665</v>
      </c>
      <c r="U334" s="89" t="str">
        <f>TRIM('Carga Tributária doenças Po (2'!$L334)</f>
        <v>AMOXICILINA</v>
      </c>
      <c r="V334" s="89">
        <f>SUMIFS('Tabela Federal'!$E$4:$E$2069,'Tabela Federal'!$D$4:$D$2069,'Carga Tributária doenças Po (2'!$L334)</f>
        <v>7</v>
      </c>
      <c r="W334" s="89">
        <f>SUMIFS('Tabela Federal'!$E$4:$E$2069,'Tabela Federal'!$D$4:$D$2069,'Carga Tributária doenças Po (2'!$M334)</f>
        <v>0</v>
      </c>
      <c r="X334" s="89">
        <f>SUMIFS('Tabela Federal'!$E$4:$E$2069,'Tabela Federal'!$D$4:$D$2069,'Carga Tributária doenças Po (2'!$N334)</f>
        <v>0</v>
      </c>
      <c r="Y334" s="89">
        <f>SUMIFS('Tabela Federal'!$E$4:$E$2069,'Tabela Federal'!$D$4:$D$2069,'Carga Tributária doenças Po (2'!$O334)</f>
        <v>0</v>
      </c>
      <c r="Z334" s="92" t="str">
        <f>VLOOKUP('Carga Tributária doenças Po (2'!$AD334,'Carga Tributária doenças Po (2'!$CA$12:$CC$16,2,0)</f>
        <v>+</v>
      </c>
      <c r="AA334" s="89" t="s">
        <v>459</v>
      </c>
      <c r="AB334" s="89" t="s">
        <v>21801</v>
      </c>
      <c r="AC334" s="89" t="s">
        <v>21721</v>
      </c>
      <c r="AD334" s="93" t="s">
        <v>21722</v>
      </c>
      <c r="AE334" s="92" t="s">
        <v>4</v>
      </c>
      <c r="AF334" s="92" t="s">
        <v>3</v>
      </c>
      <c r="AG334" s="94">
        <v>1075845</v>
      </c>
      <c r="AH334" s="95">
        <v>6063549</v>
      </c>
      <c r="AI334" s="95">
        <v>13828929.789999999</v>
      </c>
      <c r="AJ334" s="89" t="s">
        <v>594</v>
      </c>
      <c r="AK334" s="89">
        <f>IF('Carga Tributária doenças Po (2'!$Z334="+",0,SUMIFS(PISCOFINS!$I$3:$I$10518,PISCOFINS!$C$3:$C$10518,'Carga Tributária doenças Po (2'!$C334))</f>
        <v>0</v>
      </c>
      <c r="AL334" s="89">
        <f>IF('Carga Tributária doenças Po (2'!$Z334="+",0,SUMIFS(PISCOFINS!$H$3:$H$10518,PISCOFINS!$C$3:$C$10518,'Carga Tributária doenças Po (2'!$C334))</f>
        <v>0</v>
      </c>
      <c r="AM334" s="95">
        <v>3.27</v>
      </c>
      <c r="AN334" s="95">
        <v>3.12</v>
      </c>
      <c r="AO334" s="95">
        <v>1.35</v>
      </c>
      <c r="AP334" s="96">
        <v>18</v>
      </c>
      <c r="AQ334" s="96">
        <v>12</v>
      </c>
      <c r="AR334" s="96">
        <v>17</v>
      </c>
      <c r="AS334" s="97">
        <v>17</v>
      </c>
      <c r="AT334" s="97">
        <v>19</v>
      </c>
      <c r="AU334" s="97">
        <v>18</v>
      </c>
      <c r="AV334" s="97">
        <v>17</v>
      </c>
      <c r="AW334" s="97">
        <v>17</v>
      </c>
      <c r="AX334" s="97">
        <v>17</v>
      </c>
      <c r="AY334" s="97">
        <v>17</v>
      </c>
      <c r="AZ334" s="97">
        <v>17</v>
      </c>
      <c r="BA334" s="97">
        <v>17</v>
      </c>
      <c r="BB334" s="97">
        <v>17</v>
      </c>
      <c r="BC334" s="97">
        <v>17</v>
      </c>
      <c r="BD334" s="97">
        <v>17</v>
      </c>
      <c r="BE334" s="97">
        <v>17</v>
      </c>
      <c r="BF334" s="97">
        <f>+Tabela1107[[#This Row],[PIS]]+Tabela1107[[#This Row],[COFINS]]+Tabela1107[[#This Row],[CONTRIB. FOLHA]]+Tabela1107[[#This Row],[TRIBUTOS S/ LUCRO]]+Tabela1107[[#This Row],[OUTROS]]+Tabela1107[[#This Row],[SP]]</f>
        <v>25.740000000000002</v>
      </c>
      <c r="BG334" s="97">
        <f>+Tabela1107[[#This Row],[PIS]]+Tabela1107[[#This Row],[COFINS]]+Tabela1107[[#This Row],[CONTRIB. FOLHA]]+Tabela1107[[#This Row],[TRIBUTOS S/ LUCRO]]+Tabela1107[[#This Row],[OUTROS]]+Tabela1107[[#This Row],[PR]]</f>
        <v>19.740000000000002</v>
      </c>
      <c r="BH334" s="97">
        <f>+Tabela1107[[#This Row],[PIS]]+Tabela1107[[#This Row],[COFINS]]+Tabela1107[[#This Row],[CONTRIB. FOLHA]]+Tabela1107[[#This Row],[TRIBUTOS S/ LUCRO]]+Tabela1107[[#This Row],[OUTROS]]+Tabela1107[[#This Row],[SC]]</f>
        <v>24.740000000000002</v>
      </c>
      <c r="BI334" s="97">
        <f>+Tabela1107[[#This Row],[PIS]]+Tabela1107[[#This Row],[COFINS]]+Tabela1107[[#This Row],[CONTRIB. FOLHA]]+Tabela1107[[#This Row],[TRIBUTOS S/ LUCRO]]+Tabela1107[[#This Row],[OUTROS]]+Tabela1107[[#This Row],[RS]]</f>
        <v>24.740000000000002</v>
      </c>
      <c r="BJ334" s="97">
        <f>+Tabela1107[[#This Row],[PIS]]+Tabela1107[[#This Row],[COFINS]]+Tabela1107[[#This Row],[CONTRIB. FOLHA]]+Tabela1107[[#This Row],[TRIBUTOS S/ LUCRO]]+Tabela1107[[#This Row],[OUTROS]]+Tabela1107[[#This Row],[RJ]]</f>
        <v>26.740000000000002</v>
      </c>
      <c r="BK334" s="97">
        <f>+Tabela1107[[#This Row],[PIS]]+Tabela1107[[#This Row],[COFINS]]+Tabela1107[[#This Row],[CONTRIB. FOLHA]]+Tabela1107[[#This Row],[TRIBUTOS S/ LUCRO]]+Tabela1107[[#This Row],[OUTROS]]+Tabela1107[[#This Row],[MG]]</f>
        <v>25.740000000000002</v>
      </c>
      <c r="BL334" s="97">
        <f>+Tabela1107[[#This Row],[PIS]]+Tabela1107[[#This Row],[COFINS]]+Tabela1107[[#This Row],[CONTRIB. FOLHA]]+Tabela1107[[#This Row],[TRIBUTOS S/ LUCRO]]+Tabela1107[[#This Row],[OUTROS]]+Tabela1107[[#This Row],[ES]]</f>
        <v>24.740000000000002</v>
      </c>
      <c r="BM334" s="97">
        <f>+Tabela1107[[#This Row],[PIS]]+Tabela1107[[#This Row],[COFINS]]+Tabela1107[[#This Row],[CONTRIB. FOLHA]]+Tabela1107[[#This Row],[TRIBUTOS S/ LUCRO]]+Tabela1107[[#This Row],[OUTROS]]+Tabela1107[[#This Row],[GO]]</f>
        <v>24.740000000000002</v>
      </c>
      <c r="BN334" s="97">
        <f>+Tabela1107[[#This Row],[PIS]]+Tabela1107[[#This Row],[COFINS]]+Tabela1107[[#This Row],[CONTRIB. FOLHA]]+Tabela1107[[#This Row],[TRIBUTOS S/ LUCRO]]+Tabela1107[[#This Row],[OUTROS]]+Tabela1107[[#This Row],[MT]]</f>
        <v>24.740000000000002</v>
      </c>
      <c r="BO334" s="97">
        <f>+Tabela1107[[#This Row],[PIS]]+Tabela1107[[#This Row],[COFINS]]+Tabela1107[[#This Row],[CONTRIB. FOLHA]]+Tabela1107[[#This Row],[TRIBUTOS S/ LUCRO]]+Tabela1107[[#This Row],[OUTROS]]+Tabela1107[[#This Row],[MS]]</f>
        <v>24.740000000000002</v>
      </c>
      <c r="BP334" s="97">
        <f>+Tabela1107[[#This Row],[PIS]]+Tabela1107[[#This Row],[COFINS]]+Tabela1107[[#This Row],[CONTRIB. FOLHA]]+Tabela1107[[#This Row],[TRIBUTOS S/ LUCRO]]+Tabela1107[[#This Row],[OUTROS]]+Tabela1107[[#This Row],[DF]]</f>
        <v>24.740000000000002</v>
      </c>
      <c r="BQ334" s="97">
        <f>+Tabela1107[[#This Row],[PIS]]+Tabela1107[[#This Row],[COFINS]]+Tabela1107[[#This Row],[CONTRIB. FOLHA]]+Tabela1107[[#This Row],[TRIBUTOS S/ LUCRO]]+Tabela1107[[#This Row],[OUTROS]]+Tabela1107[[#This Row],[BA]]</f>
        <v>24.740000000000002</v>
      </c>
      <c r="BR334" s="97">
        <f>+Tabela1107[[#This Row],[PIS]]+Tabela1107[[#This Row],[COFINS]]+Tabela1107[[#This Row],[CONTRIB. FOLHA]]+Tabela1107[[#This Row],[TRIBUTOS S/ LUCRO]]+Tabela1107[[#This Row],[OUTROS]]+Tabela1107[[#This Row],[BA]]</f>
        <v>24.740000000000002</v>
      </c>
      <c r="BS334" s="97">
        <f>+Tabela1107[[#This Row],[PIS]]+Tabela1107[[#This Row],[COFINS]]+Tabela1107[[#This Row],[CONTRIB. FOLHA]]+Tabela1107[[#This Row],[TRIBUTOS S/ LUCRO]]+Tabela1107[[#This Row],[OUTROS]]+Tabela1107[[#This Row],[PE]]</f>
        <v>24.740000000000002</v>
      </c>
      <c r="BT334" s="97">
        <f>+Tabela1107[[#This Row],[PIS]]+Tabela1107[[#This Row],[COFINS]]+Tabela1107[[#This Row],[CONTRIB. FOLHA]]+Tabela1107[[#This Row],[TRIBUTOS S/ LUCRO]]+Tabela1107[[#This Row],[OUTROS]]+Tabela1107[[#This Row],[PA]]</f>
        <v>24.740000000000002</v>
      </c>
      <c r="BU334" s="97">
        <f>+Tabela1107[[#This Row],[PIS]]+Tabela1107[[#This Row],[COFINS]]+Tabela1107[[#This Row],[CONTRIB. FOLHA]]+Tabela1107[[#This Row],[TRIBUTOS S/ LUCRO]]+Tabela1107[[#This Row],[OUTROS]]+Tabela1107[[#This Row],[AM]]</f>
        <v>24.740000000000002</v>
      </c>
      <c r="BV334" s="97">
        <f>AVERAGE(Tabela1107[[#This Row],[TOTAL SP]:[TOTAL AM]])</f>
        <v>24.677500000000006</v>
      </c>
      <c r="BW334" s="97"/>
      <c r="BX334" s="97"/>
    </row>
    <row r="335" spans="2:76" x14ac:dyDescent="0.25">
      <c r="B335" s="89">
        <v>24022</v>
      </c>
      <c r="C335" s="91" t="s">
        <v>13183</v>
      </c>
      <c r="D335" s="89"/>
      <c r="E335" s="89">
        <v>20140626</v>
      </c>
      <c r="F335" s="89" t="s">
        <v>21498</v>
      </c>
      <c r="G335" s="89" t="s">
        <v>21499</v>
      </c>
      <c r="H335" s="89" t="s">
        <v>21500</v>
      </c>
      <c r="I335" s="89" t="s">
        <v>2672</v>
      </c>
      <c r="J335" s="89" t="s">
        <v>69</v>
      </c>
      <c r="K335" s="99" t="s">
        <v>2547</v>
      </c>
      <c r="L335" s="89" t="s">
        <v>2672</v>
      </c>
      <c r="M335" s="89" t="s">
        <v>4496</v>
      </c>
      <c r="N335" s="89" t="s">
        <v>4496</v>
      </c>
      <c r="O335" s="89" t="s">
        <v>4496</v>
      </c>
      <c r="P335" s="89" t="s">
        <v>4496</v>
      </c>
      <c r="Q335" s="89"/>
      <c r="R335" s="89" t="s">
        <v>64</v>
      </c>
      <c r="S335" s="89" t="s">
        <v>21698</v>
      </c>
      <c r="T335" s="89" t="s">
        <v>21699</v>
      </c>
      <c r="U335" s="89" t="str">
        <f>TRIM('Carga Tributária doenças Po (2'!$L335)</f>
        <v>OMEPRAZOL</v>
      </c>
      <c r="V335" s="89">
        <f>SUMIFS('Tabela Federal'!$E$4:$E$2069,'Tabela Federal'!$D$4:$D$2069,'Carga Tributária doenças Po (2'!$L335)</f>
        <v>3</v>
      </c>
      <c r="W335" s="89">
        <f>SUMIFS('Tabela Federal'!$E$4:$E$2069,'Tabela Federal'!$D$4:$D$2069,'Carga Tributária doenças Po (2'!$M335)</f>
        <v>0</v>
      </c>
      <c r="X335" s="89">
        <f>SUMIFS('Tabela Federal'!$E$4:$E$2069,'Tabela Federal'!$D$4:$D$2069,'Carga Tributária doenças Po (2'!$N335)</f>
        <v>0</v>
      </c>
      <c r="Y335" s="89">
        <f>SUMIFS('Tabela Federal'!$E$4:$E$2069,'Tabela Federal'!$D$4:$D$2069,'Carga Tributária doenças Po (2'!$O335)</f>
        <v>0</v>
      </c>
      <c r="Z335" s="92" t="str">
        <f>VLOOKUP('Carga Tributária doenças Po (2'!$AD335,'Carga Tributária doenças Po (2'!$CA$12:$CC$16,2,0)</f>
        <v>+</v>
      </c>
      <c r="AA335" s="89" t="s">
        <v>67</v>
      </c>
      <c r="AB335" s="89" t="s">
        <v>21833</v>
      </c>
      <c r="AC335" s="89" t="s">
        <v>21721</v>
      </c>
      <c r="AD335" s="93" t="s">
        <v>21722</v>
      </c>
      <c r="AE335" s="92" t="s">
        <v>2</v>
      </c>
      <c r="AF335" s="92" t="s">
        <v>10</v>
      </c>
      <c r="AG335" s="94">
        <v>3775457</v>
      </c>
      <c r="AH335" s="95">
        <v>29590524</v>
      </c>
      <c r="AI335" s="95">
        <v>67554596.879999995</v>
      </c>
      <c r="AJ335" s="89" t="s">
        <v>61</v>
      </c>
      <c r="AK335" s="89">
        <f>IF('Carga Tributária doenças Po (2'!$Z335="+",0,SUMIFS(PISCOFINS!$I$3:$I$10518,PISCOFINS!$C$3:$C$10518,'Carga Tributária doenças Po (2'!$C335))</f>
        <v>0</v>
      </c>
      <c r="AL335" s="89">
        <f>IF('Carga Tributária doenças Po (2'!$Z335="+",0,SUMIFS(PISCOFINS!$H$3:$H$10518,PISCOFINS!$C$3:$C$10518,'Carga Tributária doenças Po (2'!$C335))</f>
        <v>0</v>
      </c>
      <c r="AM335" s="95">
        <v>3.27</v>
      </c>
      <c r="AN335" s="95">
        <v>3.12</v>
      </c>
      <c r="AO335" s="95">
        <v>1.35</v>
      </c>
      <c r="AP335" s="96">
        <v>18</v>
      </c>
      <c r="AQ335" s="96">
        <v>12</v>
      </c>
      <c r="AR335" s="96">
        <v>17</v>
      </c>
      <c r="AS335" s="97">
        <v>17</v>
      </c>
      <c r="AT335" s="97">
        <v>19</v>
      </c>
      <c r="AU335" s="97">
        <v>12</v>
      </c>
      <c r="AV335" s="97">
        <v>17</v>
      </c>
      <c r="AW335" s="97">
        <v>17</v>
      </c>
      <c r="AX335" s="97">
        <v>17</v>
      </c>
      <c r="AY335" s="97">
        <v>17</v>
      </c>
      <c r="AZ335" s="97">
        <v>17</v>
      </c>
      <c r="BA335" s="97">
        <v>17</v>
      </c>
      <c r="BB335" s="97">
        <v>17</v>
      </c>
      <c r="BC335" s="97">
        <v>17</v>
      </c>
      <c r="BD335" s="97">
        <v>17</v>
      </c>
      <c r="BE335" s="97">
        <v>17</v>
      </c>
      <c r="BF335" s="97">
        <f>+Tabela1107[[#This Row],[PIS]]+Tabela1107[[#This Row],[COFINS]]+Tabela1107[[#This Row],[CONTRIB. FOLHA]]+Tabela1107[[#This Row],[TRIBUTOS S/ LUCRO]]+Tabela1107[[#This Row],[OUTROS]]+Tabela1107[[#This Row],[SP]]</f>
        <v>25.740000000000002</v>
      </c>
      <c r="BG335" s="97">
        <f>+Tabela1107[[#This Row],[PIS]]+Tabela1107[[#This Row],[COFINS]]+Tabela1107[[#This Row],[CONTRIB. FOLHA]]+Tabela1107[[#This Row],[TRIBUTOS S/ LUCRO]]+Tabela1107[[#This Row],[OUTROS]]+Tabela1107[[#This Row],[PR]]</f>
        <v>19.740000000000002</v>
      </c>
      <c r="BH335" s="97">
        <f>+Tabela1107[[#This Row],[PIS]]+Tabela1107[[#This Row],[COFINS]]+Tabela1107[[#This Row],[CONTRIB. FOLHA]]+Tabela1107[[#This Row],[TRIBUTOS S/ LUCRO]]+Tabela1107[[#This Row],[OUTROS]]+Tabela1107[[#This Row],[SC]]</f>
        <v>24.740000000000002</v>
      </c>
      <c r="BI335" s="97">
        <f>+Tabela1107[[#This Row],[PIS]]+Tabela1107[[#This Row],[COFINS]]+Tabela1107[[#This Row],[CONTRIB. FOLHA]]+Tabela1107[[#This Row],[TRIBUTOS S/ LUCRO]]+Tabela1107[[#This Row],[OUTROS]]+Tabela1107[[#This Row],[RS]]</f>
        <v>24.740000000000002</v>
      </c>
      <c r="BJ335" s="97">
        <f>+Tabela1107[[#This Row],[PIS]]+Tabela1107[[#This Row],[COFINS]]+Tabela1107[[#This Row],[CONTRIB. FOLHA]]+Tabela1107[[#This Row],[TRIBUTOS S/ LUCRO]]+Tabela1107[[#This Row],[OUTROS]]+Tabela1107[[#This Row],[RJ]]</f>
        <v>26.740000000000002</v>
      </c>
      <c r="BK335" s="97">
        <f>+Tabela1107[[#This Row],[PIS]]+Tabela1107[[#This Row],[COFINS]]+Tabela1107[[#This Row],[CONTRIB. FOLHA]]+Tabela1107[[#This Row],[TRIBUTOS S/ LUCRO]]+Tabela1107[[#This Row],[OUTROS]]+Tabela1107[[#This Row],[MG]]</f>
        <v>19.740000000000002</v>
      </c>
      <c r="BL335" s="97">
        <f>+Tabela1107[[#This Row],[PIS]]+Tabela1107[[#This Row],[COFINS]]+Tabela1107[[#This Row],[CONTRIB. FOLHA]]+Tabela1107[[#This Row],[TRIBUTOS S/ LUCRO]]+Tabela1107[[#This Row],[OUTROS]]+Tabela1107[[#This Row],[ES]]</f>
        <v>24.740000000000002</v>
      </c>
      <c r="BM335" s="97">
        <f>+Tabela1107[[#This Row],[PIS]]+Tabela1107[[#This Row],[COFINS]]+Tabela1107[[#This Row],[CONTRIB. FOLHA]]+Tabela1107[[#This Row],[TRIBUTOS S/ LUCRO]]+Tabela1107[[#This Row],[OUTROS]]+Tabela1107[[#This Row],[GO]]</f>
        <v>24.740000000000002</v>
      </c>
      <c r="BN335" s="97">
        <f>+Tabela1107[[#This Row],[PIS]]+Tabela1107[[#This Row],[COFINS]]+Tabela1107[[#This Row],[CONTRIB. FOLHA]]+Tabela1107[[#This Row],[TRIBUTOS S/ LUCRO]]+Tabela1107[[#This Row],[OUTROS]]+Tabela1107[[#This Row],[MT]]</f>
        <v>24.740000000000002</v>
      </c>
      <c r="BO335" s="97">
        <f>+Tabela1107[[#This Row],[PIS]]+Tabela1107[[#This Row],[COFINS]]+Tabela1107[[#This Row],[CONTRIB. FOLHA]]+Tabela1107[[#This Row],[TRIBUTOS S/ LUCRO]]+Tabela1107[[#This Row],[OUTROS]]+Tabela1107[[#This Row],[MS]]</f>
        <v>24.740000000000002</v>
      </c>
      <c r="BP335" s="97">
        <f>+Tabela1107[[#This Row],[PIS]]+Tabela1107[[#This Row],[COFINS]]+Tabela1107[[#This Row],[CONTRIB. FOLHA]]+Tabela1107[[#This Row],[TRIBUTOS S/ LUCRO]]+Tabela1107[[#This Row],[OUTROS]]+Tabela1107[[#This Row],[DF]]</f>
        <v>24.740000000000002</v>
      </c>
      <c r="BQ335" s="97">
        <f>+Tabela1107[[#This Row],[PIS]]+Tabela1107[[#This Row],[COFINS]]+Tabela1107[[#This Row],[CONTRIB. FOLHA]]+Tabela1107[[#This Row],[TRIBUTOS S/ LUCRO]]+Tabela1107[[#This Row],[OUTROS]]+Tabela1107[[#This Row],[BA]]</f>
        <v>24.740000000000002</v>
      </c>
      <c r="BR335" s="97">
        <f>+Tabela1107[[#This Row],[PIS]]+Tabela1107[[#This Row],[COFINS]]+Tabela1107[[#This Row],[CONTRIB. FOLHA]]+Tabela1107[[#This Row],[TRIBUTOS S/ LUCRO]]+Tabela1107[[#This Row],[OUTROS]]+Tabela1107[[#This Row],[BA]]</f>
        <v>24.740000000000002</v>
      </c>
      <c r="BS335" s="97">
        <f>+Tabela1107[[#This Row],[PIS]]+Tabela1107[[#This Row],[COFINS]]+Tabela1107[[#This Row],[CONTRIB. FOLHA]]+Tabela1107[[#This Row],[TRIBUTOS S/ LUCRO]]+Tabela1107[[#This Row],[OUTROS]]+Tabela1107[[#This Row],[PE]]</f>
        <v>24.740000000000002</v>
      </c>
      <c r="BT335" s="97">
        <f>+Tabela1107[[#This Row],[PIS]]+Tabela1107[[#This Row],[COFINS]]+Tabela1107[[#This Row],[CONTRIB. FOLHA]]+Tabela1107[[#This Row],[TRIBUTOS S/ LUCRO]]+Tabela1107[[#This Row],[OUTROS]]+Tabela1107[[#This Row],[PA]]</f>
        <v>24.740000000000002</v>
      </c>
      <c r="BU335" s="97">
        <f>+Tabela1107[[#This Row],[PIS]]+Tabela1107[[#This Row],[COFINS]]+Tabela1107[[#This Row],[CONTRIB. FOLHA]]+Tabela1107[[#This Row],[TRIBUTOS S/ LUCRO]]+Tabela1107[[#This Row],[OUTROS]]+Tabela1107[[#This Row],[AM]]</f>
        <v>24.740000000000002</v>
      </c>
      <c r="BV335" s="97">
        <f>AVERAGE(Tabela1107[[#This Row],[TOTAL SP]:[TOTAL AM]])</f>
        <v>24.302500000000006</v>
      </c>
      <c r="BW335" s="97"/>
      <c r="BX335" s="97"/>
    </row>
    <row r="336" spans="2:76" x14ac:dyDescent="0.25">
      <c r="B336" s="89">
        <v>10663</v>
      </c>
      <c r="C336" s="91" t="s">
        <v>13142</v>
      </c>
      <c r="D336" s="89"/>
      <c r="E336" s="89">
        <v>20140626</v>
      </c>
      <c r="F336" s="89" t="s">
        <v>21430</v>
      </c>
      <c r="G336" s="89" t="s">
        <v>21431</v>
      </c>
      <c r="H336" s="89" t="s">
        <v>21432</v>
      </c>
      <c r="I336" s="89" t="s">
        <v>21433</v>
      </c>
      <c r="J336" s="89" t="s">
        <v>588</v>
      </c>
      <c r="K336" s="99" t="s">
        <v>2546</v>
      </c>
      <c r="L336" s="89" t="s">
        <v>2673</v>
      </c>
      <c r="M336" s="89" t="s">
        <v>4496</v>
      </c>
      <c r="N336" s="89" t="s">
        <v>4496</v>
      </c>
      <c r="O336" s="89" t="s">
        <v>4496</v>
      </c>
      <c r="P336" s="89" t="s">
        <v>4496</v>
      </c>
      <c r="Q336" s="89"/>
      <c r="R336" s="89" t="s">
        <v>92</v>
      </c>
      <c r="S336" s="89" t="s">
        <v>21696</v>
      </c>
      <c r="T336" s="89" t="s">
        <v>21697</v>
      </c>
      <c r="U336" s="89" t="str">
        <f>TRIM('Carga Tributária doenças Po (2'!$L336)</f>
        <v>CICLESONIDA</v>
      </c>
      <c r="V336" s="89">
        <f>SUMIFS('Tabela Federal'!$E$4:$E$2069,'Tabela Federal'!$D$4:$D$2069,'Carga Tributária doenças Po (2'!$L336)</f>
        <v>1</v>
      </c>
      <c r="W336" s="89">
        <f>SUMIFS('Tabela Federal'!$E$4:$E$2069,'Tabela Federal'!$D$4:$D$2069,'Carga Tributária doenças Po (2'!$M336)</f>
        <v>0</v>
      </c>
      <c r="X336" s="89">
        <f>SUMIFS('Tabela Federal'!$E$4:$E$2069,'Tabela Federal'!$D$4:$D$2069,'Carga Tributária doenças Po (2'!$N336)</f>
        <v>0</v>
      </c>
      <c r="Y336" s="89">
        <f>SUMIFS('Tabela Federal'!$E$4:$E$2069,'Tabela Federal'!$D$4:$D$2069,'Carga Tributária doenças Po (2'!$O336)</f>
        <v>0</v>
      </c>
      <c r="Z336" s="92" t="str">
        <f>VLOOKUP('Carga Tributária doenças Po (2'!$AD336,'Carga Tributária doenças Po (2'!$CA$12:$CC$16,2,0)</f>
        <v>+</v>
      </c>
      <c r="AA336" s="89" t="s">
        <v>583</v>
      </c>
      <c r="AB336" s="89" t="s">
        <v>21880</v>
      </c>
      <c r="AC336" s="89" t="s">
        <v>21721</v>
      </c>
      <c r="AD336" s="93" t="s">
        <v>21722</v>
      </c>
      <c r="AE336" s="92" t="s">
        <v>2</v>
      </c>
      <c r="AF336" s="92" t="s">
        <v>23</v>
      </c>
      <c r="AG336" s="94">
        <v>834412</v>
      </c>
      <c r="AH336" s="95">
        <v>11528847</v>
      </c>
      <c r="AI336" s="95">
        <v>26231554.719999999</v>
      </c>
      <c r="AJ336" s="89" t="s">
        <v>589</v>
      </c>
      <c r="AK336" s="89">
        <f>IF('Carga Tributária doenças Po (2'!$Z336="+",0,SUMIFS(PISCOFINS!$I$3:$I$10518,PISCOFINS!$C$3:$C$10518,'Carga Tributária doenças Po (2'!$C336))</f>
        <v>0</v>
      </c>
      <c r="AL336" s="89">
        <f>IF('Carga Tributária doenças Po (2'!$Z336="+",0,SUMIFS(PISCOFINS!$H$3:$H$10518,PISCOFINS!$C$3:$C$10518,'Carga Tributária doenças Po (2'!$C336))</f>
        <v>0</v>
      </c>
      <c r="AM336" s="95">
        <v>3.27</v>
      </c>
      <c r="AN336" s="95">
        <v>3.12</v>
      </c>
      <c r="AO336" s="95">
        <v>1.35</v>
      </c>
      <c r="AP336" s="96">
        <v>18</v>
      </c>
      <c r="AQ336" s="96">
        <v>12</v>
      </c>
      <c r="AR336" s="96">
        <v>17</v>
      </c>
      <c r="AS336" s="97">
        <v>17</v>
      </c>
      <c r="AT336" s="97">
        <v>19</v>
      </c>
      <c r="AU336" s="97">
        <v>18</v>
      </c>
      <c r="AV336" s="97">
        <v>17</v>
      </c>
      <c r="AW336" s="97">
        <v>17</v>
      </c>
      <c r="AX336" s="97">
        <v>17</v>
      </c>
      <c r="AY336" s="97">
        <v>17</v>
      </c>
      <c r="AZ336" s="97">
        <v>17</v>
      </c>
      <c r="BA336" s="97">
        <v>17</v>
      </c>
      <c r="BB336" s="97">
        <v>17</v>
      </c>
      <c r="BC336" s="97">
        <v>17</v>
      </c>
      <c r="BD336" s="97">
        <v>17</v>
      </c>
      <c r="BE336" s="97">
        <v>17</v>
      </c>
      <c r="BF336" s="97">
        <f>+Tabela1107[[#This Row],[PIS]]+Tabela1107[[#This Row],[COFINS]]+Tabela1107[[#This Row],[CONTRIB. FOLHA]]+Tabela1107[[#This Row],[TRIBUTOS S/ LUCRO]]+Tabela1107[[#This Row],[OUTROS]]+Tabela1107[[#This Row],[SP]]</f>
        <v>25.740000000000002</v>
      </c>
      <c r="BG336" s="97">
        <f>+Tabela1107[[#This Row],[PIS]]+Tabela1107[[#This Row],[COFINS]]+Tabela1107[[#This Row],[CONTRIB. FOLHA]]+Tabela1107[[#This Row],[TRIBUTOS S/ LUCRO]]+Tabela1107[[#This Row],[OUTROS]]+Tabela1107[[#This Row],[PR]]</f>
        <v>19.740000000000002</v>
      </c>
      <c r="BH336" s="97">
        <f>+Tabela1107[[#This Row],[PIS]]+Tabela1107[[#This Row],[COFINS]]+Tabela1107[[#This Row],[CONTRIB. FOLHA]]+Tabela1107[[#This Row],[TRIBUTOS S/ LUCRO]]+Tabela1107[[#This Row],[OUTROS]]+Tabela1107[[#This Row],[SC]]</f>
        <v>24.740000000000002</v>
      </c>
      <c r="BI336" s="97">
        <f>+Tabela1107[[#This Row],[PIS]]+Tabela1107[[#This Row],[COFINS]]+Tabela1107[[#This Row],[CONTRIB. FOLHA]]+Tabela1107[[#This Row],[TRIBUTOS S/ LUCRO]]+Tabela1107[[#This Row],[OUTROS]]+Tabela1107[[#This Row],[RS]]</f>
        <v>24.740000000000002</v>
      </c>
      <c r="BJ336" s="97">
        <f>+Tabela1107[[#This Row],[PIS]]+Tabela1107[[#This Row],[COFINS]]+Tabela1107[[#This Row],[CONTRIB. FOLHA]]+Tabela1107[[#This Row],[TRIBUTOS S/ LUCRO]]+Tabela1107[[#This Row],[OUTROS]]+Tabela1107[[#This Row],[RJ]]</f>
        <v>26.740000000000002</v>
      </c>
      <c r="BK336" s="97">
        <f>+Tabela1107[[#This Row],[PIS]]+Tabela1107[[#This Row],[COFINS]]+Tabela1107[[#This Row],[CONTRIB. FOLHA]]+Tabela1107[[#This Row],[TRIBUTOS S/ LUCRO]]+Tabela1107[[#This Row],[OUTROS]]+Tabela1107[[#This Row],[MG]]</f>
        <v>25.740000000000002</v>
      </c>
      <c r="BL336" s="97">
        <f>+Tabela1107[[#This Row],[PIS]]+Tabela1107[[#This Row],[COFINS]]+Tabela1107[[#This Row],[CONTRIB. FOLHA]]+Tabela1107[[#This Row],[TRIBUTOS S/ LUCRO]]+Tabela1107[[#This Row],[OUTROS]]+Tabela1107[[#This Row],[ES]]</f>
        <v>24.740000000000002</v>
      </c>
      <c r="BM336" s="97">
        <f>+Tabela1107[[#This Row],[PIS]]+Tabela1107[[#This Row],[COFINS]]+Tabela1107[[#This Row],[CONTRIB. FOLHA]]+Tabela1107[[#This Row],[TRIBUTOS S/ LUCRO]]+Tabela1107[[#This Row],[OUTROS]]+Tabela1107[[#This Row],[GO]]</f>
        <v>24.740000000000002</v>
      </c>
      <c r="BN336" s="97">
        <f>+Tabela1107[[#This Row],[PIS]]+Tabela1107[[#This Row],[COFINS]]+Tabela1107[[#This Row],[CONTRIB. FOLHA]]+Tabela1107[[#This Row],[TRIBUTOS S/ LUCRO]]+Tabela1107[[#This Row],[OUTROS]]+Tabela1107[[#This Row],[MT]]</f>
        <v>24.740000000000002</v>
      </c>
      <c r="BO336" s="97">
        <f>+Tabela1107[[#This Row],[PIS]]+Tabela1107[[#This Row],[COFINS]]+Tabela1107[[#This Row],[CONTRIB. FOLHA]]+Tabela1107[[#This Row],[TRIBUTOS S/ LUCRO]]+Tabela1107[[#This Row],[OUTROS]]+Tabela1107[[#This Row],[MS]]</f>
        <v>24.740000000000002</v>
      </c>
      <c r="BP336" s="97">
        <f>+Tabela1107[[#This Row],[PIS]]+Tabela1107[[#This Row],[COFINS]]+Tabela1107[[#This Row],[CONTRIB. FOLHA]]+Tabela1107[[#This Row],[TRIBUTOS S/ LUCRO]]+Tabela1107[[#This Row],[OUTROS]]+Tabela1107[[#This Row],[DF]]</f>
        <v>24.740000000000002</v>
      </c>
      <c r="BQ336" s="97">
        <f>+Tabela1107[[#This Row],[PIS]]+Tabela1107[[#This Row],[COFINS]]+Tabela1107[[#This Row],[CONTRIB. FOLHA]]+Tabela1107[[#This Row],[TRIBUTOS S/ LUCRO]]+Tabela1107[[#This Row],[OUTROS]]+Tabela1107[[#This Row],[BA]]</f>
        <v>24.740000000000002</v>
      </c>
      <c r="BR336" s="97">
        <f>+Tabela1107[[#This Row],[PIS]]+Tabela1107[[#This Row],[COFINS]]+Tabela1107[[#This Row],[CONTRIB. FOLHA]]+Tabela1107[[#This Row],[TRIBUTOS S/ LUCRO]]+Tabela1107[[#This Row],[OUTROS]]+Tabela1107[[#This Row],[BA]]</f>
        <v>24.740000000000002</v>
      </c>
      <c r="BS336" s="97">
        <f>+Tabela1107[[#This Row],[PIS]]+Tabela1107[[#This Row],[COFINS]]+Tabela1107[[#This Row],[CONTRIB. FOLHA]]+Tabela1107[[#This Row],[TRIBUTOS S/ LUCRO]]+Tabela1107[[#This Row],[OUTROS]]+Tabela1107[[#This Row],[PE]]</f>
        <v>24.740000000000002</v>
      </c>
      <c r="BT336" s="97">
        <f>+Tabela1107[[#This Row],[PIS]]+Tabela1107[[#This Row],[COFINS]]+Tabela1107[[#This Row],[CONTRIB. FOLHA]]+Tabela1107[[#This Row],[TRIBUTOS S/ LUCRO]]+Tabela1107[[#This Row],[OUTROS]]+Tabela1107[[#This Row],[PA]]</f>
        <v>24.740000000000002</v>
      </c>
      <c r="BU336" s="97">
        <f>+Tabela1107[[#This Row],[PIS]]+Tabela1107[[#This Row],[COFINS]]+Tabela1107[[#This Row],[CONTRIB. FOLHA]]+Tabela1107[[#This Row],[TRIBUTOS S/ LUCRO]]+Tabela1107[[#This Row],[OUTROS]]+Tabela1107[[#This Row],[AM]]</f>
        <v>24.740000000000002</v>
      </c>
      <c r="BV336" s="97">
        <f>AVERAGE(Tabela1107[[#This Row],[TOTAL SP]:[TOTAL AM]])</f>
        <v>24.677500000000006</v>
      </c>
      <c r="BW336" s="97"/>
      <c r="BX336" s="97"/>
    </row>
    <row r="337" spans="2:76" x14ac:dyDescent="0.25">
      <c r="B337" s="89">
        <v>14145</v>
      </c>
      <c r="C337" s="91" t="s">
        <v>13183</v>
      </c>
      <c r="D337" s="89"/>
      <c r="E337" s="89">
        <v>20140626</v>
      </c>
      <c r="F337" s="89" t="s">
        <v>20768</v>
      </c>
      <c r="G337" s="89" t="s">
        <v>20769</v>
      </c>
      <c r="H337" s="89" t="s">
        <v>20770</v>
      </c>
      <c r="I337" s="89" t="s">
        <v>20771</v>
      </c>
      <c r="J337" s="89" t="s">
        <v>479</v>
      </c>
      <c r="K337" s="99" t="s">
        <v>4485</v>
      </c>
      <c r="L337" s="89" t="s">
        <v>3157</v>
      </c>
      <c r="M337" s="89" t="s">
        <v>4182</v>
      </c>
      <c r="N337" s="89" t="s">
        <v>4332</v>
      </c>
      <c r="O337" s="89" t="s">
        <v>4496</v>
      </c>
      <c r="P337" s="89" t="s">
        <v>4496</v>
      </c>
      <c r="Q337" s="89"/>
      <c r="R337" s="89" t="s">
        <v>290</v>
      </c>
      <c r="S337" s="89" t="s">
        <v>21620</v>
      </c>
      <c r="T337" s="89" t="s">
        <v>21621</v>
      </c>
      <c r="U337" s="89" t="str">
        <f>TRIM('Carga Tributária doenças Po (2'!$L337)</f>
        <v>BETAMETASONA</v>
      </c>
      <c r="V337" s="89">
        <f>SUMIFS('Tabela Federal'!$E$4:$E$2069,'Tabela Federal'!$D$4:$D$2069,'Carga Tributária doenças Po (2'!$L337)</f>
        <v>1</v>
      </c>
      <c r="W337" s="89">
        <f>SUMIFS('Tabela Federal'!$E$4:$E$2069,'Tabela Federal'!$D$4:$D$2069,'Carga Tributária doenças Po (2'!$M337)</f>
        <v>0</v>
      </c>
      <c r="X337" s="89">
        <f>SUMIFS('Tabela Federal'!$E$4:$E$2069,'Tabela Federal'!$D$4:$D$2069,'Carga Tributária doenças Po (2'!$N337)</f>
        <v>3</v>
      </c>
      <c r="Y337" s="89">
        <f>SUMIFS('Tabela Federal'!$E$4:$E$2069,'Tabela Federal'!$D$4:$D$2069,'Carga Tributária doenças Po (2'!$O337)</f>
        <v>0</v>
      </c>
      <c r="Z337" s="92" t="str">
        <f>VLOOKUP('Carga Tributária doenças Po (2'!$AD337,'Carga Tributária doenças Po (2'!$CA$12:$CC$16,2,0)</f>
        <v>+</v>
      </c>
      <c r="AA337" s="89" t="s">
        <v>478</v>
      </c>
      <c r="AB337" s="89" t="s">
        <v>21817</v>
      </c>
      <c r="AC337" s="89" t="s">
        <v>21721</v>
      </c>
      <c r="AD337" s="93" t="s">
        <v>19445</v>
      </c>
      <c r="AE337" s="92" t="s">
        <v>4</v>
      </c>
      <c r="AF337" s="92" t="s">
        <v>23</v>
      </c>
      <c r="AG337" s="94">
        <v>743698</v>
      </c>
      <c r="AH337" s="95">
        <v>4978491</v>
      </c>
      <c r="AI337" s="95">
        <v>11378004.92</v>
      </c>
      <c r="AJ337" s="89" t="s">
        <v>472</v>
      </c>
      <c r="AK337" s="89">
        <f>IF('Carga Tributária doenças Po (2'!$Z337="+",0,SUMIFS(PISCOFINS!$I$3:$I$10518,PISCOFINS!$C$3:$C$10518,'Carga Tributária doenças Po (2'!$C337))</f>
        <v>0</v>
      </c>
      <c r="AL337" s="89">
        <f>IF('Carga Tributária doenças Po (2'!$Z337="+",0,SUMIFS(PISCOFINS!$H$3:$H$10518,PISCOFINS!$C$3:$C$10518,'Carga Tributária doenças Po (2'!$C337))</f>
        <v>0</v>
      </c>
      <c r="AM337" s="95">
        <v>3.27</v>
      </c>
      <c r="AN337" s="95">
        <v>3.12</v>
      </c>
      <c r="AO337" s="95">
        <v>1.35</v>
      </c>
      <c r="AP337" s="96">
        <v>18</v>
      </c>
      <c r="AQ337" s="96">
        <v>12</v>
      </c>
      <c r="AR337" s="96">
        <v>17</v>
      </c>
      <c r="AS337" s="97">
        <v>17</v>
      </c>
      <c r="AT337" s="97">
        <v>19</v>
      </c>
      <c r="AU337" s="97">
        <v>18</v>
      </c>
      <c r="AV337" s="97">
        <v>17</v>
      </c>
      <c r="AW337" s="97">
        <v>17</v>
      </c>
      <c r="AX337" s="97">
        <v>17</v>
      </c>
      <c r="AY337" s="97">
        <v>17</v>
      </c>
      <c r="AZ337" s="97">
        <v>17</v>
      </c>
      <c r="BA337" s="97">
        <v>17</v>
      </c>
      <c r="BB337" s="97">
        <v>17</v>
      </c>
      <c r="BC337" s="97">
        <v>17</v>
      </c>
      <c r="BD337" s="97">
        <v>17</v>
      </c>
      <c r="BE337" s="97">
        <v>17</v>
      </c>
      <c r="BF337" s="97">
        <f>+Tabela1107[[#This Row],[PIS]]+Tabela1107[[#This Row],[COFINS]]+Tabela1107[[#This Row],[CONTRIB. FOLHA]]+Tabela1107[[#This Row],[TRIBUTOS S/ LUCRO]]+Tabela1107[[#This Row],[OUTROS]]+Tabela1107[[#This Row],[SP]]</f>
        <v>25.740000000000002</v>
      </c>
      <c r="BG337" s="97">
        <f>+Tabela1107[[#This Row],[PIS]]+Tabela1107[[#This Row],[COFINS]]+Tabela1107[[#This Row],[CONTRIB. FOLHA]]+Tabela1107[[#This Row],[TRIBUTOS S/ LUCRO]]+Tabela1107[[#This Row],[OUTROS]]+Tabela1107[[#This Row],[PR]]</f>
        <v>19.740000000000002</v>
      </c>
      <c r="BH337" s="97">
        <f>+Tabela1107[[#This Row],[PIS]]+Tabela1107[[#This Row],[COFINS]]+Tabela1107[[#This Row],[CONTRIB. FOLHA]]+Tabela1107[[#This Row],[TRIBUTOS S/ LUCRO]]+Tabela1107[[#This Row],[OUTROS]]+Tabela1107[[#This Row],[SC]]</f>
        <v>24.740000000000002</v>
      </c>
      <c r="BI337" s="97">
        <f>+Tabela1107[[#This Row],[PIS]]+Tabela1107[[#This Row],[COFINS]]+Tabela1107[[#This Row],[CONTRIB. FOLHA]]+Tabela1107[[#This Row],[TRIBUTOS S/ LUCRO]]+Tabela1107[[#This Row],[OUTROS]]+Tabela1107[[#This Row],[RS]]</f>
        <v>24.740000000000002</v>
      </c>
      <c r="BJ337" s="97">
        <f>+Tabela1107[[#This Row],[PIS]]+Tabela1107[[#This Row],[COFINS]]+Tabela1107[[#This Row],[CONTRIB. FOLHA]]+Tabela1107[[#This Row],[TRIBUTOS S/ LUCRO]]+Tabela1107[[#This Row],[OUTROS]]+Tabela1107[[#This Row],[RJ]]</f>
        <v>26.740000000000002</v>
      </c>
      <c r="BK337" s="97">
        <f>+Tabela1107[[#This Row],[PIS]]+Tabela1107[[#This Row],[COFINS]]+Tabela1107[[#This Row],[CONTRIB. FOLHA]]+Tabela1107[[#This Row],[TRIBUTOS S/ LUCRO]]+Tabela1107[[#This Row],[OUTROS]]+Tabela1107[[#This Row],[MG]]</f>
        <v>25.740000000000002</v>
      </c>
      <c r="BL337" s="97">
        <f>+Tabela1107[[#This Row],[PIS]]+Tabela1107[[#This Row],[COFINS]]+Tabela1107[[#This Row],[CONTRIB. FOLHA]]+Tabela1107[[#This Row],[TRIBUTOS S/ LUCRO]]+Tabela1107[[#This Row],[OUTROS]]+Tabela1107[[#This Row],[ES]]</f>
        <v>24.740000000000002</v>
      </c>
      <c r="BM337" s="97">
        <f>+Tabela1107[[#This Row],[PIS]]+Tabela1107[[#This Row],[COFINS]]+Tabela1107[[#This Row],[CONTRIB. FOLHA]]+Tabela1107[[#This Row],[TRIBUTOS S/ LUCRO]]+Tabela1107[[#This Row],[OUTROS]]+Tabela1107[[#This Row],[GO]]</f>
        <v>24.740000000000002</v>
      </c>
      <c r="BN337" s="97">
        <f>+Tabela1107[[#This Row],[PIS]]+Tabela1107[[#This Row],[COFINS]]+Tabela1107[[#This Row],[CONTRIB. FOLHA]]+Tabela1107[[#This Row],[TRIBUTOS S/ LUCRO]]+Tabela1107[[#This Row],[OUTROS]]+Tabela1107[[#This Row],[MT]]</f>
        <v>24.740000000000002</v>
      </c>
      <c r="BO337" s="97">
        <f>+Tabela1107[[#This Row],[PIS]]+Tabela1107[[#This Row],[COFINS]]+Tabela1107[[#This Row],[CONTRIB. FOLHA]]+Tabela1107[[#This Row],[TRIBUTOS S/ LUCRO]]+Tabela1107[[#This Row],[OUTROS]]+Tabela1107[[#This Row],[MS]]</f>
        <v>24.740000000000002</v>
      </c>
      <c r="BP337" s="97">
        <f>+Tabela1107[[#This Row],[PIS]]+Tabela1107[[#This Row],[COFINS]]+Tabela1107[[#This Row],[CONTRIB. FOLHA]]+Tabela1107[[#This Row],[TRIBUTOS S/ LUCRO]]+Tabela1107[[#This Row],[OUTROS]]+Tabela1107[[#This Row],[DF]]</f>
        <v>24.740000000000002</v>
      </c>
      <c r="BQ337" s="97">
        <f>+Tabela1107[[#This Row],[PIS]]+Tabela1107[[#This Row],[COFINS]]+Tabela1107[[#This Row],[CONTRIB. FOLHA]]+Tabela1107[[#This Row],[TRIBUTOS S/ LUCRO]]+Tabela1107[[#This Row],[OUTROS]]+Tabela1107[[#This Row],[BA]]</f>
        <v>24.740000000000002</v>
      </c>
      <c r="BR337" s="97">
        <f>+Tabela1107[[#This Row],[PIS]]+Tabela1107[[#This Row],[COFINS]]+Tabela1107[[#This Row],[CONTRIB. FOLHA]]+Tabela1107[[#This Row],[TRIBUTOS S/ LUCRO]]+Tabela1107[[#This Row],[OUTROS]]+Tabela1107[[#This Row],[BA]]</f>
        <v>24.740000000000002</v>
      </c>
      <c r="BS337" s="97">
        <f>+Tabela1107[[#This Row],[PIS]]+Tabela1107[[#This Row],[COFINS]]+Tabela1107[[#This Row],[CONTRIB. FOLHA]]+Tabela1107[[#This Row],[TRIBUTOS S/ LUCRO]]+Tabela1107[[#This Row],[OUTROS]]+Tabela1107[[#This Row],[PE]]</f>
        <v>24.740000000000002</v>
      </c>
      <c r="BT337" s="97">
        <f>+Tabela1107[[#This Row],[PIS]]+Tabela1107[[#This Row],[COFINS]]+Tabela1107[[#This Row],[CONTRIB. FOLHA]]+Tabela1107[[#This Row],[TRIBUTOS S/ LUCRO]]+Tabela1107[[#This Row],[OUTROS]]+Tabela1107[[#This Row],[PA]]</f>
        <v>24.740000000000002</v>
      </c>
      <c r="BU337" s="97">
        <f>+Tabela1107[[#This Row],[PIS]]+Tabela1107[[#This Row],[COFINS]]+Tabela1107[[#This Row],[CONTRIB. FOLHA]]+Tabela1107[[#This Row],[TRIBUTOS S/ LUCRO]]+Tabela1107[[#This Row],[OUTROS]]+Tabela1107[[#This Row],[AM]]</f>
        <v>24.740000000000002</v>
      </c>
      <c r="BV337" s="97">
        <f>AVERAGE(Tabela1107[[#This Row],[TOTAL SP]:[TOTAL AM]])</f>
        <v>24.677500000000006</v>
      </c>
      <c r="BW337" s="97"/>
      <c r="BX337" s="97"/>
    </row>
    <row r="338" spans="2:76" x14ac:dyDescent="0.25">
      <c r="B338" s="89">
        <v>10947</v>
      </c>
      <c r="C338" s="91" t="s">
        <v>13183</v>
      </c>
      <c r="D338" s="89"/>
      <c r="E338" s="89">
        <v>20140626</v>
      </c>
      <c r="F338" s="89" t="s">
        <v>20772</v>
      </c>
      <c r="G338" s="89" t="s">
        <v>20773</v>
      </c>
      <c r="H338" s="89" t="s">
        <v>20774</v>
      </c>
      <c r="I338" s="89" t="s">
        <v>20775</v>
      </c>
      <c r="J338" s="89" t="s">
        <v>477</v>
      </c>
      <c r="K338" s="99" t="s">
        <v>2545</v>
      </c>
      <c r="L338" s="89" t="s">
        <v>3191</v>
      </c>
      <c r="M338" s="89" t="s">
        <v>4183</v>
      </c>
      <c r="N338" s="89" t="s">
        <v>4496</v>
      </c>
      <c r="O338" s="89" t="s">
        <v>4496</v>
      </c>
      <c r="P338" s="89" t="s">
        <v>4496</v>
      </c>
      <c r="Q338" s="89"/>
      <c r="R338" s="89" t="s">
        <v>290</v>
      </c>
      <c r="S338" s="89" t="s">
        <v>21620</v>
      </c>
      <c r="T338" s="89" t="s">
        <v>21621</v>
      </c>
      <c r="U338" s="89" t="str">
        <f>TRIM('Carga Tributária doenças Po (2'!$L338)</f>
        <v>CIPROFLOXACINO</v>
      </c>
      <c r="V338" s="89">
        <f>SUMIFS('Tabela Federal'!$E$4:$E$2069,'Tabela Federal'!$D$4:$D$2069,'Carga Tributária doenças Po (2'!$L338)</f>
        <v>2</v>
      </c>
      <c r="W338" s="89">
        <f>SUMIFS('Tabela Federal'!$E$4:$E$2069,'Tabela Federal'!$D$4:$D$2069,'Carga Tributária doenças Po (2'!$M338)</f>
        <v>0</v>
      </c>
      <c r="X338" s="89">
        <f>SUMIFS('Tabela Federal'!$E$4:$E$2069,'Tabela Federal'!$D$4:$D$2069,'Carga Tributária doenças Po (2'!$N338)</f>
        <v>0</v>
      </c>
      <c r="Y338" s="89">
        <f>SUMIFS('Tabela Federal'!$E$4:$E$2069,'Tabela Federal'!$D$4:$D$2069,'Carga Tributária doenças Po (2'!$O338)</f>
        <v>0</v>
      </c>
      <c r="Z338" s="92" t="str">
        <f>VLOOKUP('Carga Tributária doenças Po (2'!$AD338,'Carga Tributária doenças Po (2'!$CA$12:$CC$16,2,0)</f>
        <v>+</v>
      </c>
      <c r="AA338" s="89" t="s">
        <v>478</v>
      </c>
      <c r="AB338" s="89" t="s">
        <v>21818</v>
      </c>
      <c r="AC338" s="89" t="s">
        <v>21721</v>
      </c>
      <c r="AD338" s="93" t="s">
        <v>19445</v>
      </c>
      <c r="AE338" s="92" t="s">
        <v>4</v>
      </c>
      <c r="AF338" s="92" t="s">
        <v>3</v>
      </c>
      <c r="AG338" s="94">
        <v>753219</v>
      </c>
      <c r="AH338" s="95">
        <v>6990400</v>
      </c>
      <c r="AI338" s="95">
        <v>16006266.060000001</v>
      </c>
      <c r="AJ338" s="89" t="s">
        <v>472</v>
      </c>
      <c r="AK338" s="89">
        <f>IF('Carga Tributária doenças Po (2'!$Z338="+",0,SUMIFS(PISCOFINS!$I$3:$I$10518,PISCOFINS!$C$3:$C$10518,'Carga Tributária doenças Po (2'!$C338))</f>
        <v>0</v>
      </c>
      <c r="AL338" s="89">
        <f>IF('Carga Tributária doenças Po (2'!$Z338="+",0,SUMIFS(PISCOFINS!$H$3:$H$10518,PISCOFINS!$C$3:$C$10518,'Carga Tributária doenças Po (2'!$C338))</f>
        <v>0</v>
      </c>
      <c r="AM338" s="95">
        <v>3.27</v>
      </c>
      <c r="AN338" s="95">
        <v>3.12</v>
      </c>
      <c r="AO338" s="95">
        <v>1.35</v>
      </c>
      <c r="AP338" s="96">
        <v>18</v>
      </c>
      <c r="AQ338" s="96">
        <v>12</v>
      </c>
      <c r="AR338" s="96">
        <v>17</v>
      </c>
      <c r="AS338" s="97">
        <v>17</v>
      </c>
      <c r="AT338" s="97">
        <v>19</v>
      </c>
      <c r="AU338" s="97">
        <v>18</v>
      </c>
      <c r="AV338" s="97">
        <v>17</v>
      </c>
      <c r="AW338" s="97">
        <v>17</v>
      </c>
      <c r="AX338" s="97">
        <v>17</v>
      </c>
      <c r="AY338" s="97">
        <v>17</v>
      </c>
      <c r="AZ338" s="97">
        <v>17</v>
      </c>
      <c r="BA338" s="97">
        <v>17</v>
      </c>
      <c r="BB338" s="97">
        <v>17</v>
      </c>
      <c r="BC338" s="97">
        <v>17</v>
      </c>
      <c r="BD338" s="97">
        <v>17</v>
      </c>
      <c r="BE338" s="97">
        <v>17</v>
      </c>
      <c r="BF338" s="97">
        <f>+Tabela1107[[#This Row],[PIS]]+Tabela1107[[#This Row],[COFINS]]+Tabela1107[[#This Row],[CONTRIB. FOLHA]]+Tabela1107[[#This Row],[TRIBUTOS S/ LUCRO]]+Tabela1107[[#This Row],[OUTROS]]+Tabela1107[[#This Row],[SP]]</f>
        <v>25.740000000000002</v>
      </c>
      <c r="BG338" s="97">
        <f>+Tabela1107[[#This Row],[PIS]]+Tabela1107[[#This Row],[COFINS]]+Tabela1107[[#This Row],[CONTRIB. FOLHA]]+Tabela1107[[#This Row],[TRIBUTOS S/ LUCRO]]+Tabela1107[[#This Row],[OUTROS]]+Tabela1107[[#This Row],[PR]]</f>
        <v>19.740000000000002</v>
      </c>
      <c r="BH338" s="97">
        <f>+Tabela1107[[#This Row],[PIS]]+Tabela1107[[#This Row],[COFINS]]+Tabela1107[[#This Row],[CONTRIB. FOLHA]]+Tabela1107[[#This Row],[TRIBUTOS S/ LUCRO]]+Tabela1107[[#This Row],[OUTROS]]+Tabela1107[[#This Row],[SC]]</f>
        <v>24.740000000000002</v>
      </c>
      <c r="BI338" s="97">
        <f>+Tabela1107[[#This Row],[PIS]]+Tabela1107[[#This Row],[COFINS]]+Tabela1107[[#This Row],[CONTRIB. FOLHA]]+Tabela1107[[#This Row],[TRIBUTOS S/ LUCRO]]+Tabela1107[[#This Row],[OUTROS]]+Tabela1107[[#This Row],[RS]]</f>
        <v>24.740000000000002</v>
      </c>
      <c r="BJ338" s="97">
        <f>+Tabela1107[[#This Row],[PIS]]+Tabela1107[[#This Row],[COFINS]]+Tabela1107[[#This Row],[CONTRIB. FOLHA]]+Tabela1107[[#This Row],[TRIBUTOS S/ LUCRO]]+Tabela1107[[#This Row],[OUTROS]]+Tabela1107[[#This Row],[RJ]]</f>
        <v>26.740000000000002</v>
      </c>
      <c r="BK338" s="97">
        <f>+Tabela1107[[#This Row],[PIS]]+Tabela1107[[#This Row],[COFINS]]+Tabela1107[[#This Row],[CONTRIB. FOLHA]]+Tabela1107[[#This Row],[TRIBUTOS S/ LUCRO]]+Tabela1107[[#This Row],[OUTROS]]+Tabela1107[[#This Row],[MG]]</f>
        <v>25.740000000000002</v>
      </c>
      <c r="BL338" s="97">
        <f>+Tabela1107[[#This Row],[PIS]]+Tabela1107[[#This Row],[COFINS]]+Tabela1107[[#This Row],[CONTRIB. FOLHA]]+Tabela1107[[#This Row],[TRIBUTOS S/ LUCRO]]+Tabela1107[[#This Row],[OUTROS]]+Tabela1107[[#This Row],[ES]]</f>
        <v>24.740000000000002</v>
      </c>
      <c r="BM338" s="97">
        <f>+Tabela1107[[#This Row],[PIS]]+Tabela1107[[#This Row],[COFINS]]+Tabela1107[[#This Row],[CONTRIB. FOLHA]]+Tabela1107[[#This Row],[TRIBUTOS S/ LUCRO]]+Tabela1107[[#This Row],[OUTROS]]+Tabela1107[[#This Row],[GO]]</f>
        <v>24.740000000000002</v>
      </c>
      <c r="BN338" s="97">
        <f>+Tabela1107[[#This Row],[PIS]]+Tabela1107[[#This Row],[COFINS]]+Tabela1107[[#This Row],[CONTRIB. FOLHA]]+Tabela1107[[#This Row],[TRIBUTOS S/ LUCRO]]+Tabela1107[[#This Row],[OUTROS]]+Tabela1107[[#This Row],[MT]]</f>
        <v>24.740000000000002</v>
      </c>
      <c r="BO338" s="97">
        <f>+Tabela1107[[#This Row],[PIS]]+Tabela1107[[#This Row],[COFINS]]+Tabela1107[[#This Row],[CONTRIB. FOLHA]]+Tabela1107[[#This Row],[TRIBUTOS S/ LUCRO]]+Tabela1107[[#This Row],[OUTROS]]+Tabela1107[[#This Row],[MS]]</f>
        <v>24.740000000000002</v>
      </c>
      <c r="BP338" s="97">
        <f>+Tabela1107[[#This Row],[PIS]]+Tabela1107[[#This Row],[COFINS]]+Tabela1107[[#This Row],[CONTRIB. FOLHA]]+Tabela1107[[#This Row],[TRIBUTOS S/ LUCRO]]+Tabela1107[[#This Row],[OUTROS]]+Tabela1107[[#This Row],[DF]]</f>
        <v>24.740000000000002</v>
      </c>
      <c r="BQ338" s="97">
        <f>+Tabela1107[[#This Row],[PIS]]+Tabela1107[[#This Row],[COFINS]]+Tabela1107[[#This Row],[CONTRIB. FOLHA]]+Tabela1107[[#This Row],[TRIBUTOS S/ LUCRO]]+Tabela1107[[#This Row],[OUTROS]]+Tabela1107[[#This Row],[BA]]</f>
        <v>24.740000000000002</v>
      </c>
      <c r="BR338" s="97">
        <f>+Tabela1107[[#This Row],[PIS]]+Tabela1107[[#This Row],[COFINS]]+Tabela1107[[#This Row],[CONTRIB. FOLHA]]+Tabela1107[[#This Row],[TRIBUTOS S/ LUCRO]]+Tabela1107[[#This Row],[OUTROS]]+Tabela1107[[#This Row],[BA]]</f>
        <v>24.740000000000002</v>
      </c>
      <c r="BS338" s="97">
        <f>+Tabela1107[[#This Row],[PIS]]+Tabela1107[[#This Row],[COFINS]]+Tabela1107[[#This Row],[CONTRIB. FOLHA]]+Tabela1107[[#This Row],[TRIBUTOS S/ LUCRO]]+Tabela1107[[#This Row],[OUTROS]]+Tabela1107[[#This Row],[PE]]</f>
        <v>24.740000000000002</v>
      </c>
      <c r="BT338" s="97">
        <f>+Tabela1107[[#This Row],[PIS]]+Tabela1107[[#This Row],[COFINS]]+Tabela1107[[#This Row],[CONTRIB. FOLHA]]+Tabela1107[[#This Row],[TRIBUTOS S/ LUCRO]]+Tabela1107[[#This Row],[OUTROS]]+Tabela1107[[#This Row],[PA]]</f>
        <v>24.740000000000002</v>
      </c>
      <c r="BU338" s="97">
        <f>+Tabela1107[[#This Row],[PIS]]+Tabela1107[[#This Row],[COFINS]]+Tabela1107[[#This Row],[CONTRIB. FOLHA]]+Tabela1107[[#This Row],[TRIBUTOS S/ LUCRO]]+Tabela1107[[#This Row],[OUTROS]]+Tabela1107[[#This Row],[AM]]</f>
        <v>24.740000000000002</v>
      </c>
      <c r="BV338" s="97">
        <f>AVERAGE(Tabela1107[[#This Row],[TOTAL SP]:[TOTAL AM]])</f>
        <v>24.677500000000006</v>
      </c>
      <c r="BW338" s="97"/>
      <c r="BX338" s="97"/>
    </row>
    <row r="339" spans="2:76" x14ac:dyDescent="0.25">
      <c r="B339" s="89">
        <v>17596</v>
      </c>
      <c r="C339" s="91" t="s">
        <v>13049</v>
      </c>
      <c r="D339" s="89"/>
      <c r="E339" s="89">
        <v>20140626</v>
      </c>
      <c r="F339" s="89" t="s">
        <v>20691</v>
      </c>
      <c r="G339" s="89" t="s">
        <v>20692</v>
      </c>
      <c r="H339" s="89" t="s">
        <v>20693</v>
      </c>
      <c r="I339" s="89" t="s">
        <v>20694</v>
      </c>
      <c r="J339" s="89" t="s">
        <v>482</v>
      </c>
      <c r="K339" s="99" t="s">
        <v>2543</v>
      </c>
      <c r="L339" s="89" t="s">
        <v>3192</v>
      </c>
      <c r="M339" s="89" t="s">
        <v>3170</v>
      </c>
      <c r="N339" s="89" t="s">
        <v>3193</v>
      </c>
      <c r="O339" s="89" t="s">
        <v>3177</v>
      </c>
      <c r="P339" s="89" t="s">
        <v>4496</v>
      </c>
      <c r="Q339" s="89"/>
      <c r="R339" s="89" t="s">
        <v>29</v>
      </c>
      <c r="S339" s="89" t="s">
        <v>21616</v>
      </c>
      <c r="T339" s="89" t="s">
        <v>21617</v>
      </c>
      <c r="U339" s="89" t="str">
        <f>TRIM('Carga Tributária doenças Po (2'!$L339)</f>
        <v>FLUOCINOLONA</v>
      </c>
      <c r="V339" s="89">
        <f>SUMIFS('Tabela Federal'!$E$4:$E$2069,'Tabela Federal'!$D$4:$D$2069,'Carga Tributária doenças Po (2'!$L339)</f>
        <v>0</v>
      </c>
      <c r="W339" s="89">
        <f>SUMIFS('Tabela Federal'!$E$4:$E$2069,'Tabela Federal'!$D$4:$D$2069,'Carga Tributária doenças Po (2'!$M339)</f>
        <v>2</v>
      </c>
      <c r="X339" s="89">
        <f>SUMIFS('Tabela Federal'!$E$4:$E$2069,'Tabela Federal'!$D$4:$D$2069,'Carga Tributária doenças Po (2'!$N339)</f>
        <v>0</v>
      </c>
      <c r="Y339" s="89">
        <f>SUMIFS('Tabela Federal'!$E$4:$E$2069,'Tabela Federal'!$D$4:$D$2069,'Carga Tributária doenças Po (2'!$O339)</f>
        <v>5</v>
      </c>
      <c r="Z339" s="92" t="str">
        <f>VLOOKUP('Carga Tributária doenças Po (2'!$AD339,'Carga Tributária doenças Po (2'!$CA$12:$CC$16,2,0)</f>
        <v>+</v>
      </c>
      <c r="AA339" s="89" t="s">
        <v>478</v>
      </c>
      <c r="AB339" s="89" t="s">
        <v>21819</v>
      </c>
      <c r="AC339" s="89" t="s">
        <v>21721</v>
      </c>
      <c r="AD339" s="93" t="s">
        <v>19445</v>
      </c>
      <c r="AE339" s="92" t="s">
        <v>4</v>
      </c>
      <c r="AF339" s="92" t="s">
        <v>3</v>
      </c>
      <c r="AG339" s="94">
        <v>566421</v>
      </c>
      <c r="AH339" s="95">
        <v>1305130</v>
      </c>
      <c r="AI339" s="95">
        <v>2979973.71</v>
      </c>
      <c r="AJ339" s="89" t="s">
        <v>472</v>
      </c>
      <c r="AK339" s="89">
        <f>IF('Carga Tributária doenças Po (2'!$Z339="+",0,SUMIFS(PISCOFINS!$I$3:$I$10518,PISCOFINS!$C$3:$C$10518,'Carga Tributária doenças Po (2'!$C339))</f>
        <v>0</v>
      </c>
      <c r="AL339" s="89">
        <f>IF('Carga Tributária doenças Po (2'!$Z339="+",0,SUMIFS(PISCOFINS!$H$3:$H$10518,PISCOFINS!$C$3:$C$10518,'Carga Tributária doenças Po (2'!$C339))</f>
        <v>0</v>
      </c>
      <c r="AM339" s="95">
        <v>3.27</v>
      </c>
      <c r="AN339" s="95">
        <v>3.12</v>
      </c>
      <c r="AO339" s="95">
        <v>1.35</v>
      </c>
      <c r="AP339" s="96">
        <v>18</v>
      </c>
      <c r="AQ339" s="96">
        <v>12</v>
      </c>
      <c r="AR339" s="96">
        <v>17</v>
      </c>
      <c r="AS339" s="97">
        <v>17</v>
      </c>
      <c r="AT339" s="97">
        <v>19</v>
      </c>
      <c r="AU339" s="97">
        <v>18</v>
      </c>
      <c r="AV339" s="97">
        <v>17</v>
      </c>
      <c r="AW339" s="97">
        <v>17</v>
      </c>
      <c r="AX339" s="97">
        <v>17</v>
      </c>
      <c r="AY339" s="97">
        <v>17</v>
      </c>
      <c r="AZ339" s="97">
        <v>17</v>
      </c>
      <c r="BA339" s="97">
        <v>17</v>
      </c>
      <c r="BB339" s="97">
        <v>17</v>
      </c>
      <c r="BC339" s="97">
        <v>17</v>
      </c>
      <c r="BD339" s="97">
        <v>17</v>
      </c>
      <c r="BE339" s="97">
        <v>17</v>
      </c>
      <c r="BF339" s="97">
        <f>+Tabela1107[[#This Row],[PIS]]+Tabela1107[[#This Row],[COFINS]]+Tabela1107[[#This Row],[CONTRIB. FOLHA]]+Tabela1107[[#This Row],[TRIBUTOS S/ LUCRO]]+Tabela1107[[#This Row],[OUTROS]]+Tabela1107[[#This Row],[SP]]</f>
        <v>25.740000000000002</v>
      </c>
      <c r="BG339" s="97">
        <f>+Tabela1107[[#This Row],[PIS]]+Tabela1107[[#This Row],[COFINS]]+Tabela1107[[#This Row],[CONTRIB. FOLHA]]+Tabela1107[[#This Row],[TRIBUTOS S/ LUCRO]]+Tabela1107[[#This Row],[OUTROS]]+Tabela1107[[#This Row],[PR]]</f>
        <v>19.740000000000002</v>
      </c>
      <c r="BH339" s="97">
        <f>+Tabela1107[[#This Row],[PIS]]+Tabela1107[[#This Row],[COFINS]]+Tabela1107[[#This Row],[CONTRIB. FOLHA]]+Tabela1107[[#This Row],[TRIBUTOS S/ LUCRO]]+Tabela1107[[#This Row],[OUTROS]]+Tabela1107[[#This Row],[SC]]</f>
        <v>24.740000000000002</v>
      </c>
      <c r="BI339" s="97">
        <f>+Tabela1107[[#This Row],[PIS]]+Tabela1107[[#This Row],[COFINS]]+Tabela1107[[#This Row],[CONTRIB. FOLHA]]+Tabela1107[[#This Row],[TRIBUTOS S/ LUCRO]]+Tabela1107[[#This Row],[OUTROS]]+Tabela1107[[#This Row],[RS]]</f>
        <v>24.740000000000002</v>
      </c>
      <c r="BJ339" s="97">
        <f>+Tabela1107[[#This Row],[PIS]]+Tabela1107[[#This Row],[COFINS]]+Tabela1107[[#This Row],[CONTRIB. FOLHA]]+Tabela1107[[#This Row],[TRIBUTOS S/ LUCRO]]+Tabela1107[[#This Row],[OUTROS]]+Tabela1107[[#This Row],[RJ]]</f>
        <v>26.740000000000002</v>
      </c>
      <c r="BK339" s="97">
        <f>+Tabela1107[[#This Row],[PIS]]+Tabela1107[[#This Row],[COFINS]]+Tabela1107[[#This Row],[CONTRIB. FOLHA]]+Tabela1107[[#This Row],[TRIBUTOS S/ LUCRO]]+Tabela1107[[#This Row],[OUTROS]]+Tabela1107[[#This Row],[MG]]</f>
        <v>25.740000000000002</v>
      </c>
      <c r="BL339" s="97">
        <f>+Tabela1107[[#This Row],[PIS]]+Tabela1107[[#This Row],[COFINS]]+Tabela1107[[#This Row],[CONTRIB. FOLHA]]+Tabela1107[[#This Row],[TRIBUTOS S/ LUCRO]]+Tabela1107[[#This Row],[OUTROS]]+Tabela1107[[#This Row],[ES]]</f>
        <v>24.740000000000002</v>
      </c>
      <c r="BM339" s="97">
        <f>+Tabela1107[[#This Row],[PIS]]+Tabela1107[[#This Row],[COFINS]]+Tabela1107[[#This Row],[CONTRIB. FOLHA]]+Tabela1107[[#This Row],[TRIBUTOS S/ LUCRO]]+Tabela1107[[#This Row],[OUTROS]]+Tabela1107[[#This Row],[GO]]</f>
        <v>24.740000000000002</v>
      </c>
      <c r="BN339" s="97">
        <f>+Tabela1107[[#This Row],[PIS]]+Tabela1107[[#This Row],[COFINS]]+Tabela1107[[#This Row],[CONTRIB. FOLHA]]+Tabela1107[[#This Row],[TRIBUTOS S/ LUCRO]]+Tabela1107[[#This Row],[OUTROS]]+Tabela1107[[#This Row],[MT]]</f>
        <v>24.740000000000002</v>
      </c>
      <c r="BO339" s="97">
        <f>+Tabela1107[[#This Row],[PIS]]+Tabela1107[[#This Row],[COFINS]]+Tabela1107[[#This Row],[CONTRIB. FOLHA]]+Tabela1107[[#This Row],[TRIBUTOS S/ LUCRO]]+Tabela1107[[#This Row],[OUTROS]]+Tabela1107[[#This Row],[MS]]</f>
        <v>24.740000000000002</v>
      </c>
      <c r="BP339" s="97">
        <f>+Tabela1107[[#This Row],[PIS]]+Tabela1107[[#This Row],[COFINS]]+Tabela1107[[#This Row],[CONTRIB. FOLHA]]+Tabela1107[[#This Row],[TRIBUTOS S/ LUCRO]]+Tabela1107[[#This Row],[OUTROS]]+Tabela1107[[#This Row],[DF]]</f>
        <v>24.740000000000002</v>
      </c>
      <c r="BQ339" s="97">
        <f>+Tabela1107[[#This Row],[PIS]]+Tabela1107[[#This Row],[COFINS]]+Tabela1107[[#This Row],[CONTRIB. FOLHA]]+Tabela1107[[#This Row],[TRIBUTOS S/ LUCRO]]+Tabela1107[[#This Row],[OUTROS]]+Tabela1107[[#This Row],[BA]]</f>
        <v>24.740000000000002</v>
      </c>
      <c r="BR339" s="97">
        <f>+Tabela1107[[#This Row],[PIS]]+Tabela1107[[#This Row],[COFINS]]+Tabela1107[[#This Row],[CONTRIB. FOLHA]]+Tabela1107[[#This Row],[TRIBUTOS S/ LUCRO]]+Tabela1107[[#This Row],[OUTROS]]+Tabela1107[[#This Row],[BA]]</f>
        <v>24.740000000000002</v>
      </c>
      <c r="BS339" s="97">
        <f>+Tabela1107[[#This Row],[PIS]]+Tabela1107[[#This Row],[COFINS]]+Tabela1107[[#This Row],[CONTRIB. FOLHA]]+Tabela1107[[#This Row],[TRIBUTOS S/ LUCRO]]+Tabela1107[[#This Row],[OUTROS]]+Tabela1107[[#This Row],[PE]]</f>
        <v>24.740000000000002</v>
      </c>
      <c r="BT339" s="97">
        <f>+Tabela1107[[#This Row],[PIS]]+Tabela1107[[#This Row],[COFINS]]+Tabela1107[[#This Row],[CONTRIB. FOLHA]]+Tabela1107[[#This Row],[TRIBUTOS S/ LUCRO]]+Tabela1107[[#This Row],[OUTROS]]+Tabela1107[[#This Row],[PA]]</f>
        <v>24.740000000000002</v>
      </c>
      <c r="BU339" s="97">
        <f>+Tabela1107[[#This Row],[PIS]]+Tabela1107[[#This Row],[COFINS]]+Tabela1107[[#This Row],[CONTRIB. FOLHA]]+Tabela1107[[#This Row],[TRIBUTOS S/ LUCRO]]+Tabela1107[[#This Row],[OUTROS]]+Tabela1107[[#This Row],[AM]]</f>
        <v>24.740000000000002</v>
      </c>
      <c r="BV339" s="97">
        <f>AVERAGE(Tabela1107[[#This Row],[TOTAL SP]:[TOTAL AM]])</f>
        <v>24.677500000000006</v>
      </c>
      <c r="BW339" s="97"/>
      <c r="BX339" s="97"/>
    </row>
    <row r="340" spans="2:76" x14ac:dyDescent="0.25">
      <c r="B340" s="89">
        <v>12618</v>
      </c>
      <c r="C340" s="91" t="s">
        <v>13071</v>
      </c>
      <c r="D340" s="89"/>
      <c r="E340" s="89">
        <v>20140626</v>
      </c>
      <c r="F340" s="89" t="s">
        <v>20776</v>
      </c>
      <c r="G340" s="89" t="s">
        <v>20777</v>
      </c>
      <c r="H340" s="89" t="s">
        <v>20778</v>
      </c>
      <c r="I340" s="89" t="s">
        <v>20779</v>
      </c>
      <c r="J340" s="89" t="s">
        <v>483</v>
      </c>
      <c r="K340" s="99" t="s">
        <v>2544</v>
      </c>
      <c r="L340" s="89" t="s">
        <v>3194</v>
      </c>
      <c r="M340" s="89" t="s">
        <v>4184</v>
      </c>
      <c r="N340" s="89" t="s">
        <v>4508</v>
      </c>
      <c r="O340" s="89" t="s">
        <v>4496</v>
      </c>
      <c r="P340" s="89" t="s">
        <v>4496</v>
      </c>
      <c r="Q340" s="89"/>
      <c r="R340" s="89" t="s">
        <v>290</v>
      </c>
      <c r="S340" s="89" t="s">
        <v>21620</v>
      </c>
      <c r="T340" s="89" t="s">
        <v>21621</v>
      </c>
      <c r="U340" s="89" t="str">
        <f>TRIM('Carga Tributária doenças Po (2'!$L340)</f>
        <v>HIDROCORTISONA</v>
      </c>
      <c r="V340" s="89">
        <f>SUMIFS('Tabela Federal'!$E$4:$E$2069,'Tabela Federal'!$D$4:$D$2069,'Carga Tributária doenças Po (2'!$L340)</f>
        <v>2</v>
      </c>
      <c r="W340" s="89">
        <f>SUMIFS('Tabela Federal'!$E$4:$E$2069,'Tabela Federal'!$D$4:$D$2069,'Carga Tributária doenças Po (2'!$M340)</f>
        <v>0</v>
      </c>
      <c r="X340" s="89">
        <f>SUMIFS('Tabela Federal'!$E$4:$E$2069,'Tabela Federal'!$D$4:$D$2069,'Carga Tributária doenças Po (2'!$N340)</f>
        <v>0</v>
      </c>
      <c r="Y340" s="89">
        <f>SUMIFS('Tabela Federal'!$E$4:$E$2069,'Tabela Federal'!$D$4:$D$2069,'Carga Tributária doenças Po (2'!$O340)</f>
        <v>0</v>
      </c>
      <c r="Z340" s="92" t="str">
        <f>VLOOKUP('Carga Tributária doenças Po (2'!$AD340,'Carga Tributária doenças Po (2'!$CA$12:$CC$16,2,0)</f>
        <v>+</v>
      </c>
      <c r="AA340" s="89" t="s">
        <v>478</v>
      </c>
      <c r="AB340" s="89" t="s">
        <v>21820</v>
      </c>
      <c r="AC340" s="89" t="s">
        <v>21721</v>
      </c>
      <c r="AD340" s="93" t="s">
        <v>19445</v>
      </c>
      <c r="AE340" s="92" t="s">
        <v>4</v>
      </c>
      <c r="AF340" s="92" t="s">
        <v>23</v>
      </c>
      <c r="AG340" s="94">
        <v>525396</v>
      </c>
      <c r="AH340" s="95">
        <v>1699442</v>
      </c>
      <c r="AI340" s="95">
        <v>3885338.4</v>
      </c>
      <c r="AJ340" s="89" t="s">
        <v>472</v>
      </c>
      <c r="AK340" s="89">
        <f>IF('Carga Tributária doenças Po (2'!$Z340="+",0,SUMIFS(PISCOFINS!$I$3:$I$10518,PISCOFINS!$C$3:$C$10518,'Carga Tributária doenças Po (2'!$C340))</f>
        <v>0</v>
      </c>
      <c r="AL340" s="89">
        <f>IF('Carga Tributária doenças Po (2'!$Z340="+",0,SUMIFS(PISCOFINS!$H$3:$H$10518,PISCOFINS!$C$3:$C$10518,'Carga Tributária doenças Po (2'!$C340))</f>
        <v>0</v>
      </c>
      <c r="AM340" s="95">
        <v>3.27</v>
      </c>
      <c r="AN340" s="95">
        <v>3.12</v>
      </c>
      <c r="AO340" s="95">
        <v>1.35</v>
      </c>
      <c r="AP340" s="96">
        <v>18</v>
      </c>
      <c r="AQ340" s="96">
        <v>12</v>
      </c>
      <c r="AR340" s="96">
        <v>17</v>
      </c>
      <c r="AS340" s="97">
        <v>17</v>
      </c>
      <c r="AT340" s="97">
        <v>19</v>
      </c>
      <c r="AU340" s="97">
        <v>18</v>
      </c>
      <c r="AV340" s="97">
        <v>17</v>
      </c>
      <c r="AW340" s="97">
        <v>17</v>
      </c>
      <c r="AX340" s="97">
        <v>17</v>
      </c>
      <c r="AY340" s="97">
        <v>17</v>
      </c>
      <c r="AZ340" s="97">
        <v>17</v>
      </c>
      <c r="BA340" s="97">
        <v>17</v>
      </c>
      <c r="BB340" s="97">
        <v>17</v>
      </c>
      <c r="BC340" s="97">
        <v>17</v>
      </c>
      <c r="BD340" s="97">
        <v>17</v>
      </c>
      <c r="BE340" s="97">
        <v>17</v>
      </c>
      <c r="BF340" s="97">
        <f>+Tabela1107[[#This Row],[PIS]]+Tabela1107[[#This Row],[COFINS]]+Tabela1107[[#This Row],[CONTRIB. FOLHA]]+Tabela1107[[#This Row],[TRIBUTOS S/ LUCRO]]+Tabela1107[[#This Row],[OUTROS]]+Tabela1107[[#This Row],[SP]]</f>
        <v>25.740000000000002</v>
      </c>
      <c r="BG340" s="97">
        <f>+Tabela1107[[#This Row],[PIS]]+Tabela1107[[#This Row],[COFINS]]+Tabela1107[[#This Row],[CONTRIB. FOLHA]]+Tabela1107[[#This Row],[TRIBUTOS S/ LUCRO]]+Tabela1107[[#This Row],[OUTROS]]+Tabela1107[[#This Row],[PR]]</f>
        <v>19.740000000000002</v>
      </c>
      <c r="BH340" s="97">
        <f>+Tabela1107[[#This Row],[PIS]]+Tabela1107[[#This Row],[COFINS]]+Tabela1107[[#This Row],[CONTRIB. FOLHA]]+Tabela1107[[#This Row],[TRIBUTOS S/ LUCRO]]+Tabela1107[[#This Row],[OUTROS]]+Tabela1107[[#This Row],[SC]]</f>
        <v>24.740000000000002</v>
      </c>
      <c r="BI340" s="97">
        <f>+Tabela1107[[#This Row],[PIS]]+Tabela1107[[#This Row],[COFINS]]+Tabela1107[[#This Row],[CONTRIB. FOLHA]]+Tabela1107[[#This Row],[TRIBUTOS S/ LUCRO]]+Tabela1107[[#This Row],[OUTROS]]+Tabela1107[[#This Row],[RS]]</f>
        <v>24.740000000000002</v>
      </c>
      <c r="BJ340" s="97">
        <f>+Tabela1107[[#This Row],[PIS]]+Tabela1107[[#This Row],[COFINS]]+Tabela1107[[#This Row],[CONTRIB. FOLHA]]+Tabela1107[[#This Row],[TRIBUTOS S/ LUCRO]]+Tabela1107[[#This Row],[OUTROS]]+Tabela1107[[#This Row],[RJ]]</f>
        <v>26.740000000000002</v>
      </c>
      <c r="BK340" s="97">
        <f>+Tabela1107[[#This Row],[PIS]]+Tabela1107[[#This Row],[COFINS]]+Tabela1107[[#This Row],[CONTRIB. FOLHA]]+Tabela1107[[#This Row],[TRIBUTOS S/ LUCRO]]+Tabela1107[[#This Row],[OUTROS]]+Tabela1107[[#This Row],[MG]]</f>
        <v>25.740000000000002</v>
      </c>
      <c r="BL340" s="97">
        <f>+Tabela1107[[#This Row],[PIS]]+Tabela1107[[#This Row],[COFINS]]+Tabela1107[[#This Row],[CONTRIB. FOLHA]]+Tabela1107[[#This Row],[TRIBUTOS S/ LUCRO]]+Tabela1107[[#This Row],[OUTROS]]+Tabela1107[[#This Row],[ES]]</f>
        <v>24.740000000000002</v>
      </c>
      <c r="BM340" s="97">
        <f>+Tabela1107[[#This Row],[PIS]]+Tabela1107[[#This Row],[COFINS]]+Tabela1107[[#This Row],[CONTRIB. FOLHA]]+Tabela1107[[#This Row],[TRIBUTOS S/ LUCRO]]+Tabela1107[[#This Row],[OUTROS]]+Tabela1107[[#This Row],[GO]]</f>
        <v>24.740000000000002</v>
      </c>
      <c r="BN340" s="97">
        <f>+Tabela1107[[#This Row],[PIS]]+Tabela1107[[#This Row],[COFINS]]+Tabela1107[[#This Row],[CONTRIB. FOLHA]]+Tabela1107[[#This Row],[TRIBUTOS S/ LUCRO]]+Tabela1107[[#This Row],[OUTROS]]+Tabela1107[[#This Row],[MT]]</f>
        <v>24.740000000000002</v>
      </c>
      <c r="BO340" s="97">
        <f>+Tabela1107[[#This Row],[PIS]]+Tabela1107[[#This Row],[COFINS]]+Tabela1107[[#This Row],[CONTRIB. FOLHA]]+Tabela1107[[#This Row],[TRIBUTOS S/ LUCRO]]+Tabela1107[[#This Row],[OUTROS]]+Tabela1107[[#This Row],[MS]]</f>
        <v>24.740000000000002</v>
      </c>
      <c r="BP340" s="97">
        <f>+Tabela1107[[#This Row],[PIS]]+Tabela1107[[#This Row],[COFINS]]+Tabela1107[[#This Row],[CONTRIB. FOLHA]]+Tabela1107[[#This Row],[TRIBUTOS S/ LUCRO]]+Tabela1107[[#This Row],[OUTROS]]+Tabela1107[[#This Row],[DF]]</f>
        <v>24.740000000000002</v>
      </c>
      <c r="BQ340" s="97">
        <f>+Tabela1107[[#This Row],[PIS]]+Tabela1107[[#This Row],[COFINS]]+Tabela1107[[#This Row],[CONTRIB. FOLHA]]+Tabela1107[[#This Row],[TRIBUTOS S/ LUCRO]]+Tabela1107[[#This Row],[OUTROS]]+Tabela1107[[#This Row],[BA]]</f>
        <v>24.740000000000002</v>
      </c>
      <c r="BR340" s="97">
        <f>+Tabela1107[[#This Row],[PIS]]+Tabela1107[[#This Row],[COFINS]]+Tabela1107[[#This Row],[CONTRIB. FOLHA]]+Tabela1107[[#This Row],[TRIBUTOS S/ LUCRO]]+Tabela1107[[#This Row],[OUTROS]]+Tabela1107[[#This Row],[BA]]</f>
        <v>24.740000000000002</v>
      </c>
      <c r="BS340" s="97">
        <f>+Tabela1107[[#This Row],[PIS]]+Tabela1107[[#This Row],[COFINS]]+Tabela1107[[#This Row],[CONTRIB. FOLHA]]+Tabela1107[[#This Row],[TRIBUTOS S/ LUCRO]]+Tabela1107[[#This Row],[OUTROS]]+Tabela1107[[#This Row],[PE]]</f>
        <v>24.740000000000002</v>
      </c>
      <c r="BT340" s="97">
        <f>+Tabela1107[[#This Row],[PIS]]+Tabela1107[[#This Row],[COFINS]]+Tabela1107[[#This Row],[CONTRIB. FOLHA]]+Tabela1107[[#This Row],[TRIBUTOS S/ LUCRO]]+Tabela1107[[#This Row],[OUTROS]]+Tabela1107[[#This Row],[PA]]</f>
        <v>24.740000000000002</v>
      </c>
      <c r="BU340" s="97">
        <f>+Tabela1107[[#This Row],[PIS]]+Tabela1107[[#This Row],[COFINS]]+Tabela1107[[#This Row],[CONTRIB. FOLHA]]+Tabela1107[[#This Row],[TRIBUTOS S/ LUCRO]]+Tabela1107[[#This Row],[OUTROS]]+Tabela1107[[#This Row],[AM]]</f>
        <v>24.740000000000002</v>
      </c>
      <c r="BV340" s="97">
        <f>AVERAGE(Tabela1107[[#This Row],[TOTAL SP]:[TOTAL AM]])</f>
        <v>24.677500000000006</v>
      </c>
      <c r="BW340" s="97"/>
      <c r="BX340" s="97"/>
    </row>
    <row r="341" spans="2:76" x14ac:dyDescent="0.25">
      <c r="B341" s="89">
        <v>7585</v>
      </c>
      <c r="C341" s="91" t="s">
        <v>13061</v>
      </c>
      <c r="D341" s="89"/>
      <c r="E341" s="89">
        <v>20140626</v>
      </c>
      <c r="F341" s="89" t="s">
        <v>21273</v>
      </c>
      <c r="G341" s="89" t="s">
        <v>21274</v>
      </c>
      <c r="H341" s="89" t="s">
        <v>21275</v>
      </c>
      <c r="I341" s="89" t="s">
        <v>21276</v>
      </c>
      <c r="J341" s="89" t="s">
        <v>480</v>
      </c>
      <c r="K341" s="99" t="s">
        <v>2543</v>
      </c>
      <c r="L341" s="89" t="s">
        <v>3192</v>
      </c>
      <c r="M341" s="89" t="s">
        <v>3170</v>
      </c>
      <c r="N341" s="89" t="s">
        <v>3193</v>
      </c>
      <c r="O341" s="89" t="s">
        <v>3177</v>
      </c>
      <c r="P341" s="89" t="s">
        <v>4496</v>
      </c>
      <c r="Q341" s="89"/>
      <c r="R341" s="89" t="s">
        <v>275</v>
      </c>
      <c r="S341" s="89" t="s">
        <v>21688</v>
      </c>
      <c r="T341" s="89" t="s">
        <v>21689</v>
      </c>
      <c r="U341" s="89" t="str">
        <f>TRIM('Carga Tributária doenças Po (2'!$L341)</f>
        <v>FLUOCINOLONA</v>
      </c>
      <c r="V341" s="89">
        <f>SUMIFS('Tabela Federal'!$E$4:$E$2069,'Tabela Federal'!$D$4:$D$2069,'Carga Tributária doenças Po (2'!$L341)</f>
        <v>0</v>
      </c>
      <c r="W341" s="89">
        <f>SUMIFS('Tabela Federal'!$E$4:$E$2069,'Tabela Federal'!$D$4:$D$2069,'Carga Tributária doenças Po (2'!$M341)</f>
        <v>2</v>
      </c>
      <c r="X341" s="89">
        <f>SUMIFS('Tabela Federal'!$E$4:$E$2069,'Tabela Federal'!$D$4:$D$2069,'Carga Tributária doenças Po (2'!$N341)</f>
        <v>0</v>
      </c>
      <c r="Y341" s="89">
        <f>SUMIFS('Tabela Federal'!$E$4:$E$2069,'Tabela Federal'!$D$4:$D$2069,'Carga Tributária doenças Po (2'!$O341)</f>
        <v>5</v>
      </c>
      <c r="Z341" s="92" t="str">
        <f>VLOOKUP('Carga Tributária doenças Po (2'!$AD341,'Carga Tributária doenças Po (2'!$CA$12:$CC$16,2,0)</f>
        <v>+</v>
      </c>
      <c r="AA341" s="89" t="s">
        <v>478</v>
      </c>
      <c r="AB341" s="89" t="s">
        <v>21819</v>
      </c>
      <c r="AC341" s="89" t="s">
        <v>21721</v>
      </c>
      <c r="AD341" s="93" t="s">
        <v>19445</v>
      </c>
      <c r="AE341" s="92" t="s">
        <v>4</v>
      </c>
      <c r="AF341" s="92" t="s">
        <v>23</v>
      </c>
      <c r="AG341" s="94">
        <v>613989</v>
      </c>
      <c r="AH341" s="95">
        <v>1340262</v>
      </c>
      <c r="AI341" s="95">
        <v>3049499.01</v>
      </c>
      <c r="AJ341" s="89" t="s">
        <v>472</v>
      </c>
      <c r="AK341" s="89">
        <f>IF('Carga Tributária doenças Po (2'!$Z341="+",0,SUMIFS(PISCOFINS!$I$3:$I$10518,PISCOFINS!$C$3:$C$10518,'Carga Tributária doenças Po (2'!$C341))</f>
        <v>0</v>
      </c>
      <c r="AL341" s="89">
        <f>IF('Carga Tributária doenças Po (2'!$Z341="+",0,SUMIFS(PISCOFINS!$H$3:$H$10518,PISCOFINS!$C$3:$C$10518,'Carga Tributária doenças Po (2'!$C341))</f>
        <v>0</v>
      </c>
      <c r="AM341" s="95">
        <v>3.27</v>
      </c>
      <c r="AN341" s="95">
        <v>3.12</v>
      </c>
      <c r="AO341" s="95">
        <v>1.35</v>
      </c>
      <c r="AP341" s="96">
        <v>18</v>
      </c>
      <c r="AQ341" s="96">
        <v>12</v>
      </c>
      <c r="AR341" s="96">
        <v>17</v>
      </c>
      <c r="AS341" s="97">
        <v>17</v>
      </c>
      <c r="AT341" s="97">
        <v>19</v>
      </c>
      <c r="AU341" s="97">
        <v>18</v>
      </c>
      <c r="AV341" s="97">
        <v>17</v>
      </c>
      <c r="AW341" s="97">
        <v>17</v>
      </c>
      <c r="AX341" s="97">
        <v>17</v>
      </c>
      <c r="AY341" s="97">
        <v>17</v>
      </c>
      <c r="AZ341" s="97">
        <v>17</v>
      </c>
      <c r="BA341" s="97">
        <v>17</v>
      </c>
      <c r="BB341" s="97">
        <v>17</v>
      </c>
      <c r="BC341" s="97">
        <v>17</v>
      </c>
      <c r="BD341" s="97">
        <v>17</v>
      </c>
      <c r="BE341" s="97">
        <v>17</v>
      </c>
      <c r="BF341" s="97">
        <f>+Tabela1107[[#This Row],[PIS]]+Tabela1107[[#This Row],[COFINS]]+Tabela1107[[#This Row],[CONTRIB. FOLHA]]+Tabela1107[[#This Row],[TRIBUTOS S/ LUCRO]]+Tabela1107[[#This Row],[OUTROS]]+Tabela1107[[#This Row],[SP]]</f>
        <v>25.740000000000002</v>
      </c>
      <c r="BG341" s="97">
        <f>+Tabela1107[[#This Row],[PIS]]+Tabela1107[[#This Row],[COFINS]]+Tabela1107[[#This Row],[CONTRIB. FOLHA]]+Tabela1107[[#This Row],[TRIBUTOS S/ LUCRO]]+Tabela1107[[#This Row],[OUTROS]]+Tabela1107[[#This Row],[PR]]</f>
        <v>19.740000000000002</v>
      </c>
      <c r="BH341" s="97">
        <f>+Tabela1107[[#This Row],[PIS]]+Tabela1107[[#This Row],[COFINS]]+Tabela1107[[#This Row],[CONTRIB. FOLHA]]+Tabela1107[[#This Row],[TRIBUTOS S/ LUCRO]]+Tabela1107[[#This Row],[OUTROS]]+Tabela1107[[#This Row],[SC]]</f>
        <v>24.740000000000002</v>
      </c>
      <c r="BI341" s="97">
        <f>+Tabela1107[[#This Row],[PIS]]+Tabela1107[[#This Row],[COFINS]]+Tabela1107[[#This Row],[CONTRIB. FOLHA]]+Tabela1107[[#This Row],[TRIBUTOS S/ LUCRO]]+Tabela1107[[#This Row],[OUTROS]]+Tabela1107[[#This Row],[RS]]</f>
        <v>24.740000000000002</v>
      </c>
      <c r="BJ341" s="97">
        <f>+Tabela1107[[#This Row],[PIS]]+Tabela1107[[#This Row],[COFINS]]+Tabela1107[[#This Row],[CONTRIB. FOLHA]]+Tabela1107[[#This Row],[TRIBUTOS S/ LUCRO]]+Tabela1107[[#This Row],[OUTROS]]+Tabela1107[[#This Row],[RJ]]</f>
        <v>26.740000000000002</v>
      </c>
      <c r="BK341" s="97">
        <f>+Tabela1107[[#This Row],[PIS]]+Tabela1107[[#This Row],[COFINS]]+Tabela1107[[#This Row],[CONTRIB. FOLHA]]+Tabela1107[[#This Row],[TRIBUTOS S/ LUCRO]]+Tabela1107[[#This Row],[OUTROS]]+Tabela1107[[#This Row],[MG]]</f>
        <v>25.740000000000002</v>
      </c>
      <c r="BL341" s="97">
        <f>+Tabela1107[[#This Row],[PIS]]+Tabela1107[[#This Row],[COFINS]]+Tabela1107[[#This Row],[CONTRIB. FOLHA]]+Tabela1107[[#This Row],[TRIBUTOS S/ LUCRO]]+Tabela1107[[#This Row],[OUTROS]]+Tabela1107[[#This Row],[ES]]</f>
        <v>24.740000000000002</v>
      </c>
      <c r="BM341" s="97">
        <f>+Tabela1107[[#This Row],[PIS]]+Tabela1107[[#This Row],[COFINS]]+Tabela1107[[#This Row],[CONTRIB. FOLHA]]+Tabela1107[[#This Row],[TRIBUTOS S/ LUCRO]]+Tabela1107[[#This Row],[OUTROS]]+Tabela1107[[#This Row],[GO]]</f>
        <v>24.740000000000002</v>
      </c>
      <c r="BN341" s="97">
        <f>+Tabela1107[[#This Row],[PIS]]+Tabela1107[[#This Row],[COFINS]]+Tabela1107[[#This Row],[CONTRIB. FOLHA]]+Tabela1107[[#This Row],[TRIBUTOS S/ LUCRO]]+Tabela1107[[#This Row],[OUTROS]]+Tabela1107[[#This Row],[MT]]</f>
        <v>24.740000000000002</v>
      </c>
      <c r="BO341" s="97">
        <f>+Tabela1107[[#This Row],[PIS]]+Tabela1107[[#This Row],[COFINS]]+Tabela1107[[#This Row],[CONTRIB. FOLHA]]+Tabela1107[[#This Row],[TRIBUTOS S/ LUCRO]]+Tabela1107[[#This Row],[OUTROS]]+Tabela1107[[#This Row],[MS]]</f>
        <v>24.740000000000002</v>
      </c>
      <c r="BP341" s="97">
        <f>+Tabela1107[[#This Row],[PIS]]+Tabela1107[[#This Row],[COFINS]]+Tabela1107[[#This Row],[CONTRIB. FOLHA]]+Tabela1107[[#This Row],[TRIBUTOS S/ LUCRO]]+Tabela1107[[#This Row],[OUTROS]]+Tabela1107[[#This Row],[DF]]</f>
        <v>24.740000000000002</v>
      </c>
      <c r="BQ341" s="97">
        <f>+Tabela1107[[#This Row],[PIS]]+Tabela1107[[#This Row],[COFINS]]+Tabela1107[[#This Row],[CONTRIB. FOLHA]]+Tabela1107[[#This Row],[TRIBUTOS S/ LUCRO]]+Tabela1107[[#This Row],[OUTROS]]+Tabela1107[[#This Row],[BA]]</f>
        <v>24.740000000000002</v>
      </c>
      <c r="BR341" s="97">
        <f>+Tabela1107[[#This Row],[PIS]]+Tabela1107[[#This Row],[COFINS]]+Tabela1107[[#This Row],[CONTRIB. FOLHA]]+Tabela1107[[#This Row],[TRIBUTOS S/ LUCRO]]+Tabela1107[[#This Row],[OUTROS]]+Tabela1107[[#This Row],[BA]]</f>
        <v>24.740000000000002</v>
      </c>
      <c r="BS341" s="97">
        <f>+Tabela1107[[#This Row],[PIS]]+Tabela1107[[#This Row],[COFINS]]+Tabela1107[[#This Row],[CONTRIB. FOLHA]]+Tabela1107[[#This Row],[TRIBUTOS S/ LUCRO]]+Tabela1107[[#This Row],[OUTROS]]+Tabela1107[[#This Row],[PE]]</f>
        <v>24.740000000000002</v>
      </c>
      <c r="BT341" s="97">
        <f>+Tabela1107[[#This Row],[PIS]]+Tabela1107[[#This Row],[COFINS]]+Tabela1107[[#This Row],[CONTRIB. FOLHA]]+Tabela1107[[#This Row],[TRIBUTOS S/ LUCRO]]+Tabela1107[[#This Row],[OUTROS]]+Tabela1107[[#This Row],[PA]]</f>
        <v>24.740000000000002</v>
      </c>
      <c r="BU341" s="97">
        <f>+Tabela1107[[#This Row],[PIS]]+Tabela1107[[#This Row],[COFINS]]+Tabela1107[[#This Row],[CONTRIB. FOLHA]]+Tabela1107[[#This Row],[TRIBUTOS S/ LUCRO]]+Tabela1107[[#This Row],[OUTROS]]+Tabela1107[[#This Row],[AM]]</f>
        <v>24.740000000000002</v>
      </c>
      <c r="BV341" s="97">
        <f>AVERAGE(Tabela1107[[#This Row],[TOTAL SP]:[TOTAL AM]])</f>
        <v>24.677500000000006</v>
      </c>
      <c r="BW341" s="97"/>
      <c r="BX341" s="97"/>
    </row>
    <row r="342" spans="2:76" x14ac:dyDescent="0.25">
      <c r="B342" s="89">
        <v>11361</v>
      </c>
      <c r="C342" s="91" t="s">
        <v>12927</v>
      </c>
      <c r="D342" s="89"/>
      <c r="E342" s="89">
        <v>20140626</v>
      </c>
      <c r="F342" s="89" t="s">
        <v>20435</v>
      </c>
      <c r="G342" s="89" t="s">
        <v>20436</v>
      </c>
      <c r="H342" s="89" t="s">
        <v>20437</v>
      </c>
      <c r="I342" s="89" t="s">
        <v>20438</v>
      </c>
      <c r="J342" s="89" t="s">
        <v>481</v>
      </c>
      <c r="K342" s="100" t="s">
        <v>2542</v>
      </c>
      <c r="L342" s="89" t="s">
        <v>3195</v>
      </c>
      <c r="M342" s="89" t="s">
        <v>3177</v>
      </c>
      <c r="N342" s="89" t="s">
        <v>3170</v>
      </c>
      <c r="O342" s="89" t="s">
        <v>4496</v>
      </c>
      <c r="P342" s="89" t="s">
        <v>4496</v>
      </c>
      <c r="Q342" s="89"/>
      <c r="R342" s="89" t="s">
        <v>109</v>
      </c>
      <c r="S342" s="89" t="s">
        <v>21578</v>
      </c>
      <c r="T342" s="89" t="s">
        <v>21579</v>
      </c>
      <c r="U342" s="89" t="str">
        <f>TRIM('Carga Tributária doenças Po (2'!$L342)</f>
        <v>HIALURONIDASE</v>
      </c>
      <c r="V342" s="89">
        <f>SUMIFS('Tabela Federal'!$E$4:$E$2069,'Tabela Federal'!$D$4:$D$2069,'Carga Tributária doenças Po (2'!$L342)</f>
        <v>3</v>
      </c>
      <c r="W342" s="89">
        <f>SUMIFS('Tabela Federal'!$E$4:$E$2069,'Tabela Federal'!$D$4:$D$2069,'Carga Tributária doenças Po (2'!$M342)</f>
        <v>5</v>
      </c>
      <c r="X342" s="89">
        <f>SUMIFS('Tabela Federal'!$E$4:$E$2069,'Tabela Federal'!$D$4:$D$2069,'Carga Tributária doenças Po (2'!$N342)</f>
        <v>2</v>
      </c>
      <c r="Y342" s="89">
        <f>SUMIFS('Tabela Federal'!$E$4:$E$2069,'Tabela Federal'!$D$4:$D$2069,'Carga Tributária doenças Po (2'!$O342)</f>
        <v>0</v>
      </c>
      <c r="Z342" s="92" t="str">
        <f>VLOOKUP('Carga Tributária doenças Po (2'!$AD342,'Carga Tributária doenças Po (2'!$CA$12:$CC$16,2,0)</f>
        <v>-</v>
      </c>
      <c r="AA342" s="89" t="s">
        <v>476</v>
      </c>
      <c r="AB342" s="89" t="s">
        <v>21814</v>
      </c>
      <c r="AC342" s="89" t="s">
        <v>21721</v>
      </c>
      <c r="AD342" s="93" t="s">
        <v>19523</v>
      </c>
      <c r="AE342" s="92" t="s">
        <v>4</v>
      </c>
      <c r="AF342" s="92" t="s">
        <v>23</v>
      </c>
      <c r="AG342" s="94">
        <v>591158</v>
      </c>
      <c r="AH342" s="95">
        <v>3077048</v>
      </c>
      <c r="AI342" s="95">
        <v>7037177.8099999996</v>
      </c>
      <c r="AJ342" s="89" t="s">
        <v>472</v>
      </c>
      <c r="AK342" s="89">
        <f>IF('Carga Tributária doenças Po (2'!$Z342="+",0,SUMIFS(PISCOFINS!$I$3:$I$10518,PISCOFINS!$C$3:$C$10518,'Carga Tributária doenças Po (2'!$C342))</f>
        <v>2.1</v>
      </c>
      <c r="AL342" s="89">
        <f>IF('Carga Tributária doenças Po (2'!$Z342="+",0,SUMIFS(PISCOFINS!$H$3:$H$10518,PISCOFINS!$C$3:$C$10518,'Carga Tributária doenças Po (2'!$C342))</f>
        <v>9.9</v>
      </c>
      <c r="AM342" s="95">
        <v>3.27</v>
      </c>
      <c r="AN342" s="95">
        <v>3.12</v>
      </c>
      <c r="AO342" s="95">
        <v>1.35</v>
      </c>
      <c r="AP342" s="96">
        <v>18</v>
      </c>
      <c r="AQ342" s="96">
        <v>12</v>
      </c>
      <c r="AR342" s="96">
        <v>17</v>
      </c>
      <c r="AS342" s="97">
        <v>17</v>
      </c>
      <c r="AT342" s="97">
        <v>19</v>
      </c>
      <c r="AU342" s="97">
        <v>18</v>
      </c>
      <c r="AV342" s="97">
        <v>17</v>
      </c>
      <c r="AW342" s="97">
        <v>17</v>
      </c>
      <c r="AX342" s="97">
        <v>17</v>
      </c>
      <c r="AY342" s="97">
        <v>17</v>
      </c>
      <c r="AZ342" s="97">
        <v>17</v>
      </c>
      <c r="BA342" s="97">
        <v>17</v>
      </c>
      <c r="BB342" s="97">
        <v>17</v>
      </c>
      <c r="BC342" s="97">
        <v>17</v>
      </c>
      <c r="BD342" s="97">
        <v>17</v>
      </c>
      <c r="BE342" s="97">
        <v>17</v>
      </c>
      <c r="BF342" s="97">
        <f>+Tabela1107[[#This Row],[PIS]]+Tabela1107[[#This Row],[COFINS]]+Tabela1107[[#This Row],[CONTRIB. FOLHA]]+Tabela1107[[#This Row],[TRIBUTOS S/ LUCRO]]+Tabela1107[[#This Row],[OUTROS]]+Tabela1107[[#This Row],[SP]]</f>
        <v>37.74</v>
      </c>
      <c r="BG342" s="97">
        <f>+Tabela1107[[#This Row],[PIS]]+Tabela1107[[#This Row],[COFINS]]+Tabela1107[[#This Row],[CONTRIB. FOLHA]]+Tabela1107[[#This Row],[TRIBUTOS S/ LUCRO]]+Tabela1107[[#This Row],[OUTROS]]+Tabela1107[[#This Row],[PR]]</f>
        <v>31.740000000000002</v>
      </c>
      <c r="BH342" s="97">
        <f>+Tabela1107[[#This Row],[PIS]]+Tabela1107[[#This Row],[COFINS]]+Tabela1107[[#This Row],[CONTRIB. FOLHA]]+Tabela1107[[#This Row],[TRIBUTOS S/ LUCRO]]+Tabela1107[[#This Row],[OUTROS]]+Tabela1107[[#This Row],[SC]]</f>
        <v>36.74</v>
      </c>
      <c r="BI342" s="97">
        <f>+Tabela1107[[#This Row],[PIS]]+Tabela1107[[#This Row],[COFINS]]+Tabela1107[[#This Row],[CONTRIB. FOLHA]]+Tabela1107[[#This Row],[TRIBUTOS S/ LUCRO]]+Tabela1107[[#This Row],[OUTROS]]+Tabela1107[[#This Row],[RS]]</f>
        <v>36.74</v>
      </c>
      <c r="BJ342" s="97">
        <f>+Tabela1107[[#This Row],[PIS]]+Tabela1107[[#This Row],[COFINS]]+Tabela1107[[#This Row],[CONTRIB. FOLHA]]+Tabela1107[[#This Row],[TRIBUTOS S/ LUCRO]]+Tabela1107[[#This Row],[OUTROS]]+Tabela1107[[#This Row],[RJ]]</f>
        <v>38.74</v>
      </c>
      <c r="BK342" s="97">
        <f>+Tabela1107[[#This Row],[PIS]]+Tabela1107[[#This Row],[COFINS]]+Tabela1107[[#This Row],[CONTRIB. FOLHA]]+Tabela1107[[#This Row],[TRIBUTOS S/ LUCRO]]+Tabela1107[[#This Row],[OUTROS]]+Tabela1107[[#This Row],[MG]]</f>
        <v>37.74</v>
      </c>
      <c r="BL342" s="97">
        <f>+Tabela1107[[#This Row],[PIS]]+Tabela1107[[#This Row],[COFINS]]+Tabela1107[[#This Row],[CONTRIB. FOLHA]]+Tabela1107[[#This Row],[TRIBUTOS S/ LUCRO]]+Tabela1107[[#This Row],[OUTROS]]+Tabela1107[[#This Row],[ES]]</f>
        <v>36.74</v>
      </c>
      <c r="BM342" s="97">
        <f>+Tabela1107[[#This Row],[PIS]]+Tabela1107[[#This Row],[COFINS]]+Tabela1107[[#This Row],[CONTRIB. FOLHA]]+Tabela1107[[#This Row],[TRIBUTOS S/ LUCRO]]+Tabela1107[[#This Row],[OUTROS]]+Tabela1107[[#This Row],[GO]]</f>
        <v>36.74</v>
      </c>
      <c r="BN342" s="97">
        <f>+Tabela1107[[#This Row],[PIS]]+Tabela1107[[#This Row],[COFINS]]+Tabela1107[[#This Row],[CONTRIB. FOLHA]]+Tabela1107[[#This Row],[TRIBUTOS S/ LUCRO]]+Tabela1107[[#This Row],[OUTROS]]+Tabela1107[[#This Row],[MT]]</f>
        <v>36.74</v>
      </c>
      <c r="BO342" s="97">
        <f>+Tabela1107[[#This Row],[PIS]]+Tabela1107[[#This Row],[COFINS]]+Tabela1107[[#This Row],[CONTRIB. FOLHA]]+Tabela1107[[#This Row],[TRIBUTOS S/ LUCRO]]+Tabela1107[[#This Row],[OUTROS]]+Tabela1107[[#This Row],[MS]]</f>
        <v>36.74</v>
      </c>
      <c r="BP342" s="97">
        <f>+Tabela1107[[#This Row],[PIS]]+Tabela1107[[#This Row],[COFINS]]+Tabela1107[[#This Row],[CONTRIB. FOLHA]]+Tabela1107[[#This Row],[TRIBUTOS S/ LUCRO]]+Tabela1107[[#This Row],[OUTROS]]+Tabela1107[[#This Row],[DF]]</f>
        <v>36.74</v>
      </c>
      <c r="BQ342" s="97">
        <f>+Tabela1107[[#This Row],[PIS]]+Tabela1107[[#This Row],[COFINS]]+Tabela1107[[#This Row],[CONTRIB. FOLHA]]+Tabela1107[[#This Row],[TRIBUTOS S/ LUCRO]]+Tabela1107[[#This Row],[OUTROS]]+Tabela1107[[#This Row],[BA]]</f>
        <v>36.74</v>
      </c>
      <c r="BR342" s="97">
        <f>+Tabela1107[[#This Row],[PIS]]+Tabela1107[[#This Row],[COFINS]]+Tabela1107[[#This Row],[CONTRIB. FOLHA]]+Tabela1107[[#This Row],[TRIBUTOS S/ LUCRO]]+Tabela1107[[#This Row],[OUTROS]]+Tabela1107[[#This Row],[BA]]</f>
        <v>36.74</v>
      </c>
      <c r="BS342" s="97">
        <f>+Tabela1107[[#This Row],[PIS]]+Tabela1107[[#This Row],[COFINS]]+Tabela1107[[#This Row],[CONTRIB. FOLHA]]+Tabela1107[[#This Row],[TRIBUTOS S/ LUCRO]]+Tabela1107[[#This Row],[OUTROS]]+Tabela1107[[#This Row],[PE]]</f>
        <v>36.74</v>
      </c>
      <c r="BT342" s="97">
        <f>+Tabela1107[[#This Row],[PIS]]+Tabela1107[[#This Row],[COFINS]]+Tabela1107[[#This Row],[CONTRIB. FOLHA]]+Tabela1107[[#This Row],[TRIBUTOS S/ LUCRO]]+Tabela1107[[#This Row],[OUTROS]]+Tabela1107[[#This Row],[PA]]</f>
        <v>36.74</v>
      </c>
      <c r="BU342" s="97">
        <f>+Tabela1107[[#This Row],[PIS]]+Tabela1107[[#This Row],[COFINS]]+Tabela1107[[#This Row],[CONTRIB. FOLHA]]+Tabela1107[[#This Row],[TRIBUTOS S/ LUCRO]]+Tabela1107[[#This Row],[OUTROS]]+Tabela1107[[#This Row],[AM]]</f>
        <v>36.74</v>
      </c>
      <c r="BV342" s="97">
        <f>AVERAGE(Tabela1107[[#This Row],[TOTAL SP]:[TOTAL AM]])</f>
        <v>36.677500000000002</v>
      </c>
      <c r="BW342" s="97"/>
      <c r="BX342" s="97"/>
    </row>
    <row r="343" spans="2:76" x14ac:dyDescent="0.25">
      <c r="B343" s="89">
        <v>12984</v>
      </c>
      <c r="C343" s="91" t="s">
        <v>13071</v>
      </c>
      <c r="D343" s="89"/>
      <c r="E343" s="89">
        <v>20140626</v>
      </c>
      <c r="F343" s="89" t="s">
        <v>21164</v>
      </c>
      <c r="G343" s="89" t="s">
        <v>21165</v>
      </c>
      <c r="H343" s="89" t="s">
        <v>21166</v>
      </c>
      <c r="I343" s="89" t="s">
        <v>21167</v>
      </c>
      <c r="J343" s="89" t="s">
        <v>475</v>
      </c>
      <c r="K343" s="99" t="s">
        <v>2541</v>
      </c>
      <c r="L343" s="89" t="s">
        <v>3196</v>
      </c>
      <c r="M343" s="89" t="s">
        <v>3177</v>
      </c>
      <c r="N343" s="89" t="s">
        <v>4496</v>
      </c>
      <c r="O343" s="89" t="s">
        <v>4496</v>
      </c>
      <c r="P343" s="89" t="s">
        <v>4496</v>
      </c>
      <c r="Q343" s="89"/>
      <c r="R343" s="89" t="s">
        <v>34</v>
      </c>
      <c r="S343" s="89" t="s">
        <v>21670</v>
      </c>
      <c r="T343" s="89" t="s">
        <v>21671</v>
      </c>
      <c r="U343" s="89" t="str">
        <f>TRIM('Carga Tributária doenças Po (2'!$L343)</f>
        <v>CLORANFENICOL</v>
      </c>
      <c r="V343" s="89">
        <f>SUMIFS('Tabela Federal'!$E$4:$E$2069,'Tabela Federal'!$D$4:$D$2069,'Carga Tributária doenças Po (2'!$L343)</f>
        <v>11</v>
      </c>
      <c r="W343" s="89">
        <f>SUMIFS('Tabela Federal'!$E$4:$E$2069,'Tabela Federal'!$D$4:$D$2069,'Carga Tributária doenças Po (2'!$M343)</f>
        <v>5</v>
      </c>
      <c r="X343" s="89">
        <f>SUMIFS('Tabela Federal'!$E$4:$E$2069,'Tabela Federal'!$D$4:$D$2069,'Carga Tributária doenças Po (2'!$N343)</f>
        <v>0</v>
      </c>
      <c r="Y343" s="89">
        <f>SUMIFS('Tabela Federal'!$E$4:$E$2069,'Tabela Federal'!$D$4:$D$2069,'Carga Tributária doenças Po (2'!$O343)</f>
        <v>0</v>
      </c>
      <c r="Z343" s="92" t="str">
        <f>VLOOKUP('Carga Tributária doenças Po (2'!$AD343,'Carga Tributária doenças Po (2'!$CA$12:$CC$16,2,0)</f>
        <v>+</v>
      </c>
      <c r="AA343" s="89" t="s">
        <v>476</v>
      </c>
      <c r="AB343" s="89" t="s">
        <v>21815</v>
      </c>
      <c r="AC343" s="89" t="s">
        <v>21721</v>
      </c>
      <c r="AD343" s="93" t="s">
        <v>19445</v>
      </c>
      <c r="AE343" s="92" t="s">
        <v>4</v>
      </c>
      <c r="AF343" s="92" t="s">
        <v>3</v>
      </c>
      <c r="AG343" s="94">
        <v>1167706</v>
      </c>
      <c r="AH343" s="95">
        <v>3059488</v>
      </c>
      <c r="AI343" s="95">
        <v>6985127.0899999999</v>
      </c>
      <c r="AJ343" s="89" t="s">
        <v>472</v>
      </c>
      <c r="AK343" s="89">
        <f>IF('Carga Tributária doenças Po (2'!$Z343="+",0,SUMIFS(PISCOFINS!$I$3:$I$10518,PISCOFINS!$C$3:$C$10518,'Carga Tributária doenças Po (2'!$C343))</f>
        <v>0</v>
      </c>
      <c r="AL343" s="89">
        <f>IF('Carga Tributária doenças Po (2'!$Z343="+",0,SUMIFS(PISCOFINS!$H$3:$H$10518,PISCOFINS!$C$3:$C$10518,'Carga Tributária doenças Po (2'!$C343))</f>
        <v>0</v>
      </c>
      <c r="AM343" s="95">
        <v>3.27</v>
      </c>
      <c r="AN343" s="95">
        <v>3.12</v>
      </c>
      <c r="AO343" s="95">
        <v>1.35</v>
      </c>
      <c r="AP343" s="96">
        <v>18</v>
      </c>
      <c r="AQ343" s="96">
        <v>12</v>
      </c>
      <c r="AR343" s="96">
        <v>17</v>
      </c>
      <c r="AS343" s="97">
        <v>17</v>
      </c>
      <c r="AT343" s="97">
        <v>19</v>
      </c>
      <c r="AU343" s="97">
        <v>18</v>
      </c>
      <c r="AV343" s="97">
        <v>17</v>
      </c>
      <c r="AW343" s="97">
        <v>17</v>
      </c>
      <c r="AX343" s="97">
        <v>17</v>
      </c>
      <c r="AY343" s="97">
        <v>17</v>
      </c>
      <c r="AZ343" s="97">
        <v>17</v>
      </c>
      <c r="BA343" s="97">
        <v>17</v>
      </c>
      <c r="BB343" s="97">
        <v>17</v>
      </c>
      <c r="BC343" s="97">
        <v>17</v>
      </c>
      <c r="BD343" s="97">
        <v>17</v>
      </c>
      <c r="BE343" s="97">
        <v>17</v>
      </c>
      <c r="BF343" s="97">
        <f>+Tabela1107[[#This Row],[PIS]]+Tabela1107[[#This Row],[COFINS]]+Tabela1107[[#This Row],[CONTRIB. FOLHA]]+Tabela1107[[#This Row],[TRIBUTOS S/ LUCRO]]+Tabela1107[[#This Row],[OUTROS]]+Tabela1107[[#This Row],[SP]]</f>
        <v>25.740000000000002</v>
      </c>
      <c r="BG343" s="97">
        <f>+Tabela1107[[#This Row],[PIS]]+Tabela1107[[#This Row],[COFINS]]+Tabela1107[[#This Row],[CONTRIB. FOLHA]]+Tabela1107[[#This Row],[TRIBUTOS S/ LUCRO]]+Tabela1107[[#This Row],[OUTROS]]+Tabela1107[[#This Row],[PR]]</f>
        <v>19.740000000000002</v>
      </c>
      <c r="BH343" s="97">
        <f>+Tabela1107[[#This Row],[PIS]]+Tabela1107[[#This Row],[COFINS]]+Tabela1107[[#This Row],[CONTRIB. FOLHA]]+Tabela1107[[#This Row],[TRIBUTOS S/ LUCRO]]+Tabela1107[[#This Row],[OUTROS]]+Tabela1107[[#This Row],[SC]]</f>
        <v>24.740000000000002</v>
      </c>
      <c r="BI343" s="97">
        <f>+Tabela1107[[#This Row],[PIS]]+Tabela1107[[#This Row],[COFINS]]+Tabela1107[[#This Row],[CONTRIB. FOLHA]]+Tabela1107[[#This Row],[TRIBUTOS S/ LUCRO]]+Tabela1107[[#This Row],[OUTROS]]+Tabela1107[[#This Row],[RS]]</f>
        <v>24.740000000000002</v>
      </c>
      <c r="BJ343" s="97">
        <f>+Tabela1107[[#This Row],[PIS]]+Tabela1107[[#This Row],[COFINS]]+Tabela1107[[#This Row],[CONTRIB. FOLHA]]+Tabela1107[[#This Row],[TRIBUTOS S/ LUCRO]]+Tabela1107[[#This Row],[OUTROS]]+Tabela1107[[#This Row],[RJ]]</f>
        <v>26.740000000000002</v>
      </c>
      <c r="BK343" s="97">
        <f>+Tabela1107[[#This Row],[PIS]]+Tabela1107[[#This Row],[COFINS]]+Tabela1107[[#This Row],[CONTRIB. FOLHA]]+Tabela1107[[#This Row],[TRIBUTOS S/ LUCRO]]+Tabela1107[[#This Row],[OUTROS]]+Tabela1107[[#This Row],[MG]]</f>
        <v>25.740000000000002</v>
      </c>
      <c r="BL343" s="97">
        <f>+Tabela1107[[#This Row],[PIS]]+Tabela1107[[#This Row],[COFINS]]+Tabela1107[[#This Row],[CONTRIB. FOLHA]]+Tabela1107[[#This Row],[TRIBUTOS S/ LUCRO]]+Tabela1107[[#This Row],[OUTROS]]+Tabela1107[[#This Row],[ES]]</f>
        <v>24.740000000000002</v>
      </c>
      <c r="BM343" s="97">
        <f>+Tabela1107[[#This Row],[PIS]]+Tabela1107[[#This Row],[COFINS]]+Tabela1107[[#This Row],[CONTRIB. FOLHA]]+Tabela1107[[#This Row],[TRIBUTOS S/ LUCRO]]+Tabela1107[[#This Row],[OUTROS]]+Tabela1107[[#This Row],[GO]]</f>
        <v>24.740000000000002</v>
      </c>
      <c r="BN343" s="97">
        <f>+Tabela1107[[#This Row],[PIS]]+Tabela1107[[#This Row],[COFINS]]+Tabela1107[[#This Row],[CONTRIB. FOLHA]]+Tabela1107[[#This Row],[TRIBUTOS S/ LUCRO]]+Tabela1107[[#This Row],[OUTROS]]+Tabela1107[[#This Row],[MT]]</f>
        <v>24.740000000000002</v>
      </c>
      <c r="BO343" s="97">
        <f>+Tabela1107[[#This Row],[PIS]]+Tabela1107[[#This Row],[COFINS]]+Tabela1107[[#This Row],[CONTRIB. FOLHA]]+Tabela1107[[#This Row],[TRIBUTOS S/ LUCRO]]+Tabela1107[[#This Row],[OUTROS]]+Tabela1107[[#This Row],[MS]]</f>
        <v>24.740000000000002</v>
      </c>
      <c r="BP343" s="97">
        <f>+Tabela1107[[#This Row],[PIS]]+Tabela1107[[#This Row],[COFINS]]+Tabela1107[[#This Row],[CONTRIB. FOLHA]]+Tabela1107[[#This Row],[TRIBUTOS S/ LUCRO]]+Tabela1107[[#This Row],[OUTROS]]+Tabela1107[[#This Row],[DF]]</f>
        <v>24.740000000000002</v>
      </c>
      <c r="BQ343" s="97">
        <f>+Tabela1107[[#This Row],[PIS]]+Tabela1107[[#This Row],[COFINS]]+Tabela1107[[#This Row],[CONTRIB. FOLHA]]+Tabela1107[[#This Row],[TRIBUTOS S/ LUCRO]]+Tabela1107[[#This Row],[OUTROS]]+Tabela1107[[#This Row],[BA]]</f>
        <v>24.740000000000002</v>
      </c>
      <c r="BR343" s="97">
        <f>+Tabela1107[[#This Row],[PIS]]+Tabela1107[[#This Row],[COFINS]]+Tabela1107[[#This Row],[CONTRIB. FOLHA]]+Tabela1107[[#This Row],[TRIBUTOS S/ LUCRO]]+Tabela1107[[#This Row],[OUTROS]]+Tabela1107[[#This Row],[BA]]</f>
        <v>24.740000000000002</v>
      </c>
      <c r="BS343" s="97">
        <f>+Tabela1107[[#This Row],[PIS]]+Tabela1107[[#This Row],[COFINS]]+Tabela1107[[#This Row],[CONTRIB. FOLHA]]+Tabela1107[[#This Row],[TRIBUTOS S/ LUCRO]]+Tabela1107[[#This Row],[OUTROS]]+Tabela1107[[#This Row],[PE]]</f>
        <v>24.740000000000002</v>
      </c>
      <c r="BT343" s="97">
        <f>+Tabela1107[[#This Row],[PIS]]+Tabela1107[[#This Row],[COFINS]]+Tabela1107[[#This Row],[CONTRIB. FOLHA]]+Tabela1107[[#This Row],[TRIBUTOS S/ LUCRO]]+Tabela1107[[#This Row],[OUTROS]]+Tabela1107[[#This Row],[PA]]</f>
        <v>24.740000000000002</v>
      </c>
      <c r="BU343" s="97">
        <f>+Tabela1107[[#This Row],[PIS]]+Tabela1107[[#This Row],[COFINS]]+Tabela1107[[#This Row],[CONTRIB. FOLHA]]+Tabela1107[[#This Row],[TRIBUTOS S/ LUCRO]]+Tabela1107[[#This Row],[OUTROS]]+Tabela1107[[#This Row],[AM]]</f>
        <v>24.740000000000002</v>
      </c>
      <c r="BV343" s="97">
        <f>AVERAGE(Tabela1107[[#This Row],[TOTAL SP]:[TOTAL AM]])</f>
        <v>24.677500000000006</v>
      </c>
      <c r="BW343" s="97"/>
      <c r="BX343" s="97"/>
    </row>
    <row r="344" spans="2:76" x14ac:dyDescent="0.25">
      <c r="B344" s="89">
        <v>1208</v>
      </c>
      <c r="C344" s="106" t="s">
        <v>13147</v>
      </c>
      <c r="D344" s="89"/>
      <c r="E344" s="89">
        <v>20140626</v>
      </c>
      <c r="F344" s="89" t="s">
        <v>21501</v>
      </c>
      <c r="G344" s="89" t="s">
        <v>21502</v>
      </c>
      <c r="H344" s="89" t="s">
        <v>21503</v>
      </c>
      <c r="I344" s="89" t="s">
        <v>2632</v>
      </c>
      <c r="J344" s="89" t="s">
        <v>155</v>
      </c>
      <c r="K344" s="99" t="s">
        <v>2495</v>
      </c>
      <c r="L344" s="89" t="s">
        <v>2632</v>
      </c>
      <c r="M344" s="89" t="s">
        <v>4496</v>
      </c>
      <c r="N344" s="89" t="s">
        <v>4496</v>
      </c>
      <c r="O344" s="89" t="s">
        <v>4496</v>
      </c>
      <c r="P344" s="89" t="s">
        <v>4496</v>
      </c>
      <c r="Q344" s="89"/>
      <c r="R344" s="89" t="s">
        <v>64</v>
      </c>
      <c r="S344" s="89" t="s">
        <v>21698</v>
      </c>
      <c r="T344" s="89" t="s">
        <v>21699</v>
      </c>
      <c r="U344" s="89" t="str">
        <f>TRIM('Carga Tributária doenças Po (2'!$L344)</f>
        <v>PARACETAMOL</v>
      </c>
      <c r="V344" s="89">
        <f>SUMIFS('Tabela Federal'!$E$4:$E$2069,'Tabela Federal'!$D$4:$D$2069,'Carga Tributária doenças Po (2'!$L344)</f>
        <v>0</v>
      </c>
      <c r="W344" s="89">
        <f>SUMIFS('Tabela Federal'!$E$4:$E$2069,'Tabela Federal'!$D$4:$D$2069,'Carga Tributária doenças Po (2'!$M344)</f>
        <v>0</v>
      </c>
      <c r="X344" s="89">
        <f>SUMIFS('Tabela Federal'!$E$4:$E$2069,'Tabela Federal'!$D$4:$D$2069,'Carga Tributária doenças Po (2'!$N344)</f>
        <v>0</v>
      </c>
      <c r="Y344" s="89">
        <f>SUMIFS('Tabela Federal'!$E$4:$E$2069,'Tabela Federal'!$D$4:$D$2069,'Carga Tributária doenças Po (2'!$O344)</f>
        <v>0</v>
      </c>
      <c r="Z344" s="92" t="str">
        <f>VLOOKUP('Carga Tributária doenças Po (2'!$AD344,'Carga Tributária doenças Po (2'!$CA$12:$CC$16,2,0)</f>
        <v>-</v>
      </c>
      <c r="AA344" s="89" t="s">
        <v>7</v>
      </c>
      <c r="AB344" s="89" t="s">
        <v>21830</v>
      </c>
      <c r="AC344" s="89" t="s">
        <v>21740</v>
      </c>
      <c r="AD344" s="93" t="s">
        <v>19523</v>
      </c>
      <c r="AE344" s="92" t="s">
        <v>4</v>
      </c>
      <c r="AF344" s="92" t="s">
        <v>10</v>
      </c>
      <c r="AG344" s="94">
        <v>3174306</v>
      </c>
      <c r="AH344" s="95">
        <v>10941446</v>
      </c>
      <c r="AI344" s="95">
        <v>24933255.260000002</v>
      </c>
      <c r="AJ344" s="89" t="s">
        <v>5</v>
      </c>
      <c r="AK344" s="89">
        <f>IF('Carga Tributária doenças Po (2'!$Z344="+",0,SUMIFS(PISCOFINS!$I$3:$I$10518,PISCOFINS!$C$3:$C$10518,'Carga Tributária doenças Po (2'!$C344))</f>
        <v>2.1</v>
      </c>
      <c r="AL344" s="89">
        <f>IF('Carga Tributária doenças Po (2'!$Z344="+",0,SUMIFS(PISCOFINS!$H$3:$H$10518,PISCOFINS!$C$3:$C$10518,'Carga Tributária doenças Po (2'!$C344))</f>
        <v>9.9</v>
      </c>
      <c r="AM344" s="95">
        <v>3.27</v>
      </c>
      <c r="AN344" s="95">
        <v>3.12</v>
      </c>
      <c r="AO344" s="95">
        <v>1.35</v>
      </c>
      <c r="AP344" s="96">
        <v>18</v>
      </c>
      <c r="AQ344" s="96">
        <v>12</v>
      </c>
      <c r="AR344" s="96">
        <v>17</v>
      </c>
      <c r="AS344" s="97">
        <v>17</v>
      </c>
      <c r="AT344" s="97">
        <v>19</v>
      </c>
      <c r="AU344" s="97">
        <v>12</v>
      </c>
      <c r="AV344" s="97">
        <v>17</v>
      </c>
      <c r="AW344" s="97">
        <v>17</v>
      </c>
      <c r="AX344" s="97">
        <v>17</v>
      </c>
      <c r="AY344" s="97">
        <v>17</v>
      </c>
      <c r="AZ344" s="97">
        <v>17</v>
      </c>
      <c r="BA344" s="97">
        <v>17</v>
      </c>
      <c r="BB344" s="97">
        <v>17</v>
      </c>
      <c r="BC344" s="97">
        <v>17</v>
      </c>
      <c r="BD344" s="97">
        <v>17</v>
      </c>
      <c r="BE344" s="97">
        <v>17</v>
      </c>
      <c r="BF344" s="97">
        <f>+Tabela1107[[#This Row],[PIS]]+Tabela1107[[#This Row],[COFINS]]+Tabela1107[[#This Row],[CONTRIB. FOLHA]]+Tabela1107[[#This Row],[TRIBUTOS S/ LUCRO]]+Tabela1107[[#This Row],[OUTROS]]+Tabela1107[[#This Row],[SP]]</f>
        <v>37.74</v>
      </c>
      <c r="BG344" s="97">
        <f>+Tabela1107[[#This Row],[PIS]]+Tabela1107[[#This Row],[COFINS]]+Tabela1107[[#This Row],[CONTRIB. FOLHA]]+Tabela1107[[#This Row],[TRIBUTOS S/ LUCRO]]+Tabela1107[[#This Row],[OUTROS]]+Tabela1107[[#This Row],[PR]]</f>
        <v>31.740000000000002</v>
      </c>
      <c r="BH344" s="97">
        <f>+Tabela1107[[#This Row],[PIS]]+Tabela1107[[#This Row],[COFINS]]+Tabela1107[[#This Row],[CONTRIB. FOLHA]]+Tabela1107[[#This Row],[TRIBUTOS S/ LUCRO]]+Tabela1107[[#This Row],[OUTROS]]+Tabela1107[[#This Row],[SC]]</f>
        <v>36.74</v>
      </c>
      <c r="BI344" s="97">
        <f>+Tabela1107[[#This Row],[PIS]]+Tabela1107[[#This Row],[COFINS]]+Tabela1107[[#This Row],[CONTRIB. FOLHA]]+Tabela1107[[#This Row],[TRIBUTOS S/ LUCRO]]+Tabela1107[[#This Row],[OUTROS]]+Tabela1107[[#This Row],[RS]]</f>
        <v>36.74</v>
      </c>
      <c r="BJ344" s="97">
        <f>+Tabela1107[[#This Row],[PIS]]+Tabela1107[[#This Row],[COFINS]]+Tabela1107[[#This Row],[CONTRIB. FOLHA]]+Tabela1107[[#This Row],[TRIBUTOS S/ LUCRO]]+Tabela1107[[#This Row],[OUTROS]]+Tabela1107[[#This Row],[RJ]]</f>
        <v>38.74</v>
      </c>
      <c r="BK344" s="97">
        <f>+Tabela1107[[#This Row],[PIS]]+Tabela1107[[#This Row],[COFINS]]+Tabela1107[[#This Row],[CONTRIB. FOLHA]]+Tabela1107[[#This Row],[TRIBUTOS S/ LUCRO]]+Tabela1107[[#This Row],[OUTROS]]+Tabela1107[[#This Row],[MG]]</f>
        <v>31.740000000000002</v>
      </c>
      <c r="BL344" s="97">
        <f>+Tabela1107[[#This Row],[PIS]]+Tabela1107[[#This Row],[COFINS]]+Tabela1107[[#This Row],[CONTRIB. FOLHA]]+Tabela1107[[#This Row],[TRIBUTOS S/ LUCRO]]+Tabela1107[[#This Row],[OUTROS]]+Tabela1107[[#This Row],[ES]]</f>
        <v>36.74</v>
      </c>
      <c r="BM344" s="97">
        <f>+Tabela1107[[#This Row],[PIS]]+Tabela1107[[#This Row],[COFINS]]+Tabela1107[[#This Row],[CONTRIB. FOLHA]]+Tabela1107[[#This Row],[TRIBUTOS S/ LUCRO]]+Tabela1107[[#This Row],[OUTROS]]+Tabela1107[[#This Row],[GO]]</f>
        <v>36.74</v>
      </c>
      <c r="BN344" s="97">
        <f>+Tabela1107[[#This Row],[PIS]]+Tabela1107[[#This Row],[COFINS]]+Tabela1107[[#This Row],[CONTRIB. FOLHA]]+Tabela1107[[#This Row],[TRIBUTOS S/ LUCRO]]+Tabela1107[[#This Row],[OUTROS]]+Tabela1107[[#This Row],[MT]]</f>
        <v>36.74</v>
      </c>
      <c r="BO344" s="97">
        <f>+Tabela1107[[#This Row],[PIS]]+Tabela1107[[#This Row],[COFINS]]+Tabela1107[[#This Row],[CONTRIB. FOLHA]]+Tabela1107[[#This Row],[TRIBUTOS S/ LUCRO]]+Tabela1107[[#This Row],[OUTROS]]+Tabela1107[[#This Row],[MS]]</f>
        <v>36.74</v>
      </c>
      <c r="BP344" s="97">
        <f>+Tabela1107[[#This Row],[PIS]]+Tabela1107[[#This Row],[COFINS]]+Tabela1107[[#This Row],[CONTRIB. FOLHA]]+Tabela1107[[#This Row],[TRIBUTOS S/ LUCRO]]+Tabela1107[[#This Row],[OUTROS]]+Tabela1107[[#This Row],[DF]]</f>
        <v>36.74</v>
      </c>
      <c r="BQ344" s="97">
        <f>+Tabela1107[[#This Row],[PIS]]+Tabela1107[[#This Row],[COFINS]]+Tabela1107[[#This Row],[CONTRIB. FOLHA]]+Tabela1107[[#This Row],[TRIBUTOS S/ LUCRO]]+Tabela1107[[#This Row],[OUTROS]]+Tabela1107[[#This Row],[BA]]</f>
        <v>36.74</v>
      </c>
      <c r="BR344" s="97">
        <f>+Tabela1107[[#This Row],[PIS]]+Tabela1107[[#This Row],[COFINS]]+Tabela1107[[#This Row],[CONTRIB. FOLHA]]+Tabela1107[[#This Row],[TRIBUTOS S/ LUCRO]]+Tabela1107[[#This Row],[OUTROS]]+Tabela1107[[#This Row],[BA]]</f>
        <v>36.74</v>
      </c>
      <c r="BS344" s="97">
        <f>+Tabela1107[[#This Row],[PIS]]+Tabela1107[[#This Row],[COFINS]]+Tabela1107[[#This Row],[CONTRIB. FOLHA]]+Tabela1107[[#This Row],[TRIBUTOS S/ LUCRO]]+Tabela1107[[#This Row],[OUTROS]]+Tabela1107[[#This Row],[PE]]</f>
        <v>36.74</v>
      </c>
      <c r="BT344" s="97">
        <f>+Tabela1107[[#This Row],[PIS]]+Tabela1107[[#This Row],[COFINS]]+Tabela1107[[#This Row],[CONTRIB. FOLHA]]+Tabela1107[[#This Row],[TRIBUTOS S/ LUCRO]]+Tabela1107[[#This Row],[OUTROS]]+Tabela1107[[#This Row],[PA]]</f>
        <v>36.74</v>
      </c>
      <c r="BU344" s="97">
        <f>+Tabela1107[[#This Row],[PIS]]+Tabela1107[[#This Row],[COFINS]]+Tabela1107[[#This Row],[CONTRIB. FOLHA]]+Tabela1107[[#This Row],[TRIBUTOS S/ LUCRO]]+Tabela1107[[#This Row],[OUTROS]]+Tabela1107[[#This Row],[AM]]</f>
        <v>36.74</v>
      </c>
      <c r="BV344" s="97">
        <f>AVERAGE(Tabela1107[[#This Row],[TOTAL SP]:[TOTAL AM]])</f>
        <v>36.302500000000002</v>
      </c>
      <c r="BW344" s="97"/>
      <c r="BX344" s="97"/>
    </row>
    <row r="345" spans="2:76" x14ac:dyDescent="0.25">
      <c r="B345" s="89">
        <v>1208</v>
      </c>
      <c r="C345" s="106" t="s">
        <v>13147</v>
      </c>
      <c r="D345" s="89"/>
      <c r="E345" s="89">
        <v>20140626</v>
      </c>
      <c r="F345" s="89" t="s">
        <v>21501</v>
      </c>
      <c r="G345" s="89" t="s">
        <v>21502</v>
      </c>
      <c r="H345" s="89" t="s">
        <v>21503</v>
      </c>
      <c r="I345" s="89" t="s">
        <v>2632</v>
      </c>
      <c r="J345" s="89" t="s">
        <v>155</v>
      </c>
      <c r="K345" s="99" t="s">
        <v>2495</v>
      </c>
      <c r="L345" s="89" t="s">
        <v>2632</v>
      </c>
      <c r="M345" s="89" t="s">
        <v>4496</v>
      </c>
      <c r="N345" s="89" t="s">
        <v>4496</v>
      </c>
      <c r="O345" s="89" t="s">
        <v>4496</v>
      </c>
      <c r="P345" s="89" t="s">
        <v>4496</v>
      </c>
      <c r="Q345" s="89"/>
      <c r="R345" s="89" t="s">
        <v>64</v>
      </c>
      <c r="S345" s="89" t="s">
        <v>21698</v>
      </c>
      <c r="T345" s="89" t="s">
        <v>21699</v>
      </c>
      <c r="U345" s="89" t="str">
        <f>TRIM('Carga Tributária doenças Po (2'!$L345)</f>
        <v>PARACETAMOL</v>
      </c>
      <c r="V345" s="89">
        <f>SUMIFS('Tabela Federal'!$E$4:$E$2069,'Tabela Federal'!$D$4:$D$2069,'Carga Tributária doenças Po (2'!$L345)</f>
        <v>0</v>
      </c>
      <c r="W345" s="89">
        <f>SUMIFS('Tabela Federal'!$E$4:$E$2069,'Tabela Federal'!$D$4:$D$2069,'Carga Tributária doenças Po (2'!$M345)</f>
        <v>0</v>
      </c>
      <c r="X345" s="89">
        <f>SUMIFS('Tabela Federal'!$E$4:$E$2069,'Tabela Federal'!$D$4:$D$2069,'Carga Tributária doenças Po (2'!$N345)</f>
        <v>0</v>
      </c>
      <c r="Y345" s="89">
        <f>SUMIFS('Tabela Federal'!$E$4:$E$2069,'Tabela Federal'!$D$4:$D$2069,'Carga Tributária doenças Po (2'!$O345)</f>
        <v>0</v>
      </c>
      <c r="Z345" s="92" t="str">
        <f>VLOOKUP('Carga Tributária doenças Po (2'!$AD345,'Carga Tributária doenças Po (2'!$CA$12:$CC$16,2,0)</f>
        <v>-</v>
      </c>
      <c r="AA345" s="89" t="s">
        <v>7</v>
      </c>
      <c r="AB345" s="89" t="s">
        <v>21830</v>
      </c>
      <c r="AC345" s="89" t="s">
        <v>21740</v>
      </c>
      <c r="AD345" s="93" t="s">
        <v>19523</v>
      </c>
      <c r="AE345" s="92" t="s">
        <v>4</v>
      </c>
      <c r="AF345" s="92" t="s">
        <v>10</v>
      </c>
      <c r="AG345" s="94">
        <v>3174306</v>
      </c>
      <c r="AH345" s="95">
        <v>10941446</v>
      </c>
      <c r="AI345" s="95">
        <v>24933255.260000002</v>
      </c>
      <c r="AJ345" s="89" t="s">
        <v>549</v>
      </c>
      <c r="AK345" s="89">
        <f>IF('Carga Tributária doenças Po (2'!$Z345="+",0,SUMIFS(PISCOFINS!$I$3:$I$10518,PISCOFINS!$C$3:$C$10518,'Carga Tributária doenças Po (2'!$C345))</f>
        <v>2.1</v>
      </c>
      <c r="AL345" s="89">
        <f>IF('Carga Tributária doenças Po (2'!$Z345="+",0,SUMIFS(PISCOFINS!$H$3:$H$10518,PISCOFINS!$C$3:$C$10518,'Carga Tributária doenças Po (2'!$C345))</f>
        <v>9.9</v>
      </c>
      <c r="AM345" s="95">
        <v>3.27</v>
      </c>
      <c r="AN345" s="95">
        <v>3.12</v>
      </c>
      <c r="AO345" s="95">
        <v>1.35</v>
      </c>
      <c r="AP345" s="96">
        <v>18</v>
      </c>
      <c r="AQ345" s="96">
        <v>12</v>
      </c>
      <c r="AR345" s="96">
        <v>17</v>
      </c>
      <c r="AS345" s="97">
        <v>17</v>
      </c>
      <c r="AT345" s="97">
        <v>19</v>
      </c>
      <c r="AU345" s="97">
        <v>12</v>
      </c>
      <c r="AV345" s="97">
        <v>17</v>
      </c>
      <c r="AW345" s="97">
        <v>17</v>
      </c>
      <c r="AX345" s="97">
        <v>17</v>
      </c>
      <c r="AY345" s="97">
        <v>17</v>
      </c>
      <c r="AZ345" s="97">
        <v>17</v>
      </c>
      <c r="BA345" s="97">
        <v>17</v>
      </c>
      <c r="BB345" s="97">
        <v>17</v>
      </c>
      <c r="BC345" s="97">
        <v>17</v>
      </c>
      <c r="BD345" s="97">
        <v>17</v>
      </c>
      <c r="BE345" s="97">
        <v>17</v>
      </c>
      <c r="BF345" s="97">
        <f>+Tabela1107[[#This Row],[PIS]]+Tabela1107[[#This Row],[COFINS]]+Tabela1107[[#This Row],[CONTRIB. FOLHA]]+Tabela1107[[#This Row],[TRIBUTOS S/ LUCRO]]+Tabela1107[[#This Row],[OUTROS]]+Tabela1107[[#This Row],[SP]]</f>
        <v>37.74</v>
      </c>
      <c r="BG345" s="97">
        <f>+Tabela1107[[#This Row],[PIS]]+Tabela1107[[#This Row],[COFINS]]+Tabela1107[[#This Row],[CONTRIB. FOLHA]]+Tabela1107[[#This Row],[TRIBUTOS S/ LUCRO]]+Tabela1107[[#This Row],[OUTROS]]+Tabela1107[[#This Row],[PR]]</f>
        <v>31.740000000000002</v>
      </c>
      <c r="BH345" s="97">
        <f>+Tabela1107[[#This Row],[PIS]]+Tabela1107[[#This Row],[COFINS]]+Tabela1107[[#This Row],[CONTRIB. FOLHA]]+Tabela1107[[#This Row],[TRIBUTOS S/ LUCRO]]+Tabela1107[[#This Row],[OUTROS]]+Tabela1107[[#This Row],[SC]]</f>
        <v>36.74</v>
      </c>
      <c r="BI345" s="97">
        <f>+Tabela1107[[#This Row],[PIS]]+Tabela1107[[#This Row],[COFINS]]+Tabela1107[[#This Row],[CONTRIB. FOLHA]]+Tabela1107[[#This Row],[TRIBUTOS S/ LUCRO]]+Tabela1107[[#This Row],[OUTROS]]+Tabela1107[[#This Row],[RS]]</f>
        <v>36.74</v>
      </c>
      <c r="BJ345" s="97">
        <f>+Tabela1107[[#This Row],[PIS]]+Tabela1107[[#This Row],[COFINS]]+Tabela1107[[#This Row],[CONTRIB. FOLHA]]+Tabela1107[[#This Row],[TRIBUTOS S/ LUCRO]]+Tabela1107[[#This Row],[OUTROS]]+Tabela1107[[#This Row],[RJ]]</f>
        <v>38.74</v>
      </c>
      <c r="BK345" s="97">
        <f>+Tabela1107[[#This Row],[PIS]]+Tabela1107[[#This Row],[COFINS]]+Tabela1107[[#This Row],[CONTRIB. FOLHA]]+Tabela1107[[#This Row],[TRIBUTOS S/ LUCRO]]+Tabela1107[[#This Row],[OUTROS]]+Tabela1107[[#This Row],[MG]]</f>
        <v>31.740000000000002</v>
      </c>
      <c r="BL345" s="97">
        <f>+Tabela1107[[#This Row],[PIS]]+Tabela1107[[#This Row],[COFINS]]+Tabela1107[[#This Row],[CONTRIB. FOLHA]]+Tabela1107[[#This Row],[TRIBUTOS S/ LUCRO]]+Tabela1107[[#This Row],[OUTROS]]+Tabela1107[[#This Row],[ES]]</f>
        <v>36.74</v>
      </c>
      <c r="BM345" s="97">
        <f>+Tabela1107[[#This Row],[PIS]]+Tabela1107[[#This Row],[COFINS]]+Tabela1107[[#This Row],[CONTRIB. FOLHA]]+Tabela1107[[#This Row],[TRIBUTOS S/ LUCRO]]+Tabela1107[[#This Row],[OUTROS]]+Tabela1107[[#This Row],[GO]]</f>
        <v>36.74</v>
      </c>
      <c r="BN345" s="97">
        <f>+Tabela1107[[#This Row],[PIS]]+Tabela1107[[#This Row],[COFINS]]+Tabela1107[[#This Row],[CONTRIB. FOLHA]]+Tabela1107[[#This Row],[TRIBUTOS S/ LUCRO]]+Tabela1107[[#This Row],[OUTROS]]+Tabela1107[[#This Row],[MT]]</f>
        <v>36.74</v>
      </c>
      <c r="BO345" s="97">
        <f>+Tabela1107[[#This Row],[PIS]]+Tabela1107[[#This Row],[COFINS]]+Tabela1107[[#This Row],[CONTRIB. FOLHA]]+Tabela1107[[#This Row],[TRIBUTOS S/ LUCRO]]+Tabela1107[[#This Row],[OUTROS]]+Tabela1107[[#This Row],[MS]]</f>
        <v>36.74</v>
      </c>
      <c r="BP345" s="97">
        <f>+Tabela1107[[#This Row],[PIS]]+Tabela1107[[#This Row],[COFINS]]+Tabela1107[[#This Row],[CONTRIB. FOLHA]]+Tabela1107[[#This Row],[TRIBUTOS S/ LUCRO]]+Tabela1107[[#This Row],[OUTROS]]+Tabela1107[[#This Row],[DF]]</f>
        <v>36.74</v>
      </c>
      <c r="BQ345" s="97">
        <f>+Tabela1107[[#This Row],[PIS]]+Tabela1107[[#This Row],[COFINS]]+Tabela1107[[#This Row],[CONTRIB. FOLHA]]+Tabela1107[[#This Row],[TRIBUTOS S/ LUCRO]]+Tabela1107[[#This Row],[OUTROS]]+Tabela1107[[#This Row],[BA]]</f>
        <v>36.74</v>
      </c>
      <c r="BR345" s="97">
        <f>+Tabela1107[[#This Row],[PIS]]+Tabela1107[[#This Row],[COFINS]]+Tabela1107[[#This Row],[CONTRIB. FOLHA]]+Tabela1107[[#This Row],[TRIBUTOS S/ LUCRO]]+Tabela1107[[#This Row],[OUTROS]]+Tabela1107[[#This Row],[BA]]</f>
        <v>36.74</v>
      </c>
      <c r="BS345" s="97">
        <f>+Tabela1107[[#This Row],[PIS]]+Tabela1107[[#This Row],[COFINS]]+Tabela1107[[#This Row],[CONTRIB. FOLHA]]+Tabela1107[[#This Row],[TRIBUTOS S/ LUCRO]]+Tabela1107[[#This Row],[OUTROS]]+Tabela1107[[#This Row],[PE]]</f>
        <v>36.74</v>
      </c>
      <c r="BT345" s="97">
        <f>+Tabela1107[[#This Row],[PIS]]+Tabela1107[[#This Row],[COFINS]]+Tabela1107[[#This Row],[CONTRIB. FOLHA]]+Tabela1107[[#This Row],[TRIBUTOS S/ LUCRO]]+Tabela1107[[#This Row],[OUTROS]]+Tabela1107[[#This Row],[PA]]</f>
        <v>36.74</v>
      </c>
      <c r="BU345" s="97">
        <f>+Tabela1107[[#This Row],[PIS]]+Tabela1107[[#This Row],[COFINS]]+Tabela1107[[#This Row],[CONTRIB. FOLHA]]+Tabela1107[[#This Row],[TRIBUTOS S/ LUCRO]]+Tabela1107[[#This Row],[OUTROS]]+Tabela1107[[#This Row],[AM]]</f>
        <v>36.74</v>
      </c>
      <c r="BV345" s="97">
        <f>AVERAGE(Tabela1107[[#This Row],[TOTAL SP]:[TOTAL AM]])</f>
        <v>36.302500000000002</v>
      </c>
      <c r="BW345" s="97"/>
      <c r="BX345" s="97"/>
    </row>
    <row r="346" spans="2:76" x14ac:dyDescent="0.25">
      <c r="B346" s="89">
        <v>1208</v>
      </c>
      <c r="C346" s="106" t="s">
        <v>13147</v>
      </c>
      <c r="D346" s="89"/>
      <c r="E346" s="89">
        <v>20140626</v>
      </c>
      <c r="F346" s="89" t="s">
        <v>21501</v>
      </c>
      <c r="G346" s="89" t="s">
        <v>21502</v>
      </c>
      <c r="H346" s="89" t="s">
        <v>21503</v>
      </c>
      <c r="I346" s="89" t="s">
        <v>2632</v>
      </c>
      <c r="J346" s="89" t="s">
        <v>155</v>
      </c>
      <c r="K346" s="99" t="s">
        <v>2495</v>
      </c>
      <c r="L346" s="89" t="s">
        <v>2632</v>
      </c>
      <c r="M346" s="89" t="s">
        <v>4496</v>
      </c>
      <c r="N346" s="89" t="s">
        <v>4496</v>
      </c>
      <c r="O346" s="89" t="s">
        <v>4496</v>
      </c>
      <c r="P346" s="89" t="s">
        <v>4496</v>
      </c>
      <c r="Q346" s="89"/>
      <c r="R346" s="89" t="s">
        <v>64</v>
      </c>
      <c r="S346" s="89" t="s">
        <v>21698</v>
      </c>
      <c r="T346" s="89" t="s">
        <v>21699</v>
      </c>
      <c r="U346" s="89" t="str">
        <f>TRIM('Carga Tributária doenças Po (2'!$L346)</f>
        <v>PARACETAMOL</v>
      </c>
      <c r="V346" s="89">
        <f>SUMIFS('Tabela Federal'!$E$4:$E$2069,'Tabela Federal'!$D$4:$D$2069,'Carga Tributária doenças Po (2'!$L346)</f>
        <v>0</v>
      </c>
      <c r="W346" s="89">
        <f>SUMIFS('Tabela Federal'!$E$4:$E$2069,'Tabela Federal'!$D$4:$D$2069,'Carga Tributária doenças Po (2'!$M346)</f>
        <v>0</v>
      </c>
      <c r="X346" s="89">
        <f>SUMIFS('Tabela Federal'!$E$4:$E$2069,'Tabela Federal'!$D$4:$D$2069,'Carga Tributária doenças Po (2'!$N346)</f>
        <v>0</v>
      </c>
      <c r="Y346" s="89">
        <f>SUMIFS('Tabela Federal'!$E$4:$E$2069,'Tabela Federal'!$D$4:$D$2069,'Carga Tributária doenças Po (2'!$O346)</f>
        <v>0</v>
      </c>
      <c r="Z346" s="92" t="str">
        <f>VLOOKUP('Carga Tributária doenças Po (2'!$AD346,'Carga Tributária doenças Po (2'!$CA$12:$CC$16,2,0)</f>
        <v>-</v>
      </c>
      <c r="AA346" s="89" t="s">
        <v>7</v>
      </c>
      <c r="AB346" s="89" t="s">
        <v>21830</v>
      </c>
      <c r="AC346" s="89" t="s">
        <v>21740</v>
      </c>
      <c r="AD346" s="93" t="s">
        <v>19523</v>
      </c>
      <c r="AE346" s="92" t="s">
        <v>4</v>
      </c>
      <c r="AF346" s="92" t="s">
        <v>10</v>
      </c>
      <c r="AG346" s="94">
        <v>3174306</v>
      </c>
      <c r="AH346" s="95">
        <v>10941446</v>
      </c>
      <c r="AI346" s="95">
        <v>24933255.260000002</v>
      </c>
      <c r="AJ346" s="89" t="s">
        <v>559</v>
      </c>
      <c r="AK346" s="89">
        <f>IF('Carga Tributária doenças Po (2'!$Z346="+",0,SUMIFS(PISCOFINS!$I$3:$I$10518,PISCOFINS!$C$3:$C$10518,'Carga Tributária doenças Po (2'!$C346))</f>
        <v>2.1</v>
      </c>
      <c r="AL346" s="89">
        <f>IF('Carga Tributária doenças Po (2'!$Z346="+",0,SUMIFS(PISCOFINS!$H$3:$H$10518,PISCOFINS!$C$3:$C$10518,'Carga Tributária doenças Po (2'!$C346))</f>
        <v>9.9</v>
      </c>
      <c r="AM346" s="95">
        <v>3.27</v>
      </c>
      <c r="AN346" s="95">
        <v>3.12</v>
      </c>
      <c r="AO346" s="95">
        <v>1.35</v>
      </c>
      <c r="AP346" s="96">
        <v>18</v>
      </c>
      <c r="AQ346" s="96">
        <v>12</v>
      </c>
      <c r="AR346" s="96">
        <v>17</v>
      </c>
      <c r="AS346" s="97">
        <v>17</v>
      </c>
      <c r="AT346" s="97">
        <v>19</v>
      </c>
      <c r="AU346" s="97">
        <v>12</v>
      </c>
      <c r="AV346" s="97">
        <v>17</v>
      </c>
      <c r="AW346" s="97">
        <v>17</v>
      </c>
      <c r="AX346" s="97">
        <v>17</v>
      </c>
      <c r="AY346" s="97">
        <v>17</v>
      </c>
      <c r="AZ346" s="97">
        <v>17</v>
      </c>
      <c r="BA346" s="97">
        <v>17</v>
      </c>
      <c r="BB346" s="97">
        <v>17</v>
      </c>
      <c r="BC346" s="97">
        <v>17</v>
      </c>
      <c r="BD346" s="97">
        <v>17</v>
      </c>
      <c r="BE346" s="97">
        <v>17</v>
      </c>
      <c r="BF346" s="97">
        <f>+Tabela1107[[#This Row],[PIS]]+Tabela1107[[#This Row],[COFINS]]+Tabela1107[[#This Row],[CONTRIB. FOLHA]]+Tabela1107[[#This Row],[TRIBUTOS S/ LUCRO]]+Tabela1107[[#This Row],[OUTROS]]+Tabela1107[[#This Row],[SP]]</f>
        <v>37.74</v>
      </c>
      <c r="BG346" s="97">
        <f>+Tabela1107[[#This Row],[PIS]]+Tabela1107[[#This Row],[COFINS]]+Tabela1107[[#This Row],[CONTRIB. FOLHA]]+Tabela1107[[#This Row],[TRIBUTOS S/ LUCRO]]+Tabela1107[[#This Row],[OUTROS]]+Tabela1107[[#This Row],[PR]]</f>
        <v>31.740000000000002</v>
      </c>
      <c r="BH346" s="97">
        <f>+Tabela1107[[#This Row],[PIS]]+Tabela1107[[#This Row],[COFINS]]+Tabela1107[[#This Row],[CONTRIB. FOLHA]]+Tabela1107[[#This Row],[TRIBUTOS S/ LUCRO]]+Tabela1107[[#This Row],[OUTROS]]+Tabela1107[[#This Row],[SC]]</f>
        <v>36.74</v>
      </c>
      <c r="BI346" s="97">
        <f>+Tabela1107[[#This Row],[PIS]]+Tabela1107[[#This Row],[COFINS]]+Tabela1107[[#This Row],[CONTRIB. FOLHA]]+Tabela1107[[#This Row],[TRIBUTOS S/ LUCRO]]+Tabela1107[[#This Row],[OUTROS]]+Tabela1107[[#This Row],[RS]]</f>
        <v>36.74</v>
      </c>
      <c r="BJ346" s="97">
        <f>+Tabela1107[[#This Row],[PIS]]+Tabela1107[[#This Row],[COFINS]]+Tabela1107[[#This Row],[CONTRIB. FOLHA]]+Tabela1107[[#This Row],[TRIBUTOS S/ LUCRO]]+Tabela1107[[#This Row],[OUTROS]]+Tabela1107[[#This Row],[RJ]]</f>
        <v>38.74</v>
      </c>
      <c r="BK346" s="97">
        <f>+Tabela1107[[#This Row],[PIS]]+Tabela1107[[#This Row],[COFINS]]+Tabela1107[[#This Row],[CONTRIB. FOLHA]]+Tabela1107[[#This Row],[TRIBUTOS S/ LUCRO]]+Tabela1107[[#This Row],[OUTROS]]+Tabela1107[[#This Row],[MG]]</f>
        <v>31.740000000000002</v>
      </c>
      <c r="BL346" s="97">
        <f>+Tabela1107[[#This Row],[PIS]]+Tabela1107[[#This Row],[COFINS]]+Tabela1107[[#This Row],[CONTRIB. FOLHA]]+Tabela1107[[#This Row],[TRIBUTOS S/ LUCRO]]+Tabela1107[[#This Row],[OUTROS]]+Tabela1107[[#This Row],[ES]]</f>
        <v>36.74</v>
      </c>
      <c r="BM346" s="97">
        <f>+Tabela1107[[#This Row],[PIS]]+Tabela1107[[#This Row],[COFINS]]+Tabela1107[[#This Row],[CONTRIB. FOLHA]]+Tabela1107[[#This Row],[TRIBUTOS S/ LUCRO]]+Tabela1107[[#This Row],[OUTROS]]+Tabela1107[[#This Row],[GO]]</f>
        <v>36.74</v>
      </c>
      <c r="BN346" s="97">
        <f>+Tabela1107[[#This Row],[PIS]]+Tabela1107[[#This Row],[COFINS]]+Tabela1107[[#This Row],[CONTRIB. FOLHA]]+Tabela1107[[#This Row],[TRIBUTOS S/ LUCRO]]+Tabela1107[[#This Row],[OUTROS]]+Tabela1107[[#This Row],[MT]]</f>
        <v>36.74</v>
      </c>
      <c r="BO346" s="97">
        <f>+Tabela1107[[#This Row],[PIS]]+Tabela1107[[#This Row],[COFINS]]+Tabela1107[[#This Row],[CONTRIB. FOLHA]]+Tabela1107[[#This Row],[TRIBUTOS S/ LUCRO]]+Tabela1107[[#This Row],[OUTROS]]+Tabela1107[[#This Row],[MS]]</f>
        <v>36.74</v>
      </c>
      <c r="BP346" s="97">
        <f>+Tabela1107[[#This Row],[PIS]]+Tabela1107[[#This Row],[COFINS]]+Tabela1107[[#This Row],[CONTRIB. FOLHA]]+Tabela1107[[#This Row],[TRIBUTOS S/ LUCRO]]+Tabela1107[[#This Row],[OUTROS]]+Tabela1107[[#This Row],[DF]]</f>
        <v>36.74</v>
      </c>
      <c r="BQ346" s="97">
        <f>+Tabela1107[[#This Row],[PIS]]+Tabela1107[[#This Row],[COFINS]]+Tabela1107[[#This Row],[CONTRIB. FOLHA]]+Tabela1107[[#This Row],[TRIBUTOS S/ LUCRO]]+Tabela1107[[#This Row],[OUTROS]]+Tabela1107[[#This Row],[BA]]</f>
        <v>36.74</v>
      </c>
      <c r="BR346" s="97">
        <f>+Tabela1107[[#This Row],[PIS]]+Tabela1107[[#This Row],[COFINS]]+Tabela1107[[#This Row],[CONTRIB. FOLHA]]+Tabela1107[[#This Row],[TRIBUTOS S/ LUCRO]]+Tabela1107[[#This Row],[OUTROS]]+Tabela1107[[#This Row],[BA]]</f>
        <v>36.74</v>
      </c>
      <c r="BS346" s="97">
        <f>+Tabela1107[[#This Row],[PIS]]+Tabela1107[[#This Row],[COFINS]]+Tabela1107[[#This Row],[CONTRIB. FOLHA]]+Tabela1107[[#This Row],[TRIBUTOS S/ LUCRO]]+Tabela1107[[#This Row],[OUTROS]]+Tabela1107[[#This Row],[PE]]</f>
        <v>36.74</v>
      </c>
      <c r="BT346" s="97">
        <f>+Tabela1107[[#This Row],[PIS]]+Tabela1107[[#This Row],[COFINS]]+Tabela1107[[#This Row],[CONTRIB. FOLHA]]+Tabela1107[[#This Row],[TRIBUTOS S/ LUCRO]]+Tabela1107[[#This Row],[OUTROS]]+Tabela1107[[#This Row],[PA]]</f>
        <v>36.74</v>
      </c>
      <c r="BU346" s="97">
        <f>+Tabela1107[[#This Row],[PIS]]+Tabela1107[[#This Row],[COFINS]]+Tabela1107[[#This Row],[CONTRIB. FOLHA]]+Tabela1107[[#This Row],[TRIBUTOS S/ LUCRO]]+Tabela1107[[#This Row],[OUTROS]]+Tabela1107[[#This Row],[AM]]</f>
        <v>36.74</v>
      </c>
      <c r="BV346" s="97">
        <f>AVERAGE(Tabela1107[[#This Row],[TOTAL SP]:[TOTAL AM]])</f>
        <v>36.302500000000002</v>
      </c>
      <c r="BW346" s="97"/>
      <c r="BX346" s="97"/>
    </row>
    <row r="347" spans="2:76" x14ac:dyDescent="0.25">
      <c r="B347" s="89">
        <v>12020</v>
      </c>
      <c r="C347" s="91" t="s">
        <v>13183</v>
      </c>
      <c r="D347" s="89"/>
      <c r="E347" s="89">
        <v>20140626</v>
      </c>
      <c r="F347" s="89" t="s">
        <v>20247</v>
      </c>
      <c r="G347" s="89" t="s">
        <v>20248</v>
      </c>
      <c r="H347" s="89" t="s">
        <v>20249</v>
      </c>
      <c r="I347" s="89" t="s">
        <v>20250</v>
      </c>
      <c r="J347" s="89" t="s">
        <v>104</v>
      </c>
      <c r="K347" s="99" t="s">
        <v>2540</v>
      </c>
      <c r="L347" s="89" t="s">
        <v>2674</v>
      </c>
      <c r="M347" s="89" t="s">
        <v>4496</v>
      </c>
      <c r="N347" s="89" t="s">
        <v>4496</v>
      </c>
      <c r="O347" s="89" t="s">
        <v>4496</v>
      </c>
      <c r="P347" s="89" t="s">
        <v>4496</v>
      </c>
      <c r="Q347" s="89"/>
      <c r="R347" s="89" t="s">
        <v>9</v>
      </c>
      <c r="S347" s="89" t="s">
        <v>21564</v>
      </c>
      <c r="T347" s="89" t="s">
        <v>21565</v>
      </c>
      <c r="U347" s="89" t="str">
        <f>TRIM('Carga Tributária doenças Po (2'!$L347)</f>
        <v>ALIMENTO</v>
      </c>
      <c r="V347" s="89">
        <f>SUMIFS('Tabela Federal'!$E$4:$E$2069,'Tabela Federal'!$D$4:$D$2069,'Carga Tributária doenças Po (2'!$L347)</f>
        <v>0</v>
      </c>
      <c r="W347" s="89">
        <f>SUMIFS('Tabela Federal'!$E$4:$E$2069,'Tabela Federal'!$D$4:$D$2069,'Carga Tributária doenças Po (2'!$M347)</f>
        <v>0</v>
      </c>
      <c r="X347" s="89">
        <f>SUMIFS('Tabela Federal'!$E$4:$E$2069,'Tabela Federal'!$D$4:$D$2069,'Carga Tributária doenças Po (2'!$N347)</f>
        <v>0</v>
      </c>
      <c r="Y347" s="89">
        <f>SUMIFS('Tabela Federal'!$E$4:$E$2069,'Tabela Federal'!$D$4:$D$2069,'Carga Tributária doenças Po (2'!$O347)</f>
        <v>0</v>
      </c>
      <c r="Z347" s="92" t="str">
        <f>VLOOKUP('Carga Tributária doenças Po (2'!$AD347,'Carga Tributária doenças Po (2'!$CA$12:$CC$16,2,0)</f>
        <v>-</v>
      </c>
      <c r="AA347" s="89" t="s">
        <v>105</v>
      </c>
      <c r="AB347" s="89" t="s">
        <v>21790</v>
      </c>
      <c r="AC347" s="89" t="s">
        <v>21740</v>
      </c>
      <c r="AD347" s="93" t="s">
        <v>19523</v>
      </c>
      <c r="AE347" s="92" t="s">
        <v>4</v>
      </c>
      <c r="AF347" s="92" t="s">
        <v>3</v>
      </c>
      <c r="AG347" s="94">
        <v>294615</v>
      </c>
      <c r="AH347" s="95">
        <v>1602140</v>
      </c>
      <c r="AI347" s="95">
        <v>3668364.21</v>
      </c>
      <c r="AJ347" s="89" t="s">
        <v>111</v>
      </c>
      <c r="AK347" s="89">
        <f>IF('Carga Tributária doenças Po (2'!$Z347="+",0,SUMIFS(PISCOFINS!$I$3:$I$10518,PISCOFINS!$C$3:$C$10518,'Carga Tributária doenças Po (2'!$C347))</f>
        <v>2.1</v>
      </c>
      <c r="AL347" s="89">
        <f>IF('Carga Tributária doenças Po (2'!$Z347="+",0,SUMIFS(PISCOFINS!$H$3:$H$10518,PISCOFINS!$C$3:$C$10518,'Carga Tributária doenças Po (2'!$C347))</f>
        <v>9.9</v>
      </c>
      <c r="AM347" s="95">
        <v>3.27</v>
      </c>
      <c r="AN347" s="95">
        <v>3.12</v>
      </c>
      <c r="AO347" s="95">
        <v>1.35</v>
      </c>
      <c r="AP347" s="96">
        <v>18</v>
      </c>
      <c r="AQ347" s="96">
        <v>12</v>
      </c>
      <c r="AR347" s="96">
        <v>17</v>
      </c>
      <c r="AS347" s="97">
        <v>17</v>
      </c>
      <c r="AT347" s="97">
        <v>19</v>
      </c>
      <c r="AU347" s="97">
        <v>18</v>
      </c>
      <c r="AV347" s="97">
        <v>17</v>
      </c>
      <c r="AW347" s="97">
        <v>17</v>
      </c>
      <c r="AX347" s="97">
        <v>17</v>
      </c>
      <c r="AY347" s="97">
        <v>17</v>
      </c>
      <c r="AZ347" s="97">
        <v>17</v>
      </c>
      <c r="BA347" s="97">
        <v>17</v>
      </c>
      <c r="BB347" s="97">
        <v>17</v>
      </c>
      <c r="BC347" s="97">
        <v>17</v>
      </c>
      <c r="BD347" s="97">
        <v>17</v>
      </c>
      <c r="BE347" s="97">
        <v>17</v>
      </c>
      <c r="BF347" s="97">
        <f>+Tabela1107[[#This Row],[PIS]]+Tabela1107[[#This Row],[COFINS]]+Tabela1107[[#This Row],[CONTRIB. FOLHA]]+Tabela1107[[#This Row],[TRIBUTOS S/ LUCRO]]+Tabela1107[[#This Row],[OUTROS]]+Tabela1107[[#This Row],[SP]]</f>
        <v>37.74</v>
      </c>
      <c r="BG347" s="97">
        <f>+Tabela1107[[#This Row],[PIS]]+Tabela1107[[#This Row],[COFINS]]+Tabela1107[[#This Row],[CONTRIB. FOLHA]]+Tabela1107[[#This Row],[TRIBUTOS S/ LUCRO]]+Tabela1107[[#This Row],[OUTROS]]+Tabela1107[[#This Row],[PR]]</f>
        <v>31.740000000000002</v>
      </c>
      <c r="BH347" s="97">
        <f>+Tabela1107[[#This Row],[PIS]]+Tabela1107[[#This Row],[COFINS]]+Tabela1107[[#This Row],[CONTRIB. FOLHA]]+Tabela1107[[#This Row],[TRIBUTOS S/ LUCRO]]+Tabela1107[[#This Row],[OUTROS]]+Tabela1107[[#This Row],[SC]]</f>
        <v>36.74</v>
      </c>
      <c r="BI347" s="97">
        <f>+Tabela1107[[#This Row],[PIS]]+Tabela1107[[#This Row],[COFINS]]+Tabela1107[[#This Row],[CONTRIB. FOLHA]]+Tabela1107[[#This Row],[TRIBUTOS S/ LUCRO]]+Tabela1107[[#This Row],[OUTROS]]+Tabela1107[[#This Row],[RS]]</f>
        <v>36.74</v>
      </c>
      <c r="BJ347" s="97">
        <f>+Tabela1107[[#This Row],[PIS]]+Tabela1107[[#This Row],[COFINS]]+Tabela1107[[#This Row],[CONTRIB. FOLHA]]+Tabela1107[[#This Row],[TRIBUTOS S/ LUCRO]]+Tabela1107[[#This Row],[OUTROS]]+Tabela1107[[#This Row],[RJ]]</f>
        <v>38.74</v>
      </c>
      <c r="BK347" s="97">
        <f>+Tabela1107[[#This Row],[PIS]]+Tabela1107[[#This Row],[COFINS]]+Tabela1107[[#This Row],[CONTRIB. FOLHA]]+Tabela1107[[#This Row],[TRIBUTOS S/ LUCRO]]+Tabela1107[[#This Row],[OUTROS]]+Tabela1107[[#This Row],[MG]]</f>
        <v>37.74</v>
      </c>
      <c r="BL347" s="97">
        <f>+Tabela1107[[#This Row],[PIS]]+Tabela1107[[#This Row],[COFINS]]+Tabela1107[[#This Row],[CONTRIB. FOLHA]]+Tabela1107[[#This Row],[TRIBUTOS S/ LUCRO]]+Tabela1107[[#This Row],[OUTROS]]+Tabela1107[[#This Row],[ES]]</f>
        <v>36.74</v>
      </c>
      <c r="BM347" s="97">
        <f>+Tabela1107[[#This Row],[PIS]]+Tabela1107[[#This Row],[COFINS]]+Tabela1107[[#This Row],[CONTRIB. FOLHA]]+Tabela1107[[#This Row],[TRIBUTOS S/ LUCRO]]+Tabela1107[[#This Row],[OUTROS]]+Tabela1107[[#This Row],[GO]]</f>
        <v>36.74</v>
      </c>
      <c r="BN347" s="97">
        <f>+Tabela1107[[#This Row],[PIS]]+Tabela1107[[#This Row],[COFINS]]+Tabela1107[[#This Row],[CONTRIB. FOLHA]]+Tabela1107[[#This Row],[TRIBUTOS S/ LUCRO]]+Tabela1107[[#This Row],[OUTROS]]+Tabela1107[[#This Row],[MT]]</f>
        <v>36.74</v>
      </c>
      <c r="BO347" s="97">
        <f>+Tabela1107[[#This Row],[PIS]]+Tabela1107[[#This Row],[COFINS]]+Tabela1107[[#This Row],[CONTRIB. FOLHA]]+Tabela1107[[#This Row],[TRIBUTOS S/ LUCRO]]+Tabela1107[[#This Row],[OUTROS]]+Tabela1107[[#This Row],[MS]]</f>
        <v>36.74</v>
      </c>
      <c r="BP347" s="97">
        <f>+Tabela1107[[#This Row],[PIS]]+Tabela1107[[#This Row],[COFINS]]+Tabela1107[[#This Row],[CONTRIB. FOLHA]]+Tabela1107[[#This Row],[TRIBUTOS S/ LUCRO]]+Tabela1107[[#This Row],[OUTROS]]+Tabela1107[[#This Row],[DF]]</f>
        <v>36.74</v>
      </c>
      <c r="BQ347" s="97">
        <f>+Tabela1107[[#This Row],[PIS]]+Tabela1107[[#This Row],[COFINS]]+Tabela1107[[#This Row],[CONTRIB. FOLHA]]+Tabela1107[[#This Row],[TRIBUTOS S/ LUCRO]]+Tabela1107[[#This Row],[OUTROS]]+Tabela1107[[#This Row],[BA]]</f>
        <v>36.74</v>
      </c>
      <c r="BR347" s="97">
        <f>+Tabela1107[[#This Row],[PIS]]+Tabela1107[[#This Row],[COFINS]]+Tabela1107[[#This Row],[CONTRIB. FOLHA]]+Tabela1107[[#This Row],[TRIBUTOS S/ LUCRO]]+Tabela1107[[#This Row],[OUTROS]]+Tabela1107[[#This Row],[BA]]</f>
        <v>36.74</v>
      </c>
      <c r="BS347" s="97">
        <f>+Tabela1107[[#This Row],[PIS]]+Tabela1107[[#This Row],[COFINS]]+Tabela1107[[#This Row],[CONTRIB. FOLHA]]+Tabela1107[[#This Row],[TRIBUTOS S/ LUCRO]]+Tabela1107[[#This Row],[OUTROS]]+Tabela1107[[#This Row],[PE]]</f>
        <v>36.74</v>
      </c>
      <c r="BT347" s="97">
        <f>+Tabela1107[[#This Row],[PIS]]+Tabela1107[[#This Row],[COFINS]]+Tabela1107[[#This Row],[CONTRIB. FOLHA]]+Tabela1107[[#This Row],[TRIBUTOS S/ LUCRO]]+Tabela1107[[#This Row],[OUTROS]]+Tabela1107[[#This Row],[PA]]</f>
        <v>36.74</v>
      </c>
      <c r="BU347" s="97">
        <f>+Tabela1107[[#This Row],[PIS]]+Tabela1107[[#This Row],[COFINS]]+Tabela1107[[#This Row],[CONTRIB. FOLHA]]+Tabela1107[[#This Row],[TRIBUTOS S/ LUCRO]]+Tabela1107[[#This Row],[OUTROS]]+Tabela1107[[#This Row],[AM]]</f>
        <v>36.74</v>
      </c>
      <c r="BV347" s="97">
        <f>AVERAGE(Tabela1107[[#This Row],[TOTAL SP]:[TOTAL AM]])</f>
        <v>36.677500000000002</v>
      </c>
      <c r="BW347" s="97"/>
      <c r="BX347" s="97"/>
    </row>
    <row r="348" spans="2:76" x14ac:dyDescent="0.25">
      <c r="B348" s="89">
        <v>12021</v>
      </c>
      <c r="C348" s="91" t="s">
        <v>13183</v>
      </c>
      <c r="D348" s="89"/>
      <c r="E348" s="89">
        <v>20140626</v>
      </c>
      <c r="F348" s="89" t="s">
        <v>20251</v>
      </c>
      <c r="G348" s="89" t="s">
        <v>20252</v>
      </c>
      <c r="H348" s="89" t="s">
        <v>20253</v>
      </c>
      <c r="I348" s="89" t="s">
        <v>20250</v>
      </c>
      <c r="J348" s="89" t="s">
        <v>106</v>
      </c>
      <c r="K348" s="99" t="s">
        <v>2540</v>
      </c>
      <c r="L348" s="89" t="s">
        <v>2674</v>
      </c>
      <c r="M348" s="89" t="s">
        <v>4496</v>
      </c>
      <c r="N348" s="89" t="s">
        <v>4496</v>
      </c>
      <c r="O348" s="89" t="s">
        <v>4496</v>
      </c>
      <c r="P348" s="89" t="s">
        <v>4496</v>
      </c>
      <c r="Q348" s="89"/>
      <c r="R348" s="89" t="s">
        <v>9</v>
      </c>
      <c r="S348" s="89" t="s">
        <v>21564</v>
      </c>
      <c r="T348" s="89" t="s">
        <v>21565</v>
      </c>
      <c r="U348" s="89" t="str">
        <f>TRIM('Carga Tributária doenças Po (2'!$L348)</f>
        <v>ALIMENTO</v>
      </c>
      <c r="V348" s="89">
        <f>SUMIFS('Tabela Federal'!$E$4:$E$2069,'Tabela Federal'!$D$4:$D$2069,'Carga Tributária doenças Po (2'!$L348)</f>
        <v>0</v>
      </c>
      <c r="W348" s="89">
        <f>SUMIFS('Tabela Federal'!$E$4:$E$2069,'Tabela Federal'!$D$4:$D$2069,'Carga Tributária doenças Po (2'!$M348)</f>
        <v>0</v>
      </c>
      <c r="X348" s="89">
        <f>SUMIFS('Tabela Federal'!$E$4:$E$2069,'Tabela Federal'!$D$4:$D$2069,'Carga Tributária doenças Po (2'!$N348)</f>
        <v>0</v>
      </c>
      <c r="Y348" s="89">
        <f>SUMIFS('Tabela Federal'!$E$4:$E$2069,'Tabela Federal'!$D$4:$D$2069,'Carga Tributária doenças Po (2'!$O348)</f>
        <v>0</v>
      </c>
      <c r="Z348" s="92" t="str">
        <f>VLOOKUP('Carga Tributária doenças Po (2'!$AD348,'Carga Tributária doenças Po (2'!$CA$12:$CC$16,2,0)</f>
        <v>-</v>
      </c>
      <c r="AA348" s="89" t="s">
        <v>105</v>
      </c>
      <c r="AB348" s="89" t="s">
        <v>21790</v>
      </c>
      <c r="AC348" s="89" t="s">
        <v>21740</v>
      </c>
      <c r="AD348" s="93" t="s">
        <v>19523</v>
      </c>
      <c r="AE348" s="92" t="s">
        <v>4</v>
      </c>
      <c r="AF348" s="92" t="s">
        <v>3</v>
      </c>
      <c r="AG348" s="94">
        <v>253286</v>
      </c>
      <c r="AH348" s="95">
        <v>1376724</v>
      </c>
      <c r="AI348" s="95">
        <v>3154429.09</v>
      </c>
      <c r="AJ348" s="89" t="s">
        <v>111</v>
      </c>
      <c r="AK348" s="89">
        <f>IF('Carga Tributária doenças Po (2'!$Z348="+",0,SUMIFS(PISCOFINS!$I$3:$I$10518,PISCOFINS!$C$3:$C$10518,'Carga Tributária doenças Po (2'!$C348))</f>
        <v>2.1</v>
      </c>
      <c r="AL348" s="89">
        <f>IF('Carga Tributária doenças Po (2'!$Z348="+",0,SUMIFS(PISCOFINS!$H$3:$H$10518,PISCOFINS!$C$3:$C$10518,'Carga Tributária doenças Po (2'!$C348))</f>
        <v>9.9</v>
      </c>
      <c r="AM348" s="95">
        <v>3.27</v>
      </c>
      <c r="AN348" s="95">
        <v>3.12</v>
      </c>
      <c r="AO348" s="95">
        <v>1.35</v>
      </c>
      <c r="AP348" s="96">
        <v>18</v>
      </c>
      <c r="AQ348" s="96">
        <v>12</v>
      </c>
      <c r="AR348" s="96">
        <v>17</v>
      </c>
      <c r="AS348" s="97">
        <v>17</v>
      </c>
      <c r="AT348" s="97">
        <v>19</v>
      </c>
      <c r="AU348" s="97">
        <v>18</v>
      </c>
      <c r="AV348" s="97">
        <v>17</v>
      </c>
      <c r="AW348" s="97">
        <v>17</v>
      </c>
      <c r="AX348" s="97">
        <v>17</v>
      </c>
      <c r="AY348" s="97">
        <v>17</v>
      </c>
      <c r="AZ348" s="97">
        <v>17</v>
      </c>
      <c r="BA348" s="97">
        <v>17</v>
      </c>
      <c r="BB348" s="97">
        <v>17</v>
      </c>
      <c r="BC348" s="97">
        <v>17</v>
      </c>
      <c r="BD348" s="97">
        <v>17</v>
      </c>
      <c r="BE348" s="97">
        <v>17</v>
      </c>
      <c r="BF348" s="97">
        <f>+Tabela1107[[#This Row],[PIS]]+Tabela1107[[#This Row],[COFINS]]+Tabela1107[[#This Row],[CONTRIB. FOLHA]]+Tabela1107[[#This Row],[TRIBUTOS S/ LUCRO]]+Tabela1107[[#This Row],[OUTROS]]+Tabela1107[[#This Row],[SP]]</f>
        <v>37.74</v>
      </c>
      <c r="BG348" s="97">
        <f>+Tabela1107[[#This Row],[PIS]]+Tabela1107[[#This Row],[COFINS]]+Tabela1107[[#This Row],[CONTRIB. FOLHA]]+Tabela1107[[#This Row],[TRIBUTOS S/ LUCRO]]+Tabela1107[[#This Row],[OUTROS]]+Tabela1107[[#This Row],[PR]]</f>
        <v>31.740000000000002</v>
      </c>
      <c r="BH348" s="97">
        <f>+Tabela1107[[#This Row],[PIS]]+Tabela1107[[#This Row],[COFINS]]+Tabela1107[[#This Row],[CONTRIB. FOLHA]]+Tabela1107[[#This Row],[TRIBUTOS S/ LUCRO]]+Tabela1107[[#This Row],[OUTROS]]+Tabela1107[[#This Row],[SC]]</f>
        <v>36.74</v>
      </c>
      <c r="BI348" s="97">
        <f>+Tabela1107[[#This Row],[PIS]]+Tabela1107[[#This Row],[COFINS]]+Tabela1107[[#This Row],[CONTRIB. FOLHA]]+Tabela1107[[#This Row],[TRIBUTOS S/ LUCRO]]+Tabela1107[[#This Row],[OUTROS]]+Tabela1107[[#This Row],[RS]]</f>
        <v>36.74</v>
      </c>
      <c r="BJ348" s="97">
        <f>+Tabela1107[[#This Row],[PIS]]+Tabela1107[[#This Row],[COFINS]]+Tabela1107[[#This Row],[CONTRIB. FOLHA]]+Tabela1107[[#This Row],[TRIBUTOS S/ LUCRO]]+Tabela1107[[#This Row],[OUTROS]]+Tabela1107[[#This Row],[RJ]]</f>
        <v>38.74</v>
      </c>
      <c r="BK348" s="97">
        <f>+Tabela1107[[#This Row],[PIS]]+Tabela1107[[#This Row],[COFINS]]+Tabela1107[[#This Row],[CONTRIB. FOLHA]]+Tabela1107[[#This Row],[TRIBUTOS S/ LUCRO]]+Tabela1107[[#This Row],[OUTROS]]+Tabela1107[[#This Row],[MG]]</f>
        <v>37.74</v>
      </c>
      <c r="BL348" s="97">
        <f>+Tabela1107[[#This Row],[PIS]]+Tabela1107[[#This Row],[COFINS]]+Tabela1107[[#This Row],[CONTRIB. FOLHA]]+Tabela1107[[#This Row],[TRIBUTOS S/ LUCRO]]+Tabela1107[[#This Row],[OUTROS]]+Tabela1107[[#This Row],[ES]]</f>
        <v>36.74</v>
      </c>
      <c r="BM348" s="97">
        <f>+Tabela1107[[#This Row],[PIS]]+Tabela1107[[#This Row],[COFINS]]+Tabela1107[[#This Row],[CONTRIB. FOLHA]]+Tabela1107[[#This Row],[TRIBUTOS S/ LUCRO]]+Tabela1107[[#This Row],[OUTROS]]+Tabela1107[[#This Row],[GO]]</f>
        <v>36.74</v>
      </c>
      <c r="BN348" s="97">
        <f>+Tabela1107[[#This Row],[PIS]]+Tabela1107[[#This Row],[COFINS]]+Tabela1107[[#This Row],[CONTRIB. FOLHA]]+Tabela1107[[#This Row],[TRIBUTOS S/ LUCRO]]+Tabela1107[[#This Row],[OUTROS]]+Tabela1107[[#This Row],[MT]]</f>
        <v>36.74</v>
      </c>
      <c r="BO348" s="97">
        <f>+Tabela1107[[#This Row],[PIS]]+Tabela1107[[#This Row],[COFINS]]+Tabela1107[[#This Row],[CONTRIB. FOLHA]]+Tabela1107[[#This Row],[TRIBUTOS S/ LUCRO]]+Tabela1107[[#This Row],[OUTROS]]+Tabela1107[[#This Row],[MS]]</f>
        <v>36.74</v>
      </c>
      <c r="BP348" s="97">
        <f>+Tabela1107[[#This Row],[PIS]]+Tabela1107[[#This Row],[COFINS]]+Tabela1107[[#This Row],[CONTRIB. FOLHA]]+Tabela1107[[#This Row],[TRIBUTOS S/ LUCRO]]+Tabela1107[[#This Row],[OUTROS]]+Tabela1107[[#This Row],[DF]]</f>
        <v>36.74</v>
      </c>
      <c r="BQ348" s="97">
        <f>+Tabela1107[[#This Row],[PIS]]+Tabela1107[[#This Row],[COFINS]]+Tabela1107[[#This Row],[CONTRIB. FOLHA]]+Tabela1107[[#This Row],[TRIBUTOS S/ LUCRO]]+Tabela1107[[#This Row],[OUTROS]]+Tabela1107[[#This Row],[BA]]</f>
        <v>36.74</v>
      </c>
      <c r="BR348" s="97">
        <f>+Tabela1107[[#This Row],[PIS]]+Tabela1107[[#This Row],[COFINS]]+Tabela1107[[#This Row],[CONTRIB. FOLHA]]+Tabela1107[[#This Row],[TRIBUTOS S/ LUCRO]]+Tabela1107[[#This Row],[OUTROS]]+Tabela1107[[#This Row],[BA]]</f>
        <v>36.74</v>
      </c>
      <c r="BS348" s="97">
        <f>+Tabela1107[[#This Row],[PIS]]+Tabela1107[[#This Row],[COFINS]]+Tabela1107[[#This Row],[CONTRIB. FOLHA]]+Tabela1107[[#This Row],[TRIBUTOS S/ LUCRO]]+Tabela1107[[#This Row],[OUTROS]]+Tabela1107[[#This Row],[PE]]</f>
        <v>36.74</v>
      </c>
      <c r="BT348" s="97">
        <f>+Tabela1107[[#This Row],[PIS]]+Tabela1107[[#This Row],[COFINS]]+Tabela1107[[#This Row],[CONTRIB. FOLHA]]+Tabela1107[[#This Row],[TRIBUTOS S/ LUCRO]]+Tabela1107[[#This Row],[OUTROS]]+Tabela1107[[#This Row],[PA]]</f>
        <v>36.74</v>
      </c>
      <c r="BU348" s="97">
        <f>+Tabela1107[[#This Row],[PIS]]+Tabela1107[[#This Row],[COFINS]]+Tabela1107[[#This Row],[CONTRIB. FOLHA]]+Tabela1107[[#This Row],[TRIBUTOS S/ LUCRO]]+Tabela1107[[#This Row],[OUTROS]]+Tabela1107[[#This Row],[AM]]</f>
        <v>36.74</v>
      </c>
      <c r="BV348" s="97">
        <f>AVERAGE(Tabela1107[[#This Row],[TOTAL SP]:[TOTAL AM]])</f>
        <v>36.677500000000002</v>
      </c>
      <c r="BW348" s="97"/>
      <c r="BX348" s="97"/>
    </row>
    <row r="349" spans="2:76" x14ac:dyDescent="0.25">
      <c r="B349" s="89">
        <v>2453</v>
      </c>
      <c r="C349" s="91" t="s">
        <v>13183</v>
      </c>
      <c r="D349" s="89"/>
      <c r="E349" s="89">
        <v>20140626</v>
      </c>
      <c r="F349" s="89" t="s">
        <v>20695</v>
      </c>
      <c r="G349" s="89" t="s">
        <v>20696</v>
      </c>
      <c r="H349" s="89" t="s">
        <v>20697</v>
      </c>
      <c r="I349" s="89" t="s">
        <v>2675</v>
      </c>
      <c r="J349" s="89" t="s">
        <v>539</v>
      </c>
      <c r="K349" s="89" t="s">
        <v>2487</v>
      </c>
      <c r="L349" s="89" t="s">
        <v>2675</v>
      </c>
      <c r="M349" s="89" t="s">
        <v>4496</v>
      </c>
      <c r="N349" s="89" t="s">
        <v>4496</v>
      </c>
      <c r="O349" s="89" t="s">
        <v>4496</v>
      </c>
      <c r="P349" s="89" t="s">
        <v>4496</v>
      </c>
      <c r="Q349" s="89"/>
      <c r="R349" s="89" t="s">
        <v>29</v>
      </c>
      <c r="S349" s="89" t="s">
        <v>21616</v>
      </c>
      <c r="T349" s="89" t="s">
        <v>21617</v>
      </c>
      <c r="U349" s="89" t="str">
        <f>TRIM('Carga Tributária doenças Po (2'!$L349)</f>
        <v>PENTOXIFILINA</v>
      </c>
      <c r="V349" s="89">
        <f>SUMIFS('Tabela Federal'!$E$4:$E$2069,'Tabela Federal'!$D$4:$D$2069,'Carga Tributária doenças Po (2'!$L349)</f>
        <v>1</v>
      </c>
      <c r="W349" s="89">
        <f>SUMIFS('Tabela Federal'!$E$4:$E$2069,'Tabela Federal'!$D$4:$D$2069,'Carga Tributária doenças Po (2'!$M349)</f>
        <v>0</v>
      </c>
      <c r="X349" s="89">
        <f>SUMIFS('Tabela Federal'!$E$4:$E$2069,'Tabela Federal'!$D$4:$D$2069,'Carga Tributária doenças Po (2'!$N349)</f>
        <v>0</v>
      </c>
      <c r="Y349" s="89">
        <f>SUMIFS('Tabela Federal'!$E$4:$E$2069,'Tabela Federal'!$D$4:$D$2069,'Carga Tributária doenças Po (2'!$O349)</f>
        <v>0</v>
      </c>
      <c r="Z349" s="92" t="str">
        <f>VLOOKUP('Carga Tributária doenças Po (2'!$AD349,'Carga Tributária doenças Po (2'!$CA$12:$CC$16,2,0)</f>
        <v>+</v>
      </c>
      <c r="AA349" s="89" t="s">
        <v>535</v>
      </c>
      <c r="AB349" s="89" t="s">
        <v>21795</v>
      </c>
      <c r="AC349" s="89" t="s">
        <v>21721</v>
      </c>
      <c r="AD349" s="93" t="s">
        <v>21722</v>
      </c>
      <c r="AE349" s="92" t="s">
        <v>2</v>
      </c>
      <c r="AF349" s="92" t="s">
        <v>10</v>
      </c>
      <c r="AG349" s="94">
        <v>271508</v>
      </c>
      <c r="AH349" s="95">
        <v>3987855</v>
      </c>
      <c r="AI349" s="95">
        <v>9093830.6400000006</v>
      </c>
      <c r="AJ349" s="89" t="s">
        <v>548</v>
      </c>
      <c r="AK349" s="89">
        <f>IF('Carga Tributária doenças Po (2'!$Z349="+",0,SUMIFS(PISCOFINS!$I$3:$I$10518,PISCOFINS!$C$3:$C$10518,'Carga Tributária doenças Po (2'!$C349))</f>
        <v>0</v>
      </c>
      <c r="AL349" s="89">
        <f>IF('Carga Tributária doenças Po (2'!$Z349="+",0,SUMIFS(PISCOFINS!$H$3:$H$10518,PISCOFINS!$C$3:$C$10518,'Carga Tributária doenças Po (2'!$C349))</f>
        <v>0</v>
      </c>
      <c r="AM349" s="95">
        <v>3.27</v>
      </c>
      <c r="AN349" s="95">
        <v>3.12</v>
      </c>
      <c r="AO349" s="95">
        <v>1.35</v>
      </c>
      <c r="AP349" s="96">
        <v>18</v>
      </c>
      <c r="AQ349" s="96">
        <v>12</v>
      </c>
      <c r="AR349" s="96">
        <v>17</v>
      </c>
      <c r="AS349" s="97">
        <v>17</v>
      </c>
      <c r="AT349" s="97">
        <v>19</v>
      </c>
      <c r="AU349" s="97">
        <v>12</v>
      </c>
      <c r="AV349" s="97">
        <v>17</v>
      </c>
      <c r="AW349" s="97">
        <v>17</v>
      </c>
      <c r="AX349" s="97">
        <v>17</v>
      </c>
      <c r="AY349" s="97">
        <v>17</v>
      </c>
      <c r="AZ349" s="97">
        <v>17</v>
      </c>
      <c r="BA349" s="97">
        <v>17</v>
      </c>
      <c r="BB349" s="97">
        <v>17</v>
      </c>
      <c r="BC349" s="97">
        <v>17</v>
      </c>
      <c r="BD349" s="97">
        <v>17</v>
      </c>
      <c r="BE349" s="97">
        <v>17</v>
      </c>
      <c r="BF349" s="97">
        <f>+Tabela1107[[#This Row],[PIS]]+Tabela1107[[#This Row],[COFINS]]+Tabela1107[[#This Row],[CONTRIB. FOLHA]]+Tabela1107[[#This Row],[TRIBUTOS S/ LUCRO]]+Tabela1107[[#This Row],[OUTROS]]+Tabela1107[[#This Row],[SP]]</f>
        <v>25.740000000000002</v>
      </c>
      <c r="BG349" s="97">
        <f>+Tabela1107[[#This Row],[PIS]]+Tabela1107[[#This Row],[COFINS]]+Tabela1107[[#This Row],[CONTRIB. FOLHA]]+Tabela1107[[#This Row],[TRIBUTOS S/ LUCRO]]+Tabela1107[[#This Row],[OUTROS]]+Tabela1107[[#This Row],[PR]]</f>
        <v>19.740000000000002</v>
      </c>
      <c r="BH349" s="97">
        <f>+Tabela1107[[#This Row],[PIS]]+Tabela1107[[#This Row],[COFINS]]+Tabela1107[[#This Row],[CONTRIB. FOLHA]]+Tabela1107[[#This Row],[TRIBUTOS S/ LUCRO]]+Tabela1107[[#This Row],[OUTROS]]+Tabela1107[[#This Row],[SC]]</f>
        <v>24.740000000000002</v>
      </c>
      <c r="BI349" s="97">
        <f>+Tabela1107[[#This Row],[PIS]]+Tabela1107[[#This Row],[COFINS]]+Tabela1107[[#This Row],[CONTRIB. FOLHA]]+Tabela1107[[#This Row],[TRIBUTOS S/ LUCRO]]+Tabela1107[[#This Row],[OUTROS]]+Tabela1107[[#This Row],[RS]]</f>
        <v>24.740000000000002</v>
      </c>
      <c r="BJ349" s="97">
        <f>+Tabela1107[[#This Row],[PIS]]+Tabela1107[[#This Row],[COFINS]]+Tabela1107[[#This Row],[CONTRIB. FOLHA]]+Tabela1107[[#This Row],[TRIBUTOS S/ LUCRO]]+Tabela1107[[#This Row],[OUTROS]]+Tabela1107[[#This Row],[RJ]]</f>
        <v>26.740000000000002</v>
      </c>
      <c r="BK349" s="97">
        <f>+Tabela1107[[#This Row],[PIS]]+Tabela1107[[#This Row],[COFINS]]+Tabela1107[[#This Row],[CONTRIB. FOLHA]]+Tabela1107[[#This Row],[TRIBUTOS S/ LUCRO]]+Tabela1107[[#This Row],[OUTROS]]+Tabela1107[[#This Row],[MG]]</f>
        <v>19.740000000000002</v>
      </c>
      <c r="BL349" s="97">
        <f>+Tabela1107[[#This Row],[PIS]]+Tabela1107[[#This Row],[COFINS]]+Tabela1107[[#This Row],[CONTRIB. FOLHA]]+Tabela1107[[#This Row],[TRIBUTOS S/ LUCRO]]+Tabela1107[[#This Row],[OUTROS]]+Tabela1107[[#This Row],[ES]]</f>
        <v>24.740000000000002</v>
      </c>
      <c r="BM349" s="97">
        <f>+Tabela1107[[#This Row],[PIS]]+Tabela1107[[#This Row],[COFINS]]+Tabela1107[[#This Row],[CONTRIB. FOLHA]]+Tabela1107[[#This Row],[TRIBUTOS S/ LUCRO]]+Tabela1107[[#This Row],[OUTROS]]+Tabela1107[[#This Row],[GO]]</f>
        <v>24.740000000000002</v>
      </c>
      <c r="BN349" s="97">
        <f>+Tabela1107[[#This Row],[PIS]]+Tabela1107[[#This Row],[COFINS]]+Tabela1107[[#This Row],[CONTRIB. FOLHA]]+Tabela1107[[#This Row],[TRIBUTOS S/ LUCRO]]+Tabela1107[[#This Row],[OUTROS]]+Tabela1107[[#This Row],[MT]]</f>
        <v>24.740000000000002</v>
      </c>
      <c r="BO349" s="97">
        <f>+Tabela1107[[#This Row],[PIS]]+Tabela1107[[#This Row],[COFINS]]+Tabela1107[[#This Row],[CONTRIB. FOLHA]]+Tabela1107[[#This Row],[TRIBUTOS S/ LUCRO]]+Tabela1107[[#This Row],[OUTROS]]+Tabela1107[[#This Row],[MS]]</f>
        <v>24.740000000000002</v>
      </c>
      <c r="BP349" s="97">
        <f>+Tabela1107[[#This Row],[PIS]]+Tabela1107[[#This Row],[COFINS]]+Tabela1107[[#This Row],[CONTRIB. FOLHA]]+Tabela1107[[#This Row],[TRIBUTOS S/ LUCRO]]+Tabela1107[[#This Row],[OUTROS]]+Tabela1107[[#This Row],[DF]]</f>
        <v>24.740000000000002</v>
      </c>
      <c r="BQ349" s="97">
        <f>+Tabela1107[[#This Row],[PIS]]+Tabela1107[[#This Row],[COFINS]]+Tabela1107[[#This Row],[CONTRIB. FOLHA]]+Tabela1107[[#This Row],[TRIBUTOS S/ LUCRO]]+Tabela1107[[#This Row],[OUTROS]]+Tabela1107[[#This Row],[BA]]</f>
        <v>24.740000000000002</v>
      </c>
      <c r="BR349" s="97">
        <f>+Tabela1107[[#This Row],[PIS]]+Tabela1107[[#This Row],[COFINS]]+Tabela1107[[#This Row],[CONTRIB. FOLHA]]+Tabela1107[[#This Row],[TRIBUTOS S/ LUCRO]]+Tabela1107[[#This Row],[OUTROS]]+Tabela1107[[#This Row],[BA]]</f>
        <v>24.740000000000002</v>
      </c>
      <c r="BS349" s="97">
        <f>+Tabela1107[[#This Row],[PIS]]+Tabela1107[[#This Row],[COFINS]]+Tabela1107[[#This Row],[CONTRIB. FOLHA]]+Tabela1107[[#This Row],[TRIBUTOS S/ LUCRO]]+Tabela1107[[#This Row],[OUTROS]]+Tabela1107[[#This Row],[PE]]</f>
        <v>24.740000000000002</v>
      </c>
      <c r="BT349" s="97">
        <f>+Tabela1107[[#This Row],[PIS]]+Tabela1107[[#This Row],[COFINS]]+Tabela1107[[#This Row],[CONTRIB. FOLHA]]+Tabela1107[[#This Row],[TRIBUTOS S/ LUCRO]]+Tabela1107[[#This Row],[OUTROS]]+Tabela1107[[#This Row],[PA]]</f>
        <v>24.740000000000002</v>
      </c>
      <c r="BU349" s="97">
        <f>+Tabela1107[[#This Row],[PIS]]+Tabela1107[[#This Row],[COFINS]]+Tabela1107[[#This Row],[CONTRIB. FOLHA]]+Tabela1107[[#This Row],[TRIBUTOS S/ LUCRO]]+Tabela1107[[#This Row],[OUTROS]]+Tabela1107[[#This Row],[AM]]</f>
        <v>24.740000000000002</v>
      </c>
      <c r="BV349" s="97">
        <f>AVERAGE(Tabela1107[[#This Row],[TOTAL SP]:[TOTAL AM]])</f>
        <v>24.302500000000006</v>
      </c>
      <c r="BW349" s="97"/>
      <c r="BX349" s="97"/>
    </row>
    <row r="350" spans="2:76" x14ac:dyDescent="0.25">
      <c r="B350" s="89">
        <v>14583</v>
      </c>
      <c r="C350" s="91" t="s">
        <v>13168</v>
      </c>
      <c r="D350" s="89"/>
      <c r="E350" s="89">
        <v>20140626</v>
      </c>
      <c r="F350" s="89" t="s">
        <v>21395</v>
      </c>
      <c r="G350" s="89" t="s">
        <v>21396</v>
      </c>
      <c r="H350" s="89" t="s">
        <v>21397</v>
      </c>
      <c r="I350" s="89" t="s">
        <v>21398</v>
      </c>
      <c r="J350" s="89" t="s">
        <v>300</v>
      </c>
      <c r="K350" s="99" t="s">
        <v>2539</v>
      </c>
      <c r="L350" s="89" t="s">
        <v>2676</v>
      </c>
      <c r="M350" s="89" t="s">
        <v>4496</v>
      </c>
      <c r="N350" s="89" t="s">
        <v>4496</v>
      </c>
      <c r="O350" s="89" t="s">
        <v>4496</v>
      </c>
      <c r="P350" s="89" t="s">
        <v>4496</v>
      </c>
      <c r="Q350" s="89"/>
      <c r="R350" s="89" t="s">
        <v>58</v>
      </c>
      <c r="S350" s="89" t="s">
        <v>21572</v>
      </c>
      <c r="T350" s="89" t="s">
        <v>21573</v>
      </c>
      <c r="U350" s="89" t="str">
        <f>TRIM('Carga Tributária doenças Po (2'!$L350)</f>
        <v>LEVODROPROPIZINA</v>
      </c>
      <c r="V350" s="89">
        <f>SUMIFS('Tabela Federal'!$E$4:$E$2069,'Tabela Federal'!$D$4:$D$2069,'Carga Tributária doenças Po (2'!$L350)</f>
        <v>0</v>
      </c>
      <c r="W350" s="89">
        <f>SUMIFS('Tabela Federal'!$E$4:$E$2069,'Tabela Federal'!$D$4:$D$2069,'Carga Tributária doenças Po (2'!$M350)</f>
        <v>0</v>
      </c>
      <c r="X350" s="89">
        <f>SUMIFS('Tabela Federal'!$E$4:$E$2069,'Tabela Federal'!$D$4:$D$2069,'Carga Tributária doenças Po (2'!$N350)</f>
        <v>0</v>
      </c>
      <c r="Y350" s="89">
        <f>SUMIFS('Tabela Federal'!$E$4:$E$2069,'Tabela Federal'!$D$4:$D$2069,'Carga Tributária doenças Po (2'!$O350)</f>
        <v>0</v>
      </c>
      <c r="Z350" s="92" t="str">
        <f>VLOOKUP('Carga Tributária doenças Po (2'!$AD350,'Carga Tributária doenças Po (2'!$CA$12:$CC$16,2,0)</f>
        <v>-</v>
      </c>
      <c r="AA350" s="89" t="s">
        <v>298</v>
      </c>
      <c r="AB350" s="89" t="s">
        <v>21886</v>
      </c>
      <c r="AC350" s="89" t="s">
        <v>21721</v>
      </c>
      <c r="AD350" s="93" t="s">
        <v>19523</v>
      </c>
      <c r="AE350" s="92" t="s">
        <v>4</v>
      </c>
      <c r="AF350" s="92" t="s">
        <v>3</v>
      </c>
      <c r="AG350" s="94">
        <v>1308304</v>
      </c>
      <c r="AH350" s="95">
        <v>10939223</v>
      </c>
      <c r="AI350" s="95">
        <v>24797385.98</v>
      </c>
      <c r="AJ350" s="89" t="s">
        <v>286</v>
      </c>
      <c r="AK350" s="89">
        <f>IF('Carga Tributária doenças Po (2'!$Z350="+",0,SUMIFS(PISCOFINS!$I$3:$I$10518,PISCOFINS!$C$3:$C$10518,'Carga Tributária doenças Po (2'!$C350))</f>
        <v>2.1</v>
      </c>
      <c r="AL350" s="89">
        <f>IF('Carga Tributária doenças Po (2'!$Z350="+",0,SUMIFS(PISCOFINS!$H$3:$H$10518,PISCOFINS!$C$3:$C$10518,'Carga Tributária doenças Po (2'!$C350))</f>
        <v>9.9</v>
      </c>
      <c r="AM350" s="95">
        <v>3.27</v>
      </c>
      <c r="AN350" s="95">
        <v>3.12</v>
      </c>
      <c r="AO350" s="95">
        <v>1.35</v>
      </c>
      <c r="AP350" s="96">
        <v>18</v>
      </c>
      <c r="AQ350" s="96">
        <v>12</v>
      </c>
      <c r="AR350" s="96">
        <v>17</v>
      </c>
      <c r="AS350" s="97">
        <v>17</v>
      </c>
      <c r="AT350" s="97">
        <v>19</v>
      </c>
      <c r="AU350" s="97">
        <v>18</v>
      </c>
      <c r="AV350" s="97">
        <v>17</v>
      </c>
      <c r="AW350" s="97">
        <v>17</v>
      </c>
      <c r="AX350" s="97">
        <v>17</v>
      </c>
      <c r="AY350" s="97">
        <v>17</v>
      </c>
      <c r="AZ350" s="97">
        <v>17</v>
      </c>
      <c r="BA350" s="97">
        <v>17</v>
      </c>
      <c r="BB350" s="97">
        <v>17</v>
      </c>
      <c r="BC350" s="97">
        <v>17</v>
      </c>
      <c r="BD350" s="97">
        <v>17</v>
      </c>
      <c r="BE350" s="97">
        <v>17</v>
      </c>
      <c r="BF350" s="97">
        <f>+Tabela1107[[#This Row],[PIS]]+Tabela1107[[#This Row],[COFINS]]+Tabela1107[[#This Row],[CONTRIB. FOLHA]]+Tabela1107[[#This Row],[TRIBUTOS S/ LUCRO]]+Tabela1107[[#This Row],[OUTROS]]+Tabela1107[[#This Row],[SP]]</f>
        <v>37.74</v>
      </c>
      <c r="BG350" s="97">
        <f>+Tabela1107[[#This Row],[PIS]]+Tabela1107[[#This Row],[COFINS]]+Tabela1107[[#This Row],[CONTRIB. FOLHA]]+Tabela1107[[#This Row],[TRIBUTOS S/ LUCRO]]+Tabela1107[[#This Row],[OUTROS]]+Tabela1107[[#This Row],[PR]]</f>
        <v>31.740000000000002</v>
      </c>
      <c r="BH350" s="97">
        <f>+Tabela1107[[#This Row],[PIS]]+Tabela1107[[#This Row],[COFINS]]+Tabela1107[[#This Row],[CONTRIB. FOLHA]]+Tabela1107[[#This Row],[TRIBUTOS S/ LUCRO]]+Tabela1107[[#This Row],[OUTROS]]+Tabela1107[[#This Row],[SC]]</f>
        <v>36.74</v>
      </c>
      <c r="BI350" s="97">
        <f>+Tabela1107[[#This Row],[PIS]]+Tabela1107[[#This Row],[COFINS]]+Tabela1107[[#This Row],[CONTRIB. FOLHA]]+Tabela1107[[#This Row],[TRIBUTOS S/ LUCRO]]+Tabela1107[[#This Row],[OUTROS]]+Tabela1107[[#This Row],[RS]]</f>
        <v>36.74</v>
      </c>
      <c r="BJ350" s="97">
        <f>+Tabela1107[[#This Row],[PIS]]+Tabela1107[[#This Row],[COFINS]]+Tabela1107[[#This Row],[CONTRIB. FOLHA]]+Tabela1107[[#This Row],[TRIBUTOS S/ LUCRO]]+Tabela1107[[#This Row],[OUTROS]]+Tabela1107[[#This Row],[RJ]]</f>
        <v>38.74</v>
      </c>
      <c r="BK350" s="97">
        <f>+Tabela1107[[#This Row],[PIS]]+Tabela1107[[#This Row],[COFINS]]+Tabela1107[[#This Row],[CONTRIB. FOLHA]]+Tabela1107[[#This Row],[TRIBUTOS S/ LUCRO]]+Tabela1107[[#This Row],[OUTROS]]+Tabela1107[[#This Row],[MG]]</f>
        <v>37.74</v>
      </c>
      <c r="BL350" s="97">
        <f>+Tabela1107[[#This Row],[PIS]]+Tabela1107[[#This Row],[COFINS]]+Tabela1107[[#This Row],[CONTRIB. FOLHA]]+Tabela1107[[#This Row],[TRIBUTOS S/ LUCRO]]+Tabela1107[[#This Row],[OUTROS]]+Tabela1107[[#This Row],[ES]]</f>
        <v>36.74</v>
      </c>
      <c r="BM350" s="97">
        <f>+Tabela1107[[#This Row],[PIS]]+Tabela1107[[#This Row],[COFINS]]+Tabela1107[[#This Row],[CONTRIB. FOLHA]]+Tabela1107[[#This Row],[TRIBUTOS S/ LUCRO]]+Tabela1107[[#This Row],[OUTROS]]+Tabela1107[[#This Row],[GO]]</f>
        <v>36.74</v>
      </c>
      <c r="BN350" s="97">
        <f>+Tabela1107[[#This Row],[PIS]]+Tabela1107[[#This Row],[COFINS]]+Tabela1107[[#This Row],[CONTRIB. FOLHA]]+Tabela1107[[#This Row],[TRIBUTOS S/ LUCRO]]+Tabela1107[[#This Row],[OUTROS]]+Tabela1107[[#This Row],[MT]]</f>
        <v>36.74</v>
      </c>
      <c r="BO350" s="97">
        <f>+Tabela1107[[#This Row],[PIS]]+Tabela1107[[#This Row],[COFINS]]+Tabela1107[[#This Row],[CONTRIB. FOLHA]]+Tabela1107[[#This Row],[TRIBUTOS S/ LUCRO]]+Tabela1107[[#This Row],[OUTROS]]+Tabela1107[[#This Row],[MS]]</f>
        <v>36.74</v>
      </c>
      <c r="BP350" s="97">
        <f>+Tabela1107[[#This Row],[PIS]]+Tabela1107[[#This Row],[COFINS]]+Tabela1107[[#This Row],[CONTRIB. FOLHA]]+Tabela1107[[#This Row],[TRIBUTOS S/ LUCRO]]+Tabela1107[[#This Row],[OUTROS]]+Tabela1107[[#This Row],[DF]]</f>
        <v>36.74</v>
      </c>
      <c r="BQ350" s="97">
        <f>+Tabela1107[[#This Row],[PIS]]+Tabela1107[[#This Row],[COFINS]]+Tabela1107[[#This Row],[CONTRIB. FOLHA]]+Tabela1107[[#This Row],[TRIBUTOS S/ LUCRO]]+Tabela1107[[#This Row],[OUTROS]]+Tabela1107[[#This Row],[BA]]</f>
        <v>36.74</v>
      </c>
      <c r="BR350" s="97">
        <f>+Tabela1107[[#This Row],[PIS]]+Tabela1107[[#This Row],[COFINS]]+Tabela1107[[#This Row],[CONTRIB. FOLHA]]+Tabela1107[[#This Row],[TRIBUTOS S/ LUCRO]]+Tabela1107[[#This Row],[OUTROS]]+Tabela1107[[#This Row],[BA]]</f>
        <v>36.74</v>
      </c>
      <c r="BS350" s="97">
        <f>+Tabela1107[[#This Row],[PIS]]+Tabela1107[[#This Row],[COFINS]]+Tabela1107[[#This Row],[CONTRIB. FOLHA]]+Tabela1107[[#This Row],[TRIBUTOS S/ LUCRO]]+Tabela1107[[#This Row],[OUTROS]]+Tabela1107[[#This Row],[PE]]</f>
        <v>36.74</v>
      </c>
      <c r="BT350" s="97">
        <f>+Tabela1107[[#This Row],[PIS]]+Tabela1107[[#This Row],[COFINS]]+Tabela1107[[#This Row],[CONTRIB. FOLHA]]+Tabela1107[[#This Row],[TRIBUTOS S/ LUCRO]]+Tabela1107[[#This Row],[OUTROS]]+Tabela1107[[#This Row],[PA]]</f>
        <v>36.74</v>
      </c>
      <c r="BU350" s="97">
        <f>+Tabela1107[[#This Row],[PIS]]+Tabela1107[[#This Row],[COFINS]]+Tabela1107[[#This Row],[CONTRIB. FOLHA]]+Tabela1107[[#This Row],[TRIBUTOS S/ LUCRO]]+Tabela1107[[#This Row],[OUTROS]]+Tabela1107[[#This Row],[AM]]</f>
        <v>36.74</v>
      </c>
      <c r="BV350" s="97">
        <f>AVERAGE(Tabela1107[[#This Row],[TOTAL SP]:[TOTAL AM]])</f>
        <v>36.677500000000002</v>
      </c>
      <c r="BW350" s="97"/>
      <c r="BX350" s="97"/>
    </row>
    <row r="351" spans="2:76" x14ac:dyDescent="0.25">
      <c r="B351" s="89">
        <v>18813</v>
      </c>
      <c r="C351" s="91" t="s">
        <v>13143</v>
      </c>
      <c r="D351" s="89"/>
      <c r="E351" s="89">
        <v>20140626</v>
      </c>
      <c r="F351" s="89" t="s">
        <v>21367</v>
      </c>
      <c r="G351" s="89" t="s">
        <v>21368</v>
      </c>
      <c r="H351" s="89" t="s">
        <v>21369</v>
      </c>
      <c r="I351" s="89" t="s">
        <v>21370</v>
      </c>
      <c r="J351" s="89" t="s">
        <v>77</v>
      </c>
      <c r="K351" s="99" t="s">
        <v>2538</v>
      </c>
      <c r="L351" s="89" t="s">
        <v>2677</v>
      </c>
      <c r="M351" s="89" t="s">
        <v>4496</v>
      </c>
      <c r="N351" s="89" t="s">
        <v>4496</v>
      </c>
      <c r="O351" s="89" t="s">
        <v>4496</v>
      </c>
      <c r="P351" s="89" t="s">
        <v>4496</v>
      </c>
      <c r="Q351" s="89"/>
      <c r="R351" s="89" t="s">
        <v>28</v>
      </c>
      <c r="S351" s="89" t="s">
        <v>21692</v>
      </c>
      <c r="T351" s="89" t="s">
        <v>21693</v>
      </c>
      <c r="U351" s="89" t="str">
        <f>TRIM('Carga Tributária doenças Po (2'!$L351)</f>
        <v>METOCLOPRAMIDA</v>
      </c>
      <c r="V351" s="89">
        <f>SUMIFS('Tabela Federal'!$E$4:$E$2069,'Tabela Federal'!$D$4:$D$2069,'Carga Tributária doenças Po (2'!$L351)</f>
        <v>1</v>
      </c>
      <c r="W351" s="89">
        <f>SUMIFS('Tabela Federal'!$E$4:$E$2069,'Tabela Federal'!$D$4:$D$2069,'Carga Tributária doenças Po (2'!$M351)</f>
        <v>0</v>
      </c>
      <c r="X351" s="89">
        <f>SUMIFS('Tabela Federal'!$E$4:$E$2069,'Tabela Federal'!$D$4:$D$2069,'Carga Tributária doenças Po (2'!$N351)</f>
        <v>0</v>
      </c>
      <c r="Y351" s="89">
        <f>SUMIFS('Tabela Federal'!$E$4:$E$2069,'Tabela Federal'!$D$4:$D$2069,'Carga Tributária doenças Po (2'!$O351)</f>
        <v>0</v>
      </c>
      <c r="Z351" s="92" t="str">
        <f>VLOOKUP('Carga Tributária doenças Po (2'!$AD351,'Carga Tributária doenças Po (2'!$CA$12:$CC$16,2,0)</f>
        <v>-</v>
      </c>
      <c r="AA351" s="89" t="s">
        <v>78</v>
      </c>
      <c r="AB351" s="89" t="s">
        <v>21808</v>
      </c>
      <c r="AC351" s="89" t="s">
        <v>21721</v>
      </c>
      <c r="AD351" s="93" t="s">
        <v>19523</v>
      </c>
      <c r="AE351" s="92" t="s">
        <v>4</v>
      </c>
      <c r="AF351" s="92" t="s">
        <v>23</v>
      </c>
      <c r="AG351" s="94">
        <v>2432477</v>
      </c>
      <c r="AH351" s="95">
        <v>5714663</v>
      </c>
      <c r="AI351" s="95">
        <v>13061613.539999999</v>
      </c>
      <c r="AJ351" s="89" t="s">
        <v>76</v>
      </c>
      <c r="AK351" s="89">
        <f>IF('Carga Tributária doenças Po (2'!$Z351="+",0,SUMIFS(PISCOFINS!$I$3:$I$10518,PISCOFINS!$C$3:$C$10518,'Carga Tributária doenças Po (2'!$C351))</f>
        <v>2.1</v>
      </c>
      <c r="AL351" s="89">
        <f>IF('Carga Tributária doenças Po (2'!$Z351="+",0,SUMIFS(PISCOFINS!$H$3:$H$10518,PISCOFINS!$C$3:$C$10518,'Carga Tributária doenças Po (2'!$C351))</f>
        <v>9.9</v>
      </c>
      <c r="AM351" s="95">
        <v>3.27</v>
      </c>
      <c r="AN351" s="95">
        <v>3.12</v>
      </c>
      <c r="AO351" s="95">
        <v>1.35</v>
      </c>
      <c r="AP351" s="96">
        <v>18</v>
      </c>
      <c r="AQ351" s="96">
        <v>12</v>
      </c>
      <c r="AR351" s="96">
        <v>17</v>
      </c>
      <c r="AS351" s="97">
        <v>17</v>
      </c>
      <c r="AT351" s="97">
        <v>19</v>
      </c>
      <c r="AU351" s="97">
        <v>18</v>
      </c>
      <c r="AV351" s="97">
        <v>17</v>
      </c>
      <c r="AW351" s="97">
        <v>17</v>
      </c>
      <c r="AX351" s="97">
        <v>17</v>
      </c>
      <c r="AY351" s="97">
        <v>17</v>
      </c>
      <c r="AZ351" s="97">
        <v>17</v>
      </c>
      <c r="BA351" s="97">
        <v>17</v>
      </c>
      <c r="BB351" s="97">
        <v>17</v>
      </c>
      <c r="BC351" s="97">
        <v>17</v>
      </c>
      <c r="BD351" s="97">
        <v>17</v>
      </c>
      <c r="BE351" s="97">
        <v>17</v>
      </c>
      <c r="BF351" s="97">
        <f>+Tabela1107[[#This Row],[PIS]]+Tabela1107[[#This Row],[COFINS]]+Tabela1107[[#This Row],[CONTRIB. FOLHA]]+Tabela1107[[#This Row],[TRIBUTOS S/ LUCRO]]+Tabela1107[[#This Row],[OUTROS]]+Tabela1107[[#This Row],[SP]]</f>
        <v>37.74</v>
      </c>
      <c r="BG351" s="97">
        <f>+Tabela1107[[#This Row],[PIS]]+Tabela1107[[#This Row],[COFINS]]+Tabela1107[[#This Row],[CONTRIB. FOLHA]]+Tabela1107[[#This Row],[TRIBUTOS S/ LUCRO]]+Tabela1107[[#This Row],[OUTROS]]+Tabela1107[[#This Row],[PR]]</f>
        <v>31.740000000000002</v>
      </c>
      <c r="BH351" s="97">
        <f>+Tabela1107[[#This Row],[PIS]]+Tabela1107[[#This Row],[COFINS]]+Tabela1107[[#This Row],[CONTRIB. FOLHA]]+Tabela1107[[#This Row],[TRIBUTOS S/ LUCRO]]+Tabela1107[[#This Row],[OUTROS]]+Tabela1107[[#This Row],[SC]]</f>
        <v>36.74</v>
      </c>
      <c r="BI351" s="97">
        <f>+Tabela1107[[#This Row],[PIS]]+Tabela1107[[#This Row],[COFINS]]+Tabela1107[[#This Row],[CONTRIB. FOLHA]]+Tabela1107[[#This Row],[TRIBUTOS S/ LUCRO]]+Tabela1107[[#This Row],[OUTROS]]+Tabela1107[[#This Row],[RS]]</f>
        <v>36.74</v>
      </c>
      <c r="BJ351" s="97">
        <f>+Tabela1107[[#This Row],[PIS]]+Tabela1107[[#This Row],[COFINS]]+Tabela1107[[#This Row],[CONTRIB. FOLHA]]+Tabela1107[[#This Row],[TRIBUTOS S/ LUCRO]]+Tabela1107[[#This Row],[OUTROS]]+Tabela1107[[#This Row],[RJ]]</f>
        <v>38.74</v>
      </c>
      <c r="BK351" s="97">
        <f>+Tabela1107[[#This Row],[PIS]]+Tabela1107[[#This Row],[COFINS]]+Tabela1107[[#This Row],[CONTRIB. FOLHA]]+Tabela1107[[#This Row],[TRIBUTOS S/ LUCRO]]+Tabela1107[[#This Row],[OUTROS]]+Tabela1107[[#This Row],[MG]]</f>
        <v>37.74</v>
      </c>
      <c r="BL351" s="97">
        <f>+Tabela1107[[#This Row],[PIS]]+Tabela1107[[#This Row],[COFINS]]+Tabela1107[[#This Row],[CONTRIB. FOLHA]]+Tabela1107[[#This Row],[TRIBUTOS S/ LUCRO]]+Tabela1107[[#This Row],[OUTROS]]+Tabela1107[[#This Row],[ES]]</f>
        <v>36.74</v>
      </c>
      <c r="BM351" s="97">
        <f>+Tabela1107[[#This Row],[PIS]]+Tabela1107[[#This Row],[COFINS]]+Tabela1107[[#This Row],[CONTRIB. FOLHA]]+Tabela1107[[#This Row],[TRIBUTOS S/ LUCRO]]+Tabela1107[[#This Row],[OUTROS]]+Tabela1107[[#This Row],[GO]]</f>
        <v>36.74</v>
      </c>
      <c r="BN351" s="97">
        <f>+Tabela1107[[#This Row],[PIS]]+Tabela1107[[#This Row],[COFINS]]+Tabela1107[[#This Row],[CONTRIB. FOLHA]]+Tabela1107[[#This Row],[TRIBUTOS S/ LUCRO]]+Tabela1107[[#This Row],[OUTROS]]+Tabela1107[[#This Row],[MT]]</f>
        <v>36.74</v>
      </c>
      <c r="BO351" s="97">
        <f>+Tabela1107[[#This Row],[PIS]]+Tabela1107[[#This Row],[COFINS]]+Tabela1107[[#This Row],[CONTRIB. FOLHA]]+Tabela1107[[#This Row],[TRIBUTOS S/ LUCRO]]+Tabela1107[[#This Row],[OUTROS]]+Tabela1107[[#This Row],[MS]]</f>
        <v>36.74</v>
      </c>
      <c r="BP351" s="97">
        <f>+Tabela1107[[#This Row],[PIS]]+Tabela1107[[#This Row],[COFINS]]+Tabela1107[[#This Row],[CONTRIB. FOLHA]]+Tabela1107[[#This Row],[TRIBUTOS S/ LUCRO]]+Tabela1107[[#This Row],[OUTROS]]+Tabela1107[[#This Row],[DF]]</f>
        <v>36.74</v>
      </c>
      <c r="BQ351" s="97">
        <f>+Tabela1107[[#This Row],[PIS]]+Tabela1107[[#This Row],[COFINS]]+Tabela1107[[#This Row],[CONTRIB. FOLHA]]+Tabela1107[[#This Row],[TRIBUTOS S/ LUCRO]]+Tabela1107[[#This Row],[OUTROS]]+Tabela1107[[#This Row],[BA]]</f>
        <v>36.74</v>
      </c>
      <c r="BR351" s="97">
        <f>+Tabela1107[[#This Row],[PIS]]+Tabela1107[[#This Row],[COFINS]]+Tabela1107[[#This Row],[CONTRIB. FOLHA]]+Tabela1107[[#This Row],[TRIBUTOS S/ LUCRO]]+Tabela1107[[#This Row],[OUTROS]]+Tabela1107[[#This Row],[BA]]</f>
        <v>36.74</v>
      </c>
      <c r="BS351" s="97">
        <f>+Tabela1107[[#This Row],[PIS]]+Tabela1107[[#This Row],[COFINS]]+Tabela1107[[#This Row],[CONTRIB. FOLHA]]+Tabela1107[[#This Row],[TRIBUTOS S/ LUCRO]]+Tabela1107[[#This Row],[OUTROS]]+Tabela1107[[#This Row],[PE]]</f>
        <v>36.74</v>
      </c>
      <c r="BT351" s="97">
        <f>+Tabela1107[[#This Row],[PIS]]+Tabela1107[[#This Row],[COFINS]]+Tabela1107[[#This Row],[CONTRIB. FOLHA]]+Tabela1107[[#This Row],[TRIBUTOS S/ LUCRO]]+Tabela1107[[#This Row],[OUTROS]]+Tabela1107[[#This Row],[PA]]</f>
        <v>36.74</v>
      </c>
      <c r="BU351" s="97">
        <f>+Tabela1107[[#This Row],[PIS]]+Tabela1107[[#This Row],[COFINS]]+Tabela1107[[#This Row],[CONTRIB. FOLHA]]+Tabela1107[[#This Row],[TRIBUTOS S/ LUCRO]]+Tabela1107[[#This Row],[OUTROS]]+Tabela1107[[#This Row],[AM]]</f>
        <v>36.74</v>
      </c>
      <c r="BV351" s="97">
        <f>AVERAGE(Tabela1107[[#This Row],[TOTAL SP]:[TOTAL AM]])</f>
        <v>36.677500000000002</v>
      </c>
      <c r="BW351" s="97"/>
      <c r="BX351" s="97"/>
    </row>
    <row r="352" spans="2:76" x14ac:dyDescent="0.25">
      <c r="B352" s="89">
        <v>18813</v>
      </c>
      <c r="C352" s="91" t="s">
        <v>13143</v>
      </c>
      <c r="D352" s="89"/>
      <c r="E352" s="89">
        <v>20140626</v>
      </c>
      <c r="F352" s="89" t="s">
        <v>21367</v>
      </c>
      <c r="G352" s="89" t="s">
        <v>21368</v>
      </c>
      <c r="H352" s="89" t="s">
        <v>21369</v>
      </c>
      <c r="I352" s="89" t="s">
        <v>21370</v>
      </c>
      <c r="J352" s="89" t="s">
        <v>77</v>
      </c>
      <c r="K352" s="99" t="s">
        <v>2538</v>
      </c>
      <c r="L352" s="89" t="s">
        <v>2677</v>
      </c>
      <c r="M352" s="89" t="s">
        <v>4496</v>
      </c>
      <c r="N352" s="89" t="s">
        <v>4496</v>
      </c>
      <c r="O352" s="89" t="s">
        <v>4496</v>
      </c>
      <c r="P352" s="89" t="s">
        <v>4496</v>
      </c>
      <c r="Q352" s="89"/>
      <c r="R352" s="89" t="s">
        <v>28</v>
      </c>
      <c r="S352" s="89" t="s">
        <v>21692</v>
      </c>
      <c r="T352" s="89" t="s">
        <v>21693</v>
      </c>
      <c r="U352" s="89" t="str">
        <f>TRIM('Carga Tributária doenças Po (2'!$L352)</f>
        <v>METOCLOPRAMIDA</v>
      </c>
      <c r="V352" s="89">
        <f>SUMIFS('Tabela Federal'!$E$4:$E$2069,'Tabela Federal'!$D$4:$D$2069,'Carga Tributária doenças Po (2'!$L352)</f>
        <v>1</v>
      </c>
      <c r="W352" s="89">
        <f>SUMIFS('Tabela Federal'!$E$4:$E$2069,'Tabela Federal'!$D$4:$D$2069,'Carga Tributária doenças Po (2'!$M352)</f>
        <v>0</v>
      </c>
      <c r="X352" s="89">
        <f>SUMIFS('Tabela Federal'!$E$4:$E$2069,'Tabela Federal'!$D$4:$D$2069,'Carga Tributária doenças Po (2'!$N352)</f>
        <v>0</v>
      </c>
      <c r="Y352" s="89">
        <f>SUMIFS('Tabela Federal'!$E$4:$E$2069,'Tabela Federal'!$D$4:$D$2069,'Carga Tributária doenças Po (2'!$O352)</f>
        <v>0</v>
      </c>
      <c r="Z352" s="92" t="str">
        <f>VLOOKUP('Carga Tributária doenças Po (2'!$AD352,'Carga Tributária doenças Po (2'!$CA$12:$CC$16,2,0)</f>
        <v>-</v>
      </c>
      <c r="AA352" s="89" t="s">
        <v>78</v>
      </c>
      <c r="AB352" s="89" t="s">
        <v>21808</v>
      </c>
      <c r="AC352" s="89" t="s">
        <v>21721</v>
      </c>
      <c r="AD352" s="93" t="s">
        <v>19523</v>
      </c>
      <c r="AE352" s="92" t="s">
        <v>4</v>
      </c>
      <c r="AF352" s="92" t="s">
        <v>23</v>
      </c>
      <c r="AG352" s="94">
        <v>2432477</v>
      </c>
      <c r="AH352" s="95">
        <v>5714663</v>
      </c>
      <c r="AI352" s="95">
        <v>13061613.539999999</v>
      </c>
      <c r="AJ352" s="89" t="s">
        <v>549</v>
      </c>
      <c r="AK352" s="89">
        <f>IF('Carga Tributária doenças Po (2'!$Z352="+",0,SUMIFS(PISCOFINS!$I$3:$I$10518,PISCOFINS!$C$3:$C$10518,'Carga Tributária doenças Po (2'!$C352))</f>
        <v>2.1</v>
      </c>
      <c r="AL352" s="89">
        <f>IF('Carga Tributária doenças Po (2'!$Z352="+",0,SUMIFS(PISCOFINS!$H$3:$H$10518,PISCOFINS!$C$3:$C$10518,'Carga Tributária doenças Po (2'!$C352))</f>
        <v>9.9</v>
      </c>
      <c r="AM352" s="95">
        <v>3.27</v>
      </c>
      <c r="AN352" s="95">
        <v>3.12</v>
      </c>
      <c r="AO352" s="95">
        <v>1.35</v>
      </c>
      <c r="AP352" s="96">
        <v>18</v>
      </c>
      <c r="AQ352" s="96">
        <v>12</v>
      </c>
      <c r="AR352" s="96">
        <v>17</v>
      </c>
      <c r="AS352" s="97">
        <v>17</v>
      </c>
      <c r="AT352" s="97">
        <v>19</v>
      </c>
      <c r="AU352" s="97">
        <v>18</v>
      </c>
      <c r="AV352" s="97">
        <v>17</v>
      </c>
      <c r="AW352" s="97">
        <v>17</v>
      </c>
      <c r="AX352" s="97">
        <v>17</v>
      </c>
      <c r="AY352" s="97">
        <v>17</v>
      </c>
      <c r="AZ352" s="97">
        <v>17</v>
      </c>
      <c r="BA352" s="97">
        <v>17</v>
      </c>
      <c r="BB352" s="97">
        <v>17</v>
      </c>
      <c r="BC352" s="97">
        <v>17</v>
      </c>
      <c r="BD352" s="97">
        <v>17</v>
      </c>
      <c r="BE352" s="97">
        <v>17</v>
      </c>
      <c r="BF352" s="97">
        <f>+Tabela1107[[#This Row],[PIS]]+Tabela1107[[#This Row],[COFINS]]+Tabela1107[[#This Row],[CONTRIB. FOLHA]]+Tabela1107[[#This Row],[TRIBUTOS S/ LUCRO]]+Tabela1107[[#This Row],[OUTROS]]+Tabela1107[[#This Row],[SP]]</f>
        <v>37.74</v>
      </c>
      <c r="BG352" s="97">
        <f>+Tabela1107[[#This Row],[PIS]]+Tabela1107[[#This Row],[COFINS]]+Tabela1107[[#This Row],[CONTRIB. FOLHA]]+Tabela1107[[#This Row],[TRIBUTOS S/ LUCRO]]+Tabela1107[[#This Row],[OUTROS]]+Tabela1107[[#This Row],[PR]]</f>
        <v>31.740000000000002</v>
      </c>
      <c r="BH352" s="97">
        <f>+Tabela1107[[#This Row],[PIS]]+Tabela1107[[#This Row],[COFINS]]+Tabela1107[[#This Row],[CONTRIB. FOLHA]]+Tabela1107[[#This Row],[TRIBUTOS S/ LUCRO]]+Tabela1107[[#This Row],[OUTROS]]+Tabela1107[[#This Row],[SC]]</f>
        <v>36.74</v>
      </c>
      <c r="BI352" s="97">
        <f>+Tabela1107[[#This Row],[PIS]]+Tabela1107[[#This Row],[COFINS]]+Tabela1107[[#This Row],[CONTRIB. FOLHA]]+Tabela1107[[#This Row],[TRIBUTOS S/ LUCRO]]+Tabela1107[[#This Row],[OUTROS]]+Tabela1107[[#This Row],[RS]]</f>
        <v>36.74</v>
      </c>
      <c r="BJ352" s="97">
        <f>+Tabela1107[[#This Row],[PIS]]+Tabela1107[[#This Row],[COFINS]]+Tabela1107[[#This Row],[CONTRIB. FOLHA]]+Tabela1107[[#This Row],[TRIBUTOS S/ LUCRO]]+Tabela1107[[#This Row],[OUTROS]]+Tabela1107[[#This Row],[RJ]]</f>
        <v>38.74</v>
      </c>
      <c r="BK352" s="97">
        <f>+Tabela1107[[#This Row],[PIS]]+Tabela1107[[#This Row],[COFINS]]+Tabela1107[[#This Row],[CONTRIB. FOLHA]]+Tabela1107[[#This Row],[TRIBUTOS S/ LUCRO]]+Tabela1107[[#This Row],[OUTROS]]+Tabela1107[[#This Row],[MG]]</f>
        <v>37.74</v>
      </c>
      <c r="BL352" s="97">
        <f>+Tabela1107[[#This Row],[PIS]]+Tabela1107[[#This Row],[COFINS]]+Tabela1107[[#This Row],[CONTRIB. FOLHA]]+Tabela1107[[#This Row],[TRIBUTOS S/ LUCRO]]+Tabela1107[[#This Row],[OUTROS]]+Tabela1107[[#This Row],[ES]]</f>
        <v>36.74</v>
      </c>
      <c r="BM352" s="97">
        <f>+Tabela1107[[#This Row],[PIS]]+Tabela1107[[#This Row],[COFINS]]+Tabela1107[[#This Row],[CONTRIB. FOLHA]]+Tabela1107[[#This Row],[TRIBUTOS S/ LUCRO]]+Tabela1107[[#This Row],[OUTROS]]+Tabela1107[[#This Row],[GO]]</f>
        <v>36.74</v>
      </c>
      <c r="BN352" s="97">
        <f>+Tabela1107[[#This Row],[PIS]]+Tabela1107[[#This Row],[COFINS]]+Tabela1107[[#This Row],[CONTRIB. FOLHA]]+Tabela1107[[#This Row],[TRIBUTOS S/ LUCRO]]+Tabela1107[[#This Row],[OUTROS]]+Tabela1107[[#This Row],[MT]]</f>
        <v>36.74</v>
      </c>
      <c r="BO352" s="97">
        <f>+Tabela1107[[#This Row],[PIS]]+Tabela1107[[#This Row],[COFINS]]+Tabela1107[[#This Row],[CONTRIB. FOLHA]]+Tabela1107[[#This Row],[TRIBUTOS S/ LUCRO]]+Tabela1107[[#This Row],[OUTROS]]+Tabela1107[[#This Row],[MS]]</f>
        <v>36.74</v>
      </c>
      <c r="BP352" s="97">
        <f>+Tabela1107[[#This Row],[PIS]]+Tabela1107[[#This Row],[COFINS]]+Tabela1107[[#This Row],[CONTRIB. FOLHA]]+Tabela1107[[#This Row],[TRIBUTOS S/ LUCRO]]+Tabela1107[[#This Row],[OUTROS]]+Tabela1107[[#This Row],[DF]]</f>
        <v>36.74</v>
      </c>
      <c r="BQ352" s="97">
        <f>+Tabela1107[[#This Row],[PIS]]+Tabela1107[[#This Row],[COFINS]]+Tabela1107[[#This Row],[CONTRIB. FOLHA]]+Tabela1107[[#This Row],[TRIBUTOS S/ LUCRO]]+Tabela1107[[#This Row],[OUTROS]]+Tabela1107[[#This Row],[BA]]</f>
        <v>36.74</v>
      </c>
      <c r="BR352" s="97">
        <f>+Tabela1107[[#This Row],[PIS]]+Tabela1107[[#This Row],[COFINS]]+Tabela1107[[#This Row],[CONTRIB. FOLHA]]+Tabela1107[[#This Row],[TRIBUTOS S/ LUCRO]]+Tabela1107[[#This Row],[OUTROS]]+Tabela1107[[#This Row],[BA]]</f>
        <v>36.74</v>
      </c>
      <c r="BS352" s="97">
        <f>+Tabela1107[[#This Row],[PIS]]+Tabela1107[[#This Row],[COFINS]]+Tabela1107[[#This Row],[CONTRIB. FOLHA]]+Tabela1107[[#This Row],[TRIBUTOS S/ LUCRO]]+Tabela1107[[#This Row],[OUTROS]]+Tabela1107[[#This Row],[PE]]</f>
        <v>36.74</v>
      </c>
      <c r="BT352" s="97">
        <f>+Tabela1107[[#This Row],[PIS]]+Tabela1107[[#This Row],[COFINS]]+Tabela1107[[#This Row],[CONTRIB. FOLHA]]+Tabela1107[[#This Row],[TRIBUTOS S/ LUCRO]]+Tabela1107[[#This Row],[OUTROS]]+Tabela1107[[#This Row],[PA]]</f>
        <v>36.74</v>
      </c>
      <c r="BU352" s="97">
        <f>+Tabela1107[[#This Row],[PIS]]+Tabela1107[[#This Row],[COFINS]]+Tabela1107[[#This Row],[CONTRIB. FOLHA]]+Tabela1107[[#This Row],[TRIBUTOS S/ LUCRO]]+Tabela1107[[#This Row],[OUTROS]]+Tabela1107[[#This Row],[AM]]</f>
        <v>36.74</v>
      </c>
      <c r="BV352" s="97">
        <f>AVERAGE(Tabela1107[[#This Row],[TOTAL SP]:[TOTAL AM]])</f>
        <v>36.677500000000002</v>
      </c>
      <c r="BW352" s="97"/>
      <c r="BX352" s="97"/>
    </row>
    <row r="353" spans="2:76" x14ac:dyDescent="0.25">
      <c r="B353" s="89">
        <v>18826</v>
      </c>
      <c r="C353" s="91" t="s">
        <v>13143</v>
      </c>
      <c r="D353" s="89"/>
      <c r="E353" s="89">
        <v>20140626</v>
      </c>
      <c r="F353" s="89" t="s">
        <v>21371</v>
      </c>
      <c r="G353" s="89" t="s">
        <v>21372</v>
      </c>
      <c r="H353" s="89" t="s">
        <v>21373</v>
      </c>
      <c r="I353" s="89" t="s">
        <v>21370</v>
      </c>
      <c r="J353" s="89" t="s">
        <v>79</v>
      </c>
      <c r="K353" s="99" t="s">
        <v>2538</v>
      </c>
      <c r="L353" s="89" t="s">
        <v>2677</v>
      </c>
      <c r="M353" s="89" t="s">
        <v>4496</v>
      </c>
      <c r="N353" s="89" t="s">
        <v>4496</v>
      </c>
      <c r="O353" s="89" t="s">
        <v>4496</v>
      </c>
      <c r="P353" s="89" t="s">
        <v>4496</v>
      </c>
      <c r="Q353" s="89"/>
      <c r="R353" s="89" t="s">
        <v>28</v>
      </c>
      <c r="S353" s="89" t="s">
        <v>21692</v>
      </c>
      <c r="T353" s="89" t="s">
        <v>21693</v>
      </c>
      <c r="U353" s="89" t="str">
        <f>TRIM('Carga Tributária doenças Po (2'!$L353)</f>
        <v>METOCLOPRAMIDA</v>
      </c>
      <c r="V353" s="89">
        <f>SUMIFS('Tabela Federal'!$E$4:$E$2069,'Tabela Federal'!$D$4:$D$2069,'Carga Tributária doenças Po (2'!$L353)</f>
        <v>1</v>
      </c>
      <c r="W353" s="89">
        <f>SUMIFS('Tabela Federal'!$E$4:$E$2069,'Tabela Federal'!$D$4:$D$2069,'Carga Tributária doenças Po (2'!$M353)</f>
        <v>0</v>
      </c>
      <c r="X353" s="89">
        <f>SUMIFS('Tabela Federal'!$E$4:$E$2069,'Tabela Federal'!$D$4:$D$2069,'Carga Tributária doenças Po (2'!$N353)</f>
        <v>0</v>
      </c>
      <c r="Y353" s="89">
        <f>SUMIFS('Tabela Federal'!$E$4:$E$2069,'Tabela Federal'!$D$4:$D$2069,'Carga Tributária doenças Po (2'!$O353)</f>
        <v>0</v>
      </c>
      <c r="Z353" s="92" t="str">
        <f>VLOOKUP('Carga Tributária doenças Po (2'!$AD353,'Carga Tributária doenças Po (2'!$CA$12:$CC$16,2,0)</f>
        <v>-</v>
      </c>
      <c r="AA353" s="89" t="s">
        <v>78</v>
      </c>
      <c r="AB353" s="89" t="s">
        <v>21808</v>
      </c>
      <c r="AC353" s="89" t="s">
        <v>21721</v>
      </c>
      <c r="AD353" s="93" t="s">
        <v>19523</v>
      </c>
      <c r="AE353" s="92" t="s">
        <v>4</v>
      </c>
      <c r="AF353" s="92" t="s">
        <v>23</v>
      </c>
      <c r="AG353" s="94">
        <v>1558851</v>
      </c>
      <c r="AH353" s="95">
        <v>3847689</v>
      </c>
      <c r="AI353" s="95">
        <v>8794662.3100000005</v>
      </c>
      <c r="AJ353" s="89" t="s">
        <v>76</v>
      </c>
      <c r="AK353" s="89">
        <f>IF('Carga Tributária doenças Po (2'!$Z353="+",0,SUMIFS(PISCOFINS!$I$3:$I$10518,PISCOFINS!$C$3:$C$10518,'Carga Tributária doenças Po (2'!$C353))</f>
        <v>2.1</v>
      </c>
      <c r="AL353" s="89">
        <f>IF('Carga Tributária doenças Po (2'!$Z353="+",0,SUMIFS(PISCOFINS!$H$3:$H$10518,PISCOFINS!$C$3:$C$10518,'Carga Tributária doenças Po (2'!$C353))</f>
        <v>9.9</v>
      </c>
      <c r="AM353" s="95">
        <v>3.27</v>
      </c>
      <c r="AN353" s="95">
        <v>3.12</v>
      </c>
      <c r="AO353" s="95">
        <v>1.35</v>
      </c>
      <c r="AP353" s="96">
        <v>18</v>
      </c>
      <c r="AQ353" s="96">
        <v>12</v>
      </c>
      <c r="AR353" s="96">
        <v>17</v>
      </c>
      <c r="AS353" s="97">
        <v>17</v>
      </c>
      <c r="AT353" s="97">
        <v>19</v>
      </c>
      <c r="AU353" s="97">
        <v>18</v>
      </c>
      <c r="AV353" s="97">
        <v>17</v>
      </c>
      <c r="AW353" s="97">
        <v>17</v>
      </c>
      <c r="AX353" s="97">
        <v>17</v>
      </c>
      <c r="AY353" s="97">
        <v>17</v>
      </c>
      <c r="AZ353" s="97">
        <v>17</v>
      </c>
      <c r="BA353" s="97">
        <v>17</v>
      </c>
      <c r="BB353" s="97">
        <v>17</v>
      </c>
      <c r="BC353" s="97">
        <v>17</v>
      </c>
      <c r="BD353" s="97">
        <v>17</v>
      </c>
      <c r="BE353" s="97">
        <v>17</v>
      </c>
      <c r="BF353" s="97">
        <f>+Tabela1107[[#This Row],[PIS]]+Tabela1107[[#This Row],[COFINS]]+Tabela1107[[#This Row],[CONTRIB. FOLHA]]+Tabela1107[[#This Row],[TRIBUTOS S/ LUCRO]]+Tabela1107[[#This Row],[OUTROS]]+Tabela1107[[#This Row],[SP]]</f>
        <v>37.74</v>
      </c>
      <c r="BG353" s="97">
        <f>+Tabela1107[[#This Row],[PIS]]+Tabela1107[[#This Row],[COFINS]]+Tabela1107[[#This Row],[CONTRIB. FOLHA]]+Tabela1107[[#This Row],[TRIBUTOS S/ LUCRO]]+Tabela1107[[#This Row],[OUTROS]]+Tabela1107[[#This Row],[PR]]</f>
        <v>31.740000000000002</v>
      </c>
      <c r="BH353" s="97">
        <f>+Tabela1107[[#This Row],[PIS]]+Tabela1107[[#This Row],[COFINS]]+Tabela1107[[#This Row],[CONTRIB. FOLHA]]+Tabela1107[[#This Row],[TRIBUTOS S/ LUCRO]]+Tabela1107[[#This Row],[OUTROS]]+Tabela1107[[#This Row],[SC]]</f>
        <v>36.74</v>
      </c>
      <c r="BI353" s="97">
        <f>+Tabela1107[[#This Row],[PIS]]+Tabela1107[[#This Row],[COFINS]]+Tabela1107[[#This Row],[CONTRIB. FOLHA]]+Tabela1107[[#This Row],[TRIBUTOS S/ LUCRO]]+Tabela1107[[#This Row],[OUTROS]]+Tabela1107[[#This Row],[RS]]</f>
        <v>36.74</v>
      </c>
      <c r="BJ353" s="97">
        <f>+Tabela1107[[#This Row],[PIS]]+Tabela1107[[#This Row],[COFINS]]+Tabela1107[[#This Row],[CONTRIB. FOLHA]]+Tabela1107[[#This Row],[TRIBUTOS S/ LUCRO]]+Tabela1107[[#This Row],[OUTROS]]+Tabela1107[[#This Row],[RJ]]</f>
        <v>38.74</v>
      </c>
      <c r="BK353" s="97">
        <f>+Tabela1107[[#This Row],[PIS]]+Tabela1107[[#This Row],[COFINS]]+Tabela1107[[#This Row],[CONTRIB. FOLHA]]+Tabela1107[[#This Row],[TRIBUTOS S/ LUCRO]]+Tabela1107[[#This Row],[OUTROS]]+Tabela1107[[#This Row],[MG]]</f>
        <v>37.74</v>
      </c>
      <c r="BL353" s="97">
        <f>+Tabela1107[[#This Row],[PIS]]+Tabela1107[[#This Row],[COFINS]]+Tabela1107[[#This Row],[CONTRIB. FOLHA]]+Tabela1107[[#This Row],[TRIBUTOS S/ LUCRO]]+Tabela1107[[#This Row],[OUTROS]]+Tabela1107[[#This Row],[ES]]</f>
        <v>36.74</v>
      </c>
      <c r="BM353" s="97">
        <f>+Tabela1107[[#This Row],[PIS]]+Tabela1107[[#This Row],[COFINS]]+Tabela1107[[#This Row],[CONTRIB. FOLHA]]+Tabela1107[[#This Row],[TRIBUTOS S/ LUCRO]]+Tabela1107[[#This Row],[OUTROS]]+Tabela1107[[#This Row],[GO]]</f>
        <v>36.74</v>
      </c>
      <c r="BN353" s="97">
        <f>+Tabela1107[[#This Row],[PIS]]+Tabela1107[[#This Row],[COFINS]]+Tabela1107[[#This Row],[CONTRIB. FOLHA]]+Tabela1107[[#This Row],[TRIBUTOS S/ LUCRO]]+Tabela1107[[#This Row],[OUTROS]]+Tabela1107[[#This Row],[MT]]</f>
        <v>36.74</v>
      </c>
      <c r="BO353" s="97">
        <f>+Tabela1107[[#This Row],[PIS]]+Tabela1107[[#This Row],[COFINS]]+Tabela1107[[#This Row],[CONTRIB. FOLHA]]+Tabela1107[[#This Row],[TRIBUTOS S/ LUCRO]]+Tabela1107[[#This Row],[OUTROS]]+Tabela1107[[#This Row],[MS]]</f>
        <v>36.74</v>
      </c>
      <c r="BP353" s="97">
        <f>+Tabela1107[[#This Row],[PIS]]+Tabela1107[[#This Row],[COFINS]]+Tabela1107[[#This Row],[CONTRIB. FOLHA]]+Tabela1107[[#This Row],[TRIBUTOS S/ LUCRO]]+Tabela1107[[#This Row],[OUTROS]]+Tabela1107[[#This Row],[DF]]</f>
        <v>36.74</v>
      </c>
      <c r="BQ353" s="97">
        <f>+Tabela1107[[#This Row],[PIS]]+Tabela1107[[#This Row],[COFINS]]+Tabela1107[[#This Row],[CONTRIB. FOLHA]]+Tabela1107[[#This Row],[TRIBUTOS S/ LUCRO]]+Tabela1107[[#This Row],[OUTROS]]+Tabela1107[[#This Row],[BA]]</f>
        <v>36.74</v>
      </c>
      <c r="BR353" s="97">
        <f>+Tabela1107[[#This Row],[PIS]]+Tabela1107[[#This Row],[COFINS]]+Tabela1107[[#This Row],[CONTRIB. FOLHA]]+Tabela1107[[#This Row],[TRIBUTOS S/ LUCRO]]+Tabela1107[[#This Row],[OUTROS]]+Tabela1107[[#This Row],[BA]]</f>
        <v>36.74</v>
      </c>
      <c r="BS353" s="97">
        <f>+Tabela1107[[#This Row],[PIS]]+Tabela1107[[#This Row],[COFINS]]+Tabela1107[[#This Row],[CONTRIB. FOLHA]]+Tabela1107[[#This Row],[TRIBUTOS S/ LUCRO]]+Tabela1107[[#This Row],[OUTROS]]+Tabela1107[[#This Row],[PE]]</f>
        <v>36.74</v>
      </c>
      <c r="BT353" s="97">
        <f>+Tabela1107[[#This Row],[PIS]]+Tabela1107[[#This Row],[COFINS]]+Tabela1107[[#This Row],[CONTRIB. FOLHA]]+Tabela1107[[#This Row],[TRIBUTOS S/ LUCRO]]+Tabela1107[[#This Row],[OUTROS]]+Tabela1107[[#This Row],[PA]]</f>
        <v>36.74</v>
      </c>
      <c r="BU353" s="97">
        <f>+Tabela1107[[#This Row],[PIS]]+Tabela1107[[#This Row],[COFINS]]+Tabela1107[[#This Row],[CONTRIB. FOLHA]]+Tabela1107[[#This Row],[TRIBUTOS S/ LUCRO]]+Tabela1107[[#This Row],[OUTROS]]+Tabela1107[[#This Row],[AM]]</f>
        <v>36.74</v>
      </c>
      <c r="BV353" s="97">
        <f>AVERAGE(Tabela1107[[#This Row],[TOTAL SP]:[TOTAL AM]])</f>
        <v>36.677500000000002</v>
      </c>
      <c r="BW353" s="97"/>
      <c r="BX353" s="97"/>
    </row>
    <row r="354" spans="2:76" x14ac:dyDescent="0.25">
      <c r="B354" s="89">
        <v>17141</v>
      </c>
      <c r="C354" s="91" t="s">
        <v>13168</v>
      </c>
      <c r="D354" s="89"/>
      <c r="E354" s="89">
        <v>20140626</v>
      </c>
      <c r="F354" s="98" t="s">
        <v>21948</v>
      </c>
      <c r="G354" s="98" t="s">
        <v>21946</v>
      </c>
      <c r="H354" s="98" t="s">
        <v>21947</v>
      </c>
      <c r="I354" s="89" t="s">
        <v>21011</v>
      </c>
      <c r="J354" s="89" t="s">
        <v>429</v>
      </c>
      <c r="K354" s="89"/>
      <c r="L354" s="89" t="s">
        <v>4501</v>
      </c>
      <c r="M354" s="89" t="s">
        <v>4506</v>
      </c>
      <c r="N354" s="89" t="s">
        <v>4496</v>
      </c>
      <c r="O354" s="89" t="s">
        <v>4496</v>
      </c>
      <c r="P354" s="89" t="s">
        <v>4496</v>
      </c>
      <c r="Q354" s="89"/>
      <c r="R354" s="89" t="s">
        <v>52</v>
      </c>
      <c r="S354" s="89" t="s">
        <v>21652</v>
      </c>
      <c r="T354" s="89" t="s">
        <v>21653</v>
      </c>
      <c r="U354" s="89" t="str">
        <f>TRIM('Carga Tributária doenças Po (2'!$L354)</f>
        <v>POLICRESULENO</v>
      </c>
      <c r="V354" s="89">
        <f>SUMIFS('Tabela Federal'!$E$4:$E$2069,'Tabela Federal'!$D$4:$D$2069,'Carga Tributária doenças Po (2'!$L354)</f>
        <v>0</v>
      </c>
      <c r="W354" s="89">
        <f>SUMIFS('Tabela Federal'!$E$4:$E$2069,'Tabela Federal'!$D$4:$D$2069,'Carga Tributária doenças Po (2'!$M354)</f>
        <v>0</v>
      </c>
      <c r="X354" s="89">
        <f>SUMIFS('Tabela Federal'!$E$4:$E$2069,'Tabela Federal'!$D$4:$D$2069,'Carga Tributária doenças Po (2'!$N354)</f>
        <v>0</v>
      </c>
      <c r="Y354" s="89">
        <f>SUMIFS('Tabela Federal'!$E$4:$E$2069,'Tabela Federal'!$D$4:$D$2069,'Carga Tributária doenças Po (2'!$O354)</f>
        <v>0</v>
      </c>
      <c r="Z354" s="92" t="str">
        <f>VLOOKUP('Carga Tributária doenças Po (2'!$AD354,'Carga Tributária doenças Po (2'!$CA$12:$CC$16,2,0)</f>
        <v>-</v>
      </c>
      <c r="AA354" s="89" t="s">
        <v>428</v>
      </c>
      <c r="AB354" s="89" t="s">
        <v>21849</v>
      </c>
      <c r="AC354" s="89" t="s">
        <v>21721</v>
      </c>
      <c r="AD354" s="93" t="s">
        <v>19523</v>
      </c>
      <c r="AE354" s="92" t="s">
        <v>4</v>
      </c>
      <c r="AF354" s="92" t="s">
        <v>10</v>
      </c>
      <c r="AG354" s="94">
        <v>639671</v>
      </c>
      <c r="AH354" s="95">
        <v>5598235</v>
      </c>
      <c r="AI354" s="95">
        <v>12776962.880000001</v>
      </c>
      <c r="AJ354" s="89" t="s">
        <v>441</v>
      </c>
      <c r="AK354" s="89">
        <f>IF('Carga Tributária doenças Po (2'!$Z354="+",0,SUMIFS(PISCOFINS!$I$3:$I$10518,PISCOFINS!$C$3:$C$10518,'Carga Tributária doenças Po (2'!$C354))</f>
        <v>2.1</v>
      </c>
      <c r="AL354" s="89">
        <f>IF('Carga Tributária doenças Po (2'!$Z354="+",0,SUMIFS(PISCOFINS!$H$3:$H$10518,PISCOFINS!$C$3:$C$10518,'Carga Tributária doenças Po (2'!$C354))</f>
        <v>9.9</v>
      </c>
      <c r="AM354" s="95">
        <v>3.27</v>
      </c>
      <c r="AN354" s="95">
        <v>3.12</v>
      </c>
      <c r="AO354" s="95">
        <v>1.35</v>
      </c>
      <c r="AP354" s="96">
        <v>18</v>
      </c>
      <c r="AQ354" s="96">
        <v>12</v>
      </c>
      <c r="AR354" s="96">
        <v>17</v>
      </c>
      <c r="AS354" s="97">
        <v>17</v>
      </c>
      <c r="AT354" s="97">
        <v>19</v>
      </c>
      <c r="AU354" s="97">
        <v>12</v>
      </c>
      <c r="AV354" s="97">
        <v>17</v>
      </c>
      <c r="AW354" s="97">
        <v>17</v>
      </c>
      <c r="AX354" s="97">
        <v>17</v>
      </c>
      <c r="AY354" s="97">
        <v>17</v>
      </c>
      <c r="AZ354" s="97">
        <v>17</v>
      </c>
      <c r="BA354" s="97">
        <v>17</v>
      </c>
      <c r="BB354" s="97">
        <v>17</v>
      </c>
      <c r="BC354" s="97">
        <v>17</v>
      </c>
      <c r="BD354" s="97">
        <v>17</v>
      </c>
      <c r="BE354" s="97">
        <v>17</v>
      </c>
      <c r="BF354" s="97">
        <f>+Tabela1107[[#This Row],[PIS]]+Tabela1107[[#This Row],[COFINS]]+Tabela1107[[#This Row],[CONTRIB. FOLHA]]+Tabela1107[[#This Row],[TRIBUTOS S/ LUCRO]]+Tabela1107[[#This Row],[OUTROS]]+Tabela1107[[#This Row],[SP]]</f>
        <v>37.74</v>
      </c>
      <c r="BG354" s="97">
        <f>+Tabela1107[[#This Row],[PIS]]+Tabela1107[[#This Row],[COFINS]]+Tabela1107[[#This Row],[CONTRIB. FOLHA]]+Tabela1107[[#This Row],[TRIBUTOS S/ LUCRO]]+Tabela1107[[#This Row],[OUTROS]]+Tabela1107[[#This Row],[PR]]</f>
        <v>31.740000000000002</v>
      </c>
      <c r="BH354" s="97">
        <f>+Tabela1107[[#This Row],[PIS]]+Tabela1107[[#This Row],[COFINS]]+Tabela1107[[#This Row],[CONTRIB. FOLHA]]+Tabela1107[[#This Row],[TRIBUTOS S/ LUCRO]]+Tabela1107[[#This Row],[OUTROS]]+Tabela1107[[#This Row],[SC]]</f>
        <v>36.74</v>
      </c>
      <c r="BI354" s="97">
        <f>+Tabela1107[[#This Row],[PIS]]+Tabela1107[[#This Row],[COFINS]]+Tabela1107[[#This Row],[CONTRIB. FOLHA]]+Tabela1107[[#This Row],[TRIBUTOS S/ LUCRO]]+Tabela1107[[#This Row],[OUTROS]]+Tabela1107[[#This Row],[RS]]</f>
        <v>36.74</v>
      </c>
      <c r="BJ354" s="97">
        <f>+Tabela1107[[#This Row],[PIS]]+Tabela1107[[#This Row],[COFINS]]+Tabela1107[[#This Row],[CONTRIB. FOLHA]]+Tabela1107[[#This Row],[TRIBUTOS S/ LUCRO]]+Tabela1107[[#This Row],[OUTROS]]+Tabela1107[[#This Row],[RJ]]</f>
        <v>38.74</v>
      </c>
      <c r="BK354" s="97">
        <f>+Tabela1107[[#This Row],[PIS]]+Tabela1107[[#This Row],[COFINS]]+Tabela1107[[#This Row],[CONTRIB. FOLHA]]+Tabela1107[[#This Row],[TRIBUTOS S/ LUCRO]]+Tabela1107[[#This Row],[OUTROS]]+Tabela1107[[#This Row],[MG]]</f>
        <v>31.740000000000002</v>
      </c>
      <c r="BL354" s="97">
        <f>+Tabela1107[[#This Row],[PIS]]+Tabela1107[[#This Row],[COFINS]]+Tabela1107[[#This Row],[CONTRIB. FOLHA]]+Tabela1107[[#This Row],[TRIBUTOS S/ LUCRO]]+Tabela1107[[#This Row],[OUTROS]]+Tabela1107[[#This Row],[ES]]</f>
        <v>36.74</v>
      </c>
      <c r="BM354" s="97">
        <f>+Tabela1107[[#This Row],[PIS]]+Tabela1107[[#This Row],[COFINS]]+Tabela1107[[#This Row],[CONTRIB. FOLHA]]+Tabela1107[[#This Row],[TRIBUTOS S/ LUCRO]]+Tabela1107[[#This Row],[OUTROS]]+Tabela1107[[#This Row],[GO]]</f>
        <v>36.74</v>
      </c>
      <c r="BN354" s="97">
        <f>+Tabela1107[[#This Row],[PIS]]+Tabela1107[[#This Row],[COFINS]]+Tabela1107[[#This Row],[CONTRIB. FOLHA]]+Tabela1107[[#This Row],[TRIBUTOS S/ LUCRO]]+Tabela1107[[#This Row],[OUTROS]]+Tabela1107[[#This Row],[MT]]</f>
        <v>36.74</v>
      </c>
      <c r="BO354" s="97">
        <f>+Tabela1107[[#This Row],[PIS]]+Tabela1107[[#This Row],[COFINS]]+Tabela1107[[#This Row],[CONTRIB. FOLHA]]+Tabela1107[[#This Row],[TRIBUTOS S/ LUCRO]]+Tabela1107[[#This Row],[OUTROS]]+Tabela1107[[#This Row],[MS]]</f>
        <v>36.74</v>
      </c>
      <c r="BP354" s="97">
        <f>+Tabela1107[[#This Row],[PIS]]+Tabela1107[[#This Row],[COFINS]]+Tabela1107[[#This Row],[CONTRIB. FOLHA]]+Tabela1107[[#This Row],[TRIBUTOS S/ LUCRO]]+Tabela1107[[#This Row],[OUTROS]]+Tabela1107[[#This Row],[DF]]</f>
        <v>36.74</v>
      </c>
      <c r="BQ354" s="97">
        <f>+Tabela1107[[#This Row],[PIS]]+Tabela1107[[#This Row],[COFINS]]+Tabela1107[[#This Row],[CONTRIB. FOLHA]]+Tabela1107[[#This Row],[TRIBUTOS S/ LUCRO]]+Tabela1107[[#This Row],[OUTROS]]+Tabela1107[[#This Row],[BA]]</f>
        <v>36.74</v>
      </c>
      <c r="BR354" s="97">
        <f>+Tabela1107[[#This Row],[PIS]]+Tabela1107[[#This Row],[COFINS]]+Tabela1107[[#This Row],[CONTRIB. FOLHA]]+Tabela1107[[#This Row],[TRIBUTOS S/ LUCRO]]+Tabela1107[[#This Row],[OUTROS]]+Tabela1107[[#This Row],[BA]]</f>
        <v>36.74</v>
      </c>
      <c r="BS354" s="97">
        <f>+Tabela1107[[#This Row],[PIS]]+Tabela1107[[#This Row],[COFINS]]+Tabela1107[[#This Row],[CONTRIB. FOLHA]]+Tabela1107[[#This Row],[TRIBUTOS S/ LUCRO]]+Tabela1107[[#This Row],[OUTROS]]+Tabela1107[[#This Row],[PE]]</f>
        <v>36.74</v>
      </c>
      <c r="BT354" s="97">
        <f>+Tabela1107[[#This Row],[PIS]]+Tabela1107[[#This Row],[COFINS]]+Tabela1107[[#This Row],[CONTRIB. FOLHA]]+Tabela1107[[#This Row],[TRIBUTOS S/ LUCRO]]+Tabela1107[[#This Row],[OUTROS]]+Tabela1107[[#This Row],[PA]]</f>
        <v>36.74</v>
      </c>
      <c r="BU354" s="97">
        <f>+Tabela1107[[#This Row],[PIS]]+Tabela1107[[#This Row],[COFINS]]+Tabela1107[[#This Row],[CONTRIB. FOLHA]]+Tabela1107[[#This Row],[TRIBUTOS S/ LUCRO]]+Tabela1107[[#This Row],[OUTROS]]+Tabela1107[[#This Row],[AM]]</f>
        <v>36.74</v>
      </c>
      <c r="BV354" s="97">
        <f>AVERAGE(Tabela1107[[#This Row],[TOTAL SP]:[TOTAL AM]])</f>
        <v>36.302500000000002</v>
      </c>
      <c r="BW354" s="97"/>
      <c r="BX354" s="97"/>
    </row>
    <row r="355" spans="2:76" x14ac:dyDescent="0.25">
      <c r="B355" s="89">
        <v>17344</v>
      </c>
      <c r="C355" s="91" t="s">
        <v>12903</v>
      </c>
      <c r="D355" s="89"/>
      <c r="E355" s="89">
        <v>20140626</v>
      </c>
      <c r="F355" s="89" t="s">
        <v>20393</v>
      </c>
      <c r="G355" s="89" t="s">
        <v>20394</v>
      </c>
      <c r="H355" s="89" t="s">
        <v>20395</v>
      </c>
      <c r="I355" s="89" t="s">
        <v>20396</v>
      </c>
      <c r="J355" s="89" t="s">
        <v>523</v>
      </c>
      <c r="K355" s="99" t="s">
        <v>2537</v>
      </c>
      <c r="L355" s="89" t="s">
        <v>2678</v>
      </c>
      <c r="M355" s="89" t="s">
        <v>4496</v>
      </c>
      <c r="N355" s="89" t="s">
        <v>4496</v>
      </c>
      <c r="O355" s="89" t="s">
        <v>4496</v>
      </c>
      <c r="P355" s="89" t="s">
        <v>4496</v>
      </c>
      <c r="Q355" s="89"/>
      <c r="R355" s="89" t="s">
        <v>469</v>
      </c>
      <c r="S355" s="89" t="s">
        <v>21574</v>
      </c>
      <c r="T355" s="89" t="s">
        <v>21575</v>
      </c>
      <c r="U355" s="89" t="str">
        <f>TRIM('Carga Tributária doenças Po (2'!$L355)</f>
        <v>PREDNISOLONA</v>
      </c>
      <c r="V355" s="89">
        <f>SUMIFS('Tabela Federal'!$E$4:$E$2069,'Tabela Federal'!$D$4:$D$2069,'Carga Tributária doenças Po (2'!$L355)</f>
        <v>1</v>
      </c>
      <c r="W355" s="89">
        <f>SUMIFS('Tabela Federal'!$E$4:$E$2069,'Tabela Federal'!$D$4:$D$2069,'Carga Tributária doenças Po (2'!$M355)</f>
        <v>0</v>
      </c>
      <c r="X355" s="89">
        <f>SUMIFS('Tabela Federal'!$E$4:$E$2069,'Tabela Federal'!$D$4:$D$2069,'Carga Tributária doenças Po (2'!$N355)</f>
        <v>0</v>
      </c>
      <c r="Y355" s="89">
        <f>SUMIFS('Tabela Federal'!$E$4:$E$2069,'Tabela Federal'!$D$4:$D$2069,'Carga Tributária doenças Po (2'!$O355)</f>
        <v>0</v>
      </c>
      <c r="Z355" s="92" t="str">
        <f>VLOOKUP('Carga Tributária doenças Po (2'!$AD355,'Carga Tributária doenças Po (2'!$CA$12:$CC$16,2,0)</f>
        <v>-</v>
      </c>
      <c r="AA355" s="89" t="s">
        <v>519</v>
      </c>
      <c r="AB355" s="89" t="s">
        <v>21773</v>
      </c>
      <c r="AC355" s="89" t="s">
        <v>21721</v>
      </c>
      <c r="AD355" s="93" t="s">
        <v>19523</v>
      </c>
      <c r="AE355" s="92" t="s">
        <v>4</v>
      </c>
      <c r="AF355" s="92" t="s">
        <v>23</v>
      </c>
      <c r="AG355" s="94">
        <v>894478</v>
      </c>
      <c r="AH355" s="95">
        <v>9653546</v>
      </c>
      <c r="AI355" s="95">
        <v>22022463.719999999</v>
      </c>
      <c r="AJ355" s="89" t="s">
        <v>525</v>
      </c>
      <c r="AK355" s="89">
        <f>IF('Carga Tributária doenças Po (2'!$Z355="+",0,SUMIFS(PISCOFINS!$I$3:$I$10518,PISCOFINS!$C$3:$C$10518,'Carga Tributária doenças Po (2'!$C355))</f>
        <v>2.1</v>
      </c>
      <c r="AL355" s="89">
        <f>IF('Carga Tributária doenças Po (2'!$Z355="+",0,SUMIFS(PISCOFINS!$H$3:$H$10518,PISCOFINS!$C$3:$C$10518,'Carga Tributária doenças Po (2'!$C355))</f>
        <v>9.9</v>
      </c>
      <c r="AM355" s="95">
        <v>3.27</v>
      </c>
      <c r="AN355" s="95">
        <v>3.12</v>
      </c>
      <c r="AO355" s="95">
        <v>1.35</v>
      </c>
      <c r="AP355" s="96">
        <v>18</v>
      </c>
      <c r="AQ355" s="96">
        <v>12</v>
      </c>
      <c r="AR355" s="96">
        <v>17</v>
      </c>
      <c r="AS355" s="97">
        <v>17</v>
      </c>
      <c r="AT355" s="97">
        <v>19</v>
      </c>
      <c r="AU355" s="97">
        <v>18</v>
      </c>
      <c r="AV355" s="97">
        <v>17</v>
      </c>
      <c r="AW355" s="97">
        <v>17</v>
      </c>
      <c r="AX355" s="97">
        <v>17</v>
      </c>
      <c r="AY355" s="97">
        <v>17</v>
      </c>
      <c r="AZ355" s="97">
        <v>17</v>
      </c>
      <c r="BA355" s="97">
        <v>17</v>
      </c>
      <c r="BB355" s="97">
        <v>17</v>
      </c>
      <c r="BC355" s="97">
        <v>17</v>
      </c>
      <c r="BD355" s="97">
        <v>17</v>
      </c>
      <c r="BE355" s="97">
        <v>17</v>
      </c>
      <c r="BF355" s="97">
        <f>+Tabela1107[[#This Row],[PIS]]+Tabela1107[[#This Row],[COFINS]]+Tabela1107[[#This Row],[CONTRIB. FOLHA]]+Tabela1107[[#This Row],[TRIBUTOS S/ LUCRO]]+Tabela1107[[#This Row],[OUTROS]]+Tabela1107[[#This Row],[SP]]</f>
        <v>37.74</v>
      </c>
      <c r="BG355" s="97">
        <f>+Tabela1107[[#This Row],[PIS]]+Tabela1107[[#This Row],[COFINS]]+Tabela1107[[#This Row],[CONTRIB. FOLHA]]+Tabela1107[[#This Row],[TRIBUTOS S/ LUCRO]]+Tabela1107[[#This Row],[OUTROS]]+Tabela1107[[#This Row],[PR]]</f>
        <v>31.740000000000002</v>
      </c>
      <c r="BH355" s="97">
        <f>+Tabela1107[[#This Row],[PIS]]+Tabela1107[[#This Row],[COFINS]]+Tabela1107[[#This Row],[CONTRIB. FOLHA]]+Tabela1107[[#This Row],[TRIBUTOS S/ LUCRO]]+Tabela1107[[#This Row],[OUTROS]]+Tabela1107[[#This Row],[SC]]</f>
        <v>36.74</v>
      </c>
      <c r="BI355" s="97">
        <f>+Tabela1107[[#This Row],[PIS]]+Tabela1107[[#This Row],[COFINS]]+Tabela1107[[#This Row],[CONTRIB. FOLHA]]+Tabela1107[[#This Row],[TRIBUTOS S/ LUCRO]]+Tabela1107[[#This Row],[OUTROS]]+Tabela1107[[#This Row],[RS]]</f>
        <v>36.74</v>
      </c>
      <c r="BJ355" s="97">
        <f>+Tabela1107[[#This Row],[PIS]]+Tabela1107[[#This Row],[COFINS]]+Tabela1107[[#This Row],[CONTRIB. FOLHA]]+Tabela1107[[#This Row],[TRIBUTOS S/ LUCRO]]+Tabela1107[[#This Row],[OUTROS]]+Tabela1107[[#This Row],[RJ]]</f>
        <v>38.74</v>
      </c>
      <c r="BK355" s="97">
        <f>+Tabela1107[[#This Row],[PIS]]+Tabela1107[[#This Row],[COFINS]]+Tabela1107[[#This Row],[CONTRIB. FOLHA]]+Tabela1107[[#This Row],[TRIBUTOS S/ LUCRO]]+Tabela1107[[#This Row],[OUTROS]]+Tabela1107[[#This Row],[MG]]</f>
        <v>37.74</v>
      </c>
      <c r="BL355" s="97">
        <f>+Tabela1107[[#This Row],[PIS]]+Tabela1107[[#This Row],[COFINS]]+Tabela1107[[#This Row],[CONTRIB. FOLHA]]+Tabela1107[[#This Row],[TRIBUTOS S/ LUCRO]]+Tabela1107[[#This Row],[OUTROS]]+Tabela1107[[#This Row],[ES]]</f>
        <v>36.74</v>
      </c>
      <c r="BM355" s="97">
        <f>+Tabela1107[[#This Row],[PIS]]+Tabela1107[[#This Row],[COFINS]]+Tabela1107[[#This Row],[CONTRIB. FOLHA]]+Tabela1107[[#This Row],[TRIBUTOS S/ LUCRO]]+Tabela1107[[#This Row],[OUTROS]]+Tabela1107[[#This Row],[GO]]</f>
        <v>36.74</v>
      </c>
      <c r="BN355" s="97">
        <f>+Tabela1107[[#This Row],[PIS]]+Tabela1107[[#This Row],[COFINS]]+Tabela1107[[#This Row],[CONTRIB. FOLHA]]+Tabela1107[[#This Row],[TRIBUTOS S/ LUCRO]]+Tabela1107[[#This Row],[OUTROS]]+Tabela1107[[#This Row],[MT]]</f>
        <v>36.74</v>
      </c>
      <c r="BO355" s="97">
        <f>+Tabela1107[[#This Row],[PIS]]+Tabela1107[[#This Row],[COFINS]]+Tabela1107[[#This Row],[CONTRIB. FOLHA]]+Tabela1107[[#This Row],[TRIBUTOS S/ LUCRO]]+Tabela1107[[#This Row],[OUTROS]]+Tabela1107[[#This Row],[MS]]</f>
        <v>36.74</v>
      </c>
      <c r="BP355" s="97">
        <f>+Tabela1107[[#This Row],[PIS]]+Tabela1107[[#This Row],[COFINS]]+Tabela1107[[#This Row],[CONTRIB. FOLHA]]+Tabela1107[[#This Row],[TRIBUTOS S/ LUCRO]]+Tabela1107[[#This Row],[OUTROS]]+Tabela1107[[#This Row],[DF]]</f>
        <v>36.74</v>
      </c>
      <c r="BQ355" s="97">
        <f>+Tabela1107[[#This Row],[PIS]]+Tabela1107[[#This Row],[COFINS]]+Tabela1107[[#This Row],[CONTRIB. FOLHA]]+Tabela1107[[#This Row],[TRIBUTOS S/ LUCRO]]+Tabela1107[[#This Row],[OUTROS]]+Tabela1107[[#This Row],[BA]]</f>
        <v>36.74</v>
      </c>
      <c r="BR355" s="97">
        <f>+Tabela1107[[#This Row],[PIS]]+Tabela1107[[#This Row],[COFINS]]+Tabela1107[[#This Row],[CONTRIB. FOLHA]]+Tabela1107[[#This Row],[TRIBUTOS S/ LUCRO]]+Tabela1107[[#This Row],[OUTROS]]+Tabela1107[[#This Row],[BA]]</f>
        <v>36.74</v>
      </c>
      <c r="BS355" s="97">
        <f>+Tabela1107[[#This Row],[PIS]]+Tabela1107[[#This Row],[COFINS]]+Tabela1107[[#This Row],[CONTRIB. FOLHA]]+Tabela1107[[#This Row],[TRIBUTOS S/ LUCRO]]+Tabela1107[[#This Row],[OUTROS]]+Tabela1107[[#This Row],[PE]]</f>
        <v>36.74</v>
      </c>
      <c r="BT355" s="97">
        <f>+Tabela1107[[#This Row],[PIS]]+Tabela1107[[#This Row],[COFINS]]+Tabela1107[[#This Row],[CONTRIB. FOLHA]]+Tabela1107[[#This Row],[TRIBUTOS S/ LUCRO]]+Tabela1107[[#This Row],[OUTROS]]+Tabela1107[[#This Row],[PA]]</f>
        <v>36.74</v>
      </c>
      <c r="BU355" s="97">
        <f>+Tabela1107[[#This Row],[PIS]]+Tabela1107[[#This Row],[COFINS]]+Tabela1107[[#This Row],[CONTRIB. FOLHA]]+Tabela1107[[#This Row],[TRIBUTOS S/ LUCRO]]+Tabela1107[[#This Row],[OUTROS]]+Tabela1107[[#This Row],[AM]]</f>
        <v>36.74</v>
      </c>
      <c r="BV355" s="97">
        <f>AVERAGE(Tabela1107[[#This Row],[TOTAL SP]:[TOTAL AM]])</f>
        <v>36.677500000000002</v>
      </c>
      <c r="BW355" s="97"/>
      <c r="BX355" s="97"/>
    </row>
    <row r="356" spans="2:76" x14ac:dyDescent="0.25">
      <c r="B356" s="89">
        <v>5092</v>
      </c>
      <c r="C356" s="91" t="s">
        <v>13101</v>
      </c>
      <c r="D356" s="89"/>
      <c r="E356" s="89">
        <v>20140626</v>
      </c>
      <c r="F356" s="89" t="s">
        <v>21244</v>
      </c>
      <c r="G356" s="89" t="s">
        <v>21245</v>
      </c>
      <c r="H356" s="89" t="s">
        <v>21246</v>
      </c>
      <c r="I356" s="89" t="s">
        <v>21247</v>
      </c>
      <c r="J356" s="89" t="s">
        <v>572</v>
      </c>
      <c r="K356" s="89"/>
      <c r="L356" s="89" t="s">
        <v>4250</v>
      </c>
      <c r="M356" s="89" t="s">
        <v>4496</v>
      </c>
      <c r="N356" s="89" t="s">
        <v>4496</v>
      </c>
      <c r="O356" s="89" t="s">
        <v>4496</v>
      </c>
      <c r="P356" s="89" t="s">
        <v>4496</v>
      </c>
      <c r="Q356" s="89"/>
      <c r="R356" s="89" t="s">
        <v>239</v>
      </c>
      <c r="S356" s="89" t="s">
        <v>21682</v>
      </c>
      <c r="T356" s="89" t="s">
        <v>21683</v>
      </c>
      <c r="U356" s="89" t="str">
        <f>TRIM('Carga Tributária doenças Po (2'!$L356)</f>
        <v>ESTROGENIOS CONJUGADOS</v>
      </c>
      <c r="V356" s="89">
        <f>SUMIFS('Tabela Federal'!$E$4:$E$2069,'Tabela Federal'!$D$4:$D$2069,'Carga Tributária doenças Po (2'!$L356)</f>
        <v>2</v>
      </c>
      <c r="W356" s="89">
        <f>SUMIFS('Tabela Federal'!$E$4:$E$2069,'Tabela Federal'!$D$4:$D$2069,'Carga Tributária doenças Po (2'!$M356)</f>
        <v>0</v>
      </c>
      <c r="X356" s="89">
        <f>SUMIFS('Tabela Federal'!$E$4:$E$2069,'Tabela Federal'!$D$4:$D$2069,'Carga Tributária doenças Po (2'!$N356)</f>
        <v>0</v>
      </c>
      <c r="Y356" s="89">
        <f>SUMIFS('Tabela Federal'!$E$4:$E$2069,'Tabela Federal'!$D$4:$D$2069,'Carga Tributária doenças Po (2'!$O356)</f>
        <v>0</v>
      </c>
      <c r="Z356" s="92" t="str">
        <f>VLOOKUP('Carga Tributária doenças Po (2'!$AD356,'Carga Tributária doenças Po (2'!$CA$12:$CC$16,2,0)</f>
        <v>+</v>
      </c>
      <c r="AA356" s="89" t="s">
        <v>573</v>
      </c>
      <c r="AB356" s="89" t="s">
        <v>21901</v>
      </c>
      <c r="AC356" s="89" t="s">
        <v>21721</v>
      </c>
      <c r="AD356" s="93" t="s">
        <v>21722</v>
      </c>
      <c r="AE356" s="92" t="s">
        <v>2</v>
      </c>
      <c r="AF356" s="92" t="s">
        <v>23</v>
      </c>
      <c r="AG356" s="94">
        <v>516898</v>
      </c>
      <c r="AH356" s="95">
        <v>5390851</v>
      </c>
      <c r="AI356" s="95">
        <v>12306002.789999999</v>
      </c>
      <c r="AJ356" s="89" t="s">
        <v>579</v>
      </c>
      <c r="AK356" s="89">
        <f>IF('Carga Tributária doenças Po (2'!$Z356="+",0,SUMIFS(PISCOFINS!$I$3:$I$10518,PISCOFINS!$C$3:$C$10518,'Carga Tributária doenças Po (2'!$C356))</f>
        <v>0</v>
      </c>
      <c r="AL356" s="89">
        <f>IF('Carga Tributária doenças Po (2'!$Z356="+",0,SUMIFS(PISCOFINS!$H$3:$H$10518,PISCOFINS!$C$3:$C$10518,'Carga Tributária doenças Po (2'!$C356))</f>
        <v>0</v>
      </c>
      <c r="AM356" s="95">
        <v>3.27</v>
      </c>
      <c r="AN356" s="95">
        <v>3.12</v>
      </c>
      <c r="AO356" s="95">
        <v>1.35</v>
      </c>
      <c r="AP356" s="96">
        <v>18</v>
      </c>
      <c r="AQ356" s="96">
        <v>12</v>
      </c>
      <c r="AR356" s="96">
        <v>17</v>
      </c>
      <c r="AS356" s="97">
        <v>17</v>
      </c>
      <c r="AT356" s="97">
        <v>19</v>
      </c>
      <c r="AU356" s="97">
        <v>18</v>
      </c>
      <c r="AV356" s="97">
        <v>17</v>
      </c>
      <c r="AW356" s="97">
        <v>17</v>
      </c>
      <c r="AX356" s="97">
        <v>17</v>
      </c>
      <c r="AY356" s="97">
        <v>17</v>
      </c>
      <c r="AZ356" s="97">
        <v>17</v>
      </c>
      <c r="BA356" s="97">
        <v>17</v>
      </c>
      <c r="BB356" s="97">
        <v>17</v>
      </c>
      <c r="BC356" s="97">
        <v>17</v>
      </c>
      <c r="BD356" s="97">
        <v>17</v>
      </c>
      <c r="BE356" s="97">
        <v>17</v>
      </c>
      <c r="BF356" s="97">
        <f>+Tabela1107[[#This Row],[PIS]]+Tabela1107[[#This Row],[COFINS]]+Tabela1107[[#This Row],[CONTRIB. FOLHA]]+Tabela1107[[#This Row],[TRIBUTOS S/ LUCRO]]+Tabela1107[[#This Row],[OUTROS]]+Tabela1107[[#This Row],[SP]]</f>
        <v>25.740000000000002</v>
      </c>
      <c r="BG356" s="97">
        <f>+Tabela1107[[#This Row],[PIS]]+Tabela1107[[#This Row],[COFINS]]+Tabela1107[[#This Row],[CONTRIB. FOLHA]]+Tabela1107[[#This Row],[TRIBUTOS S/ LUCRO]]+Tabela1107[[#This Row],[OUTROS]]+Tabela1107[[#This Row],[PR]]</f>
        <v>19.740000000000002</v>
      </c>
      <c r="BH356" s="97">
        <f>+Tabela1107[[#This Row],[PIS]]+Tabela1107[[#This Row],[COFINS]]+Tabela1107[[#This Row],[CONTRIB. FOLHA]]+Tabela1107[[#This Row],[TRIBUTOS S/ LUCRO]]+Tabela1107[[#This Row],[OUTROS]]+Tabela1107[[#This Row],[SC]]</f>
        <v>24.740000000000002</v>
      </c>
      <c r="BI356" s="97">
        <f>+Tabela1107[[#This Row],[PIS]]+Tabela1107[[#This Row],[COFINS]]+Tabela1107[[#This Row],[CONTRIB. FOLHA]]+Tabela1107[[#This Row],[TRIBUTOS S/ LUCRO]]+Tabela1107[[#This Row],[OUTROS]]+Tabela1107[[#This Row],[RS]]</f>
        <v>24.740000000000002</v>
      </c>
      <c r="BJ356" s="97">
        <f>+Tabela1107[[#This Row],[PIS]]+Tabela1107[[#This Row],[COFINS]]+Tabela1107[[#This Row],[CONTRIB. FOLHA]]+Tabela1107[[#This Row],[TRIBUTOS S/ LUCRO]]+Tabela1107[[#This Row],[OUTROS]]+Tabela1107[[#This Row],[RJ]]</f>
        <v>26.740000000000002</v>
      </c>
      <c r="BK356" s="97">
        <f>+Tabela1107[[#This Row],[PIS]]+Tabela1107[[#This Row],[COFINS]]+Tabela1107[[#This Row],[CONTRIB. FOLHA]]+Tabela1107[[#This Row],[TRIBUTOS S/ LUCRO]]+Tabela1107[[#This Row],[OUTROS]]+Tabela1107[[#This Row],[MG]]</f>
        <v>25.740000000000002</v>
      </c>
      <c r="BL356" s="97">
        <f>+Tabela1107[[#This Row],[PIS]]+Tabela1107[[#This Row],[COFINS]]+Tabela1107[[#This Row],[CONTRIB. FOLHA]]+Tabela1107[[#This Row],[TRIBUTOS S/ LUCRO]]+Tabela1107[[#This Row],[OUTROS]]+Tabela1107[[#This Row],[ES]]</f>
        <v>24.740000000000002</v>
      </c>
      <c r="BM356" s="97">
        <f>+Tabela1107[[#This Row],[PIS]]+Tabela1107[[#This Row],[COFINS]]+Tabela1107[[#This Row],[CONTRIB. FOLHA]]+Tabela1107[[#This Row],[TRIBUTOS S/ LUCRO]]+Tabela1107[[#This Row],[OUTROS]]+Tabela1107[[#This Row],[GO]]</f>
        <v>24.740000000000002</v>
      </c>
      <c r="BN356" s="97">
        <f>+Tabela1107[[#This Row],[PIS]]+Tabela1107[[#This Row],[COFINS]]+Tabela1107[[#This Row],[CONTRIB. FOLHA]]+Tabela1107[[#This Row],[TRIBUTOS S/ LUCRO]]+Tabela1107[[#This Row],[OUTROS]]+Tabela1107[[#This Row],[MT]]</f>
        <v>24.740000000000002</v>
      </c>
      <c r="BO356" s="97">
        <f>+Tabela1107[[#This Row],[PIS]]+Tabela1107[[#This Row],[COFINS]]+Tabela1107[[#This Row],[CONTRIB. FOLHA]]+Tabela1107[[#This Row],[TRIBUTOS S/ LUCRO]]+Tabela1107[[#This Row],[OUTROS]]+Tabela1107[[#This Row],[MS]]</f>
        <v>24.740000000000002</v>
      </c>
      <c r="BP356" s="97">
        <f>+Tabela1107[[#This Row],[PIS]]+Tabela1107[[#This Row],[COFINS]]+Tabela1107[[#This Row],[CONTRIB. FOLHA]]+Tabela1107[[#This Row],[TRIBUTOS S/ LUCRO]]+Tabela1107[[#This Row],[OUTROS]]+Tabela1107[[#This Row],[DF]]</f>
        <v>24.740000000000002</v>
      </c>
      <c r="BQ356" s="97">
        <f>+Tabela1107[[#This Row],[PIS]]+Tabela1107[[#This Row],[COFINS]]+Tabela1107[[#This Row],[CONTRIB. FOLHA]]+Tabela1107[[#This Row],[TRIBUTOS S/ LUCRO]]+Tabela1107[[#This Row],[OUTROS]]+Tabela1107[[#This Row],[BA]]</f>
        <v>24.740000000000002</v>
      </c>
      <c r="BR356" s="97">
        <f>+Tabela1107[[#This Row],[PIS]]+Tabela1107[[#This Row],[COFINS]]+Tabela1107[[#This Row],[CONTRIB. FOLHA]]+Tabela1107[[#This Row],[TRIBUTOS S/ LUCRO]]+Tabela1107[[#This Row],[OUTROS]]+Tabela1107[[#This Row],[BA]]</f>
        <v>24.740000000000002</v>
      </c>
      <c r="BS356" s="97">
        <f>+Tabela1107[[#This Row],[PIS]]+Tabela1107[[#This Row],[COFINS]]+Tabela1107[[#This Row],[CONTRIB. FOLHA]]+Tabela1107[[#This Row],[TRIBUTOS S/ LUCRO]]+Tabela1107[[#This Row],[OUTROS]]+Tabela1107[[#This Row],[PE]]</f>
        <v>24.740000000000002</v>
      </c>
      <c r="BT356" s="97">
        <f>+Tabela1107[[#This Row],[PIS]]+Tabela1107[[#This Row],[COFINS]]+Tabela1107[[#This Row],[CONTRIB. FOLHA]]+Tabela1107[[#This Row],[TRIBUTOS S/ LUCRO]]+Tabela1107[[#This Row],[OUTROS]]+Tabela1107[[#This Row],[PA]]</f>
        <v>24.740000000000002</v>
      </c>
      <c r="BU356" s="97">
        <f>+Tabela1107[[#This Row],[PIS]]+Tabela1107[[#This Row],[COFINS]]+Tabela1107[[#This Row],[CONTRIB. FOLHA]]+Tabela1107[[#This Row],[TRIBUTOS S/ LUCRO]]+Tabela1107[[#This Row],[OUTROS]]+Tabela1107[[#This Row],[AM]]</f>
        <v>24.740000000000002</v>
      </c>
      <c r="BV356" s="97">
        <f>AVERAGE(Tabela1107[[#This Row],[TOTAL SP]:[TOTAL AM]])</f>
        <v>24.677500000000006</v>
      </c>
      <c r="BW356" s="97"/>
      <c r="BX356" s="97"/>
    </row>
    <row r="357" spans="2:76" x14ac:dyDescent="0.25">
      <c r="B357" s="89">
        <v>11737</v>
      </c>
      <c r="C357" s="91" t="s">
        <v>13101</v>
      </c>
      <c r="D357" s="89"/>
      <c r="E357" s="89">
        <v>20140626</v>
      </c>
      <c r="F357" s="89" t="s">
        <v>20487</v>
      </c>
      <c r="G357" s="89" t="s">
        <v>20488</v>
      </c>
      <c r="H357" s="89" t="s">
        <v>20489</v>
      </c>
      <c r="I357" s="89" t="s">
        <v>20490</v>
      </c>
      <c r="J357" s="89" t="s">
        <v>578</v>
      </c>
      <c r="K357" s="99" t="s">
        <v>2536</v>
      </c>
      <c r="L357" s="89" t="s">
        <v>2659</v>
      </c>
      <c r="M357" s="89" t="s">
        <v>4496</v>
      </c>
      <c r="N357" s="89" t="s">
        <v>4496</v>
      </c>
      <c r="O357" s="89" t="s">
        <v>4496</v>
      </c>
      <c r="P357" s="89" t="s">
        <v>4496</v>
      </c>
      <c r="Q357" s="89"/>
      <c r="R357" s="89" t="s">
        <v>400</v>
      </c>
      <c r="S357" s="89" t="s">
        <v>21590</v>
      </c>
      <c r="T357" s="89" t="s">
        <v>21591</v>
      </c>
      <c r="U357" s="89" t="str">
        <f>TRIM('Carga Tributária doenças Po (2'!$L357)</f>
        <v>ESTRADIOL</v>
      </c>
      <c r="V357" s="89">
        <f>SUMIFS('Tabela Federal'!$E$4:$E$2069,'Tabela Federal'!$D$4:$D$2069,'Carga Tributária doenças Po (2'!$L357)</f>
        <v>9</v>
      </c>
      <c r="W357" s="89">
        <f>SUMIFS('Tabela Federal'!$E$4:$E$2069,'Tabela Federal'!$D$4:$D$2069,'Carga Tributária doenças Po (2'!$M357)</f>
        <v>0</v>
      </c>
      <c r="X357" s="89">
        <f>SUMIFS('Tabela Federal'!$E$4:$E$2069,'Tabela Federal'!$D$4:$D$2069,'Carga Tributária doenças Po (2'!$N357)</f>
        <v>0</v>
      </c>
      <c r="Y357" s="89">
        <f>SUMIFS('Tabela Federal'!$E$4:$E$2069,'Tabela Federal'!$D$4:$D$2069,'Carga Tributária doenças Po (2'!$O357)</f>
        <v>0</v>
      </c>
      <c r="Z357" s="92" t="str">
        <f>VLOOKUP('Carga Tributária doenças Po (2'!$AD357,'Carga Tributária doenças Po (2'!$CA$12:$CC$16,2,0)</f>
        <v>+</v>
      </c>
      <c r="AA357" s="89" t="s">
        <v>573</v>
      </c>
      <c r="AB357" s="89" t="s">
        <v>21899</v>
      </c>
      <c r="AC357" s="89" t="s">
        <v>21721</v>
      </c>
      <c r="AD357" s="93" t="s">
        <v>21722</v>
      </c>
      <c r="AE357" s="92" t="s">
        <v>2</v>
      </c>
      <c r="AF357" s="92" t="s">
        <v>3</v>
      </c>
      <c r="AG357" s="94">
        <v>371596</v>
      </c>
      <c r="AH357" s="95">
        <v>3470307</v>
      </c>
      <c r="AI357" s="95">
        <v>7920555.7800000003</v>
      </c>
      <c r="AJ357" s="89" t="s">
        <v>579</v>
      </c>
      <c r="AK357" s="89">
        <f>IF('Carga Tributária doenças Po (2'!$Z357="+",0,SUMIFS(PISCOFINS!$I$3:$I$10518,PISCOFINS!$C$3:$C$10518,'Carga Tributária doenças Po (2'!$C357))</f>
        <v>0</v>
      </c>
      <c r="AL357" s="89">
        <f>IF('Carga Tributária doenças Po (2'!$Z357="+",0,SUMIFS(PISCOFINS!$H$3:$H$10518,PISCOFINS!$C$3:$C$10518,'Carga Tributária doenças Po (2'!$C357))</f>
        <v>0</v>
      </c>
      <c r="AM357" s="95">
        <v>3.27</v>
      </c>
      <c r="AN357" s="95">
        <v>3.12</v>
      </c>
      <c r="AO357" s="95">
        <v>1.35</v>
      </c>
      <c r="AP357" s="96">
        <v>18</v>
      </c>
      <c r="AQ357" s="96">
        <v>12</v>
      </c>
      <c r="AR357" s="96">
        <v>17</v>
      </c>
      <c r="AS357" s="97">
        <v>17</v>
      </c>
      <c r="AT357" s="97">
        <v>19</v>
      </c>
      <c r="AU357" s="97">
        <v>18</v>
      </c>
      <c r="AV357" s="97">
        <v>17</v>
      </c>
      <c r="AW357" s="97">
        <v>17</v>
      </c>
      <c r="AX357" s="97">
        <v>17</v>
      </c>
      <c r="AY357" s="97">
        <v>17</v>
      </c>
      <c r="AZ357" s="97">
        <v>17</v>
      </c>
      <c r="BA357" s="97">
        <v>17</v>
      </c>
      <c r="BB357" s="97">
        <v>17</v>
      </c>
      <c r="BC357" s="97">
        <v>17</v>
      </c>
      <c r="BD357" s="97">
        <v>17</v>
      </c>
      <c r="BE357" s="97">
        <v>17</v>
      </c>
      <c r="BF357" s="97">
        <f>+Tabela1107[[#This Row],[PIS]]+Tabela1107[[#This Row],[COFINS]]+Tabela1107[[#This Row],[CONTRIB. FOLHA]]+Tabela1107[[#This Row],[TRIBUTOS S/ LUCRO]]+Tabela1107[[#This Row],[OUTROS]]+Tabela1107[[#This Row],[SP]]</f>
        <v>25.740000000000002</v>
      </c>
      <c r="BG357" s="97">
        <f>+Tabela1107[[#This Row],[PIS]]+Tabela1107[[#This Row],[COFINS]]+Tabela1107[[#This Row],[CONTRIB. FOLHA]]+Tabela1107[[#This Row],[TRIBUTOS S/ LUCRO]]+Tabela1107[[#This Row],[OUTROS]]+Tabela1107[[#This Row],[PR]]</f>
        <v>19.740000000000002</v>
      </c>
      <c r="BH357" s="97">
        <f>+Tabela1107[[#This Row],[PIS]]+Tabela1107[[#This Row],[COFINS]]+Tabela1107[[#This Row],[CONTRIB. FOLHA]]+Tabela1107[[#This Row],[TRIBUTOS S/ LUCRO]]+Tabela1107[[#This Row],[OUTROS]]+Tabela1107[[#This Row],[SC]]</f>
        <v>24.740000000000002</v>
      </c>
      <c r="BI357" s="97">
        <f>+Tabela1107[[#This Row],[PIS]]+Tabela1107[[#This Row],[COFINS]]+Tabela1107[[#This Row],[CONTRIB. FOLHA]]+Tabela1107[[#This Row],[TRIBUTOS S/ LUCRO]]+Tabela1107[[#This Row],[OUTROS]]+Tabela1107[[#This Row],[RS]]</f>
        <v>24.740000000000002</v>
      </c>
      <c r="BJ357" s="97">
        <f>+Tabela1107[[#This Row],[PIS]]+Tabela1107[[#This Row],[COFINS]]+Tabela1107[[#This Row],[CONTRIB. FOLHA]]+Tabela1107[[#This Row],[TRIBUTOS S/ LUCRO]]+Tabela1107[[#This Row],[OUTROS]]+Tabela1107[[#This Row],[RJ]]</f>
        <v>26.740000000000002</v>
      </c>
      <c r="BK357" s="97">
        <f>+Tabela1107[[#This Row],[PIS]]+Tabela1107[[#This Row],[COFINS]]+Tabela1107[[#This Row],[CONTRIB. FOLHA]]+Tabela1107[[#This Row],[TRIBUTOS S/ LUCRO]]+Tabela1107[[#This Row],[OUTROS]]+Tabela1107[[#This Row],[MG]]</f>
        <v>25.740000000000002</v>
      </c>
      <c r="BL357" s="97">
        <f>+Tabela1107[[#This Row],[PIS]]+Tabela1107[[#This Row],[COFINS]]+Tabela1107[[#This Row],[CONTRIB. FOLHA]]+Tabela1107[[#This Row],[TRIBUTOS S/ LUCRO]]+Tabela1107[[#This Row],[OUTROS]]+Tabela1107[[#This Row],[ES]]</f>
        <v>24.740000000000002</v>
      </c>
      <c r="BM357" s="97">
        <f>+Tabela1107[[#This Row],[PIS]]+Tabela1107[[#This Row],[COFINS]]+Tabela1107[[#This Row],[CONTRIB. FOLHA]]+Tabela1107[[#This Row],[TRIBUTOS S/ LUCRO]]+Tabela1107[[#This Row],[OUTROS]]+Tabela1107[[#This Row],[GO]]</f>
        <v>24.740000000000002</v>
      </c>
      <c r="BN357" s="97">
        <f>+Tabela1107[[#This Row],[PIS]]+Tabela1107[[#This Row],[COFINS]]+Tabela1107[[#This Row],[CONTRIB. FOLHA]]+Tabela1107[[#This Row],[TRIBUTOS S/ LUCRO]]+Tabela1107[[#This Row],[OUTROS]]+Tabela1107[[#This Row],[MT]]</f>
        <v>24.740000000000002</v>
      </c>
      <c r="BO357" s="97">
        <f>+Tabela1107[[#This Row],[PIS]]+Tabela1107[[#This Row],[COFINS]]+Tabela1107[[#This Row],[CONTRIB. FOLHA]]+Tabela1107[[#This Row],[TRIBUTOS S/ LUCRO]]+Tabela1107[[#This Row],[OUTROS]]+Tabela1107[[#This Row],[MS]]</f>
        <v>24.740000000000002</v>
      </c>
      <c r="BP357" s="97">
        <f>+Tabela1107[[#This Row],[PIS]]+Tabela1107[[#This Row],[COFINS]]+Tabela1107[[#This Row],[CONTRIB. FOLHA]]+Tabela1107[[#This Row],[TRIBUTOS S/ LUCRO]]+Tabela1107[[#This Row],[OUTROS]]+Tabela1107[[#This Row],[DF]]</f>
        <v>24.740000000000002</v>
      </c>
      <c r="BQ357" s="97">
        <f>+Tabela1107[[#This Row],[PIS]]+Tabela1107[[#This Row],[COFINS]]+Tabela1107[[#This Row],[CONTRIB. FOLHA]]+Tabela1107[[#This Row],[TRIBUTOS S/ LUCRO]]+Tabela1107[[#This Row],[OUTROS]]+Tabela1107[[#This Row],[BA]]</f>
        <v>24.740000000000002</v>
      </c>
      <c r="BR357" s="97">
        <f>+Tabela1107[[#This Row],[PIS]]+Tabela1107[[#This Row],[COFINS]]+Tabela1107[[#This Row],[CONTRIB. FOLHA]]+Tabela1107[[#This Row],[TRIBUTOS S/ LUCRO]]+Tabela1107[[#This Row],[OUTROS]]+Tabela1107[[#This Row],[BA]]</f>
        <v>24.740000000000002</v>
      </c>
      <c r="BS357" s="97">
        <f>+Tabela1107[[#This Row],[PIS]]+Tabela1107[[#This Row],[COFINS]]+Tabela1107[[#This Row],[CONTRIB. FOLHA]]+Tabela1107[[#This Row],[TRIBUTOS S/ LUCRO]]+Tabela1107[[#This Row],[OUTROS]]+Tabela1107[[#This Row],[PE]]</f>
        <v>24.740000000000002</v>
      </c>
      <c r="BT357" s="97">
        <f>+Tabela1107[[#This Row],[PIS]]+Tabela1107[[#This Row],[COFINS]]+Tabela1107[[#This Row],[CONTRIB. FOLHA]]+Tabela1107[[#This Row],[TRIBUTOS S/ LUCRO]]+Tabela1107[[#This Row],[OUTROS]]+Tabela1107[[#This Row],[PA]]</f>
        <v>24.740000000000002</v>
      </c>
      <c r="BU357" s="97">
        <f>+Tabela1107[[#This Row],[PIS]]+Tabela1107[[#This Row],[COFINS]]+Tabela1107[[#This Row],[CONTRIB. FOLHA]]+Tabela1107[[#This Row],[TRIBUTOS S/ LUCRO]]+Tabela1107[[#This Row],[OUTROS]]+Tabela1107[[#This Row],[AM]]</f>
        <v>24.740000000000002</v>
      </c>
      <c r="BV357" s="97">
        <f>AVERAGE(Tabela1107[[#This Row],[TOTAL SP]:[TOTAL AM]])</f>
        <v>24.677500000000006</v>
      </c>
      <c r="BW357" s="97"/>
      <c r="BX357" s="97"/>
    </row>
    <row r="358" spans="2:76" x14ac:dyDescent="0.25">
      <c r="B358" s="89">
        <v>17317</v>
      </c>
      <c r="C358" s="91" t="s">
        <v>12966</v>
      </c>
      <c r="D358" s="89"/>
      <c r="E358" s="89">
        <v>20140626</v>
      </c>
      <c r="F358" s="89" t="s">
        <v>20491</v>
      </c>
      <c r="G358" s="89" t="s">
        <v>20492</v>
      </c>
      <c r="H358" s="89" t="s">
        <v>20493</v>
      </c>
      <c r="I358" s="89" t="s">
        <v>20494</v>
      </c>
      <c r="J358" s="89" t="s">
        <v>574</v>
      </c>
      <c r="K358" s="99" t="s">
        <v>2535</v>
      </c>
      <c r="L358" s="89" t="s">
        <v>3182</v>
      </c>
      <c r="M358" s="89" t="s">
        <v>3188</v>
      </c>
      <c r="N358" s="89" t="s">
        <v>4496</v>
      </c>
      <c r="O358" s="89" t="s">
        <v>4496</v>
      </c>
      <c r="P358" s="89" t="s">
        <v>4496</v>
      </c>
      <c r="Q358" s="89"/>
      <c r="R358" s="89" t="s">
        <v>400</v>
      </c>
      <c r="S358" s="89" t="s">
        <v>21590</v>
      </c>
      <c r="T358" s="89" t="s">
        <v>21591</v>
      </c>
      <c r="U358" s="89" t="str">
        <f>TRIM('Carga Tributária doenças Po (2'!$L358)</f>
        <v>ETINILESTRADIOL</v>
      </c>
      <c r="V358" s="89">
        <f>SUMIFS('Tabela Federal'!$E$4:$E$2069,'Tabela Federal'!$D$4:$D$2069,'Carga Tributária doenças Po (2'!$L358)</f>
        <v>17</v>
      </c>
      <c r="W358" s="89">
        <f>SUMIFS('Tabela Federal'!$E$4:$E$2069,'Tabela Federal'!$D$4:$D$2069,'Carga Tributária doenças Po (2'!$M358)</f>
        <v>3</v>
      </c>
      <c r="X358" s="89">
        <f>SUMIFS('Tabela Federal'!$E$4:$E$2069,'Tabela Federal'!$D$4:$D$2069,'Carga Tributária doenças Po (2'!$N358)</f>
        <v>0</v>
      </c>
      <c r="Y358" s="89">
        <f>SUMIFS('Tabela Federal'!$E$4:$E$2069,'Tabela Federal'!$D$4:$D$2069,'Carga Tributária doenças Po (2'!$O358)</f>
        <v>0</v>
      </c>
      <c r="Z358" s="92" t="str">
        <f>VLOOKUP('Carga Tributária doenças Po (2'!$AD358,'Carga Tributária doenças Po (2'!$CA$12:$CC$16,2,0)</f>
        <v>+</v>
      </c>
      <c r="AA358" s="89" t="s">
        <v>570</v>
      </c>
      <c r="AB358" s="89" t="s">
        <v>21742</v>
      </c>
      <c r="AC358" s="89" t="s">
        <v>21721</v>
      </c>
      <c r="AD358" s="93" t="s">
        <v>19445</v>
      </c>
      <c r="AE358" s="92" t="s">
        <v>4</v>
      </c>
      <c r="AF358" s="92" t="s">
        <v>23</v>
      </c>
      <c r="AG358" s="94">
        <v>511878</v>
      </c>
      <c r="AH358" s="95">
        <v>1353300</v>
      </c>
      <c r="AI358" s="95">
        <v>3090346.52</v>
      </c>
      <c r="AJ358" s="89" t="s">
        <v>579</v>
      </c>
      <c r="AK358" s="89">
        <f>IF('Carga Tributária doenças Po (2'!$Z358="+",0,SUMIFS(PISCOFINS!$I$3:$I$10518,PISCOFINS!$C$3:$C$10518,'Carga Tributária doenças Po (2'!$C358))</f>
        <v>0</v>
      </c>
      <c r="AL358" s="89">
        <f>IF('Carga Tributária doenças Po (2'!$Z358="+",0,SUMIFS(PISCOFINS!$H$3:$H$10518,PISCOFINS!$C$3:$C$10518,'Carga Tributária doenças Po (2'!$C358))</f>
        <v>0</v>
      </c>
      <c r="AM358" s="95">
        <v>3.27</v>
      </c>
      <c r="AN358" s="95">
        <v>3.12</v>
      </c>
      <c r="AO358" s="95">
        <v>1.35</v>
      </c>
      <c r="AP358" s="96">
        <v>18</v>
      </c>
      <c r="AQ358" s="96">
        <v>12</v>
      </c>
      <c r="AR358" s="96">
        <v>17</v>
      </c>
      <c r="AS358" s="97">
        <v>17</v>
      </c>
      <c r="AT358" s="97">
        <v>19</v>
      </c>
      <c r="AU358" s="97">
        <v>18</v>
      </c>
      <c r="AV358" s="97">
        <v>17</v>
      </c>
      <c r="AW358" s="97">
        <v>17</v>
      </c>
      <c r="AX358" s="97">
        <v>17</v>
      </c>
      <c r="AY358" s="97">
        <v>17</v>
      </c>
      <c r="AZ358" s="97">
        <v>17</v>
      </c>
      <c r="BA358" s="97">
        <v>17</v>
      </c>
      <c r="BB358" s="97">
        <v>17</v>
      </c>
      <c r="BC358" s="97">
        <v>17</v>
      </c>
      <c r="BD358" s="97">
        <v>17</v>
      </c>
      <c r="BE358" s="97">
        <v>17</v>
      </c>
      <c r="BF358" s="97">
        <f>+Tabela1107[[#This Row],[PIS]]+Tabela1107[[#This Row],[COFINS]]+Tabela1107[[#This Row],[CONTRIB. FOLHA]]+Tabela1107[[#This Row],[TRIBUTOS S/ LUCRO]]+Tabela1107[[#This Row],[OUTROS]]+Tabela1107[[#This Row],[SP]]</f>
        <v>25.740000000000002</v>
      </c>
      <c r="BG358" s="97">
        <f>+Tabela1107[[#This Row],[PIS]]+Tabela1107[[#This Row],[COFINS]]+Tabela1107[[#This Row],[CONTRIB. FOLHA]]+Tabela1107[[#This Row],[TRIBUTOS S/ LUCRO]]+Tabela1107[[#This Row],[OUTROS]]+Tabela1107[[#This Row],[PR]]</f>
        <v>19.740000000000002</v>
      </c>
      <c r="BH358" s="97">
        <f>+Tabela1107[[#This Row],[PIS]]+Tabela1107[[#This Row],[COFINS]]+Tabela1107[[#This Row],[CONTRIB. FOLHA]]+Tabela1107[[#This Row],[TRIBUTOS S/ LUCRO]]+Tabela1107[[#This Row],[OUTROS]]+Tabela1107[[#This Row],[SC]]</f>
        <v>24.740000000000002</v>
      </c>
      <c r="BI358" s="97">
        <f>+Tabela1107[[#This Row],[PIS]]+Tabela1107[[#This Row],[COFINS]]+Tabela1107[[#This Row],[CONTRIB. FOLHA]]+Tabela1107[[#This Row],[TRIBUTOS S/ LUCRO]]+Tabela1107[[#This Row],[OUTROS]]+Tabela1107[[#This Row],[RS]]</f>
        <v>24.740000000000002</v>
      </c>
      <c r="BJ358" s="97">
        <f>+Tabela1107[[#This Row],[PIS]]+Tabela1107[[#This Row],[COFINS]]+Tabela1107[[#This Row],[CONTRIB. FOLHA]]+Tabela1107[[#This Row],[TRIBUTOS S/ LUCRO]]+Tabela1107[[#This Row],[OUTROS]]+Tabela1107[[#This Row],[RJ]]</f>
        <v>26.740000000000002</v>
      </c>
      <c r="BK358" s="97">
        <f>+Tabela1107[[#This Row],[PIS]]+Tabela1107[[#This Row],[COFINS]]+Tabela1107[[#This Row],[CONTRIB. FOLHA]]+Tabela1107[[#This Row],[TRIBUTOS S/ LUCRO]]+Tabela1107[[#This Row],[OUTROS]]+Tabela1107[[#This Row],[MG]]</f>
        <v>25.740000000000002</v>
      </c>
      <c r="BL358" s="97">
        <f>+Tabela1107[[#This Row],[PIS]]+Tabela1107[[#This Row],[COFINS]]+Tabela1107[[#This Row],[CONTRIB. FOLHA]]+Tabela1107[[#This Row],[TRIBUTOS S/ LUCRO]]+Tabela1107[[#This Row],[OUTROS]]+Tabela1107[[#This Row],[ES]]</f>
        <v>24.740000000000002</v>
      </c>
      <c r="BM358" s="97">
        <f>+Tabela1107[[#This Row],[PIS]]+Tabela1107[[#This Row],[COFINS]]+Tabela1107[[#This Row],[CONTRIB. FOLHA]]+Tabela1107[[#This Row],[TRIBUTOS S/ LUCRO]]+Tabela1107[[#This Row],[OUTROS]]+Tabela1107[[#This Row],[GO]]</f>
        <v>24.740000000000002</v>
      </c>
      <c r="BN358" s="97">
        <f>+Tabela1107[[#This Row],[PIS]]+Tabela1107[[#This Row],[COFINS]]+Tabela1107[[#This Row],[CONTRIB. FOLHA]]+Tabela1107[[#This Row],[TRIBUTOS S/ LUCRO]]+Tabela1107[[#This Row],[OUTROS]]+Tabela1107[[#This Row],[MT]]</f>
        <v>24.740000000000002</v>
      </c>
      <c r="BO358" s="97">
        <f>+Tabela1107[[#This Row],[PIS]]+Tabela1107[[#This Row],[COFINS]]+Tabela1107[[#This Row],[CONTRIB. FOLHA]]+Tabela1107[[#This Row],[TRIBUTOS S/ LUCRO]]+Tabela1107[[#This Row],[OUTROS]]+Tabela1107[[#This Row],[MS]]</f>
        <v>24.740000000000002</v>
      </c>
      <c r="BP358" s="97">
        <f>+Tabela1107[[#This Row],[PIS]]+Tabela1107[[#This Row],[COFINS]]+Tabela1107[[#This Row],[CONTRIB. FOLHA]]+Tabela1107[[#This Row],[TRIBUTOS S/ LUCRO]]+Tabela1107[[#This Row],[OUTROS]]+Tabela1107[[#This Row],[DF]]</f>
        <v>24.740000000000002</v>
      </c>
      <c r="BQ358" s="97">
        <f>+Tabela1107[[#This Row],[PIS]]+Tabela1107[[#This Row],[COFINS]]+Tabela1107[[#This Row],[CONTRIB. FOLHA]]+Tabela1107[[#This Row],[TRIBUTOS S/ LUCRO]]+Tabela1107[[#This Row],[OUTROS]]+Tabela1107[[#This Row],[BA]]</f>
        <v>24.740000000000002</v>
      </c>
      <c r="BR358" s="97">
        <f>+Tabela1107[[#This Row],[PIS]]+Tabela1107[[#This Row],[COFINS]]+Tabela1107[[#This Row],[CONTRIB. FOLHA]]+Tabela1107[[#This Row],[TRIBUTOS S/ LUCRO]]+Tabela1107[[#This Row],[OUTROS]]+Tabela1107[[#This Row],[BA]]</f>
        <v>24.740000000000002</v>
      </c>
      <c r="BS358" s="97">
        <f>+Tabela1107[[#This Row],[PIS]]+Tabela1107[[#This Row],[COFINS]]+Tabela1107[[#This Row],[CONTRIB. FOLHA]]+Tabela1107[[#This Row],[TRIBUTOS S/ LUCRO]]+Tabela1107[[#This Row],[OUTROS]]+Tabela1107[[#This Row],[PE]]</f>
        <v>24.740000000000002</v>
      </c>
      <c r="BT358" s="97">
        <f>+Tabela1107[[#This Row],[PIS]]+Tabela1107[[#This Row],[COFINS]]+Tabela1107[[#This Row],[CONTRIB. FOLHA]]+Tabela1107[[#This Row],[TRIBUTOS S/ LUCRO]]+Tabela1107[[#This Row],[OUTROS]]+Tabela1107[[#This Row],[PA]]</f>
        <v>24.740000000000002</v>
      </c>
      <c r="BU358" s="97">
        <f>+Tabela1107[[#This Row],[PIS]]+Tabela1107[[#This Row],[COFINS]]+Tabela1107[[#This Row],[CONTRIB. FOLHA]]+Tabela1107[[#This Row],[TRIBUTOS S/ LUCRO]]+Tabela1107[[#This Row],[OUTROS]]+Tabela1107[[#This Row],[AM]]</f>
        <v>24.740000000000002</v>
      </c>
      <c r="BV358" s="97">
        <f>AVERAGE(Tabela1107[[#This Row],[TOTAL SP]:[TOTAL AM]])</f>
        <v>24.677500000000006</v>
      </c>
      <c r="BW358" s="97"/>
      <c r="BX358" s="97"/>
    </row>
    <row r="359" spans="2:76" x14ac:dyDescent="0.25">
      <c r="B359" s="89">
        <v>11910</v>
      </c>
      <c r="C359" s="91" t="s">
        <v>13151</v>
      </c>
      <c r="D359" s="89"/>
      <c r="E359" s="89">
        <v>20140626</v>
      </c>
      <c r="F359" s="89" t="s">
        <v>20947</v>
      </c>
      <c r="G359" s="89" t="s">
        <v>20948</v>
      </c>
      <c r="H359" s="89" t="s">
        <v>20949</v>
      </c>
      <c r="I359" s="89" t="s">
        <v>20950</v>
      </c>
      <c r="J359" s="89" t="s">
        <v>418</v>
      </c>
      <c r="K359" s="99" t="s">
        <v>2534</v>
      </c>
      <c r="L359" s="89" t="s">
        <v>2679</v>
      </c>
      <c r="M359" s="89" t="s">
        <v>4496</v>
      </c>
      <c r="N359" s="89" t="s">
        <v>4496</v>
      </c>
      <c r="O359" s="89" t="s">
        <v>4496</v>
      </c>
      <c r="P359" s="89" t="s">
        <v>4496</v>
      </c>
      <c r="Q359" s="89"/>
      <c r="R359" s="89" t="s">
        <v>136</v>
      </c>
      <c r="S359" s="89" t="s">
        <v>21640</v>
      </c>
      <c r="T359" s="89" t="s">
        <v>21641</v>
      </c>
      <c r="U359" s="89" t="str">
        <f>TRIM('Carga Tributária doenças Po (2'!$L359)</f>
        <v>CITALOPRAM</v>
      </c>
      <c r="V359" s="89">
        <f>SUMIFS('Tabela Federal'!$E$4:$E$2069,'Tabela Federal'!$D$4:$D$2069,'Carga Tributária doenças Po (2'!$L359)</f>
        <v>1</v>
      </c>
      <c r="W359" s="89">
        <f>SUMIFS('Tabela Federal'!$E$4:$E$2069,'Tabela Federal'!$D$4:$D$2069,'Carga Tributária doenças Po (2'!$M359)</f>
        <v>0</v>
      </c>
      <c r="X359" s="89">
        <f>SUMIFS('Tabela Federal'!$E$4:$E$2069,'Tabela Federal'!$D$4:$D$2069,'Carga Tributária doenças Po (2'!$N359)</f>
        <v>0</v>
      </c>
      <c r="Y359" s="89">
        <f>SUMIFS('Tabela Federal'!$E$4:$E$2069,'Tabela Federal'!$D$4:$D$2069,'Carga Tributária doenças Po (2'!$O359)</f>
        <v>0</v>
      </c>
      <c r="Z359" s="92" t="str">
        <f>VLOOKUP('Carga Tributária doenças Po (2'!$AD359,'Carga Tributária doenças Po (2'!$CA$12:$CC$16,2,0)</f>
        <v>+</v>
      </c>
      <c r="AA359" s="89" t="s">
        <v>419</v>
      </c>
      <c r="AB359" s="89" t="s">
        <v>21777</v>
      </c>
      <c r="AC359" s="89" t="s">
        <v>21721</v>
      </c>
      <c r="AD359" s="93" t="s">
        <v>21722</v>
      </c>
      <c r="AE359" s="92" t="s">
        <v>2</v>
      </c>
      <c r="AF359" s="92" t="s">
        <v>3</v>
      </c>
      <c r="AG359" s="94">
        <v>905604</v>
      </c>
      <c r="AH359" s="95">
        <v>13828212</v>
      </c>
      <c r="AI359" s="95">
        <v>31538130.289999999</v>
      </c>
      <c r="AJ359" s="89" t="s">
        <v>426</v>
      </c>
      <c r="AK359" s="89">
        <f>IF('Carga Tributária doenças Po (2'!$Z359="+",0,SUMIFS(PISCOFINS!$I$3:$I$10518,PISCOFINS!$C$3:$C$10518,'Carga Tributária doenças Po (2'!$C359))</f>
        <v>0</v>
      </c>
      <c r="AL359" s="89">
        <f>IF('Carga Tributária doenças Po (2'!$Z359="+",0,SUMIFS(PISCOFINS!$H$3:$H$10518,PISCOFINS!$C$3:$C$10518,'Carga Tributária doenças Po (2'!$C359))</f>
        <v>0</v>
      </c>
      <c r="AM359" s="95">
        <v>3.27</v>
      </c>
      <c r="AN359" s="95">
        <v>3.12</v>
      </c>
      <c r="AO359" s="95">
        <v>1.35</v>
      </c>
      <c r="AP359" s="96">
        <v>18</v>
      </c>
      <c r="AQ359" s="96">
        <v>12</v>
      </c>
      <c r="AR359" s="96">
        <v>17</v>
      </c>
      <c r="AS359" s="97">
        <v>17</v>
      </c>
      <c r="AT359" s="97">
        <v>19</v>
      </c>
      <c r="AU359" s="97">
        <v>18</v>
      </c>
      <c r="AV359" s="97">
        <v>17</v>
      </c>
      <c r="AW359" s="97">
        <v>17</v>
      </c>
      <c r="AX359" s="97">
        <v>17</v>
      </c>
      <c r="AY359" s="97">
        <v>17</v>
      </c>
      <c r="AZ359" s="97">
        <v>17</v>
      </c>
      <c r="BA359" s="97">
        <v>17</v>
      </c>
      <c r="BB359" s="97">
        <v>17</v>
      </c>
      <c r="BC359" s="97">
        <v>17</v>
      </c>
      <c r="BD359" s="97">
        <v>17</v>
      </c>
      <c r="BE359" s="97">
        <v>17</v>
      </c>
      <c r="BF359" s="97">
        <f>+Tabela1107[[#This Row],[PIS]]+Tabela1107[[#This Row],[COFINS]]+Tabela1107[[#This Row],[CONTRIB. FOLHA]]+Tabela1107[[#This Row],[TRIBUTOS S/ LUCRO]]+Tabela1107[[#This Row],[OUTROS]]+Tabela1107[[#This Row],[SP]]</f>
        <v>25.740000000000002</v>
      </c>
      <c r="BG359" s="97">
        <f>+Tabela1107[[#This Row],[PIS]]+Tabela1107[[#This Row],[COFINS]]+Tabela1107[[#This Row],[CONTRIB. FOLHA]]+Tabela1107[[#This Row],[TRIBUTOS S/ LUCRO]]+Tabela1107[[#This Row],[OUTROS]]+Tabela1107[[#This Row],[PR]]</f>
        <v>19.740000000000002</v>
      </c>
      <c r="BH359" s="97">
        <f>+Tabela1107[[#This Row],[PIS]]+Tabela1107[[#This Row],[COFINS]]+Tabela1107[[#This Row],[CONTRIB. FOLHA]]+Tabela1107[[#This Row],[TRIBUTOS S/ LUCRO]]+Tabela1107[[#This Row],[OUTROS]]+Tabela1107[[#This Row],[SC]]</f>
        <v>24.740000000000002</v>
      </c>
      <c r="BI359" s="97">
        <f>+Tabela1107[[#This Row],[PIS]]+Tabela1107[[#This Row],[COFINS]]+Tabela1107[[#This Row],[CONTRIB. FOLHA]]+Tabela1107[[#This Row],[TRIBUTOS S/ LUCRO]]+Tabela1107[[#This Row],[OUTROS]]+Tabela1107[[#This Row],[RS]]</f>
        <v>24.740000000000002</v>
      </c>
      <c r="BJ359" s="97">
        <f>+Tabela1107[[#This Row],[PIS]]+Tabela1107[[#This Row],[COFINS]]+Tabela1107[[#This Row],[CONTRIB. FOLHA]]+Tabela1107[[#This Row],[TRIBUTOS S/ LUCRO]]+Tabela1107[[#This Row],[OUTROS]]+Tabela1107[[#This Row],[RJ]]</f>
        <v>26.740000000000002</v>
      </c>
      <c r="BK359" s="97">
        <f>+Tabela1107[[#This Row],[PIS]]+Tabela1107[[#This Row],[COFINS]]+Tabela1107[[#This Row],[CONTRIB. FOLHA]]+Tabela1107[[#This Row],[TRIBUTOS S/ LUCRO]]+Tabela1107[[#This Row],[OUTROS]]+Tabela1107[[#This Row],[MG]]</f>
        <v>25.740000000000002</v>
      </c>
      <c r="BL359" s="97">
        <f>+Tabela1107[[#This Row],[PIS]]+Tabela1107[[#This Row],[COFINS]]+Tabela1107[[#This Row],[CONTRIB. FOLHA]]+Tabela1107[[#This Row],[TRIBUTOS S/ LUCRO]]+Tabela1107[[#This Row],[OUTROS]]+Tabela1107[[#This Row],[ES]]</f>
        <v>24.740000000000002</v>
      </c>
      <c r="BM359" s="97">
        <f>+Tabela1107[[#This Row],[PIS]]+Tabela1107[[#This Row],[COFINS]]+Tabela1107[[#This Row],[CONTRIB. FOLHA]]+Tabela1107[[#This Row],[TRIBUTOS S/ LUCRO]]+Tabela1107[[#This Row],[OUTROS]]+Tabela1107[[#This Row],[GO]]</f>
        <v>24.740000000000002</v>
      </c>
      <c r="BN359" s="97">
        <f>+Tabela1107[[#This Row],[PIS]]+Tabela1107[[#This Row],[COFINS]]+Tabela1107[[#This Row],[CONTRIB. FOLHA]]+Tabela1107[[#This Row],[TRIBUTOS S/ LUCRO]]+Tabela1107[[#This Row],[OUTROS]]+Tabela1107[[#This Row],[MT]]</f>
        <v>24.740000000000002</v>
      </c>
      <c r="BO359" s="97">
        <f>+Tabela1107[[#This Row],[PIS]]+Tabela1107[[#This Row],[COFINS]]+Tabela1107[[#This Row],[CONTRIB. FOLHA]]+Tabela1107[[#This Row],[TRIBUTOS S/ LUCRO]]+Tabela1107[[#This Row],[OUTROS]]+Tabela1107[[#This Row],[MS]]</f>
        <v>24.740000000000002</v>
      </c>
      <c r="BP359" s="97">
        <f>+Tabela1107[[#This Row],[PIS]]+Tabela1107[[#This Row],[COFINS]]+Tabela1107[[#This Row],[CONTRIB. FOLHA]]+Tabela1107[[#This Row],[TRIBUTOS S/ LUCRO]]+Tabela1107[[#This Row],[OUTROS]]+Tabela1107[[#This Row],[DF]]</f>
        <v>24.740000000000002</v>
      </c>
      <c r="BQ359" s="97">
        <f>+Tabela1107[[#This Row],[PIS]]+Tabela1107[[#This Row],[COFINS]]+Tabela1107[[#This Row],[CONTRIB. FOLHA]]+Tabela1107[[#This Row],[TRIBUTOS S/ LUCRO]]+Tabela1107[[#This Row],[OUTROS]]+Tabela1107[[#This Row],[BA]]</f>
        <v>24.740000000000002</v>
      </c>
      <c r="BR359" s="97">
        <f>+Tabela1107[[#This Row],[PIS]]+Tabela1107[[#This Row],[COFINS]]+Tabela1107[[#This Row],[CONTRIB. FOLHA]]+Tabela1107[[#This Row],[TRIBUTOS S/ LUCRO]]+Tabela1107[[#This Row],[OUTROS]]+Tabela1107[[#This Row],[BA]]</f>
        <v>24.740000000000002</v>
      </c>
      <c r="BS359" s="97">
        <f>+Tabela1107[[#This Row],[PIS]]+Tabela1107[[#This Row],[COFINS]]+Tabela1107[[#This Row],[CONTRIB. FOLHA]]+Tabela1107[[#This Row],[TRIBUTOS S/ LUCRO]]+Tabela1107[[#This Row],[OUTROS]]+Tabela1107[[#This Row],[PE]]</f>
        <v>24.740000000000002</v>
      </c>
      <c r="BT359" s="97">
        <f>+Tabela1107[[#This Row],[PIS]]+Tabela1107[[#This Row],[COFINS]]+Tabela1107[[#This Row],[CONTRIB. FOLHA]]+Tabela1107[[#This Row],[TRIBUTOS S/ LUCRO]]+Tabela1107[[#This Row],[OUTROS]]+Tabela1107[[#This Row],[PA]]</f>
        <v>24.740000000000002</v>
      </c>
      <c r="BU359" s="97">
        <f>+Tabela1107[[#This Row],[PIS]]+Tabela1107[[#This Row],[COFINS]]+Tabela1107[[#This Row],[CONTRIB. FOLHA]]+Tabela1107[[#This Row],[TRIBUTOS S/ LUCRO]]+Tabela1107[[#This Row],[OUTROS]]+Tabela1107[[#This Row],[AM]]</f>
        <v>24.740000000000002</v>
      </c>
      <c r="BV359" s="97">
        <f>AVERAGE(Tabela1107[[#This Row],[TOTAL SP]:[TOTAL AM]])</f>
        <v>24.677500000000006</v>
      </c>
      <c r="BW359" s="97"/>
      <c r="BX359" s="97"/>
    </row>
    <row r="360" spans="2:76" x14ac:dyDescent="0.25">
      <c r="B360" s="89">
        <v>15752</v>
      </c>
      <c r="C360" s="91" t="s">
        <v>13183</v>
      </c>
      <c r="D360" s="89"/>
      <c r="E360" s="89">
        <v>20140626</v>
      </c>
      <c r="F360" s="89" t="s">
        <v>21222</v>
      </c>
      <c r="G360" s="89" t="s">
        <v>21223</v>
      </c>
      <c r="H360" s="89" t="s">
        <v>21224</v>
      </c>
      <c r="I360" s="89" t="s">
        <v>21225</v>
      </c>
      <c r="J360" s="89" t="s">
        <v>436</v>
      </c>
      <c r="K360" s="89" t="s">
        <v>2479</v>
      </c>
      <c r="L360" s="89" t="s">
        <v>4475</v>
      </c>
      <c r="M360" s="89" t="s">
        <v>3177</v>
      </c>
      <c r="N360" s="89" t="s">
        <v>4496</v>
      </c>
      <c r="O360" s="89" t="s">
        <v>4496</v>
      </c>
      <c r="P360" s="89" t="s">
        <v>4496</v>
      </c>
      <c r="Q360" s="89"/>
      <c r="R360" s="89" t="s">
        <v>219</v>
      </c>
      <c r="S360" s="89" t="s">
        <v>21676</v>
      </c>
      <c r="T360" s="89" t="s">
        <v>21677</v>
      </c>
      <c r="U360" s="89" t="str">
        <f>TRIM('Carga Tributária doenças Po (2'!$L360)</f>
        <v>TRIBENOSIDEO</v>
      </c>
      <c r="V360" s="89">
        <f>SUMIFS('Tabela Federal'!$E$4:$E$2069,'Tabela Federal'!$D$4:$D$2069,'Carga Tributária doenças Po (2'!$L360)</f>
        <v>0</v>
      </c>
      <c r="W360" s="89">
        <f>SUMIFS('Tabela Federal'!$E$4:$E$2069,'Tabela Federal'!$D$4:$D$2069,'Carga Tributária doenças Po (2'!$M360)</f>
        <v>5</v>
      </c>
      <c r="X360" s="89">
        <f>SUMIFS('Tabela Federal'!$E$4:$E$2069,'Tabela Federal'!$D$4:$D$2069,'Carga Tributária doenças Po (2'!$N360)</f>
        <v>0</v>
      </c>
      <c r="Y360" s="89">
        <f>SUMIFS('Tabela Federal'!$E$4:$E$2069,'Tabela Federal'!$D$4:$D$2069,'Carga Tributária doenças Po (2'!$O360)</f>
        <v>0</v>
      </c>
      <c r="Z360" s="92" t="str">
        <f>VLOOKUP('Carga Tributária doenças Po (2'!$AD360,'Carga Tributária doenças Po (2'!$CA$12:$CC$16,2,0)</f>
        <v>-</v>
      </c>
      <c r="AA360" s="89" t="s">
        <v>428</v>
      </c>
      <c r="AB360" s="89" t="s">
        <v>21816</v>
      </c>
      <c r="AC360" s="89" t="s">
        <v>21740</v>
      </c>
      <c r="AD360" s="93" t="s">
        <v>19523</v>
      </c>
      <c r="AE360" s="92" t="s">
        <v>4</v>
      </c>
      <c r="AF360" s="92" t="s">
        <v>3</v>
      </c>
      <c r="AG360" s="94">
        <v>302890</v>
      </c>
      <c r="AH360" s="95">
        <v>1998634</v>
      </c>
      <c r="AI360" s="95">
        <v>4578168.13</v>
      </c>
      <c r="AJ360" s="89" t="s">
        <v>441</v>
      </c>
      <c r="AK360" s="89">
        <f>IF('Carga Tributária doenças Po (2'!$Z360="+",0,SUMIFS(PISCOFINS!$I$3:$I$10518,PISCOFINS!$C$3:$C$10518,'Carga Tributária doenças Po (2'!$C360))</f>
        <v>2.1</v>
      </c>
      <c r="AL360" s="89">
        <f>IF('Carga Tributária doenças Po (2'!$Z360="+",0,SUMIFS(PISCOFINS!$H$3:$H$10518,PISCOFINS!$C$3:$C$10518,'Carga Tributária doenças Po (2'!$C360))</f>
        <v>9.9</v>
      </c>
      <c r="AM360" s="95">
        <v>3.27</v>
      </c>
      <c r="AN360" s="95">
        <v>3.12</v>
      </c>
      <c r="AO360" s="95">
        <v>1.35</v>
      </c>
      <c r="AP360" s="96">
        <v>18</v>
      </c>
      <c r="AQ360" s="96">
        <v>12</v>
      </c>
      <c r="AR360" s="96">
        <v>17</v>
      </c>
      <c r="AS360" s="97">
        <v>17</v>
      </c>
      <c r="AT360" s="97">
        <v>19</v>
      </c>
      <c r="AU360" s="97">
        <v>18</v>
      </c>
      <c r="AV360" s="97">
        <v>17</v>
      </c>
      <c r="AW360" s="97">
        <v>17</v>
      </c>
      <c r="AX360" s="97">
        <v>17</v>
      </c>
      <c r="AY360" s="97">
        <v>17</v>
      </c>
      <c r="AZ360" s="97">
        <v>17</v>
      </c>
      <c r="BA360" s="97">
        <v>17</v>
      </c>
      <c r="BB360" s="97">
        <v>17</v>
      </c>
      <c r="BC360" s="97">
        <v>17</v>
      </c>
      <c r="BD360" s="97">
        <v>17</v>
      </c>
      <c r="BE360" s="97">
        <v>17</v>
      </c>
      <c r="BF360" s="97">
        <f>+Tabela1107[[#This Row],[PIS]]+Tabela1107[[#This Row],[COFINS]]+Tabela1107[[#This Row],[CONTRIB. FOLHA]]+Tabela1107[[#This Row],[TRIBUTOS S/ LUCRO]]+Tabela1107[[#This Row],[OUTROS]]+Tabela1107[[#This Row],[SP]]</f>
        <v>37.74</v>
      </c>
      <c r="BG360" s="97">
        <f>+Tabela1107[[#This Row],[PIS]]+Tabela1107[[#This Row],[COFINS]]+Tabela1107[[#This Row],[CONTRIB. FOLHA]]+Tabela1107[[#This Row],[TRIBUTOS S/ LUCRO]]+Tabela1107[[#This Row],[OUTROS]]+Tabela1107[[#This Row],[PR]]</f>
        <v>31.740000000000002</v>
      </c>
      <c r="BH360" s="97">
        <f>+Tabela1107[[#This Row],[PIS]]+Tabela1107[[#This Row],[COFINS]]+Tabela1107[[#This Row],[CONTRIB. FOLHA]]+Tabela1107[[#This Row],[TRIBUTOS S/ LUCRO]]+Tabela1107[[#This Row],[OUTROS]]+Tabela1107[[#This Row],[SC]]</f>
        <v>36.74</v>
      </c>
      <c r="BI360" s="97">
        <f>+Tabela1107[[#This Row],[PIS]]+Tabela1107[[#This Row],[COFINS]]+Tabela1107[[#This Row],[CONTRIB. FOLHA]]+Tabela1107[[#This Row],[TRIBUTOS S/ LUCRO]]+Tabela1107[[#This Row],[OUTROS]]+Tabela1107[[#This Row],[RS]]</f>
        <v>36.74</v>
      </c>
      <c r="BJ360" s="97">
        <f>+Tabela1107[[#This Row],[PIS]]+Tabela1107[[#This Row],[COFINS]]+Tabela1107[[#This Row],[CONTRIB. FOLHA]]+Tabela1107[[#This Row],[TRIBUTOS S/ LUCRO]]+Tabela1107[[#This Row],[OUTROS]]+Tabela1107[[#This Row],[RJ]]</f>
        <v>38.74</v>
      </c>
      <c r="BK360" s="97">
        <f>+Tabela1107[[#This Row],[PIS]]+Tabela1107[[#This Row],[COFINS]]+Tabela1107[[#This Row],[CONTRIB. FOLHA]]+Tabela1107[[#This Row],[TRIBUTOS S/ LUCRO]]+Tabela1107[[#This Row],[OUTROS]]+Tabela1107[[#This Row],[MG]]</f>
        <v>37.74</v>
      </c>
      <c r="BL360" s="97">
        <f>+Tabela1107[[#This Row],[PIS]]+Tabela1107[[#This Row],[COFINS]]+Tabela1107[[#This Row],[CONTRIB. FOLHA]]+Tabela1107[[#This Row],[TRIBUTOS S/ LUCRO]]+Tabela1107[[#This Row],[OUTROS]]+Tabela1107[[#This Row],[ES]]</f>
        <v>36.74</v>
      </c>
      <c r="BM360" s="97">
        <f>+Tabela1107[[#This Row],[PIS]]+Tabela1107[[#This Row],[COFINS]]+Tabela1107[[#This Row],[CONTRIB. FOLHA]]+Tabela1107[[#This Row],[TRIBUTOS S/ LUCRO]]+Tabela1107[[#This Row],[OUTROS]]+Tabela1107[[#This Row],[GO]]</f>
        <v>36.74</v>
      </c>
      <c r="BN360" s="97">
        <f>+Tabela1107[[#This Row],[PIS]]+Tabela1107[[#This Row],[COFINS]]+Tabela1107[[#This Row],[CONTRIB. FOLHA]]+Tabela1107[[#This Row],[TRIBUTOS S/ LUCRO]]+Tabela1107[[#This Row],[OUTROS]]+Tabela1107[[#This Row],[MT]]</f>
        <v>36.74</v>
      </c>
      <c r="BO360" s="97">
        <f>+Tabela1107[[#This Row],[PIS]]+Tabela1107[[#This Row],[COFINS]]+Tabela1107[[#This Row],[CONTRIB. FOLHA]]+Tabela1107[[#This Row],[TRIBUTOS S/ LUCRO]]+Tabela1107[[#This Row],[OUTROS]]+Tabela1107[[#This Row],[MS]]</f>
        <v>36.74</v>
      </c>
      <c r="BP360" s="97">
        <f>+Tabela1107[[#This Row],[PIS]]+Tabela1107[[#This Row],[COFINS]]+Tabela1107[[#This Row],[CONTRIB. FOLHA]]+Tabela1107[[#This Row],[TRIBUTOS S/ LUCRO]]+Tabela1107[[#This Row],[OUTROS]]+Tabela1107[[#This Row],[DF]]</f>
        <v>36.74</v>
      </c>
      <c r="BQ360" s="97">
        <f>+Tabela1107[[#This Row],[PIS]]+Tabela1107[[#This Row],[COFINS]]+Tabela1107[[#This Row],[CONTRIB. FOLHA]]+Tabela1107[[#This Row],[TRIBUTOS S/ LUCRO]]+Tabela1107[[#This Row],[OUTROS]]+Tabela1107[[#This Row],[BA]]</f>
        <v>36.74</v>
      </c>
      <c r="BR360" s="97">
        <f>+Tabela1107[[#This Row],[PIS]]+Tabela1107[[#This Row],[COFINS]]+Tabela1107[[#This Row],[CONTRIB. FOLHA]]+Tabela1107[[#This Row],[TRIBUTOS S/ LUCRO]]+Tabela1107[[#This Row],[OUTROS]]+Tabela1107[[#This Row],[BA]]</f>
        <v>36.74</v>
      </c>
      <c r="BS360" s="97">
        <f>+Tabela1107[[#This Row],[PIS]]+Tabela1107[[#This Row],[COFINS]]+Tabela1107[[#This Row],[CONTRIB. FOLHA]]+Tabela1107[[#This Row],[TRIBUTOS S/ LUCRO]]+Tabela1107[[#This Row],[OUTROS]]+Tabela1107[[#This Row],[PE]]</f>
        <v>36.74</v>
      </c>
      <c r="BT360" s="97">
        <f>+Tabela1107[[#This Row],[PIS]]+Tabela1107[[#This Row],[COFINS]]+Tabela1107[[#This Row],[CONTRIB. FOLHA]]+Tabela1107[[#This Row],[TRIBUTOS S/ LUCRO]]+Tabela1107[[#This Row],[OUTROS]]+Tabela1107[[#This Row],[PA]]</f>
        <v>36.74</v>
      </c>
      <c r="BU360" s="97">
        <f>+Tabela1107[[#This Row],[PIS]]+Tabela1107[[#This Row],[COFINS]]+Tabela1107[[#This Row],[CONTRIB. FOLHA]]+Tabela1107[[#This Row],[TRIBUTOS S/ LUCRO]]+Tabela1107[[#This Row],[OUTROS]]+Tabela1107[[#This Row],[AM]]</f>
        <v>36.74</v>
      </c>
      <c r="BV360" s="97">
        <f>AVERAGE(Tabela1107[[#This Row],[TOTAL SP]:[TOTAL AM]])</f>
        <v>36.677500000000002</v>
      </c>
      <c r="BW360" s="97"/>
      <c r="BX360" s="97"/>
    </row>
    <row r="361" spans="2:76" x14ac:dyDescent="0.25">
      <c r="B361" s="89">
        <v>15284</v>
      </c>
      <c r="C361" s="91" t="s">
        <v>13168</v>
      </c>
      <c r="D361" s="89"/>
      <c r="E361" s="89">
        <v>20140626</v>
      </c>
      <c r="F361" s="89" t="s">
        <v>21082</v>
      </c>
      <c r="G361" s="89" t="s">
        <v>21083</v>
      </c>
      <c r="H361" s="89" t="s">
        <v>21084</v>
      </c>
      <c r="I361" s="89" t="s">
        <v>21085</v>
      </c>
      <c r="J361" s="89" t="s">
        <v>435</v>
      </c>
      <c r="K361" s="99" t="s">
        <v>2533</v>
      </c>
      <c r="L361" s="89" t="s">
        <v>4501</v>
      </c>
      <c r="M361" s="89" t="s">
        <v>4506</v>
      </c>
      <c r="N361" s="89" t="s">
        <v>4496</v>
      </c>
      <c r="O361" s="89" t="s">
        <v>4496</v>
      </c>
      <c r="P361" s="89" t="s">
        <v>4496</v>
      </c>
      <c r="Q361" s="89"/>
      <c r="R361" s="89" t="s">
        <v>68</v>
      </c>
      <c r="S361" s="89" t="s">
        <v>21664</v>
      </c>
      <c r="T361" s="89" t="s">
        <v>21665</v>
      </c>
      <c r="U361" s="89" t="str">
        <f>TRIM('Carga Tributária doenças Po (2'!$L361)</f>
        <v>POLICRESULENO</v>
      </c>
      <c r="V361" s="89">
        <f>SUMIFS('Tabela Federal'!$E$4:$E$2069,'Tabela Federal'!$D$4:$D$2069,'Carga Tributária doenças Po (2'!$L361)</f>
        <v>0</v>
      </c>
      <c r="W361" s="89">
        <f>SUMIFS('Tabela Federal'!$E$4:$E$2069,'Tabela Federal'!$D$4:$D$2069,'Carga Tributária doenças Po (2'!$M361)</f>
        <v>0</v>
      </c>
      <c r="X361" s="89">
        <f>SUMIFS('Tabela Federal'!$E$4:$E$2069,'Tabela Federal'!$D$4:$D$2069,'Carga Tributária doenças Po (2'!$N361)</f>
        <v>0</v>
      </c>
      <c r="Y361" s="89">
        <f>SUMIFS('Tabela Federal'!$E$4:$E$2069,'Tabela Federal'!$D$4:$D$2069,'Carga Tributária doenças Po (2'!$O361)</f>
        <v>0</v>
      </c>
      <c r="Z361" s="92" t="str">
        <f>VLOOKUP('Carga Tributária doenças Po (2'!$AD361,'Carga Tributária doenças Po (2'!$CA$12:$CC$16,2,0)</f>
        <v>-</v>
      </c>
      <c r="AA361" s="89" t="s">
        <v>428</v>
      </c>
      <c r="AB361" s="89" t="s">
        <v>21849</v>
      </c>
      <c r="AC361" s="89" t="s">
        <v>21740</v>
      </c>
      <c r="AD361" s="93" t="s">
        <v>19523</v>
      </c>
      <c r="AE361" s="92" t="s">
        <v>4</v>
      </c>
      <c r="AF361" s="92" t="s">
        <v>3</v>
      </c>
      <c r="AG361" s="94">
        <v>315020</v>
      </c>
      <c r="AH361" s="95">
        <v>2642867</v>
      </c>
      <c r="AI361" s="95">
        <v>6017827.2800000003</v>
      </c>
      <c r="AJ361" s="89" t="s">
        <v>441</v>
      </c>
      <c r="AK361" s="89">
        <f>IF('Carga Tributária doenças Po (2'!$Z361="+",0,SUMIFS(PISCOFINS!$I$3:$I$10518,PISCOFINS!$C$3:$C$10518,'Carga Tributária doenças Po (2'!$C361))</f>
        <v>2.1</v>
      </c>
      <c r="AL361" s="89">
        <f>IF('Carga Tributária doenças Po (2'!$Z361="+",0,SUMIFS(PISCOFINS!$H$3:$H$10518,PISCOFINS!$C$3:$C$10518,'Carga Tributária doenças Po (2'!$C361))</f>
        <v>9.9</v>
      </c>
      <c r="AM361" s="95">
        <v>3.27</v>
      </c>
      <c r="AN361" s="95">
        <v>3.12</v>
      </c>
      <c r="AO361" s="95">
        <v>1.35</v>
      </c>
      <c r="AP361" s="96">
        <v>18</v>
      </c>
      <c r="AQ361" s="96">
        <v>12</v>
      </c>
      <c r="AR361" s="96">
        <v>17</v>
      </c>
      <c r="AS361" s="97">
        <v>17</v>
      </c>
      <c r="AT361" s="97">
        <v>19</v>
      </c>
      <c r="AU361" s="97">
        <v>18</v>
      </c>
      <c r="AV361" s="97">
        <v>17</v>
      </c>
      <c r="AW361" s="97">
        <v>17</v>
      </c>
      <c r="AX361" s="97">
        <v>17</v>
      </c>
      <c r="AY361" s="97">
        <v>17</v>
      </c>
      <c r="AZ361" s="97">
        <v>17</v>
      </c>
      <c r="BA361" s="97">
        <v>17</v>
      </c>
      <c r="BB361" s="97">
        <v>17</v>
      </c>
      <c r="BC361" s="97">
        <v>17</v>
      </c>
      <c r="BD361" s="97">
        <v>17</v>
      </c>
      <c r="BE361" s="97">
        <v>17</v>
      </c>
      <c r="BF361" s="97">
        <f>+Tabela1107[[#This Row],[PIS]]+Tabela1107[[#This Row],[COFINS]]+Tabela1107[[#This Row],[CONTRIB. FOLHA]]+Tabela1107[[#This Row],[TRIBUTOS S/ LUCRO]]+Tabela1107[[#This Row],[OUTROS]]+Tabela1107[[#This Row],[SP]]</f>
        <v>37.74</v>
      </c>
      <c r="BG361" s="97">
        <f>+Tabela1107[[#This Row],[PIS]]+Tabela1107[[#This Row],[COFINS]]+Tabela1107[[#This Row],[CONTRIB. FOLHA]]+Tabela1107[[#This Row],[TRIBUTOS S/ LUCRO]]+Tabela1107[[#This Row],[OUTROS]]+Tabela1107[[#This Row],[PR]]</f>
        <v>31.740000000000002</v>
      </c>
      <c r="BH361" s="97">
        <f>+Tabela1107[[#This Row],[PIS]]+Tabela1107[[#This Row],[COFINS]]+Tabela1107[[#This Row],[CONTRIB. FOLHA]]+Tabela1107[[#This Row],[TRIBUTOS S/ LUCRO]]+Tabela1107[[#This Row],[OUTROS]]+Tabela1107[[#This Row],[SC]]</f>
        <v>36.74</v>
      </c>
      <c r="BI361" s="97">
        <f>+Tabela1107[[#This Row],[PIS]]+Tabela1107[[#This Row],[COFINS]]+Tabela1107[[#This Row],[CONTRIB. FOLHA]]+Tabela1107[[#This Row],[TRIBUTOS S/ LUCRO]]+Tabela1107[[#This Row],[OUTROS]]+Tabela1107[[#This Row],[RS]]</f>
        <v>36.74</v>
      </c>
      <c r="BJ361" s="97">
        <f>+Tabela1107[[#This Row],[PIS]]+Tabela1107[[#This Row],[COFINS]]+Tabela1107[[#This Row],[CONTRIB. FOLHA]]+Tabela1107[[#This Row],[TRIBUTOS S/ LUCRO]]+Tabela1107[[#This Row],[OUTROS]]+Tabela1107[[#This Row],[RJ]]</f>
        <v>38.74</v>
      </c>
      <c r="BK361" s="97">
        <f>+Tabela1107[[#This Row],[PIS]]+Tabela1107[[#This Row],[COFINS]]+Tabela1107[[#This Row],[CONTRIB. FOLHA]]+Tabela1107[[#This Row],[TRIBUTOS S/ LUCRO]]+Tabela1107[[#This Row],[OUTROS]]+Tabela1107[[#This Row],[MG]]</f>
        <v>37.74</v>
      </c>
      <c r="BL361" s="97">
        <f>+Tabela1107[[#This Row],[PIS]]+Tabela1107[[#This Row],[COFINS]]+Tabela1107[[#This Row],[CONTRIB. FOLHA]]+Tabela1107[[#This Row],[TRIBUTOS S/ LUCRO]]+Tabela1107[[#This Row],[OUTROS]]+Tabela1107[[#This Row],[ES]]</f>
        <v>36.74</v>
      </c>
      <c r="BM361" s="97">
        <f>+Tabela1107[[#This Row],[PIS]]+Tabela1107[[#This Row],[COFINS]]+Tabela1107[[#This Row],[CONTRIB. FOLHA]]+Tabela1107[[#This Row],[TRIBUTOS S/ LUCRO]]+Tabela1107[[#This Row],[OUTROS]]+Tabela1107[[#This Row],[GO]]</f>
        <v>36.74</v>
      </c>
      <c r="BN361" s="97">
        <f>+Tabela1107[[#This Row],[PIS]]+Tabela1107[[#This Row],[COFINS]]+Tabela1107[[#This Row],[CONTRIB. FOLHA]]+Tabela1107[[#This Row],[TRIBUTOS S/ LUCRO]]+Tabela1107[[#This Row],[OUTROS]]+Tabela1107[[#This Row],[MT]]</f>
        <v>36.74</v>
      </c>
      <c r="BO361" s="97">
        <f>+Tabela1107[[#This Row],[PIS]]+Tabela1107[[#This Row],[COFINS]]+Tabela1107[[#This Row],[CONTRIB. FOLHA]]+Tabela1107[[#This Row],[TRIBUTOS S/ LUCRO]]+Tabela1107[[#This Row],[OUTROS]]+Tabela1107[[#This Row],[MS]]</f>
        <v>36.74</v>
      </c>
      <c r="BP361" s="97">
        <f>+Tabela1107[[#This Row],[PIS]]+Tabela1107[[#This Row],[COFINS]]+Tabela1107[[#This Row],[CONTRIB. FOLHA]]+Tabela1107[[#This Row],[TRIBUTOS S/ LUCRO]]+Tabela1107[[#This Row],[OUTROS]]+Tabela1107[[#This Row],[DF]]</f>
        <v>36.74</v>
      </c>
      <c r="BQ361" s="97">
        <f>+Tabela1107[[#This Row],[PIS]]+Tabela1107[[#This Row],[COFINS]]+Tabela1107[[#This Row],[CONTRIB. FOLHA]]+Tabela1107[[#This Row],[TRIBUTOS S/ LUCRO]]+Tabela1107[[#This Row],[OUTROS]]+Tabela1107[[#This Row],[BA]]</f>
        <v>36.74</v>
      </c>
      <c r="BR361" s="97">
        <f>+Tabela1107[[#This Row],[PIS]]+Tabela1107[[#This Row],[COFINS]]+Tabela1107[[#This Row],[CONTRIB. FOLHA]]+Tabela1107[[#This Row],[TRIBUTOS S/ LUCRO]]+Tabela1107[[#This Row],[OUTROS]]+Tabela1107[[#This Row],[BA]]</f>
        <v>36.74</v>
      </c>
      <c r="BS361" s="97">
        <f>+Tabela1107[[#This Row],[PIS]]+Tabela1107[[#This Row],[COFINS]]+Tabela1107[[#This Row],[CONTRIB. FOLHA]]+Tabela1107[[#This Row],[TRIBUTOS S/ LUCRO]]+Tabela1107[[#This Row],[OUTROS]]+Tabela1107[[#This Row],[PE]]</f>
        <v>36.74</v>
      </c>
      <c r="BT361" s="97">
        <f>+Tabela1107[[#This Row],[PIS]]+Tabela1107[[#This Row],[COFINS]]+Tabela1107[[#This Row],[CONTRIB. FOLHA]]+Tabela1107[[#This Row],[TRIBUTOS S/ LUCRO]]+Tabela1107[[#This Row],[OUTROS]]+Tabela1107[[#This Row],[PA]]</f>
        <v>36.74</v>
      </c>
      <c r="BU361" s="97">
        <f>+Tabela1107[[#This Row],[PIS]]+Tabela1107[[#This Row],[COFINS]]+Tabela1107[[#This Row],[CONTRIB. FOLHA]]+Tabela1107[[#This Row],[TRIBUTOS S/ LUCRO]]+Tabela1107[[#This Row],[OUTROS]]+Tabela1107[[#This Row],[AM]]</f>
        <v>36.74</v>
      </c>
      <c r="BV361" s="97">
        <f>AVERAGE(Tabela1107[[#This Row],[TOTAL SP]:[TOTAL AM]])</f>
        <v>36.677500000000002</v>
      </c>
      <c r="BW361" s="97"/>
      <c r="BX361" s="97"/>
    </row>
    <row r="362" spans="2:76" x14ac:dyDescent="0.25">
      <c r="B362" s="89">
        <v>15287</v>
      </c>
      <c r="C362" s="91" t="s">
        <v>13183</v>
      </c>
      <c r="D362" s="89"/>
      <c r="E362" s="89">
        <v>20140626</v>
      </c>
      <c r="F362" s="89" t="s">
        <v>21438</v>
      </c>
      <c r="G362" s="89" t="s">
        <v>21439</v>
      </c>
      <c r="H362" s="89" t="s">
        <v>21440</v>
      </c>
      <c r="I362" s="89" t="s">
        <v>21437</v>
      </c>
      <c r="J362" s="89" t="s">
        <v>440</v>
      </c>
      <c r="K362" s="99" t="s">
        <v>2533</v>
      </c>
      <c r="L362" s="89" t="s">
        <v>4501</v>
      </c>
      <c r="M362" s="89" t="s">
        <v>4506</v>
      </c>
      <c r="N362" s="89" t="s">
        <v>4496</v>
      </c>
      <c r="O362" s="89" t="s">
        <v>4496</v>
      </c>
      <c r="P362" s="89" t="s">
        <v>4496</v>
      </c>
      <c r="Q362" s="89"/>
      <c r="R362" s="89" t="s">
        <v>92</v>
      </c>
      <c r="S362" s="89" t="s">
        <v>21696</v>
      </c>
      <c r="T362" s="89" t="s">
        <v>21697</v>
      </c>
      <c r="U362" s="89" t="str">
        <f>TRIM('Carga Tributária doenças Po (2'!$L362)</f>
        <v>POLICRESULENO</v>
      </c>
      <c r="V362" s="89">
        <f>SUMIFS('Tabela Federal'!$E$4:$E$2069,'Tabela Federal'!$D$4:$D$2069,'Carga Tributária doenças Po (2'!$L362)</f>
        <v>0</v>
      </c>
      <c r="W362" s="89">
        <f>SUMIFS('Tabela Federal'!$E$4:$E$2069,'Tabela Federal'!$D$4:$D$2069,'Carga Tributária doenças Po (2'!$M362)</f>
        <v>0</v>
      </c>
      <c r="X362" s="89">
        <f>SUMIFS('Tabela Federal'!$E$4:$E$2069,'Tabela Federal'!$D$4:$D$2069,'Carga Tributária doenças Po (2'!$N362)</f>
        <v>0</v>
      </c>
      <c r="Y362" s="89">
        <f>SUMIFS('Tabela Federal'!$E$4:$E$2069,'Tabela Federal'!$D$4:$D$2069,'Carga Tributária doenças Po (2'!$O362)</f>
        <v>0</v>
      </c>
      <c r="Z362" s="92" t="str">
        <f>VLOOKUP('Carga Tributária doenças Po (2'!$AD362,'Carga Tributária doenças Po (2'!$CA$12:$CC$16,2,0)</f>
        <v>-</v>
      </c>
      <c r="AA362" s="89" t="s">
        <v>428</v>
      </c>
      <c r="AB362" s="89" t="s">
        <v>21849</v>
      </c>
      <c r="AC362" s="89" t="s">
        <v>21740</v>
      </c>
      <c r="AD362" s="93" t="s">
        <v>19523</v>
      </c>
      <c r="AE362" s="92" t="s">
        <v>4</v>
      </c>
      <c r="AF362" s="92" t="s">
        <v>23</v>
      </c>
      <c r="AG362" s="94">
        <v>202210</v>
      </c>
      <c r="AH362" s="95">
        <v>2876200</v>
      </c>
      <c r="AI362" s="95">
        <v>6568723.9699999997</v>
      </c>
      <c r="AJ362" s="89" t="s">
        <v>441</v>
      </c>
      <c r="AK362" s="89">
        <f>IF('Carga Tributária doenças Po (2'!$Z362="+",0,SUMIFS(PISCOFINS!$I$3:$I$10518,PISCOFINS!$C$3:$C$10518,'Carga Tributária doenças Po (2'!$C362))</f>
        <v>2.1</v>
      </c>
      <c r="AL362" s="89">
        <f>IF('Carga Tributária doenças Po (2'!$Z362="+",0,SUMIFS(PISCOFINS!$H$3:$H$10518,PISCOFINS!$C$3:$C$10518,'Carga Tributária doenças Po (2'!$C362))</f>
        <v>9.9</v>
      </c>
      <c r="AM362" s="95">
        <v>3.27</v>
      </c>
      <c r="AN362" s="95">
        <v>3.12</v>
      </c>
      <c r="AO362" s="95">
        <v>1.35</v>
      </c>
      <c r="AP362" s="96">
        <v>18</v>
      </c>
      <c r="AQ362" s="96">
        <v>12</v>
      </c>
      <c r="AR362" s="96">
        <v>17</v>
      </c>
      <c r="AS362" s="97">
        <v>17</v>
      </c>
      <c r="AT362" s="97">
        <v>19</v>
      </c>
      <c r="AU362" s="97">
        <v>18</v>
      </c>
      <c r="AV362" s="97">
        <v>17</v>
      </c>
      <c r="AW362" s="97">
        <v>17</v>
      </c>
      <c r="AX362" s="97">
        <v>17</v>
      </c>
      <c r="AY362" s="97">
        <v>17</v>
      </c>
      <c r="AZ362" s="97">
        <v>17</v>
      </c>
      <c r="BA362" s="97">
        <v>17</v>
      </c>
      <c r="BB362" s="97">
        <v>17</v>
      </c>
      <c r="BC362" s="97">
        <v>17</v>
      </c>
      <c r="BD362" s="97">
        <v>17</v>
      </c>
      <c r="BE362" s="97">
        <v>17</v>
      </c>
      <c r="BF362" s="97">
        <f>+Tabela1107[[#This Row],[PIS]]+Tabela1107[[#This Row],[COFINS]]+Tabela1107[[#This Row],[CONTRIB. FOLHA]]+Tabela1107[[#This Row],[TRIBUTOS S/ LUCRO]]+Tabela1107[[#This Row],[OUTROS]]+Tabela1107[[#This Row],[SP]]</f>
        <v>37.74</v>
      </c>
      <c r="BG362" s="97">
        <f>+Tabela1107[[#This Row],[PIS]]+Tabela1107[[#This Row],[COFINS]]+Tabela1107[[#This Row],[CONTRIB. FOLHA]]+Tabela1107[[#This Row],[TRIBUTOS S/ LUCRO]]+Tabela1107[[#This Row],[OUTROS]]+Tabela1107[[#This Row],[PR]]</f>
        <v>31.740000000000002</v>
      </c>
      <c r="BH362" s="97">
        <f>+Tabela1107[[#This Row],[PIS]]+Tabela1107[[#This Row],[COFINS]]+Tabela1107[[#This Row],[CONTRIB. FOLHA]]+Tabela1107[[#This Row],[TRIBUTOS S/ LUCRO]]+Tabela1107[[#This Row],[OUTROS]]+Tabela1107[[#This Row],[SC]]</f>
        <v>36.74</v>
      </c>
      <c r="BI362" s="97">
        <f>+Tabela1107[[#This Row],[PIS]]+Tabela1107[[#This Row],[COFINS]]+Tabela1107[[#This Row],[CONTRIB. FOLHA]]+Tabela1107[[#This Row],[TRIBUTOS S/ LUCRO]]+Tabela1107[[#This Row],[OUTROS]]+Tabela1107[[#This Row],[RS]]</f>
        <v>36.74</v>
      </c>
      <c r="BJ362" s="97">
        <f>+Tabela1107[[#This Row],[PIS]]+Tabela1107[[#This Row],[COFINS]]+Tabela1107[[#This Row],[CONTRIB. FOLHA]]+Tabela1107[[#This Row],[TRIBUTOS S/ LUCRO]]+Tabela1107[[#This Row],[OUTROS]]+Tabela1107[[#This Row],[RJ]]</f>
        <v>38.74</v>
      </c>
      <c r="BK362" s="97">
        <f>+Tabela1107[[#This Row],[PIS]]+Tabela1107[[#This Row],[COFINS]]+Tabela1107[[#This Row],[CONTRIB. FOLHA]]+Tabela1107[[#This Row],[TRIBUTOS S/ LUCRO]]+Tabela1107[[#This Row],[OUTROS]]+Tabela1107[[#This Row],[MG]]</f>
        <v>37.74</v>
      </c>
      <c r="BL362" s="97">
        <f>+Tabela1107[[#This Row],[PIS]]+Tabela1107[[#This Row],[COFINS]]+Tabela1107[[#This Row],[CONTRIB. FOLHA]]+Tabela1107[[#This Row],[TRIBUTOS S/ LUCRO]]+Tabela1107[[#This Row],[OUTROS]]+Tabela1107[[#This Row],[ES]]</f>
        <v>36.74</v>
      </c>
      <c r="BM362" s="97">
        <f>+Tabela1107[[#This Row],[PIS]]+Tabela1107[[#This Row],[COFINS]]+Tabela1107[[#This Row],[CONTRIB. FOLHA]]+Tabela1107[[#This Row],[TRIBUTOS S/ LUCRO]]+Tabela1107[[#This Row],[OUTROS]]+Tabela1107[[#This Row],[GO]]</f>
        <v>36.74</v>
      </c>
      <c r="BN362" s="97">
        <f>+Tabela1107[[#This Row],[PIS]]+Tabela1107[[#This Row],[COFINS]]+Tabela1107[[#This Row],[CONTRIB. FOLHA]]+Tabela1107[[#This Row],[TRIBUTOS S/ LUCRO]]+Tabela1107[[#This Row],[OUTROS]]+Tabela1107[[#This Row],[MT]]</f>
        <v>36.74</v>
      </c>
      <c r="BO362" s="97">
        <f>+Tabela1107[[#This Row],[PIS]]+Tabela1107[[#This Row],[COFINS]]+Tabela1107[[#This Row],[CONTRIB. FOLHA]]+Tabela1107[[#This Row],[TRIBUTOS S/ LUCRO]]+Tabela1107[[#This Row],[OUTROS]]+Tabela1107[[#This Row],[MS]]</f>
        <v>36.74</v>
      </c>
      <c r="BP362" s="97">
        <f>+Tabela1107[[#This Row],[PIS]]+Tabela1107[[#This Row],[COFINS]]+Tabela1107[[#This Row],[CONTRIB. FOLHA]]+Tabela1107[[#This Row],[TRIBUTOS S/ LUCRO]]+Tabela1107[[#This Row],[OUTROS]]+Tabela1107[[#This Row],[DF]]</f>
        <v>36.74</v>
      </c>
      <c r="BQ362" s="97">
        <f>+Tabela1107[[#This Row],[PIS]]+Tabela1107[[#This Row],[COFINS]]+Tabela1107[[#This Row],[CONTRIB. FOLHA]]+Tabela1107[[#This Row],[TRIBUTOS S/ LUCRO]]+Tabela1107[[#This Row],[OUTROS]]+Tabela1107[[#This Row],[BA]]</f>
        <v>36.74</v>
      </c>
      <c r="BR362" s="97">
        <f>+Tabela1107[[#This Row],[PIS]]+Tabela1107[[#This Row],[COFINS]]+Tabela1107[[#This Row],[CONTRIB. FOLHA]]+Tabela1107[[#This Row],[TRIBUTOS S/ LUCRO]]+Tabela1107[[#This Row],[OUTROS]]+Tabela1107[[#This Row],[BA]]</f>
        <v>36.74</v>
      </c>
      <c r="BS362" s="97">
        <f>+Tabela1107[[#This Row],[PIS]]+Tabela1107[[#This Row],[COFINS]]+Tabela1107[[#This Row],[CONTRIB. FOLHA]]+Tabela1107[[#This Row],[TRIBUTOS S/ LUCRO]]+Tabela1107[[#This Row],[OUTROS]]+Tabela1107[[#This Row],[PE]]</f>
        <v>36.74</v>
      </c>
      <c r="BT362" s="97">
        <f>+Tabela1107[[#This Row],[PIS]]+Tabela1107[[#This Row],[COFINS]]+Tabela1107[[#This Row],[CONTRIB. FOLHA]]+Tabela1107[[#This Row],[TRIBUTOS S/ LUCRO]]+Tabela1107[[#This Row],[OUTROS]]+Tabela1107[[#This Row],[PA]]</f>
        <v>36.74</v>
      </c>
      <c r="BU362" s="97">
        <f>+Tabela1107[[#This Row],[PIS]]+Tabela1107[[#This Row],[COFINS]]+Tabela1107[[#This Row],[CONTRIB. FOLHA]]+Tabela1107[[#This Row],[TRIBUTOS S/ LUCRO]]+Tabela1107[[#This Row],[OUTROS]]+Tabela1107[[#This Row],[AM]]</f>
        <v>36.74</v>
      </c>
      <c r="BV362" s="97">
        <f>AVERAGE(Tabela1107[[#This Row],[TOTAL SP]:[TOTAL AM]])</f>
        <v>36.677500000000002</v>
      </c>
      <c r="BW362" s="97"/>
      <c r="BX362" s="97"/>
    </row>
    <row r="363" spans="2:76" x14ac:dyDescent="0.25">
      <c r="B363" s="89">
        <v>15288</v>
      </c>
      <c r="C363" s="91" t="s">
        <v>13183</v>
      </c>
      <c r="D363" s="89"/>
      <c r="E363" s="89">
        <v>20140626</v>
      </c>
      <c r="F363" s="89" t="s">
        <v>21434</v>
      </c>
      <c r="G363" s="89" t="s">
        <v>21435</v>
      </c>
      <c r="H363" s="89" t="s">
        <v>21436</v>
      </c>
      <c r="I363" s="89" t="s">
        <v>21437</v>
      </c>
      <c r="J363" s="89" t="s">
        <v>427</v>
      </c>
      <c r="K363" s="99" t="s">
        <v>2533</v>
      </c>
      <c r="L363" s="89" t="s">
        <v>4501</v>
      </c>
      <c r="M363" s="89" t="s">
        <v>4506</v>
      </c>
      <c r="N363" s="89" t="s">
        <v>4496</v>
      </c>
      <c r="O363" s="89" t="s">
        <v>4496</v>
      </c>
      <c r="P363" s="89" t="s">
        <v>4496</v>
      </c>
      <c r="Q363" s="89"/>
      <c r="R363" s="89" t="s">
        <v>92</v>
      </c>
      <c r="S363" s="89" t="s">
        <v>21696</v>
      </c>
      <c r="T363" s="89" t="s">
        <v>21697</v>
      </c>
      <c r="U363" s="89" t="str">
        <f>TRIM('Carga Tributária doenças Po (2'!$L363)</f>
        <v>POLICRESULENO</v>
      </c>
      <c r="V363" s="89">
        <f>SUMIFS('Tabela Federal'!$E$4:$E$2069,'Tabela Federal'!$D$4:$D$2069,'Carga Tributária doenças Po (2'!$L363)</f>
        <v>0</v>
      </c>
      <c r="W363" s="89">
        <f>SUMIFS('Tabela Federal'!$E$4:$E$2069,'Tabela Federal'!$D$4:$D$2069,'Carga Tributária doenças Po (2'!$M363)</f>
        <v>0</v>
      </c>
      <c r="X363" s="89">
        <f>SUMIFS('Tabela Federal'!$E$4:$E$2069,'Tabela Federal'!$D$4:$D$2069,'Carga Tributária doenças Po (2'!$N363)</f>
        <v>0</v>
      </c>
      <c r="Y363" s="89">
        <f>SUMIFS('Tabela Federal'!$E$4:$E$2069,'Tabela Federal'!$D$4:$D$2069,'Carga Tributária doenças Po (2'!$O363)</f>
        <v>0</v>
      </c>
      <c r="Z363" s="92" t="str">
        <f>VLOOKUP('Carga Tributária doenças Po (2'!$AD363,'Carga Tributária doenças Po (2'!$CA$12:$CC$16,2,0)</f>
        <v>-</v>
      </c>
      <c r="AA363" s="89" t="s">
        <v>428</v>
      </c>
      <c r="AB363" s="89" t="s">
        <v>21849</v>
      </c>
      <c r="AC363" s="89" t="s">
        <v>21740</v>
      </c>
      <c r="AD363" s="93" t="s">
        <v>19523</v>
      </c>
      <c r="AE363" s="92" t="s">
        <v>4</v>
      </c>
      <c r="AF363" s="92" t="s">
        <v>23</v>
      </c>
      <c r="AG363" s="94">
        <v>683356</v>
      </c>
      <c r="AH363" s="95">
        <v>9729035</v>
      </c>
      <c r="AI363" s="95">
        <v>22207594.32</v>
      </c>
      <c r="AJ363" s="89" t="s">
        <v>441</v>
      </c>
      <c r="AK363" s="89">
        <f>IF('Carga Tributária doenças Po (2'!$Z363="+",0,SUMIFS(PISCOFINS!$I$3:$I$10518,PISCOFINS!$C$3:$C$10518,'Carga Tributária doenças Po (2'!$C363))</f>
        <v>2.1</v>
      </c>
      <c r="AL363" s="89">
        <f>IF('Carga Tributária doenças Po (2'!$Z363="+",0,SUMIFS(PISCOFINS!$H$3:$H$10518,PISCOFINS!$C$3:$C$10518,'Carga Tributária doenças Po (2'!$C363))</f>
        <v>9.9</v>
      </c>
      <c r="AM363" s="95">
        <v>3.27</v>
      </c>
      <c r="AN363" s="95">
        <v>3.12</v>
      </c>
      <c r="AO363" s="95">
        <v>1.35</v>
      </c>
      <c r="AP363" s="96">
        <v>18</v>
      </c>
      <c r="AQ363" s="96">
        <v>12</v>
      </c>
      <c r="AR363" s="96">
        <v>17</v>
      </c>
      <c r="AS363" s="97">
        <v>17</v>
      </c>
      <c r="AT363" s="97">
        <v>19</v>
      </c>
      <c r="AU363" s="97">
        <v>18</v>
      </c>
      <c r="AV363" s="97">
        <v>17</v>
      </c>
      <c r="AW363" s="97">
        <v>17</v>
      </c>
      <c r="AX363" s="97">
        <v>17</v>
      </c>
      <c r="AY363" s="97">
        <v>17</v>
      </c>
      <c r="AZ363" s="97">
        <v>17</v>
      </c>
      <c r="BA363" s="97">
        <v>17</v>
      </c>
      <c r="BB363" s="97">
        <v>17</v>
      </c>
      <c r="BC363" s="97">
        <v>17</v>
      </c>
      <c r="BD363" s="97">
        <v>17</v>
      </c>
      <c r="BE363" s="97">
        <v>17</v>
      </c>
      <c r="BF363" s="97">
        <f>+Tabela1107[[#This Row],[PIS]]+Tabela1107[[#This Row],[COFINS]]+Tabela1107[[#This Row],[CONTRIB. FOLHA]]+Tabela1107[[#This Row],[TRIBUTOS S/ LUCRO]]+Tabela1107[[#This Row],[OUTROS]]+Tabela1107[[#This Row],[SP]]</f>
        <v>37.74</v>
      </c>
      <c r="BG363" s="97">
        <f>+Tabela1107[[#This Row],[PIS]]+Tabela1107[[#This Row],[COFINS]]+Tabela1107[[#This Row],[CONTRIB. FOLHA]]+Tabela1107[[#This Row],[TRIBUTOS S/ LUCRO]]+Tabela1107[[#This Row],[OUTROS]]+Tabela1107[[#This Row],[PR]]</f>
        <v>31.740000000000002</v>
      </c>
      <c r="BH363" s="97">
        <f>+Tabela1107[[#This Row],[PIS]]+Tabela1107[[#This Row],[COFINS]]+Tabela1107[[#This Row],[CONTRIB. FOLHA]]+Tabela1107[[#This Row],[TRIBUTOS S/ LUCRO]]+Tabela1107[[#This Row],[OUTROS]]+Tabela1107[[#This Row],[SC]]</f>
        <v>36.74</v>
      </c>
      <c r="BI363" s="97">
        <f>+Tabela1107[[#This Row],[PIS]]+Tabela1107[[#This Row],[COFINS]]+Tabela1107[[#This Row],[CONTRIB. FOLHA]]+Tabela1107[[#This Row],[TRIBUTOS S/ LUCRO]]+Tabela1107[[#This Row],[OUTROS]]+Tabela1107[[#This Row],[RS]]</f>
        <v>36.74</v>
      </c>
      <c r="BJ363" s="97">
        <f>+Tabela1107[[#This Row],[PIS]]+Tabela1107[[#This Row],[COFINS]]+Tabela1107[[#This Row],[CONTRIB. FOLHA]]+Tabela1107[[#This Row],[TRIBUTOS S/ LUCRO]]+Tabela1107[[#This Row],[OUTROS]]+Tabela1107[[#This Row],[RJ]]</f>
        <v>38.74</v>
      </c>
      <c r="BK363" s="97">
        <f>+Tabela1107[[#This Row],[PIS]]+Tabela1107[[#This Row],[COFINS]]+Tabela1107[[#This Row],[CONTRIB. FOLHA]]+Tabela1107[[#This Row],[TRIBUTOS S/ LUCRO]]+Tabela1107[[#This Row],[OUTROS]]+Tabela1107[[#This Row],[MG]]</f>
        <v>37.74</v>
      </c>
      <c r="BL363" s="97">
        <f>+Tabela1107[[#This Row],[PIS]]+Tabela1107[[#This Row],[COFINS]]+Tabela1107[[#This Row],[CONTRIB. FOLHA]]+Tabela1107[[#This Row],[TRIBUTOS S/ LUCRO]]+Tabela1107[[#This Row],[OUTROS]]+Tabela1107[[#This Row],[ES]]</f>
        <v>36.74</v>
      </c>
      <c r="BM363" s="97">
        <f>+Tabela1107[[#This Row],[PIS]]+Tabela1107[[#This Row],[COFINS]]+Tabela1107[[#This Row],[CONTRIB. FOLHA]]+Tabela1107[[#This Row],[TRIBUTOS S/ LUCRO]]+Tabela1107[[#This Row],[OUTROS]]+Tabela1107[[#This Row],[GO]]</f>
        <v>36.74</v>
      </c>
      <c r="BN363" s="97">
        <f>+Tabela1107[[#This Row],[PIS]]+Tabela1107[[#This Row],[COFINS]]+Tabela1107[[#This Row],[CONTRIB. FOLHA]]+Tabela1107[[#This Row],[TRIBUTOS S/ LUCRO]]+Tabela1107[[#This Row],[OUTROS]]+Tabela1107[[#This Row],[MT]]</f>
        <v>36.74</v>
      </c>
      <c r="BO363" s="97">
        <f>+Tabela1107[[#This Row],[PIS]]+Tabela1107[[#This Row],[COFINS]]+Tabela1107[[#This Row],[CONTRIB. FOLHA]]+Tabela1107[[#This Row],[TRIBUTOS S/ LUCRO]]+Tabela1107[[#This Row],[OUTROS]]+Tabela1107[[#This Row],[MS]]</f>
        <v>36.74</v>
      </c>
      <c r="BP363" s="97">
        <f>+Tabela1107[[#This Row],[PIS]]+Tabela1107[[#This Row],[COFINS]]+Tabela1107[[#This Row],[CONTRIB. FOLHA]]+Tabela1107[[#This Row],[TRIBUTOS S/ LUCRO]]+Tabela1107[[#This Row],[OUTROS]]+Tabela1107[[#This Row],[DF]]</f>
        <v>36.74</v>
      </c>
      <c r="BQ363" s="97">
        <f>+Tabela1107[[#This Row],[PIS]]+Tabela1107[[#This Row],[COFINS]]+Tabela1107[[#This Row],[CONTRIB. FOLHA]]+Tabela1107[[#This Row],[TRIBUTOS S/ LUCRO]]+Tabela1107[[#This Row],[OUTROS]]+Tabela1107[[#This Row],[BA]]</f>
        <v>36.74</v>
      </c>
      <c r="BR363" s="97">
        <f>+Tabela1107[[#This Row],[PIS]]+Tabela1107[[#This Row],[COFINS]]+Tabela1107[[#This Row],[CONTRIB. FOLHA]]+Tabela1107[[#This Row],[TRIBUTOS S/ LUCRO]]+Tabela1107[[#This Row],[OUTROS]]+Tabela1107[[#This Row],[BA]]</f>
        <v>36.74</v>
      </c>
      <c r="BS363" s="97">
        <f>+Tabela1107[[#This Row],[PIS]]+Tabela1107[[#This Row],[COFINS]]+Tabela1107[[#This Row],[CONTRIB. FOLHA]]+Tabela1107[[#This Row],[TRIBUTOS S/ LUCRO]]+Tabela1107[[#This Row],[OUTROS]]+Tabela1107[[#This Row],[PE]]</f>
        <v>36.74</v>
      </c>
      <c r="BT363" s="97">
        <f>+Tabela1107[[#This Row],[PIS]]+Tabela1107[[#This Row],[COFINS]]+Tabela1107[[#This Row],[CONTRIB. FOLHA]]+Tabela1107[[#This Row],[TRIBUTOS S/ LUCRO]]+Tabela1107[[#This Row],[OUTROS]]+Tabela1107[[#This Row],[PA]]</f>
        <v>36.74</v>
      </c>
      <c r="BU363" s="97">
        <f>+Tabela1107[[#This Row],[PIS]]+Tabela1107[[#This Row],[COFINS]]+Tabela1107[[#This Row],[CONTRIB. FOLHA]]+Tabela1107[[#This Row],[TRIBUTOS S/ LUCRO]]+Tabela1107[[#This Row],[OUTROS]]+Tabela1107[[#This Row],[AM]]</f>
        <v>36.74</v>
      </c>
      <c r="BV363" s="97">
        <f>AVERAGE(Tabela1107[[#This Row],[TOTAL SP]:[TOTAL AM]])</f>
        <v>36.677500000000002</v>
      </c>
      <c r="BW363" s="97"/>
      <c r="BX363" s="97"/>
    </row>
    <row r="364" spans="2:76" x14ac:dyDescent="0.25">
      <c r="B364" s="89">
        <v>15291</v>
      </c>
      <c r="C364" s="91" t="s">
        <v>13168</v>
      </c>
      <c r="D364" s="89"/>
      <c r="E364" s="89">
        <v>20140626</v>
      </c>
      <c r="F364" s="89" t="s">
        <v>21441</v>
      </c>
      <c r="G364" s="89" t="s">
        <v>21442</v>
      </c>
      <c r="H364" s="98" t="s">
        <v>21973</v>
      </c>
      <c r="I364" s="89" t="s">
        <v>21437</v>
      </c>
      <c r="J364" s="89" t="s">
        <v>431</v>
      </c>
      <c r="K364" s="99" t="s">
        <v>2533</v>
      </c>
      <c r="L364" s="89" t="s">
        <v>4501</v>
      </c>
      <c r="M364" s="89" t="s">
        <v>4506</v>
      </c>
      <c r="N364" s="89" t="s">
        <v>4496</v>
      </c>
      <c r="O364" s="89" t="s">
        <v>4496</v>
      </c>
      <c r="P364" s="89" t="s">
        <v>4496</v>
      </c>
      <c r="Q364" s="89"/>
      <c r="R364" s="89" t="s">
        <v>92</v>
      </c>
      <c r="S364" s="89" t="s">
        <v>21696</v>
      </c>
      <c r="T364" s="89" t="s">
        <v>21697</v>
      </c>
      <c r="U364" s="89" t="str">
        <f>TRIM('Carga Tributária doenças Po (2'!$L364)</f>
        <v>POLICRESULENO</v>
      </c>
      <c r="V364" s="89">
        <f>SUMIFS('Tabela Federal'!$E$4:$E$2069,'Tabela Federal'!$D$4:$D$2069,'Carga Tributária doenças Po (2'!$L364)</f>
        <v>0</v>
      </c>
      <c r="W364" s="89">
        <f>SUMIFS('Tabela Federal'!$E$4:$E$2069,'Tabela Federal'!$D$4:$D$2069,'Carga Tributária doenças Po (2'!$M364)</f>
        <v>0</v>
      </c>
      <c r="X364" s="89">
        <f>SUMIFS('Tabela Federal'!$E$4:$E$2069,'Tabela Federal'!$D$4:$D$2069,'Carga Tributária doenças Po (2'!$N364)</f>
        <v>0</v>
      </c>
      <c r="Y364" s="89">
        <f>SUMIFS('Tabela Federal'!$E$4:$E$2069,'Tabela Federal'!$D$4:$D$2069,'Carga Tributária doenças Po (2'!$O364)</f>
        <v>0</v>
      </c>
      <c r="Z364" s="92" t="str">
        <f>VLOOKUP('Carga Tributária doenças Po (2'!$AD364,'Carga Tributária doenças Po (2'!$CA$12:$CC$16,2,0)</f>
        <v>-</v>
      </c>
      <c r="AA364" s="89" t="s">
        <v>428</v>
      </c>
      <c r="AB364" s="89" t="s">
        <v>21849</v>
      </c>
      <c r="AC364" s="89" t="s">
        <v>21740</v>
      </c>
      <c r="AD364" s="93" t="s">
        <v>19523</v>
      </c>
      <c r="AE364" s="92" t="s">
        <v>4</v>
      </c>
      <c r="AF364" s="92" t="s">
        <v>23</v>
      </c>
      <c r="AG364" s="94">
        <v>437985</v>
      </c>
      <c r="AH364" s="95">
        <v>6694513</v>
      </c>
      <c r="AI364" s="95">
        <v>15283319.25</v>
      </c>
      <c r="AJ364" s="89" t="s">
        <v>441</v>
      </c>
      <c r="AK364" s="89">
        <f>IF('Carga Tributária doenças Po (2'!$Z364="+",0,SUMIFS(PISCOFINS!$I$3:$I$10518,PISCOFINS!$C$3:$C$10518,'Carga Tributária doenças Po (2'!$C364))</f>
        <v>2.1</v>
      </c>
      <c r="AL364" s="89">
        <f>IF('Carga Tributária doenças Po (2'!$Z364="+",0,SUMIFS(PISCOFINS!$H$3:$H$10518,PISCOFINS!$C$3:$C$10518,'Carga Tributária doenças Po (2'!$C364))</f>
        <v>9.9</v>
      </c>
      <c r="AM364" s="95">
        <v>3.27</v>
      </c>
      <c r="AN364" s="95">
        <v>3.12</v>
      </c>
      <c r="AO364" s="95">
        <v>1.35</v>
      </c>
      <c r="AP364" s="96">
        <v>18</v>
      </c>
      <c r="AQ364" s="96">
        <v>12</v>
      </c>
      <c r="AR364" s="96">
        <v>17</v>
      </c>
      <c r="AS364" s="97">
        <v>17</v>
      </c>
      <c r="AT364" s="97">
        <v>19</v>
      </c>
      <c r="AU364" s="97">
        <v>18</v>
      </c>
      <c r="AV364" s="97">
        <v>17</v>
      </c>
      <c r="AW364" s="97">
        <v>17</v>
      </c>
      <c r="AX364" s="97">
        <v>17</v>
      </c>
      <c r="AY364" s="97">
        <v>17</v>
      </c>
      <c r="AZ364" s="97">
        <v>17</v>
      </c>
      <c r="BA364" s="97">
        <v>17</v>
      </c>
      <c r="BB364" s="97">
        <v>17</v>
      </c>
      <c r="BC364" s="97">
        <v>17</v>
      </c>
      <c r="BD364" s="97">
        <v>17</v>
      </c>
      <c r="BE364" s="97">
        <v>17</v>
      </c>
      <c r="BF364" s="97">
        <f>+Tabela1107[[#This Row],[PIS]]+Tabela1107[[#This Row],[COFINS]]+Tabela1107[[#This Row],[CONTRIB. FOLHA]]+Tabela1107[[#This Row],[TRIBUTOS S/ LUCRO]]+Tabela1107[[#This Row],[OUTROS]]+Tabela1107[[#This Row],[SP]]</f>
        <v>37.74</v>
      </c>
      <c r="BG364" s="97">
        <f>+Tabela1107[[#This Row],[PIS]]+Tabela1107[[#This Row],[COFINS]]+Tabela1107[[#This Row],[CONTRIB. FOLHA]]+Tabela1107[[#This Row],[TRIBUTOS S/ LUCRO]]+Tabela1107[[#This Row],[OUTROS]]+Tabela1107[[#This Row],[PR]]</f>
        <v>31.740000000000002</v>
      </c>
      <c r="BH364" s="97">
        <f>+Tabela1107[[#This Row],[PIS]]+Tabela1107[[#This Row],[COFINS]]+Tabela1107[[#This Row],[CONTRIB. FOLHA]]+Tabela1107[[#This Row],[TRIBUTOS S/ LUCRO]]+Tabela1107[[#This Row],[OUTROS]]+Tabela1107[[#This Row],[SC]]</f>
        <v>36.74</v>
      </c>
      <c r="BI364" s="97">
        <f>+Tabela1107[[#This Row],[PIS]]+Tabela1107[[#This Row],[COFINS]]+Tabela1107[[#This Row],[CONTRIB. FOLHA]]+Tabela1107[[#This Row],[TRIBUTOS S/ LUCRO]]+Tabela1107[[#This Row],[OUTROS]]+Tabela1107[[#This Row],[RS]]</f>
        <v>36.74</v>
      </c>
      <c r="BJ364" s="97">
        <f>+Tabela1107[[#This Row],[PIS]]+Tabela1107[[#This Row],[COFINS]]+Tabela1107[[#This Row],[CONTRIB. FOLHA]]+Tabela1107[[#This Row],[TRIBUTOS S/ LUCRO]]+Tabela1107[[#This Row],[OUTROS]]+Tabela1107[[#This Row],[RJ]]</f>
        <v>38.74</v>
      </c>
      <c r="BK364" s="97">
        <f>+Tabela1107[[#This Row],[PIS]]+Tabela1107[[#This Row],[COFINS]]+Tabela1107[[#This Row],[CONTRIB. FOLHA]]+Tabela1107[[#This Row],[TRIBUTOS S/ LUCRO]]+Tabela1107[[#This Row],[OUTROS]]+Tabela1107[[#This Row],[MG]]</f>
        <v>37.74</v>
      </c>
      <c r="BL364" s="97">
        <f>+Tabela1107[[#This Row],[PIS]]+Tabela1107[[#This Row],[COFINS]]+Tabela1107[[#This Row],[CONTRIB. FOLHA]]+Tabela1107[[#This Row],[TRIBUTOS S/ LUCRO]]+Tabela1107[[#This Row],[OUTROS]]+Tabela1107[[#This Row],[ES]]</f>
        <v>36.74</v>
      </c>
      <c r="BM364" s="97">
        <f>+Tabela1107[[#This Row],[PIS]]+Tabela1107[[#This Row],[COFINS]]+Tabela1107[[#This Row],[CONTRIB. FOLHA]]+Tabela1107[[#This Row],[TRIBUTOS S/ LUCRO]]+Tabela1107[[#This Row],[OUTROS]]+Tabela1107[[#This Row],[GO]]</f>
        <v>36.74</v>
      </c>
      <c r="BN364" s="97">
        <f>+Tabela1107[[#This Row],[PIS]]+Tabela1107[[#This Row],[COFINS]]+Tabela1107[[#This Row],[CONTRIB. FOLHA]]+Tabela1107[[#This Row],[TRIBUTOS S/ LUCRO]]+Tabela1107[[#This Row],[OUTROS]]+Tabela1107[[#This Row],[MT]]</f>
        <v>36.74</v>
      </c>
      <c r="BO364" s="97">
        <f>+Tabela1107[[#This Row],[PIS]]+Tabela1107[[#This Row],[COFINS]]+Tabela1107[[#This Row],[CONTRIB. FOLHA]]+Tabela1107[[#This Row],[TRIBUTOS S/ LUCRO]]+Tabela1107[[#This Row],[OUTROS]]+Tabela1107[[#This Row],[MS]]</f>
        <v>36.74</v>
      </c>
      <c r="BP364" s="97">
        <f>+Tabela1107[[#This Row],[PIS]]+Tabela1107[[#This Row],[COFINS]]+Tabela1107[[#This Row],[CONTRIB. FOLHA]]+Tabela1107[[#This Row],[TRIBUTOS S/ LUCRO]]+Tabela1107[[#This Row],[OUTROS]]+Tabela1107[[#This Row],[DF]]</f>
        <v>36.74</v>
      </c>
      <c r="BQ364" s="97">
        <f>+Tabela1107[[#This Row],[PIS]]+Tabela1107[[#This Row],[COFINS]]+Tabela1107[[#This Row],[CONTRIB. FOLHA]]+Tabela1107[[#This Row],[TRIBUTOS S/ LUCRO]]+Tabela1107[[#This Row],[OUTROS]]+Tabela1107[[#This Row],[BA]]</f>
        <v>36.74</v>
      </c>
      <c r="BR364" s="97">
        <f>+Tabela1107[[#This Row],[PIS]]+Tabela1107[[#This Row],[COFINS]]+Tabela1107[[#This Row],[CONTRIB. FOLHA]]+Tabela1107[[#This Row],[TRIBUTOS S/ LUCRO]]+Tabela1107[[#This Row],[OUTROS]]+Tabela1107[[#This Row],[BA]]</f>
        <v>36.74</v>
      </c>
      <c r="BS364" s="97">
        <f>+Tabela1107[[#This Row],[PIS]]+Tabela1107[[#This Row],[COFINS]]+Tabela1107[[#This Row],[CONTRIB. FOLHA]]+Tabela1107[[#This Row],[TRIBUTOS S/ LUCRO]]+Tabela1107[[#This Row],[OUTROS]]+Tabela1107[[#This Row],[PE]]</f>
        <v>36.74</v>
      </c>
      <c r="BT364" s="97">
        <f>+Tabela1107[[#This Row],[PIS]]+Tabela1107[[#This Row],[COFINS]]+Tabela1107[[#This Row],[CONTRIB. FOLHA]]+Tabela1107[[#This Row],[TRIBUTOS S/ LUCRO]]+Tabela1107[[#This Row],[OUTROS]]+Tabela1107[[#This Row],[PA]]</f>
        <v>36.74</v>
      </c>
      <c r="BU364" s="97">
        <f>+Tabela1107[[#This Row],[PIS]]+Tabela1107[[#This Row],[COFINS]]+Tabela1107[[#This Row],[CONTRIB. FOLHA]]+Tabela1107[[#This Row],[TRIBUTOS S/ LUCRO]]+Tabela1107[[#This Row],[OUTROS]]+Tabela1107[[#This Row],[AM]]</f>
        <v>36.74</v>
      </c>
      <c r="BV364" s="97">
        <f>AVERAGE(Tabela1107[[#This Row],[TOTAL SP]:[TOTAL AM]])</f>
        <v>36.677500000000002</v>
      </c>
      <c r="BW364" s="97"/>
      <c r="BX364" s="97"/>
    </row>
    <row r="365" spans="2:76" x14ac:dyDescent="0.25">
      <c r="B365" s="89">
        <v>20277</v>
      </c>
      <c r="C365" s="91" t="s">
        <v>13173</v>
      </c>
      <c r="D365" s="89"/>
      <c r="E365" s="89">
        <v>20140626</v>
      </c>
      <c r="F365" s="89" t="s">
        <v>21504</v>
      </c>
      <c r="G365" s="89" t="s">
        <v>21505</v>
      </c>
      <c r="H365" s="89" t="s">
        <v>21506</v>
      </c>
      <c r="I365" s="89" t="s">
        <v>21507</v>
      </c>
      <c r="J365" s="89" t="s">
        <v>560</v>
      </c>
      <c r="K365" s="99" t="s">
        <v>2532</v>
      </c>
      <c r="L365" s="89" t="s">
        <v>2680</v>
      </c>
      <c r="M365" s="89" t="s">
        <v>4496</v>
      </c>
      <c r="N365" s="89" t="s">
        <v>4496</v>
      </c>
      <c r="O365" s="89" t="s">
        <v>4496</v>
      </c>
      <c r="P365" s="89" t="s">
        <v>4496</v>
      </c>
      <c r="Q365" s="89"/>
      <c r="R365" s="89" t="s">
        <v>64</v>
      </c>
      <c r="S365" s="89" t="s">
        <v>21698</v>
      </c>
      <c r="T365" s="89" t="s">
        <v>21699</v>
      </c>
      <c r="U365" s="89" t="str">
        <f>TRIM('Carga Tributária doenças Po (2'!$L365)</f>
        <v>PROMETAZINA</v>
      </c>
      <c r="V365" s="89">
        <f>SUMIFS('Tabela Federal'!$E$4:$E$2069,'Tabela Federal'!$D$4:$D$2069,'Carga Tributária doenças Po (2'!$L365)</f>
        <v>0</v>
      </c>
      <c r="W365" s="89">
        <f>SUMIFS('Tabela Federal'!$E$4:$E$2069,'Tabela Federal'!$D$4:$D$2069,'Carga Tributária doenças Po (2'!$M365)</f>
        <v>0</v>
      </c>
      <c r="X365" s="89">
        <f>SUMIFS('Tabela Federal'!$E$4:$E$2069,'Tabela Federal'!$D$4:$D$2069,'Carga Tributária doenças Po (2'!$N365)</f>
        <v>0</v>
      </c>
      <c r="Y365" s="89">
        <f>SUMIFS('Tabela Federal'!$E$4:$E$2069,'Tabela Federal'!$D$4:$D$2069,'Carga Tributária doenças Po (2'!$O365)</f>
        <v>0</v>
      </c>
      <c r="Z365" s="92" t="str">
        <f>VLOOKUP('Carga Tributária doenças Po (2'!$AD365,'Carga Tributária doenças Po (2'!$CA$12:$CC$16,2,0)</f>
        <v>-</v>
      </c>
      <c r="AA365" s="89" t="s">
        <v>91</v>
      </c>
      <c r="AB365" s="89" t="s">
        <v>21728</v>
      </c>
      <c r="AC365" s="89" t="s">
        <v>21721</v>
      </c>
      <c r="AD365" s="93" t="s">
        <v>19523</v>
      </c>
      <c r="AE365" s="92" t="s">
        <v>4</v>
      </c>
      <c r="AF365" s="92" t="s">
        <v>3</v>
      </c>
      <c r="AG365" s="94">
        <v>910052</v>
      </c>
      <c r="AH365" s="95">
        <v>1915237</v>
      </c>
      <c r="AI365" s="95">
        <v>4377561.7699999996</v>
      </c>
      <c r="AJ365" s="89" t="s">
        <v>554</v>
      </c>
      <c r="AK365" s="89">
        <f>IF('Carga Tributária doenças Po (2'!$Z365="+",0,SUMIFS(PISCOFINS!$I$3:$I$10518,PISCOFINS!$C$3:$C$10518,'Carga Tributária doenças Po (2'!$C365))</f>
        <v>2.1</v>
      </c>
      <c r="AL365" s="89">
        <f>IF('Carga Tributária doenças Po (2'!$Z365="+",0,SUMIFS(PISCOFINS!$H$3:$H$10518,PISCOFINS!$C$3:$C$10518,'Carga Tributária doenças Po (2'!$C365))</f>
        <v>9.9</v>
      </c>
      <c r="AM365" s="95">
        <v>3.27</v>
      </c>
      <c r="AN365" s="95">
        <v>3.12</v>
      </c>
      <c r="AO365" s="95">
        <v>1.35</v>
      </c>
      <c r="AP365" s="96">
        <v>18</v>
      </c>
      <c r="AQ365" s="96">
        <v>12</v>
      </c>
      <c r="AR365" s="96">
        <v>17</v>
      </c>
      <c r="AS365" s="97">
        <v>17</v>
      </c>
      <c r="AT365" s="97">
        <v>19</v>
      </c>
      <c r="AU365" s="97">
        <v>18</v>
      </c>
      <c r="AV365" s="97">
        <v>17</v>
      </c>
      <c r="AW365" s="97">
        <v>17</v>
      </c>
      <c r="AX365" s="97">
        <v>17</v>
      </c>
      <c r="AY365" s="97">
        <v>17</v>
      </c>
      <c r="AZ365" s="97">
        <v>17</v>
      </c>
      <c r="BA365" s="97">
        <v>17</v>
      </c>
      <c r="BB365" s="97">
        <v>17</v>
      </c>
      <c r="BC365" s="97">
        <v>17</v>
      </c>
      <c r="BD365" s="97">
        <v>17</v>
      </c>
      <c r="BE365" s="97">
        <v>17</v>
      </c>
      <c r="BF365" s="97">
        <f>+Tabela1107[[#This Row],[PIS]]+Tabela1107[[#This Row],[COFINS]]+Tabela1107[[#This Row],[CONTRIB. FOLHA]]+Tabela1107[[#This Row],[TRIBUTOS S/ LUCRO]]+Tabela1107[[#This Row],[OUTROS]]+Tabela1107[[#This Row],[SP]]</f>
        <v>37.74</v>
      </c>
      <c r="BG365" s="97">
        <f>+Tabela1107[[#This Row],[PIS]]+Tabela1107[[#This Row],[COFINS]]+Tabela1107[[#This Row],[CONTRIB. FOLHA]]+Tabela1107[[#This Row],[TRIBUTOS S/ LUCRO]]+Tabela1107[[#This Row],[OUTROS]]+Tabela1107[[#This Row],[PR]]</f>
        <v>31.740000000000002</v>
      </c>
      <c r="BH365" s="97">
        <f>+Tabela1107[[#This Row],[PIS]]+Tabela1107[[#This Row],[COFINS]]+Tabela1107[[#This Row],[CONTRIB. FOLHA]]+Tabela1107[[#This Row],[TRIBUTOS S/ LUCRO]]+Tabela1107[[#This Row],[OUTROS]]+Tabela1107[[#This Row],[SC]]</f>
        <v>36.74</v>
      </c>
      <c r="BI365" s="97">
        <f>+Tabela1107[[#This Row],[PIS]]+Tabela1107[[#This Row],[COFINS]]+Tabela1107[[#This Row],[CONTRIB. FOLHA]]+Tabela1107[[#This Row],[TRIBUTOS S/ LUCRO]]+Tabela1107[[#This Row],[OUTROS]]+Tabela1107[[#This Row],[RS]]</f>
        <v>36.74</v>
      </c>
      <c r="BJ365" s="97">
        <f>+Tabela1107[[#This Row],[PIS]]+Tabela1107[[#This Row],[COFINS]]+Tabela1107[[#This Row],[CONTRIB. FOLHA]]+Tabela1107[[#This Row],[TRIBUTOS S/ LUCRO]]+Tabela1107[[#This Row],[OUTROS]]+Tabela1107[[#This Row],[RJ]]</f>
        <v>38.74</v>
      </c>
      <c r="BK365" s="97">
        <f>+Tabela1107[[#This Row],[PIS]]+Tabela1107[[#This Row],[COFINS]]+Tabela1107[[#This Row],[CONTRIB. FOLHA]]+Tabela1107[[#This Row],[TRIBUTOS S/ LUCRO]]+Tabela1107[[#This Row],[OUTROS]]+Tabela1107[[#This Row],[MG]]</f>
        <v>37.74</v>
      </c>
      <c r="BL365" s="97">
        <f>+Tabela1107[[#This Row],[PIS]]+Tabela1107[[#This Row],[COFINS]]+Tabela1107[[#This Row],[CONTRIB. FOLHA]]+Tabela1107[[#This Row],[TRIBUTOS S/ LUCRO]]+Tabela1107[[#This Row],[OUTROS]]+Tabela1107[[#This Row],[ES]]</f>
        <v>36.74</v>
      </c>
      <c r="BM365" s="97">
        <f>+Tabela1107[[#This Row],[PIS]]+Tabela1107[[#This Row],[COFINS]]+Tabela1107[[#This Row],[CONTRIB. FOLHA]]+Tabela1107[[#This Row],[TRIBUTOS S/ LUCRO]]+Tabela1107[[#This Row],[OUTROS]]+Tabela1107[[#This Row],[GO]]</f>
        <v>36.74</v>
      </c>
      <c r="BN365" s="97">
        <f>+Tabela1107[[#This Row],[PIS]]+Tabela1107[[#This Row],[COFINS]]+Tabela1107[[#This Row],[CONTRIB. FOLHA]]+Tabela1107[[#This Row],[TRIBUTOS S/ LUCRO]]+Tabela1107[[#This Row],[OUTROS]]+Tabela1107[[#This Row],[MT]]</f>
        <v>36.74</v>
      </c>
      <c r="BO365" s="97">
        <f>+Tabela1107[[#This Row],[PIS]]+Tabela1107[[#This Row],[COFINS]]+Tabela1107[[#This Row],[CONTRIB. FOLHA]]+Tabela1107[[#This Row],[TRIBUTOS S/ LUCRO]]+Tabela1107[[#This Row],[OUTROS]]+Tabela1107[[#This Row],[MS]]</f>
        <v>36.74</v>
      </c>
      <c r="BP365" s="97">
        <f>+Tabela1107[[#This Row],[PIS]]+Tabela1107[[#This Row],[COFINS]]+Tabela1107[[#This Row],[CONTRIB. FOLHA]]+Tabela1107[[#This Row],[TRIBUTOS S/ LUCRO]]+Tabela1107[[#This Row],[OUTROS]]+Tabela1107[[#This Row],[DF]]</f>
        <v>36.74</v>
      </c>
      <c r="BQ365" s="97">
        <f>+Tabela1107[[#This Row],[PIS]]+Tabela1107[[#This Row],[COFINS]]+Tabela1107[[#This Row],[CONTRIB. FOLHA]]+Tabela1107[[#This Row],[TRIBUTOS S/ LUCRO]]+Tabela1107[[#This Row],[OUTROS]]+Tabela1107[[#This Row],[BA]]</f>
        <v>36.74</v>
      </c>
      <c r="BR365" s="97">
        <f>+Tabela1107[[#This Row],[PIS]]+Tabela1107[[#This Row],[COFINS]]+Tabela1107[[#This Row],[CONTRIB. FOLHA]]+Tabela1107[[#This Row],[TRIBUTOS S/ LUCRO]]+Tabela1107[[#This Row],[OUTROS]]+Tabela1107[[#This Row],[BA]]</f>
        <v>36.74</v>
      </c>
      <c r="BS365" s="97">
        <f>+Tabela1107[[#This Row],[PIS]]+Tabela1107[[#This Row],[COFINS]]+Tabela1107[[#This Row],[CONTRIB. FOLHA]]+Tabela1107[[#This Row],[TRIBUTOS S/ LUCRO]]+Tabela1107[[#This Row],[OUTROS]]+Tabela1107[[#This Row],[PE]]</f>
        <v>36.74</v>
      </c>
      <c r="BT365" s="97">
        <f>+Tabela1107[[#This Row],[PIS]]+Tabela1107[[#This Row],[COFINS]]+Tabela1107[[#This Row],[CONTRIB. FOLHA]]+Tabela1107[[#This Row],[TRIBUTOS S/ LUCRO]]+Tabela1107[[#This Row],[OUTROS]]+Tabela1107[[#This Row],[PA]]</f>
        <v>36.74</v>
      </c>
      <c r="BU365" s="97">
        <f>+Tabela1107[[#This Row],[PIS]]+Tabela1107[[#This Row],[COFINS]]+Tabela1107[[#This Row],[CONTRIB. FOLHA]]+Tabela1107[[#This Row],[TRIBUTOS S/ LUCRO]]+Tabela1107[[#This Row],[OUTROS]]+Tabela1107[[#This Row],[AM]]</f>
        <v>36.74</v>
      </c>
      <c r="BV365" s="97">
        <f>AVERAGE(Tabela1107[[#This Row],[TOTAL SP]:[TOTAL AM]])</f>
        <v>36.677500000000002</v>
      </c>
      <c r="BW365" s="97"/>
      <c r="BX365" s="97"/>
    </row>
    <row r="366" spans="2:76" x14ac:dyDescent="0.25">
      <c r="B366" s="89">
        <v>14890</v>
      </c>
      <c r="C366" s="91" t="s">
        <v>13151</v>
      </c>
      <c r="D366" s="89"/>
      <c r="E366" s="89">
        <v>20140626</v>
      </c>
      <c r="F366" s="89" t="s">
        <v>21290</v>
      </c>
      <c r="G366" s="89" t="s">
        <v>21291</v>
      </c>
      <c r="H366" s="89" t="s">
        <v>21292</v>
      </c>
      <c r="I366" s="89" t="s">
        <v>21280</v>
      </c>
      <c r="J366" s="89" t="s">
        <v>312</v>
      </c>
      <c r="K366" s="99" t="s">
        <v>4486</v>
      </c>
      <c r="L366" s="89" t="s">
        <v>3162</v>
      </c>
      <c r="M366" s="89" t="s">
        <v>3408</v>
      </c>
      <c r="N366" s="89" t="s">
        <v>4496</v>
      </c>
      <c r="O366" s="89" t="s">
        <v>4496</v>
      </c>
      <c r="P366" s="89" t="s">
        <v>4496</v>
      </c>
      <c r="Q366" s="89"/>
      <c r="R366" s="89" t="s">
        <v>275</v>
      </c>
      <c r="S366" s="89" t="s">
        <v>21688</v>
      </c>
      <c r="T366" s="89" t="s">
        <v>21689</v>
      </c>
      <c r="U366" s="89" t="str">
        <f>TRIM('Carga Tributária doenças Po (2'!$L366)</f>
        <v>LEVODOPA</v>
      </c>
      <c r="V366" s="89">
        <f>SUMIFS('Tabela Federal'!$E$4:$E$2069,'Tabela Federal'!$D$4:$D$2069,'Carga Tributária doenças Po (2'!$L366)</f>
        <v>3</v>
      </c>
      <c r="W366" s="89">
        <f>SUMIFS('Tabela Federal'!$E$4:$E$2069,'Tabela Federal'!$D$4:$D$2069,'Carga Tributária doenças Po (2'!$M366)</f>
        <v>1</v>
      </c>
      <c r="X366" s="89">
        <f>SUMIFS('Tabela Federal'!$E$4:$E$2069,'Tabela Federal'!$D$4:$D$2069,'Carga Tributária doenças Po (2'!$N366)</f>
        <v>0</v>
      </c>
      <c r="Y366" s="89">
        <f>SUMIFS('Tabela Federal'!$E$4:$E$2069,'Tabela Federal'!$D$4:$D$2069,'Carga Tributária doenças Po (2'!$O366)</f>
        <v>0</v>
      </c>
      <c r="Z366" s="92" t="str">
        <f>VLOOKUP('Carga Tributária doenças Po (2'!$AD366,'Carga Tributária doenças Po (2'!$CA$12:$CC$16,2,0)</f>
        <v>+</v>
      </c>
      <c r="AA366" s="89" t="s">
        <v>305</v>
      </c>
      <c r="AB366" s="89" t="s">
        <v>21870</v>
      </c>
      <c r="AC366" s="89" t="s">
        <v>21721</v>
      </c>
      <c r="AD366" s="93" t="s">
        <v>19445</v>
      </c>
      <c r="AE366" s="92" t="s">
        <v>4</v>
      </c>
      <c r="AF366" s="92" t="s">
        <v>23</v>
      </c>
      <c r="AG366" s="94">
        <v>187430</v>
      </c>
      <c r="AH366" s="95">
        <v>3243214</v>
      </c>
      <c r="AI366" s="95">
        <v>7402596.8899999997</v>
      </c>
      <c r="AJ366" s="89" t="s">
        <v>316</v>
      </c>
      <c r="AK366" s="89">
        <f>IF('Carga Tributária doenças Po (2'!$Z366="+",0,SUMIFS(PISCOFINS!$I$3:$I$10518,PISCOFINS!$C$3:$C$10518,'Carga Tributária doenças Po (2'!$C366))</f>
        <v>0</v>
      </c>
      <c r="AL366" s="89">
        <f>IF('Carga Tributária doenças Po (2'!$Z366="+",0,SUMIFS(PISCOFINS!$H$3:$H$10518,PISCOFINS!$C$3:$C$10518,'Carga Tributária doenças Po (2'!$C366))</f>
        <v>0</v>
      </c>
      <c r="AM366" s="95">
        <v>3.27</v>
      </c>
      <c r="AN366" s="95">
        <v>3.12</v>
      </c>
      <c r="AO366" s="95">
        <v>1.35</v>
      </c>
      <c r="AP366" s="96">
        <v>18</v>
      </c>
      <c r="AQ366" s="96">
        <v>12</v>
      </c>
      <c r="AR366" s="96">
        <v>17</v>
      </c>
      <c r="AS366" s="97">
        <v>17</v>
      </c>
      <c r="AT366" s="97">
        <v>19</v>
      </c>
      <c r="AU366" s="97">
        <v>18</v>
      </c>
      <c r="AV366" s="97">
        <v>17</v>
      </c>
      <c r="AW366" s="97">
        <v>17</v>
      </c>
      <c r="AX366" s="97">
        <v>17</v>
      </c>
      <c r="AY366" s="97">
        <v>17</v>
      </c>
      <c r="AZ366" s="97">
        <v>17</v>
      </c>
      <c r="BA366" s="97">
        <v>17</v>
      </c>
      <c r="BB366" s="97">
        <v>17</v>
      </c>
      <c r="BC366" s="97">
        <v>17</v>
      </c>
      <c r="BD366" s="97">
        <v>17</v>
      </c>
      <c r="BE366" s="97">
        <v>17</v>
      </c>
      <c r="BF366" s="97">
        <f>+Tabela1107[[#This Row],[PIS]]+Tabela1107[[#This Row],[COFINS]]+Tabela1107[[#This Row],[CONTRIB. FOLHA]]+Tabela1107[[#This Row],[TRIBUTOS S/ LUCRO]]+Tabela1107[[#This Row],[OUTROS]]+Tabela1107[[#This Row],[SP]]</f>
        <v>25.740000000000002</v>
      </c>
      <c r="BG366" s="97">
        <f>+Tabela1107[[#This Row],[PIS]]+Tabela1107[[#This Row],[COFINS]]+Tabela1107[[#This Row],[CONTRIB. FOLHA]]+Tabela1107[[#This Row],[TRIBUTOS S/ LUCRO]]+Tabela1107[[#This Row],[OUTROS]]+Tabela1107[[#This Row],[PR]]</f>
        <v>19.740000000000002</v>
      </c>
      <c r="BH366" s="97">
        <f>+Tabela1107[[#This Row],[PIS]]+Tabela1107[[#This Row],[COFINS]]+Tabela1107[[#This Row],[CONTRIB. FOLHA]]+Tabela1107[[#This Row],[TRIBUTOS S/ LUCRO]]+Tabela1107[[#This Row],[OUTROS]]+Tabela1107[[#This Row],[SC]]</f>
        <v>24.740000000000002</v>
      </c>
      <c r="BI366" s="97">
        <f>+Tabela1107[[#This Row],[PIS]]+Tabela1107[[#This Row],[COFINS]]+Tabela1107[[#This Row],[CONTRIB. FOLHA]]+Tabela1107[[#This Row],[TRIBUTOS S/ LUCRO]]+Tabela1107[[#This Row],[OUTROS]]+Tabela1107[[#This Row],[RS]]</f>
        <v>24.740000000000002</v>
      </c>
      <c r="BJ366" s="97">
        <f>+Tabela1107[[#This Row],[PIS]]+Tabela1107[[#This Row],[COFINS]]+Tabela1107[[#This Row],[CONTRIB. FOLHA]]+Tabela1107[[#This Row],[TRIBUTOS S/ LUCRO]]+Tabela1107[[#This Row],[OUTROS]]+Tabela1107[[#This Row],[RJ]]</f>
        <v>26.740000000000002</v>
      </c>
      <c r="BK366" s="97">
        <f>+Tabela1107[[#This Row],[PIS]]+Tabela1107[[#This Row],[COFINS]]+Tabela1107[[#This Row],[CONTRIB. FOLHA]]+Tabela1107[[#This Row],[TRIBUTOS S/ LUCRO]]+Tabela1107[[#This Row],[OUTROS]]+Tabela1107[[#This Row],[MG]]</f>
        <v>25.740000000000002</v>
      </c>
      <c r="BL366" s="97">
        <f>+Tabela1107[[#This Row],[PIS]]+Tabela1107[[#This Row],[COFINS]]+Tabela1107[[#This Row],[CONTRIB. FOLHA]]+Tabela1107[[#This Row],[TRIBUTOS S/ LUCRO]]+Tabela1107[[#This Row],[OUTROS]]+Tabela1107[[#This Row],[ES]]</f>
        <v>24.740000000000002</v>
      </c>
      <c r="BM366" s="97">
        <f>+Tabela1107[[#This Row],[PIS]]+Tabela1107[[#This Row],[COFINS]]+Tabela1107[[#This Row],[CONTRIB. FOLHA]]+Tabela1107[[#This Row],[TRIBUTOS S/ LUCRO]]+Tabela1107[[#This Row],[OUTROS]]+Tabela1107[[#This Row],[GO]]</f>
        <v>24.740000000000002</v>
      </c>
      <c r="BN366" s="97">
        <f>+Tabela1107[[#This Row],[PIS]]+Tabela1107[[#This Row],[COFINS]]+Tabela1107[[#This Row],[CONTRIB. FOLHA]]+Tabela1107[[#This Row],[TRIBUTOS S/ LUCRO]]+Tabela1107[[#This Row],[OUTROS]]+Tabela1107[[#This Row],[MT]]</f>
        <v>24.740000000000002</v>
      </c>
      <c r="BO366" s="97">
        <f>+Tabela1107[[#This Row],[PIS]]+Tabela1107[[#This Row],[COFINS]]+Tabela1107[[#This Row],[CONTRIB. FOLHA]]+Tabela1107[[#This Row],[TRIBUTOS S/ LUCRO]]+Tabela1107[[#This Row],[OUTROS]]+Tabela1107[[#This Row],[MS]]</f>
        <v>24.740000000000002</v>
      </c>
      <c r="BP366" s="97">
        <f>+Tabela1107[[#This Row],[PIS]]+Tabela1107[[#This Row],[COFINS]]+Tabela1107[[#This Row],[CONTRIB. FOLHA]]+Tabela1107[[#This Row],[TRIBUTOS S/ LUCRO]]+Tabela1107[[#This Row],[OUTROS]]+Tabela1107[[#This Row],[DF]]</f>
        <v>24.740000000000002</v>
      </c>
      <c r="BQ366" s="97">
        <f>+Tabela1107[[#This Row],[PIS]]+Tabela1107[[#This Row],[COFINS]]+Tabela1107[[#This Row],[CONTRIB. FOLHA]]+Tabela1107[[#This Row],[TRIBUTOS S/ LUCRO]]+Tabela1107[[#This Row],[OUTROS]]+Tabela1107[[#This Row],[BA]]</f>
        <v>24.740000000000002</v>
      </c>
      <c r="BR366" s="97">
        <f>+Tabela1107[[#This Row],[PIS]]+Tabela1107[[#This Row],[COFINS]]+Tabela1107[[#This Row],[CONTRIB. FOLHA]]+Tabela1107[[#This Row],[TRIBUTOS S/ LUCRO]]+Tabela1107[[#This Row],[OUTROS]]+Tabela1107[[#This Row],[BA]]</f>
        <v>24.740000000000002</v>
      </c>
      <c r="BS366" s="97">
        <f>+Tabela1107[[#This Row],[PIS]]+Tabela1107[[#This Row],[COFINS]]+Tabela1107[[#This Row],[CONTRIB. FOLHA]]+Tabela1107[[#This Row],[TRIBUTOS S/ LUCRO]]+Tabela1107[[#This Row],[OUTROS]]+Tabela1107[[#This Row],[PE]]</f>
        <v>24.740000000000002</v>
      </c>
      <c r="BT366" s="97">
        <f>+Tabela1107[[#This Row],[PIS]]+Tabela1107[[#This Row],[COFINS]]+Tabela1107[[#This Row],[CONTRIB. FOLHA]]+Tabela1107[[#This Row],[TRIBUTOS S/ LUCRO]]+Tabela1107[[#This Row],[OUTROS]]+Tabela1107[[#This Row],[PA]]</f>
        <v>24.740000000000002</v>
      </c>
      <c r="BU366" s="97">
        <f>+Tabela1107[[#This Row],[PIS]]+Tabela1107[[#This Row],[COFINS]]+Tabela1107[[#This Row],[CONTRIB. FOLHA]]+Tabela1107[[#This Row],[TRIBUTOS S/ LUCRO]]+Tabela1107[[#This Row],[OUTROS]]+Tabela1107[[#This Row],[AM]]</f>
        <v>24.740000000000002</v>
      </c>
      <c r="BV366" s="97">
        <f>AVERAGE(Tabela1107[[#This Row],[TOTAL SP]:[TOTAL AM]])</f>
        <v>24.677500000000006</v>
      </c>
      <c r="BW366" s="97"/>
      <c r="BX366" s="97"/>
    </row>
    <row r="367" spans="2:76" x14ac:dyDescent="0.25">
      <c r="B367" s="89">
        <v>14891</v>
      </c>
      <c r="C367" s="91" t="s">
        <v>13151</v>
      </c>
      <c r="D367" s="89"/>
      <c r="E367" s="89">
        <v>20140626</v>
      </c>
      <c r="F367" s="89" t="s">
        <v>21281</v>
      </c>
      <c r="G367" s="89" t="s">
        <v>21282</v>
      </c>
      <c r="H367" s="89" t="s">
        <v>21283</v>
      </c>
      <c r="I367" s="89" t="s">
        <v>21280</v>
      </c>
      <c r="J367" s="89" t="s">
        <v>304</v>
      </c>
      <c r="K367" s="99" t="s">
        <v>4486</v>
      </c>
      <c r="L367" s="89" t="s">
        <v>3162</v>
      </c>
      <c r="M367" s="89" t="s">
        <v>3408</v>
      </c>
      <c r="N367" s="89" t="s">
        <v>4496</v>
      </c>
      <c r="O367" s="89" t="s">
        <v>4496</v>
      </c>
      <c r="P367" s="89" t="s">
        <v>4496</v>
      </c>
      <c r="Q367" s="89"/>
      <c r="R367" s="89" t="s">
        <v>275</v>
      </c>
      <c r="S367" s="89" t="s">
        <v>21688</v>
      </c>
      <c r="T367" s="89" t="s">
        <v>21689</v>
      </c>
      <c r="U367" s="89" t="str">
        <f>TRIM('Carga Tributária doenças Po (2'!$L367)</f>
        <v>LEVODOPA</v>
      </c>
      <c r="V367" s="89">
        <f>SUMIFS('Tabela Federal'!$E$4:$E$2069,'Tabela Federal'!$D$4:$D$2069,'Carga Tributária doenças Po (2'!$L367)</f>
        <v>3</v>
      </c>
      <c r="W367" s="89">
        <f>SUMIFS('Tabela Federal'!$E$4:$E$2069,'Tabela Federal'!$D$4:$D$2069,'Carga Tributária doenças Po (2'!$M367)</f>
        <v>1</v>
      </c>
      <c r="X367" s="89">
        <f>SUMIFS('Tabela Federal'!$E$4:$E$2069,'Tabela Federal'!$D$4:$D$2069,'Carga Tributária doenças Po (2'!$N367)</f>
        <v>0</v>
      </c>
      <c r="Y367" s="89">
        <f>SUMIFS('Tabela Federal'!$E$4:$E$2069,'Tabela Federal'!$D$4:$D$2069,'Carga Tributária doenças Po (2'!$O367)</f>
        <v>0</v>
      </c>
      <c r="Z367" s="92" t="str">
        <f>VLOOKUP('Carga Tributária doenças Po (2'!$AD367,'Carga Tributária doenças Po (2'!$CA$12:$CC$16,2,0)</f>
        <v>+</v>
      </c>
      <c r="AA367" s="89" t="s">
        <v>305</v>
      </c>
      <c r="AB367" s="89" t="s">
        <v>21870</v>
      </c>
      <c r="AC367" s="89" t="s">
        <v>21721</v>
      </c>
      <c r="AD367" s="93" t="s">
        <v>19445</v>
      </c>
      <c r="AE367" s="92" t="s">
        <v>4</v>
      </c>
      <c r="AF367" s="92" t="s">
        <v>23</v>
      </c>
      <c r="AG367" s="94">
        <v>790946</v>
      </c>
      <c r="AH367" s="95">
        <v>18442020</v>
      </c>
      <c r="AI367" s="95">
        <v>42091783.509999998</v>
      </c>
      <c r="AJ367" s="89" t="s">
        <v>316</v>
      </c>
      <c r="AK367" s="89">
        <f>IF('Carga Tributária doenças Po (2'!$Z367="+",0,SUMIFS(PISCOFINS!$I$3:$I$10518,PISCOFINS!$C$3:$C$10518,'Carga Tributária doenças Po (2'!$C367))</f>
        <v>0</v>
      </c>
      <c r="AL367" s="89">
        <f>IF('Carga Tributária doenças Po (2'!$Z367="+",0,SUMIFS(PISCOFINS!$H$3:$H$10518,PISCOFINS!$C$3:$C$10518,'Carga Tributária doenças Po (2'!$C367))</f>
        <v>0</v>
      </c>
      <c r="AM367" s="95">
        <v>3.27</v>
      </c>
      <c r="AN367" s="95">
        <v>3.12</v>
      </c>
      <c r="AO367" s="95">
        <v>1.35</v>
      </c>
      <c r="AP367" s="96">
        <v>18</v>
      </c>
      <c r="AQ367" s="96">
        <v>12</v>
      </c>
      <c r="AR367" s="96">
        <v>17</v>
      </c>
      <c r="AS367" s="97">
        <v>17</v>
      </c>
      <c r="AT367" s="97">
        <v>19</v>
      </c>
      <c r="AU367" s="97">
        <v>18</v>
      </c>
      <c r="AV367" s="97">
        <v>17</v>
      </c>
      <c r="AW367" s="97">
        <v>17</v>
      </c>
      <c r="AX367" s="97">
        <v>17</v>
      </c>
      <c r="AY367" s="97">
        <v>17</v>
      </c>
      <c r="AZ367" s="97">
        <v>17</v>
      </c>
      <c r="BA367" s="97">
        <v>17</v>
      </c>
      <c r="BB367" s="97">
        <v>17</v>
      </c>
      <c r="BC367" s="97">
        <v>17</v>
      </c>
      <c r="BD367" s="97">
        <v>17</v>
      </c>
      <c r="BE367" s="97">
        <v>17</v>
      </c>
      <c r="BF367" s="97">
        <f>+Tabela1107[[#This Row],[PIS]]+Tabela1107[[#This Row],[COFINS]]+Tabela1107[[#This Row],[CONTRIB. FOLHA]]+Tabela1107[[#This Row],[TRIBUTOS S/ LUCRO]]+Tabela1107[[#This Row],[OUTROS]]+Tabela1107[[#This Row],[SP]]</f>
        <v>25.740000000000002</v>
      </c>
      <c r="BG367" s="97">
        <f>+Tabela1107[[#This Row],[PIS]]+Tabela1107[[#This Row],[COFINS]]+Tabela1107[[#This Row],[CONTRIB. FOLHA]]+Tabela1107[[#This Row],[TRIBUTOS S/ LUCRO]]+Tabela1107[[#This Row],[OUTROS]]+Tabela1107[[#This Row],[PR]]</f>
        <v>19.740000000000002</v>
      </c>
      <c r="BH367" s="97">
        <f>+Tabela1107[[#This Row],[PIS]]+Tabela1107[[#This Row],[COFINS]]+Tabela1107[[#This Row],[CONTRIB. FOLHA]]+Tabela1107[[#This Row],[TRIBUTOS S/ LUCRO]]+Tabela1107[[#This Row],[OUTROS]]+Tabela1107[[#This Row],[SC]]</f>
        <v>24.740000000000002</v>
      </c>
      <c r="BI367" s="97">
        <f>+Tabela1107[[#This Row],[PIS]]+Tabela1107[[#This Row],[COFINS]]+Tabela1107[[#This Row],[CONTRIB. FOLHA]]+Tabela1107[[#This Row],[TRIBUTOS S/ LUCRO]]+Tabela1107[[#This Row],[OUTROS]]+Tabela1107[[#This Row],[RS]]</f>
        <v>24.740000000000002</v>
      </c>
      <c r="BJ367" s="97">
        <f>+Tabela1107[[#This Row],[PIS]]+Tabela1107[[#This Row],[COFINS]]+Tabela1107[[#This Row],[CONTRIB. FOLHA]]+Tabela1107[[#This Row],[TRIBUTOS S/ LUCRO]]+Tabela1107[[#This Row],[OUTROS]]+Tabela1107[[#This Row],[RJ]]</f>
        <v>26.740000000000002</v>
      </c>
      <c r="BK367" s="97">
        <f>+Tabela1107[[#This Row],[PIS]]+Tabela1107[[#This Row],[COFINS]]+Tabela1107[[#This Row],[CONTRIB. FOLHA]]+Tabela1107[[#This Row],[TRIBUTOS S/ LUCRO]]+Tabela1107[[#This Row],[OUTROS]]+Tabela1107[[#This Row],[MG]]</f>
        <v>25.740000000000002</v>
      </c>
      <c r="BL367" s="97">
        <f>+Tabela1107[[#This Row],[PIS]]+Tabela1107[[#This Row],[COFINS]]+Tabela1107[[#This Row],[CONTRIB. FOLHA]]+Tabela1107[[#This Row],[TRIBUTOS S/ LUCRO]]+Tabela1107[[#This Row],[OUTROS]]+Tabela1107[[#This Row],[ES]]</f>
        <v>24.740000000000002</v>
      </c>
      <c r="BM367" s="97">
        <f>+Tabela1107[[#This Row],[PIS]]+Tabela1107[[#This Row],[COFINS]]+Tabela1107[[#This Row],[CONTRIB. FOLHA]]+Tabela1107[[#This Row],[TRIBUTOS S/ LUCRO]]+Tabela1107[[#This Row],[OUTROS]]+Tabela1107[[#This Row],[GO]]</f>
        <v>24.740000000000002</v>
      </c>
      <c r="BN367" s="97">
        <f>+Tabela1107[[#This Row],[PIS]]+Tabela1107[[#This Row],[COFINS]]+Tabela1107[[#This Row],[CONTRIB. FOLHA]]+Tabela1107[[#This Row],[TRIBUTOS S/ LUCRO]]+Tabela1107[[#This Row],[OUTROS]]+Tabela1107[[#This Row],[MT]]</f>
        <v>24.740000000000002</v>
      </c>
      <c r="BO367" s="97">
        <f>+Tabela1107[[#This Row],[PIS]]+Tabela1107[[#This Row],[COFINS]]+Tabela1107[[#This Row],[CONTRIB. FOLHA]]+Tabela1107[[#This Row],[TRIBUTOS S/ LUCRO]]+Tabela1107[[#This Row],[OUTROS]]+Tabela1107[[#This Row],[MS]]</f>
        <v>24.740000000000002</v>
      </c>
      <c r="BP367" s="97">
        <f>+Tabela1107[[#This Row],[PIS]]+Tabela1107[[#This Row],[COFINS]]+Tabela1107[[#This Row],[CONTRIB. FOLHA]]+Tabela1107[[#This Row],[TRIBUTOS S/ LUCRO]]+Tabela1107[[#This Row],[OUTROS]]+Tabela1107[[#This Row],[DF]]</f>
        <v>24.740000000000002</v>
      </c>
      <c r="BQ367" s="97">
        <f>+Tabela1107[[#This Row],[PIS]]+Tabela1107[[#This Row],[COFINS]]+Tabela1107[[#This Row],[CONTRIB. FOLHA]]+Tabela1107[[#This Row],[TRIBUTOS S/ LUCRO]]+Tabela1107[[#This Row],[OUTROS]]+Tabela1107[[#This Row],[BA]]</f>
        <v>24.740000000000002</v>
      </c>
      <c r="BR367" s="97">
        <f>+Tabela1107[[#This Row],[PIS]]+Tabela1107[[#This Row],[COFINS]]+Tabela1107[[#This Row],[CONTRIB. FOLHA]]+Tabela1107[[#This Row],[TRIBUTOS S/ LUCRO]]+Tabela1107[[#This Row],[OUTROS]]+Tabela1107[[#This Row],[BA]]</f>
        <v>24.740000000000002</v>
      </c>
      <c r="BS367" s="97">
        <f>+Tabela1107[[#This Row],[PIS]]+Tabela1107[[#This Row],[COFINS]]+Tabela1107[[#This Row],[CONTRIB. FOLHA]]+Tabela1107[[#This Row],[TRIBUTOS S/ LUCRO]]+Tabela1107[[#This Row],[OUTROS]]+Tabela1107[[#This Row],[PE]]</f>
        <v>24.740000000000002</v>
      </c>
      <c r="BT367" s="97">
        <f>+Tabela1107[[#This Row],[PIS]]+Tabela1107[[#This Row],[COFINS]]+Tabela1107[[#This Row],[CONTRIB. FOLHA]]+Tabela1107[[#This Row],[TRIBUTOS S/ LUCRO]]+Tabela1107[[#This Row],[OUTROS]]+Tabela1107[[#This Row],[PA]]</f>
        <v>24.740000000000002</v>
      </c>
      <c r="BU367" s="97">
        <f>+Tabela1107[[#This Row],[PIS]]+Tabela1107[[#This Row],[COFINS]]+Tabela1107[[#This Row],[CONTRIB. FOLHA]]+Tabela1107[[#This Row],[TRIBUTOS S/ LUCRO]]+Tabela1107[[#This Row],[OUTROS]]+Tabela1107[[#This Row],[AM]]</f>
        <v>24.740000000000002</v>
      </c>
      <c r="BV367" s="97">
        <f>AVERAGE(Tabela1107[[#This Row],[TOTAL SP]:[TOTAL AM]])</f>
        <v>24.677500000000006</v>
      </c>
      <c r="BW367" s="97"/>
      <c r="BX367" s="97"/>
    </row>
    <row r="368" spans="2:76" x14ac:dyDescent="0.25">
      <c r="B368" s="89">
        <v>14892</v>
      </c>
      <c r="C368" s="91" t="s">
        <v>13151</v>
      </c>
      <c r="D368" s="89"/>
      <c r="E368" s="89">
        <v>20140626</v>
      </c>
      <c r="F368" s="89" t="s">
        <v>21277</v>
      </c>
      <c r="G368" s="89" t="s">
        <v>21278</v>
      </c>
      <c r="H368" s="89" t="s">
        <v>21279</v>
      </c>
      <c r="I368" s="89" t="s">
        <v>21280</v>
      </c>
      <c r="J368" s="89" t="s">
        <v>310</v>
      </c>
      <c r="K368" s="99" t="s">
        <v>4486</v>
      </c>
      <c r="L368" s="89" t="s">
        <v>3162</v>
      </c>
      <c r="M368" s="89" t="s">
        <v>3408</v>
      </c>
      <c r="N368" s="89" t="s">
        <v>4496</v>
      </c>
      <c r="O368" s="89" t="s">
        <v>4496</v>
      </c>
      <c r="P368" s="89" t="s">
        <v>4496</v>
      </c>
      <c r="Q368" s="89"/>
      <c r="R368" s="89" t="s">
        <v>275</v>
      </c>
      <c r="S368" s="89" t="s">
        <v>21688</v>
      </c>
      <c r="T368" s="89" t="s">
        <v>21689</v>
      </c>
      <c r="U368" s="89" t="str">
        <f>TRIM('Carga Tributária doenças Po (2'!$L368)</f>
        <v>LEVODOPA</v>
      </c>
      <c r="V368" s="89">
        <f>SUMIFS('Tabela Federal'!$E$4:$E$2069,'Tabela Federal'!$D$4:$D$2069,'Carga Tributária doenças Po (2'!$L368)</f>
        <v>3</v>
      </c>
      <c r="W368" s="89">
        <f>SUMIFS('Tabela Federal'!$E$4:$E$2069,'Tabela Federal'!$D$4:$D$2069,'Carga Tributária doenças Po (2'!$M368)</f>
        <v>1</v>
      </c>
      <c r="X368" s="89">
        <f>SUMIFS('Tabela Federal'!$E$4:$E$2069,'Tabela Federal'!$D$4:$D$2069,'Carga Tributária doenças Po (2'!$N368)</f>
        <v>0</v>
      </c>
      <c r="Y368" s="89">
        <f>SUMIFS('Tabela Federal'!$E$4:$E$2069,'Tabela Federal'!$D$4:$D$2069,'Carga Tributária doenças Po (2'!$O368)</f>
        <v>0</v>
      </c>
      <c r="Z368" s="92" t="str">
        <f>VLOOKUP('Carga Tributária doenças Po (2'!$AD368,'Carga Tributária doenças Po (2'!$CA$12:$CC$16,2,0)</f>
        <v>+</v>
      </c>
      <c r="AA368" s="89" t="s">
        <v>305</v>
      </c>
      <c r="AB368" s="89" t="s">
        <v>21870</v>
      </c>
      <c r="AC368" s="89" t="s">
        <v>21721</v>
      </c>
      <c r="AD368" s="93" t="s">
        <v>19445</v>
      </c>
      <c r="AE368" s="92" t="s">
        <v>4</v>
      </c>
      <c r="AF368" s="92" t="s">
        <v>23</v>
      </c>
      <c r="AG368" s="94">
        <v>268199</v>
      </c>
      <c r="AH368" s="95">
        <v>4641504</v>
      </c>
      <c r="AI368" s="95">
        <v>10593382.970000001</v>
      </c>
      <c r="AJ368" s="89" t="s">
        <v>316</v>
      </c>
      <c r="AK368" s="89">
        <f>IF('Carga Tributária doenças Po (2'!$Z368="+",0,SUMIFS(PISCOFINS!$I$3:$I$10518,PISCOFINS!$C$3:$C$10518,'Carga Tributária doenças Po (2'!$C368))</f>
        <v>0</v>
      </c>
      <c r="AL368" s="89">
        <f>IF('Carga Tributária doenças Po (2'!$Z368="+",0,SUMIFS(PISCOFINS!$H$3:$H$10518,PISCOFINS!$C$3:$C$10518,'Carga Tributária doenças Po (2'!$C368))</f>
        <v>0</v>
      </c>
      <c r="AM368" s="95">
        <v>3.27</v>
      </c>
      <c r="AN368" s="95">
        <v>3.12</v>
      </c>
      <c r="AO368" s="95">
        <v>1.35</v>
      </c>
      <c r="AP368" s="96">
        <v>18</v>
      </c>
      <c r="AQ368" s="96">
        <v>12</v>
      </c>
      <c r="AR368" s="96">
        <v>17</v>
      </c>
      <c r="AS368" s="97">
        <v>17</v>
      </c>
      <c r="AT368" s="97">
        <v>19</v>
      </c>
      <c r="AU368" s="97">
        <v>18</v>
      </c>
      <c r="AV368" s="97">
        <v>17</v>
      </c>
      <c r="AW368" s="97">
        <v>17</v>
      </c>
      <c r="AX368" s="97">
        <v>17</v>
      </c>
      <c r="AY368" s="97">
        <v>17</v>
      </c>
      <c r="AZ368" s="97">
        <v>17</v>
      </c>
      <c r="BA368" s="97">
        <v>17</v>
      </c>
      <c r="BB368" s="97">
        <v>17</v>
      </c>
      <c r="BC368" s="97">
        <v>17</v>
      </c>
      <c r="BD368" s="97">
        <v>17</v>
      </c>
      <c r="BE368" s="97">
        <v>17</v>
      </c>
      <c r="BF368" s="97">
        <f>+Tabela1107[[#This Row],[PIS]]+Tabela1107[[#This Row],[COFINS]]+Tabela1107[[#This Row],[CONTRIB. FOLHA]]+Tabela1107[[#This Row],[TRIBUTOS S/ LUCRO]]+Tabela1107[[#This Row],[OUTROS]]+Tabela1107[[#This Row],[SP]]</f>
        <v>25.740000000000002</v>
      </c>
      <c r="BG368" s="97">
        <f>+Tabela1107[[#This Row],[PIS]]+Tabela1107[[#This Row],[COFINS]]+Tabela1107[[#This Row],[CONTRIB. FOLHA]]+Tabela1107[[#This Row],[TRIBUTOS S/ LUCRO]]+Tabela1107[[#This Row],[OUTROS]]+Tabela1107[[#This Row],[PR]]</f>
        <v>19.740000000000002</v>
      </c>
      <c r="BH368" s="97">
        <f>+Tabela1107[[#This Row],[PIS]]+Tabela1107[[#This Row],[COFINS]]+Tabela1107[[#This Row],[CONTRIB. FOLHA]]+Tabela1107[[#This Row],[TRIBUTOS S/ LUCRO]]+Tabela1107[[#This Row],[OUTROS]]+Tabela1107[[#This Row],[SC]]</f>
        <v>24.740000000000002</v>
      </c>
      <c r="BI368" s="97">
        <f>+Tabela1107[[#This Row],[PIS]]+Tabela1107[[#This Row],[COFINS]]+Tabela1107[[#This Row],[CONTRIB. FOLHA]]+Tabela1107[[#This Row],[TRIBUTOS S/ LUCRO]]+Tabela1107[[#This Row],[OUTROS]]+Tabela1107[[#This Row],[RS]]</f>
        <v>24.740000000000002</v>
      </c>
      <c r="BJ368" s="97">
        <f>+Tabela1107[[#This Row],[PIS]]+Tabela1107[[#This Row],[COFINS]]+Tabela1107[[#This Row],[CONTRIB. FOLHA]]+Tabela1107[[#This Row],[TRIBUTOS S/ LUCRO]]+Tabela1107[[#This Row],[OUTROS]]+Tabela1107[[#This Row],[RJ]]</f>
        <v>26.740000000000002</v>
      </c>
      <c r="BK368" s="97">
        <f>+Tabela1107[[#This Row],[PIS]]+Tabela1107[[#This Row],[COFINS]]+Tabela1107[[#This Row],[CONTRIB. FOLHA]]+Tabela1107[[#This Row],[TRIBUTOS S/ LUCRO]]+Tabela1107[[#This Row],[OUTROS]]+Tabela1107[[#This Row],[MG]]</f>
        <v>25.740000000000002</v>
      </c>
      <c r="BL368" s="97">
        <f>+Tabela1107[[#This Row],[PIS]]+Tabela1107[[#This Row],[COFINS]]+Tabela1107[[#This Row],[CONTRIB. FOLHA]]+Tabela1107[[#This Row],[TRIBUTOS S/ LUCRO]]+Tabela1107[[#This Row],[OUTROS]]+Tabela1107[[#This Row],[ES]]</f>
        <v>24.740000000000002</v>
      </c>
      <c r="BM368" s="97">
        <f>+Tabela1107[[#This Row],[PIS]]+Tabela1107[[#This Row],[COFINS]]+Tabela1107[[#This Row],[CONTRIB. FOLHA]]+Tabela1107[[#This Row],[TRIBUTOS S/ LUCRO]]+Tabela1107[[#This Row],[OUTROS]]+Tabela1107[[#This Row],[GO]]</f>
        <v>24.740000000000002</v>
      </c>
      <c r="BN368" s="97">
        <f>+Tabela1107[[#This Row],[PIS]]+Tabela1107[[#This Row],[COFINS]]+Tabela1107[[#This Row],[CONTRIB. FOLHA]]+Tabela1107[[#This Row],[TRIBUTOS S/ LUCRO]]+Tabela1107[[#This Row],[OUTROS]]+Tabela1107[[#This Row],[MT]]</f>
        <v>24.740000000000002</v>
      </c>
      <c r="BO368" s="97">
        <f>+Tabela1107[[#This Row],[PIS]]+Tabela1107[[#This Row],[COFINS]]+Tabela1107[[#This Row],[CONTRIB. FOLHA]]+Tabela1107[[#This Row],[TRIBUTOS S/ LUCRO]]+Tabela1107[[#This Row],[OUTROS]]+Tabela1107[[#This Row],[MS]]</f>
        <v>24.740000000000002</v>
      </c>
      <c r="BP368" s="97">
        <f>+Tabela1107[[#This Row],[PIS]]+Tabela1107[[#This Row],[COFINS]]+Tabela1107[[#This Row],[CONTRIB. FOLHA]]+Tabela1107[[#This Row],[TRIBUTOS S/ LUCRO]]+Tabela1107[[#This Row],[OUTROS]]+Tabela1107[[#This Row],[DF]]</f>
        <v>24.740000000000002</v>
      </c>
      <c r="BQ368" s="97">
        <f>+Tabela1107[[#This Row],[PIS]]+Tabela1107[[#This Row],[COFINS]]+Tabela1107[[#This Row],[CONTRIB. FOLHA]]+Tabela1107[[#This Row],[TRIBUTOS S/ LUCRO]]+Tabela1107[[#This Row],[OUTROS]]+Tabela1107[[#This Row],[BA]]</f>
        <v>24.740000000000002</v>
      </c>
      <c r="BR368" s="97">
        <f>+Tabela1107[[#This Row],[PIS]]+Tabela1107[[#This Row],[COFINS]]+Tabela1107[[#This Row],[CONTRIB. FOLHA]]+Tabela1107[[#This Row],[TRIBUTOS S/ LUCRO]]+Tabela1107[[#This Row],[OUTROS]]+Tabela1107[[#This Row],[BA]]</f>
        <v>24.740000000000002</v>
      </c>
      <c r="BS368" s="97">
        <f>+Tabela1107[[#This Row],[PIS]]+Tabela1107[[#This Row],[COFINS]]+Tabela1107[[#This Row],[CONTRIB. FOLHA]]+Tabela1107[[#This Row],[TRIBUTOS S/ LUCRO]]+Tabela1107[[#This Row],[OUTROS]]+Tabela1107[[#This Row],[PE]]</f>
        <v>24.740000000000002</v>
      </c>
      <c r="BT368" s="97">
        <f>+Tabela1107[[#This Row],[PIS]]+Tabela1107[[#This Row],[COFINS]]+Tabela1107[[#This Row],[CONTRIB. FOLHA]]+Tabela1107[[#This Row],[TRIBUTOS S/ LUCRO]]+Tabela1107[[#This Row],[OUTROS]]+Tabela1107[[#This Row],[PA]]</f>
        <v>24.740000000000002</v>
      </c>
      <c r="BU368" s="97">
        <f>+Tabela1107[[#This Row],[PIS]]+Tabela1107[[#This Row],[COFINS]]+Tabela1107[[#This Row],[CONTRIB. FOLHA]]+Tabela1107[[#This Row],[TRIBUTOS S/ LUCRO]]+Tabela1107[[#This Row],[OUTROS]]+Tabela1107[[#This Row],[AM]]</f>
        <v>24.740000000000002</v>
      </c>
      <c r="BV368" s="97">
        <f>AVERAGE(Tabela1107[[#This Row],[TOTAL SP]:[TOTAL AM]])</f>
        <v>24.677500000000006</v>
      </c>
      <c r="BW368" s="97"/>
      <c r="BX368" s="97"/>
    </row>
    <row r="369" spans="2:76" x14ac:dyDescent="0.25">
      <c r="B369" s="89">
        <v>14894</v>
      </c>
      <c r="C369" s="91" t="s">
        <v>13151</v>
      </c>
      <c r="D369" s="89"/>
      <c r="E369" s="89">
        <v>20140626</v>
      </c>
      <c r="F369" s="89" t="s">
        <v>21287</v>
      </c>
      <c r="G369" s="89" t="s">
        <v>21288</v>
      </c>
      <c r="H369" s="89" t="s">
        <v>21289</v>
      </c>
      <c r="I369" s="89" t="s">
        <v>21280</v>
      </c>
      <c r="J369" s="89" t="s">
        <v>311</v>
      </c>
      <c r="K369" s="99" t="s">
        <v>4486</v>
      </c>
      <c r="L369" s="89" t="s">
        <v>3162</v>
      </c>
      <c r="M369" s="89" t="s">
        <v>3408</v>
      </c>
      <c r="N369" s="89" t="s">
        <v>4496</v>
      </c>
      <c r="O369" s="89" t="s">
        <v>4496</v>
      </c>
      <c r="P369" s="89" t="s">
        <v>4496</v>
      </c>
      <c r="Q369" s="89"/>
      <c r="R369" s="89" t="s">
        <v>275</v>
      </c>
      <c r="S369" s="89" t="s">
        <v>21688</v>
      </c>
      <c r="T369" s="89" t="s">
        <v>21689</v>
      </c>
      <c r="U369" s="89" t="str">
        <f>TRIM('Carga Tributária doenças Po (2'!$L369)</f>
        <v>LEVODOPA</v>
      </c>
      <c r="V369" s="89">
        <f>SUMIFS('Tabela Federal'!$E$4:$E$2069,'Tabela Federal'!$D$4:$D$2069,'Carga Tributária doenças Po (2'!$L369)</f>
        <v>3</v>
      </c>
      <c r="W369" s="89">
        <f>SUMIFS('Tabela Federal'!$E$4:$E$2069,'Tabela Federal'!$D$4:$D$2069,'Carga Tributária doenças Po (2'!$M369)</f>
        <v>1</v>
      </c>
      <c r="X369" s="89">
        <f>SUMIFS('Tabela Federal'!$E$4:$E$2069,'Tabela Federal'!$D$4:$D$2069,'Carga Tributária doenças Po (2'!$N369)</f>
        <v>0</v>
      </c>
      <c r="Y369" s="89">
        <f>SUMIFS('Tabela Federal'!$E$4:$E$2069,'Tabela Federal'!$D$4:$D$2069,'Carga Tributária doenças Po (2'!$O369)</f>
        <v>0</v>
      </c>
      <c r="Z369" s="92" t="str">
        <f>VLOOKUP('Carga Tributária doenças Po (2'!$AD369,'Carga Tributária doenças Po (2'!$CA$12:$CC$16,2,0)</f>
        <v>+</v>
      </c>
      <c r="AA369" s="89" t="s">
        <v>305</v>
      </c>
      <c r="AB369" s="89" t="s">
        <v>21870</v>
      </c>
      <c r="AC369" s="89" t="s">
        <v>21721</v>
      </c>
      <c r="AD369" s="93" t="s">
        <v>19445</v>
      </c>
      <c r="AE369" s="92" t="s">
        <v>4</v>
      </c>
      <c r="AF369" s="92" t="s">
        <v>23</v>
      </c>
      <c r="AG369" s="94">
        <v>222790</v>
      </c>
      <c r="AH369" s="95">
        <v>5191630</v>
      </c>
      <c r="AI369" s="95">
        <v>11859838.98</v>
      </c>
      <c r="AJ369" s="89" t="s">
        <v>316</v>
      </c>
      <c r="AK369" s="89">
        <f>IF('Carga Tributária doenças Po (2'!$Z369="+",0,SUMIFS(PISCOFINS!$I$3:$I$10518,PISCOFINS!$C$3:$C$10518,'Carga Tributária doenças Po (2'!$C369))</f>
        <v>0</v>
      </c>
      <c r="AL369" s="89">
        <f>IF('Carga Tributária doenças Po (2'!$Z369="+",0,SUMIFS(PISCOFINS!$H$3:$H$10518,PISCOFINS!$C$3:$C$10518,'Carga Tributária doenças Po (2'!$C369))</f>
        <v>0</v>
      </c>
      <c r="AM369" s="95">
        <v>3.27</v>
      </c>
      <c r="AN369" s="95">
        <v>3.12</v>
      </c>
      <c r="AO369" s="95">
        <v>1.35</v>
      </c>
      <c r="AP369" s="96">
        <v>18</v>
      </c>
      <c r="AQ369" s="96">
        <v>12</v>
      </c>
      <c r="AR369" s="96">
        <v>17</v>
      </c>
      <c r="AS369" s="97">
        <v>17</v>
      </c>
      <c r="AT369" s="97">
        <v>19</v>
      </c>
      <c r="AU369" s="97">
        <v>18</v>
      </c>
      <c r="AV369" s="97">
        <v>17</v>
      </c>
      <c r="AW369" s="97">
        <v>17</v>
      </c>
      <c r="AX369" s="97">
        <v>17</v>
      </c>
      <c r="AY369" s="97">
        <v>17</v>
      </c>
      <c r="AZ369" s="97">
        <v>17</v>
      </c>
      <c r="BA369" s="97">
        <v>17</v>
      </c>
      <c r="BB369" s="97">
        <v>17</v>
      </c>
      <c r="BC369" s="97">
        <v>17</v>
      </c>
      <c r="BD369" s="97">
        <v>17</v>
      </c>
      <c r="BE369" s="97">
        <v>17</v>
      </c>
      <c r="BF369" s="97">
        <f>+Tabela1107[[#This Row],[PIS]]+Tabela1107[[#This Row],[COFINS]]+Tabela1107[[#This Row],[CONTRIB. FOLHA]]+Tabela1107[[#This Row],[TRIBUTOS S/ LUCRO]]+Tabela1107[[#This Row],[OUTROS]]+Tabela1107[[#This Row],[SP]]</f>
        <v>25.740000000000002</v>
      </c>
      <c r="BG369" s="97">
        <f>+Tabela1107[[#This Row],[PIS]]+Tabela1107[[#This Row],[COFINS]]+Tabela1107[[#This Row],[CONTRIB. FOLHA]]+Tabela1107[[#This Row],[TRIBUTOS S/ LUCRO]]+Tabela1107[[#This Row],[OUTROS]]+Tabela1107[[#This Row],[PR]]</f>
        <v>19.740000000000002</v>
      </c>
      <c r="BH369" s="97">
        <f>+Tabela1107[[#This Row],[PIS]]+Tabela1107[[#This Row],[COFINS]]+Tabela1107[[#This Row],[CONTRIB. FOLHA]]+Tabela1107[[#This Row],[TRIBUTOS S/ LUCRO]]+Tabela1107[[#This Row],[OUTROS]]+Tabela1107[[#This Row],[SC]]</f>
        <v>24.740000000000002</v>
      </c>
      <c r="BI369" s="97">
        <f>+Tabela1107[[#This Row],[PIS]]+Tabela1107[[#This Row],[COFINS]]+Tabela1107[[#This Row],[CONTRIB. FOLHA]]+Tabela1107[[#This Row],[TRIBUTOS S/ LUCRO]]+Tabela1107[[#This Row],[OUTROS]]+Tabela1107[[#This Row],[RS]]</f>
        <v>24.740000000000002</v>
      </c>
      <c r="BJ369" s="97">
        <f>+Tabela1107[[#This Row],[PIS]]+Tabela1107[[#This Row],[COFINS]]+Tabela1107[[#This Row],[CONTRIB. FOLHA]]+Tabela1107[[#This Row],[TRIBUTOS S/ LUCRO]]+Tabela1107[[#This Row],[OUTROS]]+Tabela1107[[#This Row],[RJ]]</f>
        <v>26.740000000000002</v>
      </c>
      <c r="BK369" s="97">
        <f>+Tabela1107[[#This Row],[PIS]]+Tabela1107[[#This Row],[COFINS]]+Tabela1107[[#This Row],[CONTRIB. FOLHA]]+Tabela1107[[#This Row],[TRIBUTOS S/ LUCRO]]+Tabela1107[[#This Row],[OUTROS]]+Tabela1107[[#This Row],[MG]]</f>
        <v>25.740000000000002</v>
      </c>
      <c r="BL369" s="97">
        <f>+Tabela1107[[#This Row],[PIS]]+Tabela1107[[#This Row],[COFINS]]+Tabela1107[[#This Row],[CONTRIB. FOLHA]]+Tabela1107[[#This Row],[TRIBUTOS S/ LUCRO]]+Tabela1107[[#This Row],[OUTROS]]+Tabela1107[[#This Row],[ES]]</f>
        <v>24.740000000000002</v>
      </c>
      <c r="BM369" s="97">
        <f>+Tabela1107[[#This Row],[PIS]]+Tabela1107[[#This Row],[COFINS]]+Tabela1107[[#This Row],[CONTRIB. FOLHA]]+Tabela1107[[#This Row],[TRIBUTOS S/ LUCRO]]+Tabela1107[[#This Row],[OUTROS]]+Tabela1107[[#This Row],[GO]]</f>
        <v>24.740000000000002</v>
      </c>
      <c r="BN369" s="97">
        <f>+Tabela1107[[#This Row],[PIS]]+Tabela1107[[#This Row],[COFINS]]+Tabela1107[[#This Row],[CONTRIB. FOLHA]]+Tabela1107[[#This Row],[TRIBUTOS S/ LUCRO]]+Tabela1107[[#This Row],[OUTROS]]+Tabela1107[[#This Row],[MT]]</f>
        <v>24.740000000000002</v>
      </c>
      <c r="BO369" s="97">
        <f>+Tabela1107[[#This Row],[PIS]]+Tabela1107[[#This Row],[COFINS]]+Tabela1107[[#This Row],[CONTRIB. FOLHA]]+Tabela1107[[#This Row],[TRIBUTOS S/ LUCRO]]+Tabela1107[[#This Row],[OUTROS]]+Tabela1107[[#This Row],[MS]]</f>
        <v>24.740000000000002</v>
      </c>
      <c r="BP369" s="97">
        <f>+Tabela1107[[#This Row],[PIS]]+Tabela1107[[#This Row],[COFINS]]+Tabela1107[[#This Row],[CONTRIB. FOLHA]]+Tabela1107[[#This Row],[TRIBUTOS S/ LUCRO]]+Tabela1107[[#This Row],[OUTROS]]+Tabela1107[[#This Row],[DF]]</f>
        <v>24.740000000000002</v>
      </c>
      <c r="BQ369" s="97">
        <f>+Tabela1107[[#This Row],[PIS]]+Tabela1107[[#This Row],[COFINS]]+Tabela1107[[#This Row],[CONTRIB. FOLHA]]+Tabela1107[[#This Row],[TRIBUTOS S/ LUCRO]]+Tabela1107[[#This Row],[OUTROS]]+Tabela1107[[#This Row],[BA]]</f>
        <v>24.740000000000002</v>
      </c>
      <c r="BR369" s="97">
        <f>+Tabela1107[[#This Row],[PIS]]+Tabela1107[[#This Row],[COFINS]]+Tabela1107[[#This Row],[CONTRIB. FOLHA]]+Tabela1107[[#This Row],[TRIBUTOS S/ LUCRO]]+Tabela1107[[#This Row],[OUTROS]]+Tabela1107[[#This Row],[BA]]</f>
        <v>24.740000000000002</v>
      </c>
      <c r="BS369" s="97">
        <f>+Tabela1107[[#This Row],[PIS]]+Tabela1107[[#This Row],[COFINS]]+Tabela1107[[#This Row],[CONTRIB. FOLHA]]+Tabela1107[[#This Row],[TRIBUTOS S/ LUCRO]]+Tabela1107[[#This Row],[OUTROS]]+Tabela1107[[#This Row],[PE]]</f>
        <v>24.740000000000002</v>
      </c>
      <c r="BT369" s="97">
        <f>+Tabela1107[[#This Row],[PIS]]+Tabela1107[[#This Row],[COFINS]]+Tabela1107[[#This Row],[CONTRIB. FOLHA]]+Tabela1107[[#This Row],[TRIBUTOS S/ LUCRO]]+Tabela1107[[#This Row],[OUTROS]]+Tabela1107[[#This Row],[PA]]</f>
        <v>24.740000000000002</v>
      </c>
      <c r="BU369" s="97">
        <f>+Tabela1107[[#This Row],[PIS]]+Tabela1107[[#This Row],[COFINS]]+Tabela1107[[#This Row],[CONTRIB. FOLHA]]+Tabela1107[[#This Row],[TRIBUTOS S/ LUCRO]]+Tabela1107[[#This Row],[OUTROS]]+Tabela1107[[#This Row],[AM]]</f>
        <v>24.740000000000002</v>
      </c>
      <c r="BV369" s="97">
        <f>AVERAGE(Tabela1107[[#This Row],[TOTAL SP]:[TOTAL AM]])</f>
        <v>24.677500000000006</v>
      </c>
      <c r="BW369" s="97"/>
      <c r="BX369" s="97"/>
    </row>
    <row r="370" spans="2:76" x14ac:dyDescent="0.25">
      <c r="B370" s="89">
        <v>14898</v>
      </c>
      <c r="C370" s="91" t="s">
        <v>13151</v>
      </c>
      <c r="D370" s="89"/>
      <c r="E370" s="89">
        <v>20140626</v>
      </c>
      <c r="F370" s="89" t="s">
        <v>21284</v>
      </c>
      <c r="G370" s="89" t="s">
        <v>21285</v>
      </c>
      <c r="H370" s="89" t="s">
        <v>21286</v>
      </c>
      <c r="I370" s="89" t="s">
        <v>21280</v>
      </c>
      <c r="J370" s="89" t="s">
        <v>309</v>
      </c>
      <c r="K370" s="99" t="s">
        <v>4486</v>
      </c>
      <c r="L370" s="89" t="s">
        <v>3162</v>
      </c>
      <c r="M370" s="89" t="s">
        <v>3408</v>
      </c>
      <c r="N370" s="89" t="s">
        <v>4496</v>
      </c>
      <c r="O370" s="89" t="s">
        <v>4496</v>
      </c>
      <c r="P370" s="89" t="s">
        <v>4496</v>
      </c>
      <c r="Q370" s="89"/>
      <c r="R370" s="89" t="s">
        <v>275</v>
      </c>
      <c r="S370" s="89" t="s">
        <v>21688</v>
      </c>
      <c r="T370" s="89" t="s">
        <v>21689</v>
      </c>
      <c r="U370" s="89" t="str">
        <f>TRIM('Carga Tributária doenças Po (2'!$L370)</f>
        <v>LEVODOPA</v>
      </c>
      <c r="V370" s="89">
        <f>SUMIFS('Tabela Federal'!$E$4:$E$2069,'Tabela Federal'!$D$4:$D$2069,'Carga Tributária doenças Po (2'!$L370)</f>
        <v>3</v>
      </c>
      <c r="W370" s="89">
        <f>SUMIFS('Tabela Federal'!$E$4:$E$2069,'Tabela Federal'!$D$4:$D$2069,'Carga Tributária doenças Po (2'!$M370)</f>
        <v>1</v>
      </c>
      <c r="X370" s="89">
        <f>SUMIFS('Tabela Federal'!$E$4:$E$2069,'Tabela Federal'!$D$4:$D$2069,'Carga Tributária doenças Po (2'!$N370)</f>
        <v>0</v>
      </c>
      <c r="Y370" s="89">
        <f>SUMIFS('Tabela Federal'!$E$4:$E$2069,'Tabela Federal'!$D$4:$D$2069,'Carga Tributária doenças Po (2'!$O370)</f>
        <v>0</v>
      </c>
      <c r="Z370" s="92" t="str">
        <f>VLOOKUP('Carga Tributária doenças Po (2'!$AD370,'Carga Tributária doenças Po (2'!$CA$12:$CC$16,2,0)</f>
        <v>+</v>
      </c>
      <c r="AA370" s="89" t="s">
        <v>305</v>
      </c>
      <c r="AB370" s="89" t="s">
        <v>21870</v>
      </c>
      <c r="AC370" s="89" t="s">
        <v>21721</v>
      </c>
      <c r="AD370" s="93" t="s">
        <v>19445</v>
      </c>
      <c r="AE370" s="92" t="s">
        <v>4</v>
      </c>
      <c r="AF370" s="92" t="s">
        <v>23</v>
      </c>
      <c r="AG370" s="94">
        <v>287517</v>
      </c>
      <c r="AH370" s="95">
        <v>3346446</v>
      </c>
      <c r="AI370" s="95">
        <v>7660677.29</v>
      </c>
      <c r="AJ370" s="89" t="s">
        <v>316</v>
      </c>
      <c r="AK370" s="89">
        <f>IF('Carga Tributária doenças Po (2'!$Z370="+",0,SUMIFS(PISCOFINS!$I$3:$I$10518,PISCOFINS!$C$3:$C$10518,'Carga Tributária doenças Po (2'!$C370))</f>
        <v>0</v>
      </c>
      <c r="AL370" s="89">
        <f>IF('Carga Tributária doenças Po (2'!$Z370="+",0,SUMIFS(PISCOFINS!$H$3:$H$10518,PISCOFINS!$C$3:$C$10518,'Carga Tributária doenças Po (2'!$C370))</f>
        <v>0</v>
      </c>
      <c r="AM370" s="95">
        <v>3.27</v>
      </c>
      <c r="AN370" s="95">
        <v>3.12</v>
      </c>
      <c r="AO370" s="95">
        <v>1.35</v>
      </c>
      <c r="AP370" s="96">
        <v>18</v>
      </c>
      <c r="AQ370" s="96">
        <v>12</v>
      </c>
      <c r="AR370" s="96">
        <v>17</v>
      </c>
      <c r="AS370" s="97">
        <v>17</v>
      </c>
      <c r="AT370" s="97">
        <v>19</v>
      </c>
      <c r="AU370" s="97">
        <v>18</v>
      </c>
      <c r="AV370" s="97">
        <v>17</v>
      </c>
      <c r="AW370" s="97">
        <v>17</v>
      </c>
      <c r="AX370" s="97">
        <v>17</v>
      </c>
      <c r="AY370" s="97">
        <v>17</v>
      </c>
      <c r="AZ370" s="97">
        <v>17</v>
      </c>
      <c r="BA370" s="97">
        <v>17</v>
      </c>
      <c r="BB370" s="97">
        <v>17</v>
      </c>
      <c r="BC370" s="97">
        <v>17</v>
      </c>
      <c r="BD370" s="97">
        <v>17</v>
      </c>
      <c r="BE370" s="97">
        <v>17</v>
      </c>
      <c r="BF370" s="97">
        <f>+Tabela1107[[#This Row],[PIS]]+Tabela1107[[#This Row],[COFINS]]+Tabela1107[[#This Row],[CONTRIB. FOLHA]]+Tabela1107[[#This Row],[TRIBUTOS S/ LUCRO]]+Tabela1107[[#This Row],[OUTROS]]+Tabela1107[[#This Row],[SP]]</f>
        <v>25.740000000000002</v>
      </c>
      <c r="BG370" s="97">
        <f>+Tabela1107[[#This Row],[PIS]]+Tabela1107[[#This Row],[COFINS]]+Tabela1107[[#This Row],[CONTRIB. FOLHA]]+Tabela1107[[#This Row],[TRIBUTOS S/ LUCRO]]+Tabela1107[[#This Row],[OUTROS]]+Tabela1107[[#This Row],[PR]]</f>
        <v>19.740000000000002</v>
      </c>
      <c r="BH370" s="97">
        <f>+Tabela1107[[#This Row],[PIS]]+Tabela1107[[#This Row],[COFINS]]+Tabela1107[[#This Row],[CONTRIB. FOLHA]]+Tabela1107[[#This Row],[TRIBUTOS S/ LUCRO]]+Tabela1107[[#This Row],[OUTROS]]+Tabela1107[[#This Row],[SC]]</f>
        <v>24.740000000000002</v>
      </c>
      <c r="BI370" s="97">
        <f>+Tabela1107[[#This Row],[PIS]]+Tabela1107[[#This Row],[COFINS]]+Tabela1107[[#This Row],[CONTRIB. FOLHA]]+Tabela1107[[#This Row],[TRIBUTOS S/ LUCRO]]+Tabela1107[[#This Row],[OUTROS]]+Tabela1107[[#This Row],[RS]]</f>
        <v>24.740000000000002</v>
      </c>
      <c r="BJ370" s="97">
        <f>+Tabela1107[[#This Row],[PIS]]+Tabela1107[[#This Row],[COFINS]]+Tabela1107[[#This Row],[CONTRIB. FOLHA]]+Tabela1107[[#This Row],[TRIBUTOS S/ LUCRO]]+Tabela1107[[#This Row],[OUTROS]]+Tabela1107[[#This Row],[RJ]]</f>
        <v>26.740000000000002</v>
      </c>
      <c r="BK370" s="97">
        <f>+Tabela1107[[#This Row],[PIS]]+Tabela1107[[#This Row],[COFINS]]+Tabela1107[[#This Row],[CONTRIB. FOLHA]]+Tabela1107[[#This Row],[TRIBUTOS S/ LUCRO]]+Tabela1107[[#This Row],[OUTROS]]+Tabela1107[[#This Row],[MG]]</f>
        <v>25.740000000000002</v>
      </c>
      <c r="BL370" s="97">
        <f>+Tabela1107[[#This Row],[PIS]]+Tabela1107[[#This Row],[COFINS]]+Tabela1107[[#This Row],[CONTRIB. FOLHA]]+Tabela1107[[#This Row],[TRIBUTOS S/ LUCRO]]+Tabela1107[[#This Row],[OUTROS]]+Tabela1107[[#This Row],[ES]]</f>
        <v>24.740000000000002</v>
      </c>
      <c r="BM370" s="97">
        <f>+Tabela1107[[#This Row],[PIS]]+Tabela1107[[#This Row],[COFINS]]+Tabela1107[[#This Row],[CONTRIB. FOLHA]]+Tabela1107[[#This Row],[TRIBUTOS S/ LUCRO]]+Tabela1107[[#This Row],[OUTROS]]+Tabela1107[[#This Row],[GO]]</f>
        <v>24.740000000000002</v>
      </c>
      <c r="BN370" s="97">
        <f>+Tabela1107[[#This Row],[PIS]]+Tabela1107[[#This Row],[COFINS]]+Tabela1107[[#This Row],[CONTRIB. FOLHA]]+Tabela1107[[#This Row],[TRIBUTOS S/ LUCRO]]+Tabela1107[[#This Row],[OUTROS]]+Tabela1107[[#This Row],[MT]]</f>
        <v>24.740000000000002</v>
      </c>
      <c r="BO370" s="97">
        <f>+Tabela1107[[#This Row],[PIS]]+Tabela1107[[#This Row],[COFINS]]+Tabela1107[[#This Row],[CONTRIB. FOLHA]]+Tabela1107[[#This Row],[TRIBUTOS S/ LUCRO]]+Tabela1107[[#This Row],[OUTROS]]+Tabela1107[[#This Row],[MS]]</f>
        <v>24.740000000000002</v>
      </c>
      <c r="BP370" s="97">
        <f>+Tabela1107[[#This Row],[PIS]]+Tabela1107[[#This Row],[COFINS]]+Tabela1107[[#This Row],[CONTRIB. FOLHA]]+Tabela1107[[#This Row],[TRIBUTOS S/ LUCRO]]+Tabela1107[[#This Row],[OUTROS]]+Tabela1107[[#This Row],[DF]]</f>
        <v>24.740000000000002</v>
      </c>
      <c r="BQ370" s="97">
        <f>+Tabela1107[[#This Row],[PIS]]+Tabela1107[[#This Row],[COFINS]]+Tabela1107[[#This Row],[CONTRIB. FOLHA]]+Tabela1107[[#This Row],[TRIBUTOS S/ LUCRO]]+Tabela1107[[#This Row],[OUTROS]]+Tabela1107[[#This Row],[BA]]</f>
        <v>24.740000000000002</v>
      </c>
      <c r="BR370" s="97">
        <f>+Tabela1107[[#This Row],[PIS]]+Tabela1107[[#This Row],[COFINS]]+Tabela1107[[#This Row],[CONTRIB. FOLHA]]+Tabela1107[[#This Row],[TRIBUTOS S/ LUCRO]]+Tabela1107[[#This Row],[OUTROS]]+Tabela1107[[#This Row],[BA]]</f>
        <v>24.740000000000002</v>
      </c>
      <c r="BS370" s="97">
        <f>+Tabela1107[[#This Row],[PIS]]+Tabela1107[[#This Row],[COFINS]]+Tabela1107[[#This Row],[CONTRIB. FOLHA]]+Tabela1107[[#This Row],[TRIBUTOS S/ LUCRO]]+Tabela1107[[#This Row],[OUTROS]]+Tabela1107[[#This Row],[PE]]</f>
        <v>24.740000000000002</v>
      </c>
      <c r="BT370" s="97">
        <f>+Tabela1107[[#This Row],[PIS]]+Tabela1107[[#This Row],[COFINS]]+Tabela1107[[#This Row],[CONTRIB. FOLHA]]+Tabela1107[[#This Row],[TRIBUTOS S/ LUCRO]]+Tabela1107[[#This Row],[OUTROS]]+Tabela1107[[#This Row],[PA]]</f>
        <v>24.740000000000002</v>
      </c>
      <c r="BU370" s="97">
        <f>+Tabela1107[[#This Row],[PIS]]+Tabela1107[[#This Row],[COFINS]]+Tabela1107[[#This Row],[CONTRIB. FOLHA]]+Tabela1107[[#This Row],[TRIBUTOS S/ LUCRO]]+Tabela1107[[#This Row],[OUTROS]]+Tabela1107[[#This Row],[AM]]</f>
        <v>24.740000000000002</v>
      </c>
      <c r="BV370" s="97">
        <f>AVERAGE(Tabela1107[[#This Row],[TOTAL SP]:[TOTAL AM]])</f>
        <v>24.677500000000006</v>
      </c>
      <c r="BW370" s="97"/>
      <c r="BX370" s="97"/>
    </row>
    <row r="371" spans="2:76" x14ac:dyDescent="0.25">
      <c r="B371" s="89">
        <v>4524</v>
      </c>
      <c r="C371" s="91" t="s">
        <v>13177</v>
      </c>
      <c r="D371" s="89"/>
      <c r="E371" s="89">
        <v>20140626</v>
      </c>
      <c r="F371" s="89" t="s">
        <v>21382</v>
      </c>
      <c r="G371" s="89" t="s">
        <v>21383</v>
      </c>
      <c r="H371" s="98" t="s">
        <v>21963</v>
      </c>
      <c r="I371" s="89" t="s">
        <v>21381</v>
      </c>
      <c r="J371" s="89" t="s">
        <v>145</v>
      </c>
      <c r="K371" s="99" t="s">
        <v>2531</v>
      </c>
      <c r="L371" s="89" t="s">
        <v>2681</v>
      </c>
      <c r="M371" s="89" t="s">
        <v>4496</v>
      </c>
      <c r="N371" s="89" t="s">
        <v>4496</v>
      </c>
      <c r="O371" s="89" t="s">
        <v>4496</v>
      </c>
      <c r="P371" s="89" t="s">
        <v>4496</v>
      </c>
      <c r="Q371" s="89"/>
      <c r="R371" s="89" t="s">
        <v>144</v>
      </c>
      <c r="S371" s="89" t="s">
        <v>21694</v>
      </c>
      <c r="T371" s="89" t="s">
        <v>21695</v>
      </c>
      <c r="U371" s="89" t="str">
        <f>TRIM('Carga Tributária doenças Po (2'!$L371)</f>
        <v>RANELATO DE ESTRONCIO</v>
      </c>
      <c r="V371" s="89">
        <f>SUMIFS('Tabela Federal'!$E$4:$E$2069,'Tabela Federal'!$D$4:$D$2069,'Carga Tributária doenças Po (2'!$L371)</f>
        <v>1</v>
      </c>
      <c r="W371" s="89">
        <f>SUMIFS('Tabela Federal'!$E$4:$E$2069,'Tabela Federal'!$D$4:$D$2069,'Carga Tributária doenças Po (2'!$M371)</f>
        <v>0</v>
      </c>
      <c r="X371" s="89">
        <f>SUMIFS('Tabela Federal'!$E$4:$E$2069,'Tabela Federal'!$D$4:$D$2069,'Carga Tributária doenças Po (2'!$N371)</f>
        <v>0</v>
      </c>
      <c r="Y371" s="89">
        <f>SUMIFS('Tabela Federal'!$E$4:$E$2069,'Tabela Federal'!$D$4:$D$2069,'Carga Tributária doenças Po (2'!$O371)</f>
        <v>0</v>
      </c>
      <c r="Z371" s="92" t="str">
        <f>VLOOKUP('Carga Tributária doenças Po (2'!$AD371,'Carga Tributária doenças Po (2'!$CA$12:$CC$16,2,0)</f>
        <v>+</v>
      </c>
      <c r="AA371" s="89" t="s">
        <v>143</v>
      </c>
      <c r="AB371" s="89" t="s">
        <v>21895</v>
      </c>
      <c r="AC371" s="89" t="s">
        <v>21721</v>
      </c>
      <c r="AD371" s="93" t="s">
        <v>21722</v>
      </c>
      <c r="AE371" s="92" t="s">
        <v>2</v>
      </c>
      <c r="AF371" s="92" t="s">
        <v>23</v>
      </c>
      <c r="AG371" s="94">
        <v>47791</v>
      </c>
      <c r="AH371" s="95">
        <v>4854995</v>
      </c>
      <c r="AI371" s="95">
        <v>11105466.9</v>
      </c>
      <c r="AJ371" s="89" t="s">
        <v>146</v>
      </c>
      <c r="AK371" s="89">
        <f>IF('Carga Tributária doenças Po (2'!$Z371="+",0,SUMIFS(PISCOFINS!$I$3:$I$10518,PISCOFINS!$C$3:$C$10518,'Carga Tributária doenças Po (2'!$C371))</f>
        <v>0</v>
      </c>
      <c r="AL371" s="89">
        <f>IF('Carga Tributária doenças Po (2'!$Z371="+",0,SUMIFS(PISCOFINS!$H$3:$H$10518,PISCOFINS!$C$3:$C$10518,'Carga Tributária doenças Po (2'!$C371))</f>
        <v>0</v>
      </c>
      <c r="AM371" s="95">
        <v>3.27</v>
      </c>
      <c r="AN371" s="95">
        <v>3.12</v>
      </c>
      <c r="AO371" s="95">
        <v>1.35</v>
      </c>
      <c r="AP371" s="96">
        <v>18</v>
      </c>
      <c r="AQ371" s="96">
        <v>12</v>
      </c>
      <c r="AR371" s="96">
        <v>17</v>
      </c>
      <c r="AS371" s="97">
        <v>17</v>
      </c>
      <c r="AT371" s="97">
        <v>19</v>
      </c>
      <c r="AU371" s="97">
        <v>18</v>
      </c>
      <c r="AV371" s="97">
        <v>17</v>
      </c>
      <c r="AW371" s="97">
        <v>17</v>
      </c>
      <c r="AX371" s="97">
        <v>17</v>
      </c>
      <c r="AY371" s="97">
        <v>17</v>
      </c>
      <c r="AZ371" s="97">
        <v>17</v>
      </c>
      <c r="BA371" s="97">
        <v>17</v>
      </c>
      <c r="BB371" s="97">
        <v>17</v>
      </c>
      <c r="BC371" s="97">
        <v>17</v>
      </c>
      <c r="BD371" s="97">
        <v>17</v>
      </c>
      <c r="BE371" s="97">
        <v>17</v>
      </c>
      <c r="BF371" s="97">
        <f>+Tabela1107[[#This Row],[PIS]]+Tabela1107[[#This Row],[COFINS]]+Tabela1107[[#This Row],[CONTRIB. FOLHA]]+Tabela1107[[#This Row],[TRIBUTOS S/ LUCRO]]+Tabela1107[[#This Row],[OUTROS]]+Tabela1107[[#This Row],[SP]]</f>
        <v>25.740000000000002</v>
      </c>
      <c r="BG371" s="97">
        <f>+Tabela1107[[#This Row],[PIS]]+Tabela1107[[#This Row],[COFINS]]+Tabela1107[[#This Row],[CONTRIB. FOLHA]]+Tabela1107[[#This Row],[TRIBUTOS S/ LUCRO]]+Tabela1107[[#This Row],[OUTROS]]+Tabela1107[[#This Row],[PR]]</f>
        <v>19.740000000000002</v>
      </c>
      <c r="BH371" s="97">
        <f>+Tabela1107[[#This Row],[PIS]]+Tabela1107[[#This Row],[COFINS]]+Tabela1107[[#This Row],[CONTRIB. FOLHA]]+Tabela1107[[#This Row],[TRIBUTOS S/ LUCRO]]+Tabela1107[[#This Row],[OUTROS]]+Tabela1107[[#This Row],[SC]]</f>
        <v>24.740000000000002</v>
      </c>
      <c r="BI371" s="97">
        <f>+Tabela1107[[#This Row],[PIS]]+Tabela1107[[#This Row],[COFINS]]+Tabela1107[[#This Row],[CONTRIB. FOLHA]]+Tabela1107[[#This Row],[TRIBUTOS S/ LUCRO]]+Tabela1107[[#This Row],[OUTROS]]+Tabela1107[[#This Row],[RS]]</f>
        <v>24.740000000000002</v>
      </c>
      <c r="BJ371" s="97">
        <f>+Tabela1107[[#This Row],[PIS]]+Tabela1107[[#This Row],[COFINS]]+Tabela1107[[#This Row],[CONTRIB. FOLHA]]+Tabela1107[[#This Row],[TRIBUTOS S/ LUCRO]]+Tabela1107[[#This Row],[OUTROS]]+Tabela1107[[#This Row],[RJ]]</f>
        <v>26.740000000000002</v>
      </c>
      <c r="BK371" s="97">
        <f>+Tabela1107[[#This Row],[PIS]]+Tabela1107[[#This Row],[COFINS]]+Tabela1107[[#This Row],[CONTRIB. FOLHA]]+Tabela1107[[#This Row],[TRIBUTOS S/ LUCRO]]+Tabela1107[[#This Row],[OUTROS]]+Tabela1107[[#This Row],[MG]]</f>
        <v>25.740000000000002</v>
      </c>
      <c r="BL371" s="97">
        <f>+Tabela1107[[#This Row],[PIS]]+Tabela1107[[#This Row],[COFINS]]+Tabela1107[[#This Row],[CONTRIB. FOLHA]]+Tabela1107[[#This Row],[TRIBUTOS S/ LUCRO]]+Tabela1107[[#This Row],[OUTROS]]+Tabela1107[[#This Row],[ES]]</f>
        <v>24.740000000000002</v>
      </c>
      <c r="BM371" s="97">
        <f>+Tabela1107[[#This Row],[PIS]]+Tabela1107[[#This Row],[COFINS]]+Tabela1107[[#This Row],[CONTRIB. FOLHA]]+Tabela1107[[#This Row],[TRIBUTOS S/ LUCRO]]+Tabela1107[[#This Row],[OUTROS]]+Tabela1107[[#This Row],[GO]]</f>
        <v>24.740000000000002</v>
      </c>
      <c r="BN371" s="97">
        <f>+Tabela1107[[#This Row],[PIS]]+Tabela1107[[#This Row],[COFINS]]+Tabela1107[[#This Row],[CONTRIB. FOLHA]]+Tabela1107[[#This Row],[TRIBUTOS S/ LUCRO]]+Tabela1107[[#This Row],[OUTROS]]+Tabela1107[[#This Row],[MT]]</f>
        <v>24.740000000000002</v>
      </c>
      <c r="BO371" s="97">
        <f>+Tabela1107[[#This Row],[PIS]]+Tabela1107[[#This Row],[COFINS]]+Tabela1107[[#This Row],[CONTRIB. FOLHA]]+Tabela1107[[#This Row],[TRIBUTOS S/ LUCRO]]+Tabela1107[[#This Row],[OUTROS]]+Tabela1107[[#This Row],[MS]]</f>
        <v>24.740000000000002</v>
      </c>
      <c r="BP371" s="97">
        <f>+Tabela1107[[#This Row],[PIS]]+Tabela1107[[#This Row],[COFINS]]+Tabela1107[[#This Row],[CONTRIB. FOLHA]]+Tabela1107[[#This Row],[TRIBUTOS S/ LUCRO]]+Tabela1107[[#This Row],[OUTROS]]+Tabela1107[[#This Row],[DF]]</f>
        <v>24.740000000000002</v>
      </c>
      <c r="BQ371" s="97">
        <f>+Tabela1107[[#This Row],[PIS]]+Tabela1107[[#This Row],[COFINS]]+Tabela1107[[#This Row],[CONTRIB. FOLHA]]+Tabela1107[[#This Row],[TRIBUTOS S/ LUCRO]]+Tabela1107[[#This Row],[OUTROS]]+Tabela1107[[#This Row],[BA]]</f>
        <v>24.740000000000002</v>
      </c>
      <c r="BR371" s="97">
        <f>+Tabela1107[[#This Row],[PIS]]+Tabela1107[[#This Row],[COFINS]]+Tabela1107[[#This Row],[CONTRIB. FOLHA]]+Tabela1107[[#This Row],[TRIBUTOS S/ LUCRO]]+Tabela1107[[#This Row],[OUTROS]]+Tabela1107[[#This Row],[BA]]</f>
        <v>24.740000000000002</v>
      </c>
      <c r="BS371" s="97">
        <f>+Tabela1107[[#This Row],[PIS]]+Tabela1107[[#This Row],[COFINS]]+Tabela1107[[#This Row],[CONTRIB. FOLHA]]+Tabela1107[[#This Row],[TRIBUTOS S/ LUCRO]]+Tabela1107[[#This Row],[OUTROS]]+Tabela1107[[#This Row],[PE]]</f>
        <v>24.740000000000002</v>
      </c>
      <c r="BT371" s="97">
        <f>+Tabela1107[[#This Row],[PIS]]+Tabela1107[[#This Row],[COFINS]]+Tabela1107[[#This Row],[CONTRIB. FOLHA]]+Tabela1107[[#This Row],[TRIBUTOS S/ LUCRO]]+Tabela1107[[#This Row],[OUTROS]]+Tabela1107[[#This Row],[PA]]</f>
        <v>24.740000000000002</v>
      </c>
      <c r="BU371" s="97">
        <f>+Tabela1107[[#This Row],[PIS]]+Tabela1107[[#This Row],[COFINS]]+Tabela1107[[#This Row],[CONTRIB. FOLHA]]+Tabela1107[[#This Row],[TRIBUTOS S/ LUCRO]]+Tabela1107[[#This Row],[OUTROS]]+Tabela1107[[#This Row],[AM]]</f>
        <v>24.740000000000002</v>
      </c>
      <c r="BV371" s="97">
        <f>AVERAGE(Tabela1107[[#This Row],[TOTAL SP]:[TOTAL AM]])</f>
        <v>24.677500000000006</v>
      </c>
      <c r="BW371" s="97"/>
      <c r="BX371" s="97"/>
    </row>
    <row r="372" spans="2:76" x14ac:dyDescent="0.25">
      <c r="B372" s="89">
        <v>4525</v>
      </c>
      <c r="C372" s="91" t="s">
        <v>13177</v>
      </c>
      <c r="D372" s="89"/>
      <c r="E372" s="89">
        <v>20140626</v>
      </c>
      <c r="F372" s="89" t="s">
        <v>21378</v>
      </c>
      <c r="G372" s="89" t="s">
        <v>21379</v>
      </c>
      <c r="H372" s="89" t="s">
        <v>21380</v>
      </c>
      <c r="I372" s="89" t="s">
        <v>21381</v>
      </c>
      <c r="J372" s="89" t="s">
        <v>142</v>
      </c>
      <c r="K372" s="99" t="s">
        <v>2531</v>
      </c>
      <c r="L372" s="89" t="s">
        <v>2681</v>
      </c>
      <c r="M372" s="89" t="s">
        <v>4496</v>
      </c>
      <c r="N372" s="89" t="s">
        <v>4496</v>
      </c>
      <c r="O372" s="89" t="s">
        <v>4496</v>
      </c>
      <c r="P372" s="89" t="s">
        <v>4496</v>
      </c>
      <c r="Q372" s="89"/>
      <c r="R372" s="89" t="s">
        <v>144</v>
      </c>
      <c r="S372" s="89" t="s">
        <v>21694</v>
      </c>
      <c r="T372" s="89" t="s">
        <v>21695</v>
      </c>
      <c r="U372" s="89" t="str">
        <f>TRIM('Carga Tributária doenças Po (2'!$L372)</f>
        <v>RANELATO DE ESTRONCIO</v>
      </c>
      <c r="V372" s="89">
        <f>SUMIFS('Tabela Federal'!$E$4:$E$2069,'Tabela Federal'!$D$4:$D$2069,'Carga Tributária doenças Po (2'!$L372)</f>
        <v>1</v>
      </c>
      <c r="W372" s="89">
        <f>SUMIFS('Tabela Federal'!$E$4:$E$2069,'Tabela Federal'!$D$4:$D$2069,'Carga Tributária doenças Po (2'!$M372)</f>
        <v>0</v>
      </c>
      <c r="X372" s="89">
        <f>SUMIFS('Tabela Federal'!$E$4:$E$2069,'Tabela Federal'!$D$4:$D$2069,'Carga Tributária doenças Po (2'!$N372)</f>
        <v>0</v>
      </c>
      <c r="Y372" s="89">
        <f>SUMIFS('Tabela Federal'!$E$4:$E$2069,'Tabela Federal'!$D$4:$D$2069,'Carga Tributária doenças Po (2'!$O372)</f>
        <v>0</v>
      </c>
      <c r="Z372" s="92" t="str">
        <f>VLOOKUP('Carga Tributária doenças Po (2'!$AD372,'Carga Tributária doenças Po (2'!$CA$12:$CC$16,2,0)</f>
        <v>+</v>
      </c>
      <c r="AA372" s="89" t="s">
        <v>143</v>
      </c>
      <c r="AB372" s="89" t="s">
        <v>21895</v>
      </c>
      <c r="AC372" s="89" t="s">
        <v>21721</v>
      </c>
      <c r="AD372" s="93" t="s">
        <v>21722</v>
      </c>
      <c r="AE372" s="92" t="s">
        <v>2</v>
      </c>
      <c r="AF372" s="92" t="s">
        <v>23</v>
      </c>
      <c r="AG372" s="94">
        <v>262610</v>
      </c>
      <c r="AH372" s="95">
        <v>13351309</v>
      </c>
      <c r="AI372" s="95">
        <v>30459926.989999998</v>
      </c>
      <c r="AJ372" s="89" t="s">
        <v>146</v>
      </c>
      <c r="AK372" s="89">
        <f>IF('Carga Tributária doenças Po (2'!$Z372="+",0,SUMIFS(PISCOFINS!$I$3:$I$10518,PISCOFINS!$C$3:$C$10518,'Carga Tributária doenças Po (2'!$C372))</f>
        <v>0</v>
      </c>
      <c r="AL372" s="89">
        <f>IF('Carga Tributária doenças Po (2'!$Z372="+",0,SUMIFS(PISCOFINS!$H$3:$H$10518,PISCOFINS!$C$3:$C$10518,'Carga Tributária doenças Po (2'!$C372))</f>
        <v>0</v>
      </c>
      <c r="AM372" s="95">
        <v>3.27</v>
      </c>
      <c r="AN372" s="95">
        <v>3.12</v>
      </c>
      <c r="AO372" s="95">
        <v>1.35</v>
      </c>
      <c r="AP372" s="96">
        <v>18</v>
      </c>
      <c r="AQ372" s="96">
        <v>12</v>
      </c>
      <c r="AR372" s="96">
        <v>17</v>
      </c>
      <c r="AS372" s="97">
        <v>17</v>
      </c>
      <c r="AT372" s="97">
        <v>19</v>
      </c>
      <c r="AU372" s="97">
        <v>18</v>
      </c>
      <c r="AV372" s="97">
        <v>17</v>
      </c>
      <c r="AW372" s="97">
        <v>17</v>
      </c>
      <c r="AX372" s="97">
        <v>17</v>
      </c>
      <c r="AY372" s="97">
        <v>17</v>
      </c>
      <c r="AZ372" s="97">
        <v>17</v>
      </c>
      <c r="BA372" s="97">
        <v>17</v>
      </c>
      <c r="BB372" s="97">
        <v>17</v>
      </c>
      <c r="BC372" s="97">
        <v>17</v>
      </c>
      <c r="BD372" s="97">
        <v>17</v>
      </c>
      <c r="BE372" s="97">
        <v>17</v>
      </c>
      <c r="BF372" s="97">
        <f>+Tabela1107[[#This Row],[PIS]]+Tabela1107[[#This Row],[COFINS]]+Tabela1107[[#This Row],[CONTRIB. FOLHA]]+Tabela1107[[#This Row],[TRIBUTOS S/ LUCRO]]+Tabela1107[[#This Row],[OUTROS]]+Tabela1107[[#This Row],[SP]]</f>
        <v>25.740000000000002</v>
      </c>
      <c r="BG372" s="97">
        <f>+Tabela1107[[#This Row],[PIS]]+Tabela1107[[#This Row],[COFINS]]+Tabela1107[[#This Row],[CONTRIB. FOLHA]]+Tabela1107[[#This Row],[TRIBUTOS S/ LUCRO]]+Tabela1107[[#This Row],[OUTROS]]+Tabela1107[[#This Row],[PR]]</f>
        <v>19.740000000000002</v>
      </c>
      <c r="BH372" s="97">
        <f>+Tabela1107[[#This Row],[PIS]]+Tabela1107[[#This Row],[COFINS]]+Tabela1107[[#This Row],[CONTRIB. FOLHA]]+Tabela1107[[#This Row],[TRIBUTOS S/ LUCRO]]+Tabela1107[[#This Row],[OUTROS]]+Tabela1107[[#This Row],[SC]]</f>
        <v>24.740000000000002</v>
      </c>
      <c r="BI372" s="97">
        <f>+Tabela1107[[#This Row],[PIS]]+Tabela1107[[#This Row],[COFINS]]+Tabela1107[[#This Row],[CONTRIB. FOLHA]]+Tabela1107[[#This Row],[TRIBUTOS S/ LUCRO]]+Tabela1107[[#This Row],[OUTROS]]+Tabela1107[[#This Row],[RS]]</f>
        <v>24.740000000000002</v>
      </c>
      <c r="BJ372" s="97">
        <f>+Tabela1107[[#This Row],[PIS]]+Tabela1107[[#This Row],[COFINS]]+Tabela1107[[#This Row],[CONTRIB. FOLHA]]+Tabela1107[[#This Row],[TRIBUTOS S/ LUCRO]]+Tabela1107[[#This Row],[OUTROS]]+Tabela1107[[#This Row],[RJ]]</f>
        <v>26.740000000000002</v>
      </c>
      <c r="BK372" s="97">
        <f>+Tabela1107[[#This Row],[PIS]]+Tabela1107[[#This Row],[COFINS]]+Tabela1107[[#This Row],[CONTRIB. FOLHA]]+Tabela1107[[#This Row],[TRIBUTOS S/ LUCRO]]+Tabela1107[[#This Row],[OUTROS]]+Tabela1107[[#This Row],[MG]]</f>
        <v>25.740000000000002</v>
      </c>
      <c r="BL372" s="97">
        <f>+Tabela1107[[#This Row],[PIS]]+Tabela1107[[#This Row],[COFINS]]+Tabela1107[[#This Row],[CONTRIB. FOLHA]]+Tabela1107[[#This Row],[TRIBUTOS S/ LUCRO]]+Tabela1107[[#This Row],[OUTROS]]+Tabela1107[[#This Row],[ES]]</f>
        <v>24.740000000000002</v>
      </c>
      <c r="BM372" s="97">
        <f>+Tabela1107[[#This Row],[PIS]]+Tabela1107[[#This Row],[COFINS]]+Tabela1107[[#This Row],[CONTRIB. FOLHA]]+Tabela1107[[#This Row],[TRIBUTOS S/ LUCRO]]+Tabela1107[[#This Row],[OUTROS]]+Tabela1107[[#This Row],[GO]]</f>
        <v>24.740000000000002</v>
      </c>
      <c r="BN372" s="97">
        <f>+Tabela1107[[#This Row],[PIS]]+Tabela1107[[#This Row],[COFINS]]+Tabela1107[[#This Row],[CONTRIB. FOLHA]]+Tabela1107[[#This Row],[TRIBUTOS S/ LUCRO]]+Tabela1107[[#This Row],[OUTROS]]+Tabela1107[[#This Row],[MT]]</f>
        <v>24.740000000000002</v>
      </c>
      <c r="BO372" s="97">
        <f>+Tabela1107[[#This Row],[PIS]]+Tabela1107[[#This Row],[COFINS]]+Tabela1107[[#This Row],[CONTRIB. FOLHA]]+Tabela1107[[#This Row],[TRIBUTOS S/ LUCRO]]+Tabela1107[[#This Row],[OUTROS]]+Tabela1107[[#This Row],[MS]]</f>
        <v>24.740000000000002</v>
      </c>
      <c r="BP372" s="97">
        <f>+Tabela1107[[#This Row],[PIS]]+Tabela1107[[#This Row],[COFINS]]+Tabela1107[[#This Row],[CONTRIB. FOLHA]]+Tabela1107[[#This Row],[TRIBUTOS S/ LUCRO]]+Tabela1107[[#This Row],[OUTROS]]+Tabela1107[[#This Row],[DF]]</f>
        <v>24.740000000000002</v>
      </c>
      <c r="BQ372" s="97">
        <f>+Tabela1107[[#This Row],[PIS]]+Tabela1107[[#This Row],[COFINS]]+Tabela1107[[#This Row],[CONTRIB. FOLHA]]+Tabela1107[[#This Row],[TRIBUTOS S/ LUCRO]]+Tabela1107[[#This Row],[OUTROS]]+Tabela1107[[#This Row],[BA]]</f>
        <v>24.740000000000002</v>
      </c>
      <c r="BR372" s="97">
        <f>+Tabela1107[[#This Row],[PIS]]+Tabela1107[[#This Row],[COFINS]]+Tabela1107[[#This Row],[CONTRIB. FOLHA]]+Tabela1107[[#This Row],[TRIBUTOS S/ LUCRO]]+Tabela1107[[#This Row],[OUTROS]]+Tabela1107[[#This Row],[BA]]</f>
        <v>24.740000000000002</v>
      </c>
      <c r="BS372" s="97">
        <f>+Tabela1107[[#This Row],[PIS]]+Tabela1107[[#This Row],[COFINS]]+Tabela1107[[#This Row],[CONTRIB. FOLHA]]+Tabela1107[[#This Row],[TRIBUTOS S/ LUCRO]]+Tabela1107[[#This Row],[OUTROS]]+Tabela1107[[#This Row],[PE]]</f>
        <v>24.740000000000002</v>
      </c>
      <c r="BT372" s="97">
        <f>+Tabela1107[[#This Row],[PIS]]+Tabela1107[[#This Row],[COFINS]]+Tabela1107[[#This Row],[CONTRIB. FOLHA]]+Tabela1107[[#This Row],[TRIBUTOS S/ LUCRO]]+Tabela1107[[#This Row],[OUTROS]]+Tabela1107[[#This Row],[PA]]</f>
        <v>24.740000000000002</v>
      </c>
      <c r="BU372" s="97">
        <f>+Tabela1107[[#This Row],[PIS]]+Tabela1107[[#This Row],[COFINS]]+Tabela1107[[#This Row],[CONTRIB. FOLHA]]+Tabela1107[[#This Row],[TRIBUTOS S/ LUCRO]]+Tabela1107[[#This Row],[OUTROS]]+Tabela1107[[#This Row],[AM]]</f>
        <v>24.740000000000002</v>
      </c>
      <c r="BV372" s="97">
        <f>AVERAGE(Tabela1107[[#This Row],[TOTAL SP]:[TOTAL AM]])</f>
        <v>24.677500000000006</v>
      </c>
      <c r="BW372" s="97"/>
      <c r="BX372" s="97"/>
    </row>
    <row r="373" spans="2:76" x14ac:dyDescent="0.25">
      <c r="B373" s="89">
        <v>16268</v>
      </c>
      <c r="C373" s="91" t="s">
        <v>13133</v>
      </c>
      <c r="D373" s="91"/>
      <c r="E373" s="89">
        <v>20140626</v>
      </c>
      <c r="F373" s="89" t="s">
        <v>21558</v>
      </c>
      <c r="G373" s="89" t="s">
        <v>21559</v>
      </c>
      <c r="H373" s="89" t="s">
        <v>21560</v>
      </c>
      <c r="I373" s="89" t="s">
        <v>21561</v>
      </c>
      <c r="J373" s="66" t="s">
        <v>21907</v>
      </c>
      <c r="K373" s="89"/>
      <c r="L373" s="91"/>
      <c r="M373" s="89"/>
      <c r="N373" s="89"/>
      <c r="O373" s="89"/>
      <c r="P373" s="89"/>
      <c r="Q373" s="89"/>
      <c r="R373" s="89" t="s">
        <v>21922</v>
      </c>
      <c r="S373" s="89" t="s">
        <v>21710</v>
      </c>
      <c r="T373" s="89" t="s">
        <v>21711</v>
      </c>
      <c r="U373" s="91" t="str">
        <f>TRIM('Carga Tributária doenças Po (2'!$L373)</f>
        <v/>
      </c>
      <c r="V373" s="91">
        <f>SUMIFS('Tabela Federal'!$E$4:$E$2069,'Tabela Federal'!$D$4:$D$2069,'Carga Tributária doenças Po (2'!$L373)</f>
        <v>0</v>
      </c>
      <c r="W373" s="91">
        <f>SUMIFS('Tabela Federal'!$E$4:$E$2069,'Tabela Federal'!$D$4:$D$2069,'Carga Tributária doenças Po (2'!$M373)</f>
        <v>0</v>
      </c>
      <c r="X373" s="91">
        <f>SUMIFS('Tabela Federal'!$E$4:$E$2069,'Tabela Federal'!$D$4:$D$2069,'Carga Tributária doenças Po (2'!$N373)</f>
        <v>0</v>
      </c>
      <c r="Y373" s="91">
        <f>SUMIFS('Tabela Federal'!$E$4:$E$2069,'Tabela Federal'!$D$4:$D$2069,'Carga Tributária doenças Po (2'!$O373)</f>
        <v>0</v>
      </c>
      <c r="Z373" s="102" t="str">
        <f>VLOOKUP('Carga Tributária doenças Po (2'!$AD373,'Carga Tributária doenças Po (2'!$CA$12:$CC$16,2,0)</f>
        <v>-</v>
      </c>
      <c r="AA373" s="103"/>
      <c r="AB373" s="89" t="s">
        <v>21908</v>
      </c>
      <c r="AC373" s="89" t="s">
        <v>21740</v>
      </c>
      <c r="AD373" s="93" t="s">
        <v>19523</v>
      </c>
      <c r="AE373" s="92" t="s">
        <v>4</v>
      </c>
      <c r="AF373" s="92"/>
      <c r="AG373" s="94">
        <v>2</v>
      </c>
      <c r="AH373" s="95">
        <v>100</v>
      </c>
      <c r="AI373" s="95">
        <v>200</v>
      </c>
      <c r="AJ373" s="89" t="s">
        <v>203</v>
      </c>
      <c r="AK373" s="91">
        <f>IF('Carga Tributária doenças Po (2'!$Z373="+",0,SUMIFS(PISCOFINS!$I$3:$I$10518,PISCOFINS!$C$3:$C$10518,'Carga Tributária doenças Po (2'!$C373))</f>
        <v>2.1</v>
      </c>
      <c r="AL373" s="91">
        <f>IF('Carga Tributária doenças Po (2'!$Z373="+",0,SUMIFS(PISCOFINS!$H$3:$H$10518,PISCOFINS!$C$3:$C$10518,'Carga Tributária doenças Po (2'!$C373))</f>
        <v>9.9</v>
      </c>
      <c r="AM373" s="104">
        <v>3.27</v>
      </c>
      <c r="AN373" s="104">
        <v>3.12</v>
      </c>
      <c r="AO373" s="104">
        <v>1.35</v>
      </c>
      <c r="AP373" s="96">
        <v>18</v>
      </c>
      <c r="AQ373" s="97">
        <v>12</v>
      </c>
      <c r="AR373" s="96">
        <v>17</v>
      </c>
      <c r="AS373" s="97">
        <v>17</v>
      </c>
      <c r="AT373" s="97">
        <v>19</v>
      </c>
      <c r="AU373" s="97">
        <v>18</v>
      </c>
      <c r="AV373" s="97">
        <v>17</v>
      </c>
      <c r="AW373" s="97">
        <v>17</v>
      </c>
      <c r="AX373" s="97">
        <v>17</v>
      </c>
      <c r="AY373" s="97">
        <v>17</v>
      </c>
      <c r="AZ373" s="97">
        <v>17</v>
      </c>
      <c r="BA373" s="97">
        <v>17</v>
      </c>
      <c r="BB373" s="97">
        <v>17</v>
      </c>
      <c r="BC373" s="97">
        <v>17</v>
      </c>
      <c r="BD373" s="97">
        <v>17</v>
      </c>
      <c r="BE373" s="97">
        <v>17</v>
      </c>
      <c r="BF373" s="97">
        <f>+Tabela1107[[#This Row],[PIS]]+Tabela1107[[#This Row],[COFINS]]+Tabela1107[[#This Row],[CONTRIB. FOLHA]]+Tabela1107[[#This Row],[TRIBUTOS S/ LUCRO]]+Tabela1107[[#This Row],[OUTROS]]+Tabela1107[[#This Row],[SP]]</f>
        <v>37.74</v>
      </c>
      <c r="BG373" s="97">
        <f>+Tabela1107[[#This Row],[PIS]]+Tabela1107[[#This Row],[COFINS]]+Tabela1107[[#This Row],[CONTRIB. FOLHA]]+Tabela1107[[#This Row],[TRIBUTOS S/ LUCRO]]+Tabela1107[[#This Row],[OUTROS]]+Tabela1107[[#This Row],[PR]]</f>
        <v>31.740000000000002</v>
      </c>
      <c r="BH373" s="97">
        <f>+Tabela1107[[#This Row],[PIS]]+Tabela1107[[#This Row],[COFINS]]+Tabela1107[[#This Row],[CONTRIB. FOLHA]]+Tabela1107[[#This Row],[TRIBUTOS S/ LUCRO]]+Tabela1107[[#This Row],[OUTROS]]+Tabela1107[[#This Row],[SC]]</f>
        <v>36.74</v>
      </c>
      <c r="BI373" s="97">
        <f>+Tabela1107[[#This Row],[PIS]]+Tabela1107[[#This Row],[COFINS]]+Tabela1107[[#This Row],[CONTRIB. FOLHA]]+Tabela1107[[#This Row],[TRIBUTOS S/ LUCRO]]+Tabela1107[[#This Row],[OUTROS]]+Tabela1107[[#This Row],[RS]]</f>
        <v>36.74</v>
      </c>
      <c r="BJ373" s="97">
        <f>+Tabela1107[[#This Row],[PIS]]+Tabela1107[[#This Row],[COFINS]]+Tabela1107[[#This Row],[CONTRIB. FOLHA]]+Tabela1107[[#This Row],[TRIBUTOS S/ LUCRO]]+Tabela1107[[#This Row],[OUTROS]]+Tabela1107[[#This Row],[RJ]]</f>
        <v>38.74</v>
      </c>
      <c r="BK373" s="97">
        <f>+Tabela1107[[#This Row],[PIS]]+Tabela1107[[#This Row],[COFINS]]+Tabela1107[[#This Row],[CONTRIB. FOLHA]]+Tabela1107[[#This Row],[TRIBUTOS S/ LUCRO]]+Tabela1107[[#This Row],[OUTROS]]+Tabela1107[[#This Row],[MG]]</f>
        <v>37.74</v>
      </c>
      <c r="BL373" s="97">
        <f>+Tabela1107[[#This Row],[PIS]]+Tabela1107[[#This Row],[COFINS]]+Tabela1107[[#This Row],[CONTRIB. FOLHA]]+Tabela1107[[#This Row],[TRIBUTOS S/ LUCRO]]+Tabela1107[[#This Row],[OUTROS]]+Tabela1107[[#This Row],[ES]]</f>
        <v>36.74</v>
      </c>
      <c r="BM373" s="97">
        <f>+Tabela1107[[#This Row],[PIS]]+Tabela1107[[#This Row],[COFINS]]+Tabela1107[[#This Row],[CONTRIB. FOLHA]]+Tabela1107[[#This Row],[TRIBUTOS S/ LUCRO]]+Tabela1107[[#This Row],[OUTROS]]+Tabela1107[[#This Row],[GO]]</f>
        <v>36.74</v>
      </c>
      <c r="BN373" s="97">
        <f>+Tabela1107[[#This Row],[PIS]]+Tabela1107[[#This Row],[COFINS]]+Tabela1107[[#This Row],[CONTRIB. FOLHA]]+Tabela1107[[#This Row],[TRIBUTOS S/ LUCRO]]+Tabela1107[[#This Row],[OUTROS]]+Tabela1107[[#This Row],[MT]]</f>
        <v>36.74</v>
      </c>
      <c r="BO373" s="97">
        <f>+Tabela1107[[#This Row],[PIS]]+Tabela1107[[#This Row],[COFINS]]+Tabela1107[[#This Row],[CONTRIB. FOLHA]]+Tabela1107[[#This Row],[TRIBUTOS S/ LUCRO]]+Tabela1107[[#This Row],[OUTROS]]+Tabela1107[[#This Row],[MS]]</f>
        <v>36.74</v>
      </c>
      <c r="BP373" s="97">
        <f>+Tabela1107[[#This Row],[PIS]]+Tabela1107[[#This Row],[COFINS]]+Tabela1107[[#This Row],[CONTRIB. FOLHA]]+Tabela1107[[#This Row],[TRIBUTOS S/ LUCRO]]+Tabela1107[[#This Row],[OUTROS]]+Tabela1107[[#This Row],[DF]]</f>
        <v>36.74</v>
      </c>
      <c r="BQ373" s="97">
        <f>+Tabela1107[[#This Row],[PIS]]+Tabela1107[[#This Row],[COFINS]]+Tabela1107[[#This Row],[CONTRIB. FOLHA]]+Tabela1107[[#This Row],[TRIBUTOS S/ LUCRO]]+Tabela1107[[#This Row],[OUTROS]]+Tabela1107[[#This Row],[BA]]</f>
        <v>36.74</v>
      </c>
      <c r="BR373" s="97">
        <f>+Tabela1107[[#This Row],[PIS]]+Tabela1107[[#This Row],[COFINS]]+Tabela1107[[#This Row],[CONTRIB. FOLHA]]+Tabela1107[[#This Row],[TRIBUTOS S/ LUCRO]]+Tabela1107[[#This Row],[OUTROS]]+Tabela1107[[#This Row],[BA]]</f>
        <v>36.74</v>
      </c>
      <c r="BS373" s="97">
        <f>+Tabela1107[[#This Row],[PIS]]+Tabela1107[[#This Row],[COFINS]]+Tabela1107[[#This Row],[CONTRIB. FOLHA]]+Tabela1107[[#This Row],[TRIBUTOS S/ LUCRO]]+Tabela1107[[#This Row],[OUTROS]]+Tabela1107[[#This Row],[PE]]</f>
        <v>36.74</v>
      </c>
      <c r="BT373" s="97">
        <f>+Tabela1107[[#This Row],[PIS]]+Tabela1107[[#This Row],[COFINS]]+Tabela1107[[#This Row],[CONTRIB. FOLHA]]+Tabela1107[[#This Row],[TRIBUTOS S/ LUCRO]]+Tabela1107[[#This Row],[OUTROS]]+Tabela1107[[#This Row],[PA]]</f>
        <v>36.74</v>
      </c>
      <c r="BU373" s="97">
        <f>+Tabela1107[[#This Row],[PIS]]+Tabela1107[[#This Row],[COFINS]]+Tabela1107[[#This Row],[CONTRIB. FOLHA]]+Tabela1107[[#This Row],[TRIBUTOS S/ LUCRO]]+Tabela1107[[#This Row],[OUTROS]]+Tabela1107[[#This Row],[AM]]</f>
        <v>36.74</v>
      </c>
      <c r="BV373" s="97">
        <f>AVERAGE(Tabela1107[[#This Row],[TOTAL SP]:[TOTAL AM]])</f>
        <v>36.677500000000002</v>
      </c>
      <c r="BW373" s="97"/>
      <c r="BX373" s="97"/>
    </row>
    <row r="374" spans="2:76" x14ac:dyDescent="0.25">
      <c r="B374" s="89">
        <v>12261</v>
      </c>
      <c r="C374" s="91" t="s">
        <v>13183</v>
      </c>
      <c r="D374" s="89"/>
      <c r="E374" s="89">
        <v>20140626</v>
      </c>
      <c r="F374" s="89" t="s">
        <v>21399</v>
      </c>
      <c r="G374" s="89" t="s">
        <v>21400</v>
      </c>
      <c r="H374" s="89" t="s">
        <v>21401</v>
      </c>
      <c r="I374" s="89" t="s">
        <v>21402</v>
      </c>
      <c r="J374" s="89" t="s">
        <v>551</v>
      </c>
      <c r="K374" s="99" t="s">
        <v>2529</v>
      </c>
      <c r="L374" s="89" t="s">
        <v>2683</v>
      </c>
      <c r="M374" s="89" t="s">
        <v>4496</v>
      </c>
      <c r="N374" s="89" t="s">
        <v>4496</v>
      </c>
      <c r="O374" s="89" t="s">
        <v>4496</v>
      </c>
      <c r="P374" s="89" t="s">
        <v>4496</v>
      </c>
      <c r="Q374" s="89"/>
      <c r="R374" s="89" t="s">
        <v>58</v>
      </c>
      <c r="S374" s="89" t="s">
        <v>21572</v>
      </c>
      <c r="T374" s="89" t="s">
        <v>21573</v>
      </c>
      <c r="U374" s="89" t="str">
        <f>TRIM('Carga Tributária doenças Po (2'!$L374)</f>
        <v>ELETROLITOS</v>
      </c>
      <c r="V374" s="89">
        <f>SUMIFS('Tabela Federal'!$E$4:$E$2069,'Tabela Federal'!$D$4:$D$2069,'Carga Tributária doenças Po (2'!$L374)</f>
        <v>0</v>
      </c>
      <c r="W374" s="89">
        <f>SUMIFS('Tabela Federal'!$E$4:$E$2069,'Tabela Federal'!$D$4:$D$2069,'Carga Tributária doenças Po (2'!$M374)</f>
        <v>0</v>
      </c>
      <c r="X374" s="89">
        <f>SUMIFS('Tabela Federal'!$E$4:$E$2069,'Tabela Federal'!$D$4:$D$2069,'Carga Tributária doenças Po (2'!$N374)</f>
        <v>0</v>
      </c>
      <c r="Y374" s="89">
        <f>SUMIFS('Tabela Federal'!$E$4:$E$2069,'Tabela Federal'!$D$4:$D$2069,'Carga Tributária doenças Po (2'!$O374)</f>
        <v>0</v>
      </c>
      <c r="Z374" s="92" t="str">
        <f>VLOOKUP('Carga Tributária doenças Po (2'!$AD374,'Carga Tributária doenças Po (2'!$CA$12:$CC$16,2,0)</f>
        <v>-</v>
      </c>
      <c r="AA374" s="89" t="s">
        <v>105</v>
      </c>
      <c r="AB374" s="89" t="s">
        <v>21882</v>
      </c>
      <c r="AC374" s="89" t="s">
        <v>21740</v>
      </c>
      <c r="AD374" s="93" t="s">
        <v>19523</v>
      </c>
      <c r="AE374" s="92" t="s">
        <v>4</v>
      </c>
      <c r="AF374" s="92" t="s">
        <v>3</v>
      </c>
      <c r="AG374" s="94">
        <v>201664</v>
      </c>
      <c r="AH374" s="95">
        <v>1218791</v>
      </c>
      <c r="AI374" s="95">
        <v>2788053</v>
      </c>
      <c r="AJ374" s="89" t="s">
        <v>549</v>
      </c>
      <c r="AK374" s="89">
        <f>IF('Carga Tributária doenças Po (2'!$Z374="+",0,SUMIFS(PISCOFINS!$I$3:$I$10518,PISCOFINS!$C$3:$C$10518,'Carga Tributária doenças Po (2'!$C374))</f>
        <v>2.1</v>
      </c>
      <c r="AL374" s="89">
        <f>IF('Carga Tributária doenças Po (2'!$Z374="+",0,SUMIFS(PISCOFINS!$H$3:$H$10518,PISCOFINS!$C$3:$C$10518,'Carga Tributária doenças Po (2'!$C374))</f>
        <v>9.9</v>
      </c>
      <c r="AM374" s="95">
        <v>3.27</v>
      </c>
      <c r="AN374" s="95">
        <v>3.12</v>
      </c>
      <c r="AO374" s="95">
        <v>1.35</v>
      </c>
      <c r="AP374" s="96">
        <v>18</v>
      </c>
      <c r="AQ374" s="96">
        <v>12</v>
      </c>
      <c r="AR374" s="96">
        <v>17</v>
      </c>
      <c r="AS374" s="97">
        <v>17</v>
      </c>
      <c r="AT374" s="97">
        <v>19</v>
      </c>
      <c r="AU374" s="97">
        <v>18</v>
      </c>
      <c r="AV374" s="97">
        <v>17</v>
      </c>
      <c r="AW374" s="97">
        <v>17</v>
      </c>
      <c r="AX374" s="97">
        <v>17</v>
      </c>
      <c r="AY374" s="97">
        <v>17</v>
      </c>
      <c r="AZ374" s="97">
        <v>17</v>
      </c>
      <c r="BA374" s="97">
        <v>17</v>
      </c>
      <c r="BB374" s="97">
        <v>17</v>
      </c>
      <c r="BC374" s="97">
        <v>17</v>
      </c>
      <c r="BD374" s="97">
        <v>17</v>
      </c>
      <c r="BE374" s="97">
        <v>17</v>
      </c>
      <c r="BF374" s="97">
        <f>+Tabela1107[[#This Row],[PIS]]+Tabela1107[[#This Row],[COFINS]]+Tabela1107[[#This Row],[CONTRIB. FOLHA]]+Tabela1107[[#This Row],[TRIBUTOS S/ LUCRO]]+Tabela1107[[#This Row],[OUTROS]]+Tabela1107[[#This Row],[SP]]</f>
        <v>37.74</v>
      </c>
      <c r="BG374" s="97">
        <f>+Tabela1107[[#This Row],[PIS]]+Tabela1107[[#This Row],[COFINS]]+Tabela1107[[#This Row],[CONTRIB. FOLHA]]+Tabela1107[[#This Row],[TRIBUTOS S/ LUCRO]]+Tabela1107[[#This Row],[OUTROS]]+Tabela1107[[#This Row],[PR]]</f>
        <v>31.740000000000002</v>
      </c>
      <c r="BH374" s="97">
        <f>+Tabela1107[[#This Row],[PIS]]+Tabela1107[[#This Row],[COFINS]]+Tabela1107[[#This Row],[CONTRIB. FOLHA]]+Tabela1107[[#This Row],[TRIBUTOS S/ LUCRO]]+Tabela1107[[#This Row],[OUTROS]]+Tabela1107[[#This Row],[SC]]</f>
        <v>36.74</v>
      </c>
      <c r="BI374" s="97">
        <f>+Tabela1107[[#This Row],[PIS]]+Tabela1107[[#This Row],[COFINS]]+Tabela1107[[#This Row],[CONTRIB. FOLHA]]+Tabela1107[[#This Row],[TRIBUTOS S/ LUCRO]]+Tabela1107[[#This Row],[OUTROS]]+Tabela1107[[#This Row],[RS]]</f>
        <v>36.74</v>
      </c>
      <c r="BJ374" s="97">
        <f>+Tabela1107[[#This Row],[PIS]]+Tabela1107[[#This Row],[COFINS]]+Tabela1107[[#This Row],[CONTRIB. FOLHA]]+Tabela1107[[#This Row],[TRIBUTOS S/ LUCRO]]+Tabela1107[[#This Row],[OUTROS]]+Tabela1107[[#This Row],[RJ]]</f>
        <v>38.74</v>
      </c>
      <c r="BK374" s="97">
        <f>+Tabela1107[[#This Row],[PIS]]+Tabela1107[[#This Row],[COFINS]]+Tabela1107[[#This Row],[CONTRIB. FOLHA]]+Tabela1107[[#This Row],[TRIBUTOS S/ LUCRO]]+Tabela1107[[#This Row],[OUTROS]]+Tabela1107[[#This Row],[MG]]</f>
        <v>37.74</v>
      </c>
      <c r="BL374" s="97">
        <f>+Tabela1107[[#This Row],[PIS]]+Tabela1107[[#This Row],[COFINS]]+Tabela1107[[#This Row],[CONTRIB. FOLHA]]+Tabela1107[[#This Row],[TRIBUTOS S/ LUCRO]]+Tabela1107[[#This Row],[OUTROS]]+Tabela1107[[#This Row],[ES]]</f>
        <v>36.74</v>
      </c>
      <c r="BM374" s="97">
        <f>+Tabela1107[[#This Row],[PIS]]+Tabela1107[[#This Row],[COFINS]]+Tabela1107[[#This Row],[CONTRIB. FOLHA]]+Tabela1107[[#This Row],[TRIBUTOS S/ LUCRO]]+Tabela1107[[#This Row],[OUTROS]]+Tabela1107[[#This Row],[GO]]</f>
        <v>36.74</v>
      </c>
      <c r="BN374" s="97">
        <f>+Tabela1107[[#This Row],[PIS]]+Tabela1107[[#This Row],[COFINS]]+Tabela1107[[#This Row],[CONTRIB. FOLHA]]+Tabela1107[[#This Row],[TRIBUTOS S/ LUCRO]]+Tabela1107[[#This Row],[OUTROS]]+Tabela1107[[#This Row],[MT]]</f>
        <v>36.74</v>
      </c>
      <c r="BO374" s="97">
        <f>+Tabela1107[[#This Row],[PIS]]+Tabela1107[[#This Row],[COFINS]]+Tabela1107[[#This Row],[CONTRIB. FOLHA]]+Tabela1107[[#This Row],[TRIBUTOS S/ LUCRO]]+Tabela1107[[#This Row],[OUTROS]]+Tabela1107[[#This Row],[MS]]</f>
        <v>36.74</v>
      </c>
      <c r="BP374" s="97">
        <f>+Tabela1107[[#This Row],[PIS]]+Tabela1107[[#This Row],[COFINS]]+Tabela1107[[#This Row],[CONTRIB. FOLHA]]+Tabela1107[[#This Row],[TRIBUTOS S/ LUCRO]]+Tabela1107[[#This Row],[OUTROS]]+Tabela1107[[#This Row],[DF]]</f>
        <v>36.74</v>
      </c>
      <c r="BQ374" s="97">
        <f>+Tabela1107[[#This Row],[PIS]]+Tabela1107[[#This Row],[COFINS]]+Tabela1107[[#This Row],[CONTRIB. FOLHA]]+Tabela1107[[#This Row],[TRIBUTOS S/ LUCRO]]+Tabela1107[[#This Row],[OUTROS]]+Tabela1107[[#This Row],[BA]]</f>
        <v>36.74</v>
      </c>
      <c r="BR374" s="97">
        <f>+Tabela1107[[#This Row],[PIS]]+Tabela1107[[#This Row],[COFINS]]+Tabela1107[[#This Row],[CONTRIB. FOLHA]]+Tabela1107[[#This Row],[TRIBUTOS S/ LUCRO]]+Tabela1107[[#This Row],[OUTROS]]+Tabela1107[[#This Row],[BA]]</f>
        <v>36.74</v>
      </c>
      <c r="BS374" s="97">
        <f>+Tabela1107[[#This Row],[PIS]]+Tabela1107[[#This Row],[COFINS]]+Tabela1107[[#This Row],[CONTRIB. FOLHA]]+Tabela1107[[#This Row],[TRIBUTOS S/ LUCRO]]+Tabela1107[[#This Row],[OUTROS]]+Tabela1107[[#This Row],[PE]]</f>
        <v>36.74</v>
      </c>
      <c r="BT374" s="97">
        <f>+Tabela1107[[#This Row],[PIS]]+Tabela1107[[#This Row],[COFINS]]+Tabela1107[[#This Row],[CONTRIB. FOLHA]]+Tabela1107[[#This Row],[TRIBUTOS S/ LUCRO]]+Tabela1107[[#This Row],[OUTROS]]+Tabela1107[[#This Row],[PA]]</f>
        <v>36.74</v>
      </c>
      <c r="BU374" s="97">
        <f>+Tabela1107[[#This Row],[PIS]]+Tabela1107[[#This Row],[COFINS]]+Tabela1107[[#This Row],[CONTRIB. FOLHA]]+Tabela1107[[#This Row],[TRIBUTOS S/ LUCRO]]+Tabela1107[[#This Row],[OUTROS]]+Tabela1107[[#This Row],[AM]]</f>
        <v>36.74</v>
      </c>
      <c r="BV374" s="97">
        <f>AVERAGE(Tabela1107[[#This Row],[TOTAL SP]:[TOTAL AM]])</f>
        <v>36.677500000000002</v>
      </c>
      <c r="BW374" s="97"/>
      <c r="BX374" s="97"/>
    </row>
    <row r="375" spans="2:76" x14ac:dyDescent="0.25">
      <c r="B375" s="89">
        <v>4869</v>
      </c>
      <c r="C375" s="91" t="s">
        <v>13183</v>
      </c>
      <c r="D375" s="89"/>
      <c r="E375" s="89">
        <v>20140626</v>
      </c>
      <c r="F375" s="89" t="s">
        <v>21443</v>
      </c>
      <c r="G375" s="89" t="s">
        <v>21444</v>
      </c>
      <c r="H375" s="89" t="s">
        <v>21445</v>
      </c>
      <c r="I375" s="89" t="s">
        <v>21446</v>
      </c>
      <c r="J375" s="89" t="s">
        <v>442</v>
      </c>
      <c r="K375" s="99" t="s">
        <v>2528</v>
      </c>
      <c r="L375" s="89" t="s">
        <v>2684</v>
      </c>
      <c r="M375" s="89" t="s">
        <v>4496</v>
      </c>
      <c r="N375" s="89" t="s">
        <v>4496</v>
      </c>
      <c r="O375" s="89" t="s">
        <v>4496</v>
      </c>
      <c r="P375" s="89" t="s">
        <v>4496</v>
      </c>
      <c r="Q375" s="89"/>
      <c r="R375" s="89" t="s">
        <v>92</v>
      </c>
      <c r="S375" s="89" t="s">
        <v>21696</v>
      </c>
      <c r="T375" s="89" t="s">
        <v>21697</v>
      </c>
      <c r="U375" s="89" t="str">
        <f>TRIM('Carga Tributária doenças Po (2'!$L375)</f>
        <v>ESCINA</v>
      </c>
      <c r="V375" s="89">
        <f>SUMIFS('Tabela Federal'!$E$4:$E$2069,'Tabela Federal'!$D$4:$D$2069,'Carga Tributária doenças Po (2'!$L375)</f>
        <v>0</v>
      </c>
      <c r="W375" s="89">
        <f>SUMIFS('Tabela Federal'!$E$4:$E$2069,'Tabela Federal'!$D$4:$D$2069,'Carga Tributária doenças Po (2'!$M375)</f>
        <v>0</v>
      </c>
      <c r="X375" s="89">
        <f>SUMIFS('Tabela Federal'!$E$4:$E$2069,'Tabela Federal'!$D$4:$D$2069,'Carga Tributária doenças Po (2'!$N375)</f>
        <v>0</v>
      </c>
      <c r="Y375" s="89">
        <f>SUMIFS('Tabela Federal'!$E$4:$E$2069,'Tabela Federal'!$D$4:$D$2069,'Carga Tributária doenças Po (2'!$O375)</f>
        <v>0</v>
      </c>
      <c r="Z375" s="92" t="str">
        <f>VLOOKUP('Carga Tributária doenças Po (2'!$AD375,'Carga Tributária doenças Po (2'!$CA$12:$CC$16,2,0)</f>
        <v>-</v>
      </c>
      <c r="AA375" s="89" t="s">
        <v>443</v>
      </c>
      <c r="AB375" s="89" t="s">
        <v>21863</v>
      </c>
      <c r="AC375" s="89" t="s">
        <v>21740</v>
      </c>
      <c r="AD375" s="93" t="s">
        <v>19523</v>
      </c>
      <c r="AE375" s="92" t="s">
        <v>4</v>
      </c>
      <c r="AF375" s="92" t="s">
        <v>23</v>
      </c>
      <c r="AG375" s="94">
        <v>1020481</v>
      </c>
      <c r="AH375" s="95">
        <v>5271729</v>
      </c>
      <c r="AI375" s="95">
        <v>12041171.34</v>
      </c>
      <c r="AJ375" s="89" t="s">
        <v>383</v>
      </c>
      <c r="AK375" s="89">
        <f>IF('Carga Tributária doenças Po (2'!$Z375="+",0,SUMIFS(PISCOFINS!$I$3:$I$10518,PISCOFINS!$C$3:$C$10518,'Carga Tributária doenças Po (2'!$C375))</f>
        <v>2.1</v>
      </c>
      <c r="AL375" s="89">
        <f>IF('Carga Tributária doenças Po (2'!$Z375="+",0,SUMIFS(PISCOFINS!$H$3:$H$10518,PISCOFINS!$C$3:$C$10518,'Carga Tributária doenças Po (2'!$C375))</f>
        <v>9.9</v>
      </c>
      <c r="AM375" s="95">
        <v>3.27</v>
      </c>
      <c r="AN375" s="95">
        <v>3.12</v>
      </c>
      <c r="AO375" s="95">
        <v>1.35</v>
      </c>
      <c r="AP375" s="96">
        <v>18</v>
      </c>
      <c r="AQ375" s="96">
        <v>12</v>
      </c>
      <c r="AR375" s="96">
        <v>17</v>
      </c>
      <c r="AS375" s="97">
        <v>17</v>
      </c>
      <c r="AT375" s="97">
        <v>19</v>
      </c>
      <c r="AU375" s="97">
        <v>18</v>
      </c>
      <c r="AV375" s="97">
        <v>17</v>
      </c>
      <c r="AW375" s="97">
        <v>17</v>
      </c>
      <c r="AX375" s="97">
        <v>17</v>
      </c>
      <c r="AY375" s="97">
        <v>17</v>
      </c>
      <c r="AZ375" s="97">
        <v>17</v>
      </c>
      <c r="BA375" s="97">
        <v>17</v>
      </c>
      <c r="BB375" s="97">
        <v>17</v>
      </c>
      <c r="BC375" s="97">
        <v>17</v>
      </c>
      <c r="BD375" s="97">
        <v>17</v>
      </c>
      <c r="BE375" s="97">
        <v>17</v>
      </c>
      <c r="BF375" s="97">
        <f>+Tabela1107[[#This Row],[PIS]]+Tabela1107[[#This Row],[COFINS]]+Tabela1107[[#This Row],[CONTRIB. FOLHA]]+Tabela1107[[#This Row],[TRIBUTOS S/ LUCRO]]+Tabela1107[[#This Row],[OUTROS]]+Tabela1107[[#This Row],[SP]]</f>
        <v>37.74</v>
      </c>
      <c r="BG375" s="97">
        <f>+Tabela1107[[#This Row],[PIS]]+Tabela1107[[#This Row],[COFINS]]+Tabela1107[[#This Row],[CONTRIB. FOLHA]]+Tabela1107[[#This Row],[TRIBUTOS S/ LUCRO]]+Tabela1107[[#This Row],[OUTROS]]+Tabela1107[[#This Row],[PR]]</f>
        <v>31.740000000000002</v>
      </c>
      <c r="BH375" s="97">
        <f>+Tabela1107[[#This Row],[PIS]]+Tabela1107[[#This Row],[COFINS]]+Tabela1107[[#This Row],[CONTRIB. FOLHA]]+Tabela1107[[#This Row],[TRIBUTOS S/ LUCRO]]+Tabela1107[[#This Row],[OUTROS]]+Tabela1107[[#This Row],[SC]]</f>
        <v>36.74</v>
      </c>
      <c r="BI375" s="97">
        <f>+Tabela1107[[#This Row],[PIS]]+Tabela1107[[#This Row],[COFINS]]+Tabela1107[[#This Row],[CONTRIB. FOLHA]]+Tabela1107[[#This Row],[TRIBUTOS S/ LUCRO]]+Tabela1107[[#This Row],[OUTROS]]+Tabela1107[[#This Row],[RS]]</f>
        <v>36.74</v>
      </c>
      <c r="BJ375" s="97">
        <f>+Tabela1107[[#This Row],[PIS]]+Tabela1107[[#This Row],[COFINS]]+Tabela1107[[#This Row],[CONTRIB. FOLHA]]+Tabela1107[[#This Row],[TRIBUTOS S/ LUCRO]]+Tabela1107[[#This Row],[OUTROS]]+Tabela1107[[#This Row],[RJ]]</f>
        <v>38.74</v>
      </c>
      <c r="BK375" s="97">
        <f>+Tabela1107[[#This Row],[PIS]]+Tabela1107[[#This Row],[COFINS]]+Tabela1107[[#This Row],[CONTRIB. FOLHA]]+Tabela1107[[#This Row],[TRIBUTOS S/ LUCRO]]+Tabela1107[[#This Row],[OUTROS]]+Tabela1107[[#This Row],[MG]]</f>
        <v>37.74</v>
      </c>
      <c r="BL375" s="97">
        <f>+Tabela1107[[#This Row],[PIS]]+Tabela1107[[#This Row],[COFINS]]+Tabela1107[[#This Row],[CONTRIB. FOLHA]]+Tabela1107[[#This Row],[TRIBUTOS S/ LUCRO]]+Tabela1107[[#This Row],[OUTROS]]+Tabela1107[[#This Row],[ES]]</f>
        <v>36.74</v>
      </c>
      <c r="BM375" s="97">
        <f>+Tabela1107[[#This Row],[PIS]]+Tabela1107[[#This Row],[COFINS]]+Tabela1107[[#This Row],[CONTRIB. FOLHA]]+Tabela1107[[#This Row],[TRIBUTOS S/ LUCRO]]+Tabela1107[[#This Row],[OUTROS]]+Tabela1107[[#This Row],[GO]]</f>
        <v>36.74</v>
      </c>
      <c r="BN375" s="97">
        <f>+Tabela1107[[#This Row],[PIS]]+Tabela1107[[#This Row],[COFINS]]+Tabela1107[[#This Row],[CONTRIB. FOLHA]]+Tabela1107[[#This Row],[TRIBUTOS S/ LUCRO]]+Tabela1107[[#This Row],[OUTROS]]+Tabela1107[[#This Row],[MT]]</f>
        <v>36.74</v>
      </c>
      <c r="BO375" s="97">
        <f>+Tabela1107[[#This Row],[PIS]]+Tabela1107[[#This Row],[COFINS]]+Tabela1107[[#This Row],[CONTRIB. FOLHA]]+Tabela1107[[#This Row],[TRIBUTOS S/ LUCRO]]+Tabela1107[[#This Row],[OUTROS]]+Tabela1107[[#This Row],[MS]]</f>
        <v>36.74</v>
      </c>
      <c r="BP375" s="97">
        <f>+Tabela1107[[#This Row],[PIS]]+Tabela1107[[#This Row],[COFINS]]+Tabela1107[[#This Row],[CONTRIB. FOLHA]]+Tabela1107[[#This Row],[TRIBUTOS S/ LUCRO]]+Tabela1107[[#This Row],[OUTROS]]+Tabela1107[[#This Row],[DF]]</f>
        <v>36.74</v>
      </c>
      <c r="BQ375" s="97">
        <f>+Tabela1107[[#This Row],[PIS]]+Tabela1107[[#This Row],[COFINS]]+Tabela1107[[#This Row],[CONTRIB. FOLHA]]+Tabela1107[[#This Row],[TRIBUTOS S/ LUCRO]]+Tabela1107[[#This Row],[OUTROS]]+Tabela1107[[#This Row],[BA]]</f>
        <v>36.74</v>
      </c>
      <c r="BR375" s="97">
        <f>+Tabela1107[[#This Row],[PIS]]+Tabela1107[[#This Row],[COFINS]]+Tabela1107[[#This Row],[CONTRIB. FOLHA]]+Tabela1107[[#This Row],[TRIBUTOS S/ LUCRO]]+Tabela1107[[#This Row],[OUTROS]]+Tabela1107[[#This Row],[BA]]</f>
        <v>36.74</v>
      </c>
      <c r="BS375" s="97">
        <f>+Tabela1107[[#This Row],[PIS]]+Tabela1107[[#This Row],[COFINS]]+Tabela1107[[#This Row],[CONTRIB. FOLHA]]+Tabela1107[[#This Row],[TRIBUTOS S/ LUCRO]]+Tabela1107[[#This Row],[OUTROS]]+Tabela1107[[#This Row],[PE]]</f>
        <v>36.74</v>
      </c>
      <c r="BT375" s="97">
        <f>+Tabela1107[[#This Row],[PIS]]+Tabela1107[[#This Row],[COFINS]]+Tabela1107[[#This Row],[CONTRIB. FOLHA]]+Tabela1107[[#This Row],[TRIBUTOS S/ LUCRO]]+Tabela1107[[#This Row],[OUTROS]]+Tabela1107[[#This Row],[PA]]</f>
        <v>36.74</v>
      </c>
      <c r="BU375" s="97">
        <f>+Tabela1107[[#This Row],[PIS]]+Tabela1107[[#This Row],[COFINS]]+Tabela1107[[#This Row],[CONTRIB. FOLHA]]+Tabela1107[[#This Row],[TRIBUTOS S/ LUCRO]]+Tabela1107[[#This Row],[OUTROS]]+Tabela1107[[#This Row],[AM]]</f>
        <v>36.74</v>
      </c>
      <c r="BV375" s="97">
        <f>AVERAGE(Tabela1107[[#This Row],[TOTAL SP]:[TOTAL AM]])</f>
        <v>36.677500000000002</v>
      </c>
      <c r="BW375" s="97"/>
      <c r="BX375" s="97"/>
    </row>
    <row r="376" spans="2:76" x14ac:dyDescent="0.25">
      <c r="B376" s="89">
        <v>21220</v>
      </c>
      <c r="C376" s="91" t="s">
        <v>13183</v>
      </c>
      <c r="D376" s="89"/>
      <c r="E376" s="89">
        <v>20140626</v>
      </c>
      <c r="F376" s="89" t="s">
        <v>20911</v>
      </c>
      <c r="G376" s="89" t="s">
        <v>20912</v>
      </c>
      <c r="H376" s="89" t="s">
        <v>20913</v>
      </c>
      <c r="I376" s="89" t="s">
        <v>20910</v>
      </c>
      <c r="J376" s="89" t="s">
        <v>94</v>
      </c>
      <c r="K376" s="99" t="s">
        <v>2527</v>
      </c>
      <c r="L376" s="89" t="s">
        <v>2685</v>
      </c>
      <c r="M376" s="89" t="s">
        <v>4496</v>
      </c>
      <c r="N376" s="89" t="s">
        <v>4496</v>
      </c>
      <c r="O376" s="89" t="s">
        <v>4496</v>
      </c>
      <c r="P376" s="89" t="s">
        <v>4496</v>
      </c>
      <c r="Q376" s="89"/>
      <c r="R376" s="89" t="s">
        <v>39</v>
      </c>
      <c r="S376" s="89" t="s">
        <v>21616</v>
      </c>
      <c r="T376" s="89" t="s">
        <v>21617</v>
      </c>
      <c r="U376" s="89" t="str">
        <f>TRIM('Carga Tributária doenças Po (2'!$L376)</f>
        <v>SACCHAROMYCES CEREVISAE</v>
      </c>
      <c r="V376" s="89">
        <f>SUMIFS('Tabela Federal'!$E$4:$E$2069,'Tabela Federal'!$D$4:$D$2069,'Carga Tributária doenças Po (2'!$L376)</f>
        <v>0</v>
      </c>
      <c r="W376" s="89">
        <f>SUMIFS('Tabela Federal'!$E$4:$E$2069,'Tabela Federal'!$D$4:$D$2069,'Carga Tributária doenças Po (2'!$M376)</f>
        <v>0</v>
      </c>
      <c r="X376" s="89">
        <f>SUMIFS('Tabela Federal'!$E$4:$E$2069,'Tabela Federal'!$D$4:$D$2069,'Carga Tributária doenças Po (2'!$N376)</f>
        <v>0</v>
      </c>
      <c r="Y376" s="89">
        <f>SUMIFS('Tabela Federal'!$E$4:$E$2069,'Tabela Federal'!$D$4:$D$2069,'Carga Tributária doenças Po (2'!$O376)</f>
        <v>0</v>
      </c>
      <c r="Z376" s="92" t="str">
        <f>VLOOKUP('Carga Tributária doenças Po (2'!$AD376,'Carga Tributária doenças Po (2'!$CA$12:$CC$16,2,0)</f>
        <v>-</v>
      </c>
      <c r="AA376" s="89" t="s">
        <v>95</v>
      </c>
      <c r="AB376" s="89" t="s">
        <v>21787</v>
      </c>
      <c r="AC376" s="89" t="s">
        <v>21740</v>
      </c>
      <c r="AD376" s="93" t="s">
        <v>19523</v>
      </c>
      <c r="AE376" s="92" t="s">
        <v>4</v>
      </c>
      <c r="AF376" s="92" t="s">
        <v>3</v>
      </c>
      <c r="AG376" s="94">
        <v>1861973</v>
      </c>
      <c r="AH376" s="95">
        <v>16694157</v>
      </c>
      <c r="AI376" s="95">
        <v>38229250.340000004</v>
      </c>
      <c r="AJ376" s="89" t="s">
        <v>111</v>
      </c>
      <c r="AK376" s="89">
        <f>IF('Carga Tributária doenças Po (2'!$Z376="+",0,SUMIFS(PISCOFINS!$I$3:$I$10518,PISCOFINS!$C$3:$C$10518,'Carga Tributária doenças Po (2'!$C376))</f>
        <v>2.1</v>
      </c>
      <c r="AL376" s="89">
        <f>IF('Carga Tributária doenças Po (2'!$Z376="+",0,SUMIFS(PISCOFINS!$H$3:$H$10518,PISCOFINS!$C$3:$C$10518,'Carga Tributária doenças Po (2'!$C376))</f>
        <v>9.9</v>
      </c>
      <c r="AM376" s="95">
        <v>3.27</v>
      </c>
      <c r="AN376" s="95">
        <v>3.12</v>
      </c>
      <c r="AO376" s="95">
        <v>1.35</v>
      </c>
      <c r="AP376" s="96">
        <v>18</v>
      </c>
      <c r="AQ376" s="96">
        <v>12</v>
      </c>
      <c r="AR376" s="96">
        <v>17</v>
      </c>
      <c r="AS376" s="97">
        <v>17</v>
      </c>
      <c r="AT376" s="97">
        <v>19</v>
      </c>
      <c r="AU376" s="97">
        <v>18</v>
      </c>
      <c r="AV376" s="97">
        <v>17</v>
      </c>
      <c r="AW376" s="97">
        <v>17</v>
      </c>
      <c r="AX376" s="97">
        <v>17</v>
      </c>
      <c r="AY376" s="97">
        <v>17</v>
      </c>
      <c r="AZ376" s="97">
        <v>17</v>
      </c>
      <c r="BA376" s="97">
        <v>17</v>
      </c>
      <c r="BB376" s="97">
        <v>17</v>
      </c>
      <c r="BC376" s="97">
        <v>17</v>
      </c>
      <c r="BD376" s="97">
        <v>17</v>
      </c>
      <c r="BE376" s="97">
        <v>17</v>
      </c>
      <c r="BF376" s="97">
        <f>+Tabela1107[[#This Row],[PIS]]+Tabela1107[[#This Row],[COFINS]]+Tabela1107[[#This Row],[CONTRIB. FOLHA]]+Tabela1107[[#This Row],[TRIBUTOS S/ LUCRO]]+Tabela1107[[#This Row],[OUTROS]]+Tabela1107[[#This Row],[SP]]</f>
        <v>37.74</v>
      </c>
      <c r="BG376" s="97">
        <f>+Tabela1107[[#This Row],[PIS]]+Tabela1107[[#This Row],[COFINS]]+Tabela1107[[#This Row],[CONTRIB. FOLHA]]+Tabela1107[[#This Row],[TRIBUTOS S/ LUCRO]]+Tabela1107[[#This Row],[OUTROS]]+Tabela1107[[#This Row],[PR]]</f>
        <v>31.740000000000002</v>
      </c>
      <c r="BH376" s="97">
        <f>+Tabela1107[[#This Row],[PIS]]+Tabela1107[[#This Row],[COFINS]]+Tabela1107[[#This Row],[CONTRIB. FOLHA]]+Tabela1107[[#This Row],[TRIBUTOS S/ LUCRO]]+Tabela1107[[#This Row],[OUTROS]]+Tabela1107[[#This Row],[SC]]</f>
        <v>36.74</v>
      </c>
      <c r="BI376" s="97">
        <f>+Tabela1107[[#This Row],[PIS]]+Tabela1107[[#This Row],[COFINS]]+Tabela1107[[#This Row],[CONTRIB. FOLHA]]+Tabela1107[[#This Row],[TRIBUTOS S/ LUCRO]]+Tabela1107[[#This Row],[OUTROS]]+Tabela1107[[#This Row],[RS]]</f>
        <v>36.74</v>
      </c>
      <c r="BJ376" s="97">
        <f>+Tabela1107[[#This Row],[PIS]]+Tabela1107[[#This Row],[COFINS]]+Tabela1107[[#This Row],[CONTRIB. FOLHA]]+Tabela1107[[#This Row],[TRIBUTOS S/ LUCRO]]+Tabela1107[[#This Row],[OUTROS]]+Tabela1107[[#This Row],[RJ]]</f>
        <v>38.74</v>
      </c>
      <c r="BK376" s="97">
        <f>+Tabela1107[[#This Row],[PIS]]+Tabela1107[[#This Row],[COFINS]]+Tabela1107[[#This Row],[CONTRIB. FOLHA]]+Tabela1107[[#This Row],[TRIBUTOS S/ LUCRO]]+Tabela1107[[#This Row],[OUTROS]]+Tabela1107[[#This Row],[MG]]</f>
        <v>37.74</v>
      </c>
      <c r="BL376" s="97">
        <f>+Tabela1107[[#This Row],[PIS]]+Tabela1107[[#This Row],[COFINS]]+Tabela1107[[#This Row],[CONTRIB. FOLHA]]+Tabela1107[[#This Row],[TRIBUTOS S/ LUCRO]]+Tabela1107[[#This Row],[OUTROS]]+Tabela1107[[#This Row],[ES]]</f>
        <v>36.74</v>
      </c>
      <c r="BM376" s="97">
        <f>+Tabela1107[[#This Row],[PIS]]+Tabela1107[[#This Row],[COFINS]]+Tabela1107[[#This Row],[CONTRIB. FOLHA]]+Tabela1107[[#This Row],[TRIBUTOS S/ LUCRO]]+Tabela1107[[#This Row],[OUTROS]]+Tabela1107[[#This Row],[GO]]</f>
        <v>36.74</v>
      </c>
      <c r="BN376" s="97">
        <f>+Tabela1107[[#This Row],[PIS]]+Tabela1107[[#This Row],[COFINS]]+Tabela1107[[#This Row],[CONTRIB. FOLHA]]+Tabela1107[[#This Row],[TRIBUTOS S/ LUCRO]]+Tabela1107[[#This Row],[OUTROS]]+Tabela1107[[#This Row],[MT]]</f>
        <v>36.74</v>
      </c>
      <c r="BO376" s="97">
        <f>+Tabela1107[[#This Row],[PIS]]+Tabela1107[[#This Row],[COFINS]]+Tabela1107[[#This Row],[CONTRIB. FOLHA]]+Tabela1107[[#This Row],[TRIBUTOS S/ LUCRO]]+Tabela1107[[#This Row],[OUTROS]]+Tabela1107[[#This Row],[MS]]</f>
        <v>36.74</v>
      </c>
      <c r="BP376" s="97">
        <f>+Tabela1107[[#This Row],[PIS]]+Tabela1107[[#This Row],[COFINS]]+Tabela1107[[#This Row],[CONTRIB. FOLHA]]+Tabela1107[[#This Row],[TRIBUTOS S/ LUCRO]]+Tabela1107[[#This Row],[OUTROS]]+Tabela1107[[#This Row],[DF]]</f>
        <v>36.74</v>
      </c>
      <c r="BQ376" s="97">
        <f>+Tabela1107[[#This Row],[PIS]]+Tabela1107[[#This Row],[COFINS]]+Tabela1107[[#This Row],[CONTRIB. FOLHA]]+Tabela1107[[#This Row],[TRIBUTOS S/ LUCRO]]+Tabela1107[[#This Row],[OUTROS]]+Tabela1107[[#This Row],[BA]]</f>
        <v>36.74</v>
      </c>
      <c r="BR376" s="97">
        <f>+Tabela1107[[#This Row],[PIS]]+Tabela1107[[#This Row],[COFINS]]+Tabela1107[[#This Row],[CONTRIB. FOLHA]]+Tabela1107[[#This Row],[TRIBUTOS S/ LUCRO]]+Tabela1107[[#This Row],[OUTROS]]+Tabela1107[[#This Row],[BA]]</f>
        <v>36.74</v>
      </c>
      <c r="BS376" s="97">
        <f>+Tabela1107[[#This Row],[PIS]]+Tabela1107[[#This Row],[COFINS]]+Tabela1107[[#This Row],[CONTRIB. FOLHA]]+Tabela1107[[#This Row],[TRIBUTOS S/ LUCRO]]+Tabela1107[[#This Row],[OUTROS]]+Tabela1107[[#This Row],[PE]]</f>
        <v>36.74</v>
      </c>
      <c r="BT376" s="97">
        <f>+Tabela1107[[#This Row],[PIS]]+Tabela1107[[#This Row],[COFINS]]+Tabela1107[[#This Row],[CONTRIB. FOLHA]]+Tabela1107[[#This Row],[TRIBUTOS S/ LUCRO]]+Tabela1107[[#This Row],[OUTROS]]+Tabela1107[[#This Row],[PA]]</f>
        <v>36.74</v>
      </c>
      <c r="BU376" s="97">
        <f>+Tabela1107[[#This Row],[PIS]]+Tabela1107[[#This Row],[COFINS]]+Tabela1107[[#This Row],[CONTRIB. FOLHA]]+Tabela1107[[#This Row],[TRIBUTOS S/ LUCRO]]+Tabela1107[[#This Row],[OUTROS]]+Tabela1107[[#This Row],[AM]]</f>
        <v>36.74</v>
      </c>
      <c r="BV376" s="97">
        <f>AVERAGE(Tabela1107[[#This Row],[TOTAL SP]:[TOTAL AM]])</f>
        <v>36.677500000000002</v>
      </c>
      <c r="BW376" s="97"/>
      <c r="BX376" s="97"/>
    </row>
    <row r="377" spans="2:76" x14ac:dyDescent="0.25">
      <c r="B377" s="89">
        <v>21220</v>
      </c>
      <c r="C377" s="91" t="s">
        <v>13183</v>
      </c>
      <c r="D377" s="89"/>
      <c r="E377" s="89">
        <v>20140626</v>
      </c>
      <c r="F377" s="89" t="s">
        <v>20911</v>
      </c>
      <c r="G377" s="89" t="s">
        <v>20912</v>
      </c>
      <c r="H377" s="89" t="s">
        <v>20913</v>
      </c>
      <c r="I377" s="89" t="s">
        <v>20910</v>
      </c>
      <c r="J377" s="89" t="s">
        <v>94</v>
      </c>
      <c r="K377" s="99" t="s">
        <v>2527</v>
      </c>
      <c r="L377" s="89" t="s">
        <v>2685</v>
      </c>
      <c r="M377" s="89" t="s">
        <v>4496</v>
      </c>
      <c r="N377" s="89" t="s">
        <v>4496</v>
      </c>
      <c r="O377" s="89" t="s">
        <v>4496</v>
      </c>
      <c r="P377" s="89" t="s">
        <v>4496</v>
      </c>
      <c r="Q377" s="89"/>
      <c r="R377" s="89" t="s">
        <v>39</v>
      </c>
      <c r="S377" s="89" t="s">
        <v>21616</v>
      </c>
      <c r="T377" s="89" t="s">
        <v>21617</v>
      </c>
      <c r="U377" s="89" t="str">
        <f>TRIM('Carga Tributária doenças Po (2'!$L377)</f>
        <v>SACCHAROMYCES CEREVISAE</v>
      </c>
      <c r="V377" s="89">
        <f>SUMIFS('Tabela Federal'!$E$4:$E$2069,'Tabela Federal'!$D$4:$D$2069,'Carga Tributária doenças Po (2'!$L377)</f>
        <v>0</v>
      </c>
      <c r="W377" s="89">
        <f>SUMIFS('Tabela Federal'!$E$4:$E$2069,'Tabela Federal'!$D$4:$D$2069,'Carga Tributária doenças Po (2'!$M377)</f>
        <v>0</v>
      </c>
      <c r="X377" s="89">
        <f>SUMIFS('Tabela Federal'!$E$4:$E$2069,'Tabela Federal'!$D$4:$D$2069,'Carga Tributária doenças Po (2'!$N377)</f>
        <v>0</v>
      </c>
      <c r="Y377" s="89">
        <f>SUMIFS('Tabela Federal'!$E$4:$E$2069,'Tabela Federal'!$D$4:$D$2069,'Carga Tributária doenças Po (2'!$O377)</f>
        <v>0</v>
      </c>
      <c r="Z377" s="92" t="str">
        <f>VLOOKUP('Carga Tributária doenças Po (2'!$AD377,'Carga Tributária doenças Po (2'!$CA$12:$CC$16,2,0)</f>
        <v>-</v>
      </c>
      <c r="AA377" s="89" t="s">
        <v>95</v>
      </c>
      <c r="AB377" s="89" t="s">
        <v>21787</v>
      </c>
      <c r="AC377" s="89" t="s">
        <v>21740</v>
      </c>
      <c r="AD377" s="93" t="s">
        <v>19523</v>
      </c>
      <c r="AE377" s="92" t="s">
        <v>4</v>
      </c>
      <c r="AF377" s="92" t="s">
        <v>3</v>
      </c>
      <c r="AG377" s="94">
        <v>1861973</v>
      </c>
      <c r="AH377" s="95">
        <v>16694157</v>
      </c>
      <c r="AI377" s="95">
        <v>38229250.340000004</v>
      </c>
      <c r="AJ377" s="89" t="s">
        <v>554</v>
      </c>
      <c r="AK377" s="89">
        <f>IF('Carga Tributária doenças Po (2'!$Z377="+",0,SUMIFS(PISCOFINS!$I$3:$I$10518,PISCOFINS!$C$3:$C$10518,'Carga Tributária doenças Po (2'!$C377))</f>
        <v>2.1</v>
      </c>
      <c r="AL377" s="89">
        <f>IF('Carga Tributária doenças Po (2'!$Z377="+",0,SUMIFS(PISCOFINS!$H$3:$H$10518,PISCOFINS!$C$3:$C$10518,'Carga Tributária doenças Po (2'!$C377))</f>
        <v>9.9</v>
      </c>
      <c r="AM377" s="95">
        <v>3.27</v>
      </c>
      <c r="AN377" s="95">
        <v>3.12</v>
      </c>
      <c r="AO377" s="95">
        <v>1.35</v>
      </c>
      <c r="AP377" s="96">
        <v>18</v>
      </c>
      <c r="AQ377" s="96">
        <v>12</v>
      </c>
      <c r="AR377" s="96">
        <v>17</v>
      </c>
      <c r="AS377" s="97">
        <v>17</v>
      </c>
      <c r="AT377" s="97">
        <v>19</v>
      </c>
      <c r="AU377" s="97">
        <v>18</v>
      </c>
      <c r="AV377" s="97">
        <v>17</v>
      </c>
      <c r="AW377" s="97">
        <v>17</v>
      </c>
      <c r="AX377" s="97">
        <v>17</v>
      </c>
      <c r="AY377" s="97">
        <v>17</v>
      </c>
      <c r="AZ377" s="97">
        <v>17</v>
      </c>
      <c r="BA377" s="97">
        <v>17</v>
      </c>
      <c r="BB377" s="97">
        <v>17</v>
      </c>
      <c r="BC377" s="97">
        <v>17</v>
      </c>
      <c r="BD377" s="97">
        <v>17</v>
      </c>
      <c r="BE377" s="97">
        <v>17</v>
      </c>
      <c r="BF377" s="97">
        <f>+Tabela1107[[#This Row],[PIS]]+Tabela1107[[#This Row],[COFINS]]+Tabela1107[[#This Row],[CONTRIB. FOLHA]]+Tabela1107[[#This Row],[TRIBUTOS S/ LUCRO]]+Tabela1107[[#This Row],[OUTROS]]+Tabela1107[[#This Row],[SP]]</f>
        <v>37.74</v>
      </c>
      <c r="BG377" s="97">
        <f>+Tabela1107[[#This Row],[PIS]]+Tabela1107[[#This Row],[COFINS]]+Tabela1107[[#This Row],[CONTRIB. FOLHA]]+Tabela1107[[#This Row],[TRIBUTOS S/ LUCRO]]+Tabela1107[[#This Row],[OUTROS]]+Tabela1107[[#This Row],[PR]]</f>
        <v>31.740000000000002</v>
      </c>
      <c r="BH377" s="97">
        <f>+Tabela1107[[#This Row],[PIS]]+Tabela1107[[#This Row],[COFINS]]+Tabela1107[[#This Row],[CONTRIB. FOLHA]]+Tabela1107[[#This Row],[TRIBUTOS S/ LUCRO]]+Tabela1107[[#This Row],[OUTROS]]+Tabela1107[[#This Row],[SC]]</f>
        <v>36.74</v>
      </c>
      <c r="BI377" s="97">
        <f>+Tabela1107[[#This Row],[PIS]]+Tabela1107[[#This Row],[COFINS]]+Tabela1107[[#This Row],[CONTRIB. FOLHA]]+Tabela1107[[#This Row],[TRIBUTOS S/ LUCRO]]+Tabela1107[[#This Row],[OUTROS]]+Tabela1107[[#This Row],[RS]]</f>
        <v>36.74</v>
      </c>
      <c r="BJ377" s="97">
        <f>+Tabela1107[[#This Row],[PIS]]+Tabela1107[[#This Row],[COFINS]]+Tabela1107[[#This Row],[CONTRIB. FOLHA]]+Tabela1107[[#This Row],[TRIBUTOS S/ LUCRO]]+Tabela1107[[#This Row],[OUTROS]]+Tabela1107[[#This Row],[RJ]]</f>
        <v>38.74</v>
      </c>
      <c r="BK377" s="97">
        <f>+Tabela1107[[#This Row],[PIS]]+Tabela1107[[#This Row],[COFINS]]+Tabela1107[[#This Row],[CONTRIB. FOLHA]]+Tabela1107[[#This Row],[TRIBUTOS S/ LUCRO]]+Tabela1107[[#This Row],[OUTROS]]+Tabela1107[[#This Row],[MG]]</f>
        <v>37.74</v>
      </c>
      <c r="BL377" s="97">
        <f>+Tabela1107[[#This Row],[PIS]]+Tabela1107[[#This Row],[COFINS]]+Tabela1107[[#This Row],[CONTRIB. FOLHA]]+Tabela1107[[#This Row],[TRIBUTOS S/ LUCRO]]+Tabela1107[[#This Row],[OUTROS]]+Tabela1107[[#This Row],[ES]]</f>
        <v>36.74</v>
      </c>
      <c r="BM377" s="97">
        <f>+Tabela1107[[#This Row],[PIS]]+Tabela1107[[#This Row],[COFINS]]+Tabela1107[[#This Row],[CONTRIB. FOLHA]]+Tabela1107[[#This Row],[TRIBUTOS S/ LUCRO]]+Tabela1107[[#This Row],[OUTROS]]+Tabela1107[[#This Row],[GO]]</f>
        <v>36.74</v>
      </c>
      <c r="BN377" s="97">
        <f>+Tabela1107[[#This Row],[PIS]]+Tabela1107[[#This Row],[COFINS]]+Tabela1107[[#This Row],[CONTRIB. FOLHA]]+Tabela1107[[#This Row],[TRIBUTOS S/ LUCRO]]+Tabela1107[[#This Row],[OUTROS]]+Tabela1107[[#This Row],[MT]]</f>
        <v>36.74</v>
      </c>
      <c r="BO377" s="97">
        <f>+Tabela1107[[#This Row],[PIS]]+Tabela1107[[#This Row],[COFINS]]+Tabela1107[[#This Row],[CONTRIB. FOLHA]]+Tabela1107[[#This Row],[TRIBUTOS S/ LUCRO]]+Tabela1107[[#This Row],[OUTROS]]+Tabela1107[[#This Row],[MS]]</f>
        <v>36.74</v>
      </c>
      <c r="BP377" s="97">
        <f>+Tabela1107[[#This Row],[PIS]]+Tabela1107[[#This Row],[COFINS]]+Tabela1107[[#This Row],[CONTRIB. FOLHA]]+Tabela1107[[#This Row],[TRIBUTOS S/ LUCRO]]+Tabela1107[[#This Row],[OUTROS]]+Tabela1107[[#This Row],[DF]]</f>
        <v>36.74</v>
      </c>
      <c r="BQ377" s="97">
        <f>+Tabela1107[[#This Row],[PIS]]+Tabela1107[[#This Row],[COFINS]]+Tabela1107[[#This Row],[CONTRIB. FOLHA]]+Tabela1107[[#This Row],[TRIBUTOS S/ LUCRO]]+Tabela1107[[#This Row],[OUTROS]]+Tabela1107[[#This Row],[BA]]</f>
        <v>36.74</v>
      </c>
      <c r="BR377" s="97">
        <f>+Tabela1107[[#This Row],[PIS]]+Tabela1107[[#This Row],[COFINS]]+Tabela1107[[#This Row],[CONTRIB. FOLHA]]+Tabela1107[[#This Row],[TRIBUTOS S/ LUCRO]]+Tabela1107[[#This Row],[OUTROS]]+Tabela1107[[#This Row],[BA]]</f>
        <v>36.74</v>
      </c>
      <c r="BS377" s="97">
        <f>+Tabela1107[[#This Row],[PIS]]+Tabela1107[[#This Row],[COFINS]]+Tabela1107[[#This Row],[CONTRIB. FOLHA]]+Tabela1107[[#This Row],[TRIBUTOS S/ LUCRO]]+Tabela1107[[#This Row],[OUTROS]]+Tabela1107[[#This Row],[PE]]</f>
        <v>36.74</v>
      </c>
      <c r="BT377" s="97">
        <f>+Tabela1107[[#This Row],[PIS]]+Tabela1107[[#This Row],[COFINS]]+Tabela1107[[#This Row],[CONTRIB. FOLHA]]+Tabela1107[[#This Row],[TRIBUTOS S/ LUCRO]]+Tabela1107[[#This Row],[OUTROS]]+Tabela1107[[#This Row],[PA]]</f>
        <v>36.74</v>
      </c>
      <c r="BU377" s="97">
        <f>+Tabela1107[[#This Row],[PIS]]+Tabela1107[[#This Row],[COFINS]]+Tabela1107[[#This Row],[CONTRIB. FOLHA]]+Tabela1107[[#This Row],[TRIBUTOS S/ LUCRO]]+Tabela1107[[#This Row],[OUTROS]]+Tabela1107[[#This Row],[AM]]</f>
        <v>36.74</v>
      </c>
      <c r="BV377" s="97">
        <f>AVERAGE(Tabela1107[[#This Row],[TOTAL SP]:[TOTAL AM]])</f>
        <v>36.677500000000002</v>
      </c>
      <c r="BW377" s="97"/>
      <c r="BX377" s="97"/>
    </row>
    <row r="378" spans="2:76" x14ac:dyDescent="0.25">
      <c r="B378" s="89">
        <v>21239</v>
      </c>
      <c r="C378" s="91" t="s">
        <v>13183</v>
      </c>
      <c r="D378" s="89"/>
      <c r="E378" s="89">
        <v>20140626</v>
      </c>
      <c r="F378" s="89" t="s">
        <v>20914</v>
      </c>
      <c r="G378" s="89" t="s">
        <v>20915</v>
      </c>
      <c r="H378" s="89" t="s">
        <v>20916</v>
      </c>
      <c r="I378" s="89" t="s">
        <v>20910</v>
      </c>
      <c r="J378" s="89" t="s">
        <v>99</v>
      </c>
      <c r="K378" s="89" t="s">
        <v>2527</v>
      </c>
      <c r="L378" s="89" t="s">
        <v>2685</v>
      </c>
      <c r="M378" s="89" t="s">
        <v>4496</v>
      </c>
      <c r="N378" s="89" t="s">
        <v>4496</v>
      </c>
      <c r="O378" s="89" t="s">
        <v>4496</v>
      </c>
      <c r="P378" s="89" t="s">
        <v>4496</v>
      </c>
      <c r="Q378" s="89"/>
      <c r="R378" s="89" t="s">
        <v>39</v>
      </c>
      <c r="S378" s="89" t="s">
        <v>21616</v>
      </c>
      <c r="T378" s="89" t="s">
        <v>21617</v>
      </c>
      <c r="U378" s="89" t="str">
        <f>TRIM('Carga Tributária doenças Po (2'!$L378)</f>
        <v>SACCHAROMYCES CEREVISAE</v>
      </c>
      <c r="V378" s="89">
        <f>SUMIFS('Tabela Federal'!$E$4:$E$2069,'Tabela Federal'!$D$4:$D$2069,'Carga Tributária doenças Po (2'!$L378)</f>
        <v>0</v>
      </c>
      <c r="W378" s="89">
        <f>SUMIFS('Tabela Federal'!$E$4:$E$2069,'Tabela Federal'!$D$4:$D$2069,'Carga Tributária doenças Po (2'!$M378)</f>
        <v>0</v>
      </c>
      <c r="X378" s="89">
        <f>SUMIFS('Tabela Federal'!$E$4:$E$2069,'Tabela Federal'!$D$4:$D$2069,'Carga Tributária doenças Po (2'!$N378)</f>
        <v>0</v>
      </c>
      <c r="Y378" s="89">
        <f>SUMIFS('Tabela Federal'!$E$4:$E$2069,'Tabela Federal'!$D$4:$D$2069,'Carga Tributária doenças Po (2'!$O378)</f>
        <v>0</v>
      </c>
      <c r="Z378" s="92" t="str">
        <f>VLOOKUP('Carga Tributária doenças Po (2'!$AD378,'Carga Tributária doenças Po (2'!$CA$12:$CC$16,2,0)</f>
        <v>-</v>
      </c>
      <c r="AA378" s="89" t="s">
        <v>95</v>
      </c>
      <c r="AB378" s="89" t="s">
        <v>21787</v>
      </c>
      <c r="AC378" s="89" t="s">
        <v>21740</v>
      </c>
      <c r="AD378" s="93" t="s">
        <v>19523</v>
      </c>
      <c r="AE378" s="92" t="s">
        <v>4</v>
      </c>
      <c r="AF378" s="92" t="s">
        <v>3</v>
      </c>
      <c r="AG378" s="94">
        <v>1351306</v>
      </c>
      <c r="AH378" s="95">
        <v>9696329</v>
      </c>
      <c r="AI378" s="95">
        <v>22170465.73</v>
      </c>
      <c r="AJ378" s="89" t="s">
        <v>111</v>
      </c>
      <c r="AK378" s="89">
        <f>IF('Carga Tributária doenças Po (2'!$Z378="+",0,SUMIFS(PISCOFINS!$I$3:$I$10518,PISCOFINS!$C$3:$C$10518,'Carga Tributária doenças Po (2'!$C378))</f>
        <v>2.1</v>
      </c>
      <c r="AL378" s="89">
        <f>IF('Carga Tributária doenças Po (2'!$Z378="+",0,SUMIFS(PISCOFINS!$H$3:$H$10518,PISCOFINS!$C$3:$C$10518,'Carga Tributária doenças Po (2'!$C378))</f>
        <v>9.9</v>
      </c>
      <c r="AM378" s="95">
        <v>3.27</v>
      </c>
      <c r="AN378" s="95">
        <v>3.12</v>
      </c>
      <c r="AO378" s="95">
        <v>1.35</v>
      </c>
      <c r="AP378" s="96">
        <v>18</v>
      </c>
      <c r="AQ378" s="96">
        <v>12</v>
      </c>
      <c r="AR378" s="96">
        <v>17</v>
      </c>
      <c r="AS378" s="97">
        <v>17</v>
      </c>
      <c r="AT378" s="97">
        <v>19</v>
      </c>
      <c r="AU378" s="97">
        <v>18</v>
      </c>
      <c r="AV378" s="97">
        <v>17</v>
      </c>
      <c r="AW378" s="97">
        <v>17</v>
      </c>
      <c r="AX378" s="97">
        <v>17</v>
      </c>
      <c r="AY378" s="97">
        <v>17</v>
      </c>
      <c r="AZ378" s="97">
        <v>17</v>
      </c>
      <c r="BA378" s="97">
        <v>17</v>
      </c>
      <c r="BB378" s="97">
        <v>17</v>
      </c>
      <c r="BC378" s="97">
        <v>17</v>
      </c>
      <c r="BD378" s="97">
        <v>17</v>
      </c>
      <c r="BE378" s="97">
        <v>17</v>
      </c>
      <c r="BF378" s="97">
        <f>+Tabela1107[[#This Row],[PIS]]+Tabela1107[[#This Row],[COFINS]]+Tabela1107[[#This Row],[CONTRIB. FOLHA]]+Tabela1107[[#This Row],[TRIBUTOS S/ LUCRO]]+Tabela1107[[#This Row],[OUTROS]]+Tabela1107[[#This Row],[SP]]</f>
        <v>37.74</v>
      </c>
      <c r="BG378" s="97">
        <f>+Tabela1107[[#This Row],[PIS]]+Tabela1107[[#This Row],[COFINS]]+Tabela1107[[#This Row],[CONTRIB. FOLHA]]+Tabela1107[[#This Row],[TRIBUTOS S/ LUCRO]]+Tabela1107[[#This Row],[OUTROS]]+Tabela1107[[#This Row],[PR]]</f>
        <v>31.740000000000002</v>
      </c>
      <c r="BH378" s="97">
        <f>+Tabela1107[[#This Row],[PIS]]+Tabela1107[[#This Row],[COFINS]]+Tabela1107[[#This Row],[CONTRIB. FOLHA]]+Tabela1107[[#This Row],[TRIBUTOS S/ LUCRO]]+Tabela1107[[#This Row],[OUTROS]]+Tabela1107[[#This Row],[SC]]</f>
        <v>36.74</v>
      </c>
      <c r="BI378" s="97">
        <f>+Tabela1107[[#This Row],[PIS]]+Tabela1107[[#This Row],[COFINS]]+Tabela1107[[#This Row],[CONTRIB. FOLHA]]+Tabela1107[[#This Row],[TRIBUTOS S/ LUCRO]]+Tabela1107[[#This Row],[OUTROS]]+Tabela1107[[#This Row],[RS]]</f>
        <v>36.74</v>
      </c>
      <c r="BJ378" s="97">
        <f>+Tabela1107[[#This Row],[PIS]]+Tabela1107[[#This Row],[COFINS]]+Tabela1107[[#This Row],[CONTRIB. FOLHA]]+Tabela1107[[#This Row],[TRIBUTOS S/ LUCRO]]+Tabela1107[[#This Row],[OUTROS]]+Tabela1107[[#This Row],[RJ]]</f>
        <v>38.74</v>
      </c>
      <c r="BK378" s="97">
        <f>+Tabela1107[[#This Row],[PIS]]+Tabela1107[[#This Row],[COFINS]]+Tabela1107[[#This Row],[CONTRIB. FOLHA]]+Tabela1107[[#This Row],[TRIBUTOS S/ LUCRO]]+Tabela1107[[#This Row],[OUTROS]]+Tabela1107[[#This Row],[MG]]</f>
        <v>37.74</v>
      </c>
      <c r="BL378" s="97">
        <f>+Tabela1107[[#This Row],[PIS]]+Tabela1107[[#This Row],[COFINS]]+Tabela1107[[#This Row],[CONTRIB. FOLHA]]+Tabela1107[[#This Row],[TRIBUTOS S/ LUCRO]]+Tabela1107[[#This Row],[OUTROS]]+Tabela1107[[#This Row],[ES]]</f>
        <v>36.74</v>
      </c>
      <c r="BM378" s="97">
        <f>+Tabela1107[[#This Row],[PIS]]+Tabela1107[[#This Row],[COFINS]]+Tabela1107[[#This Row],[CONTRIB. FOLHA]]+Tabela1107[[#This Row],[TRIBUTOS S/ LUCRO]]+Tabela1107[[#This Row],[OUTROS]]+Tabela1107[[#This Row],[GO]]</f>
        <v>36.74</v>
      </c>
      <c r="BN378" s="97">
        <f>+Tabela1107[[#This Row],[PIS]]+Tabela1107[[#This Row],[COFINS]]+Tabela1107[[#This Row],[CONTRIB. FOLHA]]+Tabela1107[[#This Row],[TRIBUTOS S/ LUCRO]]+Tabela1107[[#This Row],[OUTROS]]+Tabela1107[[#This Row],[MT]]</f>
        <v>36.74</v>
      </c>
      <c r="BO378" s="97">
        <f>+Tabela1107[[#This Row],[PIS]]+Tabela1107[[#This Row],[COFINS]]+Tabela1107[[#This Row],[CONTRIB. FOLHA]]+Tabela1107[[#This Row],[TRIBUTOS S/ LUCRO]]+Tabela1107[[#This Row],[OUTROS]]+Tabela1107[[#This Row],[MS]]</f>
        <v>36.74</v>
      </c>
      <c r="BP378" s="97">
        <f>+Tabela1107[[#This Row],[PIS]]+Tabela1107[[#This Row],[COFINS]]+Tabela1107[[#This Row],[CONTRIB. FOLHA]]+Tabela1107[[#This Row],[TRIBUTOS S/ LUCRO]]+Tabela1107[[#This Row],[OUTROS]]+Tabela1107[[#This Row],[DF]]</f>
        <v>36.74</v>
      </c>
      <c r="BQ378" s="97">
        <f>+Tabela1107[[#This Row],[PIS]]+Tabela1107[[#This Row],[COFINS]]+Tabela1107[[#This Row],[CONTRIB. FOLHA]]+Tabela1107[[#This Row],[TRIBUTOS S/ LUCRO]]+Tabela1107[[#This Row],[OUTROS]]+Tabela1107[[#This Row],[BA]]</f>
        <v>36.74</v>
      </c>
      <c r="BR378" s="97">
        <f>+Tabela1107[[#This Row],[PIS]]+Tabela1107[[#This Row],[COFINS]]+Tabela1107[[#This Row],[CONTRIB. FOLHA]]+Tabela1107[[#This Row],[TRIBUTOS S/ LUCRO]]+Tabela1107[[#This Row],[OUTROS]]+Tabela1107[[#This Row],[BA]]</f>
        <v>36.74</v>
      </c>
      <c r="BS378" s="97">
        <f>+Tabela1107[[#This Row],[PIS]]+Tabela1107[[#This Row],[COFINS]]+Tabela1107[[#This Row],[CONTRIB. FOLHA]]+Tabela1107[[#This Row],[TRIBUTOS S/ LUCRO]]+Tabela1107[[#This Row],[OUTROS]]+Tabela1107[[#This Row],[PE]]</f>
        <v>36.74</v>
      </c>
      <c r="BT378" s="97">
        <f>+Tabela1107[[#This Row],[PIS]]+Tabela1107[[#This Row],[COFINS]]+Tabela1107[[#This Row],[CONTRIB. FOLHA]]+Tabela1107[[#This Row],[TRIBUTOS S/ LUCRO]]+Tabela1107[[#This Row],[OUTROS]]+Tabela1107[[#This Row],[PA]]</f>
        <v>36.74</v>
      </c>
      <c r="BU378" s="97">
        <f>+Tabela1107[[#This Row],[PIS]]+Tabela1107[[#This Row],[COFINS]]+Tabela1107[[#This Row],[CONTRIB. FOLHA]]+Tabela1107[[#This Row],[TRIBUTOS S/ LUCRO]]+Tabela1107[[#This Row],[OUTROS]]+Tabela1107[[#This Row],[AM]]</f>
        <v>36.74</v>
      </c>
      <c r="BV378" s="97">
        <f>AVERAGE(Tabela1107[[#This Row],[TOTAL SP]:[TOTAL AM]])</f>
        <v>36.677500000000002</v>
      </c>
      <c r="BW378" s="97"/>
      <c r="BX378" s="97"/>
    </row>
    <row r="379" spans="2:76" x14ac:dyDescent="0.25">
      <c r="B379" s="89">
        <v>21255</v>
      </c>
      <c r="C379" s="91" t="s">
        <v>13183</v>
      </c>
      <c r="D379" s="89"/>
      <c r="E379" s="89">
        <v>20140626</v>
      </c>
      <c r="F379" s="89" t="s">
        <v>20907</v>
      </c>
      <c r="G379" s="89" t="s">
        <v>20908</v>
      </c>
      <c r="H379" s="89" t="s">
        <v>20909</v>
      </c>
      <c r="I379" s="89" t="s">
        <v>20910</v>
      </c>
      <c r="J379" s="89" t="s">
        <v>98</v>
      </c>
      <c r="K379" s="99" t="s">
        <v>2527</v>
      </c>
      <c r="L379" s="89" t="s">
        <v>2685</v>
      </c>
      <c r="M379" s="89" t="s">
        <v>4496</v>
      </c>
      <c r="N379" s="89" t="s">
        <v>4496</v>
      </c>
      <c r="O379" s="89" t="s">
        <v>4496</v>
      </c>
      <c r="P379" s="89" t="s">
        <v>4496</v>
      </c>
      <c r="Q379" s="89"/>
      <c r="R379" s="89" t="s">
        <v>39</v>
      </c>
      <c r="S379" s="89" t="s">
        <v>21616</v>
      </c>
      <c r="T379" s="89" t="s">
        <v>21617</v>
      </c>
      <c r="U379" s="89" t="str">
        <f>TRIM('Carga Tributária doenças Po (2'!$L379)</f>
        <v>SACCHAROMYCES CEREVISAE</v>
      </c>
      <c r="V379" s="89">
        <f>SUMIFS('Tabela Federal'!$E$4:$E$2069,'Tabela Federal'!$D$4:$D$2069,'Carga Tributária doenças Po (2'!$L379)</f>
        <v>0</v>
      </c>
      <c r="W379" s="89">
        <f>SUMIFS('Tabela Federal'!$E$4:$E$2069,'Tabela Federal'!$D$4:$D$2069,'Carga Tributária doenças Po (2'!$M379)</f>
        <v>0</v>
      </c>
      <c r="X379" s="89">
        <f>SUMIFS('Tabela Federal'!$E$4:$E$2069,'Tabela Federal'!$D$4:$D$2069,'Carga Tributária doenças Po (2'!$N379)</f>
        <v>0</v>
      </c>
      <c r="Y379" s="89">
        <f>SUMIFS('Tabela Federal'!$E$4:$E$2069,'Tabela Federal'!$D$4:$D$2069,'Carga Tributária doenças Po (2'!$O379)</f>
        <v>0</v>
      </c>
      <c r="Z379" s="92" t="str">
        <f>VLOOKUP('Carga Tributária doenças Po (2'!$AD379,'Carga Tributária doenças Po (2'!$CA$12:$CC$16,2,0)</f>
        <v>-</v>
      </c>
      <c r="AA379" s="89" t="s">
        <v>95</v>
      </c>
      <c r="AB379" s="89" t="s">
        <v>21787</v>
      </c>
      <c r="AC379" s="89" t="s">
        <v>21740</v>
      </c>
      <c r="AD379" s="93" t="s">
        <v>19523</v>
      </c>
      <c r="AE379" s="92" t="s">
        <v>4</v>
      </c>
      <c r="AF379" s="92" t="s">
        <v>3</v>
      </c>
      <c r="AG379" s="94">
        <v>1387311</v>
      </c>
      <c r="AH379" s="95">
        <v>13571075</v>
      </c>
      <c r="AI379" s="95">
        <v>31088083.690000001</v>
      </c>
      <c r="AJ379" s="89" t="s">
        <v>111</v>
      </c>
      <c r="AK379" s="89">
        <f>IF('Carga Tributária doenças Po (2'!$Z379="+",0,SUMIFS(PISCOFINS!$I$3:$I$10518,PISCOFINS!$C$3:$C$10518,'Carga Tributária doenças Po (2'!$C379))</f>
        <v>2.1</v>
      </c>
      <c r="AL379" s="89">
        <f>IF('Carga Tributária doenças Po (2'!$Z379="+",0,SUMIFS(PISCOFINS!$H$3:$H$10518,PISCOFINS!$C$3:$C$10518,'Carga Tributária doenças Po (2'!$C379))</f>
        <v>9.9</v>
      </c>
      <c r="AM379" s="95">
        <v>3.27</v>
      </c>
      <c r="AN379" s="95">
        <v>3.12</v>
      </c>
      <c r="AO379" s="95">
        <v>1.35</v>
      </c>
      <c r="AP379" s="96">
        <v>18</v>
      </c>
      <c r="AQ379" s="96">
        <v>12</v>
      </c>
      <c r="AR379" s="96">
        <v>17</v>
      </c>
      <c r="AS379" s="97">
        <v>17</v>
      </c>
      <c r="AT379" s="97">
        <v>19</v>
      </c>
      <c r="AU379" s="97">
        <v>18</v>
      </c>
      <c r="AV379" s="97">
        <v>17</v>
      </c>
      <c r="AW379" s="97">
        <v>17</v>
      </c>
      <c r="AX379" s="97">
        <v>17</v>
      </c>
      <c r="AY379" s="97">
        <v>17</v>
      </c>
      <c r="AZ379" s="97">
        <v>17</v>
      </c>
      <c r="BA379" s="97">
        <v>17</v>
      </c>
      <c r="BB379" s="97">
        <v>17</v>
      </c>
      <c r="BC379" s="97">
        <v>17</v>
      </c>
      <c r="BD379" s="97">
        <v>17</v>
      </c>
      <c r="BE379" s="97">
        <v>17</v>
      </c>
      <c r="BF379" s="97">
        <f>+Tabela1107[[#This Row],[PIS]]+Tabela1107[[#This Row],[COFINS]]+Tabela1107[[#This Row],[CONTRIB. FOLHA]]+Tabela1107[[#This Row],[TRIBUTOS S/ LUCRO]]+Tabela1107[[#This Row],[OUTROS]]+Tabela1107[[#This Row],[SP]]</f>
        <v>37.74</v>
      </c>
      <c r="BG379" s="97">
        <f>+Tabela1107[[#This Row],[PIS]]+Tabela1107[[#This Row],[COFINS]]+Tabela1107[[#This Row],[CONTRIB. FOLHA]]+Tabela1107[[#This Row],[TRIBUTOS S/ LUCRO]]+Tabela1107[[#This Row],[OUTROS]]+Tabela1107[[#This Row],[PR]]</f>
        <v>31.740000000000002</v>
      </c>
      <c r="BH379" s="97">
        <f>+Tabela1107[[#This Row],[PIS]]+Tabela1107[[#This Row],[COFINS]]+Tabela1107[[#This Row],[CONTRIB. FOLHA]]+Tabela1107[[#This Row],[TRIBUTOS S/ LUCRO]]+Tabela1107[[#This Row],[OUTROS]]+Tabela1107[[#This Row],[SC]]</f>
        <v>36.74</v>
      </c>
      <c r="BI379" s="97">
        <f>+Tabela1107[[#This Row],[PIS]]+Tabela1107[[#This Row],[COFINS]]+Tabela1107[[#This Row],[CONTRIB. FOLHA]]+Tabela1107[[#This Row],[TRIBUTOS S/ LUCRO]]+Tabela1107[[#This Row],[OUTROS]]+Tabela1107[[#This Row],[RS]]</f>
        <v>36.74</v>
      </c>
      <c r="BJ379" s="97">
        <f>+Tabela1107[[#This Row],[PIS]]+Tabela1107[[#This Row],[COFINS]]+Tabela1107[[#This Row],[CONTRIB. FOLHA]]+Tabela1107[[#This Row],[TRIBUTOS S/ LUCRO]]+Tabela1107[[#This Row],[OUTROS]]+Tabela1107[[#This Row],[RJ]]</f>
        <v>38.74</v>
      </c>
      <c r="BK379" s="97">
        <f>+Tabela1107[[#This Row],[PIS]]+Tabela1107[[#This Row],[COFINS]]+Tabela1107[[#This Row],[CONTRIB. FOLHA]]+Tabela1107[[#This Row],[TRIBUTOS S/ LUCRO]]+Tabela1107[[#This Row],[OUTROS]]+Tabela1107[[#This Row],[MG]]</f>
        <v>37.74</v>
      </c>
      <c r="BL379" s="97">
        <f>+Tabela1107[[#This Row],[PIS]]+Tabela1107[[#This Row],[COFINS]]+Tabela1107[[#This Row],[CONTRIB. FOLHA]]+Tabela1107[[#This Row],[TRIBUTOS S/ LUCRO]]+Tabela1107[[#This Row],[OUTROS]]+Tabela1107[[#This Row],[ES]]</f>
        <v>36.74</v>
      </c>
      <c r="BM379" s="97">
        <f>+Tabela1107[[#This Row],[PIS]]+Tabela1107[[#This Row],[COFINS]]+Tabela1107[[#This Row],[CONTRIB. FOLHA]]+Tabela1107[[#This Row],[TRIBUTOS S/ LUCRO]]+Tabela1107[[#This Row],[OUTROS]]+Tabela1107[[#This Row],[GO]]</f>
        <v>36.74</v>
      </c>
      <c r="BN379" s="97">
        <f>+Tabela1107[[#This Row],[PIS]]+Tabela1107[[#This Row],[COFINS]]+Tabela1107[[#This Row],[CONTRIB. FOLHA]]+Tabela1107[[#This Row],[TRIBUTOS S/ LUCRO]]+Tabela1107[[#This Row],[OUTROS]]+Tabela1107[[#This Row],[MT]]</f>
        <v>36.74</v>
      </c>
      <c r="BO379" s="97">
        <f>+Tabela1107[[#This Row],[PIS]]+Tabela1107[[#This Row],[COFINS]]+Tabela1107[[#This Row],[CONTRIB. FOLHA]]+Tabela1107[[#This Row],[TRIBUTOS S/ LUCRO]]+Tabela1107[[#This Row],[OUTROS]]+Tabela1107[[#This Row],[MS]]</f>
        <v>36.74</v>
      </c>
      <c r="BP379" s="97">
        <f>+Tabela1107[[#This Row],[PIS]]+Tabela1107[[#This Row],[COFINS]]+Tabela1107[[#This Row],[CONTRIB. FOLHA]]+Tabela1107[[#This Row],[TRIBUTOS S/ LUCRO]]+Tabela1107[[#This Row],[OUTROS]]+Tabela1107[[#This Row],[DF]]</f>
        <v>36.74</v>
      </c>
      <c r="BQ379" s="97">
        <f>+Tabela1107[[#This Row],[PIS]]+Tabela1107[[#This Row],[COFINS]]+Tabela1107[[#This Row],[CONTRIB. FOLHA]]+Tabela1107[[#This Row],[TRIBUTOS S/ LUCRO]]+Tabela1107[[#This Row],[OUTROS]]+Tabela1107[[#This Row],[BA]]</f>
        <v>36.74</v>
      </c>
      <c r="BR379" s="97">
        <f>+Tabela1107[[#This Row],[PIS]]+Tabela1107[[#This Row],[COFINS]]+Tabela1107[[#This Row],[CONTRIB. FOLHA]]+Tabela1107[[#This Row],[TRIBUTOS S/ LUCRO]]+Tabela1107[[#This Row],[OUTROS]]+Tabela1107[[#This Row],[BA]]</f>
        <v>36.74</v>
      </c>
      <c r="BS379" s="97">
        <f>+Tabela1107[[#This Row],[PIS]]+Tabela1107[[#This Row],[COFINS]]+Tabela1107[[#This Row],[CONTRIB. FOLHA]]+Tabela1107[[#This Row],[TRIBUTOS S/ LUCRO]]+Tabela1107[[#This Row],[OUTROS]]+Tabela1107[[#This Row],[PE]]</f>
        <v>36.74</v>
      </c>
      <c r="BT379" s="97">
        <f>+Tabela1107[[#This Row],[PIS]]+Tabela1107[[#This Row],[COFINS]]+Tabela1107[[#This Row],[CONTRIB. FOLHA]]+Tabela1107[[#This Row],[TRIBUTOS S/ LUCRO]]+Tabela1107[[#This Row],[OUTROS]]+Tabela1107[[#This Row],[PA]]</f>
        <v>36.74</v>
      </c>
      <c r="BU379" s="97">
        <f>+Tabela1107[[#This Row],[PIS]]+Tabela1107[[#This Row],[COFINS]]+Tabela1107[[#This Row],[CONTRIB. FOLHA]]+Tabela1107[[#This Row],[TRIBUTOS S/ LUCRO]]+Tabela1107[[#This Row],[OUTROS]]+Tabela1107[[#This Row],[AM]]</f>
        <v>36.74</v>
      </c>
      <c r="BV379" s="97">
        <f>AVERAGE(Tabela1107[[#This Row],[TOTAL SP]:[TOTAL AM]])</f>
        <v>36.677500000000002</v>
      </c>
      <c r="BW379" s="97"/>
      <c r="BX379" s="97"/>
    </row>
    <row r="380" spans="2:76" x14ac:dyDescent="0.25">
      <c r="B380" s="89">
        <v>16285</v>
      </c>
      <c r="C380" s="91" t="s">
        <v>13001</v>
      </c>
      <c r="D380" s="89"/>
      <c r="E380" s="89">
        <v>20140626</v>
      </c>
      <c r="F380" s="89" t="s">
        <v>20854</v>
      </c>
      <c r="G380" s="89" t="s">
        <v>20855</v>
      </c>
      <c r="H380" s="89" t="s">
        <v>20856</v>
      </c>
      <c r="I380" s="89" t="s">
        <v>20857</v>
      </c>
      <c r="J380" s="89" t="s">
        <v>214</v>
      </c>
      <c r="K380" s="89" t="s">
        <v>2526</v>
      </c>
      <c r="L380" s="89" t="s">
        <v>2632</v>
      </c>
      <c r="M380" s="89" t="s">
        <v>3168</v>
      </c>
      <c r="N380" s="89" t="s">
        <v>4509</v>
      </c>
      <c r="O380" s="89" t="s">
        <v>4496</v>
      </c>
      <c r="P380" s="89" t="s">
        <v>4496</v>
      </c>
      <c r="Q380" s="89"/>
      <c r="R380" s="89" t="s">
        <v>215</v>
      </c>
      <c r="S380" s="89" t="s">
        <v>21630</v>
      </c>
      <c r="T380" s="89" t="s">
        <v>21631</v>
      </c>
      <c r="U380" s="89" t="str">
        <f>TRIM('Carga Tributária doenças Po (2'!$L380)</f>
        <v>PARACETAMOL</v>
      </c>
      <c r="V380" s="89">
        <f>SUMIFS('Tabela Federal'!$E$4:$E$2069,'Tabela Federal'!$D$4:$D$2069,'Carga Tributária doenças Po (2'!$L380)</f>
        <v>0</v>
      </c>
      <c r="W380" s="89">
        <f>SUMIFS('Tabela Federal'!$E$4:$E$2069,'Tabela Federal'!$D$4:$D$2069,'Carga Tributária doenças Po (2'!$M380)</f>
        <v>0</v>
      </c>
      <c r="X380" s="89">
        <f>SUMIFS('Tabela Federal'!$E$4:$E$2069,'Tabela Federal'!$D$4:$D$2069,'Carga Tributária doenças Po (2'!$N380)</f>
        <v>0</v>
      </c>
      <c r="Y380" s="89">
        <f>SUMIFS('Tabela Federal'!$E$4:$E$2069,'Tabela Federal'!$D$4:$D$2069,'Carga Tributária doenças Po (2'!$O380)</f>
        <v>0</v>
      </c>
      <c r="Z380" s="92" t="str">
        <f>VLOOKUP('Carga Tributária doenças Po (2'!$AD380,'Carga Tributária doenças Po (2'!$CA$12:$CC$16,2,0)</f>
        <v>-</v>
      </c>
      <c r="AA380" s="89" t="s">
        <v>0</v>
      </c>
      <c r="AB380" s="89" t="s">
        <v>21797</v>
      </c>
      <c r="AC380" s="89" t="s">
        <v>21740</v>
      </c>
      <c r="AD380" s="93" t="s">
        <v>19523</v>
      </c>
      <c r="AE380" s="92" t="s">
        <v>4</v>
      </c>
      <c r="AF380" s="92" t="s">
        <v>23</v>
      </c>
      <c r="AG380" s="94">
        <v>3050920</v>
      </c>
      <c r="AH380" s="95">
        <v>33537009</v>
      </c>
      <c r="AI380" s="95">
        <v>76211978.590000004</v>
      </c>
      <c r="AJ380" s="89" t="s">
        <v>227</v>
      </c>
      <c r="AK380" s="89">
        <f>IF('Carga Tributária doenças Po (2'!$Z380="+",0,SUMIFS(PISCOFINS!$I$3:$I$10518,PISCOFINS!$C$3:$C$10518,'Carga Tributária doenças Po (2'!$C380))</f>
        <v>2.1</v>
      </c>
      <c r="AL380" s="89">
        <f>IF('Carga Tributária doenças Po (2'!$Z380="+",0,SUMIFS(PISCOFINS!$H$3:$H$10518,PISCOFINS!$C$3:$C$10518,'Carga Tributária doenças Po (2'!$C380))</f>
        <v>9.9</v>
      </c>
      <c r="AM380" s="95">
        <v>3.27</v>
      </c>
      <c r="AN380" s="95">
        <v>3.12</v>
      </c>
      <c r="AO380" s="95">
        <v>1.35</v>
      </c>
      <c r="AP380" s="96">
        <v>18</v>
      </c>
      <c r="AQ380" s="96">
        <v>12</v>
      </c>
      <c r="AR380" s="96">
        <v>17</v>
      </c>
      <c r="AS380" s="97">
        <v>17</v>
      </c>
      <c r="AT380" s="97">
        <v>19</v>
      </c>
      <c r="AU380" s="97">
        <v>18</v>
      </c>
      <c r="AV380" s="97">
        <v>17</v>
      </c>
      <c r="AW380" s="97">
        <v>17</v>
      </c>
      <c r="AX380" s="97">
        <v>17</v>
      </c>
      <c r="AY380" s="97">
        <v>17</v>
      </c>
      <c r="AZ380" s="97">
        <v>17</v>
      </c>
      <c r="BA380" s="97">
        <v>17</v>
      </c>
      <c r="BB380" s="97">
        <v>17</v>
      </c>
      <c r="BC380" s="97">
        <v>17</v>
      </c>
      <c r="BD380" s="97">
        <v>17</v>
      </c>
      <c r="BE380" s="97">
        <v>17</v>
      </c>
      <c r="BF380" s="97">
        <f>+Tabela1107[[#This Row],[PIS]]+Tabela1107[[#This Row],[COFINS]]+Tabela1107[[#This Row],[CONTRIB. FOLHA]]+Tabela1107[[#This Row],[TRIBUTOS S/ LUCRO]]+Tabela1107[[#This Row],[OUTROS]]+Tabela1107[[#This Row],[SP]]</f>
        <v>37.74</v>
      </c>
      <c r="BG380" s="97">
        <f>+Tabela1107[[#This Row],[PIS]]+Tabela1107[[#This Row],[COFINS]]+Tabela1107[[#This Row],[CONTRIB. FOLHA]]+Tabela1107[[#This Row],[TRIBUTOS S/ LUCRO]]+Tabela1107[[#This Row],[OUTROS]]+Tabela1107[[#This Row],[PR]]</f>
        <v>31.740000000000002</v>
      </c>
      <c r="BH380" s="97">
        <f>+Tabela1107[[#This Row],[PIS]]+Tabela1107[[#This Row],[COFINS]]+Tabela1107[[#This Row],[CONTRIB. FOLHA]]+Tabela1107[[#This Row],[TRIBUTOS S/ LUCRO]]+Tabela1107[[#This Row],[OUTROS]]+Tabela1107[[#This Row],[SC]]</f>
        <v>36.74</v>
      </c>
      <c r="BI380" s="97">
        <f>+Tabela1107[[#This Row],[PIS]]+Tabela1107[[#This Row],[COFINS]]+Tabela1107[[#This Row],[CONTRIB. FOLHA]]+Tabela1107[[#This Row],[TRIBUTOS S/ LUCRO]]+Tabela1107[[#This Row],[OUTROS]]+Tabela1107[[#This Row],[RS]]</f>
        <v>36.74</v>
      </c>
      <c r="BJ380" s="97">
        <f>+Tabela1107[[#This Row],[PIS]]+Tabela1107[[#This Row],[COFINS]]+Tabela1107[[#This Row],[CONTRIB. FOLHA]]+Tabela1107[[#This Row],[TRIBUTOS S/ LUCRO]]+Tabela1107[[#This Row],[OUTROS]]+Tabela1107[[#This Row],[RJ]]</f>
        <v>38.74</v>
      </c>
      <c r="BK380" s="97">
        <f>+Tabela1107[[#This Row],[PIS]]+Tabela1107[[#This Row],[COFINS]]+Tabela1107[[#This Row],[CONTRIB. FOLHA]]+Tabela1107[[#This Row],[TRIBUTOS S/ LUCRO]]+Tabela1107[[#This Row],[OUTROS]]+Tabela1107[[#This Row],[MG]]</f>
        <v>37.74</v>
      </c>
      <c r="BL380" s="97">
        <f>+Tabela1107[[#This Row],[PIS]]+Tabela1107[[#This Row],[COFINS]]+Tabela1107[[#This Row],[CONTRIB. FOLHA]]+Tabela1107[[#This Row],[TRIBUTOS S/ LUCRO]]+Tabela1107[[#This Row],[OUTROS]]+Tabela1107[[#This Row],[ES]]</f>
        <v>36.74</v>
      </c>
      <c r="BM380" s="97">
        <f>+Tabela1107[[#This Row],[PIS]]+Tabela1107[[#This Row],[COFINS]]+Tabela1107[[#This Row],[CONTRIB. FOLHA]]+Tabela1107[[#This Row],[TRIBUTOS S/ LUCRO]]+Tabela1107[[#This Row],[OUTROS]]+Tabela1107[[#This Row],[GO]]</f>
        <v>36.74</v>
      </c>
      <c r="BN380" s="97">
        <f>+Tabela1107[[#This Row],[PIS]]+Tabela1107[[#This Row],[COFINS]]+Tabela1107[[#This Row],[CONTRIB. FOLHA]]+Tabela1107[[#This Row],[TRIBUTOS S/ LUCRO]]+Tabela1107[[#This Row],[OUTROS]]+Tabela1107[[#This Row],[MT]]</f>
        <v>36.74</v>
      </c>
      <c r="BO380" s="97">
        <f>+Tabela1107[[#This Row],[PIS]]+Tabela1107[[#This Row],[COFINS]]+Tabela1107[[#This Row],[CONTRIB. FOLHA]]+Tabela1107[[#This Row],[TRIBUTOS S/ LUCRO]]+Tabela1107[[#This Row],[OUTROS]]+Tabela1107[[#This Row],[MS]]</f>
        <v>36.74</v>
      </c>
      <c r="BP380" s="97">
        <f>+Tabela1107[[#This Row],[PIS]]+Tabela1107[[#This Row],[COFINS]]+Tabela1107[[#This Row],[CONTRIB. FOLHA]]+Tabela1107[[#This Row],[TRIBUTOS S/ LUCRO]]+Tabela1107[[#This Row],[OUTROS]]+Tabela1107[[#This Row],[DF]]</f>
        <v>36.74</v>
      </c>
      <c r="BQ380" s="97">
        <f>+Tabela1107[[#This Row],[PIS]]+Tabela1107[[#This Row],[COFINS]]+Tabela1107[[#This Row],[CONTRIB. FOLHA]]+Tabela1107[[#This Row],[TRIBUTOS S/ LUCRO]]+Tabela1107[[#This Row],[OUTROS]]+Tabela1107[[#This Row],[BA]]</f>
        <v>36.74</v>
      </c>
      <c r="BR380" s="97">
        <f>+Tabela1107[[#This Row],[PIS]]+Tabela1107[[#This Row],[COFINS]]+Tabela1107[[#This Row],[CONTRIB. FOLHA]]+Tabela1107[[#This Row],[TRIBUTOS S/ LUCRO]]+Tabela1107[[#This Row],[OUTROS]]+Tabela1107[[#This Row],[BA]]</f>
        <v>36.74</v>
      </c>
      <c r="BS380" s="97">
        <f>+Tabela1107[[#This Row],[PIS]]+Tabela1107[[#This Row],[COFINS]]+Tabela1107[[#This Row],[CONTRIB. FOLHA]]+Tabela1107[[#This Row],[TRIBUTOS S/ LUCRO]]+Tabela1107[[#This Row],[OUTROS]]+Tabela1107[[#This Row],[PE]]</f>
        <v>36.74</v>
      </c>
      <c r="BT380" s="97">
        <f>+Tabela1107[[#This Row],[PIS]]+Tabela1107[[#This Row],[COFINS]]+Tabela1107[[#This Row],[CONTRIB. FOLHA]]+Tabela1107[[#This Row],[TRIBUTOS S/ LUCRO]]+Tabela1107[[#This Row],[OUTROS]]+Tabela1107[[#This Row],[PA]]</f>
        <v>36.74</v>
      </c>
      <c r="BU380" s="97">
        <f>+Tabela1107[[#This Row],[PIS]]+Tabela1107[[#This Row],[COFINS]]+Tabela1107[[#This Row],[CONTRIB. FOLHA]]+Tabela1107[[#This Row],[TRIBUTOS S/ LUCRO]]+Tabela1107[[#This Row],[OUTROS]]+Tabela1107[[#This Row],[AM]]</f>
        <v>36.74</v>
      </c>
      <c r="BV380" s="97">
        <f>AVERAGE(Tabela1107[[#This Row],[TOTAL SP]:[TOTAL AM]])</f>
        <v>36.677500000000002</v>
      </c>
      <c r="BW380" s="97"/>
      <c r="BX380" s="97"/>
    </row>
    <row r="381" spans="2:76" x14ac:dyDescent="0.25">
      <c r="B381" s="89">
        <v>16369</v>
      </c>
      <c r="C381" s="91" t="s">
        <v>13147</v>
      </c>
      <c r="D381" s="89"/>
      <c r="E381" s="89">
        <v>20140626</v>
      </c>
      <c r="F381" s="89" t="s">
        <v>21168</v>
      </c>
      <c r="G381" s="89" t="s">
        <v>21169</v>
      </c>
      <c r="H381" s="89" t="s">
        <v>21170</v>
      </c>
      <c r="I381" s="89" t="s">
        <v>21171</v>
      </c>
      <c r="J381" s="89" t="s">
        <v>217</v>
      </c>
      <c r="K381" s="99" t="s">
        <v>2525</v>
      </c>
      <c r="L381" s="89" t="s">
        <v>2667</v>
      </c>
      <c r="M381" s="89" t="s">
        <v>2632</v>
      </c>
      <c r="N381" s="89" t="s">
        <v>2629</v>
      </c>
      <c r="O381" s="89" t="s">
        <v>4496</v>
      </c>
      <c r="P381" s="89" t="s">
        <v>4496</v>
      </c>
      <c r="Q381" s="89"/>
      <c r="R381" s="89" t="s">
        <v>34</v>
      </c>
      <c r="S381" s="89" t="s">
        <v>21670</v>
      </c>
      <c r="T381" s="89" t="s">
        <v>21671</v>
      </c>
      <c r="U381" s="89" t="str">
        <f>TRIM('Carga Tributária doenças Po (2'!$L381)</f>
        <v>CLORIDRATO DE FENILEFRINA</v>
      </c>
      <c r="V381" s="89">
        <f>SUMIFS('Tabela Federal'!$E$4:$E$2069,'Tabela Federal'!$D$4:$D$2069,'Carga Tributária doenças Po (2'!$L381)</f>
        <v>3</v>
      </c>
      <c r="W381" s="89">
        <f>SUMIFS('Tabela Federal'!$E$4:$E$2069,'Tabela Federal'!$D$4:$D$2069,'Carga Tributária doenças Po (2'!$M381)</f>
        <v>0</v>
      </c>
      <c r="X381" s="89">
        <f>SUMIFS('Tabela Federal'!$E$4:$E$2069,'Tabela Federal'!$D$4:$D$2069,'Carga Tributária doenças Po (2'!$N381)</f>
        <v>0</v>
      </c>
      <c r="Y381" s="89">
        <f>SUMIFS('Tabela Federal'!$E$4:$E$2069,'Tabela Federal'!$D$4:$D$2069,'Carga Tributária doenças Po (2'!$O381)</f>
        <v>0</v>
      </c>
      <c r="Z381" s="92" t="str">
        <f>VLOOKUP('Carga Tributária doenças Po (2'!$AD381,'Carga Tributária doenças Po (2'!$CA$12:$CC$16,2,0)</f>
        <v>-</v>
      </c>
      <c r="AA381" s="89" t="s">
        <v>0</v>
      </c>
      <c r="AB381" s="89" t="s">
        <v>21797</v>
      </c>
      <c r="AC381" s="89" t="s">
        <v>21721</v>
      </c>
      <c r="AD381" s="93" t="s">
        <v>19523</v>
      </c>
      <c r="AE381" s="92" t="s">
        <v>4</v>
      </c>
      <c r="AF381" s="92" t="s">
        <v>3</v>
      </c>
      <c r="AG381" s="94">
        <v>2086386</v>
      </c>
      <c r="AH381" s="95">
        <v>14006251</v>
      </c>
      <c r="AI381" s="95">
        <v>31798311.030000001</v>
      </c>
      <c r="AJ381" s="89" t="s">
        <v>227</v>
      </c>
      <c r="AK381" s="89">
        <f>IF('Carga Tributária doenças Po (2'!$Z381="+",0,SUMIFS(PISCOFINS!$I$3:$I$10518,PISCOFINS!$C$3:$C$10518,'Carga Tributária doenças Po (2'!$C381))</f>
        <v>2.1</v>
      </c>
      <c r="AL381" s="89">
        <f>IF('Carga Tributária doenças Po (2'!$Z381="+",0,SUMIFS(PISCOFINS!$H$3:$H$10518,PISCOFINS!$C$3:$C$10518,'Carga Tributária doenças Po (2'!$C381))</f>
        <v>9.9</v>
      </c>
      <c r="AM381" s="95">
        <v>3.27</v>
      </c>
      <c r="AN381" s="95">
        <v>3.12</v>
      </c>
      <c r="AO381" s="95">
        <v>1.35</v>
      </c>
      <c r="AP381" s="96">
        <v>18</v>
      </c>
      <c r="AQ381" s="96">
        <v>12</v>
      </c>
      <c r="AR381" s="96">
        <v>17</v>
      </c>
      <c r="AS381" s="97">
        <v>17</v>
      </c>
      <c r="AT381" s="97">
        <v>19</v>
      </c>
      <c r="AU381" s="97">
        <v>18</v>
      </c>
      <c r="AV381" s="97">
        <v>17</v>
      </c>
      <c r="AW381" s="97">
        <v>17</v>
      </c>
      <c r="AX381" s="97">
        <v>17</v>
      </c>
      <c r="AY381" s="97">
        <v>17</v>
      </c>
      <c r="AZ381" s="97">
        <v>17</v>
      </c>
      <c r="BA381" s="97">
        <v>17</v>
      </c>
      <c r="BB381" s="97">
        <v>17</v>
      </c>
      <c r="BC381" s="97">
        <v>17</v>
      </c>
      <c r="BD381" s="97">
        <v>17</v>
      </c>
      <c r="BE381" s="97">
        <v>17</v>
      </c>
      <c r="BF381" s="97">
        <f>+Tabela1107[[#This Row],[PIS]]+Tabela1107[[#This Row],[COFINS]]+Tabela1107[[#This Row],[CONTRIB. FOLHA]]+Tabela1107[[#This Row],[TRIBUTOS S/ LUCRO]]+Tabela1107[[#This Row],[OUTROS]]+Tabela1107[[#This Row],[SP]]</f>
        <v>37.74</v>
      </c>
      <c r="BG381" s="97">
        <f>+Tabela1107[[#This Row],[PIS]]+Tabela1107[[#This Row],[COFINS]]+Tabela1107[[#This Row],[CONTRIB. FOLHA]]+Tabela1107[[#This Row],[TRIBUTOS S/ LUCRO]]+Tabela1107[[#This Row],[OUTROS]]+Tabela1107[[#This Row],[PR]]</f>
        <v>31.740000000000002</v>
      </c>
      <c r="BH381" s="97">
        <f>+Tabela1107[[#This Row],[PIS]]+Tabela1107[[#This Row],[COFINS]]+Tabela1107[[#This Row],[CONTRIB. FOLHA]]+Tabela1107[[#This Row],[TRIBUTOS S/ LUCRO]]+Tabela1107[[#This Row],[OUTROS]]+Tabela1107[[#This Row],[SC]]</f>
        <v>36.74</v>
      </c>
      <c r="BI381" s="97">
        <f>+Tabela1107[[#This Row],[PIS]]+Tabela1107[[#This Row],[COFINS]]+Tabela1107[[#This Row],[CONTRIB. FOLHA]]+Tabela1107[[#This Row],[TRIBUTOS S/ LUCRO]]+Tabela1107[[#This Row],[OUTROS]]+Tabela1107[[#This Row],[RS]]</f>
        <v>36.74</v>
      </c>
      <c r="BJ381" s="97">
        <f>+Tabela1107[[#This Row],[PIS]]+Tabela1107[[#This Row],[COFINS]]+Tabela1107[[#This Row],[CONTRIB. FOLHA]]+Tabela1107[[#This Row],[TRIBUTOS S/ LUCRO]]+Tabela1107[[#This Row],[OUTROS]]+Tabela1107[[#This Row],[RJ]]</f>
        <v>38.74</v>
      </c>
      <c r="BK381" s="97">
        <f>+Tabela1107[[#This Row],[PIS]]+Tabela1107[[#This Row],[COFINS]]+Tabela1107[[#This Row],[CONTRIB. FOLHA]]+Tabela1107[[#This Row],[TRIBUTOS S/ LUCRO]]+Tabela1107[[#This Row],[OUTROS]]+Tabela1107[[#This Row],[MG]]</f>
        <v>37.74</v>
      </c>
      <c r="BL381" s="97">
        <f>+Tabela1107[[#This Row],[PIS]]+Tabela1107[[#This Row],[COFINS]]+Tabela1107[[#This Row],[CONTRIB. FOLHA]]+Tabela1107[[#This Row],[TRIBUTOS S/ LUCRO]]+Tabela1107[[#This Row],[OUTROS]]+Tabela1107[[#This Row],[ES]]</f>
        <v>36.74</v>
      </c>
      <c r="BM381" s="97">
        <f>+Tabela1107[[#This Row],[PIS]]+Tabela1107[[#This Row],[COFINS]]+Tabela1107[[#This Row],[CONTRIB. FOLHA]]+Tabela1107[[#This Row],[TRIBUTOS S/ LUCRO]]+Tabela1107[[#This Row],[OUTROS]]+Tabela1107[[#This Row],[GO]]</f>
        <v>36.74</v>
      </c>
      <c r="BN381" s="97">
        <f>+Tabela1107[[#This Row],[PIS]]+Tabela1107[[#This Row],[COFINS]]+Tabela1107[[#This Row],[CONTRIB. FOLHA]]+Tabela1107[[#This Row],[TRIBUTOS S/ LUCRO]]+Tabela1107[[#This Row],[OUTROS]]+Tabela1107[[#This Row],[MT]]</f>
        <v>36.74</v>
      </c>
      <c r="BO381" s="97">
        <f>+Tabela1107[[#This Row],[PIS]]+Tabela1107[[#This Row],[COFINS]]+Tabela1107[[#This Row],[CONTRIB. FOLHA]]+Tabela1107[[#This Row],[TRIBUTOS S/ LUCRO]]+Tabela1107[[#This Row],[OUTROS]]+Tabela1107[[#This Row],[MS]]</f>
        <v>36.74</v>
      </c>
      <c r="BP381" s="97">
        <f>+Tabela1107[[#This Row],[PIS]]+Tabela1107[[#This Row],[COFINS]]+Tabela1107[[#This Row],[CONTRIB. FOLHA]]+Tabela1107[[#This Row],[TRIBUTOS S/ LUCRO]]+Tabela1107[[#This Row],[OUTROS]]+Tabela1107[[#This Row],[DF]]</f>
        <v>36.74</v>
      </c>
      <c r="BQ381" s="97">
        <f>+Tabela1107[[#This Row],[PIS]]+Tabela1107[[#This Row],[COFINS]]+Tabela1107[[#This Row],[CONTRIB. FOLHA]]+Tabela1107[[#This Row],[TRIBUTOS S/ LUCRO]]+Tabela1107[[#This Row],[OUTROS]]+Tabela1107[[#This Row],[BA]]</f>
        <v>36.74</v>
      </c>
      <c r="BR381" s="97">
        <f>+Tabela1107[[#This Row],[PIS]]+Tabela1107[[#This Row],[COFINS]]+Tabela1107[[#This Row],[CONTRIB. FOLHA]]+Tabela1107[[#This Row],[TRIBUTOS S/ LUCRO]]+Tabela1107[[#This Row],[OUTROS]]+Tabela1107[[#This Row],[BA]]</f>
        <v>36.74</v>
      </c>
      <c r="BS381" s="97">
        <f>+Tabela1107[[#This Row],[PIS]]+Tabela1107[[#This Row],[COFINS]]+Tabela1107[[#This Row],[CONTRIB. FOLHA]]+Tabela1107[[#This Row],[TRIBUTOS S/ LUCRO]]+Tabela1107[[#This Row],[OUTROS]]+Tabela1107[[#This Row],[PE]]</f>
        <v>36.74</v>
      </c>
      <c r="BT381" s="97">
        <f>+Tabela1107[[#This Row],[PIS]]+Tabela1107[[#This Row],[COFINS]]+Tabela1107[[#This Row],[CONTRIB. FOLHA]]+Tabela1107[[#This Row],[TRIBUTOS S/ LUCRO]]+Tabela1107[[#This Row],[OUTROS]]+Tabela1107[[#This Row],[PA]]</f>
        <v>36.74</v>
      </c>
      <c r="BU381" s="97">
        <f>+Tabela1107[[#This Row],[PIS]]+Tabela1107[[#This Row],[COFINS]]+Tabela1107[[#This Row],[CONTRIB. FOLHA]]+Tabela1107[[#This Row],[TRIBUTOS S/ LUCRO]]+Tabela1107[[#This Row],[OUTROS]]+Tabela1107[[#This Row],[AM]]</f>
        <v>36.74</v>
      </c>
      <c r="BV381" s="97">
        <f>AVERAGE(Tabela1107[[#This Row],[TOTAL SP]:[TOTAL AM]])</f>
        <v>36.677500000000002</v>
      </c>
      <c r="BW381" s="97"/>
      <c r="BX381" s="97"/>
    </row>
    <row r="382" spans="2:76" x14ac:dyDescent="0.25">
      <c r="B382" s="89">
        <v>8367</v>
      </c>
      <c r="C382" s="91" t="s">
        <v>13022</v>
      </c>
      <c r="D382" s="89"/>
      <c r="E382" s="89">
        <v>20140626</v>
      </c>
      <c r="F382" s="89" t="s">
        <v>20439</v>
      </c>
      <c r="G382" s="89" t="s">
        <v>20440</v>
      </c>
      <c r="H382" s="89" t="s">
        <v>20441</v>
      </c>
      <c r="I382" s="89" t="s">
        <v>20442</v>
      </c>
      <c r="J382" s="89" t="s">
        <v>388</v>
      </c>
      <c r="K382" s="99" t="s">
        <v>2524</v>
      </c>
      <c r="L382" s="89" t="s">
        <v>2686</v>
      </c>
      <c r="M382" s="89" t="s">
        <v>4496</v>
      </c>
      <c r="N382" s="89" t="s">
        <v>4496</v>
      </c>
      <c r="O382" s="89" t="s">
        <v>4496</v>
      </c>
      <c r="P382" s="89" t="s">
        <v>4496</v>
      </c>
      <c r="Q382" s="89"/>
      <c r="R382" s="89" t="s">
        <v>109</v>
      </c>
      <c r="S382" s="89" t="s">
        <v>21578</v>
      </c>
      <c r="T382" s="89" t="s">
        <v>21579</v>
      </c>
      <c r="U382" s="89" t="str">
        <f>TRIM('Carga Tributária doenças Po (2'!$L382)</f>
        <v>HIDROXICLOROQUINA</v>
      </c>
      <c r="V382" s="89">
        <f>SUMIFS('Tabela Federal'!$E$4:$E$2069,'Tabela Federal'!$D$4:$D$2069,'Carga Tributária doenças Po (2'!$L382)</f>
        <v>0</v>
      </c>
      <c r="W382" s="89">
        <f>SUMIFS('Tabela Federal'!$E$4:$E$2069,'Tabela Federal'!$D$4:$D$2069,'Carga Tributária doenças Po (2'!$M382)</f>
        <v>0</v>
      </c>
      <c r="X382" s="89">
        <f>SUMIFS('Tabela Federal'!$E$4:$E$2069,'Tabela Federal'!$D$4:$D$2069,'Carga Tributária doenças Po (2'!$N382)</f>
        <v>0</v>
      </c>
      <c r="Y382" s="89">
        <f>SUMIFS('Tabela Federal'!$E$4:$E$2069,'Tabela Federal'!$D$4:$D$2069,'Carga Tributária doenças Po (2'!$O382)</f>
        <v>0</v>
      </c>
      <c r="Z382" s="92" t="str">
        <f>VLOOKUP('Carga Tributária doenças Po (2'!$AD382,'Carga Tributária doenças Po (2'!$CA$12:$CC$16,2,0)</f>
        <v>+</v>
      </c>
      <c r="AA382" s="89" t="s">
        <v>389</v>
      </c>
      <c r="AB382" s="89" t="s">
        <v>21874</v>
      </c>
      <c r="AC382" s="89" t="s">
        <v>21721</v>
      </c>
      <c r="AD382" s="93" t="s">
        <v>21722</v>
      </c>
      <c r="AE382" s="92" t="s">
        <v>2</v>
      </c>
      <c r="AF382" s="92" t="s">
        <v>3</v>
      </c>
      <c r="AG382" s="94">
        <v>458782</v>
      </c>
      <c r="AH382" s="95">
        <v>9639163</v>
      </c>
      <c r="AI382" s="95">
        <v>22024409.280000001</v>
      </c>
      <c r="AJ382" s="89" t="s">
        <v>394</v>
      </c>
      <c r="AK382" s="89">
        <f>IF('Carga Tributária doenças Po (2'!$Z382="+",0,SUMIFS(PISCOFINS!$I$3:$I$10518,PISCOFINS!$C$3:$C$10518,'Carga Tributária doenças Po (2'!$C382))</f>
        <v>0</v>
      </c>
      <c r="AL382" s="89">
        <f>IF('Carga Tributária doenças Po (2'!$Z382="+",0,SUMIFS(PISCOFINS!$H$3:$H$10518,PISCOFINS!$C$3:$C$10518,'Carga Tributária doenças Po (2'!$C382))</f>
        <v>0</v>
      </c>
      <c r="AM382" s="95">
        <v>3.27</v>
      </c>
      <c r="AN382" s="95">
        <v>3.12</v>
      </c>
      <c r="AO382" s="95">
        <v>1.35</v>
      </c>
      <c r="AP382" s="96">
        <v>18</v>
      </c>
      <c r="AQ382" s="96">
        <v>12</v>
      </c>
      <c r="AR382" s="96">
        <v>17</v>
      </c>
      <c r="AS382" s="97">
        <v>17</v>
      </c>
      <c r="AT382" s="97">
        <v>19</v>
      </c>
      <c r="AU382" s="97">
        <v>18</v>
      </c>
      <c r="AV382" s="97">
        <v>17</v>
      </c>
      <c r="AW382" s="97">
        <v>17</v>
      </c>
      <c r="AX382" s="97">
        <v>17</v>
      </c>
      <c r="AY382" s="97">
        <v>17</v>
      </c>
      <c r="AZ382" s="97">
        <v>17</v>
      </c>
      <c r="BA382" s="97">
        <v>17</v>
      </c>
      <c r="BB382" s="97">
        <v>17</v>
      </c>
      <c r="BC382" s="97">
        <v>17</v>
      </c>
      <c r="BD382" s="97">
        <v>17</v>
      </c>
      <c r="BE382" s="97">
        <v>17</v>
      </c>
      <c r="BF382" s="97">
        <f>+Tabela1107[[#This Row],[PIS]]+Tabela1107[[#This Row],[COFINS]]+Tabela1107[[#This Row],[CONTRIB. FOLHA]]+Tabela1107[[#This Row],[TRIBUTOS S/ LUCRO]]+Tabela1107[[#This Row],[OUTROS]]+Tabela1107[[#This Row],[SP]]</f>
        <v>25.740000000000002</v>
      </c>
      <c r="BG382" s="97">
        <f>+Tabela1107[[#This Row],[PIS]]+Tabela1107[[#This Row],[COFINS]]+Tabela1107[[#This Row],[CONTRIB. FOLHA]]+Tabela1107[[#This Row],[TRIBUTOS S/ LUCRO]]+Tabela1107[[#This Row],[OUTROS]]+Tabela1107[[#This Row],[PR]]</f>
        <v>19.740000000000002</v>
      </c>
      <c r="BH382" s="97">
        <f>+Tabela1107[[#This Row],[PIS]]+Tabela1107[[#This Row],[COFINS]]+Tabela1107[[#This Row],[CONTRIB. FOLHA]]+Tabela1107[[#This Row],[TRIBUTOS S/ LUCRO]]+Tabela1107[[#This Row],[OUTROS]]+Tabela1107[[#This Row],[SC]]</f>
        <v>24.740000000000002</v>
      </c>
      <c r="BI382" s="97">
        <f>+Tabela1107[[#This Row],[PIS]]+Tabela1107[[#This Row],[COFINS]]+Tabela1107[[#This Row],[CONTRIB. FOLHA]]+Tabela1107[[#This Row],[TRIBUTOS S/ LUCRO]]+Tabela1107[[#This Row],[OUTROS]]+Tabela1107[[#This Row],[RS]]</f>
        <v>24.740000000000002</v>
      </c>
      <c r="BJ382" s="97">
        <f>+Tabela1107[[#This Row],[PIS]]+Tabela1107[[#This Row],[COFINS]]+Tabela1107[[#This Row],[CONTRIB. FOLHA]]+Tabela1107[[#This Row],[TRIBUTOS S/ LUCRO]]+Tabela1107[[#This Row],[OUTROS]]+Tabela1107[[#This Row],[RJ]]</f>
        <v>26.740000000000002</v>
      </c>
      <c r="BK382" s="97">
        <f>+Tabela1107[[#This Row],[PIS]]+Tabela1107[[#This Row],[COFINS]]+Tabela1107[[#This Row],[CONTRIB. FOLHA]]+Tabela1107[[#This Row],[TRIBUTOS S/ LUCRO]]+Tabela1107[[#This Row],[OUTROS]]+Tabela1107[[#This Row],[MG]]</f>
        <v>25.740000000000002</v>
      </c>
      <c r="BL382" s="97">
        <f>+Tabela1107[[#This Row],[PIS]]+Tabela1107[[#This Row],[COFINS]]+Tabela1107[[#This Row],[CONTRIB. FOLHA]]+Tabela1107[[#This Row],[TRIBUTOS S/ LUCRO]]+Tabela1107[[#This Row],[OUTROS]]+Tabela1107[[#This Row],[ES]]</f>
        <v>24.740000000000002</v>
      </c>
      <c r="BM382" s="97">
        <f>+Tabela1107[[#This Row],[PIS]]+Tabela1107[[#This Row],[COFINS]]+Tabela1107[[#This Row],[CONTRIB. FOLHA]]+Tabela1107[[#This Row],[TRIBUTOS S/ LUCRO]]+Tabela1107[[#This Row],[OUTROS]]+Tabela1107[[#This Row],[GO]]</f>
        <v>24.740000000000002</v>
      </c>
      <c r="BN382" s="97">
        <f>+Tabela1107[[#This Row],[PIS]]+Tabela1107[[#This Row],[COFINS]]+Tabela1107[[#This Row],[CONTRIB. FOLHA]]+Tabela1107[[#This Row],[TRIBUTOS S/ LUCRO]]+Tabela1107[[#This Row],[OUTROS]]+Tabela1107[[#This Row],[MT]]</f>
        <v>24.740000000000002</v>
      </c>
      <c r="BO382" s="97">
        <f>+Tabela1107[[#This Row],[PIS]]+Tabela1107[[#This Row],[COFINS]]+Tabela1107[[#This Row],[CONTRIB. FOLHA]]+Tabela1107[[#This Row],[TRIBUTOS S/ LUCRO]]+Tabela1107[[#This Row],[OUTROS]]+Tabela1107[[#This Row],[MS]]</f>
        <v>24.740000000000002</v>
      </c>
      <c r="BP382" s="97">
        <f>+Tabela1107[[#This Row],[PIS]]+Tabela1107[[#This Row],[COFINS]]+Tabela1107[[#This Row],[CONTRIB. FOLHA]]+Tabela1107[[#This Row],[TRIBUTOS S/ LUCRO]]+Tabela1107[[#This Row],[OUTROS]]+Tabela1107[[#This Row],[DF]]</f>
        <v>24.740000000000002</v>
      </c>
      <c r="BQ382" s="97">
        <f>+Tabela1107[[#This Row],[PIS]]+Tabela1107[[#This Row],[COFINS]]+Tabela1107[[#This Row],[CONTRIB. FOLHA]]+Tabela1107[[#This Row],[TRIBUTOS S/ LUCRO]]+Tabela1107[[#This Row],[OUTROS]]+Tabela1107[[#This Row],[BA]]</f>
        <v>24.740000000000002</v>
      </c>
      <c r="BR382" s="97">
        <f>+Tabela1107[[#This Row],[PIS]]+Tabela1107[[#This Row],[COFINS]]+Tabela1107[[#This Row],[CONTRIB. FOLHA]]+Tabela1107[[#This Row],[TRIBUTOS S/ LUCRO]]+Tabela1107[[#This Row],[OUTROS]]+Tabela1107[[#This Row],[BA]]</f>
        <v>24.740000000000002</v>
      </c>
      <c r="BS382" s="97">
        <f>+Tabela1107[[#This Row],[PIS]]+Tabela1107[[#This Row],[COFINS]]+Tabela1107[[#This Row],[CONTRIB. FOLHA]]+Tabela1107[[#This Row],[TRIBUTOS S/ LUCRO]]+Tabela1107[[#This Row],[OUTROS]]+Tabela1107[[#This Row],[PE]]</f>
        <v>24.740000000000002</v>
      </c>
      <c r="BT382" s="97">
        <f>+Tabela1107[[#This Row],[PIS]]+Tabela1107[[#This Row],[COFINS]]+Tabela1107[[#This Row],[CONTRIB. FOLHA]]+Tabela1107[[#This Row],[TRIBUTOS S/ LUCRO]]+Tabela1107[[#This Row],[OUTROS]]+Tabela1107[[#This Row],[PA]]</f>
        <v>24.740000000000002</v>
      </c>
      <c r="BU382" s="97">
        <f>+Tabela1107[[#This Row],[PIS]]+Tabela1107[[#This Row],[COFINS]]+Tabela1107[[#This Row],[CONTRIB. FOLHA]]+Tabela1107[[#This Row],[TRIBUTOS S/ LUCRO]]+Tabela1107[[#This Row],[OUTROS]]+Tabela1107[[#This Row],[AM]]</f>
        <v>24.740000000000002</v>
      </c>
      <c r="BV382" s="97">
        <f>AVERAGE(Tabela1107[[#This Row],[TOTAL SP]:[TOTAL AM]])</f>
        <v>24.677500000000006</v>
      </c>
      <c r="BW382" s="97"/>
      <c r="BX382" s="97"/>
    </row>
    <row r="383" spans="2:76" x14ac:dyDescent="0.25">
      <c r="B383" s="89">
        <v>4621</v>
      </c>
      <c r="C383" s="91" t="s">
        <v>13183</v>
      </c>
      <c r="D383" s="89"/>
      <c r="E383" s="89">
        <v>20140626</v>
      </c>
      <c r="F383" s="89" t="s">
        <v>20698</v>
      </c>
      <c r="G383" s="89" t="s">
        <v>20699</v>
      </c>
      <c r="H383" s="89" t="s">
        <v>20700</v>
      </c>
      <c r="I383" s="89" t="s">
        <v>20701</v>
      </c>
      <c r="J383" s="89" t="s">
        <v>140</v>
      </c>
      <c r="K383" s="99" t="s">
        <v>2523</v>
      </c>
      <c r="L383" s="89" t="s">
        <v>2687</v>
      </c>
      <c r="M383" s="89" t="s">
        <v>4496</v>
      </c>
      <c r="N383" s="89" t="s">
        <v>4496</v>
      </c>
      <c r="O383" s="89" t="s">
        <v>4496</v>
      </c>
      <c r="P383" s="89" t="s">
        <v>4496</v>
      </c>
      <c r="Q383" s="89"/>
      <c r="R383" s="89" t="s">
        <v>29</v>
      </c>
      <c r="S383" s="89" t="s">
        <v>21618</v>
      </c>
      <c r="T383" s="89" t="s">
        <v>21619</v>
      </c>
      <c r="U383" s="89" t="str">
        <f>TRIM('Carga Tributária doenças Po (2'!$L383)</f>
        <v>RISEDRONADO SODICO</v>
      </c>
      <c r="V383" s="89">
        <f>SUMIFS('Tabela Federal'!$E$4:$E$2069,'Tabela Federal'!$D$4:$D$2069,'Carga Tributária doenças Po (2'!$L383)</f>
        <v>0</v>
      </c>
      <c r="W383" s="89">
        <f>SUMIFS('Tabela Federal'!$E$4:$E$2069,'Tabela Federal'!$D$4:$D$2069,'Carga Tributária doenças Po (2'!$M383)</f>
        <v>0</v>
      </c>
      <c r="X383" s="89">
        <f>SUMIFS('Tabela Federal'!$E$4:$E$2069,'Tabela Federal'!$D$4:$D$2069,'Carga Tributária doenças Po (2'!$N383)</f>
        <v>0</v>
      </c>
      <c r="Y383" s="89">
        <f>SUMIFS('Tabela Federal'!$E$4:$E$2069,'Tabela Federal'!$D$4:$D$2069,'Carga Tributária doenças Po (2'!$O383)</f>
        <v>0</v>
      </c>
      <c r="Z383" s="92" t="str">
        <f>VLOOKUP('Carga Tributária doenças Po (2'!$AD383,'Carga Tributária doenças Po (2'!$CA$12:$CC$16,2,0)</f>
        <v>+</v>
      </c>
      <c r="AA383" s="89" t="s">
        <v>138</v>
      </c>
      <c r="AB383" s="89" t="s">
        <v>21892</v>
      </c>
      <c r="AC383" s="89" t="s">
        <v>21721</v>
      </c>
      <c r="AD383" s="93" t="s">
        <v>21722</v>
      </c>
      <c r="AE383" s="92" t="s">
        <v>2</v>
      </c>
      <c r="AF383" s="92" t="s">
        <v>3</v>
      </c>
      <c r="AG383" s="94">
        <v>566729</v>
      </c>
      <c r="AH383" s="95">
        <v>9360128</v>
      </c>
      <c r="AI383" s="95">
        <v>21352578.829999998</v>
      </c>
      <c r="AJ383" s="89" t="s">
        <v>146</v>
      </c>
      <c r="AK383" s="89">
        <f>IF('Carga Tributária doenças Po (2'!$Z383="+",0,SUMIFS(PISCOFINS!$I$3:$I$10518,PISCOFINS!$C$3:$C$10518,'Carga Tributária doenças Po (2'!$C383))</f>
        <v>0</v>
      </c>
      <c r="AL383" s="89">
        <f>IF('Carga Tributária doenças Po (2'!$Z383="+",0,SUMIFS(PISCOFINS!$H$3:$H$10518,PISCOFINS!$C$3:$C$10518,'Carga Tributária doenças Po (2'!$C383))</f>
        <v>0</v>
      </c>
      <c r="AM383" s="95">
        <v>3.27</v>
      </c>
      <c r="AN383" s="95">
        <v>3.12</v>
      </c>
      <c r="AO383" s="95">
        <v>1.35</v>
      </c>
      <c r="AP383" s="96">
        <v>18</v>
      </c>
      <c r="AQ383" s="96">
        <v>12</v>
      </c>
      <c r="AR383" s="96">
        <v>17</v>
      </c>
      <c r="AS383" s="97">
        <v>17</v>
      </c>
      <c r="AT383" s="97">
        <v>19</v>
      </c>
      <c r="AU383" s="97">
        <v>18</v>
      </c>
      <c r="AV383" s="97">
        <v>17</v>
      </c>
      <c r="AW383" s="97">
        <v>17</v>
      </c>
      <c r="AX383" s="97">
        <v>17</v>
      </c>
      <c r="AY383" s="97">
        <v>17</v>
      </c>
      <c r="AZ383" s="97">
        <v>17</v>
      </c>
      <c r="BA383" s="97">
        <v>17</v>
      </c>
      <c r="BB383" s="97">
        <v>17</v>
      </c>
      <c r="BC383" s="97">
        <v>17</v>
      </c>
      <c r="BD383" s="97">
        <v>17</v>
      </c>
      <c r="BE383" s="97">
        <v>17</v>
      </c>
      <c r="BF383" s="97">
        <f>+Tabela1107[[#This Row],[PIS]]+Tabela1107[[#This Row],[COFINS]]+Tabela1107[[#This Row],[CONTRIB. FOLHA]]+Tabela1107[[#This Row],[TRIBUTOS S/ LUCRO]]+Tabela1107[[#This Row],[OUTROS]]+Tabela1107[[#This Row],[SP]]</f>
        <v>25.740000000000002</v>
      </c>
      <c r="BG383" s="97">
        <f>+Tabela1107[[#This Row],[PIS]]+Tabela1107[[#This Row],[COFINS]]+Tabela1107[[#This Row],[CONTRIB. FOLHA]]+Tabela1107[[#This Row],[TRIBUTOS S/ LUCRO]]+Tabela1107[[#This Row],[OUTROS]]+Tabela1107[[#This Row],[PR]]</f>
        <v>19.740000000000002</v>
      </c>
      <c r="BH383" s="97">
        <f>+Tabela1107[[#This Row],[PIS]]+Tabela1107[[#This Row],[COFINS]]+Tabela1107[[#This Row],[CONTRIB. FOLHA]]+Tabela1107[[#This Row],[TRIBUTOS S/ LUCRO]]+Tabela1107[[#This Row],[OUTROS]]+Tabela1107[[#This Row],[SC]]</f>
        <v>24.740000000000002</v>
      </c>
      <c r="BI383" s="97">
        <f>+Tabela1107[[#This Row],[PIS]]+Tabela1107[[#This Row],[COFINS]]+Tabela1107[[#This Row],[CONTRIB. FOLHA]]+Tabela1107[[#This Row],[TRIBUTOS S/ LUCRO]]+Tabela1107[[#This Row],[OUTROS]]+Tabela1107[[#This Row],[RS]]</f>
        <v>24.740000000000002</v>
      </c>
      <c r="BJ383" s="97">
        <f>+Tabela1107[[#This Row],[PIS]]+Tabela1107[[#This Row],[COFINS]]+Tabela1107[[#This Row],[CONTRIB. FOLHA]]+Tabela1107[[#This Row],[TRIBUTOS S/ LUCRO]]+Tabela1107[[#This Row],[OUTROS]]+Tabela1107[[#This Row],[RJ]]</f>
        <v>26.740000000000002</v>
      </c>
      <c r="BK383" s="97">
        <f>+Tabela1107[[#This Row],[PIS]]+Tabela1107[[#This Row],[COFINS]]+Tabela1107[[#This Row],[CONTRIB. FOLHA]]+Tabela1107[[#This Row],[TRIBUTOS S/ LUCRO]]+Tabela1107[[#This Row],[OUTROS]]+Tabela1107[[#This Row],[MG]]</f>
        <v>25.740000000000002</v>
      </c>
      <c r="BL383" s="97">
        <f>+Tabela1107[[#This Row],[PIS]]+Tabela1107[[#This Row],[COFINS]]+Tabela1107[[#This Row],[CONTRIB. FOLHA]]+Tabela1107[[#This Row],[TRIBUTOS S/ LUCRO]]+Tabela1107[[#This Row],[OUTROS]]+Tabela1107[[#This Row],[ES]]</f>
        <v>24.740000000000002</v>
      </c>
      <c r="BM383" s="97">
        <f>+Tabela1107[[#This Row],[PIS]]+Tabela1107[[#This Row],[COFINS]]+Tabela1107[[#This Row],[CONTRIB. FOLHA]]+Tabela1107[[#This Row],[TRIBUTOS S/ LUCRO]]+Tabela1107[[#This Row],[OUTROS]]+Tabela1107[[#This Row],[GO]]</f>
        <v>24.740000000000002</v>
      </c>
      <c r="BN383" s="97">
        <f>+Tabela1107[[#This Row],[PIS]]+Tabela1107[[#This Row],[COFINS]]+Tabela1107[[#This Row],[CONTRIB. FOLHA]]+Tabela1107[[#This Row],[TRIBUTOS S/ LUCRO]]+Tabela1107[[#This Row],[OUTROS]]+Tabela1107[[#This Row],[MT]]</f>
        <v>24.740000000000002</v>
      </c>
      <c r="BO383" s="97">
        <f>+Tabela1107[[#This Row],[PIS]]+Tabela1107[[#This Row],[COFINS]]+Tabela1107[[#This Row],[CONTRIB. FOLHA]]+Tabela1107[[#This Row],[TRIBUTOS S/ LUCRO]]+Tabela1107[[#This Row],[OUTROS]]+Tabela1107[[#This Row],[MS]]</f>
        <v>24.740000000000002</v>
      </c>
      <c r="BP383" s="97">
        <f>+Tabela1107[[#This Row],[PIS]]+Tabela1107[[#This Row],[COFINS]]+Tabela1107[[#This Row],[CONTRIB. FOLHA]]+Tabela1107[[#This Row],[TRIBUTOS S/ LUCRO]]+Tabela1107[[#This Row],[OUTROS]]+Tabela1107[[#This Row],[DF]]</f>
        <v>24.740000000000002</v>
      </c>
      <c r="BQ383" s="97">
        <f>+Tabela1107[[#This Row],[PIS]]+Tabela1107[[#This Row],[COFINS]]+Tabela1107[[#This Row],[CONTRIB. FOLHA]]+Tabela1107[[#This Row],[TRIBUTOS S/ LUCRO]]+Tabela1107[[#This Row],[OUTROS]]+Tabela1107[[#This Row],[BA]]</f>
        <v>24.740000000000002</v>
      </c>
      <c r="BR383" s="97">
        <f>+Tabela1107[[#This Row],[PIS]]+Tabela1107[[#This Row],[COFINS]]+Tabela1107[[#This Row],[CONTRIB. FOLHA]]+Tabela1107[[#This Row],[TRIBUTOS S/ LUCRO]]+Tabela1107[[#This Row],[OUTROS]]+Tabela1107[[#This Row],[BA]]</f>
        <v>24.740000000000002</v>
      </c>
      <c r="BS383" s="97">
        <f>+Tabela1107[[#This Row],[PIS]]+Tabela1107[[#This Row],[COFINS]]+Tabela1107[[#This Row],[CONTRIB. FOLHA]]+Tabela1107[[#This Row],[TRIBUTOS S/ LUCRO]]+Tabela1107[[#This Row],[OUTROS]]+Tabela1107[[#This Row],[PE]]</f>
        <v>24.740000000000002</v>
      </c>
      <c r="BT383" s="97">
        <f>+Tabela1107[[#This Row],[PIS]]+Tabela1107[[#This Row],[COFINS]]+Tabela1107[[#This Row],[CONTRIB. FOLHA]]+Tabela1107[[#This Row],[TRIBUTOS S/ LUCRO]]+Tabela1107[[#This Row],[OUTROS]]+Tabela1107[[#This Row],[PA]]</f>
        <v>24.740000000000002</v>
      </c>
      <c r="BU383" s="97">
        <f>+Tabela1107[[#This Row],[PIS]]+Tabela1107[[#This Row],[COFINS]]+Tabela1107[[#This Row],[CONTRIB. FOLHA]]+Tabela1107[[#This Row],[TRIBUTOS S/ LUCRO]]+Tabela1107[[#This Row],[OUTROS]]+Tabela1107[[#This Row],[AM]]</f>
        <v>24.740000000000002</v>
      </c>
      <c r="BV383" s="97">
        <f>AVERAGE(Tabela1107[[#This Row],[TOTAL SP]:[TOTAL AM]])</f>
        <v>24.677500000000006</v>
      </c>
      <c r="BW383" s="97"/>
      <c r="BX383" s="97"/>
    </row>
    <row r="384" spans="2:76" x14ac:dyDescent="0.25">
      <c r="B384" s="89">
        <v>20302</v>
      </c>
      <c r="C384" s="91" t="s">
        <v>13142</v>
      </c>
      <c r="D384" s="89"/>
      <c r="E384" s="89">
        <v>20140626</v>
      </c>
      <c r="F384" s="89" t="s">
        <v>20254</v>
      </c>
      <c r="G384" s="89" t="s">
        <v>20255</v>
      </c>
      <c r="H384" s="98" t="s">
        <v>21977</v>
      </c>
      <c r="I384" s="89" t="s">
        <v>20256</v>
      </c>
      <c r="J384" s="89" t="s">
        <v>491</v>
      </c>
      <c r="K384" s="89" t="s">
        <v>2448</v>
      </c>
      <c r="L384" s="89" t="s">
        <v>2688</v>
      </c>
      <c r="M384" s="89" t="s">
        <v>4496</v>
      </c>
      <c r="N384" s="89" t="s">
        <v>4496</v>
      </c>
      <c r="O384" s="89" t="s">
        <v>4496</v>
      </c>
      <c r="P384" s="89" t="s">
        <v>4496</v>
      </c>
      <c r="Q384" s="89"/>
      <c r="R384" s="89" t="s">
        <v>9</v>
      </c>
      <c r="S384" s="89" t="s">
        <v>21564</v>
      </c>
      <c r="T384" s="89" t="s">
        <v>21565</v>
      </c>
      <c r="U384" s="89" t="str">
        <f>TRIM('Carga Tributária doenças Po (2'!$L384)</f>
        <v>PROPAFENONA</v>
      </c>
      <c r="V384" s="89">
        <f>SUMIFS('Tabela Federal'!$E$4:$E$2069,'Tabela Federal'!$D$4:$D$2069,'Carga Tributária doenças Po (2'!$L384)</f>
        <v>0</v>
      </c>
      <c r="W384" s="89">
        <f>SUMIFS('Tabela Federal'!$E$4:$E$2069,'Tabela Federal'!$D$4:$D$2069,'Carga Tributária doenças Po (2'!$M384)</f>
        <v>0</v>
      </c>
      <c r="X384" s="89">
        <f>SUMIFS('Tabela Federal'!$E$4:$E$2069,'Tabela Federal'!$D$4:$D$2069,'Carga Tributária doenças Po (2'!$N384)</f>
        <v>0</v>
      </c>
      <c r="Y384" s="89">
        <f>SUMIFS('Tabela Federal'!$E$4:$E$2069,'Tabela Federal'!$D$4:$D$2069,'Carga Tributária doenças Po (2'!$O384)</f>
        <v>0</v>
      </c>
      <c r="Z384" s="92" t="str">
        <f>VLOOKUP('Carga Tributária doenças Po (2'!$AD384,'Carga Tributária doenças Po (2'!$CA$12:$CC$16,2,0)</f>
        <v>+</v>
      </c>
      <c r="AA384" s="89" t="s">
        <v>488</v>
      </c>
      <c r="AB384" s="89" t="s">
        <v>21745</v>
      </c>
      <c r="AC384" s="89" t="s">
        <v>21721</v>
      </c>
      <c r="AD384" s="93" t="s">
        <v>21722</v>
      </c>
      <c r="AE384" s="92" t="s">
        <v>2</v>
      </c>
      <c r="AF384" s="92" t="s">
        <v>23</v>
      </c>
      <c r="AG384" s="94">
        <v>661385</v>
      </c>
      <c r="AH384" s="95">
        <v>17574358</v>
      </c>
      <c r="AI384" s="95">
        <v>40118201.200000003</v>
      </c>
      <c r="AJ384" s="89" t="s">
        <v>498</v>
      </c>
      <c r="AK384" s="89">
        <f>IF('Carga Tributária doenças Po (2'!$Z384="+",0,SUMIFS(PISCOFINS!$I$3:$I$10518,PISCOFINS!$C$3:$C$10518,'Carga Tributária doenças Po (2'!$C384))</f>
        <v>0</v>
      </c>
      <c r="AL384" s="89">
        <f>IF('Carga Tributária doenças Po (2'!$Z384="+",0,SUMIFS(PISCOFINS!$H$3:$H$10518,PISCOFINS!$C$3:$C$10518,'Carga Tributária doenças Po (2'!$C384))</f>
        <v>0</v>
      </c>
      <c r="AM384" s="95">
        <v>3.27</v>
      </c>
      <c r="AN384" s="95">
        <v>3.12</v>
      </c>
      <c r="AO384" s="95">
        <v>1.35</v>
      </c>
      <c r="AP384" s="96">
        <v>18</v>
      </c>
      <c r="AQ384" s="96">
        <v>12</v>
      </c>
      <c r="AR384" s="96">
        <v>17</v>
      </c>
      <c r="AS384" s="97">
        <v>17</v>
      </c>
      <c r="AT384" s="97">
        <v>19</v>
      </c>
      <c r="AU384" s="97">
        <v>18</v>
      </c>
      <c r="AV384" s="97">
        <v>17</v>
      </c>
      <c r="AW384" s="97">
        <v>17</v>
      </c>
      <c r="AX384" s="97">
        <v>17</v>
      </c>
      <c r="AY384" s="97">
        <v>17</v>
      </c>
      <c r="AZ384" s="97">
        <v>17</v>
      </c>
      <c r="BA384" s="97">
        <v>17</v>
      </c>
      <c r="BB384" s="97">
        <v>17</v>
      </c>
      <c r="BC384" s="97">
        <v>17</v>
      </c>
      <c r="BD384" s="97">
        <v>17</v>
      </c>
      <c r="BE384" s="97">
        <v>17</v>
      </c>
      <c r="BF384" s="97">
        <f>+Tabela1107[[#This Row],[PIS]]+Tabela1107[[#This Row],[COFINS]]+Tabela1107[[#This Row],[CONTRIB. FOLHA]]+Tabela1107[[#This Row],[TRIBUTOS S/ LUCRO]]+Tabela1107[[#This Row],[OUTROS]]+Tabela1107[[#This Row],[SP]]</f>
        <v>25.740000000000002</v>
      </c>
      <c r="BG384" s="97">
        <f>+Tabela1107[[#This Row],[PIS]]+Tabela1107[[#This Row],[COFINS]]+Tabela1107[[#This Row],[CONTRIB. FOLHA]]+Tabela1107[[#This Row],[TRIBUTOS S/ LUCRO]]+Tabela1107[[#This Row],[OUTROS]]+Tabela1107[[#This Row],[PR]]</f>
        <v>19.740000000000002</v>
      </c>
      <c r="BH384" s="97">
        <f>+Tabela1107[[#This Row],[PIS]]+Tabela1107[[#This Row],[COFINS]]+Tabela1107[[#This Row],[CONTRIB. FOLHA]]+Tabela1107[[#This Row],[TRIBUTOS S/ LUCRO]]+Tabela1107[[#This Row],[OUTROS]]+Tabela1107[[#This Row],[SC]]</f>
        <v>24.740000000000002</v>
      </c>
      <c r="BI384" s="97">
        <f>+Tabela1107[[#This Row],[PIS]]+Tabela1107[[#This Row],[COFINS]]+Tabela1107[[#This Row],[CONTRIB. FOLHA]]+Tabela1107[[#This Row],[TRIBUTOS S/ LUCRO]]+Tabela1107[[#This Row],[OUTROS]]+Tabela1107[[#This Row],[RS]]</f>
        <v>24.740000000000002</v>
      </c>
      <c r="BJ384" s="97">
        <f>+Tabela1107[[#This Row],[PIS]]+Tabela1107[[#This Row],[COFINS]]+Tabela1107[[#This Row],[CONTRIB. FOLHA]]+Tabela1107[[#This Row],[TRIBUTOS S/ LUCRO]]+Tabela1107[[#This Row],[OUTROS]]+Tabela1107[[#This Row],[RJ]]</f>
        <v>26.740000000000002</v>
      </c>
      <c r="BK384" s="97">
        <f>+Tabela1107[[#This Row],[PIS]]+Tabela1107[[#This Row],[COFINS]]+Tabela1107[[#This Row],[CONTRIB. FOLHA]]+Tabela1107[[#This Row],[TRIBUTOS S/ LUCRO]]+Tabela1107[[#This Row],[OUTROS]]+Tabela1107[[#This Row],[MG]]</f>
        <v>25.740000000000002</v>
      </c>
      <c r="BL384" s="97">
        <f>+Tabela1107[[#This Row],[PIS]]+Tabela1107[[#This Row],[COFINS]]+Tabela1107[[#This Row],[CONTRIB. FOLHA]]+Tabela1107[[#This Row],[TRIBUTOS S/ LUCRO]]+Tabela1107[[#This Row],[OUTROS]]+Tabela1107[[#This Row],[ES]]</f>
        <v>24.740000000000002</v>
      </c>
      <c r="BM384" s="97">
        <f>+Tabela1107[[#This Row],[PIS]]+Tabela1107[[#This Row],[COFINS]]+Tabela1107[[#This Row],[CONTRIB. FOLHA]]+Tabela1107[[#This Row],[TRIBUTOS S/ LUCRO]]+Tabela1107[[#This Row],[OUTROS]]+Tabela1107[[#This Row],[GO]]</f>
        <v>24.740000000000002</v>
      </c>
      <c r="BN384" s="97">
        <f>+Tabela1107[[#This Row],[PIS]]+Tabela1107[[#This Row],[COFINS]]+Tabela1107[[#This Row],[CONTRIB. FOLHA]]+Tabela1107[[#This Row],[TRIBUTOS S/ LUCRO]]+Tabela1107[[#This Row],[OUTROS]]+Tabela1107[[#This Row],[MT]]</f>
        <v>24.740000000000002</v>
      </c>
      <c r="BO384" s="97">
        <f>+Tabela1107[[#This Row],[PIS]]+Tabela1107[[#This Row],[COFINS]]+Tabela1107[[#This Row],[CONTRIB. FOLHA]]+Tabela1107[[#This Row],[TRIBUTOS S/ LUCRO]]+Tabela1107[[#This Row],[OUTROS]]+Tabela1107[[#This Row],[MS]]</f>
        <v>24.740000000000002</v>
      </c>
      <c r="BP384" s="97">
        <f>+Tabela1107[[#This Row],[PIS]]+Tabela1107[[#This Row],[COFINS]]+Tabela1107[[#This Row],[CONTRIB. FOLHA]]+Tabela1107[[#This Row],[TRIBUTOS S/ LUCRO]]+Tabela1107[[#This Row],[OUTROS]]+Tabela1107[[#This Row],[DF]]</f>
        <v>24.740000000000002</v>
      </c>
      <c r="BQ384" s="97">
        <f>+Tabela1107[[#This Row],[PIS]]+Tabela1107[[#This Row],[COFINS]]+Tabela1107[[#This Row],[CONTRIB. FOLHA]]+Tabela1107[[#This Row],[TRIBUTOS S/ LUCRO]]+Tabela1107[[#This Row],[OUTROS]]+Tabela1107[[#This Row],[BA]]</f>
        <v>24.740000000000002</v>
      </c>
      <c r="BR384" s="97">
        <f>+Tabela1107[[#This Row],[PIS]]+Tabela1107[[#This Row],[COFINS]]+Tabela1107[[#This Row],[CONTRIB. FOLHA]]+Tabela1107[[#This Row],[TRIBUTOS S/ LUCRO]]+Tabela1107[[#This Row],[OUTROS]]+Tabela1107[[#This Row],[BA]]</f>
        <v>24.740000000000002</v>
      </c>
      <c r="BS384" s="97">
        <f>+Tabela1107[[#This Row],[PIS]]+Tabela1107[[#This Row],[COFINS]]+Tabela1107[[#This Row],[CONTRIB. FOLHA]]+Tabela1107[[#This Row],[TRIBUTOS S/ LUCRO]]+Tabela1107[[#This Row],[OUTROS]]+Tabela1107[[#This Row],[PE]]</f>
        <v>24.740000000000002</v>
      </c>
      <c r="BT384" s="97">
        <f>+Tabela1107[[#This Row],[PIS]]+Tabela1107[[#This Row],[COFINS]]+Tabela1107[[#This Row],[CONTRIB. FOLHA]]+Tabela1107[[#This Row],[TRIBUTOS S/ LUCRO]]+Tabela1107[[#This Row],[OUTROS]]+Tabela1107[[#This Row],[PA]]</f>
        <v>24.740000000000002</v>
      </c>
      <c r="BU384" s="97">
        <f>+Tabela1107[[#This Row],[PIS]]+Tabela1107[[#This Row],[COFINS]]+Tabela1107[[#This Row],[CONTRIB. FOLHA]]+Tabela1107[[#This Row],[TRIBUTOS S/ LUCRO]]+Tabela1107[[#This Row],[OUTROS]]+Tabela1107[[#This Row],[AM]]</f>
        <v>24.740000000000002</v>
      </c>
      <c r="BV384" s="97">
        <f>AVERAGE(Tabela1107[[#This Row],[TOTAL SP]:[TOTAL AM]])</f>
        <v>24.677500000000006</v>
      </c>
      <c r="BW384" s="97"/>
      <c r="BX384" s="97"/>
    </row>
    <row r="385" spans="2:76" x14ac:dyDescent="0.25">
      <c r="B385" s="89">
        <v>20303</v>
      </c>
      <c r="C385" s="91" t="s">
        <v>13142</v>
      </c>
      <c r="D385" s="89"/>
      <c r="E385" s="89">
        <v>20140626</v>
      </c>
      <c r="F385" s="89" t="s">
        <v>20257</v>
      </c>
      <c r="G385" s="89" t="s">
        <v>20258</v>
      </c>
      <c r="H385" s="89" t="s">
        <v>20259</v>
      </c>
      <c r="I385" s="89" t="s">
        <v>20256</v>
      </c>
      <c r="J385" s="89" t="s">
        <v>496</v>
      </c>
      <c r="K385" s="89" t="s">
        <v>2448</v>
      </c>
      <c r="L385" s="89" t="s">
        <v>2688</v>
      </c>
      <c r="M385" s="89" t="s">
        <v>4496</v>
      </c>
      <c r="N385" s="89" t="s">
        <v>4496</v>
      </c>
      <c r="O385" s="89" t="s">
        <v>4496</v>
      </c>
      <c r="P385" s="89" t="s">
        <v>4496</v>
      </c>
      <c r="Q385" s="89"/>
      <c r="R385" s="89" t="s">
        <v>9</v>
      </c>
      <c r="S385" s="89" t="s">
        <v>21564</v>
      </c>
      <c r="T385" s="89" t="s">
        <v>21565</v>
      </c>
      <c r="U385" s="89" t="str">
        <f>TRIM('Carga Tributária doenças Po (2'!$L385)</f>
        <v>PROPAFENONA</v>
      </c>
      <c r="V385" s="89">
        <f>SUMIFS('Tabela Federal'!$E$4:$E$2069,'Tabela Federal'!$D$4:$D$2069,'Carga Tributária doenças Po (2'!$L385)</f>
        <v>0</v>
      </c>
      <c r="W385" s="89">
        <f>SUMIFS('Tabela Federal'!$E$4:$E$2069,'Tabela Federal'!$D$4:$D$2069,'Carga Tributária doenças Po (2'!$M385)</f>
        <v>0</v>
      </c>
      <c r="X385" s="89">
        <f>SUMIFS('Tabela Federal'!$E$4:$E$2069,'Tabela Federal'!$D$4:$D$2069,'Carga Tributária doenças Po (2'!$N385)</f>
        <v>0</v>
      </c>
      <c r="Y385" s="89">
        <f>SUMIFS('Tabela Federal'!$E$4:$E$2069,'Tabela Federal'!$D$4:$D$2069,'Carga Tributária doenças Po (2'!$O385)</f>
        <v>0</v>
      </c>
      <c r="Z385" s="92" t="str">
        <f>VLOOKUP('Carga Tributária doenças Po (2'!$AD385,'Carga Tributária doenças Po (2'!$CA$12:$CC$16,2,0)</f>
        <v>+</v>
      </c>
      <c r="AA385" s="89" t="s">
        <v>488</v>
      </c>
      <c r="AB385" s="89" t="s">
        <v>21745</v>
      </c>
      <c r="AC385" s="89" t="s">
        <v>21721</v>
      </c>
      <c r="AD385" s="93" t="s">
        <v>21722</v>
      </c>
      <c r="AE385" s="92" t="s">
        <v>2</v>
      </c>
      <c r="AF385" s="92" t="s">
        <v>23</v>
      </c>
      <c r="AG385" s="94">
        <v>87368</v>
      </c>
      <c r="AH385" s="95">
        <v>4643372</v>
      </c>
      <c r="AI385" s="95">
        <v>10602972.08</v>
      </c>
      <c r="AJ385" s="89" t="s">
        <v>498</v>
      </c>
      <c r="AK385" s="89">
        <f>IF('Carga Tributária doenças Po (2'!$Z385="+",0,SUMIFS(PISCOFINS!$I$3:$I$10518,PISCOFINS!$C$3:$C$10518,'Carga Tributária doenças Po (2'!$C385))</f>
        <v>0</v>
      </c>
      <c r="AL385" s="89">
        <f>IF('Carga Tributária doenças Po (2'!$Z385="+",0,SUMIFS(PISCOFINS!$H$3:$H$10518,PISCOFINS!$C$3:$C$10518,'Carga Tributária doenças Po (2'!$C385))</f>
        <v>0</v>
      </c>
      <c r="AM385" s="95">
        <v>3.27</v>
      </c>
      <c r="AN385" s="95">
        <v>3.12</v>
      </c>
      <c r="AO385" s="95">
        <v>1.35</v>
      </c>
      <c r="AP385" s="96">
        <v>18</v>
      </c>
      <c r="AQ385" s="96">
        <v>12</v>
      </c>
      <c r="AR385" s="96">
        <v>17</v>
      </c>
      <c r="AS385" s="97">
        <v>17</v>
      </c>
      <c r="AT385" s="97">
        <v>19</v>
      </c>
      <c r="AU385" s="97">
        <v>18</v>
      </c>
      <c r="AV385" s="97">
        <v>17</v>
      </c>
      <c r="AW385" s="97">
        <v>17</v>
      </c>
      <c r="AX385" s="97">
        <v>17</v>
      </c>
      <c r="AY385" s="97">
        <v>17</v>
      </c>
      <c r="AZ385" s="97">
        <v>17</v>
      </c>
      <c r="BA385" s="97">
        <v>17</v>
      </c>
      <c r="BB385" s="97">
        <v>17</v>
      </c>
      <c r="BC385" s="97">
        <v>17</v>
      </c>
      <c r="BD385" s="97">
        <v>17</v>
      </c>
      <c r="BE385" s="97">
        <v>17</v>
      </c>
      <c r="BF385" s="97">
        <f>+Tabela1107[[#This Row],[PIS]]+Tabela1107[[#This Row],[COFINS]]+Tabela1107[[#This Row],[CONTRIB. FOLHA]]+Tabela1107[[#This Row],[TRIBUTOS S/ LUCRO]]+Tabela1107[[#This Row],[OUTROS]]+Tabela1107[[#This Row],[SP]]</f>
        <v>25.740000000000002</v>
      </c>
      <c r="BG385" s="97">
        <f>+Tabela1107[[#This Row],[PIS]]+Tabela1107[[#This Row],[COFINS]]+Tabela1107[[#This Row],[CONTRIB. FOLHA]]+Tabela1107[[#This Row],[TRIBUTOS S/ LUCRO]]+Tabela1107[[#This Row],[OUTROS]]+Tabela1107[[#This Row],[PR]]</f>
        <v>19.740000000000002</v>
      </c>
      <c r="BH385" s="97">
        <f>+Tabela1107[[#This Row],[PIS]]+Tabela1107[[#This Row],[COFINS]]+Tabela1107[[#This Row],[CONTRIB. FOLHA]]+Tabela1107[[#This Row],[TRIBUTOS S/ LUCRO]]+Tabela1107[[#This Row],[OUTROS]]+Tabela1107[[#This Row],[SC]]</f>
        <v>24.740000000000002</v>
      </c>
      <c r="BI385" s="97">
        <f>+Tabela1107[[#This Row],[PIS]]+Tabela1107[[#This Row],[COFINS]]+Tabela1107[[#This Row],[CONTRIB. FOLHA]]+Tabela1107[[#This Row],[TRIBUTOS S/ LUCRO]]+Tabela1107[[#This Row],[OUTROS]]+Tabela1107[[#This Row],[RS]]</f>
        <v>24.740000000000002</v>
      </c>
      <c r="BJ385" s="97">
        <f>+Tabela1107[[#This Row],[PIS]]+Tabela1107[[#This Row],[COFINS]]+Tabela1107[[#This Row],[CONTRIB. FOLHA]]+Tabela1107[[#This Row],[TRIBUTOS S/ LUCRO]]+Tabela1107[[#This Row],[OUTROS]]+Tabela1107[[#This Row],[RJ]]</f>
        <v>26.740000000000002</v>
      </c>
      <c r="BK385" s="97">
        <f>+Tabela1107[[#This Row],[PIS]]+Tabela1107[[#This Row],[COFINS]]+Tabela1107[[#This Row],[CONTRIB. FOLHA]]+Tabela1107[[#This Row],[TRIBUTOS S/ LUCRO]]+Tabela1107[[#This Row],[OUTROS]]+Tabela1107[[#This Row],[MG]]</f>
        <v>25.740000000000002</v>
      </c>
      <c r="BL385" s="97">
        <f>+Tabela1107[[#This Row],[PIS]]+Tabela1107[[#This Row],[COFINS]]+Tabela1107[[#This Row],[CONTRIB. FOLHA]]+Tabela1107[[#This Row],[TRIBUTOS S/ LUCRO]]+Tabela1107[[#This Row],[OUTROS]]+Tabela1107[[#This Row],[ES]]</f>
        <v>24.740000000000002</v>
      </c>
      <c r="BM385" s="97">
        <f>+Tabela1107[[#This Row],[PIS]]+Tabela1107[[#This Row],[COFINS]]+Tabela1107[[#This Row],[CONTRIB. FOLHA]]+Tabela1107[[#This Row],[TRIBUTOS S/ LUCRO]]+Tabela1107[[#This Row],[OUTROS]]+Tabela1107[[#This Row],[GO]]</f>
        <v>24.740000000000002</v>
      </c>
      <c r="BN385" s="97">
        <f>+Tabela1107[[#This Row],[PIS]]+Tabela1107[[#This Row],[COFINS]]+Tabela1107[[#This Row],[CONTRIB. FOLHA]]+Tabela1107[[#This Row],[TRIBUTOS S/ LUCRO]]+Tabela1107[[#This Row],[OUTROS]]+Tabela1107[[#This Row],[MT]]</f>
        <v>24.740000000000002</v>
      </c>
      <c r="BO385" s="97">
        <f>+Tabela1107[[#This Row],[PIS]]+Tabela1107[[#This Row],[COFINS]]+Tabela1107[[#This Row],[CONTRIB. FOLHA]]+Tabela1107[[#This Row],[TRIBUTOS S/ LUCRO]]+Tabela1107[[#This Row],[OUTROS]]+Tabela1107[[#This Row],[MS]]</f>
        <v>24.740000000000002</v>
      </c>
      <c r="BP385" s="97">
        <f>+Tabela1107[[#This Row],[PIS]]+Tabela1107[[#This Row],[COFINS]]+Tabela1107[[#This Row],[CONTRIB. FOLHA]]+Tabela1107[[#This Row],[TRIBUTOS S/ LUCRO]]+Tabela1107[[#This Row],[OUTROS]]+Tabela1107[[#This Row],[DF]]</f>
        <v>24.740000000000002</v>
      </c>
      <c r="BQ385" s="97">
        <f>+Tabela1107[[#This Row],[PIS]]+Tabela1107[[#This Row],[COFINS]]+Tabela1107[[#This Row],[CONTRIB. FOLHA]]+Tabela1107[[#This Row],[TRIBUTOS S/ LUCRO]]+Tabela1107[[#This Row],[OUTROS]]+Tabela1107[[#This Row],[BA]]</f>
        <v>24.740000000000002</v>
      </c>
      <c r="BR385" s="97">
        <f>+Tabela1107[[#This Row],[PIS]]+Tabela1107[[#This Row],[COFINS]]+Tabela1107[[#This Row],[CONTRIB. FOLHA]]+Tabela1107[[#This Row],[TRIBUTOS S/ LUCRO]]+Tabela1107[[#This Row],[OUTROS]]+Tabela1107[[#This Row],[BA]]</f>
        <v>24.740000000000002</v>
      </c>
      <c r="BS385" s="97">
        <f>+Tabela1107[[#This Row],[PIS]]+Tabela1107[[#This Row],[COFINS]]+Tabela1107[[#This Row],[CONTRIB. FOLHA]]+Tabela1107[[#This Row],[TRIBUTOS S/ LUCRO]]+Tabela1107[[#This Row],[OUTROS]]+Tabela1107[[#This Row],[PE]]</f>
        <v>24.740000000000002</v>
      </c>
      <c r="BT385" s="97">
        <f>+Tabela1107[[#This Row],[PIS]]+Tabela1107[[#This Row],[COFINS]]+Tabela1107[[#This Row],[CONTRIB. FOLHA]]+Tabela1107[[#This Row],[TRIBUTOS S/ LUCRO]]+Tabela1107[[#This Row],[OUTROS]]+Tabela1107[[#This Row],[PA]]</f>
        <v>24.740000000000002</v>
      </c>
      <c r="BU385" s="97">
        <f>+Tabela1107[[#This Row],[PIS]]+Tabela1107[[#This Row],[COFINS]]+Tabela1107[[#This Row],[CONTRIB. FOLHA]]+Tabela1107[[#This Row],[TRIBUTOS S/ LUCRO]]+Tabela1107[[#This Row],[OUTROS]]+Tabela1107[[#This Row],[AM]]</f>
        <v>24.740000000000002</v>
      </c>
      <c r="BV385" s="97">
        <f>AVERAGE(Tabela1107[[#This Row],[TOTAL SP]:[TOTAL AM]])</f>
        <v>24.677500000000006</v>
      </c>
      <c r="BW385" s="97"/>
      <c r="BX385" s="97"/>
    </row>
    <row r="386" spans="2:76" x14ac:dyDescent="0.25">
      <c r="B386" s="89">
        <v>14270</v>
      </c>
      <c r="C386" s="91" t="s">
        <v>13183</v>
      </c>
      <c r="D386" s="89"/>
      <c r="E386" s="89">
        <v>20140626</v>
      </c>
      <c r="F386" s="89" t="s">
        <v>21293</v>
      </c>
      <c r="G386" s="89" t="s">
        <v>21294</v>
      </c>
      <c r="H386" s="89" t="s">
        <v>21295</v>
      </c>
      <c r="I386" s="89" t="s">
        <v>21296</v>
      </c>
      <c r="J386" s="89" t="s">
        <v>274</v>
      </c>
      <c r="K386" s="99" t="s">
        <v>2522</v>
      </c>
      <c r="L386" s="89" t="s">
        <v>2689</v>
      </c>
      <c r="M386" s="89" t="s">
        <v>4496</v>
      </c>
      <c r="N386" s="89" t="s">
        <v>4496</v>
      </c>
      <c r="O386" s="89" t="s">
        <v>4496</v>
      </c>
      <c r="P386" s="89" t="s">
        <v>4496</v>
      </c>
      <c r="Q386" s="89"/>
      <c r="R386" s="89" t="s">
        <v>275</v>
      </c>
      <c r="S386" s="89" t="s">
        <v>21688</v>
      </c>
      <c r="T386" s="89" t="s">
        <v>21689</v>
      </c>
      <c r="U386" s="89" t="str">
        <f>TRIM('Carga Tributária doenças Po (2'!$L386)</f>
        <v>ISOTRETINOINA</v>
      </c>
      <c r="V386" s="89">
        <f>SUMIFS('Tabela Federal'!$E$4:$E$2069,'Tabela Federal'!$D$4:$D$2069,'Carga Tributária doenças Po (2'!$L386)</f>
        <v>1</v>
      </c>
      <c r="W386" s="89">
        <f>SUMIFS('Tabela Federal'!$E$4:$E$2069,'Tabela Federal'!$D$4:$D$2069,'Carga Tributária doenças Po (2'!$M386)</f>
        <v>0</v>
      </c>
      <c r="X386" s="89">
        <f>SUMIFS('Tabela Federal'!$E$4:$E$2069,'Tabela Federal'!$D$4:$D$2069,'Carga Tributária doenças Po (2'!$N386)</f>
        <v>0</v>
      </c>
      <c r="Y386" s="89">
        <f>SUMIFS('Tabela Federal'!$E$4:$E$2069,'Tabela Federal'!$D$4:$D$2069,'Carga Tributária doenças Po (2'!$O386)</f>
        <v>0</v>
      </c>
      <c r="Z386" s="92" t="str">
        <f>VLOOKUP('Carga Tributária doenças Po (2'!$AD386,'Carga Tributária doenças Po (2'!$CA$12:$CC$16,2,0)</f>
        <v>+</v>
      </c>
      <c r="AA386" s="107" t="s">
        <v>21989</v>
      </c>
      <c r="AB386" s="89" t="s">
        <v>21720</v>
      </c>
      <c r="AC386" s="89" t="s">
        <v>21721</v>
      </c>
      <c r="AD386" s="93" t="s">
        <v>21722</v>
      </c>
      <c r="AE386" s="92" t="s">
        <v>2</v>
      </c>
      <c r="AF386" s="92" t="s">
        <v>23</v>
      </c>
      <c r="AG386" s="94">
        <v>293093</v>
      </c>
      <c r="AH386" s="95">
        <v>16068000</v>
      </c>
      <c r="AI386" s="95">
        <v>36603787.689999998</v>
      </c>
      <c r="AJ386" s="89" t="s">
        <v>285</v>
      </c>
      <c r="AK386" s="89">
        <f>IF('Carga Tributária doenças Po (2'!$Z386="+",0,SUMIFS(PISCOFINS!$I$3:$I$10518,PISCOFINS!$C$3:$C$10518,'Carga Tributária doenças Po (2'!$C386))</f>
        <v>0</v>
      </c>
      <c r="AL386" s="89">
        <f>IF('Carga Tributária doenças Po (2'!$Z386="+",0,SUMIFS(PISCOFINS!$H$3:$H$10518,PISCOFINS!$C$3:$C$10518,'Carga Tributária doenças Po (2'!$C386))</f>
        <v>0</v>
      </c>
      <c r="AM386" s="95">
        <v>3.27</v>
      </c>
      <c r="AN386" s="95">
        <v>3.12</v>
      </c>
      <c r="AO386" s="95">
        <v>1.35</v>
      </c>
      <c r="AP386" s="96">
        <v>18</v>
      </c>
      <c r="AQ386" s="96">
        <v>12</v>
      </c>
      <c r="AR386" s="96">
        <v>17</v>
      </c>
      <c r="AS386" s="97">
        <v>17</v>
      </c>
      <c r="AT386" s="97">
        <v>19</v>
      </c>
      <c r="AU386" s="97">
        <v>18</v>
      </c>
      <c r="AV386" s="97">
        <v>17</v>
      </c>
      <c r="AW386" s="97">
        <v>17</v>
      </c>
      <c r="AX386" s="97">
        <v>17</v>
      </c>
      <c r="AY386" s="97">
        <v>17</v>
      </c>
      <c r="AZ386" s="97">
        <v>17</v>
      </c>
      <c r="BA386" s="97">
        <v>17</v>
      </c>
      <c r="BB386" s="97">
        <v>17</v>
      </c>
      <c r="BC386" s="97">
        <v>17</v>
      </c>
      <c r="BD386" s="97">
        <v>17</v>
      </c>
      <c r="BE386" s="97">
        <v>17</v>
      </c>
      <c r="BF386" s="97">
        <f>+Tabela1107[[#This Row],[PIS]]+Tabela1107[[#This Row],[COFINS]]+Tabela1107[[#This Row],[CONTRIB. FOLHA]]+Tabela1107[[#This Row],[TRIBUTOS S/ LUCRO]]+Tabela1107[[#This Row],[OUTROS]]+Tabela1107[[#This Row],[SP]]</f>
        <v>25.740000000000002</v>
      </c>
      <c r="BG386" s="97">
        <f>+Tabela1107[[#This Row],[PIS]]+Tabela1107[[#This Row],[COFINS]]+Tabela1107[[#This Row],[CONTRIB. FOLHA]]+Tabela1107[[#This Row],[TRIBUTOS S/ LUCRO]]+Tabela1107[[#This Row],[OUTROS]]+Tabela1107[[#This Row],[PR]]</f>
        <v>19.740000000000002</v>
      </c>
      <c r="BH386" s="97">
        <f>+Tabela1107[[#This Row],[PIS]]+Tabela1107[[#This Row],[COFINS]]+Tabela1107[[#This Row],[CONTRIB. FOLHA]]+Tabela1107[[#This Row],[TRIBUTOS S/ LUCRO]]+Tabela1107[[#This Row],[OUTROS]]+Tabela1107[[#This Row],[SC]]</f>
        <v>24.740000000000002</v>
      </c>
      <c r="BI386" s="97">
        <f>+Tabela1107[[#This Row],[PIS]]+Tabela1107[[#This Row],[COFINS]]+Tabela1107[[#This Row],[CONTRIB. FOLHA]]+Tabela1107[[#This Row],[TRIBUTOS S/ LUCRO]]+Tabela1107[[#This Row],[OUTROS]]+Tabela1107[[#This Row],[RS]]</f>
        <v>24.740000000000002</v>
      </c>
      <c r="BJ386" s="97">
        <f>+Tabela1107[[#This Row],[PIS]]+Tabela1107[[#This Row],[COFINS]]+Tabela1107[[#This Row],[CONTRIB. FOLHA]]+Tabela1107[[#This Row],[TRIBUTOS S/ LUCRO]]+Tabela1107[[#This Row],[OUTROS]]+Tabela1107[[#This Row],[RJ]]</f>
        <v>26.740000000000002</v>
      </c>
      <c r="BK386" s="97">
        <f>+Tabela1107[[#This Row],[PIS]]+Tabela1107[[#This Row],[COFINS]]+Tabela1107[[#This Row],[CONTRIB. FOLHA]]+Tabela1107[[#This Row],[TRIBUTOS S/ LUCRO]]+Tabela1107[[#This Row],[OUTROS]]+Tabela1107[[#This Row],[MG]]</f>
        <v>25.740000000000002</v>
      </c>
      <c r="BL386" s="97">
        <f>+Tabela1107[[#This Row],[PIS]]+Tabela1107[[#This Row],[COFINS]]+Tabela1107[[#This Row],[CONTRIB. FOLHA]]+Tabela1107[[#This Row],[TRIBUTOS S/ LUCRO]]+Tabela1107[[#This Row],[OUTROS]]+Tabela1107[[#This Row],[ES]]</f>
        <v>24.740000000000002</v>
      </c>
      <c r="BM386" s="97">
        <f>+Tabela1107[[#This Row],[PIS]]+Tabela1107[[#This Row],[COFINS]]+Tabela1107[[#This Row],[CONTRIB. FOLHA]]+Tabela1107[[#This Row],[TRIBUTOS S/ LUCRO]]+Tabela1107[[#This Row],[OUTROS]]+Tabela1107[[#This Row],[GO]]</f>
        <v>24.740000000000002</v>
      </c>
      <c r="BN386" s="97">
        <f>+Tabela1107[[#This Row],[PIS]]+Tabela1107[[#This Row],[COFINS]]+Tabela1107[[#This Row],[CONTRIB. FOLHA]]+Tabela1107[[#This Row],[TRIBUTOS S/ LUCRO]]+Tabela1107[[#This Row],[OUTROS]]+Tabela1107[[#This Row],[MT]]</f>
        <v>24.740000000000002</v>
      </c>
      <c r="BO386" s="97">
        <f>+Tabela1107[[#This Row],[PIS]]+Tabela1107[[#This Row],[COFINS]]+Tabela1107[[#This Row],[CONTRIB. FOLHA]]+Tabela1107[[#This Row],[TRIBUTOS S/ LUCRO]]+Tabela1107[[#This Row],[OUTROS]]+Tabela1107[[#This Row],[MS]]</f>
        <v>24.740000000000002</v>
      </c>
      <c r="BP386" s="97">
        <f>+Tabela1107[[#This Row],[PIS]]+Tabela1107[[#This Row],[COFINS]]+Tabela1107[[#This Row],[CONTRIB. FOLHA]]+Tabela1107[[#This Row],[TRIBUTOS S/ LUCRO]]+Tabela1107[[#This Row],[OUTROS]]+Tabela1107[[#This Row],[DF]]</f>
        <v>24.740000000000002</v>
      </c>
      <c r="BQ386" s="97">
        <f>+Tabela1107[[#This Row],[PIS]]+Tabela1107[[#This Row],[COFINS]]+Tabela1107[[#This Row],[CONTRIB. FOLHA]]+Tabela1107[[#This Row],[TRIBUTOS S/ LUCRO]]+Tabela1107[[#This Row],[OUTROS]]+Tabela1107[[#This Row],[BA]]</f>
        <v>24.740000000000002</v>
      </c>
      <c r="BR386" s="97">
        <f>+Tabela1107[[#This Row],[PIS]]+Tabela1107[[#This Row],[COFINS]]+Tabela1107[[#This Row],[CONTRIB. FOLHA]]+Tabela1107[[#This Row],[TRIBUTOS S/ LUCRO]]+Tabela1107[[#This Row],[OUTROS]]+Tabela1107[[#This Row],[BA]]</f>
        <v>24.740000000000002</v>
      </c>
      <c r="BS386" s="97">
        <f>+Tabela1107[[#This Row],[PIS]]+Tabela1107[[#This Row],[COFINS]]+Tabela1107[[#This Row],[CONTRIB. FOLHA]]+Tabela1107[[#This Row],[TRIBUTOS S/ LUCRO]]+Tabela1107[[#This Row],[OUTROS]]+Tabela1107[[#This Row],[PE]]</f>
        <v>24.740000000000002</v>
      </c>
      <c r="BT386" s="97">
        <f>+Tabela1107[[#This Row],[PIS]]+Tabela1107[[#This Row],[COFINS]]+Tabela1107[[#This Row],[CONTRIB. FOLHA]]+Tabela1107[[#This Row],[TRIBUTOS S/ LUCRO]]+Tabela1107[[#This Row],[OUTROS]]+Tabela1107[[#This Row],[PA]]</f>
        <v>24.740000000000002</v>
      </c>
      <c r="BU386" s="97">
        <f>+Tabela1107[[#This Row],[PIS]]+Tabela1107[[#This Row],[COFINS]]+Tabela1107[[#This Row],[CONTRIB. FOLHA]]+Tabela1107[[#This Row],[TRIBUTOS S/ LUCRO]]+Tabela1107[[#This Row],[OUTROS]]+Tabela1107[[#This Row],[AM]]</f>
        <v>24.740000000000002</v>
      </c>
      <c r="BV386" s="97">
        <f>AVERAGE(Tabela1107[[#This Row],[TOTAL SP]:[TOTAL AM]])</f>
        <v>24.677500000000006</v>
      </c>
      <c r="BW386" s="97"/>
      <c r="BX386" s="97"/>
    </row>
    <row r="387" spans="2:76" x14ac:dyDescent="0.25">
      <c r="B387" s="89">
        <v>2985</v>
      </c>
      <c r="C387" s="91" t="s">
        <v>13133</v>
      </c>
      <c r="D387" s="89"/>
      <c r="E387" s="89">
        <v>20140626</v>
      </c>
      <c r="F387" s="89" t="s">
        <v>20835</v>
      </c>
      <c r="G387" s="89" t="s">
        <v>20836</v>
      </c>
      <c r="H387" s="89" t="s">
        <v>20837</v>
      </c>
      <c r="I387" s="89" t="s">
        <v>20831</v>
      </c>
      <c r="J387" s="89" t="s">
        <v>46</v>
      </c>
      <c r="K387" s="99" t="s">
        <v>4477</v>
      </c>
      <c r="L387" s="89" t="s">
        <v>4478</v>
      </c>
      <c r="M387" s="89" t="s">
        <v>4185</v>
      </c>
      <c r="N387" s="89" t="s">
        <v>4496</v>
      </c>
      <c r="O387" s="89" t="s">
        <v>4496</v>
      </c>
      <c r="P387" s="89" t="s">
        <v>4496</v>
      </c>
      <c r="Q387" s="89"/>
      <c r="R387" s="89" t="s">
        <v>44</v>
      </c>
      <c r="S387" s="89" t="s">
        <v>21580</v>
      </c>
      <c r="T387" s="89" t="s">
        <v>21581</v>
      </c>
      <c r="U387" s="89" t="str">
        <f>TRIM('Carga Tributária doenças Po (2'!$L387)</f>
        <v>ACIDO CITRICO</v>
      </c>
      <c r="V387" s="89">
        <f>SUMIFS('Tabela Federal'!$E$4:$E$2069,'Tabela Federal'!$D$4:$D$2069,'Carga Tributária doenças Po (2'!$L387)</f>
        <v>1</v>
      </c>
      <c r="W387" s="89">
        <f>SUMIFS('Tabela Federal'!$E$4:$E$2069,'Tabela Federal'!$D$4:$D$2069,'Carga Tributária doenças Po (2'!$M387)</f>
        <v>1</v>
      </c>
      <c r="X387" s="89">
        <f>SUMIFS('Tabela Federal'!$E$4:$E$2069,'Tabela Federal'!$D$4:$D$2069,'Carga Tributária doenças Po (2'!$N387)</f>
        <v>0</v>
      </c>
      <c r="Y387" s="89">
        <f>SUMIFS('Tabela Federal'!$E$4:$E$2069,'Tabela Federal'!$D$4:$D$2069,'Carga Tributária doenças Po (2'!$O387)</f>
        <v>0</v>
      </c>
      <c r="Z387" s="92" t="str">
        <f>VLOOKUP('Carga Tributária doenças Po (2'!$AD387,'Carga Tributária doenças Po (2'!$CA$12:$CC$16,2,0)</f>
        <v>-</v>
      </c>
      <c r="AA387" s="89" t="s">
        <v>43</v>
      </c>
      <c r="AB387" s="89" t="s">
        <v>21752</v>
      </c>
      <c r="AC387" s="89" t="s">
        <v>21740</v>
      </c>
      <c r="AD387" s="93" t="s">
        <v>19523</v>
      </c>
      <c r="AE387" s="92" t="s">
        <v>4</v>
      </c>
      <c r="AF387" s="92" t="s">
        <v>3</v>
      </c>
      <c r="AG387" s="94">
        <v>1125967</v>
      </c>
      <c r="AH387" s="95">
        <v>15284208</v>
      </c>
      <c r="AI387" s="95">
        <v>34928933.759999998</v>
      </c>
      <c r="AJ387" s="89" t="s">
        <v>41</v>
      </c>
      <c r="AK387" s="89">
        <f>IF('Carga Tributária doenças Po (2'!$Z387="+",0,SUMIFS(PISCOFINS!$I$3:$I$10518,PISCOFINS!$C$3:$C$10518,'Carga Tributária doenças Po (2'!$C387))</f>
        <v>2.1</v>
      </c>
      <c r="AL387" s="89">
        <f>IF('Carga Tributária doenças Po (2'!$Z387="+",0,SUMIFS(PISCOFINS!$H$3:$H$10518,PISCOFINS!$C$3:$C$10518,'Carga Tributária doenças Po (2'!$C387))</f>
        <v>9.9</v>
      </c>
      <c r="AM387" s="95">
        <v>3.27</v>
      </c>
      <c r="AN387" s="95">
        <v>3.12</v>
      </c>
      <c r="AO387" s="95">
        <v>1.35</v>
      </c>
      <c r="AP387" s="96">
        <v>18</v>
      </c>
      <c r="AQ387" s="96">
        <v>12</v>
      </c>
      <c r="AR387" s="96">
        <v>17</v>
      </c>
      <c r="AS387" s="97">
        <v>17</v>
      </c>
      <c r="AT387" s="97">
        <v>19</v>
      </c>
      <c r="AU387" s="97">
        <v>18</v>
      </c>
      <c r="AV387" s="97">
        <v>17</v>
      </c>
      <c r="AW387" s="97">
        <v>17</v>
      </c>
      <c r="AX387" s="97">
        <v>17</v>
      </c>
      <c r="AY387" s="97">
        <v>17</v>
      </c>
      <c r="AZ387" s="97">
        <v>17</v>
      </c>
      <c r="BA387" s="97">
        <v>17</v>
      </c>
      <c r="BB387" s="97">
        <v>17</v>
      </c>
      <c r="BC387" s="97">
        <v>17</v>
      </c>
      <c r="BD387" s="97">
        <v>17</v>
      </c>
      <c r="BE387" s="97">
        <v>17</v>
      </c>
      <c r="BF387" s="97">
        <f>+Tabela1107[[#This Row],[PIS]]+Tabela1107[[#This Row],[COFINS]]+Tabela1107[[#This Row],[CONTRIB. FOLHA]]+Tabela1107[[#This Row],[TRIBUTOS S/ LUCRO]]+Tabela1107[[#This Row],[OUTROS]]+Tabela1107[[#This Row],[SP]]</f>
        <v>37.74</v>
      </c>
      <c r="BG387" s="97">
        <f>+Tabela1107[[#This Row],[PIS]]+Tabela1107[[#This Row],[COFINS]]+Tabela1107[[#This Row],[CONTRIB. FOLHA]]+Tabela1107[[#This Row],[TRIBUTOS S/ LUCRO]]+Tabela1107[[#This Row],[OUTROS]]+Tabela1107[[#This Row],[PR]]</f>
        <v>31.740000000000002</v>
      </c>
      <c r="BH387" s="97">
        <f>+Tabela1107[[#This Row],[PIS]]+Tabela1107[[#This Row],[COFINS]]+Tabela1107[[#This Row],[CONTRIB. FOLHA]]+Tabela1107[[#This Row],[TRIBUTOS S/ LUCRO]]+Tabela1107[[#This Row],[OUTROS]]+Tabela1107[[#This Row],[SC]]</f>
        <v>36.74</v>
      </c>
      <c r="BI387" s="97">
        <f>+Tabela1107[[#This Row],[PIS]]+Tabela1107[[#This Row],[COFINS]]+Tabela1107[[#This Row],[CONTRIB. FOLHA]]+Tabela1107[[#This Row],[TRIBUTOS S/ LUCRO]]+Tabela1107[[#This Row],[OUTROS]]+Tabela1107[[#This Row],[RS]]</f>
        <v>36.74</v>
      </c>
      <c r="BJ387" s="97">
        <f>+Tabela1107[[#This Row],[PIS]]+Tabela1107[[#This Row],[COFINS]]+Tabela1107[[#This Row],[CONTRIB. FOLHA]]+Tabela1107[[#This Row],[TRIBUTOS S/ LUCRO]]+Tabela1107[[#This Row],[OUTROS]]+Tabela1107[[#This Row],[RJ]]</f>
        <v>38.74</v>
      </c>
      <c r="BK387" s="97">
        <f>+Tabela1107[[#This Row],[PIS]]+Tabela1107[[#This Row],[COFINS]]+Tabela1107[[#This Row],[CONTRIB. FOLHA]]+Tabela1107[[#This Row],[TRIBUTOS S/ LUCRO]]+Tabela1107[[#This Row],[OUTROS]]+Tabela1107[[#This Row],[MG]]</f>
        <v>37.74</v>
      </c>
      <c r="BL387" s="97">
        <f>+Tabela1107[[#This Row],[PIS]]+Tabela1107[[#This Row],[COFINS]]+Tabela1107[[#This Row],[CONTRIB. FOLHA]]+Tabela1107[[#This Row],[TRIBUTOS S/ LUCRO]]+Tabela1107[[#This Row],[OUTROS]]+Tabela1107[[#This Row],[ES]]</f>
        <v>36.74</v>
      </c>
      <c r="BM387" s="97">
        <f>+Tabela1107[[#This Row],[PIS]]+Tabela1107[[#This Row],[COFINS]]+Tabela1107[[#This Row],[CONTRIB. FOLHA]]+Tabela1107[[#This Row],[TRIBUTOS S/ LUCRO]]+Tabela1107[[#This Row],[OUTROS]]+Tabela1107[[#This Row],[GO]]</f>
        <v>36.74</v>
      </c>
      <c r="BN387" s="97">
        <f>+Tabela1107[[#This Row],[PIS]]+Tabela1107[[#This Row],[COFINS]]+Tabela1107[[#This Row],[CONTRIB. FOLHA]]+Tabela1107[[#This Row],[TRIBUTOS S/ LUCRO]]+Tabela1107[[#This Row],[OUTROS]]+Tabela1107[[#This Row],[MT]]</f>
        <v>36.74</v>
      </c>
      <c r="BO387" s="97">
        <f>+Tabela1107[[#This Row],[PIS]]+Tabela1107[[#This Row],[COFINS]]+Tabela1107[[#This Row],[CONTRIB. FOLHA]]+Tabela1107[[#This Row],[TRIBUTOS S/ LUCRO]]+Tabela1107[[#This Row],[OUTROS]]+Tabela1107[[#This Row],[MS]]</f>
        <v>36.74</v>
      </c>
      <c r="BP387" s="97">
        <f>+Tabela1107[[#This Row],[PIS]]+Tabela1107[[#This Row],[COFINS]]+Tabela1107[[#This Row],[CONTRIB. FOLHA]]+Tabela1107[[#This Row],[TRIBUTOS S/ LUCRO]]+Tabela1107[[#This Row],[OUTROS]]+Tabela1107[[#This Row],[DF]]</f>
        <v>36.74</v>
      </c>
      <c r="BQ387" s="97">
        <f>+Tabela1107[[#This Row],[PIS]]+Tabela1107[[#This Row],[COFINS]]+Tabela1107[[#This Row],[CONTRIB. FOLHA]]+Tabela1107[[#This Row],[TRIBUTOS S/ LUCRO]]+Tabela1107[[#This Row],[OUTROS]]+Tabela1107[[#This Row],[BA]]</f>
        <v>36.74</v>
      </c>
      <c r="BR387" s="97">
        <f>+Tabela1107[[#This Row],[PIS]]+Tabela1107[[#This Row],[COFINS]]+Tabela1107[[#This Row],[CONTRIB. FOLHA]]+Tabela1107[[#This Row],[TRIBUTOS S/ LUCRO]]+Tabela1107[[#This Row],[OUTROS]]+Tabela1107[[#This Row],[BA]]</f>
        <v>36.74</v>
      </c>
      <c r="BS387" s="97">
        <f>+Tabela1107[[#This Row],[PIS]]+Tabela1107[[#This Row],[COFINS]]+Tabela1107[[#This Row],[CONTRIB. FOLHA]]+Tabela1107[[#This Row],[TRIBUTOS S/ LUCRO]]+Tabela1107[[#This Row],[OUTROS]]+Tabela1107[[#This Row],[PE]]</f>
        <v>36.74</v>
      </c>
      <c r="BT387" s="97">
        <f>+Tabela1107[[#This Row],[PIS]]+Tabela1107[[#This Row],[COFINS]]+Tabela1107[[#This Row],[CONTRIB. FOLHA]]+Tabela1107[[#This Row],[TRIBUTOS S/ LUCRO]]+Tabela1107[[#This Row],[OUTROS]]+Tabela1107[[#This Row],[PA]]</f>
        <v>36.74</v>
      </c>
      <c r="BU387" s="97">
        <f>+Tabela1107[[#This Row],[PIS]]+Tabela1107[[#This Row],[COFINS]]+Tabela1107[[#This Row],[CONTRIB. FOLHA]]+Tabela1107[[#This Row],[TRIBUTOS S/ LUCRO]]+Tabela1107[[#This Row],[OUTROS]]+Tabela1107[[#This Row],[AM]]</f>
        <v>36.74</v>
      </c>
      <c r="BV387" s="97">
        <f>AVERAGE(Tabela1107[[#This Row],[TOTAL SP]:[TOTAL AM]])</f>
        <v>36.677500000000002</v>
      </c>
      <c r="BW387" s="97"/>
      <c r="BX387" s="97"/>
    </row>
    <row r="388" spans="2:76" x14ac:dyDescent="0.25">
      <c r="B388" s="89">
        <v>2989</v>
      </c>
      <c r="C388" s="91" t="s">
        <v>13133</v>
      </c>
      <c r="D388" s="89"/>
      <c r="E388" s="89">
        <v>20140626</v>
      </c>
      <c r="F388" s="89" t="s">
        <v>20832</v>
      </c>
      <c r="G388" s="89" t="s">
        <v>20833</v>
      </c>
      <c r="H388" s="89" t="s">
        <v>20834</v>
      </c>
      <c r="I388" s="89" t="s">
        <v>20831</v>
      </c>
      <c r="J388" s="89" t="s">
        <v>45</v>
      </c>
      <c r="K388" s="99" t="s">
        <v>4477</v>
      </c>
      <c r="L388" s="89" t="s">
        <v>4478</v>
      </c>
      <c r="M388" s="89" t="s">
        <v>4185</v>
      </c>
      <c r="N388" s="89" t="s">
        <v>4496</v>
      </c>
      <c r="O388" s="89" t="s">
        <v>4496</v>
      </c>
      <c r="P388" s="89" t="s">
        <v>4496</v>
      </c>
      <c r="Q388" s="89"/>
      <c r="R388" s="89" t="s">
        <v>44</v>
      </c>
      <c r="S388" s="89" t="s">
        <v>21580</v>
      </c>
      <c r="T388" s="89" t="s">
        <v>21581</v>
      </c>
      <c r="U388" s="89" t="str">
        <f>TRIM('Carga Tributária doenças Po (2'!$L388)</f>
        <v>ACIDO CITRICO</v>
      </c>
      <c r="V388" s="89">
        <f>SUMIFS('Tabela Federal'!$E$4:$E$2069,'Tabela Federal'!$D$4:$D$2069,'Carga Tributária doenças Po (2'!$L388)</f>
        <v>1</v>
      </c>
      <c r="W388" s="89">
        <f>SUMIFS('Tabela Federal'!$E$4:$E$2069,'Tabela Federal'!$D$4:$D$2069,'Carga Tributária doenças Po (2'!$M388)</f>
        <v>1</v>
      </c>
      <c r="X388" s="89">
        <f>SUMIFS('Tabela Federal'!$E$4:$E$2069,'Tabela Federal'!$D$4:$D$2069,'Carga Tributária doenças Po (2'!$N388)</f>
        <v>0</v>
      </c>
      <c r="Y388" s="89">
        <f>SUMIFS('Tabela Federal'!$E$4:$E$2069,'Tabela Federal'!$D$4:$D$2069,'Carga Tributária doenças Po (2'!$O388)</f>
        <v>0</v>
      </c>
      <c r="Z388" s="92" t="str">
        <f>VLOOKUP('Carga Tributária doenças Po (2'!$AD388,'Carga Tributária doenças Po (2'!$CA$12:$CC$16,2,0)</f>
        <v>-</v>
      </c>
      <c r="AA388" s="89" t="s">
        <v>43</v>
      </c>
      <c r="AB388" s="89" t="s">
        <v>21752</v>
      </c>
      <c r="AC388" s="89" t="s">
        <v>21740</v>
      </c>
      <c r="AD388" s="93" t="s">
        <v>19523</v>
      </c>
      <c r="AE388" s="92" t="s">
        <v>4</v>
      </c>
      <c r="AF388" s="92" t="s">
        <v>3</v>
      </c>
      <c r="AG388" s="94">
        <v>1934937</v>
      </c>
      <c r="AH388" s="95">
        <v>7240685</v>
      </c>
      <c r="AI388" s="95">
        <v>16537495.939999999</v>
      </c>
      <c r="AJ388" s="89" t="s">
        <v>41</v>
      </c>
      <c r="AK388" s="89">
        <f>IF('Carga Tributária doenças Po (2'!$Z388="+",0,SUMIFS(PISCOFINS!$I$3:$I$10518,PISCOFINS!$C$3:$C$10518,'Carga Tributária doenças Po (2'!$C388))</f>
        <v>2.1</v>
      </c>
      <c r="AL388" s="89">
        <f>IF('Carga Tributária doenças Po (2'!$Z388="+",0,SUMIFS(PISCOFINS!$H$3:$H$10518,PISCOFINS!$C$3:$C$10518,'Carga Tributária doenças Po (2'!$C388))</f>
        <v>9.9</v>
      </c>
      <c r="AM388" s="95">
        <v>3.27</v>
      </c>
      <c r="AN388" s="95">
        <v>3.12</v>
      </c>
      <c r="AO388" s="95">
        <v>1.35</v>
      </c>
      <c r="AP388" s="96">
        <v>18</v>
      </c>
      <c r="AQ388" s="96">
        <v>12</v>
      </c>
      <c r="AR388" s="96">
        <v>17</v>
      </c>
      <c r="AS388" s="97">
        <v>17</v>
      </c>
      <c r="AT388" s="97">
        <v>19</v>
      </c>
      <c r="AU388" s="97">
        <v>18</v>
      </c>
      <c r="AV388" s="97">
        <v>17</v>
      </c>
      <c r="AW388" s="97">
        <v>17</v>
      </c>
      <c r="AX388" s="97">
        <v>17</v>
      </c>
      <c r="AY388" s="97">
        <v>17</v>
      </c>
      <c r="AZ388" s="97">
        <v>17</v>
      </c>
      <c r="BA388" s="97">
        <v>17</v>
      </c>
      <c r="BB388" s="97">
        <v>17</v>
      </c>
      <c r="BC388" s="97">
        <v>17</v>
      </c>
      <c r="BD388" s="97">
        <v>17</v>
      </c>
      <c r="BE388" s="97">
        <v>17</v>
      </c>
      <c r="BF388" s="97">
        <f>+Tabela1107[[#This Row],[PIS]]+Tabela1107[[#This Row],[COFINS]]+Tabela1107[[#This Row],[CONTRIB. FOLHA]]+Tabela1107[[#This Row],[TRIBUTOS S/ LUCRO]]+Tabela1107[[#This Row],[OUTROS]]+Tabela1107[[#This Row],[SP]]</f>
        <v>37.74</v>
      </c>
      <c r="BG388" s="97">
        <f>+Tabela1107[[#This Row],[PIS]]+Tabela1107[[#This Row],[COFINS]]+Tabela1107[[#This Row],[CONTRIB. FOLHA]]+Tabela1107[[#This Row],[TRIBUTOS S/ LUCRO]]+Tabela1107[[#This Row],[OUTROS]]+Tabela1107[[#This Row],[PR]]</f>
        <v>31.740000000000002</v>
      </c>
      <c r="BH388" s="97">
        <f>+Tabela1107[[#This Row],[PIS]]+Tabela1107[[#This Row],[COFINS]]+Tabela1107[[#This Row],[CONTRIB. FOLHA]]+Tabela1107[[#This Row],[TRIBUTOS S/ LUCRO]]+Tabela1107[[#This Row],[OUTROS]]+Tabela1107[[#This Row],[SC]]</f>
        <v>36.74</v>
      </c>
      <c r="BI388" s="97">
        <f>+Tabela1107[[#This Row],[PIS]]+Tabela1107[[#This Row],[COFINS]]+Tabela1107[[#This Row],[CONTRIB. FOLHA]]+Tabela1107[[#This Row],[TRIBUTOS S/ LUCRO]]+Tabela1107[[#This Row],[OUTROS]]+Tabela1107[[#This Row],[RS]]</f>
        <v>36.74</v>
      </c>
      <c r="BJ388" s="97">
        <f>+Tabela1107[[#This Row],[PIS]]+Tabela1107[[#This Row],[COFINS]]+Tabela1107[[#This Row],[CONTRIB. FOLHA]]+Tabela1107[[#This Row],[TRIBUTOS S/ LUCRO]]+Tabela1107[[#This Row],[OUTROS]]+Tabela1107[[#This Row],[RJ]]</f>
        <v>38.74</v>
      </c>
      <c r="BK388" s="97">
        <f>+Tabela1107[[#This Row],[PIS]]+Tabela1107[[#This Row],[COFINS]]+Tabela1107[[#This Row],[CONTRIB. FOLHA]]+Tabela1107[[#This Row],[TRIBUTOS S/ LUCRO]]+Tabela1107[[#This Row],[OUTROS]]+Tabela1107[[#This Row],[MG]]</f>
        <v>37.74</v>
      </c>
      <c r="BL388" s="97">
        <f>+Tabela1107[[#This Row],[PIS]]+Tabela1107[[#This Row],[COFINS]]+Tabela1107[[#This Row],[CONTRIB. FOLHA]]+Tabela1107[[#This Row],[TRIBUTOS S/ LUCRO]]+Tabela1107[[#This Row],[OUTROS]]+Tabela1107[[#This Row],[ES]]</f>
        <v>36.74</v>
      </c>
      <c r="BM388" s="97">
        <f>+Tabela1107[[#This Row],[PIS]]+Tabela1107[[#This Row],[COFINS]]+Tabela1107[[#This Row],[CONTRIB. FOLHA]]+Tabela1107[[#This Row],[TRIBUTOS S/ LUCRO]]+Tabela1107[[#This Row],[OUTROS]]+Tabela1107[[#This Row],[GO]]</f>
        <v>36.74</v>
      </c>
      <c r="BN388" s="97">
        <f>+Tabela1107[[#This Row],[PIS]]+Tabela1107[[#This Row],[COFINS]]+Tabela1107[[#This Row],[CONTRIB. FOLHA]]+Tabela1107[[#This Row],[TRIBUTOS S/ LUCRO]]+Tabela1107[[#This Row],[OUTROS]]+Tabela1107[[#This Row],[MT]]</f>
        <v>36.74</v>
      </c>
      <c r="BO388" s="97">
        <f>+Tabela1107[[#This Row],[PIS]]+Tabela1107[[#This Row],[COFINS]]+Tabela1107[[#This Row],[CONTRIB. FOLHA]]+Tabela1107[[#This Row],[TRIBUTOS S/ LUCRO]]+Tabela1107[[#This Row],[OUTROS]]+Tabela1107[[#This Row],[MS]]</f>
        <v>36.74</v>
      </c>
      <c r="BP388" s="97">
        <f>+Tabela1107[[#This Row],[PIS]]+Tabela1107[[#This Row],[COFINS]]+Tabela1107[[#This Row],[CONTRIB. FOLHA]]+Tabela1107[[#This Row],[TRIBUTOS S/ LUCRO]]+Tabela1107[[#This Row],[OUTROS]]+Tabela1107[[#This Row],[DF]]</f>
        <v>36.74</v>
      </c>
      <c r="BQ388" s="97">
        <f>+Tabela1107[[#This Row],[PIS]]+Tabela1107[[#This Row],[COFINS]]+Tabela1107[[#This Row],[CONTRIB. FOLHA]]+Tabela1107[[#This Row],[TRIBUTOS S/ LUCRO]]+Tabela1107[[#This Row],[OUTROS]]+Tabela1107[[#This Row],[BA]]</f>
        <v>36.74</v>
      </c>
      <c r="BR388" s="97">
        <f>+Tabela1107[[#This Row],[PIS]]+Tabela1107[[#This Row],[COFINS]]+Tabela1107[[#This Row],[CONTRIB. FOLHA]]+Tabela1107[[#This Row],[TRIBUTOS S/ LUCRO]]+Tabela1107[[#This Row],[OUTROS]]+Tabela1107[[#This Row],[BA]]</f>
        <v>36.74</v>
      </c>
      <c r="BS388" s="97">
        <f>+Tabela1107[[#This Row],[PIS]]+Tabela1107[[#This Row],[COFINS]]+Tabela1107[[#This Row],[CONTRIB. FOLHA]]+Tabela1107[[#This Row],[TRIBUTOS S/ LUCRO]]+Tabela1107[[#This Row],[OUTROS]]+Tabela1107[[#This Row],[PE]]</f>
        <v>36.74</v>
      </c>
      <c r="BT388" s="97">
        <f>+Tabela1107[[#This Row],[PIS]]+Tabela1107[[#This Row],[COFINS]]+Tabela1107[[#This Row],[CONTRIB. FOLHA]]+Tabela1107[[#This Row],[TRIBUTOS S/ LUCRO]]+Tabela1107[[#This Row],[OUTROS]]+Tabela1107[[#This Row],[PA]]</f>
        <v>36.74</v>
      </c>
      <c r="BU388" s="97">
        <f>+Tabela1107[[#This Row],[PIS]]+Tabela1107[[#This Row],[COFINS]]+Tabela1107[[#This Row],[CONTRIB. FOLHA]]+Tabela1107[[#This Row],[TRIBUTOS S/ LUCRO]]+Tabela1107[[#This Row],[OUTROS]]+Tabela1107[[#This Row],[AM]]</f>
        <v>36.74</v>
      </c>
      <c r="BV388" s="97">
        <f>AVERAGE(Tabela1107[[#This Row],[TOTAL SP]:[TOTAL AM]])</f>
        <v>36.677500000000002</v>
      </c>
      <c r="BW388" s="97"/>
      <c r="BX388" s="97"/>
    </row>
    <row r="389" spans="2:76" x14ac:dyDescent="0.25">
      <c r="B389" s="89">
        <v>2996</v>
      </c>
      <c r="C389" s="91" t="s">
        <v>13133</v>
      </c>
      <c r="D389" s="89"/>
      <c r="E389" s="89">
        <v>20140626</v>
      </c>
      <c r="F389" s="89" t="s">
        <v>20828</v>
      </c>
      <c r="G389" s="89" t="s">
        <v>20829</v>
      </c>
      <c r="H389" s="89" t="s">
        <v>20830</v>
      </c>
      <c r="I389" s="89" t="s">
        <v>20831</v>
      </c>
      <c r="J389" s="89" t="s">
        <v>42</v>
      </c>
      <c r="K389" s="99" t="s">
        <v>4477</v>
      </c>
      <c r="L389" s="89" t="s">
        <v>4478</v>
      </c>
      <c r="M389" s="89" t="s">
        <v>4185</v>
      </c>
      <c r="N389" s="89" t="s">
        <v>4496</v>
      </c>
      <c r="O389" s="89" t="s">
        <v>4496</v>
      </c>
      <c r="P389" s="89" t="s">
        <v>4496</v>
      </c>
      <c r="Q389" s="89"/>
      <c r="R389" s="89" t="s">
        <v>44</v>
      </c>
      <c r="S389" s="89" t="s">
        <v>21580</v>
      </c>
      <c r="T389" s="89" t="s">
        <v>21581</v>
      </c>
      <c r="U389" s="89" t="str">
        <f>TRIM('Carga Tributária doenças Po (2'!$L389)</f>
        <v>ACIDO CITRICO</v>
      </c>
      <c r="V389" s="89">
        <f>SUMIFS('Tabela Federal'!$E$4:$E$2069,'Tabela Federal'!$D$4:$D$2069,'Carga Tributária doenças Po (2'!$L389)</f>
        <v>1</v>
      </c>
      <c r="W389" s="89">
        <f>SUMIFS('Tabela Federal'!$E$4:$E$2069,'Tabela Federal'!$D$4:$D$2069,'Carga Tributária doenças Po (2'!$M389)</f>
        <v>1</v>
      </c>
      <c r="X389" s="89">
        <f>SUMIFS('Tabela Federal'!$E$4:$E$2069,'Tabela Federal'!$D$4:$D$2069,'Carga Tributária doenças Po (2'!$N389)</f>
        <v>0</v>
      </c>
      <c r="Y389" s="89">
        <f>SUMIFS('Tabela Federal'!$E$4:$E$2069,'Tabela Federal'!$D$4:$D$2069,'Carga Tributária doenças Po (2'!$O389)</f>
        <v>0</v>
      </c>
      <c r="Z389" s="92" t="str">
        <f>VLOOKUP('Carga Tributária doenças Po (2'!$AD389,'Carga Tributária doenças Po (2'!$CA$12:$CC$16,2,0)</f>
        <v>-</v>
      </c>
      <c r="AA389" s="89" t="s">
        <v>43</v>
      </c>
      <c r="AB389" s="89" t="s">
        <v>21752</v>
      </c>
      <c r="AC389" s="89" t="s">
        <v>21740</v>
      </c>
      <c r="AD389" s="93" t="s">
        <v>19523</v>
      </c>
      <c r="AE389" s="92" t="s">
        <v>4</v>
      </c>
      <c r="AF389" s="92" t="s">
        <v>3</v>
      </c>
      <c r="AG389" s="94">
        <v>3295998</v>
      </c>
      <c r="AH389" s="95">
        <v>12329383</v>
      </c>
      <c r="AI389" s="95">
        <v>28166688.640000001</v>
      </c>
      <c r="AJ389" s="89" t="s">
        <v>41</v>
      </c>
      <c r="AK389" s="89">
        <f>IF('Carga Tributária doenças Po (2'!$Z389="+",0,SUMIFS(PISCOFINS!$I$3:$I$10518,PISCOFINS!$C$3:$C$10518,'Carga Tributária doenças Po (2'!$C389))</f>
        <v>2.1</v>
      </c>
      <c r="AL389" s="89">
        <f>IF('Carga Tributária doenças Po (2'!$Z389="+",0,SUMIFS(PISCOFINS!$H$3:$H$10518,PISCOFINS!$C$3:$C$10518,'Carga Tributária doenças Po (2'!$C389))</f>
        <v>9.9</v>
      </c>
      <c r="AM389" s="95">
        <v>3.27</v>
      </c>
      <c r="AN389" s="95">
        <v>3.12</v>
      </c>
      <c r="AO389" s="95">
        <v>1.35</v>
      </c>
      <c r="AP389" s="96">
        <v>18</v>
      </c>
      <c r="AQ389" s="96">
        <v>12</v>
      </c>
      <c r="AR389" s="96">
        <v>17</v>
      </c>
      <c r="AS389" s="97">
        <v>17</v>
      </c>
      <c r="AT389" s="97">
        <v>19</v>
      </c>
      <c r="AU389" s="97">
        <v>18</v>
      </c>
      <c r="AV389" s="97">
        <v>17</v>
      </c>
      <c r="AW389" s="97">
        <v>17</v>
      </c>
      <c r="AX389" s="97">
        <v>17</v>
      </c>
      <c r="AY389" s="97">
        <v>17</v>
      </c>
      <c r="AZ389" s="97">
        <v>17</v>
      </c>
      <c r="BA389" s="97">
        <v>17</v>
      </c>
      <c r="BB389" s="97">
        <v>17</v>
      </c>
      <c r="BC389" s="97">
        <v>17</v>
      </c>
      <c r="BD389" s="97">
        <v>17</v>
      </c>
      <c r="BE389" s="97">
        <v>17</v>
      </c>
      <c r="BF389" s="97">
        <f>+Tabela1107[[#This Row],[PIS]]+Tabela1107[[#This Row],[COFINS]]+Tabela1107[[#This Row],[CONTRIB. FOLHA]]+Tabela1107[[#This Row],[TRIBUTOS S/ LUCRO]]+Tabela1107[[#This Row],[OUTROS]]+Tabela1107[[#This Row],[SP]]</f>
        <v>37.74</v>
      </c>
      <c r="BG389" s="97">
        <f>+Tabela1107[[#This Row],[PIS]]+Tabela1107[[#This Row],[COFINS]]+Tabela1107[[#This Row],[CONTRIB. FOLHA]]+Tabela1107[[#This Row],[TRIBUTOS S/ LUCRO]]+Tabela1107[[#This Row],[OUTROS]]+Tabela1107[[#This Row],[PR]]</f>
        <v>31.740000000000002</v>
      </c>
      <c r="BH389" s="97">
        <f>+Tabela1107[[#This Row],[PIS]]+Tabela1107[[#This Row],[COFINS]]+Tabela1107[[#This Row],[CONTRIB. FOLHA]]+Tabela1107[[#This Row],[TRIBUTOS S/ LUCRO]]+Tabela1107[[#This Row],[OUTROS]]+Tabela1107[[#This Row],[SC]]</f>
        <v>36.74</v>
      </c>
      <c r="BI389" s="97">
        <f>+Tabela1107[[#This Row],[PIS]]+Tabela1107[[#This Row],[COFINS]]+Tabela1107[[#This Row],[CONTRIB. FOLHA]]+Tabela1107[[#This Row],[TRIBUTOS S/ LUCRO]]+Tabela1107[[#This Row],[OUTROS]]+Tabela1107[[#This Row],[RS]]</f>
        <v>36.74</v>
      </c>
      <c r="BJ389" s="97">
        <f>+Tabela1107[[#This Row],[PIS]]+Tabela1107[[#This Row],[COFINS]]+Tabela1107[[#This Row],[CONTRIB. FOLHA]]+Tabela1107[[#This Row],[TRIBUTOS S/ LUCRO]]+Tabela1107[[#This Row],[OUTROS]]+Tabela1107[[#This Row],[RJ]]</f>
        <v>38.74</v>
      </c>
      <c r="BK389" s="97">
        <f>+Tabela1107[[#This Row],[PIS]]+Tabela1107[[#This Row],[COFINS]]+Tabela1107[[#This Row],[CONTRIB. FOLHA]]+Tabela1107[[#This Row],[TRIBUTOS S/ LUCRO]]+Tabela1107[[#This Row],[OUTROS]]+Tabela1107[[#This Row],[MG]]</f>
        <v>37.74</v>
      </c>
      <c r="BL389" s="97">
        <f>+Tabela1107[[#This Row],[PIS]]+Tabela1107[[#This Row],[COFINS]]+Tabela1107[[#This Row],[CONTRIB. FOLHA]]+Tabela1107[[#This Row],[TRIBUTOS S/ LUCRO]]+Tabela1107[[#This Row],[OUTROS]]+Tabela1107[[#This Row],[ES]]</f>
        <v>36.74</v>
      </c>
      <c r="BM389" s="97">
        <f>+Tabela1107[[#This Row],[PIS]]+Tabela1107[[#This Row],[COFINS]]+Tabela1107[[#This Row],[CONTRIB. FOLHA]]+Tabela1107[[#This Row],[TRIBUTOS S/ LUCRO]]+Tabela1107[[#This Row],[OUTROS]]+Tabela1107[[#This Row],[GO]]</f>
        <v>36.74</v>
      </c>
      <c r="BN389" s="97">
        <f>+Tabela1107[[#This Row],[PIS]]+Tabela1107[[#This Row],[COFINS]]+Tabela1107[[#This Row],[CONTRIB. FOLHA]]+Tabela1107[[#This Row],[TRIBUTOS S/ LUCRO]]+Tabela1107[[#This Row],[OUTROS]]+Tabela1107[[#This Row],[MT]]</f>
        <v>36.74</v>
      </c>
      <c r="BO389" s="97">
        <f>+Tabela1107[[#This Row],[PIS]]+Tabela1107[[#This Row],[COFINS]]+Tabela1107[[#This Row],[CONTRIB. FOLHA]]+Tabela1107[[#This Row],[TRIBUTOS S/ LUCRO]]+Tabela1107[[#This Row],[OUTROS]]+Tabela1107[[#This Row],[MS]]</f>
        <v>36.74</v>
      </c>
      <c r="BP389" s="97">
        <f>+Tabela1107[[#This Row],[PIS]]+Tabela1107[[#This Row],[COFINS]]+Tabela1107[[#This Row],[CONTRIB. FOLHA]]+Tabela1107[[#This Row],[TRIBUTOS S/ LUCRO]]+Tabela1107[[#This Row],[OUTROS]]+Tabela1107[[#This Row],[DF]]</f>
        <v>36.74</v>
      </c>
      <c r="BQ389" s="97">
        <f>+Tabela1107[[#This Row],[PIS]]+Tabela1107[[#This Row],[COFINS]]+Tabela1107[[#This Row],[CONTRIB. FOLHA]]+Tabela1107[[#This Row],[TRIBUTOS S/ LUCRO]]+Tabela1107[[#This Row],[OUTROS]]+Tabela1107[[#This Row],[BA]]</f>
        <v>36.74</v>
      </c>
      <c r="BR389" s="97">
        <f>+Tabela1107[[#This Row],[PIS]]+Tabela1107[[#This Row],[COFINS]]+Tabela1107[[#This Row],[CONTRIB. FOLHA]]+Tabela1107[[#This Row],[TRIBUTOS S/ LUCRO]]+Tabela1107[[#This Row],[OUTROS]]+Tabela1107[[#This Row],[BA]]</f>
        <v>36.74</v>
      </c>
      <c r="BS389" s="97">
        <f>+Tabela1107[[#This Row],[PIS]]+Tabela1107[[#This Row],[COFINS]]+Tabela1107[[#This Row],[CONTRIB. FOLHA]]+Tabela1107[[#This Row],[TRIBUTOS S/ LUCRO]]+Tabela1107[[#This Row],[OUTROS]]+Tabela1107[[#This Row],[PE]]</f>
        <v>36.74</v>
      </c>
      <c r="BT389" s="97">
        <f>+Tabela1107[[#This Row],[PIS]]+Tabela1107[[#This Row],[COFINS]]+Tabela1107[[#This Row],[CONTRIB. FOLHA]]+Tabela1107[[#This Row],[TRIBUTOS S/ LUCRO]]+Tabela1107[[#This Row],[OUTROS]]+Tabela1107[[#This Row],[PA]]</f>
        <v>36.74</v>
      </c>
      <c r="BU389" s="97">
        <f>+Tabela1107[[#This Row],[PIS]]+Tabela1107[[#This Row],[COFINS]]+Tabela1107[[#This Row],[CONTRIB. FOLHA]]+Tabela1107[[#This Row],[TRIBUTOS S/ LUCRO]]+Tabela1107[[#This Row],[OUTROS]]+Tabela1107[[#This Row],[AM]]</f>
        <v>36.74</v>
      </c>
      <c r="BV389" s="97">
        <f>AVERAGE(Tabela1107[[#This Row],[TOTAL SP]:[TOTAL AM]])</f>
        <v>36.677500000000002</v>
      </c>
      <c r="BW389" s="97"/>
      <c r="BX389" s="97"/>
    </row>
    <row r="390" spans="2:76" x14ac:dyDescent="0.25">
      <c r="B390" s="89">
        <v>11547</v>
      </c>
      <c r="C390" s="106" t="s">
        <v>13183</v>
      </c>
      <c r="D390" s="89"/>
      <c r="E390" s="89">
        <v>20140626</v>
      </c>
      <c r="F390" s="98" t="s">
        <v>21938</v>
      </c>
      <c r="G390" s="98" t="s">
        <v>21941</v>
      </c>
      <c r="H390" s="98" t="s">
        <v>21939</v>
      </c>
      <c r="I390" s="89" t="s">
        <v>21915</v>
      </c>
      <c r="J390" s="89" t="s">
        <v>378</v>
      </c>
      <c r="K390" s="99" t="s">
        <v>2521</v>
      </c>
      <c r="L390" s="89" t="s">
        <v>3179</v>
      </c>
      <c r="M390" s="89" t="s">
        <v>3180</v>
      </c>
      <c r="N390" s="89" t="s">
        <v>3181</v>
      </c>
      <c r="O390" s="89" t="s">
        <v>4496</v>
      </c>
      <c r="P390" s="89" t="s">
        <v>4496</v>
      </c>
      <c r="Q390" s="89"/>
      <c r="R390" s="89" t="s">
        <v>375</v>
      </c>
      <c r="S390" s="89" t="s">
        <v>21632</v>
      </c>
      <c r="T390" s="98" t="s">
        <v>21633</v>
      </c>
      <c r="U390" s="89" t="str">
        <f>TRIM('Carga Tributária doenças Po (2'!$L390)</f>
        <v>CANFORA</v>
      </c>
      <c r="V390" s="89">
        <f>SUMIFS('Tabela Federal'!$E$4:$E$2069,'Tabela Federal'!$D$4:$D$2069,'Carga Tributária doenças Po (2'!$L390)</f>
        <v>0</v>
      </c>
      <c r="W390" s="89">
        <f>SUMIFS('Tabela Federal'!$E$4:$E$2069,'Tabela Federal'!$D$4:$D$2069,'Carga Tributária doenças Po (2'!$M390)</f>
        <v>1</v>
      </c>
      <c r="X390" s="89">
        <f>SUMIFS('Tabela Federal'!$E$4:$E$2069,'Tabela Federal'!$D$4:$D$2069,'Carga Tributária doenças Po (2'!$N390)</f>
        <v>0</v>
      </c>
      <c r="Y390" s="89">
        <f>SUMIFS('Tabela Federal'!$E$4:$E$2069,'Tabela Federal'!$D$4:$D$2069,'Carga Tributária doenças Po (2'!$O390)</f>
        <v>0</v>
      </c>
      <c r="Z390" s="92" t="str">
        <f>VLOOKUP('Carga Tributária doenças Po (2'!$AD390,'Carga Tributária doenças Po (2'!$CA$12:$CC$16,2,0)</f>
        <v>-</v>
      </c>
      <c r="AA390" s="89" t="s">
        <v>374</v>
      </c>
      <c r="AB390" s="89" t="s">
        <v>21865</v>
      </c>
      <c r="AC390" s="89" t="s">
        <v>21740</v>
      </c>
      <c r="AD390" s="93" t="s">
        <v>19523</v>
      </c>
      <c r="AE390" s="92" t="s">
        <v>4</v>
      </c>
      <c r="AF390" s="92" t="s">
        <v>3</v>
      </c>
      <c r="AG390" s="94">
        <v>1806572</v>
      </c>
      <c r="AH390" s="95">
        <v>5657094</v>
      </c>
      <c r="AI390" s="95">
        <v>12904037.07</v>
      </c>
      <c r="AJ390" s="89" t="s">
        <v>383</v>
      </c>
      <c r="AK390" s="89">
        <f>IF('Carga Tributária doenças Po (2'!$Z390="+",0,SUMIFS(PISCOFINS!$I$3:$I$10518,PISCOFINS!$C$3:$C$10518,'Carga Tributária doenças Po (2'!$C390))</f>
        <v>2.1</v>
      </c>
      <c r="AL390" s="89">
        <f>IF('Carga Tributária doenças Po (2'!$Z390="+",0,SUMIFS(PISCOFINS!$H$3:$H$10518,PISCOFINS!$C$3:$C$10518,'Carga Tributária doenças Po (2'!$C390))</f>
        <v>9.9</v>
      </c>
      <c r="AM390" s="95">
        <v>3.27</v>
      </c>
      <c r="AN390" s="95">
        <v>3.12</v>
      </c>
      <c r="AO390" s="95">
        <v>1.35</v>
      </c>
      <c r="AP390" s="96">
        <v>18</v>
      </c>
      <c r="AQ390" s="96">
        <v>12</v>
      </c>
      <c r="AR390" s="96">
        <v>17</v>
      </c>
      <c r="AS390" s="97">
        <v>17</v>
      </c>
      <c r="AT390" s="97">
        <v>19</v>
      </c>
      <c r="AU390" s="97">
        <v>18</v>
      </c>
      <c r="AV390" s="97">
        <v>17</v>
      </c>
      <c r="AW390" s="97">
        <v>17</v>
      </c>
      <c r="AX390" s="97">
        <v>17</v>
      </c>
      <c r="AY390" s="97">
        <v>17</v>
      </c>
      <c r="AZ390" s="97">
        <v>17</v>
      </c>
      <c r="BA390" s="97">
        <v>17</v>
      </c>
      <c r="BB390" s="97">
        <v>17</v>
      </c>
      <c r="BC390" s="97">
        <v>17</v>
      </c>
      <c r="BD390" s="97">
        <v>17</v>
      </c>
      <c r="BE390" s="97">
        <v>17</v>
      </c>
      <c r="BF390" s="97">
        <f>+Tabela1107[[#This Row],[PIS]]+Tabela1107[[#This Row],[COFINS]]+Tabela1107[[#This Row],[CONTRIB. FOLHA]]+Tabela1107[[#This Row],[TRIBUTOS S/ LUCRO]]+Tabela1107[[#This Row],[OUTROS]]+Tabela1107[[#This Row],[SP]]</f>
        <v>37.74</v>
      </c>
      <c r="BG390" s="97">
        <f>+Tabela1107[[#This Row],[PIS]]+Tabela1107[[#This Row],[COFINS]]+Tabela1107[[#This Row],[CONTRIB. FOLHA]]+Tabela1107[[#This Row],[TRIBUTOS S/ LUCRO]]+Tabela1107[[#This Row],[OUTROS]]+Tabela1107[[#This Row],[PR]]</f>
        <v>31.740000000000002</v>
      </c>
      <c r="BH390" s="97">
        <f>+Tabela1107[[#This Row],[PIS]]+Tabela1107[[#This Row],[COFINS]]+Tabela1107[[#This Row],[CONTRIB. FOLHA]]+Tabela1107[[#This Row],[TRIBUTOS S/ LUCRO]]+Tabela1107[[#This Row],[OUTROS]]+Tabela1107[[#This Row],[SC]]</f>
        <v>36.74</v>
      </c>
      <c r="BI390" s="97">
        <f>+Tabela1107[[#This Row],[PIS]]+Tabela1107[[#This Row],[COFINS]]+Tabela1107[[#This Row],[CONTRIB. FOLHA]]+Tabela1107[[#This Row],[TRIBUTOS S/ LUCRO]]+Tabela1107[[#This Row],[OUTROS]]+Tabela1107[[#This Row],[RS]]</f>
        <v>36.74</v>
      </c>
      <c r="BJ390" s="97">
        <f>+Tabela1107[[#This Row],[PIS]]+Tabela1107[[#This Row],[COFINS]]+Tabela1107[[#This Row],[CONTRIB. FOLHA]]+Tabela1107[[#This Row],[TRIBUTOS S/ LUCRO]]+Tabela1107[[#This Row],[OUTROS]]+Tabela1107[[#This Row],[RJ]]</f>
        <v>38.74</v>
      </c>
      <c r="BK390" s="97">
        <f>+Tabela1107[[#This Row],[PIS]]+Tabela1107[[#This Row],[COFINS]]+Tabela1107[[#This Row],[CONTRIB. FOLHA]]+Tabela1107[[#This Row],[TRIBUTOS S/ LUCRO]]+Tabela1107[[#This Row],[OUTROS]]+Tabela1107[[#This Row],[MG]]</f>
        <v>37.74</v>
      </c>
      <c r="BL390" s="97">
        <f>+Tabela1107[[#This Row],[PIS]]+Tabela1107[[#This Row],[COFINS]]+Tabela1107[[#This Row],[CONTRIB. FOLHA]]+Tabela1107[[#This Row],[TRIBUTOS S/ LUCRO]]+Tabela1107[[#This Row],[OUTROS]]+Tabela1107[[#This Row],[ES]]</f>
        <v>36.74</v>
      </c>
      <c r="BM390" s="97">
        <f>+Tabela1107[[#This Row],[PIS]]+Tabela1107[[#This Row],[COFINS]]+Tabela1107[[#This Row],[CONTRIB. FOLHA]]+Tabela1107[[#This Row],[TRIBUTOS S/ LUCRO]]+Tabela1107[[#This Row],[OUTROS]]+Tabela1107[[#This Row],[GO]]</f>
        <v>36.74</v>
      </c>
      <c r="BN390" s="97">
        <f>+Tabela1107[[#This Row],[PIS]]+Tabela1107[[#This Row],[COFINS]]+Tabela1107[[#This Row],[CONTRIB. FOLHA]]+Tabela1107[[#This Row],[TRIBUTOS S/ LUCRO]]+Tabela1107[[#This Row],[OUTROS]]+Tabela1107[[#This Row],[MT]]</f>
        <v>36.74</v>
      </c>
      <c r="BO390" s="97">
        <f>+Tabela1107[[#This Row],[PIS]]+Tabela1107[[#This Row],[COFINS]]+Tabela1107[[#This Row],[CONTRIB. FOLHA]]+Tabela1107[[#This Row],[TRIBUTOS S/ LUCRO]]+Tabela1107[[#This Row],[OUTROS]]+Tabela1107[[#This Row],[MS]]</f>
        <v>36.74</v>
      </c>
      <c r="BP390" s="97">
        <f>+Tabela1107[[#This Row],[PIS]]+Tabela1107[[#This Row],[COFINS]]+Tabela1107[[#This Row],[CONTRIB. FOLHA]]+Tabela1107[[#This Row],[TRIBUTOS S/ LUCRO]]+Tabela1107[[#This Row],[OUTROS]]+Tabela1107[[#This Row],[DF]]</f>
        <v>36.74</v>
      </c>
      <c r="BQ390" s="97">
        <f>+Tabela1107[[#This Row],[PIS]]+Tabela1107[[#This Row],[COFINS]]+Tabela1107[[#This Row],[CONTRIB. FOLHA]]+Tabela1107[[#This Row],[TRIBUTOS S/ LUCRO]]+Tabela1107[[#This Row],[OUTROS]]+Tabela1107[[#This Row],[BA]]</f>
        <v>36.74</v>
      </c>
      <c r="BR390" s="97">
        <f>+Tabela1107[[#This Row],[PIS]]+Tabela1107[[#This Row],[COFINS]]+Tabela1107[[#This Row],[CONTRIB. FOLHA]]+Tabela1107[[#This Row],[TRIBUTOS S/ LUCRO]]+Tabela1107[[#This Row],[OUTROS]]+Tabela1107[[#This Row],[BA]]</f>
        <v>36.74</v>
      </c>
      <c r="BS390" s="97">
        <f>+Tabela1107[[#This Row],[PIS]]+Tabela1107[[#This Row],[COFINS]]+Tabela1107[[#This Row],[CONTRIB. FOLHA]]+Tabela1107[[#This Row],[TRIBUTOS S/ LUCRO]]+Tabela1107[[#This Row],[OUTROS]]+Tabela1107[[#This Row],[PE]]</f>
        <v>36.74</v>
      </c>
      <c r="BT390" s="97">
        <f>+Tabela1107[[#This Row],[PIS]]+Tabela1107[[#This Row],[COFINS]]+Tabela1107[[#This Row],[CONTRIB. FOLHA]]+Tabela1107[[#This Row],[TRIBUTOS S/ LUCRO]]+Tabela1107[[#This Row],[OUTROS]]+Tabela1107[[#This Row],[PA]]</f>
        <v>36.74</v>
      </c>
      <c r="BU390" s="97">
        <f>+Tabela1107[[#This Row],[PIS]]+Tabela1107[[#This Row],[COFINS]]+Tabela1107[[#This Row],[CONTRIB. FOLHA]]+Tabela1107[[#This Row],[TRIBUTOS S/ LUCRO]]+Tabela1107[[#This Row],[OUTROS]]+Tabela1107[[#This Row],[AM]]</f>
        <v>36.74</v>
      </c>
      <c r="BV390" s="97">
        <f>AVERAGE(Tabela1107[[#This Row],[TOTAL SP]:[TOTAL AM]])</f>
        <v>36.677500000000002</v>
      </c>
      <c r="BW390" s="97"/>
      <c r="BX390" s="97"/>
    </row>
    <row r="391" spans="2:76" x14ac:dyDescent="0.25">
      <c r="B391" s="89">
        <v>4146</v>
      </c>
      <c r="C391" s="91" t="s">
        <v>13183</v>
      </c>
      <c r="D391" s="89"/>
      <c r="E391" s="89">
        <v>20140626</v>
      </c>
      <c r="F391" s="89" t="s">
        <v>21512</v>
      </c>
      <c r="G391" s="89" t="s">
        <v>21513</v>
      </c>
      <c r="H391" s="89" t="s">
        <v>21514</v>
      </c>
      <c r="I391" s="89" t="s">
        <v>21511</v>
      </c>
      <c r="J391" s="89" t="s">
        <v>162</v>
      </c>
      <c r="K391" s="99" t="s">
        <v>4487</v>
      </c>
      <c r="L391" s="89" t="s">
        <v>3172</v>
      </c>
      <c r="M391" s="89" t="s">
        <v>3183</v>
      </c>
      <c r="N391" s="89" t="s">
        <v>4380</v>
      </c>
      <c r="O391" s="89" t="s">
        <v>2632</v>
      </c>
      <c r="P391" s="89" t="s">
        <v>4496</v>
      </c>
      <c r="Q391" s="89"/>
      <c r="R391" s="89" t="s">
        <v>64</v>
      </c>
      <c r="S391" s="89" t="s">
        <v>21698</v>
      </c>
      <c r="T391" s="89" t="s">
        <v>21699</v>
      </c>
      <c r="U391" s="89" t="str">
        <f>TRIM('Carga Tributária doenças Po (2'!$L391)</f>
        <v>CAFEINA</v>
      </c>
      <c r="V391" s="89">
        <f>SUMIFS('Tabela Federal'!$E$4:$E$2069,'Tabela Federal'!$D$4:$D$2069,'Carga Tributária doenças Po (2'!$L391)</f>
        <v>0</v>
      </c>
      <c r="W391" s="89">
        <f>SUMIFS('Tabela Federal'!$E$4:$E$2069,'Tabela Federal'!$D$4:$D$2069,'Carga Tributária doenças Po (2'!$M391)</f>
        <v>0</v>
      </c>
      <c r="X391" s="89">
        <f>SUMIFS('Tabela Federal'!$E$4:$E$2069,'Tabela Federal'!$D$4:$D$2069,'Carga Tributária doenças Po (2'!$N391)</f>
        <v>3</v>
      </c>
      <c r="Y391" s="89">
        <f>SUMIFS('Tabela Federal'!$E$4:$E$2069,'Tabela Federal'!$D$4:$D$2069,'Carga Tributária doenças Po (2'!$O391)</f>
        <v>0</v>
      </c>
      <c r="Z391" s="92" t="str">
        <f>VLOOKUP('Carga Tributária doenças Po (2'!$AD391,'Carga Tributária doenças Po (2'!$CA$12:$CC$16,2,0)</f>
        <v>-</v>
      </c>
      <c r="AA391" s="89" t="s">
        <v>160</v>
      </c>
      <c r="AB391" s="89" t="s">
        <v>21823</v>
      </c>
      <c r="AC391" s="89" t="s">
        <v>21721</v>
      </c>
      <c r="AD391" s="93" t="s">
        <v>19523</v>
      </c>
      <c r="AE391" s="92" t="s">
        <v>4</v>
      </c>
      <c r="AF391" s="92" t="s">
        <v>3</v>
      </c>
      <c r="AG391" s="94">
        <v>5089881</v>
      </c>
      <c r="AH391" s="95">
        <v>5597811</v>
      </c>
      <c r="AI391" s="95">
        <v>12799638.58</v>
      </c>
      <c r="AJ391" s="89" t="s">
        <v>171</v>
      </c>
      <c r="AK391" s="89">
        <f>IF('Carga Tributária doenças Po (2'!$Z391="+",0,SUMIFS(PISCOFINS!$I$3:$I$10518,PISCOFINS!$C$3:$C$10518,'Carga Tributária doenças Po (2'!$C391))</f>
        <v>2.1</v>
      </c>
      <c r="AL391" s="89">
        <f>IF('Carga Tributária doenças Po (2'!$Z391="+",0,SUMIFS(PISCOFINS!$H$3:$H$10518,PISCOFINS!$C$3:$C$10518,'Carga Tributária doenças Po (2'!$C391))</f>
        <v>9.9</v>
      </c>
      <c r="AM391" s="95">
        <v>3.27</v>
      </c>
      <c r="AN391" s="95">
        <v>3.12</v>
      </c>
      <c r="AO391" s="95">
        <v>1.35</v>
      </c>
      <c r="AP391" s="96">
        <v>18</v>
      </c>
      <c r="AQ391" s="96">
        <v>12</v>
      </c>
      <c r="AR391" s="96">
        <v>17</v>
      </c>
      <c r="AS391" s="97">
        <v>17</v>
      </c>
      <c r="AT391" s="97">
        <v>19</v>
      </c>
      <c r="AU391" s="97">
        <v>18</v>
      </c>
      <c r="AV391" s="97">
        <v>17</v>
      </c>
      <c r="AW391" s="97">
        <v>17</v>
      </c>
      <c r="AX391" s="97">
        <v>17</v>
      </c>
      <c r="AY391" s="97">
        <v>17</v>
      </c>
      <c r="AZ391" s="97">
        <v>17</v>
      </c>
      <c r="BA391" s="97">
        <v>17</v>
      </c>
      <c r="BB391" s="97">
        <v>17</v>
      </c>
      <c r="BC391" s="97">
        <v>17</v>
      </c>
      <c r="BD391" s="97">
        <v>17</v>
      </c>
      <c r="BE391" s="97">
        <v>17</v>
      </c>
      <c r="BF391" s="97">
        <f>+Tabela1107[[#This Row],[PIS]]+Tabela1107[[#This Row],[COFINS]]+Tabela1107[[#This Row],[CONTRIB. FOLHA]]+Tabela1107[[#This Row],[TRIBUTOS S/ LUCRO]]+Tabela1107[[#This Row],[OUTROS]]+Tabela1107[[#This Row],[SP]]</f>
        <v>37.74</v>
      </c>
      <c r="BG391" s="97">
        <f>+Tabela1107[[#This Row],[PIS]]+Tabela1107[[#This Row],[COFINS]]+Tabela1107[[#This Row],[CONTRIB. FOLHA]]+Tabela1107[[#This Row],[TRIBUTOS S/ LUCRO]]+Tabela1107[[#This Row],[OUTROS]]+Tabela1107[[#This Row],[PR]]</f>
        <v>31.740000000000002</v>
      </c>
      <c r="BH391" s="97">
        <f>+Tabela1107[[#This Row],[PIS]]+Tabela1107[[#This Row],[COFINS]]+Tabela1107[[#This Row],[CONTRIB. FOLHA]]+Tabela1107[[#This Row],[TRIBUTOS S/ LUCRO]]+Tabela1107[[#This Row],[OUTROS]]+Tabela1107[[#This Row],[SC]]</f>
        <v>36.74</v>
      </c>
      <c r="BI391" s="97">
        <f>+Tabela1107[[#This Row],[PIS]]+Tabela1107[[#This Row],[COFINS]]+Tabela1107[[#This Row],[CONTRIB. FOLHA]]+Tabela1107[[#This Row],[TRIBUTOS S/ LUCRO]]+Tabela1107[[#This Row],[OUTROS]]+Tabela1107[[#This Row],[RS]]</f>
        <v>36.74</v>
      </c>
      <c r="BJ391" s="97">
        <f>+Tabela1107[[#This Row],[PIS]]+Tabela1107[[#This Row],[COFINS]]+Tabela1107[[#This Row],[CONTRIB. FOLHA]]+Tabela1107[[#This Row],[TRIBUTOS S/ LUCRO]]+Tabela1107[[#This Row],[OUTROS]]+Tabela1107[[#This Row],[RJ]]</f>
        <v>38.74</v>
      </c>
      <c r="BK391" s="97">
        <f>+Tabela1107[[#This Row],[PIS]]+Tabela1107[[#This Row],[COFINS]]+Tabela1107[[#This Row],[CONTRIB. FOLHA]]+Tabela1107[[#This Row],[TRIBUTOS S/ LUCRO]]+Tabela1107[[#This Row],[OUTROS]]+Tabela1107[[#This Row],[MG]]</f>
        <v>37.74</v>
      </c>
      <c r="BL391" s="97">
        <f>+Tabela1107[[#This Row],[PIS]]+Tabela1107[[#This Row],[COFINS]]+Tabela1107[[#This Row],[CONTRIB. FOLHA]]+Tabela1107[[#This Row],[TRIBUTOS S/ LUCRO]]+Tabela1107[[#This Row],[OUTROS]]+Tabela1107[[#This Row],[ES]]</f>
        <v>36.74</v>
      </c>
      <c r="BM391" s="97">
        <f>+Tabela1107[[#This Row],[PIS]]+Tabela1107[[#This Row],[COFINS]]+Tabela1107[[#This Row],[CONTRIB. FOLHA]]+Tabela1107[[#This Row],[TRIBUTOS S/ LUCRO]]+Tabela1107[[#This Row],[OUTROS]]+Tabela1107[[#This Row],[GO]]</f>
        <v>36.74</v>
      </c>
      <c r="BN391" s="97">
        <f>+Tabela1107[[#This Row],[PIS]]+Tabela1107[[#This Row],[COFINS]]+Tabela1107[[#This Row],[CONTRIB. FOLHA]]+Tabela1107[[#This Row],[TRIBUTOS S/ LUCRO]]+Tabela1107[[#This Row],[OUTROS]]+Tabela1107[[#This Row],[MT]]</f>
        <v>36.74</v>
      </c>
      <c r="BO391" s="97">
        <f>+Tabela1107[[#This Row],[PIS]]+Tabela1107[[#This Row],[COFINS]]+Tabela1107[[#This Row],[CONTRIB. FOLHA]]+Tabela1107[[#This Row],[TRIBUTOS S/ LUCRO]]+Tabela1107[[#This Row],[OUTROS]]+Tabela1107[[#This Row],[MS]]</f>
        <v>36.74</v>
      </c>
      <c r="BP391" s="97">
        <f>+Tabela1107[[#This Row],[PIS]]+Tabela1107[[#This Row],[COFINS]]+Tabela1107[[#This Row],[CONTRIB. FOLHA]]+Tabela1107[[#This Row],[TRIBUTOS S/ LUCRO]]+Tabela1107[[#This Row],[OUTROS]]+Tabela1107[[#This Row],[DF]]</f>
        <v>36.74</v>
      </c>
      <c r="BQ391" s="97">
        <f>+Tabela1107[[#This Row],[PIS]]+Tabela1107[[#This Row],[COFINS]]+Tabela1107[[#This Row],[CONTRIB. FOLHA]]+Tabela1107[[#This Row],[TRIBUTOS S/ LUCRO]]+Tabela1107[[#This Row],[OUTROS]]+Tabela1107[[#This Row],[BA]]</f>
        <v>36.74</v>
      </c>
      <c r="BR391" s="97">
        <f>+Tabela1107[[#This Row],[PIS]]+Tabela1107[[#This Row],[COFINS]]+Tabela1107[[#This Row],[CONTRIB. FOLHA]]+Tabela1107[[#This Row],[TRIBUTOS S/ LUCRO]]+Tabela1107[[#This Row],[OUTROS]]+Tabela1107[[#This Row],[BA]]</f>
        <v>36.74</v>
      </c>
      <c r="BS391" s="97">
        <f>+Tabela1107[[#This Row],[PIS]]+Tabela1107[[#This Row],[COFINS]]+Tabela1107[[#This Row],[CONTRIB. FOLHA]]+Tabela1107[[#This Row],[TRIBUTOS S/ LUCRO]]+Tabela1107[[#This Row],[OUTROS]]+Tabela1107[[#This Row],[PE]]</f>
        <v>36.74</v>
      </c>
      <c r="BT391" s="97">
        <f>+Tabela1107[[#This Row],[PIS]]+Tabela1107[[#This Row],[COFINS]]+Tabela1107[[#This Row],[CONTRIB. FOLHA]]+Tabela1107[[#This Row],[TRIBUTOS S/ LUCRO]]+Tabela1107[[#This Row],[OUTROS]]+Tabela1107[[#This Row],[PA]]</f>
        <v>36.74</v>
      </c>
      <c r="BU391" s="97">
        <f>+Tabela1107[[#This Row],[PIS]]+Tabela1107[[#This Row],[COFINS]]+Tabela1107[[#This Row],[CONTRIB. FOLHA]]+Tabela1107[[#This Row],[TRIBUTOS S/ LUCRO]]+Tabela1107[[#This Row],[OUTROS]]+Tabela1107[[#This Row],[AM]]</f>
        <v>36.74</v>
      </c>
      <c r="BV391" s="97">
        <f>AVERAGE(Tabela1107[[#This Row],[TOTAL SP]:[TOTAL AM]])</f>
        <v>36.677500000000002</v>
      </c>
      <c r="BW391" s="97"/>
      <c r="BX391" s="97"/>
    </row>
    <row r="392" spans="2:76" x14ac:dyDescent="0.25">
      <c r="B392" s="89">
        <v>4151</v>
      </c>
      <c r="C392" s="91" t="s">
        <v>13183</v>
      </c>
      <c r="D392" s="89"/>
      <c r="E392" s="89">
        <v>20140626</v>
      </c>
      <c r="F392" s="89" t="s">
        <v>21508</v>
      </c>
      <c r="G392" s="89" t="s">
        <v>21509</v>
      </c>
      <c r="H392" s="89" t="s">
        <v>21510</v>
      </c>
      <c r="I392" s="89" t="s">
        <v>21511</v>
      </c>
      <c r="J392" s="89" t="s">
        <v>167</v>
      </c>
      <c r="K392" s="99" t="s">
        <v>4487</v>
      </c>
      <c r="L392" s="89" t="s">
        <v>3172</v>
      </c>
      <c r="M392" s="89" t="s">
        <v>3183</v>
      </c>
      <c r="N392" s="89" t="s">
        <v>4380</v>
      </c>
      <c r="O392" s="89" t="s">
        <v>2632</v>
      </c>
      <c r="P392" s="89" t="s">
        <v>4496</v>
      </c>
      <c r="Q392" s="89"/>
      <c r="R392" s="89" t="s">
        <v>64</v>
      </c>
      <c r="S392" s="89" t="s">
        <v>21698</v>
      </c>
      <c r="T392" s="89" t="s">
        <v>21699</v>
      </c>
      <c r="U392" s="89" t="str">
        <f>TRIM('Carga Tributária doenças Po (2'!$L392)</f>
        <v>CAFEINA</v>
      </c>
      <c r="V392" s="89">
        <f>SUMIFS('Tabela Federal'!$E$4:$E$2069,'Tabela Federal'!$D$4:$D$2069,'Carga Tributária doenças Po (2'!$L392)</f>
        <v>0</v>
      </c>
      <c r="W392" s="89">
        <f>SUMIFS('Tabela Federal'!$E$4:$E$2069,'Tabela Federal'!$D$4:$D$2069,'Carga Tributária doenças Po (2'!$M392)</f>
        <v>0</v>
      </c>
      <c r="X392" s="89">
        <f>SUMIFS('Tabela Federal'!$E$4:$E$2069,'Tabela Federal'!$D$4:$D$2069,'Carga Tributária doenças Po (2'!$N392)</f>
        <v>3</v>
      </c>
      <c r="Y392" s="89">
        <f>SUMIFS('Tabela Federal'!$E$4:$E$2069,'Tabela Federal'!$D$4:$D$2069,'Carga Tributária doenças Po (2'!$O392)</f>
        <v>0</v>
      </c>
      <c r="Z392" s="92" t="str">
        <f>VLOOKUP('Carga Tributária doenças Po (2'!$AD392,'Carga Tributária doenças Po (2'!$CA$12:$CC$16,2,0)</f>
        <v>-</v>
      </c>
      <c r="AA392" s="89" t="s">
        <v>160</v>
      </c>
      <c r="AB392" s="89" t="s">
        <v>21823</v>
      </c>
      <c r="AC392" s="89" t="s">
        <v>21721</v>
      </c>
      <c r="AD392" s="93" t="s">
        <v>19523</v>
      </c>
      <c r="AE392" s="92" t="s">
        <v>4</v>
      </c>
      <c r="AF392" s="92" t="s">
        <v>3</v>
      </c>
      <c r="AG392" s="94">
        <v>2698848</v>
      </c>
      <c r="AH392" s="95">
        <v>25878611</v>
      </c>
      <c r="AI392" s="95">
        <v>59207900.189999998</v>
      </c>
      <c r="AJ392" s="89" t="s">
        <v>171</v>
      </c>
      <c r="AK392" s="89">
        <f>IF('Carga Tributária doenças Po (2'!$Z392="+",0,SUMIFS(PISCOFINS!$I$3:$I$10518,PISCOFINS!$C$3:$C$10518,'Carga Tributária doenças Po (2'!$C392))</f>
        <v>2.1</v>
      </c>
      <c r="AL392" s="89">
        <f>IF('Carga Tributária doenças Po (2'!$Z392="+",0,SUMIFS(PISCOFINS!$H$3:$H$10518,PISCOFINS!$C$3:$C$10518,'Carga Tributária doenças Po (2'!$C392))</f>
        <v>9.9</v>
      </c>
      <c r="AM392" s="95">
        <v>3.27</v>
      </c>
      <c r="AN392" s="95">
        <v>3.12</v>
      </c>
      <c r="AO392" s="95">
        <v>1.35</v>
      </c>
      <c r="AP392" s="96">
        <v>18</v>
      </c>
      <c r="AQ392" s="96">
        <v>12</v>
      </c>
      <c r="AR392" s="96">
        <v>17</v>
      </c>
      <c r="AS392" s="97">
        <v>17</v>
      </c>
      <c r="AT392" s="97">
        <v>19</v>
      </c>
      <c r="AU392" s="97">
        <v>18</v>
      </c>
      <c r="AV392" s="97">
        <v>17</v>
      </c>
      <c r="AW392" s="97">
        <v>17</v>
      </c>
      <c r="AX392" s="97">
        <v>17</v>
      </c>
      <c r="AY392" s="97">
        <v>17</v>
      </c>
      <c r="AZ392" s="97">
        <v>17</v>
      </c>
      <c r="BA392" s="97">
        <v>17</v>
      </c>
      <c r="BB392" s="97">
        <v>17</v>
      </c>
      <c r="BC392" s="97">
        <v>17</v>
      </c>
      <c r="BD392" s="97">
        <v>17</v>
      </c>
      <c r="BE392" s="97">
        <v>17</v>
      </c>
      <c r="BF392" s="97">
        <f>+Tabela1107[[#This Row],[PIS]]+Tabela1107[[#This Row],[COFINS]]+Tabela1107[[#This Row],[CONTRIB. FOLHA]]+Tabela1107[[#This Row],[TRIBUTOS S/ LUCRO]]+Tabela1107[[#This Row],[OUTROS]]+Tabela1107[[#This Row],[SP]]</f>
        <v>37.74</v>
      </c>
      <c r="BG392" s="97">
        <f>+Tabela1107[[#This Row],[PIS]]+Tabela1107[[#This Row],[COFINS]]+Tabela1107[[#This Row],[CONTRIB. FOLHA]]+Tabela1107[[#This Row],[TRIBUTOS S/ LUCRO]]+Tabela1107[[#This Row],[OUTROS]]+Tabela1107[[#This Row],[PR]]</f>
        <v>31.740000000000002</v>
      </c>
      <c r="BH392" s="97">
        <f>+Tabela1107[[#This Row],[PIS]]+Tabela1107[[#This Row],[COFINS]]+Tabela1107[[#This Row],[CONTRIB. FOLHA]]+Tabela1107[[#This Row],[TRIBUTOS S/ LUCRO]]+Tabela1107[[#This Row],[OUTROS]]+Tabela1107[[#This Row],[SC]]</f>
        <v>36.74</v>
      </c>
      <c r="BI392" s="97">
        <f>+Tabela1107[[#This Row],[PIS]]+Tabela1107[[#This Row],[COFINS]]+Tabela1107[[#This Row],[CONTRIB. FOLHA]]+Tabela1107[[#This Row],[TRIBUTOS S/ LUCRO]]+Tabela1107[[#This Row],[OUTROS]]+Tabela1107[[#This Row],[RS]]</f>
        <v>36.74</v>
      </c>
      <c r="BJ392" s="97">
        <f>+Tabela1107[[#This Row],[PIS]]+Tabela1107[[#This Row],[COFINS]]+Tabela1107[[#This Row],[CONTRIB. FOLHA]]+Tabela1107[[#This Row],[TRIBUTOS S/ LUCRO]]+Tabela1107[[#This Row],[OUTROS]]+Tabela1107[[#This Row],[RJ]]</f>
        <v>38.74</v>
      </c>
      <c r="BK392" s="97">
        <f>+Tabela1107[[#This Row],[PIS]]+Tabela1107[[#This Row],[COFINS]]+Tabela1107[[#This Row],[CONTRIB. FOLHA]]+Tabela1107[[#This Row],[TRIBUTOS S/ LUCRO]]+Tabela1107[[#This Row],[OUTROS]]+Tabela1107[[#This Row],[MG]]</f>
        <v>37.74</v>
      </c>
      <c r="BL392" s="97">
        <f>+Tabela1107[[#This Row],[PIS]]+Tabela1107[[#This Row],[COFINS]]+Tabela1107[[#This Row],[CONTRIB. FOLHA]]+Tabela1107[[#This Row],[TRIBUTOS S/ LUCRO]]+Tabela1107[[#This Row],[OUTROS]]+Tabela1107[[#This Row],[ES]]</f>
        <v>36.74</v>
      </c>
      <c r="BM392" s="97">
        <f>+Tabela1107[[#This Row],[PIS]]+Tabela1107[[#This Row],[COFINS]]+Tabela1107[[#This Row],[CONTRIB. FOLHA]]+Tabela1107[[#This Row],[TRIBUTOS S/ LUCRO]]+Tabela1107[[#This Row],[OUTROS]]+Tabela1107[[#This Row],[GO]]</f>
        <v>36.74</v>
      </c>
      <c r="BN392" s="97">
        <f>+Tabela1107[[#This Row],[PIS]]+Tabela1107[[#This Row],[COFINS]]+Tabela1107[[#This Row],[CONTRIB. FOLHA]]+Tabela1107[[#This Row],[TRIBUTOS S/ LUCRO]]+Tabela1107[[#This Row],[OUTROS]]+Tabela1107[[#This Row],[MT]]</f>
        <v>36.74</v>
      </c>
      <c r="BO392" s="97">
        <f>+Tabela1107[[#This Row],[PIS]]+Tabela1107[[#This Row],[COFINS]]+Tabela1107[[#This Row],[CONTRIB. FOLHA]]+Tabela1107[[#This Row],[TRIBUTOS S/ LUCRO]]+Tabela1107[[#This Row],[OUTROS]]+Tabela1107[[#This Row],[MS]]</f>
        <v>36.74</v>
      </c>
      <c r="BP392" s="97">
        <f>+Tabela1107[[#This Row],[PIS]]+Tabela1107[[#This Row],[COFINS]]+Tabela1107[[#This Row],[CONTRIB. FOLHA]]+Tabela1107[[#This Row],[TRIBUTOS S/ LUCRO]]+Tabela1107[[#This Row],[OUTROS]]+Tabela1107[[#This Row],[DF]]</f>
        <v>36.74</v>
      </c>
      <c r="BQ392" s="97">
        <f>+Tabela1107[[#This Row],[PIS]]+Tabela1107[[#This Row],[COFINS]]+Tabela1107[[#This Row],[CONTRIB. FOLHA]]+Tabela1107[[#This Row],[TRIBUTOS S/ LUCRO]]+Tabela1107[[#This Row],[OUTROS]]+Tabela1107[[#This Row],[BA]]</f>
        <v>36.74</v>
      </c>
      <c r="BR392" s="97">
        <f>+Tabela1107[[#This Row],[PIS]]+Tabela1107[[#This Row],[COFINS]]+Tabela1107[[#This Row],[CONTRIB. FOLHA]]+Tabela1107[[#This Row],[TRIBUTOS S/ LUCRO]]+Tabela1107[[#This Row],[OUTROS]]+Tabela1107[[#This Row],[BA]]</f>
        <v>36.74</v>
      </c>
      <c r="BS392" s="97">
        <f>+Tabela1107[[#This Row],[PIS]]+Tabela1107[[#This Row],[COFINS]]+Tabela1107[[#This Row],[CONTRIB. FOLHA]]+Tabela1107[[#This Row],[TRIBUTOS S/ LUCRO]]+Tabela1107[[#This Row],[OUTROS]]+Tabela1107[[#This Row],[PE]]</f>
        <v>36.74</v>
      </c>
      <c r="BT392" s="97">
        <f>+Tabela1107[[#This Row],[PIS]]+Tabela1107[[#This Row],[COFINS]]+Tabela1107[[#This Row],[CONTRIB. FOLHA]]+Tabela1107[[#This Row],[TRIBUTOS S/ LUCRO]]+Tabela1107[[#This Row],[OUTROS]]+Tabela1107[[#This Row],[PA]]</f>
        <v>36.74</v>
      </c>
      <c r="BU392" s="97">
        <f>+Tabela1107[[#This Row],[PIS]]+Tabela1107[[#This Row],[COFINS]]+Tabela1107[[#This Row],[CONTRIB. FOLHA]]+Tabela1107[[#This Row],[TRIBUTOS S/ LUCRO]]+Tabela1107[[#This Row],[OUTROS]]+Tabela1107[[#This Row],[AM]]</f>
        <v>36.74</v>
      </c>
      <c r="BV392" s="97">
        <f>AVERAGE(Tabela1107[[#This Row],[TOTAL SP]:[TOTAL AM]])</f>
        <v>36.677500000000002</v>
      </c>
      <c r="BW392" s="97"/>
      <c r="BX392" s="97"/>
    </row>
    <row r="393" spans="2:76" x14ac:dyDescent="0.25">
      <c r="B393" s="89">
        <v>6253</v>
      </c>
      <c r="C393" s="91" t="s">
        <v>13038</v>
      </c>
      <c r="D393" s="89"/>
      <c r="E393" s="89">
        <v>20140626</v>
      </c>
      <c r="F393" s="89" t="s">
        <v>21554</v>
      </c>
      <c r="G393" s="89" t="s">
        <v>21555</v>
      </c>
      <c r="H393" s="89" t="s">
        <v>21556</v>
      </c>
      <c r="I393" s="89" t="s">
        <v>21557</v>
      </c>
      <c r="J393" s="89" t="s">
        <v>297</v>
      </c>
      <c r="K393" s="99" t="s">
        <v>2502</v>
      </c>
      <c r="L393" s="89" t="s">
        <v>2690</v>
      </c>
      <c r="M393" s="89" t="s">
        <v>4496</v>
      </c>
      <c r="N393" s="89" t="s">
        <v>4496</v>
      </c>
      <c r="O393" s="89" t="s">
        <v>4496</v>
      </c>
      <c r="P393" s="89" t="s">
        <v>4496</v>
      </c>
      <c r="Q393" s="89"/>
      <c r="R393" s="89" t="s">
        <v>299</v>
      </c>
      <c r="S393" s="89" t="s">
        <v>21708</v>
      </c>
      <c r="T393" s="89" t="s">
        <v>21709</v>
      </c>
      <c r="U393" s="89" t="str">
        <f>TRIM('Carga Tributária doenças Po (2'!$L393)</f>
        <v>FENDIZOATO DE CLOPERASTINA</v>
      </c>
      <c r="V393" s="89">
        <f>SUMIFS('Tabela Federal'!$E$4:$E$2069,'Tabela Federal'!$D$4:$D$2069,'Carga Tributária doenças Po (2'!$L393)</f>
        <v>0</v>
      </c>
      <c r="W393" s="89">
        <f>SUMIFS('Tabela Federal'!$E$4:$E$2069,'Tabela Federal'!$D$4:$D$2069,'Carga Tributária doenças Po (2'!$M393)</f>
        <v>0</v>
      </c>
      <c r="X393" s="89">
        <f>SUMIFS('Tabela Federal'!$E$4:$E$2069,'Tabela Federal'!$D$4:$D$2069,'Carga Tributária doenças Po (2'!$N393)</f>
        <v>0</v>
      </c>
      <c r="Y393" s="89">
        <f>SUMIFS('Tabela Federal'!$E$4:$E$2069,'Tabela Federal'!$D$4:$D$2069,'Carga Tributária doenças Po (2'!$O393)</f>
        <v>0</v>
      </c>
      <c r="Z393" s="92" t="str">
        <f>VLOOKUP('Carga Tributária doenças Po (2'!$AD393,'Carga Tributária doenças Po (2'!$CA$12:$CC$16,2,0)</f>
        <v>-</v>
      </c>
      <c r="AA393" s="89" t="s">
        <v>298</v>
      </c>
      <c r="AB393" s="89" t="s">
        <v>21885</v>
      </c>
      <c r="AC393" s="89" t="s">
        <v>21740</v>
      </c>
      <c r="AD393" s="93" t="s">
        <v>19523</v>
      </c>
      <c r="AE393" s="92" t="s">
        <v>4</v>
      </c>
      <c r="AF393" s="92" t="s">
        <v>23</v>
      </c>
      <c r="AG393" s="94">
        <v>1371908</v>
      </c>
      <c r="AH393" s="95">
        <v>11074964</v>
      </c>
      <c r="AI393" s="95">
        <v>25118388.309999999</v>
      </c>
      <c r="AJ393" s="89" t="s">
        <v>286</v>
      </c>
      <c r="AK393" s="89">
        <f>IF('Carga Tributária doenças Po (2'!$Z393="+",0,SUMIFS(PISCOFINS!$I$3:$I$10518,PISCOFINS!$C$3:$C$10518,'Carga Tributária doenças Po (2'!$C393))</f>
        <v>2.1</v>
      </c>
      <c r="AL393" s="89">
        <f>IF('Carga Tributária doenças Po (2'!$Z393="+",0,SUMIFS(PISCOFINS!$H$3:$H$10518,PISCOFINS!$C$3:$C$10518,'Carga Tributária doenças Po (2'!$C393))</f>
        <v>9.9</v>
      </c>
      <c r="AM393" s="95">
        <v>3.27</v>
      </c>
      <c r="AN393" s="95">
        <v>3.12</v>
      </c>
      <c r="AO393" s="95">
        <v>1.35</v>
      </c>
      <c r="AP393" s="96">
        <v>18</v>
      </c>
      <c r="AQ393" s="96">
        <v>12</v>
      </c>
      <c r="AR393" s="96">
        <v>17</v>
      </c>
      <c r="AS393" s="97">
        <v>17</v>
      </c>
      <c r="AT393" s="97">
        <v>19</v>
      </c>
      <c r="AU393" s="97">
        <v>18</v>
      </c>
      <c r="AV393" s="97">
        <v>17</v>
      </c>
      <c r="AW393" s="97">
        <v>17</v>
      </c>
      <c r="AX393" s="97">
        <v>17</v>
      </c>
      <c r="AY393" s="97">
        <v>17</v>
      </c>
      <c r="AZ393" s="97">
        <v>17</v>
      </c>
      <c r="BA393" s="97">
        <v>17</v>
      </c>
      <c r="BB393" s="97">
        <v>17</v>
      </c>
      <c r="BC393" s="97">
        <v>17</v>
      </c>
      <c r="BD393" s="97">
        <v>17</v>
      </c>
      <c r="BE393" s="97">
        <v>17</v>
      </c>
      <c r="BF393" s="97">
        <f>+Tabela1107[[#This Row],[PIS]]+Tabela1107[[#This Row],[COFINS]]+Tabela1107[[#This Row],[CONTRIB. FOLHA]]+Tabela1107[[#This Row],[TRIBUTOS S/ LUCRO]]+Tabela1107[[#This Row],[OUTROS]]+Tabela1107[[#This Row],[SP]]</f>
        <v>37.74</v>
      </c>
      <c r="BG393" s="97">
        <f>+Tabela1107[[#This Row],[PIS]]+Tabela1107[[#This Row],[COFINS]]+Tabela1107[[#This Row],[CONTRIB. FOLHA]]+Tabela1107[[#This Row],[TRIBUTOS S/ LUCRO]]+Tabela1107[[#This Row],[OUTROS]]+Tabela1107[[#This Row],[PR]]</f>
        <v>31.740000000000002</v>
      </c>
      <c r="BH393" s="97">
        <f>+Tabela1107[[#This Row],[PIS]]+Tabela1107[[#This Row],[COFINS]]+Tabela1107[[#This Row],[CONTRIB. FOLHA]]+Tabela1107[[#This Row],[TRIBUTOS S/ LUCRO]]+Tabela1107[[#This Row],[OUTROS]]+Tabela1107[[#This Row],[SC]]</f>
        <v>36.74</v>
      </c>
      <c r="BI393" s="97">
        <f>+Tabela1107[[#This Row],[PIS]]+Tabela1107[[#This Row],[COFINS]]+Tabela1107[[#This Row],[CONTRIB. FOLHA]]+Tabela1107[[#This Row],[TRIBUTOS S/ LUCRO]]+Tabela1107[[#This Row],[OUTROS]]+Tabela1107[[#This Row],[RS]]</f>
        <v>36.74</v>
      </c>
      <c r="BJ393" s="97">
        <f>+Tabela1107[[#This Row],[PIS]]+Tabela1107[[#This Row],[COFINS]]+Tabela1107[[#This Row],[CONTRIB. FOLHA]]+Tabela1107[[#This Row],[TRIBUTOS S/ LUCRO]]+Tabela1107[[#This Row],[OUTROS]]+Tabela1107[[#This Row],[RJ]]</f>
        <v>38.74</v>
      </c>
      <c r="BK393" s="97">
        <f>+Tabela1107[[#This Row],[PIS]]+Tabela1107[[#This Row],[COFINS]]+Tabela1107[[#This Row],[CONTRIB. FOLHA]]+Tabela1107[[#This Row],[TRIBUTOS S/ LUCRO]]+Tabela1107[[#This Row],[OUTROS]]+Tabela1107[[#This Row],[MG]]</f>
        <v>37.74</v>
      </c>
      <c r="BL393" s="97">
        <f>+Tabela1107[[#This Row],[PIS]]+Tabela1107[[#This Row],[COFINS]]+Tabela1107[[#This Row],[CONTRIB. FOLHA]]+Tabela1107[[#This Row],[TRIBUTOS S/ LUCRO]]+Tabela1107[[#This Row],[OUTROS]]+Tabela1107[[#This Row],[ES]]</f>
        <v>36.74</v>
      </c>
      <c r="BM393" s="97">
        <f>+Tabela1107[[#This Row],[PIS]]+Tabela1107[[#This Row],[COFINS]]+Tabela1107[[#This Row],[CONTRIB. FOLHA]]+Tabela1107[[#This Row],[TRIBUTOS S/ LUCRO]]+Tabela1107[[#This Row],[OUTROS]]+Tabela1107[[#This Row],[GO]]</f>
        <v>36.74</v>
      </c>
      <c r="BN393" s="97">
        <f>+Tabela1107[[#This Row],[PIS]]+Tabela1107[[#This Row],[COFINS]]+Tabela1107[[#This Row],[CONTRIB. FOLHA]]+Tabela1107[[#This Row],[TRIBUTOS S/ LUCRO]]+Tabela1107[[#This Row],[OUTROS]]+Tabela1107[[#This Row],[MT]]</f>
        <v>36.74</v>
      </c>
      <c r="BO393" s="97">
        <f>+Tabela1107[[#This Row],[PIS]]+Tabela1107[[#This Row],[COFINS]]+Tabela1107[[#This Row],[CONTRIB. FOLHA]]+Tabela1107[[#This Row],[TRIBUTOS S/ LUCRO]]+Tabela1107[[#This Row],[OUTROS]]+Tabela1107[[#This Row],[MS]]</f>
        <v>36.74</v>
      </c>
      <c r="BP393" s="97">
        <f>+Tabela1107[[#This Row],[PIS]]+Tabela1107[[#This Row],[COFINS]]+Tabela1107[[#This Row],[CONTRIB. FOLHA]]+Tabela1107[[#This Row],[TRIBUTOS S/ LUCRO]]+Tabela1107[[#This Row],[OUTROS]]+Tabela1107[[#This Row],[DF]]</f>
        <v>36.74</v>
      </c>
      <c r="BQ393" s="97">
        <f>+Tabela1107[[#This Row],[PIS]]+Tabela1107[[#This Row],[COFINS]]+Tabela1107[[#This Row],[CONTRIB. FOLHA]]+Tabela1107[[#This Row],[TRIBUTOS S/ LUCRO]]+Tabela1107[[#This Row],[OUTROS]]+Tabela1107[[#This Row],[BA]]</f>
        <v>36.74</v>
      </c>
      <c r="BR393" s="97">
        <f>+Tabela1107[[#This Row],[PIS]]+Tabela1107[[#This Row],[COFINS]]+Tabela1107[[#This Row],[CONTRIB. FOLHA]]+Tabela1107[[#This Row],[TRIBUTOS S/ LUCRO]]+Tabela1107[[#This Row],[OUTROS]]+Tabela1107[[#This Row],[BA]]</f>
        <v>36.74</v>
      </c>
      <c r="BS393" s="97">
        <f>+Tabela1107[[#This Row],[PIS]]+Tabela1107[[#This Row],[COFINS]]+Tabela1107[[#This Row],[CONTRIB. FOLHA]]+Tabela1107[[#This Row],[TRIBUTOS S/ LUCRO]]+Tabela1107[[#This Row],[OUTROS]]+Tabela1107[[#This Row],[PE]]</f>
        <v>36.74</v>
      </c>
      <c r="BT393" s="97">
        <f>+Tabela1107[[#This Row],[PIS]]+Tabela1107[[#This Row],[COFINS]]+Tabela1107[[#This Row],[CONTRIB. FOLHA]]+Tabela1107[[#This Row],[TRIBUTOS S/ LUCRO]]+Tabela1107[[#This Row],[OUTROS]]+Tabela1107[[#This Row],[PA]]</f>
        <v>36.74</v>
      </c>
      <c r="BU393" s="97">
        <f>+Tabela1107[[#This Row],[PIS]]+Tabela1107[[#This Row],[COFINS]]+Tabela1107[[#This Row],[CONTRIB. FOLHA]]+Tabela1107[[#This Row],[TRIBUTOS S/ LUCRO]]+Tabela1107[[#This Row],[OUTROS]]+Tabela1107[[#This Row],[AM]]</f>
        <v>36.74</v>
      </c>
      <c r="BV393" s="97">
        <f>AVERAGE(Tabela1107[[#This Row],[TOTAL SP]:[TOTAL AM]])</f>
        <v>36.677500000000002</v>
      </c>
      <c r="BW393" s="97"/>
      <c r="BX393" s="97"/>
    </row>
    <row r="394" spans="2:76" x14ac:dyDescent="0.25">
      <c r="B394" s="89">
        <v>13761</v>
      </c>
      <c r="C394" s="91" t="s">
        <v>13168</v>
      </c>
      <c r="D394" s="89"/>
      <c r="E394" s="89">
        <v>20140626</v>
      </c>
      <c r="F394" s="89" t="s">
        <v>20808</v>
      </c>
      <c r="G394" s="89" t="s">
        <v>20809</v>
      </c>
      <c r="H394" s="89" t="s">
        <v>20810</v>
      </c>
      <c r="I394" s="89" t="s">
        <v>20811</v>
      </c>
      <c r="J394" s="89" t="s">
        <v>201</v>
      </c>
      <c r="K394" s="99" t="s">
        <v>2520</v>
      </c>
      <c r="L394" s="89" t="s">
        <v>3164</v>
      </c>
      <c r="M394" s="89" t="s">
        <v>4186</v>
      </c>
      <c r="N394" s="89" t="s">
        <v>4496</v>
      </c>
      <c r="O394" s="89" t="s">
        <v>4496</v>
      </c>
      <c r="P394" s="89" t="s">
        <v>4496</v>
      </c>
      <c r="Q394" s="89"/>
      <c r="R394" s="89" t="s">
        <v>202</v>
      </c>
      <c r="S394" s="89" t="s">
        <v>21628</v>
      </c>
      <c r="T394" s="89" t="s">
        <v>21629</v>
      </c>
      <c r="U394" s="89" t="str">
        <f>TRIM('Carga Tributária doenças Po (2'!$L394)</f>
        <v>METENAMINA</v>
      </c>
      <c r="V394" s="89">
        <f>SUMIFS('Tabela Federal'!$E$4:$E$2069,'Tabela Federal'!$D$4:$D$2069,'Carga Tributária doenças Po (2'!$L394)</f>
        <v>0</v>
      </c>
      <c r="W394" s="89">
        <f>SUMIFS('Tabela Federal'!$E$4:$E$2069,'Tabela Federal'!$D$4:$D$2069,'Carga Tributária doenças Po (2'!$M394)</f>
        <v>0</v>
      </c>
      <c r="X394" s="89">
        <f>SUMIFS('Tabela Federal'!$E$4:$E$2069,'Tabela Federal'!$D$4:$D$2069,'Carga Tributária doenças Po (2'!$N394)</f>
        <v>0</v>
      </c>
      <c r="Y394" s="89">
        <f>SUMIFS('Tabela Federal'!$E$4:$E$2069,'Tabela Federal'!$D$4:$D$2069,'Carga Tributária doenças Po (2'!$O394)</f>
        <v>0</v>
      </c>
      <c r="Z394" s="92" t="str">
        <f>VLOOKUP('Carga Tributária doenças Po (2'!$AD394,'Carga Tributária doenças Po (2'!$CA$12:$CC$16,2,0)</f>
        <v>-</v>
      </c>
      <c r="AA394" s="89" t="s">
        <v>189</v>
      </c>
      <c r="AB394" s="89" t="s">
        <v>21857</v>
      </c>
      <c r="AC394" s="89" t="s">
        <v>21740</v>
      </c>
      <c r="AD394" s="93" t="s">
        <v>19523</v>
      </c>
      <c r="AE394" s="92" t="s">
        <v>4</v>
      </c>
      <c r="AF394" s="92" t="s">
        <v>3</v>
      </c>
      <c r="AG394" s="94">
        <v>762541</v>
      </c>
      <c r="AH394" s="95">
        <v>4241429</v>
      </c>
      <c r="AI394" s="95">
        <v>9691470.5700000003</v>
      </c>
      <c r="AJ394" s="89" t="s">
        <v>203</v>
      </c>
      <c r="AK394" s="89">
        <f>IF('Carga Tributária doenças Po (2'!$Z394="+",0,SUMIFS(PISCOFINS!$I$3:$I$10518,PISCOFINS!$C$3:$C$10518,'Carga Tributária doenças Po (2'!$C394))</f>
        <v>2.1</v>
      </c>
      <c r="AL394" s="89">
        <f>IF('Carga Tributária doenças Po (2'!$Z394="+",0,SUMIFS(PISCOFINS!$H$3:$H$10518,PISCOFINS!$C$3:$C$10518,'Carga Tributária doenças Po (2'!$C394))</f>
        <v>9.9</v>
      </c>
      <c r="AM394" s="95">
        <v>3.27</v>
      </c>
      <c r="AN394" s="95">
        <v>3.12</v>
      </c>
      <c r="AO394" s="95">
        <v>1.35</v>
      </c>
      <c r="AP394" s="96">
        <v>18</v>
      </c>
      <c r="AQ394" s="96">
        <v>12</v>
      </c>
      <c r="AR394" s="96">
        <v>17</v>
      </c>
      <c r="AS394" s="97">
        <v>17</v>
      </c>
      <c r="AT394" s="97">
        <v>19</v>
      </c>
      <c r="AU394" s="97">
        <v>18</v>
      </c>
      <c r="AV394" s="97">
        <v>17</v>
      </c>
      <c r="AW394" s="97">
        <v>17</v>
      </c>
      <c r="AX394" s="97">
        <v>17</v>
      </c>
      <c r="AY394" s="97">
        <v>17</v>
      </c>
      <c r="AZ394" s="97">
        <v>17</v>
      </c>
      <c r="BA394" s="97">
        <v>17</v>
      </c>
      <c r="BB394" s="97">
        <v>17</v>
      </c>
      <c r="BC394" s="97">
        <v>17</v>
      </c>
      <c r="BD394" s="97">
        <v>17</v>
      </c>
      <c r="BE394" s="97">
        <v>17</v>
      </c>
      <c r="BF394" s="97">
        <f>+Tabela1107[[#This Row],[PIS]]+Tabela1107[[#This Row],[COFINS]]+Tabela1107[[#This Row],[CONTRIB. FOLHA]]+Tabela1107[[#This Row],[TRIBUTOS S/ LUCRO]]+Tabela1107[[#This Row],[OUTROS]]+Tabela1107[[#This Row],[SP]]</f>
        <v>37.74</v>
      </c>
      <c r="BG394" s="97">
        <f>+Tabela1107[[#This Row],[PIS]]+Tabela1107[[#This Row],[COFINS]]+Tabela1107[[#This Row],[CONTRIB. FOLHA]]+Tabela1107[[#This Row],[TRIBUTOS S/ LUCRO]]+Tabela1107[[#This Row],[OUTROS]]+Tabela1107[[#This Row],[PR]]</f>
        <v>31.740000000000002</v>
      </c>
      <c r="BH394" s="97">
        <f>+Tabela1107[[#This Row],[PIS]]+Tabela1107[[#This Row],[COFINS]]+Tabela1107[[#This Row],[CONTRIB. FOLHA]]+Tabela1107[[#This Row],[TRIBUTOS S/ LUCRO]]+Tabela1107[[#This Row],[OUTROS]]+Tabela1107[[#This Row],[SC]]</f>
        <v>36.74</v>
      </c>
      <c r="BI394" s="97">
        <f>+Tabela1107[[#This Row],[PIS]]+Tabela1107[[#This Row],[COFINS]]+Tabela1107[[#This Row],[CONTRIB. FOLHA]]+Tabela1107[[#This Row],[TRIBUTOS S/ LUCRO]]+Tabela1107[[#This Row],[OUTROS]]+Tabela1107[[#This Row],[RS]]</f>
        <v>36.74</v>
      </c>
      <c r="BJ394" s="97">
        <f>+Tabela1107[[#This Row],[PIS]]+Tabela1107[[#This Row],[COFINS]]+Tabela1107[[#This Row],[CONTRIB. FOLHA]]+Tabela1107[[#This Row],[TRIBUTOS S/ LUCRO]]+Tabela1107[[#This Row],[OUTROS]]+Tabela1107[[#This Row],[RJ]]</f>
        <v>38.74</v>
      </c>
      <c r="BK394" s="97">
        <f>+Tabela1107[[#This Row],[PIS]]+Tabela1107[[#This Row],[COFINS]]+Tabela1107[[#This Row],[CONTRIB. FOLHA]]+Tabela1107[[#This Row],[TRIBUTOS S/ LUCRO]]+Tabela1107[[#This Row],[OUTROS]]+Tabela1107[[#This Row],[MG]]</f>
        <v>37.74</v>
      </c>
      <c r="BL394" s="97">
        <f>+Tabela1107[[#This Row],[PIS]]+Tabela1107[[#This Row],[COFINS]]+Tabela1107[[#This Row],[CONTRIB. FOLHA]]+Tabela1107[[#This Row],[TRIBUTOS S/ LUCRO]]+Tabela1107[[#This Row],[OUTROS]]+Tabela1107[[#This Row],[ES]]</f>
        <v>36.74</v>
      </c>
      <c r="BM394" s="97">
        <f>+Tabela1107[[#This Row],[PIS]]+Tabela1107[[#This Row],[COFINS]]+Tabela1107[[#This Row],[CONTRIB. FOLHA]]+Tabela1107[[#This Row],[TRIBUTOS S/ LUCRO]]+Tabela1107[[#This Row],[OUTROS]]+Tabela1107[[#This Row],[GO]]</f>
        <v>36.74</v>
      </c>
      <c r="BN394" s="97">
        <f>+Tabela1107[[#This Row],[PIS]]+Tabela1107[[#This Row],[COFINS]]+Tabela1107[[#This Row],[CONTRIB. FOLHA]]+Tabela1107[[#This Row],[TRIBUTOS S/ LUCRO]]+Tabela1107[[#This Row],[OUTROS]]+Tabela1107[[#This Row],[MT]]</f>
        <v>36.74</v>
      </c>
      <c r="BO394" s="97">
        <f>+Tabela1107[[#This Row],[PIS]]+Tabela1107[[#This Row],[COFINS]]+Tabela1107[[#This Row],[CONTRIB. FOLHA]]+Tabela1107[[#This Row],[TRIBUTOS S/ LUCRO]]+Tabela1107[[#This Row],[OUTROS]]+Tabela1107[[#This Row],[MS]]</f>
        <v>36.74</v>
      </c>
      <c r="BP394" s="97">
        <f>+Tabela1107[[#This Row],[PIS]]+Tabela1107[[#This Row],[COFINS]]+Tabela1107[[#This Row],[CONTRIB. FOLHA]]+Tabela1107[[#This Row],[TRIBUTOS S/ LUCRO]]+Tabela1107[[#This Row],[OUTROS]]+Tabela1107[[#This Row],[DF]]</f>
        <v>36.74</v>
      </c>
      <c r="BQ394" s="97">
        <f>+Tabela1107[[#This Row],[PIS]]+Tabela1107[[#This Row],[COFINS]]+Tabela1107[[#This Row],[CONTRIB. FOLHA]]+Tabela1107[[#This Row],[TRIBUTOS S/ LUCRO]]+Tabela1107[[#This Row],[OUTROS]]+Tabela1107[[#This Row],[BA]]</f>
        <v>36.74</v>
      </c>
      <c r="BR394" s="97">
        <f>+Tabela1107[[#This Row],[PIS]]+Tabela1107[[#This Row],[COFINS]]+Tabela1107[[#This Row],[CONTRIB. FOLHA]]+Tabela1107[[#This Row],[TRIBUTOS S/ LUCRO]]+Tabela1107[[#This Row],[OUTROS]]+Tabela1107[[#This Row],[BA]]</f>
        <v>36.74</v>
      </c>
      <c r="BS394" s="97">
        <f>+Tabela1107[[#This Row],[PIS]]+Tabela1107[[#This Row],[COFINS]]+Tabela1107[[#This Row],[CONTRIB. FOLHA]]+Tabela1107[[#This Row],[TRIBUTOS S/ LUCRO]]+Tabela1107[[#This Row],[OUTROS]]+Tabela1107[[#This Row],[PE]]</f>
        <v>36.74</v>
      </c>
      <c r="BT394" s="97">
        <f>+Tabela1107[[#This Row],[PIS]]+Tabela1107[[#This Row],[COFINS]]+Tabela1107[[#This Row],[CONTRIB. FOLHA]]+Tabela1107[[#This Row],[TRIBUTOS S/ LUCRO]]+Tabela1107[[#This Row],[OUTROS]]+Tabela1107[[#This Row],[PA]]</f>
        <v>36.74</v>
      </c>
      <c r="BU394" s="97">
        <f>+Tabela1107[[#This Row],[PIS]]+Tabela1107[[#This Row],[COFINS]]+Tabela1107[[#This Row],[CONTRIB. FOLHA]]+Tabela1107[[#This Row],[TRIBUTOS S/ LUCRO]]+Tabela1107[[#This Row],[OUTROS]]+Tabela1107[[#This Row],[AM]]</f>
        <v>36.74</v>
      </c>
      <c r="BV394" s="97">
        <f>AVERAGE(Tabela1107[[#This Row],[TOTAL SP]:[TOTAL AM]])</f>
        <v>36.677500000000002</v>
      </c>
      <c r="BW394" s="97"/>
      <c r="BX394" s="97"/>
    </row>
    <row r="395" spans="2:76" x14ac:dyDescent="0.25">
      <c r="B395" s="89">
        <v>4398</v>
      </c>
      <c r="C395" s="91" t="s">
        <v>13183</v>
      </c>
      <c r="D395" s="89"/>
      <c r="E395" s="89">
        <v>20140626</v>
      </c>
      <c r="F395" s="89" t="s">
        <v>20850</v>
      </c>
      <c r="G395" s="89" t="s">
        <v>20851</v>
      </c>
      <c r="H395" s="89" t="s">
        <v>20852</v>
      </c>
      <c r="I395" s="89" t="s">
        <v>20853</v>
      </c>
      <c r="J395" s="89" t="s">
        <v>599</v>
      </c>
      <c r="K395" s="99" t="s">
        <v>2519</v>
      </c>
      <c r="L395" s="89" t="s">
        <v>3197</v>
      </c>
      <c r="M395" s="89" t="s">
        <v>3198</v>
      </c>
      <c r="N395" s="89" t="s">
        <v>4496</v>
      </c>
      <c r="O395" s="89" t="s">
        <v>4496</v>
      </c>
      <c r="P395" s="89" t="s">
        <v>4496</v>
      </c>
      <c r="Q395" s="89"/>
      <c r="R395" s="89" t="s">
        <v>328</v>
      </c>
      <c r="S395" s="89" t="s">
        <v>21580</v>
      </c>
      <c r="T395" s="89" t="s">
        <v>21581</v>
      </c>
      <c r="U395" s="89" t="str">
        <f>TRIM('Carga Tributária doenças Po (2'!$L395)</f>
        <v>FLUTICASONA</v>
      </c>
      <c r="V395" s="89">
        <f>SUMIFS('Tabela Federal'!$E$4:$E$2069,'Tabela Federal'!$D$4:$D$2069,'Carga Tributária doenças Po (2'!$L395)</f>
        <v>0</v>
      </c>
      <c r="W395" s="89">
        <f>SUMIFS('Tabela Federal'!$E$4:$E$2069,'Tabela Federal'!$D$4:$D$2069,'Carga Tributária doenças Po (2'!$M395)</f>
        <v>1</v>
      </c>
      <c r="X395" s="89">
        <f>SUMIFS('Tabela Federal'!$E$4:$E$2069,'Tabela Federal'!$D$4:$D$2069,'Carga Tributária doenças Po (2'!$N395)</f>
        <v>0</v>
      </c>
      <c r="Y395" s="89">
        <f>SUMIFS('Tabela Federal'!$E$4:$E$2069,'Tabela Federal'!$D$4:$D$2069,'Carga Tributária doenças Po (2'!$O395)</f>
        <v>0</v>
      </c>
      <c r="Z395" s="92" t="str">
        <f>VLOOKUP('Carga Tributária doenças Po (2'!$AD395,'Carga Tributária doenças Po (2'!$CA$12:$CC$16,2,0)</f>
        <v>+</v>
      </c>
      <c r="AA395" s="89" t="s">
        <v>529</v>
      </c>
      <c r="AB395" s="89" t="s">
        <v>21750</v>
      </c>
      <c r="AC395" s="89" t="s">
        <v>21721</v>
      </c>
      <c r="AD395" s="93" t="s">
        <v>19445</v>
      </c>
      <c r="AE395" s="92" t="s">
        <v>4</v>
      </c>
      <c r="AF395" s="92" t="s">
        <v>23</v>
      </c>
      <c r="AG395" s="94">
        <v>683017</v>
      </c>
      <c r="AH395" s="95">
        <v>18713147</v>
      </c>
      <c r="AI395" s="95">
        <v>42650689.32</v>
      </c>
      <c r="AJ395" s="89" t="s">
        <v>533</v>
      </c>
      <c r="AK395" s="89">
        <f>IF('Carga Tributária doenças Po (2'!$Z395="+",0,SUMIFS(PISCOFINS!$I$3:$I$10518,PISCOFINS!$C$3:$C$10518,'Carga Tributária doenças Po (2'!$C395))</f>
        <v>0</v>
      </c>
      <c r="AL395" s="89">
        <f>IF('Carga Tributária doenças Po (2'!$Z395="+",0,SUMIFS(PISCOFINS!$H$3:$H$10518,PISCOFINS!$C$3:$C$10518,'Carga Tributária doenças Po (2'!$C395))</f>
        <v>0</v>
      </c>
      <c r="AM395" s="95">
        <v>3.27</v>
      </c>
      <c r="AN395" s="95">
        <v>3.12</v>
      </c>
      <c r="AO395" s="95">
        <v>1.35</v>
      </c>
      <c r="AP395" s="96">
        <v>18</v>
      </c>
      <c r="AQ395" s="96">
        <v>12</v>
      </c>
      <c r="AR395" s="96">
        <v>17</v>
      </c>
      <c r="AS395" s="97">
        <v>17</v>
      </c>
      <c r="AT395" s="97">
        <v>19</v>
      </c>
      <c r="AU395" s="97">
        <v>18</v>
      </c>
      <c r="AV395" s="97">
        <v>17</v>
      </c>
      <c r="AW395" s="97">
        <v>17</v>
      </c>
      <c r="AX395" s="97">
        <v>17</v>
      </c>
      <c r="AY395" s="97">
        <v>17</v>
      </c>
      <c r="AZ395" s="97">
        <v>17</v>
      </c>
      <c r="BA395" s="97">
        <v>17</v>
      </c>
      <c r="BB395" s="97">
        <v>17</v>
      </c>
      <c r="BC395" s="97">
        <v>17</v>
      </c>
      <c r="BD395" s="97">
        <v>17</v>
      </c>
      <c r="BE395" s="97">
        <v>17</v>
      </c>
      <c r="BF395" s="97">
        <f>+Tabela1107[[#This Row],[PIS]]+Tabela1107[[#This Row],[COFINS]]+Tabela1107[[#This Row],[CONTRIB. FOLHA]]+Tabela1107[[#This Row],[TRIBUTOS S/ LUCRO]]+Tabela1107[[#This Row],[OUTROS]]+Tabela1107[[#This Row],[SP]]</f>
        <v>25.740000000000002</v>
      </c>
      <c r="BG395" s="97">
        <f>+Tabela1107[[#This Row],[PIS]]+Tabela1107[[#This Row],[COFINS]]+Tabela1107[[#This Row],[CONTRIB. FOLHA]]+Tabela1107[[#This Row],[TRIBUTOS S/ LUCRO]]+Tabela1107[[#This Row],[OUTROS]]+Tabela1107[[#This Row],[PR]]</f>
        <v>19.740000000000002</v>
      </c>
      <c r="BH395" s="97">
        <f>+Tabela1107[[#This Row],[PIS]]+Tabela1107[[#This Row],[COFINS]]+Tabela1107[[#This Row],[CONTRIB. FOLHA]]+Tabela1107[[#This Row],[TRIBUTOS S/ LUCRO]]+Tabela1107[[#This Row],[OUTROS]]+Tabela1107[[#This Row],[SC]]</f>
        <v>24.740000000000002</v>
      </c>
      <c r="BI395" s="97">
        <f>+Tabela1107[[#This Row],[PIS]]+Tabela1107[[#This Row],[COFINS]]+Tabela1107[[#This Row],[CONTRIB. FOLHA]]+Tabela1107[[#This Row],[TRIBUTOS S/ LUCRO]]+Tabela1107[[#This Row],[OUTROS]]+Tabela1107[[#This Row],[RS]]</f>
        <v>24.740000000000002</v>
      </c>
      <c r="BJ395" s="97">
        <f>+Tabela1107[[#This Row],[PIS]]+Tabela1107[[#This Row],[COFINS]]+Tabela1107[[#This Row],[CONTRIB. FOLHA]]+Tabela1107[[#This Row],[TRIBUTOS S/ LUCRO]]+Tabela1107[[#This Row],[OUTROS]]+Tabela1107[[#This Row],[RJ]]</f>
        <v>26.740000000000002</v>
      </c>
      <c r="BK395" s="97">
        <f>+Tabela1107[[#This Row],[PIS]]+Tabela1107[[#This Row],[COFINS]]+Tabela1107[[#This Row],[CONTRIB. FOLHA]]+Tabela1107[[#This Row],[TRIBUTOS S/ LUCRO]]+Tabela1107[[#This Row],[OUTROS]]+Tabela1107[[#This Row],[MG]]</f>
        <v>25.740000000000002</v>
      </c>
      <c r="BL395" s="97">
        <f>+Tabela1107[[#This Row],[PIS]]+Tabela1107[[#This Row],[COFINS]]+Tabela1107[[#This Row],[CONTRIB. FOLHA]]+Tabela1107[[#This Row],[TRIBUTOS S/ LUCRO]]+Tabela1107[[#This Row],[OUTROS]]+Tabela1107[[#This Row],[ES]]</f>
        <v>24.740000000000002</v>
      </c>
      <c r="BM395" s="97">
        <f>+Tabela1107[[#This Row],[PIS]]+Tabela1107[[#This Row],[COFINS]]+Tabela1107[[#This Row],[CONTRIB. FOLHA]]+Tabela1107[[#This Row],[TRIBUTOS S/ LUCRO]]+Tabela1107[[#This Row],[OUTROS]]+Tabela1107[[#This Row],[GO]]</f>
        <v>24.740000000000002</v>
      </c>
      <c r="BN395" s="97">
        <f>+Tabela1107[[#This Row],[PIS]]+Tabela1107[[#This Row],[COFINS]]+Tabela1107[[#This Row],[CONTRIB. FOLHA]]+Tabela1107[[#This Row],[TRIBUTOS S/ LUCRO]]+Tabela1107[[#This Row],[OUTROS]]+Tabela1107[[#This Row],[MT]]</f>
        <v>24.740000000000002</v>
      </c>
      <c r="BO395" s="97">
        <f>+Tabela1107[[#This Row],[PIS]]+Tabela1107[[#This Row],[COFINS]]+Tabela1107[[#This Row],[CONTRIB. FOLHA]]+Tabela1107[[#This Row],[TRIBUTOS S/ LUCRO]]+Tabela1107[[#This Row],[OUTROS]]+Tabela1107[[#This Row],[MS]]</f>
        <v>24.740000000000002</v>
      </c>
      <c r="BP395" s="97">
        <f>+Tabela1107[[#This Row],[PIS]]+Tabela1107[[#This Row],[COFINS]]+Tabela1107[[#This Row],[CONTRIB. FOLHA]]+Tabela1107[[#This Row],[TRIBUTOS S/ LUCRO]]+Tabela1107[[#This Row],[OUTROS]]+Tabela1107[[#This Row],[DF]]</f>
        <v>24.740000000000002</v>
      </c>
      <c r="BQ395" s="97">
        <f>+Tabela1107[[#This Row],[PIS]]+Tabela1107[[#This Row],[COFINS]]+Tabela1107[[#This Row],[CONTRIB. FOLHA]]+Tabela1107[[#This Row],[TRIBUTOS S/ LUCRO]]+Tabela1107[[#This Row],[OUTROS]]+Tabela1107[[#This Row],[BA]]</f>
        <v>24.740000000000002</v>
      </c>
      <c r="BR395" s="97">
        <f>+Tabela1107[[#This Row],[PIS]]+Tabela1107[[#This Row],[COFINS]]+Tabela1107[[#This Row],[CONTRIB. FOLHA]]+Tabela1107[[#This Row],[TRIBUTOS S/ LUCRO]]+Tabela1107[[#This Row],[OUTROS]]+Tabela1107[[#This Row],[BA]]</f>
        <v>24.740000000000002</v>
      </c>
      <c r="BS395" s="97">
        <f>+Tabela1107[[#This Row],[PIS]]+Tabela1107[[#This Row],[COFINS]]+Tabela1107[[#This Row],[CONTRIB. FOLHA]]+Tabela1107[[#This Row],[TRIBUTOS S/ LUCRO]]+Tabela1107[[#This Row],[OUTROS]]+Tabela1107[[#This Row],[PE]]</f>
        <v>24.740000000000002</v>
      </c>
      <c r="BT395" s="97">
        <f>+Tabela1107[[#This Row],[PIS]]+Tabela1107[[#This Row],[COFINS]]+Tabela1107[[#This Row],[CONTRIB. FOLHA]]+Tabela1107[[#This Row],[TRIBUTOS S/ LUCRO]]+Tabela1107[[#This Row],[OUTROS]]+Tabela1107[[#This Row],[PA]]</f>
        <v>24.740000000000002</v>
      </c>
      <c r="BU395" s="97">
        <f>+Tabela1107[[#This Row],[PIS]]+Tabela1107[[#This Row],[COFINS]]+Tabela1107[[#This Row],[CONTRIB. FOLHA]]+Tabela1107[[#This Row],[TRIBUTOS S/ LUCRO]]+Tabela1107[[#This Row],[OUTROS]]+Tabela1107[[#This Row],[AM]]</f>
        <v>24.740000000000002</v>
      </c>
      <c r="BV395" s="97">
        <f>AVERAGE(Tabela1107[[#This Row],[TOTAL SP]:[TOTAL AM]])</f>
        <v>24.677500000000006</v>
      </c>
      <c r="BW395" s="97"/>
      <c r="BX395" s="97"/>
    </row>
    <row r="396" spans="2:76" x14ac:dyDescent="0.25">
      <c r="B396" s="89">
        <v>12822</v>
      </c>
      <c r="C396" s="91" t="s">
        <v>13142</v>
      </c>
      <c r="D396" s="89"/>
      <c r="E396" s="89">
        <v>20140626</v>
      </c>
      <c r="F396" s="89" t="s">
        <v>20846</v>
      </c>
      <c r="G396" s="89" t="s">
        <v>20847</v>
      </c>
      <c r="H396" s="89" t="s">
        <v>20848</v>
      </c>
      <c r="I396" s="89" t="s">
        <v>20849</v>
      </c>
      <c r="J396" s="89" t="s">
        <v>601</v>
      </c>
      <c r="K396" s="99" t="s">
        <v>2519</v>
      </c>
      <c r="L396" s="89" t="s">
        <v>3197</v>
      </c>
      <c r="M396" s="89" t="s">
        <v>3198</v>
      </c>
      <c r="N396" s="89" t="s">
        <v>4496</v>
      </c>
      <c r="O396" s="89" t="s">
        <v>4496</v>
      </c>
      <c r="P396" s="89" t="s">
        <v>4496</v>
      </c>
      <c r="Q396" s="89"/>
      <c r="R396" s="89" t="s">
        <v>328</v>
      </c>
      <c r="S396" s="89" t="s">
        <v>21580</v>
      </c>
      <c r="T396" s="89" t="s">
        <v>21581</v>
      </c>
      <c r="U396" s="89" t="str">
        <f>TRIM('Carga Tributária doenças Po (2'!$L396)</f>
        <v>FLUTICASONA</v>
      </c>
      <c r="V396" s="89">
        <f>SUMIFS('Tabela Federal'!$E$4:$E$2069,'Tabela Federal'!$D$4:$D$2069,'Carga Tributária doenças Po (2'!$L396)</f>
        <v>0</v>
      </c>
      <c r="W396" s="89">
        <f>SUMIFS('Tabela Federal'!$E$4:$E$2069,'Tabela Federal'!$D$4:$D$2069,'Carga Tributária doenças Po (2'!$M396)</f>
        <v>1</v>
      </c>
      <c r="X396" s="89">
        <f>SUMIFS('Tabela Federal'!$E$4:$E$2069,'Tabela Federal'!$D$4:$D$2069,'Carga Tributária doenças Po (2'!$N396)</f>
        <v>0</v>
      </c>
      <c r="Y396" s="89">
        <f>SUMIFS('Tabela Federal'!$E$4:$E$2069,'Tabela Federal'!$D$4:$D$2069,'Carga Tributária doenças Po (2'!$O396)</f>
        <v>0</v>
      </c>
      <c r="Z396" s="92" t="str">
        <f>VLOOKUP('Carga Tributária doenças Po (2'!$AD396,'Carga Tributária doenças Po (2'!$CA$12:$CC$16,2,0)</f>
        <v>+</v>
      </c>
      <c r="AA396" s="89" t="s">
        <v>529</v>
      </c>
      <c r="AB396" s="89" t="s">
        <v>21750</v>
      </c>
      <c r="AC396" s="89" t="s">
        <v>21721</v>
      </c>
      <c r="AD396" s="93" t="s">
        <v>19445</v>
      </c>
      <c r="AE396" s="92" t="s">
        <v>4</v>
      </c>
      <c r="AF396" s="92" t="s">
        <v>23</v>
      </c>
      <c r="AG396" s="94">
        <v>279524</v>
      </c>
      <c r="AH396" s="95">
        <v>7678180</v>
      </c>
      <c r="AI396" s="95">
        <v>17459016.280000001</v>
      </c>
      <c r="AJ396" s="89" t="s">
        <v>533</v>
      </c>
      <c r="AK396" s="89">
        <f>IF('Carga Tributária doenças Po (2'!$Z396="+",0,SUMIFS(PISCOFINS!$I$3:$I$10518,PISCOFINS!$C$3:$C$10518,'Carga Tributária doenças Po (2'!$C396))</f>
        <v>0</v>
      </c>
      <c r="AL396" s="89">
        <f>IF('Carga Tributária doenças Po (2'!$Z396="+",0,SUMIFS(PISCOFINS!$H$3:$H$10518,PISCOFINS!$C$3:$C$10518,'Carga Tributária doenças Po (2'!$C396))</f>
        <v>0</v>
      </c>
      <c r="AM396" s="95">
        <v>3.27</v>
      </c>
      <c r="AN396" s="95">
        <v>3.12</v>
      </c>
      <c r="AO396" s="95">
        <v>1.35</v>
      </c>
      <c r="AP396" s="96">
        <v>18</v>
      </c>
      <c r="AQ396" s="96">
        <v>12</v>
      </c>
      <c r="AR396" s="96">
        <v>17</v>
      </c>
      <c r="AS396" s="97">
        <v>17</v>
      </c>
      <c r="AT396" s="97">
        <v>19</v>
      </c>
      <c r="AU396" s="97">
        <v>18</v>
      </c>
      <c r="AV396" s="97">
        <v>17</v>
      </c>
      <c r="AW396" s="97">
        <v>17</v>
      </c>
      <c r="AX396" s="97">
        <v>17</v>
      </c>
      <c r="AY396" s="97">
        <v>17</v>
      </c>
      <c r="AZ396" s="97">
        <v>17</v>
      </c>
      <c r="BA396" s="97">
        <v>17</v>
      </c>
      <c r="BB396" s="97">
        <v>17</v>
      </c>
      <c r="BC396" s="97">
        <v>17</v>
      </c>
      <c r="BD396" s="97">
        <v>17</v>
      </c>
      <c r="BE396" s="97">
        <v>17</v>
      </c>
      <c r="BF396" s="97">
        <f>+Tabela1107[[#This Row],[PIS]]+Tabela1107[[#This Row],[COFINS]]+Tabela1107[[#This Row],[CONTRIB. FOLHA]]+Tabela1107[[#This Row],[TRIBUTOS S/ LUCRO]]+Tabela1107[[#This Row],[OUTROS]]+Tabela1107[[#This Row],[SP]]</f>
        <v>25.740000000000002</v>
      </c>
      <c r="BG396" s="97">
        <f>+Tabela1107[[#This Row],[PIS]]+Tabela1107[[#This Row],[COFINS]]+Tabela1107[[#This Row],[CONTRIB. FOLHA]]+Tabela1107[[#This Row],[TRIBUTOS S/ LUCRO]]+Tabela1107[[#This Row],[OUTROS]]+Tabela1107[[#This Row],[PR]]</f>
        <v>19.740000000000002</v>
      </c>
      <c r="BH396" s="97">
        <f>+Tabela1107[[#This Row],[PIS]]+Tabela1107[[#This Row],[COFINS]]+Tabela1107[[#This Row],[CONTRIB. FOLHA]]+Tabela1107[[#This Row],[TRIBUTOS S/ LUCRO]]+Tabela1107[[#This Row],[OUTROS]]+Tabela1107[[#This Row],[SC]]</f>
        <v>24.740000000000002</v>
      </c>
      <c r="BI396" s="97">
        <f>+Tabela1107[[#This Row],[PIS]]+Tabela1107[[#This Row],[COFINS]]+Tabela1107[[#This Row],[CONTRIB. FOLHA]]+Tabela1107[[#This Row],[TRIBUTOS S/ LUCRO]]+Tabela1107[[#This Row],[OUTROS]]+Tabela1107[[#This Row],[RS]]</f>
        <v>24.740000000000002</v>
      </c>
      <c r="BJ396" s="97">
        <f>+Tabela1107[[#This Row],[PIS]]+Tabela1107[[#This Row],[COFINS]]+Tabela1107[[#This Row],[CONTRIB. FOLHA]]+Tabela1107[[#This Row],[TRIBUTOS S/ LUCRO]]+Tabela1107[[#This Row],[OUTROS]]+Tabela1107[[#This Row],[RJ]]</f>
        <v>26.740000000000002</v>
      </c>
      <c r="BK396" s="97">
        <f>+Tabela1107[[#This Row],[PIS]]+Tabela1107[[#This Row],[COFINS]]+Tabela1107[[#This Row],[CONTRIB. FOLHA]]+Tabela1107[[#This Row],[TRIBUTOS S/ LUCRO]]+Tabela1107[[#This Row],[OUTROS]]+Tabela1107[[#This Row],[MG]]</f>
        <v>25.740000000000002</v>
      </c>
      <c r="BL396" s="97">
        <f>+Tabela1107[[#This Row],[PIS]]+Tabela1107[[#This Row],[COFINS]]+Tabela1107[[#This Row],[CONTRIB. FOLHA]]+Tabela1107[[#This Row],[TRIBUTOS S/ LUCRO]]+Tabela1107[[#This Row],[OUTROS]]+Tabela1107[[#This Row],[ES]]</f>
        <v>24.740000000000002</v>
      </c>
      <c r="BM396" s="97">
        <f>+Tabela1107[[#This Row],[PIS]]+Tabela1107[[#This Row],[COFINS]]+Tabela1107[[#This Row],[CONTRIB. FOLHA]]+Tabela1107[[#This Row],[TRIBUTOS S/ LUCRO]]+Tabela1107[[#This Row],[OUTROS]]+Tabela1107[[#This Row],[GO]]</f>
        <v>24.740000000000002</v>
      </c>
      <c r="BN396" s="97">
        <f>+Tabela1107[[#This Row],[PIS]]+Tabela1107[[#This Row],[COFINS]]+Tabela1107[[#This Row],[CONTRIB. FOLHA]]+Tabela1107[[#This Row],[TRIBUTOS S/ LUCRO]]+Tabela1107[[#This Row],[OUTROS]]+Tabela1107[[#This Row],[MT]]</f>
        <v>24.740000000000002</v>
      </c>
      <c r="BO396" s="97">
        <f>+Tabela1107[[#This Row],[PIS]]+Tabela1107[[#This Row],[COFINS]]+Tabela1107[[#This Row],[CONTRIB. FOLHA]]+Tabela1107[[#This Row],[TRIBUTOS S/ LUCRO]]+Tabela1107[[#This Row],[OUTROS]]+Tabela1107[[#This Row],[MS]]</f>
        <v>24.740000000000002</v>
      </c>
      <c r="BP396" s="97">
        <f>+Tabela1107[[#This Row],[PIS]]+Tabela1107[[#This Row],[COFINS]]+Tabela1107[[#This Row],[CONTRIB. FOLHA]]+Tabela1107[[#This Row],[TRIBUTOS S/ LUCRO]]+Tabela1107[[#This Row],[OUTROS]]+Tabela1107[[#This Row],[DF]]</f>
        <v>24.740000000000002</v>
      </c>
      <c r="BQ396" s="97">
        <f>+Tabela1107[[#This Row],[PIS]]+Tabela1107[[#This Row],[COFINS]]+Tabela1107[[#This Row],[CONTRIB. FOLHA]]+Tabela1107[[#This Row],[TRIBUTOS S/ LUCRO]]+Tabela1107[[#This Row],[OUTROS]]+Tabela1107[[#This Row],[BA]]</f>
        <v>24.740000000000002</v>
      </c>
      <c r="BR396" s="97">
        <f>+Tabela1107[[#This Row],[PIS]]+Tabela1107[[#This Row],[COFINS]]+Tabela1107[[#This Row],[CONTRIB. FOLHA]]+Tabela1107[[#This Row],[TRIBUTOS S/ LUCRO]]+Tabela1107[[#This Row],[OUTROS]]+Tabela1107[[#This Row],[BA]]</f>
        <v>24.740000000000002</v>
      </c>
      <c r="BS396" s="97">
        <f>+Tabela1107[[#This Row],[PIS]]+Tabela1107[[#This Row],[COFINS]]+Tabela1107[[#This Row],[CONTRIB. FOLHA]]+Tabela1107[[#This Row],[TRIBUTOS S/ LUCRO]]+Tabela1107[[#This Row],[OUTROS]]+Tabela1107[[#This Row],[PE]]</f>
        <v>24.740000000000002</v>
      </c>
      <c r="BT396" s="97">
        <f>+Tabela1107[[#This Row],[PIS]]+Tabela1107[[#This Row],[COFINS]]+Tabela1107[[#This Row],[CONTRIB. FOLHA]]+Tabela1107[[#This Row],[TRIBUTOS S/ LUCRO]]+Tabela1107[[#This Row],[OUTROS]]+Tabela1107[[#This Row],[PA]]</f>
        <v>24.740000000000002</v>
      </c>
      <c r="BU396" s="97">
        <f>+Tabela1107[[#This Row],[PIS]]+Tabela1107[[#This Row],[COFINS]]+Tabela1107[[#This Row],[CONTRIB. FOLHA]]+Tabela1107[[#This Row],[TRIBUTOS S/ LUCRO]]+Tabela1107[[#This Row],[OUTROS]]+Tabela1107[[#This Row],[AM]]</f>
        <v>24.740000000000002</v>
      </c>
      <c r="BV396" s="97">
        <f>AVERAGE(Tabela1107[[#This Row],[TOTAL SP]:[TOTAL AM]])</f>
        <v>24.677500000000006</v>
      </c>
      <c r="BW396" s="97"/>
      <c r="BX396" s="97"/>
    </row>
    <row r="397" spans="2:76" x14ac:dyDescent="0.25">
      <c r="B397" s="89">
        <v>2014</v>
      </c>
      <c r="C397" s="91" t="s">
        <v>13177</v>
      </c>
      <c r="D397" s="89"/>
      <c r="E397" s="89">
        <v>20140626</v>
      </c>
      <c r="F397" s="89" t="s">
        <v>20544</v>
      </c>
      <c r="G397" s="89" t="s">
        <v>20545</v>
      </c>
      <c r="H397" s="89" t="s">
        <v>20546</v>
      </c>
      <c r="I397" s="89" t="s">
        <v>20547</v>
      </c>
      <c r="J397" s="89" t="s">
        <v>315</v>
      </c>
      <c r="K397" s="99" t="s">
        <v>2518</v>
      </c>
      <c r="L397" s="89" t="s">
        <v>2691</v>
      </c>
      <c r="M397" s="89" t="s">
        <v>4496</v>
      </c>
      <c r="N397" s="89" t="s">
        <v>4496</v>
      </c>
      <c r="O397" s="89" t="s">
        <v>4496</v>
      </c>
      <c r="P397" s="89" t="s">
        <v>4496</v>
      </c>
      <c r="Q397" s="89"/>
      <c r="R397" s="89" t="s">
        <v>22</v>
      </c>
      <c r="S397" s="89" t="s">
        <v>21600</v>
      </c>
      <c r="T397" s="89" t="s">
        <v>21601</v>
      </c>
      <c r="U397" s="89" t="str">
        <f>TRIM('Carga Tributária doenças Po (2'!$L397)</f>
        <v>PRAMIPEXOL</v>
      </c>
      <c r="V397" s="89">
        <f>SUMIFS('Tabela Federal'!$E$4:$E$2069,'Tabela Federal'!$D$4:$D$2069,'Carga Tributária doenças Po (2'!$L397)</f>
        <v>0</v>
      </c>
      <c r="W397" s="89">
        <f>SUMIFS('Tabela Federal'!$E$4:$E$2069,'Tabela Federal'!$D$4:$D$2069,'Carga Tributária doenças Po (2'!$M397)</f>
        <v>0</v>
      </c>
      <c r="X397" s="89">
        <f>SUMIFS('Tabela Federal'!$E$4:$E$2069,'Tabela Federal'!$D$4:$D$2069,'Carga Tributária doenças Po (2'!$N397)</f>
        <v>0</v>
      </c>
      <c r="Y397" s="89">
        <f>SUMIFS('Tabela Federal'!$E$4:$E$2069,'Tabela Federal'!$D$4:$D$2069,'Carga Tributária doenças Po (2'!$O397)</f>
        <v>0</v>
      </c>
      <c r="Z397" s="92" t="str">
        <f>VLOOKUP('Carga Tributária doenças Po (2'!$AD397,'Carga Tributária doenças Po (2'!$CA$12:$CC$16,2,0)</f>
        <v>+</v>
      </c>
      <c r="AA397" s="89" t="s">
        <v>305</v>
      </c>
      <c r="AB397" s="89" t="s">
        <v>21873</v>
      </c>
      <c r="AC397" s="89" t="s">
        <v>21721</v>
      </c>
      <c r="AD397" s="93" t="s">
        <v>21722</v>
      </c>
      <c r="AE397" s="92" t="s">
        <v>2</v>
      </c>
      <c r="AF397" s="92" t="s">
        <v>23</v>
      </c>
      <c r="AG397" s="94">
        <v>113430</v>
      </c>
      <c r="AH397" s="95">
        <v>3191665</v>
      </c>
      <c r="AI397" s="95">
        <v>7282216.7800000003</v>
      </c>
      <c r="AJ397" s="89" t="s">
        <v>316</v>
      </c>
      <c r="AK397" s="89">
        <f>IF('Carga Tributária doenças Po (2'!$Z397="+",0,SUMIFS(PISCOFINS!$I$3:$I$10518,PISCOFINS!$C$3:$C$10518,'Carga Tributária doenças Po (2'!$C397))</f>
        <v>0</v>
      </c>
      <c r="AL397" s="89">
        <f>IF('Carga Tributária doenças Po (2'!$Z397="+",0,SUMIFS(PISCOFINS!$H$3:$H$10518,PISCOFINS!$C$3:$C$10518,'Carga Tributária doenças Po (2'!$C397))</f>
        <v>0</v>
      </c>
      <c r="AM397" s="95">
        <v>3.27</v>
      </c>
      <c r="AN397" s="95">
        <v>3.12</v>
      </c>
      <c r="AO397" s="95">
        <v>1.35</v>
      </c>
      <c r="AP397" s="96">
        <v>18</v>
      </c>
      <c r="AQ397" s="96">
        <v>12</v>
      </c>
      <c r="AR397" s="96">
        <v>17</v>
      </c>
      <c r="AS397" s="97">
        <v>17</v>
      </c>
      <c r="AT397" s="97">
        <v>19</v>
      </c>
      <c r="AU397" s="97">
        <v>18</v>
      </c>
      <c r="AV397" s="97">
        <v>17</v>
      </c>
      <c r="AW397" s="97">
        <v>17</v>
      </c>
      <c r="AX397" s="97">
        <v>17</v>
      </c>
      <c r="AY397" s="97">
        <v>17</v>
      </c>
      <c r="AZ397" s="97">
        <v>17</v>
      </c>
      <c r="BA397" s="97">
        <v>17</v>
      </c>
      <c r="BB397" s="97">
        <v>17</v>
      </c>
      <c r="BC397" s="97">
        <v>17</v>
      </c>
      <c r="BD397" s="97">
        <v>17</v>
      </c>
      <c r="BE397" s="97">
        <v>17</v>
      </c>
      <c r="BF397" s="97">
        <f>+Tabela1107[[#This Row],[PIS]]+Tabela1107[[#This Row],[COFINS]]+Tabela1107[[#This Row],[CONTRIB. FOLHA]]+Tabela1107[[#This Row],[TRIBUTOS S/ LUCRO]]+Tabela1107[[#This Row],[OUTROS]]+Tabela1107[[#This Row],[SP]]</f>
        <v>25.740000000000002</v>
      </c>
      <c r="BG397" s="97">
        <f>+Tabela1107[[#This Row],[PIS]]+Tabela1107[[#This Row],[COFINS]]+Tabela1107[[#This Row],[CONTRIB. FOLHA]]+Tabela1107[[#This Row],[TRIBUTOS S/ LUCRO]]+Tabela1107[[#This Row],[OUTROS]]+Tabela1107[[#This Row],[PR]]</f>
        <v>19.740000000000002</v>
      </c>
      <c r="BH397" s="97">
        <f>+Tabela1107[[#This Row],[PIS]]+Tabela1107[[#This Row],[COFINS]]+Tabela1107[[#This Row],[CONTRIB. FOLHA]]+Tabela1107[[#This Row],[TRIBUTOS S/ LUCRO]]+Tabela1107[[#This Row],[OUTROS]]+Tabela1107[[#This Row],[SC]]</f>
        <v>24.740000000000002</v>
      </c>
      <c r="BI397" s="97">
        <f>+Tabela1107[[#This Row],[PIS]]+Tabela1107[[#This Row],[COFINS]]+Tabela1107[[#This Row],[CONTRIB. FOLHA]]+Tabela1107[[#This Row],[TRIBUTOS S/ LUCRO]]+Tabela1107[[#This Row],[OUTROS]]+Tabela1107[[#This Row],[RS]]</f>
        <v>24.740000000000002</v>
      </c>
      <c r="BJ397" s="97">
        <f>+Tabela1107[[#This Row],[PIS]]+Tabela1107[[#This Row],[COFINS]]+Tabela1107[[#This Row],[CONTRIB. FOLHA]]+Tabela1107[[#This Row],[TRIBUTOS S/ LUCRO]]+Tabela1107[[#This Row],[OUTROS]]+Tabela1107[[#This Row],[RJ]]</f>
        <v>26.740000000000002</v>
      </c>
      <c r="BK397" s="97">
        <f>+Tabela1107[[#This Row],[PIS]]+Tabela1107[[#This Row],[COFINS]]+Tabela1107[[#This Row],[CONTRIB. FOLHA]]+Tabela1107[[#This Row],[TRIBUTOS S/ LUCRO]]+Tabela1107[[#This Row],[OUTROS]]+Tabela1107[[#This Row],[MG]]</f>
        <v>25.740000000000002</v>
      </c>
      <c r="BL397" s="97">
        <f>+Tabela1107[[#This Row],[PIS]]+Tabela1107[[#This Row],[COFINS]]+Tabela1107[[#This Row],[CONTRIB. FOLHA]]+Tabela1107[[#This Row],[TRIBUTOS S/ LUCRO]]+Tabela1107[[#This Row],[OUTROS]]+Tabela1107[[#This Row],[ES]]</f>
        <v>24.740000000000002</v>
      </c>
      <c r="BM397" s="97">
        <f>+Tabela1107[[#This Row],[PIS]]+Tabela1107[[#This Row],[COFINS]]+Tabela1107[[#This Row],[CONTRIB. FOLHA]]+Tabela1107[[#This Row],[TRIBUTOS S/ LUCRO]]+Tabela1107[[#This Row],[OUTROS]]+Tabela1107[[#This Row],[GO]]</f>
        <v>24.740000000000002</v>
      </c>
      <c r="BN397" s="97">
        <f>+Tabela1107[[#This Row],[PIS]]+Tabela1107[[#This Row],[COFINS]]+Tabela1107[[#This Row],[CONTRIB. FOLHA]]+Tabela1107[[#This Row],[TRIBUTOS S/ LUCRO]]+Tabela1107[[#This Row],[OUTROS]]+Tabela1107[[#This Row],[MT]]</f>
        <v>24.740000000000002</v>
      </c>
      <c r="BO397" s="97">
        <f>+Tabela1107[[#This Row],[PIS]]+Tabela1107[[#This Row],[COFINS]]+Tabela1107[[#This Row],[CONTRIB. FOLHA]]+Tabela1107[[#This Row],[TRIBUTOS S/ LUCRO]]+Tabela1107[[#This Row],[OUTROS]]+Tabela1107[[#This Row],[MS]]</f>
        <v>24.740000000000002</v>
      </c>
      <c r="BP397" s="97">
        <f>+Tabela1107[[#This Row],[PIS]]+Tabela1107[[#This Row],[COFINS]]+Tabela1107[[#This Row],[CONTRIB. FOLHA]]+Tabela1107[[#This Row],[TRIBUTOS S/ LUCRO]]+Tabela1107[[#This Row],[OUTROS]]+Tabela1107[[#This Row],[DF]]</f>
        <v>24.740000000000002</v>
      </c>
      <c r="BQ397" s="97">
        <f>+Tabela1107[[#This Row],[PIS]]+Tabela1107[[#This Row],[COFINS]]+Tabela1107[[#This Row],[CONTRIB. FOLHA]]+Tabela1107[[#This Row],[TRIBUTOS S/ LUCRO]]+Tabela1107[[#This Row],[OUTROS]]+Tabela1107[[#This Row],[BA]]</f>
        <v>24.740000000000002</v>
      </c>
      <c r="BR397" s="97">
        <f>+Tabela1107[[#This Row],[PIS]]+Tabela1107[[#This Row],[COFINS]]+Tabela1107[[#This Row],[CONTRIB. FOLHA]]+Tabela1107[[#This Row],[TRIBUTOS S/ LUCRO]]+Tabela1107[[#This Row],[OUTROS]]+Tabela1107[[#This Row],[BA]]</f>
        <v>24.740000000000002</v>
      </c>
      <c r="BS397" s="97">
        <f>+Tabela1107[[#This Row],[PIS]]+Tabela1107[[#This Row],[COFINS]]+Tabela1107[[#This Row],[CONTRIB. FOLHA]]+Tabela1107[[#This Row],[TRIBUTOS S/ LUCRO]]+Tabela1107[[#This Row],[OUTROS]]+Tabela1107[[#This Row],[PE]]</f>
        <v>24.740000000000002</v>
      </c>
      <c r="BT397" s="97">
        <f>+Tabela1107[[#This Row],[PIS]]+Tabela1107[[#This Row],[COFINS]]+Tabela1107[[#This Row],[CONTRIB. FOLHA]]+Tabela1107[[#This Row],[TRIBUTOS S/ LUCRO]]+Tabela1107[[#This Row],[OUTROS]]+Tabela1107[[#This Row],[PA]]</f>
        <v>24.740000000000002</v>
      </c>
      <c r="BU397" s="97">
        <f>+Tabela1107[[#This Row],[PIS]]+Tabela1107[[#This Row],[COFINS]]+Tabela1107[[#This Row],[CONTRIB. FOLHA]]+Tabela1107[[#This Row],[TRIBUTOS S/ LUCRO]]+Tabela1107[[#This Row],[OUTROS]]+Tabela1107[[#This Row],[AM]]</f>
        <v>24.740000000000002</v>
      </c>
      <c r="BV397" s="97">
        <f>AVERAGE(Tabela1107[[#This Row],[TOTAL SP]:[TOTAL AM]])</f>
        <v>24.677500000000006</v>
      </c>
      <c r="BW397" s="97"/>
      <c r="BX397" s="97"/>
    </row>
    <row r="398" spans="2:76" x14ac:dyDescent="0.25">
      <c r="B398" s="89">
        <v>2210</v>
      </c>
      <c r="C398" s="91" t="s">
        <v>13183</v>
      </c>
      <c r="D398" s="89"/>
      <c r="E398" s="89">
        <v>20140626</v>
      </c>
      <c r="F398" s="89" t="s">
        <v>21403</v>
      </c>
      <c r="G398" s="89" t="s">
        <v>21404</v>
      </c>
      <c r="H398" s="89" t="s">
        <v>21405</v>
      </c>
      <c r="I398" s="89" t="s">
        <v>21406</v>
      </c>
      <c r="J398" s="89" t="s">
        <v>57</v>
      </c>
      <c r="K398" s="100" t="s">
        <v>2517</v>
      </c>
      <c r="L398" s="89" t="s">
        <v>2789</v>
      </c>
      <c r="M398" s="89" t="s">
        <v>4476</v>
      </c>
      <c r="N398" s="89" t="s">
        <v>4483</v>
      </c>
      <c r="O398" s="89" t="s">
        <v>4496</v>
      </c>
      <c r="P398" s="89" t="s">
        <v>4496</v>
      </c>
      <c r="Q398" s="89"/>
      <c r="R398" s="89" t="s">
        <v>58</v>
      </c>
      <c r="S398" s="89" t="s">
        <v>21572</v>
      </c>
      <c r="T398" s="89" t="s">
        <v>21573</v>
      </c>
      <c r="U398" s="89" t="str">
        <f>TRIM('Carga Tributária doenças Po (2'!$L398)</f>
        <v>DIMETICONA</v>
      </c>
      <c r="V398" s="89">
        <f>SUMIFS('Tabela Federal'!$E$4:$E$2069,'Tabela Federal'!$D$4:$D$2069,'Carga Tributária doenças Po (2'!$L398)</f>
        <v>9</v>
      </c>
      <c r="W398" s="89">
        <f>SUMIFS('Tabela Federal'!$E$4:$E$2069,'Tabela Federal'!$D$4:$D$2069,'Carga Tributária doenças Po (2'!$M398)</f>
        <v>0</v>
      </c>
      <c r="X398" s="89">
        <f>SUMIFS('Tabela Federal'!$E$4:$E$2069,'Tabela Federal'!$D$4:$D$2069,'Carga Tributária doenças Po (2'!$N398)</f>
        <v>0</v>
      </c>
      <c r="Y398" s="89">
        <f>SUMIFS('Tabela Federal'!$E$4:$E$2069,'Tabela Federal'!$D$4:$D$2069,'Carga Tributária doenças Po (2'!$O398)</f>
        <v>0</v>
      </c>
      <c r="Z398" s="92" t="str">
        <f>VLOOKUP('Carga Tributária doenças Po (2'!$AD398,'Carga Tributária doenças Po (2'!$CA$12:$CC$16,2,0)</f>
        <v>-</v>
      </c>
      <c r="AA398" s="89" t="s">
        <v>54</v>
      </c>
      <c r="AB398" s="89" t="s">
        <v>21751</v>
      </c>
      <c r="AC398" s="89" t="s">
        <v>21740</v>
      </c>
      <c r="AD398" s="93" t="s">
        <v>19523</v>
      </c>
      <c r="AE398" s="92" t="s">
        <v>4</v>
      </c>
      <c r="AF398" s="92" t="s">
        <v>3</v>
      </c>
      <c r="AG398" s="94">
        <v>379237</v>
      </c>
      <c r="AH398" s="95">
        <v>3592955</v>
      </c>
      <c r="AI398" s="95">
        <v>8199272.1100000003</v>
      </c>
      <c r="AJ398" s="89" t="s">
        <v>41</v>
      </c>
      <c r="AK398" s="89">
        <f>IF('Carga Tributária doenças Po (2'!$Z398="+",0,SUMIFS(PISCOFINS!$I$3:$I$10518,PISCOFINS!$C$3:$C$10518,'Carga Tributária doenças Po (2'!$C398))</f>
        <v>2.1</v>
      </c>
      <c r="AL398" s="89">
        <f>IF('Carga Tributária doenças Po (2'!$Z398="+",0,SUMIFS(PISCOFINS!$H$3:$H$10518,PISCOFINS!$C$3:$C$10518,'Carga Tributária doenças Po (2'!$C398))</f>
        <v>9.9</v>
      </c>
      <c r="AM398" s="95">
        <v>3.27</v>
      </c>
      <c r="AN398" s="95">
        <v>3.12</v>
      </c>
      <c r="AO398" s="95">
        <v>1.35</v>
      </c>
      <c r="AP398" s="96">
        <v>18</v>
      </c>
      <c r="AQ398" s="96">
        <v>12</v>
      </c>
      <c r="AR398" s="96">
        <v>17</v>
      </c>
      <c r="AS398" s="97">
        <v>17</v>
      </c>
      <c r="AT398" s="97">
        <v>19</v>
      </c>
      <c r="AU398" s="97">
        <v>18</v>
      </c>
      <c r="AV398" s="97">
        <v>17</v>
      </c>
      <c r="AW398" s="97">
        <v>17</v>
      </c>
      <c r="AX398" s="97">
        <v>17</v>
      </c>
      <c r="AY398" s="97">
        <v>17</v>
      </c>
      <c r="AZ398" s="97">
        <v>17</v>
      </c>
      <c r="BA398" s="97">
        <v>17</v>
      </c>
      <c r="BB398" s="97">
        <v>17</v>
      </c>
      <c r="BC398" s="97">
        <v>17</v>
      </c>
      <c r="BD398" s="97">
        <v>17</v>
      </c>
      <c r="BE398" s="97">
        <v>17</v>
      </c>
      <c r="BF398" s="97">
        <f>+Tabela1107[[#This Row],[PIS]]+Tabela1107[[#This Row],[COFINS]]+Tabela1107[[#This Row],[CONTRIB. FOLHA]]+Tabela1107[[#This Row],[TRIBUTOS S/ LUCRO]]+Tabela1107[[#This Row],[OUTROS]]+Tabela1107[[#This Row],[SP]]</f>
        <v>37.74</v>
      </c>
      <c r="BG398" s="97">
        <f>+Tabela1107[[#This Row],[PIS]]+Tabela1107[[#This Row],[COFINS]]+Tabela1107[[#This Row],[CONTRIB. FOLHA]]+Tabela1107[[#This Row],[TRIBUTOS S/ LUCRO]]+Tabela1107[[#This Row],[OUTROS]]+Tabela1107[[#This Row],[PR]]</f>
        <v>31.740000000000002</v>
      </c>
      <c r="BH398" s="97">
        <f>+Tabela1107[[#This Row],[PIS]]+Tabela1107[[#This Row],[COFINS]]+Tabela1107[[#This Row],[CONTRIB. FOLHA]]+Tabela1107[[#This Row],[TRIBUTOS S/ LUCRO]]+Tabela1107[[#This Row],[OUTROS]]+Tabela1107[[#This Row],[SC]]</f>
        <v>36.74</v>
      </c>
      <c r="BI398" s="97">
        <f>+Tabela1107[[#This Row],[PIS]]+Tabela1107[[#This Row],[COFINS]]+Tabela1107[[#This Row],[CONTRIB. FOLHA]]+Tabela1107[[#This Row],[TRIBUTOS S/ LUCRO]]+Tabela1107[[#This Row],[OUTROS]]+Tabela1107[[#This Row],[RS]]</f>
        <v>36.74</v>
      </c>
      <c r="BJ398" s="97">
        <f>+Tabela1107[[#This Row],[PIS]]+Tabela1107[[#This Row],[COFINS]]+Tabela1107[[#This Row],[CONTRIB. FOLHA]]+Tabela1107[[#This Row],[TRIBUTOS S/ LUCRO]]+Tabela1107[[#This Row],[OUTROS]]+Tabela1107[[#This Row],[RJ]]</f>
        <v>38.74</v>
      </c>
      <c r="BK398" s="97">
        <f>+Tabela1107[[#This Row],[PIS]]+Tabela1107[[#This Row],[COFINS]]+Tabela1107[[#This Row],[CONTRIB. FOLHA]]+Tabela1107[[#This Row],[TRIBUTOS S/ LUCRO]]+Tabela1107[[#This Row],[OUTROS]]+Tabela1107[[#This Row],[MG]]</f>
        <v>37.74</v>
      </c>
      <c r="BL398" s="97">
        <f>+Tabela1107[[#This Row],[PIS]]+Tabela1107[[#This Row],[COFINS]]+Tabela1107[[#This Row],[CONTRIB. FOLHA]]+Tabela1107[[#This Row],[TRIBUTOS S/ LUCRO]]+Tabela1107[[#This Row],[OUTROS]]+Tabela1107[[#This Row],[ES]]</f>
        <v>36.74</v>
      </c>
      <c r="BM398" s="97">
        <f>+Tabela1107[[#This Row],[PIS]]+Tabela1107[[#This Row],[COFINS]]+Tabela1107[[#This Row],[CONTRIB. FOLHA]]+Tabela1107[[#This Row],[TRIBUTOS S/ LUCRO]]+Tabela1107[[#This Row],[OUTROS]]+Tabela1107[[#This Row],[GO]]</f>
        <v>36.74</v>
      </c>
      <c r="BN398" s="97">
        <f>+Tabela1107[[#This Row],[PIS]]+Tabela1107[[#This Row],[COFINS]]+Tabela1107[[#This Row],[CONTRIB. FOLHA]]+Tabela1107[[#This Row],[TRIBUTOS S/ LUCRO]]+Tabela1107[[#This Row],[OUTROS]]+Tabela1107[[#This Row],[MT]]</f>
        <v>36.74</v>
      </c>
      <c r="BO398" s="97">
        <f>+Tabela1107[[#This Row],[PIS]]+Tabela1107[[#This Row],[COFINS]]+Tabela1107[[#This Row],[CONTRIB. FOLHA]]+Tabela1107[[#This Row],[TRIBUTOS S/ LUCRO]]+Tabela1107[[#This Row],[OUTROS]]+Tabela1107[[#This Row],[MS]]</f>
        <v>36.74</v>
      </c>
      <c r="BP398" s="97">
        <f>+Tabela1107[[#This Row],[PIS]]+Tabela1107[[#This Row],[COFINS]]+Tabela1107[[#This Row],[CONTRIB. FOLHA]]+Tabela1107[[#This Row],[TRIBUTOS S/ LUCRO]]+Tabela1107[[#This Row],[OUTROS]]+Tabela1107[[#This Row],[DF]]</f>
        <v>36.74</v>
      </c>
      <c r="BQ398" s="97">
        <f>+Tabela1107[[#This Row],[PIS]]+Tabela1107[[#This Row],[COFINS]]+Tabela1107[[#This Row],[CONTRIB. FOLHA]]+Tabela1107[[#This Row],[TRIBUTOS S/ LUCRO]]+Tabela1107[[#This Row],[OUTROS]]+Tabela1107[[#This Row],[BA]]</f>
        <v>36.74</v>
      </c>
      <c r="BR398" s="97">
        <f>+Tabela1107[[#This Row],[PIS]]+Tabela1107[[#This Row],[COFINS]]+Tabela1107[[#This Row],[CONTRIB. FOLHA]]+Tabela1107[[#This Row],[TRIBUTOS S/ LUCRO]]+Tabela1107[[#This Row],[OUTROS]]+Tabela1107[[#This Row],[BA]]</f>
        <v>36.74</v>
      </c>
      <c r="BS398" s="97">
        <f>+Tabela1107[[#This Row],[PIS]]+Tabela1107[[#This Row],[COFINS]]+Tabela1107[[#This Row],[CONTRIB. FOLHA]]+Tabela1107[[#This Row],[TRIBUTOS S/ LUCRO]]+Tabela1107[[#This Row],[OUTROS]]+Tabela1107[[#This Row],[PE]]</f>
        <v>36.74</v>
      </c>
      <c r="BT398" s="97">
        <f>+Tabela1107[[#This Row],[PIS]]+Tabela1107[[#This Row],[COFINS]]+Tabela1107[[#This Row],[CONTRIB. FOLHA]]+Tabela1107[[#This Row],[TRIBUTOS S/ LUCRO]]+Tabela1107[[#This Row],[OUTROS]]+Tabela1107[[#This Row],[PA]]</f>
        <v>36.74</v>
      </c>
      <c r="BU398" s="97">
        <f>+Tabela1107[[#This Row],[PIS]]+Tabela1107[[#This Row],[COFINS]]+Tabela1107[[#This Row],[CONTRIB. FOLHA]]+Tabela1107[[#This Row],[TRIBUTOS S/ LUCRO]]+Tabela1107[[#This Row],[OUTROS]]+Tabela1107[[#This Row],[AM]]</f>
        <v>36.74</v>
      </c>
      <c r="BV398" s="97">
        <f>AVERAGE(Tabela1107[[#This Row],[TOTAL SP]:[TOTAL AM]])</f>
        <v>36.677500000000002</v>
      </c>
      <c r="BW398" s="97"/>
      <c r="BX398" s="97"/>
    </row>
    <row r="399" spans="2:76" x14ac:dyDescent="0.25">
      <c r="B399" s="89">
        <v>6973</v>
      </c>
      <c r="C399" s="91" t="s">
        <v>13159</v>
      </c>
      <c r="D399" s="89"/>
      <c r="E399" s="89">
        <v>20140626</v>
      </c>
      <c r="F399" s="89" t="s">
        <v>20463</v>
      </c>
      <c r="G399" s="89" t="s">
        <v>20464</v>
      </c>
      <c r="H399" s="89" t="s">
        <v>20465</v>
      </c>
      <c r="I399" s="89" t="s">
        <v>20466</v>
      </c>
      <c r="J399" s="89" t="s">
        <v>263</v>
      </c>
      <c r="K399" s="99" t="s">
        <v>2515</v>
      </c>
      <c r="L399" s="89" t="s">
        <v>2693</v>
      </c>
      <c r="M399" s="89" t="s">
        <v>4496</v>
      </c>
      <c r="N399" s="89" t="s">
        <v>4496</v>
      </c>
      <c r="O399" s="89" t="s">
        <v>4496</v>
      </c>
      <c r="P399" s="89" t="s">
        <v>4496</v>
      </c>
      <c r="Q399" s="89"/>
      <c r="R399" s="89" t="s">
        <v>264</v>
      </c>
      <c r="S399" s="89" t="s">
        <v>21588</v>
      </c>
      <c r="T399" s="89" t="s">
        <v>21589</v>
      </c>
      <c r="U399" s="89" t="str">
        <f>TRIM('Carga Tributária doenças Po (2'!$L399)</f>
        <v>SINVASTATINA</v>
      </c>
      <c r="V399" s="89">
        <f>SUMIFS('Tabela Federal'!$E$4:$E$2069,'Tabela Federal'!$D$4:$D$2069,'Carga Tributária doenças Po (2'!$L399)</f>
        <v>5</v>
      </c>
      <c r="W399" s="89">
        <f>SUMIFS('Tabela Federal'!$E$4:$E$2069,'Tabela Federal'!$D$4:$D$2069,'Carga Tributária doenças Po (2'!$M399)</f>
        <v>0</v>
      </c>
      <c r="X399" s="89">
        <f>SUMIFS('Tabela Federal'!$E$4:$E$2069,'Tabela Federal'!$D$4:$D$2069,'Carga Tributária doenças Po (2'!$N399)</f>
        <v>0</v>
      </c>
      <c r="Y399" s="89">
        <f>SUMIFS('Tabela Federal'!$E$4:$E$2069,'Tabela Federal'!$D$4:$D$2069,'Carga Tributária doenças Po (2'!$O399)</f>
        <v>0</v>
      </c>
      <c r="Z399" s="92" t="str">
        <f>VLOOKUP('Carga Tributária doenças Po (2'!$AD399,'Carga Tributária doenças Po (2'!$CA$12:$CC$16,2,0)</f>
        <v>+</v>
      </c>
      <c r="AA399" s="89" t="s">
        <v>256</v>
      </c>
      <c r="AB399" s="89" t="s">
        <v>21763</v>
      </c>
      <c r="AC399" s="89" t="s">
        <v>21721</v>
      </c>
      <c r="AD399" s="93" t="s">
        <v>21722</v>
      </c>
      <c r="AE399" s="92" t="s">
        <v>2</v>
      </c>
      <c r="AF399" s="92" t="s">
        <v>3</v>
      </c>
      <c r="AG399" s="94">
        <v>1100460</v>
      </c>
      <c r="AH399" s="95">
        <v>19857211</v>
      </c>
      <c r="AI399" s="95">
        <v>45293432.780000001</v>
      </c>
      <c r="AJ399" s="89" t="s">
        <v>269</v>
      </c>
      <c r="AK399" s="89">
        <f>IF('Carga Tributária doenças Po (2'!$Z399="+",0,SUMIFS(PISCOFINS!$I$3:$I$10518,PISCOFINS!$C$3:$C$10518,'Carga Tributária doenças Po (2'!$C399))</f>
        <v>0</v>
      </c>
      <c r="AL399" s="89">
        <f>IF('Carga Tributária doenças Po (2'!$Z399="+",0,SUMIFS(PISCOFINS!$H$3:$H$10518,PISCOFINS!$C$3:$C$10518,'Carga Tributária doenças Po (2'!$C399))</f>
        <v>0</v>
      </c>
      <c r="AM399" s="95">
        <v>3.27</v>
      </c>
      <c r="AN399" s="95">
        <v>3.12</v>
      </c>
      <c r="AO399" s="95">
        <v>1.35</v>
      </c>
      <c r="AP399" s="96">
        <v>18</v>
      </c>
      <c r="AQ399" s="96">
        <v>12</v>
      </c>
      <c r="AR399" s="96">
        <v>17</v>
      </c>
      <c r="AS399" s="97">
        <v>17</v>
      </c>
      <c r="AT399" s="97">
        <v>19</v>
      </c>
      <c r="AU399" s="97">
        <v>18</v>
      </c>
      <c r="AV399" s="97">
        <v>17</v>
      </c>
      <c r="AW399" s="97">
        <v>17</v>
      </c>
      <c r="AX399" s="97">
        <v>17</v>
      </c>
      <c r="AY399" s="97">
        <v>17</v>
      </c>
      <c r="AZ399" s="97">
        <v>17</v>
      </c>
      <c r="BA399" s="97">
        <v>17</v>
      </c>
      <c r="BB399" s="97">
        <v>17</v>
      </c>
      <c r="BC399" s="97">
        <v>17</v>
      </c>
      <c r="BD399" s="97">
        <v>17</v>
      </c>
      <c r="BE399" s="97">
        <v>17</v>
      </c>
      <c r="BF399" s="97">
        <f>+Tabela1107[[#This Row],[PIS]]+Tabela1107[[#This Row],[COFINS]]+Tabela1107[[#This Row],[CONTRIB. FOLHA]]+Tabela1107[[#This Row],[TRIBUTOS S/ LUCRO]]+Tabela1107[[#This Row],[OUTROS]]+Tabela1107[[#This Row],[SP]]</f>
        <v>25.740000000000002</v>
      </c>
      <c r="BG399" s="97">
        <f>+Tabela1107[[#This Row],[PIS]]+Tabela1107[[#This Row],[COFINS]]+Tabela1107[[#This Row],[CONTRIB. FOLHA]]+Tabela1107[[#This Row],[TRIBUTOS S/ LUCRO]]+Tabela1107[[#This Row],[OUTROS]]+Tabela1107[[#This Row],[PR]]</f>
        <v>19.740000000000002</v>
      </c>
      <c r="BH399" s="97">
        <f>+Tabela1107[[#This Row],[PIS]]+Tabela1107[[#This Row],[COFINS]]+Tabela1107[[#This Row],[CONTRIB. FOLHA]]+Tabela1107[[#This Row],[TRIBUTOS S/ LUCRO]]+Tabela1107[[#This Row],[OUTROS]]+Tabela1107[[#This Row],[SC]]</f>
        <v>24.740000000000002</v>
      </c>
      <c r="BI399" s="97">
        <f>+Tabela1107[[#This Row],[PIS]]+Tabela1107[[#This Row],[COFINS]]+Tabela1107[[#This Row],[CONTRIB. FOLHA]]+Tabela1107[[#This Row],[TRIBUTOS S/ LUCRO]]+Tabela1107[[#This Row],[OUTROS]]+Tabela1107[[#This Row],[RS]]</f>
        <v>24.740000000000002</v>
      </c>
      <c r="BJ399" s="97">
        <f>+Tabela1107[[#This Row],[PIS]]+Tabela1107[[#This Row],[COFINS]]+Tabela1107[[#This Row],[CONTRIB. FOLHA]]+Tabela1107[[#This Row],[TRIBUTOS S/ LUCRO]]+Tabela1107[[#This Row],[OUTROS]]+Tabela1107[[#This Row],[RJ]]</f>
        <v>26.740000000000002</v>
      </c>
      <c r="BK399" s="97">
        <f>+Tabela1107[[#This Row],[PIS]]+Tabela1107[[#This Row],[COFINS]]+Tabela1107[[#This Row],[CONTRIB. FOLHA]]+Tabela1107[[#This Row],[TRIBUTOS S/ LUCRO]]+Tabela1107[[#This Row],[OUTROS]]+Tabela1107[[#This Row],[MG]]</f>
        <v>25.740000000000002</v>
      </c>
      <c r="BL399" s="97">
        <f>+Tabela1107[[#This Row],[PIS]]+Tabela1107[[#This Row],[COFINS]]+Tabela1107[[#This Row],[CONTRIB. FOLHA]]+Tabela1107[[#This Row],[TRIBUTOS S/ LUCRO]]+Tabela1107[[#This Row],[OUTROS]]+Tabela1107[[#This Row],[ES]]</f>
        <v>24.740000000000002</v>
      </c>
      <c r="BM399" s="97">
        <f>+Tabela1107[[#This Row],[PIS]]+Tabela1107[[#This Row],[COFINS]]+Tabela1107[[#This Row],[CONTRIB. FOLHA]]+Tabela1107[[#This Row],[TRIBUTOS S/ LUCRO]]+Tabela1107[[#This Row],[OUTROS]]+Tabela1107[[#This Row],[GO]]</f>
        <v>24.740000000000002</v>
      </c>
      <c r="BN399" s="97">
        <f>+Tabela1107[[#This Row],[PIS]]+Tabela1107[[#This Row],[COFINS]]+Tabela1107[[#This Row],[CONTRIB. FOLHA]]+Tabela1107[[#This Row],[TRIBUTOS S/ LUCRO]]+Tabela1107[[#This Row],[OUTROS]]+Tabela1107[[#This Row],[MT]]</f>
        <v>24.740000000000002</v>
      </c>
      <c r="BO399" s="97">
        <f>+Tabela1107[[#This Row],[PIS]]+Tabela1107[[#This Row],[COFINS]]+Tabela1107[[#This Row],[CONTRIB. FOLHA]]+Tabela1107[[#This Row],[TRIBUTOS S/ LUCRO]]+Tabela1107[[#This Row],[OUTROS]]+Tabela1107[[#This Row],[MS]]</f>
        <v>24.740000000000002</v>
      </c>
      <c r="BP399" s="97">
        <f>+Tabela1107[[#This Row],[PIS]]+Tabela1107[[#This Row],[COFINS]]+Tabela1107[[#This Row],[CONTRIB. FOLHA]]+Tabela1107[[#This Row],[TRIBUTOS S/ LUCRO]]+Tabela1107[[#This Row],[OUTROS]]+Tabela1107[[#This Row],[DF]]</f>
        <v>24.740000000000002</v>
      </c>
      <c r="BQ399" s="97">
        <f>+Tabela1107[[#This Row],[PIS]]+Tabela1107[[#This Row],[COFINS]]+Tabela1107[[#This Row],[CONTRIB. FOLHA]]+Tabela1107[[#This Row],[TRIBUTOS S/ LUCRO]]+Tabela1107[[#This Row],[OUTROS]]+Tabela1107[[#This Row],[BA]]</f>
        <v>24.740000000000002</v>
      </c>
      <c r="BR399" s="97">
        <f>+Tabela1107[[#This Row],[PIS]]+Tabela1107[[#This Row],[COFINS]]+Tabela1107[[#This Row],[CONTRIB. FOLHA]]+Tabela1107[[#This Row],[TRIBUTOS S/ LUCRO]]+Tabela1107[[#This Row],[OUTROS]]+Tabela1107[[#This Row],[BA]]</f>
        <v>24.740000000000002</v>
      </c>
      <c r="BS399" s="97">
        <f>+Tabela1107[[#This Row],[PIS]]+Tabela1107[[#This Row],[COFINS]]+Tabela1107[[#This Row],[CONTRIB. FOLHA]]+Tabela1107[[#This Row],[TRIBUTOS S/ LUCRO]]+Tabela1107[[#This Row],[OUTROS]]+Tabela1107[[#This Row],[PE]]</f>
        <v>24.740000000000002</v>
      </c>
      <c r="BT399" s="97">
        <f>+Tabela1107[[#This Row],[PIS]]+Tabela1107[[#This Row],[COFINS]]+Tabela1107[[#This Row],[CONTRIB. FOLHA]]+Tabela1107[[#This Row],[TRIBUTOS S/ LUCRO]]+Tabela1107[[#This Row],[OUTROS]]+Tabela1107[[#This Row],[PA]]</f>
        <v>24.740000000000002</v>
      </c>
      <c r="BU399" s="97">
        <f>+Tabela1107[[#This Row],[PIS]]+Tabela1107[[#This Row],[COFINS]]+Tabela1107[[#This Row],[CONTRIB. FOLHA]]+Tabela1107[[#This Row],[TRIBUTOS S/ LUCRO]]+Tabela1107[[#This Row],[OUTROS]]+Tabela1107[[#This Row],[AM]]</f>
        <v>24.740000000000002</v>
      </c>
      <c r="BV399" s="97">
        <f>AVERAGE(Tabela1107[[#This Row],[TOTAL SP]:[TOTAL AM]])</f>
        <v>24.677500000000006</v>
      </c>
      <c r="BW399" s="97"/>
      <c r="BX399" s="97"/>
    </row>
    <row r="400" spans="2:76" x14ac:dyDescent="0.25">
      <c r="B400" s="89">
        <v>6909</v>
      </c>
      <c r="C400" s="91" t="s">
        <v>13013</v>
      </c>
      <c r="D400" s="89"/>
      <c r="E400" s="89">
        <v>20140626</v>
      </c>
      <c r="F400" s="89" t="s">
        <v>20805</v>
      </c>
      <c r="G400" s="89" t="s">
        <v>20806</v>
      </c>
      <c r="H400" s="89" t="s">
        <v>20807</v>
      </c>
      <c r="I400" s="89" t="s">
        <v>20804</v>
      </c>
      <c r="J400" s="89" t="s">
        <v>268</v>
      </c>
      <c r="K400" s="99" t="s">
        <v>2515</v>
      </c>
      <c r="L400" s="89" t="s">
        <v>2693</v>
      </c>
      <c r="M400" s="89" t="s">
        <v>4496</v>
      </c>
      <c r="N400" s="89" t="s">
        <v>4496</v>
      </c>
      <c r="O400" s="89" t="s">
        <v>4496</v>
      </c>
      <c r="P400" s="89" t="s">
        <v>4496</v>
      </c>
      <c r="Q400" s="89"/>
      <c r="R400" s="89" t="s">
        <v>72</v>
      </c>
      <c r="S400" s="89" t="s">
        <v>21626</v>
      </c>
      <c r="T400" s="89" t="s">
        <v>21627</v>
      </c>
      <c r="U400" s="89" t="str">
        <f>TRIM('Carga Tributária doenças Po (2'!$L400)</f>
        <v>SINVASTATINA</v>
      </c>
      <c r="V400" s="89">
        <f>SUMIFS('Tabela Federal'!$E$4:$E$2069,'Tabela Federal'!$D$4:$D$2069,'Carga Tributária doenças Po (2'!$L400)</f>
        <v>5</v>
      </c>
      <c r="W400" s="89">
        <f>SUMIFS('Tabela Federal'!$E$4:$E$2069,'Tabela Federal'!$D$4:$D$2069,'Carga Tributária doenças Po (2'!$M400)</f>
        <v>0</v>
      </c>
      <c r="X400" s="89">
        <f>SUMIFS('Tabela Federal'!$E$4:$E$2069,'Tabela Federal'!$D$4:$D$2069,'Carga Tributária doenças Po (2'!$N400)</f>
        <v>0</v>
      </c>
      <c r="Y400" s="89">
        <f>SUMIFS('Tabela Federal'!$E$4:$E$2069,'Tabela Federal'!$D$4:$D$2069,'Carga Tributária doenças Po (2'!$O400)</f>
        <v>0</v>
      </c>
      <c r="Z400" s="92" t="str">
        <f>VLOOKUP('Carga Tributária doenças Po (2'!$AD400,'Carga Tributária doenças Po (2'!$CA$12:$CC$16,2,0)</f>
        <v>+</v>
      </c>
      <c r="AA400" s="89" t="s">
        <v>256</v>
      </c>
      <c r="AB400" s="89" t="s">
        <v>21763</v>
      </c>
      <c r="AC400" s="89" t="s">
        <v>21721</v>
      </c>
      <c r="AD400" s="93" t="s">
        <v>21722</v>
      </c>
      <c r="AE400" s="92" t="s">
        <v>2</v>
      </c>
      <c r="AF400" s="92" t="s">
        <v>3</v>
      </c>
      <c r="AG400" s="94">
        <v>1018409</v>
      </c>
      <c r="AH400" s="95">
        <v>13397263</v>
      </c>
      <c r="AI400" s="95">
        <v>30572637.300000001</v>
      </c>
      <c r="AJ400" s="89" t="s">
        <v>269</v>
      </c>
      <c r="AK400" s="89">
        <f>IF('Carga Tributária doenças Po (2'!$Z400="+",0,SUMIFS(PISCOFINS!$I$3:$I$10518,PISCOFINS!$C$3:$C$10518,'Carga Tributária doenças Po (2'!$C400))</f>
        <v>0</v>
      </c>
      <c r="AL400" s="89">
        <f>IF('Carga Tributária doenças Po (2'!$Z400="+",0,SUMIFS(PISCOFINS!$H$3:$H$10518,PISCOFINS!$C$3:$C$10518,'Carga Tributária doenças Po (2'!$C400))</f>
        <v>0</v>
      </c>
      <c r="AM400" s="95">
        <v>3.27</v>
      </c>
      <c r="AN400" s="95">
        <v>3.12</v>
      </c>
      <c r="AO400" s="95">
        <v>1.35</v>
      </c>
      <c r="AP400" s="96">
        <v>18</v>
      </c>
      <c r="AQ400" s="96">
        <v>12</v>
      </c>
      <c r="AR400" s="96">
        <v>17</v>
      </c>
      <c r="AS400" s="97">
        <v>17</v>
      </c>
      <c r="AT400" s="97">
        <v>19</v>
      </c>
      <c r="AU400" s="97">
        <v>18</v>
      </c>
      <c r="AV400" s="97">
        <v>17</v>
      </c>
      <c r="AW400" s="97">
        <v>17</v>
      </c>
      <c r="AX400" s="97">
        <v>17</v>
      </c>
      <c r="AY400" s="97">
        <v>17</v>
      </c>
      <c r="AZ400" s="97">
        <v>17</v>
      </c>
      <c r="BA400" s="97">
        <v>17</v>
      </c>
      <c r="BB400" s="97">
        <v>17</v>
      </c>
      <c r="BC400" s="97">
        <v>17</v>
      </c>
      <c r="BD400" s="97">
        <v>17</v>
      </c>
      <c r="BE400" s="97">
        <v>17</v>
      </c>
      <c r="BF400" s="97">
        <f>+Tabela1107[[#This Row],[PIS]]+Tabela1107[[#This Row],[COFINS]]+Tabela1107[[#This Row],[CONTRIB. FOLHA]]+Tabela1107[[#This Row],[TRIBUTOS S/ LUCRO]]+Tabela1107[[#This Row],[OUTROS]]+Tabela1107[[#This Row],[SP]]</f>
        <v>25.740000000000002</v>
      </c>
      <c r="BG400" s="97">
        <f>+Tabela1107[[#This Row],[PIS]]+Tabela1107[[#This Row],[COFINS]]+Tabela1107[[#This Row],[CONTRIB. FOLHA]]+Tabela1107[[#This Row],[TRIBUTOS S/ LUCRO]]+Tabela1107[[#This Row],[OUTROS]]+Tabela1107[[#This Row],[PR]]</f>
        <v>19.740000000000002</v>
      </c>
      <c r="BH400" s="97">
        <f>+Tabela1107[[#This Row],[PIS]]+Tabela1107[[#This Row],[COFINS]]+Tabela1107[[#This Row],[CONTRIB. FOLHA]]+Tabela1107[[#This Row],[TRIBUTOS S/ LUCRO]]+Tabela1107[[#This Row],[OUTROS]]+Tabela1107[[#This Row],[SC]]</f>
        <v>24.740000000000002</v>
      </c>
      <c r="BI400" s="97">
        <f>+Tabela1107[[#This Row],[PIS]]+Tabela1107[[#This Row],[COFINS]]+Tabela1107[[#This Row],[CONTRIB. FOLHA]]+Tabela1107[[#This Row],[TRIBUTOS S/ LUCRO]]+Tabela1107[[#This Row],[OUTROS]]+Tabela1107[[#This Row],[RS]]</f>
        <v>24.740000000000002</v>
      </c>
      <c r="BJ400" s="97">
        <f>+Tabela1107[[#This Row],[PIS]]+Tabela1107[[#This Row],[COFINS]]+Tabela1107[[#This Row],[CONTRIB. FOLHA]]+Tabela1107[[#This Row],[TRIBUTOS S/ LUCRO]]+Tabela1107[[#This Row],[OUTROS]]+Tabela1107[[#This Row],[RJ]]</f>
        <v>26.740000000000002</v>
      </c>
      <c r="BK400" s="97">
        <f>+Tabela1107[[#This Row],[PIS]]+Tabela1107[[#This Row],[COFINS]]+Tabela1107[[#This Row],[CONTRIB. FOLHA]]+Tabela1107[[#This Row],[TRIBUTOS S/ LUCRO]]+Tabela1107[[#This Row],[OUTROS]]+Tabela1107[[#This Row],[MG]]</f>
        <v>25.740000000000002</v>
      </c>
      <c r="BL400" s="97">
        <f>+Tabela1107[[#This Row],[PIS]]+Tabela1107[[#This Row],[COFINS]]+Tabela1107[[#This Row],[CONTRIB. FOLHA]]+Tabela1107[[#This Row],[TRIBUTOS S/ LUCRO]]+Tabela1107[[#This Row],[OUTROS]]+Tabela1107[[#This Row],[ES]]</f>
        <v>24.740000000000002</v>
      </c>
      <c r="BM400" s="97">
        <f>+Tabela1107[[#This Row],[PIS]]+Tabela1107[[#This Row],[COFINS]]+Tabela1107[[#This Row],[CONTRIB. FOLHA]]+Tabela1107[[#This Row],[TRIBUTOS S/ LUCRO]]+Tabela1107[[#This Row],[OUTROS]]+Tabela1107[[#This Row],[GO]]</f>
        <v>24.740000000000002</v>
      </c>
      <c r="BN400" s="97">
        <f>+Tabela1107[[#This Row],[PIS]]+Tabela1107[[#This Row],[COFINS]]+Tabela1107[[#This Row],[CONTRIB. FOLHA]]+Tabela1107[[#This Row],[TRIBUTOS S/ LUCRO]]+Tabela1107[[#This Row],[OUTROS]]+Tabela1107[[#This Row],[MT]]</f>
        <v>24.740000000000002</v>
      </c>
      <c r="BO400" s="97">
        <f>+Tabela1107[[#This Row],[PIS]]+Tabela1107[[#This Row],[COFINS]]+Tabela1107[[#This Row],[CONTRIB. FOLHA]]+Tabela1107[[#This Row],[TRIBUTOS S/ LUCRO]]+Tabela1107[[#This Row],[OUTROS]]+Tabela1107[[#This Row],[MS]]</f>
        <v>24.740000000000002</v>
      </c>
      <c r="BP400" s="97">
        <f>+Tabela1107[[#This Row],[PIS]]+Tabela1107[[#This Row],[COFINS]]+Tabela1107[[#This Row],[CONTRIB. FOLHA]]+Tabela1107[[#This Row],[TRIBUTOS S/ LUCRO]]+Tabela1107[[#This Row],[OUTROS]]+Tabela1107[[#This Row],[DF]]</f>
        <v>24.740000000000002</v>
      </c>
      <c r="BQ400" s="97">
        <f>+Tabela1107[[#This Row],[PIS]]+Tabela1107[[#This Row],[COFINS]]+Tabela1107[[#This Row],[CONTRIB. FOLHA]]+Tabela1107[[#This Row],[TRIBUTOS S/ LUCRO]]+Tabela1107[[#This Row],[OUTROS]]+Tabela1107[[#This Row],[BA]]</f>
        <v>24.740000000000002</v>
      </c>
      <c r="BR400" s="97">
        <f>+Tabela1107[[#This Row],[PIS]]+Tabela1107[[#This Row],[COFINS]]+Tabela1107[[#This Row],[CONTRIB. FOLHA]]+Tabela1107[[#This Row],[TRIBUTOS S/ LUCRO]]+Tabela1107[[#This Row],[OUTROS]]+Tabela1107[[#This Row],[BA]]</f>
        <v>24.740000000000002</v>
      </c>
      <c r="BS400" s="97">
        <f>+Tabela1107[[#This Row],[PIS]]+Tabela1107[[#This Row],[COFINS]]+Tabela1107[[#This Row],[CONTRIB. FOLHA]]+Tabela1107[[#This Row],[TRIBUTOS S/ LUCRO]]+Tabela1107[[#This Row],[OUTROS]]+Tabela1107[[#This Row],[PE]]</f>
        <v>24.740000000000002</v>
      </c>
      <c r="BT400" s="97">
        <f>+Tabela1107[[#This Row],[PIS]]+Tabela1107[[#This Row],[COFINS]]+Tabela1107[[#This Row],[CONTRIB. FOLHA]]+Tabela1107[[#This Row],[TRIBUTOS S/ LUCRO]]+Tabela1107[[#This Row],[OUTROS]]+Tabela1107[[#This Row],[PA]]</f>
        <v>24.740000000000002</v>
      </c>
      <c r="BU400" s="97">
        <f>+Tabela1107[[#This Row],[PIS]]+Tabela1107[[#This Row],[COFINS]]+Tabela1107[[#This Row],[CONTRIB. FOLHA]]+Tabela1107[[#This Row],[TRIBUTOS S/ LUCRO]]+Tabela1107[[#This Row],[OUTROS]]+Tabela1107[[#This Row],[AM]]</f>
        <v>24.740000000000002</v>
      </c>
      <c r="BV400" s="97">
        <f>AVERAGE(Tabela1107[[#This Row],[TOTAL SP]:[TOTAL AM]])</f>
        <v>24.677500000000006</v>
      </c>
      <c r="BW400" s="97"/>
      <c r="BX400" s="97"/>
    </row>
    <row r="401" spans="2:76" x14ac:dyDescent="0.25">
      <c r="B401" s="89">
        <v>6919</v>
      </c>
      <c r="C401" s="91" t="s">
        <v>13168</v>
      </c>
      <c r="D401" s="89"/>
      <c r="E401" s="89">
        <v>20140626</v>
      </c>
      <c r="F401" s="89" t="s">
        <v>20801</v>
      </c>
      <c r="G401" s="89" t="s">
        <v>20802</v>
      </c>
      <c r="H401" s="89" t="s">
        <v>20803</v>
      </c>
      <c r="I401" s="89" t="s">
        <v>20804</v>
      </c>
      <c r="J401" s="89" t="s">
        <v>258</v>
      </c>
      <c r="K401" s="99" t="s">
        <v>2515</v>
      </c>
      <c r="L401" s="89" t="s">
        <v>2693</v>
      </c>
      <c r="M401" s="89" t="s">
        <v>4496</v>
      </c>
      <c r="N401" s="89" t="s">
        <v>4496</v>
      </c>
      <c r="O401" s="89" t="s">
        <v>4496</v>
      </c>
      <c r="P401" s="89" t="s">
        <v>4496</v>
      </c>
      <c r="Q401" s="89"/>
      <c r="R401" s="89" t="s">
        <v>72</v>
      </c>
      <c r="S401" s="89" t="s">
        <v>21626</v>
      </c>
      <c r="T401" s="89" t="s">
        <v>21627</v>
      </c>
      <c r="U401" s="89" t="str">
        <f>TRIM('Carga Tributária doenças Po (2'!$L401)</f>
        <v>SINVASTATINA</v>
      </c>
      <c r="V401" s="89">
        <f>SUMIFS('Tabela Federal'!$E$4:$E$2069,'Tabela Federal'!$D$4:$D$2069,'Carga Tributária doenças Po (2'!$L401)</f>
        <v>5</v>
      </c>
      <c r="W401" s="89">
        <f>SUMIFS('Tabela Federal'!$E$4:$E$2069,'Tabela Federal'!$D$4:$D$2069,'Carga Tributária doenças Po (2'!$M401)</f>
        <v>0</v>
      </c>
      <c r="X401" s="89">
        <f>SUMIFS('Tabela Federal'!$E$4:$E$2069,'Tabela Federal'!$D$4:$D$2069,'Carga Tributária doenças Po (2'!$N401)</f>
        <v>0</v>
      </c>
      <c r="Y401" s="89">
        <f>SUMIFS('Tabela Federal'!$E$4:$E$2069,'Tabela Federal'!$D$4:$D$2069,'Carga Tributária doenças Po (2'!$O401)</f>
        <v>0</v>
      </c>
      <c r="Z401" s="92" t="str">
        <f>VLOOKUP('Carga Tributária doenças Po (2'!$AD401,'Carga Tributária doenças Po (2'!$CA$12:$CC$16,2,0)</f>
        <v>+</v>
      </c>
      <c r="AA401" s="89" t="s">
        <v>256</v>
      </c>
      <c r="AB401" s="89" t="s">
        <v>21763</v>
      </c>
      <c r="AC401" s="89" t="s">
        <v>21721</v>
      </c>
      <c r="AD401" s="93" t="s">
        <v>21722</v>
      </c>
      <c r="AE401" s="92" t="s">
        <v>2</v>
      </c>
      <c r="AF401" s="92" t="s">
        <v>3</v>
      </c>
      <c r="AG401" s="94">
        <v>2722632</v>
      </c>
      <c r="AH401" s="95">
        <v>25202766</v>
      </c>
      <c r="AI401" s="95">
        <v>57501985.530000001</v>
      </c>
      <c r="AJ401" s="89" t="s">
        <v>269</v>
      </c>
      <c r="AK401" s="89">
        <f>IF('Carga Tributária doenças Po (2'!$Z401="+",0,SUMIFS(PISCOFINS!$I$3:$I$10518,PISCOFINS!$C$3:$C$10518,'Carga Tributária doenças Po (2'!$C401))</f>
        <v>0</v>
      </c>
      <c r="AL401" s="89">
        <f>IF('Carga Tributária doenças Po (2'!$Z401="+",0,SUMIFS(PISCOFINS!$H$3:$H$10518,PISCOFINS!$C$3:$C$10518,'Carga Tributária doenças Po (2'!$C401))</f>
        <v>0</v>
      </c>
      <c r="AM401" s="95">
        <v>3.27</v>
      </c>
      <c r="AN401" s="95">
        <v>3.12</v>
      </c>
      <c r="AO401" s="95">
        <v>1.35</v>
      </c>
      <c r="AP401" s="96">
        <v>18</v>
      </c>
      <c r="AQ401" s="96">
        <v>12</v>
      </c>
      <c r="AR401" s="96">
        <v>17</v>
      </c>
      <c r="AS401" s="97">
        <v>17</v>
      </c>
      <c r="AT401" s="97">
        <v>19</v>
      </c>
      <c r="AU401" s="97">
        <v>18</v>
      </c>
      <c r="AV401" s="97">
        <v>17</v>
      </c>
      <c r="AW401" s="97">
        <v>17</v>
      </c>
      <c r="AX401" s="97">
        <v>17</v>
      </c>
      <c r="AY401" s="97">
        <v>17</v>
      </c>
      <c r="AZ401" s="97">
        <v>17</v>
      </c>
      <c r="BA401" s="97">
        <v>17</v>
      </c>
      <c r="BB401" s="97">
        <v>17</v>
      </c>
      <c r="BC401" s="97">
        <v>17</v>
      </c>
      <c r="BD401" s="97">
        <v>17</v>
      </c>
      <c r="BE401" s="97">
        <v>17</v>
      </c>
      <c r="BF401" s="97">
        <f>+Tabela1107[[#This Row],[PIS]]+Tabela1107[[#This Row],[COFINS]]+Tabela1107[[#This Row],[CONTRIB. FOLHA]]+Tabela1107[[#This Row],[TRIBUTOS S/ LUCRO]]+Tabela1107[[#This Row],[OUTROS]]+Tabela1107[[#This Row],[SP]]</f>
        <v>25.740000000000002</v>
      </c>
      <c r="BG401" s="97">
        <f>+Tabela1107[[#This Row],[PIS]]+Tabela1107[[#This Row],[COFINS]]+Tabela1107[[#This Row],[CONTRIB. FOLHA]]+Tabela1107[[#This Row],[TRIBUTOS S/ LUCRO]]+Tabela1107[[#This Row],[OUTROS]]+Tabela1107[[#This Row],[PR]]</f>
        <v>19.740000000000002</v>
      </c>
      <c r="BH401" s="97">
        <f>+Tabela1107[[#This Row],[PIS]]+Tabela1107[[#This Row],[COFINS]]+Tabela1107[[#This Row],[CONTRIB. FOLHA]]+Tabela1107[[#This Row],[TRIBUTOS S/ LUCRO]]+Tabela1107[[#This Row],[OUTROS]]+Tabela1107[[#This Row],[SC]]</f>
        <v>24.740000000000002</v>
      </c>
      <c r="BI401" s="97">
        <f>+Tabela1107[[#This Row],[PIS]]+Tabela1107[[#This Row],[COFINS]]+Tabela1107[[#This Row],[CONTRIB. FOLHA]]+Tabela1107[[#This Row],[TRIBUTOS S/ LUCRO]]+Tabela1107[[#This Row],[OUTROS]]+Tabela1107[[#This Row],[RS]]</f>
        <v>24.740000000000002</v>
      </c>
      <c r="BJ401" s="97">
        <f>+Tabela1107[[#This Row],[PIS]]+Tabela1107[[#This Row],[COFINS]]+Tabela1107[[#This Row],[CONTRIB. FOLHA]]+Tabela1107[[#This Row],[TRIBUTOS S/ LUCRO]]+Tabela1107[[#This Row],[OUTROS]]+Tabela1107[[#This Row],[RJ]]</f>
        <v>26.740000000000002</v>
      </c>
      <c r="BK401" s="97">
        <f>+Tabela1107[[#This Row],[PIS]]+Tabela1107[[#This Row],[COFINS]]+Tabela1107[[#This Row],[CONTRIB. FOLHA]]+Tabela1107[[#This Row],[TRIBUTOS S/ LUCRO]]+Tabela1107[[#This Row],[OUTROS]]+Tabela1107[[#This Row],[MG]]</f>
        <v>25.740000000000002</v>
      </c>
      <c r="BL401" s="97">
        <f>+Tabela1107[[#This Row],[PIS]]+Tabela1107[[#This Row],[COFINS]]+Tabela1107[[#This Row],[CONTRIB. FOLHA]]+Tabela1107[[#This Row],[TRIBUTOS S/ LUCRO]]+Tabela1107[[#This Row],[OUTROS]]+Tabela1107[[#This Row],[ES]]</f>
        <v>24.740000000000002</v>
      </c>
      <c r="BM401" s="97">
        <f>+Tabela1107[[#This Row],[PIS]]+Tabela1107[[#This Row],[COFINS]]+Tabela1107[[#This Row],[CONTRIB. FOLHA]]+Tabela1107[[#This Row],[TRIBUTOS S/ LUCRO]]+Tabela1107[[#This Row],[OUTROS]]+Tabela1107[[#This Row],[GO]]</f>
        <v>24.740000000000002</v>
      </c>
      <c r="BN401" s="97">
        <f>+Tabela1107[[#This Row],[PIS]]+Tabela1107[[#This Row],[COFINS]]+Tabela1107[[#This Row],[CONTRIB. FOLHA]]+Tabela1107[[#This Row],[TRIBUTOS S/ LUCRO]]+Tabela1107[[#This Row],[OUTROS]]+Tabela1107[[#This Row],[MT]]</f>
        <v>24.740000000000002</v>
      </c>
      <c r="BO401" s="97">
        <f>+Tabela1107[[#This Row],[PIS]]+Tabela1107[[#This Row],[COFINS]]+Tabela1107[[#This Row],[CONTRIB. FOLHA]]+Tabela1107[[#This Row],[TRIBUTOS S/ LUCRO]]+Tabela1107[[#This Row],[OUTROS]]+Tabela1107[[#This Row],[MS]]</f>
        <v>24.740000000000002</v>
      </c>
      <c r="BP401" s="97">
        <f>+Tabela1107[[#This Row],[PIS]]+Tabela1107[[#This Row],[COFINS]]+Tabela1107[[#This Row],[CONTRIB. FOLHA]]+Tabela1107[[#This Row],[TRIBUTOS S/ LUCRO]]+Tabela1107[[#This Row],[OUTROS]]+Tabela1107[[#This Row],[DF]]</f>
        <v>24.740000000000002</v>
      </c>
      <c r="BQ401" s="97">
        <f>+Tabela1107[[#This Row],[PIS]]+Tabela1107[[#This Row],[COFINS]]+Tabela1107[[#This Row],[CONTRIB. FOLHA]]+Tabela1107[[#This Row],[TRIBUTOS S/ LUCRO]]+Tabela1107[[#This Row],[OUTROS]]+Tabela1107[[#This Row],[BA]]</f>
        <v>24.740000000000002</v>
      </c>
      <c r="BR401" s="97">
        <f>+Tabela1107[[#This Row],[PIS]]+Tabela1107[[#This Row],[COFINS]]+Tabela1107[[#This Row],[CONTRIB. FOLHA]]+Tabela1107[[#This Row],[TRIBUTOS S/ LUCRO]]+Tabela1107[[#This Row],[OUTROS]]+Tabela1107[[#This Row],[BA]]</f>
        <v>24.740000000000002</v>
      </c>
      <c r="BS401" s="97">
        <f>+Tabela1107[[#This Row],[PIS]]+Tabela1107[[#This Row],[COFINS]]+Tabela1107[[#This Row],[CONTRIB. FOLHA]]+Tabela1107[[#This Row],[TRIBUTOS S/ LUCRO]]+Tabela1107[[#This Row],[OUTROS]]+Tabela1107[[#This Row],[PE]]</f>
        <v>24.740000000000002</v>
      </c>
      <c r="BT401" s="97">
        <f>+Tabela1107[[#This Row],[PIS]]+Tabela1107[[#This Row],[COFINS]]+Tabela1107[[#This Row],[CONTRIB. FOLHA]]+Tabela1107[[#This Row],[TRIBUTOS S/ LUCRO]]+Tabela1107[[#This Row],[OUTROS]]+Tabela1107[[#This Row],[PA]]</f>
        <v>24.740000000000002</v>
      </c>
      <c r="BU401" s="97">
        <f>+Tabela1107[[#This Row],[PIS]]+Tabela1107[[#This Row],[COFINS]]+Tabela1107[[#This Row],[CONTRIB. FOLHA]]+Tabela1107[[#This Row],[TRIBUTOS S/ LUCRO]]+Tabela1107[[#This Row],[OUTROS]]+Tabela1107[[#This Row],[AM]]</f>
        <v>24.740000000000002</v>
      </c>
      <c r="BV401" s="97">
        <f>AVERAGE(Tabela1107[[#This Row],[TOTAL SP]:[TOTAL AM]])</f>
        <v>24.677500000000006</v>
      </c>
      <c r="BW401" s="97"/>
      <c r="BX401" s="97"/>
    </row>
    <row r="402" spans="2:76" x14ac:dyDescent="0.25">
      <c r="B402" s="89">
        <v>6962</v>
      </c>
      <c r="C402" s="91" t="s">
        <v>13038</v>
      </c>
      <c r="D402" s="89"/>
      <c r="E402" s="89">
        <v>20140626</v>
      </c>
      <c r="F402" s="89" t="s">
        <v>21322</v>
      </c>
      <c r="G402" s="89" t="s">
        <v>21323</v>
      </c>
      <c r="H402" s="89" t="s">
        <v>21324</v>
      </c>
      <c r="I402" s="89" t="s">
        <v>21325</v>
      </c>
      <c r="J402" s="89" t="s">
        <v>257</v>
      </c>
      <c r="K402" s="99" t="s">
        <v>2515</v>
      </c>
      <c r="L402" s="89" t="s">
        <v>2693</v>
      </c>
      <c r="M402" s="89" t="s">
        <v>4496</v>
      </c>
      <c r="N402" s="89" t="s">
        <v>4496</v>
      </c>
      <c r="O402" s="89" t="s">
        <v>4496</v>
      </c>
      <c r="P402" s="89" t="s">
        <v>4496</v>
      </c>
      <c r="Q402" s="89"/>
      <c r="R402" s="89" t="s">
        <v>103</v>
      </c>
      <c r="S402" s="89" t="s">
        <v>21690</v>
      </c>
      <c r="T402" s="89" t="s">
        <v>21691</v>
      </c>
      <c r="U402" s="89" t="str">
        <f>TRIM('Carga Tributária doenças Po (2'!$L402)</f>
        <v>SINVASTATINA</v>
      </c>
      <c r="V402" s="89">
        <f>SUMIFS('Tabela Federal'!$E$4:$E$2069,'Tabela Federal'!$D$4:$D$2069,'Carga Tributária doenças Po (2'!$L402)</f>
        <v>5</v>
      </c>
      <c r="W402" s="89">
        <f>SUMIFS('Tabela Federal'!$E$4:$E$2069,'Tabela Federal'!$D$4:$D$2069,'Carga Tributária doenças Po (2'!$M402)</f>
        <v>0</v>
      </c>
      <c r="X402" s="89">
        <f>SUMIFS('Tabela Federal'!$E$4:$E$2069,'Tabela Federal'!$D$4:$D$2069,'Carga Tributária doenças Po (2'!$N402)</f>
        <v>0</v>
      </c>
      <c r="Y402" s="89">
        <f>SUMIFS('Tabela Federal'!$E$4:$E$2069,'Tabela Federal'!$D$4:$D$2069,'Carga Tributária doenças Po (2'!$O402)</f>
        <v>0</v>
      </c>
      <c r="Z402" s="92" t="str">
        <f>VLOOKUP('Carga Tributária doenças Po (2'!$AD402,'Carga Tributária doenças Po (2'!$CA$12:$CC$16,2,0)</f>
        <v>+</v>
      </c>
      <c r="AA402" s="89" t="s">
        <v>256</v>
      </c>
      <c r="AB402" s="89" t="s">
        <v>21763</v>
      </c>
      <c r="AC402" s="89" t="s">
        <v>21721</v>
      </c>
      <c r="AD402" s="93" t="s">
        <v>21722</v>
      </c>
      <c r="AE402" s="92" t="s">
        <v>2</v>
      </c>
      <c r="AF402" s="92" t="s">
        <v>3</v>
      </c>
      <c r="AG402" s="94">
        <v>3556487</v>
      </c>
      <c r="AH402" s="95">
        <v>30437051</v>
      </c>
      <c r="AI402" s="95">
        <v>69501054.420000002</v>
      </c>
      <c r="AJ402" s="89" t="s">
        <v>269</v>
      </c>
      <c r="AK402" s="89">
        <f>IF('Carga Tributária doenças Po (2'!$Z402="+",0,SUMIFS(PISCOFINS!$I$3:$I$10518,PISCOFINS!$C$3:$C$10518,'Carga Tributária doenças Po (2'!$C402))</f>
        <v>0</v>
      </c>
      <c r="AL402" s="89">
        <f>IF('Carga Tributária doenças Po (2'!$Z402="+",0,SUMIFS(PISCOFINS!$H$3:$H$10518,PISCOFINS!$C$3:$C$10518,'Carga Tributária doenças Po (2'!$C402))</f>
        <v>0</v>
      </c>
      <c r="AM402" s="95">
        <v>3.27</v>
      </c>
      <c r="AN402" s="95">
        <v>3.12</v>
      </c>
      <c r="AO402" s="95">
        <v>1.35</v>
      </c>
      <c r="AP402" s="96">
        <v>18</v>
      </c>
      <c r="AQ402" s="96">
        <v>12</v>
      </c>
      <c r="AR402" s="96">
        <v>17</v>
      </c>
      <c r="AS402" s="97">
        <v>17</v>
      </c>
      <c r="AT402" s="97">
        <v>19</v>
      </c>
      <c r="AU402" s="97">
        <v>18</v>
      </c>
      <c r="AV402" s="97">
        <v>17</v>
      </c>
      <c r="AW402" s="97">
        <v>17</v>
      </c>
      <c r="AX402" s="97">
        <v>17</v>
      </c>
      <c r="AY402" s="97">
        <v>17</v>
      </c>
      <c r="AZ402" s="97">
        <v>17</v>
      </c>
      <c r="BA402" s="97">
        <v>17</v>
      </c>
      <c r="BB402" s="97">
        <v>17</v>
      </c>
      <c r="BC402" s="97">
        <v>17</v>
      </c>
      <c r="BD402" s="97">
        <v>17</v>
      </c>
      <c r="BE402" s="97">
        <v>17</v>
      </c>
      <c r="BF402" s="97">
        <f>+Tabela1107[[#This Row],[PIS]]+Tabela1107[[#This Row],[COFINS]]+Tabela1107[[#This Row],[CONTRIB. FOLHA]]+Tabela1107[[#This Row],[TRIBUTOS S/ LUCRO]]+Tabela1107[[#This Row],[OUTROS]]+Tabela1107[[#This Row],[SP]]</f>
        <v>25.740000000000002</v>
      </c>
      <c r="BG402" s="97">
        <f>+Tabela1107[[#This Row],[PIS]]+Tabela1107[[#This Row],[COFINS]]+Tabela1107[[#This Row],[CONTRIB. FOLHA]]+Tabela1107[[#This Row],[TRIBUTOS S/ LUCRO]]+Tabela1107[[#This Row],[OUTROS]]+Tabela1107[[#This Row],[PR]]</f>
        <v>19.740000000000002</v>
      </c>
      <c r="BH402" s="97">
        <f>+Tabela1107[[#This Row],[PIS]]+Tabela1107[[#This Row],[COFINS]]+Tabela1107[[#This Row],[CONTRIB. FOLHA]]+Tabela1107[[#This Row],[TRIBUTOS S/ LUCRO]]+Tabela1107[[#This Row],[OUTROS]]+Tabela1107[[#This Row],[SC]]</f>
        <v>24.740000000000002</v>
      </c>
      <c r="BI402" s="97">
        <f>+Tabela1107[[#This Row],[PIS]]+Tabela1107[[#This Row],[COFINS]]+Tabela1107[[#This Row],[CONTRIB. FOLHA]]+Tabela1107[[#This Row],[TRIBUTOS S/ LUCRO]]+Tabela1107[[#This Row],[OUTROS]]+Tabela1107[[#This Row],[RS]]</f>
        <v>24.740000000000002</v>
      </c>
      <c r="BJ402" s="97">
        <f>+Tabela1107[[#This Row],[PIS]]+Tabela1107[[#This Row],[COFINS]]+Tabela1107[[#This Row],[CONTRIB. FOLHA]]+Tabela1107[[#This Row],[TRIBUTOS S/ LUCRO]]+Tabela1107[[#This Row],[OUTROS]]+Tabela1107[[#This Row],[RJ]]</f>
        <v>26.740000000000002</v>
      </c>
      <c r="BK402" s="97">
        <f>+Tabela1107[[#This Row],[PIS]]+Tabela1107[[#This Row],[COFINS]]+Tabela1107[[#This Row],[CONTRIB. FOLHA]]+Tabela1107[[#This Row],[TRIBUTOS S/ LUCRO]]+Tabela1107[[#This Row],[OUTROS]]+Tabela1107[[#This Row],[MG]]</f>
        <v>25.740000000000002</v>
      </c>
      <c r="BL402" s="97">
        <f>+Tabela1107[[#This Row],[PIS]]+Tabela1107[[#This Row],[COFINS]]+Tabela1107[[#This Row],[CONTRIB. FOLHA]]+Tabela1107[[#This Row],[TRIBUTOS S/ LUCRO]]+Tabela1107[[#This Row],[OUTROS]]+Tabela1107[[#This Row],[ES]]</f>
        <v>24.740000000000002</v>
      </c>
      <c r="BM402" s="97">
        <f>+Tabela1107[[#This Row],[PIS]]+Tabela1107[[#This Row],[COFINS]]+Tabela1107[[#This Row],[CONTRIB. FOLHA]]+Tabela1107[[#This Row],[TRIBUTOS S/ LUCRO]]+Tabela1107[[#This Row],[OUTROS]]+Tabela1107[[#This Row],[GO]]</f>
        <v>24.740000000000002</v>
      </c>
      <c r="BN402" s="97">
        <f>+Tabela1107[[#This Row],[PIS]]+Tabela1107[[#This Row],[COFINS]]+Tabela1107[[#This Row],[CONTRIB. FOLHA]]+Tabela1107[[#This Row],[TRIBUTOS S/ LUCRO]]+Tabela1107[[#This Row],[OUTROS]]+Tabela1107[[#This Row],[MT]]</f>
        <v>24.740000000000002</v>
      </c>
      <c r="BO402" s="97">
        <f>+Tabela1107[[#This Row],[PIS]]+Tabela1107[[#This Row],[COFINS]]+Tabela1107[[#This Row],[CONTRIB. FOLHA]]+Tabela1107[[#This Row],[TRIBUTOS S/ LUCRO]]+Tabela1107[[#This Row],[OUTROS]]+Tabela1107[[#This Row],[MS]]</f>
        <v>24.740000000000002</v>
      </c>
      <c r="BP402" s="97">
        <f>+Tabela1107[[#This Row],[PIS]]+Tabela1107[[#This Row],[COFINS]]+Tabela1107[[#This Row],[CONTRIB. FOLHA]]+Tabela1107[[#This Row],[TRIBUTOS S/ LUCRO]]+Tabela1107[[#This Row],[OUTROS]]+Tabela1107[[#This Row],[DF]]</f>
        <v>24.740000000000002</v>
      </c>
      <c r="BQ402" s="97">
        <f>+Tabela1107[[#This Row],[PIS]]+Tabela1107[[#This Row],[COFINS]]+Tabela1107[[#This Row],[CONTRIB. FOLHA]]+Tabela1107[[#This Row],[TRIBUTOS S/ LUCRO]]+Tabela1107[[#This Row],[OUTROS]]+Tabela1107[[#This Row],[BA]]</f>
        <v>24.740000000000002</v>
      </c>
      <c r="BR402" s="97">
        <f>+Tabela1107[[#This Row],[PIS]]+Tabela1107[[#This Row],[COFINS]]+Tabela1107[[#This Row],[CONTRIB. FOLHA]]+Tabela1107[[#This Row],[TRIBUTOS S/ LUCRO]]+Tabela1107[[#This Row],[OUTROS]]+Tabela1107[[#This Row],[BA]]</f>
        <v>24.740000000000002</v>
      </c>
      <c r="BS402" s="97">
        <f>+Tabela1107[[#This Row],[PIS]]+Tabela1107[[#This Row],[COFINS]]+Tabela1107[[#This Row],[CONTRIB. FOLHA]]+Tabela1107[[#This Row],[TRIBUTOS S/ LUCRO]]+Tabela1107[[#This Row],[OUTROS]]+Tabela1107[[#This Row],[PE]]</f>
        <v>24.740000000000002</v>
      </c>
      <c r="BT402" s="97">
        <f>+Tabela1107[[#This Row],[PIS]]+Tabela1107[[#This Row],[COFINS]]+Tabela1107[[#This Row],[CONTRIB. FOLHA]]+Tabela1107[[#This Row],[TRIBUTOS S/ LUCRO]]+Tabela1107[[#This Row],[OUTROS]]+Tabela1107[[#This Row],[PA]]</f>
        <v>24.740000000000002</v>
      </c>
      <c r="BU402" s="97">
        <f>+Tabela1107[[#This Row],[PIS]]+Tabela1107[[#This Row],[COFINS]]+Tabela1107[[#This Row],[CONTRIB. FOLHA]]+Tabela1107[[#This Row],[TRIBUTOS S/ LUCRO]]+Tabela1107[[#This Row],[OUTROS]]+Tabela1107[[#This Row],[AM]]</f>
        <v>24.740000000000002</v>
      </c>
      <c r="BV402" s="97">
        <f>AVERAGE(Tabela1107[[#This Row],[TOTAL SP]:[TOTAL AM]])</f>
        <v>24.677500000000006</v>
      </c>
      <c r="BW402" s="97"/>
      <c r="BX402" s="97"/>
    </row>
    <row r="403" spans="2:76" x14ac:dyDescent="0.25">
      <c r="B403" s="89">
        <v>5993</v>
      </c>
      <c r="C403" s="91" t="s">
        <v>13183</v>
      </c>
      <c r="D403" s="89"/>
      <c r="E403" s="89">
        <v>20140626</v>
      </c>
      <c r="F403" s="89" t="s">
        <v>20578</v>
      </c>
      <c r="G403" s="89" t="s">
        <v>20579</v>
      </c>
      <c r="H403" s="89" t="s">
        <v>20580</v>
      </c>
      <c r="I403" s="89" t="s">
        <v>20581</v>
      </c>
      <c r="J403" s="89" t="s">
        <v>262</v>
      </c>
      <c r="K403" s="99" t="s">
        <v>2515</v>
      </c>
      <c r="L403" s="89" t="s">
        <v>2693</v>
      </c>
      <c r="M403" s="89" t="s">
        <v>4496</v>
      </c>
      <c r="N403" s="89" t="s">
        <v>4496</v>
      </c>
      <c r="O403" s="89" t="s">
        <v>4496</v>
      </c>
      <c r="P403" s="89" t="s">
        <v>4496</v>
      </c>
      <c r="Q403" s="89"/>
      <c r="R403" s="89" t="s">
        <v>213</v>
      </c>
      <c r="S403" s="89" t="s">
        <v>21606</v>
      </c>
      <c r="T403" s="89" t="s">
        <v>21607</v>
      </c>
      <c r="U403" s="89" t="str">
        <f>TRIM('Carga Tributária doenças Po (2'!$L403)</f>
        <v>SINVASTATINA</v>
      </c>
      <c r="V403" s="89">
        <f>SUMIFS('Tabela Federal'!$E$4:$E$2069,'Tabela Federal'!$D$4:$D$2069,'Carga Tributária doenças Po (2'!$L403)</f>
        <v>5</v>
      </c>
      <c r="W403" s="89">
        <f>SUMIFS('Tabela Federal'!$E$4:$E$2069,'Tabela Federal'!$D$4:$D$2069,'Carga Tributária doenças Po (2'!$M403)</f>
        <v>0</v>
      </c>
      <c r="X403" s="89">
        <f>SUMIFS('Tabela Federal'!$E$4:$E$2069,'Tabela Federal'!$D$4:$D$2069,'Carga Tributária doenças Po (2'!$N403)</f>
        <v>0</v>
      </c>
      <c r="Y403" s="89">
        <f>SUMIFS('Tabela Federal'!$E$4:$E$2069,'Tabela Federal'!$D$4:$D$2069,'Carga Tributária doenças Po (2'!$O403)</f>
        <v>0</v>
      </c>
      <c r="Z403" s="92" t="str">
        <f>VLOOKUP('Carga Tributária doenças Po (2'!$AD403,'Carga Tributária doenças Po (2'!$CA$12:$CC$16,2,0)</f>
        <v>+</v>
      </c>
      <c r="AA403" s="89" t="s">
        <v>256</v>
      </c>
      <c r="AB403" s="89" t="s">
        <v>21763</v>
      </c>
      <c r="AC403" s="89" t="s">
        <v>21721</v>
      </c>
      <c r="AD403" s="93" t="s">
        <v>21722</v>
      </c>
      <c r="AE403" s="92" t="s">
        <v>2</v>
      </c>
      <c r="AF403" s="92" t="s">
        <v>3</v>
      </c>
      <c r="AG403" s="94">
        <v>1143111</v>
      </c>
      <c r="AH403" s="95">
        <v>9602637</v>
      </c>
      <c r="AI403" s="95">
        <v>21915139.780000001</v>
      </c>
      <c r="AJ403" s="89" t="s">
        <v>269</v>
      </c>
      <c r="AK403" s="89">
        <f>IF('Carga Tributária doenças Po (2'!$Z403="+",0,SUMIFS(PISCOFINS!$I$3:$I$10518,PISCOFINS!$C$3:$C$10518,'Carga Tributária doenças Po (2'!$C403))</f>
        <v>0</v>
      </c>
      <c r="AL403" s="89">
        <f>IF('Carga Tributária doenças Po (2'!$Z403="+",0,SUMIFS(PISCOFINS!$H$3:$H$10518,PISCOFINS!$C$3:$C$10518,'Carga Tributária doenças Po (2'!$C403))</f>
        <v>0</v>
      </c>
      <c r="AM403" s="95">
        <v>3.27</v>
      </c>
      <c r="AN403" s="95">
        <v>3.12</v>
      </c>
      <c r="AO403" s="95">
        <v>1.35</v>
      </c>
      <c r="AP403" s="96">
        <v>18</v>
      </c>
      <c r="AQ403" s="96">
        <v>12</v>
      </c>
      <c r="AR403" s="96">
        <v>17</v>
      </c>
      <c r="AS403" s="97">
        <v>17</v>
      </c>
      <c r="AT403" s="97">
        <v>19</v>
      </c>
      <c r="AU403" s="97">
        <v>18</v>
      </c>
      <c r="AV403" s="97">
        <v>17</v>
      </c>
      <c r="AW403" s="97">
        <v>17</v>
      </c>
      <c r="AX403" s="97">
        <v>17</v>
      </c>
      <c r="AY403" s="97">
        <v>17</v>
      </c>
      <c r="AZ403" s="97">
        <v>17</v>
      </c>
      <c r="BA403" s="97">
        <v>17</v>
      </c>
      <c r="BB403" s="97">
        <v>17</v>
      </c>
      <c r="BC403" s="97">
        <v>17</v>
      </c>
      <c r="BD403" s="97">
        <v>17</v>
      </c>
      <c r="BE403" s="97">
        <v>17</v>
      </c>
      <c r="BF403" s="97">
        <f>+Tabela1107[[#This Row],[PIS]]+Tabela1107[[#This Row],[COFINS]]+Tabela1107[[#This Row],[CONTRIB. FOLHA]]+Tabela1107[[#This Row],[TRIBUTOS S/ LUCRO]]+Tabela1107[[#This Row],[OUTROS]]+Tabela1107[[#This Row],[SP]]</f>
        <v>25.740000000000002</v>
      </c>
      <c r="BG403" s="97">
        <f>+Tabela1107[[#This Row],[PIS]]+Tabela1107[[#This Row],[COFINS]]+Tabela1107[[#This Row],[CONTRIB. FOLHA]]+Tabela1107[[#This Row],[TRIBUTOS S/ LUCRO]]+Tabela1107[[#This Row],[OUTROS]]+Tabela1107[[#This Row],[PR]]</f>
        <v>19.740000000000002</v>
      </c>
      <c r="BH403" s="97">
        <f>+Tabela1107[[#This Row],[PIS]]+Tabela1107[[#This Row],[COFINS]]+Tabela1107[[#This Row],[CONTRIB. FOLHA]]+Tabela1107[[#This Row],[TRIBUTOS S/ LUCRO]]+Tabela1107[[#This Row],[OUTROS]]+Tabela1107[[#This Row],[SC]]</f>
        <v>24.740000000000002</v>
      </c>
      <c r="BI403" s="97">
        <f>+Tabela1107[[#This Row],[PIS]]+Tabela1107[[#This Row],[COFINS]]+Tabela1107[[#This Row],[CONTRIB. FOLHA]]+Tabela1107[[#This Row],[TRIBUTOS S/ LUCRO]]+Tabela1107[[#This Row],[OUTROS]]+Tabela1107[[#This Row],[RS]]</f>
        <v>24.740000000000002</v>
      </c>
      <c r="BJ403" s="97">
        <f>+Tabela1107[[#This Row],[PIS]]+Tabela1107[[#This Row],[COFINS]]+Tabela1107[[#This Row],[CONTRIB. FOLHA]]+Tabela1107[[#This Row],[TRIBUTOS S/ LUCRO]]+Tabela1107[[#This Row],[OUTROS]]+Tabela1107[[#This Row],[RJ]]</f>
        <v>26.740000000000002</v>
      </c>
      <c r="BK403" s="97">
        <f>+Tabela1107[[#This Row],[PIS]]+Tabela1107[[#This Row],[COFINS]]+Tabela1107[[#This Row],[CONTRIB. FOLHA]]+Tabela1107[[#This Row],[TRIBUTOS S/ LUCRO]]+Tabela1107[[#This Row],[OUTROS]]+Tabela1107[[#This Row],[MG]]</f>
        <v>25.740000000000002</v>
      </c>
      <c r="BL403" s="97">
        <f>+Tabela1107[[#This Row],[PIS]]+Tabela1107[[#This Row],[COFINS]]+Tabela1107[[#This Row],[CONTRIB. FOLHA]]+Tabela1107[[#This Row],[TRIBUTOS S/ LUCRO]]+Tabela1107[[#This Row],[OUTROS]]+Tabela1107[[#This Row],[ES]]</f>
        <v>24.740000000000002</v>
      </c>
      <c r="BM403" s="97">
        <f>+Tabela1107[[#This Row],[PIS]]+Tabela1107[[#This Row],[COFINS]]+Tabela1107[[#This Row],[CONTRIB. FOLHA]]+Tabela1107[[#This Row],[TRIBUTOS S/ LUCRO]]+Tabela1107[[#This Row],[OUTROS]]+Tabela1107[[#This Row],[GO]]</f>
        <v>24.740000000000002</v>
      </c>
      <c r="BN403" s="97">
        <f>+Tabela1107[[#This Row],[PIS]]+Tabela1107[[#This Row],[COFINS]]+Tabela1107[[#This Row],[CONTRIB. FOLHA]]+Tabela1107[[#This Row],[TRIBUTOS S/ LUCRO]]+Tabela1107[[#This Row],[OUTROS]]+Tabela1107[[#This Row],[MT]]</f>
        <v>24.740000000000002</v>
      </c>
      <c r="BO403" s="97">
        <f>+Tabela1107[[#This Row],[PIS]]+Tabela1107[[#This Row],[COFINS]]+Tabela1107[[#This Row],[CONTRIB. FOLHA]]+Tabela1107[[#This Row],[TRIBUTOS S/ LUCRO]]+Tabela1107[[#This Row],[OUTROS]]+Tabela1107[[#This Row],[MS]]</f>
        <v>24.740000000000002</v>
      </c>
      <c r="BP403" s="97">
        <f>+Tabela1107[[#This Row],[PIS]]+Tabela1107[[#This Row],[COFINS]]+Tabela1107[[#This Row],[CONTRIB. FOLHA]]+Tabela1107[[#This Row],[TRIBUTOS S/ LUCRO]]+Tabela1107[[#This Row],[OUTROS]]+Tabela1107[[#This Row],[DF]]</f>
        <v>24.740000000000002</v>
      </c>
      <c r="BQ403" s="97">
        <f>+Tabela1107[[#This Row],[PIS]]+Tabela1107[[#This Row],[COFINS]]+Tabela1107[[#This Row],[CONTRIB. FOLHA]]+Tabela1107[[#This Row],[TRIBUTOS S/ LUCRO]]+Tabela1107[[#This Row],[OUTROS]]+Tabela1107[[#This Row],[BA]]</f>
        <v>24.740000000000002</v>
      </c>
      <c r="BR403" s="97">
        <f>+Tabela1107[[#This Row],[PIS]]+Tabela1107[[#This Row],[COFINS]]+Tabela1107[[#This Row],[CONTRIB. FOLHA]]+Tabela1107[[#This Row],[TRIBUTOS S/ LUCRO]]+Tabela1107[[#This Row],[OUTROS]]+Tabela1107[[#This Row],[BA]]</f>
        <v>24.740000000000002</v>
      </c>
      <c r="BS403" s="97">
        <f>+Tabela1107[[#This Row],[PIS]]+Tabela1107[[#This Row],[COFINS]]+Tabela1107[[#This Row],[CONTRIB. FOLHA]]+Tabela1107[[#This Row],[TRIBUTOS S/ LUCRO]]+Tabela1107[[#This Row],[OUTROS]]+Tabela1107[[#This Row],[PE]]</f>
        <v>24.740000000000002</v>
      </c>
      <c r="BT403" s="97">
        <f>+Tabela1107[[#This Row],[PIS]]+Tabela1107[[#This Row],[COFINS]]+Tabela1107[[#This Row],[CONTRIB. FOLHA]]+Tabela1107[[#This Row],[TRIBUTOS S/ LUCRO]]+Tabela1107[[#This Row],[OUTROS]]+Tabela1107[[#This Row],[PA]]</f>
        <v>24.740000000000002</v>
      </c>
      <c r="BU403" s="97">
        <f>+Tabela1107[[#This Row],[PIS]]+Tabela1107[[#This Row],[COFINS]]+Tabela1107[[#This Row],[CONTRIB. FOLHA]]+Tabela1107[[#This Row],[TRIBUTOS S/ LUCRO]]+Tabela1107[[#This Row],[OUTROS]]+Tabela1107[[#This Row],[AM]]</f>
        <v>24.740000000000002</v>
      </c>
      <c r="BV403" s="97">
        <f>AVERAGE(Tabela1107[[#This Row],[TOTAL SP]:[TOTAL AM]])</f>
        <v>24.677500000000006</v>
      </c>
      <c r="BW403" s="97"/>
      <c r="BX403" s="97"/>
    </row>
    <row r="404" spans="2:76" x14ac:dyDescent="0.25">
      <c r="B404" s="89">
        <v>6968</v>
      </c>
      <c r="C404" s="91" t="s">
        <v>13159</v>
      </c>
      <c r="D404" s="89"/>
      <c r="E404" s="89">
        <v>20140626</v>
      </c>
      <c r="F404" s="89" t="s">
        <v>20702</v>
      </c>
      <c r="G404" s="89" t="s">
        <v>20703</v>
      </c>
      <c r="H404" s="98" t="s">
        <v>21965</v>
      </c>
      <c r="I404" s="89" t="s">
        <v>2693</v>
      </c>
      <c r="J404" s="89" t="s">
        <v>255</v>
      </c>
      <c r="K404" s="99" t="s">
        <v>2515</v>
      </c>
      <c r="L404" s="89" t="s">
        <v>2693</v>
      </c>
      <c r="M404" s="89" t="s">
        <v>4496</v>
      </c>
      <c r="N404" s="89" t="s">
        <v>4496</v>
      </c>
      <c r="O404" s="89" t="s">
        <v>4496</v>
      </c>
      <c r="P404" s="89" t="s">
        <v>4496</v>
      </c>
      <c r="Q404" s="89"/>
      <c r="R404" s="89" t="s">
        <v>29</v>
      </c>
      <c r="S404" s="89" t="s">
        <v>21616</v>
      </c>
      <c r="T404" s="89" t="s">
        <v>21617</v>
      </c>
      <c r="U404" s="89" t="str">
        <f>TRIM('Carga Tributária doenças Po (2'!$L404)</f>
        <v>SINVASTATINA</v>
      </c>
      <c r="V404" s="89">
        <f>SUMIFS('Tabela Federal'!$E$4:$E$2069,'Tabela Federal'!$D$4:$D$2069,'Carga Tributária doenças Po (2'!$L404)</f>
        <v>5</v>
      </c>
      <c r="W404" s="89">
        <f>SUMIFS('Tabela Federal'!$E$4:$E$2069,'Tabela Federal'!$D$4:$D$2069,'Carga Tributária doenças Po (2'!$M404)</f>
        <v>0</v>
      </c>
      <c r="X404" s="89">
        <f>SUMIFS('Tabela Federal'!$E$4:$E$2069,'Tabela Federal'!$D$4:$D$2069,'Carga Tributária doenças Po (2'!$N404)</f>
        <v>0</v>
      </c>
      <c r="Y404" s="89">
        <f>SUMIFS('Tabela Federal'!$E$4:$E$2069,'Tabela Federal'!$D$4:$D$2069,'Carga Tributária doenças Po (2'!$O404)</f>
        <v>0</v>
      </c>
      <c r="Z404" s="92" t="str">
        <f>VLOOKUP('Carga Tributária doenças Po (2'!$AD404,'Carga Tributária doenças Po (2'!$CA$12:$CC$16,2,0)</f>
        <v>+</v>
      </c>
      <c r="AA404" s="89" t="s">
        <v>256</v>
      </c>
      <c r="AB404" s="89" t="s">
        <v>21763</v>
      </c>
      <c r="AC404" s="89" t="s">
        <v>21721</v>
      </c>
      <c r="AD404" s="93" t="s">
        <v>21722</v>
      </c>
      <c r="AE404" s="92" t="s">
        <v>2</v>
      </c>
      <c r="AF404" s="92" t="s">
        <v>10</v>
      </c>
      <c r="AG404" s="94">
        <v>1405723</v>
      </c>
      <c r="AH404" s="95">
        <v>26967894</v>
      </c>
      <c r="AI404" s="95">
        <v>61555904.729999997</v>
      </c>
      <c r="AJ404" s="89" t="s">
        <v>269</v>
      </c>
      <c r="AK404" s="89">
        <f>IF('Carga Tributária doenças Po (2'!$Z404="+",0,SUMIFS(PISCOFINS!$I$3:$I$10518,PISCOFINS!$C$3:$C$10518,'Carga Tributária doenças Po (2'!$C404))</f>
        <v>0</v>
      </c>
      <c r="AL404" s="89">
        <f>IF('Carga Tributária doenças Po (2'!$Z404="+",0,SUMIFS(PISCOFINS!$H$3:$H$10518,PISCOFINS!$C$3:$C$10518,'Carga Tributária doenças Po (2'!$C404))</f>
        <v>0</v>
      </c>
      <c r="AM404" s="95">
        <v>3.27</v>
      </c>
      <c r="AN404" s="95">
        <v>3.12</v>
      </c>
      <c r="AO404" s="95">
        <v>1.35</v>
      </c>
      <c r="AP404" s="96">
        <v>18</v>
      </c>
      <c r="AQ404" s="96">
        <v>12</v>
      </c>
      <c r="AR404" s="96">
        <v>17</v>
      </c>
      <c r="AS404" s="97">
        <v>17</v>
      </c>
      <c r="AT404" s="97">
        <v>19</v>
      </c>
      <c r="AU404" s="97">
        <v>12</v>
      </c>
      <c r="AV404" s="97">
        <v>17</v>
      </c>
      <c r="AW404" s="97">
        <v>17</v>
      </c>
      <c r="AX404" s="97">
        <v>17</v>
      </c>
      <c r="AY404" s="97">
        <v>17</v>
      </c>
      <c r="AZ404" s="97">
        <v>17</v>
      </c>
      <c r="BA404" s="97">
        <v>17</v>
      </c>
      <c r="BB404" s="97">
        <v>17</v>
      </c>
      <c r="BC404" s="97">
        <v>17</v>
      </c>
      <c r="BD404" s="97">
        <v>17</v>
      </c>
      <c r="BE404" s="97">
        <v>17</v>
      </c>
      <c r="BF404" s="97">
        <f>+Tabela1107[[#This Row],[PIS]]+Tabela1107[[#This Row],[COFINS]]+Tabela1107[[#This Row],[CONTRIB. FOLHA]]+Tabela1107[[#This Row],[TRIBUTOS S/ LUCRO]]+Tabela1107[[#This Row],[OUTROS]]+Tabela1107[[#This Row],[SP]]</f>
        <v>25.740000000000002</v>
      </c>
      <c r="BG404" s="97">
        <f>+Tabela1107[[#This Row],[PIS]]+Tabela1107[[#This Row],[COFINS]]+Tabela1107[[#This Row],[CONTRIB. FOLHA]]+Tabela1107[[#This Row],[TRIBUTOS S/ LUCRO]]+Tabela1107[[#This Row],[OUTROS]]+Tabela1107[[#This Row],[PR]]</f>
        <v>19.740000000000002</v>
      </c>
      <c r="BH404" s="97">
        <f>+Tabela1107[[#This Row],[PIS]]+Tabela1107[[#This Row],[COFINS]]+Tabela1107[[#This Row],[CONTRIB. FOLHA]]+Tabela1107[[#This Row],[TRIBUTOS S/ LUCRO]]+Tabela1107[[#This Row],[OUTROS]]+Tabela1107[[#This Row],[SC]]</f>
        <v>24.740000000000002</v>
      </c>
      <c r="BI404" s="97">
        <f>+Tabela1107[[#This Row],[PIS]]+Tabela1107[[#This Row],[COFINS]]+Tabela1107[[#This Row],[CONTRIB. FOLHA]]+Tabela1107[[#This Row],[TRIBUTOS S/ LUCRO]]+Tabela1107[[#This Row],[OUTROS]]+Tabela1107[[#This Row],[RS]]</f>
        <v>24.740000000000002</v>
      </c>
      <c r="BJ404" s="97">
        <f>+Tabela1107[[#This Row],[PIS]]+Tabela1107[[#This Row],[COFINS]]+Tabela1107[[#This Row],[CONTRIB. FOLHA]]+Tabela1107[[#This Row],[TRIBUTOS S/ LUCRO]]+Tabela1107[[#This Row],[OUTROS]]+Tabela1107[[#This Row],[RJ]]</f>
        <v>26.740000000000002</v>
      </c>
      <c r="BK404" s="97">
        <f>+Tabela1107[[#This Row],[PIS]]+Tabela1107[[#This Row],[COFINS]]+Tabela1107[[#This Row],[CONTRIB. FOLHA]]+Tabela1107[[#This Row],[TRIBUTOS S/ LUCRO]]+Tabela1107[[#This Row],[OUTROS]]+Tabela1107[[#This Row],[MG]]</f>
        <v>19.740000000000002</v>
      </c>
      <c r="BL404" s="97">
        <f>+Tabela1107[[#This Row],[PIS]]+Tabela1107[[#This Row],[COFINS]]+Tabela1107[[#This Row],[CONTRIB. FOLHA]]+Tabela1107[[#This Row],[TRIBUTOS S/ LUCRO]]+Tabela1107[[#This Row],[OUTROS]]+Tabela1107[[#This Row],[ES]]</f>
        <v>24.740000000000002</v>
      </c>
      <c r="BM404" s="97">
        <f>+Tabela1107[[#This Row],[PIS]]+Tabela1107[[#This Row],[COFINS]]+Tabela1107[[#This Row],[CONTRIB. FOLHA]]+Tabela1107[[#This Row],[TRIBUTOS S/ LUCRO]]+Tabela1107[[#This Row],[OUTROS]]+Tabela1107[[#This Row],[GO]]</f>
        <v>24.740000000000002</v>
      </c>
      <c r="BN404" s="97">
        <f>+Tabela1107[[#This Row],[PIS]]+Tabela1107[[#This Row],[COFINS]]+Tabela1107[[#This Row],[CONTRIB. FOLHA]]+Tabela1107[[#This Row],[TRIBUTOS S/ LUCRO]]+Tabela1107[[#This Row],[OUTROS]]+Tabela1107[[#This Row],[MT]]</f>
        <v>24.740000000000002</v>
      </c>
      <c r="BO404" s="97">
        <f>+Tabela1107[[#This Row],[PIS]]+Tabela1107[[#This Row],[COFINS]]+Tabela1107[[#This Row],[CONTRIB. FOLHA]]+Tabela1107[[#This Row],[TRIBUTOS S/ LUCRO]]+Tabela1107[[#This Row],[OUTROS]]+Tabela1107[[#This Row],[MS]]</f>
        <v>24.740000000000002</v>
      </c>
      <c r="BP404" s="97">
        <f>+Tabela1107[[#This Row],[PIS]]+Tabela1107[[#This Row],[COFINS]]+Tabela1107[[#This Row],[CONTRIB. FOLHA]]+Tabela1107[[#This Row],[TRIBUTOS S/ LUCRO]]+Tabela1107[[#This Row],[OUTROS]]+Tabela1107[[#This Row],[DF]]</f>
        <v>24.740000000000002</v>
      </c>
      <c r="BQ404" s="97">
        <f>+Tabela1107[[#This Row],[PIS]]+Tabela1107[[#This Row],[COFINS]]+Tabela1107[[#This Row],[CONTRIB. FOLHA]]+Tabela1107[[#This Row],[TRIBUTOS S/ LUCRO]]+Tabela1107[[#This Row],[OUTROS]]+Tabela1107[[#This Row],[BA]]</f>
        <v>24.740000000000002</v>
      </c>
      <c r="BR404" s="97">
        <f>+Tabela1107[[#This Row],[PIS]]+Tabela1107[[#This Row],[COFINS]]+Tabela1107[[#This Row],[CONTRIB. FOLHA]]+Tabela1107[[#This Row],[TRIBUTOS S/ LUCRO]]+Tabela1107[[#This Row],[OUTROS]]+Tabela1107[[#This Row],[BA]]</f>
        <v>24.740000000000002</v>
      </c>
      <c r="BS404" s="97">
        <f>+Tabela1107[[#This Row],[PIS]]+Tabela1107[[#This Row],[COFINS]]+Tabela1107[[#This Row],[CONTRIB. FOLHA]]+Tabela1107[[#This Row],[TRIBUTOS S/ LUCRO]]+Tabela1107[[#This Row],[OUTROS]]+Tabela1107[[#This Row],[PE]]</f>
        <v>24.740000000000002</v>
      </c>
      <c r="BT404" s="97">
        <f>+Tabela1107[[#This Row],[PIS]]+Tabela1107[[#This Row],[COFINS]]+Tabela1107[[#This Row],[CONTRIB. FOLHA]]+Tabela1107[[#This Row],[TRIBUTOS S/ LUCRO]]+Tabela1107[[#This Row],[OUTROS]]+Tabela1107[[#This Row],[PA]]</f>
        <v>24.740000000000002</v>
      </c>
      <c r="BU404" s="97">
        <f>+Tabela1107[[#This Row],[PIS]]+Tabela1107[[#This Row],[COFINS]]+Tabela1107[[#This Row],[CONTRIB. FOLHA]]+Tabela1107[[#This Row],[TRIBUTOS S/ LUCRO]]+Tabela1107[[#This Row],[OUTROS]]+Tabela1107[[#This Row],[AM]]</f>
        <v>24.740000000000002</v>
      </c>
      <c r="BV404" s="97">
        <f>AVERAGE(Tabela1107[[#This Row],[TOTAL SP]:[TOTAL AM]])</f>
        <v>24.302500000000006</v>
      </c>
      <c r="BW404" s="97"/>
      <c r="BX404" s="97"/>
    </row>
    <row r="405" spans="2:76" x14ac:dyDescent="0.25">
      <c r="B405" s="89">
        <v>6976</v>
      </c>
      <c r="C405" s="91" t="s">
        <v>13159</v>
      </c>
      <c r="D405" s="89"/>
      <c r="E405" s="89">
        <v>20140626</v>
      </c>
      <c r="F405" s="89" t="s">
        <v>21329</v>
      </c>
      <c r="G405" s="89" t="s">
        <v>21330</v>
      </c>
      <c r="H405" s="89" t="s">
        <v>21331</v>
      </c>
      <c r="I405" s="89" t="s">
        <v>2693</v>
      </c>
      <c r="J405" s="89" t="s">
        <v>259</v>
      </c>
      <c r="K405" s="99" t="s">
        <v>2515</v>
      </c>
      <c r="L405" s="89" t="s">
        <v>2693</v>
      </c>
      <c r="M405" s="89" t="s">
        <v>4496</v>
      </c>
      <c r="N405" s="89" t="s">
        <v>4496</v>
      </c>
      <c r="O405" s="89" t="s">
        <v>4496</v>
      </c>
      <c r="P405" s="89" t="s">
        <v>4496</v>
      </c>
      <c r="Q405" s="89"/>
      <c r="R405" s="89" t="s">
        <v>103</v>
      </c>
      <c r="S405" s="89" t="s">
        <v>21690</v>
      </c>
      <c r="T405" s="89" t="s">
        <v>21691</v>
      </c>
      <c r="U405" s="89" t="str">
        <f>TRIM('Carga Tributária doenças Po (2'!$L405)</f>
        <v>SINVASTATINA</v>
      </c>
      <c r="V405" s="89">
        <f>SUMIFS('Tabela Federal'!$E$4:$E$2069,'Tabela Federal'!$D$4:$D$2069,'Carga Tributária doenças Po (2'!$L405)</f>
        <v>5</v>
      </c>
      <c r="W405" s="89">
        <f>SUMIFS('Tabela Federal'!$E$4:$E$2069,'Tabela Federal'!$D$4:$D$2069,'Carga Tributária doenças Po (2'!$M405)</f>
        <v>0</v>
      </c>
      <c r="X405" s="89">
        <f>SUMIFS('Tabela Federal'!$E$4:$E$2069,'Tabela Federal'!$D$4:$D$2069,'Carga Tributária doenças Po (2'!$N405)</f>
        <v>0</v>
      </c>
      <c r="Y405" s="89">
        <f>SUMIFS('Tabela Federal'!$E$4:$E$2069,'Tabela Federal'!$D$4:$D$2069,'Carga Tributária doenças Po (2'!$O405)</f>
        <v>0</v>
      </c>
      <c r="Z405" s="92" t="str">
        <f>VLOOKUP('Carga Tributária doenças Po (2'!$AD405,'Carga Tributária doenças Po (2'!$CA$12:$CC$16,2,0)</f>
        <v>+</v>
      </c>
      <c r="AA405" s="89" t="s">
        <v>256</v>
      </c>
      <c r="AB405" s="89" t="s">
        <v>21763</v>
      </c>
      <c r="AC405" s="89" t="s">
        <v>21721</v>
      </c>
      <c r="AD405" s="93" t="s">
        <v>21722</v>
      </c>
      <c r="AE405" s="92" t="s">
        <v>2</v>
      </c>
      <c r="AF405" s="92" t="s">
        <v>10</v>
      </c>
      <c r="AG405" s="94">
        <v>1821528</v>
      </c>
      <c r="AH405" s="95">
        <v>47587236</v>
      </c>
      <c r="AI405" s="95">
        <v>108684792.28</v>
      </c>
      <c r="AJ405" s="89" t="s">
        <v>269</v>
      </c>
      <c r="AK405" s="89">
        <f>IF('Carga Tributária doenças Po (2'!$Z405="+",0,SUMIFS(PISCOFINS!$I$3:$I$10518,PISCOFINS!$C$3:$C$10518,'Carga Tributária doenças Po (2'!$C405))</f>
        <v>0</v>
      </c>
      <c r="AL405" s="89">
        <f>IF('Carga Tributária doenças Po (2'!$Z405="+",0,SUMIFS(PISCOFINS!$H$3:$H$10518,PISCOFINS!$C$3:$C$10518,'Carga Tributária doenças Po (2'!$C405))</f>
        <v>0</v>
      </c>
      <c r="AM405" s="95">
        <v>3.27</v>
      </c>
      <c r="AN405" s="95">
        <v>3.12</v>
      </c>
      <c r="AO405" s="95">
        <v>1.35</v>
      </c>
      <c r="AP405" s="96">
        <v>18</v>
      </c>
      <c r="AQ405" s="96">
        <v>12</v>
      </c>
      <c r="AR405" s="96">
        <v>17</v>
      </c>
      <c r="AS405" s="97">
        <v>17</v>
      </c>
      <c r="AT405" s="97">
        <v>19</v>
      </c>
      <c r="AU405" s="97">
        <v>12</v>
      </c>
      <c r="AV405" s="97">
        <v>17</v>
      </c>
      <c r="AW405" s="97">
        <v>17</v>
      </c>
      <c r="AX405" s="97">
        <v>17</v>
      </c>
      <c r="AY405" s="97">
        <v>17</v>
      </c>
      <c r="AZ405" s="97">
        <v>17</v>
      </c>
      <c r="BA405" s="97">
        <v>17</v>
      </c>
      <c r="BB405" s="97">
        <v>17</v>
      </c>
      <c r="BC405" s="97">
        <v>17</v>
      </c>
      <c r="BD405" s="97">
        <v>17</v>
      </c>
      <c r="BE405" s="97">
        <v>17</v>
      </c>
      <c r="BF405" s="97">
        <f>+Tabela1107[[#This Row],[PIS]]+Tabela1107[[#This Row],[COFINS]]+Tabela1107[[#This Row],[CONTRIB. FOLHA]]+Tabela1107[[#This Row],[TRIBUTOS S/ LUCRO]]+Tabela1107[[#This Row],[OUTROS]]+Tabela1107[[#This Row],[SP]]</f>
        <v>25.740000000000002</v>
      </c>
      <c r="BG405" s="97">
        <f>+Tabela1107[[#This Row],[PIS]]+Tabela1107[[#This Row],[COFINS]]+Tabela1107[[#This Row],[CONTRIB. FOLHA]]+Tabela1107[[#This Row],[TRIBUTOS S/ LUCRO]]+Tabela1107[[#This Row],[OUTROS]]+Tabela1107[[#This Row],[PR]]</f>
        <v>19.740000000000002</v>
      </c>
      <c r="BH405" s="97">
        <f>+Tabela1107[[#This Row],[PIS]]+Tabela1107[[#This Row],[COFINS]]+Tabela1107[[#This Row],[CONTRIB. FOLHA]]+Tabela1107[[#This Row],[TRIBUTOS S/ LUCRO]]+Tabela1107[[#This Row],[OUTROS]]+Tabela1107[[#This Row],[SC]]</f>
        <v>24.740000000000002</v>
      </c>
      <c r="BI405" s="97">
        <f>+Tabela1107[[#This Row],[PIS]]+Tabela1107[[#This Row],[COFINS]]+Tabela1107[[#This Row],[CONTRIB. FOLHA]]+Tabela1107[[#This Row],[TRIBUTOS S/ LUCRO]]+Tabela1107[[#This Row],[OUTROS]]+Tabela1107[[#This Row],[RS]]</f>
        <v>24.740000000000002</v>
      </c>
      <c r="BJ405" s="97">
        <f>+Tabela1107[[#This Row],[PIS]]+Tabela1107[[#This Row],[COFINS]]+Tabela1107[[#This Row],[CONTRIB. FOLHA]]+Tabela1107[[#This Row],[TRIBUTOS S/ LUCRO]]+Tabela1107[[#This Row],[OUTROS]]+Tabela1107[[#This Row],[RJ]]</f>
        <v>26.740000000000002</v>
      </c>
      <c r="BK405" s="97">
        <f>+Tabela1107[[#This Row],[PIS]]+Tabela1107[[#This Row],[COFINS]]+Tabela1107[[#This Row],[CONTRIB. FOLHA]]+Tabela1107[[#This Row],[TRIBUTOS S/ LUCRO]]+Tabela1107[[#This Row],[OUTROS]]+Tabela1107[[#This Row],[MG]]</f>
        <v>19.740000000000002</v>
      </c>
      <c r="BL405" s="97">
        <f>+Tabela1107[[#This Row],[PIS]]+Tabela1107[[#This Row],[COFINS]]+Tabela1107[[#This Row],[CONTRIB. FOLHA]]+Tabela1107[[#This Row],[TRIBUTOS S/ LUCRO]]+Tabela1107[[#This Row],[OUTROS]]+Tabela1107[[#This Row],[ES]]</f>
        <v>24.740000000000002</v>
      </c>
      <c r="BM405" s="97">
        <f>+Tabela1107[[#This Row],[PIS]]+Tabela1107[[#This Row],[COFINS]]+Tabela1107[[#This Row],[CONTRIB. FOLHA]]+Tabela1107[[#This Row],[TRIBUTOS S/ LUCRO]]+Tabela1107[[#This Row],[OUTROS]]+Tabela1107[[#This Row],[GO]]</f>
        <v>24.740000000000002</v>
      </c>
      <c r="BN405" s="97">
        <f>+Tabela1107[[#This Row],[PIS]]+Tabela1107[[#This Row],[COFINS]]+Tabela1107[[#This Row],[CONTRIB. FOLHA]]+Tabela1107[[#This Row],[TRIBUTOS S/ LUCRO]]+Tabela1107[[#This Row],[OUTROS]]+Tabela1107[[#This Row],[MT]]</f>
        <v>24.740000000000002</v>
      </c>
      <c r="BO405" s="97">
        <f>+Tabela1107[[#This Row],[PIS]]+Tabela1107[[#This Row],[COFINS]]+Tabela1107[[#This Row],[CONTRIB. FOLHA]]+Tabela1107[[#This Row],[TRIBUTOS S/ LUCRO]]+Tabela1107[[#This Row],[OUTROS]]+Tabela1107[[#This Row],[MS]]</f>
        <v>24.740000000000002</v>
      </c>
      <c r="BP405" s="97">
        <f>+Tabela1107[[#This Row],[PIS]]+Tabela1107[[#This Row],[COFINS]]+Tabela1107[[#This Row],[CONTRIB. FOLHA]]+Tabela1107[[#This Row],[TRIBUTOS S/ LUCRO]]+Tabela1107[[#This Row],[OUTROS]]+Tabela1107[[#This Row],[DF]]</f>
        <v>24.740000000000002</v>
      </c>
      <c r="BQ405" s="97">
        <f>+Tabela1107[[#This Row],[PIS]]+Tabela1107[[#This Row],[COFINS]]+Tabela1107[[#This Row],[CONTRIB. FOLHA]]+Tabela1107[[#This Row],[TRIBUTOS S/ LUCRO]]+Tabela1107[[#This Row],[OUTROS]]+Tabela1107[[#This Row],[BA]]</f>
        <v>24.740000000000002</v>
      </c>
      <c r="BR405" s="97">
        <f>+Tabela1107[[#This Row],[PIS]]+Tabela1107[[#This Row],[COFINS]]+Tabela1107[[#This Row],[CONTRIB. FOLHA]]+Tabela1107[[#This Row],[TRIBUTOS S/ LUCRO]]+Tabela1107[[#This Row],[OUTROS]]+Tabela1107[[#This Row],[BA]]</f>
        <v>24.740000000000002</v>
      </c>
      <c r="BS405" s="97">
        <f>+Tabela1107[[#This Row],[PIS]]+Tabela1107[[#This Row],[COFINS]]+Tabela1107[[#This Row],[CONTRIB. FOLHA]]+Tabela1107[[#This Row],[TRIBUTOS S/ LUCRO]]+Tabela1107[[#This Row],[OUTROS]]+Tabela1107[[#This Row],[PE]]</f>
        <v>24.740000000000002</v>
      </c>
      <c r="BT405" s="97">
        <f>+Tabela1107[[#This Row],[PIS]]+Tabela1107[[#This Row],[COFINS]]+Tabela1107[[#This Row],[CONTRIB. FOLHA]]+Tabela1107[[#This Row],[TRIBUTOS S/ LUCRO]]+Tabela1107[[#This Row],[OUTROS]]+Tabela1107[[#This Row],[PA]]</f>
        <v>24.740000000000002</v>
      </c>
      <c r="BU405" s="97">
        <f>+Tabela1107[[#This Row],[PIS]]+Tabela1107[[#This Row],[COFINS]]+Tabela1107[[#This Row],[CONTRIB. FOLHA]]+Tabela1107[[#This Row],[TRIBUTOS S/ LUCRO]]+Tabela1107[[#This Row],[OUTROS]]+Tabela1107[[#This Row],[AM]]</f>
        <v>24.740000000000002</v>
      </c>
      <c r="BV405" s="97">
        <f>AVERAGE(Tabela1107[[#This Row],[TOTAL SP]:[TOTAL AM]])</f>
        <v>24.302500000000006</v>
      </c>
      <c r="BW405" s="97"/>
      <c r="BX405" s="97"/>
    </row>
    <row r="406" spans="2:76" x14ac:dyDescent="0.25">
      <c r="B406" s="89">
        <v>6981</v>
      </c>
      <c r="C406" s="91" t="s">
        <v>13159</v>
      </c>
      <c r="D406" s="89"/>
      <c r="E406" s="89">
        <v>20140626</v>
      </c>
      <c r="F406" s="89" t="s">
        <v>21326</v>
      </c>
      <c r="G406" s="89" t="s">
        <v>21327</v>
      </c>
      <c r="H406" s="89" t="s">
        <v>21328</v>
      </c>
      <c r="I406" s="89" t="s">
        <v>2693</v>
      </c>
      <c r="J406" s="89" t="s">
        <v>255</v>
      </c>
      <c r="K406" s="99" t="s">
        <v>2515</v>
      </c>
      <c r="L406" s="89" t="s">
        <v>2693</v>
      </c>
      <c r="M406" s="89" t="s">
        <v>4496</v>
      </c>
      <c r="N406" s="89" t="s">
        <v>4496</v>
      </c>
      <c r="O406" s="89" t="s">
        <v>4496</v>
      </c>
      <c r="P406" s="89" t="s">
        <v>4496</v>
      </c>
      <c r="Q406" s="89"/>
      <c r="R406" s="89" t="s">
        <v>103</v>
      </c>
      <c r="S406" s="89" t="s">
        <v>21690</v>
      </c>
      <c r="T406" s="89" t="s">
        <v>21691</v>
      </c>
      <c r="U406" s="89" t="str">
        <f>TRIM('Carga Tributária doenças Po (2'!$L406)</f>
        <v>SINVASTATINA</v>
      </c>
      <c r="V406" s="89">
        <f>SUMIFS('Tabela Federal'!$E$4:$E$2069,'Tabela Federal'!$D$4:$D$2069,'Carga Tributária doenças Po (2'!$L406)</f>
        <v>5</v>
      </c>
      <c r="W406" s="89">
        <f>SUMIFS('Tabela Federal'!$E$4:$E$2069,'Tabela Federal'!$D$4:$D$2069,'Carga Tributária doenças Po (2'!$M406)</f>
        <v>0</v>
      </c>
      <c r="X406" s="89">
        <f>SUMIFS('Tabela Federal'!$E$4:$E$2069,'Tabela Federal'!$D$4:$D$2069,'Carga Tributária doenças Po (2'!$N406)</f>
        <v>0</v>
      </c>
      <c r="Y406" s="89">
        <f>SUMIFS('Tabela Federal'!$E$4:$E$2069,'Tabela Federal'!$D$4:$D$2069,'Carga Tributária doenças Po (2'!$O406)</f>
        <v>0</v>
      </c>
      <c r="Z406" s="92" t="str">
        <f>VLOOKUP('Carga Tributária doenças Po (2'!$AD406,'Carga Tributária doenças Po (2'!$CA$12:$CC$16,2,0)</f>
        <v>+</v>
      </c>
      <c r="AA406" s="89" t="s">
        <v>256</v>
      </c>
      <c r="AB406" s="89" t="s">
        <v>21763</v>
      </c>
      <c r="AC406" s="89" t="s">
        <v>21721</v>
      </c>
      <c r="AD406" s="93" t="s">
        <v>21722</v>
      </c>
      <c r="AE406" s="92" t="s">
        <v>2</v>
      </c>
      <c r="AF406" s="92" t="s">
        <v>10</v>
      </c>
      <c r="AG406" s="94">
        <v>3839207</v>
      </c>
      <c r="AH406" s="95">
        <v>84570130</v>
      </c>
      <c r="AI406" s="95">
        <v>192776246.33000001</v>
      </c>
      <c r="AJ406" s="89" t="s">
        <v>269</v>
      </c>
      <c r="AK406" s="89">
        <f>IF('Carga Tributária doenças Po (2'!$Z406="+",0,SUMIFS(PISCOFINS!$I$3:$I$10518,PISCOFINS!$C$3:$C$10518,'Carga Tributária doenças Po (2'!$C406))</f>
        <v>0</v>
      </c>
      <c r="AL406" s="89">
        <f>IF('Carga Tributária doenças Po (2'!$Z406="+",0,SUMIFS(PISCOFINS!$H$3:$H$10518,PISCOFINS!$C$3:$C$10518,'Carga Tributária doenças Po (2'!$C406))</f>
        <v>0</v>
      </c>
      <c r="AM406" s="95">
        <v>3.27</v>
      </c>
      <c r="AN406" s="95">
        <v>3.12</v>
      </c>
      <c r="AO406" s="95">
        <v>1.35</v>
      </c>
      <c r="AP406" s="96">
        <v>18</v>
      </c>
      <c r="AQ406" s="96">
        <v>12</v>
      </c>
      <c r="AR406" s="96">
        <v>17</v>
      </c>
      <c r="AS406" s="97">
        <v>17</v>
      </c>
      <c r="AT406" s="97">
        <v>19</v>
      </c>
      <c r="AU406" s="97">
        <v>12</v>
      </c>
      <c r="AV406" s="97">
        <v>17</v>
      </c>
      <c r="AW406" s="97">
        <v>17</v>
      </c>
      <c r="AX406" s="97">
        <v>17</v>
      </c>
      <c r="AY406" s="97">
        <v>17</v>
      </c>
      <c r="AZ406" s="97">
        <v>17</v>
      </c>
      <c r="BA406" s="97">
        <v>17</v>
      </c>
      <c r="BB406" s="97">
        <v>17</v>
      </c>
      <c r="BC406" s="97">
        <v>17</v>
      </c>
      <c r="BD406" s="97">
        <v>17</v>
      </c>
      <c r="BE406" s="97">
        <v>17</v>
      </c>
      <c r="BF406" s="97">
        <f>+Tabela1107[[#This Row],[PIS]]+Tabela1107[[#This Row],[COFINS]]+Tabela1107[[#This Row],[CONTRIB. FOLHA]]+Tabela1107[[#This Row],[TRIBUTOS S/ LUCRO]]+Tabela1107[[#This Row],[OUTROS]]+Tabela1107[[#This Row],[SP]]</f>
        <v>25.740000000000002</v>
      </c>
      <c r="BG406" s="97">
        <f>+Tabela1107[[#This Row],[PIS]]+Tabela1107[[#This Row],[COFINS]]+Tabela1107[[#This Row],[CONTRIB. FOLHA]]+Tabela1107[[#This Row],[TRIBUTOS S/ LUCRO]]+Tabela1107[[#This Row],[OUTROS]]+Tabela1107[[#This Row],[PR]]</f>
        <v>19.740000000000002</v>
      </c>
      <c r="BH406" s="97">
        <f>+Tabela1107[[#This Row],[PIS]]+Tabela1107[[#This Row],[COFINS]]+Tabela1107[[#This Row],[CONTRIB. FOLHA]]+Tabela1107[[#This Row],[TRIBUTOS S/ LUCRO]]+Tabela1107[[#This Row],[OUTROS]]+Tabela1107[[#This Row],[SC]]</f>
        <v>24.740000000000002</v>
      </c>
      <c r="BI406" s="97">
        <f>+Tabela1107[[#This Row],[PIS]]+Tabela1107[[#This Row],[COFINS]]+Tabela1107[[#This Row],[CONTRIB. FOLHA]]+Tabela1107[[#This Row],[TRIBUTOS S/ LUCRO]]+Tabela1107[[#This Row],[OUTROS]]+Tabela1107[[#This Row],[RS]]</f>
        <v>24.740000000000002</v>
      </c>
      <c r="BJ406" s="97">
        <f>+Tabela1107[[#This Row],[PIS]]+Tabela1107[[#This Row],[COFINS]]+Tabela1107[[#This Row],[CONTRIB. FOLHA]]+Tabela1107[[#This Row],[TRIBUTOS S/ LUCRO]]+Tabela1107[[#This Row],[OUTROS]]+Tabela1107[[#This Row],[RJ]]</f>
        <v>26.740000000000002</v>
      </c>
      <c r="BK406" s="97">
        <f>+Tabela1107[[#This Row],[PIS]]+Tabela1107[[#This Row],[COFINS]]+Tabela1107[[#This Row],[CONTRIB. FOLHA]]+Tabela1107[[#This Row],[TRIBUTOS S/ LUCRO]]+Tabela1107[[#This Row],[OUTROS]]+Tabela1107[[#This Row],[MG]]</f>
        <v>19.740000000000002</v>
      </c>
      <c r="BL406" s="97">
        <f>+Tabela1107[[#This Row],[PIS]]+Tabela1107[[#This Row],[COFINS]]+Tabela1107[[#This Row],[CONTRIB. FOLHA]]+Tabela1107[[#This Row],[TRIBUTOS S/ LUCRO]]+Tabela1107[[#This Row],[OUTROS]]+Tabela1107[[#This Row],[ES]]</f>
        <v>24.740000000000002</v>
      </c>
      <c r="BM406" s="97">
        <f>+Tabela1107[[#This Row],[PIS]]+Tabela1107[[#This Row],[COFINS]]+Tabela1107[[#This Row],[CONTRIB. FOLHA]]+Tabela1107[[#This Row],[TRIBUTOS S/ LUCRO]]+Tabela1107[[#This Row],[OUTROS]]+Tabela1107[[#This Row],[GO]]</f>
        <v>24.740000000000002</v>
      </c>
      <c r="BN406" s="97">
        <f>+Tabela1107[[#This Row],[PIS]]+Tabela1107[[#This Row],[COFINS]]+Tabela1107[[#This Row],[CONTRIB. FOLHA]]+Tabela1107[[#This Row],[TRIBUTOS S/ LUCRO]]+Tabela1107[[#This Row],[OUTROS]]+Tabela1107[[#This Row],[MT]]</f>
        <v>24.740000000000002</v>
      </c>
      <c r="BO406" s="97">
        <f>+Tabela1107[[#This Row],[PIS]]+Tabela1107[[#This Row],[COFINS]]+Tabela1107[[#This Row],[CONTRIB. FOLHA]]+Tabela1107[[#This Row],[TRIBUTOS S/ LUCRO]]+Tabela1107[[#This Row],[OUTROS]]+Tabela1107[[#This Row],[MS]]</f>
        <v>24.740000000000002</v>
      </c>
      <c r="BP406" s="97">
        <f>+Tabela1107[[#This Row],[PIS]]+Tabela1107[[#This Row],[COFINS]]+Tabela1107[[#This Row],[CONTRIB. FOLHA]]+Tabela1107[[#This Row],[TRIBUTOS S/ LUCRO]]+Tabela1107[[#This Row],[OUTROS]]+Tabela1107[[#This Row],[DF]]</f>
        <v>24.740000000000002</v>
      </c>
      <c r="BQ406" s="97">
        <f>+Tabela1107[[#This Row],[PIS]]+Tabela1107[[#This Row],[COFINS]]+Tabela1107[[#This Row],[CONTRIB. FOLHA]]+Tabela1107[[#This Row],[TRIBUTOS S/ LUCRO]]+Tabela1107[[#This Row],[OUTROS]]+Tabela1107[[#This Row],[BA]]</f>
        <v>24.740000000000002</v>
      </c>
      <c r="BR406" s="97">
        <f>+Tabela1107[[#This Row],[PIS]]+Tabela1107[[#This Row],[COFINS]]+Tabela1107[[#This Row],[CONTRIB. FOLHA]]+Tabela1107[[#This Row],[TRIBUTOS S/ LUCRO]]+Tabela1107[[#This Row],[OUTROS]]+Tabela1107[[#This Row],[BA]]</f>
        <v>24.740000000000002</v>
      </c>
      <c r="BS406" s="97">
        <f>+Tabela1107[[#This Row],[PIS]]+Tabela1107[[#This Row],[COFINS]]+Tabela1107[[#This Row],[CONTRIB. FOLHA]]+Tabela1107[[#This Row],[TRIBUTOS S/ LUCRO]]+Tabela1107[[#This Row],[OUTROS]]+Tabela1107[[#This Row],[PE]]</f>
        <v>24.740000000000002</v>
      </c>
      <c r="BT406" s="97">
        <f>+Tabela1107[[#This Row],[PIS]]+Tabela1107[[#This Row],[COFINS]]+Tabela1107[[#This Row],[CONTRIB. FOLHA]]+Tabela1107[[#This Row],[TRIBUTOS S/ LUCRO]]+Tabela1107[[#This Row],[OUTROS]]+Tabela1107[[#This Row],[PA]]</f>
        <v>24.740000000000002</v>
      </c>
      <c r="BU406" s="97">
        <f>+Tabela1107[[#This Row],[PIS]]+Tabela1107[[#This Row],[COFINS]]+Tabela1107[[#This Row],[CONTRIB. FOLHA]]+Tabela1107[[#This Row],[TRIBUTOS S/ LUCRO]]+Tabela1107[[#This Row],[OUTROS]]+Tabela1107[[#This Row],[AM]]</f>
        <v>24.740000000000002</v>
      </c>
      <c r="BV406" s="97">
        <f>AVERAGE(Tabela1107[[#This Row],[TOTAL SP]:[TOTAL AM]])</f>
        <v>24.302500000000006</v>
      </c>
      <c r="BW406" s="97"/>
      <c r="BX406" s="97"/>
    </row>
    <row r="407" spans="2:76" x14ac:dyDescent="0.25">
      <c r="B407" s="89">
        <v>13035</v>
      </c>
      <c r="C407" s="91" t="s">
        <v>13183</v>
      </c>
      <c r="D407" s="89"/>
      <c r="E407" s="89">
        <v>20140626</v>
      </c>
      <c r="F407" s="89" t="s">
        <v>20335</v>
      </c>
      <c r="G407" s="89" t="s">
        <v>20336</v>
      </c>
      <c r="H407" s="89" t="s">
        <v>20337</v>
      </c>
      <c r="I407" s="89" t="s">
        <v>20338</v>
      </c>
      <c r="J407" s="89" t="s">
        <v>556</v>
      </c>
      <c r="K407" s="99" t="s">
        <v>2514</v>
      </c>
      <c r="L407" s="89" t="s">
        <v>3186</v>
      </c>
      <c r="M407" s="89" t="s">
        <v>4180</v>
      </c>
      <c r="N407" s="89" t="s">
        <v>4496</v>
      </c>
      <c r="O407" s="89" t="s">
        <v>4496</v>
      </c>
      <c r="P407" s="89" t="s">
        <v>4496</v>
      </c>
      <c r="Q407" s="89"/>
      <c r="R407" s="89" t="s">
        <v>1</v>
      </c>
      <c r="S407" s="89" t="s">
        <v>21568</v>
      </c>
      <c r="T407" s="89" t="s">
        <v>21569</v>
      </c>
      <c r="U407" s="89" t="str">
        <f>TRIM('Carga Tributária doenças Po (2'!$L407)</f>
        <v>NAFAZOLINA</v>
      </c>
      <c r="V407" s="89">
        <f>SUMIFS('Tabela Federal'!$E$4:$E$2069,'Tabela Federal'!$D$4:$D$2069,'Carga Tributária doenças Po (2'!$L407)</f>
        <v>0</v>
      </c>
      <c r="W407" s="89">
        <f>SUMIFS('Tabela Federal'!$E$4:$E$2069,'Tabela Federal'!$D$4:$D$2069,'Carga Tributária doenças Po (2'!$M407)</f>
        <v>0</v>
      </c>
      <c r="X407" s="89">
        <f>SUMIFS('Tabela Federal'!$E$4:$E$2069,'Tabela Federal'!$D$4:$D$2069,'Carga Tributária doenças Po (2'!$N407)</f>
        <v>0</v>
      </c>
      <c r="Y407" s="89">
        <f>SUMIFS('Tabela Federal'!$E$4:$E$2069,'Tabela Federal'!$D$4:$D$2069,'Carga Tributária doenças Po (2'!$O407)</f>
        <v>0</v>
      </c>
      <c r="Z407" s="92" t="str">
        <f>VLOOKUP('Carga Tributária doenças Po (2'!$AD407,'Carga Tributária doenças Po (2'!$CA$12:$CC$16,2,0)</f>
        <v>-</v>
      </c>
      <c r="AA407" s="89" t="s">
        <v>222</v>
      </c>
      <c r="AB407" s="89" t="s">
        <v>21799</v>
      </c>
      <c r="AC407" s="89" t="s">
        <v>21721</v>
      </c>
      <c r="AD407" s="93" t="s">
        <v>19523</v>
      </c>
      <c r="AE407" s="92" t="s">
        <v>4</v>
      </c>
      <c r="AF407" s="92" t="s">
        <v>23</v>
      </c>
      <c r="AG407" s="94">
        <v>2199095</v>
      </c>
      <c r="AH407" s="95">
        <v>6370769</v>
      </c>
      <c r="AI407" s="95">
        <v>14473851.43</v>
      </c>
      <c r="AJ407" s="89" t="s">
        <v>559</v>
      </c>
      <c r="AK407" s="89">
        <f>IF('Carga Tributária doenças Po (2'!$Z407="+",0,SUMIFS(PISCOFINS!$I$3:$I$10518,PISCOFINS!$C$3:$C$10518,'Carga Tributária doenças Po (2'!$C407))</f>
        <v>2.1</v>
      </c>
      <c r="AL407" s="89">
        <f>IF('Carga Tributária doenças Po (2'!$Z407="+",0,SUMIFS(PISCOFINS!$H$3:$H$10518,PISCOFINS!$C$3:$C$10518,'Carga Tributária doenças Po (2'!$C407))</f>
        <v>9.9</v>
      </c>
      <c r="AM407" s="95">
        <v>3.27</v>
      </c>
      <c r="AN407" s="95">
        <v>3.12</v>
      </c>
      <c r="AO407" s="95">
        <v>1.35</v>
      </c>
      <c r="AP407" s="96">
        <v>18</v>
      </c>
      <c r="AQ407" s="96">
        <v>12</v>
      </c>
      <c r="AR407" s="96">
        <v>17</v>
      </c>
      <c r="AS407" s="97">
        <v>17</v>
      </c>
      <c r="AT407" s="97">
        <v>19</v>
      </c>
      <c r="AU407" s="97">
        <v>18</v>
      </c>
      <c r="AV407" s="97">
        <v>17</v>
      </c>
      <c r="AW407" s="97">
        <v>17</v>
      </c>
      <c r="AX407" s="97">
        <v>17</v>
      </c>
      <c r="AY407" s="97">
        <v>17</v>
      </c>
      <c r="AZ407" s="97">
        <v>17</v>
      </c>
      <c r="BA407" s="97">
        <v>17</v>
      </c>
      <c r="BB407" s="97">
        <v>17</v>
      </c>
      <c r="BC407" s="97">
        <v>17</v>
      </c>
      <c r="BD407" s="97">
        <v>17</v>
      </c>
      <c r="BE407" s="97">
        <v>17</v>
      </c>
      <c r="BF407" s="97">
        <f>+Tabela1107[[#This Row],[PIS]]+Tabela1107[[#This Row],[COFINS]]+Tabela1107[[#This Row],[CONTRIB. FOLHA]]+Tabela1107[[#This Row],[TRIBUTOS S/ LUCRO]]+Tabela1107[[#This Row],[OUTROS]]+Tabela1107[[#This Row],[SP]]</f>
        <v>37.74</v>
      </c>
      <c r="BG407" s="97">
        <f>+Tabela1107[[#This Row],[PIS]]+Tabela1107[[#This Row],[COFINS]]+Tabela1107[[#This Row],[CONTRIB. FOLHA]]+Tabela1107[[#This Row],[TRIBUTOS S/ LUCRO]]+Tabela1107[[#This Row],[OUTROS]]+Tabela1107[[#This Row],[PR]]</f>
        <v>31.740000000000002</v>
      </c>
      <c r="BH407" s="97">
        <f>+Tabela1107[[#This Row],[PIS]]+Tabela1107[[#This Row],[COFINS]]+Tabela1107[[#This Row],[CONTRIB. FOLHA]]+Tabela1107[[#This Row],[TRIBUTOS S/ LUCRO]]+Tabela1107[[#This Row],[OUTROS]]+Tabela1107[[#This Row],[SC]]</f>
        <v>36.74</v>
      </c>
      <c r="BI407" s="97">
        <f>+Tabela1107[[#This Row],[PIS]]+Tabela1107[[#This Row],[COFINS]]+Tabela1107[[#This Row],[CONTRIB. FOLHA]]+Tabela1107[[#This Row],[TRIBUTOS S/ LUCRO]]+Tabela1107[[#This Row],[OUTROS]]+Tabela1107[[#This Row],[RS]]</f>
        <v>36.74</v>
      </c>
      <c r="BJ407" s="97">
        <f>+Tabela1107[[#This Row],[PIS]]+Tabela1107[[#This Row],[COFINS]]+Tabela1107[[#This Row],[CONTRIB. FOLHA]]+Tabela1107[[#This Row],[TRIBUTOS S/ LUCRO]]+Tabela1107[[#This Row],[OUTROS]]+Tabela1107[[#This Row],[RJ]]</f>
        <v>38.74</v>
      </c>
      <c r="BK407" s="97">
        <f>+Tabela1107[[#This Row],[PIS]]+Tabela1107[[#This Row],[COFINS]]+Tabela1107[[#This Row],[CONTRIB. FOLHA]]+Tabela1107[[#This Row],[TRIBUTOS S/ LUCRO]]+Tabela1107[[#This Row],[OUTROS]]+Tabela1107[[#This Row],[MG]]</f>
        <v>37.74</v>
      </c>
      <c r="BL407" s="97">
        <f>+Tabela1107[[#This Row],[PIS]]+Tabela1107[[#This Row],[COFINS]]+Tabela1107[[#This Row],[CONTRIB. FOLHA]]+Tabela1107[[#This Row],[TRIBUTOS S/ LUCRO]]+Tabela1107[[#This Row],[OUTROS]]+Tabela1107[[#This Row],[ES]]</f>
        <v>36.74</v>
      </c>
      <c r="BM407" s="97">
        <f>+Tabela1107[[#This Row],[PIS]]+Tabela1107[[#This Row],[COFINS]]+Tabela1107[[#This Row],[CONTRIB. FOLHA]]+Tabela1107[[#This Row],[TRIBUTOS S/ LUCRO]]+Tabela1107[[#This Row],[OUTROS]]+Tabela1107[[#This Row],[GO]]</f>
        <v>36.74</v>
      </c>
      <c r="BN407" s="97">
        <f>+Tabela1107[[#This Row],[PIS]]+Tabela1107[[#This Row],[COFINS]]+Tabela1107[[#This Row],[CONTRIB. FOLHA]]+Tabela1107[[#This Row],[TRIBUTOS S/ LUCRO]]+Tabela1107[[#This Row],[OUTROS]]+Tabela1107[[#This Row],[MT]]</f>
        <v>36.74</v>
      </c>
      <c r="BO407" s="97">
        <f>+Tabela1107[[#This Row],[PIS]]+Tabela1107[[#This Row],[COFINS]]+Tabela1107[[#This Row],[CONTRIB. FOLHA]]+Tabela1107[[#This Row],[TRIBUTOS S/ LUCRO]]+Tabela1107[[#This Row],[OUTROS]]+Tabela1107[[#This Row],[MS]]</f>
        <v>36.74</v>
      </c>
      <c r="BP407" s="97">
        <f>+Tabela1107[[#This Row],[PIS]]+Tabela1107[[#This Row],[COFINS]]+Tabela1107[[#This Row],[CONTRIB. FOLHA]]+Tabela1107[[#This Row],[TRIBUTOS S/ LUCRO]]+Tabela1107[[#This Row],[OUTROS]]+Tabela1107[[#This Row],[DF]]</f>
        <v>36.74</v>
      </c>
      <c r="BQ407" s="97">
        <f>+Tabela1107[[#This Row],[PIS]]+Tabela1107[[#This Row],[COFINS]]+Tabela1107[[#This Row],[CONTRIB. FOLHA]]+Tabela1107[[#This Row],[TRIBUTOS S/ LUCRO]]+Tabela1107[[#This Row],[OUTROS]]+Tabela1107[[#This Row],[BA]]</f>
        <v>36.74</v>
      </c>
      <c r="BR407" s="97">
        <f>+Tabela1107[[#This Row],[PIS]]+Tabela1107[[#This Row],[COFINS]]+Tabela1107[[#This Row],[CONTRIB. FOLHA]]+Tabela1107[[#This Row],[TRIBUTOS S/ LUCRO]]+Tabela1107[[#This Row],[OUTROS]]+Tabela1107[[#This Row],[BA]]</f>
        <v>36.74</v>
      </c>
      <c r="BS407" s="97">
        <f>+Tabela1107[[#This Row],[PIS]]+Tabela1107[[#This Row],[COFINS]]+Tabela1107[[#This Row],[CONTRIB. FOLHA]]+Tabela1107[[#This Row],[TRIBUTOS S/ LUCRO]]+Tabela1107[[#This Row],[OUTROS]]+Tabela1107[[#This Row],[PE]]</f>
        <v>36.74</v>
      </c>
      <c r="BT407" s="97">
        <f>+Tabela1107[[#This Row],[PIS]]+Tabela1107[[#This Row],[COFINS]]+Tabela1107[[#This Row],[CONTRIB. FOLHA]]+Tabela1107[[#This Row],[TRIBUTOS S/ LUCRO]]+Tabela1107[[#This Row],[OUTROS]]+Tabela1107[[#This Row],[PA]]</f>
        <v>36.74</v>
      </c>
      <c r="BU407" s="97">
        <f>+Tabela1107[[#This Row],[PIS]]+Tabela1107[[#This Row],[COFINS]]+Tabela1107[[#This Row],[CONTRIB. FOLHA]]+Tabela1107[[#This Row],[TRIBUTOS S/ LUCRO]]+Tabela1107[[#This Row],[OUTROS]]+Tabela1107[[#This Row],[AM]]</f>
        <v>36.74</v>
      </c>
      <c r="BV407" s="97">
        <f>AVERAGE(Tabela1107[[#This Row],[TOTAL SP]:[TOTAL AM]])</f>
        <v>36.677500000000002</v>
      </c>
      <c r="BW407" s="97"/>
      <c r="BX407" s="97"/>
    </row>
    <row r="408" spans="2:76" x14ac:dyDescent="0.25">
      <c r="B408" s="89">
        <v>971</v>
      </c>
      <c r="C408" s="91" t="s">
        <v>13183</v>
      </c>
      <c r="D408" s="89"/>
      <c r="E408" s="89">
        <v>20140626</v>
      </c>
      <c r="F408" s="89" t="s">
        <v>20397</v>
      </c>
      <c r="G408" s="89" t="s">
        <v>20398</v>
      </c>
      <c r="H408" s="89" t="s">
        <v>20399</v>
      </c>
      <c r="I408" s="89" t="s">
        <v>20400</v>
      </c>
      <c r="J408" s="89" t="s">
        <v>526</v>
      </c>
      <c r="K408" s="99" t="s">
        <v>2513</v>
      </c>
      <c r="L408" s="89" t="s">
        <v>2694</v>
      </c>
      <c r="M408" s="89" t="s">
        <v>4496</v>
      </c>
      <c r="N408" s="89" t="s">
        <v>4496</v>
      </c>
      <c r="O408" s="89" t="s">
        <v>4496</v>
      </c>
      <c r="P408" s="89" t="s">
        <v>4496</v>
      </c>
      <c r="Q408" s="89"/>
      <c r="R408" s="89" t="s">
        <v>469</v>
      </c>
      <c r="S408" s="89" t="s">
        <v>21574</v>
      </c>
      <c r="T408" s="89" t="s">
        <v>21575</v>
      </c>
      <c r="U408" s="89" t="str">
        <f>TRIM('Carga Tributária doenças Po (2'!$L408)</f>
        <v>DICLOFENACO DE SODIO</v>
      </c>
      <c r="V408" s="89">
        <f>SUMIFS('Tabela Federal'!$E$4:$E$2069,'Tabela Federal'!$D$4:$D$2069,'Carga Tributária doenças Po (2'!$L408)</f>
        <v>0</v>
      </c>
      <c r="W408" s="89">
        <f>SUMIFS('Tabela Federal'!$E$4:$E$2069,'Tabela Federal'!$D$4:$D$2069,'Carga Tributária doenças Po (2'!$M408)</f>
        <v>0</v>
      </c>
      <c r="X408" s="89">
        <f>SUMIFS('Tabela Federal'!$E$4:$E$2069,'Tabela Federal'!$D$4:$D$2069,'Carga Tributária doenças Po (2'!$N408)</f>
        <v>0</v>
      </c>
      <c r="Y408" s="89">
        <f>SUMIFS('Tabela Federal'!$E$4:$E$2069,'Tabela Federal'!$D$4:$D$2069,'Carga Tributária doenças Po (2'!$O408)</f>
        <v>0</v>
      </c>
      <c r="Z408" s="92" t="str">
        <f>VLOOKUP('Carga Tributária doenças Po (2'!$AD408,'Carga Tributária doenças Po (2'!$CA$12:$CC$16,2,0)</f>
        <v>+</v>
      </c>
      <c r="AA408" s="89" t="s">
        <v>524</v>
      </c>
      <c r="AB408" s="89" t="s">
        <v>21767</v>
      </c>
      <c r="AC408" s="89" t="s">
        <v>21721</v>
      </c>
      <c r="AD408" s="93" t="s">
        <v>21722</v>
      </c>
      <c r="AE408" s="92" t="s">
        <v>2</v>
      </c>
      <c r="AF408" s="92" t="s">
        <v>23</v>
      </c>
      <c r="AG408" s="94">
        <v>356542</v>
      </c>
      <c r="AH408" s="95">
        <v>1390486</v>
      </c>
      <c r="AI408" s="95">
        <v>3175025.4</v>
      </c>
      <c r="AJ408" s="89" t="s">
        <v>525</v>
      </c>
      <c r="AK408" s="89">
        <f>IF('Carga Tributária doenças Po (2'!$Z408="+",0,SUMIFS(PISCOFINS!$I$3:$I$10518,PISCOFINS!$C$3:$C$10518,'Carga Tributária doenças Po (2'!$C408))</f>
        <v>0</v>
      </c>
      <c r="AL408" s="89">
        <f>IF('Carga Tributária doenças Po (2'!$Z408="+",0,SUMIFS(PISCOFINS!$H$3:$H$10518,PISCOFINS!$C$3:$C$10518,'Carga Tributária doenças Po (2'!$C408))</f>
        <v>0</v>
      </c>
      <c r="AM408" s="95">
        <v>3.27</v>
      </c>
      <c r="AN408" s="95">
        <v>3.12</v>
      </c>
      <c r="AO408" s="95">
        <v>1.35</v>
      </c>
      <c r="AP408" s="96">
        <v>18</v>
      </c>
      <c r="AQ408" s="96">
        <v>12</v>
      </c>
      <c r="AR408" s="96">
        <v>17</v>
      </c>
      <c r="AS408" s="97">
        <v>17</v>
      </c>
      <c r="AT408" s="97">
        <v>19</v>
      </c>
      <c r="AU408" s="97">
        <v>18</v>
      </c>
      <c r="AV408" s="97">
        <v>17</v>
      </c>
      <c r="AW408" s="97">
        <v>17</v>
      </c>
      <c r="AX408" s="97">
        <v>17</v>
      </c>
      <c r="AY408" s="97">
        <v>17</v>
      </c>
      <c r="AZ408" s="97">
        <v>17</v>
      </c>
      <c r="BA408" s="97">
        <v>17</v>
      </c>
      <c r="BB408" s="97">
        <v>17</v>
      </c>
      <c r="BC408" s="97">
        <v>17</v>
      </c>
      <c r="BD408" s="97">
        <v>17</v>
      </c>
      <c r="BE408" s="97">
        <v>17</v>
      </c>
      <c r="BF408" s="97">
        <f>+Tabela1107[[#This Row],[PIS]]+Tabela1107[[#This Row],[COFINS]]+Tabela1107[[#This Row],[CONTRIB. FOLHA]]+Tabela1107[[#This Row],[TRIBUTOS S/ LUCRO]]+Tabela1107[[#This Row],[OUTROS]]+Tabela1107[[#This Row],[SP]]</f>
        <v>25.740000000000002</v>
      </c>
      <c r="BG408" s="97">
        <f>+Tabela1107[[#This Row],[PIS]]+Tabela1107[[#This Row],[COFINS]]+Tabela1107[[#This Row],[CONTRIB. FOLHA]]+Tabela1107[[#This Row],[TRIBUTOS S/ LUCRO]]+Tabela1107[[#This Row],[OUTROS]]+Tabela1107[[#This Row],[PR]]</f>
        <v>19.740000000000002</v>
      </c>
      <c r="BH408" s="97">
        <f>+Tabela1107[[#This Row],[PIS]]+Tabela1107[[#This Row],[COFINS]]+Tabela1107[[#This Row],[CONTRIB. FOLHA]]+Tabela1107[[#This Row],[TRIBUTOS S/ LUCRO]]+Tabela1107[[#This Row],[OUTROS]]+Tabela1107[[#This Row],[SC]]</f>
        <v>24.740000000000002</v>
      </c>
      <c r="BI408" s="97">
        <f>+Tabela1107[[#This Row],[PIS]]+Tabela1107[[#This Row],[COFINS]]+Tabela1107[[#This Row],[CONTRIB. FOLHA]]+Tabela1107[[#This Row],[TRIBUTOS S/ LUCRO]]+Tabela1107[[#This Row],[OUTROS]]+Tabela1107[[#This Row],[RS]]</f>
        <v>24.740000000000002</v>
      </c>
      <c r="BJ408" s="97">
        <f>+Tabela1107[[#This Row],[PIS]]+Tabela1107[[#This Row],[COFINS]]+Tabela1107[[#This Row],[CONTRIB. FOLHA]]+Tabela1107[[#This Row],[TRIBUTOS S/ LUCRO]]+Tabela1107[[#This Row],[OUTROS]]+Tabela1107[[#This Row],[RJ]]</f>
        <v>26.740000000000002</v>
      </c>
      <c r="BK408" s="97">
        <f>+Tabela1107[[#This Row],[PIS]]+Tabela1107[[#This Row],[COFINS]]+Tabela1107[[#This Row],[CONTRIB. FOLHA]]+Tabela1107[[#This Row],[TRIBUTOS S/ LUCRO]]+Tabela1107[[#This Row],[OUTROS]]+Tabela1107[[#This Row],[MG]]</f>
        <v>25.740000000000002</v>
      </c>
      <c r="BL408" s="97">
        <f>+Tabela1107[[#This Row],[PIS]]+Tabela1107[[#This Row],[COFINS]]+Tabela1107[[#This Row],[CONTRIB. FOLHA]]+Tabela1107[[#This Row],[TRIBUTOS S/ LUCRO]]+Tabela1107[[#This Row],[OUTROS]]+Tabela1107[[#This Row],[ES]]</f>
        <v>24.740000000000002</v>
      </c>
      <c r="BM408" s="97">
        <f>+Tabela1107[[#This Row],[PIS]]+Tabela1107[[#This Row],[COFINS]]+Tabela1107[[#This Row],[CONTRIB. FOLHA]]+Tabela1107[[#This Row],[TRIBUTOS S/ LUCRO]]+Tabela1107[[#This Row],[OUTROS]]+Tabela1107[[#This Row],[GO]]</f>
        <v>24.740000000000002</v>
      </c>
      <c r="BN408" s="97">
        <f>+Tabela1107[[#This Row],[PIS]]+Tabela1107[[#This Row],[COFINS]]+Tabela1107[[#This Row],[CONTRIB. FOLHA]]+Tabela1107[[#This Row],[TRIBUTOS S/ LUCRO]]+Tabela1107[[#This Row],[OUTROS]]+Tabela1107[[#This Row],[MT]]</f>
        <v>24.740000000000002</v>
      </c>
      <c r="BO408" s="97">
        <f>+Tabela1107[[#This Row],[PIS]]+Tabela1107[[#This Row],[COFINS]]+Tabela1107[[#This Row],[CONTRIB. FOLHA]]+Tabela1107[[#This Row],[TRIBUTOS S/ LUCRO]]+Tabela1107[[#This Row],[OUTROS]]+Tabela1107[[#This Row],[MS]]</f>
        <v>24.740000000000002</v>
      </c>
      <c r="BP408" s="97">
        <f>+Tabela1107[[#This Row],[PIS]]+Tabela1107[[#This Row],[COFINS]]+Tabela1107[[#This Row],[CONTRIB. FOLHA]]+Tabela1107[[#This Row],[TRIBUTOS S/ LUCRO]]+Tabela1107[[#This Row],[OUTROS]]+Tabela1107[[#This Row],[DF]]</f>
        <v>24.740000000000002</v>
      </c>
      <c r="BQ408" s="97">
        <f>+Tabela1107[[#This Row],[PIS]]+Tabela1107[[#This Row],[COFINS]]+Tabela1107[[#This Row],[CONTRIB. FOLHA]]+Tabela1107[[#This Row],[TRIBUTOS S/ LUCRO]]+Tabela1107[[#This Row],[OUTROS]]+Tabela1107[[#This Row],[BA]]</f>
        <v>24.740000000000002</v>
      </c>
      <c r="BR408" s="97">
        <f>+Tabela1107[[#This Row],[PIS]]+Tabela1107[[#This Row],[COFINS]]+Tabela1107[[#This Row],[CONTRIB. FOLHA]]+Tabela1107[[#This Row],[TRIBUTOS S/ LUCRO]]+Tabela1107[[#This Row],[OUTROS]]+Tabela1107[[#This Row],[BA]]</f>
        <v>24.740000000000002</v>
      </c>
      <c r="BS408" s="97">
        <f>+Tabela1107[[#This Row],[PIS]]+Tabela1107[[#This Row],[COFINS]]+Tabela1107[[#This Row],[CONTRIB. FOLHA]]+Tabela1107[[#This Row],[TRIBUTOS S/ LUCRO]]+Tabela1107[[#This Row],[OUTROS]]+Tabela1107[[#This Row],[PE]]</f>
        <v>24.740000000000002</v>
      </c>
      <c r="BT408" s="97">
        <f>+Tabela1107[[#This Row],[PIS]]+Tabela1107[[#This Row],[COFINS]]+Tabela1107[[#This Row],[CONTRIB. FOLHA]]+Tabela1107[[#This Row],[TRIBUTOS S/ LUCRO]]+Tabela1107[[#This Row],[OUTROS]]+Tabela1107[[#This Row],[PA]]</f>
        <v>24.740000000000002</v>
      </c>
      <c r="BU408" s="97">
        <f>+Tabela1107[[#This Row],[PIS]]+Tabela1107[[#This Row],[COFINS]]+Tabela1107[[#This Row],[CONTRIB. FOLHA]]+Tabela1107[[#This Row],[TRIBUTOS S/ LUCRO]]+Tabela1107[[#This Row],[OUTROS]]+Tabela1107[[#This Row],[AM]]</f>
        <v>24.740000000000002</v>
      </c>
      <c r="BV408" s="97">
        <f>AVERAGE(Tabela1107[[#This Row],[TOTAL SP]:[TOTAL AM]])</f>
        <v>24.677500000000006</v>
      </c>
      <c r="BW408" s="97"/>
      <c r="BX408" s="97"/>
    </row>
    <row r="409" spans="2:76" x14ac:dyDescent="0.25">
      <c r="B409" s="89">
        <v>7168</v>
      </c>
      <c r="C409" s="91" t="s">
        <v>13183</v>
      </c>
      <c r="D409" s="89"/>
      <c r="E409" s="89">
        <v>20140626</v>
      </c>
      <c r="F409" s="89" t="s">
        <v>20704</v>
      </c>
      <c r="G409" s="89" t="s">
        <v>20705</v>
      </c>
      <c r="H409" s="89" t="s">
        <v>20706</v>
      </c>
      <c r="I409" s="89" t="s">
        <v>20707</v>
      </c>
      <c r="J409" s="89" t="s">
        <v>74</v>
      </c>
      <c r="K409" s="99" t="s">
        <v>2512</v>
      </c>
      <c r="L409" s="89" t="s">
        <v>2695</v>
      </c>
      <c r="M409" s="89" t="s">
        <v>4496</v>
      </c>
      <c r="N409" s="89" t="s">
        <v>4496</v>
      </c>
      <c r="O409" s="89" t="s">
        <v>4496</v>
      </c>
      <c r="P409" s="89" t="s">
        <v>4496</v>
      </c>
      <c r="Q409" s="89"/>
      <c r="R409" s="89" t="s">
        <v>29</v>
      </c>
      <c r="S409" s="89" t="s">
        <v>21618</v>
      </c>
      <c r="T409" s="89" t="s">
        <v>21619</v>
      </c>
      <c r="U409" s="89" t="str">
        <f>TRIM('Carga Tributária doenças Po (2'!$L409)</f>
        <v>SUCRALFATO</v>
      </c>
      <c r="V409" s="89">
        <f>SUMIFS('Tabela Federal'!$E$4:$E$2069,'Tabela Federal'!$D$4:$D$2069,'Carga Tributária doenças Po (2'!$L409)</f>
        <v>0</v>
      </c>
      <c r="W409" s="89">
        <f>SUMIFS('Tabela Federal'!$E$4:$E$2069,'Tabela Federal'!$D$4:$D$2069,'Carga Tributária doenças Po (2'!$M409)</f>
        <v>0</v>
      </c>
      <c r="X409" s="89">
        <f>SUMIFS('Tabela Federal'!$E$4:$E$2069,'Tabela Federal'!$D$4:$D$2069,'Carga Tributária doenças Po (2'!$N409)</f>
        <v>0</v>
      </c>
      <c r="Y409" s="89">
        <f>SUMIFS('Tabela Federal'!$E$4:$E$2069,'Tabela Federal'!$D$4:$D$2069,'Carga Tributária doenças Po (2'!$O409)</f>
        <v>0</v>
      </c>
      <c r="Z409" s="92" t="str">
        <f>VLOOKUP('Carga Tributária doenças Po (2'!$AD409,'Carga Tributária doenças Po (2'!$CA$12:$CC$16,2,0)</f>
        <v>-</v>
      </c>
      <c r="AA409" s="89" t="s">
        <v>75</v>
      </c>
      <c r="AB409" s="89" t="s">
        <v>21834</v>
      </c>
      <c r="AC409" s="89" t="s">
        <v>21721</v>
      </c>
      <c r="AD409" s="93" t="s">
        <v>19523</v>
      </c>
      <c r="AE409" s="92" t="s">
        <v>4</v>
      </c>
      <c r="AF409" s="92" t="s">
        <v>3</v>
      </c>
      <c r="AG409" s="94">
        <v>175760</v>
      </c>
      <c r="AH409" s="95">
        <v>3770951</v>
      </c>
      <c r="AI409" s="95">
        <v>8603404.8300000001</v>
      </c>
      <c r="AJ409" s="89" t="s">
        <v>61</v>
      </c>
      <c r="AK409" s="89">
        <f>IF('Carga Tributária doenças Po (2'!$Z409="+",0,SUMIFS(PISCOFINS!$I$3:$I$10518,PISCOFINS!$C$3:$C$10518,'Carga Tributária doenças Po (2'!$C409))</f>
        <v>2.1</v>
      </c>
      <c r="AL409" s="89">
        <f>IF('Carga Tributária doenças Po (2'!$Z409="+",0,SUMIFS(PISCOFINS!$H$3:$H$10518,PISCOFINS!$C$3:$C$10518,'Carga Tributária doenças Po (2'!$C409))</f>
        <v>9.9</v>
      </c>
      <c r="AM409" s="95">
        <v>3.27</v>
      </c>
      <c r="AN409" s="95">
        <v>3.12</v>
      </c>
      <c r="AO409" s="95">
        <v>1.35</v>
      </c>
      <c r="AP409" s="96">
        <v>18</v>
      </c>
      <c r="AQ409" s="96">
        <v>12</v>
      </c>
      <c r="AR409" s="96">
        <v>17</v>
      </c>
      <c r="AS409" s="97">
        <v>17</v>
      </c>
      <c r="AT409" s="97">
        <v>19</v>
      </c>
      <c r="AU409" s="97">
        <v>18</v>
      </c>
      <c r="AV409" s="97">
        <v>17</v>
      </c>
      <c r="AW409" s="97">
        <v>17</v>
      </c>
      <c r="AX409" s="97">
        <v>17</v>
      </c>
      <c r="AY409" s="97">
        <v>17</v>
      </c>
      <c r="AZ409" s="97">
        <v>17</v>
      </c>
      <c r="BA409" s="97">
        <v>17</v>
      </c>
      <c r="BB409" s="97">
        <v>17</v>
      </c>
      <c r="BC409" s="97">
        <v>17</v>
      </c>
      <c r="BD409" s="97">
        <v>17</v>
      </c>
      <c r="BE409" s="97">
        <v>17</v>
      </c>
      <c r="BF409" s="97">
        <f>+Tabela1107[[#This Row],[PIS]]+Tabela1107[[#This Row],[COFINS]]+Tabela1107[[#This Row],[CONTRIB. FOLHA]]+Tabela1107[[#This Row],[TRIBUTOS S/ LUCRO]]+Tabela1107[[#This Row],[OUTROS]]+Tabela1107[[#This Row],[SP]]</f>
        <v>37.74</v>
      </c>
      <c r="BG409" s="97">
        <f>+Tabela1107[[#This Row],[PIS]]+Tabela1107[[#This Row],[COFINS]]+Tabela1107[[#This Row],[CONTRIB. FOLHA]]+Tabela1107[[#This Row],[TRIBUTOS S/ LUCRO]]+Tabela1107[[#This Row],[OUTROS]]+Tabela1107[[#This Row],[PR]]</f>
        <v>31.740000000000002</v>
      </c>
      <c r="BH409" s="97">
        <f>+Tabela1107[[#This Row],[PIS]]+Tabela1107[[#This Row],[COFINS]]+Tabela1107[[#This Row],[CONTRIB. FOLHA]]+Tabela1107[[#This Row],[TRIBUTOS S/ LUCRO]]+Tabela1107[[#This Row],[OUTROS]]+Tabela1107[[#This Row],[SC]]</f>
        <v>36.74</v>
      </c>
      <c r="BI409" s="97">
        <f>+Tabela1107[[#This Row],[PIS]]+Tabela1107[[#This Row],[COFINS]]+Tabela1107[[#This Row],[CONTRIB. FOLHA]]+Tabela1107[[#This Row],[TRIBUTOS S/ LUCRO]]+Tabela1107[[#This Row],[OUTROS]]+Tabela1107[[#This Row],[RS]]</f>
        <v>36.74</v>
      </c>
      <c r="BJ409" s="97">
        <f>+Tabela1107[[#This Row],[PIS]]+Tabela1107[[#This Row],[COFINS]]+Tabela1107[[#This Row],[CONTRIB. FOLHA]]+Tabela1107[[#This Row],[TRIBUTOS S/ LUCRO]]+Tabela1107[[#This Row],[OUTROS]]+Tabela1107[[#This Row],[RJ]]</f>
        <v>38.74</v>
      </c>
      <c r="BK409" s="97">
        <f>+Tabela1107[[#This Row],[PIS]]+Tabela1107[[#This Row],[COFINS]]+Tabela1107[[#This Row],[CONTRIB. FOLHA]]+Tabela1107[[#This Row],[TRIBUTOS S/ LUCRO]]+Tabela1107[[#This Row],[OUTROS]]+Tabela1107[[#This Row],[MG]]</f>
        <v>37.74</v>
      </c>
      <c r="BL409" s="97">
        <f>+Tabela1107[[#This Row],[PIS]]+Tabela1107[[#This Row],[COFINS]]+Tabela1107[[#This Row],[CONTRIB. FOLHA]]+Tabela1107[[#This Row],[TRIBUTOS S/ LUCRO]]+Tabela1107[[#This Row],[OUTROS]]+Tabela1107[[#This Row],[ES]]</f>
        <v>36.74</v>
      </c>
      <c r="BM409" s="97">
        <f>+Tabela1107[[#This Row],[PIS]]+Tabela1107[[#This Row],[COFINS]]+Tabela1107[[#This Row],[CONTRIB. FOLHA]]+Tabela1107[[#This Row],[TRIBUTOS S/ LUCRO]]+Tabela1107[[#This Row],[OUTROS]]+Tabela1107[[#This Row],[GO]]</f>
        <v>36.74</v>
      </c>
      <c r="BN409" s="97">
        <f>+Tabela1107[[#This Row],[PIS]]+Tabela1107[[#This Row],[COFINS]]+Tabela1107[[#This Row],[CONTRIB. FOLHA]]+Tabela1107[[#This Row],[TRIBUTOS S/ LUCRO]]+Tabela1107[[#This Row],[OUTROS]]+Tabela1107[[#This Row],[MT]]</f>
        <v>36.74</v>
      </c>
      <c r="BO409" s="97">
        <f>+Tabela1107[[#This Row],[PIS]]+Tabela1107[[#This Row],[COFINS]]+Tabela1107[[#This Row],[CONTRIB. FOLHA]]+Tabela1107[[#This Row],[TRIBUTOS S/ LUCRO]]+Tabela1107[[#This Row],[OUTROS]]+Tabela1107[[#This Row],[MS]]</f>
        <v>36.74</v>
      </c>
      <c r="BP409" s="97">
        <f>+Tabela1107[[#This Row],[PIS]]+Tabela1107[[#This Row],[COFINS]]+Tabela1107[[#This Row],[CONTRIB. FOLHA]]+Tabela1107[[#This Row],[TRIBUTOS S/ LUCRO]]+Tabela1107[[#This Row],[OUTROS]]+Tabela1107[[#This Row],[DF]]</f>
        <v>36.74</v>
      </c>
      <c r="BQ409" s="97">
        <f>+Tabela1107[[#This Row],[PIS]]+Tabela1107[[#This Row],[COFINS]]+Tabela1107[[#This Row],[CONTRIB. FOLHA]]+Tabela1107[[#This Row],[TRIBUTOS S/ LUCRO]]+Tabela1107[[#This Row],[OUTROS]]+Tabela1107[[#This Row],[BA]]</f>
        <v>36.74</v>
      </c>
      <c r="BR409" s="97">
        <f>+Tabela1107[[#This Row],[PIS]]+Tabela1107[[#This Row],[COFINS]]+Tabela1107[[#This Row],[CONTRIB. FOLHA]]+Tabela1107[[#This Row],[TRIBUTOS S/ LUCRO]]+Tabela1107[[#This Row],[OUTROS]]+Tabela1107[[#This Row],[BA]]</f>
        <v>36.74</v>
      </c>
      <c r="BS409" s="97">
        <f>+Tabela1107[[#This Row],[PIS]]+Tabela1107[[#This Row],[COFINS]]+Tabela1107[[#This Row],[CONTRIB. FOLHA]]+Tabela1107[[#This Row],[TRIBUTOS S/ LUCRO]]+Tabela1107[[#This Row],[OUTROS]]+Tabela1107[[#This Row],[PE]]</f>
        <v>36.74</v>
      </c>
      <c r="BT409" s="97">
        <f>+Tabela1107[[#This Row],[PIS]]+Tabela1107[[#This Row],[COFINS]]+Tabela1107[[#This Row],[CONTRIB. FOLHA]]+Tabela1107[[#This Row],[TRIBUTOS S/ LUCRO]]+Tabela1107[[#This Row],[OUTROS]]+Tabela1107[[#This Row],[PA]]</f>
        <v>36.74</v>
      </c>
      <c r="BU409" s="97">
        <f>+Tabela1107[[#This Row],[PIS]]+Tabela1107[[#This Row],[COFINS]]+Tabela1107[[#This Row],[CONTRIB. FOLHA]]+Tabela1107[[#This Row],[TRIBUTOS S/ LUCRO]]+Tabela1107[[#This Row],[OUTROS]]+Tabela1107[[#This Row],[AM]]</f>
        <v>36.74</v>
      </c>
      <c r="BV409" s="97">
        <f>AVERAGE(Tabela1107[[#This Row],[TOTAL SP]:[TOTAL AM]])</f>
        <v>36.677500000000002</v>
      </c>
      <c r="BW409" s="97"/>
      <c r="BX409" s="97"/>
    </row>
    <row r="410" spans="2:76" x14ac:dyDescent="0.25">
      <c r="B410" s="89">
        <v>8625</v>
      </c>
      <c r="C410" s="91" t="s">
        <v>13183</v>
      </c>
      <c r="D410" s="89"/>
      <c r="E410" s="89">
        <v>20140626</v>
      </c>
      <c r="F410" s="89" t="s">
        <v>20503</v>
      </c>
      <c r="G410" s="89" t="s">
        <v>20504</v>
      </c>
      <c r="H410" s="89" t="s">
        <v>20505</v>
      </c>
      <c r="I410" s="89" t="s">
        <v>20506</v>
      </c>
      <c r="J410" s="89" t="s">
        <v>185</v>
      </c>
      <c r="K410" s="99" t="s">
        <v>2511</v>
      </c>
      <c r="L410" s="89" t="s">
        <v>2696</v>
      </c>
      <c r="M410" s="89" t="s">
        <v>4496</v>
      </c>
      <c r="N410" s="89" t="s">
        <v>4496</v>
      </c>
      <c r="O410" s="89" t="s">
        <v>4496</v>
      </c>
      <c r="P410" s="89" t="s">
        <v>4496</v>
      </c>
      <c r="Q410" s="89"/>
      <c r="R410" s="89" t="s">
        <v>186</v>
      </c>
      <c r="S410" s="89" t="s">
        <v>21594</v>
      </c>
      <c r="T410" s="89" t="s">
        <v>21595</v>
      </c>
      <c r="U410" s="89" t="str">
        <f>TRIM('Carga Tributária doenças Po (2'!$L410)</f>
        <v>SULFATO FERROSO</v>
      </c>
      <c r="V410" s="89">
        <f>SUMIFS('Tabela Federal'!$E$4:$E$2069,'Tabela Federal'!$D$4:$D$2069,'Carga Tributária doenças Po (2'!$L410)</f>
        <v>0</v>
      </c>
      <c r="W410" s="89">
        <f>SUMIFS('Tabela Federal'!$E$4:$E$2069,'Tabela Federal'!$D$4:$D$2069,'Carga Tributária doenças Po (2'!$M410)</f>
        <v>0</v>
      </c>
      <c r="X410" s="89">
        <f>SUMIFS('Tabela Federal'!$E$4:$E$2069,'Tabela Federal'!$D$4:$D$2069,'Carga Tributária doenças Po (2'!$N410)</f>
        <v>0</v>
      </c>
      <c r="Y410" s="89">
        <f>SUMIFS('Tabela Federal'!$E$4:$E$2069,'Tabela Federal'!$D$4:$D$2069,'Carga Tributária doenças Po (2'!$O410)</f>
        <v>0</v>
      </c>
      <c r="Z410" s="92" t="str">
        <f>VLOOKUP('Carga Tributária doenças Po (2'!$AD410,'Carga Tributária doenças Po (2'!$CA$12:$CC$16,2,0)</f>
        <v>-</v>
      </c>
      <c r="AA410" s="89" t="s">
        <v>184</v>
      </c>
      <c r="AB410" s="89" t="s">
        <v>21739</v>
      </c>
      <c r="AC410" s="89" t="s">
        <v>21740</v>
      </c>
      <c r="AD410" s="93" t="s">
        <v>19523</v>
      </c>
      <c r="AE410" s="92" t="s">
        <v>4</v>
      </c>
      <c r="AF410" s="92" t="s">
        <v>3</v>
      </c>
      <c r="AG410" s="94">
        <v>628094</v>
      </c>
      <c r="AH410" s="95">
        <v>2358810</v>
      </c>
      <c r="AI410" s="95">
        <v>5387203.5</v>
      </c>
      <c r="AJ410" s="89" t="s">
        <v>174</v>
      </c>
      <c r="AK410" s="89">
        <f>IF('Carga Tributária doenças Po (2'!$Z410="+",0,SUMIFS(PISCOFINS!$I$3:$I$10518,PISCOFINS!$C$3:$C$10518,'Carga Tributária doenças Po (2'!$C410))</f>
        <v>2.1</v>
      </c>
      <c r="AL410" s="89">
        <f>IF('Carga Tributária doenças Po (2'!$Z410="+",0,SUMIFS(PISCOFINS!$H$3:$H$10518,PISCOFINS!$C$3:$C$10518,'Carga Tributária doenças Po (2'!$C410))</f>
        <v>9.9</v>
      </c>
      <c r="AM410" s="95">
        <v>3.27</v>
      </c>
      <c r="AN410" s="95">
        <v>3.12</v>
      </c>
      <c r="AO410" s="95">
        <v>1.35</v>
      </c>
      <c r="AP410" s="96">
        <v>18</v>
      </c>
      <c r="AQ410" s="96">
        <v>12</v>
      </c>
      <c r="AR410" s="96">
        <v>17</v>
      </c>
      <c r="AS410" s="97">
        <v>17</v>
      </c>
      <c r="AT410" s="97">
        <v>19</v>
      </c>
      <c r="AU410" s="97">
        <v>18</v>
      </c>
      <c r="AV410" s="97">
        <v>17</v>
      </c>
      <c r="AW410" s="97">
        <v>17</v>
      </c>
      <c r="AX410" s="97">
        <v>17</v>
      </c>
      <c r="AY410" s="97">
        <v>17</v>
      </c>
      <c r="AZ410" s="97">
        <v>17</v>
      </c>
      <c r="BA410" s="97">
        <v>17</v>
      </c>
      <c r="BB410" s="97">
        <v>17</v>
      </c>
      <c r="BC410" s="97">
        <v>17</v>
      </c>
      <c r="BD410" s="97">
        <v>17</v>
      </c>
      <c r="BE410" s="97">
        <v>17</v>
      </c>
      <c r="BF410" s="97">
        <f>+Tabela1107[[#This Row],[PIS]]+Tabela1107[[#This Row],[COFINS]]+Tabela1107[[#This Row],[CONTRIB. FOLHA]]+Tabela1107[[#This Row],[TRIBUTOS S/ LUCRO]]+Tabela1107[[#This Row],[OUTROS]]+Tabela1107[[#This Row],[SP]]</f>
        <v>37.74</v>
      </c>
      <c r="BG410" s="97">
        <f>+Tabela1107[[#This Row],[PIS]]+Tabela1107[[#This Row],[COFINS]]+Tabela1107[[#This Row],[CONTRIB. FOLHA]]+Tabela1107[[#This Row],[TRIBUTOS S/ LUCRO]]+Tabela1107[[#This Row],[OUTROS]]+Tabela1107[[#This Row],[PR]]</f>
        <v>31.740000000000002</v>
      </c>
      <c r="BH410" s="97">
        <f>+Tabela1107[[#This Row],[PIS]]+Tabela1107[[#This Row],[COFINS]]+Tabela1107[[#This Row],[CONTRIB. FOLHA]]+Tabela1107[[#This Row],[TRIBUTOS S/ LUCRO]]+Tabela1107[[#This Row],[OUTROS]]+Tabela1107[[#This Row],[SC]]</f>
        <v>36.74</v>
      </c>
      <c r="BI410" s="97">
        <f>+Tabela1107[[#This Row],[PIS]]+Tabela1107[[#This Row],[COFINS]]+Tabela1107[[#This Row],[CONTRIB. FOLHA]]+Tabela1107[[#This Row],[TRIBUTOS S/ LUCRO]]+Tabela1107[[#This Row],[OUTROS]]+Tabela1107[[#This Row],[RS]]</f>
        <v>36.74</v>
      </c>
      <c r="BJ410" s="97">
        <f>+Tabela1107[[#This Row],[PIS]]+Tabela1107[[#This Row],[COFINS]]+Tabela1107[[#This Row],[CONTRIB. FOLHA]]+Tabela1107[[#This Row],[TRIBUTOS S/ LUCRO]]+Tabela1107[[#This Row],[OUTROS]]+Tabela1107[[#This Row],[RJ]]</f>
        <v>38.74</v>
      </c>
      <c r="BK410" s="97">
        <f>+Tabela1107[[#This Row],[PIS]]+Tabela1107[[#This Row],[COFINS]]+Tabela1107[[#This Row],[CONTRIB. FOLHA]]+Tabela1107[[#This Row],[TRIBUTOS S/ LUCRO]]+Tabela1107[[#This Row],[OUTROS]]+Tabela1107[[#This Row],[MG]]</f>
        <v>37.74</v>
      </c>
      <c r="BL410" s="97">
        <f>+Tabela1107[[#This Row],[PIS]]+Tabela1107[[#This Row],[COFINS]]+Tabela1107[[#This Row],[CONTRIB. FOLHA]]+Tabela1107[[#This Row],[TRIBUTOS S/ LUCRO]]+Tabela1107[[#This Row],[OUTROS]]+Tabela1107[[#This Row],[ES]]</f>
        <v>36.74</v>
      </c>
      <c r="BM410" s="97">
        <f>+Tabela1107[[#This Row],[PIS]]+Tabela1107[[#This Row],[COFINS]]+Tabela1107[[#This Row],[CONTRIB. FOLHA]]+Tabela1107[[#This Row],[TRIBUTOS S/ LUCRO]]+Tabela1107[[#This Row],[OUTROS]]+Tabela1107[[#This Row],[GO]]</f>
        <v>36.74</v>
      </c>
      <c r="BN410" s="97">
        <f>+Tabela1107[[#This Row],[PIS]]+Tabela1107[[#This Row],[COFINS]]+Tabela1107[[#This Row],[CONTRIB. FOLHA]]+Tabela1107[[#This Row],[TRIBUTOS S/ LUCRO]]+Tabela1107[[#This Row],[OUTROS]]+Tabela1107[[#This Row],[MT]]</f>
        <v>36.74</v>
      </c>
      <c r="BO410" s="97">
        <f>+Tabela1107[[#This Row],[PIS]]+Tabela1107[[#This Row],[COFINS]]+Tabela1107[[#This Row],[CONTRIB. FOLHA]]+Tabela1107[[#This Row],[TRIBUTOS S/ LUCRO]]+Tabela1107[[#This Row],[OUTROS]]+Tabela1107[[#This Row],[MS]]</f>
        <v>36.74</v>
      </c>
      <c r="BP410" s="97">
        <f>+Tabela1107[[#This Row],[PIS]]+Tabela1107[[#This Row],[COFINS]]+Tabela1107[[#This Row],[CONTRIB. FOLHA]]+Tabela1107[[#This Row],[TRIBUTOS S/ LUCRO]]+Tabela1107[[#This Row],[OUTROS]]+Tabela1107[[#This Row],[DF]]</f>
        <v>36.74</v>
      </c>
      <c r="BQ410" s="97">
        <f>+Tabela1107[[#This Row],[PIS]]+Tabela1107[[#This Row],[COFINS]]+Tabela1107[[#This Row],[CONTRIB. FOLHA]]+Tabela1107[[#This Row],[TRIBUTOS S/ LUCRO]]+Tabela1107[[#This Row],[OUTROS]]+Tabela1107[[#This Row],[BA]]</f>
        <v>36.74</v>
      </c>
      <c r="BR410" s="97">
        <f>+Tabela1107[[#This Row],[PIS]]+Tabela1107[[#This Row],[COFINS]]+Tabela1107[[#This Row],[CONTRIB. FOLHA]]+Tabela1107[[#This Row],[TRIBUTOS S/ LUCRO]]+Tabela1107[[#This Row],[OUTROS]]+Tabela1107[[#This Row],[BA]]</f>
        <v>36.74</v>
      </c>
      <c r="BS410" s="97">
        <f>+Tabela1107[[#This Row],[PIS]]+Tabela1107[[#This Row],[COFINS]]+Tabela1107[[#This Row],[CONTRIB. FOLHA]]+Tabela1107[[#This Row],[TRIBUTOS S/ LUCRO]]+Tabela1107[[#This Row],[OUTROS]]+Tabela1107[[#This Row],[PE]]</f>
        <v>36.74</v>
      </c>
      <c r="BT410" s="97">
        <f>+Tabela1107[[#This Row],[PIS]]+Tabela1107[[#This Row],[COFINS]]+Tabela1107[[#This Row],[CONTRIB. FOLHA]]+Tabela1107[[#This Row],[TRIBUTOS S/ LUCRO]]+Tabela1107[[#This Row],[OUTROS]]+Tabela1107[[#This Row],[PA]]</f>
        <v>36.74</v>
      </c>
      <c r="BU410" s="97">
        <f>+Tabela1107[[#This Row],[PIS]]+Tabela1107[[#This Row],[COFINS]]+Tabela1107[[#This Row],[CONTRIB. FOLHA]]+Tabela1107[[#This Row],[TRIBUTOS S/ LUCRO]]+Tabela1107[[#This Row],[OUTROS]]+Tabela1107[[#This Row],[AM]]</f>
        <v>36.74</v>
      </c>
      <c r="BV410" s="97">
        <f>AVERAGE(Tabela1107[[#This Row],[TOTAL SP]:[TOTAL AM]])</f>
        <v>36.677500000000002</v>
      </c>
      <c r="BW410" s="97"/>
      <c r="BX410" s="97"/>
    </row>
    <row r="411" spans="2:76" x14ac:dyDescent="0.25">
      <c r="B411" s="89">
        <v>19534</v>
      </c>
      <c r="C411" s="91" t="s">
        <v>13125</v>
      </c>
      <c r="D411" s="89"/>
      <c r="E411" s="89">
        <v>20140626</v>
      </c>
      <c r="F411" s="89" t="s">
        <v>20780</v>
      </c>
      <c r="G411" s="89" t="s">
        <v>20781</v>
      </c>
      <c r="H411" s="89" t="s">
        <v>20782</v>
      </c>
      <c r="I411" s="89" t="s">
        <v>20783</v>
      </c>
      <c r="J411" s="89" t="s">
        <v>500</v>
      </c>
      <c r="K411" s="99" t="s">
        <v>2507</v>
      </c>
      <c r="L411" s="89" t="s">
        <v>2697</v>
      </c>
      <c r="M411" s="89" t="s">
        <v>4496</v>
      </c>
      <c r="N411" s="89" t="s">
        <v>4496</v>
      </c>
      <c r="O411" s="89" t="s">
        <v>4496</v>
      </c>
      <c r="P411" s="89" t="s">
        <v>4496</v>
      </c>
      <c r="Q411" s="89"/>
      <c r="R411" s="89" t="s">
        <v>290</v>
      </c>
      <c r="S411" s="89" t="s">
        <v>21620</v>
      </c>
      <c r="T411" s="89" t="s">
        <v>21621</v>
      </c>
      <c r="U411" s="89" t="str">
        <f>TRIM('Carga Tributária doenças Po (2'!$L411)</f>
        <v>PROPATILNITRATO</v>
      </c>
      <c r="V411" s="89">
        <f>SUMIFS('Tabela Federal'!$E$4:$E$2069,'Tabela Federal'!$D$4:$D$2069,'Carga Tributária doenças Po (2'!$L411)</f>
        <v>1</v>
      </c>
      <c r="W411" s="89">
        <f>SUMIFS('Tabela Federal'!$E$4:$E$2069,'Tabela Federal'!$D$4:$D$2069,'Carga Tributária doenças Po (2'!$M411)</f>
        <v>0</v>
      </c>
      <c r="X411" s="89">
        <f>SUMIFS('Tabela Federal'!$E$4:$E$2069,'Tabela Federal'!$D$4:$D$2069,'Carga Tributária doenças Po (2'!$N411)</f>
        <v>0</v>
      </c>
      <c r="Y411" s="89">
        <f>SUMIFS('Tabela Federal'!$E$4:$E$2069,'Tabela Federal'!$D$4:$D$2069,'Carga Tributária doenças Po (2'!$O411)</f>
        <v>0</v>
      </c>
      <c r="Z411" s="92" t="str">
        <f>VLOOKUP('Carga Tributária doenças Po (2'!$AD411,'Carga Tributária doenças Po (2'!$CA$12:$CC$16,2,0)</f>
        <v>+</v>
      </c>
      <c r="AA411" s="89" t="s">
        <v>501</v>
      </c>
      <c r="AB411" s="89" t="s">
        <v>21761</v>
      </c>
      <c r="AC411" s="89" t="s">
        <v>21721</v>
      </c>
      <c r="AD411" s="93" t="s">
        <v>21722</v>
      </c>
      <c r="AE411" s="92" t="s">
        <v>2</v>
      </c>
      <c r="AF411" s="92" t="s">
        <v>23</v>
      </c>
      <c r="AG411" s="94">
        <v>2459784</v>
      </c>
      <c r="AH411" s="95">
        <v>15212644</v>
      </c>
      <c r="AI411" s="95">
        <v>34718358.280000001</v>
      </c>
      <c r="AJ411" s="89" t="s">
        <v>499</v>
      </c>
      <c r="AK411" s="89">
        <f>IF('Carga Tributária doenças Po (2'!$Z411="+",0,SUMIFS(PISCOFINS!$I$3:$I$10518,PISCOFINS!$C$3:$C$10518,'Carga Tributária doenças Po (2'!$C411))</f>
        <v>0</v>
      </c>
      <c r="AL411" s="89">
        <f>IF('Carga Tributária doenças Po (2'!$Z411="+",0,SUMIFS(PISCOFINS!$H$3:$H$10518,PISCOFINS!$C$3:$C$10518,'Carga Tributária doenças Po (2'!$C411))</f>
        <v>0</v>
      </c>
      <c r="AM411" s="95">
        <v>3.27</v>
      </c>
      <c r="AN411" s="95">
        <v>3.12</v>
      </c>
      <c r="AO411" s="95">
        <v>1.35</v>
      </c>
      <c r="AP411" s="96">
        <v>18</v>
      </c>
      <c r="AQ411" s="96">
        <v>12</v>
      </c>
      <c r="AR411" s="96">
        <v>17</v>
      </c>
      <c r="AS411" s="97">
        <v>17</v>
      </c>
      <c r="AT411" s="97">
        <v>19</v>
      </c>
      <c r="AU411" s="97">
        <v>18</v>
      </c>
      <c r="AV411" s="97">
        <v>17</v>
      </c>
      <c r="AW411" s="97">
        <v>17</v>
      </c>
      <c r="AX411" s="97">
        <v>17</v>
      </c>
      <c r="AY411" s="97">
        <v>17</v>
      </c>
      <c r="AZ411" s="97">
        <v>17</v>
      </c>
      <c r="BA411" s="97">
        <v>17</v>
      </c>
      <c r="BB411" s="97">
        <v>17</v>
      </c>
      <c r="BC411" s="97">
        <v>17</v>
      </c>
      <c r="BD411" s="97">
        <v>17</v>
      </c>
      <c r="BE411" s="97">
        <v>17</v>
      </c>
      <c r="BF411" s="97">
        <f>+Tabela1107[[#This Row],[PIS]]+Tabela1107[[#This Row],[COFINS]]+Tabela1107[[#This Row],[CONTRIB. FOLHA]]+Tabela1107[[#This Row],[TRIBUTOS S/ LUCRO]]+Tabela1107[[#This Row],[OUTROS]]+Tabela1107[[#This Row],[SP]]</f>
        <v>25.740000000000002</v>
      </c>
      <c r="BG411" s="97">
        <f>+Tabela1107[[#This Row],[PIS]]+Tabela1107[[#This Row],[COFINS]]+Tabela1107[[#This Row],[CONTRIB. FOLHA]]+Tabela1107[[#This Row],[TRIBUTOS S/ LUCRO]]+Tabela1107[[#This Row],[OUTROS]]+Tabela1107[[#This Row],[PR]]</f>
        <v>19.740000000000002</v>
      </c>
      <c r="BH411" s="97">
        <f>+Tabela1107[[#This Row],[PIS]]+Tabela1107[[#This Row],[COFINS]]+Tabela1107[[#This Row],[CONTRIB. FOLHA]]+Tabela1107[[#This Row],[TRIBUTOS S/ LUCRO]]+Tabela1107[[#This Row],[OUTROS]]+Tabela1107[[#This Row],[SC]]</f>
        <v>24.740000000000002</v>
      </c>
      <c r="BI411" s="97">
        <f>+Tabela1107[[#This Row],[PIS]]+Tabela1107[[#This Row],[COFINS]]+Tabela1107[[#This Row],[CONTRIB. FOLHA]]+Tabela1107[[#This Row],[TRIBUTOS S/ LUCRO]]+Tabela1107[[#This Row],[OUTROS]]+Tabela1107[[#This Row],[RS]]</f>
        <v>24.740000000000002</v>
      </c>
      <c r="BJ411" s="97">
        <f>+Tabela1107[[#This Row],[PIS]]+Tabela1107[[#This Row],[COFINS]]+Tabela1107[[#This Row],[CONTRIB. FOLHA]]+Tabela1107[[#This Row],[TRIBUTOS S/ LUCRO]]+Tabela1107[[#This Row],[OUTROS]]+Tabela1107[[#This Row],[RJ]]</f>
        <v>26.740000000000002</v>
      </c>
      <c r="BK411" s="97">
        <f>+Tabela1107[[#This Row],[PIS]]+Tabela1107[[#This Row],[COFINS]]+Tabela1107[[#This Row],[CONTRIB. FOLHA]]+Tabela1107[[#This Row],[TRIBUTOS S/ LUCRO]]+Tabela1107[[#This Row],[OUTROS]]+Tabela1107[[#This Row],[MG]]</f>
        <v>25.740000000000002</v>
      </c>
      <c r="BL411" s="97">
        <f>+Tabela1107[[#This Row],[PIS]]+Tabela1107[[#This Row],[COFINS]]+Tabela1107[[#This Row],[CONTRIB. FOLHA]]+Tabela1107[[#This Row],[TRIBUTOS S/ LUCRO]]+Tabela1107[[#This Row],[OUTROS]]+Tabela1107[[#This Row],[ES]]</f>
        <v>24.740000000000002</v>
      </c>
      <c r="BM411" s="97">
        <f>+Tabela1107[[#This Row],[PIS]]+Tabela1107[[#This Row],[COFINS]]+Tabela1107[[#This Row],[CONTRIB. FOLHA]]+Tabela1107[[#This Row],[TRIBUTOS S/ LUCRO]]+Tabela1107[[#This Row],[OUTROS]]+Tabela1107[[#This Row],[GO]]</f>
        <v>24.740000000000002</v>
      </c>
      <c r="BN411" s="97">
        <f>+Tabela1107[[#This Row],[PIS]]+Tabela1107[[#This Row],[COFINS]]+Tabela1107[[#This Row],[CONTRIB. FOLHA]]+Tabela1107[[#This Row],[TRIBUTOS S/ LUCRO]]+Tabela1107[[#This Row],[OUTROS]]+Tabela1107[[#This Row],[MT]]</f>
        <v>24.740000000000002</v>
      </c>
      <c r="BO411" s="97">
        <f>+Tabela1107[[#This Row],[PIS]]+Tabela1107[[#This Row],[COFINS]]+Tabela1107[[#This Row],[CONTRIB. FOLHA]]+Tabela1107[[#This Row],[TRIBUTOS S/ LUCRO]]+Tabela1107[[#This Row],[OUTROS]]+Tabela1107[[#This Row],[MS]]</f>
        <v>24.740000000000002</v>
      </c>
      <c r="BP411" s="97">
        <f>+Tabela1107[[#This Row],[PIS]]+Tabela1107[[#This Row],[COFINS]]+Tabela1107[[#This Row],[CONTRIB. FOLHA]]+Tabela1107[[#This Row],[TRIBUTOS S/ LUCRO]]+Tabela1107[[#This Row],[OUTROS]]+Tabela1107[[#This Row],[DF]]</f>
        <v>24.740000000000002</v>
      </c>
      <c r="BQ411" s="97">
        <f>+Tabela1107[[#This Row],[PIS]]+Tabela1107[[#This Row],[COFINS]]+Tabela1107[[#This Row],[CONTRIB. FOLHA]]+Tabela1107[[#This Row],[TRIBUTOS S/ LUCRO]]+Tabela1107[[#This Row],[OUTROS]]+Tabela1107[[#This Row],[BA]]</f>
        <v>24.740000000000002</v>
      </c>
      <c r="BR411" s="97">
        <f>+Tabela1107[[#This Row],[PIS]]+Tabela1107[[#This Row],[COFINS]]+Tabela1107[[#This Row],[CONTRIB. FOLHA]]+Tabela1107[[#This Row],[TRIBUTOS S/ LUCRO]]+Tabela1107[[#This Row],[OUTROS]]+Tabela1107[[#This Row],[BA]]</f>
        <v>24.740000000000002</v>
      </c>
      <c r="BS411" s="97">
        <f>+Tabela1107[[#This Row],[PIS]]+Tabela1107[[#This Row],[COFINS]]+Tabela1107[[#This Row],[CONTRIB. FOLHA]]+Tabela1107[[#This Row],[TRIBUTOS S/ LUCRO]]+Tabela1107[[#This Row],[OUTROS]]+Tabela1107[[#This Row],[PE]]</f>
        <v>24.740000000000002</v>
      </c>
      <c r="BT411" s="97">
        <f>+Tabela1107[[#This Row],[PIS]]+Tabela1107[[#This Row],[COFINS]]+Tabela1107[[#This Row],[CONTRIB. FOLHA]]+Tabela1107[[#This Row],[TRIBUTOS S/ LUCRO]]+Tabela1107[[#This Row],[OUTROS]]+Tabela1107[[#This Row],[PA]]</f>
        <v>24.740000000000002</v>
      </c>
      <c r="BU411" s="97">
        <f>+Tabela1107[[#This Row],[PIS]]+Tabela1107[[#This Row],[COFINS]]+Tabela1107[[#This Row],[CONTRIB. FOLHA]]+Tabela1107[[#This Row],[TRIBUTOS S/ LUCRO]]+Tabela1107[[#This Row],[OUTROS]]+Tabela1107[[#This Row],[AM]]</f>
        <v>24.740000000000002</v>
      </c>
      <c r="BV411" s="97">
        <f>AVERAGE(Tabela1107[[#This Row],[TOTAL SP]:[TOTAL AM]])</f>
        <v>24.677500000000006</v>
      </c>
      <c r="BW411" s="97"/>
      <c r="BX411" s="97"/>
    </row>
    <row r="412" spans="2:76" x14ac:dyDescent="0.25">
      <c r="B412" s="89">
        <v>14615</v>
      </c>
      <c r="C412" s="91" t="s">
        <v>13071</v>
      </c>
      <c r="D412" s="89"/>
      <c r="E412" s="89">
        <v>20140626</v>
      </c>
      <c r="F412" s="89" t="s">
        <v>20760</v>
      </c>
      <c r="G412" s="89" t="s">
        <v>20761</v>
      </c>
      <c r="H412" s="89" t="s">
        <v>20762</v>
      </c>
      <c r="I412" s="89" t="s">
        <v>20763</v>
      </c>
      <c r="J412" s="89" t="s">
        <v>197</v>
      </c>
      <c r="K412" s="99" t="s">
        <v>2504</v>
      </c>
      <c r="L412" s="89" t="s">
        <v>2664</v>
      </c>
      <c r="M412" s="89" t="s">
        <v>4496</v>
      </c>
      <c r="N412" s="89" t="s">
        <v>4496</v>
      </c>
      <c r="O412" s="89" t="s">
        <v>4496</v>
      </c>
      <c r="P412" s="89" t="s">
        <v>4496</v>
      </c>
      <c r="Q412" s="89"/>
      <c r="R412" s="89" t="s">
        <v>198</v>
      </c>
      <c r="S412" s="89" t="s">
        <v>21572</v>
      </c>
      <c r="T412" s="89" t="s">
        <v>21573</v>
      </c>
      <c r="U412" s="89" t="str">
        <f>TRIM('Carga Tributária doenças Po (2'!$L412)</f>
        <v>LEVOFLOXACINO</v>
      </c>
      <c r="V412" s="89">
        <f>SUMIFS('Tabela Federal'!$E$4:$E$2069,'Tabela Federal'!$D$4:$D$2069,'Carga Tributária doenças Po (2'!$L412)</f>
        <v>2</v>
      </c>
      <c r="W412" s="89">
        <f>SUMIFS('Tabela Federal'!$E$4:$E$2069,'Tabela Federal'!$D$4:$D$2069,'Carga Tributária doenças Po (2'!$M412)</f>
        <v>0</v>
      </c>
      <c r="X412" s="89">
        <f>SUMIFS('Tabela Federal'!$E$4:$E$2069,'Tabela Federal'!$D$4:$D$2069,'Carga Tributária doenças Po (2'!$N412)</f>
        <v>0</v>
      </c>
      <c r="Y412" s="89">
        <f>SUMIFS('Tabela Federal'!$E$4:$E$2069,'Tabela Federal'!$D$4:$D$2069,'Carga Tributária doenças Po (2'!$O412)</f>
        <v>0</v>
      </c>
      <c r="Z412" s="92" t="str">
        <f>VLOOKUP('Carga Tributária doenças Po (2'!$AD412,'Carga Tributária doenças Po (2'!$CA$12:$CC$16,2,0)</f>
        <v>+</v>
      </c>
      <c r="AA412" s="89" t="s">
        <v>195</v>
      </c>
      <c r="AB412" s="89" t="s">
        <v>21854</v>
      </c>
      <c r="AC412" s="89" t="s">
        <v>21721</v>
      </c>
      <c r="AD412" s="93" t="s">
        <v>21722</v>
      </c>
      <c r="AE412" s="92" t="s">
        <v>2</v>
      </c>
      <c r="AF412" s="92" t="s">
        <v>3</v>
      </c>
      <c r="AG412" s="94">
        <v>493268</v>
      </c>
      <c r="AH412" s="95">
        <v>9797270</v>
      </c>
      <c r="AI412" s="95">
        <v>22293680</v>
      </c>
      <c r="AJ412" s="89" t="s">
        <v>203</v>
      </c>
      <c r="AK412" s="89">
        <f>IF('Carga Tributária doenças Po (2'!$Z412="+",0,SUMIFS(PISCOFINS!$I$3:$I$10518,PISCOFINS!$C$3:$C$10518,'Carga Tributária doenças Po (2'!$C412))</f>
        <v>0</v>
      </c>
      <c r="AL412" s="89">
        <f>IF('Carga Tributária doenças Po (2'!$Z412="+",0,SUMIFS(PISCOFINS!$H$3:$H$10518,PISCOFINS!$C$3:$C$10518,'Carga Tributária doenças Po (2'!$C412))</f>
        <v>0</v>
      </c>
      <c r="AM412" s="95">
        <v>3.27</v>
      </c>
      <c r="AN412" s="95">
        <v>3.12</v>
      </c>
      <c r="AO412" s="95">
        <v>1.35</v>
      </c>
      <c r="AP412" s="96">
        <v>18</v>
      </c>
      <c r="AQ412" s="96">
        <v>12</v>
      </c>
      <c r="AR412" s="96">
        <v>17</v>
      </c>
      <c r="AS412" s="97">
        <v>17</v>
      </c>
      <c r="AT412" s="97">
        <v>19</v>
      </c>
      <c r="AU412" s="97">
        <v>18</v>
      </c>
      <c r="AV412" s="97">
        <v>17</v>
      </c>
      <c r="AW412" s="97">
        <v>17</v>
      </c>
      <c r="AX412" s="97">
        <v>17</v>
      </c>
      <c r="AY412" s="97">
        <v>17</v>
      </c>
      <c r="AZ412" s="97">
        <v>17</v>
      </c>
      <c r="BA412" s="97">
        <v>17</v>
      </c>
      <c r="BB412" s="97">
        <v>17</v>
      </c>
      <c r="BC412" s="97">
        <v>17</v>
      </c>
      <c r="BD412" s="97">
        <v>17</v>
      </c>
      <c r="BE412" s="97">
        <v>17</v>
      </c>
      <c r="BF412" s="97">
        <f>+Tabela1107[[#This Row],[PIS]]+Tabela1107[[#This Row],[COFINS]]+Tabela1107[[#This Row],[CONTRIB. FOLHA]]+Tabela1107[[#This Row],[TRIBUTOS S/ LUCRO]]+Tabela1107[[#This Row],[OUTROS]]+Tabela1107[[#This Row],[SP]]</f>
        <v>25.740000000000002</v>
      </c>
      <c r="BG412" s="97">
        <f>+Tabela1107[[#This Row],[PIS]]+Tabela1107[[#This Row],[COFINS]]+Tabela1107[[#This Row],[CONTRIB. FOLHA]]+Tabela1107[[#This Row],[TRIBUTOS S/ LUCRO]]+Tabela1107[[#This Row],[OUTROS]]+Tabela1107[[#This Row],[PR]]</f>
        <v>19.740000000000002</v>
      </c>
      <c r="BH412" s="97">
        <f>+Tabela1107[[#This Row],[PIS]]+Tabela1107[[#This Row],[COFINS]]+Tabela1107[[#This Row],[CONTRIB. FOLHA]]+Tabela1107[[#This Row],[TRIBUTOS S/ LUCRO]]+Tabela1107[[#This Row],[OUTROS]]+Tabela1107[[#This Row],[SC]]</f>
        <v>24.740000000000002</v>
      </c>
      <c r="BI412" s="97">
        <f>+Tabela1107[[#This Row],[PIS]]+Tabela1107[[#This Row],[COFINS]]+Tabela1107[[#This Row],[CONTRIB. FOLHA]]+Tabela1107[[#This Row],[TRIBUTOS S/ LUCRO]]+Tabela1107[[#This Row],[OUTROS]]+Tabela1107[[#This Row],[RS]]</f>
        <v>24.740000000000002</v>
      </c>
      <c r="BJ412" s="97">
        <f>+Tabela1107[[#This Row],[PIS]]+Tabela1107[[#This Row],[COFINS]]+Tabela1107[[#This Row],[CONTRIB. FOLHA]]+Tabela1107[[#This Row],[TRIBUTOS S/ LUCRO]]+Tabela1107[[#This Row],[OUTROS]]+Tabela1107[[#This Row],[RJ]]</f>
        <v>26.740000000000002</v>
      </c>
      <c r="BK412" s="97">
        <f>+Tabela1107[[#This Row],[PIS]]+Tabela1107[[#This Row],[COFINS]]+Tabela1107[[#This Row],[CONTRIB. FOLHA]]+Tabela1107[[#This Row],[TRIBUTOS S/ LUCRO]]+Tabela1107[[#This Row],[OUTROS]]+Tabela1107[[#This Row],[MG]]</f>
        <v>25.740000000000002</v>
      </c>
      <c r="BL412" s="97">
        <f>+Tabela1107[[#This Row],[PIS]]+Tabela1107[[#This Row],[COFINS]]+Tabela1107[[#This Row],[CONTRIB. FOLHA]]+Tabela1107[[#This Row],[TRIBUTOS S/ LUCRO]]+Tabela1107[[#This Row],[OUTROS]]+Tabela1107[[#This Row],[ES]]</f>
        <v>24.740000000000002</v>
      </c>
      <c r="BM412" s="97">
        <f>+Tabela1107[[#This Row],[PIS]]+Tabela1107[[#This Row],[COFINS]]+Tabela1107[[#This Row],[CONTRIB. FOLHA]]+Tabela1107[[#This Row],[TRIBUTOS S/ LUCRO]]+Tabela1107[[#This Row],[OUTROS]]+Tabela1107[[#This Row],[GO]]</f>
        <v>24.740000000000002</v>
      </c>
      <c r="BN412" s="97">
        <f>+Tabela1107[[#This Row],[PIS]]+Tabela1107[[#This Row],[COFINS]]+Tabela1107[[#This Row],[CONTRIB. FOLHA]]+Tabela1107[[#This Row],[TRIBUTOS S/ LUCRO]]+Tabela1107[[#This Row],[OUTROS]]+Tabela1107[[#This Row],[MT]]</f>
        <v>24.740000000000002</v>
      </c>
      <c r="BO412" s="97">
        <f>+Tabela1107[[#This Row],[PIS]]+Tabela1107[[#This Row],[COFINS]]+Tabela1107[[#This Row],[CONTRIB. FOLHA]]+Tabela1107[[#This Row],[TRIBUTOS S/ LUCRO]]+Tabela1107[[#This Row],[OUTROS]]+Tabela1107[[#This Row],[MS]]</f>
        <v>24.740000000000002</v>
      </c>
      <c r="BP412" s="97">
        <f>+Tabela1107[[#This Row],[PIS]]+Tabela1107[[#This Row],[COFINS]]+Tabela1107[[#This Row],[CONTRIB. FOLHA]]+Tabela1107[[#This Row],[TRIBUTOS S/ LUCRO]]+Tabela1107[[#This Row],[OUTROS]]+Tabela1107[[#This Row],[DF]]</f>
        <v>24.740000000000002</v>
      </c>
      <c r="BQ412" s="97">
        <f>+Tabela1107[[#This Row],[PIS]]+Tabela1107[[#This Row],[COFINS]]+Tabela1107[[#This Row],[CONTRIB. FOLHA]]+Tabela1107[[#This Row],[TRIBUTOS S/ LUCRO]]+Tabela1107[[#This Row],[OUTROS]]+Tabela1107[[#This Row],[BA]]</f>
        <v>24.740000000000002</v>
      </c>
      <c r="BR412" s="97">
        <f>+Tabela1107[[#This Row],[PIS]]+Tabela1107[[#This Row],[COFINS]]+Tabela1107[[#This Row],[CONTRIB. FOLHA]]+Tabela1107[[#This Row],[TRIBUTOS S/ LUCRO]]+Tabela1107[[#This Row],[OUTROS]]+Tabela1107[[#This Row],[BA]]</f>
        <v>24.740000000000002</v>
      </c>
      <c r="BS412" s="97">
        <f>+Tabela1107[[#This Row],[PIS]]+Tabela1107[[#This Row],[COFINS]]+Tabela1107[[#This Row],[CONTRIB. FOLHA]]+Tabela1107[[#This Row],[TRIBUTOS S/ LUCRO]]+Tabela1107[[#This Row],[OUTROS]]+Tabela1107[[#This Row],[PE]]</f>
        <v>24.740000000000002</v>
      </c>
      <c r="BT412" s="97">
        <f>+Tabela1107[[#This Row],[PIS]]+Tabela1107[[#This Row],[COFINS]]+Tabela1107[[#This Row],[CONTRIB. FOLHA]]+Tabela1107[[#This Row],[TRIBUTOS S/ LUCRO]]+Tabela1107[[#This Row],[OUTROS]]+Tabela1107[[#This Row],[PA]]</f>
        <v>24.740000000000002</v>
      </c>
      <c r="BU412" s="97">
        <f>+Tabela1107[[#This Row],[PIS]]+Tabela1107[[#This Row],[COFINS]]+Tabela1107[[#This Row],[CONTRIB. FOLHA]]+Tabela1107[[#This Row],[TRIBUTOS S/ LUCRO]]+Tabela1107[[#This Row],[OUTROS]]+Tabela1107[[#This Row],[AM]]</f>
        <v>24.740000000000002</v>
      </c>
      <c r="BV412" s="97">
        <f>AVERAGE(Tabela1107[[#This Row],[TOTAL SP]:[TOTAL AM]])</f>
        <v>24.677500000000006</v>
      </c>
      <c r="BW412" s="97"/>
      <c r="BX412" s="97"/>
    </row>
    <row r="413" spans="2:76" x14ac:dyDescent="0.25">
      <c r="B413" s="89">
        <v>4175</v>
      </c>
      <c r="C413" s="91" t="s">
        <v>13183</v>
      </c>
      <c r="D413" s="89"/>
      <c r="E413" s="89">
        <v>20140626</v>
      </c>
      <c r="F413" s="89" t="s">
        <v>20339</v>
      </c>
      <c r="G413" s="89" t="s">
        <v>20340</v>
      </c>
      <c r="H413" s="89" t="s">
        <v>20341</v>
      </c>
      <c r="I413" s="89" t="s">
        <v>20342</v>
      </c>
      <c r="J413" s="89" t="s">
        <v>165</v>
      </c>
      <c r="K413" s="99" t="s">
        <v>4487</v>
      </c>
      <c r="L413" s="89" t="s">
        <v>3172</v>
      </c>
      <c r="M413" s="89" t="s">
        <v>3183</v>
      </c>
      <c r="N413" s="89" t="s">
        <v>4380</v>
      </c>
      <c r="O413" s="89" t="s">
        <v>2632</v>
      </c>
      <c r="P413" s="89" t="s">
        <v>4496</v>
      </c>
      <c r="Q413" s="89"/>
      <c r="R413" s="89" t="s">
        <v>1</v>
      </c>
      <c r="S413" s="89" t="s">
        <v>21568</v>
      </c>
      <c r="T413" s="89" t="s">
        <v>21569</v>
      </c>
      <c r="U413" s="89" t="str">
        <f>TRIM('Carga Tributária doenças Po (2'!$L413)</f>
        <v>CAFEINA</v>
      </c>
      <c r="V413" s="89">
        <f>SUMIFS('Tabela Federal'!$E$4:$E$2069,'Tabela Federal'!$D$4:$D$2069,'Carga Tributária doenças Po (2'!$L413)</f>
        <v>0</v>
      </c>
      <c r="W413" s="89">
        <f>SUMIFS('Tabela Federal'!$E$4:$E$2069,'Tabela Federal'!$D$4:$D$2069,'Carga Tributária doenças Po (2'!$M413)</f>
        <v>0</v>
      </c>
      <c r="X413" s="89">
        <f>SUMIFS('Tabela Federal'!$E$4:$E$2069,'Tabela Federal'!$D$4:$D$2069,'Carga Tributária doenças Po (2'!$N413)</f>
        <v>3</v>
      </c>
      <c r="Y413" s="89">
        <f>SUMIFS('Tabela Federal'!$E$4:$E$2069,'Tabela Federal'!$D$4:$D$2069,'Carga Tributária doenças Po (2'!$O413)</f>
        <v>0</v>
      </c>
      <c r="Z413" s="92" t="str">
        <f>VLOOKUP('Carga Tributária doenças Po (2'!$AD413,'Carga Tributária doenças Po (2'!$CA$12:$CC$16,2,0)</f>
        <v>-</v>
      </c>
      <c r="AA413" s="89" t="s">
        <v>160</v>
      </c>
      <c r="AB413" s="89" t="s">
        <v>21823</v>
      </c>
      <c r="AC413" s="89" t="s">
        <v>21721</v>
      </c>
      <c r="AD413" s="93" t="s">
        <v>19523</v>
      </c>
      <c r="AE413" s="92" t="s">
        <v>4</v>
      </c>
      <c r="AF413" s="92" t="s">
        <v>23</v>
      </c>
      <c r="AG413" s="94">
        <v>4015545</v>
      </c>
      <c r="AH413" s="95">
        <v>14403518</v>
      </c>
      <c r="AI413" s="95">
        <v>32901862.329999998</v>
      </c>
      <c r="AJ413" s="89" t="s">
        <v>171</v>
      </c>
      <c r="AK413" s="89">
        <f>IF('Carga Tributária doenças Po (2'!$Z413="+",0,SUMIFS(PISCOFINS!$I$3:$I$10518,PISCOFINS!$C$3:$C$10518,'Carga Tributária doenças Po (2'!$C413))</f>
        <v>2.1</v>
      </c>
      <c r="AL413" s="89">
        <f>IF('Carga Tributária doenças Po (2'!$Z413="+",0,SUMIFS(PISCOFINS!$H$3:$H$10518,PISCOFINS!$C$3:$C$10518,'Carga Tributária doenças Po (2'!$C413))</f>
        <v>9.9</v>
      </c>
      <c r="AM413" s="95">
        <v>3.27</v>
      </c>
      <c r="AN413" s="95">
        <v>3.12</v>
      </c>
      <c r="AO413" s="95">
        <v>1.35</v>
      </c>
      <c r="AP413" s="96">
        <v>18</v>
      </c>
      <c r="AQ413" s="96">
        <v>12</v>
      </c>
      <c r="AR413" s="96">
        <v>17</v>
      </c>
      <c r="AS413" s="97">
        <v>17</v>
      </c>
      <c r="AT413" s="97">
        <v>19</v>
      </c>
      <c r="AU413" s="97">
        <v>18</v>
      </c>
      <c r="AV413" s="97">
        <v>17</v>
      </c>
      <c r="AW413" s="97">
        <v>17</v>
      </c>
      <c r="AX413" s="97">
        <v>17</v>
      </c>
      <c r="AY413" s="97">
        <v>17</v>
      </c>
      <c r="AZ413" s="97">
        <v>17</v>
      </c>
      <c r="BA413" s="97">
        <v>17</v>
      </c>
      <c r="BB413" s="97">
        <v>17</v>
      </c>
      <c r="BC413" s="97">
        <v>17</v>
      </c>
      <c r="BD413" s="97">
        <v>17</v>
      </c>
      <c r="BE413" s="97">
        <v>17</v>
      </c>
      <c r="BF413" s="97">
        <f>+Tabela1107[[#This Row],[PIS]]+Tabela1107[[#This Row],[COFINS]]+Tabela1107[[#This Row],[CONTRIB. FOLHA]]+Tabela1107[[#This Row],[TRIBUTOS S/ LUCRO]]+Tabela1107[[#This Row],[OUTROS]]+Tabela1107[[#This Row],[SP]]</f>
        <v>37.74</v>
      </c>
      <c r="BG413" s="97">
        <f>+Tabela1107[[#This Row],[PIS]]+Tabela1107[[#This Row],[COFINS]]+Tabela1107[[#This Row],[CONTRIB. FOLHA]]+Tabela1107[[#This Row],[TRIBUTOS S/ LUCRO]]+Tabela1107[[#This Row],[OUTROS]]+Tabela1107[[#This Row],[PR]]</f>
        <v>31.740000000000002</v>
      </c>
      <c r="BH413" s="97">
        <f>+Tabela1107[[#This Row],[PIS]]+Tabela1107[[#This Row],[COFINS]]+Tabela1107[[#This Row],[CONTRIB. FOLHA]]+Tabela1107[[#This Row],[TRIBUTOS S/ LUCRO]]+Tabela1107[[#This Row],[OUTROS]]+Tabela1107[[#This Row],[SC]]</f>
        <v>36.74</v>
      </c>
      <c r="BI413" s="97">
        <f>+Tabela1107[[#This Row],[PIS]]+Tabela1107[[#This Row],[COFINS]]+Tabela1107[[#This Row],[CONTRIB. FOLHA]]+Tabela1107[[#This Row],[TRIBUTOS S/ LUCRO]]+Tabela1107[[#This Row],[OUTROS]]+Tabela1107[[#This Row],[RS]]</f>
        <v>36.74</v>
      </c>
      <c r="BJ413" s="97">
        <f>+Tabela1107[[#This Row],[PIS]]+Tabela1107[[#This Row],[COFINS]]+Tabela1107[[#This Row],[CONTRIB. FOLHA]]+Tabela1107[[#This Row],[TRIBUTOS S/ LUCRO]]+Tabela1107[[#This Row],[OUTROS]]+Tabela1107[[#This Row],[RJ]]</f>
        <v>38.74</v>
      </c>
      <c r="BK413" s="97">
        <f>+Tabela1107[[#This Row],[PIS]]+Tabela1107[[#This Row],[COFINS]]+Tabela1107[[#This Row],[CONTRIB. FOLHA]]+Tabela1107[[#This Row],[TRIBUTOS S/ LUCRO]]+Tabela1107[[#This Row],[OUTROS]]+Tabela1107[[#This Row],[MG]]</f>
        <v>37.74</v>
      </c>
      <c r="BL413" s="97">
        <f>+Tabela1107[[#This Row],[PIS]]+Tabela1107[[#This Row],[COFINS]]+Tabela1107[[#This Row],[CONTRIB. FOLHA]]+Tabela1107[[#This Row],[TRIBUTOS S/ LUCRO]]+Tabela1107[[#This Row],[OUTROS]]+Tabela1107[[#This Row],[ES]]</f>
        <v>36.74</v>
      </c>
      <c r="BM413" s="97">
        <f>+Tabela1107[[#This Row],[PIS]]+Tabela1107[[#This Row],[COFINS]]+Tabela1107[[#This Row],[CONTRIB. FOLHA]]+Tabela1107[[#This Row],[TRIBUTOS S/ LUCRO]]+Tabela1107[[#This Row],[OUTROS]]+Tabela1107[[#This Row],[GO]]</f>
        <v>36.74</v>
      </c>
      <c r="BN413" s="97">
        <f>+Tabela1107[[#This Row],[PIS]]+Tabela1107[[#This Row],[COFINS]]+Tabela1107[[#This Row],[CONTRIB. FOLHA]]+Tabela1107[[#This Row],[TRIBUTOS S/ LUCRO]]+Tabela1107[[#This Row],[OUTROS]]+Tabela1107[[#This Row],[MT]]</f>
        <v>36.74</v>
      </c>
      <c r="BO413" s="97">
        <f>+Tabela1107[[#This Row],[PIS]]+Tabela1107[[#This Row],[COFINS]]+Tabela1107[[#This Row],[CONTRIB. FOLHA]]+Tabela1107[[#This Row],[TRIBUTOS S/ LUCRO]]+Tabela1107[[#This Row],[OUTROS]]+Tabela1107[[#This Row],[MS]]</f>
        <v>36.74</v>
      </c>
      <c r="BP413" s="97">
        <f>+Tabela1107[[#This Row],[PIS]]+Tabela1107[[#This Row],[COFINS]]+Tabela1107[[#This Row],[CONTRIB. FOLHA]]+Tabela1107[[#This Row],[TRIBUTOS S/ LUCRO]]+Tabela1107[[#This Row],[OUTROS]]+Tabela1107[[#This Row],[DF]]</f>
        <v>36.74</v>
      </c>
      <c r="BQ413" s="97">
        <f>+Tabela1107[[#This Row],[PIS]]+Tabela1107[[#This Row],[COFINS]]+Tabela1107[[#This Row],[CONTRIB. FOLHA]]+Tabela1107[[#This Row],[TRIBUTOS S/ LUCRO]]+Tabela1107[[#This Row],[OUTROS]]+Tabela1107[[#This Row],[BA]]</f>
        <v>36.74</v>
      </c>
      <c r="BR413" s="97">
        <f>+Tabela1107[[#This Row],[PIS]]+Tabela1107[[#This Row],[COFINS]]+Tabela1107[[#This Row],[CONTRIB. FOLHA]]+Tabela1107[[#This Row],[TRIBUTOS S/ LUCRO]]+Tabela1107[[#This Row],[OUTROS]]+Tabela1107[[#This Row],[BA]]</f>
        <v>36.74</v>
      </c>
      <c r="BS413" s="97">
        <f>+Tabela1107[[#This Row],[PIS]]+Tabela1107[[#This Row],[COFINS]]+Tabela1107[[#This Row],[CONTRIB. FOLHA]]+Tabela1107[[#This Row],[TRIBUTOS S/ LUCRO]]+Tabela1107[[#This Row],[OUTROS]]+Tabela1107[[#This Row],[PE]]</f>
        <v>36.74</v>
      </c>
      <c r="BT413" s="97">
        <f>+Tabela1107[[#This Row],[PIS]]+Tabela1107[[#This Row],[COFINS]]+Tabela1107[[#This Row],[CONTRIB. FOLHA]]+Tabela1107[[#This Row],[TRIBUTOS S/ LUCRO]]+Tabela1107[[#This Row],[OUTROS]]+Tabela1107[[#This Row],[PA]]</f>
        <v>36.74</v>
      </c>
      <c r="BU413" s="97">
        <f>+Tabela1107[[#This Row],[PIS]]+Tabela1107[[#This Row],[COFINS]]+Tabela1107[[#This Row],[CONTRIB. FOLHA]]+Tabela1107[[#This Row],[TRIBUTOS S/ LUCRO]]+Tabela1107[[#This Row],[OUTROS]]+Tabela1107[[#This Row],[AM]]</f>
        <v>36.74</v>
      </c>
      <c r="BV413" s="97">
        <f>AVERAGE(Tabela1107[[#This Row],[TOTAL SP]:[TOTAL AM]])</f>
        <v>36.677500000000002</v>
      </c>
      <c r="BW413" s="97"/>
      <c r="BX413" s="97"/>
    </row>
    <row r="414" spans="2:76" x14ac:dyDescent="0.25">
      <c r="B414" s="89">
        <v>4176</v>
      </c>
      <c r="C414" s="91" t="s">
        <v>13183</v>
      </c>
      <c r="D414" s="89"/>
      <c r="E414" s="89">
        <v>20140626</v>
      </c>
      <c r="F414" s="89" t="s">
        <v>20343</v>
      </c>
      <c r="G414" s="89" t="s">
        <v>20344</v>
      </c>
      <c r="H414" s="89" t="s">
        <v>20345</v>
      </c>
      <c r="I414" s="89" t="s">
        <v>20342</v>
      </c>
      <c r="J414" s="89" t="s">
        <v>170</v>
      </c>
      <c r="K414" s="99" t="s">
        <v>4487</v>
      </c>
      <c r="L414" s="89" t="s">
        <v>3172</v>
      </c>
      <c r="M414" s="89" t="s">
        <v>3183</v>
      </c>
      <c r="N414" s="89" t="s">
        <v>4380</v>
      </c>
      <c r="O414" s="89" t="s">
        <v>2632</v>
      </c>
      <c r="P414" s="89" t="s">
        <v>4496</v>
      </c>
      <c r="Q414" s="89"/>
      <c r="R414" s="89" t="s">
        <v>1</v>
      </c>
      <c r="S414" s="89" t="s">
        <v>21568</v>
      </c>
      <c r="T414" s="89" t="s">
        <v>21569</v>
      </c>
      <c r="U414" s="89" t="str">
        <f>TRIM('Carga Tributária doenças Po (2'!$L414)</f>
        <v>CAFEINA</v>
      </c>
      <c r="V414" s="89">
        <f>SUMIFS('Tabela Federal'!$E$4:$E$2069,'Tabela Federal'!$D$4:$D$2069,'Carga Tributária doenças Po (2'!$L414)</f>
        <v>0</v>
      </c>
      <c r="W414" s="89">
        <f>SUMIFS('Tabela Federal'!$E$4:$E$2069,'Tabela Federal'!$D$4:$D$2069,'Carga Tributária doenças Po (2'!$M414)</f>
        <v>0</v>
      </c>
      <c r="X414" s="89">
        <f>SUMIFS('Tabela Federal'!$E$4:$E$2069,'Tabela Federal'!$D$4:$D$2069,'Carga Tributária doenças Po (2'!$N414)</f>
        <v>3</v>
      </c>
      <c r="Y414" s="89">
        <f>SUMIFS('Tabela Federal'!$E$4:$E$2069,'Tabela Federal'!$D$4:$D$2069,'Carga Tributária doenças Po (2'!$O414)</f>
        <v>0</v>
      </c>
      <c r="Z414" s="92" t="str">
        <f>VLOOKUP('Carga Tributária doenças Po (2'!$AD414,'Carga Tributária doenças Po (2'!$CA$12:$CC$16,2,0)</f>
        <v>-</v>
      </c>
      <c r="AA414" s="89" t="s">
        <v>160</v>
      </c>
      <c r="AB414" s="89" t="s">
        <v>21823</v>
      </c>
      <c r="AC414" s="89" t="s">
        <v>21721</v>
      </c>
      <c r="AD414" s="93" t="s">
        <v>19523</v>
      </c>
      <c r="AE414" s="92" t="s">
        <v>4</v>
      </c>
      <c r="AF414" s="92" t="s">
        <v>23</v>
      </c>
      <c r="AG414" s="94">
        <v>2095775</v>
      </c>
      <c r="AH414" s="95">
        <v>15041884</v>
      </c>
      <c r="AI414" s="95">
        <v>34344818.259999998</v>
      </c>
      <c r="AJ414" s="89" t="s">
        <v>171</v>
      </c>
      <c r="AK414" s="89">
        <f>IF('Carga Tributária doenças Po (2'!$Z414="+",0,SUMIFS(PISCOFINS!$I$3:$I$10518,PISCOFINS!$C$3:$C$10518,'Carga Tributária doenças Po (2'!$C414))</f>
        <v>2.1</v>
      </c>
      <c r="AL414" s="89">
        <f>IF('Carga Tributária doenças Po (2'!$Z414="+",0,SUMIFS(PISCOFINS!$H$3:$H$10518,PISCOFINS!$C$3:$C$10518,'Carga Tributária doenças Po (2'!$C414))</f>
        <v>9.9</v>
      </c>
      <c r="AM414" s="95">
        <v>3.27</v>
      </c>
      <c r="AN414" s="95">
        <v>3.12</v>
      </c>
      <c r="AO414" s="95">
        <v>1.35</v>
      </c>
      <c r="AP414" s="96">
        <v>18</v>
      </c>
      <c r="AQ414" s="96">
        <v>12</v>
      </c>
      <c r="AR414" s="96">
        <v>17</v>
      </c>
      <c r="AS414" s="97">
        <v>17</v>
      </c>
      <c r="AT414" s="97">
        <v>19</v>
      </c>
      <c r="AU414" s="97">
        <v>18</v>
      </c>
      <c r="AV414" s="97">
        <v>17</v>
      </c>
      <c r="AW414" s="97">
        <v>17</v>
      </c>
      <c r="AX414" s="97">
        <v>17</v>
      </c>
      <c r="AY414" s="97">
        <v>17</v>
      </c>
      <c r="AZ414" s="97">
        <v>17</v>
      </c>
      <c r="BA414" s="97">
        <v>17</v>
      </c>
      <c r="BB414" s="97">
        <v>17</v>
      </c>
      <c r="BC414" s="97">
        <v>17</v>
      </c>
      <c r="BD414" s="97">
        <v>17</v>
      </c>
      <c r="BE414" s="97">
        <v>17</v>
      </c>
      <c r="BF414" s="97">
        <f>+Tabela1107[[#This Row],[PIS]]+Tabela1107[[#This Row],[COFINS]]+Tabela1107[[#This Row],[CONTRIB. FOLHA]]+Tabela1107[[#This Row],[TRIBUTOS S/ LUCRO]]+Tabela1107[[#This Row],[OUTROS]]+Tabela1107[[#This Row],[SP]]</f>
        <v>37.74</v>
      </c>
      <c r="BG414" s="97">
        <f>+Tabela1107[[#This Row],[PIS]]+Tabela1107[[#This Row],[COFINS]]+Tabela1107[[#This Row],[CONTRIB. FOLHA]]+Tabela1107[[#This Row],[TRIBUTOS S/ LUCRO]]+Tabela1107[[#This Row],[OUTROS]]+Tabela1107[[#This Row],[PR]]</f>
        <v>31.740000000000002</v>
      </c>
      <c r="BH414" s="97">
        <f>+Tabela1107[[#This Row],[PIS]]+Tabela1107[[#This Row],[COFINS]]+Tabela1107[[#This Row],[CONTRIB. FOLHA]]+Tabela1107[[#This Row],[TRIBUTOS S/ LUCRO]]+Tabela1107[[#This Row],[OUTROS]]+Tabela1107[[#This Row],[SC]]</f>
        <v>36.74</v>
      </c>
      <c r="BI414" s="97">
        <f>+Tabela1107[[#This Row],[PIS]]+Tabela1107[[#This Row],[COFINS]]+Tabela1107[[#This Row],[CONTRIB. FOLHA]]+Tabela1107[[#This Row],[TRIBUTOS S/ LUCRO]]+Tabela1107[[#This Row],[OUTROS]]+Tabela1107[[#This Row],[RS]]</f>
        <v>36.74</v>
      </c>
      <c r="BJ414" s="97">
        <f>+Tabela1107[[#This Row],[PIS]]+Tabela1107[[#This Row],[COFINS]]+Tabela1107[[#This Row],[CONTRIB. FOLHA]]+Tabela1107[[#This Row],[TRIBUTOS S/ LUCRO]]+Tabela1107[[#This Row],[OUTROS]]+Tabela1107[[#This Row],[RJ]]</f>
        <v>38.74</v>
      </c>
      <c r="BK414" s="97">
        <f>+Tabela1107[[#This Row],[PIS]]+Tabela1107[[#This Row],[COFINS]]+Tabela1107[[#This Row],[CONTRIB. FOLHA]]+Tabela1107[[#This Row],[TRIBUTOS S/ LUCRO]]+Tabela1107[[#This Row],[OUTROS]]+Tabela1107[[#This Row],[MG]]</f>
        <v>37.74</v>
      </c>
      <c r="BL414" s="97">
        <f>+Tabela1107[[#This Row],[PIS]]+Tabela1107[[#This Row],[COFINS]]+Tabela1107[[#This Row],[CONTRIB. FOLHA]]+Tabela1107[[#This Row],[TRIBUTOS S/ LUCRO]]+Tabela1107[[#This Row],[OUTROS]]+Tabela1107[[#This Row],[ES]]</f>
        <v>36.74</v>
      </c>
      <c r="BM414" s="97">
        <f>+Tabela1107[[#This Row],[PIS]]+Tabela1107[[#This Row],[COFINS]]+Tabela1107[[#This Row],[CONTRIB. FOLHA]]+Tabela1107[[#This Row],[TRIBUTOS S/ LUCRO]]+Tabela1107[[#This Row],[OUTROS]]+Tabela1107[[#This Row],[GO]]</f>
        <v>36.74</v>
      </c>
      <c r="BN414" s="97">
        <f>+Tabela1107[[#This Row],[PIS]]+Tabela1107[[#This Row],[COFINS]]+Tabela1107[[#This Row],[CONTRIB. FOLHA]]+Tabela1107[[#This Row],[TRIBUTOS S/ LUCRO]]+Tabela1107[[#This Row],[OUTROS]]+Tabela1107[[#This Row],[MT]]</f>
        <v>36.74</v>
      </c>
      <c r="BO414" s="97">
        <f>+Tabela1107[[#This Row],[PIS]]+Tabela1107[[#This Row],[COFINS]]+Tabela1107[[#This Row],[CONTRIB. FOLHA]]+Tabela1107[[#This Row],[TRIBUTOS S/ LUCRO]]+Tabela1107[[#This Row],[OUTROS]]+Tabela1107[[#This Row],[MS]]</f>
        <v>36.74</v>
      </c>
      <c r="BP414" s="97">
        <f>+Tabela1107[[#This Row],[PIS]]+Tabela1107[[#This Row],[COFINS]]+Tabela1107[[#This Row],[CONTRIB. FOLHA]]+Tabela1107[[#This Row],[TRIBUTOS S/ LUCRO]]+Tabela1107[[#This Row],[OUTROS]]+Tabela1107[[#This Row],[DF]]</f>
        <v>36.74</v>
      </c>
      <c r="BQ414" s="97">
        <f>+Tabela1107[[#This Row],[PIS]]+Tabela1107[[#This Row],[COFINS]]+Tabela1107[[#This Row],[CONTRIB. FOLHA]]+Tabela1107[[#This Row],[TRIBUTOS S/ LUCRO]]+Tabela1107[[#This Row],[OUTROS]]+Tabela1107[[#This Row],[BA]]</f>
        <v>36.74</v>
      </c>
      <c r="BR414" s="97">
        <f>+Tabela1107[[#This Row],[PIS]]+Tabela1107[[#This Row],[COFINS]]+Tabela1107[[#This Row],[CONTRIB. FOLHA]]+Tabela1107[[#This Row],[TRIBUTOS S/ LUCRO]]+Tabela1107[[#This Row],[OUTROS]]+Tabela1107[[#This Row],[BA]]</f>
        <v>36.74</v>
      </c>
      <c r="BS414" s="97">
        <f>+Tabela1107[[#This Row],[PIS]]+Tabela1107[[#This Row],[COFINS]]+Tabela1107[[#This Row],[CONTRIB. FOLHA]]+Tabela1107[[#This Row],[TRIBUTOS S/ LUCRO]]+Tabela1107[[#This Row],[OUTROS]]+Tabela1107[[#This Row],[PE]]</f>
        <v>36.74</v>
      </c>
      <c r="BT414" s="97">
        <f>+Tabela1107[[#This Row],[PIS]]+Tabela1107[[#This Row],[COFINS]]+Tabela1107[[#This Row],[CONTRIB. FOLHA]]+Tabela1107[[#This Row],[TRIBUTOS S/ LUCRO]]+Tabela1107[[#This Row],[OUTROS]]+Tabela1107[[#This Row],[PA]]</f>
        <v>36.74</v>
      </c>
      <c r="BU414" s="97">
        <f>+Tabela1107[[#This Row],[PIS]]+Tabela1107[[#This Row],[COFINS]]+Tabela1107[[#This Row],[CONTRIB. FOLHA]]+Tabela1107[[#This Row],[TRIBUTOS S/ LUCRO]]+Tabela1107[[#This Row],[OUTROS]]+Tabela1107[[#This Row],[AM]]</f>
        <v>36.74</v>
      </c>
      <c r="BV414" s="97">
        <f>AVERAGE(Tabela1107[[#This Row],[TOTAL SP]:[TOTAL AM]])</f>
        <v>36.677500000000002</v>
      </c>
      <c r="BW414" s="97"/>
      <c r="BX414" s="97"/>
    </row>
    <row r="415" spans="2:76" x14ac:dyDescent="0.25">
      <c r="B415" s="89">
        <v>9873</v>
      </c>
      <c r="C415" s="91" t="s">
        <v>13142</v>
      </c>
      <c r="D415" s="89"/>
      <c r="E415" s="89">
        <v>20140626</v>
      </c>
      <c r="F415" s="89" t="s">
        <v>21172</v>
      </c>
      <c r="G415" s="89" t="s">
        <v>21173</v>
      </c>
      <c r="H415" s="89" t="s">
        <v>21174</v>
      </c>
      <c r="I415" s="89" t="s">
        <v>21175</v>
      </c>
      <c r="J415" s="89" t="s">
        <v>128</v>
      </c>
      <c r="K415" s="99" t="s">
        <v>2503</v>
      </c>
      <c r="L415" s="89" t="s">
        <v>2698</v>
      </c>
      <c r="M415" s="89" t="s">
        <v>4496</v>
      </c>
      <c r="N415" s="89" t="s">
        <v>4496</v>
      </c>
      <c r="O415" s="89" t="s">
        <v>4496</v>
      </c>
      <c r="P415" s="89" t="s">
        <v>4496</v>
      </c>
      <c r="Q415" s="89"/>
      <c r="R415" s="89" t="s">
        <v>34</v>
      </c>
      <c r="S415" s="89" t="s">
        <v>21670</v>
      </c>
      <c r="T415" s="89" t="s">
        <v>21671</v>
      </c>
      <c r="U415" s="89" t="str">
        <f>TRIM('Carga Tributária doenças Po (2'!$L415)</f>
        <v>TIBOLONA</v>
      </c>
      <c r="V415" s="89">
        <f>SUMIFS('Tabela Federal'!$E$4:$E$2069,'Tabela Federal'!$D$4:$D$2069,'Carga Tributária doenças Po (2'!$L415)</f>
        <v>1</v>
      </c>
      <c r="W415" s="89">
        <f>SUMIFS('Tabela Federal'!$E$4:$E$2069,'Tabela Federal'!$D$4:$D$2069,'Carga Tributária doenças Po (2'!$M415)</f>
        <v>0</v>
      </c>
      <c r="X415" s="89">
        <f>SUMIFS('Tabela Federal'!$E$4:$E$2069,'Tabela Federal'!$D$4:$D$2069,'Carga Tributária doenças Po (2'!$N415)</f>
        <v>0</v>
      </c>
      <c r="Y415" s="89">
        <f>SUMIFS('Tabela Federal'!$E$4:$E$2069,'Tabela Federal'!$D$4:$D$2069,'Carga Tributária doenças Po (2'!$O415)</f>
        <v>0</v>
      </c>
      <c r="Z415" s="92" t="str">
        <f>VLOOKUP('Carga Tributária doenças Po (2'!$AD415,'Carga Tributária doenças Po (2'!$CA$12:$CC$16,2,0)</f>
        <v>+</v>
      </c>
      <c r="AA415" s="89" t="s">
        <v>129</v>
      </c>
      <c r="AB415" s="89" t="s">
        <v>21896</v>
      </c>
      <c r="AC415" s="89" t="s">
        <v>21721</v>
      </c>
      <c r="AD415" s="93" t="s">
        <v>21722</v>
      </c>
      <c r="AE415" s="92" t="s">
        <v>2</v>
      </c>
      <c r="AF415" s="92" t="s">
        <v>3</v>
      </c>
      <c r="AG415" s="94">
        <v>484364</v>
      </c>
      <c r="AH415" s="95">
        <v>9977385</v>
      </c>
      <c r="AI415" s="95">
        <v>22750907.379999999</v>
      </c>
      <c r="AJ415" s="89" t="s">
        <v>146</v>
      </c>
      <c r="AK415" s="89">
        <f>IF('Carga Tributária doenças Po (2'!$Z415="+",0,SUMIFS(PISCOFINS!$I$3:$I$10518,PISCOFINS!$C$3:$C$10518,'Carga Tributária doenças Po (2'!$C415))</f>
        <v>0</v>
      </c>
      <c r="AL415" s="89">
        <f>IF('Carga Tributária doenças Po (2'!$Z415="+",0,SUMIFS(PISCOFINS!$H$3:$H$10518,PISCOFINS!$C$3:$C$10518,'Carga Tributária doenças Po (2'!$C415))</f>
        <v>0</v>
      </c>
      <c r="AM415" s="95">
        <v>3.27</v>
      </c>
      <c r="AN415" s="95">
        <v>3.12</v>
      </c>
      <c r="AO415" s="95">
        <v>1.35</v>
      </c>
      <c r="AP415" s="96">
        <v>18</v>
      </c>
      <c r="AQ415" s="96">
        <v>12</v>
      </c>
      <c r="AR415" s="96">
        <v>17</v>
      </c>
      <c r="AS415" s="97">
        <v>17</v>
      </c>
      <c r="AT415" s="97">
        <v>19</v>
      </c>
      <c r="AU415" s="97">
        <v>18</v>
      </c>
      <c r="AV415" s="97">
        <v>17</v>
      </c>
      <c r="AW415" s="97">
        <v>17</v>
      </c>
      <c r="AX415" s="97">
        <v>17</v>
      </c>
      <c r="AY415" s="97">
        <v>17</v>
      </c>
      <c r="AZ415" s="97">
        <v>17</v>
      </c>
      <c r="BA415" s="97">
        <v>17</v>
      </c>
      <c r="BB415" s="97">
        <v>17</v>
      </c>
      <c r="BC415" s="97">
        <v>17</v>
      </c>
      <c r="BD415" s="97">
        <v>17</v>
      </c>
      <c r="BE415" s="97">
        <v>17</v>
      </c>
      <c r="BF415" s="97">
        <f>+Tabela1107[[#This Row],[PIS]]+Tabela1107[[#This Row],[COFINS]]+Tabela1107[[#This Row],[CONTRIB. FOLHA]]+Tabela1107[[#This Row],[TRIBUTOS S/ LUCRO]]+Tabela1107[[#This Row],[OUTROS]]+Tabela1107[[#This Row],[SP]]</f>
        <v>25.740000000000002</v>
      </c>
      <c r="BG415" s="97">
        <f>+Tabela1107[[#This Row],[PIS]]+Tabela1107[[#This Row],[COFINS]]+Tabela1107[[#This Row],[CONTRIB. FOLHA]]+Tabela1107[[#This Row],[TRIBUTOS S/ LUCRO]]+Tabela1107[[#This Row],[OUTROS]]+Tabela1107[[#This Row],[PR]]</f>
        <v>19.740000000000002</v>
      </c>
      <c r="BH415" s="97">
        <f>+Tabela1107[[#This Row],[PIS]]+Tabela1107[[#This Row],[COFINS]]+Tabela1107[[#This Row],[CONTRIB. FOLHA]]+Tabela1107[[#This Row],[TRIBUTOS S/ LUCRO]]+Tabela1107[[#This Row],[OUTROS]]+Tabela1107[[#This Row],[SC]]</f>
        <v>24.740000000000002</v>
      </c>
      <c r="BI415" s="97">
        <f>+Tabela1107[[#This Row],[PIS]]+Tabela1107[[#This Row],[COFINS]]+Tabela1107[[#This Row],[CONTRIB. FOLHA]]+Tabela1107[[#This Row],[TRIBUTOS S/ LUCRO]]+Tabela1107[[#This Row],[OUTROS]]+Tabela1107[[#This Row],[RS]]</f>
        <v>24.740000000000002</v>
      </c>
      <c r="BJ415" s="97">
        <f>+Tabela1107[[#This Row],[PIS]]+Tabela1107[[#This Row],[COFINS]]+Tabela1107[[#This Row],[CONTRIB. FOLHA]]+Tabela1107[[#This Row],[TRIBUTOS S/ LUCRO]]+Tabela1107[[#This Row],[OUTROS]]+Tabela1107[[#This Row],[RJ]]</f>
        <v>26.740000000000002</v>
      </c>
      <c r="BK415" s="97">
        <f>+Tabela1107[[#This Row],[PIS]]+Tabela1107[[#This Row],[COFINS]]+Tabela1107[[#This Row],[CONTRIB. FOLHA]]+Tabela1107[[#This Row],[TRIBUTOS S/ LUCRO]]+Tabela1107[[#This Row],[OUTROS]]+Tabela1107[[#This Row],[MG]]</f>
        <v>25.740000000000002</v>
      </c>
      <c r="BL415" s="97">
        <f>+Tabela1107[[#This Row],[PIS]]+Tabela1107[[#This Row],[COFINS]]+Tabela1107[[#This Row],[CONTRIB. FOLHA]]+Tabela1107[[#This Row],[TRIBUTOS S/ LUCRO]]+Tabela1107[[#This Row],[OUTROS]]+Tabela1107[[#This Row],[ES]]</f>
        <v>24.740000000000002</v>
      </c>
      <c r="BM415" s="97">
        <f>+Tabela1107[[#This Row],[PIS]]+Tabela1107[[#This Row],[COFINS]]+Tabela1107[[#This Row],[CONTRIB. FOLHA]]+Tabela1107[[#This Row],[TRIBUTOS S/ LUCRO]]+Tabela1107[[#This Row],[OUTROS]]+Tabela1107[[#This Row],[GO]]</f>
        <v>24.740000000000002</v>
      </c>
      <c r="BN415" s="97">
        <f>+Tabela1107[[#This Row],[PIS]]+Tabela1107[[#This Row],[COFINS]]+Tabela1107[[#This Row],[CONTRIB. FOLHA]]+Tabela1107[[#This Row],[TRIBUTOS S/ LUCRO]]+Tabela1107[[#This Row],[OUTROS]]+Tabela1107[[#This Row],[MT]]</f>
        <v>24.740000000000002</v>
      </c>
      <c r="BO415" s="97">
        <f>+Tabela1107[[#This Row],[PIS]]+Tabela1107[[#This Row],[COFINS]]+Tabela1107[[#This Row],[CONTRIB. FOLHA]]+Tabela1107[[#This Row],[TRIBUTOS S/ LUCRO]]+Tabela1107[[#This Row],[OUTROS]]+Tabela1107[[#This Row],[MS]]</f>
        <v>24.740000000000002</v>
      </c>
      <c r="BP415" s="97">
        <f>+Tabela1107[[#This Row],[PIS]]+Tabela1107[[#This Row],[COFINS]]+Tabela1107[[#This Row],[CONTRIB. FOLHA]]+Tabela1107[[#This Row],[TRIBUTOS S/ LUCRO]]+Tabela1107[[#This Row],[OUTROS]]+Tabela1107[[#This Row],[DF]]</f>
        <v>24.740000000000002</v>
      </c>
      <c r="BQ415" s="97">
        <f>+Tabela1107[[#This Row],[PIS]]+Tabela1107[[#This Row],[COFINS]]+Tabela1107[[#This Row],[CONTRIB. FOLHA]]+Tabela1107[[#This Row],[TRIBUTOS S/ LUCRO]]+Tabela1107[[#This Row],[OUTROS]]+Tabela1107[[#This Row],[BA]]</f>
        <v>24.740000000000002</v>
      </c>
      <c r="BR415" s="97">
        <f>+Tabela1107[[#This Row],[PIS]]+Tabela1107[[#This Row],[COFINS]]+Tabela1107[[#This Row],[CONTRIB. FOLHA]]+Tabela1107[[#This Row],[TRIBUTOS S/ LUCRO]]+Tabela1107[[#This Row],[OUTROS]]+Tabela1107[[#This Row],[BA]]</f>
        <v>24.740000000000002</v>
      </c>
      <c r="BS415" s="97">
        <f>+Tabela1107[[#This Row],[PIS]]+Tabela1107[[#This Row],[COFINS]]+Tabela1107[[#This Row],[CONTRIB. FOLHA]]+Tabela1107[[#This Row],[TRIBUTOS S/ LUCRO]]+Tabela1107[[#This Row],[OUTROS]]+Tabela1107[[#This Row],[PE]]</f>
        <v>24.740000000000002</v>
      </c>
      <c r="BT415" s="97">
        <f>+Tabela1107[[#This Row],[PIS]]+Tabela1107[[#This Row],[COFINS]]+Tabela1107[[#This Row],[CONTRIB. FOLHA]]+Tabela1107[[#This Row],[TRIBUTOS S/ LUCRO]]+Tabela1107[[#This Row],[OUTROS]]+Tabela1107[[#This Row],[PA]]</f>
        <v>24.740000000000002</v>
      </c>
      <c r="BU415" s="97">
        <f>+Tabela1107[[#This Row],[PIS]]+Tabela1107[[#This Row],[COFINS]]+Tabela1107[[#This Row],[CONTRIB. FOLHA]]+Tabela1107[[#This Row],[TRIBUTOS S/ LUCRO]]+Tabela1107[[#This Row],[OUTROS]]+Tabela1107[[#This Row],[AM]]</f>
        <v>24.740000000000002</v>
      </c>
      <c r="BV415" s="97">
        <f>AVERAGE(Tabela1107[[#This Row],[TOTAL SP]:[TOTAL AM]])</f>
        <v>24.677500000000006</v>
      </c>
      <c r="BW415" s="97"/>
      <c r="BX415" s="97"/>
    </row>
    <row r="416" spans="2:76" x14ac:dyDescent="0.25">
      <c r="B416" s="89">
        <v>6254</v>
      </c>
      <c r="C416" s="91" t="s">
        <v>13168</v>
      </c>
      <c r="D416" s="89"/>
      <c r="E416" s="89">
        <v>20140626</v>
      </c>
      <c r="F416" s="89" t="s">
        <v>21176</v>
      </c>
      <c r="G416" s="89" t="s">
        <v>21177</v>
      </c>
      <c r="H416" s="89" t="s">
        <v>21178</v>
      </c>
      <c r="I416" s="89" t="s">
        <v>21179</v>
      </c>
      <c r="J416" s="89" t="s">
        <v>303</v>
      </c>
      <c r="K416" s="99" t="s">
        <v>2502</v>
      </c>
      <c r="L416" s="89" t="s">
        <v>2690</v>
      </c>
      <c r="M416" s="89" t="s">
        <v>4496</v>
      </c>
      <c r="N416" s="89" t="s">
        <v>4496</v>
      </c>
      <c r="O416" s="89" t="s">
        <v>4496</v>
      </c>
      <c r="P416" s="89" t="s">
        <v>4496</v>
      </c>
      <c r="Q416" s="89"/>
      <c r="R416" s="89" t="s">
        <v>34</v>
      </c>
      <c r="S416" s="89" t="s">
        <v>21670</v>
      </c>
      <c r="T416" s="89" t="s">
        <v>21671</v>
      </c>
      <c r="U416" s="89" t="str">
        <f>TRIM('Carga Tributária doenças Po (2'!$L416)</f>
        <v>FENDIZOATO DE CLOPERASTINA</v>
      </c>
      <c r="V416" s="89">
        <f>SUMIFS('Tabela Federal'!$E$4:$E$2069,'Tabela Federal'!$D$4:$D$2069,'Carga Tributária doenças Po (2'!$L416)</f>
        <v>0</v>
      </c>
      <c r="W416" s="89">
        <f>SUMIFS('Tabela Federal'!$E$4:$E$2069,'Tabela Federal'!$D$4:$D$2069,'Carga Tributária doenças Po (2'!$M416)</f>
        <v>0</v>
      </c>
      <c r="X416" s="89">
        <f>SUMIFS('Tabela Federal'!$E$4:$E$2069,'Tabela Federal'!$D$4:$D$2069,'Carga Tributária doenças Po (2'!$N416)</f>
        <v>0</v>
      </c>
      <c r="Y416" s="89">
        <f>SUMIFS('Tabela Federal'!$E$4:$E$2069,'Tabela Federal'!$D$4:$D$2069,'Carga Tributária doenças Po (2'!$O416)</f>
        <v>0</v>
      </c>
      <c r="Z416" s="92" t="str">
        <f>VLOOKUP('Carga Tributária doenças Po (2'!$AD416,'Carga Tributária doenças Po (2'!$CA$12:$CC$16,2,0)</f>
        <v>-</v>
      </c>
      <c r="AA416" s="89" t="s">
        <v>298</v>
      </c>
      <c r="AB416" s="89" t="s">
        <v>21885</v>
      </c>
      <c r="AC416" s="89" t="s">
        <v>21721</v>
      </c>
      <c r="AD416" s="93" t="s">
        <v>19523</v>
      </c>
      <c r="AE416" s="92" t="s">
        <v>4</v>
      </c>
      <c r="AF416" s="92" t="s">
        <v>3</v>
      </c>
      <c r="AG416" s="94">
        <v>691588</v>
      </c>
      <c r="AH416" s="95">
        <v>5303942</v>
      </c>
      <c r="AI416" s="95">
        <v>12020019.960000001</v>
      </c>
      <c r="AJ416" s="89" t="s">
        <v>286</v>
      </c>
      <c r="AK416" s="89">
        <f>IF('Carga Tributária doenças Po (2'!$Z416="+",0,SUMIFS(PISCOFINS!$I$3:$I$10518,PISCOFINS!$C$3:$C$10518,'Carga Tributária doenças Po (2'!$C416))</f>
        <v>2.1</v>
      </c>
      <c r="AL416" s="89">
        <f>IF('Carga Tributária doenças Po (2'!$Z416="+",0,SUMIFS(PISCOFINS!$H$3:$H$10518,PISCOFINS!$C$3:$C$10518,'Carga Tributária doenças Po (2'!$C416))</f>
        <v>9.9</v>
      </c>
      <c r="AM416" s="95">
        <v>3.27</v>
      </c>
      <c r="AN416" s="95">
        <v>3.12</v>
      </c>
      <c r="AO416" s="95">
        <v>1.35</v>
      </c>
      <c r="AP416" s="96">
        <v>18</v>
      </c>
      <c r="AQ416" s="96">
        <v>12</v>
      </c>
      <c r="AR416" s="96">
        <v>17</v>
      </c>
      <c r="AS416" s="97">
        <v>17</v>
      </c>
      <c r="AT416" s="97">
        <v>19</v>
      </c>
      <c r="AU416" s="97">
        <v>18</v>
      </c>
      <c r="AV416" s="97">
        <v>17</v>
      </c>
      <c r="AW416" s="97">
        <v>17</v>
      </c>
      <c r="AX416" s="97">
        <v>17</v>
      </c>
      <c r="AY416" s="97">
        <v>17</v>
      </c>
      <c r="AZ416" s="97">
        <v>17</v>
      </c>
      <c r="BA416" s="97">
        <v>17</v>
      </c>
      <c r="BB416" s="97">
        <v>17</v>
      </c>
      <c r="BC416" s="97">
        <v>17</v>
      </c>
      <c r="BD416" s="97">
        <v>17</v>
      </c>
      <c r="BE416" s="97">
        <v>17</v>
      </c>
      <c r="BF416" s="97">
        <f>+Tabela1107[[#This Row],[PIS]]+Tabela1107[[#This Row],[COFINS]]+Tabela1107[[#This Row],[CONTRIB. FOLHA]]+Tabela1107[[#This Row],[TRIBUTOS S/ LUCRO]]+Tabela1107[[#This Row],[OUTROS]]+Tabela1107[[#This Row],[SP]]</f>
        <v>37.74</v>
      </c>
      <c r="BG416" s="97">
        <f>+Tabela1107[[#This Row],[PIS]]+Tabela1107[[#This Row],[COFINS]]+Tabela1107[[#This Row],[CONTRIB. FOLHA]]+Tabela1107[[#This Row],[TRIBUTOS S/ LUCRO]]+Tabela1107[[#This Row],[OUTROS]]+Tabela1107[[#This Row],[PR]]</f>
        <v>31.740000000000002</v>
      </c>
      <c r="BH416" s="97">
        <f>+Tabela1107[[#This Row],[PIS]]+Tabela1107[[#This Row],[COFINS]]+Tabela1107[[#This Row],[CONTRIB. FOLHA]]+Tabela1107[[#This Row],[TRIBUTOS S/ LUCRO]]+Tabela1107[[#This Row],[OUTROS]]+Tabela1107[[#This Row],[SC]]</f>
        <v>36.74</v>
      </c>
      <c r="BI416" s="97">
        <f>+Tabela1107[[#This Row],[PIS]]+Tabela1107[[#This Row],[COFINS]]+Tabela1107[[#This Row],[CONTRIB. FOLHA]]+Tabela1107[[#This Row],[TRIBUTOS S/ LUCRO]]+Tabela1107[[#This Row],[OUTROS]]+Tabela1107[[#This Row],[RS]]</f>
        <v>36.74</v>
      </c>
      <c r="BJ416" s="97">
        <f>+Tabela1107[[#This Row],[PIS]]+Tabela1107[[#This Row],[COFINS]]+Tabela1107[[#This Row],[CONTRIB. FOLHA]]+Tabela1107[[#This Row],[TRIBUTOS S/ LUCRO]]+Tabela1107[[#This Row],[OUTROS]]+Tabela1107[[#This Row],[RJ]]</f>
        <v>38.74</v>
      </c>
      <c r="BK416" s="97">
        <f>+Tabela1107[[#This Row],[PIS]]+Tabela1107[[#This Row],[COFINS]]+Tabela1107[[#This Row],[CONTRIB. FOLHA]]+Tabela1107[[#This Row],[TRIBUTOS S/ LUCRO]]+Tabela1107[[#This Row],[OUTROS]]+Tabela1107[[#This Row],[MG]]</f>
        <v>37.74</v>
      </c>
      <c r="BL416" s="97">
        <f>+Tabela1107[[#This Row],[PIS]]+Tabela1107[[#This Row],[COFINS]]+Tabela1107[[#This Row],[CONTRIB. FOLHA]]+Tabela1107[[#This Row],[TRIBUTOS S/ LUCRO]]+Tabela1107[[#This Row],[OUTROS]]+Tabela1107[[#This Row],[ES]]</f>
        <v>36.74</v>
      </c>
      <c r="BM416" s="97">
        <f>+Tabela1107[[#This Row],[PIS]]+Tabela1107[[#This Row],[COFINS]]+Tabela1107[[#This Row],[CONTRIB. FOLHA]]+Tabela1107[[#This Row],[TRIBUTOS S/ LUCRO]]+Tabela1107[[#This Row],[OUTROS]]+Tabela1107[[#This Row],[GO]]</f>
        <v>36.74</v>
      </c>
      <c r="BN416" s="97">
        <f>+Tabela1107[[#This Row],[PIS]]+Tabela1107[[#This Row],[COFINS]]+Tabela1107[[#This Row],[CONTRIB. FOLHA]]+Tabela1107[[#This Row],[TRIBUTOS S/ LUCRO]]+Tabela1107[[#This Row],[OUTROS]]+Tabela1107[[#This Row],[MT]]</f>
        <v>36.74</v>
      </c>
      <c r="BO416" s="97">
        <f>+Tabela1107[[#This Row],[PIS]]+Tabela1107[[#This Row],[COFINS]]+Tabela1107[[#This Row],[CONTRIB. FOLHA]]+Tabela1107[[#This Row],[TRIBUTOS S/ LUCRO]]+Tabela1107[[#This Row],[OUTROS]]+Tabela1107[[#This Row],[MS]]</f>
        <v>36.74</v>
      </c>
      <c r="BP416" s="97">
        <f>+Tabela1107[[#This Row],[PIS]]+Tabela1107[[#This Row],[COFINS]]+Tabela1107[[#This Row],[CONTRIB. FOLHA]]+Tabela1107[[#This Row],[TRIBUTOS S/ LUCRO]]+Tabela1107[[#This Row],[OUTROS]]+Tabela1107[[#This Row],[DF]]</f>
        <v>36.74</v>
      </c>
      <c r="BQ416" s="97">
        <f>+Tabela1107[[#This Row],[PIS]]+Tabela1107[[#This Row],[COFINS]]+Tabela1107[[#This Row],[CONTRIB. FOLHA]]+Tabela1107[[#This Row],[TRIBUTOS S/ LUCRO]]+Tabela1107[[#This Row],[OUTROS]]+Tabela1107[[#This Row],[BA]]</f>
        <v>36.74</v>
      </c>
      <c r="BR416" s="97">
        <f>+Tabela1107[[#This Row],[PIS]]+Tabela1107[[#This Row],[COFINS]]+Tabela1107[[#This Row],[CONTRIB. FOLHA]]+Tabela1107[[#This Row],[TRIBUTOS S/ LUCRO]]+Tabela1107[[#This Row],[OUTROS]]+Tabela1107[[#This Row],[BA]]</f>
        <v>36.74</v>
      </c>
      <c r="BS416" s="97">
        <f>+Tabela1107[[#This Row],[PIS]]+Tabela1107[[#This Row],[COFINS]]+Tabela1107[[#This Row],[CONTRIB. FOLHA]]+Tabela1107[[#This Row],[TRIBUTOS S/ LUCRO]]+Tabela1107[[#This Row],[OUTROS]]+Tabela1107[[#This Row],[PE]]</f>
        <v>36.74</v>
      </c>
      <c r="BT416" s="97">
        <f>+Tabela1107[[#This Row],[PIS]]+Tabela1107[[#This Row],[COFINS]]+Tabela1107[[#This Row],[CONTRIB. FOLHA]]+Tabela1107[[#This Row],[TRIBUTOS S/ LUCRO]]+Tabela1107[[#This Row],[OUTROS]]+Tabela1107[[#This Row],[PA]]</f>
        <v>36.74</v>
      </c>
      <c r="BU416" s="97">
        <f>+Tabela1107[[#This Row],[PIS]]+Tabela1107[[#This Row],[COFINS]]+Tabela1107[[#This Row],[CONTRIB. FOLHA]]+Tabela1107[[#This Row],[TRIBUTOS S/ LUCRO]]+Tabela1107[[#This Row],[OUTROS]]+Tabela1107[[#This Row],[AM]]</f>
        <v>36.74</v>
      </c>
      <c r="BV416" s="97">
        <f>AVERAGE(Tabela1107[[#This Row],[TOTAL SP]:[TOTAL AM]])</f>
        <v>36.677500000000002</v>
      </c>
      <c r="BW416" s="97"/>
      <c r="BX416" s="97"/>
    </row>
    <row r="417" spans="2:76" x14ac:dyDescent="0.25">
      <c r="B417" s="89">
        <v>9993</v>
      </c>
      <c r="C417" s="91" t="s">
        <v>13061</v>
      </c>
      <c r="D417" s="89"/>
      <c r="E417" s="89">
        <v>20140626</v>
      </c>
      <c r="F417" s="89" t="s">
        <v>20346</v>
      </c>
      <c r="G417" s="89" t="s">
        <v>20347</v>
      </c>
      <c r="H417" s="89" t="s">
        <v>20348</v>
      </c>
      <c r="I417" s="89" t="s">
        <v>2699</v>
      </c>
      <c r="J417" s="89" t="s">
        <v>516</v>
      </c>
      <c r="K417" s="99" t="s">
        <v>2501</v>
      </c>
      <c r="L417" s="89" t="s">
        <v>2699</v>
      </c>
      <c r="M417" s="89" t="s">
        <v>4496</v>
      </c>
      <c r="N417" s="89" t="s">
        <v>4496</v>
      </c>
      <c r="O417" s="89" t="s">
        <v>4496</v>
      </c>
      <c r="P417" s="89" t="s">
        <v>4496</v>
      </c>
      <c r="Q417" s="89"/>
      <c r="R417" s="89" t="s">
        <v>1</v>
      </c>
      <c r="S417" s="89" t="s">
        <v>21576</v>
      </c>
      <c r="T417" s="89" t="s">
        <v>21577</v>
      </c>
      <c r="U417" s="89" t="str">
        <f>TRIM('Carga Tributária doenças Po (2'!$L417)</f>
        <v>TOBRAMICINA</v>
      </c>
      <c r="V417" s="89">
        <f>SUMIFS('Tabela Federal'!$E$4:$E$2069,'Tabela Federal'!$D$4:$D$2069,'Carga Tributária doenças Po (2'!$L417)</f>
        <v>2</v>
      </c>
      <c r="W417" s="89">
        <f>SUMIFS('Tabela Federal'!$E$4:$E$2069,'Tabela Federal'!$D$4:$D$2069,'Carga Tributária doenças Po (2'!$M417)</f>
        <v>0</v>
      </c>
      <c r="X417" s="89">
        <f>SUMIFS('Tabela Federal'!$E$4:$E$2069,'Tabela Federal'!$D$4:$D$2069,'Carga Tributária doenças Po (2'!$N417)</f>
        <v>0</v>
      </c>
      <c r="Y417" s="89">
        <f>SUMIFS('Tabela Federal'!$E$4:$E$2069,'Tabela Federal'!$D$4:$D$2069,'Carga Tributária doenças Po (2'!$O417)</f>
        <v>0</v>
      </c>
      <c r="Z417" s="92" t="str">
        <f>VLOOKUP('Carga Tributária doenças Po (2'!$AD417,'Carga Tributária doenças Po (2'!$CA$12:$CC$16,2,0)</f>
        <v>+</v>
      </c>
      <c r="AA417" s="89" t="s">
        <v>514</v>
      </c>
      <c r="AB417" s="89" t="s">
        <v>21769</v>
      </c>
      <c r="AC417" s="89" t="s">
        <v>21721</v>
      </c>
      <c r="AD417" s="93" t="s">
        <v>21722</v>
      </c>
      <c r="AE417" s="92" t="s">
        <v>2</v>
      </c>
      <c r="AF417" s="92" t="s">
        <v>10</v>
      </c>
      <c r="AG417" s="94">
        <v>426404</v>
      </c>
      <c r="AH417" s="95">
        <v>1851041</v>
      </c>
      <c r="AI417" s="95">
        <v>4219807.3099999996</v>
      </c>
      <c r="AJ417" s="89" t="s">
        <v>525</v>
      </c>
      <c r="AK417" s="89">
        <f>IF('Carga Tributária doenças Po (2'!$Z417="+",0,SUMIFS(PISCOFINS!$I$3:$I$10518,PISCOFINS!$C$3:$C$10518,'Carga Tributária doenças Po (2'!$C417))</f>
        <v>0</v>
      </c>
      <c r="AL417" s="89">
        <f>IF('Carga Tributária doenças Po (2'!$Z417="+",0,SUMIFS(PISCOFINS!$H$3:$H$10518,PISCOFINS!$C$3:$C$10518,'Carga Tributária doenças Po (2'!$C417))</f>
        <v>0</v>
      </c>
      <c r="AM417" s="95">
        <v>3.27</v>
      </c>
      <c r="AN417" s="95">
        <v>3.12</v>
      </c>
      <c r="AO417" s="95">
        <v>1.35</v>
      </c>
      <c r="AP417" s="96">
        <v>18</v>
      </c>
      <c r="AQ417" s="96">
        <v>12</v>
      </c>
      <c r="AR417" s="96">
        <v>17</v>
      </c>
      <c r="AS417" s="97">
        <v>17</v>
      </c>
      <c r="AT417" s="97">
        <v>19</v>
      </c>
      <c r="AU417" s="97">
        <v>12</v>
      </c>
      <c r="AV417" s="97">
        <v>17</v>
      </c>
      <c r="AW417" s="97">
        <v>17</v>
      </c>
      <c r="AX417" s="97">
        <v>17</v>
      </c>
      <c r="AY417" s="97">
        <v>17</v>
      </c>
      <c r="AZ417" s="97">
        <v>17</v>
      </c>
      <c r="BA417" s="97">
        <v>17</v>
      </c>
      <c r="BB417" s="97">
        <v>17</v>
      </c>
      <c r="BC417" s="97">
        <v>17</v>
      </c>
      <c r="BD417" s="97">
        <v>17</v>
      </c>
      <c r="BE417" s="97">
        <v>17</v>
      </c>
      <c r="BF417" s="97">
        <f>+Tabela1107[[#This Row],[PIS]]+Tabela1107[[#This Row],[COFINS]]+Tabela1107[[#This Row],[CONTRIB. FOLHA]]+Tabela1107[[#This Row],[TRIBUTOS S/ LUCRO]]+Tabela1107[[#This Row],[OUTROS]]+Tabela1107[[#This Row],[SP]]</f>
        <v>25.740000000000002</v>
      </c>
      <c r="BG417" s="97">
        <f>+Tabela1107[[#This Row],[PIS]]+Tabela1107[[#This Row],[COFINS]]+Tabela1107[[#This Row],[CONTRIB. FOLHA]]+Tabela1107[[#This Row],[TRIBUTOS S/ LUCRO]]+Tabela1107[[#This Row],[OUTROS]]+Tabela1107[[#This Row],[PR]]</f>
        <v>19.740000000000002</v>
      </c>
      <c r="BH417" s="97">
        <f>+Tabela1107[[#This Row],[PIS]]+Tabela1107[[#This Row],[COFINS]]+Tabela1107[[#This Row],[CONTRIB. FOLHA]]+Tabela1107[[#This Row],[TRIBUTOS S/ LUCRO]]+Tabela1107[[#This Row],[OUTROS]]+Tabela1107[[#This Row],[SC]]</f>
        <v>24.740000000000002</v>
      </c>
      <c r="BI417" s="97">
        <f>+Tabela1107[[#This Row],[PIS]]+Tabela1107[[#This Row],[COFINS]]+Tabela1107[[#This Row],[CONTRIB. FOLHA]]+Tabela1107[[#This Row],[TRIBUTOS S/ LUCRO]]+Tabela1107[[#This Row],[OUTROS]]+Tabela1107[[#This Row],[RS]]</f>
        <v>24.740000000000002</v>
      </c>
      <c r="BJ417" s="97">
        <f>+Tabela1107[[#This Row],[PIS]]+Tabela1107[[#This Row],[COFINS]]+Tabela1107[[#This Row],[CONTRIB. FOLHA]]+Tabela1107[[#This Row],[TRIBUTOS S/ LUCRO]]+Tabela1107[[#This Row],[OUTROS]]+Tabela1107[[#This Row],[RJ]]</f>
        <v>26.740000000000002</v>
      </c>
      <c r="BK417" s="97">
        <f>+Tabela1107[[#This Row],[PIS]]+Tabela1107[[#This Row],[COFINS]]+Tabela1107[[#This Row],[CONTRIB. FOLHA]]+Tabela1107[[#This Row],[TRIBUTOS S/ LUCRO]]+Tabela1107[[#This Row],[OUTROS]]+Tabela1107[[#This Row],[MG]]</f>
        <v>19.740000000000002</v>
      </c>
      <c r="BL417" s="97">
        <f>+Tabela1107[[#This Row],[PIS]]+Tabela1107[[#This Row],[COFINS]]+Tabela1107[[#This Row],[CONTRIB. FOLHA]]+Tabela1107[[#This Row],[TRIBUTOS S/ LUCRO]]+Tabela1107[[#This Row],[OUTROS]]+Tabela1107[[#This Row],[ES]]</f>
        <v>24.740000000000002</v>
      </c>
      <c r="BM417" s="97">
        <f>+Tabela1107[[#This Row],[PIS]]+Tabela1107[[#This Row],[COFINS]]+Tabela1107[[#This Row],[CONTRIB. FOLHA]]+Tabela1107[[#This Row],[TRIBUTOS S/ LUCRO]]+Tabela1107[[#This Row],[OUTROS]]+Tabela1107[[#This Row],[GO]]</f>
        <v>24.740000000000002</v>
      </c>
      <c r="BN417" s="97">
        <f>+Tabela1107[[#This Row],[PIS]]+Tabela1107[[#This Row],[COFINS]]+Tabela1107[[#This Row],[CONTRIB. FOLHA]]+Tabela1107[[#This Row],[TRIBUTOS S/ LUCRO]]+Tabela1107[[#This Row],[OUTROS]]+Tabela1107[[#This Row],[MT]]</f>
        <v>24.740000000000002</v>
      </c>
      <c r="BO417" s="97">
        <f>+Tabela1107[[#This Row],[PIS]]+Tabela1107[[#This Row],[COFINS]]+Tabela1107[[#This Row],[CONTRIB. FOLHA]]+Tabela1107[[#This Row],[TRIBUTOS S/ LUCRO]]+Tabela1107[[#This Row],[OUTROS]]+Tabela1107[[#This Row],[MS]]</f>
        <v>24.740000000000002</v>
      </c>
      <c r="BP417" s="97">
        <f>+Tabela1107[[#This Row],[PIS]]+Tabela1107[[#This Row],[COFINS]]+Tabela1107[[#This Row],[CONTRIB. FOLHA]]+Tabela1107[[#This Row],[TRIBUTOS S/ LUCRO]]+Tabela1107[[#This Row],[OUTROS]]+Tabela1107[[#This Row],[DF]]</f>
        <v>24.740000000000002</v>
      </c>
      <c r="BQ417" s="97">
        <f>+Tabela1107[[#This Row],[PIS]]+Tabela1107[[#This Row],[COFINS]]+Tabela1107[[#This Row],[CONTRIB. FOLHA]]+Tabela1107[[#This Row],[TRIBUTOS S/ LUCRO]]+Tabela1107[[#This Row],[OUTROS]]+Tabela1107[[#This Row],[BA]]</f>
        <v>24.740000000000002</v>
      </c>
      <c r="BR417" s="97">
        <f>+Tabela1107[[#This Row],[PIS]]+Tabela1107[[#This Row],[COFINS]]+Tabela1107[[#This Row],[CONTRIB. FOLHA]]+Tabela1107[[#This Row],[TRIBUTOS S/ LUCRO]]+Tabela1107[[#This Row],[OUTROS]]+Tabela1107[[#This Row],[BA]]</f>
        <v>24.740000000000002</v>
      </c>
      <c r="BS417" s="97">
        <f>+Tabela1107[[#This Row],[PIS]]+Tabela1107[[#This Row],[COFINS]]+Tabela1107[[#This Row],[CONTRIB. FOLHA]]+Tabela1107[[#This Row],[TRIBUTOS S/ LUCRO]]+Tabela1107[[#This Row],[OUTROS]]+Tabela1107[[#This Row],[PE]]</f>
        <v>24.740000000000002</v>
      </c>
      <c r="BT417" s="97">
        <f>+Tabela1107[[#This Row],[PIS]]+Tabela1107[[#This Row],[COFINS]]+Tabela1107[[#This Row],[CONTRIB. FOLHA]]+Tabela1107[[#This Row],[TRIBUTOS S/ LUCRO]]+Tabela1107[[#This Row],[OUTROS]]+Tabela1107[[#This Row],[PA]]</f>
        <v>24.740000000000002</v>
      </c>
      <c r="BU417" s="97">
        <f>+Tabela1107[[#This Row],[PIS]]+Tabela1107[[#This Row],[COFINS]]+Tabela1107[[#This Row],[CONTRIB. FOLHA]]+Tabela1107[[#This Row],[TRIBUTOS S/ LUCRO]]+Tabela1107[[#This Row],[OUTROS]]+Tabela1107[[#This Row],[AM]]</f>
        <v>24.740000000000002</v>
      </c>
      <c r="BV417" s="97">
        <f>AVERAGE(Tabela1107[[#This Row],[TOTAL SP]:[TOTAL AM]])</f>
        <v>24.302500000000006</v>
      </c>
      <c r="BW417" s="97"/>
      <c r="BX417" s="97"/>
    </row>
    <row r="418" spans="2:76" x14ac:dyDescent="0.25">
      <c r="B418" s="89">
        <v>9991</v>
      </c>
      <c r="C418" s="91" t="s">
        <v>13061</v>
      </c>
      <c r="D418" s="89"/>
      <c r="E418" s="89">
        <v>20140626</v>
      </c>
      <c r="F418" s="89" t="s">
        <v>20377</v>
      </c>
      <c r="G418" s="89" t="s">
        <v>20378</v>
      </c>
      <c r="H418" s="89" t="s">
        <v>20379</v>
      </c>
      <c r="I418" s="89" t="s">
        <v>20380</v>
      </c>
      <c r="J418" s="89" t="s">
        <v>513</v>
      </c>
      <c r="K418" s="99" t="s">
        <v>2501</v>
      </c>
      <c r="L418" s="89" t="s">
        <v>2699</v>
      </c>
      <c r="M418" s="89" t="s">
        <v>4496</v>
      </c>
      <c r="N418" s="89" t="s">
        <v>4496</v>
      </c>
      <c r="O418" s="89" t="s">
        <v>4496</v>
      </c>
      <c r="P418" s="89" t="s">
        <v>4496</v>
      </c>
      <c r="Q418" s="89"/>
      <c r="R418" s="89" t="s">
        <v>466</v>
      </c>
      <c r="S418" s="89" t="s">
        <v>21576</v>
      </c>
      <c r="T418" s="89" t="s">
        <v>21577</v>
      </c>
      <c r="U418" s="89" t="str">
        <f>TRIM('Carga Tributária doenças Po (2'!$L418)</f>
        <v>TOBRAMICINA</v>
      </c>
      <c r="V418" s="89">
        <f>SUMIFS('Tabela Federal'!$E$4:$E$2069,'Tabela Federal'!$D$4:$D$2069,'Carga Tributária doenças Po (2'!$L418)</f>
        <v>2</v>
      </c>
      <c r="W418" s="89">
        <f>SUMIFS('Tabela Federal'!$E$4:$E$2069,'Tabela Federal'!$D$4:$D$2069,'Carga Tributária doenças Po (2'!$M418)</f>
        <v>0</v>
      </c>
      <c r="X418" s="89">
        <f>SUMIFS('Tabela Federal'!$E$4:$E$2069,'Tabela Federal'!$D$4:$D$2069,'Carga Tributária doenças Po (2'!$N418)</f>
        <v>0</v>
      </c>
      <c r="Y418" s="89">
        <f>SUMIFS('Tabela Federal'!$E$4:$E$2069,'Tabela Federal'!$D$4:$D$2069,'Carga Tributária doenças Po (2'!$O418)</f>
        <v>0</v>
      </c>
      <c r="Z418" s="92" t="str">
        <f>VLOOKUP('Carga Tributária doenças Po (2'!$AD418,'Carga Tributária doenças Po (2'!$CA$12:$CC$16,2,0)</f>
        <v>+</v>
      </c>
      <c r="AA418" s="89" t="s">
        <v>514</v>
      </c>
      <c r="AB418" s="89" t="s">
        <v>21769</v>
      </c>
      <c r="AC418" s="89" t="s">
        <v>21721</v>
      </c>
      <c r="AD418" s="93" t="s">
        <v>21722</v>
      </c>
      <c r="AE418" s="92" t="s">
        <v>2</v>
      </c>
      <c r="AF418" s="92" t="s">
        <v>23</v>
      </c>
      <c r="AG418" s="94">
        <v>680489</v>
      </c>
      <c r="AH418" s="95">
        <v>4685311</v>
      </c>
      <c r="AI418" s="95">
        <v>10675712.24</v>
      </c>
      <c r="AJ418" s="89" t="s">
        <v>525</v>
      </c>
      <c r="AK418" s="89">
        <f>IF('Carga Tributária doenças Po (2'!$Z418="+",0,SUMIFS(PISCOFINS!$I$3:$I$10518,PISCOFINS!$C$3:$C$10518,'Carga Tributária doenças Po (2'!$C418))</f>
        <v>0</v>
      </c>
      <c r="AL418" s="89">
        <f>IF('Carga Tributária doenças Po (2'!$Z418="+",0,SUMIFS(PISCOFINS!$H$3:$H$10518,PISCOFINS!$C$3:$C$10518,'Carga Tributária doenças Po (2'!$C418))</f>
        <v>0</v>
      </c>
      <c r="AM418" s="95">
        <v>3.27</v>
      </c>
      <c r="AN418" s="95">
        <v>3.12</v>
      </c>
      <c r="AO418" s="95">
        <v>1.35</v>
      </c>
      <c r="AP418" s="96">
        <v>18</v>
      </c>
      <c r="AQ418" s="96">
        <v>12</v>
      </c>
      <c r="AR418" s="96">
        <v>17</v>
      </c>
      <c r="AS418" s="97">
        <v>17</v>
      </c>
      <c r="AT418" s="97">
        <v>19</v>
      </c>
      <c r="AU418" s="97">
        <v>18</v>
      </c>
      <c r="AV418" s="97">
        <v>17</v>
      </c>
      <c r="AW418" s="97">
        <v>17</v>
      </c>
      <c r="AX418" s="97">
        <v>17</v>
      </c>
      <c r="AY418" s="97">
        <v>17</v>
      </c>
      <c r="AZ418" s="97">
        <v>17</v>
      </c>
      <c r="BA418" s="97">
        <v>17</v>
      </c>
      <c r="BB418" s="97">
        <v>17</v>
      </c>
      <c r="BC418" s="97">
        <v>17</v>
      </c>
      <c r="BD418" s="97">
        <v>17</v>
      </c>
      <c r="BE418" s="97">
        <v>17</v>
      </c>
      <c r="BF418" s="97">
        <f>+Tabela1107[[#This Row],[PIS]]+Tabela1107[[#This Row],[COFINS]]+Tabela1107[[#This Row],[CONTRIB. FOLHA]]+Tabela1107[[#This Row],[TRIBUTOS S/ LUCRO]]+Tabela1107[[#This Row],[OUTROS]]+Tabela1107[[#This Row],[SP]]</f>
        <v>25.740000000000002</v>
      </c>
      <c r="BG418" s="97">
        <f>+Tabela1107[[#This Row],[PIS]]+Tabela1107[[#This Row],[COFINS]]+Tabela1107[[#This Row],[CONTRIB. FOLHA]]+Tabela1107[[#This Row],[TRIBUTOS S/ LUCRO]]+Tabela1107[[#This Row],[OUTROS]]+Tabela1107[[#This Row],[PR]]</f>
        <v>19.740000000000002</v>
      </c>
      <c r="BH418" s="97">
        <f>+Tabela1107[[#This Row],[PIS]]+Tabela1107[[#This Row],[COFINS]]+Tabela1107[[#This Row],[CONTRIB. FOLHA]]+Tabela1107[[#This Row],[TRIBUTOS S/ LUCRO]]+Tabela1107[[#This Row],[OUTROS]]+Tabela1107[[#This Row],[SC]]</f>
        <v>24.740000000000002</v>
      </c>
      <c r="BI418" s="97">
        <f>+Tabela1107[[#This Row],[PIS]]+Tabela1107[[#This Row],[COFINS]]+Tabela1107[[#This Row],[CONTRIB. FOLHA]]+Tabela1107[[#This Row],[TRIBUTOS S/ LUCRO]]+Tabela1107[[#This Row],[OUTROS]]+Tabela1107[[#This Row],[RS]]</f>
        <v>24.740000000000002</v>
      </c>
      <c r="BJ418" s="97">
        <f>+Tabela1107[[#This Row],[PIS]]+Tabela1107[[#This Row],[COFINS]]+Tabela1107[[#This Row],[CONTRIB. FOLHA]]+Tabela1107[[#This Row],[TRIBUTOS S/ LUCRO]]+Tabela1107[[#This Row],[OUTROS]]+Tabela1107[[#This Row],[RJ]]</f>
        <v>26.740000000000002</v>
      </c>
      <c r="BK418" s="97">
        <f>+Tabela1107[[#This Row],[PIS]]+Tabela1107[[#This Row],[COFINS]]+Tabela1107[[#This Row],[CONTRIB. FOLHA]]+Tabela1107[[#This Row],[TRIBUTOS S/ LUCRO]]+Tabela1107[[#This Row],[OUTROS]]+Tabela1107[[#This Row],[MG]]</f>
        <v>25.740000000000002</v>
      </c>
      <c r="BL418" s="97">
        <f>+Tabela1107[[#This Row],[PIS]]+Tabela1107[[#This Row],[COFINS]]+Tabela1107[[#This Row],[CONTRIB. FOLHA]]+Tabela1107[[#This Row],[TRIBUTOS S/ LUCRO]]+Tabela1107[[#This Row],[OUTROS]]+Tabela1107[[#This Row],[ES]]</f>
        <v>24.740000000000002</v>
      </c>
      <c r="BM418" s="97">
        <f>+Tabela1107[[#This Row],[PIS]]+Tabela1107[[#This Row],[COFINS]]+Tabela1107[[#This Row],[CONTRIB. FOLHA]]+Tabela1107[[#This Row],[TRIBUTOS S/ LUCRO]]+Tabela1107[[#This Row],[OUTROS]]+Tabela1107[[#This Row],[GO]]</f>
        <v>24.740000000000002</v>
      </c>
      <c r="BN418" s="97">
        <f>+Tabela1107[[#This Row],[PIS]]+Tabela1107[[#This Row],[COFINS]]+Tabela1107[[#This Row],[CONTRIB. FOLHA]]+Tabela1107[[#This Row],[TRIBUTOS S/ LUCRO]]+Tabela1107[[#This Row],[OUTROS]]+Tabela1107[[#This Row],[MT]]</f>
        <v>24.740000000000002</v>
      </c>
      <c r="BO418" s="97">
        <f>+Tabela1107[[#This Row],[PIS]]+Tabela1107[[#This Row],[COFINS]]+Tabela1107[[#This Row],[CONTRIB. FOLHA]]+Tabela1107[[#This Row],[TRIBUTOS S/ LUCRO]]+Tabela1107[[#This Row],[OUTROS]]+Tabela1107[[#This Row],[MS]]</f>
        <v>24.740000000000002</v>
      </c>
      <c r="BP418" s="97">
        <f>+Tabela1107[[#This Row],[PIS]]+Tabela1107[[#This Row],[COFINS]]+Tabela1107[[#This Row],[CONTRIB. FOLHA]]+Tabela1107[[#This Row],[TRIBUTOS S/ LUCRO]]+Tabela1107[[#This Row],[OUTROS]]+Tabela1107[[#This Row],[DF]]</f>
        <v>24.740000000000002</v>
      </c>
      <c r="BQ418" s="97">
        <f>+Tabela1107[[#This Row],[PIS]]+Tabela1107[[#This Row],[COFINS]]+Tabela1107[[#This Row],[CONTRIB. FOLHA]]+Tabela1107[[#This Row],[TRIBUTOS S/ LUCRO]]+Tabela1107[[#This Row],[OUTROS]]+Tabela1107[[#This Row],[BA]]</f>
        <v>24.740000000000002</v>
      </c>
      <c r="BR418" s="97">
        <f>+Tabela1107[[#This Row],[PIS]]+Tabela1107[[#This Row],[COFINS]]+Tabela1107[[#This Row],[CONTRIB. FOLHA]]+Tabela1107[[#This Row],[TRIBUTOS S/ LUCRO]]+Tabela1107[[#This Row],[OUTROS]]+Tabela1107[[#This Row],[BA]]</f>
        <v>24.740000000000002</v>
      </c>
      <c r="BS418" s="97">
        <f>+Tabela1107[[#This Row],[PIS]]+Tabela1107[[#This Row],[COFINS]]+Tabela1107[[#This Row],[CONTRIB. FOLHA]]+Tabela1107[[#This Row],[TRIBUTOS S/ LUCRO]]+Tabela1107[[#This Row],[OUTROS]]+Tabela1107[[#This Row],[PE]]</f>
        <v>24.740000000000002</v>
      </c>
      <c r="BT418" s="97">
        <f>+Tabela1107[[#This Row],[PIS]]+Tabela1107[[#This Row],[COFINS]]+Tabela1107[[#This Row],[CONTRIB. FOLHA]]+Tabela1107[[#This Row],[TRIBUTOS S/ LUCRO]]+Tabela1107[[#This Row],[OUTROS]]+Tabela1107[[#This Row],[PA]]</f>
        <v>24.740000000000002</v>
      </c>
      <c r="BU418" s="97">
        <f>+Tabela1107[[#This Row],[PIS]]+Tabela1107[[#This Row],[COFINS]]+Tabela1107[[#This Row],[CONTRIB. FOLHA]]+Tabela1107[[#This Row],[TRIBUTOS S/ LUCRO]]+Tabela1107[[#This Row],[OUTROS]]+Tabela1107[[#This Row],[AM]]</f>
        <v>24.740000000000002</v>
      </c>
      <c r="BV418" s="97">
        <f>AVERAGE(Tabela1107[[#This Row],[TOTAL SP]:[TOTAL AM]])</f>
        <v>24.677500000000006</v>
      </c>
      <c r="BW418" s="97"/>
      <c r="BX418" s="97"/>
    </row>
    <row r="419" spans="2:76" x14ac:dyDescent="0.25">
      <c r="B419" s="89">
        <v>17502</v>
      </c>
      <c r="C419" s="91" t="s">
        <v>13168</v>
      </c>
      <c r="D419" s="89"/>
      <c r="E419" s="89">
        <v>20140626</v>
      </c>
      <c r="F419" s="89" t="s">
        <v>21211</v>
      </c>
      <c r="G419" s="89" t="s">
        <v>21212</v>
      </c>
      <c r="H419" s="89" t="s">
        <v>21213</v>
      </c>
      <c r="I419" s="89" t="s">
        <v>21214</v>
      </c>
      <c r="J419" s="89" t="s">
        <v>422</v>
      </c>
      <c r="K419" s="99" t="s">
        <v>2500</v>
      </c>
      <c r="L419" s="89" t="s">
        <v>2700</v>
      </c>
      <c r="M419" s="89" t="s">
        <v>4496</v>
      </c>
      <c r="N419" s="89" t="s">
        <v>4496</v>
      </c>
      <c r="O419" s="89" t="s">
        <v>4496</v>
      </c>
      <c r="P419" s="89" t="s">
        <v>4496</v>
      </c>
      <c r="Q419" s="89"/>
      <c r="R419" s="89" t="s">
        <v>132</v>
      </c>
      <c r="S419" s="89" t="s">
        <v>21676</v>
      </c>
      <c r="T419" s="89" t="s">
        <v>21677</v>
      </c>
      <c r="U419" s="89" t="str">
        <f>TRIM('Carga Tributária doenças Po (2'!$L419)</f>
        <v>IMIPRAMINA</v>
      </c>
      <c r="V419" s="89">
        <f>SUMIFS('Tabela Federal'!$E$4:$E$2069,'Tabela Federal'!$D$4:$D$2069,'Carga Tributária doenças Po (2'!$L419)</f>
        <v>1</v>
      </c>
      <c r="W419" s="89">
        <f>SUMIFS('Tabela Federal'!$E$4:$E$2069,'Tabela Federal'!$D$4:$D$2069,'Carga Tributária doenças Po (2'!$M419)</f>
        <v>0</v>
      </c>
      <c r="X419" s="89">
        <f>SUMIFS('Tabela Federal'!$E$4:$E$2069,'Tabela Federal'!$D$4:$D$2069,'Carga Tributária doenças Po (2'!$N419)</f>
        <v>0</v>
      </c>
      <c r="Y419" s="89">
        <f>SUMIFS('Tabela Federal'!$E$4:$E$2069,'Tabela Federal'!$D$4:$D$2069,'Carga Tributária doenças Po (2'!$O419)</f>
        <v>0</v>
      </c>
      <c r="Z419" s="92" t="str">
        <f>VLOOKUP('Carga Tributária doenças Po (2'!$AD419,'Carga Tributária doenças Po (2'!$CA$12:$CC$16,2,0)</f>
        <v>+</v>
      </c>
      <c r="AA419" s="89" t="s">
        <v>415</v>
      </c>
      <c r="AB419" s="89" t="s">
        <v>21775</v>
      </c>
      <c r="AC419" s="89" t="s">
        <v>21721</v>
      </c>
      <c r="AD419" s="93" t="s">
        <v>21722</v>
      </c>
      <c r="AE419" s="92" t="s">
        <v>2</v>
      </c>
      <c r="AF419" s="92" t="s">
        <v>23</v>
      </c>
      <c r="AG419" s="94">
        <v>734896</v>
      </c>
      <c r="AH419" s="95">
        <v>2406593</v>
      </c>
      <c r="AI419" s="95">
        <v>5522753.3200000003</v>
      </c>
      <c r="AJ419" s="89" t="s">
        <v>426</v>
      </c>
      <c r="AK419" s="89">
        <f>IF('Carga Tributária doenças Po (2'!$Z419="+",0,SUMIFS(PISCOFINS!$I$3:$I$10518,PISCOFINS!$C$3:$C$10518,'Carga Tributária doenças Po (2'!$C419))</f>
        <v>0</v>
      </c>
      <c r="AL419" s="89">
        <f>IF('Carga Tributária doenças Po (2'!$Z419="+",0,SUMIFS(PISCOFINS!$H$3:$H$10518,PISCOFINS!$C$3:$C$10518,'Carga Tributária doenças Po (2'!$C419))</f>
        <v>0</v>
      </c>
      <c r="AM419" s="95">
        <v>3.27</v>
      </c>
      <c r="AN419" s="95">
        <v>3.12</v>
      </c>
      <c r="AO419" s="95">
        <v>1.35</v>
      </c>
      <c r="AP419" s="96">
        <v>18</v>
      </c>
      <c r="AQ419" s="96">
        <v>12</v>
      </c>
      <c r="AR419" s="96">
        <v>17</v>
      </c>
      <c r="AS419" s="97">
        <v>17</v>
      </c>
      <c r="AT419" s="97">
        <v>19</v>
      </c>
      <c r="AU419" s="97">
        <v>18</v>
      </c>
      <c r="AV419" s="97">
        <v>17</v>
      </c>
      <c r="AW419" s="97">
        <v>17</v>
      </c>
      <c r="AX419" s="97">
        <v>17</v>
      </c>
      <c r="AY419" s="97">
        <v>17</v>
      </c>
      <c r="AZ419" s="97">
        <v>17</v>
      </c>
      <c r="BA419" s="97">
        <v>17</v>
      </c>
      <c r="BB419" s="97">
        <v>17</v>
      </c>
      <c r="BC419" s="97">
        <v>17</v>
      </c>
      <c r="BD419" s="97">
        <v>17</v>
      </c>
      <c r="BE419" s="97">
        <v>17</v>
      </c>
      <c r="BF419" s="97">
        <f>+Tabela1107[[#This Row],[PIS]]+Tabela1107[[#This Row],[COFINS]]+Tabela1107[[#This Row],[CONTRIB. FOLHA]]+Tabela1107[[#This Row],[TRIBUTOS S/ LUCRO]]+Tabela1107[[#This Row],[OUTROS]]+Tabela1107[[#This Row],[SP]]</f>
        <v>25.740000000000002</v>
      </c>
      <c r="BG419" s="97">
        <f>+Tabela1107[[#This Row],[PIS]]+Tabela1107[[#This Row],[COFINS]]+Tabela1107[[#This Row],[CONTRIB. FOLHA]]+Tabela1107[[#This Row],[TRIBUTOS S/ LUCRO]]+Tabela1107[[#This Row],[OUTROS]]+Tabela1107[[#This Row],[PR]]</f>
        <v>19.740000000000002</v>
      </c>
      <c r="BH419" s="97">
        <f>+Tabela1107[[#This Row],[PIS]]+Tabela1107[[#This Row],[COFINS]]+Tabela1107[[#This Row],[CONTRIB. FOLHA]]+Tabela1107[[#This Row],[TRIBUTOS S/ LUCRO]]+Tabela1107[[#This Row],[OUTROS]]+Tabela1107[[#This Row],[SC]]</f>
        <v>24.740000000000002</v>
      </c>
      <c r="BI419" s="97">
        <f>+Tabela1107[[#This Row],[PIS]]+Tabela1107[[#This Row],[COFINS]]+Tabela1107[[#This Row],[CONTRIB. FOLHA]]+Tabela1107[[#This Row],[TRIBUTOS S/ LUCRO]]+Tabela1107[[#This Row],[OUTROS]]+Tabela1107[[#This Row],[RS]]</f>
        <v>24.740000000000002</v>
      </c>
      <c r="BJ419" s="97">
        <f>+Tabela1107[[#This Row],[PIS]]+Tabela1107[[#This Row],[COFINS]]+Tabela1107[[#This Row],[CONTRIB. FOLHA]]+Tabela1107[[#This Row],[TRIBUTOS S/ LUCRO]]+Tabela1107[[#This Row],[OUTROS]]+Tabela1107[[#This Row],[RJ]]</f>
        <v>26.740000000000002</v>
      </c>
      <c r="BK419" s="97">
        <f>+Tabela1107[[#This Row],[PIS]]+Tabela1107[[#This Row],[COFINS]]+Tabela1107[[#This Row],[CONTRIB. FOLHA]]+Tabela1107[[#This Row],[TRIBUTOS S/ LUCRO]]+Tabela1107[[#This Row],[OUTROS]]+Tabela1107[[#This Row],[MG]]</f>
        <v>25.740000000000002</v>
      </c>
      <c r="BL419" s="97">
        <f>+Tabela1107[[#This Row],[PIS]]+Tabela1107[[#This Row],[COFINS]]+Tabela1107[[#This Row],[CONTRIB. FOLHA]]+Tabela1107[[#This Row],[TRIBUTOS S/ LUCRO]]+Tabela1107[[#This Row],[OUTROS]]+Tabela1107[[#This Row],[ES]]</f>
        <v>24.740000000000002</v>
      </c>
      <c r="BM419" s="97">
        <f>+Tabela1107[[#This Row],[PIS]]+Tabela1107[[#This Row],[COFINS]]+Tabela1107[[#This Row],[CONTRIB. FOLHA]]+Tabela1107[[#This Row],[TRIBUTOS S/ LUCRO]]+Tabela1107[[#This Row],[OUTROS]]+Tabela1107[[#This Row],[GO]]</f>
        <v>24.740000000000002</v>
      </c>
      <c r="BN419" s="97">
        <f>+Tabela1107[[#This Row],[PIS]]+Tabela1107[[#This Row],[COFINS]]+Tabela1107[[#This Row],[CONTRIB. FOLHA]]+Tabela1107[[#This Row],[TRIBUTOS S/ LUCRO]]+Tabela1107[[#This Row],[OUTROS]]+Tabela1107[[#This Row],[MT]]</f>
        <v>24.740000000000002</v>
      </c>
      <c r="BO419" s="97">
        <f>+Tabela1107[[#This Row],[PIS]]+Tabela1107[[#This Row],[COFINS]]+Tabela1107[[#This Row],[CONTRIB. FOLHA]]+Tabela1107[[#This Row],[TRIBUTOS S/ LUCRO]]+Tabela1107[[#This Row],[OUTROS]]+Tabela1107[[#This Row],[MS]]</f>
        <v>24.740000000000002</v>
      </c>
      <c r="BP419" s="97">
        <f>+Tabela1107[[#This Row],[PIS]]+Tabela1107[[#This Row],[COFINS]]+Tabela1107[[#This Row],[CONTRIB. FOLHA]]+Tabela1107[[#This Row],[TRIBUTOS S/ LUCRO]]+Tabela1107[[#This Row],[OUTROS]]+Tabela1107[[#This Row],[DF]]</f>
        <v>24.740000000000002</v>
      </c>
      <c r="BQ419" s="97">
        <f>+Tabela1107[[#This Row],[PIS]]+Tabela1107[[#This Row],[COFINS]]+Tabela1107[[#This Row],[CONTRIB. FOLHA]]+Tabela1107[[#This Row],[TRIBUTOS S/ LUCRO]]+Tabela1107[[#This Row],[OUTROS]]+Tabela1107[[#This Row],[BA]]</f>
        <v>24.740000000000002</v>
      </c>
      <c r="BR419" s="97">
        <f>+Tabela1107[[#This Row],[PIS]]+Tabela1107[[#This Row],[COFINS]]+Tabela1107[[#This Row],[CONTRIB. FOLHA]]+Tabela1107[[#This Row],[TRIBUTOS S/ LUCRO]]+Tabela1107[[#This Row],[OUTROS]]+Tabela1107[[#This Row],[BA]]</f>
        <v>24.740000000000002</v>
      </c>
      <c r="BS419" s="97">
        <f>+Tabela1107[[#This Row],[PIS]]+Tabela1107[[#This Row],[COFINS]]+Tabela1107[[#This Row],[CONTRIB. FOLHA]]+Tabela1107[[#This Row],[TRIBUTOS S/ LUCRO]]+Tabela1107[[#This Row],[OUTROS]]+Tabela1107[[#This Row],[PE]]</f>
        <v>24.740000000000002</v>
      </c>
      <c r="BT419" s="97">
        <f>+Tabela1107[[#This Row],[PIS]]+Tabela1107[[#This Row],[COFINS]]+Tabela1107[[#This Row],[CONTRIB. FOLHA]]+Tabela1107[[#This Row],[TRIBUTOS S/ LUCRO]]+Tabela1107[[#This Row],[OUTROS]]+Tabela1107[[#This Row],[PA]]</f>
        <v>24.740000000000002</v>
      </c>
      <c r="BU419" s="97">
        <f>+Tabela1107[[#This Row],[PIS]]+Tabela1107[[#This Row],[COFINS]]+Tabela1107[[#This Row],[CONTRIB. FOLHA]]+Tabela1107[[#This Row],[TRIBUTOS S/ LUCRO]]+Tabela1107[[#This Row],[OUTROS]]+Tabela1107[[#This Row],[AM]]</f>
        <v>24.740000000000002</v>
      </c>
      <c r="BV419" s="97">
        <f>AVERAGE(Tabela1107[[#This Row],[TOTAL SP]:[TOTAL AM]])</f>
        <v>24.677500000000006</v>
      </c>
      <c r="BW419" s="97"/>
      <c r="BX419" s="97"/>
    </row>
    <row r="420" spans="2:76" x14ac:dyDescent="0.25">
      <c r="B420" s="89">
        <v>11541</v>
      </c>
      <c r="C420" s="91" t="s">
        <v>13161</v>
      </c>
      <c r="D420" s="89"/>
      <c r="E420" s="89">
        <v>20140626</v>
      </c>
      <c r="F420" s="89" t="s">
        <v>20708</v>
      </c>
      <c r="G420" s="89" t="s">
        <v>20709</v>
      </c>
      <c r="H420" s="89" t="s">
        <v>20710</v>
      </c>
      <c r="I420" s="89" t="s">
        <v>20711</v>
      </c>
      <c r="J420" s="89" t="s">
        <v>154</v>
      </c>
      <c r="K420" s="99" t="s">
        <v>2499</v>
      </c>
      <c r="L420" s="89" t="s">
        <v>2701</v>
      </c>
      <c r="M420" s="89" t="s">
        <v>4496</v>
      </c>
      <c r="N420" s="89" t="s">
        <v>4496</v>
      </c>
      <c r="O420" s="89" t="s">
        <v>4496</v>
      </c>
      <c r="P420" s="89" t="s">
        <v>4496</v>
      </c>
      <c r="Q420" s="89"/>
      <c r="R420" s="89" t="s">
        <v>29</v>
      </c>
      <c r="S420" s="89" t="s">
        <v>21618</v>
      </c>
      <c r="T420" s="89" t="s">
        <v>21619</v>
      </c>
      <c r="U420" s="89" t="str">
        <f>TRIM('Carga Tributária doenças Po (2'!$L420)</f>
        <v>TROMETAMOL CETOROLOCO</v>
      </c>
      <c r="V420" s="89">
        <f>SUMIFS('Tabela Federal'!$E$4:$E$2069,'Tabela Federal'!$D$4:$D$2069,'Carga Tributária doenças Po (2'!$L420)</f>
        <v>0</v>
      </c>
      <c r="W420" s="89">
        <f>SUMIFS('Tabela Federal'!$E$4:$E$2069,'Tabela Federal'!$D$4:$D$2069,'Carga Tributária doenças Po (2'!$M420)</f>
        <v>0</v>
      </c>
      <c r="X420" s="89">
        <f>SUMIFS('Tabela Federal'!$E$4:$E$2069,'Tabela Federal'!$D$4:$D$2069,'Carga Tributária doenças Po (2'!$N420)</f>
        <v>0</v>
      </c>
      <c r="Y420" s="89">
        <f>SUMIFS('Tabela Federal'!$E$4:$E$2069,'Tabela Federal'!$D$4:$D$2069,'Carga Tributária doenças Po (2'!$O420)</f>
        <v>0</v>
      </c>
      <c r="Z420" s="92" t="str">
        <f>VLOOKUP('Carga Tributária doenças Po (2'!$AD420,'Carga Tributária doenças Po (2'!$CA$12:$CC$16,2,0)</f>
        <v>+</v>
      </c>
      <c r="AA420" s="89" t="s">
        <v>7</v>
      </c>
      <c r="AB420" s="89" t="s">
        <v>21831</v>
      </c>
      <c r="AC420" s="89" t="s">
        <v>21721</v>
      </c>
      <c r="AD420" s="93" t="s">
        <v>21722</v>
      </c>
      <c r="AE420" s="92" t="s">
        <v>2</v>
      </c>
      <c r="AF420" s="92" t="s">
        <v>3</v>
      </c>
      <c r="AG420" s="94">
        <v>3562616</v>
      </c>
      <c r="AH420" s="95">
        <v>30200579</v>
      </c>
      <c r="AI420" s="95">
        <v>68949731.290000007</v>
      </c>
      <c r="AJ420" s="89" t="s">
        <v>5</v>
      </c>
      <c r="AK420" s="89">
        <f>IF('Carga Tributária doenças Po (2'!$Z420="+",0,SUMIFS(PISCOFINS!$I$3:$I$10518,PISCOFINS!$C$3:$C$10518,'Carga Tributária doenças Po (2'!$C420))</f>
        <v>0</v>
      </c>
      <c r="AL420" s="89">
        <f>IF('Carga Tributária doenças Po (2'!$Z420="+",0,SUMIFS(PISCOFINS!$H$3:$H$10518,PISCOFINS!$C$3:$C$10518,'Carga Tributária doenças Po (2'!$C420))</f>
        <v>0</v>
      </c>
      <c r="AM420" s="95">
        <v>3.27</v>
      </c>
      <c r="AN420" s="95">
        <v>3.12</v>
      </c>
      <c r="AO420" s="95">
        <v>1.35</v>
      </c>
      <c r="AP420" s="96">
        <v>18</v>
      </c>
      <c r="AQ420" s="96">
        <v>12</v>
      </c>
      <c r="AR420" s="96">
        <v>17</v>
      </c>
      <c r="AS420" s="97">
        <v>17</v>
      </c>
      <c r="AT420" s="97">
        <v>19</v>
      </c>
      <c r="AU420" s="97">
        <v>18</v>
      </c>
      <c r="AV420" s="97">
        <v>17</v>
      </c>
      <c r="AW420" s="97">
        <v>17</v>
      </c>
      <c r="AX420" s="97">
        <v>17</v>
      </c>
      <c r="AY420" s="97">
        <v>17</v>
      </c>
      <c r="AZ420" s="97">
        <v>17</v>
      </c>
      <c r="BA420" s="97">
        <v>17</v>
      </c>
      <c r="BB420" s="97">
        <v>17</v>
      </c>
      <c r="BC420" s="97">
        <v>17</v>
      </c>
      <c r="BD420" s="97">
        <v>17</v>
      </c>
      <c r="BE420" s="97">
        <v>17</v>
      </c>
      <c r="BF420" s="97">
        <f>+Tabela1107[[#This Row],[PIS]]+Tabela1107[[#This Row],[COFINS]]+Tabela1107[[#This Row],[CONTRIB. FOLHA]]+Tabela1107[[#This Row],[TRIBUTOS S/ LUCRO]]+Tabela1107[[#This Row],[OUTROS]]+Tabela1107[[#This Row],[SP]]</f>
        <v>25.740000000000002</v>
      </c>
      <c r="BG420" s="97">
        <f>+Tabela1107[[#This Row],[PIS]]+Tabela1107[[#This Row],[COFINS]]+Tabela1107[[#This Row],[CONTRIB. FOLHA]]+Tabela1107[[#This Row],[TRIBUTOS S/ LUCRO]]+Tabela1107[[#This Row],[OUTROS]]+Tabela1107[[#This Row],[PR]]</f>
        <v>19.740000000000002</v>
      </c>
      <c r="BH420" s="97">
        <f>+Tabela1107[[#This Row],[PIS]]+Tabela1107[[#This Row],[COFINS]]+Tabela1107[[#This Row],[CONTRIB. FOLHA]]+Tabela1107[[#This Row],[TRIBUTOS S/ LUCRO]]+Tabela1107[[#This Row],[OUTROS]]+Tabela1107[[#This Row],[SC]]</f>
        <v>24.740000000000002</v>
      </c>
      <c r="BI420" s="97">
        <f>+Tabela1107[[#This Row],[PIS]]+Tabela1107[[#This Row],[COFINS]]+Tabela1107[[#This Row],[CONTRIB. FOLHA]]+Tabela1107[[#This Row],[TRIBUTOS S/ LUCRO]]+Tabela1107[[#This Row],[OUTROS]]+Tabela1107[[#This Row],[RS]]</f>
        <v>24.740000000000002</v>
      </c>
      <c r="BJ420" s="97">
        <f>+Tabela1107[[#This Row],[PIS]]+Tabela1107[[#This Row],[COFINS]]+Tabela1107[[#This Row],[CONTRIB. FOLHA]]+Tabela1107[[#This Row],[TRIBUTOS S/ LUCRO]]+Tabela1107[[#This Row],[OUTROS]]+Tabela1107[[#This Row],[RJ]]</f>
        <v>26.740000000000002</v>
      </c>
      <c r="BK420" s="97">
        <f>+Tabela1107[[#This Row],[PIS]]+Tabela1107[[#This Row],[COFINS]]+Tabela1107[[#This Row],[CONTRIB. FOLHA]]+Tabela1107[[#This Row],[TRIBUTOS S/ LUCRO]]+Tabela1107[[#This Row],[OUTROS]]+Tabela1107[[#This Row],[MG]]</f>
        <v>25.740000000000002</v>
      </c>
      <c r="BL420" s="97">
        <f>+Tabela1107[[#This Row],[PIS]]+Tabela1107[[#This Row],[COFINS]]+Tabela1107[[#This Row],[CONTRIB. FOLHA]]+Tabela1107[[#This Row],[TRIBUTOS S/ LUCRO]]+Tabela1107[[#This Row],[OUTROS]]+Tabela1107[[#This Row],[ES]]</f>
        <v>24.740000000000002</v>
      </c>
      <c r="BM420" s="97">
        <f>+Tabela1107[[#This Row],[PIS]]+Tabela1107[[#This Row],[COFINS]]+Tabela1107[[#This Row],[CONTRIB. FOLHA]]+Tabela1107[[#This Row],[TRIBUTOS S/ LUCRO]]+Tabela1107[[#This Row],[OUTROS]]+Tabela1107[[#This Row],[GO]]</f>
        <v>24.740000000000002</v>
      </c>
      <c r="BN420" s="97">
        <f>+Tabela1107[[#This Row],[PIS]]+Tabela1107[[#This Row],[COFINS]]+Tabela1107[[#This Row],[CONTRIB. FOLHA]]+Tabela1107[[#This Row],[TRIBUTOS S/ LUCRO]]+Tabela1107[[#This Row],[OUTROS]]+Tabela1107[[#This Row],[MT]]</f>
        <v>24.740000000000002</v>
      </c>
      <c r="BO420" s="97">
        <f>+Tabela1107[[#This Row],[PIS]]+Tabela1107[[#This Row],[COFINS]]+Tabela1107[[#This Row],[CONTRIB. FOLHA]]+Tabela1107[[#This Row],[TRIBUTOS S/ LUCRO]]+Tabela1107[[#This Row],[OUTROS]]+Tabela1107[[#This Row],[MS]]</f>
        <v>24.740000000000002</v>
      </c>
      <c r="BP420" s="97">
        <f>+Tabela1107[[#This Row],[PIS]]+Tabela1107[[#This Row],[COFINS]]+Tabela1107[[#This Row],[CONTRIB. FOLHA]]+Tabela1107[[#This Row],[TRIBUTOS S/ LUCRO]]+Tabela1107[[#This Row],[OUTROS]]+Tabela1107[[#This Row],[DF]]</f>
        <v>24.740000000000002</v>
      </c>
      <c r="BQ420" s="97">
        <f>+Tabela1107[[#This Row],[PIS]]+Tabela1107[[#This Row],[COFINS]]+Tabela1107[[#This Row],[CONTRIB. FOLHA]]+Tabela1107[[#This Row],[TRIBUTOS S/ LUCRO]]+Tabela1107[[#This Row],[OUTROS]]+Tabela1107[[#This Row],[BA]]</f>
        <v>24.740000000000002</v>
      </c>
      <c r="BR420" s="97">
        <f>+Tabela1107[[#This Row],[PIS]]+Tabela1107[[#This Row],[COFINS]]+Tabela1107[[#This Row],[CONTRIB. FOLHA]]+Tabela1107[[#This Row],[TRIBUTOS S/ LUCRO]]+Tabela1107[[#This Row],[OUTROS]]+Tabela1107[[#This Row],[BA]]</f>
        <v>24.740000000000002</v>
      </c>
      <c r="BS420" s="97">
        <f>+Tabela1107[[#This Row],[PIS]]+Tabela1107[[#This Row],[COFINS]]+Tabela1107[[#This Row],[CONTRIB. FOLHA]]+Tabela1107[[#This Row],[TRIBUTOS S/ LUCRO]]+Tabela1107[[#This Row],[OUTROS]]+Tabela1107[[#This Row],[PE]]</f>
        <v>24.740000000000002</v>
      </c>
      <c r="BT420" s="97">
        <f>+Tabela1107[[#This Row],[PIS]]+Tabela1107[[#This Row],[COFINS]]+Tabela1107[[#This Row],[CONTRIB. FOLHA]]+Tabela1107[[#This Row],[TRIBUTOS S/ LUCRO]]+Tabela1107[[#This Row],[OUTROS]]+Tabela1107[[#This Row],[PA]]</f>
        <v>24.740000000000002</v>
      </c>
      <c r="BU420" s="97">
        <f>+Tabela1107[[#This Row],[PIS]]+Tabela1107[[#This Row],[COFINS]]+Tabela1107[[#This Row],[CONTRIB. FOLHA]]+Tabela1107[[#This Row],[TRIBUTOS S/ LUCRO]]+Tabela1107[[#This Row],[OUTROS]]+Tabela1107[[#This Row],[AM]]</f>
        <v>24.740000000000002</v>
      </c>
      <c r="BV420" s="97">
        <f>AVERAGE(Tabela1107[[#This Row],[TOTAL SP]:[TOTAL AM]])</f>
        <v>24.677500000000006</v>
      </c>
      <c r="BW420" s="97"/>
      <c r="BX420" s="97"/>
    </row>
    <row r="421" spans="2:76" x14ac:dyDescent="0.25">
      <c r="B421" s="89">
        <v>4162</v>
      </c>
      <c r="C421" s="91" t="s">
        <v>13140</v>
      </c>
      <c r="D421" s="89"/>
      <c r="E421" s="89">
        <v>20140626</v>
      </c>
      <c r="F421" s="89" t="s">
        <v>21184</v>
      </c>
      <c r="G421" s="89" t="s">
        <v>21185</v>
      </c>
      <c r="H421" s="89" t="s">
        <v>21186</v>
      </c>
      <c r="I421" s="89" t="s">
        <v>21183</v>
      </c>
      <c r="J421" s="89" t="s">
        <v>163</v>
      </c>
      <c r="K421" s="99" t="s">
        <v>2498</v>
      </c>
      <c r="L421" s="89" t="s">
        <v>3183</v>
      </c>
      <c r="M421" s="89" t="s">
        <v>3172</v>
      </c>
      <c r="N421" s="89" t="s">
        <v>3199</v>
      </c>
      <c r="O421" s="89" t="s">
        <v>4488</v>
      </c>
      <c r="P421" s="89" t="s">
        <v>4496</v>
      </c>
      <c r="Q421" s="89"/>
      <c r="R421" s="89" t="s">
        <v>34</v>
      </c>
      <c r="S421" s="89" t="s">
        <v>21670</v>
      </c>
      <c r="T421" s="89" t="s">
        <v>21671</v>
      </c>
      <c r="U421" s="89" t="str">
        <f>TRIM('Carga Tributária doenças Po (2'!$L421)</f>
        <v>CARISOPRODOL</v>
      </c>
      <c r="V421" s="89">
        <f>SUMIFS('Tabela Federal'!$E$4:$E$2069,'Tabela Federal'!$D$4:$D$2069,'Carga Tributária doenças Po (2'!$L421)</f>
        <v>0</v>
      </c>
      <c r="W421" s="89">
        <f>SUMIFS('Tabela Federal'!$E$4:$E$2069,'Tabela Federal'!$D$4:$D$2069,'Carga Tributária doenças Po (2'!$M421)</f>
        <v>0</v>
      </c>
      <c r="X421" s="89">
        <f>SUMIFS('Tabela Federal'!$E$4:$E$2069,'Tabela Federal'!$D$4:$D$2069,'Carga Tributária doenças Po (2'!$N421)</f>
        <v>1</v>
      </c>
      <c r="Y421" s="89">
        <f>SUMIFS('Tabela Federal'!$E$4:$E$2069,'Tabela Federal'!$D$4:$D$2069,'Carga Tributária doenças Po (2'!$O421)</f>
        <v>0</v>
      </c>
      <c r="Z421" s="92" t="str">
        <f>VLOOKUP('Carga Tributária doenças Po (2'!$AD421,'Carga Tributária doenças Po (2'!$CA$12:$CC$16,2,0)</f>
        <v>-</v>
      </c>
      <c r="AA421" s="89" t="s">
        <v>160</v>
      </c>
      <c r="AB421" s="89" t="s">
        <v>21823</v>
      </c>
      <c r="AC421" s="89" t="s">
        <v>21721</v>
      </c>
      <c r="AD421" s="93" t="s">
        <v>19523</v>
      </c>
      <c r="AE421" s="92" t="s">
        <v>4</v>
      </c>
      <c r="AF421" s="92" t="s">
        <v>3</v>
      </c>
      <c r="AG421" s="94">
        <v>4882132</v>
      </c>
      <c r="AH421" s="95">
        <v>17830046</v>
      </c>
      <c r="AI421" s="95">
        <v>40737356.689999998</v>
      </c>
      <c r="AJ421" s="89" t="s">
        <v>171</v>
      </c>
      <c r="AK421" s="89">
        <f>IF('Carga Tributária doenças Po (2'!$Z421="+",0,SUMIFS(PISCOFINS!$I$3:$I$10518,PISCOFINS!$C$3:$C$10518,'Carga Tributária doenças Po (2'!$C421))</f>
        <v>2.1</v>
      </c>
      <c r="AL421" s="89">
        <f>IF('Carga Tributária doenças Po (2'!$Z421="+",0,SUMIFS(PISCOFINS!$H$3:$H$10518,PISCOFINS!$C$3:$C$10518,'Carga Tributária doenças Po (2'!$C421))</f>
        <v>9.9</v>
      </c>
      <c r="AM421" s="95">
        <v>3.27</v>
      </c>
      <c r="AN421" s="95">
        <v>3.12</v>
      </c>
      <c r="AO421" s="95">
        <v>1.35</v>
      </c>
      <c r="AP421" s="96">
        <v>18</v>
      </c>
      <c r="AQ421" s="96">
        <v>12</v>
      </c>
      <c r="AR421" s="96">
        <v>17</v>
      </c>
      <c r="AS421" s="97">
        <v>17</v>
      </c>
      <c r="AT421" s="97">
        <v>19</v>
      </c>
      <c r="AU421" s="97">
        <v>18</v>
      </c>
      <c r="AV421" s="97">
        <v>17</v>
      </c>
      <c r="AW421" s="97">
        <v>17</v>
      </c>
      <c r="AX421" s="97">
        <v>17</v>
      </c>
      <c r="AY421" s="97">
        <v>17</v>
      </c>
      <c r="AZ421" s="97">
        <v>17</v>
      </c>
      <c r="BA421" s="97">
        <v>17</v>
      </c>
      <c r="BB421" s="97">
        <v>17</v>
      </c>
      <c r="BC421" s="97">
        <v>17</v>
      </c>
      <c r="BD421" s="97">
        <v>17</v>
      </c>
      <c r="BE421" s="97">
        <v>17</v>
      </c>
      <c r="BF421" s="97">
        <f>+Tabela1107[[#This Row],[PIS]]+Tabela1107[[#This Row],[COFINS]]+Tabela1107[[#This Row],[CONTRIB. FOLHA]]+Tabela1107[[#This Row],[TRIBUTOS S/ LUCRO]]+Tabela1107[[#This Row],[OUTROS]]+Tabela1107[[#This Row],[SP]]</f>
        <v>37.74</v>
      </c>
      <c r="BG421" s="97">
        <f>+Tabela1107[[#This Row],[PIS]]+Tabela1107[[#This Row],[COFINS]]+Tabela1107[[#This Row],[CONTRIB. FOLHA]]+Tabela1107[[#This Row],[TRIBUTOS S/ LUCRO]]+Tabela1107[[#This Row],[OUTROS]]+Tabela1107[[#This Row],[PR]]</f>
        <v>31.740000000000002</v>
      </c>
      <c r="BH421" s="97">
        <f>+Tabela1107[[#This Row],[PIS]]+Tabela1107[[#This Row],[COFINS]]+Tabela1107[[#This Row],[CONTRIB. FOLHA]]+Tabela1107[[#This Row],[TRIBUTOS S/ LUCRO]]+Tabela1107[[#This Row],[OUTROS]]+Tabela1107[[#This Row],[SC]]</f>
        <v>36.74</v>
      </c>
      <c r="BI421" s="97">
        <f>+Tabela1107[[#This Row],[PIS]]+Tabela1107[[#This Row],[COFINS]]+Tabela1107[[#This Row],[CONTRIB. FOLHA]]+Tabela1107[[#This Row],[TRIBUTOS S/ LUCRO]]+Tabela1107[[#This Row],[OUTROS]]+Tabela1107[[#This Row],[RS]]</f>
        <v>36.74</v>
      </c>
      <c r="BJ421" s="97">
        <f>+Tabela1107[[#This Row],[PIS]]+Tabela1107[[#This Row],[COFINS]]+Tabela1107[[#This Row],[CONTRIB. FOLHA]]+Tabela1107[[#This Row],[TRIBUTOS S/ LUCRO]]+Tabela1107[[#This Row],[OUTROS]]+Tabela1107[[#This Row],[RJ]]</f>
        <v>38.74</v>
      </c>
      <c r="BK421" s="97">
        <f>+Tabela1107[[#This Row],[PIS]]+Tabela1107[[#This Row],[COFINS]]+Tabela1107[[#This Row],[CONTRIB. FOLHA]]+Tabela1107[[#This Row],[TRIBUTOS S/ LUCRO]]+Tabela1107[[#This Row],[OUTROS]]+Tabela1107[[#This Row],[MG]]</f>
        <v>37.74</v>
      </c>
      <c r="BL421" s="97">
        <f>+Tabela1107[[#This Row],[PIS]]+Tabela1107[[#This Row],[COFINS]]+Tabela1107[[#This Row],[CONTRIB. FOLHA]]+Tabela1107[[#This Row],[TRIBUTOS S/ LUCRO]]+Tabela1107[[#This Row],[OUTROS]]+Tabela1107[[#This Row],[ES]]</f>
        <v>36.74</v>
      </c>
      <c r="BM421" s="97">
        <f>+Tabela1107[[#This Row],[PIS]]+Tabela1107[[#This Row],[COFINS]]+Tabela1107[[#This Row],[CONTRIB. FOLHA]]+Tabela1107[[#This Row],[TRIBUTOS S/ LUCRO]]+Tabela1107[[#This Row],[OUTROS]]+Tabela1107[[#This Row],[GO]]</f>
        <v>36.74</v>
      </c>
      <c r="BN421" s="97">
        <f>+Tabela1107[[#This Row],[PIS]]+Tabela1107[[#This Row],[COFINS]]+Tabela1107[[#This Row],[CONTRIB. FOLHA]]+Tabela1107[[#This Row],[TRIBUTOS S/ LUCRO]]+Tabela1107[[#This Row],[OUTROS]]+Tabela1107[[#This Row],[MT]]</f>
        <v>36.74</v>
      </c>
      <c r="BO421" s="97">
        <f>+Tabela1107[[#This Row],[PIS]]+Tabela1107[[#This Row],[COFINS]]+Tabela1107[[#This Row],[CONTRIB. FOLHA]]+Tabela1107[[#This Row],[TRIBUTOS S/ LUCRO]]+Tabela1107[[#This Row],[OUTROS]]+Tabela1107[[#This Row],[MS]]</f>
        <v>36.74</v>
      </c>
      <c r="BP421" s="97">
        <f>+Tabela1107[[#This Row],[PIS]]+Tabela1107[[#This Row],[COFINS]]+Tabela1107[[#This Row],[CONTRIB. FOLHA]]+Tabela1107[[#This Row],[TRIBUTOS S/ LUCRO]]+Tabela1107[[#This Row],[OUTROS]]+Tabela1107[[#This Row],[DF]]</f>
        <v>36.74</v>
      </c>
      <c r="BQ421" s="97">
        <f>+Tabela1107[[#This Row],[PIS]]+Tabela1107[[#This Row],[COFINS]]+Tabela1107[[#This Row],[CONTRIB. FOLHA]]+Tabela1107[[#This Row],[TRIBUTOS S/ LUCRO]]+Tabela1107[[#This Row],[OUTROS]]+Tabela1107[[#This Row],[BA]]</f>
        <v>36.74</v>
      </c>
      <c r="BR421" s="97">
        <f>+Tabela1107[[#This Row],[PIS]]+Tabela1107[[#This Row],[COFINS]]+Tabela1107[[#This Row],[CONTRIB. FOLHA]]+Tabela1107[[#This Row],[TRIBUTOS S/ LUCRO]]+Tabela1107[[#This Row],[OUTROS]]+Tabela1107[[#This Row],[BA]]</f>
        <v>36.74</v>
      </c>
      <c r="BS421" s="97">
        <f>+Tabela1107[[#This Row],[PIS]]+Tabela1107[[#This Row],[COFINS]]+Tabela1107[[#This Row],[CONTRIB. FOLHA]]+Tabela1107[[#This Row],[TRIBUTOS S/ LUCRO]]+Tabela1107[[#This Row],[OUTROS]]+Tabela1107[[#This Row],[PE]]</f>
        <v>36.74</v>
      </c>
      <c r="BT421" s="97">
        <f>+Tabela1107[[#This Row],[PIS]]+Tabela1107[[#This Row],[COFINS]]+Tabela1107[[#This Row],[CONTRIB. FOLHA]]+Tabela1107[[#This Row],[TRIBUTOS S/ LUCRO]]+Tabela1107[[#This Row],[OUTROS]]+Tabela1107[[#This Row],[PA]]</f>
        <v>36.74</v>
      </c>
      <c r="BU421" s="97">
        <f>+Tabela1107[[#This Row],[PIS]]+Tabela1107[[#This Row],[COFINS]]+Tabela1107[[#This Row],[CONTRIB. FOLHA]]+Tabela1107[[#This Row],[TRIBUTOS S/ LUCRO]]+Tabela1107[[#This Row],[OUTROS]]+Tabela1107[[#This Row],[AM]]</f>
        <v>36.74</v>
      </c>
      <c r="BV421" s="97">
        <f>AVERAGE(Tabela1107[[#This Row],[TOTAL SP]:[TOTAL AM]])</f>
        <v>36.677500000000002</v>
      </c>
      <c r="BW421" s="97"/>
      <c r="BX421" s="97"/>
    </row>
    <row r="422" spans="2:76" x14ac:dyDescent="0.25">
      <c r="B422" s="89">
        <v>4164</v>
      </c>
      <c r="C422" s="91" t="s">
        <v>13151</v>
      </c>
      <c r="D422" s="89"/>
      <c r="E422" s="89">
        <v>20140626</v>
      </c>
      <c r="F422" s="89" t="s">
        <v>21180</v>
      </c>
      <c r="G422" s="89" t="s">
        <v>21181</v>
      </c>
      <c r="H422" s="89" t="s">
        <v>21182</v>
      </c>
      <c r="I422" s="89" t="s">
        <v>21183</v>
      </c>
      <c r="J422" s="89" t="s">
        <v>166</v>
      </c>
      <c r="K422" s="99" t="s">
        <v>2498</v>
      </c>
      <c r="L422" s="89" t="s">
        <v>3183</v>
      </c>
      <c r="M422" s="89" t="s">
        <v>3172</v>
      </c>
      <c r="N422" s="89" t="s">
        <v>3199</v>
      </c>
      <c r="O422" s="89" t="s">
        <v>4488</v>
      </c>
      <c r="P422" s="89" t="s">
        <v>4496</v>
      </c>
      <c r="Q422" s="89"/>
      <c r="R422" s="89" t="s">
        <v>34</v>
      </c>
      <c r="S422" s="89" t="s">
        <v>21670</v>
      </c>
      <c r="T422" s="89" t="s">
        <v>21671</v>
      </c>
      <c r="U422" s="89" t="str">
        <f>TRIM('Carga Tributária doenças Po (2'!$L422)</f>
        <v>CARISOPRODOL</v>
      </c>
      <c r="V422" s="89">
        <f>SUMIFS('Tabela Federal'!$E$4:$E$2069,'Tabela Federal'!$D$4:$D$2069,'Carga Tributária doenças Po (2'!$L422)</f>
        <v>0</v>
      </c>
      <c r="W422" s="89">
        <f>SUMIFS('Tabela Federal'!$E$4:$E$2069,'Tabela Federal'!$D$4:$D$2069,'Carga Tributária doenças Po (2'!$M422)</f>
        <v>0</v>
      </c>
      <c r="X422" s="89">
        <f>SUMIFS('Tabela Federal'!$E$4:$E$2069,'Tabela Federal'!$D$4:$D$2069,'Carga Tributária doenças Po (2'!$N422)</f>
        <v>1</v>
      </c>
      <c r="Y422" s="89">
        <f>SUMIFS('Tabela Federal'!$E$4:$E$2069,'Tabela Federal'!$D$4:$D$2069,'Carga Tributária doenças Po (2'!$O422)</f>
        <v>0</v>
      </c>
      <c r="Z422" s="92" t="str">
        <f>VLOOKUP('Carga Tributária doenças Po (2'!$AD422,'Carga Tributária doenças Po (2'!$CA$12:$CC$16,2,0)</f>
        <v>-</v>
      </c>
      <c r="AA422" s="89" t="s">
        <v>160</v>
      </c>
      <c r="AB422" s="89" t="s">
        <v>21823</v>
      </c>
      <c r="AC422" s="89" t="s">
        <v>21721</v>
      </c>
      <c r="AD422" s="93" t="s">
        <v>19523</v>
      </c>
      <c r="AE422" s="92" t="s">
        <v>4</v>
      </c>
      <c r="AF422" s="92" t="s">
        <v>3</v>
      </c>
      <c r="AG422" s="94">
        <v>3178158</v>
      </c>
      <c r="AH422" s="95">
        <v>94735310</v>
      </c>
      <c r="AI422" s="95">
        <v>216302103.52000001</v>
      </c>
      <c r="AJ422" s="89" t="s">
        <v>171</v>
      </c>
      <c r="AK422" s="89">
        <f>IF('Carga Tributária doenças Po (2'!$Z422="+",0,SUMIFS(PISCOFINS!$I$3:$I$10518,PISCOFINS!$C$3:$C$10518,'Carga Tributária doenças Po (2'!$C422))</f>
        <v>2.1</v>
      </c>
      <c r="AL422" s="89">
        <f>IF('Carga Tributária doenças Po (2'!$Z422="+",0,SUMIFS(PISCOFINS!$H$3:$H$10518,PISCOFINS!$C$3:$C$10518,'Carga Tributária doenças Po (2'!$C422))</f>
        <v>9.9</v>
      </c>
      <c r="AM422" s="95">
        <v>3.27</v>
      </c>
      <c r="AN422" s="95">
        <v>3.12</v>
      </c>
      <c r="AO422" s="95">
        <v>1.35</v>
      </c>
      <c r="AP422" s="96">
        <v>18</v>
      </c>
      <c r="AQ422" s="96">
        <v>12</v>
      </c>
      <c r="AR422" s="96">
        <v>17</v>
      </c>
      <c r="AS422" s="97">
        <v>17</v>
      </c>
      <c r="AT422" s="97">
        <v>19</v>
      </c>
      <c r="AU422" s="97">
        <v>18</v>
      </c>
      <c r="AV422" s="97">
        <v>17</v>
      </c>
      <c r="AW422" s="97">
        <v>17</v>
      </c>
      <c r="AX422" s="97">
        <v>17</v>
      </c>
      <c r="AY422" s="97">
        <v>17</v>
      </c>
      <c r="AZ422" s="97">
        <v>17</v>
      </c>
      <c r="BA422" s="97">
        <v>17</v>
      </c>
      <c r="BB422" s="97">
        <v>17</v>
      </c>
      <c r="BC422" s="97">
        <v>17</v>
      </c>
      <c r="BD422" s="97">
        <v>17</v>
      </c>
      <c r="BE422" s="97">
        <v>17</v>
      </c>
      <c r="BF422" s="97">
        <f>+Tabela1107[[#This Row],[PIS]]+Tabela1107[[#This Row],[COFINS]]+Tabela1107[[#This Row],[CONTRIB. FOLHA]]+Tabela1107[[#This Row],[TRIBUTOS S/ LUCRO]]+Tabela1107[[#This Row],[OUTROS]]+Tabela1107[[#This Row],[SP]]</f>
        <v>37.74</v>
      </c>
      <c r="BG422" s="97">
        <f>+Tabela1107[[#This Row],[PIS]]+Tabela1107[[#This Row],[COFINS]]+Tabela1107[[#This Row],[CONTRIB. FOLHA]]+Tabela1107[[#This Row],[TRIBUTOS S/ LUCRO]]+Tabela1107[[#This Row],[OUTROS]]+Tabela1107[[#This Row],[PR]]</f>
        <v>31.740000000000002</v>
      </c>
      <c r="BH422" s="97">
        <f>+Tabela1107[[#This Row],[PIS]]+Tabela1107[[#This Row],[COFINS]]+Tabela1107[[#This Row],[CONTRIB. FOLHA]]+Tabela1107[[#This Row],[TRIBUTOS S/ LUCRO]]+Tabela1107[[#This Row],[OUTROS]]+Tabela1107[[#This Row],[SC]]</f>
        <v>36.74</v>
      </c>
      <c r="BI422" s="97">
        <f>+Tabela1107[[#This Row],[PIS]]+Tabela1107[[#This Row],[COFINS]]+Tabela1107[[#This Row],[CONTRIB. FOLHA]]+Tabela1107[[#This Row],[TRIBUTOS S/ LUCRO]]+Tabela1107[[#This Row],[OUTROS]]+Tabela1107[[#This Row],[RS]]</f>
        <v>36.74</v>
      </c>
      <c r="BJ422" s="97">
        <f>+Tabela1107[[#This Row],[PIS]]+Tabela1107[[#This Row],[COFINS]]+Tabela1107[[#This Row],[CONTRIB. FOLHA]]+Tabela1107[[#This Row],[TRIBUTOS S/ LUCRO]]+Tabela1107[[#This Row],[OUTROS]]+Tabela1107[[#This Row],[RJ]]</f>
        <v>38.74</v>
      </c>
      <c r="BK422" s="97">
        <f>+Tabela1107[[#This Row],[PIS]]+Tabela1107[[#This Row],[COFINS]]+Tabela1107[[#This Row],[CONTRIB. FOLHA]]+Tabela1107[[#This Row],[TRIBUTOS S/ LUCRO]]+Tabela1107[[#This Row],[OUTROS]]+Tabela1107[[#This Row],[MG]]</f>
        <v>37.74</v>
      </c>
      <c r="BL422" s="97">
        <f>+Tabela1107[[#This Row],[PIS]]+Tabela1107[[#This Row],[COFINS]]+Tabela1107[[#This Row],[CONTRIB. FOLHA]]+Tabela1107[[#This Row],[TRIBUTOS S/ LUCRO]]+Tabela1107[[#This Row],[OUTROS]]+Tabela1107[[#This Row],[ES]]</f>
        <v>36.74</v>
      </c>
      <c r="BM422" s="97">
        <f>+Tabela1107[[#This Row],[PIS]]+Tabela1107[[#This Row],[COFINS]]+Tabela1107[[#This Row],[CONTRIB. FOLHA]]+Tabela1107[[#This Row],[TRIBUTOS S/ LUCRO]]+Tabela1107[[#This Row],[OUTROS]]+Tabela1107[[#This Row],[GO]]</f>
        <v>36.74</v>
      </c>
      <c r="BN422" s="97">
        <f>+Tabela1107[[#This Row],[PIS]]+Tabela1107[[#This Row],[COFINS]]+Tabela1107[[#This Row],[CONTRIB. FOLHA]]+Tabela1107[[#This Row],[TRIBUTOS S/ LUCRO]]+Tabela1107[[#This Row],[OUTROS]]+Tabela1107[[#This Row],[MT]]</f>
        <v>36.74</v>
      </c>
      <c r="BO422" s="97">
        <f>+Tabela1107[[#This Row],[PIS]]+Tabela1107[[#This Row],[COFINS]]+Tabela1107[[#This Row],[CONTRIB. FOLHA]]+Tabela1107[[#This Row],[TRIBUTOS S/ LUCRO]]+Tabela1107[[#This Row],[OUTROS]]+Tabela1107[[#This Row],[MS]]</f>
        <v>36.74</v>
      </c>
      <c r="BP422" s="97">
        <f>+Tabela1107[[#This Row],[PIS]]+Tabela1107[[#This Row],[COFINS]]+Tabela1107[[#This Row],[CONTRIB. FOLHA]]+Tabela1107[[#This Row],[TRIBUTOS S/ LUCRO]]+Tabela1107[[#This Row],[OUTROS]]+Tabela1107[[#This Row],[DF]]</f>
        <v>36.74</v>
      </c>
      <c r="BQ422" s="97">
        <f>+Tabela1107[[#This Row],[PIS]]+Tabela1107[[#This Row],[COFINS]]+Tabela1107[[#This Row],[CONTRIB. FOLHA]]+Tabela1107[[#This Row],[TRIBUTOS S/ LUCRO]]+Tabela1107[[#This Row],[OUTROS]]+Tabela1107[[#This Row],[BA]]</f>
        <v>36.74</v>
      </c>
      <c r="BR422" s="97">
        <f>+Tabela1107[[#This Row],[PIS]]+Tabela1107[[#This Row],[COFINS]]+Tabela1107[[#This Row],[CONTRIB. FOLHA]]+Tabela1107[[#This Row],[TRIBUTOS S/ LUCRO]]+Tabela1107[[#This Row],[OUTROS]]+Tabela1107[[#This Row],[BA]]</f>
        <v>36.74</v>
      </c>
      <c r="BS422" s="97">
        <f>+Tabela1107[[#This Row],[PIS]]+Tabela1107[[#This Row],[COFINS]]+Tabela1107[[#This Row],[CONTRIB. FOLHA]]+Tabela1107[[#This Row],[TRIBUTOS S/ LUCRO]]+Tabela1107[[#This Row],[OUTROS]]+Tabela1107[[#This Row],[PE]]</f>
        <v>36.74</v>
      </c>
      <c r="BT422" s="97">
        <f>+Tabela1107[[#This Row],[PIS]]+Tabela1107[[#This Row],[COFINS]]+Tabela1107[[#This Row],[CONTRIB. FOLHA]]+Tabela1107[[#This Row],[TRIBUTOS S/ LUCRO]]+Tabela1107[[#This Row],[OUTROS]]+Tabela1107[[#This Row],[PA]]</f>
        <v>36.74</v>
      </c>
      <c r="BU422" s="97">
        <f>+Tabela1107[[#This Row],[PIS]]+Tabela1107[[#This Row],[COFINS]]+Tabela1107[[#This Row],[CONTRIB. FOLHA]]+Tabela1107[[#This Row],[TRIBUTOS S/ LUCRO]]+Tabela1107[[#This Row],[OUTROS]]+Tabela1107[[#This Row],[AM]]</f>
        <v>36.74</v>
      </c>
      <c r="BV422" s="97">
        <f>AVERAGE(Tabela1107[[#This Row],[TOTAL SP]:[TOTAL AM]])</f>
        <v>36.677500000000002</v>
      </c>
      <c r="BW422" s="97"/>
      <c r="BX422" s="97"/>
    </row>
    <row r="423" spans="2:76" x14ac:dyDescent="0.25">
      <c r="B423" s="89">
        <v>4165</v>
      </c>
      <c r="C423" s="91" t="s">
        <v>13151</v>
      </c>
      <c r="D423" s="89"/>
      <c r="E423" s="89">
        <v>20140626</v>
      </c>
      <c r="F423" s="89" t="s">
        <v>21187</v>
      </c>
      <c r="G423" s="89" t="s">
        <v>21188</v>
      </c>
      <c r="H423" s="89" t="s">
        <v>21189</v>
      </c>
      <c r="I423" s="89" t="s">
        <v>21183</v>
      </c>
      <c r="J423" s="89" t="s">
        <v>161</v>
      </c>
      <c r="K423" s="99" t="s">
        <v>2498</v>
      </c>
      <c r="L423" s="89" t="s">
        <v>3183</v>
      </c>
      <c r="M423" s="89" t="s">
        <v>3172</v>
      </c>
      <c r="N423" s="89" t="s">
        <v>3199</v>
      </c>
      <c r="O423" s="89" t="s">
        <v>4488</v>
      </c>
      <c r="P423" s="89" t="s">
        <v>4496</v>
      </c>
      <c r="Q423" s="89"/>
      <c r="R423" s="89" t="s">
        <v>34</v>
      </c>
      <c r="S423" s="89" t="s">
        <v>21670</v>
      </c>
      <c r="T423" s="89" t="s">
        <v>21671</v>
      </c>
      <c r="U423" s="89" t="str">
        <f>TRIM('Carga Tributária doenças Po (2'!$L423)</f>
        <v>CARISOPRODOL</v>
      </c>
      <c r="V423" s="89">
        <f>SUMIFS('Tabela Federal'!$E$4:$E$2069,'Tabela Federal'!$D$4:$D$2069,'Carga Tributária doenças Po (2'!$L423)</f>
        <v>0</v>
      </c>
      <c r="W423" s="89">
        <f>SUMIFS('Tabela Federal'!$E$4:$E$2069,'Tabela Federal'!$D$4:$D$2069,'Carga Tributária doenças Po (2'!$M423)</f>
        <v>0</v>
      </c>
      <c r="X423" s="89">
        <f>SUMIFS('Tabela Federal'!$E$4:$E$2069,'Tabela Federal'!$D$4:$D$2069,'Carga Tributária doenças Po (2'!$N423)</f>
        <v>1</v>
      </c>
      <c r="Y423" s="89">
        <f>SUMIFS('Tabela Federal'!$E$4:$E$2069,'Tabela Federal'!$D$4:$D$2069,'Carga Tributária doenças Po (2'!$O423)</f>
        <v>0</v>
      </c>
      <c r="Z423" s="92" t="str">
        <f>VLOOKUP('Carga Tributária doenças Po (2'!$AD423,'Carga Tributária doenças Po (2'!$CA$12:$CC$16,2,0)</f>
        <v>-</v>
      </c>
      <c r="AA423" s="89" t="s">
        <v>160</v>
      </c>
      <c r="AB423" s="89" t="s">
        <v>21823</v>
      </c>
      <c r="AC423" s="89" t="s">
        <v>21721</v>
      </c>
      <c r="AD423" s="93" t="s">
        <v>19523</v>
      </c>
      <c r="AE423" s="92" t="s">
        <v>4</v>
      </c>
      <c r="AF423" s="92" t="s">
        <v>3</v>
      </c>
      <c r="AG423" s="94">
        <v>5954679</v>
      </c>
      <c r="AH423" s="95">
        <v>55551082</v>
      </c>
      <c r="AI423" s="95">
        <v>126882792.48999999</v>
      </c>
      <c r="AJ423" s="89" t="s">
        <v>171</v>
      </c>
      <c r="AK423" s="89">
        <f>IF('Carga Tributária doenças Po (2'!$Z423="+",0,SUMIFS(PISCOFINS!$I$3:$I$10518,PISCOFINS!$C$3:$C$10518,'Carga Tributária doenças Po (2'!$C423))</f>
        <v>2.1</v>
      </c>
      <c r="AL423" s="89">
        <f>IF('Carga Tributária doenças Po (2'!$Z423="+",0,SUMIFS(PISCOFINS!$H$3:$H$10518,PISCOFINS!$C$3:$C$10518,'Carga Tributária doenças Po (2'!$C423))</f>
        <v>9.9</v>
      </c>
      <c r="AM423" s="95">
        <v>3.27</v>
      </c>
      <c r="AN423" s="95">
        <v>3.12</v>
      </c>
      <c r="AO423" s="95">
        <v>1.35</v>
      </c>
      <c r="AP423" s="96">
        <v>18</v>
      </c>
      <c r="AQ423" s="96">
        <v>12</v>
      </c>
      <c r="AR423" s="96">
        <v>17</v>
      </c>
      <c r="AS423" s="97">
        <v>17</v>
      </c>
      <c r="AT423" s="97">
        <v>19</v>
      </c>
      <c r="AU423" s="97">
        <v>18</v>
      </c>
      <c r="AV423" s="97">
        <v>17</v>
      </c>
      <c r="AW423" s="97">
        <v>17</v>
      </c>
      <c r="AX423" s="97">
        <v>17</v>
      </c>
      <c r="AY423" s="97">
        <v>17</v>
      </c>
      <c r="AZ423" s="97">
        <v>17</v>
      </c>
      <c r="BA423" s="97">
        <v>17</v>
      </c>
      <c r="BB423" s="97">
        <v>17</v>
      </c>
      <c r="BC423" s="97">
        <v>17</v>
      </c>
      <c r="BD423" s="97">
        <v>17</v>
      </c>
      <c r="BE423" s="97">
        <v>17</v>
      </c>
      <c r="BF423" s="97">
        <f>+Tabela1107[[#This Row],[PIS]]+Tabela1107[[#This Row],[COFINS]]+Tabela1107[[#This Row],[CONTRIB. FOLHA]]+Tabela1107[[#This Row],[TRIBUTOS S/ LUCRO]]+Tabela1107[[#This Row],[OUTROS]]+Tabela1107[[#This Row],[SP]]</f>
        <v>37.74</v>
      </c>
      <c r="BG423" s="97">
        <f>+Tabela1107[[#This Row],[PIS]]+Tabela1107[[#This Row],[COFINS]]+Tabela1107[[#This Row],[CONTRIB. FOLHA]]+Tabela1107[[#This Row],[TRIBUTOS S/ LUCRO]]+Tabela1107[[#This Row],[OUTROS]]+Tabela1107[[#This Row],[PR]]</f>
        <v>31.740000000000002</v>
      </c>
      <c r="BH423" s="97">
        <f>+Tabela1107[[#This Row],[PIS]]+Tabela1107[[#This Row],[COFINS]]+Tabela1107[[#This Row],[CONTRIB. FOLHA]]+Tabela1107[[#This Row],[TRIBUTOS S/ LUCRO]]+Tabela1107[[#This Row],[OUTROS]]+Tabela1107[[#This Row],[SC]]</f>
        <v>36.74</v>
      </c>
      <c r="BI423" s="97">
        <f>+Tabela1107[[#This Row],[PIS]]+Tabela1107[[#This Row],[COFINS]]+Tabela1107[[#This Row],[CONTRIB. FOLHA]]+Tabela1107[[#This Row],[TRIBUTOS S/ LUCRO]]+Tabela1107[[#This Row],[OUTROS]]+Tabela1107[[#This Row],[RS]]</f>
        <v>36.74</v>
      </c>
      <c r="BJ423" s="97">
        <f>+Tabela1107[[#This Row],[PIS]]+Tabela1107[[#This Row],[COFINS]]+Tabela1107[[#This Row],[CONTRIB. FOLHA]]+Tabela1107[[#This Row],[TRIBUTOS S/ LUCRO]]+Tabela1107[[#This Row],[OUTROS]]+Tabela1107[[#This Row],[RJ]]</f>
        <v>38.74</v>
      </c>
      <c r="BK423" s="97">
        <f>+Tabela1107[[#This Row],[PIS]]+Tabela1107[[#This Row],[COFINS]]+Tabela1107[[#This Row],[CONTRIB. FOLHA]]+Tabela1107[[#This Row],[TRIBUTOS S/ LUCRO]]+Tabela1107[[#This Row],[OUTROS]]+Tabela1107[[#This Row],[MG]]</f>
        <v>37.74</v>
      </c>
      <c r="BL423" s="97">
        <f>+Tabela1107[[#This Row],[PIS]]+Tabela1107[[#This Row],[COFINS]]+Tabela1107[[#This Row],[CONTRIB. FOLHA]]+Tabela1107[[#This Row],[TRIBUTOS S/ LUCRO]]+Tabela1107[[#This Row],[OUTROS]]+Tabela1107[[#This Row],[ES]]</f>
        <v>36.74</v>
      </c>
      <c r="BM423" s="97">
        <f>+Tabela1107[[#This Row],[PIS]]+Tabela1107[[#This Row],[COFINS]]+Tabela1107[[#This Row],[CONTRIB. FOLHA]]+Tabela1107[[#This Row],[TRIBUTOS S/ LUCRO]]+Tabela1107[[#This Row],[OUTROS]]+Tabela1107[[#This Row],[GO]]</f>
        <v>36.74</v>
      </c>
      <c r="BN423" s="97">
        <f>+Tabela1107[[#This Row],[PIS]]+Tabela1107[[#This Row],[COFINS]]+Tabela1107[[#This Row],[CONTRIB. FOLHA]]+Tabela1107[[#This Row],[TRIBUTOS S/ LUCRO]]+Tabela1107[[#This Row],[OUTROS]]+Tabela1107[[#This Row],[MT]]</f>
        <v>36.74</v>
      </c>
      <c r="BO423" s="97">
        <f>+Tabela1107[[#This Row],[PIS]]+Tabela1107[[#This Row],[COFINS]]+Tabela1107[[#This Row],[CONTRIB. FOLHA]]+Tabela1107[[#This Row],[TRIBUTOS S/ LUCRO]]+Tabela1107[[#This Row],[OUTROS]]+Tabela1107[[#This Row],[MS]]</f>
        <v>36.74</v>
      </c>
      <c r="BP423" s="97">
        <f>+Tabela1107[[#This Row],[PIS]]+Tabela1107[[#This Row],[COFINS]]+Tabela1107[[#This Row],[CONTRIB. FOLHA]]+Tabela1107[[#This Row],[TRIBUTOS S/ LUCRO]]+Tabela1107[[#This Row],[OUTROS]]+Tabela1107[[#This Row],[DF]]</f>
        <v>36.74</v>
      </c>
      <c r="BQ423" s="97">
        <f>+Tabela1107[[#This Row],[PIS]]+Tabela1107[[#This Row],[COFINS]]+Tabela1107[[#This Row],[CONTRIB. FOLHA]]+Tabela1107[[#This Row],[TRIBUTOS S/ LUCRO]]+Tabela1107[[#This Row],[OUTROS]]+Tabela1107[[#This Row],[BA]]</f>
        <v>36.74</v>
      </c>
      <c r="BR423" s="97">
        <f>+Tabela1107[[#This Row],[PIS]]+Tabela1107[[#This Row],[COFINS]]+Tabela1107[[#This Row],[CONTRIB. FOLHA]]+Tabela1107[[#This Row],[TRIBUTOS S/ LUCRO]]+Tabela1107[[#This Row],[OUTROS]]+Tabela1107[[#This Row],[BA]]</f>
        <v>36.74</v>
      </c>
      <c r="BS423" s="97">
        <f>+Tabela1107[[#This Row],[PIS]]+Tabela1107[[#This Row],[COFINS]]+Tabela1107[[#This Row],[CONTRIB. FOLHA]]+Tabela1107[[#This Row],[TRIBUTOS S/ LUCRO]]+Tabela1107[[#This Row],[OUTROS]]+Tabela1107[[#This Row],[PE]]</f>
        <v>36.74</v>
      </c>
      <c r="BT423" s="97">
        <f>+Tabela1107[[#This Row],[PIS]]+Tabela1107[[#This Row],[COFINS]]+Tabela1107[[#This Row],[CONTRIB. FOLHA]]+Tabela1107[[#This Row],[TRIBUTOS S/ LUCRO]]+Tabela1107[[#This Row],[OUTROS]]+Tabela1107[[#This Row],[PA]]</f>
        <v>36.74</v>
      </c>
      <c r="BU423" s="97">
        <f>+Tabela1107[[#This Row],[PIS]]+Tabela1107[[#This Row],[COFINS]]+Tabela1107[[#This Row],[CONTRIB. FOLHA]]+Tabela1107[[#This Row],[TRIBUTOS S/ LUCRO]]+Tabela1107[[#This Row],[OUTROS]]+Tabela1107[[#This Row],[AM]]</f>
        <v>36.74</v>
      </c>
      <c r="BV423" s="97">
        <f>AVERAGE(Tabela1107[[#This Row],[TOTAL SP]:[TOTAL AM]])</f>
        <v>36.677500000000002</v>
      </c>
      <c r="BW423" s="97"/>
      <c r="BX423" s="97"/>
    </row>
    <row r="424" spans="2:76" x14ac:dyDescent="0.25">
      <c r="B424" s="89">
        <v>16383</v>
      </c>
      <c r="C424" s="91" t="s">
        <v>13147</v>
      </c>
      <c r="D424" s="89"/>
      <c r="E424" s="89">
        <v>20140626</v>
      </c>
      <c r="F424" s="89" t="s">
        <v>21226</v>
      </c>
      <c r="G424" s="89" t="s">
        <v>21227</v>
      </c>
      <c r="H424" s="89" t="s">
        <v>21228</v>
      </c>
      <c r="I424" s="89" t="s">
        <v>21229</v>
      </c>
      <c r="J424" s="89" t="s">
        <v>218</v>
      </c>
      <c r="K424" s="99" t="s">
        <v>2497</v>
      </c>
      <c r="L424" s="89" t="s">
        <v>3168</v>
      </c>
      <c r="M424" s="89" t="s">
        <v>2632</v>
      </c>
      <c r="N424" s="89" t="s">
        <v>4338</v>
      </c>
      <c r="O424" s="89" t="s">
        <v>3200</v>
      </c>
      <c r="P424" s="89" t="s">
        <v>4496</v>
      </c>
      <c r="Q424" s="89"/>
      <c r="R424" s="89" t="s">
        <v>219</v>
      </c>
      <c r="S424" s="89" t="s">
        <v>21676</v>
      </c>
      <c r="T424" s="89" t="s">
        <v>21677</v>
      </c>
      <c r="U424" s="89" t="str">
        <f>TRIM('Carga Tributária doenças Po (2'!$L424)</f>
        <v>FENILEFRINA</v>
      </c>
      <c r="V424" s="89">
        <f>SUMIFS('Tabela Federal'!$E$4:$E$2069,'Tabela Federal'!$D$4:$D$2069,'Carga Tributária doenças Po (2'!$L424)</f>
        <v>0</v>
      </c>
      <c r="W424" s="89">
        <f>SUMIFS('Tabela Federal'!$E$4:$E$2069,'Tabela Federal'!$D$4:$D$2069,'Carga Tributária doenças Po (2'!$M424)</f>
        <v>0</v>
      </c>
      <c r="X424" s="89">
        <f>SUMIFS('Tabela Federal'!$E$4:$E$2069,'Tabela Federal'!$D$4:$D$2069,'Carga Tributária doenças Po (2'!$N424)</f>
        <v>1</v>
      </c>
      <c r="Y424" s="89">
        <f>SUMIFS('Tabela Federal'!$E$4:$E$2069,'Tabela Federal'!$D$4:$D$2069,'Carga Tributária doenças Po (2'!$O424)</f>
        <v>0</v>
      </c>
      <c r="Z424" s="92" t="str">
        <f>VLOOKUP('Carga Tributária doenças Po (2'!$AD424,'Carga Tributária doenças Po (2'!$CA$12:$CC$16,2,0)</f>
        <v>-</v>
      </c>
      <c r="AA424" s="89" t="s">
        <v>0</v>
      </c>
      <c r="AB424" s="89" t="s">
        <v>21797</v>
      </c>
      <c r="AC424" s="89" t="s">
        <v>21721</v>
      </c>
      <c r="AD424" s="93" t="s">
        <v>19523</v>
      </c>
      <c r="AE424" s="92" t="s">
        <v>4</v>
      </c>
      <c r="AF424" s="92" t="s">
        <v>3</v>
      </c>
      <c r="AG424" s="94">
        <v>1670904</v>
      </c>
      <c r="AH424" s="95">
        <v>10863242</v>
      </c>
      <c r="AI424" s="95">
        <v>24648933.16</v>
      </c>
      <c r="AJ424" s="89" t="s">
        <v>227</v>
      </c>
      <c r="AK424" s="89">
        <f>IF('Carga Tributária doenças Po (2'!$Z424="+",0,SUMIFS(PISCOFINS!$I$3:$I$10518,PISCOFINS!$C$3:$C$10518,'Carga Tributária doenças Po (2'!$C424))</f>
        <v>2.1</v>
      </c>
      <c r="AL424" s="89">
        <f>IF('Carga Tributária doenças Po (2'!$Z424="+",0,SUMIFS(PISCOFINS!$H$3:$H$10518,PISCOFINS!$C$3:$C$10518,'Carga Tributária doenças Po (2'!$C424))</f>
        <v>9.9</v>
      </c>
      <c r="AM424" s="95">
        <v>3.27</v>
      </c>
      <c r="AN424" s="95">
        <v>3.12</v>
      </c>
      <c r="AO424" s="95">
        <v>1.35</v>
      </c>
      <c r="AP424" s="96">
        <v>18</v>
      </c>
      <c r="AQ424" s="96">
        <v>12</v>
      </c>
      <c r="AR424" s="96">
        <v>17</v>
      </c>
      <c r="AS424" s="97">
        <v>17</v>
      </c>
      <c r="AT424" s="97">
        <v>19</v>
      </c>
      <c r="AU424" s="97">
        <v>18</v>
      </c>
      <c r="AV424" s="97">
        <v>17</v>
      </c>
      <c r="AW424" s="97">
        <v>17</v>
      </c>
      <c r="AX424" s="97">
        <v>17</v>
      </c>
      <c r="AY424" s="97">
        <v>17</v>
      </c>
      <c r="AZ424" s="97">
        <v>17</v>
      </c>
      <c r="BA424" s="97">
        <v>17</v>
      </c>
      <c r="BB424" s="97">
        <v>17</v>
      </c>
      <c r="BC424" s="97">
        <v>17</v>
      </c>
      <c r="BD424" s="97">
        <v>17</v>
      </c>
      <c r="BE424" s="97">
        <v>17</v>
      </c>
      <c r="BF424" s="97">
        <f>+Tabela1107[[#This Row],[PIS]]+Tabela1107[[#This Row],[COFINS]]+Tabela1107[[#This Row],[CONTRIB. FOLHA]]+Tabela1107[[#This Row],[TRIBUTOS S/ LUCRO]]+Tabela1107[[#This Row],[OUTROS]]+Tabela1107[[#This Row],[SP]]</f>
        <v>37.74</v>
      </c>
      <c r="BG424" s="97">
        <f>+Tabela1107[[#This Row],[PIS]]+Tabela1107[[#This Row],[COFINS]]+Tabela1107[[#This Row],[CONTRIB. FOLHA]]+Tabela1107[[#This Row],[TRIBUTOS S/ LUCRO]]+Tabela1107[[#This Row],[OUTROS]]+Tabela1107[[#This Row],[PR]]</f>
        <v>31.740000000000002</v>
      </c>
      <c r="BH424" s="97">
        <f>+Tabela1107[[#This Row],[PIS]]+Tabela1107[[#This Row],[COFINS]]+Tabela1107[[#This Row],[CONTRIB. FOLHA]]+Tabela1107[[#This Row],[TRIBUTOS S/ LUCRO]]+Tabela1107[[#This Row],[OUTROS]]+Tabela1107[[#This Row],[SC]]</f>
        <v>36.74</v>
      </c>
      <c r="BI424" s="97">
        <f>+Tabela1107[[#This Row],[PIS]]+Tabela1107[[#This Row],[COFINS]]+Tabela1107[[#This Row],[CONTRIB. FOLHA]]+Tabela1107[[#This Row],[TRIBUTOS S/ LUCRO]]+Tabela1107[[#This Row],[OUTROS]]+Tabela1107[[#This Row],[RS]]</f>
        <v>36.74</v>
      </c>
      <c r="BJ424" s="97">
        <f>+Tabela1107[[#This Row],[PIS]]+Tabela1107[[#This Row],[COFINS]]+Tabela1107[[#This Row],[CONTRIB. FOLHA]]+Tabela1107[[#This Row],[TRIBUTOS S/ LUCRO]]+Tabela1107[[#This Row],[OUTROS]]+Tabela1107[[#This Row],[RJ]]</f>
        <v>38.74</v>
      </c>
      <c r="BK424" s="97">
        <f>+Tabela1107[[#This Row],[PIS]]+Tabela1107[[#This Row],[COFINS]]+Tabela1107[[#This Row],[CONTRIB. FOLHA]]+Tabela1107[[#This Row],[TRIBUTOS S/ LUCRO]]+Tabela1107[[#This Row],[OUTROS]]+Tabela1107[[#This Row],[MG]]</f>
        <v>37.74</v>
      </c>
      <c r="BL424" s="97">
        <f>+Tabela1107[[#This Row],[PIS]]+Tabela1107[[#This Row],[COFINS]]+Tabela1107[[#This Row],[CONTRIB. FOLHA]]+Tabela1107[[#This Row],[TRIBUTOS S/ LUCRO]]+Tabela1107[[#This Row],[OUTROS]]+Tabela1107[[#This Row],[ES]]</f>
        <v>36.74</v>
      </c>
      <c r="BM424" s="97">
        <f>+Tabela1107[[#This Row],[PIS]]+Tabela1107[[#This Row],[COFINS]]+Tabela1107[[#This Row],[CONTRIB. FOLHA]]+Tabela1107[[#This Row],[TRIBUTOS S/ LUCRO]]+Tabela1107[[#This Row],[OUTROS]]+Tabela1107[[#This Row],[GO]]</f>
        <v>36.74</v>
      </c>
      <c r="BN424" s="97">
        <f>+Tabela1107[[#This Row],[PIS]]+Tabela1107[[#This Row],[COFINS]]+Tabela1107[[#This Row],[CONTRIB. FOLHA]]+Tabela1107[[#This Row],[TRIBUTOS S/ LUCRO]]+Tabela1107[[#This Row],[OUTROS]]+Tabela1107[[#This Row],[MT]]</f>
        <v>36.74</v>
      </c>
      <c r="BO424" s="97">
        <f>+Tabela1107[[#This Row],[PIS]]+Tabela1107[[#This Row],[COFINS]]+Tabela1107[[#This Row],[CONTRIB. FOLHA]]+Tabela1107[[#This Row],[TRIBUTOS S/ LUCRO]]+Tabela1107[[#This Row],[OUTROS]]+Tabela1107[[#This Row],[MS]]</f>
        <v>36.74</v>
      </c>
      <c r="BP424" s="97">
        <f>+Tabela1107[[#This Row],[PIS]]+Tabela1107[[#This Row],[COFINS]]+Tabela1107[[#This Row],[CONTRIB. FOLHA]]+Tabela1107[[#This Row],[TRIBUTOS S/ LUCRO]]+Tabela1107[[#This Row],[OUTROS]]+Tabela1107[[#This Row],[DF]]</f>
        <v>36.74</v>
      </c>
      <c r="BQ424" s="97">
        <f>+Tabela1107[[#This Row],[PIS]]+Tabela1107[[#This Row],[COFINS]]+Tabela1107[[#This Row],[CONTRIB. FOLHA]]+Tabela1107[[#This Row],[TRIBUTOS S/ LUCRO]]+Tabela1107[[#This Row],[OUTROS]]+Tabela1107[[#This Row],[BA]]</f>
        <v>36.74</v>
      </c>
      <c r="BR424" s="97">
        <f>+Tabela1107[[#This Row],[PIS]]+Tabela1107[[#This Row],[COFINS]]+Tabela1107[[#This Row],[CONTRIB. FOLHA]]+Tabela1107[[#This Row],[TRIBUTOS S/ LUCRO]]+Tabela1107[[#This Row],[OUTROS]]+Tabela1107[[#This Row],[BA]]</f>
        <v>36.74</v>
      </c>
      <c r="BS424" s="97">
        <f>+Tabela1107[[#This Row],[PIS]]+Tabela1107[[#This Row],[COFINS]]+Tabela1107[[#This Row],[CONTRIB. FOLHA]]+Tabela1107[[#This Row],[TRIBUTOS S/ LUCRO]]+Tabela1107[[#This Row],[OUTROS]]+Tabela1107[[#This Row],[PE]]</f>
        <v>36.74</v>
      </c>
      <c r="BT424" s="97">
        <f>+Tabela1107[[#This Row],[PIS]]+Tabela1107[[#This Row],[COFINS]]+Tabela1107[[#This Row],[CONTRIB. FOLHA]]+Tabela1107[[#This Row],[TRIBUTOS S/ LUCRO]]+Tabela1107[[#This Row],[OUTROS]]+Tabela1107[[#This Row],[PA]]</f>
        <v>36.74</v>
      </c>
      <c r="BU424" s="97">
        <f>+Tabela1107[[#This Row],[PIS]]+Tabela1107[[#This Row],[COFINS]]+Tabela1107[[#This Row],[CONTRIB. FOLHA]]+Tabela1107[[#This Row],[TRIBUTOS S/ LUCRO]]+Tabela1107[[#This Row],[OUTROS]]+Tabela1107[[#This Row],[AM]]</f>
        <v>36.74</v>
      </c>
      <c r="BV424" s="97">
        <f>AVERAGE(Tabela1107[[#This Row],[TOTAL SP]:[TOTAL AM]])</f>
        <v>36.677500000000002</v>
      </c>
      <c r="BW424" s="97"/>
      <c r="BX424" s="97"/>
    </row>
    <row r="425" spans="2:76" x14ac:dyDescent="0.25">
      <c r="B425" s="89">
        <v>6076</v>
      </c>
      <c r="C425" s="91" t="s">
        <v>13214</v>
      </c>
      <c r="D425" s="89"/>
      <c r="E425" s="89">
        <v>20140626</v>
      </c>
      <c r="F425" s="89" t="s">
        <v>20495</v>
      </c>
      <c r="G425" s="89" t="s">
        <v>20496</v>
      </c>
      <c r="H425" s="89" t="s">
        <v>20497</v>
      </c>
      <c r="I425" s="89" t="s">
        <v>20498</v>
      </c>
      <c r="J425" s="89" t="s">
        <v>403</v>
      </c>
      <c r="K425" s="99" t="s">
        <v>2496</v>
      </c>
      <c r="L425" s="89" t="s">
        <v>3182</v>
      </c>
      <c r="M425" s="89" t="s">
        <v>2638</v>
      </c>
      <c r="N425" s="89" t="s">
        <v>4496</v>
      </c>
      <c r="O425" s="89" t="s">
        <v>4496</v>
      </c>
      <c r="P425" s="89" t="s">
        <v>4496</v>
      </c>
      <c r="Q425" s="89"/>
      <c r="R425" s="89" t="s">
        <v>400</v>
      </c>
      <c r="S425" s="89" t="s">
        <v>21592</v>
      </c>
      <c r="T425" s="89" t="s">
        <v>21593</v>
      </c>
      <c r="U425" s="89" t="str">
        <f>TRIM('Carga Tributária doenças Po (2'!$L425)</f>
        <v>ETINILESTRADIOL</v>
      </c>
      <c r="V425" s="89">
        <f>SUMIFS('Tabela Federal'!$E$4:$E$2069,'Tabela Federal'!$D$4:$D$2069,'Carga Tributária doenças Po (2'!$L425)</f>
        <v>17</v>
      </c>
      <c r="W425" s="89">
        <f>SUMIFS('Tabela Federal'!$E$4:$E$2069,'Tabela Federal'!$D$4:$D$2069,'Carga Tributária doenças Po (2'!$M425)</f>
        <v>5</v>
      </c>
      <c r="X425" s="89">
        <f>SUMIFS('Tabela Federal'!$E$4:$E$2069,'Tabela Federal'!$D$4:$D$2069,'Carga Tributária doenças Po (2'!$N425)</f>
        <v>0</v>
      </c>
      <c r="Y425" s="89">
        <f>SUMIFS('Tabela Federal'!$E$4:$E$2069,'Tabela Federal'!$D$4:$D$2069,'Carga Tributária doenças Po (2'!$O425)</f>
        <v>0</v>
      </c>
      <c r="Z425" s="92" t="str">
        <f>VLOOKUP('Carga Tributária doenças Po (2'!$AD425,'Carga Tributária doenças Po (2'!$CA$12:$CC$16,2,0)</f>
        <v>+</v>
      </c>
      <c r="AA425" s="89" t="s">
        <v>404</v>
      </c>
      <c r="AB425" s="89" t="s">
        <v>21742</v>
      </c>
      <c r="AC425" s="89" t="s">
        <v>21721</v>
      </c>
      <c r="AD425" s="93" t="s">
        <v>19445</v>
      </c>
      <c r="AE425" s="92" t="s">
        <v>4</v>
      </c>
      <c r="AF425" s="92" t="s">
        <v>23</v>
      </c>
      <c r="AG425" s="94">
        <v>4684056</v>
      </c>
      <c r="AH425" s="95">
        <v>11175686</v>
      </c>
      <c r="AI425" s="95">
        <v>25524180.199999999</v>
      </c>
      <c r="AJ425" s="89" t="s">
        <v>413</v>
      </c>
      <c r="AK425" s="89">
        <f>IF('Carga Tributária doenças Po (2'!$Z425="+",0,SUMIFS(PISCOFINS!$I$3:$I$10518,PISCOFINS!$C$3:$C$10518,'Carga Tributária doenças Po (2'!$C425))</f>
        <v>0</v>
      </c>
      <c r="AL425" s="89">
        <f>IF('Carga Tributária doenças Po (2'!$Z425="+",0,SUMIFS(PISCOFINS!$H$3:$H$10518,PISCOFINS!$C$3:$C$10518,'Carga Tributária doenças Po (2'!$C425))</f>
        <v>0</v>
      </c>
      <c r="AM425" s="95">
        <v>3.27</v>
      </c>
      <c r="AN425" s="95">
        <v>3.12</v>
      </c>
      <c r="AO425" s="95">
        <v>1.35</v>
      </c>
      <c r="AP425" s="96">
        <v>18</v>
      </c>
      <c r="AQ425" s="96">
        <v>12</v>
      </c>
      <c r="AR425" s="96">
        <v>17</v>
      </c>
      <c r="AS425" s="97">
        <v>17</v>
      </c>
      <c r="AT425" s="97">
        <v>19</v>
      </c>
      <c r="AU425" s="97">
        <v>18</v>
      </c>
      <c r="AV425" s="97">
        <v>17</v>
      </c>
      <c r="AW425" s="97">
        <v>17</v>
      </c>
      <c r="AX425" s="97">
        <v>17</v>
      </c>
      <c r="AY425" s="97">
        <v>17</v>
      </c>
      <c r="AZ425" s="97">
        <v>17</v>
      </c>
      <c r="BA425" s="97">
        <v>17</v>
      </c>
      <c r="BB425" s="97">
        <v>17</v>
      </c>
      <c r="BC425" s="97">
        <v>17</v>
      </c>
      <c r="BD425" s="97">
        <v>17</v>
      </c>
      <c r="BE425" s="97">
        <v>17</v>
      </c>
      <c r="BF425" s="97">
        <f>+Tabela1107[[#This Row],[PIS]]+Tabela1107[[#This Row],[COFINS]]+Tabela1107[[#This Row],[CONTRIB. FOLHA]]+Tabela1107[[#This Row],[TRIBUTOS S/ LUCRO]]+Tabela1107[[#This Row],[OUTROS]]+Tabela1107[[#This Row],[SP]]</f>
        <v>25.740000000000002</v>
      </c>
      <c r="BG425" s="97">
        <f>+Tabela1107[[#This Row],[PIS]]+Tabela1107[[#This Row],[COFINS]]+Tabela1107[[#This Row],[CONTRIB. FOLHA]]+Tabela1107[[#This Row],[TRIBUTOS S/ LUCRO]]+Tabela1107[[#This Row],[OUTROS]]+Tabela1107[[#This Row],[PR]]</f>
        <v>19.740000000000002</v>
      </c>
      <c r="BH425" s="97">
        <f>+Tabela1107[[#This Row],[PIS]]+Tabela1107[[#This Row],[COFINS]]+Tabela1107[[#This Row],[CONTRIB. FOLHA]]+Tabela1107[[#This Row],[TRIBUTOS S/ LUCRO]]+Tabela1107[[#This Row],[OUTROS]]+Tabela1107[[#This Row],[SC]]</f>
        <v>24.740000000000002</v>
      </c>
      <c r="BI425" s="97">
        <f>+Tabela1107[[#This Row],[PIS]]+Tabela1107[[#This Row],[COFINS]]+Tabela1107[[#This Row],[CONTRIB. FOLHA]]+Tabela1107[[#This Row],[TRIBUTOS S/ LUCRO]]+Tabela1107[[#This Row],[OUTROS]]+Tabela1107[[#This Row],[RS]]</f>
        <v>24.740000000000002</v>
      </c>
      <c r="BJ425" s="97">
        <f>+Tabela1107[[#This Row],[PIS]]+Tabela1107[[#This Row],[COFINS]]+Tabela1107[[#This Row],[CONTRIB. FOLHA]]+Tabela1107[[#This Row],[TRIBUTOS S/ LUCRO]]+Tabela1107[[#This Row],[OUTROS]]+Tabela1107[[#This Row],[RJ]]</f>
        <v>26.740000000000002</v>
      </c>
      <c r="BK425" s="97">
        <f>+Tabela1107[[#This Row],[PIS]]+Tabela1107[[#This Row],[COFINS]]+Tabela1107[[#This Row],[CONTRIB. FOLHA]]+Tabela1107[[#This Row],[TRIBUTOS S/ LUCRO]]+Tabela1107[[#This Row],[OUTROS]]+Tabela1107[[#This Row],[MG]]</f>
        <v>25.740000000000002</v>
      </c>
      <c r="BL425" s="97">
        <f>+Tabela1107[[#This Row],[PIS]]+Tabela1107[[#This Row],[COFINS]]+Tabela1107[[#This Row],[CONTRIB. FOLHA]]+Tabela1107[[#This Row],[TRIBUTOS S/ LUCRO]]+Tabela1107[[#This Row],[OUTROS]]+Tabela1107[[#This Row],[ES]]</f>
        <v>24.740000000000002</v>
      </c>
      <c r="BM425" s="97">
        <f>+Tabela1107[[#This Row],[PIS]]+Tabela1107[[#This Row],[COFINS]]+Tabela1107[[#This Row],[CONTRIB. FOLHA]]+Tabela1107[[#This Row],[TRIBUTOS S/ LUCRO]]+Tabela1107[[#This Row],[OUTROS]]+Tabela1107[[#This Row],[GO]]</f>
        <v>24.740000000000002</v>
      </c>
      <c r="BN425" s="97">
        <f>+Tabela1107[[#This Row],[PIS]]+Tabela1107[[#This Row],[COFINS]]+Tabela1107[[#This Row],[CONTRIB. FOLHA]]+Tabela1107[[#This Row],[TRIBUTOS S/ LUCRO]]+Tabela1107[[#This Row],[OUTROS]]+Tabela1107[[#This Row],[MT]]</f>
        <v>24.740000000000002</v>
      </c>
      <c r="BO425" s="97">
        <f>+Tabela1107[[#This Row],[PIS]]+Tabela1107[[#This Row],[COFINS]]+Tabela1107[[#This Row],[CONTRIB. FOLHA]]+Tabela1107[[#This Row],[TRIBUTOS S/ LUCRO]]+Tabela1107[[#This Row],[OUTROS]]+Tabela1107[[#This Row],[MS]]</f>
        <v>24.740000000000002</v>
      </c>
      <c r="BP425" s="97">
        <f>+Tabela1107[[#This Row],[PIS]]+Tabela1107[[#This Row],[COFINS]]+Tabela1107[[#This Row],[CONTRIB. FOLHA]]+Tabela1107[[#This Row],[TRIBUTOS S/ LUCRO]]+Tabela1107[[#This Row],[OUTROS]]+Tabela1107[[#This Row],[DF]]</f>
        <v>24.740000000000002</v>
      </c>
      <c r="BQ425" s="97">
        <f>+Tabela1107[[#This Row],[PIS]]+Tabela1107[[#This Row],[COFINS]]+Tabela1107[[#This Row],[CONTRIB. FOLHA]]+Tabela1107[[#This Row],[TRIBUTOS S/ LUCRO]]+Tabela1107[[#This Row],[OUTROS]]+Tabela1107[[#This Row],[BA]]</f>
        <v>24.740000000000002</v>
      </c>
      <c r="BR425" s="97">
        <f>+Tabela1107[[#This Row],[PIS]]+Tabela1107[[#This Row],[COFINS]]+Tabela1107[[#This Row],[CONTRIB. FOLHA]]+Tabela1107[[#This Row],[TRIBUTOS S/ LUCRO]]+Tabela1107[[#This Row],[OUTROS]]+Tabela1107[[#This Row],[BA]]</f>
        <v>24.740000000000002</v>
      </c>
      <c r="BS425" s="97">
        <f>+Tabela1107[[#This Row],[PIS]]+Tabela1107[[#This Row],[COFINS]]+Tabela1107[[#This Row],[CONTRIB. FOLHA]]+Tabela1107[[#This Row],[TRIBUTOS S/ LUCRO]]+Tabela1107[[#This Row],[OUTROS]]+Tabela1107[[#This Row],[PE]]</f>
        <v>24.740000000000002</v>
      </c>
      <c r="BT425" s="97">
        <f>+Tabela1107[[#This Row],[PIS]]+Tabela1107[[#This Row],[COFINS]]+Tabela1107[[#This Row],[CONTRIB. FOLHA]]+Tabela1107[[#This Row],[TRIBUTOS S/ LUCRO]]+Tabela1107[[#This Row],[OUTROS]]+Tabela1107[[#This Row],[PA]]</f>
        <v>24.740000000000002</v>
      </c>
      <c r="BU425" s="97">
        <f>+Tabela1107[[#This Row],[PIS]]+Tabela1107[[#This Row],[COFINS]]+Tabela1107[[#This Row],[CONTRIB. FOLHA]]+Tabela1107[[#This Row],[TRIBUTOS S/ LUCRO]]+Tabela1107[[#This Row],[OUTROS]]+Tabela1107[[#This Row],[AM]]</f>
        <v>24.740000000000002</v>
      </c>
      <c r="BV425" s="97">
        <f>AVERAGE(Tabela1107[[#This Row],[TOTAL SP]:[TOTAL AM]])</f>
        <v>24.677500000000006</v>
      </c>
      <c r="BW425" s="97"/>
      <c r="BX425" s="97"/>
    </row>
    <row r="426" spans="2:76" x14ac:dyDescent="0.25">
      <c r="B426" s="89">
        <v>1311</v>
      </c>
      <c r="C426" s="91" t="s">
        <v>13147</v>
      </c>
      <c r="D426" s="89"/>
      <c r="E426" s="89">
        <v>20140626</v>
      </c>
      <c r="F426" s="89" t="s">
        <v>20881</v>
      </c>
      <c r="G426" s="89" t="s">
        <v>20882</v>
      </c>
      <c r="H426" s="98" t="s">
        <v>21954</v>
      </c>
      <c r="I426" s="89" t="s">
        <v>2494</v>
      </c>
      <c r="J426" s="89" t="s">
        <v>555</v>
      </c>
      <c r="K426" s="99" t="s">
        <v>2495</v>
      </c>
      <c r="L426" s="89" t="s">
        <v>2632</v>
      </c>
      <c r="M426" s="89" t="s">
        <v>4496</v>
      </c>
      <c r="N426" s="89" t="s">
        <v>4496</v>
      </c>
      <c r="O426" s="89" t="s">
        <v>4496</v>
      </c>
      <c r="P426" s="89" t="s">
        <v>4496</v>
      </c>
      <c r="Q426" s="89"/>
      <c r="R426" s="89" t="s">
        <v>55</v>
      </c>
      <c r="S426" s="89" t="s">
        <v>21634</v>
      </c>
      <c r="T426" s="89" t="s">
        <v>21635</v>
      </c>
      <c r="U426" s="89" t="str">
        <f>TRIM('Carga Tributária doenças Po (2'!$L426)</f>
        <v>PARACETAMOL</v>
      </c>
      <c r="V426" s="89">
        <f>SUMIFS('Tabela Federal'!$E$4:$E$2069,'Tabela Federal'!$D$4:$D$2069,'Carga Tributária doenças Po (2'!$L426)</f>
        <v>0</v>
      </c>
      <c r="W426" s="89">
        <f>SUMIFS('Tabela Federal'!$E$4:$E$2069,'Tabela Federal'!$D$4:$D$2069,'Carga Tributária doenças Po (2'!$M426)</f>
        <v>0</v>
      </c>
      <c r="X426" s="89">
        <f>SUMIFS('Tabela Federal'!$E$4:$E$2069,'Tabela Federal'!$D$4:$D$2069,'Carga Tributária doenças Po (2'!$N426)</f>
        <v>0</v>
      </c>
      <c r="Y426" s="89">
        <f>SUMIFS('Tabela Federal'!$E$4:$E$2069,'Tabela Federal'!$D$4:$D$2069,'Carga Tributária doenças Po (2'!$O426)</f>
        <v>0</v>
      </c>
      <c r="Z426" s="92" t="str">
        <f>VLOOKUP('Carga Tributária doenças Po (2'!$AD426,'Carga Tributária doenças Po (2'!$CA$12:$CC$16,2,0)</f>
        <v>-</v>
      </c>
      <c r="AA426" s="89" t="s">
        <v>7</v>
      </c>
      <c r="AB426" s="89" t="s">
        <v>21830</v>
      </c>
      <c r="AC426" s="89" t="s">
        <v>21740</v>
      </c>
      <c r="AD426" s="93" t="s">
        <v>19523</v>
      </c>
      <c r="AE426" s="92" t="s">
        <v>4</v>
      </c>
      <c r="AF426" s="92" t="s">
        <v>23</v>
      </c>
      <c r="AG426" s="94">
        <v>1483063</v>
      </c>
      <c r="AH426" s="95">
        <v>11490710</v>
      </c>
      <c r="AI426" s="95">
        <v>26179038.620000001</v>
      </c>
      <c r="AJ426" s="89" t="s">
        <v>559</v>
      </c>
      <c r="AK426" s="89">
        <f>IF('Carga Tributária doenças Po (2'!$Z426="+",0,SUMIFS(PISCOFINS!$I$3:$I$10518,PISCOFINS!$C$3:$C$10518,'Carga Tributária doenças Po (2'!$C426))</f>
        <v>2.1</v>
      </c>
      <c r="AL426" s="89">
        <f>IF('Carga Tributária doenças Po (2'!$Z426="+",0,SUMIFS(PISCOFINS!$H$3:$H$10518,PISCOFINS!$C$3:$C$10518,'Carga Tributária doenças Po (2'!$C426))</f>
        <v>9.9</v>
      </c>
      <c r="AM426" s="95">
        <v>3.27</v>
      </c>
      <c r="AN426" s="95">
        <v>3.12</v>
      </c>
      <c r="AO426" s="95">
        <v>1.35</v>
      </c>
      <c r="AP426" s="96">
        <v>18</v>
      </c>
      <c r="AQ426" s="96">
        <v>12</v>
      </c>
      <c r="AR426" s="96">
        <v>17</v>
      </c>
      <c r="AS426" s="97">
        <v>17</v>
      </c>
      <c r="AT426" s="97">
        <v>19</v>
      </c>
      <c r="AU426" s="97">
        <v>18</v>
      </c>
      <c r="AV426" s="97">
        <v>17</v>
      </c>
      <c r="AW426" s="97">
        <v>17</v>
      </c>
      <c r="AX426" s="97">
        <v>17</v>
      </c>
      <c r="AY426" s="97">
        <v>17</v>
      </c>
      <c r="AZ426" s="97">
        <v>17</v>
      </c>
      <c r="BA426" s="97">
        <v>17</v>
      </c>
      <c r="BB426" s="97">
        <v>17</v>
      </c>
      <c r="BC426" s="97">
        <v>17</v>
      </c>
      <c r="BD426" s="97">
        <v>17</v>
      </c>
      <c r="BE426" s="97">
        <v>17</v>
      </c>
      <c r="BF426" s="97">
        <f>+Tabela1107[[#This Row],[PIS]]+Tabela1107[[#This Row],[COFINS]]+Tabela1107[[#This Row],[CONTRIB. FOLHA]]+Tabela1107[[#This Row],[TRIBUTOS S/ LUCRO]]+Tabela1107[[#This Row],[OUTROS]]+Tabela1107[[#This Row],[SP]]</f>
        <v>37.74</v>
      </c>
      <c r="BG426" s="97">
        <f>+Tabela1107[[#This Row],[PIS]]+Tabela1107[[#This Row],[COFINS]]+Tabela1107[[#This Row],[CONTRIB. FOLHA]]+Tabela1107[[#This Row],[TRIBUTOS S/ LUCRO]]+Tabela1107[[#This Row],[OUTROS]]+Tabela1107[[#This Row],[PR]]</f>
        <v>31.740000000000002</v>
      </c>
      <c r="BH426" s="97">
        <f>+Tabela1107[[#This Row],[PIS]]+Tabela1107[[#This Row],[COFINS]]+Tabela1107[[#This Row],[CONTRIB. FOLHA]]+Tabela1107[[#This Row],[TRIBUTOS S/ LUCRO]]+Tabela1107[[#This Row],[OUTROS]]+Tabela1107[[#This Row],[SC]]</f>
        <v>36.74</v>
      </c>
      <c r="BI426" s="97">
        <f>+Tabela1107[[#This Row],[PIS]]+Tabela1107[[#This Row],[COFINS]]+Tabela1107[[#This Row],[CONTRIB. FOLHA]]+Tabela1107[[#This Row],[TRIBUTOS S/ LUCRO]]+Tabela1107[[#This Row],[OUTROS]]+Tabela1107[[#This Row],[RS]]</f>
        <v>36.74</v>
      </c>
      <c r="BJ426" s="97">
        <f>+Tabela1107[[#This Row],[PIS]]+Tabela1107[[#This Row],[COFINS]]+Tabela1107[[#This Row],[CONTRIB. FOLHA]]+Tabela1107[[#This Row],[TRIBUTOS S/ LUCRO]]+Tabela1107[[#This Row],[OUTROS]]+Tabela1107[[#This Row],[RJ]]</f>
        <v>38.74</v>
      </c>
      <c r="BK426" s="97">
        <f>+Tabela1107[[#This Row],[PIS]]+Tabela1107[[#This Row],[COFINS]]+Tabela1107[[#This Row],[CONTRIB. FOLHA]]+Tabela1107[[#This Row],[TRIBUTOS S/ LUCRO]]+Tabela1107[[#This Row],[OUTROS]]+Tabela1107[[#This Row],[MG]]</f>
        <v>37.74</v>
      </c>
      <c r="BL426" s="97">
        <f>+Tabela1107[[#This Row],[PIS]]+Tabela1107[[#This Row],[COFINS]]+Tabela1107[[#This Row],[CONTRIB. FOLHA]]+Tabela1107[[#This Row],[TRIBUTOS S/ LUCRO]]+Tabela1107[[#This Row],[OUTROS]]+Tabela1107[[#This Row],[ES]]</f>
        <v>36.74</v>
      </c>
      <c r="BM426" s="97">
        <f>+Tabela1107[[#This Row],[PIS]]+Tabela1107[[#This Row],[COFINS]]+Tabela1107[[#This Row],[CONTRIB. FOLHA]]+Tabela1107[[#This Row],[TRIBUTOS S/ LUCRO]]+Tabela1107[[#This Row],[OUTROS]]+Tabela1107[[#This Row],[GO]]</f>
        <v>36.74</v>
      </c>
      <c r="BN426" s="97">
        <f>+Tabela1107[[#This Row],[PIS]]+Tabela1107[[#This Row],[COFINS]]+Tabela1107[[#This Row],[CONTRIB. FOLHA]]+Tabela1107[[#This Row],[TRIBUTOS S/ LUCRO]]+Tabela1107[[#This Row],[OUTROS]]+Tabela1107[[#This Row],[MT]]</f>
        <v>36.74</v>
      </c>
      <c r="BO426" s="97">
        <f>+Tabela1107[[#This Row],[PIS]]+Tabela1107[[#This Row],[COFINS]]+Tabela1107[[#This Row],[CONTRIB. FOLHA]]+Tabela1107[[#This Row],[TRIBUTOS S/ LUCRO]]+Tabela1107[[#This Row],[OUTROS]]+Tabela1107[[#This Row],[MS]]</f>
        <v>36.74</v>
      </c>
      <c r="BP426" s="97">
        <f>+Tabela1107[[#This Row],[PIS]]+Tabela1107[[#This Row],[COFINS]]+Tabela1107[[#This Row],[CONTRIB. FOLHA]]+Tabela1107[[#This Row],[TRIBUTOS S/ LUCRO]]+Tabela1107[[#This Row],[OUTROS]]+Tabela1107[[#This Row],[DF]]</f>
        <v>36.74</v>
      </c>
      <c r="BQ426" s="97">
        <f>+Tabela1107[[#This Row],[PIS]]+Tabela1107[[#This Row],[COFINS]]+Tabela1107[[#This Row],[CONTRIB. FOLHA]]+Tabela1107[[#This Row],[TRIBUTOS S/ LUCRO]]+Tabela1107[[#This Row],[OUTROS]]+Tabela1107[[#This Row],[BA]]</f>
        <v>36.74</v>
      </c>
      <c r="BR426" s="97">
        <f>+Tabela1107[[#This Row],[PIS]]+Tabela1107[[#This Row],[COFINS]]+Tabela1107[[#This Row],[CONTRIB. FOLHA]]+Tabela1107[[#This Row],[TRIBUTOS S/ LUCRO]]+Tabela1107[[#This Row],[OUTROS]]+Tabela1107[[#This Row],[BA]]</f>
        <v>36.74</v>
      </c>
      <c r="BS426" s="97">
        <f>+Tabela1107[[#This Row],[PIS]]+Tabela1107[[#This Row],[COFINS]]+Tabela1107[[#This Row],[CONTRIB. FOLHA]]+Tabela1107[[#This Row],[TRIBUTOS S/ LUCRO]]+Tabela1107[[#This Row],[OUTROS]]+Tabela1107[[#This Row],[PE]]</f>
        <v>36.74</v>
      </c>
      <c r="BT426" s="97">
        <f>+Tabela1107[[#This Row],[PIS]]+Tabela1107[[#This Row],[COFINS]]+Tabela1107[[#This Row],[CONTRIB. FOLHA]]+Tabela1107[[#This Row],[TRIBUTOS S/ LUCRO]]+Tabela1107[[#This Row],[OUTROS]]+Tabela1107[[#This Row],[PA]]</f>
        <v>36.74</v>
      </c>
      <c r="BU426" s="97">
        <f>+Tabela1107[[#This Row],[PIS]]+Tabela1107[[#This Row],[COFINS]]+Tabela1107[[#This Row],[CONTRIB. FOLHA]]+Tabela1107[[#This Row],[TRIBUTOS S/ LUCRO]]+Tabela1107[[#This Row],[OUTROS]]+Tabela1107[[#This Row],[AM]]</f>
        <v>36.74</v>
      </c>
      <c r="BV426" s="97">
        <f>AVERAGE(Tabela1107[[#This Row],[TOTAL SP]:[TOTAL AM]])</f>
        <v>36.677500000000002</v>
      </c>
      <c r="BW426" s="97"/>
      <c r="BX426" s="97"/>
    </row>
    <row r="427" spans="2:76" x14ac:dyDescent="0.25">
      <c r="B427" s="89">
        <v>20415</v>
      </c>
      <c r="C427" s="91" t="s">
        <v>13147</v>
      </c>
      <c r="D427" s="89"/>
      <c r="E427" s="89">
        <v>20140626</v>
      </c>
      <c r="F427" s="89" t="s">
        <v>20883</v>
      </c>
      <c r="G427" s="89" t="s">
        <v>20884</v>
      </c>
      <c r="H427" s="89" t="s">
        <v>20885</v>
      </c>
      <c r="I427" s="89" t="s">
        <v>20886</v>
      </c>
      <c r="J427" s="89" t="s">
        <v>216</v>
      </c>
      <c r="K427" s="99" t="s">
        <v>2495</v>
      </c>
      <c r="L427" s="89" t="s">
        <v>2632</v>
      </c>
      <c r="M427" s="89" t="s">
        <v>4496</v>
      </c>
      <c r="N427" s="89" t="s">
        <v>4496</v>
      </c>
      <c r="O427" s="89" t="s">
        <v>4496</v>
      </c>
      <c r="P427" s="89" t="s">
        <v>4496</v>
      </c>
      <c r="Q427" s="89"/>
      <c r="R427" s="89" t="s">
        <v>55</v>
      </c>
      <c r="S427" s="89" t="s">
        <v>21634</v>
      </c>
      <c r="T427" s="89" t="s">
        <v>21635</v>
      </c>
      <c r="U427" s="89" t="str">
        <f>TRIM('Carga Tributária doenças Po (2'!$L427)</f>
        <v>PARACETAMOL</v>
      </c>
      <c r="V427" s="89">
        <f>SUMIFS('Tabela Federal'!$E$4:$E$2069,'Tabela Federal'!$D$4:$D$2069,'Carga Tributária doenças Po (2'!$L427)</f>
        <v>0</v>
      </c>
      <c r="W427" s="89">
        <f>SUMIFS('Tabela Federal'!$E$4:$E$2069,'Tabela Federal'!$D$4:$D$2069,'Carga Tributária doenças Po (2'!$M427)</f>
        <v>0</v>
      </c>
      <c r="X427" s="89">
        <f>SUMIFS('Tabela Federal'!$E$4:$E$2069,'Tabela Federal'!$D$4:$D$2069,'Carga Tributária doenças Po (2'!$N427)</f>
        <v>0</v>
      </c>
      <c r="Y427" s="89">
        <f>SUMIFS('Tabela Federal'!$E$4:$E$2069,'Tabela Federal'!$D$4:$D$2069,'Carga Tributária doenças Po (2'!$O427)</f>
        <v>0</v>
      </c>
      <c r="Z427" s="92" t="str">
        <f>VLOOKUP('Carga Tributária doenças Po (2'!$AD427,'Carga Tributária doenças Po (2'!$CA$12:$CC$16,2,0)</f>
        <v>-</v>
      </c>
      <c r="AA427" s="89" t="s">
        <v>0</v>
      </c>
      <c r="AB427" s="89" t="s">
        <v>21845</v>
      </c>
      <c r="AC427" s="89" t="s">
        <v>21721</v>
      </c>
      <c r="AD427" s="93" t="s">
        <v>19523</v>
      </c>
      <c r="AE427" s="92" t="s">
        <v>4</v>
      </c>
      <c r="AF427" s="92" t="s">
        <v>23</v>
      </c>
      <c r="AG427" s="94">
        <v>2446010</v>
      </c>
      <c r="AH427" s="95">
        <v>10901434</v>
      </c>
      <c r="AI427" s="95">
        <v>24756426.109999999</v>
      </c>
      <c r="AJ427" s="89" t="s">
        <v>227</v>
      </c>
      <c r="AK427" s="89">
        <f>IF('Carga Tributária doenças Po (2'!$Z427="+",0,SUMIFS(PISCOFINS!$I$3:$I$10518,PISCOFINS!$C$3:$C$10518,'Carga Tributária doenças Po (2'!$C427))</f>
        <v>2.1</v>
      </c>
      <c r="AL427" s="89">
        <f>IF('Carga Tributária doenças Po (2'!$Z427="+",0,SUMIFS(PISCOFINS!$H$3:$H$10518,PISCOFINS!$C$3:$C$10518,'Carga Tributária doenças Po (2'!$C427))</f>
        <v>9.9</v>
      </c>
      <c r="AM427" s="95">
        <v>3.27</v>
      </c>
      <c r="AN427" s="95">
        <v>3.12</v>
      </c>
      <c r="AO427" s="95">
        <v>1.35</v>
      </c>
      <c r="AP427" s="96">
        <v>18</v>
      </c>
      <c r="AQ427" s="96">
        <v>12</v>
      </c>
      <c r="AR427" s="96">
        <v>17</v>
      </c>
      <c r="AS427" s="97">
        <v>17</v>
      </c>
      <c r="AT427" s="97">
        <v>19</v>
      </c>
      <c r="AU427" s="97">
        <v>18</v>
      </c>
      <c r="AV427" s="97">
        <v>17</v>
      </c>
      <c r="AW427" s="97">
        <v>17</v>
      </c>
      <c r="AX427" s="97">
        <v>17</v>
      </c>
      <c r="AY427" s="97">
        <v>17</v>
      </c>
      <c r="AZ427" s="97">
        <v>17</v>
      </c>
      <c r="BA427" s="97">
        <v>17</v>
      </c>
      <c r="BB427" s="97">
        <v>17</v>
      </c>
      <c r="BC427" s="97">
        <v>17</v>
      </c>
      <c r="BD427" s="97">
        <v>17</v>
      </c>
      <c r="BE427" s="97">
        <v>17</v>
      </c>
      <c r="BF427" s="97">
        <f>+Tabela1107[[#This Row],[PIS]]+Tabela1107[[#This Row],[COFINS]]+Tabela1107[[#This Row],[CONTRIB. FOLHA]]+Tabela1107[[#This Row],[TRIBUTOS S/ LUCRO]]+Tabela1107[[#This Row],[OUTROS]]+Tabela1107[[#This Row],[SP]]</f>
        <v>37.74</v>
      </c>
      <c r="BG427" s="97">
        <f>+Tabela1107[[#This Row],[PIS]]+Tabela1107[[#This Row],[COFINS]]+Tabela1107[[#This Row],[CONTRIB. FOLHA]]+Tabela1107[[#This Row],[TRIBUTOS S/ LUCRO]]+Tabela1107[[#This Row],[OUTROS]]+Tabela1107[[#This Row],[PR]]</f>
        <v>31.740000000000002</v>
      </c>
      <c r="BH427" s="97">
        <f>+Tabela1107[[#This Row],[PIS]]+Tabela1107[[#This Row],[COFINS]]+Tabela1107[[#This Row],[CONTRIB. FOLHA]]+Tabela1107[[#This Row],[TRIBUTOS S/ LUCRO]]+Tabela1107[[#This Row],[OUTROS]]+Tabela1107[[#This Row],[SC]]</f>
        <v>36.74</v>
      </c>
      <c r="BI427" s="97">
        <f>+Tabela1107[[#This Row],[PIS]]+Tabela1107[[#This Row],[COFINS]]+Tabela1107[[#This Row],[CONTRIB. FOLHA]]+Tabela1107[[#This Row],[TRIBUTOS S/ LUCRO]]+Tabela1107[[#This Row],[OUTROS]]+Tabela1107[[#This Row],[RS]]</f>
        <v>36.74</v>
      </c>
      <c r="BJ427" s="97">
        <f>+Tabela1107[[#This Row],[PIS]]+Tabela1107[[#This Row],[COFINS]]+Tabela1107[[#This Row],[CONTRIB. FOLHA]]+Tabela1107[[#This Row],[TRIBUTOS S/ LUCRO]]+Tabela1107[[#This Row],[OUTROS]]+Tabela1107[[#This Row],[RJ]]</f>
        <v>38.74</v>
      </c>
      <c r="BK427" s="97">
        <f>+Tabela1107[[#This Row],[PIS]]+Tabela1107[[#This Row],[COFINS]]+Tabela1107[[#This Row],[CONTRIB. FOLHA]]+Tabela1107[[#This Row],[TRIBUTOS S/ LUCRO]]+Tabela1107[[#This Row],[OUTROS]]+Tabela1107[[#This Row],[MG]]</f>
        <v>37.74</v>
      </c>
      <c r="BL427" s="97">
        <f>+Tabela1107[[#This Row],[PIS]]+Tabela1107[[#This Row],[COFINS]]+Tabela1107[[#This Row],[CONTRIB. FOLHA]]+Tabela1107[[#This Row],[TRIBUTOS S/ LUCRO]]+Tabela1107[[#This Row],[OUTROS]]+Tabela1107[[#This Row],[ES]]</f>
        <v>36.74</v>
      </c>
      <c r="BM427" s="97">
        <f>+Tabela1107[[#This Row],[PIS]]+Tabela1107[[#This Row],[COFINS]]+Tabela1107[[#This Row],[CONTRIB. FOLHA]]+Tabela1107[[#This Row],[TRIBUTOS S/ LUCRO]]+Tabela1107[[#This Row],[OUTROS]]+Tabela1107[[#This Row],[GO]]</f>
        <v>36.74</v>
      </c>
      <c r="BN427" s="97">
        <f>+Tabela1107[[#This Row],[PIS]]+Tabela1107[[#This Row],[COFINS]]+Tabela1107[[#This Row],[CONTRIB. FOLHA]]+Tabela1107[[#This Row],[TRIBUTOS S/ LUCRO]]+Tabela1107[[#This Row],[OUTROS]]+Tabela1107[[#This Row],[MT]]</f>
        <v>36.74</v>
      </c>
      <c r="BO427" s="97">
        <f>+Tabela1107[[#This Row],[PIS]]+Tabela1107[[#This Row],[COFINS]]+Tabela1107[[#This Row],[CONTRIB. FOLHA]]+Tabela1107[[#This Row],[TRIBUTOS S/ LUCRO]]+Tabela1107[[#This Row],[OUTROS]]+Tabela1107[[#This Row],[MS]]</f>
        <v>36.74</v>
      </c>
      <c r="BP427" s="97">
        <f>+Tabela1107[[#This Row],[PIS]]+Tabela1107[[#This Row],[COFINS]]+Tabela1107[[#This Row],[CONTRIB. FOLHA]]+Tabela1107[[#This Row],[TRIBUTOS S/ LUCRO]]+Tabela1107[[#This Row],[OUTROS]]+Tabela1107[[#This Row],[DF]]</f>
        <v>36.74</v>
      </c>
      <c r="BQ427" s="97">
        <f>+Tabela1107[[#This Row],[PIS]]+Tabela1107[[#This Row],[COFINS]]+Tabela1107[[#This Row],[CONTRIB. FOLHA]]+Tabela1107[[#This Row],[TRIBUTOS S/ LUCRO]]+Tabela1107[[#This Row],[OUTROS]]+Tabela1107[[#This Row],[BA]]</f>
        <v>36.74</v>
      </c>
      <c r="BR427" s="97">
        <f>+Tabela1107[[#This Row],[PIS]]+Tabela1107[[#This Row],[COFINS]]+Tabela1107[[#This Row],[CONTRIB. FOLHA]]+Tabela1107[[#This Row],[TRIBUTOS S/ LUCRO]]+Tabela1107[[#This Row],[OUTROS]]+Tabela1107[[#This Row],[BA]]</f>
        <v>36.74</v>
      </c>
      <c r="BS427" s="97">
        <f>+Tabela1107[[#This Row],[PIS]]+Tabela1107[[#This Row],[COFINS]]+Tabela1107[[#This Row],[CONTRIB. FOLHA]]+Tabela1107[[#This Row],[TRIBUTOS S/ LUCRO]]+Tabela1107[[#This Row],[OUTROS]]+Tabela1107[[#This Row],[PE]]</f>
        <v>36.74</v>
      </c>
      <c r="BT427" s="97">
        <f>+Tabela1107[[#This Row],[PIS]]+Tabela1107[[#This Row],[COFINS]]+Tabela1107[[#This Row],[CONTRIB. FOLHA]]+Tabela1107[[#This Row],[TRIBUTOS S/ LUCRO]]+Tabela1107[[#This Row],[OUTROS]]+Tabela1107[[#This Row],[PA]]</f>
        <v>36.74</v>
      </c>
      <c r="BU427" s="97">
        <f>+Tabela1107[[#This Row],[PIS]]+Tabela1107[[#This Row],[COFINS]]+Tabela1107[[#This Row],[CONTRIB. FOLHA]]+Tabela1107[[#This Row],[TRIBUTOS S/ LUCRO]]+Tabela1107[[#This Row],[OUTROS]]+Tabela1107[[#This Row],[AM]]</f>
        <v>36.74</v>
      </c>
      <c r="BV427" s="97">
        <f>AVERAGE(Tabela1107[[#This Row],[TOTAL SP]:[TOTAL AM]])</f>
        <v>36.677500000000002</v>
      </c>
      <c r="BW427" s="97"/>
      <c r="BX427" s="97"/>
    </row>
    <row r="428" spans="2:76" x14ac:dyDescent="0.25">
      <c r="B428" s="89">
        <v>20415</v>
      </c>
      <c r="C428" s="91" t="s">
        <v>13147</v>
      </c>
      <c r="D428" s="89"/>
      <c r="E428" s="89">
        <v>20140626</v>
      </c>
      <c r="F428" s="89" t="s">
        <v>20883</v>
      </c>
      <c r="G428" s="89" t="s">
        <v>20884</v>
      </c>
      <c r="H428" s="89" t="s">
        <v>20885</v>
      </c>
      <c r="I428" s="89" t="s">
        <v>20886</v>
      </c>
      <c r="J428" s="89" t="s">
        <v>216</v>
      </c>
      <c r="K428" s="89" t="s">
        <v>2494</v>
      </c>
      <c r="L428" s="89" t="s">
        <v>2494</v>
      </c>
      <c r="M428" s="89" t="s">
        <v>4496</v>
      </c>
      <c r="N428" s="89" t="s">
        <v>4496</v>
      </c>
      <c r="O428" s="89" t="s">
        <v>4496</v>
      </c>
      <c r="P428" s="89" t="s">
        <v>4496</v>
      </c>
      <c r="Q428" s="89"/>
      <c r="R428" s="89" t="s">
        <v>55</v>
      </c>
      <c r="S428" s="89" t="s">
        <v>21634</v>
      </c>
      <c r="T428" s="89" t="s">
        <v>21635</v>
      </c>
      <c r="U428" s="89" t="str">
        <f>TRIM('Carga Tributária doenças Po (2'!$L428)</f>
        <v>TYLENOL</v>
      </c>
      <c r="V428" s="89">
        <f>SUMIFS('Tabela Federal'!$E$4:$E$2069,'Tabela Federal'!$D$4:$D$2069,'Carga Tributária doenças Po (2'!$L428)</f>
        <v>0</v>
      </c>
      <c r="W428" s="89">
        <f>SUMIFS('Tabela Federal'!$E$4:$E$2069,'Tabela Federal'!$D$4:$D$2069,'Carga Tributária doenças Po (2'!$M428)</f>
        <v>0</v>
      </c>
      <c r="X428" s="89">
        <f>SUMIFS('Tabela Federal'!$E$4:$E$2069,'Tabela Federal'!$D$4:$D$2069,'Carga Tributária doenças Po (2'!$N428)</f>
        <v>0</v>
      </c>
      <c r="Y428" s="89">
        <f>SUMIFS('Tabela Federal'!$E$4:$E$2069,'Tabela Federal'!$D$4:$D$2069,'Carga Tributária doenças Po (2'!$O428)</f>
        <v>0</v>
      </c>
      <c r="Z428" s="92" t="str">
        <f>VLOOKUP('Carga Tributária doenças Po (2'!$AD428,'Carga Tributária doenças Po (2'!$CA$12:$CC$16,2,0)</f>
        <v>-</v>
      </c>
      <c r="AA428" s="89" t="s">
        <v>0</v>
      </c>
      <c r="AB428" s="89" t="s">
        <v>21845</v>
      </c>
      <c r="AC428" s="89" t="s">
        <v>21721</v>
      </c>
      <c r="AD428" s="93" t="s">
        <v>19523</v>
      </c>
      <c r="AE428" s="92" t="s">
        <v>4</v>
      </c>
      <c r="AF428" s="92" t="s">
        <v>23</v>
      </c>
      <c r="AG428" s="94">
        <v>2446010</v>
      </c>
      <c r="AH428" s="95">
        <v>10901434</v>
      </c>
      <c r="AI428" s="95">
        <v>24756426.109999999</v>
      </c>
      <c r="AJ428" s="89" t="s">
        <v>559</v>
      </c>
      <c r="AK428" s="89">
        <f>IF('Carga Tributária doenças Po (2'!$Z428="+",0,SUMIFS(PISCOFINS!$I$3:$I$10518,PISCOFINS!$C$3:$C$10518,'Carga Tributária doenças Po (2'!$C428))</f>
        <v>2.1</v>
      </c>
      <c r="AL428" s="89">
        <f>IF('Carga Tributária doenças Po (2'!$Z428="+",0,SUMIFS(PISCOFINS!$H$3:$H$10518,PISCOFINS!$C$3:$C$10518,'Carga Tributária doenças Po (2'!$C428))</f>
        <v>9.9</v>
      </c>
      <c r="AM428" s="95">
        <v>3.27</v>
      </c>
      <c r="AN428" s="95">
        <v>3.12</v>
      </c>
      <c r="AO428" s="95">
        <v>1.35</v>
      </c>
      <c r="AP428" s="96">
        <v>18</v>
      </c>
      <c r="AQ428" s="96">
        <v>12</v>
      </c>
      <c r="AR428" s="96">
        <v>17</v>
      </c>
      <c r="AS428" s="97">
        <v>17</v>
      </c>
      <c r="AT428" s="97">
        <v>19</v>
      </c>
      <c r="AU428" s="97">
        <v>18</v>
      </c>
      <c r="AV428" s="97">
        <v>17</v>
      </c>
      <c r="AW428" s="97">
        <v>17</v>
      </c>
      <c r="AX428" s="97">
        <v>17</v>
      </c>
      <c r="AY428" s="97">
        <v>17</v>
      </c>
      <c r="AZ428" s="97">
        <v>17</v>
      </c>
      <c r="BA428" s="97">
        <v>17</v>
      </c>
      <c r="BB428" s="97">
        <v>17</v>
      </c>
      <c r="BC428" s="97">
        <v>17</v>
      </c>
      <c r="BD428" s="97">
        <v>17</v>
      </c>
      <c r="BE428" s="97">
        <v>17</v>
      </c>
      <c r="BF428" s="97">
        <f>+Tabela1107[[#This Row],[PIS]]+Tabela1107[[#This Row],[COFINS]]+Tabela1107[[#This Row],[CONTRIB. FOLHA]]+Tabela1107[[#This Row],[TRIBUTOS S/ LUCRO]]+Tabela1107[[#This Row],[OUTROS]]+Tabela1107[[#This Row],[SP]]</f>
        <v>37.74</v>
      </c>
      <c r="BG428" s="97">
        <f>+Tabela1107[[#This Row],[PIS]]+Tabela1107[[#This Row],[COFINS]]+Tabela1107[[#This Row],[CONTRIB. FOLHA]]+Tabela1107[[#This Row],[TRIBUTOS S/ LUCRO]]+Tabela1107[[#This Row],[OUTROS]]+Tabela1107[[#This Row],[PR]]</f>
        <v>31.740000000000002</v>
      </c>
      <c r="BH428" s="97">
        <f>+Tabela1107[[#This Row],[PIS]]+Tabela1107[[#This Row],[COFINS]]+Tabela1107[[#This Row],[CONTRIB. FOLHA]]+Tabela1107[[#This Row],[TRIBUTOS S/ LUCRO]]+Tabela1107[[#This Row],[OUTROS]]+Tabela1107[[#This Row],[SC]]</f>
        <v>36.74</v>
      </c>
      <c r="BI428" s="97">
        <f>+Tabela1107[[#This Row],[PIS]]+Tabela1107[[#This Row],[COFINS]]+Tabela1107[[#This Row],[CONTRIB. FOLHA]]+Tabela1107[[#This Row],[TRIBUTOS S/ LUCRO]]+Tabela1107[[#This Row],[OUTROS]]+Tabela1107[[#This Row],[RS]]</f>
        <v>36.74</v>
      </c>
      <c r="BJ428" s="97">
        <f>+Tabela1107[[#This Row],[PIS]]+Tabela1107[[#This Row],[COFINS]]+Tabela1107[[#This Row],[CONTRIB. FOLHA]]+Tabela1107[[#This Row],[TRIBUTOS S/ LUCRO]]+Tabela1107[[#This Row],[OUTROS]]+Tabela1107[[#This Row],[RJ]]</f>
        <v>38.74</v>
      </c>
      <c r="BK428" s="97">
        <f>+Tabela1107[[#This Row],[PIS]]+Tabela1107[[#This Row],[COFINS]]+Tabela1107[[#This Row],[CONTRIB. FOLHA]]+Tabela1107[[#This Row],[TRIBUTOS S/ LUCRO]]+Tabela1107[[#This Row],[OUTROS]]+Tabela1107[[#This Row],[MG]]</f>
        <v>37.74</v>
      </c>
      <c r="BL428" s="97">
        <f>+Tabela1107[[#This Row],[PIS]]+Tabela1107[[#This Row],[COFINS]]+Tabela1107[[#This Row],[CONTRIB. FOLHA]]+Tabela1107[[#This Row],[TRIBUTOS S/ LUCRO]]+Tabela1107[[#This Row],[OUTROS]]+Tabela1107[[#This Row],[ES]]</f>
        <v>36.74</v>
      </c>
      <c r="BM428" s="97">
        <f>+Tabela1107[[#This Row],[PIS]]+Tabela1107[[#This Row],[COFINS]]+Tabela1107[[#This Row],[CONTRIB. FOLHA]]+Tabela1107[[#This Row],[TRIBUTOS S/ LUCRO]]+Tabela1107[[#This Row],[OUTROS]]+Tabela1107[[#This Row],[GO]]</f>
        <v>36.74</v>
      </c>
      <c r="BN428" s="97">
        <f>+Tabela1107[[#This Row],[PIS]]+Tabela1107[[#This Row],[COFINS]]+Tabela1107[[#This Row],[CONTRIB. FOLHA]]+Tabela1107[[#This Row],[TRIBUTOS S/ LUCRO]]+Tabela1107[[#This Row],[OUTROS]]+Tabela1107[[#This Row],[MT]]</f>
        <v>36.74</v>
      </c>
      <c r="BO428" s="97">
        <f>+Tabela1107[[#This Row],[PIS]]+Tabela1107[[#This Row],[COFINS]]+Tabela1107[[#This Row],[CONTRIB. FOLHA]]+Tabela1107[[#This Row],[TRIBUTOS S/ LUCRO]]+Tabela1107[[#This Row],[OUTROS]]+Tabela1107[[#This Row],[MS]]</f>
        <v>36.74</v>
      </c>
      <c r="BP428" s="97">
        <f>+Tabela1107[[#This Row],[PIS]]+Tabela1107[[#This Row],[COFINS]]+Tabela1107[[#This Row],[CONTRIB. FOLHA]]+Tabela1107[[#This Row],[TRIBUTOS S/ LUCRO]]+Tabela1107[[#This Row],[OUTROS]]+Tabela1107[[#This Row],[DF]]</f>
        <v>36.74</v>
      </c>
      <c r="BQ428" s="97">
        <f>+Tabela1107[[#This Row],[PIS]]+Tabela1107[[#This Row],[COFINS]]+Tabela1107[[#This Row],[CONTRIB. FOLHA]]+Tabela1107[[#This Row],[TRIBUTOS S/ LUCRO]]+Tabela1107[[#This Row],[OUTROS]]+Tabela1107[[#This Row],[BA]]</f>
        <v>36.74</v>
      </c>
      <c r="BR428" s="97">
        <f>+Tabela1107[[#This Row],[PIS]]+Tabela1107[[#This Row],[COFINS]]+Tabela1107[[#This Row],[CONTRIB. FOLHA]]+Tabela1107[[#This Row],[TRIBUTOS S/ LUCRO]]+Tabela1107[[#This Row],[OUTROS]]+Tabela1107[[#This Row],[BA]]</f>
        <v>36.74</v>
      </c>
      <c r="BS428" s="97">
        <f>+Tabela1107[[#This Row],[PIS]]+Tabela1107[[#This Row],[COFINS]]+Tabela1107[[#This Row],[CONTRIB. FOLHA]]+Tabela1107[[#This Row],[TRIBUTOS S/ LUCRO]]+Tabela1107[[#This Row],[OUTROS]]+Tabela1107[[#This Row],[PE]]</f>
        <v>36.74</v>
      </c>
      <c r="BT428" s="97">
        <f>+Tabela1107[[#This Row],[PIS]]+Tabela1107[[#This Row],[COFINS]]+Tabela1107[[#This Row],[CONTRIB. FOLHA]]+Tabela1107[[#This Row],[TRIBUTOS S/ LUCRO]]+Tabela1107[[#This Row],[OUTROS]]+Tabela1107[[#This Row],[PA]]</f>
        <v>36.74</v>
      </c>
      <c r="BU428" s="97">
        <f>+Tabela1107[[#This Row],[PIS]]+Tabela1107[[#This Row],[COFINS]]+Tabela1107[[#This Row],[CONTRIB. FOLHA]]+Tabela1107[[#This Row],[TRIBUTOS S/ LUCRO]]+Tabela1107[[#This Row],[OUTROS]]+Tabela1107[[#This Row],[AM]]</f>
        <v>36.74</v>
      </c>
      <c r="BV428" s="97">
        <f>AVERAGE(Tabela1107[[#This Row],[TOTAL SP]:[TOTAL AM]])</f>
        <v>36.677500000000002</v>
      </c>
      <c r="BW428" s="97"/>
      <c r="BX428" s="97"/>
    </row>
    <row r="429" spans="2:76" x14ac:dyDescent="0.25">
      <c r="B429" s="89">
        <v>17621</v>
      </c>
      <c r="C429" s="91" t="s">
        <v>13107</v>
      </c>
      <c r="D429" s="89"/>
      <c r="E429" s="89">
        <v>20140626</v>
      </c>
      <c r="F429" s="89" t="s">
        <v>20467</v>
      </c>
      <c r="G429" s="89" t="s">
        <v>20468</v>
      </c>
      <c r="H429" s="89" t="s">
        <v>20469</v>
      </c>
      <c r="I429" s="89" t="s">
        <v>20470</v>
      </c>
      <c r="J429" s="89" t="s">
        <v>432</v>
      </c>
      <c r="K429" s="99" t="s">
        <v>2493</v>
      </c>
      <c r="L429" s="89" t="s">
        <v>4502</v>
      </c>
      <c r="M429" s="89" t="s">
        <v>3177</v>
      </c>
      <c r="N429" s="89" t="s">
        <v>4496</v>
      </c>
      <c r="O429" s="89" t="s">
        <v>4496</v>
      </c>
      <c r="P429" s="89" t="s">
        <v>4496</v>
      </c>
      <c r="Q429" s="89"/>
      <c r="R429" s="89" t="s">
        <v>434</v>
      </c>
      <c r="S429" s="89" t="s">
        <v>21590</v>
      </c>
      <c r="T429" s="89" t="s">
        <v>21591</v>
      </c>
      <c r="U429" s="89" t="str">
        <f>TRIM('Carga Tributária doenças Po (2'!$L429)</f>
        <v>FLUOCORTOLONA</v>
      </c>
      <c r="V429" s="89">
        <f>SUMIFS('Tabela Federal'!$E$4:$E$2069,'Tabela Federal'!$D$4:$D$2069,'Carga Tributária doenças Po (2'!$L429)</f>
        <v>0</v>
      </c>
      <c r="W429" s="89">
        <f>SUMIFS('Tabela Federal'!$E$4:$E$2069,'Tabela Federal'!$D$4:$D$2069,'Carga Tributária doenças Po (2'!$M429)</f>
        <v>5</v>
      </c>
      <c r="X429" s="89">
        <f>SUMIFS('Tabela Federal'!$E$4:$E$2069,'Tabela Federal'!$D$4:$D$2069,'Carga Tributária doenças Po (2'!$N429)</f>
        <v>0</v>
      </c>
      <c r="Y429" s="89">
        <f>SUMIFS('Tabela Federal'!$E$4:$E$2069,'Tabela Federal'!$D$4:$D$2069,'Carga Tributária doenças Po (2'!$O429)</f>
        <v>0</v>
      </c>
      <c r="Z429" s="92" t="str">
        <f>VLOOKUP('Carga Tributária doenças Po (2'!$AD429,'Carga Tributária doenças Po (2'!$CA$12:$CC$16,2,0)</f>
        <v>-</v>
      </c>
      <c r="AA429" s="89" t="s">
        <v>433</v>
      </c>
      <c r="AB429" s="89" t="s">
        <v>21847</v>
      </c>
      <c r="AC429" s="89" t="s">
        <v>21721</v>
      </c>
      <c r="AD429" s="93" t="s">
        <v>19523</v>
      </c>
      <c r="AE429" s="92" t="s">
        <v>4</v>
      </c>
      <c r="AF429" s="92" t="s">
        <v>23</v>
      </c>
      <c r="AG429" s="94">
        <v>349439</v>
      </c>
      <c r="AH429" s="95">
        <v>3104943</v>
      </c>
      <c r="AI429" s="95">
        <v>7088422.9299999997</v>
      </c>
      <c r="AJ429" s="89" t="s">
        <v>441</v>
      </c>
      <c r="AK429" s="89">
        <f>IF('Carga Tributária doenças Po (2'!$Z429="+",0,SUMIFS(PISCOFINS!$I$3:$I$10518,PISCOFINS!$C$3:$C$10518,'Carga Tributária doenças Po (2'!$C429))</f>
        <v>2.1</v>
      </c>
      <c r="AL429" s="89">
        <f>IF('Carga Tributária doenças Po (2'!$Z429="+",0,SUMIFS(PISCOFINS!$H$3:$H$10518,PISCOFINS!$C$3:$C$10518,'Carga Tributária doenças Po (2'!$C429))</f>
        <v>9.9</v>
      </c>
      <c r="AM429" s="95">
        <v>3.27</v>
      </c>
      <c r="AN429" s="95">
        <v>3.12</v>
      </c>
      <c r="AO429" s="95">
        <v>1.35</v>
      </c>
      <c r="AP429" s="96">
        <v>18</v>
      </c>
      <c r="AQ429" s="96">
        <v>12</v>
      </c>
      <c r="AR429" s="96">
        <v>17</v>
      </c>
      <c r="AS429" s="97">
        <v>17</v>
      </c>
      <c r="AT429" s="97">
        <v>19</v>
      </c>
      <c r="AU429" s="97">
        <v>18</v>
      </c>
      <c r="AV429" s="97">
        <v>17</v>
      </c>
      <c r="AW429" s="97">
        <v>17</v>
      </c>
      <c r="AX429" s="97">
        <v>17</v>
      </c>
      <c r="AY429" s="97">
        <v>17</v>
      </c>
      <c r="AZ429" s="97">
        <v>17</v>
      </c>
      <c r="BA429" s="97">
        <v>17</v>
      </c>
      <c r="BB429" s="97">
        <v>17</v>
      </c>
      <c r="BC429" s="97">
        <v>17</v>
      </c>
      <c r="BD429" s="97">
        <v>17</v>
      </c>
      <c r="BE429" s="97">
        <v>17</v>
      </c>
      <c r="BF429" s="97">
        <f>+Tabela1107[[#This Row],[PIS]]+Tabela1107[[#This Row],[COFINS]]+Tabela1107[[#This Row],[CONTRIB. FOLHA]]+Tabela1107[[#This Row],[TRIBUTOS S/ LUCRO]]+Tabela1107[[#This Row],[OUTROS]]+Tabela1107[[#This Row],[SP]]</f>
        <v>37.74</v>
      </c>
      <c r="BG429" s="97">
        <f>+Tabela1107[[#This Row],[PIS]]+Tabela1107[[#This Row],[COFINS]]+Tabela1107[[#This Row],[CONTRIB. FOLHA]]+Tabela1107[[#This Row],[TRIBUTOS S/ LUCRO]]+Tabela1107[[#This Row],[OUTROS]]+Tabela1107[[#This Row],[PR]]</f>
        <v>31.740000000000002</v>
      </c>
      <c r="BH429" s="97">
        <f>+Tabela1107[[#This Row],[PIS]]+Tabela1107[[#This Row],[COFINS]]+Tabela1107[[#This Row],[CONTRIB. FOLHA]]+Tabela1107[[#This Row],[TRIBUTOS S/ LUCRO]]+Tabela1107[[#This Row],[OUTROS]]+Tabela1107[[#This Row],[SC]]</f>
        <v>36.74</v>
      </c>
      <c r="BI429" s="97">
        <f>+Tabela1107[[#This Row],[PIS]]+Tabela1107[[#This Row],[COFINS]]+Tabela1107[[#This Row],[CONTRIB. FOLHA]]+Tabela1107[[#This Row],[TRIBUTOS S/ LUCRO]]+Tabela1107[[#This Row],[OUTROS]]+Tabela1107[[#This Row],[RS]]</f>
        <v>36.74</v>
      </c>
      <c r="BJ429" s="97">
        <f>+Tabela1107[[#This Row],[PIS]]+Tabela1107[[#This Row],[COFINS]]+Tabela1107[[#This Row],[CONTRIB. FOLHA]]+Tabela1107[[#This Row],[TRIBUTOS S/ LUCRO]]+Tabela1107[[#This Row],[OUTROS]]+Tabela1107[[#This Row],[RJ]]</f>
        <v>38.74</v>
      </c>
      <c r="BK429" s="97">
        <f>+Tabela1107[[#This Row],[PIS]]+Tabela1107[[#This Row],[COFINS]]+Tabela1107[[#This Row],[CONTRIB. FOLHA]]+Tabela1107[[#This Row],[TRIBUTOS S/ LUCRO]]+Tabela1107[[#This Row],[OUTROS]]+Tabela1107[[#This Row],[MG]]</f>
        <v>37.74</v>
      </c>
      <c r="BL429" s="97">
        <f>+Tabela1107[[#This Row],[PIS]]+Tabela1107[[#This Row],[COFINS]]+Tabela1107[[#This Row],[CONTRIB. FOLHA]]+Tabela1107[[#This Row],[TRIBUTOS S/ LUCRO]]+Tabela1107[[#This Row],[OUTROS]]+Tabela1107[[#This Row],[ES]]</f>
        <v>36.74</v>
      </c>
      <c r="BM429" s="97">
        <f>+Tabela1107[[#This Row],[PIS]]+Tabela1107[[#This Row],[COFINS]]+Tabela1107[[#This Row],[CONTRIB. FOLHA]]+Tabela1107[[#This Row],[TRIBUTOS S/ LUCRO]]+Tabela1107[[#This Row],[OUTROS]]+Tabela1107[[#This Row],[GO]]</f>
        <v>36.74</v>
      </c>
      <c r="BN429" s="97">
        <f>+Tabela1107[[#This Row],[PIS]]+Tabela1107[[#This Row],[COFINS]]+Tabela1107[[#This Row],[CONTRIB. FOLHA]]+Tabela1107[[#This Row],[TRIBUTOS S/ LUCRO]]+Tabela1107[[#This Row],[OUTROS]]+Tabela1107[[#This Row],[MT]]</f>
        <v>36.74</v>
      </c>
      <c r="BO429" s="97">
        <f>+Tabela1107[[#This Row],[PIS]]+Tabela1107[[#This Row],[COFINS]]+Tabela1107[[#This Row],[CONTRIB. FOLHA]]+Tabela1107[[#This Row],[TRIBUTOS S/ LUCRO]]+Tabela1107[[#This Row],[OUTROS]]+Tabela1107[[#This Row],[MS]]</f>
        <v>36.74</v>
      </c>
      <c r="BP429" s="97">
        <f>+Tabela1107[[#This Row],[PIS]]+Tabela1107[[#This Row],[COFINS]]+Tabela1107[[#This Row],[CONTRIB. FOLHA]]+Tabela1107[[#This Row],[TRIBUTOS S/ LUCRO]]+Tabela1107[[#This Row],[OUTROS]]+Tabela1107[[#This Row],[DF]]</f>
        <v>36.74</v>
      </c>
      <c r="BQ429" s="97">
        <f>+Tabela1107[[#This Row],[PIS]]+Tabela1107[[#This Row],[COFINS]]+Tabela1107[[#This Row],[CONTRIB. FOLHA]]+Tabela1107[[#This Row],[TRIBUTOS S/ LUCRO]]+Tabela1107[[#This Row],[OUTROS]]+Tabela1107[[#This Row],[BA]]</f>
        <v>36.74</v>
      </c>
      <c r="BR429" s="97">
        <f>+Tabela1107[[#This Row],[PIS]]+Tabela1107[[#This Row],[COFINS]]+Tabela1107[[#This Row],[CONTRIB. FOLHA]]+Tabela1107[[#This Row],[TRIBUTOS S/ LUCRO]]+Tabela1107[[#This Row],[OUTROS]]+Tabela1107[[#This Row],[BA]]</f>
        <v>36.74</v>
      </c>
      <c r="BS429" s="97">
        <f>+Tabela1107[[#This Row],[PIS]]+Tabela1107[[#This Row],[COFINS]]+Tabela1107[[#This Row],[CONTRIB. FOLHA]]+Tabela1107[[#This Row],[TRIBUTOS S/ LUCRO]]+Tabela1107[[#This Row],[OUTROS]]+Tabela1107[[#This Row],[PE]]</f>
        <v>36.74</v>
      </c>
      <c r="BT429" s="97">
        <f>+Tabela1107[[#This Row],[PIS]]+Tabela1107[[#This Row],[COFINS]]+Tabela1107[[#This Row],[CONTRIB. FOLHA]]+Tabela1107[[#This Row],[TRIBUTOS S/ LUCRO]]+Tabela1107[[#This Row],[OUTROS]]+Tabela1107[[#This Row],[PA]]</f>
        <v>36.74</v>
      </c>
      <c r="BU429" s="97">
        <f>+Tabela1107[[#This Row],[PIS]]+Tabela1107[[#This Row],[COFINS]]+Tabela1107[[#This Row],[CONTRIB. FOLHA]]+Tabela1107[[#This Row],[TRIBUTOS S/ LUCRO]]+Tabela1107[[#This Row],[OUTROS]]+Tabela1107[[#This Row],[AM]]</f>
        <v>36.74</v>
      </c>
      <c r="BV429" s="97">
        <f>AVERAGE(Tabela1107[[#This Row],[TOTAL SP]:[TOTAL AM]])</f>
        <v>36.677500000000002</v>
      </c>
      <c r="BW429" s="97"/>
      <c r="BX429" s="97"/>
    </row>
    <row r="430" spans="2:76" x14ac:dyDescent="0.25">
      <c r="B430" s="89">
        <v>4305</v>
      </c>
      <c r="C430" s="91" t="s">
        <v>13101</v>
      </c>
      <c r="D430" s="89"/>
      <c r="E430" s="89">
        <v>20140626</v>
      </c>
      <c r="F430" s="89" t="s">
        <v>20507</v>
      </c>
      <c r="G430" s="89" t="s">
        <v>20508</v>
      </c>
      <c r="H430" s="89" t="s">
        <v>20509</v>
      </c>
      <c r="I430" s="89" t="s">
        <v>20510</v>
      </c>
      <c r="J430" s="89" t="s">
        <v>566</v>
      </c>
      <c r="K430" s="89" t="s">
        <v>2450</v>
      </c>
      <c r="L430" s="89" t="s">
        <v>2613</v>
      </c>
      <c r="M430" s="89" t="s">
        <v>4496</v>
      </c>
      <c r="N430" s="89" t="s">
        <v>4496</v>
      </c>
      <c r="O430" s="89" t="s">
        <v>4496</v>
      </c>
      <c r="P430" s="89" t="s">
        <v>4496</v>
      </c>
      <c r="Q430" s="89"/>
      <c r="R430" s="89" t="s">
        <v>568</v>
      </c>
      <c r="S430" s="89" t="s">
        <v>21596</v>
      </c>
      <c r="T430" s="89" t="s">
        <v>21597</v>
      </c>
      <c r="U430" s="89" t="str">
        <f>TRIM('Carga Tributária doenças Po (2'!$L430)</f>
        <v>ACETATO DE MEDROXIPROGESTERONA</v>
      </c>
      <c r="V430" s="89">
        <f>SUMIFS('Tabela Federal'!$E$4:$E$2069,'Tabela Federal'!$D$4:$D$2069,'Carga Tributária doenças Po (2'!$L430)</f>
        <v>4</v>
      </c>
      <c r="W430" s="89">
        <f>SUMIFS('Tabela Federal'!$E$4:$E$2069,'Tabela Federal'!$D$4:$D$2069,'Carga Tributária doenças Po (2'!$M430)</f>
        <v>0</v>
      </c>
      <c r="X430" s="89">
        <f>SUMIFS('Tabela Federal'!$E$4:$E$2069,'Tabela Federal'!$D$4:$D$2069,'Carga Tributária doenças Po (2'!$N430)</f>
        <v>0</v>
      </c>
      <c r="Y430" s="89">
        <f>SUMIFS('Tabela Federal'!$E$4:$E$2069,'Tabela Federal'!$D$4:$D$2069,'Carga Tributária doenças Po (2'!$O430)</f>
        <v>0</v>
      </c>
      <c r="Z430" s="92" t="str">
        <f>VLOOKUP('Carga Tributária doenças Po (2'!$AD430,'Carga Tributária doenças Po (2'!$CA$12:$CC$16,2,0)</f>
        <v>+</v>
      </c>
      <c r="AA430" s="89" t="s">
        <v>567</v>
      </c>
      <c r="AB430" s="89" t="s">
        <v>21902</v>
      </c>
      <c r="AC430" s="89" t="s">
        <v>21721</v>
      </c>
      <c r="AD430" s="93" t="s">
        <v>21722</v>
      </c>
      <c r="AE430" s="92" t="s">
        <v>2</v>
      </c>
      <c r="AF430" s="92" t="s">
        <v>23</v>
      </c>
      <c r="AG430" s="94">
        <v>1257419</v>
      </c>
      <c r="AH430" s="95">
        <v>17826176</v>
      </c>
      <c r="AI430" s="95">
        <v>40686821.450000003</v>
      </c>
      <c r="AJ430" s="89" t="s">
        <v>579</v>
      </c>
      <c r="AK430" s="89">
        <f>IF('Carga Tributária doenças Po (2'!$Z430="+",0,SUMIFS(PISCOFINS!$I$3:$I$10518,PISCOFINS!$C$3:$C$10518,'Carga Tributária doenças Po (2'!$C430))</f>
        <v>0</v>
      </c>
      <c r="AL430" s="89">
        <f>IF('Carga Tributária doenças Po (2'!$Z430="+",0,SUMIFS(PISCOFINS!$H$3:$H$10518,PISCOFINS!$C$3:$C$10518,'Carga Tributária doenças Po (2'!$C430))</f>
        <v>0</v>
      </c>
      <c r="AM430" s="95">
        <v>3.27</v>
      </c>
      <c r="AN430" s="95">
        <v>3.12</v>
      </c>
      <c r="AO430" s="95">
        <v>1.35</v>
      </c>
      <c r="AP430" s="96">
        <v>18</v>
      </c>
      <c r="AQ430" s="96">
        <v>12</v>
      </c>
      <c r="AR430" s="96">
        <v>17</v>
      </c>
      <c r="AS430" s="97">
        <v>17</v>
      </c>
      <c r="AT430" s="97">
        <v>19</v>
      </c>
      <c r="AU430" s="97">
        <v>18</v>
      </c>
      <c r="AV430" s="97">
        <v>17</v>
      </c>
      <c r="AW430" s="97">
        <v>17</v>
      </c>
      <c r="AX430" s="97">
        <v>17</v>
      </c>
      <c r="AY430" s="97">
        <v>17</v>
      </c>
      <c r="AZ430" s="97">
        <v>17</v>
      </c>
      <c r="BA430" s="97">
        <v>17</v>
      </c>
      <c r="BB430" s="97">
        <v>17</v>
      </c>
      <c r="BC430" s="97">
        <v>17</v>
      </c>
      <c r="BD430" s="97">
        <v>17</v>
      </c>
      <c r="BE430" s="97">
        <v>17</v>
      </c>
      <c r="BF430" s="97">
        <f>+Tabela1107[[#This Row],[PIS]]+Tabela1107[[#This Row],[COFINS]]+Tabela1107[[#This Row],[CONTRIB. FOLHA]]+Tabela1107[[#This Row],[TRIBUTOS S/ LUCRO]]+Tabela1107[[#This Row],[OUTROS]]+Tabela1107[[#This Row],[SP]]</f>
        <v>25.740000000000002</v>
      </c>
      <c r="BG430" s="97">
        <f>+Tabela1107[[#This Row],[PIS]]+Tabela1107[[#This Row],[COFINS]]+Tabela1107[[#This Row],[CONTRIB. FOLHA]]+Tabela1107[[#This Row],[TRIBUTOS S/ LUCRO]]+Tabela1107[[#This Row],[OUTROS]]+Tabela1107[[#This Row],[PR]]</f>
        <v>19.740000000000002</v>
      </c>
      <c r="BH430" s="97">
        <f>+Tabela1107[[#This Row],[PIS]]+Tabela1107[[#This Row],[COFINS]]+Tabela1107[[#This Row],[CONTRIB. FOLHA]]+Tabela1107[[#This Row],[TRIBUTOS S/ LUCRO]]+Tabela1107[[#This Row],[OUTROS]]+Tabela1107[[#This Row],[SC]]</f>
        <v>24.740000000000002</v>
      </c>
      <c r="BI430" s="97">
        <f>+Tabela1107[[#This Row],[PIS]]+Tabela1107[[#This Row],[COFINS]]+Tabela1107[[#This Row],[CONTRIB. FOLHA]]+Tabela1107[[#This Row],[TRIBUTOS S/ LUCRO]]+Tabela1107[[#This Row],[OUTROS]]+Tabela1107[[#This Row],[RS]]</f>
        <v>24.740000000000002</v>
      </c>
      <c r="BJ430" s="97">
        <f>+Tabela1107[[#This Row],[PIS]]+Tabela1107[[#This Row],[COFINS]]+Tabela1107[[#This Row],[CONTRIB. FOLHA]]+Tabela1107[[#This Row],[TRIBUTOS S/ LUCRO]]+Tabela1107[[#This Row],[OUTROS]]+Tabela1107[[#This Row],[RJ]]</f>
        <v>26.740000000000002</v>
      </c>
      <c r="BK430" s="97">
        <f>+Tabela1107[[#This Row],[PIS]]+Tabela1107[[#This Row],[COFINS]]+Tabela1107[[#This Row],[CONTRIB. FOLHA]]+Tabela1107[[#This Row],[TRIBUTOS S/ LUCRO]]+Tabela1107[[#This Row],[OUTROS]]+Tabela1107[[#This Row],[MG]]</f>
        <v>25.740000000000002</v>
      </c>
      <c r="BL430" s="97">
        <f>+Tabela1107[[#This Row],[PIS]]+Tabela1107[[#This Row],[COFINS]]+Tabela1107[[#This Row],[CONTRIB. FOLHA]]+Tabela1107[[#This Row],[TRIBUTOS S/ LUCRO]]+Tabela1107[[#This Row],[OUTROS]]+Tabela1107[[#This Row],[ES]]</f>
        <v>24.740000000000002</v>
      </c>
      <c r="BM430" s="97">
        <f>+Tabela1107[[#This Row],[PIS]]+Tabela1107[[#This Row],[COFINS]]+Tabela1107[[#This Row],[CONTRIB. FOLHA]]+Tabela1107[[#This Row],[TRIBUTOS S/ LUCRO]]+Tabela1107[[#This Row],[OUTROS]]+Tabela1107[[#This Row],[GO]]</f>
        <v>24.740000000000002</v>
      </c>
      <c r="BN430" s="97">
        <f>+Tabela1107[[#This Row],[PIS]]+Tabela1107[[#This Row],[COFINS]]+Tabela1107[[#This Row],[CONTRIB. FOLHA]]+Tabela1107[[#This Row],[TRIBUTOS S/ LUCRO]]+Tabela1107[[#This Row],[OUTROS]]+Tabela1107[[#This Row],[MT]]</f>
        <v>24.740000000000002</v>
      </c>
      <c r="BO430" s="97">
        <f>+Tabela1107[[#This Row],[PIS]]+Tabela1107[[#This Row],[COFINS]]+Tabela1107[[#This Row],[CONTRIB. FOLHA]]+Tabela1107[[#This Row],[TRIBUTOS S/ LUCRO]]+Tabela1107[[#This Row],[OUTROS]]+Tabela1107[[#This Row],[MS]]</f>
        <v>24.740000000000002</v>
      </c>
      <c r="BP430" s="97">
        <f>+Tabela1107[[#This Row],[PIS]]+Tabela1107[[#This Row],[COFINS]]+Tabela1107[[#This Row],[CONTRIB. FOLHA]]+Tabela1107[[#This Row],[TRIBUTOS S/ LUCRO]]+Tabela1107[[#This Row],[OUTROS]]+Tabela1107[[#This Row],[DF]]</f>
        <v>24.740000000000002</v>
      </c>
      <c r="BQ430" s="97">
        <f>+Tabela1107[[#This Row],[PIS]]+Tabela1107[[#This Row],[COFINS]]+Tabela1107[[#This Row],[CONTRIB. FOLHA]]+Tabela1107[[#This Row],[TRIBUTOS S/ LUCRO]]+Tabela1107[[#This Row],[OUTROS]]+Tabela1107[[#This Row],[BA]]</f>
        <v>24.740000000000002</v>
      </c>
      <c r="BR430" s="97">
        <f>+Tabela1107[[#This Row],[PIS]]+Tabela1107[[#This Row],[COFINS]]+Tabela1107[[#This Row],[CONTRIB. FOLHA]]+Tabela1107[[#This Row],[TRIBUTOS S/ LUCRO]]+Tabela1107[[#This Row],[OUTROS]]+Tabela1107[[#This Row],[BA]]</f>
        <v>24.740000000000002</v>
      </c>
      <c r="BS430" s="97">
        <f>+Tabela1107[[#This Row],[PIS]]+Tabela1107[[#This Row],[COFINS]]+Tabela1107[[#This Row],[CONTRIB. FOLHA]]+Tabela1107[[#This Row],[TRIBUTOS S/ LUCRO]]+Tabela1107[[#This Row],[OUTROS]]+Tabela1107[[#This Row],[PE]]</f>
        <v>24.740000000000002</v>
      </c>
      <c r="BT430" s="97">
        <f>+Tabela1107[[#This Row],[PIS]]+Tabela1107[[#This Row],[COFINS]]+Tabela1107[[#This Row],[CONTRIB. FOLHA]]+Tabela1107[[#This Row],[TRIBUTOS S/ LUCRO]]+Tabela1107[[#This Row],[OUTROS]]+Tabela1107[[#This Row],[PA]]</f>
        <v>24.740000000000002</v>
      </c>
      <c r="BU430" s="97">
        <f>+Tabela1107[[#This Row],[PIS]]+Tabela1107[[#This Row],[COFINS]]+Tabela1107[[#This Row],[CONTRIB. FOLHA]]+Tabela1107[[#This Row],[TRIBUTOS S/ LUCRO]]+Tabela1107[[#This Row],[OUTROS]]+Tabela1107[[#This Row],[AM]]</f>
        <v>24.740000000000002</v>
      </c>
      <c r="BV430" s="97">
        <f>AVERAGE(Tabela1107[[#This Row],[TOTAL SP]:[TOTAL AM]])</f>
        <v>24.677500000000006</v>
      </c>
      <c r="BW430" s="97"/>
      <c r="BX430" s="97"/>
    </row>
    <row r="431" spans="2:76" x14ac:dyDescent="0.25">
      <c r="B431" s="89">
        <v>2063</v>
      </c>
      <c r="C431" s="91" t="s">
        <v>13022</v>
      </c>
      <c r="D431" s="89"/>
      <c r="E431" s="89">
        <v>20140626</v>
      </c>
      <c r="F431" s="89" t="s">
        <v>21384</v>
      </c>
      <c r="G431" s="89" t="s">
        <v>21385</v>
      </c>
      <c r="H431" s="89" t="s">
        <v>21386</v>
      </c>
      <c r="I431" s="89" t="s">
        <v>21387</v>
      </c>
      <c r="J431" s="89" t="s">
        <v>504</v>
      </c>
      <c r="K431" s="89" t="s">
        <v>2492</v>
      </c>
      <c r="L431" s="89" t="s">
        <v>2702</v>
      </c>
      <c r="M431" s="89" t="s">
        <v>4496</v>
      </c>
      <c r="N431" s="89" t="s">
        <v>4496</v>
      </c>
      <c r="O431" s="89" t="s">
        <v>4496</v>
      </c>
      <c r="P431" s="89" t="s">
        <v>4496</v>
      </c>
      <c r="Q431" s="89"/>
      <c r="R431" s="89" t="s">
        <v>144</v>
      </c>
      <c r="S431" s="89" t="s">
        <v>21694</v>
      </c>
      <c r="T431" s="89" t="s">
        <v>21695</v>
      </c>
      <c r="U431" s="89" t="str">
        <f>TRIM('Carga Tributária doenças Po (2'!$L431)</f>
        <v>TRIMETAZIDINA</v>
      </c>
      <c r="V431" s="89">
        <f>SUMIFS('Tabela Federal'!$E$4:$E$2069,'Tabela Federal'!$D$4:$D$2069,'Carga Tributária doenças Po (2'!$L431)</f>
        <v>1</v>
      </c>
      <c r="W431" s="89">
        <f>SUMIFS('Tabela Federal'!$E$4:$E$2069,'Tabela Federal'!$D$4:$D$2069,'Carga Tributária doenças Po (2'!$M431)</f>
        <v>0</v>
      </c>
      <c r="X431" s="89">
        <f>SUMIFS('Tabela Federal'!$E$4:$E$2069,'Tabela Federal'!$D$4:$D$2069,'Carga Tributária doenças Po (2'!$N431)</f>
        <v>0</v>
      </c>
      <c r="Y431" s="89">
        <f>SUMIFS('Tabela Federal'!$E$4:$E$2069,'Tabela Federal'!$D$4:$D$2069,'Carga Tributária doenças Po (2'!$O431)</f>
        <v>0</v>
      </c>
      <c r="Z431" s="92" t="str">
        <f>VLOOKUP('Carga Tributária doenças Po (2'!$AD431,'Carga Tributária doenças Po (2'!$CA$12:$CC$16,2,0)</f>
        <v>+</v>
      </c>
      <c r="AA431" s="89" t="s">
        <v>505</v>
      </c>
      <c r="AB431" s="89" t="s">
        <v>21762</v>
      </c>
      <c r="AC431" s="89" t="s">
        <v>21721</v>
      </c>
      <c r="AD431" s="93" t="s">
        <v>21722</v>
      </c>
      <c r="AE431" s="92" t="s">
        <v>4</v>
      </c>
      <c r="AF431" s="92" t="s">
        <v>23</v>
      </c>
      <c r="AG431" s="94">
        <v>499225</v>
      </c>
      <c r="AH431" s="95">
        <v>9051893</v>
      </c>
      <c r="AI431" s="95">
        <v>20664427.699999999</v>
      </c>
      <c r="AJ431" s="89" t="s">
        <v>499</v>
      </c>
      <c r="AK431" s="89">
        <f>IF('Carga Tributária doenças Po (2'!$Z431="+",0,SUMIFS(PISCOFINS!$I$3:$I$10518,PISCOFINS!$C$3:$C$10518,'Carga Tributária doenças Po (2'!$C431))</f>
        <v>0</v>
      </c>
      <c r="AL431" s="89">
        <f>IF('Carga Tributária doenças Po (2'!$Z431="+",0,SUMIFS(PISCOFINS!$H$3:$H$10518,PISCOFINS!$C$3:$C$10518,'Carga Tributária doenças Po (2'!$C431))</f>
        <v>0</v>
      </c>
      <c r="AM431" s="95">
        <v>3.27</v>
      </c>
      <c r="AN431" s="95">
        <v>3.12</v>
      </c>
      <c r="AO431" s="95">
        <v>1.35</v>
      </c>
      <c r="AP431" s="96">
        <v>18</v>
      </c>
      <c r="AQ431" s="96">
        <v>12</v>
      </c>
      <c r="AR431" s="96">
        <v>17</v>
      </c>
      <c r="AS431" s="97">
        <v>17</v>
      </c>
      <c r="AT431" s="97">
        <v>19</v>
      </c>
      <c r="AU431" s="97">
        <v>18</v>
      </c>
      <c r="AV431" s="97">
        <v>17</v>
      </c>
      <c r="AW431" s="97">
        <v>17</v>
      </c>
      <c r="AX431" s="97">
        <v>17</v>
      </c>
      <c r="AY431" s="97">
        <v>17</v>
      </c>
      <c r="AZ431" s="97">
        <v>17</v>
      </c>
      <c r="BA431" s="97">
        <v>17</v>
      </c>
      <c r="BB431" s="97">
        <v>17</v>
      </c>
      <c r="BC431" s="97">
        <v>17</v>
      </c>
      <c r="BD431" s="97">
        <v>17</v>
      </c>
      <c r="BE431" s="97">
        <v>17</v>
      </c>
      <c r="BF431" s="97">
        <f>+Tabela1107[[#This Row],[PIS]]+Tabela1107[[#This Row],[COFINS]]+Tabela1107[[#This Row],[CONTRIB. FOLHA]]+Tabela1107[[#This Row],[TRIBUTOS S/ LUCRO]]+Tabela1107[[#This Row],[OUTROS]]+Tabela1107[[#This Row],[SP]]</f>
        <v>25.740000000000002</v>
      </c>
      <c r="BG431" s="97">
        <f>+Tabela1107[[#This Row],[PIS]]+Tabela1107[[#This Row],[COFINS]]+Tabela1107[[#This Row],[CONTRIB. FOLHA]]+Tabela1107[[#This Row],[TRIBUTOS S/ LUCRO]]+Tabela1107[[#This Row],[OUTROS]]+Tabela1107[[#This Row],[PR]]</f>
        <v>19.740000000000002</v>
      </c>
      <c r="BH431" s="97">
        <f>+Tabela1107[[#This Row],[PIS]]+Tabela1107[[#This Row],[COFINS]]+Tabela1107[[#This Row],[CONTRIB. FOLHA]]+Tabela1107[[#This Row],[TRIBUTOS S/ LUCRO]]+Tabela1107[[#This Row],[OUTROS]]+Tabela1107[[#This Row],[SC]]</f>
        <v>24.740000000000002</v>
      </c>
      <c r="BI431" s="97">
        <f>+Tabela1107[[#This Row],[PIS]]+Tabela1107[[#This Row],[COFINS]]+Tabela1107[[#This Row],[CONTRIB. FOLHA]]+Tabela1107[[#This Row],[TRIBUTOS S/ LUCRO]]+Tabela1107[[#This Row],[OUTROS]]+Tabela1107[[#This Row],[RS]]</f>
        <v>24.740000000000002</v>
      </c>
      <c r="BJ431" s="97">
        <f>+Tabela1107[[#This Row],[PIS]]+Tabela1107[[#This Row],[COFINS]]+Tabela1107[[#This Row],[CONTRIB. FOLHA]]+Tabela1107[[#This Row],[TRIBUTOS S/ LUCRO]]+Tabela1107[[#This Row],[OUTROS]]+Tabela1107[[#This Row],[RJ]]</f>
        <v>26.740000000000002</v>
      </c>
      <c r="BK431" s="97">
        <f>+Tabela1107[[#This Row],[PIS]]+Tabela1107[[#This Row],[COFINS]]+Tabela1107[[#This Row],[CONTRIB. FOLHA]]+Tabela1107[[#This Row],[TRIBUTOS S/ LUCRO]]+Tabela1107[[#This Row],[OUTROS]]+Tabela1107[[#This Row],[MG]]</f>
        <v>25.740000000000002</v>
      </c>
      <c r="BL431" s="97">
        <f>+Tabela1107[[#This Row],[PIS]]+Tabela1107[[#This Row],[COFINS]]+Tabela1107[[#This Row],[CONTRIB. FOLHA]]+Tabela1107[[#This Row],[TRIBUTOS S/ LUCRO]]+Tabela1107[[#This Row],[OUTROS]]+Tabela1107[[#This Row],[ES]]</f>
        <v>24.740000000000002</v>
      </c>
      <c r="BM431" s="97">
        <f>+Tabela1107[[#This Row],[PIS]]+Tabela1107[[#This Row],[COFINS]]+Tabela1107[[#This Row],[CONTRIB. FOLHA]]+Tabela1107[[#This Row],[TRIBUTOS S/ LUCRO]]+Tabela1107[[#This Row],[OUTROS]]+Tabela1107[[#This Row],[GO]]</f>
        <v>24.740000000000002</v>
      </c>
      <c r="BN431" s="97">
        <f>+Tabela1107[[#This Row],[PIS]]+Tabela1107[[#This Row],[COFINS]]+Tabela1107[[#This Row],[CONTRIB. FOLHA]]+Tabela1107[[#This Row],[TRIBUTOS S/ LUCRO]]+Tabela1107[[#This Row],[OUTROS]]+Tabela1107[[#This Row],[MT]]</f>
        <v>24.740000000000002</v>
      </c>
      <c r="BO431" s="97">
        <f>+Tabela1107[[#This Row],[PIS]]+Tabela1107[[#This Row],[COFINS]]+Tabela1107[[#This Row],[CONTRIB. FOLHA]]+Tabela1107[[#This Row],[TRIBUTOS S/ LUCRO]]+Tabela1107[[#This Row],[OUTROS]]+Tabela1107[[#This Row],[MS]]</f>
        <v>24.740000000000002</v>
      </c>
      <c r="BP431" s="97">
        <f>+Tabela1107[[#This Row],[PIS]]+Tabela1107[[#This Row],[COFINS]]+Tabela1107[[#This Row],[CONTRIB. FOLHA]]+Tabela1107[[#This Row],[TRIBUTOS S/ LUCRO]]+Tabela1107[[#This Row],[OUTROS]]+Tabela1107[[#This Row],[DF]]</f>
        <v>24.740000000000002</v>
      </c>
      <c r="BQ431" s="97">
        <f>+Tabela1107[[#This Row],[PIS]]+Tabela1107[[#This Row],[COFINS]]+Tabela1107[[#This Row],[CONTRIB. FOLHA]]+Tabela1107[[#This Row],[TRIBUTOS S/ LUCRO]]+Tabela1107[[#This Row],[OUTROS]]+Tabela1107[[#This Row],[BA]]</f>
        <v>24.740000000000002</v>
      </c>
      <c r="BR431" s="97">
        <f>+Tabela1107[[#This Row],[PIS]]+Tabela1107[[#This Row],[COFINS]]+Tabela1107[[#This Row],[CONTRIB. FOLHA]]+Tabela1107[[#This Row],[TRIBUTOS S/ LUCRO]]+Tabela1107[[#This Row],[OUTROS]]+Tabela1107[[#This Row],[BA]]</f>
        <v>24.740000000000002</v>
      </c>
      <c r="BS431" s="97">
        <f>+Tabela1107[[#This Row],[PIS]]+Tabela1107[[#This Row],[COFINS]]+Tabela1107[[#This Row],[CONTRIB. FOLHA]]+Tabela1107[[#This Row],[TRIBUTOS S/ LUCRO]]+Tabela1107[[#This Row],[OUTROS]]+Tabela1107[[#This Row],[PE]]</f>
        <v>24.740000000000002</v>
      </c>
      <c r="BT431" s="97">
        <f>+Tabela1107[[#This Row],[PIS]]+Tabela1107[[#This Row],[COFINS]]+Tabela1107[[#This Row],[CONTRIB. FOLHA]]+Tabela1107[[#This Row],[TRIBUTOS S/ LUCRO]]+Tabela1107[[#This Row],[OUTROS]]+Tabela1107[[#This Row],[PA]]</f>
        <v>24.740000000000002</v>
      </c>
      <c r="BU431" s="97">
        <f>+Tabela1107[[#This Row],[PIS]]+Tabela1107[[#This Row],[COFINS]]+Tabela1107[[#This Row],[CONTRIB. FOLHA]]+Tabela1107[[#This Row],[TRIBUTOS S/ LUCRO]]+Tabela1107[[#This Row],[OUTROS]]+Tabela1107[[#This Row],[AM]]</f>
        <v>24.740000000000002</v>
      </c>
      <c r="BV431" s="97">
        <f>AVERAGE(Tabela1107[[#This Row],[TOTAL SP]:[TOTAL AM]])</f>
        <v>24.677500000000006</v>
      </c>
      <c r="BW431" s="97"/>
      <c r="BX431" s="97"/>
    </row>
    <row r="432" spans="2:76" x14ac:dyDescent="0.25">
      <c r="B432" s="89">
        <v>2066</v>
      </c>
      <c r="C432" s="91" t="s">
        <v>13022</v>
      </c>
      <c r="D432" s="89"/>
      <c r="E432" s="89">
        <v>20140626</v>
      </c>
      <c r="F432" s="89" t="s">
        <v>21388</v>
      </c>
      <c r="G432" s="89" t="s">
        <v>21389</v>
      </c>
      <c r="H432" s="89" t="s">
        <v>21390</v>
      </c>
      <c r="I432" s="89" t="s">
        <v>21387</v>
      </c>
      <c r="J432" s="89" t="s">
        <v>510</v>
      </c>
      <c r="K432" s="89" t="s">
        <v>2492</v>
      </c>
      <c r="L432" s="89" t="s">
        <v>2702</v>
      </c>
      <c r="M432" s="89" t="s">
        <v>4496</v>
      </c>
      <c r="N432" s="89" t="s">
        <v>4496</v>
      </c>
      <c r="O432" s="89" t="s">
        <v>4496</v>
      </c>
      <c r="P432" s="89" t="s">
        <v>4496</v>
      </c>
      <c r="Q432" s="89"/>
      <c r="R432" s="89" t="s">
        <v>144</v>
      </c>
      <c r="S432" s="89" t="s">
        <v>21694</v>
      </c>
      <c r="T432" s="89" t="s">
        <v>21695</v>
      </c>
      <c r="U432" s="89" t="str">
        <f>TRIM('Carga Tributária doenças Po (2'!$L432)</f>
        <v>TRIMETAZIDINA</v>
      </c>
      <c r="V432" s="89">
        <f>SUMIFS('Tabela Federal'!$E$4:$E$2069,'Tabela Federal'!$D$4:$D$2069,'Carga Tributária doenças Po (2'!$L432)</f>
        <v>1</v>
      </c>
      <c r="W432" s="89">
        <f>SUMIFS('Tabela Federal'!$E$4:$E$2069,'Tabela Federal'!$D$4:$D$2069,'Carga Tributária doenças Po (2'!$M432)</f>
        <v>0</v>
      </c>
      <c r="X432" s="89">
        <f>SUMIFS('Tabela Federal'!$E$4:$E$2069,'Tabela Federal'!$D$4:$D$2069,'Carga Tributária doenças Po (2'!$N432)</f>
        <v>0</v>
      </c>
      <c r="Y432" s="89">
        <f>SUMIFS('Tabela Federal'!$E$4:$E$2069,'Tabela Federal'!$D$4:$D$2069,'Carga Tributária doenças Po (2'!$O432)</f>
        <v>0</v>
      </c>
      <c r="Z432" s="92" t="str">
        <f>VLOOKUP('Carga Tributária doenças Po (2'!$AD432,'Carga Tributária doenças Po (2'!$CA$12:$CC$16,2,0)</f>
        <v>+</v>
      </c>
      <c r="AA432" s="89" t="s">
        <v>505</v>
      </c>
      <c r="AB432" s="89" t="s">
        <v>21762</v>
      </c>
      <c r="AC432" s="89" t="s">
        <v>21721</v>
      </c>
      <c r="AD432" s="93" t="s">
        <v>21722</v>
      </c>
      <c r="AE432" s="92" t="s">
        <v>4</v>
      </c>
      <c r="AF432" s="92" t="s">
        <v>23</v>
      </c>
      <c r="AG432" s="94">
        <v>291965</v>
      </c>
      <c r="AH432" s="95">
        <v>10584481</v>
      </c>
      <c r="AI432" s="95">
        <v>24171048.460000001</v>
      </c>
      <c r="AJ432" s="89" t="s">
        <v>499</v>
      </c>
      <c r="AK432" s="89">
        <f>IF('Carga Tributária doenças Po (2'!$Z432="+",0,SUMIFS(PISCOFINS!$I$3:$I$10518,PISCOFINS!$C$3:$C$10518,'Carga Tributária doenças Po (2'!$C432))</f>
        <v>0</v>
      </c>
      <c r="AL432" s="89">
        <f>IF('Carga Tributária doenças Po (2'!$Z432="+",0,SUMIFS(PISCOFINS!$H$3:$H$10518,PISCOFINS!$C$3:$C$10518,'Carga Tributária doenças Po (2'!$C432))</f>
        <v>0</v>
      </c>
      <c r="AM432" s="95">
        <v>3.27</v>
      </c>
      <c r="AN432" s="95">
        <v>3.12</v>
      </c>
      <c r="AO432" s="95">
        <v>1.35</v>
      </c>
      <c r="AP432" s="96">
        <v>18</v>
      </c>
      <c r="AQ432" s="96">
        <v>12</v>
      </c>
      <c r="AR432" s="96">
        <v>17</v>
      </c>
      <c r="AS432" s="97">
        <v>17</v>
      </c>
      <c r="AT432" s="97">
        <v>19</v>
      </c>
      <c r="AU432" s="97">
        <v>18</v>
      </c>
      <c r="AV432" s="97">
        <v>17</v>
      </c>
      <c r="AW432" s="97">
        <v>17</v>
      </c>
      <c r="AX432" s="97">
        <v>17</v>
      </c>
      <c r="AY432" s="97">
        <v>17</v>
      </c>
      <c r="AZ432" s="97">
        <v>17</v>
      </c>
      <c r="BA432" s="97">
        <v>17</v>
      </c>
      <c r="BB432" s="97">
        <v>17</v>
      </c>
      <c r="BC432" s="97">
        <v>17</v>
      </c>
      <c r="BD432" s="97">
        <v>17</v>
      </c>
      <c r="BE432" s="97">
        <v>17</v>
      </c>
      <c r="BF432" s="97">
        <f>+Tabela1107[[#This Row],[PIS]]+Tabela1107[[#This Row],[COFINS]]+Tabela1107[[#This Row],[CONTRIB. FOLHA]]+Tabela1107[[#This Row],[TRIBUTOS S/ LUCRO]]+Tabela1107[[#This Row],[OUTROS]]+Tabela1107[[#This Row],[SP]]</f>
        <v>25.740000000000002</v>
      </c>
      <c r="BG432" s="97">
        <f>+Tabela1107[[#This Row],[PIS]]+Tabela1107[[#This Row],[COFINS]]+Tabela1107[[#This Row],[CONTRIB. FOLHA]]+Tabela1107[[#This Row],[TRIBUTOS S/ LUCRO]]+Tabela1107[[#This Row],[OUTROS]]+Tabela1107[[#This Row],[PR]]</f>
        <v>19.740000000000002</v>
      </c>
      <c r="BH432" s="97">
        <f>+Tabela1107[[#This Row],[PIS]]+Tabela1107[[#This Row],[COFINS]]+Tabela1107[[#This Row],[CONTRIB. FOLHA]]+Tabela1107[[#This Row],[TRIBUTOS S/ LUCRO]]+Tabela1107[[#This Row],[OUTROS]]+Tabela1107[[#This Row],[SC]]</f>
        <v>24.740000000000002</v>
      </c>
      <c r="BI432" s="97">
        <f>+Tabela1107[[#This Row],[PIS]]+Tabela1107[[#This Row],[COFINS]]+Tabela1107[[#This Row],[CONTRIB. FOLHA]]+Tabela1107[[#This Row],[TRIBUTOS S/ LUCRO]]+Tabela1107[[#This Row],[OUTROS]]+Tabela1107[[#This Row],[RS]]</f>
        <v>24.740000000000002</v>
      </c>
      <c r="BJ432" s="97">
        <f>+Tabela1107[[#This Row],[PIS]]+Tabela1107[[#This Row],[COFINS]]+Tabela1107[[#This Row],[CONTRIB. FOLHA]]+Tabela1107[[#This Row],[TRIBUTOS S/ LUCRO]]+Tabela1107[[#This Row],[OUTROS]]+Tabela1107[[#This Row],[RJ]]</f>
        <v>26.740000000000002</v>
      </c>
      <c r="BK432" s="97">
        <f>+Tabela1107[[#This Row],[PIS]]+Tabela1107[[#This Row],[COFINS]]+Tabela1107[[#This Row],[CONTRIB. FOLHA]]+Tabela1107[[#This Row],[TRIBUTOS S/ LUCRO]]+Tabela1107[[#This Row],[OUTROS]]+Tabela1107[[#This Row],[MG]]</f>
        <v>25.740000000000002</v>
      </c>
      <c r="BL432" s="97">
        <f>+Tabela1107[[#This Row],[PIS]]+Tabela1107[[#This Row],[COFINS]]+Tabela1107[[#This Row],[CONTRIB. FOLHA]]+Tabela1107[[#This Row],[TRIBUTOS S/ LUCRO]]+Tabela1107[[#This Row],[OUTROS]]+Tabela1107[[#This Row],[ES]]</f>
        <v>24.740000000000002</v>
      </c>
      <c r="BM432" s="97">
        <f>+Tabela1107[[#This Row],[PIS]]+Tabela1107[[#This Row],[COFINS]]+Tabela1107[[#This Row],[CONTRIB. FOLHA]]+Tabela1107[[#This Row],[TRIBUTOS S/ LUCRO]]+Tabela1107[[#This Row],[OUTROS]]+Tabela1107[[#This Row],[GO]]</f>
        <v>24.740000000000002</v>
      </c>
      <c r="BN432" s="97">
        <f>+Tabela1107[[#This Row],[PIS]]+Tabela1107[[#This Row],[COFINS]]+Tabela1107[[#This Row],[CONTRIB. FOLHA]]+Tabela1107[[#This Row],[TRIBUTOS S/ LUCRO]]+Tabela1107[[#This Row],[OUTROS]]+Tabela1107[[#This Row],[MT]]</f>
        <v>24.740000000000002</v>
      </c>
      <c r="BO432" s="97">
        <f>+Tabela1107[[#This Row],[PIS]]+Tabela1107[[#This Row],[COFINS]]+Tabela1107[[#This Row],[CONTRIB. FOLHA]]+Tabela1107[[#This Row],[TRIBUTOS S/ LUCRO]]+Tabela1107[[#This Row],[OUTROS]]+Tabela1107[[#This Row],[MS]]</f>
        <v>24.740000000000002</v>
      </c>
      <c r="BP432" s="97">
        <f>+Tabela1107[[#This Row],[PIS]]+Tabela1107[[#This Row],[COFINS]]+Tabela1107[[#This Row],[CONTRIB. FOLHA]]+Tabela1107[[#This Row],[TRIBUTOS S/ LUCRO]]+Tabela1107[[#This Row],[OUTROS]]+Tabela1107[[#This Row],[DF]]</f>
        <v>24.740000000000002</v>
      </c>
      <c r="BQ432" s="97">
        <f>+Tabela1107[[#This Row],[PIS]]+Tabela1107[[#This Row],[COFINS]]+Tabela1107[[#This Row],[CONTRIB. FOLHA]]+Tabela1107[[#This Row],[TRIBUTOS S/ LUCRO]]+Tabela1107[[#This Row],[OUTROS]]+Tabela1107[[#This Row],[BA]]</f>
        <v>24.740000000000002</v>
      </c>
      <c r="BR432" s="97">
        <f>+Tabela1107[[#This Row],[PIS]]+Tabela1107[[#This Row],[COFINS]]+Tabela1107[[#This Row],[CONTRIB. FOLHA]]+Tabela1107[[#This Row],[TRIBUTOS S/ LUCRO]]+Tabela1107[[#This Row],[OUTROS]]+Tabela1107[[#This Row],[BA]]</f>
        <v>24.740000000000002</v>
      </c>
      <c r="BS432" s="97">
        <f>+Tabela1107[[#This Row],[PIS]]+Tabela1107[[#This Row],[COFINS]]+Tabela1107[[#This Row],[CONTRIB. FOLHA]]+Tabela1107[[#This Row],[TRIBUTOS S/ LUCRO]]+Tabela1107[[#This Row],[OUTROS]]+Tabela1107[[#This Row],[PE]]</f>
        <v>24.740000000000002</v>
      </c>
      <c r="BT432" s="97">
        <f>+Tabela1107[[#This Row],[PIS]]+Tabela1107[[#This Row],[COFINS]]+Tabela1107[[#This Row],[CONTRIB. FOLHA]]+Tabela1107[[#This Row],[TRIBUTOS S/ LUCRO]]+Tabela1107[[#This Row],[OUTROS]]+Tabela1107[[#This Row],[PA]]</f>
        <v>24.740000000000002</v>
      </c>
      <c r="BU432" s="97">
        <f>+Tabela1107[[#This Row],[PIS]]+Tabela1107[[#This Row],[COFINS]]+Tabela1107[[#This Row],[CONTRIB. FOLHA]]+Tabela1107[[#This Row],[TRIBUTOS S/ LUCRO]]+Tabela1107[[#This Row],[OUTROS]]+Tabela1107[[#This Row],[AM]]</f>
        <v>24.740000000000002</v>
      </c>
      <c r="BV432" s="97">
        <f>AVERAGE(Tabela1107[[#This Row],[TOTAL SP]:[TOTAL AM]])</f>
        <v>24.677500000000006</v>
      </c>
      <c r="BW432" s="97"/>
      <c r="BX432" s="97"/>
    </row>
    <row r="433" spans="2:76" x14ac:dyDescent="0.25">
      <c r="B433" s="89">
        <v>2250</v>
      </c>
      <c r="C433" s="91" t="s">
        <v>13177</v>
      </c>
      <c r="D433" s="89"/>
      <c r="E433" s="89">
        <v>20140626</v>
      </c>
      <c r="F433" s="89" t="s">
        <v>21515</v>
      </c>
      <c r="G433" s="89" t="s">
        <v>21516</v>
      </c>
      <c r="H433" s="89" t="s">
        <v>21517</v>
      </c>
      <c r="I433" s="89" t="s">
        <v>21518</v>
      </c>
      <c r="J433" s="89" t="s">
        <v>540</v>
      </c>
      <c r="K433" s="99" t="s">
        <v>2587</v>
      </c>
      <c r="L433" s="89" t="s">
        <v>3166</v>
      </c>
      <c r="M433" s="89" t="s">
        <v>4173</v>
      </c>
      <c r="N433" s="89" t="s">
        <v>4496</v>
      </c>
      <c r="O433" s="89" t="s">
        <v>4496</v>
      </c>
      <c r="P433" s="89" t="s">
        <v>4496</v>
      </c>
      <c r="Q433" s="89"/>
      <c r="R433" s="89" t="s">
        <v>64</v>
      </c>
      <c r="S433" s="89" t="s">
        <v>21698</v>
      </c>
      <c r="T433" s="89" t="s">
        <v>21699</v>
      </c>
      <c r="U433" s="89" t="str">
        <f>TRIM('Carga Tributária doenças Po (2'!$L433)</f>
        <v>DIOSMINA</v>
      </c>
      <c r="V433" s="89">
        <f>SUMIFS('Tabela Federal'!$E$4:$E$2069,'Tabela Federal'!$D$4:$D$2069,'Carga Tributária doenças Po (2'!$L433)</f>
        <v>0</v>
      </c>
      <c r="W433" s="89">
        <f>SUMIFS('Tabela Federal'!$E$4:$E$2069,'Tabela Federal'!$D$4:$D$2069,'Carga Tributária doenças Po (2'!$M433)</f>
        <v>0</v>
      </c>
      <c r="X433" s="89">
        <f>SUMIFS('Tabela Federal'!$E$4:$E$2069,'Tabela Federal'!$D$4:$D$2069,'Carga Tributária doenças Po (2'!$N433)</f>
        <v>0</v>
      </c>
      <c r="Y433" s="89">
        <f>SUMIFS('Tabela Federal'!$E$4:$E$2069,'Tabela Federal'!$D$4:$D$2069,'Carga Tributária doenças Po (2'!$O433)</f>
        <v>0</v>
      </c>
      <c r="Z433" s="92" t="str">
        <f>VLOOKUP('Carga Tributária doenças Po (2'!$AD433,'Carga Tributária doenças Po (2'!$CA$12:$CC$16,2,0)</f>
        <v>-</v>
      </c>
      <c r="AA433" s="89" t="s">
        <v>541</v>
      </c>
      <c r="AB433" s="89" t="s">
        <v>21794</v>
      </c>
      <c r="AC433" s="89" t="s">
        <v>21721</v>
      </c>
      <c r="AD433" s="93" t="s">
        <v>19523</v>
      </c>
      <c r="AE433" s="92" t="s">
        <v>4</v>
      </c>
      <c r="AF433" s="92" t="s">
        <v>3</v>
      </c>
      <c r="AG433" s="94">
        <v>1348689</v>
      </c>
      <c r="AH433" s="95">
        <v>24265230</v>
      </c>
      <c r="AI433" s="95">
        <v>55521507.789999999</v>
      </c>
      <c r="AJ433" s="89" t="s">
        <v>548</v>
      </c>
      <c r="AK433" s="89">
        <f>IF('Carga Tributária doenças Po (2'!$Z433="+",0,SUMIFS(PISCOFINS!$I$3:$I$10518,PISCOFINS!$C$3:$C$10518,'Carga Tributária doenças Po (2'!$C433))</f>
        <v>2.1</v>
      </c>
      <c r="AL433" s="89">
        <f>IF('Carga Tributária doenças Po (2'!$Z433="+",0,SUMIFS(PISCOFINS!$H$3:$H$10518,PISCOFINS!$C$3:$C$10518,'Carga Tributária doenças Po (2'!$C433))</f>
        <v>9.9</v>
      </c>
      <c r="AM433" s="95">
        <v>3.27</v>
      </c>
      <c r="AN433" s="95">
        <v>3.12</v>
      </c>
      <c r="AO433" s="95">
        <v>1.35</v>
      </c>
      <c r="AP433" s="96">
        <v>18</v>
      </c>
      <c r="AQ433" s="96">
        <v>12</v>
      </c>
      <c r="AR433" s="96">
        <v>17</v>
      </c>
      <c r="AS433" s="97">
        <v>17</v>
      </c>
      <c r="AT433" s="97">
        <v>19</v>
      </c>
      <c r="AU433" s="97">
        <v>18</v>
      </c>
      <c r="AV433" s="97">
        <v>17</v>
      </c>
      <c r="AW433" s="97">
        <v>17</v>
      </c>
      <c r="AX433" s="97">
        <v>17</v>
      </c>
      <c r="AY433" s="97">
        <v>17</v>
      </c>
      <c r="AZ433" s="97">
        <v>17</v>
      </c>
      <c r="BA433" s="97">
        <v>17</v>
      </c>
      <c r="BB433" s="97">
        <v>17</v>
      </c>
      <c r="BC433" s="97">
        <v>17</v>
      </c>
      <c r="BD433" s="97">
        <v>17</v>
      </c>
      <c r="BE433" s="97">
        <v>17</v>
      </c>
      <c r="BF433" s="97">
        <f>+Tabela1107[[#This Row],[PIS]]+Tabela1107[[#This Row],[COFINS]]+Tabela1107[[#This Row],[CONTRIB. FOLHA]]+Tabela1107[[#This Row],[TRIBUTOS S/ LUCRO]]+Tabela1107[[#This Row],[OUTROS]]+Tabela1107[[#This Row],[SP]]</f>
        <v>37.74</v>
      </c>
      <c r="BG433" s="97">
        <f>+Tabela1107[[#This Row],[PIS]]+Tabela1107[[#This Row],[COFINS]]+Tabela1107[[#This Row],[CONTRIB. FOLHA]]+Tabela1107[[#This Row],[TRIBUTOS S/ LUCRO]]+Tabela1107[[#This Row],[OUTROS]]+Tabela1107[[#This Row],[PR]]</f>
        <v>31.740000000000002</v>
      </c>
      <c r="BH433" s="97">
        <f>+Tabela1107[[#This Row],[PIS]]+Tabela1107[[#This Row],[COFINS]]+Tabela1107[[#This Row],[CONTRIB. FOLHA]]+Tabela1107[[#This Row],[TRIBUTOS S/ LUCRO]]+Tabela1107[[#This Row],[OUTROS]]+Tabela1107[[#This Row],[SC]]</f>
        <v>36.74</v>
      </c>
      <c r="BI433" s="97">
        <f>+Tabela1107[[#This Row],[PIS]]+Tabela1107[[#This Row],[COFINS]]+Tabela1107[[#This Row],[CONTRIB. FOLHA]]+Tabela1107[[#This Row],[TRIBUTOS S/ LUCRO]]+Tabela1107[[#This Row],[OUTROS]]+Tabela1107[[#This Row],[RS]]</f>
        <v>36.74</v>
      </c>
      <c r="BJ433" s="97">
        <f>+Tabela1107[[#This Row],[PIS]]+Tabela1107[[#This Row],[COFINS]]+Tabela1107[[#This Row],[CONTRIB. FOLHA]]+Tabela1107[[#This Row],[TRIBUTOS S/ LUCRO]]+Tabela1107[[#This Row],[OUTROS]]+Tabela1107[[#This Row],[RJ]]</f>
        <v>38.74</v>
      </c>
      <c r="BK433" s="97">
        <f>+Tabela1107[[#This Row],[PIS]]+Tabela1107[[#This Row],[COFINS]]+Tabela1107[[#This Row],[CONTRIB. FOLHA]]+Tabela1107[[#This Row],[TRIBUTOS S/ LUCRO]]+Tabela1107[[#This Row],[OUTROS]]+Tabela1107[[#This Row],[MG]]</f>
        <v>37.74</v>
      </c>
      <c r="BL433" s="97">
        <f>+Tabela1107[[#This Row],[PIS]]+Tabela1107[[#This Row],[COFINS]]+Tabela1107[[#This Row],[CONTRIB. FOLHA]]+Tabela1107[[#This Row],[TRIBUTOS S/ LUCRO]]+Tabela1107[[#This Row],[OUTROS]]+Tabela1107[[#This Row],[ES]]</f>
        <v>36.74</v>
      </c>
      <c r="BM433" s="97">
        <f>+Tabela1107[[#This Row],[PIS]]+Tabela1107[[#This Row],[COFINS]]+Tabela1107[[#This Row],[CONTRIB. FOLHA]]+Tabela1107[[#This Row],[TRIBUTOS S/ LUCRO]]+Tabela1107[[#This Row],[OUTROS]]+Tabela1107[[#This Row],[GO]]</f>
        <v>36.74</v>
      </c>
      <c r="BN433" s="97">
        <f>+Tabela1107[[#This Row],[PIS]]+Tabela1107[[#This Row],[COFINS]]+Tabela1107[[#This Row],[CONTRIB. FOLHA]]+Tabela1107[[#This Row],[TRIBUTOS S/ LUCRO]]+Tabela1107[[#This Row],[OUTROS]]+Tabela1107[[#This Row],[MT]]</f>
        <v>36.74</v>
      </c>
      <c r="BO433" s="97">
        <f>+Tabela1107[[#This Row],[PIS]]+Tabela1107[[#This Row],[COFINS]]+Tabela1107[[#This Row],[CONTRIB. FOLHA]]+Tabela1107[[#This Row],[TRIBUTOS S/ LUCRO]]+Tabela1107[[#This Row],[OUTROS]]+Tabela1107[[#This Row],[MS]]</f>
        <v>36.74</v>
      </c>
      <c r="BP433" s="97">
        <f>+Tabela1107[[#This Row],[PIS]]+Tabela1107[[#This Row],[COFINS]]+Tabela1107[[#This Row],[CONTRIB. FOLHA]]+Tabela1107[[#This Row],[TRIBUTOS S/ LUCRO]]+Tabela1107[[#This Row],[OUTROS]]+Tabela1107[[#This Row],[DF]]</f>
        <v>36.74</v>
      </c>
      <c r="BQ433" s="97">
        <f>+Tabela1107[[#This Row],[PIS]]+Tabela1107[[#This Row],[COFINS]]+Tabela1107[[#This Row],[CONTRIB. FOLHA]]+Tabela1107[[#This Row],[TRIBUTOS S/ LUCRO]]+Tabela1107[[#This Row],[OUTROS]]+Tabela1107[[#This Row],[BA]]</f>
        <v>36.74</v>
      </c>
      <c r="BR433" s="97">
        <f>+Tabela1107[[#This Row],[PIS]]+Tabela1107[[#This Row],[COFINS]]+Tabela1107[[#This Row],[CONTRIB. FOLHA]]+Tabela1107[[#This Row],[TRIBUTOS S/ LUCRO]]+Tabela1107[[#This Row],[OUTROS]]+Tabela1107[[#This Row],[BA]]</f>
        <v>36.74</v>
      </c>
      <c r="BS433" s="97">
        <f>+Tabela1107[[#This Row],[PIS]]+Tabela1107[[#This Row],[COFINS]]+Tabela1107[[#This Row],[CONTRIB. FOLHA]]+Tabela1107[[#This Row],[TRIBUTOS S/ LUCRO]]+Tabela1107[[#This Row],[OUTROS]]+Tabela1107[[#This Row],[PE]]</f>
        <v>36.74</v>
      </c>
      <c r="BT433" s="97">
        <f>+Tabela1107[[#This Row],[PIS]]+Tabela1107[[#This Row],[COFINS]]+Tabela1107[[#This Row],[CONTRIB. FOLHA]]+Tabela1107[[#This Row],[TRIBUTOS S/ LUCRO]]+Tabela1107[[#This Row],[OUTROS]]+Tabela1107[[#This Row],[PA]]</f>
        <v>36.74</v>
      </c>
      <c r="BU433" s="97">
        <f>+Tabela1107[[#This Row],[PIS]]+Tabela1107[[#This Row],[COFINS]]+Tabela1107[[#This Row],[CONTRIB. FOLHA]]+Tabela1107[[#This Row],[TRIBUTOS S/ LUCRO]]+Tabela1107[[#This Row],[OUTROS]]+Tabela1107[[#This Row],[AM]]</f>
        <v>36.74</v>
      </c>
      <c r="BV433" s="97">
        <f>AVERAGE(Tabela1107[[#This Row],[TOTAL SP]:[TOTAL AM]])</f>
        <v>36.677500000000002</v>
      </c>
      <c r="BW433" s="97"/>
      <c r="BX433" s="97"/>
    </row>
    <row r="434" spans="2:76" x14ac:dyDescent="0.25">
      <c r="B434" s="89">
        <v>24677</v>
      </c>
      <c r="C434" s="91" t="s">
        <v>13159</v>
      </c>
      <c r="D434" s="89"/>
      <c r="E434" s="89">
        <v>20140626</v>
      </c>
      <c r="F434" s="89" t="s">
        <v>21447</v>
      </c>
      <c r="G434" s="89" t="s">
        <v>21448</v>
      </c>
      <c r="H434" s="89" t="s">
        <v>21449</v>
      </c>
      <c r="I434" s="89" t="s">
        <v>21450</v>
      </c>
      <c r="J434" s="89" t="s">
        <v>545</v>
      </c>
      <c r="K434" s="89" t="s">
        <v>2490</v>
      </c>
      <c r="L434" s="89" t="s">
        <v>2490</v>
      </c>
      <c r="M434" s="89" t="s">
        <v>4496</v>
      </c>
      <c r="N434" s="89" t="s">
        <v>4496</v>
      </c>
      <c r="O434" s="89" t="s">
        <v>4496</v>
      </c>
      <c r="P434" s="89" t="s">
        <v>4496</v>
      </c>
      <c r="Q434" s="89"/>
      <c r="R434" s="89" t="s">
        <v>92</v>
      </c>
      <c r="S434" s="89" t="s">
        <v>21696</v>
      </c>
      <c r="T434" s="89" t="s">
        <v>21697</v>
      </c>
      <c r="U434" s="89" t="str">
        <f>TRIM('Carga Tributária doenças Po (2'!$L434)</f>
        <v>CUMARINA</v>
      </c>
      <c r="V434" s="89">
        <f>SUMIFS('Tabela Federal'!$E$4:$E$2069,'Tabela Federal'!$D$4:$D$2069,'Carga Tributária doenças Po (2'!$L434)</f>
        <v>1</v>
      </c>
      <c r="W434" s="89">
        <f>SUMIFS('Tabela Federal'!$E$4:$E$2069,'Tabela Federal'!$D$4:$D$2069,'Carga Tributária doenças Po (2'!$M434)</f>
        <v>0</v>
      </c>
      <c r="X434" s="89">
        <f>SUMIFS('Tabela Federal'!$E$4:$E$2069,'Tabela Federal'!$D$4:$D$2069,'Carga Tributária doenças Po (2'!$N434)</f>
        <v>0</v>
      </c>
      <c r="Y434" s="89">
        <f>SUMIFS('Tabela Federal'!$E$4:$E$2069,'Tabela Federal'!$D$4:$D$2069,'Carga Tributária doenças Po (2'!$O434)</f>
        <v>0</v>
      </c>
      <c r="Z434" s="92" t="str">
        <f>VLOOKUP('Carga Tributária doenças Po (2'!$AD434,'Carga Tributária doenças Po (2'!$CA$12:$CC$16,2,0)</f>
        <v>-</v>
      </c>
      <c r="AA434" s="89" t="s">
        <v>541</v>
      </c>
      <c r="AB434" s="89" t="s">
        <v>21793</v>
      </c>
      <c r="AC434" s="89" t="s">
        <v>21721</v>
      </c>
      <c r="AD434" s="93" t="s">
        <v>19523</v>
      </c>
      <c r="AE434" s="92" t="s">
        <v>4</v>
      </c>
      <c r="AF434" s="92" t="s">
        <v>23</v>
      </c>
      <c r="AG434" s="94">
        <v>885377</v>
      </c>
      <c r="AH434" s="95">
        <v>11517433</v>
      </c>
      <c r="AI434" s="95">
        <v>26344823.579999998</v>
      </c>
      <c r="AJ434" s="89" t="s">
        <v>548</v>
      </c>
      <c r="AK434" s="89">
        <f>IF('Carga Tributária doenças Po (2'!$Z434="+",0,SUMIFS(PISCOFINS!$I$3:$I$10518,PISCOFINS!$C$3:$C$10518,'Carga Tributária doenças Po (2'!$C434))</f>
        <v>2.1</v>
      </c>
      <c r="AL434" s="89">
        <f>IF('Carga Tributária doenças Po (2'!$Z434="+",0,SUMIFS(PISCOFINS!$H$3:$H$10518,PISCOFINS!$C$3:$C$10518,'Carga Tributária doenças Po (2'!$C434))</f>
        <v>9.9</v>
      </c>
      <c r="AM434" s="95">
        <v>3.27</v>
      </c>
      <c r="AN434" s="95">
        <v>3.12</v>
      </c>
      <c r="AO434" s="95">
        <v>1.35</v>
      </c>
      <c r="AP434" s="96">
        <v>18</v>
      </c>
      <c r="AQ434" s="96">
        <v>12</v>
      </c>
      <c r="AR434" s="96">
        <v>17</v>
      </c>
      <c r="AS434" s="97">
        <v>17</v>
      </c>
      <c r="AT434" s="97">
        <v>19</v>
      </c>
      <c r="AU434" s="97">
        <v>18</v>
      </c>
      <c r="AV434" s="97">
        <v>17</v>
      </c>
      <c r="AW434" s="97">
        <v>17</v>
      </c>
      <c r="AX434" s="97">
        <v>17</v>
      </c>
      <c r="AY434" s="97">
        <v>17</v>
      </c>
      <c r="AZ434" s="97">
        <v>17</v>
      </c>
      <c r="BA434" s="97">
        <v>17</v>
      </c>
      <c r="BB434" s="97">
        <v>17</v>
      </c>
      <c r="BC434" s="97">
        <v>17</v>
      </c>
      <c r="BD434" s="97">
        <v>17</v>
      </c>
      <c r="BE434" s="97">
        <v>17</v>
      </c>
      <c r="BF434" s="97">
        <f>+Tabela1107[[#This Row],[PIS]]+Tabela1107[[#This Row],[COFINS]]+Tabela1107[[#This Row],[CONTRIB. FOLHA]]+Tabela1107[[#This Row],[TRIBUTOS S/ LUCRO]]+Tabela1107[[#This Row],[OUTROS]]+Tabela1107[[#This Row],[SP]]</f>
        <v>37.74</v>
      </c>
      <c r="BG434" s="97">
        <f>+Tabela1107[[#This Row],[PIS]]+Tabela1107[[#This Row],[COFINS]]+Tabela1107[[#This Row],[CONTRIB. FOLHA]]+Tabela1107[[#This Row],[TRIBUTOS S/ LUCRO]]+Tabela1107[[#This Row],[OUTROS]]+Tabela1107[[#This Row],[PR]]</f>
        <v>31.740000000000002</v>
      </c>
      <c r="BH434" s="97">
        <f>+Tabela1107[[#This Row],[PIS]]+Tabela1107[[#This Row],[COFINS]]+Tabela1107[[#This Row],[CONTRIB. FOLHA]]+Tabela1107[[#This Row],[TRIBUTOS S/ LUCRO]]+Tabela1107[[#This Row],[OUTROS]]+Tabela1107[[#This Row],[SC]]</f>
        <v>36.74</v>
      </c>
      <c r="BI434" s="97">
        <f>+Tabela1107[[#This Row],[PIS]]+Tabela1107[[#This Row],[COFINS]]+Tabela1107[[#This Row],[CONTRIB. FOLHA]]+Tabela1107[[#This Row],[TRIBUTOS S/ LUCRO]]+Tabela1107[[#This Row],[OUTROS]]+Tabela1107[[#This Row],[RS]]</f>
        <v>36.74</v>
      </c>
      <c r="BJ434" s="97">
        <f>+Tabela1107[[#This Row],[PIS]]+Tabela1107[[#This Row],[COFINS]]+Tabela1107[[#This Row],[CONTRIB. FOLHA]]+Tabela1107[[#This Row],[TRIBUTOS S/ LUCRO]]+Tabela1107[[#This Row],[OUTROS]]+Tabela1107[[#This Row],[RJ]]</f>
        <v>38.74</v>
      </c>
      <c r="BK434" s="97">
        <f>+Tabela1107[[#This Row],[PIS]]+Tabela1107[[#This Row],[COFINS]]+Tabela1107[[#This Row],[CONTRIB. FOLHA]]+Tabela1107[[#This Row],[TRIBUTOS S/ LUCRO]]+Tabela1107[[#This Row],[OUTROS]]+Tabela1107[[#This Row],[MG]]</f>
        <v>37.74</v>
      </c>
      <c r="BL434" s="97">
        <f>+Tabela1107[[#This Row],[PIS]]+Tabela1107[[#This Row],[COFINS]]+Tabela1107[[#This Row],[CONTRIB. FOLHA]]+Tabela1107[[#This Row],[TRIBUTOS S/ LUCRO]]+Tabela1107[[#This Row],[OUTROS]]+Tabela1107[[#This Row],[ES]]</f>
        <v>36.74</v>
      </c>
      <c r="BM434" s="97">
        <f>+Tabela1107[[#This Row],[PIS]]+Tabela1107[[#This Row],[COFINS]]+Tabela1107[[#This Row],[CONTRIB. FOLHA]]+Tabela1107[[#This Row],[TRIBUTOS S/ LUCRO]]+Tabela1107[[#This Row],[OUTROS]]+Tabela1107[[#This Row],[GO]]</f>
        <v>36.74</v>
      </c>
      <c r="BN434" s="97">
        <f>+Tabela1107[[#This Row],[PIS]]+Tabela1107[[#This Row],[COFINS]]+Tabela1107[[#This Row],[CONTRIB. FOLHA]]+Tabela1107[[#This Row],[TRIBUTOS S/ LUCRO]]+Tabela1107[[#This Row],[OUTROS]]+Tabela1107[[#This Row],[MT]]</f>
        <v>36.74</v>
      </c>
      <c r="BO434" s="97">
        <f>+Tabela1107[[#This Row],[PIS]]+Tabela1107[[#This Row],[COFINS]]+Tabela1107[[#This Row],[CONTRIB. FOLHA]]+Tabela1107[[#This Row],[TRIBUTOS S/ LUCRO]]+Tabela1107[[#This Row],[OUTROS]]+Tabela1107[[#This Row],[MS]]</f>
        <v>36.74</v>
      </c>
      <c r="BP434" s="97">
        <f>+Tabela1107[[#This Row],[PIS]]+Tabela1107[[#This Row],[COFINS]]+Tabela1107[[#This Row],[CONTRIB. FOLHA]]+Tabela1107[[#This Row],[TRIBUTOS S/ LUCRO]]+Tabela1107[[#This Row],[OUTROS]]+Tabela1107[[#This Row],[DF]]</f>
        <v>36.74</v>
      </c>
      <c r="BQ434" s="97">
        <f>+Tabela1107[[#This Row],[PIS]]+Tabela1107[[#This Row],[COFINS]]+Tabela1107[[#This Row],[CONTRIB. FOLHA]]+Tabela1107[[#This Row],[TRIBUTOS S/ LUCRO]]+Tabela1107[[#This Row],[OUTROS]]+Tabela1107[[#This Row],[BA]]</f>
        <v>36.74</v>
      </c>
      <c r="BR434" s="97">
        <f>+Tabela1107[[#This Row],[PIS]]+Tabela1107[[#This Row],[COFINS]]+Tabela1107[[#This Row],[CONTRIB. FOLHA]]+Tabela1107[[#This Row],[TRIBUTOS S/ LUCRO]]+Tabela1107[[#This Row],[OUTROS]]+Tabela1107[[#This Row],[BA]]</f>
        <v>36.74</v>
      </c>
      <c r="BS434" s="97">
        <f>+Tabela1107[[#This Row],[PIS]]+Tabela1107[[#This Row],[COFINS]]+Tabela1107[[#This Row],[CONTRIB. FOLHA]]+Tabela1107[[#This Row],[TRIBUTOS S/ LUCRO]]+Tabela1107[[#This Row],[OUTROS]]+Tabela1107[[#This Row],[PE]]</f>
        <v>36.74</v>
      </c>
      <c r="BT434" s="97">
        <f>+Tabela1107[[#This Row],[PIS]]+Tabela1107[[#This Row],[COFINS]]+Tabela1107[[#This Row],[CONTRIB. FOLHA]]+Tabela1107[[#This Row],[TRIBUTOS S/ LUCRO]]+Tabela1107[[#This Row],[OUTROS]]+Tabela1107[[#This Row],[PA]]</f>
        <v>36.74</v>
      </c>
      <c r="BU434" s="97">
        <f>+Tabela1107[[#This Row],[PIS]]+Tabela1107[[#This Row],[COFINS]]+Tabela1107[[#This Row],[CONTRIB. FOLHA]]+Tabela1107[[#This Row],[TRIBUTOS S/ LUCRO]]+Tabela1107[[#This Row],[OUTROS]]+Tabela1107[[#This Row],[AM]]</f>
        <v>36.74</v>
      </c>
      <c r="BV434" s="97">
        <f>AVERAGE(Tabela1107[[#This Row],[TOTAL SP]:[TOTAL AM]])</f>
        <v>36.677500000000002</v>
      </c>
      <c r="BW434" s="97"/>
      <c r="BX434" s="97"/>
    </row>
    <row r="435" spans="2:76" x14ac:dyDescent="0.25">
      <c r="B435" s="89">
        <v>1980</v>
      </c>
      <c r="C435" s="91" t="s">
        <v>13183</v>
      </c>
      <c r="D435" s="89"/>
      <c r="E435" s="89">
        <v>20140626</v>
      </c>
      <c r="F435" s="89" t="s">
        <v>21190</v>
      </c>
      <c r="G435" s="98" t="s">
        <v>21984</v>
      </c>
      <c r="H435" s="98" t="s">
        <v>21985</v>
      </c>
      <c r="I435" s="89" t="s">
        <v>21191</v>
      </c>
      <c r="J435" s="89" t="s">
        <v>364</v>
      </c>
      <c r="K435" s="99" t="s">
        <v>2489</v>
      </c>
      <c r="L435" s="89" t="s">
        <v>2489</v>
      </c>
      <c r="M435" s="89" t="s">
        <v>4496</v>
      </c>
      <c r="N435" s="89" t="s">
        <v>4496</v>
      </c>
      <c r="O435" s="89" t="s">
        <v>4496</v>
      </c>
      <c r="P435" s="89" t="s">
        <v>4496</v>
      </c>
      <c r="Q435" s="89"/>
      <c r="R435" s="89" t="s">
        <v>34</v>
      </c>
      <c r="S435" s="89" t="s">
        <v>21670</v>
      </c>
      <c r="T435" s="89" t="s">
        <v>21671</v>
      </c>
      <c r="U435" s="89" t="str">
        <f>TRIM('Carga Tributária doenças Po (2'!$L435)</f>
        <v>dicloridrato de flunarizina</v>
      </c>
      <c r="V435" s="89">
        <f>SUMIFS('Tabela Federal'!$E$4:$E$2069,'Tabela Federal'!$D$4:$D$2069,'Carga Tributária doenças Po (2'!$L435)</f>
        <v>2</v>
      </c>
      <c r="W435" s="89">
        <f>SUMIFS('Tabela Federal'!$E$4:$E$2069,'Tabela Federal'!$D$4:$D$2069,'Carga Tributária doenças Po (2'!$M435)</f>
        <v>0</v>
      </c>
      <c r="X435" s="89">
        <f>SUMIFS('Tabela Federal'!$E$4:$E$2069,'Tabela Federal'!$D$4:$D$2069,'Carga Tributária doenças Po (2'!$N435)</f>
        <v>0</v>
      </c>
      <c r="Y435" s="89">
        <f>SUMIFS('Tabela Federal'!$E$4:$E$2069,'Tabela Federal'!$D$4:$D$2069,'Carga Tributária doenças Po (2'!$O435)</f>
        <v>0</v>
      </c>
      <c r="Z435" s="92" t="str">
        <f>VLOOKUP('Carga Tributária doenças Po (2'!$AD435,'Carga Tributária doenças Po (2'!$CA$12:$CC$16,2,0)</f>
        <v>-</v>
      </c>
      <c r="AA435" s="89" t="s">
        <v>363</v>
      </c>
      <c r="AB435" s="89"/>
      <c r="AC435" s="89" t="s">
        <v>21721</v>
      </c>
      <c r="AD435" s="93" t="s">
        <v>19523</v>
      </c>
      <c r="AE435" s="92" t="s">
        <v>2</v>
      </c>
      <c r="AF435" s="92" t="s">
        <v>3</v>
      </c>
      <c r="AG435" s="94">
        <v>1564643</v>
      </c>
      <c r="AH435" s="95">
        <v>4471164</v>
      </c>
      <c r="AI435" s="95">
        <v>10221047.48</v>
      </c>
      <c r="AJ435" s="89" t="s">
        <v>372</v>
      </c>
      <c r="AK435" s="89">
        <f>IF('Carga Tributária doenças Po (2'!$Z435="+",0,SUMIFS(PISCOFINS!$I$3:$I$10518,PISCOFINS!$C$3:$C$10518,'Carga Tributária doenças Po (2'!$C435))</f>
        <v>2.1</v>
      </c>
      <c r="AL435" s="89">
        <f>IF('Carga Tributária doenças Po (2'!$Z435="+",0,SUMIFS(PISCOFINS!$H$3:$H$10518,PISCOFINS!$C$3:$C$10518,'Carga Tributária doenças Po (2'!$C435))</f>
        <v>9.9</v>
      </c>
      <c r="AM435" s="95">
        <v>3.27</v>
      </c>
      <c r="AN435" s="95">
        <v>3.12</v>
      </c>
      <c r="AO435" s="95">
        <v>1.35</v>
      </c>
      <c r="AP435" s="96">
        <v>18</v>
      </c>
      <c r="AQ435" s="96">
        <v>12</v>
      </c>
      <c r="AR435" s="96">
        <v>17</v>
      </c>
      <c r="AS435" s="97">
        <v>17</v>
      </c>
      <c r="AT435" s="97">
        <v>19</v>
      </c>
      <c r="AU435" s="97">
        <v>18</v>
      </c>
      <c r="AV435" s="97">
        <v>17</v>
      </c>
      <c r="AW435" s="97">
        <v>17</v>
      </c>
      <c r="AX435" s="97">
        <v>17</v>
      </c>
      <c r="AY435" s="97">
        <v>17</v>
      </c>
      <c r="AZ435" s="97">
        <v>17</v>
      </c>
      <c r="BA435" s="97">
        <v>17</v>
      </c>
      <c r="BB435" s="97">
        <v>17</v>
      </c>
      <c r="BC435" s="97">
        <v>17</v>
      </c>
      <c r="BD435" s="97">
        <v>17</v>
      </c>
      <c r="BE435" s="97">
        <v>17</v>
      </c>
      <c r="BF435" s="97">
        <f>+Tabela1107[[#This Row],[PIS]]+Tabela1107[[#This Row],[COFINS]]+Tabela1107[[#This Row],[CONTRIB. FOLHA]]+Tabela1107[[#This Row],[TRIBUTOS S/ LUCRO]]+Tabela1107[[#This Row],[OUTROS]]+Tabela1107[[#This Row],[SP]]</f>
        <v>37.74</v>
      </c>
      <c r="BG435" s="97">
        <f>+Tabela1107[[#This Row],[PIS]]+Tabela1107[[#This Row],[COFINS]]+Tabela1107[[#This Row],[CONTRIB. FOLHA]]+Tabela1107[[#This Row],[TRIBUTOS S/ LUCRO]]+Tabela1107[[#This Row],[OUTROS]]+Tabela1107[[#This Row],[PR]]</f>
        <v>31.740000000000002</v>
      </c>
      <c r="BH435" s="97">
        <f>+Tabela1107[[#This Row],[PIS]]+Tabela1107[[#This Row],[COFINS]]+Tabela1107[[#This Row],[CONTRIB. FOLHA]]+Tabela1107[[#This Row],[TRIBUTOS S/ LUCRO]]+Tabela1107[[#This Row],[OUTROS]]+Tabela1107[[#This Row],[SC]]</f>
        <v>36.74</v>
      </c>
      <c r="BI435" s="97">
        <f>+Tabela1107[[#This Row],[PIS]]+Tabela1107[[#This Row],[COFINS]]+Tabela1107[[#This Row],[CONTRIB. FOLHA]]+Tabela1107[[#This Row],[TRIBUTOS S/ LUCRO]]+Tabela1107[[#This Row],[OUTROS]]+Tabela1107[[#This Row],[RS]]</f>
        <v>36.74</v>
      </c>
      <c r="BJ435" s="97">
        <f>+Tabela1107[[#This Row],[PIS]]+Tabela1107[[#This Row],[COFINS]]+Tabela1107[[#This Row],[CONTRIB. FOLHA]]+Tabela1107[[#This Row],[TRIBUTOS S/ LUCRO]]+Tabela1107[[#This Row],[OUTROS]]+Tabela1107[[#This Row],[RJ]]</f>
        <v>38.74</v>
      </c>
      <c r="BK435" s="97">
        <f>+Tabela1107[[#This Row],[PIS]]+Tabela1107[[#This Row],[COFINS]]+Tabela1107[[#This Row],[CONTRIB. FOLHA]]+Tabela1107[[#This Row],[TRIBUTOS S/ LUCRO]]+Tabela1107[[#This Row],[OUTROS]]+Tabela1107[[#This Row],[MG]]</f>
        <v>37.74</v>
      </c>
      <c r="BL435" s="97">
        <f>+Tabela1107[[#This Row],[PIS]]+Tabela1107[[#This Row],[COFINS]]+Tabela1107[[#This Row],[CONTRIB. FOLHA]]+Tabela1107[[#This Row],[TRIBUTOS S/ LUCRO]]+Tabela1107[[#This Row],[OUTROS]]+Tabela1107[[#This Row],[ES]]</f>
        <v>36.74</v>
      </c>
      <c r="BM435" s="97">
        <f>+Tabela1107[[#This Row],[PIS]]+Tabela1107[[#This Row],[COFINS]]+Tabela1107[[#This Row],[CONTRIB. FOLHA]]+Tabela1107[[#This Row],[TRIBUTOS S/ LUCRO]]+Tabela1107[[#This Row],[OUTROS]]+Tabela1107[[#This Row],[GO]]</f>
        <v>36.74</v>
      </c>
      <c r="BN435" s="97">
        <f>+Tabela1107[[#This Row],[PIS]]+Tabela1107[[#This Row],[COFINS]]+Tabela1107[[#This Row],[CONTRIB. FOLHA]]+Tabela1107[[#This Row],[TRIBUTOS S/ LUCRO]]+Tabela1107[[#This Row],[OUTROS]]+Tabela1107[[#This Row],[MT]]</f>
        <v>36.74</v>
      </c>
      <c r="BO435" s="97">
        <f>+Tabela1107[[#This Row],[PIS]]+Tabela1107[[#This Row],[COFINS]]+Tabela1107[[#This Row],[CONTRIB. FOLHA]]+Tabela1107[[#This Row],[TRIBUTOS S/ LUCRO]]+Tabela1107[[#This Row],[OUTROS]]+Tabela1107[[#This Row],[MS]]</f>
        <v>36.74</v>
      </c>
      <c r="BP435" s="97">
        <f>+Tabela1107[[#This Row],[PIS]]+Tabela1107[[#This Row],[COFINS]]+Tabela1107[[#This Row],[CONTRIB. FOLHA]]+Tabela1107[[#This Row],[TRIBUTOS S/ LUCRO]]+Tabela1107[[#This Row],[OUTROS]]+Tabela1107[[#This Row],[DF]]</f>
        <v>36.74</v>
      </c>
      <c r="BQ435" s="97">
        <f>+Tabela1107[[#This Row],[PIS]]+Tabela1107[[#This Row],[COFINS]]+Tabela1107[[#This Row],[CONTRIB. FOLHA]]+Tabela1107[[#This Row],[TRIBUTOS S/ LUCRO]]+Tabela1107[[#This Row],[OUTROS]]+Tabela1107[[#This Row],[BA]]</f>
        <v>36.74</v>
      </c>
      <c r="BR435" s="97">
        <f>+Tabela1107[[#This Row],[PIS]]+Tabela1107[[#This Row],[COFINS]]+Tabela1107[[#This Row],[CONTRIB. FOLHA]]+Tabela1107[[#This Row],[TRIBUTOS S/ LUCRO]]+Tabela1107[[#This Row],[OUTROS]]+Tabela1107[[#This Row],[BA]]</f>
        <v>36.74</v>
      </c>
      <c r="BS435" s="97">
        <f>+Tabela1107[[#This Row],[PIS]]+Tabela1107[[#This Row],[COFINS]]+Tabela1107[[#This Row],[CONTRIB. FOLHA]]+Tabela1107[[#This Row],[TRIBUTOS S/ LUCRO]]+Tabela1107[[#This Row],[OUTROS]]+Tabela1107[[#This Row],[PE]]</f>
        <v>36.74</v>
      </c>
      <c r="BT435" s="97">
        <f>+Tabela1107[[#This Row],[PIS]]+Tabela1107[[#This Row],[COFINS]]+Tabela1107[[#This Row],[CONTRIB. FOLHA]]+Tabela1107[[#This Row],[TRIBUTOS S/ LUCRO]]+Tabela1107[[#This Row],[OUTROS]]+Tabela1107[[#This Row],[PA]]</f>
        <v>36.74</v>
      </c>
      <c r="BU435" s="97">
        <f>+Tabela1107[[#This Row],[PIS]]+Tabela1107[[#This Row],[COFINS]]+Tabela1107[[#This Row],[CONTRIB. FOLHA]]+Tabela1107[[#This Row],[TRIBUTOS S/ LUCRO]]+Tabela1107[[#This Row],[OUTROS]]+Tabela1107[[#This Row],[AM]]</f>
        <v>36.74</v>
      </c>
      <c r="BV435" s="97">
        <f>AVERAGE(Tabela1107[[#This Row],[TOTAL SP]:[TOTAL AM]])</f>
        <v>36.677500000000002</v>
      </c>
      <c r="BW435" s="97"/>
      <c r="BX435" s="97"/>
    </row>
    <row r="436" spans="2:76" x14ac:dyDescent="0.25">
      <c r="B436" s="89">
        <v>1986</v>
      </c>
      <c r="C436" s="91" t="s">
        <v>13161</v>
      </c>
      <c r="D436" s="89"/>
      <c r="E436" s="89">
        <v>20140626</v>
      </c>
      <c r="F436" s="89" t="s">
        <v>20349</v>
      </c>
      <c r="G436" s="89" t="s">
        <v>20350</v>
      </c>
      <c r="H436" s="89" t="s">
        <v>20351</v>
      </c>
      <c r="I436" s="89" t="s">
        <v>20352</v>
      </c>
      <c r="J436" s="89" t="s">
        <v>369</v>
      </c>
      <c r="K436" s="89" t="s">
        <v>2489</v>
      </c>
      <c r="L436" s="89" t="s">
        <v>2661</v>
      </c>
      <c r="M436" s="89" t="s">
        <v>4496</v>
      </c>
      <c r="N436" s="89" t="s">
        <v>4496</v>
      </c>
      <c r="O436" s="89" t="s">
        <v>4496</v>
      </c>
      <c r="P436" s="89" t="s">
        <v>4496</v>
      </c>
      <c r="Q436" s="89"/>
      <c r="R436" s="89" t="s">
        <v>1</v>
      </c>
      <c r="S436" s="89" t="s">
        <v>21568</v>
      </c>
      <c r="T436" s="89" t="s">
        <v>21569</v>
      </c>
      <c r="U436" s="89" t="str">
        <f>TRIM('Carga Tributária doenças Po (2'!$L436)</f>
        <v>DICLORIDRATO DE FLUNARIZINA</v>
      </c>
      <c r="V436" s="89">
        <f>SUMIFS('Tabela Federal'!$E$4:$E$2069,'Tabela Federal'!$D$4:$D$2069,'Carga Tributária doenças Po (2'!$L436)</f>
        <v>2</v>
      </c>
      <c r="W436" s="89">
        <f>SUMIFS('Tabela Federal'!$E$4:$E$2069,'Tabela Federal'!$D$4:$D$2069,'Carga Tributária doenças Po (2'!$M436)</f>
        <v>0</v>
      </c>
      <c r="X436" s="89">
        <f>SUMIFS('Tabela Federal'!$E$4:$E$2069,'Tabela Federal'!$D$4:$D$2069,'Carga Tributária doenças Po (2'!$N436)</f>
        <v>0</v>
      </c>
      <c r="Y436" s="89">
        <f>SUMIFS('Tabela Federal'!$E$4:$E$2069,'Tabela Federal'!$D$4:$D$2069,'Carga Tributária doenças Po (2'!$O436)</f>
        <v>0</v>
      </c>
      <c r="Z436" s="92" t="str">
        <f>VLOOKUP('Carga Tributária doenças Po (2'!$AD436,'Carga Tributária doenças Po (2'!$CA$12:$CC$16,2,0)</f>
        <v>+</v>
      </c>
      <c r="AA436" s="89" t="s">
        <v>368</v>
      </c>
      <c r="AB436" s="89" t="s">
        <v>21860</v>
      </c>
      <c r="AC436" s="89" t="s">
        <v>21721</v>
      </c>
      <c r="AD436" s="93" t="s">
        <v>21722</v>
      </c>
      <c r="AE436" s="92" t="s">
        <v>2</v>
      </c>
      <c r="AF436" s="92" t="s">
        <v>3</v>
      </c>
      <c r="AG436" s="94">
        <v>1305558</v>
      </c>
      <c r="AH436" s="95">
        <v>10146700</v>
      </c>
      <c r="AI436" s="95">
        <v>23157128.890000001</v>
      </c>
      <c r="AJ436" s="89" t="s">
        <v>372</v>
      </c>
      <c r="AK436" s="89">
        <f>IF('Carga Tributária doenças Po (2'!$Z436="+",0,SUMIFS(PISCOFINS!$I$3:$I$10518,PISCOFINS!$C$3:$C$10518,'Carga Tributária doenças Po (2'!$C436))</f>
        <v>0</v>
      </c>
      <c r="AL436" s="89">
        <f>IF('Carga Tributária doenças Po (2'!$Z436="+",0,SUMIFS(PISCOFINS!$H$3:$H$10518,PISCOFINS!$C$3:$C$10518,'Carga Tributária doenças Po (2'!$C436))</f>
        <v>0</v>
      </c>
      <c r="AM436" s="95">
        <v>3.27</v>
      </c>
      <c r="AN436" s="95">
        <v>3.12</v>
      </c>
      <c r="AO436" s="95">
        <v>1.35</v>
      </c>
      <c r="AP436" s="96">
        <v>18</v>
      </c>
      <c r="AQ436" s="96">
        <v>12</v>
      </c>
      <c r="AR436" s="96">
        <v>17</v>
      </c>
      <c r="AS436" s="97">
        <v>17</v>
      </c>
      <c r="AT436" s="97">
        <v>19</v>
      </c>
      <c r="AU436" s="97">
        <v>18</v>
      </c>
      <c r="AV436" s="97">
        <v>17</v>
      </c>
      <c r="AW436" s="97">
        <v>17</v>
      </c>
      <c r="AX436" s="97">
        <v>17</v>
      </c>
      <c r="AY436" s="97">
        <v>17</v>
      </c>
      <c r="AZ436" s="97">
        <v>17</v>
      </c>
      <c r="BA436" s="97">
        <v>17</v>
      </c>
      <c r="BB436" s="97">
        <v>17</v>
      </c>
      <c r="BC436" s="97">
        <v>17</v>
      </c>
      <c r="BD436" s="97">
        <v>17</v>
      </c>
      <c r="BE436" s="97">
        <v>17</v>
      </c>
      <c r="BF436" s="97">
        <f>+Tabela1107[[#This Row],[PIS]]+Tabela1107[[#This Row],[COFINS]]+Tabela1107[[#This Row],[CONTRIB. FOLHA]]+Tabela1107[[#This Row],[TRIBUTOS S/ LUCRO]]+Tabela1107[[#This Row],[OUTROS]]+Tabela1107[[#This Row],[SP]]</f>
        <v>25.740000000000002</v>
      </c>
      <c r="BG436" s="97">
        <f>+Tabela1107[[#This Row],[PIS]]+Tabela1107[[#This Row],[COFINS]]+Tabela1107[[#This Row],[CONTRIB. FOLHA]]+Tabela1107[[#This Row],[TRIBUTOS S/ LUCRO]]+Tabela1107[[#This Row],[OUTROS]]+Tabela1107[[#This Row],[PR]]</f>
        <v>19.740000000000002</v>
      </c>
      <c r="BH436" s="97">
        <f>+Tabela1107[[#This Row],[PIS]]+Tabela1107[[#This Row],[COFINS]]+Tabela1107[[#This Row],[CONTRIB. FOLHA]]+Tabela1107[[#This Row],[TRIBUTOS S/ LUCRO]]+Tabela1107[[#This Row],[OUTROS]]+Tabela1107[[#This Row],[SC]]</f>
        <v>24.740000000000002</v>
      </c>
      <c r="BI436" s="97">
        <f>+Tabela1107[[#This Row],[PIS]]+Tabela1107[[#This Row],[COFINS]]+Tabela1107[[#This Row],[CONTRIB. FOLHA]]+Tabela1107[[#This Row],[TRIBUTOS S/ LUCRO]]+Tabela1107[[#This Row],[OUTROS]]+Tabela1107[[#This Row],[RS]]</f>
        <v>24.740000000000002</v>
      </c>
      <c r="BJ436" s="97">
        <f>+Tabela1107[[#This Row],[PIS]]+Tabela1107[[#This Row],[COFINS]]+Tabela1107[[#This Row],[CONTRIB. FOLHA]]+Tabela1107[[#This Row],[TRIBUTOS S/ LUCRO]]+Tabela1107[[#This Row],[OUTROS]]+Tabela1107[[#This Row],[RJ]]</f>
        <v>26.740000000000002</v>
      </c>
      <c r="BK436" s="97">
        <f>+Tabela1107[[#This Row],[PIS]]+Tabela1107[[#This Row],[COFINS]]+Tabela1107[[#This Row],[CONTRIB. FOLHA]]+Tabela1107[[#This Row],[TRIBUTOS S/ LUCRO]]+Tabela1107[[#This Row],[OUTROS]]+Tabela1107[[#This Row],[MG]]</f>
        <v>25.740000000000002</v>
      </c>
      <c r="BL436" s="97">
        <f>+Tabela1107[[#This Row],[PIS]]+Tabela1107[[#This Row],[COFINS]]+Tabela1107[[#This Row],[CONTRIB. FOLHA]]+Tabela1107[[#This Row],[TRIBUTOS S/ LUCRO]]+Tabela1107[[#This Row],[OUTROS]]+Tabela1107[[#This Row],[ES]]</f>
        <v>24.740000000000002</v>
      </c>
      <c r="BM436" s="97">
        <f>+Tabela1107[[#This Row],[PIS]]+Tabela1107[[#This Row],[COFINS]]+Tabela1107[[#This Row],[CONTRIB. FOLHA]]+Tabela1107[[#This Row],[TRIBUTOS S/ LUCRO]]+Tabela1107[[#This Row],[OUTROS]]+Tabela1107[[#This Row],[GO]]</f>
        <v>24.740000000000002</v>
      </c>
      <c r="BN436" s="97">
        <f>+Tabela1107[[#This Row],[PIS]]+Tabela1107[[#This Row],[COFINS]]+Tabela1107[[#This Row],[CONTRIB. FOLHA]]+Tabela1107[[#This Row],[TRIBUTOS S/ LUCRO]]+Tabela1107[[#This Row],[OUTROS]]+Tabela1107[[#This Row],[MT]]</f>
        <v>24.740000000000002</v>
      </c>
      <c r="BO436" s="97">
        <f>+Tabela1107[[#This Row],[PIS]]+Tabela1107[[#This Row],[COFINS]]+Tabela1107[[#This Row],[CONTRIB. FOLHA]]+Tabela1107[[#This Row],[TRIBUTOS S/ LUCRO]]+Tabela1107[[#This Row],[OUTROS]]+Tabela1107[[#This Row],[MS]]</f>
        <v>24.740000000000002</v>
      </c>
      <c r="BP436" s="97">
        <f>+Tabela1107[[#This Row],[PIS]]+Tabela1107[[#This Row],[COFINS]]+Tabela1107[[#This Row],[CONTRIB. FOLHA]]+Tabela1107[[#This Row],[TRIBUTOS S/ LUCRO]]+Tabela1107[[#This Row],[OUTROS]]+Tabela1107[[#This Row],[DF]]</f>
        <v>24.740000000000002</v>
      </c>
      <c r="BQ436" s="97">
        <f>+Tabela1107[[#This Row],[PIS]]+Tabela1107[[#This Row],[COFINS]]+Tabela1107[[#This Row],[CONTRIB. FOLHA]]+Tabela1107[[#This Row],[TRIBUTOS S/ LUCRO]]+Tabela1107[[#This Row],[OUTROS]]+Tabela1107[[#This Row],[BA]]</f>
        <v>24.740000000000002</v>
      </c>
      <c r="BR436" s="97">
        <f>+Tabela1107[[#This Row],[PIS]]+Tabela1107[[#This Row],[COFINS]]+Tabela1107[[#This Row],[CONTRIB. FOLHA]]+Tabela1107[[#This Row],[TRIBUTOS S/ LUCRO]]+Tabela1107[[#This Row],[OUTROS]]+Tabela1107[[#This Row],[BA]]</f>
        <v>24.740000000000002</v>
      </c>
      <c r="BS436" s="97">
        <f>+Tabela1107[[#This Row],[PIS]]+Tabela1107[[#This Row],[COFINS]]+Tabela1107[[#This Row],[CONTRIB. FOLHA]]+Tabela1107[[#This Row],[TRIBUTOS S/ LUCRO]]+Tabela1107[[#This Row],[OUTROS]]+Tabela1107[[#This Row],[PE]]</f>
        <v>24.740000000000002</v>
      </c>
      <c r="BT436" s="97">
        <f>+Tabela1107[[#This Row],[PIS]]+Tabela1107[[#This Row],[COFINS]]+Tabela1107[[#This Row],[CONTRIB. FOLHA]]+Tabela1107[[#This Row],[TRIBUTOS S/ LUCRO]]+Tabela1107[[#This Row],[OUTROS]]+Tabela1107[[#This Row],[PA]]</f>
        <v>24.740000000000002</v>
      </c>
      <c r="BU436" s="97">
        <f>+Tabela1107[[#This Row],[PIS]]+Tabela1107[[#This Row],[COFINS]]+Tabela1107[[#This Row],[CONTRIB. FOLHA]]+Tabela1107[[#This Row],[TRIBUTOS S/ LUCRO]]+Tabela1107[[#This Row],[OUTROS]]+Tabela1107[[#This Row],[AM]]</f>
        <v>24.740000000000002</v>
      </c>
      <c r="BV436" s="97">
        <f>AVERAGE(Tabela1107[[#This Row],[TOTAL SP]:[TOTAL AM]])</f>
        <v>24.677500000000006</v>
      </c>
      <c r="BW436" s="97"/>
      <c r="BX436" s="97"/>
    </row>
    <row r="437" spans="2:76" x14ac:dyDescent="0.25">
      <c r="B437" s="89">
        <v>1989</v>
      </c>
      <c r="C437" s="91" t="s">
        <v>13168</v>
      </c>
      <c r="D437" s="89"/>
      <c r="E437" s="89">
        <v>20140626</v>
      </c>
      <c r="F437" s="89" t="s">
        <v>20353</v>
      </c>
      <c r="G437" s="89" t="s">
        <v>20354</v>
      </c>
      <c r="H437" s="89" t="s">
        <v>20355</v>
      </c>
      <c r="I437" s="89" t="s">
        <v>20356</v>
      </c>
      <c r="J437" s="89" t="s">
        <v>371</v>
      </c>
      <c r="K437" s="89" t="s">
        <v>2489</v>
      </c>
      <c r="L437" s="89" t="s">
        <v>2661</v>
      </c>
      <c r="M437" s="89" t="s">
        <v>4496</v>
      </c>
      <c r="N437" s="89" t="s">
        <v>4496</v>
      </c>
      <c r="O437" s="89" t="s">
        <v>4496</v>
      </c>
      <c r="P437" s="89" t="s">
        <v>4496</v>
      </c>
      <c r="Q437" s="89"/>
      <c r="R437" s="89" t="s">
        <v>1</v>
      </c>
      <c r="S437" s="89" t="s">
        <v>21568</v>
      </c>
      <c r="T437" s="89" t="s">
        <v>21569</v>
      </c>
      <c r="U437" s="89" t="str">
        <f>TRIM('Carga Tributária doenças Po (2'!$L437)</f>
        <v>DICLORIDRATO DE FLUNARIZINA</v>
      </c>
      <c r="V437" s="89">
        <f>SUMIFS('Tabela Federal'!$E$4:$E$2069,'Tabela Federal'!$D$4:$D$2069,'Carga Tributária doenças Po (2'!$L437)</f>
        <v>2</v>
      </c>
      <c r="W437" s="89">
        <f>SUMIFS('Tabela Federal'!$E$4:$E$2069,'Tabela Federal'!$D$4:$D$2069,'Carga Tributária doenças Po (2'!$M437)</f>
        <v>0</v>
      </c>
      <c r="X437" s="89">
        <f>SUMIFS('Tabela Federal'!$E$4:$E$2069,'Tabela Federal'!$D$4:$D$2069,'Carga Tributária doenças Po (2'!$N437)</f>
        <v>0</v>
      </c>
      <c r="Y437" s="89">
        <f>SUMIFS('Tabela Federal'!$E$4:$E$2069,'Tabela Federal'!$D$4:$D$2069,'Carga Tributária doenças Po (2'!$O437)</f>
        <v>0</v>
      </c>
      <c r="Z437" s="92" t="str">
        <f>VLOOKUP('Carga Tributária doenças Po (2'!$AD437,'Carga Tributária doenças Po (2'!$CA$12:$CC$16,2,0)</f>
        <v>+</v>
      </c>
      <c r="AA437" s="89" t="s">
        <v>368</v>
      </c>
      <c r="AB437" s="89" t="s">
        <v>21861</v>
      </c>
      <c r="AC437" s="89" t="s">
        <v>21721</v>
      </c>
      <c r="AD437" s="93" t="s">
        <v>19445</v>
      </c>
      <c r="AE437" s="92" t="s">
        <v>4</v>
      </c>
      <c r="AF437" s="92" t="s">
        <v>3</v>
      </c>
      <c r="AG437" s="94">
        <v>673257</v>
      </c>
      <c r="AH437" s="95">
        <v>11729145</v>
      </c>
      <c r="AI437" s="95">
        <v>26766052.84</v>
      </c>
      <c r="AJ437" s="89" t="s">
        <v>372</v>
      </c>
      <c r="AK437" s="89">
        <f>IF('Carga Tributária doenças Po (2'!$Z437="+",0,SUMIFS(PISCOFINS!$I$3:$I$10518,PISCOFINS!$C$3:$C$10518,'Carga Tributária doenças Po (2'!$C437))</f>
        <v>0</v>
      </c>
      <c r="AL437" s="89">
        <f>IF('Carga Tributária doenças Po (2'!$Z437="+",0,SUMIFS(PISCOFINS!$H$3:$H$10518,PISCOFINS!$C$3:$C$10518,'Carga Tributária doenças Po (2'!$C437))</f>
        <v>0</v>
      </c>
      <c r="AM437" s="95">
        <v>3.27</v>
      </c>
      <c r="AN437" s="95">
        <v>3.12</v>
      </c>
      <c r="AO437" s="95">
        <v>1.35</v>
      </c>
      <c r="AP437" s="96">
        <v>18</v>
      </c>
      <c r="AQ437" s="96">
        <v>12</v>
      </c>
      <c r="AR437" s="96">
        <v>17</v>
      </c>
      <c r="AS437" s="97">
        <v>17</v>
      </c>
      <c r="AT437" s="97">
        <v>19</v>
      </c>
      <c r="AU437" s="97">
        <v>18</v>
      </c>
      <c r="AV437" s="97">
        <v>17</v>
      </c>
      <c r="AW437" s="97">
        <v>17</v>
      </c>
      <c r="AX437" s="97">
        <v>17</v>
      </c>
      <c r="AY437" s="97">
        <v>17</v>
      </c>
      <c r="AZ437" s="97">
        <v>17</v>
      </c>
      <c r="BA437" s="97">
        <v>17</v>
      </c>
      <c r="BB437" s="97">
        <v>17</v>
      </c>
      <c r="BC437" s="97">
        <v>17</v>
      </c>
      <c r="BD437" s="97">
        <v>17</v>
      </c>
      <c r="BE437" s="97">
        <v>17</v>
      </c>
      <c r="BF437" s="97">
        <f>+Tabela1107[[#This Row],[PIS]]+Tabela1107[[#This Row],[COFINS]]+Tabela1107[[#This Row],[CONTRIB. FOLHA]]+Tabela1107[[#This Row],[TRIBUTOS S/ LUCRO]]+Tabela1107[[#This Row],[OUTROS]]+Tabela1107[[#This Row],[SP]]</f>
        <v>25.740000000000002</v>
      </c>
      <c r="BG437" s="97">
        <f>+Tabela1107[[#This Row],[PIS]]+Tabela1107[[#This Row],[COFINS]]+Tabela1107[[#This Row],[CONTRIB. FOLHA]]+Tabela1107[[#This Row],[TRIBUTOS S/ LUCRO]]+Tabela1107[[#This Row],[OUTROS]]+Tabela1107[[#This Row],[PR]]</f>
        <v>19.740000000000002</v>
      </c>
      <c r="BH437" s="97">
        <f>+Tabela1107[[#This Row],[PIS]]+Tabela1107[[#This Row],[COFINS]]+Tabela1107[[#This Row],[CONTRIB. FOLHA]]+Tabela1107[[#This Row],[TRIBUTOS S/ LUCRO]]+Tabela1107[[#This Row],[OUTROS]]+Tabela1107[[#This Row],[SC]]</f>
        <v>24.740000000000002</v>
      </c>
      <c r="BI437" s="97">
        <f>+Tabela1107[[#This Row],[PIS]]+Tabela1107[[#This Row],[COFINS]]+Tabela1107[[#This Row],[CONTRIB. FOLHA]]+Tabela1107[[#This Row],[TRIBUTOS S/ LUCRO]]+Tabela1107[[#This Row],[OUTROS]]+Tabela1107[[#This Row],[RS]]</f>
        <v>24.740000000000002</v>
      </c>
      <c r="BJ437" s="97">
        <f>+Tabela1107[[#This Row],[PIS]]+Tabela1107[[#This Row],[COFINS]]+Tabela1107[[#This Row],[CONTRIB. FOLHA]]+Tabela1107[[#This Row],[TRIBUTOS S/ LUCRO]]+Tabela1107[[#This Row],[OUTROS]]+Tabela1107[[#This Row],[RJ]]</f>
        <v>26.740000000000002</v>
      </c>
      <c r="BK437" s="97">
        <f>+Tabela1107[[#This Row],[PIS]]+Tabela1107[[#This Row],[COFINS]]+Tabela1107[[#This Row],[CONTRIB. FOLHA]]+Tabela1107[[#This Row],[TRIBUTOS S/ LUCRO]]+Tabela1107[[#This Row],[OUTROS]]+Tabela1107[[#This Row],[MG]]</f>
        <v>25.740000000000002</v>
      </c>
      <c r="BL437" s="97">
        <f>+Tabela1107[[#This Row],[PIS]]+Tabela1107[[#This Row],[COFINS]]+Tabela1107[[#This Row],[CONTRIB. FOLHA]]+Tabela1107[[#This Row],[TRIBUTOS S/ LUCRO]]+Tabela1107[[#This Row],[OUTROS]]+Tabela1107[[#This Row],[ES]]</f>
        <v>24.740000000000002</v>
      </c>
      <c r="BM437" s="97">
        <f>+Tabela1107[[#This Row],[PIS]]+Tabela1107[[#This Row],[COFINS]]+Tabela1107[[#This Row],[CONTRIB. FOLHA]]+Tabela1107[[#This Row],[TRIBUTOS S/ LUCRO]]+Tabela1107[[#This Row],[OUTROS]]+Tabela1107[[#This Row],[GO]]</f>
        <v>24.740000000000002</v>
      </c>
      <c r="BN437" s="97">
        <f>+Tabela1107[[#This Row],[PIS]]+Tabela1107[[#This Row],[COFINS]]+Tabela1107[[#This Row],[CONTRIB. FOLHA]]+Tabela1107[[#This Row],[TRIBUTOS S/ LUCRO]]+Tabela1107[[#This Row],[OUTROS]]+Tabela1107[[#This Row],[MT]]</f>
        <v>24.740000000000002</v>
      </c>
      <c r="BO437" s="97">
        <f>+Tabela1107[[#This Row],[PIS]]+Tabela1107[[#This Row],[COFINS]]+Tabela1107[[#This Row],[CONTRIB. FOLHA]]+Tabela1107[[#This Row],[TRIBUTOS S/ LUCRO]]+Tabela1107[[#This Row],[OUTROS]]+Tabela1107[[#This Row],[MS]]</f>
        <v>24.740000000000002</v>
      </c>
      <c r="BP437" s="97">
        <f>+Tabela1107[[#This Row],[PIS]]+Tabela1107[[#This Row],[COFINS]]+Tabela1107[[#This Row],[CONTRIB. FOLHA]]+Tabela1107[[#This Row],[TRIBUTOS S/ LUCRO]]+Tabela1107[[#This Row],[OUTROS]]+Tabela1107[[#This Row],[DF]]</f>
        <v>24.740000000000002</v>
      </c>
      <c r="BQ437" s="97">
        <f>+Tabela1107[[#This Row],[PIS]]+Tabela1107[[#This Row],[COFINS]]+Tabela1107[[#This Row],[CONTRIB. FOLHA]]+Tabela1107[[#This Row],[TRIBUTOS S/ LUCRO]]+Tabela1107[[#This Row],[OUTROS]]+Tabela1107[[#This Row],[BA]]</f>
        <v>24.740000000000002</v>
      </c>
      <c r="BR437" s="97">
        <f>+Tabela1107[[#This Row],[PIS]]+Tabela1107[[#This Row],[COFINS]]+Tabela1107[[#This Row],[CONTRIB. FOLHA]]+Tabela1107[[#This Row],[TRIBUTOS S/ LUCRO]]+Tabela1107[[#This Row],[OUTROS]]+Tabela1107[[#This Row],[BA]]</f>
        <v>24.740000000000002</v>
      </c>
      <c r="BS437" s="97">
        <f>+Tabela1107[[#This Row],[PIS]]+Tabela1107[[#This Row],[COFINS]]+Tabela1107[[#This Row],[CONTRIB. FOLHA]]+Tabela1107[[#This Row],[TRIBUTOS S/ LUCRO]]+Tabela1107[[#This Row],[OUTROS]]+Tabela1107[[#This Row],[PE]]</f>
        <v>24.740000000000002</v>
      </c>
      <c r="BT437" s="97">
        <f>+Tabela1107[[#This Row],[PIS]]+Tabela1107[[#This Row],[COFINS]]+Tabela1107[[#This Row],[CONTRIB. FOLHA]]+Tabela1107[[#This Row],[TRIBUTOS S/ LUCRO]]+Tabela1107[[#This Row],[OUTROS]]+Tabela1107[[#This Row],[PA]]</f>
        <v>24.740000000000002</v>
      </c>
      <c r="BU437" s="97">
        <f>+Tabela1107[[#This Row],[PIS]]+Tabela1107[[#This Row],[COFINS]]+Tabela1107[[#This Row],[CONTRIB. FOLHA]]+Tabela1107[[#This Row],[TRIBUTOS S/ LUCRO]]+Tabela1107[[#This Row],[OUTROS]]+Tabela1107[[#This Row],[AM]]</f>
        <v>24.740000000000002</v>
      </c>
      <c r="BV437" s="97">
        <f>AVERAGE(Tabela1107[[#This Row],[TOTAL SP]:[TOTAL AM]])</f>
        <v>24.677500000000006</v>
      </c>
      <c r="BW437" s="97"/>
      <c r="BX437" s="97"/>
    </row>
    <row r="438" spans="2:76" x14ac:dyDescent="0.25">
      <c r="B438" s="89">
        <v>12807</v>
      </c>
      <c r="C438" s="91" t="s">
        <v>13113</v>
      </c>
      <c r="D438" s="89"/>
      <c r="E438" s="89">
        <v>20140626</v>
      </c>
      <c r="F438" s="89" t="s">
        <v>20982</v>
      </c>
      <c r="G438" s="89" t="s">
        <v>20983</v>
      </c>
      <c r="H438" s="89" t="s">
        <v>20984</v>
      </c>
      <c r="I438" s="89" t="s">
        <v>20985</v>
      </c>
      <c r="J438" s="89" t="s">
        <v>536</v>
      </c>
      <c r="K438" s="89" t="s">
        <v>2486</v>
      </c>
      <c r="L438" s="89" t="s">
        <v>2704</v>
      </c>
      <c r="M438" s="89" t="s">
        <v>4496</v>
      </c>
      <c r="N438" s="89" t="s">
        <v>4496</v>
      </c>
      <c r="O438" s="89" t="s">
        <v>4496</v>
      </c>
      <c r="P438" s="89" t="s">
        <v>4496</v>
      </c>
      <c r="Q438" s="89"/>
      <c r="R438" s="89" t="s">
        <v>537</v>
      </c>
      <c r="S438" s="89" t="s">
        <v>21650</v>
      </c>
      <c r="T438" s="89" t="s">
        <v>21651</v>
      </c>
      <c r="U438" s="89" t="str">
        <f>TRIM('Carga Tributária doenças Po (2'!$L438)</f>
        <v>VIMPOCETINA</v>
      </c>
      <c r="V438" s="89">
        <f>SUMIFS('Tabela Federal'!$E$4:$E$2069,'Tabela Federal'!$D$4:$D$2069,'Carga Tributária doenças Po (2'!$L438)</f>
        <v>1</v>
      </c>
      <c r="W438" s="89">
        <f>SUMIFS('Tabela Federal'!$E$4:$E$2069,'Tabela Federal'!$D$4:$D$2069,'Carga Tributária doenças Po (2'!$M438)</f>
        <v>0</v>
      </c>
      <c r="X438" s="89">
        <f>SUMIFS('Tabela Federal'!$E$4:$E$2069,'Tabela Federal'!$D$4:$D$2069,'Carga Tributária doenças Po (2'!$N438)</f>
        <v>0</v>
      </c>
      <c r="Y438" s="89">
        <f>SUMIFS('Tabela Federal'!$E$4:$E$2069,'Tabela Federal'!$D$4:$D$2069,'Carga Tributária doenças Po (2'!$O438)</f>
        <v>0</v>
      </c>
      <c r="Z438" s="92" t="str">
        <f>VLOOKUP('Carga Tributária doenças Po (2'!$AD438,'Carga Tributária doenças Po (2'!$CA$12:$CC$16,2,0)</f>
        <v>-</v>
      </c>
      <c r="AA438" s="89" t="s">
        <v>535</v>
      </c>
      <c r="AB438" s="89" t="s">
        <v>21796</v>
      </c>
      <c r="AC438" s="89" t="s">
        <v>21721</v>
      </c>
      <c r="AD438" s="93" t="s">
        <v>19523</v>
      </c>
      <c r="AE438" s="92" t="s">
        <v>2</v>
      </c>
      <c r="AF438" s="92" t="s">
        <v>3</v>
      </c>
      <c r="AG438" s="94">
        <v>932454</v>
      </c>
      <c r="AH438" s="95">
        <v>5794529</v>
      </c>
      <c r="AI438" s="95">
        <v>13224997.359999999</v>
      </c>
      <c r="AJ438" s="89" t="s">
        <v>548</v>
      </c>
      <c r="AK438" s="89">
        <f>IF('Carga Tributária doenças Po (2'!$Z438="+",0,SUMIFS(PISCOFINS!$I$3:$I$10518,PISCOFINS!$C$3:$C$10518,'Carga Tributária doenças Po (2'!$C438))</f>
        <v>2.1</v>
      </c>
      <c r="AL438" s="89">
        <f>IF('Carga Tributária doenças Po (2'!$Z438="+",0,SUMIFS(PISCOFINS!$H$3:$H$10518,PISCOFINS!$C$3:$C$10518,'Carga Tributária doenças Po (2'!$C438))</f>
        <v>9.9</v>
      </c>
      <c r="AM438" s="95">
        <v>3.27</v>
      </c>
      <c r="AN438" s="95">
        <v>3.12</v>
      </c>
      <c r="AO438" s="95">
        <v>1.35</v>
      </c>
      <c r="AP438" s="96">
        <v>18</v>
      </c>
      <c r="AQ438" s="96">
        <v>12</v>
      </c>
      <c r="AR438" s="96">
        <v>17</v>
      </c>
      <c r="AS438" s="97">
        <v>17</v>
      </c>
      <c r="AT438" s="97">
        <v>19</v>
      </c>
      <c r="AU438" s="97">
        <v>18</v>
      </c>
      <c r="AV438" s="97">
        <v>17</v>
      </c>
      <c r="AW438" s="97">
        <v>17</v>
      </c>
      <c r="AX438" s="97">
        <v>17</v>
      </c>
      <c r="AY438" s="97">
        <v>17</v>
      </c>
      <c r="AZ438" s="97">
        <v>17</v>
      </c>
      <c r="BA438" s="97">
        <v>17</v>
      </c>
      <c r="BB438" s="97">
        <v>17</v>
      </c>
      <c r="BC438" s="97">
        <v>17</v>
      </c>
      <c r="BD438" s="97">
        <v>17</v>
      </c>
      <c r="BE438" s="97">
        <v>17</v>
      </c>
      <c r="BF438" s="97">
        <f>+Tabela1107[[#This Row],[PIS]]+Tabela1107[[#This Row],[COFINS]]+Tabela1107[[#This Row],[CONTRIB. FOLHA]]+Tabela1107[[#This Row],[TRIBUTOS S/ LUCRO]]+Tabela1107[[#This Row],[OUTROS]]+Tabela1107[[#This Row],[SP]]</f>
        <v>37.74</v>
      </c>
      <c r="BG438" s="97">
        <f>+Tabela1107[[#This Row],[PIS]]+Tabela1107[[#This Row],[COFINS]]+Tabela1107[[#This Row],[CONTRIB. FOLHA]]+Tabela1107[[#This Row],[TRIBUTOS S/ LUCRO]]+Tabela1107[[#This Row],[OUTROS]]+Tabela1107[[#This Row],[PR]]</f>
        <v>31.740000000000002</v>
      </c>
      <c r="BH438" s="97">
        <f>+Tabela1107[[#This Row],[PIS]]+Tabela1107[[#This Row],[COFINS]]+Tabela1107[[#This Row],[CONTRIB. FOLHA]]+Tabela1107[[#This Row],[TRIBUTOS S/ LUCRO]]+Tabela1107[[#This Row],[OUTROS]]+Tabela1107[[#This Row],[SC]]</f>
        <v>36.74</v>
      </c>
      <c r="BI438" s="97">
        <f>+Tabela1107[[#This Row],[PIS]]+Tabela1107[[#This Row],[COFINS]]+Tabela1107[[#This Row],[CONTRIB. FOLHA]]+Tabela1107[[#This Row],[TRIBUTOS S/ LUCRO]]+Tabela1107[[#This Row],[OUTROS]]+Tabela1107[[#This Row],[RS]]</f>
        <v>36.74</v>
      </c>
      <c r="BJ438" s="97">
        <f>+Tabela1107[[#This Row],[PIS]]+Tabela1107[[#This Row],[COFINS]]+Tabela1107[[#This Row],[CONTRIB. FOLHA]]+Tabela1107[[#This Row],[TRIBUTOS S/ LUCRO]]+Tabela1107[[#This Row],[OUTROS]]+Tabela1107[[#This Row],[RJ]]</f>
        <v>38.74</v>
      </c>
      <c r="BK438" s="97">
        <f>+Tabela1107[[#This Row],[PIS]]+Tabela1107[[#This Row],[COFINS]]+Tabela1107[[#This Row],[CONTRIB. FOLHA]]+Tabela1107[[#This Row],[TRIBUTOS S/ LUCRO]]+Tabela1107[[#This Row],[OUTROS]]+Tabela1107[[#This Row],[MG]]</f>
        <v>37.74</v>
      </c>
      <c r="BL438" s="97">
        <f>+Tabela1107[[#This Row],[PIS]]+Tabela1107[[#This Row],[COFINS]]+Tabela1107[[#This Row],[CONTRIB. FOLHA]]+Tabela1107[[#This Row],[TRIBUTOS S/ LUCRO]]+Tabela1107[[#This Row],[OUTROS]]+Tabela1107[[#This Row],[ES]]</f>
        <v>36.74</v>
      </c>
      <c r="BM438" s="97">
        <f>+Tabela1107[[#This Row],[PIS]]+Tabela1107[[#This Row],[COFINS]]+Tabela1107[[#This Row],[CONTRIB. FOLHA]]+Tabela1107[[#This Row],[TRIBUTOS S/ LUCRO]]+Tabela1107[[#This Row],[OUTROS]]+Tabela1107[[#This Row],[GO]]</f>
        <v>36.74</v>
      </c>
      <c r="BN438" s="97">
        <f>+Tabela1107[[#This Row],[PIS]]+Tabela1107[[#This Row],[COFINS]]+Tabela1107[[#This Row],[CONTRIB. FOLHA]]+Tabela1107[[#This Row],[TRIBUTOS S/ LUCRO]]+Tabela1107[[#This Row],[OUTROS]]+Tabela1107[[#This Row],[MT]]</f>
        <v>36.74</v>
      </c>
      <c r="BO438" s="97">
        <f>+Tabela1107[[#This Row],[PIS]]+Tabela1107[[#This Row],[COFINS]]+Tabela1107[[#This Row],[CONTRIB. FOLHA]]+Tabela1107[[#This Row],[TRIBUTOS S/ LUCRO]]+Tabela1107[[#This Row],[OUTROS]]+Tabela1107[[#This Row],[MS]]</f>
        <v>36.74</v>
      </c>
      <c r="BP438" s="97">
        <f>+Tabela1107[[#This Row],[PIS]]+Tabela1107[[#This Row],[COFINS]]+Tabela1107[[#This Row],[CONTRIB. FOLHA]]+Tabela1107[[#This Row],[TRIBUTOS S/ LUCRO]]+Tabela1107[[#This Row],[OUTROS]]+Tabela1107[[#This Row],[DF]]</f>
        <v>36.74</v>
      </c>
      <c r="BQ438" s="97">
        <f>+Tabela1107[[#This Row],[PIS]]+Tabela1107[[#This Row],[COFINS]]+Tabela1107[[#This Row],[CONTRIB. FOLHA]]+Tabela1107[[#This Row],[TRIBUTOS S/ LUCRO]]+Tabela1107[[#This Row],[OUTROS]]+Tabela1107[[#This Row],[BA]]</f>
        <v>36.74</v>
      </c>
      <c r="BR438" s="97">
        <f>+Tabela1107[[#This Row],[PIS]]+Tabela1107[[#This Row],[COFINS]]+Tabela1107[[#This Row],[CONTRIB. FOLHA]]+Tabela1107[[#This Row],[TRIBUTOS S/ LUCRO]]+Tabela1107[[#This Row],[OUTROS]]+Tabela1107[[#This Row],[BA]]</f>
        <v>36.74</v>
      </c>
      <c r="BS438" s="97">
        <f>+Tabela1107[[#This Row],[PIS]]+Tabela1107[[#This Row],[COFINS]]+Tabela1107[[#This Row],[CONTRIB. FOLHA]]+Tabela1107[[#This Row],[TRIBUTOS S/ LUCRO]]+Tabela1107[[#This Row],[OUTROS]]+Tabela1107[[#This Row],[PE]]</f>
        <v>36.74</v>
      </c>
      <c r="BT438" s="97">
        <f>+Tabela1107[[#This Row],[PIS]]+Tabela1107[[#This Row],[COFINS]]+Tabela1107[[#This Row],[CONTRIB. FOLHA]]+Tabela1107[[#This Row],[TRIBUTOS S/ LUCRO]]+Tabela1107[[#This Row],[OUTROS]]+Tabela1107[[#This Row],[PA]]</f>
        <v>36.74</v>
      </c>
      <c r="BU438" s="97">
        <f>+Tabela1107[[#This Row],[PIS]]+Tabela1107[[#This Row],[COFINS]]+Tabela1107[[#This Row],[CONTRIB. FOLHA]]+Tabela1107[[#This Row],[TRIBUTOS S/ LUCRO]]+Tabela1107[[#This Row],[OUTROS]]+Tabela1107[[#This Row],[AM]]</f>
        <v>36.74</v>
      </c>
      <c r="BV438" s="97">
        <f>AVERAGE(Tabela1107[[#This Row],[TOTAL SP]:[TOTAL AM]])</f>
        <v>36.677500000000002</v>
      </c>
      <c r="BW438" s="97"/>
      <c r="BX438" s="97"/>
    </row>
    <row r="439" spans="2:76" x14ac:dyDescent="0.25">
      <c r="B439" s="89">
        <v>25031</v>
      </c>
      <c r="C439" s="91" t="s">
        <v>13071</v>
      </c>
      <c r="D439" s="89"/>
      <c r="E439" s="89">
        <v>20140626</v>
      </c>
      <c r="F439" s="89" t="s">
        <v>20381</v>
      </c>
      <c r="G439" s="89" t="s">
        <v>20382</v>
      </c>
      <c r="H439" s="89" t="s">
        <v>20383</v>
      </c>
      <c r="I439" s="89" t="s">
        <v>20384</v>
      </c>
      <c r="J439" s="89" t="s">
        <v>522</v>
      </c>
      <c r="K439" s="99" t="s">
        <v>4660</v>
      </c>
      <c r="L439" s="89" t="s">
        <v>3844</v>
      </c>
      <c r="M439" s="89" t="s">
        <v>4661</v>
      </c>
      <c r="N439" s="89" t="s">
        <v>4496</v>
      </c>
      <c r="O439" s="89" t="s">
        <v>4496</v>
      </c>
      <c r="P439" s="89" t="s">
        <v>4496</v>
      </c>
      <c r="Q439" s="89"/>
      <c r="R439" s="89" t="s">
        <v>466</v>
      </c>
      <c r="S439" s="89" t="s">
        <v>21576</v>
      </c>
      <c r="T439" s="89" t="s">
        <v>21577</v>
      </c>
      <c r="U439" s="89" t="str">
        <f>TRIM('Carga Tributária doenças Po (2'!$L439)</f>
        <v>MOXIFLOXACINO</v>
      </c>
      <c r="V439" s="89">
        <f>SUMIFS('Tabela Federal'!$E$4:$E$2069,'Tabela Federal'!$D$4:$D$2069,'Carga Tributária doenças Po (2'!$L439)</f>
        <v>1</v>
      </c>
      <c r="W439" s="89">
        <f>SUMIFS('Tabela Federal'!$E$4:$E$2069,'Tabela Federal'!$D$4:$D$2069,'Carga Tributária doenças Po (2'!$M439)</f>
        <v>0</v>
      </c>
      <c r="X439" s="89">
        <f>SUMIFS('Tabela Federal'!$E$4:$E$2069,'Tabela Federal'!$D$4:$D$2069,'Carga Tributária doenças Po (2'!$N439)</f>
        <v>0</v>
      </c>
      <c r="Y439" s="89">
        <f>SUMIFS('Tabela Federal'!$E$4:$E$2069,'Tabela Federal'!$D$4:$D$2069,'Carga Tributária doenças Po (2'!$O439)</f>
        <v>0</v>
      </c>
      <c r="Z439" s="92" t="str">
        <f>VLOOKUP('Carga Tributária doenças Po (2'!$AD439,'Carga Tributária doenças Po (2'!$CA$12:$CC$16,2,0)</f>
        <v>-</v>
      </c>
      <c r="AA439" s="89" t="s">
        <v>521</v>
      </c>
      <c r="AB439" s="89" t="s">
        <v>21772</v>
      </c>
      <c r="AC439" s="89" t="s">
        <v>21721</v>
      </c>
      <c r="AD439" s="93" t="s">
        <v>19523</v>
      </c>
      <c r="AE439" s="92" t="s">
        <v>4</v>
      </c>
      <c r="AF439" s="92" t="s">
        <v>3</v>
      </c>
      <c r="AG439" s="94">
        <v>923721</v>
      </c>
      <c r="AH439" s="95">
        <v>9998184</v>
      </c>
      <c r="AI439" s="95">
        <v>22808115.82</v>
      </c>
      <c r="AJ439" s="89" t="s">
        <v>525</v>
      </c>
      <c r="AK439" s="89">
        <f>IF('Carga Tributária doenças Po (2'!$Z439="+",0,SUMIFS(PISCOFINS!$I$3:$I$10518,PISCOFINS!$C$3:$C$10518,'Carga Tributária doenças Po (2'!$C439))</f>
        <v>2.1</v>
      </c>
      <c r="AL439" s="89">
        <f>IF('Carga Tributária doenças Po (2'!$Z439="+",0,SUMIFS(PISCOFINS!$H$3:$H$10518,PISCOFINS!$C$3:$C$10518,'Carga Tributária doenças Po (2'!$C439))</f>
        <v>9.9</v>
      </c>
      <c r="AM439" s="95">
        <v>3.27</v>
      </c>
      <c r="AN439" s="95">
        <v>3.12</v>
      </c>
      <c r="AO439" s="95">
        <v>1.35</v>
      </c>
      <c r="AP439" s="96">
        <v>18</v>
      </c>
      <c r="AQ439" s="96">
        <v>12</v>
      </c>
      <c r="AR439" s="96">
        <v>17</v>
      </c>
      <c r="AS439" s="97">
        <v>17</v>
      </c>
      <c r="AT439" s="97">
        <v>19</v>
      </c>
      <c r="AU439" s="97">
        <v>18</v>
      </c>
      <c r="AV439" s="97">
        <v>17</v>
      </c>
      <c r="AW439" s="97">
        <v>17</v>
      </c>
      <c r="AX439" s="97">
        <v>17</v>
      </c>
      <c r="AY439" s="97">
        <v>17</v>
      </c>
      <c r="AZ439" s="97">
        <v>17</v>
      </c>
      <c r="BA439" s="97">
        <v>17</v>
      </c>
      <c r="BB439" s="97">
        <v>17</v>
      </c>
      <c r="BC439" s="97">
        <v>17</v>
      </c>
      <c r="BD439" s="97">
        <v>17</v>
      </c>
      <c r="BE439" s="97">
        <v>17</v>
      </c>
      <c r="BF439" s="97">
        <f>+Tabela1107[[#This Row],[PIS]]+Tabela1107[[#This Row],[COFINS]]+Tabela1107[[#This Row],[CONTRIB. FOLHA]]+Tabela1107[[#This Row],[TRIBUTOS S/ LUCRO]]+Tabela1107[[#This Row],[OUTROS]]+Tabela1107[[#This Row],[SP]]</f>
        <v>37.74</v>
      </c>
      <c r="BG439" s="97">
        <f>+Tabela1107[[#This Row],[PIS]]+Tabela1107[[#This Row],[COFINS]]+Tabela1107[[#This Row],[CONTRIB. FOLHA]]+Tabela1107[[#This Row],[TRIBUTOS S/ LUCRO]]+Tabela1107[[#This Row],[OUTROS]]+Tabela1107[[#This Row],[PR]]</f>
        <v>31.740000000000002</v>
      </c>
      <c r="BH439" s="97">
        <f>+Tabela1107[[#This Row],[PIS]]+Tabela1107[[#This Row],[COFINS]]+Tabela1107[[#This Row],[CONTRIB. FOLHA]]+Tabela1107[[#This Row],[TRIBUTOS S/ LUCRO]]+Tabela1107[[#This Row],[OUTROS]]+Tabela1107[[#This Row],[SC]]</f>
        <v>36.74</v>
      </c>
      <c r="BI439" s="97">
        <f>+Tabela1107[[#This Row],[PIS]]+Tabela1107[[#This Row],[COFINS]]+Tabela1107[[#This Row],[CONTRIB. FOLHA]]+Tabela1107[[#This Row],[TRIBUTOS S/ LUCRO]]+Tabela1107[[#This Row],[OUTROS]]+Tabela1107[[#This Row],[RS]]</f>
        <v>36.74</v>
      </c>
      <c r="BJ439" s="97">
        <f>+Tabela1107[[#This Row],[PIS]]+Tabela1107[[#This Row],[COFINS]]+Tabela1107[[#This Row],[CONTRIB. FOLHA]]+Tabela1107[[#This Row],[TRIBUTOS S/ LUCRO]]+Tabela1107[[#This Row],[OUTROS]]+Tabela1107[[#This Row],[RJ]]</f>
        <v>38.74</v>
      </c>
      <c r="BK439" s="97">
        <f>+Tabela1107[[#This Row],[PIS]]+Tabela1107[[#This Row],[COFINS]]+Tabela1107[[#This Row],[CONTRIB. FOLHA]]+Tabela1107[[#This Row],[TRIBUTOS S/ LUCRO]]+Tabela1107[[#This Row],[OUTROS]]+Tabela1107[[#This Row],[MG]]</f>
        <v>37.74</v>
      </c>
      <c r="BL439" s="97">
        <f>+Tabela1107[[#This Row],[PIS]]+Tabela1107[[#This Row],[COFINS]]+Tabela1107[[#This Row],[CONTRIB. FOLHA]]+Tabela1107[[#This Row],[TRIBUTOS S/ LUCRO]]+Tabela1107[[#This Row],[OUTROS]]+Tabela1107[[#This Row],[ES]]</f>
        <v>36.74</v>
      </c>
      <c r="BM439" s="97">
        <f>+Tabela1107[[#This Row],[PIS]]+Tabela1107[[#This Row],[COFINS]]+Tabela1107[[#This Row],[CONTRIB. FOLHA]]+Tabela1107[[#This Row],[TRIBUTOS S/ LUCRO]]+Tabela1107[[#This Row],[OUTROS]]+Tabela1107[[#This Row],[GO]]</f>
        <v>36.74</v>
      </c>
      <c r="BN439" s="97">
        <f>+Tabela1107[[#This Row],[PIS]]+Tabela1107[[#This Row],[COFINS]]+Tabela1107[[#This Row],[CONTRIB. FOLHA]]+Tabela1107[[#This Row],[TRIBUTOS S/ LUCRO]]+Tabela1107[[#This Row],[OUTROS]]+Tabela1107[[#This Row],[MT]]</f>
        <v>36.74</v>
      </c>
      <c r="BO439" s="97">
        <f>+Tabela1107[[#This Row],[PIS]]+Tabela1107[[#This Row],[COFINS]]+Tabela1107[[#This Row],[CONTRIB. FOLHA]]+Tabela1107[[#This Row],[TRIBUTOS S/ LUCRO]]+Tabela1107[[#This Row],[OUTROS]]+Tabela1107[[#This Row],[MS]]</f>
        <v>36.74</v>
      </c>
      <c r="BP439" s="97">
        <f>+Tabela1107[[#This Row],[PIS]]+Tabela1107[[#This Row],[COFINS]]+Tabela1107[[#This Row],[CONTRIB. FOLHA]]+Tabela1107[[#This Row],[TRIBUTOS S/ LUCRO]]+Tabela1107[[#This Row],[OUTROS]]+Tabela1107[[#This Row],[DF]]</f>
        <v>36.74</v>
      </c>
      <c r="BQ439" s="97">
        <f>+Tabela1107[[#This Row],[PIS]]+Tabela1107[[#This Row],[COFINS]]+Tabela1107[[#This Row],[CONTRIB. FOLHA]]+Tabela1107[[#This Row],[TRIBUTOS S/ LUCRO]]+Tabela1107[[#This Row],[OUTROS]]+Tabela1107[[#This Row],[BA]]</f>
        <v>36.74</v>
      </c>
      <c r="BR439" s="97">
        <f>+Tabela1107[[#This Row],[PIS]]+Tabela1107[[#This Row],[COFINS]]+Tabela1107[[#This Row],[CONTRIB. FOLHA]]+Tabela1107[[#This Row],[TRIBUTOS S/ LUCRO]]+Tabela1107[[#This Row],[OUTROS]]+Tabela1107[[#This Row],[BA]]</f>
        <v>36.74</v>
      </c>
      <c r="BS439" s="97">
        <f>+Tabela1107[[#This Row],[PIS]]+Tabela1107[[#This Row],[COFINS]]+Tabela1107[[#This Row],[CONTRIB. FOLHA]]+Tabela1107[[#This Row],[TRIBUTOS S/ LUCRO]]+Tabela1107[[#This Row],[OUTROS]]+Tabela1107[[#This Row],[PE]]</f>
        <v>36.74</v>
      </c>
      <c r="BT439" s="97">
        <f>+Tabela1107[[#This Row],[PIS]]+Tabela1107[[#This Row],[COFINS]]+Tabela1107[[#This Row],[CONTRIB. FOLHA]]+Tabela1107[[#This Row],[TRIBUTOS S/ LUCRO]]+Tabela1107[[#This Row],[OUTROS]]+Tabela1107[[#This Row],[PA]]</f>
        <v>36.74</v>
      </c>
      <c r="BU439" s="97">
        <f>+Tabela1107[[#This Row],[PIS]]+Tabela1107[[#This Row],[COFINS]]+Tabela1107[[#This Row],[CONTRIB. FOLHA]]+Tabela1107[[#This Row],[TRIBUTOS S/ LUCRO]]+Tabela1107[[#This Row],[OUTROS]]+Tabela1107[[#This Row],[AM]]</f>
        <v>36.74</v>
      </c>
      <c r="BV439" s="97">
        <f>AVERAGE(Tabela1107[[#This Row],[TOTAL SP]:[TOTAL AM]])</f>
        <v>36.677500000000002</v>
      </c>
      <c r="BW439" s="97"/>
      <c r="BX439" s="97"/>
    </row>
    <row r="440" spans="2:76" x14ac:dyDescent="0.25">
      <c r="B440" s="89">
        <v>18898</v>
      </c>
      <c r="C440" s="91" t="s">
        <v>13120</v>
      </c>
      <c r="D440" s="89"/>
      <c r="E440" s="89">
        <v>20140626</v>
      </c>
      <c r="F440" s="89" t="s">
        <v>20385</v>
      </c>
      <c r="G440" s="89" t="s">
        <v>20386</v>
      </c>
      <c r="H440" s="89" t="s">
        <v>20387</v>
      </c>
      <c r="I440" s="89" t="s">
        <v>20388</v>
      </c>
      <c r="J440" s="89" t="s">
        <v>517</v>
      </c>
      <c r="K440" s="89" t="s">
        <v>2485</v>
      </c>
      <c r="L440" s="89" t="s">
        <v>2705</v>
      </c>
      <c r="M440" s="89" t="s">
        <v>4496</v>
      </c>
      <c r="N440" s="89" t="s">
        <v>4496</v>
      </c>
      <c r="O440" s="89" t="s">
        <v>4496</v>
      </c>
      <c r="P440" s="89" t="s">
        <v>4496</v>
      </c>
      <c r="Q440" s="89"/>
      <c r="R440" s="89" t="s">
        <v>466</v>
      </c>
      <c r="S440" s="89" t="s">
        <v>21576</v>
      </c>
      <c r="T440" s="89" t="s">
        <v>21577</v>
      </c>
      <c r="U440" s="89" t="str">
        <f>TRIM('Carga Tributária doenças Po (2'!$L440)</f>
        <v>CLORIDRATO DE MOXIFLOXACINO</v>
      </c>
      <c r="V440" s="89">
        <f>SUMIFS('Tabela Federal'!$E$4:$E$2069,'Tabela Federal'!$D$4:$D$2069,'Carga Tributária doenças Po (2'!$L440)</f>
        <v>2</v>
      </c>
      <c r="W440" s="89">
        <f>SUMIFS('Tabela Federal'!$E$4:$E$2069,'Tabela Federal'!$D$4:$D$2069,'Carga Tributária doenças Po (2'!$M440)</f>
        <v>0</v>
      </c>
      <c r="X440" s="89">
        <f>SUMIFS('Tabela Federal'!$E$4:$E$2069,'Tabela Federal'!$D$4:$D$2069,'Carga Tributária doenças Po (2'!$N440)</f>
        <v>0</v>
      </c>
      <c r="Y440" s="89">
        <f>SUMIFS('Tabela Federal'!$E$4:$E$2069,'Tabela Federal'!$D$4:$D$2069,'Carga Tributária doenças Po (2'!$O440)</f>
        <v>0</v>
      </c>
      <c r="Z440" s="92" t="str">
        <f>VLOOKUP('Carga Tributária doenças Po (2'!$AD440,'Carga Tributária doenças Po (2'!$CA$12:$CC$16,2,0)</f>
        <v>+</v>
      </c>
      <c r="AA440" s="89" t="s">
        <v>514</v>
      </c>
      <c r="AB440" s="89" t="s">
        <v>21768</v>
      </c>
      <c r="AC440" s="89" t="s">
        <v>21721</v>
      </c>
      <c r="AD440" s="93" t="s">
        <v>21722</v>
      </c>
      <c r="AE440" s="92" t="s">
        <v>2</v>
      </c>
      <c r="AF440" s="92" t="s">
        <v>23</v>
      </c>
      <c r="AG440" s="94">
        <v>395809</v>
      </c>
      <c r="AH440" s="95">
        <v>3753877</v>
      </c>
      <c r="AI440" s="95">
        <v>8562434.3800000008</v>
      </c>
      <c r="AJ440" s="89" t="s">
        <v>525</v>
      </c>
      <c r="AK440" s="89">
        <f>IF('Carga Tributária doenças Po (2'!$Z440="+",0,SUMIFS(PISCOFINS!$I$3:$I$10518,PISCOFINS!$C$3:$C$10518,'Carga Tributária doenças Po (2'!$C440))</f>
        <v>0</v>
      </c>
      <c r="AL440" s="89">
        <f>IF('Carga Tributária doenças Po (2'!$Z440="+",0,SUMIFS(PISCOFINS!$H$3:$H$10518,PISCOFINS!$C$3:$C$10518,'Carga Tributária doenças Po (2'!$C440))</f>
        <v>0</v>
      </c>
      <c r="AM440" s="95">
        <v>3.27</v>
      </c>
      <c r="AN440" s="95">
        <v>3.12</v>
      </c>
      <c r="AO440" s="95">
        <v>1.35</v>
      </c>
      <c r="AP440" s="96">
        <v>18</v>
      </c>
      <c r="AQ440" s="96">
        <v>12</v>
      </c>
      <c r="AR440" s="96">
        <v>17</v>
      </c>
      <c r="AS440" s="97">
        <v>17</v>
      </c>
      <c r="AT440" s="97">
        <v>19</v>
      </c>
      <c r="AU440" s="97">
        <v>18</v>
      </c>
      <c r="AV440" s="97">
        <v>17</v>
      </c>
      <c r="AW440" s="97">
        <v>17</v>
      </c>
      <c r="AX440" s="97">
        <v>17</v>
      </c>
      <c r="AY440" s="97">
        <v>17</v>
      </c>
      <c r="AZ440" s="97">
        <v>17</v>
      </c>
      <c r="BA440" s="97">
        <v>17</v>
      </c>
      <c r="BB440" s="97">
        <v>17</v>
      </c>
      <c r="BC440" s="97">
        <v>17</v>
      </c>
      <c r="BD440" s="97">
        <v>17</v>
      </c>
      <c r="BE440" s="97">
        <v>17</v>
      </c>
      <c r="BF440" s="97">
        <f>+Tabela1107[[#This Row],[PIS]]+Tabela1107[[#This Row],[COFINS]]+Tabela1107[[#This Row],[CONTRIB. FOLHA]]+Tabela1107[[#This Row],[TRIBUTOS S/ LUCRO]]+Tabela1107[[#This Row],[OUTROS]]+Tabela1107[[#This Row],[SP]]</f>
        <v>25.740000000000002</v>
      </c>
      <c r="BG440" s="97">
        <f>+Tabela1107[[#This Row],[PIS]]+Tabela1107[[#This Row],[COFINS]]+Tabela1107[[#This Row],[CONTRIB. FOLHA]]+Tabela1107[[#This Row],[TRIBUTOS S/ LUCRO]]+Tabela1107[[#This Row],[OUTROS]]+Tabela1107[[#This Row],[PR]]</f>
        <v>19.740000000000002</v>
      </c>
      <c r="BH440" s="97">
        <f>+Tabela1107[[#This Row],[PIS]]+Tabela1107[[#This Row],[COFINS]]+Tabela1107[[#This Row],[CONTRIB. FOLHA]]+Tabela1107[[#This Row],[TRIBUTOS S/ LUCRO]]+Tabela1107[[#This Row],[OUTROS]]+Tabela1107[[#This Row],[SC]]</f>
        <v>24.740000000000002</v>
      </c>
      <c r="BI440" s="97">
        <f>+Tabela1107[[#This Row],[PIS]]+Tabela1107[[#This Row],[COFINS]]+Tabela1107[[#This Row],[CONTRIB. FOLHA]]+Tabela1107[[#This Row],[TRIBUTOS S/ LUCRO]]+Tabela1107[[#This Row],[OUTROS]]+Tabela1107[[#This Row],[RS]]</f>
        <v>24.740000000000002</v>
      </c>
      <c r="BJ440" s="97">
        <f>+Tabela1107[[#This Row],[PIS]]+Tabela1107[[#This Row],[COFINS]]+Tabela1107[[#This Row],[CONTRIB. FOLHA]]+Tabela1107[[#This Row],[TRIBUTOS S/ LUCRO]]+Tabela1107[[#This Row],[OUTROS]]+Tabela1107[[#This Row],[RJ]]</f>
        <v>26.740000000000002</v>
      </c>
      <c r="BK440" s="97">
        <f>+Tabela1107[[#This Row],[PIS]]+Tabela1107[[#This Row],[COFINS]]+Tabela1107[[#This Row],[CONTRIB. FOLHA]]+Tabela1107[[#This Row],[TRIBUTOS S/ LUCRO]]+Tabela1107[[#This Row],[OUTROS]]+Tabela1107[[#This Row],[MG]]</f>
        <v>25.740000000000002</v>
      </c>
      <c r="BL440" s="97">
        <f>+Tabela1107[[#This Row],[PIS]]+Tabela1107[[#This Row],[COFINS]]+Tabela1107[[#This Row],[CONTRIB. FOLHA]]+Tabela1107[[#This Row],[TRIBUTOS S/ LUCRO]]+Tabela1107[[#This Row],[OUTROS]]+Tabela1107[[#This Row],[ES]]</f>
        <v>24.740000000000002</v>
      </c>
      <c r="BM440" s="97">
        <f>+Tabela1107[[#This Row],[PIS]]+Tabela1107[[#This Row],[COFINS]]+Tabela1107[[#This Row],[CONTRIB. FOLHA]]+Tabela1107[[#This Row],[TRIBUTOS S/ LUCRO]]+Tabela1107[[#This Row],[OUTROS]]+Tabela1107[[#This Row],[GO]]</f>
        <v>24.740000000000002</v>
      </c>
      <c r="BN440" s="97">
        <f>+Tabela1107[[#This Row],[PIS]]+Tabela1107[[#This Row],[COFINS]]+Tabela1107[[#This Row],[CONTRIB. FOLHA]]+Tabela1107[[#This Row],[TRIBUTOS S/ LUCRO]]+Tabela1107[[#This Row],[OUTROS]]+Tabela1107[[#This Row],[MT]]</f>
        <v>24.740000000000002</v>
      </c>
      <c r="BO440" s="97">
        <f>+Tabela1107[[#This Row],[PIS]]+Tabela1107[[#This Row],[COFINS]]+Tabela1107[[#This Row],[CONTRIB. FOLHA]]+Tabela1107[[#This Row],[TRIBUTOS S/ LUCRO]]+Tabela1107[[#This Row],[OUTROS]]+Tabela1107[[#This Row],[MS]]</f>
        <v>24.740000000000002</v>
      </c>
      <c r="BP440" s="97">
        <f>+Tabela1107[[#This Row],[PIS]]+Tabela1107[[#This Row],[COFINS]]+Tabela1107[[#This Row],[CONTRIB. FOLHA]]+Tabela1107[[#This Row],[TRIBUTOS S/ LUCRO]]+Tabela1107[[#This Row],[OUTROS]]+Tabela1107[[#This Row],[DF]]</f>
        <v>24.740000000000002</v>
      </c>
      <c r="BQ440" s="97">
        <f>+Tabela1107[[#This Row],[PIS]]+Tabela1107[[#This Row],[COFINS]]+Tabela1107[[#This Row],[CONTRIB. FOLHA]]+Tabela1107[[#This Row],[TRIBUTOS S/ LUCRO]]+Tabela1107[[#This Row],[OUTROS]]+Tabela1107[[#This Row],[BA]]</f>
        <v>24.740000000000002</v>
      </c>
      <c r="BR440" s="97">
        <f>+Tabela1107[[#This Row],[PIS]]+Tabela1107[[#This Row],[COFINS]]+Tabela1107[[#This Row],[CONTRIB. FOLHA]]+Tabela1107[[#This Row],[TRIBUTOS S/ LUCRO]]+Tabela1107[[#This Row],[OUTROS]]+Tabela1107[[#This Row],[BA]]</f>
        <v>24.740000000000002</v>
      </c>
      <c r="BS440" s="97">
        <f>+Tabela1107[[#This Row],[PIS]]+Tabela1107[[#This Row],[COFINS]]+Tabela1107[[#This Row],[CONTRIB. FOLHA]]+Tabela1107[[#This Row],[TRIBUTOS S/ LUCRO]]+Tabela1107[[#This Row],[OUTROS]]+Tabela1107[[#This Row],[PE]]</f>
        <v>24.740000000000002</v>
      </c>
      <c r="BT440" s="97">
        <f>+Tabela1107[[#This Row],[PIS]]+Tabela1107[[#This Row],[COFINS]]+Tabela1107[[#This Row],[CONTRIB. FOLHA]]+Tabela1107[[#This Row],[TRIBUTOS S/ LUCRO]]+Tabela1107[[#This Row],[OUTROS]]+Tabela1107[[#This Row],[PA]]</f>
        <v>24.740000000000002</v>
      </c>
      <c r="BU440" s="97">
        <f>+Tabela1107[[#This Row],[PIS]]+Tabela1107[[#This Row],[COFINS]]+Tabela1107[[#This Row],[CONTRIB. FOLHA]]+Tabela1107[[#This Row],[TRIBUTOS S/ LUCRO]]+Tabela1107[[#This Row],[OUTROS]]+Tabela1107[[#This Row],[AM]]</f>
        <v>24.740000000000002</v>
      </c>
      <c r="BV440" s="97">
        <f>AVERAGE(Tabela1107[[#This Row],[TOTAL SP]:[TOTAL AM]])</f>
        <v>24.677500000000006</v>
      </c>
      <c r="BW440" s="97"/>
      <c r="BX440" s="97"/>
    </row>
    <row r="441" spans="2:76" x14ac:dyDescent="0.25">
      <c r="B441" s="89">
        <v>19050</v>
      </c>
      <c r="C441" s="91" t="s">
        <v>13168</v>
      </c>
      <c r="D441" s="89"/>
      <c r="E441" s="89">
        <v>20140626</v>
      </c>
      <c r="F441" s="89" t="s">
        <v>20515</v>
      </c>
      <c r="G441" s="89" t="s">
        <v>20516</v>
      </c>
      <c r="H441" s="89" t="s">
        <v>20517</v>
      </c>
      <c r="I441" s="89" t="s">
        <v>20518</v>
      </c>
      <c r="J441" s="89" t="s">
        <v>83</v>
      </c>
      <c r="K441" s="89" t="s">
        <v>2484</v>
      </c>
      <c r="L441" s="89" t="s">
        <v>2668</v>
      </c>
      <c r="M441" s="89" t="s">
        <v>4496</v>
      </c>
      <c r="N441" s="89" t="s">
        <v>4496</v>
      </c>
      <c r="O441" s="89" t="s">
        <v>4496</v>
      </c>
      <c r="P441" s="89" t="s">
        <v>4496</v>
      </c>
      <c r="Q441" s="89"/>
      <c r="R441" s="89" t="s">
        <v>85</v>
      </c>
      <c r="S441" s="89" t="s">
        <v>21598</v>
      </c>
      <c r="T441" s="89" t="s">
        <v>21599</v>
      </c>
      <c r="U441" s="89" t="str">
        <f>TRIM('Carga Tributária doenças Po (2'!$L441)</f>
        <v>CLORIDRATO DE ONDANSETRONA</v>
      </c>
      <c r="V441" s="89">
        <f>SUMIFS('Tabela Federal'!$E$4:$E$2069,'Tabela Federal'!$D$4:$D$2069,'Carga Tributária doenças Po (2'!$L441)</f>
        <v>1</v>
      </c>
      <c r="W441" s="89">
        <f>SUMIFS('Tabela Federal'!$E$4:$E$2069,'Tabela Federal'!$D$4:$D$2069,'Carga Tributária doenças Po (2'!$M441)</f>
        <v>0</v>
      </c>
      <c r="X441" s="89">
        <f>SUMIFS('Tabela Federal'!$E$4:$E$2069,'Tabela Federal'!$D$4:$D$2069,'Carga Tributária doenças Po (2'!$N441)</f>
        <v>0</v>
      </c>
      <c r="Y441" s="89">
        <f>SUMIFS('Tabela Federal'!$E$4:$E$2069,'Tabela Federal'!$D$4:$D$2069,'Carga Tributária doenças Po (2'!$O441)</f>
        <v>0</v>
      </c>
      <c r="Z441" s="92" t="str">
        <f>VLOOKUP('Carga Tributária doenças Po (2'!$AD441,'Carga Tributária doenças Po (2'!$CA$12:$CC$16,2,0)</f>
        <v>+</v>
      </c>
      <c r="AA441" s="89" t="s">
        <v>84</v>
      </c>
      <c r="AB441" s="89" t="s">
        <v>21826</v>
      </c>
      <c r="AC441" s="89" t="s">
        <v>21721</v>
      </c>
      <c r="AD441" s="93" t="s">
        <v>21722</v>
      </c>
      <c r="AE441" s="92" t="s">
        <v>4</v>
      </c>
      <c r="AF441" s="92" t="s">
        <v>3</v>
      </c>
      <c r="AG441" s="94">
        <v>1049216</v>
      </c>
      <c r="AH441" s="95">
        <v>8959396</v>
      </c>
      <c r="AI441" s="95">
        <v>20487485.829999998</v>
      </c>
      <c r="AJ441" s="89" t="s">
        <v>554</v>
      </c>
      <c r="AK441" s="89">
        <f>IF('Carga Tributária doenças Po (2'!$Z441="+",0,SUMIFS(PISCOFINS!$I$3:$I$10518,PISCOFINS!$C$3:$C$10518,'Carga Tributária doenças Po (2'!$C441))</f>
        <v>0</v>
      </c>
      <c r="AL441" s="89">
        <f>IF('Carga Tributária doenças Po (2'!$Z441="+",0,SUMIFS(PISCOFINS!$H$3:$H$10518,PISCOFINS!$C$3:$C$10518,'Carga Tributária doenças Po (2'!$C441))</f>
        <v>0</v>
      </c>
      <c r="AM441" s="95">
        <v>3.27</v>
      </c>
      <c r="AN441" s="95">
        <v>3.12</v>
      </c>
      <c r="AO441" s="95">
        <v>1.35</v>
      </c>
      <c r="AP441" s="96">
        <v>18</v>
      </c>
      <c r="AQ441" s="96">
        <v>12</v>
      </c>
      <c r="AR441" s="96">
        <v>17</v>
      </c>
      <c r="AS441" s="97">
        <v>17</v>
      </c>
      <c r="AT441" s="97">
        <v>19</v>
      </c>
      <c r="AU441" s="97">
        <v>18</v>
      </c>
      <c r="AV441" s="97">
        <v>17</v>
      </c>
      <c r="AW441" s="97">
        <v>17</v>
      </c>
      <c r="AX441" s="97">
        <v>17</v>
      </c>
      <c r="AY441" s="97">
        <v>17</v>
      </c>
      <c r="AZ441" s="97">
        <v>17</v>
      </c>
      <c r="BA441" s="97">
        <v>17</v>
      </c>
      <c r="BB441" s="97">
        <v>17</v>
      </c>
      <c r="BC441" s="97">
        <v>17</v>
      </c>
      <c r="BD441" s="97">
        <v>17</v>
      </c>
      <c r="BE441" s="97">
        <v>17</v>
      </c>
      <c r="BF441" s="97">
        <f>+Tabela1107[[#This Row],[PIS]]+Tabela1107[[#This Row],[COFINS]]+Tabela1107[[#This Row],[CONTRIB. FOLHA]]+Tabela1107[[#This Row],[TRIBUTOS S/ LUCRO]]+Tabela1107[[#This Row],[OUTROS]]+Tabela1107[[#This Row],[SP]]</f>
        <v>25.740000000000002</v>
      </c>
      <c r="BG441" s="97">
        <f>+Tabela1107[[#This Row],[PIS]]+Tabela1107[[#This Row],[COFINS]]+Tabela1107[[#This Row],[CONTRIB. FOLHA]]+Tabela1107[[#This Row],[TRIBUTOS S/ LUCRO]]+Tabela1107[[#This Row],[OUTROS]]+Tabela1107[[#This Row],[PR]]</f>
        <v>19.740000000000002</v>
      </c>
      <c r="BH441" s="97">
        <f>+Tabela1107[[#This Row],[PIS]]+Tabela1107[[#This Row],[COFINS]]+Tabela1107[[#This Row],[CONTRIB. FOLHA]]+Tabela1107[[#This Row],[TRIBUTOS S/ LUCRO]]+Tabela1107[[#This Row],[OUTROS]]+Tabela1107[[#This Row],[SC]]</f>
        <v>24.740000000000002</v>
      </c>
      <c r="BI441" s="97">
        <f>+Tabela1107[[#This Row],[PIS]]+Tabela1107[[#This Row],[COFINS]]+Tabela1107[[#This Row],[CONTRIB. FOLHA]]+Tabela1107[[#This Row],[TRIBUTOS S/ LUCRO]]+Tabela1107[[#This Row],[OUTROS]]+Tabela1107[[#This Row],[RS]]</f>
        <v>24.740000000000002</v>
      </c>
      <c r="BJ441" s="97">
        <f>+Tabela1107[[#This Row],[PIS]]+Tabela1107[[#This Row],[COFINS]]+Tabela1107[[#This Row],[CONTRIB. FOLHA]]+Tabela1107[[#This Row],[TRIBUTOS S/ LUCRO]]+Tabela1107[[#This Row],[OUTROS]]+Tabela1107[[#This Row],[RJ]]</f>
        <v>26.740000000000002</v>
      </c>
      <c r="BK441" s="97">
        <f>+Tabela1107[[#This Row],[PIS]]+Tabela1107[[#This Row],[COFINS]]+Tabela1107[[#This Row],[CONTRIB. FOLHA]]+Tabela1107[[#This Row],[TRIBUTOS S/ LUCRO]]+Tabela1107[[#This Row],[OUTROS]]+Tabela1107[[#This Row],[MG]]</f>
        <v>25.740000000000002</v>
      </c>
      <c r="BL441" s="97">
        <f>+Tabela1107[[#This Row],[PIS]]+Tabela1107[[#This Row],[COFINS]]+Tabela1107[[#This Row],[CONTRIB. FOLHA]]+Tabela1107[[#This Row],[TRIBUTOS S/ LUCRO]]+Tabela1107[[#This Row],[OUTROS]]+Tabela1107[[#This Row],[ES]]</f>
        <v>24.740000000000002</v>
      </c>
      <c r="BM441" s="97">
        <f>+Tabela1107[[#This Row],[PIS]]+Tabela1107[[#This Row],[COFINS]]+Tabela1107[[#This Row],[CONTRIB. FOLHA]]+Tabela1107[[#This Row],[TRIBUTOS S/ LUCRO]]+Tabela1107[[#This Row],[OUTROS]]+Tabela1107[[#This Row],[GO]]</f>
        <v>24.740000000000002</v>
      </c>
      <c r="BN441" s="97">
        <f>+Tabela1107[[#This Row],[PIS]]+Tabela1107[[#This Row],[COFINS]]+Tabela1107[[#This Row],[CONTRIB. FOLHA]]+Tabela1107[[#This Row],[TRIBUTOS S/ LUCRO]]+Tabela1107[[#This Row],[OUTROS]]+Tabela1107[[#This Row],[MT]]</f>
        <v>24.740000000000002</v>
      </c>
      <c r="BO441" s="97">
        <f>+Tabela1107[[#This Row],[PIS]]+Tabela1107[[#This Row],[COFINS]]+Tabela1107[[#This Row],[CONTRIB. FOLHA]]+Tabela1107[[#This Row],[TRIBUTOS S/ LUCRO]]+Tabela1107[[#This Row],[OUTROS]]+Tabela1107[[#This Row],[MS]]</f>
        <v>24.740000000000002</v>
      </c>
      <c r="BP441" s="97">
        <f>+Tabela1107[[#This Row],[PIS]]+Tabela1107[[#This Row],[COFINS]]+Tabela1107[[#This Row],[CONTRIB. FOLHA]]+Tabela1107[[#This Row],[TRIBUTOS S/ LUCRO]]+Tabela1107[[#This Row],[OUTROS]]+Tabela1107[[#This Row],[DF]]</f>
        <v>24.740000000000002</v>
      </c>
      <c r="BQ441" s="97">
        <f>+Tabela1107[[#This Row],[PIS]]+Tabela1107[[#This Row],[COFINS]]+Tabela1107[[#This Row],[CONTRIB. FOLHA]]+Tabela1107[[#This Row],[TRIBUTOS S/ LUCRO]]+Tabela1107[[#This Row],[OUTROS]]+Tabela1107[[#This Row],[BA]]</f>
        <v>24.740000000000002</v>
      </c>
      <c r="BR441" s="97">
        <f>+Tabela1107[[#This Row],[PIS]]+Tabela1107[[#This Row],[COFINS]]+Tabela1107[[#This Row],[CONTRIB. FOLHA]]+Tabela1107[[#This Row],[TRIBUTOS S/ LUCRO]]+Tabela1107[[#This Row],[OUTROS]]+Tabela1107[[#This Row],[BA]]</f>
        <v>24.740000000000002</v>
      </c>
      <c r="BS441" s="97">
        <f>+Tabela1107[[#This Row],[PIS]]+Tabela1107[[#This Row],[COFINS]]+Tabela1107[[#This Row],[CONTRIB. FOLHA]]+Tabela1107[[#This Row],[TRIBUTOS S/ LUCRO]]+Tabela1107[[#This Row],[OUTROS]]+Tabela1107[[#This Row],[PE]]</f>
        <v>24.740000000000002</v>
      </c>
      <c r="BT441" s="97">
        <f>+Tabela1107[[#This Row],[PIS]]+Tabela1107[[#This Row],[COFINS]]+Tabela1107[[#This Row],[CONTRIB. FOLHA]]+Tabela1107[[#This Row],[TRIBUTOS S/ LUCRO]]+Tabela1107[[#This Row],[OUTROS]]+Tabela1107[[#This Row],[PA]]</f>
        <v>24.740000000000002</v>
      </c>
      <c r="BU441" s="97">
        <f>+Tabela1107[[#This Row],[PIS]]+Tabela1107[[#This Row],[COFINS]]+Tabela1107[[#This Row],[CONTRIB. FOLHA]]+Tabela1107[[#This Row],[TRIBUTOS S/ LUCRO]]+Tabela1107[[#This Row],[OUTROS]]+Tabela1107[[#This Row],[AM]]</f>
        <v>24.740000000000002</v>
      </c>
      <c r="BV441" s="97">
        <f>AVERAGE(Tabela1107[[#This Row],[TOTAL SP]:[TOTAL AM]])</f>
        <v>24.677500000000006</v>
      </c>
      <c r="BW441" s="97"/>
      <c r="BX441" s="97"/>
    </row>
    <row r="442" spans="2:76" x14ac:dyDescent="0.25">
      <c r="B442" s="89">
        <v>19050</v>
      </c>
      <c r="C442" s="91" t="s">
        <v>13168</v>
      </c>
      <c r="D442" s="89"/>
      <c r="E442" s="89">
        <v>20140626</v>
      </c>
      <c r="F442" s="89" t="s">
        <v>20515</v>
      </c>
      <c r="G442" s="89" t="s">
        <v>20516</v>
      </c>
      <c r="H442" s="89" t="s">
        <v>20517</v>
      </c>
      <c r="I442" s="89" t="s">
        <v>20518</v>
      </c>
      <c r="J442" s="89" t="s">
        <v>83</v>
      </c>
      <c r="K442" s="89" t="s">
        <v>2484</v>
      </c>
      <c r="L442" s="89" t="s">
        <v>2668</v>
      </c>
      <c r="M442" s="89" t="s">
        <v>4496</v>
      </c>
      <c r="N442" s="89" t="s">
        <v>4496</v>
      </c>
      <c r="O442" s="89" t="s">
        <v>4496</v>
      </c>
      <c r="P442" s="89" t="s">
        <v>4496</v>
      </c>
      <c r="Q442" s="89"/>
      <c r="R442" s="89" t="s">
        <v>85</v>
      </c>
      <c r="S442" s="89" t="s">
        <v>21598</v>
      </c>
      <c r="T442" s="89" t="s">
        <v>21599</v>
      </c>
      <c r="U442" s="89" t="str">
        <f>TRIM('Carga Tributária doenças Po (2'!$L442)</f>
        <v>CLORIDRATO DE ONDANSETRONA</v>
      </c>
      <c r="V442" s="89">
        <f>SUMIFS('Tabela Federal'!$E$4:$E$2069,'Tabela Federal'!$D$4:$D$2069,'Carga Tributária doenças Po (2'!$L442)</f>
        <v>1</v>
      </c>
      <c r="W442" s="89">
        <f>SUMIFS('Tabela Federal'!$E$4:$E$2069,'Tabela Federal'!$D$4:$D$2069,'Carga Tributária doenças Po (2'!$M442)</f>
        <v>0</v>
      </c>
      <c r="X442" s="89">
        <f>SUMIFS('Tabela Federal'!$E$4:$E$2069,'Tabela Federal'!$D$4:$D$2069,'Carga Tributária doenças Po (2'!$N442)</f>
        <v>0</v>
      </c>
      <c r="Y442" s="89">
        <f>SUMIFS('Tabela Federal'!$E$4:$E$2069,'Tabela Federal'!$D$4:$D$2069,'Carga Tributária doenças Po (2'!$O442)</f>
        <v>0</v>
      </c>
      <c r="Z442" s="92" t="str">
        <f>VLOOKUP('Carga Tributária doenças Po (2'!$AD442,'Carga Tributária doenças Po (2'!$CA$12:$CC$16,2,0)</f>
        <v>+</v>
      </c>
      <c r="AA442" s="89" t="s">
        <v>84</v>
      </c>
      <c r="AB442" s="89" t="s">
        <v>21826</v>
      </c>
      <c r="AC442" s="89" t="s">
        <v>21721</v>
      </c>
      <c r="AD442" s="93" t="s">
        <v>21722</v>
      </c>
      <c r="AE442" s="92" t="s">
        <v>4</v>
      </c>
      <c r="AF442" s="92" t="s">
        <v>3</v>
      </c>
      <c r="AG442" s="94">
        <v>1049216</v>
      </c>
      <c r="AH442" s="95">
        <v>8959396</v>
      </c>
      <c r="AI442" s="95">
        <v>20487485.829999998</v>
      </c>
      <c r="AJ442" s="89" t="s">
        <v>76</v>
      </c>
      <c r="AK442" s="89">
        <f>IF('Carga Tributária doenças Po (2'!$Z442="+",0,SUMIFS(PISCOFINS!$I$3:$I$10518,PISCOFINS!$C$3:$C$10518,'Carga Tributária doenças Po (2'!$C442))</f>
        <v>0</v>
      </c>
      <c r="AL442" s="89">
        <f>IF('Carga Tributária doenças Po (2'!$Z442="+",0,SUMIFS(PISCOFINS!$H$3:$H$10518,PISCOFINS!$C$3:$C$10518,'Carga Tributária doenças Po (2'!$C442))</f>
        <v>0</v>
      </c>
      <c r="AM442" s="95">
        <v>3.27</v>
      </c>
      <c r="AN442" s="95">
        <v>3.12</v>
      </c>
      <c r="AO442" s="95">
        <v>1.35</v>
      </c>
      <c r="AP442" s="96">
        <v>18</v>
      </c>
      <c r="AQ442" s="96">
        <v>12</v>
      </c>
      <c r="AR442" s="96">
        <v>17</v>
      </c>
      <c r="AS442" s="97">
        <v>17</v>
      </c>
      <c r="AT442" s="97">
        <v>19</v>
      </c>
      <c r="AU442" s="97">
        <v>18</v>
      </c>
      <c r="AV442" s="97">
        <v>17</v>
      </c>
      <c r="AW442" s="97">
        <v>17</v>
      </c>
      <c r="AX442" s="97">
        <v>17</v>
      </c>
      <c r="AY442" s="97">
        <v>17</v>
      </c>
      <c r="AZ442" s="97">
        <v>17</v>
      </c>
      <c r="BA442" s="97">
        <v>17</v>
      </c>
      <c r="BB442" s="97">
        <v>17</v>
      </c>
      <c r="BC442" s="97">
        <v>17</v>
      </c>
      <c r="BD442" s="97">
        <v>17</v>
      </c>
      <c r="BE442" s="97">
        <v>17</v>
      </c>
      <c r="BF442" s="97">
        <f>+Tabela1107[[#This Row],[PIS]]+Tabela1107[[#This Row],[COFINS]]+Tabela1107[[#This Row],[CONTRIB. FOLHA]]+Tabela1107[[#This Row],[TRIBUTOS S/ LUCRO]]+Tabela1107[[#This Row],[OUTROS]]+Tabela1107[[#This Row],[SP]]</f>
        <v>25.740000000000002</v>
      </c>
      <c r="BG442" s="97">
        <f>+Tabela1107[[#This Row],[PIS]]+Tabela1107[[#This Row],[COFINS]]+Tabela1107[[#This Row],[CONTRIB. FOLHA]]+Tabela1107[[#This Row],[TRIBUTOS S/ LUCRO]]+Tabela1107[[#This Row],[OUTROS]]+Tabela1107[[#This Row],[PR]]</f>
        <v>19.740000000000002</v>
      </c>
      <c r="BH442" s="97">
        <f>+Tabela1107[[#This Row],[PIS]]+Tabela1107[[#This Row],[COFINS]]+Tabela1107[[#This Row],[CONTRIB. FOLHA]]+Tabela1107[[#This Row],[TRIBUTOS S/ LUCRO]]+Tabela1107[[#This Row],[OUTROS]]+Tabela1107[[#This Row],[SC]]</f>
        <v>24.740000000000002</v>
      </c>
      <c r="BI442" s="97">
        <f>+Tabela1107[[#This Row],[PIS]]+Tabela1107[[#This Row],[COFINS]]+Tabela1107[[#This Row],[CONTRIB. FOLHA]]+Tabela1107[[#This Row],[TRIBUTOS S/ LUCRO]]+Tabela1107[[#This Row],[OUTROS]]+Tabela1107[[#This Row],[RS]]</f>
        <v>24.740000000000002</v>
      </c>
      <c r="BJ442" s="97">
        <f>+Tabela1107[[#This Row],[PIS]]+Tabela1107[[#This Row],[COFINS]]+Tabela1107[[#This Row],[CONTRIB. FOLHA]]+Tabela1107[[#This Row],[TRIBUTOS S/ LUCRO]]+Tabela1107[[#This Row],[OUTROS]]+Tabela1107[[#This Row],[RJ]]</f>
        <v>26.740000000000002</v>
      </c>
      <c r="BK442" s="97">
        <f>+Tabela1107[[#This Row],[PIS]]+Tabela1107[[#This Row],[COFINS]]+Tabela1107[[#This Row],[CONTRIB. FOLHA]]+Tabela1107[[#This Row],[TRIBUTOS S/ LUCRO]]+Tabela1107[[#This Row],[OUTROS]]+Tabela1107[[#This Row],[MG]]</f>
        <v>25.740000000000002</v>
      </c>
      <c r="BL442" s="97">
        <f>+Tabela1107[[#This Row],[PIS]]+Tabela1107[[#This Row],[COFINS]]+Tabela1107[[#This Row],[CONTRIB. FOLHA]]+Tabela1107[[#This Row],[TRIBUTOS S/ LUCRO]]+Tabela1107[[#This Row],[OUTROS]]+Tabela1107[[#This Row],[ES]]</f>
        <v>24.740000000000002</v>
      </c>
      <c r="BM442" s="97">
        <f>+Tabela1107[[#This Row],[PIS]]+Tabela1107[[#This Row],[COFINS]]+Tabela1107[[#This Row],[CONTRIB. FOLHA]]+Tabela1107[[#This Row],[TRIBUTOS S/ LUCRO]]+Tabela1107[[#This Row],[OUTROS]]+Tabela1107[[#This Row],[GO]]</f>
        <v>24.740000000000002</v>
      </c>
      <c r="BN442" s="97">
        <f>+Tabela1107[[#This Row],[PIS]]+Tabela1107[[#This Row],[COFINS]]+Tabela1107[[#This Row],[CONTRIB. FOLHA]]+Tabela1107[[#This Row],[TRIBUTOS S/ LUCRO]]+Tabela1107[[#This Row],[OUTROS]]+Tabela1107[[#This Row],[MT]]</f>
        <v>24.740000000000002</v>
      </c>
      <c r="BO442" s="97">
        <f>+Tabela1107[[#This Row],[PIS]]+Tabela1107[[#This Row],[COFINS]]+Tabela1107[[#This Row],[CONTRIB. FOLHA]]+Tabela1107[[#This Row],[TRIBUTOS S/ LUCRO]]+Tabela1107[[#This Row],[OUTROS]]+Tabela1107[[#This Row],[MS]]</f>
        <v>24.740000000000002</v>
      </c>
      <c r="BP442" s="97">
        <f>+Tabela1107[[#This Row],[PIS]]+Tabela1107[[#This Row],[COFINS]]+Tabela1107[[#This Row],[CONTRIB. FOLHA]]+Tabela1107[[#This Row],[TRIBUTOS S/ LUCRO]]+Tabela1107[[#This Row],[OUTROS]]+Tabela1107[[#This Row],[DF]]</f>
        <v>24.740000000000002</v>
      </c>
      <c r="BQ442" s="97">
        <f>+Tabela1107[[#This Row],[PIS]]+Tabela1107[[#This Row],[COFINS]]+Tabela1107[[#This Row],[CONTRIB. FOLHA]]+Tabela1107[[#This Row],[TRIBUTOS S/ LUCRO]]+Tabela1107[[#This Row],[OUTROS]]+Tabela1107[[#This Row],[BA]]</f>
        <v>24.740000000000002</v>
      </c>
      <c r="BR442" s="97">
        <f>+Tabela1107[[#This Row],[PIS]]+Tabela1107[[#This Row],[COFINS]]+Tabela1107[[#This Row],[CONTRIB. FOLHA]]+Tabela1107[[#This Row],[TRIBUTOS S/ LUCRO]]+Tabela1107[[#This Row],[OUTROS]]+Tabela1107[[#This Row],[BA]]</f>
        <v>24.740000000000002</v>
      </c>
      <c r="BS442" s="97">
        <f>+Tabela1107[[#This Row],[PIS]]+Tabela1107[[#This Row],[COFINS]]+Tabela1107[[#This Row],[CONTRIB. FOLHA]]+Tabela1107[[#This Row],[TRIBUTOS S/ LUCRO]]+Tabela1107[[#This Row],[OUTROS]]+Tabela1107[[#This Row],[PE]]</f>
        <v>24.740000000000002</v>
      </c>
      <c r="BT442" s="97">
        <f>+Tabela1107[[#This Row],[PIS]]+Tabela1107[[#This Row],[COFINS]]+Tabela1107[[#This Row],[CONTRIB. FOLHA]]+Tabela1107[[#This Row],[TRIBUTOS S/ LUCRO]]+Tabela1107[[#This Row],[OUTROS]]+Tabela1107[[#This Row],[PA]]</f>
        <v>24.740000000000002</v>
      </c>
      <c r="BU442" s="97">
        <f>+Tabela1107[[#This Row],[PIS]]+Tabela1107[[#This Row],[COFINS]]+Tabela1107[[#This Row],[CONTRIB. FOLHA]]+Tabela1107[[#This Row],[TRIBUTOS S/ LUCRO]]+Tabela1107[[#This Row],[OUTROS]]+Tabela1107[[#This Row],[AM]]</f>
        <v>24.740000000000002</v>
      </c>
      <c r="BV442" s="97">
        <f>AVERAGE(Tabela1107[[#This Row],[TOTAL SP]:[TOTAL AM]])</f>
        <v>24.677500000000006</v>
      </c>
      <c r="BW442" s="97"/>
      <c r="BX442" s="97"/>
    </row>
    <row r="443" spans="2:76" x14ac:dyDescent="0.25">
      <c r="B443" s="89">
        <v>19057</v>
      </c>
      <c r="C443" s="91" t="s">
        <v>13168</v>
      </c>
      <c r="D443" s="89"/>
      <c r="E443" s="89">
        <v>20140626</v>
      </c>
      <c r="F443" s="89" t="s">
        <v>20519</v>
      </c>
      <c r="G443" s="89" t="s">
        <v>20520</v>
      </c>
      <c r="H443" s="89" t="s">
        <v>20521</v>
      </c>
      <c r="I443" s="89" t="s">
        <v>20518</v>
      </c>
      <c r="J443" s="89" t="s">
        <v>86</v>
      </c>
      <c r="K443" s="89" t="s">
        <v>2484</v>
      </c>
      <c r="L443" s="89" t="s">
        <v>2668</v>
      </c>
      <c r="M443" s="89" t="s">
        <v>4496</v>
      </c>
      <c r="N443" s="89" t="s">
        <v>4496</v>
      </c>
      <c r="O443" s="89" t="s">
        <v>4496</v>
      </c>
      <c r="P443" s="89" t="s">
        <v>4496</v>
      </c>
      <c r="Q443" s="89"/>
      <c r="R443" s="89" t="s">
        <v>85</v>
      </c>
      <c r="S443" s="89" t="s">
        <v>21598</v>
      </c>
      <c r="T443" s="89" t="s">
        <v>21599</v>
      </c>
      <c r="U443" s="89" t="str">
        <f>TRIM('Carga Tributária doenças Po (2'!$L443)</f>
        <v>CLORIDRATO DE ONDANSETRONA</v>
      </c>
      <c r="V443" s="89">
        <f>SUMIFS('Tabela Federal'!$E$4:$E$2069,'Tabela Federal'!$D$4:$D$2069,'Carga Tributária doenças Po (2'!$L443)</f>
        <v>1</v>
      </c>
      <c r="W443" s="89">
        <f>SUMIFS('Tabela Federal'!$E$4:$E$2069,'Tabela Federal'!$D$4:$D$2069,'Carga Tributária doenças Po (2'!$M443)</f>
        <v>0</v>
      </c>
      <c r="X443" s="89">
        <f>SUMIFS('Tabela Federal'!$E$4:$E$2069,'Tabela Federal'!$D$4:$D$2069,'Carga Tributária doenças Po (2'!$N443)</f>
        <v>0</v>
      </c>
      <c r="Y443" s="89">
        <f>SUMIFS('Tabela Federal'!$E$4:$E$2069,'Tabela Federal'!$D$4:$D$2069,'Carga Tributária doenças Po (2'!$O443)</f>
        <v>0</v>
      </c>
      <c r="Z443" s="92" t="str">
        <f>VLOOKUP('Carga Tributária doenças Po (2'!$AD443,'Carga Tributária doenças Po (2'!$CA$12:$CC$16,2,0)</f>
        <v>+</v>
      </c>
      <c r="AA443" s="89" t="s">
        <v>84</v>
      </c>
      <c r="AB443" s="89" t="s">
        <v>21826</v>
      </c>
      <c r="AC443" s="89" t="s">
        <v>21721</v>
      </c>
      <c r="AD443" s="93" t="s">
        <v>21722</v>
      </c>
      <c r="AE443" s="92" t="s">
        <v>4</v>
      </c>
      <c r="AF443" s="92" t="s">
        <v>3</v>
      </c>
      <c r="AG443" s="94">
        <v>674955</v>
      </c>
      <c r="AH443" s="95">
        <v>11355266</v>
      </c>
      <c r="AI443" s="95">
        <v>25959933.739999998</v>
      </c>
      <c r="AJ443" s="89" t="s">
        <v>76</v>
      </c>
      <c r="AK443" s="89">
        <f>IF('Carga Tributária doenças Po (2'!$Z443="+",0,SUMIFS(PISCOFINS!$I$3:$I$10518,PISCOFINS!$C$3:$C$10518,'Carga Tributária doenças Po (2'!$C443))</f>
        <v>0</v>
      </c>
      <c r="AL443" s="89">
        <f>IF('Carga Tributária doenças Po (2'!$Z443="+",0,SUMIFS(PISCOFINS!$H$3:$H$10518,PISCOFINS!$C$3:$C$10518,'Carga Tributária doenças Po (2'!$C443))</f>
        <v>0</v>
      </c>
      <c r="AM443" s="95">
        <v>3.27</v>
      </c>
      <c r="AN443" s="95">
        <v>3.12</v>
      </c>
      <c r="AO443" s="95">
        <v>1.35</v>
      </c>
      <c r="AP443" s="96">
        <v>18</v>
      </c>
      <c r="AQ443" s="96">
        <v>12</v>
      </c>
      <c r="AR443" s="96">
        <v>17</v>
      </c>
      <c r="AS443" s="97">
        <v>17</v>
      </c>
      <c r="AT443" s="97">
        <v>19</v>
      </c>
      <c r="AU443" s="97">
        <v>18</v>
      </c>
      <c r="AV443" s="97">
        <v>17</v>
      </c>
      <c r="AW443" s="97">
        <v>17</v>
      </c>
      <c r="AX443" s="97">
        <v>17</v>
      </c>
      <c r="AY443" s="97">
        <v>17</v>
      </c>
      <c r="AZ443" s="97">
        <v>17</v>
      </c>
      <c r="BA443" s="97">
        <v>17</v>
      </c>
      <c r="BB443" s="97">
        <v>17</v>
      </c>
      <c r="BC443" s="97">
        <v>17</v>
      </c>
      <c r="BD443" s="97">
        <v>17</v>
      </c>
      <c r="BE443" s="97">
        <v>17</v>
      </c>
      <c r="BF443" s="97">
        <f>+Tabela1107[[#This Row],[PIS]]+Tabela1107[[#This Row],[COFINS]]+Tabela1107[[#This Row],[CONTRIB. FOLHA]]+Tabela1107[[#This Row],[TRIBUTOS S/ LUCRO]]+Tabela1107[[#This Row],[OUTROS]]+Tabela1107[[#This Row],[SP]]</f>
        <v>25.740000000000002</v>
      </c>
      <c r="BG443" s="97">
        <f>+Tabela1107[[#This Row],[PIS]]+Tabela1107[[#This Row],[COFINS]]+Tabela1107[[#This Row],[CONTRIB. FOLHA]]+Tabela1107[[#This Row],[TRIBUTOS S/ LUCRO]]+Tabela1107[[#This Row],[OUTROS]]+Tabela1107[[#This Row],[PR]]</f>
        <v>19.740000000000002</v>
      </c>
      <c r="BH443" s="97">
        <f>+Tabela1107[[#This Row],[PIS]]+Tabela1107[[#This Row],[COFINS]]+Tabela1107[[#This Row],[CONTRIB. FOLHA]]+Tabela1107[[#This Row],[TRIBUTOS S/ LUCRO]]+Tabela1107[[#This Row],[OUTROS]]+Tabela1107[[#This Row],[SC]]</f>
        <v>24.740000000000002</v>
      </c>
      <c r="BI443" s="97">
        <f>+Tabela1107[[#This Row],[PIS]]+Tabela1107[[#This Row],[COFINS]]+Tabela1107[[#This Row],[CONTRIB. FOLHA]]+Tabela1107[[#This Row],[TRIBUTOS S/ LUCRO]]+Tabela1107[[#This Row],[OUTROS]]+Tabela1107[[#This Row],[RS]]</f>
        <v>24.740000000000002</v>
      </c>
      <c r="BJ443" s="97">
        <f>+Tabela1107[[#This Row],[PIS]]+Tabela1107[[#This Row],[COFINS]]+Tabela1107[[#This Row],[CONTRIB. FOLHA]]+Tabela1107[[#This Row],[TRIBUTOS S/ LUCRO]]+Tabela1107[[#This Row],[OUTROS]]+Tabela1107[[#This Row],[RJ]]</f>
        <v>26.740000000000002</v>
      </c>
      <c r="BK443" s="97">
        <f>+Tabela1107[[#This Row],[PIS]]+Tabela1107[[#This Row],[COFINS]]+Tabela1107[[#This Row],[CONTRIB. FOLHA]]+Tabela1107[[#This Row],[TRIBUTOS S/ LUCRO]]+Tabela1107[[#This Row],[OUTROS]]+Tabela1107[[#This Row],[MG]]</f>
        <v>25.740000000000002</v>
      </c>
      <c r="BL443" s="97">
        <f>+Tabela1107[[#This Row],[PIS]]+Tabela1107[[#This Row],[COFINS]]+Tabela1107[[#This Row],[CONTRIB. FOLHA]]+Tabela1107[[#This Row],[TRIBUTOS S/ LUCRO]]+Tabela1107[[#This Row],[OUTROS]]+Tabela1107[[#This Row],[ES]]</f>
        <v>24.740000000000002</v>
      </c>
      <c r="BM443" s="97">
        <f>+Tabela1107[[#This Row],[PIS]]+Tabela1107[[#This Row],[COFINS]]+Tabela1107[[#This Row],[CONTRIB. FOLHA]]+Tabela1107[[#This Row],[TRIBUTOS S/ LUCRO]]+Tabela1107[[#This Row],[OUTROS]]+Tabela1107[[#This Row],[GO]]</f>
        <v>24.740000000000002</v>
      </c>
      <c r="BN443" s="97">
        <f>+Tabela1107[[#This Row],[PIS]]+Tabela1107[[#This Row],[COFINS]]+Tabela1107[[#This Row],[CONTRIB. FOLHA]]+Tabela1107[[#This Row],[TRIBUTOS S/ LUCRO]]+Tabela1107[[#This Row],[OUTROS]]+Tabela1107[[#This Row],[MT]]</f>
        <v>24.740000000000002</v>
      </c>
      <c r="BO443" s="97">
        <f>+Tabela1107[[#This Row],[PIS]]+Tabela1107[[#This Row],[COFINS]]+Tabela1107[[#This Row],[CONTRIB. FOLHA]]+Tabela1107[[#This Row],[TRIBUTOS S/ LUCRO]]+Tabela1107[[#This Row],[OUTROS]]+Tabela1107[[#This Row],[MS]]</f>
        <v>24.740000000000002</v>
      </c>
      <c r="BP443" s="97">
        <f>+Tabela1107[[#This Row],[PIS]]+Tabela1107[[#This Row],[COFINS]]+Tabela1107[[#This Row],[CONTRIB. FOLHA]]+Tabela1107[[#This Row],[TRIBUTOS S/ LUCRO]]+Tabela1107[[#This Row],[OUTROS]]+Tabela1107[[#This Row],[DF]]</f>
        <v>24.740000000000002</v>
      </c>
      <c r="BQ443" s="97">
        <f>+Tabela1107[[#This Row],[PIS]]+Tabela1107[[#This Row],[COFINS]]+Tabela1107[[#This Row],[CONTRIB. FOLHA]]+Tabela1107[[#This Row],[TRIBUTOS S/ LUCRO]]+Tabela1107[[#This Row],[OUTROS]]+Tabela1107[[#This Row],[BA]]</f>
        <v>24.740000000000002</v>
      </c>
      <c r="BR443" s="97">
        <f>+Tabela1107[[#This Row],[PIS]]+Tabela1107[[#This Row],[COFINS]]+Tabela1107[[#This Row],[CONTRIB. FOLHA]]+Tabela1107[[#This Row],[TRIBUTOS S/ LUCRO]]+Tabela1107[[#This Row],[OUTROS]]+Tabela1107[[#This Row],[BA]]</f>
        <v>24.740000000000002</v>
      </c>
      <c r="BS443" s="97">
        <f>+Tabela1107[[#This Row],[PIS]]+Tabela1107[[#This Row],[COFINS]]+Tabela1107[[#This Row],[CONTRIB. FOLHA]]+Tabela1107[[#This Row],[TRIBUTOS S/ LUCRO]]+Tabela1107[[#This Row],[OUTROS]]+Tabela1107[[#This Row],[PE]]</f>
        <v>24.740000000000002</v>
      </c>
      <c r="BT443" s="97">
        <f>+Tabela1107[[#This Row],[PIS]]+Tabela1107[[#This Row],[COFINS]]+Tabela1107[[#This Row],[CONTRIB. FOLHA]]+Tabela1107[[#This Row],[TRIBUTOS S/ LUCRO]]+Tabela1107[[#This Row],[OUTROS]]+Tabela1107[[#This Row],[PA]]</f>
        <v>24.740000000000002</v>
      </c>
      <c r="BU443" s="97">
        <f>+Tabela1107[[#This Row],[PIS]]+Tabela1107[[#This Row],[COFINS]]+Tabela1107[[#This Row],[CONTRIB. FOLHA]]+Tabela1107[[#This Row],[TRIBUTOS S/ LUCRO]]+Tabela1107[[#This Row],[OUTROS]]+Tabela1107[[#This Row],[AM]]</f>
        <v>24.740000000000002</v>
      </c>
      <c r="BV443" s="97">
        <f>AVERAGE(Tabela1107[[#This Row],[TOTAL SP]:[TOTAL AM]])</f>
        <v>24.677500000000006</v>
      </c>
      <c r="BW443" s="97"/>
      <c r="BX443" s="97"/>
    </row>
    <row r="444" spans="2:76" x14ac:dyDescent="0.25">
      <c r="B444" s="89">
        <v>6153</v>
      </c>
      <c r="C444" s="91" t="s">
        <v>13183</v>
      </c>
      <c r="D444" s="89"/>
      <c r="E444" s="89">
        <v>20140626</v>
      </c>
      <c r="F444" s="89" t="s">
        <v>21052</v>
      </c>
      <c r="G444" s="89" t="s">
        <v>21053</v>
      </c>
      <c r="H444" s="89" t="s">
        <v>21054</v>
      </c>
      <c r="I444" s="89" t="s">
        <v>21055</v>
      </c>
      <c r="J444" s="89" t="s">
        <v>265</v>
      </c>
      <c r="K444" s="89" t="s">
        <v>2483</v>
      </c>
      <c r="L444" s="89" t="s">
        <v>2706</v>
      </c>
      <c r="M444" s="89" t="s">
        <v>4496</v>
      </c>
      <c r="N444" s="89" t="s">
        <v>4496</v>
      </c>
      <c r="O444" s="89" t="s">
        <v>4496</v>
      </c>
      <c r="P444" s="89" t="s">
        <v>4496</v>
      </c>
      <c r="Q444" s="89"/>
      <c r="R444" s="89" t="s">
        <v>267</v>
      </c>
      <c r="S444" s="89" t="s">
        <v>21658</v>
      </c>
      <c r="T444" s="89" t="s">
        <v>21659</v>
      </c>
      <c r="U444" s="89" t="str">
        <f>TRIM('Carga Tributária doenças Po (2'!$L444)</f>
        <v>EZETIMIBA</v>
      </c>
      <c r="V444" s="89">
        <f>SUMIFS('Tabela Federal'!$E$4:$E$2069,'Tabela Federal'!$D$4:$D$2069,'Carga Tributária doenças Po (2'!$L444)</f>
        <v>2</v>
      </c>
      <c r="W444" s="89">
        <f>SUMIFS('Tabela Federal'!$E$4:$E$2069,'Tabela Federal'!$D$4:$D$2069,'Carga Tributária doenças Po (2'!$M444)</f>
        <v>0</v>
      </c>
      <c r="X444" s="89">
        <f>SUMIFS('Tabela Federal'!$E$4:$E$2069,'Tabela Federal'!$D$4:$D$2069,'Carga Tributária doenças Po (2'!$N444)</f>
        <v>0</v>
      </c>
      <c r="Y444" s="89">
        <f>SUMIFS('Tabela Federal'!$E$4:$E$2069,'Tabela Federal'!$D$4:$D$2069,'Carga Tributária doenças Po (2'!$O444)</f>
        <v>0</v>
      </c>
      <c r="Z444" s="92" t="str">
        <f>VLOOKUP('Carga Tributária doenças Po (2'!$AD444,'Carga Tributária doenças Po (2'!$CA$12:$CC$16,2,0)</f>
        <v>+</v>
      </c>
      <c r="AA444" s="89" t="s">
        <v>266</v>
      </c>
      <c r="AB444" s="89" t="s">
        <v>21764</v>
      </c>
      <c r="AC444" s="89" t="s">
        <v>21721</v>
      </c>
      <c r="AD444" s="93" t="s">
        <v>19445</v>
      </c>
      <c r="AE444" s="92" t="s">
        <v>4</v>
      </c>
      <c r="AF444" s="92" t="s">
        <v>23</v>
      </c>
      <c r="AG444" s="94">
        <v>1388301</v>
      </c>
      <c r="AH444" s="95">
        <v>47697220</v>
      </c>
      <c r="AI444" s="95">
        <v>108865235.27</v>
      </c>
      <c r="AJ444" s="89" t="s">
        <v>269</v>
      </c>
      <c r="AK444" s="89">
        <f>IF('Carga Tributária doenças Po (2'!$Z444="+",0,SUMIFS(PISCOFINS!$I$3:$I$10518,PISCOFINS!$C$3:$C$10518,'Carga Tributária doenças Po (2'!$C444))</f>
        <v>0</v>
      </c>
      <c r="AL444" s="89">
        <f>IF('Carga Tributária doenças Po (2'!$Z444="+",0,SUMIFS(PISCOFINS!$H$3:$H$10518,PISCOFINS!$C$3:$C$10518,'Carga Tributária doenças Po (2'!$C444))</f>
        <v>0</v>
      </c>
      <c r="AM444" s="95">
        <v>3.27</v>
      </c>
      <c r="AN444" s="95">
        <v>3.12</v>
      </c>
      <c r="AO444" s="95">
        <v>1.35</v>
      </c>
      <c r="AP444" s="96">
        <v>18</v>
      </c>
      <c r="AQ444" s="96">
        <v>12</v>
      </c>
      <c r="AR444" s="96">
        <v>17</v>
      </c>
      <c r="AS444" s="97">
        <v>17</v>
      </c>
      <c r="AT444" s="97">
        <v>19</v>
      </c>
      <c r="AU444" s="97">
        <v>18</v>
      </c>
      <c r="AV444" s="97">
        <v>17</v>
      </c>
      <c r="AW444" s="97">
        <v>17</v>
      </c>
      <c r="AX444" s="97">
        <v>17</v>
      </c>
      <c r="AY444" s="97">
        <v>17</v>
      </c>
      <c r="AZ444" s="97">
        <v>17</v>
      </c>
      <c r="BA444" s="97">
        <v>17</v>
      </c>
      <c r="BB444" s="97">
        <v>17</v>
      </c>
      <c r="BC444" s="97">
        <v>17</v>
      </c>
      <c r="BD444" s="97">
        <v>17</v>
      </c>
      <c r="BE444" s="97">
        <v>17</v>
      </c>
      <c r="BF444" s="97">
        <f>+Tabela1107[[#This Row],[PIS]]+Tabela1107[[#This Row],[COFINS]]+Tabela1107[[#This Row],[CONTRIB. FOLHA]]+Tabela1107[[#This Row],[TRIBUTOS S/ LUCRO]]+Tabela1107[[#This Row],[OUTROS]]+Tabela1107[[#This Row],[SP]]</f>
        <v>25.740000000000002</v>
      </c>
      <c r="BG444" s="97">
        <f>+Tabela1107[[#This Row],[PIS]]+Tabela1107[[#This Row],[COFINS]]+Tabela1107[[#This Row],[CONTRIB. FOLHA]]+Tabela1107[[#This Row],[TRIBUTOS S/ LUCRO]]+Tabela1107[[#This Row],[OUTROS]]+Tabela1107[[#This Row],[PR]]</f>
        <v>19.740000000000002</v>
      </c>
      <c r="BH444" s="97">
        <f>+Tabela1107[[#This Row],[PIS]]+Tabela1107[[#This Row],[COFINS]]+Tabela1107[[#This Row],[CONTRIB. FOLHA]]+Tabela1107[[#This Row],[TRIBUTOS S/ LUCRO]]+Tabela1107[[#This Row],[OUTROS]]+Tabela1107[[#This Row],[SC]]</f>
        <v>24.740000000000002</v>
      </c>
      <c r="BI444" s="97">
        <f>+Tabela1107[[#This Row],[PIS]]+Tabela1107[[#This Row],[COFINS]]+Tabela1107[[#This Row],[CONTRIB. FOLHA]]+Tabela1107[[#This Row],[TRIBUTOS S/ LUCRO]]+Tabela1107[[#This Row],[OUTROS]]+Tabela1107[[#This Row],[RS]]</f>
        <v>24.740000000000002</v>
      </c>
      <c r="BJ444" s="97">
        <f>+Tabela1107[[#This Row],[PIS]]+Tabela1107[[#This Row],[COFINS]]+Tabela1107[[#This Row],[CONTRIB. FOLHA]]+Tabela1107[[#This Row],[TRIBUTOS S/ LUCRO]]+Tabela1107[[#This Row],[OUTROS]]+Tabela1107[[#This Row],[RJ]]</f>
        <v>26.740000000000002</v>
      </c>
      <c r="BK444" s="97">
        <f>+Tabela1107[[#This Row],[PIS]]+Tabela1107[[#This Row],[COFINS]]+Tabela1107[[#This Row],[CONTRIB. FOLHA]]+Tabela1107[[#This Row],[TRIBUTOS S/ LUCRO]]+Tabela1107[[#This Row],[OUTROS]]+Tabela1107[[#This Row],[MG]]</f>
        <v>25.740000000000002</v>
      </c>
      <c r="BL444" s="97">
        <f>+Tabela1107[[#This Row],[PIS]]+Tabela1107[[#This Row],[COFINS]]+Tabela1107[[#This Row],[CONTRIB. FOLHA]]+Tabela1107[[#This Row],[TRIBUTOS S/ LUCRO]]+Tabela1107[[#This Row],[OUTROS]]+Tabela1107[[#This Row],[ES]]</f>
        <v>24.740000000000002</v>
      </c>
      <c r="BM444" s="97">
        <f>+Tabela1107[[#This Row],[PIS]]+Tabela1107[[#This Row],[COFINS]]+Tabela1107[[#This Row],[CONTRIB. FOLHA]]+Tabela1107[[#This Row],[TRIBUTOS S/ LUCRO]]+Tabela1107[[#This Row],[OUTROS]]+Tabela1107[[#This Row],[GO]]</f>
        <v>24.740000000000002</v>
      </c>
      <c r="BN444" s="97">
        <f>+Tabela1107[[#This Row],[PIS]]+Tabela1107[[#This Row],[COFINS]]+Tabela1107[[#This Row],[CONTRIB. FOLHA]]+Tabela1107[[#This Row],[TRIBUTOS S/ LUCRO]]+Tabela1107[[#This Row],[OUTROS]]+Tabela1107[[#This Row],[MT]]</f>
        <v>24.740000000000002</v>
      </c>
      <c r="BO444" s="97">
        <f>+Tabela1107[[#This Row],[PIS]]+Tabela1107[[#This Row],[COFINS]]+Tabela1107[[#This Row],[CONTRIB. FOLHA]]+Tabela1107[[#This Row],[TRIBUTOS S/ LUCRO]]+Tabela1107[[#This Row],[OUTROS]]+Tabela1107[[#This Row],[MS]]</f>
        <v>24.740000000000002</v>
      </c>
      <c r="BP444" s="97">
        <f>+Tabela1107[[#This Row],[PIS]]+Tabela1107[[#This Row],[COFINS]]+Tabela1107[[#This Row],[CONTRIB. FOLHA]]+Tabela1107[[#This Row],[TRIBUTOS S/ LUCRO]]+Tabela1107[[#This Row],[OUTROS]]+Tabela1107[[#This Row],[DF]]</f>
        <v>24.740000000000002</v>
      </c>
      <c r="BQ444" s="97">
        <f>+Tabela1107[[#This Row],[PIS]]+Tabela1107[[#This Row],[COFINS]]+Tabela1107[[#This Row],[CONTRIB. FOLHA]]+Tabela1107[[#This Row],[TRIBUTOS S/ LUCRO]]+Tabela1107[[#This Row],[OUTROS]]+Tabela1107[[#This Row],[BA]]</f>
        <v>24.740000000000002</v>
      </c>
      <c r="BR444" s="97">
        <f>+Tabela1107[[#This Row],[PIS]]+Tabela1107[[#This Row],[COFINS]]+Tabela1107[[#This Row],[CONTRIB. FOLHA]]+Tabela1107[[#This Row],[TRIBUTOS S/ LUCRO]]+Tabela1107[[#This Row],[OUTROS]]+Tabela1107[[#This Row],[BA]]</f>
        <v>24.740000000000002</v>
      </c>
      <c r="BS444" s="97">
        <f>+Tabela1107[[#This Row],[PIS]]+Tabela1107[[#This Row],[COFINS]]+Tabela1107[[#This Row],[CONTRIB. FOLHA]]+Tabela1107[[#This Row],[TRIBUTOS S/ LUCRO]]+Tabela1107[[#This Row],[OUTROS]]+Tabela1107[[#This Row],[PE]]</f>
        <v>24.740000000000002</v>
      </c>
      <c r="BT444" s="97">
        <f>+Tabela1107[[#This Row],[PIS]]+Tabela1107[[#This Row],[COFINS]]+Tabela1107[[#This Row],[CONTRIB. FOLHA]]+Tabela1107[[#This Row],[TRIBUTOS S/ LUCRO]]+Tabela1107[[#This Row],[OUTROS]]+Tabela1107[[#This Row],[PA]]</f>
        <v>24.740000000000002</v>
      </c>
      <c r="BU444" s="97">
        <f>+Tabela1107[[#This Row],[PIS]]+Tabela1107[[#This Row],[COFINS]]+Tabela1107[[#This Row],[CONTRIB. FOLHA]]+Tabela1107[[#This Row],[TRIBUTOS S/ LUCRO]]+Tabela1107[[#This Row],[OUTROS]]+Tabela1107[[#This Row],[AM]]</f>
        <v>24.740000000000002</v>
      </c>
      <c r="BV444" s="97">
        <f>AVERAGE(Tabela1107[[#This Row],[TOTAL SP]:[TOTAL AM]])</f>
        <v>24.677500000000006</v>
      </c>
      <c r="BW444" s="97"/>
      <c r="BX444" s="97"/>
    </row>
    <row r="445" spans="2:76" x14ac:dyDescent="0.25">
      <c r="B445" s="89">
        <v>14532</v>
      </c>
      <c r="C445" s="91" t="s">
        <v>13133</v>
      </c>
      <c r="D445" s="89"/>
      <c r="E445" s="89">
        <v>20140626</v>
      </c>
      <c r="F445" s="89" t="s">
        <v>21248</v>
      </c>
      <c r="G445" s="89" t="s">
        <v>21249</v>
      </c>
      <c r="H445" s="89" t="s">
        <v>21250</v>
      </c>
      <c r="I445" s="89" t="s">
        <v>21251</v>
      </c>
      <c r="J445" s="89" t="s">
        <v>464</v>
      </c>
      <c r="K445" s="89" t="s">
        <v>2481</v>
      </c>
      <c r="L445" s="89" t="s">
        <v>2707</v>
      </c>
      <c r="M445" s="89" t="s">
        <v>4496</v>
      </c>
      <c r="N445" s="89" t="s">
        <v>4496</v>
      </c>
      <c r="O445" s="89" t="s">
        <v>4496</v>
      </c>
      <c r="P445" s="89" t="s">
        <v>4496</v>
      </c>
      <c r="Q445" s="89"/>
      <c r="R445" s="89" t="s">
        <v>239</v>
      </c>
      <c r="S445" s="89" t="s">
        <v>21680</v>
      </c>
      <c r="T445" s="89" t="s">
        <v>21681</v>
      </c>
      <c r="U445" s="89" t="str">
        <f>TRIM('Carga Tributária doenças Po (2'!$L445)</f>
        <v>LATANOPROSTA</v>
      </c>
      <c r="V445" s="89">
        <f>SUMIFS('Tabela Federal'!$E$4:$E$2069,'Tabela Federal'!$D$4:$D$2069,'Carga Tributária doenças Po (2'!$L445)</f>
        <v>2</v>
      </c>
      <c r="W445" s="89">
        <f>SUMIFS('Tabela Federal'!$E$4:$E$2069,'Tabela Federal'!$D$4:$D$2069,'Carga Tributária doenças Po (2'!$M445)</f>
        <v>0</v>
      </c>
      <c r="X445" s="89">
        <f>SUMIFS('Tabela Federal'!$E$4:$E$2069,'Tabela Federal'!$D$4:$D$2069,'Carga Tributária doenças Po (2'!$N445)</f>
        <v>0</v>
      </c>
      <c r="Y445" s="89">
        <f>SUMIFS('Tabela Federal'!$E$4:$E$2069,'Tabela Federal'!$D$4:$D$2069,'Carga Tributária doenças Po (2'!$O445)</f>
        <v>0</v>
      </c>
      <c r="Z445" s="92" t="str">
        <f>VLOOKUP('Carga Tributária doenças Po (2'!$AD445,'Carga Tributária doenças Po (2'!$CA$12:$CC$16,2,0)</f>
        <v>+</v>
      </c>
      <c r="AA445" s="89" t="s">
        <v>462</v>
      </c>
      <c r="AB445" s="89" t="s">
        <v>21836</v>
      </c>
      <c r="AC445" s="89" t="s">
        <v>21721</v>
      </c>
      <c r="AD445" s="93" t="s">
        <v>21722</v>
      </c>
      <c r="AE445" s="92" t="s">
        <v>2</v>
      </c>
      <c r="AF445" s="92" t="s">
        <v>23</v>
      </c>
      <c r="AG445" s="94">
        <v>583791</v>
      </c>
      <c r="AH445" s="95">
        <v>23606010</v>
      </c>
      <c r="AI445" s="95">
        <v>53891130.880000003</v>
      </c>
      <c r="AJ445" s="89" t="s">
        <v>471</v>
      </c>
      <c r="AK445" s="89">
        <f>IF('Carga Tributária doenças Po (2'!$Z445="+",0,SUMIFS(PISCOFINS!$I$3:$I$10518,PISCOFINS!$C$3:$C$10518,'Carga Tributária doenças Po (2'!$C445))</f>
        <v>0</v>
      </c>
      <c r="AL445" s="89">
        <f>IF('Carga Tributária doenças Po (2'!$Z445="+",0,SUMIFS(PISCOFINS!$H$3:$H$10518,PISCOFINS!$C$3:$C$10518,'Carga Tributária doenças Po (2'!$C445))</f>
        <v>0</v>
      </c>
      <c r="AM445" s="95">
        <v>3.27</v>
      </c>
      <c r="AN445" s="95">
        <v>3.12</v>
      </c>
      <c r="AO445" s="95">
        <v>1.35</v>
      </c>
      <c r="AP445" s="96">
        <v>18</v>
      </c>
      <c r="AQ445" s="96">
        <v>12</v>
      </c>
      <c r="AR445" s="96">
        <v>17</v>
      </c>
      <c r="AS445" s="97">
        <v>17</v>
      </c>
      <c r="AT445" s="97">
        <v>19</v>
      </c>
      <c r="AU445" s="97">
        <v>18</v>
      </c>
      <c r="AV445" s="97">
        <v>17</v>
      </c>
      <c r="AW445" s="97">
        <v>17</v>
      </c>
      <c r="AX445" s="97">
        <v>17</v>
      </c>
      <c r="AY445" s="97">
        <v>17</v>
      </c>
      <c r="AZ445" s="97">
        <v>17</v>
      </c>
      <c r="BA445" s="97">
        <v>17</v>
      </c>
      <c r="BB445" s="97">
        <v>17</v>
      </c>
      <c r="BC445" s="97">
        <v>17</v>
      </c>
      <c r="BD445" s="97">
        <v>17</v>
      </c>
      <c r="BE445" s="97">
        <v>17</v>
      </c>
      <c r="BF445" s="97">
        <f>+Tabela1107[[#This Row],[PIS]]+Tabela1107[[#This Row],[COFINS]]+Tabela1107[[#This Row],[CONTRIB. FOLHA]]+Tabela1107[[#This Row],[TRIBUTOS S/ LUCRO]]+Tabela1107[[#This Row],[OUTROS]]+Tabela1107[[#This Row],[SP]]</f>
        <v>25.740000000000002</v>
      </c>
      <c r="BG445" s="97">
        <f>+Tabela1107[[#This Row],[PIS]]+Tabela1107[[#This Row],[COFINS]]+Tabela1107[[#This Row],[CONTRIB. FOLHA]]+Tabela1107[[#This Row],[TRIBUTOS S/ LUCRO]]+Tabela1107[[#This Row],[OUTROS]]+Tabela1107[[#This Row],[PR]]</f>
        <v>19.740000000000002</v>
      </c>
      <c r="BH445" s="97">
        <f>+Tabela1107[[#This Row],[PIS]]+Tabela1107[[#This Row],[COFINS]]+Tabela1107[[#This Row],[CONTRIB. FOLHA]]+Tabela1107[[#This Row],[TRIBUTOS S/ LUCRO]]+Tabela1107[[#This Row],[OUTROS]]+Tabela1107[[#This Row],[SC]]</f>
        <v>24.740000000000002</v>
      </c>
      <c r="BI445" s="97">
        <f>+Tabela1107[[#This Row],[PIS]]+Tabela1107[[#This Row],[COFINS]]+Tabela1107[[#This Row],[CONTRIB. FOLHA]]+Tabela1107[[#This Row],[TRIBUTOS S/ LUCRO]]+Tabela1107[[#This Row],[OUTROS]]+Tabela1107[[#This Row],[RS]]</f>
        <v>24.740000000000002</v>
      </c>
      <c r="BJ445" s="97">
        <f>+Tabela1107[[#This Row],[PIS]]+Tabela1107[[#This Row],[COFINS]]+Tabela1107[[#This Row],[CONTRIB. FOLHA]]+Tabela1107[[#This Row],[TRIBUTOS S/ LUCRO]]+Tabela1107[[#This Row],[OUTROS]]+Tabela1107[[#This Row],[RJ]]</f>
        <v>26.740000000000002</v>
      </c>
      <c r="BK445" s="97">
        <f>+Tabela1107[[#This Row],[PIS]]+Tabela1107[[#This Row],[COFINS]]+Tabela1107[[#This Row],[CONTRIB. FOLHA]]+Tabela1107[[#This Row],[TRIBUTOS S/ LUCRO]]+Tabela1107[[#This Row],[OUTROS]]+Tabela1107[[#This Row],[MG]]</f>
        <v>25.740000000000002</v>
      </c>
      <c r="BL445" s="97">
        <f>+Tabela1107[[#This Row],[PIS]]+Tabela1107[[#This Row],[COFINS]]+Tabela1107[[#This Row],[CONTRIB. FOLHA]]+Tabela1107[[#This Row],[TRIBUTOS S/ LUCRO]]+Tabela1107[[#This Row],[OUTROS]]+Tabela1107[[#This Row],[ES]]</f>
        <v>24.740000000000002</v>
      </c>
      <c r="BM445" s="97">
        <f>+Tabela1107[[#This Row],[PIS]]+Tabela1107[[#This Row],[COFINS]]+Tabela1107[[#This Row],[CONTRIB. FOLHA]]+Tabela1107[[#This Row],[TRIBUTOS S/ LUCRO]]+Tabela1107[[#This Row],[OUTROS]]+Tabela1107[[#This Row],[GO]]</f>
        <v>24.740000000000002</v>
      </c>
      <c r="BN445" s="97">
        <f>+Tabela1107[[#This Row],[PIS]]+Tabela1107[[#This Row],[COFINS]]+Tabela1107[[#This Row],[CONTRIB. FOLHA]]+Tabela1107[[#This Row],[TRIBUTOS S/ LUCRO]]+Tabela1107[[#This Row],[OUTROS]]+Tabela1107[[#This Row],[MT]]</f>
        <v>24.740000000000002</v>
      </c>
      <c r="BO445" s="97">
        <f>+Tabela1107[[#This Row],[PIS]]+Tabela1107[[#This Row],[COFINS]]+Tabela1107[[#This Row],[CONTRIB. FOLHA]]+Tabela1107[[#This Row],[TRIBUTOS S/ LUCRO]]+Tabela1107[[#This Row],[OUTROS]]+Tabela1107[[#This Row],[MS]]</f>
        <v>24.740000000000002</v>
      </c>
      <c r="BP445" s="97">
        <f>+Tabela1107[[#This Row],[PIS]]+Tabela1107[[#This Row],[COFINS]]+Tabela1107[[#This Row],[CONTRIB. FOLHA]]+Tabela1107[[#This Row],[TRIBUTOS S/ LUCRO]]+Tabela1107[[#This Row],[OUTROS]]+Tabela1107[[#This Row],[DF]]</f>
        <v>24.740000000000002</v>
      </c>
      <c r="BQ445" s="97">
        <f>+Tabela1107[[#This Row],[PIS]]+Tabela1107[[#This Row],[COFINS]]+Tabela1107[[#This Row],[CONTRIB. FOLHA]]+Tabela1107[[#This Row],[TRIBUTOS S/ LUCRO]]+Tabela1107[[#This Row],[OUTROS]]+Tabela1107[[#This Row],[BA]]</f>
        <v>24.740000000000002</v>
      </c>
      <c r="BR445" s="97">
        <f>+Tabela1107[[#This Row],[PIS]]+Tabela1107[[#This Row],[COFINS]]+Tabela1107[[#This Row],[CONTRIB. FOLHA]]+Tabela1107[[#This Row],[TRIBUTOS S/ LUCRO]]+Tabela1107[[#This Row],[OUTROS]]+Tabela1107[[#This Row],[BA]]</f>
        <v>24.740000000000002</v>
      </c>
      <c r="BS445" s="97">
        <f>+Tabela1107[[#This Row],[PIS]]+Tabela1107[[#This Row],[COFINS]]+Tabela1107[[#This Row],[CONTRIB. FOLHA]]+Tabela1107[[#This Row],[TRIBUTOS S/ LUCRO]]+Tabela1107[[#This Row],[OUTROS]]+Tabela1107[[#This Row],[PE]]</f>
        <v>24.740000000000002</v>
      </c>
      <c r="BT445" s="97">
        <f>+Tabela1107[[#This Row],[PIS]]+Tabela1107[[#This Row],[COFINS]]+Tabela1107[[#This Row],[CONTRIB. FOLHA]]+Tabela1107[[#This Row],[TRIBUTOS S/ LUCRO]]+Tabela1107[[#This Row],[OUTROS]]+Tabela1107[[#This Row],[PA]]</f>
        <v>24.740000000000002</v>
      </c>
      <c r="BU445" s="97">
        <f>+Tabela1107[[#This Row],[PIS]]+Tabela1107[[#This Row],[COFINS]]+Tabela1107[[#This Row],[CONTRIB. FOLHA]]+Tabela1107[[#This Row],[TRIBUTOS S/ LUCRO]]+Tabela1107[[#This Row],[OUTROS]]+Tabela1107[[#This Row],[AM]]</f>
        <v>24.740000000000002</v>
      </c>
      <c r="BV445" s="97">
        <f>AVERAGE(Tabela1107[[#This Row],[TOTAL SP]:[TOTAL AM]])</f>
        <v>24.677500000000006</v>
      </c>
      <c r="BW445" s="97"/>
      <c r="BX445" s="97"/>
    </row>
    <row r="446" spans="2:76" x14ac:dyDescent="0.25">
      <c r="B446" s="89">
        <v>3834</v>
      </c>
      <c r="C446" s="91" t="s">
        <v>13183</v>
      </c>
      <c r="D446" s="89"/>
      <c r="E446" s="89">
        <v>20140626</v>
      </c>
      <c r="F446" s="89" t="s">
        <v>21265</v>
      </c>
      <c r="G446" s="89" t="s">
        <v>21266</v>
      </c>
      <c r="H446" s="89" t="s">
        <v>21267</v>
      </c>
      <c r="I446" s="89" t="s">
        <v>21268</v>
      </c>
      <c r="J446" s="89" t="s">
        <v>301</v>
      </c>
      <c r="K446" s="89" t="s">
        <v>2488</v>
      </c>
      <c r="L446" s="89" t="s">
        <v>2703</v>
      </c>
      <c r="M446" s="89" t="s">
        <v>4496</v>
      </c>
      <c r="N446" s="89" t="s">
        <v>4496</v>
      </c>
      <c r="O446" s="89" t="s">
        <v>4496</v>
      </c>
      <c r="P446" s="89" t="s">
        <v>4496</v>
      </c>
      <c r="Q446" s="89"/>
      <c r="R446" s="89" t="s">
        <v>302</v>
      </c>
      <c r="S446" s="89" t="s">
        <v>21684</v>
      </c>
      <c r="T446" s="89" t="s">
        <v>21685</v>
      </c>
      <c r="U446" s="89" t="str">
        <f>TRIM('Carga Tributária doenças Po (2'!$L446)</f>
        <v>GUAIFENESINA</v>
      </c>
      <c r="V446" s="89">
        <f>SUMIFS('Tabela Federal'!$E$4:$E$2069,'Tabela Federal'!$D$4:$D$2069,'Carga Tributária doenças Po (2'!$L446)</f>
        <v>2</v>
      </c>
      <c r="W446" s="89">
        <f>SUMIFS('Tabela Federal'!$E$4:$E$2069,'Tabela Federal'!$D$4:$D$2069,'Carga Tributária doenças Po (2'!$M446)</f>
        <v>0</v>
      </c>
      <c r="X446" s="89">
        <f>SUMIFS('Tabela Federal'!$E$4:$E$2069,'Tabela Federal'!$D$4:$D$2069,'Carga Tributária doenças Po (2'!$N446)</f>
        <v>0</v>
      </c>
      <c r="Y446" s="89">
        <f>SUMIFS('Tabela Federal'!$E$4:$E$2069,'Tabela Federal'!$D$4:$D$2069,'Carga Tributária doenças Po (2'!$O446)</f>
        <v>0</v>
      </c>
      <c r="Z446" s="92" t="str">
        <f>VLOOKUP('Carga Tributária doenças Po (2'!$AD446,'Carga Tributária doenças Po (2'!$CA$12:$CC$16,2,0)</f>
        <v>-</v>
      </c>
      <c r="AA446" s="89" t="s">
        <v>296</v>
      </c>
      <c r="AB446" s="89" t="s">
        <v>21888</v>
      </c>
      <c r="AC446" s="89" t="s">
        <v>21740</v>
      </c>
      <c r="AD446" s="93" t="s">
        <v>19523</v>
      </c>
      <c r="AE446" s="92" t="s">
        <v>4</v>
      </c>
      <c r="AF446" s="92" t="s">
        <v>3</v>
      </c>
      <c r="AG446" s="94">
        <v>1182313</v>
      </c>
      <c r="AH446" s="95">
        <v>6314178</v>
      </c>
      <c r="AI446" s="95">
        <v>14313857.699999999</v>
      </c>
      <c r="AJ446" s="89" t="s">
        <v>286</v>
      </c>
      <c r="AK446" s="89">
        <f>IF('Carga Tributária doenças Po (2'!$Z446="+",0,SUMIFS(PISCOFINS!$I$3:$I$10518,PISCOFINS!$C$3:$C$10518,'Carga Tributária doenças Po (2'!$C446))</f>
        <v>2.1</v>
      </c>
      <c r="AL446" s="89">
        <f>IF('Carga Tributária doenças Po (2'!$Z446="+",0,SUMIFS(PISCOFINS!$H$3:$H$10518,PISCOFINS!$C$3:$C$10518,'Carga Tributária doenças Po (2'!$C446))</f>
        <v>9.9</v>
      </c>
      <c r="AM446" s="95">
        <v>3.27</v>
      </c>
      <c r="AN446" s="95">
        <v>3.12</v>
      </c>
      <c r="AO446" s="95">
        <v>1.35</v>
      </c>
      <c r="AP446" s="96">
        <v>18</v>
      </c>
      <c r="AQ446" s="96">
        <v>12</v>
      </c>
      <c r="AR446" s="96">
        <v>17</v>
      </c>
      <c r="AS446" s="97">
        <v>17</v>
      </c>
      <c r="AT446" s="97">
        <v>19</v>
      </c>
      <c r="AU446" s="97">
        <v>18</v>
      </c>
      <c r="AV446" s="97">
        <v>17</v>
      </c>
      <c r="AW446" s="97">
        <v>17</v>
      </c>
      <c r="AX446" s="97">
        <v>17</v>
      </c>
      <c r="AY446" s="97">
        <v>17</v>
      </c>
      <c r="AZ446" s="97">
        <v>17</v>
      </c>
      <c r="BA446" s="97">
        <v>17</v>
      </c>
      <c r="BB446" s="97">
        <v>17</v>
      </c>
      <c r="BC446" s="97">
        <v>17</v>
      </c>
      <c r="BD446" s="97">
        <v>17</v>
      </c>
      <c r="BE446" s="97">
        <v>17</v>
      </c>
      <c r="BF446" s="97">
        <f>+Tabela1107[[#This Row],[PIS]]+Tabela1107[[#This Row],[COFINS]]+Tabela1107[[#This Row],[CONTRIB. FOLHA]]+Tabela1107[[#This Row],[TRIBUTOS S/ LUCRO]]+Tabela1107[[#This Row],[OUTROS]]+Tabela1107[[#This Row],[SP]]</f>
        <v>37.74</v>
      </c>
      <c r="BG446" s="97">
        <f>+Tabela1107[[#This Row],[PIS]]+Tabela1107[[#This Row],[COFINS]]+Tabela1107[[#This Row],[CONTRIB. FOLHA]]+Tabela1107[[#This Row],[TRIBUTOS S/ LUCRO]]+Tabela1107[[#This Row],[OUTROS]]+Tabela1107[[#This Row],[PR]]</f>
        <v>31.740000000000002</v>
      </c>
      <c r="BH446" s="97">
        <f>+Tabela1107[[#This Row],[PIS]]+Tabela1107[[#This Row],[COFINS]]+Tabela1107[[#This Row],[CONTRIB. FOLHA]]+Tabela1107[[#This Row],[TRIBUTOS S/ LUCRO]]+Tabela1107[[#This Row],[OUTROS]]+Tabela1107[[#This Row],[SC]]</f>
        <v>36.74</v>
      </c>
      <c r="BI446" s="97">
        <f>+Tabela1107[[#This Row],[PIS]]+Tabela1107[[#This Row],[COFINS]]+Tabela1107[[#This Row],[CONTRIB. FOLHA]]+Tabela1107[[#This Row],[TRIBUTOS S/ LUCRO]]+Tabela1107[[#This Row],[OUTROS]]+Tabela1107[[#This Row],[RS]]</f>
        <v>36.74</v>
      </c>
      <c r="BJ446" s="97">
        <f>+Tabela1107[[#This Row],[PIS]]+Tabela1107[[#This Row],[COFINS]]+Tabela1107[[#This Row],[CONTRIB. FOLHA]]+Tabela1107[[#This Row],[TRIBUTOS S/ LUCRO]]+Tabela1107[[#This Row],[OUTROS]]+Tabela1107[[#This Row],[RJ]]</f>
        <v>38.74</v>
      </c>
      <c r="BK446" s="97">
        <f>+Tabela1107[[#This Row],[PIS]]+Tabela1107[[#This Row],[COFINS]]+Tabela1107[[#This Row],[CONTRIB. FOLHA]]+Tabela1107[[#This Row],[TRIBUTOS S/ LUCRO]]+Tabela1107[[#This Row],[OUTROS]]+Tabela1107[[#This Row],[MG]]</f>
        <v>37.74</v>
      </c>
      <c r="BL446" s="97">
        <f>+Tabela1107[[#This Row],[PIS]]+Tabela1107[[#This Row],[COFINS]]+Tabela1107[[#This Row],[CONTRIB. FOLHA]]+Tabela1107[[#This Row],[TRIBUTOS S/ LUCRO]]+Tabela1107[[#This Row],[OUTROS]]+Tabela1107[[#This Row],[ES]]</f>
        <v>36.74</v>
      </c>
      <c r="BM446" s="97">
        <f>+Tabela1107[[#This Row],[PIS]]+Tabela1107[[#This Row],[COFINS]]+Tabela1107[[#This Row],[CONTRIB. FOLHA]]+Tabela1107[[#This Row],[TRIBUTOS S/ LUCRO]]+Tabela1107[[#This Row],[OUTROS]]+Tabela1107[[#This Row],[GO]]</f>
        <v>36.74</v>
      </c>
      <c r="BN446" s="97">
        <f>+Tabela1107[[#This Row],[PIS]]+Tabela1107[[#This Row],[COFINS]]+Tabela1107[[#This Row],[CONTRIB. FOLHA]]+Tabela1107[[#This Row],[TRIBUTOS S/ LUCRO]]+Tabela1107[[#This Row],[OUTROS]]+Tabela1107[[#This Row],[MT]]</f>
        <v>36.74</v>
      </c>
      <c r="BO446" s="97">
        <f>+Tabela1107[[#This Row],[PIS]]+Tabela1107[[#This Row],[COFINS]]+Tabela1107[[#This Row],[CONTRIB. FOLHA]]+Tabela1107[[#This Row],[TRIBUTOS S/ LUCRO]]+Tabela1107[[#This Row],[OUTROS]]+Tabela1107[[#This Row],[MS]]</f>
        <v>36.74</v>
      </c>
      <c r="BP446" s="97">
        <f>+Tabela1107[[#This Row],[PIS]]+Tabela1107[[#This Row],[COFINS]]+Tabela1107[[#This Row],[CONTRIB. FOLHA]]+Tabela1107[[#This Row],[TRIBUTOS S/ LUCRO]]+Tabela1107[[#This Row],[OUTROS]]+Tabela1107[[#This Row],[DF]]</f>
        <v>36.74</v>
      </c>
      <c r="BQ446" s="97">
        <f>+Tabela1107[[#This Row],[PIS]]+Tabela1107[[#This Row],[COFINS]]+Tabela1107[[#This Row],[CONTRIB. FOLHA]]+Tabela1107[[#This Row],[TRIBUTOS S/ LUCRO]]+Tabela1107[[#This Row],[OUTROS]]+Tabela1107[[#This Row],[BA]]</f>
        <v>36.74</v>
      </c>
      <c r="BR446" s="97">
        <f>+Tabela1107[[#This Row],[PIS]]+Tabela1107[[#This Row],[COFINS]]+Tabela1107[[#This Row],[CONTRIB. FOLHA]]+Tabela1107[[#This Row],[TRIBUTOS S/ LUCRO]]+Tabela1107[[#This Row],[OUTROS]]+Tabela1107[[#This Row],[BA]]</f>
        <v>36.74</v>
      </c>
      <c r="BS446" s="97">
        <f>+Tabela1107[[#This Row],[PIS]]+Tabela1107[[#This Row],[COFINS]]+Tabela1107[[#This Row],[CONTRIB. FOLHA]]+Tabela1107[[#This Row],[TRIBUTOS S/ LUCRO]]+Tabela1107[[#This Row],[OUTROS]]+Tabela1107[[#This Row],[PE]]</f>
        <v>36.74</v>
      </c>
      <c r="BT446" s="97">
        <f>+Tabela1107[[#This Row],[PIS]]+Tabela1107[[#This Row],[COFINS]]+Tabela1107[[#This Row],[CONTRIB. FOLHA]]+Tabela1107[[#This Row],[TRIBUTOS S/ LUCRO]]+Tabela1107[[#This Row],[OUTROS]]+Tabela1107[[#This Row],[PA]]</f>
        <v>36.74</v>
      </c>
      <c r="BU446" s="97">
        <f>+Tabela1107[[#This Row],[PIS]]+Tabela1107[[#This Row],[COFINS]]+Tabela1107[[#This Row],[CONTRIB. FOLHA]]+Tabela1107[[#This Row],[TRIBUTOS S/ LUCRO]]+Tabela1107[[#This Row],[OUTROS]]+Tabela1107[[#This Row],[AM]]</f>
        <v>36.74</v>
      </c>
      <c r="BV446" s="97">
        <f>AVERAGE(Tabela1107[[#This Row],[TOTAL SP]:[TOTAL AM]])</f>
        <v>36.677500000000002</v>
      </c>
      <c r="BW446" s="97"/>
      <c r="BX446" s="97"/>
    </row>
    <row r="447" spans="2:76" x14ac:dyDescent="0.25">
      <c r="B447" s="89">
        <v>17204</v>
      </c>
      <c r="C447" s="91" t="s">
        <v>13145</v>
      </c>
      <c r="D447" s="89"/>
      <c r="E447" s="89">
        <v>20140626</v>
      </c>
      <c r="F447" s="89" t="s">
        <v>20450</v>
      </c>
      <c r="G447" s="89" t="s">
        <v>20451</v>
      </c>
      <c r="H447" s="89" t="s">
        <v>20452</v>
      </c>
      <c r="I447" s="89" t="s">
        <v>20453</v>
      </c>
      <c r="J447" s="89" t="s">
        <v>438</v>
      </c>
      <c r="K447" s="89" t="s">
        <v>2480</v>
      </c>
      <c r="L447" s="89" t="s">
        <v>3177</v>
      </c>
      <c r="M447" s="89" t="s">
        <v>4496</v>
      </c>
      <c r="N447" s="89" t="s">
        <v>4496</v>
      </c>
      <c r="O447" s="89" t="s">
        <v>4496</v>
      </c>
      <c r="P447" s="89" t="s">
        <v>4496</v>
      </c>
      <c r="Q447" s="89"/>
      <c r="R447" s="89" t="s">
        <v>439</v>
      </c>
      <c r="S447" s="89" t="s">
        <v>21584</v>
      </c>
      <c r="T447" s="89" t="s">
        <v>21585</v>
      </c>
      <c r="U447" s="89" t="str">
        <f>TRIM('Carga Tributária doenças Po (2'!$L447)</f>
        <v>LIDOCAINA</v>
      </c>
      <c r="V447" s="89">
        <f>SUMIFS('Tabela Federal'!$E$4:$E$2069,'Tabela Federal'!$D$4:$D$2069,'Carga Tributária doenças Po (2'!$L447)</f>
        <v>5</v>
      </c>
      <c r="W447" s="89">
        <f>SUMIFS('Tabela Federal'!$E$4:$E$2069,'Tabela Federal'!$D$4:$D$2069,'Carga Tributária doenças Po (2'!$M447)</f>
        <v>0</v>
      </c>
      <c r="X447" s="89">
        <f>SUMIFS('Tabela Federal'!$E$4:$E$2069,'Tabela Federal'!$D$4:$D$2069,'Carga Tributária doenças Po (2'!$N447)</f>
        <v>0</v>
      </c>
      <c r="Y447" s="89">
        <f>SUMIFS('Tabela Federal'!$E$4:$E$2069,'Tabela Federal'!$D$4:$D$2069,'Carga Tributária doenças Po (2'!$O447)</f>
        <v>0</v>
      </c>
      <c r="Z447" s="92" t="str">
        <f>VLOOKUP('Carga Tributária doenças Po (2'!$AD447,'Carga Tributária doenças Po (2'!$CA$12:$CC$16,2,0)</f>
        <v>-</v>
      </c>
      <c r="AA447" s="89" t="s">
        <v>433</v>
      </c>
      <c r="AB447" s="89" t="s">
        <v>21848</v>
      </c>
      <c r="AC447" s="89" t="s">
        <v>21721</v>
      </c>
      <c r="AD447" s="93" t="s">
        <v>19523</v>
      </c>
      <c r="AE447" s="92" t="s">
        <v>4</v>
      </c>
      <c r="AF447" s="92" t="s">
        <v>23</v>
      </c>
      <c r="AG447" s="94">
        <v>226601</v>
      </c>
      <c r="AH447" s="95">
        <v>1966052</v>
      </c>
      <c r="AI447" s="95">
        <v>4482907.47</v>
      </c>
      <c r="AJ447" s="89" t="s">
        <v>441</v>
      </c>
      <c r="AK447" s="89">
        <f>IF('Carga Tributária doenças Po (2'!$Z447="+",0,SUMIFS(PISCOFINS!$I$3:$I$10518,PISCOFINS!$C$3:$C$10518,'Carga Tributária doenças Po (2'!$C447))</f>
        <v>2.1</v>
      </c>
      <c r="AL447" s="89">
        <f>IF('Carga Tributária doenças Po (2'!$Z447="+",0,SUMIFS(PISCOFINS!$H$3:$H$10518,PISCOFINS!$C$3:$C$10518,'Carga Tributária doenças Po (2'!$C447))</f>
        <v>9.9</v>
      </c>
      <c r="AM447" s="95">
        <v>3.27</v>
      </c>
      <c r="AN447" s="95">
        <v>3.12</v>
      </c>
      <c r="AO447" s="95">
        <v>1.35</v>
      </c>
      <c r="AP447" s="96">
        <v>18</v>
      </c>
      <c r="AQ447" s="96">
        <v>12</v>
      </c>
      <c r="AR447" s="96">
        <v>17</v>
      </c>
      <c r="AS447" s="97">
        <v>17</v>
      </c>
      <c r="AT447" s="97">
        <v>19</v>
      </c>
      <c r="AU447" s="97">
        <v>18</v>
      </c>
      <c r="AV447" s="97">
        <v>17</v>
      </c>
      <c r="AW447" s="97">
        <v>17</v>
      </c>
      <c r="AX447" s="97">
        <v>17</v>
      </c>
      <c r="AY447" s="97">
        <v>17</v>
      </c>
      <c r="AZ447" s="97">
        <v>17</v>
      </c>
      <c r="BA447" s="97">
        <v>17</v>
      </c>
      <c r="BB447" s="97">
        <v>17</v>
      </c>
      <c r="BC447" s="97">
        <v>17</v>
      </c>
      <c r="BD447" s="97">
        <v>17</v>
      </c>
      <c r="BE447" s="97">
        <v>17</v>
      </c>
      <c r="BF447" s="97">
        <f>+Tabela1107[[#This Row],[PIS]]+Tabela1107[[#This Row],[COFINS]]+Tabela1107[[#This Row],[CONTRIB. FOLHA]]+Tabela1107[[#This Row],[TRIBUTOS S/ LUCRO]]+Tabela1107[[#This Row],[OUTROS]]+Tabela1107[[#This Row],[SP]]</f>
        <v>37.74</v>
      </c>
      <c r="BG447" s="97">
        <f>+Tabela1107[[#This Row],[PIS]]+Tabela1107[[#This Row],[COFINS]]+Tabela1107[[#This Row],[CONTRIB. FOLHA]]+Tabela1107[[#This Row],[TRIBUTOS S/ LUCRO]]+Tabela1107[[#This Row],[OUTROS]]+Tabela1107[[#This Row],[PR]]</f>
        <v>31.740000000000002</v>
      </c>
      <c r="BH447" s="97">
        <f>+Tabela1107[[#This Row],[PIS]]+Tabela1107[[#This Row],[COFINS]]+Tabela1107[[#This Row],[CONTRIB. FOLHA]]+Tabela1107[[#This Row],[TRIBUTOS S/ LUCRO]]+Tabela1107[[#This Row],[OUTROS]]+Tabela1107[[#This Row],[SC]]</f>
        <v>36.74</v>
      </c>
      <c r="BI447" s="97">
        <f>+Tabela1107[[#This Row],[PIS]]+Tabela1107[[#This Row],[COFINS]]+Tabela1107[[#This Row],[CONTRIB. FOLHA]]+Tabela1107[[#This Row],[TRIBUTOS S/ LUCRO]]+Tabela1107[[#This Row],[OUTROS]]+Tabela1107[[#This Row],[RS]]</f>
        <v>36.74</v>
      </c>
      <c r="BJ447" s="97">
        <f>+Tabela1107[[#This Row],[PIS]]+Tabela1107[[#This Row],[COFINS]]+Tabela1107[[#This Row],[CONTRIB. FOLHA]]+Tabela1107[[#This Row],[TRIBUTOS S/ LUCRO]]+Tabela1107[[#This Row],[OUTROS]]+Tabela1107[[#This Row],[RJ]]</f>
        <v>38.74</v>
      </c>
      <c r="BK447" s="97">
        <f>+Tabela1107[[#This Row],[PIS]]+Tabela1107[[#This Row],[COFINS]]+Tabela1107[[#This Row],[CONTRIB. FOLHA]]+Tabela1107[[#This Row],[TRIBUTOS S/ LUCRO]]+Tabela1107[[#This Row],[OUTROS]]+Tabela1107[[#This Row],[MG]]</f>
        <v>37.74</v>
      </c>
      <c r="BL447" s="97">
        <f>+Tabela1107[[#This Row],[PIS]]+Tabela1107[[#This Row],[COFINS]]+Tabela1107[[#This Row],[CONTRIB. FOLHA]]+Tabela1107[[#This Row],[TRIBUTOS S/ LUCRO]]+Tabela1107[[#This Row],[OUTROS]]+Tabela1107[[#This Row],[ES]]</f>
        <v>36.74</v>
      </c>
      <c r="BM447" s="97">
        <f>+Tabela1107[[#This Row],[PIS]]+Tabela1107[[#This Row],[COFINS]]+Tabela1107[[#This Row],[CONTRIB. FOLHA]]+Tabela1107[[#This Row],[TRIBUTOS S/ LUCRO]]+Tabela1107[[#This Row],[OUTROS]]+Tabela1107[[#This Row],[GO]]</f>
        <v>36.74</v>
      </c>
      <c r="BN447" s="97">
        <f>+Tabela1107[[#This Row],[PIS]]+Tabela1107[[#This Row],[COFINS]]+Tabela1107[[#This Row],[CONTRIB. FOLHA]]+Tabela1107[[#This Row],[TRIBUTOS S/ LUCRO]]+Tabela1107[[#This Row],[OUTROS]]+Tabela1107[[#This Row],[MT]]</f>
        <v>36.74</v>
      </c>
      <c r="BO447" s="97">
        <f>+Tabela1107[[#This Row],[PIS]]+Tabela1107[[#This Row],[COFINS]]+Tabela1107[[#This Row],[CONTRIB. FOLHA]]+Tabela1107[[#This Row],[TRIBUTOS S/ LUCRO]]+Tabela1107[[#This Row],[OUTROS]]+Tabela1107[[#This Row],[MS]]</f>
        <v>36.74</v>
      </c>
      <c r="BP447" s="97">
        <f>+Tabela1107[[#This Row],[PIS]]+Tabela1107[[#This Row],[COFINS]]+Tabela1107[[#This Row],[CONTRIB. FOLHA]]+Tabela1107[[#This Row],[TRIBUTOS S/ LUCRO]]+Tabela1107[[#This Row],[OUTROS]]+Tabela1107[[#This Row],[DF]]</f>
        <v>36.74</v>
      </c>
      <c r="BQ447" s="97">
        <f>+Tabela1107[[#This Row],[PIS]]+Tabela1107[[#This Row],[COFINS]]+Tabela1107[[#This Row],[CONTRIB. FOLHA]]+Tabela1107[[#This Row],[TRIBUTOS S/ LUCRO]]+Tabela1107[[#This Row],[OUTROS]]+Tabela1107[[#This Row],[BA]]</f>
        <v>36.74</v>
      </c>
      <c r="BR447" s="97">
        <f>+Tabela1107[[#This Row],[PIS]]+Tabela1107[[#This Row],[COFINS]]+Tabela1107[[#This Row],[CONTRIB. FOLHA]]+Tabela1107[[#This Row],[TRIBUTOS S/ LUCRO]]+Tabela1107[[#This Row],[OUTROS]]+Tabela1107[[#This Row],[BA]]</f>
        <v>36.74</v>
      </c>
      <c r="BS447" s="97">
        <f>+Tabela1107[[#This Row],[PIS]]+Tabela1107[[#This Row],[COFINS]]+Tabela1107[[#This Row],[CONTRIB. FOLHA]]+Tabela1107[[#This Row],[TRIBUTOS S/ LUCRO]]+Tabela1107[[#This Row],[OUTROS]]+Tabela1107[[#This Row],[PE]]</f>
        <v>36.74</v>
      </c>
      <c r="BT447" s="97">
        <f>+Tabela1107[[#This Row],[PIS]]+Tabela1107[[#This Row],[COFINS]]+Tabela1107[[#This Row],[CONTRIB. FOLHA]]+Tabela1107[[#This Row],[TRIBUTOS S/ LUCRO]]+Tabela1107[[#This Row],[OUTROS]]+Tabela1107[[#This Row],[PA]]</f>
        <v>36.74</v>
      </c>
      <c r="BU447" s="97">
        <f>+Tabela1107[[#This Row],[PIS]]+Tabela1107[[#This Row],[COFINS]]+Tabela1107[[#This Row],[CONTRIB. FOLHA]]+Tabela1107[[#This Row],[TRIBUTOS S/ LUCRO]]+Tabela1107[[#This Row],[OUTROS]]+Tabela1107[[#This Row],[AM]]</f>
        <v>36.74</v>
      </c>
      <c r="BV447" s="97">
        <f>AVERAGE(Tabela1107[[#This Row],[TOTAL SP]:[TOTAL AM]])</f>
        <v>36.677500000000002</v>
      </c>
      <c r="BW447" s="97"/>
      <c r="BX447" s="97"/>
    </row>
    <row r="448" spans="2:76" x14ac:dyDescent="0.25">
      <c r="B448" s="89">
        <v>3738</v>
      </c>
      <c r="C448" s="91" t="s">
        <v>13214</v>
      </c>
      <c r="D448" s="89"/>
      <c r="E448" s="89">
        <v>20140626</v>
      </c>
      <c r="F448" s="89" t="s">
        <v>20499</v>
      </c>
      <c r="G448" s="89" t="s">
        <v>20500</v>
      </c>
      <c r="H448" s="89" t="s">
        <v>20501</v>
      </c>
      <c r="I448" s="89" t="s">
        <v>20502</v>
      </c>
      <c r="J448" s="89" t="s">
        <v>409</v>
      </c>
      <c r="K448" s="89" t="s">
        <v>2477</v>
      </c>
      <c r="L448" s="89" t="s">
        <v>2708</v>
      </c>
      <c r="M448" s="89" t="s">
        <v>4496</v>
      </c>
      <c r="N448" s="89" t="s">
        <v>4496</v>
      </c>
      <c r="O448" s="89" t="s">
        <v>4496</v>
      </c>
      <c r="P448" s="89" t="s">
        <v>4496</v>
      </c>
      <c r="Q448" s="89"/>
      <c r="R448" s="89" t="s">
        <v>400</v>
      </c>
      <c r="S448" s="89" t="s">
        <v>21590</v>
      </c>
      <c r="T448" s="89" t="s">
        <v>21591</v>
      </c>
      <c r="U448" s="89" t="str">
        <f>TRIM('Carga Tributária doenças Po (2'!$L448)</f>
        <v>DROSPIRENONA</v>
      </c>
      <c r="V448" s="89">
        <f>SUMIFS('Tabela Federal'!$E$4:$E$2069,'Tabela Federal'!$D$4:$D$2069,'Carga Tributária doenças Po (2'!$L448)</f>
        <v>2</v>
      </c>
      <c r="W448" s="89">
        <f>SUMIFS('Tabela Federal'!$E$4:$E$2069,'Tabela Federal'!$D$4:$D$2069,'Carga Tributária doenças Po (2'!$M448)</f>
        <v>0</v>
      </c>
      <c r="X448" s="89">
        <f>SUMIFS('Tabela Federal'!$E$4:$E$2069,'Tabela Federal'!$D$4:$D$2069,'Carga Tributária doenças Po (2'!$N448)</f>
        <v>0</v>
      </c>
      <c r="Y448" s="89">
        <f>SUMIFS('Tabela Federal'!$E$4:$E$2069,'Tabela Federal'!$D$4:$D$2069,'Carga Tributária doenças Po (2'!$O448)</f>
        <v>0</v>
      </c>
      <c r="Z448" s="92" t="str">
        <f>VLOOKUP('Carga Tributária doenças Po (2'!$AD448,'Carga Tributária doenças Po (2'!$CA$12:$CC$16,2,0)</f>
        <v>+</v>
      </c>
      <c r="AA448" s="89" t="s">
        <v>398</v>
      </c>
      <c r="AB448" s="89" t="s">
        <v>21742</v>
      </c>
      <c r="AC448" s="89" t="s">
        <v>21721</v>
      </c>
      <c r="AD448" s="93" t="s">
        <v>19445</v>
      </c>
      <c r="AE448" s="92" t="s">
        <v>4</v>
      </c>
      <c r="AF448" s="92" t="s">
        <v>23</v>
      </c>
      <c r="AG448" s="94">
        <v>3274976</v>
      </c>
      <c r="AH448" s="95">
        <v>62858868</v>
      </c>
      <c r="AI448" s="95">
        <v>143533693.05000001</v>
      </c>
      <c r="AJ448" s="89" t="s">
        <v>413</v>
      </c>
      <c r="AK448" s="89">
        <f>IF('Carga Tributária doenças Po (2'!$Z448="+",0,SUMIFS(PISCOFINS!$I$3:$I$10518,PISCOFINS!$C$3:$C$10518,'Carga Tributária doenças Po (2'!$C448))</f>
        <v>0</v>
      </c>
      <c r="AL448" s="89">
        <f>IF('Carga Tributária doenças Po (2'!$Z448="+",0,SUMIFS(PISCOFINS!$H$3:$H$10518,PISCOFINS!$C$3:$C$10518,'Carga Tributária doenças Po (2'!$C448))</f>
        <v>0</v>
      </c>
      <c r="AM448" s="95">
        <v>3.27</v>
      </c>
      <c r="AN448" s="95">
        <v>3.12</v>
      </c>
      <c r="AO448" s="95">
        <v>1.35</v>
      </c>
      <c r="AP448" s="96">
        <v>18</v>
      </c>
      <c r="AQ448" s="96">
        <v>12</v>
      </c>
      <c r="AR448" s="96">
        <v>17</v>
      </c>
      <c r="AS448" s="97">
        <v>17</v>
      </c>
      <c r="AT448" s="97">
        <v>19</v>
      </c>
      <c r="AU448" s="97">
        <v>18</v>
      </c>
      <c r="AV448" s="97">
        <v>17</v>
      </c>
      <c r="AW448" s="97">
        <v>17</v>
      </c>
      <c r="AX448" s="97">
        <v>17</v>
      </c>
      <c r="AY448" s="97">
        <v>17</v>
      </c>
      <c r="AZ448" s="97">
        <v>17</v>
      </c>
      <c r="BA448" s="97">
        <v>17</v>
      </c>
      <c r="BB448" s="97">
        <v>17</v>
      </c>
      <c r="BC448" s="97">
        <v>17</v>
      </c>
      <c r="BD448" s="97">
        <v>17</v>
      </c>
      <c r="BE448" s="97">
        <v>17</v>
      </c>
      <c r="BF448" s="97">
        <f>+Tabela1107[[#This Row],[PIS]]+Tabela1107[[#This Row],[COFINS]]+Tabela1107[[#This Row],[CONTRIB. FOLHA]]+Tabela1107[[#This Row],[TRIBUTOS S/ LUCRO]]+Tabela1107[[#This Row],[OUTROS]]+Tabela1107[[#This Row],[SP]]</f>
        <v>25.740000000000002</v>
      </c>
      <c r="BG448" s="97">
        <f>+Tabela1107[[#This Row],[PIS]]+Tabela1107[[#This Row],[COFINS]]+Tabela1107[[#This Row],[CONTRIB. FOLHA]]+Tabela1107[[#This Row],[TRIBUTOS S/ LUCRO]]+Tabela1107[[#This Row],[OUTROS]]+Tabela1107[[#This Row],[PR]]</f>
        <v>19.740000000000002</v>
      </c>
      <c r="BH448" s="97">
        <f>+Tabela1107[[#This Row],[PIS]]+Tabela1107[[#This Row],[COFINS]]+Tabela1107[[#This Row],[CONTRIB. FOLHA]]+Tabela1107[[#This Row],[TRIBUTOS S/ LUCRO]]+Tabela1107[[#This Row],[OUTROS]]+Tabela1107[[#This Row],[SC]]</f>
        <v>24.740000000000002</v>
      </c>
      <c r="BI448" s="97">
        <f>+Tabela1107[[#This Row],[PIS]]+Tabela1107[[#This Row],[COFINS]]+Tabela1107[[#This Row],[CONTRIB. FOLHA]]+Tabela1107[[#This Row],[TRIBUTOS S/ LUCRO]]+Tabela1107[[#This Row],[OUTROS]]+Tabela1107[[#This Row],[RS]]</f>
        <v>24.740000000000002</v>
      </c>
      <c r="BJ448" s="97">
        <f>+Tabela1107[[#This Row],[PIS]]+Tabela1107[[#This Row],[COFINS]]+Tabela1107[[#This Row],[CONTRIB. FOLHA]]+Tabela1107[[#This Row],[TRIBUTOS S/ LUCRO]]+Tabela1107[[#This Row],[OUTROS]]+Tabela1107[[#This Row],[RJ]]</f>
        <v>26.740000000000002</v>
      </c>
      <c r="BK448" s="97">
        <f>+Tabela1107[[#This Row],[PIS]]+Tabela1107[[#This Row],[COFINS]]+Tabela1107[[#This Row],[CONTRIB. FOLHA]]+Tabela1107[[#This Row],[TRIBUTOS S/ LUCRO]]+Tabela1107[[#This Row],[OUTROS]]+Tabela1107[[#This Row],[MG]]</f>
        <v>25.740000000000002</v>
      </c>
      <c r="BL448" s="97">
        <f>+Tabela1107[[#This Row],[PIS]]+Tabela1107[[#This Row],[COFINS]]+Tabela1107[[#This Row],[CONTRIB. FOLHA]]+Tabela1107[[#This Row],[TRIBUTOS S/ LUCRO]]+Tabela1107[[#This Row],[OUTROS]]+Tabela1107[[#This Row],[ES]]</f>
        <v>24.740000000000002</v>
      </c>
      <c r="BM448" s="97">
        <f>+Tabela1107[[#This Row],[PIS]]+Tabela1107[[#This Row],[COFINS]]+Tabela1107[[#This Row],[CONTRIB. FOLHA]]+Tabela1107[[#This Row],[TRIBUTOS S/ LUCRO]]+Tabela1107[[#This Row],[OUTROS]]+Tabela1107[[#This Row],[GO]]</f>
        <v>24.740000000000002</v>
      </c>
      <c r="BN448" s="97">
        <f>+Tabela1107[[#This Row],[PIS]]+Tabela1107[[#This Row],[COFINS]]+Tabela1107[[#This Row],[CONTRIB. FOLHA]]+Tabela1107[[#This Row],[TRIBUTOS S/ LUCRO]]+Tabela1107[[#This Row],[OUTROS]]+Tabela1107[[#This Row],[MT]]</f>
        <v>24.740000000000002</v>
      </c>
      <c r="BO448" s="97">
        <f>+Tabela1107[[#This Row],[PIS]]+Tabela1107[[#This Row],[COFINS]]+Tabela1107[[#This Row],[CONTRIB. FOLHA]]+Tabela1107[[#This Row],[TRIBUTOS S/ LUCRO]]+Tabela1107[[#This Row],[OUTROS]]+Tabela1107[[#This Row],[MS]]</f>
        <v>24.740000000000002</v>
      </c>
      <c r="BP448" s="97">
        <f>+Tabela1107[[#This Row],[PIS]]+Tabela1107[[#This Row],[COFINS]]+Tabela1107[[#This Row],[CONTRIB. FOLHA]]+Tabela1107[[#This Row],[TRIBUTOS S/ LUCRO]]+Tabela1107[[#This Row],[OUTROS]]+Tabela1107[[#This Row],[DF]]</f>
        <v>24.740000000000002</v>
      </c>
      <c r="BQ448" s="97">
        <f>+Tabela1107[[#This Row],[PIS]]+Tabela1107[[#This Row],[COFINS]]+Tabela1107[[#This Row],[CONTRIB. FOLHA]]+Tabela1107[[#This Row],[TRIBUTOS S/ LUCRO]]+Tabela1107[[#This Row],[OUTROS]]+Tabela1107[[#This Row],[BA]]</f>
        <v>24.740000000000002</v>
      </c>
      <c r="BR448" s="97">
        <f>+Tabela1107[[#This Row],[PIS]]+Tabela1107[[#This Row],[COFINS]]+Tabela1107[[#This Row],[CONTRIB. FOLHA]]+Tabela1107[[#This Row],[TRIBUTOS S/ LUCRO]]+Tabela1107[[#This Row],[OUTROS]]+Tabela1107[[#This Row],[BA]]</f>
        <v>24.740000000000002</v>
      </c>
      <c r="BS448" s="97">
        <f>+Tabela1107[[#This Row],[PIS]]+Tabela1107[[#This Row],[COFINS]]+Tabela1107[[#This Row],[CONTRIB. FOLHA]]+Tabela1107[[#This Row],[TRIBUTOS S/ LUCRO]]+Tabela1107[[#This Row],[OUTROS]]+Tabela1107[[#This Row],[PE]]</f>
        <v>24.740000000000002</v>
      </c>
      <c r="BT448" s="97">
        <f>+Tabela1107[[#This Row],[PIS]]+Tabela1107[[#This Row],[COFINS]]+Tabela1107[[#This Row],[CONTRIB. FOLHA]]+Tabela1107[[#This Row],[TRIBUTOS S/ LUCRO]]+Tabela1107[[#This Row],[OUTROS]]+Tabela1107[[#This Row],[PA]]</f>
        <v>24.740000000000002</v>
      </c>
      <c r="BU448" s="97">
        <f>+Tabela1107[[#This Row],[PIS]]+Tabela1107[[#This Row],[COFINS]]+Tabela1107[[#This Row],[CONTRIB. FOLHA]]+Tabela1107[[#This Row],[TRIBUTOS S/ LUCRO]]+Tabela1107[[#This Row],[OUTROS]]+Tabela1107[[#This Row],[AM]]</f>
        <v>24.740000000000002</v>
      </c>
      <c r="BV448" s="97">
        <f>AVERAGE(Tabela1107[[#This Row],[TOTAL SP]:[TOTAL AM]])</f>
        <v>24.677500000000006</v>
      </c>
      <c r="BW448" s="97"/>
      <c r="BX448" s="97"/>
    </row>
    <row r="449" spans="2:76" x14ac:dyDescent="0.25">
      <c r="B449" s="89">
        <v>21473</v>
      </c>
      <c r="C449" s="91" t="s">
        <v>13168</v>
      </c>
      <c r="D449" s="89"/>
      <c r="E449" s="89">
        <v>20140626</v>
      </c>
      <c r="F449" s="89" t="s">
        <v>20446</v>
      </c>
      <c r="G449" s="89" t="s">
        <v>20447</v>
      </c>
      <c r="H449" s="89" t="s">
        <v>20448</v>
      </c>
      <c r="I449" s="89" t="s">
        <v>20449</v>
      </c>
      <c r="J449" s="89" t="s">
        <v>244</v>
      </c>
      <c r="K449" s="89" t="s">
        <v>2476</v>
      </c>
      <c r="L449" s="89" t="s">
        <v>2476</v>
      </c>
      <c r="M449" s="89" t="s">
        <v>4496</v>
      </c>
      <c r="N449" s="89" t="s">
        <v>4496</v>
      </c>
      <c r="O449" s="89" t="s">
        <v>4496</v>
      </c>
      <c r="P449" s="89" t="s">
        <v>4496</v>
      </c>
      <c r="Q449" s="89"/>
      <c r="R449" s="89" t="s">
        <v>245</v>
      </c>
      <c r="S449" s="89" t="s">
        <v>21582</v>
      </c>
      <c r="T449" s="89" t="s">
        <v>21583</v>
      </c>
      <c r="U449" s="89" t="str">
        <f>TRIM('Carga Tributária doenças Po (2'!$L449)</f>
        <v>ALOPURINOL</v>
      </c>
      <c r="V449" s="89">
        <f>SUMIFS('Tabela Federal'!$E$4:$E$2069,'Tabela Federal'!$D$4:$D$2069,'Carga Tributária doenças Po (2'!$L449)</f>
        <v>1</v>
      </c>
      <c r="W449" s="89">
        <f>SUMIFS('Tabela Federal'!$E$4:$E$2069,'Tabela Federal'!$D$4:$D$2069,'Carga Tributária doenças Po (2'!$M449)</f>
        <v>0</v>
      </c>
      <c r="X449" s="89">
        <f>SUMIFS('Tabela Federal'!$E$4:$E$2069,'Tabela Federal'!$D$4:$D$2069,'Carga Tributária doenças Po (2'!$N449)</f>
        <v>0</v>
      </c>
      <c r="Y449" s="89">
        <f>SUMIFS('Tabela Federal'!$E$4:$E$2069,'Tabela Federal'!$D$4:$D$2069,'Carga Tributária doenças Po (2'!$O449)</f>
        <v>0</v>
      </c>
      <c r="Z449" s="92" t="str">
        <f>VLOOKUP('Carga Tributária doenças Po (2'!$AD449,'Carga Tributária doenças Po (2'!$CA$12:$CC$16,2,0)</f>
        <v>+</v>
      </c>
      <c r="AA449" s="89" t="s">
        <v>242</v>
      </c>
      <c r="AB449" s="89" t="s">
        <v>21839</v>
      </c>
      <c r="AC449" s="89" t="s">
        <v>21721</v>
      </c>
      <c r="AD449" s="93" t="s">
        <v>21722</v>
      </c>
      <c r="AE449" s="92" t="s">
        <v>2</v>
      </c>
      <c r="AF449" s="92" t="s">
        <v>23</v>
      </c>
      <c r="AG449" s="94">
        <v>617469</v>
      </c>
      <c r="AH449" s="95">
        <v>2315373</v>
      </c>
      <c r="AI449" s="95">
        <v>5305521.46</v>
      </c>
      <c r="AJ449" s="89" t="s">
        <v>250</v>
      </c>
      <c r="AK449" s="89">
        <f>IF('Carga Tributária doenças Po (2'!$Z449="+",0,SUMIFS(PISCOFINS!$I$3:$I$10518,PISCOFINS!$C$3:$C$10518,'Carga Tributária doenças Po (2'!$C449))</f>
        <v>0</v>
      </c>
      <c r="AL449" s="89">
        <f>IF('Carga Tributária doenças Po (2'!$Z449="+",0,SUMIFS(PISCOFINS!$H$3:$H$10518,PISCOFINS!$C$3:$C$10518,'Carga Tributária doenças Po (2'!$C449))</f>
        <v>0</v>
      </c>
      <c r="AM449" s="95">
        <v>3.27</v>
      </c>
      <c r="AN449" s="95">
        <v>3.12</v>
      </c>
      <c r="AO449" s="95">
        <v>1.35</v>
      </c>
      <c r="AP449" s="96">
        <v>18</v>
      </c>
      <c r="AQ449" s="96">
        <v>12</v>
      </c>
      <c r="AR449" s="96">
        <v>17</v>
      </c>
      <c r="AS449" s="97">
        <v>17</v>
      </c>
      <c r="AT449" s="97">
        <v>19</v>
      </c>
      <c r="AU449" s="97">
        <v>18</v>
      </c>
      <c r="AV449" s="97">
        <v>17</v>
      </c>
      <c r="AW449" s="97">
        <v>17</v>
      </c>
      <c r="AX449" s="97">
        <v>17</v>
      </c>
      <c r="AY449" s="97">
        <v>17</v>
      </c>
      <c r="AZ449" s="97">
        <v>17</v>
      </c>
      <c r="BA449" s="97">
        <v>17</v>
      </c>
      <c r="BB449" s="97">
        <v>17</v>
      </c>
      <c r="BC449" s="97">
        <v>17</v>
      </c>
      <c r="BD449" s="97">
        <v>17</v>
      </c>
      <c r="BE449" s="97">
        <v>17</v>
      </c>
      <c r="BF449" s="97">
        <f>+Tabela1107[[#This Row],[PIS]]+Tabela1107[[#This Row],[COFINS]]+Tabela1107[[#This Row],[CONTRIB. FOLHA]]+Tabela1107[[#This Row],[TRIBUTOS S/ LUCRO]]+Tabela1107[[#This Row],[OUTROS]]+Tabela1107[[#This Row],[SP]]</f>
        <v>25.740000000000002</v>
      </c>
      <c r="BG449" s="97">
        <f>+Tabela1107[[#This Row],[PIS]]+Tabela1107[[#This Row],[COFINS]]+Tabela1107[[#This Row],[CONTRIB. FOLHA]]+Tabela1107[[#This Row],[TRIBUTOS S/ LUCRO]]+Tabela1107[[#This Row],[OUTROS]]+Tabela1107[[#This Row],[PR]]</f>
        <v>19.740000000000002</v>
      </c>
      <c r="BH449" s="97">
        <f>+Tabela1107[[#This Row],[PIS]]+Tabela1107[[#This Row],[COFINS]]+Tabela1107[[#This Row],[CONTRIB. FOLHA]]+Tabela1107[[#This Row],[TRIBUTOS S/ LUCRO]]+Tabela1107[[#This Row],[OUTROS]]+Tabela1107[[#This Row],[SC]]</f>
        <v>24.740000000000002</v>
      </c>
      <c r="BI449" s="97">
        <f>+Tabela1107[[#This Row],[PIS]]+Tabela1107[[#This Row],[COFINS]]+Tabela1107[[#This Row],[CONTRIB. FOLHA]]+Tabela1107[[#This Row],[TRIBUTOS S/ LUCRO]]+Tabela1107[[#This Row],[OUTROS]]+Tabela1107[[#This Row],[RS]]</f>
        <v>24.740000000000002</v>
      </c>
      <c r="BJ449" s="97">
        <f>+Tabela1107[[#This Row],[PIS]]+Tabela1107[[#This Row],[COFINS]]+Tabela1107[[#This Row],[CONTRIB. FOLHA]]+Tabela1107[[#This Row],[TRIBUTOS S/ LUCRO]]+Tabela1107[[#This Row],[OUTROS]]+Tabela1107[[#This Row],[RJ]]</f>
        <v>26.740000000000002</v>
      </c>
      <c r="BK449" s="97">
        <f>+Tabela1107[[#This Row],[PIS]]+Tabela1107[[#This Row],[COFINS]]+Tabela1107[[#This Row],[CONTRIB. FOLHA]]+Tabela1107[[#This Row],[TRIBUTOS S/ LUCRO]]+Tabela1107[[#This Row],[OUTROS]]+Tabela1107[[#This Row],[MG]]</f>
        <v>25.740000000000002</v>
      </c>
      <c r="BL449" s="97">
        <f>+Tabela1107[[#This Row],[PIS]]+Tabela1107[[#This Row],[COFINS]]+Tabela1107[[#This Row],[CONTRIB. FOLHA]]+Tabela1107[[#This Row],[TRIBUTOS S/ LUCRO]]+Tabela1107[[#This Row],[OUTROS]]+Tabela1107[[#This Row],[ES]]</f>
        <v>24.740000000000002</v>
      </c>
      <c r="BM449" s="97">
        <f>+Tabela1107[[#This Row],[PIS]]+Tabela1107[[#This Row],[COFINS]]+Tabela1107[[#This Row],[CONTRIB. FOLHA]]+Tabela1107[[#This Row],[TRIBUTOS S/ LUCRO]]+Tabela1107[[#This Row],[OUTROS]]+Tabela1107[[#This Row],[GO]]</f>
        <v>24.740000000000002</v>
      </c>
      <c r="BN449" s="97">
        <f>+Tabela1107[[#This Row],[PIS]]+Tabela1107[[#This Row],[COFINS]]+Tabela1107[[#This Row],[CONTRIB. FOLHA]]+Tabela1107[[#This Row],[TRIBUTOS S/ LUCRO]]+Tabela1107[[#This Row],[OUTROS]]+Tabela1107[[#This Row],[MT]]</f>
        <v>24.740000000000002</v>
      </c>
      <c r="BO449" s="97">
        <f>+Tabela1107[[#This Row],[PIS]]+Tabela1107[[#This Row],[COFINS]]+Tabela1107[[#This Row],[CONTRIB. FOLHA]]+Tabela1107[[#This Row],[TRIBUTOS S/ LUCRO]]+Tabela1107[[#This Row],[OUTROS]]+Tabela1107[[#This Row],[MS]]</f>
        <v>24.740000000000002</v>
      </c>
      <c r="BP449" s="97">
        <f>+Tabela1107[[#This Row],[PIS]]+Tabela1107[[#This Row],[COFINS]]+Tabela1107[[#This Row],[CONTRIB. FOLHA]]+Tabela1107[[#This Row],[TRIBUTOS S/ LUCRO]]+Tabela1107[[#This Row],[OUTROS]]+Tabela1107[[#This Row],[DF]]</f>
        <v>24.740000000000002</v>
      </c>
      <c r="BQ449" s="97">
        <f>+Tabela1107[[#This Row],[PIS]]+Tabela1107[[#This Row],[COFINS]]+Tabela1107[[#This Row],[CONTRIB. FOLHA]]+Tabela1107[[#This Row],[TRIBUTOS S/ LUCRO]]+Tabela1107[[#This Row],[OUTROS]]+Tabela1107[[#This Row],[BA]]</f>
        <v>24.740000000000002</v>
      </c>
      <c r="BR449" s="97">
        <f>+Tabela1107[[#This Row],[PIS]]+Tabela1107[[#This Row],[COFINS]]+Tabela1107[[#This Row],[CONTRIB. FOLHA]]+Tabela1107[[#This Row],[TRIBUTOS S/ LUCRO]]+Tabela1107[[#This Row],[OUTROS]]+Tabela1107[[#This Row],[BA]]</f>
        <v>24.740000000000002</v>
      </c>
      <c r="BS449" s="97">
        <f>+Tabela1107[[#This Row],[PIS]]+Tabela1107[[#This Row],[COFINS]]+Tabela1107[[#This Row],[CONTRIB. FOLHA]]+Tabela1107[[#This Row],[TRIBUTOS S/ LUCRO]]+Tabela1107[[#This Row],[OUTROS]]+Tabela1107[[#This Row],[PE]]</f>
        <v>24.740000000000002</v>
      </c>
      <c r="BT449" s="97">
        <f>+Tabela1107[[#This Row],[PIS]]+Tabela1107[[#This Row],[COFINS]]+Tabela1107[[#This Row],[CONTRIB. FOLHA]]+Tabela1107[[#This Row],[TRIBUTOS S/ LUCRO]]+Tabela1107[[#This Row],[OUTROS]]+Tabela1107[[#This Row],[PA]]</f>
        <v>24.740000000000002</v>
      </c>
      <c r="BU449" s="97">
        <f>+Tabela1107[[#This Row],[PIS]]+Tabela1107[[#This Row],[COFINS]]+Tabela1107[[#This Row],[CONTRIB. FOLHA]]+Tabela1107[[#This Row],[TRIBUTOS S/ LUCRO]]+Tabela1107[[#This Row],[OUTROS]]+Tabela1107[[#This Row],[AM]]</f>
        <v>24.740000000000002</v>
      </c>
      <c r="BV449" s="97">
        <f>AVERAGE(Tabela1107[[#This Row],[TOTAL SP]:[TOTAL AM]])</f>
        <v>24.677500000000006</v>
      </c>
      <c r="BW449" s="97"/>
      <c r="BX449" s="97"/>
    </row>
    <row r="450" spans="2:76" x14ac:dyDescent="0.25">
      <c r="B450" s="122"/>
      <c r="C450" s="122"/>
      <c r="D450" s="122"/>
      <c r="E450" s="122"/>
      <c r="F450" s="122"/>
      <c r="G450" s="122"/>
      <c r="H450" s="122"/>
      <c r="I450" s="122"/>
      <c r="J450" s="122"/>
      <c r="K450" s="122"/>
      <c r="L450" s="122"/>
      <c r="M450" s="122"/>
      <c r="N450" s="122"/>
      <c r="O450" s="122"/>
      <c r="P450" s="122"/>
      <c r="Q450" s="122"/>
      <c r="R450" s="122"/>
      <c r="S450" s="122"/>
      <c r="T450" s="122"/>
      <c r="U450" s="122"/>
      <c r="V450" s="122"/>
      <c r="W450" s="122"/>
      <c r="X450" s="122"/>
      <c r="Y450" s="122"/>
      <c r="Z450" s="122"/>
      <c r="AA450" s="122"/>
      <c r="AB450" s="123"/>
      <c r="AC450" s="123"/>
      <c r="AD450" s="123"/>
      <c r="AE450" s="124"/>
      <c r="AF450" s="122"/>
      <c r="AG450" s="122"/>
      <c r="AH450" s="122"/>
      <c r="AI450" s="122"/>
      <c r="AJ450" s="122"/>
      <c r="AK450" s="122"/>
      <c r="AL450" s="122"/>
      <c r="AM450" s="125"/>
      <c r="AN450" s="125"/>
      <c r="AO450" s="125"/>
      <c r="AP450" s="125">
        <f>SUBTOTAL(101,Tabela1107[SP])</f>
        <v>18</v>
      </c>
      <c r="AQ450" s="125">
        <f>SUBTOTAL(101,Tabela1107[PR])</f>
        <v>12</v>
      </c>
      <c r="AR450" s="125">
        <f>SUBTOTAL(101,Tabela1107[SC])</f>
        <v>17</v>
      </c>
      <c r="AS450" s="125">
        <f>SUBTOTAL(101,Tabela1107[RS])</f>
        <v>17</v>
      </c>
      <c r="AT450" s="125">
        <f>SUBTOTAL(101,Tabela1107[RJ])</f>
        <v>19</v>
      </c>
      <c r="AU450" s="125">
        <f>SUBTOTAL(101,Tabela1107[MG])</f>
        <v>16.76993166287016</v>
      </c>
      <c r="AV450" s="125">
        <f>SUBTOTAL(101,Tabela1107[ES])</f>
        <v>17</v>
      </c>
      <c r="AW450" s="125">
        <f>SUBTOTAL(101,Tabela1107[GO])</f>
        <v>17</v>
      </c>
      <c r="AX450" s="125">
        <f>SUBTOTAL(101,Tabela1107[MT])</f>
        <v>17</v>
      </c>
      <c r="AY450" s="125">
        <f>SUBTOTAL(101,Tabela1107[MS])</f>
        <v>17</v>
      </c>
      <c r="AZ450" s="125">
        <f>SUBTOTAL(101,Tabela1107[DF])</f>
        <v>17</v>
      </c>
      <c r="BA450" s="125">
        <f>SUBTOTAL(101,Tabela1107[BA])</f>
        <v>17</v>
      </c>
      <c r="BB450" s="125">
        <f>SUBTOTAL(101,Tabela1107[CE])</f>
        <v>17</v>
      </c>
      <c r="BC450" s="125">
        <f>SUBTOTAL(101,Tabela1107[PE])</f>
        <v>17</v>
      </c>
      <c r="BD450" s="125">
        <f>SUBTOTAL(101,Tabela1107[PA])</f>
        <v>17</v>
      </c>
      <c r="BE450" s="125">
        <f>SUBTOTAL(101,Tabela1107[AM])</f>
        <v>17</v>
      </c>
      <c r="BF450" s="125"/>
      <c r="BG450" s="125"/>
      <c r="BH450" s="125"/>
      <c r="BI450" s="125"/>
      <c r="BJ450" s="125"/>
      <c r="BK450" s="125"/>
      <c r="BL450" s="125"/>
      <c r="BM450" s="125"/>
      <c r="BN450" s="125"/>
      <c r="BO450" s="125"/>
      <c r="BP450" s="125"/>
      <c r="BQ450" s="125"/>
      <c r="BR450" s="125"/>
      <c r="BS450" s="125"/>
      <c r="BT450" s="125"/>
      <c r="BU450" s="125"/>
      <c r="BV450" s="125"/>
      <c r="BW450" s="125"/>
      <c r="BX450" s="126"/>
    </row>
  </sheetData>
  <hyperlinks>
    <hyperlink ref="L91" r:id="rId1" display="http://consultaremedios.com.br/informacoes-profissionais/busca?termo=betametasona%2Bdexclorfeniramina"/>
    <hyperlink ref="L93" r:id="rId2" display="http://consultaremedios.com.br/informacoes-profissionais/busca?termo=hidroxiquinolina%2Btrietanolamina"/>
    <hyperlink ref="L435" r:id="rId3" display="http://consultaremedios.com.br/informacoes-profissionais/busca?termo=dicloridrato+de+flunarizina"/>
  </hyperlinks>
  <pageMargins left="0.511811024" right="0.511811024" top="0.78740157499999996" bottom="0.78740157499999996" header="0.31496062000000002" footer="0.31496062000000002"/>
  <pageSetup paperSize="9" orientation="portrait" r:id="rId4"/>
  <drawing r:id="rId5"/>
  <tableParts count="2">
    <tablePart r:id="rId6"/>
    <tablePart r:id="rId7"/>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27"/>
  <sheetViews>
    <sheetView showGridLines="0" topLeftCell="A10" zoomScale="115" zoomScaleNormal="115" workbookViewId="0">
      <selection activeCell="E22" sqref="E22"/>
    </sheetView>
  </sheetViews>
  <sheetFormatPr defaultRowHeight="15" x14ac:dyDescent="0.25"/>
  <cols>
    <col min="1" max="16384" width="9.140625" style="24"/>
  </cols>
  <sheetData>
    <row r="1" spans="1:31" x14ac:dyDescent="0.25">
      <c r="A1"/>
      <c r="B1"/>
      <c r="C1"/>
      <c r="D1"/>
      <c r="E1"/>
      <c r="F1"/>
      <c r="G1"/>
      <c r="H1"/>
      <c r="I1"/>
      <c r="J1"/>
      <c r="K1"/>
      <c r="L1"/>
      <c r="M1"/>
      <c r="N1"/>
      <c r="O1"/>
      <c r="P1"/>
      <c r="Q1"/>
      <c r="R1"/>
      <c r="S1"/>
      <c r="T1"/>
    </row>
    <row r="2" spans="1:31" x14ac:dyDescent="0.25">
      <c r="A2"/>
      <c r="B2"/>
      <c r="C2"/>
      <c r="D2"/>
      <c r="E2"/>
      <c r="F2"/>
      <c r="G2"/>
      <c r="H2"/>
      <c r="I2"/>
      <c r="J2"/>
      <c r="K2"/>
      <c r="L2"/>
      <c r="M2"/>
      <c r="N2"/>
      <c r="O2"/>
      <c r="P2"/>
      <c r="Q2"/>
      <c r="R2"/>
      <c r="S2"/>
      <c r="T2"/>
    </row>
    <row r="3" spans="1:31" x14ac:dyDescent="0.25">
      <c r="A3"/>
      <c r="B3"/>
      <c r="C3"/>
      <c r="D3"/>
      <c r="E3"/>
      <c r="F3"/>
      <c r="G3"/>
      <c r="H3"/>
      <c r="I3"/>
      <c r="J3"/>
      <c r="K3"/>
      <c r="L3"/>
      <c r="M3"/>
      <c r="N3"/>
      <c r="O3"/>
      <c r="P3"/>
      <c r="Q3"/>
      <c r="R3"/>
      <c r="S3"/>
      <c r="T3"/>
    </row>
    <row r="4" spans="1:31" x14ac:dyDescent="0.25">
      <c r="A4"/>
      <c r="B4"/>
      <c r="C4"/>
      <c r="D4"/>
      <c r="E4"/>
      <c r="F4"/>
      <c r="G4"/>
      <c r="H4"/>
      <c r="I4"/>
      <c r="J4"/>
      <c r="K4"/>
      <c r="L4"/>
      <c r="M4"/>
      <c r="N4"/>
      <c r="O4"/>
      <c r="P4"/>
      <c r="Q4"/>
      <c r="R4"/>
      <c r="S4"/>
      <c r="T4"/>
    </row>
    <row r="12" spans="1:31" x14ac:dyDescent="0.25">
      <c r="AE12" s="24">
        <v>9</v>
      </c>
    </row>
    <row r="21" spans="11:13" x14ac:dyDescent="0.25">
      <c r="K21" s="27"/>
      <c r="L21" s="27"/>
      <c r="M21" s="27"/>
    </row>
    <row r="22" spans="11:13" x14ac:dyDescent="0.25">
      <c r="K22" s="27"/>
      <c r="L22" s="27"/>
      <c r="M22" s="27"/>
    </row>
    <row r="23" spans="11:13" x14ac:dyDescent="0.25">
      <c r="K23" s="27"/>
      <c r="L23" s="27"/>
      <c r="M23" s="27"/>
    </row>
    <row r="24" spans="11:13" x14ac:dyDescent="0.25">
      <c r="K24" s="27"/>
      <c r="L24" s="27"/>
      <c r="M24" s="27"/>
    </row>
    <row r="25" spans="11:13" x14ac:dyDescent="0.25">
      <c r="K25" s="27"/>
      <c r="L25" s="27"/>
      <c r="M25" s="27"/>
    </row>
    <row r="26" spans="11:13" x14ac:dyDescent="0.25">
      <c r="K26" s="27"/>
      <c r="L26" s="27"/>
      <c r="M26" s="27"/>
    </row>
    <row r="27" spans="11:13" x14ac:dyDescent="0.25">
      <c r="K27" s="27"/>
      <c r="L27" s="27"/>
      <c r="M27" s="27"/>
    </row>
  </sheetData>
  <pageMargins left="0.511811024" right="0.511811024" top="0.78740157499999996" bottom="0.78740157499999996" header="0.31496062000000002" footer="0.31496062000000002"/>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List Box 1">
              <controlPr defaultSize="0" print="0" autoLine="0" autoPict="0">
                <anchor>
                  <from>
                    <xdr:col>0</xdr:col>
                    <xdr:colOff>323850</xdr:colOff>
                    <xdr:row>5</xdr:row>
                    <xdr:rowOff>85725</xdr:rowOff>
                  </from>
                  <to>
                    <xdr:col>3</xdr:col>
                    <xdr:colOff>552450</xdr:colOff>
                    <xdr:row>30</xdr:row>
                    <xdr:rowOff>161925</xdr:rowOff>
                  </to>
                </anchor>
              </controlPr>
            </control>
          </mc:Choice>
        </mc:AlternateContent>
        <mc:AlternateContent xmlns:mc="http://schemas.openxmlformats.org/markup-compatibility/2006">
          <mc:Choice Requires="x14">
            <control shapeId="36866" r:id="rId5" name="Option Button 2">
              <controlPr defaultSize="0" autoFill="0" autoLine="0" autoPict="0">
                <anchor moveWithCells="1">
                  <from>
                    <xdr:col>4</xdr:col>
                    <xdr:colOff>533400</xdr:colOff>
                    <xdr:row>16</xdr:row>
                    <xdr:rowOff>9525</xdr:rowOff>
                  </from>
                  <to>
                    <xdr:col>5</xdr:col>
                    <xdr:colOff>219075</xdr:colOff>
                    <xdr:row>17</xdr:row>
                    <xdr:rowOff>9525</xdr:rowOff>
                  </to>
                </anchor>
              </controlPr>
            </control>
          </mc:Choice>
        </mc:AlternateContent>
        <mc:AlternateContent xmlns:mc="http://schemas.openxmlformats.org/markup-compatibility/2006">
          <mc:Choice Requires="x14">
            <control shapeId="36867" r:id="rId6" name="Option Button 3">
              <controlPr defaultSize="0" autoFill="0" autoLine="0" autoPict="0">
                <anchor moveWithCells="1">
                  <from>
                    <xdr:col>5</xdr:col>
                    <xdr:colOff>495300</xdr:colOff>
                    <xdr:row>16</xdr:row>
                    <xdr:rowOff>19050</xdr:rowOff>
                  </from>
                  <to>
                    <xdr:col>6</xdr:col>
                    <xdr:colOff>180975</xdr:colOff>
                    <xdr:row>17</xdr:row>
                    <xdr:rowOff>19050</xdr:rowOff>
                  </to>
                </anchor>
              </controlPr>
            </control>
          </mc:Choice>
        </mc:AlternateContent>
        <mc:AlternateContent xmlns:mc="http://schemas.openxmlformats.org/markup-compatibility/2006">
          <mc:Choice Requires="x14">
            <control shapeId="36868" r:id="rId7" name="Option Button 4">
              <controlPr defaultSize="0" autoFill="0" autoLine="0" autoPict="0">
                <anchor moveWithCells="1">
                  <from>
                    <xdr:col>6</xdr:col>
                    <xdr:colOff>466725</xdr:colOff>
                    <xdr:row>16</xdr:row>
                    <xdr:rowOff>9525</xdr:rowOff>
                  </from>
                  <to>
                    <xdr:col>7</xdr:col>
                    <xdr:colOff>152400</xdr:colOff>
                    <xdr:row>17</xdr:row>
                    <xdr:rowOff>9525</xdr:rowOff>
                  </to>
                </anchor>
              </controlPr>
            </control>
          </mc:Choice>
        </mc:AlternateContent>
        <mc:AlternateContent xmlns:mc="http://schemas.openxmlformats.org/markup-compatibility/2006">
          <mc:Choice Requires="x14">
            <control shapeId="36869" r:id="rId8" name="Option Button 5">
              <controlPr defaultSize="0" autoFill="0" autoLine="0" autoPict="0">
                <anchor moveWithCells="1">
                  <from>
                    <xdr:col>7</xdr:col>
                    <xdr:colOff>428625</xdr:colOff>
                    <xdr:row>16</xdr:row>
                    <xdr:rowOff>19050</xdr:rowOff>
                  </from>
                  <to>
                    <xdr:col>8</xdr:col>
                    <xdr:colOff>114300</xdr:colOff>
                    <xdr:row>17</xdr:row>
                    <xdr:rowOff>19050</xdr:rowOff>
                  </to>
                </anchor>
              </controlPr>
            </control>
          </mc:Choice>
        </mc:AlternateContent>
        <mc:AlternateContent xmlns:mc="http://schemas.openxmlformats.org/markup-compatibility/2006">
          <mc:Choice Requires="x14">
            <control shapeId="36870" r:id="rId9" name="Option Button 6">
              <controlPr defaultSize="0" autoFill="0" autoLine="0" autoPict="0">
                <anchor moveWithCells="1">
                  <from>
                    <xdr:col>8</xdr:col>
                    <xdr:colOff>390525</xdr:colOff>
                    <xdr:row>16</xdr:row>
                    <xdr:rowOff>19050</xdr:rowOff>
                  </from>
                  <to>
                    <xdr:col>9</xdr:col>
                    <xdr:colOff>76200</xdr:colOff>
                    <xdr:row>17</xdr:row>
                    <xdr:rowOff>19050</xdr:rowOff>
                  </to>
                </anchor>
              </controlPr>
            </control>
          </mc:Choice>
        </mc:AlternateContent>
        <mc:AlternateContent xmlns:mc="http://schemas.openxmlformats.org/markup-compatibility/2006">
          <mc:Choice Requires="x14">
            <control shapeId="36871" r:id="rId10" name="Option Button 7">
              <controlPr defaultSize="0" autoFill="0" autoLine="0" autoPict="0">
                <anchor moveWithCells="1">
                  <from>
                    <xdr:col>9</xdr:col>
                    <xdr:colOff>352425</xdr:colOff>
                    <xdr:row>16</xdr:row>
                    <xdr:rowOff>9525</xdr:rowOff>
                  </from>
                  <to>
                    <xdr:col>10</xdr:col>
                    <xdr:colOff>38100</xdr:colOff>
                    <xdr:row>17</xdr:row>
                    <xdr:rowOff>9525</xdr:rowOff>
                  </to>
                </anchor>
              </controlPr>
            </control>
          </mc:Choice>
        </mc:AlternateContent>
        <mc:AlternateContent xmlns:mc="http://schemas.openxmlformats.org/markup-compatibility/2006">
          <mc:Choice Requires="x14">
            <control shapeId="36872" r:id="rId11" name="Option Button 8">
              <controlPr defaultSize="0" autoFill="0" autoLine="0" autoPict="0">
                <anchor moveWithCells="1">
                  <from>
                    <xdr:col>10</xdr:col>
                    <xdr:colOff>314325</xdr:colOff>
                    <xdr:row>16</xdr:row>
                    <xdr:rowOff>9525</xdr:rowOff>
                  </from>
                  <to>
                    <xdr:col>11</xdr:col>
                    <xdr:colOff>0</xdr:colOff>
                    <xdr:row>17</xdr:row>
                    <xdr:rowOff>9525</xdr:rowOff>
                  </to>
                </anchor>
              </controlPr>
            </control>
          </mc:Choice>
        </mc:AlternateContent>
        <mc:AlternateContent xmlns:mc="http://schemas.openxmlformats.org/markup-compatibility/2006">
          <mc:Choice Requires="x14">
            <control shapeId="36873" r:id="rId12" name="Option Button 9">
              <controlPr defaultSize="0" autoFill="0" autoLine="0" autoPict="0">
                <anchor moveWithCells="1">
                  <from>
                    <xdr:col>11</xdr:col>
                    <xdr:colOff>295275</xdr:colOff>
                    <xdr:row>16</xdr:row>
                    <xdr:rowOff>19050</xdr:rowOff>
                  </from>
                  <to>
                    <xdr:col>11</xdr:col>
                    <xdr:colOff>590550</xdr:colOff>
                    <xdr:row>17</xdr:row>
                    <xdr:rowOff>19050</xdr:rowOff>
                  </to>
                </anchor>
              </controlPr>
            </control>
          </mc:Choice>
        </mc:AlternateContent>
        <mc:AlternateContent xmlns:mc="http://schemas.openxmlformats.org/markup-compatibility/2006">
          <mc:Choice Requires="x14">
            <control shapeId="36874" r:id="rId13" name="Option Button 10">
              <controlPr defaultSize="0" autoFill="0" autoLine="0" autoPict="0">
                <anchor moveWithCells="1">
                  <from>
                    <xdr:col>12</xdr:col>
                    <xdr:colOff>247650</xdr:colOff>
                    <xdr:row>16</xdr:row>
                    <xdr:rowOff>9525</xdr:rowOff>
                  </from>
                  <to>
                    <xdr:col>12</xdr:col>
                    <xdr:colOff>542925</xdr:colOff>
                    <xdr:row>17</xdr:row>
                    <xdr:rowOff>9525</xdr:rowOff>
                  </to>
                </anchor>
              </controlPr>
            </control>
          </mc:Choice>
        </mc:AlternateContent>
        <mc:AlternateContent xmlns:mc="http://schemas.openxmlformats.org/markup-compatibility/2006">
          <mc:Choice Requires="x14">
            <control shapeId="36875" r:id="rId14" name="Option Button 11">
              <controlPr defaultSize="0" autoFill="0" autoLine="0" autoPict="0">
                <anchor moveWithCells="1">
                  <from>
                    <xdr:col>13</xdr:col>
                    <xdr:colOff>219075</xdr:colOff>
                    <xdr:row>16</xdr:row>
                    <xdr:rowOff>9525</xdr:rowOff>
                  </from>
                  <to>
                    <xdr:col>13</xdr:col>
                    <xdr:colOff>514350</xdr:colOff>
                    <xdr:row>17</xdr:row>
                    <xdr:rowOff>9525</xdr:rowOff>
                  </to>
                </anchor>
              </controlPr>
            </control>
          </mc:Choice>
        </mc:AlternateContent>
        <mc:AlternateContent xmlns:mc="http://schemas.openxmlformats.org/markup-compatibility/2006">
          <mc:Choice Requires="x14">
            <control shapeId="36876" r:id="rId15" name="Option Button 12">
              <controlPr defaultSize="0" autoFill="0" autoLine="0" autoPict="0">
                <anchor moveWithCells="1">
                  <from>
                    <xdr:col>14</xdr:col>
                    <xdr:colOff>180975</xdr:colOff>
                    <xdr:row>16</xdr:row>
                    <xdr:rowOff>9525</xdr:rowOff>
                  </from>
                  <to>
                    <xdr:col>14</xdr:col>
                    <xdr:colOff>476250</xdr:colOff>
                    <xdr:row>17</xdr:row>
                    <xdr:rowOff>9525</xdr:rowOff>
                  </to>
                </anchor>
              </controlPr>
            </control>
          </mc:Choice>
        </mc:AlternateContent>
        <mc:AlternateContent xmlns:mc="http://schemas.openxmlformats.org/markup-compatibility/2006">
          <mc:Choice Requires="x14">
            <control shapeId="36877" r:id="rId16" name="Option Button 13">
              <controlPr defaultSize="0" autoFill="0" autoLine="0" autoPict="0">
                <anchor moveWithCells="1">
                  <from>
                    <xdr:col>15</xdr:col>
                    <xdr:colOff>152400</xdr:colOff>
                    <xdr:row>16</xdr:row>
                    <xdr:rowOff>9525</xdr:rowOff>
                  </from>
                  <to>
                    <xdr:col>15</xdr:col>
                    <xdr:colOff>447675</xdr:colOff>
                    <xdr:row>17</xdr:row>
                    <xdr:rowOff>9525</xdr:rowOff>
                  </to>
                </anchor>
              </controlPr>
            </control>
          </mc:Choice>
        </mc:AlternateContent>
        <mc:AlternateContent xmlns:mc="http://schemas.openxmlformats.org/markup-compatibility/2006">
          <mc:Choice Requires="x14">
            <control shapeId="36878" r:id="rId17" name="Option Button 14">
              <controlPr defaultSize="0" autoFill="0" autoLine="0" autoPict="0">
                <anchor moveWithCells="1">
                  <from>
                    <xdr:col>16</xdr:col>
                    <xdr:colOff>114300</xdr:colOff>
                    <xdr:row>16</xdr:row>
                    <xdr:rowOff>0</xdr:rowOff>
                  </from>
                  <to>
                    <xdr:col>16</xdr:col>
                    <xdr:colOff>409575</xdr:colOff>
                    <xdr:row>17</xdr:row>
                    <xdr:rowOff>0</xdr:rowOff>
                  </to>
                </anchor>
              </controlPr>
            </control>
          </mc:Choice>
        </mc:AlternateContent>
        <mc:AlternateContent xmlns:mc="http://schemas.openxmlformats.org/markup-compatibility/2006">
          <mc:Choice Requires="x14">
            <control shapeId="36879" r:id="rId18" name="Option Button 15">
              <controlPr defaultSize="0" autoFill="0" autoLine="0" autoPict="0">
                <anchor moveWithCells="1">
                  <from>
                    <xdr:col>17</xdr:col>
                    <xdr:colOff>85725</xdr:colOff>
                    <xdr:row>16</xdr:row>
                    <xdr:rowOff>9525</xdr:rowOff>
                  </from>
                  <to>
                    <xdr:col>17</xdr:col>
                    <xdr:colOff>381000</xdr:colOff>
                    <xdr:row>17</xdr:row>
                    <xdr:rowOff>9525</xdr:rowOff>
                  </to>
                </anchor>
              </controlPr>
            </control>
          </mc:Choice>
        </mc:AlternateContent>
        <mc:AlternateContent xmlns:mc="http://schemas.openxmlformats.org/markup-compatibility/2006">
          <mc:Choice Requires="x14">
            <control shapeId="36880" r:id="rId19" name="Option Button 16">
              <controlPr defaultSize="0" autoFill="0" autoLine="0" autoPict="0">
                <anchor moveWithCells="1">
                  <from>
                    <xdr:col>18</xdr:col>
                    <xdr:colOff>38100</xdr:colOff>
                    <xdr:row>16</xdr:row>
                    <xdr:rowOff>9525</xdr:rowOff>
                  </from>
                  <to>
                    <xdr:col>18</xdr:col>
                    <xdr:colOff>333375</xdr:colOff>
                    <xdr:row>17</xdr:row>
                    <xdr:rowOff>9525</xdr:rowOff>
                  </to>
                </anchor>
              </controlPr>
            </control>
          </mc:Choice>
        </mc:AlternateContent>
        <mc:AlternateContent xmlns:mc="http://schemas.openxmlformats.org/markup-compatibility/2006">
          <mc:Choice Requires="x14">
            <control shapeId="36881" r:id="rId20" name="Option Button 17">
              <controlPr defaultSize="0" autoFill="0" autoLine="0" autoPict="0">
                <anchor moveWithCells="1">
                  <from>
                    <xdr:col>19</xdr:col>
                    <xdr:colOff>9525</xdr:colOff>
                    <xdr:row>16</xdr:row>
                    <xdr:rowOff>9525</xdr:rowOff>
                  </from>
                  <to>
                    <xdr:col>19</xdr:col>
                    <xdr:colOff>304800</xdr:colOff>
                    <xdr:row>17</xdr:row>
                    <xdr:rowOff>9525</xdr:rowOff>
                  </to>
                </anchor>
              </controlPr>
            </control>
          </mc:Choice>
        </mc:AlternateContent>
        <mc:AlternateContent xmlns:mc="http://schemas.openxmlformats.org/markup-compatibility/2006">
          <mc:Choice Requires="x14">
            <control shapeId="36882" r:id="rId21" name="Scroll Bar 18">
              <controlPr defaultSize="0" autoPict="0">
                <anchor moveWithCells="1">
                  <from>
                    <xdr:col>8</xdr:col>
                    <xdr:colOff>38100</xdr:colOff>
                    <xdr:row>18</xdr:row>
                    <xdr:rowOff>19050</xdr:rowOff>
                  </from>
                  <to>
                    <xdr:col>8</xdr:col>
                    <xdr:colOff>371475</xdr:colOff>
                    <xdr:row>30</xdr:row>
                    <xdr:rowOff>161925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83"/>
  <sheetViews>
    <sheetView showGridLines="0" zoomScale="85" zoomScaleNormal="85" workbookViewId="0">
      <selection activeCell="E22" sqref="E22"/>
    </sheetView>
  </sheetViews>
  <sheetFormatPr defaultRowHeight="15" x14ac:dyDescent="0.25"/>
  <cols>
    <col min="3" max="3" width="31.7109375" customWidth="1"/>
    <col min="4" max="4" width="15.85546875" customWidth="1"/>
    <col min="5" max="6" width="21.28515625" customWidth="1"/>
    <col min="7" max="7" width="12.140625" customWidth="1"/>
    <col min="8" max="8" width="16.42578125" style="51" customWidth="1"/>
    <col min="10" max="10" width="12.28515625" bestFit="1" customWidth="1"/>
  </cols>
  <sheetData>
    <row r="1" spans="2:15" x14ac:dyDescent="0.25">
      <c r="C1">
        <v>1</v>
      </c>
      <c r="D1">
        <f>C1+1</f>
        <v>2</v>
      </c>
      <c r="E1">
        <f>D1+1</f>
        <v>3</v>
      </c>
      <c r="F1">
        <f>E1+1</f>
        <v>4</v>
      </c>
      <c r="G1">
        <f>+F1+1</f>
        <v>5</v>
      </c>
      <c r="H1" s="51" t="e">
        <f>#REF!+1</f>
        <v>#REF!</v>
      </c>
    </row>
    <row r="2" spans="2:15" x14ac:dyDescent="0.25">
      <c r="D2" s="25" t="str">
        <f>D6</f>
        <v>Unidades (Caixas)</v>
      </c>
      <c r="E2" s="25" t="str">
        <f>E6</f>
        <v>MAT Dólares (US$)</v>
      </c>
      <c r="F2" s="25" t="str">
        <f>F6</f>
        <v>MAT Reais (R$)</v>
      </c>
      <c r="G2" s="25" t="s">
        <v>19501</v>
      </c>
      <c r="H2" s="52" t="s">
        <v>621</v>
      </c>
    </row>
    <row r="3" spans="2:15" x14ac:dyDescent="0.25">
      <c r="B3">
        <v>23</v>
      </c>
      <c r="C3" t="str">
        <f>INDEX(bdGraficoMAT!$C$7:$H$82,$B$3,C1)</f>
        <v xml:space="preserve"> EUROFARMA</v>
      </c>
      <c r="D3" s="23">
        <f>INDEX(bdGraficoMAT!$C$7:$H$82,$B$3,D1)/100</f>
        <v>251661.44</v>
      </c>
      <c r="E3" s="23">
        <f>INDEX(bdGraficoMAT!$C$7:$H$82,$B$3,E1)/100</f>
        <v>2599508.33</v>
      </c>
      <c r="F3" s="23">
        <f>INDEX(bdGraficoMAT!$C$7:$H$82,$B$3,F1)/100</f>
        <v>5939068.6481999997</v>
      </c>
      <c r="G3" s="35">
        <f>INDEX(bdGraficoMAT!$C$7:$H$82,$B$3,G1)/100</f>
        <v>0.23599438389131044</v>
      </c>
      <c r="H3" s="53" t="e">
        <f>INDEX(bdGraficoMAT!$C$7:$H$82,$B$3,H1)/100</f>
        <v>#REF!</v>
      </c>
    </row>
    <row r="4" spans="2:15" x14ac:dyDescent="0.25">
      <c r="C4" t="str">
        <f>PROPER("Grupo: "&amp;C3)</f>
        <v>Grupo:  Eurofarma</v>
      </c>
      <c r="H4" s="51" t="e">
        <f>"Composição na UF: "&amp;INDEX(#REF!,1,H5)</f>
        <v>#REF!</v>
      </c>
    </row>
    <row r="5" spans="2:15" x14ac:dyDescent="0.25">
      <c r="H5" s="51">
        <v>1</v>
      </c>
    </row>
    <row r="6" spans="2:15" ht="35.25" customHeight="1" x14ac:dyDescent="0.25">
      <c r="C6" s="26" t="s">
        <v>19494</v>
      </c>
      <c r="D6" s="81" t="s">
        <v>21917</v>
      </c>
      <c r="E6" s="79" t="s">
        <v>21919</v>
      </c>
      <c r="F6" s="79" t="s">
        <v>21918</v>
      </c>
      <c r="G6" t="s">
        <v>21921</v>
      </c>
      <c r="H6" s="54" t="s">
        <v>621</v>
      </c>
      <c r="M6" t="s">
        <v>19502</v>
      </c>
      <c r="N6" t="s">
        <v>19503</v>
      </c>
      <c r="O6" t="s">
        <v>19504</v>
      </c>
    </row>
    <row r="7" spans="2:15" x14ac:dyDescent="0.25">
      <c r="C7" s="17" t="s">
        <v>9</v>
      </c>
      <c r="D7" s="80">
        <v>1849875</v>
      </c>
      <c r="E7" s="82">
        <v>30202043</v>
      </c>
      <c r="F7" s="82">
        <v>68970092.030000001</v>
      </c>
      <c r="G7" s="73">
        <f>+bdGraficoMAT!$F7/bdGraficoMAT!$D7</f>
        <v>37.283649992567064</v>
      </c>
      <c r="H7" s="72"/>
      <c r="M7">
        <v>5</v>
      </c>
      <c r="N7" s="33" t="e">
        <f>M7*#REF!</f>
        <v>#REF!</v>
      </c>
      <c r="O7" s="33" t="e">
        <f>M7-N7</f>
        <v>#REF!</v>
      </c>
    </row>
    <row r="8" spans="2:15" x14ac:dyDescent="0.25">
      <c r="C8" s="17" t="s">
        <v>1</v>
      </c>
      <c r="D8" s="80">
        <v>55261769</v>
      </c>
      <c r="E8" s="82">
        <v>427276476</v>
      </c>
      <c r="F8" s="82">
        <v>973891029.21000016</v>
      </c>
      <c r="G8" s="109">
        <f>+bdGraficoMAT!$F8/bdGraficoMAT!$D8</f>
        <v>17.623232966175951</v>
      </c>
      <c r="H8" s="72"/>
      <c r="M8">
        <v>10</v>
      </c>
      <c r="N8" s="33" t="e">
        <f>M8*#REF!</f>
        <v>#REF!</v>
      </c>
      <c r="O8" s="33" t="e">
        <f t="shared" ref="O8:O13" si="0">M8-N8</f>
        <v>#REF!</v>
      </c>
    </row>
    <row r="9" spans="2:15" x14ac:dyDescent="0.25">
      <c r="C9" s="17" t="s">
        <v>466</v>
      </c>
      <c r="D9" s="80">
        <v>7489596</v>
      </c>
      <c r="E9" s="82">
        <v>51099783</v>
      </c>
      <c r="F9" s="82">
        <v>116623313.35000001</v>
      </c>
      <c r="G9" s="73">
        <f>+bdGraficoMAT!$F9/bdGraficoMAT!$D9</f>
        <v>15.571375725740081</v>
      </c>
      <c r="H9" s="72"/>
      <c r="M9">
        <v>15</v>
      </c>
      <c r="N9" s="33" t="e">
        <f>M9*#REF!</f>
        <v>#REF!</v>
      </c>
      <c r="O9" s="33" t="e">
        <f t="shared" si="0"/>
        <v>#REF!</v>
      </c>
    </row>
    <row r="10" spans="2:15" x14ac:dyDescent="0.25">
      <c r="C10" s="17" t="s">
        <v>469</v>
      </c>
      <c r="D10" s="80">
        <v>1744069</v>
      </c>
      <c r="E10" s="82">
        <v>16732207</v>
      </c>
      <c r="F10" s="82">
        <v>38180794.019999996</v>
      </c>
      <c r="G10" s="73">
        <f>+bdGraficoMAT!$F10/bdGraficoMAT!$D10</f>
        <v>21.891790989920693</v>
      </c>
      <c r="H10" s="72"/>
      <c r="M10">
        <v>20</v>
      </c>
      <c r="N10" s="33" t="e">
        <f>M10*#REF!</f>
        <v>#REF!</v>
      </c>
      <c r="O10" s="33" t="e">
        <f t="shared" si="0"/>
        <v>#REF!</v>
      </c>
    </row>
    <row r="11" spans="2:15" x14ac:dyDescent="0.25">
      <c r="C11" s="17" t="s">
        <v>109</v>
      </c>
      <c r="D11" s="80">
        <v>6971777</v>
      </c>
      <c r="E11" s="82">
        <v>83146022</v>
      </c>
      <c r="F11" s="82">
        <v>189758072.02000001</v>
      </c>
      <c r="G11" s="73">
        <f>+bdGraficoMAT!$F11/bdGraficoMAT!$D11</f>
        <v>27.218035232624338</v>
      </c>
      <c r="H11" s="72"/>
      <c r="M11">
        <v>30</v>
      </c>
      <c r="N11" s="33" t="e">
        <f>M11*#REF!</f>
        <v>#REF!</v>
      </c>
      <c r="O11" s="33" t="e">
        <f t="shared" si="0"/>
        <v>#REF!</v>
      </c>
    </row>
    <row r="12" spans="2:15" x14ac:dyDescent="0.25">
      <c r="C12" s="17" t="s">
        <v>245</v>
      </c>
      <c r="D12" s="80">
        <v>1010670</v>
      </c>
      <c r="E12" s="82">
        <v>4021967</v>
      </c>
      <c r="F12" s="82">
        <v>9203039.0299999993</v>
      </c>
      <c r="G12" s="73">
        <f>+bdGraficoMAT!$F12/bdGraficoMAT!$D12</f>
        <v>9.1058792978914962</v>
      </c>
      <c r="H12" s="72"/>
      <c r="M12">
        <v>50</v>
      </c>
      <c r="N12" s="33" t="e">
        <f>M12*#REF!</f>
        <v>#REF!</v>
      </c>
      <c r="O12" s="33" t="e">
        <f t="shared" si="0"/>
        <v>#REF!</v>
      </c>
    </row>
    <row r="13" spans="2:15" x14ac:dyDescent="0.25">
      <c r="C13" s="17" t="s">
        <v>439</v>
      </c>
      <c r="D13" s="80">
        <v>226601</v>
      </c>
      <c r="E13" s="82">
        <v>1966052</v>
      </c>
      <c r="F13" s="82">
        <v>4482907.47</v>
      </c>
      <c r="G13" s="73">
        <f>+bdGraficoMAT!$F13/bdGraficoMAT!$D13</f>
        <v>19.783264283917546</v>
      </c>
      <c r="H13" s="72"/>
      <c r="M13">
        <v>100</v>
      </c>
      <c r="N13" s="33" t="e">
        <f>M13*#REF!</f>
        <v>#REF!</v>
      </c>
      <c r="O13" s="33" t="e">
        <f t="shared" si="0"/>
        <v>#REF!</v>
      </c>
    </row>
    <row r="14" spans="2:15" x14ac:dyDescent="0.25">
      <c r="C14" s="17" t="s">
        <v>264</v>
      </c>
      <c r="D14" s="80">
        <v>2779989</v>
      </c>
      <c r="E14" s="82">
        <v>25844382</v>
      </c>
      <c r="F14" s="82">
        <v>58955587.350000001</v>
      </c>
      <c r="G14" s="73">
        <f>+bdGraficoMAT!$F14/bdGraficoMAT!$D14</f>
        <v>21.207129722455736</v>
      </c>
      <c r="H14" s="72"/>
    </row>
    <row r="15" spans="2:15" x14ac:dyDescent="0.25">
      <c r="C15" s="17" t="s">
        <v>434</v>
      </c>
      <c r="D15" s="80">
        <v>349439</v>
      </c>
      <c r="E15" s="82">
        <v>3104943</v>
      </c>
      <c r="F15" s="82">
        <v>7088422.9299999997</v>
      </c>
      <c r="G15" s="73">
        <f>+bdGraficoMAT!$F15/bdGraficoMAT!$D15</f>
        <v>20.285151142259448</v>
      </c>
      <c r="H15" s="72"/>
    </row>
    <row r="16" spans="2:15" x14ac:dyDescent="0.25">
      <c r="C16" s="17" t="s">
        <v>400</v>
      </c>
      <c r="D16" s="80">
        <v>33211207</v>
      </c>
      <c r="E16" s="82">
        <v>140466562</v>
      </c>
      <c r="F16" s="82">
        <v>320784368.87</v>
      </c>
      <c r="G16" s="73">
        <f>+bdGraficoMAT!$F16/bdGraficoMAT!$D16</f>
        <v>9.6589193181084934</v>
      </c>
      <c r="H16" s="72"/>
    </row>
    <row r="17" spans="3:8" x14ac:dyDescent="0.25">
      <c r="C17" s="17" t="s">
        <v>186</v>
      </c>
      <c r="D17" s="80">
        <v>628094</v>
      </c>
      <c r="E17" s="82">
        <v>2358810</v>
      </c>
      <c r="F17" s="82">
        <v>5387203.5</v>
      </c>
      <c r="G17" s="73">
        <f>+bdGraficoMAT!$F17/bdGraficoMAT!$D17</f>
        <v>8.5770656939884802</v>
      </c>
      <c r="H17" s="72"/>
    </row>
    <row r="18" spans="3:8" x14ac:dyDescent="0.25">
      <c r="C18" s="17" t="s">
        <v>568</v>
      </c>
      <c r="D18" s="80">
        <v>1257419</v>
      </c>
      <c r="E18" s="82">
        <v>17826176</v>
      </c>
      <c r="F18" s="82">
        <v>40686821.450000003</v>
      </c>
      <c r="G18" s="109">
        <f>+bdGraficoMAT!$F18/bdGraficoMAT!$D18</f>
        <v>32.357409463353108</v>
      </c>
      <c r="H18" s="72"/>
    </row>
    <row r="19" spans="3:8" x14ac:dyDescent="0.25">
      <c r="C19" s="17" t="s">
        <v>85</v>
      </c>
      <c r="D19" s="80">
        <v>6698065</v>
      </c>
      <c r="E19" s="82">
        <v>87644979</v>
      </c>
      <c r="F19" s="82">
        <v>200170538.88999999</v>
      </c>
      <c r="G19" s="73">
        <f>+bdGraficoMAT!$F19/bdGraficoMAT!$D19</f>
        <v>29.884830751866396</v>
      </c>
      <c r="H19" s="72"/>
    </row>
    <row r="20" spans="3:8" x14ac:dyDescent="0.25">
      <c r="C20" s="17" t="s">
        <v>22</v>
      </c>
      <c r="D20" s="80">
        <v>45992315</v>
      </c>
      <c r="E20" s="82">
        <v>184696341</v>
      </c>
      <c r="F20" s="82">
        <v>421911151.66000003</v>
      </c>
      <c r="G20" s="73">
        <f>+bdGraficoMAT!$F20/bdGraficoMAT!$D20</f>
        <v>9.1735141329589531</v>
      </c>
      <c r="H20" s="72"/>
    </row>
    <row r="21" spans="3:8" x14ac:dyDescent="0.25">
      <c r="C21" s="17" t="s">
        <v>331</v>
      </c>
      <c r="D21" s="80">
        <v>1817060</v>
      </c>
      <c r="E21" s="82">
        <v>7663035</v>
      </c>
      <c r="F21" s="82">
        <v>17480116.969999999</v>
      </c>
      <c r="G21" s="109">
        <f>+bdGraficoMAT!$F21/bdGraficoMAT!$D21</f>
        <v>9.6199998734219001</v>
      </c>
      <c r="H21" s="72"/>
    </row>
    <row r="22" spans="3:8" x14ac:dyDescent="0.25">
      <c r="C22" s="17" t="s">
        <v>532</v>
      </c>
      <c r="D22" s="80">
        <v>3880745</v>
      </c>
      <c r="E22" s="82">
        <v>67478290</v>
      </c>
      <c r="F22" s="82">
        <v>153131451.73000002</v>
      </c>
      <c r="G22" s="109">
        <f>+bdGraficoMAT!$F22/bdGraficoMAT!$D22</f>
        <v>39.459292411637463</v>
      </c>
      <c r="H22" s="72"/>
    </row>
    <row r="23" spans="3:8" x14ac:dyDescent="0.25">
      <c r="C23" s="17" t="s">
        <v>213</v>
      </c>
      <c r="D23" s="80">
        <v>37703384</v>
      </c>
      <c r="E23" s="82">
        <v>182816770</v>
      </c>
      <c r="F23" s="82">
        <v>416625800.13999999</v>
      </c>
      <c r="G23" s="73">
        <f>+bdGraficoMAT!$F23/bdGraficoMAT!$D23</f>
        <v>11.050090361650296</v>
      </c>
      <c r="H23" s="72"/>
    </row>
    <row r="24" spans="3:8" x14ac:dyDescent="0.25">
      <c r="C24" s="17" t="s">
        <v>88</v>
      </c>
      <c r="D24" s="80">
        <v>62401</v>
      </c>
      <c r="E24" s="82">
        <v>2904614</v>
      </c>
      <c r="F24" s="82">
        <v>6625668.3399999999</v>
      </c>
      <c r="G24" s="73">
        <f>+bdGraficoMAT!$F24/bdGraficoMAT!$D24</f>
        <v>106.17888078716688</v>
      </c>
      <c r="H24" s="72"/>
    </row>
    <row r="25" spans="3:8" x14ac:dyDescent="0.25">
      <c r="C25" s="17" t="s">
        <v>26</v>
      </c>
      <c r="D25" s="80">
        <v>3879488</v>
      </c>
      <c r="E25" s="82">
        <v>64099256</v>
      </c>
      <c r="F25" s="82">
        <v>145713442.99000001</v>
      </c>
      <c r="G25" s="109">
        <f>+bdGraficoMAT!$F25/bdGraficoMAT!$D25</f>
        <v>37.559967446735243</v>
      </c>
      <c r="H25" s="72"/>
    </row>
    <row r="26" spans="3:8" x14ac:dyDescent="0.25">
      <c r="C26" s="17" t="s">
        <v>445</v>
      </c>
      <c r="D26" s="80">
        <v>985961</v>
      </c>
      <c r="E26" s="82">
        <v>6902673</v>
      </c>
      <c r="F26" s="82">
        <v>15808361.5</v>
      </c>
      <c r="G26" s="109">
        <f>+bdGraficoMAT!$F26/bdGraficoMAT!$D26</f>
        <v>16.033455177233176</v>
      </c>
      <c r="H26" s="72"/>
    </row>
    <row r="27" spans="3:8" x14ac:dyDescent="0.25">
      <c r="C27" s="17" t="s">
        <v>485</v>
      </c>
      <c r="D27" s="80">
        <v>485233</v>
      </c>
      <c r="E27" s="82">
        <v>2191922</v>
      </c>
      <c r="F27" s="82">
        <v>5011942.2</v>
      </c>
      <c r="G27" s="73">
        <f>+bdGraficoMAT!$F27/bdGraficoMAT!$D27</f>
        <v>10.328939293081881</v>
      </c>
      <c r="H27" s="72"/>
    </row>
    <row r="28" spans="3:8" x14ac:dyDescent="0.25">
      <c r="C28" s="17" t="s">
        <v>29</v>
      </c>
      <c r="D28" s="80">
        <v>63135843</v>
      </c>
      <c r="E28" s="82">
        <v>418333089</v>
      </c>
      <c r="F28" s="82">
        <v>954029131.56000006</v>
      </c>
      <c r="G28" s="109">
        <f>+bdGraficoMAT!$F28/bdGraficoMAT!$D28</f>
        <v>15.110737201370702</v>
      </c>
      <c r="H28" s="72"/>
    </row>
    <row r="29" spans="3:8" x14ac:dyDescent="0.25">
      <c r="C29" s="17" t="s">
        <v>198</v>
      </c>
      <c r="D29" s="80">
        <v>25166144</v>
      </c>
      <c r="E29" s="82">
        <v>259950833</v>
      </c>
      <c r="F29" s="82">
        <v>593906864.81999993</v>
      </c>
      <c r="G29" s="109">
        <f>+bdGraficoMAT!$F29/bdGraficoMAT!$D29</f>
        <v>23.599438389131045</v>
      </c>
      <c r="H29" s="72"/>
    </row>
    <row r="30" spans="3:8" x14ac:dyDescent="0.25">
      <c r="C30" s="17" t="s">
        <v>290</v>
      </c>
      <c r="D30" s="80">
        <v>4799707</v>
      </c>
      <c r="E30" s="82">
        <v>29893751</v>
      </c>
      <c r="F30" s="82">
        <v>68303485.960000008</v>
      </c>
      <c r="G30" s="73">
        <f>+bdGraficoMAT!$F30/bdGraficoMAT!$D30</f>
        <v>14.230761577737976</v>
      </c>
      <c r="H30" s="72"/>
    </row>
    <row r="31" spans="3:8" x14ac:dyDescent="0.25">
      <c r="C31" s="17" t="s">
        <v>247</v>
      </c>
      <c r="D31" s="80">
        <v>589622</v>
      </c>
      <c r="E31" s="82">
        <v>3791658</v>
      </c>
      <c r="F31" s="82">
        <v>8618480.8499999996</v>
      </c>
      <c r="G31" s="73">
        <f>+bdGraficoMAT!$F31/bdGraficoMAT!$D31</f>
        <v>14.616959424851853</v>
      </c>
      <c r="H31" s="72"/>
    </row>
    <row r="32" spans="3:8" x14ac:dyDescent="0.25">
      <c r="C32" s="17" t="s">
        <v>424</v>
      </c>
      <c r="D32" s="80">
        <v>1124953</v>
      </c>
      <c r="E32" s="82">
        <v>3372325</v>
      </c>
      <c r="F32" s="82">
        <v>7701198.5700000003</v>
      </c>
      <c r="G32" s="73">
        <f>+bdGraficoMAT!$F32/bdGraficoMAT!$D32</f>
        <v>6.845795842137405</v>
      </c>
      <c r="H32" s="72"/>
    </row>
    <row r="33" spans="3:8" x14ac:dyDescent="0.25">
      <c r="C33" s="17" t="s">
        <v>72</v>
      </c>
      <c r="D33" s="80">
        <v>5923766</v>
      </c>
      <c r="E33" s="82">
        <v>66685131</v>
      </c>
      <c r="F33" s="82">
        <v>152115767.25999999</v>
      </c>
      <c r="G33" s="73">
        <f>+bdGraficoMAT!$F33/bdGraficoMAT!$D33</f>
        <v>25.678895361498071</v>
      </c>
      <c r="H33" s="72"/>
    </row>
    <row r="34" spans="3:8" x14ac:dyDescent="0.25">
      <c r="C34" s="17" t="s">
        <v>202</v>
      </c>
      <c r="D34" s="80">
        <v>762541</v>
      </c>
      <c r="E34" s="82">
        <v>4241429</v>
      </c>
      <c r="F34" s="82">
        <v>9691470.5700000003</v>
      </c>
      <c r="G34" s="73">
        <f>+bdGraficoMAT!$F34/bdGraficoMAT!$D34</f>
        <v>12.709441944761004</v>
      </c>
      <c r="H34" s="72"/>
    </row>
    <row r="35" spans="3:8" x14ac:dyDescent="0.25">
      <c r="C35" s="17" t="s">
        <v>44</v>
      </c>
      <c r="D35" s="80">
        <v>7168329</v>
      </c>
      <c r="E35" s="82">
        <v>49417520</v>
      </c>
      <c r="F35" s="82">
        <v>112882887.32000001</v>
      </c>
      <c r="G35" s="73">
        <f>+bdGraficoMAT!$F35/bdGraficoMAT!$D35</f>
        <v>15.747447880810158</v>
      </c>
      <c r="H35" s="72"/>
    </row>
    <row r="36" spans="3:8" x14ac:dyDescent="0.25">
      <c r="C36" s="17" t="s">
        <v>328</v>
      </c>
      <c r="D36" s="80">
        <v>9212199</v>
      </c>
      <c r="E36" s="82">
        <v>111996194</v>
      </c>
      <c r="F36" s="82">
        <v>254960536.16000003</v>
      </c>
      <c r="G36" s="73">
        <f>+bdGraficoMAT!$F36/bdGraficoMAT!$D36</f>
        <v>27.676403447211683</v>
      </c>
      <c r="H36" s="72"/>
    </row>
    <row r="37" spans="3:8" x14ac:dyDescent="0.25">
      <c r="C37" s="17" t="s">
        <v>215</v>
      </c>
      <c r="D37" s="80">
        <v>3050920</v>
      </c>
      <c r="E37" s="82">
        <v>33537009</v>
      </c>
      <c r="F37" s="82">
        <v>76211978.590000004</v>
      </c>
      <c r="G37" s="109">
        <f>+bdGraficoMAT!$F37/bdGraficoMAT!$D37</f>
        <v>24.97999901341235</v>
      </c>
      <c r="H37" s="72"/>
    </row>
    <row r="38" spans="3:8" x14ac:dyDescent="0.25">
      <c r="C38" s="17" t="s">
        <v>375</v>
      </c>
      <c r="D38" s="80">
        <v>28239857</v>
      </c>
      <c r="E38" s="82">
        <v>46159504</v>
      </c>
      <c r="F38" s="82">
        <v>105323896.13</v>
      </c>
      <c r="G38" s="109">
        <f>+bdGraficoMAT!$F38/bdGraficoMAT!$D38</f>
        <v>3.7296186071338817</v>
      </c>
      <c r="H38" s="72"/>
    </row>
    <row r="39" spans="3:8" x14ac:dyDescent="0.25">
      <c r="C39" s="17" t="s">
        <v>82</v>
      </c>
      <c r="D39" s="80">
        <v>3322981</v>
      </c>
      <c r="E39" s="82">
        <v>10907563</v>
      </c>
      <c r="F39" s="82">
        <v>24913322.789999999</v>
      </c>
      <c r="G39" s="73">
        <f>+bdGraficoMAT!$F39/bdGraficoMAT!$D39</f>
        <v>7.4972811430459574</v>
      </c>
      <c r="H39" s="72"/>
    </row>
    <row r="40" spans="3:8" x14ac:dyDescent="0.25">
      <c r="C40" s="17" t="s">
        <v>55</v>
      </c>
      <c r="D40" s="80">
        <v>10132149</v>
      </c>
      <c r="E40" s="82">
        <v>51107608</v>
      </c>
      <c r="F40" s="82">
        <v>116208860.42</v>
      </c>
      <c r="G40" s="109">
        <f>+bdGraficoMAT!$F40/bdGraficoMAT!$D40</f>
        <v>11.46932012349996</v>
      </c>
      <c r="H40" s="72"/>
    </row>
    <row r="41" spans="3:8" x14ac:dyDescent="0.25">
      <c r="C41" s="17" t="s">
        <v>39</v>
      </c>
      <c r="D41" s="80">
        <v>41276605</v>
      </c>
      <c r="E41" s="82">
        <v>315080773</v>
      </c>
      <c r="F41" s="82">
        <v>716188300.6400001</v>
      </c>
      <c r="G41" s="73">
        <f>+bdGraficoMAT!$F41/bdGraficoMAT!$D41</f>
        <v>17.350949784750952</v>
      </c>
      <c r="H41" s="72"/>
    </row>
    <row r="42" spans="3:8" x14ac:dyDescent="0.25">
      <c r="C42" s="17" t="s">
        <v>136</v>
      </c>
      <c r="D42" s="80">
        <v>8737872</v>
      </c>
      <c r="E42" s="82">
        <v>105553891.09</v>
      </c>
      <c r="F42" s="82">
        <v>240978009.12</v>
      </c>
      <c r="G42" s="73">
        <f>+bdGraficoMAT!$F42/bdGraficoMAT!$D42</f>
        <v>27.578569372497103</v>
      </c>
      <c r="H42" s="72"/>
    </row>
    <row r="43" spans="3:8" x14ac:dyDescent="0.25">
      <c r="C43" s="17" t="s">
        <v>114</v>
      </c>
      <c r="D43" s="80">
        <v>4071253</v>
      </c>
      <c r="E43" s="82">
        <v>87945479</v>
      </c>
      <c r="F43" s="82">
        <v>200751202.90999997</v>
      </c>
      <c r="G43" s="73">
        <f>+bdGraficoMAT!$F43/bdGraficoMAT!$D43</f>
        <v>49.309439356876119</v>
      </c>
      <c r="H43" s="72"/>
    </row>
    <row r="44" spans="3:8" x14ac:dyDescent="0.25">
      <c r="C44" s="17" t="s">
        <v>352</v>
      </c>
      <c r="D44" s="80">
        <v>151644</v>
      </c>
      <c r="E44" s="82">
        <v>2967861</v>
      </c>
      <c r="F44" s="82">
        <v>6764938.5899999999</v>
      </c>
      <c r="G44" s="109">
        <f>+bdGraficoMAT!$F44/bdGraficoMAT!$D44</f>
        <v>44.610657790614859</v>
      </c>
      <c r="H44" s="72"/>
    </row>
    <row r="45" spans="3:8" x14ac:dyDescent="0.25">
      <c r="C45" s="17" t="s">
        <v>153</v>
      </c>
      <c r="D45" s="80">
        <v>10253780</v>
      </c>
      <c r="E45" s="82">
        <v>67830508</v>
      </c>
      <c r="F45" s="82">
        <v>154505949.69999999</v>
      </c>
      <c r="G45" s="109">
        <f>+bdGraficoMAT!$F45/bdGraficoMAT!$D45</f>
        <v>15.068194334187002</v>
      </c>
      <c r="H45" s="72"/>
    </row>
    <row r="46" spans="3:8" x14ac:dyDescent="0.25">
      <c r="C46" s="17" t="s">
        <v>537</v>
      </c>
      <c r="D46" s="80">
        <v>932454</v>
      </c>
      <c r="E46" s="82">
        <v>5794529</v>
      </c>
      <c r="F46" s="82">
        <v>13224997.359999999</v>
      </c>
      <c r="G46" s="109">
        <f>+bdGraficoMAT!$F46/bdGraficoMAT!$D46</f>
        <v>14.183002443015955</v>
      </c>
      <c r="H46" s="72"/>
    </row>
    <row r="47" spans="3:8" x14ac:dyDescent="0.25">
      <c r="C47" s="17" t="s">
        <v>52</v>
      </c>
      <c r="D47" s="80">
        <v>15956209</v>
      </c>
      <c r="E47" s="82">
        <v>99865757</v>
      </c>
      <c r="F47" s="82">
        <v>227662448.16999996</v>
      </c>
      <c r="G47" s="109">
        <f>+bdGraficoMAT!$F47/bdGraficoMAT!$D47</f>
        <v>14.267953507628281</v>
      </c>
      <c r="H47" s="72"/>
    </row>
    <row r="48" spans="3:8" x14ac:dyDescent="0.25">
      <c r="C48" s="17" t="s">
        <v>60</v>
      </c>
      <c r="D48" s="80">
        <v>70255421</v>
      </c>
      <c r="E48" s="82">
        <v>105453633</v>
      </c>
      <c r="F48" s="82">
        <v>240130893.15000001</v>
      </c>
      <c r="G48" s="73">
        <f>+bdGraficoMAT!$F48/bdGraficoMAT!$D48</f>
        <v>3.4179695991004024</v>
      </c>
      <c r="H48" s="72"/>
    </row>
    <row r="49" spans="3:8" x14ac:dyDescent="0.25">
      <c r="C49" s="17" t="s">
        <v>97</v>
      </c>
      <c r="D49" s="80">
        <v>20192318</v>
      </c>
      <c r="E49" s="82">
        <v>99883915</v>
      </c>
      <c r="F49" s="82">
        <v>228270354.49000001</v>
      </c>
      <c r="G49" s="109">
        <f>+bdGraficoMAT!$F49/bdGraficoMAT!$D49</f>
        <v>11.304811784857984</v>
      </c>
      <c r="H49" s="72"/>
    </row>
    <row r="50" spans="3:8" x14ac:dyDescent="0.25">
      <c r="C50" s="17" t="s">
        <v>307</v>
      </c>
      <c r="D50" s="80">
        <v>2339364</v>
      </c>
      <c r="E50" s="82">
        <v>17689510</v>
      </c>
      <c r="F50" s="82">
        <v>40190149.469999999</v>
      </c>
      <c r="G50" s="73">
        <f>+bdGraficoMAT!$F50/bdGraficoMAT!$D50</f>
        <v>17.179946972766956</v>
      </c>
      <c r="H50" s="72"/>
    </row>
    <row r="51" spans="3:8" x14ac:dyDescent="0.25">
      <c r="C51" s="17" t="s">
        <v>267</v>
      </c>
      <c r="D51" s="80">
        <v>6574678</v>
      </c>
      <c r="E51" s="82">
        <v>119656246</v>
      </c>
      <c r="F51" s="82">
        <v>272753687.54000002</v>
      </c>
      <c r="G51" s="73">
        <f>+bdGraficoMAT!$F51/bdGraficoMAT!$D51</f>
        <v>41.48548226088031</v>
      </c>
      <c r="H51" s="72"/>
    </row>
    <row r="52" spans="3:8" x14ac:dyDescent="0.25">
      <c r="C52" s="17" t="s">
        <v>68</v>
      </c>
      <c r="D52" s="80">
        <v>25958998</v>
      </c>
      <c r="E52" s="82">
        <v>203050552</v>
      </c>
      <c r="F52" s="82">
        <v>462974886.76999998</v>
      </c>
      <c r="G52" s="73">
        <f>+bdGraficoMAT!$F52/bdGraficoMAT!$D52</f>
        <v>17.8348519757966</v>
      </c>
      <c r="H52" s="72"/>
    </row>
    <row r="53" spans="3:8" x14ac:dyDescent="0.25">
      <c r="C53" s="17" t="s">
        <v>151</v>
      </c>
      <c r="D53" s="80">
        <v>14459013</v>
      </c>
      <c r="E53" s="82">
        <v>18245931</v>
      </c>
      <c r="F53" s="82">
        <v>41471246.160000004</v>
      </c>
      <c r="G53" s="109">
        <f>+bdGraficoMAT!$F53/bdGraficoMAT!$D53</f>
        <v>2.8681934347800921</v>
      </c>
      <c r="H53" s="72"/>
    </row>
    <row r="54" spans="3:8" x14ac:dyDescent="0.25">
      <c r="C54" s="17" t="s">
        <v>34</v>
      </c>
      <c r="D54" s="80">
        <v>224577943</v>
      </c>
      <c r="E54" s="82">
        <v>1032098423</v>
      </c>
      <c r="F54" s="82">
        <v>2354654882.25</v>
      </c>
      <c r="G54" s="109">
        <f>+bdGraficoMAT!$F54/bdGraficoMAT!$D54</f>
        <v>10.484800291585181</v>
      </c>
      <c r="H54" s="72"/>
    </row>
    <row r="55" spans="3:8" x14ac:dyDescent="0.25">
      <c r="C55" s="17" t="s">
        <v>273</v>
      </c>
      <c r="D55" s="80">
        <v>308049</v>
      </c>
      <c r="E55" s="82">
        <v>10997525</v>
      </c>
      <c r="F55" s="82">
        <v>25054038.489999998</v>
      </c>
      <c r="G55" s="73">
        <f>+bdGraficoMAT!$F55/bdGraficoMAT!$D55</f>
        <v>81.331341734594162</v>
      </c>
      <c r="H55" s="72"/>
    </row>
    <row r="56" spans="3:8" x14ac:dyDescent="0.25">
      <c r="C56" s="17" t="s">
        <v>132</v>
      </c>
      <c r="D56" s="80">
        <v>1699195</v>
      </c>
      <c r="E56" s="82">
        <v>48620863</v>
      </c>
      <c r="F56" s="82">
        <v>110971638.74000001</v>
      </c>
      <c r="G56" s="109">
        <f>+bdGraficoMAT!$F56/bdGraficoMAT!$D56</f>
        <v>65.308359982226889</v>
      </c>
      <c r="H56" s="72"/>
    </row>
    <row r="57" spans="3:8" x14ac:dyDescent="0.25">
      <c r="C57" s="17" t="s">
        <v>219</v>
      </c>
      <c r="D57" s="80">
        <v>2045627</v>
      </c>
      <c r="E57" s="82">
        <v>14078601</v>
      </c>
      <c r="F57" s="82">
        <v>32000522.310000002</v>
      </c>
      <c r="G57" s="109">
        <f>+bdGraficoMAT!$F57/bdGraficoMAT!$D57</f>
        <v>15.643380885176038</v>
      </c>
      <c r="H57" s="72"/>
    </row>
    <row r="58" spans="3:8" x14ac:dyDescent="0.25">
      <c r="C58" s="17" t="s">
        <v>116</v>
      </c>
      <c r="D58" s="80">
        <v>1010864</v>
      </c>
      <c r="E58" s="82">
        <v>15672072</v>
      </c>
      <c r="F58" s="82">
        <v>35824679.390000001</v>
      </c>
      <c r="G58" s="109">
        <f>+bdGraficoMAT!$F58/bdGraficoMAT!$D58</f>
        <v>35.439662892337644</v>
      </c>
      <c r="H58" s="72"/>
    </row>
    <row r="59" spans="3:8" x14ac:dyDescent="0.25">
      <c r="C59" s="17" t="s">
        <v>239</v>
      </c>
      <c r="D59" s="80">
        <v>4719351</v>
      </c>
      <c r="E59" s="82">
        <v>46550148</v>
      </c>
      <c r="F59" s="82">
        <v>106253789.37</v>
      </c>
      <c r="G59" s="109">
        <f>+bdGraficoMAT!$F59/bdGraficoMAT!$D59</f>
        <v>22.514491795587997</v>
      </c>
      <c r="H59" s="72"/>
    </row>
    <row r="60" spans="3:8" x14ac:dyDescent="0.25">
      <c r="C60" s="17" t="s">
        <v>157</v>
      </c>
      <c r="D60" s="80">
        <v>9313323</v>
      </c>
      <c r="E60" s="82">
        <v>45381876</v>
      </c>
      <c r="F60" s="82">
        <v>103709917.14000002</v>
      </c>
      <c r="G60" s="109">
        <f>+bdGraficoMAT!$F60/bdGraficoMAT!$D60</f>
        <v>11.135651275060471</v>
      </c>
      <c r="H60" s="72"/>
    </row>
    <row r="61" spans="3:8" x14ac:dyDescent="0.25">
      <c r="C61" s="17" t="s">
        <v>123</v>
      </c>
      <c r="D61" s="80">
        <v>9571581</v>
      </c>
      <c r="E61" s="82">
        <v>29768538</v>
      </c>
      <c r="F61" s="82">
        <v>67832955.680000007</v>
      </c>
      <c r="G61" s="109">
        <f>+bdGraficoMAT!$F61/bdGraficoMAT!$D61</f>
        <v>7.0869123585748275</v>
      </c>
      <c r="H61" s="72"/>
    </row>
    <row r="62" spans="3:8" x14ac:dyDescent="0.25">
      <c r="C62" s="17" t="s">
        <v>302</v>
      </c>
      <c r="D62" s="80">
        <v>1182313</v>
      </c>
      <c r="E62" s="82">
        <v>6314178</v>
      </c>
      <c r="F62" s="82">
        <v>14313857.699999999</v>
      </c>
      <c r="G62" s="109">
        <f>+bdGraficoMAT!$F62/bdGraficoMAT!$D62</f>
        <v>12.106656782087315</v>
      </c>
      <c r="H62" s="72"/>
    </row>
    <row r="63" spans="3:8" x14ac:dyDescent="0.25">
      <c r="C63" s="17" t="s">
        <v>50</v>
      </c>
      <c r="D63" s="80">
        <v>4556765</v>
      </c>
      <c r="E63" s="82">
        <v>25309472</v>
      </c>
      <c r="F63" s="82">
        <v>57768187.609999999</v>
      </c>
      <c r="G63" s="109">
        <f>+bdGraficoMAT!$F63/bdGraficoMAT!$D63</f>
        <v>12.677455960533404</v>
      </c>
      <c r="H63" s="72"/>
    </row>
    <row r="64" spans="3:8" x14ac:dyDescent="0.25">
      <c r="C64" s="17" t="s">
        <v>275</v>
      </c>
      <c r="D64" s="80">
        <v>2663964</v>
      </c>
      <c r="E64" s="82">
        <v>52273076</v>
      </c>
      <c r="F64" s="82">
        <v>119261566.34</v>
      </c>
      <c r="G64" s="109">
        <f>+bdGraficoMAT!$F64/bdGraficoMAT!$D64</f>
        <v>44.76846021192479</v>
      </c>
      <c r="H64" s="72"/>
    </row>
    <row r="65" spans="3:8" x14ac:dyDescent="0.25">
      <c r="C65" s="17" t="s">
        <v>103</v>
      </c>
      <c r="D65" s="80">
        <v>15701758</v>
      </c>
      <c r="E65" s="82">
        <v>214917524.81</v>
      </c>
      <c r="F65" s="82">
        <v>490417009.60999995</v>
      </c>
      <c r="G65" s="109">
        <f>+bdGraficoMAT!$F65/bdGraficoMAT!$D65</f>
        <v>31.233254875664237</v>
      </c>
      <c r="H65" s="72"/>
    </row>
    <row r="66" spans="3:8" x14ac:dyDescent="0.25">
      <c r="C66" s="17" t="s">
        <v>28</v>
      </c>
      <c r="D66" s="80">
        <v>30387068</v>
      </c>
      <c r="E66" s="82">
        <v>312047232</v>
      </c>
      <c r="F66" s="82">
        <v>712241055.29999995</v>
      </c>
      <c r="G66" s="109">
        <f>+bdGraficoMAT!$F66/bdGraficoMAT!$D66</f>
        <v>23.438952889433097</v>
      </c>
      <c r="H66" s="72"/>
    </row>
    <row r="67" spans="3:8" x14ac:dyDescent="0.25">
      <c r="C67" s="17" t="s">
        <v>144</v>
      </c>
      <c r="D67" s="80">
        <v>1867716</v>
      </c>
      <c r="E67" s="82">
        <v>55287347</v>
      </c>
      <c r="F67" s="82">
        <v>126296141.19</v>
      </c>
      <c r="G67" s="109">
        <f>+bdGraficoMAT!$F67/bdGraficoMAT!$D67</f>
        <v>67.620634609330324</v>
      </c>
      <c r="H67" s="72"/>
    </row>
    <row r="68" spans="3:8" x14ac:dyDescent="0.25">
      <c r="C68" s="17" t="s">
        <v>58</v>
      </c>
      <c r="D68" s="80">
        <v>2992267</v>
      </c>
      <c r="E68" s="82">
        <v>21344561</v>
      </c>
      <c r="F68" s="82">
        <v>48545311.100000001</v>
      </c>
      <c r="G68" s="109">
        <f>+bdGraficoMAT!$F68/bdGraficoMAT!$D68</f>
        <v>16.223589372205087</v>
      </c>
      <c r="H68" s="72"/>
    </row>
    <row r="69" spans="3:8" x14ac:dyDescent="0.25">
      <c r="C69" s="17" t="s">
        <v>92</v>
      </c>
      <c r="D69" s="80">
        <v>41551775</v>
      </c>
      <c r="E69" s="82">
        <v>280514047</v>
      </c>
      <c r="F69" s="82">
        <v>640533109.18000007</v>
      </c>
      <c r="G69" s="109">
        <f>+bdGraficoMAT!$F69/bdGraficoMAT!$D69</f>
        <v>15.415300770665034</v>
      </c>
      <c r="H69" s="72"/>
    </row>
    <row r="70" spans="3:8" x14ac:dyDescent="0.25">
      <c r="C70" s="17" t="s">
        <v>64</v>
      </c>
      <c r="D70" s="80">
        <v>47789758</v>
      </c>
      <c r="E70" s="82">
        <v>245505764</v>
      </c>
      <c r="F70" s="82">
        <v>560435730.51000011</v>
      </c>
      <c r="G70" s="109">
        <f>+bdGraficoMAT!$F70/bdGraficoMAT!$D70</f>
        <v>11.72710961436549</v>
      </c>
      <c r="H70" s="72"/>
    </row>
    <row r="71" spans="3:8" x14ac:dyDescent="0.25">
      <c r="C71" s="17" t="s">
        <v>581</v>
      </c>
      <c r="D71" s="80">
        <v>286986</v>
      </c>
      <c r="E71" s="82">
        <v>4689132</v>
      </c>
      <c r="F71" s="82">
        <v>10708263.66</v>
      </c>
      <c r="G71" s="109">
        <f>+bdGraficoMAT!$F71/bdGraficoMAT!$D71</f>
        <v>37.312843344274633</v>
      </c>
      <c r="H71" s="72"/>
    </row>
    <row r="72" spans="3:8" x14ac:dyDescent="0.25">
      <c r="C72" s="17" t="s">
        <v>355</v>
      </c>
      <c r="D72" s="80">
        <v>271104</v>
      </c>
      <c r="E72" s="82">
        <v>8601211</v>
      </c>
      <c r="F72" s="82">
        <v>19639231.219999999</v>
      </c>
      <c r="G72" s="109">
        <f>+bdGraficoMAT!$F72/bdGraficoMAT!$D72</f>
        <v>72.441687396718592</v>
      </c>
      <c r="H72" s="72"/>
    </row>
    <row r="73" spans="3:8" x14ac:dyDescent="0.25">
      <c r="C73" s="17" t="s">
        <v>8</v>
      </c>
      <c r="D73" s="80">
        <v>24904179</v>
      </c>
      <c r="E73" s="82">
        <v>70306649</v>
      </c>
      <c r="F73" s="82">
        <v>160316974.15000001</v>
      </c>
      <c r="G73" s="109">
        <f>+bdGraficoMAT!$F73/bdGraficoMAT!$D73</f>
        <v>6.4373523074179637</v>
      </c>
      <c r="H73" s="72"/>
    </row>
    <row r="74" spans="3:8" x14ac:dyDescent="0.25">
      <c r="C74" s="17" t="s">
        <v>272</v>
      </c>
      <c r="D74" s="80">
        <v>654144</v>
      </c>
      <c r="E74" s="82">
        <v>23305214</v>
      </c>
      <c r="F74" s="82">
        <v>53108774.409999996</v>
      </c>
      <c r="G74" s="109">
        <f>+bdGraficoMAT!$F74/bdGraficoMAT!$D74</f>
        <v>81.188200778421873</v>
      </c>
      <c r="H74" s="72"/>
    </row>
    <row r="75" spans="3:8" x14ac:dyDescent="0.25">
      <c r="C75" s="17" t="s">
        <v>299</v>
      </c>
      <c r="D75" s="80">
        <v>1371908</v>
      </c>
      <c r="E75" s="82">
        <v>11074964</v>
      </c>
      <c r="F75" s="82">
        <v>25118388.309999999</v>
      </c>
      <c r="G75" s="109">
        <f>+bdGraficoMAT!$F75/bdGraficoMAT!$D75</f>
        <v>18.309090923006497</v>
      </c>
      <c r="H75" s="72"/>
    </row>
    <row r="76" spans="3:8" x14ac:dyDescent="0.25">
      <c r="C76" s="17" t="s">
        <v>193</v>
      </c>
      <c r="D76" s="80">
        <v>1142844</v>
      </c>
      <c r="E76" s="82">
        <v>4123474</v>
      </c>
      <c r="F76" s="82">
        <v>9409235.5999999996</v>
      </c>
      <c r="G76" s="73">
        <f>+bdGraficoMAT!$F76/bdGraficoMAT!$D76</f>
        <v>8.2331758315220629</v>
      </c>
      <c r="H76" s="72"/>
    </row>
    <row r="77" spans="3:8" x14ac:dyDescent="0.25">
      <c r="C77" s="17" t="s">
        <v>20236</v>
      </c>
      <c r="D77" s="80">
        <v>716378</v>
      </c>
      <c r="E77" s="82">
        <v>6159245</v>
      </c>
      <c r="F77" s="82">
        <v>14048415.060000001</v>
      </c>
      <c r="G77" s="109">
        <f>+bdGraficoMAT!$F77/bdGraficoMAT!$D77</f>
        <v>19.610338480522852</v>
      </c>
      <c r="H77" s="72"/>
    </row>
    <row r="78" spans="3:8" x14ac:dyDescent="0.25">
      <c r="C78" s="17" t="s">
        <v>21916</v>
      </c>
      <c r="D78" s="80">
        <v>2</v>
      </c>
      <c r="E78" s="82">
        <v>100</v>
      </c>
      <c r="F78" s="82">
        <v>200</v>
      </c>
      <c r="G78" s="109">
        <f>+bdGraficoMAT!$F78/bdGraficoMAT!$D78</f>
        <v>100</v>
      </c>
      <c r="H78" s="72"/>
    </row>
    <row r="79" spans="3:8" x14ac:dyDescent="0.25">
      <c r="C79" s="17" t="s">
        <v>21922</v>
      </c>
      <c r="D79" s="80">
        <v>2</v>
      </c>
      <c r="E79" s="82">
        <v>100</v>
      </c>
      <c r="F79" s="82">
        <v>200</v>
      </c>
      <c r="G79" s="73">
        <f>+bdGraficoMAT!$F79/bdGraficoMAT!$D79</f>
        <v>100</v>
      </c>
      <c r="H79" s="72"/>
    </row>
    <row r="80" spans="3:8" x14ac:dyDescent="0.25">
      <c r="C80" s="17" t="s">
        <v>21929</v>
      </c>
      <c r="D80" s="80">
        <v>691593</v>
      </c>
      <c r="E80" s="82">
        <v>4067077</v>
      </c>
      <c r="F80" s="82">
        <v>9289265.9499999993</v>
      </c>
      <c r="G80" s="73">
        <f>+bdGraficoMAT!$F80/bdGraficoMAT!$D80</f>
        <v>13.431694580483029</v>
      </c>
      <c r="H80" s="72"/>
    </row>
    <row r="81" spans="3:8" x14ac:dyDescent="0.25">
      <c r="C81" s="17" t="s">
        <v>21934</v>
      </c>
      <c r="D81" s="80">
        <v>283744</v>
      </c>
      <c r="E81" s="82">
        <v>2617008</v>
      </c>
      <c r="F81" s="82">
        <v>5998263.9699999997</v>
      </c>
      <c r="G81" s="109">
        <f>+bdGraficoMAT!$F81/bdGraficoMAT!$D81</f>
        <v>21.139703288880117</v>
      </c>
      <c r="H81" s="72"/>
    </row>
    <row r="82" spans="3:8" x14ac:dyDescent="0.25">
      <c r="C82" s="22" t="s">
        <v>203</v>
      </c>
      <c r="D82" s="73">
        <v>2</v>
      </c>
      <c r="E82" s="73">
        <v>100</v>
      </c>
      <c r="F82" s="73">
        <v>200</v>
      </c>
      <c r="G82" s="109">
        <f>+bdGraficoMAT!$F82/bdGraficoMAT!$D82</f>
        <v>100</v>
      </c>
      <c r="H82" s="72"/>
    </row>
    <row r="83" spans="3:8" x14ac:dyDescent="0.25">
      <c r="C83" s="22"/>
      <c r="D83" s="19"/>
      <c r="E83" s="19"/>
      <c r="F83" s="19"/>
      <c r="G83" s="29"/>
      <c r="H83" s="55" t="e">
        <f>SUBTOTAL(101,H7:H82)</f>
        <v>#DIV/0!</v>
      </c>
    </row>
  </sheetData>
  <pageMargins left="0.511811024" right="0.511811024" top="0.78740157499999996" bottom="0.78740157499999996" header="0.31496062000000002" footer="0.31496062000000002"/>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V612"/>
  <sheetViews>
    <sheetView showGridLines="0" zoomScale="130" zoomScaleNormal="130" workbookViewId="0">
      <pane ySplit="6" topLeftCell="A10" activePane="bottomLeft" state="frozen"/>
      <selection activeCell="E22" sqref="E22"/>
      <selection pane="bottomLeft" activeCell="A8" sqref="A8"/>
    </sheetView>
  </sheetViews>
  <sheetFormatPr defaultRowHeight="15" x14ac:dyDescent="0.25"/>
  <cols>
    <col min="1" max="1" width="38.85546875" customWidth="1"/>
    <col min="2" max="4" width="22.7109375" style="79" customWidth="1"/>
    <col min="5" max="5" width="20.28515625" customWidth="1"/>
    <col min="6" max="6" width="4.5703125" customWidth="1"/>
    <col min="7" max="7" width="4.5703125" bestFit="1" customWidth="1"/>
    <col min="8" max="8" width="4.7109375" customWidth="1"/>
    <col min="9" max="12" width="4.5703125" customWidth="1"/>
    <col min="13" max="14" width="4.5703125" bestFit="1" customWidth="1"/>
    <col min="15" max="15" width="3.7109375" customWidth="1"/>
    <col min="16" max="16" width="4.5703125" customWidth="1"/>
    <col min="17" max="17" width="4.28515625" customWidth="1"/>
    <col min="18" max="20" width="13" style="83" customWidth="1"/>
    <col min="21" max="22" width="7.7109375" customWidth="1"/>
  </cols>
  <sheetData>
    <row r="2" spans="1:256" ht="15.75" thickBot="1" x14ac:dyDescent="0.3">
      <c r="B2" s="131"/>
      <c r="C2" s="131"/>
      <c r="D2" s="131"/>
      <c r="E2" s="131"/>
      <c r="F2" s="131"/>
      <c r="G2" s="131"/>
      <c r="H2" s="131"/>
      <c r="I2" s="131"/>
      <c r="J2" s="131"/>
      <c r="K2" s="131"/>
      <c r="L2" s="131"/>
      <c r="M2" s="131"/>
      <c r="N2" s="131"/>
      <c r="O2" s="131"/>
      <c r="P2" s="131"/>
    </row>
    <row r="3" spans="1:256" x14ac:dyDescent="0.25">
      <c r="B3" s="131"/>
      <c r="C3" s="131"/>
      <c r="D3" s="131"/>
      <c r="E3" s="131"/>
      <c r="F3" s="131"/>
      <c r="G3" s="131"/>
      <c r="H3" s="131"/>
      <c r="I3" s="131"/>
      <c r="J3" s="131"/>
      <c r="K3" s="131"/>
      <c r="L3" s="131"/>
      <c r="M3" s="131"/>
      <c r="N3" s="131"/>
      <c r="O3" s="131"/>
      <c r="P3" s="131"/>
      <c r="R3" s="84"/>
      <c r="S3" s="84"/>
      <c r="T3" s="84"/>
      <c r="U3" s="32"/>
      <c r="V3" s="32"/>
    </row>
    <row r="6" spans="1:256" s="18" customFormat="1" x14ac:dyDescent="0.25">
      <c r="A6"/>
      <c r="B6" s="110" t="s">
        <v>21991</v>
      </c>
      <c r="C6"/>
      <c r="D6"/>
      <c r="E6"/>
      <c r="F6"/>
      <c r="G6"/>
      <c r="H6"/>
      <c r="I6"/>
      <c r="J6"/>
      <c r="K6"/>
      <c r="L6"/>
      <c r="M6"/>
      <c r="N6"/>
      <c r="O6"/>
      <c r="P6"/>
      <c r="Q6"/>
      <c r="R6" s="83"/>
      <c r="S6" s="83"/>
      <c r="T6" s="83"/>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row>
    <row r="7" spans="1:256" x14ac:dyDescent="0.25">
      <c r="A7" s="110" t="s">
        <v>19507</v>
      </c>
      <c r="B7" s="81" t="s">
        <v>21917</v>
      </c>
      <c r="C7" s="79" t="s">
        <v>21919</v>
      </c>
      <c r="D7" s="79" t="s">
        <v>21918</v>
      </c>
      <c r="K7">
        <f>200751202.91/4071253</f>
        <v>49.309439356876126</v>
      </c>
      <c r="R7" s="85"/>
      <c r="S7" s="85"/>
      <c r="T7" s="85"/>
      <c r="U7" s="20"/>
    </row>
    <row r="8" spans="1:256" x14ac:dyDescent="0.25">
      <c r="A8" s="17" t="s">
        <v>9</v>
      </c>
      <c r="B8" s="80">
        <v>1849875</v>
      </c>
      <c r="C8" s="82">
        <v>30202043</v>
      </c>
      <c r="D8" s="82">
        <v>68970092.030000001</v>
      </c>
      <c r="R8" s="85"/>
      <c r="S8" s="85"/>
      <c r="T8" s="85"/>
    </row>
    <row r="9" spans="1:256" x14ac:dyDescent="0.25">
      <c r="A9" s="17" t="s">
        <v>1</v>
      </c>
      <c r="B9" s="80">
        <v>55261769</v>
      </c>
      <c r="C9" s="82">
        <v>427276476</v>
      </c>
      <c r="D9" s="82">
        <v>973891029.2099998</v>
      </c>
      <c r="R9" s="85"/>
      <c r="S9" s="85"/>
      <c r="T9" s="85"/>
    </row>
    <row r="10" spans="1:256" x14ac:dyDescent="0.25">
      <c r="A10" s="17" t="s">
        <v>466</v>
      </c>
      <c r="B10" s="80">
        <v>7489596</v>
      </c>
      <c r="C10" s="82">
        <v>51099783</v>
      </c>
      <c r="D10" s="82">
        <v>116623313.34999999</v>
      </c>
      <c r="R10" s="85"/>
      <c r="S10" s="85"/>
      <c r="T10" s="85"/>
    </row>
    <row r="11" spans="1:256" x14ac:dyDescent="0.25">
      <c r="A11" s="17" t="s">
        <v>469</v>
      </c>
      <c r="B11" s="80">
        <v>1744069</v>
      </c>
      <c r="C11" s="82">
        <v>16732207</v>
      </c>
      <c r="D11" s="82">
        <v>38180794.019999996</v>
      </c>
      <c r="R11" s="85"/>
      <c r="S11" s="85"/>
      <c r="T11" s="85"/>
    </row>
    <row r="12" spans="1:256" x14ac:dyDescent="0.25">
      <c r="A12" s="17" t="s">
        <v>109</v>
      </c>
      <c r="B12" s="80">
        <v>6971777</v>
      </c>
      <c r="C12" s="82">
        <v>83146022</v>
      </c>
      <c r="D12" s="82">
        <v>189758072.01999998</v>
      </c>
      <c r="R12" s="85"/>
      <c r="S12" s="85"/>
      <c r="T12" s="85"/>
    </row>
    <row r="13" spans="1:256" x14ac:dyDescent="0.25">
      <c r="A13" s="17" t="s">
        <v>245</v>
      </c>
      <c r="B13" s="80">
        <v>1010670</v>
      </c>
      <c r="C13" s="82">
        <v>4021967</v>
      </c>
      <c r="D13" s="82">
        <v>9203039.0299999993</v>
      </c>
      <c r="R13" s="85"/>
      <c r="S13" s="85"/>
      <c r="T13" s="85"/>
    </row>
    <row r="14" spans="1:256" x14ac:dyDescent="0.25">
      <c r="A14" s="17" t="s">
        <v>439</v>
      </c>
      <c r="B14" s="80">
        <v>226601</v>
      </c>
      <c r="C14" s="82">
        <v>1966052</v>
      </c>
      <c r="D14" s="82">
        <v>4482907.47</v>
      </c>
      <c r="R14" s="85"/>
      <c r="S14" s="85"/>
      <c r="T14" s="85"/>
    </row>
    <row r="15" spans="1:256" x14ac:dyDescent="0.25">
      <c r="A15" s="17" t="s">
        <v>264</v>
      </c>
      <c r="B15" s="80">
        <v>2779989</v>
      </c>
      <c r="C15" s="82">
        <v>25844382</v>
      </c>
      <c r="D15" s="82">
        <v>58955587.350000001</v>
      </c>
      <c r="R15" s="85"/>
      <c r="S15" s="85"/>
      <c r="T15" s="85"/>
    </row>
    <row r="16" spans="1:256" x14ac:dyDescent="0.25">
      <c r="A16" s="17" t="s">
        <v>434</v>
      </c>
      <c r="B16" s="80">
        <v>349439</v>
      </c>
      <c r="C16" s="82">
        <v>3104943</v>
      </c>
      <c r="D16" s="82">
        <v>7088422.9299999997</v>
      </c>
      <c r="R16" s="85"/>
      <c r="S16" s="85"/>
      <c r="T16" s="85"/>
    </row>
    <row r="17" spans="1:20" x14ac:dyDescent="0.25">
      <c r="A17" s="17" t="s">
        <v>400</v>
      </c>
      <c r="B17" s="80">
        <v>33211207</v>
      </c>
      <c r="C17" s="82">
        <v>140466562</v>
      </c>
      <c r="D17" s="82">
        <v>320784368.87</v>
      </c>
      <c r="R17" s="85"/>
      <c r="S17" s="85"/>
      <c r="T17" s="85"/>
    </row>
    <row r="18" spans="1:20" x14ac:dyDescent="0.25">
      <c r="A18" s="17" t="s">
        <v>186</v>
      </c>
      <c r="B18" s="80">
        <v>628094</v>
      </c>
      <c r="C18" s="82">
        <v>2358810</v>
      </c>
      <c r="D18" s="82">
        <v>5387203.5</v>
      </c>
      <c r="R18" s="85"/>
      <c r="S18" s="85"/>
      <c r="T18" s="85"/>
    </row>
    <row r="19" spans="1:20" x14ac:dyDescent="0.25">
      <c r="A19" s="17" t="s">
        <v>568</v>
      </c>
      <c r="B19" s="80">
        <v>1257419</v>
      </c>
      <c r="C19" s="82">
        <v>17826176</v>
      </c>
      <c r="D19" s="82">
        <v>40686821.450000003</v>
      </c>
      <c r="R19" s="85"/>
      <c r="S19" s="85"/>
      <c r="T19" s="85"/>
    </row>
    <row r="20" spans="1:20" x14ac:dyDescent="0.25">
      <c r="A20" s="17" t="s">
        <v>85</v>
      </c>
      <c r="B20" s="80">
        <v>6698065</v>
      </c>
      <c r="C20" s="82">
        <v>87644979</v>
      </c>
      <c r="D20" s="82">
        <v>200170538.88999999</v>
      </c>
      <c r="R20" s="85"/>
      <c r="S20" s="85"/>
      <c r="T20" s="85"/>
    </row>
    <row r="21" spans="1:20" x14ac:dyDescent="0.25">
      <c r="A21" s="17" t="s">
        <v>22</v>
      </c>
      <c r="B21" s="80">
        <v>45992315</v>
      </c>
      <c r="C21" s="82">
        <v>184696341</v>
      </c>
      <c r="D21" s="82">
        <v>421911151.65999991</v>
      </c>
      <c r="R21" s="85"/>
      <c r="S21" s="85"/>
      <c r="T21" s="85"/>
    </row>
    <row r="22" spans="1:20" x14ac:dyDescent="0.25">
      <c r="A22" s="17" t="s">
        <v>331</v>
      </c>
      <c r="B22" s="80">
        <v>1817060</v>
      </c>
      <c r="C22" s="82">
        <v>7663035</v>
      </c>
      <c r="D22" s="82">
        <v>17480116.969999999</v>
      </c>
      <c r="R22" s="85"/>
      <c r="S22" s="85"/>
      <c r="T22" s="85"/>
    </row>
    <row r="23" spans="1:20" x14ac:dyDescent="0.25">
      <c r="A23" s="17" t="s">
        <v>532</v>
      </c>
      <c r="B23" s="80">
        <v>3880745</v>
      </c>
      <c r="C23" s="82">
        <v>67478290</v>
      </c>
      <c r="D23" s="82">
        <v>153131451.73000002</v>
      </c>
      <c r="R23" s="85"/>
      <c r="S23" s="85"/>
      <c r="T23" s="85"/>
    </row>
    <row r="24" spans="1:20" x14ac:dyDescent="0.25">
      <c r="A24" s="17" t="s">
        <v>213</v>
      </c>
      <c r="B24" s="80">
        <v>37703384</v>
      </c>
      <c r="C24" s="82">
        <v>182816770</v>
      </c>
      <c r="D24" s="82">
        <v>416625800.13999987</v>
      </c>
      <c r="R24" s="85"/>
      <c r="S24" s="85"/>
      <c r="T24" s="85"/>
    </row>
    <row r="25" spans="1:20" x14ac:dyDescent="0.25">
      <c r="A25" s="17" t="s">
        <v>88</v>
      </c>
      <c r="B25" s="80">
        <v>62401</v>
      </c>
      <c r="C25" s="82">
        <v>2904614</v>
      </c>
      <c r="D25" s="82">
        <v>6625668.3399999999</v>
      </c>
      <c r="R25" s="85"/>
      <c r="S25" s="85"/>
      <c r="T25" s="85"/>
    </row>
    <row r="26" spans="1:20" x14ac:dyDescent="0.25">
      <c r="A26" s="17" t="s">
        <v>26</v>
      </c>
      <c r="B26" s="80">
        <v>3879488</v>
      </c>
      <c r="C26" s="82">
        <v>64099256</v>
      </c>
      <c r="D26" s="82">
        <v>145713442.99000001</v>
      </c>
      <c r="R26" s="85"/>
      <c r="S26" s="85"/>
      <c r="T26" s="85"/>
    </row>
    <row r="27" spans="1:20" x14ac:dyDescent="0.25">
      <c r="A27" s="17" t="s">
        <v>445</v>
      </c>
      <c r="B27" s="80">
        <v>985961</v>
      </c>
      <c r="C27" s="82">
        <v>6902673</v>
      </c>
      <c r="D27" s="82">
        <v>15808361.5</v>
      </c>
      <c r="R27" s="85"/>
      <c r="S27" s="85"/>
      <c r="T27" s="85"/>
    </row>
    <row r="28" spans="1:20" x14ac:dyDescent="0.25">
      <c r="A28" s="17" t="s">
        <v>485</v>
      </c>
      <c r="B28" s="80">
        <v>485233</v>
      </c>
      <c r="C28" s="82">
        <v>2191922</v>
      </c>
      <c r="D28" s="82">
        <v>5011942.2</v>
      </c>
      <c r="R28" s="85"/>
      <c r="S28" s="85"/>
      <c r="T28" s="85"/>
    </row>
    <row r="29" spans="1:20" x14ac:dyDescent="0.25">
      <c r="A29" s="17" t="s">
        <v>29</v>
      </c>
      <c r="B29" s="80">
        <v>63135843</v>
      </c>
      <c r="C29" s="82">
        <v>418333089</v>
      </c>
      <c r="D29" s="82">
        <v>954029131.56000006</v>
      </c>
      <c r="R29" s="85"/>
      <c r="S29" s="85"/>
      <c r="T29" s="85"/>
    </row>
    <row r="30" spans="1:20" x14ac:dyDescent="0.25">
      <c r="A30" s="17" t="s">
        <v>198</v>
      </c>
      <c r="B30" s="80">
        <v>25166144</v>
      </c>
      <c r="C30" s="82">
        <v>259950833</v>
      </c>
      <c r="D30" s="82">
        <v>593906864.81999981</v>
      </c>
      <c r="R30" s="85"/>
      <c r="S30" s="85"/>
      <c r="T30" s="85"/>
    </row>
    <row r="31" spans="1:20" x14ac:dyDescent="0.25">
      <c r="A31" s="17" t="s">
        <v>290</v>
      </c>
      <c r="B31" s="80">
        <v>4799707</v>
      </c>
      <c r="C31" s="82">
        <v>29893751</v>
      </c>
      <c r="D31" s="82">
        <v>68303485.960000008</v>
      </c>
      <c r="R31" s="85"/>
      <c r="S31" s="85"/>
      <c r="T31" s="85"/>
    </row>
    <row r="32" spans="1:20" x14ac:dyDescent="0.25">
      <c r="A32" s="17" t="s">
        <v>247</v>
      </c>
      <c r="B32" s="80">
        <v>589622</v>
      </c>
      <c r="C32" s="82">
        <v>3791658</v>
      </c>
      <c r="D32" s="82">
        <v>8618480.8499999996</v>
      </c>
      <c r="R32" s="85"/>
      <c r="S32" s="85"/>
      <c r="T32" s="85"/>
    </row>
    <row r="33" spans="1:20" x14ac:dyDescent="0.25">
      <c r="A33" s="17" t="s">
        <v>424</v>
      </c>
      <c r="B33" s="80">
        <v>1124953</v>
      </c>
      <c r="C33" s="82">
        <v>3372325</v>
      </c>
      <c r="D33" s="82">
        <v>7701198.5700000003</v>
      </c>
      <c r="R33" s="85"/>
      <c r="S33" s="85"/>
      <c r="T33" s="85"/>
    </row>
    <row r="34" spans="1:20" x14ac:dyDescent="0.25">
      <c r="A34" s="17" t="s">
        <v>72</v>
      </c>
      <c r="B34" s="80">
        <v>5923766</v>
      </c>
      <c r="C34" s="82">
        <v>66685131</v>
      </c>
      <c r="D34" s="82">
        <v>152115767.25999999</v>
      </c>
      <c r="R34" s="85"/>
      <c r="S34" s="85"/>
      <c r="T34" s="85"/>
    </row>
    <row r="35" spans="1:20" x14ac:dyDescent="0.25">
      <c r="A35" s="17" t="s">
        <v>202</v>
      </c>
      <c r="B35" s="80">
        <v>762541</v>
      </c>
      <c r="C35" s="82">
        <v>4241429</v>
      </c>
      <c r="D35" s="82">
        <v>9691470.5700000003</v>
      </c>
      <c r="R35" s="85"/>
      <c r="S35" s="85"/>
      <c r="T35" s="85"/>
    </row>
    <row r="36" spans="1:20" x14ac:dyDescent="0.25">
      <c r="A36" s="17" t="s">
        <v>44</v>
      </c>
      <c r="B36" s="80">
        <v>7168329</v>
      </c>
      <c r="C36" s="82">
        <v>49417520</v>
      </c>
      <c r="D36" s="82">
        <v>112882887.31999999</v>
      </c>
      <c r="R36" s="85"/>
      <c r="S36" s="85"/>
      <c r="T36" s="85"/>
    </row>
    <row r="37" spans="1:20" x14ac:dyDescent="0.25">
      <c r="A37" s="17" t="s">
        <v>328</v>
      </c>
      <c r="B37" s="80">
        <v>9212199</v>
      </c>
      <c r="C37" s="82">
        <v>111996194</v>
      </c>
      <c r="D37" s="82">
        <v>254960536.16</v>
      </c>
      <c r="R37" s="85"/>
      <c r="S37" s="85"/>
      <c r="T37" s="85"/>
    </row>
    <row r="38" spans="1:20" x14ac:dyDescent="0.25">
      <c r="A38" s="17" t="s">
        <v>215</v>
      </c>
      <c r="B38" s="80">
        <v>3050920</v>
      </c>
      <c r="C38" s="82">
        <v>33537009</v>
      </c>
      <c r="D38" s="82">
        <v>76211978.590000004</v>
      </c>
      <c r="R38" s="85"/>
      <c r="S38" s="85"/>
      <c r="T38" s="85"/>
    </row>
    <row r="39" spans="1:20" x14ac:dyDescent="0.25">
      <c r="A39" s="17" t="s">
        <v>375</v>
      </c>
      <c r="B39" s="80">
        <v>28239857</v>
      </c>
      <c r="C39" s="82">
        <v>46159504</v>
      </c>
      <c r="D39" s="82">
        <v>105323896.13</v>
      </c>
      <c r="R39" s="85"/>
      <c r="S39" s="85"/>
      <c r="T39" s="85"/>
    </row>
    <row r="40" spans="1:20" x14ac:dyDescent="0.25">
      <c r="A40" s="17" t="s">
        <v>82</v>
      </c>
      <c r="B40" s="80">
        <v>3322981</v>
      </c>
      <c r="C40" s="82">
        <v>10907563</v>
      </c>
      <c r="D40" s="82">
        <v>24913322.789999999</v>
      </c>
      <c r="R40" s="85"/>
      <c r="S40" s="85"/>
      <c r="T40" s="85"/>
    </row>
    <row r="41" spans="1:20" x14ac:dyDescent="0.25">
      <c r="A41" s="17" t="s">
        <v>55</v>
      </c>
      <c r="B41" s="80">
        <v>10132149</v>
      </c>
      <c r="C41" s="82">
        <v>51107608</v>
      </c>
      <c r="D41" s="82">
        <v>116208860.42</v>
      </c>
      <c r="R41" s="85"/>
      <c r="S41" s="85"/>
      <c r="T41" s="85"/>
    </row>
    <row r="42" spans="1:20" x14ac:dyDescent="0.25">
      <c r="A42" s="17" t="s">
        <v>39</v>
      </c>
      <c r="B42" s="80">
        <v>41276605</v>
      </c>
      <c r="C42" s="82">
        <v>315080773</v>
      </c>
      <c r="D42" s="82">
        <v>716188300.6400001</v>
      </c>
      <c r="R42" s="85"/>
      <c r="S42" s="85"/>
      <c r="T42" s="85"/>
    </row>
    <row r="43" spans="1:20" x14ac:dyDescent="0.25">
      <c r="A43" s="17" t="s">
        <v>136</v>
      </c>
      <c r="B43" s="80">
        <v>8737872</v>
      </c>
      <c r="C43" s="82">
        <v>105553891.09</v>
      </c>
      <c r="D43" s="82">
        <v>240978009.11999997</v>
      </c>
      <c r="R43" s="85"/>
      <c r="S43" s="85"/>
      <c r="T43" s="85"/>
    </row>
    <row r="44" spans="1:20" x14ac:dyDescent="0.25">
      <c r="A44" s="17" t="s">
        <v>114</v>
      </c>
      <c r="B44" s="80">
        <v>4071253</v>
      </c>
      <c r="C44" s="82">
        <v>87945479</v>
      </c>
      <c r="D44" s="82">
        <v>200751202.90999997</v>
      </c>
      <c r="R44" s="85"/>
      <c r="S44" s="85"/>
      <c r="T44" s="85"/>
    </row>
    <row r="45" spans="1:20" x14ac:dyDescent="0.25">
      <c r="A45" s="17" t="s">
        <v>352</v>
      </c>
      <c r="B45" s="80">
        <v>151644</v>
      </c>
      <c r="C45" s="82">
        <v>2967861</v>
      </c>
      <c r="D45" s="82">
        <v>6764938.5899999999</v>
      </c>
      <c r="R45" s="85"/>
      <c r="S45" s="85"/>
      <c r="T45" s="85"/>
    </row>
    <row r="46" spans="1:20" x14ac:dyDescent="0.25">
      <c r="A46" s="17" t="s">
        <v>153</v>
      </c>
      <c r="B46" s="80">
        <v>10253780</v>
      </c>
      <c r="C46" s="82">
        <v>67830508</v>
      </c>
      <c r="D46" s="82">
        <v>154505949.69999999</v>
      </c>
      <c r="R46" s="85"/>
      <c r="S46" s="85"/>
      <c r="T46" s="85"/>
    </row>
    <row r="47" spans="1:20" x14ac:dyDescent="0.25">
      <c r="A47" s="17" t="s">
        <v>537</v>
      </c>
      <c r="B47" s="80">
        <v>932454</v>
      </c>
      <c r="C47" s="82">
        <v>5794529</v>
      </c>
      <c r="D47" s="82">
        <v>13224997.359999999</v>
      </c>
      <c r="R47" s="85"/>
      <c r="S47" s="85"/>
      <c r="T47" s="85"/>
    </row>
    <row r="48" spans="1:20" x14ac:dyDescent="0.25">
      <c r="A48" s="17" t="s">
        <v>52</v>
      </c>
      <c r="B48" s="80">
        <v>15956209</v>
      </c>
      <c r="C48" s="82">
        <v>99865757</v>
      </c>
      <c r="D48" s="82">
        <v>227662448.17000002</v>
      </c>
      <c r="R48" s="85"/>
      <c r="S48" s="85"/>
      <c r="T48" s="85"/>
    </row>
    <row r="49" spans="1:20" x14ac:dyDescent="0.25">
      <c r="A49" s="17" t="s">
        <v>60</v>
      </c>
      <c r="B49" s="80">
        <v>70255421</v>
      </c>
      <c r="C49" s="82">
        <v>105453633</v>
      </c>
      <c r="D49" s="82">
        <v>240130893.15000001</v>
      </c>
      <c r="R49" s="85"/>
      <c r="S49" s="85"/>
      <c r="T49" s="85"/>
    </row>
    <row r="50" spans="1:20" x14ac:dyDescent="0.25">
      <c r="A50" s="17" t="s">
        <v>97</v>
      </c>
      <c r="B50" s="80">
        <v>20192318</v>
      </c>
      <c r="C50" s="82">
        <v>99883915</v>
      </c>
      <c r="D50" s="82">
        <v>228270354.49000001</v>
      </c>
      <c r="R50" s="85"/>
      <c r="S50" s="85"/>
      <c r="T50" s="85"/>
    </row>
    <row r="51" spans="1:20" x14ac:dyDescent="0.25">
      <c r="A51" s="17" t="s">
        <v>307</v>
      </c>
      <c r="B51" s="80">
        <v>2339364</v>
      </c>
      <c r="C51" s="82">
        <v>17689510</v>
      </c>
      <c r="D51" s="82">
        <v>40190149.469999999</v>
      </c>
      <c r="R51" s="85"/>
      <c r="S51" s="85"/>
      <c r="T51" s="85"/>
    </row>
    <row r="52" spans="1:20" x14ac:dyDescent="0.25">
      <c r="A52" s="17" t="s">
        <v>267</v>
      </c>
      <c r="B52" s="80">
        <v>6574678</v>
      </c>
      <c r="C52" s="82">
        <v>119656246</v>
      </c>
      <c r="D52" s="82">
        <v>272753687.54000002</v>
      </c>
      <c r="R52" s="85"/>
      <c r="S52" s="85"/>
      <c r="T52" s="85"/>
    </row>
    <row r="53" spans="1:20" x14ac:dyDescent="0.25">
      <c r="A53" s="17" t="s">
        <v>68</v>
      </c>
      <c r="B53" s="80">
        <v>25958998</v>
      </c>
      <c r="C53" s="82">
        <v>203050552</v>
      </c>
      <c r="D53" s="82">
        <v>462974886.76999992</v>
      </c>
      <c r="R53" s="85"/>
      <c r="S53" s="85"/>
      <c r="T53" s="85"/>
    </row>
    <row r="54" spans="1:20" x14ac:dyDescent="0.25">
      <c r="A54" s="17" t="s">
        <v>151</v>
      </c>
      <c r="B54" s="80">
        <v>14459013</v>
      </c>
      <c r="C54" s="82">
        <v>18245931</v>
      </c>
      <c r="D54" s="82">
        <v>41471246.160000004</v>
      </c>
      <c r="R54" s="85"/>
      <c r="S54" s="85"/>
      <c r="T54" s="85"/>
    </row>
    <row r="55" spans="1:20" x14ac:dyDescent="0.25">
      <c r="A55" s="17" t="s">
        <v>34</v>
      </c>
      <c r="B55" s="80">
        <v>224577943</v>
      </c>
      <c r="C55" s="82">
        <v>1032098423</v>
      </c>
      <c r="D55" s="82">
        <v>2354654882.25</v>
      </c>
      <c r="R55" s="85"/>
      <c r="S55" s="85"/>
      <c r="T55" s="85"/>
    </row>
    <row r="56" spans="1:20" x14ac:dyDescent="0.25">
      <c r="A56" s="17" t="s">
        <v>273</v>
      </c>
      <c r="B56" s="80">
        <v>308049</v>
      </c>
      <c r="C56" s="82">
        <v>10997525</v>
      </c>
      <c r="D56" s="82">
        <v>25054038.489999998</v>
      </c>
      <c r="R56" s="85"/>
      <c r="S56" s="85"/>
      <c r="T56" s="85"/>
    </row>
    <row r="57" spans="1:20" x14ac:dyDescent="0.25">
      <c r="A57" s="17" t="s">
        <v>132</v>
      </c>
      <c r="B57" s="80">
        <v>1699195</v>
      </c>
      <c r="C57" s="82">
        <v>48620863</v>
      </c>
      <c r="D57" s="82">
        <v>110971638.74000001</v>
      </c>
      <c r="R57" s="85"/>
      <c r="S57" s="85"/>
      <c r="T57" s="85"/>
    </row>
    <row r="58" spans="1:20" x14ac:dyDescent="0.25">
      <c r="A58" s="17" t="s">
        <v>219</v>
      </c>
      <c r="B58" s="80">
        <v>2045627</v>
      </c>
      <c r="C58" s="82">
        <v>14078601</v>
      </c>
      <c r="D58" s="82">
        <v>32000522.310000002</v>
      </c>
      <c r="R58" s="85"/>
      <c r="S58" s="85"/>
      <c r="T58" s="85"/>
    </row>
    <row r="59" spans="1:20" x14ac:dyDescent="0.25">
      <c r="A59" s="17" t="s">
        <v>116</v>
      </c>
      <c r="B59" s="80">
        <v>1010864</v>
      </c>
      <c r="C59" s="82">
        <v>15672072</v>
      </c>
      <c r="D59" s="82">
        <v>35824679.390000001</v>
      </c>
      <c r="R59" s="85"/>
      <c r="S59" s="85"/>
      <c r="T59" s="85"/>
    </row>
    <row r="60" spans="1:20" x14ac:dyDescent="0.25">
      <c r="A60" s="17" t="s">
        <v>239</v>
      </c>
      <c r="B60" s="80">
        <v>4719351</v>
      </c>
      <c r="C60" s="82">
        <v>46550148</v>
      </c>
      <c r="D60" s="82">
        <v>106253789.37</v>
      </c>
      <c r="R60" s="85"/>
      <c r="S60" s="85"/>
      <c r="T60" s="85"/>
    </row>
    <row r="61" spans="1:20" x14ac:dyDescent="0.25">
      <c r="A61" s="17" t="s">
        <v>157</v>
      </c>
      <c r="B61" s="80">
        <v>9313323</v>
      </c>
      <c r="C61" s="82">
        <v>45381876</v>
      </c>
      <c r="D61" s="82">
        <v>103709917.14000002</v>
      </c>
      <c r="R61" s="85"/>
      <c r="S61" s="85"/>
      <c r="T61" s="85"/>
    </row>
    <row r="62" spans="1:20" x14ac:dyDescent="0.25">
      <c r="A62" s="17" t="s">
        <v>123</v>
      </c>
      <c r="B62" s="80">
        <v>9571581</v>
      </c>
      <c r="C62" s="82">
        <v>29768538</v>
      </c>
      <c r="D62" s="82">
        <v>67832955.680000007</v>
      </c>
      <c r="R62" s="85"/>
      <c r="S62" s="85"/>
      <c r="T62" s="85"/>
    </row>
    <row r="63" spans="1:20" x14ac:dyDescent="0.25">
      <c r="A63" s="17" t="s">
        <v>302</v>
      </c>
      <c r="B63" s="80">
        <v>1182313</v>
      </c>
      <c r="C63" s="82">
        <v>6314178</v>
      </c>
      <c r="D63" s="82">
        <v>14313857.699999999</v>
      </c>
      <c r="R63" s="85"/>
      <c r="S63" s="85"/>
      <c r="T63" s="85"/>
    </row>
    <row r="64" spans="1:20" x14ac:dyDescent="0.25">
      <c r="A64" s="17" t="s">
        <v>50</v>
      </c>
      <c r="B64" s="80">
        <v>4556765</v>
      </c>
      <c r="C64" s="82">
        <v>25309472</v>
      </c>
      <c r="D64" s="82">
        <v>57768187.609999999</v>
      </c>
      <c r="R64" s="85"/>
      <c r="S64" s="85"/>
      <c r="T64" s="85"/>
    </row>
    <row r="65" spans="1:20" x14ac:dyDescent="0.25">
      <c r="A65" s="17" t="s">
        <v>275</v>
      </c>
      <c r="B65" s="80">
        <v>2663964</v>
      </c>
      <c r="C65" s="82">
        <v>52273076</v>
      </c>
      <c r="D65" s="82">
        <v>119261566.34</v>
      </c>
      <c r="R65" s="85"/>
      <c r="S65" s="85"/>
      <c r="T65" s="85"/>
    </row>
    <row r="66" spans="1:20" x14ac:dyDescent="0.25">
      <c r="A66" s="17" t="s">
        <v>103</v>
      </c>
      <c r="B66" s="80">
        <v>15701758</v>
      </c>
      <c r="C66" s="82">
        <v>214917524.81</v>
      </c>
      <c r="D66" s="82">
        <v>490417009.61000001</v>
      </c>
      <c r="R66" s="85"/>
      <c r="S66" s="85"/>
      <c r="T66" s="85"/>
    </row>
    <row r="67" spans="1:20" x14ac:dyDescent="0.25">
      <c r="A67" s="17" t="s">
        <v>28</v>
      </c>
      <c r="B67" s="80">
        <v>30387068</v>
      </c>
      <c r="C67" s="82">
        <v>312047232</v>
      </c>
      <c r="D67" s="82">
        <v>712241055.29999983</v>
      </c>
      <c r="R67" s="85"/>
      <c r="S67" s="85"/>
      <c r="T67" s="85"/>
    </row>
    <row r="68" spans="1:20" x14ac:dyDescent="0.25">
      <c r="A68" s="17" t="s">
        <v>144</v>
      </c>
      <c r="B68" s="80">
        <v>1867716</v>
      </c>
      <c r="C68" s="82">
        <v>55287347</v>
      </c>
      <c r="D68" s="82">
        <v>126296141.19</v>
      </c>
      <c r="R68" s="85"/>
      <c r="S68" s="85"/>
      <c r="T68" s="85"/>
    </row>
    <row r="69" spans="1:20" x14ac:dyDescent="0.25">
      <c r="A69" s="17" t="s">
        <v>58</v>
      </c>
      <c r="B69" s="80">
        <v>2992267</v>
      </c>
      <c r="C69" s="82">
        <v>21344561</v>
      </c>
      <c r="D69" s="82">
        <v>48545311.100000001</v>
      </c>
      <c r="R69" s="85"/>
      <c r="S69" s="85"/>
      <c r="T69" s="85"/>
    </row>
    <row r="70" spans="1:20" x14ac:dyDescent="0.25">
      <c r="A70" s="17" t="s">
        <v>92</v>
      </c>
      <c r="B70" s="80">
        <v>41551775</v>
      </c>
      <c r="C70" s="82">
        <v>280514047</v>
      </c>
      <c r="D70" s="82">
        <v>640533109.18000019</v>
      </c>
      <c r="R70" s="85"/>
      <c r="S70" s="85"/>
      <c r="T70" s="85"/>
    </row>
    <row r="71" spans="1:20" x14ac:dyDescent="0.25">
      <c r="A71" s="17" t="s">
        <v>64</v>
      </c>
      <c r="B71" s="80">
        <v>47789758</v>
      </c>
      <c r="C71" s="82">
        <v>245505764</v>
      </c>
      <c r="D71" s="82">
        <v>560435730.50999999</v>
      </c>
      <c r="R71" s="85"/>
      <c r="S71" s="85"/>
      <c r="T71" s="85"/>
    </row>
    <row r="72" spans="1:20" x14ac:dyDescent="0.25">
      <c r="A72" s="17" t="s">
        <v>581</v>
      </c>
      <c r="B72" s="80">
        <v>286986</v>
      </c>
      <c r="C72" s="82">
        <v>4689132</v>
      </c>
      <c r="D72" s="82">
        <v>10708263.66</v>
      </c>
      <c r="R72" s="85"/>
      <c r="S72" s="85"/>
      <c r="T72" s="85"/>
    </row>
    <row r="73" spans="1:20" x14ac:dyDescent="0.25">
      <c r="A73" s="17" t="s">
        <v>355</v>
      </c>
      <c r="B73" s="80">
        <v>271104</v>
      </c>
      <c r="C73" s="82">
        <v>8601211</v>
      </c>
      <c r="D73" s="82">
        <v>19639231.219999999</v>
      </c>
      <c r="R73" s="85"/>
      <c r="S73" s="85"/>
      <c r="T73" s="85"/>
    </row>
    <row r="74" spans="1:20" x14ac:dyDescent="0.25">
      <c r="A74" s="17" t="s">
        <v>8</v>
      </c>
      <c r="B74" s="80">
        <v>24904179</v>
      </c>
      <c r="C74" s="82">
        <v>70306649</v>
      </c>
      <c r="D74" s="82">
        <v>160316974.15000001</v>
      </c>
      <c r="R74" s="85"/>
      <c r="S74" s="85"/>
      <c r="T74" s="85"/>
    </row>
    <row r="75" spans="1:20" x14ac:dyDescent="0.25">
      <c r="A75" s="17" t="s">
        <v>272</v>
      </c>
      <c r="B75" s="80">
        <v>654144</v>
      </c>
      <c r="C75" s="82">
        <v>23305214</v>
      </c>
      <c r="D75" s="82">
        <v>53108774.409999996</v>
      </c>
      <c r="R75" s="85"/>
      <c r="S75" s="85"/>
      <c r="T75" s="85"/>
    </row>
    <row r="76" spans="1:20" x14ac:dyDescent="0.25">
      <c r="A76" s="17" t="s">
        <v>299</v>
      </c>
      <c r="B76" s="80">
        <v>1371908</v>
      </c>
      <c r="C76" s="82">
        <v>11074964</v>
      </c>
      <c r="D76" s="82">
        <v>25118388.309999999</v>
      </c>
      <c r="R76" s="85"/>
      <c r="S76" s="85"/>
      <c r="T76" s="85"/>
    </row>
    <row r="77" spans="1:20" x14ac:dyDescent="0.25">
      <c r="A77" s="17" t="s">
        <v>193</v>
      </c>
      <c r="B77" s="80">
        <v>1142844</v>
      </c>
      <c r="C77" s="82">
        <v>4123474</v>
      </c>
      <c r="D77" s="82">
        <v>9409235.5999999996</v>
      </c>
      <c r="R77" s="85"/>
      <c r="S77" s="85"/>
      <c r="T77" s="85"/>
    </row>
    <row r="78" spans="1:20" x14ac:dyDescent="0.25">
      <c r="A78" s="17" t="s">
        <v>20236</v>
      </c>
      <c r="B78" s="80">
        <v>716378</v>
      </c>
      <c r="C78" s="82">
        <v>6159245</v>
      </c>
      <c r="D78" s="82">
        <v>14048415.060000001</v>
      </c>
      <c r="R78" s="85"/>
      <c r="S78" s="85"/>
      <c r="T78" s="85"/>
    </row>
    <row r="79" spans="1:20" x14ac:dyDescent="0.25">
      <c r="A79" s="17" t="s">
        <v>21916</v>
      </c>
      <c r="B79" s="80">
        <v>2</v>
      </c>
      <c r="C79" s="82">
        <v>100</v>
      </c>
      <c r="D79" s="82">
        <v>200</v>
      </c>
      <c r="R79" s="85"/>
      <c r="S79" s="85"/>
      <c r="T79" s="85"/>
    </row>
    <row r="80" spans="1:20" x14ac:dyDescent="0.25">
      <c r="A80" s="17" t="s">
        <v>21922</v>
      </c>
      <c r="B80" s="80">
        <v>2</v>
      </c>
      <c r="C80" s="82">
        <v>100</v>
      </c>
      <c r="D80" s="82">
        <v>200</v>
      </c>
      <c r="R80" s="85"/>
      <c r="S80" s="85"/>
      <c r="T80" s="85"/>
    </row>
    <row r="81" spans="1:20" x14ac:dyDescent="0.25">
      <c r="A81" s="17" t="s">
        <v>21929</v>
      </c>
      <c r="B81" s="80">
        <v>691593</v>
      </c>
      <c r="C81" s="82">
        <v>4067077</v>
      </c>
      <c r="D81" s="82">
        <v>9289265.9499999993</v>
      </c>
      <c r="R81" s="85"/>
      <c r="S81" s="85"/>
      <c r="T81" s="85"/>
    </row>
    <row r="82" spans="1:20" x14ac:dyDescent="0.25">
      <c r="A82" s="17" t="s">
        <v>21934</v>
      </c>
      <c r="B82" s="80">
        <v>283744</v>
      </c>
      <c r="C82" s="82">
        <v>2617008</v>
      </c>
      <c r="D82" s="82">
        <v>5998263.9699999997</v>
      </c>
      <c r="R82" s="85"/>
      <c r="S82" s="85"/>
      <c r="T82" s="85"/>
    </row>
    <row r="83" spans="1:20" x14ac:dyDescent="0.25">
      <c r="A83" s="17" t="s">
        <v>19477</v>
      </c>
      <c r="B83" s="80">
        <v>1030335978</v>
      </c>
      <c r="C83" s="82">
        <v>6340480923.9000006</v>
      </c>
      <c r="D83" s="82">
        <v>14460976674.959997</v>
      </c>
    </row>
    <row r="84" spans="1:20" x14ac:dyDescent="0.25">
      <c r="B84"/>
      <c r="C84"/>
      <c r="D84"/>
    </row>
    <row r="85" spans="1:20" x14ac:dyDescent="0.25">
      <c r="B85"/>
      <c r="C85"/>
      <c r="D85"/>
    </row>
    <row r="86" spans="1:20" x14ac:dyDescent="0.25">
      <c r="B86"/>
      <c r="C86"/>
      <c r="D86"/>
    </row>
    <row r="87" spans="1:20" x14ac:dyDescent="0.25">
      <c r="B87"/>
      <c r="C87"/>
      <c r="D87"/>
    </row>
    <row r="88" spans="1:20" x14ac:dyDescent="0.25">
      <c r="B88"/>
      <c r="C88"/>
      <c r="D88"/>
    </row>
    <row r="89" spans="1:20" x14ac:dyDescent="0.25">
      <c r="B89"/>
      <c r="C89"/>
      <c r="D89"/>
    </row>
    <row r="90" spans="1:20" x14ac:dyDescent="0.25">
      <c r="B90"/>
      <c r="C90"/>
      <c r="D90"/>
    </row>
    <row r="91" spans="1:20" x14ac:dyDescent="0.25">
      <c r="B91"/>
      <c r="C91"/>
      <c r="D91"/>
    </row>
    <row r="92" spans="1:20" x14ac:dyDescent="0.25">
      <c r="B92"/>
      <c r="C92"/>
      <c r="D92"/>
    </row>
    <row r="93" spans="1:20" x14ac:dyDescent="0.25">
      <c r="B93"/>
      <c r="C93"/>
      <c r="D93"/>
    </row>
    <row r="94" spans="1:20" x14ac:dyDescent="0.25">
      <c r="B94"/>
      <c r="C94"/>
      <c r="D94"/>
    </row>
    <row r="95" spans="1:20" x14ac:dyDescent="0.25">
      <c r="B95"/>
      <c r="C95"/>
      <c r="D95"/>
    </row>
    <row r="96" spans="1:20" x14ac:dyDescent="0.25">
      <c r="B96"/>
      <c r="C96"/>
      <c r="D96"/>
    </row>
    <row r="97" spans="2:4" x14ac:dyDescent="0.25">
      <c r="B97"/>
      <c r="C97"/>
      <c r="D97"/>
    </row>
    <row r="98" spans="2:4" x14ac:dyDescent="0.25">
      <c r="B98"/>
      <c r="C98"/>
      <c r="D98"/>
    </row>
    <row r="99" spans="2:4" x14ac:dyDescent="0.25">
      <c r="B99"/>
      <c r="C99"/>
      <c r="D99"/>
    </row>
    <row r="100" spans="2:4" x14ac:dyDescent="0.25">
      <c r="B100"/>
      <c r="C100"/>
      <c r="D100"/>
    </row>
    <row r="101" spans="2:4" x14ac:dyDescent="0.25">
      <c r="B101"/>
      <c r="C101"/>
      <c r="D101"/>
    </row>
    <row r="102" spans="2:4" x14ac:dyDescent="0.25">
      <c r="B102"/>
      <c r="C102"/>
      <c r="D102"/>
    </row>
    <row r="103" spans="2:4" x14ac:dyDescent="0.25">
      <c r="B103"/>
      <c r="C103"/>
      <c r="D103"/>
    </row>
    <row r="104" spans="2:4" x14ac:dyDescent="0.25">
      <c r="B104"/>
      <c r="C104"/>
      <c r="D104"/>
    </row>
    <row r="105" spans="2:4" x14ac:dyDescent="0.25">
      <c r="B105"/>
      <c r="C105"/>
      <c r="D105"/>
    </row>
    <row r="106" spans="2:4" x14ac:dyDescent="0.25">
      <c r="B106"/>
      <c r="C106"/>
      <c r="D106"/>
    </row>
    <row r="107" spans="2:4" x14ac:dyDescent="0.25">
      <c r="B107"/>
      <c r="C107"/>
      <c r="D107"/>
    </row>
    <row r="108" spans="2:4" x14ac:dyDescent="0.25">
      <c r="B108"/>
      <c r="C108"/>
      <c r="D108"/>
    </row>
    <row r="109" spans="2:4" x14ac:dyDescent="0.25">
      <c r="B109"/>
      <c r="C109"/>
      <c r="D109"/>
    </row>
    <row r="110" spans="2:4" x14ac:dyDescent="0.25">
      <c r="B110"/>
      <c r="C110"/>
      <c r="D110"/>
    </row>
    <row r="111" spans="2:4" x14ac:dyDescent="0.25">
      <c r="B111"/>
      <c r="C111"/>
      <c r="D111"/>
    </row>
    <row r="112" spans="2:4" x14ac:dyDescent="0.25">
      <c r="B112"/>
      <c r="C112"/>
      <c r="D112"/>
    </row>
    <row r="113" spans="2:4" x14ac:dyDescent="0.25">
      <c r="B113"/>
      <c r="C113"/>
      <c r="D113"/>
    </row>
    <row r="114" spans="2:4" x14ac:dyDescent="0.25">
      <c r="B114"/>
      <c r="C114"/>
      <c r="D114"/>
    </row>
    <row r="115" spans="2:4" x14ac:dyDescent="0.25">
      <c r="B115"/>
      <c r="C115"/>
      <c r="D115"/>
    </row>
    <row r="116" spans="2:4" x14ac:dyDescent="0.25">
      <c r="B116"/>
      <c r="C116"/>
      <c r="D116"/>
    </row>
    <row r="117" spans="2:4" x14ac:dyDescent="0.25">
      <c r="B117"/>
      <c r="C117"/>
      <c r="D117"/>
    </row>
    <row r="118" spans="2:4" x14ac:dyDescent="0.25">
      <c r="B118"/>
      <c r="C118"/>
      <c r="D118"/>
    </row>
    <row r="119" spans="2:4" x14ac:dyDescent="0.25">
      <c r="B119"/>
      <c r="C119"/>
      <c r="D119"/>
    </row>
    <row r="120" spans="2:4" x14ac:dyDescent="0.25">
      <c r="B120"/>
      <c r="C120"/>
      <c r="D120"/>
    </row>
    <row r="121" spans="2:4" x14ac:dyDescent="0.25">
      <c r="B121"/>
      <c r="C121"/>
      <c r="D121"/>
    </row>
    <row r="122" spans="2:4" x14ac:dyDescent="0.25">
      <c r="B122"/>
      <c r="C122"/>
      <c r="D122"/>
    </row>
    <row r="123" spans="2:4" x14ac:dyDescent="0.25">
      <c r="B123"/>
      <c r="C123"/>
      <c r="D123"/>
    </row>
    <row r="124" spans="2:4" x14ac:dyDescent="0.25">
      <c r="B124"/>
      <c r="C124"/>
      <c r="D124"/>
    </row>
    <row r="125" spans="2:4" x14ac:dyDescent="0.25">
      <c r="B125"/>
      <c r="C125"/>
      <c r="D125"/>
    </row>
    <row r="126" spans="2:4" x14ac:dyDescent="0.25">
      <c r="B126"/>
      <c r="C126"/>
      <c r="D126"/>
    </row>
    <row r="127" spans="2:4" x14ac:dyDescent="0.25">
      <c r="B127"/>
      <c r="C127"/>
      <c r="D127"/>
    </row>
    <row r="128" spans="2:4" x14ac:dyDescent="0.25">
      <c r="B128"/>
      <c r="C128"/>
      <c r="D128"/>
    </row>
    <row r="129" spans="2:4" x14ac:dyDescent="0.25">
      <c r="B129"/>
      <c r="C129"/>
      <c r="D129"/>
    </row>
    <row r="130" spans="2:4" x14ac:dyDescent="0.25">
      <c r="B130"/>
      <c r="C130"/>
      <c r="D130"/>
    </row>
    <row r="131" spans="2:4" x14ac:dyDescent="0.25">
      <c r="B131"/>
      <c r="C131"/>
      <c r="D131"/>
    </row>
    <row r="132" spans="2:4" x14ac:dyDescent="0.25">
      <c r="B132"/>
      <c r="C132"/>
      <c r="D132"/>
    </row>
    <row r="133" spans="2:4" x14ac:dyDescent="0.25">
      <c r="B133"/>
      <c r="C133"/>
      <c r="D133"/>
    </row>
    <row r="134" spans="2:4" x14ac:dyDescent="0.25">
      <c r="B134"/>
      <c r="C134"/>
      <c r="D134"/>
    </row>
    <row r="135" spans="2:4" x14ac:dyDescent="0.25">
      <c r="B135"/>
      <c r="C135"/>
      <c r="D135"/>
    </row>
    <row r="136" spans="2:4" x14ac:dyDescent="0.25">
      <c r="B136"/>
      <c r="C136"/>
      <c r="D136"/>
    </row>
    <row r="137" spans="2:4" x14ac:dyDescent="0.25">
      <c r="B137"/>
      <c r="C137"/>
      <c r="D137"/>
    </row>
    <row r="138" spans="2:4" x14ac:dyDescent="0.25">
      <c r="B138"/>
      <c r="C138"/>
      <c r="D138"/>
    </row>
    <row r="139" spans="2:4" x14ac:dyDescent="0.25">
      <c r="B139"/>
      <c r="C139"/>
      <c r="D139"/>
    </row>
    <row r="140" spans="2:4" x14ac:dyDescent="0.25">
      <c r="B140"/>
      <c r="C140"/>
      <c r="D140"/>
    </row>
    <row r="141" spans="2:4" x14ac:dyDescent="0.25">
      <c r="B141"/>
      <c r="C141"/>
      <c r="D141"/>
    </row>
    <row r="142" spans="2:4" x14ac:dyDescent="0.25">
      <c r="B142"/>
      <c r="C142"/>
      <c r="D142"/>
    </row>
    <row r="143" spans="2:4" x14ac:dyDescent="0.25">
      <c r="B143"/>
      <c r="C143"/>
      <c r="D143"/>
    </row>
    <row r="144" spans="2:4" x14ac:dyDescent="0.25">
      <c r="B144"/>
      <c r="C144"/>
      <c r="D144"/>
    </row>
    <row r="145" spans="2:4" x14ac:dyDescent="0.25">
      <c r="B145"/>
      <c r="C145"/>
      <c r="D145"/>
    </row>
    <row r="146" spans="2:4" x14ac:dyDescent="0.25">
      <c r="B146"/>
      <c r="C146"/>
      <c r="D146"/>
    </row>
    <row r="147" spans="2:4" x14ac:dyDescent="0.25">
      <c r="B147"/>
      <c r="C147"/>
      <c r="D147"/>
    </row>
    <row r="148" spans="2:4" x14ac:dyDescent="0.25">
      <c r="B148"/>
      <c r="C148"/>
      <c r="D148"/>
    </row>
    <row r="149" spans="2:4" x14ac:dyDescent="0.25">
      <c r="B149"/>
      <c r="C149"/>
      <c r="D149"/>
    </row>
    <row r="150" spans="2:4" x14ac:dyDescent="0.25">
      <c r="B150"/>
      <c r="C150"/>
      <c r="D150"/>
    </row>
    <row r="151" spans="2:4" x14ac:dyDescent="0.25">
      <c r="B151"/>
      <c r="C151"/>
      <c r="D151"/>
    </row>
    <row r="152" spans="2:4" x14ac:dyDescent="0.25">
      <c r="B152"/>
      <c r="C152"/>
      <c r="D152"/>
    </row>
    <row r="153" spans="2:4" x14ac:dyDescent="0.25">
      <c r="B153"/>
      <c r="C153"/>
      <c r="D153"/>
    </row>
    <row r="154" spans="2:4" x14ac:dyDescent="0.25">
      <c r="B154"/>
      <c r="C154"/>
      <c r="D154"/>
    </row>
    <row r="155" spans="2:4" x14ac:dyDescent="0.25">
      <c r="B155"/>
      <c r="C155"/>
      <c r="D155"/>
    </row>
    <row r="156" spans="2:4" x14ac:dyDescent="0.25">
      <c r="B156"/>
      <c r="C156"/>
      <c r="D156"/>
    </row>
    <row r="157" spans="2:4" x14ac:dyDescent="0.25">
      <c r="B157"/>
      <c r="C157"/>
      <c r="D157"/>
    </row>
    <row r="158" spans="2:4" x14ac:dyDescent="0.25">
      <c r="B158"/>
      <c r="C158"/>
      <c r="D158"/>
    </row>
    <row r="159" spans="2:4" x14ac:dyDescent="0.25">
      <c r="B159"/>
      <c r="C159"/>
      <c r="D159"/>
    </row>
    <row r="160" spans="2:4" x14ac:dyDescent="0.25">
      <c r="B160"/>
      <c r="C160"/>
      <c r="D160"/>
    </row>
    <row r="161" spans="2:4" x14ac:dyDescent="0.25">
      <c r="B161"/>
      <c r="C161"/>
      <c r="D161"/>
    </row>
    <row r="162" spans="2:4" x14ac:dyDescent="0.25">
      <c r="B162"/>
      <c r="C162"/>
      <c r="D162"/>
    </row>
    <row r="163" spans="2:4" x14ac:dyDescent="0.25">
      <c r="B163"/>
      <c r="C163"/>
      <c r="D163"/>
    </row>
    <row r="164" spans="2:4" x14ac:dyDescent="0.25">
      <c r="B164"/>
      <c r="C164"/>
      <c r="D164"/>
    </row>
    <row r="165" spans="2:4" x14ac:dyDescent="0.25">
      <c r="B165"/>
      <c r="C165"/>
      <c r="D165"/>
    </row>
    <row r="166" spans="2:4" x14ac:dyDescent="0.25">
      <c r="B166"/>
      <c r="C166"/>
      <c r="D166"/>
    </row>
    <row r="167" spans="2:4" x14ac:dyDescent="0.25">
      <c r="B167"/>
      <c r="C167"/>
      <c r="D167"/>
    </row>
    <row r="168" spans="2:4" x14ac:dyDescent="0.25">
      <c r="B168"/>
      <c r="C168"/>
      <c r="D168"/>
    </row>
    <row r="169" spans="2:4" x14ac:dyDescent="0.25">
      <c r="B169"/>
      <c r="C169"/>
      <c r="D169"/>
    </row>
    <row r="170" spans="2:4" x14ac:dyDescent="0.25">
      <c r="B170"/>
      <c r="C170"/>
      <c r="D170"/>
    </row>
    <row r="171" spans="2:4" x14ac:dyDescent="0.25">
      <c r="B171"/>
      <c r="C171"/>
      <c r="D171"/>
    </row>
    <row r="172" spans="2:4" x14ac:dyDescent="0.25">
      <c r="B172"/>
      <c r="C172"/>
      <c r="D172"/>
    </row>
    <row r="173" spans="2:4" x14ac:dyDescent="0.25">
      <c r="B173"/>
      <c r="C173"/>
      <c r="D173"/>
    </row>
    <row r="174" spans="2:4" x14ac:dyDescent="0.25">
      <c r="B174"/>
      <c r="C174"/>
      <c r="D174"/>
    </row>
    <row r="175" spans="2:4" x14ac:dyDescent="0.25">
      <c r="B175"/>
      <c r="C175"/>
      <c r="D175"/>
    </row>
    <row r="176" spans="2:4" x14ac:dyDescent="0.25">
      <c r="B176"/>
      <c r="C176"/>
      <c r="D176"/>
    </row>
    <row r="177" spans="2:4" x14ac:dyDescent="0.25">
      <c r="B177"/>
      <c r="C177"/>
      <c r="D177"/>
    </row>
    <row r="178" spans="2:4" x14ac:dyDescent="0.25">
      <c r="B178"/>
      <c r="C178"/>
      <c r="D178"/>
    </row>
    <row r="179" spans="2:4" x14ac:dyDescent="0.25">
      <c r="B179"/>
      <c r="C179"/>
      <c r="D179"/>
    </row>
    <row r="180" spans="2:4" x14ac:dyDescent="0.25">
      <c r="B180"/>
      <c r="C180"/>
      <c r="D180"/>
    </row>
    <row r="181" spans="2:4" x14ac:dyDescent="0.25">
      <c r="B181"/>
      <c r="C181"/>
      <c r="D181"/>
    </row>
    <row r="182" spans="2:4" x14ac:dyDescent="0.25">
      <c r="B182"/>
      <c r="C182"/>
      <c r="D182"/>
    </row>
    <row r="183" spans="2:4" x14ac:dyDescent="0.25">
      <c r="B183"/>
      <c r="C183"/>
      <c r="D183"/>
    </row>
    <row r="184" spans="2:4" x14ac:dyDescent="0.25">
      <c r="B184"/>
      <c r="C184"/>
      <c r="D184"/>
    </row>
    <row r="185" spans="2:4" x14ac:dyDescent="0.25">
      <c r="B185"/>
      <c r="C185"/>
      <c r="D185"/>
    </row>
    <row r="186" spans="2:4" x14ac:dyDescent="0.25">
      <c r="B186"/>
      <c r="C186"/>
      <c r="D186"/>
    </row>
    <row r="187" spans="2:4" x14ac:dyDescent="0.25">
      <c r="B187"/>
      <c r="C187"/>
      <c r="D187"/>
    </row>
    <row r="188" spans="2:4" x14ac:dyDescent="0.25">
      <c r="B188"/>
      <c r="C188"/>
      <c r="D188"/>
    </row>
    <row r="189" spans="2:4" x14ac:dyDescent="0.25">
      <c r="B189"/>
      <c r="C189"/>
      <c r="D189"/>
    </row>
    <row r="190" spans="2:4" x14ac:dyDescent="0.25">
      <c r="B190"/>
      <c r="C190"/>
      <c r="D190"/>
    </row>
    <row r="191" spans="2:4" x14ac:dyDescent="0.25">
      <c r="B191"/>
      <c r="C191"/>
      <c r="D191"/>
    </row>
    <row r="192" spans="2:4" x14ac:dyDescent="0.25">
      <c r="B192"/>
      <c r="C192"/>
      <c r="D192"/>
    </row>
    <row r="193" spans="2:4" x14ac:dyDescent="0.25">
      <c r="B193"/>
      <c r="C193"/>
      <c r="D193"/>
    </row>
    <row r="194" spans="2:4" x14ac:dyDescent="0.25">
      <c r="B194"/>
      <c r="C194"/>
      <c r="D194"/>
    </row>
    <row r="195" spans="2:4" x14ac:dyDescent="0.25">
      <c r="B195"/>
      <c r="C195"/>
      <c r="D195"/>
    </row>
    <row r="196" spans="2:4" x14ac:dyDescent="0.25">
      <c r="B196"/>
      <c r="C196"/>
      <c r="D196"/>
    </row>
    <row r="197" spans="2:4" x14ac:dyDescent="0.25">
      <c r="B197"/>
      <c r="C197"/>
      <c r="D197"/>
    </row>
    <row r="198" spans="2:4" x14ac:dyDescent="0.25">
      <c r="B198"/>
      <c r="C198"/>
      <c r="D198"/>
    </row>
    <row r="199" spans="2:4" x14ac:dyDescent="0.25">
      <c r="B199"/>
      <c r="C199"/>
      <c r="D199"/>
    </row>
    <row r="200" spans="2:4" x14ac:dyDescent="0.25">
      <c r="B200"/>
      <c r="C200"/>
      <c r="D200"/>
    </row>
    <row r="201" spans="2:4" x14ac:dyDescent="0.25">
      <c r="B201"/>
      <c r="C201"/>
      <c r="D201"/>
    </row>
    <row r="202" spans="2:4" x14ac:dyDescent="0.25">
      <c r="B202"/>
      <c r="C202"/>
      <c r="D202"/>
    </row>
    <row r="203" spans="2:4" x14ac:dyDescent="0.25">
      <c r="B203"/>
      <c r="C203"/>
      <c r="D203"/>
    </row>
    <row r="204" spans="2:4" x14ac:dyDescent="0.25">
      <c r="B204"/>
      <c r="C204"/>
      <c r="D204"/>
    </row>
    <row r="205" spans="2:4" x14ac:dyDescent="0.25">
      <c r="B205"/>
      <c r="C205"/>
      <c r="D205"/>
    </row>
    <row r="206" spans="2:4" x14ac:dyDescent="0.25">
      <c r="B206"/>
      <c r="C206"/>
      <c r="D206"/>
    </row>
    <row r="207" spans="2:4" x14ac:dyDescent="0.25">
      <c r="B207"/>
      <c r="C207"/>
      <c r="D207"/>
    </row>
    <row r="208" spans="2:4" x14ac:dyDescent="0.25">
      <c r="B208"/>
      <c r="C208"/>
      <c r="D208"/>
    </row>
    <row r="209" spans="2:4" x14ac:dyDescent="0.25">
      <c r="B209"/>
      <c r="C209"/>
      <c r="D209"/>
    </row>
    <row r="210" spans="2:4" x14ac:dyDescent="0.25">
      <c r="B210"/>
      <c r="C210"/>
      <c r="D210"/>
    </row>
    <row r="211" spans="2:4" x14ac:dyDescent="0.25">
      <c r="B211"/>
      <c r="C211"/>
      <c r="D211"/>
    </row>
    <row r="212" spans="2:4" x14ac:dyDescent="0.25">
      <c r="B212"/>
      <c r="C212"/>
      <c r="D212"/>
    </row>
    <row r="213" spans="2:4" x14ac:dyDescent="0.25">
      <c r="B213"/>
      <c r="C213"/>
      <c r="D213"/>
    </row>
    <row r="214" spans="2:4" x14ac:dyDescent="0.25">
      <c r="B214"/>
      <c r="C214"/>
      <c r="D214"/>
    </row>
    <row r="215" spans="2:4" x14ac:dyDescent="0.25">
      <c r="B215"/>
      <c r="C215"/>
      <c r="D215"/>
    </row>
    <row r="216" spans="2:4" x14ac:dyDescent="0.25">
      <c r="B216"/>
      <c r="C216"/>
      <c r="D216"/>
    </row>
    <row r="217" spans="2:4" x14ac:dyDescent="0.25">
      <c r="B217"/>
      <c r="C217"/>
      <c r="D217"/>
    </row>
    <row r="218" spans="2:4" x14ac:dyDescent="0.25">
      <c r="B218"/>
      <c r="C218"/>
      <c r="D218"/>
    </row>
    <row r="219" spans="2:4" x14ac:dyDescent="0.25">
      <c r="B219"/>
      <c r="C219"/>
      <c r="D219"/>
    </row>
    <row r="220" spans="2:4" x14ac:dyDescent="0.25">
      <c r="B220"/>
      <c r="C220"/>
      <c r="D220"/>
    </row>
    <row r="221" spans="2:4" x14ac:dyDescent="0.25">
      <c r="B221"/>
      <c r="C221"/>
      <c r="D221"/>
    </row>
    <row r="222" spans="2:4" x14ac:dyDescent="0.25">
      <c r="B222"/>
      <c r="C222"/>
      <c r="D222"/>
    </row>
    <row r="223" spans="2:4" x14ac:dyDescent="0.25">
      <c r="B223"/>
      <c r="C223"/>
      <c r="D223"/>
    </row>
    <row r="224" spans="2:4" x14ac:dyDescent="0.25">
      <c r="B224"/>
      <c r="C224"/>
      <c r="D224"/>
    </row>
    <row r="225" spans="2:4" x14ac:dyDescent="0.25">
      <c r="B225"/>
      <c r="C225"/>
      <c r="D225"/>
    </row>
    <row r="226" spans="2:4" x14ac:dyDescent="0.25">
      <c r="B226"/>
      <c r="C226"/>
      <c r="D226"/>
    </row>
    <row r="227" spans="2:4" x14ac:dyDescent="0.25">
      <c r="B227"/>
      <c r="C227"/>
      <c r="D227"/>
    </row>
    <row r="228" spans="2:4" x14ac:dyDescent="0.25">
      <c r="B228"/>
      <c r="C228"/>
      <c r="D228"/>
    </row>
    <row r="229" spans="2:4" x14ac:dyDescent="0.25">
      <c r="B229"/>
      <c r="C229"/>
      <c r="D229"/>
    </row>
    <row r="230" spans="2:4" x14ac:dyDescent="0.25">
      <c r="B230"/>
      <c r="C230"/>
      <c r="D230"/>
    </row>
    <row r="231" spans="2:4" x14ac:dyDescent="0.25">
      <c r="B231"/>
      <c r="C231"/>
      <c r="D231"/>
    </row>
    <row r="232" spans="2:4" x14ac:dyDescent="0.25">
      <c r="B232"/>
      <c r="C232"/>
      <c r="D232"/>
    </row>
    <row r="233" spans="2:4" x14ac:dyDescent="0.25">
      <c r="B233"/>
      <c r="C233"/>
      <c r="D233"/>
    </row>
    <row r="234" spans="2:4" x14ac:dyDescent="0.25">
      <c r="B234"/>
      <c r="C234"/>
      <c r="D234"/>
    </row>
    <row r="235" spans="2:4" x14ac:dyDescent="0.25">
      <c r="B235"/>
      <c r="C235"/>
      <c r="D235"/>
    </row>
    <row r="236" spans="2:4" x14ac:dyDescent="0.25">
      <c r="B236"/>
      <c r="C236"/>
      <c r="D236"/>
    </row>
    <row r="237" spans="2:4" x14ac:dyDescent="0.25">
      <c r="B237"/>
      <c r="C237"/>
      <c r="D237"/>
    </row>
    <row r="238" spans="2:4" x14ac:dyDescent="0.25">
      <c r="B238"/>
      <c r="C238"/>
      <c r="D238"/>
    </row>
    <row r="239" spans="2:4" x14ac:dyDescent="0.25">
      <c r="B239"/>
      <c r="C239"/>
      <c r="D239"/>
    </row>
    <row r="240" spans="2:4" x14ac:dyDescent="0.25">
      <c r="B240"/>
      <c r="C240"/>
      <c r="D240"/>
    </row>
    <row r="241" spans="2:4" x14ac:dyDescent="0.25">
      <c r="B241"/>
      <c r="C241"/>
      <c r="D241"/>
    </row>
    <row r="242" spans="2:4" x14ac:dyDescent="0.25">
      <c r="B242"/>
      <c r="C242"/>
      <c r="D242"/>
    </row>
    <row r="243" spans="2:4" x14ac:dyDescent="0.25">
      <c r="B243"/>
      <c r="C243"/>
      <c r="D243"/>
    </row>
    <row r="244" spans="2:4" x14ac:dyDescent="0.25">
      <c r="B244"/>
      <c r="C244"/>
      <c r="D244"/>
    </row>
    <row r="245" spans="2:4" x14ac:dyDescent="0.25">
      <c r="B245"/>
      <c r="C245"/>
      <c r="D245"/>
    </row>
    <row r="246" spans="2:4" x14ac:dyDescent="0.25">
      <c r="B246"/>
      <c r="C246"/>
      <c r="D246"/>
    </row>
    <row r="247" spans="2:4" x14ac:dyDescent="0.25">
      <c r="B247"/>
      <c r="C247"/>
      <c r="D247"/>
    </row>
    <row r="248" spans="2:4" x14ac:dyDescent="0.25">
      <c r="B248"/>
      <c r="C248"/>
      <c r="D248"/>
    </row>
    <row r="249" spans="2:4" x14ac:dyDescent="0.25">
      <c r="B249"/>
      <c r="C249"/>
      <c r="D249"/>
    </row>
    <row r="250" spans="2:4" x14ac:dyDescent="0.25">
      <c r="B250"/>
      <c r="C250"/>
      <c r="D250"/>
    </row>
    <row r="251" spans="2:4" x14ac:dyDescent="0.25">
      <c r="B251"/>
      <c r="C251"/>
      <c r="D251"/>
    </row>
    <row r="252" spans="2:4" x14ac:dyDescent="0.25">
      <c r="B252"/>
      <c r="C252"/>
      <c r="D252"/>
    </row>
    <row r="253" spans="2:4" x14ac:dyDescent="0.25">
      <c r="B253"/>
      <c r="C253"/>
      <c r="D253"/>
    </row>
    <row r="254" spans="2:4" x14ac:dyDescent="0.25">
      <c r="B254"/>
      <c r="C254"/>
      <c r="D254"/>
    </row>
    <row r="255" spans="2:4" x14ac:dyDescent="0.25">
      <c r="B255"/>
      <c r="C255"/>
      <c r="D255"/>
    </row>
    <row r="256" spans="2:4" x14ac:dyDescent="0.25">
      <c r="B256"/>
      <c r="C256"/>
      <c r="D256"/>
    </row>
    <row r="257" spans="2:4" x14ac:dyDescent="0.25">
      <c r="B257"/>
      <c r="C257"/>
      <c r="D257"/>
    </row>
    <row r="258" spans="2:4" x14ac:dyDescent="0.25">
      <c r="B258"/>
      <c r="C258"/>
      <c r="D258"/>
    </row>
    <row r="259" spans="2:4" x14ac:dyDescent="0.25">
      <c r="B259"/>
      <c r="C259"/>
      <c r="D259"/>
    </row>
    <row r="260" spans="2:4" x14ac:dyDescent="0.25">
      <c r="B260"/>
      <c r="C260"/>
      <c r="D260"/>
    </row>
    <row r="261" spans="2:4" x14ac:dyDescent="0.25">
      <c r="B261"/>
      <c r="C261"/>
      <c r="D261"/>
    </row>
    <row r="262" spans="2:4" x14ac:dyDescent="0.25">
      <c r="B262"/>
      <c r="C262"/>
      <c r="D262"/>
    </row>
    <row r="263" spans="2:4" x14ac:dyDescent="0.25">
      <c r="B263"/>
      <c r="C263"/>
      <c r="D263"/>
    </row>
    <row r="264" spans="2:4" x14ac:dyDescent="0.25">
      <c r="B264"/>
      <c r="C264"/>
      <c r="D264"/>
    </row>
    <row r="265" spans="2:4" x14ac:dyDescent="0.25">
      <c r="B265"/>
      <c r="C265"/>
      <c r="D265"/>
    </row>
    <row r="266" spans="2:4" x14ac:dyDescent="0.25">
      <c r="B266"/>
      <c r="C266"/>
      <c r="D266"/>
    </row>
    <row r="267" spans="2:4" x14ac:dyDescent="0.25">
      <c r="B267"/>
      <c r="C267"/>
      <c r="D267"/>
    </row>
    <row r="268" spans="2:4" x14ac:dyDescent="0.25">
      <c r="B268"/>
      <c r="C268"/>
      <c r="D268"/>
    </row>
    <row r="269" spans="2:4" x14ac:dyDescent="0.25">
      <c r="B269"/>
      <c r="C269"/>
      <c r="D269"/>
    </row>
    <row r="270" spans="2:4" x14ac:dyDescent="0.25">
      <c r="B270"/>
      <c r="C270"/>
      <c r="D270"/>
    </row>
    <row r="271" spans="2:4" x14ac:dyDescent="0.25">
      <c r="B271"/>
      <c r="C271"/>
      <c r="D271"/>
    </row>
    <row r="272" spans="2:4" x14ac:dyDescent="0.25">
      <c r="B272"/>
      <c r="C272"/>
      <c r="D272"/>
    </row>
    <row r="273" spans="2:4" x14ac:dyDescent="0.25">
      <c r="B273"/>
      <c r="C273"/>
      <c r="D273"/>
    </row>
    <row r="274" spans="2:4" x14ac:dyDescent="0.25">
      <c r="B274"/>
      <c r="C274"/>
      <c r="D274"/>
    </row>
    <row r="275" spans="2:4" x14ac:dyDescent="0.25">
      <c r="B275"/>
      <c r="C275"/>
      <c r="D275"/>
    </row>
    <row r="276" spans="2:4" x14ac:dyDescent="0.25">
      <c r="B276"/>
      <c r="C276"/>
      <c r="D276"/>
    </row>
    <row r="277" spans="2:4" x14ac:dyDescent="0.25">
      <c r="B277"/>
      <c r="C277"/>
      <c r="D277"/>
    </row>
    <row r="278" spans="2:4" x14ac:dyDescent="0.25">
      <c r="B278"/>
      <c r="C278"/>
      <c r="D278"/>
    </row>
    <row r="279" spans="2:4" x14ac:dyDescent="0.25">
      <c r="B279"/>
      <c r="C279"/>
      <c r="D279"/>
    </row>
    <row r="280" spans="2:4" x14ac:dyDescent="0.25">
      <c r="B280"/>
      <c r="C280"/>
      <c r="D280"/>
    </row>
    <row r="281" spans="2:4" x14ac:dyDescent="0.25">
      <c r="B281"/>
      <c r="C281"/>
      <c r="D281"/>
    </row>
    <row r="282" spans="2:4" x14ac:dyDescent="0.25">
      <c r="B282"/>
      <c r="C282"/>
      <c r="D282"/>
    </row>
    <row r="283" spans="2:4" x14ac:dyDescent="0.25">
      <c r="B283"/>
      <c r="C283"/>
      <c r="D283"/>
    </row>
    <row r="284" spans="2:4" x14ac:dyDescent="0.25">
      <c r="B284"/>
      <c r="C284"/>
      <c r="D284"/>
    </row>
    <row r="285" spans="2:4" x14ac:dyDescent="0.25">
      <c r="B285"/>
      <c r="C285"/>
      <c r="D285"/>
    </row>
    <row r="286" spans="2:4" x14ac:dyDescent="0.25">
      <c r="B286"/>
      <c r="C286"/>
      <c r="D286"/>
    </row>
    <row r="287" spans="2:4" x14ac:dyDescent="0.25">
      <c r="B287"/>
      <c r="C287"/>
      <c r="D287"/>
    </row>
    <row r="288" spans="2:4" x14ac:dyDescent="0.25">
      <c r="B288"/>
      <c r="C288"/>
      <c r="D288"/>
    </row>
    <row r="289" spans="2:4" x14ac:dyDescent="0.25">
      <c r="B289"/>
      <c r="C289"/>
      <c r="D289"/>
    </row>
    <row r="290" spans="2:4" x14ac:dyDescent="0.25">
      <c r="B290"/>
      <c r="C290"/>
      <c r="D290"/>
    </row>
    <row r="291" spans="2:4" x14ac:dyDescent="0.25">
      <c r="B291"/>
      <c r="C291"/>
      <c r="D291"/>
    </row>
    <row r="292" spans="2:4" x14ac:dyDescent="0.25">
      <c r="B292"/>
      <c r="C292"/>
      <c r="D292"/>
    </row>
    <row r="293" spans="2:4" x14ac:dyDescent="0.25">
      <c r="B293"/>
      <c r="C293"/>
      <c r="D293"/>
    </row>
    <row r="294" spans="2:4" x14ac:dyDescent="0.25">
      <c r="B294"/>
      <c r="C294"/>
      <c r="D294"/>
    </row>
    <row r="295" spans="2:4" x14ac:dyDescent="0.25">
      <c r="B295"/>
      <c r="C295"/>
      <c r="D295"/>
    </row>
    <row r="296" spans="2:4" x14ac:dyDescent="0.25">
      <c r="B296"/>
      <c r="C296"/>
      <c r="D296"/>
    </row>
    <row r="297" spans="2:4" x14ac:dyDescent="0.25">
      <c r="B297"/>
      <c r="C297"/>
      <c r="D297"/>
    </row>
    <row r="298" spans="2:4" x14ac:dyDescent="0.25">
      <c r="B298"/>
      <c r="C298"/>
      <c r="D298"/>
    </row>
    <row r="299" spans="2:4" x14ac:dyDescent="0.25">
      <c r="B299"/>
      <c r="C299"/>
      <c r="D299"/>
    </row>
    <row r="300" spans="2:4" x14ac:dyDescent="0.25">
      <c r="B300"/>
      <c r="C300"/>
      <c r="D300"/>
    </row>
    <row r="301" spans="2:4" x14ac:dyDescent="0.25">
      <c r="B301"/>
      <c r="C301"/>
      <c r="D301"/>
    </row>
    <row r="302" spans="2:4" x14ac:dyDescent="0.25">
      <c r="B302"/>
      <c r="C302"/>
      <c r="D302"/>
    </row>
    <row r="303" spans="2:4" x14ac:dyDescent="0.25">
      <c r="B303"/>
      <c r="C303"/>
      <c r="D303"/>
    </row>
    <row r="304" spans="2:4" x14ac:dyDescent="0.25">
      <c r="B304"/>
      <c r="C304"/>
      <c r="D304"/>
    </row>
    <row r="305" spans="2:4" x14ac:dyDescent="0.25">
      <c r="B305"/>
      <c r="C305"/>
      <c r="D305"/>
    </row>
    <row r="306" spans="2:4" x14ac:dyDescent="0.25">
      <c r="B306"/>
      <c r="C306"/>
      <c r="D306"/>
    </row>
    <row r="307" spans="2:4" x14ac:dyDescent="0.25">
      <c r="B307"/>
      <c r="C307"/>
      <c r="D307"/>
    </row>
    <row r="308" spans="2:4" x14ac:dyDescent="0.25">
      <c r="B308"/>
      <c r="C308"/>
      <c r="D308"/>
    </row>
    <row r="309" spans="2:4" x14ac:dyDescent="0.25">
      <c r="B309"/>
      <c r="C309"/>
      <c r="D309"/>
    </row>
    <row r="310" spans="2:4" x14ac:dyDescent="0.25">
      <c r="B310"/>
      <c r="C310"/>
      <c r="D310"/>
    </row>
    <row r="311" spans="2:4" x14ac:dyDescent="0.25">
      <c r="B311"/>
      <c r="C311"/>
      <c r="D311"/>
    </row>
    <row r="312" spans="2:4" x14ac:dyDescent="0.25">
      <c r="B312"/>
      <c r="C312"/>
      <c r="D312"/>
    </row>
    <row r="313" spans="2:4" x14ac:dyDescent="0.25">
      <c r="B313"/>
      <c r="C313"/>
      <c r="D313"/>
    </row>
    <row r="314" spans="2:4" x14ac:dyDescent="0.25">
      <c r="B314"/>
      <c r="C314"/>
      <c r="D314"/>
    </row>
    <row r="315" spans="2:4" x14ac:dyDescent="0.25">
      <c r="B315"/>
      <c r="C315"/>
      <c r="D315"/>
    </row>
    <row r="316" spans="2:4" x14ac:dyDescent="0.25">
      <c r="B316"/>
      <c r="C316"/>
      <c r="D316"/>
    </row>
    <row r="317" spans="2:4" x14ac:dyDescent="0.25">
      <c r="B317"/>
      <c r="C317"/>
      <c r="D317"/>
    </row>
    <row r="318" spans="2:4" x14ac:dyDescent="0.25">
      <c r="B318"/>
      <c r="C318"/>
      <c r="D318"/>
    </row>
    <row r="319" spans="2:4" x14ac:dyDescent="0.25">
      <c r="B319"/>
      <c r="C319"/>
      <c r="D319"/>
    </row>
    <row r="320" spans="2:4" x14ac:dyDescent="0.25">
      <c r="B320"/>
      <c r="C320"/>
      <c r="D320"/>
    </row>
    <row r="321" spans="2:4" x14ac:dyDescent="0.25">
      <c r="B321"/>
      <c r="C321"/>
      <c r="D321"/>
    </row>
    <row r="322" spans="2:4" x14ac:dyDescent="0.25">
      <c r="B322"/>
      <c r="C322"/>
      <c r="D322"/>
    </row>
    <row r="323" spans="2:4" x14ac:dyDescent="0.25">
      <c r="B323"/>
      <c r="C323"/>
      <c r="D323"/>
    </row>
    <row r="324" spans="2:4" x14ac:dyDescent="0.25">
      <c r="B324"/>
      <c r="C324"/>
      <c r="D324"/>
    </row>
    <row r="325" spans="2:4" x14ac:dyDescent="0.25">
      <c r="B325"/>
      <c r="C325"/>
      <c r="D325"/>
    </row>
    <row r="326" spans="2:4" x14ac:dyDescent="0.25">
      <c r="B326"/>
      <c r="C326"/>
      <c r="D326"/>
    </row>
    <row r="327" spans="2:4" x14ac:dyDescent="0.25">
      <c r="B327"/>
      <c r="C327"/>
      <c r="D327"/>
    </row>
    <row r="328" spans="2:4" x14ac:dyDescent="0.25">
      <c r="B328"/>
      <c r="C328"/>
      <c r="D328"/>
    </row>
    <row r="329" spans="2:4" x14ac:dyDescent="0.25">
      <c r="B329"/>
      <c r="C329"/>
      <c r="D329"/>
    </row>
    <row r="330" spans="2:4" x14ac:dyDescent="0.25">
      <c r="B330"/>
      <c r="C330"/>
      <c r="D330"/>
    </row>
    <row r="331" spans="2:4" x14ac:dyDescent="0.25">
      <c r="B331"/>
      <c r="C331"/>
      <c r="D331"/>
    </row>
    <row r="332" spans="2:4" x14ac:dyDescent="0.25">
      <c r="B332"/>
      <c r="C332"/>
      <c r="D332"/>
    </row>
    <row r="333" spans="2:4" x14ac:dyDescent="0.25">
      <c r="B333"/>
      <c r="C333"/>
      <c r="D333"/>
    </row>
    <row r="334" spans="2:4" x14ac:dyDescent="0.25">
      <c r="B334"/>
      <c r="C334"/>
      <c r="D334"/>
    </row>
    <row r="335" spans="2:4" x14ac:dyDescent="0.25">
      <c r="B335"/>
      <c r="C335"/>
      <c r="D335"/>
    </row>
    <row r="336" spans="2:4" x14ac:dyDescent="0.25">
      <c r="B336"/>
      <c r="C336"/>
      <c r="D336"/>
    </row>
    <row r="337" spans="2:4" x14ac:dyDescent="0.25">
      <c r="B337"/>
      <c r="C337"/>
      <c r="D337"/>
    </row>
    <row r="338" spans="2:4" x14ac:dyDescent="0.25">
      <c r="B338"/>
      <c r="C338"/>
      <c r="D338"/>
    </row>
    <row r="339" spans="2:4" x14ac:dyDescent="0.25">
      <c r="B339"/>
      <c r="C339"/>
      <c r="D339"/>
    </row>
    <row r="340" spans="2:4" x14ac:dyDescent="0.25">
      <c r="B340"/>
      <c r="C340"/>
      <c r="D340"/>
    </row>
    <row r="341" spans="2:4" x14ac:dyDescent="0.25">
      <c r="B341"/>
      <c r="C341"/>
      <c r="D341"/>
    </row>
    <row r="342" spans="2:4" x14ac:dyDescent="0.25">
      <c r="B342"/>
      <c r="C342"/>
      <c r="D342"/>
    </row>
    <row r="343" spans="2:4" x14ac:dyDescent="0.25">
      <c r="B343"/>
      <c r="C343"/>
      <c r="D343"/>
    </row>
    <row r="344" spans="2:4" x14ac:dyDescent="0.25">
      <c r="B344"/>
      <c r="C344"/>
      <c r="D344"/>
    </row>
    <row r="345" spans="2:4" x14ac:dyDescent="0.25">
      <c r="B345"/>
      <c r="C345"/>
      <c r="D345"/>
    </row>
    <row r="346" spans="2:4" x14ac:dyDescent="0.25">
      <c r="B346"/>
      <c r="C346"/>
      <c r="D346"/>
    </row>
    <row r="347" spans="2:4" x14ac:dyDescent="0.25">
      <c r="B347"/>
      <c r="C347"/>
      <c r="D347"/>
    </row>
    <row r="348" spans="2:4" x14ac:dyDescent="0.25">
      <c r="B348"/>
      <c r="C348"/>
      <c r="D348"/>
    </row>
    <row r="349" spans="2:4" x14ac:dyDescent="0.25">
      <c r="B349"/>
      <c r="C349"/>
      <c r="D349"/>
    </row>
    <row r="350" spans="2:4" x14ac:dyDescent="0.25">
      <c r="B350"/>
      <c r="C350"/>
      <c r="D350"/>
    </row>
    <row r="351" spans="2:4" x14ac:dyDescent="0.25">
      <c r="B351"/>
      <c r="C351"/>
      <c r="D351"/>
    </row>
    <row r="352" spans="2:4" x14ac:dyDescent="0.25">
      <c r="B352"/>
      <c r="C352"/>
      <c r="D352"/>
    </row>
    <row r="353" spans="2:4" x14ac:dyDescent="0.25">
      <c r="B353"/>
      <c r="C353"/>
      <c r="D353"/>
    </row>
    <row r="354" spans="2:4" x14ac:dyDescent="0.25">
      <c r="B354"/>
      <c r="C354"/>
      <c r="D354"/>
    </row>
    <row r="355" spans="2:4" x14ac:dyDescent="0.25">
      <c r="B355"/>
      <c r="C355"/>
      <c r="D355"/>
    </row>
    <row r="356" spans="2:4" x14ac:dyDescent="0.25">
      <c r="B356"/>
      <c r="C356"/>
      <c r="D356"/>
    </row>
    <row r="357" spans="2:4" x14ac:dyDescent="0.25">
      <c r="B357"/>
      <c r="C357"/>
      <c r="D357"/>
    </row>
    <row r="358" spans="2:4" x14ac:dyDescent="0.25">
      <c r="B358"/>
      <c r="C358"/>
      <c r="D358"/>
    </row>
    <row r="359" spans="2:4" x14ac:dyDescent="0.25">
      <c r="B359"/>
      <c r="C359"/>
      <c r="D359"/>
    </row>
    <row r="360" spans="2:4" x14ac:dyDescent="0.25">
      <c r="B360"/>
      <c r="C360"/>
      <c r="D360"/>
    </row>
    <row r="361" spans="2:4" x14ac:dyDescent="0.25">
      <c r="B361"/>
      <c r="C361"/>
      <c r="D361"/>
    </row>
    <row r="362" spans="2:4" x14ac:dyDescent="0.25">
      <c r="B362"/>
      <c r="C362"/>
      <c r="D362"/>
    </row>
    <row r="363" spans="2:4" x14ac:dyDescent="0.25">
      <c r="B363"/>
      <c r="C363"/>
      <c r="D363"/>
    </row>
    <row r="364" spans="2:4" x14ac:dyDescent="0.25">
      <c r="B364"/>
      <c r="C364"/>
      <c r="D364"/>
    </row>
    <row r="365" spans="2:4" x14ac:dyDescent="0.25">
      <c r="B365"/>
      <c r="C365"/>
      <c r="D365"/>
    </row>
    <row r="366" spans="2:4" x14ac:dyDescent="0.25">
      <c r="B366"/>
      <c r="C366"/>
      <c r="D366"/>
    </row>
    <row r="367" spans="2:4" x14ac:dyDescent="0.25">
      <c r="B367"/>
      <c r="C367"/>
      <c r="D367"/>
    </row>
    <row r="368" spans="2:4" x14ac:dyDescent="0.25">
      <c r="B368"/>
      <c r="C368"/>
      <c r="D368"/>
    </row>
    <row r="369" spans="2:4" x14ac:dyDescent="0.25">
      <c r="B369"/>
      <c r="C369"/>
      <c r="D369"/>
    </row>
    <row r="370" spans="2:4" x14ac:dyDescent="0.25">
      <c r="B370"/>
      <c r="C370"/>
      <c r="D370"/>
    </row>
    <row r="371" spans="2:4" x14ac:dyDescent="0.25">
      <c r="B371"/>
      <c r="C371"/>
      <c r="D371"/>
    </row>
    <row r="372" spans="2:4" x14ac:dyDescent="0.25">
      <c r="B372"/>
      <c r="C372"/>
      <c r="D372"/>
    </row>
    <row r="373" spans="2:4" x14ac:dyDescent="0.25">
      <c r="B373"/>
      <c r="C373"/>
      <c r="D373"/>
    </row>
    <row r="374" spans="2:4" x14ac:dyDescent="0.25">
      <c r="B374"/>
      <c r="C374"/>
      <c r="D374"/>
    </row>
    <row r="375" spans="2:4" x14ac:dyDescent="0.25">
      <c r="B375"/>
      <c r="C375"/>
      <c r="D375"/>
    </row>
    <row r="376" spans="2:4" x14ac:dyDescent="0.25">
      <c r="B376"/>
      <c r="C376"/>
      <c r="D376"/>
    </row>
    <row r="377" spans="2:4" x14ac:dyDescent="0.25">
      <c r="B377"/>
      <c r="C377"/>
      <c r="D377"/>
    </row>
    <row r="378" spans="2:4" x14ac:dyDescent="0.25">
      <c r="B378"/>
      <c r="C378"/>
      <c r="D378"/>
    </row>
    <row r="379" spans="2:4" x14ac:dyDescent="0.25">
      <c r="B379"/>
      <c r="C379"/>
      <c r="D379"/>
    </row>
    <row r="380" spans="2:4" x14ac:dyDescent="0.25">
      <c r="B380"/>
      <c r="C380"/>
      <c r="D380"/>
    </row>
    <row r="381" spans="2:4" x14ac:dyDescent="0.25">
      <c r="B381"/>
      <c r="C381"/>
      <c r="D381"/>
    </row>
    <row r="382" spans="2:4" x14ac:dyDescent="0.25">
      <c r="B382"/>
      <c r="C382"/>
      <c r="D382"/>
    </row>
    <row r="383" spans="2:4" x14ac:dyDescent="0.25">
      <c r="B383"/>
      <c r="C383"/>
      <c r="D383"/>
    </row>
    <row r="384" spans="2:4" x14ac:dyDescent="0.25">
      <c r="B384"/>
      <c r="C384"/>
      <c r="D384"/>
    </row>
    <row r="385" spans="2:4" x14ac:dyDescent="0.25">
      <c r="B385"/>
      <c r="C385"/>
      <c r="D385"/>
    </row>
    <row r="386" spans="2:4" x14ac:dyDescent="0.25">
      <c r="B386"/>
      <c r="C386"/>
      <c r="D386"/>
    </row>
    <row r="387" spans="2:4" x14ac:dyDescent="0.25">
      <c r="B387"/>
      <c r="C387"/>
      <c r="D387"/>
    </row>
    <row r="388" spans="2:4" x14ac:dyDescent="0.25">
      <c r="B388"/>
      <c r="C388"/>
      <c r="D388"/>
    </row>
    <row r="389" spans="2:4" x14ac:dyDescent="0.25">
      <c r="B389"/>
      <c r="C389"/>
      <c r="D389"/>
    </row>
    <row r="390" spans="2:4" x14ac:dyDescent="0.25">
      <c r="B390"/>
      <c r="C390"/>
      <c r="D390"/>
    </row>
    <row r="391" spans="2:4" x14ac:dyDescent="0.25">
      <c r="B391"/>
      <c r="C391"/>
      <c r="D391"/>
    </row>
    <row r="392" spans="2:4" x14ac:dyDescent="0.25">
      <c r="B392"/>
      <c r="C392"/>
      <c r="D392"/>
    </row>
    <row r="393" spans="2:4" x14ac:dyDescent="0.25">
      <c r="B393"/>
      <c r="C393"/>
      <c r="D393"/>
    </row>
    <row r="394" spans="2:4" x14ac:dyDescent="0.25">
      <c r="B394"/>
      <c r="C394"/>
      <c r="D394"/>
    </row>
    <row r="395" spans="2:4" x14ac:dyDescent="0.25">
      <c r="B395"/>
      <c r="C395"/>
      <c r="D395"/>
    </row>
    <row r="396" spans="2:4" x14ac:dyDescent="0.25">
      <c r="B396"/>
      <c r="C396"/>
      <c r="D396"/>
    </row>
    <row r="397" spans="2:4" x14ac:dyDescent="0.25">
      <c r="B397"/>
      <c r="C397"/>
      <c r="D397"/>
    </row>
    <row r="398" spans="2:4" x14ac:dyDescent="0.25">
      <c r="B398"/>
      <c r="C398"/>
      <c r="D398"/>
    </row>
    <row r="399" spans="2:4" x14ac:dyDescent="0.25">
      <c r="B399"/>
      <c r="C399"/>
      <c r="D399"/>
    </row>
    <row r="400" spans="2:4" x14ac:dyDescent="0.25">
      <c r="B400"/>
      <c r="C400"/>
      <c r="D400"/>
    </row>
    <row r="401" spans="2:4" x14ac:dyDescent="0.25">
      <c r="B401"/>
      <c r="C401"/>
      <c r="D401"/>
    </row>
    <row r="402" spans="2:4" x14ac:dyDescent="0.25">
      <c r="B402"/>
      <c r="C402"/>
      <c r="D402"/>
    </row>
    <row r="403" spans="2:4" x14ac:dyDescent="0.25">
      <c r="B403"/>
      <c r="C403"/>
      <c r="D403"/>
    </row>
    <row r="404" spans="2:4" x14ac:dyDescent="0.25">
      <c r="B404"/>
      <c r="C404"/>
      <c r="D404"/>
    </row>
    <row r="405" spans="2:4" x14ac:dyDescent="0.25">
      <c r="B405"/>
      <c r="C405"/>
      <c r="D405"/>
    </row>
    <row r="406" spans="2:4" x14ac:dyDescent="0.25">
      <c r="B406"/>
      <c r="C406"/>
      <c r="D406"/>
    </row>
    <row r="407" spans="2:4" x14ac:dyDescent="0.25">
      <c r="B407"/>
      <c r="C407"/>
      <c r="D407"/>
    </row>
    <row r="408" spans="2:4" x14ac:dyDescent="0.25">
      <c r="B408"/>
      <c r="C408"/>
      <c r="D408"/>
    </row>
    <row r="409" spans="2:4" x14ac:dyDescent="0.25">
      <c r="B409"/>
      <c r="C409"/>
      <c r="D409"/>
    </row>
    <row r="410" spans="2:4" x14ac:dyDescent="0.25">
      <c r="B410"/>
      <c r="C410"/>
      <c r="D410"/>
    </row>
    <row r="411" spans="2:4" x14ac:dyDescent="0.25">
      <c r="B411"/>
      <c r="C411"/>
      <c r="D411"/>
    </row>
    <row r="412" spans="2:4" x14ac:dyDescent="0.25">
      <c r="B412"/>
      <c r="C412"/>
      <c r="D412"/>
    </row>
    <row r="413" spans="2:4" x14ac:dyDescent="0.25">
      <c r="B413"/>
      <c r="C413"/>
      <c r="D413"/>
    </row>
    <row r="414" spans="2:4" x14ac:dyDescent="0.25">
      <c r="B414"/>
      <c r="C414"/>
      <c r="D414"/>
    </row>
    <row r="415" spans="2:4" x14ac:dyDescent="0.25">
      <c r="B415"/>
      <c r="C415"/>
      <c r="D415"/>
    </row>
    <row r="416" spans="2:4" x14ac:dyDescent="0.25">
      <c r="B416"/>
      <c r="C416"/>
      <c r="D416"/>
    </row>
    <row r="417" spans="2:4" x14ac:dyDescent="0.25">
      <c r="B417"/>
      <c r="C417"/>
      <c r="D417"/>
    </row>
    <row r="418" spans="2:4" x14ac:dyDescent="0.25">
      <c r="B418"/>
      <c r="C418"/>
      <c r="D418"/>
    </row>
    <row r="419" spans="2:4" x14ac:dyDescent="0.25">
      <c r="B419"/>
      <c r="C419"/>
      <c r="D419"/>
    </row>
    <row r="420" spans="2:4" x14ac:dyDescent="0.25">
      <c r="B420"/>
      <c r="C420"/>
      <c r="D420"/>
    </row>
    <row r="421" spans="2:4" x14ac:dyDescent="0.25">
      <c r="B421"/>
      <c r="C421"/>
      <c r="D421"/>
    </row>
    <row r="422" spans="2:4" x14ac:dyDescent="0.25">
      <c r="B422"/>
      <c r="C422"/>
      <c r="D422"/>
    </row>
    <row r="423" spans="2:4" x14ac:dyDescent="0.25">
      <c r="B423"/>
      <c r="C423"/>
      <c r="D423"/>
    </row>
    <row r="424" spans="2:4" x14ac:dyDescent="0.25">
      <c r="B424"/>
      <c r="C424"/>
      <c r="D424"/>
    </row>
    <row r="425" spans="2:4" x14ac:dyDescent="0.25">
      <c r="B425"/>
      <c r="C425"/>
      <c r="D425"/>
    </row>
    <row r="426" spans="2:4" x14ac:dyDescent="0.25">
      <c r="B426"/>
      <c r="C426"/>
      <c r="D426"/>
    </row>
    <row r="427" spans="2:4" x14ac:dyDescent="0.25">
      <c r="B427"/>
      <c r="C427"/>
      <c r="D427"/>
    </row>
    <row r="428" spans="2:4" x14ac:dyDescent="0.25">
      <c r="B428"/>
      <c r="C428"/>
      <c r="D428"/>
    </row>
    <row r="429" spans="2:4" x14ac:dyDescent="0.25">
      <c r="B429"/>
      <c r="C429"/>
      <c r="D429"/>
    </row>
    <row r="430" spans="2:4" x14ac:dyDescent="0.25">
      <c r="B430"/>
      <c r="C430"/>
      <c r="D430"/>
    </row>
    <row r="431" spans="2:4" x14ac:dyDescent="0.25">
      <c r="B431"/>
      <c r="C431"/>
      <c r="D431"/>
    </row>
    <row r="432" spans="2:4" x14ac:dyDescent="0.25">
      <c r="B432"/>
      <c r="C432"/>
      <c r="D432"/>
    </row>
    <row r="433" spans="2:4" x14ac:dyDescent="0.25">
      <c r="B433"/>
      <c r="C433"/>
      <c r="D433"/>
    </row>
    <row r="434" spans="2:4" x14ac:dyDescent="0.25">
      <c r="B434"/>
      <c r="C434"/>
      <c r="D434"/>
    </row>
    <row r="435" spans="2:4" x14ac:dyDescent="0.25">
      <c r="B435"/>
      <c r="C435"/>
      <c r="D435"/>
    </row>
    <row r="436" spans="2:4" x14ac:dyDescent="0.25">
      <c r="B436"/>
      <c r="C436"/>
      <c r="D436"/>
    </row>
    <row r="437" spans="2:4" x14ac:dyDescent="0.25">
      <c r="B437"/>
      <c r="C437"/>
      <c r="D437"/>
    </row>
    <row r="438" spans="2:4" x14ac:dyDescent="0.25">
      <c r="B438"/>
      <c r="C438"/>
      <c r="D438"/>
    </row>
    <row r="439" spans="2:4" x14ac:dyDescent="0.25">
      <c r="B439"/>
      <c r="C439"/>
      <c r="D439"/>
    </row>
    <row r="440" spans="2:4" x14ac:dyDescent="0.25">
      <c r="B440"/>
      <c r="C440"/>
      <c r="D440"/>
    </row>
    <row r="441" spans="2:4" x14ac:dyDescent="0.25">
      <c r="B441"/>
      <c r="C441"/>
      <c r="D441"/>
    </row>
    <row r="442" spans="2:4" x14ac:dyDescent="0.25">
      <c r="B442"/>
      <c r="C442"/>
      <c r="D442"/>
    </row>
    <row r="443" spans="2:4" x14ac:dyDescent="0.25">
      <c r="B443"/>
      <c r="C443"/>
      <c r="D443"/>
    </row>
    <row r="444" spans="2:4" x14ac:dyDescent="0.25">
      <c r="B444"/>
      <c r="C444"/>
      <c r="D444"/>
    </row>
    <row r="445" spans="2:4" x14ac:dyDescent="0.25">
      <c r="B445"/>
      <c r="C445"/>
      <c r="D445"/>
    </row>
    <row r="446" spans="2:4" x14ac:dyDescent="0.25">
      <c r="B446"/>
      <c r="C446"/>
      <c r="D446"/>
    </row>
    <row r="447" spans="2:4" x14ac:dyDescent="0.25">
      <c r="B447"/>
      <c r="C447"/>
      <c r="D447"/>
    </row>
    <row r="448" spans="2:4" x14ac:dyDescent="0.25">
      <c r="B448"/>
      <c r="C448"/>
      <c r="D448"/>
    </row>
    <row r="449" spans="2:4" x14ac:dyDescent="0.25">
      <c r="B449"/>
      <c r="C449"/>
      <c r="D449"/>
    </row>
    <row r="450" spans="2:4" x14ac:dyDescent="0.25">
      <c r="B450"/>
      <c r="C450"/>
      <c r="D450"/>
    </row>
    <row r="451" spans="2:4" x14ac:dyDescent="0.25">
      <c r="B451"/>
      <c r="C451"/>
      <c r="D451"/>
    </row>
    <row r="452" spans="2:4" x14ac:dyDescent="0.25">
      <c r="B452"/>
      <c r="C452"/>
      <c r="D452"/>
    </row>
    <row r="453" spans="2:4" x14ac:dyDescent="0.25">
      <c r="B453"/>
      <c r="C453"/>
      <c r="D453"/>
    </row>
    <row r="454" spans="2:4" x14ac:dyDescent="0.25">
      <c r="B454"/>
      <c r="C454"/>
      <c r="D454"/>
    </row>
    <row r="455" spans="2:4" x14ac:dyDescent="0.25">
      <c r="B455"/>
      <c r="C455"/>
      <c r="D455"/>
    </row>
    <row r="456" spans="2:4" x14ac:dyDescent="0.25">
      <c r="B456"/>
      <c r="C456"/>
      <c r="D456"/>
    </row>
    <row r="457" spans="2:4" x14ac:dyDescent="0.25">
      <c r="B457"/>
      <c r="C457"/>
      <c r="D457"/>
    </row>
    <row r="458" spans="2:4" x14ac:dyDescent="0.25">
      <c r="B458"/>
      <c r="C458"/>
      <c r="D458"/>
    </row>
    <row r="459" spans="2:4" x14ac:dyDescent="0.25">
      <c r="B459"/>
      <c r="C459"/>
      <c r="D459"/>
    </row>
    <row r="460" spans="2:4" x14ac:dyDescent="0.25">
      <c r="B460"/>
      <c r="C460"/>
      <c r="D460"/>
    </row>
    <row r="461" spans="2:4" x14ac:dyDescent="0.25">
      <c r="B461"/>
      <c r="C461"/>
      <c r="D461"/>
    </row>
    <row r="462" spans="2:4" x14ac:dyDescent="0.25">
      <c r="B462"/>
      <c r="C462"/>
      <c r="D462"/>
    </row>
    <row r="463" spans="2:4" x14ac:dyDescent="0.25">
      <c r="B463"/>
      <c r="C463"/>
      <c r="D463"/>
    </row>
    <row r="464" spans="2:4" x14ac:dyDescent="0.25">
      <c r="B464"/>
      <c r="C464"/>
      <c r="D464"/>
    </row>
    <row r="465" spans="2:4" x14ac:dyDescent="0.25">
      <c r="B465"/>
      <c r="C465"/>
      <c r="D465"/>
    </row>
    <row r="466" spans="2:4" x14ac:dyDescent="0.25">
      <c r="B466"/>
      <c r="C466"/>
      <c r="D466"/>
    </row>
    <row r="467" spans="2:4" x14ac:dyDescent="0.25">
      <c r="B467"/>
      <c r="C467"/>
      <c r="D467"/>
    </row>
    <row r="468" spans="2:4" x14ac:dyDescent="0.25">
      <c r="B468"/>
      <c r="C468"/>
      <c r="D468"/>
    </row>
    <row r="469" spans="2:4" x14ac:dyDescent="0.25">
      <c r="B469"/>
      <c r="C469"/>
      <c r="D469"/>
    </row>
    <row r="470" spans="2:4" x14ac:dyDescent="0.25">
      <c r="B470"/>
      <c r="C470"/>
      <c r="D470"/>
    </row>
    <row r="471" spans="2:4" x14ac:dyDescent="0.25">
      <c r="B471"/>
      <c r="C471"/>
      <c r="D471"/>
    </row>
    <row r="472" spans="2:4" x14ac:dyDescent="0.25">
      <c r="B472"/>
      <c r="C472"/>
      <c r="D472"/>
    </row>
    <row r="473" spans="2:4" x14ac:dyDescent="0.25">
      <c r="B473"/>
      <c r="C473"/>
      <c r="D473"/>
    </row>
    <row r="474" spans="2:4" x14ac:dyDescent="0.25">
      <c r="B474"/>
      <c r="C474"/>
      <c r="D474"/>
    </row>
    <row r="475" spans="2:4" x14ac:dyDescent="0.25">
      <c r="B475"/>
      <c r="C475"/>
      <c r="D475"/>
    </row>
    <row r="476" spans="2:4" x14ac:dyDescent="0.25">
      <c r="B476"/>
      <c r="C476"/>
      <c r="D476"/>
    </row>
    <row r="477" spans="2:4" x14ac:dyDescent="0.25">
      <c r="B477"/>
      <c r="C477"/>
      <c r="D477"/>
    </row>
    <row r="478" spans="2:4" x14ac:dyDescent="0.25">
      <c r="B478"/>
      <c r="C478"/>
      <c r="D478"/>
    </row>
    <row r="479" spans="2:4" x14ac:dyDescent="0.25">
      <c r="B479"/>
      <c r="C479"/>
      <c r="D479"/>
    </row>
    <row r="480" spans="2:4" x14ac:dyDescent="0.25">
      <c r="B480"/>
      <c r="C480"/>
      <c r="D480"/>
    </row>
    <row r="481" spans="2:4" x14ac:dyDescent="0.25">
      <c r="B481"/>
      <c r="C481"/>
      <c r="D481"/>
    </row>
    <row r="482" spans="2:4" x14ac:dyDescent="0.25">
      <c r="B482"/>
      <c r="C482"/>
      <c r="D482"/>
    </row>
    <row r="483" spans="2:4" x14ac:dyDescent="0.25">
      <c r="B483"/>
      <c r="C483"/>
      <c r="D483"/>
    </row>
    <row r="484" spans="2:4" x14ac:dyDescent="0.25">
      <c r="B484"/>
      <c r="C484"/>
      <c r="D484"/>
    </row>
    <row r="485" spans="2:4" x14ac:dyDescent="0.25">
      <c r="B485"/>
      <c r="C485"/>
      <c r="D485"/>
    </row>
    <row r="486" spans="2:4" x14ac:dyDescent="0.25">
      <c r="B486"/>
      <c r="C486"/>
      <c r="D486"/>
    </row>
    <row r="487" spans="2:4" x14ac:dyDescent="0.25">
      <c r="B487"/>
      <c r="C487"/>
      <c r="D487"/>
    </row>
    <row r="488" spans="2:4" x14ac:dyDescent="0.25">
      <c r="B488"/>
      <c r="C488"/>
      <c r="D488"/>
    </row>
    <row r="489" spans="2:4" x14ac:dyDescent="0.25">
      <c r="B489"/>
      <c r="C489"/>
      <c r="D489"/>
    </row>
    <row r="490" spans="2:4" x14ac:dyDescent="0.25">
      <c r="B490"/>
      <c r="C490"/>
      <c r="D490"/>
    </row>
    <row r="491" spans="2:4" x14ac:dyDescent="0.25">
      <c r="B491"/>
      <c r="C491"/>
      <c r="D491"/>
    </row>
    <row r="492" spans="2:4" x14ac:dyDescent="0.25">
      <c r="B492"/>
      <c r="C492"/>
      <c r="D492"/>
    </row>
    <row r="493" spans="2:4" x14ac:dyDescent="0.25">
      <c r="B493"/>
      <c r="C493"/>
      <c r="D493"/>
    </row>
    <row r="494" spans="2:4" x14ac:dyDescent="0.25">
      <c r="B494"/>
      <c r="C494"/>
      <c r="D494"/>
    </row>
    <row r="495" spans="2:4" x14ac:dyDescent="0.25">
      <c r="B495"/>
      <c r="C495"/>
      <c r="D495"/>
    </row>
    <row r="496" spans="2:4" x14ac:dyDescent="0.25">
      <c r="B496"/>
      <c r="C496"/>
      <c r="D496"/>
    </row>
    <row r="497" spans="2:4" x14ac:dyDescent="0.25">
      <c r="B497"/>
      <c r="C497"/>
      <c r="D497"/>
    </row>
    <row r="498" spans="2:4" x14ac:dyDescent="0.25">
      <c r="B498"/>
      <c r="C498"/>
      <c r="D498"/>
    </row>
    <row r="499" spans="2:4" x14ac:dyDescent="0.25">
      <c r="B499"/>
      <c r="C499"/>
      <c r="D499"/>
    </row>
    <row r="500" spans="2:4" x14ac:dyDescent="0.25">
      <c r="B500"/>
      <c r="C500"/>
      <c r="D500"/>
    </row>
    <row r="501" spans="2:4" x14ac:dyDescent="0.25">
      <c r="B501"/>
      <c r="C501"/>
      <c r="D501"/>
    </row>
    <row r="502" spans="2:4" x14ac:dyDescent="0.25">
      <c r="B502"/>
      <c r="C502"/>
      <c r="D502"/>
    </row>
    <row r="503" spans="2:4" x14ac:dyDescent="0.25">
      <c r="B503"/>
      <c r="C503"/>
      <c r="D503"/>
    </row>
    <row r="504" spans="2:4" x14ac:dyDescent="0.25">
      <c r="B504"/>
      <c r="C504"/>
      <c r="D504"/>
    </row>
    <row r="505" spans="2:4" x14ac:dyDescent="0.25">
      <c r="B505"/>
      <c r="C505"/>
      <c r="D505"/>
    </row>
    <row r="506" spans="2:4" x14ac:dyDescent="0.25">
      <c r="B506"/>
      <c r="C506"/>
      <c r="D506"/>
    </row>
    <row r="507" spans="2:4" x14ac:dyDescent="0.25">
      <c r="B507"/>
      <c r="C507"/>
      <c r="D507"/>
    </row>
    <row r="508" spans="2:4" x14ac:dyDescent="0.25">
      <c r="B508"/>
      <c r="C508"/>
      <c r="D508"/>
    </row>
    <row r="509" spans="2:4" x14ac:dyDescent="0.25">
      <c r="B509"/>
      <c r="C509"/>
      <c r="D509"/>
    </row>
    <row r="510" spans="2:4" x14ac:dyDescent="0.25">
      <c r="B510"/>
      <c r="C510"/>
      <c r="D510"/>
    </row>
    <row r="511" spans="2:4" x14ac:dyDescent="0.25">
      <c r="B511"/>
      <c r="C511"/>
      <c r="D511"/>
    </row>
    <row r="512" spans="2:4" x14ac:dyDescent="0.25">
      <c r="B512"/>
      <c r="C512"/>
      <c r="D512"/>
    </row>
    <row r="513" spans="2:4" x14ac:dyDescent="0.25">
      <c r="B513"/>
      <c r="C513"/>
      <c r="D513"/>
    </row>
    <row r="514" spans="2:4" x14ac:dyDescent="0.25">
      <c r="B514"/>
      <c r="C514"/>
      <c r="D514"/>
    </row>
    <row r="515" spans="2:4" x14ac:dyDescent="0.25">
      <c r="B515"/>
      <c r="C515"/>
      <c r="D515"/>
    </row>
    <row r="516" spans="2:4" x14ac:dyDescent="0.25">
      <c r="B516"/>
      <c r="C516"/>
      <c r="D516"/>
    </row>
    <row r="517" spans="2:4" x14ac:dyDescent="0.25">
      <c r="B517"/>
      <c r="C517"/>
      <c r="D517"/>
    </row>
    <row r="518" spans="2:4" x14ac:dyDescent="0.25">
      <c r="B518"/>
      <c r="C518"/>
      <c r="D518"/>
    </row>
    <row r="519" spans="2:4" x14ac:dyDescent="0.25">
      <c r="B519"/>
      <c r="C519"/>
      <c r="D519"/>
    </row>
    <row r="520" spans="2:4" x14ac:dyDescent="0.25">
      <c r="B520"/>
      <c r="C520"/>
      <c r="D520"/>
    </row>
    <row r="521" spans="2:4" x14ac:dyDescent="0.25">
      <c r="B521"/>
      <c r="C521"/>
      <c r="D521"/>
    </row>
    <row r="522" spans="2:4" x14ac:dyDescent="0.25">
      <c r="B522"/>
      <c r="C522"/>
      <c r="D522"/>
    </row>
    <row r="523" spans="2:4" x14ac:dyDescent="0.25">
      <c r="B523"/>
      <c r="C523"/>
      <c r="D523"/>
    </row>
    <row r="524" spans="2:4" x14ac:dyDescent="0.25">
      <c r="B524"/>
      <c r="C524"/>
      <c r="D524"/>
    </row>
    <row r="525" spans="2:4" x14ac:dyDescent="0.25">
      <c r="B525"/>
      <c r="C525"/>
      <c r="D525"/>
    </row>
    <row r="526" spans="2:4" x14ac:dyDescent="0.25">
      <c r="B526"/>
      <c r="C526"/>
      <c r="D526"/>
    </row>
    <row r="527" spans="2:4" x14ac:dyDescent="0.25">
      <c r="B527"/>
      <c r="C527"/>
      <c r="D527"/>
    </row>
    <row r="528" spans="2:4" x14ac:dyDescent="0.25">
      <c r="B528"/>
      <c r="C528"/>
      <c r="D528"/>
    </row>
    <row r="529" spans="2:4" x14ac:dyDescent="0.25">
      <c r="B529"/>
      <c r="C529"/>
      <c r="D529"/>
    </row>
    <row r="530" spans="2:4" x14ac:dyDescent="0.25">
      <c r="B530"/>
      <c r="C530"/>
      <c r="D530"/>
    </row>
    <row r="531" spans="2:4" x14ac:dyDescent="0.25">
      <c r="B531"/>
      <c r="C531"/>
      <c r="D531"/>
    </row>
    <row r="532" spans="2:4" x14ac:dyDescent="0.25">
      <c r="B532"/>
      <c r="C532"/>
      <c r="D532"/>
    </row>
    <row r="533" spans="2:4" x14ac:dyDescent="0.25">
      <c r="B533"/>
      <c r="C533"/>
      <c r="D533"/>
    </row>
    <row r="534" spans="2:4" x14ac:dyDescent="0.25">
      <c r="B534"/>
      <c r="C534"/>
      <c r="D534"/>
    </row>
    <row r="535" spans="2:4" x14ac:dyDescent="0.25">
      <c r="B535"/>
      <c r="C535"/>
      <c r="D535"/>
    </row>
    <row r="536" spans="2:4" x14ac:dyDescent="0.25">
      <c r="B536"/>
      <c r="C536"/>
      <c r="D536"/>
    </row>
    <row r="537" spans="2:4" x14ac:dyDescent="0.25">
      <c r="B537"/>
      <c r="C537"/>
      <c r="D537"/>
    </row>
    <row r="538" spans="2:4" x14ac:dyDescent="0.25">
      <c r="B538"/>
      <c r="C538"/>
      <c r="D538"/>
    </row>
    <row r="539" spans="2:4" x14ac:dyDescent="0.25">
      <c r="B539"/>
      <c r="C539"/>
      <c r="D539"/>
    </row>
    <row r="540" spans="2:4" x14ac:dyDescent="0.25">
      <c r="B540"/>
      <c r="C540"/>
      <c r="D540"/>
    </row>
    <row r="541" spans="2:4" x14ac:dyDescent="0.25">
      <c r="B541"/>
      <c r="C541"/>
      <c r="D541"/>
    </row>
    <row r="542" spans="2:4" x14ac:dyDescent="0.25">
      <c r="B542"/>
      <c r="C542"/>
      <c r="D542"/>
    </row>
    <row r="543" spans="2:4" x14ac:dyDescent="0.25">
      <c r="B543"/>
      <c r="C543"/>
      <c r="D543"/>
    </row>
    <row r="544" spans="2:4" x14ac:dyDescent="0.25">
      <c r="B544"/>
      <c r="C544"/>
      <c r="D544"/>
    </row>
    <row r="545" spans="2:4" x14ac:dyDescent="0.25">
      <c r="B545"/>
      <c r="C545"/>
      <c r="D545"/>
    </row>
    <row r="546" spans="2:4" x14ac:dyDescent="0.25">
      <c r="B546"/>
      <c r="C546"/>
      <c r="D546"/>
    </row>
    <row r="547" spans="2:4" x14ac:dyDescent="0.25">
      <c r="B547"/>
      <c r="C547"/>
      <c r="D547"/>
    </row>
    <row r="548" spans="2:4" x14ac:dyDescent="0.25">
      <c r="B548"/>
      <c r="C548"/>
      <c r="D548"/>
    </row>
    <row r="549" spans="2:4" x14ac:dyDescent="0.25">
      <c r="B549"/>
      <c r="C549"/>
      <c r="D549"/>
    </row>
    <row r="550" spans="2:4" x14ac:dyDescent="0.25">
      <c r="B550"/>
      <c r="C550"/>
      <c r="D550"/>
    </row>
    <row r="551" spans="2:4" x14ac:dyDescent="0.25">
      <c r="B551"/>
      <c r="C551"/>
      <c r="D551"/>
    </row>
    <row r="552" spans="2:4" x14ac:dyDescent="0.25">
      <c r="B552"/>
      <c r="C552"/>
      <c r="D552"/>
    </row>
    <row r="553" spans="2:4" x14ac:dyDescent="0.25">
      <c r="B553"/>
      <c r="C553"/>
      <c r="D553"/>
    </row>
    <row r="554" spans="2:4" x14ac:dyDescent="0.25">
      <c r="B554"/>
      <c r="C554"/>
      <c r="D554"/>
    </row>
    <row r="555" spans="2:4" x14ac:dyDescent="0.25">
      <c r="B555"/>
      <c r="C555"/>
      <c r="D555"/>
    </row>
    <row r="556" spans="2:4" x14ac:dyDescent="0.25">
      <c r="B556"/>
      <c r="C556"/>
      <c r="D556"/>
    </row>
    <row r="557" spans="2:4" x14ac:dyDescent="0.25">
      <c r="B557"/>
      <c r="C557"/>
      <c r="D557"/>
    </row>
    <row r="558" spans="2:4" x14ac:dyDescent="0.25">
      <c r="B558"/>
      <c r="C558"/>
      <c r="D558"/>
    </row>
    <row r="559" spans="2:4" x14ac:dyDescent="0.25">
      <c r="B559"/>
      <c r="C559"/>
      <c r="D559"/>
    </row>
    <row r="560" spans="2:4" x14ac:dyDescent="0.25">
      <c r="B560"/>
      <c r="C560"/>
      <c r="D560"/>
    </row>
    <row r="561" spans="2:4" x14ac:dyDescent="0.25">
      <c r="B561"/>
      <c r="C561"/>
      <c r="D561"/>
    </row>
    <row r="562" spans="2:4" x14ac:dyDescent="0.25">
      <c r="B562"/>
      <c r="C562"/>
      <c r="D562"/>
    </row>
    <row r="563" spans="2:4" x14ac:dyDescent="0.25">
      <c r="B563"/>
      <c r="C563"/>
      <c r="D563"/>
    </row>
    <row r="564" spans="2:4" x14ac:dyDescent="0.25">
      <c r="B564"/>
      <c r="C564"/>
      <c r="D564"/>
    </row>
    <row r="565" spans="2:4" x14ac:dyDescent="0.25">
      <c r="B565"/>
      <c r="C565"/>
      <c r="D565"/>
    </row>
    <row r="566" spans="2:4" x14ac:dyDescent="0.25">
      <c r="B566"/>
      <c r="C566"/>
      <c r="D566"/>
    </row>
    <row r="567" spans="2:4" x14ac:dyDescent="0.25">
      <c r="B567"/>
      <c r="C567"/>
      <c r="D567"/>
    </row>
    <row r="568" spans="2:4" x14ac:dyDescent="0.25">
      <c r="B568"/>
      <c r="C568"/>
      <c r="D568"/>
    </row>
    <row r="569" spans="2:4" x14ac:dyDescent="0.25">
      <c r="B569"/>
      <c r="C569"/>
      <c r="D569"/>
    </row>
    <row r="570" spans="2:4" x14ac:dyDescent="0.25">
      <c r="B570"/>
      <c r="C570"/>
      <c r="D570"/>
    </row>
    <row r="571" spans="2:4" x14ac:dyDescent="0.25">
      <c r="B571"/>
      <c r="C571"/>
      <c r="D571"/>
    </row>
    <row r="572" spans="2:4" x14ac:dyDescent="0.25">
      <c r="B572"/>
      <c r="C572"/>
      <c r="D572"/>
    </row>
    <row r="573" spans="2:4" x14ac:dyDescent="0.25">
      <c r="B573"/>
      <c r="C573"/>
      <c r="D573"/>
    </row>
    <row r="574" spans="2:4" x14ac:dyDescent="0.25">
      <c r="B574"/>
      <c r="C574"/>
      <c r="D574"/>
    </row>
    <row r="575" spans="2:4" x14ac:dyDescent="0.25">
      <c r="B575"/>
      <c r="C575"/>
      <c r="D575"/>
    </row>
    <row r="576" spans="2:4" x14ac:dyDescent="0.25">
      <c r="B576"/>
      <c r="C576"/>
      <c r="D576"/>
    </row>
    <row r="577" spans="2:4" x14ac:dyDescent="0.25">
      <c r="B577"/>
      <c r="C577"/>
      <c r="D577"/>
    </row>
    <row r="578" spans="2:4" x14ac:dyDescent="0.25">
      <c r="B578"/>
      <c r="C578"/>
      <c r="D578"/>
    </row>
    <row r="579" spans="2:4" x14ac:dyDescent="0.25">
      <c r="B579"/>
      <c r="C579"/>
      <c r="D579"/>
    </row>
    <row r="580" spans="2:4" x14ac:dyDescent="0.25">
      <c r="B580"/>
      <c r="C580"/>
      <c r="D580"/>
    </row>
    <row r="581" spans="2:4" x14ac:dyDescent="0.25">
      <c r="B581"/>
      <c r="C581"/>
      <c r="D581"/>
    </row>
    <row r="582" spans="2:4" x14ac:dyDescent="0.25">
      <c r="B582"/>
      <c r="C582"/>
      <c r="D582"/>
    </row>
    <row r="583" spans="2:4" x14ac:dyDescent="0.25">
      <c r="B583"/>
      <c r="C583"/>
      <c r="D583"/>
    </row>
    <row r="584" spans="2:4" x14ac:dyDescent="0.25">
      <c r="B584"/>
      <c r="C584"/>
      <c r="D584"/>
    </row>
    <row r="585" spans="2:4" x14ac:dyDescent="0.25">
      <c r="B585"/>
      <c r="C585"/>
      <c r="D585"/>
    </row>
    <row r="586" spans="2:4" x14ac:dyDescent="0.25">
      <c r="B586"/>
      <c r="C586"/>
      <c r="D586"/>
    </row>
    <row r="587" spans="2:4" x14ac:dyDescent="0.25">
      <c r="B587"/>
      <c r="C587"/>
      <c r="D587"/>
    </row>
    <row r="588" spans="2:4" x14ac:dyDescent="0.25">
      <c r="B588"/>
      <c r="C588"/>
      <c r="D588"/>
    </row>
    <row r="589" spans="2:4" x14ac:dyDescent="0.25">
      <c r="B589"/>
      <c r="C589"/>
      <c r="D589"/>
    </row>
    <row r="590" spans="2:4" x14ac:dyDescent="0.25">
      <c r="B590"/>
      <c r="C590"/>
      <c r="D590"/>
    </row>
    <row r="591" spans="2:4" x14ac:dyDescent="0.25">
      <c r="B591"/>
      <c r="C591"/>
      <c r="D591"/>
    </row>
    <row r="592" spans="2:4" x14ac:dyDescent="0.25">
      <c r="B592"/>
      <c r="C592"/>
      <c r="D592"/>
    </row>
    <row r="593" spans="2:4" x14ac:dyDescent="0.25">
      <c r="B593"/>
      <c r="C593"/>
      <c r="D593"/>
    </row>
    <row r="594" spans="2:4" x14ac:dyDescent="0.25">
      <c r="B594"/>
      <c r="C594"/>
      <c r="D594"/>
    </row>
    <row r="595" spans="2:4" x14ac:dyDescent="0.25">
      <c r="B595"/>
      <c r="C595"/>
      <c r="D595"/>
    </row>
    <row r="596" spans="2:4" x14ac:dyDescent="0.25">
      <c r="B596"/>
      <c r="C596"/>
      <c r="D596"/>
    </row>
    <row r="597" spans="2:4" x14ac:dyDescent="0.25">
      <c r="B597"/>
      <c r="C597"/>
      <c r="D597"/>
    </row>
    <row r="598" spans="2:4" x14ac:dyDescent="0.25">
      <c r="B598"/>
      <c r="C598"/>
      <c r="D598"/>
    </row>
    <row r="599" spans="2:4" x14ac:dyDescent="0.25">
      <c r="B599"/>
      <c r="C599"/>
      <c r="D599"/>
    </row>
    <row r="600" spans="2:4" x14ac:dyDescent="0.25">
      <c r="B600"/>
      <c r="C600"/>
      <c r="D600"/>
    </row>
    <row r="601" spans="2:4" x14ac:dyDescent="0.25">
      <c r="B601"/>
      <c r="C601"/>
      <c r="D601"/>
    </row>
    <row r="602" spans="2:4" x14ac:dyDescent="0.25">
      <c r="B602"/>
      <c r="C602"/>
      <c r="D602"/>
    </row>
    <row r="603" spans="2:4" x14ac:dyDescent="0.25">
      <c r="B603"/>
      <c r="C603"/>
      <c r="D603"/>
    </row>
    <row r="604" spans="2:4" x14ac:dyDescent="0.25">
      <c r="B604"/>
      <c r="C604"/>
      <c r="D604"/>
    </row>
    <row r="605" spans="2:4" x14ac:dyDescent="0.25">
      <c r="B605"/>
      <c r="C605"/>
      <c r="D605"/>
    </row>
    <row r="606" spans="2:4" x14ac:dyDescent="0.25">
      <c r="B606"/>
      <c r="C606"/>
      <c r="D606"/>
    </row>
    <row r="607" spans="2:4" x14ac:dyDescent="0.25">
      <c r="B607"/>
      <c r="C607"/>
      <c r="D607"/>
    </row>
    <row r="608" spans="2:4" x14ac:dyDescent="0.25">
      <c r="B608"/>
      <c r="C608"/>
      <c r="D608"/>
    </row>
    <row r="609" spans="2:4" x14ac:dyDescent="0.25">
      <c r="B609"/>
      <c r="C609"/>
      <c r="D609"/>
    </row>
    <row r="610" spans="2:4" x14ac:dyDescent="0.25">
      <c r="B610"/>
      <c r="C610"/>
      <c r="D610"/>
    </row>
    <row r="611" spans="2:4" x14ac:dyDescent="0.25">
      <c r="B611"/>
      <c r="C611"/>
      <c r="D611"/>
    </row>
    <row r="612" spans="2:4" x14ac:dyDescent="0.25">
      <c r="B612"/>
      <c r="C612"/>
      <c r="D612"/>
    </row>
  </sheetData>
  <mergeCells count="1">
    <mergeCell ref="B2:P3"/>
  </mergeCells>
  <pageMargins left="0.511811024" right="0.511811024" top="0.78740157499999996" bottom="0.78740157499999996" header="0.31496062000000002" footer="0.31496062000000002"/>
  <pageSetup paperSize="9" orientation="portrait" horizontalDpi="0" verticalDpi="0" r:id="rId2"/>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P1647"/>
  <sheetViews>
    <sheetView workbookViewId="0">
      <selection activeCell="A12" sqref="A12"/>
    </sheetView>
  </sheetViews>
  <sheetFormatPr defaultRowHeight="15" x14ac:dyDescent="0.25"/>
  <cols>
    <col min="2" max="2" width="9.7109375" customWidth="1"/>
    <col min="3" max="3" width="13.5703125" customWidth="1"/>
    <col min="4" max="4" width="14.7109375" customWidth="1"/>
    <col min="5" max="5" width="70.85546875" hidden="1" customWidth="1"/>
    <col min="6" max="6" width="28.85546875" customWidth="1"/>
    <col min="7" max="7" width="24.85546875" customWidth="1"/>
    <col min="8" max="8" width="21.28515625" customWidth="1"/>
    <col min="9" max="9" width="25" customWidth="1"/>
  </cols>
  <sheetData>
    <row r="2" spans="2:10" ht="27" customHeight="1" thickBot="1" x14ac:dyDescent="0.3">
      <c r="B2" s="15" t="s">
        <v>2440</v>
      </c>
      <c r="C2" s="15" t="s">
        <v>2439</v>
      </c>
      <c r="D2" s="15" t="s">
        <v>2438</v>
      </c>
      <c r="E2" s="15" t="s">
        <v>2437</v>
      </c>
      <c r="F2" s="15" t="s">
        <v>3147</v>
      </c>
      <c r="G2" s="15" t="s">
        <v>3148</v>
      </c>
      <c r="H2" s="15" t="s">
        <v>3149</v>
      </c>
      <c r="I2" s="15" t="s">
        <v>3159</v>
      </c>
    </row>
    <row r="3" spans="2:10" ht="30" x14ac:dyDescent="0.25">
      <c r="B3" s="6">
        <v>1</v>
      </c>
      <c r="C3" s="6">
        <v>1</v>
      </c>
      <c r="D3" s="6" t="s">
        <v>2283</v>
      </c>
      <c r="E3" s="5" t="s">
        <v>2282</v>
      </c>
      <c r="F3" s="5" t="s">
        <v>2282</v>
      </c>
      <c r="J3">
        <f>1</f>
        <v>1</v>
      </c>
    </row>
    <row r="4" spans="2:10" x14ac:dyDescent="0.25">
      <c r="B4" s="1">
        <v>2</v>
      </c>
      <c r="C4" s="1">
        <v>1</v>
      </c>
      <c r="D4" s="10">
        <v>1</v>
      </c>
      <c r="E4" s="12" t="s">
        <v>2436</v>
      </c>
      <c r="F4" s="12" t="s">
        <v>2436</v>
      </c>
    </row>
    <row r="5" spans="2:10" ht="30" x14ac:dyDescent="0.25">
      <c r="B5" s="2">
        <f t="shared" ref="B5:B68" si="0">+B4+1</f>
        <v>3</v>
      </c>
      <c r="C5" s="2">
        <v>1</v>
      </c>
      <c r="D5" s="2" t="s">
        <v>2435</v>
      </c>
      <c r="E5" s="4" t="s">
        <v>2434</v>
      </c>
      <c r="F5" s="3" t="s">
        <v>2434</v>
      </c>
    </row>
    <row r="6" spans="2:10" x14ac:dyDescent="0.25">
      <c r="B6" s="1">
        <f t="shared" si="0"/>
        <v>4</v>
      </c>
      <c r="C6" s="1">
        <v>1</v>
      </c>
      <c r="D6" s="2">
        <v>2</v>
      </c>
      <c r="E6" s="4" t="s">
        <v>2433</v>
      </c>
      <c r="F6" s="4" t="s">
        <v>2433</v>
      </c>
    </row>
    <row r="7" spans="2:10" x14ac:dyDescent="0.25">
      <c r="B7" s="2">
        <f t="shared" si="0"/>
        <v>5</v>
      </c>
      <c r="C7" s="2">
        <v>1</v>
      </c>
      <c r="D7" s="2">
        <v>3</v>
      </c>
      <c r="E7" s="4" t="s">
        <v>2432</v>
      </c>
      <c r="F7" s="3" t="s">
        <v>2432</v>
      </c>
    </row>
    <row r="8" spans="2:10" x14ac:dyDescent="0.25">
      <c r="B8" s="1">
        <f t="shared" si="0"/>
        <v>6</v>
      </c>
      <c r="C8" s="1">
        <v>1</v>
      </c>
      <c r="D8" s="2">
        <v>4</v>
      </c>
      <c r="E8" s="4" t="s">
        <v>2431</v>
      </c>
      <c r="F8" s="4" t="s">
        <v>2431</v>
      </c>
    </row>
    <row r="9" spans="2:10" x14ac:dyDescent="0.25">
      <c r="B9" s="2">
        <f t="shared" si="0"/>
        <v>7</v>
      </c>
      <c r="C9" s="2">
        <v>1</v>
      </c>
      <c r="D9" s="2">
        <v>5</v>
      </c>
      <c r="E9" s="4" t="s">
        <v>2430</v>
      </c>
      <c r="F9" s="3" t="s">
        <v>2430</v>
      </c>
    </row>
    <row r="10" spans="2:10" x14ac:dyDescent="0.25">
      <c r="B10" s="1">
        <f t="shared" si="0"/>
        <v>8</v>
      </c>
      <c r="C10" s="1">
        <v>1</v>
      </c>
      <c r="D10" s="2">
        <v>6</v>
      </c>
      <c r="E10" s="4" t="s">
        <v>2429</v>
      </c>
      <c r="F10" s="4" t="s">
        <v>2429</v>
      </c>
    </row>
    <row r="11" spans="2:10" x14ac:dyDescent="0.25">
      <c r="B11" s="2">
        <f t="shared" si="0"/>
        <v>9</v>
      </c>
      <c r="C11" s="2">
        <v>2</v>
      </c>
      <c r="D11" s="2">
        <v>1</v>
      </c>
      <c r="E11" s="4" t="s">
        <v>1116</v>
      </c>
      <c r="F11" s="3" t="s">
        <v>2802</v>
      </c>
      <c r="G11" t="s">
        <v>2803</v>
      </c>
    </row>
    <row r="12" spans="2:10" x14ac:dyDescent="0.25">
      <c r="B12" s="1">
        <f t="shared" si="0"/>
        <v>10</v>
      </c>
      <c r="C12" s="1">
        <v>1</v>
      </c>
      <c r="D12" s="1">
        <v>7</v>
      </c>
      <c r="E12" s="3" t="s">
        <v>2428</v>
      </c>
      <c r="F12" s="3" t="s">
        <v>2428</v>
      </c>
    </row>
    <row r="13" spans="2:10" x14ac:dyDescent="0.25">
      <c r="B13" s="2">
        <f t="shared" si="0"/>
        <v>11</v>
      </c>
      <c r="C13" s="2">
        <v>1</v>
      </c>
      <c r="D13" s="2">
        <v>8</v>
      </c>
      <c r="E13" s="4" t="s">
        <v>2427</v>
      </c>
      <c r="F13" s="4" t="s">
        <v>2427</v>
      </c>
    </row>
    <row r="14" spans="2:10" x14ac:dyDescent="0.25">
      <c r="B14" s="1">
        <f t="shared" si="0"/>
        <v>12</v>
      </c>
      <c r="C14" s="1">
        <v>1</v>
      </c>
      <c r="D14" s="1">
        <v>9</v>
      </c>
      <c r="E14" s="3" t="s">
        <v>2426</v>
      </c>
      <c r="F14" s="3" t="s">
        <v>2426</v>
      </c>
    </row>
    <row r="15" spans="2:10" x14ac:dyDescent="0.25">
      <c r="B15" s="2">
        <f t="shared" si="0"/>
        <v>13</v>
      </c>
      <c r="C15" s="2">
        <v>2</v>
      </c>
      <c r="D15" s="2">
        <v>2</v>
      </c>
      <c r="E15" s="4" t="s">
        <v>1115</v>
      </c>
      <c r="F15" s="3" t="s">
        <v>2804</v>
      </c>
      <c r="G15" t="s">
        <v>2805</v>
      </c>
    </row>
    <row r="16" spans="2:10" x14ac:dyDescent="0.25">
      <c r="B16" s="1">
        <f t="shared" si="0"/>
        <v>14</v>
      </c>
      <c r="C16" s="1">
        <v>1</v>
      </c>
      <c r="D16" s="2">
        <v>10</v>
      </c>
      <c r="E16" s="4" t="s">
        <v>2425</v>
      </c>
      <c r="F16" s="4" t="s">
        <v>2425</v>
      </c>
    </row>
    <row r="17" spans="2:11" x14ac:dyDescent="0.25">
      <c r="B17" s="2">
        <f t="shared" si="0"/>
        <v>15</v>
      </c>
      <c r="C17" s="2">
        <v>1</v>
      </c>
      <c r="D17" s="2">
        <v>11</v>
      </c>
      <c r="E17" s="4" t="s">
        <v>2424</v>
      </c>
      <c r="F17" s="3" t="s">
        <v>2424</v>
      </c>
    </row>
    <row r="18" spans="2:11" x14ac:dyDescent="0.25">
      <c r="B18" s="1">
        <f t="shared" si="0"/>
        <v>16</v>
      </c>
      <c r="C18" s="1">
        <v>1</v>
      </c>
      <c r="D18" s="2">
        <v>12</v>
      </c>
      <c r="E18" s="4" t="s">
        <v>2423</v>
      </c>
      <c r="F18" s="4" t="s">
        <v>2423</v>
      </c>
    </row>
    <row r="19" spans="2:11" x14ac:dyDescent="0.25">
      <c r="B19" s="2">
        <f t="shared" si="0"/>
        <v>17</v>
      </c>
      <c r="C19" s="2">
        <v>1</v>
      </c>
      <c r="D19" s="2">
        <v>13</v>
      </c>
      <c r="E19" s="4" t="s">
        <v>2422</v>
      </c>
      <c r="F19" s="3" t="s">
        <v>2422</v>
      </c>
    </row>
    <row r="20" spans="2:11" x14ac:dyDescent="0.25">
      <c r="B20" s="1">
        <f t="shared" si="0"/>
        <v>18</v>
      </c>
      <c r="C20" s="1">
        <v>2</v>
      </c>
      <c r="D20" s="1">
        <v>3</v>
      </c>
      <c r="E20" s="3" t="s">
        <v>1114</v>
      </c>
      <c r="F20" s="3" t="s">
        <v>2422</v>
      </c>
      <c r="G20" t="s">
        <v>2806</v>
      </c>
    </row>
    <row r="21" spans="2:11" x14ac:dyDescent="0.25">
      <c r="B21" s="2">
        <f t="shared" si="0"/>
        <v>19</v>
      </c>
      <c r="C21" s="2">
        <v>2</v>
      </c>
      <c r="D21" s="2">
        <v>4</v>
      </c>
      <c r="E21" s="4" t="s">
        <v>1113</v>
      </c>
      <c r="F21" s="3" t="s">
        <v>2422</v>
      </c>
      <c r="G21" t="s">
        <v>2807</v>
      </c>
    </row>
    <row r="22" spans="2:11" x14ac:dyDescent="0.25">
      <c r="B22" s="1">
        <f t="shared" si="0"/>
        <v>20</v>
      </c>
      <c r="C22" s="1">
        <v>2</v>
      </c>
      <c r="D22" s="1">
        <v>5</v>
      </c>
      <c r="E22" s="3" t="s">
        <v>1112</v>
      </c>
      <c r="F22" s="3" t="s">
        <v>2808</v>
      </c>
      <c r="G22" t="s">
        <v>2806</v>
      </c>
    </row>
    <row r="23" spans="2:11" ht="30" x14ac:dyDescent="0.25">
      <c r="B23" s="2">
        <f t="shared" si="0"/>
        <v>21</v>
      </c>
      <c r="C23" s="2">
        <v>2</v>
      </c>
      <c r="D23" s="2">
        <v>6</v>
      </c>
      <c r="E23" s="4" t="s">
        <v>1111</v>
      </c>
      <c r="F23" s="3" t="s">
        <v>2809</v>
      </c>
      <c r="G23" t="s">
        <v>2810</v>
      </c>
      <c r="H23" t="s">
        <v>2811</v>
      </c>
    </row>
    <row r="24" spans="2:11" ht="45" x14ac:dyDescent="0.25">
      <c r="B24" s="1">
        <f t="shared" si="0"/>
        <v>22</v>
      </c>
      <c r="C24" s="1">
        <v>1</v>
      </c>
      <c r="D24" s="2" t="s">
        <v>2421</v>
      </c>
      <c r="E24" s="4" t="s">
        <v>2420</v>
      </c>
      <c r="F24" s="4" t="s">
        <v>2420</v>
      </c>
    </row>
    <row r="25" spans="2:11" x14ac:dyDescent="0.25">
      <c r="B25" s="2">
        <f t="shared" si="0"/>
        <v>23</v>
      </c>
      <c r="C25" s="2">
        <v>1</v>
      </c>
      <c r="D25" s="2">
        <v>14</v>
      </c>
      <c r="E25" s="4" t="s">
        <v>2419</v>
      </c>
      <c r="F25" s="3" t="s">
        <v>2419</v>
      </c>
    </row>
    <row r="26" spans="2:11" x14ac:dyDescent="0.25">
      <c r="B26" s="1">
        <f t="shared" si="0"/>
        <v>24</v>
      </c>
      <c r="C26" s="1">
        <v>1</v>
      </c>
      <c r="D26" s="2">
        <v>15</v>
      </c>
      <c r="E26" s="4" t="s">
        <v>2418</v>
      </c>
      <c r="F26" s="4" t="s">
        <v>2418</v>
      </c>
    </row>
    <row r="27" spans="2:11" ht="30" x14ac:dyDescent="0.25">
      <c r="B27" s="2">
        <f t="shared" si="0"/>
        <v>25</v>
      </c>
      <c r="C27" s="2">
        <v>2</v>
      </c>
      <c r="D27" s="2">
        <v>7</v>
      </c>
      <c r="E27" s="4" t="s">
        <v>1110</v>
      </c>
      <c r="F27" s="3" t="s">
        <v>2418</v>
      </c>
      <c r="G27" t="s">
        <v>2812</v>
      </c>
      <c r="H27" t="s">
        <v>2813</v>
      </c>
      <c r="I27" t="s">
        <v>2814</v>
      </c>
    </row>
    <row r="28" spans="2:11" x14ac:dyDescent="0.25">
      <c r="B28" s="1">
        <f t="shared" si="0"/>
        <v>26</v>
      </c>
      <c r="C28" s="1">
        <v>2</v>
      </c>
      <c r="D28" s="1">
        <v>8</v>
      </c>
      <c r="E28" s="3" t="s">
        <v>1109</v>
      </c>
      <c r="F28" s="3" t="s">
        <v>2418</v>
      </c>
      <c r="G28" t="s">
        <v>2815</v>
      </c>
    </row>
    <row r="29" spans="2:11" ht="30" x14ac:dyDescent="0.25">
      <c r="B29" s="2">
        <f t="shared" si="0"/>
        <v>27</v>
      </c>
      <c r="C29" s="2">
        <v>3</v>
      </c>
      <c r="D29" s="2">
        <v>1</v>
      </c>
      <c r="E29" s="4" t="s">
        <v>735</v>
      </c>
      <c r="F29" s="3" t="s">
        <v>735</v>
      </c>
    </row>
    <row r="30" spans="2:11" ht="30" x14ac:dyDescent="0.25">
      <c r="B30" s="1">
        <f t="shared" si="0"/>
        <v>28</v>
      </c>
      <c r="C30" s="1">
        <v>1</v>
      </c>
      <c r="D30" s="1">
        <v>16</v>
      </c>
      <c r="E30" s="3" t="s">
        <v>2417</v>
      </c>
      <c r="F30" s="3" t="s">
        <v>2417</v>
      </c>
    </row>
    <row r="31" spans="2:11" ht="30" x14ac:dyDescent="0.25">
      <c r="B31" s="2">
        <f t="shared" si="0"/>
        <v>29</v>
      </c>
      <c r="C31" s="2">
        <v>2</v>
      </c>
      <c r="D31" s="2">
        <v>9</v>
      </c>
      <c r="E31" s="4" t="s">
        <v>1108</v>
      </c>
      <c r="F31" s="3" t="s">
        <v>2417</v>
      </c>
      <c r="G31" t="s">
        <v>2816</v>
      </c>
      <c r="H31" t="s">
        <v>2817</v>
      </c>
      <c r="I31" t="s">
        <v>2818</v>
      </c>
      <c r="J31" t="s">
        <v>2819</v>
      </c>
      <c r="K31" t="s">
        <v>2820</v>
      </c>
    </row>
    <row r="32" spans="2:11" ht="30" x14ac:dyDescent="0.25">
      <c r="B32" s="1">
        <f t="shared" si="0"/>
        <v>30</v>
      </c>
      <c r="C32" s="1">
        <v>2</v>
      </c>
      <c r="D32" s="1">
        <v>10</v>
      </c>
      <c r="E32" s="3" t="s">
        <v>1107</v>
      </c>
      <c r="F32" s="3" t="s">
        <v>2417</v>
      </c>
      <c r="G32" t="s">
        <v>2816</v>
      </c>
      <c r="H32" t="s">
        <v>2819</v>
      </c>
      <c r="I32" t="s">
        <v>2820</v>
      </c>
      <c r="J32" t="s">
        <v>2821</v>
      </c>
    </row>
    <row r="33" spans="2:7" x14ac:dyDescent="0.25">
      <c r="B33" s="2">
        <f t="shared" si="0"/>
        <v>31</v>
      </c>
      <c r="C33" s="2">
        <v>1</v>
      </c>
      <c r="D33" s="2">
        <v>17</v>
      </c>
      <c r="E33" s="4" t="s">
        <v>2416</v>
      </c>
      <c r="F33" s="4" t="s">
        <v>2416</v>
      </c>
    </row>
    <row r="34" spans="2:7" x14ac:dyDescent="0.25">
      <c r="B34" s="1">
        <f t="shared" si="0"/>
        <v>32</v>
      </c>
      <c r="C34" s="1">
        <v>1</v>
      </c>
      <c r="D34" s="1">
        <v>18</v>
      </c>
      <c r="E34" s="3" t="s">
        <v>2415</v>
      </c>
      <c r="F34" s="3" t="s">
        <v>2415</v>
      </c>
    </row>
    <row r="35" spans="2:7" x14ac:dyDescent="0.25">
      <c r="B35" s="2">
        <f t="shared" si="0"/>
        <v>33</v>
      </c>
      <c r="C35" s="2">
        <v>1</v>
      </c>
      <c r="D35" s="2">
        <v>19</v>
      </c>
      <c r="E35" s="4" t="s">
        <v>2414</v>
      </c>
      <c r="F35" s="4" t="s">
        <v>2414</v>
      </c>
    </row>
    <row r="36" spans="2:7" x14ac:dyDescent="0.25">
      <c r="B36" s="1">
        <f t="shared" si="0"/>
        <v>34</v>
      </c>
      <c r="C36" s="1">
        <v>1</v>
      </c>
      <c r="D36" s="1">
        <v>20</v>
      </c>
      <c r="E36" s="3" t="s">
        <v>2413</v>
      </c>
      <c r="F36" s="3" t="s">
        <v>2413</v>
      </c>
    </row>
    <row r="37" spans="2:7" x14ac:dyDescent="0.25">
      <c r="B37" s="2">
        <f t="shared" si="0"/>
        <v>35</v>
      </c>
      <c r="C37" s="2">
        <v>1</v>
      </c>
      <c r="D37" s="2">
        <v>21</v>
      </c>
      <c r="E37" s="4" t="s">
        <v>2412</v>
      </c>
      <c r="F37" s="4" t="s">
        <v>2412</v>
      </c>
    </row>
    <row r="38" spans="2:7" x14ac:dyDescent="0.25">
      <c r="B38" s="1">
        <f t="shared" si="0"/>
        <v>36</v>
      </c>
      <c r="C38" s="1">
        <v>1</v>
      </c>
      <c r="D38" s="1">
        <v>22</v>
      </c>
      <c r="E38" s="3" t="s">
        <v>2411</v>
      </c>
      <c r="F38" s="3" t="s">
        <v>2411</v>
      </c>
    </row>
    <row r="39" spans="2:7" x14ac:dyDescent="0.25">
      <c r="B39" s="2">
        <f t="shared" si="0"/>
        <v>37</v>
      </c>
      <c r="C39" s="2">
        <v>3</v>
      </c>
      <c r="D39" s="2">
        <v>2</v>
      </c>
      <c r="E39" s="4" t="s">
        <v>734</v>
      </c>
      <c r="F39" s="3" t="s">
        <v>734</v>
      </c>
    </row>
    <row r="40" spans="2:7" x14ac:dyDescent="0.25">
      <c r="B40" s="1">
        <f t="shared" si="0"/>
        <v>38</v>
      </c>
      <c r="C40" s="1">
        <v>3</v>
      </c>
      <c r="D40" s="1">
        <v>3</v>
      </c>
      <c r="E40" s="3" t="s">
        <v>733</v>
      </c>
      <c r="F40" s="3" t="s">
        <v>733</v>
      </c>
    </row>
    <row r="41" spans="2:7" ht="30" x14ac:dyDescent="0.25">
      <c r="B41" s="2">
        <f t="shared" si="0"/>
        <v>39</v>
      </c>
      <c r="C41" s="2">
        <v>1</v>
      </c>
      <c r="D41" s="2">
        <v>23</v>
      </c>
      <c r="E41" s="4" t="s">
        <v>2410</v>
      </c>
      <c r="F41" s="4" t="s">
        <v>2410</v>
      </c>
    </row>
    <row r="42" spans="2:7" ht="30" x14ac:dyDescent="0.25">
      <c r="B42" s="1">
        <f t="shared" si="0"/>
        <v>40</v>
      </c>
      <c r="C42" s="1">
        <v>2</v>
      </c>
      <c r="D42" s="1">
        <v>11</v>
      </c>
      <c r="E42" s="3" t="s">
        <v>1106</v>
      </c>
      <c r="F42" s="3" t="s">
        <v>2410</v>
      </c>
      <c r="G42" t="s">
        <v>2822</v>
      </c>
    </row>
    <row r="43" spans="2:7" ht="30" x14ac:dyDescent="0.25">
      <c r="B43" s="2">
        <f t="shared" si="0"/>
        <v>41</v>
      </c>
      <c r="C43" s="2">
        <v>2</v>
      </c>
      <c r="D43" s="2">
        <v>12</v>
      </c>
      <c r="E43" s="4" t="s">
        <v>1105</v>
      </c>
      <c r="F43" s="3" t="s">
        <v>2410</v>
      </c>
      <c r="G43" t="s">
        <v>2823</v>
      </c>
    </row>
    <row r="44" spans="2:7" ht="30" x14ac:dyDescent="0.25">
      <c r="B44" s="1">
        <f t="shared" si="0"/>
        <v>42</v>
      </c>
      <c r="C44" s="1">
        <v>2</v>
      </c>
      <c r="D44" s="1">
        <v>13</v>
      </c>
      <c r="E44" s="3" t="s">
        <v>1104</v>
      </c>
      <c r="F44" s="3" t="s">
        <v>2410</v>
      </c>
      <c r="G44" t="s">
        <v>2807</v>
      </c>
    </row>
    <row r="45" spans="2:7" x14ac:dyDescent="0.25">
      <c r="B45" s="2">
        <f t="shared" si="0"/>
        <v>43</v>
      </c>
      <c r="C45" s="2">
        <v>1</v>
      </c>
      <c r="D45" s="2">
        <v>24</v>
      </c>
      <c r="E45" s="4" t="s">
        <v>2409</v>
      </c>
      <c r="F45" s="3" t="s">
        <v>2409</v>
      </c>
    </row>
    <row r="46" spans="2:7" ht="30" x14ac:dyDescent="0.25">
      <c r="B46" s="1">
        <f t="shared" si="0"/>
        <v>44</v>
      </c>
      <c r="C46" s="1">
        <v>1</v>
      </c>
      <c r="D46" s="2">
        <v>25</v>
      </c>
      <c r="E46" s="4" t="s">
        <v>2408</v>
      </c>
      <c r="F46" s="4" t="s">
        <v>2408</v>
      </c>
    </row>
    <row r="47" spans="2:7" x14ac:dyDescent="0.25">
      <c r="B47" s="2">
        <f t="shared" si="0"/>
        <v>45</v>
      </c>
      <c r="C47" s="2">
        <v>1</v>
      </c>
      <c r="D47" s="2">
        <v>26</v>
      </c>
      <c r="E47" s="4" t="s">
        <v>2407</v>
      </c>
      <c r="F47" s="3" t="s">
        <v>2407</v>
      </c>
    </row>
    <row r="48" spans="2:7" x14ac:dyDescent="0.25">
      <c r="B48" s="1">
        <f t="shared" si="0"/>
        <v>46</v>
      </c>
      <c r="C48" s="1">
        <v>1</v>
      </c>
      <c r="D48" s="2">
        <v>27</v>
      </c>
      <c r="E48" s="4" t="s">
        <v>2406</v>
      </c>
      <c r="F48" s="4" t="s">
        <v>2406</v>
      </c>
    </row>
    <row r="49" spans="2:8" x14ac:dyDescent="0.25">
      <c r="B49" s="2">
        <f t="shared" si="0"/>
        <v>47</v>
      </c>
      <c r="C49" s="2">
        <v>1</v>
      </c>
      <c r="D49" s="2">
        <v>28</v>
      </c>
      <c r="E49" s="4" t="s">
        <v>2405</v>
      </c>
      <c r="F49" s="3" t="s">
        <v>2405</v>
      </c>
    </row>
    <row r="50" spans="2:8" x14ac:dyDescent="0.25">
      <c r="B50" s="1">
        <f t="shared" si="0"/>
        <v>48</v>
      </c>
      <c r="C50" s="1">
        <v>2</v>
      </c>
      <c r="D50" s="1">
        <v>14</v>
      </c>
      <c r="E50" s="3" t="s">
        <v>1103</v>
      </c>
      <c r="F50" s="3" t="s">
        <v>2405</v>
      </c>
      <c r="G50" t="s">
        <v>2824</v>
      </c>
    </row>
    <row r="51" spans="2:8" x14ac:dyDescent="0.25">
      <c r="B51" s="2">
        <f t="shared" si="0"/>
        <v>49</v>
      </c>
      <c r="C51" s="2">
        <v>2</v>
      </c>
      <c r="D51" s="2">
        <v>15</v>
      </c>
      <c r="E51" s="4" t="s">
        <v>1102</v>
      </c>
      <c r="F51" s="3" t="s">
        <v>2405</v>
      </c>
      <c r="G51" t="s">
        <v>2825</v>
      </c>
    </row>
    <row r="52" spans="2:8" x14ac:dyDescent="0.25">
      <c r="B52" s="1">
        <f t="shared" si="0"/>
        <v>50</v>
      </c>
      <c r="C52" s="1">
        <v>2</v>
      </c>
      <c r="D52" s="1">
        <v>16</v>
      </c>
      <c r="E52" s="3" t="s">
        <v>1101</v>
      </c>
      <c r="F52" s="3" t="s">
        <v>2405</v>
      </c>
      <c r="G52" t="s">
        <v>2806</v>
      </c>
    </row>
    <row r="53" spans="2:8" x14ac:dyDescent="0.25">
      <c r="B53" s="2">
        <f t="shared" si="0"/>
        <v>51</v>
      </c>
      <c r="C53" s="2">
        <v>1</v>
      </c>
      <c r="D53" s="2">
        <v>29</v>
      </c>
      <c r="E53" s="4" t="s">
        <v>2404</v>
      </c>
      <c r="F53" s="4" t="s">
        <v>2404</v>
      </c>
    </row>
    <row r="54" spans="2:8" x14ac:dyDescent="0.25">
      <c r="B54" s="1">
        <f t="shared" si="0"/>
        <v>52</v>
      </c>
      <c r="C54" s="1">
        <v>3</v>
      </c>
      <c r="D54" s="1">
        <v>4</v>
      </c>
      <c r="E54" s="3" t="s">
        <v>732</v>
      </c>
      <c r="F54" s="3" t="s">
        <v>732</v>
      </c>
    </row>
    <row r="55" spans="2:8" ht="30" x14ac:dyDescent="0.25">
      <c r="B55" s="2">
        <f t="shared" si="0"/>
        <v>53</v>
      </c>
      <c r="C55" s="2">
        <v>2</v>
      </c>
      <c r="D55" s="2" t="s">
        <v>1100</v>
      </c>
      <c r="E55" s="4" t="s">
        <v>1099</v>
      </c>
      <c r="F55" s="3" t="s">
        <v>2826</v>
      </c>
      <c r="G55" t="s">
        <v>2827</v>
      </c>
    </row>
    <row r="56" spans="2:8" x14ac:dyDescent="0.25">
      <c r="B56" s="1">
        <f t="shared" si="0"/>
        <v>54</v>
      </c>
      <c r="C56" s="1">
        <v>2</v>
      </c>
      <c r="D56" s="1">
        <v>17</v>
      </c>
      <c r="E56" s="3" t="s">
        <v>1098</v>
      </c>
      <c r="F56" s="3" t="s">
        <v>2826</v>
      </c>
      <c r="G56" t="s">
        <v>2828</v>
      </c>
      <c r="H56" t="s">
        <v>2829</v>
      </c>
    </row>
    <row r="57" spans="2:8" x14ac:dyDescent="0.25">
      <c r="B57" s="2">
        <f t="shared" si="0"/>
        <v>55</v>
      </c>
      <c r="C57" s="2">
        <v>2</v>
      </c>
      <c r="D57" s="2">
        <v>18</v>
      </c>
      <c r="E57" s="4" t="s">
        <v>1097</v>
      </c>
      <c r="F57" s="3" t="s">
        <v>2826</v>
      </c>
      <c r="G57" t="s">
        <v>2829</v>
      </c>
    </row>
    <row r="58" spans="2:8" ht="30" x14ac:dyDescent="0.25">
      <c r="B58" s="1">
        <f t="shared" si="0"/>
        <v>56</v>
      </c>
      <c r="C58" s="1">
        <v>2</v>
      </c>
      <c r="D58" s="1">
        <v>19</v>
      </c>
      <c r="E58" s="3" t="s">
        <v>1096</v>
      </c>
      <c r="F58" s="3" t="s">
        <v>2826</v>
      </c>
      <c r="G58" t="s">
        <v>2820</v>
      </c>
      <c r="H58" t="s">
        <v>2821</v>
      </c>
    </row>
    <row r="59" spans="2:8" x14ac:dyDescent="0.25">
      <c r="B59" s="2">
        <f t="shared" si="0"/>
        <v>57</v>
      </c>
      <c r="C59" s="2">
        <v>3</v>
      </c>
      <c r="D59" s="2">
        <v>5</v>
      </c>
      <c r="E59" s="4" t="s">
        <v>731</v>
      </c>
      <c r="F59" s="3" t="s">
        <v>731</v>
      </c>
    </row>
    <row r="60" spans="2:8" x14ac:dyDescent="0.25">
      <c r="B60" s="1">
        <f t="shared" si="0"/>
        <v>58</v>
      </c>
      <c r="C60" s="1">
        <v>1</v>
      </c>
      <c r="D60" s="1">
        <v>30</v>
      </c>
      <c r="E60" s="3" t="s">
        <v>2403</v>
      </c>
      <c r="F60" s="3" t="s">
        <v>2403</v>
      </c>
    </row>
    <row r="61" spans="2:8" x14ac:dyDescent="0.25">
      <c r="B61" s="2">
        <f t="shared" si="0"/>
        <v>59</v>
      </c>
      <c r="C61" s="2">
        <v>1</v>
      </c>
      <c r="D61" s="2">
        <v>31</v>
      </c>
      <c r="E61" s="4" t="s">
        <v>2402</v>
      </c>
      <c r="F61" s="4" t="s">
        <v>2402</v>
      </c>
    </row>
    <row r="62" spans="2:8" x14ac:dyDescent="0.25">
      <c r="B62" s="1">
        <f t="shared" si="0"/>
        <v>60</v>
      </c>
      <c r="C62" s="1">
        <v>1</v>
      </c>
      <c r="D62" s="1">
        <v>32</v>
      </c>
      <c r="E62" s="3" t="s">
        <v>2401</v>
      </c>
      <c r="F62" s="3" t="s">
        <v>2401</v>
      </c>
    </row>
    <row r="63" spans="2:8" x14ac:dyDescent="0.25">
      <c r="B63" s="2">
        <f t="shared" si="0"/>
        <v>61</v>
      </c>
      <c r="C63" s="2">
        <v>1</v>
      </c>
      <c r="D63" s="2">
        <v>33</v>
      </c>
      <c r="E63" s="4" t="s">
        <v>2400</v>
      </c>
      <c r="F63" s="4" t="s">
        <v>2400</v>
      </c>
    </row>
    <row r="64" spans="2:8" x14ac:dyDescent="0.25">
      <c r="B64" s="1">
        <f t="shared" si="0"/>
        <v>62</v>
      </c>
      <c r="C64" s="1">
        <v>3</v>
      </c>
      <c r="D64" s="1">
        <v>6</v>
      </c>
      <c r="E64" s="3" t="s">
        <v>730</v>
      </c>
      <c r="F64" s="3" t="s">
        <v>730</v>
      </c>
    </row>
    <row r="65" spans="2:9" x14ac:dyDescent="0.25">
      <c r="B65" s="2">
        <f t="shared" si="0"/>
        <v>63</v>
      </c>
      <c r="C65" s="2">
        <v>1</v>
      </c>
      <c r="D65" s="2">
        <v>34</v>
      </c>
      <c r="E65" s="4" t="s">
        <v>2399</v>
      </c>
      <c r="F65" s="3" t="s">
        <v>2399</v>
      </c>
    </row>
    <row r="66" spans="2:9" x14ac:dyDescent="0.25">
      <c r="B66" s="1">
        <f t="shared" si="0"/>
        <v>64</v>
      </c>
      <c r="C66" s="1">
        <v>1</v>
      </c>
      <c r="D66" s="2">
        <v>35</v>
      </c>
      <c r="E66" s="4" t="s">
        <v>2398</v>
      </c>
      <c r="F66" s="4" t="s">
        <v>2398</v>
      </c>
    </row>
    <row r="67" spans="2:9" x14ac:dyDescent="0.25">
      <c r="B67" s="2">
        <f t="shared" si="0"/>
        <v>65</v>
      </c>
      <c r="C67" s="2">
        <v>3</v>
      </c>
      <c r="D67" s="2">
        <v>7</v>
      </c>
      <c r="E67" s="4" t="s">
        <v>729</v>
      </c>
      <c r="F67" s="3" t="s">
        <v>729</v>
      </c>
    </row>
    <row r="68" spans="2:9" ht="45" x14ac:dyDescent="0.25">
      <c r="B68" s="1">
        <f t="shared" si="0"/>
        <v>66</v>
      </c>
      <c r="C68" s="1">
        <v>1</v>
      </c>
      <c r="D68" s="1">
        <v>36</v>
      </c>
      <c r="E68" s="3" t="s">
        <v>2397</v>
      </c>
      <c r="F68" s="3" t="s">
        <v>2397</v>
      </c>
    </row>
    <row r="69" spans="2:9" x14ac:dyDescent="0.25">
      <c r="B69" s="2">
        <f t="shared" ref="B69:B132" si="1">+B68+1</f>
        <v>67</v>
      </c>
      <c r="C69" s="2">
        <v>1</v>
      </c>
      <c r="D69" s="2">
        <v>37</v>
      </c>
      <c r="E69" s="4" t="s">
        <v>2396</v>
      </c>
      <c r="F69" s="4" t="s">
        <v>2396</v>
      </c>
    </row>
    <row r="70" spans="2:9" x14ac:dyDescent="0.25">
      <c r="B70" s="1">
        <f t="shared" si="1"/>
        <v>68</v>
      </c>
      <c r="C70" s="1">
        <v>3</v>
      </c>
      <c r="D70" s="1">
        <v>8</v>
      </c>
      <c r="E70" s="3" t="s">
        <v>728</v>
      </c>
      <c r="F70" s="3" t="s">
        <v>728</v>
      </c>
    </row>
    <row r="71" spans="2:9" ht="30" x14ac:dyDescent="0.25">
      <c r="B71" s="2">
        <f t="shared" si="1"/>
        <v>69</v>
      </c>
      <c r="C71" s="2">
        <v>2</v>
      </c>
      <c r="D71" s="2" t="s">
        <v>1095</v>
      </c>
      <c r="E71" s="4" t="s">
        <v>1094</v>
      </c>
      <c r="F71" s="3" t="s">
        <v>2830</v>
      </c>
      <c r="G71" t="s">
        <v>2831</v>
      </c>
    </row>
    <row r="72" spans="2:9" x14ac:dyDescent="0.25">
      <c r="B72" s="1">
        <f t="shared" si="1"/>
        <v>70</v>
      </c>
      <c r="C72" s="1">
        <v>2</v>
      </c>
      <c r="D72" s="1">
        <v>20</v>
      </c>
      <c r="E72" s="3" t="s">
        <v>1093</v>
      </c>
      <c r="F72" s="3" t="s">
        <v>2832</v>
      </c>
      <c r="G72" t="s">
        <v>2833</v>
      </c>
    </row>
    <row r="73" spans="2:9" x14ac:dyDescent="0.25">
      <c r="B73" s="2">
        <f t="shared" si="1"/>
        <v>71</v>
      </c>
      <c r="C73" s="2">
        <v>2</v>
      </c>
      <c r="D73" s="2">
        <v>21</v>
      </c>
      <c r="E73" s="4" t="s">
        <v>1092</v>
      </c>
      <c r="F73" s="3" t="s">
        <v>2832</v>
      </c>
      <c r="G73" t="s">
        <v>2834</v>
      </c>
    </row>
    <row r="74" spans="2:9" ht="30" x14ac:dyDescent="0.25">
      <c r="B74" s="1">
        <f t="shared" si="1"/>
        <v>72</v>
      </c>
      <c r="C74" s="1">
        <v>2</v>
      </c>
      <c r="D74" s="1" t="s">
        <v>1091</v>
      </c>
      <c r="E74" s="3" t="s">
        <v>1090</v>
      </c>
      <c r="F74" s="3" t="s">
        <v>2832</v>
      </c>
      <c r="G74" t="s">
        <v>2835</v>
      </c>
    </row>
    <row r="75" spans="2:9" x14ac:dyDescent="0.25">
      <c r="B75" s="2">
        <f t="shared" si="1"/>
        <v>73</v>
      </c>
      <c r="C75" s="2">
        <v>2</v>
      </c>
      <c r="D75" s="2">
        <v>22</v>
      </c>
      <c r="E75" s="4" t="s">
        <v>1089</v>
      </c>
      <c r="F75" s="3" t="s">
        <v>2836</v>
      </c>
      <c r="G75" t="s">
        <v>2837</v>
      </c>
      <c r="H75" t="s">
        <v>2838</v>
      </c>
    </row>
    <row r="76" spans="2:9" x14ac:dyDescent="0.25">
      <c r="B76" s="1">
        <f t="shared" si="1"/>
        <v>74</v>
      </c>
      <c r="C76" s="1">
        <v>3</v>
      </c>
      <c r="D76" s="1">
        <v>9</v>
      </c>
      <c r="E76" s="3" t="s">
        <v>727</v>
      </c>
      <c r="F76" s="3" t="s">
        <v>727</v>
      </c>
    </row>
    <row r="77" spans="2:9" x14ac:dyDescent="0.25">
      <c r="B77" s="2">
        <f t="shared" si="1"/>
        <v>75</v>
      </c>
      <c r="C77" s="2">
        <v>3</v>
      </c>
      <c r="D77" s="2">
        <v>10</v>
      </c>
      <c r="E77" s="4" t="s">
        <v>726</v>
      </c>
      <c r="F77" s="3" t="s">
        <v>726</v>
      </c>
    </row>
    <row r="78" spans="2:9" x14ac:dyDescent="0.25">
      <c r="B78" s="1">
        <f t="shared" si="1"/>
        <v>76</v>
      </c>
      <c r="C78" s="1">
        <v>3</v>
      </c>
      <c r="D78" s="1">
        <v>11</v>
      </c>
      <c r="E78" s="3" t="s">
        <v>725</v>
      </c>
      <c r="F78" s="3" t="s">
        <v>725</v>
      </c>
    </row>
    <row r="79" spans="2:9" x14ac:dyDescent="0.25">
      <c r="B79" s="2">
        <f t="shared" si="1"/>
        <v>77</v>
      </c>
      <c r="C79" s="2">
        <v>2</v>
      </c>
      <c r="D79" s="2">
        <v>23</v>
      </c>
      <c r="E79" s="4" t="s">
        <v>1088</v>
      </c>
      <c r="F79" s="3" t="s">
        <v>2839</v>
      </c>
      <c r="G79" t="s">
        <v>2840</v>
      </c>
    </row>
    <row r="80" spans="2:9" ht="30" x14ac:dyDescent="0.25">
      <c r="B80" s="1">
        <f t="shared" si="1"/>
        <v>78</v>
      </c>
      <c r="C80" s="1">
        <v>2</v>
      </c>
      <c r="D80" s="1">
        <v>24</v>
      </c>
      <c r="E80" s="3" t="s">
        <v>1087</v>
      </c>
      <c r="F80" s="3" t="s">
        <v>2841</v>
      </c>
      <c r="G80" t="s">
        <v>2840</v>
      </c>
      <c r="H80" t="s">
        <v>2842</v>
      </c>
      <c r="I80" t="s">
        <v>2843</v>
      </c>
    </row>
    <row r="81" spans="2:11" ht="30" x14ac:dyDescent="0.25">
      <c r="B81" s="2">
        <f t="shared" si="1"/>
        <v>79</v>
      </c>
      <c r="C81" s="2">
        <v>2</v>
      </c>
      <c r="D81" s="2">
        <v>25</v>
      </c>
      <c r="E81" s="4" t="s">
        <v>1086</v>
      </c>
      <c r="F81" s="3" t="s">
        <v>2841</v>
      </c>
      <c r="G81" t="s">
        <v>2844</v>
      </c>
      <c r="H81" t="s">
        <v>2845</v>
      </c>
      <c r="I81" t="s">
        <v>2829</v>
      </c>
      <c r="J81" t="s">
        <v>2846</v>
      </c>
    </row>
    <row r="82" spans="2:11" ht="30" x14ac:dyDescent="0.25">
      <c r="B82" s="1">
        <f t="shared" si="1"/>
        <v>80</v>
      </c>
      <c r="C82" s="1">
        <v>3</v>
      </c>
      <c r="D82" s="1" t="s">
        <v>724</v>
      </c>
      <c r="E82" s="3" t="s">
        <v>723</v>
      </c>
      <c r="F82" s="3" t="s">
        <v>723</v>
      </c>
    </row>
    <row r="83" spans="2:11" ht="30" x14ac:dyDescent="0.25">
      <c r="B83" s="2">
        <f t="shared" si="1"/>
        <v>81</v>
      </c>
      <c r="C83" s="2">
        <v>2</v>
      </c>
      <c r="D83" s="2">
        <v>26</v>
      </c>
      <c r="E83" s="4" t="s">
        <v>1085</v>
      </c>
      <c r="F83" s="3" t="s">
        <v>2847</v>
      </c>
      <c r="G83" t="s">
        <v>2848</v>
      </c>
      <c r="H83" t="s">
        <v>2849</v>
      </c>
      <c r="I83" t="s">
        <v>2850</v>
      </c>
      <c r="J83" t="s">
        <v>2851</v>
      </c>
      <c r="K83" t="s">
        <v>2852</v>
      </c>
    </row>
    <row r="84" spans="2:11" ht="30" x14ac:dyDescent="0.25">
      <c r="B84" s="1">
        <f t="shared" si="1"/>
        <v>82</v>
      </c>
      <c r="C84" s="1">
        <v>2</v>
      </c>
      <c r="D84" s="1" t="s">
        <v>1084</v>
      </c>
      <c r="E84" s="3" t="s">
        <v>1083</v>
      </c>
      <c r="F84" s="3" t="s">
        <v>2853</v>
      </c>
      <c r="G84" t="s">
        <v>2854</v>
      </c>
    </row>
    <row r="85" spans="2:11" x14ac:dyDescent="0.25">
      <c r="B85" s="2">
        <f t="shared" si="1"/>
        <v>83</v>
      </c>
      <c r="C85" s="2">
        <v>3</v>
      </c>
      <c r="D85" s="2">
        <v>12</v>
      </c>
      <c r="E85" s="4" t="s">
        <v>722</v>
      </c>
      <c r="F85" s="3" t="s">
        <v>722</v>
      </c>
    </row>
    <row r="86" spans="2:11" x14ac:dyDescent="0.25">
      <c r="B86" s="1">
        <f t="shared" si="1"/>
        <v>84</v>
      </c>
      <c r="C86" s="1">
        <v>1</v>
      </c>
      <c r="D86" s="1">
        <v>38</v>
      </c>
      <c r="E86" s="3" t="s">
        <v>2395</v>
      </c>
      <c r="F86" s="3" t="s">
        <v>2395</v>
      </c>
    </row>
    <row r="87" spans="2:11" x14ac:dyDescent="0.25">
      <c r="B87" s="2">
        <f t="shared" si="1"/>
        <v>85</v>
      </c>
      <c r="C87" s="2">
        <v>3</v>
      </c>
      <c r="D87" s="2">
        <v>13</v>
      </c>
      <c r="E87" s="4" t="s">
        <v>721</v>
      </c>
      <c r="F87" s="3" t="s">
        <v>721</v>
      </c>
    </row>
    <row r="88" spans="2:11" x14ac:dyDescent="0.25">
      <c r="B88" s="1">
        <f t="shared" si="1"/>
        <v>86</v>
      </c>
      <c r="C88" s="1">
        <v>1</v>
      </c>
      <c r="D88" s="2">
        <v>39</v>
      </c>
      <c r="E88" s="4" t="s">
        <v>2394</v>
      </c>
      <c r="F88" s="4" t="s">
        <v>2394</v>
      </c>
    </row>
    <row r="89" spans="2:11" x14ac:dyDescent="0.25">
      <c r="B89" s="2">
        <f t="shared" si="1"/>
        <v>87</v>
      </c>
      <c r="C89" s="2">
        <v>1</v>
      </c>
      <c r="D89" s="2">
        <v>40</v>
      </c>
      <c r="E89" s="4" t="s">
        <v>2393</v>
      </c>
      <c r="F89" s="3" t="s">
        <v>2393</v>
      </c>
    </row>
    <row r="90" spans="2:11" x14ac:dyDescent="0.25">
      <c r="B90" s="1">
        <f t="shared" si="1"/>
        <v>88</v>
      </c>
      <c r="C90" s="1">
        <v>3</v>
      </c>
      <c r="D90" s="1">
        <v>14</v>
      </c>
      <c r="E90" s="3" t="s">
        <v>720</v>
      </c>
      <c r="F90" s="3" t="s">
        <v>720</v>
      </c>
    </row>
    <row r="91" spans="2:11" ht="30" x14ac:dyDescent="0.25">
      <c r="B91" s="2">
        <f t="shared" si="1"/>
        <v>89</v>
      </c>
      <c r="C91" s="2">
        <v>3</v>
      </c>
      <c r="D91" s="2" t="s">
        <v>719</v>
      </c>
      <c r="E91" s="4" t="s">
        <v>718</v>
      </c>
      <c r="F91" s="3" t="s">
        <v>718</v>
      </c>
    </row>
    <row r="92" spans="2:11" x14ac:dyDescent="0.25">
      <c r="B92" s="1">
        <f t="shared" si="1"/>
        <v>90</v>
      </c>
      <c r="C92" s="1">
        <v>1</v>
      </c>
      <c r="D92" s="2">
        <v>41</v>
      </c>
      <c r="E92" s="4" t="s">
        <v>2392</v>
      </c>
      <c r="F92" s="4" t="s">
        <v>2392</v>
      </c>
    </row>
    <row r="93" spans="2:11" x14ac:dyDescent="0.25">
      <c r="B93" s="2">
        <f t="shared" si="1"/>
        <v>91</v>
      </c>
      <c r="C93" s="2">
        <v>1</v>
      </c>
      <c r="D93" s="2">
        <v>42</v>
      </c>
      <c r="E93" s="4" t="s">
        <v>2391</v>
      </c>
      <c r="F93" s="3" t="s">
        <v>2391</v>
      </c>
    </row>
    <row r="94" spans="2:11" x14ac:dyDescent="0.25">
      <c r="B94" s="1">
        <f t="shared" si="1"/>
        <v>92</v>
      </c>
      <c r="C94" s="1">
        <v>1</v>
      </c>
      <c r="D94" s="2">
        <v>43</v>
      </c>
      <c r="E94" s="4" t="s">
        <v>2390</v>
      </c>
      <c r="F94" s="4" t="s">
        <v>2390</v>
      </c>
    </row>
    <row r="95" spans="2:11" ht="30" x14ac:dyDescent="0.25">
      <c r="B95" s="2">
        <f t="shared" si="1"/>
        <v>93</v>
      </c>
      <c r="C95" s="2">
        <v>2</v>
      </c>
      <c r="D95" s="2" t="s">
        <v>1082</v>
      </c>
      <c r="E95" s="4" t="s">
        <v>1081</v>
      </c>
      <c r="F95" s="3" t="s">
        <v>2390</v>
      </c>
      <c r="G95" t="s">
        <v>2855</v>
      </c>
    </row>
    <row r="96" spans="2:11" x14ac:dyDescent="0.25">
      <c r="B96" s="1">
        <f t="shared" si="1"/>
        <v>94</v>
      </c>
      <c r="C96" s="1">
        <v>2</v>
      </c>
      <c r="D96" s="1">
        <v>27</v>
      </c>
      <c r="E96" s="3" t="s">
        <v>1080</v>
      </c>
      <c r="F96" s="3" t="s">
        <v>2390</v>
      </c>
      <c r="G96" t="s">
        <v>2856</v>
      </c>
    </row>
    <row r="97" spans="2:7" x14ac:dyDescent="0.25">
      <c r="B97" s="2">
        <f t="shared" si="1"/>
        <v>95</v>
      </c>
      <c r="C97" s="2">
        <v>3</v>
      </c>
      <c r="D97" s="2">
        <v>15</v>
      </c>
      <c r="E97" s="4" t="s">
        <v>717</v>
      </c>
      <c r="F97" s="3" t="s">
        <v>717</v>
      </c>
    </row>
    <row r="98" spans="2:7" x14ac:dyDescent="0.25">
      <c r="B98" s="1">
        <f t="shared" si="1"/>
        <v>96</v>
      </c>
      <c r="C98" s="1">
        <v>1</v>
      </c>
      <c r="D98" s="1">
        <v>44</v>
      </c>
      <c r="E98" s="3" t="s">
        <v>2389</v>
      </c>
      <c r="F98" s="3" t="s">
        <v>2389</v>
      </c>
    </row>
    <row r="99" spans="2:7" x14ac:dyDescent="0.25">
      <c r="B99" s="2">
        <f t="shared" si="1"/>
        <v>97</v>
      </c>
      <c r="C99" s="2">
        <v>3</v>
      </c>
      <c r="D99" s="2">
        <v>16</v>
      </c>
      <c r="E99" s="4" t="s">
        <v>716</v>
      </c>
      <c r="F99" s="3" t="s">
        <v>716</v>
      </c>
    </row>
    <row r="100" spans="2:7" ht="30" x14ac:dyDescent="0.25">
      <c r="B100" s="1">
        <f t="shared" si="1"/>
        <v>98</v>
      </c>
      <c r="C100" s="1">
        <v>1</v>
      </c>
      <c r="D100" s="2" t="s">
        <v>2388</v>
      </c>
      <c r="E100" s="4" t="s">
        <v>2387</v>
      </c>
      <c r="F100" s="4" t="s">
        <v>2387</v>
      </c>
    </row>
    <row r="101" spans="2:7" x14ac:dyDescent="0.25">
      <c r="B101" s="2">
        <f t="shared" si="1"/>
        <v>99</v>
      </c>
      <c r="C101" s="2">
        <v>1</v>
      </c>
      <c r="D101" s="2">
        <v>45</v>
      </c>
      <c r="E101" s="4" t="s">
        <v>2386</v>
      </c>
      <c r="F101" s="3" t="s">
        <v>2386</v>
      </c>
    </row>
    <row r="102" spans="2:7" x14ac:dyDescent="0.25">
      <c r="B102" s="1">
        <f t="shared" si="1"/>
        <v>100</v>
      </c>
      <c r="C102" s="1">
        <v>1</v>
      </c>
      <c r="D102" s="2">
        <v>46</v>
      </c>
      <c r="E102" s="4" t="s">
        <v>2385</v>
      </c>
      <c r="F102" s="4" t="s">
        <v>2385</v>
      </c>
    </row>
    <row r="103" spans="2:7" x14ac:dyDescent="0.25">
      <c r="B103" s="2">
        <f t="shared" si="1"/>
        <v>101</v>
      </c>
      <c r="C103" s="2">
        <v>1</v>
      </c>
      <c r="D103" s="2">
        <v>47</v>
      </c>
      <c r="E103" s="4" t="s">
        <v>2384</v>
      </c>
      <c r="F103" s="3" t="s">
        <v>2384</v>
      </c>
    </row>
    <row r="104" spans="2:7" x14ac:dyDescent="0.25">
      <c r="B104" s="1">
        <f t="shared" si="1"/>
        <v>102</v>
      </c>
      <c r="C104" s="1">
        <v>2</v>
      </c>
      <c r="D104" s="1">
        <v>28</v>
      </c>
      <c r="E104" s="3" t="s">
        <v>1079</v>
      </c>
      <c r="F104" s="3" t="s">
        <v>2384</v>
      </c>
      <c r="G104" t="s">
        <v>2857</v>
      </c>
    </row>
    <row r="105" spans="2:7" x14ac:dyDescent="0.25">
      <c r="B105" s="2">
        <f t="shared" si="1"/>
        <v>103</v>
      </c>
      <c r="C105" s="2">
        <v>1</v>
      </c>
      <c r="D105" s="2">
        <v>48</v>
      </c>
      <c r="E105" s="4" t="s">
        <v>2383</v>
      </c>
      <c r="F105" s="4" t="s">
        <v>2383</v>
      </c>
    </row>
    <row r="106" spans="2:7" x14ac:dyDescent="0.25">
      <c r="B106" s="1">
        <f t="shared" si="1"/>
        <v>104</v>
      </c>
      <c r="C106" s="1">
        <v>1</v>
      </c>
      <c r="D106" s="1">
        <v>49</v>
      </c>
      <c r="E106" s="3" t="s">
        <v>2382</v>
      </c>
      <c r="F106" s="3" t="s">
        <v>2382</v>
      </c>
    </row>
    <row r="107" spans="2:7" x14ac:dyDescent="0.25">
      <c r="B107" s="2">
        <f t="shared" si="1"/>
        <v>105</v>
      </c>
      <c r="C107" s="2">
        <v>1</v>
      </c>
      <c r="D107" s="2">
        <v>50</v>
      </c>
      <c r="E107" s="4" t="s">
        <v>2381</v>
      </c>
      <c r="F107" s="4" t="s">
        <v>2381</v>
      </c>
    </row>
    <row r="108" spans="2:7" x14ac:dyDescent="0.25">
      <c r="B108" s="1">
        <f t="shared" si="1"/>
        <v>106</v>
      </c>
      <c r="C108" s="1">
        <v>1</v>
      </c>
      <c r="D108" s="1">
        <v>51</v>
      </c>
      <c r="E108" s="3" t="s">
        <v>2380</v>
      </c>
      <c r="F108" s="3" t="s">
        <v>2380</v>
      </c>
    </row>
    <row r="109" spans="2:7" x14ac:dyDescent="0.25">
      <c r="B109" s="2">
        <f t="shared" si="1"/>
        <v>107</v>
      </c>
      <c r="C109" s="2">
        <v>1</v>
      </c>
      <c r="D109" s="2">
        <v>52</v>
      </c>
      <c r="E109" s="4" t="s">
        <v>2379</v>
      </c>
      <c r="F109" s="4" t="s">
        <v>2379</v>
      </c>
    </row>
    <row r="110" spans="2:7" x14ac:dyDescent="0.25">
      <c r="B110" s="1">
        <f t="shared" si="1"/>
        <v>108</v>
      </c>
      <c r="C110" s="1">
        <v>1</v>
      </c>
      <c r="D110" s="1">
        <v>53</v>
      </c>
      <c r="E110" s="3" t="s">
        <v>2378</v>
      </c>
      <c r="F110" s="3" t="s">
        <v>2378</v>
      </c>
    </row>
    <row r="111" spans="2:7" ht="30" x14ac:dyDescent="0.25">
      <c r="B111" s="2">
        <f t="shared" si="1"/>
        <v>109</v>
      </c>
      <c r="C111" s="2">
        <v>1</v>
      </c>
      <c r="D111" s="2" t="s">
        <v>676</v>
      </c>
      <c r="E111" s="4" t="s">
        <v>2377</v>
      </c>
      <c r="F111" s="4" t="s">
        <v>2377</v>
      </c>
    </row>
    <row r="112" spans="2:7" x14ac:dyDescent="0.25">
      <c r="B112" s="1">
        <f t="shared" si="1"/>
        <v>110</v>
      </c>
      <c r="C112" s="1">
        <v>3</v>
      </c>
      <c r="D112" s="1">
        <v>17</v>
      </c>
      <c r="E112" s="3" t="s">
        <v>715</v>
      </c>
      <c r="F112" s="3" t="s">
        <v>715</v>
      </c>
    </row>
    <row r="113" spans="2:8" x14ac:dyDescent="0.25">
      <c r="B113" s="2">
        <f t="shared" si="1"/>
        <v>111</v>
      </c>
      <c r="C113" s="2">
        <v>3</v>
      </c>
      <c r="D113" s="2">
        <v>18</v>
      </c>
      <c r="E113" s="4" t="s">
        <v>714</v>
      </c>
      <c r="F113" s="3" t="s">
        <v>714</v>
      </c>
    </row>
    <row r="114" spans="2:8" x14ac:dyDescent="0.25">
      <c r="B114" s="1">
        <f t="shared" si="1"/>
        <v>112</v>
      </c>
      <c r="C114" s="1">
        <v>3</v>
      </c>
      <c r="D114" s="1">
        <v>19</v>
      </c>
      <c r="E114" s="3" t="s">
        <v>713</v>
      </c>
      <c r="F114" s="3" t="s">
        <v>713</v>
      </c>
    </row>
    <row r="115" spans="2:8" x14ac:dyDescent="0.25">
      <c r="B115" s="2">
        <f t="shared" si="1"/>
        <v>113</v>
      </c>
      <c r="C115" s="2">
        <v>1</v>
      </c>
      <c r="D115" s="2">
        <v>54</v>
      </c>
      <c r="E115" s="4" t="s">
        <v>2376</v>
      </c>
      <c r="F115" s="3" t="s">
        <v>2376</v>
      </c>
    </row>
    <row r="116" spans="2:8" ht="45" x14ac:dyDescent="0.25">
      <c r="B116" s="1">
        <f t="shared" si="1"/>
        <v>114</v>
      </c>
      <c r="C116" s="1">
        <v>1</v>
      </c>
      <c r="D116" s="2" t="s">
        <v>2375</v>
      </c>
      <c r="E116" s="4" t="s">
        <v>2374</v>
      </c>
      <c r="F116" s="4" t="s">
        <v>2374</v>
      </c>
    </row>
    <row r="117" spans="2:8" x14ac:dyDescent="0.25">
      <c r="B117" s="2">
        <f t="shared" si="1"/>
        <v>115</v>
      </c>
      <c r="C117" s="2">
        <v>3</v>
      </c>
      <c r="D117" s="2">
        <v>20</v>
      </c>
      <c r="E117" s="4" t="s">
        <v>712</v>
      </c>
      <c r="F117" s="3" t="s">
        <v>712</v>
      </c>
    </row>
    <row r="118" spans="2:8" x14ac:dyDescent="0.25">
      <c r="B118" s="1">
        <f t="shared" si="1"/>
        <v>116</v>
      </c>
      <c r="C118" s="1">
        <v>2</v>
      </c>
      <c r="D118" s="1">
        <v>29</v>
      </c>
      <c r="E118" s="3" t="s">
        <v>1078</v>
      </c>
      <c r="F118" s="3" t="s">
        <v>2858</v>
      </c>
      <c r="G118" t="s">
        <v>2859</v>
      </c>
    </row>
    <row r="119" spans="2:8" x14ac:dyDescent="0.25">
      <c r="B119" s="2">
        <f t="shared" si="1"/>
        <v>117</v>
      </c>
      <c r="C119" s="2">
        <v>1</v>
      </c>
      <c r="D119" s="2">
        <v>55</v>
      </c>
      <c r="E119" s="4" t="s">
        <v>2373</v>
      </c>
      <c r="F119" s="3" t="s">
        <v>2373</v>
      </c>
    </row>
    <row r="120" spans="2:8" x14ac:dyDescent="0.25">
      <c r="B120" s="1">
        <f t="shared" si="1"/>
        <v>118</v>
      </c>
      <c r="C120" s="1">
        <v>1</v>
      </c>
      <c r="D120" s="2">
        <v>56</v>
      </c>
      <c r="E120" s="4" t="s">
        <v>2372</v>
      </c>
      <c r="F120" s="4" t="s">
        <v>2372</v>
      </c>
    </row>
    <row r="121" spans="2:8" x14ac:dyDescent="0.25">
      <c r="B121" s="2">
        <f t="shared" si="1"/>
        <v>119</v>
      </c>
      <c r="C121" s="2">
        <v>2</v>
      </c>
      <c r="D121" s="2">
        <v>30</v>
      </c>
      <c r="E121" s="4" t="s">
        <v>1077</v>
      </c>
      <c r="F121" s="3" t="s">
        <v>2372</v>
      </c>
      <c r="G121" t="s">
        <v>2860</v>
      </c>
      <c r="H121" t="s">
        <v>2861</v>
      </c>
    </row>
    <row r="122" spans="2:8" x14ac:dyDescent="0.25">
      <c r="B122" s="1">
        <f t="shared" si="1"/>
        <v>120</v>
      </c>
      <c r="C122" s="1">
        <v>2</v>
      </c>
      <c r="D122" s="1">
        <v>31</v>
      </c>
      <c r="E122" s="3" t="s">
        <v>1076</v>
      </c>
      <c r="F122" s="3" t="s">
        <v>2372</v>
      </c>
      <c r="G122" t="s">
        <v>2861</v>
      </c>
    </row>
    <row r="123" spans="2:8" x14ac:dyDescent="0.25">
      <c r="B123" s="2">
        <f t="shared" si="1"/>
        <v>121</v>
      </c>
      <c r="C123" s="2">
        <v>1</v>
      </c>
      <c r="D123" s="2">
        <v>57</v>
      </c>
      <c r="E123" s="4" t="s">
        <v>2371</v>
      </c>
      <c r="F123" s="3" t="s">
        <v>2371</v>
      </c>
    </row>
    <row r="124" spans="2:8" x14ac:dyDescent="0.25">
      <c r="B124" s="1">
        <f t="shared" si="1"/>
        <v>122</v>
      </c>
      <c r="C124" s="1">
        <v>1</v>
      </c>
      <c r="D124" s="2">
        <v>58</v>
      </c>
      <c r="E124" s="4" t="s">
        <v>2370</v>
      </c>
      <c r="F124" s="4" t="s">
        <v>2370</v>
      </c>
    </row>
    <row r="125" spans="2:8" ht="45" x14ac:dyDescent="0.25">
      <c r="B125" s="2">
        <f t="shared" si="1"/>
        <v>123</v>
      </c>
      <c r="C125" s="2">
        <v>1</v>
      </c>
      <c r="D125" s="2" t="s">
        <v>2369</v>
      </c>
      <c r="E125" s="4" t="s">
        <v>2368</v>
      </c>
      <c r="F125" s="3" t="s">
        <v>2368</v>
      </c>
    </row>
    <row r="126" spans="2:8" x14ac:dyDescent="0.25">
      <c r="B126" s="1">
        <f t="shared" si="1"/>
        <v>124</v>
      </c>
      <c r="C126" s="1">
        <v>1</v>
      </c>
      <c r="D126" s="2">
        <v>59</v>
      </c>
      <c r="E126" s="4" t="s">
        <v>2367</v>
      </c>
      <c r="F126" s="4" t="s">
        <v>2367</v>
      </c>
    </row>
    <row r="127" spans="2:8" x14ac:dyDescent="0.25">
      <c r="B127" s="2">
        <f t="shared" si="1"/>
        <v>125</v>
      </c>
      <c r="C127" s="2">
        <v>1</v>
      </c>
      <c r="D127" s="2">
        <v>60</v>
      </c>
      <c r="E127" s="4" t="s">
        <v>2366</v>
      </c>
      <c r="F127" s="3" t="s">
        <v>2366</v>
      </c>
    </row>
    <row r="128" spans="2:8" x14ac:dyDescent="0.25">
      <c r="B128" s="1">
        <f t="shared" si="1"/>
        <v>126</v>
      </c>
      <c r="C128" s="1">
        <v>1</v>
      </c>
      <c r="D128" s="2">
        <v>61</v>
      </c>
      <c r="E128" s="4" t="s">
        <v>2365</v>
      </c>
      <c r="F128" s="4" t="s">
        <v>2365</v>
      </c>
    </row>
    <row r="129" spans="2:10" x14ac:dyDescent="0.25">
      <c r="B129" s="2">
        <f t="shared" si="1"/>
        <v>127</v>
      </c>
      <c r="C129" s="2">
        <v>1</v>
      </c>
      <c r="D129" s="2">
        <v>62</v>
      </c>
      <c r="E129" s="4" t="s">
        <v>2364</v>
      </c>
      <c r="F129" s="3" t="s">
        <v>2364</v>
      </c>
    </row>
    <row r="130" spans="2:10" x14ac:dyDescent="0.25">
      <c r="B130" s="1">
        <f t="shared" si="1"/>
        <v>128</v>
      </c>
      <c r="C130" s="1">
        <v>1</v>
      </c>
      <c r="D130" s="2">
        <v>63</v>
      </c>
      <c r="E130" s="4" t="s">
        <v>2363</v>
      </c>
      <c r="F130" s="4" t="s">
        <v>2363</v>
      </c>
    </row>
    <row r="131" spans="2:10" x14ac:dyDescent="0.25">
      <c r="B131" s="2">
        <f t="shared" si="1"/>
        <v>129</v>
      </c>
      <c r="C131" s="2">
        <v>1</v>
      </c>
      <c r="D131" s="2">
        <v>64</v>
      </c>
      <c r="E131" s="4" t="s">
        <v>2362</v>
      </c>
      <c r="F131" s="3" t="s">
        <v>2362</v>
      </c>
    </row>
    <row r="132" spans="2:10" x14ac:dyDescent="0.25">
      <c r="B132" s="1">
        <f t="shared" si="1"/>
        <v>130</v>
      </c>
      <c r="C132" s="1">
        <v>1</v>
      </c>
      <c r="D132" s="2">
        <v>65</v>
      </c>
      <c r="E132" s="4" t="s">
        <v>2361</v>
      </c>
      <c r="F132" s="4" t="s">
        <v>2361</v>
      </c>
    </row>
    <row r="133" spans="2:10" ht="30" x14ac:dyDescent="0.25">
      <c r="B133" s="2">
        <f t="shared" ref="B133:B196" si="2">+B132+1</f>
        <v>131</v>
      </c>
      <c r="C133" s="2">
        <v>1</v>
      </c>
      <c r="D133" s="2" t="s">
        <v>2360</v>
      </c>
      <c r="E133" s="4" t="s">
        <v>2359</v>
      </c>
      <c r="F133" s="3" t="s">
        <v>2359</v>
      </c>
    </row>
    <row r="134" spans="2:10" x14ac:dyDescent="0.25">
      <c r="B134" s="1">
        <f t="shared" si="2"/>
        <v>132</v>
      </c>
      <c r="C134" s="1">
        <v>1</v>
      </c>
      <c r="D134" s="2">
        <v>66</v>
      </c>
      <c r="E134" s="4" t="s">
        <v>2358</v>
      </c>
      <c r="F134" s="4" t="s">
        <v>2358</v>
      </c>
    </row>
    <row r="135" spans="2:10" ht="30" x14ac:dyDescent="0.25">
      <c r="B135" s="2">
        <f t="shared" si="2"/>
        <v>133</v>
      </c>
      <c r="C135" s="2">
        <v>1</v>
      </c>
      <c r="D135" s="2">
        <v>67</v>
      </c>
      <c r="E135" s="4" t="s">
        <v>2357</v>
      </c>
      <c r="F135" s="3" t="s">
        <v>2357</v>
      </c>
    </row>
    <row r="136" spans="2:10" x14ac:dyDescent="0.25">
      <c r="B136" s="1">
        <f t="shared" si="2"/>
        <v>134</v>
      </c>
      <c r="C136" s="1">
        <v>2</v>
      </c>
      <c r="D136" s="1">
        <v>32</v>
      </c>
      <c r="E136" s="3" t="s">
        <v>1075</v>
      </c>
      <c r="F136" s="3" t="s">
        <v>2862</v>
      </c>
      <c r="G136" t="s">
        <v>2863</v>
      </c>
      <c r="H136" t="s">
        <v>2850</v>
      </c>
      <c r="I136" t="s">
        <v>2864</v>
      </c>
      <c r="J136" t="s">
        <v>2852</v>
      </c>
    </row>
    <row r="137" spans="2:10" x14ac:dyDescent="0.25">
      <c r="B137" s="2">
        <f t="shared" si="2"/>
        <v>135</v>
      </c>
      <c r="C137" s="2">
        <v>2</v>
      </c>
      <c r="D137" s="2">
        <v>33</v>
      </c>
      <c r="E137" s="4" t="s">
        <v>1074</v>
      </c>
      <c r="F137" s="3" t="s">
        <v>2862</v>
      </c>
      <c r="G137" t="s">
        <v>2864</v>
      </c>
      <c r="H137" t="s">
        <v>2865</v>
      </c>
    </row>
    <row r="138" spans="2:10" x14ac:dyDescent="0.25">
      <c r="B138" s="1">
        <f t="shared" si="2"/>
        <v>136</v>
      </c>
      <c r="C138" s="1">
        <v>2</v>
      </c>
      <c r="D138" s="1">
        <v>34</v>
      </c>
      <c r="E138" s="3" t="s">
        <v>1073</v>
      </c>
      <c r="F138" s="3" t="s">
        <v>2862</v>
      </c>
      <c r="G138" t="s">
        <v>2852</v>
      </c>
    </row>
    <row r="139" spans="2:10" x14ac:dyDescent="0.25">
      <c r="B139" s="2">
        <f t="shared" si="2"/>
        <v>137</v>
      </c>
      <c r="C139" s="2">
        <v>1</v>
      </c>
      <c r="D139" s="2">
        <v>68</v>
      </c>
      <c r="E139" s="4" t="s">
        <v>2356</v>
      </c>
      <c r="F139" s="4" t="s">
        <v>2356</v>
      </c>
    </row>
    <row r="140" spans="2:10" ht="30" x14ac:dyDescent="0.25">
      <c r="B140" s="1">
        <f t="shared" si="2"/>
        <v>138</v>
      </c>
      <c r="C140" s="1">
        <v>2</v>
      </c>
      <c r="D140" s="1" t="s">
        <v>1072</v>
      </c>
      <c r="E140" s="3" t="s">
        <v>1071</v>
      </c>
      <c r="F140" s="3" t="s">
        <v>2356</v>
      </c>
      <c r="G140" t="s">
        <v>2866</v>
      </c>
    </row>
    <row r="141" spans="2:10" x14ac:dyDescent="0.25">
      <c r="B141" s="2">
        <f t="shared" si="2"/>
        <v>139</v>
      </c>
      <c r="C141" s="2">
        <v>1</v>
      </c>
      <c r="D141" s="2">
        <v>69</v>
      </c>
      <c r="E141" s="4" t="s">
        <v>2355</v>
      </c>
      <c r="F141" s="3" t="s">
        <v>2355</v>
      </c>
    </row>
    <row r="142" spans="2:10" ht="30" x14ac:dyDescent="0.25">
      <c r="B142" s="1">
        <f t="shared" si="2"/>
        <v>140</v>
      </c>
      <c r="C142" s="1">
        <v>2</v>
      </c>
      <c r="D142" s="1" t="s">
        <v>1070</v>
      </c>
      <c r="E142" s="3" t="s">
        <v>1069</v>
      </c>
      <c r="F142" s="3" t="s">
        <v>2355</v>
      </c>
      <c r="G142" t="s">
        <v>2866</v>
      </c>
    </row>
    <row r="143" spans="2:10" ht="30" x14ac:dyDescent="0.25">
      <c r="B143" s="2">
        <f t="shared" si="2"/>
        <v>141</v>
      </c>
      <c r="C143" s="2">
        <v>1</v>
      </c>
      <c r="D143" s="2" t="s">
        <v>2354</v>
      </c>
      <c r="E143" s="4" t="s">
        <v>2353</v>
      </c>
      <c r="F143" s="4" t="s">
        <v>2353</v>
      </c>
    </row>
    <row r="144" spans="2:10" ht="30" x14ac:dyDescent="0.25">
      <c r="B144" s="1">
        <f t="shared" si="2"/>
        <v>142</v>
      </c>
      <c r="C144" s="1">
        <v>1</v>
      </c>
      <c r="D144" s="1" t="s">
        <v>2352</v>
      </c>
      <c r="E144" s="3" t="s">
        <v>2351</v>
      </c>
      <c r="F144" s="3" t="s">
        <v>2351</v>
      </c>
    </row>
    <row r="145" spans="2:9" x14ac:dyDescent="0.25">
      <c r="B145" s="2">
        <f t="shared" si="2"/>
        <v>143</v>
      </c>
      <c r="C145" s="2">
        <v>1</v>
      </c>
      <c r="D145" s="2">
        <v>70</v>
      </c>
      <c r="E145" s="4" t="s">
        <v>2350</v>
      </c>
      <c r="F145" s="4" t="s">
        <v>2350</v>
      </c>
    </row>
    <row r="146" spans="2:9" x14ac:dyDescent="0.25">
      <c r="B146" s="1">
        <f t="shared" si="2"/>
        <v>144</v>
      </c>
      <c r="C146" s="1">
        <v>2</v>
      </c>
      <c r="D146" s="1">
        <v>35</v>
      </c>
      <c r="E146" s="3" t="s">
        <v>1068</v>
      </c>
      <c r="F146" s="3" t="s">
        <v>2867</v>
      </c>
      <c r="G146" t="s">
        <v>2868</v>
      </c>
    </row>
    <row r="147" spans="2:9" x14ac:dyDescent="0.25">
      <c r="B147" s="2">
        <f t="shared" si="2"/>
        <v>145</v>
      </c>
      <c r="C147" s="2">
        <v>1</v>
      </c>
      <c r="D147" s="2">
        <v>71</v>
      </c>
      <c r="E147" s="4" t="s">
        <v>2349</v>
      </c>
      <c r="F147" s="3" t="s">
        <v>2349</v>
      </c>
    </row>
    <row r="148" spans="2:9" x14ac:dyDescent="0.25">
      <c r="B148" s="1">
        <f t="shared" si="2"/>
        <v>146</v>
      </c>
      <c r="C148" s="1">
        <v>1</v>
      </c>
      <c r="D148" s="2">
        <v>72</v>
      </c>
      <c r="E148" s="4" t="s">
        <v>2348</v>
      </c>
      <c r="F148" s="4" t="s">
        <v>2348</v>
      </c>
    </row>
    <row r="149" spans="2:9" ht="75" x14ac:dyDescent="0.25">
      <c r="B149" s="2">
        <f t="shared" si="2"/>
        <v>147</v>
      </c>
      <c r="C149" s="2">
        <v>1</v>
      </c>
      <c r="D149" s="2">
        <v>73</v>
      </c>
      <c r="E149" s="4" t="s">
        <v>2347</v>
      </c>
      <c r="F149" s="3" t="s">
        <v>2347</v>
      </c>
    </row>
    <row r="150" spans="2:9" x14ac:dyDescent="0.25">
      <c r="B150" s="1">
        <f t="shared" si="2"/>
        <v>148</v>
      </c>
      <c r="C150" s="1">
        <v>1</v>
      </c>
      <c r="D150" s="2">
        <v>74</v>
      </c>
      <c r="E150" s="4" t="s">
        <v>2346</v>
      </c>
      <c r="F150" s="4" t="s">
        <v>2346</v>
      </c>
    </row>
    <row r="151" spans="2:9" ht="30" x14ac:dyDescent="0.25">
      <c r="B151" s="2">
        <f t="shared" si="2"/>
        <v>149</v>
      </c>
      <c r="C151" s="2">
        <v>2</v>
      </c>
      <c r="D151" s="2">
        <v>36</v>
      </c>
      <c r="E151" s="4" t="s">
        <v>1067</v>
      </c>
      <c r="F151" s="3" t="s">
        <v>2869</v>
      </c>
      <c r="G151" t="s">
        <v>2870</v>
      </c>
      <c r="H151" t="s">
        <v>2871</v>
      </c>
      <c r="I151" t="s">
        <v>2872</v>
      </c>
    </row>
    <row r="152" spans="2:9" ht="30" x14ac:dyDescent="0.25">
      <c r="B152" s="1">
        <f t="shared" si="2"/>
        <v>150</v>
      </c>
      <c r="C152" s="1">
        <v>2</v>
      </c>
      <c r="D152" s="1">
        <v>37</v>
      </c>
      <c r="E152" s="3" t="s">
        <v>1066</v>
      </c>
      <c r="F152" s="3" t="s">
        <v>2869</v>
      </c>
      <c r="G152" t="s">
        <v>2870</v>
      </c>
      <c r="H152" t="s">
        <v>2873</v>
      </c>
      <c r="I152" t="s">
        <v>2872</v>
      </c>
    </row>
    <row r="153" spans="2:9" x14ac:dyDescent="0.25">
      <c r="B153" s="2">
        <f t="shared" si="2"/>
        <v>151</v>
      </c>
      <c r="C153" s="2">
        <v>2</v>
      </c>
      <c r="D153" s="2">
        <v>38</v>
      </c>
      <c r="E153" s="4" t="s">
        <v>1065</v>
      </c>
      <c r="F153" s="3" t="s">
        <v>2869</v>
      </c>
      <c r="G153" t="s">
        <v>2870</v>
      </c>
      <c r="H153" t="s">
        <v>2872</v>
      </c>
    </row>
    <row r="154" spans="2:9" x14ac:dyDescent="0.25">
      <c r="B154" s="1">
        <f t="shared" si="2"/>
        <v>152</v>
      </c>
      <c r="C154" s="1">
        <v>1</v>
      </c>
      <c r="D154" s="1">
        <v>75</v>
      </c>
      <c r="E154" s="3" t="s">
        <v>2345</v>
      </c>
      <c r="F154" s="3" t="s">
        <v>2345</v>
      </c>
    </row>
    <row r="155" spans="2:9" x14ac:dyDescent="0.25">
      <c r="B155" s="2">
        <f t="shared" si="2"/>
        <v>153</v>
      </c>
      <c r="C155" s="2">
        <v>2</v>
      </c>
      <c r="D155" s="2">
        <v>39</v>
      </c>
      <c r="E155" s="4" t="s">
        <v>1064</v>
      </c>
      <c r="F155" s="3" t="s">
        <v>2874</v>
      </c>
      <c r="G155" t="s">
        <v>2875</v>
      </c>
    </row>
    <row r="156" spans="2:9" x14ac:dyDescent="0.25">
      <c r="B156" s="1">
        <f t="shared" si="2"/>
        <v>154</v>
      </c>
      <c r="C156" s="1">
        <v>1</v>
      </c>
      <c r="D156" s="2">
        <v>76</v>
      </c>
      <c r="E156" s="4" t="s">
        <v>2344</v>
      </c>
      <c r="F156" s="4" t="s">
        <v>2344</v>
      </c>
    </row>
    <row r="157" spans="2:9" x14ac:dyDescent="0.25">
      <c r="B157" s="2">
        <f t="shared" si="2"/>
        <v>155</v>
      </c>
      <c r="C157" s="2">
        <v>1</v>
      </c>
      <c r="D157" s="2">
        <v>77</v>
      </c>
      <c r="E157" s="4" t="s">
        <v>2343</v>
      </c>
      <c r="F157" s="3" t="s">
        <v>2343</v>
      </c>
    </row>
    <row r="158" spans="2:9" x14ac:dyDescent="0.25">
      <c r="B158" s="1">
        <f t="shared" si="2"/>
        <v>156</v>
      </c>
      <c r="C158" s="1">
        <v>1</v>
      </c>
      <c r="D158" s="2">
        <v>78</v>
      </c>
      <c r="E158" s="4" t="s">
        <v>2342</v>
      </c>
      <c r="F158" s="4" t="s">
        <v>2342</v>
      </c>
    </row>
    <row r="159" spans="2:9" x14ac:dyDescent="0.25">
      <c r="B159" s="2">
        <f t="shared" si="2"/>
        <v>157</v>
      </c>
      <c r="C159" s="2">
        <v>1</v>
      </c>
      <c r="D159" s="2">
        <v>79</v>
      </c>
      <c r="E159" s="4" t="s">
        <v>2341</v>
      </c>
      <c r="F159" s="3" t="s">
        <v>2341</v>
      </c>
    </row>
    <row r="160" spans="2:9" x14ac:dyDescent="0.25">
      <c r="B160" s="1">
        <f t="shared" si="2"/>
        <v>158</v>
      </c>
      <c r="C160" s="1">
        <v>1</v>
      </c>
      <c r="D160" s="2">
        <v>80</v>
      </c>
      <c r="E160" s="4" t="s">
        <v>2340</v>
      </c>
      <c r="F160" s="4" t="s">
        <v>2340</v>
      </c>
    </row>
    <row r="161" spans="2:8" x14ac:dyDescent="0.25">
      <c r="B161" s="2">
        <f t="shared" si="2"/>
        <v>159</v>
      </c>
      <c r="C161" s="2">
        <v>1</v>
      </c>
      <c r="D161" s="2">
        <v>81</v>
      </c>
      <c r="E161" s="4" t="s">
        <v>2339</v>
      </c>
      <c r="F161" s="3" t="s">
        <v>2339</v>
      </c>
    </row>
    <row r="162" spans="2:8" x14ac:dyDescent="0.25">
      <c r="B162" s="1">
        <f t="shared" si="2"/>
        <v>160</v>
      </c>
      <c r="C162" s="1">
        <v>1</v>
      </c>
      <c r="D162" s="2">
        <v>82</v>
      </c>
      <c r="E162" s="4" t="s">
        <v>2338</v>
      </c>
      <c r="F162" s="4" t="s">
        <v>2338</v>
      </c>
    </row>
    <row r="163" spans="2:8" x14ac:dyDescent="0.25">
      <c r="B163" s="2">
        <f t="shared" si="2"/>
        <v>161</v>
      </c>
      <c r="C163" s="2">
        <v>2</v>
      </c>
      <c r="D163" s="2">
        <v>40</v>
      </c>
      <c r="E163" s="4" t="s">
        <v>1063</v>
      </c>
      <c r="F163" s="3" t="s">
        <v>2338</v>
      </c>
      <c r="G163" t="s">
        <v>2876</v>
      </c>
      <c r="H163" t="s">
        <v>2877</v>
      </c>
    </row>
    <row r="164" spans="2:8" x14ac:dyDescent="0.25">
      <c r="B164" s="1">
        <f t="shared" si="2"/>
        <v>162</v>
      </c>
      <c r="C164" s="1">
        <v>2</v>
      </c>
      <c r="D164" s="1">
        <v>41</v>
      </c>
      <c r="E164" s="3" t="s">
        <v>1062</v>
      </c>
      <c r="F164" s="3" t="s">
        <v>2338</v>
      </c>
      <c r="G164" t="s">
        <v>2876</v>
      </c>
      <c r="H164" t="s">
        <v>2878</v>
      </c>
    </row>
    <row r="165" spans="2:8" x14ac:dyDescent="0.25">
      <c r="B165" s="2">
        <f t="shared" si="2"/>
        <v>163</v>
      </c>
      <c r="C165" s="2">
        <v>2</v>
      </c>
      <c r="D165" s="2">
        <v>42</v>
      </c>
      <c r="E165" s="4" t="s">
        <v>1061</v>
      </c>
      <c r="F165" s="3" t="s">
        <v>2338</v>
      </c>
      <c r="G165" t="s">
        <v>2876</v>
      </c>
      <c r="H165" t="s">
        <v>2879</v>
      </c>
    </row>
    <row r="166" spans="2:8" x14ac:dyDescent="0.25">
      <c r="B166" s="1">
        <f t="shared" si="2"/>
        <v>164</v>
      </c>
      <c r="C166" s="1">
        <v>2</v>
      </c>
      <c r="D166" s="1">
        <v>43</v>
      </c>
      <c r="E166" s="3" t="s">
        <v>1060</v>
      </c>
      <c r="F166" s="3" t="s">
        <v>2338</v>
      </c>
      <c r="G166" t="s">
        <v>2880</v>
      </c>
    </row>
    <row r="167" spans="2:8" ht="30" x14ac:dyDescent="0.25">
      <c r="B167" s="2">
        <f t="shared" si="2"/>
        <v>165</v>
      </c>
      <c r="C167" s="2">
        <v>2</v>
      </c>
      <c r="D167" s="2" t="s">
        <v>688</v>
      </c>
      <c r="E167" s="4" t="s">
        <v>1059</v>
      </c>
      <c r="F167" s="3" t="s">
        <v>2338</v>
      </c>
      <c r="G167" t="s">
        <v>2881</v>
      </c>
      <c r="H167" t="s">
        <v>2882</v>
      </c>
    </row>
    <row r="168" spans="2:8" x14ac:dyDescent="0.25">
      <c r="B168" s="1">
        <f t="shared" si="2"/>
        <v>166</v>
      </c>
      <c r="C168" s="1">
        <v>2</v>
      </c>
      <c r="D168" s="1">
        <v>44</v>
      </c>
      <c r="E168" s="3" t="s">
        <v>1058</v>
      </c>
      <c r="F168" s="3" t="s">
        <v>2338</v>
      </c>
      <c r="G168" t="s">
        <v>2883</v>
      </c>
    </row>
    <row r="169" spans="2:8" x14ac:dyDescent="0.25">
      <c r="B169" s="2">
        <f t="shared" si="2"/>
        <v>167</v>
      </c>
      <c r="C169" s="2">
        <v>2</v>
      </c>
      <c r="D169" s="2">
        <v>45</v>
      </c>
      <c r="E169" s="4" t="s">
        <v>1057</v>
      </c>
      <c r="F169" s="3" t="s">
        <v>2884</v>
      </c>
      <c r="G169" t="s">
        <v>2880</v>
      </c>
    </row>
    <row r="170" spans="2:8" x14ac:dyDescent="0.25">
      <c r="B170" s="1">
        <f t="shared" si="2"/>
        <v>168</v>
      </c>
      <c r="C170" s="1">
        <v>1</v>
      </c>
      <c r="D170" s="1">
        <v>83</v>
      </c>
      <c r="E170" s="3" t="s">
        <v>2337</v>
      </c>
      <c r="F170" s="3" t="s">
        <v>2337</v>
      </c>
    </row>
    <row r="171" spans="2:8" x14ac:dyDescent="0.25">
      <c r="B171" s="2">
        <f t="shared" si="2"/>
        <v>169</v>
      </c>
      <c r="C171" s="2">
        <v>2</v>
      </c>
      <c r="D171" s="2">
        <v>46</v>
      </c>
      <c r="E171" s="4" t="s">
        <v>1056</v>
      </c>
      <c r="F171" s="3" t="s">
        <v>2337</v>
      </c>
      <c r="G171" t="s">
        <v>2885</v>
      </c>
    </row>
    <row r="172" spans="2:8" x14ac:dyDescent="0.25">
      <c r="B172" s="1">
        <f t="shared" si="2"/>
        <v>170</v>
      </c>
      <c r="C172" s="1">
        <v>2</v>
      </c>
      <c r="D172" s="1">
        <v>47</v>
      </c>
      <c r="E172" s="3" t="s">
        <v>1055</v>
      </c>
      <c r="F172" s="3" t="s">
        <v>2337</v>
      </c>
      <c r="G172" t="s">
        <v>2883</v>
      </c>
    </row>
    <row r="173" spans="2:8" x14ac:dyDescent="0.25">
      <c r="B173" s="2">
        <f t="shared" si="2"/>
        <v>171</v>
      </c>
      <c r="C173" s="2">
        <v>2</v>
      </c>
      <c r="D173" s="2">
        <v>48</v>
      </c>
      <c r="E173" s="4" t="s">
        <v>1054</v>
      </c>
      <c r="F173" s="3" t="s">
        <v>2886</v>
      </c>
      <c r="G173" t="s">
        <v>2887</v>
      </c>
    </row>
    <row r="174" spans="2:8" x14ac:dyDescent="0.25">
      <c r="B174" s="1">
        <f t="shared" si="2"/>
        <v>172</v>
      </c>
      <c r="C174" s="1">
        <v>1</v>
      </c>
      <c r="D174" s="2">
        <v>84</v>
      </c>
      <c r="E174" s="4" t="s">
        <v>2336</v>
      </c>
      <c r="F174" s="4" t="s">
        <v>2336</v>
      </c>
    </row>
    <row r="175" spans="2:8" x14ac:dyDescent="0.25">
      <c r="B175" s="2">
        <f t="shared" si="2"/>
        <v>173</v>
      </c>
      <c r="C175" s="2">
        <v>1</v>
      </c>
      <c r="D175" s="2">
        <v>85</v>
      </c>
      <c r="E175" s="4" t="s">
        <v>2335</v>
      </c>
      <c r="F175" s="3" t="s">
        <v>2335</v>
      </c>
    </row>
    <row r="176" spans="2:8" x14ac:dyDescent="0.25">
      <c r="B176" s="1">
        <f t="shared" si="2"/>
        <v>174</v>
      </c>
      <c r="C176" s="1">
        <v>1</v>
      </c>
      <c r="D176" s="2">
        <v>86</v>
      </c>
      <c r="E176" s="4" t="s">
        <v>2334</v>
      </c>
      <c r="F176" s="4" t="s">
        <v>2334</v>
      </c>
    </row>
    <row r="177" spans="2:9" x14ac:dyDescent="0.25">
      <c r="B177" s="2">
        <f t="shared" si="2"/>
        <v>175</v>
      </c>
      <c r="C177" s="2">
        <v>1</v>
      </c>
      <c r="D177" s="2">
        <v>87</v>
      </c>
      <c r="E177" s="4" t="s">
        <v>2333</v>
      </c>
      <c r="F177" s="3" t="s">
        <v>2333</v>
      </c>
    </row>
    <row r="178" spans="2:9" ht="30" x14ac:dyDescent="0.25">
      <c r="B178" s="1">
        <f t="shared" si="2"/>
        <v>176</v>
      </c>
      <c r="C178" s="1">
        <v>1</v>
      </c>
      <c r="D178" s="2" t="s">
        <v>2332</v>
      </c>
      <c r="E178" s="4" t="s">
        <v>2331</v>
      </c>
      <c r="F178" s="4" t="s">
        <v>2331</v>
      </c>
    </row>
    <row r="179" spans="2:9" ht="30" x14ac:dyDescent="0.25">
      <c r="B179" s="2">
        <f t="shared" si="2"/>
        <v>177</v>
      </c>
      <c r="C179" s="2">
        <v>1</v>
      </c>
      <c r="D179" s="2">
        <v>88</v>
      </c>
      <c r="E179" s="4" t="s">
        <v>2330</v>
      </c>
      <c r="F179" s="3" t="s">
        <v>2330</v>
      </c>
    </row>
    <row r="180" spans="2:9" ht="30" x14ac:dyDescent="0.25">
      <c r="B180" s="1">
        <f t="shared" si="2"/>
        <v>178</v>
      </c>
      <c r="C180" s="1">
        <v>1</v>
      </c>
      <c r="D180" s="2">
        <v>89</v>
      </c>
      <c r="E180" s="4" t="s">
        <v>2329</v>
      </c>
      <c r="F180" s="4" t="s">
        <v>2329</v>
      </c>
    </row>
    <row r="181" spans="2:9" x14ac:dyDescent="0.25">
      <c r="B181" s="2">
        <f t="shared" si="2"/>
        <v>179</v>
      </c>
      <c r="C181" s="2">
        <v>1</v>
      </c>
      <c r="D181" s="2">
        <v>90</v>
      </c>
      <c r="E181" s="4" t="s">
        <v>2328</v>
      </c>
      <c r="F181" s="3" t="s">
        <v>2328</v>
      </c>
    </row>
    <row r="182" spans="2:9" x14ac:dyDescent="0.25">
      <c r="B182" s="1">
        <f t="shared" si="2"/>
        <v>180</v>
      </c>
      <c r="C182" s="1">
        <v>1</v>
      </c>
      <c r="D182" s="2">
        <v>91</v>
      </c>
      <c r="E182" s="4" t="s">
        <v>2327</v>
      </c>
      <c r="F182" s="4" t="s">
        <v>2327</v>
      </c>
    </row>
    <row r="183" spans="2:9" x14ac:dyDescent="0.25">
      <c r="B183" s="2">
        <f t="shared" si="2"/>
        <v>181</v>
      </c>
      <c r="C183" s="2">
        <v>1</v>
      </c>
      <c r="D183" s="2">
        <v>92</v>
      </c>
      <c r="E183" s="4" t="s">
        <v>2326</v>
      </c>
      <c r="F183" s="3" t="s">
        <v>2326</v>
      </c>
    </row>
    <row r="184" spans="2:9" x14ac:dyDescent="0.25">
      <c r="B184" s="1">
        <f t="shared" si="2"/>
        <v>182</v>
      </c>
      <c r="C184" s="1">
        <v>1</v>
      </c>
      <c r="D184" s="1">
        <v>93</v>
      </c>
      <c r="E184" s="3" t="s">
        <v>2324</v>
      </c>
      <c r="F184" s="3" t="s">
        <v>2324</v>
      </c>
    </row>
    <row r="185" spans="2:9" ht="30" x14ac:dyDescent="0.25">
      <c r="B185" s="2">
        <f t="shared" si="2"/>
        <v>183</v>
      </c>
      <c r="C185" s="2">
        <v>1</v>
      </c>
      <c r="D185" s="2" t="s">
        <v>628</v>
      </c>
      <c r="E185" s="4" t="s">
        <v>2325</v>
      </c>
      <c r="F185" s="4" t="s">
        <v>2325</v>
      </c>
    </row>
    <row r="186" spans="2:9" x14ac:dyDescent="0.25">
      <c r="B186" s="1">
        <f t="shared" si="2"/>
        <v>184</v>
      </c>
      <c r="C186" s="1">
        <v>1</v>
      </c>
      <c r="D186" s="2">
        <v>94</v>
      </c>
      <c r="E186" s="4" t="s">
        <v>2323</v>
      </c>
      <c r="F186" s="4" t="s">
        <v>2323</v>
      </c>
    </row>
    <row r="187" spans="2:9" x14ac:dyDescent="0.25">
      <c r="B187" s="2">
        <f t="shared" si="2"/>
        <v>185</v>
      </c>
      <c r="C187" s="2">
        <v>1</v>
      </c>
      <c r="D187" s="2">
        <v>95</v>
      </c>
      <c r="E187" s="4" t="s">
        <v>2322</v>
      </c>
      <c r="F187" s="3" t="s">
        <v>2322</v>
      </c>
    </row>
    <row r="188" spans="2:9" x14ac:dyDescent="0.25">
      <c r="B188" s="1">
        <f t="shared" si="2"/>
        <v>186</v>
      </c>
      <c r="C188" s="1">
        <v>2</v>
      </c>
      <c r="D188" s="1">
        <v>49</v>
      </c>
      <c r="E188" s="3" t="s">
        <v>1053</v>
      </c>
      <c r="F188" s="3" t="s">
        <v>2322</v>
      </c>
      <c r="G188" t="s">
        <v>2888</v>
      </c>
      <c r="H188" t="s">
        <v>2889</v>
      </c>
      <c r="I188" t="s">
        <v>2890</v>
      </c>
    </row>
    <row r="189" spans="2:9" x14ac:dyDescent="0.25">
      <c r="B189" s="2">
        <f t="shared" si="2"/>
        <v>187</v>
      </c>
      <c r="C189" s="2">
        <v>2</v>
      </c>
      <c r="D189" s="2">
        <v>50</v>
      </c>
      <c r="E189" s="4" t="s">
        <v>1052</v>
      </c>
      <c r="F189" s="3" t="s">
        <v>2322</v>
      </c>
      <c r="G189" t="s">
        <v>2891</v>
      </c>
      <c r="H189" t="s">
        <v>2889</v>
      </c>
      <c r="I189" t="s">
        <v>2890</v>
      </c>
    </row>
    <row r="190" spans="2:9" x14ac:dyDescent="0.25">
      <c r="B190" s="1">
        <f t="shared" si="2"/>
        <v>188</v>
      </c>
      <c r="C190" s="1">
        <v>3</v>
      </c>
      <c r="D190" s="1">
        <v>21</v>
      </c>
      <c r="E190" s="3" t="s">
        <v>711</v>
      </c>
      <c r="F190" s="3" t="s">
        <v>711</v>
      </c>
    </row>
    <row r="191" spans="2:9" x14ac:dyDescent="0.25">
      <c r="B191" s="2">
        <f t="shared" si="2"/>
        <v>189</v>
      </c>
      <c r="C191" s="2">
        <v>2</v>
      </c>
      <c r="D191" s="2">
        <v>51</v>
      </c>
      <c r="E191" s="4" t="s">
        <v>1051</v>
      </c>
      <c r="F191" s="3" t="s">
        <v>711</v>
      </c>
      <c r="G191" t="s">
        <v>2892</v>
      </c>
    </row>
    <row r="192" spans="2:9" x14ac:dyDescent="0.25">
      <c r="B192" s="1">
        <f t="shared" si="2"/>
        <v>190</v>
      </c>
      <c r="C192" s="1">
        <v>2</v>
      </c>
      <c r="D192" s="1" t="s">
        <v>1050</v>
      </c>
      <c r="E192" s="3" t="s">
        <v>1049</v>
      </c>
      <c r="F192" s="3" t="s">
        <v>711</v>
      </c>
      <c r="G192" t="s">
        <v>2893</v>
      </c>
    </row>
    <row r="193" spans="2:7" x14ac:dyDescent="0.25">
      <c r="B193" s="2">
        <f t="shared" si="2"/>
        <v>191</v>
      </c>
      <c r="C193" s="2">
        <v>2</v>
      </c>
      <c r="D193" s="2">
        <v>52</v>
      </c>
      <c r="E193" s="4" t="s">
        <v>1048</v>
      </c>
      <c r="F193" s="3" t="s">
        <v>711</v>
      </c>
      <c r="G193" t="s">
        <v>2894</v>
      </c>
    </row>
    <row r="194" spans="2:7" x14ac:dyDescent="0.25">
      <c r="B194" s="1">
        <f t="shared" si="2"/>
        <v>192</v>
      </c>
      <c r="C194" s="1">
        <v>2</v>
      </c>
      <c r="D194" s="1">
        <v>53</v>
      </c>
      <c r="E194" s="3" t="s">
        <v>1047</v>
      </c>
      <c r="F194" s="3" t="s">
        <v>711</v>
      </c>
      <c r="G194" t="s">
        <v>2895</v>
      </c>
    </row>
    <row r="195" spans="2:7" x14ac:dyDescent="0.25">
      <c r="B195" s="2">
        <f t="shared" si="2"/>
        <v>193</v>
      </c>
      <c r="C195" s="2">
        <v>1</v>
      </c>
      <c r="D195" s="2">
        <v>96</v>
      </c>
      <c r="E195" s="4" t="s">
        <v>2321</v>
      </c>
      <c r="F195" s="4" t="s">
        <v>2321</v>
      </c>
    </row>
    <row r="196" spans="2:7" x14ac:dyDescent="0.25">
      <c r="B196" s="1">
        <f t="shared" si="2"/>
        <v>194</v>
      </c>
      <c r="C196" s="1">
        <v>1</v>
      </c>
      <c r="D196" s="1">
        <v>97</v>
      </c>
      <c r="E196" s="3" t="s">
        <v>2320</v>
      </c>
      <c r="F196" s="3" t="s">
        <v>2320</v>
      </c>
    </row>
    <row r="197" spans="2:7" x14ac:dyDescent="0.25">
      <c r="B197" s="2">
        <f t="shared" ref="B197:B260" si="3">+B196+1</f>
        <v>195</v>
      </c>
      <c r="C197" s="2">
        <v>1</v>
      </c>
      <c r="D197" s="2">
        <v>98</v>
      </c>
      <c r="E197" s="4" t="s">
        <v>2319</v>
      </c>
      <c r="F197" s="4" t="s">
        <v>2319</v>
      </c>
    </row>
    <row r="198" spans="2:7" x14ac:dyDescent="0.25">
      <c r="B198" s="1">
        <f t="shared" si="3"/>
        <v>196</v>
      </c>
      <c r="C198" s="1">
        <v>2</v>
      </c>
      <c r="D198" s="1">
        <v>54</v>
      </c>
      <c r="E198" s="3" t="s">
        <v>1046</v>
      </c>
      <c r="F198" s="3" t="s">
        <v>2319</v>
      </c>
      <c r="G198" t="s">
        <v>2896</v>
      </c>
    </row>
    <row r="199" spans="2:7" x14ac:dyDescent="0.25">
      <c r="B199" s="2">
        <f t="shared" si="3"/>
        <v>197</v>
      </c>
      <c r="C199" s="2">
        <v>1</v>
      </c>
      <c r="D199" s="2">
        <v>99</v>
      </c>
      <c r="E199" s="4" t="s">
        <v>2318</v>
      </c>
      <c r="F199" s="3" t="s">
        <v>2318</v>
      </c>
    </row>
    <row r="200" spans="2:7" x14ac:dyDescent="0.25">
      <c r="B200" s="1">
        <f t="shared" si="3"/>
        <v>198</v>
      </c>
      <c r="C200" s="1">
        <v>1</v>
      </c>
      <c r="D200" s="2">
        <v>100</v>
      </c>
      <c r="E200" s="4" t="s">
        <v>2317</v>
      </c>
      <c r="F200" s="4" t="s">
        <v>2317</v>
      </c>
    </row>
    <row r="201" spans="2:7" x14ac:dyDescent="0.25">
      <c r="B201" s="2">
        <f t="shared" si="3"/>
        <v>199</v>
      </c>
      <c r="C201" s="2">
        <v>3</v>
      </c>
      <c r="D201" s="2">
        <v>22</v>
      </c>
      <c r="E201" s="4" t="s">
        <v>710</v>
      </c>
      <c r="F201" s="3" t="s">
        <v>710</v>
      </c>
    </row>
    <row r="202" spans="2:7" x14ac:dyDescent="0.25">
      <c r="B202" s="1">
        <f t="shared" si="3"/>
        <v>200</v>
      </c>
      <c r="C202" s="1">
        <v>1</v>
      </c>
      <c r="D202" s="1">
        <v>101</v>
      </c>
      <c r="E202" s="3" t="s">
        <v>2316</v>
      </c>
      <c r="F202" s="3" t="s">
        <v>2316</v>
      </c>
    </row>
    <row r="203" spans="2:7" x14ac:dyDescent="0.25">
      <c r="B203" s="2">
        <f t="shared" si="3"/>
        <v>201</v>
      </c>
      <c r="C203" s="2">
        <v>1</v>
      </c>
      <c r="D203" s="2">
        <v>102</v>
      </c>
      <c r="E203" s="4" t="s">
        <v>2315</v>
      </c>
      <c r="F203" s="4" t="s">
        <v>2315</v>
      </c>
    </row>
    <row r="204" spans="2:7" x14ac:dyDescent="0.25">
      <c r="B204" s="1">
        <f t="shared" si="3"/>
        <v>202</v>
      </c>
      <c r="C204" s="1">
        <v>2</v>
      </c>
      <c r="D204" s="1">
        <v>55</v>
      </c>
      <c r="E204" s="3" t="s">
        <v>1045</v>
      </c>
      <c r="F204" s="3" t="s">
        <v>2315</v>
      </c>
      <c r="G204" t="s">
        <v>2897</v>
      </c>
    </row>
    <row r="205" spans="2:7" x14ac:dyDescent="0.25">
      <c r="B205" s="2">
        <f t="shared" si="3"/>
        <v>203</v>
      </c>
      <c r="C205" s="2">
        <v>2</v>
      </c>
      <c r="D205" s="2">
        <v>56</v>
      </c>
      <c r="E205" s="4" t="s">
        <v>1044</v>
      </c>
      <c r="F205" s="3" t="s">
        <v>2315</v>
      </c>
      <c r="G205" t="s">
        <v>2875</v>
      </c>
    </row>
    <row r="206" spans="2:7" x14ac:dyDescent="0.25">
      <c r="B206" s="1">
        <f t="shared" si="3"/>
        <v>204</v>
      </c>
      <c r="C206" s="1">
        <v>2</v>
      </c>
      <c r="D206" s="1">
        <v>57</v>
      </c>
      <c r="E206" s="3" t="s">
        <v>1043</v>
      </c>
      <c r="F206" s="3" t="s">
        <v>2315</v>
      </c>
      <c r="G206" t="s">
        <v>2834</v>
      </c>
    </row>
    <row r="207" spans="2:7" x14ac:dyDescent="0.25">
      <c r="B207" s="2">
        <f t="shared" si="3"/>
        <v>205</v>
      </c>
      <c r="C207" s="2">
        <v>2</v>
      </c>
      <c r="D207" s="2" t="s">
        <v>1042</v>
      </c>
      <c r="E207" s="4" t="s">
        <v>1041</v>
      </c>
      <c r="F207" s="3" t="s">
        <v>2898</v>
      </c>
      <c r="G207" t="s">
        <v>2899</v>
      </c>
    </row>
    <row r="208" spans="2:7" x14ac:dyDescent="0.25">
      <c r="B208" s="1">
        <f t="shared" si="3"/>
        <v>206</v>
      </c>
      <c r="C208" s="1">
        <v>2</v>
      </c>
      <c r="D208" s="1">
        <v>58</v>
      </c>
      <c r="E208" s="3" t="s">
        <v>1040</v>
      </c>
      <c r="F208" s="3" t="s">
        <v>2898</v>
      </c>
      <c r="G208" t="s">
        <v>2900</v>
      </c>
    </row>
    <row r="209" spans="2:7" x14ac:dyDescent="0.25">
      <c r="B209" s="2">
        <f t="shared" si="3"/>
        <v>207</v>
      </c>
      <c r="C209" s="2">
        <v>1</v>
      </c>
      <c r="D209" s="2">
        <v>103</v>
      </c>
      <c r="E209" s="4" t="s">
        <v>2314</v>
      </c>
      <c r="F209" s="3" t="s">
        <v>2314</v>
      </c>
    </row>
    <row r="210" spans="2:7" x14ac:dyDescent="0.25">
      <c r="B210" s="1">
        <f t="shared" si="3"/>
        <v>208</v>
      </c>
      <c r="C210" s="1">
        <v>2</v>
      </c>
      <c r="D210" s="1">
        <v>59</v>
      </c>
      <c r="E210" s="3" t="s">
        <v>1039</v>
      </c>
      <c r="F210" s="3" t="s">
        <v>2314</v>
      </c>
      <c r="G210" t="s">
        <v>2897</v>
      </c>
    </row>
    <row r="211" spans="2:7" x14ac:dyDescent="0.25">
      <c r="B211" s="2">
        <f t="shared" si="3"/>
        <v>209</v>
      </c>
      <c r="C211" s="2">
        <v>2</v>
      </c>
      <c r="D211" s="2">
        <v>60</v>
      </c>
      <c r="E211" s="4" t="s">
        <v>1038</v>
      </c>
      <c r="F211" s="3" t="s">
        <v>2314</v>
      </c>
      <c r="G211" t="s">
        <v>2900</v>
      </c>
    </row>
    <row r="212" spans="2:7" x14ac:dyDescent="0.25">
      <c r="B212" s="1">
        <f t="shared" si="3"/>
        <v>210</v>
      </c>
      <c r="C212" s="1">
        <v>1</v>
      </c>
      <c r="D212" s="2">
        <v>104</v>
      </c>
      <c r="E212" s="4" t="s">
        <v>2313</v>
      </c>
      <c r="F212" s="4" t="s">
        <v>2313</v>
      </c>
    </row>
    <row r="213" spans="2:7" x14ac:dyDescent="0.25">
      <c r="B213" s="2">
        <f t="shared" si="3"/>
        <v>211</v>
      </c>
      <c r="C213" s="2">
        <v>1</v>
      </c>
      <c r="D213" s="2">
        <v>105</v>
      </c>
      <c r="E213" s="4" t="s">
        <v>2312</v>
      </c>
      <c r="F213" s="3" t="s">
        <v>2312</v>
      </c>
    </row>
    <row r="214" spans="2:7" x14ac:dyDescent="0.25">
      <c r="B214" s="1">
        <f t="shared" si="3"/>
        <v>212</v>
      </c>
      <c r="C214" s="1">
        <v>1</v>
      </c>
      <c r="D214" s="2">
        <v>106</v>
      </c>
      <c r="E214" s="4" t="s">
        <v>2311</v>
      </c>
      <c r="F214" s="4" t="s">
        <v>2311</v>
      </c>
    </row>
    <row r="215" spans="2:7" ht="30" x14ac:dyDescent="0.25">
      <c r="B215" s="2">
        <f t="shared" si="3"/>
        <v>213</v>
      </c>
      <c r="C215" s="2">
        <v>1</v>
      </c>
      <c r="D215" s="2" t="s">
        <v>2310</v>
      </c>
      <c r="E215" s="4" t="s">
        <v>2309</v>
      </c>
      <c r="F215" s="3" t="s">
        <v>2309</v>
      </c>
    </row>
    <row r="216" spans="2:7" x14ac:dyDescent="0.25">
      <c r="B216" s="1">
        <f t="shared" si="3"/>
        <v>214</v>
      </c>
      <c r="C216" s="1">
        <v>1</v>
      </c>
      <c r="D216" s="2">
        <v>107</v>
      </c>
      <c r="E216" s="4" t="s">
        <v>2308</v>
      </c>
      <c r="F216" s="4" t="s">
        <v>2308</v>
      </c>
    </row>
    <row r="217" spans="2:7" x14ac:dyDescent="0.25">
      <c r="B217" s="2">
        <f t="shared" si="3"/>
        <v>215</v>
      </c>
      <c r="C217" s="2">
        <v>1</v>
      </c>
      <c r="D217" s="2">
        <v>108</v>
      </c>
      <c r="E217" s="4" t="s">
        <v>2307</v>
      </c>
      <c r="F217" s="3" t="s">
        <v>2307</v>
      </c>
    </row>
    <row r="218" spans="2:7" x14ac:dyDescent="0.25">
      <c r="B218" s="1">
        <f t="shared" si="3"/>
        <v>216</v>
      </c>
      <c r="C218" s="1">
        <v>1</v>
      </c>
      <c r="D218" s="2">
        <v>109</v>
      </c>
      <c r="E218" s="4" t="s">
        <v>2306</v>
      </c>
      <c r="F218" s="4" t="s">
        <v>2306</v>
      </c>
    </row>
    <row r="219" spans="2:7" ht="30" x14ac:dyDescent="0.25">
      <c r="B219" s="2">
        <f t="shared" si="3"/>
        <v>217</v>
      </c>
      <c r="C219" s="2">
        <v>1</v>
      </c>
      <c r="D219" s="2" t="s">
        <v>2305</v>
      </c>
      <c r="E219" s="4" t="s">
        <v>2304</v>
      </c>
      <c r="F219" s="3" t="s">
        <v>2304</v>
      </c>
    </row>
    <row r="220" spans="2:7" x14ac:dyDescent="0.25">
      <c r="B220" s="1">
        <f t="shared" si="3"/>
        <v>218</v>
      </c>
      <c r="C220" s="1">
        <v>2</v>
      </c>
      <c r="D220" s="1">
        <v>61</v>
      </c>
      <c r="E220" s="3" t="s">
        <v>1037</v>
      </c>
      <c r="F220" s="3" t="s">
        <v>2901</v>
      </c>
      <c r="G220" t="s">
        <v>2902</v>
      </c>
    </row>
    <row r="221" spans="2:7" x14ac:dyDescent="0.25">
      <c r="B221" s="2">
        <f t="shared" si="3"/>
        <v>219</v>
      </c>
      <c r="C221" s="2">
        <v>2</v>
      </c>
      <c r="D221" s="2">
        <v>62</v>
      </c>
      <c r="E221" s="4" t="s">
        <v>1036</v>
      </c>
      <c r="F221" s="3" t="s">
        <v>2901</v>
      </c>
      <c r="G221" t="s">
        <v>2820</v>
      </c>
    </row>
    <row r="222" spans="2:7" x14ac:dyDescent="0.25">
      <c r="B222" s="1">
        <f t="shared" si="3"/>
        <v>220</v>
      </c>
      <c r="C222" s="1">
        <v>2</v>
      </c>
      <c r="D222" s="1">
        <v>63</v>
      </c>
      <c r="E222" s="3" t="s">
        <v>1035</v>
      </c>
      <c r="F222" s="3" t="s">
        <v>2903</v>
      </c>
      <c r="G222" t="s">
        <v>2820</v>
      </c>
    </row>
    <row r="223" spans="2:7" x14ac:dyDescent="0.25">
      <c r="B223" s="2">
        <f t="shared" si="3"/>
        <v>221</v>
      </c>
      <c r="C223" s="2">
        <v>1</v>
      </c>
      <c r="D223" s="2">
        <v>110</v>
      </c>
      <c r="E223" s="4" t="s">
        <v>2303</v>
      </c>
      <c r="F223" s="4" t="s">
        <v>2303</v>
      </c>
    </row>
    <row r="224" spans="2:7" x14ac:dyDescent="0.25">
      <c r="B224" s="1">
        <f t="shared" si="3"/>
        <v>222</v>
      </c>
      <c r="C224" s="1">
        <v>1</v>
      </c>
      <c r="D224" s="1">
        <v>111</v>
      </c>
      <c r="E224" s="3" t="s">
        <v>2302</v>
      </c>
      <c r="F224" s="3" t="s">
        <v>2302</v>
      </c>
    </row>
    <row r="225" spans="2:7" x14ac:dyDescent="0.25">
      <c r="B225" s="2">
        <f t="shared" si="3"/>
        <v>223</v>
      </c>
      <c r="C225" s="2">
        <v>1</v>
      </c>
      <c r="D225" s="2">
        <v>112</v>
      </c>
      <c r="E225" s="4" t="s">
        <v>2301</v>
      </c>
      <c r="F225" s="4" t="s">
        <v>2301</v>
      </c>
    </row>
    <row r="226" spans="2:7" ht="30" x14ac:dyDescent="0.25">
      <c r="B226" s="1">
        <f t="shared" si="3"/>
        <v>224</v>
      </c>
      <c r="C226" s="1">
        <v>1</v>
      </c>
      <c r="D226" s="1" t="s">
        <v>2300</v>
      </c>
      <c r="E226" s="3" t="s">
        <v>2299</v>
      </c>
      <c r="F226" s="3" t="s">
        <v>2299</v>
      </c>
    </row>
    <row r="227" spans="2:7" ht="30" x14ac:dyDescent="0.25">
      <c r="B227" s="2">
        <f t="shared" si="3"/>
        <v>225</v>
      </c>
      <c r="C227" s="2">
        <v>1</v>
      </c>
      <c r="D227" s="2" t="s">
        <v>2298</v>
      </c>
      <c r="E227" s="4" t="s">
        <v>2297</v>
      </c>
      <c r="F227" s="4" t="s">
        <v>2297</v>
      </c>
    </row>
    <row r="228" spans="2:7" x14ac:dyDescent="0.25">
      <c r="B228" s="1">
        <f t="shared" si="3"/>
        <v>226</v>
      </c>
      <c r="C228" s="1">
        <v>1</v>
      </c>
      <c r="D228" s="1">
        <v>113</v>
      </c>
      <c r="E228" s="3" t="s">
        <v>2296</v>
      </c>
      <c r="F228" s="3" t="s">
        <v>2296</v>
      </c>
    </row>
    <row r="229" spans="2:7" x14ac:dyDescent="0.25">
      <c r="B229" s="2">
        <f t="shared" si="3"/>
        <v>227</v>
      </c>
      <c r="C229" s="2">
        <v>1</v>
      </c>
      <c r="D229" s="2">
        <v>114</v>
      </c>
      <c r="E229" s="4" t="s">
        <v>2295</v>
      </c>
      <c r="F229" s="4" t="s">
        <v>2295</v>
      </c>
    </row>
    <row r="230" spans="2:7" x14ac:dyDescent="0.25">
      <c r="B230" s="1">
        <f t="shared" si="3"/>
        <v>228</v>
      </c>
      <c r="C230" s="1">
        <v>1</v>
      </c>
      <c r="D230" s="1">
        <v>115</v>
      </c>
      <c r="E230" s="3" t="s">
        <v>2294</v>
      </c>
      <c r="F230" s="3" t="s">
        <v>2294</v>
      </c>
    </row>
    <row r="231" spans="2:7" x14ac:dyDescent="0.25">
      <c r="B231" s="2">
        <f t="shared" si="3"/>
        <v>229</v>
      </c>
      <c r="C231" s="2">
        <v>1</v>
      </c>
      <c r="D231" s="2">
        <v>116</v>
      </c>
      <c r="E231" s="4" t="s">
        <v>2293</v>
      </c>
      <c r="F231" s="4" t="s">
        <v>2293</v>
      </c>
    </row>
    <row r="232" spans="2:7" x14ac:dyDescent="0.25">
      <c r="B232" s="1">
        <f t="shared" si="3"/>
        <v>230</v>
      </c>
      <c r="C232" s="1">
        <v>2</v>
      </c>
      <c r="D232" s="1">
        <v>64</v>
      </c>
      <c r="E232" s="3" t="s">
        <v>1034</v>
      </c>
      <c r="F232" s="3" t="s">
        <v>2293</v>
      </c>
      <c r="G232" t="s">
        <v>2904</v>
      </c>
    </row>
    <row r="233" spans="2:7" x14ac:dyDescent="0.25">
      <c r="B233" s="2">
        <f t="shared" si="3"/>
        <v>231</v>
      </c>
      <c r="C233" s="2">
        <v>1</v>
      </c>
      <c r="D233" s="2">
        <v>117</v>
      </c>
      <c r="E233" s="4" t="s">
        <v>2292</v>
      </c>
      <c r="F233" s="3" t="s">
        <v>2292</v>
      </c>
    </row>
    <row r="234" spans="2:7" x14ac:dyDescent="0.25">
      <c r="B234" s="1">
        <f t="shared" si="3"/>
        <v>232</v>
      </c>
      <c r="C234" s="1">
        <v>2</v>
      </c>
      <c r="D234" s="1">
        <v>65</v>
      </c>
      <c r="E234" s="3" t="s">
        <v>1033</v>
      </c>
      <c r="F234" s="3" t="s">
        <v>2905</v>
      </c>
      <c r="G234" t="s">
        <v>2906</v>
      </c>
    </row>
    <row r="235" spans="2:7" x14ac:dyDescent="0.25">
      <c r="B235" s="2">
        <f t="shared" si="3"/>
        <v>233</v>
      </c>
      <c r="C235" s="2">
        <v>1</v>
      </c>
      <c r="D235" s="2">
        <v>118</v>
      </c>
      <c r="E235" s="4" t="s">
        <v>2291</v>
      </c>
      <c r="F235" s="4" t="s">
        <v>2291</v>
      </c>
    </row>
    <row r="236" spans="2:7" x14ac:dyDescent="0.25">
      <c r="B236" s="1">
        <f t="shared" si="3"/>
        <v>234</v>
      </c>
      <c r="C236" s="1">
        <v>1</v>
      </c>
      <c r="D236" s="1">
        <v>119</v>
      </c>
      <c r="E236" s="3" t="s">
        <v>2290</v>
      </c>
      <c r="F236" s="3" t="s">
        <v>2290</v>
      </c>
    </row>
    <row r="237" spans="2:7" x14ac:dyDescent="0.25">
      <c r="B237" s="2">
        <f t="shared" si="3"/>
        <v>235</v>
      </c>
      <c r="C237" s="2">
        <v>1</v>
      </c>
      <c r="D237" s="2">
        <v>120</v>
      </c>
      <c r="E237" s="4" t="s">
        <v>2289</v>
      </c>
      <c r="F237" s="4" t="s">
        <v>2289</v>
      </c>
    </row>
    <row r="238" spans="2:7" x14ac:dyDescent="0.25">
      <c r="B238" s="1">
        <f t="shared" si="3"/>
        <v>236</v>
      </c>
      <c r="C238" s="1">
        <v>1</v>
      </c>
      <c r="D238" s="1">
        <v>121</v>
      </c>
      <c r="E238" s="3" t="s">
        <v>2288</v>
      </c>
      <c r="F238" s="3" t="s">
        <v>2288</v>
      </c>
    </row>
    <row r="239" spans="2:7" x14ac:dyDescent="0.25">
      <c r="B239" s="2">
        <f t="shared" si="3"/>
        <v>237</v>
      </c>
      <c r="C239" s="2">
        <v>1</v>
      </c>
      <c r="D239" s="2">
        <v>122</v>
      </c>
      <c r="E239" s="4" t="s">
        <v>2287</v>
      </c>
      <c r="F239" s="4" t="s">
        <v>2287</v>
      </c>
    </row>
    <row r="240" spans="2:7" x14ac:dyDescent="0.25">
      <c r="B240" s="1">
        <f t="shared" si="3"/>
        <v>238</v>
      </c>
      <c r="C240" s="1">
        <v>2</v>
      </c>
      <c r="D240" s="1">
        <v>66</v>
      </c>
      <c r="E240" s="3" t="s">
        <v>1032</v>
      </c>
      <c r="F240" s="3" t="s">
        <v>2287</v>
      </c>
      <c r="G240" t="s">
        <v>2907</v>
      </c>
    </row>
    <row r="241" spans="2:8" ht="30" x14ac:dyDescent="0.25">
      <c r="B241" s="2">
        <f t="shared" si="3"/>
        <v>239</v>
      </c>
      <c r="C241" s="2">
        <v>2</v>
      </c>
      <c r="D241" s="2" t="s">
        <v>1027</v>
      </c>
      <c r="E241" s="4" t="s">
        <v>1026</v>
      </c>
      <c r="F241" s="3" t="s">
        <v>2287</v>
      </c>
      <c r="G241" t="s">
        <v>2908</v>
      </c>
    </row>
    <row r="242" spans="2:8" ht="30" x14ac:dyDescent="0.25">
      <c r="B242" s="1">
        <f t="shared" si="3"/>
        <v>240</v>
      </c>
      <c r="C242" s="1">
        <v>2</v>
      </c>
      <c r="D242" s="1" t="s">
        <v>1031</v>
      </c>
      <c r="E242" s="3" t="s">
        <v>1030</v>
      </c>
      <c r="F242" s="3" t="s">
        <v>2287</v>
      </c>
      <c r="G242" t="s">
        <v>2909</v>
      </c>
      <c r="H242" t="s">
        <v>2910</v>
      </c>
    </row>
    <row r="243" spans="2:8" ht="30" x14ac:dyDescent="0.25">
      <c r="B243" s="2">
        <f t="shared" si="3"/>
        <v>241</v>
      </c>
      <c r="C243" s="2">
        <v>2</v>
      </c>
      <c r="D243" s="2" t="s">
        <v>1029</v>
      </c>
      <c r="E243" s="4" t="s">
        <v>1028</v>
      </c>
      <c r="F243" s="3" t="s">
        <v>2287</v>
      </c>
      <c r="G243" t="s">
        <v>2909</v>
      </c>
      <c r="H243" t="s">
        <v>2911</v>
      </c>
    </row>
    <row r="244" spans="2:8" ht="30" x14ac:dyDescent="0.25">
      <c r="B244" s="1">
        <f t="shared" si="3"/>
        <v>242</v>
      </c>
      <c r="C244" s="1">
        <v>2</v>
      </c>
      <c r="D244" s="1" t="s">
        <v>1025</v>
      </c>
      <c r="E244" s="3" t="s">
        <v>1024</v>
      </c>
      <c r="F244" s="3" t="s">
        <v>2287</v>
      </c>
      <c r="G244" t="s">
        <v>2910</v>
      </c>
    </row>
    <row r="245" spans="2:8" x14ac:dyDescent="0.25">
      <c r="B245" s="2">
        <f t="shared" si="3"/>
        <v>243</v>
      </c>
      <c r="C245" s="2">
        <v>2</v>
      </c>
      <c r="D245" s="2">
        <v>67</v>
      </c>
      <c r="E245" s="4" t="s">
        <v>1023</v>
      </c>
      <c r="F245" s="3" t="s">
        <v>2287</v>
      </c>
      <c r="G245" t="s">
        <v>2912</v>
      </c>
    </row>
    <row r="246" spans="2:8" x14ac:dyDescent="0.25">
      <c r="B246" s="1">
        <f t="shared" si="3"/>
        <v>244</v>
      </c>
      <c r="C246" s="1">
        <v>2</v>
      </c>
      <c r="D246" s="1">
        <v>68</v>
      </c>
      <c r="E246" s="3" t="s">
        <v>1022</v>
      </c>
      <c r="F246" s="3" t="s">
        <v>2287</v>
      </c>
      <c r="G246" t="s">
        <v>2913</v>
      </c>
    </row>
    <row r="247" spans="2:8" ht="30" x14ac:dyDescent="0.25">
      <c r="B247" s="2">
        <f t="shared" si="3"/>
        <v>245</v>
      </c>
      <c r="C247" s="2">
        <v>2</v>
      </c>
      <c r="D247" s="2" t="s">
        <v>1021</v>
      </c>
      <c r="E247" s="4" t="s">
        <v>1020</v>
      </c>
      <c r="F247" s="3" t="s">
        <v>2287</v>
      </c>
      <c r="G247" t="s">
        <v>2914</v>
      </c>
    </row>
    <row r="248" spans="2:8" x14ac:dyDescent="0.25">
      <c r="B248" s="1">
        <f t="shared" si="3"/>
        <v>246</v>
      </c>
      <c r="C248" s="1">
        <v>2</v>
      </c>
      <c r="D248" s="1">
        <v>69</v>
      </c>
      <c r="E248" s="3" t="s">
        <v>1019</v>
      </c>
      <c r="F248" s="3" t="s">
        <v>2287</v>
      </c>
      <c r="G248" t="s">
        <v>2915</v>
      </c>
    </row>
    <row r="249" spans="2:8" x14ac:dyDescent="0.25">
      <c r="B249" s="2">
        <f t="shared" si="3"/>
        <v>247</v>
      </c>
      <c r="C249" s="2">
        <v>2</v>
      </c>
      <c r="D249" s="2">
        <v>70</v>
      </c>
      <c r="E249" s="4" t="s">
        <v>1018</v>
      </c>
      <c r="F249" s="3" t="s">
        <v>2287</v>
      </c>
      <c r="G249" t="s">
        <v>2916</v>
      </c>
    </row>
    <row r="250" spans="2:8" x14ac:dyDescent="0.25">
      <c r="B250" s="1">
        <f t="shared" si="3"/>
        <v>248</v>
      </c>
      <c r="C250" s="1">
        <v>1</v>
      </c>
      <c r="D250" s="1">
        <v>123</v>
      </c>
      <c r="E250" s="3" t="s">
        <v>2286</v>
      </c>
      <c r="F250" s="3" t="s">
        <v>2286</v>
      </c>
    </row>
    <row r="251" spans="2:8" x14ac:dyDescent="0.25">
      <c r="B251" s="2">
        <f t="shared" si="3"/>
        <v>249</v>
      </c>
      <c r="C251" s="2">
        <v>1</v>
      </c>
      <c r="D251" s="2">
        <v>124</v>
      </c>
      <c r="E251" s="4" t="s">
        <v>2285</v>
      </c>
      <c r="F251" s="4" t="s">
        <v>2285</v>
      </c>
    </row>
    <row r="252" spans="2:8" x14ac:dyDescent="0.25">
      <c r="B252" s="1">
        <f t="shared" si="3"/>
        <v>250</v>
      </c>
      <c r="C252" s="1">
        <v>1</v>
      </c>
      <c r="D252" s="1">
        <v>125</v>
      </c>
      <c r="E252" s="3" t="s">
        <v>2284</v>
      </c>
      <c r="F252" s="3" t="s">
        <v>2284</v>
      </c>
    </row>
    <row r="253" spans="2:8" x14ac:dyDescent="0.25">
      <c r="B253" s="2">
        <f t="shared" si="3"/>
        <v>251</v>
      </c>
      <c r="C253" s="2">
        <v>2</v>
      </c>
      <c r="D253" s="2">
        <v>71</v>
      </c>
      <c r="E253" s="4" t="s">
        <v>1017</v>
      </c>
      <c r="F253" s="3" t="s">
        <v>2917</v>
      </c>
      <c r="G253" t="s">
        <v>2918</v>
      </c>
      <c r="H253" t="s">
        <v>2919</v>
      </c>
    </row>
    <row r="254" spans="2:8" x14ac:dyDescent="0.25">
      <c r="B254" s="1">
        <f t="shared" si="3"/>
        <v>252</v>
      </c>
      <c r="C254" s="1">
        <v>1</v>
      </c>
      <c r="D254" s="1">
        <v>126</v>
      </c>
      <c r="E254" s="3" t="s">
        <v>2281</v>
      </c>
      <c r="F254" s="3" t="s">
        <v>2281</v>
      </c>
    </row>
    <row r="255" spans="2:8" x14ac:dyDescent="0.25">
      <c r="B255" s="2">
        <f t="shared" si="3"/>
        <v>253</v>
      </c>
      <c r="C255" s="2">
        <v>1</v>
      </c>
      <c r="D255" s="2">
        <v>127</v>
      </c>
      <c r="E255" s="4" t="s">
        <v>2280</v>
      </c>
      <c r="F255" s="4" t="s">
        <v>2280</v>
      </c>
    </row>
    <row r="256" spans="2:8" x14ac:dyDescent="0.25">
      <c r="B256" s="1">
        <f t="shared" si="3"/>
        <v>254</v>
      </c>
      <c r="C256" s="1">
        <v>1</v>
      </c>
      <c r="D256" s="1">
        <v>128</v>
      </c>
      <c r="E256" s="3" t="s">
        <v>2279</v>
      </c>
      <c r="F256" s="3" t="s">
        <v>2279</v>
      </c>
    </row>
    <row r="257" spans="2:8" x14ac:dyDescent="0.25">
      <c r="B257" s="2">
        <f t="shared" si="3"/>
        <v>255</v>
      </c>
      <c r="C257" s="2">
        <v>1</v>
      </c>
      <c r="D257" s="2">
        <v>129</v>
      </c>
      <c r="E257" s="4" t="s">
        <v>2278</v>
      </c>
      <c r="F257" s="4" t="s">
        <v>2278</v>
      </c>
    </row>
    <row r="258" spans="2:8" x14ac:dyDescent="0.25">
      <c r="B258" s="1">
        <f t="shared" si="3"/>
        <v>256</v>
      </c>
      <c r="C258" s="1">
        <v>1</v>
      </c>
      <c r="D258" s="1">
        <v>130</v>
      </c>
      <c r="E258" s="3" t="s">
        <v>2277</v>
      </c>
      <c r="F258" s="3" t="s">
        <v>2277</v>
      </c>
    </row>
    <row r="259" spans="2:8" x14ac:dyDescent="0.25">
      <c r="B259" s="2">
        <f t="shared" si="3"/>
        <v>257</v>
      </c>
      <c r="C259" s="2">
        <v>1</v>
      </c>
      <c r="D259" s="2">
        <v>131</v>
      </c>
      <c r="E259" s="4" t="s">
        <v>2276</v>
      </c>
      <c r="F259" s="4" t="s">
        <v>2276</v>
      </c>
    </row>
    <row r="260" spans="2:8" x14ac:dyDescent="0.25">
      <c r="B260" s="1">
        <f t="shared" si="3"/>
        <v>258</v>
      </c>
      <c r="C260" s="1">
        <v>1</v>
      </c>
      <c r="D260" s="1">
        <v>132</v>
      </c>
      <c r="E260" s="3" t="s">
        <v>2275</v>
      </c>
      <c r="F260" s="3" t="s">
        <v>2275</v>
      </c>
    </row>
    <row r="261" spans="2:8" x14ac:dyDescent="0.25">
      <c r="B261" s="2">
        <f t="shared" ref="B261:B324" si="4">+B260+1</f>
        <v>259</v>
      </c>
      <c r="C261" s="2">
        <v>3</v>
      </c>
      <c r="D261" s="2">
        <v>23</v>
      </c>
      <c r="E261" s="4" t="s">
        <v>709</v>
      </c>
      <c r="F261" s="3" t="s">
        <v>709</v>
      </c>
    </row>
    <row r="262" spans="2:8" x14ac:dyDescent="0.25">
      <c r="B262" s="1">
        <f t="shared" si="4"/>
        <v>260</v>
      </c>
      <c r="C262" s="1">
        <v>1</v>
      </c>
      <c r="D262" s="2">
        <v>133</v>
      </c>
      <c r="E262" s="4" t="s">
        <v>2274</v>
      </c>
      <c r="F262" s="4" t="s">
        <v>2274</v>
      </c>
    </row>
    <row r="263" spans="2:8" ht="30" x14ac:dyDescent="0.25">
      <c r="B263" s="2">
        <f t="shared" si="4"/>
        <v>261</v>
      </c>
      <c r="C263" s="2">
        <v>2</v>
      </c>
      <c r="D263" s="2" t="s">
        <v>1014</v>
      </c>
      <c r="E263" s="4" t="s">
        <v>1013</v>
      </c>
      <c r="F263" s="3" t="s">
        <v>2274</v>
      </c>
      <c r="G263" t="s">
        <v>2920</v>
      </c>
    </row>
    <row r="264" spans="2:8" ht="30" x14ac:dyDescent="0.25">
      <c r="B264" s="1">
        <f t="shared" si="4"/>
        <v>262</v>
      </c>
      <c r="C264" s="1">
        <v>2</v>
      </c>
      <c r="D264" s="1" t="s">
        <v>1016</v>
      </c>
      <c r="E264" s="3" t="s">
        <v>1015</v>
      </c>
      <c r="F264" s="3" t="s">
        <v>2274</v>
      </c>
      <c r="G264" t="s">
        <v>2921</v>
      </c>
      <c r="H264" t="s">
        <v>2922</v>
      </c>
    </row>
    <row r="265" spans="2:8" ht="30" x14ac:dyDescent="0.25">
      <c r="B265" s="2">
        <f t="shared" si="4"/>
        <v>263</v>
      </c>
      <c r="C265" s="2">
        <v>1</v>
      </c>
      <c r="D265" s="2" t="s">
        <v>2273</v>
      </c>
      <c r="E265" s="4" t="s">
        <v>2272</v>
      </c>
      <c r="F265" s="3" t="s">
        <v>2272</v>
      </c>
    </row>
    <row r="266" spans="2:8" x14ac:dyDescent="0.25">
      <c r="B266" s="1">
        <f t="shared" si="4"/>
        <v>264</v>
      </c>
      <c r="C266" s="1">
        <v>3</v>
      </c>
      <c r="D266" s="1">
        <v>24</v>
      </c>
      <c r="E266" s="3" t="s">
        <v>708</v>
      </c>
      <c r="F266" s="3" t="s">
        <v>708</v>
      </c>
    </row>
    <row r="267" spans="2:8" x14ac:dyDescent="0.25">
      <c r="B267" s="2">
        <f t="shared" si="4"/>
        <v>265</v>
      </c>
      <c r="C267" s="2">
        <v>2</v>
      </c>
      <c r="D267" s="2">
        <v>72</v>
      </c>
      <c r="E267" s="4" t="s">
        <v>1012</v>
      </c>
      <c r="F267" s="3" t="s">
        <v>2923</v>
      </c>
      <c r="G267" t="s">
        <v>2909</v>
      </c>
    </row>
    <row r="268" spans="2:8" x14ac:dyDescent="0.25">
      <c r="B268" s="1">
        <f t="shared" si="4"/>
        <v>266</v>
      </c>
      <c r="C268" s="1">
        <v>1</v>
      </c>
      <c r="D268" s="2">
        <v>134</v>
      </c>
      <c r="E268" s="4" t="s">
        <v>2271</v>
      </c>
      <c r="F268" s="4" t="s">
        <v>2271</v>
      </c>
    </row>
    <row r="269" spans="2:8" x14ac:dyDescent="0.25">
      <c r="B269" s="2">
        <f t="shared" si="4"/>
        <v>267</v>
      </c>
      <c r="C269" s="2">
        <v>1</v>
      </c>
      <c r="D269" s="2">
        <v>135</v>
      </c>
      <c r="E269" s="4" t="s">
        <v>2270</v>
      </c>
      <c r="F269" s="3" t="s">
        <v>2270</v>
      </c>
    </row>
    <row r="270" spans="2:8" ht="30" x14ac:dyDescent="0.25">
      <c r="B270" s="1">
        <f t="shared" si="4"/>
        <v>268</v>
      </c>
      <c r="C270" s="1">
        <v>1</v>
      </c>
      <c r="D270" s="2" t="s">
        <v>2269</v>
      </c>
      <c r="E270" s="4" t="s">
        <v>2268</v>
      </c>
      <c r="F270" s="4" t="s">
        <v>2268</v>
      </c>
    </row>
    <row r="271" spans="2:8" x14ac:dyDescent="0.25">
      <c r="B271" s="2">
        <f t="shared" si="4"/>
        <v>269</v>
      </c>
      <c r="C271" s="2">
        <v>1</v>
      </c>
      <c r="D271" s="2">
        <v>136</v>
      </c>
      <c r="E271" s="4" t="s">
        <v>2267</v>
      </c>
      <c r="F271" s="3" t="s">
        <v>2267</v>
      </c>
    </row>
    <row r="272" spans="2:8" x14ac:dyDescent="0.25">
      <c r="B272" s="1">
        <f t="shared" si="4"/>
        <v>270</v>
      </c>
      <c r="C272" s="1">
        <v>1</v>
      </c>
      <c r="D272" s="2">
        <v>137</v>
      </c>
      <c r="E272" s="4" t="s">
        <v>2266</v>
      </c>
      <c r="F272" s="4" t="s">
        <v>2266</v>
      </c>
    </row>
    <row r="273" spans="2:10" x14ac:dyDescent="0.25">
      <c r="B273" s="2">
        <f t="shared" si="4"/>
        <v>271</v>
      </c>
      <c r="C273" s="2">
        <v>1</v>
      </c>
      <c r="D273" s="2">
        <v>138</v>
      </c>
      <c r="E273" s="4" t="s">
        <v>2265</v>
      </c>
      <c r="F273" s="3" t="s">
        <v>2265</v>
      </c>
    </row>
    <row r="274" spans="2:10" x14ac:dyDescent="0.25">
      <c r="B274" s="1">
        <f t="shared" si="4"/>
        <v>272</v>
      </c>
      <c r="C274" s="1">
        <v>1</v>
      </c>
      <c r="D274" s="2">
        <v>139</v>
      </c>
      <c r="E274" s="4" t="s">
        <v>2264</v>
      </c>
      <c r="F274" s="4" t="s">
        <v>2264</v>
      </c>
    </row>
    <row r="275" spans="2:10" x14ac:dyDescent="0.25">
      <c r="B275" s="2">
        <f t="shared" si="4"/>
        <v>273</v>
      </c>
      <c r="C275" s="2">
        <v>2</v>
      </c>
      <c r="D275" s="2">
        <v>73</v>
      </c>
      <c r="E275" s="4" t="s">
        <v>1011</v>
      </c>
      <c r="F275" s="3" t="s">
        <v>2264</v>
      </c>
      <c r="G275" t="s">
        <v>2924</v>
      </c>
    </row>
    <row r="276" spans="2:10" ht="30" x14ac:dyDescent="0.25">
      <c r="B276" s="1">
        <f t="shared" si="4"/>
        <v>274</v>
      </c>
      <c r="C276" s="1">
        <v>2</v>
      </c>
      <c r="D276" s="1">
        <v>74</v>
      </c>
      <c r="E276" s="3" t="s">
        <v>1010</v>
      </c>
      <c r="F276" s="3" t="s">
        <v>2925</v>
      </c>
      <c r="G276" t="s">
        <v>2926</v>
      </c>
      <c r="H276" t="s">
        <v>2850</v>
      </c>
      <c r="I276" t="s">
        <v>2927</v>
      </c>
      <c r="J276" t="s">
        <v>2851</v>
      </c>
    </row>
    <row r="277" spans="2:10" x14ac:dyDescent="0.25">
      <c r="B277" s="2">
        <f t="shared" si="4"/>
        <v>275</v>
      </c>
      <c r="C277" s="2">
        <v>1</v>
      </c>
      <c r="D277" s="2">
        <v>140</v>
      </c>
      <c r="E277" s="4" t="s">
        <v>2263</v>
      </c>
      <c r="F277" s="3" t="s">
        <v>2263</v>
      </c>
    </row>
    <row r="278" spans="2:10" x14ac:dyDescent="0.25">
      <c r="B278" s="1">
        <f t="shared" si="4"/>
        <v>276</v>
      </c>
      <c r="C278" s="1">
        <v>2</v>
      </c>
      <c r="D278" s="1">
        <v>75</v>
      </c>
      <c r="E278" s="3" t="s">
        <v>1009</v>
      </c>
      <c r="F278" s="3" t="s">
        <v>2263</v>
      </c>
      <c r="G278" t="s">
        <v>2928</v>
      </c>
    </row>
    <row r="279" spans="2:10" x14ac:dyDescent="0.25">
      <c r="B279" s="2">
        <f t="shared" si="4"/>
        <v>277</v>
      </c>
      <c r="C279" s="2">
        <v>2</v>
      </c>
      <c r="D279" s="2">
        <v>76</v>
      </c>
      <c r="E279" s="4" t="s">
        <v>1008</v>
      </c>
      <c r="F279" s="3" t="s">
        <v>2263</v>
      </c>
      <c r="G279" t="s">
        <v>2929</v>
      </c>
    </row>
    <row r="280" spans="2:10" x14ac:dyDescent="0.25">
      <c r="B280" s="1">
        <f t="shared" si="4"/>
        <v>278</v>
      </c>
      <c r="C280" s="1">
        <v>1</v>
      </c>
      <c r="D280" s="2">
        <v>141</v>
      </c>
      <c r="E280" s="4" t="s">
        <v>2262</v>
      </c>
      <c r="F280" s="4" t="s">
        <v>2262</v>
      </c>
    </row>
    <row r="281" spans="2:10" x14ac:dyDescent="0.25">
      <c r="B281" s="2">
        <f t="shared" si="4"/>
        <v>279</v>
      </c>
      <c r="C281" s="2">
        <v>1</v>
      </c>
      <c r="D281" s="2">
        <v>142</v>
      </c>
      <c r="E281" s="4" t="s">
        <v>2261</v>
      </c>
      <c r="F281" s="3" t="s">
        <v>2261</v>
      </c>
    </row>
    <row r="282" spans="2:10" x14ac:dyDescent="0.25">
      <c r="B282" s="1">
        <f t="shared" si="4"/>
        <v>280</v>
      </c>
      <c r="C282" s="1">
        <v>1</v>
      </c>
      <c r="D282" s="2">
        <v>143</v>
      </c>
      <c r="E282" s="4" t="s">
        <v>2260</v>
      </c>
      <c r="F282" s="4" t="s">
        <v>2260</v>
      </c>
    </row>
    <row r="283" spans="2:10" x14ac:dyDescent="0.25">
      <c r="B283" s="2">
        <f t="shared" si="4"/>
        <v>281</v>
      </c>
      <c r="C283" s="2">
        <v>1</v>
      </c>
      <c r="D283" s="2">
        <v>144</v>
      </c>
      <c r="E283" s="4" t="s">
        <v>2259</v>
      </c>
      <c r="F283" s="3" t="s">
        <v>2259</v>
      </c>
    </row>
    <row r="284" spans="2:10" x14ac:dyDescent="0.25">
      <c r="B284" s="1">
        <f t="shared" si="4"/>
        <v>282</v>
      </c>
      <c r="C284" s="1">
        <v>1</v>
      </c>
      <c r="D284" s="2">
        <v>145</v>
      </c>
      <c r="E284" s="4" t="s">
        <v>2258</v>
      </c>
      <c r="F284" s="4" t="s">
        <v>2258</v>
      </c>
    </row>
    <row r="285" spans="2:10" x14ac:dyDescent="0.25">
      <c r="B285" s="2">
        <f t="shared" si="4"/>
        <v>283</v>
      </c>
      <c r="C285" s="2">
        <v>1</v>
      </c>
      <c r="D285" s="2">
        <v>146</v>
      </c>
      <c r="E285" s="4" t="s">
        <v>2257</v>
      </c>
      <c r="F285" s="3" t="s">
        <v>2257</v>
      </c>
    </row>
    <row r="286" spans="2:10" x14ac:dyDescent="0.25">
      <c r="B286" s="1">
        <f t="shared" si="4"/>
        <v>284</v>
      </c>
      <c r="C286" s="1">
        <v>1</v>
      </c>
      <c r="D286" s="2">
        <v>147</v>
      </c>
      <c r="E286" s="4" t="s">
        <v>2256</v>
      </c>
      <c r="F286" s="4" t="s">
        <v>2256</v>
      </c>
    </row>
    <row r="287" spans="2:10" x14ac:dyDescent="0.25">
      <c r="B287" s="2">
        <f t="shared" si="4"/>
        <v>285</v>
      </c>
      <c r="C287" s="2">
        <v>1</v>
      </c>
      <c r="D287" s="2">
        <v>148</v>
      </c>
      <c r="E287" s="4" t="s">
        <v>2255</v>
      </c>
      <c r="F287" s="3" t="s">
        <v>2255</v>
      </c>
    </row>
    <row r="288" spans="2:10" ht="30" x14ac:dyDescent="0.25">
      <c r="B288" s="1">
        <f t="shared" si="4"/>
        <v>286</v>
      </c>
      <c r="C288" s="1">
        <v>1</v>
      </c>
      <c r="D288" s="2">
        <v>149</v>
      </c>
      <c r="E288" s="4" t="s">
        <v>2254</v>
      </c>
      <c r="F288" s="4" t="s">
        <v>2254</v>
      </c>
    </row>
    <row r="289" spans="2:9" x14ac:dyDescent="0.25">
      <c r="B289" s="2">
        <f t="shared" si="4"/>
        <v>287</v>
      </c>
      <c r="C289" s="2">
        <v>2</v>
      </c>
      <c r="D289" s="2">
        <v>77</v>
      </c>
      <c r="E289" s="4" t="s">
        <v>1007</v>
      </c>
      <c r="F289" s="3" t="s">
        <v>2930</v>
      </c>
      <c r="G289" t="s">
        <v>2848</v>
      </c>
      <c r="H289" t="s">
        <v>2850</v>
      </c>
      <c r="I289" t="s">
        <v>2851</v>
      </c>
    </row>
    <row r="290" spans="2:9" x14ac:dyDescent="0.25">
      <c r="B290" s="1">
        <f t="shared" si="4"/>
        <v>288</v>
      </c>
      <c r="C290" s="1">
        <v>1</v>
      </c>
      <c r="D290" s="1">
        <v>150</v>
      </c>
      <c r="E290" s="3" t="s">
        <v>2253</v>
      </c>
      <c r="F290" s="3" t="s">
        <v>2253</v>
      </c>
    </row>
    <row r="291" spans="2:9" x14ac:dyDescent="0.25">
      <c r="B291" s="2">
        <f t="shared" si="4"/>
        <v>289</v>
      </c>
      <c r="C291" s="2">
        <v>2</v>
      </c>
      <c r="D291" s="2">
        <v>78</v>
      </c>
      <c r="E291" s="4" t="s">
        <v>1006</v>
      </c>
      <c r="F291" s="3" t="s">
        <v>2253</v>
      </c>
      <c r="G291" t="s">
        <v>2931</v>
      </c>
    </row>
    <row r="292" spans="2:9" x14ac:dyDescent="0.25">
      <c r="B292" s="1">
        <f t="shared" si="4"/>
        <v>290</v>
      </c>
      <c r="C292" s="1">
        <v>1</v>
      </c>
      <c r="D292" s="2">
        <v>151</v>
      </c>
      <c r="E292" s="4" t="s">
        <v>2252</v>
      </c>
      <c r="F292" s="4" t="s">
        <v>2252</v>
      </c>
    </row>
    <row r="293" spans="2:9" x14ac:dyDescent="0.25">
      <c r="B293" s="2">
        <f t="shared" si="4"/>
        <v>291</v>
      </c>
      <c r="C293" s="2">
        <v>1</v>
      </c>
      <c r="D293" s="2">
        <v>152</v>
      </c>
      <c r="E293" s="4" t="s">
        <v>2251</v>
      </c>
      <c r="F293" s="3" t="s">
        <v>2251</v>
      </c>
    </row>
    <row r="294" spans="2:9" x14ac:dyDescent="0.25">
      <c r="B294" s="1">
        <f t="shared" si="4"/>
        <v>292</v>
      </c>
      <c r="C294" s="1">
        <v>1</v>
      </c>
      <c r="D294" s="2">
        <v>153</v>
      </c>
      <c r="E294" s="4" t="s">
        <v>2250</v>
      </c>
      <c r="F294" s="4" t="s">
        <v>2250</v>
      </c>
    </row>
    <row r="295" spans="2:9" ht="30" x14ac:dyDescent="0.25">
      <c r="B295" s="2">
        <f t="shared" si="4"/>
        <v>293</v>
      </c>
      <c r="C295" s="2">
        <v>1</v>
      </c>
      <c r="D295" s="2" t="s">
        <v>2249</v>
      </c>
      <c r="E295" s="4" t="s">
        <v>2248</v>
      </c>
      <c r="F295" s="3" t="s">
        <v>2248</v>
      </c>
    </row>
    <row r="296" spans="2:9" x14ac:dyDescent="0.25">
      <c r="B296" s="1">
        <f t="shared" si="4"/>
        <v>294</v>
      </c>
      <c r="C296" s="1">
        <v>1</v>
      </c>
      <c r="D296" s="2">
        <v>154</v>
      </c>
      <c r="E296" s="4" t="s">
        <v>2247</v>
      </c>
      <c r="F296" s="4" t="s">
        <v>2247</v>
      </c>
    </row>
    <row r="297" spans="2:9" ht="30" x14ac:dyDescent="0.25">
      <c r="B297" s="2">
        <f t="shared" si="4"/>
        <v>295</v>
      </c>
      <c r="C297" s="2">
        <v>1</v>
      </c>
      <c r="D297" s="2">
        <v>155</v>
      </c>
      <c r="E297" s="4" t="s">
        <v>2246</v>
      </c>
      <c r="F297" s="3" t="s">
        <v>2246</v>
      </c>
    </row>
    <row r="298" spans="2:9" ht="30" x14ac:dyDescent="0.25">
      <c r="B298" s="1">
        <f t="shared" si="4"/>
        <v>296</v>
      </c>
      <c r="C298" s="1">
        <v>1</v>
      </c>
      <c r="D298" s="2">
        <v>156</v>
      </c>
      <c r="E298" s="4" t="s">
        <v>2245</v>
      </c>
      <c r="F298" s="4" t="s">
        <v>2245</v>
      </c>
    </row>
    <row r="299" spans="2:9" x14ac:dyDescent="0.25">
      <c r="B299" s="2">
        <f t="shared" si="4"/>
        <v>297</v>
      </c>
      <c r="C299" s="2">
        <v>1</v>
      </c>
      <c r="D299" s="2">
        <v>157</v>
      </c>
      <c r="E299" s="4" t="s">
        <v>2244</v>
      </c>
      <c r="F299" s="3" t="s">
        <v>2244</v>
      </c>
    </row>
    <row r="300" spans="2:9" ht="30" x14ac:dyDescent="0.25">
      <c r="B300" s="1">
        <f t="shared" si="4"/>
        <v>298</v>
      </c>
      <c r="C300" s="1">
        <v>1</v>
      </c>
      <c r="D300" s="2" t="s">
        <v>2243</v>
      </c>
      <c r="E300" s="4" t="s">
        <v>2242</v>
      </c>
      <c r="F300" s="4" t="s">
        <v>2242</v>
      </c>
    </row>
    <row r="301" spans="2:9" x14ac:dyDescent="0.25">
      <c r="B301" s="2">
        <f t="shared" si="4"/>
        <v>299</v>
      </c>
      <c r="C301" s="2">
        <v>2</v>
      </c>
      <c r="D301" s="2" t="s">
        <v>1005</v>
      </c>
      <c r="E301" s="4" t="s">
        <v>1004</v>
      </c>
      <c r="F301" s="3" t="s">
        <v>2932</v>
      </c>
      <c r="G301" t="s">
        <v>2933</v>
      </c>
    </row>
    <row r="302" spans="2:9" x14ac:dyDescent="0.25">
      <c r="B302" s="1">
        <f t="shared" si="4"/>
        <v>300</v>
      </c>
      <c r="C302" s="1">
        <v>1</v>
      </c>
      <c r="D302" s="1">
        <v>158</v>
      </c>
      <c r="E302" s="3" t="s">
        <v>2241</v>
      </c>
      <c r="F302" s="3" t="s">
        <v>2241</v>
      </c>
    </row>
    <row r="303" spans="2:9" ht="30" x14ac:dyDescent="0.25">
      <c r="B303" s="2">
        <f t="shared" si="4"/>
        <v>301</v>
      </c>
      <c r="C303" s="2">
        <v>2</v>
      </c>
      <c r="D303" s="2" t="s">
        <v>1003</v>
      </c>
      <c r="E303" s="4" t="s">
        <v>1002</v>
      </c>
      <c r="F303" s="3" t="s">
        <v>2241</v>
      </c>
      <c r="G303" t="s">
        <v>2934</v>
      </c>
    </row>
    <row r="304" spans="2:9" x14ac:dyDescent="0.25">
      <c r="B304" s="1">
        <f t="shared" si="4"/>
        <v>302</v>
      </c>
      <c r="C304" s="1">
        <v>2</v>
      </c>
      <c r="D304" s="1">
        <v>79</v>
      </c>
      <c r="E304" s="3" t="s">
        <v>1001</v>
      </c>
      <c r="F304" s="3" t="s">
        <v>2241</v>
      </c>
      <c r="G304" t="s">
        <v>2909</v>
      </c>
    </row>
    <row r="305" spans="2:8" x14ac:dyDescent="0.25">
      <c r="B305" s="2">
        <f t="shared" si="4"/>
        <v>303</v>
      </c>
      <c r="C305" s="2">
        <v>1</v>
      </c>
      <c r="D305" s="2">
        <v>159</v>
      </c>
      <c r="E305" s="4" t="s">
        <v>2240</v>
      </c>
      <c r="F305" s="4" t="s">
        <v>2240</v>
      </c>
    </row>
    <row r="306" spans="2:8" ht="30" x14ac:dyDescent="0.25">
      <c r="B306" s="1">
        <f t="shared" si="4"/>
        <v>304</v>
      </c>
      <c r="C306" s="1">
        <v>2</v>
      </c>
      <c r="D306" s="1">
        <v>80</v>
      </c>
      <c r="E306" s="3" t="s">
        <v>1000</v>
      </c>
      <c r="F306" s="3" t="s">
        <v>2935</v>
      </c>
      <c r="G306" t="s">
        <v>2807</v>
      </c>
    </row>
    <row r="307" spans="2:8" x14ac:dyDescent="0.25">
      <c r="B307" s="2">
        <f t="shared" si="4"/>
        <v>305</v>
      </c>
      <c r="C307" s="2">
        <v>1</v>
      </c>
      <c r="D307" s="2">
        <v>160</v>
      </c>
      <c r="E307" s="4" t="s">
        <v>2239</v>
      </c>
      <c r="F307" s="3" t="s">
        <v>2239</v>
      </c>
    </row>
    <row r="308" spans="2:8" x14ac:dyDescent="0.25">
      <c r="B308" s="1">
        <f t="shared" si="4"/>
        <v>306</v>
      </c>
      <c r="C308" s="1">
        <v>2</v>
      </c>
      <c r="D308" s="1">
        <v>81</v>
      </c>
      <c r="E308" s="3" t="s">
        <v>999</v>
      </c>
      <c r="F308" s="3" t="s">
        <v>2239</v>
      </c>
      <c r="G308" t="s">
        <v>2909</v>
      </c>
    </row>
    <row r="309" spans="2:8" x14ac:dyDescent="0.25">
      <c r="B309" s="2">
        <f t="shared" si="4"/>
        <v>307</v>
      </c>
      <c r="C309" s="2">
        <v>1</v>
      </c>
      <c r="D309" s="2">
        <v>161</v>
      </c>
      <c r="E309" s="4" t="s">
        <v>2238</v>
      </c>
      <c r="F309" s="4" t="s">
        <v>2238</v>
      </c>
    </row>
    <row r="310" spans="2:8" x14ac:dyDescent="0.25">
      <c r="B310" s="1">
        <f t="shared" si="4"/>
        <v>308</v>
      </c>
      <c r="C310" s="1">
        <v>1</v>
      </c>
      <c r="D310" s="1">
        <v>162</v>
      </c>
      <c r="E310" s="3" t="s">
        <v>2237</v>
      </c>
      <c r="F310" s="3" t="s">
        <v>2237</v>
      </c>
    </row>
    <row r="311" spans="2:8" x14ac:dyDescent="0.25">
      <c r="B311" s="2">
        <f t="shared" si="4"/>
        <v>309</v>
      </c>
      <c r="C311" s="2">
        <v>1</v>
      </c>
      <c r="D311" s="2">
        <v>163</v>
      </c>
      <c r="E311" s="4" t="s">
        <v>2236</v>
      </c>
      <c r="F311" s="4" t="s">
        <v>2236</v>
      </c>
    </row>
    <row r="312" spans="2:8" x14ac:dyDescent="0.25">
      <c r="B312" s="1">
        <f t="shared" si="4"/>
        <v>310</v>
      </c>
      <c r="C312" s="1">
        <v>1</v>
      </c>
      <c r="D312" s="1">
        <v>164</v>
      </c>
      <c r="E312" s="3" t="s">
        <v>2235</v>
      </c>
      <c r="F312" s="3" t="s">
        <v>2235</v>
      </c>
    </row>
    <row r="313" spans="2:8" x14ac:dyDescent="0.25">
      <c r="B313" s="2">
        <f t="shared" si="4"/>
        <v>311</v>
      </c>
      <c r="C313" s="2">
        <v>2</v>
      </c>
      <c r="D313" s="2">
        <v>82</v>
      </c>
      <c r="E313" s="4" t="s">
        <v>998</v>
      </c>
      <c r="F313" s="3" t="s">
        <v>2936</v>
      </c>
      <c r="G313" t="s">
        <v>2937</v>
      </c>
      <c r="H313" t="s">
        <v>2938</v>
      </c>
    </row>
    <row r="314" spans="2:8" x14ac:dyDescent="0.25">
      <c r="B314" s="1">
        <f t="shared" si="4"/>
        <v>312</v>
      </c>
      <c r="C314" s="1">
        <v>2</v>
      </c>
      <c r="D314" s="1">
        <v>83</v>
      </c>
      <c r="E314" s="3" t="s">
        <v>997</v>
      </c>
      <c r="F314" s="3" t="s">
        <v>2936</v>
      </c>
      <c r="G314" t="s">
        <v>2938</v>
      </c>
    </row>
    <row r="315" spans="2:8" ht="30" x14ac:dyDescent="0.25">
      <c r="B315" s="2">
        <f t="shared" si="4"/>
        <v>313</v>
      </c>
      <c r="C315" s="2">
        <v>2</v>
      </c>
      <c r="D315" s="2" t="s">
        <v>996</v>
      </c>
      <c r="E315" s="4" t="s">
        <v>995</v>
      </c>
      <c r="F315" s="3" t="s">
        <v>2939</v>
      </c>
      <c r="G315" t="s">
        <v>2861</v>
      </c>
      <c r="H315" t="s">
        <v>2940</v>
      </c>
    </row>
    <row r="316" spans="2:8" ht="45" x14ac:dyDescent="0.25">
      <c r="B316" s="1">
        <f t="shared" si="4"/>
        <v>314</v>
      </c>
      <c r="C316" s="1">
        <v>1</v>
      </c>
      <c r="D316" s="2" t="s">
        <v>2234</v>
      </c>
      <c r="E316" s="4" t="s">
        <v>2233</v>
      </c>
      <c r="F316" s="4" t="s">
        <v>2233</v>
      </c>
    </row>
    <row r="317" spans="2:8" x14ac:dyDescent="0.25">
      <c r="B317" s="2">
        <f t="shared" si="4"/>
        <v>315</v>
      </c>
      <c r="C317" s="2">
        <v>1</v>
      </c>
      <c r="D317" s="2">
        <v>165</v>
      </c>
      <c r="E317" s="4" t="s">
        <v>2232</v>
      </c>
      <c r="F317" s="3" t="s">
        <v>2232</v>
      </c>
    </row>
    <row r="318" spans="2:8" ht="45" x14ac:dyDescent="0.25">
      <c r="B318" s="1">
        <f t="shared" si="4"/>
        <v>316</v>
      </c>
      <c r="C318" s="1">
        <v>1</v>
      </c>
      <c r="D318" s="2" t="s">
        <v>2231</v>
      </c>
      <c r="E318" s="4" t="s">
        <v>2230</v>
      </c>
      <c r="F318" s="4" t="s">
        <v>2230</v>
      </c>
    </row>
    <row r="319" spans="2:8" x14ac:dyDescent="0.25">
      <c r="B319" s="2">
        <f t="shared" si="4"/>
        <v>317</v>
      </c>
      <c r="C319" s="2">
        <v>2</v>
      </c>
      <c r="D319" s="2">
        <v>84</v>
      </c>
      <c r="E319" s="4" t="s">
        <v>994</v>
      </c>
      <c r="F319" s="3" t="s">
        <v>2941</v>
      </c>
      <c r="G319" t="s">
        <v>2842</v>
      </c>
      <c r="H319" t="s">
        <v>2942</v>
      </c>
    </row>
    <row r="320" spans="2:8" x14ac:dyDescent="0.25">
      <c r="B320" s="1">
        <f t="shared" si="4"/>
        <v>318</v>
      </c>
      <c r="C320" s="1">
        <v>1</v>
      </c>
      <c r="D320" s="1">
        <v>166</v>
      </c>
      <c r="E320" s="3" t="s">
        <v>2229</v>
      </c>
      <c r="F320" s="3" t="s">
        <v>2229</v>
      </c>
    </row>
    <row r="321" spans="2:7" x14ac:dyDescent="0.25">
      <c r="B321" s="2">
        <f t="shared" si="4"/>
        <v>319</v>
      </c>
      <c r="C321" s="2">
        <v>2</v>
      </c>
      <c r="D321" s="2">
        <v>85</v>
      </c>
      <c r="E321" s="4" t="s">
        <v>993</v>
      </c>
      <c r="F321" s="3" t="s">
        <v>2943</v>
      </c>
      <c r="G321" t="s">
        <v>2944</v>
      </c>
    </row>
    <row r="322" spans="2:7" x14ac:dyDescent="0.25">
      <c r="B322" s="1">
        <f t="shared" si="4"/>
        <v>320</v>
      </c>
      <c r="C322" s="1">
        <v>1</v>
      </c>
      <c r="D322" s="2">
        <v>167</v>
      </c>
      <c r="E322" s="4" t="s">
        <v>2228</v>
      </c>
      <c r="F322" s="4" t="s">
        <v>2228</v>
      </c>
    </row>
    <row r="323" spans="2:7" x14ac:dyDescent="0.25">
      <c r="B323" s="2">
        <f t="shared" si="4"/>
        <v>321</v>
      </c>
      <c r="C323" s="2">
        <v>1</v>
      </c>
      <c r="D323" s="2">
        <v>168</v>
      </c>
      <c r="E323" s="4" t="s">
        <v>2227</v>
      </c>
      <c r="F323" s="3" t="s">
        <v>2227</v>
      </c>
    </row>
    <row r="324" spans="2:7" ht="30" x14ac:dyDescent="0.25">
      <c r="B324" s="1">
        <f t="shared" si="4"/>
        <v>322</v>
      </c>
      <c r="C324" s="1">
        <v>1</v>
      </c>
      <c r="D324" s="2" t="s">
        <v>2226</v>
      </c>
      <c r="E324" s="4" t="s">
        <v>2225</v>
      </c>
      <c r="F324" s="4" t="s">
        <v>2225</v>
      </c>
    </row>
    <row r="325" spans="2:7" x14ac:dyDescent="0.25">
      <c r="B325" s="2">
        <f t="shared" ref="B325:B388" si="5">+B324+1</f>
        <v>323</v>
      </c>
      <c r="C325" s="2">
        <v>1</v>
      </c>
      <c r="D325" s="2">
        <v>169</v>
      </c>
      <c r="E325" s="4" t="s">
        <v>2224</v>
      </c>
      <c r="F325" s="3" t="s">
        <v>2224</v>
      </c>
    </row>
    <row r="326" spans="2:7" ht="30" x14ac:dyDescent="0.25">
      <c r="B326" s="1">
        <f t="shared" si="5"/>
        <v>324</v>
      </c>
      <c r="C326" s="1">
        <v>1</v>
      </c>
      <c r="D326" s="2" t="s">
        <v>2223</v>
      </c>
      <c r="E326" s="4" t="s">
        <v>2222</v>
      </c>
      <c r="F326" s="4" t="s">
        <v>2222</v>
      </c>
    </row>
    <row r="327" spans="2:7" x14ac:dyDescent="0.25">
      <c r="B327" s="2">
        <f t="shared" si="5"/>
        <v>325</v>
      </c>
      <c r="C327" s="2">
        <v>1</v>
      </c>
      <c r="D327" s="2">
        <v>170</v>
      </c>
      <c r="E327" s="4" t="s">
        <v>2221</v>
      </c>
      <c r="F327" s="3" t="s">
        <v>2221</v>
      </c>
    </row>
    <row r="328" spans="2:7" x14ac:dyDescent="0.25">
      <c r="B328" s="1">
        <f t="shared" si="5"/>
        <v>326</v>
      </c>
      <c r="C328" s="1">
        <v>1</v>
      </c>
      <c r="D328" s="2">
        <v>171</v>
      </c>
      <c r="E328" s="4" t="s">
        <v>2220</v>
      </c>
      <c r="F328" s="4" t="s">
        <v>2220</v>
      </c>
    </row>
    <row r="329" spans="2:7" ht="30" x14ac:dyDescent="0.25">
      <c r="B329" s="2">
        <f t="shared" si="5"/>
        <v>327</v>
      </c>
      <c r="C329" s="2">
        <v>1</v>
      </c>
      <c r="D329" s="2" t="s">
        <v>2219</v>
      </c>
      <c r="E329" s="4" t="s">
        <v>2218</v>
      </c>
      <c r="F329" s="3" t="s">
        <v>2218</v>
      </c>
    </row>
    <row r="330" spans="2:7" x14ac:dyDescent="0.25">
      <c r="B330" s="1">
        <f t="shared" si="5"/>
        <v>328</v>
      </c>
      <c r="C330" s="1">
        <v>1</v>
      </c>
      <c r="D330" s="2">
        <v>172</v>
      </c>
      <c r="E330" s="4" t="s">
        <v>2217</v>
      </c>
      <c r="F330" s="4" t="s">
        <v>2217</v>
      </c>
    </row>
    <row r="331" spans="2:7" ht="30" x14ac:dyDescent="0.25">
      <c r="B331" s="2">
        <f t="shared" si="5"/>
        <v>329</v>
      </c>
      <c r="C331" s="2">
        <v>1</v>
      </c>
      <c r="D331" s="2" t="s">
        <v>887</v>
      </c>
      <c r="E331" s="4" t="s">
        <v>2216</v>
      </c>
      <c r="F331" s="3" t="s">
        <v>2216</v>
      </c>
    </row>
    <row r="332" spans="2:7" x14ac:dyDescent="0.25">
      <c r="B332" s="1">
        <f t="shared" si="5"/>
        <v>330</v>
      </c>
      <c r="C332" s="1">
        <v>1</v>
      </c>
      <c r="D332" s="2">
        <v>173</v>
      </c>
      <c r="E332" s="4" t="s">
        <v>2215</v>
      </c>
      <c r="F332" s="4" t="s">
        <v>2215</v>
      </c>
    </row>
    <row r="333" spans="2:7" x14ac:dyDescent="0.25">
      <c r="B333" s="2">
        <f t="shared" si="5"/>
        <v>331</v>
      </c>
      <c r="C333" s="2">
        <v>1</v>
      </c>
      <c r="D333" s="2">
        <v>174</v>
      </c>
      <c r="E333" s="4" t="s">
        <v>2214</v>
      </c>
      <c r="F333" s="3" t="s">
        <v>2214</v>
      </c>
    </row>
    <row r="334" spans="2:7" x14ac:dyDescent="0.25">
      <c r="B334" s="1">
        <f t="shared" si="5"/>
        <v>332</v>
      </c>
      <c r="C334" s="1">
        <v>1</v>
      </c>
      <c r="D334" s="2">
        <v>175</v>
      </c>
      <c r="E334" s="4" t="s">
        <v>2213</v>
      </c>
      <c r="F334" s="4" t="s">
        <v>2213</v>
      </c>
    </row>
    <row r="335" spans="2:7" x14ac:dyDescent="0.25">
      <c r="B335" s="2">
        <f t="shared" si="5"/>
        <v>333</v>
      </c>
      <c r="C335" s="2">
        <v>1</v>
      </c>
      <c r="D335" s="2">
        <v>176</v>
      </c>
      <c r="E335" s="4" t="s">
        <v>2212</v>
      </c>
      <c r="F335" s="3" t="s">
        <v>2212</v>
      </c>
    </row>
    <row r="336" spans="2:7" x14ac:dyDescent="0.25">
      <c r="B336" s="1">
        <f t="shared" si="5"/>
        <v>334</v>
      </c>
      <c r="C336" s="1">
        <v>2</v>
      </c>
      <c r="D336" s="1">
        <v>86</v>
      </c>
      <c r="E336" s="3" t="s">
        <v>992</v>
      </c>
      <c r="F336" s="3" t="s">
        <v>2945</v>
      </c>
      <c r="G336" t="s">
        <v>2883</v>
      </c>
    </row>
    <row r="337" spans="2:6" x14ac:dyDescent="0.25">
      <c r="B337" s="2">
        <f t="shared" si="5"/>
        <v>335</v>
      </c>
      <c r="C337" s="2">
        <v>1</v>
      </c>
      <c r="D337" s="2">
        <v>177</v>
      </c>
      <c r="E337" s="4" t="s">
        <v>2211</v>
      </c>
      <c r="F337" s="4" t="s">
        <v>2211</v>
      </c>
    </row>
    <row r="338" spans="2:6" x14ac:dyDescent="0.25">
      <c r="B338" s="1">
        <f t="shared" si="5"/>
        <v>336</v>
      </c>
      <c r="C338" s="1">
        <v>1</v>
      </c>
      <c r="D338" s="1">
        <v>178</v>
      </c>
      <c r="E338" s="3" t="s">
        <v>2210</v>
      </c>
      <c r="F338" s="3" t="s">
        <v>2210</v>
      </c>
    </row>
    <row r="339" spans="2:6" x14ac:dyDescent="0.25">
      <c r="B339" s="2">
        <f t="shared" si="5"/>
        <v>337</v>
      </c>
      <c r="C339" s="2">
        <v>1</v>
      </c>
      <c r="D339" s="2">
        <v>179</v>
      </c>
      <c r="E339" s="4" t="s">
        <v>2209</v>
      </c>
      <c r="F339" s="4" t="s">
        <v>2209</v>
      </c>
    </row>
    <row r="340" spans="2:6" x14ac:dyDescent="0.25">
      <c r="B340" s="1">
        <f t="shared" si="5"/>
        <v>338</v>
      </c>
      <c r="C340" s="1">
        <v>1</v>
      </c>
      <c r="D340" s="1">
        <v>180</v>
      </c>
      <c r="E340" s="3" t="s">
        <v>2208</v>
      </c>
      <c r="F340" s="3" t="s">
        <v>2208</v>
      </c>
    </row>
    <row r="341" spans="2:6" x14ac:dyDescent="0.25">
      <c r="B341" s="2">
        <f t="shared" si="5"/>
        <v>339</v>
      </c>
      <c r="C341" s="2">
        <v>1</v>
      </c>
      <c r="D341" s="2">
        <v>181</v>
      </c>
      <c r="E341" s="4" t="s">
        <v>2207</v>
      </c>
      <c r="F341" s="4" t="s">
        <v>2207</v>
      </c>
    </row>
    <row r="342" spans="2:6" x14ac:dyDescent="0.25">
      <c r="B342" s="1">
        <f t="shared" si="5"/>
        <v>340</v>
      </c>
      <c r="C342" s="1">
        <v>1</v>
      </c>
      <c r="D342" s="1">
        <v>182</v>
      </c>
      <c r="E342" s="3" t="s">
        <v>2206</v>
      </c>
      <c r="F342" s="3" t="s">
        <v>2206</v>
      </c>
    </row>
    <row r="343" spans="2:6" x14ac:dyDescent="0.25">
      <c r="B343" s="2">
        <f t="shared" si="5"/>
        <v>341</v>
      </c>
      <c r="C343" s="2">
        <v>1</v>
      </c>
      <c r="D343" s="2">
        <v>183</v>
      </c>
      <c r="E343" s="4" t="s">
        <v>2205</v>
      </c>
      <c r="F343" s="4" t="s">
        <v>2205</v>
      </c>
    </row>
    <row r="344" spans="2:6" x14ac:dyDescent="0.25">
      <c r="B344" s="1">
        <f t="shared" si="5"/>
        <v>342</v>
      </c>
      <c r="C344" s="1">
        <v>1</v>
      </c>
      <c r="D344" s="1">
        <v>184</v>
      </c>
      <c r="E344" s="3" t="s">
        <v>2204</v>
      </c>
      <c r="F344" s="3" t="s">
        <v>2204</v>
      </c>
    </row>
    <row r="345" spans="2:6" x14ac:dyDescent="0.25">
      <c r="B345" s="2">
        <f t="shared" si="5"/>
        <v>343</v>
      </c>
      <c r="C345" s="2">
        <v>1</v>
      </c>
      <c r="D345" s="2">
        <v>185</v>
      </c>
      <c r="E345" s="4" t="s">
        <v>2203</v>
      </c>
      <c r="F345" s="4" t="s">
        <v>2203</v>
      </c>
    </row>
    <row r="346" spans="2:6" x14ac:dyDescent="0.25">
      <c r="B346" s="1">
        <f t="shared" si="5"/>
        <v>344</v>
      </c>
      <c r="C346" s="1">
        <v>1</v>
      </c>
      <c r="D346" s="1">
        <v>186</v>
      </c>
      <c r="E346" s="3" t="s">
        <v>2202</v>
      </c>
      <c r="F346" s="3" t="s">
        <v>2202</v>
      </c>
    </row>
    <row r="347" spans="2:6" x14ac:dyDescent="0.25">
      <c r="B347" s="2">
        <f t="shared" si="5"/>
        <v>345</v>
      </c>
      <c r="C347" s="2">
        <v>1</v>
      </c>
      <c r="D347" s="2">
        <v>187</v>
      </c>
      <c r="E347" s="4" t="s">
        <v>2201</v>
      </c>
      <c r="F347" s="4" t="s">
        <v>2201</v>
      </c>
    </row>
    <row r="348" spans="2:6" ht="30" x14ac:dyDescent="0.25">
      <c r="B348" s="1">
        <f t="shared" si="5"/>
        <v>346</v>
      </c>
      <c r="C348" s="1">
        <v>1</v>
      </c>
      <c r="D348" s="1">
        <v>188</v>
      </c>
      <c r="E348" s="3" t="s">
        <v>2200</v>
      </c>
      <c r="F348" s="3" t="s">
        <v>2200</v>
      </c>
    </row>
    <row r="349" spans="2:6" x14ac:dyDescent="0.25">
      <c r="B349" s="2">
        <f t="shared" si="5"/>
        <v>347</v>
      </c>
      <c r="C349" s="2">
        <v>1</v>
      </c>
      <c r="D349" s="2">
        <v>189</v>
      </c>
      <c r="E349" s="4" t="s">
        <v>2199</v>
      </c>
      <c r="F349" s="4" t="s">
        <v>2199</v>
      </c>
    </row>
    <row r="350" spans="2:6" ht="45" x14ac:dyDescent="0.25">
      <c r="B350" s="1">
        <f t="shared" si="5"/>
        <v>348</v>
      </c>
      <c r="C350" s="1">
        <v>1</v>
      </c>
      <c r="D350" s="1" t="s">
        <v>2198</v>
      </c>
      <c r="E350" s="3" t="s">
        <v>2197</v>
      </c>
      <c r="F350" s="3" t="s">
        <v>2197</v>
      </c>
    </row>
    <row r="351" spans="2:6" ht="60" x14ac:dyDescent="0.25">
      <c r="B351" s="2">
        <f t="shared" si="5"/>
        <v>349</v>
      </c>
      <c r="C351" s="2">
        <v>1</v>
      </c>
      <c r="D351" s="2">
        <v>190</v>
      </c>
      <c r="E351" s="4" t="s">
        <v>2196</v>
      </c>
      <c r="F351" s="4" t="s">
        <v>2196</v>
      </c>
    </row>
    <row r="352" spans="2:6" x14ac:dyDescent="0.25">
      <c r="B352" s="1">
        <f t="shared" si="5"/>
        <v>350</v>
      </c>
      <c r="C352" s="1">
        <v>1</v>
      </c>
      <c r="D352" s="1">
        <v>191</v>
      </c>
      <c r="E352" s="3" t="s">
        <v>2195</v>
      </c>
      <c r="F352" s="3" t="s">
        <v>2195</v>
      </c>
    </row>
    <row r="353" spans="2:9" x14ac:dyDescent="0.25">
      <c r="B353" s="2">
        <f t="shared" si="5"/>
        <v>351</v>
      </c>
      <c r="C353" s="2">
        <v>2</v>
      </c>
      <c r="D353" s="2">
        <v>87</v>
      </c>
      <c r="E353" s="4" t="s">
        <v>991</v>
      </c>
      <c r="F353" s="3" t="s">
        <v>2946</v>
      </c>
      <c r="G353" t="s">
        <v>2947</v>
      </c>
    </row>
    <row r="354" spans="2:9" x14ac:dyDescent="0.25">
      <c r="B354" s="1">
        <f t="shared" si="5"/>
        <v>352</v>
      </c>
      <c r="C354" s="1">
        <v>1</v>
      </c>
      <c r="D354" s="2">
        <v>192</v>
      </c>
      <c r="E354" s="4" t="s">
        <v>2194</v>
      </c>
      <c r="F354" s="4" t="s">
        <v>2194</v>
      </c>
    </row>
    <row r="355" spans="2:9" ht="30" x14ac:dyDescent="0.25">
      <c r="B355" s="2">
        <f t="shared" si="5"/>
        <v>353</v>
      </c>
      <c r="C355" s="2">
        <v>1</v>
      </c>
      <c r="D355" s="2">
        <v>193</v>
      </c>
      <c r="E355" s="4" t="s">
        <v>2193</v>
      </c>
      <c r="F355" s="3" t="s">
        <v>2193</v>
      </c>
    </row>
    <row r="356" spans="2:9" x14ac:dyDescent="0.25">
      <c r="B356" s="1">
        <f t="shared" si="5"/>
        <v>354</v>
      </c>
      <c r="C356" s="1">
        <v>3</v>
      </c>
      <c r="D356" s="1">
        <v>25</v>
      </c>
      <c r="E356" s="3" t="s">
        <v>707</v>
      </c>
      <c r="F356" s="3" t="s">
        <v>707</v>
      </c>
    </row>
    <row r="357" spans="2:9" ht="30" x14ac:dyDescent="0.25">
      <c r="B357" s="2">
        <f t="shared" si="5"/>
        <v>355</v>
      </c>
      <c r="C357" s="2">
        <v>2</v>
      </c>
      <c r="D357" s="2">
        <v>88</v>
      </c>
      <c r="E357" s="4" t="s">
        <v>990</v>
      </c>
      <c r="F357" s="3" t="s">
        <v>707</v>
      </c>
      <c r="G357" t="s">
        <v>2948</v>
      </c>
      <c r="H357" t="s">
        <v>2949</v>
      </c>
      <c r="I357" t="s">
        <v>2950</v>
      </c>
    </row>
    <row r="358" spans="2:9" ht="30" x14ac:dyDescent="0.25">
      <c r="B358" s="1">
        <f t="shared" si="5"/>
        <v>356</v>
      </c>
      <c r="C358" s="1">
        <v>2</v>
      </c>
      <c r="D358" s="1">
        <v>89</v>
      </c>
      <c r="E358" s="3" t="s">
        <v>989</v>
      </c>
      <c r="F358" s="3" t="s">
        <v>707</v>
      </c>
      <c r="G358" t="s">
        <v>2813</v>
      </c>
      <c r="H358" t="s">
        <v>2814</v>
      </c>
    </row>
    <row r="359" spans="2:9" ht="30" x14ac:dyDescent="0.25">
      <c r="B359" s="2">
        <f t="shared" si="5"/>
        <v>357</v>
      </c>
      <c r="C359" s="2">
        <v>2</v>
      </c>
      <c r="D359" s="2" t="s">
        <v>988</v>
      </c>
      <c r="E359" s="4" t="s">
        <v>987</v>
      </c>
      <c r="F359" s="3" t="s">
        <v>707</v>
      </c>
      <c r="G359" t="s">
        <v>2813</v>
      </c>
      <c r="H359" t="s">
        <v>2814</v>
      </c>
      <c r="I359" t="s">
        <v>2951</v>
      </c>
    </row>
    <row r="360" spans="2:9" ht="30" x14ac:dyDescent="0.25">
      <c r="B360" s="1">
        <f t="shared" si="5"/>
        <v>358</v>
      </c>
      <c r="C360" s="1">
        <v>2</v>
      </c>
      <c r="D360" s="1">
        <v>90</v>
      </c>
      <c r="E360" s="3" t="s">
        <v>986</v>
      </c>
      <c r="F360" s="3" t="s">
        <v>707</v>
      </c>
      <c r="G360" t="s">
        <v>2813</v>
      </c>
      <c r="H360" t="s">
        <v>2952</v>
      </c>
      <c r="I360" t="s">
        <v>2953</v>
      </c>
    </row>
    <row r="361" spans="2:9" ht="30" x14ac:dyDescent="0.25">
      <c r="B361" s="2">
        <f t="shared" si="5"/>
        <v>359</v>
      </c>
      <c r="C361" s="2">
        <v>2</v>
      </c>
      <c r="D361" s="2" t="s">
        <v>985</v>
      </c>
      <c r="E361" s="4" t="s">
        <v>984</v>
      </c>
      <c r="F361" s="3" t="s">
        <v>707</v>
      </c>
      <c r="G361" t="s">
        <v>2813</v>
      </c>
      <c r="H361" t="s">
        <v>2954</v>
      </c>
    </row>
    <row r="362" spans="2:9" x14ac:dyDescent="0.25">
      <c r="B362" s="1">
        <f t="shared" si="5"/>
        <v>360</v>
      </c>
      <c r="C362" s="1">
        <v>1</v>
      </c>
      <c r="D362" s="2">
        <v>194</v>
      </c>
      <c r="E362" s="4" t="s">
        <v>2192</v>
      </c>
      <c r="F362" s="4" t="s">
        <v>2192</v>
      </c>
    </row>
    <row r="363" spans="2:9" x14ac:dyDescent="0.25">
      <c r="B363" s="2">
        <f t="shared" si="5"/>
        <v>361</v>
      </c>
      <c r="C363" s="2">
        <v>1</v>
      </c>
      <c r="D363" s="2">
        <v>195</v>
      </c>
      <c r="E363" s="4" t="s">
        <v>2191</v>
      </c>
      <c r="F363" s="3" t="s">
        <v>2191</v>
      </c>
    </row>
    <row r="364" spans="2:9" x14ac:dyDescent="0.25">
      <c r="B364" s="1">
        <f t="shared" si="5"/>
        <v>362</v>
      </c>
      <c r="C364" s="1">
        <v>1</v>
      </c>
      <c r="D364" s="2">
        <v>196</v>
      </c>
      <c r="E364" s="4" t="s">
        <v>2190</v>
      </c>
      <c r="F364" s="4" t="s">
        <v>2190</v>
      </c>
    </row>
    <row r="365" spans="2:9" x14ac:dyDescent="0.25">
      <c r="B365" s="2">
        <f t="shared" si="5"/>
        <v>363</v>
      </c>
      <c r="C365" s="2">
        <v>1</v>
      </c>
      <c r="D365" s="2">
        <v>197</v>
      </c>
      <c r="E365" s="4" t="s">
        <v>2189</v>
      </c>
      <c r="F365" s="3" t="s">
        <v>2189</v>
      </c>
    </row>
    <row r="366" spans="2:9" x14ac:dyDescent="0.25">
      <c r="B366" s="1">
        <f t="shared" si="5"/>
        <v>364</v>
      </c>
      <c r="C366" s="1">
        <v>1</v>
      </c>
      <c r="D366" s="2">
        <v>198</v>
      </c>
      <c r="E366" s="4" t="s">
        <v>2188</v>
      </c>
      <c r="F366" s="4" t="s">
        <v>2188</v>
      </c>
    </row>
    <row r="367" spans="2:9" x14ac:dyDescent="0.25">
      <c r="B367" s="2">
        <f t="shared" si="5"/>
        <v>365</v>
      </c>
      <c r="C367" s="2">
        <v>2</v>
      </c>
      <c r="D367" s="2">
        <v>91</v>
      </c>
      <c r="E367" s="4" t="s">
        <v>983</v>
      </c>
      <c r="F367" s="3" t="s">
        <v>2955</v>
      </c>
      <c r="G367" t="s">
        <v>2956</v>
      </c>
    </row>
    <row r="368" spans="2:9" x14ac:dyDescent="0.25">
      <c r="B368" s="1">
        <f t="shared" si="5"/>
        <v>366</v>
      </c>
      <c r="C368" s="1">
        <v>1</v>
      </c>
      <c r="D368" s="1">
        <v>199</v>
      </c>
      <c r="E368" s="3" t="s">
        <v>2187</v>
      </c>
      <c r="F368" s="3" t="s">
        <v>2187</v>
      </c>
    </row>
    <row r="369" spans="2:7" x14ac:dyDescent="0.25">
      <c r="B369" s="2">
        <f t="shared" si="5"/>
        <v>367</v>
      </c>
      <c r="C369" s="2">
        <v>2</v>
      </c>
      <c r="D369" s="2">
        <v>92</v>
      </c>
      <c r="E369" s="4" t="s">
        <v>982</v>
      </c>
      <c r="F369" s="3" t="s">
        <v>2187</v>
      </c>
      <c r="G369" t="s">
        <v>2909</v>
      </c>
    </row>
    <row r="370" spans="2:7" x14ac:dyDescent="0.25">
      <c r="B370" s="1">
        <f t="shared" si="5"/>
        <v>368</v>
      </c>
      <c r="C370" s="1">
        <v>1</v>
      </c>
      <c r="D370" s="2">
        <v>200</v>
      </c>
      <c r="E370" s="4" t="s">
        <v>2186</v>
      </c>
      <c r="F370" s="4" t="s">
        <v>2186</v>
      </c>
    </row>
    <row r="371" spans="2:7" x14ac:dyDescent="0.25">
      <c r="B371" s="2">
        <f t="shared" si="5"/>
        <v>369</v>
      </c>
      <c r="C371" s="2">
        <v>1</v>
      </c>
      <c r="D371" s="2">
        <v>201</v>
      </c>
      <c r="E371" s="4" t="s">
        <v>2185</v>
      </c>
      <c r="F371" s="3" t="s">
        <v>2185</v>
      </c>
    </row>
    <row r="372" spans="2:7" x14ac:dyDescent="0.25">
      <c r="B372" s="1">
        <f t="shared" si="5"/>
        <v>370</v>
      </c>
      <c r="C372" s="1">
        <v>1</v>
      </c>
      <c r="D372" s="2">
        <v>202</v>
      </c>
      <c r="E372" s="4" t="s">
        <v>2184</v>
      </c>
      <c r="F372" s="4" t="s">
        <v>2184</v>
      </c>
    </row>
    <row r="373" spans="2:7" x14ac:dyDescent="0.25">
      <c r="B373" s="2">
        <f t="shared" si="5"/>
        <v>371</v>
      </c>
      <c r="C373" s="2">
        <v>2</v>
      </c>
      <c r="D373" s="2">
        <v>93</v>
      </c>
      <c r="E373" s="4" t="s">
        <v>981</v>
      </c>
      <c r="F373" s="3" t="s">
        <v>2184</v>
      </c>
      <c r="G373" t="s">
        <v>2957</v>
      </c>
    </row>
    <row r="374" spans="2:7" x14ac:dyDescent="0.25">
      <c r="B374" s="1">
        <f t="shared" si="5"/>
        <v>372</v>
      </c>
      <c r="C374" s="1">
        <v>1</v>
      </c>
      <c r="D374" s="1">
        <v>203</v>
      </c>
      <c r="E374" s="3" t="s">
        <v>2183</v>
      </c>
      <c r="F374" s="3" t="s">
        <v>2183</v>
      </c>
    </row>
    <row r="375" spans="2:7" x14ac:dyDescent="0.25">
      <c r="B375" s="2">
        <f t="shared" si="5"/>
        <v>373</v>
      </c>
      <c r="C375" s="2">
        <v>1</v>
      </c>
      <c r="D375" s="2">
        <v>204</v>
      </c>
      <c r="E375" s="4" t="s">
        <v>2182</v>
      </c>
      <c r="F375" s="4" t="s">
        <v>2182</v>
      </c>
    </row>
    <row r="376" spans="2:7" x14ac:dyDescent="0.25">
      <c r="B376" s="1">
        <f t="shared" si="5"/>
        <v>374</v>
      </c>
      <c r="C376" s="1">
        <v>2</v>
      </c>
      <c r="D376" s="1">
        <v>94</v>
      </c>
      <c r="E376" s="3" t="s">
        <v>980</v>
      </c>
      <c r="F376" s="3" t="s">
        <v>2182</v>
      </c>
      <c r="G376" t="s">
        <v>2958</v>
      </c>
    </row>
    <row r="377" spans="2:7" x14ac:dyDescent="0.25">
      <c r="B377" s="2">
        <f t="shared" si="5"/>
        <v>375</v>
      </c>
      <c r="C377" s="2">
        <v>1</v>
      </c>
      <c r="D377" s="2">
        <v>205</v>
      </c>
      <c r="E377" s="4" t="s">
        <v>2181</v>
      </c>
      <c r="F377" s="3" t="s">
        <v>2181</v>
      </c>
    </row>
    <row r="378" spans="2:7" x14ac:dyDescent="0.25">
      <c r="B378" s="1">
        <f t="shared" si="5"/>
        <v>376</v>
      </c>
      <c r="C378" s="1">
        <v>3</v>
      </c>
      <c r="D378" s="1">
        <v>26</v>
      </c>
      <c r="E378" s="3" t="s">
        <v>706</v>
      </c>
      <c r="F378" s="3" t="s">
        <v>706</v>
      </c>
    </row>
    <row r="379" spans="2:7" x14ac:dyDescent="0.25">
      <c r="B379" s="2">
        <f t="shared" si="5"/>
        <v>377</v>
      </c>
      <c r="C379" s="2">
        <v>3</v>
      </c>
      <c r="D379" s="2">
        <v>27</v>
      </c>
      <c r="E379" s="4" t="s">
        <v>705</v>
      </c>
      <c r="F379" s="3" t="s">
        <v>705</v>
      </c>
    </row>
    <row r="380" spans="2:7" x14ac:dyDescent="0.25">
      <c r="B380" s="1">
        <f t="shared" si="5"/>
        <v>378</v>
      </c>
      <c r="C380" s="1">
        <v>1</v>
      </c>
      <c r="D380" s="2">
        <v>206</v>
      </c>
      <c r="E380" s="4" t="s">
        <v>2180</v>
      </c>
      <c r="F380" s="4" t="s">
        <v>2180</v>
      </c>
    </row>
    <row r="381" spans="2:7" x14ac:dyDescent="0.25">
      <c r="B381" s="2">
        <f t="shared" si="5"/>
        <v>379</v>
      </c>
      <c r="C381" s="2">
        <v>1</v>
      </c>
      <c r="D381" s="2">
        <v>207</v>
      </c>
      <c r="E381" s="4" t="s">
        <v>2179</v>
      </c>
      <c r="F381" s="3" t="s">
        <v>2179</v>
      </c>
    </row>
    <row r="382" spans="2:7" x14ac:dyDescent="0.25">
      <c r="B382" s="1">
        <f t="shared" si="5"/>
        <v>380</v>
      </c>
      <c r="C382" s="1">
        <v>1</v>
      </c>
      <c r="D382" s="2">
        <v>208</v>
      </c>
      <c r="E382" s="4" t="s">
        <v>2178</v>
      </c>
      <c r="F382" s="4" t="s">
        <v>2178</v>
      </c>
    </row>
    <row r="383" spans="2:7" ht="30" x14ac:dyDescent="0.25">
      <c r="B383" s="2">
        <f t="shared" si="5"/>
        <v>381</v>
      </c>
      <c r="C383" s="2">
        <v>1</v>
      </c>
      <c r="D383" s="2">
        <v>209</v>
      </c>
      <c r="E383" s="4" t="s">
        <v>2177</v>
      </c>
      <c r="F383" s="3" t="s">
        <v>2177</v>
      </c>
    </row>
    <row r="384" spans="2:7" ht="45" x14ac:dyDescent="0.25">
      <c r="B384" s="1">
        <f t="shared" si="5"/>
        <v>382</v>
      </c>
      <c r="C384" s="1">
        <v>1</v>
      </c>
      <c r="D384" s="2" t="s">
        <v>2176</v>
      </c>
      <c r="E384" s="4" t="s">
        <v>2175</v>
      </c>
      <c r="F384" s="4" t="s">
        <v>2175</v>
      </c>
    </row>
    <row r="385" spans="2:8" ht="30" x14ac:dyDescent="0.25">
      <c r="B385" s="2">
        <f t="shared" si="5"/>
        <v>383</v>
      </c>
      <c r="C385" s="2">
        <v>1</v>
      </c>
      <c r="D385" s="2">
        <v>210</v>
      </c>
      <c r="E385" s="4" t="s">
        <v>2174</v>
      </c>
      <c r="F385" s="3" t="s">
        <v>2174</v>
      </c>
    </row>
    <row r="386" spans="2:8" x14ac:dyDescent="0.25">
      <c r="B386" s="1">
        <f t="shared" si="5"/>
        <v>384</v>
      </c>
      <c r="C386" s="1">
        <v>1</v>
      </c>
      <c r="D386" s="2">
        <v>211</v>
      </c>
      <c r="E386" s="4" t="s">
        <v>2173</v>
      </c>
      <c r="F386" s="4" t="s">
        <v>2173</v>
      </c>
    </row>
    <row r="387" spans="2:8" x14ac:dyDescent="0.25">
      <c r="B387" s="2">
        <f t="shared" si="5"/>
        <v>385</v>
      </c>
      <c r="C387" s="2">
        <v>2</v>
      </c>
      <c r="D387" s="2">
        <v>95</v>
      </c>
      <c r="E387" s="4" t="s">
        <v>979</v>
      </c>
      <c r="F387" s="3" t="s">
        <v>2173</v>
      </c>
      <c r="G387" t="s">
        <v>2959</v>
      </c>
    </row>
    <row r="388" spans="2:8" ht="75" x14ac:dyDescent="0.25">
      <c r="B388" s="1">
        <f t="shared" si="5"/>
        <v>386</v>
      </c>
      <c r="C388" s="1">
        <v>1</v>
      </c>
      <c r="D388" s="1">
        <v>212</v>
      </c>
      <c r="E388" s="3" t="s">
        <v>2172</v>
      </c>
      <c r="F388" s="3" t="s">
        <v>2172</v>
      </c>
    </row>
    <row r="389" spans="2:8" x14ac:dyDescent="0.25">
      <c r="B389" s="2">
        <f t="shared" ref="B389:B452" si="6">+B388+1</f>
        <v>387</v>
      </c>
      <c r="C389" s="2">
        <v>1</v>
      </c>
      <c r="D389" s="2">
        <v>213</v>
      </c>
      <c r="E389" s="4" t="s">
        <v>2171</v>
      </c>
      <c r="F389" s="4" t="s">
        <v>2171</v>
      </c>
    </row>
    <row r="390" spans="2:8" x14ac:dyDescent="0.25">
      <c r="B390" s="1">
        <f t="shared" si="6"/>
        <v>388</v>
      </c>
      <c r="C390" s="1">
        <v>1</v>
      </c>
      <c r="D390" s="1">
        <v>214</v>
      </c>
      <c r="E390" s="3" t="s">
        <v>2170</v>
      </c>
      <c r="F390" s="3" t="s">
        <v>2170</v>
      </c>
    </row>
    <row r="391" spans="2:8" x14ac:dyDescent="0.25">
      <c r="B391" s="2">
        <f t="shared" si="6"/>
        <v>389</v>
      </c>
      <c r="C391" s="2">
        <v>1</v>
      </c>
      <c r="D391" s="2">
        <v>215</v>
      </c>
      <c r="E391" s="4" t="s">
        <v>2169</v>
      </c>
      <c r="F391" s="4" t="s">
        <v>2169</v>
      </c>
    </row>
    <row r="392" spans="2:8" x14ac:dyDescent="0.25">
      <c r="B392" s="1">
        <f t="shared" si="6"/>
        <v>390</v>
      </c>
      <c r="C392" s="1">
        <v>1</v>
      </c>
      <c r="D392" s="1">
        <v>216</v>
      </c>
      <c r="E392" s="3" t="s">
        <v>2168</v>
      </c>
      <c r="F392" s="3" t="s">
        <v>2168</v>
      </c>
    </row>
    <row r="393" spans="2:8" x14ac:dyDescent="0.25">
      <c r="B393" s="2">
        <f t="shared" si="6"/>
        <v>391</v>
      </c>
      <c r="C393" s="2">
        <v>2</v>
      </c>
      <c r="D393" s="2">
        <v>96</v>
      </c>
      <c r="E393" s="4" t="s">
        <v>978</v>
      </c>
      <c r="F393" s="3" t="s">
        <v>2168</v>
      </c>
      <c r="G393" t="s">
        <v>2878</v>
      </c>
      <c r="H393" t="s">
        <v>2960</v>
      </c>
    </row>
    <row r="394" spans="2:8" x14ac:dyDescent="0.25">
      <c r="B394" s="1">
        <f t="shared" si="6"/>
        <v>392</v>
      </c>
      <c r="C394" s="1">
        <v>2</v>
      </c>
      <c r="D394" s="1">
        <v>97</v>
      </c>
      <c r="E394" s="3" t="s">
        <v>977</v>
      </c>
      <c r="F394" s="3" t="s">
        <v>2961</v>
      </c>
      <c r="G394" t="s">
        <v>2962</v>
      </c>
    </row>
    <row r="395" spans="2:8" x14ac:dyDescent="0.25">
      <c r="B395" s="2">
        <f t="shared" si="6"/>
        <v>393</v>
      </c>
      <c r="C395" s="2">
        <v>1</v>
      </c>
      <c r="D395" s="2">
        <v>217</v>
      </c>
      <c r="E395" s="4" t="s">
        <v>2167</v>
      </c>
      <c r="F395" s="4" t="s">
        <v>2167</v>
      </c>
    </row>
    <row r="396" spans="2:8" x14ac:dyDescent="0.25">
      <c r="B396" s="1">
        <f t="shared" si="6"/>
        <v>394</v>
      </c>
      <c r="C396" s="1">
        <v>1</v>
      </c>
      <c r="D396" s="1">
        <v>218</v>
      </c>
      <c r="E396" s="3" t="s">
        <v>2166</v>
      </c>
      <c r="F396" s="3" t="s">
        <v>2166</v>
      </c>
    </row>
    <row r="397" spans="2:8" ht="30" x14ac:dyDescent="0.25">
      <c r="B397" s="2">
        <f t="shared" si="6"/>
        <v>395</v>
      </c>
      <c r="C397" s="2">
        <v>1</v>
      </c>
      <c r="D397" s="2" t="s">
        <v>2165</v>
      </c>
      <c r="E397" s="4" t="s">
        <v>2164</v>
      </c>
      <c r="F397" s="4" t="s">
        <v>2164</v>
      </c>
    </row>
    <row r="398" spans="2:8" x14ac:dyDescent="0.25">
      <c r="B398" s="1">
        <f t="shared" si="6"/>
        <v>396</v>
      </c>
      <c r="C398" s="1">
        <v>1</v>
      </c>
      <c r="D398" s="1">
        <v>219</v>
      </c>
      <c r="E398" s="3" t="s">
        <v>2163</v>
      </c>
      <c r="F398" s="3" t="s">
        <v>2163</v>
      </c>
    </row>
    <row r="399" spans="2:8" x14ac:dyDescent="0.25">
      <c r="B399" s="2">
        <f t="shared" si="6"/>
        <v>397</v>
      </c>
      <c r="C399" s="2">
        <v>1</v>
      </c>
      <c r="D399" s="2">
        <v>220</v>
      </c>
      <c r="E399" s="4" t="s">
        <v>2162</v>
      </c>
      <c r="F399" s="4" t="s">
        <v>2162</v>
      </c>
    </row>
    <row r="400" spans="2:8" x14ac:dyDescent="0.25">
      <c r="B400" s="1">
        <f t="shared" si="6"/>
        <v>398</v>
      </c>
      <c r="C400" s="1">
        <v>2</v>
      </c>
      <c r="D400" s="1">
        <v>98</v>
      </c>
      <c r="E400" s="3" t="s">
        <v>976</v>
      </c>
      <c r="F400" s="3" t="s">
        <v>2963</v>
      </c>
      <c r="G400" t="s">
        <v>2964</v>
      </c>
    </row>
    <row r="401" spans="2:9" x14ac:dyDescent="0.25">
      <c r="B401" s="2">
        <f t="shared" si="6"/>
        <v>399</v>
      </c>
      <c r="C401" s="2">
        <v>1</v>
      </c>
      <c r="D401" s="2">
        <v>221</v>
      </c>
      <c r="E401" s="4" t="s">
        <v>2161</v>
      </c>
      <c r="F401" s="3" t="s">
        <v>2161</v>
      </c>
    </row>
    <row r="402" spans="2:9" x14ac:dyDescent="0.25">
      <c r="B402" s="1">
        <f t="shared" si="6"/>
        <v>400</v>
      </c>
      <c r="C402" s="1">
        <v>2</v>
      </c>
      <c r="D402" s="1">
        <v>99</v>
      </c>
      <c r="E402" s="3" t="s">
        <v>975</v>
      </c>
      <c r="F402" s="3" t="s">
        <v>2965</v>
      </c>
      <c r="G402" t="s">
        <v>2966</v>
      </c>
    </row>
    <row r="403" spans="2:9" x14ac:dyDescent="0.25">
      <c r="B403" s="2">
        <f t="shared" si="6"/>
        <v>401</v>
      </c>
      <c r="C403" s="2">
        <v>1</v>
      </c>
      <c r="D403" s="2">
        <v>222</v>
      </c>
      <c r="E403" s="4" t="s">
        <v>2160</v>
      </c>
      <c r="F403" s="4" t="s">
        <v>2160</v>
      </c>
    </row>
    <row r="404" spans="2:9" x14ac:dyDescent="0.25">
      <c r="B404" s="1">
        <f t="shared" si="6"/>
        <v>402</v>
      </c>
      <c r="C404" s="1">
        <v>1</v>
      </c>
      <c r="D404" s="1">
        <v>223</v>
      </c>
      <c r="E404" s="3" t="s">
        <v>2159</v>
      </c>
      <c r="F404" s="3" t="s">
        <v>2159</v>
      </c>
    </row>
    <row r="405" spans="2:9" x14ac:dyDescent="0.25">
      <c r="B405" s="2">
        <f t="shared" si="6"/>
        <v>403</v>
      </c>
      <c r="C405" s="2">
        <v>1</v>
      </c>
      <c r="D405" s="2">
        <v>224</v>
      </c>
      <c r="E405" s="4" t="s">
        <v>2158</v>
      </c>
      <c r="F405" s="4" t="s">
        <v>2158</v>
      </c>
    </row>
    <row r="406" spans="2:9" x14ac:dyDescent="0.25">
      <c r="B406" s="1">
        <f t="shared" si="6"/>
        <v>404</v>
      </c>
      <c r="C406" s="1">
        <v>2</v>
      </c>
      <c r="D406" s="1">
        <v>100</v>
      </c>
      <c r="E406" s="3" t="s">
        <v>974</v>
      </c>
      <c r="F406" s="3" t="s">
        <v>2158</v>
      </c>
      <c r="G406" t="s">
        <v>2967</v>
      </c>
      <c r="H406" t="s">
        <v>2816</v>
      </c>
      <c r="I406" t="s">
        <v>2846</v>
      </c>
    </row>
    <row r="407" spans="2:9" x14ac:dyDescent="0.25">
      <c r="B407" s="2">
        <f t="shared" si="6"/>
        <v>405</v>
      </c>
      <c r="C407" s="2">
        <v>2</v>
      </c>
      <c r="D407" s="2">
        <v>101</v>
      </c>
      <c r="E407" s="4" t="s">
        <v>973</v>
      </c>
      <c r="F407" s="3" t="s">
        <v>2158</v>
      </c>
      <c r="G407" t="s">
        <v>2816</v>
      </c>
    </row>
    <row r="408" spans="2:9" x14ac:dyDescent="0.25">
      <c r="B408" s="1">
        <f t="shared" si="6"/>
        <v>406</v>
      </c>
      <c r="C408" s="1">
        <v>2</v>
      </c>
      <c r="D408" s="1">
        <v>102</v>
      </c>
      <c r="E408" s="3" t="s">
        <v>972</v>
      </c>
      <c r="F408" s="3" t="s">
        <v>2158</v>
      </c>
      <c r="G408" t="s">
        <v>2816</v>
      </c>
      <c r="H408" t="s">
        <v>2949</v>
      </c>
    </row>
    <row r="409" spans="2:9" x14ac:dyDescent="0.25">
      <c r="B409" s="2">
        <f t="shared" si="6"/>
        <v>407</v>
      </c>
      <c r="C409" s="2">
        <v>2</v>
      </c>
      <c r="D409" s="2">
        <v>103</v>
      </c>
      <c r="E409" s="4" t="s">
        <v>971</v>
      </c>
      <c r="F409" s="3" t="s">
        <v>2158</v>
      </c>
      <c r="G409" t="s">
        <v>2845</v>
      </c>
      <c r="H409" t="s">
        <v>2829</v>
      </c>
    </row>
    <row r="410" spans="2:9" x14ac:dyDescent="0.25">
      <c r="B410" s="1">
        <f t="shared" si="6"/>
        <v>408</v>
      </c>
      <c r="C410" s="1">
        <v>2</v>
      </c>
      <c r="D410" s="1">
        <v>104</v>
      </c>
      <c r="E410" s="3" t="s">
        <v>970</v>
      </c>
      <c r="F410" s="3" t="s">
        <v>2158</v>
      </c>
      <c r="G410" t="s">
        <v>2968</v>
      </c>
      <c r="H410" t="s">
        <v>2949</v>
      </c>
    </row>
    <row r="411" spans="2:9" x14ac:dyDescent="0.25">
      <c r="B411" s="2">
        <f t="shared" si="6"/>
        <v>409</v>
      </c>
      <c r="C411" s="2">
        <v>2</v>
      </c>
      <c r="D411" s="2">
        <v>105</v>
      </c>
      <c r="E411" s="4" t="s">
        <v>969</v>
      </c>
      <c r="F411" s="3" t="s">
        <v>2158</v>
      </c>
      <c r="G411" t="s">
        <v>2969</v>
      </c>
      <c r="H411" t="s">
        <v>2970</v>
      </c>
    </row>
    <row r="412" spans="2:9" x14ac:dyDescent="0.25">
      <c r="B412" s="1">
        <f t="shared" si="6"/>
        <v>410</v>
      </c>
      <c r="C412" s="1">
        <v>2</v>
      </c>
      <c r="D412" s="1">
        <v>106</v>
      </c>
      <c r="E412" s="3" t="s">
        <v>968</v>
      </c>
      <c r="F412" s="3" t="s">
        <v>2158</v>
      </c>
      <c r="G412" t="s">
        <v>2949</v>
      </c>
    </row>
    <row r="413" spans="2:9" x14ac:dyDescent="0.25">
      <c r="B413" s="2">
        <f t="shared" si="6"/>
        <v>411</v>
      </c>
      <c r="C413" s="2">
        <v>2</v>
      </c>
      <c r="D413" s="2">
        <v>107</v>
      </c>
      <c r="E413" s="4" t="s">
        <v>967</v>
      </c>
      <c r="F413" s="3" t="s">
        <v>2158</v>
      </c>
      <c r="G413" t="s">
        <v>2971</v>
      </c>
    </row>
    <row r="414" spans="2:9" x14ac:dyDescent="0.25">
      <c r="B414" s="1">
        <f t="shared" si="6"/>
        <v>412</v>
      </c>
      <c r="C414" s="1">
        <v>2</v>
      </c>
      <c r="D414" s="1">
        <v>108</v>
      </c>
      <c r="E414" s="3" t="s">
        <v>966</v>
      </c>
      <c r="F414" s="3" t="s">
        <v>2158</v>
      </c>
      <c r="G414" t="s">
        <v>2829</v>
      </c>
    </row>
    <row r="415" spans="2:9" x14ac:dyDescent="0.25">
      <c r="B415" s="2">
        <f t="shared" si="6"/>
        <v>413</v>
      </c>
      <c r="C415" s="2">
        <v>1</v>
      </c>
      <c r="D415" s="2">
        <v>225</v>
      </c>
      <c r="E415" s="4" t="s">
        <v>2157</v>
      </c>
      <c r="F415" s="3" t="s">
        <v>2157</v>
      </c>
    </row>
    <row r="416" spans="2:9" x14ac:dyDescent="0.25">
      <c r="B416" s="1">
        <f t="shared" si="6"/>
        <v>414</v>
      </c>
      <c r="C416" s="1">
        <v>1</v>
      </c>
      <c r="D416" s="2">
        <v>226</v>
      </c>
      <c r="E416" s="4" t="s">
        <v>2156</v>
      </c>
      <c r="F416" s="4" t="s">
        <v>2156</v>
      </c>
    </row>
    <row r="417" spans="2:16" x14ac:dyDescent="0.25">
      <c r="B417" s="2">
        <f t="shared" si="6"/>
        <v>415</v>
      </c>
      <c r="C417" s="2">
        <v>2</v>
      </c>
      <c r="D417" s="2">
        <v>109</v>
      </c>
      <c r="E417" s="4" t="s">
        <v>965</v>
      </c>
      <c r="F417" s="3" t="s">
        <v>2156</v>
      </c>
      <c r="G417" t="s">
        <v>2972</v>
      </c>
    </row>
    <row r="418" spans="2:16" x14ac:dyDescent="0.25">
      <c r="B418" s="1">
        <f t="shared" si="6"/>
        <v>416</v>
      </c>
      <c r="C418" s="1">
        <v>3</v>
      </c>
      <c r="D418" s="1">
        <v>28</v>
      </c>
      <c r="E418" s="3" t="s">
        <v>704</v>
      </c>
      <c r="F418" s="3" t="s">
        <v>704</v>
      </c>
    </row>
    <row r="419" spans="2:16" x14ac:dyDescent="0.25">
      <c r="B419" s="2">
        <f t="shared" si="6"/>
        <v>417</v>
      </c>
      <c r="C419" s="2">
        <v>3</v>
      </c>
      <c r="D419" s="2">
        <v>29</v>
      </c>
      <c r="E419" s="4" t="s">
        <v>703</v>
      </c>
      <c r="F419" s="3" t="s">
        <v>703</v>
      </c>
    </row>
    <row r="420" spans="2:16" x14ac:dyDescent="0.25">
      <c r="B420" s="1">
        <f t="shared" si="6"/>
        <v>418</v>
      </c>
      <c r="C420" s="1">
        <v>1</v>
      </c>
      <c r="D420" s="1">
        <v>227</v>
      </c>
      <c r="E420" s="3" t="s">
        <v>2155</v>
      </c>
      <c r="F420" s="3" t="s">
        <v>2155</v>
      </c>
    </row>
    <row r="421" spans="2:16" x14ac:dyDescent="0.25">
      <c r="B421" s="2">
        <f t="shared" si="6"/>
        <v>419</v>
      </c>
      <c r="C421" s="2">
        <v>3</v>
      </c>
      <c r="D421" s="2">
        <v>30</v>
      </c>
      <c r="E421" s="4" t="s">
        <v>702</v>
      </c>
      <c r="F421" s="3" t="s">
        <v>702</v>
      </c>
    </row>
    <row r="422" spans="2:16" x14ac:dyDescent="0.25">
      <c r="B422" s="1">
        <f t="shared" si="6"/>
        <v>420</v>
      </c>
      <c r="C422" s="1">
        <v>1</v>
      </c>
      <c r="D422" s="2">
        <v>228</v>
      </c>
      <c r="E422" s="4" t="s">
        <v>2154</v>
      </c>
      <c r="F422" s="4" t="s">
        <v>2154</v>
      </c>
    </row>
    <row r="423" spans="2:16" x14ac:dyDescent="0.25">
      <c r="B423" s="2">
        <f t="shared" si="6"/>
        <v>421</v>
      </c>
      <c r="C423" s="2">
        <v>3</v>
      </c>
      <c r="D423" s="2">
        <v>31</v>
      </c>
      <c r="E423" s="4" t="s">
        <v>701</v>
      </c>
      <c r="F423" s="3" t="s">
        <v>701</v>
      </c>
    </row>
    <row r="424" spans="2:16" x14ac:dyDescent="0.25">
      <c r="B424" s="1">
        <f t="shared" si="6"/>
        <v>422</v>
      </c>
      <c r="C424" s="1">
        <v>2</v>
      </c>
      <c r="D424" s="1">
        <v>110</v>
      </c>
      <c r="E424" s="3" t="s">
        <v>964</v>
      </c>
      <c r="F424" s="3" t="s">
        <v>701</v>
      </c>
      <c r="G424" t="s">
        <v>2889</v>
      </c>
      <c r="H424" t="s">
        <v>2890</v>
      </c>
    </row>
    <row r="425" spans="2:16" x14ac:dyDescent="0.25">
      <c r="B425" s="2">
        <f t="shared" si="6"/>
        <v>423</v>
      </c>
      <c r="C425" s="2">
        <v>3</v>
      </c>
      <c r="D425" s="2">
        <v>32</v>
      </c>
      <c r="E425" s="4" t="s">
        <v>700</v>
      </c>
      <c r="F425" s="3" t="s">
        <v>700</v>
      </c>
    </row>
    <row r="426" spans="2:16" ht="45" x14ac:dyDescent="0.25">
      <c r="B426" s="1">
        <f t="shared" si="6"/>
        <v>424</v>
      </c>
      <c r="C426" s="1">
        <v>2</v>
      </c>
      <c r="D426" s="1">
        <v>111</v>
      </c>
      <c r="E426" s="3" t="s">
        <v>963</v>
      </c>
      <c r="F426" s="3" t="s">
        <v>700</v>
      </c>
      <c r="G426" t="s">
        <v>2926</v>
      </c>
      <c r="H426" t="s">
        <v>2973</v>
      </c>
      <c r="I426" t="s">
        <v>2974</v>
      </c>
      <c r="J426" t="s">
        <v>2975</v>
      </c>
      <c r="K426" t="s">
        <v>2851</v>
      </c>
      <c r="L426" t="s">
        <v>2976</v>
      </c>
      <c r="M426" t="s">
        <v>2852</v>
      </c>
      <c r="N426" t="s">
        <v>2977</v>
      </c>
      <c r="O426" t="s">
        <v>2978</v>
      </c>
      <c r="P426" t="s">
        <v>2979</v>
      </c>
    </row>
    <row r="427" spans="2:16" x14ac:dyDescent="0.25">
      <c r="B427" s="2">
        <f t="shared" si="6"/>
        <v>425</v>
      </c>
      <c r="C427" s="2">
        <v>3</v>
      </c>
      <c r="D427" s="2">
        <v>33</v>
      </c>
      <c r="E427" s="4" t="s">
        <v>699</v>
      </c>
      <c r="F427" s="3" t="s">
        <v>699</v>
      </c>
    </row>
    <row r="428" spans="2:16" x14ac:dyDescent="0.25">
      <c r="B428" s="1">
        <f t="shared" si="6"/>
        <v>426</v>
      </c>
      <c r="C428" s="1">
        <v>1</v>
      </c>
      <c r="D428" s="1">
        <v>229</v>
      </c>
      <c r="E428" s="3" t="s">
        <v>2153</v>
      </c>
      <c r="F428" s="3" t="s">
        <v>2153</v>
      </c>
    </row>
    <row r="429" spans="2:16" x14ac:dyDescent="0.25">
      <c r="B429" s="2">
        <f t="shared" si="6"/>
        <v>427</v>
      </c>
      <c r="C429" s="2">
        <v>3</v>
      </c>
      <c r="D429" s="2">
        <v>34</v>
      </c>
      <c r="E429" s="4" t="s">
        <v>698</v>
      </c>
      <c r="F429" s="3" t="s">
        <v>698</v>
      </c>
    </row>
    <row r="430" spans="2:16" x14ac:dyDescent="0.25">
      <c r="B430" s="1">
        <f t="shared" si="6"/>
        <v>428</v>
      </c>
      <c r="C430" s="1">
        <v>2</v>
      </c>
      <c r="D430" s="1">
        <v>112</v>
      </c>
      <c r="E430" s="3" t="s">
        <v>962</v>
      </c>
      <c r="F430" s="3" t="s">
        <v>698</v>
      </c>
      <c r="G430" t="s">
        <v>2980</v>
      </c>
    </row>
    <row r="431" spans="2:16" x14ac:dyDescent="0.25">
      <c r="B431" s="2">
        <f t="shared" si="6"/>
        <v>429</v>
      </c>
      <c r="C431" s="2">
        <v>3</v>
      </c>
      <c r="D431" s="2">
        <v>35</v>
      </c>
      <c r="E431" s="4" t="s">
        <v>697</v>
      </c>
      <c r="F431" s="3" t="s">
        <v>697</v>
      </c>
    </row>
    <row r="432" spans="2:16" x14ac:dyDescent="0.25">
      <c r="B432" s="1">
        <f t="shared" si="6"/>
        <v>430</v>
      </c>
      <c r="C432" s="1">
        <v>1</v>
      </c>
      <c r="D432" s="2">
        <v>230</v>
      </c>
      <c r="E432" s="4" t="s">
        <v>2152</v>
      </c>
      <c r="F432" s="4" t="s">
        <v>2152</v>
      </c>
    </row>
    <row r="433" spans="2:8" x14ac:dyDescent="0.25">
      <c r="B433" s="2">
        <f t="shared" si="6"/>
        <v>431</v>
      </c>
      <c r="C433" s="2">
        <v>3</v>
      </c>
      <c r="D433" s="2">
        <v>36</v>
      </c>
      <c r="E433" s="4" t="s">
        <v>696</v>
      </c>
      <c r="F433" s="3" t="s">
        <v>696</v>
      </c>
    </row>
    <row r="434" spans="2:8" x14ac:dyDescent="0.25">
      <c r="B434" s="1">
        <f t="shared" si="6"/>
        <v>432</v>
      </c>
      <c r="C434" s="1">
        <v>3</v>
      </c>
      <c r="D434" s="1">
        <v>37</v>
      </c>
      <c r="E434" s="3" t="s">
        <v>695</v>
      </c>
      <c r="F434" s="3" t="s">
        <v>695</v>
      </c>
    </row>
    <row r="435" spans="2:8" ht="30" x14ac:dyDescent="0.25">
      <c r="B435" s="2">
        <f t="shared" si="6"/>
        <v>433</v>
      </c>
      <c r="C435" s="2">
        <v>2</v>
      </c>
      <c r="D435" s="2">
        <v>113</v>
      </c>
      <c r="E435" s="4" t="s">
        <v>961</v>
      </c>
      <c r="F435" s="3" t="s">
        <v>2981</v>
      </c>
      <c r="G435" t="s">
        <v>2845</v>
      </c>
      <c r="H435" t="s">
        <v>2982</v>
      </c>
    </row>
    <row r="436" spans="2:8" x14ac:dyDescent="0.25">
      <c r="B436" s="1">
        <f t="shared" si="6"/>
        <v>434</v>
      </c>
      <c r="C436" s="1">
        <v>1</v>
      </c>
      <c r="D436" s="1">
        <v>231</v>
      </c>
      <c r="E436" s="3" t="s">
        <v>2151</v>
      </c>
      <c r="F436" s="3" t="s">
        <v>2151</v>
      </c>
    </row>
    <row r="437" spans="2:8" ht="30" x14ac:dyDescent="0.25">
      <c r="B437" s="2">
        <f t="shared" si="6"/>
        <v>435</v>
      </c>
      <c r="C437" s="2">
        <v>2</v>
      </c>
      <c r="D437" s="2" t="s">
        <v>960</v>
      </c>
      <c r="E437" s="4" t="s">
        <v>959</v>
      </c>
      <c r="F437" s="3" t="s">
        <v>2983</v>
      </c>
      <c r="G437" t="s">
        <v>2984</v>
      </c>
      <c r="H437" t="s">
        <v>2985</v>
      </c>
    </row>
    <row r="438" spans="2:8" x14ac:dyDescent="0.25">
      <c r="B438" s="1">
        <f t="shared" si="6"/>
        <v>436</v>
      </c>
      <c r="C438" s="1">
        <v>1</v>
      </c>
      <c r="D438" s="2">
        <v>232</v>
      </c>
      <c r="E438" s="4" t="s">
        <v>2150</v>
      </c>
      <c r="F438" s="4" t="s">
        <v>2150</v>
      </c>
    </row>
    <row r="439" spans="2:8" x14ac:dyDescent="0.25">
      <c r="B439" s="2">
        <f t="shared" si="6"/>
        <v>437</v>
      </c>
      <c r="C439" s="2">
        <v>1</v>
      </c>
      <c r="D439" s="2">
        <v>233</v>
      </c>
      <c r="E439" s="4" t="s">
        <v>2149</v>
      </c>
      <c r="F439" s="3" t="s">
        <v>2149</v>
      </c>
    </row>
    <row r="440" spans="2:8" x14ac:dyDescent="0.25">
      <c r="B440" s="1">
        <f t="shared" si="6"/>
        <v>438</v>
      </c>
      <c r="C440" s="1">
        <v>1</v>
      </c>
      <c r="D440" s="2">
        <v>234</v>
      </c>
      <c r="E440" s="4" t="s">
        <v>2148</v>
      </c>
      <c r="F440" s="4" t="s">
        <v>2148</v>
      </c>
    </row>
    <row r="441" spans="2:8" x14ac:dyDescent="0.25">
      <c r="B441" s="2">
        <f t="shared" si="6"/>
        <v>439</v>
      </c>
      <c r="C441" s="2">
        <v>1</v>
      </c>
      <c r="D441" s="2">
        <v>235</v>
      </c>
      <c r="E441" s="4" t="s">
        <v>2147</v>
      </c>
      <c r="F441" s="3" t="s">
        <v>2147</v>
      </c>
    </row>
    <row r="442" spans="2:8" x14ac:dyDescent="0.25">
      <c r="B442" s="1">
        <f t="shared" si="6"/>
        <v>440</v>
      </c>
      <c r="C442" s="1">
        <v>1</v>
      </c>
      <c r="D442" s="2">
        <v>236</v>
      </c>
      <c r="E442" s="4" t="s">
        <v>2146</v>
      </c>
      <c r="F442" s="4" t="s">
        <v>2146</v>
      </c>
    </row>
    <row r="443" spans="2:8" x14ac:dyDescent="0.25">
      <c r="B443" s="2">
        <f t="shared" si="6"/>
        <v>441</v>
      </c>
      <c r="C443" s="2">
        <v>2</v>
      </c>
      <c r="D443" s="2">
        <v>114</v>
      </c>
      <c r="E443" s="4" t="s">
        <v>958</v>
      </c>
      <c r="F443" s="3" t="s">
        <v>2146</v>
      </c>
      <c r="G443" t="s">
        <v>2980</v>
      </c>
    </row>
    <row r="444" spans="2:8" x14ac:dyDescent="0.25">
      <c r="B444" s="1">
        <f t="shared" si="6"/>
        <v>442</v>
      </c>
      <c r="C444" s="1">
        <v>2</v>
      </c>
      <c r="D444" s="1">
        <v>115</v>
      </c>
      <c r="E444" s="3" t="s">
        <v>957</v>
      </c>
      <c r="F444" s="3" t="s">
        <v>2146</v>
      </c>
      <c r="G444" t="s">
        <v>2909</v>
      </c>
    </row>
    <row r="445" spans="2:8" x14ac:dyDescent="0.25">
      <c r="B445" s="2">
        <f t="shared" si="6"/>
        <v>443</v>
      </c>
      <c r="C445" s="2">
        <v>1</v>
      </c>
      <c r="D445" s="2">
        <v>237</v>
      </c>
      <c r="E445" s="4" t="s">
        <v>2145</v>
      </c>
      <c r="F445" s="3" t="s">
        <v>2145</v>
      </c>
    </row>
    <row r="446" spans="2:8" ht="60" x14ac:dyDescent="0.25">
      <c r="B446" s="1">
        <f t="shared" si="6"/>
        <v>444</v>
      </c>
      <c r="C446" s="1">
        <v>1</v>
      </c>
      <c r="D446" s="2" t="s">
        <v>2144</v>
      </c>
      <c r="E446" s="4" t="s">
        <v>2143</v>
      </c>
      <c r="F446" s="4" t="s">
        <v>2143</v>
      </c>
    </row>
    <row r="447" spans="2:8" ht="30" x14ac:dyDescent="0.25">
      <c r="B447" s="2">
        <f t="shared" si="6"/>
        <v>445</v>
      </c>
      <c r="C447" s="2">
        <v>1</v>
      </c>
      <c r="D447" s="2">
        <v>238</v>
      </c>
      <c r="E447" s="4" t="s">
        <v>2142</v>
      </c>
      <c r="F447" s="3" t="s">
        <v>2142</v>
      </c>
    </row>
    <row r="448" spans="2:8" x14ac:dyDescent="0.25">
      <c r="B448" s="1">
        <f t="shared" si="6"/>
        <v>446</v>
      </c>
      <c r="C448" s="1">
        <v>1</v>
      </c>
      <c r="D448" s="2">
        <v>239</v>
      </c>
      <c r="E448" s="4" t="s">
        <v>2141</v>
      </c>
      <c r="F448" s="4" t="s">
        <v>2141</v>
      </c>
    </row>
    <row r="449" spans="2:7" ht="30" x14ac:dyDescent="0.25">
      <c r="B449" s="2">
        <f t="shared" si="6"/>
        <v>447</v>
      </c>
      <c r="C449" s="2">
        <v>1</v>
      </c>
      <c r="D449" s="2">
        <v>240</v>
      </c>
      <c r="E449" s="4" t="s">
        <v>2140</v>
      </c>
      <c r="F449" s="3" t="s">
        <v>2140</v>
      </c>
    </row>
    <row r="450" spans="2:7" x14ac:dyDescent="0.25">
      <c r="B450" s="1">
        <f t="shared" si="6"/>
        <v>448</v>
      </c>
      <c r="C450" s="1">
        <v>1</v>
      </c>
      <c r="D450" s="2">
        <v>241</v>
      </c>
      <c r="E450" s="4" t="s">
        <v>2139</v>
      </c>
      <c r="F450" s="4" t="s">
        <v>2139</v>
      </c>
    </row>
    <row r="451" spans="2:7" ht="30" x14ac:dyDescent="0.25">
      <c r="B451" s="2">
        <f t="shared" si="6"/>
        <v>449</v>
      </c>
      <c r="C451" s="2">
        <v>1</v>
      </c>
      <c r="D451" s="2">
        <v>242</v>
      </c>
      <c r="E451" s="4" t="s">
        <v>2138</v>
      </c>
      <c r="F451" s="3" t="s">
        <v>2138</v>
      </c>
    </row>
    <row r="452" spans="2:7" x14ac:dyDescent="0.25">
      <c r="B452" s="1">
        <f t="shared" si="6"/>
        <v>450</v>
      </c>
      <c r="C452" s="1">
        <v>2</v>
      </c>
      <c r="D452" s="1">
        <v>116</v>
      </c>
      <c r="E452" s="3" t="s">
        <v>956</v>
      </c>
      <c r="F452" s="3" t="s">
        <v>2986</v>
      </c>
      <c r="G452" t="s">
        <v>2987</v>
      </c>
    </row>
    <row r="453" spans="2:7" x14ac:dyDescent="0.25">
      <c r="B453" s="2">
        <f t="shared" ref="B453:B516" si="7">+B452+1</f>
        <v>451</v>
      </c>
      <c r="C453" s="2">
        <v>1</v>
      </c>
      <c r="D453" s="2">
        <v>243</v>
      </c>
      <c r="E453" s="4" t="s">
        <v>2137</v>
      </c>
      <c r="F453" s="4" t="s">
        <v>2137</v>
      </c>
    </row>
    <row r="454" spans="2:7" x14ac:dyDescent="0.25">
      <c r="B454" s="1">
        <f t="shared" si="7"/>
        <v>452</v>
      </c>
      <c r="C454" s="1">
        <v>1</v>
      </c>
      <c r="D454" s="1">
        <v>244</v>
      </c>
      <c r="E454" s="3" t="s">
        <v>2136</v>
      </c>
      <c r="F454" s="3" t="s">
        <v>2136</v>
      </c>
    </row>
    <row r="455" spans="2:7" x14ac:dyDescent="0.25">
      <c r="B455" s="2">
        <f t="shared" si="7"/>
        <v>453</v>
      </c>
      <c r="C455" s="2">
        <v>1</v>
      </c>
      <c r="D455" s="2">
        <v>245</v>
      </c>
      <c r="E455" s="4" t="s">
        <v>2135</v>
      </c>
      <c r="F455" s="4" t="s">
        <v>2135</v>
      </c>
    </row>
    <row r="456" spans="2:7" x14ac:dyDescent="0.25">
      <c r="B456" s="1">
        <f t="shared" si="7"/>
        <v>454</v>
      </c>
      <c r="C456" s="1">
        <v>1</v>
      </c>
      <c r="D456" s="1">
        <v>246</v>
      </c>
      <c r="E456" s="3" t="s">
        <v>2134</v>
      </c>
      <c r="F456" s="3" t="s">
        <v>2134</v>
      </c>
    </row>
    <row r="457" spans="2:7" x14ac:dyDescent="0.25">
      <c r="B457" s="2">
        <f t="shared" si="7"/>
        <v>455</v>
      </c>
      <c r="C457" s="2">
        <v>2</v>
      </c>
      <c r="D457" s="2">
        <v>117</v>
      </c>
      <c r="E457" s="4" t="s">
        <v>955</v>
      </c>
      <c r="F457" s="3" t="s">
        <v>2134</v>
      </c>
      <c r="G457" t="s">
        <v>2909</v>
      </c>
    </row>
    <row r="458" spans="2:7" x14ac:dyDescent="0.25">
      <c r="B458" s="1">
        <f t="shared" si="7"/>
        <v>456</v>
      </c>
      <c r="C458" s="1">
        <v>2</v>
      </c>
      <c r="D458" s="1">
        <v>118</v>
      </c>
      <c r="E458" s="3" t="s">
        <v>954</v>
      </c>
      <c r="F458" s="3" t="s">
        <v>2988</v>
      </c>
      <c r="G458" t="s">
        <v>2938</v>
      </c>
    </row>
    <row r="459" spans="2:7" ht="45" x14ac:dyDescent="0.25">
      <c r="B459" s="2">
        <f t="shared" si="7"/>
        <v>457</v>
      </c>
      <c r="C459" s="2">
        <v>1</v>
      </c>
      <c r="D459" s="2">
        <v>247</v>
      </c>
      <c r="E459" s="4" t="s">
        <v>2133</v>
      </c>
      <c r="F459" s="4" t="s">
        <v>2133</v>
      </c>
    </row>
    <row r="460" spans="2:7" x14ac:dyDescent="0.25">
      <c r="B460" s="1">
        <f t="shared" si="7"/>
        <v>458</v>
      </c>
      <c r="C460" s="1">
        <v>1</v>
      </c>
      <c r="D460" s="1">
        <v>248</v>
      </c>
      <c r="E460" s="3" t="s">
        <v>2132</v>
      </c>
      <c r="F460" s="3" t="s">
        <v>2132</v>
      </c>
    </row>
    <row r="461" spans="2:7" x14ac:dyDescent="0.25">
      <c r="B461" s="2">
        <f t="shared" si="7"/>
        <v>459</v>
      </c>
      <c r="C461" s="2">
        <v>1</v>
      </c>
      <c r="D461" s="2">
        <v>249</v>
      </c>
      <c r="E461" s="4" t="s">
        <v>2131</v>
      </c>
      <c r="F461" s="4" t="s">
        <v>2131</v>
      </c>
    </row>
    <row r="462" spans="2:7" x14ac:dyDescent="0.25">
      <c r="B462" s="1">
        <f t="shared" si="7"/>
        <v>460</v>
      </c>
      <c r="C462" s="1">
        <v>1</v>
      </c>
      <c r="D462" s="1">
        <v>250</v>
      </c>
      <c r="E462" s="3" t="s">
        <v>2130</v>
      </c>
      <c r="F462" s="3" t="s">
        <v>2130</v>
      </c>
    </row>
    <row r="463" spans="2:7" x14ac:dyDescent="0.25">
      <c r="B463" s="2">
        <f t="shared" si="7"/>
        <v>461</v>
      </c>
      <c r="C463" s="2">
        <v>1</v>
      </c>
      <c r="D463" s="2">
        <v>251</v>
      </c>
      <c r="E463" s="4" t="s">
        <v>2129</v>
      </c>
      <c r="F463" s="4" t="s">
        <v>2129</v>
      </c>
    </row>
    <row r="464" spans="2:7" x14ac:dyDescent="0.25">
      <c r="B464" s="1">
        <f t="shared" si="7"/>
        <v>462</v>
      </c>
      <c r="C464" s="1">
        <v>2</v>
      </c>
      <c r="D464" s="1">
        <v>119</v>
      </c>
      <c r="E464" s="3" t="s">
        <v>953</v>
      </c>
      <c r="F464" s="3" t="s">
        <v>2129</v>
      </c>
      <c r="G464" t="s">
        <v>2989</v>
      </c>
    </row>
    <row r="465" spans="2:7" x14ac:dyDescent="0.25">
      <c r="B465" s="2">
        <f t="shared" si="7"/>
        <v>463</v>
      </c>
      <c r="C465" s="2">
        <v>2</v>
      </c>
      <c r="D465" s="2">
        <v>120</v>
      </c>
      <c r="E465" s="4" t="s">
        <v>952</v>
      </c>
      <c r="F465" s="3" t="s">
        <v>2129</v>
      </c>
      <c r="G465" t="s">
        <v>2990</v>
      </c>
    </row>
    <row r="466" spans="2:7" ht="30" x14ac:dyDescent="0.25">
      <c r="B466" s="1">
        <f t="shared" si="7"/>
        <v>464</v>
      </c>
      <c r="C466" s="1">
        <v>1</v>
      </c>
      <c r="D466" s="1">
        <v>252</v>
      </c>
      <c r="E466" s="3" t="s">
        <v>2128</v>
      </c>
      <c r="F466" s="3" t="s">
        <v>2128</v>
      </c>
    </row>
    <row r="467" spans="2:7" x14ac:dyDescent="0.25">
      <c r="B467" s="2">
        <f t="shared" si="7"/>
        <v>465</v>
      </c>
      <c r="C467" s="2">
        <v>1</v>
      </c>
      <c r="D467" s="2">
        <v>253</v>
      </c>
      <c r="E467" s="4" t="s">
        <v>2127</v>
      </c>
      <c r="F467" s="4" t="s">
        <v>2127</v>
      </c>
    </row>
    <row r="468" spans="2:7" x14ac:dyDescent="0.25">
      <c r="B468" s="1">
        <f t="shared" si="7"/>
        <v>466</v>
      </c>
      <c r="C468" s="1">
        <v>1</v>
      </c>
      <c r="D468" s="1">
        <v>254</v>
      </c>
      <c r="E468" s="3" t="s">
        <v>2126</v>
      </c>
      <c r="F468" s="3" t="s">
        <v>2126</v>
      </c>
    </row>
    <row r="469" spans="2:7" x14ac:dyDescent="0.25">
      <c r="B469" s="2">
        <f t="shared" si="7"/>
        <v>467</v>
      </c>
      <c r="C469" s="2">
        <v>1</v>
      </c>
      <c r="D469" s="2">
        <v>255</v>
      </c>
      <c r="E469" s="4" t="s">
        <v>2125</v>
      </c>
      <c r="F469" s="4" t="s">
        <v>2125</v>
      </c>
    </row>
    <row r="470" spans="2:7" x14ac:dyDescent="0.25">
      <c r="B470" s="1">
        <f t="shared" si="7"/>
        <v>468</v>
      </c>
      <c r="C470" s="1">
        <v>1</v>
      </c>
      <c r="D470" s="1">
        <v>256</v>
      </c>
      <c r="E470" s="3" t="s">
        <v>2124</v>
      </c>
      <c r="F470" s="3" t="s">
        <v>2124</v>
      </c>
    </row>
    <row r="471" spans="2:7" ht="30" x14ac:dyDescent="0.25">
      <c r="B471" s="2">
        <f t="shared" si="7"/>
        <v>469</v>
      </c>
      <c r="C471" s="2">
        <v>1</v>
      </c>
      <c r="D471" s="2">
        <v>257</v>
      </c>
      <c r="E471" s="4" t="s">
        <v>2123</v>
      </c>
      <c r="F471" s="4" t="s">
        <v>2123</v>
      </c>
    </row>
    <row r="472" spans="2:7" x14ac:dyDescent="0.25">
      <c r="B472" s="1">
        <f t="shared" si="7"/>
        <v>470</v>
      </c>
      <c r="C472" s="1">
        <v>1</v>
      </c>
      <c r="D472" s="1">
        <v>258</v>
      </c>
      <c r="E472" s="3" t="s">
        <v>2122</v>
      </c>
      <c r="F472" s="3" t="s">
        <v>2122</v>
      </c>
    </row>
    <row r="473" spans="2:7" x14ac:dyDescent="0.25">
      <c r="B473" s="2">
        <f t="shared" si="7"/>
        <v>471</v>
      </c>
      <c r="C473" s="2">
        <v>1</v>
      </c>
      <c r="D473" s="2">
        <v>259</v>
      </c>
      <c r="E473" s="4" t="s">
        <v>2121</v>
      </c>
      <c r="F473" s="4" t="s">
        <v>2121</v>
      </c>
    </row>
    <row r="474" spans="2:7" ht="30" x14ac:dyDescent="0.25">
      <c r="B474" s="1">
        <f t="shared" si="7"/>
        <v>472</v>
      </c>
      <c r="C474" s="1">
        <v>1</v>
      </c>
      <c r="D474" s="1">
        <v>260</v>
      </c>
      <c r="E474" s="3" t="s">
        <v>2120</v>
      </c>
      <c r="F474" s="3" t="s">
        <v>2120</v>
      </c>
    </row>
    <row r="475" spans="2:7" ht="30" x14ac:dyDescent="0.25">
      <c r="B475" s="2">
        <f t="shared" si="7"/>
        <v>473</v>
      </c>
      <c r="C475" s="2">
        <v>2</v>
      </c>
      <c r="D475" s="2">
        <v>121</v>
      </c>
      <c r="E475" s="4" t="s">
        <v>951</v>
      </c>
      <c r="F475" s="3" t="s">
        <v>2120</v>
      </c>
      <c r="G475" t="s">
        <v>2949</v>
      </c>
    </row>
    <row r="476" spans="2:7" ht="30" x14ac:dyDescent="0.25">
      <c r="B476" s="1">
        <f t="shared" si="7"/>
        <v>474</v>
      </c>
      <c r="C476" s="1">
        <v>2</v>
      </c>
      <c r="D476" s="1">
        <v>122</v>
      </c>
      <c r="E476" s="3" t="s">
        <v>950</v>
      </c>
      <c r="F476" s="3" t="s">
        <v>2120</v>
      </c>
      <c r="G476" t="s">
        <v>2991</v>
      </c>
    </row>
    <row r="477" spans="2:7" x14ac:dyDescent="0.25">
      <c r="B477" s="2">
        <f t="shared" si="7"/>
        <v>475</v>
      </c>
      <c r="C477" s="2">
        <v>3</v>
      </c>
      <c r="D477" s="2">
        <v>38</v>
      </c>
      <c r="E477" s="4" t="s">
        <v>694</v>
      </c>
      <c r="F477" s="3" t="s">
        <v>694</v>
      </c>
    </row>
    <row r="478" spans="2:7" x14ac:dyDescent="0.25">
      <c r="B478" s="1">
        <f t="shared" si="7"/>
        <v>476</v>
      </c>
      <c r="C478" s="1">
        <v>3</v>
      </c>
      <c r="D478" s="1">
        <v>39</v>
      </c>
      <c r="E478" s="3" t="s">
        <v>693</v>
      </c>
      <c r="F478" s="3" t="s">
        <v>693</v>
      </c>
    </row>
    <row r="479" spans="2:7" x14ac:dyDescent="0.25">
      <c r="B479" s="2">
        <f t="shared" si="7"/>
        <v>477</v>
      </c>
      <c r="C479" s="2">
        <v>1</v>
      </c>
      <c r="D479" s="2">
        <v>261</v>
      </c>
      <c r="E479" s="4" t="s">
        <v>2119</v>
      </c>
      <c r="F479" s="4" t="s">
        <v>2119</v>
      </c>
    </row>
    <row r="480" spans="2:7" x14ac:dyDescent="0.25">
      <c r="B480" s="1">
        <f t="shared" si="7"/>
        <v>478</v>
      </c>
      <c r="C480" s="1">
        <v>1</v>
      </c>
      <c r="D480" s="1">
        <v>262</v>
      </c>
      <c r="E480" s="3" t="s">
        <v>2118</v>
      </c>
      <c r="F480" s="3" t="s">
        <v>2118</v>
      </c>
    </row>
    <row r="481" spans="2:7" ht="60" x14ac:dyDescent="0.25">
      <c r="B481" s="2">
        <f t="shared" si="7"/>
        <v>479</v>
      </c>
      <c r="C481" s="2">
        <v>1</v>
      </c>
      <c r="D481" s="2">
        <v>263</v>
      </c>
      <c r="E481" s="4" t="s">
        <v>2117</v>
      </c>
      <c r="F481" s="4" t="s">
        <v>2117</v>
      </c>
    </row>
    <row r="482" spans="2:7" ht="30" x14ac:dyDescent="0.25">
      <c r="B482" s="1">
        <f t="shared" si="7"/>
        <v>480</v>
      </c>
      <c r="C482" s="1">
        <v>1</v>
      </c>
      <c r="D482" s="1">
        <v>264</v>
      </c>
      <c r="E482" s="3" t="s">
        <v>2116</v>
      </c>
      <c r="F482" s="3" t="s">
        <v>2116</v>
      </c>
    </row>
    <row r="483" spans="2:7" x14ac:dyDescent="0.25">
      <c r="B483" s="2">
        <f t="shared" si="7"/>
        <v>481</v>
      </c>
      <c r="C483" s="2">
        <v>1</v>
      </c>
      <c r="D483" s="2">
        <v>265</v>
      </c>
      <c r="E483" s="4" t="s">
        <v>2115</v>
      </c>
      <c r="F483" s="4" t="s">
        <v>2115</v>
      </c>
    </row>
    <row r="484" spans="2:7" ht="45" x14ac:dyDescent="0.25">
      <c r="B484" s="1">
        <f t="shared" si="7"/>
        <v>482</v>
      </c>
      <c r="C484" s="1">
        <v>1</v>
      </c>
      <c r="D484" s="1" t="s">
        <v>2114</v>
      </c>
      <c r="E484" s="3" t="s">
        <v>2113</v>
      </c>
      <c r="F484" s="3" t="s">
        <v>2113</v>
      </c>
    </row>
    <row r="485" spans="2:7" x14ac:dyDescent="0.25">
      <c r="B485" s="2">
        <f t="shared" si="7"/>
        <v>483</v>
      </c>
      <c r="C485" s="2">
        <v>1</v>
      </c>
      <c r="D485" s="2">
        <v>266</v>
      </c>
      <c r="E485" s="4" t="s">
        <v>2112</v>
      </c>
      <c r="F485" s="4" t="s">
        <v>2112</v>
      </c>
    </row>
    <row r="486" spans="2:7" ht="30" x14ac:dyDescent="0.25">
      <c r="B486" s="1">
        <f t="shared" si="7"/>
        <v>484</v>
      </c>
      <c r="C486" s="1">
        <v>1</v>
      </c>
      <c r="D486" s="1">
        <v>267</v>
      </c>
      <c r="E486" s="3" t="s">
        <v>2111</v>
      </c>
      <c r="F486" s="3" t="s">
        <v>2111</v>
      </c>
    </row>
    <row r="487" spans="2:7" ht="45" x14ac:dyDescent="0.25">
      <c r="B487" s="2">
        <f t="shared" si="7"/>
        <v>485</v>
      </c>
      <c r="C487" s="2">
        <v>1</v>
      </c>
      <c r="D487" s="2" t="s">
        <v>2110</v>
      </c>
      <c r="E487" s="4" t="s">
        <v>2109</v>
      </c>
      <c r="F487" s="4" t="s">
        <v>2109</v>
      </c>
    </row>
    <row r="488" spans="2:7" ht="30" x14ac:dyDescent="0.25">
      <c r="B488" s="1">
        <f t="shared" si="7"/>
        <v>486</v>
      </c>
      <c r="C488" s="1">
        <v>1</v>
      </c>
      <c r="D488" s="1">
        <v>268</v>
      </c>
      <c r="E488" s="3" t="s">
        <v>2108</v>
      </c>
      <c r="F488" s="3" t="s">
        <v>2108</v>
      </c>
    </row>
    <row r="489" spans="2:7" x14ac:dyDescent="0.25">
      <c r="B489" s="2">
        <f t="shared" si="7"/>
        <v>487</v>
      </c>
      <c r="C489" s="2">
        <v>1</v>
      </c>
      <c r="D489" s="2">
        <v>269</v>
      </c>
      <c r="E489" s="4" t="s">
        <v>2107</v>
      </c>
      <c r="F489" s="4" t="s">
        <v>2107</v>
      </c>
    </row>
    <row r="490" spans="2:7" x14ac:dyDescent="0.25">
      <c r="B490" s="1">
        <f t="shared" si="7"/>
        <v>488</v>
      </c>
      <c r="C490" s="1">
        <v>2</v>
      </c>
      <c r="D490" s="1">
        <v>123</v>
      </c>
      <c r="E490" s="3" t="s">
        <v>949</v>
      </c>
      <c r="F490" s="3" t="s">
        <v>2107</v>
      </c>
      <c r="G490" t="s">
        <v>2992</v>
      </c>
    </row>
    <row r="491" spans="2:7" ht="30" x14ac:dyDescent="0.25">
      <c r="B491" s="2">
        <f t="shared" si="7"/>
        <v>489</v>
      </c>
      <c r="C491" s="2">
        <v>1</v>
      </c>
      <c r="D491" s="2">
        <v>270</v>
      </c>
      <c r="E491" s="4" t="s">
        <v>2106</v>
      </c>
      <c r="F491" s="3" t="s">
        <v>2106</v>
      </c>
    </row>
    <row r="492" spans="2:7" ht="30" x14ac:dyDescent="0.25">
      <c r="B492" s="1">
        <f t="shared" si="7"/>
        <v>490</v>
      </c>
      <c r="C492" s="1">
        <v>1</v>
      </c>
      <c r="D492" s="2">
        <v>271</v>
      </c>
      <c r="E492" s="4" t="s">
        <v>2105</v>
      </c>
      <c r="F492" s="4" t="s">
        <v>2105</v>
      </c>
    </row>
    <row r="493" spans="2:7" ht="30" x14ac:dyDescent="0.25">
      <c r="B493" s="2">
        <f t="shared" si="7"/>
        <v>491</v>
      </c>
      <c r="C493" s="2">
        <v>1</v>
      </c>
      <c r="D493" s="2">
        <v>272</v>
      </c>
      <c r="E493" s="4" t="s">
        <v>2104</v>
      </c>
      <c r="F493" s="3" t="s">
        <v>2104</v>
      </c>
    </row>
    <row r="494" spans="2:7" x14ac:dyDescent="0.25">
      <c r="B494" s="1">
        <f t="shared" si="7"/>
        <v>492</v>
      </c>
      <c r="C494" s="1">
        <v>1</v>
      </c>
      <c r="D494" s="2">
        <v>273</v>
      </c>
      <c r="E494" s="4" t="s">
        <v>2103</v>
      </c>
      <c r="F494" s="4" t="s">
        <v>2103</v>
      </c>
    </row>
    <row r="495" spans="2:7" x14ac:dyDescent="0.25">
      <c r="B495" s="2">
        <f t="shared" si="7"/>
        <v>493</v>
      </c>
      <c r="C495" s="2">
        <v>1</v>
      </c>
      <c r="D495" s="2">
        <v>274</v>
      </c>
      <c r="E495" s="4" t="s">
        <v>2102</v>
      </c>
      <c r="F495" s="3" t="s">
        <v>2102</v>
      </c>
    </row>
    <row r="496" spans="2:7" x14ac:dyDescent="0.25">
      <c r="B496" s="1">
        <f t="shared" si="7"/>
        <v>494</v>
      </c>
      <c r="C496" s="1">
        <v>1</v>
      </c>
      <c r="D496" s="2">
        <v>275</v>
      </c>
      <c r="E496" s="4" t="s">
        <v>2101</v>
      </c>
      <c r="F496" s="4" t="s">
        <v>2101</v>
      </c>
    </row>
    <row r="497" spans="2:7" x14ac:dyDescent="0.25">
      <c r="B497" s="2">
        <f t="shared" si="7"/>
        <v>495</v>
      </c>
      <c r="C497" s="2">
        <v>1</v>
      </c>
      <c r="D497" s="2">
        <v>276</v>
      </c>
      <c r="E497" s="4" t="s">
        <v>2100</v>
      </c>
      <c r="F497" s="3" t="s">
        <v>2100</v>
      </c>
    </row>
    <row r="498" spans="2:7" x14ac:dyDescent="0.25">
      <c r="B498" s="1">
        <f t="shared" si="7"/>
        <v>496</v>
      </c>
      <c r="C498" s="1">
        <v>1</v>
      </c>
      <c r="D498" s="2">
        <v>277</v>
      </c>
      <c r="E498" s="4" t="s">
        <v>2099</v>
      </c>
      <c r="F498" s="4" t="s">
        <v>2099</v>
      </c>
    </row>
    <row r="499" spans="2:7" x14ac:dyDescent="0.25">
      <c r="B499" s="2">
        <f t="shared" si="7"/>
        <v>497</v>
      </c>
      <c r="C499" s="2">
        <v>2</v>
      </c>
      <c r="D499" s="2">
        <v>124</v>
      </c>
      <c r="E499" s="4" t="s">
        <v>948</v>
      </c>
      <c r="F499" s="3" t="s">
        <v>2099</v>
      </c>
      <c r="G499" t="s">
        <v>2990</v>
      </c>
    </row>
    <row r="500" spans="2:7" ht="30" x14ac:dyDescent="0.25">
      <c r="B500" s="1">
        <f t="shared" si="7"/>
        <v>498</v>
      </c>
      <c r="C500" s="1">
        <v>1</v>
      </c>
      <c r="D500" s="1">
        <v>278</v>
      </c>
      <c r="E500" s="3" t="s">
        <v>2098</v>
      </c>
      <c r="F500" s="3" t="s">
        <v>2098</v>
      </c>
    </row>
    <row r="501" spans="2:7" ht="30" x14ac:dyDescent="0.25">
      <c r="B501" s="2">
        <f t="shared" si="7"/>
        <v>499</v>
      </c>
      <c r="C501" s="2">
        <v>2</v>
      </c>
      <c r="D501" s="2">
        <v>125</v>
      </c>
      <c r="E501" s="4" t="s">
        <v>947</v>
      </c>
      <c r="F501" s="3" t="s">
        <v>2098</v>
      </c>
      <c r="G501" t="s">
        <v>2921</v>
      </c>
    </row>
    <row r="502" spans="2:7" x14ac:dyDescent="0.25">
      <c r="B502" s="1">
        <f t="shared" si="7"/>
        <v>500</v>
      </c>
      <c r="C502" s="1">
        <v>1</v>
      </c>
      <c r="D502" s="2">
        <v>279</v>
      </c>
      <c r="E502" s="4" t="s">
        <v>2097</v>
      </c>
      <c r="F502" s="4" t="s">
        <v>2097</v>
      </c>
    </row>
    <row r="503" spans="2:7" ht="30" x14ac:dyDescent="0.25">
      <c r="B503" s="2">
        <f t="shared" si="7"/>
        <v>501</v>
      </c>
      <c r="C503" s="2">
        <v>1</v>
      </c>
      <c r="D503" s="2">
        <v>280</v>
      </c>
      <c r="E503" s="4" t="s">
        <v>2096</v>
      </c>
      <c r="F503" s="3" t="s">
        <v>2096</v>
      </c>
    </row>
    <row r="504" spans="2:7" ht="45" x14ac:dyDescent="0.25">
      <c r="B504" s="1">
        <f t="shared" si="7"/>
        <v>502</v>
      </c>
      <c r="C504" s="1">
        <v>1</v>
      </c>
      <c r="D504" s="2" t="s">
        <v>2095</v>
      </c>
      <c r="E504" s="4" t="s">
        <v>2094</v>
      </c>
      <c r="F504" s="4" t="s">
        <v>2094</v>
      </c>
    </row>
    <row r="505" spans="2:7" ht="75" x14ac:dyDescent="0.25">
      <c r="B505" s="2">
        <f t="shared" si="7"/>
        <v>503</v>
      </c>
      <c r="C505" s="2">
        <v>1</v>
      </c>
      <c r="D505" s="2">
        <v>281</v>
      </c>
      <c r="E505" s="4" t="s">
        <v>2093</v>
      </c>
      <c r="F505" s="3" t="s">
        <v>2093</v>
      </c>
    </row>
    <row r="506" spans="2:7" x14ac:dyDescent="0.25">
      <c r="B506" s="1">
        <f t="shared" si="7"/>
        <v>504</v>
      </c>
      <c r="C506" s="1">
        <v>1</v>
      </c>
      <c r="D506" s="2">
        <v>282</v>
      </c>
      <c r="E506" s="4" t="s">
        <v>2092</v>
      </c>
      <c r="F506" s="4" t="s">
        <v>2092</v>
      </c>
    </row>
    <row r="507" spans="2:7" x14ac:dyDescent="0.25">
      <c r="B507" s="2">
        <f t="shared" si="7"/>
        <v>505</v>
      </c>
      <c r="C507" s="2">
        <v>1</v>
      </c>
      <c r="D507" s="2">
        <v>283</v>
      </c>
      <c r="E507" s="4" t="s">
        <v>2091</v>
      </c>
      <c r="F507" s="3" t="s">
        <v>2091</v>
      </c>
    </row>
    <row r="508" spans="2:7" x14ac:dyDescent="0.25">
      <c r="B508" s="1">
        <f t="shared" si="7"/>
        <v>506</v>
      </c>
      <c r="C508" s="1">
        <v>1</v>
      </c>
      <c r="D508" s="2">
        <v>284</v>
      </c>
      <c r="E508" s="4" t="s">
        <v>2090</v>
      </c>
      <c r="F508" s="4" t="s">
        <v>2090</v>
      </c>
    </row>
    <row r="509" spans="2:7" ht="30" x14ac:dyDescent="0.25">
      <c r="B509" s="2">
        <f t="shared" si="7"/>
        <v>507</v>
      </c>
      <c r="C509" s="2">
        <v>1</v>
      </c>
      <c r="D509" s="2">
        <v>285</v>
      </c>
      <c r="E509" s="4" t="s">
        <v>2089</v>
      </c>
      <c r="F509" s="3" t="s">
        <v>2089</v>
      </c>
    </row>
    <row r="510" spans="2:7" x14ac:dyDescent="0.25">
      <c r="B510" s="1">
        <f t="shared" si="7"/>
        <v>508</v>
      </c>
      <c r="C510" s="1">
        <v>1</v>
      </c>
      <c r="D510" s="2">
        <v>286</v>
      </c>
      <c r="E510" s="4" t="s">
        <v>2088</v>
      </c>
      <c r="F510" s="4" t="s">
        <v>2088</v>
      </c>
    </row>
    <row r="511" spans="2:7" x14ac:dyDescent="0.25">
      <c r="B511" s="2">
        <f t="shared" si="7"/>
        <v>509</v>
      </c>
      <c r="C511" s="2">
        <v>1</v>
      </c>
      <c r="D511" s="2">
        <v>287</v>
      </c>
      <c r="E511" s="4" t="s">
        <v>2087</v>
      </c>
      <c r="F511" s="3" t="s">
        <v>2087</v>
      </c>
    </row>
    <row r="512" spans="2:7" x14ac:dyDescent="0.25">
      <c r="B512" s="1">
        <f t="shared" si="7"/>
        <v>510</v>
      </c>
      <c r="C512" s="1">
        <v>1</v>
      </c>
      <c r="D512" s="2">
        <v>288</v>
      </c>
      <c r="E512" s="4" t="s">
        <v>2086</v>
      </c>
      <c r="F512" s="4" t="s">
        <v>2086</v>
      </c>
    </row>
    <row r="513" spans="2:8" x14ac:dyDescent="0.25">
      <c r="B513" s="2">
        <f t="shared" si="7"/>
        <v>511</v>
      </c>
      <c r="C513" s="2">
        <v>1</v>
      </c>
      <c r="D513" s="2">
        <v>289</v>
      </c>
      <c r="E513" s="4" t="s">
        <v>2085</v>
      </c>
      <c r="F513" s="3" t="s">
        <v>2085</v>
      </c>
    </row>
    <row r="514" spans="2:8" x14ac:dyDescent="0.25">
      <c r="B514" s="1">
        <f t="shared" si="7"/>
        <v>512</v>
      </c>
      <c r="C514" s="1">
        <v>2</v>
      </c>
      <c r="D514" s="1">
        <v>126</v>
      </c>
      <c r="E514" s="3" t="s">
        <v>946</v>
      </c>
      <c r="F514" s="3" t="s">
        <v>2085</v>
      </c>
      <c r="G514" t="s">
        <v>2816</v>
      </c>
    </row>
    <row r="515" spans="2:8" x14ac:dyDescent="0.25">
      <c r="B515" s="2">
        <f t="shared" si="7"/>
        <v>513</v>
      </c>
      <c r="C515" s="2">
        <v>1</v>
      </c>
      <c r="D515" s="2">
        <v>290</v>
      </c>
      <c r="E515" s="4" t="s">
        <v>2084</v>
      </c>
      <c r="F515" s="4" t="s">
        <v>2084</v>
      </c>
    </row>
    <row r="516" spans="2:8" x14ac:dyDescent="0.25">
      <c r="B516" s="1">
        <f t="shared" si="7"/>
        <v>514</v>
      </c>
      <c r="C516" s="1">
        <v>2</v>
      </c>
      <c r="D516" s="1">
        <v>127</v>
      </c>
      <c r="E516" s="3" t="s">
        <v>945</v>
      </c>
      <c r="F516" s="3" t="s">
        <v>2084</v>
      </c>
      <c r="G516" t="s">
        <v>2993</v>
      </c>
    </row>
    <row r="517" spans="2:8" x14ac:dyDescent="0.25">
      <c r="B517" s="2">
        <f t="shared" ref="B517:B580" si="8">+B516+1</f>
        <v>515</v>
      </c>
      <c r="C517" s="2">
        <v>1</v>
      </c>
      <c r="D517" s="2">
        <v>291</v>
      </c>
      <c r="E517" s="4" t="s">
        <v>2083</v>
      </c>
      <c r="F517" s="3" t="s">
        <v>2083</v>
      </c>
    </row>
    <row r="518" spans="2:8" ht="30" x14ac:dyDescent="0.25">
      <c r="B518" s="1">
        <f t="shared" si="8"/>
        <v>516</v>
      </c>
      <c r="C518" s="1">
        <v>1</v>
      </c>
      <c r="D518" s="2">
        <v>292</v>
      </c>
      <c r="E518" s="4" t="s">
        <v>2082</v>
      </c>
      <c r="F518" s="4" t="s">
        <v>2082</v>
      </c>
    </row>
    <row r="519" spans="2:8" x14ac:dyDescent="0.25">
      <c r="B519" s="2">
        <f t="shared" si="8"/>
        <v>517</v>
      </c>
      <c r="C519" s="2">
        <v>1</v>
      </c>
      <c r="D519" s="2">
        <v>293</v>
      </c>
      <c r="E519" s="4" t="s">
        <v>2081</v>
      </c>
      <c r="F519" s="3" t="s">
        <v>2081</v>
      </c>
    </row>
    <row r="520" spans="2:8" x14ac:dyDescent="0.25">
      <c r="B520" s="1">
        <f t="shared" si="8"/>
        <v>518</v>
      </c>
      <c r="C520" s="1">
        <v>2</v>
      </c>
      <c r="D520" s="1">
        <v>128</v>
      </c>
      <c r="E520" s="3" t="s">
        <v>944</v>
      </c>
      <c r="F520" s="3" t="s">
        <v>2994</v>
      </c>
      <c r="G520" t="s">
        <v>2995</v>
      </c>
      <c r="H520" t="s">
        <v>2996</v>
      </c>
    </row>
    <row r="521" spans="2:8" x14ac:dyDescent="0.25">
      <c r="B521" s="2">
        <f t="shared" si="8"/>
        <v>519</v>
      </c>
      <c r="C521" s="2">
        <v>1</v>
      </c>
      <c r="D521" s="2">
        <v>294</v>
      </c>
      <c r="E521" s="4" t="s">
        <v>2080</v>
      </c>
      <c r="F521" s="4" t="s">
        <v>2080</v>
      </c>
    </row>
    <row r="522" spans="2:8" x14ac:dyDescent="0.25">
      <c r="B522" s="1">
        <f t="shared" si="8"/>
        <v>520</v>
      </c>
      <c r="C522" s="1">
        <v>1</v>
      </c>
      <c r="D522" s="1">
        <v>295</v>
      </c>
      <c r="E522" s="3" t="s">
        <v>2079</v>
      </c>
      <c r="F522" s="3" t="s">
        <v>2079</v>
      </c>
    </row>
    <row r="523" spans="2:8" x14ac:dyDescent="0.25">
      <c r="B523" s="2">
        <f t="shared" si="8"/>
        <v>521</v>
      </c>
      <c r="C523" s="2">
        <v>1</v>
      </c>
      <c r="D523" s="2">
        <v>296</v>
      </c>
      <c r="E523" s="4" t="s">
        <v>2078</v>
      </c>
      <c r="F523" s="4" t="s">
        <v>2078</v>
      </c>
    </row>
    <row r="524" spans="2:8" ht="30" x14ac:dyDescent="0.25">
      <c r="B524" s="1">
        <f t="shared" si="8"/>
        <v>522</v>
      </c>
      <c r="C524" s="1">
        <v>1</v>
      </c>
      <c r="D524" s="1">
        <v>297</v>
      </c>
      <c r="E524" s="3" t="s">
        <v>2077</v>
      </c>
      <c r="F524" s="3" t="s">
        <v>2077</v>
      </c>
    </row>
    <row r="525" spans="2:8" x14ac:dyDescent="0.25">
      <c r="B525" s="2">
        <f t="shared" si="8"/>
        <v>523</v>
      </c>
      <c r="C525" s="2">
        <v>3</v>
      </c>
      <c r="D525" s="2">
        <v>40</v>
      </c>
      <c r="E525" s="4" t="s">
        <v>692</v>
      </c>
      <c r="F525" s="3" t="s">
        <v>692</v>
      </c>
    </row>
    <row r="526" spans="2:8" ht="30" x14ac:dyDescent="0.25">
      <c r="B526" s="1">
        <f t="shared" si="8"/>
        <v>524</v>
      </c>
      <c r="C526" s="1">
        <v>1</v>
      </c>
      <c r="D526" s="2">
        <v>298</v>
      </c>
      <c r="E526" s="4" t="s">
        <v>2076</v>
      </c>
      <c r="F526" s="4" t="s">
        <v>2076</v>
      </c>
    </row>
    <row r="527" spans="2:8" ht="30" x14ac:dyDescent="0.25">
      <c r="B527" s="2">
        <f t="shared" si="8"/>
        <v>525</v>
      </c>
      <c r="C527" s="2">
        <v>1</v>
      </c>
      <c r="D527" s="2">
        <v>299</v>
      </c>
      <c r="E527" s="4" t="s">
        <v>2075</v>
      </c>
      <c r="F527" s="3" t="s">
        <v>2075</v>
      </c>
    </row>
    <row r="528" spans="2:8" ht="30" x14ac:dyDescent="0.25">
      <c r="B528" s="1">
        <f t="shared" si="8"/>
        <v>526</v>
      </c>
      <c r="C528" s="1">
        <v>1</v>
      </c>
      <c r="D528" s="2">
        <v>300</v>
      </c>
      <c r="E528" s="4" t="s">
        <v>2074</v>
      </c>
      <c r="F528" s="4" t="s">
        <v>2074</v>
      </c>
    </row>
    <row r="529" spans="2:9" x14ac:dyDescent="0.25">
      <c r="B529" s="2">
        <f t="shared" si="8"/>
        <v>527</v>
      </c>
      <c r="C529" s="2">
        <v>1</v>
      </c>
      <c r="D529" s="2">
        <v>301</v>
      </c>
      <c r="E529" s="4" t="s">
        <v>2073</v>
      </c>
      <c r="F529" s="3" t="s">
        <v>2073</v>
      </c>
    </row>
    <row r="530" spans="2:9" x14ac:dyDescent="0.25">
      <c r="B530" s="1">
        <f t="shared" si="8"/>
        <v>528</v>
      </c>
      <c r="C530" s="1">
        <v>2</v>
      </c>
      <c r="D530" s="1">
        <v>129</v>
      </c>
      <c r="E530" s="3" t="s">
        <v>943</v>
      </c>
      <c r="F530" s="3" t="s">
        <v>2073</v>
      </c>
      <c r="G530" t="s">
        <v>2989</v>
      </c>
    </row>
    <row r="531" spans="2:9" ht="30" x14ac:dyDescent="0.25">
      <c r="B531" s="2">
        <f t="shared" si="8"/>
        <v>529</v>
      </c>
      <c r="C531" s="2">
        <v>2</v>
      </c>
      <c r="D531" s="2">
        <v>130</v>
      </c>
      <c r="E531" s="4" t="s">
        <v>942</v>
      </c>
      <c r="F531" s="3" t="s">
        <v>2073</v>
      </c>
      <c r="G531" t="s">
        <v>2971</v>
      </c>
      <c r="H531" t="s">
        <v>2820</v>
      </c>
      <c r="I531" t="s">
        <v>2821</v>
      </c>
    </row>
    <row r="532" spans="2:9" x14ac:dyDescent="0.25">
      <c r="B532" s="1">
        <f t="shared" si="8"/>
        <v>530</v>
      </c>
      <c r="C532" s="1">
        <v>2</v>
      </c>
      <c r="D532" s="1">
        <v>131</v>
      </c>
      <c r="E532" s="3" t="s">
        <v>941</v>
      </c>
      <c r="F532" s="3" t="s">
        <v>2073</v>
      </c>
      <c r="G532" t="s">
        <v>2990</v>
      </c>
    </row>
    <row r="533" spans="2:9" ht="30" x14ac:dyDescent="0.25">
      <c r="B533" s="2">
        <f t="shared" si="8"/>
        <v>531</v>
      </c>
      <c r="C533" s="2">
        <v>2</v>
      </c>
      <c r="D533" s="2" t="s">
        <v>940</v>
      </c>
      <c r="E533" s="4" t="s">
        <v>939</v>
      </c>
      <c r="F533" s="3" t="s">
        <v>2073</v>
      </c>
      <c r="G533" t="s">
        <v>2997</v>
      </c>
    </row>
    <row r="534" spans="2:9" x14ac:dyDescent="0.25">
      <c r="B534" s="1">
        <f t="shared" si="8"/>
        <v>532</v>
      </c>
      <c r="C534" s="1">
        <v>2</v>
      </c>
      <c r="D534" s="1">
        <v>132</v>
      </c>
      <c r="E534" s="3" t="s">
        <v>938</v>
      </c>
      <c r="F534" s="3" t="s">
        <v>2073</v>
      </c>
      <c r="G534" t="s">
        <v>2998</v>
      </c>
    </row>
    <row r="535" spans="2:9" x14ac:dyDescent="0.25">
      <c r="B535" s="2">
        <f t="shared" si="8"/>
        <v>533</v>
      </c>
      <c r="C535" s="2">
        <v>2</v>
      </c>
      <c r="D535" s="2">
        <v>133</v>
      </c>
      <c r="E535" s="4" t="s">
        <v>937</v>
      </c>
      <c r="F535" s="3" t="s">
        <v>2073</v>
      </c>
      <c r="G535" t="s">
        <v>2999</v>
      </c>
    </row>
    <row r="536" spans="2:9" x14ac:dyDescent="0.25">
      <c r="B536" s="1">
        <f t="shared" si="8"/>
        <v>534</v>
      </c>
      <c r="C536" s="1">
        <v>2</v>
      </c>
      <c r="D536" s="1">
        <v>134</v>
      </c>
      <c r="E536" s="3" t="s">
        <v>936</v>
      </c>
      <c r="F536" s="3" t="s">
        <v>2073</v>
      </c>
      <c r="G536" t="s">
        <v>2820</v>
      </c>
    </row>
    <row r="537" spans="2:9" ht="30" x14ac:dyDescent="0.25">
      <c r="B537" s="2">
        <f t="shared" si="8"/>
        <v>535</v>
      </c>
      <c r="C537" s="2">
        <v>2</v>
      </c>
      <c r="D537" s="2">
        <v>135</v>
      </c>
      <c r="E537" s="4" t="s">
        <v>935</v>
      </c>
      <c r="F537" s="3" t="s">
        <v>2073</v>
      </c>
      <c r="G537" t="s">
        <v>2820</v>
      </c>
      <c r="H537" t="s">
        <v>2821</v>
      </c>
      <c r="I537" t="s">
        <v>3000</v>
      </c>
    </row>
    <row r="538" spans="2:9" x14ac:dyDescent="0.25">
      <c r="B538" s="1">
        <f t="shared" si="8"/>
        <v>536</v>
      </c>
      <c r="C538" s="1">
        <v>2</v>
      </c>
      <c r="D538" s="1">
        <v>136</v>
      </c>
      <c r="E538" s="3" t="s">
        <v>934</v>
      </c>
      <c r="F538" s="3" t="s">
        <v>2073</v>
      </c>
      <c r="G538" t="s">
        <v>2821</v>
      </c>
    </row>
    <row r="539" spans="2:9" x14ac:dyDescent="0.25">
      <c r="B539" s="2">
        <f t="shared" si="8"/>
        <v>537</v>
      </c>
      <c r="C539" s="2">
        <v>1</v>
      </c>
      <c r="D539" s="2">
        <v>302</v>
      </c>
      <c r="E539" s="4" t="s">
        <v>2072</v>
      </c>
      <c r="F539" s="4" t="s">
        <v>2072</v>
      </c>
    </row>
    <row r="540" spans="2:9" x14ac:dyDescent="0.25">
      <c r="B540" s="1">
        <f t="shared" si="8"/>
        <v>538</v>
      </c>
      <c r="C540" s="1">
        <v>1</v>
      </c>
      <c r="D540" s="1">
        <v>303</v>
      </c>
      <c r="E540" s="3" t="s">
        <v>2071</v>
      </c>
      <c r="F540" s="3" t="s">
        <v>2071</v>
      </c>
    </row>
    <row r="541" spans="2:9" ht="30" x14ac:dyDescent="0.25">
      <c r="B541" s="2">
        <f t="shared" si="8"/>
        <v>539</v>
      </c>
      <c r="C541" s="2">
        <v>1</v>
      </c>
      <c r="D541" s="2">
        <v>304</v>
      </c>
      <c r="E541" s="4" t="s">
        <v>2070</v>
      </c>
      <c r="F541" s="4" t="s">
        <v>2070</v>
      </c>
    </row>
    <row r="542" spans="2:9" x14ac:dyDescent="0.25">
      <c r="B542" s="1">
        <f t="shared" si="8"/>
        <v>540</v>
      </c>
      <c r="C542" s="1">
        <v>1</v>
      </c>
      <c r="D542" s="1">
        <v>305</v>
      </c>
      <c r="E542" s="3" t="s">
        <v>2069</v>
      </c>
      <c r="F542" s="3" t="s">
        <v>2069</v>
      </c>
    </row>
    <row r="543" spans="2:9" x14ac:dyDescent="0.25">
      <c r="B543" s="2">
        <f t="shared" si="8"/>
        <v>541</v>
      </c>
      <c r="C543" s="2">
        <v>1</v>
      </c>
      <c r="D543" s="2">
        <v>306</v>
      </c>
      <c r="E543" s="4" t="s">
        <v>2068</v>
      </c>
      <c r="F543" s="4" t="s">
        <v>2068</v>
      </c>
    </row>
    <row r="544" spans="2:9" x14ac:dyDescent="0.25">
      <c r="B544" s="1">
        <f t="shared" si="8"/>
        <v>542</v>
      </c>
      <c r="C544" s="1">
        <v>1</v>
      </c>
      <c r="D544" s="1">
        <v>307</v>
      </c>
      <c r="E544" s="3" t="s">
        <v>2067</v>
      </c>
      <c r="F544" s="3" t="s">
        <v>2067</v>
      </c>
    </row>
    <row r="545" spans="2:7" x14ac:dyDescent="0.25">
      <c r="B545" s="2">
        <f t="shared" si="8"/>
        <v>543</v>
      </c>
      <c r="C545" s="2">
        <v>1</v>
      </c>
      <c r="D545" s="2">
        <v>308</v>
      </c>
      <c r="E545" s="4" t="s">
        <v>2066</v>
      </c>
      <c r="F545" s="4" t="s">
        <v>2066</v>
      </c>
    </row>
    <row r="546" spans="2:7" x14ac:dyDescent="0.25">
      <c r="B546" s="1">
        <f t="shared" si="8"/>
        <v>544</v>
      </c>
      <c r="C546" s="1">
        <v>1</v>
      </c>
      <c r="D546" s="1">
        <v>309</v>
      </c>
      <c r="E546" s="3" t="s">
        <v>2065</v>
      </c>
      <c r="F546" s="3" t="s">
        <v>2065</v>
      </c>
    </row>
    <row r="547" spans="2:7" x14ac:dyDescent="0.25">
      <c r="B547" s="2">
        <f t="shared" si="8"/>
        <v>545</v>
      </c>
      <c r="C547" s="2">
        <v>2</v>
      </c>
      <c r="D547" s="2">
        <v>137</v>
      </c>
      <c r="E547" s="4" t="s">
        <v>933</v>
      </c>
      <c r="F547" s="3" t="s">
        <v>2065</v>
      </c>
      <c r="G547" t="s">
        <v>3001</v>
      </c>
    </row>
    <row r="548" spans="2:7" x14ac:dyDescent="0.25">
      <c r="B548" s="1">
        <f t="shared" si="8"/>
        <v>546</v>
      </c>
      <c r="C548" s="1">
        <v>2</v>
      </c>
      <c r="D548" s="1">
        <v>138</v>
      </c>
      <c r="E548" s="3" t="s">
        <v>932</v>
      </c>
      <c r="F548" s="3" t="s">
        <v>2065</v>
      </c>
      <c r="G548" t="s">
        <v>2989</v>
      </c>
    </row>
    <row r="549" spans="2:7" x14ac:dyDescent="0.25">
      <c r="B549" s="2">
        <f t="shared" si="8"/>
        <v>547</v>
      </c>
      <c r="C549" s="2">
        <v>2</v>
      </c>
      <c r="D549" s="2">
        <v>139</v>
      </c>
      <c r="E549" s="4" t="s">
        <v>931</v>
      </c>
      <c r="F549" s="3" t="s">
        <v>2065</v>
      </c>
      <c r="G549" t="s">
        <v>2987</v>
      </c>
    </row>
    <row r="550" spans="2:7" x14ac:dyDescent="0.25">
      <c r="B550" s="1">
        <f t="shared" si="8"/>
        <v>548</v>
      </c>
      <c r="C550" s="1">
        <v>2</v>
      </c>
      <c r="D550" s="1">
        <v>140</v>
      </c>
      <c r="E550" s="3" t="s">
        <v>930</v>
      </c>
      <c r="F550" s="3" t="s">
        <v>2065</v>
      </c>
      <c r="G550" t="s">
        <v>2998</v>
      </c>
    </row>
    <row r="551" spans="2:7" x14ac:dyDescent="0.25">
      <c r="B551" s="2">
        <f t="shared" si="8"/>
        <v>549</v>
      </c>
      <c r="C551" s="2">
        <v>1</v>
      </c>
      <c r="D551" s="2">
        <v>310</v>
      </c>
      <c r="E551" s="4" t="s">
        <v>2064</v>
      </c>
      <c r="F551" s="4" t="s">
        <v>2064</v>
      </c>
    </row>
    <row r="552" spans="2:7" x14ac:dyDescent="0.25">
      <c r="B552" s="1">
        <f t="shared" si="8"/>
        <v>550</v>
      </c>
      <c r="C552" s="1">
        <v>1</v>
      </c>
      <c r="D552" s="1">
        <v>311</v>
      </c>
      <c r="E552" s="3" t="s">
        <v>2063</v>
      </c>
      <c r="F552" s="3" t="s">
        <v>2063</v>
      </c>
    </row>
    <row r="553" spans="2:7" ht="30" x14ac:dyDescent="0.25">
      <c r="B553" s="2">
        <f t="shared" si="8"/>
        <v>551</v>
      </c>
      <c r="C553" s="2">
        <v>2</v>
      </c>
      <c r="D553" s="2" t="s">
        <v>929</v>
      </c>
      <c r="E553" s="4" t="s">
        <v>928</v>
      </c>
      <c r="F553" s="3" t="s">
        <v>2063</v>
      </c>
      <c r="G553" t="s">
        <v>3002</v>
      </c>
    </row>
    <row r="554" spans="2:7" ht="30" x14ac:dyDescent="0.25">
      <c r="B554" s="1">
        <f t="shared" si="8"/>
        <v>552</v>
      </c>
      <c r="C554" s="1">
        <v>2</v>
      </c>
      <c r="D554" s="1" t="s">
        <v>927</v>
      </c>
      <c r="E554" s="3" t="s">
        <v>926</v>
      </c>
      <c r="F554" s="3" t="s">
        <v>2063</v>
      </c>
      <c r="G554" t="s">
        <v>3003</v>
      </c>
    </row>
    <row r="555" spans="2:7" x14ac:dyDescent="0.25">
      <c r="B555" s="2">
        <f t="shared" si="8"/>
        <v>553</v>
      </c>
      <c r="C555" s="2">
        <v>2</v>
      </c>
      <c r="D555" s="2">
        <v>141</v>
      </c>
      <c r="E555" s="4" t="s">
        <v>925</v>
      </c>
      <c r="F555" s="3" t="s">
        <v>2063</v>
      </c>
      <c r="G555" t="s">
        <v>3004</v>
      </c>
    </row>
    <row r="556" spans="2:7" x14ac:dyDescent="0.25">
      <c r="B556" s="1">
        <f t="shared" si="8"/>
        <v>554</v>
      </c>
      <c r="C556" s="1">
        <v>2</v>
      </c>
      <c r="D556" s="1">
        <v>142</v>
      </c>
      <c r="E556" s="3" t="s">
        <v>924</v>
      </c>
      <c r="F556" s="3" t="s">
        <v>2063</v>
      </c>
      <c r="G556" t="s">
        <v>3005</v>
      </c>
    </row>
    <row r="557" spans="2:7" x14ac:dyDescent="0.25">
      <c r="B557" s="2">
        <f t="shared" si="8"/>
        <v>555</v>
      </c>
      <c r="C557" s="2">
        <v>2</v>
      </c>
      <c r="D557" s="2">
        <v>143</v>
      </c>
      <c r="E557" s="4" t="s">
        <v>923</v>
      </c>
      <c r="F557" s="3" t="s">
        <v>2063</v>
      </c>
      <c r="G557" t="s">
        <v>3006</v>
      </c>
    </row>
    <row r="558" spans="2:7" ht="30" x14ac:dyDescent="0.25">
      <c r="B558" s="1">
        <f t="shared" si="8"/>
        <v>556</v>
      </c>
      <c r="C558" s="1">
        <v>2</v>
      </c>
      <c r="D558" s="1" t="s">
        <v>922</v>
      </c>
      <c r="E558" s="3" t="s">
        <v>921</v>
      </c>
      <c r="F558" s="3" t="s">
        <v>2063</v>
      </c>
      <c r="G558" t="s">
        <v>3007</v>
      </c>
    </row>
    <row r="559" spans="2:7" ht="30" x14ac:dyDescent="0.25">
      <c r="B559" s="2">
        <f t="shared" si="8"/>
        <v>557</v>
      </c>
      <c r="C559" s="2">
        <v>2</v>
      </c>
      <c r="D559" s="2" t="s">
        <v>920</v>
      </c>
      <c r="E559" s="4" t="s">
        <v>919</v>
      </c>
      <c r="F559" s="3" t="s">
        <v>2063</v>
      </c>
      <c r="G559" t="s">
        <v>3008</v>
      </c>
    </row>
    <row r="560" spans="2:7" x14ac:dyDescent="0.25">
      <c r="B560" s="1">
        <f t="shared" si="8"/>
        <v>558</v>
      </c>
      <c r="C560" s="1">
        <v>2</v>
      </c>
      <c r="D560" s="1">
        <v>144</v>
      </c>
      <c r="E560" s="3" t="s">
        <v>918</v>
      </c>
      <c r="F560" s="3" t="s">
        <v>2063</v>
      </c>
      <c r="G560" t="s">
        <v>3009</v>
      </c>
    </row>
    <row r="561" spans="2:9" ht="30" x14ac:dyDescent="0.25">
      <c r="B561" s="2">
        <f t="shared" si="8"/>
        <v>559</v>
      </c>
      <c r="C561" s="2">
        <v>1</v>
      </c>
      <c r="D561" s="2">
        <v>312</v>
      </c>
      <c r="E561" s="4" t="s">
        <v>2062</v>
      </c>
      <c r="F561" s="4" t="s">
        <v>2062</v>
      </c>
    </row>
    <row r="562" spans="2:9" x14ac:dyDescent="0.25">
      <c r="B562" s="1">
        <f t="shared" si="8"/>
        <v>560</v>
      </c>
      <c r="C562" s="1">
        <v>1</v>
      </c>
      <c r="D562" s="1">
        <v>313</v>
      </c>
      <c r="E562" s="3" t="s">
        <v>2061</v>
      </c>
      <c r="F562" s="3" t="s">
        <v>2061</v>
      </c>
    </row>
    <row r="563" spans="2:9" x14ac:dyDescent="0.25">
      <c r="B563" s="2">
        <f t="shared" si="8"/>
        <v>561</v>
      </c>
      <c r="C563" s="2">
        <v>1</v>
      </c>
      <c r="D563" s="2">
        <v>314</v>
      </c>
      <c r="E563" s="4" t="s">
        <v>2060</v>
      </c>
      <c r="F563" s="4" t="s">
        <v>2060</v>
      </c>
    </row>
    <row r="564" spans="2:9" x14ac:dyDescent="0.25">
      <c r="B564" s="1">
        <f t="shared" si="8"/>
        <v>562</v>
      </c>
      <c r="C564" s="1">
        <v>1</v>
      </c>
      <c r="D564" s="1">
        <v>315</v>
      </c>
      <c r="E564" s="3" t="s">
        <v>2059</v>
      </c>
      <c r="F564" s="3" t="s">
        <v>2059</v>
      </c>
    </row>
    <row r="565" spans="2:9" x14ac:dyDescent="0.25">
      <c r="B565" s="2">
        <f t="shared" si="8"/>
        <v>563</v>
      </c>
      <c r="C565" s="2">
        <v>1</v>
      </c>
      <c r="D565" s="2">
        <v>316</v>
      </c>
      <c r="E565" s="4" t="s">
        <v>2058</v>
      </c>
      <c r="F565" s="4" t="s">
        <v>2058</v>
      </c>
    </row>
    <row r="566" spans="2:9" ht="30" x14ac:dyDescent="0.25">
      <c r="B566" s="1">
        <f t="shared" si="8"/>
        <v>564</v>
      </c>
      <c r="C566" s="1">
        <v>1</v>
      </c>
      <c r="D566" s="1">
        <v>317</v>
      </c>
      <c r="E566" s="3" t="s">
        <v>2057</v>
      </c>
      <c r="F566" s="3" t="s">
        <v>2057</v>
      </c>
    </row>
    <row r="567" spans="2:9" x14ac:dyDescent="0.25">
      <c r="B567" s="2">
        <f t="shared" si="8"/>
        <v>565</v>
      </c>
      <c r="C567" s="2">
        <v>1</v>
      </c>
      <c r="D567" s="2">
        <v>318</v>
      </c>
      <c r="E567" s="4" t="s">
        <v>2056</v>
      </c>
      <c r="F567" s="4" t="s">
        <v>2056</v>
      </c>
    </row>
    <row r="568" spans="2:9" ht="30" x14ac:dyDescent="0.25">
      <c r="B568" s="1">
        <f t="shared" si="8"/>
        <v>566</v>
      </c>
      <c r="C568" s="1">
        <v>1</v>
      </c>
      <c r="D568" s="1">
        <v>319</v>
      </c>
      <c r="E568" s="3" t="s">
        <v>2055</v>
      </c>
      <c r="F568" s="3" t="s">
        <v>2055</v>
      </c>
    </row>
    <row r="569" spans="2:9" ht="30" x14ac:dyDescent="0.25">
      <c r="B569" s="2">
        <f t="shared" si="8"/>
        <v>567</v>
      </c>
      <c r="C569" s="2">
        <v>1</v>
      </c>
      <c r="D569" s="2">
        <v>320</v>
      </c>
      <c r="E569" s="4" t="s">
        <v>2054</v>
      </c>
      <c r="F569" s="4" t="s">
        <v>2054</v>
      </c>
    </row>
    <row r="570" spans="2:9" ht="30" x14ac:dyDescent="0.25">
      <c r="B570" s="1">
        <f t="shared" si="8"/>
        <v>568</v>
      </c>
      <c r="C570" s="1">
        <v>2</v>
      </c>
      <c r="D570" s="1" t="s">
        <v>917</v>
      </c>
      <c r="E570" s="3" t="s">
        <v>916</v>
      </c>
      <c r="F570" s="3" t="s">
        <v>2054</v>
      </c>
      <c r="G570" t="s">
        <v>3010</v>
      </c>
    </row>
    <row r="571" spans="2:9" ht="30" x14ac:dyDescent="0.25">
      <c r="B571" s="2">
        <f t="shared" si="8"/>
        <v>569</v>
      </c>
      <c r="C571" s="2">
        <v>2</v>
      </c>
      <c r="D571" s="2">
        <v>145</v>
      </c>
      <c r="E571" s="4" t="s">
        <v>915</v>
      </c>
      <c r="F571" s="3" t="s">
        <v>3011</v>
      </c>
      <c r="G571" t="s">
        <v>2971</v>
      </c>
      <c r="H571" t="s">
        <v>2820</v>
      </c>
      <c r="I571" t="s">
        <v>3012</v>
      </c>
    </row>
    <row r="572" spans="2:9" x14ac:dyDescent="0.25">
      <c r="B572" s="1">
        <f t="shared" si="8"/>
        <v>570</v>
      </c>
      <c r="C572" s="1">
        <v>1</v>
      </c>
      <c r="D572" s="1">
        <v>321</v>
      </c>
      <c r="E572" s="3" t="s">
        <v>2053</v>
      </c>
      <c r="F572" s="3" t="s">
        <v>2053</v>
      </c>
    </row>
    <row r="573" spans="2:9" x14ac:dyDescent="0.25">
      <c r="B573" s="2">
        <f t="shared" si="8"/>
        <v>571</v>
      </c>
      <c r="C573" s="2">
        <v>1</v>
      </c>
      <c r="D573" s="2">
        <v>322</v>
      </c>
      <c r="E573" s="4" t="s">
        <v>2052</v>
      </c>
      <c r="F573" s="4" t="s">
        <v>2052</v>
      </c>
    </row>
    <row r="574" spans="2:9" x14ac:dyDescent="0.25">
      <c r="B574" s="1">
        <f t="shared" si="8"/>
        <v>572</v>
      </c>
      <c r="C574" s="1">
        <v>1</v>
      </c>
      <c r="D574" s="1">
        <v>323</v>
      </c>
      <c r="E574" s="3" t="s">
        <v>2051</v>
      </c>
      <c r="F574" s="3" t="s">
        <v>2051</v>
      </c>
    </row>
    <row r="575" spans="2:9" ht="30" x14ac:dyDescent="0.25">
      <c r="B575" s="2">
        <f t="shared" si="8"/>
        <v>573</v>
      </c>
      <c r="C575" s="2">
        <v>1</v>
      </c>
      <c r="D575" s="2">
        <v>324</v>
      </c>
      <c r="E575" s="4" t="s">
        <v>2050</v>
      </c>
      <c r="F575" s="4" t="s">
        <v>2050</v>
      </c>
    </row>
    <row r="576" spans="2:9" x14ac:dyDescent="0.25">
      <c r="B576" s="1">
        <f t="shared" si="8"/>
        <v>574</v>
      </c>
      <c r="C576" s="1">
        <v>1</v>
      </c>
      <c r="D576" s="1">
        <v>325</v>
      </c>
      <c r="E576" s="3" t="s">
        <v>2049</v>
      </c>
      <c r="F576" s="3" t="s">
        <v>2049</v>
      </c>
    </row>
    <row r="577" spans="2:7" ht="30" x14ac:dyDescent="0.25">
      <c r="B577" s="2">
        <f t="shared" si="8"/>
        <v>575</v>
      </c>
      <c r="C577" s="2">
        <v>1</v>
      </c>
      <c r="D577" s="2">
        <v>326</v>
      </c>
      <c r="E577" s="4" t="s">
        <v>2048</v>
      </c>
      <c r="F577" s="4" t="s">
        <v>2048</v>
      </c>
    </row>
    <row r="578" spans="2:7" ht="30" x14ac:dyDescent="0.25">
      <c r="B578" s="1">
        <f t="shared" si="8"/>
        <v>576</v>
      </c>
      <c r="C578" s="1">
        <v>1</v>
      </c>
      <c r="D578" s="1">
        <v>327</v>
      </c>
      <c r="E578" s="3" t="s">
        <v>2047</v>
      </c>
      <c r="F578" s="3" t="s">
        <v>2047</v>
      </c>
    </row>
    <row r="579" spans="2:7" ht="30" x14ac:dyDescent="0.25">
      <c r="B579" s="2">
        <f t="shared" si="8"/>
        <v>577</v>
      </c>
      <c r="C579" s="2">
        <v>1</v>
      </c>
      <c r="D579" s="2">
        <v>328</v>
      </c>
      <c r="E579" s="4" t="s">
        <v>2046</v>
      </c>
      <c r="F579" s="4" t="s">
        <v>2046</v>
      </c>
    </row>
    <row r="580" spans="2:7" x14ac:dyDescent="0.25">
      <c r="B580" s="1">
        <f t="shared" si="8"/>
        <v>578</v>
      </c>
      <c r="C580" s="1">
        <v>3</v>
      </c>
      <c r="D580" s="1">
        <v>41</v>
      </c>
      <c r="E580" s="3" t="s">
        <v>691</v>
      </c>
      <c r="F580" s="3" t="s">
        <v>691</v>
      </c>
    </row>
    <row r="581" spans="2:7" x14ac:dyDescent="0.25">
      <c r="B581" s="2">
        <f t="shared" ref="B581:B644" si="9">+B580+1</f>
        <v>579</v>
      </c>
      <c r="C581" s="2">
        <v>1</v>
      </c>
      <c r="D581" s="2">
        <v>329</v>
      </c>
      <c r="E581" s="4" t="s">
        <v>2045</v>
      </c>
      <c r="F581" s="3" t="s">
        <v>2045</v>
      </c>
    </row>
    <row r="582" spans="2:7" ht="30" x14ac:dyDescent="0.25">
      <c r="B582" s="1">
        <f t="shared" si="9"/>
        <v>580</v>
      </c>
      <c r="C582" s="1">
        <v>1</v>
      </c>
      <c r="D582" s="2">
        <v>330</v>
      </c>
      <c r="E582" s="4" t="s">
        <v>2044</v>
      </c>
      <c r="F582" s="4" t="s">
        <v>2044</v>
      </c>
    </row>
    <row r="583" spans="2:7" ht="30" x14ac:dyDescent="0.25">
      <c r="B583" s="2">
        <f t="shared" si="9"/>
        <v>581</v>
      </c>
      <c r="C583" s="2">
        <v>2</v>
      </c>
      <c r="D583" s="2">
        <v>146</v>
      </c>
      <c r="E583" s="4" t="s">
        <v>914</v>
      </c>
      <c r="F583" s="3" t="s">
        <v>2044</v>
      </c>
      <c r="G583" t="s">
        <v>3013</v>
      </c>
    </row>
    <row r="584" spans="2:7" ht="30" x14ac:dyDescent="0.25">
      <c r="B584" s="1">
        <f t="shared" si="9"/>
        <v>582</v>
      </c>
      <c r="C584" s="1">
        <v>2</v>
      </c>
      <c r="D584" s="1">
        <v>147</v>
      </c>
      <c r="E584" s="3" t="s">
        <v>913</v>
      </c>
      <c r="F584" s="3" t="s">
        <v>2044</v>
      </c>
      <c r="G584" t="s">
        <v>2821</v>
      </c>
    </row>
    <row r="585" spans="2:7" x14ac:dyDescent="0.25">
      <c r="B585" s="2">
        <f t="shared" si="9"/>
        <v>583</v>
      </c>
      <c r="C585" s="2">
        <v>1</v>
      </c>
      <c r="D585" s="2">
        <v>331</v>
      </c>
      <c r="E585" s="4" t="s">
        <v>2043</v>
      </c>
      <c r="F585" s="3" t="s">
        <v>2043</v>
      </c>
    </row>
    <row r="586" spans="2:7" ht="45" x14ac:dyDescent="0.25">
      <c r="B586" s="1">
        <f t="shared" si="9"/>
        <v>584</v>
      </c>
      <c r="C586" s="1">
        <v>1</v>
      </c>
      <c r="D586" s="2" t="s">
        <v>2042</v>
      </c>
      <c r="E586" s="4" t="s">
        <v>2041</v>
      </c>
      <c r="F586" s="4" t="s">
        <v>2041</v>
      </c>
    </row>
    <row r="587" spans="2:7" x14ac:dyDescent="0.25">
      <c r="B587" s="2">
        <f t="shared" si="9"/>
        <v>585</v>
      </c>
      <c r="C587" s="2">
        <v>1</v>
      </c>
      <c r="D587" s="2">
        <v>332</v>
      </c>
      <c r="E587" s="4" t="s">
        <v>2040</v>
      </c>
      <c r="F587" s="3" t="s">
        <v>2040</v>
      </c>
    </row>
    <row r="588" spans="2:7" x14ac:dyDescent="0.25">
      <c r="B588" s="1">
        <f t="shared" si="9"/>
        <v>586</v>
      </c>
      <c r="C588" s="1">
        <v>1</v>
      </c>
      <c r="D588" s="2">
        <v>333</v>
      </c>
      <c r="E588" s="4" t="s">
        <v>2039</v>
      </c>
      <c r="F588" s="4" t="s">
        <v>2039</v>
      </c>
    </row>
    <row r="589" spans="2:7" ht="30" x14ac:dyDescent="0.25">
      <c r="B589" s="2">
        <f t="shared" si="9"/>
        <v>587</v>
      </c>
      <c r="C589" s="2">
        <v>1</v>
      </c>
      <c r="D589" s="2">
        <v>334</v>
      </c>
      <c r="E589" s="4" t="s">
        <v>2038</v>
      </c>
      <c r="F589" s="3" t="s">
        <v>2038</v>
      </c>
    </row>
    <row r="590" spans="2:7" x14ac:dyDescent="0.25">
      <c r="B590" s="1">
        <f t="shared" si="9"/>
        <v>588</v>
      </c>
      <c r="C590" s="1">
        <v>3</v>
      </c>
      <c r="D590" s="1">
        <v>42</v>
      </c>
      <c r="E590" s="3" t="s">
        <v>690</v>
      </c>
      <c r="F590" s="3" t="s">
        <v>690</v>
      </c>
    </row>
    <row r="591" spans="2:7" x14ac:dyDescent="0.25">
      <c r="B591" s="2">
        <f t="shared" si="9"/>
        <v>589</v>
      </c>
      <c r="C591" s="2">
        <v>1</v>
      </c>
      <c r="D591" s="2">
        <v>335</v>
      </c>
      <c r="E591" s="4" t="s">
        <v>2037</v>
      </c>
      <c r="F591" s="4" t="s">
        <v>2037</v>
      </c>
    </row>
    <row r="592" spans="2:7" x14ac:dyDescent="0.25">
      <c r="B592" s="1">
        <f t="shared" si="9"/>
        <v>590</v>
      </c>
      <c r="C592" s="1">
        <v>2</v>
      </c>
      <c r="D592" s="1">
        <v>148</v>
      </c>
      <c r="E592" s="3" t="s">
        <v>912</v>
      </c>
      <c r="F592" s="3" t="s">
        <v>3014</v>
      </c>
      <c r="G592" t="s">
        <v>3015</v>
      </c>
    </row>
    <row r="593" spans="2:7" ht="30" x14ac:dyDescent="0.25">
      <c r="B593" s="2">
        <f t="shared" si="9"/>
        <v>591</v>
      </c>
      <c r="C593" s="2">
        <v>1</v>
      </c>
      <c r="D593" s="2">
        <v>336</v>
      </c>
      <c r="E593" s="4" t="s">
        <v>2036</v>
      </c>
      <c r="F593" s="3" t="s">
        <v>2036</v>
      </c>
    </row>
    <row r="594" spans="2:7" ht="30" x14ac:dyDescent="0.25">
      <c r="B594" s="1">
        <f t="shared" si="9"/>
        <v>592</v>
      </c>
      <c r="C594" s="1">
        <v>1</v>
      </c>
      <c r="D594" s="2">
        <v>337</v>
      </c>
      <c r="E594" s="4" t="s">
        <v>2035</v>
      </c>
      <c r="F594" s="4" t="s">
        <v>2035</v>
      </c>
    </row>
    <row r="595" spans="2:7" ht="30" x14ac:dyDescent="0.25">
      <c r="B595" s="2">
        <f t="shared" si="9"/>
        <v>593</v>
      </c>
      <c r="C595" s="2">
        <v>1</v>
      </c>
      <c r="D595" s="2">
        <v>338</v>
      </c>
      <c r="E595" s="4" t="s">
        <v>2034</v>
      </c>
      <c r="F595" s="3" t="s">
        <v>2034</v>
      </c>
    </row>
    <row r="596" spans="2:7" ht="30" x14ac:dyDescent="0.25">
      <c r="B596" s="1">
        <f t="shared" si="9"/>
        <v>594</v>
      </c>
      <c r="C596" s="1">
        <v>2</v>
      </c>
      <c r="D596" s="1">
        <v>149</v>
      </c>
      <c r="E596" s="3" t="s">
        <v>911</v>
      </c>
      <c r="F596" s="3" t="s">
        <v>2034</v>
      </c>
      <c r="G596" t="s">
        <v>2909</v>
      </c>
    </row>
    <row r="597" spans="2:7" ht="45" x14ac:dyDescent="0.25">
      <c r="B597" s="2">
        <f t="shared" si="9"/>
        <v>595</v>
      </c>
      <c r="C597" s="2">
        <v>1</v>
      </c>
      <c r="D597" s="2" t="s">
        <v>2033</v>
      </c>
      <c r="E597" s="4" t="s">
        <v>2032</v>
      </c>
      <c r="F597" s="4" t="s">
        <v>2032</v>
      </c>
    </row>
    <row r="598" spans="2:7" ht="30" x14ac:dyDescent="0.25">
      <c r="B598" s="1">
        <f t="shared" si="9"/>
        <v>596</v>
      </c>
      <c r="C598" s="1">
        <v>1</v>
      </c>
      <c r="D598" s="1">
        <v>339</v>
      </c>
      <c r="E598" s="3" t="s">
        <v>2031</v>
      </c>
      <c r="F598" s="3" t="s">
        <v>2031</v>
      </c>
    </row>
    <row r="599" spans="2:7" x14ac:dyDescent="0.25">
      <c r="B599" s="2">
        <f t="shared" si="9"/>
        <v>597</v>
      </c>
      <c r="C599" s="2">
        <v>1</v>
      </c>
      <c r="D599" s="2">
        <v>340</v>
      </c>
      <c r="E599" s="4" t="s">
        <v>2030</v>
      </c>
      <c r="F599" s="4" t="s">
        <v>2030</v>
      </c>
    </row>
    <row r="600" spans="2:7" x14ac:dyDescent="0.25">
      <c r="B600" s="1">
        <f t="shared" si="9"/>
        <v>598</v>
      </c>
      <c r="C600" s="1">
        <v>1</v>
      </c>
      <c r="D600" s="1">
        <v>341</v>
      </c>
      <c r="E600" s="3" t="s">
        <v>2029</v>
      </c>
      <c r="F600" s="3" t="s">
        <v>2029</v>
      </c>
    </row>
    <row r="601" spans="2:7" x14ac:dyDescent="0.25">
      <c r="B601" s="2">
        <f t="shared" si="9"/>
        <v>599</v>
      </c>
      <c r="C601" s="2">
        <v>1</v>
      </c>
      <c r="D601" s="2">
        <v>342</v>
      </c>
      <c r="E601" s="4" t="s">
        <v>2028</v>
      </c>
      <c r="F601" s="4" t="s">
        <v>2028</v>
      </c>
    </row>
    <row r="602" spans="2:7" x14ac:dyDescent="0.25">
      <c r="B602" s="1">
        <f t="shared" si="9"/>
        <v>600</v>
      </c>
      <c r="C602" s="1">
        <v>1</v>
      </c>
      <c r="D602" s="1">
        <v>343</v>
      </c>
      <c r="E602" s="3" t="s">
        <v>2027</v>
      </c>
      <c r="F602" s="3" t="s">
        <v>2027</v>
      </c>
    </row>
    <row r="603" spans="2:7" ht="30" x14ac:dyDescent="0.25">
      <c r="B603" s="2">
        <f t="shared" si="9"/>
        <v>601</v>
      </c>
      <c r="C603" s="2">
        <v>1</v>
      </c>
      <c r="D603" s="2">
        <v>344</v>
      </c>
      <c r="E603" s="4" t="s">
        <v>2026</v>
      </c>
      <c r="F603" s="4" t="s">
        <v>2026</v>
      </c>
    </row>
    <row r="604" spans="2:7" x14ac:dyDescent="0.25">
      <c r="B604" s="1">
        <f t="shared" si="9"/>
        <v>602</v>
      </c>
      <c r="C604" s="1">
        <v>1</v>
      </c>
      <c r="D604" s="1">
        <v>345</v>
      </c>
      <c r="E604" s="3" t="s">
        <v>2025</v>
      </c>
      <c r="F604" s="3" t="s">
        <v>2025</v>
      </c>
    </row>
    <row r="605" spans="2:7" x14ac:dyDescent="0.25">
      <c r="B605" s="2">
        <f t="shared" si="9"/>
        <v>603</v>
      </c>
      <c r="C605" s="2">
        <v>1</v>
      </c>
      <c r="D605" s="2">
        <v>346</v>
      </c>
      <c r="E605" s="4" t="s">
        <v>2024</v>
      </c>
      <c r="F605" s="4" t="s">
        <v>2024</v>
      </c>
    </row>
    <row r="606" spans="2:7" x14ac:dyDescent="0.25">
      <c r="B606" s="1">
        <f t="shared" si="9"/>
        <v>604</v>
      </c>
      <c r="C606" s="1">
        <v>1</v>
      </c>
      <c r="D606" s="1">
        <v>347</v>
      </c>
      <c r="E606" s="3" t="s">
        <v>2023</v>
      </c>
      <c r="F606" s="3" t="s">
        <v>2023</v>
      </c>
    </row>
    <row r="607" spans="2:7" x14ac:dyDescent="0.25">
      <c r="B607" s="2">
        <f t="shared" si="9"/>
        <v>605</v>
      </c>
      <c r="C607" s="2">
        <v>1</v>
      </c>
      <c r="D607" s="2">
        <v>348</v>
      </c>
      <c r="E607" s="4" t="s">
        <v>2022</v>
      </c>
      <c r="F607" s="4" t="s">
        <v>2022</v>
      </c>
    </row>
    <row r="608" spans="2:7" x14ac:dyDescent="0.25">
      <c r="B608" s="1">
        <f t="shared" si="9"/>
        <v>606</v>
      </c>
      <c r="C608" s="1">
        <v>1</v>
      </c>
      <c r="D608" s="1">
        <v>349</v>
      </c>
      <c r="E608" s="3" t="s">
        <v>2021</v>
      </c>
      <c r="F608" s="3" t="s">
        <v>2021</v>
      </c>
    </row>
    <row r="609" spans="2:6" x14ac:dyDescent="0.25">
      <c r="B609" s="2">
        <f t="shared" si="9"/>
        <v>607</v>
      </c>
      <c r="C609" s="2">
        <v>1</v>
      </c>
      <c r="D609" s="2">
        <v>350</v>
      </c>
      <c r="E609" s="4" t="s">
        <v>2020</v>
      </c>
      <c r="F609" s="4" t="s">
        <v>2020</v>
      </c>
    </row>
    <row r="610" spans="2:6" x14ac:dyDescent="0.25">
      <c r="B610" s="1">
        <f t="shared" si="9"/>
        <v>608</v>
      </c>
      <c r="C610" s="1">
        <v>1</v>
      </c>
      <c r="D610" s="1">
        <v>351</v>
      </c>
      <c r="E610" s="3" t="s">
        <v>2019</v>
      </c>
      <c r="F610" s="3" t="s">
        <v>2019</v>
      </c>
    </row>
    <row r="611" spans="2:6" x14ac:dyDescent="0.25">
      <c r="B611" s="2">
        <f t="shared" si="9"/>
        <v>609</v>
      </c>
      <c r="C611" s="2">
        <v>1</v>
      </c>
      <c r="D611" s="2">
        <v>352</v>
      </c>
      <c r="E611" s="4" t="s">
        <v>2018</v>
      </c>
      <c r="F611" s="4" t="s">
        <v>2018</v>
      </c>
    </row>
    <row r="612" spans="2:6" x14ac:dyDescent="0.25">
      <c r="B612" s="1">
        <f t="shared" si="9"/>
        <v>610</v>
      </c>
      <c r="C612" s="1">
        <v>1</v>
      </c>
      <c r="D612" s="1">
        <v>353</v>
      </c>
      <c r="E612" s="3" t="s">
        <v>2017</v>
      </c>
      <c r="F612" s="3" t="s">
        <v>2017</v>
      </c>
    </row>
    <row r="613" spans="2:6" x14ac:dyDescent="0.25">
      <c r="B613" s="2">
        <f t="shared" si="9"/>
        <v>611</v>
      </c>
      <c r="C613" s="2">
        <v>1</v>
      </c>
      <c r="D613" s="2">
        <v>354</v>
      </c>
      <c r="E613" s="4" t="s">
        <v>2016</v>
      </c>
      <c r="F613" s="4" t="s">
        <v>2016</v>
      </c>
    </row>
    <row r="614" spans="2:6" x14ac:dyDescent="0.25">
      <c r="B614" s="1">
        <f t="shared" si="9"/>
        <v>612</v>
      </c>
      <c r="C614" s="1">
        <v>1</v>
      </c>
      <c r="D614" s="1">
        <v>355</v>
      </c>
      <c r="E614" s="3" t="s">
        <v>2015</v>
      </c>
      <c r="F614" s="3" t="s">
        <v>2015</v>
      </c>
    </row>
    <row r="615" spans="2:6" x14ac:dyDescent="0.25">
      <c r="B615" s="2">
        <f t="shared" si="9"/>
        <v>613</v>
      </c>
      <c r="C615" s="2">
        <v>1</v>
      </c>
      <c r="D615" s="2">
        <v>356</v>
      </c>
      <c r="E615" s="4" t="s">
        <v>2014</v>
      </c>
      <c r="F615" s="4" t="s">
        <v>2014</v>
      </c>
    </row>
    <row r="616" spans="2:6" x14ac:dyDescent="0.25">
      <c r="B616" s="1">
        <f t="shared" si="9"/>
        <v>614</v>
      </c>
      <c r="C616" s="1">
        <v>1</v>
      </c>
      <c r="D616" s="1">
        <v>357</v>
      </c>
      <c r="E616" s="3" t="s">
        <v>2013</v>
      </c>
      <c r="F616" s="3" t="s">
        <v>2013</v>
      </c>
    </row>
    <row r="617" spans="2:6" x14ac:dyDescent="0.25">
      <c r="B617" s="2">
        <f t="shared" si="9"/>
        <v>615</v>
      </c>
      <c r="C617" s="2">
        <v>1</v>
      </c>
      <c r="D617" s="2">
        <v>358</v>
      </c>
      <c r="E617" s="4" t="s">
        <v>2012</v>
      </c>
      <c r="F617" s="4" t="s">
        <v>2012</v>
      </c>
    </row>
    <row r="618" spans="2:6" x14ac:dyDescent="0.25">
      <c r="B618" s="1">
        <f t="shared" si="9"/>
        <v>616</v>
      </c>
      <c r="C618" s="1">
        <v>3</v>
      </c>
      <c r="D618" s="1">
        <v>43</v>
      </c>
      <c r="E618" s="3" t="s">
        <v>689</v>
      </c>
      <c r="F618" s="3" t="s">
        <v>689</v>
      </c>
    </row>
    <row r="619" spans="2:6" x14ac:dyDescent="0.25">
      <c r="B619" s="2">
        <f t="shared" si="9"/>
        <v>617</v>
      </c>
      <c r="C619" s="2">
        <v>1</v>
      </c>
      <c r="D619" s="2">
        <v>359</v>
      </c>
      <c r="E619" s="4" t="s">
        <v>2011</v>
      </c>
      <c r="F619" s="3" t="s">
        <v>2011</v>
      </c>
    </row>
    <row r="620" spans="2:6" x14ac:dyDescent="0.25">
      <c r="B620" s="1">
        <f t="shared" si="9"/>
        <v>618</v>
      </c>
      <c r="C620" s="1">
        <v>1</v>
      </c>
      <c r="D620" s="2">
        <v>360</v>
      </c>
      <c r="E620" s="4" t="s">
        <v>2010</v>
      </c>
      <c r="F620" s="4" t="s">
        <v>2010</v>
      </c>
    </row>
    <row r="621" spans="2:6" x14ac:dyDescent="0.25">
      <c r="B621" s="2">
        <f t="shared" si="9"/>
        <v>619</v>
      </c>
      <c r="C621" s="2">
        <v>1</v>
      </c>
      <c r="D621" s="2">
        <v>361</v>
      </c>
      <c r="E621" s="4" t="s">
        <v>2009</v>
      </c>
      <c r="F621" s="3" t="s">
        <v>2009</v>
      </c>
    </row>
    <row r="622" spans="2:6" x14ac:dyDescent="0.25">
      <c r="B622" s="1">
        <f t="shared" si="9"/>
        <v>620</v>
      </c>
      <c r="C622" s="1">
        <v>1</v>
      </c>
      <c r="D622" s="2">
        <v>362</v>
      </c>
      <c r="E622" s="4" t="s">
        <v>2008</v>
      </c>
      <c r="F622" s="4" t="s">
        <v>2008</v>
      </c>
    </row>
    <row r="623" spans="2:6" x14ac:dyDescent="0.25">
      <c r="B623" s="2">
        <f t="shared" si="9"/>
        <v>621</v>
      </c>
      <c r="C623" s="2">
        <v>1</v>
      </c>
      <c r="D623" s="2">
        <v>363</v>
      </c>
      <c r="E623" s="4" t="s">
        <v>2007</v>
      </c>
      <c r="F623" s="3" t="s">
        <v>2007</v>
      </c>
    </row>
    <row r="624" spans="2:6" x14ac:dyDescent="0.25">
      <c r="B624" s="1">
        <f t="shared" si="9"/>
        <v>622</v>
      </c>
      <c r="C624" s="1">
        <v>1</v>
      </c>
      <c r="D624" s="2">
        <v>364</v>
      </c>
      <c r="E624" s="4" t="s">
        <v>2006</v>
      </c>
      <c r="F624" s="4" t="s">
        <v>2006</v>
      </c>
    </row>
    <row r="625" spans="2:8" x14ac:dyDescent="0.25">
      <c r="B625" s="2">
        <f t="shared" si="9"/>
        <v>623</v>
      </c>
      <c r="C625" s="2">
        <v>1</v>
      </c>
      <c r="D625" s="2">
        <v>365</v>
      </c>
      <c r="E625" s="4" t="s">
        <v>2005</v>
      </c>
      <c r="F625" s="3" t="s">
        <v>2005</v>
      </c>
    </row>
    <row r="626" spans="2:8" x14ac:dyDescent="0.25">
      <c r="B626" s="1">
        <f t="shared" si="9"/>
        <v>624</v>
      </c>
      <c r="C626" s="1">
        <v>1</v>
      </c>
      <c r="D626" s="2">
        <v>366</v>
      </c>
      <c r="E626" s="4" t="s">
        <v>2004</v>
      </c>
      <c r="F626" s="4" t="s">
        <v>2004</v>
      </c>
    </row>
    <row r="627" spans="2:8" ht="30" x14ac:dyDescent="0.25">
      <c r="B627" s="2">
        <f t="shared" si="9"/>
        <v>625</v>
      </c>
      <c r="C627" s="2">
        <v>1</v>
      </c>
      <c r="D627" s="2">
        <v>367</v>
      </c>
      <c r="E627" s="4" t="s">
        <v>2003</v>
      </c>
      <c r="F627" s="3" t="s">
        <v>2003</v>
      </c>
    </row>
    <row r="628" spans="2:8" ht="30" x14ac:dyDescent="0.25">
      <c r="B628" s="1">
        <f t="shared" si="9"/>
        <v>626</v>
      </c>
      <c r="C628" s="1">
        <v>1</v>
      </c>
      <c r="D628" s="2">
        <v>368</v>
      </c>
      <c r="E628" s="4" t="s">
        <v>2002</v>
      </c>
      <c r="F628" s="4" t="s">
        <v>2002</v>
      </c>
    </row>
    <row r="629" spans="2:8" ht="30" x14ac:dyDescent="0.25">
      <c r="B629" s="2">
        <f t="shared" si="9"/>
        <v>627</v>
      </c>
      <c r="C629" s="2">
        <v>1</v>
      </c>
      <c r="D629" s="2">
        <v>369</v>
      </c>
      <c r="E629" s="4" t="s">
        <v>2001</v>
      </c>
      <c r="F629" s="3" t="s">
        <v>2001</v>
      </c>
    </row>
    <row r="630" spans="2:8" x14ac:dyDescent="0.25">
      <c r="B630" s="1">
        <f t="shared" si="9"/>
        <v>628</v>
      </c>
      <c r="C630" s="1">
        <v>1</v>
      </c>
      <c r="D630" s="2">
        <v>370</v>
      </c>
      <c r="E630" s="4" t="s">
        <v>2000</v>
      </c>
      <c r="F630" s="4" t="s">
        <v>2000</v>
      </c>
    </row>
    <row r="631" spans="2:8" x14ac:dyDescent="0.25">
      <c r="B631" s="2">
        <f t="shared" si="9"/>
        <v>629</v>
      </c>
      <c r="C631" s="2">
        <v>1</v>
      </c>
      <c r="D631" s="2">
        <v>371</v>
      </c>
      <c r="E631" s="4" t="s">
        <v>1999</v>
      </c>
      <c r="F631" s="3" t="s">
        <v>1999</v>
      </c>
    </row>
    <row r="632" spans="2:8" x14ac:dyDescent="0.25">
      <c r="B632" s="1">
        <f t="shared" si="9"/>
        <v>630</v>
      </c>
      <c r="C632" s="1">
        <v>2</v>
      </c>
      <c r="D632" s="1">
        <v>150</v>
      </c>
      <c r="E632" s="3" t="s">
        <v>910</v>
      </c>
      <c r="F632" s="3" t="s">
        <v>1999</v>
      </c>
      <c r="G632" t="s">
        <v>3016</v>
      </c>
    </row>
    <row r="633" spans="2:8" x14ac:dyDescent="0.25">
      <c r="B633" s="2">
        <f t="shared" si="9"/>
        <v>631</v>
      </c>
      <c r="C633" s="2">
        <v>1</v>
      </c>
      <c r="D633" s="2">
        <v>372</v>
      </c>
      <c r="E633" s="4" t="s">
        <v>1998</v>
      </c>
      <c r="F633" s="4" t="s">
        <v>1998</v>
      </c>
    </row>
    <row r="634" spans="2:8" x14ac:dyDescent="0.25">
      <c r="B634" s="1">
        <f t="shared" si="9"/>
        <v>632</v>
      </c>
      <c r="C634" s="1">
        <v>1</v>
      </c>
      <c r="D634" s="1">
        <v>373</v>
      </c>
      <c r="E634" s="3" t="s">
        <v>1997</v>
      </c>
      <c r="F634" s="3" t="s">
        <v>1997</v>
      </c>
    </row>
    <row r="635" spans="2:8" x14ac:dyDescent="0.25">
      <c r="B635" s="2">
        <f t="shared" si="9"/>
        <v>633</v>
      </c>
      <c r="C635" s="2">
        <v>2</v>
      </c>
      <c r="D635" s="2">
        <v>151</v>
      </c>
      <c r="E635" s="4" t="s">
        <v>909</v>
      </c>
      <c r="F635" s="3" t="s">
        <v>3017</v>
      </c>
      <c r="G635" t="s">
        <v>3018</v>
      </c>
      <c r="H635" t="s">
        <v>2843</v>
      </c>
    </row>
    <row r="636" spans="2:8" x14ac:dyDescent="0.25">
      <c r="B636" s="1">
        <f t="shared" si="9"/>
        <v>634</v>
      </c>
      <c r="C636" s="1">
        <v>2</v>
      </c>
      <c r="D636" s="1">
        <v>152</v>
      </c>
      <c r="E636" s="3" t="s">
        <v>908</v>
      </c>
      <c r="F636" s="3" t="s">
        <v>3017</v>
      </c>
      <c r="G636" t="s">
        <v>2843</v>
      </c>
      <c r="H636" t="s">
        <v>2846</v>
      </c>
    </row>
    <row r="637" spans="2:8" x14ac:dyDescent="0.25">
      <c r="B637" s="2">
        <f t="shared" si="9"/>
        <v>635</v>
      </c>
      <c r="C637" s="2">
        <v>1</v>
      </c>
      <c r="D637" s="2">
        <v>374</v>
      </c>
      <c r="E637" s="4" t="s">
        <v>1996</v>
      </c>
      <c r="F637" s="4" t="s">
        <v>1996</v>
      </c>
    </row>
    <row r="638" spans="2:8" x14ac:dyDescent="0.25">
      <c r="B638" s="1">
        <f t="shared" si="9"/>
        <v>636</v>
      </c>
      <c r="C638" s="1">
        <v>1</v>
      </c>
      <c r="D638" s="1">
        <v>375</v>
      </c>
      <c r="E638" s="3" t="s">
        <v>1995</v>
      </c>
      <c r="F638" s="3" t="s">
        <v>1995</v>
      </c>
    </row>
    <row r="639" spans="2:8" x14ac:dyDescent="0.25">
      <c r="B639" s="2">
        <f t="shared" si="9"/>
        <v>637</v>
      </c>
      <c r="C639" s="2">
        <v>2</v>
      </c>
      <c r="D639" s="2">
        <v>153</v>
      </c>
      <c r="E639" s="4" t="s">
        <v>907</v>
      </c>
      <c r="F639" s="3" t="s">
        <v>1995</v>
      </c>
      <c r="G639" t="s">
        <v>3019</v>
      </c>
    </row>
    <row r="640" spans="2:8" x14ac:dyDescent="0.25">
      <c r="B640" s="1">
        <f t="shared" si="9"/>
        <v>638</v>
      </c>
      <c r="C640" s="1">
        <v>1</v>
      </c>
      <c r="D640" s="2">
        <v>376</v>
      </c>
      <c r="E640" s="4" t="s">
        <v>1994</v>
      </c>
      <c r="F640" s="4" t="s">
        <v>1994</v>
      </c>
    </row>
    <row r="641" spans="2:7" x14ac:dyDescent="0.25">
      <c r="B641" s="2">
        <f t="shared" si="9"/>
        <v>639</v>
      </c>
      <c r="C641" s="2">
        <v>1</v>
      </c>
      <c r="D641" s="2">
        <v>377</v>
      </c>
      <c r="E641" s="4" t="s">
        <v>1993</v>
      </c>
      <c r="F641" s="3" t="s">
        <v>1993</v>
      </c>
    </row>
    <row r="642" spans="2:7" ht="30" x14ac:dyDescent="0.25">
      <c r="B642" s="1">
        <f t="shared" si="9"/>
        <v>640</v>
      </c>
      <c r="C642" s="1">
        <v>3</v>
      </c>
      <c r="D642" s="1" t="s">
        <v>688</v>
      </c>
      <c r="E642" s="3" t="s">
        <v>687</v>
      </c>
      <c r="F642" s="3" t="s">
        <v>687</v>
      </c>
    </row>
    <row r="643" spans="2:7" x14ac:dyDescent="0.25">
      <c r="B643" s="2">
        <f t="shared" si="9"/>
        <v>641</v>
      </c>
      <c r="C643" s="2">
        <v>1</v>
      </c>
      <c r="D643" s="2">
        <v>378</v>
      </c>
      <c r="E643" s="4" t="s">
        <v>1992</v>
      </c>
      <c r="F643" s="4" t="s">
        <v>1992</v>
      </c>
    </row>
    <row r="644" spans="2:7" x14ac:dyDescent="0.25">
      <c r="B644" s="1">
        <f t="shared" si="9"/>
        <v>642</v>
      </c>
      <c r="C644" s="1">
        <v>3</v>
      </c>
      <c r="D644" s="1">
        <v>44</v>
      </c>
      <c r="E644" s="3" t="s">
        <v>686</v>
      </c>
      <c r="F644" s="3" t="s">
        <v>686</v>
      </c>
    </row>
    <row r="645" spans="2:7" x14ac:dyDescent="0.25">
      <c r="B645" s="2">
        <f t="shared" ref="B645:B708" si="10">+B644+1</f>
        <v>643</v>
      </c>
      <c r="C645" s="2">
        <v>1</v>
      </c>
      <c r="D645" s="2">
        <v>379</v>
      </c>
      <c r="E645" s="4" t="s">
        <v>1991</v>
      </c>
      <c r="F645" s="3" t="s">
        <v>1991</v>
      </c>
    </row>
    <row r="646" spans="2:7" x14ac:dyDescent="0.25">
      <c r="B646" s="1">
        <f t="shared" si="10"/>
        <v>644</v>
      </c>
      <c r="C646" s="1">
        <v>1</v>
      </c>
      <c r="D646" s="2">
        <v>380</v>
      </c>
      <c r="E646" s="4" t="s">
        <v>1990</v>
      </c>
      <c r="F646" s="4" t="s">
        <v>1990</v>
      </c>
    </row>
    <row r="647" spans="2:7" ht="30" x14ac:dyDescent="0.25">
      <c r="B647" s="2">
        <f t="shared" si="10"/>
        <v>645</v>
      </c>
      <c r="C647" s="2">
        <v>1</v>
      </c>
      <c r="D647" s="2">
        <v>381</v>
      </c>
      <c r="E647" s="4" t="s">
        <v>1989</v>
      </c>
      <c r="F647" s="3" t="s">
        <v>1989</v>
      </c>
    </row>
    <row r="648" spans="2:7" x14ac:dyDescent="0.25">
      <c r="B648" s="1">
        <f t="shared" si="10"/>
        <v>646</v>
      </c>
      <c r="C648" s="1">
        <v>1</v>
      </c>
      <c r="D648" s="2">
        <v>382</v>
      </c>
      <c r="E648" s="4" t="s">
        <v>1988</v>
      </c>
      <c r="F648" s="4" t="s">
        <v>1988</v>
      </c>
    </row>
    <row r="649" spans="2:7" ht="30" x14ac:dyDescent="0.25">
      <c r="B649" s="2">
        <f t="shared" si="10"/>
        <v>647</v>
      </c>
      <c r="C649" s="2">
        <v>1</v>
      </c>
      <c r="D649" s="2">
        <v>383</v>
      </c>
      <c r="E649" s="4" t="s">
        <v>1987</v>
      </c>
      <c r="F649" s="3" t="s">
        <v>1987</v>
      </c>
    </row>
    <row r="650" spans="2:7" x14ac:dyDescent="0.25">
      <c r="B650" s="1">
        <f t="shared" si="10"/>
        <v>648</v>
      </c>
      <c r="C650" s="1">
        <v>1</v>
      </c>
      <c r="D650" s="2">
        <v>384</v>
      </c>
      <c r="E650" s="4" t="s">
        <v>1986</v>
      </c>
      <c r="F650" s="4" t="s">
        <v>1986</v>
      </c>
    </row>
    <row r="651" spans="2:7" x14ac:dyDescent="0.25">
      <c r="B651" s="2">
        <f t="shared" si="10"/>
        <v>649</v>
      </c>
      <c r="C651" s="2">
        <v>1</v>
      </c>
      <c r="D651" s="2">
        <v>385</v>
      </c>
      <c r="E651" s="4" t="s">
        <v>1985</v>
      </c>
      <c r="F651" s="3" t="s">
        <v>1985</v>
      </c>
    </row>
    <row r="652" spans="2:7" x14ac:dyDescent="0.25">
      <c r="B652" s="1">
        <f t="shared" si="10"/>
        <v>650</v>
      </c>
      <c r="C652" s="1">
        <v>2</v>
      </c>
      <c r="D652" s="1">
        <v>154</v>
      </c>
      <c r="E652" s="3" t="s">
        <v>906</v>
      </c>
      <c r="F652" s="3" t="s">
        <v>3020</v>
      </c>
      <c r="G652" t="s">
        <v>2918</v>
      </c>
    </row>
    <row r="653" spans="2:7" x14ac:dyDescent="0.25">
      <c r="B653" s="2">
        <f t="shared" si="10"/>
        <v>651</v>
      </c>
      <c r="C653" s="2">
        <v>1</v>
      </c>
      <c r="D653" s="2">
        <v>386</v>
      </c>
      <c r="E653" s="4" t="s">
        <v>1984</v>
      </c>
      <c r="F653" s="4" t="s">
        <v>1984</v>
      </c>
    </row>
    <row r="654" spans="2:7" x14ac:dyDescent="0.25">
      <c r="B654" s="1">
        <f t="shared" si="10"/>
        <v>652</v>
      </c>
      <c r="C654" s="1">
        <v>1</v>
      </c>
      <c r="D654" s="1">
        <v>387</v>
      </c>
      <c r="E654" s="3" t="s">
        <v>1983</v>
      </c>
      <c r="F654" s="3" t="s">
        <v>1983</v>
      </c>
    </row>
    <row r="655" spans="2:7" x14ac:dyDescent="0.25">
      <c r="B655" s="2">
        <f t="shared" si="10"/>
        <v>653</v>
      </c>
      <c r="C655" s="2">
        <v>1</v>
      </c>
      <c r="D655" s="2">
        <v>388</v>
      </c>
      <c r="E655" s="4" t="s">
        <v>1982</v>
      </c>
      <c r="F655" s="4" t="s">
        <v>1982</v>
      </c>
    </row>
    <row r="656" spans="2:7" x14ac:dyDescent="0.25">
      <c r="B656" s="1">
        <f t="shared" si="10"/>
        <v>654</v>
      </c>
      <c r="C656" s="1">
        <v>2</v>
      </c>
      <c r="D656" s="1">
        <v>155</v>
      </c>
      <c r="E656" s="3" t="s">
        <v>905</v>
      </c>
      <c r="F656" s="3" t="s">
        <v>3021</v>
      </c>
      <c r="G656" t="s">
        <v>3022</v>
      </c>
    </row>
    <row r="657" spans="2:9" x14ac:dyDescent="0.25">
      <c r="B657" s="2">
        <f t="shared" si="10"/>
        <v>655</v>
      </c>
      <c r="C657" s="2">
        <v>1</v>
      </c>
      <c r="D657" s="2">
        <v>389</v>
      </c>
      <c r="E657" s="4" t="s">
        <v>1981</v>
      </c>
      <c r="F657" s="3" t="s">
        <v>1981</v>
      </c>
    </row>
    <row r="658" spans="2:9" x14ac:dyDescent="0.25">
      <c r="B658" s="1">
        <f t="shared" si="10"/>
        <v>656</v>
      </c>
      <c r="C658" s="1">
        <v>1</v>
      </c>
      <c r="D658" s="2">
        <v>390</v>
      </c>
      <c r="E658" s="4" t="s">
        <v>1980</v>
      </c>
      <c r="F658" s="4" t="s">
        <v>1980</v>
      </c>
    </row>
    <row r="659" spans="2:9" x14ac:dyDescent="0.25">
      <c r="B659" s="2">
        <f t="shared" si="10"/>
        <v>657</v>
      </c>
      <c r="C659" s="2">
        <v>1</v>
      </c>
      <c r="D659" s="2">
        <v>391</v>
      </c>
      <c r="E659" s="4" t="s">
        <v>1979</v>
      </c>
      <c r="F659" s="3" t="s">
        <v>1979</v>
      </c>
    </row>
    <row r="660" spans="2:9" ht="30" x14ac:dyDescent="0.25">
      <c r="B660" s="1">
        <f t="shared" si="10"/>
        <v>658</v>
      </c>
      <c r="C660" s="1">
        <v>1</v>
      </c>
      <c r="D660" s="2" t="s">
        <v>1978</v>
      </c>
      <c r="E660" s="4" t="s">
        <v>1977</v>
      </c>
      <c r="F660" s="4" t="s">
        <v>1977</v>
      </c>
    </row>
    <row r="661" spans="2:9" x14ac:dyDescent="0.25">
      <c r="B661" s="2">
        <f t="shared" si="10"/>
        <v>659</v>
      </c>
      <c r="C661" s="2">
        <v>1</v>
      </c>
      <c r="D661" s="2">
        <v>392</v>
      </c>
      <c r="E661" s="4" t="s">
        <v>1976</v>
      </c>
      <c r="F661" s="3" t="s">
        <v>1976</v>
      </c>
    </row>
    <row r="662" spans="2:9" ht="30" x14ac:dyDescent="0.25">
      <c r="B662" s="1">
        <f t="shared" si="10"/>
        <v>660</v>
      </c>
      <c r="C662" s="1">
        <v>1</v>
      </c>
      <c r="D662" s="2" t="s">
        <v>1975</v>
      </c>
      <c r="E662" s="4" t="s">
        <v>1974</v>
      </c>
      <c r="F662" s="4" t="s">
        <v>1974</v>
      </c>
    </row>
    <row r="663" spans="2:9" ht="30" x14ac:dyDescent="0.25">
      <c r="B663" s="2">
        <f t="shared" si="10"/>
        <v>661</v>
      </c>
      <c r="C663" s="2">
        <v>1</v>
      </c>
      <c r="D663" s="2" t="s">
        <v>1973</v>
      </c>
      <c r="E663" s="4" t="s">
        <v>1972</v>
      </c>
      <c r="F663" s="3" t="s">
        <v>1972</v>
      </c>
    </row>
    <row r="664" spans="2:9" ht="30" x14ac:dyDescent="0.25">
      <c r="B664" s="1">
        <f t="shared" si="10"/>
        <v>662</v>
      </c>
      <c r="C664" s="1">
        <v>1</v>
      </c>
      <c r="D664" s="2" t="s">
        <v>1971</v>
      </c>
      <c r="E664" s="4" t="s">
        <v>1970</v>
      </c>
      <c r="F664" s="4" t="s">
        <v>1970</v>
      </c>
    </row>
    <row r="665" spans="2:9" x14ac:dyDescent="0.25">
      <c r="B665" s="2">
        <f t="shared" si="10"/>
        <v>663</v>
      </c>
      <c r="C665" s="2">
        <v>1</v>
      </c>
      <c r="D665" s="2">
        <v>393</v>
      </c>
      <c r="E665" s="4" t="s">
        <v>1969</v>
      </c>
      <c r="F665" s="3" t="s">
        <v>1969</v>
      </c>
    </row>
    <row r="666" spans="2:9" ht="30" x14ac:dyDescent="0.25">
      <c r="B666" s="1">
        <f t="shared" si="10"/>
        <v>664</v>
      </c>
      <c r="C666" s="1">
        <v>1</v>
      </c>
      <c r="D666" s="2">
        <v>394</v>
      </c>
      <c r="E666" s="4" t="s">
        <v>1968</v>
      </c>
      <c r="F666" s="4" t="s">
        <v>1968</v>
      </c>
    </row>
    <row r="667" spans="2:9" ht="30" x14ac:dyDescent="0.25">
      <c r="B667" s="2">
        <f t="shared" si="10"/>
        <v>665</v>
      </c>
      <c r="C667" s="2">
        <v>2</v>
      </c>
      <c r="D667" s="2">
        <v>156</v>
      </c>
      <c r="E667" s="4" t="s">
        <v>904</v>
      </c>
      <c r="F667" s="3" t="s">
        <v>3023</v>
      </c>
      <c r="G667" t="s">
        <v>3024</v>
      </c>
      <c r="H667" t="s">
        <v>3025</v>
      </c>
      <c r="I667" t="s">
        <v>3026</v>
      </c>
    </row>
    <row r="668" spans="2:9" ht="30" x14ac:dyDescent="0.25">
      <c r="B668" s="1">
        <f t="shared" si="10"/>
        <v>666</v>
      </c>
      <c r="C668" s="1">
        <v>1</v>
      </c>
      <c r="D668" s="1">
        <v>395</v>
      </c>
      <c r="E668" s="3" t="s">
        <v>1967</v>
      </c>
      <c r="F668" s="3" t="s">
        <v>1967</v>
      </c>
    </row>
    <row r="669" spans="2:9" ht="30" x14ac:dyDescent="0.25">
      <c r="B669" s="2">
        <f t="shared" si="10"/>
        <v>667</v>
      </c>
      <c r="C669" s="2">
        <v>1</v>
      </c>
      <c r="D669" s="2" t="s">
        <v>1966</v>
      </c>
      <c r="E669" s="4" t="s">
        <v>1965</v>
      </c>
      <c r="F669" s="4" t="s">
        <v>1965</v>
      </c>
    </row>
    <row r="670" spans="2:9" x14ac:dyDescent="0.25">
      <c r="B670" s="1">
        <f t="shared" si="10"/>
        <v>668</v>
      </c>
      <c r="C670" s="1">
        <v>1</v>
      </c>
      <c r="D670" s="1">
        <v>396</v>
      </c>
      <c r="E670" s="3" t="s">
        <v>1964</v>
      </c>
      <c r="F670" s="3" t="s">
        <v>1964</v>
      </c>
    </row>
    <row r="671" spans="2:9" x14ac:dyDescent="0.25">
      <c r="B671" s="2">
        <f t="shared" si="10"/>
        <v>669</v>
      </c>
      <c r="C671" s="2">
        <v>1</v>
      </c>
      <c r="D671" s="2">
        <v>397</v>
      </c>
      <c r="E671" s="4" t="s">
        <v>1963</v>
      </c>
      <c r="F671" s="4" t="s">
        <v>1963</v>
      </c>
    </row>
    <row r="672" spans="2:9" x14ac:dyDescent="0.25">
      <c r="B672" s="1">
        <f t="shared" si="10"/>
        <v>670</v>
      </c>
      <c r="C672" s="1">
        <v>1</v>
      </c>
      <c r="D672" s="1">
        <v>398</v>
      </c>
      <c r="E672" s="3" t="s">
        <v>1962</v>
      </c>
      <c r="F672" s="3" t="s">
        <v>1962</v>
      </c>
    </row>
    <row r="673" spans="2:9" x14ac:dyDescent="0.25">
      <c r="B673" s="2">
        <f t="shared" si="10"/>
        <v>671</v>
      </c>
      <c r="C673" s="2">
        <v>1</v>
      </c>
      <c r="D673" s="2">
        <v>399</v>
      </c>
      <c r="E673" s="4" t="s">
        <v>1961</v>
      </c>
      <c r="F673" s="4" t="s">
        <v>1961</v>
      </c>
    </row>
    <row r="674" spans="2:9" x14ac:dyDescent="0.25">
      <c r="B674" s="1">
        <f t="shared" si="10"/>
        <v>672</v>
      </c>
      <c r="C674" s="1">
        <v>1</v>
      </c>
      <c r="D674" s="1">
        <v>400</v>
      </c>
      <c r="E674" s="3" t="s">
        <v>1960</v>
      </c>
      <c r="F674" s="3" t="s">
        <v>1960</v>
      </c>
    </row>
    <row r="675" spans="2:9" ht="30" x14ac:dyDescent="0.25">
      <c r="B675" s="2">
        <f t="shared" si="10"/>
        <v>673</v>
      </c>
      <c r="C675" s="2">
        <v>1</v>
      </c>
      <c r="D675" s="2" t="s">
        <v>1959</v>
      </c>
      <c r="E675" s="4" t="s">
        <v>1958</v>
      </c>
      <c r="F675" s="4" t="s">
        <v>1958</v>
      </c>
    </row>
    <row r="676" spans="2:9" x14ac:dyDescent="0.25">
      <c r="B676" s="1">
        <f t="shared" si="10"/>
        <v>674</v>
      </c>
      <c r="C676" s="1">
        <v>1</v>
      </c>
      <c r="D676" s="1">
        <v>401</v>
      </c>
      <c r="E676" s="3" t="s">
        <v>1957</v>
      </c>
      <c r="F676" s="3" t="s">
        <v>1957</v>
      </c>
    </row>
    <row r="677" spans="2:9" x14ac:dyDescent="0.25">
      <c r="B677" s="2">
        <f t="shared" si="10"/>
        <v>675</v>
      </c>
      <c r="C677" s="2">
        <v>1</v>
      </c>
      <c r="D677" s="2">
        <v>402</v>
      </c>
      <c r="E677" s="4" t="s">
        <v>1956</v>
      </c>
      <c r="F677" s="4" t="s">
        <v>1956</v>
      </c>
    </row>
    <row r="678" spans="2:9" x14ac:dyDescent="0.25">
      <c r="B678" s="1">
        <f t="shared" si="10"/>
        <v>676</v>
      </c>
      <c r="C678" s="1">
        <v>1</v>
      </c>
      <c r="D678" s="1">
        <v>403</v>
      </c>
      <c r="E678" s="3" t="s">
        <v>1955</v>
      </c>
      <c r="F678" s="3" t="s">
        <v>1955</v>
      </c>
    </row>
    <row r="679" spans="2:9" x14ac:dyDescent="0.25">
      <c r="B679" s="2">
        <f t="shared" si="10"/>
        <v>677</v>
      </c>
      <c r="C679" s="2">
        <v>2</v>
      </c>
      <c r="D679" s="2">
        <v>157</v>
      </c>
      <c r="E679" s="4" t="s">
        <v>903</v>
      </c>
      <c r="F679" s="3" t="s">
        <v>1955</v>
      </c>
      <c r="G679" t="s">
        <v>2806</v>
      </c>
    </row>
    <row r="680" spans="2:9" x14ac:dyDescent="0.25">
      <c r="B680" s="1">
        <f t="shared" si="10"/>
        <v>678</v>
      </c>
      <c r="C680" s="1">
        <v>1</v>
      </c>
      <c r="D680" s="2">
        <v>404</v>
      </c>
      <c r="E680" s="4" t="s">
        <v>1954</v>
      </c>
      <c r="F680" s="4" t="s">
        <v>1954</v>
      </c>
    </row>
    <row r="681" spans="2:9" x14ac:dyDescent="0.25">
      <c r="B681" s="2">
        <f t="shared" si="10"/>
        <v>679</v>
      </c>
      <c r="C681" s="2">
        <v>2</v>
      </c>
      <c r="D681" s="2">
        <v>158</v>
      </c>
      <c r="E681" s="4" t="s">
        <v>902</v>
      </c>
      <c r="F681" s="3" t="s">
        <v>1954</v>
      </c>
      <c r="G681" t="s">
        <v>2820</v>
      </c>
    </row>
    <row r="682" spans="2:9" x14ac:dyDescent="0.25">
      <c r="B682" s="1">
        <f t="shared" si="10"/>
        <v>680</v>
      </c>
      <c r="C682" s="1">
        <v>2</v>
      </c>
      <c r="D682" s="1">
        <v>159</v>
      </c>
      <c r="E682" s="3" t="s">
        <v>901</v>
      </c>
      <c r="F682" s="3" t="s">
        <v>3027</v>
      </c>
      <c r="G682" t="s">
        <v>2970</v>
      </c>
    </row>
    <row r="683" spans="2:9" x14ac:dyDescent="0.25">
      <c r="B683" s="2">
        <f t="shared" si="10"/>
        <v>681</v>
      </c>
      <c r="C683" s="2">
        <v>2</v>
      </c>
      <c r="D683" s="2">
        <v>160</v>
      </c>
      <c r="E683" s="4" t="s">
        <v>900</v>
      </c>
      <c r="F683" s="3" t="s">
        <v>3027</v>
      </c>
      <c r="G683" t="s">
        <v>2970</v>
      </c>
      <c r="H683" t="s">
        <v>3028</v>
      </c>
    </row>
    <row r="684" spans="2:9" x14ac:dyDescent="0.25">
      <c r="B684" s="1">
        <f t="shared" si="10"/>
        <v>682</v>
      </c>
      <c r="C684" s="1">
        <v>1</v>
      </c>
      <c r="D684" s="1">
        <v>405</v>
      </c>
      <c r="E684" s="3" t="s">
        <v>1953</v>
      </c>
      <c r="F684" s="3" t="s">
        <v>1953</v>
      </c>
    </row>
    <row r="685" spans="2:9" ht="30" x14ac:dyDescent="0.25">
      <c r="B685" s="2">
        <f t="shared" si="10"/>
        <v>683</v>
      </c>
      <c r="C685" s="2">
        <v>2</v>
      </c>
      <c r="D685" s="2">
        <v>161</v>
      </c>
      <c r="E685" s="4" t="s">
        <v>899</v>
      </c>
      <c r="F685" s="3" t="s">
        <v>1953</v>
      </c>
      <c r="G685" t="s">
        <v>2828</v>
      </c>
      <c r="H685" t="s">
        <v>2820</v>
      </c>
      <c r="I685" t="s">
        <v>2821</v>
      </c>
    </row>
    <row r="686" spans="2:9" x14ac:dyDescent="0.25">
      <c r="B686" s="1">
        <f t="shared" si="10"/>
        <v>684</v>
      </c>
      <c r="C686" s="1">
        <v>2</v>
      </c>
      <c r="D686" s="1">
        <v>162</v>
      </c>
      <c r="E686" s="3" t="s">
        <v>898</v>
      </c>
      <c r="F686" s="3" t="s">
        <v>1953</v>
      </c>
      <c r="G686" t="s">
        <v>3029</v>
      </c>
    </row>
    <row r="687" spans="2:9" x14ac:dyDescent="0.25">
      <c r="B687" s="2">
        <f t="shared" si="10"/>
        <v>685</v>
      </c>
      <c r="C687" s="2">
        <v>2</v>
      </c>
      <c r="D687" s="2">
        <v>163</v>
      </c>
      <c r="E687" s="4" t="s">
        <v>897</v>
      </c>
      <c r="F687" s="3" t="s">
        <v>1953</v>
      </c>
      <c r="G687" t="s">
        <v>2820</v>
      </c>
      <c r="H687" t="s">
        <v>2821</v>
      </c>
    </row>
    <row r="688" spans="2:9" x14ac:dyDescent="0.25">
      <c r="B688" s="1">
        <f t="shared" si="10"/>
        <v>686</v>
      </c>
      <c r="C688" s="1">
        <v>2</v>
      </c>
      <c r="D688" s="1">
        <v>164</v>
      </c>
      <c r="E688" s="3" t="s">
        <v>896</v>
      </c>
      <c r="F688" s="3" t="s">
        <v>1953</v>
      </c>
      <c r="G688" t="s">
        <v>3030</v>
      </c>
    </row>
    <row r="689" spans="2:9" x14ac:dyDescent="0.25">
      <c r="B689" s="2">
        <f t="shared" si="10"/>
        <v>687</v>
      </c>
      <c r="C689" s="2">
        <v>3</v>
      </c>
      <c r="D689" s="2">
        <v>45</v>
      </c>
      <c r="E689" s="4" t="s">
        <v>685</v>
      </c>
      <c r="F689" s="3" t="s">
        <v>685</v>
      </c>
    </row>
    <row r="690" spans="2:9" x14ac:dyDescent="0.25">
      <c r="B690" s="1">
        <f t="shared" si="10"/>
        <v>688</v>
      </c>
      <c r="C690" s="1">
        <v>2</v>
      </c>
      <c r="D690" s="1">
        <v>165</v>
      </c>
      <c r="E690" s="3" t="s">
        <v>895</v>
      </c>
      <c r="F690" s="3" t="s">
        <v>685</v>
      </c>
      <c r="G690" t="s">
        <v>2817</v>
      </c>
      <c r="H690" t="s">
        <v>2918</v>
      </c>
    </row>
    <row r="691" spans="2:9" x14ac:dyDescent="0.25">
      <c r="B691" s="2">
        <f t="shared" si="10"/>
        <v>689</v>
      </c>
      <c r="C691" s="2">
        <v>3</v>
      </c>
      <c r="D691" s="2">
        <v>46</v>
      </c>
      <c r="E691" s="4" t="s">
        <v>684</v>
      </c>
      <c r="F691" s="3" t="s">
        <v>684</v>
      </c>
    </row>
    <row r="692" spans="2:9" x14ac:dyDescent="0.25">
      <c r="B692" s="1">
        <f t="shared" si="10"/>
        <v>690</v>
      </c>
      <c r="C692" s="1">
        <v>1</v>
      </c>
      <c r="D692" s="2">
        <v>406</v>
      </c>
      <c r="E692" s="4" t="s">
        <v>1952</v>
      </c>
      <c r="F692" s="4" t="s">
        <v>1952</v>
      </c>
    </row>
    <row r="693" spans="2:9" x14ac:dyDescent="0.25">
      <c r="B693" s="2">
        <f t="shared" si="10"/>
        <v>691</v>
      </c>
      <c r="C693" s="2">
        <v>2</v>
      </c>
      <c r="D693" s="2">
        <v>166</v>
      </c>
      <c r="E693" s="4" t="s">
        <v>894</v>
      </c>
      <c r="F693" s="3" t="s">
        <v>3031</v>
      </c>
      <c r="G693" t="s">
        <v>2806</v>
      </c>
    </row>
    <row r="694" spans="2:9" x14ac:dyDescent="0.25">
      <c r="B694" s="1">
        <f t="shared" si="10"/>
        <v>692</v>
      </c>
      <c r="C694" s="1">
        <v>2</v>
      </c>
      <c r="D694" s="1">
        <v>167</v>
      </c>
      <c r="E694" s="3" t="s">
        <v>893</v>
      </c>
      <c r="F694" s="3" t="s">
        <v>3032</v>
      </c>
      <c r="G694" t="s">
        <v>2850</v>
      </c>
      <c r="H694" t="s">
        <v>2851</v>
      </c>
      <c r="I694" t="s">
        <v>2852</v>
      </c>
    </row>
    <row r="695" spans="2:9" x14ac:dyDescent="0.25">
      <c r="B695" s="2">
        <f t="shared" si="10"/>
        <v>693</v>
      </c>
      <c r="C695" s="2">
        <v>2</v>
      </c>
      <c r="D695" s="2">
        <v>168</v>
      </c>
      <c r="E695" s="4" t="s">
        <v>892</v>
      </c>
      <c r="F695" s="3" t="s">
        <v>3032</v>
      </c>
      <c r="G695" t="s">
        <v>2851</v>
      </c>
      <c r="H695" t="s">
        <v>2852</v>
      </c>
    </row>
    <row r="696" spans="2:9" x14ac:dyDescent="0.25">
      <c r="B696" s="1">
        <f t="shared" si="10"/>
        <v>694</v>
      </c>
      <c r="C696" s="1">
        <v>2</v>
      </c>
      <c r="D696" s="1">
        <v>169</v>
      </c>
      <c r="E696" s="3" t="s">
        <v>891</v>
      </c>
      <c r="F696" s="3" t="s">
        <v>3033</v>
      </c>
      <c r="G696" t="s">
        <v>3034</v>
      </c>
    </row>
    <row r="697" spans="2:9" x14ac:dyDescent="0.25">
      <c r="B697" s="2">
        <f t="shared" si="10"/>
        <v>695</v>
      </c>
      <c r="C697" s="2">
        <v>1</v>
      </c>
      <c r="D697" s="2">
        <v>407</v>
      </c>
      <c r="E697" s="4" t="s">
        <v>1951</v>
      </c>
      <c r="F697" s="3" t="s">
        <v>1951</v>
      </c>
    </row>
    <row r="698" spans="2:9" x14ac:dyDescent="0.25">
      <c r="B698" s="1">
        <f t="shared" si="10"/>
        <v>696</v>
      </c>
      <c r="C698" s="1">
        <v>1</v>
      </c>
      <c r="D698" s="2">
        <v>408</v>
      </c>
      <c r="E698" s="4" t="s">
        <v>1950</v>
      </c>
      <c r="F698" s="4" t="s">
        <v>1950</v>
      </c>
    </row>
    <row r="699" spans="2:9" x14ac:dyDescent="0.25">
      <c r="B699" s="2">
        <f t="shared" si="10"/>
        <v>697</v>
      </c>
      <c r="C699" s="2">
        <v>1</v>
      </c>
      <c r="D699" s="2">
        <v>409</v>
      </c>
      <c r="E699" s="4" t="s">
        <v>1949</v>
      </c>
      <c r="F699" s="3" t="s">
        <v>1949</v>
      </c>
    </row>
    <row r="700" spans="2:9" x14ac:dyDescent="0.25">
      <c r="B700" s="1">
        <f t="shared" si="10"/>
        <v>698</v>
      </c>
      <c r="C700" s="1">
        <v>1</v>
      </c>
      <c r="D700" s="2">
        <v>410</v>
      </c>
      <c r="E700" s="4" t="s">
        <v>1948</v>
      </c>
      <c r="F700" s="4" t="s">
        <v>1948</v>
      </c>
    </row>
    <row r="701" spans="2:9" ht="30" x14ac:dyDescent="0.25">
      <c r="B701" s="2">
        <f t="shared" si="10"/>
        <v>699</v>
      </c>
      <c r="C701" s="2">
        <v>1</v>
      </c>
      <c r="D701" s="2">
        <v>411</v>
      </c>
      <c r="E701" s="4" t="s">
        <v>1947</v>
      </c>
      <c r="F701" s="3" t="s">
        <v>1947</v>
      </c>
    </row>
    <row r="702" spans="2:9" x14ac:dyDescent="0.25">
      <c r="B702" s="1">
        <f t="shared" si="10"/>
        <v>700</v>
      </c>
      <c r="C702" s="1">
        <v>1</v>
      </c>
      <c r="D702" s="2">
        <v>412</v>
      </c>
      <c r="E702" s="4" t="s">
        <v>1946</v>
      </c>
      <c r="F702" s="4" t="s">
        <v>1946</v>
      </c>
    </row>
    <row r="703" spans="2:9" x14ac:dyDescent="0.25">
      <c r="B703" s="2">
        <f t="shared" si="10"/>
        <v>701</v>
      </c>
      <c r="C703" s="2">
        <v>1</v>
      </c>
      <c r="D703" s="2">
        <v>413</v>
      </c>
      <c r="E703" s="4" t="s">
        <v>1945</v>
      </c>
      <c r="F703" s="3" t="s">
        <v>1945</v>
      </c>
    </row>
    <row r="704" spans="2:9" x14ac:dyDescent="0.25">
      <c r="B704" s="1">
        <f t="shared" si="10"/>
        <v>702</v>
      </c>
      <c r="C704" s="1">
        <v>1</v>
      </c>
      <c r="D704" s="2">
        <v>414</v>
      </c>
      <c r="E704" s="4" t="s">
        <v>1944</v>
      </c>
      <c r="F704" s="4" t="s">
        <v>1944</v>
      </c>
    </row>
    <row r="705" spans="2:7" x14ac:dyDescent="0.25">
      <c r="B705" s="2">
        <f t="shared" si="10"/>
        <v>703</v>
      </c>
      <c r="C705" s="2">
        <v>1</v>
      </c>
      <c r="D705" s="2">
        <v>415</v>
      </c>
      <c r="E705" s="4" t="s">
        <v>1943</v>
      </c>
      <c r="F705" s="3" t="s">
        <v>1943</v>
      </c>
    </row>
    <row r="706" spans="2:7" ht="30" x14ac:dyDescent="0.25">
      <c r="B706" s="1">
        <f t="shared" si="10"/>
        <v>704</v>
      </c>
      <c r="C706" s="1">
        <v>1</v>
      </c>
      <c r="D706" s="2">
        <v>416</v>
      </c>
      <c r="E706" s="4" t="s">
        <v>1942</v>
      </c>
      <c r="F706" s="4" t="s">
        <v>1942</v>
      </c>
    </row>
    <row r="707" spans="2:7" ht="30" x14ac:dyDescent="0.25">
      <c r="B707" s="2">
        <f t="shared" si="10"/>
        <v>705</v>
      </c>
      <c r="C707" s="2">
        <v>1</v>
      </c>
      <c r="D707" s="2">
        <v>417</v>
      </c>
      <c r="E707" s="4" t="s">
        <v>1941</v>
      </c>
      <c r="F707" s="3" t="s">
        <v>1941</v>
      </c>
    </row>
    <row r="708" spans="2:7" ht="30" x14ac:dyDescent="0.25">
      <c r="B708" s="1">
        <f t="shared" si="10"/>
        <v>706</v>
      </c>
      <c r="C708" s="1">
        <v>1</v>
      </c>
      <c r="D708" s="2">
        <v>418</v>
      </c>
      <c r="E708" s="4" t="s">
        <v>1940</v>
      </c>
      <c r="F708" s="4" t="s">
        <v>1940</v>
      </c>
    </row>
    <row r="709" spans="2:7" ht="30" x14ac:dyDescent="0.25">
      <c r="B709" s="2">
        <f t="shared" ref="B709:B772" si="11">+B708+1</f>
        <v>707</v>
      </c>
      <c r="C709" s="2">
        <v>2</v>
      </c>
      <c r="D709" s="2">
        <v>170</v>
      </c>
      <c r="E709" s="4" t="s">
        <v>890</v>
      </c>
      <c r="F709" s="3" t="s">
        <v>1940</v>
      </c>
      <c r="G709" t="s">
        <v>3035</v>
      </c>
    </row>
    <row r="710" spans="2:7" ht="30" x14ac:dyDescent="0.25">
      <c r="B710" s="1">
        <f t="shared" si="11"/>
        <v>708</v>
      </c>
      <c r="C710" s="1">
        <v>1</v>
      </c>
      <c r="D710" s="1">
        <v>419</v>
      </c>
      <c r="E710" s="3" t="s">
        <v>1939</v>
      </c>
      <c r="F710" s="3" t="s">
        <v>1939</v>
      </c>
    </row>
    <row r="711" spans="2:7" ht="30" x14ac:dyDescent="0.25">
      <c r="B711" s="2">
        <f t="shared" si="11"/>
        <v>709</v>
      </c>
      <c r="C711" s="2">
        <v>1</v>
      </c>
      <c r="D711" s="2">
        <v>420</v>
      </c>
      <c r="E711" s="4" t="s">
        <v>1938</v>
      </c>
      <c r="F711" s="4" t="s">
        <v>1938</v>
      </c>
    </row>
    <row r="712" spans="2:7" x14ac:dyDescent="0.25">
      <c r="B712" s="1">
        <f t="shared" si="11"/>
        <v>710</v>
      </c>
      <c r="C712" s="1">
        <v>1</v>
      </c>
      <c r="D712" s="1">
        <v>421</v>
      </c>
      <c r="E712" s="3" t="s">
        <v>1937</v>
      </c>
      <c r="F712" s="3" t="s">
        <v>1937</v>
      </c>
    </row>
    <row r="713" spans="2:7" ht="30" x14ac:dyDescent="0.25">
      <c r="B713" s="2">
        <f t="shared" si="11"/>
        <v>711</v>
      </c>
      <c r="C713" s="2">
        <v>1</v>
      </c>
      <c r="D713" s="2">
        <v>422</v>
      </c>
      <c r="E713" s="4" t="s">
        <v>1936</v>
      </c>
      <c r="F713" s="4" t="s">
        <v>1936</v>
      </c>
    </row>
    <row r="714" spans="2:7" ht="30" x14ac:dyDescent="0.25">
      <c r="B714" s="1">
        <f t="shared" si="11"/>
        <v>712</v>
      </c>
      <c r="C714" s="1">
        <v>2</v>
      </c>
      <c r="D714" s="1">
        <v>171</v>
      </c>
      <c r="E714" s="3" t="s">
        <v>889</v>
      </c>
      <c r="F714" s="3" t="s">
        <v>1936</v>
      </c>
      <c r="G714" t="s">
        <v>3036</v>
      </c>
    </row>
    <row r="715" spans="2:7" ht="30" x14ac:dyDescent="0.25">
      <c r="B715" s="2">
        <f t="shared" si="11"/>
        <v>713</v>
      </c>
      <c r="C715" s="2">
        <v>1</v>
      </c>
      <c r="D715" s="2">
        <v>423</v>
      </c>
      <c r="E715" s="4" t="s">
        <v>1935</v>
      </c>
      <c r="F715" s="3" t="s">
        <v>1935</v>
      </c>
    </row>
    <row r="716" spans="2:7" x14ac:dyDescent="0.25">
      <c r="B716" s="1">
        <f t="shared" si="11"/>
        <v>714</v>
      </c>
      <c r="C716" s="1">
        <v>1</v>
      </c>
      <c r="D716" s="2">
        <v>424</v>
      </c>
      <c r="E716" s="4" t="s">
        <v>1934</v>
      </c>
      <c r="F716" s="4" t="s">
        <v>1934</v>
      </c>
    </row>
    <row r="717" spans="2:7" x14ac:dyDescent="0.25">
      <c r="B717" s="2">
        <f t="shared" si="11"/>
        <v>715</v>
      </c>
      <c r="C717" s="2">
        <v>2</v>
      </c>
      <c r="D717" s="2">
        <v>172</v>
      </c>
      <c r="E717" s="4" t="s">
        <v>888</v>
      </c>
      <c r="F717" s="3" t="s">
        <v>3037</v>
      </c>
      <c r="G717" t="s">
        <v>2824</v>
      </c>
    </row>
    <row r="718" spans="2:7" x14ac:dyDescent="0.25">
      <c r="B718" s="1">
        <f t="shared" si="11"/>
        <v>716</v>
      </c>
      <c r="C718" s="1">
        <v>1</v>
      </c>
      <c r="D718" s="1">
        <v>425</v>
      </c>
      <c r="E718" s="3" t="s">
        <v>1933</v>
      </c>
      <c r="F718" s="3" t="s">
        <v>1933</v>
      </c>
    </row>
    <row r="719" spans="2:7" x14ac:dyDescent="0.25">
      <c r="B719" s="2">
        <f t="shared" si="11"/>
        <v>717</v>
      </c>
      <c r="C719" s="2">
        <v>1</v>
      </c>
      <c r="D719" s="2">
        <v>426</v>
      </c>
      <c r="E719" s="4" t="s">
        <v>1932</v>
      </c>
      <c r="F719" s="4" t="s">
        <v>1932</v>
      </c>
    </row>
    <row r="720" spans="2:7" ht="30" x14ac:dyDescent="0.25">
      <c r="B720" s="1">
        <f t="shared" si="11"/>
        <v>718</v>
      </c>
      <c r="C720" s="1">
        <v>1</v>
      </c>
      <c r="D720" s="1">
        <v>427</v>
      </c>
      <c r="E720" s="3" t="s">
        <v>1931</v>
      </c>
      <c r="F720" s="3" t="s">
        <v>1931</v>
      </c>
    </row>
    <row r="721" spans="2:7" ht="45" x14ac:dyDescent="0.25">
      <c r="B721" s="2">
        <f t="shared" si="11"/>
        <v>719</v>
      </c>
      <c r="C721" s="2">
        <v>1</v>
      </c>
      <c r="D721" s="2">
        <v>428</v>
      </c>
      <c r="E721" s="4" t="s">
        <v>1930</v>
      </c>
      <c r="F721" s="4" t="s">
        <v>1930</v>
      </c>
    </row>
    <row r="722" spans="2:7" x14ac:dyDescent="0.25">
      <c r="B722" s="1">
        <f t="shared" si="11"/>
        <v>720</v>
      </c>
      <c r="C722" s="1">
        <v>1</v>
      </c>
      <c r="D722" s="1">
        <v>429</v>
      </c>
      <c r="E722" s="3" t="s">
        <v>1929</v>
      </c>
      <c r="F722" s="3" t="s">
        <v>1929</v>
      </c>
    </row>
    <row r="723" spans="2:7" x14ac:dyDescent="0.25">
      <c r="B723" s="2">
        <f t="shared" si="11"/>
        <v>721</v>
      </c>
      <c r="C723" s="2">
        <v>1</v>
      </c>
      <c r="D723" s="2">
        <v>430</v>
      </c>
      <c r="E723" s="4" t="s">
        <v>1928</v>
      </c>
      <c r="F723" s="4" t="s">
        <v>1928</v>
      </c>
    </row>
    <row r="724" spans="2:7" x14ac:dyDescent="0.25">
      <c r="B724" s="1">
        <f t="shared" si="11"/>
        <v>722</v>
      </c>
      <c r="C724" s="1">
        <v>1</v>
      </c>
      <c r="D724" s="1">
        <v>431</v>
      </c>
      <c r="E724" s="3" t="s">
        <v>1927</v>
      </c>
      <c r="F724" s="3" t="s">
        <v>1927</v>
      </c>
    </row>
    <row r="725" spans="2:7" x14ac:dyDescent="0.25">
      <c r="B725" s="2">
        <f t="shared" si="11"/>
        <v>723</v>
      </c>
      <c r="C725" s="2">
        <v>1</v>
      </c>
      <c r="D725" s="2">
        <v>432</v>
      </c>
      <c r="E725" s="4" t="s">
        <v>1926</v>
      </c>
      <c r="F725" s="4" t="s">
        <v>1926</v>
      </c>
    </row>
    <row r="726" spans="2:7" ht="30" x14ac:dyDescent="0.25">
      <c r="B726" s="1">
        <f t="shared" si="11"/>
        <v>724</v>
      </c>
      <c r="C726" s="1">
        <v>1</v>
      </c>
      <c r="D726" s="1">
        <v>433</v>
      </c>
      <c r="E726" s="3" t="s">
        <v>1925</v>
      </c>
      <c r="F726" s="3" t="s">
        <v>1925</v>
      </c>
    </row>
    <row r="727" spans="2:7" ht="30" x14ac:dyDescent="0.25">
      <c r="B727" s="2">
        <f t="shared" si="11"/>
        <v>725</v>
      </c>
      <c r="C727" s="2">
        <v>1</v>
      </c>
      <c r="D727" s="2" t="s">
        <v>1924</v>
      </c>
      <c r="E727" s="4" t="s">
        <v>1923</v>
      </c>
      <c r="F727" s="4" t="s">
        <v>1923</v>
      </c>
    </row>
    <row r="728" spans="2:7" x14ac:dyDescent="0.25">
      <c r="B728" s="1">
        <f t="shared" si="11"/>
        <v>726</v>
      </c>
      <c r="C728" s="1">
        <v>1</v>
      </c>
      <c r="D728" s="1">
        <v>434</v>
      </c>
      <c r="E728" s="3" t="s">
        <v>1922</v>
      </c>
      <c r="F728" s="3" t="s">
        <v>1922</v>
      </c>
    </row>
    <row r="729" spans="2:7" x14ac:dyDescent="0.25">
      <c r="B729" s="2">
        <f t="shared" si="11"/>
        <v>727</v>
      </c>
      <c r="C729" s="2">
        <v>1</v>
      </c>
      <c r="D729" s="2">
        <v>435</v>
      </c>
      <c r="E729" s="4" t="s">
        <v>1921</v>
      </c>
      <c r="F729" s="4" t="s">
        <v>1921</v>
      </c>
    </row>
    <row r="730" spans="2:7" x14ac:dyDescent="0.25">
      <c r="B730" s="1">
        <f t="shared" si="11"/>
        <v>728</v>
      </c>
      <c r="C730" s="1">
        <v>1</v>
      </c>
      <c r="D730" s="1">
        <v>436</v>
      </c>
      <c r="E730" s="3" t="s">
        <v>1920</v>
      </c>
      <c r="F730" s="3" t="s">
        <v>1920</v>
      </c>
    </row>
    <row r="731" spans="2:7" ht="30" x14ac:dyDescent="0.25">
      <c r="B731" s="2">
        <f t="shared" si="11"/>
        <v>729</v>
      </c>
      <c r="C731" s="2">
        <v>2</v>
      </c>
      <c r="D731" s="2" t="s">
        <v>887</v>
      </c>
      <c r="E731" s="4" t="s">
        <v>886</v>
      </c>
      <c r="F731" s="3" t="s">
        <v>1920</v>
      </c>
      <c r="G731" t="s">
        <v>3038</v>
      </c>
    </row>
    <row r="732" spans="2:7" x14ac:dyDescent="0.25">
      <c r="B732" s="1">
        <f t="shared" si="11"/>
        <v>730</v>
      </c>
      <c r="C732" s="1">
        <v>2</v>
      </c>
      <c r="D732" s="1">
        <v>173</v>
      </c>
      <c r="E732" s="3" t="s">
        <v>885</v>
      </c>
      <c r="F732" s="3" t="s">
        <v>1920</v>
      </c>
      <c r="G732" t="s">
        <v>2851</v>
      </c>
    </row>
    <row r="733" spans="2:7" x14ac:dyDescent="0.25">
      <c r="B733" s="2">
        <f t="shared" si="11"/>
        <v>731</v>
      </c>
      <c r="C733" s="2">
        <v>2</v>
      </c>
      <c r="D733" s="2">
        <v>174</v>
      </c>
      <c r="E733" s="4" t="s">
        <v>884</v>
      </c>
      <c r="F733" s="3" t="s">
        <v>1920</v>
      </c>
      <c r="G733" t="s">
        <v>2944</v>
      </c>
    </row>
    <row r="734" spans="2:7" x14ac:dyDescent="0.25">
      <c r="B734" s="1">
        <f t="shared" si="11"/>
        <v>732</v>
      </c>
      <c r="C734" s="1">
        <v>1</v>
      </c>
      <c r="D734" s="2">
        <v>437</v>
      </c>
      <c r="E734" s="4" t="s">
        <v>1919</v>
      </c>
      <c r="F734" s="4" t="s">
        <v>1919</v>
      </c>
    </row>
    <row r="735" spans="2:7" x14ac:dyDescent="0.25">
      <c r="B735" s="2">
        <f t="shared" si="11"/>
        <v>733</v>
      </c>
      <c r="C735" s="2">
        <v>1</v>
      </c>
      <c r="D735" s="2">
        <v>438</v>
      </c>
      <c r="E735" s="4" t="s">
        <v>1918</v>
      </c>
      <c r="F735" s="3" t="s">
        <v>1918</v>
      </c>
    </row>
    <row r="736" spans="2:7" x14ac:dyDescent="0.25">
      <c r="B736" s="1">
        <f t="shared" si="11"/>
        <v>734</v>
      </c>
      <c r="C736" s="1">
        <v>1</v>
      </c>
      <c r="D736" s="2">
        <v>439</v>
      </c>
      <c r="E736" s="4" t="s">
        <v>1917</v>
      </c>
      <c r="F736" s="4" t="s">
        <v>1917</v>
      </c>
    </row>
    <row r="737" spans="2:7" ht="30" x14ac:dyDescent="0.25">
      <c r="B737" s="2">
        <f t="shared" si="11"/>
        <v>735</v>
      </c>
      <c r="C737" s="2">
        <v>1</v>
      </c>
      <c r="D737" s="2">
        <v>440</v>
      </c>
      <c r="E737" s="4" t="s">
        <v>1916</v>
      </c>
      <c r="F737" s="3" t="s">
        <v>1916</v>
      </c>
    </row>
    <row r="738" spans="2:7" ht="30" x14ac:dyDescent="0.25">
      <c r="B738" s="1">
        <f t="shared" si="11"/>
        <v>736</v>
      </c>
      <c r="C738" s="1">
        <v>2</v>
      </c>
      <c r="D738" s="1" t="s">
        <v>883</v>
      </c>
      <c r="E738" s="3" t="s">
        <v>882</v>
      </c>
      <c r="F738" s="3" t="s">
        <v>1916</v>
      </c>
      <c r="G738" t="s">
        <v>3039</v>
      </c>
    </row>
    <row r="739" spans="2:7" ht="30" x14ac:dyDescent="0.25">
      <c r="B739" s="2">
        <f t="shared" si="11"/>
        <v>737</v>
      </c>
      <c r="C739" s="2">
        <v>2</v>
      </c>
      <c r="D739" s="2">
        <v>175</v>
      </c>
      <c r="E739" s="4" t="s">
        <v>881</v>
      </c>
      <c r="F739" s="3" t="s">
        <v>1916</v>
      </c>
      <c r="G739" t="s">
        <v>3040</v>
      </c>
    </row>
    <row r="740" spans="2:7" ht="30" x14ac:dyDescent="0.25">
      <c r="B740" s="1">
        <f t="shared" si="11"/>
        <v>738</v>
      </c>
      <c r="C740" s="1">
        <v>2</v>
      </c>
      <c r="D740" s="1">
        <v>176</v>
      </c>
      <c r="E740" s="3" t="s">
        <v>880</v>
      </c>
      <c r="F740" s="3" t="s">
        <v>3041</v>
      </c>
      <c r="G740" t="s">
        <v>2805</v>
      </c>
    </row>
    <row r="741" spans="2:7" x14ac:dyDescent="0.25">
      <c r="B741" s="2">
        <f t="shared" si="11"/>
        <v>739</v>
      </c>
      <c r="C741" s="2">
        <v>1</v>
      </c>
      <c r="D741" s="2">
        <v>441</v>
      </c>
      <c r="E741" s="4" t="s">
        <v>1915</v>
      </c>
      <c r="F741" s="4" t="s">
        <v>1915</v>
      </c>
    </row>
    <row r="742" spans="2:7" x14ac:dyDescent="0.25">
      <c r="B742" s="1">
        <f t="shared" si="11"/>
        <v>740</v>
      </c>
      <c r="C742" s="1">
        <v>1</v>
      </c>
      <c r="D742" s="1">
        <v>442</v>
      </c>
      <c r="E742" s="3" t="s">
        <v>1914</v>
      </c>
      <c r="F742" s="3" t="s">
        <v>1914</v>
      </c>
    </row>
    <row r="743" spans="2:7" ht="45" x14ac:dyDescent="0.25">
      <c r="B743" s="2">
        <f t="shared" si="11"/>
        <v>741</v>
      </c>
      <c r="C743" s="2">
        <v>1</v>
      </c>
      <c r="D743" s="2" t="s">
        <v>1913</v>
      </c>
      <c r="E743" s="4" t="s">
        <v>1912</v>
      </c>
      <c r="F743" s="4" t="s">
        <v>1912</v>
      </c>
    </row>
    <row r="744" spans="2:7" x14ac:dyDescent="0.25">
      <c r="B744" s="1">
        <f t="shared" si="11"/>
        <v>742</v>
      </c>
      <c r="C744" s="1">
        <v>1</v>
      </c>
      <c r="D744" s="1">
        <v>443</v>
      </c>
      <c r="E744" s="3" t="s">
        <v>1911</v>
      </c>
      <c r="F744" s="3" t="s">
        <v>1911</v>
      </c>
    </row>
    <row r="745" spans="2:7" x14ac:dyDescent="0.25">
      <c r="B745" s="2">
        <f t="shared" si="11"/>
        <v>743</v>
      </c>
      <c r="C745" s="2">
        <v>1</v>
      </c>
      <c r="D745" s="2">
        <v>444</v>
      </c>
      <c r="E745" s="4" t="s">
        <v>1910</v>
      </c>
      <c r="F745" s="4" t="s">
        <v>1910</v>
      </c>
    </row>
    <row r="746" spans="2:7" x14ac:dyDescent="0.25">
      <c r="B746" s="1">
        <f t="shared" si="11"/>
        <v>744</v>
      </c>
      <c r="C746" s="1">
        <v>1</v>
      </c>
      <c r="D746" s="1">
        <v>445</v>
      </c>
      <c r="E746" s="3" t="s">
        <v>1909</v>
      </c>
      <c r="F746" s="3" t="s">
        <v>1909</v>
      </c>
    </row>
    <row r="747" spans="2:7" ht="30" x14ac:dyDescent="0.25">
      <c r="B747" s="2">
        <f t="shared" si="11"/>
        <v>745</v>
      </c>
      <c r="C747" s="2">
        <v>1</v>
      </c>
      <c r="D747" s="2" t="s">
        <v>1908</v>
      </c>
      <c r="E747" s="4" t="s">
        <v>1907</v>
      </c>
      <c r="F747" s="4" t="s">
        <v>1907</v>
      </c>
    </row>
    <row r="748" spans="2:7" x14ac:dyDescent="0.25">
      <c r="B748" s="1">
        <f t="shared" si="11"/>
        <v>746</v>
      </c>
      <c r="C748" s="1">
        <v>1</v>
      </c>
      <c r="D748" s="1">
        <v>446</v>
      </c>
      <c r="E748" s="3" t="s">
        <v>1906</v>
      </c>
      <c r="F748" s="3" t="s">
        <v>1906</v>
      </c>
    </row>
    <row r="749" spans="2:7" x14ac:dyDescent="0.25">
      <c r="B749" s="2">
        <f t="shared" si="11"/>
        <v>747</v>
      </c>
      <c r="C749" s="2">
        <v>1</v>
      </c>
      <c r="D749" s="2">
        <v>447</v>
      </c>
      <c r="E749" s="4" t="s">
        <v>1905</v>
      </c>
      <c r="F749" s="4" t="s">
        <v>1905</v>
      </c>
    </row>
    <row r="750" spans="2:7" x14ac:dyDescent="0.25">
      <c r="B750" s="1">
        <f t="shared" si="11"/>
        <v>748</v>
      </c>
      <c r="C750" s="1">
        <v>1</v>
      </c>
      <c r="D750" s="1">
        <v>448</v>
      </c>
      <c r="E750" s="3" t="s">
        <v>1904</v>
      </c>
      <c r="F750" s="3" t="s">
        <v>1904</v>
      </c>
    </row>
    <row r="751" spans="2:7" x14ac:dyDescent="0.25">
      <c r="B751" s="2">
        <f t="shared" si="11"/>
        <v>749</v>
      </c>
      <c r="C751" s="2">
        <v>2</v>
      </c>
      <c r="D751" s="2">
        <v>177</v>
      </c>
      <c r="E751" s="4" t="s">
        <v>879</v>
      </c>
      <c r="F751" s="3" t="s">
        <v>3042</v>
      </c>
      <c r="G751" t="s">
        <v>2824</v>
      </c>
    </row>
    <row r="752" spans="2:7" x14ac:dyDescent="0.25">
      <c r="B752" s="1">
        <f t="shared" si="11"/>
        <v>750</v>
      </c>
      <c r="C752" s="1">
        <v>2</v>
      </c>
      <c r="D752" s="1">
        <v>178</v>
      </c>
      <c r="E752" s="3" t="s">
        <v>878</v>
      </c>
      <c r="F752" s="3" t="s">
        <v>3042</v>
      </c>
      <c r="G752" t="s">
        <v>2806</v>
      </c>
    </row>
    <row r="753" spans="2:8" x14ac:dyDescent="0.25">
      <c r="B753" s="2">
        <f t="shared" si="11"/>
        <v>751</v>
      </c>
      <c r="C753" s="2">
        <v>1</v>
      </c>
      <c r="D753" s="2">
        <v>449</v>
      </c>
      <c r="E753" s="4" t="s">
        <v>1903</v>
      </c>
      <c r="F753" s="4" t="s">
        <v>1903</v>
      </c>
    </row>
    <row r="754" spans="2:8" ht="30" x14ac:dyDescent="0.25">
      <c r="B754" s="1">
        <f t="shared" si="11"/>
        <v>752</v>
      </c>
      <c r="C754" s="1">
        <v>1</v>
      </c>
      <c r="D754" s="1" t="s">
        <v>1902</v>
      </c>
      <c r="E754" s="3" t="s">
        <v>1901</v>
      </c>
      <c r="F754" s="3" t="s">
        <v>1901</v>
      </c>
    </row>
    <row r="755" spans="2:8" x14ac:dyDescent="0.25">
      <c r="B755" s="2">
        <f t="shared" si="11"/>
        <v>753</v>
      </c>
      <c r="C755" s="2">
        <v>1</v>
      </c>
      <c r="D755" s="2">
        <v>450</v>
      </c>
      <c r="E755" s="4" t="s">
        <v>1900</v>
      </c>
      <c r="F755" s="4" t="s">
        <v>1900</v>
      </c>
    </row>
    <row r="756" spans="2:8" x14ac:dyDescent="0.25">
      <c r="B756" s="1">
        <f t="shared" si="11"/>
        <v>754</v>
      </c>
      <c r="C756" s="1">
        <v>1</v>
      </c>
      <c r="D756" s="1">
        <v>451</v>
      </c>
      <c r="E756" s="3" t="s">
        <v>1899</v>
      </c>
      <c r="F756" s="3" t="s">
        <v>1899</v>
      </c>
    </row>
    <row r="757" spans="2:8" x14ac:dyDescent="0.25">
      <c r="B757" s="2">
        <f t="shared" si="11"/>
        <v>755</v>
      </c>
      <c r="C757" s="2">
        <v>2</v>
      </c>
      <c r="D757" s="2">
        <v>179</v>
      </c>
      <c r="E757" s="4" t="s">
        <v>877</v>
      </c>
      <c r="F757" s="3" t="s">
        <v>1899</v>
      </c>
      <c r="G757" t="s">
        <v>3043</v>
      </c>
      <c r="H757" t="s">
        <v>3044</v>
      </c>
    </row>
    <row r="758" spans="2:8" x14ac:dyDescent="0.25">
      <c r="B758" s="1">
        <f t="shared" si="11"/>
        <v>756</v>
      </c>
      <c r="C758" s="1">
        <v>1</v>
      </c>
      <c r="D758" s="2">
        <v>452</v>
      </c>
      <c r="E758" s="4" t="s">
        <v>1898</v>
      </c>
      <c r="F758" s="4" t="s">
        <v>1898</v>
      </c>
    </row>
    <row r="759" spans="2:8" x14ac:dyDescent="0.25">
      <c r="B759" s="2">
        <f t="shared" si="11"/>
        <v>757</v>
      </c>
      <c r="C759" s="2">
        <v>1</v>
      </c>
      <c r="D759" s="2">
        <v>453</v>
      </c>
      <c r="E759" s="4" t="s">
        <v>1897</v>
      </c>
      <c r="F759" s="3" t="s">
        <v>1897</v>
      </c>
    </row>
    <row r="760" spans="2:8" x14ac:dyDescent="0.25">
      <c r="B760" s="1">
        <f t="shared" si="11"/>
        <v>758</v>
      </c>
      <c r="C760" s="1">
        <v>1</v>
      </c>
      <c r="D760" s="2">
        <v>454</v>
      </c>
      <c r="E760" s="4" t="s">
        <v>1896</v>
      </c>
      <c r="F760" s="4" t="s">
        <v>1896</v>
      </c>
    </row>
    <row r="761" spans="2:8" x14ac:dyDescent="0.25">
      <c r="B761" s="2">
        <f t="shared" si="11"/>
        <v>759</v>
      </c>
      <c r="C761" s="2">
        <v>1</v>
      </c>
      <c r="D761" s="2">
        <v>455</v>
      </c>
      <c r="E761" s="4" t="s">
        <v>1895</v>
      </c>
      <c r="F761" s="3" t="s">
        <v>1895</v>
      </c>
    </row>
    <row r="762" spans="2:8" ht="30" x14ac:dyDescent="0.25">
      <c r="B762" s="1">
        <f t="shared" si="11"/>
        <v>760</v>
      </c>
      <c r="C762" s="1">
        <v>2</v>
      </c>
      <c r="D762" s="1">
        <v>180</v>
      </c>
      <c r="E762" s="3" t="s">
        <v>876</v>
      </c>
      <c r="F762" s="3" t="s">
        <v>3045</v>
      </c>
      <c r="G762" t="s">
        <v>3046</v>
      </c>
      <c r="H762" t="s">
        <v>3047</v>
      </c>
    </row>
    <row r="763" spans="2:8" ht="30" x14ac:dyDescent="0.25">
      <c r="B763" s="2">
        <f t="shared" si="11"/>
        <v>761</v>
      </c>
      <c r="C763" s="2">
        <v>2</v>
      </c>
      <c r="D763" s="2">
        <v>181</v>
      </c>
      <c r="E763" s="4" t="s">
        <v>875</v>
      </c>
      <c r="F763" s="3" t="s">
        <v>3048</v>
      </c>
      <c r="G763" t="s">
        <v>2807</v>
      </c>
    </row>
    <row r="764" spans="2:8" x14ac:dyDescent="0.25">
      <c r="B764" s="1">
        <f t="shared" si="11"/>
        <v>762</v>
      </c>
      <c r="C764" s="1">
        <v>1</v>
      </c>
      <c r="D764" s="2">
        <v>456</v>
      </c>
      <c r="E764" s="4" t="s">
        <v>1894</v>
      </c>
      <c r="F764" s="4" t="s">
        <v>1894</v>
      </c>
    </row>
    <row r="765" spans="2:8" x14ac:dyDescent="0.25">
      <c r="B765" s="2">
        <f t="shared" si="11"/>
        <v>763</v>
      </c>
      <c r="C765" s="2">
        <v>1</v>
      </c>
      <c r="D765" s="2">
        <v>457</v>
      </c>
      <c r="E765" s="4" t="s">
        <v>1893</v>
      </c>
      <c r="F765" s="3" t="s">
        <v>1893</v>
      </c>
    </row>
    <row r="766" spans="2:8" x14ac:dyDescent="0.25">
      <c r="B766" s="1">
        <f t="shared" si="11"/>
        <v>764</v>
      </c>
      <c r="C766" s="1">
        <v>1</v>
      </c>
      <c r="D766" s="2">
        <v>458</v>
      </c>
      <c r="E766" s="4" t="s">
        <v>1892</v>
      </c>
      <c r="F766" s="4" t="s">
        <v>1892</v>
      </c>
    </row>
    <row r="767" spans="2:8" x14ac:dyDescent="0.25">
      <c r="B767" s="2">
        <f t="shared" si="11"/>
        <v>765</v>
      </c>
      <c r="C767" s="2">
        <v>1</v>
      </c>
      <c r="D767" s="2">
        <v>459</v>
      </c>
      <c r="E767" s="4" t="s">
        <v>1891</v>
      </c>
      <c r="F767" s="3" t="s">
        <v>1891</v>
      </c>
    </row>
    <row r="768" spans="2:8" x14ac:dyDescent="0.25">
      <c r="B768" s="1">
        <f t="shared" si="11"/>
        <v>766</v>
      </c>
      <c r="C768" s="1">
        <v>1</v>
      </c>
      <c r="D768" s="2">
        <v>460</v>
      </c>
      <c r="E768" s="4" t="s">
        <v>1890</v>
      </c>
      <c r="F768" s="4" t="s">
        <v>1890</v>
      </c>
    </row>
    <row r="769" spans="2:7" x14ac:dyDescent="0.25">
      <c r="B769" s="2">
        <f t="shared" si="11"/>
        <v>767</v>
      </c>
      <c r="C769" s="2">
        <v>1</v>
      </c>
      <c r="D769" s="2">
        <v>461</v>
      </c>
      <c r="E769" s="4" t="s">
        <v>1889</v>
      </c>
      <c r="F769" s="3" t="s">
        <v>1889</v>
      </c>
    </row>
    <row r="770" spans="2:7" x14ac:dyDescent="0.25">
      <c r="B770" s="1">
        <f t="shared" si="11"/>
        <v>768</v>
      </c>
      <c r="C770" s="1">
        <v>1</v>
      </c>
      <c r="D770" s="2">
        <v>462</v>
      </c>
      <c r="E770" s="4" t="s">
        <v>1888</v>
      </c>
      <c r="F770" s="4" t="s">
        <v>1888</v>
      </c>
    </row>
    <row r="771" spans="2:7" x14ac:dyDescent="0.25">
      <c r="B771" s="2">
        <f t="shared" si="11"/>
        <v>769</v>
      </c>
      <c r="C771" s="2">
        <v>1</v>
      </c>
      <c r="D771" s="2">
        <v>463</v>
      </c>
      <c r="E771" s="4" t="s">
        <v>1887</v>
      </c>
      <c r="F771" s="3" t="s">
        <v>1887</v>
      </c>
    </row>
    <row r="772" spans="2:7" x14ac:dyDescent="0.25">
      <c r="B772" s="1">
        <f t="shared" si="11"/>
        <v>770</v>
      </c>
      <c r="C772" s="1">
        <v>3</v>
      </c>
      <c r="D772" s="1">
        <v>47</v>
      </c>
      <c r="E772" s="3" t="s">
        <v>683</v>
      </c>
      <c r="F772" s="3" t="s">
        <v>683</v>
      </c>
    </row>
    <row r="773" spans="2:7" x14ac:dyDescent="0.25">
      <c r="B773" s="2">
        <f t="shared" ref="B773:B836" si="12">+B772+1</f>
        <v>771</v>
      </c>
      <c r="C773" s="2">
        <v>1</v>
      </c>
      <c r="D773" s="2">
        <v>464</v>
      </c>
      <c r="E773" s="4" t="s">
        <v>1886</v>
      </c>
      <c r="F773" s="4" t="s">
        <v>1886</v>
      </c>
    </row>
    <row r="774" spans="2:7" x14ac:dyDescent="0.25">
      <c r="B774" s="1">
        <f t="shared" si="12"/>
        <v>772</v>
      </c>
      <c r="C774" s="1">
        <v>1</v>
      </c>
      <c r="D774" s="1">
        <v>465</v>
      </c>
      <c r="E774" s="3" t="s">
        <v>1885</v>
      </c>
      <c r="F774" s="3" t="s">
        <v>1885</v>
      </c>
    </row>
    <row r="775" spans="2:7" ht="30" x14ac:dyDescent="0.25">
      <c r="B775" s="2">
        <f t="shared" si="12"/>
        <v>773</v>
      </c>
      <c r="C775" s="2">
        <v>2</v>
      </c>
      <c r="D775" s="2" t="s">
        <v>874</v>
      </c>
      <c r="E775" s="4" t="s">
        <v>873</v>
      </c>
      <c r="F775" s="3" t="s">
        <v>1885</v>
      </c>
      <c r="G775" t="s">
        <v>3049</v>
      </c>
    </row>
    <row r="776" spans="2:7" x14ac:dyDescent="0.25">
      <c r="B776" s="1">
        <f t="shared" si="12"/>
        <v>774</v>
      </c>
      <c r="C776" s="1">
        <v>1</v>
      </c>
      <c r="D776" s="2">
        <v>466</v>
      </c>
      <c r="E776" s="4" t="s">
        <v>1884</v>
      </c>
      <c r="F776" s="4" t="s">
        <v>1884</v>
      </c>
    </row>
    <row r="777" spans="2:7" x14ac:dyDescent="0.25">
      <c r="B777" s="2">
        <f t="shared" si="12"/>
        <v>775</v>
      </c>
      <c r="C777" s="2">
        <v>1</v>
      </c>
      <c r="D777" s="2">
        <v>467</v>
      </c>
      <c r="E777" s="4" t="s">
        <v>1883</v>
      </c>
      <c r="F777" s="3" t="s">
        <v>1883</v>
      </c>
    </row>
    <row r="778" spans="2:7" x14ac:dyDescent="0.25">
      <c r="B778" s="1">
        <f t="shared" si="12"/>
        <v>776</v>
      </c>
      <c r="C778" s="1">
        <v>2</v>
      </c>
      <c r="D778" s="1">
        <v>182</v>
      </c>
      <c r="E778" s="3" t="s">
        <v>872</v>
      </c>
      <c r="F778" s="3" t="s">
        <v>1883</v>
      </c>
      <c r="G778" t="s">
        <v>3050</v>
      </c>
    </row>
    <row r="779" spans="2:7" x14ac:dyDescent="0.25">
      <c r="B779" s="2">
        <f t="shared" si="12"/>
        <v>777</v>
      </c>
      <c r="C779" s="2">
        <v>1</v>
      </c>
      <c r="D779" s="2">
        <v>468</v>
      </c>
      <c r="E779" s="4" t="s">
        <v>1882</v>
      </c>
      <c r="F779" s="4" t="s">
        <v>1882</v>
      </c>
    </row>
    <row r="780" spans="2:7" x14ac:dyDescent="0.25">
      <c r="B780" s="1">
        <f t="shared" si="12"/>
        <v>778</v>
      </c>
      <c r="C780" s="1">
        <v>2</v>
      </c>
      <c r="D780" s="1">
        <v>183</v>
      </c>
      <c r="E780" s="3" t="s">
        <v>871</v>
      </c>
      <c r="F780" s="3" t="s">
        <v>1882</v>
      </c>
      <c r="G780" t="s">
        <v>2980</v>
      </c>
    </row>
    <row r="781" spans="2:7" x14ac:dyDescent="0.25">
      <c r="B781" s="2">
        <f t="shared" si="12"/>
        <v>779</v>
      </c>
      <c r="C781" s="2">
        <v>2</v>
      </c>
      <c r="D781" s="2">
        <v>184</v>
      </c>
      <c r="E781" s="4" t="s">
        <v>870</v>
      </c>
      <c r="F781" s="3" t="s">
        <v>1882</v>
      </c>
      <c r="G781" t="s">
        <v>2909</v>
      </c>
    </row>
    <row r="782" spans="2:7" x14ac:dyDescent="0.25">
      <c r="B782" s="1">
        <f t="shared" si="12"/>
        <v>780</v>
      </c>
      <c r="C782" s="1">
        <v>1</v>
      </c>
      <c r="D782" s="1">
        <v>469</v>
      </c>
      <c r="E782" s="3" t="s">
        <v>1881</v>
      </c>
      <c r="F782" s="3" t="s">
        <v>1881</v>
      </c>
    </row>
    <row r="783" spans="2:7" x14ac:dyDescent="0.25">
      <c r="B783" s="2">
        <f t="shared" si="12"/>
        <v>781</v>
      </c>
      <c r="C783" s="2">
        <v>1</v>
      </c>
      <c r="D783" s="2">
        <v>470</v>
      </c>
      <c r="E783" s="4" t="s">
        <v>1880</v>
      </c>
      <c r="F783" s="4" t="s">
        <v>1880</v>
      </c>
    </row>
    <row r="784" spans="2:7" x14ac:dyDescent="0.25">
      <c r="B784" s="1">
        <f t="shared" si="12"/>
        <v>782</v>
      </c>
      <c r="C784" s="1">
        <v>1</v>
      </c>
      <c r="D784" s="1">
        <v>471</v>
      </c>
      <c r="E784" s="3" t="s">
        <v>1879</v>
      </c>
      <c r="F784" s="3" t="s">
        <v>1879</v>
      </c>
    </row>
    <row r="785" spans="2:7" ht="30" x14ac:dyDescent="0.25">
      <c r="B785" s="2">
        <f t="shared" si="12"/>
        <v>783</v>
      </c>
      <c r="C785" s="2">
        <v>1</v>
      </c>
      <c r="D785" s="2">
        <v>472</v>
      </c>
      <c r="E785" s="4" t="s">
        <v>1878</v>
      </c>
      <c r="F785" s="4" t="s">
        <v>1878</v>
      </c>
    </row>
    <row r="786" spans="2:7" x14ac:dyDescent="0.25">
      <c r="B786" s="1">
        <f t="shared" si="12"/>
        <v>784</v>
      </c>
      <c r="C786" s="1">
        <v>1</v>
      </c>
      <c r="D786" s="1">
        <v>473</v>
      </c>
      <c r="E786" s="3" t="s">
        <v>1877</v>
      </c>
      <c r="F786" s="3" t="s">
        <v>1877</v>
      </c>
    </row>
    <row r="787" spans="2:7" x14ac:dyDescent="0.25">
      <c r="B787" s="2">
        <f t="shared" si="12"/>
        <v>785</v>
      </c>
      <c r="C787" s="2">
        <v>1</v>
      </c>
      <c r="D787" s="2">
        <v>474</v>
      </c>
      <c r="E787" s="4" t="s">
        <v>1876</v>
      </c>
      <c r="F787" s="4" t="s">
        <v>1876</v>
      </c>
    </row>
    <row r="788" spans="2:7" x14ac:dyDescent="0.25">
      <c r="B788" s="1">
        <f t="shared" si="12"/>
        <v>786</v>
      </c>
      <c r="C788" s="1">
        <v>2</v>
      </c>
      <c r="D788" s="1">
        <v>185</v>
      </c>
      <c r="E788" s="3" t="s">
        <v>869</v>
      </c>
      <c r="F788" s="3" t="s">
        <v>1876</v>
      </c>
      <c r="G788" t="s">
        <v>3051</v>
      </c>
    </row>
    <row r="789" spans="2:7" x14ac:dyDescent="0.25">
      <c r="B789" s="2">
        <f t="shared" si="12"/>
        <v>787</v>
      </c>
      <c r="C789" s="2">
        <v>2</v>
      </c>
      <c r="D789" s="2">
        <v>186</v>
      </c>
      <c r="E789" s="4" t="s">
        <v>868</v>
      </c>
      <c r="F789" s="3" t="s">
        <v>1876</v>
      </c>
      <c r="G789" t="s">
        <v>3052</v>
      </c>
    </row>
    <row r="790" spans="2:7" x14ac:dyDescent="0.25">
      <c r="B790" s="1">
        <f t="shared" si="12"/>
        <v>788</v>
      </c>
      <c r="C790" s="1">
        <v>2</v>
      </c>
      <c r="D790" s="1">
        <v>187</v>
      </c>
      <c r="E790" s="3" t="s">
        <v>867</v>
      </c>
      <c r="F790" s="3" t="s">
        <v>1876</v>
      </c>
      <c r="G790" t="s">
        <v>3053</v>
      </c>
    </row>
    <row r="791" spans="2:7" x14ac:dyDescent="0.25">
      <c r="B791" s="2">
        <f t="shared" si="12"/>
        <v>789</v>
      </c>
      <c r="C791" s="2">
        <v>2</v>
      </c>
      <c r="D791" s="2">
        <v>188</v>
      </c>
      <c r="E791" s="4" t="s">
        <v>866</v>
      </c>
      <c r="F791" s="3" t="s">
        <v>1876</v>
      </c>
      <c r="G791" t="s">
        <v>3054</v>
      </c>
    </row>
    <row r="792" spans="2:7" x14ac:dyDescent="0.25">
      <c r="B792" s="1">
        <f t="shared" si="12"/>
        <v>790</v>
      </c>
      <c r="C792" s="1">
        <v>2</v>
      </c>
      <c r="D792" s="1">
        <v>189</v>
      </c>
      <c r="E792" s="3" t="s">
        <v>865</v>
      </c>
      <c r="F792" s="3" t="s">
        <v>1876</v>
      </c>
      <c r="G792" t="s">
        <v>3055</v>
      </c>
    </row>
    <row r="793" spans="2:7" x14ac:dyDescent="0.25">
      <c r="B793" s="2">
        <f t="shared" si="12"/>
        <v>791</v>
      </c>
      <c r="C793" s="2">
        <v>1</v>
      </c>
      <c r="D793" s="2">
        <v>475</v>
      </c>
      <c r="E793" s="4" t="s">
        <v>1875</v>
      </c>
      <c r="F793" s="3" t="s">
        <v>1875</v>
      </c>
    </row>
    <row r="794" spans="2:7" x14ac:dyDescent="0.25">
      <c r="B794" s="1">
        <f t="shared" si="12"/>
        <v>792</v>
      </c>
      <c r="C794" s="1">
        <v>1</v>
      </c>
      <c r="D794" s="2">
        <v>476</v>
      </c>
      <c r="E794" s="4" t="s">
        <v>1874</v>
      </c>
      <c r="F794" s="4" t="s">
        <v>1874</v>
      </c>
    </row>
    <row r="795" spans="2:7" x14ac:dyDescent="0.25">
      <c r="B795" s="2">
        <f t="shared" si="12"/>
        <v>793</v>
      </c>
      <c r="C795" s="2">
        <v>1</v>
      </c>
      <c r="D795" s="2">
        <v>477</v>
      </c>
      <c r="E795" s="4" t="s">
        <v>1873</v>
      </c>
      <c r="F795" s="3" t="s">
        <v>1873</v>
      </c>
    </row>
    <row r="796" spans="2:7" x14ac:dyDescent="0.25">
      <c r="B796" s="1">
        <f t="shared" si="12"/>
        <v>794</v>
      </c>
      <c r="C796" s="1">
        <v>1</v>
      </c>
      <c r="D796" s="2">
        <v>478</v>
      </c>
      <c r="E796" s="4" t="s">
        <v>1872</v>
      </c>
      <c r="F796" s="4" t="s">
        <v>1872</v>
      </c>
    </row>
    <row r="797" spans="2:7" x14ac:dyDescent="0.25">
      <c r="B797" s="2">
        <f t="shared" si="12"/>
        <v>795</v>
      </c>
      <c r="C797" s="2">
        <v>1</v>
      </c>
      <c r="D797" s="2">
        <v>479</v>
      </c>
      <c r="E797" s="4" t="s">
        <v>1871</v>
      </c>
      <c r="F797" s="3" t="s">
        <v>1871</v>
      </c>
    </row>
    <row r="798" spans="2:7" x14ac:dyDescent="0.25">
      <c r="B798" s="1">
        <f t="shared" si="12"/>
        <v>796</v>
      </c>
      <c r="C798" s="1">
        <v>1</v>
      </c>
      <c r="D798" s="2">
        <v>480</v>
      </c>
      <c r="E798" s="4" t="s">
        <v>1870</v>
      </c>
      <c r="F798" s="4" t="s">
        <v>1870</v>
      </c>
    </row>
    <row r="799" spans="2:7" ht="45" x14ac:dyDescent="0.25">
      <c r="B799" s="2">
        <f t="shared" si="12"/>
        <v>797</v>
      </c>
      <c r="C799" s="2">
        <v>1</v>
      </c>
      <c r="D799" s="2" t="s">
        <v>1869</v>
      </c>
      <c r="E799" s="4" t="s">
        <v>1868</v>
      </c>
      <c r="F799" s="3" t="s">
        <v>1868</v>
      </c>
    </row>
    <row r="800" spans="2:7" x14ac:dyDescent="0.25">
      <c r="B800" s="1">
        <f t="shared" si="12"/>
        <v>798</v>
      </c>
      <c r="C800" s="1">
        <v>2</v>
      </c>
      <c r="D800" s="1">
        <v>190</v>
      </c>
      <c r="E800" s="3" t="s">
        <v>864</v>
      </c>
      <c r="F800" s="3" t="s">
        <v>3056</v>
      </c>
      <c r="G800" t="s">
        <v>3057</v>
      </c>
    </row>
    <row r="801" spans="2:8" x14ac:dyDescent="0.25">
      <c r="B801" s="2">
        <f t="shared" si="12"/>
        <v>799</v>
      </c>
      <c r="C801" s="2">
        <v>2</v>
      </c>
      <c r="D801" s="2">
        <v>191</v>
      </c>
      <c r="E801" s="4" t="s">
        <v>863</v>
      </c>
      <c r="F801" s="3" t="s">
        <v>3056</v>
      </c>
      <c r="G801" t="s">
        <v>3051</v>
      </c>
    </row>
    <row r="802" spans="2:8" x14ac:dyDescent="0.25">
      <c r="B802" s="1">
        <f t="shared" si="12"/>
        <v>800</v>
      </c>
      <c r="C802" s="1">
        <v>2</v>
      </c>
      <c r="D802" s="1">
        <v>192</v>
      </c>
      <c r="E802" s="3" t="s">
        <v>862</v>
      </c>
      <c r="F802" s="3" t="s">
        <v>3056</v>
      </c>
      <c r="G802" t="s">
        <v>3058</v>
      </c>
    </row>
    <row r="803" spans="2:8" x14ac:dyDescent="0.25">
      <c r="B803" s="2">
        <f t="shared" si="12"/>
        <v>801</v>
      </c>
      <c r="C803" s="2">
        <v>2</v>
      </c>
      <c r="D803" s="2">
        <v>193</v>
      </c>
      <c r="E803" s="4" t="s">
        <v>861</v>
      </c>
      <c r="F803" s="3" t="s">
        <v>3056</v>
      </c>
      <c r="G803" t="s">
        <v>3052</v>
      </c>
    </row>
    <row r="804" spans="2:8" x14ac:dyDescent="0.25">
      <c r="B804" s="1">
        <f t="shared" si="12"/>
        <v>802</v>
      </c>
      <c r="C804" s="1">
        <v>2</v>
      </c>
      <c r="D804" s="1">
        <v>194</v>
      </c>
      <c r="E804" s="3" t="s">
        <v>860</v>
      </c>
      <c r="F804" s="3" t="s">
        <v>3056</v>
      </c>
      <c r="G804" t="s">
        <v>3052</v>
      </c>
      <c r="H804" t="s">
        <v>2977</v>
      </c>
    </row>
    <row r="805" spans="2:8" x14ac:dyDescent="0.25">
      <c r="B805" s="2">
        <f t="shared" si="12"/>
        <v>803</v>
      </c>
      <c r="C805" s="2">
        <v>2</v>
      </c>
      <c r="D805" s="2">
        <v>195</v>
      </c>
      <c r="E805" s="4" t="s">
        <v>859</v>
      </c>
      <c r="F805" s="3" t="s">
        <v>3056</v>
      </c>
      <c r="G805" t="s">
        <v>3059</v>
      </c>
    </row>
    <row r="806" spans="2:8" x14ac:dyDescent="0.25">
      <c r="B806" s="1">
        <f t="shared" si="12"/>
        <v>804</v>
      </c>
      <c r="C806" s="1">
        <v>2</v>
      </c>
      <c r="D806" s="1">
        <v>196</v>
      </c>
      <c r="E806" s="3" t="s">
        <v>858</v>
      </c>
      <c r="F806" s="3" t="s">
        <v>3056</v>
      </c>
      <c r="G806" t="s">
        <v>3060</v>
      </c>
    </row>
    <row r="807" spans="2:8" x14ac:dyDescent="0.25">
      <c r="B807" s="2">
        <f t="shared" si="12"/>
        <v>805</v>
      </c>
      <c r="C807" s="2">
        <v>2</v>
      </c>
      <c r="D807" s="2">
        <v>197</v>
      </c>
      <c r="E807" s="4" t="s">
        <v>857</v>
      </c>
      <c r="F807" s="3" t="s">
        <v>3056</v>
      </c>
      <c r="G807" t="s">
        <v>3061</v>
      </c>
    </row>
    <row r="808" spans="2:8" x14ac:dyDescent="0.25">
      <c r="B808" s="1">
        <f t="shared" si="12"/>
        <v>806</v>
      </c>
      <c r="C808" s="1">
        <v>2</v>
      </c>
      <c r="D808" s="1">
        <v>198</v>
      </c>
      <c r="E808" s="3" t="s">
        <v>856</v>
      </c>
      <c r="F808" s="3" t="s">
        <v>3056</v>
      </c>
      <c r="G808" t="s">
        <v>3054</v>
      </c>
    </row>
    <row r="809" spans="2:8" x14ac:dyDescent="0.25">
      <c r="B809" s="2">
        <f t="shared" si="12"/>
        <v>807</v>
      </c>
      <c r="C809" s="2">
        <v>2</v>
      </c>
      <c r="D809" s="2">
        <v>199</v>
      </c>
      <c r="E809" s="4" t="s">
        <v>855</v>
      </c>
      <c r="F809" s="3" t="s">
        <v>3056</v>
      </c>
      <c r="G809" t="s">
        <v>3062</v>
      </c>
    </row>
    <row r="810" spans="2:8" x14ac:dyDescent="0.25">
      <c r="B810" s="1">
        <f t="shared" si="12"/>
        <v>808</v>
      </c>
      <c r="C810" s="1">
        <v>2</v>
      </c>
      <c r="D810" s="1">
        <v>200</v>
      </c>
      <c r="E810" s="3" t="s">
        <v>854</v>
      </c>
      <c r="F810" s="3" t="s">
        <v>3056</v>
      </c>
      <c r="G810" t="s">
        <v>3063</v>
      </c>
    </row>
    <row r="811" spans="2:8" x14ac:dyDescent="0.25">
      <c r="B811" s="2">
        <f t="shared" si="12"/>
        <v>809</v>
      </c>
      <c r="C811" s="2">
        <v>1</v>
      </c>
      <c r="D811" s="2">
        <v>481</v>
      </c>
      <c r="E811" s="4" t="s">
        <v>1867</v>
      </c>
      <c r="F811" s="4" t="s">
        <v>1867</v>
      </c>
    </row>
    <row r="812" spans="2:8" ht="30" x14ac:dyDescent="0.25">
      <c r="B812" s="1">
        <f t="shared" si="12"/>
        <v>810</v>
      </c>
      <c r="C812" s="1">
        <v>1</v>
      </c>
      <c r="D812" s="1" t="s">
        <v>1866</v>
      </c>
      <c r="E812" s="3" t="s">
        <v>1865</v>
      </c>
      <c r="F812" s="3" t="s">
        <v>1865</v>
      </c>
    </row>
    <row r="813" spans="2:8" ht="30" x14ac:dyDescent="0.25">
      <c r="B813" s="2">
        <f t="shared" si="12"/>
        <v>811</v>
      </c>
      <c r="C813" s="2">
        <v>1</v>
      </c>
      <c r="D813" s="2" t="s">
        <v>1864</v>
      </c>
      <c r="E813" s="4" t="s">
        <v>1863</v>
      </c>
      <c r="F813" s="4" t="s">
        <v>1863</v>
      </c>
    </row>
    <row r="814" spans="2:8" x14ac:dyDescent="0.25">
      <c r="B814" s="1">
        <f t="shared" si="12"/>
        <v>812</v>
      </c>
      <c r="C814" s="1">
        <v>1</v>
      </c>
      <c r="D814" s="1">
        <v>482</v>
      </c>
      <c r="E814" s="3" t="s">
        <v>1862</v>
      </c>
      <c r="F814" s="3" t="s">
        <v>1862</v>
      </c>
    </row>
    <row r="815" spans="2:8" x14ac:dyDescent="0.25">
      <c r="B815" s="2">
        <f t="shared" si="12"/>
        <v>813</v>
      </c>
      <c r="C815" s="2">
        <v>1</v>
      </c>
      <c r="D815" s="2">
        <v>483</v>
      </c>
      <c r="E815" s="4" t="s">
        <v>1861</v>
      </c>
      <c r="F815" s="4" t="s">
        <v>1861</v>
      </c>
    </row>
    <row r="816" spans="2:8" x14ac:dyDescent="0.25">
      <c r="B816" s="1">
        <f t="shared" si="12"/>
        <v>814</v>
      </c>
      <c r="C816" s="1">
        <v>1</v>
      </c>
      <c r="D816" s="1">
        <v>484</v>
      </c>
      <c r="E816" s="3" t="s">
        <v>1860</v>
      </c>
      <c r="F816" s="3" t="s">
        <v>1860</v>
      </c>
    </row>
    <row r="817" spans="2:9" x14ac:dyDescent="0.25">
      <c r="B817" s="2">
        <f t="shared" si="12"/>
        <v>815</v>
      </c>
      <c r="C817" s="2">
        <v>1</v>
      </c>
      <c r="D817" s="2">
        <v>485</v>
      </c>
      <c r="E817" s="4" t="s">
        <v>1859</v>
      </c>
      <c r="F817" s="4" t="s">
        <v>1859</v>
      </c>
    </row>
    <row r="818" spans="2:9" x14ac:dyDescent="0.25">
      <c r="B818" s="1">
        <f t="shared" si="12"/>
        <v>816</v>
      </c>
      <c r="C818" s="1">
        <v>1</v>
      </c>
      <c r="D818" s="1">
        <v>486</v>
      </c>
      <c r="E818" s="3" t="s">
        <v>1858</v>
      </c>
      <c r="F818" s="3" t="s">
        <v>1858</v>
      </c>
    </row>
    <row r="819" spans="2:9" ht="30" x14ac:dyDescent="0.25">
      <c r="B819" s="2">
        <f t="shared" si="12"/>
        <v>817</v>
      </c>
      <c r="C819" s="2">
        <v>1</v>
      </c>
      <c r="D819" s="2" t="s">
        <v>1857</v>
      </c>
      <c r="E819" s="4" t="s">
        <v>1856</v>
      </c>
      <c r="F819" s="4" t="s">
        <v>1856</v>
      </c>
    </row>
    <row r="820" spans="2:9" ht="30" x14ac:dyDescent="0.25">
      <c r="B820" s="1">
        <f t="shared" si="12"/>
        <v>818</v>
      </c>
      <c r="C820" s="1">
        <v>1</v>
      </c>
      <c r="D820" s="1" t="s">
        <v>1855</v>
      </c>
      <c r="E820" s="3" t="s">
        <v>1854</v>
      </c>
      <c r="F820" s="3" t="s">
        <v>1854</v>
      </c>
    </row>
    <row r="821" spans="2:9" x14ac:dyDescent="0.25">
      <c r="B821" s="2">
        <f t="shared" si="12"/>
        <v>819</v>
      </c>
      <c r="C821" s="2">
        <v>1</v>
      </c>
      <c r="D821" s="2">
        <v>487</v>
      </c>
      <c r="E821" s="4" t="s">
        <v>1853</v>
      </c>
      <c r="F821" s="4" t="s">
        <v>1853</v>
      </c>
    </row>
    <row r="822" spans="2:9" x14ac:dyDescent="0.25">
      <c r="B822" s="1">
        <f t="shared" si="12"/>
        <v>820</v>
      </c>
      <c r="C822" s="1">
        <v>1</v>
      </c>
      <c r="D822" s="1">
        <v>488</v>
      </c>
      <c r="E822" s="3" t="s">
        <v>1852</v>
      </c>
      <c r="F822" s="3" t="s">
        <v>1852</v>
      </c>
    </row>
    <row r="823" spans="2:9" x14ac:dyDescent="0.25">
      <c r="B823" s="2">
        <f t="shared" si="12"/>
        <v>821</v>
      </c>
      <c r="C823" s="2">
        <v>1</v>
      </c>
      <c r="D823" s="2">
        <v>489</v>
      </c>
      <c r="E823" s="4" t="s">
        <v>1851</v>
      </c>
      <c r="F823" s="4" t="s">
        <v>1851</v>
      </c>
    </row>
    <row r="824" spans="2:9" x14ac:dyDescent="0.25">
      <c r="B824" s="1">
        <f t="shared" si="12"/>
        <v>822</v>
      </c>
      <c r="C824" s="1">
        <v>2</v>
      </c>
      <c r="D824" s="1">
        <v>201</v>
      </c>
      <c r="E824" s="3" t="s">
        <v>853</v>
      </c>
      <c r="F824" s="3" t="s">
        <v>3064</v>
      </c>
      <c r="G824" t="s">
        <v>3065</v>
      </c>
    </row>
    <row r="825" spans="2:9" x14ac:dyDescent="0.25">
      <c r="B825" s="2">
        <f t="shared" si="12"/>
        <v>823</v>
      </c>
      <c r="C825" s="2">
        <v>1</v>
      </c>
      <c r="D825" s="2">
        <v>490</v>
      </c>
      <c r="E825" s="4" t="s">
        <v>1850</v>
      </c>
      <c r="F825" s="3" t="s">
        <v>1850</v>
      </c>
    </row>
    <row r="826" spans="2:9" x14ac:dyDescent="0.25">
      <c r="B826" s="1">
        <f t="shared" si="12"/>
        <v>824</v>
      </c>
      <c r="C826" s="1">
        <v>1</v>
      </c>
      <c r="D826" s="2">
        <v>491</v>
      </c>
      <c r="E826" s="4" t="s">
        <v>1849</v>
      </c>
      <c r="F826" s="4" t="s">
        <v>1849</v>
      </c>
    </row>
    <row r="827" spans="2:9" x14ac:dyDescent="0.25">
      <c r="B827" s="2">
        <f t="shared" si="12"/>
        <v>825</v>
      </c>
      <c r="C827" s="2">
        <v>2</v>
      </c>
      <c r="D827" s="2">
        <v>202</v>
      </c>
      <c r="E827" s="4" t="s">
        <v>852</v>
      </c>
      <c r="F827" s="3" t="s">
        <v>1849</v>
      </c>
      <c r="G827" t="s">
        <v>3066</v>
      </c>
    </row>
    <row r="828" spans="2:9" x14ac:dyDescent="0.25">
      <c r="B828" s="1">
        <f t="shared" si="12"/>
        <v>826</v>
      </c>
      <c r="C828" s="1">
        <v>1</v>
      </c>
      <c r="D828" s="1">
        <v>492</v>
      </c>
      <c r="E828" s="3" t="s">
        <v>1848</v>
      </c>
      <c r="F828" s="3" t="s">
        <v>1848</v>
      </c>
    </row>
    <row r="829" spans="2:9" x14ac:dyDescent="0.25">
      <c r="B829" s="2">
        <f t="shared" si="12"/>
        <v>827</v>
      </c>
      <c r="C829" s="2">
        <v>1</v>
      </c>
      <c r="D829" s="2">
        <v>493</v>
      </c>
      <c r="E829" s="4" t="s">
        <v>1847</v>
      </c>
      <c r="F829" s="4" t="s">
        <v>1847</v>
      </c>
    </row>
    <row r="830" spans="2:9" x14ac:dyDescent="0.25">
      <c r="B830" s="1">
        <f t="shared" si="12"/>
        <v>828</v>
      </c>
      <c r="C830" s="1">
        <v>1</v>
      </c>
      <c r="D830" s="1">
        <v>494</v>
      </c>
      <c r="E830" s="3" t="s">
        <v>1846</v>
      </c>
      <c r="F830" s="3" t="s">
        <v>1846</v>
      </c>
    </row>
    <row r="831" spans="2:9" x14ac:dyDescent="0.25">
      <c r="B831" s="2">
        <f t="shared" si="12"/>
        <v>829</v>
      </c>
      <c r="C831" s="2">
        <v>2</v>
      </c>
      <c r="D831" s="2">
        <v>203</v>
      </c>
      <c r="E831" s="4" t="s">
        <v>851</v>
      </c>
      <c r="F831" s="3" t="s">
        <v>3067</v>
      </c>
      <c r="G831" t="s">
        <v>3068</v>
      </c>
    </row>
    <row r="832" spans="2:9" ht="30" x14ac:dyDescent="0.25">
      <c r="B832" s="1">
        <f t="shared" si="12"/>
        <v>830</v>
      </c>
      <c r="C832" s="1">
        <v>2</v>
      </c>
      <c r="D832" s="1">
        <v>204</v>
      </c>
      <c r="E832" s="3" t="s">
        <v>850</v>
      </c>
      <c r="F832" s="3" t="s">
        <v>3067</v>
      </c>
      <c r="G832" t="s">
        <v>3068</v>
      </c>
      <c r="H832" t="s">
        <v>3069</v>
      </c>
      <c r="I832" t="s">
        <v>3070</v>
      </c>
    </row>
    <row r="833" spans="2:7" x14ac:dyDescent="0.25">
      <c r="B833" s="2">
        <f t="shared" si="12"/>
        <v>831</v>
      </c>
      <c r="C833" s="2">
        <v>1</v>
      </c>
      <c r="D833" s="2">
        <v>495</v>
      </c>
      <c r="E833" s="4" t="s">
        <v>1845</v>
      </c>
      <c r="F833" s="4" t="s">
        <v>1845</v>
      </c>
    </row>
    <row r="834" spans="2:7" x14ac:dyDescent="0.25">
      <c r="B834" s="1">
        <f t="shared" si="12"/>
        <v>832</v>
      </c>
      <c r="C834" s="1">
        <v>2</v>
      </c>
      <c r="D834" s="1">
        <v>205</v>
      </c>
      <c r="E834" s="3" t="s">
        <v>849</v>
      </c>
      <c r="F834" s="3" t="s">
        <v>3071</v>
      </c>
      <c r="G834" t="s">
        <v>3072</v>
      </c>
    </row>
    <row r="835" spans="2:7" x14ac:dyDescent="0.25">
      <c r="B835" s="2">
        <f t="shared" si="12"/>
        <v>833</v>
      </c>
      <c r="C835" s="2">
        <v>1</v>
      </c>
      <c r="D835" s="2">
        <v>496</v>
      </c>
      <c r="E835" s="4" t="s">
        <v>1844</v>
      </c>
      <c r="F835" s="3" t="s">
        <v>1844</v>
      </c>
    </row>
    <row r="836" spans="2:7" x14ac:dyDescent="0.25">
      <c r="B836" s="1">
        <f t="shared" si="12"/>
        <v>834</v>
      </c>
      <c r="C836" s="1">
        <v>1</v>
      </c>
      <c r="D836" s="2">
        <v>497</v>
      </c>
      <c r="E836" s="4" t="s">
        <v>1843</v>
      </c>
      <c r="F836" s="4" t="s">
        <v>1843</v>
      </c>
    </row>
    <row r="837" spans="2:7" x14ac:dyDescent="0.25">
      <c r="B837" s="2">
        <f t="shared" ref="B837:B900" si="13">+B836+1</f>
        <v>835</v>
      </c>
      <c r="C837" s="2">
        <v>1</v>
      </c>
      <c r="D837" s="2">
        <v>498</v>
      </c>
      <c r="E837" s="4" t="s">
        <v>1842</v>
      </c>
      <c r="F837" s="3" t="s">
        <v>1842</v>
      </c>
    </row>
    <row r="838" spans="2:7" ht="30" x14ac:dyDescent="0.25">
      <c r="B838" s="1">
        <f t="shared" si="13"/>
        <v>836</v>
      </c>
      <c r="C838" s="1">
        <v>2</v>
      </c>
      <c r="D838" s="1" t="s">
        <v>848</v>
      </c>
      <c r="E838" s="3" t="s">
        <v>847</v>
      </c>
      <c r="F838" s="3" t="s">
        <v>1842</v>
      </c>
      <c r="G838" t="s">
        <v>3073</v>
      </c>
    </row>
    <row r="839" spans="2:7" x14ac:dyDescent="0.25">
      <c r="B839" s="2">
        <f t="shared" si="13"/>
        <v>837</v>
      </c>
      <c r="C839" s="2">
        <v>1</v>
      </c>
      <c r="D839" s="2">
        <v>499</v>
      </c>
      <c r="E839" s="4" t="s">
        <v>1841</v>
      </c>
      <c r="F839" s="4" t="s">
        <v>1841</v>
      </c>
    </row>
    <row r="840" spans="2:7" x14ac:dyDescent="0.25">
      <c r="B840" s="1">
        <f t="shared" si="13"/>
        <v>838</v>
      </c>
      <c r="C840" s="1">
        <v>3</v>
      </c>
      <c r="D840" s="1">
        <v>48</v>
      </c>
      <c r="E840" s="3" t="s">
        <v>682</v>
      </c>
      <c r="F840" s="3" t="s">
        <v>682</v>
      </c>
    </row>
    <row r="841" spans="2:7" x14ac:dyDescent="0.25">
      <c r="B841" s="2">
        <f t="shared" si="13"/>
        <v>839</v>
      </c>
      <c r="C841" s="2">
        <v>1</v>
      </c>
      <c r="D841" s="2">
        <v>500</v>
      </c>
      <c r="E841" s="4" t="s">
        <v>1840</v>
      </c>
      <c r="F841" s="3" t="s">
        <v>1840</v>
      </c>
    </row>
    <row r="842" spans="2:7" x14ac:dyDescent="0.25">
      <c r="B842" s="1">
        <f t="shared" si="13"/>
        <v>840</v>
      </c>
      <c r="C842" s="1">
        <v>1</v>
      </c>
      <c r="D842" s="2">
        <v>501</v>
      </c>
      <c r="E842" s="4" t="s">
        <v>1839</v>
      </c>
      <c r="F842" s="4" t="s">
        <v>1839</v>
      </c>
    </row>
    <row r="843" spans="2:7" x14ac:dyDescent="0.25">
      <c r="B843" s="2">
        <f t="shared" si="13"/>
        <v>841</v>
      </c>
      <c r="C843" s="2">
        <v>1</v>
      </c>
      <c r="D843" s="2">
        <v>502</v>
      </c>
      <c r="E843" s="4" t="s">
        <v>1838</v>
      </c>
      <c r="F843" s="3" t="s">
        <v>1838</v>
      </c>
    </row>
    <row r="844" spans="2:7" x14ac:dyDescent="0.25">
      <c r="B844" s="1">
        <f t="shared" si="13"/>
        <v>842</v>
      </c>
      <c r="C844" s="1">
        <v>1</v>
      </c>
      <c r="D844" s="2">
        <v>503</v>
      </c>
      <c r="E844" s="4" t="s">
        <v>1837</v>
      </c>
      <c r="F844" s="4" t="s">
        <v>1837</v>
      </c>
    </row>
    <row r="845" spans="2:7" x14ac:dyDescent="0.25">
      <c r="B845" s="2">
        <f t="shared" si="13"/>
        <v>843</v>
      </c>
      <c r="C845" s="2">
        <v>1</v>
      </c>
      <c r="D845" s="2">
        <v>504</v>
      </c>
      <c r="E845" s="4" t="s">
        <v>1836</v>
      </c>
      <c r="F845" s="3" t="s">
        <v>1836</v>
      </c>
    </row>
    <row r="846" spans="2:7" x14ac:dyDescent="0.25">
      <c r="B846" s="1">
        <f t="shared" si="13"/>
        <v>844</v>
      </c>
      <c r="C846" s="1">
        <v>1</v>
      </c>
      <c r="D846" s="2">
        <v>505</v>
      </c>
      <c r="E846" s="4" t="s">
        <v>1835</v>
      </c>
      <c r="F846" s="4" t="s">
        <v>1835</v>
      </c>
    </row>
    <row r="847" spans="2:7" x14ac:dyDescent="0.25">
      <c r="B847" s="2">
        <f t="shared" si="13"/>
        <v>845</v>
      </c>
      <c r="C847" s="2">
        <v>1</v>
      </c>
      <c r="D847" s="2">
        <v>506</v>
      </c>
      <c r="E847" s="4" t="s">
        <v>1834</v>
      </c>
      <c r="F847" s="3" t="s">
        <v>1834</v>
      </c>
    </row>
    <row r="848" spans="2:7" ht="30" x14ac:dyDescent="0.25">
      <c r="B848" s="1">
        <f t="shared" si="13"/>
        <v>846</v>
      </c>
      <c r="C848" s="1">
        <v>1</v>
      </c>
      <c r="D848" s="2">
        <v>507</v>
      </c>
      <c r="E848" s="4" t="s">
        <v>1833</v>
      </c>
      <c r="F848" s="4" t="s">
        <v>1833</v>
      </c>
    </row>
    <row r="849" spans="2:7" x14ac:dyDescent="0.25">
      <c r="B849" s="2">
        <f t="shared" si="13"/>
        <v>847</v>
      </c>
      <c r="C849" s="2">
        <v>1</v>
      </c>
      <c r="D849" s="2">
        <v>508</v>
      </c>
      <c r="E849" s="4" t="s">
        <v>1832</v>
      </c>
      <c r="F849" s="3" t="s">
        <v>1832</v>
      </c>
    </row>
    <row r="850" spans="2:7" x14ac:dyDescent="0.25">
      <c r="B850" s="1">
        <f t="shared" si="13"/>
        <v>848</v>
      </c>
      <c r="C850" s="1">
        <v>1</v>
      </c>
      <c r="D850" s="2">
        <v>509</v>
      </c>
      <c r="E850" s="4" t="s">
        <v>1831</v>
      </c>
      <c r="F850" s="4" t="s">
        <v>1831</v>
      </c>
    </row>
    <row r="851" spans="2:7" x14ac:dyDescent="0.25">
      <c r="B851" s="2">
        <f t="shared" si="13"/>
        <v>849</v>
      </c>
      <c r="C851" s="2">
        <v>1</v>
      </c>
      <c r="D851" s="2">
        <v>510</v>
      </c>
      <c r="E851" s="4" t="s">
        <v>1830</v>
      </c>
      <c r="F851" s="3" t="s">
        <v>1830</v>
      </c>
    </row>
    <row r="852" spans="2:7" x14ac:dyDescent="0.25">
      <c r="B852" s="1">
        <f t="shared" si="13"/>
        <v>850</v>
      </c>
      <c r="C852" s="1">
        <v>1</v>
      </c>
      <c r="D852" s="2">
        <v>511</v>
      </c>
      <c r="E852" s="4" t="s">
        <v>1829</v>
      </c>
      <c r="F852" s="4" t="s">
        <v>1829</v>
      </c>
    </row>
    <row r="853" spans="2:7" ht="30" x14ac:dyDescent="0.25">
      <c r="B853" s="2">
        <f t="shared" si="13"/>
        <v>851</v>
      </c>
      <c r="C853" s="2">
        <v>1</v>
      </c>
      <c r="D853" s="2" t="s">
        <v>1828</v>
      </c>
      <c r="E853" s="4" t="s">
        <v>1827</v>
      </c>
      <c r="F853" s="3" t="s">
        <v>1827</v>
      </c>
    </row>
    <row r="854" spans="2:7" ht="30" x14ac:dyDescent="0.25">
      <c r="B854" s="1">
        <f t="shared" si="13"/>
        <v>852</v>
      </c>
      <c r="C854" s="1">
        <v>2</v>
      </c>
      <c r="D854" s="1" t="s">
        <v>846</v>
      </c>
      <c r="E854" s="3" t="s">
        <v>845</v>
      </c>
      <c r="F854" s="3" t="s">
        <v>3074</v>
      </c>
      <c r="G854" t="s">
        <v>3075</v>
      </c>
    </row>
    <row r="855" spans="2:7" ht="30" x14ac:dyDescent="0.25">
      <c r="B855" s="2">
        <f t="shared" si="13"/>
        <v>853</v>
      </c>
      <c r="C855" s="2">
        <v>1</v>
      </c>
      <c r="D855" s="2" t="s">
        <v>1826</v>
      </c>
      <c r="E855" s="4" t="s">
        <v>1825</v>
      </c>
      <c r="F855" s="4" t="s">
        <v>1825</v>
      </c>
    </row>
    <row r="856" spans="2:7" x14ac:dyDescent="0.25">
      <c r="B856" s="1">
        <f t="shared" si="13"/>
        <v>854</v>
      </c>
      <c r="C856" s="1">
        <v>1</v>
      </c>
      <c r="D856" s="1">
        <v>512</v>
      </c>
      <c r="E856" s="3" t="s">
        <v>1824</v>
      </c>
      <c r="F856" s="3" t="s">
        <v>1824</v>
      </c>
    </row>
    <row r="857" spans="2:7" ht="60" x14ac:dyDescent="0.25">
      <c r="B857" s="2">
        <f t="shared" si="13"/>
        <v>855</v>
      </c>
      <c r="C857" s="2">
        <v>1</v>
      </c>
      <c r="D857" s="2">
        <v>513</v>
      </c>
      <c r="E857" s="4" t="s">
        <v>1823</v>
      </c>
      <c r="F857" s="4" t="s">
        <v>1823</v>
      </c>
    </row>
    <row r="858" spans="2:7" x14ac:dyDescent="0.25">
      <c r="B858" s="1">
        <f t="shared" si="13"/>
        <v>856</v>
      </c>
      <c r="C858" s="1">
        <v>3</v>
      </c>
      <c r="D858" s="1">
        <v>49</v>
      </c>
      <c r="E858" s="3" t="s">
        <v>681</v>
      </c>
      <c r="F858" s="3" t="s">
        <v>681</v>
      </c>
    </row>
    <row r="859" spans="2:7" x14ac:dyDescent="0.25">
      <c r="B859" s="2">
        <f t="shared" si="13"/>
        <v>857</v>
      </c>
      <c r="C859" s="2">
        <v>1</v>
      </c>
      <c r="D859" s="2">
        <v>514</v>
      </c>
      <c r="E859" s="4" t="s">
        <v>1822</v>
      </c>
      <c r="F859" s="3" t="s">
        <v>1822</v>
      </c>
    </row>
    <row r="860" spans="2:7" x14ac:dyDescent="0.25">
      <c r="B860" s="1">
        <f t="shared" si="13"/>
        <v>858</v>
      </c>
      <c r="C860" s="1">
        <v>1</v>
      </c>
      <c r="D860" s="2">
        <v>515</v>
      </c>
      <c r="E860" s="4" t="s">
        <v>1821</v>
      </c>
      <c r="F860" s="4" t="s">
        <v>1821</v>
      </c>
    </row>
    <row r="861" spans="2:7" x14ac:dyDescent="0.25">
      <c r="B861" s="2">
        <f t="shared" si="13"/>
        <v>859</v>
      </c>
      <c r="C861" s="2">
        <v>1</v>
      </c>
      <c r="D861" s="2">
        <v>516</v>
      </c>
      <c r="E861" s="4" t="s">
        <v>1820</v>
      </c>
      <c r="F861" s="3" t="s">
        <v>1820</v>
      </c>
    </row>
    <row r="862" spans="2:7" x14ac:dyDescent="0.25">
      <c r="B862" s="1">
        <f t="shared" si="13"/>
        <v>860</v>
      </c>
      <c r="C862" s="1">
        <v>1</v>
      </c>
      <c r="D862" s="2">
        <v>517</v>
      </c>
      <c r="E862" s="4" t="s">
        <v>1819</v>
      </c>
      <c r="F862" s="4" t="s">
        <v>1819</v>
      </c>
    </row>
    <row r="863" spans="2:7" x14ac:dyDescent="0.25">
      <c r="B863" s="2">
        <f t="shared" si="13"/>
        <v>861</v>
      </c>
      <c r="C863" s="2">
        <v>1</v>
      </c>
      <c r="D863" s="2">
        <v>518</v>
      </c>
      <c r="E863" s="4" t="s">
        <v>1818</v>
      </c>
      <c r="F863" s="3" t="s">
        <v>1818</v>
      </c>
    </row>
    <row r="864" spans="2:7" x14ac:dyDescent="0.25">
      <c r="B864" s="1">
        <f t="shared" si="13"/>
        <v>862</v>
      </c>
      <c r="C864" s="1">
        <v>1</v>
      </c>
      <c r="D864" s="2">
        <v>519</v>
      </c>
      <c r="E864" s="4" t="s">
        <v>1817</v>
      </c>
      <c r="F864" s="4" t="s">
        <v>1817</v>
      </c>
    </row>
    <row r="865" spans="2:7" x14ac:dyDescent="0.25">
      <c r="B865" s="2">
        <f t="shared" si="13"/>
        <v>863</v>
      </c>
      <c r="C865" s="2">
        <v>3</v>
      </c>
      <c r="D865" s="2">
        <v>50</v>
      </c>
      <c r="E865" s="4" t="s">
        <v>680</v>
      </c>
      <c r="F865" s="3" t="s">
        <v>680</v>
      </c>
    </row>
    <row r="866" spans="2:7" x14ac:dyDescent="0.25">
      <c r="B866" s="1">
        <f t="shared" si="13"/>
        <v>864</v>
      </c>
      <c r="C866" s="1">
        <v>1</v>
      </c>
      <c r="D866" s="1">
        <v>520</v>
      </c>
      <c r="E866" s="3" t="s">
        <v>1816</v>
      </c>
      <c r="F866" s="3" t="s">
        <v>1816</v>
      </c>
    </row>
    <row r="867" spans="2:7" x14ac:dyDescent="0.25">
      <c r="B867" s="2">
        <f t="shared" si="13"/>
        <v>865</v>
      </c>
      <c r="C867" s="2">
        <v>2</v>
      </c>
      <c r="D867" s="2">
        <v>206</v>
      </c>
      <c r="E867" s="4" t="s">
        <v>844</v>
      </c>
      <c r="F867" s="3" t="s">
        <v>1816</v>
      </c>
      <c r="G867" t="s">
        <v>3029</v>
      </c>
    </row>
    <row r="868" spans="2:7" x14ac:dyDescent="0.25">
      <c r="B868" s="1">
        <f t="shared" si="13"/>
        <v>866</v>
      </c>
      <c r="C868" s="1">
        <v>2</v>
      </c>
      <c r="D868" s="1">
        <v>207</v>
      </c>
      <c r="E868" s="3" t="s">
        <v>843</v>
      </c>
      <c r="F868" s="3" t="s">
        <v>1816</v>
      </c>
      <c r="G868" t="s">
        <v>2820</v>
      </c>
    </row>
    <row r="869" spans="2:7" x14ac:dyDescent="0.25">
      <c r="B869" s="2">
        <f t="shared" si="13"/>
        <v>867</v>
      </c>
      <c r="C869" s="2">
        <v>1</v>
      </c>
      <c r="D869" s="2">
        <v>521</v>
      </c>
      <c r="E869" s="4" t="s">
        <v>1815</v>
      </c>
      <c r="F869" s="4" t="s">
        <v>1815</v>
      </c>
    </row>
    <row r="870" spans="2:7" ht="30" x14ac:dyDescent="0.25">
      <c r="B870" s="1">
        <f t="shared" si="13"/>
        <v>868</v>
      </c>
      <c r="C870" s="1">
        <v>1</v>
      </c>
      <c r="D870" s="1" t="s">
        <v>1814</v>
      </c>
      <c r="E870" s="3" t="s">
        <v>1813</v>
      </c>
      <c r="F870" s="3" t="s">
        <v>1813</v>
      </c>
    </row>
    <row r="871" spans="2:7" x14ac:dyDescent="0.25">
      <c r="B871" s="2">
        <f t="shared" si="13"/>
        <v>869</v>
      </c>
      <c r="C871" s="2">
        <v>1</v>
      </c>
      <c r="D871" s="2">
        <v>522</v>
      </c>
      <c r="E871" s="4" t="s">
        <v>1812</v>
      </c>
      <c r="F871" s="4" t="s">
        <v>1812</v>
      </c>
    </row>
    <row r="872" spans="2:7" x14ac:dyDescent="0.25">
      <c r="B872" s="1">
        <f t="shared" si="13"/>
        <v>870</v>
      </c>
      <c r="C872" s="1">
        <v>1</v>
      </c>
      <c r="D872" s="1">
        <v>523</v>
      </c>
      <c r="E872" s="3" t="s">
        <v>1811</v>
      </c>
      <c r="F872" s="3" t="s">
        <v>1811</v>
      </c>
    </row>
    <row r="873" spans="2:7" x14ac:dyDescent="0.25">
      <c r="B873" s="2">
        <f t="shared" si="13"/>
        <v>871</v>
      </c>
      <c r="C873" s="2">
        <v>1</v>
      </c>
      <c r="D873" s="2">
        <v>524</v>
      </c>
      <c r="E873" s="4" t="s">
        <v>1810</v>
      </c>
      <c r="F873" s="4" t="s">
        <v>1810</v>
      </c>
    </row>
    <row r="874" spans="2:7" ht="45" x14ac:dyDescent="0.25">
      <c r="B874" s="1">
        <f t="shared" si="13"/>
        <v>872</v>
      </c>
      <c r="C874" s="1">
        <v>1</v>
      </c>
      <c r="D874" s="1" t="s">
        <v>1809</v>
      </c>
      <c r="E874" s="3" t="s">
        <v>1808</v>
      </c>
      <c r="F874" s="3" t="s">
        <v>1808</v>
      </c>
    </row>
    <row r="875" spans="2:7" x14ac:dyDescent="0.25">
      <c r="B875" s="2">
        <f t="shared" si="13"/>
        <v>873</v>
      </c>
      <c r="C875" s="2">
        <v>1</v>
      </c>
      <c r="D875" s="2">
        <v>525</v>
      </c>
      <c r="E875" s="4" t="s">
        <v>1807</v>
      </c>
      <c r="F875" s="4" t="s">
        <v>1807</v>
      </c>
    </row>
    <row r="876" spans="2:7" x14ac:dyDescent="0.25">
      <c r="B876" s="1">
        <f t="shared" si="13"/>
        <v>874</v>
      </c>
      <c r="C876" s="1">
        <v>1</v>
      </c>
      <c r="D876" s="1">
        <v>526</v>
      </c>
      <c r="E876" s="3" t="s">
        <v>1806</v>
      </c>
      <c r="F876" s="3" t="s">
        <v>1806</v>
      </c>
    </row>
    <row r="877" spans="2:7" x14ac:dyDescent="0.25">
      <c r="B877" s="2">
        <f t="shared" si="13"/>
        <v>875</v>
      </c>
      <c r="C877" s="2">
        <v>1</v>
      </c>
      <c r="D877" s="2">
        <v>527</v>
      </c>
      <c r="E877" s="4" t="s">
        <v>1805</v>
      </c>
      <c r="F877" s="4" t="s">
        <v>1805</v>
      </c>
    </row>
    <row r="878" spans="2:7" x14ac:dyDescent="0.25">
      <c r="B878" s="1">
        <f t="shared" si="13"/>
        <v>876</v>
      </c>
      <c r="C878" s="1">
        <v>1</v>
      </c>
      <c r="D878" s="1">
        <v>528</v>
      </c>
      <c r="E878" s="3" t="s">
        <v>1804</v>
      </c>
      <c r="F878" s="3" t="s">
        <v>1804</v>
      </c>
    </row>
    <row r="879" spans="2:7" x14ac:dyDescent="0.25">
      <c r="B879" s="2">
        <f t="shared" si="13"/>
        <v>877</v>
      </c>
      <c r="C879" s="2">
        <v>1</v>
      </c>
      <c r="D879" s="2">
        <v>529</v>
      </c>
      <c r="E879" s="4" t="s">
        <v>1803</v>
      </c>
      <c r="F879" s="4" t="s">
        <v>1803</v>
      </c>
    </row>
    <row r="880" spans="2:7" ht="45" x14ac:dyDescent="0.25">
      <c r="B880" s="1">
        <f t="shared" si="13"/>
        <v>878</v>
      </c>
      <c r="C880" s="1">
        <v>1</v>
      </c>
      <c r="D880" s="1" t="s">
        <v>1802</v>
      </c>
      <c r="E880" s="3" t="s">
        <v>1801</v>
      </c>
      <c r="F880" s="3" t="s">
        <v>1801</v>
      </c>
    </row>
    <row r="881" spans="2:7" x14ac:dyDescent="0.25">
      <c r="B881" s="2">
        <f t="shared" si="13"/>
        <v>879</v>
      </c>
      <c r="C881" s="2">
        <v>1</v>
      </c>
      <c r="D881" s="2">
        <v>530</v>
      </c>
      <c r="E881" s="4" t="s">
        <v>1800</v>
      </c>
      <c r="F881" s="4" t="s">
        <v>1800</v>
      </c>
    </row>
    <row r="882" spans="2:7" ht="45" x14ac:dyDescent="0.25">
      <c r="B882" s="1">
        <f t="shared" si="13"/>
        <v>880</v>
      </c>
      <c r="C882" s="1">
        <v>1</v>
      </c>
      <c r="D882" s="1">
        <v>531</v>
      </c>
      <c r="E882" s="3" t="s">
        <v>1799</v>
      </c>
      <c r="F882" s="3" t="s">
        <v>1799</v>
      </c>
    </row>
    <row r="883" spans="2:7" x14ac:dyDescent="0.25">
      <c r="B883" s="2">
        <f t="shared" si="13"/>
        <v>881</v>
      </c>
      <c r="C883" s="2">
        <v>1</v>
      </c>
      <c r="D883" s="2">
        <v>532</v>
      </c>
      <c r="E883" s="4" t="s">
        <v>1798</v>
      </c>
      <c r="F883" s="4" t="s">
        <v>1798</v>
      </c>
    </row>
    <row r="884" spans="2:7" x14ac:dyDescent="0.25">
      <c r="B884" s="1">
        <f t="shared" si="13"/>
        <v>882</v>
      </c>
      <c r="C884" s="1">
        <v>1</v>
      </c>
      <c r="D884" s="1">
        <v>533</v>
      </c>
      <c r="E884" s="3" t="s">
        <v>1797</v>
      </c>
      <c r="F884" s="3" t="s">
        <v>1797</v>
      </c>
    </row>
    <row r="885" spans="2:7" x14ac:dyDescent="0.25">
      <c r="B885" s="2">
        <f t="shared" si="13"/>
        <v>883</v>
      </c>
      <c r="C885" s="2">
        <v>1</v>
      </c>
      <c r="D885" s="2">
        <v>534</v>
      </c>
      <c r="E885" s="4" t="s">
        <v>1796</v>
      </c>
      <c r="F885" s="4" t="s">
        <v>1796</v>
      </c>
    </row>
    <row r="886" spans="2:7" x14ac:dyDescent="0.25">
      <c r="B886" s="1">
        <f t="shared" si="13"/>
        <v>884</v>
      </c>
      <c r="C886" s="1">
        <v>1</v>
      </c>
      <c r="D886" s="1">
        <v>535</v>
      </c>
      <c r="E886" s="3" t="s">
        <v>1795</v>
      </c>
      <c r="F886" s="3" t="s">
        <v>1795</v>
      </c>
    </row>
    <row r="887" spans="2:7" x14ac:dyDescent="0.25">
      <c r="B887" s="2">
        <f t="shared" si="13"/>
        <v>885</v>
      </c>
      <c r="C887" s="2">
        <v>1</v>
      </c>
      <c r="D887" s="2">
        <v>536</v>
      </c>
      <c r="E887" s="4" t="s">
        <v>1794</v>
      </c>
      <c r="F887" s="4" t="s">
        <v>1794</v>
      </c>
    </row>
    <row r="888" spans="2:7" ht="30" x14ac:dyDescent="0.25">
      <c r="B888" s="1">
        <f t="shared" si="13"/>
        <v>886</v>
      </c>
      <c r="C888" s="1">
        <v>3</v>
      </c>
      <c r="D888" s="1">
        <v>51</v>
      </c>
      <c r="E888" s="3" t="s">
        <v>679</v>
      </c>
      <c r="F888" s="3" t="s">
        <v>679</v>
      </c>
    </row>
    <row r="889" spans="2:7" ht="30" x14ac:dyDescent="0.25">
      <c r="B889" s="2">
        <f t="shared" si="13"/>
        <v>887</v>
      </c>
      <c r="C889" s="2">
        <v>3</v>
      </c>
      <c r="D889" s="2">
        <v>52</v>
      </c>
      <c r="E889" s="4" t="s">
        <v>678</v>
      </c>
      <c r="F889" s="3" t="s">
        <v>678</v>
      </c>
    </row>
    <row r="890" spans="2:7" x14ac:dyDescent="0.25">
      <c r="B890" s="1">
        <f t="shared" si="13"/>
        <v>888</v>
      </c>
      <c r="C890" s="1">
        <v>1</v>
      </c>
      <c r="D890" s="1">
        <v>537</v>
      </c>
      <c r="E890" s="3" t="s">
        <v>1793</v>
      </c>
      <c r="F890" s="3" t="s">
        <v>1793</v>
      </c>
    </row>
    <row r="891" spans="2:7" ht="30" x14ac:dyDescent="0.25">
      <c r="B891" s="2">
        <f t="shared" si="13"/>
        <v>889</v>
      </c>
      <c r="C891" s="2">
        <v>3</v>
      </c>
      <c r="D891" s="2">
        <v>53</v>
      </c>
      <c r="E891" s="4" t="s">
        <v>677</v>
      </c>
      <c r="F891" s="3" t="s">
        <v>677</v>
      </c>
    </row>
    <row r="892" spans="2:7" x14ac:dyDescent="0.25">
      <c r="B892" s="1">
        <f t="shared" si="13"/>
        <v>890</v>
      </c>
      <c r="C892" s="1">
        <v>1</v>
      </c>
      <c r="D892" s="2">
        <v>538</v>
      </c>
      <c r="E892" s="4" t="s">
        <v>1792</v>
      </c>
      <c r="F892" s="4" t="s">
        <v>1792</v>
      </c>
    </row>
    <row r="893" spans="2:7" ht="30" x14ac:dyDescent="0.25">
      <c r="B893" s="2">
        <f t="shared" si="13"/>
        <v>891</v>
      </c>
      <c r="C893" s="2">
        <v>3</v>
      </c>
      <c r="D893" s="2" t="s">
        <v>676</v>
      </c>
      <c r="E893" s="4" t="s">
        <v>675</v>
      </c>
      <c r="F893" s="3" t="s">
        <v>675</v>
      </c>
    </row>
    <row r="894" spans="2:7" ht="30" x14ac:dyDescent="0.25">
      <c r="B894" s="1">
        <f t="shared" si="13"/>
        <v>892</v>
      </c>
      <c r="C894" s="1">
        <v>1</v>
      </c>
      <c r="D894" s="1">
        <v>539</v>
      </c>
      <c r="E894" s="3" t="s">
        <v>1791</v>
      </c>
      <c r="F894" s="3" t="s">
        <v>1791</v>
      </c>
    </row>
    <row r="895" spans="2:7" ht="30" x14ac:dyDescent="0.25">
      <c r="B895" s="2">
        <f t="shared" si="13"/>
        <v>893</v>
      </c>
      <c r="C895" s="2">
        <v>2</v>
      </c>
      <c r="D895" s="2">
        <v>208</v>
      </c>
      <c r="E895" s="4" t="s">
        <v>842</v>
      </c>
      <c r="F895" s="3" t="s">
        <v>1791</v>
      </c>
      <c r="G895" t="s">
        <v>3029</v>
      </c>
    </row>
    <row r="896" spans="2:7" ht="30" x14ac:dyDescent="0.25">
      <c r="B896" s="1">
        <f t="shared" si="13"/>
        <v>894</v>
      </c>
      <c r="C896" s="1">
        <v>1</v>
      </c>
      <c r="D896" s="2">
        <v>540</v>
      </c>
      <c r="E896" s="4" t="s">
        <v>1790</v>
      </c>
      <c r="F896" s="4" t="s">
        <v>1790</v>
      </c>
    </row>
    <row r="897" spans="2:7" ht="30" x14ac:dyDescent="0.25">
      <c r="B897" s="2">
        <f t="shared" si="13"/>
        <v>895</v>
      </c>
      <c r="C897" s="2">
        <v>2</v>
      </c>
      <c r="D897" s="2">
        <v>209</v>
      </c>
      <c r="E897" s="4" t="s">
        <v>841</v>
      </c>
      <c r="F897" s="3" t="s">
        <v>1790</v>
      </c>
      <c r="G897" t="s">
        <v>2820</v>
      </c>
    </row>
    <row r="898" spans="2:7" ht="30" x14ac:dyDescent="0.25">
      <c r="B898" s="1">
        <f t="shared" si="13"/>
        <v>896</v>
      </c>
      <c r="C898" s="1">
        <v>1</v>
      </c>
      <c r="D898" s="1">
        <v>541</v>
      </c>
      <c r="E898" s="3" t="s">
        <v>1789</v>
      </c>
      <c r="F898" s="3" t="s">
        <v>1789</v>
      </c>
    </row>
    <row r="899" spans="2:7" ht="30" x14ac:dyDescent="0.25">
      <c r="B899" s="2">
        <f t="shared" si="13"/>
        <v>897</v>
      </c>
      <c r="C899" s="2">
        <v>3</v>
      </c>
      <c r="D899" s="2">
        <v>54</v>
      </c>
      <c r="E899" s="4" t="s">
        <v>674</v>
      </c>
      <c r="F899" s="3" t="s">
        <v>674</v>
      </c>
    </row>
    <row r="900" spans="2:7" ht="30" x14ac:dyDescent="0.25">
      <c r="B900" s="1">
        <f t="shared" si="13"/>
        <v>898</v>
      </c>
      <c r="C900" s="1">
        <v>3</v>
      </c>
      <c r="D900" s="1">
        <v>55</v>
      </c>
      <c r="E900" s="3" t="s">
        <v>673</v>
      </c>
      <c r="F900" s="3" t="s">
        <v>673</v>
      </c>
    </row>
    <row r="901" spans="2:7" x14ac:dyDescent="0.25">
      <c r="B901" s="2">
        <f t="shared" ref="B901:B964" si="14">+B900+1</f>
        <v>899</v>
      </c>
      <c r="C901" s="2">
        <v>1</v>
      </c>
      <c r="D901" s="2">
        <v>542</v>
      </c>
      <c r="E901" s="4" t="s">
        <v>1788</v>
      </c>
      <c r="F901" s="4" t="s">
        <v>1788</v>
      </c>
    </row>
    <row r="902" spans="2:7" x14ac:dyDescent="0.25">
      <c r="B902" s="1">
        <f t="shared" si="14"/>
        <v>900</v>
      </c>
      <c r="C902" s="1">
        <v>1</v>
      </c>
      <c r="D902" s="1">
        <v>543</v>
      </c>
      <c r="E902" s="3" t="s">
        <v>1787</v>
      </c>
      <c r="F902" s="3" t="s">
        <v>1787</v>
      </c>
    </row>
    <row r="903" spans="2:7" ht="30" x14ac:dyDescent="0.25">
      <c r="B903" s="2">
        <f t="shared" si="14"/>
        <v>901</v>
      </c>
      <c r="C903" s="2">
        <v>1</v>
      </c>
      <c r="D903" s="2" t="s">
        <v>1786</v>
      </c>
      <c r="E903" s="4" t="s">
        <v>1785</v>
      </c>
      <c r="F903" s="4" t="s">
        <v>1785</v>
      </c>
    </row>
    <row r="904" spans="2:7" x14ac:dyDescent="0.25">
      <c r="B904" s="1">
        <f t="shared" si="14"/>
        <v>902</v>
      </c>
      <c r="C904" s="1">
        <v>2</v>
      </c>
      <c r="D904" s="1">
        <v>210</v>
      </c>
      <c r="E904" s="3" t="s">
        <v>840</v>
      </c>
      <c r="F904" s="3" t="s">
        <v>3076</v>
      </c>
      <c r="G904" t="s">
        <v>2909</v>
      </c>
    </row>
    <row r="905" spans="2:7" x14ac:dyDescent="0.25">
      <c r="B905" s="2">
        <f t="shared" si="14"/>
        <v>903</v>
      </c>
      <c r="C905" s="2">
        <v>1</v>
      </c>
      <c r="D905" s="2">
        <v>544</v>
      </c>
      <c r="E905" s="4" t="s">
        <v>1784</v>
      </c>
      <c r="F905" s="3" t="s">
        <v>1784</v>
      </c>
    </row>
    <row r="906" spans="2:7" ht="30" x14ac:dyDescent="0.25">
      <c r="B906" s="1">
        <f t="shared" si="14"/>
        <v>904</v>
      </c>
      <c r="C906" s="1">
        <v>1</v>
      </c>
      <c r="D906" s="2">
        <v>545</v>
      </c>
      <c r="E906" s="4" t="s">
        <v>1783</v>
      </c>
      <c r="F906" s="4" t="s">
        <v>1783</v>
      </c>
    </row>
    <row r="907" spans="2:7" ht="30" x14ac:dyDescent="0.25">
      <c r="B907" s="2">
        <f t="shared" si="14"/>
        <v>905</v>
      </c>
      <c r="C907" s="2">
        <v>1</v>
      </c>
      <c r="D907" s="2">
        <v>546</v>
      </c>
      <c r="E907" s="4" t="s">
        <v>1782</v>
      </c>
      <c r="F907" s="3" t="s">
        <v>1782</v>
      </c>
    </row>
    <row r="908" spans="2:7" x14ac:dyDescent="0.25">
      <c r="B908" s="1">
        <f t="shared" si="14"/>
        <v>906</v>
      </c>
      <c r="C908" s="1">
        <v>3</v>
      </c>
      <c r="D908" s="1">
        <v>56</v>
      </c>
      <c r="E908" s="3" t="s">
        <v>672</v>
      </c>
      <c r="F908" s="3" t="s">
        <v>672</v>
      </c>
    </row>
    <row r="909" spans="2:7" x14ac:dyDescent="0.25">
      <c r="B909" s="2">
        <f t="shared" si="14"/>
        <v>907</v>
      </c>
      <c r="C909" s="2">
        <v>1</v>
      </c>
      <c r="D909" s="2">
        <v>547</v>
      </c>
      <c r="E909" s="4" t="s">
        <v>1781</v>
      </c>
      <c r="F909" s="4" t="s">
        <v>1781</v>
      </c>
    </row>
    <row r="910" spans="2:7" x14ac:dyDescent="0.25">
      <c r="B910" s="1">
        <f t="shared" si="14"/>
        <v>908</v>
      </c>
      <c r="C910" s="1">
        <v>1</v>
      </c>
      <c r="D910" s="1">
        <v>548</v>
      </c>
      <c r="E910" s="3" t="s">
        <v>1780</v>
      </c>
      <c r="F910" s="3" t="s">
        <v>1780</v>
      </c>
    </row>
    <row r="911" spans="2:7" x14ac:dyDescent="0.25">
      <c r="B911" s="2">
        <f t="shared" si="14"/>
        <v>909</v>
      </c>
      <c r="C911" s="2">
        <v>1</v>
      </c>
      <c r="D911" s="2">
        <v>549</v>
      </c>
      <c r="E911" s="4" t="s">
        <v>1779</v>
      </c>
      <c r="F911" s="4" t="s">
        <v>1779</v>
      </c>
    </row>
    <row r="912" spans="2:7" x14ac:dyDescent="0.25">
      <c r="B912" s="1">
        <f t="shared" si="14"/>
        <v>910</v>
      </c>
      <c r="C912" s="1">
        <v>2</v>
      </c>
      <c r="D912" s="1">
        <v>211</v>
      </c>
      <c r="E912" s="3" t="s">
        <v>839</v>
      </c>
      <c r="F912" s="3" t="s">
        <v>1779</v>
      </c>
      <c r="G912" t="s">
        <v>2909</v>
      </c>
    </row>
    <row r="913" spans="2:7" x14ac:dyDescent="0.25">
      <c r="B913" s="2">
        <f t="shared" si="14"/>
        <v>911</v>
      </c>
      <c r="C913" s="2">
        <v>1</v>
      </c>
      <c r="D913" s="2">
        <v>550</v>
      </c>
      <c r="E913" s="4" t="s">
        <v>1778</v>
      </c>
      <c r="F913" s="3" t="s">
        <v>1778</v>
      </c>
    </row>
    <row r="914" spans="2:7" x14ac:dyDescent="0.25">
      <c r="B914" s="1">
        <f t="shared" si="14"/>
        <v>912</v>
      </c>
      <c r="C914" s="1">
        <v>1</v>
      </c>
      <c r="D914" s="2">
        <v>551</v>
      </c>
      <c r="E914" s="4" t="s">
        <v>1777</v>
      </c>
      <c r="F914" s="4" t="s">
        <v>1777</v>
      </c>
    </row>
    <row r="915" spans="2:7" x14ac:dyDescent="0.25">
      <c r="B915" s="2">
        <f t="shared" si="14"/>
        <v>913</v>
      </c>
      <c r="C915" s="2">
        <v>1</v>
      </c>
      <c r="D915" s="2">
        <v>552</v>
      </c>
      <c r="E915" s="4" t="s">
        <v>1776</v>
      </c>
      <c r="F915" s="3" t="s">
        <v>1776</v>
      </c>
    </row>
    <row r="916" spans="2:7" ht="30" x14ac:dyDescent="0.25">
      <c r="B916" s="1">
        <f t="shared" si="14"/>
        <v>914</v>
      </c>
      <c r="C916" s="1">
        <v>1</v>
      </c>
      <c r="D916" s="2">
        <v>553</v>
      </c>
      <c r="E916" s="4" t="s">
        <v>1775</v>
      </c>
      <c r="F916" s="4" t="s">
        <v>1775</v>
      </c>
    </row>
    <row r="917" spans="2:7" x14ac:dyDescent="0.25">
      <c r="B917" s="2">
        <f t="shared" si="14"/>
        <v>915</v>
      </c>
      <c r="C917" s="2">
        <v>1</v>
      </c>
      <c r="D917" s="2">
        <v>554</v>
      </c>
      <c r="E917" s="4" t="s">
        <v>1774</v>
      </c>
      <c r="F917" s="3" t="s">
        <v>1774</v>
      </c>
    </row>
    <row r="918" spans="2:7" x14ac:dyDescent="0.25">
      <c r="B918" s="1">
        <f t="shared" si="14"/>
        <v>916</v>
      </c>
      <c r="C918" s="1">
        <v>1</v>
      </c>
      <c r="D918" s="2">
        <v>555</v>
      </c>
      <c r="E918" s="4" t="s">
        <v>1773</v>
      </c>
      <c r="F918" s="4" t="s">
        <v>1773</v>
      </c>
    </row>
    <row r="919" spans="2:7" x14ac:dyDescent="0.25">
      <c r="B919" s="2">
        <f t="shared" si="14"/>
        <v>917</v>
      </c>
      <c r="C919" s="2">
        <v>1</v>
      </c>
      <c r="D919" s="2">
        <v>556</v>
      </c>
      <c r="E919" s="4" t="s">
        <v>1772</v>
      </c>
      <c r="F919" s="3" t="s">
        <v>1772</v>
      </c>
    </row>
    <row r="920" spans="2:7" x14ac:dyDescent="0.25">
      <c r="B920" s="1">
        <f t="shared" si="14"/>
        <v>918</v>
      </c>
      <c r="C920" s="1">
        <v>2</v>
      </c>
      <c r="D920" s="1">
        <v>212</v>
      </c>
      <c r="E920" s="3" t="s">
        <v>838</v>
      </c>
      <c r="F920" s="3" t="s">
        <v>1772</v>
      </c>
      <c r="G920" t="s">
        <v>3077</v>
      </c>
    </row>
    <row r="921" spans="2:7" x14ac:dyDescent="0.25">
      <c r="B921" s="2">
        <f t="shared" si="14"/>
        <v>919</v>
      </c>
      <c r="C921" s="2">
        <v>1</v>
      </c>
      <c r="D921" s="2">
        <v>557</v>
      </c>
      <c r="E921" s="4" t="s">
        <v>1771</v>
      </c>
      <c r="F921" s="4" t="s">
        <v>1771</v>
      </c>
    </row>
    <row r="922" spans="2:7" x14ac:dyDescent="0.25">
      <c r="B922" s="1">
        <f t="shared" si="14"/>
        <v>920</v>
      </c>
      <c r="C922" s="1">
        <v>1</v>
      </c>
      <c r="D922" s="1">
        <v>558</v>
      </c>
      <c r="E922" s="3" t="s">
        <v>1770</v>
      </c>
      <c r="F922" s="3" t="s">
        <v>1770</v>
      </c>
    </row>
    <row r="923" spans="2:7" x14ac:dyDescent="0.25">
      <c r="B923" s="2">
        <f t="shared" si="14"/>
        <v>921</v>
      </c>
      <c r="C923" s="2">
        <v>1</v>
      </c>
      <c r="D923" s="2">
        <v>559</v>
      </c>
      <c r="E923" s="4" t="s">
        <v>1769</v>
      </c>
      <c r="F923" s="4" t="s">
        <v>1769</v>
      </c>
    </row>
    <row r="924" spans="2:7" x14ac:dyDescent="0.25">
      <c r="B924" s="1">
        <f t="shared" si="14"/>
        <v>922</v>
      </c>
      <c r="C924" s="1">
        <v>1</v>
      </c>
      <c r="D924" s="1">
        <v>560</v>
      </c>
      <c r="E924" s="3" t="s">
        <v>1768</v>
      </c>
      <c r="F924" s="3" t="s">
        <v>1768</v>
      </c>
    </row>
    <row r="925" spans="2:7" ht="30" x14ac:dyDescent="0.25">
      <c r="B925" s="2">
        <f t="shared" si="14"/>
        <v>923</v>
      </c>
      <c r="C925" s="2">
        <v>1</v>
      </c>
      <c r="D925" s="2">
        <v>561</v>
      </c>
      <c r="E925" s="4" t="s">
        <v>1767</v>
      </c>
      <c r="F925" s="4" t="s">
        <v>1767</v>
      </c>
    </row>
    <row r="926" spans="2:7" x14ac:dyDescent="0.25">
      <c r="B926" s="1">
        <f t="shared" si="14"/>
        <v>924</v>
      </c>
      <c r="C926" s="1">
        <v>1</v>
      </c>
      <c r="D926" s="1">
        <v>562</v>
      </c>
      <c r="E926" s="3" t="s">
        <v>1766</v>
      </c>
      <c r="F926" s="3" t="s">
        <v>1766</v>
      </c>
    </row>
    <row r="927" spans="2:7" x14ac:dyDescent="0.25">
      <c r="B927" s="2">
        <f t="shared" si="14"/>
        <v>925</v>
      </c>
      <c r="C927" s="2">
        <v>1</v>
      </c>
      <c r="D927" s="2">
        <v>563</v>
      </c>
      <c r="E927" s="4" t="s">
        <v>1765</v>
      </c>
      <c r="F927" s="4" t="s">
        <v>1765</v>
      </c>
    </row>
    <row r="928" spans="2:7" x14ac:dyDescent="0.25">
      <c r="B928" s="1">
        <f t="shared" si="14"/>
        <v>926</v>
      </c>
      <c r="C928" s="1">
        <v>1</v>
      </c>
      <c r="D928" s="1">
        <v>564</v>
      </c>
      <c r="E928" s="3" t="s">
        <v>1764</v>
      </c>
      <c r="F928" s="3" t="s">
        <v>1764</v>
      </c>
    </row>
    <row r="929" spans="2:6" x14ac:dyDescent="0.25">
      <c r="B929" s="2">
        <f t="shared" si="14"/>
        <v>927</v>
      </c>
      <c r="C929" s="2">
        <v>1</v>
      </c>
      <c r="D929" s="2">
        <v>565</v>
      </c>
      <c r="E929" s="4" t="s">
        <v>1763</v>
      </c>
      <c r="F929" s="4" t="s">
        <v>1763</v>
      </c>
    </row>
    <row r="930" spans="2:6" x14ac:dyDescent="0.25">
      <c r="B930" s="1">
        <f t="shared" si="14"/>
        <v>928</v>
      </c>
      <c r="C930" s="1">
        <v>1</v>
      </c>
      <c r="D930" s="1">
        <v>566</v>
      </c>
      <c r="E930" s="3" t="s">
        <v>1762</v>
      </c>
      <c r="F930" s="3" t="s">
        <v>1762</v>
      </c>
    </row>
    <row r="931" spans="2:6" x14ac:dyDescent="0.25">
      <c r="B931" s="2">
        <f t="shared" si="14"/>
        <v>929</v>
      </c>
      <c r="C931" s="2">
        <v>1</v>
      </c>
      <c r="D931" s="2">
        <v>567</v>
      </c>
      <c r="E931" s="4" t="s">
        <v>1761</v>
      </c>
      <c r="F931" s="4" t="s">
        <v>1761</v>
      </c>
    </row>
    <row r="932" spans="2:6" x14ac:dyDescent="0.25">
      <c r="B932" s="1">
        <f t="shared" si="14"/>
        <v>930</v>
      </c>
      <c r="C932" s="1">
        <v>1</v>
      </c>
      <c r="D932" s="1">
        <v>568</v>
      </c>
      <c r="E932" s="3" t="s">
        <v>1760</v>
      </c>
      <c r="F932" s="3" t="s">
        <v>1760</v>
      </c>
    </row>
    <row r="933" spans="2:6" x14ac:dyDescent="0.25">
      <c r="B933" s="2">
        <f t="shared" si="14"/>
        <v>931</v>
      </c>
      <c r="C933" s="2">
        <v>1</v>
      </c>
      <c r="D933" s="2">
        <v>569</v>
      </c>
      <c r="E933" s="4" t="s">
        <v>1759</v>
      </c>
      <c r="F933" s="4" t="s">
        <v>1759</v>
      </c>
    </row>
    <row r="934" spans="2:6" x14ac:dyDescent="0.25">
      <c r="B934" s="1">
        <f t="shared" si="14"/>
        <v>932</v>
      </c>
      <c r="C934" s="1">
        <v>1</v>
      </c>
      <c r="D934" s="1">
        <v>570</v>
      </c>
      <c r="E934" s="3" t="s">
        <v>1758</v>
      </c>
      <c r="F934" s="3" t="s">
        <v>1758</v>
      </c>
    </row>
    <row r="935" spans="2:6" ht="30" x14ac:dyDescent="0.25">
      <c r="B935" s="2">
        <f t="shared" si="14"/>
        <v>933</v>
      </c>
      <c r="C935" s="2">
        <v>1</v>
      </c>
      <c r="D935" s="2" t="s">
        <v>1757</v>
      </c>
      <c r="E935" s="4" t="s">
        <v>1756</v>
      </c>
      <c r="F935" s="4" t="s">
        <v>1756</v>
      </c>
    </row>
    <row r="936" spans="2:6" x14ac:dyDescent="0.25">
      <c r="B936" s="1">
        <f t="shared" si="14"/>
        <v>934</v>
      </c>
      <c r="C936" s="1">
        <v>1</v>
      </c>
      <c r="D936" s="1">
        <v>571</v>
      </c>
      <c r="E936" s="3" t="s">
        <v>1755</v>
      </c>
      <c r="F936" s="3" t="s">
        <v>1755</v>
      </c>
    </row>
    <row r="937" spans="2:6" x14ac:dyDescent="0.25">
      <c r="B937" s="2">
        <f t="shared" si="14"/>
        <v>935</v>
      </c>
      <c r="C937" s="2">
        <v>1</v>
      </c>
      <c r="D937" s="2">
        <v>572</v>
      </c>
      <c r="E937" s="4" t="s">
        <v>1754</v>
      </c>
      <c r="F937" s="4" t="s">
        <v>1754</v>
      </c>
    </row>
    <row r="938" spans="2:6" x14ac:dyDescent="0.25">
      <c r="B938" s="1">
        <f t="shared" si="14"/>
        <v>936</v>
      </c>
      <c r="C938" s="1">
        <v>1</v>
      </c>
      <c r="D938" s="1">
        <v>573</v>
      </c>
      <c r="E938" s="3" t="s">
        <v>1753</v>
      </c>
      <c r="F938" s="3" t="s">
        <v>1753</v>
      </c>
    </row>
    <row r="939" spans="2:6" x14ac:dyDescent="0.25">
      <c r="B939" s="2">
        <f t="shared" si="14"/>
        <v>937</v>
      </c>
      <c r="C939" s="2">
        <v>1</v>
      </c>
      <c r="D939" s="2">
        <v>574</v>
      </c>
      <c r="E939" s="4" t="s">
        <v>1752</v>
      </c>
      <c r="F939" s="4" t="s">
        <v>1752</v>
      </c>
    </row>
    <row r="940" spans="2:6" x14ac:dyDescent="0.25">
      <c r="B940" s="1">
        <f t="shared" si="14"/>
        <v>938</v>
      </c>
      <c r="C940" s="1">
        <v>3</v>
      </c>
      <c r="D940" s="1">
        <v>57</v>
      </c>
      <c r="E940" s="3" t="s">
        <v>671</v>
      </c>
      <c r="F940" s="3" t="s">
        <v>671</v>
      </c>
    </row>
    <row r="941" spans="2:6" x14ac:dyDescent="0.25">
      <c r="B941" s="2">
        <f t="shared" si="14"/>
        <v>939</v>
      </c>
      <c r="C941" s="2">
        <v>3</v>
      </c>
      <c r="D941" s="2">
        <v>58</v>
      </c>
      <c r="E941" s="4" t="s">
        <v>670</v>
      </c>
      <c r="F941" s="3" t="s">
        <v>670</v>
      </c>
    </row>
    <row r="942" spans="2:6" x14ac:dyDescent="0.25">
      <c r="B942" s="1">
        <f t="shared" si="14"/>
        <v>940</v>
      </c>
      <c r="C942" s="1">
        <v>3</v>
      </c>
      <c r="D942" s="1">
        <v>59</v>
      </c>
      <c r="E942" s="3" t="s">
        <v>669</v>
      </c>
      <c r="F942" s="3" t="s">
        <v>669</v>
      </c>
    </row>
    <row r="943" spans="2:6" x14ac:dyDescent="0.25">
      <c r="B943" s="2">
        <f t="shared" si="14"/>
        <v>941</v>
      </c>
      <c r="C943" s="2">
        <v>1</v>
      </c>
      <c r="D943" s="2">
        <v>575</v>
      </c>
      <c r="E943" s="4" t="s">
        <v>1751</v>
      </c>
      <c r="F943" s="3" t="s">
        <v>1751</v>
      </c>
    </row>
    <row r="944" spans="2:6" x14ac:dyDescent="0.25">
      <c r="B944" s="1">
        <f t="shared" si="14"/>
        <v>942</v>
      </c>
      <c r="C944" s="1">
        <v>3</v>
      </c>
      <c r="D944" s="1">
        <v>60</v>
      </c>
      <c r="E944" s="3" t="s">
        <v>668</v>
      </c>
      <c r="F944" s="3" t="s">
        <v>668</v>
      </c>
    </row>
    <row r="945" spans="2:7" x14ac:dyDescent="0.25">
      <c r="B945" s="2">
        <f t="shared" si="14"/>
        <v>943</v>
      </c>
      <c r="C945" s="2">
        <v>1</v>
      </c>
      <c r="D945" s="2">
        <v>576</v>
      </c>
      <c r="E945" s="4" t="s">
        <v>1750</v>
      </c>
      <c r="F945" s="4" t="s">
        <v>1750</v>
      </c>
    </row>
    <row r="946" spans="2:7" ht="30" x14ac:dyDescent="0.25">
      <c r="B946" s="1">
        <f t="shared" si="14"/>
        <v>944</v>
      </c>
      <c r="C946" s="1">
        <v>1</v>
      </c>
      <c r="D946" s="1">
        <v>577</v>
      </c>
      <c r="E946" s="3" t="s">
        <v>1749</v>
      </c>
      <c r="F946" s="3" t="s">
        <v>1749</v>
      </c>
    </row>
    <row r="947" spans="2:7" x14ac:dyDescent="0.25">
      <c r="B947" s="2">
        <f t="shared" si="14"/>
        <v>945</v>
      </c>
      <c r="C947" s="2">
        <v>3</v>
      </c>
      <c r="D947" s="2">
        <v>61</v>
      </c>
      <c r="E947" s="4" t="s">
        <v>667</v>
      </c>
      <c r="F947" s="3" t="s">
        <v>667</v>
      </c>
    </row>
    <row r="948" spans="2:7" x14ac:dyDescent="0.25">
      <c r="B948" s="1">
        <f t="shared" si="14"/>
        <v>946</v>
      </c>
      <c r="C948" s="1">
        <v>1</v>
      </c>
      <c r="D948" s="2">
        <v>578</v>
      </c>
      <c r="E948" s="4" t="s">
        <v>1748</v>
      </c>
      <c r="F948" s="4" t="s">
        <v>1748</v>
      </c>
    </row>
    <row r="949" spans="2:7" ht="30" x14ac:dyDescent="0.25">
      <c r="B949" s="2">
        <f t="shared" si="14"/>
        <v>947</v>
      </c>
      <c r="C949" s="2">
        <v>2</v>
      </c>
      <c r="D949" s="2" t="s">
        <v>837</v>
      </c>
      <c r="E949" s="4" t="s">
        <v>836</v>
      </c>
      <c r="F949" s="3" t="s">
        <v>1748</v>
      </c>
      <c r="G949" t="s">
        <v>3078</v>
      </c>
    </row>
    <row r="950" spans="2:7" x14ac:dyDescent="0.25">
      <c r="B950" s="1">
        <f t="shared" si="14"/>
        <v>948</v>
      </c>
      <c r="C950" s="1">
        <v>1</v>
      </c>
      <c r="D950" s="1">
        <v>579</v>
      </c>
      <c r="E950" s="3" t="s">
        <v>1747</v>
      </c>
      <c r="F950" s="3" t="s">
        <v>1747</v>
      </c>
    </row>
    <row r="951" spans="2:7" x14ac:dyDescent="0.25">
      <c r="B951" s="2">
        <f t="shared" si="14"/>
        <v>949</v>
      </c>
      <c r="C951" s="2">
        <v>1</v>
      </c>
      <c r="D951" s="2">
        <v>580</v>
      </c>
      <c r="E951" s="4" t="s">
        <v>1746</v>
      </c>
      <c r="F951" s="4" t="s">
        <v>1746</v>
      </c>
    </row>
    <row r="952" spans="2:7" x14ac:dyDescent="0.25">
      <c r="B952" s="1">
        <f t="shared" si="14"/>
        <v>950</v>
      </c>
      <c r="C952" s="1">
        <v>1</v>
      </c>
      <c r="D952" s="1">
        <v>581</v>
      </c>
      <c r="E952" s="3" t="s">
        <v>1745</v>
      </c>
      <c r="F952" s="3" t="s">
        <v>1745</v>
      </c>
    </row>
    <row r="953" spans="2:7" ht="30" x14ac:dyDescent="0.25">
      <c r="B953" s="2">
        <f t="shared" si="14"/>
        <v>951</v>
      </c>
      <c r="C953" s="2">
        <v>1</v>
      </c>
      <c r="D953" s="2" t="s">
        <v>1744</v>
      </c>
      <c r="E953" s="4" t="s">
        <v>1743</v>
      </c>
      <c r="F953" s="4" t="s">
        <v>1743</v>
      </c>
    </row>
    <row r="954" spans="2:7" x14ac:dyDescent="0.25">
      <c r="B954" s="1">
        <f t="shared" si="14"/>
        <v>952</v>
      </c>
      <c r="C954" s="1">
        <v>1</v>
      </c>
      <c r="D954" s="1">
        <v>582</v>
      </c>
      <c r="E954" s="3" t="s">
        <v>1742</v>
      </c>
      <c r="F954" s="3" t="s">
        <v>1742</v>
      </c>
    </row>
    <row r="955" spans="2:7" x14ac:dyDescent="0.25">
      <c r="B955" s="2">
        <f t="shared" si="14"/>
        <v>953</v>
      </c>
      <c r="C955" s="2">
        <v>1</v>
      </c>
      <c r="D955" s="2">
        <v>583</v>
      </c>
      <c r="E955" s="4" t="s">
        <v>1741</v>
      </c>
      <c r="F955" s="4" t="s">
        <v>1741</v>
      </c>
    </row>
    <row r="956" spans="2:7" x14ac:dyDescent="0.25">
      <c r="B956" s="1">
        <f t="shared" si="14"/>
        <v>954</v>
      </c>
      <c r="C956" s="1">
        <v>2</v>
      </c>
      <c r="D956" s="1">
        <v>213</v>
      </c>
      <c r="E956" s="3" t="s">
        <v>835</v>
      </c>
      <c r="F956" s="3" t="s">
        <v>3079</v>
      </c>
      <c r="G956" t="s">
        <v>3080</v>
      </c>
    </row>
    <row r="957" spans="2:7" x14ac:dyDescent="0.25">
      <c r="B957" s="2">
        <f t="shared" si="14"/>
        <v>955</v>
      </c>
      <c r="C957" s="2">
        <v>1</v>
      </c>
      <c r="D957" s="2">
        <v>584</v>
      </c>
      <c r="E957" s="4" t="s">
        <v>1740</v>
      </c>
      <c r="F957" s="3" t="s">
        <v>1740</v>
      </c>
    </row>
    <row r="958" spans="2:7" x14ac:dyDescent="0.25">
      <c r="B958" s="1">
        <f t="shared" si="14"/>
        <v>956</v>
      </c>
      <c r="C958" s="1">
        <v>1</v>
      </c>
      <c r="D958" s="2">
        <v>585</v>
      </c>
      <c r="E958" s="4" t="s">
        <v>1739</v>
      </c>
      <c r="F958" s="4" t="s">
        <v>1739</v>
      </c>
    </row>
    <row r="959" spans="2:7" ht="45" x14ac:dyDescent="0.25">
      <c r="B959" s="2">
        <f t="shared" si="14"/>
        <v>957</v>
      </c>
      <c r="C959" s="2">
        <v>1</v>
      </c>
      <c r="D959" s="2" t="s">
        <v>1738</v>
      </c>
      <c r="E959" s="4" t="s">
        <v>1737</v>
      </c>
      <c r="F959" s="3" t="s">
        <v>1737</v>
      </c>
    </row>
    <row r="960" spans="2:7" ht="30" x14ac:dyDescent="0.25">
      <c r="B960" s="1">
        <f t="shared" si="14"/>
        <v>958</v>
      </c>
      <c r="C960" s="1">
        <v>2</v>
      </c>
      <c r="D960" s="1" t="s">
        <v>834</v>
      </c>
      <c r="E960" s="3" t="s">
        <v>833</v>
      </c>
      <c r="F960" s="3" t="s">
        <v>3081</v>
      </c>
      <c r="G960" t="s">
        <v>3082</v>
      </c>
    </row>
    <row r="961" spans="2:8" ht="30" x14ac:dyDescent="0.25">
      <c r="B961" s="2">
        <f t="shared" si="14"/>
        <v>959</v>
      </c>
      <c r="C961" s="2">
        <v>1</v>
      </c>
      <c r="D961" s="2">
        <v>586</v>
      </c>
      <c r="E961" s="4" t="s">
        <v>1736</v>
      </c>
      <c r="F961" s="4" t="s">
        <v>1736</v>
      </c>
    </row>
    <row r="962" spans="2:8" ht="30" x14ac:dyDescent="0.25">
      <c r="B962" s="1">
        <f t="shared" si="14"/>
        <v>960</v>
      </c>
      <c r="C962" s="1">
        <v>1</v>
      </c>
      <c r="D962" s="1">
        <v>587</v>
      </c>
      <c r="E962" s="3" t="s">
        <v>1735</v>
      </c>
      <c r="F962" s="3" t="s">
        <v>1735</v>
      </c>
    </row>
    <row r="963" spans="2:8" ht="30" x14ac:dyDescent="0.25">
      <c r="B963" s="2">
        <f t="shared" si="14"/>
        <v>961</v>
      </c>
      <c r="C963" s="2">
        <v>1</v>
      </c>
      <c r="D963" s="2">
        <v>588</v>
      </c>
      <c r="E963" s="4" t="s">
        <v>1734</v>
      </c>
      <c r="F963" s="4" t="s">
        <v>1734</v>
      </c>
    </row>
    <row r="964" spans="2:8" ht="30" x14ac:dyDescent="0.25">
      <c r="B964" s="1">
        <f t="shared" si="14"/>
        <v>962</v>
      </c>
      <c r="C964" s="1">
        <v>1</v>
      </c>
      <c r="D964" s="1">
        <v>589</v>
      </c>
      <c r="E964" s="3" t="s">
        <v>1733</v>
      </c>
      <c r="F964" s="3" t="s">
        <v>1733</v>
      </c>
    </row>
    <row r="965" spans="2:8" x14ac:dyDescent="0.25">
      <c r="B965" s="2">
        <f t="shared" ref="B965:B1028" si="15">+B964+1</f>
        <v>963</v>
      </c>
      <c r="C965" s="2">
        <v>1</v>
      </c>
      <c r="D965" s="2">
        <v>590</v>
      </c>
      <c r="E965" s="4" t="s">
        <v>1732</v>
      </c>
      <c r="F965" s="4" t="s">
        <v>1732</v>
      </c>
    </row>
    <row r="966" spans="2:8" x14ac:dyDescent="0.25">
      <c r="B966" s="1">
        <f t="shared" si="15"/>
        <v>964</v>
      </c>
      <c r="C966" s="1">
        <v>1</v>
      </c>
      <c r="D966" s="1">
        <v>591</v>
      </c>
      <c r="E966" s="3" t="s">
        <v>1731</v>
      </c>
      <c r="F966" s="3" t="s">
        <v>1731</v>
      </c>
    </row>
    <row r="967" spans="2:8" x14ac:dyDescent="0.25">
      <c r="B967" s="2">
        <f t="shared" si="15"/>
        <v>965</v>
      </c>
      <c r="C967" s="2">
        <v>2</v>
      </c>
      <c r="D967" s="2">
        <v>214</v>
      </c>
      <c r="E967" s="4" t="s">
        <v>832</v>
      </c>
      <c r="F967" s="3" t="s">
        <v>1731</v>
      </c>
      <c r="G967" t="s">
        <v>3083</v>
      </c>
      <c r="H967" t="s">
        <v>3013</v>
      </c>
    </row>
    <row r="968" spans="2:8" x14ac:dyDescent="0.25">
      <c r="B968" s="1">
        <f t="shared" si="15"/>
        <v>966</v>
      </c>
      <c r="C968" s="1">
        <v>1</v>
      </c>
      <c r="D968" s="2">
        <v>592</v>
      </c>
      <c r="E968" s="4" t="s">
        <v>1730</v>
      </c>
      <c r="F968" s="4" t="s">
        <v>1730</v>
      </c>
    </row>
    <row r="969" spans="2:8" x14ac:dyDescent="0.25">
      <c r="B969" s="2">
        <f t="shared" si="15"/>
        <v>967</v>
      </c>
      <c r="C969" s="2">
        <v>2</v>
      </c>
      <c r="D969" s="2">
        <v>215</v>
      </c>
      <c r="E969" s="4" t="s">
        <v>831</v>
      </c>
      <c r="F969" s="3" t="s">
        <v>1730</v>
      </c>
      <c r="G969" t="s">
        <v>3084</v>
      </c>
    </row>
    <row r="970" spans="2:8" x14ac:dyDescent="0.25">
      <c r="B970" s="1">
        <f t="shared" si="15"/>
        <v>968</v>
      </c>
      <c r="C970" s="1">
        <v>1</v>
      </c>
      <c r="D970" s="1">
        <v>593</v>
      </c>
      <c r="E970" s="3" t="s">
        <v>1729</v>
      </c>
      <c r="F970" s="3" t="s">
        <v>1729</v>
      </c>
    </row>
    <row r="971" spans="2:8" x14ac:dyDescent="0.25">
      <c r="B971" s="2">
        <f t="shared" si="15"/>
        <v>969</v>
      </c>
      <c r="C971" s="2">
        <v>3</v>
      </c>
      <c r="D971" s="2">
        <v>62</v>
      </c>
      <c r="E971" s="4" t="s">
        <v>666</v>
      </c>
      <c r="F971" s="3" t="s">
        <v>666</v>
      </c>
    </row>
    <row r="972" spans="2:8" ht="30" x14ac:dyDescent="0.25">
      <c r="B972" s="1">
        <f t="shared" si="15"/>
        <v>970</v>
      </c>
      <c r="C972" s="1">
        <v>1</v>
      </c>
      <c r="D972" s="2">
        <v>594</v>
      </c>
      <c r="E972" s="4" t="s">
        <v>1728</v>
      </c>
      <c r="F972" s="4" t="s">
        <v>1728</v>
      </c>
    </row>
    <row r="973" spans="2:8" ht="30" x14ac:dyDescent="0.25">
      <c r="B973" s="2">
        <f t="shared" si="15"/>
        <v>971</v>
      </c>
      <c r="C973" s="2">
        <v>1</v>
      </c>
      <c r="D973" s="2">
        <v>595</v>
      </c>
      <c r="E973" s="4" t="s">
        <v>1727</v>
      </c>
      <c r="F973" s="3" t="s">
        <v>1727</v>
      </c>
    </row>
    <row r="974" spans="2:8" x14ac:dyDescent="0.25">
      <c r="B974" s="1">
        <f t="shared" si="15"/>
        <v>972</v>
      </c>
      <c r="C974" s="1">
        <v>1</v>
      </c>
      <c r="D974" s="2">
        <v>596</v>
      </c>
      <c r="E974" s="4" t="s">
        <v>1726</v>
      </c>
      <c r="F974" s="4" t="s">
        <v>1726</v>
      </c>
    </row>
    <row r="975" spans="2:8" x14ac:dyDescent="0.25">
      <c r="B975" s="2">
        <f t="shared" si="15"/>
        <v>973</v>
      </c>
      <c r="C975" s="2">
        <v>1</v>
      </c>
      <c r="D975" s="2">
        <v>597</v>
      </c>
      <c r="E975" s="4" t="s">
        <v>1725</v>
      </c>
      <c r="F975" s="3" t="s">
        <v>1725</v>
      </c>
    </row>
    <row r="976" spans="2:8" x14ac:dyDescent="0.25">
      <c r="B976" s="1">
        <f t="shared" si="15"/>
        <v>974</v>
      </c>
      <c r="C976" s="1">
        <v>2</v>
      </c>
      <c r="D976" s="1">
        <v>216</v>
      </c>
      <c r="E976" s="3" t="s">
        <v>830</v>
      </c>
      <c r="F976" s="3" t="s">
        <v>1725</v>
      </c>
      <c r="G976" t="s">
        <v>3013</v>
      </c>
      <c r="H976" t="s">
        <v>2820</v>
      </c>
    </row>
    <row r="977" spans="2:8" x14ac:dyDescent="0.25">
      <c r="B977" s="2">
        <f t="shared" si="15"/>
        <v>975</v>
      </c>
      <c r="C977" s="2">
        <v>1</v>
      </c>
      <c r="D977" s="2">
        <v>598</v>
      </c>
      <c r="E977" s="4" t="s">
        <v>1724</v>
      </c>
      <c r="F977" s="4" t="s">
        <v>1724</v>
      </c>
    </row>
    <row r="978" spans="2:8" x14ac:dyDescent="0.25">
      <c r="B978" s="1">
        <f t="shared" si="15"/>
        <v>976</v>
      </c>
      <c r="C978" s="1">
        <v>2</v>
      </c>
      <c r="D978" s="1">
        <v>217</v>
      </c>
      <c r="E978" s="3" t="s">
        <v>829</v>
      </c>
      <c r="F978" s="3" t="s">
        <v>1724</v>
      </c>
      <c r="G978" t="s">
        <v>3085</v>
      </c>
    </row>
    <row r="979" spans="2:8" x14ac:dyDescent="0.25">
      <c r="B979" s="2">
        <f t="shared" si="15"/>
        <v>977</v>
      </c>
      <c r="C979" s="2">
        <v>2</v>
      </c>
      <c r="D979" s="2">
        <v>218</v>
      </c>
      <c r="E979" s="4" t="s">
        <v>828</v>
      </c>
      <c r="F979" s="3" t="s">
        <v>1724</v>
      </c>
      <c r="G979" t="s">
        <v>3086</v>
      </c>
    </row>
    <row r="980" spans="2:8" x14ac:dyDescent="0.25">
      <c r="B980" s="1">
        <f t="shared" si="15"/>
        <v>978</v>
      </c>
      <c r="C980" s="1">
        <v>2</v>
      </c>
      <c r="D980" s="1">
        <v>219</v>
      </c>
      <c r="E980" s="3" t="s">
        <v>827</v>
      </c>
      <c r="F980" s="3" t="s">
        <v>1724</v>
      </c>
      <c r="G980" t="s">
        <v>3087</v>
      </c>
    </row>
    <row r="981" spans="2:8" x14ac:dyDescent="0.25">
      <c r="B981" s="2">
        <f t="shared" si="15"/>
        <v>979</v>
      </c>
      <c r="C981" s="2">
        <v>2</v>
      </c>
      <c r="D981" s="2">
        <v>220</v>
      </c>
      <c r="E981" s="4" t="s">
        <v>826</v>
      </c>
      <c r="F981" s="3" t="s">
        <v>1724</v>
      </c>
      <c r="G981" t="s">
        <v>2912</v>
      </c>
    </row>
    <row r="982" spans="2:8" x14ac:dyDescent="0.25">
      <c r="B982" s="1">
        <f t="shared" si="15"/>
        <v>980</v>
      </c>
      <c r="C982" s="1">
        <v>2</v>
      </c>
      <c r="D982" s="1">
        <v>221</v>
      </c>
      <c r="E982" s="3" t="s">
        <v>825</v>
      </c>
      <c r="F982" s="3" t="s">
        <v>1724</v>
      </c>
      <c r="G982" t="s">
        <v>2913</v>
      </c>
    </row>
    <row r="983" spans="2:8" x14ac:dyDescent="0.25">
      <c r="B983" s="2">
        <f t="shared" si="15"/>
        <v>981</v>
      </c>
      <c r="C983" s="2">
        <v>2</v>
      </c>
      <c r="D983" s="2">
        <v>222</v>
      </c>
      <c r="E983" s="4" t="s">
        <v>824</v>
      </c>
      <c r="F983" s="3" t="s">
        <v>1724</v>
      </c>
      <c r="G983" t="s">
        <v>3088</v>
      </c>
    </row>
    <row r="984" spans="2:8" x14ac:dyDescent="0.25">
      <c r="B984" s="1">
        <f t="shared" si="15"/>
        <v>982</v>
      </c>
      <c r="C984" s="1">
        <v>2</v>
      </c>
      <c r="D984" s="1">
        <v>223</v>
      </c>
      <c r="E984" s="3" t="s">
        <v>823</v>
      </c>
      <c r="F984" s="3" t="s">
        <v>1724</v>
      </c>
      <c r="G984" t="s">
        <v>3089</v>
      </c>
    </row>
    <row r="985" spans="2:8" x14ac:dyDescent="0.25">
      <c r="B985" s="2">
        <f t="shared" si="15"/>
        <v>983</v>
      </c>
      <c r="C985" s="2">
        <v>2</v>
      </c>
      <c r="D985" s="2">
        <v>224</v>
      </c>
      <c r="E985" s="4" t="s">
        <v>822</v>
      </c>
      <c r="F985" s="3" t="s">
        <v>1724</v>
      </c>
      <c r="G985" t="s">
        <v>3090</v>
      </c>
    </row>
    <row r="986" spans="2:8" x14ac:dyDescent="0.25">
      <c r="B986" s="1">
        <f t="shared" si="15"/>
        <v>984</v>
      </c>
      <c r="C986" s="1">
        <v>2</v>
      </c>
      <c r="D986" s="1">
        <v>225</v>
      </c>
      <c r="E986" s="3" t="s">
        <v>821</v>
      </c>
      <c r="F986" s="3" t="s">
        <v>1724</v>
      </c>
      <c r="G986" t="s">
        <v>2915</v>
      </c>
    </row>
    <row r="987" spans="2:8" x14ac:dyDescent="0.25">
      <c r="B987" s="2">
        <f t="shared" si="15"/>
        <v>985</v>
      </c>
      <c r="C987" s="2">
        <v>2</v>
      </c>
      <c r="D987" s="2">
        <v>226</v>
      </c>
      <c r="E987" s="4" t="s">
        <v>820</v>
      </c>
      <c r="F987" s="3" t="s">
        <v>1724</v>
      </c>
      <c r="G987" t="s">
        <v>3019</v>
      </c>
      <c r="H987" t="s">
        <v>3091</v>
      </c>
    </row>
    <row r="988" spans="2:8" x14ac:dyDescent="0.25">
      <c r="B988" s="1">
        <f t="shared" si="15"/>
        <v>986</v>
      </c>
      <c r="C988" s="1">
        <v>2</v>
      </c>
      <c r="D988" s="1">
        <v>227</v>
      </c>
      <c r="E988" s="3" t="s">
        <v>819</v>
      </c>
      <c r="F988" s="3" t="s">
        <v>1724</v>
      </c>
      <c r="G988" t="s">
        <v>3092</v>
      </c>
    </row>
    <row r="989" spans="2:8" x14ac:dyDescent="0.25">
      <c r="B989" s="2">
        <f t="shared" si="15"/>
        <v>987</v>
      </c>
      <c r="C989" s="2">
        <v>2</v>
      </c>
      <c r="D989" s="2">
        <v>228</v>
      </c>
      <c r="E989" s="4" t="s">
        <v>818</v>
      </c>
      <c r="F989" s="3" t="s">
        <v>1724</v>
      </c>
      <c r="G989" t="s">
        <v>3093</v>
      </c>
    </row>
    <row r="990" spans="2:8" x14ac:dyDescent="0.25">
      <c r="B990" s="1">
        <f t="shared" si="15"/>
        <v>988</v>
      </c>
      <c r="C990" s="1">
        <v>2</v>
      </c>
      <c r="D990" s="1">
        <v>229</v>
      </c>
      <c r="E990" s="3" t="s">
        <v>817</v>
      </c>
      <c r="F990" s="3" t="s">
        <v>1724</v>
      </c>
      <c r="G990" t="s">
        <v>3094</v>
      </c>
    </row>
    <row r="991" spans="2:8" x14ac:dyDescent="0.25">
      <c r="B991" s="2">
        <f t="shared" si="15"/>
        <v>989</v>
      </c>
      <c r="C991" s="2">
        <v>2</v>
      </c>
      <c r="D991" s="2">
        <v>230</v>
      </c>
      <c r="E991" s="4" t="s">
        <v>816</v>
      </c>
      <c r="F991" s="3" t="s">
        <v>1724</v>
      </c>
      <c r="G991" t="s">
        <v>3077</v>
      </c>
    </row>
    <row r="992" spans="2:8" x14ac:dyDescent="0.25">
      <c r="B992" s="1">
        <f t="shared" si="15"/>
        <v>990</v>
      </c>
      <c r="C992" s="1">
        <v>2</v>
      </c>
      <c r="D992" s="1">
        <v>231</v>
      </c>
      <c r="E992" s="3" t="s">
        <v>815</v>
      </c>
      <c r="F992" s="3" t="s">
        <v>1724</v>
      </c>
      <c r="G992" t="s">
        <v>2916</v>
      </c>
    </row>
    <row r="993" spans="2:8" x14ac:dyDescent="0.25">
      <c r="B993" s="2">
        <f t="shared" si="15"/>
        <v>991</v>
      </c>
      <c r="C993" s="2">
        <v>2</v>
      </c>
      <c r="D993" s="2">
        <v>232</v>
      </c>
      <c r="E993" s="4" t="s">
        <v>814</v>
      </c>
      <c r="F993" s="3" t="s">
        <v>3095</v>
      </c>
      <c r="G993" t="s">
        <v>2820</v>
      </c>
      <c r="H993" t="s">
        <v>2821</v>
      </c>
    </row>
    <row r="994" spans="2:8" ht="45" x14ac:dyDescent="0.25">
      <c r="B994" s="1">
        <f t="shared" si="15"/>
        <v>992</v>
      </c>
      <c r="C994" s="1">
        <v>1</v>
      </c>
      <c r="D994" s="1" t="s">
        <v>1723</v>
      </c>
      <c r="E994" s="3" t="s">
        <v>1722</v>
      </c>
      <c r="F994" s="3" t="s">
        <v>1722</v>
      </c>
    </row>
    <row r="995" spans="2:8" ht="30" x14ac:dyDescent="0.25">
      <c r="B995" s="2">
        <f t="shared" si="15"/>
        <v>993</v>
      </c>
      <c r="C995" s="2">
        <v>1</v>
      </c>
      <c r="D995" s="2" t="s">
        <v>1721</v>
      </c>
      <c r="E995" s="4" t="s">
        <v>1720</v>
      </c>
      <c r="F995" s="4" t="s">
        <v>1720</v>
      </c>
    </row>
    <row r="996" spans="2:8" x14ac:dyDescent="0.25">
      <c r="B996" s="1">
        <f t="shared" si="15"/>
        <v>994</v>
      </c>
      <c r="C996" s="1">
        <v>3</v>
      </c>
      <c r="D996" s="1">
        <v>63</v>
      </c>
      <c r="E996" s="3" t="s">
        <v>665</v>
      </c>
      <c r="F996" s="3" t="s">
        <v>665</v>
      </c>
    </row>
    <row r="997" spans="2:8" x14ac:dyDescent="0.25">
      <c r="B997" s="2">
        <f t="shared" si="15"/>
        <v>995</v>
      </c>
      <c r="C997" s="2">
        <v>1</v>
      </c>
      <c r="D997" s="2">
        <v>599</v>
      </c>
      <c r="E997" s="4" t="s">
        <v>1719</v>
      </c>
      <c r="F997" s="3" t="s">
        <v>1719</v>
      </c>
    </row>
    <row r="998" spans="2:8" x14ac:dyDescent="0.25">
      <c r="B998" s="1">
        <f t="shared" si="15"/>
        <v>996</v>
      </c>
      <c r="C998" s="1">
        <v>3</v>
      </c>
      <c r="D998" s="1">
        <v>64</v>
      </c>
      <c r="E998" s="3" t="s">
        <v>664</v>
      </c>
      <c r="F998" s="3" t="s">
        <v>664</v>
      </c>
    </row>
    <row r="999" spans="2:8" ht="30" x14ac:dyDescent="0.25">
      <c r="B999" s="2">
        <f t="shared" si="15"/>
        <v>997</v>
      </c>
      <c r="C999" s="2">
        <v>1</v>
      </c>
      <c r="D999" s="2">
        <v>600</v>
      </c>
      <c r="E999" s="4" t="s">
        <v>1718</v>
      </c>
      <c r="F999" s="4" t="s">
        <v>1718</v>
      </c>
    </row>
    <row r="1000" spans="2:8" ht="30" x14ac:dyDescent="0.25">
      <c r="B1000" s="1">
        <f t="shared" si="15"/>
        <v>998</v>
      </c>
      <c r="C1000" s="1">
        <v>2</v>
      </c>
      <c r="D1000" s="1">
        <v>233</v>
      </c>
      <c r="E1000" s="3" t="s">
        <v>813</v>
      </c>
      <c r="F1000" s="3" t="s">
        <v>1718</v>
      </c>
      <c r="G1000" t="s">
        <v>3096</v>
      </c>
    </row>
    <row r="1001" spans="2:8" x14ac:dyDescent="0.25">
      <c r="B1001" s="2">
        <f t="shared" si="15"/>
        <v>999</v>
      </c>
      <c r="C1001" s="2">
        <v>1</v>
      </c>
      <c r="D1001" s="2">
        <v>601</v>
      </c>
      <c r="E1001" s="4" t="s">
        <v>1717</v>
      </c>
      <c r="F1001" s="3" t="s">
        <v>1717</v>
      </c>
    </row>
    <row r="1002" spans="2:8" x14ac:dyDescent="0.25">
      <c r="B1002" s="1">
        <f t="shared" si="15"/>
        <v>1000</v>
      </c>
      <c r="C1002" s="1">
        <v>1</v>
      </c>
      <c r="D1002" s="2">
        <v>602</v>
      </c>
      <c r="E1002" s="4" t="s">
        <v>1716</v>
      </c>
      <c r="F1002" s="4" t="s">
        <v>1716</v>
      </c>
    </row>
    <row r="1003" spans="2:8" x14ac:dyDescent="0.25">
      <c r="B1003" s="2">
        <f t="shared" si="15"/>
        <v>1001</v>
      </c>
      <c r="C1003" s="2">
        <v>1</v>
      </c>
      <c r="D1003" s="2">
        <v>603</v>
      </c>
      <c r="E1003" s="4" t="s">
        <v>1715</v>
      </c>
      <c r="F1003" s="3" t="s">
        <v>1715</v>
      </c>
    </row>
    <row r="1004" spans="2:8" x14ac:dyDescent="0.25">
      <c r="B1004" s="1">
        <f t="shared" si="15"/>
        <v>1002</v>
      </c>
      <c r="C1004" s="1">
        <v>1</v>
      </c>
      <c r="D1004" s="2">
        <v>604</v>
      </c>
      <c r="E1004" s="4" t="s">
        <v>1714</v>
      </c>
      <c r="F1004" s="4" t="s">
        <v>1714</v>
      </c>
    </row>
    <row r="1005" spans="2:8" x14ac:dyDescent="0.25">
      <c r="B1005" s="2">
        <f t="shared" si="15"/>
        <v>1003</v>
      </c>
      <c r="C1005" s="2">
        <v>3</v>
      </c>
      <c r="D1005" s="2">
        <v>65</v>
      </c>
      <c r="E1005" s="4" t="s">
        <v>663</v>
      </c>
      <c r="F1005" s="3" t="s">
        <v>663</v>
      </c>
    </row>
    <row r="1006" spans="2:8" x14ac:dyDescent="0.25">
      <c r="B1006" s="1">
        <f t="shared" si="15"/>
        <v>1004</v>
      </c>
      <c r="C1006" s="1">
        <v>1</v>
      </c>
      <c r="D1006" s="1">
        <v>605</v>
      </c>
      <c r="E1006" s="3" t="s">
        <v>1713</v>
      </c>
      <c r="F1006" s="3" t="s">
        <v>1713</v>
      </c>
    </row>
    <row r="1007" spans="2:8" x14ac:dyDescent="0.25">
      <c r="B1007" s="2">
        <f t="shared" si="15"/>
        <v>1005</v>
      </c>
      <c r="C1007" s="2">
        <v>1</v>
      </c>
      <c r="D1007" s="2">
        <v>606</v>
      </c>
      <c r="E1007" s="4" t="s">
        <v>1712</v>
      </c>
      <c r="F1007" s="4" t="s">
        <v>1712</v>
      </c>
    </row>
    <row r="1008" spans="2:8" x14ac:dyDescent="0.25">
      <c r="B1008" s="1">
        <f t="shared" si="15"/>
        <v>1006</v>
      </c>
      <c r="C1008" s="1">
        <v>1</v>
      </c>
      <c r="D1008" s="1">
        <v>607</v>
      </c>
      <c r="E1008" s="3" t="s">
        <v>1711</v>
      </c>
      <c r="F1008" s="3" t="s">
        <v>1711</v>
      </c>
    </row>
    <row r="1009" spans="2:7" ht="30" x14ac:dyDescent="0.25">
      <c r="B1009" s="2">
        <f t="shared" si="15"/>
        <v>1007</v>
      </c>
      <c r="C1009" s="2">
        <v>1</v>
      </c>
      <c r="D1009" s="2" t="s">
        <v>1710</v>
      </c>
      <c r="E1009" s="4" t="s">
        <v>1709</v>
      </c>
      <c r="F1009" s="4" t="s">
        <v>1709</v>
      </c>
    </row>
    <row r="1010" spans="2:7" ht="30" x14ac:dyDescent="0.25">
      <c r="B1010" s="1">
        <f t="shared" si="15"/>
        <v>1008</v>
      </c>
      <c r="C1010" s="1">
        <v>1</v>
      </c>
      <c r="D1010" s="1" t="s">
        <v>1708</v>
      </c>
      <c r="E1010" s="3" t="s">
        <v>1707</v>
      </c>
      <c r="F1010" s="3" t="s">
        <v>1707</v>
      </c>
    </row>
    <row r="1011" spans="2:7" x14ac:dyDescent="0.25">
      <c r="B1011" s="2">
        <f t="shared" si="15"/>
        <v>1009</v>
      </c>
      <c r="C1011" s="2">
        <v>1</v>
      </c>
      <c r="D1011" s="2">
        <v>608</v>
      </c>
      <c r="E1011" s="4" t="s">
        <v>1706</v>
      </c>
      <c r="F1011" s="4" t="s">
        <v>1706</v>
      </c>
    </row>
    <row r="1012" spans="2:7" ht="30" x14ac:dyDescent="0.25">
      <c r="B1012" s="1">
        <f t="shared" si="15"/>
        <v>1010</v>
      </c>
      <c r="C1012" s="1">
        <v>1</v>
      </c>
      <c r="D1012" s="1">
        <v>609</v>
      </c>
      <c r="E1012" s="3" t="s">
        <v>1705</v>
      </c>
      <c r="F1012" s="3" t="s">
        <v>1705</v>
      </c>
    </row>
    <row r="1013" spans="2:7" ht="30" x14ac:dyDescent="0.25">
      <c r="B1013" s="2">
        <f t="shared" si="15"/>
        <v>1011</v>
      </c>
      <c r="C1013" s="2">
        <v>1</v>
      </c>
      <c r="D1013" s="2">
        <v>610</v>
      </c>
      <c r="E1013" s="4" t="s">
        <v>1704</v>
      </c>
      <c r="F1013" s="4" t="s">
        <v>1704</v>
      </c>
    </row>
    <row r="1014" spans="2:7" ht="30" x14ac:dyDescent="0.25">
      <c r="B1014" s="1">
        <f t="shared" si="15"/>
        <v>1012</v>
      </c>
      <c r="C1014" s="1">
        <v>1</v>
      </c>
      <c r="D1014" s="1">
        <v>611</v>
      </c>
      <c r="E1014" s="3" t="s">
        <v>1703</v>
      </c>
      <c r="F1014" s="3" t="s">
        <v>1703</v>
      </c>
    </row>
    <row r="1015" spans="2:7" ht="30" x14ac:dyDescent="0.25">
      <c r="B1015" s="2">
        <f t="shared" si="15"/>
        <v>1013</v>
      </c>
      <c r="C1015" s="2">
        <v>1</v>
      </c>
      <c r="D1015" s="2">
        <v>612</v>
      </c>
      <c r="E1015" s="4" t="s">
        <v>1702</v>
      </c>
      <c r="F1015" s="4" t="s">
        <v>1702</v>
      </c>
    </row>
    <row r="1016" spans="2:7" ht="30" x14ac:dyDescent="0.25">
      <c r="B1016" s="1">
        <f t="shared" si="15"/>
        <v>1014</v>
      </c>
      <c r="C1016" s="1">
        <v>1</v>
      </c>
      <c r="D1016" s="1">
        <v>613</v>
      </c>
      <c r="E1016" s="3" t="s">
        <v>1701</v>
      </c>
      <c r="F1016" s="3" t="s">
        <v>1701</v>
      </c>
    </row>
    <row r="1017" spans="2:7" ht="30" x14ac:dyDescent="0.25">
      <c r="B1017" s="2">
        <f t="shared" si="15"/>
        <v>1015</v>
      </c>
      <c r="C1017" s="2">
        <v>1</v>
      </c>
      <c r="D1017" s="2">
        <v>614</v>
      </c>
      <c r="E1017" s="4" t="s">
        <v>1700</v>
      </c>
      <c r="F1017" s="4" t="s">
        <v>1700</v>
      </c>
    </row>
    <row r="1018" spans="2:7" ht="30" x14ac:dyDescent="0.25">
      <c r="B1018" s="1">
        <f t="shared" si="15"/>
        <v>1016</v>
      </c>
      <c r="C1018" s="1">
        <v>1</v>
      </c>
      <c r="D1018" s="1">
        <v>615</v>
      </c>
      <c r="E1018" s="3" t="s">
        <v>1699</v>
      </c>
      <c r="F1018" s="3" t="s">
        <v>1699</v>
      </c>
    </row>
    <row r="1019" spans="2:7" x14ac:dyDescent="0.25">
      <c r="B1019" s="2">
        <f t="shared" si="15"/>
        <v>1017</v>
      </c>
      <c r="C1019" s="2">
        <v>1</v>
      </c>
      <c r="D1019" s="2">
        <v>616</v>
      </c>
      <c r="E1019" s="4" t="s">
        <v>1698</v>
      </c>
      <c r="F1019" s="4" t="s">
        <v>1698</v>
      </c>
    </row>
    <row r="1020" spans="2:7" x14ac:dyDescent="0.25">
      <c r="B1020" s="1">
        <f t="shared" si="15"/>
        <v>1018</v>
      </c>
      <c r="C1020" s="1">
        <v>1</v>
      </c>
      <c r="D1020" s="1">
        <v>617</v>
      </c>
      <c r="E1020" s="3" t="s">
        <v>1697</v>
      </c>
      <c r="F1020" s="3" t="s">
        <v>1697</v>
      </c>
    </row>
    <row r="1021" spans="2:7" ht="60" x14ac:dyDescent="0.25">
      <c r="B1021" s="2">
        <f t="shared" si="15"/>
        <v>1019</v>
      </c>
      <c r="C1021" s="2">
        <v>1</v>
      </c>
      <c r="D1021" s="2">
        <v>618</v>
      </c>
      <c r="E1021" s="4" t="s">
        <v>1696</v>
      </c>
      <c r="F1021" s="4" t="s">
        <v>1696</v>
      </c>
    </row>
    <row r="1022" spans="2:7" x14ac:dyDescent="0.25">
      <c r="B1022" s="1">
        <f t="shared" si="15"/>
        <v>1020</v>
      </c>
      <c r="C1022" s="1">
        <v>1</v>
      </c>
      <c r="D1022" s="1">
        <v>619</v>
      </c>
      <c r="E1022" s="3" t="s">
        <v>1695</v>
      </c>
      <c r="F1022" s="3" t="s">
        <v>1695</v>
      </c>
    </row>
    <row r="1023" spans="2:7" x14ac:dyDescent="0.25">
      <c r="B1023" s="2">
        <f t="shared" si="15"/>
        <v>1021</v>
      </c>
      <c r="C1023" s="2">
        <v>2</v>
      </c>
      <c r="D1023" s="2">
        <v>234</v>
      </c>
      <c r="E1023" s="4" t="s">
        <v>812</v>
      </c>
      <c r="F1023" s="3" t="s">
        <v>1695</v>
      </c>
      <c r="G1023" t="s">
        <v>3097</v>
      </c>
    </row>
    <row r="1024" spans="2:7" x14ac:dyDescent="0.25">
      <c r="B1024" s="1">
        <f t="shared" si="15"/>
        <v>1022</v>
      </c>
      <c r="C1024" s="1">
        <v>1</v>
      </c>
      <c r="D1024" s="2">
        <v>620</v>
      </c>
      <c r="E1024" s="4" t="s">
        <v>1694</v>
      </c>
      <c r="F1024" s="4" t="s">
        <v>1694</v>
      </c>
    </row>
    <row r="1025" spans="2:6" x14ac:dyDescent="0.25">
      <c r="B1025" s="2">
        <f t="shared" si="15"/>
        <v>1023</v>
      </c>
      <c r="C1025" s="2">
        <v>1</v>
      </c>
      <c r="D1025" s="2">
        <v>621</v>
      </c>
      <c r="E1025" s="4" t="s">
        <v>1693</v>
      </c>
      <c r="F1025" s="3" t="s">
        <v>1693</v>
      </c>
    </row>
    <row r="1026" spans="2:6" x14ac:dyDescent="0.25">
      <c r="B1026" s="1">
        <f t="shared" si="15"/>
        <v>1024</v>
      </c>
      <c r="C1026" s="1">
        <v>1</v>
      </c>
      <c r="D1026" s="2">
        <v>622</v>
      </c>
      <c r="E1026" s="4" t="s">
        <v>1692</v>
      </c>
      <c r="F1026" s="4" t="s">
        <v>1692</v>
      </c>
    </row>
    <row r="1027" spans="2:6" ht="30" x14ac:dyDescent="0.25">
      <c r="B1027" s="2">
        <f t="shared" si="15"/>
        <v>1025</v>
      </c>
      <c r="C1027" s="2">
        <v>1</v>
      </c>
      <c r="D1027" s="2">
        <v>623</v>
      </c>
      <c r="E1027" s="4" t="s">
        <v>1691</v>
      </c>
      <c r="F1027" s="3" t="s">
        <v>1691</v>
      </c>
    </row>
    <row r="1028" spans="2:6" x14ac:dyDescent="0.25">
      <c r="B1028" s="1">
        <f t="shared" si="15"/>
        <v>1026</v>
      </c>
      <c r="C1028" s="1">
        <v>1</v>
      </c>
      <c r="D1028" s="2">
        <v>624</v>
      </c>
      <c r="E1028" s="4" t="s">
        <v>1690</v>
      </c>
      <c r="F1028" s="4" t="s">
        <v>1690</v>
      </c>
    </row>
    <row r="1029" spans="2:6" x14ac:dyDescent="0.25">
      <c r="B1029" s="2">
        <f t="shared" ref="B1029:B1092" si="16">+B1028+1</f>
        <v>1027</v>
      </c>
      <c r="C1029" s="2">
        <v>1</v>
      </c>
      <c r="D1029" s="2">
        <v>625</v>
      </c>
      <c r="E1029" s="4" t="s">
        <v>1689</v>
      </c>
      <c r="F1029" s="3" t="s">
        <v>1689</v>
      </c>
    </row>
    <row r="1030" spans="2:6" x14ac:dyDescent="0.25">
      <c r="B1030" s="1">
        <f t="shared" si="16"/>
        <v>1028</v>
      </c>
      <c r="C1030" s="1">
        <v>1</v>
      </c>
      <c r="D1030" s="2">
        <v>626</v>
      </c>
      <c r="E1030" s="4" t="s">
        <v>1688</v>
      </c>
      <c r="F1030" s="4" t="s">
        <v>1688</v>
      </c>
    </row>
    <row r="1031" spans="2:6" x14ac:dyDescent="0.25">
      <c r="B1031" s="2">
        <f t="shared" si="16"/>
        <v>1029</v>
      </c>
      <c r="C1031" s="2">
        <v>1</v>
      </c>
      <c r="D1031" s="2">
        <v>627</v>
      </c>
      <c r="E1031" s="4" t="s">
        <v>1687</v>
      </c>
      <c r="F1031" s="3" t="s">
        <v>1687</v>
      </c>
    </row>
    <row r="1032" spans="2:6" x14ac:dyDescent="0.25">
      <c r="B1032" s="1">
        <f t="shared" si="16"/>
        <v>1030</v>
      </c>
      <c r="C1032" s="1">
        <v>1</v>
      </c>
      <c r="D1032" s="2">
        <v>628</v>
      </c>
      <c r="E1032" s="4" t="s">
        <v>1686</v>
      </c>
      <c r="F1032" s="4" t="s">
        <v>1686</v>
      </c>
    </row>
    <row r="1033" spans="2:6" x14ac:dyDescent="0.25">
      <c r="B1033" s="2">
        <f t="shared" si="16"/>
        <v>1031</v>
      </c>
      <c r="C1033" s="2">
        <v>1</v>
      </c>
      <c r="D1033" s="2">
        <v>629</v>
      </c>
      <c r="E1033" s="4" t="s">
        <v>1685</v>
      </c>
      <c r="F1033" s="3" t="s">
        <v>1685</v>
      </c>
    </row>
    <row r="1034" spans="2:6" x14ac:dyDescent="0.25">
      <c r="B1034" s="1">
        <f t="shared" si="16"/>
        <v>1032</v>
      </c>
      <c r="C1034" s="1">
        <v>1</v>
      </c>
      <c r="D1034" s="2">
        <v>630</v>
      </c>
      <c r="E1034" s="4" t="s">
        <v>1684</v>
      </c>
      <c r="F1034" s="4" t="s">
        <v>1684</v>
      </c>
    </row>
    <row r="1035" spans="2:6" x14ac:dyDescent="0.25">
      <c r="B1035" s="2">
        <f t="shared" si="16"/>
        <v>1033</v>
      </c>
      <c r="C1035" s="2">
        <v>1</v>
      </c>
      <c r="D1035" s="2">
        <v>631</v>
      </c>
      <c r="E1035" s="4" t="s">
        <v>1683</v>
      </c>
      <c r="F1035" s="3" t="s">
        <v>1683</v>
      </c>
    </row>
    <row r="1036" spans="2:6" x14ac:dyDescent="0.25">
      <c r="B1036" s="1">
        <f t="shared" si="16"/>
        <v>1034</v>
      </c>
      <c r="C1036" s="1">
        <v>1</v>
      </c>
      <c r="D1036" s="2">
        <v>632</v>
      </c>
      <c r="E1036" s="4" t="s">
        <v>1682</v>
      </c>
      <c r="F1036" s="4" t="s">
        <v>1682</v>
      </c>
    </row>
    <row r="1037" spans="2:6" x14ac:dyDescent="0.25">
      <c r="B1037" s="2">
        <f t="shared" si="16"/>
        <v>1035</v>
      </c>
      <c r="C1037" s="2">
        <v>1</v>
      </c>
      <c r="D1037" s="2">
        <v>633</v>
      </c>
      <c r="E1037" s="4" t="s">
        <v>1681</v>
      </c>
      <c r="F1037" s="3" t="s">
        <v>1681</v>
      </c>
    </row>
    <row r="1038" spans="2:6" x14ac:dyDescent="0.25">
      <c r="B1038" s="1">
        <f t="shared" si="16"/>
        <v>1036</v>
      </c>
      <c r="C1038" s="1">
        <v>1</v>
      </c>
      <c r="D1038" s="2">
        <v>634</v>
      </c>
      <c r="E1038" s="4" t="s">
        <v>1680</v>
      </c>
      <c r="F1038" s="4" t="s">
        <v>1680</v>
      </c>
    </row>
    <row r="1039" spans="2:6" ht="30" x14ac:dyDescent="0.25">
      <c r="B1039" s="2">
        <f t="shared" si="16"/>
        <v>1037</v>
      </c>
      <c r="C1039" s="2">
        <v>1</v>
      </c>
      <c r="D1039" s="2">
        <v>635</v>
      </c>
      <c r="E1039" s="4" t="s">
        <v>1679</v>
      </c>
      <c r="F1039" s="3" t="s">
        <v>1679</v>
      </c>
    </row>
    <row r="1040" spans="2:6" x14ac:dyDescent="0.25">
      <c r="B1040" s="1">
        <f t="shared" si="16"/>
        <v>1038</v>
      </c>
      <c r="C1040" s="1">
        <v>1</v>
      </c>
      <c r="D1040" s="2">
        <v>636</v>
      </c>
      <c r="E1040" s="4" t="s">
        <v>1678</v>
      </c>
      <c r="F1040" s="4" t="s">
        <v>1678</v>
      </c>
    </row>
    <row r="1041" spans="2:7" x14ac:dyDescent="0.25">
      <c r="B1041" s="2">
        <f t="shared" si="16"/>
        <v>1039</v>
      </c>
      <c r="C1041" s="2">
        <v>1</v>
      </c>
      <c r="D1041" s="2">
        <v>637</v>
      </c>
      <c r="E1041" s="4" t="s">
        <v>1677</v>
      </c>
      <c r="F1041" s="3" t="s">
        <v>1677</v>
      </c>
    </row>
    <row r="1042" spans="2:7" x14ac:dyDescent="0.25">
      <c r="B1042" s="1">
        <f t="shared" si="16"/>
        <v>1040</v>
      </c>
      <c r="C1042" s="1">
        <v>1</v>
      </c>
      <c r="D1042" s="2">
        <v>638</v>
      </c>
      <c r="E1042" s="4" t="s">
        <v>1676</v>
      </c>
      <c r="F1042" s="4" t="s">
        <v>1676</v>
      </c>
    </row>
    <row r="1043" spans="2:7" x14ac:dyDescent="0.25">
      <c r="B1043" s="2">
        <f t="shared" si="16"/>
        <v>1041</v>
      </c>
      <c r="C1043" s="2">
        <v>3</v>
      </c>
      <c r="D1043" s="2">
        <v>66</v>
      </c>
      <c r="E1043" s="4" t="s">
        <v>662</v>
      </c>
      <c r="F1043" s="3" t="s">
        <v>662</v>
      </c>
    </row>
    <row r="1044" spans="2:7" x14ac:dyDescent="0.25">
      <c r="B1044" s="1">
        <f t="shared" si="16"/>
        <v>1042</v>
      </c>
      <c r="C1044" s="1">
        <v>1</v>
      </c>
      <c r="D1044" s="1">
        <v>639</v>
      </c>
      <c r="E1044" s="3" t="s">
        <v>1675</v>
      </c>
      <c r="F1044" s="3" t="s">
        <v>1675</v>
      </c>
    </row>
    <row r="1045" spans="2:7" x14ac:dyDescent="0.25">
      <c r="B1045" s="2">
        <f t="shared" si="16"/>
        <v>1043</v>
      </c>
      <c r="C1045" s="2">
        <v>1</v>
      </c>
      <c r="D1045" s="2">
        <v>640</v>
      </c>
      <c r="E1045" s="4" t="s">
        <v>1674</v>
      </c>
      <c r="F1045" s="4" t="s">
        <v>1674</v>
      </c>
    </row>
    <row r="1046" spans="2:7" x14ac:dyDescent="0.25">
      <c r="B1046" s="1">
        <f t="shared" si="16"/>
        <v>1044</v>
      </c>
      <c r="C1046" s="1">
        <v>1</v>
      </c>
      <c r="D1046" s="1">
        <v>641</v>
      </c>
      <c r="E1046" s="3" t="s">
        <v>1673</v>
      </c>
      <c r="F1046" s="3" t="s">
        <v>1673</v>
      </c>
    </row>
    <row r="1047" spans="2:7" x14ac:dyDescent="0.25">
      <c r="B1047" s="2">
        <f t="shared" si="16"/>
        <v>1045</v>
      </c>
      <c r="C1047" s="2">
        <v>1</v>
      </c>
      <c r="D1047" s="2">
        <v>642</v>
      </c>
      <c r="E1047" s="4" t="s">
        <v>1672</v>
      </c>
      <c r="F1047" s="4" t="s">
        <v>1672</v>
      </c>
    </row>
    <row r="1048" spans="2:7" x14ac:dyDescent="0.25">
      <c r="B1048" s="1">
        <f t="shared" si="16"/>
        <v>1046</v>
      </c>
      <c r="C1048" s="1">
        <v>1</v>
      </c>
      <c r="D1048" s="1">
        <v>643</v>
      </c>
      <c r="E1048" s="3" t="s">
        <v>1671</v>
      </c>
      <c r="F1048" s="3" t="s">
        <v>1671</v>
      </c>
    </row>
    <row r="1049" spans="2:7" x14ac:dyDescent="0.25">
      <c r="B1049" s="2">
        <f t="shared" si="16"/>
        <v>1047</v>
      </c>
      <c r="C1049" s="2">
        <v>2</v>
      </c>
      <c r="D1049" s="2">
        <v>235</v>
      </c>
      <c r="E1049" s="4" t="s">
        <v>811</v>
      </c>
      <c r="F1049" s="3" t="s">
        <v>3098</v>
      </c>
      <c r="G1049" t="s">
        <v>3099</v>
      </c>
    </row>
    <row r="1050" spans="2:7" x14ac:dyDescent="0.25">
      <c r="B1050" s="1">
        <f t="shared" si="16"/>
        <v>1048</v>
      </c>
      <c r="C1050" s="1">
        <v>1</v>
      </c>
      <c r="D1050" s="2">
        <v>644</v>
      </c>
      <c r="E1050" s="4" t="s">
        <v>1670</v>
      </c>
      <c r="F1050" s="4" t="s">
        <v>1670</v>
      </c>
    </row>
    <row r="1051" spans="2:7" x14ac:dyDescent="0.25">
      <c r="B1051" s="2">
        <f t="shared" si="16"/>
        <v>1049</v>
      </c>
      <c r="C1051" s="2">
        <v>1</v>
      </c>
      <c r="D1051" s="2">
        <v>645</v>
      </c>
      <c r="E1051" s="4" t="s">
        <v>1669</v>
      </c>
      <c r="F1051" s="3" t="s">
        <v>1669</v>
      </c>
    </row>
    <row r="1052" spans="2:7" x14ac:dyDescent="0.25">
      <c r="B1052" s="1">
        <f t="shared" si="16"/>
        <v>1050</v>
      </c>
      <c r="C1052" s="1">
        <v>1</v>
      </c>
      <c r="D1052" s="2">
        <v>646</v>
      </c>
      <c r="E1052" s="4" t="s">
        <v>1668</v>
      </c>
      <c r="F1052" s="4" t="s">
        <v>1668</v>
      </c>
    </row>
    <row r="1053" spans="2:7" x14ac:dyDescent="0.25">
      <c r="B1053" s="2">
        <f t="shared" si="16"/>
        <v>1051</v>
      </c>
      <c r="C1053" s="2">
        <v>2</v>
      </c>
      <c r="D1053" s="2">
        <v>236</v>
      </c>
      <c r="E1053" s="4" t="s">
        <v>810</v>
      </c>
      <c r="F1053" s="3" t="s">
        <v>3100</v>
      </c>
      <c r="G1053" t="s">
        <v>3101</v>
      </c>
    </row>
    <row r="1054" spans="2:7" x14ac:dyDescent="0.25">
      <c r="B1054" s="1">
        <f t="shared" si="16"/>
        <v>1052</v>
      </c>
      <c r="C1054" s="1">
        <v>1</v>
      </c>
      <c r="D1054" s="1">
        <v>647</v>
      </c>
      <c r="E1054" s="3" t="s">
        <v>1667</v>
      </c>
      <c r="F1054" s="3" t="s">
        <v>1667</v>
      </c>
    </row>
    <row r="1055" spans="2:7" ht="30" x14ac:dyDescent="0.25">
      <c r="B1055" s="2">
        <f t="shared" si="16"/>
        <v>1053</v>
      </c>
      <c r="C1055" s="2">
        <v>1</v>
      </c>
      <c r="D1055" s="2">
        <v>648</v>
      </c>
      <c r="E1055" s="4" t="s">
        <v>1666</v>
      </c>
      <c r="F1055" s="4" t="s">
        <v>1666</v>
      </c>
    </row>
    <row r="1056" spans="2:7" ht="30" x14ac:dyDescent="0.25">
      <c r="B1056" s="1">
        <f t="shared" si="16"/>
        <v>1054</v>
      </c>
      <c r="C1056" s="1">
        <v>2</v>
      </c>
      <c r="D1056" s="1">
        <v>237</v>
      </c>
      <c r="E1056" s="3" t="s">
        <v>809</v>
      </c>
      <c r="F1056" s="3" t="s">
        <v>1666</v>
      </c>
      <c r="G1056" t="s">
        <v>3102</v>
      </c>
    </row>
    <row r="1057" spans="2:7" ht="30" x14ac:dyDescent="0.25">
      <c r="B1057" s="2">
        <f t="shared" si="16"/>
        <v>1055</v>
      </c>
      <c r="C1057" s="2">
        <v>2</v>
      </c>
      <c r="D1057" s="2">
        <v>238</v>
      </c>
      <c r="E1057" s="4" t="s">
        <v>808</v>
      </c>
      <c r="F1057" s="3" t="s">
        <v>1666</v>
      </c>
      <c r="G1057" t="s">
        <v>3103</v>
      </c>
    </row>
    <row r="1058" spans="2:7" ht="30" x14ac:dyDescent="0.25">
      <c r="B1058" s="1">
        <f t="shared" si="16"/>
        <v>1056</v>
      </c>
      <c r="C1058" s="1">
        <v>1</v>
      </c>
      <c r="D1058" s="1" t="s">
        <v>1665</v>
      </c>
      <c r="E1058" s="3" t="s">
        <v>1664</v>
      </c>
      <c r="F1058" s="3" t="s">
        <v>1664</v>
      </c>
    </row>
    <row r="1059" spans="2:7" x14ac:dyDescent="0.25">
      <c r="B1059" s="2">
        <f t="shared" si="16"/>
        <v>1057</v>
      </c>
      <c r="C1059" s="2">
        <v>1</v>
      </c>
      <c r="D1059" s="2">
        <v>649</v>
      </c>
      <c r="E1059" s="4" t="s">
        <v>1663</v>
      </c>
      <c r="F1059" s="4" t="s">
        <v>1663</v>
      </c>
    </row>
    <row r="1060" spans="2:7" x14ac:dyDescent="0.25">
      <c r="B1060" s="1">
        <f t="shared" si="16"/>
        <v>1058</v>
      </c>
      <c r="C1060" s="1">
        <v>1</v>
      </c>
      <c r="D1060" s="1">
        <v>650</v>
      </c>
      <c r="E1060" s="3" t="s">
        <v>1662</v>
      </c>
      <c r="F1060" s="3" t="s">
        <v>1662</v>
      </c>
    </row>
    <row r="1061" spans="2:7" x14ac:dyDescent="0.25">
      <c r="B1061" s="2">
        <f t="shared" si="16"/>
        <v>1059</v>
      </c>
      <c r="C1061" s="2">
        <v>1</v>
      </c>
      <c r="D1061" s="2">
        <v>651</v>
      </c>
      <c r="E1061" s="4" t="s">
        <v>1661</v>
      </c>
      <c r="F1061" s="4" t="s">
        <v>1661</v>
      </c>
    </row>
    <row r="1062" spans="2:7" x14ac:dyDescent="0.25">
      <c r="B1062" s="1">
        <f t="shared" si="16"/>
        <v>1060</v>
      </c>
      <c r="C1062" s="1">
        <v>1</v>
      </c>
      <c r="D1062" s="1">
        <v>652</v>
      </c>
      <c r="E1062" s="3" t="s">
        <v>1660</v>
      </c>
      <c r="F1062" s="3" t="s">
        <v>1660</v>
      </c>
    </row>
    <row r="1063" spans="2:7" x14ac:dyDescent="0.25">
      <c r="B1063" s="2">
        <f t="shared" si="16"/>
        <v>1061</v>
      </c>
      <c r="C1063" s="2">
        <v>3</v>
      </c>
      <c r="D1063" s="2">
        <v>67</v>
      </c>
      <c r="E1063" s="4" t="s">
        <v>661</v>
      </c>
      <c r="F1063" s="3" t="s">
        <v>661</v>
      </c>
    </row>
    <row r="1064" spans="2:7" x14ac:dyDescent="0.25">
      <c r="B1064" s="1">
        <f t="shared" si="16"/>
        <v>1062</v>
      </c>
      <c r="C1064" s="1">
        <v>1</v>
      </c>
      <c r="D1064" s="2">
        <v>653</v>
      </c>
      <c r="E1064" s="4" t="s">
        <v>1659</v>
      </c>
      <c r="F1064" s="4" t="s">
        <v>1659</v>
      </c>
    </row>
    <row r="1065" spans="2:7" x14ac:dyDescent="0.25">
      <c r="B1065" s="2">
        <f t="shared" si="16"/>
        <v>1063</v>
      </c>
      <c r="C1065" s="2">
        <v>2</v>
      </c>
      <c r="D1065" s="2">
        <v>239</v>
      </c>
      <c r="E1065" s="4" t="s">
        <v>807</v>
      </c>
      <c r="F1065" s="3" t="s">
        <v>1659</v>
      </c>
      <c r="G1065" t="s">
        <v>3104</v>
      </c>
    </row>
    <row r="1066" spans="2:7" x14ac:dyDescent="0.25">
      <c r="B1066" s="1">
        <f t="shared" si="16"/>
        <v>1064</v>
      </c>
      <c r="C1066" s="1">
        <v>1</v>
      </c>
      <c r="D1066" s="1">
        <v>654</v>
      </c>
      <c r="E1066" s="3" t="s">
        <v>1658</v>
      </c>
      <c r="F1066" s="3" t="s">
        <v>1658</v>
      </c>
    </row>
    <row r="1067" spans="2:7" x14ac:dyDescent="0.25">
      <c r="B1067" s="2">
        <f t="shared" si="16"/>
        <v>1065</v>
      </c>
      <c r="C1067" s="2">
        <v>1</v>
      </c>
      <c r="D1067" s="2">
        <v>655</v>
      </c>
      <c r="E1067" s="4" t="s">
        <v>1657</v>
      </c>
      <c r="F1067" s="4" t="s">
        <v>1657</v>
      </c>
    </row>
    <row r="1068" spans="2:7" x14ac:dyDescent="0.25">
      <c r="B1068" s="1">
        <f t="shared" si="16"/>
        <v>1066</v>
      </c>
      <c r="C1068" s="1">
        <v>1</v>
      </c>
      <c r="D1068" s="1">
        <v>656</v>
      </c>
      <c r="E1068" s="3" t="s">
        <v>1656</v>
      </c>
      <c r="F1068" s="3" t="s">
        <v>1656</v>
      </c>
    </row>
    <row r="1069" spans="2:7" x14ac:dyDescent="0.25">
      <c r="B1069" s="2">
        <f t="shared" si="16"/>
        <v>1067</v>
      </c>
      <c r="C1069" s="2">
        <v>1</v>
      </c>
      <c r="D1069" s="2">
        <v>657</v>
      </c>
      <c r="E1069" s="4" t="s">
        <v>1655</v>
      </c>
      <c r="F1069" s="4" t="s">
        <v>1655</v>
      </c>
    </row>
    <row r="1070" spans="2:7" ht="30" x14ac:dyDescent="0.25">
      <c r="B1070" s="1">
        <f t="shared" si="16"/>
        <v>1068</v>
      </c>
      <c r="C1070" s="1">
        <v>1</v>
      </c>
      <c r="D1070" s="1" t="s">
        <v>1654</v>
      </c>
      <c r="E1070" s="3" t="s">
        <v>1653</v>
      </c>
      <c r="F1070" s="3" t="s">
        <v>1653</v>
      </c>
    </row>
    <row r="1071" spans="2:7" x14ac:dyDescent="0.25">
      <c r="B1071" s="2">
        <f t="shared" si="16"/>
        <v>1069</v>
      </c>
      <c r="C1071" s="2">
        <v>1</v>
      </c>
      <c r="D1071" s="2">
        <v>658</v>
      </c>
      <c r="E1071" s="4" t="s">
        <v>1652</v>
      </c>
      <c r="F1071" s="4" t="s">
        <v>1652</v>
      </c>
    </row>
    <row r="1072" spans="2:7" x14ac:dyDescent="0.25">
      <c r="B1072" s="1">
        <f t="shared" si="16"/>
        <v>1070</v>
      </c>
      <c r="C1072" s="1">
        <v>1</v>
      </c>
      <c r="D1072" s="1">
        <v>659</v>
      </c>
      <c r="E1072" s="3" t="s">
        <v>1651</v>
      </c>
      <c r="F1072" s="3" t="s">
        <v>1651</v>
      </c>
    </row>
    <row r="1073" spans="2:8" x14ac:dyDescent="0.25">
      <c r="B1073" s="2">
        <f t="shared" si="16"/>
        <v>1071</v>
      </c>
      <c r="C1073" s="2">
        <v>1</v>
      </c>
      <c r="D1073" s="2">
        <v>660</v>
      </c>
      <c r="E1073" s="4" t="s">
        <v>1650</v>
      </c>
      <c r="F1073" s="4" t="s">
        <v>1650</v>
      </c>
    </row>
    <row r="1074" spans="2:8" x14ac:dyDescent="0.25">
      <c r="B1074" s="1">
        <f t="shared" si="16"/>
        <v>1072</v>
      </c>
      <c r="C1074" s="1">
        <v>1</v>
      </c>
      <c r="D1074" s="1">
        <v>661</v>
      </c>
      <c r="E1074" s="3" t="s">
        <v>1649</v>
      </c>
      <c r="F1074" s="3" t="s">
        <v>1649</v>
      </c>
    </row>
    <row r="1075" spans="2:8" x14ac:dyDescent="0.25">
      <c r="B1075" s="2">
        <f t="shared" si="16"/>
        <v>1073</v>
      </c>
      <c r="C1075" s="2">
        <v>1</v>
      </c>
      <c r="D1075" s="2">
        <v>662</v>
      </c>
      <c r="E1075" s="4" t="s">
        <v>1648</v>
      </c>
      <c r="F1075" s="4" t="s">
        <v>1648</v>
      </c>
    </row>
    <row r="1076" spans="2:8" x14ac:dyDescent="0.25">
      <c r="B1076" s="1">
        <f t="shared" si="16"/>
        <v>1074</v>
      </c>
      <c r="C1076" s="1">
        <v>3</v>
      </c>
      <c r="D1076" s="1">
        <v>68</v>
      </c>
      <c r="E1076" s="3" t="s">
        <v>660</v>
      </c>
      <c r="F1076" s="3" t="s">
        <v>660</v>
      </c>
    </row>
    <row r="1077" spans="2:8" x14ac:dyDescent="0.25">
      <c r="B1077" s="2">
        <f t="shared" si="16"/>
        <v>1075</v>
      </c>
      <c r="C1077" s="2">
        <v>1</v>
      </c>
      <c r="D1077" s="2">
        <v>663</v>
      </c>
      <c r="E1077" s="4" t="s">
        <v>1647</v>
      </c>
      <c r="F1077" s="3" t="s">
        <v>1647</v>
      </c>
    </row>
    <row r="1078" spans="2:8" ht="30" x14ac:dyDescent="0.25">
      <c r="B1078" s="1">
        <f t="shared" si="16"/>
        <v>1076</v>
      </c>
      <c r="C1078" s="1">
        <v>2</v>
      </c>
      <c r="D1078" s="1" t="s">
        <v>806</v>
      </c>
      <c r="E1078" s="3" t="s">
        <v>805</v>
      </c>
      <c r="F1078" s="3" t="s">
        <v>1647</v>
      </c>
      <c r="G1078" t="s">
        <v>3105</v>
      </c>
    </row>
    <row r="1079" spans="2:8" x14ac:dyDescent="0.25">
      <c r="B1079" s="2">
        <f t="shared" si="16"/>
        <v>1077</v>
      </c>
      <c r="C1079" s="2">
        <v>2</v>
      </c>
      <c r="D1079" s="2">
        <v>240</v>
      </c>
      <c r="E1079" s="4" t="s">
        <v>804</v>
      </c>
      <c r="F1079" s="3" t="s">
        <v>1647</v>
      </c>
      <c r="G1079" t="s">
        <v>3106</v>
      </c>
      <c r="H1079" t="s">
        <v>3107</v>
      </c>
    </row>
    <row r="1080" spans="2:8" x14ac:dyDescent="0.25">
      <c r="B1080" s="1">
        <f t="shared" si="16"/>
        <v>1078</v>
      </c>
      <c r="C1080" s="1">
        <v>2</v>
      </c>
      <c r="D1080" s="1">
        <v>241</v>
      </c>
      <c r="E1080" s="3" t="s">
        <v>803</v>
      </c>
      <c r="F1080" s="3" t="s">
        <v>1647</v>
      </c>
      <c r="G1080" t="s">
        <v>3107</v>
      </c>
    </row>
    <row r="1081" spans="2:8" x14ac:dyDescent="0.25">
      <c r="B1081" s="2">
        <f t="shared" si="16"/>
        <v>1079</v>
      </c>
      <c r="C1081" s="2">
        <v>1</v>
      </c>
      <c r="D1081" s="2">
        <v>664</v>
      </c>
      <c r="E1081" s="4" t="s">
        <v>1646</v>
      </c>
      <c r="F1081" s="4" t="s">
        <v>1646</v>
      </c>
    </row>
    <row r="1082" spans="2:8" x14ac:dyDescent="0.25">
      <c r="B1082" s="1">
        <f t="shared" si="16"/>
        <v>1080</v>
      </c>
      <c r="C1082" s="1">
        <v>1</v>
      </c>
      <c r="D1082" s="1">
        <v>665</v>
      </c>
      <c r="E1082" s="3" t="s">
        <v>1645</v>
      </c>
      <c r="F1082" s="3" t="s">
        <v>1645</v>
      </c>
    </row>
    <row r="1083" spans="2:8" x14ac:dyDescent="0.25">
      <c r="B1083" s="2">
        <f t="shared" si="16"/>
        <v>1081</v>
      </c>
      <c r="C1083" s="2">
        <v>1</v>
      </c>
      <c r="D1083" s="2">
        <v>666</v>
      </c>
      <c r="E1083" s="4" t="s">
        <v>1644</v>
      </c>
      <c r="F1083" s="4" t="s">
        <v>1644</v>
      </c>
    </row>
    <row r="1084" spans="2:8" ht="30" x14ac:dyDescent="0.25">
      <c r="B1084" s="1">
        <f t="shared" si="16"/>
        <v>1082</v>
      </c>
      <c r="C1084" s="1">
        <v>1</v>
      </c>
      <c r="D1084" s="1" t="s">
        <v>1643</v>
      </c>
      <c r="E1084" s="3" t="s">
        <v>1642</v>
      </c>
      <c r="F1084" s="3" t="s">
        <v>1642</v>
      </c>
    </row>
    <row r="1085" spans="2:8" x14ac:dyDescent="0.25">
      <c r="B1085" s="2">
        <f t="shared" si="16"/>
        <v>1083</v>
      </c>
      <c r="C1085" s="2">
        <v>1</v>
      </c>
      <c r="D1085" s="2">
        <v>667</v>
      </c>
      <c r="E1085" s="4" t="s">
        <v>1641</v>
      </c>
      <c r="F1085" s="4" t="s">
        <v>1641</v>
      </c>
    </row>
    <row r="1086" spans="2:8" ht="30" x14ac:dyDescent="0.25">
      <c r="B1086" s="1">
        <f t="shared" si="16"/>
        <v>1084</v>
      </c>
      <c r="C1086" s="1">
        <v>1</v>
      </c>
      <c r="D1086" s="1" t="s">
        <v>1640</v>
      </c>
      <c r="E1086" s="3" t="s">
        <v>1639</v>
      </c>
      <c r="F1086" s="3" t="s">
        <v>1639</v>
      </c>
    </row>
    <row r="1087" spans="2:8" x14ac:dyDescent="0.25">
      <c r="B1087" s="2">
        <f t="shared" si="16"/>
        <v>1085</v>
      </c>
      <c r="C1087" s="2">
        <v>1</v>
      </c>
      <c r="D1087" s="2">
        <v>668</v>
      </c>
      <c r="E1087" s="4" t="s">
        <v>1638</v>
      </c>
      <c r="F1087" s="4" t="s">
        <v>1638</v>
      </c>
    </row>
    <row r="1088" spans="2:8" x14ac:dyDescent="0.25">
      <c r="B1088" s="1">
        <f t="shared" si="16"/>
        <v>1086</v>
      </c>
      <c r="C1088" s="1">
        <v>2</v>
      </c>
      <c r="D1088" s="1">
        <v>242</v>
      </c>
      <c r="E1088" s="3" t="s">
        <v>802</v>
      </c>
      <c r="F1088" s="3" t="s">
        <v>1638</v>
      </c>
      <c r="G1088" t="s">
        <v>2921</v>
      </c>
    </row>
    <row r="1089" spans="2:7" ht="30" x14ac:dyDescent="0.25">
      <c r="B1089" s="2">
        <f t="shared" si="16"/>
        <v>1087</v>
      </c>
      <c r="C1089" s="2">
        <v>1</v>
      </c>
      <c r="D1089" s="2">
        <v>669</v>
      </c>
      <c r="E1089" s="4" t="s">
        <v>1637</v>
      </c>
      <c r="F1089" s="3" t="s">
        <v>1637</v>
      </c>
    </row>
    <row r="1090" spans="2:7" x14ac:dyDescent="0.25">
      <c r="B1090" s="1">
        <f t="shared" si="16"/>
        <v>1088</v>
      </c>
      <c r="C1090" s="1">
        <v>3</v>
      </c>
      <c r="D1090" s="1">
        <v>69</v>
      </c>
      <c r="E1090" s="3" t="s">
        <v>659</v>
      </c>
      <c r="F1090" s="3" t="s">
        <v>659</v>
      </c>
    </row>
    <row r="1091" spans="2:7" x14ac:dyDescent="0.25">
      <c r="B1091" s="2">
        <f t="shared" si="16"/>
        <v>1089</v>
      </c>
      <c r="C1091" s="2">
        <v>1</v>
      </c>
      <c r="D1091" s="2">
        <v>670</v>
      </c>
      <c r="E1091" s="4" t="s">
        <v>1636</v>
      </c>
      <c r="F1091" s="4" t="s">
        <v>1636</v>
      </c>
    </row>
    <row r="1092" spans="2:7" x14ac:dyDescent="0.25">
      <c r="B1092" s="1">
        <f t="shared" si="16"/>
        <v>1090</v>
      </c>
      <c r="C1092" s="1">
        <v>1</v>
      </c>
      <c r="D1092" s="1">
        <v>671</v>
      </c>
      <c r="E1092" s="3" t="s">
        <v>1635</v>
      </c>
      <c r="F1092" s="3" t="s">
        <v>1635</v>
      </c>
    </row>
    <row r="1093" spans="2:7" x14ac:dyDescent="0.25">
      <c r="B1093" s="2">
        <f t="shared" ref="B1093:B1156" si="17">+B1092+1</f>
        <v>1091</v>
      </c>
      <c r="C1093" s="2">
        <v>1</v>
      </c>
      <c r="D1093" s="2">
        <v>672</v>
      </c>
      <c r="E1093" s="4" t="s">
        <v>1634</v>
      </c>
      <c r="F1093" s="4" t="s">
        <v>1634</v>
      </c>
    </row>
    <row r="1094" spans="2:7" x14ac:dyDescent="0.25">
      <c r="B1094" s="1">
        <f t="shared" si="17"/>
        <v>1092</v>
      </c>
      <c r="C1094" s="1">
        <v>3</v>
      </c>
      <c r="D1094" s="1">
        <v>70</v>
      </c>
      <c r="E1094" s="3" t="s">
        <v>658</v>
      </c>
      <c r="F1094" s="3" t="s">
        <v>658</v>
      </c>
    </row>
    <row r="1095" spans="2:7" x14ac:dyDescent="0.25">
      <c r="B1095" s="2">
        <f t="shared" si="17"/>
        <v>1093</v>
      </c>
      <c r="C1095" s="2">
        <v>1</v>
      </c>
      <c r="D1095" s="2">
        <v>673</v>
      </c>
      <c r="E1095" s="4" t="s">
        <v>1633</v>
      </c>
      <c r="F1095" s="3" t="s">
        <v>1633</v>
      </c>
    </row>
    <row r="1096" spans="2:7" x14ac:dyDescent="0.25">
      <c r="B1096" s="1">
        <f t="shared" si="17"/>
        <v>1094</v>
      </c>
      <c r="C1096" s="1">
        <v>1</v>
      </c>
      <c r="D1096" s="2">
        <v>674</v>
      </c>
      <c r="E1096" s="4" t="s">
        <v>1632</v>
      </c>
      <c r="F1096" s="4" t="s">
        <v>1632</v>
      </c>
    </row>
    <row r="1097" spans="2:7" x14ac:dyDescent="0.25">
      <c r="B1097" s="2">
        <f t="shared" si="17"/>
        <v>1095</v>
      </c>
      <c r="C1097" s="2">
        <v>1</v>
      </c>
      <c r="D1097" s="2">
        <v>675</v>
      </c>
      <c r="E1097" s="4" t="s">
        <v>1631</v>
      </c>
      <c r="F1097" s="3" t="s">
        <v>1631</v>
      </c>
    </row>
    <row r="1098" spans="2:7" x14ac:dyDescent="0.25">
      <c r="B1098" s="1">
        <f t="shared" si="17"/>
        <v>1096</v>
      </c>
      <c r="C1098" s="1">
        <v>2</v>
      </c>
      <c r="D1098" s="1">
        <v>243</v>
      </c>
      <c r="E1098" s="3" t="s">
        <v>801</v>
      </c>
      <c r="F1098" s="3" t="s">
        <v>1631</v>
      </c>
      <c r="G1098" t="s">
        <v>2807</v>
      </c>
    </row>
    <row r="1099" spans="2:7" x14ac:dyDescent="0.25">
      <c r="B1099" s="2">
        <f t="shared" si="17"/>
        <v>1097</v>
      </c>
      <c r="C1099" s="2">
        <v>1</v>
      </c>
      <c r="D1099" s="2">
        <v>676</v>
      </c>
      <c r="E1099" s="4" t="s">
        <v>1630</v>
      </c>
      <c r="F1099" s="4" t="s">
        <v>1630</v>
      </c>
    </row>
    <row r="1100" spans="2:7" x14ac:dyDescent="0.25">
      <c r="B1100" s="1">
        <f t="shared" si="17"/>
        <v>1098</v>
      </c>
      <c r="C1100" s="1">
        <v>1</v>
      </c>
      <c r="D1100" s="1">
        <v>677</v>
      </c>
      <c r="E1100" s="3" t="s">
        <v>1629</v>
      </c>
      <c r="F1100" s="3" t="s">
        <v>1629</v>
      </c>
    </row>
    <row r="1101" spans="2:7" x14ac:dyDescent="0.25">
      <c r="B1101" s="2">
        <f t="shared" si="17"/>
        <v>1099</v>
      </c>
      <c r="C1101" s="2">
        <v>2</v>
      </c>
      <c r="D1101" s="2">
        <v>244</v>
      </c>
      <c r="E1101" s="4" t="s">
        <v>800</v>
      </c>
      <c r="F1101" s="3" t="s">
        <v>1629</v>
      </c>
      <c r="G1101" t="s">
        <v>3108</v>
      </c>
    </row>
    <row r="1102" spans="2:7" x14ac:dyDescent="0.25">
      <c r="B1102" s="1">
        <f t="shared" si="17"/>
        <v>1100</v>
      </c>
      <c r="C1102" s="1">
        <v>3</v>
      </c>
      <c r="D1102" s="1">
        <v>71</v>
      </c>
      <c r="E1102" s="3" t="s">
        <v>657</v>
      </c>
      <c r="F1102" s="3" t="s">
        <v>657</v>
      </c>
    </row>
    <row r="1103" spans="2:7" x14ac:dyDescent="0.25">
      <c r="B1103" s="2">
        <f t="shared" si="17"/>
        <v>1101</v>
      </c>
      <c r="C1103" s="2">
        <v>1</v>
      </c>
      <c r="D1103" s="2">
        <v>678</v>
      </c>
      <c r="E1103" s="4" t="s">
        <v>1628</v>
      </c>
      <c r="F1103" s="4" t="s">
        <v>1628</v>
      </c>
    </row>
    <row r="1104" spans="2:7" x14ac:dyDescent="0.25">
      <c r="B1104" s="1">
        <f t="shared" si="17"/>
        <v>1102</v>
      </c>
      <c r="C1104" s="1">
        <v>1</v>
      </c>
      <c r="D1104" s="1">
        <v>679</v>
      </c>
      <c r="E1104" s="3" t="s">
        <v>1627</v>
      </c>
      <c r="F1104" s="3" t="s">
        <v>1627</v>
      </c>
    </row>
    <row r="1105" spans="2:7" x14ac:dyDescent="0.25">
      <c r="B1105" s="2">
        <f t="shared" si="17"/>
        <v>1103</v>
      </c>
      <c r="C1105" s="2">
        <v>2</v>
      </c>
      <c r="D1105" s="2">
        <v>245</v>
      </c>
      <c r="E1105" s="4" t="s">
        <v>799</v>
      </c>
      <c r="F1105" s="3" t="s">
        <v>1627</v>
      </c>
      <c r="G1105" t="s">
        <v>3109</v>
      </c>
    </row>
    <row r="1106" spans="2:7" x14ac:dyDescent="0.25">
      <c r="B1106" s="1">
        <f t="shared" si="17"/>
        <v>1104</v>
      </c>
      <c r="C1106" s="1">
        <v>1</v>
      </c>
      <c r="D1106" s="2">
        <v>680</v>
      </c>
      <c r="E1106" s="4" t="s">
        <v>1626</v>
      </c>
      <c r="F1106" s="4" t="s">
        <v>1626</v>
      </c>
    </row>
    <row r="1107" spans="2:7" x14ac:dyDescent="0.25">
      <c r="B1107" s="2">
        <f t="shared" si="17"/>
        <v>1105</v>
      </c>
      <c r="C1107" s="2">
        <v>1</v>
      </c>
      <c r="D1107" s="2">
        <v>681</v>
      </c>
      <c r="E1107" s="4" t="s">
        <v>1625</v>
      </c>
      <c r="F1107" s="3" t="s">
        <v>1625</v>
      </c>
    </row>
    <row r="1108" spans="2:7" x14ac:dyDescent="0.25">
      <c r="B1108" s="1">
        <f t="shared" si="17"/>
        <v>1106</v>
      </c>
      <c r="C1108" s="1">
        <v>1</v>
      </c>
      <c r="D1108" s="2">
        <v>682</v>
      </c>
      <c r="E1108" s="4" t="s">
        <v>1624</v>
      </c>
      <c r="F1108" s="4" t="s">
        <v>1624</v>
      </c>
    </row>
    <row r="1109" spans="2:7" x14ac:dyDescent="0.25">
      <c r="B1109" s="2">
        <f t="shared" si="17"/>
        <v>1107</v>
      </c>
      <c r="C1109" s="2">
        <v>1</v>
      </c>
      <c r="D1109" s="2">
        <v>683</v>
      </c>
      <c r="E1109" s="4" t="s">
        <v>1623</v>
      </c>
      <c r="F1109" s="3" t="s">
        <v>1623</v>
      </c>
    </row>
    <row r="1110" spans="2:7" x14ac:dyDescent="0.25">
      <c r="B1110" s="1">
        <f t="shared" si="17"/>
        <v>1108</v>
      </c>
      <c r="C1110" s="1">
        <v>1</v>
      </c>
      <c r="D1110" s="2">
        <v>684</v>
      </c>
      <c r="E1110" s="4" t="s">
        <v>1622</v>
      </c>
      <c r="F1110" s="4" t="s">
        <v>1622</v>
      </c>
    </row>
    <row r="1111" spans="2:7" x14ac:dyDescent="0.25">
      <c r="B1111" s="2">
        <f t="shared" si="17"/>
        <v>1109</v>
      </c>
      <c r="C1111" s="2">
        <v>1</v>
      </c>
      <c r="D1111" s="2">
        <v>685</v>
      </c>
      <c r="E1111" s="4" t="s">
        <v>1621</v>
      </c>
      <c r="F1111" s="3" t="s">
        <v>1621</v>
      </c>
    </row>
    <row r="1112" spans="2:7" x14ac:dyDescent="0.25">
      <c r="B1112" s="1">
        <f t="shared" si="17"/>
        <v>1110</v>
      </c>
      <c r="C1112" s="1">
        <v>3</v>
      </c>
      <c r="D1112" s="1">
        <v>72</v>
      </c>
      <c r="E1112" s="3" t="s">
        <v>656</v>
      </c>
      <c r="F1112" s="3" t="s">
        <v>656</v>
      </c>
    </row>
    <row r="1113" spans="2:7" x14ac:dyDescent="0.25">
      <c r="B1113" s="2">
        <f t="shared" si="17"/>
        <v>1111</v>
      </c>
      <c r="C1113" s="2">
        <v>1</v>
      </c>
      <c r="D1113" s="2">
        <v>686</v>
      </c>
      <c r="E1113" s="4" t="s">
        <v>1620</v>
      </c>
      <c r="F1113" s="4" t="s">
        <v>1620</v>
      </c>
    </row>
    <row r="1114" spans="2:7" x14ac:dyDescent="0.25">
      <c r="B1114" s="1">
        <f t="shared" si="17"/>
        <v>1112</v>
      </c>
      <c r="C1114" s="1">
        <v>1</v>
      </c>
      <c r="D1114" s="1">
        <v>687</v>
      </c>
      <c r="E1114" s="3" t="s">
        <v>1619</v>
      </c>
      <c r="F1114" s="3" t="s">
        <v>1619</v>
      </c>
    </row>
    <row r="1115" spans="2:7" x14ac:dyDescent="0.25">
      <c r="B1115" s="2">
        <f t="shared" si="17"/>
        <v>1113</v>
      </c>
      <c r="C1115" s="2">
        <v>1</v>
      </c>
      <c r="D1115" s="2">
        <v>688</v>
      </c>
      <c r="E1115" s="4" t="s">
        <v>1618</v>
      </c>
      <c r="F1115" s="4" t="s">
        <v>1618</v>
      </c>
    </row>
    <row r="1116" spans="2:7" x14ac:dyDescent="0.25">
      <c r="B1116" s="1">
        <f t="shared" si="17"/>
        <v>1114</v>
      </c>
      <c r="C1116" s="1">
        <v>2</v>
      </c>
      <c r="D1116" s="1">
        <v>246</v>
      </c>
      <c r="E1116" s="3" t="s">
        <v>798</v>
      </c>
      <c r="F1116" s="3" t="s">
        <v>3110</v>
      </c>
      <c r="G1116" t="s">
        <v>3035</v>
      </c>
    </row>
    <row r="1117" spans="2:7" x14ac:dyDescent="0.25">
      <c r="B1117" s="2">
        <f t="shared" si="17"/>
        <v>1115</v>
      </c>
      <c r="C1117" s="2">
        <v>1</v>
      </c>
      <c r="D1117" s="2">
        <v>689</v>
      </c>
      <c r="E1117" s="4" t="s">
        <v>1617</v>
      </c>
      <c r="F1117" s="3" t="s">
        <v>1617</v>
      </c>
    </row>
    <row r="1118" spans="2:7" x14ac:dyDescent="0.25">
      <c r="B1118" s="1">
        <f t="shared" si="17"/>
        <v>1116</v>
      </c>
      <c r="C1118" s="1">
        <v>1</v>
      </c>
      <c r="D1118" s="2">
        <v>690</v>
      </c>
      <c r="E1118" s="4" t="s">
        <v>1616</v>
      </c>
      <c r="F1118" s="4" t="s">
        <v>1616</v>
      </c>
    </row>
    <row r="1119" spans="2:7" x14ac:dyDescent="0.25">
      <c r="B1119" s="2">
        <f t="shared" si="17"/>
        <v>1117</v>
      </c>
      <c r="C1119" s="2">
        <v>2</v>
      </c>
      <c r="D1119" s="2">
        <v>247</v>
      </c>
      <c r="E1119" s="4" t="s">
        <v>797</v>
      </c>
      <c r="F1119" s="3" t="s">
        <v>1616</v>
      </c>
      <c r="G1119" t="s">
        <v>3111</v>
      </c>
    </row>
    <row r="1120" spans="2:7" x14ac:dyDescent="0.25">
      <c r="B1120" s="1">
        <f t="shared" si="17"/>
        <v>1118</v>
      </c>
      <c r="C1120" s="1">
        <v>1</v>
      </c>
      <c r="D1120" s="1">
        <v>691</v>
      </c>
      <c r="E1120" s="3" t="s">
        <v>1615</v>
      </c>
      <c r="F1120" s="3" t="s">
        <v>1615</v>
      </c>
    </row>
    <row r="1121" spans="2:7" x14ac:dyDescent="0.25">
      <c r="B1121" s="2">
        <f t="shared" si="17"/>
        <v>1119</v>
      </c>
      <c r="C1121" s="2">
        <v>1</v>
      </c>
      <c r="D1121" s="2">
        <v>692</v>
      </c>
      <c r="E1121" s="4" t="s">
        <v>1614</v>
      </c>
      <c r="F1121" s="4" t="s">
        <v>1614</v>
      </c>
    </row>
    <row r="1122" spans="2:7" x14ac:dyDescent="0.25">
      <c r="B1122" s="1">
        <f t="shared" si="17"/>
        <v>1120</v>
      </c>
      <c r="C1122" s="1">
        <v>1</v>
      </c>
      <c r="D1122" s="1">
        <v>693</v>
      </c>
      <c r="E1122" s="3" t="s">
        <v>1613</v>
      </c>
      <c r="F1122" s="3" t="s">
        <v>1613</v>
      </c>
    </row>
    <row r="1123" spans="2:7" x14ac:dyDescent="0.25">
      <c r="B1123" s="2">
        <f t="shared" si="17"/>
        <v>1121</v>
      </c>
      <c r="C1123" s="2">
        <v>1</v>
      </c>
      <c r="D1123" s="2">
        <v>694</v>
      </c>
      <c r="E1123" s="4" t="s">
        <v>1612</v>
      </c>
      <c r="F1123" s="4" t="s">
        <v>1612</v>
      </c>
    </row>
    <row r="1124" spans="2:7" x14ac:dyDescent="0.25">
      <c r="B1124" s="1">
        <f t="shared" si="17"/>
        <v>1122</v>
      </c>
      <c r="C1124" s="1">
        <v>2</v>
      </c>
      <c r="D1124" s="1">
        <v>248</v>
      </c>
      <c r="E1124" s="3" t="s">
        <v>796</v>
      </c>
      <c r="F1124" s="3" t="s">
        <v>1612</v>
      </c>
      <c r="G1124" t="s">
        <v>2834</v>
      </c>
    </row>
    <row r="1125" spans="2:7" x14ac:dyDescent="0.25">
      <c r="B1125" s="2">
        <f t="shared" si="17"/>
        <v>1123</v>
      </c>
      <c r="C1125" s="2">
        <v>1</v>
      </c>
      <c r="D1125" s="2">
        <v>695</v>
      </c>
      <c r="E1125" s="4" t="s">
        <v>1611</v>
      </c>
      <c r="F1125" s="3" t="s">
        <v>1611</v>
      </c>
    </row>
    <row r="1126" spans="2:7" x14ac:dyDescent="0.25">
      <c r="B1126" s="1">
        <f t="shared" si="17"/>
        <v>1124</v>
      </c>
      <c r="C1126" s="1">
        <v>1</v>
      </c>
      <c r="D1126" s="2">
        <v>696</v>
      </c>
      <c r="E1126" s="4" t="s">
        <v>1610</v>
      </c>
      <c r="F1126" s="4" t="s">
        <v>1610</v>
      </c>
    </row>
    <row r="1127" spans="2:7" ht="30" x14ac:dyDescent="0.25">
      <c r="B1127" s="2">
        <f t="shared" si="17"/>
        <v>1125</v>
      </c>
      <c r="C1127" s="2">
        <v>1</v>
      </c>
      <c r="D1127" s="2" t="s">
        <v>1609</v>
      </c>
      <c r="E1127" s="4" t="s">
        <v>1608</v>
      </c>
      <c r="F1127" s="3" t="s">
        <v>1608</v>
      </c>
    </row>
    <row r="1128" spans="2:7" x14ac:dyDescent="0.25">
      <c r="B1128" s="1">
        <f t="shared" si="17"/>
        <v>1126</v>
      </c>
      <c r="C1128" s="1">
        <v>1</v>
      </c>
      <c r="D1128" s="2">
        <v>697</v>
      </c>
      <c r="E1128" s="4" t="s">
        <v>1607</v>
      </c>
      <c r="F1128" s="4" t="s">
        <v>1607</v>
      </c>
    </row>
    <row r="1129" spans="2:7" x14ac:dyDescent="0.25">
      <c r="B1129" s="2">
        <f t="shared" si="17"/>
        <v>1127</v>
      </c>
      <c r="C1129" s="2">
        <v>1</v>
      </c>
      <c r="D1129" s="2">
        <v>698</v>
      </c>
      <c r="E1129" s="4" t="s">
        <v>1606</v>
      </c>
      <c r="F1129" s="3" t="s">
        <v>1606</v>
      </c>
    </row>
    <row r="1130" spans="2:7" ht="45" x14ac:dyDescent="0.25">
      <c r="B1130" s="1">
        <f t="shared" si="17"/>
        <v>1128</v>
      </c>
      <c r="C1130" s="1">
        <v>1</v>
      </c>
      <c r="D1130" s="2" t="s">
        <v>1605</v>
      </c>
      <c r="E1130" s="4" t="s">
        <v>1604</v>
      </c>
      <c r="F1130" s="4" t="s">
        <v>1604</v>
      </c>
    </row>
    <row r="1131" spans="2:7" x14ac:dyDescent="0.25">
      <c r="B1131" s="2">
        <f t="shared" si="17"/>
        <v>1129</v>
      </c>
      <c r="C1131" s="2">
        <v>1</v>
      </c>
      <c r="D1131" s="2">
        <v>699</v>
      </c>
      <c r="E1131" s="4" t="s">
        <v>1603</v>
      </c>
      <c r="F1131" s="3" t="s">
        <v>1603</v>
      </c>
    </row>
    <row r="1132" spans="2:7" ht="45" x14ac:dyDescent="0.25">
      <c r="B1132" s="1">
        <f t="shared" si="17"/>
        <v>1130</v>
      </c>
      <c r="C1132" s="1">
        <v>1</v>
      </c>
      <c r="D1132" s="2" t="s">
        <v>1602</v>
      </c>
      <c r="E1132" s="4" t="s">
        <v>1601</v>
      </c>
      <c r="F1132" s="4" t="s">
        <v>1601</v>
      </c>
    </row>
    <row r="1133" spans="2:7" x14ac:dyDescent="0.25">
      <c r="B1133" s="2">
        <f t="shared" si="17"/>
        <v>1131</v>
      </c>
      <c r="C1133" s="2">
        <v>1</v>
      </c>
      <c r="D1133" s="2">
        <v>700</v>
      </c>
      <c r="E1133" s="4" t="s">
        <v>1600</v>
      </c>
      <c r="F1133" s="3" t="s">
        <v>1600</v>
      </c>
    </row>
    <row r="1134" spans="2:7" ht="45" x14ac:dyDescent="0.25">
      <c r="B1134" s="1">
        <f t="shared" si="17"/>
        <v>1132</v>
      </c>
      <c r="C1134" s="1">
        <v>1</v>
      </c>
      <c r="D1134" s="2" t="s">
        <v>1599</v>
      </c>
      <c r="E1134" s="4" t="s">
        <v>1598</v>
      </c>
      <c r="F1134" s="4" t="s">
        <v>1598</v>
      </c>
    </row>
    <row r="1135" spans="2:7" ht="30" x14ac:dyDescent="0.25">
      <c r="B1135" s="2">
        <f t="shared" si="17"/>
        <v>1133</v>
      </c>
      <c r="C1135" s="2">
        <v>1</v>
      </c>
      <c r="D1135" s="2">
        <v>701</v>
      </c>
      <c r="E1135" s="4" t="s">
        <v>1597</v>
      </c>
      <c r="F1135" s="3" t="s">
        <v>1597</v>
      </c>
    </row>
    <row r="1136" spans="2:7" x14ac:dyDescent="0.25">
      <c r="B1136" s="1">
        <f t="shared" si="17"/>
        <v>1134</v>
      </c>
      <c r="C1136" s="1">
        <v>1</v>
      </c>
      <c r="D1136" s="2">
        <v>702</v>
      </c>
      <c r="E1136" s="4" t="s">
        <v>1596</v>
      </c>
      <c r="F1136" s="4" t="s">
        <v>1596</v>
      </c>
    </row>
    <row r="1137" spans="2:7" ht="30" x14ac:dyDescent="0.25">
      <c r="B1137" s="2">
        <f t="shared" si="17"/>
        <v>1135</v>
      </c>
      <c r="C1137" s="2">
        <v>1</v>
      </c>
      <c r="D1137" s="2">
        <v>703</v>
      </c>
      <c r="E1137" s="4" t="s">
        <v>1595</v>
      </c>
      <c r="F1137" s="3" t="s">
        <v>1595</v>
      </c>
    </row>
    <row r="1138" spans="2:7" x14ac:dyDescent="0.25">
      <c r="B1138" s="1">
        <f t="shared" si="17"/>
        <v>1136</v>
      </c>
      <c r="C1138" s="1">
        <v>1</v>
      </c>
      <c r="D1138" s="2">
        <v>704</v>
      </c>
      <c r="E1138" s="4" t="s">
        <v>1594</v>
      </c>
      <c r="F1138" s="4" t="s">
        <v>1594</v>
      </c>
    </row>
    <row r="1139" spans="2:7" x14ac:dyDescent="0.25">
      <c r="B1139" s="2">
        <f t="shared" si="17"/>
        <v>1137</v>
      </c>
      <c r="C1139" s="2">
        <v>1</v>
      </c>
      <c r="D1139" s="2">
        <v>705</v>
      </c>
      <c r="E1139" s="4" t="s">
        <v>1593</v>
      </c>
      <c r="F1139" s="3" t="s">
        <v>1593</v>
      </c>
    </row>
    <row r="1140" spans="2:7" x14ac:dyDescent="0.25">
      <c r="B1140" s="1">
        <f t="shared" si="17"/>
        <v>1138</v>
      </c>
      <c r="C1140" s="1">
        <v>1</v>
      </c>
      <c r="D1140" s="2">
        <v>706</v>
      </c>
      <c r="E1140" s="4" t="s">
        <v>1592</v>
      </c>
      <c r="F1140" s="4" t="s">
        <v>1592</v>
      </c>
    </row>
    <row r="1141" spans="2:7" x14ac:dyDescent="0.25">
      <c r="B1141" s="2">
        <f t="shared" si="17"/>
        <v>1139</v>
      </c>
      <c r="C1141" s="2">
        <v>1</v>
      </c>
      <c r="D1141" s="2">
        <v>707</v>
      </c>
      <c r="E1141" s="4" t="s">
        <v>1591</v>
      </c>
      <c r="F1141" s="3" t="s">
        <v>1591</v>
      </c>
    </row>
    <row r="1142" spans="2:7" x14ac:dyDescent="0.25">
      <c r="B1142" s="1">
        <f t="shared" si="17"/>
        <v>1140</v>
      </c>
      <c r="C1142" s="1">
        <v>2</v>
      </c>
      <c r="D1142" s="1">
        <v>249</v>
      </c>
      <c r="E1142" s="3" t="s">
        <v>795</v>
      </c>
      <c r="F1142" s="3" t="s">
        <v>1591</v>
      </c>
      <c r="G1142" t="s">
        <v>3112</v>
      </c>
    </row>
    <row r="1143" spans="2:7" ht="30" x14ac:dyDescent="0.25">
      <c r="B1143" s="2">
        <f t="shared" si="17"/>
        <v>1141</v>
      </c>
      <c r="C1143" s="2">
        <v>2</v>
      </c>
      <c r="D1143" s="2" t="s">
        <v>794</v>
      </c>
      <c r="E1143" s="4" t="s">
        <v>793</v>
      </c>
      <c r="F1143" s="3" t="s">
        <v>1591</v>
      </c>
      <c r="G1143" t="s">
        <v>3113</v>
      </c>
    </row>
    <row r="1144" spans="2:7" x14ac:dyDescent="0.25">
      <c r="B1144" s="1">
        <f t="shared" si="17"/>
        <v>1142</v>
      </c>
      <c r="C1144" s="1">
        <v>1</v>
      </c>
      <c r="D1144" s="2">
        <v>708</v>
      </c>
      <c r="E1144" s="4" t="s">
        <v>1590</v>
      </c>
      <c r="F1144" s="4" t="s">
        <v>1590</v>
      </c>
    </row>
    <row r="1145" spans="2:7" x14ac:dyDescent="0.25">
      <c r="B1145" s="2">
        <f t="shared" si="17"/>
        <v>1143</v>
      </c>
      <c r="C1145" s="2">
        <v>1</v>
      </c>
      <c r="D1145" s="2">
        <v>709</v>
      </c>
      <c r="E1145" s="4" t="s">
        <v>1589</v>
      </c>
      <c r="F1145" s="3" t="s">
        <v>1589</v>
      </c>
    </row>
    <row r="1146" spans="2:7" x14ac:dyDescent="0.25">
      <c r="B1146" s="1">
        <f t="shared" si="17"/>
        <v>1144</v>
      </c>
      <c r="C1146" s="1">
        <v>1</v>
      </c>
      <c r="D1146" s="2">
        <v>710</v>
      </c>
      <c r="E1146" s="4" t="s">
        <v>655</v>
      </c>
      <c r="F1146" s="4" t="s">
        <v>655</v>
      </c>
    </row>
    <row r="1147" spans="2:7" x14ac:dyDescent="0.25">
      <c r="B1147" s="2">
        <f t="shared" si="17"/>
        <v>1145</v>
      </c>
      <c r="C1147" s="2">
        <v>3</v>
      </c>
      <c r="D1147" s="2">
        <v>73</v>
      </c>
      <c r="E1147" s="4" t="s">
        <v>655</v>
      </c>
      <c r="F1147" s="3" t="s">
        <v>655</v>
      </c>
    </row>
    <row r="1148" spans="2:7" x14ac:dyDescent="0.25">
      <c r="B1148" s="1">
        <f t="shared" si="17"/>
        <v>1146</v>
      </c>
      <c r="C1148" s="1">
        <v>1</v>
      </c>
      <c r="D1148" s="1">
        <v>711</v>
      </c>
      <c r="E1148" s="3" t="s">
        <v>1588</v>
      </c>
      <c r="F1148" s="3" t="s">
        <v>1588</v>
      </c>
    </row>
    <row r="1149" spans="2:7" x14ac:dyDescent="0.25">
      <c r="B1149" s="2">
        <f t="shared" si="17"/>
        <v>1147</v>
      </c>
      <c r="C1149" s="2">
        <v>1</v>
      </c>
      <c r="D1149" s="2">
        <v>712</v>
      </c>
      <c r="E1149" s="4" t="s">
        <v>1587</v>
      </c>
      <c r="F1149" s="4" t="s">
        <v>1587</v>
      </c>
    </row>
    <row r="1150" spans="2:7" x14ac:dyDescent="0.25">
      <c r="B1150" s="1">
        <f t="shared" si="17"/>
        <v>1148</v>
      </c>
      <c r="C1150" s="1">
        <v>2</v>
      </c>
      <c r="D1150" s="1" t="s">
        <v>792</v>
      </c>
      <c r="E1150" s="3" t="s">
        <v>791</v>
      </c>
      <c r="F1150" s="3" t="s">
        <v>1587</v>
      </c>
      <c r="G1150" t="s">
        <v>3114</v>
      </c>
    </row>
    <row r="1151" spans="2:7" x14ac:dyDescent="0.25">
      <c r="B1151" s="2">
        <f t="shared" si="17"/>
        <v>1149</v>
      </c>
      <c r="C1151" s="2">
        <v>2</v>
      </c>
      <c r="D1151" s="2">
        <v>250</v>
      </c>
      <c r="E1151" s="4" t="s">
        <v>790</v>
      </c>
      <c r="F1151" s="3" t="s">
        <v>3115</v>
      </c>
      <c r="G1151" t="s">
        <v>3103</v>
      </c>
    </row>
    <row r="1152" spans="2:7" x14ac:dyDescent="0.25">
      <c r="B1152" s="1">
        <f t="shared" si="17"/>
        <v>1150</v>
      </c>
      <c r="C1152" s="1">
        <v>1</v>
      </c>
      <c r="D1152" s="1">
        <v>713</v>
      </c>
      <c r="E1152" s="3" t="s">
        <v>1586</v>
      </c>
      <c r="F1152" s="3" t="s">
        <v>1586</v>
      </c>
    </row>
    <row r="1153" spans="2:7" x14ac:dyDescent="0.25">
      <c r="B1153" s="2">
        <f t="shared" si="17"/>
        <v>1151</v>
      </c>
      <c r="C1153" s="2">
        <v>1</v>
      </c>
      <c r="D1153" s="2">
        <v>714</v>
      </c>
      <c r="E1153" s="4" t="s">
        <v>1585</v>
      </c>
      <c r="F1153" s="4" t="s">
        <v>1585</v>
      </c>
    </row>
    <row r="1154" spans="2:7" x14ac:dyDescent="0.25">
      <c r="B1154" s="1">
        <f t="shared" si="17"/>
        <v>1152</v>
      </c>
      <c r="C1154" s="1">
        <v>1</v>
      </c>
      <c r="D1154" s="1">
        <v>715</v>
      </c>
      <c r="E1154" s="3" t="s">
        <v>1584</v>
      </c>
      <c r="F1154" s="3" t="s">
        <v>1584</v>
      </c>
    </row>
    <row r="1155" spans="2:7" x14ac:dyDescent="0.25">
      <c r="B1155" s="2">
        <f t="shared" si="17"/>
        <v>1153</v>
      </c>
      <c r="C1155" s="2">
        <v>1</v>
      </c>
      <c r="D1155" s="2">
        <v>716</v>
      </c>
      <c r="E1155" s="4" t="s">
        <v>1583</v>
      </c>
      <c r="F1155" s="4" t="s">
        <v>1583</v>
      </c>
    </row>
    <row r="1156" spans="2:7" x14ac:dyDescent="0.25">
      <c r="B1156" s="1">
        <f t="shared" si="17"/>
        <v>1154</v>
      </c>
      <c r="C1156" s="1">
        <v>1</v>
      </c>
      <c r="D1156" s="1">
        <v>717</v>
      </c>
      <c r="E1156" s="3" t="s">
        <v>1582</v>
      </c>
      <c r="F1156" s="3" t="s">
        <v>1582</v>
      </c>
    </row>
    <row r="1157" spans="2:7" ht="45" x14ac:dyDescent="0.25">
      <c r="B1157" s="2">
        <f t="shared" ref="B1157:B1220" si="18">+B1156+1</f>
        <v>1155</v>
      </c>
      <c r="C1157" s="2">
        <v>1</v>
      </c>
      <c r="D1157" s="2" t="s">
        <v>1581</v>
      </c>
      <c r="E1157" s="4" t="s">
        <v>1580</v>
      </c>
      <c r="F1157" s="4" t="s">
        <v>1580</v>
      </c>
    </row>
    <row r="1158" spans="2:7" x14ac:dyDescent="0.25">
      <c r="B1158" s="1">
        <f t="shared" si="18"/>
        <v>1156</v>
      </c>
      <c r="C1158" s="1">
        <v>1</v>
      </c>
      <c r="D1158" s="1">
        <v>718</v>
      </c>
      <c r="E1158" s="3" t="s">
        <v>1579</v>
      </c>
      <c r="F1158" s="3" t="s">
        <v>1579</v>
      </c>
    </row>
    <row r="1159" spans="2:7" x14ac:dyDescent="0.25">
      <c r="B1159" s="2">
        <f t="shared" si="18"/>
        <v>1157</v>
      </c>
      <c r="C1159" s="2">
        <v>1</v>
      </c>
      <c r="D1159" s="2">
        <v>719</v>
      </c>
      <c r="E1159" s="4" t="s">
        <v>1578</v>
      </c>
      <c r="F1159" s="4" t="s">
        <v>1578</v>
      </c>
    </row>
    <row r="1160" spans="2:7" x14ac:dyDescent="0.25">
      <c r="B1160" s="1">
        <f t="shared" si="18"/>
        <v>1158</v>
      </c>
      <c r="C1160" s="1">
        <v>1</v>
      </c>
      <c r="D1160" s="1">
        <v>720</v>
      </c>
      <c r="E1160" s="3" t="s">
        <v>1577</v>
      </c>
      <c r="F1160" s="3" t="s">
        <v>1577</v>
      </c>
    </row>
    <row r="1161" spans="2:7" x14ac:dyDescent="0.25">
      <c r="B1161" s="2">
        <f t="shared" si="18"/>
        <v>1159</v>
      </c>
      <c r="C1161" s="2">
        <v>1</v>
      </c>
      <c r="D1161" s="2">
        <v>721</v>
      </c>
      <c r="E1161" s="4" t="s">
        <v>1576</v>
      </c>
      <c r="F1161" s="4" t="s">
        <v>1576</v>
      </c>
    </row>
    <row r="1162" spans="2:7" x14ac:dyDescent="0.25">
      <c r="B1162" s="1">
        <f t="shared" si="18"/>
        <v>1160</v>
      </c>
      <c r="C1162" s="1">
        <v>1</v>
      </c>
      <c r="D1162" s="1">
        <v>722</v>
      </c>
      <c r="E1162" s="3" t="s">
        <v>1575</v>
      </c>
      <c r="F1162" s="3" t="s">
        <v>1575</v>
      </c>
    </row>
    <row r="1163" spans="2:7" x14ac:dyDescent="0.25">
      <c r="B1163" s="2">
        <f t="shared" si="18"/>
        <v>1161</v>
      </c>
      <c r="C1163" s="2">
        <v>2</v>
      </c>
      <c r="D1163" s="2">
        <v>251</v>
      </c>
      <c r="E1163" s="4" t="s">
        <v>789</v>
      </c>
      <c r="F1163" s="3" t="s">
        <v>1575</v>
      </c>
      <c r="G1163" t="s">
        <v>2957</v>
      </c>
    </row>
    <row r="1164" spans="2:7" x14ac:dyDescent="0.25">
      <c r="B1164" s="1">
        <f t="shared" si="18"/>
        <v>1162</v>
      </c>
      <c r="C1164" s="1">
        <v>1</v>
      </c>
      <c r="D1164" s="2">
        <v>723</v>
      </c>
      <c r="E1164" s="4" t="s">
        <v>1574</v>
      </c>
      <c r="F1164" s="4" t="s">
        <v>1574</v>
      </c>
    </row>
    <row r="1165" spans="2:7" ht="30" x14ac:dyDescent="0.25">
      <c r="B1165" s="2">
        <f t="shared" si="18"/>
        <v>1163</v>
      </c>
      <c r="C1165" s="2">
        <v>1</v>
      </c>
      <c r="D1165" s="2">
        <v>724</v>
      </c>
      <c r="E1165" s="4" t="s">
        <v>1573</v>
      </c>
      <c r="F1165" s="3" t="s">
        <v>1573</v>
      </c>
    </row>
    <row r="1166" spans="2:7" ht="30" x14ac:dyDescent="0.25">
      <c r="B1166" s="1">
        <f t="shared" si="18"/>
        <v>1164</v>
      </c>
      <c r="C1166" s="1">
        <v>1</v>
      </c>
      <c r="D1166" s="2">
        <v>725</v>
      </c>
      <c r="E1166" s="4" t="s">
        <v>1572</v>
      </c>
      <c r="F1166" s="4" t="s">
        <v>1572</v>
      </c>
    </row>
    <row r="1167" spans="2:7" ht="30" x14ac:dyDescent="0.25">
      <c r="B1167" s="2">
        <f t="shared" si="18"/>
        <v>1165</v>
      </c>
      <c r="C1167" s="2">
        <v>2</v>
      </c>
      <c r="D1167" s="2">
        <v>252</v>
      </c>
      <c r="E1167" s="4" t="s">
        <v>788</v>
      </c>
      <c r="F1167" s="3" t="s">
        <v>1572</v>
      </c>
      <c r="G1167" t="s">
        <v>2957</v>
      </c>
    </row>
    <row r="1168" spans="2:7" x14ac:dyDescent="0.25">
      <c r="B1168" s="1">
        <f t="shared" si="18"/>
        <v>1166</v>
      </c>
      <c r="C1168" s="1">
        <v>1</v>
      </c>
      <c r="D1168" s="1">
        <v>726</v>
      </c>
      <c r="E1168" s="3" t="s">
        <v>1571</v>
      </c>
      <c r="F1168" s="3" t="s">
        <v>1571</v>
      </c>
    </row>
    <row r="1169" spans="2:7" x14ac:dyDescent="0.25">
      <c r="B1169" s="2">
        <f t="shared" si="18"/>
        <v>1167</v>
      </c>
      <c r="C1169" s="2">
        <v>1</v>
      </c>
      <c r="D1169" s="2">
        <v>727</v>
      </c>
      <c r="E1169" s="4" t="s">
        <v>1570</v>
      </c>
      <c r="F1169" s="4" t="s">
        <v>1570</v>
      </c>
    </row>
    <row r="1170" spans="2:7" x14ac:dyDescent="0.25">
      <c r="B1170" s="1">
        <f t="shared" si="18"/>
        <v>1168</v>
      </c>
      <c r="C1170" s="1">
        <v>1</v>
      </c>
      <c r="D1170" s="1">
        <v>728</v>
      </c>
      <c r="E1170" s="3" t="s">
        <v>1569</v>
      </c>
      <c r="F1170" s="3" t="s">
        <v>1569</v>
      </c>
    </row>
    <row r="1171" spans="2:7" x14ac:dyDescent="0.25">
      <c r="B1171" s="2">
        <f t="shared" si="18"/>
        <v>1169</v>
      </c>
      <c r="C1171" s="2">
        <v>1</v>
      </c>
      <c r="D1171" s="2">
        <v>729</v>
      </c>
      <c r="E1171" s="4" t="s">
        <v>1568</v>
      </c>
      <c r="F1171" s="4" t="s">
        <v>1568</v>
      </c>
    </row>
    <row r="1172" spans="2:7" x14ac:dyDescent="0.25">
      <c r="B1172" s="1">
        <f t="shared" si="18"/>
        <v>1170</v>
      </c>
      <c r="C1172" s="1">
        <v>1</v>
      </c>
      <c r="D1172" s="1">
        <v>730</v>
      </c>
      <c r="E1172" s="3" t="s">
        <v>1567</v>
      </c>
      <c r="F1172" s="3" t="s">
        <v>1567</v>
      </c>
    </row>
    <row r="1173" spans="2:7" x14ac:dyDescent="0.25">
      <c r="B1173" s="2">
        <f t="shared" si="18"/>
        <v>1171</v>
      </c>
      <c r="C1173" s="2">
        <v>1</v>
      </c>
      <c r="D1173" s="2">
        <v>731</v>
      </c>
      <c r="E1173" s="4" t="s">
        <v>1566</v>
      </c>
      <c r="F1173" s="4" t="s">
        <v>1566</v>
      </c>
    </row>
    <row r="1174" spans="2:7" x14ac:dyDescent="0.25">
      <c r="B1174" s="1">
        <f t="shared" si="18"/>
        <v>1172</v>
      </c>
      <c r="C1174" s="1">
        <v>1</v>
      </c>
      <c r="D1174" s="1">
        <v>732</v>
      </c>
      <c r="E1174" s="3" t="s">
        <v>1565</v>
      </c>
      <c r="F1174" s="3" t="s">
        <v>1565</v>
      </c>
    </row>
    <row r="1175" spans="2:7" x14ac:dyDescent="0.25">
      <c r="B1175" s="2">
        <f t="shared" si="18"/>
        <v>1173</v>
      </c>
      <c r="C1175" s="2">
        <v>1</v>
      </c>
      <c r="D1175" s="2">
        <v>733</v>
      </c>
      <c r="E1175" s="4" t="s">
        <v>1564</v>
      </c>
      <c r="F1175" s="4" t="s">
        <v>1564</v>
      </c>
    </row>
    <row r="1176" spans="2:7" x14ac:dyDescent="0.25">
      <c r="B1176" s="1">
        <f t="shared" si="18"/>
        <v>1174</v>
      </c>
      <c r="C1176" s="1">
        <v>1</v>
      </c>
      <c r="D1176" s="1">
        <v>734</v>
      </c>
      <c r="E1176" s="3" t="s">
        <v>1563</v>
      </c>
      <c r="F1176" s="3" t="s">
        <v>1563</v>
      </c>
    </row>
    <row r="1177" spans="2:7" x14ac:dyDescent="0.25">
      <c r="B1177" s="2">
        <f t="shared" si="18"/>
        <v>1175</v>
      </c>
      <c r="C1177" s="2">
        <v>1</v>
      </c>
      <c r="D1177" s="2">
        <v>735</v>
      </c>
      <c r="E1177" s="4" t="s">
        <v>1562</v>
      </c>
      <c r="F1177" s="4" t="s">
        <v>1562</v>
      </c>
    </row>
    <row r="1178" spans="2:7" x14ac:dyDescent="0.25">
      <c r="B1178" s="1">
        <f t="shared" si="18"/>
        <v>1176</v>
      </c>
      <c r="C1178" s="1">
        <v>1</v>
      </c>
      <c r="D1178" s="1">
        <v>736</v>
      </c>
      <c r="E1178" s="3" t="s">
        <v>1561</v>
      </c>
      <c r="F1178" s="3" t="s">
        <v>1561</v>
      </c>
    </row>
    <row r="1179" spans="2:7" x14ac:dyDescent="0.25">
      <c r="B1179" s="2">
        <f t="shared" si="18"/>
        <v>1177</v>
      </c>
      <c r="C1179" s="2">
        <v>1</v>
      </c>
      <c r="D1179" s="2">
        <v>737</v>
      </c>
      <c r="E1179" s="4" t="s">
        <v>1560</v>
      </c>
      <c r="F1179" s="4" t="s">
        <v>1560</v>
      </c>
    </row>
    <row r="1180" spans="2:7" x14ac:dyDescent="0.25">
      <c r="B1180" s="1">
        <f t="shared" si="18"/>
        <v>1178</v>
      </c>
      <c r="C1180" s="1">
        <v>1</v>
      </c>
      <c r="D1180" s="1">
        <v>738</v>
      </c>
      <c r="E1180" s="3" t="s">
        <v>1559</v>
      </c>
      <c r="F1180" s="3" t="s">
        <v>1559</v>
      </c>
    </row>
    <row r="1181" spans="2:7" ht="30" x14ac:dyDescent="0.25">
      <c r="B1181" s="2">
        <f t="shared" si="18"/>
        <v>1179</v>
      </c>
      <c r="C1181" s="2">
        <v>1</v>
      </c>
      <c r="D1181" s="2" t="s">
        <v>1558</v>
      </c>
      <c r="E1181" s="4" t="s">
        <v>1557</v>
      </c>
      <c r="F1181" s="4" t="s">
        <v>1557</v>
      </c>
    </row>
    <row r="1182" spans="2:7" x14ac:dyDescent="0.25">
      <c r="B1182" s="1">
        <f t="shared" si="18"/>
        <v>1180</v>
      </c>
      <c r="C1182" s="1">
        <v>3</v>
      </c>
      <c r="D1182" s="1">
        <v>74</v>
      </c>
      <c r="E1182" s="3" t="s">
        <v>654</v>
      </c>
      <c r="F1182" s="3" t="s">
        <v>654</v>
      </c>
    </row>
    <row r="1183" spans="2:7" x14ac:dyDescent="0.25">
      <c r="B1183" s="2">
        <f t="shared" si="18"/>
        <v>1181</v>
      </c>
      <c r="C1183" s="2">
        <v>1</v>
      </c>
      <c r="D1183" s="2">
        <v>739</v>
      </c>
      <c r="E1183" s="4" t="s">
        <v>1556</v>
      </c>
      <c r="F1183" s="3" t="s">
        <v>1556</v>
      </c>
    </row>
    <row r="1184" spans="2:7" x14ac:dyDescent="0.25">
      <c r="B1184" s="1">
        <f t="shared" si="18"/>
        <v>1182</v>
      </c>
      <c r="C1184" s="1">
        <v>2</v>
      </c>
      <c r="D1184" s="1">
        <v>253</v>
      </c>
      <c r="E1184" s="3" t="s">
        <v>787</v>
      </c>
      <c r="F1184" s="3" t="s">
        <v>1556</v>
      </c>
      <c r="G1184" t="s">
        <v>3116</v>
      </c>
    </row>
    <row r="1185" spans="2:6" x14ac:dyDescent="0.25">
      <c r="B1185" s="2">
        <f t="shared" si="18"/>
        <v>1183</v>
      </c>
      <c r="C1185" s="2">
        <v>1</v>
      </c>
      <c r="D1185" s="2">
        <v>740</v>
      </c>
      <c r="E1185" s="4" t="s">
        <v>1555</v>
      </c>
      <c r="F1185" s="4" t="s">
        <v>1555</v>
      </c>
    </row>
    <row r="1186" spans="2:6" x14ac:dyDescent="0.25">
      <c r="B1186" s="1">
        <f t="shared" si="18"/>
        <v>1184</v>
      </c>
      <c r="C1186" s="1">
        <v>1</v>
      </c>
      <c r="D1186" s="1">
        <v>741</v>
      </c>
      <c r="E1186" s="3" t="s">
        <v>1554</v>
      </c>
      <c r="F1186" s="3" t="s">
        <v>1554</v>
      </c>
    </row>
    <row r="1187" spans="2:6" ht="30" x14ac:dyDescent="0.25">
      <c r="B1187" s="2">
        <f t="shared" si="18"/>
        <v>1185</v>
      </c>
      <c r="C1187" s="2">
        <v>1</v>
      </c>
      <c r="D1187" s="2">
        <v>742</v>
      </c>
      <c r="E1187" s="4" t="s">
        <v>1553</v>
      </c>
      <c r="F1187" s="4" t="s">
        <v>1553</v>
      </c>
    </row>
    <row r="1188" spans="2:6" ht="30" x14ac:dyDescent="0.25">
      <c r="B1188" s="1">
        <f t="shared" si="18"/>
        <v>1186</v>
      </c>
      <c r="C1188" s="1">
        <v>1</v>
      </c>
      <c r="D1188" s="1">
        <v>743</v>
      </c>
      <c r="E1188" s="3" t="s">
        <v>1552</v>
      </c>
      <c r="F1188" s="3" t="s">
        <v>1552</v>
      </c>
    </row>
    <row r="1189" spans="2:6" x14ac:dyDescent="0.25">
      <c r="B1189" s="2">
        <f t="shared" si="18"/>
        <v>1187</v>
      </c>
      <c r="C1189" s="2">
        <v>3</v>
      </c>
      <c r="D1189" s="2">
        <v>75</v>
      </c>
      <c r="E1189" s="4" t="s">
        <v>653</v>
      </c>
      <c r="F1189" s="3" t="s">
        <v>653</v>
      </c>
    </row>
    <row r="1190" spans="2:6" x14ac:dyDescent="0.25">
      <c r="B1190" s="1">
        <f t="shared" si="18"/>
        <v>1188</v>
      </c>
      <c r="C1190" s="1">
        <v>1</v>
      </c>
      <c r="D1190" s="2">
        <v>744</v>
      </c>
      <c r="E1190" s="4" t="s">
        <v>1551</v>
      </c>
      <c r="F1190" s="4" t="s">
        <v>1551</v>
      </c>
    </row>
    <row r="1191" spans="2:6" x14ac:dyDescent="0.25">
      <c r="B1191" s="2">
        <f t="shared" si="18"/>
        <v>1189</v>
      </c>
      <c r="C1191" s="2">
        <v>1</v>
      </c>
      <c r="D1191" s="2">
        <v>745</v>
      </c>
      <c r="E1191" s="4" t="s">
        <v>1550</v>
      </c>
      <c r="F1191" s="3" t="s">
        <v>1550</v>
      </c>
    </row>
    <row r="1192" spans="2:6" x14ac:dyDescent="0.25">
      <c r="B1192" s="1">
        <f t="shared" si="18"/>
        <v>1190</v>
      </c>
      <c r="C1192" s="1">
        <v>1</v>
      </c>
      <c r="D1192" s="2">
        <v>746</v>
      </c>
      <c r="E1192" s="4" t="s">
        <v>1549</v>
      </c>
      <c r="F1192" s="4" t="s">
        <v>1549</v>
      </c>
    </row>
    <row r="1193" spans="2:6" x14ac:dyDescent="0.25">
      <c r="B1193" s="2">
        <f t="shared" si="18"/>
        <v>1191</v>
      </c>
      <c r="C1193" s="2">
        <v>1</v>
      </c>
      <c r="D1193" s="2">
        <v>747</v>
      </c>
      <c r="E1193" s="4" t="s">
        <v>1548</v>
      </c>
      <c r="F1193" s="3" t="s">
        <v>1548</v>
      </c>
    </row>
    <row r="1194" spans="2:6" x14ac:dyDescent="0.25">
      <c r="B1194" s="1">
        <f t="shared" si="18"/>
        <v>1192</v>
      </c>
      <c r="C1194" s="1">
        <v>1</v>
      </c>
      <c r="D1194" s="2">
        <v>748</v>
      </c>
      <c r="E1194" s="4" t="s">
        <v>1547</v>
      </c>
      <c r="F1194" s="4" t="s">
        <v>1547</v>
      </c>
    </row>
    <row r="1195" spans="2:6" x14ac:dyDescent="0.25">
      <c r="B1195" s="2">
        <f t="shared" si="18"/>
        <v>1193</v>
      </c>
      <c r="C1195" s="2">
        <v>1</v>
      </c>
      <c r="D1195" s="2">
        <v>749</v>
      </c>
      <c r="E1195" s="4" t="s">
        <v>1546</v>
      </c>
      <c r="F1195" s="3" t="s">
        <v>1546</v>
      </c>
    </row>
    <row r="1196" spans="2:6" x14ac:dyDescent="0.25">
      <c r="B1196" s="1">
        <f t="shared" si="18"/>
        <v>1194</v>
      </c>
      <c r="C1196" s="1">
        <v>1</v>
      </c>
      <c r="D1196" s="2">
        <v>750</v>
      </c>
      <c r="E1196" s="4" t="s">
        <v>1545</v>
      </c>
      <c r="F1196" s="4" t="s">
        <v>1545</v>
      </c>
    </row>
    <row r="1197" spans="2:6" x14ac:dyDescent="0.25">
      <c r="B1197" s="2">
        <f t="shared" si="18"/>
        <v>1195</v>
      </c>
      <c r="C1197" s="2">
        <v>1</v>
      </c>
      <c r="D1197" s="2">
        <v>751</v>
      </c>
      <c r="E1197" s="4" t="s">
        <v>1544</v>
      </c>
      <c r="F1197" s="3" t="s">
        <v>1544</v>
      </c>
    </row>
    <row r="1198" spans="2:6" x14ac:dyDescent="0.25">
      <c r="B1198" s="1">
        <f t="shared" si="18"/>
        <v>1196</v>
      </c>
      <c r="C1198" s="1">
        <v>1</v>
      </c>
      <c r="D1198" s="2">
        <v>752</v>
      </c>
      <c r="E1198" s="4" t="s">
        <v>1543</v>
      </c>
      <c r="F1198" s="4" t="s">
        <v>1543</v>
      </c>
    </row>
    <row r="1199" spans="2:6" x14ac:dyDescent="0.25">
      <c r="B1199" s="2">
        <f t="shared" si="18"/>
        <v>1197</v>
      </c>
      <c r="C1199" s="2">
        <v>1</v>
      </c>
      <c r="D1199" s="2">
        <v>753</v>
      </c>
      <c r="E1199" s="4" t="s">
        <v>1542</v>
      </c>
      <c r="F1199" s="3" t="s">
        <v>1542</v>
      </c>
    </row>
    <row r="1200" spans="2:6" x14ac:dyDescent="0.25">
      <c r="B1200" s="1">
        <f t="shared" si="18"/>
        <v>1198</v>
      </c>
      <c r="C1200" s="1">
        <v>1</v>
      </c>
      <c r="D1200" s="2">
        <v>754</v>
      </c>
      <c r="E1200" s="4" t="s">
        <v>1541</v>
      </c>
      <c r="F1200" s="4" t="s">
        <v>1541</v>
      </c>
    </row>
    <row r="1201" spans="2:6" x14ac:dyDescent="0.25">
      <c r="B1201" s="2">
        <f t="shared" si="18"/>
        <v>1199</v>
      </c>
      <c r="C1201" s="2">
        <v>1</v>
      </c>
      <c r="D1201" s="2">
        <v>755</v>
      </c>
      <c r="E1201" s="4" t="s">
        <v>1540</v>
      </c>
      <c r="F1201" s="3" t="s">
        <v>1540</v>
      </c>
    </row>
    <row r="1202" spans="2:6" x14ac:dyDescent="0.25">
      <c r="B1202" s="1">
        <f t="shared" si="18"/>
        <v>1200</v>
      </c>
      <c r="C1202" s="1">
        <v>1</v>
      </c>
      <c r="D1202" s="2">
        <v>756</v>
      </c>
      <c r="E1202" s="4" t="s">
        <v>1539</v>
      </c>
      <c r="F1202" s="4" t="s">
        <v>1539</v>
      </c>
    </row>
    <row r="1203" spans="2:6" x14ac:dyDescent="0.25">
      <c r="B1203" s="2">
        <f t="shared" si="18"/>
        <v>1201</v>
      </c>
      <c r="C1203" s="2">
        <v>1</v>
      </c>
      <c r="D1203" s="2">
        <v>757</v>
      </c>
      <c r="E1203" s="4" t="s">
        <v>1538</v>
      </c>
      <c r="F1203" s="3" t="s">
        <v>1538</v>
      </c>
    </row>
    <row r="1204" spans="2:6" ht="60" x14ac:dyDescent="0.25">
      <c r="B1204" s="1">
        <f t="shared" si="18"/>
        <v>1202</v>
      </c>
      <c r="C1204" s="1">
        <v>1</v>
      </c>
      <c r="D1204" s="2">
        <v>758</v>
      </c>
      <c r="E1204" s="4" t="s">
        <v>1537</v>
      </c>
      <c r="F1204" s="4" t="s">
        <v>1537</v>
      </c>
    </row>
    <row r="1205" spans="2:6" x14ac:dyDescent="0.25">
      <c r="B1205" s="2">
        <f t="shared" si="18"/>
        <v>1203</v>
      </c>
      <c r="C1205" s="2">
        <v>1</v>
      </c>
      <c r="D1205" s="2">
        <v>759</v>
      </c>
      <c r="E1205" s="4" t="s">
        <v>1536</v>
      </c>
      <c r="F1205" s="3" t="s">
        <v>1536</v>
      </c>
    </row>
    <row r="1206" spans="2:6" ht="15.75" thickBot="1" x14ac:dyDescent="0.3">
      <c r="B1206" s="1">
        <f t="shared" si="18"/>
        <v>1204</v>
      </c>
      <c r="C1206" s="1">
        <v>1</v>
      </c>
      <c r="D1206" s="10">
        <v>760</v>
      </c>
      <c r="E1206" s="12" t="s">
        <v>1535</v>
      </c>
      <c r="F1206" s="14" t="s">
        <v>1535</v>
      </c>
    </row>
    <row r="1207" spans="2:6" x14ac:dyDescent="0.25">
      <c r="B1207" s="2">
        <f t="shared" si="18"/>
        <v>1205</v>
      </c>
      <c r="C1207" s="2">
        <v>1</v>
      </c>
      <c r="D1207" s="6">
        <v>761</v>
      </c>
      <c r="E1207" s="5" t="s">
        <v>1534</v>
      </c>
      <c r="F1207" s="3" t="s">
        <v>1534</v>
      </c>
    </row>
    <row r="1208" spans="2:6" x14ac:dyDescent="0.25">
      <c r="B1208" s="1">
        <f t="shared" si="18"/>
        <v>1206</v>
      </c>
      <c r="C1208" s="1">
        <v>1</v>
      </c>
      <c r="D1208" s="2">
        <v>762</v>
      </c>
      <c r="E1208" s="4" t="s">
        <v>1533</v>
      </c>
      <c r="F1208" s="4" t="s">
        <v>1533</v>
      </c>
    </row>
    <row r="1209" spans="2:6" x14ac:dyDescent="0.25">
      <c r="B1209" s="2">
        <f t="shared" si="18"/>
        <v>1207</v>
      </c>
      <c r="C1209" s="2">
        <v>1</v>
      </c>
      <c r="D1209" s="2">
        <v>763</v>
      </c>
      <c r="E1209" s="4" t="s">
        <v>1532</v>
      </c>
      <c r="F1209" s="3" t="s">
        <v>1532</v>
      </c>
    </row>
    <row r="1210" spans="2:6" x14ac:dyDescent="0.25">
      <c r="B1210" s="1">
        <f t="shared" si="18"/>
        <v>1208</v>
      </c>
      <c r="C1210" s="1">
        <v>1</v>
      </c>
      <c r="D1210" s="2">
        <v>764</v>
      </c>
      <c r="E1210" s="4" t="s">
        <v>1531</v>
      </c>
      <c r="F1210" s="4" t="s">
        <v>1531</v>
      </c>
    </row>
    <row r="1211" spans="2:6" x14ac:dyDescent="0.25">
      <c r="B1211" s="2">
        <f t="shared" si="18"/>
        <v>1209</v>
      </c>
      <c r="C1211" s="2">
        <v>1</v>
      </c>
      <c r="D1211" s="2">
        <v>765</v>
      </c>
      <c r="E1211" s="4" t="s">
        <v>1530</v>
      </c>
      <c r="F1211" s="3" t="s">
        <v>1530</v>
      </c>
    </row>
    <row r="1212" spans="2:6" x14ac:dyDescent="0.25">
      <c r="B1212" s="1">
        <f t="shared" si="18"/>
        <v>1210</v>
      </c>
      <c r="C1212" s="1">
        <v>3</v>
      </c>
      <c r="D1212" s="1">
        <v>76</v>
      </c>
      <c r="E1212" s="3" t="s">
        <v>652</v>
      </c>
      <c r="F1212" s="3" t="s">
        <v>652</v>
      </c>
    </row>
    <row r="1213" spans="2:6" ht="30" x14ac:dyDescent="0.25">
      <c r="B1213" s="2">
        <f t="shared" si="18"/>
        <v>1211</v>
      </c>
      <c r="C1213" s="2">
        <v>1</v>
      </c>
      <c r="D1213" s="2">
        <v>766</v>
      </c>
      <c r="E1213" s="4" t="s">
        <v>1529</v>
      </c>
      <c r="F1213" s="4" t="s">
        <v>1529</v>
      </c>
    </row>
    <row r="1214" spans="2:6" x14ac:dyDescent="0.25">
      <c r="B1214" s="1">
        <f t="shared" si="18"/>
        <v>1212</v>
      </c>
      <c r="C1214" s="1">
        <v>1</v>
      </c>
      <c r="D1214" s="1">
        <v>767</v>
      </c>
      <c r="E1214" s="3" t="s">
        <v>1528</v>
      </c>
      <c r="F1214" s="3" t="s">
        <v>1528</v>
      </c>
    </row>
    <row r="1215" spans="2:6" x14ac:dyDescent="0.25">
      <c r="B1215" s="2">
        <f t="shared" si="18"/>
        <v>1213</v>
      </c>
      <c r="C1215" s="2">
        <v>1</v>
      </c>
      <c r="D1215" s="2">
        <v>768</v>
      </c>
      <c r="E1215" s="4" t="s">
        <v>1527</v>
      </c>
      <c r="F1215" s="4" t="s">
        <v>1527</v>
      </c>
    </row>
    <row r="1216" spans="2:6" x14ac:dyDescent="0.25">
      <c r="B1216" s="1">
        <f t="shared" si="18"/>
        <v>1214</v>
      </c>
      <c r="C1216" s="1">
        <v>1</v>
      </c>
      <c r="D1216" s="1">
        <v>769</v>
      </c>
      <c r="E1216" s="3" t="s">
        <v>1526</v>
      </c>
      <c r="F1216" s="3" t="s">
        <v>1526</v>
      </c>
    </row>
    <row r="1217" spans="2:7" x14ac:dyDescent="0.25">
      <c r="B1217" s="2">
        <f t="shared" si="18"/>
        <v>1215</v>
      </c>
      <c r="C1217" s="2">
        <v>1</v>
      </c>
      <c r="D1217" s="2">
        <v>770</v>
      </c>
      <c r="E1217" s="4" t="s">
        <v>1525</v>
      </c>
      <c r="F1217" s="4" t="s">
        <v>1525</v>
      </c>
    </row>
    <row r="1218" spans="2:7" x14ac:dyDescent="0.25">
      <c r="B1218" s="1">
        <f t="shared" si="18"/>
        <v>1216</v>
      </c>
      <c r="C1218" s="1">
        <v>1</v>
      </c>
      <c r="D1218" s="1">
        <v>771</v>
      </c>
      <c r="E1218" s="3" t="s">
        <v>1524</v>
      </c>
      <c r="F1218" s="3" t="s">
        <v>1524</v>
      </c>
    </row>
    <row r="1219" spans="2:7" x14ac:dyDescent="0.25">
      <c r="B1219" s="2">
        <f t="shared" si="18"/>
        <v>1217</v>
      </c>
      <c r="C1219" s="2">
        <v>1</v>
      </c>
      <c r="D1219" s="2">
        <v>772</v>
      </c>
      <c r="E1219" s="4" t="s">
        <v>1523</v>
      </c>
      <c r="F1219" s="4" t="s">
        <v>1523</v>
      </c>
    </row>
    <row r="1220" spans="2:7" x14ac:dyDescent="0.25">
      <c r="B1220" s="1">
        <f t="shared" si="18"/>
        <v>1218</v>
      </c>
      <c r="C1220" s="1">
        <v>1</v>
      </c>
      <c r="D1220" s="1">
        <v>773</v>
      </c>
      <c r="E1220" s="3" t="s">
        <v>1522</v>
      </c>
      <c r="F1220" s="3" t="s">
        <v>1522</v>
      </c>
    </row>
    <row r="1221" spans="2:7" x14ac:dyDescent="0.25">
      <c r="B1221" s="2">
        <f t="shared" ref="B1221:B1284" si="19">+B1220+1</f>
        <v>1219</v>
      </c>
      <c r="C1221" s="2">
        <v>1</v>
      </c>
      <c r="D1221" s="2">
        <v>774</v>
      </c>
      <c r="E1221" s="4" t="s">
        <v>1521</v>
      </c>
      <c r="F1221" s="4" t="s">
        <v>1521</v>
      </c>
    </row>
    <row r="1222" spans="2:7" x14ac:dyDescent="0.25">
      <c r="B1222" s="1">
        <f t="shared" si="19"/>
        <v>1220</v>
      </c>
      <c r="C1222" s="1">
        <v>1</v>
      </c>
      <c r="D1222" s="1">
        <v>775</v>
      </c>
      <c r="E1222" s="3" t="s">
        <v>1520</v>
      </c>
      <c r="F1222" s="3" t="s">
        <v>1520</v>
      </c>
    </row>
    <row r="1223" spans="2:7" x14ac:dyDescent="0.25">
      <c r="B1223" s="2">
        <f t="shared" si="19"/>
        <v>1221</v>
      </c>
      <c r="C1223" s="2">
        <v>1</v>
      </c>
      <c r="D1223" s="2">
        <v>776</v>
      </c>
      <c r="E1223" s="4" t="s">
        <v>1519</v>
      </c>
      <c r="F1223" s="4" t="s">
        <v>1519</v>
      </c>
    </row>
    <row r="1224" spans="2:7" x14ac:dyDescent="0.25">
      <c r="B1224" s="1">
        <f t="shared" si="19"/>
        <v>1222</v>
      </c>
      <c r="C1224" s="1">
        <v>1</v>
      </c>
      <c r="D1224" s="1">
        <v>777</v>
      </c>
      <c r="E1224" s="3" t="s">
        <v>1518</v>
      </c>
      <c r="F1224" s="3" t="s">
        <v>1518</v>
      </c>
    </row>
    <row r="1225" spans="2:7" ht="30" x14ac:dyDescent="0.25">
      <c r="B1225" s="2">
        <f t="shared" si="19"/>
        <v>1223</v>
      </c>
      <c r="C1225" s="2">
        <v>2</v>
      </c>
      <c r="D1225" s="2" t="s">
        <v>786</v>
      </c>
      <c r="E1225" s="4" t="s">
        <v>785</v>
      </c>
      <c r="F1225" s="3" t="s">
        <v>1518</v>
      </c>
      <c r="G1225" t="s">
        <v>3117</v>
      </c>
    </row>
    <row r="1226" spans="2:7" ht="30" x14ac:dyDescent="0.25">
      <c r="B1226" s="1">
        <f t="shared" si="19"/>
        <v>1224</v>
      </c>
      <c r="C1226" s="1">
        <v>1</v>
      </c>
      <c r="D1226" s="2" t="s">
        <v>1517</v>
      </c>
      <c r="E1226" s="4" t="s">
        <v>1516</v>
      </c>
      <c r="F1226" s="4" t="s">
        <v>1516</v>
      </c>
    </row>
    <row r="1227" spans="2:7" ht="30" x14ac:dyDescent="0.25">
      <c r="B1227" s="2">
        <f t="shared" si="19"/>
        <v>1225</v>
      </c>
      <c r="C1227" s="2">
        <v>1</v>
      </c>
      <c r="D1227" s="2" t="s">
        <v>1515</v>
      </c>
      <c r="E1227" s="4" t="s">
        <v>1514</v>
      </c>
      <c r="F1227" s="3" t="s">
        <v>1514</v>
      </c>
    </row>
    <row r="1228" spans="2:7" x14ac:dyDescent="0.25">
      <c r="B1228" s="1">
        <f t="shared" si="19"/>
        <v>1226</v>
      </c>
      <c r="C1228" s="1">
        <v>1</v>
      </c>
      <c r="D1228" s="2">
        <v>778</v>
      </c>
      <c r="E1228" s="4" t="s">
        <v>1513</v>
      </c>
      <c r="F1228" s="4" t="s">
        <v>1513</v>
      </c>
    </row>
    <row r="1229" spans="2:7" x14ac:dyDescent="0.25">
      <c r="B1229" s="2">
        <f t="shared" si="19"/>
        <v>1227</v>
      </c>
      <c r="C1229" s="2">
        <v>1</v>
      </c>
      <c r="D1229" s="2">
        <v>779</v>
      </c>
      <c r="E1229" s="4" t="s">
        <v>1512</v>
      </c>
      <c r="F1229" s="3" t="s">
        <v>1512</v>
      </c>
    </row>
    <row r="1230" spans="2:7" x14ac:dyDescent="0.25">
      <c r="B1230" s="1">
        <f t="shared" si="19"/>
        <v>1228</v>
      </c>
      <c r="C1230" s="1">
        <v>2</v>
      </c>
      <c r="D1230" s="1" t="s">
        <v>784</v>
      </c>
      <c r="E1230" s="3" t="s">
        <v>783</v>
      </c>
      <c r="F1230" s="3" t="s">
        <v>3118</v>
      </c>
      <c r="G1230" t="s">
        <v>3114</v>
      </c>
    </row>
    <row r="1231" spans="2:7" x14ac:dyDescent="0.25">
      <c r="B1231" s="2">
        <f t="shared" si="19"/>
        <v>1229</v>
      </c>
      <c r="C1231" s="2">
        <v>1</v>
      </c>
      <c r="D1231" s="2">
        <v>780</v>
      </c>
      <c r="E1231" s="4" t="s">
        <v>1511</v>
      </c>
      <c r="F1231" s="4" t="s">
        <v>1511</v>
      </c>
    </row>
    <row r="1232" spans="2:7" x14ac:dyDescent="0.25">
      <c r="B1232" s="1">
        <f t="shared" si="19"/>
        <v>1230</v>
      </c>
      <c r="C1232" s="1">
        <v>1</v>
      </c>
      <c r="D1232" s="1">
        <v>781</v>
      </c>
      <c r="E1232" s="3" t="s">
        <v>1510</v>
      </c>
      <c r="F1232" s="3" t="s">
        <v>1510</v>
      </c>
    </row>
    <row r="1233" spans="2:6" x14ac:dyDescent="0.25">
      <c r="B1233" s="2">
        <f t="shared" si="19"/>
        <v>1231</v>
      </c>
      <c r="C1233" s="2">
        <v>1</v>
      </c>
      <c r="D1233" s="2">
        <v>782</v>
      </c>
      <c r="E1233" s="4" t="s">
        <v>1509</v>
      </c>
      <c r="F1233" s="4" t="s">
        <v>1509</v>
      </c>
    </row>
    <row r="1234" spans="2:6" x14ac:dyDescent="0.25">
      <c r="B1234" s="1">
        <f t="shared" si="19"/>
        <v>1232</v>
      </c>
      <c r="C1234" s="1">
        <v>1</v>
      </c>
      <c r="D1234" s="1">
        <v>783</v>
      </c>
      <c r="E1234" s="3" t="s">
        <v>1508</v>
      </c>
      <c r="F1234" s="3" t="s">
        <v>1508</v>
      </c>
    </row>
    <row r="1235" spans="2:6" ht="30" x14ac:dyDescent="0.25">
      <c r="B1235" s="2">
        <f t="shared" si="19"/>
        <v>1233</v>
      </c>
      <c r="C1235" s="2">
        <v>1</v>
      </c>
      <c r="D1235" s="2" t="s">
        <v>1507</v>
      </c>
      <c r="E1235" s="4" t="s">
        <v>1506</v>
      </c>
      <c r="F1235" s="4" t="s">
        <v>1506</v>
      </c>
    </row>
    <row r="1236" spans="2:6" ht="30" x14ac:dyDescent="0.25">
      <c r="B1236" s="1">
        <f t="shared" si="19"/>
        <v>1234</v>
      </c>
      <c r="C1236" s="1">
        <v>1</v>
      </c>
      <c r="D1236" s="1">
        <v>784</v>
      </c>
      <c r="E1236" s="3" t="s">
        <v>1505</v>
      </c>
      <c r="F1236" s="3" t="s">
        <v>1505</v>
      </c>
    </row>
    <row r="1237" spans="2:6" x14ac:dyDescent="0.25">
      <c r="B1237" s="2">
        <f t="shared" si="19"/>
        <v>1235</v>
      </c>
      <c r="C1237" s="2">
        <v>3</v>
      </c>
      <c r="D1237" s="2">
        <v>77</v>
      </c>
      <c r="E1237" s="4" t="s">
        <v>651</v>
      </c>
      <c r="F1237" s="3" t="s">
        <v>651</v>
      </c>
    </row>
    <row r="1238" spans="2:6" x14ac:dyDescent="0.25">
      <c r="B1238" s="1">
        <f t="shared" si="19"/>
        <v>1236</v>
      </c>
      <c r="C1238" s="1">
        <v>1</v>
      </c>
      <c r="D1238" s="2">
        <v>785</v>
      </c>
      <c r="E1238" s="4" t="s">
        <v>1504</v>
      </c>
      <c r="F1238" s="4" t="s">
        <v>1504</v>
      </c>
    </row>
    <row r="1239" spans="2:6" x14ac:dyDescent="0.25">
      <c r="B1239" s="2">
        <f t="shared" si="19"/>
        <v>1237</v>
      </c>
      <c r="C1239" s="2">
        <v>1</v>
      </c>
      <c r="D1239" s="2">
        <v>786</v>
      </c>
      <c r="E1239" s="4" t="s">
        <v>1503</v>
      </c>
      <c r="F1239" s="3" t="s">
        <v>1503</v>
      </c>
    </row>
    <row r="1240" spans="2:6" ht="30" x14ac:dyDescent="0.25">
      <c r="B1240" s="1">
        <f t="shared" si="19"/>
        <v>1238</v>
      </c>
      <c r="C1240" s="1">
        <v>1</v>
      </c>
      <c r="D1240" s="2" t="s">
        <v>1502</v>
      </c>
      <c r="E1240" s="4" t="s">
        <v>1501</v>
      </c>
      <c r="F1240" s="4" t="s">
        <v>1501</v>
      </c>
    </row>
    <row r="1241" spans="2:6" x14ac:dyDescent="0.25">
      <c r="B1241" s="2">
        <f t="shared" si="19"/>
        <v>1239</v>
      </c>
      <c r="C1241" s="2">
        <v>1</v>
      </c>
      <c r="D1241" s="2">
        <v>787</v>
      </c>
      <c r="E1241" s="4" t="s">
        <v>1500</v>
      </c>
      <c r="F1241" s="3" t="s">
        <v>1500</v>
      </c>
    </row>
    <row r="1242" spans="2:6" x14ac:dyDescent="0.25">
      <c r="B1242" s="1">
        <f t="shared" si="19"/>
        <v>1240</v>
      </c>
      <c r="C1242" s="1">
        <v>1</v>
      </c>
      <c r="D1242" s="2">
        <v>788</v>
      </c>
      <c r="E1242" s="4" t="s">
        <v>1499</v>
      </c>
      <c r="F1242" s="4" t="s">
        <v>1499</v>
      </c>
    </row>
    <row r="1243" spans="2:6" ht="30" x14ac:dyDescent="0.25">
      <c r="B1243" s="2">
        <f t="shared" si="19"/>
        <v>1241</v>
      </c>
      <c r="C1243" s="2">
        <v>1</v>
      </c>
      <c r="D1243" s="2">
        <v>789</v>
      </c>
      <c r="E1243" s="4" t="s">
        <v>1498</v>
      </c>
      <c r="F1243" s="3" t="s">
        <v>1498</v>
      </c>
    </row>
    <row r="1244" spans="2:6" x14ac:dyDescent="0.25">
      <c r="B1244" s="1">
        <f t="shared" si="19"/>
        <v>1242</v>
      </c>
      <c r="C1244" s="1">
        <v>1</v>
      </c>
      <c r="D1244" s="2">
        <v>790</v>
      </c>
      <c r="E1244" s="4" t="s">
        <v>1497</v>
      </c>
      <c r="F1244" s="4" t="s">
        <v>1497</v>
      </c>
    </row>
    <row r="1245" spans="2:6" ht="30" x14ac:dyDescent="0.25">
      <c r="B1245" s="2">
        <f t="shared" si="19"/>
        <v>1243</v>
      </c>
      <c r="C1245" s="2">
        <v>1</v>
      </c>
      <c r="D1245" s="2" t="s">
        <v>1496</v>
      </c>
      <c r="E1245" s="4" t="s">
        <v>1495</v>
      </c>
      <c r="F1245" s="3" t="s">
        <v>1495</v>
      </c>
    </row>
    <row r="1246" spans="2:6" ht="30" x14ac:dyDescent="0.25">
      <c r="B1246" s="1">
        <f t="shared" si="19"/>
        <v>1244</v>
      </c>
      <c r="C1246" s="1">
        <v>1</v>
      </c>
      <c r="D1246" s="2" t="s">
        <v>1494</v>
      </c>
      <c r="E1246" s="4" t="s">
        <v>1493</v>
      </c>
      <c r="F1246" s="4" t="s">
        <v>1493</v>
      </c>
    </row>
    <row r="1247" spans="2:6" x14ac:dyDescent="0.25">
      <c r="B1247" s="2">
        <f t="shared" si="19"/>
        <v>1245</v>
      </c>
      <c r="C1247" s="2">
        <v>1</v>
      </c>
      <c r="D1247" s="2">
        <v>791</v>
      </c>
      <c r="E1247" s="4" t="s">
        <v>1492</v>
      </c>
      <c r="F1247" s="3" t="s">
        <v>1492</v>
      </c>
    </row>
    <row r="1248" spans="2:6" x14ac:dyDescent="0.25">
      <c r="B1248" s="1">
        <f t="shared" si="19"/>
        <v>1246</v>
      </c>
      <c r="C1248" s="1">
        <v>1</v>
      </c>
      <c r="D1248" s="2">
        <v>792</v>
      </c>
      <c r="E1248" s="4" t="s">
        <v>1491</v>
      </c>
      <c r="F1248" s="4" t="s">
        <v>1491</v>
      </c>
    </row>
    <row r="1249" spans="2:7" x14ac:dyDescent="0.25">
      <c r="B1249" s="2">
        <f t="shared" si="19"/>
        <v>1247</v>
      </c>
      <c r="C1249" s="2">
        <v>1</v>
      </c>
      <c r="D1249" s="2">
        <v>793</v>
      </c>
      <c r="E1249" s="4" t="s">
        <v>1490</v>
      </c>
      <c r="F1249" s="3" t="s">
        <v>1490</v>
      </c>
    </row>
    <row r="1250" spans="2:7" x14ac:dyDescent="0.25">
      <c r="B1250" s="1">
        <f t="shared" si="19"/>
        <v>1248</v>
      </c>
      <c r="C1250" s="1">
        <v>1</v>
      </c>
      <c r="D1250" s="2">
        <v>794</v>
      </c>
      <c r="E1250" s="4" t="s">
        <v>1489</v>
      </c>
      <c r="F1250" s="4" t="s">
        <v>1489</v>
      </c>
    </row>
    <row r="1251" spans="2:7" x14ac:dyDescent="0.25">
      <c r="B1251" s="2">
        <f t="shared" si="19"/>
        <v>1249</v>
      </c>
      <c r="C1251" s="2">
        <v>1</v>
      </c>
      <c r="D1251" s="2">
        <v>795</v>
      </c>
      <c r="E1251" s="4" t="s">
        <v>1488</v>
      </c>
      <c r="F1251" s="3" t="s">
        <v>1488</v>
      </c>
    </row>
    <row r="1252" spans="2:7" x14ac:dyDescent="0.25">
      <c r="B1252" s="1">
        <f t="shared" si="19"/>
        <v>1250</v>
      </c>
      <c r="C1252" s="1">
        <v>1</v>
      </c>
      <c r="D1252" s="2">
        <v>796</v>
      </c>
      <c r="E1252" s="4" t="s">
        <v>1487</v>
      </c>
      <c r="F1252" s="4" t="s">
        <v>1487</v>
      </c>
    </row>
    <row r="1253" spans="2:7" x14ac:dyDescent="0.25">
      <c r="B1253" s="2">
        <f t="shared" si="19"/>
        <v>1251</v>
      </c>
      <c r="C1253" s="2">
        <v>1</v>
      </c>
      <c r="D1253" s="2">
        <v>797</v>
      </c>
      <c r="E1253" s="4" t="s">
        <v>1486</v>
      </c>
      <c r="F1253" s="3" t="s">
        <v>1486</v>
      </c>
    </row>
    <row r="1254" spans="2:7" x14ac:dyDescent="0.25">
      <c r="B1254" s="1">
        <f t="shared" si="19"/>
        <v>1252</v>
      </c>
      <c r="C1254" s="1">
        <v>1</v>
      </c>
      <c r="D1254" s="2">
        <v>798</v>
      </c>
      <c r="E1254" s="4" t="s">
        <v>1485</v>
      </c>
      <c r="F1254" s="4" t="s">
        <v>1485</v>
      </c>
    </row>
    <row r="1255" spans="2:7" x14ac:dyDescent="0.25">
      <c r="B1255" s="2">
        <f t="shared" si="19"/>
        <v>1253</v>
      </c>
      <c r="C1255" s="2">
        <v>1</v>
      </c>
      <c r="D1255" s="2">
        <v>799</v>
      </c>
      <c r="E1255" s="4" t="s">
        <v>1484</v>
      </c>
      <c r="F1255" s="3" t="s">
        <v>1484</v>
      </c>
    </row>
    <row r="1256" spans="2:7" x14ac:dyDescent="0.25">
      <c r="B1256" s="1">
        <f t="shared" si="19"/>
        <v>1254</v>
      </c>
      <c r="C1256" s="1">
        <v>1</v>
      </c>
      <c r="D1256" s="2">
        <v>800</v>
      </c>
      <c r="E1256" s="4" t="s">
        <v>1483</v>
      </c>
      <c r="F1256" s="4" t="s">
        <v>1483</v>
      </c>
    </row>
    <row r="1257" spans="2:7" x14ac:dyDescent="0.25">
      <c r="B1257" s="2">
        <f t="shared" si="19"/>
        <v>1255</v>
      </c>
      <c r="C1257" s="2">
        <v>1</v>
      </c>
      <c r="D1257" s="2">
        <v>801</v>
      </c>
      <c r="E1257" s="4" t="s">
        <v>1482</v>
      </c>
      <c r="F1257" s="3" t="s">
        <v>1482</v>
      </c>
    </row>
    <row r="1258" spans="2:7" x14ac:dyDescent="0.25">
      <c r="B1258" s="1">
        <f t="shared" si="19"/>
        <v>1256</v>
      </c>
      <c r="C1258" s="1">
        <v>2</v>
      </c>
      <c r="D1258" s="1">
        <v>254</v>
      </c>
      <c r="E1258" s="3" t="s">
        <v>782</v>
      </c>
      <c r="F1258" s="3" t="s">
        <v>1482</v>
      </c>
      <c r="G1258" t="s">
        <v>2807</v>
      </c>
    </row>
    <row r="1259" spans="2:7" x14ac:dyDescent="0.25">
      <c r="B1259" s="2">
        <f t="shared" si="19"/>
        <v>1257</v>
      </c>
      <c r="C1259" s="2">
        <v>1</v>
      </c>
      <c r="D1259" s="2">
        <v>802</v>
      </c>
      <c r="E1259" s="4" t="s">
        <v>1481</v>
      </c>
      <c r="F1259" s="4" t="s">
        <v>1481</v>
      </c>
    </row>
    <row r="1260" spans="2:7" x14ac:dyDescent="0.25">
      <c r="B1260" s="1">
        <f t="shared" si="19"/>
        <v>1258</v>
      </c>
      <c r="C1260" s="1">
        <v>1</v>
      </c>
      <c r="D1260" s="1">
        <v>803</v>
      </c>
      <c r="E1260" s="3" t="s">
        <v>1480</v>
      </c>
      <c r="F1260" s="3" t="s">
        <v>1480</v>
      </c>
    </row>
    <row r="1261" spans="2:7" x14ac:dyDescent="0.25">
      <c r="B1261" s="2">
        <f t="shared" si="19"/>
        <v>1259</v>
      </c>
      <c r="C1261" s="2">
        <v>1</v>
      </c>
      <c r="D1261" s="2">
        <v>804</v>
      </c>
      <c r="E1261" s="4" t="s">
        <v>1479</v>
      </c>
      <c r="F1261" s="4" t="s">
        <v>1479</v>
      </c>
    </row>
    <row r="1262" spans="2:7" x14ac:dyDescent="0.25">
      <c r="B1262" s="1">
        <f t="shared" si="19"/>
        <v>1260</v>
      </c>
      <c r="C1262" s="1">
        <v>1</v>
      </c>
      <c r="D1262" s="1">
        <v>805</v>
      </c>
      <c r="E1262" s="3" t="s">
        <v>1478</v>
      </c>
      <c r="F1262" s="3" t="s">
        <v>1478</v>
      </c>
    </row>
    <row r="1263" spans="2:7" x14ac:dyDescent="0.25">
      <c r="B1263" s="2">
        <f t="shared" si="19"/>
        <v>1261</v>
      </c>
      <c r="C1263" s="2">
        <v>1</v>
      </c>
      <c r="D1263" s="2">
        <v>806</v>
      </c>
      <c r="E1263" s="4" t="s">
        <v>1477</v>
      </c>
      <c r="F1263" s="4" t="s">
        <v>1477</v>
      </c>
    </row>
    <row r="1264" spans="2:7" ht="30" x14ac:dyDescent="0.25">
      <c r="B1264" s="1">
        <f t="shared" si="19"/>
        <v>1262</v>
      </c>
      <c r="C1264" s="1">
        <v>1</v>
      </c>
      <c r="D1264" s="1">
        <v>807</v>
      </c>
      <c r="E1264" s="3" t="s">
        <v>1476</v>
      </c>
      <c r="F1264" s="3" t="s">
        <v>1476</v>
      </c>
    </row>
    <row r="1265" spans="2:6" x14ac:dyDescent="0.25">
      <c r="B1265" s="2">
        <f t="shared" si="19"/>
        <v>1263</v>
      </c>
      <c r="C1265" s="2">
        <v>3</v>
      </c>
      <c r="D1265" s="2">
        <v>78</v>
      </c>
      <c r="E1265" s="4" t="s">
        <v>650</v>
      </c>
      <c r="F1265" s="3" t="s">
        <v>650</v>
      </c>
    </row>
    <row r="1266" spans="2:6" x14ac:dyDescent="0.25">
      <c r="B1266" s="1">
        <f t="shared" si="19"/>
        <v>1264</v>
      </c>
      <c r="C1266" s="1">
        <v>3</v>
      </c>
      <c r="D1266" s="1">
        <v>79</v>
      </c>
      <c r="E1266" s="3" t="s">
        <v>649</v>
      </c>
      <c r="F1266" s="3" t="s">
        <v>649</v>
      </c>
    </row>
    <row r="1267" spans="2:6" x14ac:dyDescent="0.25">
      <c r="B1267" s="2">
        <f t="shared" si="19"/>
        <v>1265</v>
      </c>
      <c r="C1267" s="2">
        <v>1</v>
      </c>
      <c r="D1267" s="2">
        <v>808</v>
      </c>
      <c r="E1267" s="4" t="s">
        <v>1475</v>
      </c>
      <c r="F1267" s="4" t="s">
        <v>1475</v>
      </c>
    </row>
    <row r="1268" spans="2:6" x14ac:dyDescent="0.25">
      <c r="B1268" s="1">
        <f t="shared" si="19"/>
        <v>1266</v>
      </c>
      <c r="C1268" s="1">
        <v>1</v>
      </c>
      <c r="D1268" s="1">
        <v>809</v>
      </c>
      <c r="E1268" s="3" t="s">
        <v>1474</v>
      </c>
      <c r="F1268" s="3" t="s">
        <v>1474</v>
      </c>
    </row>
    <row r="1269" spans="2:6" x14ac:dyDescent="0.25">
      <c r="B1269" s="2">
        <f t="shared" si="19"/>
        <v>1267</v>
      </c>
      <c r="C1269" s="2">
        <v>1</v>
      </c>
      <c r="D1269" s="2">
        <v>810</v>
      </c>
      <c r="E1269" s="4" t="s">
        <v>1473</v>
      </c>
      <c r="F1269" s="4" t="s">
        <v>1473</v>
      </c>
    </row>
    <row r="1270" spans="2:6" x14ac:dyDescent="0.25">
      <c r="B1270" s="1">
        <f t="shared" si="19"/>
        <v>1268</v>
      </c>
      <c r="C1270" s="1">
        <v>1</v>
      </c>
      <c r="D1270" s="1">
        <v>811</v>
      </c>
      <c r="E1270" s="3" t="s">
        <v>1472</v>
      </c>
      <c r="F1270" s="3" t="s">
        <v>1472</v>
      </c>
    </row>
    <row r="1271" spans="2:6" x14ac:dyDescent="0.25">
      <c r="B1271" s="2">
        <f t="shared" si="19"/>
        <v>1269</v>
      </c>
      <c r="C1271" s="2">
        <v>1</v>
      </c>
      <c r="D1271" s="2">
        <v>812</v>
      </c>
      <c r="E1271" s="4" t="s">
        <v>1471</v>
      </c>
      <c r="F1271" s="4" t="s">
        <v>1471</v>
      </c>
    </row>
    <row r="1272" spans="2:6" x14ac:dyDescent="0.25">
      <c r="B1272" s="1">
        <f t="shared" si="19"/>
        <v>1270</v>
      </c>
      <c r="C1272" s="1">
        <v>3</v>
      </c>
      <c r="D1272" s="1">
        <v>80</v>
      </c>
      <c r="E1272" s="3" t="s">
        <v>648</v>
      </c>
      <c r="F1272" s="3" t="s">
        <v>648</v>
      </c>
    </row>
    <row r="1273" spans="2:6" x14ac:dyDescent="0.25">
      <c r="B1273" s="2">
        <f t="shared" si="19"/>
        <v>1271</v>
      </c>
      <c r="C1273" s="2">
        <v>1</v>
      </c>
      <c r="D1273" s="2">
        <v>813</v>
      </c>
      <c r="E1273" s="4" t="s">
        <v>1470</v>
      </c>
      <c r="F1273" s="3" t="s">
        <v>1470</v>
      </c>
    </row>
    <row r="1274" spans="2:6" x14ac:dyDescent="0.25">
      <c r="B1274" s="1">
        <f t="shared" si="19"/>
        <v>1272</v>
      </c>
      <c r="C1274" s="1">
        <v>1</v>
      </c>
      <c r="D1274" s="2">
        <v>814</v>
      </c>
      <c r="E1274" s="4" t="s">
        <v>1469</v>
      </c>
      <c r="F1274" s="4" t="s">
        <v>1469</v>
      </c>
    </row>
    <row r="1275" spans="2:6" x14ac:dyDescent="0.25">
      <c r="B1275" s="2">
        <f t="shared" si="19"/>
        <v>1273</v>
      </c>
      <c r="C1275" s="2">
        <v>1</v>
      </c>
      <c r="D1275" s="2">
        <v>815</v>
      </c>
      <c r="E1275" s="4" t="s">
        <v>1468</v>
      </c>
      <c r="F1275" s="3" t="s">
        <v>1468</v>
      </c>
    </row>
    <row r="1276" spans="2:6" x14ac:dyDescent="0.25">
      <c r="B1276" s="1">
        <f t="shared" si="19"/>
        <v>1274</v>
      </c>
      <c r="C1276" s="1">
        <v>1</v>
      </c>
      <c r="D1276" s="2">
        <v>816</v>
      </c>
      <c r="E1276" s="4" t="s">
        <v>1467</v>
      </c>
      <c r="F1276" s="4" t="s">
        <v>1467</v>
      </c>
    </row>
    <row r="1277" spans="2:6" x14ac:dyDescent="0.25">
      <c r="B1277" s="2">
        <f t="shared" si="19"/>
        <v>1275</v>
      </c>
      <c r="C1277" s="2">
        <v>1</v>
      </c>
      <c r="D1277" s="2">
        <v>817</v>
      </c>
      <c r="E1277" s="4" t="s">
        <v>1466</v>
      </c>
      <c r="F1277" s="3" t="s">
        <v>1466</v>
      </c>
    </row>
    <row r="1278" spans="2:6" x14ac:dyDescent="0.25">
      <c r="B1278" s="1">
        <f t="shared" si="19"/>
        <v>1276</v>
      </c>
      <c r="C1278" s="1">
        <v>1</v>
      </c>
      <c r="D1278" s="2">
        <v>818</v>
      </c>
      <c r="E1278" s="4" t="s">
        <v>1465</v>
      </c>
      <c r="F1278" s="4" t="s">
        <v>1465</v>
      </c>
    </row>
    <row r="1279" spans="2:6" ht="30" x14ac:dyDescent="0.25">
      <c r="B1279" s="2">
        <f t="shared" si="19"/>
        <v>1277</v>
      </c>
      <c r="C1279" s="2">
        <v>1</v>
      </c>
      <c r="D1279" s="2">
        <v>819</v>
      </c>
      <c r="E1279" s="4" t="s">
        <v>1464</v>
      </c>
      <c r="F1279" s="3" t="s">
        <v>1464</v>
      </c>
    </row>
    <row r="1280" spans="2:6" x14ac:dyDescent="0.25">
      <c r="B1280" s="1">
        <f t="shared" si="19"/>
        <v>1278</v>
      </c>
      <c r="C1280" s="1">
        <v>1</v>
      </c>
      <c r="D1280" s="2">
        <v>820</v>
      </c>
      <c r="E1280" s="4" t="s">
        <v>1463</v>
      </c>
      <c r="F1280" s="4" t="s">
        <v>1463</v>
      </c>
    </row>
    <row r="1281" spans="2:6" x14ac:dyDescent="0.25">
      <c r="B1281" s="2">
        <f t="shared" si="19"/>
        <v>1279</v>
      </c>
      <c r="C1281" s="2">
        <v>1</v>
      </c>
      <c r="D1281" s="2">
        <v>821</v>
      </c>
      <c r="E1281" s="4" t="s">
        <v>1462</v>
      </c>
      <c r="F1281" s="3" t="s">
        <v>1462</v>
      </c>
    </row>
    <row r="1282" spans="2:6" ht="30" x14ac:dyDescent="0.25">
      <c r="B1282" s="1">
        <f t="shared" si="19"/>
        <v>1280</v>
      </c>
      <c r="C1282" s="1">
        <v>1</v>
      </c>
      <c r="D1282" s="2" t="s">
        <v>1461</v>
      </c>
      <c r="E1282" s="4" t="s">
        <v>1460</v>
      </c>
      <c r="F1282" s="4" t="s">
        <v>1460</v>
      </c>
    </row>
    <row r="1283" spans="2:6" ht="30" x14ac:dyDescent="0.25">
      <c r="B1283" s="2">
        <f t="shared" si="19"/>
        <v>1281</v>
      </c>
      <c r="C1283" s="2">
        <v>1</v>
      </c>
      <c r="D1283" s="2" t="s">
        <v>1459</v>
      </c>
      <c r="E1283" s="4" t="s">
        <v>1458</v>
      </c>
      <c r="F1283" s="3" t="s">
        <v>1458</v>
      </c>
    </row>
    <row r="1284" spans="2:6" x14ac:dyDescent="0.25">
      <c r="B1284" s="1">
        <f t="shared" si="19"/>
        <v>1282</v>
      </c>
      <c r="C1284" s="1">
        <v>1</v>
      </c>
      <c r="D1284" s="2">
        <v>822</v>
      </c>
      <c r="E1284" s="4" t="s">
        <v>1457</v>
      </c>
      <c r="F1284" s="4" t="s">
        <v>1457</v>
      </c>
    </row>
    <row r="1285" spans="2:6" ht="30" x14ac:dyDescent="0.25">
      <c r="B1285" s="2">
        <f t="shared" ref="B1285:B1348" si="20">+B1284+1</f>
        <v>1283</v>
      </c>
      <c r="C1285" s="2">
        <v>1</v>
      </c>
      <c r="D1285" s="2">
        <v>823</v>
      </c>
      <c r="E1285" s="4" t="s">
        <v>1456</v>
      </c>
      <c r="F1285" s="3" t="s">
        <v>1456</v>
      </c>
    </row>
    <row r="1286" spans="2:6" x14ac:dyDescent="0.25">
      <c r="B1286" s="1">
        <f t="shared" si="20"/>
        <v>1284</v>
      </c>
      <c r="C1286" s="1">
        <v>1</v>
      </c>
      <c r="D1286" s="2">
        <v>824</v>
      </c>
      <c r="E1286" s="4" t="s">
        <v>1455</v>
      </c>
      <c r="F1286" s="4" t="s">
        <v>1455</v>
      </c>
    </row>
    <row r="1287" spans="2:6" x14ac:dyDescent="0.25">
      <c r="B1287" s="2">
        <f t="shared" si="20"/>
        <v>1285</v>
      </c>
      <c r="C1287" s="2">
        <v>1</v>
      </c>
      <c r="D1287" s="2">
        <v>825</v>
      </c>
      <c r="E1287" s="4" t="s">
        <v>1454</v>
      </c>
      <c r="F1287" s="3" t="s">
        <v>1454</v>
      </c>
    </row>
    <row r="1288" spans="2:6" x14ac:dyDescent="0.25">
      <c r="B1288" s="1">
        <f t="shared" si="20"/>
        <v>1286</v>
      </c>
      <c r="C1288" s="1">
        <v>3</v>
      </c>
      <c r="D1288" s="1">
        <v>81</v>
      </c>
      <c r="E1288" s="3" t="s">
        <v>647</v>
      </c>
      <c r="F1288" s="3" t="s">
        <v>647</v>
      </c>
    </row>
    <row r="1289" spans="2:6" x14ac:dyDescent="0.25">
      <c r="B1289" s="2">
        <f t="shared" si="20"/>
        <v>1287</v>
      </c>
      <c r="C1289" s="2">
        <v>1</v>
      </c>
      <c r="D1289" s="2">
        <v>826</v>
      </c>
      <c r="E1289" s="4" t="s">
        <v>1453</v>
      </c>
      <c r="F1289" s="4" t="s">
        <v>1453</v>
      </c>
    </row>
    <row r="1290" spans="2:6" x14ac:dyDescent="0.25">
      <c r="B1290" s="1">
        <f t="shared" si="20"/>
        <v>1288</v>
      </c>
      <c r="C1290" s="1">
        <v>1</v>
      </c>
      <c r="D1290" s="1">
        <v>827</v>
      </c>
      <c r="E1290" s="3" t="s">
        <v>1452</v>
      </c>
      <c r="F1290" s="3" t="s">
        <v>1452</v>
      </c>
    </row>
    <row r="1291" spans="2:6" ht="30" x14ac:dyDescent="0.25">
      <c r="B1291" s="2">
        <f t="shared" si="20"/>
        <v>1289</v>
      </c>
      <c r="C1291" s="2">
        <v>1</v>
      </c>
      <c r="D1291" s="2">
        <v>828</v>
      </c>
      <c r="E1291" s="4" t="s">
        <v>1451</v>
      </c>
      <c r="F1291" s="4" t="s">
        <v>1451</v>
      </c>
    </row>
    <row r="1292" spans="2:6" x14ac:dyDescent="0.25">
      <c r="B1292" s="1">
        <f t="shared" si="20"/>
        <v>1290</v>
      </c>
      <c r="C1292" s="1">
        <v>1</v>
      </c>
      <c r="D1292" s="1">
        <v>829</v>
      </c>
      <c r="E1292" s="3" t="s">
        <v>1450</v>
      </c>
      <c r="F1292" s="3" t="s">
        <v>1450</v>
      </c>
    </row>
    <row r="1293" spans="2:6" x14ac:dyDescent="0.25">
      <c r="B1293" s="2">
        <f t="shared" si="20"/>
        <v>1291</v>
      </c>
      <c r="C1293" s="2">
        <v>1</v>
      </c>
      <c r="D1293" s="2">
        <v>830</v>
      </c>
      <c r="E1293" s="4" t="s">
        <v>1449</v>
      </c>
      <c r="F1293" s="4" t="s">
        <v>1449</v>
      </c>
    </row>
    <row r="1294" spans="2:6" x14ac:dyDescent="0.25">
      <c r="B1294" s="1">
        <f t="shared" si="20"/>
        <v>1292</v>
      </c>
      <c r="C1294" s="1">
        <v>1</v>
      </c>
      <c r="D1294" s="1">
        <v>831</v>
      </c>
      <c r="E1294" s="3" t="s">
        <v>1448</v>
      </c>
      <c r="F1294" s="3" t="s">
        <v>1448</v>
      </c>
    </row>
    <row r="1295" spans="2:6" x14ac:dyDescent="0.25">
      <c r="B1295" s="2">
        <f t="shared" si="20"/>
        <v>1293</v>
      </c>
      <c r="C1295" s="2">
        <v>1</v>
      </c>
      <c r="D1295" s="2">
        <v>832</v>
      </c>
      <c r="E1295" s="4" t="s">
        <v>1447</v>
      </c>
      <c r="F1295" s="4" t="s">
        <v>1447</v>
      </c>
    </row>
    <row r="1296" spans="2:6" x14ac:dyDescent="0.25">
      <c r="B1296" s="1">
        <f t="shared" si="20"/>
        <v>1294</v>
      </c>
      <c r="C1296" s="1">
        <v>1</v>
      </c>
      <c r="D1296" s="1">
        <v>833</v>
      </c>
      <c r="E1296" s="3" t="s">
        <v>1446</v>
      </c>
      <c r="F1296" s="3" t="s">
        <v>1446</v>
      </c>
    </row>
    <row r="1297" spans="2:7" x14ac:dyDescent="0.25">
      <c r="B1297" s="2">
        <f t="shared" si="20"/>
        <v>1295</v>
      </c>
      <c r="C1297" s="2">
        <v>1</v>
      </c>
      <c r="D1297" s="2">
        <v>834</v>
      </c>
      <c r="E1297" s="4" t="s">
        <v>1445</v>
      </c>
      <c r="F1297" s="4" t="s">
        <v>1445</v>
      </c>
    </row>
    <row r="1298" spans="2:7" x14ac:dyDescent="0.25">
      <c r="B1298" s="1">
        <f t="shared" si="20"/>
        <v>1296</v>
      </c>
      <c r="C1298" s="1">
        <v>1</v>
      </c>
      <c r="D1298" s="1">
        <v>835</v>
      </c>
      <c r="E1298" s="3" t="s">
        <v>1444</v>
      </c>
      <c r="F1298" s="3" t="s">
        <v>1444</v>
      </c>
    </row>
    <row r="1299" spans="2:7" x14ac:dyDescent="0.25">
      <c r="B1299" s="2">
        <f t="shared" si="20"/>
        <v>1297</v>
      </c>
      <c r="C1299" s="2">
        <v>1</v>
      </c>
      <c r="D1299" s="2">
        <v>836</v>
      </c>
      <c r="E1299" s="4" t="s">
        <v>1443</v>
      </c>
      <c r="F1299" s="4" t="s">
        <v>1443</v>
      </c>
    </row>
    <row r="1300" spans="2:7" x14ac:dyDescent="0.25">
      <c r="B1300" s="1">
        <f t="shared" si="20"/>
        <v>1298</v>
      </c>
      <c r="C1300" s="1">
        <v>1</v>
      </c>
      <c r="D1300" s="1">
        <v>837</v>
      </c>
      <c r="E1300" s="3" t="s">
        <v>1442</v>
      </c>
      <c r="F1300" s="3" t="s">
        <v>1442</v>
      </c>
    </row>
    <row r="1301" spans="2:7" x14ac:dyDescent="0.25">
      <c r="B1301" s="2">
        <f t="shared" si="20"/>
        <v>1299</v>
      </c>
      <c r="C1301" s="2">
        <v>1</v>
      </c>
      <c r="D1301" s="2">
        <v>838</v>
      </c>
      <c r="E1301" s="4" t="s">
        <v>1441</v>
      </c>
      <c r="F1301" s="4" t="s">
        <v>1441</v>
      </c>
    </row>
    <row r="1302" spans="2:7" x14ac:dyDescent="0.25">
      <c r="B1302" s="1">
        <f t="shared" si="20"/>
        <v>1300</v>
      </c>
      <c r="C1302" s="1">
        <v>1</v>
      </c>
      <c r="D1302" s="1">
        <v>839</v>
      </c>
      <c r="E1302" s="3" t="s">
        <v>1440</v>
      </c>
      <c r="F1302" s="3" t="s">
        <v>1440</v>
      </c>
    </row>
    <row r="1303" spans="2:7" x14ac:dyDescent="0.25">
      <c r="B1303" s="2">
        <f t="shared" si="20"/>
        <v>1301</v>
      </c>
      <c r="C1303" s="2">
        <v>1</v>
      </c>
      <c r="D1303" s="2">
        <v>840</v>
      </c>
      <c r="E1303" s="4" t="s">
        <v>1439</v>
      </c>
      <c r="F1303" s="4" t="s">
        <v>1439</v>
      </c>
    </row>
    <row r="1304" spans="2:7" x14ac:dyDescent="0.25">
      <c r="B1304" s="1">
        <f t="shared" si="20"/>
        <v>1302</v>
      </c>
      <c r="C1304" s="1">
        <v>1</v>
      </c>
      <c r="D1304" s="1">
        <v>841</v>
      </c>
      <c r="E1304" s="3" t="s">
        <v>1438</v>
      </c>
      <c r="F1304" s="3" t="s">
        <v>1438</v>
      </c>
    </row>
    <row r="1305" spans="2:7" x14ac:dyDescent="0.25">
      <c r="B1305" s="2">
        <f t="shared" si="20"/>
        <v>1303</v>
      </c>
      <c r="C1305" s="2">
        <v>1</v>
      </c>
      <c r="D1305" s="2">
        <v>842</v>
      </c>
      <c r="E1305" s="4" t="s">
        <v>1437</v>
      </c>
      <c r="F1305" s="4" t="s">
        <v>1437</v>
      </c>
    </row>
    <row r="1306" spans="2:7" ht="30" x14ac:dyDescent="0.25">
      <c r="B1306" s="1">
        <f t="shared" si="20"/>
        <v>1304</v>
      </c>
      <c r="C1306" s="1">
        <v>1</v>
      </c>
      <c r="D1306" s="1" t="s">
        <v>1436</v>
      </c>
      <c r="E1306" s="3" t="s">
        <v>1435</v>
      </c>
      <c r="F1306" s="3" t="s">
        <v>1435</v>
      </c>
    </row>
    <row r="1307" spans="2:7" ht="30" x14ac:dyDescent="0.25">
      <c r="B1307" s="2">
        <f t="shared" si="20"/>
        <v>1305</v>
      </c>
      <c r="C1307" s="2">
        <v>1</v>
      </c>
      <c r="D1307" s="2" t="s">
        <v>1434</v>
      </c>
      <c r="E1307" s="4" t="s">
        <v>1433</v>
      </c>
      <c r="F1307" s="4" t="s">
        <v>1433</v>
      </c>
    </row>
    <row r="1308" spans="2:7" x14ac:dyDescent="0.25">
      <c r="B1308" s="1">
        <f t="shared" si="20"/>
        <v>1306</v>
      </c>
      <c r="C1308" s="1">
        <v>1</v>
      </c>
      <c r="D1308" s="1">
        <v>843</v>
      </c>
      <c r="E1308" s="3" t="s">
        <v>1432</v>
      </c>
      <c r="F1308" s="3" t="s">
        <v>1432</v>
      </c>
    </row>
    <row r="1309" spans="2:7" x14ac:dyDescent="0.25">
      <c r="B1309" s="2">
        <f t="shared" si="20"/>
        <v>1307</v>
      </c>
      <c r="C1309" s="2">
        <v>1</v>
      </c>
      <c r="D1309" s="2">
        <v>844</v>
      </c>
      <c r="E1309" s="4" t="s">
        <v>1431</v>
      </c>
      <c r="F1309" s="4" t="s">
        <v>1431</v>
      </c>
    </row>
    <row r="1310" spans="2:7" x14ac:dyDescent="0.25">
      <c r="B1310" s="1">
        <f t="shared" si="20"/>
        <v>1308</v>
      </c>
      <c r="C1310" s="1">
        <v>1</v>
      </c>
      <c r="D1310" s="1">
        <v>845</v>
      </c>
      <c r="E1310" s="3" t="s">
        <v>1430</v>
      </c>
      <c r="F1310" s="3" t="s">
        <v>1430</v>
      </c>
    </row>
    <row r="1311" spans="2:7" x14ac:dyDescent="0.25">
      <c r="B1311" s="2">
        <f t="shared" si="20"/>
        <v>1309</v>
      </c>
      <c r="C1311" s="2">
        <v>1</v>
      </c>
      <c r="D1311" s="2">
        <v>846</v>
      </c>
      <c r="E1311" s="4" t="s">
        <v>1429</v>
      </c>
      <c r="F1311" s="4" t="s">
        <v>1429</v>
      </c>
    </row>
    <row r="1312" spans="2:7" x14ac:dyDescent="0.25">
      <c r="B1312" s="1">
        <f t="shared" si="20"/>
        <v>1310</v>
      </c>
      <c r="C1312" s="1">
        <v>2</v>
      </c>
      <c r="D1312" s="1">
        <v>255</v>
      </c>
      <c r="E1312" s="3" t="s">
        <v>781</v>
      </c>
      <c r="F1312" s="3" t="s">
        <v>3119</v>
      </c>
      <c r="G1312" t="s">
        <v>3120</v>
      </c>
    </row>
    <row r="1313" spans="2:7" x14ac:dyDescent="0.25">
      <c r="B1313" s="2">
        <f t="shared" si="20"/>
        <v>1311</v>
      </c>
      <c r="C1313" s="2">
        <v>1</v>
      </c>
      <c r="D1313" s="2">
        <v>847</v>
      </c>
      <c r="E1313" s="4" t="s">
        <v>1428</v>
      </c>
      <c r="F1313" s="3" t="s">
        <v>1428</v>
      </c>
    </row>
    <row r="1314" spans="2:7" x14ac:dyDescent="0.25">
      <c r="B1314" s="1">
        <f t="shared" si="20"/>
        <v>1312</v>
      </c>
      <c r="C1314" s="1">
        <v>1</v>
      </c>
      <c r="D1314" s="2">
        <v>848</v>
      </c>
      <c r="E1314" s="4" t="s">
        <v>1427</v>
      </c>
      <c r="F1314" s="4" t="s">
        <v>1427</v>
      </c>
    </row>
    <row r="1315" spans="2:7" x14ac:dyDescent="0.25">
      <c r="B1315" s="2">
        <f t="shared" si="20"/>
        <v>1313</v>
      </c>
      <c r="C1315" s="2">
        <v>1</v>
      </c>
      <c r="D1315" s="2">
        <v>849</v>
      </c>
      <c r="E1315" s="4" t="s">
        <v>1426</v>
      </c>
      <c r="F1315" s="3" t="s">
        <v>1426</v>
      </c>
    </row>
    <row r="1316" spans="2:7" x14ac:dyDescent="0.25">
      <c r="B1316" s="1">
        <f t="shared" si="20"/>
        <v>1314</v>
      </c>
      <c r="C1316" s="1">
        <v>1</v>
      </c>
      <c r="D1316" s="2">
        <v>850</v>
      </c>
      <c r="E1316" s="4" t="s">
        <v>1425</v>
      </c>
      <c r="F1316" s="4" t="s">
        <v>1425</v>
      </c>
    </row>
    <row r="1317" spans="2:7" ht="30" x14ac:dyDescent="0.25">
      <c r="B1317" s="2">
        <f t="shared" si="20"/>
        <v>1315</v>
      </c>
      <c r="C1317" s="2">
        <v>1</v>
      </c>
      <c r="D1317" s="2" t="s">
        <v>1424</v>
      </c>
      <c r="E1317" s="4" t="s">
        <v>1423</v>
      </c>
      <c r="F1317" s="3" t="s">
        <v>1423</v>
      </c>
    </row>
    <row r="1318" spans="2:7" x14ac:dyDescent="0.25">
      <c r="B1318" s="1">
        <f t="shared" si="20"/>
        <v>1316</v>
      </c>
      <c r="C1318" s="1">
        <v>1</v>
      </c>
      <c r="D1318" s="2">
        <v>851</v>
      </c>
      <c r="E1318" s="4" t="s">
        <v>1422</v>
      </c>
      <c r="F1318" s="4" t="s">
        <v>1422</v>
      </c>
    </row>
    <row r="1319" spans="2:7" ht="30" x14ac:dyDescent="0.25">
      <c r="B1319" s="2">
        <f t="shared" si="20"/>
        <v>1317</v>
      </c>
      <c r="C1319" s="2">
        <v>3</v>
      </c>
      <c r="D1319" s="2" t="s">
        <v>646</v>
      </c>
      <c r="E1319" s="4" t="s">
        <v>645</v>
      </c>
      <c r="F1319" s="3" t="s">
        <v>645</v>
      </c>
    </row>
    <row r="1320" spans="2:7" x14ac:dyDescent="0.25">
      <c r="B1320" s="1">
        <f t="shared" si="20"/>
        <v>1318</v>
      </c>
      <c r="C1320" s="1">
        <v>1</v>
      </c>
      <c r="D1320" s="1">
        <v>852</v>
      </c>
      <c r="E1320" s="3" t="s">
        <v>1421</v>
      </c>
      <c r="F1320" s="3" t="s">
        <v>1421</v>
      </c>
    </row>
    <row r="1321" spans="2:7" x14ac:dyDescent="0.25">
      <c r="B1321" s="2">
        <f t="shared" si="20"/>
        <v>1319</v>
      </c>
      <c r="C1321" s="2">
        <v>2</v>
      </c>
      <c r="D1321" s="2">
        <v>256</v>
      </c>
      <c r="E1321" s="4" t="s">
        <v>780</v>
      </c>
      <c r="F1321" s="3" t="s">
        <v>1421</v>
      </c>
      <c r="G1321" t="s">
        <v>3121</v>
      </c>
    </row>
    <row r="1322" spans="2:7" x14ac:dyDescent="0.25">
      <c r="B1322" s="1">
        <f t="shared" si="20"/>
        <v>1320</v>
      </c>
      <c r="C1322" s="1">
        <v>1</v>
      </c>
      <c r="D1322" s="2">
        <v>853</v>
      </c>
      <c r="E1322" s="4" t="s">
        <v>1420</v>
      </c>
      <c r="F1322" s="4" t="s">
        <v>1420</v>
      </c>
    </row>
    <row r="1323" spans="2:7" ht="30" x14ac:dyDescent="0.25">
      <c r="B1323" s="2">
        <f t="shared" si="20"/>
        <v>1321</v>
      </c>
      <c r="C1323" s="2">
        <v>1</v>
      </c>
      <c r="D1323" s="2">
        <v>854</v>
      </c>
      <c r="E1323" s="4" t="s">
        <v>1419</v>
      </c>
      <c r="F1323" s="3" t="s">
        <v>1419</v>
      </c>
    </row>
    <row r="1324" spans="2:7" ht="30" x14ac:dyDescent="0.25">
      <c r="B1324" s="1">
        <f t="shared" si="20"/>
        <v>1322</v>
      </c>
      <c r="C1324" s="1">
        <v>1</v>
      </c>
      <c r="D1324" s="2" t="s">
        <v>1418</v>
      </c>
      <c r="E1324" s="4" t="s">
        <v>1417</v>
      </c>
      <c r="F1324" s="4" t="s">
        <v>1417</v>
      </c>
    </row>
    <row r="1325" spans="2:7" ht="30" x14ac:dyDescent="0.25">
      <c r="B1325" s="2">
        <f t="shared" si="20"/>
        <v>1323</v>
      </c>
      <c r="C1325" s="2">
        <v>1</v>
      </c>
      <c r="D1325" s="2" t="s">
        <v>1416</v>
      </c>
      <c r="E1325" s="4" t="s">
        <v>1415</v>
      </c>
      <c r="F1325" s="3" t="s">
        <v>1415</v>
      </c>
    </row>
    <row r="1326" spans="2:7" x14ac:dyDescent="0.25">
      <c r="B1326" s="1">
        <f t="shared" si="20"/>
        <v>1324</v>
      </c>
      <c r="C1326" s="1">
        <v>1</v>
      </c>
      <c r="D1326" s="2">
        <v>855</v>
      </c>
      <c r="E1326" s="4" t="s">
        <v>1414</v>
      </c>
      <c r="F1326" s="4" t="s">
        <v>1414</v>
      </c>
    </row>
    <row r="1327" spans="2:7" x14ac:dyDescent="0.25">
      <c r="B1327" s="2">
        <f t="shared" si="20"/>
        <v>1325</v>
      </c>
      <c r="C1327" s="2">
        <v>3</v>
      </c>
      <c r="D1327" s="2">
        <v>82</v>
      </c>
      <c r="E1327" s="4" t="s">
        <v>644</v>
      </c>
      <c r="F1327" s="3" t="s">
        <v>644</v>
      </c>
    </row>
    <row r="1328" spans="2:7" ht="30" x14ac:dyDescent="0.25">
      <c r="B1328" s="1">
        <f t="shared" si="20"/>
        <v>1326</v>
      </c>
      <c r="C1328" s="1">
        <v>1</v>
      </c>
      <c r="D1328" s="1" t="s">
        <v>1413</v>
      </c>
      <c r="E1328" s="3" t="s">
        <v>1412</v>
      </c>
      <c r="F1328" s="3" t="s">
        <v>1412</v>
      </c>
    </row>
    <row r="1329" spans="2:6" x14ac:dyDescent="0.25">
      <c r="B1329" s="2">
        <f t="shared" si="20"/>
        <v>1327</v>
      </c>
      <c r="C1329" s="2">
        <v>3</v>
      </c>
      <c r="D1329" s="2">
        <v>83</v>
      </c>
      <c r="E1329" s="4" t="s">
        <v>643</v>
      </c>
      <c r="F1329" s="3" t="s">
        <v>643</v>
      </c>
    </row>
    <row r="1330" spans="2:6" ht="30" x14ac:dyDescent="0.25">
      <c r="B1330" s="1">
        <f t="shared" si="20"/>
        <v>1328</v>
      </c>
      <c r="C1330" s="1">
        <v>1</v>
      </c>
      <c r="D1330" s="2" t="s">
        <v>1411</v>
      </c>
      <c r="E1330" s="4" t="s">
        <v>1410</v>
      </c>
      <c r="F1330" s="4" t="s">
        <v>1410</v>
      </c>
    </row>
    <row r="1331" spans="2:6" x14ac:dyDescent="0.25">
      <c r="B1331" s="2">
        <f t="shared" si="20"/>
        <v>1329</v>
      </c>
      <c r="C1331" s="2">
        <v>1</v>
      </c>
      <c r="D1331" s="2">
        <v>856</v>
      </c>
      <c r="E1331" s="4" t="s">
        <v>1409</v>
      </c>
      <c r="F1331" s="3" t="s">
        <v>1409</v>
      </c>
    </row>
    <row r="1332" spans="2:6" ht="30" x14ac:dyDescent="0.25">
      <c r="B1332" s="1">
        <f t="shared" si="20"/>
        <v>1330</v>
      </c>
      <c r="C1332" s="1">
        <v>1</v>
      </c>
      <c r="D1332" s="2" t="s">
        <v>1408</v>
      </c>
      <c r="E1332" s="4" t="s">
        <v>1407</v>
      </c>
      <c r="F1332" s="4" t="s">
        <v>1407</v>
      </c>
    </row>
    <row r="1333" spans="2:6" x14ac:dyDescent="0.25">
      <c r="B1333" s="2">
        <f t="shared" si="20"/>
        <v>1331</v>
      </c>
      <c r="C1333" s="2">
        <v>1</v>
      </c>
      <c r="D1333" s="2">
        <v>857</v>
      </c>
      <c r="E1333" s="4" t="s">
        <v>1406</v>
      </c>
      <c r="F1333" s="3" t="s">
        <v>1406</v>
      </c>
    </row>
    <row r="1334" spans="2:6" x14ac:dyDescent="0.25">
      <c r="B1334" s="1">
        <f t="shared" si="20"/>
        <v>1332</v>
      </c>
      <c r="C1334" s="1">
        <v>1</v>
      </c>
      <c r="D1334" s="2">
        <v>858</v>
      </c>
      <c r="E1334" s="4" t="s">
        <v>1405</v>
      </c>
      <c r="F1334" s="4" t="s">
        <v>1405</v>
      </c>
    </row>
    <row r="1335" spans="2:6" x14ac:dyDescent="0.25">
      <c r="B1335" s="2">
        <f t="shared" si="20"/>
        <v>1333</v>
      </c>
      <c r="C1335" s="2">
        <v>1</v>
      </c>
      <c r="D1335" s="2">
        <v>859</v>
      </c>
      <c r="E1335" s="4" t="s">
        <v>1404</v>
      </c>
      <c r="F1335" s="3" t="s">
        <v>1404</v>
      </c>
    </row>
    <row r="1336" spans="2:6" x14ac:dyDescent="0.25">
      <c r="B1336" s="1">
        <f t="shared" si="20"/>
        <v>1334</v>
      </c>
      <c r="C1336" s="1">
        <v>1</v>
      </c>
      <c r="D1336" s="2">
        <v>860</v>
      </c>
      <c r="E1336" s="4" t="s">
        <v>1403</v>
      </c>
      <c r="F1336" s="4" t="s">
        <v>1403</v>
      </c>
    </row>
    <row r="1337" spans="2:6" x14ac:dyDescent="0.25">
      <c r="B1337" s="2">
        <f t="shared" si="20"/>
        <v>1335</v>
      </c>
      <c r="C1337" s="2">
        <v>1</v>
      </c>
      <c r="D1337" s="2">
        <v>861</v>
      </c>
      <c r="E1337" s="4" t="s">
        <v>1402</v>
      </c>
      <c r="F1337" s="3" t="s">
        <v>1402</v>
      </c>
    </row>
    <row r="1338" spans="2:6" x14ac:dyDescent="0.25">
      <c r="B1338" s="1">
        <f t="shared" si="20"/>
        <v>1336</v>
      </c>
      <c r="C1338" s="1">
        <v>1</v>
      </c>
      <c r="D1338" s="2">
        <v>862</v>
      </c>
      <c r="E1338" s="4" t="s">
        <v>1401</v>
      </c>
      <c r="F1338" s="4" t="s">
        <v>1401</v>
      </c>
    </row>
    <row r="1339" spans="2:6" x14ac:dyDescent="0.25">
      <c r="B1339" s="2">
        <f t="shared" si="20"/>
        <v>1337</v>
      </c>
      <c r="C1339" s="2">
        <v>1</v>
      </c>
      <c r="D1339" s="2">
        <v>863</v>
      </c>
      <c r="E1339" s="4" t="s">
        <v>1400</v>
      </c>
      <c r="F1339" s="3" t="s">
        <v>1400</v>
      </c>
    </row>
    <row r="1340" spans="2:6" x14ac:dyDescent="0.25">
      <c r="B1340" s="1">
        <f t="shared" si="20"/>
        <v>1338</v>
      </c>
      <c r="C1340" s="1">
        <v>1</v>
      </c>
      <c r="D1340" s="2">
        <v>864</v>
      </c>
      <c r="E1340" s="4" t="s">
        <v>1399</v>
      </c>
      <c r="F1340" s="4" t="s">
        <v>1399</v>
      </c>
    </row>
    <row r="1341" spans="2:6" x14ac:dyDescent="0.25">
      <c r="B1341" s="2">
        <f t="shared" si="20"/>
        <v>1339</v>
      </c>
      <c r="C1341" s="2">
        <v>1</v>
      </c>
      <c r="D1341" s="2">
        <v>865</v>
      </c>
      <c r="E1341" s="4" t="s">
        <v>1398</v>
      </c>
      <c r="F1341" s="3" t="s">
        <v>1398</v>
      </c>
    </row>
    <row r="1342" spans="2:6" x14ac:dyDescent="0.25">
      <c r="B1342" s="1">
        <f t="shared" si="20"/>
        <v>1340</v>
      </c>
      <c r="C1342" s="1">
        <v>1</v>
      </c>
      <c r="D1342" s="2">
        <v>866</v>
      </c>
      <c r="E1342" s="4" t="s">
        <v>1397</v>
      </c>
      <c r="F1342" s="4" t="s">
        <v>1397</v>
      </c>
    </row>
    <row r="1343" spans="2:6" x14ac:dyDescent="0.25">
      <c r="B1343" s="2">
        <f t="shared" si="20"/>
        <v>1341</v>
      </c>
      <c r="C1343" s="2">
        <v>3</v>
      </c>
      <c r="D1343" s="2">
        <v>84</v>
      </c>
      <c r="E1343" s="4" t="s">
        <v>642</v>
      </c>
      <c r="F1343" s="3" t="s">
        <v>642</v>
      </c>
    </row>
    <row r="1344" spans="2:6" x14ac:dyDescent="0.25">
      <c r="B1344" s="1">
        <f t="shared" si="20"/>
        <v>1342</v>
      </c>
      <c r="C1344" s="1">
        <v>1</v>
      </c>
      <c r="D1344" s="1">
        <v>867</v>
      </c>
      <c r="E1344" s="3" t="s">
        <v>1396</v>
      </c>
      <c r="F1344" s="3" t="s">
        <v>1396</v>
      </c>
    </row>
    <row r="1345" spans="2:7" x14ac:dyDescent="0.25">
      <c r="B1345" s="2">
        <f t="shared" si="20"/>
        <v>1343</v>
      </c>
      <c r="C1345" s="2">
        <v>1</v>
      </c>
      <c r="D1345" s="2">
        <v>868</v>
      </c>
      <c r="E1345" s="4" t="s">
        <v>1395</v>
      </c>
      <c r="F1345" s="4" t="s">
        <v>1395</v>
      </c>
    </row>
    <row r="1346" spans="2:7" x14ac:dyDescent="0.25">
      <c r="B1346" s="1">
        <f t="shared" si="20"/>
        <v>1344</v>
      </c>
      <c r="C1346" s="1">
        <v>1</v>
      </c>
      <c r="D1346" s="1">
        <v>869</v>
      </c>
      <c r="E1346" s="3" t="s">
        <v>1394</v>
      </c>
      <c r="F1346" s="3" t="s">
        <v>1394</v>
      </c>
    </row>
    <row r="1347" spans="2:7" x14ac:dyDescent="0.25">
      <c r="B1347" s="2">
        <f t="shared" si="20"/>
        <v>1345</v>
      </c>
      <c r="C1347" s="2">
        <v>1</v>
      </c>
      <c r="D1347" s="2">
        <v>870</v>
      </c>
      <c r="E1347" s="4" t="s">
        <v>1393</v>
      </c>
      <c r="F1347" s="4" t="s">
        <v>1393</v>
      </c>
    </row>
    <row r="1348" spans="2:7" ht="30" x14ac:dyDescent="0.25">
      <c r="B1348" s="1">
        <f t="shared" si="20"/>
        <v>1346</v>
      </c>
      <c r="C1348" s="1">
        <v>1</v>
      </c>
      <c r="D1348" s="1">
        <v>871</v>
      </c>
      <c r="E1348" s="3" t="s">
        <v>1392</v>
      </c>
      <c r="F1348" s="3" t="s">
        <v>1392</v>
      </c>
    </row>
    <row r="1349" spans="2:7" ht="30" x14ac:dyDescent="0.25">
      <c r="B1349" s="2">
        <f t="shared" ref="B1349:B1412" si="21">+B1348+1</f>
        <v>1347</v>
      </c>
      <c r="C1349" s="2">
        <v>2</v>
      </c>
      <c r="D1349" s="2">
        <v>257</v>
      </c>
      <c r="E1349" s="4" t="s">
        <v>779</v>
      </c>
      <c r="F1349" s="3" t="s">
        <v>1392</v>
      </c>
      <c r="G1349" t="s">
        <v>3122</v>
      </c>
    </row>
    <row r="1350" spans="2:7" x14ac:dyDescent="0.25">
      <c r="B1350" s="1">
        <f t="shared" si="21"/>
        <v>1348</v>
      </c>
      <c r="C1350" s="1">
        <v>1</v>
      </c>
      <c r="D1350" s="2">
        <v>872</v>
      </c>
      <c r="E1350" s="4" t="s">
        <v>1391</v>
      </c>
      <c r="F1350" s="4" t="s">
        <v>1391</v>
      </c>
    </row>
    <row r="1351" spans="2:7" x14ac:dyDescent="0.25">
      <c r="B1351" s="2">
        <f t="shared" si="21"/>
        <v>1349</v>
      </c>
      <c r="C1351" s="2">
        <v>2</v>
      </c>
      <c r="D1351" s="2" t="s">
        <v>778</v>
      </c>
      <c r="E1351" s="4" t="s">
        <v>777</v>
      </c>
      <c r="F1351" s="3" t="s">
        <v>1391</v>
      </c>
      <c r="G1351" t="s">
        <v>3123</v>
      </c>
    </row>
    <row r="1352" spans="2:7" x14ac:dyDescent="0.25">
      <c r="B1352" s="1">
        <f t="shared" si="21"/>
        <v>1350</v>
      </c>
      <c r="C1352" s="1">
        <v>1</v>
      </c>
      <c r="D1352" s="1">
        <v>873</v>
      </c>
      <c r="E1352" s="3" t="s">
        <v>1390</v>
      </c>
      <c r="F1352" s="3" t="s">
        <v>1390</v>
      </c>
    </row>
    <row r="1353" spans="2:7" x14ac:dyDescent="0.25">
      <c r="B1353" s="2">
        <f t="shared" si="21"/>
        <v>1351</v>
      </c>
      <c r="C1353" s="2">
        <v>1</v>
      </c>
      <c r="D1353" s="2">
        <v>874</v>
      </c>
      <c r="E1353" s="4" t="s">
        <v>1389</v>
      </c>
      <c r="F1353" s="4" t="s">
        <v>1389</v>
      </c>
    </row>
    <row r="1354" spans="2:7" ht="30" x14ac:dyDescent="0.25">
      <c r="B1354" s="1">
        <f t="shared" si="21"/>
        <v>1352</v>
      </c>
      <c r="C1354" s="1">
        <v>1</v>
      </c>
      <c r="D1354" s="1" t="s">
        <v>1388</v>
      </c>
      <c r="E1354" s="3" t="s">
        <v>1387</v>
      </c>
      <c r="F1354" s="3" t="s">
        <v>1387</v>
      </c>
    </row>
    <row r="1355" spans="2:7" x14ac:dyDescent="0.25">
      <c r="B1355" s="2">
        <f t="shared" si="21"/>
        <v>1353</v>
      </c>
      <c r="C1355" s="2">
        <v>1</v>
      </c>
      <c r="D1355" s="2">
        <v>875</v>
      </c>
      <c r="E1355" s="4" t="s">
        <v>1386</v>
      </c>
      <c r="F1355" s="4" t="s">
        <v>1386</v>
      </c>
    </row>
    <row r="1356" spans="2:7" x14ac:dyDescent="0.25">
      <c r="B1356" s="1">
        <f t="shared" si="21"/>
        <v>1354</v>
      </c>
      <c r="C1356" s="1">
        <v>1</v>
      </c>
      <c r="D1356" s="1">
        <v>876</v>
      </c>
      <c r="E1356" s="3" t="s">
        <v>1385</v>
      </c>
      <c r="F1356" s="3" t="s">
        <v>1385</v>
      </c>
    </row>
    <row r="1357" spans="2:7" x14ac:dyDescent="0.25">
      <c r="B1357" s="2">
        <f t="shared" si="21"/>
        <v>1355</v>
      </c>
      <c r="C1357" s="2">
        <v>1</v>
      </c>
      <c r="D1357" s="2">
        <v>877</v>
      </c>
      <c r="E1357" s="4" t="s">
        <v>1384</v>
      </c>
      <c r="F1357" s="4" t="s">
        <v>1384</v>
      </c>
    </row>
    <row r="1358" spans="2:7" ht="30" x14ac:dyDescent="0.25">
      <c r="B1358" s="1">
        <f t="shared" si="21"/>
        <v>1356</v>
      </c>
      <c r="C1358" s="1">
        <v>1</v>
      </c>
      <c r="D1358" s="1" t="s">
        <v>1383</v>
      </c>
      <c r="E1358" s="3" t="s">
        <v>1382</v>
      </c>
      <c r="F1358" s="3" t="s">
        <v>1382</v>
      </c>
    </row>
    <row r="1359" spans="2:7" x14ac:dyDescent="0.25">
      <c r="B1359" s="2">
        <f t="shared" si="21"/>
        <v>1357</v>
      </c>
      <c r="C1359" s="2">
        <v>1</v>
      </c>
      <c r="D1359" s="2">
        <v>878</v>
      </c>
      <c r="E1359" s="4" t="s">
        <v>1381</v>
      </c>
      <c r="F1359" s="4" t="s">
        <v>1381</v>
      </c>
    </row>
    <row r="1360" spans="2:7" x14ac:dyDescent="0.25">
      <c r="B1360" s="1">
        <f t="shared" si="21"/>
        <v>1358</v>
      </c>
      <c r="C1360" s="1">
        <v>1</v>
      </c>
      <c r="D1360" s="2">
        <v>880</v>
      </c>
      <c r="E1360" s="4" t="s">
        <v>1379</v>
      </c>
      <c r="F1360" s="4" t="s">
        <v>1379</v>
      </c>
    </row>
    <row r="1361" spans="2:7" x14ac:dyDescent="0.25">
      <c r="B1361" s="2">
        <f t="shared" si="21"/>
        <v>1359</v>
      </c>
      <c r="C1361" s="2">
        <v>1</v>
      </c>
      <c r="D1361" s="2">
        <v>881</v>
      </c>
      <c r="E1361" s="4" t="s">
        <v>1378</v>
      </c>
      <c r="F1361" s="3" t="s">
        <v>1378</v>
      </c>
    </row>
    <row r="1362" spans="2:7" x14ac:dyDescent="0.25">
      <c r="B1362" s="1">
        <f t="shared" si="21"/>
        <v>1360</v>
      </c>
      <c r="C1362" s="1">
        <v>1</v>
      </c>
      <c r="D1362" s="1">
        <v>879</v>
      </c>
      <c r="E1362" s="3" t="s">
        <v>1380</v>
      </c>
      <c r="F1362" s="3" t="s">
        <v>1380</v>
      </c>
    </row>
    <row r="1363" spans="2:7" x14ac:dyDescent="0.25">
      <c r="B1363" s="2">
        <f t="shared" si="21"/>
        <v>1361</v>
      </c>
      <c r="C1363" s="2">
        <v>1</v>
      </c>
      <c r="D1363" s="2">
        <v>882</v>
      </c>
      <c r="E1363" s="4" t="s">
        <v>1377</v>
      </c>
      <c r="F1363" s="4" t="s">
        <v>1377</v>
      </c>
    </row>
    <row r="1364" spans="2:7" x14ac:dyDescent="0.25">
      <c r="B1364" s="1">
        <f t="shared" si="21"/>
        <v>1362</v>
      </c>
      <c r="C1364" s="1">
        <v>1</v>
      </c>
      <c r="D1364" s="1">
        <v>883</v>
      </c>
      <c r="E1364" s="3" t="s">
        <v>1376</v>
      </c>
      <c r="F1364" s="3" t="s">
        <v>1376</v>
      </c>
    </row>
    <row r="1365" spans="2:7" x14ac:dyDescent="0.25">
      <c r="B1365" s="2">
        <f t="shared" si="21"/>
        <v>1363</v>
      </c>
      <c r="C1365" s="2">
        <v>1</v>
      </c>
      <c r="D1365" s="2">
        <v>884</v>
      </c>
      <c r="E1365" s="4" t="s">
        <v>1375</v>
      </c>
      <c r="F1365" s="4" t="s">
        <v>1375</v>
      </c>
    </row>
    <row r="1366" spans="2:7" x14ac:dyDescent="0.25">
      <c r="B1366" s="1">
        <f t="shared" si="21"/>
        <v>1364</v>
      </c>
      <c r="C1366" s="1">
        <v>1</v>
      </c>
      <c r="D1366" s="1">
        <v>885</v>
      </c>
      <c r="E1366" s="3" t="s">
        <v>1374</v>
      </c>
      <c r="F1366" s="3" t="s">
        <v>1374</v>
      </c>
    </row>
    <row r="1367" spans="2:7" x14ac:dyDescent="0.25">
      <c r="B1367" s="2">
        <f t="shared" si="21"/>
        <v>1365</v>
      </c>
      <c r="C1367" s="2">
        <v>1</v>
      </c>
      <c r="D1367" s="2">
        <v>886</v>
      </c>
      <c r="E1367" s="4" t="s">
        <v>1373</v>
      </c>
      <c r="F1367" s="4" t="s">
        <v>1373</v>
      </c>
    </row>
    <row r="1368" spans="2:7" ht="30" x14ac:dyDescent="0.25">
      <c r="B1368" s="1">
        <f t="shared" si="21"/>
        <v>1366</v>
      </c>
      <c r="C1368" s="1">
        <v>3</v>
      </c>
      <c r="D1368" s="1" t="s">
        <v>641</v>
      </c>
      <c r="E1368" s="3" t="s">
        <v>640</v>
      </c>
      <c r="F1368" s="3" t="s">
        <v>640</v>
      </c>
    </row>
    <row r="1369" spans="2:7" x14ac:dyDescent="0.25">
      <c r="B1369" s="2">
        <f t="shared" si="21"/>
        <v>1367</v>
      </c>
      <c r="C1369" s="2">
        <v>1</v>
      </c>
      <c r="D1369" s="2">
        <v>887</v>
      </c>
      <c r="E1369" s="4" t="s">
        <v>1372</v>
      </c>
      <c r="F1369" s="3" t="s">
        <v>1372</v>
      </c>
    </row>
    <row r="1370" spans="2:7" x14ac:dyDescent="0.25">
      <c r="B1370" s="1">
        <f t="shared" si="21"/>
        <v>1368</v>
      </c>
      <c r="C1370" s="1">
        <v>1</v>
      </c>
      <c r="D1370" s="2">
        <v>888</v>
      </c>
      <c r="E1370" s="4" t="s">
        <v>1371</v>
      </c>
      <c r="F1370" s="4" t="s">
        <v>1371</v>
      </c>
    </row>
    <row r="1371" spans="2:7" x14ac:dyDescent="0.25">
      <c r="B1371" s="2">
        <f t="shared" si="21"/>
        <v>1369</v>
      </c>
      <c r="C1371" s="2">
        <v>1</v>
      </c>
      <c r="D1371" s="2">
        <v>889</v>
      </c>
      <c r="E1371" s="4" t="s">
        <v>1370</v>
      </c>
      <c r="F1371" s="3" t="s">
        <v>1370</v>
      </c>
    </row>
    <row r="1372" spans="2:7" x14ac:dyDescent="0.25">
      <c r="B1372" s="1">
        <f t="shared" si="21"/>
        <v>1370</v>
      </c>
      <c r="C1372" s="1">
        <v>2</v>
      </c>
      <c r="D1372" s="1" t="s">
        <v>776</v>
      </c>
      <c r="E1372" s="3" t="s">
        <v>775</v>
      </c>
      <c r="F1372" s="3" t="s">
        <v>1370</v>
      </c>
      <c r="G1372" t="s">
        <v>3124</v>
      </c>
    </row>
    <row r="1373" spans="2:7" x14ac:dyDescent="0.25">
      <c r="B1373" s="2">
        <f t="shared" si="21"/>
        <v>1371</v>
      </c>
      <c r="C1373" s="2">
        <v>1</v>
      </c>
      <c r="D1373" s="2">
        <v>890</v>
      </c>
      <c r="E1373" s="4" t="s">
        <v>1369</v>
      </c>
      <c r="F1373" s="4" t="s">
        <v>1369</v>
      </c>
    </row>
    <row r="1374" spans="2:7" x14ac:dyDescent="0.25">
      <c r="B1374" s="1">
        <f t="shared" si="21"/>
        <v>1372</v>
      </c>
      <c r="C1374" s="1">
        <v>1</v>
      </c>
      <c r="D1374" s="1">
        <v>891</v>
      </c>
      <c r="E1374" s="3" t="s">
        <v>1368</v>
      </c>
      <c r="F1374" s="3" t="s">
        <v>1368</v>
      </c>
    </row>
    <row r="1375" spans="2:7" x14ac:dyDescent="0.25">
      <c r="B1375" s="2">
        <f t="shared" si="21"/>
        <v>1373</v>
      </c>
      <c r="C1375" s="2">
        <v>1</v>
      </c>
      <c r="D1375" s="2">
        <v>892</v>
      </c>
      <c r="E1375" s="4" t="s">
        <v>1367</v>
      </c>
      <c r="F1375" s="4" t="s">
        <v>1367</v>
      </c>
    </row>
    <row r="1376" spans="2:7" x14ac:dyDescent="0.25">
      <c r="B1376" s="1">
        <f t="shared" si="21"/>
        <v>1374</v>
      </c>
      <c r="C1376" s="1">
        <v>1</v>
      </c>
      <c r="D1376" s="1">
        <v>893</v>
      </c>
      <c r="E1376" s="3" t="s">
        <v>1366</v>
      </c>
      <c r="F1376" s="3" t="s">
        <v>1366</v>
      </c>
    </row>
    <row r="1377" spans="2:6" x14ac:dyDescent="0.25">
      <c r="B1377" s="2">
        <f t="shared" si="21"/>
        <v>1375</v>
      </c>
      <c r="C1377" s="2">
        <v>1</v>
      </c>
      <c r="D1377" s="2">
        <v>894</v>
      </c>
      <c r="E1377" s="4" t="s">
        <v>1365</v>
      </c>
      <c r="F1377" s="4" t="s">
        <v>1365</v>
      </c>
    </row>
    <row r="1378" spans="2:6" ht="30" x14ac:dyDescent="0.25">
      <c r="B1378" s="1">
        <f t="shared" si="21"/>
        <v>1376</v>
      </c>
      <c r="C1378" s="1">
        <v>1</v>
      </c>
      <c r="D1378" s="1" t="s">
        <v>1364</v>
      </c>
      <c r="E1378" s="3" t="s">
        <v>1363</v>
      </c>
      <c r="F1378" s="3" t="s">
        <v>1363</v>
      </c>
    </row>
    <row r="1379" spans="2:6" x14ac:dyDescent="0.25">
      <c r="B1379" s="2">
        <f t="shared" si="21"/>
        <v>1377</v>
      </c>
      <c r="C1379" s="2">
        <v>1</v>
      </c>
      <c r="D1379" s="2">
        <v>895</v>
      </c>
      <c r="E1379" s="4" t="s">
        <v>1362</v>
      </c>
      <c r="F1379" s="4" t="s">
        <v>1362</v>
      </c>
    </row>
    <row r="1380" spans="2:6" x14ac:dyDescent="0.25">
      <c r="B1380" s="1">
        <f t="shared" si="21"/>
        <v>1378</v>
      </c>
      <c r="C1380" s="1">
        <v>1</v>
      </c>
      <c r="D1380" s="1">
        <v>896</v>
      </c>
      <c r="E1380" s="3" t="s">
        <v>1361</v>
      </c>
      <c r="F1380" s="3" t="s">
        <v>1361</v>
      </c>
    </row>
    <row r="1381" spans="2:6" x14ac:dyDescent="0.25">
      <c r="B1381" s="2">
        <f t="shared" si="21"/>
        <v>1379</v>
      </c>
      <c r="C1381" s="2">
        <v>1</v>
      </c>
      <c r="D1381" s="2">
        <v>897</v>
      </c>
      <c r="E1381" s="4" t="s">
        <v>1360</v>
      </c>
      <c r="F1381" s="4" t="s">
        <v>1360</v>
      </c>
    </row>
    <row r="1382" spans="2:6" x14ac:dyDescent="0.25">
      <c r="B1382" s="1">
        <f t="shared" si="21"/>
        <v>1380</v>
      </c>
      <c r="C1382" s="1">
        <v>1</v>
      </c>
      <c r="D1382" s="1">
        <v>898</v>
      </c>
      <c r="E1382" s="3" t="s">
        <v>1359</v>
      </c>
      <c r="F1382" s="3" t="s">
        <v>1359</v>
      </c>
    </row>
    <row r="1383" spans="2:6" x14ac:dyDescent="0.25">
      <c r="B1383" s="2">
        <f t="shared" si="21"/>
        <v>1381</v>
      </c>
      <c r="C1383" s="2">
        <v>1</v>
      </c>
      <c r="D1383" s="2">
        <v>899</v>
      </c>
      <c r="E1383" s="4" t="s">
        <v>1358</v>
      </c>
      <c r="F1383" s="4" t="s">
        <v>1358</v>
      </c>
    </row>
    <row r="1384" spans="2:6" ht="30" x14ac:dyDescent="0.25">
      <c r="B1384" s="1">
        <f t="shared" si="21"/>
        <v>1382</v>
      </c>
      <c r="C1384" s="1">
        <v>1</v>
      </c>
      <c r="D1384" s="1">
        <v>900</v>
      </c>
      <c r="E1384" s="3" t="s">
        <v>1357</v>
      </c>
      <c r="F1384" s="3" t="s">
        <v>1357</v>
      </c>
    </row>
    <row r="1385" spans="2:6" x14ac:dyDescent="0.25">
      <c r="B1385" s="2">
        <f t="shared" si="21"/>
        <v>1383</v>
      </c>
      <c r="C1385" s="2">
        <v>1</v>
      </c>
      <c r="D1385" s="2">
        <v>901</v>
      </c>
      <c r="E1385" s="4" t="s">
        <v>1356</v>
      </c>
      <c r="F1385" s="4" t="s">
        <v>1356</v>
      </c>
    </row>
    <row r="1386" spans="2:6" x14ac:dyDescent="0.25">
      <c r="B1386" s="1">
        <f t="shared" si="21"/>
        <v>1384</v>
      </c>
      <c r="C1386" s="1">
        <v>1</v>
      </c>
      <c r="D1386" s="1">
        <v>902</v>
      </c>
      <c r="E1386" s="3" t="s">
        <v>1355</v>
      </c>
      <c r="F1386" s="3" t="s">
        <v>1355</v>
      </c>
    </row>
    <row r="1387" spans="2:6" x14ac:dyDescent="0.25">
      <c r="B1387" s="2">
        <f t="shared" si="21"/>
        <v>1385</v>
      </c>
      <c r="C1387" s="2">
        <v>1</v>
      </c>
      <c r="D1387" s="2">
        <v>903</v>
      </c>
      <c r="E1387" s="4" t="s">
        <v>1354</v>
      </c>
      <c r="F1387" s="4" t="s">
        <v>1354</v>
      </c>
    </row>
    <row r="1388" spans="2:6" ht="30" x14ac:dyDescent="0.25">
      <c r="B1388" s="1">
        <f t="shared" si="21"/>
        <v>1386</v>
      </c>
      <c r="C1388" s="1">
        <v>1</v>
      </c>
      <c r="D1388" s="1" t="s">
        <v>1353</v>
      </c>
      <c r="E1388" s="3" t="s">
        <v>1352</v>
      </c>
      <c r="F1388" s="3" t="s">
        <v>1352</v>
      </c>
    </row>
    <row r="1389" spans="2:6" x14ac:dyDescent="0.25">
      <c r="B1389" s="2">
        <f t="shared" si="21"/>
        <v>1387</v>
      </c>
      <c r="C1389" s="2">
        <v>1</v>
      </c>
      <c r="D1389" s="2">
        <v>904</v>
      </c>
      <c r="E1389" s="4" t="s">
        <v>1351</v>
      </c>
      <c r="F1389" s="4" t="s">
        <v>1351</v>
      </c>
    </row>
    <row r="1390" spans="2:6" x14ac:dyDescent="0.25">
      <c r="B1390" s="1">
        <f t="shared" si="21"/>
        <v>1388</v>
      </c>
      <c r="C1390" s="1">
        <v>3</v>
      </c>
      <c r="D1390" s="1">
        <v>85</v>
      </c>
      <c r="E1390" s="3" t="s">
        <v>639</v>
      </c>
      <c r="F1390" s="3" t="s">
        <v>639</v>
      </c>
    </row>
    <row r="1391" spans="2:6" x14ac:dyDescent="0.25">
      <c r="B1391" s="2">
        <f t="shared" si="21"/>
        <v>1389</v>
      </c>
      <c r="C1391" s="2">
        <v>3</v>
      </c>
      <c r="D1391" s="2">
        <v>86</v>
      </c>
      <c r="E1391" s="4" t="s">
        <v>638</v>
      </c>
      <c r="F1391" s="3" t="s">
        <v>638</v>
      </c>
    </row>
    <row r="1392" spans="2:6" ht="30" x14ac:dyDescent="0.25">
      <c r="B1392" s="1">
        <f t="shared" si="21"/>
        <v>1390</v>
      </c>
      <c r="C1392" s="1">
        <v>1</v>
      </c>
      <c r="D1392" s="1" t="s">
        <v>1350</v>
      </c>
      <c r="E1392" s="3" t="s">
        <v>1349</v>
      </c>
      <c r="F1392" s="3" t="s">
        <v>1349</v>
      </c>
    </row>
    <row r="1393" spans="2:7" x14ac:dyDescent="0.25">
      <c r="B1393" s="2">
        <f t="shared" si="21"/>
        <v>1391</v>
      </c>
      <c r="C1393" s="2">
        <v>1</v>
      </c>
      <c r="D1393" s="2">
        <v>905</v>
      </c>
      <c r="E1393" s="4" t="s">
        <v>1348</v>
      </c>
      <c r="F1393" s="4" t="s">
        <v>1348</v>
      </c>
    </row>
    <row r="1394" spans="2:7" x14ac:dyDescent="0.25">
      <c r="B1394" s="1">
        <f t="shared" si="21"/>
        <v>1392</v>
      </c>
      <c r="C1394" s="1">
        <v>1</v>
      </c>
      <c r="D1394" s="1">
        <v>906</v>
      </c>
      <c r="E1394" s="3" t="s">
        <v>1347</v>
      </c>
      <c r="F1394" s="3" t="s">
        <v>1347</v>
      </c>
    </row>
    <row r="1395" spans="2:7" x14ac:dyDescent="0.25">
      <c r="B1395" s="2">
        <f t="shared" si="21"/>
        <v>1393</v>
      </c>
      <c r="C1395" s="2">
        <v>2</v>
      </c>
      <c r="D1395" s="2">
        <v>258</v>
      </c>
      <c r="E1395" s="4" t="s">
        <v>774</v>
      </c>
      <c r="F1395" s="3" t="s">
        <v>1347</v>
      </c>
      <c r="G1395" t="s">
        <v>3125</v>
      </c>
    </row>
    <row r="1396" spans="2:7" x14ac:dyDescent="0.25">
      <c r="B1396" s="1">
        <f t="shared" si="21"/>
        <v>1394</v>
      </c>
      <c r="C1396" s="1">
        <v>2</v>
      </c>
      <c r="D1396" s="1">
        <v>259</v>
      </c>
      <c r="E1396" s="3" t="s">
        <v>773</v>
      </c>
      <c r="F1396" s="3" t="s">
        <v>1347</v>
      </c>
      <c r="G1396" t="s">
        <v>2916</v>
      </c>
    </row>
    <row r="1397" spans="2:7" ht="30" x14ac:dyDescent="0.25">
      <c r="B1397" s="2">
        <f t="shared" si="21"/>
        <v>1395</v>
      </c>
      <c r="C1397" s="2">
        <v>1</v>
      </c>
      <c r="D1397" s="2" t="s">
        <v>1346</v>
      </c>
      <c r="E1397" s="4" t="s">
        <v>1345</v>
      </c>
      <c r="F1397" s="4" t="s">
        <v>1345</v>
      </c>
    </row>
    <row r="1398" spans="2:7" x14ac:dyDescent="0.25">
      <c r="B1398" s="1">
        <f t="shared" si="21"/>
        <v>1396</v>
      </c>
      <c r="C1398" s="1">
        <v>1</v>
      </c>
      <c r="D1398" s="1">
        <v>907</v>
      </c>
      <c r="E1398" s="3" t="s">
        <v>1344</v>
      </c>
      <c r="F1398" s="3" t="s">
        <v>1344</v>
      </c>
    </row>
    <row r="1399" spans="2:7" ht="45" x14ac:dyDescent="0.25">
      <c r="B1399" s="2">
        <f t="shared" si="21"/>
        <v>1397</v>
      </c>
      <c r="C1399" s="2">
        <v>1</v>
      </c>
      <c r="D1399" s="2" t="s">
        <v>1343</v>
      </c>
      <c r="E1399" s="4" t="s">
        <v>1342</v>
      </c>
      <c r="F1399" s="4" t="s">
        <v>1342</v>
      </c>
    </row>
    <row r="1400" spans="2:7" x14ac:dyDescent="0.25">
      <c r="B1400" s="1">
        <f t="shared" si="21"/>
        <v>1398</v>
      </c>
      <c r="C1400" s="1">
        <v>1</v>
      </c>
      <c r="D1400" s="1">
        <v>908</v>
      </c>
      <c r="E1400" s="3" t="s">
        <v>1341</v>
      </c>
      <c r="F1400" s="3" t="s">
        <v>1341</v>
      </c>
    </row>
    <row r="1401" spans="2:7" x14ac:dyDescent="0.25">
      <c r="B1401" s="2">
        <f t="shared" si="21"/>
        <v>1399</v>
      </c>
      <c r="C1401" s="2">
        <v>1</v>
      </c>
      <c r="D1401" s="2">
        <v>909</v>
      </c>
      <c r="E1401" s="4" t="s">
        <v>1340</v>
      </c>
      <c r="F1401" s="4" t="s">
        <v>1340</v>
      </c>
    </row>
    <row r="1402" spans="2:7" x14ac:dyDescent="0.25">
      <c r="B1402" s="1">
        <f t="shared" si="21"/>
        <v>1400</v>
      </c>
      <c r="C1402" s="1">
        <v>3</v>
      </c>
      <c r="D1402" s="1">
        <v>87</v>
      </c>
      <c r="E1402" s="3" t="s">
        <v>637</v>
      </c>
      <c r="F1402" s="3" t="s">
        <v>2443</v>
      </c>
    </row>
    <row r="1403" spans="2:7" x14ac:dyDescent="0.25">
      <c r="B1403" s="2">
        <f t="shared" si="21"/>
        <v>1401</v>
      </c>
      <c r="C1403" s="2">
        <v>1</v>
      </c>
      <c r="D1403" s="2">
        <v>910</v>
      </c>
      <c r="E1403" s="4" t="s">
        <v>1339</v>
      </c>
      <c r="F1403" s="3" t="s">
        <v>1339</v>
      </c>
    </row>
    <row r="1404" spans="2:7" x14ac:dyDescent="0.25">
      <c r="B1404" s="1">
        <f t="shared" si="21"/>
        <v>1402</v>
      </c>
      <c r="C1404" s="1">
        <v>1</v>
      </c>
      <c r="D1404" s="2">
        <v>911</v>
      </c>
      <c r="E1404" s="4" t="s">
        <v>1338</v>
      </c>
      <c r="F1404" s="4" t="s">
        <v>1338</v>
      </c>
    </row>
    <row r="1405" spans="2:7" x14ac:dyDescent="0.25">
      <c r="B1405" s="2">
        <f t="shared" si="21"/>
        <v>1403</v>
      </c>
      <c r="C1405" s="2">
        <v>1</v>
      </c>
      <c r="D1405" s="2">
        <v>912</v>
      </c>
      <c r="E1405" s="4" t="s">
        <v>1337</v>
      </c>
      <c r="F1405" s="3" t="s">
        <v>1337</v>
      </c>
    </row>
    <row r="1406" spans="2:7" x14ac:dyDescent="0.25">
      <c r="B1406" s="1">
        <f t="shared" si="21"/>
        <v>1404</v>
      </c>
      <c r="C1406" s="1">
        <v>1</v>
      </c>
      <c r="D1406" s="2">
        <v>913</v>
      </c>
      <c r="E1406" s="4" t="s">
        <v>1336</v>
      </c>
      <c r="F1406" s="4" t="s">
        <v>1336</v>
      </c>
    </row>
    <row r="1407" spans="2:7" x14ac:dyDescent="0.25">
      <c r="B1407" s="2">
        <f t="shared" si="21"/>
        <v>1405</v>
      </c>
      <c r="C1407" s="2">
        <v>2</v>
      </c>
      <c r="D1407" s="2">
        <v>260</v>
      </c>
      <c r="E1407" s="4" t="s">
        <v>772</v>
      </c>
      <c r="F1407" s="3" t="s">
        <v>1336</v>
      </c>
      <c r="G1407" t="s">
        <v>3126</v>
      </c>
    </row>
    <row r="1408" spans="2:7" x14ac:dyDescent="0.25">
      <c r="B1408" s="1">
        <f t="shared" si="21"/>
        <v>1406</v>
      </c>
      <c r="C1408" s="1">
        <v>2</v>
      </c>
      <c r="D1408" s="1">
        <v>261</v>
      </c>
      <c r="E1408" s="3" t="s">
        <v>771</v>
      </c>
      <c r="F1408" s="3" t="s">
        <v>1336</v>
      </c>
      <c r="G1408" t="s">
        <v>3127</v>
      </c>
    </row>
    <row r="1409" spans="2:6" x14ac:dyDescent="0.25">
      <c r="B1409" s="2">
        <f t="shared" si="21"/>
        <v>1407</v>
      </c>
      <c r="C1409" s="2">
        <v>1</v>
      </c>
      <c r="D1409" s="2">
        <v>914</v>
      </c>
      <c r="E1409" s="4" t="s">
        <v>1335</v>
      </c>
      <c r="F1409" s="3" t="s">
        <v>1335</v>
      </c>
    </row>
    <row r="1410" spans="2:6" x14ac:dyDescent="0.25">
      <c r="B1410" s="1">
        <f t="shared" si="21"/>
        <v>1408</v>
      </c>
      <c r="C1410" s="1">
        <v>1</v>
      </c>
      <c r="D1410" s="2">
        <v>915</v>
      </c>
      <c r="E1410" s="4" t="s">
        <v>1334</v>
      </c>
      <c r="F1410" s="4" t="s">
        <v>1334</v>
      </c>
    </row>
    <row r="1411" spans="2:6" x14ac:dyDescent="0.25">
      <c r="B1411" s="2">
        <f t="shared" si="21"/>
        <v>1409</v>
      </c>
      <c r="C1411" s="2">
        <v>1</v>
      </c>
      <c r="D1411" s="2">
        <v>916</v>
      </c>
      <c r="E1411" s="4" t="s">
        <v>1333</v>
      </c>
      <c r="F1411" s="3" t="s">
        <v>1333</v>
      </c>
    </row>
    <row r="1412" spans="2:6" x14ac:dyDescent="0.25">
      <c r="B1412" s="1">
        <f t="shared" si="21"/>
        <v>1410</v>
      </c>
      <c r="C1412" s="1">
        <v>1</v>
      </c>
      <c r="D1412" s="2">
        <v>917</v>
      </c>
      <c r="E1412" s="4" t="s">
        <v>1332</v>
      </c>
      <c r="F1412" s="4" t="s">
        <v>1332</v>
      </c>
    </row>
    <row r="1413" spans="2:6" x14ac:dyDescent="0.25">
      <c r="B1413" s="2">
        <f t="shared" ref="B1413:B1476" si="22">+B1412+1</f>
        <v>1411</v>
      </c>
      <c r="C1413" s="2">
        <v>1</v>
      </c>
      <c r="D1413" s="2">
        <v>918</v>
      </c>
      <c r="E1413" s="4" t="s">
        <v>1331</v>
      </c>
      <c r="F1413" s="3" t="s">
        <v>1331</v>
      </c>
    </row>
    <row r="1414" spans="2:6" x14ac:dyDescent="0.25">
      <c r="B1414" s="1">
        <f t="shared" si="22"/>
        <v>1412</v>
      </c>
      <c r="C1414" s="1">
        <v>1</v>
      </c>
      <c r="D1414" s="2">
        <v>919</v>
      </c>
      <c r="E1414" s="4" t="s">
        <v>1330</v>
      </c>
      <c r="F1414" s="4" t="s">
        <v>1330</v>
      </c>
    </row>
    <row r="1415" spans="2:6" ht="30" x14ac:dyDescent="0.25">
      <c r="B1415" s="2">
        <f t="shared" si="22"/>
        <v>1413</v>
      </c>
      <c r="C1415" s="2">
        <v>1</v>
      </c>
      <c r="D1415" s="2">
        <v>920</v>
      </c>
      <c r="E1415" s="4" t="s">
        <v>1329</v>
      </c>
      <c r="F1415" s="3" t="s">
        <v>1329</v>
      </c>
    </row>
    <row r="1416" spans="2:6" x14ac:dyDescent="0.25">
      <c r="B1416" s="1">
        <f t="shared" si="22"/>
        <v>1414</v>
      </c>
      <c r="C1416" s="1">
        <v>1</v>
      </c>
      <c r="D1416" s="2">
        <v>921</v>
      </c>
      <c r="E1416" s="4" t="s">
        <v>1328</v>
      </c>
      <c r="F1416" s="4" t="s">
        <v>1328</v>
      </c>
    </row>
    <row r="1417" spans="2:6" x14ac:dyDescent="0.25">
      <c r="B1417" s="2">
        <f t="shared" si="22"/>
        <v>1415</v>
      </c>
      <c r="C1417" s="2">
        <v>1</v>
      </c>
      <c r="D1417" s="2">
        <v>922</v>
      </c>
      <c r="E1417" s="4" t="s">
        <v>1327</v>
      </c>
      <c r="F1417" s="3" t="s">
        <v>1327</v>
      </c>
    </row>
    <row r="1418" spans="2:6" x14ac:dyDescent="0.25">
      <c r="B1418" s="1">
        <f t="shared" si="22"/>
        <v>1416</v>
      </c>
      <c r="C1418" s="1">
        <v>1</v>
      </c>
      <c r="D1418" s="2">
        <v>923</v>
      </c>
      <c r="E1418" s="4" t="s">
        <v>1326</v>
      </c>
      <c r="F1418" s="4" t="s">
        <v>1326</v>
      </c>
    </row>
    <row r="1419" spans="2:6" x14ac:dyDescent="0.25">
      <c r="B1419" s="2">
        <f t="shared" si="22"/>
        <v>1417</v>
      </c>
      <c r="C1419" s="2">
        <v>1</v>
      </c>
      <c r="D1419" s="2">
        <v>924</v>
      </c>
      <c r="E1419" s="4" t="s">
        <v>1325</v>
      </c>
      <c r="F1419" s="3" t="s">
        <v>1325</v>
      </c>
    </row>
    <row r="1420" spans="2:6" x14ac:dyDescent="0.25">
      <c r="B1420" s="1">
        <f t="shared" si="22"/>
        <v>1418</v>
      </c>
      <c r="C1420" s="1">
        <v>1</v>
      </c>
      <c r="D1420" s="2">
        <v>925</v>
      </c>
      <c r="E1420" s="4" t="s">
        <v>1324</v>
      </c>
      <c r="F1420" s="4" t="s">
        <v>1324</v>
      </c>
    </row>
    <row r="1421" spans="2:6" x14ac:dyDescent="0.25">
      <c r="B1421" s="2">
        <f t="shared" si="22"/>
        <v>1419</v>
      </c>
      <c r="C1421" s="2">
        <v>1</v>
      </c>
      <c r="D1421" s="2">
        <v>926</v>
      </c>
      <c r="E1421" s="4" t="s">
        <v>1323</v>
      </c>
      <c r="F1421" s="3" t="s">
        <v>1323</v>
      </c>
    </row>
    <row r="1422" spans="2:6" ht="30" x14ac:dyDescent="0.25">
      <c r="B1422" s="1">
        <f t="shared" si="22"/>
        <v>1420</v>
      </c>
      <c r="C1422" s="1">
        <v>1</v>
      </c>
      <c r="D1422" s="2">
        <v>927</v>
      </c>
      <c r="E1422" s="4" t="s">
        <v>1322</v>
      </c>
      <c r="F1422" s="4" t="s">
        <v>1322</v>
      </c>
    </row>
    <row r="1423" spans="2:6" ht="30" x14ac:dyDescent="0.25">
      <c r="B1423" s="2">
        <f t="shared" si="22"/>
        <v>1421</v>
      </c>
      <c r="C1423" s="2">
        <v>1</v>
      </c>
      <c r="D1423" s="2">
        <v>928</v>
      </c>
      <c r="E1423" s="4" t="s">
        <v>1321</v>
      </c>
      <c r="F1423" s="3" t="s">
        <v>1321</v>
      </c>
    </row>
    <row r="1424" spans="2:6" ht="30" x14ac:dyDescent="0.25">
      <c r="B1424" s="1">
        <f t="shared" si="22"/>
        <v>1422</v>
      </c>
      <c r="C1424" s="1">
        <v>1</v>
      </c>
      <c r="D1424" s="2">
        <v>929</v>
      </c>
      <c r="E1424" s="4" t="s">
        <v>1320</v>
      </c>
      <c r="F1424" s="4" t="s">
        <v>1320</v>
      </c>
    </row>
    <row r="1425" spans="2:7" x14ac:dyDescent="0.25">
      <c r="B1425" s="2">
        <f t="shared" si="22"/>
        <v>1423</v>
      </c>
      <c r="C1425" s="2">
        <v>1</v>
      </c>
      <c r="D1425" s="2">
        <v>930</v>
      </c>
      <c r="E1425" s="4" t="s">
        <v>1319</v>
      </c>
      <c r="F1425" s="3" t="s">
        <v>1319</v>
      </c>
    </row>
    <row r="1426" spans="2:7" ht="45" x14ac:dyDescent="0.25">
      <c r="B1426" s="1">
        <f t="shared" si="22"/>
        <v>1424</v>
      </c>
      <c r="C1426" s="1">
        <v>1</v>
      </c>
      <c r="D1426" s="2" t="s">
        <v>1318</v>
      </c>
      <c r="E1426" s="4" t="s">
        <v>1317</v>
      </c>
      <c r="F1426" s="4" t="s">
        <v>1317</v>
      </c>
    </row>
    <row r="1427" spans="2:7" x14ac:dyDescent="0.25">
      <c r="B1427" s="2">
        <f t="shared" si="22"/>
        <v>1425</v>
      </c>
      <c r="C1427" s="2">
        <v>1</v>
      </c>
      <c r="D1427" s="2">
        <v>931</v>
      </c>
      <c r="E1427" s="4" t="s">
        <v>1316</v>
      </c>
      <c r="F1427" s="3" t="s">
        <v>1316</v>
      </c>
    </row>
    <row r="1428" spans="2:7" ht="45" x14ac:dyDescent="0.25">
      <c r="B1428" s="1">
        <f t="shared" si="22"/>
        <v>1426</v>
      </c>
      <c r="C1428" s="1">
        <v>1</v>
      </c>
      <c r="D1428" s="2" t="s">
        <v>1315</v>
      </c>
      <c r="E1428" s="4" t="s">
        <v>1314</v>
      </c>
      <c r="F1428" s="4" t="s">
        <v>1314</v>
      </c>
    </row>
    <row r="1429" spans="2:7" x14ac:dyDescent="0.25">
      <c r="B1429" s="2">
        <f t="shared" si="22"/>
        <v>1427</v>
      </c>
      <c r="C1429" s="2">
        <v>1</v>
      </c>
      <c r="D1429" s="2">
        <v>932</v>
      </c>
      <c r="E1429" s="4" t="s">
        <v>1313</v>
      </c>
      <c r="F1429" s="3" t="s">
        <v>1313</v>
      </c>
    </row>
    <row r="1430" spans="2:7" ht="30" x14ac:dyDescent="0.25">
      <c r="B1430" s="1">
        <f t="shared" si="22"/>
        <v>1428</v>
      </c>
      <c r="C1430" s="1">
        <v>1</v>
      </c>
      <c r="D1430" s="2">
        <v>933</v>
      </c>
      <c r="E1430" s="4" t="s">
        <v>1312</v>
      </c>
      <c r="F1430" s="4" t="s">
        <v>1312</v>
      </c>
    </row>
    <row r="1431" spans="2:7" ht="30" x14ac:dyDescent="0.25">
      <c r="B1431" s="2">
        <f t="shared" si="22"/>
        <v>1429</v>
      </c>
      <c r="C1431" s="2">
        <v>1</v>
      </c>
      <c r="D1431" s="2">
        <v>934</v>
      </c>
      <c r="E1431" s="4" t="s">
        <v>1311</v>
      </c>
      <c r="F1431" s="3" t="s">
        <v>1311</v>
      </c>
    </row>
    <row r="1432" spans="2:7" ht="30" x14ac:dyDescent="0.25">
      <c r="B1432" s="1">
        <f t="shared" si="22"/>
        <v>1430</v>
      </c>
      <c r="C1432" s="1">
        <v>1</v>
      </c>
      <c r="D1432" s="2">
        <v>935</v>
      </c>
      <c r="E1432" s="4" t="s">
        <v>1310</v>
      </c>
      <c r="F1432" s="4" t="s">
        <v>1310</v>
      </c>
    </row>
    <row r="1433" spans="2:7" ht="30" x14ac:dyDescent="0.25">
      <c r="B1433" s="2">
        <f t="shared" si="22"/>
        <v>1431</v>
      </c>
      <c r="C1433" s="2">
        <v>1</v>
      </c>
      <c r="D1433" s="2">
        <v>936</v>
      </c>
      <c r="E1433" s="4" t="s">
        <v>1309</v>
      </c>
      <c r="F1433" s="3" t="s">
        <v>1309</v>
      </c>
    </row>
    <row r="1434" spans="2:7" x14ac:dyDescent="0.25">
      <c r="B1434" s="1">
        <f t="shared" si="22"/>
        <v>1432</v>
      </c>
      <c r="C1434" s="1">
        <v>1</v>
      </c>
      <c r="D1434" s="2">
        <v>937</v>
      </c>
      <c r="E1434" s="4" t="s">
        <v>1308</v>
      </c>
      <c r="F1434" s="4" t="s">
        <v>1308</v>
      </c>
    </row>
    <row r="1435" spans="2:7" x14ac:dyDescent="0.25">
      <c r="B1435" s="2">
        <f t="shared" si="22"/>
        <v>1433</v>
      </c>
      <c r="C1435" s="2">
        <v>1</v>
      </c>
      <c r="D1435" s="2">
        <v>938</v>
      </c>
      <c r="E1435" s="4" t="s">
        <v>1307</v>
      </c>
      <c r="F1435" s="3" t="s">
        <v>1307</v>
      </c>
    </row>
    <row r="1436" spans="2:7" x14ac:dyDescent="0.25">
      <c r="B1436" s="1">
        <f t="shared" si="22"/>
        <v>1434</v>
      </c>
      <c r="C1436" s="1">
        <v>2</v>
      </c>
      <c r="D1436" s="1">
        <v>262</v>
      </c>
      <c r="E1436" s="3" t="s">
        <v>770</v>
      </c>
      <c r="F1436" s="3" t="s">
        <v>1307</v>
      </c>
      <c r="G1436" t="s">
        <v>3128</v>
      </c>
    </row>
    <row r="1437" spans="2:7" x14ac:dyDescent="0.25">
      <c r="B1437" s="2">
        <f t="shared" si="22"/>
        <v>1435</v>
      </c>
      <c r="C1437" s="2">
        <v>1</v>
      </c>
      <c r="D1437" s="2">
        <v>939</v>
      </c>
      <c r="E1437" s="4" t="s">
        <v>1306</v>
      </c>
      <c r="F1437" s="4" t="s">
        <v>1306</v>
      </c>
    </row>
    <row r="1438" spans="2:7" x14ac:dyDescent="0.25">
      <c r="B1438" s="1">
        <f t="shared" si="22"/>
        <v>1436</v>
      </c>
      <c r="C1438" s="1">
        <v>2</v>
      </c>
      <c r="D1438" s="1">
        <v>263</v>
      </c>
      <c r="E1438" s="3" t="s">
        <v>769</v>
      </c>
      <c r="F1438" s="3" t="s">
        <v>3129</v>
      </c>
      <c r="G1438" t="s">
        <v>3128</v>
      </c>
    </row>
    <row r="1439" spans="2:7" x14ac:dyDescent="0.25">
      <c r="B1439" s="2">
        <f t="shared" si="22"/>
        <v>1437</v>
      </c>
      <c r="C1439" s="2">
        <v>1</v>
      </c>
      <c r="D1439" s="2">
        <v>940</v>
      </c>
      <c r="E1439" s="4" t="s">
        <v>1305</v>
      </c>
      <c r="F1439" s="3" t="s">
        <v>1305</v>
      </c>
    </row>
    <row r="1440" spans="2:7" x14ac:dyDescent="0.25">
      <c r="B1440" s="1">
        <f t="shared" si="22"/>
        <v>1438</v>
      </c>
      <c r="C1440" s="1">
        <v>3</v>
      </c>
      <c r="D1440" s="1">
        <v>88</v>
      </c>
      <c r="E1440" s="3" t="s">
        <v>636</v>
      </c>
      <c r="F1440" s="3" t="s">
        <v>636</v>
      </c>
    </row>
    <row r="1441" spans="2:7" x14ac:dyDescent="0.25">
      <c r="B1441" s="2">
        <f t="shared" si="22"/>
        <v>1439</v>
      </c>
      <c r="C1441" s="2">
        <v>1</v>
      </c>
      <c r="D1441" s="2">
        <v>941</v>
      </c>
      <c r="E1441" s="4" t="s">
        <v>1304</v>
      </c>
      <c r="F1441" s="4" t="s">
        <v>1304</v>
      </c>
    </row>
    <row r="1442" spans="2:7" x14ac:dyDescent="0.25">
      <c r="B1442" s="1">
        <f t="shared" si="22"/>
        <v>1440</v>
      </c>
      <c r="C1442" s="1">
        <v>1</v>
      </c>
      <c r="D1442" s="1">
        <v>942</v>
      </c>
      <c r="E1442" s="3" t="s">
        <v>1303</v>
      </c>
      <c r="F1442" s="3" t="s">
        <v>1303</v>
      </c>
    </row>
    <row r="1443" spans="2:7" x14ac:dyDescent="0.25">
      <c r="B1443" s="2">
        <f t="shared" si="22"/>
        <v>1441</v>
      </c>
      <c r="C1443" s="2">
        <v>1</v>
      </c>
      <c r="D1443" s="2">
        <v>943</v>
      </c>
      <c r="E1443" s="4" t="s">
        <v>1302</v>
      </c>
      <c r="F1443" s="4" t="s">
        <v>1302</v>
      </c>
    </row>
    <row r="1444" spans="2:7" x14ac:dyDescent="0.25">
      <c r="B1444" s="1">
        <f t="shared" si="22"/>
        <v>1442</v>
      </c>
      <c r="C1444" s="1">
        <v>1</v>
      </c>
      <c r="D1444" s="1">
        <v>944</v>
      </c>
      <c r="E1444" s="3" t="s">
        <v>1301</v>
      </c>
      <c r="F1444" s="3" t="s">
        <v>1301</v>
      </c>
    </row>
    <row r="1445" spans="2:7" ht="45" x14ac:dyDescent="0.25">
      <c r="B1445" s="2">
        <f t="shared" si="22"/>
        <v>1443</v>
      </c>
      <c r="C1445" s="2">
        <v>1</v>
      </c>
      <c r="D1445" s="2">
        <v>945</v>
      </c>
      <c r="E1445" s="4" t="s">
        <v>1300</v>
      </c>
      <c r="F1445" s="4" t="s">
        <v>1300</v>
      </c>
    </row>
    <row r="1446" spans="2:7" x14ac:dyDescent="0.25">
      <c r="B1446" s="1">
        <f t="shared" si="22"/>
        <v>1444</v>
      </c>
      <c r="C1446" s="1">
        <v>1</v>
      </c>
      <c r="D1446" s="1">
        <v>946</v>
      </c>
      <c r="E1446" s="3" t="s">
        <v>1299</v>
      </c>
      <c r="F1446" s="3" t="s">
        <v>1299</v>
      </c>
    </row>
    <row r="1447" spans="2:7" x14ac:dyDescent="0.25">
      <c r="B1447" s="2">
        <f t="shared" si="22"/>
        <v>1445</v>
      </c>
      <c r="C1447" s="2">
        <v>1</v>
      </c>
      <c r="D1447" s="2">
        <v>947</v>
      </c>
      <c r="E1447" s="4" t="s">
        <v>1298</v>
      </c>
      <c r="F1447" s="4" t="s">
        <v>1298</v>
      </c>
    </row>
    <row r="1448" spans="2:7" x14ac:dyDescent="0.25">
      <c r="B1448" s="1">
        <f t="shared" si="22"/>
        <v>1446</v>
      </c>
      <c r="C1448" s="1">
        <v>1</v>
      </c>
      <c r="D1448" s="1">
        <v>948</v>
      </c>
      <c r="E1448" s="3" t="s">
        <v>1297</v>
      </c>
      <c r="F1448" s="3" t="s">
        <v>1297</v>
      </c>
    </row>
    <row r="1449" spans="2:7" x14ac:dyDescent="0.25">
      <c r="B1449" s="2">
        <f t="shared" si="22"/>
        <v>1447</v>
      </c>
      <c r="C1449" s="2">
        <v>1</v>
      </c>
      <c r="D1449" s="2">
        <v>949</v>
      </c>
      <c r="E1449" s="4" t="s">
        <v>1296</v>
      </c>
      <c r="F1449" s="4" t="s">
        <v>1296</v>
      </c>
    </row>
    <row r="1450" spans="2:7" x14ac:dyDescent="0.25">
      <c r="B1450" s="1">
        <f t="shared" si="22"/>
        <v>1448</v>
      </c>
      <c r="C1450" s="1">
        <v>1</v>
      </c>
      <c r="D1450" s="1">
        <v>950</v>
      </c>
      <c r="E1450" s="3" t="s">
        <v>1295</v>
      </c>
      <c r="F1450" s="3" t="s">
        <v>1295</v>
      </c>
    </row>
    <row r="1451" spans="2:7" x14ac:dyDescent="0.25">
      <c r="B1451" s="2">
        <f t="shared" si="22"/>
        <v>1449</v>
      </c>
      <c r="C1451" s="2">
        <v>1</v>
      </c>
      <c r="D1451" s="2">
        <v>951</v>
      </c>
      <c r="E1451" s="4" t="s">
        <v>1294</v>
      </c>
      <c r="F1451" s="4" t="s">
        <v>1294</v>
      </c>
    </row>
    <row r="1452" spans="2:7" x14ac:dyDescent="0.25">
      <c r="B1452" s="1">
        <f t="shared" si="22"/>
        <v>1450</v>
      </c>
      <c r="C1452" s="1">
        <v>2</v>
      </c>
      <c r="D1452" s="1">
        <v>264</v>
      </c>
      <c r="E1452" s="3" t="s">
        <v>768</v>
      </c>
      <c r="F1452" s="3" t="s">
        <v>3130</v>
      </c>
      <c r="G1452" t="s">
        <v>2999</v>
      </c>
    </row>
    <row r="1453" spans="2:7" x14ac:dyDescent="0.25">
      <c r="B1453" s="2">
        <f t="shared" si="22"/>
        <v>1451</v>
      </c>
      <c r="C1453" s="2">
        <v>1</v>
      </c>
      <c r="D1453" s="2">
        <v>952</v>
      </c>
      <c r="E1453" s="4" t="s">
        <v>1293</v>
      </c>
      <c r="F1453" s="3" t="s">
        <v>1293</v>
      </c>
    </row>
    <row r="1454" spans="2:7" x14ac:dyDescent="0.25">
      <c r="B1454" s="1">
        <f t="shared" si="22"/>
        <v>1452</v>
      </c>
      <c r="C1454" s="1">
        <v>2</v>
      </c>
      <c r="D1454" s="1">
        <v>265</v>
      </c>
      <c r="E1454" s="3" t="s">
        <v>767</v>
      </c>
      <c r="F1454" s="3" t="s">
        <v>1293</v>
      </c>
      <c r="G1454" t="s">
        <v>2996</v>
      </c>
    </row>
    <row r="1455" spans="2:7" x14ac:dyDescent="0.25">
      <c r="B1455" s="2">
        <f t="shared" si="22"/>
        <v>1453</v>
      </c>
      <c r="C1455" s="2">
        <v>1</v>
      </c>
      <c r="D1455" s="2">
        <v>953</v>
      </c>
      <c r="E1455" s="4" t="s">
        <v>1292</v>
      </c>
      <c r="F1455" s="4" t="s">
        <v>1292</v>
      </c>
    </row>
    <row r="1456" spans="2:7" x14ac:dyDescent="0.25">
      <c r="B1456" s="1">
        <f t="shared" si="22"/>
        <v>1454</v>
      </c>
      <c r="C1456" s="1">
        <v>1</v>
      </c>
      <c r="D1456" s="1">
        <v>954</v>
      </c>
      <c r="E1456" s="3" t="s">
        <v>1291</v>
      </c>
      <c r="F1456" s="3" t="s">
        <v>1291</v>
      </c>
    </row>
    <row r="1457" spans="2:7" x14ac:dyDescent="0.25">
      <c r="B1457" s="2">
        <f t="shared" si="22"/>
        <v>1455</v>
      </c>
      <c r="C1457" s="2">
        <v>1</v>
      </c>
      <c r="D1457" s="2">
        <v>955</v>
      </c>
      <c r="E1457" s="4" t="s">
        <v>1290</v>
      </c>
      <c r="F1457" s="4" t="s">
        <v>1290</v>
      </c>
    </row>
    <row r="1458" spans="2:7" x14ac:dyDescent="0.25">
      <c r="B1458" s="1">
        <f t="shared" si="22"/>
        <v>1456</v>
      </c>
      <c r="C1458" s="1">
        <v>2</v>
      </c>
      <c r="D1458" s="1">
        <v>266</v>
      </c>
      <c r="E1458" s="3" t="s">
        <v>766</v>
      </c>
      <c r="F1458" s="3" t="s">
        <v>1290</v>
      </c>
      <c r="G1458" t="s">
        <v>3131</v>
      </c>
    </row>
    <row r="1459" spans="2:7" ht="30" x14ac:dyDescent="0.25">
      <c r="B1459" s="2">
        <f t="shared" si="22"/>
        <v>1457</v>
      </c>
      <c r="C1459" s="2">
        <v>1</v>
      </c>
      <c r="D1459" s="2">
        <v>956</v>
      </c>
      <c r="E1459" s="4" t="s">
        <v>1289</v>
      </c>
      <c r="F1459" s="3" t="s">
        <v>1289</v>
      </c>
    </row>
    <row r="1460" spans="2:7" x14ac:dyDescent="0.25">
      <c r="B1460" s="1">
        <f t="shared" si="22"/>
        <v>1458</v>
      </c>
      <c r="C1460" s="1">
        <v>1</v>
      </c>
      <c r="D1460" s="2">
        <v>957</v>
      </c>
      <c r="E1460" s="4" t="s">
        <v>1288</v>
      </c>
      <c r="F1460" s="4" t="s">
        <v>1288</v>
      </c>
    </row>
    <row r="1461" spans="2:7" x14ac:dyDescent="0.25">
      <c r="B1461" s="2">
        <f t="shared" si="22"/>
        <v>1459</v>
      </c>
      <c r="C1461" s="2">
        <v>3</v>
      </c>
      <c r="D1461" s="2">
        <v>89</v>
      </c>
      <c r="E1461" s="4" t="s">
        <v>635</v>
      </c>
      <c r="F1461" s="3" t="s">
        <v>635</v>
      </c>
    </row>
    <row r="1462" spans="2:7" x14ac:dyDescent="0.25">
      <c r="B1462" s="1">
        <f t="shared" si="22"/>
        <v>1460</v>
      </c>
      <c r="C1462" s="1">
        <v>3</v>
      </c>
      <c r="D1462" s="1">
        <v>90</v>
      </c>
      <c r="E1462" s="3" t="s">
        <v>634</v>
      </c>
      <c r="F1462" s="3" t="s">
        <v>634</v>
      </c>
    </row>
    <row r="1463" spans="2:7" x14ac:dyDescent="0.25">
      <c r="B1463" s="2">
        <f t="shared" si="22"/>
        <v>1461</v>
      </c>
      <c r="C1463" s="2">
        <v>1</v>
      </c>
      <c r="D1463" s="2">
        <v>958</v>
      </c>
      <c r="E1463" s="4" t="s">
        <v>1287</v>
      </c>
      <c r="F1463" s="3" t="s">
        <v>1287</v>
      </c>
    </row>
    <row r="1464" spans="2:7" x14ac:dyDescent="0.25">
      <c r="B1464" s="1">
        <f t="shared" si="22"/>
        <v>1462</v>
      </c>
      <c r="C1464" s="1">
        <v>2</v>
      </c>
      <c r="D1464" s="1">
        <v>267</v>
      </c>
      <c r="E1464" s="3" t="s">
        <v>765</v>
      </c>
      <c r="F1464" s="3" t="s">
        <v>3132</v>
      </c>
      <c r="G1464" t="s">
        <v>2821</v>
      </c>
    </row>
    <row r="1465" spans="2:7" x14ac:dyDescent="0.25">
      <c r="B1465" s="2">
        <f t="shared" si="22"/>
        <v>1463</v>
      </c>
      <c r="C1465" s="2">
        <v>1</v>
      </c>
      <c r="D1465" s="2">
        <v>959</v>
      </c>
      <c r="E1465" s="4" t="s">
        <v>1286</v>
      </c>
      <c r="F1465" s="4" t="s">
        <v>1286</v>
      </c>
    </row>
    <row r="1466" spans="2:7" ht="45" x14ac:dyDescent="0.25">
      <c r="B1466" s="1">
        <f t="shared" si="22"/>
        <v>1464</v>
      </c>
      <c r="C1466" s="1">
        <v>1</v>
      </c>
      <c r="D1466" s="1" t="s">
        <v>1285</v>
      </c>
      <c r="E1466" s="3" t="s">
        <v>1284</v>
      </c>
      <c r="F1466" s="3" t="s">
        <v>1284</v>
      </c>
    </row>
    <row r="1467" spans="2:7" x14ac:dyDescent="0.25">
      <c r="B1467" s="2">
        <f t="shared" si="22"/>
        <v>1465</v>
      </c>
      <c r="C1467" s="2">
        <v>1</v>
      </c>
      <c r="D1467" s="2">
        <v>960</v>
      </c>
      <c r="E1467" s="4" t="s">
        <v>1283</v>
      </c>
      <c r="F1467" s="4" t="s">
        <v>1283</v>
      </c>
    </row>
    <row r="1468" spans="2:7" x14ac:dyDescent="0.25">
      <c r="B1468" s="1">
        <f t="shared" si="22"/>
        <v>1466</v>
      </c>
      <c r="C1468" s="1">
        <v>1</v>
      </c>
      <c r="D1468" s="1">
        <v>961</v>
      </c>
      <c r="E1468" s="3" t="s">
        <v>1282</v>
      </c>
      <c r="F1468" s="3" t="s">
        <v>1282</v>
      </c>
    </row>
    <row r="1469" spans="2:7" x14ac:dyDescent="0.25">
      <c r="B1469" s="2">
        <f t="shared" si="22"/>
        <v>1467</v>
      </c>
      <c r="C1469" s="2">
        <v>1</v>
      </c>
      <c r="D1469" s="2">
        <v>962</v>
      </c>
      <c r="E1469" s="4" t="s">
        <v>1281</v>
      </c>
      <c r="F1469" s="4" t="s">
        <v>1281</v>
      </c>
    </row>
    <row r="1470" spans="2:7" x14ac:dyDescent="0.25">
      <c r="B1470" s="1">
        <f t="shared" si="22"/>
        <v>1468</v>
      </c>
      <c r="C1470" s="1">
        <v>1</v>
      </c>
      <c r="D1470" s="1">
        <v>963</v>
      </c>
      <c r="E1470" s="3" t="s">
        <v>1280</v>
      </c>
      <c r="F1470" s="3" t="s">
        <v>1280</v>
      </c>
    </row>
    <row r="1471" spans="2:7" x14ac:dyDescent="0.25">
      <c r="B1471" s="2">
        <f t="shared" si="22"/>
        <v>1469</v>
      </c>
      <c r="C1471" s="2">
        <v>1</v>
      </c>
      <c r="D1471" s="2">
        <v>964</v>
      </c>
      <c r="E1471" s="4" t="s">
        <v>1279</v>
      </c>
      <c r="F1471" s="4" t="s">
        <v>1279</v>
      </c>
    </row>
    <row r="1472" spans="2:7" ht="30" x14ac:dyDescent="0.25">
      <c r="B1472" s="1">
        <f t="shared" si="22"/>
        <v>1470</v>
      </c>
      <c r="C1472" s="1">
        <v>1</v>
      </c>
      <c r="D1472" s="1">
        <v>965</v>
      </c>
      <c r="E1472" s="3" t="s">
        <v>1278</v>
      </c>
      <c r="F1472" s="3" t="s">
        <v>1278</v>
      </c>
    </row>
    <row r="1473" spans="2:6" x14ac:dyDescent="0.25">
      <c r="B1473" s="2">
        <f t="shared" si="22"/>
        <v>1471</v>
      </c>
      <c r="C1473" s="2">
        <v>1</v>
      </c>
      <c r="D1473" s="2">
        <v>966</v>
      </c>
      <c r="E1473" s="4" t="s">
        <v>1277</v>
      </c>
      <c r="F1473" s="4" t="s">
        <v>1277</v>
      </c>
    </row>
    <row r="1474" spans="2:6" x14ac:dyDescent="0.25">
      <c r="B1474" s="1">
        <f t="shared" si="22"/>
        <v>1472</v>
      </c>
      <c r="C1474" s="1">
        <v>1</v>
      </c>
      <c r="D1474" s="1">
        <v>967</v>
      </c>
      <c r="E1474" s="3" t="s">
        <v>1276</v>
      </c>
      <c r="F1474" s="3" t="s">
        <v>1276</v>
      </c>
    </row>
    <row r="1475" spans="2:6" x14ac:dyDescent="0.25">
      <c r="B1475" s="2">
        <f t="shared" si="22"/>
        <v>1473</v>
      </c>
      <c r="C1475" s="2">
        <v>3</v>
      </c>
      <c r="D1475" s="2">
        <v>91</v>
      </c>
      <c r="E1475" s="4" t="s">
        <v>633</v>
      </c>
      <c r="F1475" s="3" t="s">
        <v>633</v>
      </c>
    </row>
    <row r="1476" spans="2:6" ht="30" x14ac:dyDescent="0.25">
      <c r="B1476" s="1">
        <f t="shared" si="22"/>
        <v>1474</v>
      </c>
      <c r="C1476" s="1">
        <v>1</v>
      </c>
      <c r="D1476" s="2" t="s">
        <v>1275</v>
      </c>
      <c r="E1476" s="4" t="s">
        <v>1274</v>
      </c>
      <c r="F1476" s="4" t="s">
        <v>1274</v>
      </c>
    </row>
    <row r="1477" spans="2:6" x14ac:dyDescent="0.25">
      <c r="B1477" s="2">
        <f t="shared" ref="B1477:B1540" si="23">+B1476+1</f>
        <v>1475</v>
      </c>
      <c r="C1477" s="2">
        <v>1</v>
      </c>
      <c r="D1477" s="2">
        <v>968</v>
      </c>
      <c r="E1477" s="4" t="s">
        <v>1273</v>
      </c>
      <c r="F1477" s="3" t="s">
        <v>1273</v>
      </c>
    </row>
    <row r="1478" spans="2:6" x14ac:dyDescent="0.25">
      <c r="B1478" s="1">
        <f t="shared" si="23"/>
        <v>1476</v>
      </c>
      <c r="C1478" s="1">
        <v>1</v>
      </c>
      <c r="D1478" s="2">
        <v>969</v>
      </c>
      <c r="E1478" s="4" t="s">
        <v>1272</v>
      </c>
      <c r="F1478" s="4" t="s">
        <v>1272</v>
      </c>
    </row>
    <row r="1479" spans="2:6" x14ac:dyDescent="0.25">
      <c r="B1479" s="2">
        <f t="shared" si="23"/>
        <v>1477</v>
      </c>
      <c r="C1479" s="2">
        <v>1</v>
      </c>
      <c r="D1479" s="2">
        <v>970</v>
      </c>
      <c r="E1479" s="4" t="s">
        <v>1271</v>
      </c>
      <c r="F1479" s="3" t="s">
        <v>1271</v>
      </c>
    </row>
    <row r="1480" spans="2:6" x14ac:dyDescent="0.25">
      <c r="B1480" s="1">
        <f t="shared" si="23"/>
        <v>1478</v>
      </c>
      <c r="C1480" s="1">
        <v>1</v>
      </c>
      <c r="D1480" s="2">
        <v>971</v>
      </c>
      <c r="E1480" s="4" t="s">
        <v>1270</v>
      </c>
      <c r="F1480" s="4" t="s">
        <v>1270</v>
      </c>
    </row>
    <row r="1481" spans="2:6" x14ac:dyDescent="0.25">
      <c r="B1481" s="2">
        <f t="shared" si="23"/>
        <v>1479</v>
      </c>
      <c r="C1481" s="2">
        <v>1</v>
      </c>
      <c r="D1481" s="2">
        <v>972</v>
      </c>
      <c r="E1481" s="4" t="s">
        <v>1269</v>
      </c>
      <c r="F1481" s="3" t="s">
        <v>1269</v>
      </c>
    </row>
    <row r="1482" spans="2:6" x14ac:dyDescent="0.25">
      <c r="B1482" s="1">
        <f t="shared" si="23"/>
        <v>1480</v>
      </c>
      <c r="C1482" s="1">
        <v>1</v>
      </c>
      <c r="D1482" s="2">
        <v>973</v>
      </c>
      <c r="E1482" s="4" t="s">
        <v>1268</v>
      </c>
      <c r="F1482" s="4" t="s">
        <v>1268</v>
      </c>
    </row>
    <row r="1483" spans="2:6" ht="30" x14ac:dyDescent="0.25">
      <c r="B1483" s="2">
        <f t="shared" si="23"/>
        <v>1481</v>
      </c>
      <c r="C1483" s="2">
        <v>1</v>
      </c>
      <c r="D1483" s="2" t="s">
        <v>1267</v>
      </c>
      <c r="E1483" s="4" t="s">
        <v>1266</v>
      </c>
      <c r="F1483" s="3" t="s">
        <v>1266</v>
      </c>
    </row>
    <row r="1484" spans="2:6" x14ac:dyDescent="0.25">
      <c r="B1484" s="1">
        <f t="shared" si="23"/>
        <v>1482</v>
      </c>
      <c r="C1484" s="1">
        <v>1</v>
      </c>
      <c r="D1484" s="2">
        <v>974</v>
      </c>
      <c r="E1484" s="4" t="s">
        <v>1265</v>
      </c>
      <c r="F1484" s="4" t="s">
        <v>1265</v>
      </c>
    </row>
    <row r="1485" spans="2:6" x14ac:dyDescent="0.25">
      <c r="B1485" s="2">
        <f t="shared" si="23"/>
        <v>1483</v>
      </c>
      <c r="C1485" s="2">
        <v>1</v>
      </c>
      <c r="D1485" s="2">
        <v>975</v>
      </c>
      <c r="E1485" s="4" t="s">
        <v>1264</v>
      </c>
      <c r="F1485" s="3" t="s">
        <v>1264</v>
      </c>
    </row>
    <row r="1486" spans="2:6" ht="30" x14ac:dyDescent="0.25">
      <c r="B1486" s="1">
        <f t="shared" si="23"/>
        <v>1484</v>
      </c>
      <c r="C1486" s="1">
        <v>1</v>
      </c>
      <c r="D1486" s="2" t="s">
        <v>1263</v>
      </c>
      <c r="E1486" s="4" t="s">
        <v>1262</v>
      </c>
      <c r="F1486" s="4" t="s">
        <v>1262</v>
      </c>
    </row>
    <row r="1487" spans="2:6" x14ac:dyDescent="0.25">
      <c r="B1487" s="2">
        <f t="shared" si="23"/>
        <v>1485</v>
      </c>
      <c r="C1487" s="2">
        <v>1</v>
      </c>
      <c r="D1487" s="2">
        <v>976</v>
      </c>
      <c r="E1487" s="4" t="s">
        <v>1261</v>
      </c>
      <c r="F1487" s="3" t="s">
        <v>1261</v>
      </c>
    </row>
    <row r="1488" spans="2:6" x14ac:dyDescent="0.25">
      <c r="B1488" s="1">
        <f t="shared" si="23"/>
        <v>1486</v>
      </c>
      <c r="C1488" s="1">
        <v>1</v>
      </c>
      <c r="D1488" s="2">
        <v>977</v>
      </c>
      <c r="E1488" s="4" t="s">
        <v>1260</v>
      </c>
      <c r="F1488" s="4" t="s">
        <v>1260</v>
      </c>
    </row>
    <row r="1489" spans="2:7" x14ac:dyDescent="0.25">
      <c r="B1489" s="2">
        <f t="shared" si="23"/>
        <v>1487</v>
      </c>
      <c r="C1489" s="2">
        <v>1</v>
      </c>
      <c r="D1489" s="2">
        <v>978</v>
      </c>
      <c r="E1489" s="4" t="s">
        <v>1259</v>
      </c>
      <c r="F1489" s="3" t="s">
        <v>1259</v>
      </c>
    </row>
    <row r="1490" spans="2:7" x14ac:dyDescent="0.25">
      <c r="B1490" s="1">
        <f t="shared" si="23"/>
        <v>1488</v>
      </c>
      <c r="C1490" s="1">
        <v>1</v>
      </c>
      <c r="D1490" s="2">
        <v>979</v>
      </c>
      <c r="E1490" s="4" t="s">
        <v>1258</v>
      </c>
      <c r="F1490" s="4" t="s">
        <v>1258</v>
      </c>
    </row>
    <row r="1491" spans="2:7" ht="45" x14ac:dyDescent="0.25">
      <c r="B1491" s="2">
        <f t="shared" si="23"/>
        <v>1489</v>
      </c>
      <c r="C1491" s="2">
        <v>1</v>
      </c>
      <c r="D1491" s="2" t="s">
        <v>1257</v>
      </c>
      <c r="E1491" s="4" t="s">
        <v>1256</v>
      </c>
      <c r="F1491" s="3" t="s">
        <v>1256</v>
      </c>
    </row>
    <row r="1492" spans="2:7" x14ac:dyDescent="0.25">
      <c r="B1492" s="1">
        <f t="shared" si="23"/>
        <v>1490</v>
      </c>
      <c r="C1492" s="1">
        <v>1</v>
      </c>
      <c r="D1492" s="2">
        <v>980</v>
      </c>
      <c r="E1492" s="4" t="s">
        <v>1255</v>
      </c>
      <c r="F1492" s="4" t="s">
        <v>1255</v>
      </c>
    </row>
    <row r="1493" spans="2:7" x14ac:dyDescent="0.25">
      <c r="B1493" s="2">
        <f t="shared" si="23"/>
        <v>1491</v>
      </c>
      <c r="C1493" s="2">
        <v>3</v>
      </c>
      <c r="D1493" s="2">
        <v>92</v>
      </c>
      <c r="E1493" s="4" t="s">
        <v>632</v>
      </c>
      <c r="F1493" s="3" t="s">
        <v>632</v>
      </c>
    </row>
    <row r="1494" spans="2:7" x14ac:dyDescent="0.25">
      <c r="B1494" s="1">
        <f t="shared" si="23"/>
        <v>1492</v>
      </c>
      <c r="C1494" s="1">
        <v>2</v>
      </c>
      <c r="D1494" s="1">
        <v>268</v>
      </c>
      <c r="E1494" s="3" t="s">
        <v>764</v>
      </c>
      <c r="F1494" s="3" t="s">
        <v>3133</v>
      </c>
      <c r="G1494" t="s">
        <v>3134</v>
      </c>
    </row>
    <row r="1495" spans="2:7" x14ac:dyDescent="0.25">
      <c r="B1495" s="2">
        <f t="shared" si="23"/>
        <v>1493</v>
      </c>
      <c r="C1495" s="2">
        <v>1</v>
      </c>
      <c r="D1495" s="2">
        <v>981</v>
      </c>
      <c r="E1495" s="4" t="s">
        <v>1254</v>
      </c>
      <c r="F1495" s="3" t="s">
        <v>1254</v>
      </c>
    </row>
    <row r="1496" spans="2:7" ht="30" x14ac:dyDescent="0.25">
      <c r="B1496" s="1">
        <f t="shared" si="23"/>
        <v>1494</v>
      </c>
      <c r="C1496" s="1">
        <v>1</v>
      </c>
      <c r="D1496" s="2" t="s">
        <v>1253</v>
      </c>
      <c r="E1496" s="4" t="s">
        <v>1252</v>
      </c>
      <c r="F1496" s="4" t="s">
        <v>1252</v>
      </c>
    </row>
    <row r="1497" spans="2:7" x14ac:dyDescent="0.25">
      <c r="B1497" s="2">
        <f t="shared" si="23"/>
        <v>1495</v>
      </c>
      <c r="C1497" s="2">
        <v>1</v>
      </c>
      <c r="D1497" s="2">
        <v>982</v>
      </c>
      <c r="E1497" s="4" t="s">
        <v>1251</v>
      </c>
      <c r="F1497" s="3" t="s">
        <v>1251</v>
      </c>
    </row>
    <row r="1498" spans="2:7" x14ac:dyDescent="0.25">
      <c r="B1498" s="1">
        <f t="shared" si="23"/>
        <v>1496</v>
      </c>
      <c r="C1498" s="1">
        <v>1</v>
      </c>
      <c r="D1498" s="2">
        <v>983</v>
      </c>
      <c r="E1498" s="4" t="s">
        <v>1250</v>
      </c>
      <c r="F1498" s="4" t="s">
        <v>1250</v>
      </c>
    </row>
    <row r="1499" spans="2:7" x14ac:dyDescent="0.25">
      <c r="B1499" s="2">
        <f t="shared" si="23"/>
        <v>1497</v>
      </c>
      <c r="C1499" s="2">
        <v>1</v>
      </c>
      <c r="D1499" s="2">
        <v>984</v>
      </c>
      <c r="E1499" s="4" t="s">
        <v>1249</v>
      </c>
      <c r="F1499" s="3" t="s">
        <v>1249</v>
      </c>
    </row>
    <row r="1500" spans="2:7" x14ac:dyDescent="0.25">
      <c r="B1500" s="1">
        <f t="shared" si="23"/>
        <v>1498</v>
      </c>
      <c r="C1500" s="1">
        <v>1</v>
      </c>
      <c r="D1500" s="2">
        <v>985</v>
      </c>
      <c r="E1500" s="4" t="s">
        <v>1248</v>
      </c>
      <c r="F1500" s="4" t="s">
        <v>1248</v>
      </c>
    </row>
    <row r="1501" spans="2:7" x14ac:dyDescent="0.25">
      <c r="B1501" s="2">
        <f t="shared" si="23"/>
        <v>1499</v>
      </c>
      <c r="C1501" s="2">
        <v>1</v>
      </c>
      <c r="D1501" s="2">
        <v>986</v>
      </c>
      <c r="E1501" s="4" t="s">
        <v>1247</v>
      </c>
      <c r="F1501" s="3" t="s">
        <v>1247</v>
      </c>
    </row>
    <row r="1502" spans="2:7" x14ac:dyDescent="0.25">
      <c r="B1502" s="1">
        <f t="shared" si="23"/>
        <v>1500</v>
      </c>
      <c r="C1502" s="1">
        <v>1</v>
      </c>
      <c r="D1502" s="2">
        <v>987</v>
      </c>
      <c r="E1502" s="4" t="s">
        <v>1246</v>
      </c>
      <c r="F1502" s="4" t="s">
        <v>1246</v>
      </c>
    </row>
    <row r="1503" spans="2:7" x14ac:dyDescent="0.25">
      <c r="B1503" s="2">
        <f t="shared" si="23"/>
        <v>1501</v>
      </c>
      <c r="C1503" s="2">
        <v>1</v>
      </c>
      <c r="D1503" s="2">
        <v>988</v>
      </c>
      <c r="E1503" s="4" t="s">
        <v>1245</v>
      </c>
      <c r="F1503" s="3" t="s">
        <v>1245</v>
      </c>
    </row>
    <row r="1504" spans="2:7" ht="30" x14ac:dyDescent="0.25">
      <c r="B1504" s="1">
        <f t="shared" si="23"/>
        <v>1502</v>
      </c>
      <c r="C1504" s="1">
        <v>1</v>
      </c>
      <c r="D1504" s="2" t="s">
        <v>1244</v>
      </c>
      <c r="E1504" s="4" t="s">
        <v>1243</v>
      </c>
      <c r="F1504" s="4" t="s">
        <v>1243</v>
      </c>
    </row>
    <row r="1505" spans="2:6" x14ac:dyDescent="0.25">
      <c r="B1505" s="2">
        <f t="shared" si="23"/>
        <v>1503</v>
      </c>
      <c r="C1505" s="2">
        <v>1</v>
      </c>
      <c r="D1505" s="2">
        <v>989</v>
      </c>
      <c r="E1505" s="4" t="s">
        <v>1242</v>
      </c>
      <c r="F1505" s="3" t="s">
        <v>1242</v>
      </c>
    </row>
    <row r="1506" spans="2:6" x14ac:dyDescent="0.25">
      <c r="B1506" s="1">
        <f t="shared" si="23"/>
        <v>1504</v>
      </c>
      <c r="C1506" s="1">
        <v>1</v>
      </c>
      <c r="D1506" s="2">
        <v>990</v>
      </c>
      <c r="E1506" s="4" t="s">
        <v>1241</v>
      </c>
      <c r="F1506" s="4" t="s">
        <v>1241</v>
      </c>
    </row>
    <row r="1507" spans="2:6" x14ac:dyDescent="0.25">
      <c r="B1507" s="2">
        <f t="shared" si="23"/>
        <v>1505</v>
      </c>
      <c r="C1507" s="2">
        <v>1</v>
      </c>
      <c r="D1507" s="2">
        <v>991</v>
      </c>
      <c r="E1507" s="4" t="s">
        <v>1240</v>
      </c>
      <c r="F1507" s="3" t="s">
        <v>1240</v>
      </c>
    </row>
    <row r="1508" spans="2:6" x14ac:dyDescent="0.25">
      <c r="B1508" s="1">
        <f t="shared" si="23"/>
        <v>1506</v>
      </c>
      <c r="C1508" s="1">
        <v>1</v>
      </c>
      <c r="D1508" s="2">
        <v>992</v>
      </c>
      <c r="E1508" s="4" t="s">
        <v>1239</v>
      </c>
      <c r="F1508" s="4" t="s">
        <v>1239</v>
      </c>
    </row>
    <row r="1509" spans="2:6" ht="45" x14ac:dyDescent="0.25">
      <c r="B1509" s="2">
        <f t="shared" si="23"/>
        <v>1507</v>
      </c>
      <c r="C1509" s="2">
        <v>1</v>
      </c>
      <c r="D1509" s="2">
        <v>993</v>
      </c>
      <c r="E1509" s="4" t="s">
        <v>1238</v>
      </c>
      <c r="F1509" s="3" t="s">
        <v>1238</v>
      </c>
    </row>
    <row r="1510" spans="2:6" x14ac:dyDescent="0.25">
      <c r="B1510" s="1">
        <f t="shared" si="23"/>
        <v>1508</v>
      </c>
      <c r="C1510" s="1">
        <v>1</v>
      </c>
      <c r="D1510" s="2">
        <v>994</v>
      </c>
      <c r="E1510" s="4" t="s">
        <v>1237</v>
      </c>
      <c r="F1510" s="4" t="s">
        <v>1237</v>
      </c>
    </row>
    <row r="1511" spans="2:6" ht="30" x14ac:dyDescent="0.25">
      <c r="B1511" s="2">
        <f t="shared" si="23"/>
        <v>1509</v>
      </c>
      <c r="C1511" s="2">
        <v>1</v>
      </c>
      <c r="D1511" s="2" t="s">
        <v>1236</v>
      </c>
      <c r="E1511" s="4" t="s">
        <v>1235</v>
      </c>
      <c r="F1511" s="3" t="s">
        <v>1235</v>
      </c>
    </row>
    <row r="1512" spans="2:6" x14ac:dyDescent="0.25">
      <c r="B1512" s="1">
        <f t="shared" si="23"/>
        <v>1510</v>
      </c>
      <c r="C1512" s="1">
        <v>1</v>
      </c>
      <c r="D1512" s="2">
        <v>995</v>
      </c>
      <c r="E1512" s="4" t="s">
        <v>1234</v>
      </c>
      <c r="F1512" s="4" t="s">
        <v>1234</v>
      </c>
    </row>
    <row r="1513" spans="2:6" x14ac:dyDescent="0.25">
      <c r="B1513" s="2">
        <f t="shared" si="23"/>
        <v>1511</v>
      </c>
      <c r="C1513" s="2">
        <v>1</v>
      </c>
      <c r="D1513" s="2">
        <v>996</v>
      </c>
      <c r="E1513" s="4" t="s">
        <v>1233</v>
      </c>
      <c r="F1513" s="3" t="s">
        <v>1233</v>
      </c>
    </row>
    <row r="1514" spans="2:6" ht="30" x14ac:dyDescent="0.25">
      <c r="B1514" s="1">
        <f t="shared" si="23"/>
        <v>1512</v>
      </c>
      <c r="C1514" s="1">
        <v>3</v>
      </c>
      <c r="D1514" s="1" t="s">
        <v>631</v>
      </c>
      <c r="E1514" s="3" t="s">
        <v>630</v>
      </c>
      <c r="F1514" s="3" t="s">
        <v>630</v>
      </c>
    </row>
    <row r="1515" spans="2:6" x14ac:dyDescent="0.25">
      <c r="B1515" s="2">
        <f t="shared" si="23"/>
        <v>1513</v>
      </c>
      <c r="C1515" s="2">
        <v>1</v>
      </c>
      <c r="D1515" s="2">
        <v>997</v>
      </c>
      <c r="E1515" s="4" t="s">
        <v>1232</v>
      </c>
      <c r="F1515" s="4" t="s">
        <v>1232</v>
      </c>
    </row>
    <row r="1516" spans="2:6" x14ac:dyDescent="0.25">
      <c r="B1516" s="1">
        <f t="shared" si="23"/>
        <v>1514</v>
      </c>
      <c r="C1516" s="1">
        <v>1</v>
      </c>
      <c r="D1516" s="1">
        <v>998</v>
      </c>
      <c r="E1516" s="3" t="s">
        <v>1231</v>
      </c>
      <c r="F1516" s="3" t="s">
        <v>1231</v>
      </c>
    </row>
    <row r="1517" spans="2:6" x14ac:dyDescent="0.25">
      <c r="B1517" s="2">
        <f t="shared" si="23"/>
        <v>1515</v>
      </c>
      <c r="C1517" s="2">
        <v>1</v>
      </c>
      <c r="D1517" s="2">
        <v>999</v>
      </c>
      <c r="E1517" s="4" t="s">
        <v>1230</v>
      </c>
      <c r="F1517" s="4" t="s">
        <v>1230</v>
      </c>
    </row>
    <row r="1518" spans="2:6" x14ac:dyDescent="0.25">
      <c r="B1518" s="1">
        <f t="shared" si="23"/>
        <v>1516</v>
      </c>
      <c r="C1518" s="1">
        <v>1</v>
      </c>
      <c r="D1518" s="1">
        <v>1000</v>
      </c>
      <c r="E1518" s="3" t="s">
        <v>1229</v>
      </c>
      <c r="F1518" s="3" t="s">
        <v>1229</v>
      </c>
    </row>
    <row r="1519" spans="2:6" ht="30" x14ac:dyDescent="0.25">
      <c r="B1519" s="2">
        <f t="shared" si="23"/>
        <v>1517</v>
      </c>
      <c r="C1519" s="2">
        <v>1</v>
      </c>
      <c r="D1519" s="2" t="s">
        <v>1228</v>
      </c>
      <c r="E1519" s="4" t="s">
        <v>1227</v>
      </c>
      <c r="F1519" s="4" t="s">
        <v>1227</v>
      </c>
    </row>
    <row r="1520" spans="2:6" x14ac:dyDescent="0.25">
      <c r="B1520" s="1">
        <f t="shared" si="23"/>
        <v>1518</v>
      </c>
      <c r="C1520" s="1">
        <v>1</v>
      </c>
      <c r="D1520" s="1">
        <v>1001</v>
      </c>
      <c r="E1520" s="3" t="s">
        <v>1226</v>
      </c>
      <c r="F1520" s="3" t="s">
        <v>1226</v>
      </c>
    </row>
    <row r="1521" spans="2:6" x14ac:dyDescent="0.25">
      <c r="B1521" s="2">
        <f t="shared" si="23"/>
        <v>1519</v>
      </c>
      <c r="C1521" s="2">
        <v>1</v>
      </c>
      <c r="D1521" s="2">
        <v>1002</v>
      </c>
      <c r="E1521" s="4" t="s">
        <v>1225</v>
      </c>
      <c r="F1521" s="4" t="s">
        <v>1225</v>
      </c>
    </row>
    <row r="1522" spans="2:6" x14ac:dyDescent="0.25">
      <c r="B1522" s="1">
        <f t="shared" si="23"/>
        <v>1520</v>
      </c>
      <c r="C1522" s="1">
        <v>1</v>
      </c>
      <c r="D1522" s="1">
        <v>1003</v>
      </c>
      <c r="E1522" s="3" t="s">
        <v>1224</v>
      </c>
      <c r="F1522" s="3" t="s">
        <v>1224</v>
      </c>
    </row>
    <row r="1523" spans="2:6" x14ac:dyDescent="0.25">
      <c r="B1523" s="2">
        <f t="shared" si="23"/>
        <v>1521</v>
      </c>
      <c r="C1523" s="2">
        <v>1</v>
      </c>
      <c r="D1523" s="2">
        <v>1004</v>
      </c>
      <c r="E1523" s="4" t="s">
        <v>1223</v>
      </c>
      <c r="F1523" s="4" t="s">
        <v>1223</v>
      </c>
    </row>
    <row r="1524" spans="2:6" x14ac:dyDescent="0.25">
      <c r="B1524" s="1">
        <f t="shared" si="23"/>
        <v>1522</v>
      </c>
      <c r="C1524" s="1">
        <v>1</v>
      </c>
      <c r="D1524" s="1">
        <v>1005</v>
      </c>
      <c r="E1524" s="3" t="s">
        <v>1222</v>
      </c>
      <c r="F1524" s="3" t="s">
        <v>1222</v>
      </c>
    </row>
    <row r="1525" spans="2:6" x14ac:dyDescent="0.25">
      <c r="B1525" s="2">
        <f t="shared" si="23"/>
        <v>1523</v>
      </c>
      <c r="C1525" s="2">
        <v>1</v>
      </c>
      <c r="D1525" s="2">
        <v>1006</v>
      </c>
      <c r="E1525" s="4" t="s">
        <v>1221</v>
      </c>
      <c r="F1525" s="4" t="s">
        <v>1221</v>
      </c>
    </row>
    <row r="1526" spans="2:6" x14ac:dyDescent="0.25">
      <c r="B1526" s="1">
        <f t="shared" si="23"/>
        <v>1524</v>
      </c>
      <c r="C1526" s="1">
        <v>1</v>
      </c>
      <c r="D1526" s="1">
        <v>1007</v>
      </c>
      <c r="E1526" s="3" t="s">
        <v>1220</v>
      </c>
      <c r="F1526" s="3" t="s">
        <v>1220</v>
      </c>
    </row>
    <row r="1527" spans="2:6" x14ac:dyDescent="0.25">
      <c r="B1527" s="2">
        <f t="shared" si="23"/>
        <v>1525</v>
      </c>
      <c r="C1527" s="2">
        <v>1</v>
      </c>
      <c r="D1527" s="2">
        <v>1008</v>
      </c>
      <c r="E1527" s="4" t="s">
        <v>1219</v>
      </c>
      <c r="F1527" s="4" t="s">
        <v>1219</v>
      </c>
    </row>
    <row r="1528" spans="2:6" x14ac:dyDescent="0.25">
      <c r="B1528" s="1">
        <f t="shared" si="23"/>
        <v>1526</v>
      </c>
      <c r="C1528" s="1">
        <v>1</v>
      </c>
      <c r="D1528" s="1">
        <v>1009</v>
      </c>
      <c r="E1528" s="3" t="s">
        <v>1218</v>
      </c>
      <c r="F1528" s="3" t="s">
        <v>1218</v>
      </c>
    </row>
    <row r="1529" spans="2:6" x14ac:dyDescent="0.25">
      <c r="B1529" s="2">
        <f t="shared" si="23"/>
        <v>1527</v>
      </c>
      <c r="C1529" s="2">
        <v>1</v>
      </c>
      <c r="D1529" s="2">
        <v>1010</v>
      </c>
      <c r="E1529" s="4" t="s">
        <v>1217</v>
      </c>
      <c r="F1529" s="4" t="s">
        <v>1217</v>
      </c>
    </row>
    <row r="1530" spans="2:6" ht="30" x14ac:dyDescent="0.25">
      <c r="B1530" s="1">
        <f t="shared" si="23"/>
        <v>1528</v>
      </c>
      <c r="C1530" s="1">
        <v>1</v>
      </c>
      <c r="D1530" s="1" t="s">
        <v>1216</v>
      </c>
      <c r="E1530" s="3" t="s">
        <v>1215</v>
      </c>
      <c r="F1530" s="3" t="s">
        <v>1215</v>
      </c>
    </row>
    <row r="1531" spans="2:6" x14ac:dyDescent="0.25">
      <c r="B1531" s="2">
        <f t="shared" si="23"/>
        <v>1529</v>
      </c>
      <c r="C1531" s="2">
        <v>3</v>
      </c>
      <c r="D1531" s="2">
        <v>93</v>
      </c>
      <c r="E1531" s="4" t="s">
        <v>629</v>
      </c>
      <c r="F1531" s="3" t="s">
        <v>629</v>
      </c>
    </row>
    <row r="1532" spans="2:6" x14ac:dyDescent="0.25">
      <c r="B1532" s="1">
        <f t="shared" si="23"/>
        <v>1530</v>
      </c>
      <c r="C1532" s="1">
        <v>1</v>
      </c>
      <c r="D1532" s="2">
        <v>1011</v>
      </c>
      <c r="E1532" s="4" t="s">
        <v>1214</v>
      </c>
      <c r="F1532" s="4" t="s">
        <v>1214</v>
      </c>
    </row>
    <row r="1533" spans="2:6" ht="30" x14ac:dyDescent="0.25">
      <c r="B1533" s="2">
        <f t="shared" si="23"/>
        <v>1531</v>
      </c>
      <c r="C1533" s="2">
        <v>1</v>
      </c>
      <c r="D1533" s="2" t="s">
        <v>1213</v>
      </c>
      <c r="E1533" s="4" t="s">
        <v>1212</v>
      </c>
      <c r="F1533" s="3" t="s">
        <v>1212</v>
      </c>
    </row>
    <row r="1534" spans="2:6" ht="30" x14ac:dyDescent="0.25">
      <c r="B1534" s="1">
        <f t="shared" si="23"/>
        <v>1532</v>
      </c>
      <c r="C1534" s="1">
        <v>3</v>
      </c>
      <c r="D1534" s="1" t="s">
        <v>628</v>
      </c>
      <c r="E1534" s="3" t="s">
        <v>627</v>
      </c>
      <c r="F1534" s="3" t="s">
        <v>627</v>
      </c>
    </row>
    <row r="1535" spans="2:6" x14ac:dyDescent="0.25">
      <c r="B1535" s="2">
        <f t="shared" si="23"/>
        <v>1533</v>
      </c>
      <c r="C1535" s="2">
        <v>1</v>
      </c>
      <c r="D1535" s="2">
        <v>1012</v>
      </c>
      <c r="E1535" s="4" t="s">
        <v>1211</v>
      </c>
      <c r="F1535" s="4" t="s">
        <v>1211</v>
      </c>
    </row>
    <row r="1536" spans="2:6" x14ac:dyDescent="0.25">
      <c r="B1536" s="1">
        <f t="shared" si="23"/>
        <v>1534</v>
      </c>
      <c r="C1536" s="1">
        <v>1</v>
      </c>
      <c r="D1536" s="1">
        <v>1013</v>
      </c>
      <c r="E1536" s="3" t="s">
        <v>1210</v>
      </c>
      <c r="F1536" s="3" t="s">
        <v>1210</v>
      </c>
    </row>
    <row r="1537" spans="2:13" x14ac:dyDescent="0.25">
      <c r="B1537" s="2">
        <f t="shared" si="23"/>
        <v>1535</v>
      </c>
      <c r="C1537" s="2">
        <v>1</v>
      </c>
      <c r="D1537" s="2">
        <v>1014</v>
      </c>
      <c r="E1537" s="4" t="s">
        <v>1209</v>
      </c>
      <c r="F1537" s="4" t="s">
        <v>1209</v>
      </c>
    </row>
    <row r="1538" spans="2:13" x14ac:dyDescent="0.25">
      <c r="B1538" s="1">
        <f t="shared" si="23"/>
        <v>1536</v>
      </c>
      <c r="C1538" s="1">
        <v>1</v>
      </c>
      <c r="D1538" s="1">
        <v>1015</v>
      </c>
      <c r="E1538" s="3" t="s">
        <v>1208</v>
      </c>
      <c r="F1538" s="3" t="s">
        <v>1208</v>
      </c>
    </row>
    <row r="1539" spans="2:13" x14ac:dyDescent="0.25">
      <c r="B1539" s="2">
        <f t="shared" si="23"/>
        <v>1537</v>
      </c>
      <c r="C1539" s="2">
        <v>1</v>
      </c>
      <c r="D1539" s="2">
        <v>1016</v>
      </c>
      <c r="E1539" s="4" t="s">
        <v>1207</v>
      </c>
      <c r="F1539" s="4" t="s">
        <v>1207</v>
      </c>
    </row>
    <row r="1540" spans="2:13" x14ac:dyDescent="0.25">
      <c r="B1540" s="1">
        <f t="shared" si="23"/>
        <v>1538</v>
      </c>
      <c r="C1540" s="1">
        <v>1</v>
      </c>
      <c r="D1540" s="1">
        <v>1017</v>
      </c>
      <c r="E1540" s="3" t="s">
        <v>1206</v>
      </c>
      <c r="F1540" s="3" t="s">
        <v>1206</v>
      </c>
    </row>
    <row r="1541" spans="2:13" ht="60" x14ac:dyDescent="0.25">
      <c r="B1541" s="2">
        <f t="shared" ref="B1541:B1604" si="24">+B1540+1</f>
        <v>1539</v>
      </c>
      <c r="C1541" s="2">
        <v>2</v>
      </c>
      <c r="D1541" s="2">
        <v>269</v>
      </c>
      <c r="E1541" s="4" t="s">
        <v>763</v>
      </c>
      <c r="F1541" s="3" t="s">
        <v>3135</v>
      </c>
      <c r="G1541" t="s">
        <v>3136</v>
      </c>
      <c r="H1541" t="s">
        <v>3137</v>
      </c>
      <c r="I1541" t="s">
        <v>3138</v>
      </c>
      <c r="J1541" t="s">
        <v>3139</v>
      </c>
      <c r="K1541" t="s">
        <v>3140</v>
      </c>
      <c r="L1541">
        <v>3</v>
      </c>
      <c r="M1541" t="s">
        <v>3141</v>
      </c>
    </row>
    <row r="1542" spans="2:13" ht="60" x14ac:dyDescent="0.25">
      <c r="B1542" s="1">
        <f t="shared" si="24"/>
        <v>1540</v>
      </c>
      <c r="C1542" s="1">
        <v>2</v>
      </c>
      <c r="D1542" s="1">
        <v>270</v>
      </c>
      <c r="E1542" s="3" t="s">
        <v>762</v>
      </c>
      <c r="F1542" s="3" t="s">
        <v>3135</v>
      </c>
      <c r="G1542" t="s">
        <v>3136</v>
      </c>
      <c r="H1542" t="s">
        <v>3137</v>
      </c>
      <c r="I1542" t="s">
        <v>3138</v>
      </c>
      <c r="J1542" t="s">
        <v>3142</v>
      </c>
      <c r="K1542" t="s">
        <v>3143</v>
      </c>
    </row>
    <row r="1543" spans="2:13" x14ac:dyDescent="0.25">
      <c r="B1543" s="2">
        <f t="shared" si="24"/>
        <v>1541</v>
      </c>
      <c r="C1543" s="2">
        <v>1</v>
      </c>
      <c r="D1543" s="2">
        <v>1018</v>
      </c>
      <c r="E1543" s="4" t="s">
        <v>1205</v>
      </c>
      <c r="F1543" s="4" t="s">
        <v>1205</v>
      </c>
    </row>
    <row r="1544" spans="2:13" ht="30" x14ac:dyDescent="0.25">
      <c r="B1544" s="1">
        <f t="shared" si="24"/>
        <v>1542</v>
      </c>
      <c r="C1544" s="1">
        <v>1</v>
      </c>
      <c r="D1544" s="1">
        <v>1019</v>
      </c>
      <c r="E1544" s="3" t="s">
        <v>1204</v>
      </c>
      <c r="F1544" s="3" t="s">
        <v>1204</v>
      </c>
    </row>
    <row r="1545" spans="2:13" x14ac:dyDescent="0.25">
      <c r="B1545" s="2">
        <f t="shared" si="24"/>
        <v>1543</v>
      </c>
      <c r="C1545" s="2">
        <v>1</v>
      </c>
      <c r="D1545" s="2">
        <v>1020</v>
      </c>
      <c r="E1545" s="4" t="s">
        <v>1203</v>
      </c>
      <c r="F1545" s="4" t="s">
        <v>1203</v>
      </c>
    </row>
    <row r="1546" spans="2:13" x14ac:dyDescent="0.25">
      <c r="B1546" s="1">
        <f t="shared" si="24"/>
        <v>1544</v>
      </c>
      <c r="C1546" s="1">
        <v>1</v>
      </c>
      <c r="D1546" s="1">
        <v>1021</v>
      </c>
      <c r="E1546" s="3" t="s">
        <v>1202</v>
      </c>
      <c r="F1546" s="3" t="s">
        <v>1202</v>
      </c>
    </row>
    <row r="1547" spans="2:13" x14ac:dyDescent="0.25">
      <c r="B1547" s="2">
        <f t="shared" si="24"/>
        <v>1545</v>
      </c>
      <c r="C1547" s="2">
        <v>1</v>
      </c>
      <c r="D1547" s="2">
        <v>1022</v>
      </c>
      <c r="E1547" s="4" t="s">
        <v>1201</v>
      </c>
      <c r="F1547" s="4" t="s">
        <v>1201</v>
      </c>
    </row>
    <row r="1548" spans="2:13" x14ac:dyDescent="0.25">
      <c r="B1548" s="1">
        <f t="shared" si="24"/>
        <v>1546</v>
      </c>
      <c r="C1548" s="1">
        <v>1</v>
      </c>
      <c r="D1548" s="1">
        <v>1023</v>
      </c>
      <c r="E1548" s="3" t="s">
        <v>1200</v>
      </c>
      <c r="F1548" s="3" t="s">
        <v>1200</v>
      </c>
    </row>
    <row r="1549" spans="2:13" x14ac:dyDescent="0.25">
      <c r="B1549" s="2">
        <f t="shared" si="24"/>
        <v>1547</v>
      </c>
      <c r="C1549" s="2">
        <v>1</v>
      </c>
      <c r="D1549" s="2">
        <v>1024</v>
      </c>
      <c r="E1549" s="4" t="s">
        <v>1199</v>
      </c>
      <c r="F1549" s="4" t="s">
        <v>1199</v>
      </c>
    </row>
    <row r="1550" spans="2:13" ht="30" x14ac:dyDescent="0.25">
      <c r="B1550" s="1">
        <f t="shared" si="24"/>
        <v>1548</v>
      </c>
      <c r="C1550" s="1">
        <v>1</v>
      </c>
      <c r="D1550" s="1" t="s">
        <v>1198</v>
      </c>
      <c r="E1550" s="3" t="s">
        <v>1197</v>
      </c>
      <c r="F1550" s="3" t="s">
        <v>1197</v>
      </c>
    </row>
    <row r="1551" spans="2:13" x14ac:dyDescent="0.25">
      <c r="B1551" s="2">
        <f t="shared" si="24"/>
        <v>1549</v>
      </c>
      <c r="C1551" s="2">
        <v>3</v>
      </c>
      <c r="D1551" s="2">
        <v>94</v>
      </c>
      <c r="E1551" s="4" t="s">
        <v>626</v>
      </c>
      <c r="F1551" s="3" t="s">
        <v>626</v>
      </c>
    </row>
    <row r="1552" spans="2:13" x14ac:dyDescent="0.25">
      <c r="B1552" s="1">
        <f t="shared" si="24"/>
        <v>1550</v>
      </c>
      <c r="C1552" s="1">
        <v>1</v>
      </c>
      <c r="D1552" s="2">
        <v>1025</v>
      </c>
      <c r="E1552" s="4" t="s">
        <v>1196</v>
      </c>
      <c r="F1552" s="4" t="s">
        <v>1196</v>
      </c>
    </row>
    <row r="1553" spans="2:6" x14ac:dyDescent="0.25">
      <c r="B1553" s="2">
        <f t="shared" si="24"/>
        <v>1551</v>
      </c>
      <c r="C1553" s="2">
        <v>1</v>
      </c>
      <c r="D1553" s="2">
        <v>1026</v>
      </c>
      <c r="E1553" s="4" t="s">
        <v>1195</v>
      </c>
      <c r="F1553" s="3" t="s">
        <v>1195</v>
      </c>
    </row>
    <row r="1554" spans="2:6" x14ac:dyDescent="0.25">
      <c r="B1554" s="1">
        <f t="shared" si="24"/>
        <v>1552</v>
      </c>
      <c r="C1554" s="1">
        <v>1</v>
      </c>
      <c r="D1554" s="2">
        <v>1027</v>
      </c>
      <c r="E1554" s="4" t="s">
        <v>1194</v>
      </c>
      <c r="F1554" s="4" t="s">
        <v>1194</v>
      </c>
    </row>
    <row r="1555" spans="2:6" x14ac:dyDescent="0.25">
      <c r="B1555" s="2">
        <f t="shared" si="24"/>
        <v>1553</v>
      </c>
      <c r="C1555" s="2">
        <v>1</v>
      </c>
      <c r="D1555" s="2">
        <v>1028</v>
      </c>
      <c r="E1555" s="4" t="s">
        <v>1193</v>
      </c>
      <c r="F1555" s="3" t="s">
        <v>1193</v>
      </c>
    </row>
    <row r="1556" spans="2:6" x14ac:dyDescent="0.25">
      <c r="B1556" s="1">
        <f t="shared" si="24"/>
        <v>1554</v>
      </c>
      <c r="C1556" s="1">
        <v>1</v>
      </c>
      <c r="D1556" s="2">
        <v>1029</v>
      </c>
      <c r="E1556" s="4" t="s">
        <v>1192</v>
      </c>
      <c r="F1556" s="4" t="s">
        <v>1192</v>
      </c>
    </row>
    <row r="1557" spans="2:6" x14ac:dyDescent="0.25">
      <c r="B1557" s="2">
        <f t="shared" si="24"/>
        <v>1555</v>
      </c>
      <c r="C1557" s="2">
        <v>1</v>
      </c>
      <c r="D1557" s="2">
        <v>1030</v>
      </c>
      <c r="E1557" s="4" t="s">
        <v>1191</v>
      </c>
      <c r="F1557" s="3" t="s">
        <v>1191</v>
      </c>
    </row>
    <row r="1558" spans="2:6" ht="30" x14ac:dyDescent="0.25">
      <c r="B1558" s="1">
        <f t="shared" si="24"/>
        <v>1556</v>
      </c>
      <c r="C1558" s="1">
        <v>3</v>
      </c>
      <c r="D1558" s="1">
        <v>95</v>
      </c>
      <c r="E1558" s="3" t="s">
        <v>625</v>
      </c>
      <c r="F1558" s="3" t="s">
        <v>625</v>
      </c>
    </row>
    <row r="1559" spans="2:6" x14ac:dyDescent="0.25">
      <c r="B1559" s="2">
        <f t="shared" si="24"/>
        <v>1557</v>
      </c>
      <c r="C1559" s="2">
        <v>1</v>
      </c>
      <c r="D1559" s="2">
        <v>1031</v>
      </c>
      <c r="E1559" s="4" t="s">
        <v>1190</v>
      </c>
      <c r="F1559" s="4" t="s">
        <v>1190</v>
      </c>
    </row>
    <row r="1560" spans="2:6" x14ac:dyDescent="0.25">
      <c r="B1560" s="1">
        <f t="shared" si="24"/>
        <v>1558</v>
      </c>
      <c r="C1560" s="1">
        <v>3</v>
      </c>
      <c r="D1560" s="1">
        <v>96</v>
      </c>
      <c r="E1560" s="3" t="s">
        <v>624</v>
      </c>
      <c r="F1560" s="3" t="s">
        <v>624</v>
      </c>
    </row>
    <row r="1561" spans="2:6" x14ac:dyDescent="0.25">
      <c r="B1561" s="2">
        <f t="shared" si="24"/>
        <v>1559</v>
      </c>
      <c r="C1561" s="2">
        <v>1</v>
      </c>
      <c r="D1561" s="2">
        <v>1032</v>
      </c>
      <c r="E1561" s="4" t="s">
        <v>1189</v>
      </c>
      <c r="F1561" s="3" t="s">
        <v>1189</v>
      </c>
    </row>
    <row r="1562" spans="2:6" x14ac:dyDescent="0.25">
      <c r="B1562" s="1">
        <f t="shared" si="24"/>
        <v>1560</v>
      </c>
      <c r="C1562" s="1">
        <v>1</v>
      </c>
      <c r="D1562" s="2">
        <v>1033</v>
      </c>
      <c r="E1562" s="4" t="s">
        <v>1188</v>
      </c>
      <c r="F1562" s="4" t="s">
        <v>1188</v>
      </c>
    </row>
    <row r="1563" spans="2:6" ht="30" x14ac:dyDescent="0.25">
      <c r="B1563" s="2">
        <f t="shared" si="24"/>
        <v>1561</v>
      </c>
      <c r="C1563" s="2">
        <v>1</v>
      </c>
      <c r="D1563" s="2">
        <v>1034</v>
      </c>
      <c r="E1563" s="4" t="s">
        <v>1187</v>
      </c>
      <c r="F1563" s="3" t="s">
        <v>1187</v>
      </c>
    </row>
    <row r="1564" spans="2:6" x14ac:dyDescent="0.25">
      <c r="B1564" s="1">
        <f t="shared" si="24"/>
        <v>1562</v>
      </c>
      <c r="C1564" s="1">
        <v>1</v>
      </c>
      <c r="D1564" s="2">
        <v>1035</v>
      </c>
      <c r="E1564" s="4" t="s">
        <v>1186</v>
      </c>
      <c r="F1564" s="4" t="s">
        <v>1186</v>
      </c>
    </row>
    <row r="1565" spans="2:6" ht="30" x14ac:dyDescent="0.25">
      <c r="B1565" s="2">
        <f t="shared" si="24"/>
        <v>1563</v>
      </c>
      <c r="C1565" s="2">
        <v>1</v>
      </c>
      <c r="D1565" s="2">
        <v>1036</v>
      </c>
      <c r="E1565" s="4" t="s">
        <v>1185</v>
      </c>
      <c r="F1565" s="3" t="s">
        <v>1185</v>
      </c>
    </row>
    <row r="1566" spans="2:6" x14ac:dyDescent="0.25">
      <c r="B1566" s="1">
        <f t="shared" si="24"/>
        <v>1564</v>
      </c>
      <c r="C1566" s="1">
        <v>1</v>
      </c>
      <c r="D1566" s="2">
        <v>1037</v>
      </c>
      <c r="E1566" s="4" t="s">
        <v>1184</v>
      </c>
      <c r="F1566" s="4" t="s">
        <v>1184</v>
      </c>
    </row>
    <row r="1567" spans="2:6" x14ac:dyDescent="0.25">
      <c r="B1567" s="2">
        <f t="shared" si="24"/>
        <v>1565</v>
      </c>
      <c r="C1567" s="2">
        <v>1</v>
      </c>
      <c r="D1567" s="2">
        <v>1038</v>
      </c>
      <c r="E1567" s="4" t="s">
        <v>1183</v>
      </c>
      <c r="F1567" s="3" t="s">
        <v>1183</v>
      </c>
    </row>
    <row r="1568" spans="2:6" x14ac:dyDescent="0.25">
      <c r="B1568" s="1">
        <f t="shared" si="24"/>
        <v>1566</v>
      </c>
      <c r="C1568" s="1">
        <v>1</v>
      </c>
      <c r="D1568" s="2">
        <v>1039</v>
      </c>
      <c r="E1568" s="4" t="s">
        <v>1182</v>
      </c>
      <c r="F1568" s="4" t="s">
        <v>1182</v>
      </c>
    </row>
    <row r="1569" spans="2:7" ht="30" x14ac:dyDescent="0.25">
      <c r="B1569" s="2">
        <f t="shared" si="24"/>
        <v>1567</v>
      </c>
      <c r="C1569" s="2">
        <v>1</v>
      </c>
      <c r="D1569" s="2" t="s">
        <v>1181</v>
      </c>
      <c r="E1569" s="4" t="s">
        <v>1180</v>
      </c>
      <c r="F1569" s="3" t="s">
        <v>1180</v>
      </c>
    </row>
    <row r="1570" spans="2:7" ht="60" x14ac:dyDescent="0.25">
      <c r="B1570" s="1">
        <f t="shared" si="24"/>
        <v>1568</v>
      </c>
      <c r="C1570" s="1">
        <v>2</v>
      </c>
      <c r="D1570" s="1">
        <v>271</v>
      </c>
      <c r="E1570" s="3" t="s">
        <v>761</v>
      </c>
      <c r="F1570" s="3" t="s">
        <v>761</v>
      </c>
    </row>
    <row r="1571" spans="2:7" x14ac:dyDescent="0.25">
      <c r="B1571" s="2">
        <f t="shared" si="24"/>
        <v>1569</v>
      </c>
      <c r="C1571" s="2">
        <v>1</v>
      </c>
      <c r="D1571" s="2">
        <v>1040</v>
      </c>
      <c r="E1571" s="4" t="s">
        <v>1179</v>
      </c>
      <c r="F1571" s="4" t="s">
        <v>1179</v>
      </c>
    </row>
    <row r="1572" spans="2:7" x14ac:dyDescent="0.25">
      <c r="B1572" s="1">
        <f t="shared" si="24"/>
        <v>1570</v>
      </c>
      <c r="C1572" s="1">
        <v>2</v>
      </c>
      <c r="D1572" s="1">
        <v>272</v>
      </c>
      <c r="E1572" s="3" t="s">
        <v>760</v>
      </c>
      <c r="F1572" s="3" t="s">
        <v>1179</v>
      </c>
      <c r="G1572" t="s">
        <v>3144</v>
      </c>
    </row>
    <row r="1573" spans="2:7" x14ac:dyDescent="0.25">
      <c r="B1573" s="2">
        <f t="shared" si="24"/>
        <v>1571</v>
      </c>
      <c r="C1573" s="2">
        <v>1</v>
      </c>
      <c r="D1573" s="2">
        <v>1041</v>
      </c>
      <c r="E1573" s="4" t="s">
        <v>1178</v>
      </c>
      <c r="F1573" s="3" t="s">
        <v>1178</v>
      </c>
    </row>
    <row r="1574" spans="2:7" ht="45" x14ac:dyDescent="0.25">
      <c r="B1574" s="1">
        <f t="shared" si="24"/>
        <v>1572</v>
      </c>
      <c r="C1574" s="1">
        <v>2</v>
      </c>
      <c r="D1574" s="1">
        <v>273</v>
      </c>
      <c r="E1574" s="3" t="s">
        <v>759</v>
      </c>
      <c r="F1574" s="3" t="s">
        <v>759</v>
      </c>
    </row>
    <row r="1575" spans="2:7" ht="90" x14ac:dyDescent="0.25">
      <c r="B1575" s="2">
        <f t="shared" si="24"/>
        <v>1573</v>
      </c>
      <c r="C1575" s="2">
        <v>2</v>
      </c>
      <c r="D1575" s="2">
        <v>274</v>
      </c>
      <c r="E1575" s="4" t="s">
        <v>758</v>
      </c>
      <c r="F1575" s="3" t="s">
        <v>758</v>
      </c>
    </row>
    <row r="1576" spans="2:7" ht="90" x14ac:dyDescent="0.25">
      <c r="B1576" s="1">
        <f t="shared" si="24"/>
        <v>1574</v>
      </c>
      <c r="C1576" s="1">
        <v>2</v>
      </c>
      <c r="D1576" s="1">
        <v>275</v>
      </c>
      <c r="E1576" s="3" t="s">
        <v>757</v>
      </c>
      <c r="F1576" s="3" t="s">
        <v>757</v>
      </c>
    </row>
    <row r="1577" spans="2:7" ht="45" x14ac:dyDescent="0.25">
      <c r="B1577" s="2">
        <f t="shared" si="24"/>
        <v>1575</v>
      </c>
      <c r="C1577" s="2">
        <v>2</v>
      </c>
      <c r="D1577" s="2">
        <v>276</v>
      </c>
      <c r="E1577" s="4" t="s">
        <v>756</v>
      </c>
      <c r="F1577" s="3" t="s">
        <v>756</v>
      </c>
    </row>
    <row r="1578" spans="2:7" ht="60" x14ac:dyDescent="0.25">
      <c r="B1578" s="1">
        <f t="shared" si="24"/>
        <v>1576</v>
      </c>
      <c r="C1578" s="1">
        <v>2</v>
      </c>
      <c r="D1578" s="1">
        <v>277</v>
      </c>
      <c r="E1578" s="3" t="s">
        <v>755</v>
      </c>
      <c r="F1578" s="3" t="s">
        <v>755</v>
      </c>
    </row>
    <row r="1579" spans="2:7" ht="45" x14ac:dyDescent="0.25">
      <c r="B1579" s="2">
        <f t="shared" si="24"/>
        <v>1577</v>
      </c>
      <c r="C1579" s="2">
        <v>2</v>
      </c>
      <c r="D1579" s="2">
        <v>278</v>
      </c>
      <c r="E1579" s="4" t="s">
        <v>754</v>
      </c>
      <c r="F1579" s="3" t="s">
        <v>754</v>
      </c>
    </row>
    <row r="1580" spans="2:7" ht="45" x14ac:dyDescent="0.25">
      <c r="B1580" s="1">
        <f t="shared" si="24"/>
        <v>1578</v>
      </c>
      <c r="C1580" s="1">
        <v>2</v>
      </c>
      <c r="D1580" s="1">
        <v>279</v>
      </c>
      <c r="E1580" s="3" t="s">
        <v>753</v>
      </c>
      <c r="F1580" s="3" t="s">
        <v>753</v>
      </c>
    </row>
    <row r="1581" spans="2:7" x14ac:dyDescent="0.25">
      <c r="B1581" s="2">
        <f t="shared" si="24"/>
        <v>1579</v>
      </c>
      <c r="C1581" s="2">
        <v>1</v>
      </c>
      <c r="D1581" s="2">
        <v>1042</v>
      </c>
      <c r="E1581" s="4" t="s">
        <v>1177</v>
      </c>
      <c r="F1581" s="4" t="s">
        <v>1177</v>
      </c>
    </row>
    <row r="1582" spans="2:7" ht="30" x14ac:dyDescent="0.25">
      <c r="B1582" s="1">
        <f t="shared" si="24"/>
        <v>1580</v>
      </c>
      <c r="C1582" s="1">
        <v>2</v>
      </c>
      <c r="D1582" s="1">
        <v>280</v>
      </c>
      <c r="E1582" s="3" t="s">
        <v>752</v>
      </c>
      <c r="F1582" s="3" t="s">
        <v>752</v>
      </c>
    </row>
    <row r="1583" spans="2:7" ht="45" x14ac:dyDescent="0.25">
      <c r="B1583" s="2">
        <f t="shared" si="24"/>
        <v>1581</v>
      </c>
      <c r="C1583" s="2">
        <v>2</v>
      </c>
      <c r="D1583" s="2">
        <v>281</v>
      </c>
      <c r="E1583" s="4" t="s">
        <v>751</v>
      </c>
      <c r="F1583" s="3" t="s">
        <v>751</v>
      </c>
    </row>
    <row r="1584" spans="2:7" ht="45" x14ac:dyDescent="0.25">
      <c r="B1584" s="1">
        <f t="shared" si="24"/>
        <v>1582</v>
      </c>
      <c r="C1584" s="1">
        <v>1</v>
      </c>
      <c r="D1584" s="1" t="s">
        <v>1176</v>
      </c>
      <c r="E1584" s="3" t="s">
        <v>1175</v>
      </c>
      <c r="F1584" s="3" t="s">
        <v>1175</v>
      </c>
    </row>
    <row r="1585" spans="2:7" ht="75" x14ac:dyDescent="0.25">
      <c r="B1585" s="2">
        <f t="shared" si="24"/>
        <v>1583</v>
      </c>
      <c r="C1585" s="2">
        <v>2</v>
      </c>
      <c r="D1585" s="2">
        <v>282</v>
      </c>
      <c r="E1585" s="4" t="s">
        <v>750</v>
      </c>
      <c r="F1585" s="3" t="s">
        <v>750</v>
      </c>
    </row>
    <row r="1586" spans="2:7" ht="30" x14ac:dyDescent="0.25">
      <c r="B1586" s="1">
        <f t="shared" si="24"/>
        <v>1584</v>
      </c>
      <c r="C1586" s="1">
        <v>2</v>
      </c>
      <c r="D1586" s="1">
        <v>283</v>
      </c>
      <c r="E1586" s="3" t="s">
        <v>749</v>
      </c>
      <c r="F1586" s="3" t="s">
        <v>749</v>
      </c>
    </row>
    <row r="1587" spans="2:7" ht="30" x14ac:dyDescent="0.25">
      <c r="B1587" s="2">
        <f t="shared" si="24"/>
        <v>1585</v>
      </c>
      <c r="C1587" s="2">
        <v>2</v>
      </c>
      <c r="D1587" s="2">
        <v>284</v>
      </c>
      <c r="E1587" s="4" t="s">
        <v>748</v>
      </c>
      <c r="F1587" s="3" t="s">
        <v>748</v>
      </c>
    </row>
    <row r="1588" spans="2:7" ht="30" x14ac:dyDescent="0.25">
      <c r="B1588" s="1">
        <f t="shared" si="24"/>
        <v>1586</v>
      </c>
      <c r="C1588" s="1">
        <v>1</v>
      </c>
      <c r="D1588" s="2">
        <v>1043</v>
      </c>
      <c r="E1588" s="4" t="s">
        <v>1174</v>
      </c>
      <c r="F1588" s="4" t="s">
        <v>1174</v>
      </c>
    </row>
    <row r="1589" spans="2:7" ht="45" x14ac:dyDescent="0.25">
      <c r="B1589" s="2">
        <f t="shared" si="24"/>
        <v>1587</v>
      </c>
      <c r="C1589" s="2">
        <v>1</v>
      </c>
      <c r="D1589" s="2" t="s">
        <v>1173</v>
      </c>
      <c r="E1589" s="4" t="s">
        <v>1172</v>
      </c>
      <c r="F1589" s="3" t="s">
        <v>1172</v>
      </c>
    </row>
    <row r="1590" spans="2:7" x14ac:dyDescent="0.25">
      <c r="B1590" s="1">
        <f t="shared" si="24"/>
        <v>1588</v>
      </c>
      <c r="C1590" s="1">
        <v>1</v>
      </c>
      <c r="D1590" s="2">
        <v>1044</v>
      </c>
      <c r="E1590" s="4" t="s">
        <v>1171</v>
      </c>
      <c r="F1590" s="4" t="s">
        <v>1171</v>
      </c>
    </row>
    <row r="1591" spans="2:7" ht="45" x14ac:dyDescent="0.25">
      <c r="B1591" s="2">
        <f t="shared" si="24"/>
        <v>1589</v>
      </c>
      <c r="C1591" s="2">
        <v>2</v>
      </c>
      <c r="D1591" s="2" t="s">
        <v>747</v>
      </c>
      <c r="E1591" s="4" t="s">
        <v>746</v>
      </c>
      <c r="F1591" s="3" t="s">
        <v>746</v>
      </c>
    </row>
    <row r="1592" spans="2:7" ht="45" x14ac:dyDescent="0.25">
      <c r="B1592" s="1">
        <f t="shared" si="24"/>
        <v>1590</v>
      </c>
      <c r="C1592" s="1">
        <v>1</v>
      </c>
      <c r="D1592" s="1">
        <v>1045</v>
      </c>
      <c r="E1592" s="3" t="s">
        <v>1170</v>
      </c>
      <c r="F1592" s="3" t="s">
        <v>1170</v>
      </c>
    </row>
    <row r="1593" spans="2:7" ht="45" x14ac:dyDescent="0.25">
      <c r="B1593" s="2">
        <f t="shared" si="24"/>
        <v>1591</v>
      </c>
      <c r="C1593" s="2">
        <v>2</v>
      </c>
      <c r="D1593" s="2">
        <v>285</v>
      </c>
      <c r="E1593" s="4" t="s">
        <v>745</v>
      </c>
      <c r="F1593" s="3" t="s">
        <v>3145</v>
      </c>
      <c r="G1593" t="s">
        <v>3146</v>
      </c>
    </row>
    <row r="1594" spans="2:7" x14ac:dyDescent="0.25">
      <c r="B1594" s="1">
        <f t="shared" si="24"/>
        <v>1592</v>
      </c>
      <c r="C1594" s="1">
        <v>1</v>
      </c>
      <c r="D1594" s="2">
        <v>1046</v>
      </c>
      <c r="E1594" s="4" t="s">
        <v>1169</v>
      </c>
      <c r="F1594" s="4" t="s">
        <v>1169</v>
      </c>
    </row>
    <row r="1595" spans="2:7" x14ac:dyDescent="0.25">
      <c r="B1595" s="2">
        <f t="shared" si="24"/>
        <v>1593</v>
      </c>
      <c r="C1595" s="2">
        <v>1</v>
      </c>
      <c r="D1595" s="2">
        <v>1047</v>
      </c>
      <c r="E1595" s="4" t="s">
        <v>1168</v>
      </c>
      <c r="F1595" s="3" t="s">
        <v>1168</v>
      </c>
    </row>
    <row r="1596" spans="2:7" x14ac:dyDescent="0.25">
      <c r="B1596" s="1">
        <f t="shared" si="24"/>
        <v>1594</v>
      </c>
      <c r="C1596" s="1">
        <v>1</v>
      </c>
      <c r="D1596" s="2">
        <v>1048</v>
      </c>
      <c r="E1596" s="4" t="s">
        <v>1167</v>
      </c>
      <c r="F1596" s="4" t="s">
        <v>1167</v>
      </c>
    </row>
    <row r="1597" spans="2:7" ht="30" x14ac:dyDescent="0.25">
      <c r="B1597" s="2">
        <f t="shared" si="24"/>
        <v>1595</v>
      </c>
      <c r="C1597" s="2">
        <v>2</v>
      </c>
      <c r="D1597" s="2">
        <v>286</v>
      </c>
      <c r="E1597" s="4" t="s">
        <v>744</v>
      </c>
      <c r="F1597" s="3" t="s">
        <v>744</v>
      </c>
    </row>
    <row r="1598" spans="2:7" ht="30" x14ac:dyDescent="0.25">
      <c r="B1598" s="1">
        <f t="shared" si="24"/>
        <v>1596</v>
      </c>
      <c r="C1598" s="1">
        <v>2</v>
      </c>
      <c r="D1598" s="1">
        <v>287</v>
      </c>
      <c r="E1598" s="3" t="s">
        <v>743</v>
      </c>
      <c r="F1598" s="3" t="s">
        <v>743</v>
      </c>
    </row>
    <row r="1599" spans="2:7" ht="30" x14ac:dyDescent="0.25">
      <c r="B1599" s="2">
        <f t="shared" si="24"/>
        <v>1597</v>
      </c>
      <c r="C1599" s="2">
        <v>2</v>
      </c>
      <c r="D1599" s="2">
        <v>288</v>
      </c>
      <c r="E1599" s="4" t="s">
        <v>742</v>
      </c>
      <c r="F1599" s="3" t="s">
        <v>742</v>
      </c>
    </row>
    <row r="1600" spans="2:7" x14ac:dyDescent="0.25">
      <c r="B1600" s="1">
        <f t="shared" si="24"/>
        <v>1598</v>
      </c>
      <c r="C1600" s="1">
        <v>1</v>
      </c>
      <c r="D1600" s="1">
        <v>1049</v>
      </c>
      <c r="E1600" s="3" t="s">
        <v>1166</v>
      </c>
      <c r="F1600" s="3" t="s">
        <v>1166</v>
      </c>
    </row>
    <row r="1601" spans="2:6" ht="30" x14ac:dyDescent="0.25">
      <c r="B1601" s="2">
        <f t="shared" si="24"/>
        <v>1599</v>
      </c>
      <c r="C1601" s="2">
        <v>1</v>
      </c>
      <c r="D1601" s="2">
        <v>1050</v>
      </c>
      <c r="E1601" s="4" t="s">
        <v>1165</v>
      </c>
      <c r="F1601" s="4" t="s">
        <v>1165</v>
      </c>
    </row>
    <row r="1602" spans="2:6" ht="45" x14ac:dyDescent="0.25">
      <c r="B1602" s="1">
        <f t="shared" si="24"/>
        <v>1600</v>
      </c>
      <c r="C1602" s="1">
        <v>2</v>
      </c>
      <c r="D1602" s="1" t="s">
        <v>741</v>
      </c>
      <c r="E1602" s="3" t="s">
        <v>740</v>
      </c>
      <c r="F1602" s="3" t="s">
        <v>740</v>
      </c>
    </row>
    <row r="1603" spans="2:6" ht="30" x14ac:dyDescent="0.25">
      <c r="B1603" s="2">
        <f t="shared" si="24"/>
        <v>1601</v>
      </c>
      <c r="C1603" s="2">
        <v>1</v>
      </c>
      <c r="D1603" s="2">
        <v>1051</v>
      </c>
      <c r="E1603" s="4" t="s">
        <v>1164</v>
      </c>
      <c r="F1603" s="3" t="s">
        <v>1164</v>
      </c>
    </row>
    <row r="1604" spans="2:6" ht="30" x14ac:dyDescent="0.25">
      <c r="B1604" s="1">
        <f t="shared" si="24"/>
        <v>1602</v>
      </c>
      <c r="C1604" s="1">
        <v>1</v>
      </c>
      <c r="D1604" s="2">
        <v>1052</v>
      </c>
      <c r="E1604" s="4" t="s">
        <v>1163</v>
      </c>
      <c r="F1604" s="4" t="s">
        <v>1163</v>
      </c>
    </row>
    <row r="1605" spans="2:6" x14ac:dyDescent="0.25">
      <c r="B1605" s="2">
        <f t="shared" ref="B1605:B1647" si="25">+B1604+1</f>
        <v>1603</v>
      </c>
      <c r="C1605" s="2">
        <v>1</v>
      </c>
      <c r="D1605" s="2">
        <v>1053</v>
      </c>
      <c r="E1605" s="4" t="s">
        <v>1162</v>
      </c>
      <c r="F1605" s="3" t="s">
        <v>1162</v>
      </c>
    </row>
    <row r="1606" spans="2:6" x14ac:dyDescent="0.25">
      <c r="B1606" s="1">
        <f t="shared" si="25"/>
        <v>1604</v>
      </c>
      <c r="C1606" s="1">
        <v>1</v>
      </c>
      <c r="D1606" s="2">
        <v>1054</v>
      </c>
      <c r="E1606" s="4" t="s">
        <v>1161</v>
      </c>
      <c r="F1606" s="4" t="s">
        <v>1161</v>
      </c>
    </row>
    <row r="1607" spans="2:6" ht="30" x14ac:dyDescent="0.25">
      <c r="B1607" s="2">
        <f t="shared" si="25"/>
        <v>1605</v>
      </c>
      <c r="C1607" s="2">
        <v>2</v>
      </c>
      <c r="D1607" s="2">
        <v>289</v>
      </c>
      <c r="E1607" s="4" t="s">
        <v>739</v>
      </c>
      <c r="F1607" s="3" t="s">
        <v>739</v>
      </c>
    </row>
    <row r="1608" spans="2:6" x14ac:dyDescent="0.25">
      <c r="B1608" s="1">
        <f t="shared" si="25"/>
        <v>1606</v>
      </c>
      <c r="C1608" s="1">
        <v>1</v>
      </c>
      <c r="D1608" s="1">
        <v>1055</v>
      </c>
      <c r="E1608" s="3" t="s">
        <v>1160</v>
      </c>
      <c r="F1608" s="3" t="s">
        <v>1160</v>
      </c>
    </row>
    <row r="1609" spans="2:6" ht="30" x14ac:dyDescent="0.25">
      <c r="B1609" s="2">
        <f t="shared" si="25"/>
        <v>1607</v>
      </c>
      <c r="C1609" s="2">
        <v>2</v>
      </c>
      <c r="D1609" s="2">
        <v>290</v>
      </c>
      <c r="E1609" s="4" t="s">
        <v>738</v>
      </c>
      <c r="F1609" s="3" t="s">
        <v>738</v>
      </c>
    </row>
    <row r="1610" spans="2:6" x14ac:dyDescent="0.25">
      <c r="B1610" s="1">
        <f t="shared" si="25"/>
        <v>1608</v>
      </c>
      <c r="C1610" s="1">
        <v>1</v>
      </c>
      <c r="D1610" s="2">
        <v>1056</v>
      </c>
      <c r="E1610" s="4" t="s">
        <v>1159</v>
      </c>
      <c r="F1610" s="4" t="s">
        <v>1159</v>
      </c>
    </row>
    <row r="1611" spans="2:6" ht="45" x14ac:dyDescent="0.25">
      <c r="B1611" s="2">
        <f t="shared" si="25"/>
        <v>1609</v>
      </c>
      <c r="C1611" s="2">
        <v>1</v>
      </c>
      <c r="D1611" s="2" t="s">
        <v>1158</v>
      </c>
      <c r="E1611" s="4" t="s">
        <v>1157</v>
      </c>
      <c r="F1611" s="3" t="s">
        <v>1157</v>
      </c>
    </row>
    <row r="1612" spans="2:6" x14ac:dyDescent="0.25">
      <c r="B1612" s="1">
        <f t="shared" si="25"/>
        <v>1610</v>
      </c>
      <c r="C1612" s="1">
        <v>1</v>
      </c>
      <c r="D1612" s="2">
        <v>1057</v>
      </c>
      <c r="E1612" s="4" t="s">
        <v>1156</v>
      </c>
      <c r="F1612" s="4" t="s">
        <v>1156</v>
      </c>
    </row>
    <row r="1613" spans="2:6" x14ac:dyDescent="0.25">
      <c r="B1613" s="2">
        <f t="shared" si="25"/>
        <v>1611</v>
      </c>
      <c r="C1613" s="2">
        <v>1</v>
      </c>
      <c r="D1613" s="2">
        <v>1058</v>
      </c>
      <c r="E1613" s="4" t="s">
        <v>1155</v>
      </c>
      <c r="F1613" s="3" t="s">
        <v>1155</v>
      </c>
    </row>
    <row r="1614" spans="2:6" ht="30" x14ac:dyDescent="0.25">
      <c r="B1614" s="1">
        <f t="shared" si="25"/>
        <v>1612</v>
      </c>
      <c r="C1614" s="1">
        <v>1</v>
      </c>
      <c r="D1614" s="2">
        <v>1059</v>
      </c>
      <c r="E1614" s="4" t="s">
        <v>1154</v>
      </c>
      <c r="F1614" s="4" t="s">
        <v>1154</v>
      </c>
    </row>
    <row r="1615" spans="2:6" ht="45" x14ac:dyDescent="0.25">
      <c r="B1615" s="2">
        <f t="shared" si="25"/>
        <v>1613</v>
      </c>
      <c r="C1615" s="2">
        <v>2</v>
      </c>
      <c r="D1615" s="2">
        <v>291</v>
      </c>
      <c r="E1615" s="4" t="s">
        <v>737</v>
      </c>
      <c r="F1615" s="3" t="s">
        <v>737</v>
      </c>
    </row>
    <row r="1616" spans="2:6" ht="60" x14ac:dyDescent="0.25">
      <c r="B1616" s="1">
        <f t="shared" si="25"/>
        <v>1614</v>
      </c>
      <c r="C1616" s="1">
        <v>2</v>
      </c>
      <c r="D1616" s="1">
        <v>292</v>
      </c>
      <c r="E1616" s="3" t="s">
        <v>736</v>
      </c>
      <c r="F1616" s="3" t="s">
        <v>736</v>
      </c>
    </row>
    <row r="1617" spans="2:6" ht="45" x14ac:dyDescent="0.25">
      <c r="B1617" s="2">
        <f t="shared" si="25"/>
        <v>1615</v>
      </c>
      <c r="C1617" s="2">
        <v>1</v>
      </c>
      <c r="D1617" s="2">
        <v>1060</v>
      </c>
      <c r="E1617" s="4" t="s">
        <v>1153</v>
      </c>
      <c r="F1617" s="3" t="s">
        <v>1153</v>
      </c>
    </row>
    <row r="1618" spans="2:6" ht="30" x14ac:dyDescent="0.25">
      <c r="B1618" s="1">
        <f t="shared" si="25"/>
        <v>1616</v>
      </c>
      <c r="C1618" s="1">
        <v>1</v>
      </c>
      <c r="D1618" s="2">
        <v>1061</v>
      </c>
      <c r="E1618" s="4" t="s">
        <v>1152</v>
      </c>
      <c r="F1618" s="4" t="s">
        <v>1152</v>
      </c>
    </row>
    <row r="1619" spans="2:6" ht="30" x14ac:dyDescent="0.25">
      <c r="B1619" s="2">
        <f t="shared" si="25"/>
        <v>1617</v>
      </c>
      <c r="C1619" s="2">
        <v>1</v>
      </c>
      <c r="D1619" s="2">
        <v>1062</v>
      </c>
      <c r="E1619" s="4" t="s">
        <v>1151</v>
      </c>
      <c r="F1619" s="3" t="s">
        <v>1151</v>
      </c>
    </row>
    <row r="1620" spans="2:6" ht="30" x14ac:dyDescent="0.25">
      <c r="B1620" s="1">
        <f t="shared" si="25"/>
        <v>1618</v>
      </c>
      <c r="C1620" s="1">
        <v>1</v>
      </c>
      <c r="D1620" s="2">
        <v>1063</v>
      </c>
      <c r="E1620" s="4" t="s">
        <v>1150</v>
      </c>
      <c r="F1620" s="4" t="s">
        <v>1150</v>
      </c>
    </row>
    <row r="1621" spans="2:6" x14ac:dyDescent="0.25">
      <c r="B1621" s="2">
        <f t="shared" si="25"/>
        <v>1619</v>
      </c>
      <c r="C1621" s="2">
        <v>1</v>
      </c>
      <c r="D1621" s="2">
        <v>1064</v>
      </c>
      <c r="E1621" s="4" t="s">
        <v>1149</v>
      </c>
      <c r="F1621" s="3" t="s">
        <v>1149</v>
      </c>
    </row>
    <row r="1622" spans="2:6" x14ac:dyDescent="0.25">
      <c r="B1622" s="1">
        <f t="shared" si="25"/>
        <v>1620</v>
      </c>
      <c r="C1622" s="1">
        <v>1</v>
      </c>
      <c r="D1622" s="2">
        <v>1065</v>
      </c>
      <c r="E1622" s="4" t="s">
        <v>1148</v>
      </c>
      <c r="F1622" s="4" t="s">
        <v>1148</v>
      </c>
    </row>
    <row r="1623" spans="2:6" x14ac:dyDescent="0.25">
      <c r="B1623" s="2">
        <f t="shared" si="25"/>
        <v>1621</v>
      </c>
      <c r="C1623" s="2">
        <v>1</v>
      </c>
      <c r="D1623" s="2">
        <v>1066</v>
      </c>
      <c r="E1623" s="4" t="s">
        <v>1147</v>
      </c>
      <c r="F1623" s="3" t="s">
        <v>1147</v>
      </c>
    </row>
    <row r="1624" spans="2:6" x14ac:dyDescent="0.25">
      <c r="B1624" s="1">
        <f t="shared" si="25"/>
        <v>1622</v>
      </c>
      <c r="C1624" s="1">
        <v>1</v>
      </c>
      <c r="D1624" s="2">
        <v>1067</v>
      </c>
      <c r="E1624" s="4" t="s">
        <v>1146</v>
      </c>
      <c r="F1624" s="4" t="s">
        <v>1146</v>
      </c>
    </row>
    <row r="1625" spans="2:6" x14ac:dyDescent="0.25">
      <c r="B1625" s="2">
        <f t="shared" si="25"/>
        <v>1623</v>
      </c>
      <c r="C1625" s="2">
        <v>1</v>
      </c>
      <c r="D1625" s="2">
        <v>1068</v>
      </c>
      <c r="E1625" s="4" t="s">
        <v>1145</v>
      </c>
      <c r="F1625" s="3" t="s">
        <v>1145</v>
      </c>
    </row>
    <row r="1626" spans="2:6" x14ac:dyDescent="0.25">
      <c r="B1626" s="1">
        <f t="shared" si="25"/>
        <v>1624</v>
      </c>
      <c r="C1626" s="1">
        <v>1</v>
      </c>
      <c r="D1626" s="2">
        <v>1069</v>
      </c>
      <c r="E1626" s="4" t="s">
        <v>1144</v>
      </c>
      <c r="F1626" s="4" t="s">
        <v>1144</v>
      </c>
    </row>
    <row r="1627" spans="2:6" ht="30" x14ac:dyDescent="0.25">
      <c r="B1627" s="2">
        <f t="shared" si="25"/>
        <v>1625</v>
      </c>
      <c r="C1627" s="2">
        <v>1</v>
      </c>
      <c r="D1627" s="2" t="s">
        <v>1143</v>
      </c>
      <c r="E1627" s="4" t="s">
        <v>1142</v>
      </c>
      <c r="F1627" s="3" t="s">
        <v>1142</v>
      </c>
    </row>
    <row r="1628" spans="2:6" ht="30" x14ac:dyDescent="0.25">
      <c r="B1628" s="1">
        <f t="shared" si="25"/>
        <v>1626</v>
      </c>
      <c r="C1628" s="1">
        <v>1</v>
      </c>
      <c r="D1628" s="2" t="s">
        <v>1141</v>
      </c>
      <c r="E1628" s="4" t="s">
        <v>1140</v>
      </c>
      <c r="F1628" s="4" t="s">
        <v>1140</v>
      </c>
    </row>
    <row r="1629" spans="2:6" x14ac:dyDescent="0.25">
      <c r="B1629" s="2">
        <f t="shared" si="25"/>
        <v>1627</v>
      </c>
      <c r="C1629" s="2">
        <v>1</v>
      </c>
      <c r="D1629" s="2">
        <v>1070</v>
      </c>
      <c r="E1629" s="4" t="s">
        <v>1139</v>
      </c>
      <c r="F1629" s="3" t="s">
        <v>1139</v>
      </c>
    </row>
    <row r="1630" spans="2:6" x14ac:dyDescent="0.25">
      <c r="B1630" s="1">
        <f t="shared" si="25"/>
        <v>1628</v>
      </c>
      <c r="C1630" s="1">
        <v>1</v>
      </c>
      <c r="D1630" s="2">
        <v>1071</v>
      </c>
      <c r="E1630" s="4" t="s">
        <v>1138</v>
      </c>
      <c r="F1630" s="4" t="s">
        <v>1138</v>
      </c>
    </row>
    <row r="1631" spans="2:6" x14ac:dyDescent="0.25">
      <c r="B1631" s="2">
        <f t="shared" si="25"/>
        <v>1629</v>
      </c>
      <c r="C1631" s="2">
        <v>1</v>
      </c>
      <c r="D1631" s="2">
        <v>1072</v>
      </c>
      <c r="E1631" s="4" t="s">
        <v>1137</v>
      </c>
      <c r="F1631" s="3" t="s">
        <v>1137</v>
      </c>
    </row>
    <row r="1632" spans="2:6" ht="30" x14ac:dyDescent="0.25">
      <c r="B1632" s="1">
        <f t="shared" si="25"/>
        <v>1630</v>
      </c>
      <c r="C1632" s="1">
        <v>1</v>
      </c>
      <c r="D1632" s="2" t="s">
        <v>1136</v>
      </c>
      <c r="E1632" s="4" t="s">
        <v>1135</v>
      </c>
      <c r="F1632" s="4" t="s">
        <v>1135</v>
      </c>
    </row>
    <row r="1633" spans="2:6" x14ac:dyDescent="0.25">
      <c r="B1633" s="2">
        <f t="shared" si="25"/>
        <v>1631</v>
      </c>
      <c r="C1633" s="2">
        <v>1</v>
      </c>
      <c r="D1633" s="2">
        <v>1073</v>
      </c>
      <c r="E1633" s="4" t="s">
        <v>1134</v>
      </c>
      <c r="F1633" s="3" t="s">
        <v>1134</v>
      </c>
    </row>
    <row r="1634" spans="2:6" x14ac:dyDescent="0.25">
      <c r="B1634" s="1">
        <f t="shared" si="25"/>
        <v>1632</v>
      </c>
      <c r="C1634" s="1">
        <v>1</v>
      </c>
      <c r="D1634" s="2">
        <v>1074</v>
      </c>
      <c r="E1634" s="4" t="s">
        <v>1133</v>
      </c>
      <c r="F1634" s="4" t="s">
        <v>1133</v>
      </c>
    </row>
    <row r="1635" spans="2:6" x14ac:dyDescent="0.25">
      <c r="B1635" s="2">
        <f t="shared" si="25"/>
        <v>1633</v>
      </c>
      <c r="C1635" s="2">
        <v>1</v>
      </c>
      <c r="D1635" s="2">
        <v>1075</v>
      </c>
      <c r="E1635" s="4" t="s">
        <v>1132</v>
      </c>
      <c r="F1635" s="3" t="s">
        <v>1132</v>
      </c>
    </row>
    <row r="1636" spans="2:6" x14ac:dyDescent="0.25">
      <c r="B1636" s="1">
        <f t="shared" si="25"/>
        <v>1634</v>
      </c>
      <c r="C1636" s="1">
        <v>1</v>
      </c>
      <c r="D1636" s="2">
        <v>1076</v>
      </c>
      <c r="E1636" s="4" t="s">
        <v>1131</v>
      </c>
      <c r="F1636" s="4" t="s">
        <v>1131</v>
      </c>
    </row>
    <row r="1637" spans="2:6" x14ac:dyDescent="0.25">
      <c r="B1637" s="2">
        <f t="shared" si="25"/>
        <v>1635</v>
      </c>
      <c r="C1637" s="2">
        <v>1</v>
      </c>
      <c r="D1637" s="2">
        <v>1077</v>
      </c>
      <c r="E1637" s="4" t="s">
        <v>1130</v>
      </c>
      <c r="F1637" s="3" t="s">
        <v>1130</v>
      </c>
    </row>
    <row r="1638" spans="2:6" x14ac:dyDescent="0.25">
      <c r="B1638" s="1">
        <f t="shared" si="25"/>
        <v>1636</v>
      </c>
      <c r="C1638" s="1">
        <v>1</v>
      </c>
      <c r="D1638" s="2">
        <v>1078</v>
      </c>
      <c r="E1638" s="4" t="s">
        <v>1129</v>
      </c>
      <c r="F1638" s="4" t="s">
        <v>1129</v>
      </c>
    </row>
    <row r="1639" spans="2:6" x14ac:dyDescent="0.25">
      <c r="B1639" s="2">
        <f t="shared" si="25"/>
        <v>1637</v>
      </c>
      <c r="C1639" s="2">
        <v>1</v>
      </c>
      <c r="D1639" s="2">
        <v>1079</v>
      </c>
      <c r="E1639" s="4" t="s">
        <v>1128</v>
      </c>
      <c r="F1639" s="3" t="s">
        <v>1128</v>
      </c>
    </row>
    <row r="1640" spans="2:6" x14ac:dyDescent="0.25">
      <c r="B1640" s="1">
        <f t="shared" si="25"/>
        <v>1638</v>
      </c>
      <c r="C1640" s="1">
        <v>1</v>
      </c>
      <c r="D1640" s="2">
        <v>1080</v>
      </c>
      <c r="E1640" s="4" t="s">
        <v>1127</v>
      </c>
      <c r="F1640" s="4" t="s">
        <v>1127</v>
      </c>
    </row>
    <row r="1641" spans="2:6" x14ac:dyDescent="0.25">
      <c r="B1641" s="2">
        <f t="shared" si="25"/>
        <v>1639</v>
      </c>
      <c r="C1641" s="2">
        <v>1</v>
      </c>
      <c r="D1641" s="2">
        <v>1081</v>
      </c>
      <c r="E1641" s="4" t="s">
        <v>1126</v>
      </c>
      <c r="F1641" s="3" t="s">
        <v>1126</v>
      </c>
    </row>
    <row r="1642" spans="2:6" ht="30" x14ac:dyDescent="0.25">
      <c r="B1642" s="1">
        <f t="shared" si="25"/>
        <v>1640</v>
      </c>
      <c r="C1642" s="1">
        <v>1</v>
      </c>
      <c r="D1642" s="2" t="s">
        <v>1125</v>
      </c>
      <c r="E1642" s="4" t="s">
        <v>1124</v>
      </c>
      <c r="F1642" s="4" t="s">
        <v>1124</v>
      </c>
    </row>
    <row r="1643" spans="2:6" ht="30" x14ac:dyDescent="0.25">
      <c r="B1643" s="2">
        <f t="shared" si="25"/>
        <v>1641</v>
      </c>
      <c r="C1643" s="2">
        <v>1</v>
      </c>
      <c r="D1643" s="2" t="s">
        <v>1123</v>
      </c>
      <c r="E1643" s="4" t="s">
        <v>1122</v>
      </c>
      <c r="F1643" s="3" t="s">
        <v>1122</v>
      </c>
    </row>
    <row r="1644" spans="2:6" x14ac:dyDescent="0.25">
      <c r="B1644" s="1">
        <f t="shared" si="25"/>
        <v>1642</v>
      </c>
      <c r="C1644" s="1">
        <v>1</v>
      </c>
      <c r="D1644" s="2">
        <v>1082</v>
      </c>
      <c r="E1644" s="4" t="s">
        <v>1121</v>
      </c>
      <c r="F1644" s="4" t="s">
        <v>1121</v>
      </c>
    </row>
    <row r="1645" spans="2:6" x14ac:dyDescent="0.25">
      <c r="B1645" s="2">
        <f t="shared" si="25"/>
        <v>1643</v>
      </c>
      <c r="C1645" s="2">
        <v>1</v>
      </c>
      <c r="D1645" s="2">
        <v>1083</v>
      </c>
      <c r="E1645" s="4" t="s">
        <v>1120</v>
      </c>
      <c r="F1645" s="3" t="s">
        <v>1120</v>
      </c>
    </row>
    <row r="1646" spans="2:6" x14ac:dyDescent="0.25">
      <c r="B1646" s="1">
        <f t="shared" si="25"/>
        <v>1644</v>
      </c>
      <c r="C1646" s="1">
        <v>1</v>
      </c>
      <c r="D1646" s="2">
        <v>1084</v>
      </c>
      <c r="E1646" s="4" t="s">
        <v>1119</v>
      </c>
      <c r="F1646" s="4" t="s">
        <v>1119</v>
      </c>
    </row>
    <row r="1647" spans="2:6" ht="30.75" thickBot="1" x14ac:dyDescent="0.3">
      <c r="B1647" s="11">
        <f t="shared" si="25"/>
        <v>1645</v>
      </c>
      <c r="C1647" s="11">
        <v>1</v>
      </c>
      <c r="D1647" s="11" t="s">
        <v>1118</v>
      </c>
      <c r="E1647" s="14" t="s">
        <v>1117</v>
      </c>
      <c r="F1647" s="13" t="s">
        <v>1117</v>
      </c>
    </row>
  </sheetData>
  <autoFilter ref="J2:J1647"/>
  <pageMargins left="0.511811024" right="0.511811024" top="0.78740157499999996" bottom="0.78740157499999996" header="0.31496062000000002" footer="0.31496062000000002"/>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1487"/>
  <sheetViews>
    <sheetView topLeftCell="A3" zoomScale="110" zoomScaleNormal="110" workbookViewId="0">
      <selection activeCell="A12" sqref="A12"/>
    </sheetView>
  </sheetViews>
  <sheetFormatPr defaultRowHeight="15" x14ac:dyDescent="0.25"/>
  <cols>
    <col min="3" max="3" width="10.5703125" customWidth="1"/>
    <col min="4" max="4" width="9.5703125" customWidth="1"/>
    <col min="8" max="8" width="9.7109375" customWidth="1"/>
    <col min="16" max="16" width="17" customWidth="1"/>
  </cols>
  <sheetData>
    <row r="1" spans="2:16" ht="15.75" thickBot="1" x14ac:dyDescent="0.3"/>
    <row r="2" spans="2:16" ht="15.75" thickBot="1" x14ac:dyDescent="0.3">
      <c r="B2" t="s">
        <v>19441</v>
      </c>
      <c r="C2" t="s">
        <v>612</v>
      </c>
      <c r="D2" t="s">
        <v>19442</v>
      </c>
      <c r="E2" t="s">
        <v>19443</v>
      </c>
      <c r="F2" t="s">
        <v>621</v>
      </c>
      <c r="G2" t="s">
        <v>19444</v>
      </c>
      <c r="H2" t="s">
        <v>617</v>
      </c>
      <c r="I2" t="s">
        <v>616</v>
      </c>
      <c r="J2" t="s">
        <v>19445</v>
      </c>
      <c r="L2" s="87" t="s">
        <v>2709</v>
      </c>
      <c r="N2" t="s">
        <v>2709</v>
      </c>
      <c r="P2" t="s">
        <v>12953</v>
      </c>
    </row>
    <row r="3" spans="2:16" ht="15.75" thickBot="1" x14ac:dyDescent="0.3">
      <c r="B3" t="s">
        <v>19446</v>
      </c>
      <c r="C3" s="16">
        <v>29053930</v>
      </c>
      <c r="D3" s="16"/>
      <c r="E3">
        <v>35</v>
      </c>
      <c r="F3">
        <v>17</v>
      </c>
      <c r="G3">
        <v>0</v>
      </c>
      <c r="H3">
        <v>0</v>
      </c>
      <c r="I3">
        <v>0</v>
      </c>
      <c r="J3">
        <v>12</v>
      </c>
      <c r="L3" s="87" t="s">
        <v>2710</v>
      </c>
      <c r="N3" t="s">
        <v>2710</v>
      </c>
      <c r="P3" t="s">
        <v>12966</v>
      </c>
    </row>
    <row r="4" spans="2:16" ht="15.75" thickBot="1" x14ac:dyDescent="0.3">
      <c r="B4" t="s">
        <v>19448</v>
      </c>
      <c r="C4" s="16">
        <v>29053930</v>
      </c>
      <c r="D4" s="16"/>
      <c r="E4">
        <v>79.25</v>
      </c>
      <c r="F4">
        <v>17</v>
      </c>
      <c r="G4">
        <v>0</v>
      </c>
      <c r="H4">
        <v>0</v>
      </c>
      <c r="I4">
        <v>0</v>
      </c>
      <c r="J4">
        <v>12</v>
      </c>
      <c r="L4" s="87" t="s">
        <v>2711</v>
      </c>
      <c r="N4" t="s">
        <v>2711</v>
      </c>
      <c r="P4" t="s">
        <v>12903</v>
      </c>
    </row>
    <row r="5" spans="2:16" ht="15.75" thickBot="1" x14ac:dyDescent="0.3">
      <c r="B5" t="s">
        <v>2724</v>
      </c>
      <c r="C5" s="16">
        <v>29053930</v>
      </c>
      <c r="D5" s="16"/>
      <c r="E5">
        <v>79</v>
      </c>
      <c r="F5">
        <v>17</v>
      </c>
      <c r="G5">
        <v>0</v>
      </c>
      <c r="H5">
        <v>0</v>
      </c>
      <c r="I5">
        <v>0</v>
      </c>
      <c r="J5">
        <v>12</v>
      </c>
      <c r="L5" s="87" t="s">
        <v>2712</v>
      </c>
      <c r="N5" t="s">
        <v>2712</v>
      </c>
      <c r="P5" t="s">
        <v>13039</v>
      </c>
    </row>
    <row r="6" spans="2:16" ht="15.75" thickBot="1" x14ac:dyDescent="0.3">
      <c r="B6" t="s">
        <v>19449</v>
      </c>
      <c r="C6" s="16">
        <v>29053930</v>
      </c>
      <c r="D6" s="16"/>
      <c r="E6">
        <v>60</v>
      </c>
      <c r="F6">
        <v>17</v>
      </c>
      <c r="G6">
        <v>0</v>
      </c>
      <c r="H6">
        <v>0</v>
      </c>
      <c r="I6">
        <v>0</v>
      </c>
      <c r="J6">
        <v>12</v>
      </c>
      <c r="L6" s="87" t="s">
        <v>2713</v>
      </c>
      <c r="N6" t="s">
        <v>2713</v>
      </c>
    </row>
    <row r="7" spans="2:16" ht="15.75" thickBot="1" x14ac:dyDescent="0.3">
      <c r="B7" t="s">
        <v>2720</v>
      </c>
      <c r="C7" s="16">
        <v>29053930</v>
      </c>
      <c r="D7" s="16"/>
      <c r="E7">
        <v>79.25</v>
      </c>
      <c r="F7">
        <v>17</v>
      </c>
      <c r="G7">
        <v>0</v>
      </c>
      <c r="H7">
        <v>0</v>
      </c>
      <c r="I7">
        <v>0</v>
      </c>
      <c r="J7">
        <v>12</v>
      </c>
      <c r="L7" s="87" t="s">
        <v>2714</v>
      </c>
      <c r="N7" t="s">
        <v>2714</v>
      </c>
    </row>
    <row r="8" spans="2:16" ht="15.75" thickBot="1" x14ac:dyDescent="0.3">
      <c r="B8" t="s">
        <v>2721</v>
      </c>
      <c r="C8" s="16">
        <v>29053930</v>
      </c>
      <c r="D8" s="16"/>
      <c r="E8">
        <v>35</v>
      </c>
      <c r="F8">
        <v>17</v>
      </c>
      <c r="G8">
        <v>0</v>
      </c>
      <c r="H8">
        <v>0</v>
      </c>
      <c r="I8">
        <v>0</v>
      </c>
      <c r="J8">
        <v>12</v>
      </c>
      <c r="L8" s="87" t="s">
        <v>2715</v>
      </c>
      <c r="N8" t="s">
        <v>2715</v>
      </c>
    </row>
    <row r="9" spans="2:16" ht="15.75" thickBot="1" x14ac:dyDescent="0.3">
      <c r="B9" t="s">
        <v>2719</v>
      </c>
      <c r="C9" s="16">
        <v>29053930</v>
      </c>
      <c r="D9" s="16"/>
      <c r="E9">
        <v>81.44</v>
      </c>
      <c r="F9">
        <v>17</v>
      </c>
      <c r="G9">
        <v>0</v>
      </c>
      <c r="H9">
        <v>0</v>
      </c>
      <c r="I9">
        <v>0</v>
      </c>
      <c r="J9">
        <v>12</v>
      </c>
      <c r="L9" s="87" t="s">
        <v>2716</v>
      </c>
      <c r="N9" t="s">
        <v>2716</v>
      </c>
    </row>
    <row r="10" spans="2:16" ht="15.75" thickBot="1" x14ac:dyDescent="0.3">
      <c r="B10" t="s">
        <v>2715</v>
      </c>
      <c r="C10" s="16">
        <v>29053930</v>
      </c>
      <c r="D10" s="16"/>
      <c r="E10">
        <v>75</v>
      </c>
      <c r="F10">
        <v>17</v>
      </c>
      <c r="G10">
        <v>0</v>
      </c>
      <c r="H10">
        <v>0</v>
      </c>
      <c r="I10">
        <v>0</v>
      </c>
      <c r="J10">
        <v>12</v>
      </c>
      <c r="L10" s="87" t="s">
        <v>2717</v>
      </c>
      <c r="N10" t="s">
        <v>2717</v>
      </c>
    </row>
    <row r="11" spans="2:16" ht="15.75" thickBot="1" x14ac:dyDescent="0.3">
      <c r="B11" t="s">
        <v>2716</v>
      </c>
      <c r="C11" s="16">
        <v>29053930</v>
      </c>
      <c r="D11" s="16"/>
      <c r="E11">
        <v>35</v>
      </c>
      <c r="F11">
        <v>17</v>
      </c>
      <c r="G11">
        <v>0</v>
      </c>
      <c r="H11">
        <v>0</v>
      </c>
      <c r="I11">
        <v>0</v>
      </c>
      <c r="J11">
        <v>12</v>
      </c>
      <c r="L11" s="87" t="s">
        <v>2718</v>
      </c>
      <c r="N11" t="s">
        <v>2718</v>
      </c>
    </row>
    <row r="12" spans="2:16" ht="15.75" thickBot="1" x14ac:dyDescent="0.3">
      <c r="B12" t="s">
        <v>19450</v>
      </c>
      <c r="C12" s="16">
        <v>29053930</v>
      </c>
      <c r="D12" s="16"/>
      <c r="E12">
        <v>35</v>
      </c>
      <c r="F12">
        <v>17</v>
      </c>
      <c r="G12">
        <v>0</v>
      </c>
      <c r="H12">
        <v>0</v>
      </c>
      <c r="I12">
        <v>0</v>
      </c>
      <c r="J12">
        <v>12</v>
      </c>
      <c r="L12" s="87" t="s">
        <v>2719</v>
      </c>
      <c r="N12" t="s">
        <v>2719</v>
      </c>
    </row>
    <row r="13" spans="2:16" ht="15.75" thickBot="1" x14ac:dyDescent="0.3">
      <c r="B13" t="s">
        <v>2714</v>
      </c>
      <c r="C13" s="16">
        <v>29053930</v>
      </c>
      <c r="D13" s="16"/>
      <c r="E13">
        <v>177.19</v>
      </c>
      <c r="F13">
        <v>12</v>
      </c>
      <c r="G13">
        <v>0</v>
      </c>
      <c r="H13">
        <v>0</v>
      </c>
      <c r="I13">
        <v>0</v>
      </c>
      <c r="J13">
        <v>12</v>
      </c>
      <c r="L13" s="87" t="s">
        <v>2720</v>
      </c>
      <c r="N13" t="s">
        <v>2720</v>
      </c>
    </row>
    <row r="14" spans="2:16" ht="15.75" thickBot="1" x14ac:dyDescent="0.3">
      <c r="B14" t="s">
        <v>2718</v>
      </c>
      <c r="C14" s="16">
        <v>29053930</v>
      </c>
      <c r="D14" s="16"/>
      <c r="E14">
        <v>35</v>
      </c>
      <c r="F14">
        <v>17</v>
      </c>
      <c r="G14">
        <v>0</v>
      </c>
      <c r="H14">
        <v>0</v>
      </c>
      <c r="I14">
        <v>0</v>
      </c>
      <c r="J14">
        <v>12</v>
      </c>
      <c r="L14" s="87" t="s">
        <v>2721</v>
      </c>
      <c r="N14" t="s">
        <v>2721</v>
      </c>
    </row>
    <row r="15" spans="2:16" ht="15.75" thickBot="1" x14ac:dyDescent="0.3">
      <c r="B15" t="s">
        <v>2717</v>
      </c>
      <c r="C15" s="16">
        <v>29053930</v>
      </c>
      <c r="D15" s="16"/>
      <c r="E15">
        <v>0</v>
      </c>
      <c r="F15">
        <v>17</v>
      </c>
      <c r="G15">
        <v>0</v>
      </c>
      <c r="H15">
        <v>0</v>
      </c>
      <c r="I15">
        <v>0</v>
      </c>
      <c r="J15">
        <v>12</v>
      </c>
      <c r="L15" s="87" t="s">
        <v>2722</v>
      </c>
      <c r="N15" t="s">
        <v>2722</v>
      </c>
    </row>
    <row r="16" spans="2:16" ht="15.75" thickBot="1" x14ac:dyDescent="0.3">
      <c r="B16" t="s">
        <v>2723</v>
      </c>
      <c r="C16" s="16">
        <v>29053930</v>
      </c>
      <c r="D16" s="16"/>
      <c r="E16">
        <v>35</v>
      </c>
      <c r="F16">
        <v>17</v>
      </c>
      <c r="G16">
        <v>0</v>
      </c>
      <c r="H16">
        <v>0</v>
      </c>
      <c r="I16">
        <v>0</v>
      </c>
      <c r="J16">
        <v>12</v>
      </c>
      <c r="L16" s="87" t="s">
        <v>2723</v>
      </c>
      <c r="N16" t="s">
        <v>2723</v>
      </c>
    </row>
    <row r="17" spans="2:14" ht="15.75" thickBot="1" x14ac:dyDescent="0.3">
      <c r="B17" t="s">
        <v>19451</v>
      </c>
      <c r="C17" s="16">
        <v>29053930</v>
      </c>
      <c r="D17" s="16"/>
      <c r="E17">
        <v>35</v>
      </c>
      <c r="F17">
        <v>17</v>
      </c>
      <c r="G17">
        <v>0</v>
      </c>
      <c r="H17">
        <v>0</v>
      </c>
      <c r="I17">
        <v>0</v>
      </c>
      <c r="J17">
        <v>12</v>
      </c>
      <c r="L17" s="87" t="s">
        <v>2724</v>
      </c>
      <c r="N17" t="s">
        <v>2724</v>
      </c>
    </row>
    <row r="18" spans="2:14" x14ac:dyDescent="0.25">
      <c r="B18" t="s">
        <v>2722</v>
      </c>
      <c r="C18" s="16">
        <v>29053930</v>
      </c>
      <c r="D18" s="16"/>
      <c r="E18">
        <v>60.24</v>
      </c>
      <c r="F18">
        <v>17</v>
      </c>
      <c r="G18">
        <v>0</v>
      </c>
      <c r="H18">
        <v>0</v>
      </c>
      <c r="I18">
        <v>0</v>
      </c>
      <c r="J18">
        <v>12</v>
      </c>
    </row>
    <row r="19" spans="2:14" x14ac:dyDescent="0.25">
      <c r="B19" t="s">
        <v>19452</v>
      </c>
      <c r="C19" s="16">
        <v>29053930</v>
      </c>
      <c r="D19" s="16"/>
      <c r="E19">
        <v>35</v>
      </c>
      <c r="F19">
        <v>17</v>
      </c>
      <c r="G19">
        <v>0</v>
      </c>
      <c r="H19">
        <v>0</v>
      </c>
      <c r="I19">
        <v>0</v>
      </c>
      <c r="J19">
        <v>12</v>
      </c>
    </row>
    <row r="20" spans="2:14" x14ac:dyDescent="0.25">
      <c r="B20" t="s">
        <v>2710</v>
      </c>
      <c r="C20" s="16">
        <v>29053930</v>
      </c>
      <c r="D20" s="16"/>
      <c r="E20">
        <v>177.19</v>
      </c>
      <c r="F20">
        <v>12</v>
      </c>
      <c r="G20">
        <v>0</v>
      </c>
      <c r="H20">
        <v>0</v>
      </c>
      <c r="I20">
        <v>0</v>
      </c>
      <c r="J20">
        <v>12</v>
      </c>
    </row>
    <row r="21" spans="2:14" x14ac:dyDescent="0.25">
      <c r="B21" t="s">
        <v>2713</v>
      </c>
      <c r="C21" s="16">
        <v>29053930</v>
      </c>
      <c r="D21" s="16"/>
      <c r="E21">
        <v>60</v>
      </c>
      <c r="F21">
        <v>19</v>
      </c>
      <c r="G21">
        <v>0</v>
      </c>
      <c r="H21">
        <v>0</v>
      </c>
      <c r="I21">
        <v>0</v>
      </c>
      <c r="J21">
        <v>12</v>
      </c>
    </row>
    <row r="22" spans="2:14" x14ac:dyDescent="0.25">
      <c r="B22" t="s">
        <v>19453</v>
      </c>
      <c r="C22" s="16">
        <v>29053930</v>
      </c>
      <c r="D22" s="16"/>
      <c r="E22">
        <v>35</v>
      </c>
      <c r="F22">
        <v>17</v>
      </c>
      <c r="G22">
        <v>0</v>
      </c>
      <c r="H22">
        <v>0</v>
      </c>
      <c r="I22">
        <v>0</v>
      </c>
      <c r="J22">
        <v>12</v>
      </c>
    </row>
    <row r="23" spans="2:14" x14ac:dyDescent="0.25">
      <c r="B23" t="s">
        <v>19454</v>
      </c>
      <c r="C23" s="16">
        <v>29053930</v>
      </c>
      <c r="D23" s="16"/>
      <c r="E23">
        <v>35</v>
      </c>
      <c r="F23">
        <v>17</v>
      </c>
      <c r="G23">
        <v>0</v>
      </c>
      <c r="H23">
        <v>0</v>
      </c>
      <c r="I23">
        <v>0</v>
      </c>
      <c r="J23">
        <v>12</v>
      </c>
    </row>
    <row r="24" spans="2:14" x14ac:dyDescent="0.25">
      <c r="B24" t="s">
        <v>19455</v>
      </c>
      <c r="C24" s="16">
        <v>29053930</v>
      </c>
      <c r="D24" s="16"/>
      <c r="E24">
        <v>35</v>
      </c>
      <c r="F24">
        <v>17</v>
      </c>
      <c r="G24">
        <v>0</v>
      </c>
      <c r="H24">
        <v>0</v>
      </c>
      <c r="I24">
        <v>0</v>
      </c>
      <c r="J24">
        <v>12</v>
      </c>
    </row>
    <row r="25" spans="2:14" x14ac:dyDescent="0.25">
      <c r="B25" t="s">
        <v>2712</v>
      </c>
      <c r="C25" s="16">
        <v>29053930</v>
      </c>
      <c r="D25" s="16"/>
      <c r="E25">
        <v>79.25</v>
      </c>
      <c r="F25">
        <v>17</v>
      </c>
      <c r="G25">
        <v>0</v>
      </c>
      <c r="H25">
        <v>0</v>
      </c>
      <c r="I25">
        <v>0</v>
      </c>
      <c r="J25">
        <v>12</v>
      </c>
    </row>
    <row r="26" spans="2:14" x14ac:dyDescent="0.25">
      <c r="B26" t="s">
        <v>2711</v>
      </c>
      <c r="C26" s="16">
        <v>29053930</v>
      </c>
      <c r="D26" s="16"/>
      <c r="E26">
        <v>60</v>
      </c>
      <c r="F26">
        <v>17</v>
      </c>
      <c r="G26">
        <v>0</v>
      </c>
      <c r="H26">
        <v>0</v>
      </c>
      <c r="I26">
        <v>0</v>
      </c>
      <c r="J26">
        <v>12</v>
      </c>
    </row>
    <row r="27" spans="2:14" x14ac:dyDescent="0.25">
      <c r="B27" t="s">
        <v>19456</v>
      </c>
      <c r="C27" s="16">
        <v>29053930</v>
      </c>
      <c r="D27" s="16"/>
      <c r="E27">
        <v>35</v>
      </c>
      <c r="F27">
        <v>17</v>
      </c>
      <c r="G27">
        <v>0</v>
      </c>
      <c r="H27">
        <v>0</v>
      </c>
      <c r="I27">
        <v>0</v>
      </c>
      <c r="J27">
        <v>12</v>
      </c>
    </row>
    <row r="28" spans="2:14" x14ac:dyDescent="0.25">
      <c r="B28" t="s">
        <v>2709</v>
      </c>
      <c r="C28" s="16">
        <v>29053930</v>
      </c>
      <c r="D28" s="16"/>
      <c r="E28">
        <v>68.819999999999993</v>
      </c>
      <c r="F28">
        <v>18</v>
      </c>
      <c r="G28">
        <v>0</v>
      </c>
      <c r="H28">
        <v>0</v>
      </c>
      <c r="I28">
        <v>0</v>
      </c>
      <c r="J28">
        <v>12</v>
      </c>
    </row>
    <row r="29" spans="2:14" x14ac:dyDescent="0.25">
      <c r="B29" t="s">
        <v>19457</v>
      </c>
      <c r="C29" s="16">
        <v>29053930</v>
      </c>
      <c r="D29" s="16"/>
      <c r="E29">
        <v>35</v>
      </c>
      <c r="F29">
        <v>17</v>
      </c>
      <c r="G29">
        <v>0</v>
      </c>
      <c r="H29">
        <v>0</v>
      </c>
      <c r="I29">
        <v>0</v>
      </c>
      <c r="J29">
        <v>12</v>
      </c>
    </row>
    <row r="30" spans="2:14" x14ac:dyDescent="0.25">
      <c r="B30" t="s">
        <v>19446</v>
      </c>
      <c r="C30" s="16">
        <v>30029092</v>
      </c>
      <c r="D30" s="16"/>
      <c r="E30">
        <v>0</v>
      </c>
      <c r="F30">
        <v>17</v>
      </c>
      <c r="G30">
        <v>0</v>
      </c>
      <c r="H30">
        <v>9.9</v>
      </c>
      <c r="I30">
        <v>2.1</v>
      </c>
      <c r="J30">
        <v>4</v>
      </c>
    </row>
    <row r="31" spans="2:14" x14ac:dyDescent="0.25">
      <c r="B31" t="s">
        <v>19448</v>
      </c>
      <c r="C31" s="16">
        <v>30029092</v>
      </c>
      <c r="D31" s="16"/>
      <c r="E31">
        <v>0</v>
      </c>
      <c r="F31">
        <v>17</v>
      </c>
      <c r="G31">
        <v>0</v>
      </c>
      <c r="H31">
        <v>9.9</v>
      </c>
      <c r="I31">
        <v>2.1</v>
      </c>
      <c r="J31">
        <v>4</v>
      </c>
    </row>
    <row r="32" spans="2:14" x14ac:dyDescent="0.25">
      <c r="B32" t="s">
        <v>2724</v>
      </c>
      <c r="C32" s="16">
        <v>30029092</v>
      </c>
      <c r="D32" s="16"/>
      <c r="E32">
        <v>59</v>
      </c>
      <c r="F32">
        <v>17</v>
      </c>
      <c r="G32">
        <v>0</v>
      </c>
      <c r="H32">
        <v>9.9</v>
      </c>
      <c r="I32">
        <v>2.1</v>
      </c>
      <c r="J32">
        <v>4</v>
      </c>
    </row>
    <row r="33" spans="2:10" x14ac:dyDescent="0.25">
      <c r="B33" t="s">
        <v>19449</v>
      </c>
      <c r="C33" s="16">
        <v>30029092</v>
      </c>
      <c r="D33" s="16"/>
      <c r="E33">
        <v>0</v>
      </c>
      <c r="F33">
        <v>17</v>
      </c>
      <c r="G33">
        <v>0</v>
      </c>
      <c r="H33">
        <v>9.9</v>
      </c>
      <c r="I33">
        <v>2.1</v>
      </c>
      <c r="J33">
        <v>4</v>
      </c>
    </row>
    <row r="34" spans="2:10" x14ac:dyDescent="0.25">
      <c r="B34" t="s">
        <v>2720</v>
      </c>
      <c r="C34" s="16">
        <v>30029092</v>
      </c>
      <c r="D34" s="16"/>
      <c r="E34">
        <v>0</v>
      </c>
      <c r="F34">
        <v>17</v>
      </c>
      <c r="G34">
        <v>0</v>
      </c>
      <c r="H34">
        <v>9.9</v>
      </c>
      <c r="I34">
        <v>2.1</v>
      </c>
      <c r="J34">
        <v>4</v>
      </c>
    </row>
    <row r="35" spans="2:10" x14ac:dyDescent="0.25">
      <c r="B35" t="s">
        <v>2721</v>
      </c>
      <c r="C35" s="16">
        <v>30029092</v>
      </c>
      <c r="D35" s="16"/>
      <c r="E35" t="s">
        <v>19447</v>
      </c>
      <c r="F35">
        <v>17</v>
      </c>
      <c r="G35">
        <v>0</v>
      </c>
      <c r="H35">
        <v>9.9</v>
      </c>
      <c r="I35">
        <v>2.1</v>
      </c>
      <c r="J35">
        <v>4</v>
      </c>
    </row>
    <row r="36" spans="2:10" x14ac:dyDescent="0.25">
      <c r="B36" t="s">
        <v>2719</v>
      </c>
      <c r="C36" s="16">
        <v>30029092</v>
      </c>
      <c r="D36" s="16"/>
      <c r="E36">
        <v>0</v>
      </c>
      <c r="F36">
        <v>17</v>
      </c>
      <c r="G36">
        <v>0</v>
      </c>
      <c r="H36">
        <v>9.9</v>
      </c>
      <c r="I36">
        <v>2.1</v>
      </c>
      <c r="J36">
        <v>4</v>
      </c>
    </row>
    <row r="37" spans="2:10" x14ac:dyDescent="0.25">
      <c r="B37" t="s">
        <v>2715</v>
      </c>
      <c r="C37" s="16">
        <v>30029092</v>
      </c>
      <c r="D37" s="16"/>
      <c r="E37">
        <v>0</v>
      </c>
      <c r="F37">
        <v>17</v>
      </c>
      <c r="G37">
        <v>0</v>
      </c>
      <c r="H37">
        <v>9.9</v>
      </c>
      <c r="I37">
        <v>2.1</v>
      </c>
      <c r="J37">
        <v>4</v>
      </c>
    </row>
    <row r="38" spans="2:10" x14ac:dyDescent="0.25">
      <c r="B38" t="s">
        <v>2716</v>
      </c>
      <c r="C38" s="16">
        <v>30029092</v>
      </c>
      <c r="D38" s="16"/>
      <c r="E38" t="s">
        <v>19447</v>
      </c>
      <c r="F38">
        <v>17</v>
      </c>
      <c r="G38">
        <v>0</v>
      </c>
      <c r="H38">
        <v>9.9</v>
      </c>
      <c r="I38">
        <v>2.1</v>
      </c>
      <c r="J38">
        <v>4</v>
      </c>
    </row>
    <row r="39" spans="2:10" x14ac:dyDescent="0.25">
      <c r="B39" t="s">
        <v>19450</v>
      </c>
      <c r="C39" s="16">
        <v>30029092</v>
      </c>
      <c r="D39" s="16"/>
      <c r="E39">
        <v>0</v>
      </c>
      <c r="F39">
        <v>17</v>
      </c>
      <c r="G39">
        <v>0</v>
      </c>
      <c r="H39">
        <v>9.9</v>
      </c>
      <c r="I39">
        <v>2.1</v>
      </c>
      <c r="J39">
        <v>4</v>
      </c>
    </row>
    <row r="40" spans="2:10" x14ac:dyDescent="0.25">
      <c r="B40" t="s">
        <v>2714</v>
      </c>
      <c r="C40" s="16">
        <v>30029092</v>
      </c>
      <c r="D40" s="16"/>
      <c r="E40">
        <v>0</v>
      </c>
      <c r="F40">
        <v>12</v>
      </c>
      <c r="G40">
        <v>0</v>
      </c>
      <c r="H40">
        <v>9.9</v>
      </c>
      <c r="I40">
        <v>2.1</v>
      </c>
      <c r="J40">
        <v>4</v>
      </c>
    </row>
    <row r="41" spans="2:10" x14ac:dyDescent="0.25">
      <c r="B41" t="s">
        <v>2718</v>
      </c>
      <c r="C41" s="16">
        <v>30029092</v>
      </c>
      <c r="D41" s="16"/>
      <c r="E41">
        <v>0</v>
      </c>
      <c r="F41">
        <v>17</v>
      </c>
      <c r="G41">
        <v>0</v>
      </c>
      <c r="H41">
        <v>9.9</v>
      </c>
      <c r="I41">
        <v>2.1</v>
      </c>
      <c r="J41">
        <v>4</v>
      </c>
    </row>
    <row r="42" spans="2:10" x14ac:dyDescent="0.25">
      <c r="B42" t="s">
        <v>2717</v>
      </c>
      <c r="C42" s="16">
        <v>30029092</v>
      </c>
      <c r="D42" s="16"/>
      <c r="E42">
        <v>0</v>
      </c>
      <c r="F42">
        <v>17</v>
      </c>
      <c r="G42">
        <v>0</v>
      </c>
      <c r="H42">
        <v>9.9</v>
      </c>
      <c r="I42">
        <v>2.1</v>
      </c>
      <c r="J42">
        <v>4</v>
      </c>
    </row>
    <row r="43" spans="2:10" x14ac:dyDescent="0.25">
      <c r="B43" t="s">
        <v>2723</v>
      </c>
      <c r="C43" s="16">
        <v>30029092</v>
      </c>
      <c r="D43" s="16"/>
      <c r="E43">
        <v>0</v>
      </c>
      <c r="F43">
        <v>17</v>
      </c>
      <c r="G43">
        <v>0</v>
      </c>
      <c r="H43">
        <v>9.9</v>
      </c>
      <c r="I43">
        <v>2.1</v>
      </c>
      <c r="J43">
        <v>4</v>
      </c>
    </row>
    <row r="44" spans="2:10" x14ac:dyDescent="0.25">
      <c r="B44" t="s">
        <v>19451</v>
      </c>
      <c r="C44" s="16">
        <v>30029092</v>
      </c>
      <c r="D44" s="16"/>
      <c r="E44">
        <v>0</v>
      </c>
      <c r="F44">
        <v>17</v>
      </c>
      <c r="G44">
        <v>0</v>
      </c>
      <c r="H44">
        <v>9.9</v>
      </c>
      <c r="I44">
        <v>2.1</v>
      </c>
      <c r="J44">
        <v>4</v>
      </c>
    </row>
    <row r="45" spans="2:10" x14ac:dyDescent="0.25">
      <c r="B45" t="s">
        <v>2722</v>
      </c>
      <c r="C45" s="16">
        <v>30029092</v>
      </c>
      <c r="D45" s="16"/>
      <c r="E45">
        <v>41.34</v>
      </c>
      <c r="F45">
        <v>17</v>
      </c>
      <c r="G45">
        <v>0</v>
      </c>
      <c r="H45">
        <v>9.9</v>
      </c>
      <c r="I45">
        <v>2.1</v>
      </c>
      <c r="J45">
        <v>4</v>
      </c>
    </row>
    <row r="46" spans="2:10" x14ac:dyDescent="0.25">
      <c r="B46" t="s">
        <v>19452</v>
      </c>
      <c r="C46" s="16">
        <v>30029092</v>
      </c>
      <c r="D46" s="16"/>
      <c r="E46">
        <v>0</v>
      </c>
      <c r="F46">
        <v>17</v>
      </c>
      <c r="G46">
        <v>0</v>
      </c>
      <c r="H46">
        <v>9.9</v>
      </c>
      <c r="I46">
        <v>2.1</v>
      </c>
      <c r="J46">
        <v>4</v>
      </c>
    </row>
    <row r="47" spans="2:10" x14ac:dyDescent="0.25">
      <c r="B47" t="s">
        <v>2710</v>
      </c>
      <c r="C47" s="16">
        <v>30029092</v>
      </c>
      <c r="D47" s="16"/>
      <c r="E47">
        <v>41.38</v>
      </c>
      <c r="F47">
        <v>12</v>
      </c>
      <c r="G47">
        <v>0</v>
      </c>
      <c r="H47">
        <v>9.9</v>
      </c>
      <c r="I47">
        <v>2.1</v>
      </c>
      <c r="J47">
        <v>4</v>
      </c>
    </row>
    <row r="48" spans="2:10" x14ac:dyDescent="0.25">
      <c r="B48" t="s">
        <v>2713</v>
      </c>
      <c r="C48" s="16">
        <v>30029092</v>
      </c>
      <c r="D48" s="16"/>
      <c r="E48">
        <v>0</v>
      </c>
      <c r="F48">
        <v>19</v>
      </c>
      <c r="G48">
        <v>0</v>
      </c>
      <c r="H48">
        <v>9.9</v>
      </c>
      <c r="I48">
        <v>2.1</v>
      </c>
      <c r="J48">
        <v>4</v>
      </c>
    </row>
    <row r="49" spans="2:12" x14ac:dyDescent="0.25">
      <c r="B49" t="s">
        <v>19453</v>
      </c>
      <c r="C49" s="16">
        <v>30029092</v>
      </c>
      <c r="D49" s="16"/>
      <c r="E49">
        <v>41.34</v>
      </c>
      <c r="F49">
        <v>17</v>
      </c>
      <c r="G49">
        <v>0</v>
      </c>
      <c r="H49">
        <v>9.9</v>
      </c>
      <c r="I49">
        <v>2.1</v>
      </c>
      <c r="J49">
        <v>4</v>
      </c>
    </row>
    <row r="50" spans="2:12" x14ac:dyDescent="0.25">
      <c r="B50" t="s">
        <v>19454</v>
      </c>
      <c r="C50" s="16">
        <v>30029092</v>
      </c>
      <c r="D50" s="16"/>
      <c r="E50">
        <v>0</v>
      </c>
      <c r="F50">
        <v>17</v>
      </c>
      <c r="G50">
        <v>0</v>
      </c>
      <c r="H50">
        <v>9.9</v>
      </c>
      <c r="I50">
        <v>2.1</v>
      </c>
      <c r="J50">
        <v>4</v>
      </c>
    </row>
    <row r="51" spans="2:12" x14ac:dyDescent="0.25">
      <c r="B51" t="s">
        <v>19455</v>
      </c>
      <c r="C51" s="16">
        <v>30029092</v>
      </c>
      <c r="D51" s="16"/>
      <c r="E51">
        <v>0</v>
      </c>
      <c r="F51">
        <v>17</v>
      </c>
      <c r="G51">
        <v>0</v>
      </c>
      <c r="H51">
        <v>9.9</v>
      </c>
      <c r="I51">
        <v>2.1</v>
      </c>
      <c r="J51">
        <v>4</v>
      </c>
    </row>
    <row r="52" spans="2:12" x14ac:dyDescent="0.25">
      <c r="B52" t="s">
        <v>2712</v>
      </c>
      <c r="C52" s="16">
        <v>30029092</v>
      </c>
      <c r="D52" s="16"/>
      <c r="E52">
        <v>41.34</v>
      </c>
      <c r="F52">
        <v>17</v>
      </c>
      <c r="G52">
        <v>0</v>
      </c>
      <c r="H52">
        <v>9.9</v>
      </c>
      <c r="I52">
        <v>2.1</v>
      </c>
      <c r="J52">
        <v>4</v>
      </c>
    </row>
    <row r="53" spans="2:12" x14ac:dyDescent="0.25">
      <c r="B53" t="s">
        <v>2711</v>
      </c>
      <c r="C53" s="16">
        <v>30029092</v>
      </c>
      <c r="D53" s="16"/>
      <c r="E53">
        <v>0</v>
      </c>
      <c r="F53">
        <v>17</v>
      </c>
      <c r="G53">
        <v>0</v>
      </c>
      <c r="H53">
        <v>9.9</v>
      </c>
      <c r="I53">
        <v>2.1</v>
      </c>
      <c r="J53">
        <v>4</v>
      </c>
    </row>
    <row r="54" spans="2:12" x14ac:dyDescent="0.25">
      <c r="B54" t="s">
        <v>19456</v>
      </c>
      <c r="C54" s="16">
        <v>30029092</v>
      </c>
      <c r="D54" s="16"/>
      <c r="E54">
        <v>41.34</v>
      </c>
      <c r="F54">
        <v>17</v>
      </c>
      <c r="G54">
        <v>0</v>
      </c>
      <c r="H54">
        <v>9.9</v>
      </c>
      <c r="I54">
        <v>2.1</v>
      </c>
      <c r="J54">
        <v>4</v>
      </c>
    </row>
    <row r="55" spans="2:12" x14ac:dyDescent="0.25">
      <c r="B55" t="s">
        <v>2709</v>
      </c>
      <c r="C55" s="16">
        <v>30029092</v>
      </c>
      <c r="D55" s="16"/>
      <c r="E55">
        <v>0</v>
      </c>
      <c r="F55">
        <v>18</v>
      </c>
      <c r="G55">
        <v>0</v>
      </c>
      <c r="H55">
        <v>9.9</v>
      </c>
      <c r="I55">
        <v>2.1</v>
      </c>
      <c r="J55">
        <v>4</v>
      </c>
    </row>
    <row r="56" spans="2:12" x14ac:dyDescent="0.25">
      <c r="B56" t="s">
        <v>19457</v>
      </c>
      <c r="C56" s="16">
        <v>30029092</v>
      </c>
      <c r="D56" s="16"/>
      <c r="E56">
        <v>100</v>
      </c>
      <c r="F56">
        <v>17</v>
      </c>
      <c r="G56">
        <v>0</v>
      </c>
      <c r="H56">
        <v>9.9</v>
      </c>
      <c r="I56">
        <v>2.1</v>
      </c>
      <c r="J56">
        <v>4</v>
      </c>
    </row>
    <row r="57" spans="2:12" x14ac:dyDescent="0.25">
      <c r="B57" t="s">
        <v>19446</v>
      </c>
      <c r="C57" t="s">
        <v>12903</v>
      </c>
      <c r="D57" s="16"/>
      <c r="E57">
        <v>0</v>
      </c>
      <c r="F57">
        <v>17</v>
      </c>
      <c r="G57">
        <v>0</v>
      </c>
      <c r="H57">
        <v>9.9</v>
      </c>
      <c r="I57">
        <v>2.1</v>
      </c>
      <c r="J57">
        <v>4</v>
      </c>
      <c r="L57" t="s">
        <v>12903</v>
      </c>
    </row>
    <row r="58" spans="2:12" x14ac:dyDescent="0.25">
      <c r="B58" t="s">
        <v>19448</v>
      </c>
      <c r="C58" t="s">
        <v>12903</v>
      </c>
      <c r="D58" s="16"/>
      <c r="E58">
        <v>0</v>
      </c>
      <c r="F58">
        <v>17</v>
      </c>
      <c r="G58">
        <v>0</v>
      </c>
      <c r="H58">
        <v>9.9</v>
      </c>
      <c r="I58">
        <v>2.1</v>
      </c>
      <c r="J58">
        <v>4</v>
      </c>
    </row>
    <row r="59" spans="2:12" x14ac:dyDescent="0.25">
      <c r="B59" t="s">
        <v>2724</v>
      </c>
      <c r="C59" t="s">
        <v>12903</v>
      </c>
      <c r="D59" s="16"/>
      <c r="E59">
        <v>59</v>
      </c>
      <c r="F59">
        <v>17</v>
      </c>
      <c r="G59">
        <v>0</v>
      </c>
      <c r="H59">
        <v>9.9</v>
      </c>
      <c r="I59">
        <v>2.1</v>
      </c>
      <c r="J59">
        <v>4</v>
      </c>
    </row>
    <row r="60" spans="2:12" x14ac:dyDescent="0.25">
      <c r="B60" t="s">
        <v>19449</v>
      </c>
      <c r="C60" t="s">
        <v>12903</v>
      </c>
      <c r="D60" s="16"/>
      <c r="E60">
        <v>0</v>
      </c>
      <c r="F60">
        <v>17</v>
      </c>
      <c r="G60">
        <v>0</v>
      </c>
      <c r="H60">
        <v>9.9</v>
      </c>
      <c r="I60">
        <v>2.1</v>
      </c>
      <c r="J60">
        <v>4</v>
      </c>
    </row>
    <row r="61" spans="2:12" x14ac:dyDescent="0.25">
      <c r="B61" t="s">
        <v>2720</v>
      </c>
      <c r="C61" t="s">
        <v>12903</v>
      </c>
      <c r="D61" s="16"/>
      <c r="E61">
        <v>0</v>
      </c>
      <c r="F61">
        <v>17</v>
      </c>
      <c r="G61">
        <v>0</v>
      </c>
      <c r="H61">
        <v>9.9</v>
      </c>
      <c r="I61">
        <v>2.1</v>
      </c>
      <c r="J61">
        <v>4</v>
      </c>
    </row>
    <row r="62" spans="2:12" x14ac:dyDescent="0.25">
      <c r="B62" t="s">
        <v>2721</v>
      </c>
      <c r="C62" t="s">
        <v>12903</v>
      </c>
      <c r="D62" s="16"/>
      <c r="E62" t="s">
        <v>19447</v>
      </c>
      <c r="F62">
        <v>17</v>
      </c>
      <c r="G62">
        <v>0</v>
      </c>
      <c r="H62">
        <v>9.9</v>
      </c>
      <c r="I62">
        <v>2.1</v>
      </c>
      <c r="J62">
        <v>4</v>
      </c>
    </row>
    <row r="63" spans="2:12" x14ac:dyDescent="0.25">
      <c r="B63" t="s">
        <v>2719</v>
      </c>
      <c r="C63" t="s">
        <v>12903</v>
      </c>
      <c r="D63" s="16"/>
      <c r="E63">
        <v>0</v>
      </c>
      <c r="F63">
        <v>17</v>
      </c>
      <c r="G63">
        <v>0</v>
      </c>
      <c r="H63">
        <v>9.9</v>
      </c>
      <c r="I63">
        <v>2.1</v>
      </c>
      <c r="J63">
        <v>4</v>
      </c>
    </row>
    <row r="64" spans="2:12" x14ac:dyDescent="0.25">
      <c r="B64" t="s">
        <v>2715</v>
      </c>
      <c r="C64" t="s">
        <v>12903</v>
      </c>
      <c r="D64" s="16"/>
      <c r="E64">
        <v>0</v>
      </c>
      <c r="F64">
        <v>17</v>
      </c>
      <c r="G64">
        <v>0</v>
      </c>
      <c r="H64">
        <v>9.9</v>
      </c>
      <c r="I64">
        <v>2.1</v>
      </c>
      <c r="J64">
        <v>4</v>
      </c>
    </row>
    <row r="65" spans="2:10" x14ac:dyDescent="0.25">
      <c r="B65" t="s">
        <v>2716</v>
      </c>
      <c r="C65" t="s">
        <v>12903</v>
      </c>
      <c r="D65" s="16"/>
      <c r="E65" t="s">
        <v>19447</v>
      </c>
      <c r="F65">
        <v>17</v>
      </c>
      <c r="G65">
        <v>0</v>
      </c>
      <c r="H65">
        <v>9.9</v>
      </c>
      <c r="I65">
        <v>2.1</v>
      </c>
      <c r="J65">
        <v>4</v>
      </c>
    </row>
    <row r="66" spans="2:10" x14ac:dyDescent="0.25">
      <c r="B66" t="s">
        <v>19450</v>
      </c>
      <c r="C66" t="s">
        <v>12903</v>
      </c>
      <c r="D66" s="16"/>
      <c r="E66">
        <v>0</v>
      </c>
      <c r="F66">
        <v>17</v>
      </c>
      <c r="G66">
        <v>0</v>
      </c>
      <c r="H66">
        <v>9.9</v>
      </c>
      <c r="I66">
        <v>2.1</v>
      </c>
      <c r="J66">
        <v>4</v>
      </c>
    </row>
    <row r="67" spans="2:10" x14ac:dyDescent="0.25">
      <c r="B67" t="s">
        <v>2714</v>
      </c>
      <c r="C67" t="s">
        <v>12903</v>
      </c>
      <c r="D67" s="16"/>
      <c r="E67">
        <v>0</v>
      </c>
      <c r="F67">
        <v>12</v>
      </c>
      <c r="G67">
        <v>0</v>
      </c>
      <c r="H67">
        <v>9.9</v>
      </c>
      <c r="I67">
        <v>2.1</v>
      </c>
      <c r="J67">
        <v>4</v>
      </c>
    </row>
    <row r="68" spans="2:10" x14ac:dyDescent="0.25">
      <c r="B68" t="s">
        <v>2718</v>
      </c>
      <c r="C68" t="s">
        <v>12903</v>
      </c>
      <c r="D68" s="16"/>
      <c r="E68">
        <v>0</v>
      </c>
      <c r="F68">
        <v>17</v>
      </c>
      <c r="G68">
        <v>0</v>
      </c>
      <c r="H68">
        <v>9.9</v>
      </c>
      <c r="I68">
        <v>2.1</v>
      </c>
      <c r="J68">
        <v>4</v>
      </c>
    </row>
    <row r="69" spans="2:10" x14ac:dyDescent="0.25">
      <c r="B69" t="s">
        <v>2717</v>
      </c>
      <c r="C69" t="s">
        <v>12903</v>
      </c>
      <c r="D69" s="16"/>
      <c r="E69">
        <v>0</v>
      </c>
      <c r="F69">
        <v>17</v>
      </c>
      <c r="G69">
        <v>0</v>
      </c>
      <c r="H69">
        <v>9.9</v>
      </c>
      <c r="I69">
        <v>2.1</v>
      </c>
      <c r="J69">
        <v>4</v>
      </c>
    </row>
    <row r="70" spans="2:10" x14ac:dyDescent="0.25">
      <c r="B70" t="s">
        <v>2723</v>
      </c>
      <c r="C70" t="s">
        <v>12903</v>
      </c>
      <c r="D70" s="16"/>
      <c r="E70">
        <v>0</v>
      </c>
      <c r="F70">
        <v>17</v>
      </c>
      <c r="G70">
        <v>0</v>
      </c>
      <c r="H70">
        <v>9.9</v>
      </c>
      <c r="I70">
        <v>2.1</v>
      </c>
      <c r="J70">
        <v>4</v>
      </c>
    </row>
    <row r="71" spans="2:10" x14ac:dyDescent="0.25">
      <c r="B71" t="s">
        <v>19451</v>
      </c>
      <c r="C71" t="s">
        <v>12903</v>
      </c>
      <c r="D71" s="16"/>
      <c r="E71">
        <v>0</v>
      </c>
      <c r="F71">
        <v>17</v>
      </c>
      <c r="G71">
        <v>0</v>
      </c>
      <c r="H71">
        <v>9.9</v>
      </c>
      <c r="I71">
        <v>2.1</v>
      </c>
      <c r="J71">
        <v>4</v>
      </c>
    </row>
    <row r="72" spans="2:10" x14ac:dyDescent="0.25">
      <c r="B72" t="s">
        <v>2722</v>
      </c>
      <c r="C72" t="s">
        <v>12903</v>
      </c>
      <c r="D72" s="16"/>
      <c r="E72">
        <v>41.34</v>
      </c>
      <c r="F72">
        <v>17</v>
      </c>
      <c r="G72">
        <v>0</v>
      </c>
      <c r="H72">
        <v>9.9</v>
      </c>
      <c r="I72">
        <v>2.1</v>
      </c>
      <c r="J72">
        <v>4</v>
      </c>
    </row>
    <row r="73" spans="2:10" x14ac:dyDescent="0.25">
      <c r="B73" t="s">
        <v>19452</v>
      </c>
      <c r="C73" t="s">
        <v>12903</v>
      </c>
      <c r="D73" s="16"/>
      <c r="E73">
        <v>0</v>
      </c>
      <c r="F73">
        <v>17</v>
      </c>
      <c r="G73">
        <v>0</v>
      </c>
      <c r="H73">
        <v>9.9</v>
      </c>
      <c r="I73">
        <v>2.1</v>
      </c>
      <c r="J73">
        <v>4</v>
      </c>
    </row>
    <row r="74" spans="2:10" x14ac:dyDescent="0.25">
      <c r="B74" t="s">
        <v>2710</v>
      </c>
      <c r="C74" t="s">
        <v>12903</v>
      </c>
      <c r="D74" s="16"/>
      <c r="E74">
        <v>41.38</v>
      </c>
      <c r="F74">
        <v>12</v>
      </c>
      <c r="G74">
        <v>0</v>
      </c>
      <c r="H74">
        <v>9.9</v>
      </c>
      <c r="I74">
        <v>2.1</v>
      </c>
      <c r="J74">
        <v>4</v>
      </c>
    </row>
    <row r="75" spans="2:10" x14ac:dyDescent="0.25">
      <c r="B75" t="s">
        <v>2713</v>
      </c>
      <c r="C75" t="s">
        <v>12903</v>
      </c>
      <c r="D75" s="16"/>
      <c r="E75">
        <v>0</v>
      </c>
      <c r="F75">
        <v>19</v>
      </c>
      <c r="G75">
        <v>0</v>
      </c>
      <c r="H75">
        <v>9.9</v>
      </c>
      <c r="I75">
        <v>2.1</v>
      </c>
      <c r="J75">
        <v>4</v>
      </c>
    </row>
    <row r="76" spans="2:10" x14ac:dyDescent="0.25">
      <c r="B76" t="s">
        <v>19453</v>
      </c>
      <c r="C76" t="s">
        <v>12903</v>
      </c>
      <c r="D76" s="16"/>
      <c r="E76">
        <v>41.34</v>
      </c>
      <c r="F76">
        <v>17</v>
      </c>
      <c r="G76">
        <v>0</v>
      </c>
      <c r="H76">
        <v>9.9</v>
      </c>
      <c r="I76">
        <v>2.1</v>
      </c>
      <c r="J76">
        <v>4</v>
      </c>
    </row>
    <row r="77" spans="2:10" x14ac:dyDescent="0.25">
      <c r="B77" t="s">
        <v>19454</v>
      </c>
      <c r="C77" t="s">
        <v>12903</v>
      </c>
      <c r="D77" s="16"/>
      <c r="E77">
        <v>0</v>
      </c>
      <c r="F77">
        <v>17</v>
      </c>
      <c r="G77">
        <v>0</v>
      </c>
      <c r="H77">
        <v>9.9</v>
      </c>
      <c r="I77">
        <v>2.1</v>
      </c>
      <c r="J77">
        <v>4</v>
      </c>
    </row>
    <row r="78" spans="2:10" x14ac:dyDescent="0.25">
      <c r="B78" t="s">
        <v>19455</v>
      </c>
      <c r="C78" t="s">
        <v>12903</v>
      </c>
      <c r="D78" s="16"/>
      <c r="E78">
        <v>0</v>
      </c>
      <c r="F78">
        <v>17</v>
      </c>
      <c r="G78">
        <v>0</v>
      </c>
      <c r="H78">
        <v>9.9</v>
      </c>
      <c r="I78">
        <v>2.1</v>
      </c>
      <c r="J78">
        <v>4</v>
      </c>
    </row>
    <row r="79" spans="2:10" x14ac:dyDescent="0.25">
      <c r="B79" t="s">
        <v>2712</v>
      </c>
      <c r="C79" t="s">
        <v>12903</v>
      </c>
      <c r="D79" s="16"/>
      <c r="E79">
        <v>41.34</v>
      </c>
      <c r="F79">
        <v>17</v>
      </c>
      <c r="G79">
        <v>0</v>
      </c>
      <c r="H79">
        <v>9.9</v>
      </c>
      <c r="I79">
        <v>2.1</v>
      </c>
      <c r="J79">
        <v>4</v>
      </c>
    </row>
    <row r="80" spans="2:10" x14ac:dyDescent="0.25">
      <c r="B80" t="s">
        <v>2711</v>
      </c>
      <c r="C80" t="s">
        <v>12903</v>
      </c>
      <c r="D80" s="16"/>
      <c r="E80">
        <v>0</v>
      </c>
      <c r="F80">
        <v>17</v>
      </c>
      <c r="G80">
        <v>0</v>
      </c>
      <c r="H80">
        <v>9.9</v>
      </c>
      <c r="I80">
        <v>2.1</v>
      </c>
      <c r="J80">
        <v>4</v>
      </c>
    </row>
    <row r="81" spans="2:10" x14ac:dyDescent="0.25">
      <c r="B81" t="s">
        <v>19456</v>
      </c>
      <c r="C81" t="s">
        <v>12903</v>
      </c>
      <c r="D81" s="16"/>
      <c r="E81">
        <v>41.34</v>
      </c>
      <c r="F81">
        <v>17</v>
      </c>
      <c r="G81">
        <v>0</v>
      </c>
      <c r="H81">
        <v>9.9</v>
      </c>
      <c r="I81">
        <v>2.1</v>
      </c>
      <c r="J81">
        <v>4</v>
      </c>
    </row>
    <row r="82" spans="2:10" x14ac:dyDescent="0.25">
      <c r="B82" t="s">
        <v>2709</v>
      </c>
      <c r="C82" t="s">
        <v>12903</v>
      </c>
      <c r="D82" s="16"/>
      <c r="E82">
        <v>0</v>
      </c>
      <c r="F82">
        <v>18</v>
      </c>
      <c r="G82">
        <v>0</v>
      </c>
      <c r="H82">
        <v>9.9</v>
      </c>
      <c r="I82">
        <v>2.1</v>
      </c>
      <c r="J82">
        <v>4</v>
      </c>
    </row>
    <row r="83" spans="2:10" x14ac:dyDescent="0.25">
      <c r="B83" t="s">
        <v>19457</v>
      </c>
      <c r="C83" t="s">
        <v>12903</v>
      </c>
      <c r="D83" s="16"/>
      <c r="E83">
        <v>100</v>
      </c>
      <c r="F83">
        <v>17</v>
      </c>
      <c r="G83">
        <v>0</v>
      </c>
      <c r="H83">
        <v>9.9</v>
      </c>
      <c r="I83">
        <v>2.1</v>
      </c>
      <c r="J83">
        <v>4</v>
      </c>
    </row>
    <row r="84" spans="2:10" x14ac:dyDescent="0.25">
      <c r="B84" t="s">
        <v>19446</v>
      </c>
      <c r="C84" s="16">
        <v>30032099</v>
      </c>
      <c r="D84" s="16"/>
      <c r="E84">
        <v>0</v>
      </c>
      <c r="F84">
        <v>17</v>
      </c>
      <c r="G84">
        <v>0</v>
      </c>
      <c r="H84">
        <v>9.9</v>
      </c>
      <c r="I84">
        <v>2.1</v>
      </c>
      <c r="J84">
        <v>8</v>
      </c>
    </row>
    <row r="85" spans="2:10" x14ac:dyDescent="0.25">
      <c r="B85" t="s">
        <v>19448</v>
      </c>
      <c r="C85" s="16">
        <v>30032099</v>
      </c>
      <c r="D85" s="16"/>
      <c r="E85">
        <v>0</v>
      </c>
      <c r="F85">
        <v>17</v>
      </c>
      <c r="G85">
        <v>0</v>
      </c>
      <c r="H85">
        <v>9.9</v>
      </c>
      <c r="I85">
        <v>2.1</v>
      </c>
      <c r="J85">
        <v>8</v>
      </c>
    </row>
    <row r="86" spans="2:10" x14ac:dyDescent="0.25">
      <c r="B86" t="s">
        <v>2724</v>
      </c>
      <c r="C86" s="16">
        <v>30032099</v>
      </c>
      <c r="D86" s="16"/>
      <c r="E86">
        <v>59</v>
      </c>
      <c r="F86">
        <v>17</v>
      </c>
      <c r="G86">
        <v>0</v>
      </c>
      <c r="H86">
        <v>9.9</v>
      </c>
      <c r="I86">
        <v>2.1</v>
      </c>
      <c r="J86">
        <v>8</v>
      </c>
    </row>
    <row r="87" spans="2:10" x14ac:dyDescent="0.25">
      <c r="B87" t="s">
        <v>19449</v>
      </c>
      <c r="C87" s="16">
        <v>30032099</v>
      </c>
      <c r="D87" s="16"/>
      <c r="E87">
        <v>0</v>
      </c>
      <c r="F87">
        <v>17</v>
      </c>
      <c r="G87">
        <v>0</v>
      </c>
      <c r="H87">
        <v>9.9</v>
      </c>
      <c r="I87">
        <v>2.1</v>
      </c>
      <c r="J87">
        <v>8</v>
      </c>
    </row>
    <row r="88" spans="2:10" x14ac:dyDescent="0.25">
      <c r="B88" t="s">
        <v>2720</v>
      </c>
      <c r="C88" s="16">
        <v>30032099</v>
      </c>
      <c r="D88" s="16"/>
      <c r="E88">
        <v>0</v>
      </c>
      <c r="F88">
        <v>17</v>
      </c>
      <c r="G88">
        <v>0</v>
      </c>
      <c r="H88">
        <v>9.9</v>
      </c>
      <c r="I88">
        <v>2.1</v>
      </c>
      <c r="J88">
        <v>8</v>
      </c>
    </row>
    <row r="89" spans="2:10" x14ac:dyDescent="0.25">
      <c r="B89" t="s">
        <v>2721</v>
      </c>
      <c r="C89" s="16">
        <v>30032099</v>
      </c>
      <c r="D89" s="16"/>
      <c r="E89" t="s">
        <v>19447</v>
      </c>
      <c r="F89">
        <v>17</v>
      </c>
      <c r="G89">
        <v>0</v>
      </c>
      <c r="H89">
        <v>9.9</v>
      </c>
      <c r="I89">
        <v>2.1</v>
      </c>
      <c r="J89">
        <v>8</v>
      </c>
    </row>
    <row r="90" spans="2:10" x14ac:dyDescent="0.25">
      <c r="B90" t="s">
        <v>2719</v>
      </c>
      <c r="C90" s="16">
        <v>30032099</v>
      </c>
      <c r="D90" s="16"/>
      <c r="E90">
        <v>0</v>
      </c>
      <c r="F90">
        <v>17</v>
      </c>
      <c r="G90">
        <v>0</v>
      </c>
      <c r="H90">
        <v>9.9</v>
      </c>
      <c r="I90">
        <v>2.1</v>
      </c>
      <c r="J90">
        <v>8</v>
      </c>
    </row>
    <row r="91" spans="2:10" x14ac:dyDescent="0.25">
      <c r="B91" t="s">
        <v>2715</v>
      </c>
      <c r="C91" s="16">
        <v>30032099</v>
      </c>
      <c r="D91" s="16"/>
      <c r="E91">
        <v>0</v>
      </c>
      <c r="F91">
        <v>17</v>
      </c>
      <c r="G91">
        <v>0</v>
      </c>
      <c r="H91">
        <v>9.9</v>
      </c>
      <c r="I91">
        <v>2.1</v>
      </c>
      <c r="J91">
        <v>8</v>
      </c>
    </row>
    <row r="92" spans="2:10" x14ac:dyDescent="0.25">
      <c r="B92" t="s">
        <v>2716</v>
      </c>
      <c r="C92" s="16">
        <v>30032099</v>
      </c>
      <c r="D92" s="16"/>
      <c r="E92" t="s">
        <v>19447</v>
      </c>
      <c r="F92">
        <v>17</v>
      </c>
      <c r="G92">
        <v>0</v>
      </c>
      <c r="H92">
        <v>9.9</v>
      </c>
      <c r="I92">
        <v>2.1</v>
      </c>
      <c r="J92">
        <v>8</v>
      </c>
    </row>
    <row r="93" spans="2:10" x14ac:dyDescent="0.25">
      <c r="B93" t="s">
        <v>19450</v>
      </c>
      <c r="C93" s="16">
        <v>30032099</v>
      </c>
      <c r="D93" s="16"/>
      <c r="E93">
        <v>0</v>
      </c>
      <c r="F93">
        <v>17</v>
      </c>
      <c r="G93">
        <v>0</v>
      </c>
      <c r="H93">
        <v>9.9</v>
      </c>
      <c r="I93">
        <v>2.1</v>
      </c>
      <c r="J93">
        <v>8</v>
      </c>
    </row>
    <row r="94" spans="2:10" x14ac:dyDescent="0.25">
      <c r="B94" t="s">
        <v>2714</v>
      </c>
      <c r="C94" s="16">
        <v>30032099</v>
      </c>
      <c r="D94" s="16"/>
      <c r="E94">
        <v>0</v>
      </c>
      <c r="F94">
        <v>12</v>
      </c>
      <c r="G94">
        <v>0</v>
      </c>
      <c r="H94">
        <v>9.9</v>
      </c>
      <c r="I94">
        <v>2.1</v>
      </c>
      <c r="J94">
        <v>8</v>
      </c>
    </row>
    <row r="95" spans="2:10" x14ac:dyDescent="0.25">
      <c r="B95" t="s">
        <v>2718</v>
      </c>
      <c r="C95" s="16">
        <v>30032099</v>
      </c>
      <c r="D95" s="16"/>
      <c r="E95">
        <v>0</v>
      </c>
      <c r="F95">
        <v>17</v>
      </c>
      <c r="G95">
        <v>0</v>
      </c>
      <c r="H95">
        <v>9.9</v>
      </c>
      <c r="I95">
        <v>2.1</v>
      </c>
      <c r="J95">
        <v>8</v>
      </c>
    </row>
    <row r="96" spans="2:10" x14ac:dyDescent="0.25">
      <c r="B96" t="s">
        <v>2717</v>
      </c>
      <c r="C96" s="16">
        <v>30032099</v>
      </c>
      <c r="D96" s="16"/>
      <c r="E96">
        <v>0</v>
      </c>
      <c r="F96">
        <v>17</v>
      </c>
      <c r="G96">
        <v>0</v>
      </c>
      <c r="H96">
        <v>9.9</v>
      </c>
      <c r="I96">
        <v>2.1</v>
      </c>
      <c r="J96">
        <v>8</v>
      </c>
    </row>
    <row r="97" spans="2:12" x14ac:dyDescent="0.25">
      <c r="B97" t="s">
        <v>2723</v>
      </c>
      <c r="C97" s="16">
        <v>30032099</v>
      </c>
      <c r="D97" s="16"/>
      <c r="E97">
        <v>0</v>
      </c>
      <c r="F97">
        <v>17</v>
      </c>
      <c r="G97">
        <v>0</v>
      </c>
      <c r="H97">
        <v>9.9</v>
      </c>
      <c r="I97">
        <v>2.1</v>
      </c>
      <c r="J97">
        <v>8</v>
      </c>
    </row>
    <row r="98" spans="2:12" x14ac:dyDescent="0.25">
      <c r="B98" t="s">
        <v>19451</v>
      </c>
      <c r="C98" s="16">
        <v>30032099</v>
      </c>
      <c r="D98" s="16"/>
      <c r="E98">
        <v>0</v>
      </c>
      <c r="F98">
        <v>17</v>
      </c>
      <c r="G98">
        <v>0</v>
      </c>
      <c r="H98">
        <v>9.9</v>
      </c>
      <c r="I98">
        <v>2.1</v>
      </c>
      <c r="J98">
        <v>8</v>
      </c>
    </row>
    <row r="99" spans="2:12" x14ac:dyDescent="0.25">
      <c r="B99" t="s">
        <v>2722</v>
      </c>
      <c r="C99" s="16">
        <v>30032099</v>
      </c>
      <c r="D99" s="16"/>
      <c r="E99">
        <v>0</v>
      </c>
      <c r="F99">
        <v>17</v>
      </c>
      <c r="G99">
        <v>0</v>
      </c>
      <c r="H99">
        <v>9.9</v>
      </c>
      <c r="I99">
        <v>2.1</v>
      </c>
      <c r="J99">
        <v>8</v>
      </c>
    </row>
    <row r="100" spans="2:12" x14ac:dyDescent="0.25">
      <c r="B100" t="s">
        <v>19452</v>
      </c>
      <c r="C100" s="16">
        <v>30032099</v>
      </c>
      <c r="D100" s="16"/>
      <c r="E100">
        <v>0</v>
      </c>
      <c r="F100">
        <v>17</v>
      </c>
      <c r="G100">
        <v>0</v>
      </c>
      <c r="H100">
        <v>9.9</v>
      </c>
      <c r="I100">
        <v>2.1</v>
      </c>
      <c r="J100">
        <v>8</v>
      </c>
    </row>
    <row r="101" spans="2:12" x14ac:dyDescent="0.25">
      <c r="B101" t="s">
        <v>2710</v>
      </c>
      <c r="C101" s="16">
        <v>30032099</v>
      </c>
      <c r="D101" s="16"/>
      <c r="E101">
        <v>0</v>
      </c>
      <c r="F101">
        <v>12</v>
      </c>
      <c r="G101">
        <v>0</v>
      </c>
      <c r="H101">
        <v>9.9</v>
      </c>
      <c r="I101">
        <v>2.1</v>
      </c>
      <c r="J101">
        <v>8</v>
      </c>
    </row>
    <row r="102" spans="2:12" x14ac:dyDescent="0.25">
      <c r="B102" t="s">
        <v>2713</v>
      </c>
      <c r="C102" s="16">
        <v>30032099</v>
      </c>
      <c r="D102" s="16"/>
      <c r="E102">
        <v>0</v>
      </c>
      <c r="F102">
        <v>19</v>
      </c>
      <c r="G102">
        <v>0</v>
      </c>
      <c r="H102">
        <v>9.9</v>
      </c>
      <c r="I102">
        <v>2.1</v>
      </c>
      <c r="J102">
        <v>8</v>
      </c>
    </row>
    <row r="103" spans="2:12" x14ac:dyDescent="0.25">
      <c r="B103" t="s">
        <v>19453</v>
      </c>
      <c r="C103" s="16">
        <v>30032099</v>
      </c>
      <c r="D103" s="16"/>
      <c r="E103">
        <v>0</v>
      </c>
      <c r="F103">
        <v>17</v>
      </c>
      <c r="G103">
        <v>0</v>
      </c>
      <c r="H103">
        <v>9.9</v>
      </c>
      <c r="I103">
        <v>2.1</v>
      </c>
      <c r="J103">
        <v>8</v>
      </c>
    </row>
    <row r="104" spans="2:12" x14ac:dyDescent="0.25">
      <c r="B104" t="s">
        <v>19454</v>
      </c>
      <c r="C104" s="16">
        <v>30032099</v>
      </c>
      <c r="D104" s="16"/>
      <c r="E104">
        <v>0</v>
      </c>
      <c r="F104">
        <v>17</v>
      </c>
      <c r="G104">
        <v>0</v>
      </c>
      <c r="H104">
        <v>9.9</v>
      </c>
      <c r="I104">
        <v>2.1</v>
      </c>
      <c r="J104">
        <v>8</v>
      </c>
    </row>
    <row r="105" spans="2:12" x14ac:dyDescent="0.25">
      <c r="B105" t="s">
        <v>19455</v>
      </c>
      <c r="C105" s="16">
        <v>30032099</v>
      </c>
      <c r="D105" s="16"/>
      <c r="E105">
        <v>0</v>
      </c>
      <c r="F105">
        <v>17</v>
      </c>
      <c r="G105">
        <v>0</v>
      </c>
      <c r="H105">
        <v>9.9</v>
      </c>
      <c r="I105">
        <v>2.1</v>
      </c>
      <c r="J105">
        <v>8</v>
      </c>
    </row>
    <row r="106" spans="2:12" x14ac:dyDescent="0.25">
      <c r="B106" t="s">
        <v>2712</v>
      </c>
      <c r="C106" s="16">
        <v>30032099</v>
      </c>
      <c r="D106" s="16"/>
      <c r="E106">
        <v>0</v>
      </c>
      <c r="F106">
        <v>17</v>
      </c>
      <c r="G106">
        <v>0</v>
      </c>
      <c r="H106">
        <v>9.9</v>
      </c>
      <c r="I106">
        <v>2.1</v>
      </c>
      <c r="J106">
        <v>8</v>
      </c>
    </row>
    <row r="107" spans="2:12" x14ac:dyDescent="0.25">
      <c r="B107" t="s">
        <v>2711</v>
      </c>
      <c r="C107" s="16">
        <v>30032099</v>
      </c>
      <c r="D107" s="16"/>
      <c r="E107">
        <v>0</v>
      </c>
      <c r="F107">
        <v>17</v>
      </c>
      <c r="G107">
        <v>0</v>
      </c>
      <c r="H107">
        <v>9.9</v>
      </c>
      <c r="I107">
        <v>2.1</v>
      </c>
      <c r="J107">
        <v>8</v>
      </c>
    </row>
    <row r="108" spans="2:12" x14ac:dyDescent="0.25">
      <c r="B108" t="s">
        <v>19456</v>
      </c>
      <c r="C108" s="16">
        <v>30032099</v>
      </c>
      <c r="D108" s="16"/>
      <c r="E108">
        <v>0</v>
      </c>
      <c r="F108">
        <v>17</v>
      </c>
      <c r="G108">
        <v>0</v>
      </c>
      <c r="H108">
        <v>9.9</v>
      </c>
      <c r="I108">
        <v>2.1</v>
      </c>
      <c r="J108">
        <v>8</v>
      </c>
    </row>
    <row r="109" spans="2:12" x14ac:dyDescent="0.25">
      <c r="B109" t="s">
        <v>2709</v>
      </c>
      <c r="C109" s="16">
        <v>30032099</v>
      </c>
      <c r="D109" s="16"/>
      <c r="E109">
        <v>0</v>
      </c>
      <c r="F109">
        <v>18</v>
      </c>
      <c r="G109">
        <v>0</v>
      </c>
      <c r="H109">
        <v>9.9</v>
      </c>
      <c r="I109">
        <v>2.1</v>
      </c>
      <c r="J109">
        <v>8</v>
      </c>
    </row>
    <row r="110" spans="2:12" x14ac:dyDescent="0.25">
      <c r="B110" t="s">
        <v>19457</v>
      </c>
      <c r="C110" s="16">
        <v>30032099</v>
      </c>
      <c r="D110" s="16"/>
      <c r="E110">
        <v>0</v>
      </c>
      <c r="F110">
        <v>17</v>
      </c>
      <c r="G110">
        <v>0</v>
      </c>
      <c r="H110">
        <v>9.9</v>
      </c>
      <c r="I110">
        <v>2.1</v>
      </c>
      <c r="J110">
        <v>8</v>
      </c>
    </row>
    <row r="111" spans="2:12" x14ac:dyDescent="0.25">
      <c r="B111" t="s">
        <v>19446</v>
      </c>
      <c r="C111" s="16" t="s">
        <v>12953</v>
      </c>
      <c r="D111" s="16"/>
      <c r="E111">
        <v>0</v>
      </c>
      <c r="F111">
        <v>17</v>
      </c>
      <c r="G111">
        <v>0</v>
      </c>
      <c r="H111">
        <v>9.9</v>
      </c>
      <c r="I111">
        <v>2.1</v>
      </c>
      <c r="J111">
        <v>14</v>
      </c>
      <c r="L111" t="s">
        <v>12966</v>
      </c>
    </row>
    <row r="112" spans="2:12" x14ac:dyDescent="0.25">
      <c r="B112" t="s">
        <v>19448</v>
      </c>
      <c r="C112" s="16" t="s">
        <v>12953</v>
      </c>
      <c r="D112" s="16"/>
      <c r="E112">
        <v>0</v>
      </c>
      <c r="F112">
        <v>17</v>
      </c>
      <c r="G112">
        <v>0</v>
      </c>
      <c r="H112">
        <v>9.9</v>
      </c>
      <c r="I112">
        <v>2.1</v>
      </c>
      <c r="J112">
        <v>14</v>
      </c>
    </row>
    <row r="113" spans="2:10" x14ac:dyDescent="0.25">
      <c r="B113" t="s">
        <v>2724</v>
      </c>
      <c r="C113" s="16" t="s">
        <v>12953</v>
      </c>
      <c r="D113" s="16"/>
      <c r="E113">
        <v>59</v>
      </c>
      <c r="F113">
        <v>17</v>
      </c>
      <c r="G113">
        <v>0</v>
      </c>
      <c r="H113">
        <v>9.9</v>
      </c>
      <c r="I113">
        <v>2.1</v>
      </c>
      <c r="J113">
        <v>14</v>
      </c>
    </row>
    <row r="114" spans="2:10" x14ac:dyDescent="0.25">
      <c r="B114" t="s">
        <v>19449</v>
      </c>
      <c r="C114" s="16" t="s">
        <v>12953</v>
      </c>
      <c r="D114" s="16"/>
      <c r="E114">
        <v>0</v>
      </c>
      <c r="F114">
        <v>17</v>
      </c>
      <c r="G114">
        <v>0</v>
      </c>
      <c r="H114">
        <v>9.9</v>
      </c>
      <c r="I114">
        <v>2.1</v>
      </c>
      <c r="J114">
        <v>14</v>
      </c>
    </row>
    <row r="115" spans="2:10" x14ac:dyDescent="0.25">
      <c r="B115" t="s">
        <v>2720</v>
      </c>
      <c r="C115" s="16" t="s">
        <v>12953</v>
      </c>
      <c r="D115" s="16"/>
      <c r="E115">
        <v>0</v>
      </c>
      <c r="F115">
        <v>17</v>
      </c>
      <c r="G115">
        <v>0</v>
      </c>
      <c r="H115">
        <v>9.9</v>
      </c>
      <c r="I115">
        <v>2.1</v>
      </c>
      <c r="J115">
        <v>14</v>
      </c>
    </row>
    <row r="116" spans="2:10" x14ac:dyDescent="0.25">
      <c r="B116" t="s">
        <v>2721</v>
      </c>
      <c r="C116" s="16" t="s">
        <v>12953</v>
      </c>
      <c r="D116" s="16"/>
      <c r="E116" t="s">
        <v>19447</v>
      </c>
      <c r="F116">
        <v>17</v>
      </c>
      <c r="G116">
        <v>0</v>
      </c>
      <c r="H116">
        <v>9.9</v>
      </c>
      <c r="I116">
        <v>2.1</v>
      </c>
      <c r="J116">
        <v>14</v>
      </c>
    </row>
    <row r="117" spans="2:10" x14ac:dyDescent="0.25">
      <c r="B117" t="s">
        <v>2719</v>
      </c>
      <c r="C117" s="16" t="s">
        <v>12953</v>
      </c>
      <c r="D117" s="16"/>
      <c r="E117">
        <v>0</v>
      </c>
      <c r="F117">
        <v>17</v>
      </c>
      <c r="G117">
        <v>0</v>
      </c>
      <c r="H117">
        <v>9.9</v>
      </c>
      <c r="I117">
        <v>2.1</v>
      </c>
      <c r="J117">
        <v>14</v>
      </c>
    </row>
    <row r="118" spans="2:10" x14ac:dyDescent="0.25">
      <c r="B118" t="s">
        <v>2715</v>
      </c>
      <c r="C118" s="16" t="s">
        <v>12953</v>
      </c>
      <c r="D118" s="16"/>
      <c r="E118">
        <v>0</v>
      </c>
      <c r="F118">
        <v>17</v>
      </c>
      <c r="G118">
        <v>0</v>
      </c>
      <c r="H118">
        <v>9.9</v>
      </c>
      <c r="I118">
        <v>2.1</v>
      </c>
      <c r="J118">
        <v>14</v>
      </c>
    </row>
    <row r="119" spans="2:10" x14ac:dyDescent="0.25">
      <c r="B119" t="s">
        <v>2716</v>
      </c>
      <c r="C119" s="16" t="s">
        <v>12953</v>
      </c>
      <c r="D119" s="16"/>
      <c r="E119" t="s">
        <v>19447</v>
      </c>
      <c r="F119">
        <v>17</v>
      </c>
      <c r="G119">
        <v>0</v>
      </c>
      <c r="H119">
        <v>9.9</v>
      </c>
      <c r="I119">
        <v>2.1</v>
      </c>
      <c r="J119">
        <v>14</v>
      </c>
    </row>
    <row r="120" spans="2:10" x14ac:dyDescent="0.25">
      <c r="B120" t="s">
        <v>19450</v>
      </c>
      <c r="C120" s="16" t="s">
        <v>12953</v>
      </c>
      <c r="D120" s="16"/>
      <c r="E120">
        <v>0</v>
      </c>
      <c r="F120">
        <v>17</v>
      </c>
      <c r="G120">
        <v>0</v>
      </c>
      <c r="H120">
        <v>9.9</v>
      </c>
      <c r="I120">
        <v>2.1</v>
      </c>
      <c r="J120">
        <v>14</v>
      </c>
    </row>
    <row r="121" spans="2:10" x14ac:dyDescent="0.25">
      <c r="B121" t="s">
        <v>2714</v>
      </c>
      <c r="C121" s="16" t="s">
        <v>12953</v>
      </c>
      <c r="D121" s="16"/>
      <c r="E121">
        <v>0</v>
      </c>
      <c r="F121">
        <v>12</v>
      </c>
      <c r="G121">
        <v>0</v>
      </c>
      <c r="H121">
        <v>9.9</v>
      </c>
      <c r="I121">
        <v>2.1</v>
      </c>
      <c r="J121">
        <v>14</v>
      </c>
    </row>
    <row r="122" spans="2:10" x14ac:dyDescent="0.25">
      <c r="B122" t="s">
        <v>2718</v>
      </c>
      <c r="C122" s="16" t="s">
        <v>12953</v>
      </c>
      <c r="D122" s="16"/>
      <c r="E122">
        <v>0</v>
      </c>
      <c r="F122">
        <v>17</v>
      </c>
      <c r="G122">
        <v>0</v>
      </c>
      <c r="H122">
        <v>9.9</v>
      </c>
      <c r="I122">
        <v>2.1</v>
      </c>
      <c r="J122">
        <v>14</v>
      </c>
    </row>
    <row r="123" spans="2:10" x14ac:dyDescent="0.25">
      <c r="B123" t="s">
        <v>2717</v>
      </c>
      <c r="C123" s="16" t="s">
        <v>12953</v>
      </c>
      <c r="D123" s="16"/>
      <c r="E123">
        <v>0</v>
      </c>
      <c r="F123">
        <v>17</v>
      </c>
      <c r="G123">
        <v>0</v>
      </c>
      <c r="H123">
        <v>9.9</v>
      </c>
      <c r="I123">
        <v>2.1</v>
      </c>
      <c r="J123">
        <v>14</v>
      </c>
    </row>
    <row r="124" spans="2:10" x14ac:dyDescent="0.25">
      <c r="B124" t="s">
        <v>2723</v>
      </c>
      <c r="C124" s="16" t="s">
        <v>12953</v>
      </c>
      <c r="D124" s="16"/>
      <c r="E124">
        <v>0</v>
      </c>
      <c r="F124">
        <v>17</v>
      </c>
      <c r="G124">
        <v>0</v>
      </c>
      <c r="H124">
        <v>9.9</v>
      </c>
      <c r="I124">
        <v>2.1</v>
      </c>
      <c r="J124">
        <v>14</v>
      </c>
    </row>
    <row r="125" spans="2:10" x14ac:dyDescent="0.25">
      <c r="B125" t="s">
        <v>19451</v>
      </c>
      <c r="C125" s="16" t="s">
        <v>12953</v>
      </c>
      <c r="D125" s="16"/>
      <c r="E125">
        <v>0</v>
      </c>
      <c r="F125">
        <v>17</v>
      </c>
      <c r="G125">
        <v>0</v>
      </c>
      <c r="H125">
        <v>9.9</v>
      </c>
      <c r="I125">
        <v>2.1</v>
      </c>
      <c r="J125">
        <v>14</v>
      </c>
    </row>
    <row r="126" spans="2:10" x14ac:dyDescent="0.25">
      <c r="B126" t="s">
        <v>2722</v>
      </c>
      <c r="C126" s="16" t="s">
        <v>12953</v>
      </c>
      <c r="D126" s="16"/>
      <c r="E126">
        <v>0</v>
      </c>
      <c r="F126">
        <v>17</v>
      </c>
      <c r="G126">
        <v>0</v>
      </c>
      <c r="H126">
        <v>9.9</v>
      </c>
      <c r="I126">
        <v>2.1</v>
      </c>
      <c r="J126">
        <v>14</v>
      </c>
    </row>
    <row r="127" spans="2:10" x14ac:dyDescent="0.25">
      <c r="B127" t="s">
        <v>19452</v>
      </c>
      <c r="C127" s="16" t="s">
        <v>12953</v>
      </c>
      <c r="D127" s="16"/>
      <c r="E127">
        <v>0</v>
      </c>
      <c r="F127">
        <v>17</v>
      </c>
      <c r="G127">
        <v>0</v>
      </c>
      <c r="H127">
        <v>9.9</v>
      </c>
      <c r="I127">
        <v>2.1</v>
      </c>
      <c r="J127">
        <v>14</v>
      </c>
    </row>
    <row r="128" spans="2:10" x14ac:dyDescent="0.25">
      <c r="B128" t="s">
        <v>2710</v>
      </c>
      <c r="C128" s="16" t="s">
        <v>12953</v>
      </c>
      <c r="D128" s="16"/>
      <c r="E128">
        <v>0</v>
      </c>
      <c r="F128">
        <v>12</v>
      </c>
      <c r="G128">
        <v>0</v>
      </c>
      <c r="H128">
        <v>9.9</v>
      </c>
      <c r="I128">
        <v>2.1</v>
      </c>
      <c r="J128">
        <v>14</v>
      </c>
    </row>
    <row r="129" spans="2:10" x14ac:dyDescent="0.25">
      <c r="B129" t="s">
        <v>2713</v>
      </c>
      <c r="C129" s="16" t="s">
        <v>12953</v>
      </c>
      <c r="D129" s="16"/>
      <c r="E129">
        <v>0</v>
      </c>
      <c r="F129">
        <v>19</v>
      </c>
      <c r="G129">
        <v>0</v>
      </c>
      <c r="H129">
        <v>9.9</v>
      </c>
      <c r="I129">
        <v>2.1</v>
      </c>
      <c r="J129">
        <v>14</v>
      </c>
    </row>
    <row r="130" spans="2:10" x14ac:dyDescent="0.25">
      <c r="B130" t="s">
        <v>19453</v>
      </c>
      <c r="C130" s="16" t="s">
        <v>12953</v>
      </c>
      <c r="D130" s="16"/>
      <c r="E130">
        <v>0</v>
      </c>
      <c r="F130">
        <v>17</v>
      </c>
      <c r="G130">
        <v>0</v>
      </c>
      <c r="H130">
        <v>9.9</v>
      </c>
      <c r="I130">
        <v>2.1</v>
      </c>
      <c r="J130">
        <v>14</v>
      </c>
    </row>
    <row r="131" spans="2:10" x14ac:dyDescent="0.25">
      <c r="B131" t="s">
        <v>19454</v>
      </c>
      <c r="C131" s="16" t="s">
        <v>12953</v>
      </c>
      <c r="D131" s="16"/>
      <c r="E131">
        <v>0</v>
      </c>
      <c r="F131">
        <v>17</v>
      </c>
      <c r="G131">
        <v>0</v>
      </c>
      <c r="H131">
        <v>9.9</v>
      </c>
      <c r="I131">
        <v>2.1</v>
      </c>
      <c r="J131">
        <v>14</v>
      </c>
    </row>
    <row r="132" spans="2:10" x14ac:dyDescent="0.25">
      <c r="B132" t="s">
        <v>19455</v>
      </c>
      <c r="C132" s="16" t="s">
        <v>12953</v>
      </c>
      <c r="D132" s="16"/>
      <c r="E132">
        <v>0</v>
      </c>
      <c r="F132">
        <v>17</v>
      </c>
      <c r="G132">
        <v>0</v>
      </c>
      <c r="H132">
        <v>9.9</v>
      </c>
      <c r="I132">
        <v>2.1</v>
      </c>
      <c r="J132">
        <v>14</v>
      </c>
    </row>
    <row r="133" spans="2:10" x14ac:dyDescent="0.25">
      <c r="B133" t="s">
        <v>2712</v>
      </c>
      <c r="C133" s="16" t="s">
        <v>12953</v>
      </c>
      <c r="D133" s="16"/>
      <c r="E133">
        <v>0</v>
      </c>
      <c r="F133">
        <v>17</v>
      </c>
      <c r="G133">
        <v>0</v>
      </c>
      <c r="H133">
        <v>9.9</v>
      </c>
      <c r="I133">
        <v>2.1</v>
      </c>
      <c r="J133">
        <v>14</v>
      </c>
    </row>
    <row r="134" spans="2:10" x14ac:dyDescent="0.25">
      <c r="B134" t="s">
        <v>2711</v>
      </c>
      <c r="C134" s="16" t="s">
        <v>12953</v>
      </c>
      <c r="D134" s="16"/>
      <c r="E134">
        <v>0</v>
      </c>
      <c r="F134">
        <v>17</v>
      </c>
      <c r="G134">
        <v>0</v>
      </c>
      <c r="H134">
        <v>9.9</v>
      </c>
      <c r="I134">
        <v>2.1</v>
      </c>
      <c r="J134">
        <v>14</v>
      </c>
    </row>
    <row r="135" spans="2:10" x14ac:dyDescent="0.25">
      <c r="B135" t="s">
        <v>19456</v>
      </c>
      <c r="C135" s="16" t="s">
        <v>12953</v>
      </c>
      <c r="D135" s="16"/>
      <c r="E135">
        <v>0</v>
      </c>
      <c r="F135">
        <v>17</v>
      </c>
      <c r="G135">
        <v>0</v>
      </c>
      <c r="H135">
        <v>9.9</v>
      </c>
      <c r="I135">
        <v>2.1</v>
      </c>
      <c r="J135">
        <v>14</v>
      </c>
    </row>
    <row r="136" spans="2:10" x14ac:dyDescent="0.25">
      <c r="B136" t="s">
        <v>2709</v>
      </c>
      <c r="C136" s="16" t="s">
        <v>12953</v>
      </c>
      <c r="D136" s="16"/>
      <c r="E136">
        <v>0</v>
      </c>
      <c r="F136">
        <v>18</v>
      </c>
      <c r="G136">
        <v>0</v>
      </c>
      <c r="H136">
        <v>9.9</v>
      </c>
      <c r="I136">
        <v>2.1</v>
      </c>
      <c r="J136">
        <v>14</v>
      </c>
    </row>
    <row r="137" spans="2:10" x14ac:dyDescent="0.25">
      <c r="B137" t="s">
        <v>19457</v>
      </c>
      <c r="C137" s="16" t="s">
        <v>12953</v>
      </c>
      <c r="D137" s="16"/>
      <c r="E137">
        <v>0</v>
      </c>
      <c r="F137">
        <v>17</v>
      </c>
      <c r="G137">
        <v>0</v>
      </c>
      <c r="H137">
        <v>9.9</v>
      </c>
      <c r="I137">
        <v>2.1</v>
      </c>
      <c r="J137">
        <v>14</v>
      </c>
    </row>
    <row r="138" spans="2:10" x14ac:dyDescent="0.25">
      <c r="B138" t="s">
        <v>19446</v>
      </c>
      <c r="C138" s="16" t="s">
        <v>12966</v>
      </c>
      <c r="D138" s="16"/>
      <c r="E138">
        <v>0</v>
      </c>
      <c r="F138">
        <v>17</v>
      </c>
      <c r="G138">
        <v>0</v>
      </c>
      <c r="H138">
        <v>9.9</v>
      </c>
      <c r="I138">
        <v>2.1</v>
      </c>
      <c r="J138">
        <v>14</v>
      </c>
    </row>
    <row r="139" spans="2:10" x14ac:dyDescent="0.25">
      <c r="B139" t="s">
        <v>19448</v>
      </c>
      <c r="C139" s="16" t="s">
        <v>12966</v>
      </c>
      <c r="D139" s="16"/>
      <c r="E139">
        <v>0</v>
      </c>
      <c r="F139">
        <v>17</v>
      </c>
      <c r="G139">
        <v>0</v>
      </c>
      <c r="H139">
        <v>9.9</v>
      </c>
      <c r="I139">
        <v>2.1</v>
      </c>
      <c r="J139">
        <v>14</v>
      </c>
    </row>
    <row r="140" spans="2:10" x14ac:dyDescent="0.25">
      <c r="B140" t="s">
        <v>2724</v>
      </c>
      <c r="C140" s="16" t="s">
        <v>12966</v>
      </c>
      <c r="D140" s="16"/>
      <c r="E140">
        <v>59</v>
      </c>
      <c r="F140">
        <v>17</v>
      </c>
      <c r="G140">
        <v>0</v>
      </c>
      <c r="H140">
        <v>9.9</v>
      </c>
      <c r="I140">
        <v>2.1</v>
      </c>
      <c r="J140">
        <v>14</v>
      </c>
    </row>
    <row r="141" spans="2:10" x14ac:dyDescent="0.25">
      <c r="B141" t="s">
        <v>19449</v>
      </c>
      <c r="C141" s="16" t="s">
        <v>12966</v>
      </c>
      <c r="D141" s="16"/>
      <c r="E141">
        <v>0</v>
      </c>
      <c r="F141">
        <v>17</v>
      </c>
      <c r="G141">
        <v>0</v>
      </c>
      <c r="H141">
        <v>9.9</v>
      </c>
      <c r="I141">
        <v>2.1</v>
      </c>
      <c r="J141">
        <v>14</v>
      </c>
    </row>
    <row r="142" spans="2:10" x14ac:dyDescent="0.25">
      <c r="B142" t="s">
        <v>2720</v>
      </c>
      <c r="C142" s="16" t="s">
        <v>12966</v>
      </c>
      <c r="D142" s="16"/>
      <c r="E142">
        <v>0</v>
      </c>
      <c r="F142">
        <v>17</v>
      </c>
      <c r="G142">
        <v>0</v>
      </c>
      <c r="H142">
        <v>9.9</v>
      </c>
      <c r="I142">
        <v>2.1</v>
      </c>
      <c r="J142">
        <v>14</v>
      </c>
    </row>
    <row r="143" spans="2:10" x14ac:dyDescent="0.25">
      <c r="B143" t="s">
        <v>2721</v>
      </c>
      <c r="C143" s="16" t="s">
        <v>12966</v>
      </c>
      <c r="D143" s="16"/>
      <c r="E143" t="s">
        <v>19447</v>
      </c>
      <c r="F143">
        <v>17</v>
      </c>
      <c r="G143">
        <v>0</v>
      </c>
      <c r="H143">
        <v>9.9</v>
      </c>
      <c r="I143">
        <v>2.1</v>
      </c>
      <c r="J143">
        <v>14</v>
      </c>
    </row>
    <row r="144" spans="2:10" x14ac:dyDescent="0.25">
      <c r="B144" t="s">
        <v>2719</v>
      </c>
      <c r="C144" s="16" t="s">
        <v>12966</v>
      </c>
      <c r="D144" s="16"/>
      <c r="E144">
        <v>0</v>
      </c>
      <c r="F144">
        <v>17</v>
      </c>
      <c r="G144">
        <v>0</v>
      </c>
      <c r="H144">
        <v>9.9</v>
      </c>
      <c r="I144">
        <v>2.1</v>
      </c>
      <c r="J144">
        <v>14</v>
      </c>
    </row>
    <row r="145" spans="2:10" x14ac:dyDescent="0.25">
      <c r="B145" t="s">
        <v>2715</v>
      </c>
      <c r="C145" s="16" t="s">
        <v>12966</v>
      </c>
      <c r="D145" s="16"/>
      <c r="E145">
        <v>0</v>
      </c>
      <c r="F145">
        <v>17</v>
      </c>
      <c r="G145">
        <v>0</v>
      </c>
      <c r="H145">
        <v>9.9</v>
      </c>
      <c r="I145">
        <v>2.1</v>
      </c>
      <c r="J145">
        <v>14</v>
      </c>
    </row>
    <row r="146" spans="2:10" x14ac:dyDescent="0.25">
      <c r="B146" t="s">
        <v>2716</v>
      </c>
      <c r="C146" s="16" t="s">
        <v>12966</v>
      </c>
      <c r="D146" s="16"/>
      <c r="E146" t="s">
        <v>19447</v>
      </c>
      <c r="F146">
        <v>17</v>
      </c>
      <c r="G146">
        <v>0</v>
      </c>
      <c r="H146">
        <v>9.9</v>
      </c>
      <c r="I146">
        <v>2.1</v>
      </c>
      <c r="J146">
        <v>14</v>
      </c>
    </row>
    <row r="147" spans="2:10" x14ac:dyDescent="0.25">
      <c r="B147" t="s">
        <v>19450</v>
      </c>
      <c r="C147" s="16" t="s">
        <v>12966</v>
      </c>
      <c r="D147" s="16"/>
      <c r="E147">
        <v>0</v>
      </c>
      <c r="F147">
        <v>17</v>
      </c>
      <c r="G147">
        <v>0</v>
      </c>
      <c r="H147">
        <v>9.9</v>
      </c>
      <c r="I147">
        <v>2.1</v>
      </c>
      <c r="J147">
        <v>14</v>
      </c>
    </row>
    <row r="148" spans="2:10" x14ac:dyDescent="0.25">
      <c r="B148" t="s">
        <v>2714</v>
      </c>
      <c r="C148" s="16" t="s">
        <v>12966</v>
      </c>
      <c r="D148" s="16"/>
      <c r="E148">
        <v>0</v>
      </c>
      <c r="F148">
        <v>12</v>
      </c>
      <c r="G148">
        <v>0</v>
      </c>
      <c r="H148">
        <v>9.9</v>
      </c>
      <c r="I148">
        <v>2.1</v>
      </c>
      <c r="J148">
        <v>14</v>
      </c>
    </row>
    <row r="149" spans="2:10" x14ac:dyDescent="0.25">
      <c r="B149" t="s">
        <v>2718</v>
      </c>
      <c r="C149" s="16" t="s">
        <v>12966</v>
      </c>
      <c r="D149" s="16"/>
      <c r="E149">
        <v>0</v>
      </c>
      <c r="F149">
        <v>17</v>
      </c>
      <c r="G149">
        <v>0</v>
      </c>
      <c r="H149">
        <v>9.9</v>
      </c>
      <c r="I149">
        <v>2.1</v>
      </c>
      <c r="J149">
        <v>14</v>
      </c>
    </row>
    <row r="150" spans="2:10" x14ac:dyDescent="0.25">
      <c r="B150" t="s">
        <v>2717</v>
      </c>
      <c r="C150" s="16" t="s">
        <v>12966</v>
      </c>
      <c r="D150" s="16"/>
      <c r="E150">
        <v>0</v>
      </c>
      <c r="F150">
        <v>17</v>
      </c>
      <c r="G150">
        <v>0</v>
      </c>
      <c r="H150">
        <v>9.9</v>
      </c>
      <c r="I150">
        <v>2.1</v>
      </c>
      <c r="J150">
        <v>14</v>
      </c>
    </row>
    <row r="151" spans="2:10" x14ac:dyDescent="0.25">
      <c r="B151" t="s">
        <v>2723</v>
      </c>
      <c r="C151" s="16" t="s">
        <v>12966</v>
      </c>
      <c r="D151" s="16"/>
      <c r="E151">
        <v>0</v>
      </c>
      <c r="F151">
        <v>17</v>
      </c>
      <c r="G151">
        <v>0</v>
      </c>
      <c r="H151">
        <v>9.9</v>
      </c>
      <c r="I151">
        <v>2.1</v>
      </c>
      <c r="J151">
        <v>14</v>
      </c>
    </row>
    <row r="152" spans="2:10" x14ac:dyDescent="0.25">
      <c r="B152" t="s">
        <v>19451</v>
      </c>
      <c r="C152" s="16" t="s">
        <v>12966</v>
      </c>
      <c r="D152" s="16"/>
      <c r="E152">
        <v>0</v>
      </c>
      <c r="F152">
        <v>17</v>
      </c>
      <c r="G152">
        <v>0</v>
      </c>
      <c r="H152">
        <v>9.9</v>
      </c>
      <c r="I152">
        <v>2.1</v>
      </c>
      <c r="J152">
        <v>14</v>
      </c>
    </row>
    <row r="153" spans="2:10" x14ac:dyDescent="0.25">
      <c r="B153" t="s">
        <v>2722</v>
      </c>
      <c r="C153" s="16" t="s">
        <v>12966</v>
      </c>
      <c r="D153" s="16"/>
      <c r="E153">
        <v>0</v>
      </c>
      <c r="F153">
        <v>17</v>
      </c>
      <c r="G153">
        <v>0</v>
      </c>
      <c r="H153">
        <v>9.9</v>
      </c>
      <c r="I153">
        <v>2.1</v>
      </c>
      <c r="J153">
        <v>14</v>
      </c>
    </row>
    <row r="154" spans="2:10" x14ac:dyDescent="0.25">
      <c r="B154" t="s">
        <v>19452</v>
      </c>
      <c r="C154" s="16" t="s">
        <v>12966</v>
      </c>
      <c r="D154" s="16"/>
      <c r="E154">
        <v>0</v>
      </c>
      <c r="F154">
        <v>17</v>
      </c>
      <c r="G154">
        <v>0</v>
      </c>
      <c r="H154">
        <v>9.9</v>
      </c>
      <c r="I154">
        <v>2.1</v>
      </c>
      <c r="J154">
        <v>14</v>
      </c>
    </row>
    <row r="155" spans="2:10" x14ac:dyDescent="0.25">
      <c r="B155" t="s">
        <v>2710</v>
      </c>
      <c r="C155" s="16" t="s">
        <v>12966</v>
      </c>
      <c r="D155" s="16"/>
      <c r="E155">
        <v>0</v>
      </c>
      <c r="F155">
        <v>12</v>
      </c>
      <c r="G155">
        <v>0</v>
      </c>
      <c r="H155">
        <v>9.9</v>
      </c>
      <c r="I155">
        <v>2.1</v>
      </c>
      <c r="J155">
        <v>14</v>
      </c>
    </row>
    <row r="156" spans="2:10" x14ac:dyDescent="0.25">
      <c r="B156" t="s">
        <v>2713</v>
      </c>
      <c r="C156" s="16" t="s">
        <v>12966</v>
      </c>
      <c r="D156" s="16"/>
      <c r="E156">
        <v>0</v>
      </c>
      <c r="F156">
        <v>19</v>
      </c>
      <c r="G156">
        <v>0</v>
      </c>
      <c r="H156">
        <v>9.9</v>
      </c>
      <c r="I156">
        <v>2.1</v>
      </c>
      <c r="J156">
        <v>14</v>
      </c>
    </row>
    <row r="157" spans="2:10" x14ac:dyDescent="0.25">
      <c r="B157" t="s">
        <v>19453</v>
      </c>
      <c r="C157" s="16" t="s">
        <v>12966</v>
      </c>
      <c r="D157" s="16"/>
      <c r="E157">
        <v>0</v>
      </c>
      <c r="F157">
        <v>17</v>
      </c>
      <c r="G157">
        <v>0</v>
      </c>
      <c r="H157">
        <v>9.9</v>
      </c>
      <c r="I157">
        <v>2.1</v>
      </c>
      <c r="J157">
        <v>14</v>
      </c>
    </row>
    <row r="158" spans="2:10" x14ac:dyDescent="0.25">
      <c r="B158" t="s">
        <v>19454</v>
      </c>
      <c r="C158" s="16" t="s">
        <v>12966</v>
      </c>
      <c r="D158" s="16"/>
      <c r="E158">
        <v>0</v>
      </c>
      <c r="F158">
        <v>17</v>
      </c>
      <c r="G158">
        <v>0</v>
      </c>
      <c r="H158">
        <v>9.9</v>
      </c>
      <c r="I158">
        <v>2.1</v>
      </c>
      <c r="J158">
        <v>14</v>
      </c>
    </row>
    <row r="159" spans="2:10" x14ac:dyDescent="0.25">
      <c r="B159" t="s">
        <v>19455</v>
      </c>
      <c r="C159" s="16" t="s">
        <v>12966</v>
      </c>
      <c r="D159" s="16"/>
      <c r="E159">
        <v>0</v>
      </c>
      <c r="F159">
        <v>17</v>
      </c>
      <c r="G159">
        <v>0</v>
      </c>
      <c r="H159">
        <v>9.9</v>
      </c>
      <c r="I159">
        <v>2.1</v>
      </c>
      <c r="J159">
        <v>14</v>
      </c>
    </row>
    <row r="160" spans="2:10" x14ac:dyDescent="0.25">
      <c r="B160" t="s">
        <v>2712</v>
      </c>
      <c r="C160" s="16" t="s">
        <v>12966</v>
      </c>
      <c r="D160" s="16"/>
      <c r="E160">
        <v>0</v>
      </c>
      <c r="F160">
        <v>17</v>
      </c>
      <c r="G160">
        <v>0</v>
      </c>
      <c r="H160">
        <v>9.9</v>
      </c>
      <c r="I160">
        <v>2.1</v>
      </c>
      <c r="J160">
        <v>14</v>
      </c>
    </row>
    <row r="161" spans="2:10" x14ac:dyDescent="0.25">
      <c r="B161" t="s">
        <v>2711</v>
      </c>
      <c r="C161" s="16" t="s">
        <v>12966</v>
      </c>
      <c r="D161" s="16"/>
      <c r="E161">
        <v>0</v>
      </c>
      <c r="F161">
        <v>17</v>
      </c>
      <c r="G161">
        <v>0</v>
      </c>
      <c r="H161">
        <v>9.9</v>
      </c>
      <c r="I161">
        <v>2.1</v>
      </c>
      <c r="J161">
        <v>14</v>
      </c>
    </row>
    <row r="162" spans="2:10" x14ac:dyDescent="0.25">
      <c r="B162" t="s">
        <v>19456</v>
      </c>
      <c r="C162" s="16" t="s">
        <v>12966</v>
      </c>
      <c r="D162" s="16"/>
      <c r="E162">
        <v>0</v>
      </c>
      <c r="F162">
        <v>17</v>
      </c>
      <c r="G162">
        <v>0</v>
      </c>
      <c r="H162">
        <v>9.9</v>
      </c>
      <c r="I162">
        <v>2.1</v>
      </c>
      <c r="J162">
        <v>14</v>
      </c>
    </row>
    <row r="163" spans="2:10" x14ac:dyDescent="0.25">
      <c r="B163" t="s">
        <v>2709</v>
      </c>
      <c r="C163" s="16" t="s">
        <v>12966</v>
      </c>
      <c r="D163" s="16"/>
      <c r="E163">
        <v>0</v>
      </c>
      <c r="F163">
        <v>18</v>
      </c>
      <c r="G163">
        <v>0</v>
      </c>
      <c r="H163">
        <v>9.9</v>
      </c>
      <c r="I163">
        <v>2.1</v>
      </c>
      <c r="J163">
        <v>14</v>
      </c>
    </row>
    <row r="164" spans="2:10" x14ac:dyDescent="0.25">
      <c r="B164" t="s">
        <v>19457</v>
      </c>
      <c r="C164" s="16" t="s">
        <v>12966</v>
      </c>
      <c r="D164" s="16"/>
      <c r="E164">
        <v>0</v>
      </c>
      <c r="F164">
        <v>17</v>
      </c>
      <c r="G164">
        <v>0</v>
      </c>
      <c r="H164">
        <v>9.9</v>
      </c>
      <c r="I164">
        <v>2.1</v>
      </c>
      <c r="J164">
        <v>14</v>
      </c>
    </row>
    <row r="165" spans="2:10" x14ac:dyDescent="0.25">
      <c r="B165" t="s">
        <v>19446</v>
      </c>
      <c r="C165" s="16">
        <v>30039013</v>
      </c>
      <c r="D165" s="16"/>
      <c r="E165">
        <v>0</v>
      </c>
      <c r="F165">
        <v>17</v>
      </c>
      <c r="G165">
        <v>0</v>
      </c>
      <c r="H165">
        <v>9.9</v>
      </c>
      <c r="I165">
        <v>2.1</v>
      </c>
      <c r="J165">
        <v>14</v>
      </c>
    </row>
    <row r="166" spans="2:10" x14ac:dyDescent="0.25">
      <c r="B166" t="s">
        <v>19448</v>
      </c>
      <c r="C166" s="16">
        <v>30039013</v>
      </c>
      <c r="D166" s="16"/>
      <c r="E166">
        <v>0</v>
      </c>
      <c r="F166">
        <v>17</v>
      </c>
      <c r="G166">
        <v>0</v>
      </c>
      <c r="H166">
        <v>9.9</v>
      </c>
      <c r="I166">
        <v>2.1</v>
      </c>
      <c r="J166">
        <v>14</v>
      </c>
    </row>
    <row r="167" spans="2:10" x14ac:dyDescent="0.25">
      <c r="B167" t="s">
        <v>2724</v>
      </c>
      <c r="C167" s="16">
        <v>30039013</v>
      </c>
      <c r="D167" s="16"/>
      <c r="E167">
        <v>59</v>
      </c>
      <c r="F167">
        <v>17</v>
      </c>
      <c r="G167">
        <v>0</v>
      </c>
      <c r="H167">
        <v>9.9</v>
      </c>
      <c r="I167">
        <v>2.1</v>
      </c>
      <c r="J167">
        <v>14</v>
      </c>
    </row>
    <row r="168" spans="2:10" x14ac:dyDescent="0.25">
      <c r="B168" t="s">
        <v>19449</v>
      </c>
      <c r="C168" s="16">
        <v>30039013</v>
      </c>
      <c r="D168" s="16"/>
      <c r="E168">
        <v>0</v>
      </c>
      <c r="F168">
        <v>17</v>
      </c>
      <c r="G168">
        <v>0</v>
      </c>
      <c r="H168">
        <v>9.9</v>
      </c>
      <c r="I168">
        <v>2.1</v>
      </c>
      <c r="J168">
        <v>14</v>
      </c>
    </row>
    <row r="169" spans="2:10" x14ac:dyDescent="0.25">
      <c r="B169" t="s">
        <v>2720</v>
      </c>
      <c r="C169" s="16">
        <v>30039013</v>
      </c>
      <c r="D169" s="16"/>
      <c r="E169">
        <v>0</v>
      </c>
      <c r="F169">
        <v>17</v>
      </c>
      <c r="G169">
        <v>0</v>
      </c>
      <c r="H169">
        <v>9.9</v>
      </c>
      <c r="I169">
        <v>2.1</v>
      </c>
      <c r="J169">
        <v>14</v>
      </c>
    </row>
    <row r="170" spans="2:10" x14ac:dyDescent="0.25">
      <c r="B170" t="s">
        <v>2721</v>
      </c>
      <c r="C170" s="16">
        <v>30039013</v>
      </c>
      <c r="D170" s="16"/>
      <c r="E170" t="s">
        <v>19447</v>
      </c>
      <c r="F170">
        <v>17</v>
      </c>
      <c r="G170">
        <v>0</v>
      </c>
      <c r="H170">
        <v>9.9</v>
      </c>
      <c r="I170">
        <v>2.1</v>
      </c>
      <c r="J170">
        <v>14</v>
      </c>
    </row>
    <row r="171" spans="2:10" x14ac:dyDescent="0.25">
      <c r="B171" t="s">
        <v>2719</v>
      </c>
      <c r="C171" s="16">
        <v>30039013</v>
      </c>
      <c r="D171" s="16"/>
      <c r="E171">
        <v>0</v>
      </c>
      <c r="F171">
        <v>17</v>
      </c>
      <c r="G171">
        <v>0</v>
      </c>
      <c r="H171">
        <v>9.9</v>
      </c>
      <c r="I171">
        <v>2.1</v>
      </c>
      <c r="J171">
        <v>14</v>
      </c>
    </row>
    <row r="172" spans="2:10" x14ac:dyDescent="0.25">
      <c r="B172" t="s">
        <v>2715</v>
      </c>
      <c r="C172" s="16">
        <v>30039013</v>
      </c>
      <c r="D172" s="16"/>
      <c r="E172">
        <v>0</v>
      </c>
      <c r="F172">
        <v>17</v>
      </c>
      <c r="G172">
        <v>0</v>
      </c>
      <c r="H172">
        <v>9.9</v>
      </c>
      <c r="I172">
        <v>2.1</v>
      </c>
      <c r="J172">
        <v>14</v>
      </c>
    </row>
    <row r="173" spans="2:10" x14ac:dyDescent="0.25">
      <c r="B173" t="s">
        <v>2716</v>
      </c>
      <c r="C173" s="16">
        <v>30039013</v>
      </c>
      <c r="D173" s="16"/>
      <c r="E173" t="s">
        <v>19447</v>
      </c>
      <c r="F173">
        <v>17</v>
      </c>
      <c r="G173">
        <v>0</v>
      </c>
      <c r="H173">
        <v>9.9</v>
      </c>
      <c r="I173">
        <v>2.1</v>
      </c>
      <c r="J173">
        <v>14</v>
      </c>
    </row>
    <row r="174" spans="2:10" x14ac:dyDescent="0.25">
      <c r="B174" t="s">
        <v>19450</v>
      </c>
      <c r="C174" s="16">
        <v>30039013</v>
      </c>
      <c r="D174" s="16"/>
      <c r="E174">
        <v>0</v>
      </c>
      <c r="F174">
        <v>17</v>
      </c>
      <c r="G174">
        <v>0</v>
      </c>
      <c r="H174">
        <v>9.9</v>
      </c>
      <c r="I174">
        <v>2.1</v>
      </c>
      <c r="J174">
        <v>14</v>
      </c>
    </row>
    <row r="175" spans="2:10" x14ac:dyDescent="0.25">
      <c r="B175" t="s">
        <v>2714</v>
      </c>
      <c r="C175" s="16">
        <v>30039013</v>
      </c>
      <c r="D175" s="16"/>
      <c r="E175">
        <v>0</v>
      </c>
      <c r="F175">
        <v>12</v>
      </c>
      <c r="G175">
        <v>0</v>
      </c>
      <c r="H175">
        <v>9.9</v>
      </c>
      <c r="I175">
        <v>2.1</v>
      </c>
      <c r="J175">
        <v>14</v>
      </c>
    </row>
    <row r="176" spans="2:10" x14ac:dyDescent="0.25">
      <c r="B176" t="s">
        <v>2718</v>
      </c>
      <c r="C176" s="16">
        <v>30039013</v>
      </c>
      <c r="D176" s="16"/>
      <c r="E176">
        <v>0</v>
      </c>
      <c r="F176">
        <v>17</v>
      </c>
      <c r="G176">
        <v>0</v>
      </c>
      <c r="H176">
        <v>9.9</v>
      </c>
      <c r="I176">
        <v>2.1</v>
      </c>
      <c r="J176">
        <v>14</v>
      </c>
    </row>
    <row r="177" spans="2:10" x14ac:dyDescent="0.25">
      <c r="B177" t="s">
        <v>2717</v>
      </c>
      <c r="C177" s="16">
        <v>30039013</v>
      </c>
      <c r="D177" s="16"/>
      <c r="E177">
        <v>0</v>
      </c>
      <c r="F177">
        <v>17</v>
      </c>
      <c r="G177">
        <v>0</v>
      </c>
      <c r="H177">
        <v>9.9</v>
      </c>
      <c r="I177">
        <v>2.1</v>
      </c>
      <c r="J177">
        <v>14</v>
      </c>
    </row>
    <row r="178" spans="2:10" x14ac:dyDescent="0.25">
      <c r="B178" t="s">
        <v>2723</v>
      </c>
      <c r="C178" s="16">
        <v>30039013</v>
      </c>
      <c r="D178" s="16"/>
      <c r="E178">
        <v>0</v>
      </c>
      <c r="F178">
        <v>17</v>
      </c>
      <c r="G178">
        <v>0</v>
      </c>
      <c r="H178">
        <v>9.9</v>
      </c>
      <c r="I178">
        <v>2.1</v>
      </c>
      <c r="J178">
        <v>14</v>
      </c>
    </row>
    <row r="179" spans="2:10" x14ac:dyDescent="0.25">
      <c r="B179" t="s">
        <v>19451</v>
      </c>
      <c r="C179" s="16">
        <v>30039013</v>
      </c>
      <c r="D179" s="16"/>
      <c r="E179">
        <v>0</v>
      </c>
      <c r="F179">
        <v>17</v>
      </c>
      <c r="G179">
        <v>0</v>
      </c>
      <c r="H179">
        <v>9.9</v>
      </c>
      <c r="I179">
        <v>2.1</v>
      </c>
      <c r="J179">
        <v>14</v>
      </c>
    </row>
    <row r="180" spans="2:10" x14ac:dyDescent="0.25">
      <c r="B180" t="s">
        <v>2722</v>
      </c>
      <c r="C180" s="16">
        <v>30039013</v>
      </c>
      <c r="D180" s="16"/>
      <c r="E180">
        <v>0</v>
      </c>
      <c r="F180">
        <v>17</v>
      </c>
      <c r="G180">
        <v>0</v>
      </c>
      <c r="H180">
        <v>9.9</v>
      </c>
      <c r="I180">
        <v>2.1</v>
      </c>
      <c r="J180">
        <v>14</v>
      </c>
    </row>
    <row r="181" spans="2:10" x14ac:dyDescent="0.25">
      <c r="B181" t="s">
        <v>19452</v>
      </c>
      <c r="C181" s="16">
        <v>30039013</v>
      </c>
      <c r="D181" s="16"/>
      <c r="E181">
        <v>0</v>
      </c>
      <c r="F181">
        <v>17</v>
      </c>
      <c r="G181">
        <v>0</v>
      </c>
      <c r="H181">
        <v>9.9</v>
      </c>
      <c r="I181">
        <v>2.1</v>
      </c>
      <c r="J181">
        <v>14</v>
      </c>
    </row>
    <row r="182" spans="2:10" x14ac:dyDescent="0.25">
      <c r="B182" t="s">
        <v>2710</v>
      </c>
      <c r="C182" s="16">
        <v>30039013</v>
      </c>
      <c r="D182" s="16"/>
      <c r="E182">
        <v>0</v>
      </c>
      <c r="F182">
        <v>12</v>
      </c>
      <c r="G182">
        <v>0</v>
      </c>
      <c r="H182">
        <v>9.9</v>
      </c>
      <c r="I182">
        <v>2.1</v>
      </c>
      <c r="J182">
        <v>14</v>
      </c>
    </row>
    <row r="183" spans="2:10" x14ac:dyDescent="0.25">
      <c r="B183" t="s">
        <v>2713</v>
      </c>
      <c r="C183" s="16">
        <v>30039013</v>
      </c>
      <c r="D183" s="16"/>
      <c r="E183">
        <v>0</v>
      </c>
      <c r="F183">
        <v>19</v>
      </c>
      <c r="G183">
        <v>0</v>
      </c>
      <c r="H183">
        <v>9.9</v>
      </c>
      <c r="I183">
        <v>2.1</v>
      </c>
      <c r="J183">
        <v>14</v>
      </c>
    </row>
    <row r="184" spans="2:10" x14ac:dyDescent="0.25">
      <c r="B184" t="s">
        <v>19453</v>
      </c>
      <c r="C184" s="16">
        <v>30039013</v>
      </c>
      <c r="D184" s="16"/>
      <c r="E184">
        <v>0</v>
      </c>
      <c r="F184">
        <v>17</v>
      </c>
      <c r="G184">
        <v>0</v>
      </c>
      <c r="H184">
        <v>9.9</v>
      </c>
      <c r="I184">
        <v>2.1</v>
      </c>
      <c r="J184">
        <v>14</v>
      </c>
    </row>
    <row r="185" spans="2:10" x14ac:dyDescent="0.25">
      <c r="B185" t="s">
        <v>19454</v>
      </c>
      <c r="C185" s="16">
        <v>30039013</v>
      </c>
      <c r="D185" s="16"/>
      <c r="E185">
        <v>0</v>
      </c>
      <c r="F185">
        <v>17</v>
      </c>
      <c r="G185">
        <v>0</v>
      </c>
      <c r="H185">
        <v>9.9</v>
      </c>
      <c r="I185">
        <v>2.1</v>
      </c>
      <c r="J185">
        <v>14</v>
      </c>
    </row>
    <row r="186" spans="2:10" x14ac:dyDescent="0.25">
      <c r="B186" t="s">
        <v>19455</v>
      </c>
      <c r="C186" s="16">
        <v>30039013</v>
      </c>
      <c r="D186" s="16"/>
      <c r="E186">
        <v>0</v>
      </c>
      <c r="F186">
        <v>17</v>
      </c>
      <c r="G186">
        <v>0</v>
      </c>
      <c r="H186">
        <v>9.9</v>
      </c>
      <c r="I186">
        <v>2.1</v>
      </c>
      <c r="J186">
        <v>14</v>
      </c>
    </row>
    <row r="187" spans="2:10" x14ac:dyDescent="0.25">
      <c r="B187" t="s">
        <v>2712</v>
      </c>
      <c r="C187" s="16">
        <v>30039013</v>
      </c>
      <c r="D187" s="16"/>
      <c r="E187">
        <v>0</v>
      </c>
      <c r="F187">
        <v>17</v>
      </c>
      <c r="G187">
        <v>0</v>
      </c>
      <c r="H187">
        <v>9.9</v>
      </c>
      <c r="I187">
        <v>2.1</v>
      </c>
      <c r="J187">
        <v>14</v>
      </c>
    </row>
    <row r="188" spans="2:10" x14ac:dyDescent="0.25">
      <c r="B188" t="s">
        <v>2711</v>
      </c>
      <c r="C188" s="16">
        <v>30039013</v>
      </c>
      <c r="D188" s="16"/>
      <c r="E188">
        <v>0</v>
      </c>
      <c r="F188">
        <v>17</v>
      </c>
      <c r="G188">
        <v>0</v>
      </c>
      <c r="H188">
        <v>9.9</v>
      </c>
      <c r="I188">
        <v>2.1</v>
      </c>
      <c r="J188">
        <v>14</v>
      </c>
    </row>
    <row r="189" spans="2:10" x14ac:dyDescent="0.25">
      <c r="B189" t="s">
        <v>19456</v>
      </c>
      <c r="C189" s="16">
        <v>30039013</v>
      </c>
      <c r="D189" s="16"/>
      <c r="E189">
        <v>0</v>
      </c>
      <c r="F189">
        <v>17</v>
      </c>
      <c r="G189">
        <v>0</v>
      </c>
      <c r="H189">
        <v>9.9</v>
      </c>
      <c r="I189">
        <v>2.1</v>
      </c>
      <c r="J189">
        <v>14</v>
      </c>
    </row>
    <row r="190" spans="2:10" x14ac:dyDescent="0.25">
      <c r="B190" t="s">
        <v>2709</v>
      </c>
      <c r="C190" s="16">
        <v>30039013</v>
      </c>
      <c r="D190" s="16"/>
      <c r="E190">
        <v>0</v>
      </c>
      <c r="F190">
        <v>18</v>
      </c>
      <c r="G190">
        <v>0</v>
      </c>
      <c r="H190">
        <v>9.9</v>
      </c>
      <c r="I190">
        <v>2.1</v>
      </c>
      <c r="J190">
        <v>14</v>
      </c>
    </row>
    <row r="191" spans="2:10" x14ac:dyDescent="0.25">
      <c r="B191" t="s">
        <v>19457</v>
      </c>
      <c r="C191" s="16">
        <v>30039013</v>
      </c>
      <c r="D191" s="16"/>
      <c r="E191">
        <v>0</v>
      </c>
      <c r="F191">
        <v>17</v>
      </c>
      <c r="G191">
        <v>0</v>
      </c>
      <c r="H191">
        <v>9.9</v>
      </c>
      <c r="I191">
        <v>2.1</v>
      </c>
      <c r="J191">
        <v>14</v>
      </c>
    </row>
    <row r="192" spans="2:10" x14ac:dyDescent="0.25">
      <c r="B192" t="s">
        <v>19446</v>
      </c>
      <c r="C192" s="16">
        <v>30039049</v>
      </c>
      <c r="D192" s="16"/>
      <c r="E192">
        <v>0</v>
      </c>
      <c r="F192">
        <v>17</v>
      </c>
      <c r="G192">
        <v>0</v>
      </c>
      <c r="H192">
        <v>9.9</v>
      </c>
      <c r="I192">
        <v>2.1</v>
      </c>
      <c r="J192">
        <v>8</v>
      </c>
    </row>
    <row r="193" spans="2:10" x14ac:dyDescent="0.25">
      <c r="B193" t="s">
        <v>19448</v>
      </c>
      <c r="C193" s="16">
        <v>30039049</v>
      </c>
      <c r="D193" s="16"/>
      <c r="E193">
        <v>0</v>
      </c>
      <c r="F193">
        <v>17</v>
      </c>
      <c r="G193">
        <v>0</v>
      </c>
      <c r="H193">
        <v>9.9</v>
      </c>
      <c r="I193">
        <v>2.1</v>
      </c>
      <c r="J193">
        <v>8</v>
      </c>
    </row>
    <row r="194" spans="2:10" x14ac:dyDescent="0.25">
      <c r="B194" t="s">
        <v>2724</v>
      </c>
      <c r="C194" s="16">
        <v>30039049</v>
      </c>
      <c r="D194" s="16"/>
      <c r="E194">
        <v>59</v>
      </c>
      <c r="F194">
        <v>17</v>
      </c>
      <c r="G194">
        <v>0</v>
      </c>
      <c r="H194">
        <v>9.9</v>
      </c>
      <c r="I194">
        <v>2.1</v>
      </c>
      <c r="J194">
        <v>8</v>
      </c>
    </row>
    <row r="195" spans="2:10" x14ac:dyDescent="0.25">
      <c r="B195" t="s">
        <v>19449</v>
      </c>
      <c r="C195" s="16">
        <v>30039049</v>
      </c>
      <c r="D195" s="16"/>
      <c r="E195">
        <v>0</v>
      </c>
      <c r="F195">
        <v>17</v>
      </c>
      <c r="G195">
        <v>0</v>
      </c>
      <c r="H195">
        <v>9.9</v>
      </c>
      <c r="I195">
        <v>2.1</v>
      </c>
      <c r="J195">
        <v>8</v>
      </c>
    </row>
    <row r="196" spans="2:10" x14ac:dyDescent="0.25">
      <c r="B196" t="s">
        <v>2720</v>
      </c>
      <c r="C196" s="16">
        <v>30039049</v>
      </c>
      <c r="D196" s="16"/>
      <c r="E196">
        <v>0</v>
      </c>
      <c r="F196">
        <v>17</v>
      </c>
      <c r="G196">
        <v>0</v>
      </c>
      <c r="H196">
        <v>9.9</v>
      </c>
      <c r="I196">
        <v>2.1</v>
      </c>
      <c r="J196">
        <v>8</v>
      </c>
    </row>
    <row r="197" spans="2:10" x14ac:dyDescent="0.25">
      <c r="B197" t="s">
        <v>2721</v>
      </c>
      <c r="C197" s="16">
        <v>30039049</v>
      </c>
      <c r="D197" s="16"/>
      <c r="E197" t="s">
        <v>19447</v>
      </c>
      <c r="F197">
        <v>17</v>
      </c>
      <c r="G197">
        <v>0</v>
      </c>
      <c r="H197">
        <v>9.9</v>
      </c>
      <c r="I197">
        <v>2.1</v>
      </c>
      <c r="J197">
        <v>8</v>
      </c>
    </row>
    <row r="198" spans="2:10" x14ac:dyDescent="0.25">
      <c r="B198" t="s">
        <v>2719</v>
      </c>
      <c r="C198" s="16">
        <v>30039049</v>
      </c>
      <c r="D198" s="16"/>
      <c r="E198">
        <v>0</v>
      </c>
      <c r="F198">
        <v>17</v>
      </c>
      <c r="G198">
        <v>0</v>
      </c>
      <c r="H198">
        <v>9.9</v>
      </c>
      <c r="I198">
        <v>2.1</v>
      </c>
      <c r="J198">
        <v>8</v>
      </c>
    </row>
    <row r="199" spans="2:10" x14ac:dyDescent="0.25">
      <c r="B199" t="s">
        <v>2715</v>
      </c>
      <c r="C199" s="16">
        <v>30039049</v>
      </c>
      <c r="D199" s="16"/>
      <c r="E199">
        <v>0</v>
      </c>
      <c r="F199">
        <v>17</v>
      </c>
      <c r="G199">
        <v>0</v>
      </c>
      <c r="H199">
        <v>9.9</v>
      </c>
      <c r="I199">
        <v>2.1</v>
      </c>
      <c r="J199">
        <v>8</v>
      </c>
    </row>
    <row r="200" spans="2:10" x14ac:dyDescent="0.25">
      <c r="B200" t="s">
        <v>2716</v>
      </c>
      <c r="C200" s="16">
        <v>30039049</v>
      </c>
      <c r="D200" s="16"/>
      <c r="E200" t="s">
        <v>19447</v>
      </c>
      <c r="F200">
        <v>17</v>
      </c>
      <c r="G200">
        <v>0</v>
      </c>
      <c r="H200">
        <v>9.9</v>
      </c>
      <c r="I200">
        <v>2.1</v>
      </c>
      <c r="J200">
        <v>8</v>
      </c>
    </row>
    <row r="201" spans="2:10" x14ac:dyDescent="0.25">
      <c r="B201" t="s">
        <v>19450</v>
      </c>
      <c r="C201" s="16">
        <v>30039049</v>
      </c>
      <c r="D201" s="16"/>
      <c r="E201">
        <v>0</v>
      </c>
      <c r="F201">
        <v>17</v>
      </c>
      <c r="G201">
        <v>0</v>
      </c>
      <c r="H201">
        <v>9.9</v>
      </c>
      <c r="I201">
        <v>2.1</v>
      </c>
      <c r="J201">
        <v>8</v>
      </c>
    </row>
    <row r="202" spans="2:10" x14ac:dyDescent="0.25">
      <c r="B202" t="s">
        <v>2714</v>
      </c>
      <c r="C202" s="16">
        <v>30039049</v>
      </c>
      <c r="D202" s="16"/>
      <c r="E202">
        <v>0</v>
      </c>
      <c r="F202">
        <v>12</v>
      </c>
      <c r="G202">
        <v>0</v>
      </c>
      <c r="H202">
        <v>9.9</v>
      </c>
      <c r="I202">
        <v>2.1</v>
      </c>
      <c r="J202">
        <v>8</v>
      </c>
    </row>
    <row r="203" spans="2:10" x14ac:dyDescent="0.25">
      <c r="B203" t="s">
        <v>2718</v>
      </c>
      <c r="C203" s="16">
        <v>30039049</v>
      </c>
      <c r="D203" s="16"/>
      <c r="E203">
        <v>0</v>
      </c>
      <c r="F203">
        <v>17</v>
      </c>
      <c r="G203">
        <v>0</v>
      </c>
      <c r="H203">
        <v>9.9</v>
      </c>
      <c r="I203">
        <v>2.1</v>
      </c>
      <c r="J203">
        <v>8</v>
      </c>
    </row>
    <row r="204" spans="2:10" x14ac:dyDescent="0.25">
      <c r="B204" t="s">
        <v>2717</v>
      </c>
      <c r="C204" s="16">
        <v>30039049</v>
      </c>
      <c r="D204" s="16"/>
      <c r="E204">
        <v>0</v>
      </c>
      <c r="F204">
        <v>17</v>
      </c>
      <c r="G204">
        <v>0</v>
      </c>
      <c r="H204">
        <v>9.9</v>
      </c>
      <c r="I204">
        <v>2.1</v>
      </c>
      <c r="J204">
        <v>8</v>
      </c>
    </row>
    <row r="205" spans="2:10" x14ac:dyDescent="0.25">
      <c r="B205" t="s">
        <v>2723</v>
      </c>
      <c r="C205" s="16">
        <v>30039049</v>
      </c>
      <c r="D205" s="16"/>
      <c r="E205">
        <v>0</v>
      </c>
      <c r="F205">
        <v>17</v>
      </c>
      <c r="G205">
        <v>0</v>
      </c>
      <c r="H205">
        <v>9.9</v>
      </c>
      <c r="I205">
        <v>2.1</v>
      </c>
      <c r="J205">
        <v>8</v>
      </c>
    </row>
    <row r="206" spans="2:10" x14ac:dyDescent="0.25">
      <c r="B206" t="s">
        <v>19451</v>
      </c>
      <c r="C206" s="16">
        <v>30039049</v>
      </c>
      <c r="D206" s="16"/>
      <c r="E206">
        <v>0</v>
      </c>
      <c r="F206">
        <v>17</v>
      </c>
      <c r="G206">
        <v>0</v>
      </c>
      <c r="H206">
        <v>9.9</v>
      </c>
      <c r="I206">
        <v>2.1</v>
      </c>
      <c r="J206">
        <v>8</v>
      </c>
    </row>
    <row r="207" spans="2:10" x14ac:dyDescent="0.25">
      <c r="B207" t="s">
        <v>2722</v>
      </c>
      <c r="C207" s="16">
        <v>30039049</v>
      </c>
      <c r="D207" s="16"/>
      <c r="E207">
        <v>0</v>
      </c>
      <c r="F207">
        <v>17</v>
      </c>
      <c r="G207">
        <v>0</v>
      </c>
      <c r="H207">
        <v>9.9</v>
      </c>
      <c r="I207">
        <v>2.1</v>
      </c>
      <c r="J207">
        <v>8</v>
      </c>
    </row>
    <row r="208" spans="2:10" x14ac:dyDescent="0.25">
      <c r="B208" t="s">
        <v>19452</v>
      </c>
      <c r="C208" s="16">
        <v>30039049</v>
      </c>
      <c r="D208" s="16"/>
      <c r="E208">
        <v>0</v>
      </c>
      <c r="F208">
        <v>17</v>
      </c>
      <c r="G208">
        <v>0</v>
      </c>
      <c r="H208">
        <v>9.9</v>
      </c>
      <c r="I208">
        <v>2.1</v>
      </c>
      <c r="J208">
        <v>8</v>
      </c>
    </row>
    <row r="209" spans="2:10" x14ac:dyDescent="0.25">
      <c r="B209" t="s">
        <v>2710</v>
      </c>
      <c r="C209" s="16">
        <v>30039049</v>
      </c>
      <c r="D209" s="16"/>
      <c r="E209">
        <v>0</v>
      </c>
      <c r="F209">
        <v>12</v>
      </c>
      <c r="G209">
        <v>0</v>
      </c>
      <c r="H209">
        <v>9.9</v>
      </c>
      <c r="I209">
        <v>2.1</v>
      </c>
      <c r="J209">
        <v>8</v>
      </c>
    </row>
    <row r="210" spans="2:10" x14ac:dyDescent="0.25">
      <c r="B210" t="s">
        <v>2713</v>
      </c>
      <c r="C210" s="16">
        <v>30039049</v>
      </c>
      <c r="D210" s="16"/>
      <c r="E210">
        <v>0</v>
      </c>
      <c r="F210">
        <v>19</v>
      </c>
      <c r="G210">
        <v>0</v>
      </c>
      <c r="H210">
        <v>9.9</v>
      </c>
      <c r="I210">
        <v>2.1</v>
      </c>
      <c r="J210">
        <v>8</v>
      </c>
    </row>
    <row r="211" spans="2:10" x14ac:dyDescent="0.25">
      <c r="B211" t="s">
        <v>19453</v>
      </c>
      <c r="C211" s="16">
        <v>30039049</v>
      </c>
      <c r="D211" s="16"/>
      <c r="E211">
        <v>0</v>
      </c>
      <c r="F211">
        <v>17</v>
      </c>
      <c r="G211">
        <v>0</v>
      </c>
      <c r="H211">
        <v>9.9</v>
      </c>
      <c r="I211">
        <v>2.1</v>
      </c>
      <c r="J211">
        <v>8</v>
      </c>
    </row>
    <row r="212" spans="2:10" x14ac:dyDescent="0.25">
      <c r="B212" t="s">
        <v>19454</v>
      </c>
      <c r="C212" s="16">
        <v>30039049</v>
      </c>
      <c r="D212" s="16"/>
      <c r="E212">
        <v>0</v>
      </c>
      <c r="F212">
        <v>17</v>
      </c>
      <c r="G212">
        <v>0</v>
      </c>
      <c r="H212">
        <v>9.9</v>
      </c>
      <c r="I212">
        <v>2.1</v>
      </c>
      <c r="J212">
        <v>8</v>
      </c>
    </row>
    <row r="213" spans="2:10" x14ac:dyDescent="0.25">
      <c r="B213" t="s">
        <v>19455</v>
      </c>
      <c r="C213" s="16">
        <v>30039049</v>
      </c>
      <c r="D213" s="16"/>
      <c r="E213">
        <v>0</v>
      </c>
      <c r="F213">
        <v>17</v>
      </c>
      <c r="G213">
        <v>0</v>
      </c>
      <c r="H213">
        <v>9.9</v>
      </c>
      <c r="I213">
        <v>2.1</v>
      </c>
      <c r="J213">
        <v>8</v>
      </c>
    </row>
    <row r="214" spans="2:10" x14ac:dyDescent="0.25">
      <c r="B214" t="s">
        <v>2712</v>
      </c>
      <c r="C214" s="16">
        <v>30039049</v>
      </c>
      <c r="D214" s="16"/>
      <c r="E214">
        <v>0</v>
      </c>
      <c r="F214">
        <v>17</v>
      </c>
      <c r="G214">
        <v>0</v>
      </c>
      <c r="H214">
        <v>9.9</v>
      </c>
      <c r="I214">
        <v>2.1</v>
      </c>
      <c r="J214">
        <v>8</v>
      </c>
    </row>
    <row r="215" spans="2:10" x14ac:dyDescent="0.25">
      <c r="B215" t="s">
        <v>2711</v>
      </c>
      <c r="C215" s="16">
        <v>30039049</v>
      </c>
      <c r="D215" s="16"/>
      <c r="E215">
        <v>0</v>
      </c>
      <c r="F215">
        <v>17</v>
      </c>
      <c r="G215">
        <v>0</v>
      </c>
      <c r="H215">
        <v>9.9</v>
      </c>
      <c r="I215">
        <v>2.1</v>
      </c>
      <c r="J215">
        <v>8</v>
      </c>
    </row>
    <row r="216" spans="2:10" x14ac:dyDescent="0.25">
      <c r="B216" t="s">
        <v>19456</v>
      </c>
      <c r="C216" s="16">
        <v>30039049</v>
      </c>
      <c r="D216" s="16"/>
      <c r="E216">
        <v>0</v>
      </c>
      <c r="F216">
        <v>17</v>
      </c>
      <c r="G216">
        <v>0</v>
      </c>
      <c r="H216">
        <v>9.9</v>
      </c>
      <c r="I216">
        <v>2.1</v>
      </c>
      <c r="J216">
        <v>8</v>
      </c>
    </row>
    <row r="217" spans="2:10" x14ac:dyDescent="0.25">
      <c r="B217" t="s">
        <v>2709</v>
      </c>
      <c r="C217" s="16">
        <v>30039049</v>
      </c>
      <c r="D217" s="16"/>
      <c r="E217">
        <v>0</v>
      </c>
      <c r="F217">
        <v>18</v>
      </c>
      <c r="G217">
        <v>0</v>
      </c>
      <c r="H217">
        <v>9.9</v>
      </c>
      <c r="I217">
        <v>2.1</v>
      </c>
      <c r="J217">
        <v>8</v>
      </c>
    </row>
    <row r="218" spans="2:10" x14ac:dyDescent="0.25">
      <c r="B218" t="s">
        <v>19457</v>
      </c>
      <c r="C218" s="16">
        <v>30039049</v>
      </c>
      <c r="D218" s="16"/>
      <c r="E218">
        <v>0</v>
      </c>
      <c r="F218">
        <v>17</v>
      </c>
      <c r="G218">
        <v>0</v>
      </c>
      <c r="H218">
        <v>9.9</v>
      </c>
      <c r="I218">
        <v>2.1</v>
      </c>
      <c r="J218">
        <v>8</v>
      </c>
    </row>
    <row r="219" spans="2:10" x14ac:dyDescent="0.25">
      <c r="B219" t="s">
        <v>19446</v>
      </c>
      <c r="C219" s="16">
        <v>30039055</v>
      </c>
      <c r="D219" s="16"/>
      <c r="E219">
        <v>0</v>
      </c>
      <c r="F219">
        <v>17</v>
      </c>
      <c r="G219">
        <v>0</v>
      </c>
      <c r="H219">
        <v>9.9</v>
      </c>
      <c r="I219">
        <v>2.1</v>
      </c>
      <c r="J219">
        <v>14</v>
      </c>
    </row>
    <row r="220" spans="2:10" x14ac:dyDescent="0.25">
      <c r="B220" t="s">
        <v>19448</v>
      </c>
      <c r="C220" s="16">
        <v>30039055</v>
      </c>
      <c r="D220" s="16"/>
      <c r="E220">
        <v>0</v>
      </c>
      <c r="F220">
        <v>17</v>
      </c>
      <c r="G220">
        <v>0</v>
      </c>
      <c r="H220">
        <v>9.9</v>
      </c>
      <c r="I220">
        <v>2.1</v>
      </c>
      <c r="J220">
        <v>14</v>
      </c>
    </row>
    <row r="221" spans="2:10" x14ac:dyDescent="0.25">
      <c r="B221" t="s">
        <v>2724</v>
      </c>
      <c r="C221" s="16">
        <v>30039055</v>
      </c>
      <c r="D221" s="16"/>
      <c r="E221">
        <v>59</v>
      </c>
      <c r="F221">
        <v>17</v>
      </c>
      <c r="G221">
        <v>0</v>
      </c>
      <c r="H221">
        <v>9.9</v>
      </c>
      <c r="I221">
        <v>2.1</v>
      </c>
      <c r="J221">
        <v>14</v>
      </c>
    </row>
    <row r="222" spans="2:10" x14ac:dyDescent="0.25">
      <c r="B222" t="s">
        <v>19449</v>
      </c>
      <c r="C222" s="16">
        <v>30039055</v>
      </c>
      <c r="D222" s="16"/>
      <c r="E222">
        <v>0</v>
      </c>
      <c r="F222">
        <v>17</v>
      </c>
      <c r="G222">
        <v>0</v>
      </c>
      <c r="H222">
        <v>9.9</v>
      </c>
      <c r="I222">
        <v>2.1</v>
      </c>
      <c r="J222">
        <v>14</v>
      </c>
    </row>
    <row r="223" spans="2:10" x14ac:dyDescent="0.25">
      <c r="B223" t="s">
        <v>2720</v>
      </c>
      <c r="C223" s="16">
        <v>30039055</v>
      </c>
      <c r="D223" s="16"/>
      <c r="E223">
        <v>0</v>
      </c>
      <c r="F223">
        <v>17</v>
      </c>
      <c r="G223">
        <v>0</v>
      </c>
      <c r="H223">
        <v>9.9</v>
      </c>
      <c r="I223">
        <v>2.1</v>
      </c>
      <c r="J223">
        <v>14</v>
      </c>
    </row>
    <row r="224" spans="2:10" x14ac:dyDescent="0.25">
      <c r="B224" t="s">
        <v>2721</v>
      </c>
      <c r="C224" s="16">
        <v>30039055</v>
      </c>
      <c r="D224" s="16"/>
      <c r="E224" t="s">
        <v>19447</v>
      </c>
      <c r="F224">
        <v>17</v>
      </c>
      <c r="G224">
        <v>0</v>
      </c>
      <c r="H224">
        <v>9.9</v>
      </c>
      <c r="I224">
        <v>2.1</v>
      </c>
      <c r="J224">
        <v>14</v>
      </c>
    </row>
    <row r="225" spans="2:10" x14ac:dyDescent="0.25">
      <c r="B225" t="s">
        <v>2719</v>
      </c>
      <c r="C225" s="16">
        <v>30039055</v>
      </c>
      <c r="D225" s="16"/>
      <c r="E225">
        <v>0</v>
      </c>
      <c r="F225">
        <v>17</v>
      </c>
      <c r="G225">
        <v>0</v>
      </c>
      <c r="H225">
        <v>9.9</v>
      </c>
      <c r="I225">
        <v>2.1</v>
      </c>
      <c r="J225">
        <v>14</v>
      </c>
    </row>
    <row r="226" spans="2:10" x14ac:dyDescent="0.25">
      <c r="B226" t="s">
        <v>2715</v>
      </c>
      <c r="C226" s="16">
        <v>30039055</v>
      </c>
      <c r="D226" s="16"/>
      <c r="E226">
        <v>0</v>
      </c>
      <c r="F226">
        <v>17</v>
      </c>
      <c r="G226">
        <v>0</v>
      </c>
      <c r="H226">
        <v>9.9</v>
      </c>
      <c r="I226">
        <v>2.1</v>
      </c>
      <c r="J226">
        <v>14</v>
      </c>
    </row>
    <row r="227" spans="2:10" x14ac:dyDescent="0.25">
      <c r="B227" t="s">
        <v>2716</v>
      </c>
      <c r="C227" s="16">
        <v>30039055</v>
      </c>
      <c r="D227" s="16"/>
      <c r="E227" t="s">
        <v>19447</v>
      </c>
      <c r="F227">
        <v>17</v>
      </c>
      <c r="G227">
        <v>0</v>
      </c>
      <c r="H227">
        <v>9.9</v>
      </c>
      <c r="I227">
        <v>2.1</v>
      </c>
      <c r="J227">
        <v>14</v>
      </c>
    </row>
    <row r="228" spans="2:10" x14ac:dyDescent="0.25">
      <c r="B228" t="s">
        <v>19450</v>
      </c>
      <c r="C228" s="16">
        <v>30039055</v>
      </c>
      <c r="D228" s="16"/>
      <c r="E228">
        <v>0</v>
      </c>
      <c r="F228">
        <v>17</v>
      </c>
      <c r="G228">
        <v>0</v>
      </c>
      <c r="H228">
        <v>9.9</v>
      </c>
      <c r="I228">
        <v>2.1</v>
      </c>
      <c r="J228">
        <v>14</v>
      </c>
    </row>
    <row r="229" spans="2:10" x14ac:dyDescent="0.25">
      <c r="B229" t="s">
        <v>2714</v>
      </c>
      <c r="C229" s="16">
        <v>30039055</v>
      </c>
      <c r="D229" s="16"/>
      <c r="E229">
        <v>0</v>
      </c>
      <c r="F229">
        <v>12</v>
      </c>
      <c r="G229">
        <v>0</v>
      </c>
      <c r="H229">
        <v>9.9</v>
      </c>
      <c r="I229">
        <v>2.1</v>
      </c>
      <c r="J229">
        <v>14</v>
      </c>
    </row>
    <row r="230" spans="2:10" x14ac:dyDescent="0.25">
      <c r="B230" t="s">
        <v>2718</v>
      </c>
      <c r="C230" s="16">
        <v>30039055</v>
      </c>
      <c r="D230" s="16"/>
      <c r="E230">
        <v>0</v>
      </c>
      <c r="F230">
        <v>17</v>
      </c>
      <c r="G230">
        <v>0</v>
      </c>
      <c r="H230">
        <v>9.9</v>
      </c>
      <c r="I230">
        <v>2.1</v>
      </c>
      <c r="J230">
        <v>14</v>
      </c>
    </row>
    <row r="231" spans="2:10" x14ac:dyDescent="0.25">
      <c r="B231" t="s">
        <v>2717</v>
      </c>
      <c r="C231" s="16">
        <v>30039055</v>
      </c>
      <c r="D231" s="16"/>
      <c r="E231">
        <v>0</v>
      </c>
      <c r="F231">
        <v>17</v>
      </c>
      <c r="G231">
        <v>0</v>
      </c>
      <c r="H231">
        <v>9.9</v>
      </c>
      <c r="I231">
        <v>2.1</v>
      </c>
      <c r="J231">
        <v>14</v>
      </c>
    </row>
    <row r="232" spans="2:10" x14ac:dyDescent="0.25">
      <c r="B232" t="s">
        <v>2723</v>
      </c>
      <c r="C232" s="16">
        <v>30039055</v>
      </c>
      <c r="D232" s="16"/>
      <c r="E232">
        <v>0</v>
      </c>
      <c r="F232">
        <v>17</v>
      </c>
      <c r="G232">
        <v>0</v>
      </c>
      <c r="H232">
        <v>9.9</v>
      </c>
      <c r="I232">
        <v>2.1</v>
      </c>
      <c r="J232">
        <v>14</v>
      </c>
    </row>
    <row r="233" spans="2:10" x14ac:dyDescent="0.25">
      <c r="B233" t="s">
        <v>19451</v>
      </c>
      <c r="C233" s="16">
        <v>30039055</v>
      </c>
      <c r="D233" s="16"/>
      <c r="E233">
        <v>0</v>
      </c>
      <c r="F233">
        <v>17</v>
      </c>
      <c r="G233">
        <v>0</v>
      </c>
      <c r="H233">
        <v>9.9</v>
      </c>
      <c r="I233">
        <v>2.1</v>
      </c>
      <c r="J233">
        <v>14</v>
      </c>
    </row>
    <row r="234" spans="2:10" x14ac:dyDescent="0.25">
      <c r="B234" t="s">
        <v>2722</v>
      </c>
      <c r="C234" s="16">
        <v>30039055</v>
      </c>
      <c r="D234" s="16"/>
      <c r="E234">
        <v>0</v>
      </c>
      <c r="F234">
        <v>17</v>
      </c>
      <c r="G234">
        <v>0</v>
      </c>
      <c r="H234">
        <v>9.9</v>
      </c>
      <c r="I234">
        <v>2.1</v>
      </c>
      <c r="J234">
        <v>14</v>
      </c>
    </row>
    <row r="235" spans="2:10" x14ac:dyDescent="0.25">
      <c r="B235" t="s">
        <v>19452</v>
      </c>
      <c r="C235" s="16">
        <v>30039055</v>
      </c>
      <c r="D235" s="16"/>
      <c r="E235">
        <v>0</v>
      </c>
      <c r="F235">
        <v>17</v>
      </c>
      <c r="G235">
        <v>0</v>
      </c>
      <c r="H235">
        <v>9.9</v>
      </c>
      <c r="I235">
        <v>2.1</v>
      </c>
      <c r="J235">
        <v>14</v>
      </c>
    </row>
    <row r="236" spans="2:10" x14ac:dyDescent="0.25">
      <c r="B236" t="s">
        <v>2710</v>
      </c>
      <c r="C236" s="16">
        <v>30039055</v>
      </c>
      <c r="D236" s="16"/>
      <c r="E236">
        <v>0</v>
      </c>
      <c r="F236">
        <v>12</v>
      </c>
      <c r="G236">
        <v>0</v>
      </c>
      <c r="H236">
        <v>9.9</v>
      </c>
      <c r="I236">
        <v>2.1</v>
      </c>
      <c r="J236">
        <v>14</v>
      </c>
    </row>
    <row r="237" spans="2:10" x14ac:dyDescent="0.25">
      <c r="B237" t="s">
        <v>2713</v>
      </c>
      <c r="C237" s="16">
        <v>30039055</v>
      </c>
      <c r="D237" s="16"/>
      <c r="E237">
        <v>0</v>
      </c>
      <c r="F237">
        <v>19</v>
      </c>
      <c r="G237">
        <v>0</v>
      </c>
      <c r="H237">
        <v>9.9</v>
      </c>
      <c r="I237">
        <v>2.1</v>
      </c>
      <c r="J237">
        <v>14</v>
      </c>
    </row>
    <row r="238" spans="2:10" x14ac:dyDescent="0.25">
      <c r="B238" t="s">
        <v>19453</v>
      </c>
      <c r="C238" s="16">
        <v>30039055</v>
      </c>
      <c r="D238" s="16"/>
      <c r="E238">
        <v>0</v>
      </c>
      <c r="F238">
        <v>17</v>
      </c>
      <c r="G238">
        <v>0</v>
      </c>
      <c r="H238">
        <v>9.9</v>
      </c>
      <c r="I238">
        <v>2.1</v>
      </c>
      <c r="J238">
        <v>14</v>
      </c>
    </row>
    <row r="239" spans="2:10" x14ac:dyDescent="0.25">
      <c r="B239" t="s">
        <v>19454</v>
      </c>
      <c r="C239" s="16">
        <v>30039055</v>
      </c>
      <c r="D239" s="16"/>
      <c r="E239">
        <v>0</v>
      </c>
      <c r="F239">
        <v>17</v>
      </c>
      <c r="G239">
        <v>0</v>
      </c>
      <c r="H239">
        <v>9.9</v>
      </c>
      <c r="I239">
        <v>2.1</v>
      </c>
      <c r="J239">
        <v>14</v>
      </c>
    </row>
    <row r="240" spans="2:10" x14ac:dyDescent="0.25">
      <c r="B240" t="s">
        <v>19455</v>
      </c>
      <c r="C240" s="16">
        <v>30039055</v>
      </c>
      <c r="D240" s="16"/>
      <c r="E240">
        <v>0</v>
      </c>
      <c r="F240">
        <v>17</v>
      </c>
      <c r="G240">
        <v>0</v>
      </c>
      <c r="H240">
        <v>9.9</v>
      </c>
      <c r="I240">
        <v>2.1</v>
      </c>
      <c r="J240">
        <v>14</v>
      </c>
    </row>
    <row r="241" spans="2:10" x14ac:dyDescent="0.25">
      <c r="B241" t="s">
        <v>2712</v>
      </c>
      <c r="C241" s="16">
        <v>30039055</v>
      </c>
      <c r="D241" s="16"/>
      <c r="E241">
        <v>0</v>
      </c>
      <c r="F241">
        <v>17</v>
      </c>
      <c r="G241">
        <v>0</v>
      </c>
      <c r="H241">
        <v>9.9</v>
      </c>
      <c r="I241">
        <v>2.1</v>
      </c>
      <c r="J241">
        <v>14</v>
      </c>
    </row>
    <row r="242" spans="2:10" x14ac:dyDescent="0.25">
      <c r="B242" t="s">
        <v>2711</v>
      </c>
      <c r="C242" s="16">
        <v>30039055</v>
      </c>
      <c r="D242" s="16"/>
      <c r="E242">
        <v>0</v>
      </c>
      <c r="F242">
        <v>17</v>
      </c>
      <c r="G242">
        <v>0</v>
      </c>
      <c r="H242">
        <v>9.9</v>
      </c>
      <c r="I242">
        <v>2.1</v>
      </c>
      <c r="J242">
        <v>14</v>
      </c>
    </row>
    <row r="243" spans="2:10" x14ac:dyDescent="0.25">
      <c r="B243" t="s">
        <v>19456</v>
      </c>
      <c r="C243" s="16">
        <v>30039055</v>
      </c>
      <c r="D243" s="16"/>
      <c r="E243">
        <v>0</v>
      </c>
      <c r="F243">
        <v>17</v>
      </c>
      <c r="G243">
        <v>0</v>
      </c>
      <c r="H243">
        <v>9.9</v>
      </c>
      <c r="I243">
        <v>2.1</v>
      </c>
      <c r="J243">
        <v>14</v>
      </c>
    </row>
    <row r="244" spans="2:10" x14ac:dyDescent="0.25">
      <c r="B244" t="s">
        <v>2709</v>
      </c>
      <c r="C244" s="16">
        <v>30039055</v>
      </c>
      <c r="D244" s="16"/>
      <c r="E244">
        <v>0</v>
      </c>
      <c r="F244">
        <v>18</v>
      </c>
      <c r="G244">
        <v>0</v>
      </c>
      <c r="H244">
        <v>9.9</v>
      </c>
      <c r="I244">
        <v>2.1</v>
      </c>
      <c r="J244">
        <v>14</v>
      </c>
    </row>
    <row r="245" spans="2:10" x14ac:dyDescent="0.25">
      <c r="B245" t="s">
        <v>19457</v>
      </c>
      <c r="C245" s="16">
        <v>30039055</v>
      </c>
      <c r="D245" s="16"/>
      <c r="E245">
        <v>0</v>
      </c>
      <c r="F245">
        <v>17</v>
      </c>
      <c r="G245">
        <v>0</v>
      </c>
      <c r="H245">
        <v>9.9</v>
      </c>
      <c r="I245">
        <v>2.1</v>
      </c>
      <c r="J245">
        <v>14</v>
      </c>
    </row>
    <row r="246" spans="2:10" x14ac:dyDescent="0.25">
      <c r="B246" t="s">
        <v>19446</v>
      </c>
      <c r="C246" s="16">
        <v>30039069</v>
      </c>
      <c r="D246" s="16"/>
      <c r="E246">
        <v>0</v>
      </c>
      <c r="F246">
        <v>17</v>
      </c>
      <c r="G246">
        <v>0</v>
      </c>
      <c r="H246">
        <v>9.9</v>
      </c>
      <c r="I246">
        <v>2.1</v>
      </c>
      <c r="J246">
        <v>8</v>
      </c>
    </row>
    <row r="247" spans="2:10" x14ac:dyDescent="0.25">
      <c r="B247" t="s">
        <v>19448</v>
      </c>
      <c r="C247" s="16">
        <v>30039069</v>
      </c>
      <c r="D247" s="16"/>
      <c r="E247">
        <v>0</v>
      </c>
      <c r="F247">
        <v>17</v>
      </c>
      <c r="G247">
        <v>0</v>
      </c>
      <c r="H247">
        <v>9.9</v>
      </c>
      <c r="I247">
        <v>2.1</v>
      </c>
      <c r="J247">
        <v>8</v>
      </c>
    </row>
    <row r="248" spans="2:10" x14ac:dyDescent="0.25">
      <c r="B248" t="s">
        <v>2724</v>
      </c>
      <c r="C248" s="16">
        <v>30039069</v>
      </c>
      <c r="D248" s="16"/>
      <c r="E248">
        <v>59</v>
      </c>
      <c r="F248">
        <v>17</v>
      </c>
      <c r="G248">
        <v>0</v>
      </c>
      <c r="H248">
        <v>9.9</v>
      </c>
      <c r="I248">
        <v>2.1</v>
      </c>
      <c r="J248">
        <v>8</v>
      </c>
    </row>
    <row r="249" spans="2:10" x14ac:dyDescent="0.25">
      <c r="B249" t="s">
        <v>19449</v>
      </c>
      <c r="C249" s="16">
        <v>30039069</v>
      </c>
      <c r="D249" s="16"/>
      <c r="E249">
        <v>0</v>
      </c>
      <c r="F249">
        <v>17</v>
      </c>
      <c r="G249">
        <v>0</v>
      </c>
      <c r="H249">
        <v>9.9</v>
      </c>
      <c r="I249">
        <v>2.1</v>
      </c>
      <c r="J249">
        <v>8</v>
      </c>
    </row>
    <row r="250" spans="2:10" x14ac:dyDescent="0.25">
      <c r="B250" t="s">
        <v>2720</v>
      </c>
      <c r="C250" s="16">
        <v>30039069</v>
      </c>
      <c r="D250" s="16"/>
      <c r="E250">
        <v>0</v>
      </c>
      <c r="F250">
        <v>17</v>
      </c>
      <c r="G250">
        <v>0</v>
      </c>
      <c r="H250">
        <v>9.9</v>
      </c>
      <c r="I250">
        <v>2.1</v>
      </c>
      <c r="J250">
        <v>8</v>
      </c>
    </row>
    <row r="251" spans="2:10" x14ac:dyDescent="0.25">
      <c r="B251" t="s">
        <v>2721</v>
      </c>
      <c r="C251" s="16">
        <v>30039069</v>
      </c>
      <c r="D251" s="16"/>
      <c r="E251" t="s">
        <v>19447</v>
      </c>
      <c r="F251">
        <v>17</v>
      </c>
      <c r="G251">
        <v>0</v>
      </c>
      <c r="H251">
        <v>9.9</v>
      </c>
      <c r="I251">
        <v>2.1</v>
      </c>
      <c r="J251">
        <v>8</v>
      </c>
    </row>
    <row r="252" spans="2:10" x14ac:dyDescent="0.25">
      <c r="B252" t="s">
        <v>2719</v>
      </c>
      <c r="C252" s="16">
        <v>30039069</v>
      </c>
      <c r="D252" s="16"/>
      <c r="E252">
        <v>0</v>
      </c>
      <c r="F252">
        <v>17</v>
      </c>
      <c r="G252">
        <v>0</v>
      </c>
      <c r="H252">
        <v>9.9</v>
      </c>
      <c r="I252">
        <v>2.1</v>
      </c>
      <c r="J252">
        <v>8</v>
      </c>
    </row>
    <row r="253" spans="2:10" x14ac:dyDescent="0.25">
      <c r="B253" t="s">
        <v>2715</v>
      </c>
      <c r="C253" s="16">
        <v>30039069</v>
      </c>
      <c r="D253" s="16"/>
      <c r="E253">
        <v>0</v>
      </c>
      <c r="F253">
        <v>17</v>
      </c>
      <c r="G253">
        <v>0</v>
      </c>
      <c r="H253">
        <v>9.9</v>
      </c>
      <c r="I253">
        <v>2.1</v>
      </c>
      <c r="J253">
        <v>8</v>
      </c>
    </row>
    <row r="254" spans="2:10" x14ac:dyDescent="0.25">
      <c r="B254" t="s">
        <v>2716</v>
      </c>
      <c r="C254" s="16">
        <v>30039069</v>
      </c>
      <c r="D254" s="16"/>
      <c r="E254" t="s">
        <v>19447</v>
      </c>
      <c r="F254">
        <v>17</v>
      </c>
      <c r="G254">
        <v>0</v>
      </c>
      <c r="H254">
        <v>9.9</v>
      </c>
      <c r="I254">
        <v>2.1</v>
      </c>
      <c r="J254">
        <v>8</v>
      </c>
    </row>
    <row r="255" spans="2:10" x14ac:dyDescent="0.25">
      <c r="B255" t="s">
        <v>19450</v>
      </c>
      <c r="C255" s="16">
        <v>30039069</v>
      </c>
      <c r="D255" s="16"/>
      <c r="E255">
        <v>0</v>
      </c>
      <c r="F255">
        <v>17</v>
      </c>
      <c r="G255">
        <v>0</v>
      </c>
      <c r="H255">
        <v>9.9</v>
      </c>
      <c r="I255">
        <v>2.1</v>
      </c>
      <c r="J255">
        <v>8</v>
      </c>
    </row>
    <row r="256" spans="2:10" x14ac:dyDescent="0.25">
      <c r="B256" t="s">
        <v>2714</v>
      </c>
      <c r="C256" s="16">
        <v>30039069</v>
      </c>
      <c r="D256" s="16"/>
      <c r="E256">
        <v>0</v>
      </c>
      <c r="F256">
        <v>12</v>
      </c>
      <c r="G256">
        <v>0</v>
      </c>
      <c r="H256">
        <v>9.9</v>
      </c>
      <c r="I256">
        <v>2.1</v>
      </c>
      <c r="J256">
        <v>8</v>
      </c>
    </row>
    <row r="257" spans="2:10" x14ac:dyDescent="0.25">
      <c r="B257" t="s">
        <v>2718</v>
      </c>
      <c r="C257" s="16">
        <v>30039069</v>
      </c>
      <c r="D257" s="16"/>
      <c r="E257">
        <v>0</v>
      </c>
      <c r="F257">
        <v>17</v>
      </c>
      <c r="G257">
        <v>0</v>
      </c>
      <c r="H257">
        <v>9.9</v>
      </c>
      <c r="I257">
        <v>2.1</v>
      </c>
      <c r="J257">
        <v>8</v>
      </c>
    </row>
    <row r="258" spans="2:10" x14ac:dyDescent="0.25">
      <c r="B258" t="s">
        <v>2717</v>
      </c>
      <c r="C258" s="16">
        <v>30039069</v>
      </c>
      <c r="D258" s="16"/>
      <c r="E258">
        <v>0</v>
      </c>
      <c r="F258">
        <v>17</v>
      </c>
      <c r="G258">
        <v>0</v>
      </c>
      <c r="H258">
        <v>9.9</v>
      </c>
      <c r="I258">
        <v>2.1</v>
      </c>
      <c r="J258">
        <v>8</v>
      </c>
    </row>
    <row r="259" spans="2:10" x14ac:dyDescent="0.25">
      <c r="B259" t="s">
        <v>2723</v>
      </c>
      <c r="C259" s="16">
        <v>30039069</v>
      </c>
      <c r="D259" s="16"/>
      <c r="E259">
        <v>0</v>
      </c>
      <c r="F259">
        <v>17</v>
      </c>
      <c r="G259">
        <v>0</v>
      </c>
      <c r="H259">
        <v>9.9</v>
      </c>
      <c r="I259">
        <v>2.1</v>
      </c>
      <c r="J259">
        <v>8</v>
      </c>
    </row>
    <row r="260" spans="2:10" x14ac:dyDescent="0.25">
      <c r="B260" t="s">
        <v>19451</v>
      </c>
      <c r="C260" s="16">
        <v>30039069</v>
      </c>
      <c r="D260" s="16"/>
      <c r="E260">
        <v>0</v>
      </c>
      <c r="F260">
        <v>17</v>
      </c>
      <c r="G260">
        <v>0</v>
      </c>
      <c r="H260">
        <v>9.9</v>
      </c>
      <c r="I260">
        <v>2.1</v>
      </c>
      <c r="J260">
        <v>8</v>
      </c>
    </row>
    <row r="261" spans="2:10" x14ac:dyDescent="0.25">
      <c r="B261" t="s">
        <v>2722</v>
      </c>
      <c r="C261" s="16">
        <v>30039069</v>
      </c>
      <c r="D261" s="16"/>
      <c r="E261">
        <v>0</v>
      </c>
      <c r="F261">
        <v>17</v>
      </c>
      <c r="G261">
        <v>0</v>
      </c>
      <c r="H261">
        <v>9.9</v>
      </c>
      <c r="I261">
        <v>2.1</v>
      </c>
      <c r="J261">
        <v>8</v>
      </c>
    </row>
    <row r="262" spans="2:10" x14ac:dyDescent="0.25">
      <c r="B262" t="s">
        <v>19452</v>
      </c>
      <c r="C262" s="16">
        <v>30039069</v>
      </c>
      <c r="D262" s="16"/>
      <c r="E262">
        <v>0</v>
      </c>
      <c r="F262">
        <v>17</v>
      </c>
      <c r="G262">
        <v>0</v>
      </c>
      <c r="H262">
        <v>9.9</v>
      </c>
      <c r="I262">
        <v>2.1</v>
      </c>
      <c r="J262">
        <v>8</v>
      </c>
    </row>
    <row r="263" spans="2:10" x14ac:dyDescent="0.25">
      <c r="B263" t="s">
        <v>2710</v>
      </c>
      <c r="C263" s="16">
        <v>30039069</v>
      </c>
      <c r="D263" s="16"/>
      <c r="E263">
        <v>0</v>
      </c>
      <c r="F263">
        <v>12</v>
      </c>
      <c r="G263">
        <v>0</v>
      </c>
      <c r="H263">
        <v>9.9</v>
      </c>
      <c r="I263">
        <v>2.1</v>
      </c>
      <c r="J263">
        <v>8</v>
      </c>
    </row>
    <row r="264" spans="2:10" x14ac:dyDescent="0.25">
      <c r="B264" t="s">
        <v>2713</v>
      </c>
      <c r="C264" s="16">
        <v>30039069</v>
      </c>
      <c r="D264" s="16"/>
      <c r="E264">
        <v>0</v>
      </c>
      <c r="F264">
        <v>19</v>
      </c>
      <c r="G264">
        <v>0</v>
      </c>
      <c r="H264">
        <v>9.9</v>
      </c>
      <c r="I264">
        <v>2.1</v>
      </c>
      <c r="J264">
        <v>8</v>
      </c>
    </row>
    <row r="265" spans="2:10" x14ac:dyDescent="0.25">
      <c r="B265" t="s">
        <v>19453</v>
      </c>
      <c r="C265" s="16">
        <v>30039069</v>
      </c>
      <c r="D265" s="16"/>
      <c r="E265">
        <v>0</v>
      </c>
      <c r="F265">
        <v>17</v>
      </c>
      <c r="G265">
        <v>0</v>
      </c>
      <c r="H265">
        <v>9.9</v>
      </c>
      <c r="I265">
        <v>2.1</v>
      </c>
      <c r="J265">
        <v>8</v>
      </c>
    </row>
    <row r="266" spans="2:10" x14ac:dyDescent="0.25">
      <c r="B266" t="s">
        <v>19454</v>
      </c>
      <c r="C266" s="16">
        <v>30039069</v>
      </c>
      <c r="D266" s="16"/>
      <c r="E266">
        <v>0</v>
      </c>
      <c r="F266">
        <v>17</v>
      </c>
      <c r="G266">
        <v>0</v>
      </c>
      <c r="H266">
        <v>9.9</v>
      </c>
      <c r="I266">
        <v>2.1</v>
      </c>
      <c r="J266">
        <v>8</v>
      </c>
    </row>
    <row r="267" spans="2:10" x14ac:dyDescent="0.25">
      <c r="B267" t="s">
        <v>19455</v>
      </c>
      <c r="C267" s="16">
        <v>30039069</v>
      </c>
      <c r="D267" s="16"/>
      <c r="E267">
        <v>0</v>
      </c>
      <c r="F267">
        <v>17</v>
      </c>
      <c r="G267">
        <v>0</v>
      </c>
      <c r="H267">
        <v>9.9</v>
      </c>
      <c r="I267">
        <v>2.1</v>
      </c>
      <c r="J267">
        <v>8</v>
      </c>
    </row>
    <row r="268" spans="2:10" x14ac:dyDescent="0.25">
      <c r="B268" t="s">
        <v>2712</v>
      </c>
      <c r="C268" s="16">
        <v>30039069</v>
      </c>
      <c r="D268" s="16"/>
      <c r="E268">
        <v>0</v>
      </c>
      <c r="F268">
        <v>17</v>
      </c>
      <c r="G268">
        <v>0</v>
      </c>
      <c r="H268">
        <v>9.9</v>
      </c>
      <c r="I268">
        <v>2.1</v>
      </c>
      <c r="J268">
        <v>8</v>
      </c>
    </row>
    <row r="269" spans="2:10" x14ac:dyDescent="0.25">
      <c r="B269" t="s">
        <v>2711</v>
      </c>
      <c r="C269" s="16">
        <v>30039069</v>
      </c>
      <c r="D269" s="16"/>
      <c r="E269">
        <v>0</v>
      </c>
      <c r="F269">
        <v>17</v>
      </c>
      <c r="G269">
        <v>0</v>
      </c>
      <c r="H269">
        <v>9.9</v>
      </c>
      <c r="I269">
        <v>2.1</v>
      </c>
      <c r="J269">
        <v>8</v>
      </c>
    </row>
    <row r="270" spans="2:10" x14ac:dyDescent="0.25">
      <c r="B270" t="s">
        <v>19456</v>
      </c>
      <c r="C270" s="16">
        <v>30039069</v>
      </c>
      <c r="D270" s="16"/>
      <c r="E270">
        <v>0</v>
      </c>
      <c r="F270">
        <v>17</v>
      </c>
      <c r="G270">
        <v>0</v>
      </c>
      <c r="H270">
        <v>9.9</v>
      </c>
      <c r="I270">
        <v>2.1</v>
      </c>
      <c r="J270">
        <v>8</v>
      </c>
    </row>
    <row r="271" spans="2:10" x14ac:dyDescent="0.25">
      <c r="B271" t="s">
        <v>2709</v>
      </c>
      <c r="C271" s="16">
        <v>30039069</v>
      </c>
      <c r="D271" s="16"/>
      <c r="E271">
        <v>0</v>
      </c>
      <c r="F271">
        <v>18</v>
      </c>
      <c r="G271">
        <v>0</v>
      </c>
      <c r="H271">
        <v>9.9</v>
      </c>
      <c r="I271">
        <v>2.1</v>
      </c>
      <c r="J271">
        <v>8</v>
      </c>
    </row>
    <row r="272" spans="2:10" x14ac:dyDescent="0.25">
      <c r="B272" t="s">
        <v>19457</v>
      </c>
      <c r="C272" s="16">
        <v>30039069</v>
      </c>
      <c r="D272" s="16"/>
      <c r="E272">
        <v>0</v>
      </c>
      <c r="F272">
        <v>17</v>
      </c>
      <c r="G272">
        <v>0</v>
      </c>
      <c r="H272">
        <v>9.9</v>
      </c>
      <c r="I272">
        <v>2.1</v>
      </c>
      <c r="J272">
        <v>8</v>
      </c>
    </row>
    <row r="273" spans="2:10" x14ac:dyDescent="0.25">
      <c r="B273" t="s">
        <v>19446</v>
      </c>
      <c r="C273" s="16">
        <v>30039079</v>
      </c>
      <c r="D273" s="16"/>
      <c r="E273">
        <v>0</v>
      </c>
      <c r="F273">
        <v>17</v>
      </c>
      <c r="G273">
        <v>0</v>
      </c>
      <c r="H273">
        <v>9.9</v>
      </c>
      <c r="I273">
        <v>2.1</v>
      </c>
      <c r="J273">
        <v>8</v>
      </c>
    </row>
    <row r="274" spans="2:10" x14ac:dyDescent="0.25">
      <c r="B274" t="s">
        <v>19448</v>
      </c>
      <c r="C274" s="16">
        <v>30039079</v>
      </c>
      <c r="D274" s="16"/>
      <c r="E274">
        <v>0</v>
      </c>
      <c r="F274">
        <v>17</v>
      </c>
      <c r="G274">
        <v>0</v>
      </c>
      <c r="H274">
        <v>9.9</v>
      </c>
      <c r="I274">
        <v>2.1</v>
      </c>
      <c r="J274">
        <v>8</v>
      </c>
    </row>
    <row r="275" spans="2:10" x14ac:dyDescent="0.25">
      <c r="B275" t="s">
        <v>2724</v>
      </c>
      <c r="C275" s="16">
        <v>30039079</v>
      </c>
      <c r="D275" s="16"/>
      <c r="E275">
        <v>59</v>
      </c>
      <c r="F275">
        <v>17</v>
      </c>
      <c r="G275">
        <v>0</v>
      </c>
      <c r="H275">
        <v>9.9</v>
      </c>
      <c r="I275">
        <v>2.1</v>
      </c>
      <c r="J275">
        <v>8</v>
      </c>
    </row>
    <row r="276" spans="2:10" x14ac:dyDescent="0.25">
      <c r="B276" t="s">
        <v>19449</v>
      </c>
      <c r="C276" s="16">
        <v>30039079</v>
      </c>
      <c r="D276" s="16"/>
      <c r="E276">
        <v>0</v>
      </c>
      <c r="F276">
        <v>17</v>
      </c>
      <c r="G276">
        <v>0</v>
      </c>
      <c r="H276">
        <v>9.9</v>
      </c>
      <c r="I276">
        <v>2.1</v>
      </c>
      <c r="J276">
        <v>8</v>
      </c>
    </row>
    <row r="277" spans="2:10" x14ac:dyDescent="0.25">
      <c r="B277" t="s">
        <v>2720</v>
      </c>
      <c r="C277" s="16">
        <v>30039079</v>
      </c>
      <c r="D277" s="16"/>
      <c r="E277">
        <v>0</v>
      </c>
      <c r="F277">
        <v>17</v>
      </c>
      <c r="G277">
        <v>0</v>
      </c>
      <c r="H277">
        <v>9.9</v>
      </c>
      <c r="I277">
        <v>2.1</v>
      </c>
      <c r="J277">
        <v>8</v>
      </c>
    </row>
    <row r="278" spans="2:10" x14ac:dyDescent="0.25">
      <c r="B278" t="s">
        <v>2721</v>
      </c>
      <c r="C278" s="16">
        <v>30039079</v>
      </c>
      <c r="D278" s="16"/>
      <c r="E278" t="s">
        <v>19447</v>
      </c>
      <c r="F278">
        <v>17</v>
      </c>
      <c r="G278">
        <v>0</v>
      </c>
      <c r="H278">
        <v>9.9</v>
      </c>
      <c r="I278">
        <v>2.1</v>
      </c>
      <c r="J278">
        <v>8</v>
      </c>
    </row>
    <row r="279" spans="2:10" x14ac:dyDescent="0.25">
      <c r="B279" t="s">
        <v>2719</v>
      </c>
      <c r="C279" s="16">
        <v>30039079</v>
      </c>
      <c r="D279" s="16"/>
      <c r="E279">
        <v>0</v>
      </c>
      <c r="F279">
        <v>17</v>
      </c>
      <c r="G279">
        <v>0</v>
      </c>
      <c r="H279">
        <v>9.9</v>
      </c>
      <c r="I279">
        <v>2.1</v>
      </c>
      <c r="J279">
        <v>8</v>
      </c>
    </row>
    <row r="280" spans="2:10" x14ac:dyDescent="0.25">
      <c r="B280" t="s">
        <v>2715</v>
      </c>
      <c r="C280" s="16">
        <v>30039079</v>
      </c>
      <c r="D280" s="16"/>
      <c r="E280">
        <v>0</v>
      </c>
      <c r="F280">
        <v>17</v>
      </c>
      <c r="G280">
        <v>0</v>
      </c>
      <c r="H280">
        <v>9.9</v>
      </c>
      <c r="I280">
        <v>2.1</v>
      </c>
      <c r="J280">
        <v>8</v>
      </c>
    </row>
    <row r="281" spans="2:10" x14ac:dyDescent="0.25">
      <c r="B281" t="s">
        <v>2716</v>
      </c>
      <c r="C281" s="16">
        <v>30039079</v>
      </c>
      <c r="D281" s="16"/>
      <c r="E281" t="s">
        <v>19447</v>
      </c>
      <c r="F281">
        <v>17</v>
      </c>
      <c r="G281">
        <v>0</v>
      </c>
      <c r="H281">
        <v>9.9</v>
      </c>
      <c r="I281">
        <v>2.1</v>
      </c>
      <c r="J281">
        <v>8</v>
      </c>
    </row>
    <row r="282" spans="2:10" x14ac:dyDescent="0.25">
      <c r="B282" t="s">
        <v>19450</v>
      </c>
      <c r="C282" s="16">
        <v>30039079</v>
      </c>
      <c r="D282" s="16"/>
      <c r="E282">
        <v>0</v>
      </c>
      <c r="F282">
        <v>17</v>
      </c>
      <c r="G282">
        <v>0</v>
      </c>
      <c r="H282">
        <v>9.9</v>
      </c>
      <c r="I282">
        <v>2.1</v>
      </c>
      <c r="J282">
        <v>8</v>
      </c>
    </row>
    <row r="283" spans="2:10" x14ac:dyDescent="0.25">
      <c r="B283" t="s">
        <v>2714</v>
      </c>
      <c r="C283" s="16">
        <v>30039079</v>
      </c>
      <c r="D283" s="16"/>
      <c r="E283">
        <v>0</v>
      </c>
      <c r="F283">
        <v>12</v>
      </c>
      <c r="G283">
        <v>0</v>
      </c>
      <c r="H283">
        <v>9.9</v>
      </c>
      <c r="I283">
        <v>2.1</v>
      </c>
      <c r="J283">
        <v>8</v>
      </c>
    </row>
    <row r="284" spans="2:10" x14ac:dyDescent="0.25">
      <c r="B284" t="s">
        <v>2718</v>
      </c>
      <c r="C284" s="16">
        <v>30039079</v>
      </c>
      <c r="D284" s="16"/>
      <c r="E284">
        <v>0</v>
      </c>
      <c r="F284">
        <v>17</v>
      </c>
      <c r="G284">
        <v>0</v>
      </c>
      <c r="H284">
        <v>9.9</v>
      </c>
      <c r="I284">
        <v>2.1</v>
      </c>
      <c r="J284">
        <v>8</v>
      </c>
    </row>
    <row r="285" spans="2:10" x14ac:dyDescent="0.25">
      <c r="B285" t="s">
        <v>2717</v>
      </c>
      <c r="C285" s="16">
        <v>30039079</v>
      </c>
      <c r="D285" s="16"/>
      <c r="E285">
        <v>0</v>
      </c>
      <c r="F285">
        <v>17</v>
      </c>
      <c r="G285">
        <v>0</v>
      </c>
      <c r="H285">
        <v>9.9</v>
      </c>
      <c r="I285">
        <v>2.1</v>
      </c>
      <c r="J285">
        <v>8</v>
      </c>
    </row>
    <row r="286" spans="2:10" x14ac:dyDescent="0.25">
      <c r="B286" t="s">
        <v>2723</v>
      </c>
      <c r="C286" s="16">
        <v>30039079</v>
      </c>
      <c r="D286" s="16"/>
      <c r="E286">
        <v>0</v>
      </c>
      <c r="F286">
        <v>17</v>
      </c>
      <c r="G286">
        <v>0</v>
      </c>
      <c r="H286">
        <v>9.9</v>
      </c>
      <c r="I286">
        <v>2.1</v>
      </c>
      <c r="J286">
        <v>8</v>
      </c>
    </row>
    <row r="287" spans="2:10" x14ac:dyDescent="0.25">
      <c r="B287" t="s">
        <v>19451</v>
      </c>
      <c r="C287" s="16">
        <v>30039079</v>
      </c>
      <c r="D287" s="16"/>
      <c r="E287">
        <v>0</v>
      </c>
      <c r="F287">
        <v>17</v>
      </c>
      <c r="G287">
        <v>0</v>
      </c>
      <c r="H287">
        <v>9.9</v>
      </c>
      <c r="I287">
        <v>2.1</v>
      </c>
      <c r="J287">
        <v>8</v>
      </c>
    </row>
    <row r="288" spans="2:10" x14ac:dyDescent="0.25">
      <c r="B288" t="s">
        <v>2722</v>
      </c>
      <c r="C288" s="16">
        <v>30039079</v>
      </c>
      <c r="D288" s="16"/>
      <c r="E288">
        <v>0</v>
      </c>
      <c r="F288">
        <v>17</v>
      </c>
      <c r="G288">
        <v>0</v>
      </c>
      <c r="H288">
        <v>9.9</v>
      </c>
      <c r="I288">
        <v>2.1</v>
      </c>
      <c r="J288">
        <v>8</v>
      </c>
    </row>
    <row r="289" spans="2:17" x14ac:dyDescent="0.25">
      <c r="B289" t="s">
        <v>19452</v>
      </c>
      <c r="C289" s="16">
        <v>30039079</v>
      </c>
      <c r="D289" s="16"/>
      <c r="E289">
        <v>0</v>
      </c>
      <c r="F289">
        <v>17</v>
      </c>
      <c r="G289">
        <v>0</v>
      </c>
      <c r="H289">
        <v>9.9</v>
      </c>
      <c r="I289">
        <v>2.1</v>
      </c>
      <c r="J289">
        <v>8</v>
      </c>
    </row>
    <row r="290" spans="2:17" x14ac:dyDescent="0.25">
      <c r="B290" t="s">
        <v>2710</v>
      </c>
      <c r="C290" s="16">
        <v>30039079</v>
      </c>
      <c r="D290" s="16"/>
      <c r="E290">
        <v>0</v>
      </c>
      <c r="F290">
        <v>12</v>
      </c>
      <c r="G290">
        <v>0</v>
      </c>
      <c r="H290">
        <v>9.9</v>
      </c>
      <c r="I290">
        <v>2.1</v>
      </c>
      <c r="J290">
        <v>8</v>
      </c>
      <c r="Q290">
        <f>40.37/283.4</f>
        <v>0.14244883556810162</v>
      </c>
    </row>
    <row r="291" spans="2:17" x14ac:dyDescent="0.25">
      <c r="B291" t="s">
        <v>2713</v>
      </c>
      <c r="C291" s="16">
        <v>30039079</v>
      </c>
      <c r="D291" s="16"/>
      <c r="E291">
        <v>0</v>
      </c>
      <c r="F291">
        <v>19</v>
      </c>
      <c r="G291">
        <v>0</v>
      </c>
      <c r="H291">
        <v>9.9</v>
      </c>
      <c r="I291">
        <v>2.1</v>
      </c>
      <c r="J291">
        <v>8</v>
      </c>
    </row>
    <row r="292" spans="2:17" x14ac:dyDescent="0.25">
      <c r="B292" t="s">
        <v>19453</v>
      </c>
      <c r="C292" s="16">
        <v>30039079</v>
      </c>
      <c r="D292" s="16"/>
      <c r="E292">
        <v>0</v>
      </c>
      <c r="F292">
        <v>17</v>
      </c>
      <c r="G292">
        <v>0</v>
      </c>
      <c r="H292">
        <v>9.9</v>
      </c>
      <c r="I292">
        <v>2.1</v>
      </c>
      <c r="J292">
        <v>8</v>
      </c>
    </row>
    <row r="293" spans="2:17" x14ac:dyDescent="0.25">
      <c r="B293" t="s">
        <v>19454</v>
      </c>
      <c r="C293" s="16">
        <v>30039079</v>
      </c>
      <c r="D293" s="16"/>
      <c r="E293">
        <v>0</v>
      </c>
      <c r="F293">
        <v>17</v>
      </c>
      <c r="G293">
        <v>0</v>
      </c>
      <c r="H293">
        <v>9.9</v>
      </c>
      <c r="I293">
        <v>2.1</v>
      </c>
      <c r="J293">
        <v>8</v>
      </c>
    </row>
    <row r="294" spans="2:17" x14ac:dyDescent="0.25">
      <c r="B294" t="s">
        <v>19455</v>
      </c>
      <c r="C294" s="16">
        <v>30039079</v>
      </c>
      <c r="D294" s="16"/>
      <c r="E294">
        <v>0</v>
      </c>
      <c r="F294">
        <v>17</v>
      </c>
      <c r="G294">
        <v>0</v>
      </c>
      <c r="H294">
        <v>9.9</v>
      </c>
      <c r="I294">
        <v>2.1</v>
      </c>
      <c r="J294">
        <v>8</v>
      </c>
    </row>
    <row r="295" spans="2:17" x14ac:dyDescent="0.25">
      <c r="B295" t="s">
        <v>2712</v>
      </c>
      <c r="C295" s="16">
        <v>30039079</v>
      </c>
      <c r="D295" s="16"/>
      <c r="E295">
        <v>0</v>
      </c>
      <c r="F295">
        <v>17</v>
      </c>
      <c r="G295">
        <v>0</v>
      </c>
      <c r="H295">
        <v>9.9</v>
      </c>
      <c r="I295">
        <v>2.1</v>
      </c>
      <c r="J295">
        <v>8</v>
      </c>
    </row>
    <row r="296" spans="2:17" x14ac:dyDescent="0.25">
      <c r="B296" t="s">
        <v>2711</v>
      </c>
      <c r="C296" s="16">
        <v>30039079</v>
      </c>
      <c r="D296" s="16"/>
      <c r="E296">
        <v>0</v>
      </c>
      <c r="F296">
        <v>17</v>
      </c>
      <c r="G296">
        <v>0</v>
      </c>
      <c r="H296">
        <v>9.9</v>
      </c>
      <c r="I296">
        <v>2.1</v>
      </c>
      <c r="J296">
        <v>8</v>
      </c>
    </row>
    <row r="297" spans="2:17" x14ac:dyDescent="0.25">
      <c r="B297" t="s">
        <v>19456</v>
      </c>
      <c r="C297" s="16">
        <v>30039079</v>
      </c>
      <c r="D297" s="16"/>
      <c r="E297">
        <v>0</v>
      </c>
      <c r="F297">
        <v>17</v>
      </c>
      <c r="G297">
        <v>0</v>
      </c>
      <c r="H297">
        <v>9.9</v>
      </c>
      <c r="I297">
        <v>2.1</v>
      </c>
      <c r="J297">
        <v>8</v>
      </c>
    </row>
    <row r="298" spans="2:17" x14ac:dyDescent="0.25">
      <c r="B298" t="s">
        <v>2709</v>
      </c>
      <c r="C298" s="16">
        <v>30039079</v>
      </c>
      <c r="D298" s="16"/>
      <c r="E298">
        <v>0</v>
      </c>
      <c r="F298">
        <v>18</v>
      </c>
      <c r="G298">
        <v>0</v>
      </c>
      <c r="H298">
        <v>9.9</v>
      </c>
      <c r="I298">
        <v>2.1</v>
      </c>
      <c r="J298">
        <v>8</v>
      </c>
    </row>
    <row r="299" spans="2:17" x14ac:dyDescent="0.25">
      <c r="B299" t="s">
        <v>19457</v>
      </c>
      <c r="C299" s="16">
        <v>30039079</v>
      </c>
      <c r="D299" s="16"/>
      <c r="E299">
        <v>0</v>
      </c>
      <c r="F299">
        <v>17</v>
      </c>
      <c r="G299">
        <v>0</v>
      </c>
      <c r="H299">
        <v>9.9</v>
      </c>
      <c r="I299">
        <v>2.1</v>
      </c>
      <c r="J299">
        <v>8</v>
      </c>
    </row>
    <row r="300" spans="2:17" x14ac:dyDescent="0.25">
      <c r="B300" t="s">
        <v>19446</v>
      </c>
      <c r="C300" s="16">
        <v>30039089</v>
      </c>
      <c r="D300" s="16"/>
      <c r="E300">
        <v>0</v>
      </c>
      <c r="F300">
        <v>17</v>
      </c>
      <c r="G300">
        <v>0</v>
      </c>
      <c r="H300">
        <v>9.9</v>
      </c>
      <c r="I300">
        <v>2.1</v>
      </c>
      <c r="J300">
        <v>8</v>
      </c>
    </row>
    <row r="301" spans="2:17" x14ac:dyDescent="0.25">
      <c r="B301" t="s">
        <v>19448</v>
      </c>
      <c r="C301" s="16">
        <v>30039089</v>
      </c>
      <c r="D301" s="16"/>
      <c r="E301">
        <v>0</v>
      </c>
      <c r="F301">
        <v>17</v>
      </c>
      <c r="G301">
        <v>0</v>
      </c>
      <c r="H301">
        <v>9.9</v>
      </c>
      <c r="I301">
        <v>2.1</v>
      </c>
      <c r="J301">
        <v>8</v>
      </c>
    </row>
    <row r="302" spans="2:17" x14ac:dyDescent="0.25">
      <c r="B302" t="s">
        <v>2724</v>
      </c>
      <c r="C302" s="16">
        <v>30039089</v>
      </c>
      <c r="D302" s="16"/>
      <c r="E302">
        <v>59</v>
      </c>
      <c r="F302">
        <v>17</v>
      </c>
      <c r="G302">
        <v>0</v>
      </c>
      <c r="H302">
        <v>9.9</v>
      </c>
      <c r="I302">
        <v>2.1</v>
      </c>
      <c r="J302">
        <v>8</v>
      </c>
    </row>
    <row r="303" spans="2:17" x14ac:dyDescent="0.25">
      <c r="B303" t="s">
        <v>19449</v>
      </c>
      <c r="C303" s="16">
        <v>30039089</v>
      </c>
      <c r="D303" s="16"/>
      <c r="E303">
        <v>0</v>
      </c>
      <c r="F303">
        <v>17</v>
      </c>
      <c r="G303">
        <v>0</v>
      </c>
      <c r="H303">
        <v>9.9</v>
      </c>
      <c r="I303">
        <v>2.1</v>
      </c>
      <c r="J303">
        <v>8</v>
      </c>
    </row>
    <row r="304" spans="2:17" x14ac:dyDescent="0.25">
      <c r="B304" t="s">
        <v>2720</v>
      </c>
      <c r="C304" s="16">
        <v>30039089</v>
      </c>
      <c r="D304" s="16"/>
      <c r="E304">
        <v>0</v>
      </c>
      <c r="F304">
        <v>17</v>
      </c>
      <c r="G304">
        <v>0</v>
      </c>
      <c r="H304">
        <v>9.9</v>
      </c>
      <c r="I304">
        <v>2.1</v>
      </c>
      <c r="J304">
        <v>8</v>
      </c>
    </row>
    <row r="305" spans="2:10" x14ac:dyDescent="0.25">
      <c r="B305" t="s">
        <v>2721</v>
      </c>
      <c r="C305" s="16">
        <v>30039089</v>
      </c>
      <c r="D305" s="16"/>
      <c r="E305" t="s">
        <v>19447</v>
      </c>
      <c r="F305">
        <v>17</v>
      </c>
      <c r="G305">
        <v>0</v>
      </c>
      <c r="H305">
        <v>9.9</v>
      </c>
      <c r="I305">
        <v>2.1</v>
      </c>
      <c r="J305">
        <v>8</v>
      </c>
    </row>
    <row r="306" spans="2:10" x14ac:dyDescent="0.25">
      <c r="B306" t="s">
        <v>2719</v>
      </c>
      <c r="C306" s="16">
        <v>30039089</v>
      </c>
      <c r="D306" s="16"/>
      <c r="E306">
        <v>0</v>
      </c>
      <c r="F306">
        <v>17</v>
      </c>
      <c r="G306">
        <v>0</v>
      </c>
      <c r="H306">
        <v>9.9</v>
      </c>
      <c r="I306">
        <v>2.1</v>
      </c>
      <c r="J306">
        <v>8</v>
      </c>
    </row>
    <row r="307" spans="2:10" x14ac:dyDescent="0.25">
      <c r="B307" t="s">
        <v>2715</v>
      </c>
      <c r="C307" s="16">
        <v>30039089</v>
      </c>
      <c r="D307" s="16"/>
      <c r="E307">
        <v>0</v>
      </c>
      <c r="F307">
        <v>17</v>
      </c>
      <c r="G307">
        <v>0</v>
      </c>
      <c r="H307">
        <v>9.9</v>
      </c>
      <c r="I307">
        <v>2.1</v>
      </c>
      <c r="J307">
        <v>8</v>
      </c>
    </row>
    <row r="308" spans="2:10" x14ac:dyDescent="0.25">
      <c r="B308" t="s">
        <v>2716</v>
      </c>
      <c r="C308" s="16">
        <v>30039089</v>
      </c>
      <c r="D308" s="16"/>
      <c r="E308" t="s">
        <v>19447</v>
      </c>
      <c r="F308">
        <v>17</v>
      </c>
      <c r="G308">
        <v>0</v>
      </c>
      <c r="H308">
        <v>9.9</v>
      </c>
      <c r="I308">
        <v>2.1</v>
      </c>
      <c r="J308">
        <v>8</v>
      </c>
    </row>
    <row r="309" spans="2:10" x14ac:dyDescent="0.25">
      <c r="B309" t="s">
        <v>19450</v>
      </c>
      <c r="C309" s="16">
        <v>30039089</v>
      </c>
      <c r="D309" s="16"/>
      <c r="E309">
        <v>0</v>
      </c>
      <c r="F309">
        <v>17</v>
      </c>
      <c r="G309">
        <v>0</v>
      </c>
      <c r="H309">
        <v>9.9</v>
      </c>
      <c r="I309">
        <v>2.1</v>
      </c>
      <c r="J309">
        <v>8</v>
      </c>
    </row>
    <row r="310" spans="2:10" x14ac:dyDescent="0.25">
      <c r="B310" t="s">
        <v>2714</v>
      </c>
      <c r="C310" s="16">
        <v>30039089</v>
      </c>
      <c r="D310" s="16"/>
      <c r="E310">
        <v>0</v>
      </c>
      <c r="F310">
        <v>12</v>
      </c>
      <c r="G310">
        <v>0</v>
      </c>
      <c r="H310">
        <v>9.9</v>
      </c>
      <c r="I310">
        <v>2.1</v>
      </c>
      <c r="J310">
        <v>8</v>
      </c>
    </row>
    <row r="311" spans="2:10" x14ac:dyDescent="0.25">
      <c r="B311" t="s">
        <v>2718</v>
      </c>
      <c r="C311" s="16">
        <v>30039089</v>
      </c>
      <c r="D311" s="16"/>
      <c r="E311">
        <v>0</v>
      </c>
      <c r="F311">
        <v>17</v>
      </c>
      <c r="G311">
        <v>0</v>
      </c>
      <c r="H311">
        <v>9.9</v>
      </c>
      <c r="I311">
        <v>2.1</v>
      </c>
      <c r="J311">
        <v>8</v>
      </c>
    </row>
    <row r="312" spans="2:10" x14ac:dyDescent="0.25">
      <c r="B312" t="s">
        <v>2717</v>
      </c>
      <c r="C312" s="16">
        <v>30039089</v>
      </c>
      <c r="D312" s="16"/>
      <c r="E312">
        <v>0</v>
      </c>
      <c r="F312">
        <v>17</v>
      </c>
      <c r="G312">
        <v>0</v>
      </c>
      <c r="H312">
        <v>9.9</v>
      </c>
      <c r="I312">
        <v>2.1</v>
      </c>
      <c r="J312">
        <v>8</v>
      </c>
    </row>
    <row r="313" spans="2:10" x14ac:dyDescent="0.25">
      <c r="B313" t="s">
        <v>2723</v>
      </c>
      <c r="C313" s="16">
        <v>30039089</v>
      </c>
      <c r="D313" s="16"/>
      <c r="E313">
        <v>0</v>
      </c>
      <c r="F313">
        <v>17</v>
      </c>
      <c r="G313">
        <v>0</v>
      </c>
      <c r="H313">
        <v>9.9</v>
      </c>
      <c r="I313">
        <v>2.1</v>
      </c>
      <c r="J313">
        <v>8</v>
      </c>
    </row>
    <row r="314" spans="2:10" x14ac:dyDescent="0.25">
      <c r="B314" t="s">
        <v>19451</v>
      </c>
      <c r="C314" s="16">
        <v>30039089</v>
      </c>
      <c r="D314" s="16"/>
      <c r="E314">
        <v>0</v>
      </c>
      <c r="F314">
        <v>17</v>
      </c>
      <c r="G314">
        <v>0</v>
      </c>
      <c r="H314">
        <v>9.9</v>
      </c>
      <c r="I314">
        <v>2.1</v>
      </c>
      <c r="J314">
        <v>8</v>
      </c>
    </row>
    <row r="315" spans="2:10" x14ac:dyDescent="0.25">
      <c r="B315" t="s">
        <v>2722</v>
      </c>
      <c r="C315" s="16">
        <v>30039089</v>
      </c>
      <c r="D315" s="16"/>
      <c r="E315">
        <v>0</v>
      </c>
      <c r="F315">
        <v>17</v>
      </c>
      <c r="G315">
        <v>0</v>
      </c>
      <c r="H315">
        <v>9.9</v>
      </c>
      <c r="I315">
        <v>2.1</v>
      </c>
      <c r="J315">
        <v>8</v>
      </c>
    </row>
    <row r="316" spans="2:10" x14ac:dyDescent="0.25">
      <c r="B316" t="s">
        <v>19452</v>
      </c>
      <c r="C316" s="16">
        <v>30039089</v>
      </c>
      <c r="D316" s="16"/>
      <c r="E316">
        <v>0</v>
      </c>
      <c r="F316">
        <v>17</v>
      </c>
      <c r="G316">
        <v>0</v>
      </c>
      <c r="H316">
        <v>9.9</v>
      </c>
      <c r="I316">
        <v>2.1</v>
      </c>
      <c r="J316">
        <v>8</v>
      </c>
    </row>
    <row r="317" spans="2:10" x14ac:dyDescent="0.25">
      <c r="B317" t="s">
        <v>2710</v>
      </c>
      <c r="C317" s="16">
        <v>30039089</v>
      </c>
      <c r="D317" s="16"/>
      <c r="E317">
        <v>0</v>
      </c>
      <c r="F317">
        <v>12</v>
      </c>
      <c r="G317">
        <v>0</v>
      </c>
      <c r="H317">
        <v>9.9</v>
      </c>
      <c r="I317">
        <v>2.1</v>
      </c>
      <c r="J317">
        <v>8</v>
      </c>
    </row>
    <row r="318" spans="2:10" x14ac:dyDescent="0.25">
      <c r="B318" t="s">
        <v>2713</v>
      </c>
      <c r="C318" s="16">
        <v>30039089</v>
      </c>
      <c r="D318" s="16"/>
      <c r="E318">
        <v>0</v>
      </c>
      <c r="F318">
        <v>19</v>
      </c>
      <c r="G318">
        <v>0</v>
      </c>
      <c r="H318">
        <v>9.9</v>
      </c>
      <c r="I318">
        <v>2.1</v>
      </c>
      <c r="J318">
        <v>8</v>
      </c>
    </row>
    <row r="319" spans="2:10" x14ac:dyDescent="0.25">
      <c r="B319" t="s">
        <v>19453</v>
      </c>
      <c r="C319" s="16">
        <v>30039089</v>
      </c>
      <c r="D319" s="16"/>
      <c r="E319">
        <v>0</v>
      </c>
      <c r="F319">
        <v>17</v>
      </c>
      <c r="G319">
        <v>0</v>
      </c>
      <c r="H319">
        <v>9.9</v>
      </c>
      <c r="I319">
        <v>2.1</v>
      </c>
      <c r="J319">
        <v>8</v>
      </c>
    </row>
    <row r="320" spans="2:10" x14ac:dyDescent="0.25">
      <c r="B320" t="s">
        <v>19454</v>
      </c>
      <c r="C320" s="16">
        <v>30039089</v>
      </c>
      <c r="D320" s="16"/>
      <c r="E320">
        <v>0</v>
      </c>
      <c r="F320">
        <v>17</v>
      </c>
      <c r="G320">
        <v>0</v>
      </c>
      <c r="H320">
        <v>9.9</v>
      </c>
      <c r="I320">
        <v>2.1</v>
      </c>
      <c r="J320">
        <v>8</v>
      </c>
    </row>
    <row r="321" spans="2:10" x14ac:dyDescent="0.25">
      <c r="B321" t="s">
        <v>19455</v>
      </c>
      <c r="C321" s="16">
        <v>30039089</v>
      </c>
      <c r="D321" s="16"/>
      <c r="E321">
        <v>0</v>
      </c>
      <c r="F321">
        <v>17</v>
      </c>
      <c r="G321">
        <v>0</v>
      </c>
      <c r="H321">
        <v>9.9</v>
      </c>
      <c r="I321">
        <v>2.1</v>
      </c>
      <c r="J321">
        <v>8</v>
      </c>
    </row>
    <row r="322" spans="2:10" x14ac:dyDescent="0.25">
      <c r="B322" t="s">
        <v>2712</v>
      </c>
      <c r="C322" s="16">
        <v>30039089</v>
      </c>
      <c r="D322" s="16"/>
      <c r="E322">
        <v>0</v>
      </c>
      <c r="F322">
        <v>17</v>
      </c>
      <c r="G322">
        <v>0</v>
      </c>
      <c r="H322">
        <v>9.9</v>
      </c>
      <c r="I322">
        <v>2.1</v>
      </c>
      <c r="J322">
        <v>8</v>
      </c>
    </row>
    <row r="323" spans="2:10" x14ac:dyDescent="0.25">
      <c r="B323" t="s">
        <v>2711</v>
      </c>
      <c r="C323" s="16">
        <v>30039089</v>
      </c>
      <c r="D323" s="16"/>
      <c r="E323">
        <v>0</v>
      </c>
      <c r="F323">
        <v>17</v>
      </c>
      <c r="G323">
        <v>0</v>
      </c>
      <c r="H323">
        <v>9.9</v>
      </c>
      <c r="I323">
        <v>2.1</v>
      </c>
      <c r="J323">
        <v>8</v>
      </c>
    </row>
    <row r="324" spans="2:10" x14ac:dyDescent="0.25">
      <c r="B324" t="s">
        <v>19456</v>
      </c>
      <c r="C324" s="16">
        <v>30039089</v>
      </c>
      <c r="D324" s="16"/>
      <c r="E324">
        <v>0</v>
      </c>
      <c r="F324">
        <v>17</v>
      </c>
      <c r="G324">
        <v>0</v>
      </c>
      <c r="H324">
        <v>9.9</v>
      </c>
      <c r="I324">
        <v>2.1</v>
      </c>
      <c r="J324">
        <v>8</v>
      </c>
    </row>
    <row r="325" spans="2:10" x14ac:dyDescent="0.25">
      <c r="B325" t="s">
        <v>2709</v>
      </c>
      <c r="C325" s="16">
        <v>30039089</v>
      </c>
      <c r="D325" s="16"/>
      <c r="E325">
        <v>0</v>
      </c>
      <c r="F325">
        <v>18</v>
      </c>
      <c r="G325">
        <v>0</v>
      </c>
      <c r="H325">
        <v>9.9</v>
      </c>
      <c r="I325">
        <v>2.1</v>
      </c>
      <c r="J325">
        <v>8</v>
      </c>
    </row>
    <row r="326" spans="2:10" x14ac:dyDescent="0.25">
      <c r="B326" t="s">
        <v>19457</v>
      </c>
      <c r="C326" s="16">
        <v>30039089</v>
      </c>
      <c r="D326" s="16"/>
      <c r="E326">
        <v>0</v>
      </c>
      <c r="F326">
        <v>17</v>
      </c>
      <c r="G326">
        <v>0</v>
      </c>
      <c r="H326">
        <v>9.9</v>
      </c>
      <c r="I326">
        <v>2.1</v>
      </c>
      <c r="J326">
        <v>8</v>
      </c>
    </row>
    <row r="327" spans="2:10" x14ac:dyDescent="0.25">
      <c r="B327" t="s">
        <v>19446</v>
      </c>
      <c r="C327" s="16">
        <v>30039099</v>
      </c>
      <c r="D327" s="16"/>
      <c r="E327">
        <v>0</v>
      </c>
      <c r="F327">
        <v>17</v>
      </c>
      <c r="G327">
        <v>0</v>
      </c>
      <c r="H327">
        <v>9.9</v>
      </c>
      <c r="I327">
        <v>2.1</v>
      </c>
      <c r="J327">
        <v>8</v>
      </c>
    </row>
    <row r="328" spans="2:10" x14ac:dyDescent="0.25">
      <c r="B328" t="s">
        <v>19448</v>
      </c>
      <c r="C328" s="16">
        <v>30039099</v>
      </c>
      <c r="D328" s="16"/>
      <c r="E328">
        <v>0</v>
      </c>
      <c r="F328">
        <v>17</v>
      </c>
      <c r="G328">
        <v>0</v>
      </c>
      <c r="H328">
        <v>9.9</v>
      </c>
      <c r="I328">
        <v>2.1</v>
      </c>
      <c r="J328">
        <v>8</v>
      </c>
    </row>
    <row r="329" spans="2:10" x14ac:dyDescent="0.25">
      <c r="B329" t="s">
        <v>2724</v>
      </c>
      <c r="C329" s="16">
        <v>30039099</v>
      </c>
      <c r="D329" s="16"/>
      <c r="E329">
        <v>59</v>
      </c>
      <c r="F329">
        <v>17</v>
      </c>
      <c r="G329">
        <v>0</v>
      </c>
      <c r="H329">
        <v>9.9</v>
      </c>
      <c r="I329">
        <v>2.1</v>
      </c>
      <c r="J329">
        <v>8</v>
      </c>
    </row>
    <row r="330" spans="2:10" x14ac:dyDescent="0.25">
      <c r="B330" t="s">
        <v>19449</v>
      </c>
      <c r="C330" s="16">
        <v>30039099</v>
      </c>
      <c r="D330" s="16"/>
      <c r="E330">
        <v>0</v>
      </c>
      <c r="F330">
        <v>17</v>
      </c>
      <c r="G330">
        <v>0</v>
      </c>
      <c r="H330">
        <v>9.9</v>
      </c>
      <c r="I330">
        <v>2.1</v>
      </c>
      <c r="J330">
        <v>8</v>
      </c>
    </row>
    <row r="331" spans="2:10" x14ac:dyDescent="0.25">
      <c r="B331" t="s">
        <v>2720</v>
      </c>
      <c r="C331" s="16">
        <v>30039099</v>
      </c>
      <c r="D331" s="16"/>
      <c r="E331">
        <v>0</v>
      </c>
      <c r="F331">
        <v>17</v>
      </c>
      <c r="G331">
        <v>0</v>
      </c>
      <c r="H331">
        <v>9.9</v>
      </c>
      <c r="I331">
        <v>2.1</v>
      </c>
      <c r="J331">
        <v>8</v>
      </c>
    </row>
    <row r="332" spans="2:10" x14ac:dyDescent="0.25">
      <c r="B332" t="s">
        <v>2721</v>
      </c>
      <c r="C332" s="16">
        <v>30039099</v>
      </c>
      <c r="D332" s="16"/>
      <c r="E332" t="s">
        <v>19447</v>
      </c>
      <c r="F332">
        <v>17</v>
      </c>
      <c r="G332">
        <v>0</v>
      </c>
      <c r="H332">
        <v>9.9</v>
      </c>
      <c r="I332">
        <v>2.1</v>
      </c>
      <c r="J332">
        <v>8</v>
      </c>
    </row>
    <row r="333" spans="2:10" x14ac:dyDescent="0.25">
      <c r="B333" t="s">
        <v>2719</v>
      </c>
      <c r="C333" s="16">
        <v>30039099</v>
      </c>
      <c r="D333" s="16"/>
      <c r="E333">
        <v>0</v>
      </c>
      <c r="F333">
        <v>17</v>
      </c>
      <c r="G333">
        <v>0</v>
      </c>
      <c r="H333">
        <v>9.9</v>
      </c>
      <c r="I333">
        <v>2.1</v>
      </c>
      <c r="J333">
        <v>8</v>
      </c>
    </row>
    <row r="334" spans="2:10" x14ac:dyDescent="0.25">
      <c r="B334" t="s">
        <v>2715</v>
      </c>
      <c r="C334" s="16">
        <v>30039099</v>
      </c>
      <c r="D334" s="16"/>
      <c r="E334">
        <v>0</v>
      </c>
      <c r="F334">
        <v>17</v>
      </c>
      <c r="G334">
        <v>0</v>
      </c>
      <c r="H334">
        <v>9.9</v>
      </c>
      <c r="I334">
        <v>2.1</v>
      </c>
      <c r="J334">
        <v>8</v>
      </c>
    </row>
    <row r="335" spans="2:10" x14ac:dyDescent="0.25">
      <c r="B335" t="s">
        <v>2716</v>
      </c>
      <c r="C335" s="16">
        <v>30039099</v>
      </c>
      <c r="D335" s="16"/>
      <c r="E335" t="s">
        <v>19447</v>
      </c>
      <c r="F335">
        <v>17</v>
      </c>
      <c r="G335">
        <v>0</v>
      </c>
      <c r="H335">
        <v>9.9</v>
      </c>
      <c r="I335">
        <v>2.1</v>
      </c>
      <c r="J335">
        <v>8</v>
      </c>
    </row>
    <row r="336" spans="2:10" x14ac:dyDescent="0.25">
      <c r="B336" t="s">
        <v>19450</v>
      </c>
      <c r="C336" s="16">
        <v>30039099</v>
      </c>
      <c r="D336" s="16"/>
      <c r="E336">
        <v>0</v>
      </c>
      <c r="F336">
        <v>17</v>
      </c>
      <c r="G336">
        <v>0</v>
      </c>
      <c r="H336">
        <v>9.9</v>
      </c>
      <c r="I336">
        <v>2.1</v>
      </c>
      <c r="J336">
        <v>8</v>
      </c>
    </row>
    <row r="337" spans="2:10" x14ac:dyDescent="0.25">
      <c r="B337" t="s">
        <v>2714</v>
      </c>
      <c r="C337" s="16">
        <v>30039099</v>
      </c>
      <c r="D337" s="16"/>
      <c r="E337">
        <v>0</v>
      </c>
      <c r="F337">
        <v>12</v>
      </c>
      <c r="G337">
        <v>0</v>
      </c>
      <c r="H337">
        <v>9.9</v>
      </c>
      <c r="I337">
        <v>2.1</v>
      </c>
      <c r="J337">
        <v>8</v>
      </c>
    </row>
    <row r="338" spans="2:10" x14ac:dyDescent="0.25">
      <c r="B338" t="s">
        <v>2718</v>
      </c>
      <c r="C338" s="16">
        <v>30039099</v>
      </c>
      <c r="D338" s="16"/>
      <c r="E338">
        <v>0</v>
      </c>
      <c r="F338">
        <v>17</v>
      </c>
      <c r="G338">
        <v>0</v>
      </c>
      <c r="H338">
        <v>9.9</v>
      </c>
      <c r="I338">
        <v>2.1</v>
      </c>
      <c r="J338">
        <v>8</v>
      </c>
    </row>
    <row r="339" spans="2:10" x14ac:dyDescent="0.25">
      <c r="B339" t="s">
        <v>2717</v>
      </c>
      <c r="C339" s="16">
        <v>30039099</v>
      </c>
      <c r="D339" s="16"/>
      <c r="E339">
        <v>0</v>
      </c>
      <c r="F339">
        <v>17</v>
      </c>
      <c r="G339">
        <v>0</v>
      </c>
      <c r="H339">
        <v>9.9</v>
      </c>
      <c r="I339">
        <v>2.1</v>
      </c>
      <c r="J339">
        <v>8</v>
      </c>
    </row>
    <row r="340" spans="2:10" x14ac:dyDescent="0.25">
      <c r="B340" t="s">
        <v>2723</v>
      </c>
      <c r="C340" s="16">
        <v>30039099</v>
      </c>
      <c r="D340" s="16"/>
      <c r="E340">
        <v>0</v>
      </c>
      <c r="F340">
        <v>17</v>
      </c>
      <c r="G340">
        <v>0</v>
      </c>
      <c r="H340">
        <v>9.9</v>
      </c>
      <c r="I340">
        <v>2.1</v>
      </c>
      <c r="J340">
        <v>8</v>
      </c>
    </row>
    <row r="341" spans="2:10" x14ac:dyDescent="0.25">
      <c r="B341" t="s">
        <v>19451</v>
      </c>
      <c r="C341" s="16">
        <v>30039099</v>
      </c>
      <c r="D341" s="16"/>
      <c r="E341">
        <v>0</v>
      </c>
      <c r="F341">
        <v>17</v>
      </c>
      <c r="G341">
        <v>0</v>
      </c>
      <c r="H341">
        <v>9.9</v>
      </c>
      <c r="I341">
        <v>2.1</v>
      </c>
      <c r="J341">
        <v>8</v>
      </c>
    </row>
    <row r="342" spans="2:10" x14ac:dyDescent="0.25">
      <c r="B342" t="s">
        <v>2722</v>
      </c>
      <c r="C342" s="16">
        <v>30039099</v>
      </c>
      <c r="D342" s="16"/>
      <c r="E342">
        <v>0</v>
      </c>
      <c r="F342">
        <v>17</v>
      </c>
      <c r="G342">
        <v>0</v>
      </c>
      <c r="H342">
        <v>9.9</v>
      </c>
      <c r="I342">
        <v>2.1</v>
      </c>
      <c r="J342">
        <v>8</v>
      </c>
    </row>
    <row r="343" spans="2:10" x14ac:dyDescent="0.25">
      <c r="B343" t="s">
        <v>19452</v>
      </c>
      <c r="C343" s="16">
        <v>30039099</v>
      </c>
      <c r="D343" s="16"/>
      <c r="E343">
        <v>0</v>
      </c>
      <c r="F343">
        <v>17</v>
      </c>
      <c r="G343">
        <v>0</v>
      </c>
      <c r="H343">
        <v>9.9</v>
      </c>
      <c r="I343">
        <v>2.1</v>
      </c>
      <c r="J343">
        <v>8</v>
      </c>
    </row>
    <row r="344" spans="2:10" x14ac:dyDescent="0.25">
      <c r="B344" t="s">
        <v>2710</v>
      </c>
      <c r="C344" s="16">
        <v>30039099</v>
      </c>
      <c r="D344" s="16"/>
      <c r="E344">
        <v>0</v>
      </c>
      <c r="F344">
        <v>12</v>
      </c>
      <c r="G344">
        <v>0</v>
      </c>
      <c r="H344">
        <v>9.9</v>
      </c>
      <c r="I344">
        <v>2.1</v>
      </c>
      <c r="J344">
        <v>8</v>
      </c>
    </row>
    <row r="345" spans="2:10" x14ac:dyDescent="0.25">
      <c r="B345" t="s">
        <v>2713</v>
      </c>
      <c r="C345" s="16">
        <v>30039099</v>
      </c>
      <c r="D345" s="16"/>
      <c r="E345">
        <v>0</v>
      </c>
      <c r="F345">
        <v>19</v>
      </c>
      <c r="G345">
        <v>0</v>
      </c>
      <c r="H345">
        <v>9.9</v>
      </c>
      <c r="I345">
        <v>2.1</v>
      </c>
      <c r="J345">
        <v>8</v>
      </c>
    </row>
    <row r="346" spans="2:10" x14ac:dyDescent="0.25">
      <c r="B346" t="s">
        <v>19453</v>
      </c>
      <c r="C346" s="16">
        <v>30039099</v>
      </c>
      <c r="D346" s="16"/>
      <c r="E346">
        <v>0</v>
      </c>
      <c r="F346">
        <v>17</v>
      </c>
      <c r="G346">
        <v>0</v>
      </c>
      <c r="H346">
        <v>9.9</v>
      </c>
      <c r="I346">
        <v>2.1</v>
      </c>
      <c r="J346">
        <v>8</v>
      </c>
    </row>
    <row r="347" spans="2:10" x14ac:dyDescent="0.25">
      <c r="B347" t="s">
        <v>19454</v>
      </c>
      <c r="C347" s="16">
        <v>30039099</v>
      </c>
      <c r="D347" s="16"/>
      <c r="E347">
        <v>0</v>
      </c>
      <c r="F347">
        <v>17</v>
      </c>
      <c r="G347">
        <v>0</v>
      </c>
      <c r="H347">
        <v>9.9</v>
      </c>
      <c r="I347">
        <v>2.1</v>
      </c>
      <c r="J347">
        <v>8</v>
      </c>
    </row>
    <row r="348" spans="2:10" x14ac:dyDescent="0.25">
      <c r="B348" t="s">
        <v>19455</v>
      </c>
      <c r="C348" s="16">
        <v>30039099</v>
      </c>
      <c r="D348" s="16"/>
      <c r="E348">
        <v>0</v>
      </c>
      <c r="F348">
        <v>17</v>
      </c>
      <c r="G348">
        <v>0</v>
      </c>
      <c r="H348">
        <v>9.9</v>
      </c>
      <c r="I348">
        <v>2.1</v>
      </c>
      <c r="J348">
        <v>8</v>
      </c>
    </row>
    <row r="349" spans="2:10" x14ac:dyDescent="0.25">
      <c r="B349" t="s">
        <v>2712</v>
      </c>
      <c r="C349" s="16">
        <v>30039099</v>
      </c>
      <c r="D349" s="16"/>
      <c r="E349">
        <v>0</v>
      </c>
      <c r="F349">
        <v>17</v>
      </c>
      <c r="G349">
        <v>0</v>
      </c>
      <c r="H349">
        <v>9.9</v>
      </c>
      <c r="I349">
        <v>2.1</v>
      </c>
      <c r="J349">
        <v>8</v>
      </c>
    </row>
    <row r="350" spans="2:10" x14ac:dyDescent="0.25">
      <c r="B350" t="s">
        <v>2711</v>
      </c>
      <c r="C350" s="16">
        <v>30039099</v>
      </c>
      <c r="D350" s="16"/>
      <c r="E350">
        <v>0</v>
      </c>
      <c r="F350">
        <v>17</v>
      </c>
      <c r="G350">
        <v>0</v>
      </c>
      <c r="H350">
        <v>9.9</v>
      </c>
      <c r="I350">
        <v>2.1</v>
      </c>
      <c r="J350">
        <v>8</v>
      </c>
    </row>
    <row r="351" spans="2:10" x14ac:dyDescent="0.25">
      <c r="B351" t="s">
        <v>19456</v>
      </c>
      <c r="C351" s="16">
        <v>30039099</v>
      </c>
      <c r="D351" s="16"/>
      <c r="E351">
        <v>0</v>
      </c>
      <c r="F351">
        <v>17</v>
      </c>
      <c r="G351">
        <v>0</v>
      </c>
      <c r="H351">
        <v>9.9</v>
      </c>
      <c r="I351">
        <v>2.1</v>
      </c>
      <c r="J351">
        <v>8</v>
      </c>
    </row>
    <row r="352" spans="2:10" x14ac:dyDescent="0.25">
      <c r="B352" t="s">
        <v>2709</v>
      </c>
      <c r="C352" s="16">
        <v>30039099</v>
      </c>
      <c r="D352" s="16"/>
      <c r="E352">
        <v>0</v>
      </c>
      <c r="F352">
        <v>18</v>
      </c>
      <c r="G352">
        <v>0</v>
      </c>
      <c r="H352">
        <v>9.9</v>
      </c>
      <c r="I352">
        <v>2.1</v>
      </c>
      <c r="J352">
        <v>8</v>
      </c>
    </row>
    <row r="353" spans="2:13" x14ac:dyDescent="0.25">
      <c r="B353" t="s">
        <v>19457</v>
      </c>
      <c r="C353" s="16">
        <v>30039099</v>
      </c>
      <c r="D353" s="16"/>
      <c r="E353">
        <v>0</v>
      </c>
      <c r="F353">
        <v>17</v>
      </c>
      <c r="G353">
        <v>0</v>
      </c>
      <c r="H353">
        <v>9.9</v>
      </c>
      <c r="I353">
        <v>2.1</v>
      </c>
      <c r="J353">
        <v>8</v>
      </c>
      <c r="M353" t="s">
        <v>13039</v>
      </c>
    </row>
    <row r="354" spans="2:13" x14ac:dyDescent="0.25">
      <c r="B354" t="s">
        <v>19446</v>
      </c>
      <c r="C354" t="s">
        <v>13039</v>
      </c>
      <c r="D354" s="16"/>
      <c r="E354">
        <v>0</v>
      </c>
      <c r="F354">
        <v>17</v>
      </c>
      <c r="G354">
        <v>0</v>
      </c>
      <c r="H354">
        <v>9.9</v>
      </c>
      <c r="I354">
        <v>2.1</v>
      </c>
      <c r="J354">
        <v>8</v>
      </c>
    </row>
    <row r="355" spans="2:13" x14ac:dyDescent="0.25">
      <c r="B355" t="s">
        <v>19448</v>
      </c>
      <c r="C355" t="s">
        <v>13039</v>
      </c>
      <c r="D355" s="16"/>
      <c r="E355">
        <v>0</v>
      </c>
      <c r="F355">
        <v>17</v>
      </c>
      <c r="G355">
        <v>0</v>
      </c>
      <c r="H355">
        <v>9.9</v>
      </c>
      <c r="I355">
        <v>2.1</v>
      </c>
      <c r="J355">
        <v>8</v>
      </c>
    </row>
    <row r="356" spans="2:13" x14ac:dyDescent="0.25">
      <c r="B356" t="s">
        <v>2724</v>
      </c>
      <c r="C356" t="s">
        <v>13039</v>
      </c>
      <c r="D356" s="16"/>
      <c r="E356">
        <v>59</v>
      </c>
      <c r="F356">
        <v>17</v>
      </c>
      <c r="G356">
        <v>0</v>
      </c>
      <c r="H356">
        <v>9.9</v>
      </c>
      <c r="I356">
        <v>2.1</v>
      </c>
      <c r="J356">
        <v>8</v>
      </c>
    </row>
    <row r="357" spans="2:13" x14ac:dyDescent="0.25">
      <c r="B357" t="s">
        <v>19449</v>
      </c>
      <c r="C357" t="s">
        <v>13039</v>
      </c>
      <c r="D357" s="16"/>
      <c r="E357">
        <v>0</v>
      </c>
      <c r="F357">
        <v>17</v>
      </c>
      <c r="G357">
        <v>0</v>
      </c>
      <c r="H357">
        <v>9.9</v>
      </c>
      <c r="I357">
        <v>2.1</v>
      </c>
      <c r="J357">
        <v>8</v>
      </c>
    </row>
    <row r="358" spans="2:13" x14ac:dyDescent="0.25">
      <c r="B358" t="s">
        <v>2720</v>
      </c>
      <c r="C358" t="s">
        <v>13039</v>
      </c>
      <c r="D358" s="16"/>
      <c r="E358">
        <v>0</v>
      </c>
      <c r="F358">
        <v>17</v>
      </c>
      <c r="G358">
        <v>0</v>
      </c>
      <c r="H358">
        <v>9.9</v>
      </c>
      <c r="I358">
        <v>2.1</v>
      </c>
      <c r="J358">
        <v>8</v>
      </c>
    </row>
    <row r="359" spans="2:13" x14ac:dyDescent="0.25">
      <c r="B359" t="s">
        <v>2721</v>
      </c>
      <c r="C359" t="s">
        <v>13039</v>
      </c>
      <c r="D359" s="16"/>
      <c r="E359" t="s">
        <v>19447</v>
      </c>
      <c r="F359">
        <v>17</v>
      </c>
      <c r="G359">
        <v>0</v>
      </c>
      <c r="H359">
        <v>9.9</v>
      </c>
      <c r="I359">
        <v>2.1</v>
      </c>
      <c r="J359">
        <v>8</v>
      </c>
    </row>
    <row r="360" spans="2:13" x14ac:dyDescent="0.25">
      <c r="B360" t="s">
        <v>2719</v>
      </c>
      <c r="C360" t="s">
        <v>13039</v>
      </c>
      <c r="D360" s="16"/>
      <c r="E360">
        <v>0</v>
      </c>
      <c r="F360">
        <v>17</v>
      </c>
      <c r="G360">
        <v>0</v>
      </c>
      <c r="H360">
        <v>9.9</v>
      </c>
      <c r="I360">
        <v>2.1</v>
      </c>
      <c r="J360">
        <v>8</v>
      </c>
    </row>
    <row r="361" spans="2:13" x14ac:dyDescent="0.25">
      <c r="B361" t="s">
        <v>2715</v>
      </c>
      <c r="C361" t="s">
        <v>13039</v>
      </c>
      <c r="D361" s="16"/>
      <c r="E361">
        <v>0</v>
      </c>
      <c r="F361">
        <v>17</v>
      </c>
      <c r="G361">
        <v>0</v>
      </c>
      <c r="H361">
        <v>9.9</v>
      </c>
      <c r="I361">
        <v>2.1</v>
      </c>
      <c r="J361">
        <v>8</v>
      </c>
    </row>
    <row r="362" spans="2:13" x14ac:dyDescent="0.25">
      <c r="B362" t="s">
        <v>2716</v>
      </c>
      <c r="C362" t="s">
        <v>13039</v>
      </c>
      <c r="D362" s="16"/>
      <c r="E362" t="s">
        <v>19447</v>
      </c>
      <c r="F362">
        <v>17</v>
      </c>
      <c r="G362">
        <v>0</v>
      </c>
      <c r="H362">
        <v>9.9</v>
      </c>
      <c r="I362">
        <v>2.1</v>
      </c>
      <c r="J362">
        <v>8</v>
      </c>
    </row>
    <row r="363" spans="2:13" x14ac:dyDescent="0.25">
      <c r="B363" t="s">
        <v>19450</v>
      </c>
      <c r="C363" t="s">
        <v>13039</v>
      </c>
      <c r="D363" s="16"/>
      <c r="E363">
        <v>0</v>
      </c>
      <c r="F363">
        <v>17</v>
      </c>
      <c r="G363">
        <v>0</v>
      </c>
      <c r="H363">
        <v>9.9</v>
      </c>
      <c r="I363">
        <v>2.1</v>
      </c>
      <c r="J363">
        <v>8</v>
      </c>
    </row>
    <row r="364" spans="2:13" x14ac:dyDescent="0.25">
      <c r="B364" t="s">
        <v>2714</v>
      </c>
      <c r="C364" t="s">
        <v>13039</v>
      </c>
      <c r="D364" s="16"/>
      <c r="E364">
        <v>0</v>
      </c>
      <c r="F364">
        <v>12</v>
      </c>
      <c r="G364">
        <v>0</v>
      </c>
      <c r="H364">
        <v>9.9</v>
      </c>
      <c r="I364">
        <v>2.1</v>
      </c>
      <c r="J364">
        <v>8</v>
      </c>
    </row>
    <row r="365" spans="2:13" x14ac:dyDescent="0.25">
      <c r="B365" t="s">
        <v>2718</v>
      </c>
      <c r="C365" t="s">
        <v>13039</v>
      </c>
      <c r="D365" s="16"/>
      <c r="E365">
        <v>0</v>
      </c>
      <c r="F365">
        <v>17</v>
      </c>
      <c r="G365">
        <v>0</v>
      </c>
      <c r="H365">
        <v>9.9</v>
      </c>
      <c r="I365">
        <v>2.1</v>
      </c>
      <c r="J365">
        <v>8</v>
      </c>
    </row>
    <row r="366" spans="2:13" x14ac:dyDescent="0.25">
      <c r="B366" t="s">
        <v>2717</v>
      </c>
      <c r="C366" t="s">
        <v>13039</v>
      </c>
      <c r="D366" s="16"/>
      <c r="E366">
        <v>0</v>
      </c>
      <c r="F366">
        <v>17</v>
      </c>
      <c r="G366">
        <v>0</v>
      </c>
      <c r="H366">
        <v>9.9</v>
      </c>
      <c r="I366">
        <v>2.1</v>
      </c>
      <c r="J366">
        <v>8</v>
      </c>
    </row>
    <row r="367" spans="2:13" x14ac:dyDescent="0.25">
      <c r="B367" t="s">
        <v>2723</v>
      </c>
      <c r="C367" t="s">
        <v>13039</v>
      </c>
      <c r="D367" s="16"/>
      <c r="E367">
        <v>0</v>
      </c>
      <c r="F367">
        <v>17</v>
      </c>
      <c r="G367">
        <v>0</v>
      </c>
      <c r="H367">
        <v>9.9</v>
      </c>
      <c r="I367">
        <v>2.1</v>
      </c>
      <c r="J367">
        <v>8</v>
      </c>
    </row>
    <row r="368" spans="2:13" x14ac:dyDescent="0.25">
      <c r="B368" t="s">
        <v>19451</v>
      </c>
      <c r="C368" t="s">
        <v>13039</v>
      </c>
      <c r="D368" s="16"/>
      <c r="E368">
        <v>0</v>
      </c>
      <c r="F368">
        <v>17</v>
      </c>
      <c r="G368">
        <v>0</v>
      </c>
      <c r="H368">
        <v>9.9</v>
      </c>
      <c r="I368">
        <v>2.1</v>
      </c>
      <c r="J368">
        <v>8</v>
      </c>
    </row>
    <row r="369" spans="2:10" x14ac:dyDescent="0.25">
      <c r="B369" t="s">
        <v>2722</v>
      </c>
      <c r="C369" t="s">
        <v>13039</v>
      </c>
      <c r="D369" s="16"/>
      <c r="E369">
        <v>0</v>
      </c>
      <c r="F369">
        <v>17</v>
      </c>
      <c r="G369">
        <v>0</v>
      </c>
      <c r="H369">
        <v>9.9</v>
      </c>
      <c r="I369">
        <v>2.1</v>
      </c>
      <c r="J369">
        <v>8</v>
      </c>
    </row>
    <row r="370" spans="2:10" x14ac:dyDescent="0.25">
      <c r="B370" t="s">
        <v>19452</v>
      </c>
      <c r="C370" t="s">
        <v>13039</v>
      </c>
      <c r="D370" s="16"/>
      <c r="E370">
        <v>0</v>
      </c>
      <c r="F370">
        <v>17</v>
      </c>
      <c r="G370">
        <v>0</v>
      </c>
      <c r="H370">
        <v>9.9</v>
      </c>
      <c r="I370">
        <v>2.1</v>
      </c>
      <c r="J370">
        <v>8</v>
      </c>
    </row>
    <row r="371" spans="2:10" x14ac:dyDescent="0.25">
      <c r="B371" t="s">
        <v>2710</v>
      </c>
      <c r="C371" t="s">
        <v>13039</v>
      </c>
      <c r="D371" s="16"/>
      <c r="E371">
        <v>0</v>
      </c>
      <c r="F371">
        <v>12</v>
      </c>
      <c r="G371">
        <v>0</v>
      </c>
      <c r="H371">
        <v>9.9</v>
      </c>
      <c r="I371">
        <v>2.1</v>
      </c>
      <c r="J371">
        <v>8</v>
      </c>
    </row>
    <row r="372" spans="2:10" x14ac:dyDescent="0.25">
      <c r="B372" t="s">
        <v>2713</v>
      </c>
      <c r="C372" t="s">
        <v>13039</v>
      </c>
      <c r="D372" s="16"/>
      <c r="E372">
        <v>0</v>
      </c>
      <c r="F372">
        <v>19</v>
      </c>
      <c r="G372">
        <v>0</v>
      </c>
      <c r="H372">
        <v>9.9</v>
      </c>
      <c r="I372">
        <v>2.1</v>
      </c>
      <c r="J372">
        <v>8</v>
      </c>
    </row>
    <row r="373" spans="2:10" x14ac:dyDescent="0.25">
      <c r="B373" t="s">
        <v>19453</v>
      </c>
      <c r="C373" t="s">
        <v>13039</v>
      </c>
      <c r="D373" s="16"/>
      <c r="E373">
        <v>0</v>
      </c>
      <c r="F373">
        <v>17</v>
      </c>
      <c r="G373">
        <v>0</v>
      </c>
      <c r="H373">
        <v>9.9</v>
      </c>
      <c r="I373">
        <v>2.1</v>
      </c>
      <c r="J373">
        <v>8</v>
      </c>
    </row>
    <row r="374" spans="2:10" x14ac:dyDescent="0.25">
      <c r="B374" t="s">
        <v>19454</v>
      </c>
      <c r="C374" t="s">
        <v>13039</v>
      </c>
      <c r="D374" s="16"/>
      <c r="E374">
        <v>0</v>
      </c>
      <c r="F374">
        <v>17</v>
      </c>
      <c r="G374">
        <v>0</v>
      </c>
      <c r="H374">
        <v>9.9</v>
      </c>
      <c r="I374">
        <v>2.1</v>
      </c>
      <c r="J374">
        <v>8</v>
      </c>
    </row>
    <row r="375" spans="2:10" x14ac:dyDescent="0.25">
      <c r="B375" t="s">
        <v>19455</v>
      </c>
      <c r="C375" t="s">
        <v>13039</v>
      </c>
      <c r="D375" s="16"/>
      <c r="E375">
        <v>0</v>
      </c>
      <c r="F375">
        <v>17</v>
      </c>
      <c r="G375">
        <v>0</v>
      </c>
      <c r="H375">
        <v>9.9</v>
      </c>
      <c r="I375">
        <v>2.1</v>
      </c>
      <c r="J375">
        <v>8</v>
      </c>
    </row>
    <row r="376" spans="2:10" x14ac:dyDescent="0.25">
      <c r="B376" t="s">
        <v>2712</v>
      </c>
      <c r="C376" t="s">
        <v>13039</v>
      </c>
      <c r="D376" s="16"/>
      <c r="E376">
        <v>0</v>
      </c>
      <c r="F376">
        <v>17</v>
      </c>
      <c r="G376">
        <v>0</v>
      </c>
      <c r="H376">
        <v>9.9</v>
      </c>
      <c r="I376">
        <v>2.1</v>
      </c>
      <c r="J376">
        <v>8</v>
      </c>
    </row>
    <row r="377" spans="2:10" x14ac:dyDescent="0.25">
      <c r="B377" t="s">
        <v>2711</v>
      </c>
      <c r="C377" t="s">
        <v>13039</v>
      </c>
      <c r="D377" s="16"/>
      <c r="E377">
        <v>0</v>
      </c>
      <c r="F377">
        <v>17</v>
      </c>
      <c r="G377">
        <v>0</v>
      </c>
      <c r="H377">
        <v>9.9</v>
      </c>
      <c r="I377">
        <v>2.1</v>
      </c>
      <c r="J377">
        <v>8</v>
      </c>
    </row>
    <row r="378" spans="2:10" x14ac:dyDescent="0.25">
      <c r="B378" t="s">
        <v>19456</v>
      </c>
      <c r="C378" t="s">
        <v>13039</v>
      </c>
      <c r="D378" s="16"/>
      <c r="E378">
        <v>0</v>
      </c>
      <c r="F378">
        <v>17</v>
      </c>
      <c r="G378">
        <v>0</v>
      </c>
      <c r="H378">
        <v>9.9</v>
      </c>
      <c r="I378">
        <v>2.1</v>
      </c>
      <c r="J378">
        <v>8</v>
      </c>
    </row>
    <row r="379" spans="2:10" x14ac:dyDescent="0.25">
      <c r="B379" t="s">
        <v>2709</v>
      </c>
      <c r="C379" t="s">
        <v>13039</v>
      </c>
      <c r="D379" s="16"/>
      <c r="E379">
        <v>0</v>
      </c>
      <c r="F379">
        <v>18</v>
      </c>
      <c r="G379">
        <v>0</v>
      </c>
      <c r="H379">
        <v>9.9</v>
      </c>
      <c r="I379">
        <v>2.1</v>
      </c>
      <c r="J379">
        <v>8</v>
      </c>
    </row>
    <row r="380" spans="2:10" x14ac:dyDescent="0.25">
      <c r="B380" t="s">
        <v>19457</v>
      </c>
      <c r="C380" t="s">
        <v>13039</v>
      </c>
      <c r="D380" s="16"/>
      <c r="E380">
        <v>0</v>
      </c>
      <c r="F380">
        <v>17</v>
      </c>
      <c r="G380">
        <v>0</v>
      </c>
      <c r="H380">
        <v>9.9</v>
      </c>
      <c r="I380">
        <v>2.1</v>
      </c>
      <c r="J380">
        <v>8</v>
      </c>
    </row>
    <row r="381" spans="2:10" x14ac:dyDescent="0.25">
      <c r="B381" t="s">
        <v>19446</v>
      </c>
      <c r="C381" s="16">
        <v>30041012</v>
      </c>
      <c r="D381" s="16"/>
      <c r="E381">
        <v>0</v>
      </c>
      <c r="F381">
        <v>17</v>
      </c>
      <c r="G381">
        <v>0</v>
      </c>
      <c r="H381">
        <v>9.9</v>
      </c>
      <c r="I381">
        <v>2.1</v>
      </c>
      <c r="J381">
        <v>8</v>
      </c>
    </row>
    <row r="382" spans="2:10" x14ac:dyDescent="0.25">
      <c r="B382" t="s">
        <v>19448</v>
      </c>
      <c r="C382" s="16">
        <v>30041012</v>
      </c>
      <c r="D382" s="16"/>
      <c r="E382">
        <v>0</v>
      </c>
      <c r="F382">
        <v>17</v>
      </c>
      <c r="G382">
        <v>0</v>
      </c>
      <c r="H382">
        <v>9.9</v>
      </c>
      <c r="I382">
        <v>2.1</v>
      </c>
      <c r="J382">
        <v>8</v>
      </c>
    </row>
    <row r="383" spans="2:10" x14ac:dyDescent="0.25">
      <c r="B383" t="s">
        <v>2724</v>
      </c>
      <c r="C383" s="16">
        <v>30041012</v>
      </c>
      <c r="D383" s="16"/>
      <c r="E383">
        <v>59</v>
      </c>
      <c r="F383">
        <v>17</v>
      </c>
      <c r="G383">
        <v>0</v>
      </c>
      <c r="H383">
        <v>9.9</v>
      </c>
      <c r="I383">
        <v>2.1</v>
      </c>
      <c r="J383">
        <v>8</v>
      </c>
    </row>
    <row r="384" spans="2:10" x14ac:dyDescent="0.25">
      <c r="B384" t="s">
        <v>19449</v>
      </c>
      <c r="C384" s="16">
        <v>30041012</v>
      </c>
      <c r="D384" s="16"/>
      <c r="E384">
        <v>0</v>
      </c>
      <c r="F384">
        <v>17</v>
      </c>
      <c r="G384">
        <v>0</v>
      </c>
      <c r="H384">
        <v>9.9</v>
      </c>
      <c r="I384">
        <v>2.1</v>
      </c>
      <c r="J384">
        <v>8</v>
      </c>
    </row>
    <row r="385" spans="2:10" x14ac:dyDescent="0.25">
      <c r="B385" t="s">
        <v>2720</v>
      </c>
      <c r="C385" s="16">
        <v>30041012</v>
      </c>
      <c r="D385" s="16"/>
      <c r="E385">
        <v>0</v>
      </c>
      <c r="F385">
        <v>17</v>
      </c>
      <c r="G385">
        <v>0</v>
      </c>
      <c r="H385">
        <v>9.9</v>
      </c>
      <c r="I385">
        <v>2.1</v>
      </c>
      <c r="J385">
        <v>8</v>
      </c>
    </row>
    <row r="386" spans="2:10" x14ac:dyDescent="0.25">
      <c r="B386" t="s">
        <v>2721</v>
      </c>
      <c r="C386" s="16">
        <v>30041012</v>
      </c>
      <c r="D386" s="16"/>
      <c r="E386" t="s">
        <v>19447</v>
      </c>
      <c r="F386">
        <v>17</v>
      </c>
      <c r="G386">
        <v>0</v>
      </c>
      <c r="H386">
        <v>9.9</v>
      </c>
      <c r="I386">
        <v>2.1</v>
      </c>
      <c r="J386">
        <v>8</v>
      </c>
    </row>
    <row r="387" spans="2:10" x14ac:dyDescent="0.25">
      <c r="B387" t="s">
        <v>2719</v>
      </c>
      <c r="C387" s="16">
        <v>30041012</v>
      </c>
      <c r="D387" s="16"/>
      <c r="E387">
        <v>0</v>
      </c>
      <c r="F387">
        <v>17</v>
      </c>
      <c r="G387">
        <v>0</v>
      </c>
      <c r="H387">
        <v>9.9</v>
      </c>
      <c r="I387">
        <v>2.1</v>
      </c>
      <c r="J387">
        <v>8</v>
      </c>
    </row>
    <row r="388" spans="2:10" x14ac:dyDescent="0.25">
      <c r="B388" t="s">
        <v>2715</v>
      </c>
      <c r="C388" s="16">
        <v>30041012</v>
      </c>
      <c r="D388" s="16"/>
      <c r="E388">
        <v>0</v>
      </c>
      <c r="F388">
        <v>17</v>
      </c>
      <c r="G388">
        <v>0</v>
      </c>
      <c r="H388">
        <v>9.9</v>
      </c>
      <c r="I388">
        <v>2.1</v>
      </c>
      <c r="J388">
        <v>8</v>
      </c>
    </row>
    <row r="389" spans="2:10" x14ac:dyDescent="0.25">
      <c r="B389" t="s">
        <v>2716</v>
      </c>
      <c r="C389" s="16">
        <v>30041012</v>
      </c>
      <c r="D389" s="16"/>
      <c r="E389" t="s">
        <v>19447</v>
      </c>
      <c r="F389">
        <v>17</v>
      </c>
      <c r="G389">
        <v>0</v>
      </c>
      <c r="H389">
        <v>9.9</v>
      </c>
      <c r="I389">
        <v>2.1</v>
      </c>
      <c r="J389">
        <v>8</v>
      </c>
    </row>
    <row r="390" spans="2:10" x14ac:dyDescent="0.25">
      <c r="B390" t="s">
        <v>19450</v>
      </c>
      <c r="C390" s="16">
        <v>30041012</v>
      </c>
      <c r="D390" s="16"/>
      <c r="E390">
        <v>0</v>
      </c>
      <c r="F390">
        <v>17</v>
      </c>
      <c r="G390">
        <v>0</v>
      </c>
      <c r="H390">
        <v>9.9</v>
      </c>
      <c r="I390">
        <v>2.1</v>
      </c>
      <c r="J390">
        <v>8</v>
      </c>
    </row>
    <row r="391" spans="2:10" x14ac:dyDescent="0.25">
      <c r="B391" t="s">
        <v>2714</v>
      </c>
      <c r="C391" s="16">
        <v>30041012</v>
      </c>
      <c r="D391" s="16"/>
      <c r="E391">
        <v>0</v>
      </c>
      <c r="F391">
        <v>12</v>
      </c>
      <c r="G391">
        <v>0</v>
      </c>
      <c r="H391">
        <v>9.9</v>
      </c>
      <c r="I391">
        <v>2.1</v>
      </c>
      <c r="J391">
        <v>8</v>
      </c>
    </row>
    <row r="392" spans="2:10" x14ac:dyDescent="0.25">
      <c r="B392" t="s">
        <v>2718</v>
      </c>
      <c r="C392" s="16">
        <v>30041012</v>
      </c>
      <c r="D392" s="16"/>
      <c r="E392">
        <v>0</v>
      </c>
      <c r="F392">
        <v>17</v>
      </c>
      <c r="G392">
        <v>0</v>
      </c>
      <c r="H392">
        <v>9.9</v>
      </c>
      <c r="I392">
        <v>2.1</v>
      </c>
      <c r="J392">
        <v>8</v>
      </c>
    </row>
    <row r="393" spans="2:10" x14ac:dyDescent="0.25">
      <c r="B393" t="s">
        <v>2717</v>
      </c>
      <c r="C393" s="16">
        <v>30041012</v>
      </c>
      <c r="D393" s="16"/>
      <c r="E393">
        <v>0</v>
      </c>
      <c r="F393">
        <v>17</v>
      </c>
      <c r="G393">
        <v>0</v>
      </c>
      <c r="H393">
        <v>9.9</v>
      </c>
      <c r="I393">
        <v>2.1</v>
      </c>
      <c r="J393">
        <v>8</v>
      </c>
    </row>
    <row r="394" spans="2:10" x14ac:dyDescent="0.25">
      <c r="B394" t="s">
        <v>2723</v>
      </c>
      <c r="C394" s="16">
        <v>30041012</v>
      </c>
      <c r="D394" s="16"/>
      <c r="E394">
        <v>0</v>
      </c>
      <c r="F394">
        <v>17</v>
      </c>
      <c r="G394">
        <v>0</v>
      </c>
      <c r="H394">
        <v>9.9</v>
      </c>
      <c r="I394">
        <v>2.1</v>
      </c>
      <c r="J394">
        <v>8</v>
      </c>
    </row>
    <row r="395" spans="2:10" x14ac:dyDescent="0.25">
      <c r="B395" t="s">
        <v>19451</v>
      </c>
      <c r="C395" s="16">
        <v>30041012</v>
      </c>
      <c r="D395" s="16"/>
      <c r="E395">
        <v>0</v>
      </c>
      <c r="F395">
        <v>17</v>
      </c>
      <c r="G395">
        <v>0</v>
      </c>
      <c r="H395">
        <v>9.9</v>
      </c>
      <c r="I395">
        <v>2.1</v>
      </c>
      <c r="J395">
        <v>8</v>
      </c>
    </row>
    <row r="396" spans="2:10" x14ac:dyDescent="0.25">
      <c r="B396" t="s">
        <v>2722</v>
      </c>
      <c r="C396" s="16">
        <v>30041012</v>
      </c>
      <c r="D396" s="16"/>
      <c r="E396">
        <v>0</v>
      </c>
      <c r="F396">
        <v>17</v>
      </c>
      <c r="G396">
        <v>0</v>
      </c>
      <c r="H396">
        <v>9.9</v>
      </c>
      <c r="I396">
        <v>2.1</v>
      </c>
      <c r="J396">
        <v>8</v>
      </c>
    </row>
    <row r="397" spans="2:10" x14ac:dyDescent="0.25">
      <c r="B397" t="s">
        <v>19452</v>
      </c>
      <c r="C397" s="16">
        <v>30041012</v>
      </c>
      <c r="D397" s="16"/>
      <c r="E397">
        <v>0</v>
      </c>
      <c r="F397">
        <v>17</v>
      </c>
      <c r="G397">
        <v>0</v>
      </c>
      <c r="H397">
        <v>9.9</v>
      </c>
      <c r="I397">
        <v>2.1</v>
      </c>
      <c r="J397">
        <v>8</v>
      </c>
    </row>
    <row r="398" spans="2:10" x14ac:dyDescent="0.25">
      <c r="B398" t="s">
        <v>2710</v>
      </c>
      <c r="C398" s="16">
        <v>30041012</v>
      </c>
      <c r="D398" s="16"/>
      <c r="E398">
        <v>0</v>
      </c>
      <c r="F398">
        <v>12</v>
      </c>
      <c r="G398">
        <v>0</v>
      </c>
      <c r="H398">
        <v>9.9</v>
      </c>
      <c r="I398">
        <v>2.1</v>
      </c>
      <c r="J398">
        <v>8</v>
      </c>
    </row>
    <row r="399" spans="2:10" x14ac:dyDescent="0.25">
      <c r="B399" t="s">
        <v>2713</v>
      </c>
      <c r="C399" s="16">
        <v>30041012</v>
      </c>
      <c r="D399" s="16"/>
      <c r="E399">
        <v>0</v>
      </c>
      <c r="F399">
        <v>19</v>
      </c>
      <c r="G399">
        <v>0</v>
      </c>
      <c r="H399">
        <v>9.9</v>
      </c>
      <c r="I399">
        <v>2.1</v>
      </c>
      <c r="J399">
        <v>8</v>
      </c>
    </row>
    <row r="400" spans="2:10" x14ac:dyDescent="0.25">
      <c r="B400" t="s">
        <v>19453</v>
      </c>
      <c r="C400" s="16">
        <v>30041012</v>
      </c>
      <c r="D400" s="16"/>
      <c r="E400">
        <v>0</v>
      </c>
      <c r="F400">
        <v>17</v>
      </c>
      <c r="G400">
        <v>0</v>
      </c>
      <c r="H400">
        <v>9.9</v>
      </c>
      <c r="I400">
        <v>2.1</v>
      </c>
      <c r="J400">
        <v>8</v>
      </c>
    </row>
    <row r="401" spans="2:10" x14ac:dyDescent="0.25">
      <c r="B401" t="s">
        <v>19454</v>
      </c>
      <c r="C401" s="16">
        <v>30041012</v>
      </c>
      <c r="D401" s="16"/>
      <c r="E401">
        <v>0</v>
      </c>
      <c r="F401">
        <v>17</v>
      </c>
      <c r="G401">
        <v>0</v>
      </c>
      <c r="H401">
        <v>9.9</v>
      </c>
      <c r="I401">
        <v>2.1</v>
      </c>
      <c r="J401">
        <v>8</v>
      </c>
    </row>
    <row r="402" spans="2:10" x14ac:dyDescent="0.25">
      <c r="B402" t="s">
        <v>19455</v>
      </c>
      <c r="C402" s="16">
        <v>30041012</v>
      </c>
      <c r="D402" s="16"/>
      <c r="E402">
        <v>0</v>
      </c>
      <c r="F402">
        <v>17</v>
      </c>
      <c r="G402">
        <v>0</v>
      </c>
      <c r="H402">
        <v>9.9</v>
      </c>
      <c r="I402">
        <v>2.1</v>
      </c>
      <c r="J402">
        <v>8</v>
      </c>
    </row>
    <row r="403" spans="2:10" x14ac:dyDescent="0.25">
      <c r="B403" t="s">
        <v>2712</v>
      </c>
      <c r="C403" s="16">
        <v>30041012</v>
      </c>
      <c r="D403" s="16"/>
      <c r="E403">
        <v>0</v>
      </c>
      <c r="F403">
        <v>17</v>
      </c>
      <c r="G403">
        <v>0</v>
      </c>
      <c r="H403">
        <v>9.9</v>
      </c>
      <c r="I403">
        <v>2.1</v>
      </c>
      <c r="J403">
        <v>8</v>
      </c>
    </row>
    <row r="404" spans="2:10" x14ac:dyDescent="0.25">
      <c r="B404" t="s">
        <v>2711</v>
      </c>
      <c r="C404" s="16">
        <v>30041012</v>
      </c>
      <c r="D404" s="16"/>
      <c r="E404">
        <v>0</v>
      </c>
      <c r="F404">
        <v>17</v>
      </c>
      <c r="G404">
        <v>0</v>
      </c>
      <c r="H404">
        <v>9.9</v>
      </c>
      <c r="I404">
        <v>2.1</v>
      </c>
      <c r="J404">
        <v>8</v>
      </c>
    </row>
    <row r="405" spans="2:10" x14ac:dyDescent="0.25">
      <c r="B405" t="s">
        <v>19456</v>
      </c>
      <c r="C405" s="16">
        <v>30041012</v>
      </c>
      <c r="D405" s="16"/>
      <c r="E405">
        <v>0</v>
      </c>
      <c r="F405">
        <v>17</v>
      </c>
      <c r="G405">
        <v>0</v>
      </c>
      <c r="H405">
        <v>9.9</v>
      </c>
      <c r="I405">
        <v>2.1</v>
      </c>
      <c r="J405">
        <v>8</v>
      </c>
    </row>
    <row r="406" spans="2:10" x14ac:dyDescent="0.25">
      <c r="B406" t="s">
        <v>2709</v>
      </c>
      <c r="C406" s="16">
        <v>30041012</v>
      </c>
      <c r="D406" s="16"/>
      <c r="E406">
        <v>0</v>
      </c>
      <c r="F406">
        <v>18</v>
      </c>
      <c r="G406">
        <v>0</v>
      </c>
      <c r="H406">
        <v>9.9</v>
      </c>
      <c r="I406">
        <v>2.1</v>
      </c>
      <c r="J406">
        <v>8</v>
      </c>
    </row>
    <row r="407" spans="2:10" x14ac:dyDescent="0.25">
      <c r="B407" t="s">
        <v>19457</v>
      </c>
      <c r="C407" s="16">
        <v>30041012</v>
      </c>
      <c r="D407" s="16"/>
      <c r="E407">
        <v>0</v>
      </c>
      <c r="F407">
        <v>17</v>
      </c>
      <c r="G407">
        <v>0</v>
      </c>
      <c r="H407">
        <v>9.9</v>
      </c>
      <c r="I407">
        <v>2.1</v>
      </c>
      <c r="J407">
        <v>8</v>
      </c>
    </row>
    <row r="408" spans="2:10" x14ac:dyDescent="0.25">
      <c r="B408" t="s">
        <v>19446</v>
      </c>
      <c r="C408" s="16">
        <v>30042019</v>
      </c>
      <c r="D408" s="16"/>
      <c r="E408">
        <v>0</v>
      </c>
      <c r="F408">
        <v>17</v>
      </c>
      <c r="G408">
        <v>0</v>
      </c>
      <c r="H408">
        <v>9.9</v>
      </c>
      <c r="I408">
        <v>2.1</v>
      </c>
      <c r="J408">
        <v>8</v>
      </c>
    </row>
    <row r="409" spans="2:10" x14ac:dyDescent="0.25">
      <c r="B409" t="s">
        <v>19448</v>
      </c>
      <c r="C409" s="16">
        <v>30042019</v>
      </c>
      <c r="D409" s="16"/>
      <c r="E409">
        <v>0</v>
      </c>
      <c r="F409">
        <v>17</v>
      </c>
      <c r="G409">
        <v>0</v>
      </c>
      <c r="H409">
        <v>9.9</v>
      </c>
      <c r="I409">
        <v>2.1</v>
      </c>
      <c r="J409">
        <v>8</v>
      </c>
    </row>
    <row r="410" spans="2:10" x14ac:dyDescent="0.25">
      <c r="B410" t="s">
        <v>2724</v>
      </c>
      <c r="C410" s="16">
        <v>30042019</v>
      </c>
      <c r="D410" s="16"/>
      <c r="E410">
        <v>59</v>
      </c>
      <c r="F410">
        <v>17</v>
      </c>
      <c r="G410">
        <v>0</v>
      </c>
      <c r="H410">
        <v>9.9</v>
      </c>
      <c r="I410">
        <v>2.1</v>
      </c>
      <c r="J410">
        <v>8</v>
      </c>
    </row>
    <row r="411" spans="2:10" x14ac:dyDescent="0.25">
      <c r="B411" t="s">
        <v>19449</v>
      </c>
      <c r="C411" s="16">
        <v>30042019</v>
      </c>
      <c r="D411" s="16"/>
      <c r="E411">
        <v>0</v>
      </c>
      <c r="F411">
        <v>17</v>
      </c>
      <c r="G411">
        <v>0</v>
      </c>
      <c r="H411">
        <v>9.9</v>
      </c>
      <c r="I411">
        <v>2.1</v>
      </c>
      <c r="J411">
        <v>8</v>
      </c>
    </row>
    <row r="412" spans="2:10" x14ac:dyDescent="0.25">
      <c r="B412" t="s">
        <v>2720</v>
      </c>
      <c r="C412" s="16">
        <v>30042019</v>
      </c>
      <c r="D412" s="16"/>
      <c r="E412">
        <v>0</v>
      </c>
      <c r="F412">
        <v>17</v>
      </c>
      <c r="G412">
        <v>0</v>
      </c>
      <c r="H412">
        <v>9.9</v>
      </c>
      <c r="I412">
        <v>2.1</v>
      </c>
      <c r="J412">
        <v>8</v>
      </c>
    </row>
    <row r="413" spans="2:10" x14ac:dyDescent="0.25">
      <c r="B413" t="s">
        <v>2721</v>
      </c>
      <c r="C413" s="16">
        <v>30042019</v>
      </c>
      <c r="D413" s="16"/>
      <c r="E413" t="s">
        <v>19447</v>
      </c>
      <c r="F413">
        <v>17</v>
      </c>
      <c r="G413">
        <v>0</v>
      </c>
      <c r="H413">
        <v>9.9</v>
      </c>
      <c r="I413">
        <v>2.1</v>
      </c>
      <c r="J413">
        <v>8</v>
      </c>
    </row>
    <row r="414" spans="2:10" x14ac:dyDescent="0.25">
      <c r="B414" t="s">
        <v>2719</v>
      </c>
      <c r="C414" s="16">
        <v>30042019</v>
      </c>
      <c r="D414" s="16"/>
      <c r="E414">
        <v>0</v>
      </c>
      <c r="F414">
        <v>17</v>
      </c>
      <c r="G414">
        <v>0</v>
      </c>
      <c r="H414">
        <v>9.9</v>
      </c>
      <c r="I414">
        <v>2.1</v>
      </c>
      <c r="J414">
        <v>8</v>
      </c>
    </row>
    <row r="415" spans="2:10" x14ac:dyDescent="0.25">
      <c r="B415" t="s">
        <v>2715</v>
      </c>
      <c r="C415" s="16">
        <v>30042019</v>
      </c>
      <c r="D415" s="16"/>
      <c r="E415">
        <v>0</v>
      </c>
      <c r="F415">
        <v>17</v>
      </c>
      <c r="G415">
        <v>0</v>
      </c>
      <c r="H415">
        <v>9.9</v>
      </c>
      <c r="I415">
        <v>2.1</v>
      </c>
      <c r="J415">
        <v>8</v>
      </c>
    </row>
    <row r="416" spans="2:10" x14ac:dyDescent="0.25">
      <c r="B416" t="s">
        <v>2716</v>
      </c>
      <c r="C416" s="16">
        <v>30042019</v>
      </c>
      <c r="D416" s="16"/>
      <c r="E416" t="s">
        <v>19447</v>
      </c>
      <c r="F416">
        <v>17</v>
      </c>
      <c r="G416">
        <v>0</v>
      </c>
      <c r="H416">
        <v>9.9</v>
      </c>
      <c r="I416">
        <v>2.1</v>
      </c>
      <c r="J416">
        <v>8</v>
      </c>
    </row>
    <row r="417" spans="2:10" x14ac:dyDescent="0.25">
      <c r="B417" t="s">
        <v>19450</v>
      </c>
      <c r="C417" s="16">
        <v>30042019</v>
      </c>
      <c r="D417" s="16"/>
      <c r="E417">
        <v>0</v>
      </c>
      <c r="F417">
        <v>17</v>
      </c>
      <c r="G417">
        <v>0</v>
      </c>
      <c r="H417">
        <v>9.9</v>
      </c>
      <c r="I417">
        <v>2.1</v>
      </c>
      <c r="J417">
        <v>8</v>
      </c>
    </row>
    <row r="418" spans="2:10" x14ac:dyDescent="0.25">
      <c r="B418" t="s">
        <v>2714</v>
      </c>
      <c r="C418" s="16">
        <v>30042019</v>
      </c>
      <c r="D418" s="16"/>
      <c r="E418">
        <v>0</v>
      </c>
      <c r="F418">
        <v>12</v>
      </c>
      <c r="G418">
        <v>0</v>
      </c>
      <c r="H418">
        <v>9.9</v>
      </c>
      <c r="I418">
        <v>2.1</v>
      </c>
      <c r="J418">
        <v>8</v>
      </c>
    </row>
    <row r="419" spans="2:10" x14ac:dyDescent="0.25">
      <c r="B419" t="s">
        <v>2718</v>
      </c>
      <c r="C419" s="16">
        <v>30042019</v>
      </c>
      <c r="D419" s="16"/>
      <c r="E419">
        <v>0</v>
      </c>
      <c r="F419">
        <v>17</v>
      </c>
      <c r="G419">
        <v>0</v>
      </c>
      <c r="H419">
        <v>9.9</v>
      </c>
      <c r="I419">
        <v>2.1</v>
      </c>
      <c r="J419">
        <v>8</v>
      </c>
    </row>
    <row r="420" spans="2:10" x14ac:dyDescent="0.25">
      <c r="B420" t="s">
        <v>2717</v>
      </c>
      <c r="C420" s="16">
        <v>30042019</v>
      </c>
      <c r="D420" s="16"/>
      <c r="E420">
        <v>0</v>
      </c>
      <c r="F420">
        <v>17</v>
      </c>
      <c r="G420">
        <v>0</v>
      </c>
      <c r="H420">
        <v>9.9</v>
      </c>
      <c r="I420">
        <v>2.1</v>
      </c>
      <c r="J420">
        <v>8</v>
      </c>
    </row>
    <row r="421" spans="2:10" x14ac:dyDescent="0.25">
      <c r="B421" t="s">
        <v>2723</v>
      </c>
      <c r="C421" s="16">
        <v>30042019</v>
      </c>
      <c r="D421" s="16"/>
      <c r="E421">
        <v>0</v>
      </c>
      <c r="F421">
        <v>17</v>
      </c>
      <c r="G421">
        <v>0</v>
      </c>
      <c r="H421">
        <v>9.9</v>
      </c>
      <c r="I421">
        <v>2.1</v>
      </c>
      <c r="J421">
        <v>8</v>
      </c>
    </row>
    <row r="422" spans="2:10" x14ac:dyDescent="0.25">
      <c r="B422" t="s">
        <v>19451</v>
      </c>
      <c r="C422" s="16">
        <v>30042019</v>
      </c>
      <c r="D422" s="16"/>
      <c r="E422">
        <v>0</v>
      </c>
      <c r="F422">
        <v>17</v>
      </c>
      <c r="G422">
        <v>0</v>
      </c>
      <c r="H422">
        <v>9.9</v>
      </c>
      <c r="I422">
        <v>2.1</v>
      </c>
      <c r="J422">
        <v>8</v>
      </c>
    </row>
    <row r="423" spans="2:10" x14ac:dyDescent="0.25">
      <c r="B423" t="s">
        <v>2722</v>
      </c>
      <c r="C423" s="16">
        <v>30042019</v>
      </c>
      <c r="D423" s="16"/>
      <c r="E423">
        <v>0</v>
      </c>
      <c r="F423">
        <v>17</v>
      </c>
      <c r="G423">
        <v>0</v>
      </c>
      <c r="H423">
        <v>9.9</v>
      </c>
      <c r="I423">
        <v>2.1</v>
      </c>
      <c r="J423">
        <v>8</v>
      </c>
    </row>
    <row r="424" spans="2:10" x14ac:dyDescent="0.25">
      <c r="B424" t="s">
        <v>19452</v>
      </c>
      <c r="C424" s="16">
        <v>30042019</v>
      </c>
      <c r="D424" s="16"/>
      <c r="E424">
        <v>0</v>
      </c>
      <c r="F424">
        <v>17</v>
      </c>
      <c r="G424">
        <v>0</v>
      </c>
      <c r="H424">
        <v>9.9</v>
      </c>
      <c r="I424">
        <v>2.1</v>
      </c>
      <c r="J424">
        <v>8</v>
      </c>
    </row>
    <row r="425" spans="2:10" x14ac:dyDescent="0.25">
      <c r="B425" t="s">
        <v>2710</v>
      </c>
      <c r="C425" s="16">
        <v>30042019</v>
      </c>
      <c r="D425" s="16"/>
      <c r="E425">
        <v>0</v>
      </c>
      <c r="F425">
        <v>12</v>
      </c>
      <c r="G425">
        <v>0</v>
      </c>
      <c r="H425">
        <v>9.9</v>
      </c>
      <c r="I425">
        <v>2.1</v>
      </c>
      <c r="J425">
        <v>8</v>
      </c>
    </row>
    <row r="426" spans="2:10" x14ac:dyDescent="0.25">
      <c r="B426" t="s">
        <v>2713</v>
      </c>
      <c r="C426" s="16">
        <v>30042019</v>
      </c>
      <c r="D426" s="16"/>
      <c r="E426">
        <v>0</v>
      </c>
      <c r="F426">
        <v>19</v>
      </c>
      <c r="G426">
        <v>0</v>
      </c>
      <c r="H426">
        <v>9.9</v>
      </c>
      <c r="I426">
        <v>2.1</v>
      </c>
      <c r="J426">
        <v>8</v>
      </c>
    </row>
    <row r="427" spans="2:10" x14ac:dyDescent="0.25">
      <c r="B427" t="s">
        <v>19453</v>
      </c>
      <c r="C427" s="16">
        <v>30042019</v>
      </c>
      <c r="D427" s="16"/>
      <c r="E427">
        <v>0</v>
      </c>
      <c r="F427">
        <v>17</v>
      </c>
      <c r="G427">
        <v>0</v>
      </c>
      <c r="H427">
        <v>9.9</v>
      </c>
      <c r="I427">
        <v>2.1</v>
      </c>
      <c r="J427">
        <v>8</v>
      </c>
    </row>
    <row r="428" spans="2:10" x14ac:dyDescent="0.25">
      <c r="B428" t="s">
        <v>19454</v>
      </c>
      <c r="C428" s="16">
        <v>30042019</v>
      </c>
      <c r="D428" s="16"/>
      <c r="E428">
        <v>0</v>
      </c>
      <c r="F428">
        <v>17</v>
      </c>
      <c r="G428">
        <v>0</v>
      </c>
      <c r="H428">
        <v>9.9</v>
      </c>
      <c r="I428">
        <v>2.1</v>
      </c>
      <c r="J428">
        <v>8</v>
      </c>
    </row>
    <row r="429" spans="2:10" x14ac:dyDescent="0.25">
      <c r="B429" t="s">
        <v>19455</v>
      </c>
      <c r="C429" s="16">
        <v>30042019</v>
      </c>
      <c r="D429" s="16"/>
      <c r="E429">
        <v>0</v>
      </c>
      <c r="F429">
        <v>17</v>
      </c>
      <c r="G429">
        <v>0</v>
      </c>
      <c r="H429">
        <v>9.9</v>
      </c>
      <c r="I429">
        <v>2.1</v>
      </c>
      <c r="J429">
        <v>8</v>
      </c>
    </row>
    <row r="430" spans="2:10" x14ac:dyDescent="0.25">
      <c r="B430" t="s">
        <v>2712</v>
      </c>
      <c r="C430" s="16">
        <v>30042019</v>
      </c>
      <c r="D430" s="16"/>
      <c r="E430">
        <v>0</v>
      </c>
      <c r="F430">
        <v>17</v>
      </c>
      <c r="G430">
        <v>0</v>
      </c>
      <c r="H430">
        <v>9.9</v>
      </c>
      <c r="I430">
        <v>2.1</v>
      </c>
      <c r="J430">
        <v>8</v>
      </c>
    </row>
    <row r="431" spans="2:10" x14ac:dyDescent="0.25">
      <c r="B431" t="s">
        <v>2711</v>
      </c>
      <c r="C431" s="16">
        <v>30042019</v>
      </c>
      <c r="D431" s="16"/>
      <c r="E431">
        <v>0</v>
      </c>
      <c r="F431">
        <v>17</v>
      </c>
      <c r="G431">
        <v>0</v>
      </c>
      <c r="H431">
        <v>9.9</v>
      </c>
      <c r="I431">
        <v>2.1</v>
      </c>
      <c r="J431">
        <v>8</v>
      </c>
    </row>
    <row r="432" spans="2:10" x14ac:dyDescent="0.25">
      <c r="B432" t="s">
        <v>19456</v>
      </c>
      <c r="C432" s="16">
        <v>30042019</v>
      </c>
      <c r="D432" s="16"/>
      <c r="E432">
        <v>0</v>
      </c>
      <c r="F432">
        <v>17</v>
      </c>
      <c r="G432">
        <v>0</v>
      </c>
      <c r="H432">
        <v>9.9</v>
      </c>
      <c r="I432">
        <v>2.1</v>
      </c>
      <c r="J432">
        <v>8</v>
      </c>
    </row>
    <row r="433" spans="2:10" x14ac:dyDescent="0.25">
      <c r="B433" t="s">
        <v>2709</v>
      </c>
      <c r="C433" s="16">
        <v>30042019</v>
      </c>
      <c r="D433" s="16"/>
      <c r="E433">
        <v>0</v>
      </c>
      <c r="F433">
        <v>18</v>
      </c>
      <c r="G433">
        <v>0</v>
      </c>
      <c r="H433">
        <v>9.9</v>
      </c>
      <c r="I433">
        <v>2.1</v>
      </c>
      <c r="J433">
        <v>8</v>
      </c>
    </row>
    <row r="434" spans="2:10" x14ac:dyDescent="0.25">
      <c r="B434" t="s">
        <v>19457</v>
      </c>
      <c r="C434" s="16">
        <v>30042019</v>
      </c>
      <c r="D434" s="16"/>
      <c r="E434">
        <v>0</v>
      </c>
      <c r="F434">
        <v>17</v>
      </c>
      <c r="G434">
        <v>0</v>
      </c>
      <c r="H434">
        <v>9.9</v>
      </c>
      <c r="I434">
        <v>2.1</v>
      </c>
      <c r="J434">
        <v>8</v>
      </c>
    </row>
    <row r="435" spans="2:10" x14ac:dyDescent="0.25">
      <c r="B435" t="s">
        <v>19446</v>
      </c>
      <c r="C435" s="16">
        <v>30042029</v>
      </c>
      <c r="D435" s="16"/>
      <c r="E435">
        <v>0</v>
      </c>
      <c r="F435">
        <v>17</v>
      </c>
      <c r="G435">
        <v>0</v>
      </c>
      <c r="H435">
        <v>9.9</v>
      </c>
      <c r="I435">
        <v>2.1</v>
      </c>
      <c r="J435">
        <v>8</v>
      </c>
    </row>
    <row r="436" spans="2:10" x14ac:dyDescent="0.25">
      <c r="B436" t="s">
        <v>19448</v>
      </c>
      <c r="C436" s="16">
        <v>30042029</v>
      </c>
      <c r="D436" s="16"/>
      <c r="E436">
        <v>0</v>
      </c>
      <c r="F436">
        <v>17</v>
      </c>
      <c r="G436">
        <v>0</v>
      </c>
      <c r="H436">
        <v>9.9</v>
      </c>
      <c r="I436">
        <v>2.1</v>
      </c>
      <c r="J436">
        <v>8</v>
      </c>
    </row>
    <row r="437" spans="2:10" x14ac:dyDescent="0.25">
      <c r="B437" t="s">
        <v>2724</v>
      </c>
      <c r="C437" s="16">
        <v>30042029</v>
      </c>
      <c r="D437" s="16"/>
      <c r="E437">
        <v>59</v>
      </c>
      <c r="F437">
        <v>17</v>
      </c>
      <c r="G437">
        <v>0</v>
      </c>
      <c r="H437">
        <v>9.9</v>
      </c>
      <c r="I437">
        <v>2.1</v>
      </c>
      <c r="J437">
        <v>8</v>
      </c>
    </row>
    <row r="438" spans="2:10" x14ac:dyDescent="0.25">
      <c r="B438" t="s">
        <v>19449</v>
      </c>
      <c r="C438" s="16">
        <v>30042029</v>
      </c>
      <c r="D438" s="16"/>
      <c r="E438">
        <v>0</v>
      </c>
      <c r="F438">
        <v>17</v>
      </c>
      <c r="G438">
        <v>0</v>
      </c>
      <c r="H438">
        <v>9.9</v>
      </c>
      <c r="I438">
        <v>2.1</v>
      </c>
      <c r="J438">
        <v>8</v>
      </c>
    </row>
    <row r="439" spans="2:10" x14ac:dyDescent="0.25">
      <c r="B439" t="s">
        <v>2720</v>
      </c>
      <c r="C439" s="16">
        <v>30042029</v>
      </c>
      <c r="D439" s="16"/>
      <c r="E439">
        <v>0</v>
      </c>
      <c r="F439">
        <v>17</v>
      </c>
      <c r="G439">
        <v>0</v>
      </c>
      <c r="H439">
        <v>9.9</v>
      </c>
      <c r="I439">
        <v>2.1</v>
      </c>
      <c r="J439">
        <v>8</v>
      </c>
    </row>
    <row r="440" spans="2:10" x14ac:dyDescent="0.25">
      <c r="B440" t="s">
        <v>2721</v>
      </c>
      <c r="C440" s="16">
        <v>30042029</v>
      </c>
      <c r="D440" s="16"/>
      <c r="E440" t="s">
        <v>19447</v>
      </c>
      <c r="F440">
        <v>17</v>
      </c>
      <c r="G440">
        <v>0</v>
      </c>
      <c r="H440">
        <v>9.9</v>
      </c>
      <c r="I440">
        <v>2.1</v>
      </c>
      <c r="J440">
        <v>8</v>
      </c>
    </row>
    <row r="441" spans="2:10" x14ac:dyDescent="0.25">
      <c r="B441" t="s">
        <v>2719</v>
      </c>
      <c r="C441" s="16">
        <v>30042029</v>
      </c>
      <c r="D441" s="16"/>
      <c r="E441">
        <v>0</v>
      </c>
      <c r="F441">
        <v>17</v>
      </c>
      <c r="G441">
        <v>0</v>
      </c>
      <c r="H441">
        <v>9.9</v>
      </c>
      <c r="I441">
        <v>2.1</v>
      </c>
      <c r="J441">
        <v>8</v>
      </c>
    </row>
    <row r="442" spans="2:10" x14ac:dyDescent="0.25">
      <c r="B442" t="s">
        <v>2715</v>
      </c>
      <c r="C442" s="16">
        <v>30042029</v>
      </c>
      <c r="D442" s="16"/>
      <c r="E442">
        <v>0</v>
      </c>
      <c r="F442">
        <v>17</v>
      </c>
      <c r="G442">
        <v>0</v>
      </c>
      <c r="H442">
        <v>9.9</v>
      </c>
      <c r="I442">
        <v>2.1</v>
      </c>
      <c r="J442">
        <v>8</v>
      </c>
    </row>
    <row r="443" spans="2:10" x14ac:dyDescent="0.25">
      <c r="B443" t="s">
        <v>2716</v>
      </c>
      <c r="C443" s="16">
        <v>30042029</v>
      </c>
      <c r="D443" s="16"/>
      <c r="E443" t="s">
        <v>19447</v>
      </c>
      <c r="F443">
        <v>17</v>
      </c>
      <c r="G443">
        <v>0</v>
      </c>
      <c r="H443">
        <v>9.9</v>
      </c>
      <c r="I443">
        <v>2.1</v>
      </c>
      <c r="J443">
        <v>8</v>
      </c>
    </row>
    <row r="444" spans="2:10" x14ac:dyDescent="0.25">
      <c r="B444" t="s">
        <v>19450</v>
      </c>
      <c r="C444" s="16">
        <v>30042029</v>
      </c>
      <c r="D444" s="16"/>
      <c r="E444">
        <v>0</v>
      </c>
      <c r="F444">
        <v>17</v>
      </c>
      <c r="G444">
        <v>0</v>
      </c>
      <c r="H444">
        <v>9.9</v>
      </c>
      <c r="I444">
        <v>2.1</v>
      </c>
      <c r="J444">
        <v>8</v>
      </c>
    </row>
    <row r="445" spans="2:10" x14ac:dyDescent="0.25">
      <c r="B445" t="s">
        <v>2714</v>
      </c>
      <c r="C445" s="16">
        <v>30042029</v>
      </c>
      <c r="D445" s="16"/>
      <c r="E445">
        <v>0</v>
      </c>
      <c r="F445">
        <v>12</v>
      </c>
      <c r="G445">
        <v>0</v>
      </c>
      <c r="H445">
        <v>9.9</v>
      </c>
      <c r="I445">
        <v>2.1</v>
      </c>
      <c r="J445">
        <v>8</v>
      </c>
    </row>
    <row r="446" spans="2:10" x14ac:dyDescent="0.25">
      <c r="B446" t="s">
        <v>2718</v>
      </c>
      <c r="C446" s="16">
        <v>30042029</v>
      </c>
      <c r="D446" s="16"/>
      <c r="E446">
        <v>0</v>
      </c>
      <c r="F446">
        <v>17</v>
      </c>
      <c r="G446">
        <v>0</v>
      </c>
      <c r="H446">
        <v>9.9</v>
      </c>
      <c r="I446">
        <v>2.1</v>
      </c>
      <c r="J446">
        <v>8</v>
      </c>
    </row>
    <row r="447" spans="2:10" x14ac:dyDescent="0.25">
      <c r="B447" t="s">
        <v>2717</v>
      </c>
      <c r="C447" s="16">
        <v>30042029</v>
      </c>
      <c r="D447" s="16"/>
      <c r="E447">
        <v>0</v>
      </c>
      <c r="F447">
        <v>17</v>
      </c>
      <c r="G447">
        <v>0</v>
      </c>
      <c r="H447">
        <v>9.9</v>
      </c>
      <c r="I447">
        <v>2.1</v>
      </c>
      <c r="J447">
        <v>8</v>
      </c>
    </row>
    <row r="448" spans="2:10" x14ac:dyDescent="0.25">
      <c r="B448" t="s">
        <v>2723</v>
      </c>
      <c r="C448" s="16">
        <v>30042029</v>
      </c>
      <c r="D448" s="16"/>
      <c r="E448">
        <v>0</v>
      </c>
      <c r="F448">
        <v>17</v>
      </c>
      <c r="G448">
        <v>0</v>
      </c>
      <c r="H448">
        <v>9.9</v>
      </c>
      <c r="I448">
        <v>2.1</v>
      </c>
      <c r="J448">
        <v>8</v>
      </c>
    </row>
    <row r="449" spans="2:10" x14ac:dyDescent="0.25">
      <c r="B449" t="s">
        <v>19451</v>
      </c>
      <c r="C449" s="16">
        <v>30042029</v>
      </c>
      <c r="D449" s="16"/>
      <c r="E449">
        <v>0</v>
      </c>
      <c r="F449">
        <v>17</v>
      </c>
      <c r="G449">
        <v>0</v>
      </c>
      <c r="H449">
        <v>9.9</v>
      </c>
      <c r="I449">
        <v>2.1</v>
      </c>
      <c r="J449">
        <v>8</v>
      </c>
    </row>
    <row r="450" spans="2:10" x14ac:dyDescent="0.25">
      <c r="B450" t="s">
        <v>2722</v>
      </c>
      <c r="C450" s="16">
        <v>30042029</v>
      </c>
      <c r="D450" s="16"/>
      <c r="E450">
        <v>0</v>
      </c>
      <c r="F450">
        <v>17</v>
      </c>
      <c r="G450">
        <v>0</v>
      </c>
      <c r="H450">
        <v>9.9</v>
      </c>
      <c r="I450">
        <v>2.1</v>
      </c>
      <c r="J450">
        <v>8</v>
      </c>
    </row>
    <row r="451" spans="2:10" x14ac:dyDescent="0.25">
      <c r="B451" t="s">
        <v>19452</v>
      </c>
      <c r="C451" s="16">
        <v>30042029</v>
      </c>
      <c r="D451" s="16"/>
      <c r="E451">
        <v>0</v>
      </c>
      <c r="F451">
        <v>17</v>
      </c>
      <c r="G451">
        <v>0</v>
      </c>
      <c r="H451">
        <v>9.9</v>
      </c>
      <c r="I451">
        <v>2.1</v>
      </c>
      <c r="J451">
        <v>8</v>
      </c>
    </row>
    <row r="452" spans="2:10" x14ac:dyDescent="0.25">
      <c r="B452" t="s">
        <v>2710</v>
      </c>
      <c r="C452" s="16">
        <v>30042029</v>
      </c>
      <c r="D452" s="16"/>
      <c r="E452">
        <v>0</v>
      </c>
      <c r="F452">
        <v>12</v>
      </c>
      <c r="G452">
        <v>0</v>
      </c>
      <c r="H452">
        <v>9.9</v>
      </c>
      <c r="I452">
        <v>2.1</v>
      </c>
      <c r="J452">
        <v>8</v>
      </c>
    </row>
    <row r="453" spans="2:10" x14ac:dyDescent="0.25">
      <c r="B453" t="s">
        <v>2713</v>
      </c>
      <c r="C453" s="16">
        <v>30042029</v>
      </c>
      <c r="D453" s="16"/>
      <c r="E453">
        <v>0</v>
      </c>
      <c r="F453">
        <v>19</v>
      </c>
      <c r="G453">
        <v>0</v>
      </c>
      <c r="H453">
        <v>9.9</v>
      </c>
      <c r="I453">
        <v>2.1</v>
      </c>
      <c r="J453">
        <v>8</v>
      </c>
    </row>
    <row r="454" spans="2:10" x14ac:dyDescent="0.25">
      <c r="B454" t="s">
        <v>19453</v>
      </c>
      <c r="C454" s="16">
        <v>30042029</v>
      </c>
      <c r="D454" s="16"/>
      <c r="E454">
        <v>0</v>
      </c>
      <c r="F454">
        <v>17</v>
      </c>
      <c r="G454">
        <v>0</v>
      </c>
      <c r="H454">
        <v>9.9</v>
      </c>
      <c r="I454">
        <v>2.1</v>
      </c>
      <c r="J454">
        <v>8</v>
      </c>
    </row>
    <row r="455" spans="2:10" x14ac:dyDescent="0.25">
      <c r="B455" t="s">
        <v>19454</v>
      </c>
      <c r="C455" s="16">
        <v>30042029</v>
      </c>
      <c r="D455" s="16"/>
      <c r="E455">
        <v>0</v>
      </c>
      <c r="F455">
        <v>17</v>
      </c>
      <c r="G455">
        <v>0</v>
      </c>
      <c r="H455">
        <v>9.9</v>
      </c>
      <c r="I455">
        <v>2.1</v>
      </c>
      <c r="J455">
        <v>8</v>
      </c>
    </row>
    <row r="456" spans="2:10" x14ac:dyDescent="0.25">
      <c r="B456" t="s">
        <v>19455</v>
      </c>
      <c r="C456" s="16">
        <v>30042029</v>
      </c>
      <c r="D456" s="16"/>
      <c r="E456">
        <v>0</v>
      </c>
      <c r="F456">
        <v>17</v>
      </c>
      <c r="G456">
        <v>0</v>
      </c>
      <c r="H456">
        <v>9.9</v>
      </c>
      <c r="I456">
        <v>2.1</v>
      </c>
      <c r="J456">
        <v>8</v>
      </c>
    </row>
    <row r="457" spans="2:10" x14ac:dyDescent="0.25">
      <c r="B457" t="s">
        <v>2712</v>
      </c>
      <c r="C457" s="16">
        <v>30042029</v>
      </c>
      <c r="D457" s="16"/>
      <c r="E457">
        <v>0</v>
      </c>
      <c r="F457">
        <v>17</v>
      </c>
      <c r="G457">
        <v>0</v>
      </c>
      <c r="H457">
        <v>9.9</v>
      </c>
      <c r="I457">
        <v>2.1</v>
      </c>
      <c r="J457">
        <v>8</v>
      </c>
    </row>
    <row r="458" spans="2:10" x14ac:dyDescent="0.25">
      <c r="B458" t="s">
        <v>2711</v>
      </c>
      <c r="C458" s="16">
        <v>30042029</v>
      </c>
      <c r="D458" s="16"/>
      <c r="E458">
        <v>0</v>
      </c>
      <c r="F458">
        <v>17</v>
      </c>
      <c r="G458">
        <v>0</v>
      </c>
      <c r="H458">
        <v>9.9</v>
      </c>
      <c r="I458">
        <v>2.1</v>
      </c>
      <c r="J458">
        <v>8</v>
      </c>
    </row>
    <row r="459" spans="2:10" x14ac:dyDescent="0.25">
      <c r="B459" t="s">
        <v>19456</v>
      </c>
      <c r="C459" s="16">
        <v>30042029</v>
      </c>
      <c r="D459" s="16"/>
      <c r="E459">
        <v>0</v>
      </c>
      <c r="F459">
        <v>17</v>
      </c>
      <c r="G459">
        <v>0</v>
      </c>
      <c r="H459">
        <v>9.9</v>
      </c>
      <c r="I459">
        <v>2.1</v>
      </c>
      <c r="J459">
        <v>8</v>
      </c>
    </row>
    <row r="460" spans="2:10" x14ac:dyDescent="0.25">
      <c r="B460" t="s">
        <v>2709</v>
      </c>
      <c r="C460" s="16">
        <v>30042029</v>
      </c>
      <c r="D460" s="16"/>
      <c r="E460">
        <v>0</v>
      </c>
      <c r="F460">
        <v>18</v>
      </c>
      <c r="G460">
        <v>0</v>
      </c>
      <c r="H460">
        <v>9.9</v>
      </c>
      <c r="I460">
        <v>2.1</v>
      </c>
      <c r="J460">
        <v>8</v>
      </c>
    </row>
    <row r="461" spans="2:10" x14ac:dyDescent="0.25">
      <c r="B461" t="s">
        <v>19457</v>
      </c>
      <c r="C461" s="16">
        <v>30042029</v>
      </c>
      <c r="D461" s="16"/>
      <c r="E461">
        <v>0</v>
      </c>
      <c r="F461">
        <v>17</v>
      </c>
      <c r="G461">
        <v>0</v>
      </c>
      <c r="H461">
        <v>9.9</v>
      </c>
      <c r="I461">
        <v>2.1</v>
      </c>
      <c r="J461">
        <v>8</v>
      </c>
    </row>
    <row r="462" spans="2:10" x14ac:dyDescent="0.25">
      <c r="B462" t="s">
        <v>19446</v>
      </c>
      <c r="C462" s="16">
        <v>30042069</v>
      </c>
      <c r="D462" s="16"/>
      <c r="E462">
        <v>0</v>
      </c>
      <c r="F462">
        <v>17</v>
      </c>
      <c r="G462">
        <v>0</v>
      </c>
      <c r="H462">
        <v>9.9</v>
      </c>
      <c r="I462">
        <v>2.1</v>
      </c>
      <c r="J462">
        <v>8</v>
      </c>
    </row>
    <row r="463" spans="2:10" x14ac:dyDescent="0.25">
      <c r="B463" t="s">
        <v>19448</v>
      </c>
      <c r="C463" s="16">
        <v>30042069</v>
      </c>
      <c r="D463" s="16"/>
      <c r="E463">
        <v>0</v>
      </c>
      <c r="F463">
        <v>17</v>
      </c>
      <c r="G463">
        <v>0</v>
      </c>
      <c r="H463">
        <v>9.9</v>
      </c>
      <c r="I463">
        <v>2.1</v>
      </c>
      <c r="J463">
        <v>8</v>
      </c>
    </row>
    <row r="464" spans="2:10" x14ac:dyDescent="0.25">
      <c r="B464" t="s">
        <v>2724</v>
      </c>
      <c r="C464" s="16">
        <v>30042069</v>
      </c>
      <c r="D464" s="16"/>
      <c r="E464">
        <v>59</v>
      </c>
      <c r="F464">
        <v>17</v>
      </c>
      <c r="G464">
        <v>0</v>
      </c>
      <c r="H464">
        <v>9.9</v>
      </c>
      <c r="I464">
        <v>2.1</v>
      </c>
      <c r="J464">
        <v>8</v>
      </c>
    </row>
    <row r="465" spans="2:10" x14ac:dyDescent="0.25">
      <c r="B465" t="s">
        <v>19449</v>
      </c>
      <c r="C465" s="16">
        <v>30042069</v>
      </c>
      <c r="D465" s="16"/>
      <c r="E465">
        <v>0</v>
      </c>
      <c r="F465">
        <v>17</v>
      </c>
      <c r="G465">
        <v>0</v>
      </c>
      <c r="H465">
        <v>9.9</v>
      </c>
      <c r="I465">
        <v>2.1</v>
      </c>
      <c r="J465">
        <v>8</v>
      </c>
    </row>
    <row r="466" spans="2:10" x14ac:dyDescent="0.25">
      <c r="B466" t="s">
        <v>2720</v>
      </c>
      <c r="C466" s="16">
        <v>30042069</v>
      </c>
      <c r="D466" s="16"/>
      <c r="E466">
        <v>0</v>
      </c>
      <c r="F466">
        <v>17</v>
      </c>
      <c r="G466">
        <v>0</v>
      </c>
      <c r="H466">
        <v>9.9</v>
      </c>
      <c r="I466">
        <v>2.1</v>
      </c>
      <c r="J466">
        <v>8</v>
      </c>
    </row>
    <row r="467" spans="2:10" x14ac:dyDescent="0.25">
      <c r="B467" t="s">
        <v>2721</v>
      </c>
      <c r="C467" s="16">
        <v>30042069</v>
      </c>
      <c r="D467" s="16"/>
      <c r="E467" t="s">
        <v>19447</v>
      </c>
      <c r="F467">
        <v>17</v>
      </c>
      <c r="G467">
        <v>0</v>
      </c>
      <c r="H467">
        <v>9.9</v>
      </c>
      <c r="I467">
        <v>2.1</v>
      </c>
      <c r="J467">
        <v>8</v>
      </c>
    </row>
    <row r="468" spans="2:10" x14ac:dyDescent="0.25">
      <c r="B468" t="s">
        <v>2719</v>
      </c>
      <c r="C468" s="16">
        <v>30042069</v>
      </c>
      <c r="D468" s="16"/>
      <c r="E468">
        <v>0</v>
      </c>
      <c r="F468">
        <v>17</v>
      </c>
      <c r="G468">
        <v>0</v>
      </c>
      <c r="H468">
        <v>9.9</v>
      </c>
      <c r="I468">
        <v>2.1</v>
      </c>
      <c r="J468">
        <v>8</v>
      </c>
    </row>
    <row r="469" spans="2:10" x14ac:dyDescent="0.25">
      <c r="B469" t="s">
        <v>2715</v>
      </c>
      <c r="C469" s="16">
        <v>30042069</v>
      </c>
      <c r="D469" s="16"/>
      <c r="E469">
        <v>0</v>
      </c>
      <c r="F469">
        <v>17</v>
      </c>
      <c r="G469">
        <v>0</v>
      </c>
      <c r="H469">
        <v>9.9</v>
      </c>
      <c r="I469">
        <v>2.1</v>
      </c>
      <c r="J469">
        <v>8</v>
      </c>
    </row>
    <row r="470" spans="2:10" x14ac:dyDescent="0.25">
      <c r="B470" t="s">
        <v>2716</v>
      </c>
      <c r="C470" s="16">
        <v>30042069</v>
      </c>
      <c r="D470" s="16"/>
      <c r="E470" t="s">
        <v>19447</v>
      </c>
      <c r="F470">
        <v>17</v>
      </c>
      <c r="G470">
        <v>0</v>
      </c>
      <c r="H470">
        <v>9.9</v>
      </c>
      <c r="I470">
        <v>2.1</v>
      </c>
      <c r="J470">
        <v>8</v>
      </c>
    </row>
    <row r="471" spans="2:10" x14ac:dyDescent="0.25">
      <c r="B471" t="s">
        <v>19450</v>
      </c>
      <c r="C471" s="16">
        <v>30042069</v>
      </c>
      <c r="D471" s="16"/>
      <c r="E471">
        <v>0</v>
      </c>
      <c r="F471">
        <v>17</v>
      </c>
      <c r="G471">
        <v>0</v>
      </c>
      <c r="H471">
        <v>9.9</v>
      </c>
      <c r="I471">
        <v>2.1</v>
      </c>
      <c r="J471">
        <v>8</v>
      </c>
    </row>
    <row r="472" spans="2:10" x14ac:dyDescent="0.25">
      <c r="B472" t="s">
        <v>2714</v>
      </c>
      <c r="C472" s="16">
        <v>30042069</v>
      </c>
      <c r="D472" s="16"/>
      <c r="E472">
        <v>0</v>
      </c>
      <c r="F472">
        <v>12</v>
      </c>
      <c r="G472">
        <v>0</v>
      </c>
      <c r="H472">
        <v>9.9</v>
      </c>
      <c r="I472">
        <v>2.1</v>
      </c>
      <c r="J472">
        <v>8</v>
      </c>
    </row>
    <row r="473" spans="2:10" x14ac:dyDescent="0.25">
      <c r="B473" t="s">
        <v>2718</v>
      </c>
      <c r="C473" s="16">
        <v>30042069</v>
      </c>
      <c r="D473" s="16"/>
      <c r="E473">
        <v>0</v>
      </c>
      <c r="F473">
        <v>17</v>
      </c>
      <c r="G473">
        <v>0</v>
      </c>
      <c r="H473">
        <v>9.9</v>
      </c>
      <c r="I473">
        <v>2.1</v>
      </c>
      <c r="J473">
        <v>8</v>
      </c>
    </row>
    <row r="474" spans="2:10" x14ac:dyDescent="0.25">
      <c r="B474" t="s">
        <v>2717</v>
      </c>
      <c r="C474" s="16">
        <v>30042069</v>
      </c>
      <c r="D474" s="16"/>
      <c r="E474">
        <v>0</v>
      </c>
      <c r="F474">
        <v>17</v>
      </c>
      <c r="G474">
        <v>0</v>
      </c>
      <c r="H474">
        <v>9.9</v>
      </c>
      <c r="I474">
        <v>2.1</v>
      </c>
      <c r="J474">
        <v>8</v>
      </c>
    </row>
    <row r="475" spans="2:10" x14ac:dyDescent="0.25">
      <c r="B475" t="s">
        <v>2723</v>
      </c>
      <c r="C475" s="16">
        <v>30042069</v>
      </c>
      <c r="D475" s="16"/>
      <c r="E475">
        <v>0</v>
      </c>
      <c r="F475">
        <v>17</v>
      </c>
      <c r="G475">
        <v>0</v>
      </c>
      <c r="H475">
        <v>9.9</v>
      </c>
      <c r="I475">
        <v>2.1</v>
      </c>
      <c r="J475">
        <v>8</v>
      </c>
    </row>
    <row r="476" spans="2:10" x14ac:dyDescent="0.25">
      <c r="B476" t="s">
        <v>19451</v>
      </c>
      <c r="C476" s="16">
        <v>30042069</v>
      </c>
      <c r="D476" s="16"/>
      <c r="E476">
        <v>0</v>
      </c>
      <c r="F476">
        <v>17</v>
      </c>
      <c r="G476">
        <v>0</v>
      </c>
      <c r="H476">
        <v>9.9</v>
      </c>
      <c r="I476">
        <v>2.1</v>
      </c>
      <c r="J476">
        <v>8</v>
      </c>
    </row>
    <row r="477" spans="2:10" x14ac:dyDescent="0.25">
      <c r="B477" t="s">
        <v>2722</v>
      </c>
      <c r="C477" s="16">
        <v>30042069</v>
      </c>
      <c r="D477" s="16"/>
      <c r="E477">
        <v>0</v>
      </c>
      <c r="F477">
        <v>17</v>
      </c>
      <c r="G477">
        <v>0</v>
      </c>
      <c r="H477">
        <v>9.9</v>
      </c>
      <c r="I477">
        <v>2.1</v>
      </c>
      <c r="J477">
        <v>8</v>
      </c>
    </row>
    <row r="478" spans="2:10" x14ac:dyDescent="0.25">
      <c r="B478" t="s">
        <v>19452</v>
      </c>
      <c r="C478" s="16">
        <v>30042069</v>
      </c>
      <c r="D478" s="16"/>
      <c r="E478">
        <v>0</v>
      </c>
      <c r="F478">
        <v>17</v>
      </c>
      <c r="G478">
        <v>0</v>
      </c>
      <c r="H478">
        <v>9.9</v>
      </c>
      <c r="I478">
        <v>2.1</v>
      </c>
      <c r="J478">
        <v>8</v>
      </c>
    </row>
    <row r="479" spans="2:10" x14ac:dyDescent="0.25">
      <c r="B479" t="s">
        <v>2710</v>
      </c>
      <c r="C479" s="16">
        <v>30042069</v>
      </c>
      <c r="D479" s="16"/>
      <c r="E479">
        <v>0</v>
      </c>
      <c r="F479">
        <v>12</v>
      </c>
      <c r="G479">
        <v>0</v>
      </c>
      <c r="H479">
        <v>9.9</v>
      </c>
      <c r="I479">
        <v>2.1</v>
      </c>
      <c r="J479">
        <v>8</v>
      </c>
    </row>
    <row r="480" spans="2:10" x14ac:dyDescent="0.25">
      <c r="B480" t="s">
        <v>2713</v>
      </c>
      <c r="C480" s="16">
        <v>30042069</v>
      </c>
      <c r="D480" s="16"/>
      <c r="E480">
        <v>0</v>
      </c>
      <c r="F480">
        <v>19</v>
      </c>
      <c r="G480">
        <v>0</v>
      </c>
      <c r="H480">
        <v>9.9</v>
      </c>
      <c r="I480">
        <v>2.1</v>
      </c>
      <c r="J480">
        <v>8</v>
      </c>
    </row>
    <row r="481" spans="2:10" x14ac:dyDescent="0.25">
      <c r="B481" t="s">
        <v>19453</v>
      </c>
      <c r="C481" s="16">
        <v>30042069</v>
      </c>
      <c r="D481" s="16"/>
      <c r="E481">
        <v>0</v>
      </c>
      <c r="F481">
        <v>17</v>
      </c>
      <c r="G481">
        <v>0</v>
      </c>
      <c r="H481">
        <v>9.9</v>
      </c>
      <c r="I481">
        <v>2.1</v>
      </c>
      <c r="J481">
        <v>8</v>
      </c>
    </row>
    <row r="482" spans="2:10" x14ac:dyDescent="0.25">
      <c r="B482" t="s">
        <v>19454</v>
      </c>
      <c r="C482" s="16">
        <v>30042069</v>
      </c>
      <c r="D482" s="16"/>
      <c r="E482">
        <v>0</v>
      </c>
      <c r="F482">
        <v>17</v>
      </c>
      <c r="G482">
        <v>0</v>
      </c>
      <c r="H482">
        <v>9.9</v>
      </c>
      <c r="I482">
        <v>2.1</v>
      </c>
      <c r="J482">
        <v>8</v>
      </c>
    </row>
    <row r="483" spans="2:10" x14ac:dyDescent="0.25">
      <c r="B483" t="s">
        <v>19455</v>
      </c>
      <c r="C483" s="16">
        <v>30042069</v>
      </c>
      <c r="D483" s="16"/>
      <c r="E483">
        <v>0</v>
      </c>
      <c r="F483">
        <v>17</v>
      </c>
      <c r="G483">
        <v>0</v>
      </c>
      <c r="H483">
        <v>9.9</v>
      </c>
      <c r="I483">
        <v>2.1</v>
      </c>
      <c r="J483">
        <v>8</v>
      </c>
    </row>
    <row r="484" spans="2:10" x14ac:dyDescent="0.25">
      <c r="B484" t="s">
        <v>2712</v>
      </c>
      <c r="C484" s="16">
        <v>30042069</v>
      </c>
      <c r="D484" s="16"/>
      <c r="E484">
        <v>0</v>
      </c>
      <c r="F484">
        <v>17</v>
      </c>
      <c r="G484">
        <v>0</v>
      </c>
      <c r="H484">
        <v>9.9</v>
      </c>
      <c r="I484">
        <v>2.1</v>
      </c>
      <c r="J484">
        <v>8</v>
      </c>
    </row>
    <row r="485" spans="2:10" x14ac:dyDescent="0.25">
      <c r="B485" t="s">
        <v>2711</v>
      </c>
      <c r="C485" s="16">
        <v>30042069</v>
      </c>
      <c r="D485" s="16"/>
      <c r="E485">
        <v>0</v>
      </c>
      <c r="F485">
        <v>17</v>
      </c>
      <c r="G485">
        <v>0</v>
      </c>
      <c r="H485">
        <v>9.9</v>
      </c>
      <c r="I485">
        <v>2.1</v>
      </c>
      <c r="J485">
        <v>8</v>
      </c>
    </row>
    <row r="486" spans="2:10" x14ac:dyDescent="0.25">
      <c r="B486" t="s">
        <v>19456</v>
      </c>
      <c r="C486" s="16">
        <v>30042069</v>
      </c>
      <c r="D486" s="16"/>
      <c r="E486">
        <v>0</v>
      </c>
      <c r="F486">
        <v>17</v>
      </c>
      <c r="G486">
        <v>0</v>
      </c>
      <c r="H486">
        <v>9.9</v>
      </c>
      <c r="I486">
        <v>2.1</v>
      </c>
      <c r="J486">
        <v>8</v>
      </c>
    </row>
    <row r="487" spans="2:10" x14ac:dyDescent="0.25">
      <c r="B487" t="s">
        <v>2709</v>
      </c>
      <c r="C487" s="16">
        <v>30042069</v>
      </c>
      <c r="D487" s="16"/>
      <c r="E487">
        <v>0</v>
      </c>
      <c r="F487">
        <v>18</v>
      </c>
      <c r="G487">
        <v>0</v>
      </c>
      <c r="H487">
        <v>9.9</v>
      </c>
      <c r="I487">
        <v>2.1</v>
      </c>
      <c r="J487">
        <v>8</v>
      </c>
    </row>
    <row r="488" spans="2:10" x14ac:dyDescent="0.25">
      <c r="B488" t="s">
        <v>19457</v>
      </c>
      <c r="C488" s="16">
        <v>30042069</v>
      </c>
      <c r="D488" s="16"/>
      <c r="E488">
        <v>0</v>
      </c>
      <c r="F488">
        <v>17</v>
      </c>
      <c r="G488">
        <v>0</v>
      </c>
      <c r="H488">
        <v>9.9</v>
      </c>
      <c r="I488">
        <v>2.1</v>
      </c>
      <c r="J488">
        <v>8</v>
      </c>
    </row>
    <row r="489" spans="2:10" x14ac:dyDescent="0.25">
      <c r="B489" t="s">
        <v>19446</v>
      </c>
      <c r="C489" s="16">
        <v>30042079</v>
      </c>
      <c r="D489" s="16"/>
      <c r="E489">
        <v>0</v>
      </c>
      <c r="F489">
        <v>17</v>
      </c>
      <c r="G489">
        <v>0</v>
      </c>
      <c r="H489">
        <v>9.9</v>
      </c>
      <c r="I489">
        <v>2.1</v>
      </c>
      <c r="J489">
        <v>8</v>
      </c>
    </row>
    <row r="490" spans="2:10" x14ac:dyDescent="0.25">
      <c r="B490" t="s">
        <v>19448</v>
      </c>
      <c r="C490" s="16">
        <v>30042079</v>
      </c>
      <c r="D490" s="16"/>
      <c r="E490">
        <v>0</v>
      </c>
      <c r="F490">
        <v>17</v>
      </c>
      <c r="G490">
        <v>0</v>
      </c>
      <c r="H490">
        <v>9.9</v>
      </c>
      <c r="I490">
        <v>2.1</v>
      </c>
      <c r="J490">
        <v>8</v>
      </c>
    </row>
    <row r="491" spans="2:10" x14ac:dyDescent="0.25">
      <c r="B491" t="s">
        <v>2724</v>
      </c>
      <c r="C491" s="16">
        <v>30042079</v>
      </c>
      <c r="D491" s="16"/>
      <c r="E491">
        <v>59</v>
      </c>
      <c r="F491">
        <v>17</v>
      </c>
      <c r="G491">
        <v>0</v>
      </c>
      <c r="H491">
        <v>9.9</v>
      </c>
      <c r="I491">
        <v>2.1</v>
      </c>
      <c r="J491">
        <v>8</v>
      </c>
    </row>
    <row r="492" spans="2:10" x14ac:dyDescent="0.25">
      <c r="B492" t="s">
        <v>19449</v>
      </c>
      <c r="C492" s="16">
        <v>30042079</v>
      </c>
      <c r="D492" s="16"/>
      <c r="E492">
        <v>0</v>
      </c>
      <c r="F492">
        <v>17</v>
      </c>
      <c r="G492">
        <v>0</v>
      </c>
      <c r="H492">
        <v>9.9</v>
      </c>
      <c r="I492">
        <v>2.1</v>
      </c>
      <c r="J492">
        <v>8</v>
      </c>
    </row>
    <row r="493" spans="2:10" x14ac:dyDescent="0.25">
      <c r="B493" t="s">
        <v>2720</v>
      </c>
      <c r="C493" s="16">
        <v>30042079</v>
      </c>
      <c r="D493" s="16"/>
      <c r="E493">
        <v>0</v>
      </c>
      <c r="F493">
        <v>17</v>
      </c>
      <c r="G493">
        <v>0</v>
      </c>
      <c r="H493">
        <v>9.9</v>
      </c>
      <c r="I493">
        <v>2.1</v>
      </c>
      <c r="J493">
        <v>8</v>
      </c>
    </row>
    <row r="494" spans="2:10" x14ac:dyDescent="0.25">
      <c r="B494" t="s">
        <v>2721</v>
      </c>
      <c r="C494" s="16">
        <v>30042079</v>
      </c>
      <c r="D494" s="16"/>
      <c r="E494" t="s">
        <v>19447</v>
      </c>
      <c r="F494">
        <v>17</v>
      </c>
      <c r="G494">
        <v>0</v>
      </c>
      <c r="H494">
        <v>9.9</v>
      </c>
      <c r="I494">
        <v>2.1</v>
      </c>
      <c r="J494">
        <v>8</v>
      </c>
    </row>
    <row r="495" spans="2:10" x14ac:dyDescent="0.25">
      <c r="B495" t="s">
        <v>2719</v>
      </c>
      <c r="C495" s="16">
        <v>30042079</v>
      </c>
      <c r="D495" s="16"/>
      <c r="E495">
        <v>0</v>
      </c>
      <c r="F495">
        <v>17</v>
      </c>
      <c r="G495">
        <v>0</v>
      </c>
      <c r="H495">
        <v>9.9</v>
      </c>
      <c r="I495">
        <v>2.1</v>
      </c>
      <c r="J495">
        <v>8</v>
      </c>
    </row>
    <row r="496" spans="2:10" x14ac:dyDescent="0.25">
      <c r="B496" t="s">
        <v>2715</v>
      </c>
      <c r="C496" s="16">
        <v>30042079</v>
      </c>
      <c r="D496" s="16"/>
      <c r="E496">
        <v>0</v>
      </c>
      <c r="F496">
        <v>17</v>
      </c>
      <c r="G496">
        <v>0</v>
      </c>
      <c r="H496">
        <v>9.9</v>
      </c>
      <c r="I496">
        <v>2.1</v>
      </c>
      <c r="J496">
        <v>8</v>
      </c>
    </row>
    <row r="497" spans="2:10" x14ac:dyDescent="0.25">
      <c r="B497" t="s">
        <v>2716</v>
      </c>
      <c r="C497" s="16">
        <v>30042079</v>
      </c>
      <c r="D497" s="16"/>
      <c r="E497" t="s">
        <v>19447</v>
      </c>
      <c r="F497">
        <v>17</v>
      </c>
      <c r="G497">
        <v>0</v>
      </c>
      <c r="H497">
        <v>9.9</v>
      </c>
      <c r="I497">
        <v>2.1</v>
      </c>
      <c r="J497">
        <v>8</v>
      </c>
    </row>
    <row r="498" spans="2:10" x14ac:dyDescent="0.25">
      <c r="B498" t="s">
        <v>19450</v>
      </c>
      <c r="C498" s="16">
        <v>30042079</v>
      </c>
      <c r="D498" s="16"/>
      <c r="E498">
        <v>0</v>
      </c>
      <c r="F498">
        <v>17</v>
      </c>
      <c r="G498">
        <v>0</v>
      </c>
      <c r="H498">
        <v>9.9</v>
      </c>
      <c r="I498">
        <v>2.1</v>
      </c>
      <c r="J498">
        <v>8</v>
      </c>
    </row>
    <row r="499" spans="2:10" x14ac:dyDescent="0.25">
      <c r="B499" t="s">
        <v>2714</v>
      </c>
      <c r="C499" s="16">
        <v>30042079</v>
      </c>
      <c r="D499" s="16"/>
      <c r="E499">
        <v>0</v>
      </c>
      <c r="F499">
        <v>12</v>
      </c>
      <c r="G499">
        <v>0</v>
      </c>
      <c r="H499">
        <v>9.9</v>
      </c>
      <c r="I499">
        <v>2.1</v>
      </c>
      <c r="J499">
        <v>8</v>
      </c>
    </row>
    <row r="500" spans="2:10" x14ac:dyDescent="0.25">
      <c r="B500" t="s">
        <v>2718</v>
      </c>
      <c r="C500" s="16">
        <v>30042079</v>
      </c>
      <c r="D500" s="16"/>
      <c r="E500">
        <v>0</v>
      </c>
      <c r="F500">
        <v>17</v>
      </c>
      <c r="G500">
        <v>0</v>
      </c>
      <c r="H500">
        <v>9.9</v>
      </c>
      <c r="I500">
        <v>2.1</v>
      </c>
      <c r="J500">
        <v>8</v>
      </c>
    </row>
    <row r="501" spans="2:10" x14ac:dyDescent="0.25">
      <c r="B501" t="s">
        <v>2717</v>
      </c>
      <c r="C501" s="16">
        <v>30042079</v>
      </c>
      <c r="D501" s="16"/>
      <c r="E501">
        <v>0</v>
      </c>
      <c r="F501">
        <v>17</v>
      </c>
      <c r="G501">
        <v>0</v>
      </c>
      <c r="H501">
        <v>9.9</v>
      </c>
      <c r="I501">
        <v>2.1</v>
      </c>
      <c r="J501">
        <v>8</v>
      </c>
    </row>
    <row r="502" spans="2:10" x14ac:dyDescent="0.25">
      <c r="B502" t="s">
        <v>2723</v>
      </c>
      <c r="C502" s="16">
        <v>30042079</v>
      </c>
      <c r="D502" s="16"/>
      <c r="E502">
        <v>0</v>
      </c>
      <c r="F502">
        <v>17</v>
      </c>
      <c r="G502">
        <v>0</v>
      </c>
      <c r="H502">
        <v>9.9</v>
      </c>
      <c r="I502">
        <v>2.1</v>
      </c>
      <c r="J502">
        <v>8</v>
      </c>
    </row>
    <row r="503" spans="2:10" x14ac:dyDescent="0.25">
      <c r="B503" t="s">
        <v>19451</v>
      </c>
      <c r="C503" s="16">
        <v>30042079</v>
      </c>
      <c r="D503" s="16"/>
      <c r="E503">
        <v>0</v>
      </c>
      <c r="F503">
        <v>17</v>
      </c>
      <c r="G503">
        <v>0</v>
      </c>
      <c r="H503">
        <v>9.9</v>
      </c>
      <c r="I503">
        <v>2.1</v>
      </c>
      <c r="J503">
        <v>8</v>
      </c>
    </row>
    <row r="504" spans="2:10" x14ac:dyDescent="0.25">
      <c r="B504" t="s">
        <v>2722</v>
      </c>
      <c r="C504" s="16">
        <v>30042079</v>
      </c>
      <c r="D504" s="16"/>
      <c r="E504">
        <v>0</v>
      </c>
      <c r="F504">
        <v>17</v>
      </c>
      <c r="G504">
        <v>0</v>
      </c>
      <c r="H504">
        <v>9.9</v>
      </c>
      <c r="I504">
        <v>2.1</v>
      </c>
      <c r="J504">
        <v>8</v>
      </c>
    </row>
    <row r="505" spans="2:10" x14ac:dyDescent="0.25">
      <c r="B505" t="s">
        <v>19452</v>
      </c>
      <c r="C505" s="16">
        <v>30042079</v>
      </c>
      <c r="D505" s="16"/>
      <c r="E505">
        <v>0</v>
      </c>
      <c r="F505">
        <v>17</v>
      </c>
      <c r="G505">
        <v>0</v>
      </c>
      <c r="H505">
        <v>9.9</v>
      </c>
      <c r="I505">
        <v>2.1</v>
      </c>
      <c r="J505">
        <v>8</v>
      </c>
    </row>
    <row r="506" spans="2:10" x14ac:dyDescent="0.25">
      <c r="B506" t="s">
        <v>2710</v>
      </c>
      <c r="C506" s="16">
        <v>30042079</v>
      </c>
      <c r="D506" s="16"/>
      <c r="E506">
        <v>0</v>
      </c>
      <c r="F506">
        <v>12</v>
      </c>
      <c r="G506">
        <v>0</v>
      </c>
      <c r="H506">
        <v>9.9</v>
      </c>
      <c r="I506">
        <v>2.1</v>
      </c>
      <c r="J506">
        <v>8</v>
      </c>
    </row>
    <row r="507" spans="2:10" x14ac:dyDescent="0.25">
      <c r="B507" t="s">
        <v>2713</v>
      </c>
      <c r="C507" s="16">
        <v>30042079</v>
      </c>
      <c r="D507" s="16"/>
      <c r="E507">
        <v>0</v>
      </c>
      <c r="F507">
        <v>19</v>
      </c>
      <c r="G507">
        <v>0</v>
      </c>
      <c r="H507">
        <v>9.9</v>
      </c>
      <c r="I507">
        <v>2.1</v>
      </c>
      <c r="J507">
        <v>8</v>
      </c>
    </row>
    <row r="508" spans="2:10" x14ac:dyDescent="0.25">
      <c r="B508" t="s">
        <v>19453</v>
      </c>
      <c r="C508" s="16">
        <v>30042079</v>
      </c>
      <c r="D508" s="16"/>
      <c r="E508">
        <v>0</v>
      </c>
      <c r="F508">
        <v>17</v>
      </c>
      <c r="G508">
        <v>0</v>
      </c>
      <c r="H508">
        <v>9.9</v>
      </c>
      <c r="I508">
        <v>2.1</v>
      </c>
      <c r="J508">
        <v>8</v>
      </c>
    </row>
    <row r="509" spans="2:10" x14ac:dyDescent="0.25">
      <c r="B509" t="s">
        <v>19454</v>
      </c>
      <c r="C509" s="16">
        <v>30042079</v>
      </c>
      <c r="D509" s="16"/>
      <c r="E509">
        <v>0</v>
      </c>
      <c r="F509">
        <v>17</v>
      </c>
      <c r="G509">
        <v>0</v>
      </c>
      <c r="H509">
        <v>9.9</v>
      </c>
      <c r="I509">
        <v>2.1</v>
      </c>
      <c r="J509">
        <v>8</v>
      </c>
    </row>
    <row r="510" spans="2:10" x14ac:dyDescent="0.25">
      <c r="B510" t="s">
        <v>19455</v>
      </c>
      <c r="C510" s="16">
        <v>30042079</v>
      </c>
      <c r="D510" s="16"/>
      <c r="E510">
        <v>0</v>
      </c>
      <c r="F510">
        <v>17</v>
      </c>
      <c r="G510">
        <v>0</v>
      </c>
      <c r="H510">
        <v>9.9</v>
      </c>
      <c r="I510">
        <v>2.1</v>
      </c>
      <c r="J510">
        <v>8</v>
      </c>
    </row>
    <row r="511" spans="2:10" x14ac:dyDescent="0.25">
      <c r="B511" t="s">
        <v>2712</v>
      </c>
      <c r="C511" s="16">
        <v>30042079</v>
      </c>
      <c r="D511" s="16"/>
      <c r="E511">
        <v>0</v>
      </c>
      <c r="F511">
        <v>17</v>
      </c>
      <c r="G511">
        <v>0</v>
      </c>
      <c r="H511">
        <v>9.9</v>
      </c>
      <c r="I511">
        <v>2.1</v>
      </c>
      <c r="J511">
        <v>8</v>
      </c>
    </row>
    <row r="512" spans="2:10" x14ac:dyDescent="0.25">
      <c r="B512" t="s">
        <v>2711</v>
      </c>
      <c r="C512" s="16">
        <v>30042079</v>
      </c>
      <c r="D512" s="16"/>
      <c r="E512">
        <v>0</v>
      </c>
      <c r="F512">
        <v>17</v>
      </c>
      <c r="G512">
        <v>0</v>
      </c>
      <c r="H512">
        <v>9.9</v>
      </c>
      <c r="I512">
        <v>2.1</v>
      </c>
      <c r="J512">
        <v>8</v>
      </c>
    </row>
    <row r="513" spans="2:10" x14ac:dyDescent="0.25">
      <c r="B513" t="s">
        <v>19456</v>
      </c>
      <c r="C513" s="16">
        <v>30042079</v>
      </c>
      <c r="D513" s="16"/>
      <c r="E513">
        <v>0</v>
      </c>
      <c r="F513">
        <v>17</v>
      </c>
      <c r="G513">
        <v>0</v>
      </c>
      <c r="H513">
        <v>9.9</v>
      </c>
      <c r="I513">
        <v>2.1</v>
      </c>
      <c r="J513">
        <v>8</v>
      </c>
    </row>
    <row r="514" spans="2:10" x14ac:dyDescent="0.25">
      <c r="B514" t="s">
        <v>2709</v>
      </c>
      <c r="C514" s="16">
        <v>30042079</v>
      </c>
      <c r="D514" s="16"/>
      <c r="E514">
        <v>0</v>
      </c>
      <c r="F514">
        <v>18</v>
      </c>
      <c r="G514">
        <v>0</v>
      </c>
      <c r="H514">
        <v>9.9</v>
      </c>
      <c r="I514">
        <v>2.1</v>
      </c>
      <c r="J514">
        <v>8</v>
      </c>
    </row>
    <row r="515" spans="2:10" x14ac:dyDescent="0.25">
      <c r="B515" t="s">
        <v>19457</v>
      </c>
      <c r="C515" s="16">
        <v>30042079</v>
      </c>
      <c r="D515" s="16"/>
      <c r="E515">
        <v>0</v>
      </c>
      <c r="F515">
        <v>17</v>
      </c>
      <c r="G515">
        <v>0</v>
      </c>
      <c r="H515">
        <v>9.9</v>
      </c>
      <c r="I515">
        <v>2.1</v>
      </c>
      <c r="J515">
        <v>8</v>
      </c>
    </row>
    <row r="516" spans="2:10" x14ac:dyDescent="0.25">
      <c r="B516" t="s">
        <v>19446</v>
      </c>
      <c r="C516" s="16">
        <v>30042099</v>
      </c>
      <c r="D516" s="16"/>
      <c r="E516">
        <v>0</v>
      </c>
      <c r="F516">
        <v>17</v>
      </c>
      <c r="G516">
        <v>0</v>
      </c>
      <c r="H516">
        <v>9.9</v>
      </c>
      <c r="I516">
        <v>2.1</v>
      </c>
      <c r="J516">
        <v>8</v>
      </c>
    </row>
    <row r="517" spans="2:10" x14ac:dyDescent="0.25">
      <c r="B517" t="s">
        <v>19448</v>
      </c>
      <c r="C517" s="16">
        <v>30042099</v>
      </c>
      <c r="D517" s="16"/>
      <c r="E517">
        <v>0</v>
      </c>
      <c r="F517">
        <v>17</v>
      </c>
      <c r="G517">
        <v>0</v>
      </c>
      <c r="H517">
        <v>9.9</v>
      </c>
      <c r="I517">
        <v>2.1</v>
      </c>
      <c r="J517">
        <v>8</v>
      </c>
    </row>
    <row r="518" spans="2:10" x14ac:dyDescent="0.25">
      <c r="B518" t="s">
        <v>2724</v>
      </c>
      <c r="C518" s="16">
        <v>30042099</v>
      </c>
      <c r="D518" s="16"/>
      <c r="E518">
        <v>59</v>
      </c>
      <c r="F518">
        <v>17</v>
      </c>
      <c r="G518">
        <v>0</v>
      </c>
      <c r="H518">
        <v>9.9</v>
      </c>
      <c r="I518">
        <v>2.1</v>
      </c>
      <c r="J518">
        <v>8</v>
      </c>
    </row>
    <row r="519" spans="2:10" x14ac:dyDescent="0.25">
      <c r="B519" t="s">
        <v>19449</v>
      </c>
      <c r="C519" s="16">
        <v>30042099</v>
      </c>
      <c r="D519" s="16"/>
      <c r="E519">
        <v>0</v>
      </c>
      <c r="F519">
        <v>17</v>
      </c>
      <c r="G519">
        <v>0</v>
      </c>
      <c r="H519">
        <v>9.9</v>
      </c>
      <c r="I519">
        <v>2.1</v>
      </c>
      <c r="J519">
        <v>8</v>
      </c>
    </row>
    <row r="520" spans="2:10" x14ac:dyDescent="0.25">
      <c r="B520" t="s">
        <v>2720</v>
      </c>
      <c r="C520" s="16">
        <v>30042099</v>
      </c>
      <c r="D520" s="16"/>
      <c r="E520">
        <v>0</v>
      </c>
      <c r="F520">
        <v>17</v>
      </c>
      <c r="G520">
        <v>0</v>
      </c>
      <c r="H520">
        <v>9.9</v>
      </c>
      <c r="I520">
        <v>2.1</v>
      </c>
      <c r="J520">
        <v>8</v>
      </c>
    </row>
    <row r="521" spans="2:10" x14ac:dyDescent="0.25">
      <c r="B521" t="s">
        <v>2721</v>
      </c>
      <c r="C521" s="16">
        <v>30042099</v>
      </c>
      <c r="D521" s="16"/>
      <c r="E521" t="s">
        <v>19447</v>
      </c>
      <c r="F521">
        <v>17</v>
      </c>
      <c r="G521">
        <v>0</v>
      </c>
      <c r="H521">
        <v>9.9</v>
      </c>
      <c r="I521">
        <v>2.1</v>
      </c>
      <c r="J521">
        <v>8</v>
      </c>
    </row>
    <row r="522" spans="2:10" x14ac:dyDescent="0.25">
      <c r="B522" t="s">
        <v>2719</v>
      </c>
      <c r="C522" s="16">
        <v>30042099</v>
      </c>
      <c r="D522" s="16"/>
      <c r="E522">
        <v>0</v>
      </c>
      <c r="F522">
        <v>17</v>
      </c>
      <c r="G522">
        <v>0</v>
      </c>
      <c r="H522">
        <v>9.9</v>
      </c>
      <c r="I522">
        <v>2.1</v>
      </c>
      <c r="J522">
        <v>8</v>
      </c>
    </row>
    <row r="523" spans="2:10" x14ac:dyDescent="0.25">
      <c r="B523" t="s">
        <v>2715</v>
      </c>
      <c r="C523" s="16">
        <v>30042099</v>
      </c>
      <c r="D523" s="16"/>
      <c r="E523">
        <v>0</v>
      </c>
      <c r="F523">
        <v>17</v>
      </c>
      <c r="G523">
        <v>0</v>
      </c>
      <c r="H523">
        <v>9.9</v>
      </c>
      <c r="I523">
        <v>2.1</v>
      </c>
      <c r="J523">
        <v>8</v>
      </c>
    </row>
    <row r="524" spans="2:10" x14ac:dyDescent="0.25">
      <c r="B524" t="s">
        <v>2716</v>
      </c>
      <c r="C524" s="16">
        <v>30042099</v>
      </c>
      <c r="D524" s="16"/>
      <c r="E524" t="s">
        <v>19447</v>
      </c>
      <c r="F524">
        <v>17</v>
      </c>
      <c r="G524">
        <v>0</v>
      </c>
      <c r="H524">
        <v>9.9</v>
      </c>
      <c r="I524">
        <v>2.1</v>
      </c>
      <c r="J524">
        <v>8</v>
      </c>
    </row>
    <row r="525" spans="2:10" x14ac:dyDescent="0.25">
      <c r="B525" t="s">
        <v>19450</v>
      </c>
      <c r="C525" s="16">
        <v>30042099</v>
      </c>
      <c r="D525" s="16"/>
      <c r="E525">
        <v>0</v>
      </c>
      <c r="F525">
        <v>17</v>
      </c>
      <c r="G525">
        <v>0</v>
      </c>
      <c r="H525">
        <v>9.9</v>
      </c>
      <c r="I525">
        <v>2.1</v>
      </c>
      <c r="J525">
        <v>8</v>
      </c>
    </row>
    <row r="526" spans="2:10" x14ac:dyDescent="0.25">
      <c r="B526" t="s">
        <v>2714</v>
      </c>
      <c r="C526" s="16">
        <v>30042099</v>
      </c>
      <c r="D526" s="16"/>
      <c r="E526">
        <v>0</v>
      </c>
      <c r="F526">
        <v>12</v>
      </c>
      <c r="G526">
        <v>0</v>
      </c>
      <c r="H526">
        <v>9.9</v>
      </c>
      <c r="I526">
        <v>2.1</v>
      </c>
      <c r="J526">
        <v>8</v>
      </c>
    </row>
    <row r="527" spans="2:10" x14ac:dyDescent="0.25">
      <c r="B527" t="s">
        <v>2718</v>
      </c>
      <c r="C527" s="16">
        <v>30042099</v>
      </c>
      <c r="D527" s="16"/>
      <c r="E527">
        <v>0</v>
      </c>
      <c r="F527">
        <v>17</v>
      </c>
      <c r="G527">
        <v>0</v>
      </c>
      <c r="H527">
        <v>9.9</v>
      </c>
      <c r="I527">
        <v>2.1</v>
      </c>
      <c r="J527">
        <v>8</v>
      </c>
    </row>
    <row r="528" spans="2:10" x14ac:dyDescent="0.25">
      <c r="B528" t="s">
        <v>2717</v>
      </c>
      <c r="C528" s="16">
        <v>30042099</v>
      </c>
      <c r="D528" s="16"/>
      <c r="E528">
        <v>0</v>
      </c>
      <c r="F528">
        <v>17</v>
      </c>
      <c r="G528">
        <v>0</v>
      </c>
      <c r="H528">
        <v>9.9</v>
      </c>
      <c r="I528">
        <v>2.1</v>
      </c>
      <c r="J528">
        <v>8</v>
      </c>
    </row>
    <row r="529" spans="2:10" x14ac:dyDescent="0.25">
      <c r="B529" t="s">
        <v>2723</v>
      </c>
      <c r="C529" s="16">
        <v>30042099</v>
      </c>
      <c r="D529" s="16"/>
      <c r="E529">
        <v>0</v>
      </c>
      <c r="F529">
        <v>17</v>
      </c>
      <c r="G529">
        <v>0</v>
      </c>
      <c r="H529">
        <v>9.9</v>
      </c>
      <c r="I529">
        <v>2.1</v>
      </c>
      <c r="J529">
        <v>8</v>
      </c>
    </row>
    <row r="530" spans="2:10" x14ac:dyDescent="0.25">
      <c r="B530" t="s">
        <v>19451</v>
      </c>
      <c r="C530" s="16">
        <v>30042099</v>
      </c>
      <c r="D530" s="16"/>
      <c r="E530">
        <v>0</v>
      </c>
      <c r="F530">
        <v>17</v>
      </c>
      <c r="G530">
        <v>0</v>
      </c>
      <c r="H530">
        <v>9.9</v>
      </c>
      <c r="I530">
        <v>2.1</v>
      </c>
      <c r="J530">
        <v>8</v>
      </c>
    </row>
    <row r="531" spans="2:10" x14ac:dyDescent="0.25">
      <c r="B531" t="s">
        <v>2722</v>
      </c>
      <c r="C531" s="16">
        <v>30042099</v>
      </c>
      <c r="D531" s="16"/>
      <c r="E531">
        <v>0</v>
      </c>
      <c r="F531">
        <v>17</v>
      </c>
      <c r="G531">
        <v>0</v>
      </c>
      <c r="H531">
        <v>9.9</v>
      </c>
      <c r="I531">
        <v>2.1</v>
      </c>
      <c r="J531">
        <v>8</v>
      </c>
    </row>
    <row r="532" spans="2:10" x14ac:dyDescent="0.25">
      <c r="B532" t="s">
        <v>19452</v>
      </c>
      <c r="C532" s="16">
        <v>30042099</v>
      </c>
      <c r="D532" s="16"/>
      <c r="E532">
        <v>0</v>
      </c>
      <c r="F532">
        <v>17</v>
      </c>
      <c r="G532">
        <v>0</v>
      </c>
      <c r="H532">
        <v>9.9</v>
      </c>
      <c r="I532">
        <v>2.1</v>
      </c>
      <c r="J532">
        <v>8</v>
      </c>
    </row>
    <row r="533" spans="2:10" x14ac:dyDescent="0.25">
      <c r="B533" t="s">
        <v>2710</v>
      </c>
      <c r="C533" s="16">
        <v>30042099</v>
      </c>
      <c r="D533" s="16"/>
      <c r="E533">
        <v>0</v>
      </c>
      <c r="F533">
        <v>12</v>
      </c>
      <c r="G533">
        <v>0</v>
      </c>
      <c r="H533">
        <v>9.9</v>
      </c>
      <c r="I533">
        <v>2.1</v>
      </c>
      <c r="J533">
        <v>8</v>
      </c>
    </row>
    <row r="534" spans="2:10" x14ac:dyDescent="0.25">
      <c r="B534" t="s">
        <v>2713</v>
      </c>
      <c r="C534" s="16">
        <v>30042099</v>
      </c>
      <c r="D534" s="16"/>
      <c r="E534">
        <v>0</v>
      </c>
      <c r="F534">
        <v>19</v>
      </c>
      <c r="G534">
        <v>0</v>
      </c>
      <c r="H534">
        <v>9.9</v>
      </c>
      <c r="I534">
        <v>2.1</v>
      </c>
      <c r="J534">
        <v>8</v>
      </c>
    </row>
    <row r="535" spans="2:10" x14ac:dyDescent="0.25">
      <c r="B535" t="s">
        <v>19453</v>
      </c>
      <c r="C535" s="16">
        <v>30042099</v>
      </c>
      <c r="D535" s="16"/>
      <c r="E535">
        <v>0</v>
      </c>
      <c r="F535">
        <v>17</v>
      </c>
      <c r="G535">
        <v>0</v>
      </c>
      <c r="H535">
        <v>9.9</v>
      </c>
      <c r="I535">
        <v>2.1</v>
      </c>
      <c r="J535">
        <v>8</v>
      </c>
    </row>
    <row r="536" spans="2:10" x14ac:dyDescent="0.25">
      <c r="B536" t="s">
        <v>19454</v>
      </c>
      <c r="C536" s="16">
        <v>30042099</v>
      </c>
      <c r="D536" s="16"/>
      <c r="E536">
        <v>0</v>
      </c>
      <c r="F536">
        <v>17</v>
      </c>
      <c r="G536">
        <v>0</v>
      </c>
      <c r="H536">
        <v>9.9</v>
      </c>
      <c r="I536">
        <v>2.1</v>
      </c>
      <c r="J536">
        <v>8</v>
      </c>
    </row>
    <row r="537" spans="2:10" x14ac:dyDescent="0.25">
      <c r="B537" t="s">
        <v>19455</v>
      </c>
      <c r="C537" s="16">
        <v>30042099</v>
      </c>
      <c r="D537" s="16"/>
      <c r="E537">
        <v>0</v>
      </c>
      <c r="F537">
        <v>17</v>
      </c>
      <c r="G537">
        <v>0</v>
      </c>
      <c r="H537">
        <v>9.9</v>
      </c>
      <c r="I537">
        <v>2.1</v>
      </c>
      <c r="J537">
        <v>8</v>
      </c>
    </row>
    <row r="538" spans="2:10" x14ac:dyDescent="0.25">
      <c r="B538" t="s">
        <v>2712</v>
      </c>
      <c r="C538" s="16">
        <v>30042099</v>
      </c>
      <c r="D538" s="16"/>
      <c r="E538">
        <v>0</v>
      </c>
      <c r="F538">
        <v>17</v>
      </c>
      <c r="G538">
        <v>0</v>
      </c>
      <c r="H538">
        <v>9.9</v>
      </c>
      <c r="I538">
        <v>2.1</v>
      </c>
      <c r="J538">
        <v>8</v>
      </c>
    </row>
    <row r="539" spans="2:10" x14ac:dyDescent="0.25">
      <c r="B539" t="s">
        <v>2711</v>
      </c>
      <c r="C539" s="16">
        <v>30042099</v>
      </c>
      <c r="D539" s="16"/>
      <c r="E539">
        <v>0</v>
      </c>
      <c r="F539">
        <v>17</v>
      </c>
      <c r="G539">
        <v>0</v>
      </c>
      <c r="H539">
        <v>9.9</v>
      </c>
      <c r="I539">
        <v>2.1</v>
      </c>
      <c r="J539">
        <v>8</v>
      </c>
    </row>
    <row r="540" spans="2:10" x14ac:dyDescent="0.25">
      <c r="B540" t="s">
        <v>19456</v>
      </c>
      <c r="C540" s="16">
        <v>30042099</v>
      </c>
      <c r="D540" s="16"/>
      <c r="E540">
        <v>0</v>
      </c>
      <c r="F540">
        <v>17</v>
      </c>
      <c r="G540">
        <v>0</v>
      </c>
      <c r="H540">
        <v>9.9</v>
      </c>
      <c r="I540">
        <v>2.1</v>
      </c>
      <c r="J540">
        <v>8</v>
      </c>
    </row>
    <row r="541" spans="2:10" x14ac:dyDescent="0.25">
      <c r="B541" t="s">
        <v>2709</v>
      </c>
      <c r="C541" s="16">
        <v>30042099</v>
      </c>
      <c r="D541" s="16"/>
      <c r="E541">
        <v>0</v>
      </c>
      <c r="F541">
        <v>18</v>
      </c>
      <c r="G541">
        <v>0</v>
      </c>
      <c r="H541">
        <v>9.9</v>
      </c>
      <c r="I541">
        <v>2.1</v>
      </c>
      <c r="J541">
        <v>8</v>
      </c>
    </row>
    <row r="542" spans="2:10" x14ac:dyDescent="0.25">
      <c r="B542" t="s">
        <v>19457</v>
      </c>
      <c r="C542" s="16">
        <v>30042099</v>
      </c>
      <c r="D542" s="16"/>
      <c r="E542">
        <v>0</v>
      </c>
      <c r="F542">
        <v>17</v>
      </c>
      <c r="G542">
        <v>0</v>
      </c>
      <c r="H542">
        <v>9.9</v>
      </c>
      <c r="I542">
        <v>2.1</v>
      </c>
      <c r="J542">
        <v>8</v>
      </c>
    </row>
    <row r="543" spans="2:10" x14ac:dyDescent="0.25">
      <c r="B543" t="s">
        <v>19446</v>
      </c>
      <c r="C543" s="16">
        <v>30043100</v>
      </c>
      <c r="D543" s="16"/>
      <c r="E543">
        <v>0</v>
      </c>
      <c r="F543">
        <v>17</v>
      </c>
      <c r="G543">
        <v>0</v>
      </c>
      <c r="H543">
        <v>9.9</v>
      </c>
      <c r="I543">
        <v>2.1</v>
      </c>
      <c r="J543">
        <v>14</v>
      </c>
    </row>
    <row r="544" spans="2:10" x14ac:dyDescent="0.25">
      <c r="B544" t="s">
        <v>19448</v>
      </c>
      <c r="C544" s="16">
        <v>30043100</v>
      </c>
      <c r="D544" s="16"/>
      <c r="E544">
        <v>0</v>
      </c>
      <c r="F544">
        <v>17</v>
      </c>
      <c r="G544">
        <v>0</v>
      </c>
      <c r="H544">
        <v>9.9</v>
      </c>
      <c r="I544">
        <v>2.1</v>
      </c>
      <c r="J544">
        <v>14</v>
      </c>
    </row>
    <row r="545" spans="2:10" x14ac:dyDescent="0.25">
      <c r="B545" t="s">
        <v>2724</v>
      </c>
      <c r="C545" s="16">
        <v>30043100</v>
      </c>
      <c r="D545" s="16"/>
      <c r="E545">
        <v>59</v>
      </c>
      <c r="F545">
        <v>17</v>
      </c>
      <c r="G545">
        <v>0</v>
      </c>
      <c r="H545">
        <v>9.9</v>
      </c>
      <c r="I545">
        <v>2.1</v>
      </c>
      <c r="J545">
        <v>14</v>
      </c>
    </row>
    <row r="546" spans="2:10" x14ac:dyDescent="0.25">
      <c r="B546" t="s">
        <v>19449</v>
      </c>
      <c r="C546" s="16">
        <v>30043100</v>
      </c>
      <c r="D546" s="16"/>
      <c r="E546">
        <v>0</v>
      </c>
      <c r="F546">
        <v>17</v>
      </c>
      <c r="G546">
        <v>0</v>
      </c>
      <c r="H546">
        <v>9.9</v>
      </c>
      <c r="I546">
        <v>2.1</v>
      </c>
      <c r="J546">
        <v>14</v>
      </c>
    </row>
    <row r="547" spans="2:10" x14ac:dyDescent="0.25">
      <c r="B547" t="s">
        <v>2720</v>
      </c>
      <c r="C547" s="16">
        <v>30043100</v>
      </c>
      <c r="D547" s="16"/>
      <c r="E547">
        <v>0</v>
      </c>
      <c r="F547">
        <v>17</v>
      </c>
      <c r="G547">
        <v>0</v>
      </c>
      <c r="H547">
        <v>9.9</v>
      </c>
      <c r="I547">
        <v>2.1</v>
      </c>
      <c r="J547">
        <v>14</v>
      </c>
    </row>
    <row r="548" spans="2:10" x14ac:dyDescent="0.25">
      <c r="B548" t="s">
        <v>2721</v>
      </c>
      <c r="C548" s="16">
        <v>30043100</v>
      </c>
      <c r="D548" s="16"/>
      <c r="E548" t="s">
        <v>19447</v>
      </c>
      <c r="F548">
        <v>17</v>
      </c>
      <c r="G548">
        <v>0</v>
      </c>
      <c r="H548">
        <v>9.9</v>
      </c>
      <c r="I548">
        <v>2.1</v>
      </c>
      <c r="J548">
        <v>14</v>
      </c>
    </row>
    <row r="549" spans="2:10" x14ac:dyDescent="0.25">
      <c r="B549" t="s">
        <v>2719</v>
      </c>
      <c r="C549" s="16">
        <v>30043100</v>
      </c>
      <c r="D549" s="16"/>
      <c r="E549">
        <v>0</v>
      </c>
      <c r="F549">
        <v>17</v>
      </c>
      <c r="G549">
        <v>0</v>
      </c>
      <c r="H549">
        <v>9.9</v>
      </c>
      <c r="I549">
        <v>2.1</v>
      </c>
      <c r="J549">
        <v>14</v>
      </c>
    </row>
    <row r="550" spans="2:10" x14ac:dyDescent="0.25">
      <c r="B550" t="s">
        <v>2715</v>
      </c>
      <c r="C550" s="16">
        <v>30043100</v>
      </c>
      <c r="D550" s="16"/>
      <c r="E550">
        <v>0</v>
      </c>
      <c r="F550">
        <v>17</v>
      </c>
      <c r="G550">
        <v>0</v>
      </c>
      <c r="H550">
        <v>9.9</v>
      </c>
      <c r="I550">
        <v>2.1</v>
      </c>
      <c r="J550">
        <v>14</v>
      </c>
    </row>
    <row r="551" spans="2:10" x14ac:dyDescent="0.25">
      <c r="B551" t="s">
        <v>2716</v>
      </c>
      <c r="C551" s="16">
        <v>30043100</v>
      </c>
      <c r="D551" s="16"/>
      <c r="E551" t="s">
        <v>19447</v>
      </c>
      <c r="F551">
        <v>17</v>
      </c>
      <c r="G551">
        <v>0</v>
      </c>
      <c r="H551">
        <v>9.9</v>
      </c>
      <c r="I551">
        <v>2.1</v>
      </c>
      <c r="J551">
        <v>14</v>
      </c>
    </row>
    <row r="552" spans="2:10" x14ac:dyDescent="0.25">
      <c r="B552" t="s">
        <v>19450</v>
      </c>
      <c r="C552" s="16">
        <v>30043100</v>
      </c>
      <c r="D552" s="16"/>
      <c r="E552">
        <v>0</v>
      </c>
      <c r="F552">
        <v>17</v>
      </c>
      <c r="G552">
        <v>0</v>
      </c>
      <c r="H552">
        <v>9.9</v>
      </c>
      <c r="I552">
        <v>2.1</v>
      </c>
      <c r="J552">
        <v>14</v>
      </c>
    </row>
    <row r="553" spans="2:10" x14ac:dyDescent="0.25">
      <c r="B553" t="s">
        <v>2714</v>
      </c>
      <c r="C553" s="16">
        <v>30043100</v>
      </c>
      <c r="D553" s="16"/>
      <c r="E553">
        <v>0</v>
      </c>
      <c r="F553">
        <v>12</v>
      </c>
      <c r="G553">
        <v>0</v>
      </c>
      <c r="H553">
        <v>9.9</v>
      </c>
      <c r="I553">
        <v>2.1</v>
      </c>
      <c r="J553">
        <v>14</v>
      </c>
    </row>
    <row r="554" spans="2:10" x14ac:dyDescent="0.25">
      <c r="B554" t="s">
        <v>2718</v>
      </c>
      <c r="C554" s="16">
        <v>30043100</v>
      </c>
      <c r="D554" s="16"/>
      <c r="E554">
        <v>0</v>
      </c>
      <c r="F554">
        <v>17</v>
      </c>
      <c r="G554">
        <v>0</v>
      </c>
      <c r="H554">
        <v>9.9</v>
      </c>
      <c r="I554">
        <v>2.1</v>
      </c>
      <c r="J554">
        <v>14</v>
      </c>
    </row>
    <row r="555" spans="2:10" x14ac:dyDescent="0.25">
      <c r="B555" t="s">
        <v>2717</v>
      </c>
      <c r="C555" s="16">
        <v>30043100</v>
      </c>
      <c r="D555" s="16"/>
      <c r="E555">
        <v>0</v>
      </c>
      <c r="F555">
        <v>17</v>
      </c>
      <c r="G555">
        <v>0</v>
      </c>
      <c r="H555">
        <v>9.9</v>
      </c>
      <c r="I555">
        <v>2.1</v>
      </c>
      <c r="J555">
        <v>14</v>
      </c>
    </row>
    <row r="556" spans="2:10" x14ac:dyDescent="0.25">
      <c r="B556" t="s">
        <v>2723</v>
      </c>
      <c r="C556" s="16">
        <v>30043100</v>
      </c>
      <c r="D556" s="16"/>
      <c r="E556">
        <v>0</v>
      </c>
      <c r="F556">
        <v>17</v>
      </c>
      <c r="G556">
        <v>0</v>
      </c>
      <c r="H556">
        <v>9.9</v>
      </c>
      <c r="I556">
        <v>2.1</v>
      </c>
      <c r="J556">
        <v>14</v>
      </c>
    </row>
    <row r="557" spans="2:10" x14ac:dyDescent="0.25">
      <c r="B557" t="s">
        <v>19451</v>
      </c>
      <c r="C557" s="16">
        <v>30043100</v>
      </c>
      <c r="D557" s="16"/>
      <c r="E557">
        <v>0</v>
      </c>
      <c r="F557">
        <v>17</v>
      </c>
      <c r="G557">
        <v>0</v>
      </c>
      <c r="H557">
        <v>9.9</v>
      </c>
      <c r="I557">
        <v>2.1</v>
      </c>
      <c r="J557">
        <v>14</v>
      </c>
    </row>
    <row r="558" spans="2:10" x14ac:dyDescent="0.25">
      <c r="B558" t="s">
        <v>2722</v>
      </c>
      <c r="C558" s="16">
        <v>30043100</v>
      </c>
      <c r="D558" s="16"/>
      <c r="E558">
        <v>0</v>
      </c>
      <c r="F558">
        <v>17</v>
      </c>
      <c r="G558">
        <v>0</v>
      </c>
      <c r="H558">
        <v>9.9</v>
      </c>
      <c r="I558">
        <v>2.1</v>
      </c>
      <c r="J558">
        <v>14</v>
      </c>
    </row>
    <row r="559" spans="2:10" x14ac:dyDescent="0.25">
      <c r="B559" t="s">
        <v>19452</v>
      </c>
      <c r="C559" s="16">
        <v>30043100</v>
      </c>
      <c r="D559" s="16"/>
      <c r="E559">
        <v>0</v>
      </c>
      <c r="F559">
        <v>17</v>
      </c>
      <c r="G559">
        <v>0</v>
      </c>
      <c r="H559">
        <v>9.9</v>
      </c>
      <c r="I559">
        <v>2.1</v>
      </c>
      <c r="J559">
        <v>14</v>
      </c>
    </row>
    <row r="560" spans="2:10" x14ac:dyDescent="0.25">
      <c r="B560" t="s">
        <v>2710</v>
      </c>
      <c r="C560" s="16">
        <v>30043100</v>
      </c>
      <c r="D560" s="16"/>
      <c r="E560">
        <v>0</v>
      </c>
      <c r="F560">
        <v>12</v>
      </c>
      <c r="G560">
        <v>0</v>
      </c>
      <c r="H560">
        <v>9.9</v>
      </c>
      <c r="I560">
        <v>2.1</v>
      </c>
      <c r="J560">
        <v>14</v>
      </c>
    </row>
    <row r="561" spans="2:10" x14ac:dyDescent="0.25">
      <c r="B561" t="s">
        <v>2713</v>
      </c>
      <c r="C561" s="16">
        <v>30043100</v>
      </c>
      <c r="D561" s="16"/>
      <c r="E561">
        <v>0</v>
      </c>
      <c r="F561">
        <v>19</v>
      </c>
      <c r="G561">
        <v>0</v>
      </c>
      <c r="H561">
        <v>9.9</v>
      </c>
      <c r="I561">
        <v>2.1</v>
      </c>
      <c r="J561">
        <v>14</v>
      </c>
    </row>
    <row r="562" spans="2:10" x14ac:dyDescent="0.25">
      <c r="B562" t="s">
        <v>19453</v>
      </c>
      <c r="C562" s="16">
        <v>30043100</v>
      </c>
      <c r="D562" s="16"/>
      <c r="E562">
        <v>0</v>
      </c>
      <c r="F562">
        <v>17</v>
      </c>
      <c r="G562">
        <v>0</v>
      </c>
      <c r="H562">
        <v>9.9</v>
      </c>
      <c r="I562">
        <v>2.1</v>
      </c>
      <c r="J562">
        <v>14</v>
      </c>
    </row>
    <row r="563" spans="2:10" x14ac:dyDescent="0.25">
      <c r="B563" t="s">
        <v>19454</v>
      </c>
      <c r="C563" s="16">
        <v>30043100</v>
      </c>
      <c r="D563" s="16"/>
      <c r="E563">
        <v>0</v>
      </c>
      <c r="F563">
        <v>17</v>
      </c>
      <c r="G563">
        <v>0</v>
      </c>
      <c r="H563">
        <v>9.9</v>
      </c>
      <c r="I563">
        <v>2.1</v>
      </c>
      <c r="J563">
        <v>14</v>
      </c>
    </row>
    <row r="564" spans="2:10" x14ac:dyDescent="0.25">
      <c r="B564" t="s">
        <v>19455</v>
      </c>
      <c r="C564" s="16">
        <v>30043100</v>
      </c>
      <c r="D564" s="16"/>
      <c r="E564">
        <v>0</v>
      </c>
      <c r="F564">
        <v>17</v>
      </c>
      <c r="G564">
        <v>0</v>
      </c>
      <c r="H564">
        <v>9.9</v>
      </c>
      <c r="I564">
        <v>2.1</v>
      </c>
      <c r="J564">
        <v>14</v>
      </c>
    </row>
    <row r="565" spans="2:10" x14ac:dyDescent="0.25">
      <c r="B565" t="s">
        <v>2712</v>
      </c>
      <c r="C565" s="16">
        <v>30043100</v>
      </c>
      <c r="D565" s="16"/>
      <c r="E565">
        <v>0</v>
      </c>
      <c r="F565">
        <v>17</v>
      </c>
      <c r="G565">
        <v>0</v>
      </c>
      <c r="H565">
        <v>9.9</v>
      </c>
      <c r="I565">
        <v>2.1</v>
      </c>
      <c r="J565">
        <v>14</v>
      </c>
    </row>
    <row r="566" spans="2:10" x14ac:dyDescent="0.25">
      <c r="B566" t="s">
        <v>2711</v>
      </c>
      <c r="C566" s="16">
        <v>30043100</v>
      </c>
      <c r="D566" s="16"/>
      <c r="E566">
        <v>0</v>
      </c>
      <c r="F566">
        <v>17</v>
      </c>
      <c r="G566">
        <v>0</v>
      </c>
      <c r="H566">
        <v>9.9</v>
      </c>
      <c r="I566">
        <v>2.1</v>
      </c>
      <c r="J566">
        <v>14</v>
      </c>
    </row>
    <row r="567" spans="2:10" x14ac:dyDescent="0.25">
      <c r="B567" t="s">
        <v>19456</v>
      </c>
      <c r="C567" s="16">
        <v>30043100</v>
      </c>
      <c r="D567" s="16"/>
      <c r="E567">
        <v>0</v>
      </c>
      <c r="F567">
        <v>17</v>
      </c>
      <c r="G567">
        <v>0</v>
      </c>
      <c r="H567">
        <v>9.9</v>
      </c>
      <c r="I567">
        <v>2.1</v>
      </c>
      <c r="J567">
        <v>14</v>
      </c>
    </row>
    <row r="568" spans="2:10" x14ac:dyDescent="0.25">
      <c r="B568" t="s">
        <v>2709</v>
      </c>
      <c r="C568" s="16">
        <v>30043100</v>
      </c>
      <c r="D568" s="16"/>
      <c r="E568">
        <v>0</v>
      </c>
      <c r="F568">
        <v>18</v>
      </c>
      <c r="G568">
        <v>0</v>
      </c>
      <c r="H568">
        <v>9.9</v>
      </c>
      <c r="I568">
        <v>2.1</v>
      </c>
      <c r="J568">
        <v>14</v>
      </c>
    </row>
    <row r="569" spans="2:10" x14ac:dyDescent="0.25">
      <c r="B569" t="s">
        <v>19457</v>
      </c>
      <c r="C569" s="16">
        <v>30043100</v>
      </c>
      <c r="D569" s="16"/>
      <c r="E569">
        <v>0</v>
      </c>
      <c r="F569">
        <v>17</v>
      </c>
      <c r="G569">
        <v>0</v>
      </c>
      <c r="H569">
        <v>9.9</v>
      </c>
      <c r="I569">
        <v>2.1</v>
      </c>
      <c r="J569">
        <v>14</v>
      </c>
    </row>
    <row r="570" spans="2:10" x14ac:dyDescent="0.25">
      <c r="B570" t="s">
        <v>19446</v>
      </c>
      <c r="C570" s="16">
        <v>30043210</v>
      </c>
      <c r="D570" s="16"/>
      <c r="E570">
        <v>0</v>
      </c>
      <c r="F570">
        <v>17</v>
      </c>
      <c r="G570">
        <v>0</v>
      </c>
      <c r="H570">
        <v>9.9</v>
      </c>
      <c r="I570">
        <v>2.1</v>
      </c>
      <c r="J570">
        <v>14</v>
      </c>
    </row>
    <row r="571" spans="2:10" x14ac:dyDescent="0.25">
      <c r="B571" t="s">
        <v>19448</v>
      </c>
      <c r="C571" s="16">
        <v>30043210</v>
      </c>
      <c r="D571" s="16"/>
      <c r="E571">
        <v>0</v>
      </c>
      <c r="F571">
        <v>17</v>
      </c>
      <c r="G571">
        <v>0</v>
      </c>
      <c r="H571">
        <v>9.9</v>
      </c>
      <c r="I571">
        <v>2.1</v>
      </c>
      <c r="J571">
        <v>14</v>
      </c>
    </row>
    <row r="572" spans="2:10" x14ac:dyDescent="0.25">
      <c r="B572" t="s">
        <v>2724</v>
      </c>
      <c r="C572" s="16">
        <v>30043210</v>
      </c>
      <c r="D572" s="16"/>
      <c r="E572">
        <v>59</v>
      </c>
      <c r="F572">
        <v>17</v>
      </c>
      <c r="G572">
        <v>0</v>
      </c>
      <c r="H572">
        <v>9.9</v>
      </c>
      <c r="I572">
        <v>2.1</v>
      </c>
      <c r="J572">
        <v>14</v>
      </c>
    </row>
    <row r="573" spans="2:10" x14ac:dyDescent="0.25">
      <c r="B573" t="s">
        <v>19449</v>
      </c>
      <c r="C573" s="16">
        <v>30043210</v>
      </c>
      <c r="D573" s="16"/>
      <c r="E573">
        <v>0</v>
      </c>
      <c r="F573">
        <v>17</v>
      </c>
      <c r="G573">
        <v>0</v>
      </c>
      <c r="H573">
        <v>9.9</v>
      </c>
      <c r="I573">
        <v>2.1</v>
      </c>
      <c r="J573">
        <v>14</v>
      </c>
    </row>
    <row r="574" spans="2:10" x14ac:dyDescent="0.25">
      <c r="B574" t="s">
        <v>2720</v>
      </c>
      <c r="C574" s="16">
        <v>30043210</v>
      </c>
      <c r="D574" s="16"/>
      <c r="E574">
        <v>0</v>
      </c>
      <c r="F574">
        <v>17</v>
      </c>
      <c r="G574">
        <v>0</v>
      </c>
      <c r="H574">
        <v>9.9</v>
      </c>
      <c r="I574">
        <v>2.1</v>
      </c>
      <c r="J574">
        <v>14</v>
      </c>
    </row>
    <row r="575" spans="2:10" x14ac:dyDescent="0.25">
      <c r="B575" t="s">
        <v>2721</v>
      </c>
      <c r="C575" s="16">
        <v>30043210</v>
      </c>
      <c r="D575" s="16"/>
      <c r="E575" t="s">
        <v>19447</v>
      </c>
      <c r="F575">
        <v>17</v>
      </c>
      <c r="G575">
        <v>0</v>
      </c>
      <c r="H575">
        <v>9.9</v>
      </c>
      <c r="I575">
        <v>2.1</v>
      </c>
      <c r="J575">
        <v>14</v>
      </c>
    </row>
    <row r="576" spans="2:10" x14ac:dyDescent="0.25">
      <c r="B576" t="s">
        <v>2719</v>
      </c>
      <c r="C576" s="16">
        <v>30043210</v>
      </c>
      <c r="D576" s="16"/>
      <c r="E576">
        <v>0</v>
      </c>
      <c r="F576">
        <v>17</v>
      </c>
      <c r="G576">
        <v>0</v>
      </c>
      <c r="H576">
        <v>9.9</v>
      </c>
      <c r="I576">
        <v>2.1</v>
      </c>
      <c r="J576">
        <v>14</v>
      </c>
    </row>
    <row r="577" spans="2:10" x14ac:dyDescent="0.25">
      <c r="B577" t="s">
        <v>2715</v>
      </c>
      <c r="C577" s="16">
        <v>30043210</v>
      </c>
      <c r="D577" s="16"/>
      <c r="E577">
        <v>0</v>
      </c>
      <c r="F577">
        <v>17</v>
      </c>
      <c r="G577">
        <v>0</v>
      </c>
      <c r="H577">
        <v>9.9</v>
      </c>
      <c r="I577">
        <v>2.1</v>
      </c>
      <c r="J577">
        <v>14</v>
      </c>
    </row>
    <row r="578" spans="2:10" x14ac:dyDescent="0.25">
      <c r="B578" t="s">
        <v>2716</v>
      </c>
      <c r="C578" s="16">
        <v>30043210</v>
      </c>
      <c r="D578" s="16"/>
      <c r="E578" t="s">
        <v>19447</v>
      </c>
      <c r="F578">
        <v>17</v>
      </c>
      <c r="G578">
        <v>0</v>
      </c>
      <c r="H578">
        <v>9.9</v>
      </c>
      <c r="I578">
        <v>2.1</v>
      </c>
      <c r="J578">
        <v>14</v>
      </c>
    </row>
    <row r="579" spans="2:10" x14ac:dyDescent="0.25">
      <c r="B579" t="s">
        <v>19450</v>
      </c>
      <c r="C579" s="16">
        <v>30043210</v>
      </c>
      <c r="D579" s="16"/>
      <c r="E579">
        <v>0</v>
      </c>
      <c r="F579">
        <v>17</v>
      </c>
      <c r="G579">
        <v>0</v>
      </c>
      <c r="H579">
        <v>9.9</v>
      </c>
      <c r="I579">
        <v>2.1</v>
      </c>
      <c r="J579">
        <v>14</v>
      </c>
    </row>
    <row r="580" spans="2:10" x14ac:dyDescent="0.25">
      <c r="B580" t="s">
        <v>2714</v>
      </c>
      <c r="C580" s="16">
        <v>30043210</v>
      </c>
      <c r="D580" s="16"/>
      <c r="E580">
        <v>0</v>
      </c>
      <c r="F580">
        <v>12</v>
      </c>
      <c r="G580">
        <v>0</v>
      </c>
      <c r="H580">
        <v>9.9</v>
      </c>
      <c r="I580">
        <v>2.1</v>
      </c>
      <c r="J580">
        <v>14</v>
      </c>
    </row>
    <row r="581" spans="2:10" x14ac:dyDescent="0.25">
      <c r="B581" t="s">
        <v>2718</v>
      </c>
      <c r="C581" s="16">
        <v>30043210</v>
      </c>
      <c r="D581" s="16"/>
      <c r="E581">
        <v>0</v>
      </c>
      <c r="F581">
        <v>17</v>
      </c>
      <c r="G581">
        <v>0</v>
      </c>
      <c r="H581">
        <v>9.9</v>
      </c>
      <c r="I581">
        <v>2.1</v>
      </c>
      <c r="J581">
        <v>14</v>
      </c>
    </row>
    <row r="582" spans="2:10" x14ac:dyDescent="0.25">
      <c r="B582" t="s">
        <v>2717</v>
      </c>
      <c r="C582" s="16">
        <v>30043210</v>
      </c>
      <c r="D582" s="16"/>
      <c r="E582">
        <v>0</v>
      </c>
      <c r="F582">
        <v>17</v>
      </c>
      <c r="G582">
        <v>0</v>
      </c>
      <c r="H582">
        <v>9.9</v>
      </c>
      <c r="I582">
        <v>2.1</v>
      </c>
      <c r="J582">
        <v>14</v>
      </c>
    </row>
    <row r="583" spans="2:10" x14ac:dyDescent="0.25">
      <c r="B583" t="s">
        <v>2723</v>
      </c>
      <c r="C583" s="16">
        <v>30043210</v>
      </c>
      <c r="D583" s="16"/>
      <c r="E583">
        <v>0</v>
      </c>
      <c r="F583">
        <v>17</v>
      </c>
      <c r="G583">
        <v>0</v>
      </c>
      <c r="H583">
        <v>9.9</v>
      </c>
      <c r="I583">
        <v>2.1</v>
      </c>
      <c r="J583">
        <v>14</v>
      </c>
    </row>
    <row r="584" spans="2:10" x14ac:dyDescent="0.25">
      <c r="B584" t="s">
        <v>19451</v>
      </c>
      <c r="C584" s="16">
        <v>30043210</v>
      </c>
      <c r="D584" s="16"/>
      <c r="E584">
        <v>0</v>
      </c>
      <c r="F584">
        <v>17</v>
      </c>
      <c r="G584">
        <v>0</v>
      </c>
      <c r="H584">
        <v>9.9</v>
      </c>
      <c r="I584">
        <v>2.1</v>
      </c>
      <c r="J584">
        <v>14</v>
      </c>
    </row>
    <row r="585" spans="2:10" x14ac:dyDescent="0.25">
      <c r="B585" t="s">
        <v>2722</v>
      </c>
      <c r="C585" s="16">
        <v>30043210</v>
      </c>
      <c r="D585" s="16"/>
      <c r="E585">
        <v>0</v>
      </c>
      <c r="F585">
        <v>17</v>
      </c>
      <c r="G585">
        <v>0</v>
      </c>
      <c r="H585">
        <v>9.9</v>
      </c>
      <c r="I585">
        <v>2.1</v>
      </c>
      <c r="J585">
        <v>14</v>
      </c>
    </row>
    <row r="586" spans="2:10" x14ac:dyDescent="0.25">
      <c r="B586" t="s">
        <v>19452</v>
      </c>
      <c r="C586" s="16">
        <v>30043210</v>
      </c>
      <c r="D586" s="16"/>
      <c r="E586">
        <v>0</v>
      </c>
      <c r="F586">
        <v>17</v>
      </c>
      <c r="G586">
        <v>0</v>
      </c>
      <c r="H586">
        <v>9.9</v>
      </c>
      <c r="I586">
        <v>2.1</v>
      </c>
      <c r="J586">
        <v>14</v>
      </c>
    </row>
    <row r="587" spans="2:10" x14ac:dyDescent="0.25">
      <c r="B587" t="s">
        <v>2710</v>
      </c>
      <c r="C587" s="16">
        <v>30043210</v>
      </c>
      <c r="D587" s="16"/>
      <c r="E587">
        <v>0</v>
      </c>
      <c r="F587">
        <v>12</v>
      </c>
      <c r="G587">
        <v>0</v>
      </c>
      <c r="H587">
        <v>9.9</v>
      </c>
      <c r="I587">
        <v>2.1</v>
      </c>
      <c r="J587">
        <v>14</v>
      </c>
    </row>
    <row r="588" spans="2:10" x14ac:dyDescent="0.25">
      <c r="B588" t="s">
        <v>2713</v>
      </c>
      <c r="C588" s="16">
        <v>30043210</v>
      </c>
      <c r="D588" s="16"/>
      <c r="E588">
        <v>0</v>
      </c>
      <c r="F588">
        <v>19</v>
      </c>
      <c r="G588">
        <v>0</v>
      </c>
      <c r="H588">
        <v>9.9</v>
      </c>
      <c r="I588">
        <v>2.1</v>
      </c>
      <c r="J588">
        <v>14</v>
      </c>
    </row>
    <row r="589" spans="2:10" x14ac:dyDescent="0.25">
      <c r="B589" t="s">
        <v>19453</v>
      </c>
      <c r="C589" s="16">
        <v>30043210</v>
      </c>
      <c r="D589" s="16"/>
      <c r="E589">
        <v>0</v>
      </c>
      <c r="F589">
        <v>17</v>
      </c>
      <c r="G589">
        <v>0</v>
      </c>
      <c r="H589">
        <v>9.9</v>
      </c>
      <c r="I589">
        <v>2.1</v>
      </c>
      <c r="J589">
        <v>14</v>
      </c>
    </row>
    <row r="590" spans="2:10" x14ac:dyDescent="0.25">
      <c r="B590" t="s">
        <v>19454</v>
      </c>
      <c r="C590" s="16">
        <v>30043210</v>
      </c>
      <c r="D590" s="16"/>
      <c r="E590">
        <v>0</v>
      </c>
      <c r="F590">
        <v>17</v>
      </c>
      <c r="G590">
        <v>0</v>
      </c>
      <c r="H590">
        <v>9.9</v>
      </c>
      <c r="I590">
        <v>2.1</v>
      </c>
      <c r="J590">
        <v>14</v>
      </c>
    </row>
    <row r="591" spans="2:10" x14ac:dyDescent="0.25">
      <c r="B591" t="s">
        <v>19455</v>
      </c>
      <c r="C591" s="16">
        <v>30043210</v>
      </c>
      <c r="D591" s="16"/>
      <c r="E591">
        <v>0</v>
      </c>
      <c r="F591">
        <v>17</v>
      </c>
      <c r="G591">
        <v>0</v>
      </c>
      <c r="H591">
        <v>9.9</v>
      </c>
      <c r="I591">
        <v>2.1</v>
      </c>
      <c r="J591">
        <v>14</v>
      </c>
    </row>
    <row r="592" spans="2:10" x14ac:dyDescent="0.25">
      <c r="B592" t="s">
        <v>2712</v>
      </c>
      <c r="C592" s="16">
        <v>30043210</v>
      </c>
      <c r="D592" s="16"/>
      <c r="E592">
        <v>0</v>
      </c>
      <c r="F592">
        <v>17</v>
      </c>
      <c r="G592">
        <v>0</v>
      </c>
      <c r="H592">
        <v>9.9</v>
      </c>
      <c r="I592">
        <v>2.1</v>
      </c>
      <c r="J592">
        <v>14</v>
      </c>
    </row>
    <row r="593" spans="2:10" x14ac:dyDescent="0.25">
      <c r="B593" t="s">
        <v>2711</v>
      </c>
      <c r="C593" s="16">
        <v>30043210</v>
      </c>
      <c r="D593" s="16"/>
      <c r="E593">
        <v>0</v>
      </c>
      <c r="F593">
        <v>17</v>
      </c>
      <c r="G593">
        <v>0</v>
      </c>
      <c r="H593">
        <v>9.9</v>
      </c>
      <c r="I593">
        <v>2.1</v>
      </c>
      <c r="J593">
        <v>14</v>
      </c>
    </row>
    <row r="594" spans="2:10" x14ac:dyDescent="0.25">
      <c r="B594" t="s">
        <v>19456</v>
      </c>
      <c r="C594" s="16">
        <v>30043210</v>
      </c>
      <c r="D594" s="16"/>
      <c r="E594">
        <v>0</v>
      </c>
      <c r="F594">
        <v>17</v>
      </c>
      <c r="G594">
        <v>0</v>
      </c>
      <c r="H594">
        <v>9.9</v>
      </c>
      <c r="I594">
        <v>2.1</v>
      </c>
      <c r="J594">
        <v>14</v>
      </c>
    </row>
    <row r="595" spans="2:10" x14ac:dyDescent="0.25">
      <c r="B595" t="s">
        <v>2709</v>
      </c>
      <c r="C595" s="16">
        <v>30043210</v>
      </c>
      <c r="D595" s="16"/>
      <c r="E595">
        <v>0</v>
      </c>
      <c r="F595">
        <v>18</v>
      </c>
      <c r="G595">
        <v>0</v>
      </c>
      <c r="H595">
        <v>9.9</v>
      </c>
      <c r="I595">
        <v>2.1</v>
      </c>
      <c r="J595">
        <v>14</v>
      </c>
    </row>
    <row r="596" spans="2:10" x14ac:dyDescent="0.25">
      <c r="B596" t="s">
        <v>19457</v>
      </c>
      <c r="C596" s="16">
        <v>30043210</v>
      </c>
      <c r="D596" s="16"/>
      <c r="E596">
        <v>0</v>
      </c>
      <c r="F596">
        <v>17</v>
      </c>
      <c r="G596">
        <v>0</v>
      </c>
      <c r="H596">
        <v>9.9</v>
      </c>
      <c r="I596">
        <v>2.1</v>
      </c>
      <c r="J596">
        <v>14</v>
      </c>
    </row>
    <row r="597" spans="2:10" x14ac:dyDescent="0.25">
      <c r="B597" t="s">
        <v>19446</v>
      </c>
      <c r="C597" s="16">
        <v>30043290</v>
      </c>
      <c r="D597" s="16"/>
      <c r="E597">
        <v>0</v>
      </c>
      <c r="F597">
        <v>17</v>
      </c>
      <c r="G597">
        <v>0</v>
      </c>
      <c r="H597">
        <v>9.9</v>
      </c>
      <c r="I597">
        <v>2.1</v>
      </c>
      <c r="J597">
        <v>8</v>
      </c>
    </row>
    <row r="598" spans="2:10" x14ac:dyDescent="0.25">
      <c r="B598" t="s">
        <v>19448</v>
      </c>
      <c r="C598" s="16">
        <v>30043290</v>
      </c>
      <c r="D598" s="16"/>
      <c r="E598">
        <v>0</v>
      </c>
      <c r="F598">
        <v>17</v>
      </c>
      <c r="G598">
        <v>0</v>
      </c>
      <c r="H598">
        <v>9.9</v>
      </c>
      <c r="I598">
        <v>2.1</v>
      </c>
      <c r="J598">
        <v>8</v>
      </c>
    </row>
    <row r="599" spans="2:10" x14ac:dyDescent="0.25">
      <c r="B599" t="s">
        <v>2724</v>
      </c>
      <c r="C599" s="16">
        <v>30043290</v>
      </c>
      <c r="D599" s="16"/>
      <c r="E599">
        <v>59</v>
      </c>
      <c r="F599">
        <v>17</v>
      </c>
      <c r="G599">
        <v>0</v>
      </c>
      <c r="H599">
        <v>9.9</v>
      </c>
      <c r="I599">
        <v>2.1</v>
      </c>
      <c r="J599">
        <v>8</v>
      </c>
    </row>
    <row r="600" spans="2:10" x14ac:dyDescent="0.25">
      <c r="B600" t="s">
        <v>19449</v>
      </c>
      <c r="C600" s="16">
        <v>30043290</v>
      </c>
      <c r="D600" s="16"/>
      <c r="E600">
        <v>0</v>
      </c>
      <c r="F600">
        <v>17</v>
      </c>
      <c r="G600">
        <v>0</v>
      </c>
      <c r="H600">
        <v>9.9</v>
      </c>
      <c r="I600">
        <v>2.1</v>
      </c>
      <c r="J600">
        <v>8</v>
      </c>
    </row>
    <row r="601" spans="2:10" x14ac:dyDescent="0.25">
      <c r="B601" t="s">
        <v>2720</v>
      </c>
      <c r="C601" s="16">
        <v>30043290</v>
      </c>
      <c r="D601" s="16"/>
      <c r="E601">
        <v>0</v>
      </c>
      <c r="F601">
        <v>17</v>
      </c>
      <c r="G601">
        <v>0</v>
      </c>
      <c r="H601">
        <v>9.9</v>
      </c>
      <c r="I601">
        <v>2.1</v>
      </c>
      <c r="J601">
        <v>8</v>
      </c>
    </row>
    <row r="602" spans="2:10" x14ac:dyDescent="0.25">
      <c r="B602" t="s">
        <v>2721</v>
      </c>
      <c r="C602" s="16">
        <v>30043290</v>
      </c>
      <c r="D602" s="16"/>
      <c r="E602" t="s">
        <v>19447</v>
      </c>
      <c r="F602">
        <v>17</v>
      </c>
      <c r="G602">
        <v>0</v>
      </c>
      <c r="H602">
        <v>9.9</v>
      </c>
      <c r="I602">
        <v>2.1</v>
      </c>
      <c r="J602">
        <v>8</v>
      </c>
    </row>
    <row r="603" spans="2:10" x14ac:dyDescent="0.25">
      <c r="B603" t="s">
        <v>2719</v>
      </c>
      <c r="C603" s="16">
        <v>30043290</v>
      </c>
      <c r="D603" s="16"/>
      <c r="E603">
        <v>0</v>
      </c>
      <c r="F603">
        <v>17</v>
      </c>
      <c r="G603">
        <v>0</v>
      </c>
      <c r="H603">
        <v>9.9</v>
      </c>
      <c r="I603">
        <v>2.1</v>
      </c>
      <c r="J603">
        <v>8</v>
      </c>
    </row>
    <row r="604" spans="2:10" x14ac:dyDescent="0.25">
      <c r="B604" t="s">
        <v>2715</v>
      </c>
      <c r="C604" s="16">
        <v>30043290</v>
      </c>
      <c r="D604" s="16"/>
      <c r="E604">
        <v>0</v>
      </c>
      <c r="F604">
        <v>17</v>
      </c>
      <c r="G604">
        <v>0</v>
      </c>
      <c r="H604">
        <v>9.9</v>
      </c>
      <c r="I604">
        <v>2.1</v>
      </c>
      <c r="J604">
        <v>8</v>
      </c>
    </row>
    <row r="605" spans="2:10" x14ac:dyDescent="0.25">
      <c r="B605" t="s">
        <v>2716</v>
      </c>
      <c r="C605" s="16">
        <v>30043290</v>
      </c>
      <c r="D605" s="16"/>
      <c r="E605" t="s">
        <v>19447</v>
      </c>
      <c r="F605">
        <v>17</v>
      </c>
      <c r="G605">
        <v>0</v>
      </c>
      <c r="H605">
        <v>9.9</v>
      </c>
      <c r="I605">
        <v>2.1</v>
      </c>
      <c r="J605">
        <v>8</v>
      </c>
    </row>
    <row r="606" spans="2:10" x14ac:dyDescent="0.25">
      <c r="B606" t="s">
        <v>19450</v>
      </c>
      <c r="C606" s="16">
        <v>30043290</v>
      </c>
      <c r="D606" s="16"/>
      <c r="E606">
        <v>0</v>
      </c>
      <c r="F606">
        <v>17</v>
      </c>
      <c r="G606">
        <v>0</v>
      </c>
      <c r="H606">
        <v>9.9</v>
      </c>
      <c r="I606">
        <v>2.1</v>
      </c>
      <c r="J606">
        <v>8</v>
      </c>
    </row>
    <row r="607" spans="2:10" x14ac:dyDescent="0.25">
      <c r="B607" t="s">
        <v>2714</v>
      </c>
      <c r="C607" s="16">
        <v>30043290</v>
      </c>
      <c r="D607" s="16"/>
      <c r="E607">
        <v>0</v>
      </c>
      <c r="F607">
        <v>12</v>
      </c>
      <c r="G607">
        <v>0</v>
      </c>
      <c r="H607">
        <v>9.9</v>
      </c>
      <c r="I607">
        <v>2.1</v>
      </c>
      <c r="J607">
        <v>8</v>
      </c>
    </row>
    <row r="608" spans="2:10" x14ac:dyDescent="0.25">
      <c r="B608" t="s">
        <v>2718</v>
      </c>
      <c r="C608" s="16">
        <v>30043290</v>
      </c>
      <c r="D608" s="16"/>
      <c r="E608">
        <v>0</v>
      </c>
      <c r="F608">
        <v>17</v>
      </c>
      <c r="G608">
        <v>0</v>
      </c>
      <c r="H608">
        <v>9.9</v>
      </c>
      <c r="I608">
        <v>2.1</v>
      </c>
      <c r="J608">
        <v>8</v>
      </c>
    </row>
    <row r="609" spans="2:10" x14ac:dyDescent="0.25">
      <c r="B609" t="s">
        <v>2717</v>
      </c>
      <c r="C609" s="16">
        <v>30043290</v>
      </c>
      <c r="D609" s="16"/>
      <c r="E609">
        <v>0</v>
      </c>
      <c r="F609">
        <v>17</v>
      </c>
      <c r="G609">
        <v>0</v>
      </c>
      <c r="H609">
        <v>9.9</v>
      </c>
      <c r="I609">
        <v>2.1</v>
      </c>
      <c r="J609">
        <v>8</v>
      </c>
    </row>
    <row r="610" spans="2:10" x14ac:dyDescent="0.25">
      <c r="B610" t="s">
        <v>2723</v>
      </c>
      <c r="C610" s="16">
        <v>30043290</v>
      </c>
      <c r="D610" s="16"/>
      <c r="E610">
        <v>0</v>
      </c>
      <c r="F610">
        <v>17</v>
      </c>
      <c r="G610">
        <v>0</v>
      </c>
      <c r="H610">
        <v>9.9</v>
      </c>
      <c r="I610">
        <v>2.1</v>
      </c>
      <c r="J610">
        <v>8</v>
      </c>
    </row>
    <row r="611" spans="2:10" x14ac:dyDescent="0.25">
      <c r="B611" t="s">
        <v>19451</v>
      </c>
      <c r="C611" s="16">
        <v>30043290</v>
      </c>
      <c r="D611" s="16"/>
      <c r="E611">
        <v>0</v>
      </c>
      <c r="F611">
        <v>17</v>
      </c>
      <c r="G611">
        <v>0</v>
      </c>
      <c r="H611">
        <v>9.9</v>
      </c>
      <c r="I611">
        <v>2.1</v>
      </c>
      <c r="J611">
        <v>8</v>
      </c>
    </row>
    <row r="612" spans="2:10" x14ac:dyDescent="0.25">
      <c r="B612" t="s">
        <v>2722</v>
      </c>
      <c r="C612" s="16">
        <v>30043290</v>
      </c>
      <c r="D612" s="16"/>
      <c r="E612">
        <v>0</v>
      </c>
      <c r="F612">
        <v>17</v>
      </c>
      <c r="G612">
        <v>0</v>
      </c>
      <c r="H612">
        <v>9.9</v>
      </c>
      <c r="I612">
        <v>2.1</v>
      </c>
      <c r="J612">
        <v>8</v>
      </c>
    </row>
    <row r="613" spans="2:10" x14ac:dyDescent="0.25">
      <c r="B613" t="s">
        <v>19452</v>
      </c>
      <c r="C613" s="16">
        <v>30043290</v>
      </c>
      <c r="D613" s="16"/>
      <c r="E613">
        <v>0</v>
      </c>
      <c r="F613">
        <v>17</v>
      </c>
      <c r="G613">
        <v>0</v>
      </c>
      <c r="H613">
        <v>9.9</v>
      </c>
      <c r="I613">
        <v>2.1</v>
      </c>
      <c r="J613">
        <v>8</v>
      </c>
    </row>
    <row r="614" spans="2:10" x14ac:dyDescent="0.25">
      <c r="B614" t="s">
        <v>2710</v>
      </c>
      <c r="C614" s="16">
        <v>30043290</v>
      </c>
      <c r="D614" s="16"/>
      <c r="E614">
        <v>0</v>
      </c>
      <c r="F614">
        <v>12</v>
      </c>
      <c r="G614">
        <v>0</v>
      </c>
      <c r="H614">
        <v>9.9</v>
      </c>
      <c r="I614">
        <v>2.1</v>
      </c>
      <c r="J614">
        <v>8</v>
      </c>
    </row>
    <row r="615" spans="2:10" x14ac:dyDescent="0.25">
      <c r="B615" t="s">
        <v>2713</v>
      </c>
      <c r="C615" s="16">
        <v>30043290</v>
      </c>
      <c r="D615" s="16"/>
      <c r="E615">
        <v>0</v>
      </c>
      <c r="F615">
        <v>19</v>
      </c>
      <c r="G615">
        <v>0</v>
      </c>
      <c r="H615">
        <v>9.9</v>
      </c>
      <c r="I615">
        <v>2.1</v>
      </c>
      <c r="J615">
        <v>8</v>
      </c>
    </row>
    <row r="616" spans="2:10" x14ac:dyDescent="0.25">
      <c r="B616" t="s">
        <v>19453</v>
      </c>
      <c r="C616" s="16">
        <v>30043290</v>
      </c>
      <c r="D616" s="16"/>
      <c r="E616">
        <v>0</v>
      </c>
      <c r="F616">
        <v>17</v>
      </c>
      <c r="G616">
        <v>0</v>
      </c>
      <c r="H616">
        <v>9.9</v>
      </c>
      <c r="I616">
        <v>2.1</v>
      </c>
      <c r="J616">
        <v>8</v>
      </c>
    </row>
    <row r="617" spans="2:10" x14ac:dyDescent="0.25">
      <c r="B617" t="s">
        <v>19454</v>
      </c>
      <c r="C617" s="16">
        <v>30043290</v>
      </c>
      <c r="D617" s="16"/>
      <c r="E617">
        <v>0</v>
      </c>
      <c r="F617">
        <v>17</v>
      </c>
      <c r="G617">
        <v>0</v>
      </c>
      <c r="H617">
        <v>9.9</v>
      </c>
      <c r="I617">
        <v>2.1</v>
      </c>
      <c r="J617">
        <v>8</v>
      </c>
    </row>
    <row r="618" spans="2:10" x14ac:dyDescent="0.25">
      <c r="B618" t="s">
        <v>19455</v>
      </c>
      <c r="C618" s="16">
        <v>30043290</v>
      </c>
      <c r="D618" s="16"/>
      <c r="E618">
        <v>0</v>
      </c>
      <c r="F618">
        <v>17</v>
      </c>
      <c r="G618">
        <v>0</v>
      </c>
      <c r="H618">
        <v>9.9</v>
      </c>
      <c r="I618">
        <v>2.1</v>
      </c>
      <c r="J618">
        <v>8</v>
      </c>
    </row>
    <row r="619" spans="2:10" x14ac:dyDescent="0.25">
      <c r="B619" t="s">
        <v>2712</v>
      </c>
      <c r="C619" s="16">
        <v>30043290</v>
      </c>
      <c r="D619" s="16"/>
      <c r="E619">
        <v>0</v>
      </c>
      <c r="F619">
        <v>17</v>
      </c>
      <c r="G619">
        <v>0</v>
      </c>
      <c r="H619">
        <v>9.9</v>
      </c>
      <c r="I619">
        <v>2.1</v>
      </c>
      <c r="J619">
        <v>8</v>
      </c>
    </row>
    <row r="620" spans="2:10" x14ac:dyDescent="0.25">
      <c r="B620" t="s">
        <v>2711</v>
      </c>
      <c r="C620" s="16">
        <v>30043290</v>
      </c>
      <c r="D620" s="16"/>
      <c r="E620">
        <v>0</v>
      </c>
      <c r="F620">
        <v>17</v>
      </c>
      <c r="G620">
        <v>0</v>
      </c>
      <c r="H620">
        <v>9.9</v>
      </c>
      <c r="I620">
        <v>2.1</v>
      </c>
      <c r="J620">
        <v>8</v>
      </c>
    </row>
    <row r="621" spans="2:10" x14ac:dyDescent="0.25">
      <c r="B621" t="s">
        <v>19456</v>
      </c>
      <c r="C621" s="16">
        <v>30043290</v>
      </c>
      <c r="D621" s="16"/>
      <c r="E621">
        <v>0</v>
      </c>
      <c r="F621">
        <v>17</v>
      </c>
      <c r="G621">
        <v>0</v>
      </c>
      <c r="H621">
        <v>9.9</v>
      </c>
      <c r="I621">
        <v>2.1</v>
      </c>
      <c r="J621">
        <v>8</v>
      </c>
    </row>
    <row r="622" spans="2:10" x14ac:dyDescent="0.25">
      <c r="B622" t="s">
        <v>2709</v>
      </c>
      <c r="C622" s="16">
        <v>30043290</v>
      </c>
      <c r="D622" s="16"/>
      <c r="E622">
        <v>0</v>
      </c>
      <c r="F622">
        <v>18</v>
      </c>
      <c r="G622">
        <v>0</v>
      </c>
      <c r="H622">
        <v>9.9</v>
      </c>
      <c r="I622">
        <v>2.1</v>
      </c>
      <c r="J622">
        <v>8</v>
      </c>
    </row>
    <row r="623" spans="2:10" x14ac:dyDescent="0.25">
      <c r="B623" t="s">
        <v>19457</v>
      </c>
      <c r="C623" s="16">
        <v>30043290</v>
      </c>
      <c r="D623" s="16"/>
      <c r="E623">
        <v>0</v>
      </c>
      <c r="F623">
        <v>17</v>
      </c>
      <c r="G623">
        <v>0</v>
      </c>
      <c r="H623">
        <v>9.9</v>
      </c>
      <c r="I623">
        <v>2.1</v>
      </c>
      <c r="J623">
        <v>8</v>
      </c>
    </row>
    <row r="624" spans="2:10" x14ac:dyDescent="0.25">
      <c r="B624" t="s">
        <v>19446</v>
      </c>
      <c r="C624" s="16">
        <v>30043925</v>
      </c>
      <c r="D624" s="16"/>
      <c r="E624">
        <v>0</v>
      </c>
      <c r="F624">
        <v>17</v>
      </c>
      <c r="G624">
        <v>0</v>
      </c>
      <c r="H624">
        <v>9.9</v>
      </c>
      <c r="I624">
        <v>2.1</v>
      </c>
      <c r="J624">
        <v>8</v>
      </c>
    </row>
    <row r="625" spans="2:10" x14ac:dyDescent="0.25">
      <c r="B625" t="s">
        <v>19448</v>
      </c>
      <c r="C625" s="16">
        <v>30043925</v>
      </c>
      <c r="D625" s="16"/>
      <c r="E625">
        <v>0</v>
      </c>
      <c r="F625">
        <v>17</v>
      </c>
      <c r="G625">
        <v>0</v>
      </c>
      <c r="H625">
        <v>9.9</v>
      </c>
      <c r="I625">
        <v>2.1</v>
      </c>
      <c r="J625">
        <v>8</v>
      </c>
    </row>
    <row r="626" spans="2:10" x14ac:dyDescent="0.25">
      <c r="B626" t="s">
        <v>2724</v>
      </c>
      <c r="C626" s="16">
        <v>30043925</v>
      </c>
      <c r="D626" s="16"/>
      <c r="E626">
        <v>59</v>
      </c>
      <c r="F626">
        <v>17</v>
      </c>
      <c r="G626">
        <v>0</v>
      </c>
      <c r="H626">
        <v>9.9</v>
      </c>
      <c r="I626">
        <v>2.1</v>
      </c>
      <c r="J626">
        <v>8</v>
      </c>
    </row>
    <row r="627" spans="2:10" x14ac:dyDescent="0.25">
      <c r="B627" t="s">
        <v>19449</v>
      </c>
      <c r="C627" s="16">
        <v>30043925</v>
      </c>
      <c r="D627" s="16"/>
      <c r="E627">
        <v>0</v>
      </c>
      <c r="F627">
        <v>17</v>
      </c>
      <c r="G627">
        <v>0</v>
      </c>
      <c r="H627">
        <v>9.9</v>
      </c>
      <c r="I627">
        <v>2.1</v>
      </c>
      <c r="J627">
        <v>8</v>
      </c>
    </row>
    <row r="628" spans="2:10" x14ac:dyDescent="0.25">
      <c r="B628" t="s">
        <v>2720</v>
      </c>
      <c r="C628" s="16">
        <v>30043925</v>
      </c>
      <c r="D628" s="16"/>
      <c r="E628">
        <v>0</v>
      </c>
      <c r="F628">
        <v>17</v>
      </c>
      <c r="G628">
        <v>0</v>
      </c>
      <c r="H628">
        <v>9.9</v>
      </c>
      <c r="I628">
        <v>2.1</v>
      </c>
      <c r="J628">
        <v>8</v>
      </c>
    </row>
    <row r="629" spans="2:10" x14ac:dyDescent="0.25">
      <c r="B629" t="s">
        <v>2721</v>
      </c>
      <c r="C629" s="16">
        <v>30043925</v>
      </c>
      <c r="D629" s="16"/>
      <c r="E629" t="s">
        <v>19447</v>
      </c>
      <c r="F629">
        <v>17</v>
      </c>
      <c r="G629">
        <v>0</v>
      </c>
      <c r="H629">
        <v>9.9</v>
      </c>
      <c r="I629">
        <v>2.1</v>
      </c>
      <c r="J629">
        <v>8</v>
      </c>
    </row>
    <row r="630" spans="2:10" x14ac:dyDescent="0.25">
      <c r="B630" t="s">
        <v>2719</v>
      </c>
      <c r="C630" s="16">
        <v>30043925</v>
      </c>
      <c r="D630" s="16"/>
      <c r="E630">
        <v>0</v>
      </c>
      <c r="F630">
        <v>17</v>
      </c>
      <c r="G630">
        <v>0</v>
      </c>
      <c r="H630">
        <v>9.9</v>
      </c>
      <c r="I630">
        <v>2.1</v>
      </c>
      <c r="J630">
        <v>8</v>
      </c>
    </row>
    <row r="631" spans="2:10" x14ac:dyDescent="0.25">
      <c r="B631" t="s">
        <v>2715</v>
      </c>
      <c r="C631" s="16">
        <v>30043925</v>
      </c>
      <c r="D631" s="16"/>
      <c r="E631">
        <v>0</v>
      </c>
      <c r="F631">
        <v>17</v>
      </c>
      <c r="G631">
        <v>0</v>
      </c>
      <c r="H631">
        <v>9.9</v>
      </c>
      <c r="I631">
        <v>2.1</v>
      </c>
      <c r="J631">
        <v>8</v>
      </c>
    </row>
    <row r="632" spans="2:10" x14ac:dyDescent="0.25">
      <c r="B632" t="s">
        <v>2716</v>
      </c>
      <c r="C632" s="16">
        <v>30043925</v>
      </c>
      <c r="D632" s="16"/>
      <c r="E632" t="s">
        <v>19447</v>
      </c>
      <c r="F632">
        <v>17</v>
      </c>
      <c r="G632">
        <v>0</v>
      </c>
      <c r="H632">
        <v>9.9</v>
      </c>
      <c r="I632">
        <v>2.1</v>
      </c>
      <c r="J632">
        <v>8</v>
      </c>
    </row>
    <row r="633" spans="2:10" x14ac:dyDescent="0.25">
      <c r="B633" t="s">
        <v>19450</v>
      </c>
      <c r="C633" s="16">
        <v>30043925</v>
      </c>
      <c r="D633" s="16"/>
      <c r="E633">
        <v>0</v>
      </c>
      <c r="F633">
        <v>17</v>
      </c>
      <c r="G633">
        <v>0</v>
      </c>
      <c r="H633">
        <v>9.9</v>
      </c>
      <c r="I633">
        <v>2.1</v>
      </c>
      <c r="J633">
        <v>8</v>
      </c>
    </row>
    <row r="634" spans="2:10" x14ac:dyDescent="0.25">
      <c r="B634" t="s">
        <v>2714</v>
      </c>
      <c r="C634" s="16">
        <v>30043925</v>
      </c>
      <c r="D634" s="16"/>
      <c r="E634">
        <v>0</v>
      </c>
      <c r="F634">
        <v>12</v>
      </c>
      <c r="G634">
        <v>0</v>
      </c>
      <c r="H634">
        <v>9.9</v>
      </c>
      <c r="I634">
        <v>2.1</v>
      </c>
      <c r="J634">
        <v>8</v>
      </c>
    </row>
    <row r="635" spans="2:10" x14ac:dyDescent="0.25">
      <c r="B635" t="s">
        <v>2718</v>
      </c>
      <c r="C635" s="16">
        <v>30043925</v>
      </c>
      <c r="D635" s="16"/>
      <c r="E635">
        <v>0</v>
      </c>
      <c r="F635">
        <v>17</v>
      </c>
      <c r="G635">
        <v>0</v>
      </c>
      <c r="H635">
        <v>9.9</v>
      </c>
      <c r="I635">
        <v>2.1</v>
      </c>
      <c r="J635">
        <v>8</v>
      </c>
    </row>
    <row r="636" spans="2:10" x14ac:dyDescent="0.25">
      <c r="B636" t="s">
        <v>2717</v>
      </c>
      <c r="C636" s="16">
        <v>30043925</v>
      </c>
      <c r="D636" s="16"/>
      <c r="E636">
        <v>0</v>
      </c>
      <c r="F636">
        <v>17</v>
      </c>
      <c r="G636">
        <v>0</v>
      </c>
      <c r="H636">
        <v>9.9</v>
      </c>
      <c r="I636">
        <v>2.1</v>
      </c>
      <c r="J636">
        <v>8</v>
      </c>
    </row>
    <row r="637" spans="2:10" x14ac:dyDescent="0.25">
      <c r="B637" t="s">
        <v>2723</v>
      </c>
      <c r="C637" s="16">
        <v>30043925</v>
      </c>
      <c r="D637" s="16"/>
      <c r="E637">
        <v>0</v>
      </c>
      <c r="F637">
        <v>17</v>
      </c>
      <c r="G637">
        <v>0</v>
      </c>
      <c r="H637">
        <v>9.9</v>
      </c>
      <c r="I637">
        <v>2.1</v>
      </c>
      <c r="J637">
        <v>8</v>
      </c>
    </row>
    <row r="638" spans="2:10" x14ac:dyDescent="0.25">
      <c r="B638" t="s">
        <v>19451</v>
      </c>
      <c r="C638" s="16">
        <v>30043925</v>
      </c>
      <c r="D638" s="16"/>
      <c r="E638">
        <v>0</v>
      </c>
      <c r="F638">
        <v>17</v>
      </c>
      <c r="G638">
        <v>0</v>
      </c>
      <c r="H638">
        <v>9.9</v>
      </c>
      <c r="I638">
        <v>2.1</v>
      </c>
      <c r="J638">
        <v>8</v>
      </c>
    </row>
    <row r="639" spans="2:10" x14ac:dyDescent="0.25">
      <c r="B639" t="s">
        <v>2722</v>
      </c>
      <c r="C639" s="16">
        <v>30043925</v>
      </c>
      <c r="D639" s="16"/>
      <c r="E639">
        <v>0</v>
      </c>
      <c r="F639">
        <v>17</v>
      </c>
      <c r="G639">
        <v>0</v>
      </c>
      <c r="H639">
        <v>9.9</v>
      </c>
      <c r="I639">
        <v>2.1</v>
      </c>
      <c r="J639">
        <v>8</v>
      </c>
    </row>
    <row r="640" spans="2:10" x14ac:dyDescent="0.25">
      <c r="B640" t="s">
        <v>19452</v>
      </c>
      <c r="C640" s="16">
        <v>30043925</v>
      </c>
      <c r="D640" s="16"/>
      <c r="E640">
        <v>0</v>
      </c>
      <c r="F640">
        <v>17</v>
      </c>
      <c r="G640">
        <v>0</v>
      </c>
      <c r="H640">
        <v>9.9</v>
      </c>
      <c r="I640">
        <v>2.1</v>
      </c>
      <c r="J640">
        <v>8</v>
      </c>
    </row>
    <row r="641" spans="2:10" x14ac:dyDescent="0.25">
      <c r="B641" t="s">
        <v>2710</v>
      </c>
      <c r="C641" s="16">
        <v>30043925</v>
      </c>
      <c r="D641" s="16"/>
      <c r="E641">
        <v>0</v>
      </c>
      <c r="F641">
        <v>12</v>
      </c>
      <c r="G641">
        <v>0</v>
      </c>
      <c r="H641">
        <v>9.9</v>
      </c>
      <c r="I641">
        <v>2.1</v>
      </c>
      <c r="J641">
        <v>8</v>
      </c>
    </row>
    <row r="642" spans="2:10" x14ac:dyDescent="0.25">
      <c r="B642" t="s">
        <v>2713</v>
      </c>
      <c r="C642" s="16">
        <v>30043925</v>
      </c>
      <c r="D642" s="16"/>
      <c r="E642">
        <v>0</v>
      </c>
      <c r="F642">
        <v>19</v>
      </c>
      <c r="G642">
        <v>0</v>
      </c>
      <c r="H642">
        <v>9.9</v>
      </c>
      <c r="I642">
        <v>2.1</v>
      </c>
      <c r="J642">
        <v>8</v>
      </c>
    </row>
    <row r="643" spans="2:10" x14ac:dyDescent="0.25">
      <c r="B643" t="s">
        <v>19453</v>
      </c>
      <c r="C643" s="16">
        <v>30043925</v>
      </c>
      <c r="D643" s="16"/>
      <c r="E643">
        <v>0</v>
      </c>
      <c r="F643">
        <v>17</v>
      </c>
      <c r="G643">
        <v>0</v>
      </c>
      <c r="H643">
        <v>9.9</v>
      </c>
      <c r="I643">
        <v>2.1</v>
      </c>
      <c r="J643">
        <v>8</v>
      </c>
    </row>
    <row r="644" spans="2:10" x14ac:dyDescent="0.25">
      <c r="B644" t="s">
        <v>19454</v>
      </c>
      <c r="C644" s="16">
        <v>30043925</v>
      </c>
      <c r="D644" s="16"/>
      <c r="E644">
        <v>0</v>
      </c>
      <c r="F644">
        <v>17</v>
      </c>
      <c r="G644">
        <v>0</v>
      </c>
      <c r="H644">
        <v>9.9</v>
      </c>
      <c r="I644">
        <v>2.1</v>
      </c>
      <c r="J644">
        <v>8</v>
      </c>
    </row>
    <row r="645" spans="2:10" x14ac:dyDescent="0.25">
      <c r="B645" t="s">
        <v>19455</v>
      </c>
      <c r="C645" s="16">
        <v>30043925</v>
      </c>
      <c r="D645" s="16"/>
      <c r="E645">
        <v>0</v>
      </c>
      <c r="F645">
        <v>17</v>
      </c>
      <c r="G645">
        <v>0</v>
      </c>
      <c r="H645">
        <v>9.9</v>
      </c>
      <c r="I645">
        <v>2.1</v>
      </c>
      <c r="J645">
        <v>8</v>
      </c>
    </row>
    <row r="646" spans="2:10" x14ac:dyDescent="0.25">
      <c r="B646" t="s">
        <v>2712</v>
      </c>
      <c r="C646" s="16">
        <v>30043925</v>
      </c>
      <c r="D646" s="16"/>
      <c r="E646">
        <v>0</v>
      </c>
      <c r="F646">
        <v>17</v>
      </c>
      <c r="G646">
        <v>0</v>
      </c>
      <c r="H646">
        <v>9.9</v>
      </c>
      <c r="I646">
        <v>2.1</v>
      </c>
      <c r="J646">
        <v>8</v>
      </c>
    </row>
    <row r="647" spans="2:10" x14ac:dyDescent="0.25">
      <c r="B647" t="s">
        <v>2711</v>
      </c>
      <c r="C647" s="16">
        <v>30043925</v>
      </c>
      <c r="D647" s="16"/>
      <c r="E647">
        <v>0</v>
      </c>
      <c r="F647">
        <v>17</v>
      </c>
      <c r="G647">
        <v>0</v>
      </c>
      <c r="H647">
        <v>9.9</v>
      </c>
      <c r="I647">
        <v>2.1</v>
      </c>
      <c r="J647">
        <v>8</v>
      </c>
    </row>
    <row r="648" spans="2:10" x14ac:dyDescent="0.25">
      <c r="B648" t="s">
        <v>19456</v>
      </c>
      <c r="C648" s="16">
        <v>30043925</v>
      </c>
      <c r="D648" s="16"/>
      <c r="E648">
        <v>0</v>
      </c>
      <c r="F648">
        <v>17</v>
      </c>
      <c r="G648">
        <v>0</v>
      </c>
      <c r="H648">
        <v>9.9</v>
      </c>
      <c r="I648">
        <v>2.1</v>
      </c>
      <c r="J648">
        <v>8</v>
      </c>
    </row>
    <row r="649" spans="2:10" x14ac:dyDescent="0.25">
      <c r="B649" t="s">
        <v>2709</v>
      </c>
      <c r="C649" s="16">
        <v>30043925</v>
      </c>
      <c r="D649" s="16"/>
      <c r="E649">
        <v>0</v>
      </c>
      <c r="F649">
        <v>18</v>
      </c>
      <c r="G649">
        <v>0</v>
      </c>
      <c r="H649">
        <v>9.9</v>
      </c>
      <c r="I649">
        <v>2.1</v>
      </c>
      <c r="J649">
        <v>8</v>
      </c>
    </row>
    <row r="650" spans="2:10" x14ac:dyDescent="0.25">
      <c r="B650" t="s">
        <v>19457</v>
      </c>
      <c r="C650" s="16">
        <v>30043925</v>
      </c>
      <c r="D650" s="16"/>
      <c r="E650">
        <v>0</v>
      </c>
      <c r="F650">
        <v>17</v>
      </c>
      <c r="G650">
        <v>0</v>
      </c>
      <c r="H650">
        <v>9.9</v>
      </c>
      <c r="I650">
        <v>2.1</v>
      </c>
      <c r="J650">
        <v>8</v>
      </c>
    </row>
    <row r="651" spans="2:10" x14ac:dyDescent="0.25">
      <c r="B651" t="s">
        <v>19446</v>
      </c>
      <c r="C651" s="16">
        <v>30043929</v>
      </c>
      <c r="D651" s="16"/>
      <c r="E651">
        <v>0</v>
      </c>
      <c r="F651">
        <v>17</v>
      </c>
      <c r="G651">
        <v>0</v>
      </c>
      <c r="H651">
        <v>9.9</v>
      </c>
      <c r="I651">
        <v>2.1</v>
      </c>
      <c r="J651">
        <v>8</v>
      </c>
    </row>
    <row r="652" spans="2:10" x14ac:dyDescent="0.25">
      <c r="B652" t="s">
        <v>19448</v>
      </c>
      <c r="C652" s="16">
        <v>30043929</v>
      </c>
      <c r="D652" s="16"/>
      <c r="E652">
        <v>0</v>
      </c>
      <c r="F652">
        <v>17</v>
      </c>
      <c r="G652">
        <v>0</v>
      </c>
      <c r="H652">
        <v>9.9</v>
      </c>
      <c r="I652">
        <v>2.1</v>
      </c>
      <c r="J652">
        <v>8</v>
      </c>
    </row>
    <row r="653" spans="2:10" x14ac:dyDescent="0.25">
      <c r="B653" t="s">
        <v>2724</v>
      </c>
      <c r="C653" s="16">
        <v>30043929</v>
      </c>
      <c r="D653" s="16"/>
      <c r="E653">
        <v>59</v>
      </c>
      <c r="F653">
        <v>17</v>
      </c>
      <c r="G653">
        <v>0</v>
      </c>
      <c r="H653">
        <v>9.9</v>
      </c>
      <c r="I653">
        <v>2.1</v>
      </c>
      <c r="J653">
        <v>8</v>
      </c>
    </row>
    <row r="654" spans="2:10" x14ac:dyDescent="0.25">
      <c r="B654" t="s">
        <v>19449</v>
      </c>
      <c r="C654" s="16">
        <v>30043929</v>
      </c>
      <c r="D654" s="16"/>
      <c r="E654">
        <v>0</v>
      </c>
      <c r="F654">
        <v>17</v>
      </c>
      <c r="G654">
        <v>0</v>
      </c>
      <c r="H654">
        <v>9.9</v>
      </c>
      <c r="I654">
        <v>2.1</v>
      </c>
      <c r="J654">
        <v>8</v>
      </c>
    </row>
    <row r="655" spans="2:10" x14ac:dyDescent="0.25">
      <c r="B655" t="s">
        <v>2720</v>
      </c>
      <c r="C655" s="16">
        <v>30043929</v>
      </c>
      <c r="D655" s="16"/>
      <c r="E655">
        <v>0</v>
      </c>
      <c r="F655">
        <v>17</v>
      </c>
      <c r="G655">
        <v>0</v>
      </c>
      <c r="H655">
        <v>9.9</v>
      </c>
      <c r="I655">
        <v>2.1</v>
      </c>
      <c r="J655">
        <v>8</v>
      </c>
    </row>
    <row r="656" spans="2:10" x14ac:dyDescent="0.25">
      <c r="B656" t="s">
        <v>2721</v>
      </c>
      <c r="C656" s="16">
        <v>30043929</v>
      </c>
      <c r="D656" s="16"/>
      <c r="E656" t="s">
        <v>19447</v>
      </c>
      <c r="F656">
        <v>17</v>
      </c>
      <c r="G656">
        <v>0</v>
      </c>
      <c r="H656">
        <v>9.9</v>
      </c>
      <c r="I656">
        <v>2.1</v>
      </c>
      <c r="J656">
        <v>8</v>
      </c>
    </row>
    <row r="657" spans="2:10" x14ac:dyDescent="0.25">
      <c r="B657" t="s">
        <v>2719</v>
      </c>
      <c r="C657" s="16">
        <v>30043929</v>
      </c>
      <c r="D657" s="16"/>
      <c r="E657">
        <v>0</v>
      </c>
      <c r="F657">
        <v>17</v>
      </c>
      <c r="G657">
        <v>0</v>
      </c>
      <c r="H657">
        <v>9.9</v>
      </c>
      <c r="I657">
        <v>2.1</v>
      </c>
      <c r="J657">
        <v>8</v>
      </c>
    </row>
    <row r="658" spans="2:10" x14ac:dyDescent="0.25">
      <c r="B658" t="s">
        <v>2715</v>
      </c>
      <c r="C658" s="16">
        <v>30043929</v>
      </c>
      <c r="D658" s="16"/>
      <c r="E658">
        <v>0</v>
      </c>
      <c r="F658">
        <v>17</v>
      </c>
      <c r="G658">
        <v>0</v>
      </c>
      <c r="H658">
        <v>9.9</v>
      </c>
      <c r="I658">
        <v>2.1</v>
      </c>
      <c r="J658">
        <v>8</v>
      </c>
    </row>
    <row r="659" spans="2:10" x14ac:dyDescent="0.25">
      <c r="B659" t="s">
        <v>2716</v>
      </c>
      <c r="C659" s="16">
        <v>30043929</v>
      </c>
      <c r="D659" s="16"/>
      <c r="E659" t="s">
        <v>19447</v>
      </c>
      <c r="F659">
        <v>17</v>
      </c>
      <c r="G659">
        <v>0</v>
      </c>
      <c r="H659">
        <v>9.9</v>
      </c>
      <c r="I659">
        <v>2.1</v>
      </c>
      <c r="J659">
        <v>8</v>
      </c>
    </row>
    <row r="660" spans="2:10" x14ac:dyDescent="0.25">
      <c r="B660" t="s">
        <v>19450</v>
      </c>
      <c r="C660" s="16">
        <v>30043929</v>
      </c>
      <c r="D660" s="16"/>
      <c r="E660">
        <v>0</v>
      </c>
      <c r="F660">
        <v>17</v>
      </c>
      <c r="G660">
        <v>0</v>
      </c>
      <c r="H660">
        <v>9.9</v>
      </c>
      <c r="I660">
        <v>2.1</v>
      </c>
      <c r="J660">
        <v>8</v>
      </c>
    </row>
    <row r="661" spans="2:10" x14ac:dyDescent="0.25">
      <c r="B661" t="s">
        <v>2714</v>
      </c>
      <c r="C661" s="16">
        <v>30043929</v>
      </c>
      <c r="D661" s="16"/>
      <c r="E661">
        <v>0</v>
      </c>
      <c r="F661">
        <v>12</v>
      </c>
      <c r="G661">
        <v>0</v>
      </c>
      <c r="H661">
        <v>9.9</v>
      </c>
      <c r="I661">
        <v>2.1</v>
      </c>
      <c r="J661">
        <v>8</v>
      </c>
    </row>
    <row r="662" spans="2:10" x14ac:dyDescent="0.25">
      <c r="B662" t="s">
        <v>2718</v>
      </c>
      <c r="C662" s="16">
        <v>30043929</v>
      </c>
      <c r="D662" s="16"/>
      <c r="E662">
        <v>0</v>
      </c>
      <c r="F662">
        <v>17</v>
      </c>
      <c r="G662">
        <v>0</v>
      </c>
      <c r="H662">
        <v>9.9</v>
      </c>
      <c r="I662">
        <v>2.1</v>
      </c>
      <c r="J662">
        <v>8</v>
      </c>
    </row>
    <row r="663" spans="2:10" x14ac:dyDescent="0.25">
      <c r="B663" t="s">
        <v>2717</v>
      </c>
      <c r="C663" s="16">
        <v>30043929</v>
      </c>
      <c r="D663" s="16"/>
      <c r="E663">
        <v>0</v>
      </c>
      <c r="F663">
        <v>17</v>
      </c>
      <c r="G663">
        <v>0</v>
      </c>
      <c r="H663">
        <v>9.9</v>
      </c>
      <c r="I663">
        <v>2.1</v>
      </c>
      <c r="J663">
        <v>8</v>
      </c>
    </row>
    <row r="664" spans="2:10" x14ac:dyDescent="0.25">
      <c r="B664" t="s">
        <v>2723</v>
      </c>
      <c r="C664" s="16">
        <v>30043929</v>
      </c>
      <c r="D664" s="16"/>
      <c r="E664">
        <v>0</v>
      </c>
      <c r="F664">
        <v>17</v>
      </c>
      <c r="G664">
        <v>0</v>
      </c>
      <c r="H664">
        <v>9.9</v>
      </c>
      <c r="I664">
        <v>2.1</v>
      </c>
      <c r="J664">
        <v>8</v>
      </c>
    </row>
    <row r="665" spans="2:10" x14ac:dyDescent="0.25">
      <c r="B665" t="s">
        <v>19451</v>
      </c>
      <c r="C665" s="16">
        <v>30043929</v>
      </c>
      <c r="D665" s="16"/>
      <c r="E665">
        <v>0</v>
      </c>
      <c r="F665">
        <v>17</v>
      </c>
      <c r="G665">
        <v>0</v>
      </c>
      <c r="H665">
        <v>9.9</v>
      </c>
      <c r="I665">
        <v>2.1</v>
      </c>
      <c r="J665">
        <v>8</v>
      </c>
    </row>
    <row r="666" spans="2:10" x14ac:dyDescent="0.25">
      <c r="B666" t="s">
        <v>2722</v>
      </c>
      <c r="C666" s="16">
        <v>30043929</v>
      </c>
      <c r="D666" s="16"/>
      <c r="E666">
        <v>0</v>
      </c>
      <c r="F666">
        <v>17</v>
      </c>
      <c r="G666">
        <v>0</v>
      </c>
      <c r="H666">
        <v>9.9</v>
      </c>
      <c r="I666">
        <v>2.1</v>
      </c>
      <c r="J666">
        <v>8</v>
      </c>
    </row>
    <row r="667" spans="2:10" x14ac:dyDescent="0.25">
      <c r="B667" t="s">
        <v>19452</v>
      </c>
      <c r="C667" s="16">
        <v>30043929</v>
      </c>
      <c r="D667" s="16"/>
      <c r="E667">
        <v>0</v>
      </c>
      <c r="F667">
        <v>17</v>
      </c>
      <c r="G667">
        <v>0</v>
      </c>
      <c r="H667">
        <v>9.9</v>
      </c>
      <c r="I667">
        <v>2.1</v>
      </c>
      <c r="J667">
        <v>8</v>
      </c>
    </row>
    <row r="668" spans="2:10" x14ac:dyDescent="0.25">
      <c r="B668" t="s">
        <v>2710</v>
      </c>
      <c r="C668" s="16">
        <v>30043929</v>
      </c>
      <c r="D668" s="16"/>
      <c r="E668">
        <v>0</v>
      </c>
      <c r="F668">
        <v>12</v>
      </c>
      <c r="G668">
        <v>0</v>
      </c>
      <c r="H668">
        <v>9.9</v>
      </c>
      <c r="I668">
        <v>2.1</v>
      </c>
      <c r="J668">
        <v>8</v>
      </c>
    </row>
    <row r="669" spans="2:10" x14ac:dyDescent="0.25">
      <c r="B669" t="s">
        <v>2713</v>
      </c>
      <c r="C669" s="16">
        <v>30043929</v>
      </c>
      <c r="D669" s="16"/>
      <c r="E669">
        <v>0</v>
      </c>
      <c r="F669">
        <v>19</v>
      </c>
      <c r="G669">
        <v>0</v>
      </c>
      <c r="H669">
        <v>9.9</v>
      </c>
      <c r="I669">
        <v>2.1</v>
      </c>
      <c r="J669">
        <v>8</v>
      </c>
    </row>
    <row r="670" spans="2:10" x14ac:dyDescent="0.25">
      <c r="B670" t="s">
        <v>19453</v>
      </c>
      <c r="C670" s="16">
        <v>30043929</v>
      </c>
      <c r="D670" s="16"/>
      <c r="E670">
        <v>0</v>
      </c>
      <c r="F670">
        <v>17</v>
      </c>
      <c r="G670">
        <v>0</v>
      </c>
      <c r="H670">
        <v>9.9</v>
      </c>
      <c r="I670">
        <v>2.1</v>
      </c>
      <c r="J670">
        <v>8</v>
      </c>
    </row>
    <row r="671" spans="2:10" x14ac:dyDescent="0.25">
      <c r="B671" t="s">
        <v>19454</v>
      </c>
      <c r="C671" s="16">
        <v>30043929</v>
      </c>
      <c r="D671" s="16"/>
      <c r="E671">
        <v>0</v>
      </c>
      <c r="F671">
        <v>17</v>
      </c>
      <c r="G671">
        <v>0</v>
      </c>
      <c r="H671">
        <v>9.9</v>
      </c>
      <c r="I671">
        <v>2.1</v>
      </c>
      <c r="J671">
        <v>8</v>
      </c>
    </row>
    <row r="672" spans="2:10" x14ac:dyDescent="0.25">
      <c r="B672" t="s">
        <v>19455</v>
      </c>
      <c r="C672" s="16">
        <v>30043929</v>
      </c>
      <c r="D672" s="16"/>
      <c r="E672">
        <v>0</v>
      </c>
      <c r="F672">
        <v>17</v>
      </c>
      <c r="G672">
        <v>0</v>
      </c>
      <c r="H672">
        <v>9.9</v>
      </c>
      <c r="I672">
        <v>2.1</v>
      </c>
      <c r="J672">
        <v>8</v>
      </c>
    </row>
    <row r="673" spans="2:10" x14ac:dyDescent="0.25">
      <c r="B673" t="s">
        <v>2712</v>
      </c>
      <c r="C673" s="16">
        <v>30043929</v>
      </c>
      <c r="D673" s="16"/>
      <c r="E673">
        <v>0</v>
      </c>
      <c r="F673">
        <v>17</v>
      </c>
      <c r="G673">
        <v>0</v>
      </c>
      <c r="H673">
        <v>9.9</v>
      </c>
      <c r="I673">
        <v>2.1</v>
      </c>
      <c r="J673">
        <v>8</v>
      </c>
    </row>
    <row r="674" spans="2:10" x14ac:dyDescent="0.25">
      <c r="B674" t="s">
        <v>2711</v>
      </c>
      <c r="C674" s="16">
        <v>30043929</v>
      </c>
      <c r="D674" s="16"/>
      <c r="E674">
        <v>0</v>
      </c>
      <c r="F674">
        <v>17</v>
      </c>
      <c r="G674">
        <v>0</v>
      </c>
      <c r="H674">
        <v>9.9</v>
      </c>
      <c r="I674">
        <v>2.1</v>
      </c>
      <c r="J674">
        <v>8</v>
      </c>
    </row>
    <row r="675" spans="2:10" x14ac:dyDescent="0.25">
      <c r="B675" t="s">
        <v>19456</v>
      </c>
      <c r="C675" s="16">
        <v>30043929</v>
      </c>
      <c r="D675" s="16"/>
      <c r="E675">
        <v>0</v>
      </c>
      <c r="F675">
        <v>17</v>
      </c>
      <c r="G675">
        <v>0</v>
      </c>
      <c r="H675">
        <v>9.9</v>
      </c>
      <c r="I675">
        <v>2.1</v>
      </c>
      <c r="J675">
        <v>8</v>
      </c>
    </row>
    <row r="676" spans="2:10" x14ac:dyDescent="0.25">
      <c r="B676" t="s">
        <v>2709</v>
      </c>
      <c r="C676" s="16">
        <v>30043929</v>
      </c>
      <c r="D676" s="16"/>
      <c r="E676">
        <v>0</v>
      </c>
      <c r="F676">
        <v>18</v>
      </c>
      <c r="G676">
        <v>0</v>
      </c>
      <c r="H676">
        <v>9.9</v>
      </c>
      <c r="I676">
        <v>2.1</v>
      </c>
      <c r="J676">
        <v>8</v>
      </c>
    </row>
    <row r="677" spans="2:10" x14ac:dyDescent="0.25">
      <c r="B677" t="s">
        <v>19457</v>
      </c>
      <c r="C677" s="16">
        <v>30043929</v>
      </c>
      <c r="D677" s="16"/>
      <c r="E677">
        <v>0</v>
      </c>
      <c r="F677">
        <v>17</v>
      </c>
      <c r="G677">
        <v>0</v>
      </c>
      <c r="H677">
        <v>9.9</v>
      </c>
      <c r="I677">
        <v>2.1</v>
      </c>
      <c r="J677">
        <v>8</v>
      </c>
    </row>
    <row r="678" spans="2:10" x14ac:dyDescent="0.25">
      <c r="B678" t="s">
        <v>19446</v>
      </c>
      <c r="C678" s="16">
        <v>30043939</v>
      </c>
      <c r="D678" s="16"/>
      <c r="E678">
        <v>0</v>
      </c>
      <c r="F678">
        <v>17</v>
      </c>
      <c r="G678">
        <v>0</v>
      </c>
      <c r="H678">
        <v>9.9</v>
      </c>
      <c r="I678">
        <v>2.1</v>
      </c>
      <c r="J678">
        <v>8</v>
      </c>
    </row>
    <row r="679" spans="2:10" x14ac:dyDescent="0.25">
      <c r="B679" t="s">
        <v>19448</v>
      </c>
      <c r="C679" s="16">
        <v>30043939</v>
      </c>
      <c r="D679" s="16"/>
      <c r="E679">
        <v>0</v>
      </c>
      <c r="F679">
        <v>17</v>
      </c>
      <c r="G679">
        <v>0</v>
      </c>
      <c r="H679">
        <v>9.9</v>
      </c>
      <c r="I679">
        <v>2.1</v>
      </c>
      <c r="J679">
        <v>8</v>
      </c>
    </row>
    <row r="680" spans="2:10" x14ac:dyDescent="0.25">
      <c r="B680" t="s">
        <v>2724</v>
      </c>
      <c r="C680" s="16">
        <v>30043939</v>
      </c>
      <c r="D680" s="16"/>
      <c r="E680">
        <v>59</v>
      </c>
      <c r="F680">
        <v>17</v>
      </c>
      <c r="G680">
        <v>0</v>
      </c>
      <c r="H680">
        <v>9.9</v>
      </c>
      <c r="I680">
        <v>2.1</v>
      </c>
      <c r="J680">
        <v>8</v>
      </c>
    </row>
    <row r="681" spans="2:10" x14ac:dyDescent="0.25">
      <c r="B681" t="s">
        <v>19449</v>
      </c>
      <c r="C681" s="16">
        <v>30043939</v>
      </c>
      <c r="D681" s="16"/>
      <c r="E681">
        <v>0</v>
      </c>
      <c r="F681">
        <v>17</v>
      </c>
      <c r="G681">
        <v>0</v>
      </c>
      <c r="H681">
        <v>9.9</v>
      </c>
      <c r="I681">
        <v>2.1</v>
      </c>
      <c r="J681">
        <v>8</v>
      </c>
    </row>
    <row r="682" spans="2:10" x14ac:dyDescent="0.25">
      <c r="B682" t="s">
        <v>2720</v>
      </c>
      <c r="C682" s="16">
        <v>30043939</v>
      </c>
      <c r="D682" s="16"/>
      <c r="E682">
        <v>0</v>
      </c>
      <c r="F682">
        <v>17</v>
      </c>
      <c r="G682">
        <v>0</v>
      </c>
      <c r="H682">
        <v>9.9</v>
      </c>
      <c r="I682">
        <v>2.1</v>
      </c>
      <c r="J682">
        <v>8</v>
      </c>
    </row>
    <row r="683" spans="2:10" x14ac:dyDescent="0.25">
      <c r="B683" t="s">
        <v>2721</v>
      </c>
      <c r="C683" s="16">
        <v>30043939</v>
      </c>
      <c r="D683" s="16"/>
      <c r="E683" t="s">
        <v>19447</v>
      </c>
      <c r="F683">
        <v>17</v>
      </c>
      <c r="G683">
        <v>0</v>
      </c>
      <c r="H683">
        <v>9.9</v>
      </c>
      <c r="I683">
        <v>2.1</v>
      </c>
      <c r="J683">
        <v>8</v>
      </c>
    </row>
    <row r="684" spans="2:10" x14ac:dyDescent="0.25">
      <c r="B684" t="s">
        <v>2719</v>
      </c>
      <c r="C684" s="16">
        <v>30043939</v>
      </c>
      <c r="D684" s="16"/>
      <c r="E684">
        <v>0</v>
      </c>
      <c r="F684">
        <v>17</v>
      </c>
      <c r="G684">
        <v>0</v>
      </c>
      <c r="H684">
        <v>9.9</v>
      </c>
      <c r="I684">
        <v>2.1</v>
      </c>
      <c r="J684">
        <v>8</v>
      </c>
    </row>
    <row r="685" spans="2:10" x14ac:dyDescent="0.25">
      <c r="B685" t="s">
        <v>2715</v>
      </c>
      <c r="C685" s="16">
        <v>30043939</v>
      </c>
      <c r="D685" s="16"/>
      <c r="E685">
        <v>0</v>
      </c>
      <c r="F685">
        <v>17</v>
      </c>
      <c r="G685">
        <v>0</v>
      </c>
      <c r="H685">
        <v>9.9</v>
      </c>
      <c r="I685">
        <v>2.1</v>
      </c>
      <c r="J685">
        <v>8</v>
      </c>
    </row>
    <row r="686" spans="2:10" x14ac:dyDescent="0.25">
      <c r="B686" t="s">
        <v>2716</v>
      </c>
      <c r="C686" s="16">
        <v>30043939</v>
      </c>
      <c r="D686" s="16"/>
      <c r="E686" t="s">
        <v>19447</v>
      </c>
      <c r="F686">
        <v>17</v>
      </c>
      <c r="G686">
        <v>0</v>
      </c>
      <c r="H686">
        <v>9.9</v>
      </c>
      <c r="I686">
        <v>2.1</v>
      </c>
      <c r="J686">
        <v>8</v>
      </c>
    </row>
    <row r="687" spans="2:10" x14ac:dyDescent="0.25">
      <c r="B687" t="s">
        <v>19450</v>
      </c>
      <c r="C687" s="16">
        <v>30043939</v>
      </c>
      <c r="D687" s="16"/>
      <c r="E687">
        <v>0</v>
      </c>
      <c r="F687">
        <v>17</v>
      </c>
      <c r="G687">
        <v>0</v>
      </c>
      <c r="H687">
        <v>9.9</v>
      </c>
      <c r="I687">
        <v>2.1</v>
      </c>
      <c r="J687">
        <v>8</v>
      </c>
    </row>
    <row r="688" spans="2:10" x14ac:dyDescent="0.25">
      <c r="B688" t="s">
        <v>2714</v>
      </c>
      <c r="C688" s="16">
        <v>30043939</v>
      </c>
      <c r="D688" s="16"/>
      <c r="E688">
        <v>0</v>
      </c>
      <c r="F688">
        <v>12</v>
      </c>
      <c r="G688">
        <v>0</v>
      </c>
      <c r="H688">
        <v>9.9</v>
      </c>
      <c r="I688">
        <v>2.1</v>
      </c>
      <c r="J688">
        <v>8</v>
      </c>
    </row>
    <row r="689" spans="2:10" x14ac:dyDescent="0.25">
      <c r="B689" t="s">
        <v>2718</v>
      </c>
      <c r="C689" s="16">
        <v>30043939</v>
      </c>
      <c r="D689" s="16"/>
      <c r="E689">
        <v>0</v>
      </c>
      <c r="F689">
        <v>17</v>
      </c>
      <c r="G689">
        <v>0</v>
      </c>
      <c r="H689">
        <v>9.9</v>
      </c>
      <c r="I689">
        <v>2.1</v>
      </c>
      <c r="J689">
        <v>8</v>
      </c>
    </row>
    <row r="690" spans="2:10" x14ac:dyDescent="0.25">
      <c r="B690" t="s">
        <v>2717</v>
      </c>
      <c r="C690" s="16">
        <v>30043939</v>
      </c>
      <c r="D690" s="16"/>
      <c r="E690">
        <v>0</v>
      </c>
      <c r="F690">
        <v>17</v>
      </c>
      <c r="G690">
        <v>0</v>
      </c>
      <c r="H690">
        <v>9.9</v>
      </c>
      <c r="I690">
        <v>2.1</v>
      </c>
      <c r="J690">
        <v>8</v>
      </c>
    </row>
    <row r="691" spans="2:10" x14ac:dyDescent="0.25">
      <c r="B691" t="s">
        <v>2723</v>
      </c>
      <c r="C691" s="16">
        <v>30043939</v>
      </c>
      <c r="D691" s="16"/>
      <c r="E691">
        <v>0</v>
      </c>
      <c r="F691">
        <v>17</v>
      </c>
      <c r="G691">
        <v>0</v>
      </c>
      <c r="H691">
        <v>9.9</v>
      </c>
      <c r="I691">
        <v>2.1</v>
      </c>
      <c r="J691">
        <v>8</v>
      </c>
    </row>
    <row r="692" spans="2:10" x14ac:dyDescent="0.25">
      <c r="B692" t="s">
        <v>19451</v>
      </c>
      <c r="C692" s="16">
        <v>30043939</v>
      </c>
      <c r="D692" s="16"/>
      <c r="E692">
        <v>0</v>
      </c>
      <c r="F692">
        <v>17</v>
      </c>
      <c r="G692">
        <v>0</v>
      </c>
      <c r="H692">
        <v>9.9</v>
      </c>
      <c r="I692">
        <v>2.1</v>
      </c>
      <c r="J692">
        <v>8</v>
      </c>
    </row>
    <row r="693" spans="2:10" x14ac:dyDescent="0.25">
      <c r="B693" t="s">
        <v>2722</v>
      </c>
      <c r="C693" s="16">
        <v>30043939</v>
      </c>
      <c r="D693" s="16"/>
      <c r="E693">
        <v>0</v>
      </c>
      <c r="F693">
        <v>17</v>
      </c>
      <c r="G693">
        <v>0</v>
      </c>
      <c r="H693">
        <v>9.9</v>
      </c>
      <c r="I693">
        <v>2.1</v>
      </c>
      <c r="J693">
        <v>8</v>
      </c>
    </row>
    <row r="694" spans="2:10" x14ac:dyDescent="0.25">
      <c r="B694" t="s">
        <v>19452</v>
      </c>
      <c r="C694" s="16">
        <v>30043939</v>
      </c>
      <c r="D694" s="16"/>
      <c r="E694">
        <v>0</v>
      </c>
      <c r="F694">
        <v>17</v>
      </c>
      <c r="G694">
        <v>0</v>
      </c>
      <c r="H694">
        <v>9.9</v>
      </c>
      <c r="I694">
        <v>2.1</v>
      </c>
      <c r="J694">
        <v>8</v>
      </c>
    </row>
    <row r="695" spans="2:10" x14ac:dyDescent="0.25">
      <c r="B695" t="s">
        <v>2710</v>
      </c>
      <c r="C695" s="16">
        <v>30043939</v>
      </c>
      <c r="D695" s="16"/>
      <c r="E695">
        <v>0</v>
      </c>
      <c r="F695">
        <v>12</v>
      </c>
      <c r="G695">
        <v>0</v>
      </c>
      <c r="H695">
        <v>9.9</v>
      </c>
      <c r="I695">
        <v>2.1</v>
      </c>
      <c r="J695">
        <v>8</v>
      </c>
    </row>
    <row r="696" spans="2:10" x14ac:dyDescent="0.25">
      <c r="B696" t="s">
        <v>2713</v>
      </c>
      <c r="C696" s="16">
        <v>30043939</v>
      </c>
      <c r="D696" s="16"/>
      <c r="E696">
        <v>0</v>
      </c>
      <c r="F696">
        <v>19</v>
      </c>
      <c r="G696">
        <v>0</v>
      </c>
      <c r="H696">
        <v>9.9</v>
      </c>
      <c r="I696">
        <v>2.1</v>
      </c>
      <c r="J696">
        <v>8</v>
      </c>
    </row>
    <row r="697" spans="2:10" x14ac:dyDescent="0.25">
      <c r="B697" t="s">
        <v>19453</v>
      </c>
      <c r="C697" s="16">
        <v>30043939</v>
      </c>
      <c r="D697" s="16"/>
      <c r="E697">
        <v>0</v>
      </c>
      <c r="F697">
        <v>17</v>
      </c>
      <c r="G697">
        <v>0</v>
      </c>
      <c r="H697">
        <v>9.9</v>
      </c>
      <c r="I697">
        <v>2.1</v>
      </c>
      <c r="J697">
        <v>8</v>
      </c>
    </row>
    <row r="698" spans="2:10" x14ac:dyDescent="0.25">
      <c r="B698" t="s">
        <v>19454</v>
      </c>
      <c r="C698" s="16">
        <v>30043939</v>
      </c>
      <c r="D698" s="16"/>
      <c r="E698">
        <v>0</v>
      </c>
      <c r="F698">
        <v>17</v>
      </c>
      <c r="G698">
        <v>0</v>
      </c>
      <c r="H698">
        <v>9.9</v>
      </c>
      <c r="I698">
        <v>2.1</v>
      </c>
      <c r="J698">
        <v>8</v>
      </c>
    </row>
    <row r="699" spans="2:10" x14ac:dyDescent="0.25">
      <c r="B699" t="s">
        <v>19455</v>
      </c>
      <c r="C699" s="16">
        <v>30043939</v>
      </c>
      <c r="D699" s="16"/>
      <c r="E699">
        <v>0</v>
      </c>
      <c r="F699">
        <v>17</v>
      </c>
      <c r="G699">
        <v>0</v>
      </c>
      <c r="H699">
        <v>9.9</v>
      </c>
      <c r="I699">
        <v>2.1</v>
      </c>
      <c r="J699">
        <v>8</v>
      </c>
    </row>
    <row r="700" spans="2:10" x14ac:dyDescent="0.25">
      <c r="B700" t="s">
        <v>2712</v>
      </c>
      <c r="C700" s="16">
        <v>30043939</v>
      </c>
      <c r="D700" s="16"/>
      <c r="E700">
        <v>0</v>
      </c>
      <c r="F700">
        <v>17</v>
      </c>
      <c r="G700">
        <v>0</v>
      </c>
      <c r="H700">
        <v>9.9</v>
      </c>
      <c r="I700">
        <v>2.1</v>
      </c>
      <c r="J700">
        <v>8</v>
      </c>
    </row>
    <row r="701" spans="2:10" x14ac:dyDescent="0.25">
      <c r="B701" t="s">
        <v>2711</v>
      </c>
      <c r="C701" s="16">
        <v>30043939</v>
      </c>
      <c r="D701" s="16"/>
      <c r="E701">
        <v>0</v>
      </c>
      <c r="F701">
        <v>17</v>
      </c>
      <c r="G701">
        <v>0</v>
      </c>
      <c r="H701">
        <v>9.9</v>
      </c>
      <c r="I701">
        <v>2.1</v>
      </c>
      <c r="J701">
        <v>8</v>
      </c>
    </row>
    <row r="702" spans="2:10" x14ac:dyDescent="0.25">
      <c r="B702" t="s">
        <v>19456</v>
      </c>
      <c r="C702" s="16">
        <v>30043939</v>
      </c>
      <c r="D702" s="16"/>
      <c r="E702">
        <v>0</v>
      </c>
      <c r="F702">
        <v>17</v>
      </c>
      <c r="G702">
        <v>0</v>
      </c>
      <c r="H702">
        <v>9.9</v>
      </c>
      <c r="I702">
        <v>2.1</v>
      </c>
      <c r="J702">
        <v>8</v>
      </c>
    </row>
    <row r="703" spans="2:10" x14ac:dyDescent="0.25">
      <c r="B703" t="s">
        <v>2709</v>
      </c>
      <c r="C703" s="16">
        <v>30043939</v>
      </c>
      <c r="D703" s="16"/>
      <c r="E703">
        <v>0</v>
      </c>
      <c r="F703">
        <v>18</v>
      </c>
      <c r="G703">
        <v>0</v>
      </c>
      <c r="H703">
        <v>9.9</v>
      </c>
      <c r="I703">
        <v>2.1</v>
      </c>
      <c r="J703">
        <v>8</v>
      </c>
    </row>
    <row r="704" spans="2:10" x14ac:dyDescent="0.25">
      <c r="B704" t="s">
        <v>19457</v>
      </c>
      <c r="C704" s="16">
        <v>30043939</v>
      </c>
      <c r="D704" s="16"/>
      <c r="E704">
        <v>0</v>
      </c>
      <c r="F704">
        <v>17</v>
      </c>
      <c r="G704">
        <v>0</v>
      </c>
      <c r="H704">
        <v>9.9</v>
      </c>
      <c r="I704">
        <v>2.1</v>
      </c>
      <c r="J704">
        <v>8</v>
      </c>
    </row>
    <row r="705" spans="2:10" x14ac:dyDescent="0.25">
      <c r="B705" t="s">
        <v>19446</v>
      </c>
      <c r="C705" s="16">
        <v>30043999</v>
      </c>
      <c r="D705" s="16"/>
      <c r="E705">
        <v>0</v>
      </c>
      <c r="F705">
        <v>17</v>
      </c>
      <c r="G705">
        <v>0</v>
      </c>
      <c r="H705">
        <v>9.9</v>
      </c>
      <c r="I705">
        <v>2.1</v>
      </c>
      <c r="J705">
        <v>8</v>
      </c>
    </row>
    <row r="706" spans="2:10" x14ac:dyDescent="0.25">
      <c r="B706" t="s">
        <v>19448</v>
      </c>
      <c r="C706" s="16">
        <v>30043999</v>
      </c>
      <c r="D706" s="16"/>
      <c r="E706">
        <v>0</v>
      </c>
      <c r="F706">
        <v>17</v>
      </c>
      <c r="G706">
        <v>0</v>
      </c>
      <c r="H706">
        <v>9.9</v>
      </c>
      <c r="I706">
        <v>2.1</v>
      </c>
      <c r="J706">
        <v>8</v>
      </c>
    </row>
    <row r="707" spans="2:10" x14ac:dyDescent="0.25">
      <c r="B707" t="s">
        <v>2724</v>
      </c>
      <c r="C707" s="16">
        <v>30043999</v>
      </c>
      <c r="D707" s="16"/>
      <c r="E707">
        <v>59</v>
      </c>
      <c r="F707">
        <v>17</v>
      </c>
      <c r="G707">
        <v>0</v>
      </c>
      <c r="H707">
        <v>9.9</v>
      </c>
      <c r="I707">
        <v>2.1</v>
      </c>
      <c r="J707">
        <v>8</v>
      </c>
    </row>
    <row r="708" spans="2:10" x14ac:dyDescent="0.25">
      <c r="B708" t="s">
        <v>19449</v>
      </c>
      <c r="C708" s="16">
        <v>30043999</v>
      </c>
      <c r="D708" s="16"/>
      <c r="E708">
        <v>0</v>
      </c>
      <c r="F708">
        <v>17</v>
      </c>
      <c r="G708">
        <v>0</v>
      </c>
      <c r="H708">
        <v>9.9</v>
      </c>
      <c r="I708">
        <v>2.1</v>
      </c>
      <c r="J708">
        <v>8</v>
      </c>
    </row>
    <row r="709" spans="2:10" x14ac:dyDescent="0.25">
      <c r="B709" t="s">
        <v>2720</v>
      </c>
      <c r="C709" s="16">
        <v>30043999</v>
      </c>
      <c r="D709" s="16"/>
      <c r="E709">
        <v>0</v>
      </c>
      <c r="F709">
        <v>17</v>
      </c>
      <c r="G709">
        <v>0</v>
      </c>
      <c r="H709">
        <v>9.9</v>
      </c>
      <c r="I709">
        <v>2.1</v>
      </c>
      <c r="J709">
        <v>8</v>
      </c>
    </row>
    <row r="710" spans="2:10" x14ac:dyDescent="0.25">
      <c r="B710" t="s">
        <v>2721</v>
      </c>
      <c r="C710" s="16">
        <v>30043999</v>
      </c>
      <c r="D710" s="16"/>
      <c r="E710" t="s">
        <v>19447</v>
      </c>
      <c r="F710">
        <v>17</v>
      </c>
      <c r="G710">
        <v>0</v>
      </c>
      <c r="H710">
        <v>9.9</v>
      </c>
      <c r="I710">
        <v>2.1</v>
      </c>
      <c r="J710">
        <v>8</v>
      </c>
    </row>
    <row r="711" spans="2:10" x14ac:dyDescent="0.25">
      <c r="B711" t="s">
        <v>2719</v>
      </c>
      <c r="C711" s="16">
        <v>30043999</v>
      </c>
      <c r="D711" s="16"/>
      <c r="E711">
        <v>0</v>
      </c>
      <c r="F711">
        <v>17</v>
      </c>
      <c r="G711">
        <v>0</v>
      </c>
      <c r="H711">
        <v>9.9</v>
      </c>
      <c r="I711">
        <v>2.1</v>
      </c>
      <c r="J711">
        <v>8</v>
      </c>
    </row>
    <row r="712" spans="2:10" x14ac:dyDescent="0.25">
      <c r="B712" t="s">
        <v>2715</v>
      </c>
      <c r="C712" s="16">
        <v>30043999</v>
      </c>
      <c r="D712" s="16"/>
      <c r="E712">
        <v>0</v>
      </c>
      <c r="F712">
        <v>17</v>
      </c>
      <c r="G712">
        <v>0</v>
      </c>
      <c r="H712">
        <v>9.9</v>
      </c>
      <c r="I712">
        <v>2.1</v>
      </c>
      <c r="J712">
        <v>8</v>
      </c>
    </row>
    <row r="713" spans="2:10" x14ac:dyDescent="0.25">
      <c r="B713" t="s">
        <v>2716</v>
      </c>
      <c r="C713" s="16">
        <v>30043999</v>
      </c>
      <c r="D713" s="16"/>
      <c r="E713" t="s">
        <v>19447</v>
      </c>
      <c r="F713">
        <v>17</v>
      </c>
      <c r="G713">
        <v>0</v>
      </c>
      <c r="H713">
        <v>9.9</v>
      </c>
      <c r="I713">
        <v>2.1</v>
      </c>
      <c r="J713">
        <v>8</v>
      </c>
    </row>
    <row r="714" spans="2:10" x14ac:dyDescent="0.25">
      <c r="B714" t="s">
        <v>19450</v>
      </c>
      <c r="C714" s="16">
        <v>30043999</v>
      </c>
      <c r="D714" s="16"/>
      <c r="E714">
        <v>0</v>
      </c>
      <c r="F714">
        <v>17</v>
      </c>
      <c r="G714">
        <v>0</v>
      </c>
      <c r="H714">
        <v>9.9</v>
      </c>
      <c r="I714">
        <v>2.1</v>
      </c>
      <c r="J714">
        <v>8</v>
      </c>
    </row>
    <row r="715" spans="2:10" x14ac:dyDescent="0.25">
      <c r="B715" t="s">
        <v>2714</v>
      </c>
      <c r="C715" s="16">
        <v>30043999</v>
      </c>
      <c r="D715" s="16"/>
      <c r="E715">
        <v>0</v>
      </c>
      <c r="F715">
        <v>12</v>
      </c>
      <c r="G715">
        <v>0</v>
      </c>
      <c r="H715">
        <v>9.9</v>
      </c>
      <c r="I715">
        <v>2.1</v>
      </c>
      <c r="J715">
        <v>8</v>
      </c>
    </row>
    <row r="716" spans="2:10" x14ac:dyDescent="0.25">
      <c r="B716" t="s">
        <v>2718</v>
      </c>
      <c r="C716" s="16">
        <v>30043999</v>
      </c>
      <c r="D716" s="16"/>
      <c r="E716">
        <v>0</v>
      </c>
      <c r="F716">
        <v>17</v>
      </c>
      <c r="G716">
        <v>0</v>
      </c>
      <c r="H716">
        <v>9.9</v>
      </c>
      <c r="I716">
        <v>2.1</v>
      </c>
      <c r="J716">
        <v>8</v>
      </c>
    </row>
    <row r="717" spans="2:10" x14ac:dyDescent="0.25">
      <c r="B717" t="s">
        <v>2717</v>
      </c>
      <c r="C717" s="16">
        <v>30043999</v>
      </c>
      <c r="D717" s="16"/>
      <c r="E717">
        <v>0</v>
      </c>
      <c r="F717">
        <v>17</v>
      </c>
      <c r="G717">
        <v>0</v>
      </c>
      <c r="H717">
        <v>9.9</v>
      </c>
      <c r="I717">
        <v>2.1</v>
      </c>
      <c r="J717">
        <v>8</v>
      </c>
    </row>
    <row r="718" spans="2:10" x14ac:dyDescent="0.25">
      <c r="B718" t="s">
        <v>2723</v>
      </c>
      <c r="C718" s="16">
        <v>30043999</v>
      </c>
      <c r="D718" s="16"/>
      <c r="E718">
        <v>0</v>
      </c>
      <c r="F718">
        <v>17</v>
      </c>
      <c r="G718">
        <v>0</v>
      </c>
      <c r="H718">
        <v>9.9</v>
      </c>
      <c r="I718">
        <v>2.1</v>
      </c>
      <c r="J718">
        <v>8</v>
      </c>
    </row>
    <row r="719" spans="2:10" x14ac:dyDescent="0.25">
      <c r="B719" t="s">
        <v>19451</v>
      </c>
      <c r="C719" s="16">
        <v>30043999</v>
      </c>
      <c r="D719" s="16"/>
      <c r="E719">
        <v>0</v>
      </c>
      <c r="F719">
        <v>17</v>
      </c>
      <c r="G719">
        <v>0</v>
      </c>
      <c r="H719">
        <v>9.9</v>
      </c>
      <c r="I719">
        <v>2.1</v>
      </c>
      <c r="J719">
        <v>8</v>
      </c>
    </row>
    <row r="720" spans="2:10" x14ac:dyDescent="0.25">
      <c r="B720" t="s">
        <v>2722</v>
      </c>
      <c r="C720" s="16">
        <v>30043999</v>
      </c>
      <c r="D720" s="16"/>
      <c r="E720">
        <v>0</v>
      </c>
      <c r="F720">
        <v>17</v>
      </c>
      <c r="G720">
        <v>0</v>
      </c>
      <c r="H720">
        <v>9.9</v>
      </c>
      <c r="I720">
        <v>2.1</v>
      </c>
      <c r="J720">
        <v>8</v>
      </c>
    </row>
    <row r="721" spans="2:10" x14ac:dyDescent="0.25">
      <c r="B721" t="s">
        <v>19452</v>
      </c>
      <c r="C721" s="16">
        <v>30043999</v>
      </c>
      <c r="D721" s="16"/>
      <c r="E721">
        <v>0</v>
      </c>
      <c r="F721">
        <v>17</v>
      </c>
      <c r="G721">
        <v>0</v>
      </c>
      <c r="H721">
        <v>9.9</v>
      </c>
      <c r="I721">
        <v>2.1</v>
      </c>
      <c r="J721">
        <v>8</v>
      </c>
    </row>
    <row r="722" spans="2:10" x14ac:dyDescent="0.25">
      <c r="B722" t="s">
        <v>2710</v>
      </c>
      <c r="C722" s="16">
        <v>30043999</v>
      </c>
      <c r="D722" s="16"/>
      <c r="E722">
        <v>0</v>
      </c>
      <c r="F722">
        <v>12</v>
      </c>
      <c r="G722">
        <v>0</v>
      </c>
      <c r="H722">
        <v>9.9</v>
      </c>
      <c r="I722">
        <v>2.1</v>
      </c>
      <c r="J722">
        <v>8</v>
      </c>
    </row>
    <row r="723" spans="2:10" x14ac:dyDescent="0.25">
      <c r="B723" t="s">
        <v>2713</v>
      </c>
      <c r="C723" s="16">
        <v>30043999</v>
      </c>
      <c r="D723" s="16"/>
      <c r="E723">
        <v>0</v>
      </c>
      <c r="F723">
        <v>19</v>
      </c>
      <c r="G723">
        <v>0</v>
      </c>
      <c r="H723">
        <v>9.9</v>
      </c>
      <c r="I723">
        <v>2.1</v>
      </c>
      <c r="J723">
        <v>8</v>
      </c>
    </row>
    <row r="724" spans="2:10" x14ac:dyDescent="0.25">
      <c r="B724" t="s">
        <v>19453</v>
      </c>
      <c r="C724" s="16">
        <v>30043999</v>
      </c>
      <c r="D724" s="16"/>
      <c r="E724">
        <v>0</v>
      </c>
      <c r="F724">
        <v>17</v>
      </c>
      <c r="G724">
        <v>0</v>
      </c>
      <c r="H724">
        <v>9.9</v>
      </c>
      <c r="I724">
        <v>2.1</v>
      </c>
      <c r="J724">
        <v>8</v>
      </c>
    </row>
    <row r="725" spans="2:10" x14ac:dyDescent="0.25">
      <c r="B725" t="s">
        <v>19454</v>
      </c>
      <c r="C725" s="16">
        <v>30043999</v>
      </c>
      <c r="D725" s="16"/>
      <c r="E725">
        <v>0</v>
      </c>
      <c r="F725">
        <v>17</v>
      </c>
      <c r="G725">
        <v>0</v>
      </c>
      <c r="H725">
        <v>9.9</v>
      </c>
      <c r="I725">
        <v>2.1</v>
      </c>
      <c r="J725">
        <v>8</v>
      </c>
    </row>
    <row r="726" spans="2:10" x14ac:dyDescent="0.25">
      <c r="B726" t="s">
        <v>19455</v>
      </c>
      <c r="C726" s="16">
        <v>30043999</v>
      </c>
      <c r="D726" s="16"/>
      <c r="E726">
        <v>0</v>
      </c>
      <c r="F726">
        <v>17</v>
      </c>
      <c r="G726">
        <v>0</v>
      </c>
      <c r="H726">
        <v>9.9</v>
      </c>
      <c r="I726">
        <v>2.1</v>
      </c>
      <c r="J726">
        <v>8</v>
      </c>
    </row>
    <row r="727" spans="2:10" x14ac:dyDescent="0.25">
      <c r="B727" t="s">
        <v>2712</v>
      </c>
      <c r="C727" s="16">
        <v>30043999</v>
      </c>
      <c r="D727" s="16"/>
      <c r="E727">
        <v>0</v>
      </c>
      <c r="F727">
        <v>17</v>
      </c>
      <c r="G727">
        <v>0</v>
      </c>
      <c r="H727">
        <v>9.9</v>
      </c>
      <c r="I727">
        <v>2.1</v>
      </c>
      <c r="J727">
        <v>8</v>
      </c>
    </row>
    <row r="728" spans="2:10" x14ac:dyDescent="0.25">
      <c r="B728" t="s">
        <v>2711</v>
      </c>
      <c r="C728" s="16">
        <v>30043999</v>
      </c>
      <c r="D728" s="16"/>
      <c r="E728">
        <v>0</v>
      </c>
      <c r="F728">
        <v>17</v>
      </c>
      <c r="G728">
        <v>0</v>
      </c>
      <c r="H728">
        <v>9.9</v>
      </c>
      <c r="I728">
        <v>2.1</v>
      </c>
      <c r="J728">
        <v>8</v>
      </c>
    </row>
    <row r="729" spans="2:10" x14ac:dyDescent="0.25">
      <c r="B729" t="s">
        <v>19456</v>
      </c>
      <c r="C729" s="16">
        <v>30043999</v>
      </c>
      <c r="D729" s="16"/>
      <c r="E729">
        <v>0</v>
      </c>
      <c r="F729">
        <v>17</v>
      </c>
      <c r="G729">
        <v>0</v>
      </c>
      <c r="H729">
        <v>9.9</v>
      </c>
      <c r="I729">
        <v>2.1</v>
      </c>
      <c r="J729">
        <v>8</v>
      </c>
    </row>
    <row r="730" spans="2:10" x14ac:dyDescent="0.25">
      <c r="B730" t="s">
        <v>2709</v>
      </c>
      <c r="C730" s="16">
        <v>30043999</v>
      </c>
      <c r="D730" s="16"/>
      <c r="E730">
        <v>0</v>
      </c>
      <c r="F730">
        <v>18</v>
      </c>
      <c r="G730">
        <v>0</v>
      </c>
      <c r="H730">
        <v>9.9</v>
      </c>
      <c r="I730">
        <v>2.1</v>
      </c>
      <c r="J730">
        <v>8</v>
      </c>
    </row>
    <row r="731" spans="2:10" x14ac:dyDescent="0.25">
      <c r="B731" t="s">
        <v>19457</v>
      </c>
      <c r="C731" s="16">
        <v>30043999</v>
      </c>
      <c r="D731" s="16"/>
      <c r="E731">
        <v>0</v>
      </c>
      <c r="F731">
        <v>17</v>
      </c>
      <c r="G731">
        <v>0</v>
      </c>
      <c r="H731">
        <v>9.9</v>
      </c>
      <c r="I731">
        <v>2.1</v>
      </c>
      <c r="J731">
        <v>8</v>
      </c>
    </row>
    <row r="732" spans="2:10" x14ac:dyDescent="0.25">
      <c r="B732" t="s">
        <v>19446</v>
      </c>
      <c r="C732" s="16">
        <v>30044090</v>
      </c>
      <c r="D732" s="16"/>
      <c r="E732">
        <v>0</v>
      </c>
      <c r="F732">
        <v>17</v>
      </c>
      <c r="G732">
        <v>0</v>
      </c>
      <c r="H732">
        <v>9.9</v>
      </c>
      <c r="I732">
        <v>2.1</v>
      </c>
      <c r="J732">
        <v>8</v>
      </c>
    </row>
    <row r="733" spans="2:10" x14ac:dyDescent="0.25">
      <c r="B733" t="s">
        <v>19448</v>
      </c>
      <c r="C733" s="16">
        <v>30044090</v>
      </c>
      <c r="D733" s="16"/>
      <c r="E733">
        <v>0</v>
      </c>
      <c r="F733">
        <v>17</v>
      </c>
      <c r="G733">
        <v>0</v>
      </c>
      <c r="H733">
        <v>9.9</v>
      </c>
      <c r="I733">
        <v>2.1</v>
      </c>
      <c r="J733">
        <v>8</v>
      </c>
    </row>
    <row r="734" spans="2:10" x14ac:dyDescent="0.25">
      <c r="B734" t="s">
        <v>2724</v>
      </c>
      <c r="C734" s="16">
        <v>30044090</v>
      </c>
      <c r="D734" s="16"/>
      <c r="E734">
        <v>59</v>
      </c>
      <c r="F734">
        <v>17</v>
      </c>
      <c r="G734">
        <v>0</v>
      </c>
      <c r="H734">
        <v>9.9</v>
      </c>
      <c r="I734">
        <v>2.1</v>
      </c>
      <c r="J734">
        <v>8</v>
      </c>
    </row>
    <row r="735" spans="2:10" x14ac:dyDescent="0.25">
      <c r="B735" t="s">
        <v>19449</v>
      </c>
      <c r="C735" s="16">
        <v>30044090</v>
      </c>
      <c r="D735" s="16"/>
      <c r="E735">
        <v>0</v>
      </c>
      <c r="F735">
        <v>17</v>
      </c>
      <c r="G735">
        <v>0</v>
      </c>
      <c r="H735">
        <v>9.9</v>
      </c>
      <c r="I735">
        <v>2.1</v>
      </c>
      <c r="J735">
        <v>8</v>
      </c>
    </row>
    <row r="736" spans="2:10" x14ac:dyDescent="0.25">
      <c r="B736" t="s">
        <v>2720</v>
      </c>
      <c r="C736" s="16">
        <v>30044090</v>
      </c>
      <c r="D736" s="16"/>
      <c r="E736">
        <v>0</v>
      </c>
      <c r="F736">
        <v>17</v>
      </c>
      <c r="G736">
        <v>0</v>
      </c>
      <c r="H736">
        <v>9.9</v>
      </c>
      <c r="I736">
        <v>2.1</v>
      </c>
      <c r="J736">
        <v>8</v>
      </c>
    </row>
    <row r="737" spans="2:10" x14ac:dyDescent="0.25">
      <c r="B737" t="s">
        <v>2721</v>
      </c>
      <c r="C737" s="16">
        <v>30044090</v>
      </c>
      <c r="D737" s="16"/>
      <c r="E737" t="s">
        <v>19447</v>
      </c>
      <c r="F737">
        <v>17</v>
      </c>
      <c r="G737">
        <v>0</v>
      </c>
      <c r="H737">
        <v>9.9</v>
      </c>
      <c r="I737">
        <v>2.1</v>
      </c>
      <c r="J737">
        <v>8</v>
      </c>
    </row>
    <row r="738" spans="2:10" x14ac:dyDescent="0.25">
      <c r="B738" t="s">
        <v>2719</v>
      </c>
      <c r="C738" s="16">
        <v>30044090</v>
      </c>
      <c r="D738" s="16"/>
      <c r="E738">
        <v>0</v>
      </c>
      <c r="F738">
        <v>17</v>
      </c>
      <c r="G738">
        <v>0</v>
      </c>
      <c r="H738">
        <v>9.9</v>
      </c>
      <c r="I738">
        <v>2.1</v>
      </c>
      <c r="J738">
        <v>8</v>
      </c>
    </row>
    <row r="739" spans="2:10" x14ac:dyDescent="0.25">
      <c r="B739" t="s">
        <v>2715</v>
      </c>
      <c r="C739" s="16">
        <v>30044090</v>
      </c>
      <c r="D739" s="16"/>
      <c r="E739">
        <v>0</v>
      </c>
      <c r="F739">
        <v>17</v>
      </c>
      <c r="G739">
        <v>0</v>
      </c>
      <c r="H739">
        <v>9.9</v>
      </c>
      <c r="I739">
        <v>2.1</v>
      </c>
      <c r="J739">
        <v>8</v>
      </c>
    </row>
    <row r="740" spans="2:10" x14ac:dyDescent="0.25">
      <c r="B740" t="s">
        <v>2716</v>
      </c>
      <c r="C740" s="16">
        <v>30044090</v>
      </c>
      <c r="D740" s="16"/>
      <c r="E740" t="s">
        <v>19447</v>
      </c>
      <c r="F740">
        <v>17</v>
      </c>
      <c r="G740">
        <v>0</v>
      </c>
      <c r="H740">
        <v>9.9</v>
      </c>
      <c r="I740">
        <v>2.1</v>
      </c>
      <c r="J740">
        <v>8</v>
      </c>
    </row>
    <row r="741" spans="2:10" x14ac:dyDescent="0.25">
      <c r="B741" t="s">
        <v>19450</v>
      </c>
      <c r="C741" s="16">
        <v>30044090</v>
      </c>
      <c r="D741" s="16"/>
      <c r="E741">
        <v>0</v>
      </c>
      <c r="F741">
        <v>17</v>
      </c>
      <c r="G741">
        <v>0</v>
      </c>
      <c r="H741">
        <v>9.9</v>
      </c>
      <c r="I741">
        <v>2.1</v>
      </c>
      <c r="J741">
        <v>8</v>
      </c>
    </row>
    <row r="742" spans="2:10" x14ac:dyDescent="0.25">
      <c r="B742" t="s">
        <v>2714</v>
      </c>
      <c r="C742" s="16">
        <v>30044090</v>
      </c>
      <c r="D742" s="16"/>
      <c r="E742">
        <v>0</v>
      </c>
      <c r="F742">
        <v>12</v>
      </c>
      <c r="G742">
        <v>0</v>
      </c>
      <c r="H742">
        <v>9.9</v>
      </c>
      <c r="I742">
        <v>2.1</v>
      </c>
      <c r="J742">
        <v>8</v>
      </c>
    </row>
    <row r="743" spans="2:10" x14ac:dyDescent="0.25">
      <c r="B743" t="s">
        <v>2718</v>
      </c>
      <c r="C743" s="16">
        <v>30044090</v>
      </c>
      <c r="D743" s="16"/>
      <c r="E743">
        <v>0</v>
      </c>
      <c r="F743">
        <v>17</v>
      </c>
      <c r="G743">
        <v>0</v>
      </c>
      <c r="H743">
        <v>9.9</v>
      </c>
      <c r="I743">
        <v>2.1</v>
      </c>
      <c r="J743">
        <v>8</v>
      </c>
    </row>
    <row r="744" spans="2:10" x14ac:dyDescent="0.25">
      <c r="B744" t="s">
        <v>2717</v>
      </c>
      <c r="C744" s="16">
        <v>30044090</v>
      </c>
      <c r="D744" s="16"/>
      <c r="E744">
        <v>0</v>
      </c>
      <c r="F744">
        <v>17</v>
      </c>
      <c r="G744">
        <v>0</v>
      </c>
      <c r="H744">
        <v>9.9</v>
      </c>
      <c r="I744">
        <v>2.1</v>
      </c>
      <c r="J744">
        <v>8</v>
      </c>
    </row>
    <row r="745" spans="2:10" x14ac:dyDescent="0.25">
      <c r="B745" t="s">
        <v>2723</v>
      </c>
      <c r="C745" s="16">
        <v>30044090</v>
      </c>
      <c r="D745" s="16"/>
      <c r="E745">
        <v>0</v>
      </c>
      <c r="F745">
        <v>17</v>
      </c>
      <c r="G745">
        <v>0</v>
      </c>
      <c r="H745">
        <v>9.9</v>
      </c>
      <c r="I745">
        <v>2.1</v>
      </c>
      <c r="J745">
        <v>8</v>
      </c>
    </row>
    <row r="746" spans="2:10" x14ac:dyDescent="0.25">
      <c r="B746" t="s">
        <v>19451</v>
      </c>
      <c r="C746" s="16">
        <v>30044090</v>
      </c>
      <c r="D746" s="16"/>
      <c r="E746">
        <v>0</v>
      </c>
      <c r="F746">
        <v>17</v>
      </c>
      <c r="G746">
        <v>0</v>
      </c>
      <c r="H746">
        <v>9.9</v>
      </c>
      <c r="I746">
        <v>2.1</v>
      </c>
      <c r="J746">
        <v>8</v>
      </c>
    </row>
    <row r="747" spans="2:10" x14ac:dyDescent="0.25">
      <c r="B747" t="s">
        <v>2722</v>
      </c>
      <c r="C747" s="16">
        <v>30044090</v>
      </c>
      <c r="D747" s="16"/>
      <c r="E747">
        <v>0</v>
      </c>
      <c r="F747">
        <v>17</v>
      </c>
      <c r="G747">
        <v>0</v>
      </c>
      <c r="H747">
        <v>9.9</v>
      </c>
      <c r="I747">
        <v>2.1</v>
      </c>
      <c r="J747">
        <v>8</v>
      </c>
    </row>
    <row r="748" spans="2:10" x14ac:dyDescent="0.25">
      <c r="B748" t="s">
        <v>19452</v>
      </c>
      <c r="C748" s="16">
        <v>30044090</v>
      </c>
      <c r="D748" s="16"/>
      <c r="E748">
        <v>0</v>
      </c>
      <c r="F748">
        <v>17</v>
      </c>
      <c r="G748">
        <v>0</v>
      </c>
      <c r="H748">
        <v>9.9</v>
      </c>
      <c r="I748">
        <v>2.1</v>
      </c>
      <c r="J748">
        <v>8</v>
      </c>
    </row>
    <row r="749" spans="2:10" x14ac:dyDescent="0.25">
      <c r="B749" t="s">
        <v>2710</v>
      </c>
      <c r="C749" s="16">
        <v>30044090</v>
      </c>
      <c r="D749" s="16"/>
      <c r="E749">
        <v>0</v>
      </c>
      <c r="F749">
        <v>12</v>
      </c>
      <c r="G749">
        <v>0</v>
      </c>
      <c r="H749">
        <v>9.9</v>
      </c>
      <c r="I749">
        <v>2.1</v>
      </c>
      <c r="J749">
        <v>8</v>
      </c>
    </row>
    <row r="750" spans="2:10" x14ac:dyDescent="0.25">
      <c r="B750" t="s">
        <v>2713</v>
      </c>
      <c r="C750" s="16">
        <v>30044090</v>
      </c>
      <c r="D750" s="16"/>
      <c r="E750">
        <v>0</v>
      </c>
      <c r="F750">
        <v>19</v>
      </c>
      <c r="G750">
        <v>0</v>
      </c>
      <c r="H750">
        <v>9.9</v>
      </c>
      <c r="I750">
        <v>2.1</v>
      </c>
      <c r="J750">
        <v>8</v>
      </c>
    </row>
    <row r="751" spans="2:10" x14ac:dyDescent="0.25">
      <c r="B751" t="s">
        <v>19453</v>
      </c>
      <c r="C751" s="16">
        <v>30044090</v>
      </c>
      <c r="D751" s="16"/>
      <c r="E751">
        <v>0</v>
      </c>
      <c r="F751">
        <v>17</v>
      </c>
      <c r="G751">
        <v>0</v>
      </c>
      <c r="H751">
        <v>9.9</v>
      </c>
      <c r="I751">
        <v>2.1</v>
      </c>
      <c r="J751">
        <v>8</v>
      </c>
    </row>
    <row r="752" spans="2:10" x14ac:dyDescent="0.25">
      <c r="B752" t="s">
        <v>19454</v>
      </c>
      <c r="C752" s="16">
        <v>30044090</v>
      </c>
      <c r="D752" s="16"/>
      <c r="E752">
        <v>0</v>
      </c>
      <c r="F752">
        <v>17</v>
      </c>
      <c r="G752">
        <v>0</v>
      </c>
      <c r="H752">
        <v>9.9</v>
      </c>
      <c r="I752">
        <v>2.1</v>
      </c>
      <c r="J752">
        <v>8</v>
      </c>
    </row>
    <row r="753" spans="2:10" x14ac:dyDescent="0.25">
      <c r="B753" t="s">
        <v>19455</v>
      </c>
      <c r="C753" s="16">
        <v>30044090</v>
      </c>
      <c r="D753" s="16"/>
      <c r="E753">
        <v>0</v>
      </c>
      <c r="F753">
        <v>17</v>
      </c>
      <c r="G753">
        <v>0</v>
      </c>
      <c r="H753">
        <v>9.9</v>
      </c>
      <c r="I753">
        <v>2.1</v>
      </c>
      <c r="J753">
        <v>8</v>
      </c>
    </row>
    <row r="754" spans="2:10" x14ac:dyDescent="0.25">
      <c r="B754" t="s">
        <v>2712</v>
      </c>
      <c r="C754" s="16">
        <v>30044090</v>
      </c>
      <c r="D754" s="16"/>
      <c r="E754">
        <v>0</v>
      </c>
      <c r="F754">
        <v>17</v>
      </c>
      <c r="G754">
        <v>0</v>
      </c>
      <c r="H754">
        <v>9.9</v>
      </c>
      <c r="I754">
        <v>2.1</v>
      </c>
      <c r="J754">
        <v>8</v>
      </c>
    </row>
    <row r="755" spans="2:10" x14ac:dyDescent="0.25">
      <c r="B755" t="s">
        <v>2711</v>
      </c>
      <c r="C755" s="16">
        <v>30044090</v>
      </c>
      <c r="D755" s="16"/>
      <c r="E755">
        <v>0</v>
      </c>
      <c r="F755">
        <v>17</v>
      </c>
      <c r="G755">
        <v>0</v>
      </c>
      <c r="H755">
        <v>9.9</v>
      </c>
      <c r="I755">
        <v>2.1</v>
      </c>
      <c r="J755">
        <v>8</v>
      </c>
    </row>
    <row r="756" spans="2:10" x14ac:dyDescent="0.25">
      <c r="B756" t="s">
        <v>19456</v>
      </c>
      <c r="C756" s="16">
        <v>30044090</v>
      </c>
      <c r="D756" s="16"/>
      <c r="E756">
        <v>0</v>
      </c>
      <c r="F756">
        <v>17</v>
      </c>
      <c r="G756">
        <v>0</v>
      </c>
      <c r="H756">
        <v>9.9</v>
      </c>
      <c r="I756">
        <v>2.1</v>
      </c>
      <c r="J756">
        <v>8</v>
      </c>
    </row>
    <row r="757" spans="2:10" x14ac:dyDescent="0.25">
      <c r="B757" t="s">
        <v>2709</v>
      </c>
      <c r="C757" s="16">
        <v>30044090</v>
      </c>
      <c r="D757" s="16"/>
      <c r="E757">
        <v>0</v>
      </c>
      <c r="F757">
        <v>18</v>
      </c>
      <c r="G757">
        <v>0</v>
      </c>
      <c r="H757">
        <v>9.9</v>
      </c>
      <c r="I757">
        <v>2.1</v>
      </c>
      <c r="J757">
        <v>8</v>
      </c>
    </row>
    <row r="758" spans="2:10" x14ac:dyDescent="0.25">
      <c r="B758" t="s">
        <v>19457</v>
      </c>
      <c r="C758" s="16">
        <v>30044090</v>
      </c>
      <c r="D758" s="16"/>
      <c r="E758">
        <v>0</v>
      </c>
      <c r="F758">
        <v>17</v>
      </c>
      <c r="G758">
        <v>0</v>
      </c>
      <c r="H758">
        <v>9.9</v>
      </c>
      <c r="I758">
        <v>2.1</v>
      </c>
      <c r="J758">
        <v>8</v>
      </c>
    </row>
    <row r="759" spans="2:10" x14ac:dyDescent="0.25">
      <c r="B759" t="s">
        <v>19446</v>
      </c>
      <c r="C759" s="16">
        <v>30045060</v>
      </c>
      <c r="D759" s="16"/>
      <c r="E759">
        <v>0</v>
      </c>
      <c r="F759">
        <v>17</v>
      </c>
      <c r="G759">
        <v>0</v>
      </c>
      <c r="H759">
        <v>9.9</v>
      </c>
      <c r="I759">
        <v>2.1</v>
      </c>
      <c r="J759">
        <v>0</v>
      </c>
    </row>
    <row r="760" spans="2:10" x14ac:dyDescent="0.25">
      <c r="B760" t="s">
        <v>19448</v>
      </c>
      <c r="C760" s="16">
        <v>30045060</v>
      </c>
      <c r="D760" s="16"/>
      <c r="E760">
        <v>0</v>
      </c>
      <c r="F760">
        <v>17</v>
      </c>
      <c r="G760">
        <v>0</v>
      </c>
      <c r="H760">
        <v>9.9</v>
      </c>
      <c r="I760">
        <v>2.1</v>
      </c>
      <c r="J760">
        <v>0</v>
      </c>
    </row>
    <row r="761" spans="2:10" x14ac:dyDescent="0.25">
      <c r="B761" t="s">
        <v>2724</v>
      </c>
      <c r="C761" s="16">
        <v>30045060</v>
      </c>
      <c r="D761" s="16"/>
      <c r="E761">
        <v>59</v>
      </c>
      <c r="F761">
        <v>17</v>
      </c>
      <c r="G761">
        <v>0</v>
      </c>
      <c r="H761">
        <v>9.9</v>
      </c>
      <c r="I761">
        <v>2.1</v>
      </c>
      <c r="J761">
        <v>0</v>
      </c>
    </row>
    <row r="762" spans="2:10" x14ac:dyDescent="0.25">
      <c r="B762" t="s">
        <v>19449</v>
      </c>
      <c r="C762" s="16">
        <v>30045060</v>
      </c>
      <c r="D762" s="16"/>
      <c r="E762">
        <v>0</v>
      </c>
      <c r="F762">
        <v>17</v>
      </c>
      <c r="G762">
        <v>0</v>
      </c>
      <c r="H762">
        <v>9.9</v>
      </c>
      <c r="I762">
        <v>2.1</v>
      </c>
      <c r="J762">
        <v>0</v>
      </c>
    </row>
    <row r="763" spans="2:10" x14ac:dyDescent="0.25">
      <c r="B763" t="s">
        <v>2720</v>
      </c>
      <c r="C763" s="16">
        <v>30045060</v>
      </c>
      <c r="D763" s="16"/>
      <c r="E763">
        <v>0</v>
      </c>
      <c r="F763">
        <v>17</v>
      </c>
      <c r="G763">
        <v>0</v>
      </c>
      <c r="H763">
        <v>9.9</v>
      </c>
      <c r="I763">
        <v>2.1</v>
      </c>
      <c r="J763">
        <v>0</v>
      </c>
    </row>
    <row r="764" spans="2:10" x14ac:dyDescent="0.25">
      <c r="B764" t="s">
        <v>2721</v>
      </c>
      <c r="C764" s="16">
        <v>30045060</v>
      </c>
      <c r="D764" s="16"/>
      <c r="E764" t="s">
        <v>19447</v>
      </c>
      <c r="F764">
        <v>17</v>
      </c>
      <c r="G764">
        <v>0</v>
      </c>
      <c r="H764">
        <v>9.9</v>
      </c>
      <c r="I764">
        <v>2.1</v>
      </c>
      <c r="J764">
        <v>0</v>
      </c>
    </row>
    <row r="765" spans="2:10" x14ac:dyDescent="0.25">
      <c r="B765" t="s">
        <v>2719</v>
      </c>
      <c r="C765" s="16">
        <v>30045060</v>
      </c>
      <c r="D765" s="16"/>
      <c r="E765">
        <v>0</v>
      </c>
      <c r="F765">
        <v>17</v>
      </c>
      <c r="G765">
        <v>0</v>
      </c>
      <c r="H765">
        <v>9.9</v>
      </c>
      <c r="I765">
        <v>2.1</v>
      </c>
      <c r="J765">
        <v>0</v>
      </c>
    </row>
    <row r="766" spans="2:10" x14ac:dyDescent="0.25">
      <c r="B766" t="s">
        <v>2715</v>
      </c>
      <c r="C766" s="16">
        <v>30045060</v>
      </c>
      <c r="D766" s="16"/>
      <c r="E766">
        <v>0</v>
      </c>
      <c r="F766">
        <v>17</v>
      </c>
      <c r="G766">
        <v>0</v>
      </c>
      <c r="H766">
        <v>9.9</v>
      </c>
      <c r="I766">
        <v>2.1</v>
      </c>
      <c r="J766">
        <v>0</v>
      </c>
    </row>
    <row r="767" spans="2:10" x14ac:dyDescent="0.25">
      <c r="B767" t="s">
        <v>2716</v>
      </c>
      <c r="C767" s="16">
        <v>30045060</v>
      </c>
      <c r="D767" s="16"/>
      <c r="E767" t="s">
        <v>19447</v>
      </c>
      <c r="F767">
        <v>17</v>
      </c>
      <c r="G767">
        <v>0</v>
      </c>
      <c r="H767">
        <v>9.9</v>
      </c>
      <c r="I767">
        <v>2.1</v>
      </c>
      <c r="J767">
        <v>0</v>
      </c>
    </row>
    <row r="768" spans="2:10" x14ac:dyDescent="0.25">
      <c r="B768" t="s">
        <v>19450</v>
      </c>
      <c r="C768" s="16">
        <v>30045060</v>
      </c>
      <c r="D768" s="16"/>
      <c r="E768">
        <v>0</v>
      </c>
      <c r="F768">
        <v>17</v>
      </c>
      <c r="G768">
        <v>0</v>
      </c>
      <c r="H768">
        <v>9.9</v>
      </c>
      <c r="I768">
        <v>2.1</v>
      </c>
      <c r="J768">
        <v>0</v>
      </c>
    </row>
    <row r="769" spans="2:10" x14ac:dyDescent="0.25">
      <c r="B769" t="s">
        <v>2714</v>
      </c>
      <c r="C769" s="16">
        <v>30045060</v>
      </c>
      <c r="D769" s="16"/>
      <c r="E769">
        <v>0</v>
      </c>
      <c r="F769">
        <v>12</v>
      </c>
      <c r="G769">
        <v>0</v>
      </c>
      <c r="H769">
        <v>9.9</v>
      </c>
      <c r="I769">
        <v>2.1</v>
      </c>
      <c r="J769">
        <v>0</v>
      </c>
    </row>
    <row r="770" spans="2:10" x14ac:dyDescent="0.25">
      <c r="B770" t="s">
        <v>2718</v>
      </c>
      <c r="C770" s="16">
        <v>30045060</v>
      </c>
      <c r="D770" s="16"/>
      <c r="E770">
        <v>0</v>
      </c>
      <c r="F770">
        <v>17</v>
      </c>
      <c r="G770">
        <v>0</v>
      </c>
      <c r="H770">
        <v>9.9</v>
      </c>
      <c r="I770">
        <v>2.1</v>
      </c>
      <c r="J770">
        <v>0</v>
      </c>
    </row>
    <row r="771" spans="2:10" x14ac:dyDescent="0.25">
      <c r="B771" t="s">
        <v>2717</v>
      </c>
      <c r="C771" s="16">
        <v>30045060</v>
      </c>
      <c r="D771" s="16"/>
      <c r="E771">
        <v>0</v>
      </c>
      <c r="F771">
        <v>17</v>
      </c>
      <c r="G771">
        <v>0</v>
      </c>
      <c r="H771">
        <v>9.9</v>
      </c>
      <c r="I771">
        <v>2.1</v>
      </c>
      <c r="J771">
        <v>0</v>
      </c>
    </row>
    <row r="772" spans="2:10" x14ac:dyDescent="0.25">
      <c r="B772" t="s">
        <v>2723</v>
      </c>
      <c r="C772" s="16">
        <v>30045060</v>
      </c>
      <c r="D772" s="16"/>
      <c r="E772">
        <v>0</v>
      </c>
      <c r="F772">
        <v>17</v>
      </c>
      <c r="G772">
        <v>0</v>
      </c>
      <c r="H772">
        <v>9.9</v>
      </c>
      <c r="I772">
        <v>2.1</v>
      </c>
      <c r="J772">
        <v>0</v>
      </c>
    </row>
    <row r="773" spans="2:10" x14ac:dyDescent="0.25">
      <c r="B773" t="s">
        <v>19451</v>
      </c>
      <c r="C773" s="16">
        <v>30045060</v>
      </c>
      <c r="D773" s="16"/>
      <c r="E773">
        <v>0</v>
      </c>
      <c r="F773">
        <v>17</v>
      </c>
      <c r="G773">
        <v>0</v>
      </c>
      <c r="H773">
        <v>9.9</v>
      </c>
      <c r="I773">
        <v>2.1</v>
      </c>
      <c r="J773">
        <v>0</v>
      </c>
    </row>
    <row r="774" spans="2:10" x14ac:dyDescent="0.25">
      <c r="B774" t="s">
        <v>2722</v>
      </c>
      <c r="C774" s="16">
        <v>30045060</v>
      </c>
      <c r="D774" s="16"/>
      <c r="E774">
        <v>0</v>
      </c>
      <c r="F774">
        <v>17</v>
      </c>
      <c r="G774">
        <v>0</v>
      </c>
      <c r="H774">
        <v>9.9</v>
      </c>
      <c r="I774">
        <v>2.1</v>
      </c>
      <c r="J774">
        <v>0</v>
      </c>
    </row>
    <row r="775" spans="2:10" x14ac:dyDescent="0.25">
      <c r="B775" t="s">
        <v>19452</v>
      </c>
      <c r="C775" s="16">
        <v>30045060</v>
      </c>
      <c r="D775" s="16"/>
      <c r="E775">
        <v>0</v>
      </c>
      <c r="F775">
        <v>17</v>
      </c>
      <c r="G775">
        <v>0</v>
      </c>
      <c r="H775">
        <v>9.9</v>
      </c>
      <c r="I775">
        <v>2.1</v>
      </c>
      <c r="J775">
        <v>0</v>
      </c>
    </row>
    <row r="776" spans="2:10" x14ac:dyDescent="0.25">
      <c r="B776" t="s">
        <v>2710</v>
      </c>
      <c r="C776" s="16">
        <v>30045060</v>
      </c>
      <c r="D776" s="16"/>
      <c r="E776">
        <v>0</v>
      </c>
      <c r="F776">
        <v>12</v>
      </c>
      <c r="G776">
        <v>0</v>
      </c>
      <c r="H776">
        <v>9.9</v>
      </c>
      <c r="I776">
        <v>2.1</v>
      </c>
      <c r="J776">
        <v>0</v>
      </c>
    </row>
    <row r="777" spans="2:10" x14ac:dyDescent="0.25">
      <c r="B777" t="s">
        <v>2713</v>
      </c>
      <c r="C777" s="16">
        <v>30045060</v>
      </c>
      <c r="D777" s="16"/>
      <c r="E777">
        <v>0</v>
      </c>
      <c r="F777">
        <v>19</v>
      </c>
      <c r="G777">
        <v>0</v>
      </c>
      <c r="H777">
        <v>9.9</v>
      </c>
      <c r="I777">
        <v>2.1</v>
      </c>
      <c r="J777">
        <v>0</v>
      </c>
    </row>
    <row r="778" spans="2:10" x14ac:dyDescent="0.25">
      <c r="B778" t="s">
        <v>19453</v>
      </c>
      <c r="C778" s="16">
        <v>30045060</v>
      </c>
      <c r="D778" s="16"/>
      <c r="E778">
        <v>0</v>
      </c>
      <c r="F778">
        <v>17</v>
      </c>
      <c r="G778">
        <v>0</v>
      </c>
      <c r="H778">
        <v>9.9</v>
      </c>
      <c r="I778">
        <v>2.1</v>
      </c>
      <c r="J778">
        <v>0</v>
      </c>
    </row>
    <row r="779" spans="2:10" x14ac:dyDescent="0.25">
      <c r="B779" t="s">
        <v>19454</v>
      </c>
      <c r="C779" s="16">
        <v>30045060</v>
      </c>
      <c r="D779" s="16"/>
      <c r="E779">
        <v>0</v>
      </c>
      <c r="F779">
        <v>17</v>
      </c>
      <c r="G779">
        <v>0</v>
      </c>
      <c r="H779">
        <v>9.9</v>
      </c>
      <c r="I779">
        <v>2.1</v>
      </c>
      <c r="J779">
        <v>0</v>
      </c>
    </row>
    <row r="780" spans="2:10" x14ac:dyDescent="0.25">
      <c r="B780" t="s">
        <v>19455</v>
      </c>
      <c r="C780" s="16">
        <v>30045060</v>
      </c>
      <c r="D780" s="16"/>
      <c r="E780">
        <v>0</v>
      </c>
      <c r="F780">
        <v>17</v>
      </c>
      <c r="G780">
        <v>0</v>
      </c>
      <c r="H780">
        <v>9.9</v>
      </c>
      <c r="I780">
        <v>2.1</v>
      </c>
      <c r="J780">
        <v>0</v>
      </c>
    </row>
    <row r="781" spans="2:10" x14ac:dyDescent="0.25">
      <c r="B781" t="s">
        <v>2712</v>
      </c>
      <c r="C781" s="16">
        <v>30045060</v>
      </c>
      <c r="D781" s="16"/>
      <c r="E781">
        <v>0</v>
      </c>
      <c r="F781">
        <v>17</v>
      </c>
      <c r="G781">
        <v>0</v>
      </c>
      <c r="H781">
        <v>9.9</v>
      </c>
      <c r="I781">
        <v>2.1</v>
      </c>
      <c r="J781">
        <v>0</v>
      </c>
    </row>
    <row r="782" spans="2:10" x14ac:dyDescent="0.25">
      <c r="B782" t="s">
        <v>2711</v>
      </c>
      <c r="C782" s="16">
        <v>30045060</v>
      </c>
      <c r="D782" s="16"/>
      <c r="E782">
        <v>0</v>
      </c>
      <c r="F782">
        <v>17</v>
      </c>
      <c r="G782">
        <v>0</v>
      </c>
      <c r="H782">
        <v>9.9</v>
      </c>
      <c r="I782">
        <v>2.1</v>
      </c>
      <c r="J782">
        <v>0</v>
      </c>
    </row>
    <row r="783" spans="2:10" x14ac:dyDescent="0.25">
      <c r="B783" t="s">
        <v>19456</v>
      </c>
      <c r="C783" s="16">
        <v>30045060</v>
      </c>
      <c r="D783" s="16"/>
      <c r="E783">
        <v>0</v>
      </c>
      <c r="F783">
        <v>17</v>
      </c>
      <c r="G783">
        <v>0</v>
      </c>
      <c r="H783">
        <v>9.9</v>
      </c>
      <c r="I783">
        <v>2.1</v>
      </c>
      <c r="J783">
        <v>0</v>
      </c>
    </row>
    <row r="784" spans="2:10" x14ac:dyDescent="0.25">
      <c r="B784" t="s">
        <v>2709</v>
      </c>
      <c r="C784" s="16">
        <v>30045060</v>
      </c>
      <c r="D784" s="16"/>
      <c r="E784">
        <v>0</v>
      </c>
      <c r="F784">
        <v>18</v>
      </c>
      <c r="G784">
        <v>0</v>
      </c>
      <c r="H784">
        <v>9.9</v>
      </c>
      <c r="I784">
        <v>2.1</v>
      </c>
      <c r="J784">
        <v>0</v>
      </c>
    </row>
    <row r="785" spans="2:10" x14ac:dyDescent="0.25">
      <c r="B785" t="s">
        <v>19457</v>
      </c>
      <c r="C785" s="16">
        <v>30045060</v>
      </c>
      <c r="D785" s="16"/>
      <c r="E785">
        <v>0</v>
      </c>
      <c r="F785">
        <v>17</v>
      </c>
      <c r="G785">
        <v>0</v>
      </c>
      <c r="H785">
        <v>9.9</v>
      </c>
      <c r="I785">
        <v>2.1</v>
      </c>
      <c r="J785">
        <v>0</v>
      </c>
    </row>
    <row r="786" spans="2:10" x14ac:dyDescent="0.25">
      <c r="B786" t="s">
        <v>19446</v>
      </c>
      <c r="C786" s="16">
        <v>30045090</v>
      </c>
      <c r="D786" s="16"/>
      <c r="E786">
        <v>0</v>
      </c>
      <c r="F786">
        <v>17</v>
      </c>
      <c r="G786">
        <v>0</v>
      </c>
      <c r="H786">
        <v>9.9</v>
      </c>
      <c r="I786">
        <v>2.1</v>
      </c>
      <c r="J786">
        <v>8</v>
      </c>
    </row>
    <row r="787" spans="2:10" x14ac:dyDescent="0.25">
      <c r="B787" t="s">
        <v>19448</v>
      </c>
      <c r="C787" s="16">
        <v>30045090</v>
      </c>
      <c r="D787" s="16"/>
      <c r="E787">
        <v>0</v>
      </c>
      <c r="F787">
        <v>17</v>
      </c>
      <c r="G787">
        <v>0</v>
      </c>
      <c r="H787">
        <v>9.9</v>
      </c>
      <c r="I787">
        <v>2.1</v>
      </c>
      <c r="J787">
        <v>8</v>
      </c>
    </row>
    <row r="788" spans="2:10" x14ac:dyDescent="0.25">
      <c r="B788" t="s">
        <v>2724</v>
      </c>
      <c r="C788" s="16">
        <v>30045090</v>
      </c>
      <c r="D788" s="16"/>
      <c r="E788">
        <v>59</v>
      </c>
      <c r="F788">
        <v>17</v>
      </c>
      <c r="G788">
        <v>0</v>
      </c>
      <c r="H788">
        <v>9.9</v>
      </c>
      <c r="I788">
        <v>2.1</v>
      </c>
      <c r="J788">
        <v>8</v>
      </c>
    </row>
    <row r="789" spans="2:10" x14ac:dyDescent="0.25">
      <c r="B789" t="s">
        <v>19449</v>
      </c>
      <c r="C789" s="16">
        <v>30045090</v>
      </c>
      <c r="D789" s="16"/>
      <c r="E789">
        <v>0</v>
      </c>
      <c r="F789">
        <v>17</v>
      </c>
      <c r="G789">
        <v>0</v>
      </c>
      <c r="H789">
        <v>9.9</v>
      </c>
      <c r="I789">
        <v>2.1</v>
      </c>
      <c r="J789">
        <v>8</v>
      </c>
    </row>
    <row r="790" spans="2:10" x14ac:dyDescent="0.25">
      <c r="B790" t="s">
        <v>2720</v>
      </c>
      <c r="C790" s="16">
        <v>30045090</v>
      </c>
      <c r="D790" s="16"/>
      <c r="E790">
        <v>0</v>
      </c>
      <c r="F790">
        <v>17</v>
      </c>
      <c r="G790">
        <v>0</v>
      </c>
      <c r="H790">
        <v>9.9</v>
      </c>
      <c r="I790">
        <v>2.1</v>
      </c>
      <c r="J790">
        <v>8</v>
      </c>
    </row>
    <row r="791" spans="2:10" x14ac:dyDescent="0.25">
      <c r="B791" t="s">
        <v>2721</v>
      </c>
      <c r="C791" s="16">
        <v>30045090</v>
      </c>
      <c r="D791" s="16"/>
      <c r="E791" t="s">
        <v>19447</v>
      </c>
      <c r="F791">
        <v>17</v>
      </c>
      <c r="G791">
        <v>0</v>
      </c>
      <c r="H791">
        <v>9.9</v>
      </c>
      <c r="I791">
        <v>2.1</v>
      </c>
      <c r="J791">
        <v>8</v>
      </c>
    </row>
    <row r="792" spans="2:10" x14ac:dyDescent="0.25">
      <c r="B792" t="s">
        <v>2719</v>
      </c>
      <c r="C792" s="16">
        <v>30045090</v>
      </c>
      <c r="D792" s="16"/>
      <c r="E792">
        <v>0</v>
      </c>
      <c r="F792">
        <v>17</v>
      </c>
      <c r="G792">
        <v>0</v>
      </c>
      <c r="H792">
        <v>9.9</v>
      </c>
      <c r="I792">
        <v>2.1</v>
      </c>
      <c r="J792">
        <v>8</v>
      </c>
    </row>
    <row r="793" spans="2:10" x14ac:dyDescent="0.25">
      <c r="B793" t="s">
        <v>2715</v>
      </c>
      <c r="C793" s="16">
        <v>30045090</v>
      </c>
      <c r="D793" s="16"/>
      <c r="E793">
        <v>0</v>
      </c>
      <c r="F793">
        <v>17</v>
      </c>
      <c r="G793">
        <v>0</v>
      </c>
      <c r="H793">
        <v>9.9</v>
      </c>
      <c r="I793">
        <v>2.1</v>
      </c>
      <c r="J793">
        <v>8</v>
      </c>
    </row>
    <row r="794" spans="2:10" x14ac:dyDescent="0.25">
      <c r="B794" t="s">
        <v>2716</v>
      </c>
      <c r="C794" s="16">
        <v>30045090</v>
      </c>
      <c r="D794" s="16"/>
      <c r="E794" t="s">
        <v>19447</v>
      </c>
      <c r="F794">
        <v>17</v>
      </c>
      <c r="G794">
        <v>0</v>
      </c>
      <c r="H794">
        <v>9.9</v>
      </c>
      <c r="I794">
        <v>2.1</v>
      </c>
      <c r="J794">
        <v>8</v>
      </c>
    </row>
    <row r="795" spans="2:10" x14ac:dyDescent="0.25">
      <c r="B795" t="s">
        <v>19450</v>
      </c>
      <c r="C795" s="16">
        <v>30045090</v>
      </c>
      <c r="D795" s="16"/>
      <c r="E795">
        <v>0</v>
      </c>
      <c r="F795">
        <v>17</v>
      </c>
      <c r="G795">
        <v>0</v>
      </c>
      <c r="H795">
        <v>9.9</v>
      </c>
      <c r="I795">
        <v>2.1</v>
      </c>
      <c r="J795">
        <v>8</v>
      </c>
    </row>
    <row r="796" spans="2:10" x14ac:dyDescent="0.25">
      <c r="B796" t="s">
        <v>2714</v>
      </c>
      <c r="C796" s="16">
        <v>30045090</v>
      </c>
      <c r="D796" s="16"/>
      <c r="E796">
        <v>0</v>
      </c>
      <c r="F796">
        <v>12</v>
      </c>
      <c r="G796">
        <v>0</v>
      </c>
      <c r="H796">
        <v>9.9</v>
      </c>
      <c r="I796">
        <v>2.1</v>
      </c>
      <c r="J796">
        <v>8</v>
      </c>
    </row>
    <row r="797" spans="2:10" x14ac:dyDescent="0.25">
      <c r="B797" t="s">
        <v>2718</v>
      </c>
      <c r="C797" s="16">
        <v>30045090</v>
      </c>
      <c r="D797" s="16"/>
      <c r="E797">
        <v>0</v>
      </c>
      <c r="F797">
        <v>17</v>
      </c>
      <c r="G797">
        <v>0</v>
      </c>
      <c r="H797">
        <v>9.9</v>
      </c>
      <c r="I797">
        <v>2.1</v>
      </c>
      <c r="J797">
        <v>8</v>
      </c>
    </row>
    <row r="798" spans="2:10" x14ac:dyDescent="0.25">
      <c r="B798" t="s">
        <v>2717</v>
      </c>
      <c r="C798" s="16">
        <v>30045090</v>
      </c>
      <c r="D798" s="16"/>
      <c r="E798">
        <v>0</v>
      </c>
      <c r="F798">
        <v>17</v>
      </c>
      <c r="G798">
        <v>0</v>
      </c>
      <c r="H798">
        <v>9.9</v>
      </c>
      <c r="I798">
        <v>2.1</v>
      </c>
      <c r="J798">
        <v>8</v>
      </c>
    </row>
    <row r="799" spans="2:10" x14ac:dyDescent="0.25">
      <c r="B799" t="s">
        <v>2723</v>
      </c>
      <c r="C799" s="16">
        <v>30045090</v>
      </c>
      <c r="D799" s="16"/>
      <c r="E799">
        <v>0</v>
      </c>
      <c r="F799">
        <v>17</v>
      </c>
      <c r="G799">
        <v>0</v>
      </c>
      <c r="H799">
        <v>9.9</v>
      </c>
      <c r="I799">
        <v>2.1</v>
      </c>
      <c r="J799">
        <v>8</v>
      </c>
    </row>
    <row r="800" spans="2:10" x14ac:dyDescent="0.25">
      <c r="B800" t="s">
        <v>19451</v>
      </c>
      <c r="C800" s="16">
        <v>30045090</v>
      </c>
      <c r="D800" s="16"/>
      <c r="E800">
        <v>0</v>
      </c>
      <c r="F800">
        <v>17</v>
      </c>
      <c r="G800">
        <v>0</v>
      </c>
      <c r="H800">
        <v>9.9</v>
      </c>
      <c r="I800">
        <v>2.1</v>
      </c>
      <c r="J800">
        <v>8</v>
      </c>
    </row>
    <row r="801" spans="2:10" x14ac:dyDescent="0.25">
      <c r="B801" t="s">
        <v>2722</v>
      </c>
      <c r="C801" s="16">
        <v>30045090</v>
      </c>
      <c r="D801" s="16"/>
      <c r="E801">
        <v>0</v>
      </c>
      <c r="F801">
        <v>17</v>
      </c>
      <c r="G801">
        <v>0</v>
      </c>
      <c r="H801">
        <v>9.9</v>
      </c>
      <c r="I801">
        <v>2.1</v>
      </c>
      <c r="J801">
        <v>8</v>
      </c>
    </row>
    <row r="802" spans="2:10" x14ac:dyDescent="0.25">
      <c r="B802" t="s">
        <v>19452</v>
      </c>
      <c r="C802" s="16">
        <v>30045090</v>
      </c>
      <c r="D802" s="16"/>
      <c r="E802">
        <v>0</v>
      </c>
      <c r="F802">
        <v>17</v>
      </c>
      <c r="G802">
        <v>0</v>
      </c>
      <c r="H802">
        <v>9.9</v>
      </c>
      <c r="I802">
        <v>2.1</v>
      </c>
      <c r="J802">
        <v>8</v>
      </c>
    </row>
    <row r="803" spans="2:10" x14ac:dyDescent="0.25">
      <c r="B803" t="s">
        <v>2710</v>
      </c>
      <c r="C803" s="16">
        <v>30045090</v>
      </c>
      <c r="D803" s="16"/>
      <c r="E803">
        <v>0</v>
      </c>
      <c r="F803">
        <v>12</v>
      </c>
      <c r="G803">
        <v>0</v>
      </c>
      <c r="H803">
        <v>9.9</v>
      </c>
      <c r="I803">
        <v>2.1</v>
      </c>
      <c r="J803">
        <v>8</v>
      </c>
    </row>
    <row r="804" spans="2:10" x14ac:dyDescent="0.25">
      <c r="B804" t="s">
        <v>2713</v>
      </c>
      <c r="C804" s="16">
        <v>30045090</v>
      </c>
      <c r="D804" s="16"/>
      <c r="E804">
        <v>0</v>
      </c>
      <c r="F804">
        <v>19</v>
      </c>
      <c r="G804">
        <v>0</v>
      </c>
      <c r="H804">
        <v>9.9</v>
      </c>
      <c r="I804">
        <v>2.1</v>
      </c>
      <c r="J804">
        <v>8</v>
      </c>
    </row>
    <row r="805" spans="2:10" x14ac:dyDescent="0.25">
      <c r="B805" t="s">
        <v>19453</v>
      </c>
      <c r="C805" s="16">
        <v>30045090</v>
      </c>
      <c r="D805" s="16"/>
      <c r="E805">
        <v>0</v>
      </c>
      <c r="F805">
        <v>17</v>
      </c>
      <c r="G805">
        <v>0</v>
      </c>
      <c r="H805">
        <v>9.9</v>
      </c>
      <c r="I805">
        <v>2.1</v>
      </c>
      <c r="J805">
        <v>8</v>
      </c>
    </row>
    <row r="806" spans="2:10" x14ac:dyDescent="0.25">
      <c r="B806" t="s">
        <v>19454</v>
      </c>
      <c r="C806" s="16">
        <v>30045090</v>
      </c>
      <c r="D806" s="16"/>
      <c r="E806">
        <v>0</v>
      </c>
      <c r="F806">
        <v>17</v>
      </c>
      <c r="G806">
        <v>0</v>
      </c>
      <c r="H806">
        <v>9.9</v>
      </c>
      <c r="I806">
        <v>2.1</v>
      </c>
      <c r="J806">
        <v>8</v>
      </c>
    </row>
    <row r="807" spans="2:10" x14ac:dyDescent="0.25">
      <c r="B807" t="s">
        <v>19455</v>
      </c>
      <c r="C807" s="16">
        <v>30045090</v>
      </c>
      <c r="D807" s="16"/>
      <c r="E807">
        <v>0</v>
      </c>
      <c r="F807">
        <v>17</v>
      </c>
      <c r="G807">
        <v>0</v>
      </c>
      <c r="H807">
        <v>9.9</v>
      </c>
      <c r="I807">
        <v>2.1</v>
      </c>
      <c r="J807">
        <v>8</v>
      </c>
    </row>
    <row r="808" spans="2:10" x14ac:dyDescent="0.25">
      <c r="B808" t="s">
        <v>2712</v>
      </c>
      <c r="C808" s="16">
        <v>30045090</v>
      </c>
      <c r="D808" s="16"/>
      <c r="E808">
        <v>0</v>
      </c>
      <c r="F808">
        <v>17</v>
      </c>
      <c r="G808">
        <v>0</v>
      </c>
      <c r="H808">
        <v>9.9</v>
      </c>
      <c r="I808">
        <v>2.1</v>
      </c>
      <c r="J808">
        <v>8</v>
      </c>
    </row>
    <row r="809" spans="2:10" x14ac:dyDescent="0.25">
      <c r="B809" t="s">
        <v>2711</v>
      </c>
      <c r="C809" s="16">
        <v>30045090</v>
      </c>
      <c r="D809" s="16"/>
      <c r="E809">
        <v>0</v>
      </c>
      <c r="F809">
        <v>17</v>
      </c>
      <c r="G809">
        <v>0</v>
      </c>
      <c r="H809">
        <v>9.9</v>
      </c>
      <c r="I809">
        <v>2.1</v>
      </c>
      <c r="J809">
        <v>8</v>
      </c>
    </row>
    <row r="810" spans="2:10" x14ac:dyDescent="0.25">
      <c r="B810" t="s">
        <v>19456</v>
      </c>
      <c r="C810" s="16">
        <v>30045090</v>
      </c>
      <c r="D810" s="16"/>
      <c r="E810">
        <v>0</v>
      </c>
      <c r="F810">
        <v>17</v>
      </c>
      <c r="G810">
        <v>0</v>
      </c>
      <c r="H810">
        <v>9.9</v>
      </c>
      <c r="I810">
        <v>2.1</v>
      </c>
      <c r="J810">
        <v>8</v>
      </c>
    </row>
    <row r="811" spans="2:10" x14ac:dyDescent="0.25">
      <c r="B811" t="s">
        <v>2709</v>
      </c>
      <c r="C811" s="16">
        <v>30045090</v>
      </c>
      <c r="D811" s="16"/>
      <c r="E811">
        <v>0</v>
      </c>
      <c r="F811">
        <v>18</v>
      </c>
      <c r="G811">
        <v>0</v>
      </c>
      <c r="H811">
        <v>9.9</v>
      </c>
      <c r="I811">
        <v>2.1</v>
      </c>
      <c r="J811">
        <v>8</v>
      </c>
    </row>
    <row r="812" spans="2:10" x14ac:dyDescent="0.25">
      <c r="B812" t="s">
        <v>19457</v>
      </c>
      <c r="C812" s="16">
        <v>30045090</v>
      </c>
      <c r="D812" s="16"/>
      <c r="E812">
        <v>0</v>
      </c>
      <c r="F812">
        <v>17</v>
      </c>
      <c r="G812">
        <v>0</v>
      </c>
      <c r="H812">
        <v>9.9</v>
      </c>
      <c r="I812">
        <v>2.1</v>
      </c>
      <c r="J812">
        <v>8</v>
      </c>
    </row>
    <row r="813" spans="2:10" x14ac:dyDescent="0.25">
      <c r="B813" t="s">
        <v>19446</v>
      </c>
      <c r="C813" s="16">
        <v>30049021</v>
      </c>
      <c r="D813" s="16"/>
      <c r="E813">
        <v>0</v>
      </c>
      <c r="F813">
        <v>17</v>
      </c>
      <c r="G813">
        <v>0</v>
      </c>
      <c r="H813">
        <v>9.9</v>
      </c>
      <c r="I813">
        <v>2.1</v>
      </c>
      <c r="J813">
        <v>14</v>
      </c>
    </row>
    <row r="814" spans="2:10" x14ac:dyDescent="0.25">
      <c r="B814" t="s">
        <v>19448</v>
      </c>
      <c r="C814" s="16">
        <v>30049021</v>
      </c>
      <c r="D814" s="16"/>
      <c r="E814">
        <v>0</v>
      </c>
      <c r="F814">
        <v>17</v>
      </c>
      <c r="G814">
        <v>0</v>
      </c>
      <c r="H814">
        <v>9.9</v>
      </c>
      <c r="I814">
        <v>2.1</v>
      </c>
      <c r="J814">
        <v>14</v>
      </c>
    </row>
    <row r="815" spans="2:10" x14ac:dyDescent="0.25">
      <c r="B815" t="s">
        <v>2724</v>
      </c>
      <c r="C815" s="16">
        <v>30049021</v>
      </c>
      <c r="D815" s="16"/>
      <c r="E815">
        <v>59</v>
      </c>
      <c r="F815">
        <v>17</v>
      </c>
      <c r="G815">
        <v>0</v>
      </c>
      <c r="H815">
        <v>9.9</v>
      </c>
      <c r="I815">
        <v>2.1</v>
      </c>
      <c r="J815">
        <v>14</v>
      </c>
    </row>
    <row r="816" spans="2:10" x14ac:dyDescent="0.25">
      <c r="B816" t="s">
        <v>19449</v>
      </c>
      <c r="C816" s="16">
        <v>30049021</v>
      </c>
      <c r="D816" s="16"/>
      <c r="E816">
        <v>0</v>
      </c>
      <c r="F816">
        <v>17</v>
      </c>
      <c r="G816">
        <v>0</v>
      </c>
      <c r="H816">
        <v>9.9</v>
      </c>
      <c r="I816">
        <v>2.1</v>
      </c>
      <c r="J816">
        <v>14</v>
      </c>
    </row>
    <row r="817" spans="2:10" x14ac:dyDescent="0.25">
      <c r="B817" t="s">
        <v>2720</v>
      </c>
      <c r="C817" s="16">
        <v>30049021</v>
      </c>
      <c r="D817" s="16"/>
      <c r="E817">
        <v>0</v>
      </c>
      <c r="F817">
        <v>17</v>
      </c>
      <c r="G817">
        <v>0</v>
      </c>
      <c r="H817">
        <v>9.9</v>
      </c>
      <c r="I817">
        <v>2.1</v>
      </c>
      <c r="J817">
        <v>14</v>
      </c>
    </row>
    <row r="818" spans="2:10" x14ac:dyDescent="0.25">
      <c r="B818" t="s">
        <v>2721</v>
      </c>
      <c r="C818" s="16">
        <v>30049021</v>
      </c>
      <c r="D818" s="16"/>
      <c r="E818" t="s">
        <v>19447</v>
      </c>
      <c r="F818">
        <v>17</v>
      </c>
      <c r="G818">
        <v>0</v>
      </c>
      <c r="H818">
        <v>9.9</v>
      </c>
      <c r="I818">
        <v>2.1</v>
      </c>
      <c r="J818">
        <v>14</v>
      </c>
    </row>
    <row r="819" spans="2:10" x14ac:dyDescent="0.25">
      <c r="B819" t="s">
        <v>2719</v>
      </c>
      <c r="C819" s="16">
        <v>30049021</v>
      </c>
      <c r="D819" s="16"/>
      <c r="E819">
        <v>0</v>
      </c>
      <c r="F819">
        <v>17</v>
      </c>
      <c r="G819">
        <v>0</v>
      </c>
      <c r="H819">
        <v>9.9</v>
      </c>
      <c r="I819">
        <v>2.1</v>
      </c>
      <c r="J819">
        <v>14</v>
      </c>
    </row>
    <row r="820" spans="2:10" x14ac:dyDescent="0.25">
      <c r="B820" t="s">
        <v>2715</v>
      </c>
      <c r="C820" s="16">
        <v>30049021</v>
      </c>
      <c r="D820" s="16"/>
      <c r="E820">
        <v>0</v>
      </c>
      <c r="F820">
        <v>17</v>
      </c>
      <c r="G820">
        <v>0</v>
      </c>
      <c r="H820">
        <v>9.9</v>
      </c>
      <c r="I820">
        <v>2.1</v>
      </c>
      <c r="J820">
        <v>14</v>
      </c>
    </row>
    <row r="821" spans="2:10" x14ac:dyDescent="0.25">
      <c r="B821" t="s">
        <v>2716</v>
      </c>
      <c r="C821" s="16">
        <v>30049021</v>
      </c>
      <c r="D821" s="16"/>
      <c r="E821" t="s">
        <v>19447</v>
      </c>
      <c r="F821">
        <v>17</v>
      </c>
      <c r="G821">
        <v>0</v>
      </c>
      <c r="H821">
        <v>9.9</v>
      </c>
      <c r="I821">
        <v>2.1</v>
      </c>
      <c r="J821">
        <v>14</v>
      </c>
    </row>
    <row r="822" spans="2:10" x14ac:dyDescent="0.25">
      <c r="B822" t="s">
        <v>19450</v>
      </c>
      <c r="C822" s="16">
        <v>30049021</v>
      </c>
      <c r="D822" s="16"/>
      <c r="E822">
        <v>0</v>
      </c>
      <c r="F822">
        <v>17</v>
      </c>
      <c r="G822">
        <v>0</v>
      </c>
      <c r="H822">
        <v>9.9</v>
      </c>
      <c r="I822">
        <v>2.1</v>
      </c>
      <c r="J822">
        <v>14</v>
      </c>
    </row>
    <row r="823" spans="2:10" x14ac:dyDescent="0.25">
      <c r="B823" t="s">
        <v>2714</v>
      </c>
      <c r="C823" s="16">
        <v>30049021</v>
      </c>
      <c r="D823" s="16"/>
      <c r="E823">
        <v>0</v>
      </c>
      <c r="F823">
        <v>12</v>
      </c>
      <c r="G823">
        <v>0</v>
      </c>
      <c r="H823">
        <v>9.9</v>
      </c>
      <c r="I823">
        <v>2.1</v>
      </c>
      <c r="J823">
        <v>14</v>
      </c>
    </row>
    <row r="824" spans="2:10" x14ac:dyDescent="0.25">
      <c r="B824" t="s">
        <v>2718</v>
      </c>
      <c r="C824" s="16">
        <v>30049021</v>
      </c>
      <c r="D824" s="16"/>
      <c r="E824">
        <v>0</v>
      </c>
      <c r="F824">
        <v>17</v>
      </c>
      <c r="G824">
        <v>0</v>
      </c>
      <c r="H824">
        <v>9.9</v>
      </c>
      <c r="I824">
        <v>2.1</v>
      </c>
      <c r="J824">
        <v>14</v>
      </c>
    </row>
    <row r="825" spans="2:10" x14ac:dyDescent="0.25">
      <c r="B825" t="s">
        <v>2717</v>
      </c>
      <c r="C825" s="16">
        <v>30049021</v>
      </c>
      <c r="D825" s="16"/>
      <c r="E825">
        <v>0</v>
      </c>
      <c r="F825">
        <v>17</v>
      </c>
      <c r="G825">
        <v>0</v>
      </c>
      <c r="H825">
        <v>9.9</v>
      </c>
      <c r="I825">
        <v>2.1</v>
      </c>
      <c r="J825">
        <v>14</v>
      </c>
    </row>
    <row r="826" spans="2:10" x14ac:dyDescent="0.25">
      <c r="B826" t="s">
        <v>2723</v>
      </c>
      <c r="C826" s="16">
        <v>30049021</v>
      </c>
      <c r="D826" s="16"/>
      <c r="E826">
        <v>0</v>
      </c>
      <c r="F826">
        <v>17</v>
      </c>
      <c r="G826">
        <v>0</v>
      </c>
      <c r="H826">
        <v>9.9</v>
      </c>
      <c r="I826">
        <v>2.1</v>
      </c>
      <c r="J826">
        <v>14</v>
      </c>
    </row>
    <row r="827" spans="2:10" x14ac:dyDescent="0.25">
      <c r="B827" t="s">
        <v>19451</v>
      </c>
      <c r="C827" s="16">
        <v>30049021</v>
      </c>
      <c r="D827" s="16"/>
      <c r="E827">
        <v>0</v>
      </c>
      <c r="F827">
        <v>17</v>
      </c>
      <c r="G827">
        <v>0</v>
      </c>
      <c r="H827">
        <v>9.9</v>
      </c>
      <c r="I827">
        <v>2.1</v>
      </c>
      <c r="J827">
        <v>14</v>
      </c>
    </row>
    <row r="828" spans="2:10" x14ac:dyDescent="0.25">
      <c r="B828" t="s">
        <v>2722</v>
      </c>
      <c r="C828" s="16">
        <v>30049021</v>
      </c>
      <c r="D828" s="16"/>
      <c r="E828">
        <v>0</v>
      </c>
      <c r="F828">
        <v>17</v>
      </c>
      <c r="G828">
        <v>0</v>
      </c>
      <c r="H828">
        <v>9.9</v>
      </c>
      <c r="I828">
        <v>2.1</v>
      </c>
      <c r="J828">
        <v>14</v>
      </c>
    </row>
    <row r="829" spans="2:10" x14ac:dyDescent="0.25">
      <c r="B829" t="s">
        <v>19452</v>
      </c>
      <c r="C829" s="16">
        <v>30049021</v>
      </c>
      <c r="D829" s="16"/>
      <c r="E829">
        <v>0</v>
      </c>
      <c r="F829">
        <v>17</v>
      </c>
      <c r="G829">
        <v>0</v>
      </c>
      <c r="H829">
        <v>9.9</v>
      </c>
      <c r="I829">
        <v>2.1</v>
      </c>
      <c r="J829">
        <v>14</v>
      </c>
    </row>
    <row r="830" spans="2:10" x14ac:dyDescent="0.25">
      <c r="B830" t="s">
        <v>2710</v>
      </c>
      <c r="C830" s="16">
        <v>30049021</v>
      </c>
      <c r="D830" s="16"/>
      <c r="E830">
        <v>0</v>
      </c>
      <c r="F830">
        <v>12</v>
      </c>
      <c r="G830">
        <v>0</v>
      </c>
      <c r="H830">
        <v>9.9</v>
      </c>
      <c r="I830">
        <v>2.1</v>
      </c>
      <c r="J830">
        <v>14</v>
      </c>
    </row>
    <row r="831" spans="2:10" x14ac:dyDescent="0.25">
      <c r="B831" t="s">
        <v>2713</v>
      </c>
      <c r="C831" s="16">
        <v>30049021</v>
      </c>
      <c r="D831" s="16"/>
      <c r="E831">
        <v>0</v>
      </c>
      <c r="F831">
        <v>19</v>
      </c>
      <c r="G831">
        <v>0</v>
      </c>
      <c r="H831">
        <v>9.9</v>
      </c>
      <c r="I831">
        <v>2.1</v>
      </c>
      <c r="J831">
        <v>14</v>
      </c>
    </row>
    <row r="832" spans="2:10" x14ac:dyDescent="0.25">
      <c r="B832" t="s">
        <v>19453</v>
      </c>
      <c r="C832" s="16">
        <v>30049021</v>
      </c>
      <c r="D832" s="16"/>
      <c r="E832">
        <v>0</v>
      </c>
      <c r="F832">
        <v>17</v>
      </c>
      <c r="G832">
        <v>0</v>
      </c>
      <c r="H832">
        <v>9.9</v>
      </c>
      <c r="I832">
        <v>2.1</v>
      </c>
      <c r="J832">
        <v>14</v>
      </c>
    </row>
    <row r="833" spans="2:10" x14ac:dyDescent="0.25">
      <c r="B833" t="s">
        <v>19454</v>
      </c>
      <c r="C833" s="16">
        <v>30049021</v>
      </c>
      <c r="D833" s="16"/>
      <c r="E833">
        <v>0</v>
      </c>
      <c r="F833">
        <v>17</v>
      </c>
      <c r="G833">
        <v>0</v>
      </c>
      <c r="H833">
        <v>9.9</v>
      </c>
      <c r="I833">
        <v>2.1</v>
      </c>
      <c r="J833">
        <v>14</v>
      </c>
    </row>
    <row r="834" spans="2:10" x14ac:dyDescent="0.25">
      <c r="B834" t="s">
        <v>19455</v>
      </c>
      <c r="C834" s="16">
        <v>30049021</v>
      </c>
      <c r="D834" s="16"/>
      <c r="E834">
        <v>0</v>
      </c>
      <c r="F834">
        <v>17</v>
      </c>
      <c r="G834">
        <v>0</v>
      </c>
      <c r="H834">
        <v>9.9</v>
      </c>
      <c r="I834">
        <v>2.1</v>
      </c>
      <c r="J834">
        <v>14</v>
      </c>
    </row>
    <row r="835" spans="2:10" x14ac:dyDescent="0.25">
      <c r="B835" t="s">
        <v>2712</v>
      </c>
      <c r="C835" s="16">
        <v>30049021</v>
      </c>
      <c r="D835" s="16"/>
      <c r="E835">
        <v>0</v>
      </c>
      <c r="F835">
        <v>17</v>
      </c>
      <c r="G835">
        <v>0</v>
      </c>
      <c r="H835">
        <v>9.9</v>
      </c>
      <c r="I835">
        <v>2.1</v>
      </c>
      <c r="J835">
        <v>14</v>
      </c>
    </row>
    <row r="836" spans="2:10" x14ac:dyDescent="0.25">
      <c r="B836" t="s">
        <v>2711</v>
      </c>
      <c r="C836" s="16">
        <v>30049021</v>
      </c>
      <c r="D836" s="16"/>
      <c r="E836">
        <v>0</v>
      </c>
      <c r="F836">
        <v>17</v>
      </c>
      <c r="G836">
        <v>0</v>
      </c>
      <c r="H836">
        <v>9.9</v>
      </c>
      <c r="I836">
        <v>2.1</v>
      </c>
      <c r="J836">
        <v>14</v>
      </c>
    </row>
    <row r="837" spans="2:10" x14ac:dyDescent="0.25">
      <c r="B837" t="s">
        <v>19456</v>
      </c>
      <c r="C837" s="16">
        <v>30049021</v>
      </c>
      <c r="D837" s="16"/>
      <c r="E837">
        <v>0</v>
      </c>
      <c r="F837">
        <v>17</v>
      </c>
      <c r="G837">
        <v>0</v>
      </c>
      <c r="H837">
        <v>9.9</v>
      </c>
      <c r="I837">
        <v>2.1</v>
      </c>
      <c r="J837">
        <v>14</v>
      </c>
    </row>
    <row r="838" spans="2:10" x14ac:dyDescent="0.25">
      <c r="B838" t="s">
        <v>2709</v>
      </c>
      <c r="C838" s="16">
        <v>30049021</v>
      </c>
      <c r="D838" s="16"/>
      <c r="E838">
        <v>0</v>
      </c>
      <c r="F838">
        <v>18</v>
      </c>
      <c r="G838">
        <v>0</v>
      </c>
      <c r="H838">
        <v>9.9</v>
      </c>
      <c r="I838">
        <v>2.1</v>
      </c>
      <c r="J838">
        <v>14</v>
      </c>
    </row>
    <row r="839" spans="2:10" x14ac:dyDescent="0.25">
      <c r="B839" t="s">
        <v>19457</v>
      </c>
      <c r="C839" s="16">
        <v>30049021</v>
      </c>
      <c r="D839" s="16"/>
      <c r="E839">
        <v>0</v>
      </c>
      <c r="F839">
        <v>17</v>
      </c>
      <c r="G839">
        <v>0</v>
      </c>
      <c r="H839">
        <v>9.9</v>
      </c>
      <c r="I839">
        <v>2.1</v>
      </c>
      <c r="J839">
        <v>14</v>
      </c>
    </row>
    <row r="840" spans="2:10" x14ac:dyDescent="0.25">
      <c r="B840" t="s">
        <v>19446</v>
      </c>
      <c r="C840" s="16" t="s">
        <v>13128</v>
      </c>
      <c r="D840" s="16"/>
      <c r="E840">
        <v>0</v>
      </c>
      <c r="F840">
        <v>17</v>
      </c>
      <c r="G840">
        <v>0</v>
      </c>
      <c r="H840">
        <v>9.9</v>
      </c>
      <c r="I840">
        <v>2.1</v>
      </c>
      <c r="J840">
        <v>8</v>
      </c>
    </row>
    <row r="841" spans="2:10" x14ac:dyDescent="0.25">
      <c r="B841" t="s">
        <v>19448</v>
      </c>
      <c r="C841" s="16" t="s">
        <v>13128</v>
      </c>
      <c r="D841" s="16"/>
      <c r="E841">
        <v>0</v>
      </c>
      <c r="F841">
        <v>17</v>
      </c>
      <c r="G841">
        <v>0</v>
      </c>
      <c r="H841">
        <v>9.9</v>
      </c>
      <c r="I841">
        <v>2.1</v>
      </c>
      <c r="J841">
        <v>8</v>
      </c>
    </row>
    <row r="842" spans="2:10" x14ac:dyDescent="0.25">
      <c r="B842" t="s">
        <v>2724</v>
      </c>
      <c r="C842" s="16" t="s">
        <v>13128</v>
      </c>
      <c r="D842" s="16"/>
      <c r="E842">
        <v>59</v>
      </c>
      <c r="F842">
        <v>17</v>
      </c>
      <c r="G842">
        <v>0</v>
      </c>
      <c r="H842">
        <v>9.9</v>
      </c>
      <c r="I842">
        <v>2.1</v>
      </c>
      <c r="J842">
        <v>8</v>
      </c>
    </row>
    <row r="843" spans="2:10" x14ac:dyDescent="0.25">
      <c r="B843" t="s">
        <v>19449</v>
      </c>
      <c r="C843" s="16" t="s">
        <v>13128</v>
      </c>
      <c r="D843" s="16"/>
      <c r="E843">
        <v>0</v>
      </c>
      <c r="F843">
        <v>17</v>
      </c>
      <c r="G843">
        <v>0</v>
      </c>
      <c r="H843">
        <v>9.9</v>
      </c>
      <c r="I843">
        <v>2.1</v>
      </c>
      <c r="J843">
        <v>8</v>
      </c>
    </row>
    <row r="844" spans="2:10" x14ac:dyDescent="0.25">
      <c r="B844" t="s">
        <v>2720</v>
      </c>
      <c r="C844" s="16" t="s">
        <v>13128</v>
      </c>
      <c r="D844" s="16"/>
      <c r="E844">
        <v>0</v>
      </c>
      <c r="F844">
        <v>17</v>
      </c>
      <c r="G844">
        <v>0</v>
      </c>
      <c r="H844">
        <v>9.9</v>
      </c>
      <c r="I844">
        <v>2.1</v>
      </c>
      <c r="J844">
        <v>8</v>
      </c>
    </row>
    <row r="845" spans="2:10" x14ac:dyDescent="0.25">
      <c r="B845" t="s">
        <v>2721</v>
      </c>
      <c r="C845" s="16" t="s">
        <v>13128</v>
      </c>
      <c r="D845" s="16"/>
      <c r="E845" t="s">
        <v>19447</v>
      </c>
      <c r="F845">
        <v>17</v>
      </c>
      <c r="G845">
        <v>0</v>
      </c>
      <c r="H845">
        <v>9.9</v>
      </c>
      <c r="I845">
        <v>2.1</v>
      </c>
      <c r="J845">
        <v>8</v>
      </c>
    </row>
    <row r="846" spans="2:10" x14ac:dyDescent="0.25">
      <c r="B846" t="s">
        <v>2719</v>
      </c>
      <c r="C846" s="16" t="s">
        <v>13128</v>
      </c>
      <c r="D846" s="16"/>
      <c r="E846">
        <v>0</v>
      </c>
      <c r="F846">
        <v>17</v>
      </c>
      <c r="G846">
        <v>0</v>
      </c>
      <c r="H846">
        <v>9.9</v>
      </c>
      <c r="I846">
        <v>2.1</v>
      </c>
      <c r="J846">
        <v>8</v>
      </c>
    </row>
    <row r="847" spans="2:10" x14ac:dyDescent="0.25">
      <c r="B847" t="s">
        <v>2715</v>
      </c>
      <c r="C847" s="16" t="s">
        <v>13128</v>
      </c>
      <c r="D847" s="16"/>
      <c r="E847">
        <v>0</v>
      </c>
      <c r="F847">
        <v>17</v>
      </c>
      <c r="G847">
        <v>0</v>
      </c>
      <c r="H847">
        <v>9.9</v>
      </c>
      <c r="I847">
        <v>2.1</v>
      </c>
      <c r="J847">
        <v>8</v>
      </c>
    </row>
    <row r="848" spans="2:10" x14ac:dyDescent="0.25">
      <c r="B848" t="s">
        <v>2716</v>
      </c>
      <c r="C848" s="16" t="s">
        <v>13128</v>
      </c>
      <c r="D848" s="16"/>
      <c r="E848" t="s">
        <v>19447</v>
      </c>
      <c r="F848">
        <v>17</v>
      </c>
      <c r="G848">
        <v>0</v>
      </c>
      <c r="H848">
        <v>9.9</v>
      </c>
      <c r="I848">
        <v>2.1</v>
      </c>
      <c r="J848">
        <v>8</v>
      </c>
    </row>
    <row r="849" spans="2:10" x14ac:dyDescent="0.25">
      <c r="B849" t="s">
        <v>19450</v>
      </c>
      <c r="C849" s="16" t="s">
        <v>13128</v>
      </c>
      <c r="D849" s="16"/>
      <c r="E849">
        <v>0</v>
      </c>
      <c r="F849">
        <v>17</v>
      </c>
      <c r="G849">
        <v>0</v>
      </c>
      <c r="H849">
        <v>9.9</v>
      </c>
      <c r="I849">
        <v>2.1</v>
      </c>
      <c r="J849">
        <v>8</v>
      </c>
    </row>
    <row r="850" spans="2:10" x14ac:dyDescent="0.25">
      <c r="B850" t="s">
        <v>2714</v>
      </c>
      <c r="C850" s="16" t="s">
        <v>13128</v>
      </c>
      <c r="D850" s="16"/>
      <c r="E850">
        <v>0</v>
      </c>
      <c r="F850">
        <v>12</v>
      </c>
      <c r="G850">
        <v>0</v>
      </c>
      <c r="H850">
        <v>9.9</v>
      </c>
      <c r="I850">
        <v>2.1</v>
      </c>
      <c r="J850">
        <v>8</v>
      </c>
    </row>
    <row r="851" spans="2:10" x14ac:dyDescent="0.25">
      <c r="B851" t="s">
        <v>2718</v>
      </c>
      <c r="C851" s="16" t="s">
        <v>13128</v>
      </c>
      <c r="D851" s="16"/>
      <c r="E851">
        <v>0</v>
      </c>
      <c r="F851">
        <v>17</v>
      </c>
      <c r="G851">
        <v>0</v>
      </c>
      <c r="H851">
        <v>9.9</v>
      </c>
      <c r="I851">
        <v>2.1</v>
      </c>
      <c r="J851">
        <v>8</v>
      </c>
    </row>
    <row r="852" spans="2:10" x14ac:dyDescent="0.25">
      <c r="B852" t="s">
        <v>2717</v>
      </c>
      <c r="C852" s="16" t="s">
        <v>13128</v>
      </c>
      <c r="D852" s="16"/>
      <c r="E852">
        <v>0</v>
      </c>
      <c r="F852">
        <v>17</v>
      </c>
      <c r="G852">
        <v>0</v>
      </c>
      <c r="H852">
        <v>9.9</v>
      </c>
      <c r="I852">
        <v>2.1</v>
      </c>
      <c r="J852">
        <v>8</v>
      </c>
    </row>
    <row r="853" spans="2:10" x14ac:dyDescent="0.25">
      <c r="B853" t="s">
        <v>2723</v>
      </c>
      <c r="C853" s="16" t="s">
        <v>13128</v>
      </c>
      <c r="D853" s="16"/>
      <c r="E853">
        <v>0</v>
      </c>
      <c r="F853">
        <v>17</v>
      </c>
      <c r="G853">
        <v>0</v>
      </c>
      <c r="H853">
        <v>9.9</v>
      </c>
      <c r="I853">
        <v>2.1</v>
      </c>
      <c r="J853">
        <v>8</v>
      </c>
    </row>
    <row r="854" spans="2:10" x14ac:dyDescent="0.25">
      <c r="B854" t="s">
        <v>19451</v>
      </c>
      <c r="C854" s="16" t="s">
        <v>13128</v>
      </c>
      <c r="D854" s="16"/>
      <c r="E854">
        <v>0</v>
      </c>
      <c r="F854">
        <v>17</v>
      </c>
      <c r="G854">
        <v>0</v>
      </c>
      <c r="H854">
        <v>9.9</v>
      </c>
      <c r="I854">
        <v>2.1</v>
      </c>
      <c r="J854">
        <v>8</v>
      </c>
    </row>
    <row r="855" spans="2:10" x14ac:dyDescent="0.25">
      <c r="B855" t="s">
        <v>2722</v>
      </c>
      <c r="C855" s="16" t="s">
        <v>13128</v>
      </c>
      <c r="D855" s="16"/>
      <c r="E855">
        <v>0</v>
      </c>
      <c r="F855">
        <v>17</v>
      </c>
      <c r="G855">
        <v>0</v>
      </c>
      <c r="H855">
        <v>9.9</v>
      </c>
      <c r="I855">
        <v>2.1</v>
      </c>
      <c r="J855">
        <v>8</v>
      </c>
    </row>
    <row r="856" spans="2:10" x14ac:dyDescent="0.25">
      <c r="B856" t="s">
        <v>19452</v>
      </c>
      <c r="C856" s="16" t="s">
        <v>13128</v>
      </c>
      <c r="D856" s="16"/>
      <c r="E856">
        <v>0</v>
      </c>
      <c r="F856">
        <v>17</v>
      </c>
      <c r="G856">
        <v>0</v>
      </c>
      <c r="H856">
        <v>9.9</v>
      </c>
      <c r="I856">
        <v>2.1</v>
      </c>
      <c r="J856">
        <v>8</v>
      </c>
    </row>
    <row r="857" spans="2:10" x14ac:dyDescent="0.25">
      <c r="B857" t="s">
        <v>2710</v>
      </c>
      <c r="C857" s="16" t="s">
        <v>13128</v>
      </c>
      <c r="D857" s="16"/>
      <c r="E857">
        <v>0</v>
      </c>
      <c r="F857">
        <v>12</v>
      </c>
      <c r="G857">
        <v>0</v>
      </c>
      <c r="H857">
        <v>9.9</v>
      </c>
      <c r="I857">
        <v>2.1</v>
      </c>
      <c r="J857">
        <v>8</v>
      </c>
    </row>
    <row r="858" spans="2:10" x14ac:dyDescent="0.25">
      <c r="B858" t="s">
        <v>2713</v>
      </c>
      <c r="C858" s="16" t="s">
        <v>13128</v>
      </c>
      <c r="D858" s="16"/>
      <c r="E858">
        <v>0</v>
      </c>
      <c r="F858">
        <v>19</v>
      </c>
      <c r="G858">
        <v>0</v>
      </c>
      <c r="H858">
        <v>9.9</v>
      </c>
      <c r="I858">
        <v>2.1</v>
      </c>
      <c r="J858">
        <v>8</v>
      </c>
    </row>
    <row r="859" spans="2:10" x14ac:dyDescent="0.25">
      <c r="B859" t="s">
        <v>19453</v>
      </c>
      <c r="C859" s="16" t="s">
        <v>13128</v>
      </c>
      <c r="D859" s="16"/>
      <c r="E859">
        <v>0</v>
      </c>
      <c r="F859">
        <v>17</v>
      </c>
      <c r="G859">
        <v>0</v>
      </c>
      <c r="H859">
        <v>9.9</v>
      </c>
      <c r="I859">
        <v>2.1</v>
      </c>
      <c r="J859">
        <v>8</v>
      </c>
    </row>
    <row r="860" spans="2:10" x14ac:dyDescent="0.25">
      <c r="B860" t="s">
        <v>19454</v>
      </c>
      <c r="C860" s="16" t="s">
        <v>13128</v>
      </c>
      <c r="D860" s="16"/>
      <c r="E860">
        <v>0</v>
      </c>
      <c r="F860">
        <v>17</v>
      </c>
      <c r="G860">
        <v>0</v>
      </c>
      <c r="H860">
        <v>9.9</v>
      </c>
      <c r="I860">
        <v>2.1</v>
      </c>
      <c r="J860">
        <v>8</v>
      </c>
    </row>
    <row r="861" spans="2:10" x14ac:dyDescent="0.25">
      <c r="B861" t="s">
        <v>19455</v>
      </c>
      <c r="C861" s="16" t="s">
        <v>13128</v>
      </c>
      <c r="D861" s="16"/>
      <c r="E861">
        <v>0</v>
      </c>
      <c r="F861">
        <v>17</v>
      </c>
      <c r="G861">
        <v>0</v>
      </c>
      <c r="H861">
        <v>9.9</v>
      </c>
      <c r="I861">
        <v>2.1</v>
      </c>
      <c r="J861">
        <v>8</v>
      </c>
    </row>
    <row r="862" spans="2:10" x14ac:dyDescent="0.25">
      <c r="B862" t="s">
        <v>2712</v>
      </c>
      <c r="C862" s="16" t="s">
        <v>13128</v>
      </c>
      <c r="D862" s="16"/>
      <c r="E862">
        <v>0</v>
      </c>
      <c r="F862">
        <v>17</v>
      </c>
      <c r="G862">
        <v>0</v>
      </c>
      <c r="H862">
        <v>9.9</v>
      </c>
      <c r="I862">
        <v>2.1</v>
      </c>
      <c r="J862">
        <v>8</v>
      </c>
    </row>
    <row r="863" spans="2:10" x14ac:dyDescent="0.25">
      <c r="B863" t="s">
        <v>2711</v>
      </c>
      <c r="C863" s="16" t="s">
        <v>13128</v>
      </c>
      <c r="D863" s="16"/>
      <c r="E863">
        <v>0</v>
      </c>
      <c r="F863">
        <v>17</v>
      </c>
      <c r="G863">
        <v>0</v>
      </c>
      <c r="H863">
        <v>9.9</v>
      </c>
      <c r="I863">
        <v>2.1</v>
      </c>
      <c r="J863">
        <v>8</v>
      </c>
    </row>
    <row r="864" spans="2:10" x14ac:dyDescent="0.25">
      <c r="B864" t="s">
        <v>19456</v>
      </c>
      <c r="C864" s="16" t="s">
        <v>13128</v>
      </c>
      <c r="D864" s="16"/>
      <c r="E864">
        <v>0</v>
      </c>
      <c r="F864">
        <v>17</v>
      </c>
      <c r="G864">
        <v>0</v>
      </c>
      <c r="H864">
        <v>9.9</v>
      </c>
      <c r="I864">
        <v>2.1</v>
      </c>
      <c r="J864">
        <v>8</v>
      </c>
    </row>
    <row r="865" spans="2:10" x14ac:dyDescent="0.25">
      <c r="B865" t="s">
        <v>2709</v>
      </c>
      <c r="C865" s="16" t="s">
        <v>13128</v>
      </c>
      <c r="D865" s="16"/>
      <c r="E865">
        <v>0</v>
      </c>
      <c r="F865">
        <v>18</v>
      </c>
      <c r="G865">
        <v>0</v>
      </c>
      <c r="H865">
        <v>9.9</v>
      </c>
      <c r="I865">
        <v>2.1</v>
      </c>
      <c r="J865">
        <v>8</v>
      </c>
    </row>
    <row r="866" spans="2:10" x14ac:dyDescent="0.25">
      <c r="B866" t="s">
        <v>19457</v>
      </c>
      <c r="C866" s="16" t="s">
        <v>13128</v>
      </c>
      <c r="D866" s="16"/>
      <c r="E866">
        <v>0</v>
      </c>
      <c r="F866">
        <v>17</v>
      </c>
      <c r="G866">
        <v>0</v>
      </c>
      <c r="H866">
        <v>9.9</v>
      </c>
      <c r="I866">
        <v>2.1</v>
      </c>
      <c r="J866">
        <v>8</v>
      </c>
    </row>
    <row r="867" spans="2:10" x14ac:dyDescent="0.25">
      <c r="B867" t="s">
        <v>19446</v>
      </c>
      <c r="C867" s="16">
        <v>30049029</v>
      </c>
      <c r="D867" s="16"/>
      <c r="E867">
        <v>0</v>
      </c>
      <c r="F867">
        <v>17</v>
      </c>
      <c r="G867">
        <v>0</v>
      </c>
      <c r="H867">
        <v>9.9</v>
      </c>
      <c r="I867">
        <v>2.1</v>
      </c>
      <c r="J867">
        <v>8</v>
      </c>
    </row>
    <row r="868" spans="2:10" x14ac:dyDescent="0.25">
      <c r="B868" t="s">
        <v>19448</v>
      </c>
      <c r="C868" s="16">
        <v>30049029</v>
      </c>
      <c r="D868" s="16"/>
      <c r="E868">
        <v>0</v>
      </c>
      <c r="F868">
        <v>17</v>
      </c>
      <c r="G868">
        <v>0</v>
      </c>
      <c r="H868">
        <v>9.9</v>
      </c>
      <c r="I868">
        <v>2.1</v>
      </c>
      <c r="J868">
        <v>8</v>
      </c>
    </row>
    <row r="869" spans="2:10" x14ac:dyDescent="0.25">
      <c r="B869" t="s">
        <v>2724</v>
      </c>
      <c r="C869" s="16">
        <v>30049029</v>
      </c>
      <c r="D869" s="16"/>
      <c r="E869">
        <v>59</v>
      </c>
      <c r="F869">
        <v>17</v>
      </c>
      <c r="G869">
        <v>0</v>
      </c>
      <c r="H869">
        <v>9.9</v>
      </c>
      <c r="I869">
        <v>2.1</v>
      </c>
      <c r="J869">
        <v>8</v>
      </c>
    </row>
    <row r="870" spans="2:10" x14ac:dyDescent="0.25">
      <c r="B870" t="s">
        <v>19449</v>
      </c>
      <c r="C870" s="16">
        <v>30049029</v>
      </c>
      <c r="D870" s="16"/>
      <c r="E870">
        <v>0</v>
      </c>
      <c r="F870">
        <v>17</v>
      </c>
      <c r="G870">
        <v>0</v>
      </c>
      <c r="H870">
        <v>9.9</v>
      </c>
      <c r="I870">
        <v>2.1</v>
      </c>
      <c r="J870">
        <v>8</v>
      </c>
    </row>
    <row r="871" spans="2:10" x14ac:dyDescent="0.25">
      <c r="B871" t="s">
        <v>2720</v>
      </c>
      <c r="C871" s="16">
        <v>30049029</v>
      </c>
      <c r="D871" s="16"/>
      <c r="E871">
        <v>0</v>
      </c>
      <c r="F871">
        <v>17</v>
      </c>
      <c r="G871">
        <v>0</v>
      </c>
      <c r="H871">
        <v>9.9</v>
      </c>
      <c r="I871">
        <v>2.1</v>
      </c>
      <c r="J871">
        <v>8</v>
      </c>
    </row>
    <row r="872" spans="2:10" x14ac:dyDescent="0.25">
      <c r="B872" t="s">
        <v>2721</v>
      </c>
      <c r="C872" s="16">
        <v>30049029</v>
      </c>
      <c r="D872" s="16"/>
      <c r="E872" t="s">
        <v>19447</v>
      </c>
      <c r="F872">
        <v>17</v>
      </c>
      <c r="G872">
        <v>0</v>
      </c>
      <c r="H872">
        <v>9.9</v>
      </c>
      <c r="I872">
        <v>2.1</v>
      </c>
      <c r="J872">
        <v>8</v>
      </c>
    </row>
    <row r="873" spans="2:10" x14ac:dyDescent="0.25">
      <c r="B873" t="s">
        <v>2719</v>
      </c>
      <c r="C873" s="16">
        <v>30049029</v>
      </c>
      <c r="D873" s="16"/>
      <c r="E873">
        <v>0</v>
      </c>
      <c r="F873">
        <v>17</v>
      </c>
      <c r="G873">
        <v>0</v>
      </c>
      <c r="H873">
        <v>9.9</v>
      </c>
      <c r="I873">
        <v>2.1</v>
      </c>
      <c r="J873">
        <v>8</v>
      </c>
    </row>
    <row r="874" spans="2:10" x14ac:dyDescent="0.25">
      <c r="B874" t="s">
        <v>2715</v>
      </c>
      <c r="C874" s="16">
        <v>30049029</v>
      </c>
      <c r="D874" s="16"/>
      <c r="E874">
        <v>0</v>
      </c>
      <c r="F874">
        <v>17</v>
      </c>
      <c r="G874">
        <v>0</v>
      </c>
      <c r="H874">
        <v>9.9</v>
      </c>
      <c r="I874">
        <v>2.1</v>
      </c>
      <c r="J874">
        <v>8</v>
      </c>
    </row>
    <row r="875" spans="2:10" x14ac:dyDescent="0.25">
      <c r="B875" t="s">
        <v>2716</v>
      </c>
      <c r="C875" s="16">
        <v>30049029</v>
      </c>
      <c r="D875" s="16"/>
      <c r="E875" t="s">
        <v>19447</v>
      </c>
      <c r="F875">
        <v>17</v>
      </c>
      <c r="G875">
        <v>0</v>
      </c>
      <c r="H875">
        <v>9.9</v>
      </c>
      <c r="I875">
        <v>2.1</v>
      </c>
      <c r="J875">
        <v>8</v>
      </c>
    </row>
    <row r="876" spans="2:10" x14ac:dyDescent="0.25">
      <c r="B876" t="s">
        <v>19450</v>
      </c>
      <c r="C876" s="16">
        <v>30049029</v>
      </c>
      <c r="D876" s="16"/>
      <c r="E876">
        <v>0</v>
      </c>
      <c r="F876">
        <v>17</v>
      </c>
      <c r="G876">
        <v>0</v>
      </c>
      <c r="H876">
        <v>9.9</v>
      </c>
      <c r="I876">
        <v>2.1</v>
      </c>
      <c r="J876">
        <v>8</v>
      </c>
    </row>
    <row r="877" spans="2:10" x14ac:dyDescent="0.25">
      <c r="B877" t="s">
        <v>2714</v>
      </c>
      <c r="C877" s="16">
        <v>30049029</v>
      </c>
      <c r="D877" s="16"/>
      <c r="E877">
        <v>0</v>
      </c>
      <c r="F877">
        <v>12</v>
      </c>
      <c r="G877">
        <v>0</v>
      </c>
      <c r="H877">
        <v>9.9</v>
      </c>
      <c r="I877">
        <v>2.1</v>
      </c>
      <c r="J877">
        <v>8</v>
      </c>
    </row>
    <row r="878" spans="2:10" x14ac:dyDescent="0.25">
      <c r="B878" t="s">
        <v>2718</v>
      </c>
      <c r="C878" s="16">
        <v>30049029</v>
      </c>
      <c r="D878" s="16"/>
      <c r="E878">
        <v>0</v>
      </c>
      <c r="F878">
        <v>17</v>
      </c>
      <c r="G878">
        <v>0</v>
      </c>
      <c r="H878">
        <v>9.9</v>
      </c>
      <c r="I878">
        <v>2.1</v>
      </c>
      <c r="J878">
        <v>8</v>
      </c>
    </row>
    <row r="879" spans="2:10" x14ac:dyDescent="0.25">
      <c r="B879" t="s">
        <v>2717</v>
      </c>
      <c r="C879" s="16">
        <v>30049029</v>
      </c>
      <c r="D879" s="16"/>
      <c r="E879">
        <v>0</v>
      </c>
      <c r="F879">
        <v>17</v>
      </c>
      <c r="G879">
        <v>0</v>
      </c>
      <c r="H879">
        <v>9.9</v>
      </c>
      <c r="I879">
        <v>2.1</v>
      </c>
      <c r="J879">
        <v>8</v>
      </c>
    </row>
    <row r="880" spans="2:10" x14ac:dyDescent="0.25">
      <c r="B880" t="s">
        <v>2723</v>
      </c>
      <c r="C880" s="16">
        <v>30049029</v>
      </c>
      <c r="D880" s="16"/>
      <c r="E880">
        <v>0</v>
      </c>
      <c r="F880">
        <v>17</v>
      </c>
      <c r="G880">
        <v>0</v>
      </c>
      <c r="H880">
        <v>9.9</v>
      </c>
      <c r="I880">
        <v>2.1</v>
      </c>
      <c r="J880">
        <v>8</v>
      </c>
    </row>
    <row r="881" spans="2:10" x14ac:dyDescent="0.25">
      <c r="B881" t="s">
        <v>19451</v>
      </c>
      <c r="C881" s="16">
        <v>30049029</v>
      </c>
      <c r="D881" s="16"/>
      <c r="E881">
        <v>0</v>
      </c>
      <c r="F881">
        <v>17</v>
      </c>
      <c r="G881">
        <v>0</v>
      </c>
      <c r="H881">
        <v>9.9</v>
      </c>
      <c r="I881">
        <v>2.1</v>
      </c>
      <c r="J881">
        <v>8</v>
      </c>
    </row>
    <row r="882" spans="2:10" x14ac:dyDescent="0.25">
      <c r="B882" t="s">
        <v>2722</v>
      </c>
      <c r="C882" s="16">
        <v>30049029</v>
      </c>
      <c r="D882" s="16"/>
      <c r="E882">
        <v>0</v>
      </c>
      <c r="F882">
        <v>17</v>
      </c>
      <c r="G882">
        <v>0</v>
      </c>
      <c r="H882">
        <v>9.9</v>
      </c>
      <c r="I882">
        <v>2.1</v>
      </c>
      <c r="J882">
        <v>8</v>
      </c>
    </row>
    <row r="883" spans="2:10" x14ac:dyDescent="0.25">
      <c r="B883" t="s">
        <v>19452</v>
      </c>
      <c r="C883" s="16">
        <v>30049029</v>
      </c>
      <c r="D883" s="16"/>
      <c r="E883">
        <v>0</v>
      </c>
      <c r="F883">
        <v>17</v>
      </c>
      <c r="G883">
        <v>0</v>
      </c>
      <c r="H883">
        <v>9.9</v>
      </c>
      <c r="I883">
        <v>2.1</v>
      </c>
      <c r="J883">
        <v>8</v>
      </c>
    </row>
    <row r="884" spans="2:10" x14ac:dyDescent="0.25">
      <c r="B884" t="s">
        <v>2710</v>
      </c>
      <c r="C884" s="16">
        <v>30049029</v>
      </c>
      <c r="D884" s="16"/>
      <c r="E884">
        <v>0</v>
      </c>
      <c r="F884">
        <v>12</v>
      </c>
      <c r="G884">
        <v>0</v>
      </c>
      <c r="H884">
        <v>9.9</v>
      </c>
      <c r="I884">
        <v>2.1</v>
      </c>
      <c r="J884">
        <v>8</v>
      </c>
    </row>
    <row r="885" spans="2:10" x14ac:dyDescent="0.25">
      <c r="B885" t="s">
        <v>2713</v>
      </c>
      <c r="C885" s="16">
        <v>30049029</v>
      </c>
      <c r="D885" s="16"/>
      <c r="E885">
        <v>0</v>
      </c>
      <c r="F885">
        <v>19</v>
      </c>
      <c r="G885">
        <v>0</v>
      </c>
      <c r="H885">
        <v>9.9</v>
      </c>
      <c r="I885">
        <v>2.1</v>
      </c>
      <c r="J885">
        <v>8</v>
      </c>
    </row>
    <row r="886" spans="2:10" x14ac:dyDescent="0.25">
      <c r="B886" t="s">
        <v>19453</v>
      </c>
      <c r="C886" s="16">
        <v>30049029</v>
      </c>
      <c r="D886" s="16"/>
      <c r="E886">
        <v>0</v>
      </c>
      <c r="F886">
        <v>17</v>
      </c>
      <c r="G886">
        <v>0</v>
      </c>
      <c r="H886">
        <v>9.9</v>
      </c>
      <c r="I886">
        <v>2.1</v>
      </c>
      <c r="J886">
        <v>8</v>
      </c>
    </row>
    <row r="887" spans="2:10" x14ac:dyDescent="0.25">
      <c r="B887" t="s">
        <v>19454</v>
      </c>
      <c r="C887" s="16">
        <v>30049029</v>
      </c>
      <c r="D887" s="16"/>
      <c r="E887">
        <v>0</v>
      </c>
      <c r="F887">
        <v>17</v>
      </c>
      <c r="G887">
        <v>0</v>
      </c>
      <c r="H887">
        <v>9.9</v>
      </c>
      <c r="I887">
        <v>2.1</v>
      </c>
      <c r="J887">
        <v>8</v>
      </c>
    </row>
    <row r="888" spans="2:10" x14ac:dyDescent="0.25">
      <c r="B888" t="s">
        <v>19455</v>
      </c>
      <c r="C888" s="16">
        <v>30049029</v>
      </c>
      <c r="D888" s="16"/>
      <c r="E888">
        <v>0</v>
      </c>
      <c r="F888">
        <v>17</v>
      </c>
      <c r="G888">
        <v>0</v>
      </c>
      <c r="H888">
        <v>9.9</v>
      </c>
      <c r="I888">
        <v>2.1</v>
      </c>
      <c r="J888">
        <v>8</v>
      </c>
    </row>
    <row r="889" spans="2:10" x14ac:dyDescent="0.25">
      <c r="B889" t="s">
        <v>2712</v>
      </c>
      <c r="C889" s="16">
        <v>30049029</v>
      </c>
      <c r="D889" s="16"/>
      <c r="E889">
        <v>0</v>
      </c>
      <c r="F889">
        <v>17</v>
      </c>
      <c r="G889">
        <v>0</v>
      </c>
      <c r="H889">
        <v>9.9</v>
      </c>
      <c r="I889">
        <v>2.1</v>
      </c>
      <c r="J889">
        <v>8</v>
      </c>
    </row>
    <row r="890" spans="2:10" x14ac:dyDescent="0.25">
      <c r="B890" t="s">
        <v>2711</v>
      </c>
      <c r="C890" s="16">
        <v>30049029</v>
      </c>
      <c r="D890" s="16"/>
      <c r="E890">
        <v>0</v>
      </c>
      <c r="F890">
        <v>17</v>
      </c>
      <c r="G890">
        <v>0</v>
      </c>
      <c r="H890">
        <v>9.9</v>
      </c>
      <c r="I890">
        <v>2.1</v>
      </c>
      <c r="J890">
        <v>8</v>
      </c>
    </row>
    <row r="891" spans="2:10" x14ac:dyDescent="0.25">
      <c r="B891" t="s">
        <v>19456</v>
      </c>
      <c r="C891" s="16">
        <v>30049029</v>
      </c>
      <c r="D891" s="16"/>
      <c r="E891">
        <v>0</v>
      </c>
      <c r="F891">
        <v>17</v>
      </c>
      <c r="G891">
        <v>0</v>
      </c>
      <c r="H891">
        <v>9.9</v>
      </c>
      <c r="I891">
        <v>2.1</v>
      </c>
      <c r="J891">
        <v>8</v>
      </c>
    </row>
    <row r="892" spans="2:10" x14ac:dyDescent="0.25">
      <c r="B892" t="s">
        <v>2709</v>
      </c>
      <c r="C892" s="16">
        <v>30049029</v>
      </c>
      <c r="D892" s="16"/>
      <c r="E892">
        <v>0</v>
      </c>
      <c r="F892">
        <v>18</v>
      </c>
      <c r="G892">
        <v>0</v>
      </c>
      <c r="H892">
        <v>9.9</v>
      </c>
      <c r="I892">
        <v>2.1</v>
      </c>
      <c r="J892">
        <v>8</v>
      </c>
    </row>
    <row r="893" spans="2:10" x14ac:dyDescent="0.25">
      <c r="B893" t="s">
        <v>19457</v>
      </c>
      <c r="C893" s="16">
        <v>30049029</v>
      </c>
      <c r="D893" s="16"/>
      <c r="E893">
        <v>0</v>
      </c>
      <c r="F893">
        <v>17</v>
      </c>
      <c r="G893">
        <v>0</v>
      </c>
      <c r="H893">
        <v>9.9</v>
      </c>
      <c r="I893">
        <v>2.1</v>
      </c>
      <c r="J893">
        <v>8</v>
      </c>
    </row>
    <row r="894" spans="2:10" x14ac:dyDescent="0.25">
      <c r="B894" t="s">
        <v>19446</v>
      </c>
      <c r="C894" s="16">
        <v>30049037</v>
      </c>
      <c r="D894" s="16"/>
      <c r="E894">
        <v>0</v>
      </c>
      <c r="F894">
        <v>17</v>
      </c>
      <c r="G894">
        <v>0</v>
      </c>
      <c r="H894">
        <v>9.9</v>
      </c>
      <c r="I894">
        <v>2.1</v>
      </c>
      <c r="J894">
        <v>14</v>
      </c>
    </row>
    <row r="895" spans="2:10" x14ac:dyDescent="0.25">
      <c r="B895" t="s">
        <v>19448</v>
      </c>
      <c r="C895" s="16">
        <v>30049037</v>
      </c>
      <c r="D895" s="16"/>
      <c r="E895">
        <v>0</v>
      </c>
      <c r="F895">
        <v>17</v>
      </c>
      <c r="G895">
        <v>0</v>
      </c>
      <c r="H895">
        <v>9.9</v>
      </c>
      <c r="I895">
        <v>2.1</v>
      </c>
      <c r="J895">
        <v>14</v>
      </c>
    </row>
    <row r="896" spans="2:10" x14ac:dyDescent="0.25">
      <c r="B896" t="s">
        <v>2724</v>
      </c>
      <c r="C896" s="16">
        <v>30049037</v>
      </c>
      <c r="D896" s="16"/>
      <c r="E896">
        <v>59</v>
      </c>
      <c r="F896">
        <v>17</v>
      </c>
      <c r="G896">
        <v>0</v>
      </c>
      <c r="H896">
        <v>9.9</v>
      </c>
      <c r="I896">
        <v>2.1</v>
      </c>
      <c r="J896">
        <v>14</v>
      </c>
    </row>
    <row r="897" spans="2:10" x14ac:dyDescent="0.25">
      <c r="B897" t="s">
        <v>19449</v>
      </c>
      <c r="C897" s="16">
        <v>30049037</v>
      </c>
      <c r="D897" s="16"/>
      <c r="E897">
        <v>0</v>
      </c>
      <c r="F897">
        <v>17</v>
      </c>
      <c r="G897">
        <v>0</v>
      </c>
      <c r="H897">
        <v>9.9</v>
      </c>
      <c r="I897">
        <v>2.1</v>
      </c>
      <c r="J897">
        <v>14</v>
      </c>
    </row>
    <row r="898" spans="2:10" x14ac:dyDescent="0.25">
      <c r="B898" t="s">
        <v>2720</v>
      </c>
      <c r="C898" s="16">
        <v>30049037</v>
      </c>
      <c r="D898" s="16"/>
      <c r="E898">
        <v>0</v>
      </c>
      <c r="F898">
        <v>17</v>
      </c>
      <c r="G898">
        <v>0</v>
      </c>
      <c r="H898">
        <v>9.9</v>
      </c>
      <c r="I898">
        <v>2.1</v>
      </c>
      <c r="J898">
        <v>14</v>
      </c>
    </row>
    <row r="899" spans="2:10" x14ac:dyDescent="0.25">
      <c r="B899" t="s">
        <v>2721</v>
      </c>
      <c r="C899" s="16">
        <v>30049037</v>
      </c>
      <c r="D899" s="16"/>
      <c r="E899" t="s">
        <v>19447</v>
      </c>
      <c r="F899">
        <v>17</v>
      </c>
      <c r="G899">
        <v>0</v>
      </c>
      <c r="H899">
        <v>9.9</v>
      </c>
      <c r="I899">
        <v>2.1</v>
      </c>
      <c r="J899">
        <v>14</v>
      </c>
    </row>
    <row r="900" spans="2:10" x14ac:dyDescent="0.25">
      <c r="B900" t="s">
        <v>2719</v>
      </c>
      <c r="C900" s="16">
        <v>30049037</v>
      </c>
      <c r="D900" s="16"/>
      <c r="E900">
        <v>0</v>
      </c>
      <c r="F900">
        <v>17</v>
      </c>
      <c r="G900">
        <v>0</v>
      </c>
      <c r="H900">
        <v>9.9</v>
      </c>
      <c r="I900">
        <v>2.1</v>
      </c>
      <c r="J900">
        <v>14</v>
      </c>
    </row>
    <row r="901" spans="2:10" x14ac:dyDescent="0.25">
      <c r="B901" t="s">
        <v>2715</v>
      </c>
      <c r="C901" s="16">
        <v>30049037</v>
      </c>
      <c r="D901" s="16"/>
      <c r="E901">
        <v>0</v>
      </c>
      <c r="F901">
        <v>17</v>
      </c>
      <c r="G901">
        <v>0</v>
      </c>
      <c r="H901">
        <v>9.9</v>
      </c>
      <c r="I901">
        <v>2.1</v>
      </c>
      <c r="J901">
        <v>14</v>
      </c>
    </row>
    <row r="902" spans="2:10" x14ac:dyDescent="0.25">
      <c r="B902" t="s">
        <v>2716</v>
      </c>
      <c r="C902" s="16">
        <v>30049037</v>
      </c>
      <c r="D902" s="16"/>
      <c r="E902" t="s">
        <v>19447</v>
      </c>
      <c r="F902">
        <v>17</v>
      </c>
      <c r="G902">
        <v>0</v>
      </c>
      <c r="H902">
        <v>9.9</v>
      </c>
      <c r="I902">
        <v>2.1</v>
      </c>
      <c r="J902">
        <v>14</v>
      </c>
    </row>
    <row r="903" spans="2:10" x14ac:dyDescent="0.25">
      <c r="B903" t="s">
        <v>19450</v>
      </c>
      <c r="C903" s="16">
        <v>30049037</v>
      </c>
      <c r="D903" s="16"/>
      <c r="E903">
        <v>0</v>
      </c>
      <c r="F903">
        <v>17</v>
      </c>
      <c r="G903">
        <v>0</v>
      </c>
      <c r="H903">
        <v>9.9</v>
      </c>
      <c r="I903">
        <v>2.1</v>
      </c>
      <c r="J903">
        <v>14</v>
      </c>
    </row>
    <row r="904" spans="2:10" x14ac:dyDescent="0.25">
      <c r="B904" t="s">
        <v>2714</v>
      </c>
      <c r="C904" s="16">
        <v>30049037</v>
      </c>
      <c r="D904" s="16"/>
      <c r="E904">
        <v>0</v>
      </c>
      <c r="F904">
        <v>12</v>
      </c>
      <c r="G904">
        <v>0</v>
      </c>
      <c r="H904">
        <v>9.9</v>
      </c>
      <c r="I904">
        <v>2.1</v>
      </c>
      <c r="J904">
        <v>14</v>
      </c>
    </row>
    <row r="905" spans="2:10" x14ac:dyDescent="0.25">
      <c r="B905" t="s">
        <v>2718</v>
      </c>
      <c r="C905" s="16">
        <v>30049037</v>
      </c>
      <c r="D905" s="16"/>
      <c r="E905">
        <v>0</v>
      </c>
      <c r="F905">
        <v>17</v>
      </c>
      <c r="G905">
        <v>0</v>
      </c>
      <c r="H905">
        <v>9.9</v>
      </c>
      <c r="I905">
        <v>2.1</v>
      </c>
      <c r="J905">
        <v>14</v>
      </c>
    </row>
    <row r="906" spans="2:10" x14ac:dyDescent="0.25">
      <c r="B906" t="s">
        <v>2717</v>
      </c>
      <c r="C906" s="16">
        <v>30049037</v>
      </c>
      <c r="D906" s="16"/>
      <c r="E906">
        <v>0</v>
      </c>
      <c r="F906">
        <v>17</v>
      </c>
      <c r="G906">
        <v>0</v>
      </c>
      <c r="H906">
        <v>9.9</v>
      </c>
      <c r="I906">
        <v>2.1</v>
      </c>
      <c r="J906">
        <v>14</v>
      </c>
    </row>
    <row r="907" spans="2:10" x14ac:dyDescent="0.25">
      <c r="B907" t="s">
        <v>2723</v>
      </c>
      <c r="C907" s="16">
        <v>30049037</v>
      </c>
      <c r="D907" s="16"/>
      <c r="E907">
        <v>0</v>
      </c>
      <c r="F907">
        <v>17</v>
      </c>
      <c r="G907">
        <v>0</v>
      </c>
      <c r="H907">
        <v>9.9</v>
      </c>
      <c r="I907">
        <v>2.1</v>
      </c>
      <c r="J907">
        <v>14</v>
      </c>
    </row>
    <row r="908" spans="2:10" x14ac:dyDescent="0.25">
      <c r="B908" t="s">
        <v>19451</v>
      </c>
      <c r="C908" s="16">
        <v>30049037</v>
      </c>
      <c r="D908" s="16"/>
      <c r="E908">
        <v>0</v>
      </c>
      <c r="F908">
        <v>17</v>
      </c>
      <c r="G908">
        <v>0</v>
      </c>
      <c r="H908">
        <v>9.9</v>
      </c>
      <c r="I908">
        <v>2.1</v>
      </c>
      <c r="J908">
        <v>14</v>
      </c>
    </row>
    <row r="909" spans="2:10" x14ac:dyDescent="0.25">
      <c r="B909" t="s">
        <v>2722</v>
      </c>
      <c r="C909" s="16">
        <v>30049037</v>
      </c>
      <c r="D909" s="16"/>
      <c r="E909">
        <v>0</v>
      </c>
      <c r="F909">
        <v>17</v>
      </c>
      <c r="G909">
        <v>0</v>
      </c>
      <c r="H909">
        <v>9.9</v>
      </c>
      <c r="I909">
        <v>2.1</v>
      </c>
      <c r="J909">
        <v>14</v>
      </c>
    </row>
    <row r="910" spans="2:10" x14ac:dyDescent="0.25">
      <c r="B910" t="s">
        <v>19452</v>
      </c>
      <c r="C910" s="16">
        <v>30049037</v>
      </c>
      <c r="D910" s="16"/>
      <c r="E910">
        <v>0</v>
      </c>
      <c r="F910">
        <v>17</v>
      </c>
      <c r="G910">
        <v>0</v>
      </c>
      <c r="H910">
        <v>9.9</v>
      </c>
      <c r="I910">
        <v>2.1</v>
      </c>
      <c r="J910">
        <v>14</v>
      </c>
    </row>
    <row r="911" spans="2:10" x14ac:dyDescent="0.25">
      <c r="B911" t="s">
        <v>2710</v>
      </c>
      <c r="C911" s="16">
        <v>30049037</v>
      </c>
      <c r="D911" s="16"/>
      <c r="E911">
        <v>0</v>
      </c>
      <c r="F911">
        <v>12</v>
      </c>
      <c r="G911">
        <v>0</v>
      </c>
      <c r="H911">
        <v>9.9</v>
      </c>
      <c r="I911">
        <v>2.1</v>
      </c>
      <c r="J911">
        <v>14</v>
      </c>
    </row>
    <row r="912" spans="2:10" x14ac:dyDescent="0.25">
      <c r="B912" t="s">
        <v>2713</v>
      </c>
      <c r="C912" s="16">
        <v>30049037</v>
      </c>
      <c r="D912" s="16"/>
      <c r="E912">
        <v>0</v>
      </c>
      <c r="F912">
        <v>19</v>
      </c>
      <c r="G912">
        <v>0</v>
      </c>
      <c r="H912">
        <v>9.9</v>
      </c>
      <c r="I912">
        <v>2.1</v>
      </c>
      <c r="J912">
        <v>14</v>
      </c>
    </row>
    <row r="913" spans="2:10" x14ac:dyDescent="0.25">
      <c r="B913" t="s">
        <v>19453</v>
      </c>
      <c r="C913" s="16">
        <v>30049037</v>
      </c>
      <c r="D913" s="16"/>
      <c r="E913">
        <v>0</v>
      </c>
      <c r="F913">
        <v>17</v>
      </c>
      <c r="G913">
        <v>0</v>
      </c>
      <c r="H913">
        <v>9.9</v>
      </c>
      <c r="I913">
        <v>2.1</v>
      </c>
      <c r="J913">
        <v>14</v>
      </c>
    </row>
    <row r="914" spans="2:10" x14ac:dyDescent="0.25">
      <c r="B914" t="s">
        <v>19454</v>
      </c>
      <c r="C914" s="16">
        <v>30049037</v>
      </c>
      <c r="D914" s="16"/>
      <c r="E914">
        <v>0</v>
      </c>
      <c r="F914">
        <v>17</v>
      </c>
      <c r="G914">
        <v>0</v>
      </c>
      <c r="H914">
        <v>9.9</v>
      </c>
      <c r="I914">
        <v>2.1</v>
      </c>
      <c r="J914">
        <v>14</v>
      </c>
    </row>
    <row r="915" spans="2:10" x14ac:dyDescent="0.25">
      <c r="B915" t="s">
        <v>19455</v>
      </c>
      <c r="C915" s="16">
        <v>30049037</v>
      </c>
      <c r="D915" s="16"/>
      <c r="E915">
        <v>0</v>
      </c>
      <c r="F915">
        <v>17</v>
      </c>
      <c r="G915">
        <v>0</v>
      </c>
      <c r="H915">
        <v>9.9</v>
      </c>
      <c r="I915">
        <v>2.1</v>
      </c>
      <c r="J915">
        <v>14</v>
      </c>
    </row>
    <row r="916" spans="2:10" x14ac:dyDescent="0.25">
      <c r="B916" t="s">
        <v>2712</v>
      </c>
      <c r="C916" s="16">
        <v>30049037</v>
      </c>
      <c r="D916" s="16"/>
      <c r="E916">
        <v>0</v>
      </c>
      <c r="F916">
        <v>17</v>
      </c>
      <c r="G916">
        <v>0</v>
      </c>
      <c r="H916">
        <v>9.9</v>
      </c>
      <c r="I916">
        <v>2.1</v>
      </c>
      <c r="J916">
        <v>14</v>
      </c>
    </row>
    <row r="917" spans="2:10" x14ac:dyDescent="0.25">
      <c r="B917" t="s">
        <v>2711</v>
      </c>
      <c r="C917" s="16">
        <v>30049037</v>
      </c>
      <c r="D917" s="16"/>
      <c r="E917">
        <v>0</v>
      </c>
      <c r="F917">
        <v>17</v>
      </c>
      <c r="G917">
        <v>0</v>
      </c>
      <c r="H917">
        <v>9.9</v>
      </c>
      <c r="I917">
        <v>2.1</v>
      </c>
      <c r="J917">
        <v>14</v>
      </c>
    </row>
    <row r="918" spans="2:10" x14ac:dyDescent="0.25">
      <c r="B918" t="s">
        <v>19456</v>
      </c>
      <c r="C918" s="16">
        <v>30049037</v>
      </c>
      <c r="D918" s="16"/>
      <c r="E918">
        <v>0</v>
      </c>
      <c r="F918">
        <v>17</v>
      </c>
      <c r="G918">
        <v>0</v>
      </c>
      <c r="H918">
        <v>9.9</v>
      </c>
      <c r="I918">
        <v>2.1</v>
      </c>
      <c r="J918">
        <v>14</v>
      </c>
    </row>
    <row r="919" spans="2:10" x14ac:dyDescent="0.25">
      <c r="B919" t="s">
        <v>2709</v>
      </c>
      <c r="C919" s="16">
        <v>30049037</v>
      </c>
      <c r="D919" s="16"/>
      <c r="E919">
        <v>0</v>
      </c>
      <c r="F919">
        <v>18</v>
      </c>
      <c r="G919">
        <v>0</v>
      </c>
      <c r="H919">
        <v>9.9</v>
      </c>
      <c r="I919">
        <v>2.1</v>
      </c>
      <c r="J919">
        <v>14</v>
      </c>
    </row>
    <row r="920" spans="2:10" x14ac:dyDescent="0.25">
      <c r="B920" t="s">
        <v>19457</v>
      </c>
      <c r="C920" s="16">
        <v>30049037</v>
      </c>
      <c r="D920" s="16"/>
      <c r="E920">
        <v>0</v>
      </c>
      <c r="F920">
        <v>17</v>
      </c>
      <c r="G920">
        <v>0</v>
      </c>
      <c r="H920">
        <v>9.9</v>
      </c>
      <c r="I920">
        <v>2.1</v>
      </c>
      <c r="J920">
        <v>14</v>
      </c>
    </row>
    <row r="921" spans="2:10" x14ac:dyDescent="0.25">
      <c r="B921" t="s">
        <v>19446</v>
      </c>
      <c r="C921" s="16">
        <v>30049039</v>
      </c>
      <c r="D921" s="16"/>
      <c r="E921">
        <v>0</v>
      </c>
      <c r="F921">
        <v>17</v>
      </c>
      <c r="G921">
        <v>0</v>
      </c>
      <c r="H921">
        <v>9.9</v>
      </c>
      <c r="I921">
        <v>2.1</v>
      </c>
      <c r="J921">
        <v>8</v>
      </c>
    </row>
    <row r="922" spans="2:10" x14ac:dyDescent="0.25">
      <c r="B922" t="s">
        <v>19448</v>
      </c>
      <c r="C922" s="16">
        <v>30049039</v>
      </c>
      <c r="D922" s="16"/>
      <c r="E922">
        <v>0</v>
      </c>
      <c r="F922">
        <v>17</v>
      </c>
      <c r="G922">
        <v>0</v>
      </c>
      <c r="H922">
        <v>9.9</v>
      </c>
      <c r="I922">
        <v>2.1</v>
      </c>
      <c r="J922">
        <v>8</v>
      </c>
    </row>
    <row r="923" spans="2:10" x14ac:dyDescent="0.25">
      <c r="B923" t="s">
        <v>2724</v>
      </c>
      <c r="C923" s="16">
        <v>30049039</v>
      </c>
      <c r="D923" s="16"/>
      <c r="E923">
        <v>59</v>
      </c>
      <c r="F923">
        <v>17</v>
      </c>
      <c r="G923">
        <v>0</v>
      </c>
      <c r="H923">
        <v>9.9</v>
      </c>
      <c r="I923">
        <v>2.1</v>
      </c>
      <c r="J923">
        <v>8</v>
      </c>
    </row>
    <row r="924" spans="2:10" x14ac:dyDescent="0.25">
      <c r="B924" t="s">
        <v>19449</v>
      </c>
      <c r="C924" s="16">
        <v>30049039</v>
      </c>
      <c r="D924" s="16"/>
      <c r="E924">
        <v>0</v>
      </c>
      <c r="F924">
        <v>17</v>
      </c>
      <c r="G924">
        <v>0</v>
      </c>
      <c r="H924">
        <v>9.9</v>
      </c>
      <c r="I924">
        <v>2.1</v>
      </c>
      <c r="J924">
        <v>8</v>
      </c>
    </row>
    <row r="925" spans="2:10" x14ac:dyDescent="0.25">
      <c r="B925" t="s">
        <v>2720</v>
      </c>
      <c r="C925" s="16">
        <v>30049039</v>
      </c>
      <c r="D925" s="16"/>
      <c r="E925">
        <v>0</v>
      </c>
      <c r="F925">
        <v>17</v>
      </c>
      <c r="G925">
        <v>0</v>
      </c>
      <c r="H925">
        <v>9.9</v>
      </c>
      <c r="I925">
        <v>2.1</v>
      </c>
      <c r="J925">
        <v>8</v>
      </c>
    </row>
    <row r="926" spans="2:10" x14ac:dyDescent="0.25">
      <c r="B926" t="s">
        <v>2721</v>
      </c>
      <c r="C926" s="16">
        <v>30049039</v>
      </c>
      <c r="D926" s="16"/>
      <c r="E926" t="s">
        <v>19447</v>
      </c>
      <c r="F926">
        <v>17</v>
      </c>
      <c r="G926">
        <v>0</v>
      </c>
      <c r="H926">
        <v>9.9</v>
      </c>
      <c r="I926">
        <v>2.1</v>
      </c>
      <c r="J926">
        <v>8</v>
      </c>
    </row>
    <row r="927" spans="2:10" x14ac:dyDescent="0.25">
      <c r="B927" t="s">
        <v>2719</v>
      </c>
      <c r="C927" s="16">
        <v>30049039</v>
      </c>
      <c r="D927" s="16"/>
      <c r="E927">
        <v>0</v>
      </c>
      <c r="F927">
        <v>17</v>
      </c>
      <c r="G927">
        <v>0</v>
      </c>
      <c r="H927">
        <v>9.9</v>
      </c>
      <c r="I927">
        <v>2.1</v>
      </c>
      <c r="J927">
        <v>8</v>
      </c>
    </row>
    <row r="928" spans="2:10" x14ac:dyDescent="0.25">
      <c r="B928" t="s">
        <v>2715</v>
      </c>
      <c r="C928" s="16">
        <v>30049039</v>
      </c>
      <c r="D928" s="16"/>
      <c r="E928">
        <v>0</v>
      </c>
      <c r="F928">
        <v>17</v>
      </c>
      <c r="G928">
        <v>0</v>
      </c>
      <c r="H928">
        <v>9.9</v>
      </c>
      <c r="I928">
        <v>2.1</v>
      </c>
      <c r="J928">
        <v>8</v>
      </c>
    </row>
    <row r="929" spans="2:10" x14ac:dyDescent="0.25">
      <c r="B929" t="s">
        <v>2716</v>
      </c>
      <c r="C929" s="16">
        <v>30049039</v>
      </c>
      <c r="D929" s="16"/>
      <c r="E929" t="s">
        <v>19447</v>
      </c>
      <c r="F929">
        <v>17</v>
      </c>
      <c r="G929">
        <v>0</v>
      </c>
      <c r="H929">
        <v>9.9</v>
      </c>
      <c r="I929">
        <v>2.1</v>
      </c>
      <c r="J929">
        <v>8</v>
      </c>
    </row>
    <row r="930" spans="2:10" x14ac:dyDescent="0.25">
      <c r="B930" t="s">
        <v>19450</v>
      </c>
      <c r="C930" s="16">
        <v>30049039</v>
      </c>
      <c r="D930" s="16"/>
      <c r="E930">
        <v>0</v>
      </c>
      <c r="F930">
        <v>17</v>
      </c>
      <c r="G930">
        <v>0</v>
      </c>
      <c r="H930">
        <v>9.9</v>
      </c>
      <c r="I930">
        <v>2.1</v>
      </c>
      <c r="J930">
        <v>8</v>
      </c>
    </row>
    <row r="931" spans="2:10" x14ac:dyDescent="0.25">
      <c r="B931" t="s">
        <v>2714</v>
      </c>
      <c r="C931" s="16">
        <v>30049039</v>
      </c>
      <c r="D931" s="16"/>
      <c r="E931">
        <v>0</v>
      </c>
      <c r="F931">
        <v>12</v>
      </c>
      <c r="G931">
        <v>0</v>
      </c>
      <c r="H931">
        <v>9.9</v>
      </c>
      <c r="I931">
        <v>2.1</v>
      </c>
      <c r="J931">
        <v>8</v>
      </c>
    </row>
    <row r="932" spans="2:10" x14ac:dyDescent="0.25">
      <c r="B932" t="s">
        <v>2718</v>
      </c>
      <c r="C932" s="16">
        <v>30049039</v>
      </c>
      <c r="D932" s="16"/>
      <c r="E932">
        <v>0</v>
      </c>
      <c r="F932">
        <v>17</v>
      </c>
      <c r="G932">
        <v>0</v>
      </c>
      <c r="H932">
        <v>9.9</v>
      </c>
      <c r="I932">
        <v>2.1</v>
      </c>
      <c r="J932">
        <v>8</v>
      </c>
    </row>
    <row r="933" spans="2:10" x14ac:dyDescent="0.25">
      <c r="B933" t="s">
        <v>2717</v>
      </c>
      <c r="C933" s="16">
        <v>30049039</v>
      </c>
      <c r="D933" s="16"/>
      <c r="E933">
        <v>0</v>
      </c>
      <c r="F933">
        <v>17</v>
      </c>
      <c r="G933">
        <v>0</v>
      </c>
      <c r="H933">
        <v>9.9</v>
      </c>
      <c r="I933">
        <v>2.1</v>
      </c>
      <c r="J933">
        <v>8</v>
      </c>
    </row>
    <row r="934" spans="2:10" x14ac:dyDescent="0.25">
      <c r="B934" t="s">
        <v>2723</v>
      </c>
      <c r="C934" s="16">
        <v>30049039</v>
      </c>
      <c r="D934" s="16"/>
      <c r="E934">
        <v>0</v>
      </c>
      <c r="F934">
        <v>17</v>
      </c>
      <c r="G934">
        <v>0</v>
      </c>
      <c r="H934">
        <v>9.9</v>
      </c>
      <c r="I934">
        <v>2.1</v>
      </c>
      <c r="J934">
        <v>8</v>
      </c>
    </row>
    <row r="935" spans="2:10" x14ac:dyDescent="0.25">
      <c r="B935" t="s">
        <v>19451</v>
      </c>
      <c r="C935" s="16">
        <v>30049039</v>
      </c>
      <c r="D935" s="16"/>
      <c r="E935">
        <v>0</v>
      </c>
      <c r="F935">
        <v>17</v>
      </c>
      <c r="G935">
        <v>0</v>
      </c>
      <c r="H935">
        <v>9.9</v>
      </c>
      <c r="I935">
        <v>2.1</v>
      </c>
      <c r="J935">
        <v>8</v>
      </c>
    </row>
    <row r="936" spans="2:10" x14ac:dyDescent="0.25">
      <c r="B936" t="s">
        <v>2722</v>
      </c>
      <c r="C936" s="16">
        <v>30049039</v>
      </c>
      <c r="D936" s="16"/>
      <c r="E936">
        <v>0</v>
      </c>
      <c r="F936">
        <v>17</v>
      </c>
      <c r="G936">
        <v>0</v>
      </c>
      <c r="H936">
        <v>9.9</v>
      </c>
      <c r="I936">
        <v>2.1</v>
      </c>
      <c r="J936">
        <v>8</v>
      </c>
    </row>
    <row r="937" spans="2:10" x14ac:dyDescent="0.25">
      <c r="B937" t="s">
        <v>19452</v>
      </c>
      <c r="C937" s="16">
        <v>30049039</v>
      </c>
      <c r="D937" s="16"/>
      <c r="E937">
        <v>0</v>
      </c>
      <c r="F937">
        <v>17</v>
      </c>
      <c r="G937">
        <v>0</v>
      </c>
      <c r="H937">
        <v>9.9</v>
      </c>
      <c r="I937">
        <v>2.1</v>
      </c>
      <c r="J937">
        <v>8</v>
      </c>
    </row>
    <row r="938" spans="2:10" x14ac:dyDescent="0.25">
      <c r="B938" t="s">
        <v>2710</v>
      </c>
      <c r="C938" s="16">
        <v>30049039</v>
      </c>
      <c r="D938" s="16"/>
      <c r="E938">
        <v>0</v>
      </c>
      <c r="F938">
        <v>12</v>
      </c>
      <c r="G938">
        <v>0</v>
      </c>
      <c r="H938">
        <v>9.9</v>
      </c>
      <c r="I938">
        <v>2.1</v>
      </c>
      <c r="J938">
        <v>8</v>
      </c>
    </row>
    <row r="939" spans="2:10" x14ac:dyDescent="0.25">
      <c r="B939" t="s">
        <v>2713</v>
      </c>
      <c r="C939" s="16">
        <v>30049039</v>
      </c>
      <c r="D939" s="16"/>
      <c r="E939">
        <v>0</v>
      </c>
      <c r="F939">
        <v>19</v>
      </c>
      <c r="G939">
        <v>0</v>
      </c>
      <c r="H939">
        <v>9.9</v>
      </c>
      <c r="I939">
        <v>2.1</v>
      </c>
      <c r="J939">
        <v>8</v>
      </c>
    </row>
    <row r="940" spans="2:10" x14ac:dyDescent="0.25">
      <c r="B940" t="s">
        <v>19453</v>
      </c>
      <c r="C940" s="16">
        <v>30049039</v>
      </c>
      <c r="D940" s="16"/>
      <c r="E940">
        <v>0</v>
      </c>
      <c r="F940">
        <v>17</v>
      </c>
      <c r="G940">
        <v>0</v>
      </c>
      <c r="H940">
        <v>9.9</v>
      </c>
      <c r="I940">
        <v>2.1</v>
      </c>
      <c r="J940">
        <v>8</v>
      </c>
    </row>
    <row r="941" spans="2:10" x14ac:dyDescent="0.25">
      <c r="B941" t="s">
        <v>19454</v>
      </c>
      <c r="C941" s="16">
        <v>30049039</v>
      </c>
      <c r="D941" s="16"/>
      <c r="E941">
        <v>0</v>
      </c>
      <c r="F941">
        <v>17</v>
      </c>
      <c r="G941">
        <v>0</v>
      </c>
      <c r="H941">
        <v>9.9</v>
      </c>
      <c r="I941">
        <v>2.1</v>
      </c>
      <c r="J941">
        <v>8</v>
      </c>
    </row>
    <row r="942" spans="2:10" x14ac:dyDescent="0.25">
      <c r="B942" t="s">
        <v>19455</v>
      </c>
      <c r="C942" s="16">
        <v>30049039</v>
      </c>
      <c r="D942" s="16"/>
      <c r="E942">
        <v>0</v>
      </c>
      <c r="F942">
        <v>17</v>
      </c>
      <c r="G942">
        <v>0</v>
      </c>
      <c r="H942">
        <v>9.9</v>
      </c>
      <c r="I942">
        <v>2.1</v>
      </c>
      <c r="J942">
        <v>8</v>
      </c>
    </row>
    <row r="943" spans="2:10" x14ac:dyDescent="0.25">
      <c r="B943" t="s">
        <v>2712</v>
      </c>
      <c r="C943" s="16">
        <v>30049039</v>
      </c>
      <c r="D943" s="16"/>
      <c r="E943">
        <v>0</v>
      </c>
      <c r="F943">
        <v>17</v>
      </c>
      <c r="G943">
        <v>0</v>
      </c>
      <c r="H943">
        <v>9.9</v>
      </c>
      <c r="I943">
        <v>2.1</v>
      </c>
      <c r="J943">
        <v>8</v>
      </c>
    </row>
    <row r="944" spans="2:10" x14ac:dyDescent="0.25">
      <c r="B944" t="s">
        <v>2711</v>
      </c>
      <c r="C944" s="16">
        <v>30049039</v>
      </c>
      <c r="D944" s="16"/>
      <c r="E944">
        <v>0</v>
      </c>
      <c r="F944">
        <v>17</v>
      </c>
      <c r="G944">
        <v>0</v>
      </c>
      <c r="H944">
        <v>9.9</v>
      </c>
      <c r="I944">
        <v>2.1</v>
      </c>
      <c r="J944">
        <v>8</v>
      </c>
    </row>
    <row r="945" spans="2:10" x14ac:dyDescent="0.25">
      <c r="B945" t="s">
        <v>19456</v>
      </c>
      <c r="C945" s="16">
        <v>30049039</v>
      </c>
      <c r="D945" s="16"/>
      <c r="E945">
        <v>0</v>
      </c>
      <c r="F945">
        <v>17</v>
      </c>
      <c r="G945">
        <v>0</v>
      </c>
      <c r="H945">
        <v>9.9</v>
      </c>
      <c r="I945">
        <v>2.1</v>
      </c>
      <c r="J945">
        <v>8</v>
      </c>
    </row>
    <row r="946" spans="2:10" x14ac:dyDescent="0.25">
      <c r="B946" t="s">
        <v>2709</v>
      </c>
      <c r="C946" s="16">
        <v>30049039</v>
      </c>
      <c r="D946" s="16"/>
      <c r="E946">
        <v>0</v>
      </c>
      <c r="F946">
        <v>18</v>
      </c>
      <c r="G946">
        <v>0</v>
      </c>
      <c r="H946">
        <v>9.9</v>
      </c>
      <c r="I946">
        <v>2.1</v>
      </c>
      <c r="J946">
        <v>8</v>
      </c>
    </row>
    <row r="947" spans="2:10" x14ac:dyDescent="0.25">
      <c r="B947" t="s">
        <v>19457</v>
      </c>
      <c r="C947" s="16">
        <v>30049039</v>
      </c>
      <c r="D947" s="16"/>
      <c r="E947">
        <v>0</v>
      </c>
      <c r="F947">
        <v>17</v>
      </c>
      <c r="G947">
        <v>0</v>
      </c>
      <c r="H947">
        <v>9.9</v>
      </c>
      <c r="I947">
        <v>2.1</v>
      </c>
      <c r="J947">
        <v>8</v>
      </c>
    </row>
    <row r="948" spans="2:10" x14ac:dyDescent="0.25">
      <c r="B948" t="s">
        <v>19446</v>
      </c>
      <c r="C948" s="16">
        <v>30049041</v>
      </c>
      <c r="D948" s="16"/>
      <c r="E948">
        <v>0</v>
      </c>
      <c r="F948">
        <v>17</v>
      </c>
      <c r="G948">
        <v>0</v>
      </c>
      <c r="H948">
        <v>9.9</v>
      </c>
      <c r="I948">
        <v>2.1</v>
      </c>
      <c r="J948">
        <v>14</v>
      </c>
    </row>
    <row r="949" spans="2:10" x14ac:dyDescent="0.25">
      <c r="B949" t="s">
        <v>19448</v>
      </c>
      <c r="C949" s="16">
        <v>30049041</v>
      </c>
      <c r="D949" s="16"/>
      <c r="E949">
        <v>0</v>
      </c>
      <c r="F949">
        <v>17</v>
      </c>
      <c r="G949">
        <v>0</v>
      </c>
      <c r="H949">
        <v>9.9</v>
      </c>
      <c r="I949">
        <v>2.1</v>
      </c>
      <c r="J949">
        <v>14</v>
      </c>
    </row>
    <row r="950" spans="2:10" x14ac:dyDescent="0.25">
      <c r="B950" t="s">
        <v>2724</v>
      </c>
      <c r="C950" s="16">
        <v>30049041</v>
      </c>
      <c r="D950" s="16"/>
      <c r="E950">
        <v>59</v>
      </c>
      <c r="F950">
        <v>17</v>
      </c>
      <c r="G950">
        <v>0</v>
      </c>
      <c r="H950">
        <v>9.9</v>
      </c>
      <c r="I950">
        <v>2.1</v>
      </c>
      <c r="J950">
        <v>14</v>
      </c>
    </row>
    <row r="951" spans="2:10" x14ac:dyDescent="0.25">
      <c r="B951" t="s">
        <v>19449</v>
      </c>
      <c r="C951" s="16">
        <v>30049041</v>
      </c>
      <c r="D951" s="16"/>
      <c r="E951">
        <v>0</v>
      </c>
      <c r="F951">
        <v>17</v>
      </c>
      <c r="G951">
        <v>0</v>
      </c>
      <c r="H951">
        <v>9.9</v>
      </c>
      <c r="I951">
        <v>2.1</v>
      </c>
      <c r="J951">
        <v>14</v>
      </c>
    </row>
    <row r="952" spans="2:10" x14ac:dyDescent="0.25">
      <c r="B952" t="s">
        <v>2720</v>
      </c>
      <c r="C952" s="16">
        <v>30049041</v>
      </c>
      <c r="D952" s="16"/>
      <c r="E952">
        <v>0</v>
      </c>
      <c r="F952">
        <v>17</v>
      </c>
      <c r="G952">
        <v>0</v>
      </c>
      <c r="H952">
        <v>9.9</v>
      </c>
      <c r="I952">
        <v>2.1</v>
      </c>
      <c r="J952">
        <v>14</v>
      </c>
    </row>
    <row r="953" spans="2:10" x14ac:dyDescent="0.25">
      <c r="B953" t="s">
        <v>2721</v>
      </c>
      <c r="C953" s="16">
        <v>30049041</v>
      </c>
      <c r="D953" s="16"/>
      <c r="E953" t="s">
        <v>19447</v>
      </c>
      <c r="F953">
        <v>17</v>
      </c>
      <c r="G953">
        <v>0</v>
      </c>
      <c r="H953">
        <v>9.9</v>
      </c>
      <c r="I953">
        <v>2.1</v>
      </c>
      <c r="J953">
        <v>14</v>
      </c>
    </row>
    <row r="954" spans="2:10" x14ac:dyDescent="0.25">
      <c r="B954" t="s">
        <v>2719</v>
      </c>
      <c r="C954" s="16">
        <v>30049041</v>
      </c>
      <c r="D954" s="16"/>
      <c r="E954">
        <v>0</v>
      </c>
      <c r="F954">
        <v>17</v>
      </c>
      <c r="G954">
        <v>0</v>
      </c>
      <c r="H954">
        <v>9.9</v>
      </c>
      <c r="I954">
        <v>2.1</v>
      </c>
      <c r="J954">
        <v>14</v>
      </c>
    </row>
    <row r="955" spans="2:10" x14ac:dyDescent="0.25">
      <c r="B955" t="s">
        <v>2715</v>
      </c>
      <c r="C955" s="16">
        <v>30049041</v>
      </c>
      <c r="D955" s="16"/>
      <c r="E955">
        <v>0</v>
      </c>
      <c r="F955">
        <v>17</v>
      </c>
      <c r="G955">
        <v>0</v>
      </c>
      <c r="H955">
        <v>9.9</v>
      </c>
      <c r="I955">
        <v>2.1</v>
      </c>
      <c r="J955">
        <v>14</v>
      </c>
    </row>
    <row r="956" spans="2:10" x14ac:dyDescent="0.25">
      <c r="B956" t="s">
        <v>2716</v>
      </c>
      <c r="C956" s="16">
        <v>30049041</v>
      </c>
      <c r="D956" s="16"/>
      <c r="E956" t="s">
        <v>19447</v>
      </c>
      <c r="F956">
        <v>17</v>
      </c>
      <c r="G956">
        <v>0</v>
      </c>
      <c r="H956">
        <v>9.9</v>
      </c>
      <c r="I956">
        <v>2.1</v>
      </c>
      <c r="J956">
        <v>14</v>
      </c>
    </row>
    <row r="957" spans="2:10" x14ac:dyDescent="0.25">
      <c r="B957" t="s">
        <v>19450</v>
      </c>
      <c r="C957" s="16">
        <v>30049041</v>
      </c>
      <c r="D957" s="16"/>
      <c r="E957">
        <v>0</v>
      </c>
      <c r="F957">
        <v>17</v>
      </c>
      <c r="G957">
        <v>0</v>
      </c>
      <c r="H957">
        <v>9.9</v>
      </c>
      <c r="I957">
        <v>2.1</v>
      </c>
      <c r="J957">
        <v>14</v>
      </c>
    </row>
    <row r="958" spans="2:10" x14ac:dyDescent="0.25">
      <c r="B958" t="s">
        <v>2714</v>
      </c>
      <c r="C958" s="16">
        <v>30049041</v>
      </c>
      <c r="D958" s="16"/>
      <c r="E958">
        <v>0</v>
      </c>
      <c r="F958">
        <v>12</v>
      </c>
      <c r="G958">
        <v>0</v>
      </c>
      <c r="H958">
        <v>9.9</v>
      </c>
      <c r="I958">
        <v>2.1</v>
      </c>
      <c r="J958">
        <v>14</v>
      </c>
    </row>
    <row r="959" spans="2:10" x14ac:dyDescent="0.25">
      <c r="B959" t="s">
        <v>2718</v>
      </c>
      <c r="C959" s="16">
        <v>30049041</v>
      </c>
      <c r="D959" s="16"/>
      <c r="E959">
        <v>0</v>
      </c>
      <c r="F959">
        <v>17</v>
      </c>
      <c r="G959">
        <v>0</v>
      </c>
      <c r="H959">
        <v>9.9</v>
      </c>
      <c r="I959">
        <v>2.1</v>
      </c>
      <c r="J959">
        <v>14</v>
      </c>
    </row>
    <row r="960" spans="2:10" x14ac:dyDescent="0.25">
      <c r="B960" t="s">
        <v>2717</v>
      </c>
      <c r="C960" s="16">
        <v>30049041</v>
      </c>
      <c r="D960" s="16"/>
      <c r="E960">
        <v>0</v>
      </c>
      <c r="F960">
        <v>17</v>
      </c>
      <c r="G960">
        <v>0</v>
      </c>
      <c r="H960">
        <v>9.9</v>
      </c>
      <c r="I960">
        <v>2.1</v>
      </c>
      <c r="J960">
        <v>14</v>
      </c>
    </row>
    <row r="961" spans="2:10" x14ac:dyDescent="0.25">
      <c r="B961" t="s">
        <v>2723</v>
      </c>
      <c r="C961" s="16">
        <v>30049041</v>
      </c>
      <c r="D961" s="16"/>
      <c r="E961">
        <v>0</v>
      </c>
      <c r="F961">
        <v>17</v>
      </c>
      <c r="G961">
        <v>0</v>
      </c>
      <c r="H961">
        <v>9.9</v>
      </c>
      <c r="I961">
        <v>2.1</v>
      </c>
      <c r="J961">
        <v>14</v>
      </c>
    </row>
    <row r="962" spans="2:10" x14ac:dyDescent="0.25">
      <c r="B962" t="s">
        <v>19451</v>
      </c>
      <c r="C962" s="16">
        <v>30049041</v>
      </c>
      <c r="D962" s="16"/>
      <c r="E962">
        <v>0</v>
      </c>
      <c r="F962">
        <v>17</v>
      </c>
      <c r="G962">
        <v>0</v>
      </c>
      <c r="H962">
        <v>9.9</v>
      </c>
      <c r="I962">
        <v>2.1</v>
      </c>
      <c r="J962">
        <v>14</v>
      </c>
    </row>
    <row r="963" spans="2:10" x14ac:dyDescent="0.25">
      <c r="B963" t="s">
        <v>2722</v>
      </c>
      <c r="C963" s="16">
        <v>30049041</v>
      </c>
      <c r="D963" s="16"/>
      <c r="E963">
        <v>0</v>
      </c>
      <c r="F963">
        <v>17</v>
      </c>
      <c r="G963">
        <v>0</v>
      </c>
      <c r="H963">
        <v>9.9</v>
      </c>
      <c r="I963">
        <v>2.1</v>
      </c>
      <c r="J963">
        <v>14</v>
      </c>
    </row>
    <row r="964" spans="2:10" x14ac:dyDescent="0.25">
      <c r="B964" t="s">
        <v>19452</v>
      </c>
      <c r="C964" s="16">
        <v>30049041</v>
      </c>
      <c r="D964" s="16"/>
      <c r="E964">
        <v>0</v>
      </c>
      <c r="F964">
        <v>17</v>
      </c>
      <c r="G964">
        <v>0</v>
      </c>
      <c r="H964">
        <v>9.9</v>
      </c>
      <c r="I964">
        <v>2.1</v>
      </c>
      <c r="J964">
        <v>14</v>
      </c>
    </row>
    <row r="965" spans="2:10" x14ac:dyDescent="0.25">
      <c r="B965" t="s">
        <v>2710</v>
      </c>
      <c r="C965" s="16">
        <v>30049041</v>
      </c>
      <c r="D965" s="16"/>
      <c r="E965">
        <v>0</v>
      </c>
      <c r="F965">
        <v>12</v>
      </c>
      <c r="G965">
        <v>0</v>
      </c>
      <c r="H965">
        <v>9.9</v>
      </c>
      <c r="I965">
        <v>2.1</v>
      </c>
      <c r="J965">
        <v>14</v>
      </c>
    </row>
    <row r="966" spans="2:10" x14ac:dyDescent="0.25">
      <c r="B966" t="s">
        <v>2713</v>
      </c>
      <c r="C966" s="16">
        <v>30049041</v>
      </c>
      <c r="D966" s="16"/>
      <c r="E966">
        <v>0</v>
      </c>
      <c r="F966">
        <v>19</v>
      </c>
      <c r="G966">
        <v>0</v>
      </c>
      <c r="H966">
        <v>9.9</v>
      </c>
      <c r="I966">
        <v>2.1</v>
      </c>
      <c r="J966">
        <v>14</v>
      </c>
    </row>
    <row r="967" spans="2:10" x14ac:dyDescent="0.25">
      <c r="B967" t="s">
        <v>19453</v>
      </c>
      <c r="C967" s="16">
        <v>30049041</v>
      </c>
      <c r="D967" s="16"/>
      <c r="E967">
        <v>0</v>
      </c>
      <c r="F967">
        <v>17</v>
      </c>
      <c r="G967">
        <v>0</v>
      </c>
      <c r="H967">
        <v>9.9</v>
      </c>
      <c r="I967">
        <v>2.1</v>
      </c>
      <c r="J967">
        <v>14</v>
      </c>
    </row>
    <row r="968" spans="2:10" x14ac:dyDescent="0.25">
      <c r="B968" t="s">
        <v>19454</v>
      </c>
      <c r="C968" s="16">
        <v>30049041</v>
      </c>
      <c r="D968" s="16"/>
      <c r="E968">
        <v>0</v>
      </c>
      <c r="F968">
        <v>17</v>
      </c>
      <c r="G968">
        <v>0</v>
      </c>
      <c r="H968">
        <v>9.9</v>
      </c>
      <c r="I968">
        <v>2.1</v>
      </c>
      <c r="J968">
        <v>14</v>
      </c>
    </row>
    <row r="969" spans="2:10" x14ac:dyDescent="0.25">
      <c r="B969" t="s">
        <v>19455</v>
      </c>
      <c r="C969" s="16">
        <v>30049041</v>
      </c>
      <c r="D969" s="16"/>
      <c r="E969">
        <v>0</v>
      </c>
      <c r="F969">
        <v>17</v>
      </c>
      <c r="G969">
        <v>0</v>
      </c>
      <c r="H969">
        <v>9.9</v>
      </c>
      <c r="I969">
        <v>2.1</v>
      </c>
      <c r="J969">
        <v>14</v>
      </c>
    </row>
    <row r="970" spans="2:10" x14ac:dyDescent="0.25">
      <c r="B970" t="s">
        <v>2712</v>
      </c>
      <c r="C970" s="16">
        <v>30049041</v>
      </c>
      <c r="D970" s="16"/>
      <c r="E970">
        <v>0</v>
      </c>
      <c r="F970">
        <v>17</v>
      </c>
      <c r="G970">
        <v>0</v>
      </c>
      <c r="H970">
        <v>9.9</v>
      </c>
      <c r="I970">
        <v>2.1</v>
      </c>
      <c r="J970">
        <v>14</v>
      </c>
    </row>
    <row r="971" spans="2:10" x14ac:dyDescent="0.25">
      <c r="B971" t="s">
        <v>2711</v>
      </c>
      <c r="C971" s="16">
        <v>30049041</v>
      </c>
      <c r="D971" s="16"/>
      <c r="E971">
        <v>0</v>
      </c>
      <c r="F971">
        <v>17</v>
      </c>
      <c r="G971">
        <v>0</v>
      </c>
      <c r="H971">
        <v>9.9</v>
      </c>
      <c r="I971">
        <v>2.1</v>
      </c>
      <c r="J971">
        <v>14</v>
      </c>
    </row>
    <row r="972" spans="2:10" x14ac:dyDescent="0.25">
      <c r="B972" t="s">
        <v>19456</v>
      </c>
      <c r="C972" s="16">
        <v>30049041</v>
      </c>
      <c r="D972" s="16"/>
      <c r="E972">
        <v>0</v>
      </c>
      <c r="F972">
        <v>17</v>
      </c>
      <c r="G972">
        <v>0</v>
      </c>
      <c r="H972">
        <v>9.9</v>
      </c>
      <c r="I972">
        <v>2.1</v>
      </c>
      <c r="J972">
        <v>14</v>
      </c>
    </row>
    <row r="973" spans="2:10" x14ac:dyDescent="0.25">
      <c r="B973" t="s">
        <v>2709</v>
      </c>
      <c r="C973" s="16">
        <v>30049041</v>
      </c>
      <c r="D973" s="16"/>
      <c r="E973">
        <v>0</v>
      </c>
      <c r="F973">
        <v>18</v>
      </c>
      <c r="G973">
        <v>0</v>
      </c>
      <c r="H973">
        <v>9.9</v>
      </c>
      <c r="I973">
        <v>2.1</v>
      </c>
      <c r="J973">
        <v>14</v>
      </c>
    </row>
    <row r="974" spans="2:10" x14ac:dyDescent="0.25">
      <c r="B974" t="s">
        <v>19457</v>
      </c>
      <c r="C974" s="16">
        <v>30049041</v>
      </c>
      <c r="D974" s="16"/>
      <c r="E974">
        <v>0</v>
      </c>
      <c r="F974">
        <v>17</v>
      </c>
      <c r="G974">
        <v>0</v>
      </c>
      <c r="H974">
        <v>9.9</v>
      </c>
      <c r="I974">
        <v>2.1</v>
      </c>
      <c r="J974">
        <v>14</v>
      </c>
    </row>
    <row r="975" spans="2:10" x14ac:dyDescent="0.25">
      <c r="B975" t="s">
        <v>19446</v>
      </c>
      <c r="C975" s="16">
        <v>30049043</v>
      </c>
      <c r="D975" s="16"/>
      <c r="E975">
        <v>0</v>
      </c>
      <c r="F975">
        <v>17</v>
      </c>
      <c r="G975">
        <v>0</v>
      </c>
      <c r="H975">
        <v>9.9</v>
      </c>
      <c r="I975">
        <v>2.1</v>
      </c>
      <c r="J975">
        <v>14</v>
      </c>
    </row>
    <row r="976" spans="2:10" x14ac:dyDescent="0.25">
      <c r="B976" t="s">
        <v>19448</v>
      </c>
      <c r="C976" s="16">
        <v>30049043</v>
      </c>
      <c r="D976" s="16"/>
      <c r="E976">
        <v>0</v>
      </c>
      <c r="F976">
        <v>17</v>
      </c>
      <c r="G976">
        <v>0</v>
      </c>
      <c r="H976">
        <v>9.9</v>
      </c>
      <c r="I976">
        <v>2.1</v>
      </c>
      <c r="J976">
        <v>14</v>
      </c>
    </row>
    <row r="977" spans="2:10" x14ac:dyDescent="0.25">
      <c r="B977" t="s">
        <v>2724</v>
      </c>
      <c r="C977" s="16">
        <v>30049043</v>
      </c>
      <c r="D977" s="16"/>
      <c r="E977">
        <v>59</v>
      </c>
      <c r="F977">
        <v>17</v>
      </c>
      <c r="G977">
        <v>0</v>
      </c>
      <c r="H977">
        <v>9.9</v>
      </c>
      <c r="I977">
        <v>2.1</v>
      </c>
      <c r="J977">
        <v>14</v>
      </c>
    </row>
    <row r="978" spans="2:10" x14ac:dyDescent="0.25">
      <c r="B978" t="s">
        <v>19449</v>
      </c>
      <c r="C978" s="16">
        <v>30049043</v>
      </c>
      <c r="D978" s="16"/>
      <c r="E978">
        <v>0</v>
      </c>
      <c r="F978">
        <v>17</v>
      </c>
      <c r="G978">
        <v>0</v>
      </c>
      <c r="H978">
        <v>9.9</v>
      </c>
      <c r="I978">
        <v>2.1</v>
      </c>
      <c r="J978">
        <v>14</v>
      </c>
    </row>
    <row r="979" spans="2:10" x14ac:dyDescent="0.25">
      <c r="B979" t="s">
        <v>2720</v>
      </c>
      <c r="C979" s="16">
        <v>30049043</v>
      </c>
      <c r="D979" s="16"/>
      <c r="E979">
        <v>0</v>
      </c>
      <c r="F979">
        <v>17</v>
      </c>
      <c r="G979">
        <v>0</v>
      </c>
      <c r="H979">
        <v>9.9</v>
      </c>
      <c r="I979">
        <v>2.1</v>
      </c>
      <c r="J979">
        <v>14</v>
      </c>
    </row>
    <row r="980" spans="2:10" x14ac:dyDescent="0.25">
      <c r="B980" t="s">
        <v>2721</v>
      </c>
      <c r="C980" s="16">
        <v>30049043</v>
      </c>
      <c r="D980" s="16"/>
      <c r="E980" t="s">
        <v>19447</v>
      </c>
      <c r="F980">
        <v>17</v>
      </c>
      <c r="G980">
        <v>0</v>
      </c>
      <c r="H980">
        <v>9.9</v>
      </c>
      <c r="I980">
        <v>2.1</v>
      </c>
      <c r="J980">
        <v>14</v>
      </c>
    </row>
    <row r="981" spans="2:10" x14ac:dyDescent="0.25">
      <c r="B981" t="s">
        <v>2719</v>
      </c>
      <c r="C981" s="16">
        <v>30049043</v>
      </c>
      <c r="D981" s="16"/>
      <c r="E981">
        <v>0</v>
      </c>
      <c r="F981">
        <v>17</v>
      </c>
      <c r="G981">
        <v>0</v>
      </c>
      <c r="H981">
        <v>9.9</v>
      </c>
      <c r="I981">
        <v>2.1</v>
      </c>
      <c r="J981">
        <v>14</v>
      </c>
    </row>
    <row r="982" spans="2:10" x14ac:dyDescent="0.25">
      <c r="B982" t="s">
        <v>2715</v>
      </c>
      <c r="C982" s="16">
        <v>30049043</v>
      </c>
      <c r="D982" s="16"/>
      <c r="E982">
        <v>0</v>
      </c>
      <c r="F982">
        <v>17</v>
      </c>
      <c r="G982">
        <v>0</v>
      </c>
      <c r="H982">
        <v>9.9</v>
      </c>
      <c r="I982">
        <v>2.1</v>
      </c>
      <c r="J982">
        <v>14</v>
      </c>
    </row>
    <row r="983" spans="2:10" x14ac:dyDescent="0.25">
      <c r="B983" t="s">
        <v>2716</v>
      </c>
      <c r="C983" s="16">
        <v>30049043</v>
      </c>
      <c r="D983" s="16"/>
      <c r="E983" t="s">
        <v>19447</v>
      </c>
      <c r="F983">
        <v>17</v>
      </c>
      <c r="G983">
        <v>0</v>
      </c>
      <c r="H983">
        <v>9.9</v>
      </c>
      <c r="I983">
        <v>2.1</v>
      </c>
      <c r="J983">
        <v>14</v>
      </c>
    </row>
    <row r="984" spans="2:10" x14ac:dyDescent="0.25">
      <c r="B984" t="s">
        <v>19450</v>
      </c>
      <c r="C984" s="16">
        <v>30049043</v>
      </c>
      <c r="D984" s="16"/>
      <c r="E984">
        <v>0</v>
      </c>
      <c r="F984">
        <v>17</v>
      </c>
      <c r="G984">
        <v>0</v>
      </c>
      <c r="H984">
        <v>9.9</v>
      </c>
      <c r="I984">
        <v>2.1</v>
      </c>
      <c r="J984">
        <v>14</v>
      </c>
    </row>
    <row r="985" spans="2:10" x14ac:dyDescent="0.25">
      <c r="B985" t="s">
        <v>2714</v>
      </c>
      <c r="C985" s="16">
        <v>30049043</v>
      </c>
      <c r="D985" s="16"/>
      <c r="E985">
        <v>0</v>
      </c>
      <c r="F985">
        <v>12</v>
      </c>
      <c r="G985">
        <v>0</v>
      </c>
      <c r="H985">
        <v>9.9</v>
      </c>
      <c r="I985">
        <v>2.1</v>
      </c>
      <c r="J985">
        <v>14</v>
      </c>
    </row>
    <row r="986" spans="2:10" x14ac:dyDescent="0.25">
      <c r="B986" t="s">
        <v>2718</v>
      </c>
      <c r="C986" s="16">
        <v>30049043</v>
      </c>
      <c r="D986" s="16"/>
      <c r="E986">
        <v>0</v>
      </c>
      <c r="F986">
        <v>17</v>
      </c>
      <c r="G986">
        <v>0</v>
      </c>
      <c r="H986">
        <v>9.9</v>
      </c>
      <c r="I986">
        <v>2.1</v>
      </c>
      <c r="J986">
        <v>14</v>
      </c>
    </row>
    <row r="987" spans="2:10" x14ac:dyDescent="0.25">
      <c r="B987" t="s">
        <v>2717</v>
      </c>
      <c r="C987" s="16">
        <v>30049043</v>
      </c>
      <c r="D987" s="16"/>
      <c r="E987">
        <v>0</v>
      </c>
      <c r="F987">
        <v>17</v>
      </c>
      <c r="G987">
        <v>0</v>
      </c>
      <c r="H987">
        <v>9.9</v>
      </c>
      <c r="I987">
        <v>2.1</v>
      </c>
      <c r="J987">
        <v>14</v>
      </c>
    </row>
    <row r="988" spans="2:10" x14ac:dyDescent="0.25">
      <c r="B988" t="s">
        <v>2723</v>
      </c>
      <c r="C988" s="16">
        <v>30049043</v>
      </c>
      <c r="D988" s="16"/>
      <c r="E988">
        <v>0</v>
      </c>
      <c r="F988">
        <v>17</v>
      </c>
      <c r="G988">
        <v>0</v>
      </c>
      <c r="H988">
        <v>9.9</v>
      </c>
      <c r="I988">
        <v>2.1</v>
      </c>
      <c r="J988">
        <v>14</v>
      </c>
    </row>
    <row r="989" spans="2:10" x14ac:dyDescent="0.25">
      <c r="B989" t="s">
        <v>19451</v>
      </c>
      <c r="C989" s="16">
        <v>30049043</v>
      </c>
      <c r="D989" s="16"/>
      <c r="E989">
        <v>0</v>
      </c>
      <c r="F989">
        <v>17</v>
      </c>
      <c r="G989">
        <v>0</v>
      </c>
      <c r="H989">
        <v>9.9</v>
      </c>
      <c r="I989">
        <v>2.1</v>
      </c>
      <c r="J989">
        <v>14</v>
      </c>
    </row>
    <row r="990" spans="2:10" x14ac:dyDescent="0.25">
      <c r="B990" t="s">
        <v>2722</v>
      </c>
      <c r="C990" s="16">
        <v>30049043</v>
      </c>
      <c r="D990" s="16"/>
      <c r="E990">
        <v>0</v>
      </c>
      <c r="F990">
        <v>17</v>
      </c>
      <c r="G990">
        <v>0</v>
      </c>
      <c r="H990">
        <v>9.9</v>
      </c>
      <c r="I990">
        <v>2.1</v>
      </c>
      <c r="J990">
        <v>14</v>
      </c>
    </row>
    <row r="991" spans="2:10" x14ac:dyDescent="0.25">
      <c r="B991" t="s">
        <v>19452</v>
      </c>
      <c r="C991" s="16">
        <v>30049043</v>
      </c>
      <c r="D991" s="16"/>
      <c r="E991">
        <v>0</v>
      </c>
      <c r="F991">
        <v>17</v>
      </c>
      <c r="G991">
        <v>0</v>
      </c>
      <c r="H991">
        <v>9.9</v>
      </c>
      <c r="I991">
        <v>2.1</v>
      </c>
      <c r="J991">
        <v>14</v>
      </c>
    </row>
    <row r="992" spans="2:10" x14ac:dyDescent="0.25">
      <c r="B992" t="s">
        <v>2710</v>
      </c>
      <c r="C992" s="16">
        <v>30049043</v>
      </c>
      <c r="D992" s="16"/>
      <c r="E992">
        <v>0</v>
      </c>
      <c r="F992">
        <v>12</v>
      </c>
      <c r="G992">
        <v>0</v>
      </c>
      <c r="H992">
        <v>9.9</v>
      </c>
      <c r="I992">
        <v>2.1</v>
      </c>
      <c r="J992">
        <v>14</v>
      </c>
    </row>
    <row r="993" spans="2:10" x14ac:dyDescent="0.25">
      <c r="B993" t="s">
        <v>2713</v>
      </c>
      <c r="C993" s="16">
        <v>30049043</v>
      </c>
      <c r="D993" s="16"/>
      <c r="E993">
        <v>0</v>
      </c>
      <c r="F993">
        <v>19</v>
      </c>
      <c r="G993">
        <v>0</v>
      </c>
      <c r="H993">
        <v>9.9</v>
      </c>
      <c r="I993">
        <v>2.1</v>
      </c>
      <c r="J993">
        <v>14</v>
      </c>
    </row>
    <row r="994" spans="2:10" x14ac:dyDescent="0.25">
      <c r="B994" t="s">
        <v>19453</v>
      </c>
      <c r="C994" s="16">
        <v>30049043</v>
      </c>
      <c r="D994" s="16"/>
      <c r="E994">
        <v>0</v>
      </c>
      <c r="F994">
        <v>17</v>
      </c>
      <c r="G994">
        <v>0</v>
      </c>
      <c r="H994">
        <v>9.9</v>
      </c>
      <c r="I994">
        <v>2.1</v>
      </c>
      <c r="J994">
        <v>14</v>
      </c>
    </row>
    <row r="995" spans="2:10" x14ac:dyDescent="0.25">
      <c r="B995" t="s">
        <v>19454</v>
      </c>
      <c r="C995" s="16">
        <v>30049043</v>
      </c>
      <c r="D995" s="16"/>
      <c r="E995">
        <v>0</v>
      </c>
      <c r="F995">
        <v>17</v>
      </c>
      <c r="G995">
        <v>0</v>
      </c>
      <c r="H995">
        <v>9.9</v>
      </c>
      <c r="I995">
        <v>2.1</v>
      </c>
      <c r="J995">
        <v>14</v>
      </c>
    </row>
    <row r="996" spans="2:10" x14ac:dyDescent="0.25">
      <c r="B996" t="s">
        <v>19455</v>
      </c>
      <c r="C996" s="16">
        <v>30049043</v>
      </c>
      <c r="D996" s="16"/>
      <c r="E996">
        <v>0</v>
      </c>
      <c r="F996">
        <v>17</v>
      </c>
      <c r="G996">
        <v>0</v>
      </c>
      <c r="H996">
        <v>9.9</v>
      </c>
      <c r="I996">
        <v>2.1</v>
      </c>
      <c r="J996">
        <v>14</v>
      </c>
    </row>
    <row r="997" spans="2:10" x14ac:dyDescent="0.25">
      <c r="B997" t="s">
        <v>2712</v>
      </c>
      <c r="C997" s="16">
        <v>30049043</v>
      </c>
      <c r="D997" s="16"/>
      <c r="E997">
        <v>0</v>
      </c>
      <c r="F997">
        <v>17</v>
      </c>
      <c r="G997">
        <v>0</v>
      </c>
      <c r="H997">
        <v>9.9</v>
      </c>
      <c r="I997">
        <v>2.1</v>
      </c>
      <c r="J997">
        <v>14</v>
      </c>
    </row>
    <row r="998" spans="2:10" x14ac:dyDescent="0.25">
      <c r="B998" t="s">
        <v>2711</v>
      </c>
      <c r="C998" s="16">
        <v>30049043</v>
      </c>
      <c r="D998" s="16"/>
      <c r="E998">
        <v>0</v>
      </c>
      <c r="F998">
        <v>17</v>
      </c>
      <c r="G998">
        <v>0</v>
      </c>
      <c r="H998">
        <v>9.9</v>
      </c>
      <c r="I998">
        <v>2.1</v>
      </c>
      <c r="J998">
        <v>14</v>
      </c>
    </row>
    <row r="999" spans="2:10" x14ac:dyDescent="0.25">
      <c r="B999" t="s">
        <v>19456</v>
      </c>
      <c r="C999" s="16">
        <v>30049043</v>
      </c>
      <c r="D999" s="16"/>
      <c r="E999">
        <v>0</v>
      </c>
      <c r="F999">
        <v>17</v>
      </c>
      <c r="G999">
        <v>0</v>
      </c>
      <c r="H999">
        <v>9.9</v>
      </c>
      <c r="I999">
        <v>2.1</v>
      </c>
      <c r="J999">
        <v>14</v>
      </c>
    </row>
    <row r="1000" spans="2:10" x14ac:dyDescent="0.25">
      <c r="B1000" t="s">
        <v>2709</v>
      </c>
      <c r="C1000" s="16">
        <v>30049043</v>
      </c>
      <c r="D1000" s="16"/>
      <c r="E1000">
        <v>0</v>
      </c>
      <c r="F1000">
        <v>18</v>
      </c>
      <c r="G1000">
        <v>0</v>
      </c>
      <c r="H1000">
        <v>9.9</v>
      </c>
      <c r="I1000">
        <v>2.1</v>
      </c>
      <c r="J1000">
        <v>14</v>
      </c>
    </row>
    <row r="1001" spans="2:10" x14ac:dyDescent="0.25">
      <c r="B1001" t="s">
        <v>19457</v>
      </c>
      <c r="C1001" s="16">
        <v>30049043</v>
      </c>
      <c r="D1001" s="16"/>
      <c r="E1001">
        <v>0</v>
      </c>
      <c r="F1001">
        <v>17</v>
      </c>
      <c r="G1001">
        <v>0</v>
      </c>
      <c r="H1001">
        <v>9.9</v>
      </c>
      <c r="I1001">
        <v>2.1</v>
      </c>
      <c r="J1001">
        <v>14</v>
      </c>
    </row>
    <row r="1002" spans="2:10" x14ac:dyDescent="0.25">
      <c r="B1002" t="s">
        <v>19446</v>
      </c>
      <c r="C1002" s="16">
        <v>30049045</v>
      </c>
      <c r="D1002" s="16"/>
      <c r="E1002">
        <v>0</v>
      </c>
      <c r="F1002">
        <v>17</v>
      </c>
      <c r="G1002">
        <v>0</v>
      </c>
      <c r="H1002">
        <v>9.9</v>
      </c>
      <c r="I1002">
        <v>2.1</v>
      </c>
      <c r="J1002">
        <v>14</v>
      </c>
    </row>
    <row r="1003" spans="2:10" x14ac:dyDescent="0.25">
      <c r="B1003" t="s">
        <v>19448</v>
      </c>
      <c r="C1003" s="16">
        <v>30049045</v>
      </c>
      <c r="D1003" s="16"/>
      <c r="E1003">
        <v>0</v>
      </c>
      <c r="F1003">
        <v>17</v>
      </c>
      <c r="G1003">
        <v>0</v>
      </c>
      <c r="H1003">
        <v>9.9</v>
      </c>
      <c r="I1003">
        <v>2.1</v>
      </c>
      <c r="J1003">
        <v>14</v>
      </c>
    </row>
    <row r="1004" spans="2:10" x14ac:dyDescent="0.25">
      <c r="B1004" t="s">
        <v>2724</v>
      </c>
      <c r="C1004" s="16">
        <v>30049045</v>
      </c>
      <c r="D1004" s="16"/>
      <c r="E1004">
        <v>59</v>
      </c>
      <c r="F1004">
        <v>17</v>
      </c>
      <c r="G1004">
        <v>0</v>
      </c>
      <c r="H1004">
        <v>9.9</v>
      </c>
      <c r="I1004">
        <v>2.1</v>
      </c>
      <c r="J1004">
        <v>14</v>
      </c>
    </row>
    <row r="1005" spans="2:10" x14ac:dyDescent="0.25">
      <c r="B1005" t="s">
        <v>19449</v>
      </c>
      <c r="C1005" s="16">
        <v>30049045</v>
      </c>
      <c r="D1005" s="16"/>
      <c r="E1005">
        <v>0</v>
      </c>
      <c r="F1005">
        <v>17</v>
      </c>
      <c r="G1005">
        <v>0</v>
      </c>
      <c r="H1005">
        <v>9.9</v>
      </c>
      <c r="I1005">
        <v>2.1</v>
      </c>
      <c r="J1005">
        <v>14</v>
      </c>
    </row>
    <row r="1006" spans="2:10" x14ac:dyDescent="0.25">
      <c r="B1006" t="s">
        <v>2720</v>
      </c>
      <c r="C1006" s="16">
        <v>30049045</v>
      </c>
      <c r="D1006" s="16"/>
      <c r="E1006">
        <v>0</v>
      </c>
      <c r="F1006">
        <v>17</v>
      </c>
      <c r="G1006">
        <v>0</v>
      </c>
      <c r="H1006">
        <v>9.9</v>
      </c>
      <c r="I1006">
        <v>2.1</v>
      </c>
      <c r="J1006">
        <v>14</v>
      </c>
    </row>
    <row r="1007" spans="2:10" x14ac:dyDescent="0.25">
      <c r="B1007" t="s">
        <v>2721</v>
      </c>
      <c r="C1007" s="16">
        <v>30049045</v>
      </c>
      <c r="D1007" s="16"/>
      <c r="E1007" t="s">
        <v>19447</v>
      </c>
      <c r="F1007">
        <v>17</v>
      </c>
      <c r="G1007">
        <v>0</v>
      </c>
      <c r="H1007">
        <v>9.9</v>
      </c>
      <c r="I1007">
        <v>2.1</v>
      </c>
      <c r="J1007">
        <v>14</v>
      </c>
    </row>
    <row r="1008" spans="2:10" x14ac:dyDescent="0.25">
      <c r="B1008" t="s">
        <v>2719</v>
      </c>
      <c r="C1008" s="16">
        <v>30049045</v>
      </c>
      <c r="D1008" s="16"/>
      <c r="E1008">
        <v>0</v>
      </c>
      <c r="F1008">
        <v>17</v>
      </c>
      <c r="G1008">
        <v>0</v>
      </c>
      <c r="H1008">
        <v>9.9</v>
      </c>
      <c r="I1008">
        <v>2.1</v>
      </c>
      <c r="J1008">
        <v>14</v>
      </c>
    </row>
    <row r="1009" spans="2:10" x14ac:dyDescent="0.25">
      <c r="B1009" t="s">
        <v>2715</v>
      </c>
      <c r="C1009" s="16">
        <v>30049045</v>
      </c>
      <c r="D1009" s="16"/>
      <c r="E1009">
        <v>0</v>
      </c>
      <c r="F1009">
        <v>17</v>
      </c>
      <c r="G1009">
        <v>0</v>
      </c>
      <c r="H1009">
        <v>9.9</v>
      </c>
      <c r="I1009">
        <v>2.1</v>
      </c>
      <c r="J1009">
        <v>14</v>
      </c>
    </row>
    <row r="1010" spans="2:10" x14ac:dyDescent="0.25">
      <c r="B1010" t="s">
        <v>2716</v>
      </c>
      <c r="C1010" s="16">
        <v>30049045</v>
      </c>
      <c r="D1010" s="16"/>
      <c r="E1010" t="s">
        <v>19447</v>
      </c>
      <c r="F1010">
        <v>17</v>
      </c>
      <c r="G1010">
        <v>0</v>
      </c>
      <c r="H1010">
        <v>9.9</v>
      </c>
      <c r="I1010">
        <v>2.1</v>
      </c>
      <c r="J1010">
        <v>14</v>
      </c>
    </row>
    <row r="1011" spans="2:10" x14ac:dyDescent="0.25">
      <c r="B1011" t="s">
        <v>19450</v>
      </c>
      <c r="C1011" s="16">
        <v>30049045</v>
      </c>
      <c r="D1011" s="16"/>
      <c r="E1011">
        <v>0</v>
      </c>
      <c r="F1011">
        <v>17</v>
      </c>
      <c r="G1011">
        <v>0</v>
      </c>
      <c r="H1011">
        <v>9.9</v>
      </c>
      <c r="I1011">
        <v>2.1</v>
      </c>
      <c r="J1011">
        <v>14</v>
      </c>
    </row>
    <row r="1012" spans="2:10" x14ac:dyDescent="0.25">
      <c r="B1012" t="s">
        <v>2714</v>
      </c>
      <c r="C1012" s="16">
        <v>30049045</v>
      </c>
      <c r="D1012" s="16"/>
      <c r="E1012">
        <v>0</v>
      </c>
      <c r="F1012">
        <v>12</v>
      </c>
      <c r="G1012">
        <v>0</v>
      </c>
      <c r="H1012">
        <v>9.9</v>
      </c>
      <c r="I1012">
        <v>2.1</v>
      </c>
      <c r="J1012">
        <v>14</v>
      </c>
    </row>
    <row r="1013" spans="2:10" x14ac:dyDescent="0.25">
      <c r="B1013" t="s">
        <v>2718</v>
      </c>
      <c r="C1013" s="16">
        <v>30049045</v>
      </c>
      <c r="D1013" s="16"/>
      <c r="E1013">
        <v>0</v>
      </c>
      <c r="F1013">
        <v>17</v>
      </c>
      <c r="G1013">
        <v>0</v>
      </c>
      <c r="H1013">
        <v>9.9</v>
      </c>
      <c r="I1013">
        <v>2.1</v>
      </c>
      <c r="J1013">
        <v>14</v>
      </c>
    </row>
    <row r="1014" spans="2:10" x14ac:dyDescent="0.25">
      <c r="B1014" t="s">
        <v>2717</v>
      </c>
      <c r="C1014" s="16">
        <v>30049045</v>
      </c>
      <c r="D1014" s="16"/>
      <c r="E1014">
        <v>0</v>
      </c>
      <c r="F1014">
        <v>17</v>
      </c>
      <c r="G1014">
        <v>0</v>
      </c>
      <c r="H1014">
        <v>9.9</v>
      </c>
      <c r="I1014">
        <v>2.1</v>
      </c>
      <c r="J1014">
        <v>14</v>
      </c>
    </row>
    <row r="1015" spans="2:10" x14ac:dyDescent="0.25">
      <c r="B1015" t="s">
        <v>2723</v>
      </c>
      <c r="C1015" s="16">
        <v>30049045</v>
      </c>
      <c r="D1015" s="16"/>
      <c r="E1015">
        <v>0</v>
      </c>
      <c r="F1015">
        <v>17</v>
      </c>
      <c r="G1015">
        <v>0</v>
      </c>
      <c r="H1015">
        <v>9.9</v>
      </c>
      <c r="I1015">
        <v>2.1</v>
      </c>
      <c r="J1015">
        <v>14</v>
      </c>
    </row>
    <row r="1016" spans="2:10" x14ac:dyDescent="0.25">
      <c r="B1016" t="s">
        <v>19451</v>
      </c>
      <c r="C1016" s="16">
        <v>30049045</v>
      </c>
      <c r="D1016" s="16"/>
      <c r="E1016">
        <v>0</v>
      </c>
      <c r="F1016">
        <v>17</v>
      </c>
      <c r="G1016">
        <v>0</v>
      </c>
      <c r="H1016">
        <v>9.9</v>
      </c>
      <c r="I1016">
        <v>2.1</v>
      </c>
      <c r="J1016">
        <v>14</v>
      </c>
    </row>
    <row r="1017" spans="2:10" x14ac:dyDescent="0.25">
      <c r="B1017" t="s">
        <v>2722</v>
      </c>
      <c r="C1017" s="16">
        <v>30049045</v>
      </c>
      <c r="D1017" s="16"/>
      <c r="E1017">
        <v>0</v>
      </c>
      <c r="F1017">
        <v>17</v>
      </c>
      <c r="G1017">
        <v>0</v>
      </c>
      <c r="H1017">
        <v>9.9</v>
      </c>
      <c r="I1017">
        <v>2.1</v>
      </c>
      <c r="J1017">
        <v>14</v>
      </c>
    </row>
    <row r="1018" spans="2:10" x14ac:dyDescent="0.25">
      <c r="B1018" t="s">
        <v>19452</v>
      </c>
      <c r="C1018" s="16">
        <v>30049045</v>
      </c>
      <c r="D1018" s="16"/>
      <c r="E1018">
        <v>0</v>
      </c>
      <c r="F1018">
        <v>17</v>
      </c>
      <c r="G1018">
        <v>0</v>
      </c>
      <c r="H1018">
        <v>9.9</v>
      </c>
      <c r="I1018">
        <v>2.1</v>
      </c>
      <c r="J1018">
        <v>14</v>
      </c>
    </row>
    <row r="1019" spans="2:10" x14ac:dyDescent="0.25">
      <c r="B1019" t="s">
        <v>2710</v>
      </c>
      <c r="C1019" s="16">
        <v>30049045</v>
      </c>
      <c r="D1019" s="16"/>
      <c r="E1019">
        <v>0</v>
      </c>
      <c r="F1019">
        <v>12</v>
      </c>
      <c r="G1019">
        <v>0</v>
      </c>
      <c r="H1019">
        <v>9.9</v>
      </c>
      <c r="I1019">
        <v>2.1</v>
      </c>
      <c r="J1019">
        <v>14</v>
      </c>
    </row>
    <row r="1020" spans="2:10" x14ac:dyDescent="0.25">
      <c r="B1020" t="s">
        <v>2713</v>
      </c>
      <c r="C1020" s="16">
        <v>30049045</v>
      </c>
      <c r="D1020" s="16"/>
      <c r="E1020">
        <v>0</v>
      </c>
      <c r="F1020">
        <v>19</v>
      </c>
      <c r="G1020">
        <v>0</v>
      </c>
      <c r="H1020">
        <v>9.9</v>
      </c>
      <c r="I1020">
        <v>2.1</v>
      </c>
      <c r="J1020">
        <v>14</v>
      </c>
    </row>
    <row r="1021" spans="2:10" x14ac:dyDescent="0.25">
      <c r="B1021" t="s">
        <v>19453</v>
      </c>
      <c r="C1021" s="16">
        <v>30049045</v>
      </c>
      <c r="D1021" s="16"/>
      <c r="E1021">
        <v>0</v>
      </c>
      <c r="F1021">
        <v>17</v>
      </c>
      <c r="G1021">
        <v>0</v>
      </c>
      <c r="H1021">
        <v>9.9</v>
      </c>
      <c r="I1021">
        <v>2.1</v>
      </c>
      <c r="J1021">
        <v>14</v>
      </c>
    </row>
    <row r="1022" spans="2:10" x14ac:dyDescent="0.25">
      <c r="B1022" t="s">
        <v>19454</v>
      </c>
      <c r="C1022" s="16">
        <v>30049045</v>
      </c>
      <c r="D1022" s="16"/>
      <c r="E1022">
        <v>0</v>
      </c>
      <c r="F1022">
        <v>17</v>
      </c>
      <c r="G1022">
        <v>0</v>
      </c>
      <c r="H1022">
        <v>9.9</v>
      </c>
      <c r="I1022">
        <v>2.1</v>
      </c>
      <c r="J1022">
        <v>14</v>
      </c>
    </row>
    <row r="1023" spans="2:10" x14ac:dyDescent="0.25">
      <c r="B1023" t="s">
        <v>19455</v>
      </c>
      <c r="C1023" s="16">
        <v>30049045</v>
      </c>
      <c r="D1023" s="16"/>
      <c r="E1023">
        <v>0</v>
      </c>
      <c r="F1023">
        <v>17</v>
      </c>
      <c r="G1023">
        <v>0</v>
      </c>
      <c r="H1023">
        <v>9.9</v>
      </c>
      <c r="I1023">
        <v>2.1</v>
      </c>
      <c r="J1023">
        <v>14</v>
      </c>
    </row>
    <row r="1024" spans="2:10" x14ac:dyDescent="0.25">
      <c r="B1024" t="s">
        <v>2712</v>
      </c>
      <c r="C1024" s="16">
        <v>30049045</v>
      </c>
      <c r="D1024" s="16"/>
      <c r="E1024">
        <v>0</v>
      </c>
      <c r="F1024">
        <v>17</v>
      </c>
      <c r="G1024">
        <v>0</v>
      </c>
      <c r="H1024">
        <v>9.9</v>
      </c>
      <c r="I1024">
        <v>2.1</v>
      </c>
      <c r="J1024">
        <v>14</v>
      </c>
    </row>
    <row r="1025" spans="2:10" x14ac:dyDescent="0.25">
      <c r="B1025" t="s">
        <v>2711</v>
      </c>
      <c r="C1025" s="16">
        <v>30049045</v>
      </c>
      <c r="D1025" s="16"/>
      <c r="E1025">
        <v>0</v>
      </c>
      <c r="F1025">
        <v>17</v>
      </c>
      <c r="G1025">
        <v>0</v>
      </c>
      <c r="H1025">
        <v>9.9</v>
      </c>
      <c r="I1025">
        <v>2.1</v>
      </c>
      <c r="J1025">
        <v>14</v>
      </c>
    </row>
    <row r="1026" spans="2:10" x14ac:dyDescent="0.25">
      <c r="B1026" t="s">
        <v>19456</v>
      </c>
      <c r="C1026" s="16">
        <v>30049045</v>
      </c>
      <c r="D1026" s="16"/>
      <c r="E1026">
        <v>0</v>
      </c>
      <c r="F1026">
        <v>17</v>
      </c>
      <c r="G1026">
        <v>0</v>
      </c>
      <c r="H1026">
        <v>9.9</v>
      </c>
      <c r="I1026">
        <v>2.1</v>
      </c>
      <c r="J1026">
        <v>14</v>
      </c>
    </row>
    <row r="1027" spans="2:10" x14ac:dyDescent="0.25">
      <c r="B1027" t="s">
        <v>2709</v>
      </c>
      <c r="C1027" s="16">
        <v>30049045</v>
      </c>
      <c r="D1027" s="16"/>
      <c r="E1027">
        <v>0</v>
      </c>
      <c r="F1027">
        <v>18</v>
      </c>
      <c r="G1027">
        <v>0</v>
      </c>
      <c r="H1027">
        <v>9.9</v>
      </c>
      <c r="I1027">
        <v>2.1</v>
      </c>
      <c r="J1027">
        <v>14</v>
      </c>
    </row>
    <row r="1028" spans="2:10" x14ac:dyDescent="0.25">
      <c r="B1028" t="s">
        <v>19457</v>
      </c>
      <c r="C1028" s="16">
        <v>30049045</v>
      </c>
      <c r="D1028" s="16"/>
      <c r="E1028">
        <v>0</v>
      </c>
      <c r="F1028">
        <v>17</v>
      </c>
      <c r="G1028">
        <v>0</v>
      </c>
      <c r="H1028">
        <v>9.9</v>
      </c>
      <c r="I1028">
        <v>2.1</v>
      </c>
      <c r="J1028">
        <v>14</v>
      </c>
    </row>
    <row r="1029" spans="2:10" x14ac:dyDescent="0.25">
      <c r="B1029" t="s">
        <v>19446</v>
      </c>
      <c r="C1029" s="16">
        <v>30049047</v>
      </c>
      <c r="D1029" s="16"/>
      <c r="E1029">
        <v>0</v>
      </c>
      <c r="F1029">
        <v>17</v>
      </c>
      <c r="G1029">
        <v>0</v>
      </c>
      <c r="H1029">
        <v>9.9</v>
      </c>
      <c r="I1029">
        <v>2.1</v>
      </c>
      <c r="J1029">
        <v>14</v>
      </c>
    </row>
    <row r="1030" spans="2:10" x14ac:dyDescent="0.25">
      <c r="B1030" t="s">
        <v>19448</v>
      </c>
      <c r="C1030" s="16">
        <v>30049047</v>
      </c>
      <c r="D1030" s="16"/>
      <c r="E1030">
        <v>0</v>
      </c>
      <c r="F1030">
        <v>17</v>
      </c>
      <c r="G1030">
        <v>0</v>
      </c>
      <c r="H1030">
        <v>9.9</v>
      </c>
      <c r="I1030">
        <v>2.1</v>
      </c>
      <c r="J1030">
        <v>14</v>
      </c>
    </row>
    <row r="1031" spans="2:10" x14ac:dyDescent="0.25">
      <c r="B1031" t="s">
        <v>2724</v>
      </c>
      <c r="C1031" s="16">
        <v>30049047</v>
      </c>
      <c r="D1031" s="16"/>
      <c r="E1031">
        <v>59</v>
      </c>
      <c r="F1031">
        <v>17</v>
      </c>
      <c r="G1031">
        <v>0</v>
      </c>
      <c r="H1031">
        <v>9.9</v>
      </c>
      <c r="I1031">
        <v>2.1</v>
      </c>
      <c r="J1031">
        <v>14</v>
      </c>
    </row>
    <row r="1032" spans="2:10" x14ac:dyDescent="0.25">
      <c r="B1032" t="s">
        <v>19449</v>
      </c>
      <c r="C1032" s="16">
        <v>30049047</v>
      </c>
      <c r="D1032" s="16"/>
      <c r="E1032">
        <v>0</v>
      </c>
      <c r="F1032">
        <v>17</v>
      </c>
      <c r="G1032">
        <v>0</v>
      </c>
      <c r="H1032">
        <v>9.9</v>
      </c>
      <c r="I1032">
        <v>2.1</v>
      </c>
      <c r="J1032">
        <v>14</v>
      </c>
    </row>
    <row r="1033" spans="2:10" x14ac:dyDescent="0.25">
      <c r="B1033" t="s">
        <v>2720</v>
      </c>
      <c r="C1033" s="16">
        <v>30049047</v>
      </c>
      <c r="D1033" s="16"/>
      <c r="E1033">
        <v>0</v>
      </c>
      <c r="F1033">
        <v>17</v>
      </c>
      <c r="G1033">
        <v>0</v>
      </c>
      <c r="H1033">
        <v>9.9</v>
      </c>
      <c r="I1033">
        <v>2.1</v>
      </c>
      <c r="J1033">
        <v>14</v>
      </c>
    </row>
    <row r="1034" spans="2:10" x14ac:dyDescent="0.25">
      <c r="B1034" t="s">
        <v>2721</v>
      </c>
      <c r="C1034" s="16">
        <v>30049047</v>
      </c>
      <c r="D1034" s="16"/>
      <c r="E1034" t="s">
        <v>19447</v>
      </c>
      <c r="F1034">
        <v>17</v>
      </c>
      <c r="G1034">
        <v>0</v>
      </c>
      <c r="H1034">
        <v>9.9</v>
      </c>
      <c r="I1034">
        <v>2.1</v>
      </c>
      <c r="J1034">
        <v>14</v>
      </c>
    </row>
    <row r="1035" spans="2:10" x14ac:dyDescent="0.25">
      <c r="B1035" t="s">
        <v>2719</v>
      </c>
      <c r="C1035" s="16">
        <v>30049047</v>
      </c>
      <c r="D1035" s="16"/>
      <c r="E1035">
        <v>0</v>
      </c>
      <c r="F1035">
        <v>17</v>
      </c>
      <c r="G1035">
        <v>0</v>
      </c>
      <c r="H1035">
        <v>9.9</v>
      </c>
      <c r="I1035">
        <v>2.1</v>
      </c>
      <c r="J1035">
        <v>14</v>
      </c>
    </row>
    <row r="1036" spans="2:10" x14ac:dyDescent="0.25">
      <c r="B1036" t="s">
        <v>2715</v>
      </c>
      <c r="C1036" s="16">
        <v>30049047</v>
      </c>
      <c r="D1036" s="16"/>
      <c r="E1036">
        <v>0</v>
      </c>
      <c r="F1036">
        <v>17</v>
      </c>
      <c r="G1036">
        <v>0</v>
      </c>
      <c r="H1036">
        <v>9.9</v>
      </c>
      <c r="I1036">
        <v>2.1</v>
      </c>
      <c r="J1036">
        <v>14</v>
      </c>
    </row>
    <row r="1037" spans="2:10" x14ac:dyDescent="0.25">
      <c r="B1037" t="s">
        <v>2716</v>
      </c>
      <c r="C1037" s="16">
        <v>30049047</v>
      </c>
      <c r="D1037" s="16"/>
      <c r="E1037" t="s">
        <v>19447</v>
      </c>
      <c r="F1037">
        <v>17</v>
      </c>
      <c r="G1037">
        <v>0</v>
      </c>
      <c r="H1037">
        <v>9.9</v>
      </c>
      <c r="I1037">
        <v>2.1</v>
      </c>
      <c r="J1037">
        <v>14</v>
      </c>
    </row>
    <row r="1038" spans="2:10" x14ac:dyDescent="0.25">
      <c r="B1038" t="s">
        <v>19450</v>
      </c>
      <c r="C1038" s="16">
        <v>30049047</v>
      </c>
      <c r="D1038" s="16"/>
      <c r="E1038">
        <v>0</v>
      </c>
      <c r="F1038">
        <v>17</v>
      </c>
      <c r="G1038">
        <v>0</v>
      </c>
      <c r="H1038">
        <v>9.9</v>
      </c>
      <c r="I1038">
        <v>2.1</v>
      </c>
      <c r="J1038">
        <v>14</v>
      </c>
    </row>
    <row r="1039" spans="2:10" x14ac:dyDescent="0.25">
      <c r="B1039" t="s">
        <v>2714</v>
      </c>
      <c r="C1039" s="16">
        <v>30049047</v>
      </c>
      <c r="D1039" s="16"/>
      <c r="E1039">
        <v>0</v>
      </c>
      <c r="F1039">
        <v>12</v>
      </c>
      <c r="G1039">
        <v>0</v>
      </c>
      <c r="H1039">
        <v>9.9</v>
      </c>
      <c r="I1039">
        <v>2.1</v>
      </c>
      <c r="J1039">
        <v>14</v>
      </c>
    </row>
    <row r="1040" spans="2:10" x14ac:dyDescent="0.25">
      <c r="B1040" t="s">
        <v>2718</v>
      </c>
      <c r="C1040" s="16">
        <v>30049047</v>
      </c>
      <c r="D1040" s="16"/>
      <c r="E1040">
        <v>0</v>
      </c>
      <c r="F1040">
        <v>17</v>
      </c>
      <c r="G1040">
        <v>0</v>
      </c>
      <c r="H1040">
        <v>9.9</v>
      </c>
      <c r="I1040">
        <v>2.1</v>
      </c>
      <c r="J1040">
        <v>14</v>
      </c>
    </row>
    <row r="1041" spans="2:10" x14ac:dyDescent="0.25">
      <c r="B1041" t="s">
        <v>2717</v>
      </c>
      <c r="C1041" s="16">
        <v>30049047</v>
      </c>
      <c r="D1041" s="16"/>
      <c r="E1041">
        <v>0</v>
      </c>
      <c r="F1041">
        <v>17</v>
      </c>
      <c r="G1041">
        <v>0</v>
      </c>
      <c r="H1041">
        <v>9.9</v>
      </c>
      <c r="I1041">
        <v>2.1</v>
      </c>
      <c r="J1041">
        <v>14</v>
      </c>
    </row>
    <row r="1042" spans="2:10" x14ac:dyDescent="0.25">
      <c r="B1042" t="s">
        <v>2723</v>
      </c>
      <c r="C1042" s="16">
        <v>30049047</v>
      </c>
      <c r="D1042" s="16"/>
      <c r="E1042">
        <v>0</v>
      </c>
      <c r="F1042">
        <v>17</v>
      </c>
      <c r="G1042">
        <v>0</v>
      </c>
      <c r="H1042">
        <v>9.9</v>
      </c>
      <c r="I1042">
        <v>2.1</v>
      </c>
      <c r="J1042">
        <v>14</v>
      </c>
    </row>
    <row r="1043" spans="2:10" x14ac:dyDescent="0.25">
      <c r="B1043" t="s">
        <v>19451</v>
      </c>
      <c r="C1043" s="16">
        <v>30049047</v>
      </c>
      <c r="D1043" s="16"/>
      <c r="E1043">
        <v>0</v>
      </c>
      <c r="F1043">
        <v>17</v>
      </c>
      <c r="G1043">
        <v>0</v>
      </c>
      <c r="H1043">
        <v>9.9</v>
      </c>
      <c r="I1043">
        <v>2.1</v>
      </c>
      <c r="J1043">
        <v>14</v>
      </c>
    </row>
    <row r="1044" spans="2:10" x14ac:dyDescent="0.25">
      <c r="B1044" t="s">
        <v>2722</v>
      </c>
      <c r="C1044" s="16">
        <v>30049047</v>
      </c>
      <c r="D1044" s="16"/>
      <c r="E1044">
        <v>0</v>
      </c>
      <c r="F1044">
        <v>17</v>
      </c>
      <c r="G1044">
        <v>0</v>
      </c>
      <c r="H1044">
        <v>9.9</v>
      </c>
      <c r="I1044">
        <v>2.1</v>
      </c>
      <c r="J1044">
        <v>14</v>
      </c>
    </row>
    <row r="1045" spans="2:10" x14ac:dyDescent="0.25">
      <c r="B1045" t="s">
        <v>19452</v>
      </c>
      <c r="C1045" s="16">
        <v>30049047</v>
      </c>
      <c r="D1045" s="16"/>
      <c r="E1045">
        <v>0</v>
      </c>
      <c r="F1045">
        <v>17</v>
      </c>
      <c r="G1045">
        <v>0</v>
      </c>
      <c r="H1045">
        <v>9.9</v>
      </c>
      <c r="I1045">
        <v>2.1</v>
      </c>
      <c r="J1045">
        <v>14</v>
      </c>
    </row>
    <row r="1046" spans="2:10" x14ac:dyDescent="0.25">
      <c r="B1046" t="s">
        <v>2710</v>
      </c>
      <c r="C1046" s="16">
        <v>30049047</v>
      </c>
      <c r="D1046" s="16"/>
      <c r="E1046">
        <v>0</v>
      </c>
      <c r="F1046">
        <v>12</v>
      </c>
      <c r="G1046">
        <v>0</v>
      </c>
      <c r="H1046">
        <v>9.9</v>
      </c>
      <c r="I1046">
        <v>2.1</v>
      </c>
      <c r="J1046">
        <v>14</v>
      </c>
    </row>
    <row r="1047" spans="2:10" x14ac:dyDescent="0.25">
      <c r="B1047" t="s">
        <v>2713</v>
      </c>
      <c r="C1047" s="16">
        <v>30049047</v>
      </c>
      <c r="D1047" s="16"/>
      <c r="E1047">
        <v>0</v>
      </c>
      <c r="F1047">
        <v>19</v>
      </c>
      <c r="G1047">
        <v>0</v>
      </c>
      <c r="H1047">
        <v>9.9</v>
      </c>
      <c r="I1047">
        <v>2.1</v>
      </c>
      <c r="J1047">
        <v>14</v>
      </c>
    </row>
    <row r="1048" spans="2:10" x14ac:dyDescent="0.25">
      <c r="B1048" t="s">
        <v>19453</v>
      </c>
      <c r="C1048" s="16">
        <v>30049047</v>
      </c>
      <c r="D1048" s="16"/>
      <c r="E1048">
        <v>0</v>
      </c>
      <c r="F1048">
        <v>17</v>
      </c>
      <c r="G1048">
        <v>0</v>
      </c>
      <c r="H1048">
        <v>9.9</v>
      </c>
      <c r="I1048">
        <v>2.1</v>
      </c>
      <c r="J1048">
        <v>14</v>
      </c>
    </row>
    <row r="1049" spans="2:10" x14ac:dyDescent="0.25">
      <c r="B1049" t="s">
        <v>19454</v>
      </c>
      <c r="C1049" s="16">
        <v>30049047</v>
      </c>
      <c r="D1049" s="16"/>
      <c r="E1049">
        <v>0</v>
      </c>
      <c r="F1049">
        <v>17</v>
      </c>
      <c r="G1049">
        <v>0</v>
      </c>
      <c r="H1049">
        <v>9.9</v>
      </c>
      <c r="I1049">
        <v>2.1</v>
      </c>
      <c r="J1049">
        <v>14</v>
      </c>
    </row>
    <row r="1050" spans="2:10" x14ac:dyDescent="0.25">
      <c r="B1050" t="s">
        <v>19455</v>
      </c>
      <c r="C1050" s="16">
        <v>30049047</v>
      </c>
      <c r="D1050" s="16"/>
      <c r="E1050">
        <v>0</v>
      </c>
      <c r="F1050">
        <v>17</v>
      </c>
      <c r="G1050">
        <v>0</v>
      </c>
      <c r="H1050">
        <v>9.9</v>
      </c>
      <c r="I1050">
        <v>2.1</v>
      </c>
      <c r="J1050">
        <v>14</v>
      </c>
    </row>
    <row r="1051" spans="2:10" x14ac:dyDescent="0.25">
      <c r="B1051" t="s">
        <v>2712</v>
      </c>
      <c r="C1051" s="16">
        <v>30049047</v>
      </c>
      <c r="D1051" s="16"/>
      <c r="E1051">
        <v>0</v>
      </c>
      <c r="F1051">
        <v>17</v>
      </c>
      <c r="G1051">
        <v>0</v>
      </c>
      <c r="H1051">
        <v>9.9</v>
      </c>
      <c r="I1051">
        <v>2.1</v>
      </c>
      <c r="J1051">
        <v>14</v>
      </c>
    </row>
    <row r="1052" spans="2:10" x14ac:dyDescent="0.25">
      <c r="B1052" t="s">
        <v>2711</v>
      </c>
      <c r="C1052" s="16">
        <v>30049047</v>
      </c>
      <c r="D1052" s="16"/>
      <c r="E1052">
        <v>0</v>
      </c>
      <c r="F1052">
        <v>17</v>
      </c>
      <c r="G1052">
        <v>0</v>
      </c>
      <c r="H1052">
        <v>9.9</v>
      </c>
      <c r="I1052">
        <v>2.1</v>
      </c>
      <c r="J1052">
        <v>14</v>
      </c>
    </row>
    <row r="1053" spans="2:10" x14ac:dyDescent="0.25">
      <c r="B1053" t="s">
        <v>19456</v>
      </c>
      <c r="C1053" s="16">
        <v>30049047</v>
      </c>
      <c r="D1053" s="16"/>
      <c r="E1053">
        <v>0</v>
      </c>
      <c r="F1053">
        <v>17</v>
      </c>
      <c r="G1053">
        <v>0</v>
      </c>
      <c r="H1053">
        <v>9.9</v>
      </c>
      <c r="I1053">
        <v>2.1</v>
      </c>
      <c r="J1053">
        <v>14</v>
      </c>
    </row>
    <row r="1054" spans="2:10" x14ac:dyDescent="0.25">
      <c r="B1054" t="s">
        <v>2709</v>
      </c>
      <c r="C1054" s="16">
        <v>30049047</v>
      </c>
      <c r="D1054" s="16"/>
      <c r="E1054">
        <v>0</v>
      </c>
      <c r="F1054">
        <v>18</v>
      </c>
      <c r="G1054">
        <v>0</v>
      </c>
      <c r="H1054">
        <v>9.9</v>
      </c>
      <c r="I1054">
        <v>2.1</v>
      </c>
      <c r="J1054">
        <v>14</v>
      </c>
    </row>
    <row r="1055" spans="2:10" x14ac:dyDescent="0.25">
      <c r="B1055" t="s">
        <v>19457</v>
      </c>
      <c r="C1055" s="16">
        <v>30049047</v>
      </c>
      <c r="D1055" s="16"/>
      <c r="E1055">
        <v>0</v>
      </c>
      <c r="F1055">
        <v>17</v>
      </c>
      <c r="G1055">
        <v>0</v>
      </c>
      <c r="H1055">
        <v>9.9</v>
      </c>
      <c r="I1055">
        <v>2.1</v>
      </c>
      <c r="J1055">
        <v>14</v>
      </c>
    </row>
    <row r="1056" spans="2:10" x14ac:dyDescent="0.25">
      <c r="B1056" t="s">
        <v>19446</v>
      </c>
      <c r="C1056" s="16">
        <v>30049049</v>
      </c>
      <c r="D1056" s="16"/>
      <c r="E1056">
        <v>0</v>
      </c>
      <c r="F1056">
        <v>17</v>
      </c>
      <c r="G1056">
        <v>0</v>
      </c>
      <c r="H1056">
        <v>9.9</v>
      </c>
      <c r="I1056">
        <v>2.1</v>
      </c>
      <c r="J1056">
        <v>8</v>
      </c>
    </row>
    <row r="1057" spans="2:10" x14ac:dyDescent="0.25">
      <c r="B1057" t="s">
        <v>19448</v>
      </c>
      <c r="C1057" s="16">
        <v>30049049</v>
      </c>
      <c r="D1057" s="16"/>
      <c r="E1057">
        <v>0</v>
      </c>
      <c r="F1057">
        <v>17</v>
      </c>
      <c r="G1057">
        <v>0</v>
      </c>
      <c r="H1057">
        <v>9.9</v>
      </c>
      <c r="I1057">
        <v>2.1</v>
      </c>
      <c r="J1057">
        <v>8</v>
      </c>
    </row>
    <row r="1058" spans="2:10" x14ac:dyDescent="0.25">
      <c r="B1058" t="s">
        <v>2724</v>
      </c>
      <c r="C1058" s="16">
        <v>30049049</v>
      </c>
      <c r="D1058" s="16"/>
      <c r="E1058">
        <v>59</v>
      </c>
      <c r="F1058">
        <v>17</v>
      </c>
      <c r="G1058">
        <v>0</v>
      </c>
      <c r="H1058">
        <v>9.9</v>
      </c>
      <c r="I1058">
        <v>2.1</v>
      </c>
      <c r="J1058">
        <v>8</v>
      </c>
    </row>
    <row r="1059" spans="2:10" x14ac:dyDescent="0.25">
      <c r="B1059" t="s">
        <v>19449</v>
      </c>
      <c r="C1059" s="16">
        <v>30049049</v>
      </c>
      <c r="D1059" s="16"/>
      <c r="E1059">
        <v>0</v>
      </c>
      <c r="F1059">
        <v>17</v>
      </c>
      <c r="G1059">
        <v>0</v>
      </c>
      <c r="H1059">
        <v>9.9</v>
      </c>
      <c r="I1059">
        <v>2.1</v>
      </c>
      <c r="J1059">
        <v>8</v>
      </c>
    </row>
    <row r="1060" spans="2:10" x14ac:dyDescent="0.25">
      <c r="B1060" t="s">
        <v>2720</v>
      </c>
      <c r="C1060" s="16">
        <v>30049049</v>
      </c>
      <c r="D1060" s="16"/>
      <c r="E1060">
        <v>0</v>
      </c>
      <c r="F1060">
        <v>17</v>
      </c>
      <c r="G1060">
        <v>0</v>
      </c>
      <c r="H1060">
        <v>9.9</v>
      </c>
      <c r="I1060">
        <v>2.1</v>
      </c>
      <c r="J1060">
        <v>8</v>
      </c>
    </row>
    <row r="1061" spans="2:10" x14ac:dyDescent="0.25">
      <c r="B1061" t="s">
        <v>2721</v>
      </c>
      <c r="C1061" s="16">
        <v>30049049</v>
      </c>
      <c r="D1061" s="16"/>
      <c r="E1061" t="s">
        <v>19447</v>
      </c>
      <c r="F1061">
        <v>17</v>
      </c>
      <c r="G1061">
        <v>0</v>
      </c>
      <c r="H1061">
        <v>9.9</v>
      </c>
      <c r="I1061">
        <v>2.1</v>
      </c>
      <c r="J1061">
        <v>8</v>
      </c>
    </row>
    <row r="1062" spans="2:10" x14ac:dyDescent="0.25">
      <c r="B1062" t="s">
        <v>2719</v>
      </c>
      <c r="C1062" s="16">
        <v>30049049</v>
      </c>
      <c r="D1062" s="16"/>
      <c r="E1062">
        <v>0</v>
      </c>
      <c r="F1062">
        <v>17</v>
      </c>
      <c r="G1062">
        <v>0</v>
      </c>
      <c r="H1062">
        <v>9.9</v>
      </c>
      <c r="I1062">
        <v>2.1</v>
      </c>
      <c r="J1062">
        <v>8</v>
      </c>
    </row>
    <row r="1063" spans="2:10" x14ac:dyDescent="0.25">
      <c r="B1063" t="s">
        <v>2715</v>
      </c>
      <c r="C1063" s="16">
        <v>30049049</v>
      </c>
      <c r="D1063" s="16"/>
      <c r="E1063">
        <v>0</v>
      </c>
      <c r="F1063">
        <v>17</v>
      </c>
      <c r="G1063">
        <v>0</v>
      </c>
      <c r="H1063">
        <v>9.9</v>
      </c>
      <c r="I1063">
        <v>2.1</v>
      </c>
      <c r="J1063">
        <v>8</v>
      </c>
    </row>
    <row r="1064" spans="2:10" x14ac:dyDescent="0.25">
      <c r="B1064" t="s">
        <v>2716</v>
      </c>
      <c r="C1064" s="16">
        <v>30049049</v>
      </c>
      <c r="D1064" s="16"/>
      <c r="E1064" t="s">
        <v>19447</v>
      </c>
      <c r="F1064">
        <v>17</v>
      </c>
      <c r="G1064">
        <v>0</v>
      </c>
      <c r="H1064">
        <v>9.9</v>
      </c>
      <c r="I1064">
        <v>2.1</v>
      </c>
      <c r="J1064">
        <v>8</v>
      </c>
    </row>
    <row r="1065" spans="2:10" x14ac:dyDescent="0.25">
      <c r="B1065" t="s">
        <v>19450</v>
      </c>
      <c r="C1065" s="16">
        <v>30049049</v>
      </c>
      <c r="D1065" s="16"/>
      <c r="E1065">
        <v>0</v>
      </c>
      <c r="F1065">
        <v>17</v>
      </c>
      <c r="G1065">
        <v>0</v>
      </c>
      <c r="H1065">
        <v>9.9</v>
      </c>
      <c r="I1065">
        <v>2.1</v>
      </c>
      <c r="J1065">
        <v>8</v>
      </c>
    </row>
    <row r="1066" spans="2:10" x14ac:dyDescent="0.25">
      <c r="B1066" t="s">
        <v>2714</v>
      </c>
      <c r="C1066" s="16">
        <v>30049049</v>
      </c>
      <c r="D1066" s="16"/>
      <c r="E1066">
        <v>0</v>
      </c>
      <c r="F1066">
        <v>12</v>
      </c>
      <c r="G1066">
        <v>0</v>
      </c>
      <c r="H1066">
        <v>9.9</v>
      </c>
      <c r="I1066">
        <v>2.1</v>
      </c>
      <c r="J1066">
        <v>8</v>
      </c>
    </row>
    <row r="1067" spans="2:10" x14ac:dyDescent="0.25">
      <c r="B1067" t="s">
        <v>2718</v>
      </c>
      <c r="C1067" s="16">
        <v>30049049</v>
      </c>
      <c r="D1067" s="16"/>
      <c r="E1067">
        <v>0</v>
      </c>
      <c r="F1067">
        <v>17</v>
      </c>
      <c r="G1067">
        <v>0</v>
      </c>
      <c r="H1067">
        <v>9.9</v>
      </c>
      <c r="I1067">
        <v>2.1</v>
      </c>
      <c r="J1067">
        <v>8</v>
      </c>
    </row>
    <row r="1068" spans="2:10" x14ac:dyDescent="0.25">
      <c r="B1068" t="s">
        <v>2717</v>
      </c>
      <c r="C1068" s="16">
        <v>30049049</v>
      </c>
      <c r="D1068" s="16"/>
      <c r="E1068">
        <v>0</v>
      </c>
      <c r="F1068">
        <v>17</v>
      </c>
      <c r="G1068">
        <v>0</v>
      </c>
      <c r="H1068">
        <v>9.9</v>
      </c>
      <c r="I1068">
        <v>2.1</v>
      </c>
      <c r="J1068">
        <v>8</v>
      </c>
    </row>
    <row r="1069" spans="2:10" x14ac:dyDescent="0.25">
      <c r="B1069" t="s">
        <v>2723</v>
      </c>
      <c r="C1069" s="16">
        <v>30049049</v>
      </c>
      <c r="D1069" s="16"/>
      <c r="E1069">
        <v>0</v>
      </c>
      <c r="F1069">
        <v>17</v>
      </c>
      <c r="G1069">
        <v>0</v>
      </c>
      <c r="H1069">
        <v>9.9</v>
      </c>
      <c r="I1069">
        <v>2.1</v>
      </c>
      <c r="J1069">
        <v>8</v>
      </c>
    </row>
    <row r="1070" spans="2:10" x14ac:dyDescent="0.25">
      <c r="B1070" t="s">
        <v>19451</v>
      </c>
      <c r="C1070" s="16">
        <v>30049049</v>
      </c>
      <c r="D1070" s="16"/>
      <c r="E1070">
        <v>0</v>
      </c>
      <c r="F1070">
        <v>17</v>
      </c>
      <c r="G1070">
        <v>0</v>
      </c>
      <c r="H1070">
        <v>9.9</v>
      </c>
      <c r="I1070">
        <v>2.1</v>
      </c>
      <c r="J1070">
        <v>8</v>
      </c>
    </row>
    <row r="1071" spans="2:10" x14ac:dyDescent="0.25">
      <c r="B1071" t="s">
        <v>2722</v>
      </c>
      <c r="C1071" s="16">
        <v>30049049</v>
      </c>
      <c r="D1071" s="16"/>
      <c r="E1071">
        <v>0</v>
      </c>
      <c r="F1071">
        <v>17</v>
      </c>
      <c r="G1071">
        <v>0</v>
      </c>
      <c r="H1071">
        <v>9.9</v>
      </c>
      <c r="I1071">
        <v>2.1</v>
      </c>
      <c r="J1071">
        <v>8</v>
      </c>
    </row>
    <row r="1072" spans="2:10" x14ac:dyDescent="0.25">
      <c r="B1072" t="s">
        <v>19452</v>
      </c>
      <c r="C1072" s="16">
        <v>30049049</v>
      </c>
      <c r="D1072" s="16"/>
      <c r="E1072">
        <v>0</v>
      </c>
      <c r="F1072">
        <v>17</v>
      </c>
      <c r="G1072">
        <v>0</v>
      </c>
      <c r="H1072">
        <v>9.9</v>
      </c>
      <c r="I1072">
        <v>2.1</v>
      </c>
      <c r="J1072">
        <v>8</v>
      </c>
    </row>
    <row r="1073" spans="2:10" x14ac:dyDescent="0.25">
      <c r="B1073" t="s">
        <v>2710</v>
      </c>
      <c r="C1073" s="16">
        <v>30049049</v>
      </c>
      <c r="D1073" s="16"/>
      <c r="E1073">
        <v>0</v>
      </c>
      <c r="F1073">
        <v>12</v>
      </c>
      <c r="G1073">
        <v>0</v>
      </c>
      <c r="H1073">
        <v>9.9</v>
      </c>
      <c r="I1073">
        <v>2.1</v>
      </c>
      <c r="J1073">
        <v>8</v>
      </c>
    </row>
    <row r="1074" spans="2:10" x14ac:dyDescent="0.25">
      <c r="B1074" t="s">
        <v>2713</v>
      </c>
      <c r="C1074" s="16">
        <v>30049049</v>
      </c>
      <c r="D1074" s="16"/>
      <c r="E1074">
        <v>0</v>
      </c>
      <c r="F1074">
        <v>19</v>
      </c>
      <c r="G1074">
        <v>0</v>
      </c>
      <c r="H1074">
        <v>9.9</v>
      </c>
      <c r="I1074">
        <v>2.1</v>
      </c>
      <c r="J1074">
        <v>8</v>
      </c>
    </row>
    <row r="1075" spans="2:10" x14ac:dyDescent="0.25">
      <c r="B1075" t="s">
        <v>19453</v>
      </c>
      <c r="C1075" s="16">
        <v>30049049</v>
      </c>
      <c r="D1075" s="16"/>
      <c r="E1075">
        <v>0</v>
      </c>
      <c r="F1075">
        <v>17</v>
      </c>
      <c r="G1075">
        <v>0</v>
      </c>
      <c r="H1075">
        <v>9.9</v>
      </c>
      <c r="I1075">
        <v>2.1</v>
      </c>
      <c r="J1075">
        <v>8</v>
      </c>
    </row>
    <row r="1076" spans="2:10" x14ac:dyDescent="0.25">
      <c r="B1076" t="s">
        <v>19454</v>
      </c>
      <c r="C1076" s="16">
        <v>30049049</v>
      </c>
      <c r="D1076" s="16"/>
      <c r="E1076">
        <v>0</v>
      </c>
      <c r="F1076">
        <v>17</v>
      </c>
      <c r="G1076">
        <v>0</v>
      </c>
      <c r="H1076">
        <v>9.9</v>
      </c>
      <c r="I1076">
        <v>2.1</v>
      </c>
      <c r="J1076">
        <v>8</v>
      </c>
    </row>
    <row r="1077" spans="2:10" x14ac:dyDescent="0.25">
      <c r="B1077" t="s">
        <v>19455</v>
      </c>
      <c r="C1077" s="16">
        <v>30049049</v>
      </c>
      <c r="D1077" s="16"/>
      <c r="E1077">
        <v>0</v>
      </c>
      <c r="F1077">
        <v>17</v>
      </c>
      <c r="G1077">
        <v>0</v>
      </c>
      <c r="H1077">
        <v>9.9</v>
      </c>
      <c r="I1077">
        <v>2.1</v>
      </c>
      <c r="J1077">
        <v>8</v>
      </c>
    </row>
    <row r="1078" spans="2:10" x14ac:dyDescent="0.25">
      <c r="B1078" t="s">
        <v>2712</v>
      </c>
      <c r="C1078" s="16">
        <v>30049049</v>
      </c>
      <c r="D1078" s="16"/>
      <c r="E1078">
        <v>0</v>
      </c>
      <c r="F1078">
        <v>17</v>
      </c>
      <c r="G1078">
        <v>0</v>
      </c>
      <c r="H1078">
        <v>9.9</v>
      </c>
      <c r="I1078">
        <v>2.1</v>
      </c>
      <c r="J1078">
        <v>8</v>
      </c>
    </row>
    <row r="1079" spans="2:10" x14ac:dyDescent="0.25">
      <c r="B1079" t="s">
        <v>2711</v>
      </c>
      <c r="C1079" s="16">
        <v>30049049</v>
      </c>
      <c r="D1079" s="16"/>
      <c r="E1079">
        <v>0</v>
      </c>
      <c r="F1079">
        <v>17</v>
      </c>
      <c r="G1079">
        <v>0</v>
      </c>
      <c r="H1079">
        <v>9.9</v>
      </c>
      <c r="I1079">
        <v>2.1</v>
      </c>
      <c r="J1079">
        <v>8</v>
      </c>
    </row>
    <row r="1080" spans="2:10" x14ac:dyDescent="0.25">
      <c r="B1080" t="s">
        <v>19456</v>
      </c>
      <c r="C1080" s="16">
        <v>30049049</v>
      </c>
      <c r="D1080" s="16"/>
      <c r="E1080">
        <v>0</v>
      </c>
      <c r="F1080">
        <v>17</v>
      </c>
      <c r="G1080">
        <v>0</v>
      </c>
      <c r="H1080">
        <v>9.9</v>
      </c>
      <c r="I1080">
        <v>2.1</v>
      </c>
      <c r="J1080">
        <v>8</v>
      </c>
    </row>
    <row r="1081" spans="2:10" x14ac:dyDescent="0.25">
      <c r="B1081" t="s">
        <v>2709</v>
      </c>
      <c r="C1081" s="16">
        <v>30049049</v>
      </c>
      <c r="D1081" s="16"/>
      <c r="E1081">
        <v>0</v>
      </c>
      <c r="F1081">
        <v>18</v>
      </c>
      <c r="G1081">
        <v>0</v>
      </c>
      <c r="H1081">
        <v>9.9</v>
      </c>
      <c r="I1081">
        <v>2.1</v>
      </c>
      <c r="J1081">
        <v>8</v>
      </c>
    </row>
    <row r="1082" spans="2:10" x14ac:dyDescent="0.25">
      <c r="B1082" t="s">
        <v>19457</v>
      </c>
      <c r="C1082" s="16">
        <v>30049049</v>
      </c>
      <c r="D1082" s="16"/>
      <c r="E1082">
        <v>0</v>
      </c>
      <c r="F1082">
        <v>17</v>
      </c>
      <c r="G1082">
        <v>0</v>
      </c>
      <c r="H1082">
        <v>9.9</v>
      </c>
      <c r="I1082">
        <v>2.1</v>
      </c>
      <c r="J1082">
        <v>8</v>
      </c>
    </row>
    <row r="1083" spans="2:10" x14ac:dyDescent="0.25">
      <c r="B1083" t="s">
        <v>19446</v>
      </c>
      <c r="C1083" s="16">
        <v>30049051</v>
      </c>
      <c r="D1083" s="16"/>
      <c r="E1083">
        <v>0</v>
      </c>
      <c r="F1083">
        <v>17</v>
      </c>
      <c r="G1083">
        <v>0</v>
      </c>
      <c r="H1083">
        <v>9.9</v>
      </c>
      <c r="I1083">
        <v>2.1</v>
      </c>
      <c r="J1083">
        <v>14</v>
      </c>
    </row>
    <row r="1084" spans="2:10" x14ac:dyDescent="0.25">
      <c r="B1084" t="s">
        <v>19448</v>
      </c>
      <c r="C1084" s="16">
        <v>30049051</v>
      </c>
      <c r="D1084" s="16"/>
      <c r="E1084">
        <v>0</v>
      </c>
      <c r="F1084">
        <v>17</v>
      </c>
      <c r="G1084">
        <v>0</v>
      </c>
      <c r="H1084">
        <v>9.9</v>
      </c>
      <c r="I1084">
        <v>2.1</v>
      </c>
      <c r="J1084">
        <v>14</v>
      </c>
    </row>
    <row r="1085" spans="2:10" x14ac:dyDescent="0.25">
      <c r="B1085" t="s">
        <v>2724</v>
      </c>
      <c r="C1085" s="16">
        <v>30049051</v>
      </c>
      <c r="D1085" s="16"/>
      <c r="E1085">
        <v>59</v>
      </c>
      <c r="F1085">
        <v>17</v>
      </c>
      <c r="G1085">
        <v>0</v>
      </c>
      <c r="H1085">
        <v>9.9</v>
      </c>
      <c r="I1085">
        <v>2.1</v>
      </c>
      <c r="J1085">
        <v>14</v>
      </c>
    </row>
    <row r="1086" spans="2:10" x14ac:dyDescent="0.25">
      <c r="B1086" t="s">
        <v>19449</v>
      </c>
      <c r="C1086" s="16">
        <v>30049051</v>
      </c>
      <c r="D1086" s="16"/>
      <c r="E1086">
        <v>0</v>
      </c>
      <c r="F1086">
        <v>17</v>
      </c>
      <c r="G1086">
        <v>0</v>
      </c>
      <c r="H1086">
        <v>9.9</v>
      </c>
      <c r="I1086">
        <v>2.1</v>
      </c>
      <c r="J1086">
        <v>14</v>
      </c>
    </row>
    <row r="1087" spans="2:10" x14ac:dyDescent="0.25">
      <c r="B1087" t="s">
        <v>2720</v>
      </c>
      <c r="C1087" s="16">
        <v>30049051</v>
      </c>
      <c r="D1087" s="16"/>
      <c r="E1087">
        <v>0</v>
      </c>
      <c r="F1087">
        <v>17</v>
      </c>
      <c r="G1087">
        <v>0</v>
      </c>
      <c r="H1087">
        <v>9.9</v>
      </c>
      <c r="I1087">
        <v>2.1</v>
      </c>
      <c r="J1087">
        <v>14</v>
      </c>
    </row>
    <row r="1088" spans="2:10" x14ac:dyDescent="0.25">
      <c r="B1088" t="s">
        <v>2721</v>
      </c>
      <c r="C1088" s="16">
        <v>30049051</v>
      </c>
      <c r="D1088" s="16"/>
      <c r="E1088" t="s">
        <v>19447</v>
      </c>
      <c r="F1088">
        <v>17</v>
      </c>
      <c r="G1088">
        <v>0</v>
      </c>
      <c r="H1088">
        <v>9.9</v>
      </c>
      <c r="I1088">
        <v>2.1</v>
      </c>
      <c r="J1088">
        <v>14</v>
      </c>
    </row>
    <row r="1089" spans="2:10" x14ac:dyDescent="0.25">
      <c r="B1089" t="s">
        <v>2719</v>
      </c>
      <c r="C1089" s="16">
        <v>30049051</v>
      </c>
      <c r="D1089" s="16"/>
      <c r="E1089">
        <v>0</v>
      </c>
      <c r="F1089">
        <v>17</v>
      </c>
      <c r="G1089">
        <v>0</v>
      </c>
      <c r="H1089">
        <v>9.9</v>
      </c>
      <c r="I1089">
        <v>2.1</v>
      </c>
      <c r="J1089">
        <v>14</v>
      </c>
    </row>
    <row r="1090" spans="2:10" x14ac:dyDescent="0.25">
      <c r="B1090" t="s">
        <v>2715</v>
      </c>
      <c r="C1090" s="16">
        <v>30049051</v>
      </c>
      <c r="D1090" s="16"/>
      <c r="E1090">
        <v>0</v>
      </c>
      <c r="F1090">
        <v>17</v>
      </c>
      <c r="G1090">
        <v>0</v>
      </c>
      <c r="H1090">
        <v>9.9</v>
      </c>
      <c r="I1090">
        <v>2.1</v>
      </c>
      <c r="J1090">
        <v>14</v>
      </c>
    </row>
    <row r="1091" spans="2:10" x14ac:dyDescent="0.25">
      <c r="B1091" t="s">
        <v>2716</v>
      </c>
      <c r="C1091" s="16">
        <v>30049051</v>
      </c>
      <c r="D1091" s="16"/>
      <c r="E1091" t="s">
        <v>19447</v>
      </c>
      <c r="F1091">
        <v>17</v>
      </c>
      <c r="G1091">
        <v>0</v>
      </c>
      <c r="H1091">
        <v>9.9</v>
      </c>
      <c r="I1091">
        <v>2.1</v>
      </c>
      <c r="J1091">
        <v>14</v>
      </c>
    </row>
    <row r="1092" spans="2:10" x14ac:dyDescent="0.25">
      <c r="B1092" t="s">
        <v>19450</v>
      </c>
      <c r="C1092" s="16">
        <v>30049051</v>
      </c>
      <c r="D1092" s="16"/>
      <c r="E1092">
        <v>0</v>
      </c>
      <c r="F1092">
        <v>17</v>
      </c>
      <c r="G1092">
        <v>0</v>
      </c>
      <c r="H1092">
        <v>9.9</v>
      </c>
      <c r="I1092">
        <v>2.1</v>
      </c>
      <c r="J1092">
        <v>14</v>
      </c>
    </row>
    <row r="1093" spans="2:10" x14ac:dyDescent="0.25">
      <c r="B1093" t="s">
        <v>2714</v>
      </c>
      <c r="C1093" s="16">
        <v>30049051</v>
      </c>
      <c r="D1093" s="16"/>
      <c r="E1093">
        <v>0</v>
      </c>
      <c r="F1093">
        <v>12</v>
      </c>
      <c r="G1093">
        <v>0</v>
      </c>
      <c r="H1093">
        <v>9.9</v>
      </c>
      <c r="I1093">
        <v>2.1</v>
      </c>
      <c r="J1093">
        <v>14</v>
      </c>
    </row>
    <row r="1094" spans="2:10" x14ac:dyDescent="0.25">
      <c r="B1094" t="s">
        <v>2718</v>
      </c>
      <c r="C1094" s="16">
        <v>30049051</v>
      </c>
      <c r="D1094" s="16"/>
      <c r="E1094">
        <v>0</v>
      </c>
      <c r="F1094">
        <v>17</v>
      </c>
      <c r="G1094">
        <v>0</v>
      </c>
      <c r="H1094">
        <v>9.9</v>
      </c>
      <c r="I1094">
        <v>2.1</v>
      </c>
      <c r="J1094">
        <v>14</v>
      </c>
    </row>
    <row r="1095" spans="2:10" x14ac:dyDescent="0.25">
      <c r="B1095" t="s">
        <v>2717</v>
      </c>
      <c r="C1095" s="16">
        <v>30049051</v>
      </c>
      <c r="D1095" s="16"/>
      <c r="E1095">
        <v>0</v>
      </c>
      <c r="F1095">
        <v>17</v>
      </c>
      <c r="G1095">
        <v>0</v>
      </c>
      <c r="H1095">
        <v>9.9</v>
      </c>
      <c r="I1095">
        <v>2.1</v>
      </c>
      <c r="J1095">
        <v>14</v>
      </c>
    </row>
    <row r="1096" spans="2:10" x14ac:dyDescent="0.25">
      <c r="B1096" t="s">
        <v>2723</v>
      </c>
      <c r="C1096" s="16">
        <v>30049051</v>
      </c>
      <c r="D1096" s="16"/>
      <c r="E1096">
        <v>0</v>
      </c>
      <c r="F1096">
        <v>17</v>
      </c>
      <c r="G1096">
        <v>0</v>
      </c>
      <c r="H1096">
        <v>9.9</v>
      </c>
      <c r="I1096">
        <v>2.1</v>
      </c>
      <c r="J1096">
        <v>14</v>
      </c>
    </row>
    <row r="1097" spans="2:10" x14ac:dyDescent="0.25">
      <c r="B1097" t="s">
        <v>19451</v>
      </c>
      <c r="C1097" s="16">
        <v>30049051</v>
      </c>
      <c r="D1097" s="16"/>
      <c r="E1097">
        <v>0</v>
      </c>
      <c r="F1097">
        <v>17</v>
      </c>
      <c r="G1097">
        <v>0</v>
      </c>
      <c r="H1097">
        <v>9.9</v>
      </c>
      <c r="I1097">
        <v>2.1</v>
      </c>
      <c r="J1097">
        <v>14</v>
      </c>
    </row>
    <row r="1098" spans="2:10" x14ac:dyDescent="0.25">
      <c r="B1098" t="s">
        <v>2722</v>
      </c>
      <c r="C1098" s="16">
        <v>30049051</v>
      </c>
      <c r="D1098" s="16"/>
      <c r="E1098">
        <v>0</v>
      </c>
      <c r="F1098">
        <v>17</v>
      </c>
      <c r="G1098">
        <v>0</v>
      </c>
      <c r="H1098">
        <v>9.9</v>
      </c>
      <c r="I1098">
        <v>2.1</v>
      </c>
      <c r="J1098">
        <v>14</v>
      </c>
    </row>
    <row r="1099" spans="2:10" x14ac:dyDescent="0.25">
      <c r="B1099" t="s">
        <v>19452</v>
      </c>
      <c r="C1099" s="16">
        <v>30049051</v>
      </c>
      <c r="D1099" s="16"/>
      <c r="E1099">
        <v>0</v>
      </c>
      <c r="F1099">
        <v>17</v>
      </c>
      <c r="G1099">
        <v>0</v>
      </c>
      <c r="H1099">
        <v>9.9</v>
      </c>
      <c r="I1099">
        <v>2.1</v>
      </c>
      <c r="J1099">
        <v>14</v>
      </c>
    </row>
    <row r="1100" spans="2:10" x14ac:dyDescent="0.25">
      <c r="B1100" t="s">
        <v>2710</v>
      </c>
      <c r="C1100" s="16">
        <v>30049051</v>
      </c>
      <c r="D1100" s="16"/>
      <c r="E1100">
        <v>0</v>
      </c>
      <c r="F1100">
        <v>12</v>
      </c>
      <c r="G1100">
        <v>0</v>
      </c>
      <c r="H1100">
        <v>9.9</v>
      </c>
      <c r="I1100">
        <v>2.1</v>
      </c>
      <c r="J1100">
        <v>14</v>
      </c>
    </row>
    <row r="1101" spans="2:10" x14ac:dyDescent="0.25">
      <c r="B1101" t="s">
        <v>2713</v>
      </c>
      <c r="C1101" s="16">
        <v>30049051</v>
      </c>
      <c r="D1101" s="16"/>
      <c r="E1101">
        <v>0</v>
      </c>
      <c r="F1101">
        <v>19</v>
      </c>
      <c r="G1101">
        <v>0</v>
      </c>
      <c r="H1101">
        <v>9.9</v>
      </c>
      <c r="I1101">
        <v>2.1</v>
      </c>
      <c r="J1101">
        <v>14</v>
      </c>
    </row>
    <row r="1102" spans="2:10" x14ac:dyDescent="0.25">
      <c r="B1102" t="s">
        <v>19453</v>
      </c>
      <c r="C1102" s="16">
        <v>30049051</v>
      </c>
      <c r="D1102" s="16"/>
      <c r="E1102">
        <v>0</v>
      </c>
      <c r="F1102">
        <v>17</v>
      </c>
      <c r="G1102">
        <v>0</v>
      </c>
      <c r="H1102">
        <v>9.9</v>
      </c>
      <c r="I1102">
        <v>2.1</v>
      </c>
      <c r="J1102">
        <v>14</v>
      </c>
    </row>
    <row r="1103" spans="2:10" x14ac:dyDescent="0.25">
      <c r="B1103" t="s">
        <v>19454</v>
      </c>
      <c r="C1103" s="16">
        <v>30049051</v>
      </c>
      <c r="D1103" s="16"/>
      <c r="E1103">
        <v>0</v>
      </c>
      <c r="F1103">
        <v>17</v>
      </c>
      <c r="G1103">
        <v>0</v>
      </c>
      <c r="H1103">
        <v>9.9</v>
      </c>
      <c r="I1103">
        <v>2.1</v>
      </c>
      <c r="J1103">
        <v>14</v>
      </c>
    </row>
    <row r="1104" spans="2:10" x14ac:dyDescent="0.25">
      <c r="B1104" t="s">
        <v>19455</v>
      </c>
      <c r="C1104" s="16">
        <v>30049051</v>
      </c>
      <c r="D1104" s="16"/>
      <c r="E1104">
        <v>0</v>
      </c>
      <c r="F1104">
        <v>17</v>
      </c>
      <c r="G1104">
        <v>0</v>
      </c>
      <c r="H1104">
        <v>9.9</v>
      </c>
      <c r="I1104">
        <v>2.1</v>
      </c>
      <c r="J1104">
        <v>14</v>
      </c>
    </row>
    <row r="1105" spans="2:10" x14ac:dyDescent="0.25">
      <c r="B1105" t="s">
        <v>2712</v>
      </c>
      <c r="C1105" s="16">
        <v>30049051</v>
      </c>
      <c r="D1105" s="16"/>
      <c r="E1105">
        <v>0</v>
      </c>
      <c r="F1105">
        <v>17</v>
      </c>
      <c r="G1105">
        <v>0</v>
      </c>
      <c r="H1105">
        <v>9.9</v>
      </c>
      <c r="I1105">
        <v>2.1</v>
      </c>
      <c r="J1105">
        <v>14</v>
      </c>
    </row>
    <row r="1106" spans="2:10" x14ac:dyDescent="0.25">
      <c r="B1106" t="s">
        <v>2711</v>
      </c>
      <c r="C1106" s="16">
        <v>30049051</v>
      </c>
      <c r="D1106" s="16"/>
      <c r="E1106">
        <v>0</v>
      </c>
      <c r="F1106">
        <v>17</v>
      </c>
      <c r="G1106">
        <v>0</v>
      </c>
      <c r="H1106">
        <v>9.9</v>
      </c>
      <c r="I1106">
        <v>2.1</v>
      </c>
      <c r="J1106">
        <v>14</v>
      </c>
    </row>
    <row r="1107" spans="2:10" x14ac:dyDescent="0.25">
      <c r="B1107" t="s">
        <v>19456</v>
      </c>
      <c r="C1107" s="16">
        <v>30049051</v>
      </c>
      <c r="D1107" s="16"/>
      <c r="E1107">
        <v>0</v>
      </c>
      <c r="F1107">
        <v>17</v>
      </c>
      <c r="G1107">
        <v>0</v>
      </c>
      <c r="H1107">
        <v>9.9</v>
      </c>
      <c r="I1107">
        <v>2.1</v>
      </c>
      <c r="J1107">
        <v>14</v>
      </c>
    </row>
    <row r="1108" spans="2:10" x14ac:dyDescent="0.25">
      <c r="B1108" t="s">
        <v>2709</v>
      </c>
      <c r="C1108" s="16">
        <v>30049051</v>
      </c>
      <c r="D1108" s="16"/>
      <c r="E1108">
        <v>0</v>
      </c>
      <c r="F1108">
        <v>18</v>
      </c>
      <c r="G1108">
        <v>0</v>
      </c>
      <c r="H1108">
        <v>9.9</v>
      </c>
      <c r="I1108">
        <v>2.1</v>
      </c>
      <c r="J1108">
        <v>14</v>
      </c>
    </row>
    <row r="1109" spans="2:10" x14ac:dyDescent="0.25">
      <c r="B1109" t="s">
        <v>19457</v>
      </c>
      <c r="C1109" s="16">
        <v>30049051</v>
      </c>
      <c r="D1109" s="16"/>
      <c r="E1109">
        <v>0</v>
      </c>
      <c r="F1109">
        <v>17</v>
      </c>
      <c r="G1109">
        <v>0</v>
      </c>
      <c r="H1109">
        <v>9.9</v>
      </c>
      <c r="I1109">
        <v>2.1</v>
      </c>
      <c r="J1109">
        <v>14</v>
      </c>
    </row>
    <row r="1110" spans="2:10" x14ac:dyDescent="0.25">
      <c r="B1110" t="s">
        <v>19446</v>
      </c>
      <c r="C1110" s="16">
        <v>30049054</v>
      </c>
      <c r="D1110" s="16"/>
      <c r="E1110">
        <v>0</v>
      </c>
      <c r="F1110">
        <v>17</v>
      </c>
      <c r="G1110">
        <v>0</v>
      </c>
      <c r="H1110">
        <v>9.9</v>
      </c>
      <c r="I1110">
        <v>2.1</v>
      </c>
      <c r="J1110">
        <v>14</v>
      </c>
    </row>
    <row r="1111" spans="2:10" x14ac:dyDescent="0.25">
      <c r="B1111" t="s">
        <v>19448</v>
      </c>
      <c r="C1111" s="16">
        <v>30049054</v>
      </c>
      <c r="D1111" s="16"/>
      <c r="E1111">
        <v>0</v>
      </c>
      <c r="F1111">
        <v>17</v>
      </c>
      <c r="G1111">
        <v>0</v>
      </c>
      <c r="H1111">
        <v>9.9</v>
      </c>
      <c r="I1111">
        <v>2.1</v>
      </c>
      <c r="J1111">
        <v>14</v>
      </c>
    </row>
    <row r="1112" spans="2:10" x14ac:dyDescent="0.25">
      <c r="B1112" t="s">
        <v>2724</v>
      </c>
      <c r="C1112" s="16">
        <v>30049054</v>
      </c>
      <c r="D1112" s="16"/>
      <c r="E1112">
        <v>59</v>
      </c>
      <c r="F1112">
        <v>17</v>
      </c>
      <c r="G1112">
        <v>0</v>
      </c>
      <c r="H1112">
        <v>9.9</v>
      </c>
      <c r="I1112">
        <v>2.1</v>
      </c>
      <c r="J1112">
        <v>14</v>
      </c>
    </row>
    <row r="1113" spans="2:10" x14ac:dyDescent="0.25">
      <c r="B1113" t="s">
        <v>19449</v>
      </c>
      <c r="C1113" s="16">
        <v>30049054</v>
      </c>
      <c r="D1113" s="16"/>
      <c r="E1113">
        <v>0</v>
      </c>
      <c r="F1113">
        <v>17</v>
      </c>
      <c r="G1113">
        <v>0</v>
      </c>
      <c r="H1113">
        <v>9.9</v>
      </c>
      <c r="I1113">
        <v>2.1</v>
      </c>
      <c r="J1113">
        <v>14</v>
      </c>
    </row>
    <row r="1114" spans="2:10" x14ac:dyDescent="0.25">
      <c r="B1114" t="s">
        <v>2720</v>
      </c>
      <c r="C1114" s="16">
        <v>30049054</v>
      </c>
      <c r="D1114" s="16"/>
      <c r="E1114">
        <v>0</v>
      </c>
      <c r="F1114">
        <v>17</v>
      </c>
      <c r="G1114">
        <v>0</v>
      </c>
      <c r="H1114">
        <v>9.9</v>
      </c>
      <c r="I1114">
        <v>2.1</v>
      </c>
      <c r="J1114">
        <v>14</v>
      </c>
    </row>
    <row r="1115" spans="2:10" x14ac:dyDescent="0.25">
      <c r="B1115" t="s">
        <v>2721</v>
      </c>
      <c r="C1115" s="16">
        <v>30049054</v>
      </c>
      <c r="D1115" s="16"/>
      <c r="E1115" t="s">
        <v>19447</v>
      </c>
      <c r="F1115">
        <v>17</v>
      </c>
      <c r="G1115">
        <v>0</v>
      </c>
      <c r="H1115">
        <v>9.9</v>
      </c>
      <c r="I1115">
        <v>2.1</v>
      </c>
      <c r="J1115">
        <v>14</v>
      </c>
    </row>
    <row r="1116" spans="2:10" x14ac:dyDescent="0.25">
      <c r="B1116" t="s">
        <v>2719</v>
      </c>
      <c r="C1116" s="16">
        <v>30049054</v>
      </c>
      <c r="D1116" s="16"/>
      <c r="E1116">
        <v>0</v>
      </c>
      <c r="F1116">
        <v>17</v>
      </c>
      <c r="G1116">
        <v>0</v>
      </c>
      <c r="H1116">
        <v>9.9</v>
      </c>
      <c r="I1116">
        <v>2.1</v>
      </c>
      <c r="J1116">
        <v>14</v>
      </c>
    </row>
    <row r="1117" spans="2:10" x14ac:dyDescent="0.25">
      <c r="B1117" t="s">
        <v>2715</v>
      </c>
      <c r="C1117" s="16">
        <v>30049054</v>
      </c>
      <c r="D1117" s="16"/>
      <c r="E1117">
        <v>0</v>
      </c>
      <c r="F1117">
        <v>17</v>
      </c>
      <c r="G1117">
        <v>0</v>
      </c>
      <c r="H1117">
        <v>9.9</v>
      </c>
      <c r="I1117">
        <v>2.1</v>
      </c>
      <c r="J1117">
        <v>14</v>
      </c>
    </row>
    <row r="1118" spans="2:10" x14ac:dyDescent="0.25">
      <c r="B1118" t="s">
        <v>2716</v>
      </c>
      <c r="C1118" s="16">
        <v>30049054</v>
      </c>
      <c r="D1118" s="16"/>
      <c r="E1118" t="s">
        <v>19447</v>
      </c>
      <c r="F1118">
        <v>17</v>
      </c>
      <c r="G1118">
        <v>0</v>
      </c>
      <c r="H1118">
        <v>9.9</v>
      </c>
      <c r="I1118">
        <v>2.1</v>
      </c>
      <c r="J1118">
        <v>14</v>
      </c>
    </row>
    <row r="1119" spans="2:10" x14ac:dyDescent="0.25">
      <c r="B1119" t="s">
        <v>19450</v>
      </c>
      <c r="C1119" s="16">
        <v>30049054</v>
      </c>
      <c r="D1119" s="16"/>
      <c r="E1119">
        <v>0</v>
      </c>
      <c r="F1119">
        <v>17</v>
      </c>
      <c r="G1119">
        <v>0</v>
      </c>
      <c r="H1119">
        <v>9.9</v>
      </c>
      <c r="I1119">
        <v>2.1</v>
      </c>
      <c r="J1119">
        <v>14</v>
      </c>
    </row>
    <row r="1120" spans="2:10" x14ac:dyDescent="0.25">
      <c r="B1120" t="s">
        <v>2714</v>
      </c>
      <c r="C1120" s="16">
        <v>30049054</v>
      </c>
      <c r="D1120" s="16"/>
      <c r="E1120">
        <v>0</v>
      </c>
      <c r="F1120">
        <v>12</v>
      </c>
      <c r="G1120">
        <v>0</v>
      </c>
      <c r="H1120">
        <v>9.9</v>
      </c>
      <c r="I1120">
        <v>2.1</v>
      </c>
      <c r="J1120">
        <v>14</v>
      </c>
    </row>
    <row r="1121" spans="2:10" x14ac:dyDescent="0.25">
      <c r="B1121" t="s">
        <v>2718</v>
      </c>
      <c r="C1121" s="16">
        <v>30049054</v>
      </c>
      <c r="D1121" s="16"/>
      <c r="E1121">
        <v>0</v>
      </c>
      <c r="F1121">
        <v>17</v>
      </c>
      <c r="G1121">
        <v>0</v>
      </c>
      <c r="H1121">
        <v>9.9</v>
      </c>
      <c r="I1121">
        <v>2.1</v>
      </c>
      <c r="J1121">
        <v>14</v>
      </c>
    </row>
    <row r="1122" spans="2:10" x14ac:dyDescent="0.25">
      <c r="B1122" t="s">
        <v>2717</v>
      </c>
      <c r="C1122" s="16">
        <v>30049054</v>
      </c>
      <c r="D1122" s="16"/>
      <c r="E1122">
        <v>0</v>
      </c>
      <c r="F1122">
        <v>17</v>
      </c>
      <c r="G1122">
        <v>0</v>
      </c>
      <c r="H1122">
        <v>9.9</v>
      </c>
      <c r="I1122">
        <v>2.1</v>
      </c>
      <c r="J1122">
        <v>14</v>
      </c>
    </row>
    <row r="1123" spans="2:10" x14ac:dyDescent="0.25">
      <c r="B1123" t="s">
        <v>2723</v>
      </c>
      <c r="C1123" s="16">
        <v>30049054</v>
      </c>
      <c r="D1123" s="16"/>
      <c r="E1123">
        <v>0</v>
      </c>
      <c r="F1123">
        <v>17</v>
      </c>
      <c r="G1123">
        <v>0</v>
      </c>
      <c r="H1123">
        <v>9.9</v>
      </c>
      <c r="I1123">
        <v>2.1</v>
      </c>
      <c r="J1123">
        <v>14</v>
      </c>
    </row>
    <row r="1124" spans="2:10" x14ac:dyDescent="0.25">
      <c r="B1124" t="s">
        <v>19451</v>
      </c>
      <c r="C1124" s="16">
        <v>30049054</v>
      </c>
      <c r="D1124" s="16"/>
      <c r="E1124">
        <v>0</v>
      </c>
      <c r="F1124">
        <v>17</v>
      </c>
      <c r="G1124">
        <v>0</v>
      </c>
      <c r="H1124">
        <v>9.9</v>
      </c>
      <c r="I1124">
        <v>2.1</v>
      </c>
      <c r="J1124">
        <v>14</v>
      </c>
    </row>
    <row r="1125" spans="2:10" x14ac:dyDescent="0.25">
      <c r="B1125" t="s">
        <v>2722</v>
      </c>
      <c r="C1125" s="16">
        <v>30049054</v>
      </c>
      <c r="D1125" s="16"/>
      <c r="E1125">
        <v>0</v>
      </c>
      <c r="F1125">
        <v>17</v>
      </c>
      <c r="G1125">
        <v>0</v>
      </c>
      <c r="H1125">
        <v>9.9</v>
      </c>
      <c r="I1125">
        <v>2.1</v>
      </c>
      <c r="J1125">
        <v>14</v>
      </c>
    </row>
    <row r="1126" spans="2:10" x14ac:dyDescent="0.25">
      <c r="B1126" t="s">
        <v>19452</v>
      </c>
      <c r="C1126" s="16">
        <v>30049054</v>
      </c>
      <c r="D1126" s="16"/>
      <c r="E1126">
        <v>0</v>
      </c>
      <c r="F1126">
        <v>17</v>
      </c>
      <c r="G1126">
        <v>0</v>
      </c>
      <c r="H1126">
        <v>9.9</v>
      </c>
      <c r="I1126">
        <v>2.1</v>
      </c>
      <c r="J1126">
        <v>14</v>
      </c>
    </row>
    <row r="1127" spans="2:10" x14ac:dyDescent="0.25">
      <c r="B1127" t="s">
        <v>2710</v>
      </c>
      <c r="C1127" s="16">
        <v>30049054</v>
      </c>
      <c r="D1127" s="16"/>
      <c r="E1127">
        <v>0</v>
      </c>
      <c r="F1127">
        <v>12</v>
      </c>
      <c r="G1127">
        <v>0</v>
      </c>
      <c r="H1127">
        <v>9.9</v>
      </c>
      <c r="I1127">
        <v>2.1</v>
      </c>
      <c r="J1127">
        <v>14</v>
      </c>
    </row>
    <row r="1128" spans="2:10" x14ac:dyDescent="0.25">
      <c r="B1128" t="s">
        <v>2713</v>
      </c>
      <c r="C1128" s="16">
        <v>30049054</v>
      </c>
      <c r="D1128" s="16"/>
      <c r="E1128">
        <v>0</v>
      </c>
      <c r="F1128">
        <v>19</v>
      </c>
      <c r="G1128">
        <v>0</v>
      </c>
      <c r="H1128">
        <v>9.9</v>
      </c>
      <c r="I1128">
        <v>2.1</v>
      </c>
      <c r="J1128">
        <v>14</v>
      </c>
    </row>
    <row r="1129" spans="2:10" x14ac:dyDescent="0.25">
      <c r="B1129" t="s">
        <v>19453</v>
      </c>
      <c r="C1129" s="16">
        <v>30049054</v>
      </c>
      <c r="D1129" s="16"/>
      <c r="E1129">
        <v>0</v>
      </c>
      <c r="F1129">
        <v>17</v>
      </c>
      <c r="G1129">
        <v>0</v>
      </c>
      <c r="H1129">
        <v>9.9</v>
      </c>
      <c r="I1129">
        <v>2.1</v>
      </c>
      <c r="J1129">
        <v>14</v>
      </c>
    </row>
    <row r="1130" spans="2:10" x14ac:dyDescent="0.25">
      <c r="B1130" t="s">
        <v>19454</v>
      </c>
      <c r="C1130" s="16">
        <v>30049054</v>
      </c>
      <c r="D1130" s="16"/>
      <c r="E1130">
        <v>0</v>
      </c>
      <c r="F1130">
        <v>17</v>
      </c>
      <c r="G1130">
        <v>0</v>
      </c>
      <c r="H1130">
        <v>9.9</v>
      </c>
      <c r="I1130">
        <v>2.1</v>
      </c>
      <c r="J1130">
        <v>14</v>
      </c>
    </row>
    <row r="1131" spans="2:10" x14ac:dyDescent="0.25">
      <c r="B1131" t="s">
        <v>19455</v>
      </c>
      <c r="C1131" s="16">
        <v>30049054</v>
      </c>
      <c r="D1131" s="16"/>
      <c r="E1131">
        <v>0</v>
      </c>
      <c r="F1131">
        <v>17</v>
      </c>
      <c r="G1131">
        <v>0</v>
      </c>
      <c r="H1131">
        <v>9.9</v>
      </c>
      <c r="I1131">
        <v>2.1</v>
      </c>
      <c r="J1131">
        <v>14</v>
      </c>
    </row>
    <row r="1132" spans="2:10" x14ac:dyDescent="0.25">
      <c r="B1132" t="s">
        <v>2712</v>
      </c>
      <c r="C1132" s="16">
        <v>30049054</v>
      </c>
      <c r="D1132" s="16"/>
      <c r="E1132">
        <v>0</v>
      </c>
      <c r="F1132">
        <v>17</v>
      </c>
      <c r="G1132">
        <v>0</v>
      </c>
      <c r="H1132">
        <v>9.9</v>
      </c>
      <c r="I1132">
        <v>2.1</v>
      </c>
      <c r="J1132">
        <v>14</v>
      </c>
    </row>
    <row r="1133" spans="2:10" x14ac:dyDescent="0.25">
      <c r="B1133" t="s">
        <v>2711</v>
      </c>
      <c r="C1133" s="16">
        <v>30049054</v>
      </c>
      <c r="D1133" s="16"/>
      <c r="E1133">
        <v>0</v>
      </c>
      <c r="F1133">
        <v>17</v>
      </c>
      <c r="G1133">
        <v>0</v>
      </c>
      <c r="H1133">
        <v>9.9</v>
      </c>
      <c r="I1133">
        <v>2.1</v>
      </c>
      <c r="J1133">
        <v>14</v>
      </c>
    </row>
    <row r="1134" spans="2:10" x14ac:dyDescent="0.25">
      <c r="B1134" t="s">
        <v>19456</v>
      </c>
      <c r="C1134" s="16">
        <v>30049054</v>
      </c>
      <c r="D1134" s="16"/>
      <c r="E1134">
        <v>0</v>
      </c>
      <c r="F1134">
        <v>17</v>
      </c>
      <c r="G1134">
        <v>0</v>
      </c>
      <c r="H1134">
        <v>9.9</v>
      </c>
      <c r="I1134">
        <v>2.1</v>
      </c>
      <c r="J1134">
        <v>14</v>
      </c>
    </row>
    <row r="1135" spans="2:10" x14ac:dyDescent="0.25">
      <c r="B1135" t="s">
        <v>2709</v>
      </c>
      <c r="C1135" s="16">
        <v>30049054</v>
      </c>
      <c r="D1135" s="16"/>
      <c r="E1135">
        <v>0</v>
      </c>
      <c r="F1135">
        <v>18</v>
      </c>
      <c r="G1135">
        <v>0</v>
      </c>
      <c r="H1135">
        <v>9.9</v>
      </c>
      <c r="I1135">
        <v>2.1</v>
      </c>
      <c r="J1135">
        <v>14</v>
      </c>
    </row>
    <row r="1136" spans="2:10" x14ac:dyDescent="0.25">
      <c r="B1136" t="s">
        <v>19457</v>
      </c>
      <c r="C1136" s="16">
        <v>30049054</v>
      </c>
      <c r="D1136" s="16"/>
      <c r="E1136">
        <v>0</v>
      </c>
      <c r="F1136">
        <v>17</v>
      </c>
      <c r="G1136">
        <v>0</v>
      </c>
      <c r="H1136">
        <v>9.9</v>
      </c>
      <c r="I1136">
        <v>2.1</v>
      </c>
      <c r="J1136">
        <v>14</v>
      </c>
    </row>
    <row r="1137" spans="2:10" x14ac:dyDescent="0.25">
      <c r="B1137" t="s">
        <v>19446</v>
      </c>
      <c r="C1137" s="16">
        <v>30049059</v>
      </c>
      <c r="D1137" s="16"/>
      <c r="E1137">
        <v>0</v>
      </c>
      <c r="F1137">
        <v>17</v>
      </c>
      <c r="G1137">
        <v>0</v>
      </c>
      <c r="H1137">
        <v>9.9</v>
      </c>
      <c r="I1137">
        <v>2.1</v>
      </c>
      <c r="J1137">
        <v>8</v>
      </c>
    </row>
    <row r="1138" spans="2:10" x14ac:dyDescent="0.25">
      <c r="B1138" t="s">
        <v>19448</v>
      </c>
      <c r="C1138" s="16">
        <v>30049059</v>
      </c>
      <c r="D1138" s="16"/>
      <c r="E1138">
        <v>0</v>
      </c>
      <c r="F1138">
        <v>17</v>
      </c>
      <c r="G1138">
        <v>0</v>
      </c>
      <c r="H1138">
        <v>9.9</v>
      </c>
      <c r="I1138">
        <v>2.1</v>
      </c>
      <c r="J1138">
        <v>8</v>
      </c>
    </row>
    <row r="1139" spans="2:10" x14ac:dyDescent="0.25">
      <c r="B1139" t="s">
        <v>2724</v>
      </c>
      <c r="C1139" s="16">
        <v>30049059</v>
      </c>
      <c r="D1139" s="16"/>
      <c r="E1139">
        <v>59</v>
      </c>
      <c r="F1139">
        <v>17</v>
      </c>
      <c r="G1139">
        <v>0</v>
      </c>
      <c r="H1139">
        <v>9.9</v>
      </c>
      <c r="I1139">
        <v>2.1</v>
      </c>
      <c r="J1139">
        <v>8</v>
      </c>
    </row>
    <row r="1140" spans="2:10" x14ac:dyDescent="0.25">
      <c r="B1140" t="s">
        <v>19449</v>
      </c>
      <c r="C1140" s="16">
        <v>30049059</v>
      </c>
      <c r="D1140" s="16"/>
      <c r="E1140">
        <v>0</v>
      </c>
      <c r="F1140">
        <v>17</v>
      </c>
      <c r="G1140">
        <v>0</v>
      </c>
      <c r="H1140">
        <v>9.9</v>
      </c>
      <c r="I1140">
        <v>2.1</v>
      </c>
      <c r="J1140">
        <v>8</v>
      </c>
    </row>
    <row r="1141" spans="2:10" x14ac:dyDescent="0.25">
      <c r="B1141" t="s">
        <v>2720</v>
      </c>
      <c r="C1141" s="16">
        <v>30049059</v>
      </c>
      <c r="D1141" s="16"/>
      <c r="E1141">
        <v>0</v>
      </c>
      <c r="F1141">
        <v>17</v>
      </c>
      <c r="G1141">
        <v>0</v>
      </c>
      <c r="H1141">
        <v>9.9</v>
      </c>
      <c r="I1141">
        <v>2.1</v>
      </c>
      <c r="J1141">
        <v>8</v>
      </c>
    </row>
    <row r="1142" spans="2:10" x14ac:dyDescent="0.25">
      <c r="B1142" t="s">
        <v>2721</v>
      </c>
      <c r="C1142" s="16">
        <v>30049059</v>
      </c>
      <c r="D1142" s="16"/>
      <c r="E1142" t="s">
        <v>19447</v>
      </c>
      <c r="F1142">
        <v>17</v>
      </c>
      <c r="G1142">
        <v>0</v>
      </c>
      <c r="H1142">
        <v>9.9</v>
      </c>
      <c r="I1142">
        <v>2.1</v>
      </c>
      <c r="J1142">
        <v>8</v>
      </c>
    </row>
    <row r="1143" spans="2:10" x14ac:dyDescent="0.25">
      <c r="B1143" t="s">
        <v>2719</v>
      </c>
      <c r="C1143" s="16">
        <v>30049059</v>
      </c>
      <c r="D1143" s="16"/>
      <c r="E1143">
        <v>0</v>
      </c>
      <c r="F1143">
        <v>17</v>
      </c>
      <c r="G1143">
        <v>0</v>
      </c>
      <c r="H1143">
        <v>9.9</v>
      </c>
      <c r="I1143">
        <v>2.1</v>
      </c>
      <c r="J1143">
        <v>8</v>
      </c>
    </row>
    <row r="1144" spans="2:10" x14ac:dyDescent="0.25">
      <c r="B1144" t="s">
        <v>2715</v>
      </c>
      <c r="C1144" s="16">
        <v>30049059</v>
      </c>
      <c r="D1144" s="16"/>
      <c r="E1144">
        <v>0</v>
      </c>
      <c r="F1144">
        <v>17</v>
      </c>
      <c r="G1144">
        <v>0</v>
      </c>
      <c r="H1144">
        <v>9.9</v>
      </c>
      <c r="I1144">
        <v>2.1</v>
      </c>
      <c r="J1144">
        <v>8</v>
      </c>
    </row>
    <row r="1145" spans="2:10" x14ac:dyDescent="0.25">
      <c r="B1145" t="s">
        <v>2716</v>
      </c>
      <c r="C1145" s="16">
        <v>30049059</v>
      </c>
      <c r="D1145" s="16"/>
      <c r="E1145" t="s">
        <v>19447</v>
      </c>
      <c r="F1145">
        <v>17</v>
      </c>
      <c r="G1145">
        <v>0</v>
      </c>
      <c r="H1145">
        <v>9.9</v>
      </c>
      <c r="I1145">
        <v>2.1</v>
      </c>
      <c r="J1145">
        <v>8</v>
      </c>
    </row>
    <row r="1146" spans="2:10" x14ac:dyDescent="0.25">
      <c r="B1146" t="s">
        <v>19450</v>
      </c>
      <c r="C1146" s="16">
        <v>30049059</v>
      </c>
      <c r="D1146" s="16"/>
      <c r="E1146">
        <v>0</v>
      </c>
      <c r="F1146">
        <v>17</v>
      </c>
      <c r="G1146">
        <v>0</v>
      </c>
      <c r="H1146">
        <v>9.9</v>
      </c>
      <c r="I1146">
        <v>2.1</v>
      </c>
      <c r="J1146">
        <v>8</v>
      </c>
    </row>
    <row r="1147" spans="2:10" x14ac:dyDescent="0.25">
      <c r="B1147" t="s">
        <v>2714</v>
      </c>
      <c r="C1147" s="16">
        <v>30049059</v>
      </c>
      <c r="D1147" s="16"/>
      <c r="E1147">
        <v>0</v>
      </c>
      <c r="F1147">
        <v>12</v>
      </c>
      <c r="G1147">
        <v>0</v>
      </c>
      <c r="H1147">
        <v>9.9</v>
      </c>
      <c r="I1147">
        <v>2.1</v>
      </c>
      <c r="J1147">
        <v>8</v>
      </c>
    </row>
    <row r="1148" spans="2:10" x14ac:dyDescent="0.25">
      <c r="B1148" t="s">
        <v>2718</v>
      </c>
      <c r="C1148" s="16">
        <v>30049059</v>
      </c>
      <c r="D1148" s="16"/>
      <c r="E1148">
        <v>0</v>
      </c>
      <c r="F1148">
        <v>17</v>
      </c>
      <c r="G1148">
        <v>0</v>
      </c>
      <c r="H1148">
        <v>9.9</v>
      </c>
      <c r="I1148">
        <v>2.1</v>
      </c>
      <c r="J1148">
        <v>8</v>
      </c>
    </row>
    <row r="1149" spans="2:10" x14ac:dyDescent="0.25">
      <c r="B1149" t="s">
        <v>2717</v>
      </c>
      <c r="C1149" s="16">
        <v>30049059</v>
      </c>
      <c r="D1149" s="16"/>
      <c r="E1149">
        <v>0</v>
      </c>
      <c r="F1149">
        <v>17</v>
      </c>
      <c r="G1149">
        <v>0</v>
      </c>
      <c r="H1149">
        <v>9.9</v>
      </c>
      <c r="I1149">
        <v>2.1</v>
      </c>
      <c r="J1149">
        <v>8</v>
      </c>
    </row>
    <row r="1150" spans="2:10" x14ac:dyDescent="0.25">
      <c r="B1150" t="s">
        <v>2723</v>
      </c>
      <c r="C1150" s="16">
        <v>30049059</v>
      </c>
      <c r="D1150" s="16"/>
      <c r="E1150">
        <v>0</v>
      </c>
      <c r="F1150">
        <v>17</v>
      </c>
      <c r="G1150">
        <v>0</v>
      </c>
      <c r="H1150">
        <v>9.9</v>
      </c>
      <c r="I1150">
        <v>2.1</v>
      </c>
      <c r="J1150">
        <v>8</v>
      </c>
    </row>
    <row r="1151" spans="2:10" x14ac:dyDescent="0.25">
      <c r="B1151" t="s">
        <v>19451</v>
      </c>
      <c r="C1151" s="16">
        <v>30049059</v>
      </c>
      <c r="D1151" s="16"/>
      <c r="E1151">
        <v>0</v>
      </c>
      <c r="F1151">
        <v>17</v>
      </c>
      <c r="G1151">
        <v>0</v>
      </c>
      <c r="H1151">
        <v>9.9</v>
      </c>
      <c r="I1151">
        <v>2.1</v>
      </c>
      <c r="J1151">
        <v>8</v>
      </c>
    </row>
    <row r="1152" spans="2:10" x14ac:dyDescent="0.25">
      <c r="B1152" t="s">
        <v>2722</v>
      </c>
      <c r="C1152" s="16">
        <v>30049059</v>
      </c>
      <c r="D1152" s="16"/>
      <c r="E1152">
        <v>0</v>
      </c>
      <c r="F1152">
        <v>17</v>
      </c>
      <c r="G1152">
        <v>0</v>
      </c>
      <c r="H1152">
        <v>9.9</v>
      </c>
      <c r="I1152">
        <v>2.1</v>
      </c>
      <c r="J1152">
        <v>8</v>
      </c>
    </row>
    <row r="1153" spans="2:10" x14ac:dyDescent="0.25">
      <c r="B1153" t="s">
        <v>19452</v>
      </c>
      <c r="C1153" s="16">
        <v>30049059</v>
      </c>
      <c r="D1153" s="16"/>
      <c r="E1153">
        <v>0</v>
      </c>
      <c r="F1153">
        <v>17</v>
      </c>
      <c r="G1153">
        <v>0</v>
      </c>
      <c r="H1153">
        <v>9.9</v>
      </c>
      <c r="I1153">
        <v>2.1</v>
      </c>
      <c r="J1153">
        <v>8</v>
      </c>
    </row>
    <row r="1154" spans="2:10" x14ac:dyDescent="0.25">
      <c r="B1154" t="s">
        <v>2710</v>
      </c>
      <c r="C1154" s="16">
        <v>30049059</v>
      </c>
      <c r="D1154" s="16"/>
      <c r="E1154">
        <v>0</v>
      </c>
      <c r="F1154">
        <v>12</v>
      </c>
      <c r="G1154">
        <v>0</v>
      </c>
      <c r="H1154">
        <v>9.9</v>
      </c>
      <c r="I1154">
        <v>2.1</v>
      </c>
      <c r="J1154">
        <v>8</v>
      </c>
    </row>
    <row r="1155" spans="2:10" x14ac:dyDescent="0.25">
      <c r="B1155" t="s">
        <v>2713</v>
      </c>
      <c r="C1155" s="16">
        <v>30049059</v>
      </c>
      <c r="D1155" s="16"/>
      <c r="E1155">
        <v>0</v>
      </c>
      <c r="F1155">
        <v>19</v>
      </c>
      <c r="G1155">
        <v>0</v>
      </c>
      <c r="H1155">
        <v>9.9</v>
      </c>
      <c r="I1155">
        <v>2.1</v>
      </c>
      <c r="J1155">
        <v>8</v>
      </c>
    </row>
    <row r="1156" spans="2:10" x14ac:dyDescent="0.25">
      <c r="B1156" t="s">
        <v>19453</v>
      </c>
      <c r="C1156" s="16">
        <v>30049059</v>
      </c>
      <c r="D1156" s="16"/>
      <c r="E1156">
        <v>0</v>
      </c>
      <c r="F1156">
        <v>17</v>
      </c>
      <c r="G1156">
        <v>0</v>
      </c>
      <c r="H1156">
        <v>9.9</v>
      </c>
      <c r="I1156">
        <v>2.1</v>
      </c>
      <c r="J1156">
        <v>8</v>
      </c>
    </row>
    <row r="1157" spans="2:10" x14ac:dyDescent="0.25">
      <c r="B1157" t="s">
        <v>19454</v>
      </c>
      <c r="C1157" s="16">
        <v>30049059</v>
      </c>
      <c r="D1157" s="16"/>
      <c r="E1157">
        <v>0</v>
      </c>
      <c r="F1157">
        <v>17</v>
      </c>
      <c r="G1157">
        <v>0</v>
      </c>
      <c r="H1157">
        <v>9.9</v>
      </c>
      <c r="I1157">
        <v>2.1</v>
      </c>
      <c r="J1157">
        <v>8</v>
      </c>
    </row>
    <row r="1158" spans="2:10" x14ac:dyDescent="0.25">
      <c r="B1158" t="s">
        <v>19455</v>
      </c>
      <c r="C1158" s="16">
        <v>30049059</v>
      </c>
      <c r="D1158" s="16"/>
      <c r="E1158">
        <v>0</v>
      </c>
      <c r="F1158">
        <v>17</v>
      </c>
      <c r="G1158">
        <v>0</v>
      </c>
      <c r="H1158">
        <v>9.9</v>
      </c>
      <c r="I1158">
        <v>2.1</v>
      </c>
      <c r="J1158">
        <v>8</v>
      </c>
    </row>
    <row r="1159" spans="2:10" x14ac:dyDescent="0.25">
      <c r="B1159" t="s">
        <v>2712</v>
      </c>
      <c r="C1159" s="16">
        <v>30049059</v>
      </c>
      <c r="D1159" s="16"/>
      <c r="E1159">
        <v>0</v>
      </c>
      <c r="F1159">
        <v>17</v>
      </c>
      <c r="G1159">
        <v>0</v>
      </c>
      <c r="H1159">
        <v>9.9</v>
      </c>
      <c r="I1159">
        <v>2.1</v>
      </c>
      <c r="J1159">
        <v>8</v>
      </c>
    </row>
    <row r="1160" spans="2:10" x14ac:dyDescent="0.25">
      <c r="B1160" t="s">
        <v>2711</v>
      </c>
      <c r="C1160" s="16">
        <v>30049059</v>
      </c>
      <c r="D1160" s="16"/>
      <c r="E1160">
        <v>0</v>
      </c>
      <c r="F1160">
        <v>17</v>
      </c>
      <c r="G1160">
        <v>0</v>
      </c>
      <c r="H1160">
        <v>9.9</v>
      </c>
      <c r="I1160">
        <v>2.1</v>
      </c>
      <c r="J1160">
        <v>8</v>
      </c>
    </row>
    <row r="1161" spans="2:10" x14ac:dyDescent="0.25">
      <c r="B1161" t="s">
        <v>19456</v>
      </c>
      <c r="C1161" s="16">
        <v>30049059</v>
      </c>
      <c r="D1161" s="16"/>
      <c r="E1161">
        <v>0</v>
      </c>
      <c r="F1161">
        <v>17</v>
      </c>
      <c r="G1161">
        <v>0</v>
      </c>
      <c r="H1161">
        <v>9.9</v>
      </c>
      <c r="I1161">
        <v>2.1</v>
      </c>
      <c r="J1161">
        <v>8</v>
      </c>
    </row>
    <row r="1162" spans="2:10" x14ac:dyDescent="0.25">
      <c r="B1162" t="s">
        <v>2709</v>
      </c>
      <c r="C1162" s="16">
        <v>30049059</v>
      </c>
      <c r="D1162" s="16"/>
      <c r="E1162">
        <v>0</v>
      </c>
      <c r="F1162">
        <v>18</v>
      </c>
      <c r="G1162">
        <v>0</v>
      </c>
      <c r="H1162">
        <v>9.9</v>
      </c>
      <c r="I1162">
        <v>2.1</v>
      </c>
      <c r="J1162">
        <v>8</v>
      </c>
    </row>
    <row r="1163" spans="2:10" x14ac:dyDescent="0.25">
      <c r="B1163" t="s">
        <v>19457</v>
      </c>
      <c r="C1163" s="16">
        <v>30049059</v>
      </c>
      <c r="D1163" s="16"/>
      <c r="E1163">
        <v>0</v>
      </c>
      <c r="F1163">
        <v>17</v>
      </c>
      <c r="G1163">
        <v>0</v>
      </c>
      <c r="H1163">
        <v>9.9</v>
      </c>
      <c r="I1163">
        <v>2.1</v>
      </c>
      <c r="J1163">
        <v>8</v>
      </c>
    </row>
    <row r="1164" spans="2:10" x14ac:dyDescent="0.25">
      <c r="B1164" t="s">
        <v>19446</v>
      </c>
      <c r="C1164" s="16">
        <v>30049062</v>
      </c>
      <c r="D1164" s="16"/>
      <c r="E1164">
        <v>0</v>
      </c>
      <c r="F1164">
        <v>17</v>
      </c>
      <c r="G1164">
        <v>0</v>
      </c>
      <c r="H1164">
        <v>9.9</v>
      </c>
      <c r="I1164">
        <v>2.1</v>
      </c>
      <c r="J1164">
        <v>14</v>
      </c>
    </row>
    <row r="1165" spans="2:10" x14ac:dyDescent="0.25">
      <c r="B1165" t="s">
        <v>19448</v>
      </c>
      <c r="C1165" s="16">
        <v>30049062</v>
      </c>
      <c r="D1165" s="16"/>
      <c r="E1165">
        <v>0</v>
      </c>
      <c r="F1165">
        <v>17</v>
      </c>
      <c r="G1165">
        <v>0</v>
      </c>
      <c r="H1165">
        <v>9.9</v>
      </c>
      <c r="I1165">
        <v>2.1</v>
      </c>
      <c r="J1165">
        <v>14</v>
      </c>
    </row>
    <row r="1166" spans="2:10" x14ac:dyDescent="0.25">
      <c r="B1166" t="s">
        <v>2724</v>
      </c>
      <c r="C1166" s="16">
        <v>30049062</v>
      </c>
      <c r="D1166" s="16"/>
      <c r="E1166">
        <v>59</v>
      </c>
      <c r="F1166">
        <v>17</v>
      </c>
      <c r="G1166">
        <v>0</v>
      </c>
      <c r="H1166">
        <v>9.9</v>
      </c>
      <c r="I1166">
        <v>2.1</v>
      </c>
      <c r="J1166">
        <v>14</v>
      </c>
    </row>
    <row r="1167" spans="2:10" x14ac:dyDescent="0.25">
      <c r="B1167" t="s">
        <v>19449</v>
      </c>
      <c r="C1167" s="16">
        <v>30049062</v>
      </c>
      <c r="D1167" s="16"/>
      <c r="E1167">
        <v>0</v>
      </c>
      <c r="F1167">
        <v>17</v>
      </c>
      <c r="G1167">
        <v>0</v>
      </c>
      <c r="H1167">
        <v>9.9</v>
      </c>
      <c r="I1167">
        <v>2.1</v>
      </c>
      <c r="J1167">
        <v>14</v>
      </c>
    </row>
    <row r="1168" spans="2:10" x14ac:dyDescent="0.25">
      <c r="B1168" t="s">
        <v>2720</v>
      </c>
      <c r="C1168" s="16">
        <v>30049062</v>
      </c>
      <c r="D1168" s="16"/>
      <c r="E1168">
        <v>0</v>
      </c>
      <c r="F1168">
        <v>17</v>
      </c>
      <c r="G1168">
        <v>0</v>
      </c>
      <c r="H1168">
        <v>9.9</v>
      </c>
      <c r="I1168">
        <v>2.1</v>
      </c>
      <c r="J1168">
        <v>14</v>
      </c>
    </row>
    <row r="1169" spans="2:10" x14ac:dyDescent="0.25">
      <c r="B1169" t="s">
        <v>2721</v>
      </c>
      <c r="C1169" s="16">
        <v>30049062</v>
      </c>
      <c r="D1169" s="16"/>
      <c r="E1169" t="s">
        <v>19447</v>
      </c>
      <c r="F1169">
        <v>17</v>
      </c>
      <c r="G1169">
        <v>0</v>
      </c>
      <c r="H1169">
        <v>9.9</v>
      </c>
      <c r="I1169">
        <v>2.1</v>
      </c>
      <c r="J1169">
        <v>14</v>
      </c>
    </row>
    <row r="1170" spans="2:10" x14ac:dyDescent="0.25">
      <c r="B1170" t="s">
        <v>2719</v>
      </c>
      <c r="C1170" s="16">
        <v>30049062</v>
      </c>
      <c r="D1170" s="16"/>
      <c r="E1170">
        <v>0</v>
      </c>
      <c r="F1170">
        <v>17</v>
      </c>
      <c r="G1170">
        <v>0</v>
      </c>
      <c r="H1170">
        <v>9.9</v>
      </c>
      <c r="I1170">
        <v>2.1</v>
      </c>
      <c r="J1170">
        <v>14</v>
      </c>
    </row>
    <row r="1171" spans="2:10" x14ac:dyDescent="0.25">
      <c r="B1171" t="s">
        <v>2715</v>
      </c>
      <c r="C1171" s="16">
        <v>30049062</v>
      </c>
      <c r="D1171" s="16"/>
      <c r="E1171">
        <v>0</v>
      </c>
      <c r="F1171">
        <v>17</v>
      </c>
      <c r="G1171">
        <v>0</v>
      </c>
      <c r="H1171">
        <v>9.9</v>
      </c>
      <c r="I1171">
        <v>2.1</v>
      </c>
      <c r="J1171">
        <v>14</v>
      </c>
    </row>
    <row r="1172" spans="2:10" x14ac:dyDescent="0.25">
      <c r="B1172" t="s">
        <v>2716</v>
      </c>
      <c r="C1172" s="16">
        <v>30049062</v>
      </c>
      <c r="D1172" s="16"/>
      <c r="E1172" t="s">
        <v>19447</v>
      </c>
      <c r="F1172">
        <v>17</v>
      </c>
      <c r="G1172">
        <v>0</v>
      </c>
      <c r="H1172">
        <v>9.9</v>
      </c>
      <c r="I1172">
        <v>2.1</v>
      </c>
      <c r="J1172">
        <v>14</v>
      </c>
    </row>
    <row r="1173" spans="2:10" x14ac:dyDescent="0.25">
      <c r="B1173" t="s">
        <v>19450</v>
      </c>
      <c r="C1173" s="16">
        <v>30049062</v>
      </c>
      <c r="D1173" s="16"/>
      <c r="E1173">
        <v>0</v>
      </c>
      <c r="F1173">
        <v>17</v>
      </c>
      <c r="G1173">
        <v>0</v>
      </c>
      <c r="H1173">
        <v>9.9</v>
      </c>
      <c r="I1173">
        <v>2.1</v>
      </c>
      <c r="J1173">
        <v>14</v>
      </c>
    </row>
    <row r="1174" spans="2:10" x14ac:dyDescent="0.25">
      <c r="B1174" t="s">
        <v>2714</v>
      </c>
      <c r="C1174" s="16">
        <v>30049062</v>
      </c>
      <c r="D1174" s="16"/>
      <c r="E1174">
        <v>0</v>
      </c>
      <c r="F1174">
        <v>12</v>
      </c>
      <c r="G1174">
        <v>0</v>
      </c>
      <c r="H1174">
        <v>9.9</v>
      </c>
      <c r="I1174">
        <v>2.1</v>
      </c>
      <c r="J1174">
        <v>14</v>
      </c>
    </row>
    <row r="1175" spans="2:10" x14ac:dyDescent="0.25">
      <c r="B1175" t="s">
        <v>2718</v>
      </c>
      <c r="C1175" s="16">
        <v>30049062</v>
      </c>
      <c r="D1175" s="16"/>
      <c r="E1175">
        <v>0</v>
      </c>
      <c r="F1175">
        <v>17</v>
      </c>
      <c r="G1175">
        <v>0</v>
      </c>
      <c r="H1175">
        <v>9.9</v>
      </c>
      <c r="I1175">
        <v>2.1</v>
      </c>
      <c r="J1175">
        <v>14</v>
      </c>
    </row>
    <row r="1176" spans="2:10" x14ac:dyDescent="0.25">
      <c r="B1176" t="s">
        <v>2717</v>
      </c>
      <c r="C1176" s="16">
        <v>30049062</v>
      </c>
      <c r="D1176" s="16"/>
      <c r="E1176">
        <v>0</v>
      </c>
      <c r="F1176">
        <v>17</v>
      </c>
      <c r="G1176">
        <v>0</v>
      </c>
      <c r="H1176">
        <v>9.9</v>
      </c>
      <c r="I1176">
        <v>2.1</v>
      </c>
      <c r="J1176">
        <v>14</v>
      </c>
    </row>
    <row r="1177" spans="2:10" x14ac:dyDescent="0.25">
      <c r="B1177" t="s">
        <v>2723</v>
      </c>
      <c r="C1177" s="16">
        <v>30049062</v>
      </c>
      <c r="D1177" s="16"/>
      <c r="E1177">
        <v>0</v>
      </c>
      <c r="F1177">
        <v>17</v>
      </c>
      <c r="G1177">
        <v>0</v>
      </c>
      <c r="H1177">
        <v>9.9</v>
      </c>
      <c r="I1177">
        <v>2.1</v>
      </c>
      <c r="J1177">
        <v>14</v>
      </c>
    </row>
    <row r="1178" spans="2:10" x14ac:dyDescent="0.25">
      <c r="B1178" t="s">
        <v>19451</v>
      </c>
      <c r="C1178" s="16">
        <v>30049062</v>
      </c>
      <c r="D1178" s="16"/>
      <c r="E1178">
        <v>0</v>
      </c>
      <c r="F1178">
        <v>17</v>
      </c>
      <c r="G1178">
        <v>0</v>
      </c>
      <c r="H1178">
        <v>9.9</v>
      </c>
      <c r="I1178">
        <v>2.1</v>
      </c>
      <c r="J1178">
        <v>14</v>
      </c>
    </row>
    <row r="1179" spans="2:10" x14ac:dyDescent="0.25">
      <c r="B1179" t="s">
        <v>2722</v>
      </c>
      <c r="C1179" s="16">
        <v>30049062</v>
      </c>
      <c r="D1179" s="16"/>
      <c r="E1179">
        <v>0</v>
      </c>
      <c r="F1179">
        <v>17</v>
      </c>
      <c r="G1179">
        <v>0</v>
      </c>
      <c r="H1179">
        <v>9.9</v>
      </c>
      <c r="I1179">
        <v>2.1</v>
      </c>
      <c r="J1179">
        <v>14</v>
      </c>
    </row>
    <row r="1180" spans="2:10" x14ac:dyDescent="0.25">
      <c r="B1180" t="s">
        <v>19452</v>
      </c>
      <c r="C1180" s="16">
        <v>30049062</v>
      </c>
      <c r="D1180" s="16"/>
      <c r="E1180">
        <v>0</v>
      </c>
      <c r="F1180">
        <v>17</v>
      </c>
      <c r="G1180">
        <v>0</v>
      </c>
      <c r="H1180">
        <v>9.9</v>
      </c>
      <c r="I1180">
        <v>2.1</v>
      </c>
      <c r="J1180">
        <v>14</v>
      </c>
    </row>
    <row r="1181" spans="2:10" x14ac:dyDescent="0.25">
      <c r="B1181" t="s">
        <v>2710</v>
      </c>
      <c r="C1181" s="16">
        <v>30049062</v>
      </c>
      <c r="D1181" s="16"/>
      <c r="E1181">
        <v>0</v>
      </c>
      <c r="F1181">
        <v>12</v>
      </c>
      <c r="G1181">
        <v>0</v>
      </c>
      <c r="H1181">
        <v>9.9</v>
      </c>
      <c r="I1181">
        <v>2.1</v>
      </c>
      <c r="J1181">
        <v>14</v>
      </c>
    </row>
    <row r="1182" spans="2:10" x14ac:dyDescent="0.25">
      <c r="B1182" t="s">
        <v>2713</v>
      </c>
      <c r="C1182" s="16">
        <v>30049062</v>
      </c>
      <c r="D1182" s="16"/>
      <c r="E1182">
        <v>0</v>
      </c>
      <c r="F1182">
        <v>19</v>
      </c>
      <c r="G1182">
        <v>0</v>
      </c>
      <c r="H1182">
        <v>9.9</v>
      </c>
      <c r="I1182">
        <v>2.1</v>
      </c>
      <c r="J1182">
        <v>14</v>
      </c>
    </row>
    <row r="1183" spans="2:10" x14ac:dyDescent="0.25">
      <c r="B1183" t="s">
        <v>19453</v>
      </c>
      <c r="C1183" s="16">
        <v>30049062</v>
      </c>
      <c r="D1183" s="16"/>
      <c r="E1183">
        <v>0</v>
      </c>
      <c r="F1183">
        <v>17</v>
      </c>
      <c r="G1183">
        <v>0</v>
      </c>
      <c r="H1183">
        <v>9.9</v>
      </c>
      <c r="I1183">
        <v>2.1</v>
      </c>
      <c r="J1183">
        <v>14</v>
      </c>
    </row>
    <row r="1184" spans="2:10" x14ac:dyDescent="0.25">
      <c r="B1184" t="s">
        <v>19454</v>
      </c>
      <c r="C1184" s="16">
        <v>30049062</v>
      </c>
      <c r="D1184" s="16"/>
      <c r="E1184">
        <v>0</v>
      </c>
      <c r="F1184">
        <v>17</v>
      </c>
      <c r="G1184">
        <v>0</v>
      </c>
      <c r="H1184">
        <v>9.9</v>
      </c>
      <c r="I1184">
        <v>2.1</v>
      </c>
      <c r="J1184">
        <v>14</v>
      </c>
    </row>
    <row r="1185" spans="2:10" x14ac:dyDescent="0.25">
      <c r="B1185" t="s">
        <v>19455</v>
      </c>
      <c r="C1185" s="16">
        <v>30049062</v>
      </c>
      <c r="D1185" s="16"/>
      <c r="E1185">
        <v>0</v>
      </c>
      <c r="F1185">
        <v>17</v>
      </c>
      <c r="G1185">
        <v>0</v>
      </c>
      <c r="H1185">
        <v>9.9</v>
      </c>
      <c r="I1185">
        <v>2.1</v>
      </c>
      <c r="J1185">
        <v>14</v>
      </c>
    </row>
    <row r="1186" spans="2:10" x14ac:dyDescent="0.25">
      <c r="B1186" t="s">
        <v>2712</v>
      </c>
      <c r="C1186" s="16">
        <v>30049062</v>
      </c>
      <c r="D1186" s="16"/>
      <c r="E1186">
        <v>0</v>
      </c>
      <c r="F1186">
        <v>17</v>
      </c>
      <c r="G1186">
        <v>0</v>
      </c>
      <c r="H1186">
        <v>9.9</v>
      </c>
      <c r="I1186">
        <v>2.1</v>
      </c>
      <c r="J1186">
        <v>14</v>
      </c>
    </row>
    <row r="1187" spans="2:10" x14ac:dyDescent="0.25">
      <c r="B1187" t="s">
        <v>2711</v>
      </c>
      <c r="C1187" s="16">
        <v>30049062</v>
      </c>
      <c r="D1187" s="16"/>
      <c r="E1187">
        <v>0</v>
      </c>
      <c r="F1187">
        <v>17</v>
      </c>
      <c r="G1187">
        <v>0</v>
      </c>
      <c r="H1187">
        <v>9.9</v>
      </c>
      <c r="I1187">
        <v>2.1</v>
      </c>
      <c r="J1187">
        <v>14</v>
      </c>
    </row>
    <row r="1188" spans="2:10" x14ac:dyDescent="0.25">
      <c r="B1188" t="s">
        <v>19456</v>
      </c>
      <c r="C1188" s="16">
        <v>30049062</v>
      </c>
      <c r="D1188" s="16"/>
      <c r="E1188">
        <v>0</v>
      </c>
      <c r="F1188">
        <v>17</v>
      </c>
      <c r="G1188">
        <v>0</v>
      </c>
      <c r="H1188">
        <v>9.9</v>
      </c>
      <c r="I1188">
        <v>2.1</v>
      </c>
      <c r="J1188">
        <v>14</v>
      </c>
    </row>
    <row r="1189" spans="2:10" x14ac:dyDescent="0.25">
      <c r="B1189" t="s">
        <v>2709</v>
      </c>
      <c r="C1189" s="16">
        <v>30049062</v>
      </c>
      <c r="D1189" s="16"/>
      <c r="E1189">
        <v>0</v>
      </c>
      <c r="F1189">
        <v>18</v>
      </c>
      <c r="G1189">
        <v>0</v>
      </c>
      <c r="H1189">
        <v>9.9</v>
      </c>
      <c r="I1189">
        <v>2.1</v>
      </c>
      <c r="J1189">
        <v>14</v>
      </c>
    </row>
    <row r="1190" spans="2:10" x14ac:dyDescent="0.25">
      <c r="B1190" t="s">
        <v>19457</v>
      </c>
      <c r="C1190" s="16">
        <v>30049062</v>
      </c>
      <c r="D1190" s="16"/>
      <c r="E1190">
        <v>0</v>
      </c>
      <c r="F1190">
        <v>17</v>
      </c>
      <c r="G1190">
        <v>0</v>
      </c>
      <c r="H1190">
        <v>9.9</v>
      </c>
      <c r="I1190">
        <v>2.1</v>
      </c>
      <c r="J1190">
        <v>14</v>
      </c>
    </row>
    <row r="1191" spans="2:10" x14ac:dyDescent="0.25">
      <c r="B1191" t="s">
        <v>19446</v>
      </c>
      <c r="C1191" s="16">
        <v>30049067</v>
      </c>
      <c r="D1191" s="16"/>
      <c r="E1191">
        <v>0</v>
      </c>
      <c r="F1191">
        <v>17</v>
      </c>
      <c r="G1191">
        <v>0</v>
      </c>
      <c r="H1191">
        <v>9.9</v>
      </c>
      <c r="I1191">
        <v>2.1</v>
      </c>
      <c r="J1191">
        <v>14</v>
      </c>
    </row>
    <row r="1192" spans="2:10" x14ac:dyDescent="0.25">
      <c r="B1192" t="s">
        <v>19448</v>
      </c>
      <c r="C1192" s="16">
        <v>30049067</v>
      </c>
      <c r="D1192" s="16"/>
      <c r="E1192">
        <v>0</v>
      </c>
      <c r="F1192">
        <v>17</v>
      </c>
      <c r="G1192">
        <v>0</v>
      </c>
      <c r="H1192">
        <v>9.9</v>
      </c>
      <c r="I1192">
        <v>2.1</v>
      </c>
      <c r="J1192">
        <v>14</v>
      </c>
    </row>
    <row r="1193" spans="2:10" x14ac:dyDescent="0.25">
      <c r="B1193" t="s">
        <v>2724</v>
      </c>
      <c r="C1193" s="16">
        <v>30049067</v>
      </c>
      <c r="D1193" s="16"/>
      <c r="E1193">
        <v>59</v>
      </c>
      <c r="F1193">
        <v>17</v>
      </c>
      <c r="G1193">
        <v>0</v>
      </c>
      <c r="H1193">
        <v>9.9</v>
      </c>
      <c r="I1193">
        <v>2.1</v>
      </c>
      <c r="J1193">
        <v>14</v>
      </c>
    </row>
    <row r="1194" spans="2:10" x14ac:dyDescent="0.25">
      <c r="B1194" t="s">
        <v>19449</v>
      </c>
      <c r="C1194" s="16">
        <v>30049067</v>
      </c>
      <c r="D1194" s="16"/>
      <c r="E1194">
        <v>0</v>
      </c>
      <c r="F1194">
        <v>17</v>
      </c>
      <c r="G1194">
        <v>0</v>
      </c>
      <c r="H1194">
        <v>9.9</v>
      </c>
      <c r="I1194">
        <v>2.1</v>
      </c>
      <c r="J1194">
        <v>14</v>
      </c>
    </row>
    <row r="1195" spans="2:10" x14ac:dyDescent="0.25">
      <c r="B1195" t="s">
        <v>2720</v>
      </c>
      <c r="C1195" s="16">
        <v>30049067</v>
      </c>
      <c r="D1195" s="16"/>
      <c r="E1195">
        <v>0</v>
      </c>
      <c r="F1195">
        <v>17</v>
      </c>
      <c r="G1195">
        <v>0</v>
      </c>
      <c r="H1195">
        <v>9.9</v>
      </c>
      <c r="I1195">
        <v>2.1</v>
      </c>
      <c r="J1195">
        <v>14</v>
      </c>
    </row>
    <row r="1196" spans="2:10" x14ac:dyDescent="0.25">
      <c r="B1196" t="s">
        <v>2721</v>
      </c>
      <c r="C1196" s="16">
        <v>30049067</v>
      </c>
      <c r="D1196" s="16"/>
      <c r="E1196" t="s">
        <v>19447</v>
      </c>
      <c r="F1196">
        <v>17</v>
      </c>
      <c r="G1196">
        <v>0</v>
      </c>
      <c r="H1196">
        <v>9.9</v>
      </c>
      <c r="I1196">
        <v>2.1</v>
      </c>
      <c r="J1196">
        <v>14</v>
      </c>
    </row>
    <row r="1197" spans="2:10" x14ac:dyDescent="0.25">
      <c r="B1197" t="s">
        <v>2719</v>
      </c>
      <c r="C1197" s="16">
        <v>30049067</v>
      </c>
      <c r="D1197" s="16"/>
      <c r="E1197">
        <v>0</v>
      </c>
      <c r="F1197">
        <v>17</v>
      </c>
      <c r="G1197">
        <v>0</v>
      </c>
      <c r="H1197">
        <v>9.9</v>
      </c>
      <c r="I1197">
        <v>2.1</v>
      </c>
      <c r="J1197">
        <v>14</v>
      </c>
    </row>
    <row r="1198" spans="2:10" x14ac:dyDescent="0.25">
      <c r="B1198" t="s">
        <v>2715</v>
      </c>
      <c r="C1198" s="16">
        <v>30049067</v>
      </c>
      <c r="D1198" s="16"/>
      <c r="E1198">
        <v>0</v>
      </c>
      <c r="F1198">
        <v>17</v>
      </c>
      <c r="G1198">
        <v>0</v>
      </c>
      <c r="H1198">
        <v>9.9</v>
      </c>
      <c r="I1198">
        <v>2.1</v>
      </c>
      <c r="J1198">
        <v>14</v>
      </c>
    </row>
    <row r="1199" spans="2:10" x14ac:dyDescent="0.25">
      <c r="B1199" t="s">
        <v>2716</v>
      </c>
      <c r="C1199" s="16">
        <v>30049067</v>
      </c>
      <c r="D1199" s="16"/>
      <c r="E1199" t="s">
        <v>19447</v>
      </c>
      <c r="F1199">
        <v>17</v>
      </c>
      <c r="G1199">
        <v>0</v>
      </c>
      <c r="H1199">
        <v>9.9</v>
      </c>
      <c r="I1199">
        <v>2.1</v>
      </c>
      <c r="J1199">
        <v>14</v>
      </c>
    </row>
    <row r="1200" spans="2:10" x14ac:dyDescent="0.25">
      <c r="B1200" t="s">
        <v>19450</v>
      </c>
      <c r="C1200" s="16">
        <v>30049067</v>
      </c>
      <c r="D1200" s="16"/>
      <c r="E1200">
        <v>0</v>
      </c>
      <c r="F1200">
        <v>17</v>
      </c>
      <c r="G1200">
        <v>0</v>
      </c>
      <c r="H1200">
        <v>9.9</v>
      </c>
      <c r="I1200">
        <v>2.1</v>
      </c>
      <c r="J1200">
        <v>14</v>
      </c>
    </row>
    <row r="1201" spans="2:10" x14ac:dyDescent="0.25">
      <c r="B1201" t="s">
        <v>2714</v>
      </c>
      <c r="C1201" s="16">
        <v>30049067</v>
      </c>
      <c r="D1201" s="16"/>
      <c r="E1201">
        <v>0</v>
      </c>
      <c r="F1201">
        <v>12</v>
      </c>
      <c r="G1201">
        <v>0</v>
      </c>
      <c r="H1201">
        <v>9.9</v>
      </c>
      <c r="I1201">
        <v>2.1</v>
      </c>
      <c r="J1201">
        <v>14</v>
      </c>
    </row>
    <row r="1202" spans="2:10" x14ac:dyDescent="0.25">
      <c r="B1202" t="s">
        <v>2718</v>
      </c>
      <c r="C1202" s="16">
        <v>30049067</v>
      </c>
      <c r="D1202" s="16"/>
      <c r="E1202">
        <v>0</v>
      </c>
      <c r="F1202">
        <v>17</v>
      </c>
      <c r="G1202">
        <v>0</v>
      </c>
      <c r="H1202">
        <v>9.9</v>
      </c>
      <c r="I1202">
        <v>2.1</v>
      </c>
      <c r="J1202">
        <v>14</v>
      </c>
    </row>
    <row r="1203" spans="2:10" x14ac:dyDescent="0.25">
      <c r="B1203" t="s">
        <v>2717</v>
      </c>
      <c r="C1203" s="16">
        <v>30049067</v>
      </c>
      <c r="D1203" s="16"/>
      <c r="E1203">
        <v>0</v>
      </c>
      <c r="F1203">
        <v>17</v>
      </c>
      <c r="G1203">
        <v>0</v>
      </c>
      <c r="H1203">
        <v>9.9</v>
      </c>
      <c r="I1203">
        <v>2.1</v>
      </c>
      <c r="J1203">
        <v>14</v>
      </c>
    </row>
    <row r="1204" spans="2:10" x14ac:dyDescent="0.25">
      <c r="B1204" t="s">
        <v>2723</v>
      </c>
      <c r="C1204" s="16">
        <v>30049067</v>
      </c>
      <c r="D1204" s="16"/>
      <c r="E1204">
        <v>0</v>
      </c>
      <c r="F1204">
        <v>17</v>
      </c>
      <c r="G1204">
        <v>0</v>
      </c>
      <c r="H1204">
        <v>9.9</v>
      </c>
      <c r="I1204">
        <v>2.1</v>
      </c>
      <c r="J1204">
        <v>14</v>
      </c>
    </row>
    <row r="1205" spans="2:10" x14ac:dyDescent="0.25">
      <c r="B1205" t="s">
        <v>19451</v>
      </c>
      <c r="C1205" s="16">
        <v>30049067</v>
      </c>
      <c r="D1205" s="16"/>
      <c r="E1205">
        <v>0</v>
      </c>
      <c r="F1205">
        <v>17</v>
      </c>
      <c r="G1205">
        <v>0</v>
      </c>
      <c r="H1205">
        <v>9.9</v>
      </c>
      <c r="I1205">
        <v>2.1</v>
      </c>
      <c r="J1205">
        <v>14</v>
      </c>
    </row>
    <row r="1206" spans="2:10" x14ac:dyDescent="0.25">
      <c r="B1206" t="s">
        <v>2722</v>
      </c>
      <c r="C1206" s="16">
        <v>30049067</v>
      </c>
      <c r="D1206" s="16"/>
      <c r="E1206">
        <v>0</v>
      </c>
      <c r="F1206">
        <v>17</v>
      </c>
      <c r="G1206">
        <v>0</v>
      </c>
      <c r="H1206">
        <v>9.9</v>
      </c>
      <c r="I1206">
        <v>2.1</v>
      </c>
      <c r="J1206">
        <v>14</v>
      </c>
    </row>
    <row r="1207" spans="2:10" x14ac:dyDescent="0.25">
      <c r="B1207" t="s">
        <v>19452</v>
      </c>
      <c r="C1207" s="16">
        <v>30049067</v>
      </c>
      <c r="D1207" s="16"/>
      <c r="E1207">
        <v>0</v>
      </c>
      <c r="F1207">
        <v>17</v>
      </c>
      <c r="G1207">
        <v>0</v>
      </c>
      <c r="H1207">
        <v>9.9</v>
      </c>
      <c r="I1207">
        <v>2.1</v>
      </c>
      <c r="J1207">
        <v>14</v>
      </c>
    </row>
    <row r="1208" spans="2:10" x14ac:dyDescent="0.25">
      <c r="B1208" t="s">
        <v>2710</v>
      </c>
      <c r="C1208" s="16">
        <v>30049067</v>
      </c>
      <c r="D1208" s="16"/>
      <c r="E1208">
        <v>0</v>
      </c>
      <c r="F1208">
        <v>12</v>
      </c>
      <c r="G1208">
        <v>0</v>
      </c>
      <c r="H1208">
        <v>9.9</v>
      </c>
      <c r="I1208">
        <v>2.1</v>
      </c>
      <c r="J1208">
        <v>14</v>
      </c>
    </row>
    <row r="1209" spans="2:10" x14ac:dyDescent="0.25">
      <c r="B1209" t="s">
        <v>2713</v>
      </c>
      <c r="C1209" s="16">
        <v>30049067</v>
      </c>
      <c r="D1209" s="16"/>
      <c r="E1209">
        <v>0</v>
      </c>
      <c r="F1209">
        <v>19</v>
      </c>
      <c r="G1209">
        <v>0</v>
      </c>
      <c r="H1209">
        <v>9.9</v>
      </c>
      <c r="I1209">
        <v>2.1</v>
      </c>
      <c r="J1209">
        <v>14</v>
      </c>
    </row>
    <row r="1210" spans="2:10" x14ac:dyDescent="0.25">
      <c r="B1210" t="s">
        <v>19453</v>
      </c>
      <c r="C1210" s="16">
        <v>30049067</v>
      </c>
      <c r="D1210" s="16"/>
      <c r="E1210">
        <v>0</v>
      </c>
      <c r="F1210">
        <v>17</v>
      </c>
      <c r="G1210">
        <v>0</v>
      </c>
      <c r="H1210">
        <v>9.9</v>
      </c>
      <c r="I1210">
        <v>2.1</v>
      </c>
      <c r="J1210">
        <v>14</v>
      </c>
    </row>
    <row r="1211" spans="2:10" x14ac:dyDescent="0.25">
      <c r="B1211" t="s">
        <v>19454</v>
      </c>
      <c r="C1211" s="16">
        <v>30049067</v>
      </c>
      <c r="D1211" s="16"/>
      <c r="E1211">
        <v>0</v>
      </c>
      <c r="F1211">
        <v>17</v>
      </c>
      <c r="G1211">
        <v>0</v>
      </c>
      <c r="H1211">
        <v>9.9</v>
      </c>
      <c r="I1211">
        <v>2.1</v>
      </c>
      <c r="J1211">
        <v>14</v>
      </c>
    </row>
    <row r="1212" spans="2:10" x14ac:dyDescent="0.25">
      <c r="B1212" t="s">
        <v>19455</v>
      </c>
      <c r="C1212" s="16">
        <v>30049067</v>
      </c>
      <c r="D1212" s="16"/>
      <c r="E1212">
        <v>0</v>
      </c>
      <c r="F1212">
        <v>17</v>
      </c>
      <c r="G1212">
        <v>0</v>
      </c>
      <c r="H1212">
        <v>9.9</v>
      </c>
      <c r="I1212">
        <v>2.1</v>
      </c>
      <c r="J1212">
        <v>14</v>
      </c>
    </row>
    <row r="1213" spans="2:10" x14ac:dyDescent="0.25">
      <c r="B1213" t="s">
        <v>2712</v>
      </c>
      <c r="C1213" s="16">
        <v>30049067</v>
      </c>
      <c r="D1213" s="16"/>
      <c r="E1213">
        <v>0</v>
      </c>
      <c r="F1213">
        <v>17</v>
      </c>
      <c r="G1213">
        <v>0</v>
      </c>
      <c r="H1213">
        <v>9.9</v>
      </c>
      <c r="I1213">
        <v>2.1</v>
      </c>
      <c r="J1213">
        <v>14</v>
      </c>
    </row>
    <row r="1214" spans="2:10" x14ac:dyDescent="0.25">
      <c r="B1214" t="s">
        <v>2711</v>
      </c>
      <c r="C1214" s="16">
        <v>30049067</v>
      </c>
      <c r="D1214" s="16"/>
      <c r="E1214">
        <v>0</v>
      </c>
      <c r="F1214">
        <v>17</v>
      </c>
      <c r="G1214">
        <v>0</v>
      </c>
      <c r="H1214">
        <v>9.9</v>
      </c>
      <c r="I1214">
        <v>2.1</v>
      </c>
      <c r="J1214">
        <v>14</v>
      </c>
    </row>
    <row r="1215" spans="2:10" x14ac:dyDescent="0.25">
      <c r="B1215" t="s">
        <v>19456</v>
      </c>
      <c r="C1215" s="16">
        <v>30049067</v>
      </c>
      <c r="D1215" s="16"/>
      <c r="E1215">
        <v>0</v>
      </c>
      <c r="F1215">
        <v>17</v>
      </c>
      <c r="G1215">
        <v>0</v>
      </c>
      <c r="H1215">
        <v>9.9</v>
      </c>
      <c r="I1215">
        <v>2.1</v>
      </c>
      <c r="J1215">
        <v>14</v>
      </c>
    </row>
    <row r="1216" spans="2:10" x14ac:dyDescent="0.25">
      <c r="B1216" t="s">
        <v>2709</v>
      </c>
      <c r="C1216" s="16">
        <v>30049067</v>
      </c>
      <c r="D1216" s="16"/>
      <c r="E1216">
        <v>0</v>
      </c>
      <c r="F1216">
        <v>18</v>
      </c>
      <c r="G1216">
        <v>0</v>
      </c>
      <c r="H1216">
        <v>9.9</v>
      </c>
      <c r="I1216">
        <v>2.1</v>
      </c>
      <c r="J1216">
        <v>14</v>
      </c>
    </row>
    <row r="1217" spans="2:10" x14ac:dyDescent="0.25">
      <c r="B1217" t="s">
        <v>19457</v>
      </c>
      <c r="C1217" s="16">
        <v>30049067</v>
      </c>
      <c r="D1217" s="16"/>
      <c r="E1217">
        <v>0</v>
      </c>
      <c r="F1217">
        <v>17</v>
      </c>
      <c r="G1217">
        <v>0</v>
      </c>
      <c r="H1217">
        <v>9.9</v>
      </c>
      <c r="I1217">
        <v>2.1</v>
      </c>
      <c r="J1217">
        <v>14</v>
      </c>
    </row>
    <row r="1218" spans="2:10" x14ac:dyDescent="0.25">
      <c r="B1218" t="s">
        <v>19446</v>
      </c>
      <c r="C1218" s="16">
        <v>30049069</v>
      </c>
      <c r="D1218" s="16"/>
      <c r="E1218">
        <v>0</v>
      </c>
      <c r="F1218">
        <v>17</v>
      </c>
      <c r="G1218">
        <v>0</v>
      </c>
      <c r="H1218">
        <v>9.9</v>
      </c>
      <c r="I1218">
        <v>2.1</v>
      </c>
      <c r="J1218">
        <v>8</v>
      </c>
    </row>
    <row r="1219" spans="2:10" x14ac:dyDescent="0.25">
      <c r="B1219" t="s">
        <v>19448</v>
      </c>
      <c r="C1219" s="16">
        <v>30049069</v>
      </c>
      <c r="D1219" s="16"/>
      <c r="E1219">
        <v>0</v>
      </c>
      <c r="F1219">
        <v>17</v>
      </c>
      <c r="G1219">
        <v>0</v>
      </c>
      <c r="H1219">
        <v>9.9</v>
      </c>
      <c r="I1219">
        <v>2.1</v>
      </c>
      <c r="J1219">
        <v>8</v>
      </c>
    </row>
    <row r="1220" spans="2:10" x14ac:dyDescent="0.25">
      <c r="B1220" t="s">
        <v>2724</v>
      </c>
      <c r="C1220" s="16">
        <v>30049069</v>
      </c>
      <c r="D1220" s="16"/>
      <c r="E1220">
        <v>59</v>
      </c>
      <c r="F1220">
        <v>17</v>
      </c>
      <c r="G1220">
        <v>0</v>
      </c>
      <c r="H1220">
        <v>9.9</v>
      </c>
      <c r="I1220">
        <v>2.1</v>
      </c>
      <c r="J1220">
        <v>8</v>
      </c>
    </row>
    <row r="1221" spans="2:10" x14ac:dyDescent="0.25">
      <c r="B1221" t="s">
        <v>19449</v>
      </c>
      <c r="C1221" s="16">
        <v>30049069</v>
      </c>
      <c r="D1221" s="16"/>
      <c r="E1221">
        <v>0</v>
      </c>
      <c r="F1221">
        <v>17</v>
      </c>
      <c r="G1221">
        <v>0</v>
      </c>
      <c r="H1221">
        <v>9.9</v>
      </c>
      <c r="I1221">
        <v>2.1</v>
      </c>
      <c r="J1221">
        <v>8</v>
      </c>
    </row>
    <row r="1222" spans="2:10" x14ac:dyDescent="0.25">
      <c r="B1222" t="s">
        <v>2720</v>
      </c>
      <c r="C1222" s="16">
        <v>30049069</v>
      </c>
      <c r="D1222" s="16"/>
      <c r="E1222">
        <v>0</v>
      </c>
      <c r="F1222">
        <v>17</v>
      </c>
      <c r="G1222">
        <v>0</v>
      </c>
      <c r="H1222">
        <v>9.9</v>
      </c>
      <c r="I1222">
        <v>2.1</v>
      </c>
      <c r="J1222">
        <v>8</v>
      </c>
    </row>
    <row r="1223" spans="2:10" x14ac:dyDescent="0.25">
      <c r="B1223" t="s">
        <v>2721</v>
      </c>
      <c r="C1223" s="16">
        <v>30049069</v>
      </c>
      <c r="D1223" s="16"/>
      <c r="E1223" t="s">
        <v>19447</v>
      </c>
      <c r="F1223">
        <v>17</v>
      </c>
      <c r="G1223">
        <v>0</v>
      </c>
      <c r="H1223">
        <v>9.9</v>
      </c>
      <c r="I1223">
        <v>2.1</v>
      </c>
      <c r="J1223">
        <v>8</v>
      </c>
    </row>
    <row r="1224" spans="2:10" x14ac:dyDescent="0.25">
      <c r="B1224" t="s">
        <v>2719</v>
      </c>
      <c r="C1224" s="16">
        <v>30049069</v>
      </c>
      <c r="D1224" s="16"/>
      <c r="E1224">
        <v>0</v>
      </c>
      <c r="F1224">
        <v>17</v>
      </c>
      <c r="G1224">
        <v>0</v>
      </c>
      <c r="H1224">
        <v>9.9</v>
      </c>
      <c r="I1224">
        <v>2.1</v>
      </c>
      <c r="J1224">
        <v>8</v>
      </c>
    </row>
    <row r="1225" spans="2:10" x14ac:dyDescent="0.25">
      <c r="B1225" t="s">
        <v>2715</v>
      </c>
      <c r="C1225" s="16">
        <v>30049069</v>
      </c>
      <c r="D1225" s="16"/>
      <c r="E1225">
        <v>0</v>
      </c>
      <c r="F1225">
        <v>17</v>
      </c>
      <c r="G1225">
        <v>0</v>
      </c>
      <c r="H1225">
        <v>9.9</v>
      </c>
      <c r="I1225">
        <v>2.1</v>
      </c>
      <c r="J1225">
        <v>8</v>
      </c>
    </row>
    <row r="1226" spans="2:10" x14ac:dyDescent="0.25">
      <c r="B1226" t="s">
        <v>2716</v>
      </c>
      <c r="C1226" s="16">
        <v>30049069</v>
      </c>
      <c r="D1226" s="16"/>
      <c r="E1226" t="s">
        <v>19447</v>
      </c>
      <c r="F1226">
        <v>17</v>
      </c>
      <c r="G1226">
        <v>0</v>
      </c>
      <c r="H1226">
        <v>9.9</v>
      </c>
      <c r="I1226">
        <v>2.1</v>
      </c>
      <c r="J1226">
        <v>8</v>
      </c>
    </row>
    <row r="1227" spans="2:10" x14ac:dyDescent="0.25">
      <c r="B1227" t="s">
        <v>19450</v>
      </c>
      <c r="C1227" s="16">
        <v>30049069</v>
      </c>
      <c r="D1227" s="16"/>
      <c r="E1227">
        <v>0</v>
      </c>
      <c r="F1227">
        <v>17</v>
      </c>
      <c r="G1227">
        <v>0</v>
      </c>
      <c r="H1227">
        <v>9.9</v>
      </c>
      <c r="I1227">
        <v>2.1</v>
      </c>
      <c r="J1227">
        <v>8</v>
      </c>
    </row>
    <row r="1228" spans="2:10" x14ac:dyDescent="0.25">
      <c r="B1228" t="s">
        <v>2714</v>
      </c>
      <c r="C1228" s="16">
        <v>30049069</v>
      </c>
      <c r="D1228" s="16"/>
      <c r="E1228">
        <v>0</v>
      </c>
      <c r="F1228">
        <v>12</v>
      </c>
      <c r="G1228">
        <v>0</v>
      </c>
      <c r="H1228">
        <v>9.9</v>
      </c>
      <c r="I1228">
        <v>2.1</v>
      </c>
      <c r="J1228">
        <v>8</v>
      </c>
    </row>
    <row r="1229" spans="2:10" x14ac:dyDescent="0.25">
      <c r="B1229" t="s">
        <v>2718</v>
      </c>
      <c r="C1229" s="16">
        <v>30049069</v>
      </c>
      <c r="D1229" s="16"/>
      <c r="E1229">
        <v>0</v>
      </c>
      <c r="F1229">
        <v>17</v>
      </c>
      <c r="G1229">
        <v>0</v>
      </c>
      <c r="H1229">
        <v>9.9</v>
      </c>
      <c r="I1229">
        <v>2.1</v>
      </c>
      <c r="J1229">
        <v>8</v>
      </c>
    </row>
    <row r="1230" spans="2:10" x14ac:dyDescent="0.25">
      <c r="B1230" t="s">
        <v>2717</v>
      </c>
      <c r="C1230" s="16">
        <v>30049069</v>
      </c>
      <c r="D1230" s="16"/>
      <c r="E1230">
        <v>0</v>
      </c>
      <c r="F1230">
        <v>17</v>
      </c>
      <c r="G1230">
        <v>0</v>
      </c>
      <c r="H1230">
        <v>9.9</v>
      </c>
      <c r="I1230">
        <v>2.1</v>
      </c>
      <c r="J1230">
        <v>8</v>
      </c>
    </row>
    <row r="1231" spans="2:10" x14ac:dyDescent="0.25">
      <c r="B1231" t="s">
        <v>2723</v>
      </c>
      <c r="C1231" s="16">
        <v>30049069</v>
      </c>
      <c r="D1231" s="16"/>
      <c r="E1231">
        <v>0</v>
      </c>
      <c r="F1231">
        <v>17</v>
      </c>
      <c r="G1231">
        <v>0</v>
      </c>
      <c r="H1231">
        <v>9.9</v>
      </c>
      <c r="I1231">
        <v>2.1</v>
      </c>
      <c r="J1231">
        <v>8</v>
      </c>
    </row>
    <row r="1232" spans="2:10" x14ac:dyDescent="0.25">
      <c r="B1232" t="s">
        <v>19451</v>
      </c>
      <c r="C1232" s="16">
        <v>30049069</v>
      </c>
      <c r="D1232" s="16"/>
      <c r="E1232">
        <v>0</v>
      </c>
      <c r="F1232">
        <v>17</v>
      </c>
      <c r="G1232">
        <v>0</v>
      </c>
      <c r="H1232">
        <v>9.9</v>
      </c>
      <c r="I1232">
        <v>2.1</v>
      </c>
      <c r="J1232">
        <v>8</v>
      </c>
    </row>
    <row r="1233" spans="2:10" x14ac:dyDescent="0.25">
      <c r="B1233" t="s">
        <v>2722</v>
      </c>
      <c r="C1233" s="16">
        <v>30049069</v>
      </c>
      <c r="D1233" s="16"/>
      <c r="E1233">
        <v>0</v>
      </c>
      <c r="F1233">
        <v>17</v>
      </c>
      <c r="G1233">
        <v>0</v>
      </c>
      <c r="H1233">
        <v>9.9</v>
      </c>
      <c r="I1233">
        <v>2.1</v>
      </c>
      <c r="J1233">
        <v>8</v>
      </c>
    </row>
    <row r="1234" spans="2:10" x14ac:dyDescent="0.25">
      <c r="B1234" t="s">
        <v>19452</v>
      </c>
      <c r="C1234" s="16">
        <v>30049069</v>
      </c>
      <c r="D1234" s="16"/>
      <c r="E1234">
        <v>0</v>
      </c>
      <c r="F1234">
        <v>17</v>
      </c>
      <c r="G1234">
        <v>0</v>
      </c>
      <c r="H1234">
        <v>9.9</v>
      </c>
      <c r="I1234">
        <v>2.1</v>
      </c>
      <c r="J1234">
        <v>8</v>
      </c>
    </row>
    <row r="1235" spans="2:10" x14ac:dyDescent="0.25">
      <c r="B1235" t="s">
        <v>2710</v>
      </c>
      <c r="C1235" s="16">
        <v>30049069</v>
      </c>
      <c r="D1235" s="16"/>
      <c r="E1235">
        <v>0</v>
      </c>
      <c r="F1235">
        <v>12</v>
      </c>
      <c r="G1235">
        <v>0</v>
      </c>
      <c r="H1235">
        <v>9.9</v>
      </c>
      <c r="I1235">
        <v>2.1</v>
      </c>
      <c r="J1235">
        <v>8</v>
      </c>
    </row>
    <row r="1236" spans="2:10" x14ac:dyDescent="0.25">
      <c r="B1236" t="s">
        <v>2713</v>
      </c>
      <c r="C1236" s="16">
        <v>30049069</v>
      </c>
      <c r="D1236" s="16"/>
      <c r="E1236">
        <v>0</v>
      </c>
      <c r="F1236">
        <v>19</v>
      </c>
      <c r="G1236">
        <v>0</v>
      </c>
      <c r="H1236">
        <v>9.9</v>
      </c>
      <c r="I1236">
        <v>2.1</v>
      </c>
      <c r="J1236">
        <v>8</v>
      </c>
    </row>
    <row r="1237" spans="2:10" x14ac:dyDescent="0.25">
      <c r="B1237" t="s">
        <v>19453</v>
      </c>
      <c r="C1237" s="16">
        <v>30049069</v>
      </c>
      <c r="D1237" s="16"/>
      <c r="E1237">
        <v>0</v>
      </c>
      <c r="F1237">
        <v>17</v>
      </c>
      <c r="G1237">
        <v>0</v>
      </c>
      <c r="H1237">
        <v>9.9</v>
      </c>
      <c r="I1237">
        <v>2.1</v>
      </c>
      <c r="J1237">
        <v>8</v>
      </c>
    </row>
    <row r="1238" spans="2:10" x14ac:dyDescent="0.25">
      <c r="B1238" t="s">
        <v>19454</v>
      </c>
      <c r="C1238" s="16">
        <v>30049069</v>
      </c>
      <c r="D1238" s="16"/>
      <c r="E1238">
        <v>0</v>
      </c>
      <c r="F1238">
        <v>17</v>
      </c>
      <c r="G1238">
        <v>0</v>
      </c>
      <c r="H1238">
        <v>9.9</v>
      </c>
      <c r="I1238">
        <v>2.1</v>
      </c>
      <c r="J1238">
        <v>8</v>
      </c>
    </row>
    <row r="1239" spans="2:10" x14ac:dyDescent="0.25">
      <c r="B1239" t="s">
        <v>19455</v>
      </c>
      <c r="C1239" s="16">
        <v>30049069</v>
      </c>
      <c r="D1239" s="16"/>
      <c r="E1239">
        <v>0</v>
      </c>
      <c r="F1239">
        <v>17</v>
      </c>
      <c r="G1239">
        <v>0</v>
      </c>
      <c r="H1239">
        <v>9.9</v>
      </c>
      <c r="I1239">
        <v>2.1</v>
      </c>
      <c r="J1239">
        <v>8</v>
      </c>
    </row>
    <row r="1240" spans="2:10" x14ac:dyDescent="0.25">
      <c r="B1240" t="s">
        <v>2712</v>
      </c>
      <c r="C1240" s="16">
        <v>30049069</v>
      </c>
      <c r="D1240" s="16"/>
      <c r="E1240">
        <v>0</v>
      </c>
      <c r="F1240">
        <v>17</v>
      </c>
      <c r="G1240">
        <v>0</v>
      </c>
      <c r="H1240">
        <v>9.9</v>
      </c>
      <c r="I1240">
        <v>2.1</v>
      </c>
      <c r="J1240">
        <v>8</v>
      </c>
    </row>
    <row r="1241" spans="2:10" x14ac:dyDescent="0.25">
      <c r="B1241" t="s">
        <v>2711</v>
      </c>
      <c r="C1241" s="16">
        <v>30049069</v>
      </c>
      <c r="D1241" s="16"/>
      <c r="E1241">
        <v>0</v>
      </c>
      <c r="F1241">
        <v>17</v>
      </c>
      <c r="G1241">
        <v>0</v>
      </c>
      <c r="H1241">
        <v>9.9</v>
      </c>
      <c r="I1241">
        <v>2.1</v>
      </c>
      <c r="J1241">
        <v>8</v>
      </c>
    </row>
    <row r="1242" spans="2:10" x14ac:dyDescent="0.25">
      <c r="B1242" t="s">
        <v>19456</v>
      </c>
      <c r="C1242" s="16">
        <v>30049069</v>
      </c>
      <c r="D1242" s="16"/>
      <c r="E1242">
        <v>0</v>
      </c>
      <c r="F1242">
        <v>17</v>
      </c>
      <c r="G1242">
        <v>0</v>
      </c>
      <c r="H1242">
        <v>9.9</v>
      </c>
      <c r="I1242">
        <v>2.1</v>
      </c>
      <c r="J1242">
        <v>8</v>
      </c>
    </row>
    <row r="1243" spans="2:10" x14ac:dyDescent="0.25">
      <c r="B1243" t="s">
        <v>2709</v>
      </c>
      <c r="C1243" s="16">
        <v>30049069</v>
      </c>
      <c r="D1243" s="16"/>
      <c r="E1243">
        <v>0</v>
      </c>
      <c r="F1243">
        <v>18</v>
      </c>
      <c r="G1243">
        <v>0</v>
      </c>
      <c r="H1243">
        <v>9.9</v>
      </c>
      <c r="I1243">
        <v>2.1</v>
      </c>
      <c r="J1243">
        <v>8</v>
      </c>
    </row>
    <row r="1244" spans="2:10" x14ac:dyDescent="0.25">
      <c r="B1244" t="s">
        <v>19457</v>
      </c>
      <c r="C1244" s="16">
        <v>30049069</v>
      </c>
      <c r="D1244" s="16"/>
      <c r="E1244">
        <v>0</v>
      </c>
      <c r="F1244">
        <v>17</v>
      </c>
      <c r="G1244">
        <v>0</v>
      </c>
      <c r="H1244">
        <v>9.9</v>
      </c>
      <c r="I1244">
        <v>2.1</v>
      </c>
      <c r="J1244">
        <v>8</v>
      </c>
    </row>
    <row r="1245" spans="2:10" x14ac:dyDescent="0.25">
      <c r="B1245" t="s">
        <v>19446</v>
      </c>
      <c r="C1245" s="16">
        <v>30049075</v>
      </c>
      <c r="D1245" s="16"/>
      <c r="E1245">
        <v>0</v>
      </c>
      <c r="F1245">
        <v>17</v>
      </c>
      <c r="G1245">
        <v>0</v>
      </c>
      <c r="H1245">
        <v>9.9</v>
      </c>
      <c r="I1245">
        <v>2.1</v>
      </c>
      <c r="J1245">
        <v>14</v>
      </c>
    </row>
    <row r="1246" spans="2:10" x14ac:dyDescent="0.25">
      <c r="B1246" t="s">
        <v>19448</v>
      </c>
      <c r="C1246" s="16">
        <v>30049075</v>
      </c>
      <c r="D1246" s="16"/>
      <c r="E1246">
        <v>0</v>
      </c>
      <c r="F1246">
        <v>17</v>
      </c>
      <c r="G1246">
        <v>0</v>
      </c>
      <c r="H1246">
        <v>9.9</v>
      </c>
      <c r="I1246">
        <v>2.1</v>
      </c>
      <c r="J1246">
        <v>14</v>
      </c>
    </row>
    <row r="1247" spans="2:10" x14ac:dyDescent="0.25">
      <c r="B1247" t="s">
        <v>2724</v>
      </c>
      <c r="C1247" s="16">
        <v>30049075</v>
      </c>
      <c r="D1247" s="16"/>
      <c r="E1247">
        <v>59</v>
      </c>
      <c r="F1247">
        <v>17</v>
      </c>
      <c r="G1247">
        <v>0</v>
      </c>
      <c r="H1247">
        <v>9.9</v>
      </c>
      <c r="I1247">
        <v>2.1</v>
      </c>
      <c r="J1247">
        <v>14</v>
      </c>
    </row>
    <row r="1248" spans="2:10" x14ac:dyDescent="0.25">
      <c r="B1248" t="s">
        <v>19449</v>
      </c>
      <c r="C1248" s="16">
        <v>30049075</v>
      </c>
      <c r="D1248" s="16"/>
      <c r="E1248">
        <v>0</v>
      </c>
      <c r="F1248">
        <v>17</v>
      </c>
      <c r="G1248">
        <v>0</v>
      </c>
      <c r="H1248">
        <v>9.9</v>
      </c>
      <c r="I1248">
        <v>2.1</v>
      </c>
      <c r="J1248">
        <v>14</v>
      </c>
    </row>
    <row r="1249" spans="2:10" x14ac:dyDescent="0.25">
      <c r="B1249" t="s">
        <v>2720</v>
      </c>
      <c r="C1249" s="16">
        <v>30049075</v>
      </c>
      <c r="D1249" s="16"/>
      <c r="E1249">
        <v>0</v>
      </c>
      <c r="F1249">
        <v>17</v>
      </c>
      <c r="G1249">
        <v>0</v>
      </c>
      <c r="H1249">
        <v>9.9</v>
      </c>
      <c r="I1249">
        <v>2.1</v>
      </c>
      <c r="J1249">
        <v>14</v>
      </c>
    </row>
    <row r="1250" spans="2:10" x14ac:dyDescent="0.25">
      <c r="B1250" t="s">
        <v>2721</v>
      </c>
      <c r="C1250" s="16">
        <v>30049075</v>
      </c>
      <c r="D1250" s="16"/>
      <c r="E1250" t="s">
        <v>19447</v>
      </c>
      <c r="F1250">
        <v>17</v>
      </c>
      <c r="G1250">
        <v>0</v>
      </c>
      <c r="H1250">
        <v>9.9</v>
      </c>
      <c r="I1250">
        <v>2.1</v>
      </c>
      <c r="J1250">
        <v>14</v>
      </c>
    </row>
    <row r="1251" spans="2:10" x14ac:dyDescent="0.25">
      <c r="B1251" t="s">
        <v>2719</v>
      </c>
      <c r="C1251" s="16">
        <v>30049075</v>
      </c>
      <c r="D1251" s="16"/>
      <c r="E1251">
        <v>0</v>
      </c>
      <c r="F1251">
        <v>17</v>
      </c>
      <c r="G1251">
        <v>0</v>
      </c>
      <c r="H1251">
        <v>9.9</v>
      </c>
      <c r="I1251">
        <v>2.1</v>
      </c>
      <c r="J1251">
        <v>14</v>
      </c>
    </row>
    <row r="1252" spans="2:10" x14ac:dyDescent="0.25">
      <c r="B1252" t="s">
        <v>2715</v>
      </c>
      <c r="C1252" s="16">
        <v>30049075</v>
      </c>
      <c r="D1252" s="16"/>
      <c r="E1252">
        <v>0</v>
      </c>
      <c r="F1252">
        <v>17</v>
      </c>
      <c r="G1252">
        <v>0</v>
      </c>
      <c r="H1252">
        <v>9.9</v>
      </c>
      <c r="I1252">
        <v>2.1</v>
      </c>
      <c r="J1252">
        <v>14</v>
      </c>
    </row>
    <row r="1253" spans="2:10" x14ac:dyDescent="0.25">
      <c r="B1253" t="s">
        <v>2716</v>
      </c>
      <c r="C1253" s="16">
        <v>30049075</v>
      </c>
      <c r="D1253" s="16"/>
      <c r="E1253" t="s">
        <v>19447</v>
      </c>
      <c r="F1253">
        <v>17</v>
      </c>
      <c r="G1253">
        <v>0</v>
      </c>
      <c r="H1253">
        <v>9.9</v>
      </c>
      <c r="I1253">
        <v>2.1</v>
      </c>
      <c r="J1253">
        <v>14</v>
      </c>
    </row>
    <row r="1254" spans="2:10" x14ac:dyDescent="0.25">
      <c r="B1254" t="s">
        <v>19450</v>
      </c>
      <c r="C1254" s="16">
        <v>30049075</v>
      </c>
      <c r="D1254" s="16"/>
      <c r="E1254">
        <v>0</v>
      </c>
      <c r="F1254">
        <v>17</v>
      </c>
      <c r="G1254">
        <v>0</v>
      </c>
      <c r="H1254">
        <v>9.9</v>
      </c>
      <c r="I1254">
        <v>2.1</v>
      </c>
      <c r="J1254">
        <v>14</v>
      </c>
    </row>
    <row r="1255" spans="2:10" x14ac:dyDescent="0.25">
      <c r="B1255" t="s">
        <v>2714</v>
      </c>
      <c r="C1255" s="16">
        <v>30049075</v>
      </c>
      <c r="D1255" s="16"/>
      <c r="E1255">
        <v>0</v>
      </c>
      <c r="F1255">
        <v>12</v>
      </c>
      <c r="G1255">
        <v>0</v>
      </c>
      <c r="H1255">
        <v>9.9</v>
      </c>
      <c r="I1255">
        <v>2.1</v>
      </c>
      <c r="J1255">
        <v>14</v>
      </c>
    </row>
    <row r="1256" spans="2:10" x14ac:dyDescent="0.25">
      <c r="B1256" t="s">
        <v>2718</v>
      </c>
      <c r="C1256" s="16">
        <v>30049075</v>
      </c>
      <c r="D1256" s="16"/>
      <c r="E1256">
        <v>0</v>
      </c>
      <c r="F1256">
        <v>17</v>
      </c>
      <c r="G1256">
        <v>0</v>
      </c>
      <c r="H1256">
        <v>9.9</v>
      </c>
      <c r="I1256">
        <v>2.1</v>
      </c>
      <c r="J1256">
        <v>14</v>
      </c>
    </row>
    <row r="1257" spans="2:10" x14ac:dyDescent="0.25">
      <c r="B1257" t="s">
        <v>2717</v>
      </c>
      <c r="C1257" s="16">
        <v>30049075</v>
      </c>
      <c r="D1257" s="16"/>
      <c r="E1257">
        <v>0</v>
      </c>
      <c r="F1257">
        <v>17</v>
      </c>
      <c r="G1257">
        <v>0</v>
      </c>
      <c r="H1257">
        <v>9.9</v>
      </c>
      <c r="I1257">
        <v>2.1</v>
      </c>
      <c r="J1257">
        <v>14</v>
      </c>
    </row>
    <row r="1258" spans="2:10" x14ac:dyDescent="0.25">
      <c r="B1258" t="s">
        <v>2723</v>
      </c>
      <c r="C1258" s="16">
        <v>30049075</v>
      </c>
      <c r="D1258" s="16"/>
      <c r="E1258">
        <v>0</v>
      </c>
      <c r="F1258">
        <v>17</v>
      </c>
      <c r="G1258">
        <v>0</v>
      </c>
      <c r="H1258">
        <v>9.9</v>
      </c>
      <c r="I1258">
        <v>2.1</v>
      </c>
      <c r="J1258">
        <v>14</v>
      </c>
    </row>
    <row r="1259" spans="2:10" x14ac:dyDescent="0.25">
      <c r="B1259" t="s">
        <v>19451</v>
      </c>
      <c r="C1259" s="16">
        <v>30049075</v>
      </c>
      <c r="D1259" s="16"/>
      <c r="E1259">
        <v>0</v>
      </c>
      <c r="F1259">
        <v>17</v>
      </c>
      <c r="G1259">
        <v>0</v>
      </c>
      <c r="H1259">
        <v>9.9</v>
      </c>
      <c r="I1259">
        <v>2.1</v>
      </c>
      <c r="J1259">
        <v>14</v>
      </c>
    </row>
    <row r="1260" spans="2:10" x14ac:dyDescent="0.25">
      <c r="B1260" t="s">
        <v>2722</v>
      </c>
      <c r="C1260" s="16">
        <v>30049075</v>
      </c>
      <c r="D1260" s="16"/>
      <c r="E1260">
        <v>0</v>
      </c>
      <c r="F1260">
        <v>17</v>
      </c>
      <c r="G1260">
        <v>0</v>
      </c>
      <c r="H1260">
        <v>9.9</v>
      </c>
      <c r="I1260">
        <v>2.1</v>
      </c>
      <c r="J1260">
        <v>14</v>
      </c>
    </row>
    <row r="1261" spans="2:10" x14ac:dyDescent="0.25">
      <c r="B1261" t="s">
        <v>19452</v>
      </c>
      <c r="C1261" s="16">
        <v>30049075</v>
      </c>
      <c r="D1261" s="16"/>
      <c r="E1261">
        <v>0</v>
      </c>
      <c r="F1261">
        <v>17</v>
      </c>
      <c r="G1261">
        <v>0</v>
      </c>
      <c r="H1261">
        <v>9.9</v>
      </c>
      <c r="I1261">
        <v>2.1</v>
      </c>
      <c r="J1261">
        <v>14</v>
      </c>
    </row>
    <row r="1262" spans="2:10" x14ac:dyDescent="0.25">
      <c r="B1262" t="s">
        <v>2710</v>
      </c>
      <c r="C1262" s="16">
        <v>30049075</v>
      </c>
      <c r="D1262" s="16"/>
      <c r="E1262">
        <v>0</v>
      </c>
      <c r="F1262">
        <v>12</v>
      </c>
      <c r="G1262">
        <v>0</v>
      </c>
      <c r="H1262">
        <v>9.9</v>
      </c>
      <c r="I1262">
        <v>2.1</v>
      </c>
      <c r="J1262">
        <v>14</v>
      </c>
    </row>
    <row r="1263" spans="2:10" x14ac:dyDescent="0.25">
      <c r="B1263" t="s">
        <v>2713</v>
      </c>
      <c r="C1263" s="16">
        <v>30049075</v>
      </c>
      <c r="D1263" s="16"/>
      <c r="E1263">
        <v>0</v>
      </c>
      <c r="F1263">
        <v>19</v>
      </c>
      <c r="G1263">
        <v>0</v>
      </c>
      <c r="H1263">
        <v>9.9</v>
      </c>
      <c r="I1263">
        <v>2.1</v>
      </c>
      <c r="J1263">
        <v>14</v>
      </c>
    </row>
    <row r="1264" spans="2:10" x14ac:dyDescent="0.25">
      <c r="B1264" t="s">
        <v>19453</v>
      </c>
      <c r="C1264" s="16">
        <v>30049075</v>
      </c>
      <c r="D1264" s="16"/>
      <c r="E1264">
        <v>0</v>
      </c>
      <c r="F1264">
        <v>17</v>
      </c>
      <c r="G1264">
        <v>0</v>
      </c>
      <c r="H1264">
        <v>9.9</v>
      </c>
      <c r="I1264">
        <v>2.1</v>
      </c>
      <c r="J1264">
        <v>14</v>
      </c>
    </row>
    <row r="1265" spans="2:10" x14ac:dyDescent="0.25">
      <c r="B1265" t="s">
        <v>19454</v>
      </c>
      <c r="C1265" s="16">
        <v>30049075</v>
      </c>
      <c r="D1265" s="16"/>
      <c r="E1265">
        <v>0</v>
      </c>
      <c r="F1265">
        <v>17</v>
      </c>
      <c r="G1265">
        <v>0</v>
      </c>
      <c r="H1265">
        <v>9.9</v>
      </c>
      <c r="I1265">
        <v>2.1</v>
      </c>
      <c r="J1265">
        <v>14</v>
      </c>
    </row>
    <row r="1266" spans="2:10" x14ac:dyDescent="0.25">
      <c r="B1266" t="s">
        <v>19455</v>
      </c>
      <c r="C1266" s="16">
        <v>30049075</v>
      </c>
      <c r="D1266" s="16"/>
      <c r="E1266">
        <v>0</v>
      </c>
      <c r="F1266">
        <v>17</v>
      </c>
      <c r="G1266">
        <v>0</v>
      </c>
      <c r="H1266">
        <v>9.9</v>
      </c>
      <c r="I1266">
        <v>2.1</v>
      </c>
      <c r="J1266">
        <v>14</v>
      </c>
    </row>
    <row r="1267" spans="2:10" x14ac:dyDescent="0.25">
      <c r="B1267" t="s">
        <v>2712</v>
      </c>
      <c r="C1267" s="16">
        <v>30049075</v>
      </c>
      <c r="D1267" s="16"/>
      <c r="E1267">
        <v>0</v>
      </c>
      <c r="F1267">
        <v>17</v>
      </c>
      <c r="G1267">
        <v>0</v>
      </c>
      <c r="H1267">
        <v>9.9</v>
      </c>
      <c r="I1267">
        <v>2.1</v>
      </c>
      <c r="J1267">
        <v>14</v>
      </c>
    </row>
    <row r="1268" spans="2:10" x14ac:dyDescent="0.25">
      <c r="B1268" t="s">
        <v>2711</v>
      </c>
      <c r="C1268" s="16">
        <v>30049075</v>
      </c>
      <c r="D1268" s="16"/>
      <c r="E1268">
        <v>0</v>
      </c>
      <c r="F1268">
        <v>17</v>
      </c>
      <c r="G1268">
        <v>0</v>
      </c>
      <c r="H1268">
        <v>9.9</v>
      </c>
      <c r="I1268">
        <v>2.1</v>
      </c>
      <c r="J1268">
        <v>14</v>
      </c>
    </row>
    <row r="1269" spans="2:10" x14ac:dyDescent="0.25">
      <c r="B1269" t="s">
        <v>19456</v>
      </c>
      <c r="C1269" s="16">
        <v>30049075</v>
      </c>
      <c r="D1269" s="16"/>
      <c r="E1269">
        <v>0</v>
      </c>
      <c r="F1269">
        <v>17</v>
      </c>
      <c r="G1269">
        <v>0</v>
      </c>
      <c r="H1269">
        <v>9.9</v>
      </c>
      <c r="I1269">
        <v>2.1</v>
      </c>
      <c r="J1269">
        <v>14</v>
      </c>
    </row>
    <row r="1270" spans="2:10" x14ac:dyDescent="0.25">
      <c r="B1270" t="s">
        <v>2709</v>
      </c>
      <c r="C1270" s="16">
        <v>30049075</v>
      </c>
      <c r="D1270" s="16"/>
      <c r="E1270">
        <v>0</v>
      </c>
      <c r="F1270">
        <v>18</v>
      </c>
      <c r="G1270">
        <v>0</v>
      </c>
      <c r="H1270">
        <v>9.9</v>
      </c>
      <c r="I1270">
        <v>2.1</v>
      </c>
      <c r="J1270">
        <v>14</v>
      </c>
    </row>
    <row r="1271" spans="2:10" x14ac:dyDescent="0.25">
      <c r="B1271" t="s">
        <v>19457</v>
      </c>
      <c r="C1271" s="16">
        <v>30049075</v>
      </c>
      <c r="D1271" s="16"/>
      <c r="E1271">
        <v>0</v>
      </c>
      <c r="F1271">
        <v>17</v>
      </c>
      <c r="G1271">
        <v>0</v>
      </c>
      <c r="H1271">
        <v>9.9</v>
      </c>
      <c r="I1271">
        <v>2.1</v>
      </c>
      <c r="J1271">
        <v>14</v>
      </c>
    </row>
    <row r="1272" spans="2:10" x14ac:dyDescent="0.25">
      <c r="B1272" t="s">
        <v>19446</v>
      </c>
      <c r="C1272" s="16">
        <v>30049077</v>
      </c>
      <c r="D1272" s="16"/>
      <c r="E1272">
        <v>0</v>
      </c>
      <c r="F1272">
        <v>17</v>
      </c>
      <c r="G1272">
        <v>0</v>
      </c>
      <c r="H1272">
        <v>9.9</v>
      </c>
      <c r="I1272">
        <v>2.1</v>
      </c>
      <c r="J1272">
        <v>14</v>
      </c>
    </row>
    <row r="1273" spans="2:10" x14ac:dyDescent="0.25">
      <c r="B1273" t="s">
        <v>19448</v>
      </c>
      <c r="C1273" s="16">
        <v>30049077</v>
      </c>
      <c r="D1273" s="16"/>
      <c r="E1273">
        <v>0</v>
      </c>
      <c r="F1273">
        <v>17</v>
      </c>
      <c r="G1273">
        <v>0</v>
      </c>
      <c r="H1273">
        <v>9.9</v>
      </c>
      <c r="I1273">
        <v>2.1</v>
      </c>
      <c r="J1273">
        <v>14</v>
      </c>
    </row>
    <row r="1274" spans="2:10" x14ac:dyDescent="0.25">
      <c r="B1274" t="s">
        <v>2724</v>
      </c>
      <c r="C1274" s="16">
        <v>30049077</v>
      </c>
      <c r="D1274" s="16"/>
      <c r="E1274">
        <v>59</v>
      </c>
      <c r="F1274">
        <v>17</v>
      </c>
      <c r="G1274">
        <v>0</v>
      </c>
      <c r="H1274">
        <v>9.9</v>
      </c>
      <c r="I1274">
        <v>2.1</v>
      </c>
      <c r="J1274">
        <v>14</v>
      </c>
    </row>
    <row r="1275" spans="2:10" x14ac:dyDescent="0.25">
      <c r="B1275" t="s">
        <v>19449</v>
      </c>
      <c r="C1275" s="16">
        <v>30049077</v>
      </c>
      <c r="D1275" s="16"/>
      <c r="E1275">
        <v>0</v>
      </c>
      <c r="F1275">
        <v>17</v>
      </c>
      <c r="G1275">
        <v>0</v>
      </c>
      <c r="H1275">
        <v>9.9</v>
      </c>
      <c r="I1275">
        <v>2.1</v>
      </c>
      <c r="J1275">
        <v>14</v>
      </c>
    </row>
    <row r="1276" spans="2:10" x14ac:dyDescent="0.25">
      <c r="B1276" t="s">
        <v>2720</v>
      </c>
      <c r="C1276" s="16">
        <v>30049077</v>
      </c>
      <c r="D1276" s="16"/>
      <c r="E1276">
        <v>0</v>
      </c>
      <c r="F1276">
        <v>17</v>
      </c>
      <c r="G1276">
        <v>0</v>
      </c>
      <c r="H1276">
        <v>9.9</v>
      </c>
      <c r="I1276">
        <v>2.1</v>
      </c>
      <c r="J1276">
        <v>14</v>
      </c>
    </row>
    <row r="1277" spans="2:10" x14ac:dyDescent="0.25">
      <c r="B1277" t="s">
        <v>2721</v>
      </c>
      <c r="C1277" s="16">
        <v>30049077</v>
      </c>
      <c r="D1277" s="16"/>
      <c r="E1277" t="s">
        <v>19447</v>
      </c>
      <c r="F1277">
        <v>17</v>
      </c>
      <c r="G1277">
        <v>0</v>
      </c>
      <c r="H1277">
        <v>9.9</v>
      </c>
      <c r="I1277">
        <v>2.1</v>
      </c>
      <c r="J1277">
        <v>14</v>
      </c>
    </row>
    <row r="1278" spans="2:10" x14ac:dyDescent="0.25">
      <c r="B1278" t="s">
        <v>2719</v>
      </c>
      <c r="C1278" s="16">
        <v>30049077</v>
      </c>
      <c r="D1278" s="16"/>
      <c r="E1278">
        <v>0</v>
      </c>
      <c r="F1278">
        <v>17</v>
      </c>
      <c r="G1278">
        <v>0</v>
      </c>
      <c r="H1278">
        <v>9.9</v>
      </c>
      <c r="I1278">
        <v>2.1</v>
      </c>
      <c r="J1278">
        <v>14</v>
      </c>
    </row>
    <row r="1279" spans="2:10" x14ac:dyDescent="0.25">
      <c r="B1279" t="s">
        <v>2715</v>
      </c>
      <c r="C1279" s="16">
        <v>30049077</v>
      </c>
      <c r="D1279" s="16"/>
      <c r="E1279">
        <v>0</v>
      </c>
      <c r="F1279">
        <v>17</v>
      </c>
      <c r="G1279">
        <v>0</v>
      </c>
      <c r="H1279">
        <v>9.9</v>
      </c>
      <c r="I1279">
        <v>2.1</v>
      </c>
      <c r="J1279">
        <v>14</v>
      </c>
    </row>
    <row r="1280" spans="2:10" x14ac:dyDescent="0.25">
      <c r="B1280" t="s">
        <v>2716</v>
      </c>
      <c r="C1280" s="16">
        <v>30049077</v>
      </c>
      <c r="D1280" s="16"/>
      <c r="E1280" t="s">
        <v>19447</v>
      </c>
      <c r="F1280">
        <v>17</v>
      </c>
      <c r="G1280">
        <v>0</v>
      </c>
      <c r="H1280">
        <v>9.9</v>
      </c>
      <c r="I1280">
        <v>2.1</v>
      </c>
      <c r="J1280">
        <v>14</v>
      </c>
    </row>
    <row r="1281" spans="2:10" x14ac:dyDescent="0.25">
      <c r="B1281" t="s">
        <v>19450</v>
      </c>
      <c r="C1281" s="16">
        <v>30049077</v>
      </c>
      <c r="D1281" s="16"/>
      <c r="E1281">
        <v>0</v>
      </c>
      <c r="F1281">
        <v>17</v>
      </c>
      <c r="G1281">
        <v>0</v>
      </c>
      <c r="H1281">
        <v>9.9</v>
      </c>
      <c r="I1281">
        <v>2.1</v>
      </c>
      <c r="J1281">
        <v>14</v>
      </c>
    </row>
    <row r="1282" spans="2:10" x14ac:dyDescent="0.25">
      <c r="B1282" t="s">
        <v>2714</v>
      </c>
      <c r="C1282" s="16">
        <v>30049077</v>
      </c>
      <c r="D1282" s="16"/>
      <c r="E1282">
        <v>0</v>
      </c>
      <c r="F1282">
        <v>12</v>
      </c>
      <c r="G1282">
        <v>0</v>
      </c>
      <c r="H1282">
        <v>9.9</v>
      </c>
      <c r="I1282">
        <v>2.1</v>
      </c>
      <c r="J1282">
        <v>14</v>
      </c>
    </row>
    <row r="1283" spans="2:10" x14ac:dyDescent="0.25">
      <c r="B1283" t="s">
        <v>2718</v>
      </c>
      <c r="C1283" s="16">
        <v>30049077</v>
      </c>
      <c r="D1283" s="16"/>
      <c r="E1283">
        <v>0</v>
      </c>
      <c r="F1283">
        <v>17</v>
      </c>
      <c r="G1283">
        <v>0</v>
      </c>
      <c r="H1283">
        <v>9.9</v>
      </c>
      <c r="I1283">
        <v>2.1</v>
      </c>
      <c r="J1283">
        <v>14</v>
      </c>
    </row>
    <row r="1284" spans="2:10" x14ac:dyDescent="0.25">
      <c r="B1284" t="s">
        <v>2717</v>
      </c>
      <c r="C1284" s="16">
        <v>30049077</v>
      </c>
      <c r="D1284" s="16"/>
      <c r="E1284">
        <v>0</v>
      </c>
      <c r="F1284">
        <v>17</v>
      </c>
      <c r="G1284">
        <v>0</v>
      </c>
      <c r="H1284">
        <v>9.9</v>
      </c>
      <c r="I1284">
        <v>2.1</v>
      </c>
      <c r="J1284">
        <v>14</v>
      </c>
    </row>
    <row r="1285" spans="2:10" x14ac:dyDescent="0.25">
      <c r="B1285" t="s">
        <v>2723</v>
      </c>
      <c r="C1285" s="16">
        <v>30049077</v>
      </c>
      <c r="D1285" s="16"/>
      <c r="E1285">
        <v>0</v>
      </c>
      <c r="F1285">
        <v>17</v>
      </c>
      <c r="G1285">
        <v>0</v>
      </c>
      <c r="H1285">
        <v>9.9</v>
      </c>
      <c r="I1285">
        <v>2.1</v>
      </c>
      <c r="J1285">
        <v>14</v>
      </c>
    </row>
    <row r="1286" spans="2:10" x14ac:dyDescent="0.25">
      <c r="B1286" t="s">
        <v>19451</v>
      </c>
      <c r="C1286" s="16">
        <v>30049077</v>
      </c>
      <c r="D1286" s="16"/>
      <c r="E1286">
        <v>0</v>
      </c>
      <c r="F1286">
        <v>17</v>
      </c>
      <c r="G1286">
        <v>0</v>
      </c>
      <c r="H1286">
        <v>9.9</v>
      </c>
      <c r="I1286">
        <v>2.1</v>
      </c>
      <c r="J1286">
        <v>14</v>
      </c>
    </row>
    <row r="1287" spans="2:10" x14ac:dyDescent="0.25">
      <c r="B1287" t="s">
        <v>2722</v>
      </c>
      <c r="C1287" s="16">
        <v>30049077</v>
      </c>
      <c r="D1287" s="16"/>
      <c r="E1287">
        <v>0</v>
      </c>
      <c r="F1287">
        <v>17</v>
      </c>
      <c r="G1287">
        <v>0</v>
      </c>
      <c r="H1287">
        <v>9.9</v>
      </c>
      <c r="I1287">
        <v>2.1</v>
      </c>
      <c r="J1287">
        <v>14</v>
      </c>
    </row>
    <row r="1288" spans="2:10" x14ac:dyDescent="0.25">
      <c r="B1288" t="s">
        <v>19452</v>
      </c>
      <c r="C1288" s="16">
        <v>30049077</v>
      </c>
      <c r="D1288" s="16"/>
      <c r="E1288">
        <v>0</v>
      </c>
      <c r="F1288">
        <v>17</v>
      </c>
      <c r="G1288">
        <v>0</v>
      </c>
      <c r="H1288">
        <v>9.9</v>
      </c>
      <c r="I1288">
        <v>2.1</v>
      </c>
      <c r="J1288">
        <v>14</v>
      </c>
    </row>
    <row r="1289" spans="2:10" x14ac:dyDescent="0.25">
      <c r="B1289" t="s">
        <v>2710</v>
      </c>
      <c r="C1289" s="16">
        <v>30049077</v>
      </c>
      <c r="D1289" s="16"/>
      <c r="E1289">
        <v>0</v>
      </c>
      <c r="F1289">
        <v>12</v>
      </c>
      <c r="G1289">
        <v>0</v>
      </c>
      <c r="H1289">
        <v>9.9</v>
      </c>
      <c r="I1289">
        <v>2.1</v>
      </c>
      <c r="J1289">
        <v>14</v>
      </c>
    </row>
    <row r="1290" spans="2:10" x14ac:dyDescent="0.25">
      <c r="B1290" t="s">
        <v>2713</v>
      </c>
      <c r="C1290" s="16">
        <v>30049077</v>
      </c>
      <c r="D1290" s="16"/>
      <c r="E1290">
        <v>0</v>
      </c>
      <c r="F1290">
        <v>19</v>
      </c>
      <c r="G1290">
        <v>0</v>
      </c>
      <c r="H1290">
        <v>9.9</v>
      </c>
      <c r="I1290">
        <v>2.1</v>
      </c>
      <c r="J1290">
        <v>14</v>
      </c>
    </row>
    <row r="1291" spans="2:10" x14ac:dyDescent="0.25">
      <c r="B1291" t="s">
        <v>19453</v>
      </c>
      <c r="C1291" s="16">
        <v>30049077</v>
      </c>
      <c r="D1291" s="16"/>
      <c r="E1291">
        <v>0</v>
      </c>
      <c r="F1291">
        <v>17</v>
      </c>
      <c r="G1291">
        <v>0</v>
      </c>
      <c r="H1291">
        <v>9.9</v>
      </c>
      <c r="I1291">
        <v>2.1</v>
      </c>
      <c r="J1291">
        <v>14</v>
      </c>
    </row>
    <row r="1292" spans="2:10" x14ac:dyDescent="0.25">
      <c r="B1292" t="s">
        <v>19454</v>
      </c>
      <c r="C1292" s="16">
        <v>30049077</v>
      </c>
      <c r="D1292" s="16"/>
      <c r="E1292">
        <v>0</v>
      </c>
      <c r="F1292">
        <v>17</v>
      </c>
      <c r="G1292">
        <v>0</v>
      </c>
      <c r="H1292">
        <v>9.9</v>
      </c>
      <c r="I1292">
        <v>2.1</v>
      </c>
      <c r="J1292">
        <v>14</v>
      </c>
    </row>
    <row r="1293" spans="2:10" x14ac:dyDescent="0.25">
      <c r="B1293" t="s">
        <v>19455</v>
      </c>
      <c r="C1293" s="16">
        <v>30049077</v>
      </c>
      <c r="D1293" s="16"/>
      <c r="E1293">
        <v>0</v>
      </c>
      <c r="F1293">
        <v>17</v>
      </c>
      <c r="G1293">
        <v>0</v>
      </c>
      <c r="H1293">
        <v>9.9</v>
      </c>
      <c r="I1293">
        <v>2.1</v>
      </c>
      <c r="J1293">
        <v>14</v>
      </c>
    </row>
    <row r="1294" spans="2:10" x14ac:dyDescent="0.25">
      <c r="B1294" t="s">
        <v>2712</v>
      </c>
      <c r="C1294" s="16">
        <v>30049077</v>
      </c>
      <c r="D1294" s="16"/>
      <c r="E1294">
        <v>0</v>
      </c>
      <c r="F1294">
        <v>17</v>
      </c>
      <c r="G1294">
        <v>0</v>
      </c>
      <c r="H1294">
        <v>9.9</v>
      </c>
      <c r="I1294">
        <v>2.1</v>
      </c>
      <c r="J1294">
        <v>14</v>
      </c>
    </row>
    <row r="1295" spans="2:10" x14ac:dyDescent="0.25">
      <c r="B1295" t="s">
        <v>2711</v>
      </c>
      <c r="C1295" s="16">
        <v>30049077</v>
      </c>
      <c r="D1295" s="16"/>
      <c r="E1295">
        <v>0</v>
      </c>
      <c r="F1295">
        <v>17</v>
      </c>
      <c r="G1295">
        <v>0</v>
      </c>
      <c r="H1295">
        <v>9.9</v>
      </c>
      <c r="I1295">
        <v>2.1</v>
      </c>
      <c r="J1295">
        <v>14</v>
      </c>
    </row>
    <row r="1296" spans="2:10" x14ac:dyDescent="0.25">
      <c r="B1296" t="s">
        <v>19456</v>
      </c>
      <c r="C1296" s="16">
        <v>30049077</v>
      </c>
      <c r="D1296" s="16"/>
      <c r="E1296">
        <v>0</v>
      </c>
      <c r="F1296">
        <v>17</v>
      </c>
      <c r="G1296">
        <v>0</v>
      </c>
      <c r="H1296">
        <v>9.9</v>
      </c>
      <c r="I1296">
        <v>2.1</v>
      </c>
      <c r="J1296">
        <v>14</v>
      </c>
    </row>
    <row r="1297" spans="2:12" x14ac:dyDescent="0.25">
      <c r="B1297" t="s">
        <v>2709</v>
      </c>
      <c r="C1297" s="16">
        <v>30049077</v>
      </c>
      <c r="D1297" s="16"/>
      <c r="E1297">
        <v>0</v>
      </c>
      <c r="F1297">
        <v>18</v>
      </c>
      <c r="G1297">
        <v>0</v>
      </c>
      <c r="H1297">
        <v>9.9</v>
      </c>
      <c r="I1297">
        <v>2.1</v>
      </c>
      <c r="J1297">
        <v>14</v>
      </c>
    </row>
    <row r="1298" spans="2:12" x14ac:dyDescent="0.25">
      <c r="B1298" t="s">
        <v>19457</v>
      </c>
      <c r="C1298" s="16">
        <v>30049077</v>
      </c>
      <c r="D1298" s="16"/>
      <c r="E1298">
        <v>0</v>
      </c>
      <c r="F1298">
        <v>17</v>
      </c>
      <c r="G1298">
        <v>0</v>
      </c>
      <c r="H1298">
        <v>9.9</v>
      </c>
      <c r="I1298">
        <v>2.1</v>
      </c>
      <c r="J1298">
        <v>14</v>
      </c>
    </row>
    <row r="1299" spans="2:12" x14ac:dyDescent="0.25">
      <c r="B1299" t="s">
        <v>19446</v>
      </c>
      <c r="C1299" s="16" t="s">
        <v>13174</v>
      </c>
      <c r="D1299" s="16"/>
      <c r="F1299">
        <v>18</v>
      </c>
      <c r="L1299">
        <v>30049078</v>
      </c>
    </row>
    <row r="1300" spans="2:12" x14ac:dyDescent="0.25">
      <c r="B1300" t="s">
        <v>19448</v>
      </c>
      <c r="C1300" s="16" t="s">
        <v>13174</v>
      </c>
      <c r="D1300" s="16"/>
      <c r="F1300">
        <v>17</v>
      </c>
    </row>
    <row r="1301" spans="2:12" x14ac:dyDescent="0.25">
      <c r="B1301" t="s">
        <v>2724</v>
      </c>
      <c r="C1301" s="16" t="s">
        <v>13174</v>
      </c>
      <c r="D1301" s="16"/>
      <c r="F1301">
        <v>17</v>
      </c>
    </row>
    <row r="1302" spans="2:12" x14ac:dyDescent="0.25">
      <c r="B1302" t="s">
        <v>19449</v>
      </c>
      <c r="C1302" s="16" t="s">
        <v>13174</v>
      </c>
      <c r="D1302" s="16"/>
      <c r="F1302">
        <v>17</v>
      </c>
    </row>
    <row r="1303" spans="2:12" x14ac:dyDescent="0.25">
      <c r="B1303" t="s">
        <v>2720</v>
      </c>
      <c r="C1303" s="16" t="s">
        <v>13174</v>
      </c>
      <c r="D1303" s="16"/>
      <c r="F1303">
        <v>17</v>
      </c>
    </row>
    <row r="1304" spans="2:12" x14ac:dyDescent="0.25">
      <c r="B1304" t="s">
        <v>2721</v>
      </c>
      <c r="C1304" s="16" t="s">
        <v>13174</v>
      </c>
      <c r="D1304" s="16"/>
      <c r="F1304">
        <v>17</v>
      </c>
    </row>
    <row r="1305" spans="2:12" x14ac:dyDescent="0.25">
      <c r="B1305" t="s">
        <v>2719</v>
      </c>
      <c r="C1305" s="16" t="s">
        <v>13174</v>
      </c>
      <c r="D1305" s="16"/>
      <c r="F1305">
        <v>17</v>
      </c>
    </row>
    <row r="1306" spans="2:12" x14ac:dyDescent="0.25">
      <c r="B1306" t="s">
        <v>2715</v>
      </c>
      <c r="C1306" s="16" t="s">
        <v>13174</v>
      </c>
      <c r="D1306" s="16"/>
      <c r="F1306">
        <v>17</v>
      </c>
    </row>
    <row r="1307" spans="2:12" x14ac:dyDescent="0.25">
      <c r="B1307" t="s">
        <v>2716</v>
      </c>
      <c r="C1307" s="16" t="s">
        <v>13174</v>
      </c>
      <c r="D1307" s="16"/>
      <c r="F1307">
        <v>17</v>
      </c>
    </row>
    <row r="1308" spans="2:12" x14ac:dyDescent="0.25">
      <c r="B1308" t="s">
        <v>19450</v>
      </c>
      <c r="C1308" s="16" t="s">
        <v>13174</v>
      </c>
      <c r="D1308" s="16"/>
      <c r="F1308">
        <v>17</v>
      </c>
    </row>
    <row r="1309" spans="2:12" x14ac:dyDescent="0.25">
      <c r="B1309" t="s">
        <v>2714</v>
      </c>
      <c r="C1309" s="16" t="s">
        <v>13174</v>
      </c>
      <c r="D1309" s="16"/>
      <c r="F1309">
        <v>12</v>
      </c>
    </row>
    <row r="1310" spans="2:12" x14ac:dyDescent="0.25">
      <c r="B1310" t="s">
        <v>2718</v>
      </c>
      <c r="C1310" s="16" t="s">
        <v>13174</v>
      </c>
      <c r="D1310" s="16"/>
      <c r="F1310">
        <v>17</v>
      </c>
    </row>
    <row r="1311" spans="2:12" x14ac:dyDescent="0.25">
      <c r="B1311" t="s">
        <v>2717</v>
      </c>
      <c r="C1311" s="16" t="s">
        <v>13174</v>
      </c>
      <c r="D1311" s="16"/>
      <c r="F1311">
        <v>17</v>
      </c>
    </row>
    <row r="1312" spans="2:12" x14ac:dyDescent="0.25">
      <c r="B1312" t="s">
        <v>2723</v>
      </c>
      <c r="C1312" s="16" t="s">
        <v>13174</v>
      </c>
      <c r="D1312" s="16"/>
      <c r="F1312">
        <v>17</v>
      </c>
    </row>
    <row r="1313" spans="2:10" x14ac:dyDescent="0.25">
      <c r="B1313" t="s">
        <v>19451</v>
      </c>
      <c r="C1313" s="16" t="s">
        <v>13174</v>
      </c>
      <c r="D1313" s="16"/>
      <c r="F1313">
        <v>17</v>
      </c>
    </row>
    <row r="1314" spans="2:10" x14ac:dyDescent="0.25">
      <c r="B1314" t="s">
        <v>2722</v>
      </c>
      <c r="C1314" s="16" t="s">
        <v>13174</v>
      </c>
      <c r="D1314" s="16"/>
      <c r="F1314">
        <v>17</v>
      </c>
    </row>
    <row r="1315" spans="2:10" x14ac:dyDescent="0.25">
      <c r="B1315" t="s">
        <v>19452</v>
      </c>
      <c r="C1315" s="16" t="s">
        <v>13174</v>
      </c>
      <c r="D1315" s="16"/>
      <c r="F1315">
        <v>17</v>
      </c>
    </row>
    <row r="1316" spans="2:10" x14ac:dyDescent="0.25">
      <c r="B1316" t="s">
        <v>2710</v>
      </c>
      <c r="C1316" s="16" t="s">
        <v>13174</v>
      </c>
      <c r="D1316" s="16"/>
      <c r="F1316">
        <v>12</v>
      </c>
    </row>
    <row r="1317" spans="2:10" x14ac:dyDescent="0.25">
      <c r="B1317" t="s">
        <v>2713</v>
      </c>
      <c r="C1317" s="16" t="s">
        <v>13174</v>
      </c>
      <c r="D1317" s="16"/>
      <c r="F1317">
        <v>19</v>
      </c>
    </row>
    <row r="1318" spans="2:10" x14ac:dyDescent="0.25">
      <c r="B1318" t="s">
        <v>19453</v>
      </c>
      <c r="C1318" s="16" t="s">
        <v>13174</v>
      </c>
      <c r="D1318" s="16"/>
      <c r="F1318">
        <v>17</v>
      </c>
    </row>
    <row r="1319" spans="2:10" x14ac:dyDescent="0.25">
      <c r="B1319" t="s">
        <v>19454</v>
      </c>
      <c r="C1319" s="16" t="s">
        <v>13174</v>
      </c>
      <c r="D1319" s="16"/>
      <c r="F1319">
        <v>17</v>
      </c>
    </row>
    <row r="1320" spans="2:10" x14ac:dyDescent="0.25">
      <c r="B1320" t="s">
        <v>19455</v>
      </c>
      <c r="C1320" s="16" t="s">
        <v>13174</v>
      </c>
      <c r="D1320" s="16"/>
      <c r="F1320">
        <v>17</v>
      </c>
    </row>
    <row r="1321" spans="2:10" x14ac:dyDescent="0.25">
      <c r="B1321" t="s">
        <v>2712</v>
      </c>
      <c r="C1321" s="16" t="s">
        <v>13174</v>
      </c>
      <c r="D1321" s="16"/>
      <c r="F1321">
        <v>17</v>
      </c>
    </row>
    <row r="1322" spans="2:10" x14ac:dyDescent="0.25">
      <c r="B1322" t="s">
        <v>2711</v>
      </c>
      <c r="C1322" s="16" t="s">
        <v>13174</v>
      </c>
      <c r="D1322" s="16"/>
      <c r="F1322">
        <v>17</v>
      </c>
    </row>
    <row r="1323" spans="2:10" x14ac:dyDescent="0.25">
      <c r="B1323" t="s">
        <v>19456</v>
      </c>
      <c r="C1323" s="16" t="s">
        <v>13174</v>
      </c>
      <c r="D1323" s="16"/>
      <c r="F1323">
        <v>17</v>
      </c>
    </row>
    <row r="1324" spans="2:10" x14ac:dyDescent="0.25">
      <c r="B1324" t="s">
        <v>2709</v>
      </c>
      <c r="C1324" s="16" t="s">
        <v>13174</v>
      </c>
      <c r="D1324" s="16"/>
      <c r="F1324">
        <v>18</v>
      </c>
    </row>
    <row r="1325" spans="2:10" x14ac:dyDescent="0.25">
      <c r="B1325" t="s">
        <v>19457</v>
      </c>
      <c r="C1325" s="16" t="s">
        <v>13174</v>
      </c>
      <c r="D1325" s="16"/>
      <c r="F1325">
        <v>17</v>
      </c>
    </row>
    <row r="1326" spans="2:10" x14ac:dyDescent="0.25">
      <c r="B1326" t="s">
        <v>19446</v>
      </c>
      <c r="C1326" s="16">
        <v>30049079</v>
      </c>
      <c r="D1326" s="16"/>
      <c r="E1326">
        <v>0</v>
      </c>
      <c r="F1326">
        <v>18</v>
      </c>
      <c r="G1326">
        <v>0</v>
      </c>
      <c r="H1326">
        <v>9.9</v>
      </c>
      <c r="I1326">
        <v>2.1</v>
      </c>
      <c r="J1326">
        <v>8</v>
      </c>
    </row>
    <row r="1327" spans="2:10" x14ac:dyDescent="0.25">
      <c r="B1327" t="s">
        <v>19448</v>
      </c>
      <c r="C1327" s="16">
        <v>30049079</v>
      </c>
      <c r="D1327" s="16"/>
      <c r="E1327">
        <v>0</v>
      </c>
      <c r="F1327">
        <v>17</v>
      </c>
      <c r="G1327">
        <v>0</v>
      </c>
      <c r="H1327">
        <v>9.9</v>
      </c>
      <c r="I1327">
        <v>2.1</v>
      </c>
      <c r="J1327">
        <v>8</v>
      </c>
    </row>
    <row r="1328" spans="2:10" x14ac:dyDescent="0.25">
      <c r="B1328" t="s">
        <v>2724</v>
      </c>
      <c r="C1328" s="16">
        <v>30049079</v>
      </c>
      <c r="D1328" s="16"/>
      <c r="E1328">
        <v>59</v>
      </c>
      <c r="F1328">
        <v>17</v>
      </c>
      <c r="G1328">
        <v>0</v>
      </c>
      <c r="H1328">
        <v>9.9</v>
      </c>
      <c r="I1328">
        <v>2.1</v>
      </c>
      <c r="J1328">
        <v>8</v>
      </c>
    </row>
    <row r="1329" spans="2:10" x14ac:dyDescent="0.25">
      <c r="B1329" t="s">
        <v>19449</v>
      </c>
      <c r="C1329" s="16">
        <v>30049079</v>
      </c>
      <c r="D1329" s="16"/>
      <c r="E1329">
        <v>0</v>
      </c>
      <c r="F1329">
        <v>17</v>
      </c>
      <c r="G1329">
        <v>0</v>
      </c>
      <c r="H1329">
        <v>9.9</v>
      </c>
      <c r="I1329">
        <v>2.1</v>
      </c>
      <c r="J1329">
        <v>8</v>
      </c>
    </row>
    <row r="1330" spans="2:10" x14ac:dyDescent="0.25">
      <c r="B1330" t="s">
        <v>2720</v>
      </c>
      <c r="C1330" s="16">
        <v>30049079</v>
      </c>
      <c r="D1330" s="16"/>
      <c r="E1330">
        <v>0</v>
      </c>
      <c r="F1330">
        <v>17</v>
      </c>
      <c r="G1330">
        <v>0</v>
      </c>
      <c r="H1330">
        <v>9.9</v>
      </c>
      <c r="I1330">
        <v>2.1</v>
      </c>
      <c r="J1330">
        <v>8</v>
      </c>
    </row>
    <row r="1331" spans="2:10" x14ac:dyDescent="0.25">
      <c r="B1331" t="s">
        <v>2721</v>
      </c>
      <c r="C1331" s="16">
        <v>30049079</v>
      </c>
      <c r="D1331" s="16"/>
      <c r="E1331" t="s">
        <v>19447</v>
      </c>
      <c r="F1331">
        <v>17</v>
      </c>
      <c r="G1331">
        <v>0</v>
      </c>
      <c r="H1331">
        <v>9.9</v>
      </c>
      <c r="I1331">
        <v>2.1</v>
      </c>
      <c r="J1331">
        <v>8</v>
      </c>
    </row>
    <row r="1332" spans="2:10" x14ac:dyDescent="0.25">
      <c r="B1332" t="s">
        <v>2719</v>
      </c>
      <c r="C1332" s="16">
        <v>30049079</v>
      </c>
      <c r="D1332" s="16"/>
      <c r="E1332">
        <v>0</v>
      </c>
      <c r="F1332">
        <v>17</v>
      </c>
      <c r="G1332">
        <v>0</v>
      </c>
      <c r="H1332">
        <v>9.9</v>
      </c>
      <c r="I1332">
        <v>2.1</v>
      </c>
      <c r="J1332">
        <v>8</v>
      </c>
    </row>
    <row r="1333" spans="2:10" x14ac:dyDescent="0.25">
      <c r="B1333" t="s">
        <v>2715</v>
      </c>
      <c r="C1333" s="16">
        <v>30049079</v>
      </c>
      <c r="D1333" s="16"/>
      <c r="E1333">
        <v>0</v>
      </c>
      <c r="F1333">
        <v>17</v>
      </c>
      <c r="G1333">
        <v>0</v>
      </c>
      <c r="H1333">
        <v>9.9</v>
      </c>
      <c r="I1333">
        <v>2.1</v>
      </c>
      <c r="J1333">
        <v>8</v>
      </c>
    </row>
    <row r="1334" spans="2:10" x14ac:dyDescent="0.25">
      <c r="B1334" t="s">
        <v>2716</v>
      </c>
      <c r="C1334" s="16">
        <v>30049079</v>
      </c>
      <c r="D1334" s="16"/>
      <c r="E1334" t="s">
        <v>19447</v>
      </c>
      <c r="F1334">
        <v>17</v>
      </c>
      <c r="G1334">
        <v>0</v>
      </c>
      <c r="H1334">
        <v>9.9</v>
      </c>
      <c r="I1334">
        <v>2.1</v>
      </c>
      <c r="J1334">
        <v>8</v>
      </c>
    </row>
    <row r="1335" spans="2:10" x14ac:dyDescent="0.25">
      <c r="B1335" t="s">
        <v>19450</v>
      </c>
      <c r="C1335" s="16">
        <v>30049079</v>
      </c>
      <c r="D1335" s="16"/>
      <c r="E1335">
        <v>0</v>
      </c>
      <c r="F1335">
        <v>17</v>
      </c>
      <c r="G1335">
        <v>0</v>
      </c>
      <c r="H1335">
        <v>9.9</v>
      </c>
      <c r="I1335">
        <v>2.1</v>
      </c>
      <c r="J1335">
        <v>8</v>
      </c>
    </row>
    <row r="1336" spans="2:10" x14ac:dyDescent="0.25">
      <c r="B1336" t="s">
        <v>2714</v>
      </c>
      <c r="C1336" s="16">
        <v>30049079</v>
      </c>
      <c r="D1336" s="16"/>
      <c r="E1336">
        <v>0</v>
      </c>
      <c r="F1336">
        <v>12</v>
      </c>
      <c r="G1336">
        <v>0</v>
      </c>
      <c r="H1336">
        <v>9.9</v>
      </c>
      <c r="I1336">
        <v>2.1</v>
      </c>
      <c r="J1336">
        <v>8</v>
      </c>
    </row>
    <row r="1337" spans="2:10" x14ac:dyDescent="0.25">
      <c r="B1337" t="s">
        <v>2718</v>
      </c>
      <c r="C1337" s="16">
        <v>30049079</v>
      </c>
      <c r="D1337" s="16"/>
      <c r="E1337">
        <v>0</v>
      </c>
      <c r="F1337">
        <v>17</v>
      </c>
      <c r="G1337">
        <v>0</v>
      </c>
      <c r="H1337">
        <v>9.9</v>
      </c>
      <c r="I1337">
        <v>2.1</v>
      </c>
      <c r="J1337">
        <v>8</v>
      </c>
    </row>
    <row r="1338" spans="2:10" x14ac:dyDescent="0.25">
      <c r="B1338" t="s">
        <v>2717</v>
      </c>
      <c r="C1338" s="16">
        <v>30049079</v>
      </c>
      <c r="D1338" s="16"/>
      <c r="E1338">
        <v>0</v>
      </c>
      <c r="F1338">
        <v>17</v>
      </c>
      <c r="G1338">
        <v>0</v>
      </c>
      <c r="H1338">
        <v>9.9</v>
      </c>
      <c r="I1338">
        <v>2.1</v>
      </c>
      <c r="J1338">
        <v>8</v>
      </c>
    </row>
    <row r="1339" spans="2:10" x14ac:dyDescent="0.25">
      <c r="B1339" t="s">
        <v>2723</v>
      </c>
      <c r="C1339" s="16">
        <v>30049079</v>
      </c>
      <c r="D1339" s="16"/>
      <c r="E1339">
        <v>0</v>
      </c>
      <c r="F1339">
        <v>17</v>
      </c>
      <c r="G1339">
        <v>0</v>
      </c>
      <c r="H1339">
        <v>9.9</v>
      </c>
      <c r="I1339">
        <v>2.1</v>
      </c>
      <c r="J1339">
        <v>8</v>
      </c>
    </row>
    <row r="1340" spans="2:10" x14ac:dyDescent="0.25">
      <c r="B1340" t="s">
        <v>19451</v>
      </c>
      <c r="C1340" s="16">
        <v>30049079</v>
      </c>
      <c r="D1340" s="16"/>
      <c r="E1340">
        <v>0</v>
      </c>
      <c r="F1340">
        <v>17</v>
      </c>
      <c r="G1340">
        <v>0</v>
      </c>
      <c r="H1340">
        <v>9.9</v>
      </c>
      <c r="I1340">
        <v>2.1</v>
      </c>
      <c r="J1340">
        <v>8</v>
      </c>
    </row>
    <row r="1341" spans="2:10" x14ac:dyDescent="0.25">
      <c r="B1341" t="s">
        <v>2722</v>
      </c>
      <c r="C1341" s="16">
        <v>30049079</v>
      </c>
      <c r="D1341" s="16"/>
      <c r="E1341">
        <v>0</v>
      </c>
      <c r="F1341">
        <v>17</v>
      </c>
      <c r="G1341">
        <v>0</v>
      </c>
      <c r="H1341">
        <v>9.9</v>
      </c>
      <c r="I1341">
        <v>2.1</v>
      </c>
      <c r="J1341">
        <v>8</v>
      </c>
    </row>
    <row r="1342" spans="2:10" x14ac:dyDescent="0.25">
      <c r="B1342" t="s">
        <v>19452</v>
      </c>
      <c r="C1342" s="16">
        <v>30049079</v>
      </c>
      <c r="D1342" s="16"/>
      <c r="E1342">
        <v>0</v>
      </c>
      <c r="F1342">
        <v>17</v>
      </c>
      <c r="G1342">
        <v>0</v>
      </c>
      <c r="H1342">
        <v>9.9</v>
      </c>
      <c r="I1342">
        <v>2.1</v>
      </c>
      <c r="J1342">
        <v>8</v>
      </c>
    </row>
    <row r="1343" spans="2:10" x14ac:dyDescent="0.25">
      <c r="B1343" t="s">
        <v>2710</v>
      </c>
      <c r="C1343" s="16">
        <v>30049079</v>
      </c>
      <c r="D1343" s="16"/>
      <c r="E1343">
        <v>0</v>
      </c>
      <c r="F1343">
        <v>12</v>
      </c>
      <c r="G1343">
        <v>0</v>
      </c>
      <c r="H1343">
        <v>9.9</v>
      </c>
      <c r="I1343">
        <v>2.1</v>
      </c>
      <c r="J1343">
        <v>8</v>
      </c>
    </row>
    <row r="1344" spans="2:10" x14ac:dyDescent="0.25">
      <c r="B1344" t="s">
        <v>2713</v>
      </c>
      <c r="C1344" s="16">
        <v>30049079</v>
      </c>
      <c r="D1344" s="16"/>
      <c r="E1344">
        <v>0</v>
      </c>
      <c r="F1344">
        <v>19</v>
      </c>
      <c r="G1344">
        <v>0</v>
      </c>
      <c r="H1344">
        <v>9.9</v>
      </c>
      <c r="I1344">
        <v>2.1</v>
      </c>
      <c r="J1344">
        <v>8</v>
      </c>
    </row>
    <row r="1345" spans="2:10" x14ac:dyDescent="0.25">
      <c r="B1345" t="s">
        <v>19453</v>
      </c>
      <c r="C1345" s="16">
        <v>30049079</v>
      </c>
      <c r="D1345" s="16"/>
      <c r="E1345">
        <v>0</v>
      </c>
      <c r="F1345">
        <v>17</v>
      </c>
      <c r="G1345">
        <v>0</v>
      </c>
      <c r="H1345">
        <v>9.9</v>
      </c>
      <c r="I1345">
        <v>2.1</v>
      </c>
      <c r="J1345">
        <v>8</v>
      </c>
    </row>
    <row r="1346" spans="2:10" x14ac:dyDescent="0.25">
      <c r="B1346" t="s">
        <v>19454</v>
      </c>
      <c r="C1346" s="16">
        <v>30049079</v>
      </c>
      <c r="D1346" s="16"/>
      <c r="E1346">
        <v>0</v>
      </c>
      <c r="F1346">
        <v>17</v>
      </c>
      <c r="G1346">
        <v>0</v>
      </c>
      <c r="H1346">
        <v>9.9</v>
      </c>
      <c r="I1346">
        <v>2.1</v>
      </c>
      <c r="J1346">
        <v>8</v>
      </c>
    </row>
    <row r="1347" spans="2:10" x14ac:dyDescent="0.25">
      <c r="B1347" t="s">
        <v>19455</v>
      </c>
      <c r="C1347" s="16">
        <v>30049079</v>
      </c>
      <c r="D1347" s="16"/>
      <c r="E1347">
        <v>0</v>
      </c>
      <c r="F1347">
        <v>17</v>
      </c>
      <c r="G1347">
        <v>0</v>
      </c>
      <c r="H1347">
        <v>9.9</v>
      </c>
      <c r="I1347">
        <v>2.1</v>
      </c>
      <c r="J1347">
        <v>8</v>
      </c>
    </row>
    <row r="1348" spans="2:10" x14ac:dyDescent="0.25">
      <c r="B1348" t="s">
        <v>2712</v>
      </c>
      <c r="C1348" s="16">
        <v>30049079</v>
      </c>
      <c r="D1348" s="16"/>
      <c r="E1348">
        <v>0</v>
      </c>
      <c r="F1348">
        <v>17</v>
      </c>
      <c r="G1348">
        <v>0</v>
      </c>
      <c r="H1348">
        <v>9.9</v>
      </c>
      <c r="I1348">
        <v>2.1</v>
      </c>
      <c r="J1348">
        <v>8</v>
      </c>
    </row>
    <row r="1349" spans="2:10" x14ac:dyDescent="0.25">
      <c r="B1349" t="s">
        <v>2711</v>
      </c>
      <c r="C1349" s="16">
        <v>30049079</v>
      </c>
      <c r="D1349" s="16"/>
      <c r="E1349">
        <v>0</v>
      </c>
      <c r="F1349">
        <v>17</v>
      </c>
      <c r="G1349">
        <v>0</v>
      </c>
      <c r="H1349">
        <v>9.9</v>
      </c>
      <c r="I1349">
        <v>2.1</v>
      </c>
      <c r="J1349">
        <v>8</v>
      </c>
    </row>
    <row r="1350" spans="2:10" x14ac:dyDescent="0.25">
      <c r="B1350" t="s">
        <v>19456</v>
      </c>
      <c r="C1350" s="16">
        <v>30049079</v>
      </c>
      <c r="D1350" s="16"/>
      <c r="E1350">
        <v>0</v>
      </c>
      <c r="F1350">
        <v>17</v>
      </c>
      <c r="G1350">
        <v>0</v>
      </c>
      <c r="H1350">
        <v>9.9</v>
      </c>
      <c r="I1350">
        <v>2.1</v>
      </c>
      <c r="J1350">
        <v>8</v>
      </c>
    </row>
    <row r="1351" spans="2:10" x14ac:dyDescent="0.25">
      <c r="B1351" t="s">
        <v>2709</v>
      </c>
      <c r="C1351" s="16">
        <v>30049079</v>
      </c>
      <c r="D1351" s="16"/>
      <c r="E1351">
        <v>0</v>
      </c>
      <c r="F1351">
        <v>18</v>
      </c>
      <c r="G1351">
        <v>0</v>
      </c>
      <c r="H1351">
        <v>9.9</v>
      </c>
      <c r="I1351">
        <v>2.1</v>
      </c>
      <c r="J1351">
        <v>8</v>
      </c>
    </row>
    <row r="1352" spans="2:10" x14ac:dyDescent="0.25">
      <c r="B1352" t="s">
        <v>19457</v>
      </c>
      <c r="C1352" s="16">
        <v>30049079</v>
      </c>
      <c r="D1352" s="16"/>
      <c r="E1352">
        <v>0</v>
      </c>
      <c r="F1352">
        <v>17</v>
      </c>
      <c r="G1352">
        <v>0</v>
      </c>
      <c r="H1352">
        <v>9.9</v>
      </c>
      <c r="I1352">
        <v>2.1</v>
      </c>
      <c r="J1352">
        <v>8</v>
      </c>
    </row>
    <row r="1353" spans="2:10" x14ac:dyDescent="0.25">
      <c r="B1353" t="s">
        <v>19446</v>
      </c>
      <c r="C1353" s="16">
        <v>30049099</v>
      </c>
      <c r="D1353" s="16"/>
      <c r="E1353">
        <v>0</v>
      </c>
      <c r="F1353">
        <v>17</v>
      </c>
      <c r="G1353">
        <v>0</v>
      </c>
      <c r="H1353">
        <v>9.9</v>
      </c>
      <c r="I1353">
        <v>2.1</v>
      </c>
      <c r="J1353">
        <v>14</v>
      </c>
    </row>
    <row r="1354" spans="2:10" x14ac:dyDescent="0.25">
      <c r="B1354" t="s">
        <v>19448</v>
      </c>
      <c r="C1354" s="16">
        <v>30049099</v>
      </c>
      <c r="D1354" s="16"/>
      <c r="E1354">
        <v>0</v>
      </c>
      <c r="F1354">
        <v>17</v>
      </c>
      <c r="G1354">
        <v>0</v>
      </c>
      <c r="H1354">
        <v>9.9</v>
      </c>
      <c r="I1354">
        <v>2.1</v>
      </c>
      <c r="J1354">
        <v>14</v>
      </c>
    </row>
    <row r="1355" spans="2:10" x14ac:dyDescent="0.25">
      <c r="B1355" t="s">
        <v>2724</v>
      </c>
      <c r="C1355" s="16">
        <v>30049099</v>
      </c>
      <c r="D1355" s="16"/>
      <c r="E1355">
        <v>59</v>
      </c>
      <c r="F1355">
        <v>17</v>
      </c>
      <c r="G1355">
        <v>0</v>
      </c>
      <c r="H1355">
        <v>9.9</v>
      </c>
      <c r="I1355">
        <v>2.1</v>
      </c>
      <c r="J1355">
        <v>14</v>
      </c>
    </row>
    <row r="1356" spans="2:10" x14ac:dyDescent="0.25">
      <c r="B1356" t="s">
        <v>19449</v>
      </c>
      <c r="C1356" s="16">
        <v>30049099</v>
      </c>
      <c r="D1356" s="16"/>
      <c r="E1356">
        <v>0</v>
      </c>
      <c r="F1356">
        <v>17</v>
      </c>
      <c r="G1356">
        <v>0</v>
      </c>
      <c r="H1356">
        <v>9.9</v>
      </c>
      <c r="I1356">
        <v>2.1</v>
      </c>
      <c r="J1356">
        <v>14</v>
      </c>
    </row>
    <row r="1357" spans="2:10" x14ac:dyDescent="0.25">
      <c r="B1357" t="s">
        <v>2720</v>
      </c>
      <c r="C1357" s="16">
        <v>30049099</v>
      </c>
      <c r="D1357" s="16"/>
      <c r="E1357">
        <v>0</v>
      </c>
      <c r="F1357">
        <v>17</v>
      </c>
      <c r="G1357">
        <v>0</v>
      </c>
      <c r="H1357">
        <v>9.9</v>
      </c>
      <c r="I1357">
        <v>2.1</v>
      </c>
      <c r="J1357">
        <v>14</v>
      </c>
    </row>
    <row r="1358" spans="2:10" x14ac:dyDescent="0.25">
      <c r="B1358" t="s">
        <v>2721</v>
      </c>
      <c r="C1358" s="16">
        <v>30049099</v>
      </c>
      <c r="D1358" s="16"/>
      <c r="E1358" t="s">
        <v>19447</v>
      </c>
      <c r="F1358">
        <v>17</v>
      </c>
      <c r="G1358">
        <v>0</v>
      </c>
      <c r="H1358">
        <v>9.9</v>
      </c>
      <c r="I1358">
        <v>2.1</v>
      </c>
      <c r="J1358">
        <v>14</v>
      </c>
    </row>
    <row r="1359" spans="2:10" x14ac:dyDescent="0.25">
      <c r="B1359" t="s">
        <v>2719</v>
      </c>
      <c r="C1359" s="16">
        <v>30049099</v>
      </c>
      <c r="D1359" s="16"/>
      <c r="E1359">
        <v>0</v>
      </c>
      <c r="F1359">
        <v>17</v>
      </c>
      <c r="G1359">
        <v>0</v>
      </c>
      <c r="H1359">
        <v>9.9</v>
      </c>
      <c r="I1359">
        <v>2.1</v>
      </c>
      <c r="J1359">
        <v>14</v>
      </c>
    </row>
    <row r="1360" spans="2:10" x14ac:dyDescent="0.25">
      <c r="B1360" t="s">
        <v>2715</v>
      </c>
      <c r="C1360" s="16">
        <v>30049099</v>
      </c>
      <c r="D1360" s="16"/>
      <c r="E1360">
        <v>0</v>
      </c>
      <c r="F1360">
        <v>17</v>
      </c>
      <c r="G1360">
        <v>0</v>
      </c>
      <c r="H1360">
        <v>9.9</v>
      </c>
      <c r="I1360">
        <v>2.1</v>
      </c>
      <c r="J1360">
        <v>14</v>
      </c>
    </row>
    <row r="1361" spans="2:10" x14ac:dyDescent="0.25">
      <c r="B1361" t="s">
        <v>2716</v>
      </c>
      <c r="C1361" s="16">
        <v>30049099</v>
      </c>
      <c r="D1361" s="16"/>
      <c r="E1361" t="s">
        <v>19447</v>
      </c>
      <c r="F1361">
        <v>17</v>
      </c>
      <c r="G1361">
        <v>0</v>
      </c>
      <c r="H1361">
        <v>9.9</v>
      </c>
      <c r="I1361">
        <v>2.1</v>
      </c>
      <c r="J1361">
        <v>14</v>
      </c>
    </row>
    <row r="1362" spans="2:10" x14ac:dyDescent="0.25">
      <c r="B1362" t="s">
        <v>19450</v>
      </c>
      <c r="C1362" s="16">
        <v>30049099</v>
      </c>
      <c r="D1362" s="16"/>
      <c r="E1362">
        <v>0</v>
      </c>
      <c r="F1362">
        <v>17</v>
      </c>
      <c r="G1362">
        <v>0</v>
      </c>
      <c r="H1362">
        <v>9.9</v>
      </c>
      <c r="I1362">
        <v>2.1</v>
      </c>
      <c r="J1362">
        <v>14</v>
      </c>
    </row>
    <row r="1363" spans="2:10" x14ac:dyDescent="0.25">
      <c r="B1363" t="s">
        <v>2714</v>
      </c>
      <c r="C1363" s="16">
        <v>30049099</v>
      </c>
      <c r="D1363" s="16"/>
      <c r="E1363">
        <v>0</v>
      </c>
      <c r="F1363">
        <v>12</v>
      </c>
      <c r="G1363">
        <v>0</v>
      </c>
      <c r="H1363">
        <v>9.9</v>
      </c>
      <c r="I1363">
        <v>2.1</v>
      </c>
      <c r="J1363">
        <v>14</v>
      </c>
    </row>
    <row r="1364" spans="2:10" x14ac:dyDescent="0.25">
      <c r="B1364" t="s">
        <v>2718</v>
      </c>
      <c r="C1364" s="16">
        <v>30049099</v>
      </c>
      <c r="D1364" s="16"/>
      <c r="E1364">
        <v>0</v>
      </c>
      <c r="F1364">
        <v>17</v>
      </c>
      <c r="G1364">
        <v>0</v>
      </c>
      <c r="H1364">
        <v>9.9</v>
      </c>
      <c r="I1364">
        <v>2.1</v>
      </c>
      <c r="J1364">
        <v>14</v>
      </c>
    </row>
    <row r="1365" spans="2:10" x14ac:dyDescent="0.25">
      <c r="B1365" t="s">
        <v>2717</v>
      </c>
      <c r="C1365" s="16">
        <v>30049099</v>
      </c>
      <c r="D1365" s="16"/>
      <c r="E1365">
        <v>0</v>
      </c>
      <c r="F1365">
        <v>17</v>
      </c>
      <c r="G1365">
        <v>0</v>
      </c>
      <c r="H1365">
        <v>9.9</v>
      </c>
      <c r="I1365">
        <v>2.1</v>
      </c>
      <c r="J1365">
        <v>14</v>
      </c>
    </row>
    <row r="1366" spans="2:10" x14ac:dyDescent="0.25">
      <c r="B1366" t="s">
        <v>2723</v>
      </c>
      <c r="C1366" s="16">
        <v>30049099</v>
      </c>
      <c r="D1366" s="16"/>
      <c r="E1366">
        <v>0</v>
      </c>
      <c r="F1366">
        <v>17</v>
      </c>
      <c r="G1366">
        <v>0</v>
      </c>
      <c r="H1366">
        <v>9.9</v>
      </c>
      <c r="I1366">
        <v>2.1</v>
      </c>
      <c r="J1366">
        <v>14</v>
      </c>
    </row>
    <row r="1367" spans="2:10" x14ac:dyDescent="0.25">
      <c r="B1367" t="s">
        <v>19451</v>
      </c>
      <c r="C1367" s="16">
        <v>30049099</v>
      </c>
      <c r="D1367" s="16"/>
      <c r="E1367">
        <v>0</v>
      </c>
      <c r="F1367">
        <v>17</v>
      </c>
      <c r="G1367">
        <v>0</v>
      </c>
      <c r="H1367">
        <v>9.9</v>
      </c>
      <c r="I1367">
        <v>2.1</v>
      </c>
      <c r="J1367">
        <v>14</v>
      </c>
    </row>
    <row r="1368" spans="2:10" x14ac:dyDescent="0.25">
      <c r="B1368" t="s">
        <v>2722</v>
      </c>
      <c r="C1368" s="16">
        <v>30049099</v>
      </c>
      <c r="D1368" s="16"/>
      <c r="E1368">
        <v>0</v>
      </c>
      <c r="F1368">
        <v>17</v>
      </c>
      <c r="G1368">
        <v>0</v>
      </c>
      <c r="H1368">
        <v>9.9</v>
      </c>
      <c r="I1368">
        <v>2.1</v>
      </c>
      <c r="J1368">
        <v>14</v>
      </c>
    </row>
    <row r="1369" spans="2:10" x14ac:dyDescent="0.25">
      <c r="B1369" t="s">
        <v>19452</v>
      </c>
      <c r="C1369" s="16">
        <v>30049099</v>
      </c>
      <c r="D1369" s="16"/>
      <c r="E1369">
        <v>0</v>
      </c>
      <c r="F1369">
        <v>17</v>
      </c>
      <c r="G1369">
        <v>0</v>
      </c>
      <c r="H1369">
        <v>9.9</v>
      </c>
      <c r="I1369">
        <v>2.1</v>
      </c>
      <c r="J1369">
        <v>14</v>
      </c>
    </row>
    <row r="1370" spans="2:10" x14ac:dyDescent="0.25">
      <c r="B1370" t="s">
        <v>2710</v>
      </c>
      <c r="C1370" s="16">
        <v>30049099</v>
      </c>
      <c r="D1370" s="16"/>
      <c r="E1370">
        <v>0</v>
      </c>
      <c r="F1370">
        <v>12</v>
      </c>
      <c r="G1370">
        <v>0</v>
      </c>
      <c r="H1370">
        <v>9.9</v>
      </c>
      <c r="I1370">
        <v>2.1</v>
      </c>
      <c r="J1370">
        <v>14</v>
      </c>
    </row>
    <row r="1371" spans="2:10" x14ac:dyDescent="0.25">
      <c r="B1371" t="s">
        <v>2713</v>
      </c>
      <c r="C1371" s="16">
        <v>30049099</v>
      </c>
      <c r="D1371" s="16"/>
      <c r="E1371">
        <v>0</v>
      </c>
      <c r="F1371">
        <v>19</v>
      </c>
      <c r="G1371">
        <v>0</v>
      </c>
      <c r="H1371">
        <v>9.9</v>
      </c>
      <c r="I1371">
        <v>2.1</v>
      </c>
      <c r="J1371">
        <v>14</v>
      </c>
    </row>
    <row r="1372" spans="2:10" x14ac:dyDescent="0.25">
      <c r="B1372" t="s">
        <v>19453</v>
      </c>
      <c r="C1372" s="16">
        <v>30049099</v>
      </c>
      <c r="D1372" s="16"/>
      <c r="E1372">
        <v>0</v>
      </c>
      <c r="F1372">
        <v>17</v>
      </c>
      <c r="G1372">
        <v>0</v>
      </c>
      <c r="H1372">
        <v>9.9</v>
      </c>
      <c r="I1372">
        <v>2.1</v>
      </c>
      <c r="J1372">
        <v>14</v>
      </c>
    </row>
    <row r="1373" spans="2:10" x14ac:dyDescent="0.25">
      <c r="B1373" t="s">
        <v>19454</v>
      </c>
      <c r="C1373" s="16">
        <v>30049099</v>
      </c>
      <c r="D1373" s="16"/>
      <c r="E1373">
        <v>0</v>
      </c>
      <c r="F1373">
        <v>17</v>
      </c>
      <c r="G1373">
        <v>0</v>
      </c>
      <c r="H1373">
        <v>9.9</v>
      </c>
      <c r="I1373">
        <v>2.1</v>
      </c>
      <c r="J1373">
        <v>14</v>
      </c>
    </row>
    <row r="1374" spans="2:10" x14ac:dyDescent="0.25">
      <c r="B1374" t="s">
        <v>19455</v>
      </c>
      <c r="C1374" s="16">
        <v>30049099</v>
      </c>
      <c r="D1374" s="16"/>
      <c r="E1374">
        <v>0</v>
      </c>
      <c r="F1374">
        <v>17</v>
      </c>
      <c r="G1374">
        <v>0</v>
      </c>
      <c r="H1374">
        <v>9.9</v>
      </c>
      <c r="I1374">
        <v>2.1</v>
      </c>
      <c r="J1374">
        <v>14</v>
      </c>
    </row>
    <row r="1375" spans="2:10" x14ac:dyDescent="0.25">
      <c r="B1375" t="s">
        <v>2712</v>
      </c>
      <c r="C1375" s="16">
        <v>30049099</v>
      </c>
      <c r="D1375" s="16"/>
      <c r="E1375">
        <v>0</v>
      </c>
      <c r="F1375">
        <v>17</v>
      </c>
      <c r="G1375">
        <v>0</v>
      </c>
      <c r="H1375">
        <v>9.9</v>
      </c>
      <c r="I1375">
        <v>2.1</v>
      </c>
      <c r="J1375">
        <v>14</v>
      </c>
    </row>
    <row r="1376" spans="2:10" x14ac:dyDescent="0.25">
      <c r="B1376" t="s">
        <v>2711</v>
      </c>
      <c r="C1376" s="16">
        <v>30049099</v>
      </c>
      <c r="D1376" s="16"/>
      <c r="E1376">
        <v>0</v>
      </c>
      <c r="F1376">
        <v>17</v>
      </c>
      <c r="G1376">
        <v>0</v>
      </c>
      <c r="H1376">
        <v>9.9</v>
      </c>
      <c r="I1376">
        <v>2.1</v>
      </c>
      <c r="J1376">
        <v>14</v>
      </c>
    </row>
    <row r="1377" spans="2:10" x14ac:dyDescent="0.25">
      <c r="B1377" t="s">
        <v>19456</v>
      </c>
      <c r="C1377" s="16">
        <v>30049099</v>
      </c>
      <c r="D1377" s="16"/>
      <c r="E1377">
        <v>0</v>
      </c>
      <c r="F1377">
        <v>17</v>
      </c>
      <c r="G1377">
        <v>0</v>
      </c>
      <c r="H1377">
        <v>9.9</v>
      </c>
      <c r="I1377">
        <v>2.1</v>
      </c>
      <c r="J1377">
        <v>14</v>
      </c>
    </row>
    <row r="1378" spans="2:10" x14ac:dyDescent="0.25">
      <c r="B1378" t="s">
        <v>2709</v>
      </c>
      <c r="C1378" s="16">
        <v>30049099</v>
      </c>
      <c r="D1378" s="16"/>
      <c r="E1378">
        <v>0</v>
      </c>
      <c r="F1378">
        <v>18</v>
      </c>
      <c r="G1378">
        <v>0</v>
      </c>
      <c r="H1378">
        <v>9.9</v>
      </c>
      <c r="I1378">
        <v>2.1</v>
      </c>
      <c r="J1378">
        <v>14</v>
      </c>
    </row>
    <row r="1379" spans="2:10" x14ac:dyDescent="0.25">
      <c r="B1379" t="s">
        <v>19457</v>
      </c>
      <c r="C1379" s="16">
        <v>30049099</v>
      </c>
      <c r="D1379" s="16"/>
      <c r="E1379">
        <v>0</v>
      </c>
      <c r="F1379">
        <v>17</v>
      </c>
      <c r="G1379">
        <v>0</v>
      </c>
      <c r="H1379">
        <v>9.9</v>
      </c>
      <c r="I1379">
        <v>2.1</v>
      </c>
      <c r="J1379">
        <v>14</v>
      </c>
    </row>
    <row r="1380" spans="2:10" x14ac:dyDescent="0.25">
      <c r="B1380" t="s">
        <v>19446</v>
      </c>
      <c r="C1380" s="16">
        <v>30051010</v>
      </c>
      <c r="D1380" s="16"/>
      <c r="E1380">
        <v>0</v>
      </c>
      <c r="F1380">
        <v>17</v>
      </c>
      <c r="G1380">
        <v>0</v>
      </c>
      <c r="H1380">
        <v>9.9</v>
      </c>
      <c r="I1380">
        <v>2.1</v>
      </c>
      <c r="J1380">
        <v>12</v>
      </c>
    </row>
    <row r="1381" spans="2:10" x14ac:dyDescent="0.25">
      <c r="B1381" t="s">
        <v>19448</v>
      </c>
      <c r="C1381" s="16">
        <v>30051010</v>
      </c>
      <c r="D1381" s="16"/>
      <c r="E1381">
        <v>0</v>
      </c>
      <c r="F1381">
        <v>17</v>
      </c>
      <c r="G1381">
        <v>0</v>
      </c>
      <c r="H1381">
        <v>9.9</v>
      </c>
      <c r="I1381">
        <v>2.1</v>
      </c>
      <c r="J1381">
        <v>12</v>
      </c>
    </row>
    <row r="1382" spans="2:10" x14ac:dyDescent="0.25">
      <c r="B1382" t="s">
        <v>2724</v>
      </c>
      <c r="C1382" s="16">
        <v>30051010</v>
      </c>
      <c r="D1382" s="16"/>
      <c r="E1382">
        <v>59</v>
      </c>
      <c r="F1382">
        <v>17</v>
      </c>
      <c r="G1382">
        <v>0</v>
      </c>
      <c r="H1382">
        <v>9.9</v>
      </c>
      <c r="I1382">
        <v>2.1</v>
      </c>
      <c r="J1382">
        <v>12</v>
      </c>
    </row>
    <row r="1383" spans="2:10" x14ac:dyDescent="0.25">
      <c r="B1383" t="s">
        <v>19449</v>
      </c>
      <c r="C1383" s="16">
        <v>30051010</v>
      </c>
      <c r="D1383" s="16"/>
      <c r="E1383">
        <v>0</v>
      </c>
      <c r="F1383">
        <v>17</v>
      </c>
      <c r="G1383">
        <v>0</v>
      </c>
      <c r="H1383">
        <v>9.9</v>
      </c>
      <c r="I1383">
        <v>2.1</v>
      </c>
      <c r="J1383">
        <v>12</v>
      </c>
    </row>
    <row r="1384" spans="2:10" x14ac:dyDescent="0.25">
      <c r="B1384" t="s">
        <v>2720</v>
      </c>
      <c r="C1384" s="16">
        <v>30051010</v>
      </c>
      <c r="D1384" s="16"/>
      <c r="E1384">
        <v>0</v>
      </c>
      <c r="F1384">
        <v>17</v>
      </c>
      <c r="G1384">
        <v>0</v>
      </c>
      <c r="H1384">
        <v>9.9</v>
      </c>
      <c r="I1384">
        <v>2.1</v>
      </c>
      <c r="J1384">
        <v>12</v>
      </c>
    </row>
    <row r="1385" spans="2:10" x14ac:dyDescent="0.25">
      <c r="B1385" t="s">
        <v>2721</v>
      </c>
      <c r="C1385" s="16">
        <v>30051010</v>
      </c>
      <c r="D1385" s="16"/>
      <c r="E1385" t="s">
        <v>19447</v>
      </c>
      <c r="F1385">
        <v>17</v>
      </c>
      <c r="G1385">
        <v>0</v>
      </c>
      <c r="H1385">
        <v>9.9</v>
      </c>
      <c r="I1385">
        <v>2.1</v>
      </c>
      <c r="J1385">
        <v>12</v>
      </c>
    </row>
    <row r="1386" spans="2:10" x14ac:dyDescent="0.25">
      <c r="B1386" t="s">
        <v>2719</v>
      </c>
      <c r="C1386" s="16">
        <v>30051010</v>
      </c>
      <c r="D1386" s="16"/>
      <c r="E1386">
        <v>0</v>
      </c>
      <c r="F1386">
        <v>17</v>
      </c>
      <c r="G1386">
        <v>0</v>
      </c>
      <c r="H1386">
        <v>9.9</v>
      </c>
      <c r="I1386">
        <v>2.1</v>
      </c>
      <c r="J1386">
        <v>12</v>
      </c>
    </row>
    <row r="1387" spans="2:10" x14ac:dyDescent="0.25">
      <c r="B1387" t="s">
        <v>2715</v>
      </c>
      <c r="C1387" s="16">
        <v>30051010</v>
      </c>
      <c r="D1387" s="16"/>
      <c r="E1387">
        <v>0</v>
      </c>
      <c r="F1387">
        <v>17</v>
      </c>
      <c r="G1387">
        <v>0</v>
      </c>
      <c r="H1387">
        <v>9.9</v>
      </c>
      <c r="I1387">
        <v>2.1</v>
      </c>
      <c r="J1387">
        <v>12</v>
      </c>
    </row>
    <row r="1388" spans="2:10" x14ac:dyDescent="0.25">
      <c r="B1388" t="s">
        <v>2716</v>
      </c>
      <c r="C1388" s="16">
        <v>30051010</v>
      </c>
      <c r="D1388" s="16"/>
      <c r="E1388" t="s">
        <v>19447</v>
      </c>
      <c r="F1388">
        <v>17</v>
      </c>
      <c r="G1388">
        <v>0</v>
      </c>
      <c r="H1388">
        <v>9.9</v>
      </c>
      <c r="I1388">
        <v>2.1</v>
      </c>
      <c r="J1388">
        <v>12</v>
      </c>
    </row>
    <row r="1389" spans="2:10" x14ac:dyDescent="0.25">
      <c r="B1389" t="s">
        <v>19450</v>
      </c>
      <c r="C1389" s="16">
        <v>30051010</v>
      </c>
      <c r="D1389" s="16"/>
      <c r="E1389">
        <v>0</v>
      </c>
      <c r="F1389">
        <v>17</v>
      </c>
      <c r="G1389">
        <v>0</v>
      </c>
      <c r="H1389">
        <v>9.9</v>
      </c>
      <c r="I1389">
        <v>2.1</v>
      </c>
      <c r="J1389">
        <v>12</v>
      </c>
    </row>
    <row r="1390" spans="2:10" x14ac:dyDescent="0.25">
      <c r="B1390" t="s">
        <v>2714</v>
      </c>
      <c r="C1390" s="16">
        <v>30051010</v>
      </c>
      <c r="D1390" s="16"/>
      <c r="E1390">
        <v>0</v>
      </c>
      <c r="F1390">
        <v>12</v>
      </c>
      <c r="G1390">
        <v>0</v>
      </c>
      <c r="H1390">
        <v>9.9</v>
      </c>
      <c r="I1390">
        <v>2.1</v>
      </c>
      <c r="J1390">
        <v>12</v>
      </c>
    </row>
    <row r="1391" spans="2:10" x14ac:dyDescent="0.25">
      <c r="B1391" t="s">
        <v>2718</v>
      </c>
      <c r="C1391" s="16">
        <v>30051010</v>
      </c>
      <c r="D1391" s="16"/>
      <c r="E1391">
        <v>0</v>
      </c>
      <c r="F1391">
        <v>17</v>
      </c>
      <c r="G1391">
        <v>0</v>
      </c>
      <c r="H1391">
        <v>9.9</v>
      </c>
      <c r="I1391">
        <v>2.1</v>
      </c>
      <c r="J1391">
        <v>12</v>
      </c>
    </row>
    <row r="1392" spans="2:10" x14ac:dyDescent="0.25">
      <c r="B1392" t="s">
        <v>2717</v>
      </c>
      <c r="C1392" s="16">
        <v>30051010</v>
      </c>
      <c r="D1392" s="16"/>
      <c r="E1392">
        <v>0</v>
      </c>
      <c r="F1392">
        <v>17</v>
      </c>
      <c r="G1392">
        <v>0</v>
      </c>
      <c r="H1392">
        <v>9.9</v>
      </c>
      <c r="I1392">
        <v>2.1</v>
      </c>
      <c r="J1392">
        <v>12</v>
      </c>
    </row>
    <row r="1393" spans="2:10" x14ac:dyDescent="0.25">
      <c r="B1393" t="s">
        <v>2723</v>
      </c>
      <c r="C1393" s="16">
        <v>30051010</v>
      </c>
      <c r="D1393" s="16"/>
      <c r="E1393">
        <v>0</v>
      </c>
      <c r="F1393">
        <v>17</v>
      </c>
      <c r="G1393">
        <v>0</v>
      </c>
      <c r="H1393">
        <v>9.9</v>
      </c>
      <c r="I1393">
        <v>2.1</v>
      </c>
      <c r="J1393">
        <v>12</v>
      </c>
    </row>
    <row r="1394" spans="2:10" x14ac:dyDescent="0.25">
      <c r="B1394" t="s">
        <v>19451</v>
      </c>
      <c r="C1394" s="16">
        <v>30051010</v>
      </c>
      <c r="D1394" s="16"/>
      <c r="E1394">
        <v>0</v>
      </c>
      <c r="F1394">
        <v>17</v>
      </c>
      <c r="G1394">
        <v>0</v>
      </c>
      <c r="H1394">
        <v>9.9</v>
      </c>
      <c r="I1394">
        <v>2.1</v>
      </c>
      <c r="J1394">
        <v>12</v>
      </c>
    </row>
    <row r="1395" spans="2:10" x14ac:dyDescent="0.25">
      <c r="B1395" t="s">
        <v>2722</v>
      </c>
      <c r="C1395" s="16">
        <v>30051010</v>
      </c>
      <c r="D1395" s="16"/>
      <c r="E1395">
        <v>41.34</v>
      </c>
      <c r="F1395">
        <v>17</v>
      </c>
      <c r="G1395">
        <v>0</v>
      </c>
      <c r="H1395">
        <v>9.9</v>
      </c>
      <c r="I1395">
        <v>2.1</v>
      </c>
      <c r="J1395">
        <v>12</v>
      </c>
    </row>
    <row r="1396" spans="2:10" x14ac:dyDescent="0.25">
      <c r="B1396" t="s">
        <v>19452</v>
      </c>
      <c r="C1396" s="16">
        <v>30051010</v>
      </c>
      <c r="D1396" s="16"/>
      <c r="E1396">
        <v>0</v>
      </c>
      <c r="F1396">
        <v>17</v>
      </c>
      <c r="G1396">
        <v>0</v>
      </c>
      <c r="H1396">
        <v>9.9</v>
      </c>
      <c r="I1396">
        <v>2.1</v>
      </c>
      <c r="J1396">
        <v>12</v>
      </c>
    </row>
    <row r="1397" spans="2:10" x14ac:dyDescent="0.25">
      <c r="B1397" t="s">
        <v>2710</v>
      </c>
      <c r="C1397" s="16">
        <v>30051010</v>
      </c>
      <c r="D1397" s="16"/>
      <c r="E1397">
        <v>41.38</v>
      </c>
      <c r="F1397">
        <v>12</v>
      </c>
      <c r="G1397">
        <v>0</v>
      </c>
      <c r="H1397">
        <v>9.9</v>
      </c>
      <c r="I1397">
        <v>2.1</v>
      </c>
      <c r="J1397">
        <v>12</v>
      </c>
    </row>
    <row r="1398" spans="2:10" x14ac:dyDescent="0.25">
      <c r="B1398" t="s">
        <v>2713</v>
      </c>
      <c r="C1398" s="16">
        <v>30051010</v>
      </c>
      <c r="D1398" s="16"/>
      <c r="E1398">
        <v>18</v>
      </c>
      <c r="F1398">
        <v>19</v>
      </c>
      <c r="G1398">
        <v>0</v>
      </c>
      <c r="H1398">
        <v>9.9</v>
      </c>
      <c r="I1398">
        <v>2.1</v>
      </c>
      <c r="J1398">
        <v>12</v>
      </c>
    </row>
    <row r="1399" spans="2:10" x14ac:dyDescent="0.25">
      <c r="B1399" t="s">
        <v>19453</v>
      </c>
      <c r="C1399" s="16">
        <v>30051010</v>
      </c>
      <c r="D1399" s="16"/>
      <c r="E1399">
        <v>41.34</v>
      </c>
      <c r="F1399">
        <v>17</v>
      </c>
      <c r="G1399">
        <v>0</v>
      </c>
      <c r="H1399">
        <v>9.9</v>
      </c>
      <c r="I1399">
        <v>2.1</v>
      </c>
      <c r="J1399">
        <v>12</v>
      </c>
    </row>
    <row r="1400" spans="2:10" x14ac:dyDescent="0.25">
      <c r="B1400" t="s">
        <v>19454</v>
      </c>
      <c r="C1400" s="16">
        <v>30051010</v>
      </c>
      <c r="D1400" s="16"/>
      <c r="E1400">
        <v>0</v>
      </c>
      <c r="F1400">
        <v>17</v>
      </c>
      <c r="G1400">
        <v>0</v>
      </c>
      <c r="H1400">
        <v>9.9</v>
      </c>
      <c r="I1400">
        <v>2.1</v>
      </c>
      <c r="J1400">
        <v>12</v>
      </c>
    </row>
    <row r="1401" spans="2:10" x14ac:dyDescent="0.25">
      <c r="B1401" t="s">
        <v>19455</v>
      </c>
      <c r="C1401" s="16">
        <v>30051010</v>
      </c>
      <c r="D1401" s="16"/>
      <c r="E1401">
        <v>0</v>
      </c>
      <c r="F1401">
        <v>17</v>
      </c>
      <c r="G1401">
        <v>0</v>
      </c>
      <c r="H1401">
        <v>9.9</v>
      </c>
      <c r="I1401">
        <v>2.1</v>
      </c>
      <c r="J1401">
        <v>12</v>
      </c>
    </row>
    <row r="1402" spans="2:10" x14ac:dyDescent="0.25">
      <c r="B1402" t="s">
        <v>2712</v>
      </c>
      <c r="C1402" s="16">
        <v>30051010</v>
      </c>
      <c r="D1402" s="16"/>
      <c r="E1402">
        <v>63.44</v>
      </c>
      <c r="F1402">
        <v>17</v>
      </c>
      <c r="G1402">
        <v>0</v>
      </c>
      <c r="H1402">
        <v>9.9</v>
      </c>
      <c r="I1402">
        <v>2.1</v>
      </c>
      <c r="J1402">
        <v>12</v>
      </c>
    </row>
    <row r="1403" spans="2:10" x14ac:dyDescent="0.25">
      <c r="B1403" t="s">
        <v>2711</v>
      </c>
      <c r="C1403" s="16">
        <v>30051010</v>
      </c>
      <c r="D1403" s="16"/>
      <c r="E1403">
        <v>0</v>
      </c>
      <c r="F1403">
        <v>17</v>
      </c>
      <c r="G1403">
        <v>0</v>
      </c>
      <c r="H1403">
        <v>9.9</v>
      </c>
      <c r="I1403">
        <v>2.1</v>
      </c>
      <c r="J1403">
        <v>12</v>
      </c>
    </row>
    <row r="1404" spans="2:10" x14ac:dyDescent="0.25">
      <c r="B1404" t="s">
        <v>19456</v>
      </c>
      <c r="C1404" s="16">
        <v>30051010</v>
      </c>
      <c r="D1404" s="16"/>
      <c r="E1404">
        <v>41.34</v>
      </c>
      <c r="F1404">
        <v>17</v>
      </c>
      <c r="G1404">
        <v>0</v>
      </c>
      <c r="H1404">
        <v>9.9</v>
      </c>
      <c r="I1404">
        <v>2.1</v>
      </c>
      <c r="J1404">
        <v>12</v>
      </c>
    </row>
    <row r="1405" spans="2:10" x14ac:dyDescent="0.25">
      <c r="B1405" t="s">
        <v>2709</v>
      </c>
      <c r="C1405" s="16">
        <v>30051010</v>
      </c>
      <c r="D1405" s="16"/>
      <c r="E1405">
        <v>0</v>
      </c>
      <c r="F1405">
        <v>18</v>
      </c>
      <c r="G1405">
        <v>0</v>
      </c>
      <c r="H1405">
        <v>9.9</v>
      </c>
      <c r="I1405">
        <v>2.1</v>
      </c>
      <c r="J1405">
        <v>12</v>
      </c>
    </row>
    <row r="1406" spans="2:10" x14ac:dyDescent="0.25">
      <c r="B1406" t="s">
        <v>19457</v>
      </c>
      <c r="C1406" s="16">
        <v>30051010</v>
      </c>
      <c r="D1406" s="16"/>
      <c r="E1406">
        <v>41.34</v>
      </c>
      <c r="F1406">
        <v>17</v>
      </c>
      <c r="G1406">
        <v>0</v>
      </c>
      <c r="H1406">
        <v>9.9</v>
      </c>
      <c r="I1406">
        <v>2.1</v>
      </c>
      <c r="J1406">
        <v>12</v>
      </c>
    </row>
    <row r="1407" spans="2:10" x14ac:dyDescent="0.25">
      <c r="B1407" t="s">
        <v>19446</v>
      </c>
      <c r="C1407" s="16">
        <v>30066000</v>
      </c>
      <c r="D1407" s="16"/>
      <c r="E1407">
        <v>0</v>
      </c>
      <c r="F1407">
        <v>17</v>
      </c>
      <c r="G1407">
        <v>0</v>
      </c>
      <c r="H1407">
        <v>9.9</v>
      </c>
      <c r="I1407">
        <v>2.1</v>
      </c>
      <c r="J1407">
        <v>12</v>
      </c>
    </row>
    <row r="1408" spans="2:10" x14ac:dyDescent="0.25">
      <c r="B1408" t="s">
        <v>19448</v>
      </c>
      <c r="C1408" s="16">
        <v>30066000</v>
      </c>
      <c r="D1408" s="16"/>
      <c r="E1408">
        <v>0</v>
      </c>
      <c r="F1408">
        <v>17</v>
      </c>
      <c r="G1408">
        <v>0</v>
      </c>
      <c r="H1408">
        <v>9.9</v>
      </c>
      <c r="I1408">
        <v>2.1</v>
      </c>
      <c r="J1408">
        <v>12</v>
      </c>
    </row>
    <row r="1409" spans="2:10" x14ac:dyDescent="0.25">
      <c r="B1409" t="s">
        <v>2724</v>
      </c>
      <c r="C1409" s="16">
        <v>30066000</v>
      </c>
      <c r="D1409" s="16"/>
      <c r="E1409">
        <v>59</v>
      </c>
      <c r="F1409">
        <v>17</v>
      </c>
      <c r="G1409">
        <v>0</v>
      </c>
      <c r="H1409">
        <v>9.9</v>
      </c>
      <c r="I1409">
        <v>2.1</v>
      </c>
      <c r="J1409">
        <v>12</v>
      </c>
    </row>
    <row r="1410" spans="2:10" x14ac:dyDescent="0.25">
      <c r="B1410" t="s">
        <v>19449</v>
      </c>
      <c r="C1410" s="16">
        <v>30066000</v>
      </c>
      <c r="D1410" s="16"/>
      <c r="E1410">
        <v>0</v>
      </c>
      <c r="F1410">
        <v>17</v>
      </c>
      <c r="G1410">
        <v>0</v>
      </c>
      <c r="H1410">
        <v>9.9</v>
      </c>
      <c r="I1410">
        <v>2.1</v>
      </c>
      <c r="J1410">
        <v>12</v>
      </c>
    </row>
    <row r="1411" spans="2:10" x14ac:dyDescent="0.25">
      <c r="B1411" t="s">
        <v>2720</v>
      </c>
      <c r="C1411" s="16">
        <v>30066000</v>
      </c>
      <c r="D1411" s="16"/>
      <c r="E1411">
        <v>0</v>
      </c>
      <c r="F1411">
        <v>17</v>
      </c>
      <c r="G1411">
        <v>0</v>
      </c>
      <c r="H1411">
        <v>9.9</v>
      </c>
      <c r="I1411">
        <v>2.1</v>
      </c>
      <c r="J1411">
        <v>12</v>
      </c>
    </row>
    <row r="1412" spans="2:10" x14ac:dyDescent="0.25">
      <c r="B1412" t="s">
        <v>2721</v>
      </c>
      <c r="C1412" s="16">
        <v>30066000</v>
      </c>
      <c r="D1412" s="16"/>
      <c r="E1412" t="s">
        <v>19447</v>
      </c>
      <c r="F1412">
        <v>17</v>
      </c>
      <c r="G1412">
        <v>0</v>
      </c>
      <c r="H1412">
        <v>9.9</v>
      </c>
      <c r="I1412">
        <v>2.1</v>
      </c>
      <c r="J1412">
        <v>12</v>
      </c>
    </row>
    <row r="1413" spans="2:10" x14ac:dyDescent="0.25">
      <c r="B1413" t="s">
        <v>2719</v>
      </c>
      <c r="C1413" s="16">
        <v>30066000</v>
      </c>
      <c r="D1413" s="16"/>
      <c r="E1413">
        <v>0</v>
      </c>
      <c r="F1413">
        <v>17</v>
      </c>
      <c r="G1413">
        <v>0</v>
      </c>
      <c r="H1413">
        <v>9.9</v>
      </c>
      <c r="I1413">
        <v>2.1</v>
      </c>
      <c r="J1413">
        <v>12</v>
      </c>
    </row>
    <row r="1414" spans="2:10" x14ac:dyDescent="0.25">
      <c r="B1414" t="s">
        <v>2715</v>
      </c>
      <c r="C1414" s="16">
        <v>30066000</v>
      </c>
      <c r="D1414" s="16"/>
      <c r="E1414">
        <v>0</v>
      </c>
      <c r="F1414">
        <v>17</v>
      </c>
      <c r="G1414">
        <v>0</v>
      </c>
      <c r="H1414">
        <v>9.9</v>
      </c>
      <c r="I1414">
        <v>2.1</v>
      </c>
      <c r="J1414">
        <v>12</v>
      </c>
    </row>
    <row r="1415" spans="2:10" x14ac:dyDescent="0.25">
      <c r="B1415" t="s">
        <v>2716</v>
      </c>
      <c r="C1415" s="16">
        <v>30066000</v>
      </c>
      <c r="D1415" s="16"/>
      <c r="E1415" t="s">
        <v>19447</v>
      </c>
      <c r="F1415">
        <v>17</v>
      </c>
      <c r="G1415">
        <v>0</v>
      </c>
      <c r="H1415">
        <v>9.9</v>
      </c>
      <c r="I1415">
        <v>2.1</v>
      </c>
      <c r="J1415">
        <v>12</v>
      </c>
    </row>
    <row r="1416" spans="2:10" x14ac:dyDescent="0.25">
      <c r="B1416" t="s">
        <v>19450</v>
      </c>
      <c r="C1416" s="16">
        <v>30066000</v>
      </c>
      <c r="D1416" s="16"/>
      <c r="E1416">
        <v>0</v>
      </c>
      <c r="F1416">
        <v>17</v>
      </c>
      <c r="G1416">
        <v>0</v>
      </c>
      <c r="H1416">
        <v>9.9</v>
      </c>
      <c r="I1416">
        <v>2.1</v>
      </c>
      <c r="J1416">
        <v>12</v>
      </c>
    </row>
    <row r="1417" spans="2:10" x14ac:dyDescent="0.25">
      <c r="B1417" t="s">
        <v>2714</v>
      </c>
      <c r="C1417" s="16">
        <v>30066000</v>
      </c>
      <c r="D1417" s="16"/>
      <c r="E1417">
        <v>0</v>
      </c>
      <c r="F1417">
        <v>12</v>
      </c>
      <c r="G1417">
        <v>0</v>
      </c>
      <c r="H1417">
        <v>9.9</v>
      </c>
      <c r="I1417">
        <v>2.1</v>
      </c>
      <c r="J1417">
        <v>12</v>
      </c>
    </row>
    <row r="1418" spans="2:10" x14ac:dyDescent="0.25">
      <c r="B1418" t="s">
        <v>2718</v>
      </c>
      <c r="C1418" s="16">
        <v>30066000</v>
      </c>
      <c r="D1418" s="16"/>
      <c r="E1418">
        <v>0</v>
      </c>
      <c r="F1418">
        <v>17</v>
      </c>
      <c r="G1418">
        <v>0</v>
      </c>
      <c r="H1418">
        <v>9.9</v>
      </c>
      <c r="I1418">
        <v>2.1</v>
      </c>
      <c r="J1418">
        <v>12</v>
      </c>
    </row>
    <row r="1419" spans="2:10" x14ac:dyDescent="0.25">
      <c r="B1419" t="s">
        <v>2717</v>
      </c>
      <c r="C1419" s="16">
        <v>30066000</v>
      </c>
      <c r="D1419" s="16"/>
      <c r="E1419">
        <v>0</v>
      </c>
      <c r="F1419">
        <v>17</v>
      </c>
      <c r="G1419">
        <v>0</v>
      </c>
      <c r="H1419">
        <v>9.9</v>
      </c>
      <c r="I1419">
        <v>2.1</v>
      </c>
      <c r="J1419">
        <v>12</v>
      </c>
    </row>
    <row r="1420" spans="2:10" x14ac:dyDescent="0.25">
      <c r="B1420" t="s">
        <v>2723</v>
      </c>
      <c r="C1420" s="16">
        <v>30066000</v>
      </c>
      <c r="D1420" s="16"/>
      <c r="E1420">
        <v>0</v>
      </c>
      <c r="F1420">
        <v>17</v>
      </c>
      <c r="G1420">
        <v>0</v>
      </c>
      <c r="H1420">
        <v>9.9</v>
      </c>
      <c r="I1420">
        <v>2.1</v>
      </c>
      <c r="J1420">
        <v>12</v>
      </c>
    </row>
    <row r="1421" spans="2:10" x14ac:dyDescent="0.25">
      <c r="B1421" t="s">
        <v>19451</v>
      </c>
      <c r="C1421" s="16">
        <v>30066000</v>
      </c>
      <c r="D1421" s="16"/>
      <c r="E1421">
        <v>0</v>
      </c>
      <c r="F1421">
        <v>17</v>
      </c>
      <c r="G1421">
        <v>0</v>
      </c>
      <c r="H1421">
        <v>9.9</v>
      </c>
      <c r="I1421">
        <v>2.1</v>
      </c>
      <c r="J1421">
        <v>12</v>
      </c>
    </row>
    <row r="1422" spans="2:10" x14ac:dyDescent="0.25">
      <c r="B1422" t="s">
        <v>2722</v>
      </c>
      <c r="C1422" s="16">
        <v>30066000</v>
      </c>
      <c r="D1422" s="16"/>
      <c r="E1422">
        <v>41.34</v>
      </c>
      <c r="F1422">
        <v>17</v>
      </c>
      <c r="G1422">
        <v>0</v>
      </c>
      <c r="H1422">
        <v>9.9</v>
      </c>
      <c r="I1422">
        <v>2.1</v>
      </c>
      <c r="J1422">
        <v>12</v>
      </c>
    </row>
    <row r="1423" spans="2:10" x14ac:dyDescent="0.25">
      <c r="B1423" t="s">
        <v>19452</v>
      </c>
      <c r="C1423" s="16">
        <v>30066000</v>
      </c>
      <c r="D1423" s="16"/>
      <c r="E1423">
        <v>0</v>
      </c>
      <c r="F1423">
        <v>17</v>
      </c>
      <c r="G1423">
        <v>0</v>
      </c>
      <c r="H1423">
        <v>9.9</v>
      </c>
      <c r="I1423">
        <v>2.1</v>
      </c>
      <c r="J1423">
        <v>12</v>
      </c>
    </row>
    <row r="1424" spans="2:10" x14ac:dyDescent="0.25">
      <c r="B1424" t="s">
        <v>2710</v>
      </c>
      <c r="C1424" s="16">
        <v>30066000</v>
      </c>
      <c r="D1424" s="16"/>
      <c r="E1424">
        <v>41.38</v>
      </c>
      <c r="F1424">
        <v>12</v>
      </c>
      <c r="G1424">
        <v>0</v>
      </c>
      <c r="H1424">
        <v>9.9</v>
      </c>
      <c r="I1424">
        <v>2.1</v>
      </c>
      <c r="J1424">
        <v>12</v>
      </c>
    </row>
    <row r="1425" spans="2:10" x14ac:dyDescent="0.25">
      <c r="B1425" t="s">
        <v>2713</v>
      </c>
      <c r="C1425" s="16">
        <v>30066000</v>
      </c>
      <c r="D1425" s="16"/>
      <c r="E1425">
        <v>41.42</v>
      </c>
      <c r="F1425">
        <v>19</v>
      </c>
      <c r="G1425">
        <v>0</v>
      </c>
      <c r="H1425">
        <v>9.9</v>
      </c>
      <c r="I1425">
        <v>2.1</v>
      </c>
      <c r="J1425">
        <v>12</v>
      </c>
    </row>
    <row r="1426" spans="2:10" x14ac:dyDescent="0.25">
      <c r="B1426" t="s">
        <v>19453</v>
      </c>
      <c r="C1426" s="16">
        <v>30066000</v>
      </c>
      <c r="D1426" s="16"/>
      <c r="E1426">
        <v>41.34</v>
      </c>
      <c r="F1426">
        <v>17</v>
      </c>
      <c r="G1426">
        <v>0</v>
      </c>
      <c r="H1426">
        <v>9.9</v>
      </c>
      <c r="I1426">
        <v>2.1</v>
      </c>
      <c r="J1426">
        <v>12</v>
      </c>
    </row>
    <row r="1427" spans="2:10" x14ac:dyDescent="0.25">
      <c r="B1427" t="s">
        <v>19454</v>
      </c>
      <c r="C1427" s="16">
        <v>30066000</v>
      </c>
      <c r="D1427" s="16"/>
      <c r="E1427">
        <v>0</v>
      </c>
      <c r="F1427">
        <v>17</v>
      </c>
      <c r="G1427">
        <v>0</v>
      </c>
      <c r="H1427">
        <v>9.9</v>
      </c>
      <c r="I1427">
        <v>2.1</v>
      </c>
      <c r="J1427">
        <v>12</v>
      </c>
    </row>
    <row r="1428" spans="2:10" x14ac:dyDescent="0.25">
      <c r="B1428" t="s">
        <v>19455</v>
      </c>
      <c r="C1428" s="16">
        <v>30066000</v>
      </c>
      <c r="D1428" s="16"/>
      <c r="E1428">
        <v>0</v>
      </c>
      <c r="F1428">
        <v>17</v>
      </c>
      <c r="G1428">
        <v>0</v>
      </c>
      <c r="H1428">
        <v>9.9</v>
      </c>
      <c r="I1428">
        <v>2.1</v>
      </c>
      <c r="J1428">
        <v>12</v>
      </c>
    </row>
    <row r="1429" spans="2:10" x14ac:dyDescent="0.25">
      <c r="B1429" t="s">
        <v>2712</v>
      </c>
      <c r="C1429" s="16">
        <v>30066000</v>
      </c>
      <c r="D1429" s="16"/>
      <c r="E1429">
        <v>41.34</v>
      </c>
      <c r="F1429">
        <v>17</v>
      </c>
      <c r="G1429">
        <v>0</v>
      </c>
      <c r="H1429">
        <v>9.9</v>
      </c>
      <c r="I1429">
        <v>2.1</v>
      </c>
      <c r="J1429">
        <v>12</v>
      </c>
    </row>
    <row r="1430" spans="2:10" x14ac:dyDescent="0.25">
      <c r="B1430" t="s">
        <v>2711</v>
      </c>
      <c r="C1430" s="16">
        <v>30066000</v>
      </c>
      <c r="D1430" s="16"/>
      <c r="E1430">
        <v>0</v>
      </c>
      <c r="F1430">
        <v>17</v>
      </c>
      <c r="G1430">
        <v>0</v>
      </c>
      <c r="H1430">
        <v>9.9</v>
      </c>
      <c r="I1430">
        <v>2.1</v>
      </c>
      <c r="J1430">
        <v>12</v>
      </c>
    </row>
    <row r="1431" spans="2:10" x14ac:dyDescent="0.25">
      <c r="B1431" t="s">
        <v>19456</v>
      </c>
      <c r="C1431" s="16">
        <v>30066000</v>
      </c>
      <c r="D1431" s="16"/>
      <c r="E1431">
        <v>41.34</v>
      </c>
      <c r="F1431">
        <v>17</v>
      </c>
      <c r="G1431">
        <v>0</v>
      </c>
      <c r="H1431">
        <v>9.9</v>
      </c>
      <c r="I1431">
        <v>2.1</v>
      </c>
      <c r="J1431">
        <v>12</v>
      </c>
    </row>
    <row r="1432" spans="2:10" x14ac:dyDescent="0.25">
      <c r="B1432" t="s">
        <v>2709</v>
      </c>
      <c r="C1432" s="16">
        <v>30066000</v>
      </c>
      <c r="D1432" s="16"/>
      <c r="E1432">
        <v>0</v>
      </c>
      <c r="F1432">
        <v>18</v>
      </c>
      <c r="G1432">
        <v>0</v>
      </c>
      <c r="H1432">
        <v>9.9</v>
      </c>
      <c r="I1432">
        <v>2.1</v>
      </c>
      <c r="J1432">
        <v>12</v>
      </c>
    </row>
    <row r="1433" spans="2:10" x14ac:dyDescent="0.25">
      <c r="B1433" t="s">
        <v>19457</v>
      </c>
      <c r="C1433" s="16">
        <v>30066000</v>
      </c>
      <c r="D1433" s="16"/>
      <c r="E1433">
        <v>100</v>
      </c>
      <c r="F1433">
        <v>17</v>
      </c>
      <c r="G1433">
        <v>0</v>
      </c>
      <c r="H1433">
        <v>9.9</v>
      </c>
      <c r="I1433">
        <v>2.1</v>
      </c>
      <c r="J1433">
        <v>12</v>
      </c>
    </row>
    <row r="1434" spans="2:10" x14ac:dyDescent="0.25">
      <c r="B1434" t="s">
        <v>19446</v>
      </c>
      <c r="C1434" s="16">
        <v>34011190</v>
      </c>
      <c r="D1434" s="16"/>
      <c r="E1434">
        <v>40</v>
      </c>
      <c r="F1434">
        <v>17</v>
      </c>
      <c r="G1434">
        <v>5</v>
      </c>
      <c r="H1434">
        <v>10.3</v>
      </c>
      <c r="I1434">
        <v>2.2000000000000002</v>
      </c>
      <c r="J1434">
        <v>18</v>
      </c>
    </row>
    <row r="1435" spans="2:10" x14ac:dyDescent="0.25">
      <c r="B1435" t="s">
        <v>19448</v>
      </c>
      <c r="C1435" s="16">
        <v>34011190</v>
      </c>
      <c r="D1435" s="16"/>
      <c r="E1435">
        <v>24.8</v>
      </c>
      <c r="F1435">
        <v>17</v>
      </c>
      <c r="G1435">
        <v>5</v>
      </c>
      <c r="H1435">
        <v>10.3</v>
      </c>
      <c r="I1435">
        <v>2.2000000000000002</v>
      </c>
      <c r="J1435">
        <v>18</v>
      </c>
    </row>
    <row r="1436" spans="2:10" x14ac:dyDescent="0.25">
      <c r="B1436" t="s">
        <v>2724</v>
      </c>
      <c r="C1436" s="16">
        <v>34011190</v>
      </c>
      <c r="D1436" s="16"/>
      <c r="E1436">
        <v>70</v>
      </c>
      <c r="F1436">
        <v>17</v>
      </c>
      <c r="G1436">
        <v>5</v>
      </c>
      <c r="H1436">
        <v>10.3</v>
      </c>
      <c r="I1436">
        <v>2.2000000000000002</v>
      </c>
      <c r="J1436">
        <v>18</v>
      </c>
    </row>
    <row r="1437" spans="2:10" x14ac:dyDescent="0.25">
      <c r="B1437" t="s">
        <v>19449</v>
      </c>
      <c r="C1437" s="16">
        <v>34011190</v>
      </c>
      <c r="D1437" s="16"/>
      <c r="E1437">
        <v>20</v>
      </c>
      <c r="F1437">
        <v>17</v>
      </c>
      <c r="G1437">
        <v>5</v>
      </c>
      <c r="H1437">
        <v>10.3</v>
      </c>
      <c r="I1437">
        <v>2.2000000000000002</v>
      </c>
      <c r="J1437">
        <v>18</v>
      </c>
    </row>
    <row r="1438" spans="2:10" x14ac:dyDescent="0.25">
      <c r="B1438" t="s">
        <v>2720</v>
      </c>
      <c r="C1438" s="16">
        <v>34011190</v>
      </c>
      <c r="D1438" s="16"/>
      <c r="E1438">
        <v>37.85</v>
      </c>
      <c r="F1438">
        <v>17</v>
      </c>
      <c r="G1438">
        <v>5</v>
      </c>
      <c r="H1438">
        <v>10.3</v>
      </c>
      <c r="I1438">
        <v>2.2000000000000002</v>
      </c>
      <c r="J1438">
        <v>18</v>
      </c>
    </row>
    <row r="1439" spans="2:10" x14ac:dyDescent="0.25">
      <c r="B1439" t="s">
        <v>2721</v>
      </c>
      <c r="C1439" s="16">
        <v>34011190</v>
      </c>
      <c r="D1439" s="16"/>
      <c r="E1439">
        <v>35</v>
      </c>
      <c r="F1439">
        <v>17</v>
      </c>
      <c r="G1439">
        <v>5</v>
      </c>
      <c r="H1439">
        <v>10.3</v>
      </c>
      <c r="I1439">
        <v>2.2000000000000002</v>
      </c>
      <c r="J1439">
        <v>18</v>
      </c>
    </row>
    <row r="1440" spans="2:10" x14ac:dyDescent="0.25">
      <c r="B1440" t="s">
        <v>2719</v>
      </c>
      <c r="C1440" s="16">
        <v>34011190</v>
      </c>
      <c r="D1440" s="16"/>
      <c r="E1440">
        <v>17.71</v>
      </c>
      <c r="F1440">
        <v>17</v>
      </c>
      <c r="G1440">
        <v>5</v>
      </c>
      <c r="H1440">
        <v>10.3</v>
      </c>
      <c r="I1440">
        <v>2.2000000000000002</v>
      </c>
      <c r="J1440">
        <v>18</v>
      </c>
    </row>
    <row r="1441" spans="2:10" x14ac:dyDescent="0.25">
      <c r="B1441" t="s">
        <v>2715</v>
      </c>
      <c r="C1441" s="16">
        <v>34011190</v>
      </c>
      <c r="D1441" s="16"/>
      <c r="E1441">
        <v>62</v>
      </c>
      <c r="F1441">
        <v>17</v>
      </c>
      <c r="G1441">
        <v>5</v>
      </c>
      <c r="H1441">
        <v>10.3</v>
      </c>
      <c r="I1441">
        <v>2.2000000000000002</v>
      </c>
      <c r="J1441">
        <v>18</v>
      </c>
    </row>
    <row r="1442" spans="2:10" x14ac:dyDescent="0.25">
      <c r="B1442" t="s">
        <v>2716</v>
      </c>
      <c r="C1442" s="16">
        <v>34011190</v>
      </c>
      <c r="D1442" s="16"/>
      <c r="E1442" t="s">
        <v>19447</v>
      </c>
      <c r="F1442">
        <v>17</v>
      </c>
      <c r="G1442">
        <v>5</v>
      </c>
      <c r="H1442">
        <v>10.3</v>
      </c>
      <c r="I1442">
        <v>2.2000000000000002</v>
      </c>
      <c r="J1442">
        <v>18</v>
      </c>
    </row>
    <row r="1443" spans="2:10" x14ac:dyDescent="0.25">
      <c r="B1443" t="s">
        <v>19450</v>
      </c>
      <c r="C1443" s="16">
        <v>34011190</v>
      </c>
      <c r="D1443" s="16"/>
      <c r="E1443">
        <v>35</v>
      </c>
      <c r="F1443">
        <v>17</v>
      </c>
      <c r="G1443">
        <v>5</v>
      </c>
      <c r="H1443">
        <v>10.3</v>
      </c>
      <c r="I1443">
        <v>2.2000000000000002</v>
      </c>
      <c r="J1443">
        <v>18</v>
      </c>
    </row>
    <row r="1444" spans="2:10" x14ac:dyDescent="0.25">
      <c r="B1444" t="s">
        <v>2714</v>
      </c>
      <c r="C1444" s="16">
        <v>34011190</v>
      </c>
      <c r="D1444" s="16"/>
      <c r="E1444">
        <v>177.19</v>
      </c>
      <c r="F1444">
        <v>12</v>
      </c>
      <c r="G1444">
        <v>5</v>
      </c>
      <c r="H1444">
        <v>10.3</v>
      </c>
      <c r="I1444">
        <v>2.2000000000000002</v>
      </c>
      <c r="J1444">
        <v>18</v>
      </c>
    </row>
    <row r="1445" spans="2:10" x14ac:dyDescent="0.25">
      <c r="B1445" t="s">
        <v>2718</v>
      </c>
      <c r="C1445" s="16">
        <v>34011190</v>
      </c>
      <c r="D1445" s="16"/>
      <c r="E1445">
        <v>60</v>
      </c>
      <c r="F1445">
        <v>17</v>
      </c>
      <c r="G1445">
        <v>5</v>
      </c>
      <c r="H1445">
        <v>10.3</v>
      </c>
      <c r="I1445">
        <v>2.2000000000000002</v>
      </c>
      <c r="J1445">
        <v>18</v>
      </c>
    </row>
    <row r="1446" spans="2:10" x14ac:dyDescent="0.25">
      <c r="B1446" t="s">
        <v>2717</v>
      </c>
      <c r="C1446" s="16">
        <v>34011190</v>
      </c>
      <c r="D1446" s="16"/>
      <c r="E1446">
        <v>0</v>
      </c>
      <c r="F1446">
        <v>17</v>
      </c>
      <c r="G1446">
        <v>5</v>
      </c>
      <c r="H1446">
        <v>10.3</v>
      </c>
      <c r="I1446">
        <v>2.2000000000000002</v>
      </c>
      <c r="J1446">
        <v>18</v>
      </c>
    </row>
    <row r="1447" spans="2:10" x14ac:dyDescent="0.25">
      <c r="B1447" t="s">
        <v>2723</v>
      </c>
      <c r="C1447" s="16">
        <v>34011190</v>
      </c>
      <c r="D1447" s="16"/>
      <c r="E1447">
        <v>20</v>
      </c>
      <c r="F1447">
        <v>17</v>
      </c>
      <c r="G1447">
        <v>5</v>
      </c>
      <c r="H1447">
        <v>10.3</v>
      </c>
      <c r="I1447">
        <v>2.2000000000000002</v>
      </c>
      <c r="J1447">
        <v>18</v>
      </c>
    </row>
    <row r="1448" spans="2:10" x14ac:dyDescent="0.25">
      <c r="B1448" t="s">
        <v>19451</v>
      </c>
      <c r="C1448" s="16">
        <v>34011190</v>
      </c>
      <c r="D1448" s="16"/>
      <c r="E1448">
        <v>35</v>
      </c>
      <c r="F1448">
        <v>17</v>
      </c>
      <c r="G1448">
        <v>5</v>
      </c>
      <c r="H1448">
        <v>10.3</v>
      </c>
      <c r="I1448">
        <v>2.2000000000000002</v>
      </c>
      <c r="J1448">
        <v>18</v>
      </c>
    </row>
    <row r="1449" spans="2:10" x14ac:dyDescent="0.25">
      <c r="B1449" t="s">
        <v>2722</v>
      </c>
      <c r="C1449" s="16">
        <v>34011190</v>
      </c>
      <c r="D1449" s="16"/>
      <c r="E1449">
        <v>24.8</v>
      </c>
      <c r="F1449">
        <v>17</v>
      </c>
      <c r="G1449">
        <v>5</v>
      </c>
      <c r="H1449">
        <v>10.3</v>
      </c>
      <c r="I1449">
        <v>2.2000000000000002</v>
      </c>
      <c r="J1449">
        <v>18</v>
      </c>
    </row>
    <row r="1450" spans="2:10" x14ac:dyDescent="0.25">
      <c r="B1450" t="s">
        <v>19452</v>
      </c>
      <c r="C1450" s="16">
        <v>34011190</v>
      </c>
      <c r="D1450" s="16"/>
      <c r="E1450">
        <v>35</v>
      </c>
      <c r="F1450">
        <v>17</v>
      </c>
      <c r="G1450">
        <v>5</v>
      </c>
      <c r="H1450">
        <v>10.3</v>
      </c>
      <c r="I1450">
        <v>2.2000000000000002</v>
      </c>
      <c r="J1450">
        <v>18</v>
      </c>
    </row>
    <row r="1451" spans="2:10" x14ac:dyDescent="0.25">
      <c r="B1451" t="s">
        <v>2710</v>
      </c>
      <c r="C1451" s="16">
        <v>34011190</v>
      </c>
      <c r="D1451" s="16"/>
      <c r="E1451">
        <v>177.19</v>
      </c>
      <c r="F1451">
        <v>12</v>
      </c>
      <c r="G1451">
        <v>5</v>
      </c>
      <c r="H1451">
        <v>10.3</v>
      </c>
      <c r="I1451">
        <v>2.2000000000000002</v>
      </c>
      <c r="J1451">
        <v>18</v>
      </c>
    </row>
    <row r="1452" spans="2:10" x14ac:dyDescent="0.25">
      <c r="B1452" t="s">
        <v>2713</v>
      </c>
      <c r="C1452" s="16">
        <v>34011190</v>
      </c>
      <c r="D1452" s="16"/>
      <c r="E1452">
        <v>62</v>
      </c>
      <c r="F1452">
        <v>19</v>
      </c>
      <c r="G1452">
        <v>5</v>
      </c>
      <c r="H1452">
        <v>10.3</v>
      </c>
      <c r="I1452">
        <v>2.2000000000000002</v>
      </c>
      <c r="J1452">
        <v>18</v>
      </c>
    </row>
    <row r="1453" spans="2:10" x14ac:dyDescent="0.25">
      <c r="B1453" t="s">
        <v>19453</v>
      </c>
      <c r="C1453" s="16">
        <v>34011190</v>
      </c>
      <c r="D1453" s="16"/>
      <c r="E1453" t="s">
        <v>19447</v>
      </c>
      <c r="F1453">
        <v>17</v>
      </c>
      <c r="G1453">
        <v>5</v>
      </c>
      <c r="H1453">
        <v>10.3</v>
      </c>
      <c r="I1453">
        <v>2.2000000000000002</v>
      </c>
      <c r="J1453">
        <v>18</v>
      </c>
    </row>
    <row r="1454" spans="2:10" x14ac:dyDescent="0.25">
      <c r="B1454" t="s">
        <v>19454</v>
      </c>
      <c r="C1454" s="16">
        <v>34011190</v>
      </c>
      <c r="D1454" s="16"/>
      <c r="E1454">
        <v>35</v>
      </c>
      <c r="F1454">
        <v>17</v>
      </c>
      <c r="G1454">
        <v>5</v>
      </c>
      <c r="H1454">
        <v>10.3</v>
      </c>
      <c r="I1454">
        <v>2.2000000000000002</v>
      </c>
      <c r="J1454">
        <v>18</v>
      </c>
    </row>
    <row r="1455" spans="2:10" x14ac:dyDescent="0.25">
      <c r="B1455" t="s">
        <v>19455</v>
      </c>
      <c r="C1455" s="16">
        <v>34011190</v>
      </c>
      <c r="D1455" s="16"/>
      <c r="E1455">
        <v>35</v>
      </c>
      <c r="F1455">
        <v>17</v>
      </c>
      <c r="G1455">
        <v>5</v>
      </c>
      <c r="H1455">
        <v>10.3</v>
      </c>
      <c r="I1455">
        <v>2.2000000000000002</v>
      </c>
      <c r="J1455">
        <v>18</v>
      </c>
    </row>
    <row r="1456" spans="2:10" x14ac:dyDescent="0.25">
      <c r="B1456" t="s">
        <v>2712</v>
      </c>
      <c r="C1456" s="16">
        <v>34011190</v>
      </c>
      <c r="D1456" s="16"/>
      <c r="E1456">
        <v>24.8</v>
      </c>
      <c r="F1456">
        <v>17</v>
      </c>
      <c r="G1456">
        <v>5</v>
      </c>
      <c r="H1456">
        <v>10.3</v>
      </c>
      <c r="I1456">
        <v>2.2000000000000002</v>
      </c>
      <c r="J1456">
        <v>18</v>
      </c>
    </row>
    <row r="1457" spans="2:10" x14ac:dyDescent="0.25">
      <c r="B1457" t="s">
        <v>2711</v>
      </c>
      <c r="C1457" s="16">
        <v>34011190</v>
      </c>
      <c r="D1457" s="16"/>
      <c r="E1457">
        <v>20</v>
      </c>
      <c r="F1457">
        <v>17</v>
      </c>
      <c r="G1457">
        <v>5</v>
      </c>
      <c r="H1457">
        <v>10.3</v>
      </c>
      <c r="I1457">
        <v>2.2000000000000002</v>
      </c>
      <c r="J1457">
        <v>18</v>
      </c>
    </row>
    <row r="1458" spans="2:10" x14ac:dyDescent="0.25">
      <c r="B1458" t="s">
        <v>19456</v>
      </c>
      <c r="C1458" s="16">
        <v>34011190</v>
      </c>
      <c r="D1458" s="16"/>
      <c r="E1458">
        <v>35</v>
      </c>
      <c r="F1458">
        <v>17</v>
      </c>
      <c r="G1458">
        <v>5</v>
      </c>
      <c r="H1458">
        <v>10.3</v>
      </c>
      <c r="I1458">
        <v>2.2000000000000002</v>
      </c>
      <c r="J1458">
        <v>18</v>
      </c>
    </row>
    <row r="1459" spans="2:10" x14ac:dyDescent="0.25">
      <c r="B1459" t="s">
        <v>2709</v>
      </c>
      <c r="C1459" s="16">
        <v>34011190</v>
      </c>
      <c r="D1459" s="16"/>
      <c r="E1459">
        <v>219.7</v>
      </c>
      <c r="F1459">
        <v>18</v>
      </c>
      <c r="G1459">
        <v>5</v>
      </c>
      <c r="H1459">
        <v>10.3</v>
      </c>
      <c r="I1459">
        <v>2.2000000000000002</v>
      </c>
      <c r="J1459">
        <v>18</v>
      </c>
    </row>
    <row r="1460" spans="2:10" x14ac:dyDescent="0.25">
      <c r="B1460" t="s">
        <v>19457</v>
      </c>
      <c r="C1460" s="16">
        <v>34011190</v>
      </c>
      <c r="D1460" s="16"/>
      <c r="E1460">
        <v>35</v>
      </c>
      <c r="F1460">
        <v>17</v>
      </c>
      <c r="G1460">
        <v>5</v>
      </c>
      <c r="H1460">
        <v>10.3</v>
      </c>
      <c r="I1460">
        <v>2.2000000000000002</v>
      </c>
      <c r="J1460">
        <v>18</v>
      </c>
    </row>
    <row r="1461" spans="2:10" x14ac:dyDescent="0.25">
      <c r="B1461" t="s">
        <v>19446</v>
      </c>
      <c r="C1461" s="16" t="s">
        <v>13190</v>
      </c>
      <c r="D1461" s="16"/>
      <c r="E1461">
        <v>40</v>
      </c>
      <c r="F1461">
        <v>17</v>
      </c>
      <c r="G1461">
        <v>5</v>
      </c>
      <c r="H1461">
        <v>10.3</v>
      </c>
      <c r="I1461">
        <v>2.2000000000000002</v>
      </c>
      <c r="J1461">
        <v>18</v>
      </c>
    </row>
    <row r="1462" spans="2:10" x14ac:dyDescent="0.25">
      <c r="B1462" t="s">
        <v>19448</v>
      </c>
      <c r="C1462" s="16" t="s">
        <v>13190</v>
      </c>
      <c r="D1462" s="16"/>
      <c r="E1462">
        <v>24.8</v>
      </c>
      <c r="F1462">
        <v>17</v>
      </c>
      <c r="G1462">
        <v>5</v>
      </c>
      <c r="H1462">
        <v>10.3</v>
      </c>
      <c r="I1462">
        <v>2.2000000000000002</v>
      </c>
      <c r="J1462">
        <v>18</v>
      </c>
    </row>
    <row r="1463" spans="2:10" x14ac:dyDescent="0.25">
      <c r="B1463" t="s">
        <v>2724</v>
      </c>
      <c r="C1463" s="16" t="s">
        <v>13190</v>
      </c>
      <c r="D1463" s="16"/>
      <c r="E1463">
        <v>70</v>
      </c>
      <c r="F1463">
        <v>17</v>
      </c>
      <c r="G1463">
        <v>5</v>
      </c>
      <c r="H1463">
        <v>10.3</v>
      </c>
      <c r="I1463">
        <v>2.2000000000000002</v>
      </c>
      <c r="J1463">
        <v>18</v>
      </c>
    </row>
    <row r="1464" spans="2:10" x14ac:dyDescent="0.25">
      <c r="B1464" t="s">
        <v>19449</v>
      </c>
      <c r="C1464" s="16" t="s">
        <v>13190</v>
      </c>
      <c r="D1464" s="16"/>
      <c r="E1464">
        <v>20</v>
      </c>
      <c r="F1464">
        <v>17</v>
      </c>
      <c r="G1464">
        <v>5</v>
      </c>
      <c r="H1464">
        <v>10.3</v>
      </c>
      <c r="I1464">
        <v>2.2000000000000002</v>
      </c>
      <c r="J1464">
        <v>18</v>
      </c>
    </row>
    <row r="1465" spans="2:10" x14ac:dyDescent="0.25">
      <c r="B1465" t="s">
        <v>2720</v>
      </c>
      <c r="C1465" s="16" t="s">
        <v>13190</v>
      </c>
      <c r="D1465" s="16"/>
      <c r="E1465">
        <v>37.85</v>
      </c>
      <c r="F1465">
        <v>17</v>
      </c>
      <c r="G1465">
        <v>5</v>
      </c>
      <c r="H1465">
        <v>10.3</v>
      </c>
      <c r="I1465">
        <v>2.2000000000000002</v>
      </c>
      <c r="J1465">
        <v>18</v>
      </c>
    </row>
    <row r="1466" spans="2:10" x14ac:dyDescent="0.25">
      <c r="B1466" t="s">
        <v>2721</v>
      </c>
      <c r="C1466" s="16" t="s">
        <v>13190</v>
      </c>
      <c r="D1466" s="16"/>
      <c r="E1466">
        <v>35</v>
      </c>
      <c r="F1466">
        <v>17</v>
      </c>
      <c r="G1466">
        <v>5</v>
      </c>
      <c r="H1466">
        <v>10.3</v>
      </c>
      <c r="I1466">
        <v>2.2000000000000002</v>
      </c>
      <c r="J1466">
        <v>18</v>
      </c>
    </row>
    <row r="1467" spans="2:10" x14ac:dyDescent="0.25">
      <c r="B1467" t="s">
        <v>2719</v>
      </c>
      <c r="C1467" s="16" t="s">
        <v>13190</v>
      </c>
      <c r="D1467" s="16"/>
      <c r="E1467">
        <v>17.71</v>
      </c>
      <c r="F1467">
        <v>17</v>
      </c>
      <c r="G1467">
        <v>5</v>
      </c>
      <c r="H1467">
        <v>10.3</v>
      </c>
      <c r="I1467">
        <v>2.2000000000000002</v>
      </c>
      <c r="J1467">
        <v>18</v>
      </c>
    </row>
    <row r="1468" spans="2:10" x14ac:dyDescent="0.25">
      <c r="B1468" t="s">
        <v>2715</v>
      </c>
      <c r="C1468" s="16" t="s">
        <v>13190</v>
      </c>
      <c r="D1468" s="16"/>
      <c r="E1468">
        <v>62</v>
      </c>
      <c r="F1468">
        <v>17</v>
      </c>
      <c r="G1468">
        <v>5</v>
      </c>
      <c r="H1468">
        <v>10.3</v>
      </c>
      <c r="I1468">
        <v>2.2000000000000002</v>
      </c>
      <c r="J1468">
        <v>18</v>
      </c>
    </row>
    <row r="1469" spans="2:10" x14ac:dyDescent="0.25">
      <c r="B1469" t="s">
        <v>2716</v>
      </c>
      <c r="C1469" s="16" t="s">
        <v>13190</v>
      </c>
      <c r="D1469" s="16"/>
      <c r="E1469" t="s">
        <v>19447</v>
      </c>
      <c r="F1469">
        <v>17</v>
      </c>
      <c r="G1469">
        <v>5</v>
      </c>
      <c r="H1469">
        <v>10.3</v>
      </c>
      <c r="I1469">
        <v>2.2000000000000002</v>
      </c>
      <c r="J1469">
        <v>18</v>
      </c>
    </row>
    <row r="1470" spans="2:10" x14ac:dyDescent="0.25">
      <c r="B1470" t="s">
        <v>19450</v>
      </c>
      <c r="C1470" s="16" t="s">
        <v>13190</v>
      </c>
      <c r="D1470" s="16"/>
      <c r="E1470">
        <v>35</v>
      </c>
      <c r="F1470">
        <v>17</v>
      </c>
      <c r="G1470">
        <v>5</v>
      </c>
      <c r="H1470">
        <v>10.3</v>
      </c>
      <c r="I1470">
        <v>2.2000000000000002</v>
      </c>
      <c r="J1470">
        <v>18</v>
      </c>
    </row>
    <row r="1471" spans="2:10" x14ac:dyDescent="0.25">
      <c r="B1471" t="s">
        <v>2714</v>
      </c>
      <c r="C1471" s="16" t="s">
        <v>13190</v>
      </c>
      <c r="D1471" s="16"/>
      <c r="E1471">
        <v>177.19</v>
      </c>
      <c r="F1471">
        <v>12</v>
      </c>
      <c r="G1471">
        <v>5</v>
      </c>
      <c r="H1471">
        <v>10.3</v>
      </c>
      <c r="I1471">
        <v>2.2000000000000002</v>
      </c>
      <c r="J1471">
        <v>18</v>
      </c>
    </row>
    <row r="1472" spans="2:10" x14ac:dyDescent="0.25">
      <c r="B1472" t="s">
        <v>2718</v>
      </c>
      <c r="C1472" s="16" t="s">
        <v>13190</v>
      </c>
      <c r="D1472" s="16"/>
      <c r="E1472">
        <v>60</v>
      </c>
      <c r="F1472">
        <v>17</v>
      </c>
      <c r="G1472">
        <v>5</v>
      </c>
      <c r="H1472">
        <v>10.3</v>
      </c>
      <c r="I1472">
        <v>2.2000000000000002</v>
      </c>
      <c r="J1472">
        <v>18</v>
      </c>
    </row>
    <row r="1473" spans="2:10" x14ac:dyDescent="0.25">
      <c r="B1473" t="s">
        <v>2717</v>
      </c>
      <c r="C1473" s="16" t="s">
        <v>13190</v>
      </c>
      <c r="D1473" s="16"/>
      <c r="E1473">
        <v>0</v>
      </c>
      <c r="F1473">
        <v>17</v>
      </c>
      <c r="G1473">
        <v>5</v>
      </c>
      <c r="H1473">
        <v>10.3</v>
      </c>
      <c r="I1473">
        <v>2.2000000000000002</v>
      </c>
      <c r="J1473">
        <v>18</v>
      </c>
    </row>
    <row r="1474" spans="2:10" x14ac:dyDescent="0.25">
      <c r="B1474" t="s">
        <v>2723</v>
      </c>
      <c r="C1474" s="16" t="s">
        <v>13190</v>
      </c>
      <c r="D1474" s="16"/>
      <c r="E1474">
        <v>20</v>
      </c>
      <c r="F1474">
        <v>17</v>
      </c>
      <c r="G1474">
        <v>5</v>
      </c>
      <c r="H1474">
        <v>10.3</v>
      </c>
      <c r="I1474">
        <v>2.2000000000000002</v>
      </c>
      <c r="J1474">
        <v>18</v>
      </c>
    </row>
    <row r="1475" spans="2:10" x14ac:dyDescent="0.25">
      <c r="B1475" t="s">
        <v>19451</v>
      </c>
      <c r="C1475" s="16" t="s">
        <v>13190</v>
      </c>
      <c r="D1475" s="16"/>
      <c r="E1475">
        <v>35</v>
      </c>
      <c r="F1475">
        <v>17</v>
      </c>
      <c r="G1475">
        <v>5</v>
      </c>
      <c r="H1475">
        <v>10.3</v>
      </c>
      <c r="I1475">
        <v>2.2000000000000002</v>
      </c>
      <c r="J1475">
        <v>18</v>
      </c>
    </row>
    <row r="1476" spans="2:10" x14ac:dyDescent="0.25">
      <c r="B1476" t="s">
        <v>2722</v>
      </c>
      <c r="C1476" s="16" t="s">
        <v>13190</v>
      </c>
      <c r="D1476" s="16"/>
      <c r="E1476">
        <v>24.8</v>
      </c>
      <c r="F1476">
        <v>17</v>
      </c>
      <c r="G1476">
        <v>5</v>
      </c>
      <c r="H1476">
        <v>10.3</v>
      </c>
      <c r="I1476">
        <v>2.2000000000000002</v>
      </c>
      <c r="J1476">
        <v>18</v>
      </c>
    </row>
    <row r="1477" spans="2:10" x14ac:dyDescent="0.25">
      <c r="B1477" t="s">
        <v>19452</v>
      </c>
      <c r="C1477" s="16" t="s">
        <v>13190</v>
      </c>
      <c r="D1477" s="16"/>
      <c r="E1477">
        <v>35</v>
      </c>
      <c r="F1477">
        <v>17</v>
      </c>
      <c r="G1477">
        <v>5</v>
      </c>
      <c r="H1477">
        <v>10.3</v>
      </c>
      <c r="I1477">
        <v>2.2000000000000002</v>
      </c>
      <c r="J1477">
        <v>18</v>
      </c>
    </row>
    <row r="1478" spans="2:10" x14ac:dyDescent="0.25">
      <c r="B1478" t="s">
        <v>2710</v>
      </c>
      <c r="C1478" s="16" t="s">
        <v>13190</v>
      </c>
      <c r="D1478" s="16"/>
      <c r="E1478">
        <v>177.19</v>
      </c>
      <c r="F1478">
        <v>12</v>
      </c>
      <c r="G1478">
        <v>5</v>
      </c>
      <c r="H1478">
        <v>10.3</v>
      </c>
      <c r="I1478">
        <v>2.2000000000000002</v>
      </c>
      <c r="J1478">
        <v>18</v>
      </c>
    </row>
    <row r="1479" spans="2:10" x14ac:dyDescent="0.25">
      <c r="B1479" t="s">
        <v>2713</v>
      </c>
      <c r="C1479" s="16" t="s">
        <v>13190</v>
      </c>
      <c r="D1479" s="16"/>
      <c r="E1479">
        <v>62</v>
      </c>
      <c r="F1479">
        <v>19</v>
      </c>
      <c r="G1479">
        <v>5</v>
      </c>
      <c r="H1479">
        <v>10.3</v>
      </c>
      <c r="I1479">
        <v>2.2000000000000002</v>
      </c>
      <c r="J1479">
        <v>18</v>
      </c>
    </row>
    <row r="1480" spans="2:10" x14ac:dyDescent="0.25">
      <c r="B1480" t="s">
        <v>19453</v>
      </c>
      <c r="C1480" s="16" t="s">
        <v>13190</v>
      </c>
      <c r="D1480" s="16"/>
      <c r="E1480" t="s">
        <v>19447</v>
      </c>
      <c r="F1480">
        <v>17</v>
      </c>
      <c r="G1480">
        <v>5</v>
      </c>
      <c r="H1480">
        <v>10.3</v>
      </c>
      <c r="I1480">
        <v>2.2000000000000002</v>
      </c>
      <c r="J1480">
        <v>18</v>
      </c>
    </row>
    <row r="1481" spans="2:10" x14ac:dyDescent="0.25">
      <c r="B1481" t="s">
        <v>19454</v>
      </c>
      <c r="C1481" s="16" t="s">
        <v>13190</v>
      </c>
      <c r="D1481" s="16"/>
      <c r="E1481">
        <v>35</v>
      </c>
      <c r="F1481">
        <v>17</v>
      </c>
      <c r="G1481">
        <v>5</v>
      </c>
      <c r="H1481">
        <v>10.3</v>
      </c>
      <c r="I1481">
        <v>2.2000000000000002</v>
      </c>
      <c r="J1481">
        <v>18</v>
      </c>
    </row>
    <row r="1482" spans="2:10" x14ac:dyDescent="0.25">
      <c r="B1482" t="s">
        <v>19455</v>
      </c>
      <c r="C1482" s="16" t="s">
        <v>13190</v>
      </c>
      <c r="D1482" s="16"/>
      <c r="E1482">
        <v>35</v>
      </c>
      <c r="F1482">
        <v>17</v>
      </c>
      <c r="G1482">
        <v>5</v>
      </c>
      <c r="H1482">
        <v>10.3</v>
      </c>
      <c r="I1482">
        <v>2.2000000000000002</v>
      </c>
      <c r="J1482">
        <v>18</v>
      </c>
    </row>
    <row r="1483" spans="2:10" x14ac:dyDescent="0.25">
      <c r="B1483" t="s">
        <v>2712</v>
      </c>
      <c r="C1483" s="16" t="s">
        <v>13190</v>
      </c>
      <c r="D1483" s="16"/>
      <c r="E1483">
        <v>24.8</v>
      </c>
      <c r="F1483">
        <v>17</v>
      </c>
      <c r="G1483">
        <v>5</v>
      </c>
      <c r="H1483">
        <v>10.3</v>
      </c>
      <c r="I1483">
        <v>2.2000000000000002</v>
      </c>
      <c r="J1483">
        <v>18</v>
      </c>
    </row>
    <row r="1484" spans="2:10" x14ac:dyDescent="0.25">
      <c r="B1484" t="s">
        <v>2711</v>
      </c>
      <c r="C1484" s="16" t="s">
        <v>13190</v>
      </c>
      <c r="D1484" s="16"/>
      <c r="E1484">
        <v>20</v>
      </c>
      <c r="F1484">
        <v>17</v>
      </c>
      <c r="G1484">
        <v>5</v>
      </c>
      <c r="H1484">
        <v>10.3</v>
      </c>
      <c r="I1484">
        <v>2.2000000000000002</v>
      </c>
      <c r="J1484">
        <v>18</v>
      </c>
    </row>
    <row r="1485" spans="2:10" x14ac:dyDescent="0.25">
      <c r="B1485" t="s">
        <v>19456</v>
      </c>
      <c r="C1485" s="16" t="s">
        <v>13190</v>
      </c>
      <c r="D1485" s="16"/>
      <c r="E1485">
        <v>35</v>
      </c>
      <c r="F1485">
        <v>17</v>
      </c>
      <c r="G1485">
        <v>5</v>
      </c>
      <c r="H1485">
        <v>10.3</v>
      </c>
      <c r="I1485">
        <v>2.2000000000000002</v>
      </c>
      <c r="J1485">
        <v>18</v>
      </c>
    </row>
    <row r="1486" spans="2:10" x14ac:dyDescent="0.25">
      <c r="B1486" t="s">
        <v>2709</v>
      </c>
      <c r="C1486" s="16" t="s">
        <v>13190</v>
      </c>
      <c r="D1486" s="16"/>
      <c r="E1486">
        <v>219.7</v>
      </c>
      <c r="F1486">
        <v>18</v>
      </c>
      <c r="G1486">
        <v>5</v>
      </c>
      <c r="H1486">
        <v>10.3</v>
      </c>
      <c r="I1486">
        <v>2.2000000000000002</v>
      </c>
      <c r="J1486">
        <v>18</v>
      </c>
    </row>
    <row r="1487" spans="2:10" x14ac:dyDescent="0.25">
      <c r="B1487" t="s">
        <v>19457</v>
      </c>
      <c r="C1487" s="16" t="s">
        <v>13190</v>
      </c>
      <c r="D1487" s="16"/>
      <c r="E1487">
        <v>35</v>
      </c>
      <c r="F1487">
        <v>17</v>
      </c>
      <c r="G1487">
        <v>5</v>
      </c>
      <c r="H1487">
        <v>10.3</v>
      </c>
      <c r="I1487">
        <v>2.2000000000000002</v>
      </c>
      <c r="J1487">
        <v>18</v>
      </c>
    </row>
  </sheetData>
  <pageMargins left="0.511811024" right="0.511811024" top="0.78740157499999996" bottom="0.78740157499999996" header="0.31496062000000002" footer="0.31496062000000002"/>
  <pageSetup paperSize="9" orientation="portrait" horizontalDpi="0" verticalDpi="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3:F2069"/>
  <sheetViews>
    <sheetView workbookViewId="0">
      <selection activeCell="A12" sqref="A12"/>
    </sheetView>
  </sheetViews>
  <sheetFormatPr defaultRowHeight="15" x14ac:dyDescent="0.25"/>
  <cols>
    <col min="4" max="4" width="116.5703125" customWidth="1"/>
  </cols>
  <sheetData>
    <row r="3" spans="4:6" x14ac:dyDescent="0.25">
      <c r="D3" t="s">
        <v>4466</v>
      </c>
      <c r="E3" t="s">
        <v>4467</v>
      </c>
      <c r="F3" t="s">
        <v>4468</v>
      </c>
    </row>
    <row r="4" spans="4:6" x14ac:dyDescent="0.25">
      <c r="D4" t="s">
        <v>4512</v>
      </c>
      <c r="E4">
        <f>1</f>
        <v>1</v>
      </c>
      <c r="F4" t="str">
        <f>TRIM('Tabela Federal'!$D4)</f>
        <v>123123121213213</v>
      </c>
    </row>
    <row r="5" spans="4:6" x14ac:dyDescent="0.25">
      <c r="D5" t="s">
        <v>3150</v>
      </c>
      <c r="E5">
        <f>1</f>
        <v>1</v>
      </c>
      <c r="F5" t="str">
        <f>TRIM('Tabela Federal'!$D5)</f>
        <v>ABACAVIR</v>
      </c>
    </row>
    <row r="6" spans="4:6" x14ac:dyDescent="0.25">
      <c r="D6" t="s">
        <v>4513</v>
      </c>
      <c r="E6">
        <f>1</f>
        <v>1</v>
      </c>
      <c r="F6" t="str">
        <f>TRIM('Tabela Federal'!$D6)</f>
        <v>ABATACEPTE</v>
      </c>
    </row>
    <row r="7" spans="4:6" x14ac:dyDescent="0.25">
      <c r="D7" t="s">
        <v>3151</v>
      </c>
      <c r="E7">
        <f>1</f>
        <v>1</v>
      </c>
      <c r="F7" t="str">
        <f>TRIM('Tabela Federal'!$D7)</f>
        <v>ABCIXIMABE</v>
      </c>
    </row>
    <row r="8" spans="4:6" x14ac:dyDescent="0.25">
      <c r="D8" t="s">
        <v>3152</v>
      </c>
      <c r="E8">
        <f>1</f>
        <v>1</v>
      </c>
      <c r="F8" t="str">
        <f>TRIM('Tabela Federal'!$D8)</f>
        <v>ACAMPROSATO</v>
      </c>
    </row>
    <row r="9" spans="4:6" x14ac:dyDescent="0.25">
      <c r="D9" t="s">
        <v>3153</v>
      </c>
      <c r="E9">
        <f>1</f>
        <v>1</v>
      </c>
      <c r="F9" t="str">
        <f>TRIM('Tabela Federal'!$D9)</f>
        <v>ACARBOSE</v>
      </c>
    </row>
    <row r="10" spans="4:6" x14ac:dyDescent="0.25">
      <c r="D10" t="s">
        <v>3154</v>
      </c>
      <c r="E10">
        <f>1</f>
        <v>1</v>
      </c>
      <c r="F10" t="str">
        <f>TRIM('Tabela Federal'!$D10)</f>
        <v>ACEBROFILINA</v>
      </c>
    </row>
    <row r="11" spans="4:6" x14ac:dyDescent="0.25">
      <c r="D11" t="s">
        <v>3155</v>
      </c>
      <c r="E11">
        <f>1</f>
        <v>1</v>
      </c>
      <c r="F11" t="str">
        <f>TRIM('Tabela Federal'!$D11)</f>
        <v>ACECLOFENACO</v>
      </c>
    </row>
    <row r="12" spans="4:6" x14ac:dyDescent="0.25">
      <c r="D12" t="s">
        <v>3206</v>
      </c>
      <c r="E12">
        <f>1</f>
        <v>1</v>
      </c>
      <c r="F12" t="str">
        <f>TRIM('Tabela Federal'!$D12)</f>
        <v>ACEFILINATO DE HEPTAMINOL</v>
      </c>
    </row>
    <row r="13" spans="4:6" x14ac:dyDescent="0.25">
      <c r="D13" t="s">
        <v>3156</v>
      </c>
      <c r="E13">
        <f>1</f>
        <v>1</v>
      </c>
      <c r="F13" t="str">
        <f>TRIM('Tabela Federal'!$D13)</f>
        <v>ACEMETACINA</v>
      </c>
    </row>
    <row r="14" spans="4:6" x14ac:dyDescent="0.25">
      <c r="D14" t="s">
        <v>3207</v>
      </c>
      <c r="E14">
        <f>1</f>
        <v>1</v>
      </c>
      <c r="F14" t="str">
        <f>TRIM('Tabela Federal'!$D14)</f>
        <v>ACETATO DE ANECORTAVE</v>
      </c>
    </row>
    <row r="15" spans="4:6" x14ac:dyDescent="0.25">
      <c r="D15" t="s">
        <v>3208</v>
      </c>
      <c r="E15">
        <f>1</f>
        <v>1</v>
      </c>
      <c r="F15" t="str">
        <f>TRIM('Tabela Federal'!$D15)</f>
        <v>ACETATO DE ATOSIBANA</v>
      </c>
    </row>
    <row r="16" spans="4:6" x14ac:dyDescent="0.25">
      <c r="D16" t="s">
        <v>3209</v>
      </c>
      <c r="E16">
        <f>1</f>
        <v>1</v>
      </c>
      <c r="F16" t="str">
        <f>TRIM('Tabela Federal'!$D16)</f>
        <v>ACETATO DE BETAMETASONA</v>
      </c>
    </row>
    <row r="17" spans="4:6" x14ac:dyDescent="0.25">
      <c r="D17" t="s">
        <v>3210</v>
      </c>
      <c r="E17">
        <f>1</f>
        <v>1</v>
      </c>
      <c r="F17" t="str">
        <f>TRIM('Tabela Federal'!$D17)</f>
        <v>ACETATO DE BUSSERRELINA</v>
      </c>
    </row>
    <row r="18" spans="4:6" x14ac:dyDescent="0.25">
      <c r="D18" t="s">
        <v>3211</v>
      </c>
      <c r="E18">
        <f>1</f>
        <v>1</v>
      </c>
      <c r="F18" t="str">
        <f>TRIM('Tabela Federal'!$D18)</f>
        <v>ACETATO DE CASPOFUNGINA</v>
      </c>
    </row>
    <row r="19" spans="4:6" x14ac:dyDescent="0.25">
      <c r="D19" t="s">
        <v>3212</v>
      </c>
      <c r="E19">
        <f>1</f>
        <v>1</v>
      </c>
      <c r="F19" t="str">
        <f>TRIM('Tabela Federal'!$D19)</f>
        <v>ACETATO DE CETRORRELIX</v>
      </c>
    </row>
    <row r="20" spans="4:6" x14ac:dyDescent="0.25">
      <c r="D20" t="s">
        <v>3213</v>
      </c>
      <c r="E20">
        <f>1</f>
        <v>1</v>
      </c>
      <c r="F20" t="str">
        <f>TRIM('Tabela Federal'!$D20)</f>
        <v>ACETATO DE CIPROTERONA</v>
      </c>
    </row>
    <row r="21" spans="4:6" x14ac:dyDescent="0.25">
      <c r="D21" t="s">
        <v>3213</v>
      </c>
      <c r="E21">
        <f>1</f>
        <v>1</v>
      </c>
      <c r="F21" t="str">
        <f>TRIM('Tabela Federal'!$D21)</f>
        <v>ACETATO DE CIPROTERONA</v>
      </c>
    </row>
    <row r="22" spans="4:6" x14ac:dyDescent="0.25">
      <c r="D22" t="s">
        <v>3213</v>
      </c>
      <c r="E22">
        <f>1</f>
        <v>1</v>
      </c>
      <c r="F22" t="str">
        <f>TRIM('Tabela Federal'!$D22)</f>
        <v>ACETATO DE CIPROTERONA</v>
      </c>
    </row>
    <row r="23" spans="4:6" x14ac:dyDescent="0.25">
      <c r="D23" t="s">
        <v>3214</v>
      </c>
      <c r="E23">
        <f>1</f>
        <v>1</v>
      </c>
      <c r="F23" t="str">
        <f>TRIM('Tabela Federal'!$D23)</f>
        <v>ACETATO DE CLORMADINONA</v>
      </c>
    </row>
    <row r="24" spans="4:6" x14ac:dyDescent="0.25">
      <c r="D24" t="s">
        <v>3215</v>
      </c>
      <c r="E24">
        <f>1</f>
        <v>1</v>
      </c>
      <c r="F24" t="str">
        <f>TRIM('Tabela Federal'!$D24)</f>
        <v>ACETATO DE CORTISONA</v>
      </c>
    </row>
    <row r="25" spans="4:6" x14ac:dyDescent="0.25">
      <c r="D25" t="s">
        <v>4514</v>
      </c>
      <c r="E25">
        <f>1</f>
        <v>1</v>
      </c>
      <c r="F25" t="str">
        <f>TRIM('Tabela Federal'!$D25)</f>
        <v>ACETATO DE DEGARELIX</v>
      </c>
    </row>
    <row r="26" spans="4:6" x14ac:dyDescent="0.25">
      <c r="D26" t="s">
        <v>3216</v>
      </c>
      <c r="E26">
        <f>1</f>
        <v>1</v>
      </c>
      <c r="F26" t="str">
        <f>TRIM('Tabela Federal'!$D26)</f>
        <v>ACETATO DE DESMOPRESSINA</v>
      </c>
    </row>
    <row r="27" spans="4:6" x14ac:dyDescent="0.25">
      <c r="D27" t="s">
        <v>3217</v>
      </c>
      <c r="E27">
        <f>1</f>
        <v>1</v>
      </c>
      <c r="F27" t="str">
        <f>TRIM('Tabela Federal'!$D27)</f>
        <v>ACETATO DE DEXAMETASONA</v>
      </c>
    </row>
    <row r="28" spans="4:6" x14ac:dyDescent="0.25">
      <c r="D28" t="s">
        <v>3217</v>
      </c>
      <c r="E28">
        <f>1</f>
        <v>1</v>
      </c>
      <c r="F28" t="str">
        <f>TRIM('Tabela Federal'!$D28)</f>
        <v>ACETATO DE DEXAMETASONA</v>
      </c>
    </row>
    <row r="29" spans="4:6" x14ac:dyDescent="0.25">
      <c r="D29" t="s">
        <v>3217</v>
      </c>
      <c r="E29">
        <f>1</f>
        <v>1</v>
      </c>
      <c r="F29" t="str">
        <f>TRIM('Tabela Federal'!$D29)</f>
        <v>ACETATO DE DEXAMETASONA</v>
      </c>
    </row>
    <row r="30" spans="4:6" x14ac:dyDescent="0.25">
      <c r="D30" t="s">
        <v>3218</v>
      </c>
      <c r="E30">
        <f>1</f>
        <v>1</v>
      </c>
      <c r="F30" t="str">
        <f>TRIM('Tabela Federal'!$D30)</f>
        <v>ACETATO DE DEXTROALFATOCOFEROL</v>
      </c>
    </row>
    <row r="31" spans="4:6" x14ac:dyDescent="0.25">
      <c r="D31" t="s">
        <v>3219</v>
      </c>
      <c r="E31">
        <f>1</f>
        <v>1</v>
      </c>
      <c r="F31" t="str">
        <f>TRIM('Tabela Federal'!$D31)</f>
        <v>ACETATO DE FLUDROCORTISONA</v>
      </c>
    </row>
    <row r="32" spans="4:6" x14ac:dyDescent="0.25">
      <c r="D32" t="s">
        <v>3219</v>
      </c>
      <c r="E32">
        <f>1</f>
        <v>1</v>
      </c>
      <c r="F32" t="str">
        <f>TRIM('Tabela Federal'!$D32)</f>
        <v>ACETATO DE FLUDROCORTISONA</v>
      </c>
    </row>
    <row r="33" spans="4:6" x14ac:dyDescent="0.25">
      <c r="D33" t="s">
        <v>3219</v>
      </c>
      <c r="E33">
        <f>1</f>
        <v>1</v>
      </c>
      <c r="F33" t="str">
        <f>TRIM('Tabela Federal'!$D33)</f>
        <v>ACETATO DE FLUDROCORTISONA</v>
      </c>
    </row>
    <row r="34" spans="4:6" x14ac:dyDescent="0.25">
      <c r="D34" t="s">
        <v>3220</v>
      </c>
      <c r="E34">
        <f>1</f>
        <v>1</v>
      </c>
      <c r="F34" t="str">
        <f>TRIM('Tabela Federal'!$D34)</f>
        <v>ACETATO DE GANIRRELIX</v>
      </c>
    </row>
    <row r="35" spans="4:6" x14ac:dyDescent="0.25">
      <c r="D35" t="s">
        <v>4191</v>
      </c>
      <c r="E35">
        <f>1</f>
        <v>1</v>
      </c>
      <c r="F35" t="str">
        <f>TRIM('Tabela Federal'!$D35)</f>
        <v>ACETATO DE GLATIRAMER</v>
      </c>
    </row>
    <row r="36" spans="4:6" x14ac:dyDescent="0.25">
      <c r="D36" t="s">
        <v>3221</v>
      </c>
      <c r="E36">
        <f>1</f>
        <v>1</v>
      </c>
      <c r="F36" t="str">
        <f>TRIM('Tabela Federal'!$D36)</f>
        <v>ACETATO DE GOSSERRELINA</v>
      </c>
    </row>
    <row r="37" spans="4:6" x14ac:dyDescent="0.25">
      <c r="D37" t="s">
        <v>3222</v>
      </c>
      <c r="E37">
        <f>1</f>
        <v>1</v>
      </c>
      <c r="F37" t="str">
        <f>TRIM('Tabela Federal'!$D37)</f>
        <v>ACETATO DE GUANABENZO</v>
      </c>
    </row>
    <row r="38" spans="4:6" x14ac:dyDescent="0.25">
      <c r="D38" t="s">
        <v>3223</v>
      </c>
      <c r="E38">
        <f>1</f>
        <v>1</v>
      </c>
      <c r="F38" t="str">
        <f>TRIM('Tabela Federal'!$D38)</f>
        <v>ACETATO DE LANREOTIDA</v>
      </c>
    </row>
    <row r="39" spans="4:6" x14ac:dyDescent="0.25">
      <c r="D39" t="s">
        <v>3224</v>
      </c>
      <c r="E39">
        <f>1</f>
        <v>1</v>
      </c>
      <c r="F39" t="str">
        <f>TRIM('Tabela Federal'!$D39)</f>
        <v>ACETATO DE LEUPRORRELINA</v>
      </c>
    </row>
    <row r="40" spans="4:6" x14ac:dyDescent="0.25">
      <c r="D40" t="s">
        <v>3225</v>
      </c>
      <c r="E40">
        <f>1</f>
        <v>1</v>
      </c>
      <c r="F40" t="str">
        <f>TRIM('Tabela Federal'!$D40)</f>
        <v>ACETATO DE LISINA</v>
      </c>
    </row>
    <row r="41" spans="4:6" x14ac:dyDescent="0.25">
      <c r="D41" t="s">
        <v>4237</v>
      </c>
      <c r="E41">
        <f>1</f>
        <v>1</v>
      </c>
      <c r="F41" t="str">
        <f>TRIM('Tabela Federal'!$D41)</f>
        <v>ACETATO DE MAGNESIO</v>
      </c>
    </row>
    <row r="42" spans="4:6" x14ac:dyDescent="0.25">
      <c r="D42" t="s">
        <v>2613</v>
      </c>
      <c r="E42">
        <f>1</f>
        <v>1</v>
      </c>
      <c r="F42" t="str">
        <f>TRIM('Tabela Federal'!$D42)</f>
        <v>ACETATO DE MEDROXIPROGESTERONA</v>
      </c>
    </row>
    <row r="43" spans="4:6" x14ac:dyDescent="0.25">
      <c r="D43" t="s">
        <v>2613</v>
      </c>
      <c r="E43">
        <f>1</f>
        <v>1</v>
      </c>
      <c r="F43" t="str">
        <f>TRIM('Tabela Federal'!$D43)</f>
        <v>ACETATO DE MEDROXIPROGESTERONA</v>
      </c>
    </row>
    <row r="44" spans="4:6" x14ac:dyDescent="0.25">
      <c r="D44" t="s">
        <v>2613</v>
      </c>
      <c r="E44">
        <f>1</f>
        <v>1</v>
      </c>
      <c r="F44" t="str">
        <f>TRIM('Tabela Federal'!$D44)</f>
        <v>ACETATO DE MEDROXIPROGESTERONA</v>
      </c>
    </row>
    <row r="45" spans="4:6" x14ac:dyDescent="0.25">
      <c r="D45" t="s">
        <v>2613</v>
      </c>
      <c r="E45">
        <f>1</f>
        <v>1</v>
      </c>
      <c r="F45" t="str">
        <f>TRIM('Tabela Federal'!$D45)</f>
        <v>ACETATO DE MEDROXIPROGESTERONA</v>
      </c>
    </row>
    <row r="46" spans="4:6" x14ac:dyDescent="0.25">
      <c r="D46" t="s">
        <v>3226</v>
      </c>
      <c r="E46">
        <f>1</f>
        <v>1</v>
      </c>
      <c r="F46" t="str">
        <f>TRIM('Tabela Federal'!$D46)</f>
        <v>ACETATO DE MEGESTROL</v>
      </c>
    </row>
    <row r="47" spans="4:6" x14ac:dyDescent="0.25">
      <c r="D47" t="s">
        <v>3227</v>
      </c>
      <c r="E47">
        <f>1</f>
        <v>1</v>
      </c>
      <c r="F47" t="str">
        <f>TRIM('Tabela Federal'!$D47)</f>
        <v>ACETATO DE METILPREDNISOLONA</v>
      </c>
    </row>
    <row r="48" spans="4:6" x14ac:dyDescent="0.25">
      <c r="D48" t="s">
        <v>3228</v>
      </c>
      <c r="E48">
        <f>1</f>
        <v>1</v>
      </c>
      <c r="F48" t="str">
        <f>TRIM('Tabela Federal'!$D48)</f>
        <v>ACETATO DE NAFARRELINA</v>
      </c>
    </row>
    <row r="49" spans="4:6" x14ac:dyDescent="0.25">
      <c r="D49" t="s">
        <v>3229</v>
      </c>
      <c r="E49">
        <f>1</f>
        <v>1</v>
      </c>
      <c r="F49" t="str">
        <f>TRIM('Tabela Federal'!$D49)</f>
        <v>ACETATO DE NOMEGESTROL</v>
      </c>
    </row>
    <row r="50" spans="4:6" x14ac:dyDescent="0.25">
      <c r="D50" t="s">
        <v>3230</v>
      </c>
      <c r="E50">
        <f>1</f>
        <v>1</v>
      </c>
      <c r="F50" t="str">
        <f>TRIM('Tabela Federal'!$D50)</f>
        <v>ACETATO DE NORETISTERONA</v>
      </c>
    </row>
    <row r="51" spans="4:6" x14ac:dyDescent="0.25">
      <c r="D51" t="s">
        <v>3230</v>
      </c>
      <c r="E51">
        <f>1</f>
        <v>1</v>
      </c>
      <c r="F51" t="str">
        <f>TRIM('Tabela Federal'!$D51)</f>
        <v>ACETATO DE NORETISTERONA</v>
      </c>
    </row>
    <row r="52" spans="4:6" x14ac:dyDescent="0.25">
      <c r="D52" t="s">
        <v>3230</v>
      </c>
      <c r="E52">
        <f>1</f>
        <v>1</v>
      </c>
      <c r="F52" t="str">
        <f>TRIM('Tabela Federal'!$D52)</f>
        <v>ACETATO DE NORETISTERONA</v>
      </c>
    </row>
    <row r="53" spans="4:6" x14ac:dyDescent="0.25">
      <c r="D53" t="s">
        <v>3230</v>
      </c>
      <c r="E53">
        <f>1</f>
        <v>1</v>
      </c>
      <c r="F53" t="str">
        <f>TRIM('Tabela Federal'!$D53)</f>
        <v>ACETATO DE NORETISTERONA</v>
      </c>
    </row>
    <row r="54" spans="4:6" x14ac:dyDescent="0.25">
      <c r="D54" t="s">
        <v>3231</v>
      </c>
      <c r="E54">
        <f>1</f>
        <v>1</v>
      </c>
      <c r="F54" t="str">
        <f>TRIM('Tabela Federal'!$D54)</f>
        <v>ACETATO DE OCTREOTIDA</v>
      </c>
    </row>
    <row r="55" spans="4:6" x14ac:dyDescent="0.25">
      <c r="D55" t="s">
        <v>4192</v>
      </c>
      <c r="E55">
        <f>1</f>
        <v>1</v>
      </c>
      <c r="F55" t="str">
        <f>TRIM('Tabela Federal'!$D55)</f>
        <v>ACETATO DE POTASSIO</v>
      </c>
    </row>
    <row r="56" spans="4:6" x14ac:dyDescent="0.25">
      <c r="D56" t="s">
        <v>3232</v>
      </c>
      <c r="E56">
        <f>1</f>
        <v>1</v>
      </c>
      <c r="F56" t="str">
        <f>TRIM('Tabela Federal'!$D56)</f>
        <v>ACETATO DE PREDNISOLONA</v>
      </c>
    </row>
    <row r="57" spans="4:6" x14ac:dyDescent="0.25">
      <c r="D57" t="s">
        <v>3232</v>
      </c>
      <c r="E57">
        <f>1</f>
        <v>1</v>
      </c>
      <c r="F57" t="str">
        <f>TRIM('Tabela Federal'!$D57)</f>
        <v>ACETATO DE PREDNISOLONA</v>
      </c>
    </row>
    <row r="58" spans="4:6" x14ac:dyDescent="0.25">
      <c r="D58" t="s">
        <v>3232</v>
      </c>
      <c r="E58">
        <f>1</f>
        <v>1</v>
      </c>
      <c r="F58" t="str">
        <f>TRIM('Tabela Federal'!$D58)</f>
        <v>ACETATO DE PREDNISOLONA</v>
      </c>
    </row>
    <row r="59" spans="4:6" x14ac:dyDescent="0.25">
      <c r="D59" t="s">
        <v>3232</v>
      </c>
      <c r="E59">
        <f>1</f>
        <v>1</v>
      </c>
      <c r="F59" t="str">
        <f>TRIM('Tabela Federal'!$D59)</f>
        <v>ACETATO DE PREDNISOLONA</v>
      </c>
    </row>
    <row r="60" spans="4:6" x14ac:dyDescent="0.25">
      <c r="D60" t="s">
        <v>4334</v>
      </c>
      <c r="E60">
        <f>1</f>
        <v>1</v>
      </c>
      <c r="F60" t="str">
        <f>TRIM('Tabela Federal'!$D60)</f>
        <v>ACETATO DE SODIO</v>
      </c>
    </row>
    <row r="61" spans="4:6" x14ac:dyDescent="0.25">
      <c r="D61" t="s">
        <v>3233</v>
      </c>
      <c r="E61">
        <f>1</f>
        <v>1</v>
      </c>
      <c r="F61" t="str">
        <f>TRIM('Tabela Federal'!$D61)</f>
        <v>ACETATO DE SOMATOSTATINA</v>
      </c>
    </row>
    <row r="62" spans="4:6" x14ac:dyDescent="0.25">
      <c r="D62" t="s">
        <v>3234</v>
      </c>
      <c r="E62">
        <f>1</f>
        <v>1</v>
      </c>
      <c r="F62" t="str">
        <f>TRIM('Tabela Federal'!$D62)</f>
        <v>ACETATO DE TERIPARATIDA</v>
      </c>
    </row>
    <row r="63" spans="4:6" x14ac:dyDescent="0.25">
      <c r="D63" t="s">
        <v>3235</v>
      </c>
      <c r="E63">
        <f>1</f>
        <v>1</v>
      </c>
      <c r="F63" t="str">
        <f>TRIM('Tabela Federal'!$D63)</f>
        <v>ACETATO DE TERLIPRESSINA</v>
      </c>
    </row>
    <row r="64" spans="4:6" x14ac:dyDescent="0.25">
      <c r="D64" t="s">
        <v>3236</v>
      </c>
      <c r="E64">
        <f>1</f>
        <v>1</v>
      </c>
      <c r="F64" t="str">
        <f>TRIM('Tabela Federal'!$D64)</f>
        <v>ACETATO DE TRIPTORRELINA</v>
      </c>
    </row>
    <row r="65" spans="4:6" x14ac:dyDescent="0.25">
      <c r="D65" t="s">
        <v>3237</v>
      </c>
      <c r="E65">
        <f>1</f>
        <v>1</v>
      </c>
      <c r="F65" t="str">
        <f>TRIM('Tabela Federal'!$D65)</f>
        <v>ACETATO DE ZINCO</v>
      </c>
    </row>
    <row r="66" spans="4:6" x14ac:dyDescent="0.25">
      <c r="D66" t="s">
        <v>3238</v>
      </c>
      <c r="E66">
        <f>1</f>
        <v>1</v>
      </c>
      <c r="F66" t="str">
        <f>TRIM('Tabela Federal'!$D66)</f>
        <v>ACETATO DE ZUCLOPENTIXOL</v>
      </c>
    </row>
    <row r="67" spans="4:6" x14ac:dyDescent="0.25">
      <c r="D67" t="s">
        <v>3239</v>
      </c>
      <c r="E67">
        <f>1</f>
        <v>1</v>
      </c>
      <c r="F67" t="str">
        <f>TRIM('Tabela Federal'!$D67)</f>
        <v>ACETAZOLAMIDA</v>
      </c>
    </row>
    <row r="68" spans="4:6" x14ac:dyDescent="0.25">
      <c r="D68" t="s">
        <v>3240</v>
      </c>
      <c r="E68">
        <f>1</f>
        <v>1</v>
      </c>
      <c r="F68" t="str">
        <f>TRIM('Tabela Federal'!$D68)</f>
        <v>ACETILTIROSINA</v>
      </c>
    </row>
    <row r="69" spans="4:6" x14ac:dyDescent="0.25">
      <c r="D69" t="s">
        <v>4639</v>
      </c>
      <c r="E69">
        <f>1</f>
        <v>1</v>
      </c>
      <c r="F69" t="str">
        <f>TRIM('Tabela Federal'!$D69)</f>
        <v>ACICLOVIR</v>
      </c>
    </row>
    <row r="70" spans="4:6" x14ac:dyDescent="0.25">
      <c r="D70" t="s">
        <v>4335</v>
      </c>
      <c r="E70">
        <f>1</f>
        <v>1</v>
      </c>
      <c r="F70" t="str">
        <f>TRIM('Tabela Federal'!$D70)</f>
        <v>ACICLOVIR SODICO</v>
      </c>
    </row>
    <row r="71" spans="4:6" x14ac:dyDescent="0.25">
      <c r="D71" t="s">
        <v>4238</v>
      </c>
      <c r="E71">
        <f>1</f>
        <v>1</v>
      </c>
      <c r="F71" t="str">
        <f>TRIM('Tabela Federal'!$D71)</f>
        <v>ACIDO ACETICO</v>
      </c>
    </row>
    <row r="72" spans="4:6" x14ac:dyDescent="0.25">
      <c r="D72" t="s">
        <v>4277</v>
      </c>
      <c r="E72">
        <f>1</f>
        <v>1</v>
      </c>
      <c r="F72" t="str">
        <f>TRIM('Tabela Federal'!$D72)</f>
        <v>ACIDO ACETIL SALICILICO</v>
      </c>
    </row>
    <row r="73" spans="4:6" x14ac:dyDescent="0.25">
      <c r="D73" t="s">
        <v>4278</v>
      </c>
      <c r="E73">
        <f>1</f>
        <v>1</v>
      </c>
      <c r="F73" t="str">
        <f>TRIM('Tabela Federal'!$D73)</f>
        <v>ACIDO ACETILSALICILICO</v>
      </c>
    </row>
    <row r="74" spans="4:6" x14ac:dyDescent="0.25">
      <c r="D74" t="s">
        <v>4278</v>
      </c>
      <c r="E74">
        <f>1</f>
        <v>1</v>
      </c>
      <c r="F74" t="str">
        <f>TRIM('Tabela Federal'!$D74)</f>
        <v>ACIDO ACETILSALICILICO</v>
      </c>
    </row>
    <row r="75" spans="4:6" x14ac:dyDescent="0.25">
      <c r="D75" t="s">
        <v>4278</v>
      </c>
      <c r="E75">
        <f>1</f>
        <v>1</v>
      </c>
      <c r="F75" t="str">
        <f>TRIM('Tabela Federal'!$D75)</f>
        <v>ACIDO ACETILSALICILICO</v>
      </c>
    </row>
    <row r="76" spans="4:6" x14ac:dyDescent="0.25">
      <c r="D76" t="s">
        <v>4336</v>
      </c>
      <c r="E76">
        <f>1</f>
        <v>1</v>
      </c>
      <c r="F76" t="str">
        <f>TRIM('Tabela Federal'!$D76)</f>
        <v>ACIDO AMINOCAPROICO</v>
      </c>
    </row>
    <row r="77" spans="4:6" x14ac:dyDescent="0.25">
      <c r="D77" t="s">
        <v>4337</v>
      </c>
      <c r="E77">
        <f>1</f>
        <v>1</v>
      </c>
      <c r="F77" t="str">
        <f>TRIM('Tabela Federal'!$D77)</f>
        <v>ACIDO ARAQUIDONICO</v>
      </c>
    </row>
    <row r="78" spans="4:6" x14ac:dyDescent="0.25">
      <c r="D78" t="s">
        <v>4338</v>
      </c>
      <c r="E78">
        <f>1</f>
        <v>1</v>
      </c>
      <c r="F78" t="str">
        <f>TRIM('Tabela Federal'!$D78)</f>
        <v>ACIDO ASCORBICO</v>
      </c>
    </row>
    <row r="79" spans="4:6" x14ac:dyDescent="0.25">
      <c r="D79" t="s">
        <v>4193</v>
      </c>
      <c r="E79">
        <f>1</f>
        <v>1</v>
      </c>
      <c r="F79" t="str">
        <f>TRIM('Tabela Federal'!$D79)</f>
        <v>ACIDO ASPARTICO</v>
      </c>
    </row>
    <row r="80" spans="4:6" x14ac:dyDescent="0.25">
      <c r="D80" t="s">
        <v>4339</v>
      </c>
      <c r="E80">
        <f>1</f>
        <v>1</v>
      </c>
      <c r="F80" t="str">
        <f>TRIM('Tabela Federal'!$D80)</f>
        <v>ACIDO BENZOICO</v>
      </c>
    </row>
    <row r="81" spans="4:6" x14ac:dyDescent="0.25">
      <c r="D81" t="s">
        <v>4340</v>
      </c>
      <c r="E81">
        <f>1</f>
        <v>1</v>
      </c>
      <c r="F81" t="str">
        <f>TRIM('Tabela Federal'!$D81)</f>
        <v>ACIDO BORICO</v>
      </c>
    </row>
    <row r="82" spans="4:6" x14ac:dyDescent="0.25">
      <c r="D82" t="s">
        <v>4340</v>
      </c>
      <c r="E82">
        <f>1</f>
        <v>1</v>
      </c>
      <c r="F82" t="str">
        <f>TRIM('Tabela Federal'!$D82)</f>
        <v>ACIDO BORICO</v>
      </c>
    </row>
    <row r="83" spans="4:6" x14ac:dyDescent="0.25">
      <c r="D83" t="s">
        <v>4478</v>
      </c>
      <c r="E83">
        <f>1</f>
        <v>1</v>
      </c>
      <c r="F83" t="str">
        <f>TRIM('Tabela Federal'!$D83)</f>
        <v>ACIDO CITRICO</v>
      </c>
    </row>
    <row r="84" spans="4:6" x14ac:dyDescent="0.25">
      <c r="D84" t="s">
        <v>4341</v>
      </c>
      <c r="E84">
        <f>1</f>
        <v>1</v>
      </c>
      <c r="F84" t="str">
        <f>TRIM('Tabela Federal'!$D84)</f>
        <v>ACIDO DESIDROCOLICO</v>
      </c>
    </row>
    <row r="85" spans="4:6" x14ac:dyDescent="0.25">
      <c r="D85" t="s">
        <v>4279</v>
      </c>
      <c r="E85">
        <f>1</f>
        <v>1</v>
      </c>
      <c r="F85" t="str">
        <f>TRIM('Tabela Federal'!$D85)</f>
        <v>ACIDO FENOFIBRICO</v>
      </c>
    </row>
    <row r="86" spans="4:6" x14ac:dyDescent="0.25">
      <c r="D86" t="s">
        <v>2799</v>
      </c>
      <c r="E86">
        <f>1</f>
        <v>1</v>
      </c>
      <c r="F86" t="str">
        <f>TRIM('Tabela Federal'!$D86)</f>
        <v>ACIDO FOLICO</v>
      </c>
    </row>
    <row r="87" spans="4:6" x14ac:dyDescent="0.25">
      <c r="D87" t="s">
        <v>4239</v>
      </c>
      <c r="E87">
        <f>1</f>
        <v>1</v>
      </c>
      <c r="F87" t="str">
        <f>TRIM('Tabela Federal'!$D87)</f>
        <v>ACIDO GADOTERICO</v>
      </c>
    </row>
    <row r="88" spans="4:6" x14ac:dyDescent="0.25">
      <c r="D88" t="s">
        <v>4194</v>
      </c>
      <c r="E88">
        <f>1</f>
        <v>1</v>
      </c>
      <c r="F88" t="str">
        <f>TRIM('Tabela Federal'!$D88)</f>
        <v>ACIDO GLUTAMICO</v>
      </c>
    </row>
    <row r="89" spans="4:6" x14ac:dyDescent="0.25">
      <c r="D89" t="s">
        <v>4195</v>
      </c>
      <c r="E89">
        <f>1</f>
        <v>1</v>
      </c>
      <c r="F89" t="str">
        <f>TRIM('Tabela Federal'!$D89)</f>
        <v>ACIDO IOCETAMICO</v>
      </c>
    </row>
    <row r="90" spans="4:6" x14ac:dyDescent="0.25">
      <c r="D90" t="s">
        <v>4342</v>
      </c>
      <c r="E90">
        <f>1</f>
        <v>1</v>
      </c>
      <c r="F90" t="str">
        <f>TRIM('Tabela Federal'!$D90)</f>
        <v>ACIDO IOPANOICO</v>
      </c>
    </row>
    <row r="91" spans="4:6" x14ac:dyDescent="0.25">
      <c r="D91" t="s">
        <v>4240</v>
      </c>
      <c r="E91">
        <f>1</f>
        <v>1</v>
      </c>
      <c r="F91" t="str">
        <f>TRIM('Tabela Federal'!$D91)</f>
        <v>ACIDO LINOLEICO</v>
      </c>
    </row>
    <row r="92" spans="4:6" x14ac:dyDescent="0.25">
      <c r="D92" t="s">
        <v>4515</v>
      </c>
      <c r="E92">
        <f>1</f>
        <v>1</v>
      </c>
      <c r="F92" t="str">
        <f>TRIM('Tabela Federal'!$D92)</f>
        <v>ACIDO MALICO</v>
      </c>
    </row>
    <row r="93" spans="4:6" x14ac:dyDescent="0.25">
      <c r="D93" t="s">
        <v>4196</v>
      </c>
      <c r="E93">
        <f>1</f>
        <v>1</v>
      </c>
      <c r="F93" t="str">
        <f>TRIM('Tabela Federal'!$D93)</f>
        <v>ACIDO MEFENAMICO</v>
      </c>
    </row>
    <row r="94" spans="4:6" x14ac:dyDescent="0.25">
      <c r="D94" t="s">
        <v>4280</v>
      </c>
      <c r="E94">
        <f>1</f>
        <v>1</v>
      </c>
      <c r="F94" t="str">
        <f>TRIM('Tabela Federal'!$D94)</f>
        <v>ACIDO NALIDIXICO</v>
      </c>
    </row>
    <row r="95" spans="4:6" x14ac:dyDescent="0.25">
      <c r="D95" t="s">
        <v>4281</v>
      </c>
      <c r="E95">
        <f>1</f>
        <v>1</v>
      </c>
      <c r="F95" t="str">
        <f>TRIM('Tabela Federal'!$D95)</f>
        <v>ACIDO NICOTINICO</v>
      </c>
    </row>
    <row r="96" spans="4:6" x14ac:dyDescent="0.25">
      <c r="D96" t="s">
        <v>4281</v>
      </c>
      <c r="E96">
        <f>1</f>
        <v>1</v>
      </c>
      <c r="F96" t="str">
        <f>TRIM('Tabela Federal'!$D96)</f>
        <v>ACIDO NICOTINICO</v>
      </c>
    </row>
    <row r="97" spans="4:6" x14ac:dyDescent="0.25">
      <c r="D97" t="s">
        <v>4281</v>
      </c>
      <c r="E97">
        <f>1</f>
        <v>1</v>
      </c>
      <c r="F97" t="str">
        <f>TRIM('Tabela Federal'!$D97)</f>
        <v>ACIDO NICOTINICO</v>
      </c>
    </row>
    <row r="98" spans="4:6" x14ac:dyDescent="0.25">
      <c r="D98" t="s">
        <v>4241</v>
      </c>
      <c r="E98">
        <f>1</f>
        <v>1</v>
      </c>
      <c r="F98" t="str">
        <f>TRIM('Tabela Federal'!$D98)</f>
        <v>ACIDO PANTOTENICO</v>
      </c>
    </row>
    <row r="99" spans="4:6" x14ac:dyDescent="0.25">
      <c r="D99" t="s">
        <v>4282</v>
      </c>
      <c r="E99">
        <f>1</f>
        <v>1</v>
      </c>
      <c r="F99" t="str">
        <f>TRIM('Tabela Federal'!$D99)</f>
        <v>ACIDO PIPEMIDICO</v>
      </c>
    </row>
    <row r="100" spans="4:6" x14ac:dyDescent="0.25">
      <c r="D100" t="s">
        <v>4197</v>
      </c>
      <c r="E100">
        <f>1</f>
        <v>1</v>
      </c>
      <c r="F100" t="str">
        <f>TRIM('Tabela Federal'!$D100)</f>
        <v>ACIDO SELENIOSO</v>
      </c>
    </row>
    <row r="101" spans="4:6" x14ac:dyDescent="0.25">
      <c r="D101" t="s">
        <v>4516</v>
      </c>
      <c r="E101">
        <f>1</f>
        <v>1</v>
      </c>
      <c r="F101" t="str">
        <f>TRIM('Tabela Federal'!$D101)</f>
        <v>ACIDO TIOCTICO</v>
      </c>
    </row>
    <row r="102" spans="4:6" x14ac:dyDescent="0.25">
      <c r="D102" t="s">
        <v>4198</v>
      </c>
      <c r="E102">
        <f>1</f>
        <v>1</v>
      </c>
      <c r="F102" t="str">
        <f>TRIM('Tabela Federal'!$D102)</f>
        <v>ACIDO TOLFENAMICO</v>
      </c>
    </row>
    <row r="103" spans="4:6" x14ac:dyDescent="0.25">
      <c r="D103" t="s">
        <v>4343</v>
      </c>
      <c r="E103">
        <f>1</f>
        <v>1</v>
      </c>
      <c r="F103" t="str">
        <f>TRIM('Tabela Federal'!$D103)</f>
        <v>ACIDO URSODESOXICOLICO</v>
      </c>
    </row>
    <row r="104" spans="4:6" x14ac:dyDescent="0.25">
      <c r="D104" t="s">
        <v>4344</v>
      </c>
      <c r="E104">
        <f>1</f>
        <v>1</v>
      </c>
      <c r="F104" t="str">
        <f>TRIM('Tabela Federal'!$D104)</f>
        <v>ACIDO VALPROICO</v>
      </c>
    </row>
    <row r="105" spans="4:6" x14ac:dyDescent="0.25">
      <c r="D105" t="s">
        <v>4344</v>
      </c>
      <c r="E105">
        <f>1</f>
        <v>1</v>
      </c>
      <c r="F105" t="str">
        <f>TRIM('Tabela Federal'!$D105)</f>
        <v>ACIDO VALPROICO</v>
      </c>
    </row>
    <row r="106" spans="4:6" x14ac:dyDescent="0.25">
      <c r="D106" t="s">
        <v>4345</v>
      </c>
      <c r="E106">
        <f>1</f>
        <v>1</v>
      </c>
      <c r="F106" t="str">
        <f>TRIM('Tabela Federal'!$D106)</f>
        <v>ACIDO ZOLEDRONICO</v>
      </c>
    </row>
    <row r="107" spans="4:6" x14ac:dyDescent="0.25">
      <c r="D107" t="s">
        <v>3241</v>
      </c>
      <c r="E107">
        <f>1</f>
        <v>1</v>
      </c>
      <c r="F107" t="str">
        <f>TRIM('Tabela Federal'!$D107)</f>
        <v>ACIPIMOX</v>
      </c>
    </row>
    <row r="108" spans="4:6" x14ac:dyDescent="0.25">
      <c r="D108" t="s">
        <v>3242</v>
      </c>
      <c r="E108">
        <f>1</f>
        <v>1</v>
      </c>
      <c r="F108" t="str">
        <f>TRIM('Tabela Federal'!$D108)</f>
        <v>ACITRETINA</v>
      </c>
    </row>
    <row r="109" spans="4:6" x14ac:dyDescent="0.25">
      <c r="D109" t="s">
        <v>3243</v>
      </c>
      <c r="E109">
        <f>1</f>
        <v>1</v>
      </c>
      <c r="F109" t="str">
        <f>TRIM('Tabela Federal'!$D109)</f>
        <v>ADALIMUMABE</v>
      </c>
    </row>
    <row r="110" spans="4:6" x14ac:dyDescent="0.25">
      <c r="D110" t="s">
        <v>3244</v>
      </c>
      <c r="E110">
        <f>1</f>
        <v>1</v>
      </c>
      <c r="F110" t="str">
        <f>TRIM('Tabela Federal'!$D110)</f>
        <v>ADEFOVIR DIPIVOXILA</v>
      </c>
    </row>
    <row r="111" spans="4:6" x14ac:dyDescent="0.25">
      <c r="D111" t="s">
        <v>3245</v>
      </c>
      <c r="E111">
        <f>1</f>
        <v>1</v>
      </c>
      <c r="F111" t="str">
        <f>TRIM('Tabela Federal'!$D111)</f>
        <v>ADENOSINA</v>
      </c>
    </row>
    <row r="112" spans="4:6" x14ac:dyDescent="0.25">
      <c r="D112" t="s">
        <v>4517</v>
      </c>
      <c r="E112">
        <f>1</f>
        <v>1</v>
      </c>
      <c r="F112" t="str">
        <f>TRIM('Tabela Federal'!$D112)</f>
        <v>AFLIBERCEPTE</v>
      </c>
    </row>
    <row r="113" spans="4:6" x14ac:dyDescent="0.25">
      <c r="D113" t="s">
        <v>4199</v>
      </c>
      <c r="E113">
        <f>1</f>
        <v>1</v>
      </c>
      <c r="F113" t="str">
        <f>TRIM('Tabela Federal'!$D113)</f>
        <v>AGUA PARA INJEcAO</v>
      </c>
    </row>
    <row r="114" spans="4:6" x14ac:dyDescent="0.25">
      <c r="D114" t="s">
        <v>3246</v>
      </c>
      <c r="E114">
        <f>1</f>
        <v>1</v>
      </c>
      <c r="F114" t="str">
        <f>TRIM('Tabela Federal'!$D114)</f>
        <v>ALANILGLUTAMINA</v>
      </c>
    </row>
    <row r="115" spans="4:6" x14ac:dyDescent="0.25">
      <c r="D115" t="s">
        <v>3247</v>
      </c>
      <c r="E115">
        <f>1</f>
        <v>1</v>
      </c>
      <c r="F115" t="str">
        <f>TRIM('Tabela Federal'!$D115)</f>
        <v>ALANINA</v>
      </c>
    </row>
    <row r="116" spans="4:6" x14ac:dyDescent="0.25">
      <c r="D116" t="s">
        <v>3248</v>
      </c>
      <c r="E116">
        <f>1</f>
        <v>1</v>
      </c>
      <c r="F116" t="str">
        <f>TRIM('Tabela Federal'!$D116)</f>
        <v>ALBENDAZOL</v>
      </c>
    </row>
    <row r="117" spans="4:6" x14ac:dyDescent="0.25">
      <c r="D117" t="s">
        <v>4518</v>
      </c>
      <c r="E117">
        <f>1</f>
        <v>1</v>
      </c>
      <c r="F117" t="str">
        <f>TRIM('Tabela Federal'!$D117)</f>
        <v>ALBINTERFERONA ALFA-2B</v>
      </c>
    </row>
    <row r="118" spans="4:6" x14ac:dyDescent="0.25">
      <c r="D118" t="s">
        <v>3249</v>
      </c>
      <c r="E118">
        <f>1</f>
        <v>1</v>
      </c>
      <c r="F118" t="str">
        <f>TRIM('Tabela Federal'!$D118)</f>
        <v>ALBUMINA HUMANA</v>
      </c>
    </row>
    <row r="119" spans="4:6" x14ac:dyDescent="0.25">
      <c r="D119" t="s">
        <v>4283</v>
      </c>
      <c r="E119">
        <f>1</f>
        <v>1</v>
      </c>
      <c r="F119" t="str">
        <f>TRIM('Tabela Federal'!$D119)</f>
        <v>ALCOOL POLIVINILICO</v>
      </c>
    </row>
    <row r="120" spans="4:6" x14ac:dyDescent="0.25">
      <c r="D120" t="s">
        <v>3250</v>
      </c>
      <c r="E120">
        <f>1</f>
        <v>1</v>
      </c>
      <c r="F120" t="str">
        <f>TRIM('Tabela Federal'!$D120)</f>
        <v>ALEFACEPTE</v>
      </c>
    </row>
    <row r="121" spans="4:6" x14ac:dyDescent="0.25">
      <c r="D121" t="s">
        <v>4346</v>
      </c>
      <c r="E121">
        <f>1</f>
        <v>1</v>
      </c>
      <c r="F121" t="str">
        <f>TRIM('Tabela Federal'!$D121)</f>
        <v>ALENDRONATO DE SODIO</v>
      </c>
    </row>
    <row r="122" spans="4:6" x14ac:dyDescent="0.25">
      <c r="D122" t="s">
        <v>4346</v>
      </c>
      <c r="E122">
        <f>1</f>
        <v>1</v>
      </c>
      <c r="F122" t="str">
        <f>TRIM('Tabela Federal'!$D122)</f>
        <v>ALENDRONATO DE SODIO</v>
      </c>
    </row>
    <row r="123" spans="4:6" x14ac:dyDescent="0.25">
      <c r="D123" t="s">
        <v>4346</v>
      </c>
      <c r="E123">
        <f>1</f>
        <v>1</v>
      </c>
      <c r="F123" t="str">
        <f>TRIM('Tabela Federal'!$D123)</f>
        <v>ALENDRONATO DE SODIO</v>
      </c>
    </row>
    <row r="124" spans="4:6" x14ac:dyDescent="0.25">
      <c r="D124" t="s">
        <v>3251</v>
      </c>
      <c r="E124">
        <f>1</f>
        <v>1</v>
      </c>
      <c r="F124" t="str">
        <f>TRIM('Tabela Federal'!$D124)</f>
        <v>ALENTUZUMABE</v>
      </c>
    </row>
    <row r="125" spans="4:6" x14ac:dyDescent="0.25">
      <c r="D125" t="s">
        <v>3252</v>
      </c>
      <c r="E125">
        <f>1</f>
        <v>1</v>
      </c>
      <c r="F125" t="str">
        <f>TRIM('Tabela Federal'!$D125)</f>
        <v>ALFACALCIDOL</v>
      </c>
    </row>
    <row r="126" spans="4:6" x14ac:dyDescent="0.25">
      <c r="D126" t="s">
        <v>4519</v>
      </c>
      <c r="E126">
        <f>1</f>
        <v>1</v>
      </c>
      <c r="F126" t="str">
        <f>TRIM('Tabela Federal'!$D126)</f>
        <v>ALFACORIFOLITROPINA</v>
      </c>
    </row>
    <row r="127" spans="4:6" x14ac:dyDescent="0.25">
      <c r="D127" t="s">
        <v>3253</v>
      </c>
      <c r="E127">
        <f>1</f>
        <v>1</v>
      </c>
      <c r="F127" t="str">
        <f>TRIM('Tabela Federal'!$D127)</f>
        <v>ALFACORIOGONADOTROPINA</v>
      </c>
    </row>
    <row r="128" spans="4:6" x14ac:dyDescent="0.25">
      <c r="D128" t="s">
        <v>3254</v>
      </c>
      <c r="E128">
        <f>1</f>
        <v>1</v>
      </c>
      <c r="F128" t="str">
        <f>TRIM('Tabela Federal'!$D128)</f>
        <v>ALFADORNASE</v>
      </c>
    </row>
    <row r="129" spans="4:6" x14ac:dyDescent="0.25">
      <c r="D129" t="s">
        <v>3255</v>
      </c>
      <c r="E129">
        <f>1</f>
        <v>1</v>
      </c>
      <c r="F129" t="str">
        <f>TRIM('Tabela Federal'!$D129)</f>
        <v>ALFADROTRECOGINA</v>
      </c>
    </row>
    <row r="130" spans="4:6" x14ac:dyDescent="0.25">
      <c r="D130" t="s">
        <v>3256</v>
      </c>
      <c r="E130">
        <f>1</f>
        <v>1</v>
      </c>
      <c r="F130" t="str">
        <f>TRIM('Tabela Federal'!$D130)</f>
        <v>ALFAEPOETINA</v>
      </c>
    </row>
    <row r="131" spans="4:6" x14ac:dyDescent="0.25">
      <c r="D131" t="s">
        <v>3257</v>
      </c>
      <c r="E131">
        <f>1</f>
        <v>1</v>
      </c>
      <c r="F131" t="str">
        <f>TRIM('Tabela Federal'!$D131)</f>
        <v>ALFAFOLITROPINA</v>
      </c>
    </row>
    <row r="132" spans="4:6" x14ac:dyDescent="0.25">
      <c r="D132" t="s">
        <v>3258</v>
      </c>
      <c r="E132">
        <f>1</f>
        <v>1</v>
      </c>
      <c r="F132" t="str">
        <f>TRIM('Tabela Federal'!$D132)</f>
        <v>ALFAGALSIDASE</v>
      </c>
    </row>
    <row r="133" spans="4:6" x14ac:dyDescent="0.25">
      <c r="D133" t="s">
        <v>3259</v>
      </c>
      <c r="E133">
        <f>1</f>
        <v>1</v>
      </c>
      <c r="F133" t="str">
        <f>TRIM('Tabela Federal'!$D133)</f>
        <v>ALFAINTERFERONA</v>
      </c>
    </row>
    <row r="134" spans="4:6" x14ac:dyDescent="0.25">
      <c r="D134" t="s">
        <v>4520</v>
      </c>
      <c r="E134">
        <f>1</f>
        <v>1</v>
      </c>
      <c r="F134" t="str">
        <f>TRIM('Tabela Federal'!$D134)</f>
        <v>ALFALGLICOSIDASE</v>
      </c>
    </row>
    <row r="135" spans="4:6" x14ac:dyDescent="0.25">
      <c r="D135" t="s">
        <v>3260</v>
      </c>
      <c r="E135">
        <f>1</f>
        <v>1</v>
      </c>
      <c r="F135" t="str">
        <f>TRIM('Tabela Federal'!$D135)</f>
        <v>ALFALUTROPINA</v>
      </c>
    </row>
    <row r="136" spans="4:6" x14ac:dyDescent="0.25">
      <c r="D136" t="s">
        <v>3261</v>
      </c>
      <c r="E136">
        <f>1</f>
        <v>1</v>
      </c>
      <c r="F136" t="str">
        <f>TRIM('Tabela Federal'!$D136)</f>
        <v>ALFALUTROPINA RECOMBINANTE</v>
      </c>
    </row>
    <row r="137" spans="4:6" x14ac:dyDescent="0.25">
      <c r="D137" t="s">
        <v>3262</v>
      </c>
      <c r="E137">
        <f>1</f>
        <v>1</v>
      </c>
      <c r="F137" t="str">
        <f>TRIM('Tabela Federal'!$D137)</f>
        <v>ALFAMILASE</v>
      </c>
    </row>
    <row r="138" spans="4:6" x14ac:dyDescent="0.25">
      <c r="D138" t="s">
        <v>3262</v>
      </c>
      <c r="E138">
        <f>1</f>
        <v>1</v>
      </c>
      <c r="F138" t="str">
        <f>TRIM('Tabela Federal'!$D138)</f>
        <v>ALFAMILASE</v>
      </c>
    </row>
    <row r="139" spans="4:6" x14ac:dyDescent="0.25">
      <c r="D139" t="s">
        <v>3262</v>
      </c>
      <c r="E139">
        <f>1</f>
        <v>1</v>
      </c>
      <c r="F139" t="str">
        <f>TRIM('Tabela Federal'!$D139)</f>
        <v>ALFAMILASE</v>
      </c>
    </row>
    <row r="140" spans="4:6" x14ac:dyDescent="0.25">
      <c r="D140" t="s">
        <v>3263</v>
      </c>
      <c r="E140">
        <f>1</f>
        <v>1</v>
      </c>
      <c r="F140" t="str">
        <f>TRIM('Tabela Federal'!$D140)</f>
        <v>ALFAPEGINTERFERONA 2A</v>
      </c>
    </row>
    <row r="141" spans="4:6" x14ac:dyDescent="0.25">
      <c r="D141" t="s">
        <v>3263</v>
      </c>
      <c r="E141">
        <f>1</f>
        <v>1</v>
      </c>
      <c r="F141" t="str">
        <f>TRIM('Tabela Federal'!$D141)</f>
        <v>ALFAPEGINTERFERONA 2A</v>
      </c>
    </row>
    <row r="142" spans="4:6" x14ac:dyDescent="0.25">
      <c r="D142" t="s">
        <v>3264</v>
      </c>
      <c r="E142">
        <f>1</f>
        <v>1</v>
      </c>
      <c r="F142" t="str">
        <f>TRIM('Tabela Federal'!$D142)</f>
        <v>ALFAPEGINTERFERONA 2B</v>
      </c>
    </row>
    <row r="143" spans="4:6" x14ac:dyDescent="0.25">
      <c r="D143" t="s">
        <v>3264</v>
      </c>
      <c r="E143">
        <f>1</f>
        <v>1</v>
      </c>
      <c r="F143" t="str">
        <f>TRIM('Tabela Federal'!$D143)</f>
        <v>ALFAPEGINTERFERONA 2B</v>
      </c>
    </row>
    <row r="144" spans="4:6" x14ac:dyDescent="0.25">
      <c r="D144" t="s">
        <v>4521</v>
      </c>
      <c r="E144">
        <f>1</f>
        <v>1</v>
      </c>
      <c r="F144" t="str">
        <f>TRIM('Tabela Federal'!$D144)</f>
        <v>ALFATALIGLUCERASE</v>
      </c>
    </row>
    <row r="145" spans="4:6" x14ac:dyDescent="0.25">
      <c r="D145" t="s">
        <v>4522</v>
      </c>
      <c r="E145">
        <f>1</f>
        <v>1</v>
      </c>
      <c r="F145" t="str">
        <f>TRIM('Tabela Federal'!$D145)</f>
        <v>ALFAVELAGLUCERASE</v>
      </c>
    </row>
    <row r="146" spans="4:6" x14ac:dyDescent="0.25">
      <c r="D146" t="s">
        <v>3265</v>
      </c>
      <c r="E146">
        <f>1</f>
        <v>1</v>
      </c>
      <c r="F146" t="str">
        <f>TRIM('Tabela Federal'!$D146)</f>
        <v>ALFUZOSINA</v>
      </c>
    </row>
    <row r="147" spans="4:6" x14ac:dyDescent="0.25">
      <c r="D147" t="s">
        <v>3266</v>
      </c>
      <c r="E147">
        <f>1</f>
        <v>1</v>
      </c>
      <c r="F147" t="str">
        <f>TRIM('Tabela Federal'!$D147)</f>
        <v>ALGESTONA ACETONIDA</v>
      </c>
    </row>
    <row r="148" spans="4:6" x14ac:dyDescent="0.25">
      <c r="D148" t="s">
        <v>2476</v>
      </c>
      <c r="E148">
        <f>1</f>
        <v>1</v>
      </c>
      <c r="F148" t="str">
        <f>TRIM('Tabela Federal'!$D148)</f>
        <v>ALOPURINOL</v>
      </c>
    </row>
    <row r="149" spans="4:6" x14ac:dyDescent="0.25">
      <c r="D149" t="s">
        <v>3267</v>
      </c>
      <c r="E149">
        <f>1</f>
        <v>1</v>
      </c>
      <c r="F149" t="str">
        <f>TRIM('Tabela Federal'!$D149)</f>
        <v>ALPRAZOLAM</v>
      </c>
    </row>
    <row r="150" spans="4:6" x14ac:dyDescent="0.25">
      <c r="D150" t="s">
        <v>4640</v>
      </c>
      <c r="E150">
        <f>1</f>
        <v>1</v>
      </c>
      <c r="F150" t="str">
        <f>TRIM('Tabela Federal'!$D150)</f>
        <v>ALPROSTADIL</v>
      </c>
    </row>
    <row r="151" spans="4:6" x14ac:dyDescent="0.25">
      <c r="D151" t="s">
        <v>3268</v>
      </c>
      <c r="E151">
        <f>1</f>
        <v>1</v>
      </c>
      <c r="F151" t="str">
        <f>TRIM('Tabela Federal'!$D151)</f>
        <v>ALTEPLASE</v>
      </c>
    </row>
    <row r="152" spans="4:6" x14ac:dyDescent="0.25">
      <c r="D152" t="s">
        <v>3269</v>
      </c>
      <c r="E152">
        <f>1</f>
        <v>1</v>
      </c>
      <c r="F152" t="str">
        <f>TRIM('Tabela Federal'!$D152)</f>
        <v>AMBUFILINA</v>
      </c>
    </row>
    <row r="153" spans="4:6" x14ac:dyDescent="0.25">
      <c r="D153" t="s">
        <v>3269</v>
      </c>
      <c r="E153">
        <f>1</f>
        <v>1</v>
      </c>
      <c r="F153" t="str">
        <f>TRIM('Tabela Federal'!$D153)</f>
        <v>AMBUFILINA</v>
      </c>
    </row>
    <row r="154" spans="4:6" x14ac:dyDescent="0.25">
      <c r="D154" t="s">
        <v>3269</v>
      </c>
      <c r="E154">
        <f>1</f>
        <v>1</v>
      </c>
      <c r="F154" t="str">
        <f>TRIM('Tabela Federal'!$D154)</f>
        <v>AMBUFILINA</v>
      </c>
    </row>
    <row r="155" spans="4:6" x14ac:dyDescent="0.25">
      <c r="D155" t="s">
        <v>3270</v>
      </c>
      <c r="E155">
        <f>1</f>
        <v>1</v>
      </c>
      <c r="F155" t="str">
        <f>TRIM('Tabela Federal'!$D155)</f>
        <v>AMIFOSTINA</v>
      </c>
    </row>
    <row r="156" spans="4:6" x14ac:dyDescent="0.25">
      <c r="D156" t="s">
        <v>3271</v>
      </c>
      <c r="E156">
        <f>1</f>
        <v>1</v>
      </c>
      <c r="F156" t="str">
        <f>TRIM('Tabela Federal'!$D156)</f>
        <v>AMILORIDA</v>
      </c>
    </row>
    <row r="157" spans="4:6" x14ac:dyDescent="0.25">
      <c r="D157" t="s">
        <v>3272</v>
      </c>
      <c r="E157">
        <f>1</f>
        <v>1</v>
      </c>
      <c r="F157" t="str">
        <f>TRIM('Tabela Federal'!$D157)</f>
        <v>AMINEPTINA</v>
      </c>
    </row>
    <row r="158" spans="4:6" x14ac:dyDescent="0.25">
      <c r="D158" t="s">
        <v>3273</v>
      </c>
      <c r="E158">
        <f>1</f>
        <v>1</v>
      </c>
      <c r="F158" t="str">
        <f>TRIM('Tabela Federal'!$D158)</f>
        <v>AMINOFILINA</v>
      </c>
    </row>
    <row r="159" spans="4:6" x14ac:dyDescent="0.25">
      <c r="D159" t="s">
        <v>3274</v>
      </c>
      <c r="E159">
        <f>1</f>
        <v>1</v>
      </c>
      <c r="F159" t="str">
        <f>TRIM('Tabela Federal'!$D159)</f>
        <v>AMINOGLUTETIMIDA</v>
      </c>
    </row>
    <row r="160" spans="4:6" x14ac:dyDescent="0.25">
      <c r="D160" t="s">
        <v>3275</v>
      </c>
      <c r="E160">
        <f>1</f>
        <v>1</v>
      </c>
      <c r="F160" t="str">
        <f>TRIM('Tabela Federal'!$D160)</f>
        <v>AMISSULPRIDA</v>
      </c>
    </row>
    <row r="161" spans="4:6" x14ac:dyDescent="0.25">
      <c r="D161" t="s">
        <v>2622</v>
      </c>
      <c r="E161">
        <f>1</f>
        <v>1</v>
      </c>
      <c r="F161" t="str">
        <f>TRIM('Tabela Federal'!$D161)</f>
        <v>AMITRIPTILINA</v>
      </c>
    </row>
    <row r="162" spans="4:6" x14ac:dyDescent="0.25">
      <c r="D162" t="s">
        <v>3276</v>
      </c>
      <c r="E162">
        <f>1</f>
        <v>1</v>
      </c>
      <c r="F162" t="str">
        <f>TRIM('Tabela Federal'!$D162)</f>
        <v>AMOBARBITAL</v>
      </c>
    </row>
    <row r="163" spans="4:6" x14ac:dyDescent="0.25">
      <c r="D163" t="s">
        <v>2621</v>
      </c>
      <c r="E163">
        <f>1</f>
        <v>1</v>
      </c>
      <c r="F163" t="str">
        <f>TRIM('Tabela Federal'!$D163)</f>
        <v>AMOXICILINA</v>
      </c>
    </row>
    <row r="164" spans="4:6" x14ac:dyDescent="0.25">
      <c r="D164" t="s">
        <v>2621</v>
      </c>
      <c r="E164">
        <f>1</f>
        <v>1</v>
      </c>
      <c r="F164" t="str">
        <f>TRIM('Tabela Federal'!$D164)</f>
        <v>AMOXICILINA</v>
      </c>
    </row>
    <row r="165" spans="4:6" x14ac:dyDescent="0.25">
      <c r="D165" t="s">
        <v>2621</v>
      </c>
      <c r="E165">
        <f>1</f>
        <v>1</v>
      </c>
      <c r="F165" t="str">
        <f>TRIM('Tabela Federal'!$D165)</f>
        <v>AMOXICILINA</v>
      </c>
    </row>
    <row r="166" spans="4:6" x14ac:dyDescent="0.25">
      <c r="D166" t="s">
        <v>2621</v>
      </c>
      <c r="E166">
        <f>1</f>
        <v>1</v>
      </c>
      <c r="F166" t="str">
        <f>TRIM('Tabela Federal'!$D166)</f>
        <v>AMOXICILINA</v>
      </c>
    </row>
    <row r="167" spans="4:6" x14ac:dyDescent="0.25">
      <c r="D167" t="s">
        <v>2621</v>
      </c>
      <c r="E167">
        <f>1</f>
        <v>1</v>
      </c>
      <c r="F167" t="str">
        <f>TRIM('Tabela Federal'!$D167)</f>
        <v>AMOXICILINA</v>
      </c>
    </row>
    <row r="168" spans="4:6" x14ac:dyDescent="0.25">
      <c r="D168" t="s">
        <v>2621</v>
      </c>
      <c r="E168">
        <f>1</f>
        <v>1</v>
      </c>
      <c r="F168" t="str">
        <f>TRIM('Tabela Federal'!$D168)</f>
        <v>AMOXICILINA</v>
      </c>
    </row>
    <row r="169" spans="4:6" x14ac:dyDescent="0.25">
      <c r="D169" t="s">
        <v>2621</v>
      </c>
      <c r="E169">
        <f>1</f>
        <v>1</v>
      </c>
      <c r="F169" t="str">
        <f>TRIM('Tabela Federal'!$D169)</f>
        <v>AMOXICILINA</v>
      </c>
    </row>
    <row r="170" spans="4:6" x14ac:dyDescent="0.25">
      <c r="D170" t="s">
        <v>4347</v>
      </c>
      <c r="E170">
        <f>1</f>
        <v>1</v>
      </c>
      <c r="F170" t="str">
        <f>TRIM('Tabela Federal'!$D170)</f>
        <v>AMOXICILINA SODICA</v>
      </c>
    </row>
    <row r="171" spans="4:6" x14ac:dyDescent="0.25">
      <c r="D171" t="s">
        <v>3277</v>
      </c>
      <c r="E171">
        <f>1</f>
        <v>1</v>
      </c>
      <c r="F171" t="str">
        <f>TRIM('Tabela Federal'!$D171)</f>
        <v>AMPICILINA</v>
      </c>
    </row>
    <row r="172" spans="4:6" x14ac:dyDescent="0.25">
      <c r="D172" t="s">
        <v>3277</v>
      </c>
      <c r="E172">
        <f>1</f>
        <v>1</v>
      </c>
      <c r="F172" t="str">
        <f>TRIM('Tabela Federal'!$D172)</f>
        <v>AMPICILINA</v>
      </c>
    </row>
    <row r="173" spans="4:6" x14ac:dyDescent="0.25">
      <c r="D173" t="s">
        <v>3277</v>
      </c>
      <c r="E173">
        <f>1</f>
        <v>1</v>
      </c>
      <c r="F173" t="str">
        <f>TRIM('Tabela Federal'!$D173)</f>
        <v>AMPICILINA</v>
      </c>
    </row>
    <row r="174" spans="4:6" x14ac:dyDescent="0.25">
      <c r="D174" t="s">
        <v>3278</v>
      </c>
      <c r="E174">
        <f>1</f>
        <v>1</v>
      </c>
      <c r="F174" t="str">
        <f>TRIM('Tabela Federal'!$D174)</f>
        <v>AMPICILINA BENZATINA</v>
      </c>
    </row>
    <row r="175" spans="4:6" x14ac:dyDescent="0.25">
      <c r="D175" t="s">
        <v>4348</v>
      </c>
      <c r="E175">
        <f>1</f>
        <v>1</v>
      </c>
      <c r="F175" t="str">
        <f>TRIM('Tabela Federal'!$D175)</f>
        <v>AMPICILINA SODICA</v>
      </c>
    </row>
    <row r="176" spans="4:6" x14ac:dyDescent="0.25">
      <c r="D176" t="s">
        <v>3279</v>
      </c>
      <c r="E176">
        <f>1</f>
        <v>1</v>
      </c>
      <c r="F176" t="str">
        <f>TRIM('Tabela Federal'!$D176)</f>
        <v>AMPRENAVIR</v>
      </c>
    </row>
    <row r="177" spans="4:6" x14ac:dyDescent="0.25">
      <c r="D177" t="s">
        <v>3280</v>
      </c>
      <c r="E177">
        <f>1</f>
        <v>1</v>
      </c>
      <c r="F177" t="str">
        <f>TRIM('Tabela Federal'!$D177)</f>
        <v>ANASTROZOL</v>
      </c>
    </row>
    <row r="178" spans="4:6" x14ac:dyDescent="0.25">
      <c r="D178" t="s">
        <v>3281</v>
      </c>
      <c r="E178">
        <f>1</f>
        <v>1</v>
      </c>
      <c r="F178" t="str">
        <f>TRIM('Tabela Federal'!$D178)</f>
        <v>ANFOTERICINA B</v>
      </c>
    </row>
    <row r="179" spans="4:6" x14ac:dyDescent="0.25">
      <c r="D179" t="s">
        <v>4523</v>
      </c>
      <c r="E179">
        <f>1</f>
        <v>1</v>
      </c>
      <c r="F179" t="str">
        <f>TRIM('Tabela Federal'!$D179)</f>
        <v>ANIDULAFUNGINA</v>
      </c>
    </row>
    <row r="180" spans="4:6" x14ac:dyDescent="0.25">
      <c r="D180" t="s">
        <v>4200</v>
      </c>
      <c r="E180">
        <f>1</f>
        <v>1</v>
      </c>
      <c r="F180" t="str">
        <f>TRIM('Tabela Federal'!$D180)</f>
        <v>ANTIINIBIDOR DOS FATORES DE COAGULAcAO VIII E IX</v>
      </c>
    </row>
    <row r="181" spans="4:6" x14ac:dyDescent="0.25">
      <c r="D181" t="s">
        <v>3282</v>
      </c>
      <c r="E181">
        <f>1</f>
        <v>1</v>
      </c>
      <c r="F181" t="str">
        <f>TRIM('Tabela Federal'!$D181)</f>
        <v>ANTIMONIATO DE MEGLUMINA</v>
      </c>
    </row>
    <row r="182" spans="4:6" x14ac:dyDescent="0.25">
      <c r="D182" t="s">
        <v>4284</v>
      </c>
      <c r="E182">
        <f>1</f>
        <v>1</v>
      </c>
      <c r="F182" t="str">
        <f>TRIM('Tabela Federal'!$D182)</f>
        <v>ANTITOXINA BOTULINICA</v>
      </c>
    </row>
    <row r="183" spans="4:6" x14ac:dyDescent="0.25">
      <c r="D183" t="s">
        <v>4242</v>
      </c>
      <c r="E183">
        <f>1</f>
        <v>1</v>
      </c>
      <c r="F183" t="str">
        <f>TRIM('Tabela Federal'!$D183)</f>
        <v>ANTITOXINA DIFTERICA</v>
      </c>
    </row>
    <row r="184" spans="4:6" x14ac:dyDescent="0.25">
      <c r="D184" t="s">
        <v>4201</v>
      </c>
      <c r="E184">
        <f>1</f>
        <v>1</v>
      </c>
      <c r="F184" t="str">
        <f>TRIM('Tabela Federal'!$D184)</f>
        <v>ANTITOXINA TETANICA</v>
      </c>
    </row>
    <row r="185" spans="4:6" x14ac:dyDescent="0.25">
      <c r="D185" t="s">
        <v>3283</v>
      </c>
      <c r="E185">
        <f>1</f>
        <v>1</v>
      </c>
      <c r="F185" t="str">
        <f>TRIM('Tabela Federal'!$D185)</f>
        <v>ANTITROMBINA III</v>
      </c>
    </row>
    <row r="186" spans="4:6" x14ac:dyDescent="0.25">
      <c r="D186" t="s">
        <v>4524</v>
      </c>
      <c r="E186">
        <f>1</f>
        <v>1</v>
      </c>
      <c r="F186" t="str">
        <f>TRIM('Tabela Federal'!$D186)</f>
        <v>APIXABANA</v>
      </c>
    </row>
    <row r="187" spans="4:6" x14ac:dyDescent="0.25">
      <c r="D187" t="s">
        <v>3284</v>
      </c>
      <c r="E187">
        <f>1</f>
        <v>1</v>
      </c>
      <c r="F187" t="str">
        <f>TRIM('Tabela Federal'!$D187)</f>
        <v>APREPITANTO</v>
      </c>
    </row>
    <row r="188" spans="4:6" x14ac:dyDescent="0.25">
      <c r="D188" t="s">
        <v>3285</v>
      </c>
      <c r="E188">
        <f>1</f>
        <v>1</v>
      </c>
      <c r="F188" t="str">
        <f>TRIM('Tabela Federal'!$D188)</f>
        <v>APROTININA</v>
      </c>
    </row>
    <row r="189" spans="4:6" x14ac:dyDescent="0.25">
      <c r="D189" t="s">
        <v>3285</v>
      </c>
      <c r="E189">
        <f>1</f>
        <v>1</v>
      </c>
      <c r="F189" t="str">
        <f>TRIM('Tabela Federal'!$D189)</f>
        <v>APROTININA</v>
      </c>
    </row>
    <row r="190" spans="4:6" x14ac:dyDescent="0.25">
      <c r="D190" t="s">
        <v>3285</v>
      </c>
      <c r="E190">
        <f>1</f>
        <v>1</v>
      </c>
      <c r="F190" t="str">
        <f>TRIM('Tabela Federal'!$D190)</f>
        <v>APROTININA</v>
      </c>
    </row>
    <row r="191" spans="4:6" x14ac:dyDescent="0.25">
      <c r="D191" t="s">
        <v>3286</v>
      </c>
      <c r="E191">
        <f>1</f>
        <v>1</v>
      </c>
      <c r="F191" t="str">
        <f>TRIM('Tabela Federal'!$D191)</f>
        <v>ARGININA</v>
      </c>
    </row>
    <row r="192" spans="4:6" x14ac:dyDescent="0.25">
      <c r="D192" t="s">
        <v>3286</v>
      </c>
      <c r="E192">
        <f>1</f>
        <v>1</v>
      </c>
      <c r="F192" t="str">
        <f>TRIM('Tabela Federal'!$D192)</f>
        <v>ARGININA</v>
      </c>
    </row>
    <row r="193" spans="4:6" x14ac:dyDescent="0.25">
      <c r="D193" t="s">
        <v>3286</v>
      </c>
      <c r="E193">
        <f>1</f>
        <v>1</v>
      </c>
      <c r="F193" t="str">
        <f>TRIM('Tabela Federal'!$D193)</f>
        <v>ARGININA</v>
      </c>
    </row>
    <row r="194" spans="4:6" x14ac:dyDescent="0.25">
      <c r="D194" t="s">
        <v>3286</v>
      </c>
      <c r="E194">
        <f>1</f>
        <v>1</v>
      </c>
      <c r="F194" t="str">
        <f>TRIM('Tabela Federal'!$D194)</f>
        <v>ARGININA</v>
      </c>
    </row>
    <row r="195" spans="4:6" x14ac:dyDescent="0.25">
      <c r="D195" t="s">
        <v>3286</v>
      </c>
      <c r="E195">
        <f>1</f>
        <v>1</v>
      </c>
      <c r="F195" t="str">
        <f>TRIM('Tabela Federal'!$D195)</f>
        <v>ARGININA</v>
      </c>
    </row>
    <row r="196" spans="4:6" x14ac:dyDescent="0.25">
      <c r="D196" t="s">
        <v>3287</v>
      </c>
      <c r="E196">
        <f>1</f>
        <v>1</v>
      </c>
      <c r="F196" t="str">
        <f>TRIM('Tabela Federal'!$D196)</f>
        <v>ARGIPRESSINA</v>
      </c>
    </row>
    <row r="197" spans="4:6" x14ac:dyDescent="0.25">
      <c r="D197" t="s">
        <v>3288</v>
      </c>
      <c r="E197">
        <f>1</f>
        <v>1</v>
      </c>
      <c r="F197" t="str">
        <f>TRIM('Tabela Federal'!$D197)</f>
        <v>ARIPIPRAZOL</v>
      </c>
    </row>
    <row r="198" spans="4:6" x14ac:dyDescent="0.25">
      <c r="D198" t="s">
        <v>4243</v>
      </c>
      <c r="E198">
        <f>1</f>
        <v>1</v>
      </c>
      <c r="F198" t="str">
        <f>TRIM('Tabela Federal'!$D198)</f>
        <v>ARTEMETER</v>
      </c>
    </row>
    <row r="199" spans="4:6" x14ac:dyDescent="0.25">
      <c r="D199" t="s">
        <v>4243</v>
      </c>
      <c r="E199">
        <f>1</f>
        <v>1</v>
      </c>
      <c r="F199" t="str">
        <f>TRIM('Tabela Federal'!$D199)</f>
        <v>ARTEMETER</v>
      </c>
    </row>
    <row r="200" spans="4:6" x14ac:dyDescent="0.25">
      <c r="D200" t="s">
        <v>4349</v>
      </c>
      <c r="E200">
        <f>1</f>
        <v>1</v>
      </c>
      <c r="F200" t="str">
        <f>TRIM('Tabela Federal'!$D200)</f>
        <v>ARTESUNATO DE SODIO</v>
      </c>
    </row>
    <row r="201" spans="4:6" x14ac:dyDescent="0.25">
      <c r="D201" t="s">
        <v>3289</v>
      </c>
      <c r="E201">
        <f>1</f>
        <v>1</v>
      </c>
      <c r="F201" t="str">
        <f>TRIM('Tabela Federal'!$D201)</f>
        <v>ASENAPINA</v>
      </c>
    </row>
    <row r="202" spans="4:6" x14ac:dyDescent="0.25">
      <c r="D202" t="s">
        <v>3290</v>
      </c>
      <c r="E202">
        <f>1</f>
        <v>1</v>
      </c>
      <c r="F202" t="str">
        <f>TRIM('Tabela Federal'!$D202)</f>
        <v>ASPARAGINA</v>
      </c>
    </row>
    <row r="203" spans="4:6" x14ac:dyDescent="0.25">
      <c r="D203" t="s">
        <v>3291</v>
      </c>
      <c r="E203">
        <f>1</f>
        <v>1</v>
      </c>
      <c r="F203" t="str">
        <f>TRIM('Tabela Federal'!$D203)</f>
        <v>ASPARAGINASE</v>
      </c>
    </row>
    <row r="204" spans="4:6" x14ac:dyDescent="0.25">
      <c r="D204" t="s">
        <v>3292</v>
      </c>
      <c r="E204">
        <f>1</f>
        <v>1</v>
      </c>
      <c r="F204" t="str">
        <f>TRIM('Tabela Federal'!$D204)</f>
        <v>ATENOLOL</v>
      </c>
    </row>
    <row r="205" spans="4:6" x14ac:dyDescent="0.25">
      <c r="D205" t="s">
        <v>3292</v>
      </c>
      <c r="E205">
        <f>1</f>
        <v>1</v>
      </c>
      <c r="F205" t="str">
        <f>TRIM('Tabela Federal'!$D205)</f>
        <v>ATENOLOL</v>
      </c>
    </row>
    <row r="206" spans="4:6" x14ac:dyDescent="0.25">
      <c r="D206" t="s">
        <v>3292</v>
      </c>
      <c r="E206">
        <f>1</f>
        <v>1</v>
      </c>
      <c r="F206" t="str">
        <f>TRIM('Tabela Federal'!$D206)</f>
        <v>ATENOLOL</v>
      </c>
    </row>
    <row r="207" spans="4:6" x14ac:dyDescent="0.25">
      <c r="D207" t="s">
        <v>3292</v>
      </c>
      <c r="E207">
        <f>1</f>
        <v>1</v>
      </c>
      <c r="F207" t="str">
        <f>TRIM('Tabela Federal'!$D207)</f>
        <v>ATENOLOL</v>
      </c>
    </row>
    <row r="208" spans="4:6" x14ac:dyDescent="0.25">
      <c r="D208" t="s">
        <v>3293</v>
      </c>
      <c r="E208">
        <f>1</f>
        <v>1</v>
      </c>
      <c r="F208" t="str">
        <f>TRIM('Tabela Federal'!$D208)</f>
        <v>ATORVASTATINA</v>
      </c>
    </row>
    <row r="209" spans="4:6" x14ac:dyDescent="0.25">
      <c r="D209" t="s">
        <v>3293</v>
      </c>
      <c r="E209">
        <f>1</f>
        <v>1</v>
      </c>
      <c r="F209" t="str">
        <f>TRIM('Tabela Federal'!$D209)</f>
        <v>ATORVASTATINA</v>
      </c>
    </row>
    <row r="210" spans="4:6" x14ac:dyDescent="0.25">
      <c r="D210" t="s">
        <v>4202</v>
      </c>
      <c r="E210">
        <f>1</f>
        <v>1</v>
      </c>
      <c r="F210" t="str">
        <f>TRIM('Tabela Federal'!$D210)</f>
        <v>ATORVASTATINA CALCICA</v>
      </c>
    </row>
    <row r="211" spans="4:6" x14ac:dyDescent="0.25">
      <c r="D211" t="s">
        <v>4202</v>
      </c>
      <c r="E211">
        <f>1</f>
        <v>1</v>
      </c>
      <c r="F211" t="str">
        <f>TRIM('Tabela Federal'!$D211)</f>
        <v>ATORVASTATINA CALCICA</v>
      </c>
    </row>
    <row r="212" spans="4:6" x14ac:dyDescent="0.25">
      <c r="D212" t="s">
        <v>4202</v>
      </c>
      <c r="E212">
        <f>1</f>
        <v>1</v>
      </c>
      <c r="F212" t="str">
        <f>TRIM('Tabela Federal'!$D212)</f>
        <v>ATORVASTATINA CALCICA</v>
      </c>
    </row>
    <row r="213" spans="4:6" x14ac:dyDescent="0.25">
      <c r="D213" t="s">
        <v>3294</v>
      </c>
      <c r="E213">
        <f>1</f>
        <v>1</v>
      </c>
      <c r="F213" t="str">
        <f>TRIM('Tabela Federal'!$D213)</f>
        <v>AURANOFINA</v>
      </c>
    </row>
    <row r="214" spans="4:6" x14ac:dyDescent="0.25">
      <c r="D214" t="s">
        <v>4350</v>
      </c>
      <c r="E214">
        <f>1</f>
        <v>1</v>
      </c>
      <c r="F214" t="str">
        <f>TRIM('Tabela Federal'!$D214)</f>
        <v>AUROTIOMALATO DE SODIO</v>
      </c>
    </row>
    <row r="215" spans="4:6" x14ac:dyDescent="0.25">
      <c r="D215" t="s">
        <v>3295</v>
      </c>
      <c r="E215">
        <f>1</f>
        <v>1</v>
      </c>
      <c r="F215" t="str">
        <f>TRIM('Tabela Federal'!$D215)</f>
        <v>AXETILCEFUROXIMA</v>
      </c>
    </row>
    <row r="216" spans="4:6" x14ac:dyDescent="0.25">
      <c r="D216" t="s">
        <v>4525</v>
      </c>
      <c r="E216">
        <f>1</f>
        <v>1</v>
      </c>
      <c r="F216" t="str">
        <f>TRIM('Tabela Federal'!$D216)</f>
        <v>AXITINIBE</v>
      </c>
    </row>
    <row r="217" spans="4:6" x14ac:dyDescent="0.25">
      <c r="D217" t="s">
        <v>3296</v>
      </c>
      <c r="E217">
        <f>1</f>
        <v>1</v>
      </c>
      <c r="F217" t="str">
        <f>TRIM('Tabela Federal'!$D217)</f>
        <v>AZATIOPRINA</v>
      </c>
    </row>
    <row r="218" spans="4:6" x14ac:dyDescent="0.25">
      <c r="D218" t="s">
        <v>2625</v>
      </c>
      <c r="E218">
        <f>1</f>
        <v>1</v>
      </c>
      <c r="F218" t="str">
        <f>TRIM('Tabela Federal'!$D218)</f>
        <v>AZITROMICINA</v>
      </c>
    </row>
    <row r="219" spans="4:6" x14ac:dyDescent="0.25">
      <c r="D219" t="s">
        <v>3297</v>
      </c>
      <c r="E219">
        <f>1</f>
        <v>1</v>
      </c>
      <c r="F219" t="str">
        <f>TRIM('Tabela Federal'!$D219)</f>
        <v>AZTREONAM</v>
      </c>
    </row>
    <row r="220" spans="4:6" x14ac:dyDescent="0.25">
      <c r="D220" t="s">
        <v>4526</v>
      </c>
      <c r="E220">
        <f>1</f>
        <v>1</v>
      </c>
      <c r="F220" t="str">
        <f>TRIM('Tabela Federal'!$D220)</f>
        <v>AZTREONAM LISINA</v>
      </c>
    </row>
    <row r="221" spans="4:6" x14ac:dyDescent="0.25">
      <c r="D221" t="s">
        <v>3298</v>
      </c>
      <c r="E221">
        <f>1</f>
        <v>1</v>
      </c>
      <c r="F221" t="str">
        <f>TRIM('Tabela Federal'!$D221)</f>
        <v>BACITRACINA</v>
      </c>
    </row>
    <row r="222" spans="4:6" x14ac:dyDescent="0.25">
      <c r="D222" t="s">
        <v>3298</v>
      </c>
      <c r="E222">
        <f>1</f>
        <v>1</v>
      </c>
      <c r="F222" t="str">
        <f>TRIM('Tabela Federal'!$D222)</f>
        <v>BACITRACINA</v>
      </c>
    </row>
    <row r="223" spans="4:6" x14ac:dyDescent="0.25">
      <c r="D223" t="s">
        <v>4285</v>
      </c>
      <c r="E223">
        <f>1</f>
        <v>1</v>
      </c>
      <c r="F223" t="str">
        <f>TRIM('Tabela Federal'!$D223)</f>
        <v>BACITRACINA ZINCICA</v>
      </c>
    </row>
    <row r="224" spans="4:6" x14ac:dyDescent="0.25">
      <c r="D224" t="s">
        <v>3299</v>
      </c>
      <c r="E224">
        <f>1</f>
        <v>1</v>
      </c>
      <c r="F224" t="str">
        <f>TRIM('Tabela Federal'!$D224)</f>
        <v>BACLOFENO</v>
      </c>
    </row>
    <row r="225" spans="4:6" x14ac:dyDescent="0.25">
      <c r="D225" t="s">
        <v>3300</v>
      </c>
      <c r="E225">
        <f>1</f>
        <v>1</v>
      </c>
      <c r="F225" t="str">
        <f>TRIM('Tabela Federal'!$D225)</f>
        <v>BARBEXACLONA</v>
      </c>
    </row>
    <row r="226" spans="4:6" x14ac:dyDescent="0.25">
      <c r="D226" t="s">
        <v>3301</v>
      </c>
      <c r="E226">
        <f>1</f>
        <v>1</v>
      </c>
      <c r="F226" t="str">
        <f>TRIM('Tabela Federal'!$D226)</f>
        <v>BASILIXIMABE</v>
      </c>
    </row>
    <row r="227" spans="4:6" x14ac:dyDescent="0.25">
      <c r="D227" t="s">
        <v>4527</v>
      </c>
      <c r="E227">
        <f>1</f>
        <v>1</v>
      </c>
      <c r="F227" t="str">
        <f>TRIM('Tabela Federal'!$D227)</f>
        <v>BELATACEPTE</v>
      </c>
    </row>
    <row r="228" spans="4:6" x14ac:dyDescent="0.25">
      <c r="D228" t="s">
        <v>4528</v>
      </c>
      <c r="E228">
        <f>1</f>
        <v>1</v>
      </c>
      <c r="F228" t="str">
        <f>TRIM('Tabela Federal'!$D228)</f>
        <v>BENDAMUSTINA</v>
      </c>
    </row>
    <row r="229" spans="4:6" x14ac:dyDescent="0.25">
      <c r="D229" t="s">
        <v>3302</v>
      </c>
      <c r="E229">
        <f>1</f>
        <v>1</v>
      </c>
      <c r="F229" t="str">
        <f>TRIM('Tabela Federal'!$D229)</f>
        <v>BENZBROMARONA</v>
      </c>
    </row>
    <row r="230" spans="4:6" x14ac:dyDescent="0.25">
      <c r="D230" t="s">
        <v>3303</v>
      </c>
      <c r="E230">
        <f>1</f>
        <v>1</v>
      </c>
      <c r="F230" t="str">
        <f>TRIM('Tabela Federal'!$D230)</f>
        <v>BENZILPENICILINA</v>
      </c>
    </row>
    <row r="231" spans="4:6" x14ac:dyDescent="0.25">
      <c r="D231" t="s">
        <v>3304</v>
      </c>
      <c r="E231">
        <f>1</f>
        <v>1</v>
      </c>
      <c r="F231" t="str">
        <f>TRIM('Tabela Federal'!$D231)</f>
        <v>BENZILPENICILINA BENZATINA</v>
      </c>
    </row>
    <row r="232" spans="4:6" x14ac:dyDescent="0.25">
      <c r="D232" t="s">
        <v>4203</v>
      </c>
      <c r="E232">
        <f>1</f>
        <v>1</v>
      </c>
      <c r="F232" t="str">
        <f>TRIM('Tabela Federal'!$D232)</f>
        <v>BENZILPENICILINA POTASSICA</v>
      </c>
    </row>
    <row r="233" spans="4:6" x14ac:dyDescent="0.25">
      <c r="D233" t="s">
        <v>4203</v>
      </c>
      <c r="E233">
        <f>1</f>
        <v>1</v>
      </c>
      <c r="F233" t="str">
        <f>TRIM('Tabela Federal'!$D233)</f>
        <v>BENZILPENICILINA POTASSICA</v>
      </c>
    </row>
    <row r="234" spans="4:6" x14ac:dyDescent="0.25">
      <c r="D234" t="s">
        <v>3305</v>
      </c>
      <c r="E234">
        <f>1</f>
        <v>1</v>
      </c>
      <c r="F234" t="str">
        <f>TRIM('Tabela Federal'!$D234)</f>
        <v>BENZNIDAZOL</v>
      </c>
    </row>
    <row r="235" spans="4:6" x14ac:dyDescent="0.25">
      <c r="D235" t="s">
        <v>3306</v>
      </c>
      <c r="E235">
        <f>1</f>
        <v>1</v>
      </c>
      <c r="F235" t="str">
        <f>TRIM('Tabela Federal'!$D235)</f>
        <v>BENZOATO DE ESTRADIOL</v>
      </c>
    </row>
    <row r="236" spans="4:6" x14ac:dyDescent="0.25">
      <c r="D236" t="s">
        <v>3307</v>
      </c>
      <c r="E236">
        <f>1</f>
        <v>1</v>
      </c>
      <c r="F236" t="str">
        <f>TRIM('Tabela Federal'!$D236)</f>
        <v>BENZOATO DE RIZATRIPTANA</v>
      </c>
    </row>
    <row r="237" spans="4:6" x14ac:dyDescent="0.25">
      <c r="D237" t="s">
        <v>3189</v>
      </c>
      <c r="E237">
        <f>1</f>
        <v>1</v>
      </c>
      <c r="F237" t="str">
        <f>TRIM('Tabela Federal'!$D237)</f>
        <v>BENZOCAINA</v>
      </c>
    </row>
    <row r="238" spans="4:6" x14ac:dyDescent="0.25">
      <c r="D238" t="s">
        <v>3308</v>
      </c>
      <c r="E238">
        <f>1</f>
        <v>1</v>
      </c>
      <c r="F238" t="str">
        <f>TRIM('Tabela Federal'!$D238)</f>
        <v>BENZOILMETRONIDAZOL</v>
      </c>
    </row>
    <row r="239" spans="4:6" x14ac:dyDescent="0.25">
      <c r="D239" t="s">
        <v>3309</v>
      </c>
      <c r="E239">
        <f>1</f>
        <v>1</v>
      </c>
      <c r="F239" t="str">
        <f>TRIM('Tabela Federal'!$D239)</f>
        <v>BERACTANTO</v>
      </c>
    </row>
    <row r="240" spans="4:6" x14ac:dyDescent="0.25">
      <c r="D240" t="s">
        <v>3310</v>
      </c>
      <c r="E240">
        <f>1</f>
        <v>1</v>
      </c>
      <c r="F240" t="str">
        <f>TRIM('Tabela Federal'!$D240)</f>
        <v>BESILATO DE ANLODIPINO</v>
      </c>
    </row>
    <row r="241" spans="4:6" x14ac:dyDescent="0.25">
      <c r="D241" t="s">
        <v>3310</v>
      </c>
      <c r="E241">
        <f>1</f>
        <v>1</v>
      </c>
      <c r="F241" t="str">
        <f>TRIM('Tabela Federal'!$D241)</f>
        <v>BESILATO DE ANLODIPINO</v>
      </c>
    </row>
    <row r="242" spans="4:6" x14ac:dyDescent="0.25">
      <c r="D242" t="s">
        <v>3310</v>
      </c>
      <c r="E242">
        <f>1</f>
        <v>1</v>
      </c>
      <c r="F242" t="str">
        <f>TRIM('Tabela Federal'!$D242)</f>
        <v>BESILATO DE ANLODIPINO</v>
      </c>
    </row>
    <row r="243" spans="4:6" x14ac:dyDescent="0.25">
      <c r="D243" t="s">
        <v>3310</v>
      </c>
      <c r="E243">
        <f>1</f>
        <v>1</v>
      </c>
      <c r="F243" t="str">
        <f>TRIM('Tabela Federal'!$D243)</f>
        <v>BESILATO DE ANLODIPINO</v>
      </c>
    </row>
    <row r="244" spans="4:6" x14ac:dyDescent="0.25">
      <c r="D244" t="s">
        <v>3310</v>
      </c>
      <c r="E244">
        <f>1</f>
        <v>1</v>
      </c>
      <c r="F244" t="str">
        <f>TRIM('Tabela Federal'!$D244)</f>
        <v>BESILATO DE ANLODIPINO</v>
      </c>
    </row>
    <row r="245" spans="4:6" x14ac:dyDescent="0.25">
      <c r="D245" t="s">
        <v>3310</v>
      </c>
      <c r="E245">
        <f>1</f>
        <v>1</v>
      </c>
      <c r="F245" t="str">
        <f>TRIM('Tabela Federal'!$D245)</f>
        <v>BESILATO DE ANLODIPINO</v>
      </c>
    </row>
    <row r="246" spans="4:6" x14ac:dyDescent="0.25">
      <c r="D246" t="s">
        <v>3310</v>
      </c>
      <c r="E246">
        <f>1</f>
        <v>1</v>
      </c>
      <c r="F246" t="str">
        <f>TRIM('Tabela Federal'!$D246)</f>
        <v>BESILATO DE ANLODIPINO</v>
      </c>
    </row>
    <row r="247" spans="4:6" x14ac:dyDescent="0.25">
      <c r="D247" t="s">
        <v>3310</v>
      </c>
      <c r="E247">
        <f>1</f>
        <v>1</v>
      </c>
      <c r="F247" t="str">
        <f>TRIM('Tabela Federal'!$D247)</f>
        <v>BESILATO DE ANLODIPINO</v>
      </c>
    </row>
    <row r="248" spans="4:6" x14ac:dyDescent="0.25">
      <c r="D248" t="s">
        <v>3310</v>
      </c>
      <c r="E248">
        <f>1</f>
        <v>1</v>
      </c>
      <c r="F248" t="str">
        <f>TRIM('Tabela Federal'!$D248)</f>
        <v>BESILATO DE ANLODIPINO</v>
      </c>
    </row>
    <row r="249" spans="4:6" x14ac:dyDescent="0.25">
      <c r="D249" t="s">
        <v>3310</v>
      </c>
      <c r="E249">
        <f>1</f>
        <v>1</v>
      </c>
      <c r="F249" t="str">
        <f>TRIM('Tabela Federal'!$D249)</f>
        <v>BESILATO DE ANLODIPINO</v>
      </c>
    </row>
    <row r="250" spans="4:6" x14ac:dyDescent="0.25">
      <c r="D250" t="s">
        <v>3310</v>
      </c>
      <c r="E250">
        <f>1</f>
        <v>1</v>
      </c>
      <c r="F250" t="str">
        <f>TRIM('Tabela Federal'!$D250)</f>
        <v>BESILATO DE ANLODIPINO</v>
      </c>
    </row>
    <row r="251" spans="4:6" x14ac:dyDescent="0.25">
      <c r="D251" t="s">
        <v>4469</v>
      </c>
      <c r="E251">
        <f>1</f>
        <v>1</v>
      </c>
      <c r="F251" t="str">
        <f>TRIM('Tabela Federal'!$D251)</f>
        <v>BESILATO DE ATRACURIO</v>
      </c>
    </row>
    <row r="252" spans="4:6" x14ac:dyDescent="0.25">
      <c r="D252" t="s">
        <v>4470</v>
      </c>
      <c r="E252">
        <f>1</f>
        <v>1</v>
      </c>
      <c r="F252" t="str">
        <f>TRIM('Tabela Federal'!$D252)</f>
        <v>BESILATO DE CISATRACURIO</v>
      </c>
    </row>
    <row r="253" spans="4:6" x14ac:dyDescent="0.25">
      <c r="D253" t="s">
        <v>3311</v>
      </c>
      <c r="E253">
        <f>1</f>
        <v>1</v>
      </c>
      <c r="F253" t="str">
        <f>TRIM('Tabela Federal'!$D253)</f>
        <v>BETAEPOETINA</v>
      </c>
    </row>
    <row r="254" spans="4:6" x14ac:dyDescent="0.25">
      <c r="D254" t="s">
        <v>3312</v>
      </c>
      <c r="E254">
        <f>1</f>
        <v>1</v>
      </c>
      <c r="F254" t="str">
        <f>TRIM('Tabela Federal'!$D254)</f>
        <v>BETAESCINA</v>
      </c>
    </row>
    <row r="255" spans="4:6" x14ac:dyDescent="0.25">
      <c r="D255" t="s">
        <v>3313</v>
      </c>
      <c r="E255">
        <f>1</f>
        <v>1</v>
      </c>
      <c r="F255" t="str">
        <f>TRIM('Tabela Federal'!$D255)</f>
        <v>BETAFOLITROPINA</v>
      </c>
    </row>
    <row r="256" spans="4:6" x14ac:dyDescent="0.25">
      <c r="D256" t="s">
        <v>3314</v>
      </c>
      <c r="E256">
        <f>1</f>
        <v>1</v>
      </c>
      <c r="F256" t="str">
        <f>TRIM('Tabela Federal'!$D256)</f>
        <v>BETAGALSIDASE</v>
      </c>
    </row>
    <row r="257" spans="4:6" x14ac:dyDescent="0.25">
      <c r="D257" t="s">
        <v>3315</v>
      </c>
      <c r="E257">
        <f>1</f>
        <v>1</v>
      </c>
      <c r="F257" t="str">
        <f>TRIM('Tabela Federal'!$D257)</f>
        <v>BETAINTERFERONA</v>
      </c>
    </row>
    <row r="258" spans="4:6" x14ac:dyDescent="0.25">
      <c r="D258" t="s">
        <v>3157</v>
      </c>
      <c r="E258">
        <f>1</f>
        <v>1</v>
      </c>
      <c r="F258" t="str">
        <f>TRIM('Tabela Federal'!$D258)</f>
        <v>BETAMETASONA</v>
      </c>
    </row>
    <row r="259" spans="4:6" x14ac:dyDescent="0.25">
      <c r="D259" t="s">
        <v>3316</v>
      </c>
      <c r="E259">
        <f>1</f>
        <v>1</v>
      </c>
      <c r="F259" t="str">
        <f>TRIM('Tabela Federal'!$D259)</f>
        <v>BEVACIZUMABE</v>
      </c>
    </row>
    <row r="260" spans="4:6" x14ac:dyDescent="0.25">
      <c r="D260" t="s">
        <v>3317</v>
      </c>
      <c r="E260">
        <f>1</f>
        <v>1</v>
      </c>
      <c r="F260" t="str">
        <f>TRIM('Tabela Federal'!$D260)</f>
        <v>BEZAFIBRATO</v>
      </c>
    </row>
    <row r="261" spans="4:6" x14ac:dyDescent="0.25">
      <c r="D261" t="s">
        <v>3318</v>
      </c>
      <c r="E261">
        <f>1</f>
        <v>1</v>
      </c>
      <c r="F261" t="str">
        <f>TRIM('Tabela Federal'!$D261)</f>
        <v>BICALUTAMIDA</v>
      </c>
    </row>
    <row r="262" spans="4:6" x14ac:dyDescent="0.25">
      <c r="D262" t="s">
        <v>4185</v>
      </c>
      <c r="E262">
        <f>1</f>
        <v>1</v>
      </c>
      <c r="F262" t="str">
        <f>TRIM('Tabela Federal'!$D262)</f>
        <v>BICARBONATO DE SODIO</v>
      </c>
    </row>
    <row r="263" spans="4:6" x14ac:dyDescent="0.25">
      <c r="D263" t="s">
        <v>3319</v>
      </c>
      <c r="E263">
        <f>1</f>
        <v>1</v>
      </c>
      <c r="F263" t="str">
        <f>TRIM('Tabela Federal'!$D263)</f>
        <v>BIMATOPROSTA</v>
      </c>
    </row>
    <row r="264" spans="4:6" x14ac:dyDescent="0.25">
      <c r="D264" t="s">
        <v>3319</v>
      </c>
      <c r="E264">
        <f>1</f>
        <v>1</v>
      </c>
      <c r="F264" t="str">
        <f>TRIM('Tabela Federal'!$D264)</f>
        <v>BIMATOPROSTA</v>
      </c>
    </row>
    <row r="265" spans="4:6" x14ac:dyDescent="0.25">
      <c r="D265" t="s">
        <v>3319</v>
      </c>
      <c r="E265">
        <f>1</f>
        <v>1</v>
      </c>
      <c r="F265" t="str">
        <f>TRIM('Tabela Federal'!$D265)</f>
        <v>BIMATOPROSTA</v>
      </c>
    </row>
    <row r="266" spans="4:6" x14ac:dyDescent="0.25">
      <c r="D266" t="s">
        <v>4529</v>
      </c>
      <c r="E266">
        <f>1</f>
        <v>1</v>
      </c>
      <c r="F266" t="str">
        <f>TRIM('Tabela Federal'!$D266)</f>
        <v>BINODENOSONA</v>
      </c>
    </row>
    <row r="267" spans="4:6" x14ac:dyDescent="0.25">
      <c r="D267" t="s">
        <v>3320</v>
      </c>
      <c r="E267">
        <f>1</f>
        <v>1</v>
      </c>
      <c r="F267" t="str">
        <f>TRIM('Tabela Federal'!$D267)</f>
        <v>BIOTINA</v>
      </c>
    </row>
    <row r="268" spans="4:6" x14ac:dyDescent="0.25">
      <c r="D268" t="s">
        <v>3321</v>
      </c>
      <c r="E268">
        <f>1</f>
        <v>1</v>
      </c>
      <c r="F268" t="str">
        <f>TRIM('Tabela Federal'!$D268)</f>
        <v>BISOPROLOL</v>
      </c>
    </row>
    <row r="269" spans="4:6" x14ac:dyDescent="0.25">
      <c r="D269" t="s">
        <v>3322</v>
      </c>
      <c r="E269">
        <f>1</f>
        <v>1</v>
      </c>
      <c r="F269" t="str">
        <f>TRIM('Tabela Federal'!$D269)</f>
        <v>BISSULFATO DE CLOPIDOGREL</v>
      </c>
    </row>
    <row r="270" spans="4:6" x14ac:dyDescent="0.25">
      <c r="D270" t="s">
        <v>3323</v>
      </c>
      <c r="E270">
        <f>1</f>
        <v>1</v>
      </c>
      <c r="F270" t="str">
        <f>TRIM('Tabela Federal'!$D270)</f>
        <v>BISSULFATO DE QUINIDINA</v>
      </c>
    </row>
    <row r="271" spans="4:6" x14ac:dyDescent="0.25">
      <c r="D271" t="s">
        <v>4530</v>
      </c>
      <c r="E271">
        <f>1</f>
        <v>1</v>
      </c>
      <c r="F271" t="str">
        <f>TRIM('Tabela Federal'!$D271)</f>
        <v>BOCEPREVIR</v>
      </c>
    </row>
    <row r="272" spans="4:6" x14ac:dyDescent="0.25">
      <c r="D272" t="s">
        <v>3324</v>
      </c>
      <c r="E272">
        <f>1</f>
        <v>1</v>
      </c>
      <c r="F272" t="str">
        <f>TRIM('Tabela Federal'!$D272)</f>
        <v>BORTEZOMIBE</v>
      </c>
    </row>
    <row r="273" spans="4:6" x14ac:dyDescent="0.25">
      <c r="D273" t="s">
        <v>3325</v>
      </c>
      <c r="E273">
        <f>1</f>
        <v>1</v>
      </c>
      <c r="F273" t="str">
        <f>TRIM('Tabela Federal'!$D273)</f>
        <v>BOSENTANA</v>
      </c>
    </row>
    <row r="274" spans="4:6" x14ac:dyDescent="0.25">
      <c r="D274" t="s">
        <v>2627</v>
      </c>
      <c r="E274">
        <f>1</f>
        <v>1</v>
      </c>
      <c r="F274" t="str">
        <f>TRIM('Tabela Federal'!$D274)</f>
        <v>BRINZOLAMIDA</v>
      </c>
    </row>
    <row r="275" spans="4:6" x14ac:dyDescent="0.25">
      <c r="D275" t="s">
        <v>3326</v>
      </c>
      <c r="E275">
        <f>1</f>
        <v>1</v>
      </c>
      <c r="F275" t="str">
        <f>TRIM('Tabela Federal'!$D275)</f>
        <v>BROMAZEPAM</v>
      </c>
    </row>
    <row r="276" spans="4:6" x14ac:dyDescent="0.25">
      <c r="D276" t="s">
        <v>3326</v>
      </c>
      <c r="E276">
        <f>1</f>
        <v>1</v>
      </c>
      <c r="F276" t="str">
        <f>TRIM('Tabela Federal'!$D276)</f>
        <v>BROMAZEPAM</v>
      </c>
    </row>
    <row r="277" spans="4:6" x14ac:dyDescent="0.25">
      <c r="D277" t="s">
        <v>4286</v>
      </c>
      <c r="E277">
        <f>1</f>
        <v>1</v>
      </c>
      <c r="F277" t="str">
        <f>TRIM('Tabela Federal'!$D277)</f>
        <v>BROMELAINA</v>
      </c>
    </row>
    <row r="278" spans="4:6" x14ac:dyDescent="0.25">
      <c r="D278" t="s">
        <v>4351</v>
      </c>
      <c r="E278">
        <f>1</f>
        <v>1</v>
      </c>
      <c r="F278" t="str">
        <f>TRIM('Tabela Federal'!$D278)</f>
        <v>BROMETO DE IPRATROPIO</v>
      </c>
    </row>
    <row r="279" spans="4:6" x14ac:dyDescent="0.25">
      <c r="D279" t="s">
        <v>4351</v>
      </c>
      <c r="E279">
        <f>1</f>
        <v>1</v>
      </c>
      <c r="F279" t="str">
        <f>TRIM('Tabela Federal'!$D279)</f>
        <v>BROMETO DE IPRATROPIO</v>
      </c>
    </row>
    <row r="280" spans="4:6" x14ac:dyDescent="0.25">
      <c r="D280" t="s">
        <v>4351</v>
      </c>
      <c r="E280">
        <f>1</f>
        <v>1</v>
      </c>
      <c r="F280" t="str">
        <f>TRIM('Tabela Federal'!$D280)</f>
        <v>BROMETO DE IPRATROPIO</v>
      </c>
    </row>
    <row r="281" spans="4:6" x14ac:dyDescent="0.25">
      <c r="D281" t="s">
        <v>4352</v>
      </c>
      <c r="E281">
        <f>1</f>
        <v>1</v>
      </c>
      <c r="F281" t="str">
        <f>TRIM('Tabela Federal'!$D281)</f>
        <v>BROMETO DE PANCURONIO</v>
      </c>
    </row>
    <row r="282" spans="4:6" x14ac:dyDescent="0.25">
      <c r="D282" t="s">
        <v>4353</v>
      </c>
      <c r="E282">
        <f>1</f>
        <v>1</v>
      </c>
      <c r="F282" t="str">
        <f>TRIM('Tabela Federal'!$D282)</f>
        <v>BROMETO DE PIPECURONIO</v>
      </c>
    </row>
    <row r="283" spans="4:6" x14ac:dyDescent="0.25">
      <c r="D283" t="s">
        <v>3327</v>
      </c>
      <c r="E283">
        <f>1</f>
        <v>1</v>
      </c>
      <c r="F283" t="str">
        <f>TRIM('Tabela Federal'!$D283)</f>
        <v>BROMETO DE PIRIDOSTIGMINA</v>
      </c>
    </row>
    <row r="284" spans="4:6" x14ac:dyDescent="0.25">
      <c r="D284" t="s">
        <v>4354</v>
      </c>
      <c r="E284">
        <f>1</f>
        <v>1</v>
      </c>
      <c r="F284" t="str">
        <f>TRIM('Tabela Federal'!$D284)</f>
        <v>BROMETO DE ROCURONIO</v>
      </c>
    </row>
    <row r="285" spans="4:6" x14ac:dyDescent="0.25">
      <c r="D285" t="s">
        <v>4355</v>
      </c>
      <c r="E285">
        <f>1</f>
        <v>1</v>
      </c>
      <c r="F285" t="str">
        <f>TRIM('Tabela Federal'!$D285)</f>
        <v>BROMETO DE TIOTROPIO</v>
      </c>
    </row>
    <row r="286" spans="4:6" x14ac:dyDescent="0.25">
      <c r="D286" t="s">
        <v>4356</v>
      </c>
      <c r="E286">
        <f>1</f>
        <v>1</v>
      </c>
      <c r="F286" t="str">
        <f>TRIM('Tabela Federal'!$D286)</f>
        <v>BROMETO DE VECURONIO</v>
      </c>
    </row>
    <row r="287" spans="4:6" x14ac:dyDescent="0.25">
      <c r="D287" t="s">
        <v>3328</v>
      </c>
      <c r="E287">
        <f>1</f>
        <v>1</v>
      </c>
      <c r="F287" t="str">
        <f>TRIM('Tabela Federal'!$D287)</f>
        <v>BROMIDRATO DE CITALOPRAM</v>
      </c>
    </row>
    <row r="288" spans="4:6" x14ac:dyDescent="0.25">
      <c r="D288" t="s">
        <v>3329</v>
      </c>
      <c r="E288">
        <f>1</f>
        <v>1</v>
      </c>
      <c r="F288" t="str">
        <f>TRIM('Tabela Federal'!$D288)</f>
        <v>BROMIDRATO DE FENOTEROL</v>
      </c>
    </row>
    <row r="289" spans="4:6" x14ac:dyDescent="0.25">
      <c r="D289" t="s">
        <v>3330</v>
      </c>
      <c r="E289">
        <f>1</f>
        <v>1</v>
      </c>
      <c r="F289" t="str">
        <f>TRIM('Tabela Federal'!$D289)</f>
        <v>BROMIDRATO DE GALANTAMINA</v>
      </c>
    </row>
    <row r="290" spans="4:6" x14ac:dyDescent="0.25">
      <c r="D290" t="s">
        <v>2630</v>
      </c>
      <c r="E290">
        <f>1</f>
        <v>1</v>
      </c>
      <c r="F290" t="str">
        <f>TRIM('Tabela Federal'!$D290)</f>
        <v>BROMOPRIDA</v>
      </c>
    </row>
    <row r="291" spans="4:6" x14ac:dyDescent="0.25">
      <c r="D291" t="s">
        <v>2631</v>
      </c>
      <c r="E291">
        <f>1</f>
        <v>1</v>
      </c>
      <c r="F291" t="str">
        <f>TRIM('Tabela Federal'!$D291)</f>
        <v>BUDESONIDA</v>
      </c>
    </row>
    <row r="292" spans="4:6" x14ac:dyDescent="0.25">
      <c r="D292" t="s">
        <v>2631</v>
      </c>
      <c r="E292">
        <f>1</f>
        <v>1</v>
      </c>
      <c r="F292" t="str">
        <f>TRIM('Tabela Federal'!$D292)</f>
        <v>BUDESONIDA</v>
      </c>
    </row>
    <row r="293" spans="4:6" x14ac:dyDescent="0.25">
      <c r="D293" t="s">
        <v>3331</v>
      </c>
      <c r="E293">
        <f>1</f>
        <v>1</v>
      </c>
      <c r="F293" t="str">
        <f>TRIM('Tabela Federal'!$D293)</f>
        <v>BUMETANIDA</v>
      </c>
    </row>
    <row r="294" spans="4:6" x14ac:dyDescent="0.25">
      <c r="D294" t="s">
        <v>3332</v>
      </c>
      <c r="E294">
        <f>1</f>
        <v>1</v>
      </c>
      <c r="F294" t="str">
        <f>TRIM('Tabela Federal'!$D294)</f>
        <v>BUPROPIONA</v>
      </c>
    </row>
    <row r="295" spans="4:6" x14ac:dyDescent="0.25">
      <c r="D295" t="s">
        <v>3333</v>
      </c>
      <c r="E295">
        <f>1</f>
        <v>1</v>
      </c>
      <c r="F295" t="str">
        <f>TRIM('Tabela Federal'!$D295)</f>
        <v>BUSSULFANO</v>
      </c>
    </row>
    <row r="296" spans="4:6" x14ac:dyDescent="0.25">
      <c r="D296" t="s">
        <v>4531</v>
      </c>
      <c r="E296">
        <f>1</f>
        <v>1</v>
      </c>
      <c r="F296" t="str">
        <f>TRIM('Tabela Federal'!$D296)</f>
        <v>CABAZITAXEL</v>
      </c>
    </row>
    <row r="297" spans="4:6" x14ac:dyDescent="0.25">
      <c r="D297" t="s">
        <v>3334</v>
      </c>
      <c r="E297">
        <f>1</f>
        <v>1</v>
      </c>
      <c r="F297" t="str">
        <f>TRIM('Tabela Federal'!$D297)</f>
        <v>CABERGOLINA</v>
      </c>
    </row>
    <row r="298" spans="4:6" x14ac:dyDescent="0.25">
      <c r="D298" t="s">
        <v>4244</v>
      </c>
      <c r="E298">
        <f>1</f>
        <v>1</v>
      </c>
      <c r="F298" t="str">
        <f>TRIM('Tabela Federal'!$D298)</f>
        <v>CALCITONINA SINTETICA DE SALMAO</v>
      </c>
    </row>
    <row r="299" spans="4:6" x14ac:dyDescent="0.25">
      <c r="D299" t="s">
        <v>4245</v>
      </c>
      <c r="E299">
        <f>1</f>
        <v>1</v>
      </c>
      <c r="F299" t="str">
        <f>TRIM('Tabela Federal'!$D299)</f>
        <v>CALCITONINA SINTETICA HUMANA</v>
      </c>
    </row>
    <row r="300" spans="4:6" x14ac:dyDescent="0.25">
      <c r="D300" t="s">
        <v>3335</v>
      </c>
      <c r="E300">
        <f>1</f>
        <v>1</v>
      </c>
      <c r="F300" t="str">
        <f>TRIM('Tabela Federal'!$D300)</f>
        <v>CALCITRIOL</v>
      </c>
    </row>
    <row r="301" spans="4:6" x14ac:dyDescent="0.25">
      <c r="D301" t="s">
        <v>3336</v>
      </c>
      <c r="E301">
        <f>1</f>
        <v>1</v>
      </c>
      <c r="F301" t="str">
        <f>TRIM('Tabela Federal'!$D301)</f>
        <v>CAMBENDAZOL</v>
      </c>
    </row>
    <row r="302" spans="4:6" x14ac:dyDescent="0.25">
      <c r="D302" t="s">
        <v>3336</v>
      </c>
      <c r="E302">
        <f>1</f>
        <v>1</v>
      </c>
      <c r="F302" t="str">
        <f>TRIM('Tabela Federal'!$D302)</f>
        <v>CAMBENDAZOL</v>
      </c>
    </row>
    <row r="303" spans="4:6" x14ac:dyDescent="0.25">
      <c r="D303" t="s">
        <v>3337</v>
      </c>
      <c r="E303">
        <f>1</f>
        <v>1</v>
      </c>
      <c r="F303" t="str">
        <f>TRIM('Tabela Federal'!$D303)</f>
        <v>CANDESARTANA CILEXETILA</v>
      </c>
    </row>
    <row r="304" spans="4:6" x14ac:dyDescent="0.25">
      <c r="D304" t="s">
        <v>3337</v>
      </c>
      <c r="E304">
        <f>1</f>
        <v>1</v>
      </c>
      <c r="F304" t="str">
        <f>TRIM('Tabela Federal'!$D304)</f>
        <v>CANDESARTANA CILEXETILA</v>
      </c>
    </row>
    <row r="305" spans="4:6" x14ac:dyDescent="0.25">
      <c r="D305" t="s">
        <v>3337</v>
      </c>
      <c r="E305">
        <f>1</f>
        <v>1</v>
      </c>
      <c r="F305" t="str">
        <f>TRIM('Tabela Federal'!$D305)</f>
        <v>CANDESARTANA CILEXETILA</v>
      </c>
    </row>
    <row r="306" spans="4:6" x14ac:dyDescent="0.25">
      <c r="D306" t="s">
        <v>3338</v>
      </c>
      <c r="E306">
        <f>1</f>
        <v>1</v>
      </c>
      <c r="F306" t="str">
        <f>TRIM('Tabela Federal'!$D306)</f>
        <v>CAPECITABINA</v>
      </c>
    </row>
    <row r="307" spans="4:6" x14ac:dyDescent="0.25">
      <c r="D307" t="s">
        <v>3339</v>
      </c>
      <c r="E307">
        <f>1</f>
        <v>1</v>
      </c>
      <c r="F307" t="str">
        <f>TRIM('Tabela Federal'!$D307)</f>
        <v>CAPROATO DE HIDROXIPROGESTERONA</v>
      </c>
    </row>
    <row r="308" spans="4:6" x14ac:dyDescent="0.25">
      <c r="D308" t="s">
        <v>3340</v>
      </c>
      <c r="E308">
        <f>1</f>
        <v>1</v>
      </c>
      <c r="F308" t="str">
        <f>TRIM('Tabela Federal'!$D308)</f>
        <v>CAPTOPRIL</v>
      </c>
    </row>
    <row r="309" spans="4:6" x14ac:dyDescent="0.25">
      <c r="D309" t="s">
        <v>3340</v>
      </c>
      <c r="E309">
        <f>1</f>
        <v>1</v>
      </c>
      <c r="F309" t="str">
        <f>TRIM('Tabela Federal'!$D309)</f>
        <v>CAPTOPRIL</v>
      </c>
    </row>
    <row r="310" spans="4:6" x14ac:dyDescent="0.25">
      <c r="D310" t="s">
        <v>3341</v>
      </c>
      <c r="E310">
        <f>1</f>
        <v>1</v>
      </c>
      <c r="F310" t="str">
        <f>TRIM('Tabela Federal'!$D310)</f>
        <v>CARBACOL</v>
      </c>
    </row>
    <row r="311" spans="4:6" x14ac:dyDescent="0.25">
      <c r="D311" t="s">
        <v>3342</v>
      </c>
      <c r="E311">
        <f>1</f>
        <v>1</v>
      </c>
      <c r="F311" t="str">
        <f>TRIM('Tabela Federal'!$D311)</f>
        <v>CARBAMAZEPINA</v>
      </c>
    </row>
    <row r="312" spans="4:6" x14ac:dyDescent="0.25">
      <c r="D312" t="s">
        <v>3343</v>
      </c>
      <c r="E312">
        <f>1</f>
        <v>1</v>
      </c>
      <c r="F312" t="str">
        <f>TRIM('Tabela Federal'!$D312)</f>
        <v>CARBENICILINA</v>
      </c>
    </row>
    <row r="313" spans="4:6" x14ac:dyDescent="0.25">
      <c r="D313" t="s">
        <v>3344</v>
      </c>
      <c r="E313">
        <f>1</f>
        <v>1</v>
      </c>
      <c r="F313" t="str">
        <f>TRIM('Tabela Federal'!$D313)</f>
        <v>CARBETOCINA</v>
      </c>
    </row>
    <row r="314" spans="4:6" x14ac:dyDescent="0.25">
      <c r="D314" t="s">
        <v>3161</v>
      </c>
      <c r="E314">
        <f>1</f>
        <v>1</v>
      </c>
      <c r="F314" t="str">
        <f>TRIM('Tabela Federal'!$D314)</f>
        <v>CARBIDOPA</v>
      </c>
    </row>
    <row r="315" spans="4:6" x14ac:dyDescent="0.25">
      <c r="D315" t="s">
        <v>3161</v>
      </c>
      <c r="E315">
        <f>1</f>
        <v>1</v>
      </c>
      <c r="F315" t="str">
        <f>TRIM('Tabela Federal'!$D315)</f>
        <v>CARBIDOPA</v>
      </c>
    </row>
    <row r="316" spans="4:6" x14ac:dyDescent="0.25">
      <c r="D316" t="s">
        <v>4204</v>
      </c>
      <c r="E316">
        <f>1</f>
        <v>1</v>
      </c>
      <c r="F316" t="str">
        <f>TRIM('Tabela Federal'!$D316)</f>
        <v>CARBONATO DE CALCIO</v>
      </c>
    </row>
    <row r="317" spans="4:6" x14ac:dyDescent="0.25">
      <c r="D317" t="s">
        <v>4532</v>
      </c>
      <c r="E317">
        <f>1</f>
        <v>1</v>
      </c>
      <c r="F317" t="str">
        <f>TRIM('Tabela Federal'!$D317)</f>
        <v>CARBONATO DE LANTANIO</v>
      </c>
    </row>
    <row r="318" spans="4:6" x14ac:dyDescent="0.25">
      <c r="D318" t="s">
        <v>4287</v>
      </c>
      <c r="E318">
        <f>1</f>
        <v>1</v>
      </c>
      <c r="F318" t="str">
        <f>TRIM('Tabela Federal'!$D318)</f>
        <v>CARBONATO DE LITIO</v>
      </c>
    </row>
    <row r="319" spans="4:6" x14ac:dyDescent="0.25">
      <c r="D319" t="s">
        <v>4533</v>
      </c>
      <c r="E319">
        <f>1</f>
        <v>1</v>
      </c>
      <c r="F319" t="str">
        <f>TRIM('Tabela Federal'!$D319)</f>
        <v>CARBONATO DE SEVELAMER</v>
      </c>
    </row>
    <row r="320" spans="4:6" x14ac:dyDescent="0.25">
      <c r="D320" t="s">
        <v>4357</v>
      </c>
      <c r="E320">
        <f>1</f>
        <v>1</v>
      </c>
      <c r="F320" t="str">
        <f>TRIM('Tabela Federal'!$D320)</f>
        <v>CARBONATO DE SODIO</v>
      </c>
    </row>
    <row r="321" spans="4:6" x14ac:dyDescent="0.25">
      <c r="D321" t="s">
        <v>3345</v>
      </c>
      <c r="E321">
        <f>1</f>
        <v>1</v>
      </c>
      <c r="F321" t="str">
        <f>TRIM('Tabela Federal'!$D321)</f>
        <v>CARBOPLATINA</v>
      </c>
    </row>
    <row r="322" spans="4:6" x14ac:dyDescent="0.25">
      <c r="D322" t="s">
        <v>3346</v>
      </c>
      <c r="E322">
        <f>1</f>
        <v>1</v>
      </c>
      <c r="F322" t="str">
        <f>TRIM('Tabela Federal'!$D322)</f>
        <v>CARMELOSE</v>
      </c>
    </row>
    <row r="323" spans="4:6" x14ac:dyDescent="0.25">
      <c r="D323" t="s">
        <v>3347</v>
      </c>
      <c r="E323">
        <f>1</f>
        <v>1</v>
      </c>
      <c r="F323" t="str">
        <f>TRIM('Tabela Federal'!$D323)</f>
        <v>CARMUSTINA</v>
      </c>
    </row>
    <row r="324" spans="4:6" x14ac:dyDescent="0.25">
      <c r="D324" t="s">
        <v>3348</v>
      </c>
      <c r="E324">
        <f>1</f>
        <v>1</v>
      </c>
      <c r="F324" t="str">
        <f>TRIM('Tabela Federal'!$D324)</f>
        <v>CARVEDILOL</v>
      </c>
    </row>
    <row r="325" spans="4:6" x14ac:dyDescent="0.25">
      <c r="D325" t="s">
        <v>4534</v>
      </c>
      <c r="E325">
        <f>1</f>
        <v>1</v>
      </c>
      <c r="F325" t="str">
        <f>TRIM('Tabela Federal'!$D325)</f>
        <v>CASOPITANTO</v>
      </c>
    </row>
    <row r="326" spans="4:6" x14ac:dyDescent="0.25">
      <c r="D326" t="s">
        <v>3158</v>
      </c>
      <c r="E326">
        <f>1</f>
        <v>1</v>
      </c>
      <c r="F326" t="str">
        <f>TRIM('Tabela Federal'!$D326)</f>
        <v>CASPOFUNGINA</v>
      </c>
    </row>
    <row r="327" spans="4:6" x14ac:dyDescent="0.25">
      <c r="D327" t="s">
        <v>4535</v>
      </c>
      <c r="E327">
        <f>1</f>
        <v>1</v>
      </c>
      <c r="F327" t="str">
        <f>TRIM('Tabela Federal'!$D327)</f>
        <v>CEDIRANIBE</v>
      </c>
    </row>
    <row r="328" spans="4:6" x14ac:dyDescent="0.25">
      <c r="D328" t="s">
        <v>3349</v>
      </c>
      <c r="E328">
        <f>1</f>
        <v>1</v>
      </c>
      <c r="F328" t="str">
        <f>TRIM('Tabela Federal'!$D328)</f>
        <v>CEFACLOR</v>
      </c>
    </row>
    <row r="329" spans="4:6" x14ac:dyDescent="0.25">
      <c r="D329" t="s">
        <v>3350</v>
      </c>
      <c r="E329">
        <f>1</f>
        <v>1</v>
      </c>
      <c r="F329" t="str">
        <f>TRIM('Tabela Federal'!$D329)</f>
        <v>CEFADROXILA</v>
      </c>
    </row>
    <row r="330" spans="4:6" x14ac:dyDescent="0.25">
      <c r="D330" t="s">
        <v>4536</v>
      </c>
      <c r="E330">
        <f>1</f>
        <v>1</v>
      </c>
      <c r="F330" t="str">
        <f>TRIM('Tabela Federal'!$D330)</f>
        <v>CEFALEXINA</v>
      </c>
    </row>
    <row r="331" spans="4:6" x14ac:dyDescent="0.25">
      <c r="D331" t="s">
        <v>3351</v>
      </c>
      <c r="E331">
        <f>1</f>
        <v>1</v>
      </c>
      <c r="F331" t="str">
        <f>TRIM('Tabela Federal'!$D331)</f>
        <v>CEFALEXINA MONOIDRATADA</v>
      </c>
    </row>
    <row r="332" spans="4:6" x14ac:dyDescent="0.25">
      <c r="D332" t="s">
        <v>4537</v>
      </c>
      <c r="E332">
        <f>1</f>
        <v>1</v>
      </c>
      <c r="F332" t="str">
        <f>TRIM('Tabela Federal'!$D332)</f>
        <v>CEFALOTINA</v>
      </c>
    </row>
    <row r="333" spans="4:6" x14ac:dyDescent="0.25">
      <c r="D333" t="s">
        <v>4358</v>
      </c>
      <c r="E333">
        <f>1</f>
        <v>1</v>
      </c>
      <c r="F333" t="str">
        <f>TRIM('Tabela Federal'!$D333)</f>
        <v>CEFALOTINA SODICA</v>
      </c>
    </row>
    <row r="334" spans="4:6" x14ac:dyDescent="0.25">
      <c r="D334" t="s">
        <v>4359</v>
      </c>
      <c r="E334">
        <f>1</f>
        <v>1</v>
      </c>
      <c r="F334" t="str">
        <f>TRIM('Tabela Federal'!$D334)</f>
        <v>CEFAZOLINA SODICA</v>
      </c>
    </row>
    <row r="335" spans="4:6" x14ac:dyDescent="0.25">
      <c r="D335" t="s">
        <v>3352</v>
      </c>
      <c r="E335">
        <f>1</f>
        <v>1</v>
      </c>
      <c r="F335" t="str">
        <f>TRIM('Tabela Federal'!$D335)</f>
        <v>CEFIXIMA</v>
      </c>
    </row>
    <row r="336" spans="4:6" x14ac:dyDescent="0.25">
      <c r="D336" t="s">
        <v>3353</v>
      </c>
      <c r="E336">
        <f>1</f>
        <v>1</v>
      </c>
      <c r="F336" t="str">
        <f>TRIM('Tabela Federal'!$D336)</f>
        <v>CEFODIZIMA</v>
      </c>
    </row>
    <row r="337" spans="4:6" x14ac:dyDescent="0.25">
      <c r="D337" t="s">
        <v>3354</v>
      </c>
      <c r="E337">
        <f>1</f>
        <v>1</v>
      </c>
      <c r="F337" t="str">
        <f>TRIM('Tabela Federal'!$D337)</f>
        <v>CEFOPERAZONA</v>
      </c>
    </row>
    <row r="338" spans="4:6" x14ac:dyDescent="0.25">
      <c r="D338" t="s">
        <v>4360</v>
      </c>
      <c r="E338">
        <f>1</f>
        <v>1</v>
      </c>
      <c r="F338" t="str">
        <f>TRIM('Tabela Federal'!$D338)</f>
        <v>CEFOPERAZONA SODICA</v>
      </c>
    </row>
    <row r="339" spans="4:6" x14ac:dyDescent="0.25">
      <c r="D339" t="s">
        <v>3355</v>
      </c>
      <c r="E339">
        <f>1</f>
        <v>1</v>
      </c>
      <c r="F339" t="str">
        <f>TRIM('Tabela Federal'!$D339)</f>
        <v>CEFOTAXIMA</v>
      </c>
    </row>
    <row r="340" spans="4:6" x14ac:dyDescent="0.25">
      <c r="D340" t="s">
        <v>4361</v>
      </c>
      <c r="E340">
        <f>1</f>
        <v>1</v>
      </c>
      <c r="F340" t="str">
        <f>TRIM('Tabela Federal'!$D340)</f>
        <v>CEFOTAXIMA SODICA</v>
      </c>
    </row>
    <row r="341" spans="4:6" x14ac:dyDescent="0.25">
      <c r="D341" t="s">
        <v>4362</v>
      </c>
      <c r="E341">
        <f>1</f>
        <v>1</v>
      </c>
      <c r="F341" t="str">
        <f>TRIM('Tabela Federal'!$D341)</f>
        <v>CEFOXITINA SODICA</v>
      </c>
    </row>
    <row r="342" spans="4:6" x14ac:dyDescent="0.25">
      <c r="D342" t="s">
        <v>3356</v>
      </c>
      <c r="E342">
        <f>1</f>
        <v>1</v>
      </c>
      <c r="F342" t="str">
        <f>TRIM('Tabela Federal'!$D342)</f>
        <v>CEFPODOXIMA PROXETILA</v>
      </c>
    </row>
    <row r="343" spans="4:6" x14ac:dyDescent="0.25">
      <c r="D343" t="s">
        <v>3357</v>
      </c>
      <c r="E343">
        <f>1</f>
        <v>1</v>
      </c>
      <c r="F343" t="str">
        <f>TRIM('Tabela Federal'!$D343)</f>
        <v>CEFPROZILA</v>
      </c>
    </row>
    <row r="344" spans="4:6" x14ac:dyDescent="0.25">
      <c r="D344" t="s">
        <v>3358</v>
      </c>
      <c r="E344">
        <f>1</f>
        <v>1</v>
      </c>
      <c r="F344" t="str">
        <f>TRIM('Tabela Federal'!$D344)</f>
        <v>CEFPROZILA MONOIDRATADA</v>
      </c>
    </row>
    <row r="345" spans="4:6" x14ac:dyDescent="0.25">
      <c r="D345" t="s">
        <v>3359</v>
      </c>
      <c r="E345">
        <f>1</f>
        <v>1</v>
      </c>
      <c r="F345" t="str">
        <f>TRIM('Tabela Federal'!$D345)</f>
        <v>CEFTAZIDIMA</v>
      </c>
    </row>
    <row r="346" spans="4:6" x14ac:dyDescent="0.25">
      <c r="D346" t="s">
        <v>4363</v>
      </c>
      <c r="E346">
        <f>1</f>
        <v>1</v>
      </c>
      <c r="F346" t="str">
        <f>TRIM('Tabela Federal'!$D346)</f>
        <v>CEFTRIAXONA SODICA</v>
      </c>
    </row>
    <row r="347" spans="4:6" x14ac:dyDescent="0.25">
      <c r="D347" t="s">
        <v>4364</v>
      </c>
      <c r="E347">
        <f>1</f>
        <v>1</v>
      </c>
      <c r="F347" t="str">
        <f>TRIM('Tabela Federal'!$D347)</f>
        <v>CEFUROXIMA SODICA</v>
      </c>
    </row>
    <row r="348" spans="4:6" x14ac:dyDescent="0.25">
      <c r="D348" t="s">
        <v>2633</v>
      </c>
      <c r="E348">
        <f>1</f>
        <v>1</v>
      </c>
      <c r="F348" t="str">
        <f>TRIM('Tabela Federal'!$D348)</f>
        <v>CELECOXIBE</v>
      </c>
    </row>
    <row r="349" spans="4:6" x14ac:dyDescent="0.25">
      <c r="D349" t="s">
        <v>4288</v>
      </c>
      <c r="E349">
        <f>1</f>
        <v>1</v>
      </c>
      <c r="F349" t="str">
        <f>TRIM('Tabela Federal'!$D349)</f>
        <v>CELULAS VERMELHAS SANGÜINEAS</v>
      </c>
    </row>
    <row r="350" spans="4:6" x14ac:dyDescent="0.25">
      <c r="D350" t="s">
        <v>3360</v>
      </c>
      <c r="E350">
        <f>1</f>
        <v>1</v>
      </c>
      <c r="F350" t="str">
        <f>TRIM('Tabela Federal'!$D350)</f>
        <v>CERIVASTATINA</v>
      </c>
    </row>
    <row r="351" spans="4:6" x14ac:dyDescent="0.25">
      <c r="D351" t="s">
        <v>4538</v>
      </c>
      <c r="E351">
        <f>1</f>
        <v>1</v>
      </c>
      <c r="F351" t="str">
        <f>TRIM('Tabela Federal'!$D351)</f>
        <v>CERTOLIZUMABE PEGOL</v>
      </c>
    </row>
    <row r="352" spans="4:6" x14ac:dyDescent="0.25">
      <c r="D352" t="s">
        <v>4641</v>
      </c>
      <c r="E352">
        <f>1</f>
        <v>1</v>
      </c>
      <c r="F352" t="str">
        <f>TRIM('Tabela Federal'!$D352)</f>
        <v>CETOCONAZOL</v>
      </c>
    </row>
    <row r="353" spans="4:6" x14ac:dyDescent="0.25">
      <c r="D353" t="s">
        <v>3361</v>
      </c>
      <c r="E353">
        <f>1</f>
        <v>1</v>
      </c>
      <c r="F353" t="str">
        <f>TRIM('Tabela Federal'!$D353)</f>
        <v>CETOPROFENO</v>
      </c>
    </row>
    <row r="354" spans="4:6" x14ac:dyDescent="0.25">
      <c r="D354" t="s">
        <v>3362</v>
      </c>
      <c r="E354">
        <f>1</f>
        <v>1</v>
      </c>
      <c r="F354" t="str">
        <f>TRIM('Tabela Federal'!$D354)</f>
        <v>CETRIMIDA</v>
      </c>
    </row>
    <row r="355" spans="4:6" x14ac:dyDescent="0.25">
      <c r="D355" t="s">
        <v>3363</v>
      </c>
      <c r="E355">
        <f>1</f>
        <v>1</v>
      </c>
      <c r="F355" t="str">
        <f>TRIM('Tabela Federal'!$D355)</f>
        <v>CETUXIMABE</v>
      </c>
    </row>
    <row r="356" spans="4:6" x14ac:dyDescent="0.25">
      <c r="D356" t="s">
        <v>4642</v>
      </c>
      <c r="E356">
        <f>1</f>
        <v>1</v>
      </c>
      <c r="F356" t="str">
        <f>TRIM('Tabela Federal'!$D356)</f>
        <v>C-GUERIN</v>
      </c>
    </row>
    <row r="357" spans="4:6" x14ac:dyDescent="0.25">
      <c r="D357" t="s">
        <v>3364</v>
      </c>
      <c r="E357">
        <f>1</f>
        <v>1</v>
      </c>
      <c r="F357" t="str">
        <f>TRIM('Tabela Federal'!$D357)</f>
        <v>CIANOCOBALAMINA</v>
      </c>
    </row>
    <row r="358" spans="4:6" x14ac:dyDescent="0.25">
      <c r="D358" t="s">
        <v>3364</v>
      </c>
      <c r="E358">
        <f>1</f>
        <v>1</v>
      </c>
      <c r="F358" t="str">
        <f>TRIM('Tabela Federal'!$D358)</f>
        <v>CIANOCOBALAMINA</v>
      </c>
    </row>
    <row r="359" spans="4:6" x14ac:dyDescent="0.25">
      <c r="D359" t="s">
        <v>3364</v>
      </c>
      <c r="E359">
        <f>1</f>
        <v>1</v>
      </c>
      <c r="F359" t="str">
        <f>TRIM('Tabela Federal'!$D359)</f>
        <v>CIANOCOBALAMINA</v>
      </c>
    </row>
    <row r="360" spans="4:6" x14ac:dyDescent="0.25">
      <c r="D360" t="s">
        <v>3364</v>
      </c>
      <c r="E360">
        <f>1</f>
        <v>1</v>
      </c>
      <c r="F360" t="str">
        <f>TRIM('Tabela Federal'!$D360)</f>
        <v>CIANOCOBALAMINA</v>
      </c>
    </row>
    <row r="361" spans="4:6" x14ac:dyDescent="0.25">
      <c r="D361" t="s">
        <v>3364</v>
      </c>
      <c r="E361">
        <f>1</f>
        <v>1</v>
      </c>
      <c r="F361" t="str">
        <f>TRIM('Tabela Federal'!$D361)</f>
        <v>CIANOCOBALAMINA</v>
      </c>
    </row>
    <row r="362" spans="4:6" x14ac:dyDescent="0.25">
      <c r="D362" t="s">
        <v>3364</v>
      </c>
      <c r="E362">
        <f>1</f>
        <v>1</v>
      </c>
      <c r="F362" t="str">
        <f>TRIM('Tabela Federal'!$D362)</f>
        <v>CIANOCOBALAMINA</v>
      </c>
    </row>
    <row r="363" spans="4:6" x14ac:dyDescent="0.25">
      <c r="D363" t="s">
        <v>2673</v>
      </c>
      <c r="E363">
        <f>1</f>
        <v>1</v>
      </c>
      <c r="F363" t="str">
        <f>TRIM('Tabela Federal'!$D363)</f>
        <v>CICLESONIDA</v>
      </c>
    </row>
    <row r="364" spans="4:6" x14ac:dyDescent="0.25">
      <c r="D364" t="s">
        <v>3365</v>
      </c>
      <c r="E364">
        <f>1</f>
        <v>1</v>
      </c>
      <c r="F364" t="str">
        <f>TRIM('Tabela Federal'!$D364)</f>
        <v>CICLOFENILA</v>
      </c>
    </row>
    <row r="365" spans="4:6" x14ac:dyDescent="0.25">
      <c r="D365" t="s">
        <v>3366</v>
      </c>
      <c r="E365">
        <f>1</f>
        <v>1</v>
      </c>
      <c r="F365" t="str">
        <f>TRIM('Tabela Federal'!$D365)</f>
        <v>CICLOFOSFAMIDA</v>
      </c>
    </row>
    <row r="366" spans="4:6" x14ac:dyDescent="0.25">
      <c r="D366" t="s">
        <v>3367</v>
      </c>
      <c r="E366">
        <f>1</f>
        <v>1</v>
      </c>
      <c r="F366" t="str">
        <f>TRIM('Tabela Federal'!$D366)</f>
        <v>CICLOSPORINA</v>
      </c>
    </row>
    <row r="367" spans="4:6" x14ac:dyDescent="0.25">
      <c r="D367" t="s">
        <v>3368</v>
      </c>
      <c r="E367">
        <f>1</f>
        <v>1</v>
      </c>
      <c r="F367" t="str">
        <f>TRIM('Tabela Federal'!$D367)</f>
        <v>CICLOSSERINA</v>
      </c>
    </row>
    <row r="368" spans="4:6" x14ac:dyDescent="0.25">
      <c r="D368" t="s">
        <v>4365</v>
      </c>
      <c r="E368">
        <f>1</f>
        <v>1</v>
      </c>
      <c r="F368" t="str">
        <f>TRIM('Tabela Federal'!$D368)</f>
        <v>CILASTATINA SODICA</v>
      </c>
    </row>
    <row r="369" spans="4:6" x14ac:dyDescent="0.25">
      <c r="D369" t="s">
        <v>3369</v>
      </c>
      <c r="E369">
        <f>1</f>
        <v>1</v>
      </c>
      <c r="F369" t="str">
        <f>TRIM('Tabela Federal'!$D369)</f>
        <v>CILAZAPRIL</v>
      </c>
    </row>
    <row r="370" spans="4:6" x14ac:dyDescent="0.25">
      <c r="D370" t="s">
        <v>3369</v>
      </c>
      <c r="E370">
        <f>1</f>
        <v>1</v>
      </c>
      <c r="F370" t="str">
        <f>TRIM('Tabela Federal'!$D370)</f>
        <v>CILAZAPRIL</v>
      </c>
    </row>
    <row r="371" spans="4:6" x14ac:dyDescent="0.25">
      <c r="D371" t="s">
        <v>3370</v>
      </c>
      <c r="E371">
        <f>1</f>
        <v>1</v>
      </c>
      <c r="F371" t="str">
        <f>TRIM('Tabela Federal'!$D371)</f>
        <v>CILOSTAZOL</v>
      </c>
    </row>
    <row r="372" spans="4:6" x14ac:dyDescent="0.25">
      <c r="D372" t="s">
        <v>3371</v>
      </c>
      <c r="E372">
        <f>1</f>
        <v>1</v>
      </c>
      <c r="F372" t="str">
        <f>TRIM('Tabela Federal'!$D372)</f>
        <v>CIMETIDINA</v>
      </c>
    </row>
    <row r="373" spans="4:6" x14ac:dyDescent="0.25">
      <c r="D373" t="s">
        <v>2780</v>
      </c>
      <c r="E373">
        <f>1</f>
        <v>1</v>
      </c>
      <c r="F373" t="str">
        <f>TRIM('Tabela Federal'!$D373)</f>
        <v>CINARIZINA</v>
      </c>
    </row>
    <row r="374" spans="4:6" x14ac:dyDescent="0.25">
      <c r="D374" t="s">
        <v>2780</v>
      </c>
      <c r="E374">
        <f>1</f>
        <v>1</v>
      </c>
      <c r="F374" t="str">
        <f>TRIM('Tabela Federal'!$D374)</f>
        <v>CINARIZINA</v>
      </c>
    </row>
    <row r="375" spans="4:6" x14ac:dyDescent="0.25">
      <c r="D375" t="s">
        <v>2641</v>
      </c>
      <c r="E375">
        <f>1</f>
        <v>1</v>
      </c>
      <c r="F375" t="str">
        <f>TRIM('Tabela Federal'!$D375)</f>
        <v>CIPROFIBRATO</v>
      </c>
    </row>
    <row r="376" spans="4:6" x14ac:dyDescent="0.25">
      <c r="D376" t="s">
        <v>3191</v>
      </c>
      <c r="E376">
        <f>1</f>
        <v>1</v>
      </c>
      <c r="F376" t="str">
        <f>TRIM('Tabela Federal'!$D376)</f>
        <v>CIPROFLOXACINO</v>
      </c>
    </row>
    <row r="377" spans="4:6" x14ac:dyDescent="0.25">
      <c r="D377" t="s">
        <v>3191</v>
      </c>
      <c r="E377">
        <f>1</f>
        <v>1</v>
      </c>
      <c r="F377" t="str">
        <f>TRIM('Tabela Federal'!$D377)</f>
        <v>CIPROFLOXACINO</v>
      </c>
    </row>
    <row r="378" spans="4:6" x14ac:dyDescent="0.25">
      <c r="D378" t="s">
        <v>3372</v>
      </c>
      <c r="E378">
        <f>1</f>
        <v>1</v>
      </c>
      <c r="F378" t="str">
        <f>TRIM('Tabela Federal'!$D378)</f>
        <v>CISPLATINA</v>
      </c>
    </row>
    <row r="379" spans="4:6" x14ac:dyDescent="0.25">
      <c r="D379" t="s">
        <v>4289</v>
      </c>
      <c r="E379">
        <f>1</f>
        <v>1</v>
      </c>
      <c r="F379" t="str">
        <f>TRIM('Tabela Federal'!$D379)</f>
        <v>CISTEINA</v>
      </c>
    </row>
    <row r="380" spans="4:6" x14ac:dyDescent="0.25">
      <c r="D380" t="s">
        <v>3373</v>
      </c>
      <c r="E380">
        <f>1</f>
        <v>1</v>
      </c>
      <c r="F380" t="str">
        <f>TRIM('Tabela Federal'!$D380)</f>
        <v>CISTINA</v>
      </c>
    </row>
    <row r="381" spans="4:6" x14ac:dyDescent="0.25">
      <c r="D381" t="s">
        <v>2679</v>
      </c>
      <c r="E381">
        <f>1</f>
        <v>1</v>
      </c>
      <c r="F381" t="str">
        <f>TRIM('Tabela Federal'!$D381)</f>
        <v>CITALOPRAM</v>
      </c>
    </row>
    <row r="382" spans="4:6" x14ac:dyDescent="0.25">
      <c r="D382" t="s">
        <v>3374</v>
      </c>
      <c r="E382">
        <f>1</f>
        <v>1</v>
      </c>
      <c r="F382" t="str">
        <f>TRIM('Tabela Federal'!$D382)</f>
        <v>CITARABINA</v>
      </c>
    </row>
    <row r="383" spans="4:6" x14ac:dyDescent="0.25">
      <c r="D383" t="s">
        <v>4366</v>
      </c>
      <c r="E383">
        <f>1</f>
        <v>1</v>
      </c>
      <c r="F383" t="str">
        <f>TRIM('Tabela Federal'!$D383)</f>
        <v>CITICOLINA SODICA</v>
      </c>
    </row>
    <row r="384" spans="4:6" x14ac:dyDescent="0.25">
      <c r="D384" t="s">
        <v>4471</v>
      </c>
      <c r="E384">
        <f>1</f>
        <v>1</v>
      </c>
      <c r="F384" t="str">
        <f>TRIM('Tabela Federal'!$D384)</f>
        <v>CITRATO BISMUTICO DE RANITIDINA</v>
      </c>
    </row>
    <row r="385" spans="4:6" x14ac:dyDescent="0.25">
      <c r="D385" t="s">
        <v>4539</v>
      </c>
      <c r="E385">
        <f>1</f>
        <v>1</v>
      </c>
      <c r="F385" t="str">
        <f>TRIM('Tabela Federal'!$D385)</f>
        <v>CITRATO DE CLOMIFENO</v>
      </c>
    </row>
    <row r="386" spans="4:6" x14ac:dyDescent="0.25">
      <c r="D386" t="s">
        <v>3375</v>
      </c>
      <c r="E386">
        <f>1</f>
        <v>1</v>
      </c>
      <c r="F386" t="str">
        <f>TRIM('Tabela Federal'!$D386)</f>
        <v>CITRATO DE DIETILCARBAMAZINA</v>
      </c>
    </row>
    <row r="387" spans="4:6" x14ac:dyDescent="0.25">
      <c r="D387" t="s">
        <v>3376</v>
      </c>
      <c r="E387">
        <f>1</f>
        <v>1</v>
      </c>
      <c r="F387" t="str">
        <f>TRIM('Tabela Federal'!$D387)</f>
        <v>CITRATO DE FENTANILA</v>
      </c>
    </row>
    <row r="388" spans="4:6" x14ac:dyDescent="0.25">
      <c r="D388" t="s">
        <v>3376</v>
      </c>
      <c r="E388">
        <f>1</f>
        <v>1</v>
      </c>
      <c r="F388" t="str">
        <f>TRIM('Tabela Federal'!$D388)</f>
        <v>CITRATO DE FENTANILA</v>
      </c>
    </row>
    <row r="389" spans="4:6" x14ac:dyDescent="0.25">
      <c r="D389" t="s">
        <v>2615</v>
      </c>
      <c r="E389">
        <f>1</f>
        <v>1</v>
      </c>
      <c r="F389" t="str">
        <f>TRIM('Tabela Federal'!$D389)</f>
        <v>CITRATO DE SILDENAFILA</v>
      </c>
    </row>
    <row r="390" spans="4:6" x14ac:dyDescent="0.25">
      <c r="D390" t="s">
        <v>3377</v>
      </c>
      <c r="E390">
        <f>1</f>
        <v>1</v>
      </c>
      <c r="F390" t="str">
        <f>TRIM('Tabela Federal'!$D390)</f>
        <v>CITRATO DE SUFENTANILA</v>
      </c>
    </row>
    <row r="391" spans="4:6" x14ac:dyDescent="0.25">
      <c r="D391" t="s">
        <v>3378</v>
      </c>
      <c r="E391">
        <f>1</f>
        <v>1</v>
      </c>
      <c r="F391" t="str">
        <f>TRIM('Tabela Federal'!$D391)</f>
        <v>CITRATO DE TAMOXIFENO</v>
      </c>
    </row>
    <row r="392" spans="4:6" x14ac:dyDescent="0.25">
      <c r="D392" t="s">
        <v>3379</v>
      </c>
      <c r="E392">
        <f>1</f>
        <v>1</v>
      </c>
      <c r="F392" t="str">
        <f>TRIM('Tabela Federal'!$D392)</f>
        <v>CLADRIBINA</v>
      </c>
    </row>
    <row r="393" spans="4:6" x14ac:dyDescent="0.25">
      <c r="D393" t="s">
        <v>3380</v>
      </c>
      <c r="E393">
        <f>1</f>
        <v>1</v>
      </c>
      <c r="F393" t="str">
        <f>TRIM('Tabela Federal'!$D393)</f>
        <v>CLARITROMICINA</v>
      </c>
    </row>
    <row r="394" spans="4:6" x14ac:dyDescent="0.25">
      <c r="D394" t="s">
        <v>3380</v>
      </c>
      <c r="E394">
        <f>1</f>
        <v>1</v>
      </c>
      <c r="F394" t="str">
        <f>TRIM('Tabela Federal'!$D394)</f>
        <v>CLARITROMICINA</v>
      </c>
    </row>
    <row r="395" spans="4:6" x14ac:dyDescent="0.25">
      <c r="D395" t="s">
        <v>4205</v>
      </c>
      <c r="E395">
        <f>1</f>
        <v>1</v>
      </c>
      <c r="F395" t="str">
        <f>TRIM('Tabela Federal'!$D395)</f>
        <v>CLAVULANATO DE POTASSIO</v>
      </c>
    </row>
    <row r="396" spans="4:6" x14ac:dyDescent="0.25">
      <c r="D396" t="s">
        <v>3381</v>
      </c>
      <c r="E396">
        <f>1</f>
        <v>1</v>
      </c>
      <c r="F396" t="str">
        <f>TRIM('Tabela Federal'!$D396)</f>
        <v>CLOBAZAM</v>
      </c>
    </row>
    <row r="397" spans="4:6" x14ac:dyDescent="0.25">
      <c r="D397" t="s">
        <v>4367</v>
      </c>
      <c r="E397">
        <f>1</f>
        <v>1</v>
      </c>
      <c r="F397" t="str">
        <f>TRIM('Tabela Federal'!$D397)</f>
        <v>CLODRONATO DISSODICO</v>
      </c>
    </row>
    <row r="398" spans="4:6" x14ac:dyDescent="0.25">
      <c r="D398" t="s">
        <v>4540</v>
      </c>
      <c r="E398">
        <f>1</f>
        <v>1</v>
      </c>
      <c r="F398" t="str">
        <f>TRIM('Tabela Federal'!$D398)</f>
        <v>CLOFARABINA</v>
      </c>
    </row>
    <row r="399" spans="4:6" x14ac:dyDescent="0.25">
      <c r="D399" t="s">
        <v>3382</v>
      </c>
      <c r="E399">
        <f>1</f>
        <v>1</v>
      </c>
      <c r="F399" t="str">
        <f>TRIM('Tabela Federal'!$D399)</f>
        <v>CLOFAZIMINA</v>
      </c>
    </row>
    <row r="400" spans="4:6" x14ac:dyDescent="0.25">
      <c r="D400" t="s">
        <v>4290</v>
      </c>
      <c r="E400">
        <f>1</f>
        <v>1</v>
      </c>
      <c r="F400" t="str">
        <f>TRIM('Tabela Federal'!$D400)</f>
        <v>CLOFIBRATO DE ALUMINIO</v>
      </c>
    </row>
    <row r="401" spans="4:6" x14ac:dyDescent="0.25">
      <c r="D401" t="s">
        <v>3383</v>
      </c>
      <c r="E401">
        <f>1</f>
        <v>1</v>
      </c>
      <c r="F401" t="str">
        <f>TRIM('Tabela Federal'!$D401)</f>
        <v>CLOFIBRATO DE ETILA</v>
      </c>
    </row>
    <row r="402" spans="4:6" x14ac:dyDescent="0.25">
      <c r="D402" t="s">
        <v>3384</v>
      </c>
      <c r="E402">
        <f>1</f>
        <v>1</v>
      </c>
      <c r="F402" t="str">
        <f>TRIM('Tabela Federal'!$D402)</f>
        <v>CLONAZEPAM</v>
      </c>
    </row>
    <row r="403" spans="4:6" x14ac:dyDescent="0.25">
      <c r="D403" t="s">
        <v>3385</v>
      </c>
      <c r="E403">
        <f>1</f>
        <v>1</v>
      </c>
      <c r="F403" t="str">
        <f>TRIM('Tabela Federal'!$D403)</f>
        <v>CLOPAMIDA</v>
      </c>
    </row>
    <row r="404" spans="4:6" x14ac:dyDescent="0.25">
      <c r="D404" t="s">
        <v>3386</v>
      </c>
      <c r="E404">
        <f>1</f>
        <v>1</v>
      </c>
      <c r="F404" t="str">
        <f>TRIM('Tabela Federal'!$D404)</f>
        <v>CLOPIDOGREL</v>
      </c>
    </row>
    <row r="405" spans="4:6" x14ac:dyDescent="0.25">
      <c r="D405" t="s">
        <v>3387</v>
      </c>
      <c r="E405">
        <f>1</f>
        <v>1</v>
      </c>
      <c r="F405" t="str">
        <f>TRIM('Tabela Federal'!$D405)</f>
        <v>CLORAMBUCILA</v>
      </c>
    </row>
    <row r="406" spans="4:6" x14ac:dyDescent="0.25">
      <c r="D406" t="s">
        <v>3196</v>
      </c>
      <c r="E406">
        <f>1</f>
        <v>1</v>
      </c>
      <c r="F406" t="str">
        <f>TRIM('Tabela Federal'!$D406)</f>
        <v>CLORANFENICOL</v>
      </c>
    </row>
    <row r="407" spans="4:6" x14ac:dyDescent="0.25">
      <c r="D407" t="s">
        <v>3196</v>
      </c>
      <c r="E407">
        <f>1</f>
        <v>1</v>
      </c>
      <c r="F407" t="str">
        <f>TRIM('Tabela Federal'!$D407)</f>
        <v>CLORANFENICOL</v>
      </c>
    </row>
    <row r="408" spans="4:6" x14ac:dyDescent="0.25">
      <c r="D408" t="s">
        <v>3196</v>
      </c>
      <c r="E408">
        <f>1</f>
        <v>1</v>
      </c>
      <c r="F408" t="str">
        <f>TRIM('Tabela Federal'!$D408)</f>
        <v>CLORANFENICOL</v>
      </c>
    </row>
    <row r="409" spans="4:6" x14ac:dyDescent="0.25">
      <c r="D409" t="s">
        <v>3196</v>
      </c>
      <c r="E409">
        <f>1</f>
        <v>1</v>
      </c>
      <c r="F409" t="str">
        <f>TRIM('Tabela Federal'!$D409)</f>
        <v>CLORANFENICOL</v>
      </c>
    </row>
    <row r="410" spans="4:6" x14ac:dyDescent="0.25">
      <c r="D410" t="s">
        <v>3196</v>
      </c>
      <c r="E410">
        <f>1</f>
        <v>1</v>
      </c>
      <c r="F410" t="str">
        <f>TRIM('Tabela Federal'!$D410)</f>
        <v>CLORANFENICOL</v>
      </c>
    </row>
    <row r="411" spans="4:6" x14ac:dyDescent="0.25">
      <c r="D411" t="s">
        <v>3196</v>
      </c>
      <c r="E411">
        <f>1</f>
        <v>1</v>
      </c>
      <c r="F411" t="str">
        <f>TRIM('Tabela Federal'!$D411)</f>
        <v>CLORANFENICOL</v>
      </c>
    </row>
    <row r="412" spans="4:6" x14ac:dyDescent="0.25">
      <c r="D412" t="s">
        <v>3196</v>
      </c>
      <c r="E412">
        <f>1</f>
        <v>1</v>
      </c>
      <c r="F412" t="str">
        <f>TRIM('Tabela Federal'!$D412)</f>
        <v>CLORANFENICOL</v>
      </c>
    </row>
    <row r="413" spans="4:6" x14ac:dyDescent="0.25">
      <c r="D413" t="s">
        <v>3196</v>
      </c>
      <c r="E413">
        <f>1</f>
        <v>1</v>
      </c>
      <c r="F413" t="str">
        <f>TRIM('Tabela Federal'!$D413)</f>
        <v>CLORANFENICOL</v>
      </c>
    </row>
    <row r="414" spans="4:6" x14ac:dyDescent="0.25">
      <c r="D414" t="s">
        <v>3196</v>
      </c>
      <c r="E414">
        <f>1</f>
        <v>1</v>
      </c>
      <c r="F414" t="str">
        <f>TRIM('Tabela Federal'!$D414)</f>
        <v>CLORANFENICOL</v>
      </c>
    </row>
    <row r="415" spans="4:6" x14ac:dyDescent="0.25">
      <c r="D415" t="s">
        <v>3196</v>
      </c>
      <c r="E415">
        <f>1</f>
        <v>1</v>
      </c>
      <c r="F415" t="str">
        <f>TRIM('Tabela Federal'!$D415)</f>
        <v>CLORANFENICOL</v>
      </c>
    </row>
    <row r="416" spans="4:6" x14ac:dyDescent="0.25">
      <c r="D416" t="s">
        <v>4206</v>
      </c>
      <c r="E416">
        <f>1</f>
        <v>1</v>
      </c>
      <c r="F416" t="str">
        <f>TRIM('Tabela Federal'!$D416)</f>
        <v>CLORAZEPATO DIPOTASSICO</v>
      </c>
    </row>
    <row r="417" spans="4:6" x14ac:dyDescent="0.25">
      <c r="D417" t="s">
        <v>4368</v>
      </c>
      <c r="E417">
        <f>1</f>
        <v>1</v>
      </c>
      <c r="F417" t="str">
        <f>TRIM('Tabela Federal'!$D417)</f>
        <v>CLORDIAZEPOXIDO</v>
      </c>
    </row>
    <row r="418" spans="4:6" x14ac:dyDescent="0.25">
      <c r="D418" t="s">
        <v>4368</v>
      </c>
      <c r="E418">
        <f>1</f>
        <v>1</v>
      </c>
      <c r="F418" t="str">
        <f>TRIM('Tabela Federal'!$D418)</f>
        <v>CLORDIAZEPOXIDO</v>
      </c>
    </row>
    <row r="419" spans="4:6" x14ac:dyDescent="0.25">
      <c r="D419" t="s">
        <v>4369</v>
      </c>
      <c r="E419">
        <f>1</f>
        <v>1</v>
      </c>
      <c r="F419" t="str">
        <f>TRIM('Tabela Federal'!$D419)</f>
        <v>CLORETO CROMICO</v>
      </c>
    </row>
    <row r="420" spans="4:6" x14ac:dyDescent="0.25">
      <c r="D420" t="s">
        <v>4472</v>
      </c>
      <c r="E420">
        <f>1</f>
        <v>1</v>
      </c>
      <c r="F420" t="str">
        <f>TRIM('Tabela Federal'!$D420)</f>
        <v>CLORETO CUPRICO</v>
      </c>
    </row>
    <row r="421" spans="4:6" x14ac:dyDescent="0.25">
      <c r="D421" t="s">
        <v>3388</v>
      </c>
      <c r="E421">
        <f>1</f>
        <v>1</v>
      </c>
      <c r="F421" t="str">
        <f>TRIM('Tabela Federal'!$D421)</f>
        <v>CLORETO DE ACETILCOLINA</v>
      </c>
    </row>
    <row r="422" spans="4:6" x14ac:dyDescent="0.25">
      <c r="D422" t="s">
        <v>4370</v>
      </c>
      <c r="E422">
        <f>1</f>
        <v>1</v>
      </c>
      <c r="F422" t="str">
        <f>TRIM('Tabela Federal'!$D422)</f>
        <v>CLORETO DE AMONIO</v>
      </c>
    </row>
    <row r="423" spans="4:6" x14ac:dyDescent="0.25">
      <c r="D423" t="s">
        <v>3389</v>
      </c>
      <c r="E423">
        <f>1</f>
        <v>1</v>
      </c>
      <c r="F423" t="str">
        <f>TRIM('Tabela Federal'!$D423)</f>
        <v>CLORETO DE BETANECOL</v>
      </c>
    </row>
    <row r="424" spans="4:6" x14ac:dyDescent="0.25">
      <c r="D424" t="s">
        <v>4207</v>
      </c>
      <c r="E424">
        <f>1</f>
        <v>1</v>
      </c>
      <c r="F424" t="str">
        <f>TRIM('Tabela Federal'!$D424)</f>
        <v>CLORETO DE CALCIO</v>
      </c>
    </row>
    <row r="425" spans="4:6" x14ac:dyDescent="0.25">
      <c r="D425" t="s">
        <v>4207</v>
      </c>
      <c r="E425">
        <f>1</f>
        <v>1</v>
      </c>
      <c r="F425" t="str">
        <f>TRIM('Tabela Federal'!$D425)</f>
        <v>CLORETO DE CALCIO</v>
      </c>
    </row>
    <row r="426" spans="4:6" x14ac:dyDescent="0.25">
      <c r="D426" t="s">
        <v>4246</v>
      </c>
      <c r="E426">
        <f>1</f>
        <v>1</v>
      </c>
      <c r="F426" t="str">
        <f>TRIM('Tabela Federal'!$D426)</f>
        <v>CLORETO DE MAGNESIO</v>
      </c>
    </row>
    <row r="427" spans="4:6" x14ac:dyDescent="0.25">
      <c r="D427" t="s">
        <v>4246</v>
      </c>
      <c r="E427">
        <f>1</f>
        <v>1</v>
      </c>
      <c r="F427" t="str">
        <f>TRIM('Tabela Federal'!$D427)</f>
        <v>CLORETO DE MAGNESIO</v>
      </c>
    </row>
    <row r="428" spans="4:6" x14ac:dyDescent="0.25">
      <c r="D428" t="s">
        <v>4247</v>
      </c>
      <c r="E428">
        <f>1</f>
        <v>1</v>
      </c>
      <c r="F428" t="str">
        <f>TRIM('Tabela Federal'!$D428)</f>
        <v>CLORETO DE MANGANES</v>
      </c>
    </row>
    <row r="429" spans="4:6" x14ac:dyDescent="0.25">
      <c r="D429" t="s">
        <v>4473</v>
      </c>
      <c r="E429">
        <f>1</f>
        <v>1</v>
      </c>
      <c r="F429" t="str">
        <f>TRIM('Tabela Federal'!$D429)</f>
        <v>CLORETO DE MIVACURIO</v>
      </c>
    </row>
    <row r="430" spans="4:6" x14ac:dyDescent="0.25">
      <c r="D430" t="s">
        <v>4208</v>
      </c>
      <c r="E430">
        <f>1</f>
        <v>1</v>
      </c>
      <c r="F430" t="str">
        <f>TRIM('Tabela Federal'!$D430)</f>
        <v>CLORETO DE POTASSIO</v>
      </c>
    </row>
    <row r="431" spans="4:6" x14ac:dyDescent="0.25">
      <c r="D431" t="s">
        <v>4208</v>
      </c>
      <c r="E431">
        <f>1</f>
        <v>1</v>
      </c>
      <c r="F431" t="str">
        <f>TRIM('Tabela Federal'!$D431)</f>
        <v>CLORETO DE POTASSIO</v>
      </c>
    </row>
    <row r="432" spans="4:6" x14ac:dyDescent="0.25">
      <c r="D432" t="s">
        <v>4371</v>
      </c>
      <c r="E432">
        <f>1</f>
        <v>1</v>
      </c>
      <c r="F432" t="str">
        <f>TRIM('Tabela Federal'!$D432)</f>
        <v>CLORETO DE SODIO</v>
      </c>
    </row>
    <row r="433" spans="4:6" x14ac:dyDescent="0.25">
      <c r="D433" t="s">
        <v>4372</v>
      </c>
      <c r="E433">
        <f>1</f>
        <v>1</v>
      </c>
      <c r="F433" t="str">
        <f>TRIM('Tabela Federal'!$D433)</f>
        <v>CLORETO DE SUXAMETONIO</v>
      </c>
    </row>
    <row r="434" spans="4:6" x14ac:dyDescent="0.25">
      <c r="D434" t="s">
        <v>3390</v>
      </c>
      <c r="E434">
        <f>1</f>
        <v>1</v>
      </c>
      <c r="F434" t="str">
        <f>TRIM('Tabela Federal'!$D434)</f>
        <v>CLORETO DE ZINCO</v>
      </c>
    </row>
    <row r="435" spans="4:6" x14ac:dyDescent="0.25">
      <c r="D435" t="s">
        <v>4248</v>
      </c>
      <c r="E435">
        <f>1</f>
        <v>1</v>
      </c>
      <c r="F435" t="str">
        <f>TRIM('Tabela Federal'!$D435)</f>
        <v>CLORETO FERRICO</v>
      </c>
    </row>
    <row r="436" spans="4:6" x14ac:dyDescent="0.25">
      <c r="D436" t="s">
        <v>3391</v>
      </c>
      <c r="E436">
        <f>1</f>
        <v>1</v>
      </c>
      <c r="F436" t="str">
        <f>TRIM('Tabela Federal'!$D436)</f>
        <v>CLORFENESINA</v>
      </c>
    </row>
    <row r="437" spans="4:6" x14ac:dyDescent="0.25">
      <c r="D437" t="s">
        <v>3392</v>
      </c>
      <c r="E437">
        <f>1</f>
        <v>1</v>
      </c>
      <c r="F437" t="str">
        <f>TRIM('Tabela Federal'!$D437)</f>
        <v>CLORIDRATO DE ACECLIDINA</v>
      </c>
    </row>
    <row r="438" spans="4:6" x14ac:dyDescent="0.25">
      <c r="D438" t="s">
        <v>3393</v>
      </c>
      <c r="E438">
        <f>1</f>
        <v>1</v>
      </c>
      <c r="F438" t="str">
        <f>TRIM('Tabela Federal'!$D438)</f>
        <v>CLORIDRATO DE ADIFENINA</v>
      </c>
    </row>
    <row r="439" spans="4:6" x14ac:dyDescent="0.25">
      <c r="D439" t="s">
        <v>3394</v>
      </c>
      <c r="E439">
        <f>1</f>
        <v>1</v>
      </c>
      <c r="F439" t="str">
        <f>TRIM('Tabela Federal'!$D439)</f>
        <v>CLORIDRATO DE ALFENTANILA</v>
      </c>
    </row>
    <row r="440" spans="4:6" x14ac:dyDescent="0.25">
      <c r="D440" t="s">
        <v>3395</v>
      </c>
      <c r="E440">
        <f>1</f>
        <v>1</v>
      </c>
      <c r="F440" t="str">
        <f>TRIM('Tabela Federal'!$D440)</f>
        <v>CLORIDRATO DE ALFUZOSINA</v>
      </c>
    </row>
    <row r="441" spans="4:6" x14ac:dyDescent="0.25">
      <c r="D441" t="s">
        <v>3396</v>
      </c>
      <c r="E441">
        <f>1</f>
        <v>1</v>
      </c>
      <c r="F441" t="str">
        <f>TRIM('Tabela Federal'!$D441)</f>
        <v>CLORIDRATO DE ALIZAPRIDA</v>
      </c>
    </row>
    <row r="442" spans="4:6" x14ac:dyDescent="0.25">
      <c r="D442" t="s">
        <v>3397</v>
      </c>
      <c r="E442">
        <f>1</f>
        <v>1</v>
      </c>
      <c r="F442" t="str">
        <f>TRIM('Tabela Federal'!$D442)</f>
        <v>CLORIDRATO DE AMANTADINA</v>
      </c>
    </row>
    <row r="443" spans="4:6" x14ac:dyDescent="0.25">
      <c r="D443" t="s">
        <v>3398</v>
      </c>
      <c r="E443">
        <f>1</f>
        <v>1</v>
      </c>
      <c r="F443" t="str">
        <f>TRIM('Tabela Federal'!$D443)</f>
        <v>CLORIDRATO DE AMILORIDA</v>
      </c>
    </row>
    <row r="444" spans="4:6" x14ac:dyDescent="0.25">
      <c r="D444" t="s">
        <v>3398</v>
      </c>
      <c r="E444">
        <f>1</f>
        <v>1</v>
      </c>
      <c r="F444" t="str">
        <f>TRIM('Tabela Federal'!$D444)</f>
        <v>CLORIDRATO DE AMILORIDA</v>
      </c>
    </row>
    <row r="445" spans="4:6" x14ac:dyDescent="0.25">
      <c r="D445" t="s">
        <v>3398</v>
      </c>
      <c r="E445">
        <f>1</f>
        <v>1</v>
      </c>
      <c r="F445" t="str">
        <f>TRIM('Tabela Federal'!$D445)</f>
        <v>CLORIDRATO DE AMILORIDA</v>
      </c>
    </row>
    <row r="446" spans="4:6" x14ac:dyDescent="0.25">
      <c r="D446" t="s">
        <v>3399</v>
      </c>
      <c r="E446">
        <f>1</f>
        <v>1</v>
      </c>
      <c r="F446" t="str">
        <f>TRIM('Tabela Federal'!$D446)</f>
        <v>CLORIDRATO DE AMINEPTINA</v>
      </c>
    </row>
    <row r="447" spans="4:6" x14ac:dyDescent="0.25">
      <c r="D447" t="s">
        <v>4541</v>
      </c>
      <c r="E447">
        <f>1</f>
        <v>1</v>
      </c>
      <c r="F447" t="str">
        <f>TRIM('Tabela Federal'!$D447)</f>
        <v>CLORIDRATO DE AMINOLEVULINATO DE HEXILA</v>
      </c>
    </row>
    <row r="448" spans="4:6" x14ac:dyDescent="0.25">
      <c r="D448" t="s">
        <v>3400</v>
      </c>
      <c r="E448">
        <f>1</f>
        <v>1</v>
      </c>
      <c r="F448" t="str">
        <f>TRIM('Tabela Federal'!$D448)</f>
        <v>CLORIDRATO DE AMINOLEVULINATO DE METILA</v>
      </c>
    </row>
    <row r="449" spans="4:6" x14ac:dyDescent="0.25">
      <c r="D449" t="s">
        <v>2620</v>
      </c>
      <c r="E449">
        <f>1</f>
        <v>1</v>
      </c>
      <c r="F449" t="str">
        <f>TRIM('Tabela Federal'!$D449)</f>
        <v>CLORIDRATO DE AMIODARONA</v>
      </c>
    </row>
    <row r="450" spans="4:6" x14ac:dyDescent="0.25">
      <c r="D450" t="s">
        <v>3401</v>
      </c>
      <c r="E450">
        <f>1</f>
        <v>1</v>
      </c>
      <c r="F450" t="str">
        <f>TRIM('Tabela Federal'!$D450)</f>
        <v>CLORIDRATO DE AMITRIPTILINA</v>
      </c>
    </row>
    <row r="451" spans="4:6" x14ac:dyDescent="0.25">
      <c r="D451" t="s">
        <v>3402</v>
      </c>
      <c r="E451">
        <f>1</f>
        <v>1</v>
      </c>
      <c r="F451" t="str">
        <f>TRIM('Tabela Federal'!$D451)</f>
        <v>CLORIDRATO DE ANAGRELIDA</v>
      </c>
    </row>
    <row r="452" spans="4:6" x14ac:dyDescent="0.25">
      <c r="D452" t="s">
        <v>3403</v>
      </c>
      <c r="E452">
        <f>1</f>
        <v>1</v>
      </c>
      <c r="F452" t="str">
        <f>TRIM('Tabela Federal'!$D452)</f>
        <v>CLORIDRATO DE APRACLONIDINA</v>
      </c>
    </row>
    <row r="453" spans="4:6" x14ac:dyDescent="0.25">
      <c r="D453" t="s">
        <v>4291</v>
      </c>
      <c r="E453">
        <f>1</f>
        <v>1</v>
      </c>
      <c r="F453" t="str">
        <f>TRIM('Tabela Federal'!$D453)</f>
        <v>CLORIDRATO DE ARTICAINA</v>
      </c>
    </row>
    <row r="454" spans="4:6" x14ac:dyDescent="0.25">
      <c r="D454" t="s">
        <v>3404</v>
      </c>
      <c r="E454">
        <f>1</f>
        <v>1</v>
      </c>
      <c r="F454" t="str">
        <f>TRIM('Tabela Federal'!$D454)</f>
        <v>CLORIDRATO DE BAMBUTEROL</v>
      </c>
    </row>
    <row r="455" spans="4:6" x14ac:dyDescent="0.25">
      <c r="D455" t="s">
        <v>3405</v>
      </c>
      <c r="E455">
        <f>1</f>
        <v>1</v>
      </c>
      <c r="F455" t="str">
        <f>TRIM('Tabela Federal'!$D455)</f>
        <v>CLORIDRATO DE BAMIFILINA</v>
      </c>
    </row>
    <row r="456" spans="4:6" x14ac:dyDescent="0.25">
      <c r="D456" t="s">
        <v>3406</v>
      </c>
      <c r="E456">
        <f>1</f>
        <v>1</v>
      </c>
      <c r="F456" t="str">
        <f>TRIM('Tabela Federal'!$D456)</f>
        <v>CLORIDRATO DE BARNIDIPINO</v>
      </c>
    </row>
    <row r="457" spans="4:6" x14ac:dyDescent="0.25">
      <c r="D457" t="s">
        <v>3407</v>
      </c>
      <c r="E457">
        <f>1</f>
        <v>1</v>
      </c>
      <c r="F457" t="str">
        <f>TRIM('Tabela Federal'!$D457)</f>
        <v>CLORIDRATO DE BENAZEPRIL</v>
      </c>
    </row>
    <row r="458" spans="4:6" x14ac:dyDescent="0.25">
      <c r="D458" t="s">
        <v>3407</v>
      </c>
      <c r="E458">
        <f>1</f>
        <v>1</v>
      </c>
      <c r="F458" t="str">
        <f>TRIM('Tabela Federal'!$D458)</f>
        <v>CLORIDRATO DE BENAZEPRIL</v>
      </c>
    </row>
    <row r="459" spans="4:6" x14ac:dyDescent="0.25">
      <c r="D459" t="s">
        <v>3408</v>
      </c>
      <c r="E459">
        <f>1</f>
        <v>1</v>
      </c>
      <c r="F459" t="str">
        <f>TRIM('Tabela Federal'!$D459)</f>
        <v>CLORIDRATO DE BENSERAZIDA</v>
      </c>
    </row>
    <row r="460" spans="4:6" x14ac:dyDescent="0.25">
      <c r="D460" t="s">
        <v>4643</v>
      </c>
      <c r="E460">
        <f>1</f>
        <v>1</v>
      </c>
      <c r="F460" t="str">
        <f>TRIM('Tabela Federal'!$D460)</f>
        <v>CLORIDRATO DE BENZIDAMINA</v>
      </c>
    </row>
    <row r="461" spans="4:6" x14ac:dyDescent="0.25">
      <c r="D461" t="s">
        <v>3409</v>
      </c>
      <c r="E461">
        <f>1</f>
        <v>1</v>
      </c>
      <c r="F461" t="str">
        <f>TRIM('Tabela Federal'!$D461)</f>
        <v>CLORIDRATO DE BETAXOLOL</v>
      </c>
    </row>
    <row r="462" spans="4:6" x14ac:dyDescent="0.25">
      <c r="D462" t="s">
        <v>2616</v>
      </c>
      <c r="E462">
        <f>1</f>
        <v>1</v>
      </c>
      <c r="F462" t="str">
        <f>TRIM('Tabela Federal'!$D462)</f>
        <v>CLORIDRATO DE BIPERIDENO</v>
      </c>
    </row>
    <row r="463" spans="4:6" x14ac:dyDescent="0.25">
      <c r="D463" t="s">
        <v>3410</v>
      </c>
      <c r="E463">
        <f>1</f>
        <v>1</v>
      </c>
      <c r="F463" t="str">
        <f>TRIM('Tabela Federal'!$D463)</f>
        <v>CLORIDRATO DE BUFLOMEDIL</v>
      </c>
    </row>
    <row r="464" spans="4:6" x14ac:dyDescent="0.25">
      <c r="D464" t="s">
        <v>4292</v>
      </c>
      <c r="E464">
        <f>1</f>
        <v>1</v>
      </c>
      <c r="F464" t="str">
        <f>TRIM('Tabela Federal'!$D464)</f>
        <v>CLORIDRATO DE BUPIVACAINA</v>
      </c>
    </row>
    <row r="465" spans="4:6" x14ac:dyDescent="0.25">
      <c r="D465" t="s">
        <v>4292</v>
      </c>
      <c r="E465">
        <f>1</f>
        <v>1</v>
      </c>
      <c r="F465" t="str">
        <f>TRIM('Tabela Federal'!$D465)</f>
        <v>CLORIDRATO DE BUPIVACAINA</v>
      </c>
    </row>
    <row r="466" spans="4:6" x14ac:dyDescent="0.25">
      <c r="D466" t="s">
        <v>4292</v>
      </c>
      <c r="E466">
        <f>1</f>
        <v>1</v>
      </c>
      <c r="F466" t="str">
        <f>TRIM('Tabela Federal'!$D466)</f>
        <v>CLORIDRATO DE BUPIVACAINA</v>
      </c>
    </row>
    <row r="467" spans="4:6" x14ac:dyDescent="0.25">
      <c r="D467" t="s">
        <v>3411</v>
      </c>
      <c r="E467">
        <f>1</f>
        <v>1</v>
      </c>
      <c r="F467" t="str">
        <f>TRIM('Tabela Federal'!$D467)</f>
        <v>CLORIDRATO DE BUPRENORFINA</v>
      </c>
    </row>
    <row r="468" spans="4:6" x14ac:dyDescent="0.25">
      <c r="D468" t="s">
        <v>3412</v>
      </c>
      <c r="E468">
        <f>1</f>
        <v>1</v>
      </c>
      <c r="F468" t="str">
        <f>TRIM('Tabela Federal'!$D468)</f>
        <v>CLORIDRATO DE BUPROPIONA</v>
      </c>
    </row>
    <row r="469" spans="4:6" x14ac:dyDescent="0.25">
      <c r="D469" t="s">
        <v>3413</v>
      </c>
      <c r="E469">
        <f>1</f>
        <v>1</v>
      </c>
      <c r="F469" t="str">
        <f>TRIM('Tabela Federal'!$D469)</f>
        <v>CLORIDRATO DE BUSPIRONA</v>
      </c>
    </row>
    <row r="470" spans="4:6" x14ac:dyDescent="0.25">
      <c r="D470" t="s">
        <v>3414</v>
      </c>
      <c r="E470">
        <f>1</f>
        <v>1</v>
      </c>
      <c r="F470" t="str">
        <f>TRIM('Tabela Federal'!$D470)</f>
        <v>CLORIDRATO DE CARTEOLOL</v>
      </c>
    </row>
    <row r="471" spans="4:6" x14ac:dyDescent="0.25">
      <c r="D471" t="s">
        <v>3415</v>
      </c>
      <c r="E471">
        <f>1</f>
        <v>1</v>
      </c>
      <c r="F471" t="str">
        <f>TRIM('Tabela Federal'!$D471)</f>
        <v>CLORIDRATO DE CEFEPIMA</v>
      </c>
    </row>
    <row r="472" spans="4:6" x14ac:dyDescent="0.25">
      <c r="D472" t="s">
        <v>3416</v>
      </c>
      <c r="E472">
        <f>1</f>
        <v>1</v>
      </c>
      <c r="F472" t="str">
        <f>TRIM('Tabela Federal'!$D472)</f>
        <v>CLORIDRATO DE CEFETAMETE PIVOXILA</v>
      </c>
    </row>
    <row r="473" spans="4:6" x14ac:dyDescent="0.25">
      <c r="D473" t="s">
        <v>3417</v>
      </c>
      <c r="E473">
        <f>1</f>
        <v>1</v>
      </c>
      <c r="F473" t="str">
        <f>TRIM('Tabela Federal'!$D473)</f>
        <v>CLORIDRATO DE CETAMINA</v>
      </c>
    </row>
    <row r="474" spans="4:6" x14ac:dyDescent="0.25">
      <c r="D474" t="s">
        <v>3418</v>
      </c>
      <c r="E474">
        <f>1</f>
        <v>1</v>
      </c>
      <c r="F474" t="str">
        <f>TRIM('Tabela Federal'!$D474)</f>
        <v>CLORIDRATO DE CIMETIDINA</v>
      </c>
    </row>
    <row r="475" spans="4:6" x14ac:dyDescent="0.25">
      <c r="D475" t="s">
        <v>2643</v>
      </c>
      <c r="E475">
        <f>1</f>
        <v>1</v>
      </c>
      <c r="F475" t="str">
        <f>TRIM('Tabela Federal'!$D475)</f>
        <v>CLORIDRATO DE CIPROFLOXACINO</v>
      </c>
    </row>
    <row r="476" spans="4:6" x14ac:dyDescent="0.25">
      <c r="D476" t="s">
        <v>2643</v>
      </c>
      <c r="E476">
        <f>1</f>
        <v>1</v>
      </c>
      <c r="F476" t="str">
        <f>TRIM('Tabela Federal'!$D476)</f>
        <v>CLORIDRATO DE CIPROFLOXACINO</v>
      </c>
    </row>
    <row r="477" spans="4:6" x14ac:dyDescent="0.25">
      <c r="D477" t="s">
        <v>2643</v>
      </c>
      <c r="E477">
        <f>1</f>
        <v>1</v>
      </c>
      <c r="F477" t="str">
        <f>TRIM('Tabela Federal'!$D477)</f>
        <v>CLORIDRATO DE CIPROFLOXACINO</v>
      </c>
    </row>
    <row r="478" spans="4:6" x14ac:dyDescent="0.25">
      <c r="D478" t="s">
        <v>4293</v>
      </c>
      <c r="E478">
        <f>1</f>
        <v>1</v>
      </c>
      <c r="F478" t="str">
        <f>TRIM('Tabela Federal'!$D478)</f>
        <v>CLORIDRATO DE CISTEINA</v>
      </c>
    </row>
    <row r="479" spans="4:6" x14ac:dyDescent="0.25">
      <c r="D479" t="s">
        <v>3419</v>
      </c>
      <c r="E479">
        <f>1</f>
        <v>1</v>
      </c>
      <c r="F479" t="str">
        <f>TRIM('Tabela Federal'!$D479)</f>
        <v>CLORIDRATO DE CISTINA</v>
      </c>
    </row>
    <row r="480" spans="4:6" x14ac:dyDescent="0.25">
      <c r="D480" t="s">
        <v>3420</v>
      </c>
      <c r="E480">
        <f>1</f>
        <v>1</v>
      </c>
      <c r="F480" t="str">
        <f>TRIM('Tabela Federal'!$D480)</f>
        <v>CLORIDRATO DE CITALOPRAM</v>
      </c>
    </row>
    <row r="481" spans="4:6" x14ac:dyDescent="0.25">
      <c r="D481" t="s">
        <v>3421</v>
      </c>
      <c r="E481">
        <f>1</f>
        <v>1</v>
      </c>
      <c r="F481" t="str">
        <f>TRIM('Tabela Federal'!$D481)</f>
        <v>CLORIDRATO DE CITARABINA</v>
      </c>
    </row>
    <row r="482" spans="4:6" x14ac:dyDescent="0.25">
      <c r="D482" t="s">
        <v>4644</v>
      </c>
      <c r="E482">
        <f>1</f>
        <v>1</v>
      </c>
      <c r="F482" t="str">
        <f>TRIM('Tabela Federal'!$D482)</f>
        <v>CLORIDRATO DE CLINDAMICINA</v>
      </c>
    </row>
    <row r="483" spans="4:6" x14ac:dyDescent="0.25">
      <c r="D483" t="s">
        <v>3422</v>
      </c>
      <c r="E483">
        <f>1</f>
        <v>1</v>
      </c>
      <c r="F483" t="str">
        <f>TRIM('Tabela Federal'!$D483)</f>
        <v>CLORIDRATO DE CLOMIPRAMINA</v>
      </c>
    </row>
    <row r="484" spans="4:6" x14ac:dyDescent="0.25">
      <c r="D484" t="s">
        <v>3423</v>
      </c>
      <c r="E484">
        <f>1</f>
        <v>1</v>
      </c>
      <c r="F484" t="str">
        <f>TRIM('Tabela Federal'!$D484)</f>
        <v>CLORIDRATO DE CLONIDINA</v>
      </c>
    </row>
    <row r="485" spans="4:6" x14ac:dyDescent="0.25">
      <c r="D485" t="s">
        <v>4542</v>
      </c>
      <c r="E485">
        <f>1</f>
        <v>1</v>
      </c>
      <c r="F485" t="str">
        <f>TRIM('Tabela Federal'!$D485)</f>
        <v>CLORIDRATO DE CLORDIAZEPOXIDO</v>
      </c>
    </row>
    <row r="486" spans="4:6" x14ac:dyDescent="0.25">
      <c r="D486" t="s">
        <v>3424</v>
      </c>
      <c r="E486">
        <f>1</f>
        <v>1</v>
      </c>
      <c r="F486" t="str">
        <f>TRIM('Tabela Federal'!$D486)</f>
        <v>CLORIDRATO DE CLOREXIDINA</v>
      </c>
    </row>
    <row r="487" spans="4:6" x14ac:dyDescent="0.25">
      <c r="D487" t="s">
        <v>3425</v>
      </c>
      <c r="E487">
        <f>1</f>
        <v>1</v>
      </c>
      <c r="F487" t="str">
        <f>TRIM('Tabela Federal'!$D487)</f>
        <v>CLORIDRATO DE CLORPROMAZINA</v>
      </c>
    </row>
    <row r="488" spans="4:6" x14ac:dyDescent="0.25">
      <c r="D488" t="s">
        <v>4543</v>
      </c>
      <c r="E488">
        <f>1</f>
        <v>1</v>
      </c>
      <c r="F488" t="str">
        <f>TRIM('Tabela Federal'!$D488)</f>
        <v>CLORIDRATO DE COLESEVELAM</v>
      </c>
    </row>
    <row r="489" spans="4:6" x14ac:dyDescent="0.25">
      <c r="D489" t="s">
        <v>3426</v>
      </c>
      <c r="E489">
        <f>1</f>
        <v>1</v>
      </c>
      <c r="F489" t="str">
        <f>TRIM('Tabela Federal'!$D489)</f>
        <v>CLORIDRATO DE DAUNORRUBICINA</v>
      </c>
    </row>
    <row r="490" spans="4:6" x14ac:dyDescent="0.25">
      <c r="D490" t="s">
        <v>3427</v>
      </c>
      <c r="E490">
        <f>1</f>
        <v>1</v>
      </c>
      <c r="F490" t="str">
        <f>TRIM('Tabela Federal'!$D490)</f>
        <v>CLORIDRATO DE DELAPRIL</v>
      </c>
    </row>
    <row r="491" spans="4:6" x14ac:dyDescent="0.25">
      <c r="D491" t="s">
        <v>3427</v>
      </c>
      <c r="E491">
        <f>1</f>
        <v>1</v>
      </c>
      <c r="F491" t="str">
        <f>TRIM('Tabela Federal'!$D491)</f>
        <v>CLORIDRATO DE DELAPRIL</v>
      </c>
    </row>
    <row r="492" spans="4:6" x14ac:dyDescent="0.25">
      <c r="D492" t="s">
        <v>3428</v>
      </c>
      <c r="E492">
        <f>1</f>
        <v>1</v>
      </c>
      <c r="F492" t="str">
        <f>TRIM('Tabela Federal'!$D492)</f>
        <v>CLORIDRATO DE DEXMEDETOMIDINA</v>
      </c>
    </row>
    <row r="493" spans="4:6" x14ac:dyDescent="0.25">
      <c r="D493" t="s">
        <v>3429</v>
      </c>
      <c r="E493">
        <f>1</f>
        <v>1</v>
      </c>
      <c r="F493" t="str">
        <f>TRIM('Tabela Federal'!$D493)</f>
        <v>CLORIDRATO DE DEXTRORRAZOXANO</v>
      </c>
    </row>
    <row r="494" spans="4:6" x14ac:dyDescent="0.25">
      <c r="D494" t="s">
        <v>2628</v>
      </c>
      <c r="E494">
        <f>1</f>
        <v>1</v>
      </c>
      <c r="F494" t="str">
        <f>TRIM('Tabela Federal'!$D494)</f>
        <v>CLORIDRATO DE DIFENIDRAMINA</v>
      </c>
    </row>
    <row r="495" spans="4:6" x14ac:dyDescent="0.25">
      <c r="D495" t="s">
        <v>3430</v>
      </c>
      <c r="E495">
        <f>1</f>
        <v>1</v>
      </c>
      <c r="F495" t="str">
        <f>TRIM('Tabela Federal'!$D495)</f>
        <v>CLORIDRATO DE DILTIAZEM</v>
      </c>
    </row>
    <row r="496" spans="4:6" x14ac:dyDescent="0.25">
      <c r="D496" t="s">
        <v>3431</v>
      </c>
      <c r="E496">
        <f>1</f>
        <v>1</v>
      </c>
      <c r="F496" t="str">
        <f>TRIM('Tabela Federal'!$D496)</f>
        <v>CLORIDRATO DE DIPIVEFRINA</v>
      </c>
    </row>
    <row r="497" spans="4:6" x14ac:dyDescent="0.25">
      <c r="D497" t="s">
        <v>3432</v>
      </c>
      <c r="E497">
        <f>1</f>
        <v>1</v>
      </c>
      <c r="F497" t="str">
        <f>TRIM('Tabela Federal'!$D497)</f>
        <v>CLORIDRATO DE DOBUTAMINA</v>
      </c>
    </row>
    <row r="498" spans="4:6" x14ac:dyDescent="0.25">
      <c r="D498" t="s">
        <v>2658</v>
      </c>
      <c r="E498">
        <f>1</f>
        <v>1</v>
      </c>
      <c r="F498" t="str">
        <f>TRIM('Tabela Federal'!$D498)</f>
        <v>CLORIDRATO DE DONEPEZILA</v>
      </c>
    </row>
    <row r="499" spans="4:6" x14ac:dyDescent="0.25">
      <c r="D499" t="s">
        <v>3433</v>
      </c>
      <c r="E499">
        <f>1</f>
        <v>1</v>
      </c>
      <c r="F499" t="str">
        <f>TRIM('Tabela Federal'!$D499)</f>
        <v>CLORIDRATO DE DOPAMINA</v>
      </c>
    </row>
    <row r="500" spans="4:6" x14ac:dyDescent="0.25">
      <c r="D500" t="s">
        <v>3433</v>
      </c>
      <c r="E500">
        <f>1</f>
        <v>1</v>
      </c>
      <c r="F500" t="str">
        <f>TRIM('Tabela Federal'!$D500)</f>
        <v>CLORIDRATO DE DOPAMINA</v>
      </c>
    </row>
    <row r="501" spans="4:6" x14ac:dyDescent="0.25">
      <c r="D501" t="s">
        <v>3434</v>
      </c>
      <c r="E501">
        <f>1</f>
        <v>1</v>
      </c>
      <c r="F501" t="str">
        <f>TRIM('Tabela Federal'!$D501)</f>
        <v>CLORIDRATO DE DORZOLAMIDA</v>
      </c>
    </row>
    <row r="502" spans="4:6" x14ac:dyDescent="0.25">
      <c r="D502" t="s">
        <v>3434</v>
      </c>
      <c r="E502">
        <f>1</f>
        <v>1</v>
      </c>
      <c r="F502" t="str">
        <f>TRIM('Tabela Federal'!$D502)</f>
        <v>CLORIDRATO DE DORZOLAMIDA</v>
      </c>
    </row>
    <row r="503" spans="4:6" x14ac:dyDescent="0.25">
      <c r="D503" t="s">
        <v>3435</v>
      </c>
      <c r="E503">
        <f>1</f>
        <v>1</v>
      </c>
      <c r="F503" t="str">
        <f>TRIM('Tabela Federal'!$D503)</f>
        <v>CLORIDRATO DE DOXICICLINA</v>
      </c>
    </row>
    <row r="504" spans="4:6" x14ac:dyDescent="0.25">
      <c r="D504" t="s">
        <v>3436</v>
      </c>
      <c r="E504">
        <f>1</f>
        <v>1</v>
      </c>
      <c r="F504" t="str">
        <f>TRIM('Tabela Federal'!$D504)</f>
        <v>CLORIDRATO DE DOXORRUBICINA</v>
      </c>
    </row>
    <row r="505" spans="4:6" x14ac:dyDescent="0.25">
      <c r="D505" t="s">
        <v>4544</v>
      </c>
      <c r="E505">
        <f>1</f>
        <v>1</v>
      </c>
      <c r="F505" t="str">
        <f>TRIM('Tabela Federal'!$D505)</f>
        <v>CLORIDRATO DE DRONEDARONA</v>
      </c>
    </row>
    <row r="506" spans="4:6" x14ac:dyDescent="0.25">
      <c r="D506" t="s">
        <v>4645</v>
      </c>
      <c r="E506">
        <f>1</f>
        <v>1</v>
      </c>
      <c r="F506" t="str">
        <f>TRIM('Tabela Federal'!$D506)</f>
        <v>CLORIDRATO DE DULOXETINA</v>
      </c>
    </row>
    <row r="507" spans="4:6" x14ac:dyDescent="0.25">
      <c r="D507" t="s">
        <v>3437</v>
      </c>
      <c r="E507">
        <f>1</f>
        <v>1</v>
      </c>
      <c r="F507" t="str">
        <f>TRIM('Tabela Federal'!$D507)</f>
        <v>CLORIDRATO DE EPIRRUBICINA</v>
      </c>
    </row>
    <row r="508" spans="4:6" x14ac:dyDescent="0.25">
      <c r="D508" t="s">
        <v>3438</v>
      </c>
      <c r="E508">
        <f>1</f>
        <v>1</v>
      </c>
      <c r="F508" t="str">
        <f>TRIM('Tabela Federal'!$D508)</f>
        <v>CLORIDRATO DE ERLOTINIBE</v>
      </c>
    </row>
    <row r="509" spans="4:6" x14ac:dyDescent="0.25">
      <c r="D509" t="s">
        <v>3439</v>
      </c>
      <c r="E509">
        <f>1</f>
        <v>1</v>
      </c>
      <c r="F509" t="str">
        <f>TRIM('Tabela Federal'!$D509)</f>
        <v>CLORIDRATO DE ESMOLOL</v>
      </c>
    </row>
    <row r="510" spans="4:6" x14ac:dyDescent="0.25">
      <c r="D510" t="s">
        <v>3440</v>
      </c>
      <c r="E510">
        <f>1</f>
        <v>1</v>
      </c>
      <c r="F510" t="str">
        <f>TRIM('Tabela Federal'!$D510)</f>
        <v>CLORIDRATO DE ESPECTINOMICINA</v>
      </c>
    </row>
    <row r="511" spans="4:6" x14ac:dyDescent="0.25">
      <c r="D511" t="s">
        <v>3441</v>
      </c>
      <c r="E511">
        <f>1</f>
        <v>1</v>
      </c>
      <c r="F511" t="str">
        <f>TRIM('Tabela Federal'!$D511)</f>
        <v>CLORIDRATO DE ETAMBUTOL</v>
      </c>
    </row>
    <row r="512" spans="4:6" x14ac:dyDescent="0.25">
      <c r="D512" t="s">
        <v>3442</v>
      </c>
      <c r="E512">
        <f>1</f>
        <v>1</v>
      </c>
      <c r="F512" t="str">
        <f>TRIM('Tabela Federal'!$D512)</f>
        <v>CLORIDRATO DE ETILEFRINA</v>
      </c>
    </row>
    <row r="513" spans="4:6" x14ac:dyDescent="0.25">
      <c r="D513" t="s">
        <v>3443</v>
      </c>
      <c r="E513">
        <f>1</f>
        <v>1</v>
      </c>
      <c r="F513" t="str">
        <f>TRIM('Tabela Federal'!$D513)</f>
        <v>CLORIDRATO DE FENFORMINA</v>
      </c>
    </row>
    <row r="514" spans="4:6" x14ac:dyDescent="0.25">
      <c r="D514" t="s">
        <v>2667</v>
      </c>
      <c r="E514">
        <f>1</f>
        <v>1</v>
      </c>
      <c r="F514" t="str">
        <f>TRIM('Tabela Federal'!$D514)</f>
        <v>CLORIDRATO DE FENILEFRINA</v>
      </c>
    </row>
    <row r="515" spans="4:6" x14ac:dyDescent="0.25">
      <c r="D515" t="s">
        <v>2667</v>
      </c>
      <c r="E515">
        <f>1</f>
        <v>1</v>
      </c>
      <c r="F515" t="str">
        <f>TRIM('Tabela Federal'!$D515)</f>
        <v>CLORIDRATO DE FENILEFRINA</v>
      </c>
    </row>
    <row r="516" spans="4:6" x14ac:dyDescent="0.25">
      <c r="D516" t="s">
        <v>2644</v>
      </c>
      <c r="E516">
        <f>1</f>
        <v>1</v>
      </c>
      <c r="F516" t="str">
        <f>TRIM('Tabela Federal'!$D516)</f>
        <v>CLORIDRATO DE FLUOXETINA</v>
      </c>
    </row>
    <row r="517" spans="4:6" x14ac:dyDescent="0.25">
      <c r="D517" t="s">
        <v>2644</v>
      </c>
      <c r="E517">
        <f>1</f>
        <v>1</v>
      </c>
      <c r="F517" t="str">
        <f>TRIM('Tabela Federal'!$D517)</f>
        <v>CLORIDRATO DE FLUOXETINA</v>
      </c>
    </row>
    <row r="518" spans="4:6" x14ac:dyDescent="0.25">
      <c r="D518" t="s">
        <v>3444</v>
      </c>
      <c r="E518">
        <f>1</f>
        <v>1</v>
      </c>
      <c r="F518" t="str">
        <f>TRIM('Tabela Federal'!$D518)</f>
        <v>CLORIDRATO DE GENCITABINA</v>
      </c>
    </row>
    <row r="519" spans="4:6" x14ac:dyDescent="0.25">
      <c r="D519" t="s">
        <v>3445</v>
      </c>
      <c r="E519">
        <f>1</f>
        <v>1</v>
      </c>
      <c r="F519" t="str">
        <f>TRIM('Tabela Federal'!$D519)</f>
        <v>CLORIDRATO DE GRANISSETRONA</v>
      </c>
    </row>
    <row r="520" spans="4:6" x14ac:dyDescent="0.25">
      <c r="D520" t="s">
        <v>3446</v>
      </c>
      <c r="E520">
        <f>1</f>
        <v>1</v>
      </c>
      <c r="F520" t="str">
        <f>TRIM('Tabela Federal'!$D520)</f>
        <v>CLORIDRATO DE HIDRALAZINA</v>
      </c>
    </row>
    <row r="521" spans="4:6" x14ac:dyDescent="0.25">
      <c r="D521" t="s">
        <v>3447</v>
      </c>
      <c r="E521">
        <f>1</f>
        <v>1</v>
      </c>
      <c r="F521" t="str">
        <f>TRIM('Tabela Federal'!$D521)</f>
        <v>CLORIDRATO DE HIDROXIZINA</v>
      </c>
    </row>
    <row r="522" spans="4:6" x14ac:dyDescent="0.25">
      <c r="D522" t="s">
        <v>3448</v>
      </c>
      <c r="E522">
        <f>1</f>
        <v>1</v>
      </c>
      <c r="F522" t="str">
        <f>TRIM('Tabela Federal'!$D522)</f>
        <v>CLORIDRATO DE IDARRUBICINA</v>
      </c>
    </row>
    <row r="523" spans="4:6" x14ac:dyDescent="0.25">
      <c r="D523" t="s">
        <v>3449</v>
      </c>
      <c r="E523">
        <f>1</f>
        <v>1</v>
      </c>
      <c r="F523" t="str">
        <f>TRIM('Tabela Federal'!$D523)</f>
        <v>CLORIDRATO DE IMIPRAMINA</v>
      </c>
    </row>
    <row r="524" spans="4:6" x14ac:dyDescent="0.25">
      <c r="D524" t="s">
        <v>3450</v>
      </c>
      <c r="E524">
        <f>1</f>
        <v>1</v>
      </c>
      <c r="F524" t="str">
        <f>TRIM('Tabela Federal'!$D524)</f>
        <v>CLORIDRATO DE IRINOTECANO</v>
      </c>
    </row>
    <row r="525" spans="4:6" x14ac:dyDescent="0.25">
      <c r="D525" t="s">
        <v>3451</v>
      </c>
      <c r="E525">
        <f>1</f>
        <v>1</v>
      </c>
      <c r="F525" t="str">
        <f>TRIM('Tabela Federal'!$D525)</f>
        <v>CLORIDRATO DE LERCANIDIPINO</v>
      </c>
    </row>
    <row r="526" spans="4:6" x14ac:dyDescent="0.25">
      <c r="D526" t="s">
        <v>3452</v>
      </c>
      <c r="E526">
        <f>1</f>
        <v>1</v>
      </c>
      <c r="F526" t="str">
        <f>TRIM('Tabela Federal'!$D526)</f>
        <v>CLORIDRATO DE LEUCINA</v>
      </c>
    </row>
    <row r="527" spans="4:6" x14ac:dyDescent="0.25">
      <c r="D527" t="s">
        <v>3453</v>
      </c>
      <c r="E527">
        <f>1</f>
        <v>1</v>
      </c>
      <c r="F527" t="str">
        <f>TRIM('Tabela Federal'!$D527)</f>
        <v>CLORIDRATO DE LEVOBUNOLOL</v>
      </c>
    </row>
    <row r="528" spans="4:6" x14ac:dyDescent="0.25">
      <c r="D528" t="s">
        <v>4294</v>
      </c>
      <c r="E528">
        <f>1</f>
        <v>1</v>
      </c>
      <c r="F528" t="str">
        <f>TRIM('Tabela Federal'!$D528)</f>
        <v>CLORIDRATO DE LEVOBUPIVACAINA</v>
      </c>
    </row>
    <row r="529" spans="4:6" x14ac:dyDescent="0.25">
      <c r="D529" t="s">
        <v>3454</v>
      </c>
      <c r="E529">
        <f>1</f>
        <v>1</v>
      </c>
      <c r="F529" t="str">
        <f>TRIM('Tabela Federal'!$D529)</f>
        <v>CLORIDRATO DE LEVOMEPROMAZINA</v>
      </c>
    </row>
    <row r="530" spans="4:6" x14ac:dyDescent="0.25">
      <c r="D530" t="s">
        <v>4295</v>
      </c>
      <c r="E530">
        <f>1</f>
        <v>1</v>
      </c>
      <c r="F530" t="str">
        <f>TRIM('Tabela Federal'!$D530)</f>
        <v>CLORIDRATO DE LIDOCAINA</v>
      </c>
    </row>
    <row r="531" spans="4:6" x14ac:dyDescent="0.25">
      <c r="D531" t="s">
        <v>4295</v>
      </c>
      <c r="E531">
        <f>1</f>
        <v>1</v>
      </c>
      <c r="F531" t="str">
        <f>TRIM('Tabela Federal'!$D531)</f>
        <v>CLORIDRATO DE LIDOCAINA</v>
      </c>
    </row>
    <row r="532" spans="4:6" x14ac:dyDescent="0.25">
      <c r="D532" t="s">
        <v>4295</v>
      </c>
      <c r="E532">
        <f>1</f>
        <v>1</v>
      </c>
      <c r="F532" t="str">
        <f>TRIM('Tabela Federal'!$D532)</f>
        <v>CLORIDRATO DE LIDOCAINA</v>
      </c>
    </row>
    <row r="533" spans="4:6" x14ac:dyDescent="0.25">
      <c r="D533" t="s">
        <v>4295</v>
      </c>
      <c r="E533">
        <f>1</f>
        <v>1</v>
      </c>
      <c r="F533" t="str">
        <f>TRIM('Tabela Federal'!$D533)</f>
        <v>CLORIDRATO DE LIDOCAINA</v>
      </c>
    </row>
    <row r="534" spans="4:6" x14ac:dyDescent="0.25">
      <c r="D534" t="s">
        <v>4295</v>
      </c>
      <c r="E534">
        <f>1</f>
        <v>1</v>
      </c>
      <c r="F534" t="str">
        <f>TRIM('Tabela Federal'!$D534)</f>
        <v>CLORIDRATO DE LIDOCAINA</v>
      </c>
    </row>
    <row r="535" spans="4:6" x14ac:dyDescent="0.25">
      <c r="D535" t="s">
        <v>4295</v>
      </c>
      <c r="E535">
        <f>1</f>
        <v>1</v>
      </c>
      <c r="F535" t="str">
        <f>TRIM('Tabela Federal'!$D535)</f>
        <v>CLORIDRATO DE LIDOCAINA</v>
      </c>
    </row>
    <row r="536" spans="4:6" x14ac:dyDescent="0.25">
      <c r="D536" t="s">
        <v>4295</v>
      </c>
      <c r="E536">
        <f>1</f>
        <v>1</v>
      </c>
      <c r="F536" t="str">
        <f>TRIM('Tabela Federal'!$D536)</f>
        <v>CLORIDRATO DE LIDOCAINA</v>
      </c>
    </row>
    <row r="537" spans="4:6" x14ac:dyDescent="0.25">
      <c r="D537" t="s">
        <v>4295</v>
      </c>
      <c r="E537">
        <f>1</f>
        <v>1</v>
      </c>
      <c r="F537" t="str">
        <f>TRIM('Tabela Federal'!$D537)</f>
        <v>CLORIDRATO DE LIDOCAINA</v>
      </c>
    </row>
    <row r="538" spans="4:6" x14ac:dyDescent="0.25">
      <c r="D538" t="s">
        <v>4295</v>
      </c>
      <c r="E538">
        <f>1</f>
        <v>1</v>
      </c>
      <c r="F538" t="str">
        <f>TRIM('Tabela Federal'!$D538)</f>
        <v>CLORIDRATO DE LIDOCAINA</v>
      </c>
    </row>
    <row r="539" spans="4:6" x14ac:dyDescent="0.25">
      <c r="D539" t="s">
        <v>4295</v>
      </c>
      <c r="E539">
        <f>1</f>
        <v>1</v>
      </c>
      <c r="F539" t="str">
        <f>TRIM('Tabela Federal'!$D539)</f>
        <v>CLORIDRATO DE LIDOCAINA</v>
      </c>
    </row>
    <row r="540" spans="4:6" x14ac:dyDescent="0.25">
      <c r="D540" t="s">
        <v>3455</v>
      </c>
      <c r="E540">
        <f>1</f>
        <v>1</v>
      </c>
      <c r="F540" t="str">
        <f>TRIM('Tabela Federal'!$D540)</f>
        <v>CLORIDRATO DE LINCOMICINA</v>
      </c>
    </row>
    <row r="541" spans="4:6" x14ac:dyDescent="0.25">
      <c r="D541" t="s">
        <v>3456</v>
      </c>
      <c r="E541">
        <f>1</f>
        <v>1</v>
      </c>
      <c r="F541" t="str">
        <f>TRIM('Tabela Federal'!$D541)</f>
        <v>CLORIDRATO DE LISOZIMA</v>
      </c>
    </row>
    <row r="542" spans="4:6" x14ac:dyDescent="0.25">
      <c r="D542" t="s">
        <v>3457</v>
      </c>
      <c r="E542">
        <f>1</f>
        <v>1</v>
      </c>
      <c r="F542" t="str">
        <f>TRIM('Tabela Federal'!$D542)</f>
        <v>CLORIDRATO DE LOMEFLOXACINO</v>
      </c>
    </row>
    <row r="543" spans="4:6" x14ac:dyDescent="0.25">
      <c r="D543" t="s">
        <v>3458</v>
      </c>
      <c r="E543">
        <f>1</f>
        <v>1</v>
      </c>
      <c r="F543" t="str">
        <f>TRIM('Tabela Federal'!$D543)</f>
        <v>CLORIDRATO DE MAPROTILINA</v>
      </c>
    </row>
    <row r="544" spans="4:6" x14ac:dyDescent="0.25">
      <c r="D544" t="s">
        <v>3459</v>
      </c>
      <c r="E544">
        <f>1</f>
        <v>1</v>
      </c>
      <c r="F544" t="str">
        <f>TRIM('Tabela Federal'!$D544)</f>
        <v>CLORIDRATO DE MEFLOQUINA</v>
      </c>
    </row>
    <row r="545" spans="4:6" x14ac:dyDescent="0.25">
      <c r="D545" t="s">
        <v>3460</v>
      </c>
      <c r="E545">
        <f>1</f>
        <v>1</v>
      </c>
      <c r="F545" t="str">
        <f>TRIM('Tabela Federal'!$D545)</f>
        <v>CLORIDRATO DE MELFALANA</v>
      </c>
    </row>
    <row r="546" spans="4:6" x14ac:dyDescent="0.25">
      <c r="D546" t="s">
        <v>2618</v>
      </c>
      <c r="E546">
        <f>1</f>
        <v>1</v>
      </c>
      <c r="F546" t="str">
        <f>TRIM('Tabela Federal'!$D546)</f>
        <v>CLORIDRATO DE MEMANTINA</v>
      </c>
    </row>
    <row r="547" spans="4:6" x14ac:dyDescent="0.25">
      <c r="D547" t="s">
        <v>4296</v>
      </c>
      <c r="E547">
        <f>1</f>
        <v>1</v>
      </c>
      <c r="F547" t="str">
        <f>TRIM('Tabela Federal'!$D547)</f>
        <v>CLORIDRATO DE MEPIVACAINA</v>
      </c>
    </row>
    <row r="548" spans="4:6" x14ac:dyDescent="0.25">
      <c r="D548" t="s">
        <v>4296</v>
      </c>
      <c r="E548">
        <f>1</f>
        <v>1</v>
      </c>
      <c r="F548" t="str">
        <f>TRIM('Tabela Federal'!$D548)</f>
        <v>CLORIDRATO DE MEPIVACAINA</v>
      </c>
    </row>
    <row r="549" spans="4:6" x14ac:dyDescent="0.25">
      <c r="D549" t="s">
        <v>4296</v>
      </c>
      <c r="E549">
        <f>1</f>
        <v>1</v>
      </c>
      <c r="F549" t="str">
        <f>TRIM('Tabela Federal'!$D549)</f>
        <v>CLORIDRATO DE MEPIVACAINA</v>
      </c>
    </row>
    <row r="550" spans="4:6" x14ac:dyDescent="0.25">
      <c r="D550" t="s">
        <v>4296</v>
      </c>
      <c r="E550">
        <f>1</f>
        <v>1</v>
      </c>
      <c r="F550" t="str">
        <f>TRIM('Tabela Federal'!$D550)</f>
        <v>CLORIDRATO DE MEPIVACAINA</v>
      </c>
    </row>
    <row r="551" spans="4:6" x14ac:dyDescent="0.25">
      <c r="D551" t="s">
        <v>4296</v>
      </c>
      <c r="E551">
        <f>1</f>
        <v>1</v>
      </c>
      <c r="F551" t="str">
        <f>TRIM('Tabela Federal'!$D551)</f>
        <v>CLORIDRATO DE MEPIVACAINA</v>
      </c>
    </row>
    <row r="552" spans="4:6" x14ac:dyDescent="0.25">
      <c r="D552" t="s">
        <v>3461</v>
      </c>
      <c r="E552">
        <f>1</f>
        <v>1</v>
      </c>
      <c r="F552" t="str">
        <f>TRIM('Tabela Federal'!$D552)</f>
        <v>CLORIDRATO DE METADONA</v>
      </c>
    </row>
    <row r="553" spans="4:6" x14ac:dyDescent="0.25">
      <c r="D553" t="s">
        <v>2645</v>
      </c>
      <c r="E553">
        <f>1</f>
        <v>1</v>
      </c>
      <c r="F553" t="str">
        <f>TRIM('Tabela Federal'!$D553)</f>
        <v>CLORIDRATO DE METFORMINA</v>
      </c>
    </row>
    <row r="554" spans="4:6" x14ac:dyDescent="0.25">
      <c r="D554" t="s">
        <v>2645</v>
      </c>
      <c r="E554">
        <f>1</f>
        <v>1</v>
      </c>
      <c r="F554" t="str">
        <f>TRIM('Tabela Federal'!$D554)</f>
        <v>CLORIDRATO DE METFORMINA</v>
      </c>
    </row>
    <row r="555" spans="4:6" x14ac:dyDescent="0.25">
      <c r="D555" t="s">
        <v>2645</v>
      </c>
      <c r="E555">
        <f>1</f>
        <v>1</v>
      </c>
      <c r="F555" t="str">
        <f>TRIM('Tabela Federal'!$D555)</f>
        <v>CLORIDRATO DE METFORMINA</v>
      </c>
    </row>
    <row r="556" spans="4:6" x14ac:dyDescent="0.25">
      <c r="D556" t="s">
        <v>2645</v>
      </c>
      <c r="E556">
        <f>1</f>
        <v>1</v>
      </c>
      <c r="F556" t="str">
        <f>TRIM('Tabela Federal'!$D556)</f>
        <v>CLORIDRATO DE METFORMINA</v>
      </c>
    </row>
    <row r="557" spans="4:6" x14ac:dyDescent="0.25">
      <c r="D557" t="s">
        <v>2645</v>
      </c>
      <c r="E557">
        <f>1</f>
        <v>1</v>
      </c>
      <c r="F557" t="str">
        <f>TRIM('Tabela Federal'!$D557)</f>
        <v>CLORIDRATO DE METFORMINA</v>
      </c>
    </row>
    <row r="558" spans="4:6" x14ac:dyDescent="0.25">
      <c r="D558" t="s">
        <v>2645</v>
      </c>
      <c r="E558">
        <f>1</f>
        <v>1</v>
      </c>
      <c r="F558" t="str">
        <f>TRIM('Tabela Federal'!$D558)</f>
        <v>CLORIDRATO DE METFORMINA</v>
      </c>
    </row>
    <row r="559" spans="4:6" x14ac:dyDescent="0.25">
      <c r="D559" t="s">
        <v>2645</v>
      </c>
      <c r="E559">
        <f>1</f>
        <v>1</v>
      </c>
      <c r="F559" t="str">
        <f>TRIM('Tabela Federal'!$D559)</f>
        <v>CLORIDRATO DE METFORMINA</v>
      </c>
    </row>
    <row r="560" spans="4:6" x14ac:dyDescent="0.25">
      <c r="D560" t="s">
        <v>2645</v>
      </c>
      <c r="E560">
        <f>1</f>
        <v>1</v>
      </c>
      <c r="F560" t="str">
        <f>TRIM('Tabela Federal'!$D560)</f>
        <v>CLORIDRATO DE METFORMINA</v>
      </c>
    </row>
    <row r="561" spans="4:6" x14ac:dyDescent="0.25">
      <c r="D561" t="s">
        <v>2645</v>
      </c>
      <c r="E561">
        <f>1</f>
        <v>1</v>
      </c>
      <c r="F561" t="str">
        <f>TRIM('Tabela Federal'!$D561)</f>
        <v>CLORIDRATO DE METFORMINA</v>
      </c>
    </row>
    <row r="562" spans="4:6" x14ac:dyDescent="0.25">
      <c r="D562" t="s">
        <v>3462</v>
      </c>
      <c r="E562">
        <f>1</f>
        <v>1</v>
      </c>
      <c r="F562" t="str">
        <f>TRIM('Tabela Federal'!$D562)</f>
        <v>CLORIDRATO DE METIPRANOLOL</v>
      </c>
    </row>
    <row r="563" spans="4:6" x14ac:dyDescent="0.25">
      <c r="D563" t="s">
        <v>3463</v>
      </c>
      <c r="E563">
        <f>1</f>
        <v>1</v>
      </c>
      <c r="F563" t="str">
        <f>TRIM('Tabela Federal'!$D563)</f>
        <v>CLORIDRATO DE MEXILETINA</v>
      </c>
    </row>
    <row r="564" spans="4:6" x14ac:dyDescent="0.25">
      <c r="D564" t="s">
        <v>3464</v>
      </c>
      <c r="E564">
        <f>1</f>
        <v>1</v>
      </c>
      <c r="F564" t="str">
        <f>TRIM('Tabela Federal'!$D564)</f>
        <v>CLORIDRATO DE MIANSERINA</v>
      </c>
    </row>
    <row r="565" spans="4:6" x14ac:dyDescent="0.25">
      <c r="D565" t="s">
        <v>3465</v>
      </c>
      <c r="E565">
        <f>1</f>
        <v>1</v>
      </c>
      <c r="F565" t="str">
        <f>TRIM('Tabela Federal'!$D565)</f>
        <v>CLORIDRATO DE MIDAZOLAM</v>
      </c>
    </row>
    <row r="566" spans="4:6" x14ac:dyDescent="0.25">
      <c r="D566" t="s">
        <v>3466</v>
      </c>
      <c r="E566">
        <f>1</f>
        <v>1</v>
      </c>
      <c r="F566" t="str">
        <f>TRIM('Tabela Federal'!$D566)</f>
        <v>CLORIDRATO DE MIDODRINA</v>
      </c>
    </row>
    <row r="567" spans="4:6" x14ac:dyDescent="0.25">
      <c r="D567" t="s">
        <v>3467</v>
      </c>
      <c r="E567">
        <f>1</f>
        <v>1</v>
      </c>
      <c r="F567" t="str">
        <f>TRIM('Tabela Federal'!$D567)</f>
        <v>CLORIDRATO DE MILNACIPRANA</v>
      </c>
    </row>
    <row r="568" spans="4:6" x14ac:dyDescent="0.25">
      <c r="D568" t="s">
        <v>3468</v>
      </c>
      <c r="E568">
        <f>1</f>
        <v>1</v>
      </c>
      <c r="F568" t="str">
        <f>TRIM('Tabela Federal'!$D568)</f>
        <v>CLORIDRATO DE MINOCICLINA</v>
      </c>
    </row>
    <row r="569" spans="4:6" x14ac:dyDescent="0.25">
      <c r="D569" t="s">
        <v>3469</v>
      </c>
      <c r="E569">
        <f>1</f>
        <v>1</v>
      </c>
      <c r="F569" t="str">
        <f>TRIM('Tabela Federal'!$D569)</f>
        <v>CLORIDRATO DE MITOXANTRONA</v>
      </c>
    </row>
    <row r="570" spans="4:6" x14ac:dyDescent="0.25">
      <c r="D570" t="s">
        <v>2705</v>
      </c>
      <c r="E570">
        <f>1</f>
        <v>1</v>
      </c>
      <c r="F570" t="str">
        <f>TRIM('Tabela Federal'!$D570)</f>
        <v>CLORIDRATO DE MOXIFLOXACINO</v>
      </c>
    </row>
    <row r="571" spans="4:6" x14ac:dyDescent="0.25">
      <c r="D571" t="s">
        <v>2705</v>
      </c>
      <c r="E571">
        <f>1</f>
        <v>1</v>
      </c>
      <c r="F571" t="str">
        <f>TRIM('Tabela Federal'!$D571)</f>
        <v>CLORIDRATO DE MOXIFLOXACINO</v>
      </c>
    </row>
    <row r="572" spans="4:6" x14ac:dyDescent="0.25">
      <c r="D572" t="s">
        <v>3470</v>
      </c>
      <c r="E572">
        <f>1</f>
        <v>1</v>
      </c>
      <c r="F572" t="str">
        <f>TRIM('Tabela Federal'!$D572)</f>
        <v>CLORIDRATO DE NAFAZOLINA</v>
      </c>
    </row>
    <row r="573" spans="4:6" x14ac:dyDescent="0.25">
      <c r="D573" t="s">
        <v>3471</v>
      </c>
      <c r="E573">
        <f>1</f>
        <v>1</v>
      </c>
      <c r="F573" t="str">
        <f>TRIM('Tabela Federal'!$D573)</f>
        <v>CLORIDRATO DE NALBUFINA</v>
      </c>
    </row>
    <row r="574" spans="4:6" x14ac:dyDescent="0.25">
      <c r="D574" t="s">
        <v>3472</v>
      </c>
      <c r="E574">
        <f>1</f>
        <v>1</v>
      </c>
      <c r="F574" t="str">
        <f>TRIM('Tabela Federal'!$D574)</f>
        <v>CLORIDRATO DE NALOXONA</v>
      </c>
    </row>
    <row r="575" spans="4:6" x14ac:dyDescent="0.25">
      <c r="D575" t="s">
        <v>3473</v>
      </c>
      <c r="E575">
        <f>1</f>
        <v>1</v>
      </c>
      <c r="F575" t="str">
        <f>TRIM('Tabela Federal'!$D575)</f>
        <v>CLORIDRATO DE NALTREXONA</v>
      </c>
    </row>
    <row r="576" spans="4:6" x14ac:dyDescent="0.25">
      <c r="D576" t="s">
        <v>2642</v>
      </c>
      <c r="E576">
        <f>1</f>
        <v>1</v>
      </c>
      <c r="F576" t="str">
        <f>TRIM('Tabela Federal'!$D576)</f>
        <v>CLORIDRATO DE NARATRIPTANA</v>
      </c>
    </row>
    <row r="577" spans="4:6" x14ac:dyDescent="0.25">
      <c r="D577" t="s">
        <v>3474</v>
      </c>
      <c r="E577">
        <f>1</f>
        <v>1</v>
      </c>
      <c r="F577" t="str">
        <f>TRIM('Tabela Federal'!$D577)</f>
        <v>CLORIDRATO DE NEFAZODONA</v>
      </c>
    </row>
    <row r="578" spans="4:6" x14ac:dyDescent="0.25">
      <c r="D578" t="s">
        <v>3475</v>
      </c>
      <c r="E578">
        <f>1</f>
        <v>1</v>
      </c>
      <c r="F578" t="str">
        <f>TRIM('Tabela Federal'!$D578)</f>
        <v>CLORIDRATO DE NORTRIPTILINA</v>
      </c>
    </row>
    <row r="579" spans="4:6" x14ac:dyDescent="0.25">
      <c r="D579" t="s">
        <v>3476</v>
      </c>
      <c r="E579">
        <f>1</f>
        <v>1</v>
      </c>
      <c r="F579" t="str">
        <f>TRIM('Tabela Federal'!$D579)</f>
        <v>CLORIDRATO DE OLOPATADINA</v>
      </c>
    </row>
    <row r="580" spans="4:6" x14ac:dyDescent="0.25">
      <c r="D580" t="s">
        <v>2668</v>
      </c>
      <c r="E580">
        <f>1</f>
        <v>1</v>
      </c>
      <c r="F580" t="str">
        <f>TRIM('Tabela Federal'!$D580)</f>
        <v>CLORIDRATO DE ONDANSETRONA</v>
      </c>
    </row>
    <row r="581" spans="4:6" x14ac:dyDescent="0.25">
      <c r="D581" t="s">
        <v>3477</v>
      </c>
      <c r="E581">
        <f>1</f>
        <v>1</v>
      </c>
      <c r="F581" t="str">
        <f>TRIM('Tabela Federal'!$D581)</f>
        <v>CLORIDRATO DE ORNITINA</v>
      </c>
    </row>
    <row r="582" spans="4:6" x14ac:dyDescent="0.25">
      <c r="D582" t="s">
        <v>3478</v>
      </c>
      <c r="E582">
        <f>1</f>
        <v>1</v>
      </c>
      <c r="F582" t="str">
        <f>TRIM('Tabela Federal'!$D582)</f>
        <v>CLORIDRATO DE OXICODONA</v>
      </c>
    </row>
    <row r="583" spans="4:6" x14ac:dyDescent="0.25">
      <c r="D583" t="s">
        <v>3479</v>
      </c>
      <c r="E583">
        <f>1</f>
        <v>1</v>
      </c>
      <c r="F583" t="str">
        <f>TRIM('Tabela Federal'!$D583)</f>
        <v>CLORIDRATO DE OXITETRACICLINA</v>
      </c>
    </row>
    <row r="584" spans="4:6" x14ac:dyDescent="0.25">
      <c r="D584" t="s">
        <v>3479</v>
      </c>
      <c r="E584">
        <f>1</f>
        <v>1</v>
      </c>
      <c r="F584" t="str">
        <f>TRIM('Tabela Federal'!$D584)</f>
        <v>CLORIDRATO DE OXITETRACICLINA</v>
      </c>
    </row>
    <row r="585" spans="4:6" x14ac:dyDescent="0.25">
      <c r="D585" t="s">
        <v>3479</v>
      </c>
      <c r="E585">
        <f>1</f>
        <v>1</v>
      </c>
      <c r="F585" t="str">
        <f>TRIM('Tabela Federal'!$D585)</f>
        <v>CLORIDRATO DE OXITETRACICLINA</v>
      </c>
    </row>
    <row r="586" spans="4:6" x14ac:dyDescent="0.25">
      <c r="D586" t="s">
        <v>3480</v>
      </c>
      <c r="E586">
        <f>1</f>
        <v>1</v>
      </c>
      <c r="F586" t="str">
        <f>TRIM('Tabela Federal'!$D586)</f>
        <v>CLORIDRATO DE PAROXETINA</v>
      </c>
    </row>
    <row r="587" spans="4:6" x14ac:dyDescent="0.25">
      <c r="D587" t="s">
        <v>4545</v>
      </c>
      <c r="E587">
        <f>1</f>
        <v>1</v>
      </c>
      <c r="F587" t="str">
        <f>TRIM('Tabela Federal'!$D587)</f>
        <v>CLORIDRATO DE PAZOPANIBE</v>
      </c>
    </row>
    <row r="588" spans="4:6" x14ac:dyDescent="0.25">
      <c r="D588" t="s">
        <v>3481</v>
      </c>
      <c r="E588">
        <f>1</f>
        <v>1</v>
      </c>
      <c r="F588" t="str">
        <f>TRIM('Tabela Federal'!$D588)</f>
        <v>CLORIDRATO DE PETIDINA</v>
      </c>
    </row>
    <row r="589" spans="4:6" x14ac:dyDescent="0.25">
      <c r="D589" t="s">
        <v>3482</v>
      </c>
      <c r="E589">
        <f>1</f>
        <v>1</v>
      </c>
      <c r="F589" t="str">
        <f>TRIM('Tabela Federal'!$D589)</f>
        <v>CLORIDRATO DE PILOCARPINA</v>
      </c>
    </row>
    <row r="590" spans="4:6" x14ac:dyDescent="0.25">
      <c r="D590" t="s">
        <v>3483</v>
      </c>
      <c r="E590">
        <f>1</f>
        <v>1</v>
      </c>
      <c r="F590" t="str">
        <f>TRIM('Tabela Federal'!$D590)</f>
        <v>CLORIDRATO DE PIOGLITAZONA</v>
      </c>
    </row>
    <row r="591" spans="4:6" x14ac:dyDescent="0.25">
      <c r="D591" t="s">
        <v>3484</v>
      </c>
      <c r="E591">
        <f>1</f>
        <v>1</v>
      </c>
      <c r="F591" t="str">
        <f>TRIM('Tabela Federal'!$D591)</f>
        <v>CLORIDRATO DE PIRIDOXINA</v>
      </c>
    </row>
    <row r="592" spans="4:6" x14ac:dyDescent="0.25">
      <c r="D592" t="s">
        <v>3485</v>
      </c>
      <c r="E592">
        <f>1</f>
        <v>1</v>
      </c>
      <c r="F592" t="str">
        <f>TRIM('Tabela Federal'!$D592)</f>
        <v>CLORIDRATO DE PRAZOSINA</v>
      </c>
    </row>
    <row r="593" spans="4:6" x14ac:dyDescent="0.25">
      <c r="D593" t="s">
        <v>4297</v>
      </c>
      <c r="E593">
        <f>1</f>
        <v>1</v>
      </c>
      <c r="F593" t="str">
        <f>TRIM('Tabela Federal'!$D593)</f>
        <v>CLORIDRATO DE PRILOCAINA</v>
      </c>
    </row>
    <row r="594" spans="4:6" x14ac:dyDescent="0.25">
      <c r="D594" t="s">
        <v>3486</v>
      </c>
      <c r="E594">
        <f>1</f>
        <v>1</v>
      </c>
      <c r="F594" t="str">
        <f>TRIM('Tabela Federal'!$D594)</f>
        <v>CLORIDRATO DE PROCARBAZINA</v>
      </c>
    </row>
    <row r="595" spans="4:6" x14ac:dyDescent="0.25">
      <c r="D595" t="s">
        <v>3487</v>
      </c>
      <c r="E595">
        <f>1</f>
        <v>1</v>
      </c>
      <c r="F595" t="str">
        <f>TRIM('Tabela Federal'!$D595)</f>
        <v>CLORIDRATO DE PROPAFENONA</v>
      </c>
    </row>
    <row r="596" spans="4:6" x14ac:dyDescent="0.25">
      <c r="D596" t="s">
        <v>3488</v>
      </c>
      <c r="E596">
        <f>1</f>
        <v>1</v>
      </c>
      <c r="F596" t="str">
        <f>TRIM('Tabela Federal'!$D596)</f>
        <v>CLORIDRATO DE PROPRANOLOL</v>
      </c>
    </row>
    <row r="597" spans="4:6" x14ac:dyDescent="0.25">
      <c r="D597" t="s">
        <v>3488</v>
      </c>
      <c r="E597">
        <f>1</f>
        <v>1</v>
      </c>
      <c r="F597" t="str">
        <f>TRIM('Tabela Federal'!$D597)</f>
        <v>CLORIDRATO DE PROPRANOLOL</v>
      </c>
    </row>
    <row r="598" spans="4:6" x14ac:dyDescent="0.25">
      <c r="D598" t="s">
        <v>4546</v>
      </c>
      <c r="E598">
        <f>1</f>
        <v>1</v>
      </c>
      <c r="F598" t="str">
        <f>TRIM('Tabela Federal'!$D598)</f>
        <v>CLORIDRATO DE PROTAMINA</v>
      </c>
    </row>
    <row r="599" spans="4:6" x14ac:dyDescent="0.25">
      <c r="D599" t="s">
        <v>4298</v>
      </c>
      <c r="E599">
        <f>1</f>
        <v>1</v>
      </c>
      <c r="F599" t="str">
        <f>TRIM('Tabela Federal'!$D599)</f>
        <v>CLORIDRATO DE PROXIMETACAINA</v>
      </c>
    </row>
    <row r="600" spans="4:6" x14ac:dyDescent="0.25">
      <c r="D600" t="s">
        <v>3489</v>
      </c>
      <c r="E600">
        <f>1</f>
        <v>1</v>
      </c>
      <c r="F600" t="str">
        <f>TRIM('Tabela Federal'!$D600)</f>
        <v>CLORIDRATO DE QUINAGOLIDA</v>
      </c>
    </row>
    <row r="601" spans="4:6" x14ac:dyDescent="0.25">
      <c r="D601" t="s">
        <v>3490</v>
      </c>
      <c r="E601">
        <f>1</f>
        <v>1</v>
      </c>
      <c r="F601" t="str">
        <f>TRIM('Tabela Federal'!$D601)</f>
        <v>CLORIDRATO DE QUINAPRIL</v>
      </c>
    </row>
    <row r="602" spans="4:6" x14ac:dyDescent="0.25">
      <c r="D602" t="s">
        <v>3491</v>
      </c>
      <c r="E602">
        <f>1</f>
        <v>1</v>
      </c>
      <c r="F602" t="str">
        <f>TRIM('Tabela Federal'!$D602)</f>
        <v>CLORIDRATO DE RALOXIFENO</v>
      </c>
    </row>
    <row r="603" spans="4:6" x14ac:dyDescent="0.25">
      <c r="D603" t="s">
        <v>2646</v>
      </c>
      <c r="E603">
        <f>1</f>
        <v>1</v>
      </c>
      <c r="F603" t="str">
        <f>TRIM('Tabela Federal'!$D603)</f>
        <v>CLORIDRATO DE RANITIDINA</v>
      </c>
    </row>
    <row r="604" spans="4:6" x14ac:dyDescent="0.25">
      <c r="D604" t="s">
        <v>3492</v>
      </c>
      <c r="E604">
        <f>1</f>
        <v>1</v>
      </c>
      <c r="F604" t="str">
        <f>TRIM('Tabela Federal'!$D604)</f>
        <v>CLORIDRATO DE REMIFENTANILA</v>
      </c>
    </row>
    <row r="605" spans="4:6" x14ac:dyDescent="0.25">
      <c r="D605" t="s">
        <v>3493</v>
      </c>
      <c r="E605">
        <f>1</f>
        <v>1</v>
      </c>
      <c r="F605" t="str">
        <f>TRIM('Tabela Federal'!$D605)</f>
        <v>CLORIDRATO DE RITODRINA</v>
      </c>
    </row>
    <row r="606" spans="4:6" x14ac:dyDescent="0.25">
      <c r="D606" t="s">
        <v>3494</v>
      </c>
      <c r="E606">
        <f>1</f>
        <v>1</v>
      </c>
      <c r="F606" t="str">
        <f>TRIM('Tabela Federal'!$D606)</f>
        <v>CLORIDRATO DE ROPINIROL</v>
      </c>
    </row>
    <row r="607" spans="4:6" x14ac:dyDescent="0.25">
      <c r="D607" t="s">
        <v>4299</v>
      </c>
      <c r="E607">
        <f>1</f>
        <v>1</v>
      </c>
      <c r="F607" t="str">
        <f>TRIM('Tabela Federal'!$D607)</f>
        <v>CLORIDRATO DE ROPIVACAINA</v>
      </c>
    </row>
    <row r="608" spans="4:6" x14ac:dyDescent="0.25">
      <c r="D608" t="s">
        <v>3495</v>
      </c>
      <c r="E608">
        <f>1</f>
        <v>1</v>
      </c>
      <c r="F608" t="str">
        <f>TRIM('Tabela Federal'!$D608)</f>
        <v>CLORIDRATO DE SELEGILINA</v>
      </c>
    </row>
    <row r="609" spans="4:6" x14ac:dyDescent="0.25">
      <c r="D609" t="s">
        <v>2647</v>
      </c>
      <c r="E609">
        <f>1</f>
        <v>1</v>
      </c>
      <c r="F609" t="str">
        <f>TRIM('Tabela Federal'!$D609)</f>
        <v>CLORIDRATO DE SERTRALINA</v>
      </c>
    </row>
    <row r="610" spans="4:6" x14ac:dyDescent="0.25">
      <c r="D610" t="s">
        <v>4209</v>
      </c>
      <c r="E610">
        <f>1</f>
        <v>1</v>
      </c>
      <c r="F610" t="str">
        <f>TRIM('Tabela Federal'!$D610)</f>
        <v>CLORIDRATO DE SEVELAMER</v>
      </c>
    </row>
    <row r="611" spans="4:6" x14ac:dyDescent="0.25">
      <c r="D611" t="s">
        <v>3496</v>
      </c>
      <c r="E611">
        <f>1</f>
        <v>1</v>
      </c>
      <c r="F611" t="str">
        <f>TRIM('Tabela Federal'!$D611)</f>
        <v>CLORIDRATO DE SOTALOL</v>
      </c>
    </row>
    <row r="612" spans="4:6" x14ac:dyDescent="0.25">
      <c r="D612" t="s">
        <v>3497</v>
      </c>
      <c r="E612">
        <f>1</f>
        <v>1</v>
      </c>
      <c r="F612" t="str">
        <f>TRIM('Tabela Federal'!$D612)</f>
        <v>CLORIDRATO DE SUFENTANILA</v>
      </c>
    </row>
    <row r="613" spans="4:6" x14ac:dyDescent="0.25">
      <c r="D613" t="s">
        <v>3498</v>
      </c>
      <c r="E613">
        <f>1</f>
        <v>1</v>
      </c>
      <c r="F613" t="str">
        <f>TRIM('Tabela Federal'!$D613)</f>
        <v>CLORIDRATO DE TACRINA</v>
      </c>
    </row>
    <row r="614" spans="4:6" x14ac:dyDescent="0.25">
      <c r="D614" t="s">
        <v>3499</v>
      </c>
      <c r="E614">
        <f>1</f>
        <v>1</v>
      </c>
      <c r="F614" t="str">
        <f>TRIM('Tabela Federal'!$D614)</f>
        <v>CLORIDRATO DE TANSULOSINA</v>
      </c>
    </row>
    <row r="615" spans="4:6" x14ac:dyDescent="0.25">
      <c r="D615" t="s">
        <v>3500</v>
      </c>
      <c r="E615">
        <f>1</f>
        <v>1</v>
      </c>
      <c r="F615" t="str">
        <f>TRIM('Tabela Federal'!$D615)</f>
        <v>CLORIDRATO DE TERAZOSINA</v>
      </c>
    </row>
    <row r="616" spans="4:6" x14ac:dyDescent="0.25">
      <c r="D616" t="s">
        <v>3501</v>
      </c>
      <c r="E616">
        <f>1</f>
        <v>1</v>
      </c>
      <c r="F616" t="str">
        <f>TRIM('Tabela Federal'!$D616)</f>
        <v>CLORIDRATO DE TERBINAFINA</v>
      </c>
    </row>
    <row r="617" spans="4:6" x14ac:dyDescent="0.25">
      <c r="D617" t="s">
        <v>3502</v>
      </c>
      <c r="E617">
        <f>1</f>
        <v>1</v>
      </c>
      <c r="F617" t="str">
        <f>TRIM('Tabela Federal'!$D617)</f>
        <v>CLORIDRATO DE TETRACICLINA</v>
      </c>
    </row>
    <row r="618" spans="4:6" x14ac:dyDescent="0.25">
      <c r="D618" t="s">
        <v>3503</v>
      </c>
      <c r="E618">
        <f>1</f>
        <v>1</v>
      </c>
      <c r="F618" t="str">
        <f>TRIM('Tabela Federal'!$D618)</f>
        <v>CLORIDRATO DE TETRIZOLINA</v>
      </c>
    </row>
    <row r="619" spans="4:6" x14ac:dyDescent="0.25">
      <c r="D619" t="s">
        <v>3504</v>
      </c>
      <c r="E619">
        <f>1</f>
        <v>1</v>
      </c>
      <c r="F619" t="str">
        <f>TRIM('Tabela Federal'!$D619)</f>
        <v>CLORIDRATO DE TIAMINA</v>
      </c>
    </row>
    <row r="620" spans="4:6" x14ac:dyDescent="0.25">
      <c r="D620" t="s">
        <v>3505</v>
      </c>
      <c r="E620">
        <f>1</f>
        <v>1</v>
      </c>
      <c r="F620" t="str">
        <f>TRIM('Tabela Federal'!$D620)</f>
        <v>CLORIDRATO DE TICLOPIDINA</v>
      </c>
    </row>
    <row r="621" spans="4:6" x14ac:dyDescent="0.25">
      <c r="D621" t="s">
        <v>3506</v>
      </c>
      <c r="E621">
        <f>1</f>
        <v>1</v>
      </c>
      <c r="F621" t="str">
        <f>TRIM('Tabela Federal'!$D621)</f>
        <v>CLORIDRATO DE TIORIDAZINA</v>
      </c>
    </row>
    <row r="622" spans="4:6" x14ac:dyDescent="0.25">
      <c r="D622" t="s">
        <v>3507</v>
      </c>
      <c r="E622">
        <f>1</f>
        <v>1</v>
      </c>
      <c r="F622" t="str">
        <f>TRIM('Tabela Federal'!$D622)</f>
        <v>CLORIDRATO DE TIROFIBANA</v>
      </c>
    </row>
    <row r="623" spans="4:6" x14ac:dyDescent="0.25">
      <c r="D623" t="s">
        <v>3508</v>
      </c>
      <c r="E623">
        <f>1</f>
        <v>1</v>
      </c>
      <c r="F623" t="str">
        <f>TRIM('Tabela Federal'!$D623)</f>
        <v>CLORIDRATO DE TOPOTECANA</v>
      </c>
    </row>
    <row r="624" spans="4:6" x14ac:dyDescent="0.25">
      <c r="D624" t="s">
        <v>3509</v>
      </c>
      <c r="E624">
        <f>1</f>
        <v>1</v>
      </c>
      <c r="F624" t="str">
        <f>TRIM('Tabela Federal'!$D624)</f>
        <v>CLORIDRATO DE TRAMADOL</v>
      </c>
    </row>
    <row r="625" spans="4:6" x14ac:dyDescent="0.25">
      <c r="D625" t="s">
        <v>3510</v>
      </c>
      <c r="E625">
        <f>1</f>
        <v>1</v>
      </c>
      <c r="F625" t="str">
        <f>TRIM('Tabela Federal'!$D625)</f>
        <v>CLORIDRATO DE TRAZODONA</v>
      </c>
    </row>
    <row r="626" spans="4:6" x14ac:dyDescent="0.25">
      <c r="D626" t="s">
        <v>3511</v>
      </c>
      <c r="E626">
        <f>1</f>
        <v>1</v>
      </c>
      <c r="F626" t="str">
        <f>TRIM('Tabela Federal'!$D626)</f>
        <v>CLORIDRATO DE TRIENTINA</v>
      </c>
    </row>
    <row r="627" spans="4:6" x14ac:dyDescent="0.25">
      <c r="D627" t="s">
        <v>2624</v>
      </c>
      <c r="E627">
        <f>1</f>
        <v>1</v>
      </c>
      <c r="F627" t="str">
        <f>TRIM('Tabela Federal'!$D627)</f>
        <v>CLORIDRATO DE TRIEXIFENIDIL</v>
      </c>
    </row>
    <row r="628" spans="4:6" x14ac:dyDescent="0.25">
      <c r="D628" t="s">
        <v>3512</v>
      </c>
      <c r="E628">
        <f>1</f>
        <v>1</v>
      </c>
      <c r="F628" t="str">
        <f>TRIM('Tabela Federal'!$D628)</f>
        <v>CLORIDRATO DE TROPISETRONA</v>
      </c>
    </row>
    <row r="629" spans="4:6" x14ac:dyDescent="0.25">
      <c r="D629" t="s">
        <v>3513</v>
      </c>
      <c r="E629">
        <f>1</f>
        <v>1</v>
      </c>
      <c r="F629" t="str">
        <f>TRIM('Tabela Federal'!$D629)</f>
        <v>CLORIDRATO DE VALGANCICLOVIR</v>
      </c>
    </row>
    <row r="630" spans="4:6" x14ac:dyDescent="0.25">
      <c r="D630" t="s">
        <v>3514</v>
      </c>
      <c r="E630">
        <f>1</f>
        <v>1</v>
      </c>
      <c r="F630" t="str">
        <f>TRIM('Tabela Federal'!$D630)</f>
        <v>CLORIDRATO DE VANCOMICINA</v>
      </c>
    </row>
    <row r="631" spans="4:6" x14ac:dyDescent="0.25">
      <c r="D631" t="s">
        <v>3515</v>
      </c>
      <c r="E631">
        <f>1</f>
        <v>1</v>
      </c>
      <c r="F631" t="str">
        <f>TRIM('Tabela Federal'!$D631)</f>
        <v>CLORIDRATO DE VENLAFAXINA</v>
      </c>
    </row>
    <row r="632" spans="4:6" x14ac:dyDescent="0.25">
      <c r="D632" t="s">
        <v>3516</v>
      </c>
      <c r="E632">
        <f>1</f>
        <v>1</v>
      </c>
      <c r="F632" t="str">
        <f>TRIM('Tabela Federal'!$D632)</f>
        <v>CLORIDRATO DE VERAPAMIL</v>
      </c>
    </row>
    <row r="633" spans="4:6" x14ac:dyDescent="0.25">
      <c r="D633" t="s">
        <v>3516</v>
      </c>
      <c r="E633">
        <f>1</f>
        <v>1</v>
      </c>
      <c r="F633" t="str">
        <f>TRIM('Tabela Federal'!$D633)</f>
        <v>CLORIDRATO DE VERAPAMIL</v>
      </c>
    </row>
    <row r="634" spans="4:6" x14ac:dyDescent="0.25">
      <c r="D634" t="s">
        <v>3517</v>
      </c>
      <c r="E634">
        <f>1</f>
        <v>1</v>
      </c>
      <c r="F634" t="str">
        <f>TRIM('Tabela Federal'!$D634)</f>
        <v>CLORIDRATO DE ZIPRASIDONA</v>
      </c>
    </row>
    <row r="635" spans="4:6" x14ac:dyDescent="0.25">
      <c r="D635" t="s">
        <v>3518</v>
      </c>
      <c r="E635">
        <f>1</f>
        <v>1</v>
      </c>
      <c r="F635" t="str">
        <f>TRIM('Tabela Federal'!$D635)</f>
        <v>CLORMETINA</v>
      </c>
    </row>
    <row r="636" spans="4:6" x14ac:dyDescent="0.25">
      <c r="D636" t="s">
        <v>3519</v>
      </c>
      <c r="E636">
        <f>1</f>
        <v>1</v>
      </c>
      <c r="F636" t="str">
        <f>TRIM('Tabela Federal'!$D636)</f>
        <v>CLOROBUTANOL</v>
      </c>
    </row>
    <row r="637" spans="4:6" x14ac:dyDescent="0.25">
      <c r="D637" t="s">
        <v>3519</v>
      </c>
      <c r="E637">
        <f>1</f>
        <v>1</v>
      </c>
      <c r="F637" t="str">
        <f>TRIM('Tabela Federal'!$D637)</f>
        <v>CLOROBUTANOL</v>
      </c>
    </row>
    <row r="638" spans="4:6" x14ac:dyDescent="0.25">
      <c r="D638" t="s">
        <v>3520</v>
      </c>
      <c r="E638">
        <f>1</f>
        <v>1</v>
      </c>
      <c r="F638" t="str">
        <f>TRIM('Tabela Federal'!$D638)</f>
        <v>CLORPROPAMIDA</v>
      </c>
    </row>
    <row r="639" spans="4:6" x14ac:dyDescent="0.25">
      <c r="D639" t="s">
        <v>3521</v>
      </c>
      <c r="E639">
        <f>1</f>
        <v>1</v>
      </c>
      <c r="F639" t="str">
        <f>TRIM('Tabela Federal'!$D639)</f>
        <v>CLORTALIDONA</v>
      </c>
    </row>
    <row r="640" spans="4:6" x14ac:dyDescent="0.25">
      <c r="D640" t="s">
        <v>3521</v>
      </c>
      <c r="E640">
        <f>1</f>
        <v>1</v>
      </c>
      <c r="F640" t="str">
        <f>TRIM('Tabela Federal'!$D640)</f>
        <v>CLORTALIDONA</v>
      </c>
    </row>
    <row r="641" spans="4:6" x14ac:dyDescent="0.25">
      <c r="D641" t="s">
        <v>3522</v>
      </c>
      <c r="E641">
        <f>1</f>
        <v>1</v>
      </c>
      <c r="F641" t="str">
        <f>TRIM('Tabela Federal'!$D641)</f>
        <v>CLOXAZOLAM</v>
      </c>
    </row>
    <row r="642" spans="4:6" x14ac:dyDescent="0.25">
      <c r="D642" t="s">
        <v>3523</v>
      </c>
      <c r="E642">
        <f>1</f>
        <v>1</v>
      </c>
      <c r="F642" t="str">
        <f>TRIM('Tabela Federal'!$D642)</f>
        <v>CLOZAPINA</v>
      </c>
    </row>
    <row r="643" spans="4:6" x14ac:dyDescent="0.25">
      <c r="D643" t="s">
        <v>4547</v>
      </c>
      <c r="E643">
        <f>1</f>
        <v>1</v>
      </c>
      <c r="F643" t="str">
        <f>TRIM('Tabela Federal'!$D643)</f>
        <v>COCARBOXILASE</v>
      </c>
    </row>
    <row r="644" spans="4:6" x14ac:dyDescent="0.25">
      <c r="D644" t="s">
        <v>2648</v>
      </c>
      <c r="E644">
        <f>1</f>
        <v>1</v>
      </c>
      <c r="F644" t="str">
        <f>TRIM('Tabela Federal'!$D644)</f>
        <v>COLCHICINA</v>
      </c>
    </row>
    <row r="645" spans="4:6" x14ac:dyDescent="0.25">
      <c r="D645" t="s">
        <v>3524</v>
      </c>
      <c r="E645">
        <f>1</f>
        <v>1</v>
      </c>
      <c r="F645" t="str">
        <f>TRIM('Tabela Federal'!$D645)</f>
        <v>COLECALCIFEROL</v>
      </c>
    </row>
    <row r="646" spans="4:6" x14ac:dyDescent="0.25">
      <c r="D646" t="s">
        <v>3525</v>
      </c>
      <c r="E646">
        <f>1</f>
        <v>1</v>
      </c>
      <c r="F646" t="str">
        <f>TRIM('Tabela Federal'!$D646)</f>
        <v>COLESTIRAMINA</v>
      </c>
    </row>
    <row r="647" spans="4:6" x14ac:dyDescent="0.25">
      <c r="D647" t="s">
        <v>4373</v>
      </c>
      <c r="E647">
        <f>1</f>
        <v>1</v>
      </c>
      <c r="F647" t="str">
        <f>TRIM('Tabela Federal'!$D647)</f>
        <v>COLISTIMETATO DE SODIO</v>
      </c>
    </row>
    <row r="648" spans="4:6" x14ac:dyDescent="0.25">
      <c r="D648" t="s">
        <v>4374</v>
      </c>
      <c r="E648">
        <f>1</f>
        <v>1</v>
      </c>
      <c r="F648" t="str">
        <f>TRIM('Tabela Federal'!$D648)</f>
        <v>COMPLEXO BIOLOGICO DE GLICOSAMINOGLICANS</v>
      </c>
    </row>
    <row r="649" spans="4:6" x14ac:dyDescent="0.25">
      <c r="D649" t="s">
        <v>4300</v>
      </c>
      <c r="E649">
        <f>1</f>
        <v>1</v>
      </c>
      <c r="F649" t="str">
        <f>TRIM('Tabela Federal'!$D649)</f>
        <v>COMPLEXO PROTROMBINICO</v>
      </c>
    </row>
    <row r="650" spans="4:6" x14ac:dyDescent="0.25">
      <c r="D650" t="s">
        <v>4301</v>
      </c>
      <c r="E650">
        <f>1</f>
        <v>1</v>
      </c>
      <c r="F650" t="str">
        <f>TRIM('Tabela Federal'!$D650)</f>
        <v>COMPLEXO PROTROMBINICO PARCIALMENTE ATIVADO</v>
      </c>
    </row>
    <row r="651" spans="4:6" x14ac:dyDescent="0.25">
      <c r="D651" t="s">
        <v>3526</v>
      </c>
      <c r="E651">
        <f>1</f>
        <v>1</v>
      </c>
      <c r="F651" t="str">
        <f>TRIM('Tabela Federal'!$D651)</f>
        <v>CORYNEBACTERIUM PARVUM</v>
      </c>
    </row>
    <row r="652" spans="4:6" x14ac:dyDescent="0.25">
      <c r="D652" t="s">
        <v>4375</v>
      </c>
      <c r="E652">
        <f>1</f>
        <v>1</v>
      </c>
      <c r="F652" t="str">
        <f>TRIM('Tabela Federal'!$D652)</f>
        <v>CROMOGLICATO DISSODICO</v>
      </c>
    </row>
    <row r="653" spans="4:6" x14ac:dyDescent="0.25">
      <c r="D653" t="s">
        <v>2490</v>
      </c>
      <c r="E653">
        <f>1</f>
        <v>1</v>
      </c>
      <c r="F653" t="str">
        <f>TRIM('Tabela Federal'!$D653)</f>
        <v>CUMARINA</v>
      </c>
    </row>
    <row r="654" spans="4:6" x14ac:dyDescent="0.25">
      <c r="D654" t="s">
        <v>3527</v>
      </c>
      <c r="E654">
        <f>1</f>
        <v>1</v>
      </c>
      <c r="F654" t="str">
        <f>TRIM('Tabela Federal'!$D654)</f>
        <v>DACARBAZINA</v>
      </c>
    </row>
    <row r="655" spans="4:6" x14ac:dyDescent="0.25">
      <c r="D655" t="s">
        <v>3528</v>
      </c>
      <c r="E655">
        <f>1</f>
        <v>1</v>
      </c>
      <c r="F655" t="str">
        <f>TRIM('Tabela Federal'!$D655)</f>
        <v>DACLIZUMABE</v>
      </c>
    </row>
    <row r="656" spans="4:6" x14ac:dyDescent="0.25">
      <c r="D656" t="s">
        <v>3529</v>
      </c>
      <c r="E656">
        <f>1</f>
        <v>1</v>
      </c>
      <c r="F656" t="str">
        <f>TRIM('Tabela Federal'!$D656)</f>
        <v>DACTINOMICINA</v>
      </c>
    </row>
    <row r="657" spans="4:6" x14ac:dyDescent="0.25">
      <c r="D657" t="s">
        <v>3530</v>
      </c>
      <c r="E657">
        <f>1</f>
        <v>1</v>
      </c>
      <c r="F657" t="str">
        <f>TRIM('Tabela Federal'!$D657)</f>
        <v>DALFOPRISTINA</v>
      </c>
    </row>
    <row r="658" spans="4:6" x14ac:dyDescent="0.25">
      <c r="D658" t="s">
        <v>4376</v>
      </c>
      <c r="E658">
        <f>1</f>
        <v>1</v>
      </c>
      <c r="F658" t="str">
        <f>TRIM('Tabela Federal'!$D658)</f>
        <v>DALTEPARINA SODICA</v>
      </c>
    </row>
    <row r="659" spans="4:6" x14ac:dyDescent="0.25">
      <c r="D659" t="s">
        <v>3531</v>
      </c>
      <c r="E659">
        <f>1</f>
        <v>1</v>
      </c>
      <c r="F659" t="str">
        <f>TRIM('Tabela Federal'!$D659)</f>
        <v>DANAZOL</v>
      </c>
    </row>
    <row r="660" spans="4:6" x14ac:dyDescent="0.25">
      <c r="D660" t="s">
        <v>4377</v>
      </c>
      <c r="E660">
        <f>1</f>
        <v>1</v>
      </c>
      <c r="F660" t="str">
        <f>TRIM('Tabela Federal'!$D660)</f>
        <v>DANTROLENO SODICO</v>
      </c>
    </row>
    <row r="661" spans="4:6" x14ac:dyDescent="0.25">
      <c r="D661" t="s">
        <v>4548</v>
      </c>
      <c r="E661">
        <f>1</f>
        <v>1</v>
      </c>
      <c r="F661" t="str">
        <f>TRIM('Tabela Federal'!$D661)</f>
        <v>DAPAGLIFLOZINA</v>
      </c>
    </row>
    <row r="662" spans="4:6" x14ac:dyDescent="0.25">
      <c r="D662" t="s">
        <v>3532</v>
      </c>
      <c r="E662">
        <f>1</f>
        <v>1</v>
      </c>
      <c r="F662" t="str">
        <f>TRIM('Tabela Federal'!$D662)</f>
        <v>DAPSONA</v>
      </c>
    </row>
    <row r="663" spans="4:6" x14ac:dyDescent="0.25">
      <c r="D663" t="s">
        <v>4549</v>
      </c>
      <c r="E663">
        <f>1</f>
        <v>1</v>
      </c>
      <c r="F663" t="str">
        <f>TRIM('Tabela Federal'!$D663)</f>
        <v>DAPTOMICINA</v>
      </c>
    </row>
    <row r="664" spans="4:6" x14ac:dyDescent="0.25">
      <c r="D664" t="s">
        <v>4510</v>
      </c>
      <c r="E664">
        <f>1</f>
        <v>1</v>
      </c>
      <c r="F664" t="str">
        <f>TRIM('Tabela Federal'!$D664)</f>
        <v>DARUNAVIR</v>
      </c>
    </row>
    <row r="665" spans="4:6" x14ac:dyDescent="0.25">
      <c r="D665" t="s">
        <v>4550</v>
      </c>
      <c r="E665">
        <f>1</f>
        <v>1</v>
      </c>
      <c r="F665" t="str">
        <f>TRIM('Tabela Federal'!$D665)</f>
        <v>DASATINIBE</v>
      </c>
    </row>
    <row r="666" spans="4:6" x14ac:dyDescent="0.25">
      <c r="D666" t="s">
        <v>3533</v>
      </c>
      <c r="E666">
        <f>1</f>
        <v>1</v>
      </c>
      <c r="F666" t="str">
        <f>TRIM('Tabela Federal'!$D666)</f>
        <v>DECANOATO DE HALOPERIDOL</v>
      </c>
    </row>
    <row r="667" spans="4:6" x14ac:dyDescent="0.25">
      <c r="D667" t="s">
        <v>3534</v>
      </c>
      <c r="E667">
        <f>1</f>
        <v>1</v>
      </c>
      <c r="F667" t="str">
        <f>TRIM('Tabela Federal'!$D667)</f>
        <v>DECANOATO DE NANDROLONA</v>
      </c>
    </row>
    <row r="668" spans="4:6" x14ac:dyDescent="0.25">
      <c r="D668" t="s">
        <v>3535</v>
      </c>
      <c r="E668">
        <f>1</f>
        <v>1</v>
      </c>
      <c r="F668" t="str">
        <f>TRIM('Tabela Federal'!$D668)</f>
        <v>DECANOATO DE TESTOSTERONA</v>
      </c>
    </row>
    <row r="669" spans="4:6" x14ac:dyDescent="0.25">
      <c r="D669" t="s">
        <v>3536</v>
      </c>
      <c r="E669">
        <f>1</f>
        <v>1</v>
      </c>
      <c r="F669" t="str">
        <f>TRIM('Tabela Federal'!$D669)</f>
        <v>DECANOATO DE ZUCLOPENTIXOL</v>
      </c>
    </row>
    <row r="670" spans="4:6" x14ac:dyDescent="0.25">
      <c r="D670" t="s">
        <v>4551</v>
      </c>
      <c r="E670">
        <f>1</f>
        <v>1</v>
      </c>
      <c r="F670" t="str">
        <f>TRIM('Tabela Federal'!$D670)</f>
        <v>DECITABINA</v>
      </c>
    </row>
    <row r="671" spans="4:6" x14ac:dyDescent="0.25">
      <c r="D671" t="s">
        <v>3537</v>
      </c>
      <c r="E671">
        <f>1</f>
        <v>1</v>
      </c>
      <c r="F671" t="str">
        <f>TRIM('Tabela Federal'!$D671)</f>
        <v>DEFERASIROX</v>
      </c>
    </row>
    <row r="672" spans="4:6" x14ac:dyDescent="0.25">
      <c r="D672" t="s">
        <v>3538</v>
      </c>
      <c r="E672">
        <f>1</f>
        <v>1</v>
      </c>
      <c r="F672" t="str">
        <f>TRIM('Tabela Federal'!$D672)</f>
        <v>DEFERIPRONA</v>
      </c>
    </row>
    <row r="673" spans="4:6" x14ac:dyDescent="0.25">
      <c r="D673" t="s">
        <v>3539</v>
      </c>
      <c r="E673">
        <f>1</f>
        <v>1</v>
      </c>
      <c r="F673" t="str">
        <f>TRIM('Tabela Federal'!$D673)</f>
        <v>DEFLAZACORTE</v>
      </c>
    </row>
    <row r="674" spans="4:6" x14ac:dyDescent="0.25">
      <c r="D674" t="s">
        <v>3540</v>
      </c>
      <c r="E674">
        <f>1</f>
        <v>1</v>
      </c>
      <c r="F674" t="str">
        <f>TRIM('Tabela Federal'!$D674)</f>
        <v>DELAVIRDINA</v>
      </c>
    </row>
    <row r="675" spans="4:6" x14ac:dyDescent="0.25">
      <c r="D675" t="s">
        <v>3541</v>
      </c>
      <c r="E675">
        <f>1</f>
        <v>1</v>
      </c>
      <c r="F675" t="str">
        <f>TRIM('Tabela Federal'!$D675)</f>
        <v>DELTAEPOETINA</v>
      </c>
    </row>
    <row r="676" spans="4:6" x14ac:dyDescent="0.25">
      <c r="D676" t="s">
        <v>4552</v>
      </c>
      <c r="E676">
        <f>1</f>
        <v>1</v>
      </c>
      <c r="F676" t="str">
        <f>TRIM('Tabela Federal'!$D676)</f>
        <v>DENOSUMABE</v>
      </c>
    </row>
    <row r="677" spans="4:6" x14ac:dyDescent="0.25">
      <c r="D677" t="s">
        <v>3542</v>
      </c>
      <c r="E677">
        <f>1</f>
        <v>1</v>
      </c>
      <c r="F677" t="str">
        <f>TRIM('Tabela Federal'!$D677)</f>
        <v>DESFLURANO</v>
      </c>
    </row>
    <row r="678" spans="4:6" x14ac:dyDescent="0.25">
      <c r="D678" t="s">
        <v>4302</v>
      </c>
      <c r="E678">
        <f>1</f>
        <v>1</v>
      </c>
      <c r="F678" t="str">
        <f>TRIM('Tabela Federal'!$D678)</f>
        <v>DESLANOSIDEO</v>
      </c>
    </row>
    <row r="679" spans="4:6" x14ac:dyDescent="0.25">
      <c r="D679" t="s">
        <v>2635</v>
      </c>
      <c r="E679">
        <f>1</f>
        <v>1</v>
      </c>
      <c r="F679" t="str">
        <f>TRIM('Tabela Federal'!$D679)</f>
        <v>DESOGESTREL</v>
      </c>
    </row>
    <row r="680" spans="4:6" x14ac:dyDescent="0.25">
      <c r="D680" t="s">
        <v>2635</v>
      </c>
      <c r="E680">
        <f>1</f>
        <v>1</v>
      </c>
      <c r="F680" t="str">
        <f>TRIM('Tabela Federal'!$D680)</f>
        <v>DESOGESTREL</v>
      </c>
    </row>
    <row r="681" spans="4:6" x14ac:dyDescent="0.25">
      <c r="D681" t="s">
        <v>3543</v>
      </c>
      <c r="E681">
        <f>1</f>
        <v>1</v>
      </c>
      <c r="F681" t="str">
        <f>TRIM('Tabela Federal'!$D681)</f>
        <v>DESOXIMETASONA</v>
      </c>
    </row>
    <row r="682" spans="4:6" x14ac:dyDescent="0.25">
      <c r="D682" t="s">
        <v>3543</v>
      </c>
      <c r="E682">
        <f>1</f>
        <v>1</v>
      </c>
      <c r="F682" t="str">
        <f>TRIM('Tabela Federal'!$D682)</f>
        <v>DESOXIMETASONA</v>
      </c>
    </row>
    <row r="683" spans="4:6" x14ac:dyDescent="0.25">
      <c r="D683" t="s">
        <v>3544</v>
      </c>
      <c r="E683">
        <f>1</f>
        <v>1</v>
      </c>
      <c r="F683" t="str">
        <f>TRIM('Tabela Federal'!$D683)</f>
        <v>DESOXIRRIBONUCLEASE</v>
      </c>
    </row>
    <row r="684" spans="4:6" x14ac:dyDescent="0.25">
      <c r="D684" t="s">
        <v>3544</v>
      </c>
      <c r="E684">
        <f>1</f>
        <v>1</v>
      </c>
      <c r="F684" t="str">
        <f>TRIM('Tabela Federal'!$D684)</f>
        <v>DESOXIRRIBONUCLEASE</v>
      </c>
    </row>
    <row r="685" spans="4:6" x14ac:dyDescent="0.25">
      <c r="D685" t="s">
        <v>2442</v>
      </c>
      <c r="E685">
        <f>1</f>
        <v>1</v>
      </c>
      <c r="F685" t="str">
        <f>TRIM('Tabela Federal'!$D685)</f>
        <v>DEXAMETASONA</v>
      </c>
    </row>
    <row r="686" spans="4:6" x14ac:dyDescent="0.25">
      <c r="D686" t="s">
        <v>2442</v>
      </c>
      <c r="E686">
        <f>1</f>
        <v>1</v>
      </c>
      <c r="F686" t="str">
        <f>TRIM('Tabela Federal'!$D686)</f>
        <v>DEXAMETASONA</v>
      </c>
    </row>
    <row r="687" spans="4:6" x14ac:dyDescent="0.25">
      <c r="D687" t="s">
        <v>2442</v>
      </c>
      <c r="E687">
        <f>1</f>
        <v>1</v>
      </c>
      <c r="F687" t="str">
        <f>TRIM('Tabela Federal'!$D687)</f>
        <v>DEXAMETASONA</v>
      </c>
    </row>
    <row r="688" spans="4:6" x14ac:dyDescent="0.25">
      <c r="D688" t="s">
        <v>2442</v>
      </c>
      <c r="E688">
        <f>1</f>
        <v>1</v>
      </c>
      <c r="F688" t="str">
        <f>TRIM('Tabela Federal'!$D688)</f>
        <v>DEXAMETASONA</v>
      </c>
    </row>
    <row r="689" spans="4:6" x14ac:dyDescent="0.25">
      <c r="D689" t="s">
        <v>2442</v>
      </c>
      <c r="E689">
        <f>1</f>
        <v>1</v>
      </c>
      <c r="F689" t="str">
        <f>TRIM('Tabela Federal'!$D689)</f>
        <v>DEXAMETASONA</v>
      </c>
    </row>
    <row r="690" spans="4:6" x14ac:dyDescent="0.25">
      <c r="D690" t="s">
        <v>3545</v>
      </c>
      <c r="E690">
        <f>1</f>
        <v>1</v>
      </c>
      <c r="F690" t="str">
        <f>TRIM('Tabela Federal'!$D690)</f>
        <v>DEXPANTENOL</v>
      </c>
    </row>
    <row r="691" spans="4:6" x14ac:dyDescent="0.25">
      <c r="D691" t="s">
        <v>3545</v>
      </c>
      <c r="E691">
        <f>1</f>
        <v>1</v>
      </c>
      <c r="F691" t="str">
        <f>TRIM('Tabela Federal'!$D691)</f>
        <v>DEXPANTENOL</v>
      </c>
    </row>
    <row r="692" spans="4:6" x14ac:dyDescent="0.25">
      <c r="D692" t="s">
        <v>3546</v>
      </c>
      <c r="E692">
        <f>1</f>
        <v>1</v>
      </c>
      <c r="F692" t="str">
        <f>TRIM('Tabela Federal'!$D692)</f>
        <v>DEXTRANA</v>
      </c>
    </row>
    <row r="693" spans="4:6" x14ac:dyDescent="0.25">
      <c r="D693" t="s">
        <v>4303</v>
      </c>
      <c r="E693">
        <f>1</f>
        <v>1</v>
      </c>
      <c r="F693" t="str">
        <f>TRIM('Tabela Federal'!$D693)</f>
        <v>DIACEREINA</v>
      </c>
    </row>
    <row r="694" spans="4:6" x14ac:dyDescent="0.25">
      <c r="D694" t="s">
        <v>3547</v>
      </c>
      <c r="E694">
        <f>1</f>
        <v>1</v>
      </c>
      <c r="F694" t="str">
        <f>TRIM('Tabela Federal'!$D694)</f>
        <v>DIACETATO DE ETINODIOL</v>
      </c>
    </row>
    <row r="695" spans="4:6" x14ac:dyDescent="0.25">
      <c r="D695" t="s">
        <v>3548</v>
      </c>
      <c r="E695">
        <f>1</f>
        <v>1</v>
      </c>
      <c r="F695" t="str">
        <f>TRIM('Tabela Federal'!$D695)</f>
        <v>DIASTASE</v>
      </c>
    </row>
    <row r="696" spans="4:6" x14ac:dyDescent="0.25">
      <c r="D696" t="s">
        <v>3548</v>
      </c>
      <c r="E696">
        <f>1</f>
        <v>1</v>
      </c>
      <c r="F696" t="str">
        <f>TRIM('Tabela Federal'!$D696)</f>
        <v>DIASTASE</v>
      </c>
    </row>
    <row r="697" spans="4:6" x14ac:dyDescent="0.25">
      <c r="D697" t="s">
        <v>3549</v>
      </c>
      <c r="E697">
        <f>1</f>
        <v>1</v>
      </c>
      <c r="F697" t="str">
        <f>TRIM('Tabela Federal'!$D697)</f>
        <v>DIATRIZOATO DE MEGLUMINA</v>
      </c>
    </row>
    <row r="698" spans="4:6" x14ac:dyDescent="0.25">
      <c r="D698" t="s">
        <v>4378</v>
      </c>
      <c r="E698">
        <f>1</f>
        <v>1</v>
      </c>
      <c r="F698" t="str">
        <f>TRIM('Tabela Federal'!$D698)</f>
        <v>DIATRIZOATO DE SODIO</v>
      </c>
    </row>
    <row r="699" spans="4:6" x14ac:dyDescent="0.25">
      <c r="D699" t="s">
        <v>3550</v>
      </c>
      <c r="E699">
        <f>1</f>
        <v>1</v>
      </c>
      <c r="F699" t="str">
        <f>TRIM('Tabela Federal'!$D699)</f>
        <v>DIAZEPAM</v>
      </c>
    </row>
    <row r="700" spans="4:6" x14ac:dyDescent="0.25">
      <c r="D700" t="s">
        <v>4379</v>
      </c>
      <c r="E700">
        <f>1</f>
        <v>1</v>
      </c>
      <c r="F700" t="str">
        <f>TRIM('Tabela Federal'!$D700)</f>
        <v>DIAZOXIDO</v>
      </c>
    </row>
    <row r="701" spans="4:6" x14ac:dyDescent="0.25">
      <c r="D701" t="s">
        <v>3199</v>
      </c>
      <c r="E701">
        <f>1</f>
        <v>1</v>
      </c>
      <c r="F701" t="str">
        <f>TRIM('Tabela Federal'!$D701)</f>
        <v>DICLOFENACO</v>
      </c>
    </row>
    <row r="702" spans="4:6" x14ac:dyDescent="0.25">
      <c r="D702" t="s">
        <v>3551</v>
      </c>
      <c r="E702">
        <f>1</f>
        <v>1</v>
      </c>
      <c r="F702" t="str">
        <f>TRIM('Tabela Federal'!$D702)</f>
        <v>DICLOFENACO COLESTIRAMINA</v>
      </c>
    </row>
    <row r="703" spans="4:6" x14ac:dyDescent="0.25">
      <c r="D703" t="s">
        <v>2653</v>
      </c>
      <c r="E703">
        <f>1</f>
        <v>1</v>
      </c>
      <c r="F703" t="str">
        <f>TRIM('Tabela Federal'!$D703)</f>
        <v>DICLOFENACO DIETILAMONIO</v>
      </c>
    </row>
    <row r="704" spans="4:6" x14ac:dyDescent="0.25">
      <c r="D704" t="s">
        <v>3552</v>
      </c>
      <c r="E704">
        <f>1</f>
        <v>1</v>
      </c>
      <c r="F704" t="str">
        <f>TRIM('Tabela Federal'!$D704)</f>
        <v>DICLOFENACO EPOLAMINA</v>
      </c>
    </row>
    <row r="705" spans="4:6" x14ac:dyDescent="0.25">
      <c r="D705" t="s">
        <v>4210</v>
      </c>
      <c r="E705">
        <f>1</f>
        <v>1</v>
      </c>
      <c r="F705" t="str">
        <f>TRIM('Tabela Federal'!$D705)</f>
        <v>DICLOFENACO POTASSICO</v>
      </c>
    </row>
    <row r="706" spans="4:6" x14ac:dyDescent="0.25">
      <c r="D706" t="s">
        <v>4380</v>
      </c>
      <c r="E706">
        <f>1</f>
        <v>1</v>
      </c>
      <c r="F706" t="str">
        <f>TRIM('Tabela Federal'!$D706)</f>
        <v>DICLOFENACO SODICO</v>
      </c>
    </row>
    <row r="707" spans="4:6" x14ac:dyDescent="0.25">
      <c r="D707" t="s">
        <v>3553</v>
      </c>
      <c r="E707">
        <f>1</f>
        <v>1</v>
      </c>
      <c r="F707" t="str">
        <f>TRIM('Tabela Federal'!$D707)</f>
        <v>DICLORIDRATO DE CLOROQUINA</v>
      </c>
    </row>
    <row r="708" spans="4:6" x14ac:dyDescent="0.25">
      <c r="D708" t="s">
        <v>3554</v>
      </c>
      <c r="E708">
        <f>1</f>
        <v>1</v>
      </c>
      <c r="F708" t="str">
        <f>TRIM('Tabela Federal'!$D708)</f>
        <v>DICLORIDRATO DE FLUFENAZINA</v>
      </c>
    </row>
    <row r="709" spans="4:6" x14ac:dyDescent="0.25">
      <c r="D709" t="s">
        <v>2661</v>
      </c>
      <c r="E709">
        <f>1</f>
        <v>1</v>
      </c>
      <c r="F709" t="str">
        <f>TRIM('Tabela Federal'!$D709)</f>
        <v>DICLORIDRATO DE FLUNARIZINA</v>
      </c>
    </row>
    <row r="710" spans="4:6" x14ac:dyDescent="0.25">
      <c r="D710" t="s">
        <v>2661</v>
      </c>
      <c r="E710">
        <f>1</f>
        <v>1</v>
      </c>
      <c r="F710" t="str">
        <f>TRIM('Tabela Federal'!$D710)</f>
        <v>DICLORIDRATO DE FLUNARIZINA</v>
      </c>
    </row>
    <row r="711" spans="4:6" x14ac:dyDescent="0.25">
      <c r="D711" t="s">
        <v>3555</v>
      </c>
      <c r="E711">
        <f>1</f>
        <v>1</v>
      </c>
      <c r="F711" t="str">
        <f>TRIM('Tabela Federal'!$D711)</f>
        <v>DICLORIDRATO DE MANIDIPINO</v>
      </c>
    </row>
    <row r="712" spans="4:6" x14ac:dyDescent="0.25">
      <c r="D712" t="s">
        <v>3556</v>
      </c>
      <c r="E712">
        <f>1</f>
        <v>1</v>
      </c>
      <c r="F712" t="str">
        <f>TRIM('Tabela Federal'!$D712)</f>
        <v>DICLORIDRATO DE PRAMIPEXOL</v>
      </c>
    </row>
    <row r="713" spans="4:6" x14ac:dyDescent="0.25">
      <c r="D713" t="s">
        <v>3557</v>
      </c>
      <c r="E713">
        <f>1</f>
        <v>1</v>
      </c>
      <c r="F713" t="str">
        <f>TRIM('Tabela Federal'!$D713)</f>
        <v>DICLORIDRATO DE QUININA</v>
      </c>
    </row>
    <row r="714" spans="4:6" x14ac:dyDescent="0.25">
      <c r="D714" t="s">
        <v>3558</v>
      </c>
      <c r="E714">
        <f>1</f>
        <v>1</v>
      </c>
      <c r="F714" t="str">
        <f>TRIM('Tabela Federal'!$D714)</f>
        <v>DICLORIDRATO DE TRIFLUOPERAZINA</v>
      </c>
    </row>
    <row r="715" spans="4:6" x14ac:dyDescent="0.25">
      <c r="D715" t="s">
        <v>3558</v>
      </c>
      <c r="E715">
        <f>1</f>
        <v>1</v>
      </c>
      <c r="F715" t="str">
        <f>TRIM('Tabela Federal'!$D715)</f>
        <v>DICLORIDRATO DE TRIFLUOPERAZINA</v>
      </c>
    </row>
    <row r="716" spans="4:6" x14ac:dyDescent="0.25">
      <c r="D716" t="s">
        <v>3559</v>
      </c>
      <c r="E716">
        <f>1</f>
        <v>1</v>
      </c>
      <c r="F716" t="str">
        <f>TRIM('Tabela Federal'!$D716)</f>
        <v>DICLORIDRATO DE ZUCLOPENTIXOL</v>
      </c>
    </row>
    <row r="717" spans="4:6" x14ac:dyDescent="0.25">
      <c r="D717" t="s">
        <v>3560</v>
      </c>
      <c r="E717">
        <f>1</f>
        <v>1</v>
      </c>
      <c r="F717" t="str">
        <f>TRIM('Tabela Federal'!$D717)</f>
        <v>DIDANOSINA</v>
      </c>
    </row>
    <row r="718" spans="4:6" x14ac:dyDescent="0.25">
      <c r="D718" t="s">
        <v>3561</v>
      </c>
      <c r="E718">
        <f>1</f>
        <v>1</v>
      </c>
      <c r="F718" t="str">
        <f>TRIM('Tabela Federal'!$D718)</f>
        <v>DIDROGESTERONA</v>
      </c>
    </row>
    <row r="719" spans="4:6" x14ac:dyDescent="0.25">
      <c r="D719" t="s">
        <v>3562</v>
      </c>
      <c r="E719">
        <f>1</f>
        <v>1</v>
      </c>
      <c r="F719" t="str">
        <f>TRIM('Tabela Federal'!$D719)</f>
        <v>DIETILESTILBESTROL</v>
      </c>
    </row>
    <row r="720" spans="4:6" x14ac:dyDescent="0.25">
      <c r="D720" t="s">
        <v>3563</v>
      </c>
      <c r="E720">
        <f>1</f>
        <v>1</v>
      </c>
      <c r="F720" t="str">
        <f>TRIM('Tabela Federal'!$D720)</f>
        <v>DIFOSFATO DE CLOROQUINA</v>
      </c>
    </row>
    <row r="721" spans="4:6" x14ac:dyDescent="0.25">
      <c r="D721" t="s">
        <v>3564</v>
      </c>
      <c r="E721">
        <f>1</f>
        <v>1</v>
      </c>
      <c r="F721" t="str">
        <f>TRIM('Tabela Federal'!$D721)</f>
        <v>DIFOSFATO DE DIETILESTILBESTROL</v>
      </c>
    </row>
    <row r="722" spans="4:6" x14ac:dyDescent="0.25">
      <c r="D722" t="s">
        <v>4381</v>
      </c>
      <c r="E722">
        <f>1</f>
        <v>1</v>
      </c>
      <c r="F722" t="str">
        <f>TRIM('Tabela Federal'!$D722)</f>
        <v>DIFOSFATO DE DIETILESTILBESTROL TETRASSODICO</v>
      </c>
    </row>
    <row r="723" spans="4:6" x14ac:dyDescent="0.25">
      <c r="D723" t="s">
        <v>3565</v>
      </c>
      <c r="E723">
        <f>1</f>
        <v>1</v>
      </c>
      <c r="F723" t="str">
        <f>TRIM('Tabela Federal'!$D723)</f>
        <v>DIFOSFATO DE PRIMAQUINA</v>
      </c>
    </row>
    <row r="724" spans="4:6" x14ac:dyDescent="0.25">
      <c r="D724" t="s">
        <v>3566</v>
      </c>
      <c r="E724">
        <f>1</f>
        <v>1</v>
      </c>
      <c r="F724" t="str">
        <f>TRIM('Tabela Federal'!$D724)</f>
        <v>DIFUMARATO DE EMEDASTINA</v>
      </c>
    </row>
    <row r="725" spans="4:6" x14ac:dyDescent="0.25">
      <c r="D725" t="s">
        <v>3567</v>
      </c>
      <c r="E725">
        <f>1</f>
        <v>1</v>
      </c>
      <c r="F725" t="str">
        <f>TRIM('Tabela Federal'!$D725)</f>
        <v>DIGITOXINA</v>
      </c>
    </row>
    <row r="726" spans="4:6" x14ac:dyDescent="0.25">
      <c r="D726" t="s">
        <v>2654</v>
      </c>
      <c r="E726">
        <f>1</f>
        <v>1</v>
      </c>
      <c r="F726" t="str">
        <f>TRIM('Tabela Federal'!$D726)</f>
        <v>DIGOXINA</v>
      </c>
    </row>
    <row r="727" spans="4:6" x14ac:dyDescent="0.25">
      <c r="D727" t="s">
        <v>3568</v>
      </c>
      <c r="E727">
        <f>1</f>
        <v>1</v>
      </c>
      <c r="F727" t="str">
        <f>TRIM('Tabela Federal'!$D727)</f>
        <v>DIIDROGENOFOSFATO DE RILMENIDINA</v>
      </c>
    </row>
    <row r="728" spans="4:6" x14ac:dyDescent="0.25">
      <c r="D728" t="s">
        <v>4553</v>
      </c>
      <c r="E728">
        <f>1</f>
        <v>1</v>
      </c>
      <c r="F728" t="str">
        <f>TRIM('Tabela Federal'!$D728)</f>
        <v>DIMEBOLINA</v>
      </c>
    </row>
    <row r="729" spans="4:6" x14ac:dyDescent="0.25">
      <c r="D729" t="s">
        <v>3569</v>
      </c>
      <c r="E729">
        <f>1</f>
        <v>1</v>
      </c>
      <c r="F729" t="str">
        <f>TRIM('Tabela Federal'!$D729)</f>
        <v>DIMERCAPROL</v>
      </c>
    </row>
    <row r="730" spans="4:6" x14ac:dyDescent="0.25">
      <c r="D730" t="s">
        <v>3570</v>
      </c>
      <c r="E730">
        <f>1</f>
        <v>1</v>
      </c>
      <c r="F730" t="str">
        <f>TRIM('Tabela Federal'!$D730)</f>
        <v>DIMESILATO DE ALMITRINA</v>
      </c>
    </row>
    <row r="731" spans="4:6" x14ac:dyDescent="0.25">
      <c r="D731" t="s">
        <v>2789</v>
      </c>
      <c r="E731">
        <f>1</f>
        <v>1</v>
      </c>
      <c r="F731" t="str">
        <f>TRIM('Tabela Federal'!$D731)</f>
        <v>DIMETICONA</v>
      </c>
    </row>
    <row r="732" spans="4:6" x14ac:dyDescent="0.25">
      <c r="D732" t="s">
        <v>2789</v>
      </c>
      <c r="E732">
        <f>1</f>
        <v>1</v>
      </c>
      <c r="F732" t="str">
        <f>TRIM('Tabela Federal'!$D732)</f>
        <v>DIMETICONA</v>
      </c>
    </row>
    <row r="733" spans="4:6" x14ac:dyDescent="0.25">
      <c r="D733" t="s">
        <v>2789</v>
      </c>
      <c r="E733">
        <f>1</f>
        <v>1</v>
      </c>
      <c r="F733" t="str">
        <f>TRIM('Tabela Federal'!$D733)</f>
        <v>DIMETICONA</v>
      </c>
    </row>
    <row r="734" spans="4:6" x14ac:dyDescent="0.25">
      <c r="D734" t="s">
        <v>2789</v>
      </c>
      <c r="E734">
        <f>1</f>
        <v>1</v>
      </c>
      <c r="F734" t="str">
        <f>TRIM('Tabela Federal'!$D734)</f>
        <v>DIMETICONA</v>
      </c>
    </row>
    <row r="735" spans="4:6" x14ac:dyDescent="0.25">
      <c r="D735" t="s">
        <v>2663</v>
      </c>
      <c r="E735">
        <f>1</f>
        <v>1</v>
      </c>
      <c r="F735" t="str">
        <f>TRIM('Tabela Federal'!$D735)</f>
        <v>DINITRATO DE ISOSSORBIDA</v>
      </c>
    </row>
    <row r="736" spans="4:6" x14ac:dyDescent="0.25">
      <c r="D736" t="s">
        <v>3571</v>
      </c>
      <c r="E736">
        <f>1</f>
        <v>1</v>
      </c>
      <c r="F736" t="str">
        <f>TRIM('Tabela Federal'!$D736)</f>
        <v>DINOPROSTONA</v>
      </c>
    </row>
    <row r="737" spans="4:6" x14ac:dyDescent="0.25">
      <c r="D737" t="s">
        <v>3572</v>
      </c>
      <c r="E737">
        <f>1</f>
        <v>1</v>
      </c>
      <c r="F737" t="str">
        <f>TRIM('Tabela Federal'!$D737)</f>
        <v>DIPIRIDAMOL</v>
      </c>
    </row>
    <row r="738" spans="4:6" x14ac:dyDescent="0.25">
      <c r="D738" t="s">
        <v>2446</v>
      </c>
      <c r="E738">
        <f>1</f>
        <v>1</v>
      </c>
      <c r="F738" t="str">
        <f>TRIM('Tabela Federal'!$D738)</f>
        <v>DIPROPIONATO DE BECLOMETASONA</v>
      </c>
    </row>
    <row r="739" spans="4:6" x14ac:dyDescent="0.25">
      <c r="D739" t="s">
        <v>2446</v>
      </c>
      <c r="E739">
        <f>1</f>
        <v>1</v>
      </c>
      <c r="F739" t="str">
        <f>TRIM('Tabela Federal'!$D739)</f>
        <v>DIPROPIONATO DE BECLOMETASONA</v>
      </c>
    </row>
    <row r="740" spans="4:6" x14ac:dyDescent="0.25">
      <c r="D740" t="s">
        <v>2446</v>
      </c>
      <c r="E740">
        <f>1</f>
        <v>1</v>
      </c>
      <c r="F740" t="str">
        <f>TRIM('Tabela Federal'!$D740)</f>
        <v>DIPROPIONATO DE BECLOMETASONA</v>
      </c>
    </row>
    <row r="741" spans="4:6" x14ac:dyDescent="0.25">
      <c r="D741" t="s">
        <v>3573</v>
      </c>
      <c r="E741">
        <f>1</f>
        <v>1</v>
      </c>
      <c r="F741" t="str">
        <f>TRIM('Tabela Federal'!$D741)</f>
        <v>DIPROPIONATO DE BETAMETASONA</v>
      </c>
    </row>
    <row r="742" spans="4:6" x14ac:dyDescent="0.25">
      <c r="D742" t="s">
        <v>3574</v>
      </c>
      <c r="E742">
        <f>1</f>
        <v>1</v>
      </c>
      <c r="F742" t="str">
        <f>TRIM('Tabela Federal'!$D742)</f>
        <v>DIRITROMICINA</v>
      </c>
    </row>
    <row r="743" spans="4:6" x14ac:dyDescent="0.25">
      <c r="D743" t="s">
        <v>3575</v>
      </c>
      <c r="E743">
        <f>1</f>
        <v>1</v>
      </c>
      <c r="F743" t="str">
        <f>TRIM('Tabela Federal'!$D743)</f>
        <v>DISSULFIRAM</v>
      </c>
    </row>
    <row r="744" spans="4:6" x14ac:dyDescent="0.25">
      <c r="D744" t="s">
        <v>4554</v>
      </c>
      <c r="E744">
        <f>1</f>
        <v>1</v>
      </c>
      <c r="F744" t="str">
        <f>TRIM('Tabela Federal'!$D744)</f>
        <v>DITOSILATO DE LAPATINIBE</v>
      </c>
    </row>
    <row r="745" spans="4:6" x14ac:dyDescent="0.25">
      <c r="D745" t="s">
        <v>4382</v>
      </c>
      <c r="E745">
        <f>1</f>
        <v>1</v>
      </c>
      <c r="F745" t="str">
        <f>TRIM('Tabela Federal'!$D745)</f>
        <v>DIVALPROATO DE SODIO</v>
      </c>
    </row>
    <row r="746" spans="4:6" x14ac:dyDescent="0.25">
      <c r="D746" t="s">
        <v>3576</v>
      </c>
      <c r="E746">
        <f>1</f>
        <v>1</v>
      </c>
      <c r="F746" t="str">
        <f>TRIM('Tabela Federal'!$D746)</f>
        <v>DOCETAXEL</v>
      </c>
    </row>
    <row r="747" spans="4:6" x14ac:dyDescent="0.25">
      <c r="D747" t="s">
        <v>3577</v>
      </c>
      <c r="E747">
        <f>1</f>
        <v>1</v>
      </c>
      <c r="F747" t="str">
        <f>TRIM('Tabela Federal'!$D747)</f>
        <v>DOXAZOSINA</v>
      </c>
    </row>
    <row r="748" spans="4:6" x14ac:dyDescent="0.25">
      <c r="D748" t="s">
        <v>4555</v>
      </c>
      <c r="E748">
        <f>1</f>
        <v>1</v>
      </c>
      <c r="F748" t="str">
        <f>TRIM('Tabela Federal'!$D748)</f>
        <v>DOXERCALCIFEROL</v>
      </c>
    </row>
    <row r="749" spans="4:6" x14ac:dyDescent="0.25">
      <c r="D749" t="s">
        <v>3578</v>
      </c>
      <c r="E749">
        <f>1</f>
        <v>1</v>
      </c>
      <c r="F749" t="str">
        <f>TRIM('Tabela Federal'!$D749)</f>
        <v>DOXICICLINA MONOIDRATADA</v>
      </c>
    </row>
    <row r="750" spans="4:6" x14ac:dyDescent="0.25">
      <c r="D750" t="s">
        <v>3579</v>
      </c>
      <c r="E750">
        <f>1</f>
        <v>1</v>
      </c>
      <c r="F750" t="str">
        <f>TRIM('Tabela Federal'!$D750)</f>
        <v>DOXOFILINA</v>
      </c>
    </row>
    <row r="751" spans="4:6" x14ac:dyDescent="0.25">
      <c r="D751" t="s">
        <v>3580</v>
      </c>
      <c r="E751">
        <f>1</f>
        <v>1</v>
      </c>
      <c r="F751" t="str">
        <f>TRIM('Tabela Federal'!$D751)</f>
        <v>DROPERIDOL</v>
      </c>
    </row>
    <row r="752" spans="4:6" x14ac:dyDescent="0.25">
      <c r="D752" t="s">
        <v>2708</v>
      </c>
      <c r="E752">
        <f>1</f>
        <v>1</v>
      </c>
      <c r="F752" t="str">
        <f>TRIM('Tabela Federal'!$D752)</f>
        <v>DROSPIRENONA</v>
      </c>
    </row>
    <row r="753" spans="4:6" x14ac:dyDescent="0.25">
      <c r="D753" t="s">
        <v>2708</v>
      </c>
      <c r="E753">
        <f>1</f>
        <v>1</v>
      </c>
      <c r="F753" t="str">
        <f>TRIM('Tabela Federal'!$D753)</f>
        <v>DROSPIRENONA</v>
      </c>
    </row>
    <row r="754" spans="4:6" x14ac:dyDescent="0.25">
      <c r="D754" t="s">
        <v>3581</v>
      </c>
      <c r="E754">
        <f>1</f>
        <v>1</v>
      </c>
      <c r="F754" t="str">
        <f>TRIM('Tabela Federal'!$D754)</f>
        <v>DROXICAM</v>
      </c>
    </row>
    <row r="755" spans="4:6" x14ac:dyDescent="0.25">
      <c r="D755" t="s">
        <v>4556</v>
      </c>
      <c r="E755">
        <f>1</f>
        <v>1</v>
      </c>
      <c r="F755" t="str">
        <f>TRIM('Tabela Federal'!$D755)</f>
        <v>DUTASTERIDA</v>
      </c>
    </row>
    <row r="756" spans="4:6" x14ac:dyDescent="0.25">
      <c r="D756" t="s">
        <v>3582</v>
      </c>
      <c r="E756">
        <f>1</f>
        <v>1</v>
      </c>
      <c r="F756" t="str">
        <f>TRIM('Tabela Federal'!$D756)</f>
        <v>EFALIZUMABE</v>
      </c>
    </row>
    <row r="757" spans="4:6" x14ac:dyDescent="0.25">
      <c r="D757" t="s">
        <v>3583</v>
      </c>
      <c r="E757">
        <f>1</f>
        <v>1</v>
      </c>
      <c r="F757" t="str">
        <f>TRIM('Tabela Federal'!$D757)</f>
        <v>EFAVIRENZ</v>
      </c>
    </row>
    <row r="758" spans="4:6" x14ac:dyDescent="0.25">
      <c r="D758" t="s">
        <v>3583</v>
      </c>
      <c r="E758">
        <f>1</f>
        <v>1</v>
      </c>
      <c r="F758" t="str">
        <f>TRIM('Tabela Federal'!$D758)</f>
        <v>EFAVIRENZ</v>
      </c>
    </row>
    <row r="759" spans="4:6" x14ac:dyDescent="0.25">
      <c r="D759" t="s">
        <v>3584</v>
      </c>
      <c r="E759">
        <f>1</f>
        <v>1</v>
      </c>
      <c r="F759" t="str">
        <f>TRIM('Tabela Federal'!$D759)</f>
        <v>EMBONATO DE IMIPRAMINA</v>
      </c>
    </row>
    <row r="760" spans="4:6" x14ac:dyDescent="0.25">
      <c r="D760" t="s">
        <v>3585</v>
      </c>
      <c r="E760">
        <f>1</f>
        <v>1</v>
      </c>
      <c r="F760" t="str">
        <f>TRIM('Tabela Federal'!$D760)</f>
        <v>EMBONATO DE TRIPTORRELINA</v>
      </c>
    </row>
    <row r="761" spans="4:6" x14ac:dyDescent="0.25">
      <c r="D761" t="s">
        <v>3586</v>
      </c>
      <c r="E761">
        <f>1</f>
        <v>1</v>
      </c>
      <c r="F761" t="str">
        <f>TRIM('Tabela Federal'!$D761)</f>
        <v>ENALAPRILATE</v>
      </c>
    </row>
    <row r="762" spans="4:6" x14ac:dyDescent="0.25">
      <c r="D762" t="s">
        <v>3587</v>
      </c>
      <c r="E762">
        <f>1</f>
        <v>1</v>
      </c>
      <c r="F762" t="str">
        <f>TRIM('Tabela Federal'!$D762)</f>
        <v>ENANTATO DE FLUFENAZINA</v>
      </c>
    </row>
    <row r="763" spans="4:6" x14ac:dyDescent="0.25">
      <c r="D763" t="s">
        <v>3588</v>
      </c>
      <c r="E763">
        <f>1</f>
        <v>1</v>
      </c>
      <c r="F763" t="str">
        <f>TRIM('Tabela Federal'!$D763)</f>
        <v>ENANTATO DE HIDROXIPROGESTERONA</v>
      </c>
    </row>
    <row r="764" spans="4:6" x14ac:dyDescent="0.25">
      <c r="D764" t="s">
        <v>3589</v>
      </c>
      <c r="E764">
        <f>1</f>
        <v>1</v>
      </c>
      <c r="F764" t="str">
        <f>TRIM('Tabela Federal'!$D764)</f>
        <v>ENANTATO DE NORETISTERONA</v>
      </c>
    </row>
    <row r="765" spans="4:6" x14ac:dyDescent="0.25">
      <c r="D765" t="s">
        <v>3590</v>
      </c>
      <c r="E765">
        <f>1</f>
        <v>1</v>
      </c>
      <c r="F765" t="str">
        <f>TRIM('Tabela Federal'!$D765)</f>
        <v>ENFLURANO</v>
      </c>
    </row>
    <row r="766" spans="4:6" x14ac:dyDescent="0.25">
      <c r="D766" t="s">
        <v>3591</v>
      </c>
      <c r="E766">
        <f>1</f>
        <v>1</v>
      </c>
      <c r="F766" t="str">
        <f>TRIM('Tabela Federal'!$D766)</f>
        <v>ENFUVIRTIDA</v>
      </c>
    </row>
    <row r="767" spans="4:6" x14ac:dyDescent="0.25">
      <c r="D767" t="s">
        <v>4383</v>
      </c>
      <c r="E767">
        <f>1</f>
        <v>1</v>
      </c>
      <c r="F767" t="str">
        <f>TRIM('Tabela Federal'!$D767)</f>
        <v>ENOXAPARINA SODICA</v>
      </c>
    </row>
    <row r="768" spans="4:6" x14ac:dyDescent="0.25">
      <c r="D768" t="s">
        <v>3592</v>
      </c>
      <c r="E768">
        <f>1</f>
        <v>1</v>
      </c>
      <c r="F768" t="str">
        <f>TRIM('Tabela Federal'!$D768)</f>
        <v>ENTACAPONA</v>
      </c>
    </row>
    <row r="769" spans="4:6" x14ac:dyDescent="0.25">
      <c r="D769" t="s">
        <v>3593</v>
      </c>
      <c r="E769">
        <f>1</f>
        <v>1</v>
      </c>
      <c r="F769" t="str">
        <f>TRIM('Tabela Federal'!$D769)</f>
        <v>ENTECAVIR</v>
      </c>
    </row>
    <row r="770" spans="4:6" x14ac:dyDescent="0.25">
      <c r="D770" t="s">
        <v>3594</v>
      </c>
      <c r="E770">
        <f>1</f>
        <v>1</v>
      </c>
      <c r="F770" t="str">
        <f>TRIM('Tabela Federal'!$D770)</f>
        <v>ENTRICITABINA</v>
      </c>
    </row>
    <row r="771" spans="4:6" x14ac:dyDescent="0.25">
      <c r="D771" t="s">
        <v>3595</v>
      </c>
      <c r="E771">
        <f>1</f>
        <v>1</v>
      </c>
      <c r="F771" t="str">
        <f>TRIM('Tabela Federal'!$D771)</f>
        <v>EPIRIZOL</v>
      </c>
    </row>
    <row r="772" spans="4:6" x14ac:dyDescent="0.25">
      <c r="D772" t="s">
        <v>3596</v>
      </c>
      <c r="E772">
        <f>1</f>
        <v>1</v>
      </c>
      <c r="F772" t="str">
        <f>TRIM('Tabela Federal'!$D772)</f>
        <v>EPLERENONA</v>
      </c>
    </row>
    <row r="773" spans="4:6" x14ac:dyDescent="0.25">
      <c r="D773" t="s">
        <v>3597</v>
      </c>
      <c r="E773">
        <f>1</f>
        <v>1</v>
      </c>
      <c r="F773" t="str">
        <f>TRIM('Tabela Federal'!$D773)</f>
        <v>ERGOCALCIFEROL</v>
      </c>
    </row>
    <row r="774" spans="4:6" x14ac:dyDescent="0.25">
      <c r="D774" t="s">
        <v>4384</v>
      </c>
      <c r="E774">
        <f>1</f>
        <v>1</v>
      </c>
      <c r="F774" t="str">
        <f>TRIM('Tabela Federal'!$D774)</f>
        <v>ERTAPENEM SODICO</v>
      </c>
    </row>
    <row r="775" spans="4:6" x14ac:dyDescent="0.25">
      <c r="D775" t="s">
        <v>4249</v>
      </c>
      <c r="E775">
        <f>1</f>
        <v>1</v>
      </c>
      <c r="F775" t="str">
        <f>TRIM('Tabela Federal'!$D775)</f>
        <v>ESOMEPRAZOL MAGNESIO</v>
      </c>
    </row>
    <row r="776" spans="4:6" x14ac:dyDescent="0.25">
      <c r="D776" t="s">
        <v>4249</v>
      </c>
      <c r="E776">
        <f>1</f>
        <v>1</v>
      </c>
      <c r="F776" t="str">
        <f>TRIM('Tabela Federal'!$D776)</f>
        <v>ESOMEPRAZOL MAGNESIO</v>
      </c>
    </row>
    <row r="777" spans="4:6" x14ac:dyDescent="0.25">
      <c r="D777" t="s">
        <v>4385</v>
      </c>
      <c r="E777">
        <f>1</f>
        <v>1</v>
      </c>
      <c r="F777" t="str">
        <f>TRIM('Tabela Federal'!$D777)</f>
        <v>ESOMEPRAZOL SODICO</v>
      </c>
    </row>
    <row r="778" spans="4:6" x14ac:dyDescent="0.25">
      <c r="D778" t="s">
        <v>3598</v>
      </c>
      <c r="E778">
        <f>1</f>
        <v>1</v>
      </c>
      <c r="F778" t="str">
        <f>TRIM('Tabela Federal'!$D778)</f>
        <v>ESPIRAMICINA</v>
      </c>
    </row>
    <row r="779" spans="4:6" x14ac:dyDescent="0.25">
      <c r="D779" t="s">
        <v>3598</v>
      </c>
      <c r="E779">
        <f>1</f>
        <v>1</v>
      </c>
      <c r="F779" t="str">
        <f>TRIM('Tabela Federal'!$D779)</f>
        <v>ESPIRAMICINA</v>
      </c>
    </row>
    <row r="780" spans="4:6" x14ac:dyDescent="0.25">
      <c r="D780" t="s">
        <v>3599</v>
      </c>
      <c r="E780">
        <f>1</f>
        <v>1</v>
      </c>
      <c r="F780" t="str">
        <f>TRIM('Tabela Federal'!$D780)</f>
        <v>ESPIRONOLACTONA</v>
      </c>
    </row>
    <row r="781" spans="4:6" x14ac:dyDescent="0.25">
      <c r="D781" t="s">
        <v>3599</v>
      </c>
      <c r="E781">
        <f>1</f>
        <v>1</v>
      </c>
      <c r="F781" t="str">
        <f>TRIM('Tabela Federal'!$D781)</f>
        <v>ESPIRONOLACTONA</v>
      </c>
    </row>
    <row r="782" spans="4:6" x14ac:dyDescent="0.25">
      <c r="D782" t="s">
        <v>3599</v>
      </c>
      <c r="E782">
        <f>1</f>
        <v>1</v>
      </c>
      <c r="F782" t="str">
        <f>TRIM('Tabela Federal'!$D782)</f>
        <v>ESPIRONOLACTONA</v>
      </c>
    </row>
    <row r="783" spans="4:6" x14ac:dyDescent="0.25">
      <c r="D783" t="s">
        <v>3600</v>
      </c>
      <c r="E783">
        <f>1</f>
        <v>1</v>
      </c>
      <c r="F783" t="str">
        <f>TRIM('Tabela Federal'!$D783)</f>
        <v>ESTAVUDINA</v>
      </c>
    </row>
    <row r="784" spans="4:6" x14ac:dyDescent="0.25">
      <c r="D784" t="s">
        <v>3601</v>
      </c>
      <c r="E784">
        <f>1</f>
        <v>1</v>
      </c>
      <c r="F784" t="str">
        <f>TRIM('Tabela Federal'!$D784)</f>
        <v>ESTAZOLAM</v>
      </c>
    </row>
    <row r="785" spans="4:6" x14ac:dyDescent="0.25">
      <c r="D785" t="s">
        <v>3602</v>
      </c>
      <c r="E785">
        <f>1</f>
        <v>1</v>
      </c>
      <c r="F785" t="str">
        <f>TRIM('Tabela Federal'!$D785)</f>
        <v>ESTEARATO DE ERITROMICINA</v>
      </c>
    </row>
    <row r="786" spans="4:6" x14ac:dyDescent="0.25">
      <c r="D786" t="s">
        <v>4386</v>
      </c>
      <c r="E786">
        <f>1</f>
        <v>1</v>
      </c>
      <c r="F786" t="str">
        <f>TRIM('Tabela Federal'!$D786)</f>
        <v>ESTER ETILICO DO OLEO DE PAPOULA IODADO</v>
      </c>
    </row>
    <row r="787" spans="4:6" x14ac:dyDescent="0.25">
      <c r="D787" t="s">
        <v>3603</v>
      </c>
      <c r="E787">
        <f>1</f>
        <v>1</v>
      </c>
      <c r="F787" t="str">
        <f>TRIM('Tabela Federal'!$D787)</f>
        <v>ESTOLATO DE ERITROMICINA</v>
      </c>
    </row>
    <row r="788" spans="4:6" x14ac:dyDescent="0.25">
      <c r="D788" t="s">
        <v>2659</v>
      </c>
      <c r="E788">
        <f>1</f>
        <v>1</v>
      </c>
      <c r="F788" t="str">
        <f>TRIM('Tabela Federal'!$D788)</f>
        <v>ESTRADIOL</v>
      </c>
    </row>
    <row r="789" spans="4:6" x14ac:dyDescent="0.25">
      <c r="D789" t="s">
        <v>2659</v>
      </c>
      <c r="E789">
        <f>1</f>
        <v>1</v>
      </c>
      <c r="F789" t="str">
        <f>TRIM('Tabela Federal'!$D789)</f>
        <v>ESTRADIOL</v>
      </c>
    </row>
    <row r="790" spans="4:6" x14ac:dyDescent="0.25">
      <c r="D790" t="s">
        <v>2659</v>
      </c>
      <c r="E790">
        <f>1</f>
        <v>1</v>
      </c>
      <c r="F790" t="str">
        <f>TRIM('Tabela Federal'!$D790)</f>
        <v>ESTRADIOL</v>
      </c>
    </row>
    <row r="791" spans="4:6" x14ac:dyDescent="0.25">
      <c r="D791" t="s">
        <v>2659</v>
      </c>
      <c r="E791">
        <f>1</f>
        <v>1</v>
      </c>
      <c r="F791" t="str">
        <f>TRIM('Tabela Federal'!$D791)</f>
        <v>ESTRADIOL</v>
      </c>
    </row>
    <row r="792" spans="4:6" x14ac:dyDescent="0.25">
      <c r="D792" t="s">
        <v>2659</v>
      </c>
      <c r="E792">
        <f>1</f>
        <v>1</v>
      </c>
      <c r="F792" t="str">
        <f>TRIM('Tabela Federal'!$D792)</f>
        <v>ESTRADIOL</v>
      </c>
    </row>
    <row r="793" spans="4:6" x14ac:dyDescent="0.25">
      <c r="D793" t="s">
        <v>2659</v>
      </c>
      <c r="E793">
        <f>1</f>
        <v>1</v>
      </c>
      <c r="F793" t="str">
        <f>TRIM('Tabela Federal'!$D793)</f>
        <v>ESTRADIOL</v>
      </c>
    </row>
    <row r="794" spans="4:6" x14ac:dyDescent="0.25">
      <c r="D794" t="s">
        <v>3604</v>
      </c>
      <c r="E794">
        <f>1</f>
        <v>1</v>
      </c>
      <c r="F794" t="str">
        <f>TRIM('Tabela Federal'!$D794)</f>
        <v>ESTREPTOQUINASE</v>
      </c>
    </row>
    <row r="795" spans="4:6" x14ac:dyDescent="0.25">
      <c r="D795" t="s">
        <v>3605</v>
      </c>
      <c r="E795">
        <f>1</f>
        <v>1</v>
      </c>
      <c r="F795" t="str">
        <f>TRIM('Tabela Federal'!$D795)</f>
        <v>ESTRIOL</v>
      </c>
    </row>
    <row r="796" spans="4:6" x14ac:dyDescent="0.25">
      <c r="D796" t="s">
        <v>4250</v>
      </c>
      <c r="E796">
        <f>1</f>
        <v>1</v>
      </c>
      <c r="F796" t="str">
        <f>TRIM('Tabela Federal'!$D796)</f>
        <v>ESTROGENIOS CONJUGADOS</v>
      </c>
    </row>
    <row r="797" spans="4:6" x14ac:dyDescent="0.25">
      <c r="D797" t="s">
        <v>3606</v>
      </c>
      <c r="E797">
        <f>1</f>
        <v>1</v>
      </c>
      <c r="F797" t="str">
        <f>TRIM('Tabela Federal'!$D797)</f>
        <v>ETABONATO DE LOTEPREDNOL</v>
      </c>
    </row>
    <row r="798" spans="4:6" x14ac:dyDescent="0.25">
      <c r="D798" t="s">
        <v>3607</v>
      </c>
      <c r="E798">
        <f>1</f>
        <v>1</v>
      </c>
      <c r="F798" t="str">
        <f>TRIM('Tabela Federal'!$D798)</f>
        <v>ETAMBUTOL</v>
      </c>
    </row>
    <row r="799" spans="4:6" x14ac:dyDescent="0.25">
      <c r="D799" t="s">
        <v>3608</v>
      </c>
      <c r="E799">
        <f>1</f>
        <v>1</v>
      </c>
      <c r="F799" t="str">
        <f>TRIM('Tabela Federal'!$D799)</f>
        <v>ETANERCEPTE</v>
      </c>
    </row>
    <row r="800" spans="4:6" x14ac:dyDescent="0.25">
      <c r="D800" t="s">
        <v>4557</v>
      </c>
      <c r="E800">
        <f>1</f>
        <v>1</v>
      </c>
      <c r="F800" t="str">
        <f>TRIM('Tabela Federal'!$D800)</f>
        <v>ETEXILATO DE DABIGATRANA</v>
      </c>
    </row>
    <row r="801" spans="4:6" x14ac:dyDescent="0.25">
      <c r="D801" t="s">
        <v>3182</v>
      </c>
      <c r="E801">
        <f>1</f>
        <v>1</v>
      </c>
      <c r="F801" t="str">
        <f>TRIM('Tabela Federal'!$D801)</f>
        <v>ETINILESTRADIOL</v>
      </c>
    </row>
    <row r="802" spans="4:6" x14ac:dyDescent="0.25">
      <c r="D802" t="s">
        <v>3182</v>
      </c>
      <c r="E802">
        <f>1</f>
        <v>1</v>
      </c>
      <c r="F802" t="str">
        <f>TRIM('Tabela Federal'!$D802)</f>
        <v>ETINILESTRADIOL</v>
      </c>
    </row>
    <row r="803" spans="4:6" x14ac:dyDescent="0.25">
      <c r="D803" t="s">
        <v>3182</v>
      </c>
      <c r="E803">
        <f>1</f>
        <v>1</v>
      </c>
      <c r="F803" t="str">
        <f>TRIM('Tabela Federal'!$D803)</f>
        <v>ETINILESTRADIOL</v>
      </c>
    </row>
    <row r="804" spans="4:6" x14ac:dyDescent="0.25">
      <c r="D804" t="s">
        <v>3182</v>
      </c>
      <c r="E804">
        <f>1</f>
        <v>1</v>
      </c>
      <c r="F804" t="str">
        <f>TRIM('Tabela Federal'!$D804)</f>
        <v>ETINILESTRADIOL</v>
      </c>
    </row>
    <row r="805" spans="4:6" x14ac:dyDescent="0.25">
      <c r="D805" t="s">
        <v>3182</v>
      </c>
      <c r="E805">
        <f>1</f>
        <v>1</v>
      </c>
      <c r="F805" t="str">
        <f>TRIM('Tabela Federal'!$D805)</f>
        <v>ETINILESTRADIOL</v>
      </c>
    </row>
    <row r="806" spans="4:6" x14ac:dyDescent="0.25">
      <c r="D806" t="s">
        <v>3182</v>
      </c>
      <c r="E806">
        <f>1</f>
        <v>1</v>
      </c>
      <c r="F806" t="str">
        <f>TRIM('Tabela Federal'!$D806)</f>
        <v>ETINILESTRADIOL</v>
      </c>
    </row>
    <row r="807" spans="4:6" x14ac:dyDescent="0.25">
      <c r="D807" t="s">
        <v>3182</v>
      </c>
      <c r="E807">
        <f>1</f>
        <v>1</v>
      </c>
      <c r="F807" t="str">
        <f>TRIM('Tabela Federal'!$D807)</f>
        <v>ETINILESTRADIOL</v>
      </c>
    </row>
    <row r="808" spans="4:6" x14ac:dyDescent="0.25">
      <c r="D808" t="s">
        <v>3182</v>
      </c>
      <c r="E808">
        <f>1</f>
        <v>1</v>
      </c>
      <c r="F808" t="str">
        <f>TRIM('Tabela Federal'!$D808)</f>
        <v>ETINILESTRADIOL</v>
      </c>
    </row>
    <row r="809" spans="4:6" x14ac:dyDescent="0.25">
      <c r="D809" t="s">
        <v>3182</v>
      </c>
      <c r="E809">
        <f>1</f>
        <v>1</v>
      </c>
      <c r="F809" t="str">
        <f>TRIM('Tabela Federal'!$D809)</f>
        <v>ETINILESTRADIOL</v>
      </c>
    </row>
    <row r="810" spans="4:6" x14ac:dyDescent="0.25">
      <c r="D810" t="s">
        <v>3182</v>
      </c>
      <c r="E810">
        <f>1</f>
        <v>1</v>
      </c>
      <c r="F810" t="str">
        <f>TRIM('Tabela Federal'!$D810)</f>
        <v>ETINILESTRADIOL</v>
      </c>
    </row>
    <row r="811" spans="4:6" x14ac:dyDescent="0.25">
      <c r="D811" t="s">
        <v>3182</v>
      </c>
      <c r="E811">
        <f>1</f>
        <v>1</v>
      </c>
      <c r="F811" t="str">
        <f>TRIM('Tabela Federal'!$D811)</f>
        <v>ETINILESTRADIOL</v>
      </c>
    </row>
    <row r="812" spans="4:6" x14ac:dyDescent="0.25">
      <c r="D812" t="s">
        <v>3609</v>
      </c>
      <c r="E812">
        <f>1</f>
        <v>1</v>
      </c>
      <c r="F812" t="str">
        <f>TRIM('Tabela Federal'!$D812)</f>
        <v>ETIONAMIDA</v>
      </c>
    </row>
    <row r="813" spans="4:6" x14ac:dyDescent="0.25">
      <c r="D813" t="s">
        <v>4558</v>
      </c>
      <c r="E813">
        <f>1</f>
        <v>1</v>
      </c>
      <c r="F813" t="str">
        <f>TRIM('Tabela Federal'!$D813)</f>
        <v>ETODOLACO</v>
      </c>
    </row>
    <row r="814" spans="4:6" x14ac:dyDescent="0.25">
      <c r="D814" t="s">
        <v>4559</v>
      </c>
      <c r="E814">
        <f>1</f>
        <v>1</v>
      </c>
      <c r="F814" t="str">
        <f>TRIM('Tabela Federal'!$D814)</f>
        <v>ETOFAMIDA</v>
      </c>
    </row>
    <row r="815" spans="4:6" x14ac:dyDescent="0.25">
      <c r="D815" t="s">
        <v>3610</v>
      </c>
      <c r="E815">
        <f>1</f>
        <v>1</v>
      </c>
      <c r="F815" t="str">
        <f>TRIM('Tabela Federal'!$D815)</f>
        <v>ETOFIBRATO</v>
      </c>
    </row>
    <row r="816" spans="4:6" x14ac:dyDescent="0.25">
      <c r="D816" t="s">
        <v>3611</v>
      </c>
      <c r="E816">
        <f>1</f>
        <v>1</v>
      </c>
      <c r="F816" t="str">
        <f>TRIM('Tabela Federal'!$D816)</f>
        <v>ETOMIDATO</v>
      </c>
    </row>
    <row r="817" spans="4:6" x14ac:dyDescent="0.25">
      <c r="D817" t="s">
        <v>3612</v>
      </c>
      <c r="E817">
        <f>1</f>
        <v>1</v>
      </c>
      <c r="F817" t="str">
        <f>TRIM('Tabela Federal'!$D817)</f>
        <v>ETONOGESTREL</v>
      </c>
    </row>
    <row r="818" spans="4:6" x14ac:dyDescent="0.25">
      <c r="D818" t="s">
        <v>4304</v>
      </c>
      <c r="E818">
        <f>1</f>
        <v>1</v>
      </c>
      <c r="F818" t="str">
        <f>TRIM('Tabela Federal'!$D818)</f>
        <v>ETOPOSIDEO</v>
      </c>
    </row>
    <row r="819" spans="4:6" x14ac:dyDescent="0.25">
      <c r="D819" t="s">
        <v>2623</v>
      </c>
      <c r="E819">
        <f>1</f>
        <v>1</v>
      </c>
      <c r="F819" t="str">
        <f>TRIM('Tabela Federal'!$D819)</f>
        <v>ETORICOXIBE</v>
      </c>
    </row>
    <row r="820" spans="4:6" x14ac:dyDescent="0.25">
      <c r="D820" t="s">
        <v>4560</v>
      </c>
      <c r="E820">
        <f>1</f>
        <v>1</v>
      </c>
      <c r="F820" t="str">
        <f>TRIM('Tabela Federal'!$D820)</f>
        <v>ETOSSUXIMIDA</v>
      </c>
    </row>
    <row r="821" spans="4:6" x14ac:dyDescent="0.25">
      <c r="D821" t="s">
        <v>4561</v>
      </c>
      <c r="E821">
        <f>1</f>
        <v>1</v>
      </c>
      <c r="F821" t="str">
        <f>TRIM('Tabela Federal'!$D821)</f>
        <v>ETRAVIRINA</v>
      </c>
    </row>
    <row r="822" spans="4:6" x14ac:dyDescent="0.25">
      <c r="D822" t="s">
        <v>3613</v>
      </c>
      <c r="E822">
        <f>1</f>
        <v>1</v>
      </c>
      <c r="F822" t="str">
        <f>TRIM('Tabela Federal'!$D822)</f>
        <v>EVEROLIMO</v>
      </c>
    </row>
    <row r="823" spans="4:6" x14ac:dyDescent="0.25">
      <c r="D823" t="s">
        <v>3614</v>
      </c>
      <c r="E823">
        <f>1</f>
        <v>1</v>
      </c>
      <c r="F823" t="str">
        <f>TRIM('Tabela Federal'!$D823)</f>
        <v>EXEMESTANO</v>
      </c>
    </row>
    <row r="824" spans="4:6" x14ac:dyDescent="0.25">
      <c r="D824" t="s">
        <v>3615</v>
      </c>
      <c r="E824">
        <f>1</f>
        <v>1</v>
      </c>
      <c r="F824" t="str">
        <f>TRIM('Tabela Federal'!$D824)</f>
        <v>EXENATIDA</v>
      </c>
    </row>
    <row r="825" spans="4:6" x14ac:dyDescent="0.25">
      <c r="D825" t="s">
        <v>3616</v>
      </c>
      <c r="E825">
        <f>1</f>
        <v>1</v>
      </c>
      <c r="F825" t="str">
        <f>TRIM('Tabela Federal'!$D825)</f>
        <v>EXTRATO DE CARTILAGEM</v>
      </c>
    </row>
    <row r="826" spans="4:6" x14ac:dyDescent="0.25">
      <c r="D826" t="s">
        <v>4387</v>
      </c>
      <c r="E826">
        <f>1</f>
        <v>1</v>
      </c>
      <c r="F826" t="str">
        <f>TRIM('Tabela Federal'!$D826)</f>
        <v>EXTRATO METANOLICO DE BCG</v>
      </c>
    </row>
    <row r="827" spans="4:6" x14ac:dyDescent="0.25">
      <c r="D827" t="s">
        <v>2706</v>
      </c>
      <c r="E827">
        <f>1</f>
        <v>1</v>
      </c>
      <c r="F827" t="str">
        <f>TRIM('Tabela Federal'!$D827)</f>
        <v>EZETIMIBA</v>
      </c>
    </row>
    <row r="828" spans="4:6" x14ac:dyDescent="0.25">
      <c r="D828" t="s">
        <v>2706</v>
      </c>
      <c r="E828">
        <f>1</f>
        <v>1</v>
      </c>
      <c r="F828" t="str">
        <f>TRIM('Tabela Federal'!$D828)</f>
        <v>EZETIMIBA</v>
      </c>
    </row>
    <row r="829" spans="4:6" x14ac:dyDescent="0.25">
      <c r="D829" t="s">
        <v>3617</v>
      </c>
      <c r="E829">
        <f>1</f>
        <v>1</v>
      </c>
      <c r="F829" t="str">
        <f>TRIM('Tabela Federal'!$D829)</f>
        <v>FAMOTIDINA</v>
      </c>
    </row>
    <row r="830" spans="4:6" x14ac:dyDescent="0.25">
      <c r="D830" t="s">
        <v>3618</v>
      </c>
      <c r="E830">
        <f>1</f>
        <v>1</v>
      </c>
      <c r="F830" t="str">
        <f>TRIM('Tabela Federal'!$D830)</f>
        <v>FANCICLOVIR</v>
      </c>
    </row>
    <row r="831" spans="4:6" x14ac:dyDescent="0.25">
      <c r="D831" t="s">
        <v>4211</v>
      </c>
      <c r="E831">
        <f>1</f>
        <v>1</v>
      </c>
      <c r="F831" t="str">
        <f>TRIM('Tabela Federal'!$D831)</f>
        <v>FATOR DE COAGULAcAO VIIA</v>
      </c>
    </row>
    <row r="832" spans="4:6" x14ac:dyDescent="0.25">
      <c r="D832" t="s">
        <v>4212</v>
      </c>
      <c r="E832">
        <f>1</f>
        <v>1</v>
      </c>
      <c r="F832" t="str">
        <f>TRIM('Tabela Federal'!$D832)</f>
        <v>FATOR II DE COAGULAcAO</v>
      </c>
    </row>
    <row r="833" spans="4:6" x14ac:dyDescent="0.25">
      <c r="D833" t="s">
        <v>4212</v>
      </c>
      <c r="E833">
        <f>1</f>
        <v>1</v>
      </c>
      <c r="F833" t="str">
        <f>TRIM('Tabela Federal'!$D833)</f>
        <v>FATOR II DE COAGULAcAO</v>
      </c>
    </row>
    <row r="834" spans="4:6" x14ac:dyDescent="0.25">
      <c r="D834" t="s">
        <v>3619</v>
      </c>
      <c r="E834">
        <f>1</f>
        <v>1</v>
      </c>
      <c r="F834" t="str">
        <f>TRIM('Tabela Federal'!$D834)</f>
        <v>FATOR IX COMPLEXO HUMANO</v>
      </c>
    </row>
    <row r="835" spans="4:6" x14ac:dyDescent="0.25">
      <c r="D835" t="s">
        <v>4213</v>
      </c>
      <c r="E835">
        <f>1</f>
        <v>1</v>
      </c>
      <c r="F835" t="str">
        <f>TRIM('Tabela Federal'!$D835)</f>
        <v>FATOR IX DE COAGULAcAO</v>
      </c>
    </row>
    <row r="836" spans="4:6" x14ac:dyDescent="0.25">
      <c r="D836" t="s">
        <v>4214</v>
      </c>
      <c r="E836">
        <f>1</f>
        <v>1</v>
      </c>
      <c r="F836" t="str">
        <f>TRIM('Tabela Federal'!$D836)</f>
        <v>FATOR VIII DE COAGULAcAO</v>
      </c>
    </row>
    <row r="837" spans="4:6" x14ac:dyDescent="0.25">
      <c r="D837" t="s">
        <v>4215</v>
      </c>
      <c r="E837">
        <f>1</f>
        <v>1</v>
      </c>
      <c r="F837" t="str">
        <f>TRIM('Tabela Federal'!$D837)</f>
        <v>FATOR XIII DE COAGULAcAO</v>
      </c>
    </row>
    <row r="838" spans="4:6" x14ac:dyDescent="0.25">
      <c r="D838" t="s">
        <v>3620</v>
      </c>
      <c r="E838">
        <f>1</f>
        <v>1</v>
      </c>
      <c r="F838" t="str">
        <f>TRIM('Tabela Federal'!$D838)</f>
        <v>FELODIPINO</v>
      </c>
    </row>
    <row r="839" spans="4:6" x14ac:dyDescent="0.25">
      <c r="D839" t="s">
        <v>3620</v>
      </c>
      <c r="E839">
        <f>1</f>
        <v>1</v>
      </c>
      <c r="F839" t="str">
        <f>TRIM('Tabela Federal'!$D839)</f>
        <v>FELODIPINO</v>
      </c>
    </row>
    <row r="840" spans="4:6" x14ac:dyDescent="0.25">
      <c r="D840" t="s">
        <v>3621</v>
      </c>
      <c r="E840">
        <f>1</f>
        <v>1</v>
      </c>
      <c r="F840" t="str">
        <f>TRIM('Tabela Federal'!$D840)</f>
        <v>FEMPROCUMONA</v>
      </c>
    </row>
    <row r="841" spans="4:6" x14ac:dyDescent="0.25">
      <c r="D841" t="s">
        <v>3622</v>
      </c>
      <c r="E841">
        <f>1</f>
        <v>1</v>
      </c>
      <c r="F841" t="str">
        <f>TRIM('Tabela Federal'!$D841)</f>
        <v>FENILALANINA</v>
      </c>
    </row>
    <row r="842" spans="4:6" x14ac:dyDescent="0.25">
      <c r="D842" t="s">
        <v>3184</v>
      </c>
      <c r="E842">
        <f>1</f>
        <v>1</v>
      </c>
      <c r="F842" t="str">
        <f>TRIM('Tabela Federal'!$D842)</f>
        <v>FENILBUTAZONA</v>
      </c>
    </row>
    <row r="843" spans="4:6" x14ac:dyDescent="0.25">
      <c r="D843" t="s">
        <v>4216</v>
      </c>
      <c r="E843">
        <f>1</f>
        <v>1</v>
      </c>
      <c r="F843" t="str">
        <f>TRIM('Tabela Federal'!$D843)</f>
        <v>FENILBUTAZONA CALCICA</v>
      </c>
    </row>
    <row r="844" spans="4:6" x14ac:dyDescent="0.25">
      <c r="D844" t="s">
        <v>4305</v>
      </c>
      <c r="E844">
        <f>1</f>
        <v>1</v>
      </c>
      <c r="F844" t="str">
        <f>TRIM('Tabela Federal'!$D844)</f>
        <v>FENITOINA</v>
      </c>
    </row>
    <row r="845" spans="4:6" x14ac:dyDescent="0.25">
      <c r="D845" t="s">
        <v>4388</v>
      </c>
      <c r="E845">
        <f>1</f>
        <v>1</v>
      </c>
      <c r="F845" t="str">
        <f>TRIM('Tabela Federal'!$D845)</f>
        <v>FENITOINA SODICA</v>
      </c>
    </row>
    <row r="846" spans="4:6" x14ac:dyDescent="0.25">
      <c r="D846" t="s">
        <v>3623</v>
      </c>
      <c r="E846">
        <f>1</f>
        <v>1</v>
      </c>
      <c r="F846" t="str">
        <f>TRIM('Tabela Federal'!$D846)</f>
        <v>FENOBARBITAL</v>
      </c>
    </row>
    <row r="847" spans="4:6" x14ac:dyDescent="0.25">
      <c r="D847" t="s">
        <v>4389</v>
      </c>
      <c r="E847">
        <f>1</f>
        <v>1</v>
      </c>
      <c r="F847" t="str">
        <f>TRIM('Tabela Federal'!$D847)</f>
        <v>FENOBARBITAL SODICO</v>
      </c>
    </row>
    <row r="848" spans="4:6" x14ac:dyDescent="0.25">
      <c r="D848" t="s">
        <v>3624</v>
      </c>
      <c r="E848">
        <f>1</f>
        <v>1</v>
      </c>
      <c r="F848" t="str">
        <f>TRIM('Tabela Federal'!$D848)</f>
        <v>FENOFIBRATO</v>
      </c>
    </row>
    <row r="849" spans="4:6" x14ac:dyDescent="0.25">
      <c r="D849" t="s">
        <v>4217</v>
      </c>
      <c r="E849">
        <f>1</f>
        <v>1</v>
      </c>
      <c r="F849" t="str">
        <f>TRIM('Tabela Federal'!$D849)</f>
        <v>FENOXIMETILPENICILINA POTASSICA</v>
      </c>
    </row>
    <row r="850" spans="4:6" x14ac:dyDescent="0.25">
      <c r="D850" t="s">
        <v>3625</v>
      </c>
      <c r="E850">
        <f>1</f>
        <v>1</v>
      </c>
      <c r="F850" t="str">
        <f>TRIM('Tabela Federal'!$D850)</f>
        <v>FENTANILA</v>
      </c>
    </row>
    <row r="851" spans="4:6" x14ac:dyDescent="0.25">
      <c r="D851" t="s">
        <v>3626</v>
      </c>
      <c r="E851">
        <f>1</f>
        <v>1</v>
      </c>
      <c r="F851" t="str">
        <f>TRIM('Tabela Federal'!$D851)</f>
        <v>FENTETRAMINA</v>
      </c>
    </row>
    <row r="852" spans="4:6" x14ac:dyDescent="0.25">
      <c r="D852" t="s">
        <v>3627</v>
      </c>
      <c r="E852">
        <f>1</f>
        <v>1</v>
      </c>
      <c r="F852" t="str">
        <f>TRIM('Tabela Federal'!$D852)</f>
        <v>FERUMOXSIL</v>
      </c>
    </row>
    <row r="853" spans="4:6" x14ac:dyDescent="0.25">
      <c r="D853" t="s">
        <v>3628</v>
      </c>
      <c r="E853">
        <f>1</f>
        <v>1</v>
      </c>
      <c r="F853" t="str">
        <f>TRIM('Tabela Federal'!$D853)</f>
        <v>FIBRINA</v>
      </c>
    </row>
    <row r="854" spans="4:6" x14ac:dyDescent="0.25">
      <c r="D854" t="s">
        <v>4273</v>
      </c>
      <c r="E854">
        <f>1</f>
        <v>1</v>
      </c>
      <c r="F854" t="str">
        <f>TRIM('Tabela Federal'!$D854)</f>
        <v>FIBRINOGENIO</v>
      </c>
    </row>
    <row r="855" spans="4:6" x14ac:dyDescent="0.25">
      <c r="D855" t="s">
        <v>4251</v>
      </c>
      <c r="E855">
        <f>1</f>
        <v>1</v>
      </c>
      <c r="F855" t="str">
        <f>TRIM('Tabela Federal'!$D855)</f>
        <v>FIBRINOGENIO HUMANO</v>
      </c>
    </row>
    <row r="856" spans="4:6" x14ac:dyDescent="0.25">
      <c r="D856" t="s">
        <v>4562</v>
      </c>
      <c r="E856">
        <f>1</f>
        <v>1</v>
      </c>
      <c r="F856" t="str">
        <f>TRIM('Tabela Federal'!$D856)</f>
        <v>FIGITIMUMABE</v>
      </c>
    </row>
    <row r="857" spans="4:6" x14ac:dyDescent="0.25">
      <c r="D857" t="s">
        <v>3629</v>
      </c>
      <c r="E857">
        <f>1</f>
        <v>1</v>
      </c>
      <c r="F857" t="str">
        <f>TRIM('Tabela Federal'!$D857)</f>
        <v>FILGRASTIM</v>
      </c>
    </row>
    <row r="858" spans="4:6" x14ac:dyDescent="0.25">
      <c r="D858" t="s">
        <v>4646</v>
      </c>
      <c r="E858">
        <f>1</f>
        <v>1</v>
      </c>
      <c r="F858" t="str">
        <f>TRIM('Tabela Federal'!$D858)</f>
        <v>FINASTERIDA</v>
      </c>
    </row>
    <row r="859" spans="4:6" x14ac:dyDescent="0.25">
      <c r="D859" t="s">
        <v>3630</v>
      </c>
      <c r="E859">
        <f>1</f>
        <v>1</v>
      </c>
      <c r="F859" t="str">
        <f>TRIM('Tabela Federal'!$D859)</f>
        <v>FITOMENADIONA</v>
      </c>
    </row>
    <row r="860" spans="4:6" x14ac:dyDescent="0.25">
      <c r="D860" t="s">
        <v>3631</v>
      </c>
      <c r="E860">
        <f>1</f>
        <v>1</v>
      </c>
      <c r="F860" t="str">
        <f>TRIM('Tabela Federal'!$D860)</f>
        <v>FLUCITOSINA</v>
      </c>
    </row>
    <row r="861" spans="4:6" x14ac:dyDescent="0.25">
      <c r="D861" t="s">
        <v>2779</v>
      </c>
      <c r="E861">
        <f>1</f>
        <v>1</v>
      </c>
      <c r="F861" t="str">
        <f>TRIM('Tabela Federal'!$D861)</f>
        <v>FLUCONAZOL</v>
      </c>
    </row>
    <row r="862" spans="4:6" x14ac:dyDescent="0.25">
      <c r="D862" t="s">
        <v>3632</v>
      </c>
      <c r="E862">
        <f>1</f>
        <v>1</v>
      </c>
      <c r="F862" t="str">
        <f>TRIM('Tabela Federal'!$D862)</f>
        <v>FLUMAZENIL</v>
      </c>
    </row>
    <row r="863" spans="4:6" x14ac:dyDescent="0.25">
      <c r="D863" t="s">
        <v>3633</v>
      </c>
      <c r="E863">
        <f>1</f>
        <v>1</v>
      </c>
      <c r="F863" t="str">
        <f>TRIM('Tabela Federal'!$D863)</f>
        <v>FLUNISOLIDA</v>
      </c>
    </row>
    <row r="864" spans="4:6" x14ac:dyDescent="0.25">
      <c r="D864" t="s">
        <v>3634</v>
      </c>
      <c r="E864">
        <f>1</f>
        <v>1</v>
      </c>
      <c r="F864" t="str">
        <f>TRIM('Tabela Federal'!$D864)</f>
        <v>FLUNITRAZEPAM</v>
      </c>
    </row>
    <row r="865" spans="4:6" x14ac:dyDescent="0.25">
      <c r="D865" t="s">
        <v>3635</v>
      </c>
      <c r="E865">
        <f>1</f>
        <v>1</v>
      </c>
      <c r="F865" t="str">
        <f>TRIM('Tabela Federal'!$D865)</f>
        <v>FLUOCINOLONA ACETONIDA</v>
      </c>
    </row>
    <row r="866" spans="4:6" x14ac:dyDescent="0.25">
      <c r="D866" t="s">
        <v>4390</v>
      </c>
      <c r="E866">
        <f>1</f>
        <v>1</v>
      </c>
      <c r="F866" t="str">
        <f>TRIM('Tabela Federal'!$D866)</f>
        <v>FLUORETO DE SODIO</v>
      </c>
    </row>
    <row r="867" spans="4:6" x14ac:dyDescent="0.25">
      <c r="D867" t="s">
        <v>3636</v>
      </c>
      <c r="E867">
        <f>1</f>
        <v>1</v>
      </c>
      <c r="F867" t="str">
        <f>TRIM('Tabela Federal'!$D867)</f>
        <v>FLUORMETOLONA</v>
      </c>
    </row>
    <row r="868" spans="4:6" x14ac:dyDescent="0.25">
      <c r="D868" t="s">
        <v>3636</v>
      </c>
      <c r="E868">
        <f>1</f>
        <v>1</v>
      </c>
      <c r="F868" t="str">
        <f>TRIM('Tabela Federal'!$D868)</f>
        <v>FLUORMETOLONA</v>
      </c>
    </row>
    <row r="869" spans="4:6" x14ac:dyDescent="0.25">
      <c r="D869" t="s">
        <v>3636</v>
      </c>
      <c r="E869">
        <f>1</f>
        <v>1</v>
      </c>
      <c r="F869" t="str">
        <f>TRIM('Tabela Federal'!$D869)</f>
        <v>FLUORMETOLONA</v>
      </c>
    </row>
    <row r="870" spans="4:6" x14ac:dyDescent="0.25">
      <c r="D870" t="s">
        <v>3637</v>
      </c>
      <c r="E870">
        <f>1</f>
        <v>1</v>
      </c>
      <c r="F870" t="str">
        <f>TRIM('Tabela Federal'!$D870)</f>
        <v>FLUORURACILA</v>
      </c>
    </row>
    <row r="871" spans="4:6" x14ac:dyDescent="0.25">
      <c r="D871" t="s">
        <v>4563</v>
      </c>
      <c r="E871">
        <f>1</f>
        <v>1</v>
      </c>
      <c r="F871" t="str">
        <f>TRIM('Tabela Federal'!$D871)</f>
        <v>FLURAZEPAM</v>
      </c>
    </row>
    <row r="872" spans="4:6" x14ac:dyDescent="0.25">
      <c r="D872" t="s">
        <v>3638</v>
      </c>
      <c r="E872">
        <f>1</f>
        <v>1</v>
      </c>
      <c r="F872" t="str">
        <f>TRIM('Tabela Federal'!$D872)</f>
        <v>FLURBIPROFENO</v>
      </c>
    </row>
    <row r="873" spans="4:6" x14ac:dyDescent="0.25">
      <c r="D873" t="s">
        <v>3639</v>
      </c>
      <c r="E873">
        <f>1</f>
        <v>1</v>
      </c>
      <c r="F873" t="str">
        <f>TRIM('Tabela Federal'!$D873)</f>
        <v>FLUTAMIDA</v>
      </c>
    </row>
    <row r="874" spans="4:6" x14ac:dyDescent="0.25">
      <c r="D874" t="s">
        <v>3640</v>
      </c>
      <c r="E874">
        <f>1</f>
        <v>1</v>
      </c>
      <c r="F874" t="str">
        <f>TRIM('Tabela Federal'!$D874)</f>
        <v>FLUVASTATINA</v>
      </c>
    </row>
    <row r="875" spans="4:6" x14ac:dyDescent="0.25">
      <c r="D875" t="s">
        <v>4564</v>
      </c>
      <c r="E875">
        <f>1</f>
        <v>1</v>
      </c>
      <c r="F875" t="str">
        <f>TRIM('Tabela Federal'!$D875)</f>
        <v>FLUVASTATINA SODICA</v>
      </c>
    </row>
    <row r="876" spans="4:6" x14ac:dyDescent="0.25">
      <c r="D876" t="s">
        <v>3641</v>
      </c>
      <c r="E876">
        <f>1</f>
        <v>1</v>
      </c>
      <c r="F876" t="str">
        <f>TRIM('Tabela Federal'!$D876)</f>
        <v>FLUVOXAMINA</v>
      </c>
    </row>
    <row r="877" spans="4:6" x14ac:dyDescent="0.25">
      <c r="D877" t="s">
        <v>4218</v>
      </c>
      <c r="E877">
        <f>1</f>
        <v>1</v>
      </c>
      <c r="F877" t="str">
        <f>TRIM('Tabela Federal'!$D877)</f>
        <v>FOLINATO DE CALCIO</v>
      </c>
    </row>
    <row r="878" spans="4:6" x14ac:dyDescent="0.25">
      <c r="D878" t="s">
        <v>4391</v>
      </c>
      <c r="E878">
        <f>1</f>
        <v>1</v>
      </c>
      <c r="F878" t="str">
        <f>TRIM('Tabela Federal'!$D878)</f>
        <v>FONDAPARINUX SODICO</v>
      </c>
    </row>
    <row r="879" spans="4:6" x14ac:dyDescent="0.25">
      <c r="D879" t="s">
        <v>3642</v>
      </c>
      <c r="E879">
        <f>1</f>
        <v>1</v>
      </c>
      <c r="F879" t="str">
        <f>TRIM('Tabela Federal'!$D879)</f>
        <v>FORMESTANO</v>
      </c>
    </row>
    <row r="880" spans="4:6" x14ac:dyDescent="0.25">
      <c r="D880" t="s">
        <v>4219</v>
      </c>
      <c r="E880">
        <f>1</f>
        <v>1</v>
      </c>
      <c r="F880" t="str">
        <f>TRIM('Tabela Federal'!$D880)</f>
        <v>FOSAMPRENAVIR CALCICO</v>
      </c>
    </row>
    <row r="881" spans="4:6" x14ac:dyDescent="0.25">
      <c r="D881" t="s">
        <v>4565</v>
      </c>
      <c r="E881">
        <f>1</f>
        <v>1</v>
      </c>
      <c r="F881" t="str">
        <f>TRIM('Tabela Federal'!$D881)</f>
        <v>FOSAPREPITANTO DIMEGLUMINA</v>
      </c>
    </row>
    <row r="882" spans="4:6" x14ac:dyDescent="0.25">
      <c r="D882" t="s">
        <v>4392</v>
      </c>
      <c r="E882">
        <f>1</f>
        <v>1</v>
      </c>
      <c r="F882" t="str">
        <f>TRIM('Tabela Federal'!$D882)</f>
        <v>FOSCARNETE SODICO</v>
      </c>
    </row>
    <row r="883" spans="4:6" x14ac:dyDescent="0.25">
      <c r="D883" t="s">
        <v>4647</v>
      </c>
      <c r="E883">
        <f>1</f>
        <v>1</v>
      </c>
      <c r="F883" t="str">
        <f>TRIM('Tabela Federal'!$D883)</f>
        <v>FOSFATO DE CLINDAMICINA</v>
      </c>
    </row>
    <row r="884" spans="4:6" x14ac:dyDescent="0.25">
      <c r="D884" t="s">
        <v>4306</v>
      </c>
      <c r="E884">
        <f>1</f>
        <v>1</v>
      </c>
      <c r="F884" t="str">
        <f>TRIM('Tabela Federal'!$D884)</f>
        <v>FOSFATO DE CODEINA</v>
      </c>
    </row>
    <row r="885" spans="4:6" x14ac:dyDescent="0.25">
      <c r="D885" t="s">
        <v>3643</v>
      </c>
      <c r="E885">
        <f>1</f>
        <v>1</v>
      </c>
      <c r="F885" t="str">
        <f>TRIM('Tabela Federal'!$D885)</f>
        <v>FOSFATO DE DISOPIRAMIDA</v>
      </c>
    </row>
    <row r="886" spans="4:6" x14ac:dyDescent="0.25">
      <c r="D886" t="s">
        <v>4307</v>
      </c>
      <c r="E886">
        <f>1</f>
        <v>1</v>
      </c>
      <c r="F886" t="str">
        <f>TRIM('Tabela Federal'!$D886)</f>
        <v>FOSFATO DE ETOPOSIDEO</v>
      </c>
    </row>
    <row r="887" spans="4:6" x14ac:dyDescent="0.25">
      <c r="D887" t="s">
        <v>3644</v>
      </c>
      <c r="E887">
        <f>1</f>
        <v>1</v>
      </c>
      <c r="F887" t="str">
        <f>TRIM('Tabela Federal'!$D887)</f>
        <v>FOSFATO DE FLUDARABINA</v>
      </c>
    </row>
    <row r="888" spans="4:6" x14ac:dyDescent="0.25">
      <c r="D888" t="s">
        <v>3645</v>
      </c>
      <c r="E888">
        <f>1</f>
        <v>1</v>
      </c>
      <c r="F888" t="str">
        <f>TRIM('Tabela Federal'!$D888)</f>
        <v>FOSFATO DE OSELTAMIVIR</v>
      </c>
    </row>
    <row r="889" spans="4:6" x14ac:dyDescent="0.25">
      <c r="D889" t="s">
        <v>4220</v>
      </c>
      <c r="E889">
        <f>1</f>
        <v>1</v>
      </c>
      <c r="F889" t="str">
        <f>TRIM('Tabela Federal'!$D889)</f>
        <v>FOSFATO DE POTASSIO DIBASICO</v>
      </c>
    </row>
    <row r="890" spans="4:6" x14ac:dyDescent="0.25">
      <c r="D890" t="s">
        <v>4221</v>
      </c>
      <c r="E890">
        <f>1</f>
        <v>1</v>
      </c>
      <c r="F890" t="str">
        <f>TRIM('Tabela Federal'!$D890)</f>
        <v>FOSFATO DE POTASSIO MONOBASICO</v>
      </c>
    </row>
    <row r="891" spans="4:6" x14ac:dyDescent="0.25">
      <c r="D891" t="s">
        <v>3646</v>
      </c>
      <c r="E891">
        <f>1</f>
        <v>1</v>
      </c>
      <c r="F891" t="str">
        <f>TRIM('Tabela Federal'!$D891)</f>
        <v>FOSFATO DE SITAGLIPTINA</v>
      </c>
    </row>
    <row r="892" spans="4:6" x14ac:dyDescent="0.25">
      <c r="D892" t="s">
        <v>4393</v>
      </c>
      <c r="E892">
        <f>1</f>
        <v>1</v>
      </c>
      <c r="F892" t="str">
        <f>TRIM('Tabela Federal'!$D892)</f>
        <v>FOSFATO DE SODIO MONOBASICO</v>
      </c>
    </row>
    <row r="893" spans="4:6" x14ac:dyDescent="0.25">
      <c r="D893" t="s">
        <v>3647</v>
      </c>
      <c r="E893">
        <f>1</f>
        <v>1</v>
      </c>
      <c r="F893" t="str">
        <f>TRIM('Tabela Federal'!$D893)</f>
        <v>FOSFATO DE TETRACICLINA</v>
      </c>
    </row>
    <row r="894" spans="4:6" x14ac:dyDescent="0.25">
      <c r="D894" t="s">
        <v>4566</v>
      </c>
      <c r="E894">
        <f>1</f>
        <v>1</v>
      </c>
      <c r="F894" t="str">
        <f>TRIM('Tabela Federal'!$D894)</f>
        <v>FOSFATO DE TIAMINA</v>
      </c>
    </row>
    <row r="895" spans="4:6" x14ac:dyDescent="0.25">
      <c r="D895" t="s">
        <v>4394</v>
      </c>
      <c r="E895">
        <f>1</f>
        <v>1</v>
      </c>
      <c r="F895" t="str">
        <f>TRIM('Tabela Federal'!$D895)</f>
        <v>FOSFATO DISSODICO DE BETAMETASONA</v>
      </c>
    </row>
    <row r="896" spans="4:6" x14ac:dyDescent="0.25">
      <c r="D896" t="s">
        <v>4394</v>
      </c>
      <c r="E896">
        <f>1</f>
        <v>1</v>
      </c>
      <c r="F896" t="str">
        <f>TRIM('Tabela Federal'!$D896)</f>
        <v>FOSFATO DISSODICO DE BETAMETASONA</v>
      </c>
    </row>
    <row r="897" spans="4:6" x14ac:dyDescent="0.25">
      <c r="D897" t="s">
        <v>4395</v>
      </c>
      <c r="E897">
        <f>1</f>
        <v>1</v>
      </c>
      <c r="F897" t="str">
        <f>TRIM('Tabela Federal'!$D897)</f>
        <v>FOSFATO DISSODICO DE DEXAMETASONA</v>
      </c>
    </row>
    <row r="898" spans="4:6" x14ac:dyDescent="0.25">
      <c r="D898" t="s">
        <v>4395</v>
      </c>
      <c r="E898">
        <f>1</f>
        <v>1</v>
      </c>
      <c r="F898" t="str">
        <f>TRIM('Tabela Federal'!$D898)</f>
        <v>FOSFATO DISSODICO DE DEXAMETASONA</v>
      </c>
    </row>
    <row r="899" spans="4:6" x14ac:dyDescent="0.25">
      <c r="D899" t="s">
        <v>4396</v>
      </c>
      <c r="E899">
        <f>1</f>
        <v>1</v>
      </c>
      <c r="F899" t="str">
        <f>TRIM('Tabela Federal'!$D899)</f>
        <v>FOSFATO SODICO DE PREDNISOLONA</v>
      </c>
    </row>
    <row r="900" spans="4:6" x14ac:dyDescent="0.25">
      <c r="D900" t="s">
        <v>4397</v>
      </c>
      <c r="E900">
        <f>1</f>
        <v>1</v>
      </c>
      <c r="F900" t="str">
        <f>TRIM('Tabela Federal'!$D900)</f>
        <v>FOSFATO SODICO DE RIBOFLAVINA</v>
      </c>
    </row>
    <row r="901" spans="4:6" x14ac:dyDescent="0.25">
      <c r="D901" t="s">
        <v>4650</v>
      </c>
      <c r="E901">
        <f>1</f>
        <v>1</v>
      </c>
      <c r="F901" t="str">
        <f>TRIM('Tabela Federal'!$D901)</f>
        <v>FOSFOLIPIDEOS</v>
      </c>
    </row>
    <row r="902" spans="4:6" x14ac:dyDescent="0.25">
      <c r="D902" t="s">
        <v>3648</v>
      </c>
      <c r="E902">
        <f>1</f>
        <v>1</v>
      </c>
      <c r="F902" t="str">
        <f>TRIM('Tabela Federal'!$D902)</f>
        <v>FOSFOMICINA TROMETAMOL</v>
      </c>
    </row>
    <row r="903" spans="4:6" x14ac:dyDescent="0.25">
      <c r="D903" t="s">
        <v>3649</v>
      </c>
      <c r="E903">
        <f>1</f>
        <v>1</v>
      </c>
      <c r="F903" t="str">
        <f>TRIM('Tabela Federal'!$D903)</f>
        <v>FOSINOPRIL</v>
      </c>
    </row>
    <row r="904" spans="4:6" x14ac:dyDescent="0.25">
      <c r="D904" t="s">
        <v>4398</v>
      </c>
      <c r="E904">
        <f>1</f>
        <v>1</v>
      </c>
      <c r="F904" t="str">
        <f>TRIM('Tabela Federal'!$D904)</f>
        <v>FOSINOPRIL SODICO</v>
      </c>
    </row>
    <row r="905" spans="4:6" x14ac:dyDescent="0.25">
      <c r="D905" t="s">
        <v>4398</v>
      </c>
      <c r="E905">
        <f>1</f>
        <v>1</v>
      </c>
      <c r="F905" t="str">
        <f>TRIM('Tabela Federal'!$D905)</f>
        <v>FOSINOPRIL SODICO</v>
      </c>
    </row>
    <row r="906" spans="4:6" x14ac:dyDescent="0.25">
      <c r="D906" t="s">
        <v>3650</v>
      </c>
      <c r="E906">
        <f>1</f>
        <v>1</v>
      </c>
      <c r="F906" t="str">
        <f>TRIM('Tabela Federal'!$D906)</f>
        <v>FOTEMUSTINA</v>
      </c>
    </row>
    <row r="907" spans="4:6" x14ac:dyDescent="0.25">
      <c r="D907" t="s">
        <v>4308</v>
      </c>
      <c r="E907">
        <f>1</f>
        <v>1</v>
      </c>
      <c r="F907" t="str">
        <f>TRIM('Tabela Federal'!$D907)</f>
        <v>FRAcAO FOSFOLIPIDICA DE PULMAO</v>
      </c>
    </row>
    <row r="908" spans="4:6" x14ac:dyDescent="0.25">
      <c r="D908" t="s">
        <v>3651</v>
      </c>
      <c r="E908">
        <f>1</f>
        <v>1</v>
      </c>
      <c r="F908" t="str">
        <f>TRIM('Tabela Federal'!$D908)</f>
        <v>FRAGMENTO FAB CONTRA DIGOXINA</v>
      </c>
    </row>
    <row r="909" spans="4:6" x14ac:dyDescent="0.25">
      <c r="D909" t="s">
        <v>3652</v>
      </c>
      <c r="E909">
        <f>1</f>
        <v>1</v>
      </c>
      <c r="F909" t="str">
        <f>TRIM('Tabela Federal'!$D909)</f>
        <v>FRUTOSE</v>
      </c>
    </row>
    <row r="910" spans="4:6" x14ac:dyDescent="0.25">
      <c r="D910" t="s">
        <v>3653</v>
      </c>
      <c r="E910">
        <f>1</f>
        <v>1</v>
      </c>
      <c r="F910" t="str">
        <f>TRIM('Tabela Federal'!$D910)</f>
        <v>FULVESTRANTO</v>
      </c>
    </row>
    <row r="911" spans="4:6" x14ac:dyDescent="0.25">
      <c r="D911" t="s">
        <v>3654</v>
      </c>
      <c r="E911">
        <f>1</f>
        <v>1</v>
      </c>
      <c r="F911" t="str">
        <f>TRIM('Tabela Federal'!$D911)</f>
        <v>FUMARATO DE BENCICLANO</v>
      </c>
    </row>
    <row r="912" spans="4:6" x14ac:dyDescent="0.25">
      <c r="D912" t="s">
        <v>3655</v>
      </c>
      <c r="E912">
        <f>1</f>
        <v>1</v>
      </c>
      <c r="F912" t="str">
        <f>TRIM('Tabela Federal'!$D912)</f>
        <v>FUMARATO DE BISOPROLOL</v>
      </c>
    </row>
    <row r="913" spans="4:6" x14ac:dyDescent="0.25">
      <c r="D913" t="s">
        <v>3655</v>
      </c>
      <c r="E913">
        <f>1</f>
        <v>1</v>
      </c>
      <c r="F913" t="str">
        <f>TRIM('Tabela Federal'!$D913)</f>
        <v>FUMARATO DE BISOPROLOL</v>
      </c>
    </row>
    <row r="914" spans="4:6" x14ac:dyDescent="0.25">
      <c r="D914" t="s">
        <v>3656</v>
      </c>
      <c r="E914">
        <f>1</f>
        <v>1</v>
      </c>
      <c r="F914" t="str">
        <f>TRIM('Tabela Federal'!$D914)</f>
        <v>FUMARATO DE CETOTIFENO</v>
      </c>
    </row>
    <row r="915" spans="4:6" x14ac:dyDescent="0.25">
      <c r="D915" t="s">
        <v>3657</v>
      </c>
      <c r="E915">
        <f>1</f>
        <v>1</v>
      </c>
      <c r="F915" t="str">
        <f>TRIM('Tabela Federal'!$D915)</f>
        <v>FUMARATO DE FORMOTEROL</v>
      </c>
    </row>
    <row r="916" spans="4:6" x14ac:dyDescent="0.25">
      <c r="D916" t="s">
        <v>3658</v>
      </c>
      <c r="E916">
        <f>1</f>
        <v>1</v>
      </c>
      <c r="F916" t="str">
        <f>TRIM('Tabela Federal'!$D916)</f>
        <v>FUMARATO DE QUETIAPINA</v>
      </c>
    </row>
    <row r="917" spans="4:6" x14ac:dyDescent="0.25">
      <c r="D917" t="s">
        <v>3659</v>
      </c>
      <c r="E917">
        <f>1</f>
        <v>1</v>
      </c>
      <c r="F917" t="str">
        <f>TRIM('Tabela Federal'!$D917)</f>
        <v>FUMARATO DE TENOFOVIR DESOPROXILA</v>
      </c>
    </row>
    <row r="918" spans="4:6" x14ac:dyDescent="0.25">
      <c r="D918" t="s">
        <v>3660</v>
      </c>
      <c r="E918">
        <f>1</f>
        <v>1</v>
      </c>
      <c r="F918" t="str">
        <f>TRIM('Tabela Federal'!$D918)</f>
        <v>FURAZOLIDONA</v>
      </c>
    </row>
    <row r="919" spans="4:6" x14ac:dyDescent="0.25">
      <c r="D919" t="s">
        <v>3661</v>
      </c>
      <c r="E919">
        <f>1</f>
        <v>1</v>
      </c>
      <c r="F919" t="str">
        <f>TRIM('Tabela Federal'!$D919)</f>
        <v>FUROATO DE MOMETASONA</v>
      </c>
    </row>
    <row r="920" spans="4:6" x14ac:dyDescent="0.25">
      <c r="D920" t="s">
        <v>3662</v>
      </c>
      <c r="E920">
        <f>1</f>
        <v>1</v>
      </c>
      <c r="F920" t="str">
        <f>TRIM('Tabela Federal'!$D920)</f>
        <v>FUROSEMIDA</v>
      </c>
    </row>
    <row r="921" spans="4:6" x14ac:dyDescent="0.25">
      <c r="D921" t="s">
        <v>3662</v>
      </c>
      <c r="E921">
        <f>1</f>
        <v>1</v>
      </c>
      <c r="F921" t="str">
        <f>TRIM('Tabela Federal'!$D921)</f>
        <v>FUROSEMIDA</v>
      </c>
    </row>
    <row r="922" spans="4:6" x14ac:dyDescent="0.25">
      <c r="D922" t="s">
        <v>3663</v>
      </c>
      <c r="E922">
        <f>1</f>
        <v>1</v>
      </c>
      <c r="F922" t="str">
        <f>TRIM('Tabela Federal'!$D922)</f>
        <v>GABAPENTINA</v>
      </c>
    </row>
    <row r="923" spans="4:6" x14ac:dyDescent="0.25">
      <c r="D923" t="s">
        <v>3664</v>
      </c>
      <c r="E923">
        <f>1</f>
        <v>1</v>
      </c>
      <c r="F923" t="str">
        <f>TRIM('Tabela Federal'!$D923)</f>
        <v>GADOBENATO DIMEGLUMINA</v>
      </c>
    </row>
    <row r="924" spans="4:6" x14ac:dyDescent="0.25">
      <c r="D924" t="s">
        <v>3665</v>
      </c>
      <c r="E924">
        <f>1</f>
        <v>1</v>
      </c>
      <c r="F924" t="str">
        <f>TRIM('Tabela Federal'!$D924)</f>
        <v>GADODIAMIDA</v>
      </c>
    </row>
    <row r="925" spans="4:6" x14ac:dyDescent="0.25">
      <c r="D925" t="s">
        <v>4309</v>
      </c>
      <c r="E925">
        <f>1</f>
        <v>1</v>
      </c>
      <c r="F925" t="str">
        <f>TRIM('Tabela Federal'!$D925)</f>
        <v>GADOLINIO ZEOLITO</v>
      </c>
    </row>
    <row r="926" spans="4:6" x14ac:dyDescent="0.25">
      <c r="D926" t="s">
        <v>3666</v>
      </c>
      <c r="E926">
        <f>1</f>
        <v>1</v>
      </c>
      <c r="F926" t="str">
        <f>TRIM('Tabela Federal'!$D926)</f>
        <v>GADOPENTETATO DE DIMEGLUMINA</v>
      </c>
    </row>
    <row r="927" spans="4:6" x14ac:dyDescent="0.25">
      <c r="D927" t="s">
        <v>3667</v>
      </c>
      <c r="E927">
        <f>1</f>
        <v>1</v>
      </c>
      <c r="F927" t="str">
        <f>TRIM('Tabela Federal'!$D927)</f>
        <v>GADOTERATO DE MEGLUMINA</v>
      </c>
    </row>
    <row r="928" spans="4:6" x14ac:dyDescent="0.25">
      <c r="D928" t="s">
        <v>3668</v>
      </c>
      <c r="E928">
        <f>1</f>
        <v>1</v>
      </c>
      <c r="F928" t="str">
        <f>TRIM('Tabela Federal'!$D928)</f>
        <v>GADOTERIDOL</v>
      </c>
    </row>
    <row r="929" spans="4:6" x14ac:dyDescent="0.25">
      <c r="D929" t="s">
        <v>3669</v>
      </c>
      <c r="E929">
        <f>1</f>
        <v>1</v>
      </c>
      <c r="F929" t="str">
        <f>TRIM('Tabela Federal'!$D929)</f>
        <v>GADOVERSETAMIDA</v>
      </c>
    </row>
    <row r="930" spans="4:6" x14ac:dyDescent="0.25">
      <c r="D930" t="s">
        <v>3670</v>
      </c>
      <c r="E930">
        <f>1</f>
        <v>1</v>
      </c>
      <c r="F930" t="str">
        <f>TRIM('Tabela Federal'!$D930)</f>
        <v>GAMAINTERFERONA</v>
      </c>
    </row>
    <row r="931" spans="4:6" x14ac:dyDescent="0.25">
      <c r="D931" t="s">
        <v>3671</v>
      </c>
      <c r="E931">
        <f>1</f>
        <v>1</v>
      </c>
      <c r="F931" t="str">
        <f>TRIM('Tabela Federal'!$D931)</f>
        <v>GANCICLOVIR</v>
      </c>
    </row>
    <row r="932" spans="4:6" x14ac:dyDescent="0.25">
      <c r="D932" t="s">
        <v>4399</v>
      </c>
      <c r="E932">
        <f>1</f>
        <v>1</v>
      </c>
      <c r="F932" t="str">
        <f>TRIM('Tabela Federal'!$D932)</f>
        <v>GANCICLOVIR SODICO</v>
      </c>
    </row>
    <row r="933" spans="4:6" x14ac:dyDescent="0.25">
      <c r="D933" t="s">
        <v>3672</v>
      </c>
      <c r="E933">
        <f>1</f>
        <v>1</v>
      </c>
      <c r="F933" t="str">
        <f>TRIM('Tabela Federal'!$D933)</f>
        <v>GATIFLOXACINO</v>
      </c>
    </row>
    <row r="934" spans="4:6" x14ac:dyDescent="0.25">
      <c r="D934" t="s">
        <v>3673</v>
      </c>
      <c r="E934">
        <f>1</f>
        <v>1</v>
      </c>
      <c r="F934" t="str">
        <f>TRIM('Tabela Federal'!$D934)</f>
        <v>GEFITINIBE</v>
      </c>
    </row>
    <row r="935" spans="4:6" x14ac:dyDescent="0.25">
      <c r="D935" t="s">
        <v>3674</v>
      </c>
      <c r="E935">
        <f>1</f>
        <v>1</v>
      </c>
      <c r="F935" t="str">
        <f>TRIM('Tabela Federal'!$D935)</f>
        <v>GENFIBROZILA</v>
      </c>
    </row>
    <row r="936" spans="4:6" x14ac:dyDescent="0.25">
      <c r="D936" t="s">
        <v>4164</v>
      </c>
      <c r="E936">
        <f>1</f>
        <v>1</v>
      </c>
      <c r="F936" t="str">
        <f>TRIM('Tabela Federal'!$D936)</f>
        <v>GENTAMICINA</v>
      </c>
    </row>
    <row r="937" spans="4:6" x14ac:dyDescent="0.25">
      <c r="D937" t="s">
        <v>3675</v>
      </c>
      <c r="E937">
        <f>1</f>
        <v>1</v>
      </c>
      <c r="F937" t="str">
        <f>TRIM('Tabela Federal'!$D937)</f>
        <v>GENTUZUMABE OZOGAMICINA</v>
      </c>
    </row>
    <row r="938" spans="4:6" x14ac:dyDescent="0.25">
      <c r="D938" t="s">
        <v>3676</v>
      </c>
      <c r="E938">
        <f>1</f>
        <v>1</v>
      </c>
      <c r="F938" t="str">
        <f>TRIM('Tabela Federal'!$D938)</f>
        <v>GESTRINONA</v>
      </c>
    </row>
    <row r="939" spans="4:6" x14ac:dyDescent="0.25">
      <c r="D939" t="s">
        <v>2782</v>
      </c>
      <c r="E939">
        <f>1</f>
        <v>1</v>
      </c>
      <c r="F939" t="str">
        <f>TRIM('Tabela Federal'!$D939)</f>
        <v>GLIBENCLAMIDA</v>
      </c>
    </row>
    <row r="940" spans="4:6" x14ac:dyDescent="0.25">
      <c r="D940" t="s">
        <v>3677</v>
      </c>
      <c r="E940">
        <f>1</f>
        <v>1</v>
      </c>
      <c r="F940" t="str">
        <f>TRIM('Tabela Federal'!$D940)</f>
        <v>GLICAMETACINA</v>
      </c>
    </row>
    <row r="941" spans="4:6" x14ac:dyDescent="0.25">
      <c r="D941" t="s">
        <v>4400</v>
      </c>
      <c r="E941">
        <f>1</f>
        <v>1</v>
      </c>
      <c r="F941" t="str">
        <f>TRIM('Tabela Federal'!$D941)</f>
        <v>GLICEROFOSFATO DE SODIO</v>
      </c>
    </row>
    <row r="942" spans="4:6" x14ac:dyDescent="0.25">
      <c r="D942" t="s">
        <v>3678</v>
      </c>
      <c r="E942">
        <f>1</f>
        <v>1</v>
      </c>
      <c r="F942" t="str">
        <f>TRIM('Tabela Federal'!$D942)</f>
        <v>GLICEROL</v>
      </c>
    </row>
    <row r="943" spans="4:6" x14ac:dyDescent="0.25">
      <c r="D943" t="s">
        <v>3679</v>
      </c>
      <c r="E943">
        <f>1</f>
        <v>1</v>
      </c>
      <c r="F943" t="str">
        <f>TRIM('Tabela Federal'!$D943)</f>
        <v>GLICINA</v>
      </c>
    </row>
    <row r="944" spans="4:6" x14ac:dyDescent="0.25">
      <c r="D944" t="s">
        <v>3680</v>
      </c>
      <c r="E944">
        <f>1</f>
        <v>1</v>
      </c>
      <c r="F944" t="str">
        <f>TRIM('Tabela Federal'!$D944)</f>
        <v>GLICLAZIDA</v>
      </c>
    </row>
    <row r="945" spans="4:6" x14ac:dyDescent="0.25">
      <c r="D945" t="s">
        <v>4222</v>
      </c>
      <c r="E945">
        <f>1</f>
        <v>1</v>
      </c>
      <c r="F945" t="str">
        <f>TRIM('Tabela Federal'!$D945)</f>
        <v>GLICONATO DE CALCIO</v>
      </c>
    </row>
    <row r="946" spans="4:6" x14ac:dyDescent="0.25">
      <c r="D946" t="s">
        <v>3681</v>
      </c>
      <c r="E946">
        <f>1</f>
        <v>1</v>
      </c>
      <c r="F946" t="str">
        <f>TRIM('Tabela Federal'!$D946)</f>
        <v>GLICONATO DE CLOREXIDINA</v>
      </c>
    </row>
    <row r="947" spans="4:6" x14ac:dyDescent="0.25">
      <c r="D947" t="s">
        <v>4310</v>
      </c>
      <c r="E947">
        <f>1</f>
        <v>1</v>
      </c>
      <c r="F947" t="str">
        <f>TRIM('Tabela Federal'!$D947)</f>
        <v>GLICOPROTEINA DE KLEBSIELLA PNEUMONIAE</v>
      </c>
    </row>
    <row r="948" spans="4:6" x14ac:dyDescent="0.25">
      <c r="D948" t="s">
        <v>3175</v>
      </c>
      <c r="E948">
        <f>1</f>
        <v>1</v>
      </c>
      <c r="F948" t="str">
        <f>TRIM('Tabela Federal'!$D948)</f>
        <v>GLICOSE</v>
      </c>
    </row>
    <row r="949" spans="4:6" x14ac:dyDescent="0.25">
      <c r="D949" t="s">
        <v>3682</v>
      </c>
      <c r="E949">
        <f>1</f>
        <v>1</v>
      </c>
      <c r="F949" t="str">
        <f>TRIM('Tabela Federal'!$D949)</f>
        <v>GLIMEPIRIDA</v>
      </c>
    </row>
    <row r="950" spans="4:6" x14ac:dyDescent="0.25">
      <c r="D950" t="s">
        <v>3682</v>
      </c>
      <c r="E950">
        <f>1</f>
        <v>1</v>
      </c>
      <c r="F950" t="str">
        <f>TRIM('Tabela Federal'!$D950)</f>
        <v>GLIMEPIRIDA</v>
      </c>
    </row>
    <row r="951" spans="4:6" x14ac:dyDescent="0.25">
      <c r="D951" t="s">
        <v>3683</v>
      </c>
      <c r="E951">
        <f>1</f>
        <v>1</v>
      </c>
      <c r="F951" t="str">
        <f>TRIM('Tabela Federal'!$D951)</f>
        <v>GLIPIZIDA</v>
      </c>
    </row>
    <row r="952" spans="4:6" x14ac:dyDescent="0.25">
      <c r="D952" t="s">
        <v>3684</v>
      </c>
      <c r="E952">
        <f>1</f>
        <v>1</v>
      </c>
      <c r="F952" t="str">
        <f>TRIM('Tabela Federal'!$D952)</f>
        <v>GLUCAGON</v>
      </c>
    </row>
    <row r="953" spans="4:6" x14ac:dyDescent="0.25">
      <c r="D953" t="s">
        <v>3685</v>
      </c>
      <c r="E953">
        <f>1</f>
        <v>1</v>
      </c>
      <c r="F953" t="str">
        <f>TRIM('Tabela Federal'!$D953)</f>
        <v>GLUTARAL</v>
      </c>
    </row>
    <row r="954" spans="4:6" x14ac:dyDescent="0.25">
      <c r="D954" t="s">
        <v>4567</v>
      </c>
      <c r="E954">
        <f>1</f>
        <v>1</v>
      </c>
      <c r="F954" t="str">
        <f>TRIM('Tabela Federal'!$D954)</f>
        <v>GOLIMUMABE</v>
      </c>
    </row>
    <row r="955" spans="4:6" x14ac:dyDescent="0.25">
      <c r="D955" t="s">
        <v>4401</v>
      </c>
      <c r="E955">
        <f>1</f>
        <v>1</v>
      </c>
      <c r="F955" t="str">
        <f>TRIM('Tabela Federal'!$D955)</f>
        <v>GONADOTROPINA CORIONICA</v>
      </c>
    </row>
    <row r="956" spans="4:6" x14ac:dyDescent="0.25">
      <c r="D956" t="s">
        <v>3686</v>
      </c>
      <c r="E956">
        <f>1</f>
        <v>1</v>
      </c>
      <c r="F956" t="str">
        <f>TRIM('Tabela Federal'!$D956)</f>
        <v>GRISEOFULVINA</v>
      </c>
    </row>
    <row r="957" spans="4:6" x14ac:dyDescent="0.25">
      <c r="D957" t="s">
        <v>2703</v>
      </c>
      <c r="E957">
        <f>1</f>
        <v>1</v>
      </c>
      <c r="F957" t="str">
        <f>TRIM('Tabela Federal'!$D957)</f>
        <v>GUAIFENESINA</v>
      </c>
    </row>
    <row r="958" spans="4:6" x14ac:dyDescent="0.25">
      <c r="D958" t="s">
        <v>3687</v>
      </c>
      <c r="E958">
        <f>1</f>
        <v>1</v>
      </c>
      <c r="F958" t="str">
        <f>TRIM('Tabela Federal'!$D958)</f>
        <v>HALOPERIDOL</v>
      </c>
    </row>
    <row r="959" spans="4:6" x14ac:dyDescent="0.25">
      <c r="D959" t="s">
        <v>3688</v>
      </c>
      <c r="E959">
        <f>1</f>
        <v>1</v>
      </c>
      <c r="F959" t="str">
        <f>TRIM('Tabela Federal'!$D959)</f>
        <v>HALOTANO</v>
      </c>
    </row>
    <row r="960" spans="4:6" x14ac:dyDescent="0.25">
      <c r="D960" t="s">
        <v>3689</v>
      </c>
      <c r="E960">
        <f>1</f>
        <v>1</v>
      </c>
      <c r="F960" t="str">
        <f>TRIM('Tabela Federal'!$D960)</f>
        <v>HEMIFUMARATO DE ALISQUIRENO</v>
      </c>
    </row>
    <row r="961" spans="4:6" x14ac:dyDescent="0.25">
      <c r="D961" t="s">
        <v>3689</v>
      </c>
      <c r="E961">
        <f>1</f>
        <v>1</v>
      </c>
      <c r="F961" t="str">
        <f>TRIM('Tabela Federal'!$D961)</f>
        <v>HEMIFUMARATO DE ALISQUIRENO</v>
      </c>
    </row>
    <row r="962" spans="4:6" x14ac:dyDescent="0.25">
      <c r="D962" t="s">
        <v>3690</v>
      </c>
      <c r="E962">
        <f>1</f>
        <v>1</v>
      </c>
      <c r="F962" t="str">
        <f>TRIM('Tabela Federal'!$D962)</f>
        <v>HEMISSUCCINATO DE HIDROCORTISONA</v>
      </c>
    </row>
    <row r="963" spans="4:6" x14ac:dyDescent="0.25">
      <c r="D963" t="s">
        <v>3691</v>
      </c>
      <c r="E963">
        <f>1</f>
        <v>1</v>
      </c>
      <c r="F963" t="str">
        <f>TRIM('Tabela Federal'!$D963)</f>
        <v>HEMITARTARATO DE EPINEFRINA</v>
      </c>
    </row>
    <row r="964" spans="4:6" x14ac:dyDescent="0.25">
      <c r="D964" t="s">
        <v>3692</v>
      </c>
      <c r="E964">
        <f>1</f>
        <v>1</v>
      </c>
      <c r="F964" t="str">
        <f>TRIM('Tabela Federal'!$D964)</f>
        <v>HEMITARTARATO DE METARAMINOL</v>
      </c>
    </row>
    <row r="965" spans="4:6" x14ac:dyDescent="0.25">
      <c r="D965" t="s">
        <v>3693</v>
      </c>
      <c r="E965">
        <f>1</f>
        <v>1</v>
      </c>
      <c r="F965" t="str">
        <f>TRIM('Tabela Federal'!$D965)</f>
        <v>HEMITARTARATO DE NOREPINEFRINA</v>
      </c>
    </row>
    <row r="966" spans="4:6" x14ac:dyDescent="0.25">
      <c r="D966" t="s">
        <v>3694</v>
      </c>
      <c r="E966">
        <f>1</f>
        <v>1</v>
      </c>
      <c r="F966" t="str">
        <f>TRIM('Tabela Federal'!$D966)</f>
        <v>HEMITARTARATO DE ZOLPIDEM</v>
      </c>
    </row>
    <row r="967" spans="4:6" x14ac:dyDescent="0.25">
      <c r="D967" t="s">
        <v>3695</v>
      </c>
      <c r="E967">
        <f>1</f>
        <v>1</v>
      </c>
      <c r="F967" t="str">
        <f>TRIM('Tabela Federal'!$D967)</f>
        <v>HEPARINA</v>
      </c>
    </row>
    <row r="968" spans="4:6" x14ac:dyDescent="0.25">
      <c r="D968" t="s">
        <v>3695</v>
      </c>
      <c r="E968">
        <f>1</f>
        <v>1</v>
      </c>
      <c r="F968" t="str">
        <f>TRIM('Tabela Federal'!$D968)</f>
        <v>HEPARINA</v>
      </c>
    </row>
    <row r="969" spans="4:6" x14ac:dyDescent="0.25">
      <c r="D969" t="s">
        <v>4402</v>
      </c>
      <c r="E969">
        <f>1</f>
        <v>1</v>
      </c>
      <c r="F969" t="str">
        <f>TRIM('Tabela Federal'!$D969)</f>
        <v>HEPARINA SODICA</v>
      </c>
    </row>
    <row r="970" spans="4:6" x14ac:dyDescent="0.25">
      <c r="D970" t="s">
        <v>4402</v>
      </c>
      <c r="E970">
        <f>1</f>
        <v>1</v>
      </c>
      <c r="F970" t="str">
        <f>TRIM('Tabela Federal'!$D970)</f>
        <v>HEPARINA SODICA</v>
      </c>
    </row>
    <row r="971" spans="4:6" x14ac:dyDescent="0.25">
      <c r="D971" t="s">
        <v>4403</v>
      </c>
      <c r="E971">
        <f>1</f>
        <v>1</v>
      </c>
      <c r="F971" t="str">
        <f>TRIM('Tabela Federal'!$D971)</f>
        <v>HEPARINOIDE</v>
      </c>
    </row>
    <row r="972" spans="4:6" x14ac:dyDescent="0.25">
      <c r="D972" t="s">
        <v>3696</v>
      </c>
      <c r="E972">
        <f>1</f>
        <v>1</v>
      </c>
      <c r="F972" t="str">
        <f>TRIM('Tabela Federal'!$D972)</f>
        <v>HETAMIDO</v>
      </c>
    </row>
    <row r="973" spans="4:6" x14ac:dyDescent="0.25">
      <c r="D973" t="s">
        <v>3697</v>
      </c>
      <c r="E973">
        <f>1</f>
        <v>1</v>
      </c>
      <c r="F973" t="str">
        <f>TRIM('Tabela Federal'!$D973)</f>
        <v>HEXACETONIDA DE TRIANCINOLONA</v>
      </c>
    </row>
    <row r="974" spans="4:6" x14ac:dyDescent="0.25">
      <c r="D974" t="s">
        <v>3698</v>
      </c>
      <c r="E974">
        <f>1</f>
        <v>1</v>
      </c>
      <c r="F974" t="str">
        <f>TRIM('Tabela Federal'!$D974)</f>
        <v>HEXAIDROBENZOATO DE ESTRADIOL</v>
      </c>
    </row>
    <row r="975" spans="4:6" x14ac:dyDescent="0.25">
      <c r="D975" t="s">
        <v>4404</v>
      </c>
      <c r="E975">
        <f>1</f>
        <v>1</v>
      </c>
      <c r="F975" t="str">
        <f>TRIM('Tabela Federal'!$D975)</f>
        <v>HIALURONATO DE SODIO</v>
      </c>
    </row>
    <row r="976" spans="4:6" x14ac:dyDescent="0.25">
      <c r="D976" t="s">
        <v>3195</v>
      </c>
      <c r="E976">
        <f>1</f>
        <v>1</v>
      </c>
      <c r="F976" t="str">
        <f>TRIM('Tabela Federal'!$D976)</f>
        <v>HIALURONIDASE</v>
      </c>
    </row>
    <row r="977" spans="4:6" x14ac:dyDescent="0.25">
      <c r="D977" t="s">
        <v>3195</v>
      </c>
      <c r="E977">
        <f>1</f>
        <v>1</v>
      </c>
      <c r="F977" t="str">
        <f>TRIM('Tabela Federal'!$D977)</f>
        <v>HIALURONIDASE</v>
      </c>
    </row>
    <row r="978" spans="4:6" x14ac:dyDescent="0.25">
      <c r="D978" t="s">
        <v>3699</v>
      </c>
      <c r="E978">
        <f>1</f>
        <v>1</v>
      </c>
      <c r="F978" t="str">
        <f>TRIM('Tabela Federal'!$D978)</f>
        <v>HIDROCLOROTIAZIDA</v>
      </c>
    </row>
    <row r="979" spans="4:6" x14ac:dyDescent="0.25">
      <c r="D979" t="s">
        <v>3699</v>
      </c>
      <c r="E979">
        <f>1</f>
        <v>1</v>
      </c>
      <c r="F979" t="str">
        <f>TRIM('Tabela Federal'!$D979)</f>
        <v>HIDROCLOROTIAZIDA</v>
      </c>
    </row>
    <row r="980" spans="4:6" x14ac:dyDescent="0.25">
      <c r="D980" t="s">
        <v>3699</v>
      </c>
      <c r="E980">
        <f>1</f>
        <v>1</v>
      </c>
      <c r="F980" t="str">
        <f>TRIM('Tabela Federal'!$D980)</f>
        <v>HIDROCLOROTIAZIDA</v>
      </c>
    </row>
    <row r="981" spans="4:6" x14ac:dyDescent="0.25">
      <c r="D981" t="s">
        <v>3699</v>
      </c>
      <c r="E981">
        <f>1</f>
        <v>1</v>
      </c>
      <c r="F981" t="str">
        <f>TRIM('Tabela Federal'!$D981)</f>
        <v>HIDROCLOROTIAZIDA</v>
      </c>
    </row>
    <row r="982" spans="4:6" x14ac:dyDescent="0.25">
      <c r="D982" t="s">
        <v>3699</v>
      </c>
      <c r="E982">
        <f>1</f>
        <v>1</v>
      </c>
      <c r="F982" t="str">
        <f>TRIM('Tabela Federal'!$D982)</f>
        <v>HIDROCLOROTIAZIDA</v>
      </c>
    </row>
    <row r="983" spans="4:6" x14ac:dyDescent="0.25">
      <c r="D983" t="s">
        <v>3699</v>
      </c>
      <c r="E983">
        <f>1</f>
        <v>1</v>
      </c>
      <c r="F983" t="str">
        <f>TRIM('Tabela Federal'!$D983)</f>
        <v>HIDROCLOROTIAZIDA</v>
      </c>
    </row>
    <row r="984" spans="4:6" x14ac:dyDescent="0.25">
      <c r="D984" t="s">
        <v>3699</v>
      </c>
      <c r="E984">
        <f>1</f>
        <v>1</v>
      </c>
      <c r="F984" t="str">
        <f>TRIM('Tabela Federal'!$D984)</f>
        <v>HIDROCLOROTIAZIDA</v>
      </c>
    </row>
    <row r="985" spans="4:6" x14ac:dyDescent="0.25">
      <c r="D985" t="s">
        <v>3699</v>
      </c>
      <c r="E985">
        <f>1</f>
        <v>1</v>
      </c>
      <c r="F985" t="str">
        <f>TRIM('Tabela Federal'!$D985)</f>
        <v>HIDROCLOROTIAZIDA</v>
      </c>
    </row>
    <row r="986" spans="4:6" x14ac:dyDescent="0.25">
      <c r="D986" t="s">
        <v>3699</v>
      </c>
      <c r="E986">
        <f>1</f>
        <v>1</v>
      </c>
      <c r="F986" t="str">
        <f>TRIM('Tabela Federal'!$D986)</f>
        <v>HIDROCLOROTIAZIDA</v>
      </c>
    </row>
    <row r="987" spans="4:6" x14ac:dyDescent="0.25">
      <c r="D987" t="s">
        <v>3699</v>
      </c>
      <c r="E987">
        <f>1</f>
        <v>1</v>
      </c>
      <c r="F987" t="str">
        <f>TRIM('Tabela Federal'!$D987)</f>
        <v>HIDROCLOROTIAZIDA</v>
      </c>
    </row>
    <row r="988" spans="4:6" x14ac:dyDescent="0.25">
      <c r="D988" t="s">
        <v>3699</v>
      </c>
      <c r="E988">
        <f>1</f>
        <v>1</v>
      </c>
      <c r="F988" t="str">
        <f>TRIM('Tabela Federal'!$D988)</f>
        <v>HIDROCLOROTIAZIDA</v>
      </c>
    </row>
    <row r="989" spans="4:6" x14ac:dyDescent="0.25">
      <c r="D989" t="s">
        <v>3699</v>
      </c>
      <c r="E989">
        <f>1</f>
        <v>1</v>
      </c>
      <c r="F989" t="str">
        <f>TRIM('Tabela Federal'!$D989)</f>
        <v>HIDROCLOROTIAZIDA</v>
      </c>
    </row>
    <row r="990" spans="4:6" x14ac:dyDescent="0.25">
      <c r="D990" t="s">
        <v>3699</v>
      </c>
      <c r="E990">
        <f>1</f>
        <v>1</v>
      </c>
      <c r="F990" t="str">
        <f>TRIM('Tabela Federal'!$D990)</f>
        <v>HIDROCLOROTIAZIDA</v>
      </c>
    </row>
    <row r="991" spans="4:6" x14ac:dyDescent="0.25">
      <c r="D991" t="s">
        <v>3699</v>
      </c>
      <c r="E991">
        <f>1</f>
        <v>1</v>
      </c>
      <c r="F991" t="str">
        <f>TRIM('Tabela Federal'!$D991)</f>
        <v>HIDROCLOROTIAZIDA</v>
      </c>
    </row>
    <row r="992" spans="4:6" x14ac:dyDescent="0.25">
      <c r="D992" t="s">
        <v>3699</v>
      </c>
      <c r="E992">
        <f>1</f>
        <v>1</v>
      </c>
      <c r="F992" t="str">
        <f>TRIM('Tabela Federal'!$D992)</f>
        <v>HIDROCLOROTIAZIDA</v>
      </c>
    </row>
    <row r="993" spans="4:6" x14ac:dyDescent="0.25">
      <c r="D993" t="s">
        <v>3699</v>
      </c>
      <c r="E993">
        <f>1</f>
        <v>1</v>
      </c>
      <c r="F993" t="str">
        <f>TRIM('Tabela Federal'!$D993)</f>
        <v>HIDROCLOROTIAZIDA</v>
      </c>
    </row>
    <row r="994" spans="4:6" x14ac:dyDescent="0.25">
      <c r="D994" t="s">
        <v>3194</v>
      </c>
      <c r="E994">
        <f>1</f>
        <v>1</v>
      </c>
      <c r="F994" t="str">
        <f>TRIM('Tabela Federal'!$D994)</f>
        <v>HIDROCORTISONA</v>
      </c>
    </row>
    <row r="995" spans="4:6" x14ac:dyDescent="0.25">
      <c r="D995" t="s">
        <v>4568</v>
      </c>
      <c r="E995">
        <f>1</f>
        <v>1</v>
      </c>
      <c r="F995" t="str">
        <f>TRIM('Tabela Federal'!$D995)</f>
        <v>HIDROGENOTARTARATO DE RIVASTIGMINA</v>
      </c>
    </row>
    <row r="996" spans="4:6" x14ac:dyDescent="0.25">
      <c r="D996" t="s">
        <v>4569</v>
      </c>
      <c r="E996">
        <f>1</f>
        <v>1</v>
      </c>
      <c r="F996" t="str">
        <f>TRIM('Tabela Federal'!$D996)</f>
        <v>HIDROMORFONA</v>
      </c>
    </row>
    <row r="997" spans="4:6" x14ac:dyDescent="0.25">
      <c r="D997" t="s">
        <v>4405</v>
      </c>
      <c r="E997">
        <f>1</f>
        <v>1</v>
      </c>
      <c r="F997" t="str">
        <f>TRIM('Tabela Federal'!$D997)</f>
        <v>HIDROXIDO DE SODIO</v>
      </c>
    </row>
    <row r="998" spans="4:6" x14ac:dyDescent="0.25">
      <c r="D998" t="s">
        <v>4252</v>
      </c>
      <c r="E998">
        <f>1</f>
        <v>1</v>
      </c>
      <c r="F998" t="str">
        <f>TRIM('Tabela Federal'!$D998)</f>
        <v>HIDROXIUREIA</v>
      </c>
    </row>
    <row r="999" spans="4:6" x14ac:dyDescent="0.25">
      <c r="D999" t="s">
        <v>3700</v>
      </c>
      <c r="E999">
        <f>1</f>
        <v>1</v>
      </c>
      <c r="F999" t="str">
        <f>TRIM('Tabela Federal'!$D999)</f>
        <v>HISTIDINA</v>
      </c>
    </row>
    <row r="1000" spans="4:6" x14ac:dyDescent="0.25">
      <c r="D1000" t="s">
        <v>4406</v>
      </c>
      <c r="E1000">
        <f>1</f>
        <v>1</v>
      </c>
      <c r="F1000" t="str">
        <f>TRIM('Tabela Federal'!$D1000)</f>
        <v>HORMONIO FOLICULO ESTIMULANTE</v>
      </c>
    </row>
    <row r="1001" spans="4:6" x14ac:dyDescent="0.25">
      <c r="D1001" t="s">
        <v>4406</v>
      </c>
      <c r="E1001">
        <f>1</f>
        <v>1</v>
      </c>
      <c r="F1001" t="str">
        <f>TRIM('Tabela Federal'!$D1001)</f>
        <v>HORMONIO FOLICULO ESTIMULANTE</v>
      </c>
    </row>
    <row r="1002" spans="4:6" x14ac:dyDescent="0.25">
      <c r="D1002" t="s">
        <v>4407</v>
      </c>
      <c r="E1002">
        <f>1</f>
        <v>1</v>
      </c>
      <c r="F1002" t="str">
        <f>TRIM('Tabela Federal'!$D1002)</f>
        <v>HORMONIO LUTEINIZANTE</v>
      </c>
    </row>
    <row r="1003" spans="4:6" x14ac:dyDescent="0.25">
      <c r="D1003" t="s">
        <v>4408</v>
      </c>
      <c r="E1003">
        <f>1</f>
        <v>1</v>
      </c>
      <c r="F1003" t="str">
        <f>TRIM('Tabela Federal'!$D1003)</f>
        <v>IBANDRONATO SODICO</v>
      </c>
    </row>
    <row r="1004" spans="4:6" x14ac:dyDescent="0.25">
      <c r="D1004" t="s">
        <v>3701</v>
      </c>
      <c r="E1004">
        <f>1</f>
        <v>1</v>
      </c>
      <c r="F1004" t="str">
        <f>TRIM('Tabela Federal'!$D1004)</f>
        <v>IBOPAMINA</v>
      </c>
    </row>
    <row r="1005" spans="4:6" x14ac:dyDescent="0.25">
      <c r="D1005" t="s">
        <v>2614</v>
      </c>
      <c r="E1005">
        <f>1</f>
        <v>1</v>
      </c>
      <c r="F1005" t="str">
        <f>TRIM('Tabela Federal'!$D1005)</f>
        <v>IBUPROFENO</v>
      </c>
    </row>
    <row r="1006" spans="4:6" x14ac:dyDescent="0.25">
      <c r="D1006" t="s">
        <v>3702</v>
      </c>
      <c r="E1006">
        <f>1</f>
        <v>1</v>
      </c>
      <c r="F1006" t="str">
        <f>TRIM('Tabela Federal'!$D1006)</f>
        <v>ICODEXTRINA</v>
      </c>
    </row>
    <row r="1007" spans="4:6" x14ac:dyDescent="0.25">
      <c r="D1007" t="s">
        <v>3703</v>
      </c>
      <c r="E1007">
        <f>1</f>
        <v>1</v>
      </c>
      <c r="F1007" t="str">
        <f>TRIM('Tabela Federal'!$D1007)</f>
        <v>IFOSFAMIDA</v>
      </c>
    </row>
    <row r="1008" spans="4:6" x14ac:dyDescent="0.25">
      <c r="D1008" t="s">
        <v>3704</v>
      </c>
      <c r="E1008">
        <f>1</f>
        <v>1</v>
      </c>
      <c r="F1008" t="str">
        <f>TRIM('Tabela Federal'!$D1008)</f>
        <v>ILOPROSTA</v>
      </c>
    </row>
    <row r="1009" spans="4:6" x14ac:dyDescent="0.25">
      <c r="D1009" t="s">
        <v>3705</v>
      </c>
      <c r="E1009">
        <f>1</f>
        <v>1</v>
      </c>
      <c r="F1009" t="str">
        <f>TRIM('Tabela Federal'!$D1009)</f>
        <v>IMIGLUCERASE</v>
      </c>
    </row>
    <row r="1010" spans="4:6" x14ac:dyDescent="0.25">
      <c r="D1010" t="s">
        <v>2700</v>
      </c>
      <c r="E1010">
        <f>1</f>
        <v>1</v>
      </c>
      <c r="F1010" t="str">
        <f>TRIM('Tabela Federal'!$D1010)</f>
        <v>IMIPRAMINA</v>
      </c>
    </row>
    <row r="1011" spans="4:6" x14ac:dyDescent="0.25">
      <c r="D1011" t="s">
        <v>4570</v>
      </c>
      <c r="E1011">
        <f>1</f>
        <v>1</v>
      </c>
      <c r="F1011" t="str">
        <f>TRIM('Tabela Federal'!$D1011)</f>
        <v>IMIQUIMODE</v>
      </c>
    </row>
    <row r="1012" spans="4:6" x14ac:dyDescent="0.25">
      <c r="D1012" t="s">
        <v>3706</v>
      </c>
      <c r="E1012">
        <f>1</f>
        <v>1</v>
      </c>
      <c r="F1012" t="str">
        <f>TRIM('Tabela Federal'!$D1012)</f>
        <v>IMUNOCIANINA</v>
      </c>
    </row>
    <row r="1013" spans="4:6" x14ac:dyDescent="0.25">
      <c r="D1013" t="s">
        <v>4311</v>
      </c>
      <c r="E1013">
        <f>1</f>
        <v>1</v>
      </c>
      <c r="F1013" t="str">
        <f>TRIM('Tabela Federal'!$D1013)</f>
        <v>IMUNOGLOBULINA ANTI-CITOMEGALOVIRUS</v>
      </c>
    </row>
    <row r="1014" spans="4:6" x14ac:dyDescent="0.25">
      <c r="D1014" t="s">
        <v>4648</v>
      </c>
      <c r="E1014">
        <f>1</f>
        <v>1</v>
      </c>
      <c r="F1014" t="str">
        <f>TRIM('Tabela Federal'!$D1014)</f>
        <v>IMUNOGLOBULINA ANTI-RHO</v>
      </c>
    </row>
    <row r="1015" spans="4:6" x14ac:dyDescent="0.25">
      <c r="D1015" t="s">
        <v>4223</v>
      </c>
      <c r="E1015">
        <f>1</f>
        <v>1</v>
      </c>
      <c r="F1015" t="str">
        <f>TRIM('Tabela Federal'!$D1015)</f>
        <v>IMUNOGLOBULINA ANTITETANICA</v>
      </c>
    </row>
    <row r="1016" spans="4:6" x14ac:dyDescent="0.25">
      <c r="D1016" t="s">
        <v>4409</v>
      </c>
      <c r="E1016">
        <f>1</f>
        <v>1</v>
      </c>
      <c r="F1016" t="str">
        <f>TRIM('Tabela Federal'!$D1016)</f>
        <v>IMUNOGLOBULINA ANTITIMOCITO</v>
      </c>
    </row>
    <row r="1017" spans="4:6" x14ac:dyDescent="0.25">
      <c r="D1017" t="s">
        <v>3707</v>
      </c>
      <c r="E1017">
        <f>1</f>
        <v>1</v>
      </c>
      <c r="F1017" t="str">
        <f>TRIM('Tabela Federal'!$D1017)</f>
        <v>IMUNOGLOBULINA CONTRA HEPATITE B</v>
      </c>
    </row>
    <row r="1018" spans="4:6" x14ac:dyDescent="0.25">
      <c r="D1018" t="s">
        <v>3708</v>
      </c>
      <c r="E1018">
        <f>1</f>
        <v>1</v>
      </c>
      <c r="F1018" t="str">
        <f>TRIM('Tabela Federal'!$D1018)</f>
        <v>IMUNOGLOBULINA CONTRA VARICELA-ZOSTER</v>
      </c>
    </row>
    <row r="1019" spans="4:6" x14ac:dyDescent="0.25">
      <c r="D1019" t="s">
        <v>4410</v>
      </c>
      <c r="E1019">
        <f>1</f>
        <v>1</v>
      </c>
      <c r="F1019" t="str">
        <f>TRIM('Tabela Federal'!$D1019)</f>
        <v>IMUNOGLOBULINA DE COELHO ANTITIMOCITOS HUMANOS</v>
      </c>
    </row>
    <row r="1020" spans="4:6" x14ac:dyDescent="0.25">
      <c r="D1020" t="s">
        <v>3709</v>
      </c>
      <c r="E1020">
        <f>1</f>
        <v>1</v>
      </c>
      <c r="F1020" t="str">
        <f>TRIM('Tabela Federal'!$D1020)</f>
        <v>IMUNOGLOBULINA G</v>
      </c>
    </row>
    <row r="1021" spans="4:6" x14ac:dyDescent="0.25">
      <c r="D1021" t="s">
        <v>3710</v>
      </c>
      <c r="E1021">
        <f>1</f>
        <v>1</v>
      </c>
      <c r="F1021" t="str">
        <f>TRIM('Tabela Federal'!$D1021)</f>
        <v>IMUNOGLOBULINA HUMANA</v>
      </c>
    </row>
    <row r="1022" spans="4:6" x14ac:dyDescent="0.25">
      <c r="D1022" t="s">
        <v>4312</v>
      </c>
      <c r="E1022">
        <f>1</f>
        <v>1</v>
      </c>
      <c r="F1022" t="str">
        <f>TRIM('Tabela Federal'!$D1022)</f>
        <v>IMUNOGLOBULINA LINFOCITARIA ANTITIMOCITICA DE ORIGEM EQUINA</v>
      </c>
    </row>
    <row r="1023" spans="4:6" x14ac:dyDescent="0.25">
      <c r="D1023" t="s">
        <v>3711</v>
      </c>
      <c r="E1023">
        <f>1</f>
        <v>1</v>
      </c>
      <c r="F1023" t="str">
        <f>TRIM('Tabela Federal'!$D1023)</f>
        <v>INDAPAMIDA</v>
      </c>
    </row>
    <row r="1024" spans="4:6" x14ac:dyDescent="0.25">
      <c r="D1024" t="s">
        <v>3711</v>
      </c>
      <c r="E1024">
        <f>1</f>
        <v>1</v>
      </c>
      <c r="F1024" t="str">
        <f>TRIM('Tabela Federal'!$D1024)</f>
        <v>INDAPAMIDA</v>
      </c>
    </row>
    <row r="1025" spans="4:6" x14ac:dyDescent="0.25">
      <c r="D1025" t="s">
        <v>3712</v>
      </c>
      <c r="E1025">
        <f>1</f>
        <v>1</v>
      </c>
      <c r="F1025" t="str">
        <f>TRIM('Tabela Federal'!$D1025)</f>
        <v>INDIPLON</v>
      </c>
    </row>
    <row r="1026" spans="4:6" x14ac:dyDescent="0.25">
      <c r="D1026" t="s">
        <v>3713</v>
      </c>
      <c r="E1026">
        <f>1</f>
        <v>1</v>
      </c>
      <c r="F1026" t="str">
        <f>TRIM('Tabela Federal'!$D1026)</f>
        <v>INDOMETACINA</v>
      </c>
    </row>
    <row r="1027" spans="4:6" x14ac:dyDescent="0.25">
      <c r="D1027" t="s">
        <v>3714</v>
      </c>
      <c r="E1027">
        <f>1</f>
        <v>1</v>
      </c>
      <c r="F1027" t="str">
        <f>TRIM('Tabela Federal'!$D1027)</f>
        <v>INFLIXIMABE</v>
      </c>
    </row>
    <row r="1028" spans="4:6" x14ac:dyDescent="0.25">
      <c r="D1028" t="s">
        <v>3715</v>
      </c>
      <c r="E1028">
        <f>1</f>
        <v>1</v>
      </c>
      <c r="F1028" t="str">
        <f>TRIM('Tabela Federal'!$D1028)</f>
        <v>INIBIDOR DA ALFA-1 PROTEINASE</v>
      </c>
    </row>
    <row r="1029" spans="4:6" x14ac:dyDescent="0.25">
      <c r="D1029" t="s">
        <v>3716</v>
      </c>
      <c r="E1029">
        <f>1</f>
        <v>1</v>
      </c>
      <c r="F1029" t="str">
        <f>TRIM('Tabela Federal'!$D1029)</f>
        <v>INSULINA ASPARTE</v>
      </c>
    </row>
    <row r="1030" spans="4:6" x14ac:dyDescent="0.25">
      <c r="D1030" t="s">
        <v>4224</v>
      </c>
      <c r="E1030">
        <f>1</f>
        <v>1</v>
      </c>
      <c r="F1030" t="str">
        <f>TRIM('Tabela Federal'!$D1030)</f>
        <v>INSULINA BIFASICA</v>
      </c>
    </row>
    <row r="1031" spans="4:6" x14ac:dyDescent="0.25">
      <c r="D1031" t="s">
        <v>3717</v>
      </c>
      <c r="E1031">
        <f>1</f>
        <v>1</v>
      </c>
      <c r="F1031" t="str">
        <f>TRIM('Tabela Federal'!$D1031)</f>
        <v>INSULINA BOVINA</v>
      </c>
    </row>
    <row r="1032" spans="4:6" x14ac:dyDescent="0.25">
      <c r="D1032" t="s">
        <v>3718</v>
      </c>
      <c r="E1032">
        <f>1</f>
        <v>1</v>
      </c>
      <c r="F1032" t="str">
        <f>TRIM('Tabela Federal'!$D1032)</f>
        <v>INSULINA DETEMIR</v>
      </c>
    </row>
    <row r="1033" spans="4:6" x14ac:dyDescent="0.25">
      <c r="D1033" t="s">
        <v>2787</v>
      </c>
      <c r="E1033">
        <f>1</f>
        <v>1</v>
      </c>
      <c r="F1033" t="str">
        <f>TRIM('Tabela Federal'!$D1033)</f>
        <v>INSULINA GLARGINA</v>
      </c>
    </row>
    <row r="1034" spans="4:6" x14ac:dyDescent="0.25">
      <c r="D1034" t="s">
        <v>3719</v>
      </c>
      <c r="E1034">
        <f>1</f>
        <v>1</v>
      </c>
      <c r="F1034" t="str">
        <f>TRIM('Tabela Federal'!$D1034)</f>
        <v>INSULINA GLULISINA</v>
      </c>
    </row>
    <row r="1035" spans="4:6" x14ac:dyDescent="0.25">
      <c r="D1035" t="s">
        <v>2671</v>
      </c>
      <c r="E1035">
        <f>1</f>
        <v>1</v>
      </c>
      <c r="F1035" t="str">
        <f>TRIM('Tabela Federal'!$D1035)</f>
        <v>INSULINA HUMANA</v>
      </c>
    </row>
    <row r="1036" spans="4:6" x14ac:dyDescent="0.25">
      <c r="D1036" t="s">
        <v>3720</v>
      </c>
      <c r="E1036">
        <f>1</f>
        <v>1</v>
      </c>
      <c r="F1036" t="str">
        <f>TRIM('Tabela Federal'!$D1036)</f>
        <v>INSULINA ISOFANA</v>
      </c>
    </row>
    <row r="1037" spans="4:6" x14ac:dyDescent="0.25">
      <c r="D1037" t="s">
        <v>3721</v>
      </c>
      <c r="E1037">
        <f>1</f>
        <v>1</v>
      </c>
      <c r="F1037" t="str">
        <f>TRIM('Tabela Federal'!$D1037)</f>
        <v>INSULINA LISPRO</v>
      </c>
    </row>
    <row r="1038" spans="4:6" x14ac:dyDescent="0.25">
      <c r="D1038" t="s">
        <v>3722</v>
      </c>
      <c r="E1038">
        <f>1</f>
        <v>1</v>
      </c>
      <c r="F1038" t="str">
        <f>TRIM('Tabela Federal'!$D1038)</f>
        <v>INSULINA MISTA</v>
      </c>
    </row>
    <row r="1039" spans="4:6" x14ac:dyDescent="0.25">
      <c r="D1039" t="s">
        <v>4313</v>
      </c>
      <c r="E1039">
        <f>1</f>
        <v>1</v>
      </c>
      <c r="F1039" t="str">
        <f>TRIM('Tabela Federal'!$D1039)</f>
        <v>INSULINA SUINA</v>
      </c>
    </row>
    <row r="1040" spans="4:6" x14ac:dyDescent="0.25">
      <c r="D1040" t="s">
        <v>3723</v>
      </c>
      <c r="E1040">
        <f>1</f>
        <v>1</v>
      </c>
      <c r="F1040" t="str">
        <f>TRIM('Tabela Federal'!$D1040)</f>
        <v>INTERFERONA HUMANO DE FIBROBLASTOS</v>
      </c>
    </row>
    <row r="1041" spans="4:6" x14ac:dyDescent="0.25">
      <c r="D1041" t="s">
        <v>3724</v>
      </c>
      <c r="E1041">
        <f>1</f>
        <v>1</v>
      </c>
      <c r="F1041" t="str">
        <f>TRIM('Tabela Federal'!$D1041)</f>
        <v>INTERLEUCINA 2</v>
      </c>
    </row>
    <row r="1042" spans="4:6" x14ac:dyDescent="0.25">
      <c r="D1042" t="s">
        <v>3725</v>
      </c>
      <c r="E1042">
        <f>1</f>
        <v>1</v>
      </c>
      <c r="F1042" t="str">
        <f>TRIM('Tabela Federal'!$D1042)</f>
        <v>IOBITRIDOL</v>
      </c>
    </row>
    <row r="1043" spans="4:6" x14ac:dyDescent="0.25">
      <c r="D1043" t="s">
        <v>3726</v>
      </c>
      <c r="E1043">
        <f>1</f>
        <v>1</v>
      </c>
      <c r="F1043" t="str">
        <f>TRIM('Tabela Federal'!$D1043)</f>
        <v>IODAMIDA MEGLUMINA</v>
      </c>
    </row>
    <row r="1044" spans="4:6" x14ac:dyDescent="0.25">
      <c r="D1044" t="s">
        <v>4225</v>
      </c>
      <c r="E1044">
        <f>1</f>
        <v>1</v>
      </c>
      <c r="F1044" t="str">
        <f>TRIM('Tabela Federal'!$D1044)</f>
        <v>IODETO DE POTASSIO</v>
      </c>
    </row>
    <row r="1045" spans="4:6" x14ac:dyDescent="0.25">
      <c r="D1045" t="s">
        <v>3727</v>
      </c>
      <c r="E1045">
        <f>1</f>
        <v>1</v>
      </c>
      <c r="F1045" t="str">
        <f>TRIM('Tabela Federal'!$D1045)</f>
        <v>IODIXANOL</v>
      </c>
    </row>
    <row r="1046" spans="4:6" x14ac:dyDescent="0.25">
      <c r="D1046" t="s">
        <v>3728</v>
      </c>
      <c r="E1046">
        <f>1</f>
        <v>1</v>
      </c>
      <c r="F1046" t="str">
        <f>TRIM('Tabela Federal'!$D1046)</f>
        <v>IODOPOVIDONA</v>
      </c>
    </row>
    <row r="1047" spans="4:6" x14ac:dyDescent="0.25">
      <c r="D1047" t="s">
        <v>3729</v>
      </c>
      <c r="E1047">
        <f>1</f>
        <v>1</v>
      </c>
      <c r="F1047" t="str">
        <f>TRIM('Tabela Federal'!$D1047)</f>
        <v>IOEXOL</v>
      </c>
    </row>
    <row r="1048" spans="4:6" x14ac:dyDescent="0.25">
      <c r="D1048" t="s">
        <v>3730</v>
      </c>
      <c r="E1048">
        <f>1</f>
        <v>1</v>
      </c>
      <c r="F1048" t="str">
        <f>TRIM('Tabela Federal'!$D1048)</f>
        <v>IOGLICAMATO DE MEGLUMINA</v>
      </c>
    </row>
    <row r="1049" spans="4:6" x14ac:dyDescent="0.25">
      <c r="D1049" t="s">
        <v>3731</v>
      </c>
      <c r="E1049">
        <f>1</f>
        <v>1</v>
      </c>
      <c r="F1049" t="str">
        <f>TRIM('Tabela Federal'!$D1049)</f>
        <v>IOPAMIDOL</v>
      </c>
    </row>
    <row r="1050" spans="4:6" x14ac:dyDescent="0.25">
      <c r="D1050" t="s">
        <v>3732</v>
      </c>
      <c r="E1050">
        <f>1</f>
        <v>1</v>
      </c>
      <c r="F1050" t="str">
        <f>TRIM('Tabela Federal'!$D1050)</f>
        <v>IOPIDOL</v>
      </c>
    </row>
    <row r="1051" spans="4:6" x14ac:dyDescent="0.25">
      <c r="D1051" t="s">
        <v>3733</v>
      </c>
      <c r="E1051">
        <f>1</f>
        <v>1</v>
      </c>
      <c r="F1051" t="str">
        <f>TRIM('Tabela Federal'!$D1051)</f>
        <v>IOPROMIDA</v>
      </c>
    </row>
    <row r="1052" spans="4:6" x14ac:dyDescent="0.25">
      <c r="D1052" t="s">
        <v>3734</v>
      </c>
      <c r="E1052">
        <f>1</f>
        <v>1</v>
      </c>
      <c r="F1052" t="str">
        <f>TRIM('Tabela Federal'!$D1052)</f>
        <v>IOTALAMATO DE MEGLUMINA</v>
      </c>
    </row>
    <row r="1053" spans="4:6" x14ac:dyDescent="0.25">
      <c r="D1053" t="s">
        <v>3735</v>
      </c>
      <c r="E1053">
        <f>1</f>
        <v>1</v>
      </c>
      <c r="F1053" t="str">
        <f>TRIM('Tabela Federal'!$D1053)</f>
        <v>IOVERSOL</v>
      </c>
    </row>
    <row r="1054" spans="4:6" x14ac:dyDescent="0.25">
      <c r="D1054" t="s">
        <v>3736</v>
      </c>
      <c r="E1054">
        <f>1</f>
        <v>1</v>
      </c>
      <c r="F1054" t="str">
        <f>TRIM('Tabela Federal'!$D1054)</f>
        <v>IOXAGLATO DE MEGLUMINA</v>
      </c>
    </row>
    <row r="1055" spans="4:6" x14ac:dyDescent="0.25">
      <c r="D1055" t="s">
        <v>3737</v>
      </c>
      <c r="E1055">
        <f>1</f>
        <v>1</v>
      </c>
      <c r="F1055" t="str">
        <f>TRIM('Tabela Federal'!$D1055)</f>
        <v>IOXILANA</v>
      </c>
    </row>
    <row r="1056" spans="4:6" x14ac:dyDescent="0.25">
      <c r="D1056" t="s">
        <v>3738</v>
      </c>
      <c r="E1056">
        <f>1</f>
        <v>1</v>
      </c>
      <c r="F1056" t="str">
        <f>TRIM('Tabela Federal'!$D1056)</f>
        <v>IOXITALAMATO DE MEGLUMINA</v>
      </c>
    </row>
    <row r="1057" spans="4:6" x14ac:dyDescent="0.25">
      <c r="D1057" t="s">
        <v>3738</v>
      </c>
      <c r="E1057">
        <f>1</f>
        <v>1</v>
      </c>
      <c r="F1057" t="str">
        <f>TRIM('Tabela Federal'!$D1057)</f>
        <v>IOXITALAMATO DE MEGLUMINA</v>
      </c>
    </row>
    <row r="1058" spans="4:6" x14ac:dyDescent="0.25">
      <c r="D1058" t="s">
        <v>3738</v>
      </c>
      <c r="E1058">
        <f>1</f>
        <v>1</v>
      </c>
      <c r="F1058" t="str">
        <f>TRIM('Tabela Federal'!$D1058)</f>
        <v>IOXITALAMATO DE MEGLUMINA</v>
      </c>
    </row>
    <row r="1059" spans="4:6" x14ac:dyDescent="0.25">
      <c r="D1059" t="s">
        <v>4571</v>
      </c>
      <c r="E1059">
        <f>1</f>
        <v>1</v>
      </c>
      <c r="F1059" t="str">
        <f>TRIM('Tabela Federal'!$D1059)</f>
        <v>IPILIMUMABE</v>
      </c>
    </row>
    <row r="1060" spans="4:6" x14ac:dyDescent="0.25">
      <c r="D1060" t="s">
        <v>3739</v>
      </c>
      <c r="E1060">
        <f>1</f>
        <v>1</v>
      </c>
      <c r="F1060" t="str">
        <f>TRIM('Tabela Federal'!$D1060)</f>
        <v>IPRIFLAVONA</v>
      </c>
    </row>
    <row r="1061" spans="4:6" x14ac:dyDescent="0.25">
      <c r="D1061" t="s">
        <v>3740</v>
      </c>
      <c r="E1061">
        <f>1</f>
        <v>1</v>
      </c>
      <c r="F1061" t="str">
        <f>TRIM('Tabela Federal'!$D1061)</f>
        <v>IRBESARTANA</v>
      </c>
    </row>
    <row r="1062" spans="4:6" x14ac:dyDescent="0.25">
      <c r="D1062" t="s">
        <v>3741</v>
      </c>
      <c r="E1062">
        <f>1</f>
        <v>1</v>
      </c>
      <c r="F1062" t="str">
        <f>TRIM('Tabela Federal'!$D1062)</f>
        <v>ISETIONATO DE PENTAMIDINA</v>
      </c>
    </row>
    <row r="1063" spans="4:6" x14ac:dyDescent="0.25">
      <c r="D1063" t="s">
        <v>3742</v>
      </c>
      <c r="E1063">
        <f>1</f>
        <v>1</v>
      </c>
      <c r="F1063" t="str">
        <f>TRIM('Tabela Federal'!$D1063)</f>
        <v>ISOFLURANO</v>
      </c>
    </row>
    <row r="1064" spans="4:6" x14ac:dyDescent="0.25">
      <c r="D1064" t="s">
        <v>3743</v>
      </c>
      <c r="E1064">
        <f>1</f>
        <v>1</v>
      </c>
      <c r="F1064" t="str">
        <f>TRIM('Tabela Federal'!$D1064)</f>
        <v>ISOLEUCINA</v>
      </c>
    </row>
    <row r="1065" spans="4:6" x14ac:dyDescent="0.25">
      <c r="D1065" t="s">
        <v>3744</v>
      </c>
      <c r="E1065">
        <f>1</f>
        <v>1</v>
      </c>
      <c r="F1065" t="str">
        <f>TRIM('Tabela Federal'!$D1065)</f>
        <v>ISONIAZIDA</v>
      </c>
    </row>
    <row r="1066" spans="4:6" x14ac:dyDescent="0.25">
      <c r="D1066" t="s">
        <v>3744</v>
      </c>
      <c r="E1066">
        <f>1</f>
        <v>1</v>
      </c>
      <c r="F1066" t="str">
        <f>TRIM('Tabela Federal'!$D1066)</f>
        <v>ISONIAZIDA</v>
      </c>
    </row>
    <row r="1067" spans="4:6" x14ac:dyDescent="0.25">
      <c r="D1067" t="s">
        <v>2689</v>
      </c>
      <c r="E1067">
        <f>1</f>
        <v>1</v>
      </c>
      <c r="F1067" t="str">
        <f>TRIM('Tabela Federal'!$D1067)</f>
        <v>ISOTRETINOINA</v>
      </c>
    </row>
    <row r="1068" spans="4:6" x14ac:dyDescent="0.25">
      <c r="D1068" t="s">
        <v>3745</v>
      </c>
      <c r="E1068">
        <f>1</f>
        <v>1</v>
      </c>
      <c r="F1068" t="str">
        <f>TRIM('Tabela Federal'!$D1068)</f>
        <v>ISRADIPINO</v>
      </c>
    </row>
    <row r="1069" spans="4:6" x14ac:dyDescent="0.25">
      <c r="D1069" t="s">
        <v>3746</v>
      </c>
      <c r="E1069">
        <f>1</f>
        <v>1</v>
      </c>
      <c r="F1069" t="str">
        <f>TRIM('Tabela Federal'!$D1069)</f>
        <v>ITRACONAZOL</v>
      </c>
    </row>
    <row r="1070" spans="4:6" x14ac:dyDescent="0.25">
      <c r="D1070" t="s">
        <v>3747</v>
      </c>
      <c r="E1070">
        <f>1</f>
        <v>1</v>
      </c>
      <c r="F1070" t="str">
        <f>TRIM('Tabela Federal'!$D1070)</f>
        <v>IVERMECTINA</v>
      </c>
    </row>
    <row r="1071" spans="4:6" x14ac:dyDescent="0.25">
      <c r="D1071" t="s">
        <v>4572</v>
      </c>
      <c r="E1071">
        <f>1</f>
        <v>1</v>
      </c>
      <c r="F1071" t="str">
        <f>TRIM('Tabela Federal'!$D1071)</f>
        <v>IXABEPILONA</v>
      </c>
    </row>
    <row r="1072" spans="4:6" x14ac:dyDescent="0.25">
      <c r="D1072" t="s">
        <v>3748</v>
      </c>
      <c r="E1072">
        <f>1</f>
        <v>1</v>
      </c>
      <c r="F1072" t="str">
        <f>TRIM('Tabela Federal'!$D1072)</f>
        <v>LACIDIPINO</v>
      </c>
    </row>
    <row r="1073" spans="4:6" x14ac:dyDescent="0.25">
      <c r="D1073" t="s">
        <v>3749</v>
      </c>
      <c r="E1073">
        <f>1</f>
        <v>1</v>
      </c>
      <c r="F1073" t="str">
        <f>TRIM('Tabela Federal'!$D1073)</f>
        <v>LACTATO DE ANRINONA</v>
      </c>
    </row>
    <row r="1074" spans="4:6" x14ac:dyDescent="0.25">
      <c r="D1074" t="s">
        <v>3750</v>
      </c>
      <c r="E1074">
        <f>1</f>
        <v>1</v>
      </c>
      <c r="F1074" t="str">
        <f>TRIM('Tabela Federal'!$D1074)</f>
        <v>LACTATO DE BIPERIDENO</v>
      </c>
    </row>
    <row r="1075" spans="4:6" x14ac:dyDescent="0.25">
      <c r="D1075" t="s">
        <v>3751</v>
      </c>
      <c r="E1075">
        <f>1</f>
        <v>1</v>
      </c>
      <c r="F1075" t="str">
        <f>TRIM('Tabela Federal'!$D1075)</f>
        <v>LACTATO DE CIPROFLOXACINO</v>
      </c>
    </row>
    <row r="1076" spans="4:6" x14ac:dyDescent="0.25">
      <c r="D1076" t="s">
        <v>3752</v>
      </c>
      <c r="E1076">
        <f>1</f>
        <v>1</v>
      </c>
      <c r="F1076" t="str">
        <f>TRIM('Tabela Federal'!$D1076)</f>
        <v>LACTATO DE MILRINONA</v>
      </c>
    </row>
    <row r="1077" spans="4:6" x14ac:dyDescent="0.25">
      <c r="D1077" t="s">
        <v>4411</v>
      </c>
      <c r="E1077">
        <f>1</f>
        <v>1</v>
      </c>
      <c r="F1077" t="str">
        <f>TRIM('Tabela Federal'!$D1077)</f>
        <v>LACTATO DE SODIO</v>
      </c>
    </row>
    <row r="1078" spans="4:6" x14ac:dyDescent="0.25">
      <c r="D1078" t="s">
        <v>3753</v>
      </c>
      <c r="E1078">
        <f>1</f>
        <v>1</v>
      </c>
      <c r="F1078" t="str">
        <f>TRIM('Tabela Federal'!$D1078)</f>
        <v>LAMIVUDINA</v>
      </c>
    </row>
    <row r="1079" spans="4:6" x14ac:dyDescent="0.25">
      <c r="D1079" t="s">
        <v>3753</v>
      </c>
      <c r="E1079">
        <f>1</f>
        <v>1</v>
      </c>
      <c r="F1079" t="str">
        <f>TRIM('Tabela Federal'!$D1079)</f>
        <v>LAMIVUDINA</v>
      </c>
    </row>
    <row r="1080" spans="4:6" x14ac:dyDescent="0.25">
      <c r="D1080" t="s">
        <v>3753</v>
      </c>
      <c r="E1080">
        <f>1</f>
        <v>1</v>
      </c>
      <c r="F1080" t="str">
        <f>TRIM('Tabela Federal'!$D1080)</f>
        <v>LAMIVUDINA</v>
      </c>
    </row>
    <row r="1081" spans="4:6" x14ac:dyDescent="0.25">
      <c r="D1081" t="s">
        <v>3753</v>
      </c>
      <c r="E1081">
        <f>1</f>
        <v>1</v>
      </c>
      <c r="F1081" t="str">
        <f>TRIM('Tabela Federal'!$D1081)</f>
        <v>LAMIVUDINA</v>
      </c>
    </row>
    <row r="1082" spans="4:6" x14ac:dyDescent="0.25">
      <c r="D1082" t="s">
        <v>3754</v>
      </c>
      <c r="E1082">
        <f>1</f>
        <v>1</v>
      </c>
      <c r="F1082" t="str">
        <f>TRIM('Tabela Federal'!$D1082)</f>
        <v>LAMOTRIGINA</v>
      </c>
    </row>
    <row r="1083" spans="4:6" x14ac:dyDescent="0.25">
      <c r="D1083" t="s">
        <v>3755</v>
      </c>
      <c r="E1083">
        <f>1</f>
        <v>1</v>
      </c>
      <c r="F1083" t="str">
        <f>TRIM('Tabela Federal'!$D1083)</f>
        <v>LANSOPRAZOL</v>
      </c>
    </row>
    <row r="1084" spans="4:6" x14ac:dyDescent="0.25">
      <c r="D1084" t="s">
        <v>3756</v>
      </c>
      <c r="E1084">
        <f>1</f>
        <v>1</v>
      </c>
      <c r="F1084" t="str">
        <f>TRIM('Tabela Federal'!$D1084)</f>
        <v>LAPACHOL</v>
      </c>
    </row>
    <row r="1085" spans="4:6" x14ac:dyDescent="0.25">
      <c r="D1085" t="s">
        <v>4573</v>
      </c>
      <c r="E1085">
        <f>1</f>
        <v>1</v>
      </c>
      <c r="F1085" t="str">
        <f>TRIM('Tabela Federal'!$D1085)</f>
        <v>LAROMUSTINA</v>
      </c>
    </row>
    <row r="1086" spans="4:6" x14ac:dyDescent="0.25">
      <c r="D1086" t="s">
        <v>3757</v>
      </c>
      <c r="E1086">
        <f>1</f>
        <v>1</v>
      </c>
      <c r="F1086" t="str">
        <f>TRIM('Tabela Federal'!$D1086)</f>
        <v>LARONIDASE</v>
      </c>
    </row>
    <row r="1087" spans="4:6" x14ac:dyDescent="0.25">
      <c r="D1087" t="s">
        <v>4574</v>
      </c>
      <c r="E1087">
        <f>1</f>
        <v>1</v>
      </c>
      <c r="F1087" t="str">
        <f>TRIM('Tabela Federal'!$D1087)</f>
        <v>LAROTAXEL</v>
      </c>
    </row>
    <row r="1088" spans="4:6" x14ac:dyDescent="0.25">
      <c r="D1088" t="s">
        <v>2707</v>
      </c>
      <c r="E1088">
        <f>1</f>
        <v>1</v>
      </c>
      <c r="F1088" t="str">
        <f>TRIM('Tabela Federal'!$D1088)</f>
        <v>LATANOPROSTA</v>
      </c>
    </row>
    <row r="1089" spans="4:6" x14ac:dyDescent="0.25">
      <c r="D1089" t="s">
        <v>2707</v>
      </c>
      <c r="E1089">
        <f>1</f>
        <v>1</v>
      </c>
      <c r="F1089" t="str">
        <f>TRIM('Tabela Federal'!$D1089)</f>
        <v>LATANOPROSTA</v>
      </c>
    </row>
    <row r="1090" spans="4:6" x14ac:dyDescent="0.25">
      <c r="D1090" t="s">
        <v>4412</v>
      </c>
      <c r="E1090">
        <f>1</f>
        <v>1</v>
      </c>
      <c r="F1090" t="str">
        <f>TRIM('Tabela Federal'!$D1090)</f>
        <v>LAURILSULFATO SODICO DE MEPARTRICINA</v>
      </c>
    </row>
    <row r="1091" spans="4:6" x14ac:dyDescent="0.25">
      <c r="D1091" t="s">
        <v>3758</v>
      </c>
      <c r="E1091">
        <f>1</f>
        <v>1</v>
      </c>
      <c r="F1091" t="str">
        <f>TRIM('Tabela Federal'!$D1091)</f>
        <v>LECITINA DE OVO</v>
      </c>
    </row>
    <row r="1092" spans="4:6" x14ac:dyDescent="0.25">
      <c r="D1092" t="s">
        <v>3759</v>
      </c>
      <c r="E1092">
        <f>1</f>
        <v>1</v>
      </c>
      <c r="F1092" t="str">
        <f>TRIM('Tabela Federal'!$D1092)</f>
        <v>LEFLUNOMIDA</v>
      </c>
    </row>
    <row r="1093" spans="4:6" x14ac:dyDescent="0.25">
      <c r="D1093" t="s">
        <v>3760</v>
      </c>
      <c r="E1093">
        <f>1</f>
        <v>1</v>
      </c>
      <c r="F1093" t="str">
        <f>TRIM('Tabela Federal'!$D1093)</f>
        <v>LENOGRASTIM</v>
      </c>
    </row>
    <row r="1094" spans="4:6" x14ac:dyDescent="0.25">
      <c r="D1094" t="s">
        <v>3761</v>
      </c>
      <c r="E1094">
        <f>1</f>
        <v>1</v>
      </c>
      <c r="F1094" t="str">
        <f>TRIM('Tabela Federal'!$D1094)</f>
        <v>LETROZOL</v>
      </c>
    </row>
    <row r="1095" spans="4:6" x14ac:dyDescent="0.25">
      <c r="D1095" t="s">
        <v>3762</v>
      </c>
      <c r="E1095">
        <f>1</f>
        <v>1</v>
      </c>
      <c r="F1095" t="str">
        <f>TRIM('Tabela Federal'!$D1095)</f>
        <v>LEUCINA</v>
      </c>
    </row>
    <row r="1096" spans="4:6" x14ac:dyDescent="0.25">
      <c r="D1096" t="s">
        <v>2664</v>
      </c>
      <c r="E1096">
        <f>1</f>
        <v>1</v>
      </c>
      <c r="F1096" t="str">
        <f>TRIM('Tabela Federal'!$D1096)</f>
        <v>LEVOFLOXACINO</v>
      </c>
    </row>
    <row r="1097" spans="4:6" x14ac:dyDescent="0.25">
      <c r="D1097" t="s">
        <v>4226</v>
      </c>
      <c r="E1097">
        <f>1</f>
        <v>1</v>
      </c>
      <c r="F1097" t="str">
        <f>TRIM('Tabela Federal'!$D1097)</f>
        <v>LEVOFOLINATO DE CALCIO</v>
      </c>
    </row>
    <row r="1098" spans="4:6" x14ac:dyDescent="0.25">
      <c r="D1098" t="s">
        <v>2638</v>
      </c>
      <c r="E1098">
        <f>1</f>
        <v>1</v>
      </c>
      <c r="F1098" t="str">
        <f>TRIM('Tabela Federal'!$D1098)</f>
        <v>LEVONORGESTREL</v>
      </c>
    </row>
    <row r="1099" spans="4:6" x14ac:dyDescent="0.25">
      <c r="D1099" t="s">
        <v>2638</v>
      </c>
      <c r="E1099">
        <f>1</f>
        <v>1</v>
      </c>
      <c r="F1099" t="str">
        <f>TRIM('Tabela Federal'!$D1099)</f>
        <v>LEVONORGESTREL</v>
      </c>
    </row>
    <row r="1100" spans="4:6" x14ac:dyDescent="0.25">
      <c r="D1100" t="s">
        <v>3763</v>
      </c>
      <c r="E1100">
        <f>1</f>
        <v>1</v>
      </c>
      <c r="F1100" t="str">
        <f>TRIM('Tabela Federal'!$D1100)</f>
        <v>LEVOSIMENDANA</v>
      </c>
    </row>
    <row r="1101" spans="4:6" x14ac:dyDescent="0.25">
      <c r="D1101" t="s">
        <v>4413</v>
      </c>
      <c r="E1101">
        <f>1</f>
        <v>1</v>
      </c>
      <c r="F1101" t="str">
        <f>TRIM('Tabela Federal'!$D1101)</f>
        <v>LEVOTIROXINA SODICA</v>
      </c>
    </row>
    <row r="1102" spans="4:6" x14ac:dyDescent="0.25">
      <c r="D1102" t="s">
        <v>4413</v>
      </c>
      <c r="E1102">
        <f>1</f>
        <v>1</v>
      </c>
      <c r="F1102" t="str">
        <f>TRIM('Tabela Federal'!$D1102)</f>
        <v>LEVOTIROXINA SODICA</v>
      </c>
    </row>
    <row r="1103" spans="4:6" x14ac:dyDescent="0.25">
      <c r="D1103" t="s">
        <v>3764</v>
      </c>
      <c r="E1103">
        <f>1</f>
        <v>1</v>
      </c>
      <c r="F1103" t="str">
        <f>TRIM('Tabela Federal'!$D1103)</f>
        <v>LEVOVALINA</v>
      </c>
    </row>
    <row r="1104" spans="4:6" x14ac:dyDescent="0.25">
      <c r="D1104" t="s">
        <v>3765</v>
      </c>
      <c r="E1104">
        <f>1</f>
        <v>1</v>
      </c>
      <c r="F1104" t="str">
        <f>TRIM('Tabela Federal'!$D1104)</f>
        <v>LEVULINATO DE METILA</v>
      </c>
    </row>
    <row r="1105" spans="4:6" x14ac:dyDescent="0.25">
      <c r="D1105" t="s">
        <v>3177</v>
      </c>
      <c r="E1105">
        <f>1</f>
        <v>1</v>
      </c>
      <c r="F1105" t="str">
        <f>TRIM('Tabela Federal'!$D1105)</f>
        <v>LIDOCAINA</v>
      </c>
    </row>
    <row r="1106" spans="4:6" x14ac:dyDescent="0.25">
      <c r="D1106" t="s">
        <v>3177</v>
      </c>
      <c r="E1106">
        <f>1</f>
        <v>1</v>
      </c>
      <c r="F1106" t="str">
        <f>TRIM('Tabela Federal'!$D1106)</f>
        <v>LIDOCAINA</v>
      </c>
    </row>
    <row r="1107" spans="4:6" x14ac:dyDescent="0.25">
      <c r="D1107" t="s">
        <v>3766</v>
      </c>
      <c r="E1107">
        <f>1</f>
        <v>1</v>
      </c>
      <c r="F1107" t="str">
        <f>TRIM('Tabela Federal'!$D1107)</f>
        <v>LIMECICLINA</v>
      </c>
    </row>
    <row r="1108" spans="4:6" x14ac:dyDescent="0.25">
      <c r="D1108" t="s">
        <v>3767</v>
      </c>
      <c r="E1108">
        <f>1</f>
        <v>1</v>
      </c>
      <c r="F1108" t="str">
        <f>TRIM('Tabela Federal'!$D1108)</f>
        <v>LINESTRENOL</v>
      </c>
    </row>
    <row r="1109" spans="4:6" x14ac:dyDescent="0.25">
      <c r="D1109" t="s">
        <v>3768</v>
      </c>
      <c r="E1109">
        <f>1</f>
        <v>1</v>
      </c>
      <c r="F1109" t="str">
        <f>TRIM('Tabela Federal'!$D1109)</f>
        <v>LINEZOLIDA</v>
      </c>
    </row>
    <row r="1110" spans="4:6" x14ac:dyDescent="0.25">
      <c r="D1110" t="s">
        <v>3769</v>
      </c>
      <c r="E1110">
        <f>1</f>
        <v>1</v>
      </c>
      <c r="F1110" t="str">
        <f>TRIM('Tabela Federal'!$D1110)</f>
        <v>LIOTIRONINA</v>
      </c>
    </row>
    <row r="1111" spans="4:6" x14ac:dyDescent="0.25">
      <c r="D1111" t="s">
        <v>4414</v>
      </c>
      <c r="E1111">
        <f>1</f>
        <v>1</v>
      </c>
      <c r="F1111" t="str">
        <f>TRIM('Tabela Federal'!$D1111)</f>
        <v>LIOTIRONINA SODICA</v>
      </c>
    </row>
    <row r="1112" spans="4:6" x14ac:dyDescent="0.25">
      <c r="D1112" t="s">
        <v>3770</v>
      </c>
      <c r="E1112">
        <f>1</f>
        <v>1</v>
      </c>
      <c r="F1112" t="str">
        <f>TRIM('Tabela Federal'!$D1112)</f>
        <v>LISADO BACTERIANO</v>
      </c>
    </row>
    <row r="1113" spans="4:6" x14ac:dyDescent="0.25">
      <c r="D1113" t="s">
        <v>3771</v>
      </c>
      <c r="E1113">
        <f>1</f>
        <v>1</v>
      </c>
      <c r="F1113" t="str">
        <f>TRIM('Tabela Federal'!$D1113)</f>
        <v>LISINA</v>
      </c>
    </row>
    <row r="1114" spans="4:6" x14ac:dyDescent="0.25">
      <c r="D1114" t="s">
        <v>3772</v>
      </c>
      <c r="E1114">
        <f>1</f>
        <v>1</v>
      </c>
      <c r="F1114" t="str">
        <f>TRIM('Tabela Federal'!$D1114)</f>
        <v>LISINATO DE CETOPROFENO</v>
      </c>
    </row>
    <row r="1115" spans="4:6" x14ac:dyDescent="0.25">
      <c r="D1115" t="s">
        <v>3773</v>
      </c>
      <c r="E1115">
        <f>1</f>
        <v>1</v>
      </c>
      <c r="F1115" t="str">
        <f>TRIM('Tabela Federal'!$D1115)</f>
        <v>LISINOPRIL</v>
      </c>
    </row>
    <row r="1116" spans="4:6" x14ac:dyDescent="0.25">
      <c r="D1116" t="s">
        <v>3774</v>
      </c>
      <c r="E1116">
        <f>1</f>
        <v>1</v>
      </c>
      <c r="F1116" t="str">
        <f>TRIM('Tabela Federal'!$D1116)</f>
        <v>LODOXAMIDA</v>
      </c>
    </row>
    <row r="1117" spans="4:6" x14ac:dyDescent="0.25">
      <c r="D1117" t="s">
        <v>3775</v>
      </c>
      <c r="E1117">
        <f>1</f>
        <v>1</v>
      </c>
      <c r="F1117" t="str">
        <f>TRIM('Tabela Federal'!$D1117)</f>
        <v>LOMIFILINA</v>
      </c>
    </row>
    <row r="1118" spans="4:6" x14ac:dyDescent="0.25">
      <c r="D1118" t="s">
        <v>3776</v>
      </c>
      <c r="E1118">
        <f>1</f>
        <v>1</v>
      </c>
      <c r="F1118" t="str">
        <f>TRIM('Tabela Federal'!$D1118)</f>
        <v>LOMUSTINA</v>
      </c>
    </row>
    <row r="1119" spans="4:6" x14ac:dyDescent="0.25">
      <c r="D1119" t="s">
        <v>3777</v>
      </c>
      <c r="E1119">
        <f>1</f>
        <v>1</v>
      </c>
      <c r="F1119" t="str">
        <f>TRIM('Tabela Federal'!$D1119)</f>
        <v>LOPINAVIR</v>
      </c>
    </row>
    <row r="1120" spans="4:6" x14ac:dyDescent="0.25">
      <c r="D1120" t="s">
        <v>3777</v>
      </c>
      <c r="E1120">
        <f>1</f>
        <v>1</v>
      </c>
      <c r="F1120" t="str">
        <f>TRIM('Tabela Federal'!$D1120)</f>
        <v>LOPINAVIR</v>
      </c>
    </row>
    <row r="1121" spans="4:6" x14ac:dyDescent="0.25">
      <c r="D1121" t="s">
        <v>3778</v>
      </c>
      <c r="E1121">
        <f>1</f>
        <v>1</v>
      </c>
      <c r="F1121" t="str">
        <f>TRIM('Tabela Federal'!$D1121)</f>
        <v>LORAZEPAM</v>
      </c>
    </row>
    <row r="1122" spans="4:6" x14ac:dyDescent="0.25">
      <c r="D1122" t="s">
        <v>3779</v>
      </c>
      <c r="E1122">
        <f>1</f>
        <v>1</v>
      </c>
      <c r="F1122" t="str">
        <f>TRIM('Tabela Federal'!$D1122)</f>
        <v>LORNOXICAM</v>
      </c>
    </row>
    <row r="1123" spans="4:6" x14ac:dyDescent="0.25">
      <c r="D1123" t="s">
        <v>2788</v>
      </c>
      <c r="E1123">
        <f>1</f>
        <v>1</v>
      </c>
      <c r="F1123" t="str">
        <f>TRIM('Tabela Federal'!$D1123)</f>
        <v>LOSARTANA</v>
      </c>
    </row>
    <row r="1124" spans="4:6" x14ac:dyDescent="0.25">
      <c r="D1124" t="s">
        <v>4227</v>
      </c>
      <c r="E1124">
        <f>1</f>
        <v>1</v>
      </c>
      <c r="F1124" t="str">
        <f>TRIM('Tabela Federal'!$D1124)</f>
        <v>LOSARTANA POTASSICA</v>
      </c>
    </row>
    <row r="1125" spans="4:6" x14ac:dyDescent="0.25">
      <c r="D1125" t="s">
        <v>4227</v>
      </c>
      <c r="E1125">
        <f>1</f>
        <v>1</v>
      </c>
      <c r="F1125" t="str">
        <f>TRIM('Tabela Federal'!$D1125)</f>
        <v>LOSARTANA POTASSICA</v>
      </c>
    </row>
    <row r="1126" spans="4:6" x14ac:dyDescent="0.25">
      <c r="D1126" t="s">
        <v>3780</v>
      </c>
      <c r="E1126">
        <f>1</f>
        <v>1</v>
      </c>
      <c r="F1126" t="str">
        <f>TRIM('Tabela Federal'!$D1126)</f>
        <v>LOVASTATINA</v>
      </c>
    </row>
    <row r="1127" spans="4:6" x14ac:dyDescent="0.25">
      <c r="D1127" t="s">
        <v>4415</v>
      </c>
      <c r="E1127">
        <f>1</f>
        <v>1</v>
      </c>
      <c r="F1127" t="str">
        <f>TRIM('Tabela Federal'!$D1127)</f>
        <v>LOXOPROFENO SODICO</v>
      </c>
    </row>
    <row r="1128" spans="4:6" x14ac:dyDescent="0.25">
      <c r="D1128" t="s">
        <v>4575</v>
      </c>
      <c r="E1128">
        <f>1</f>
        <v>1</v>
      </c>
      <c r="F1128" t="str">
        <f>TRIM('Tabela Federal'!$D1128)</f>
        <v>LUCINACTANTO</v>
      </c>
    </row>
    <row r="1129" spans="4:6" x14ac:dyDescent="0.25">
      <c r="D1129" t="s">
        <v>3781</v>
      </c>
      <c r="E1129">
        <f>1</f>
        <v>1</v>
      </c>
      <c r="F1129" t="str">
        <f>TRIM('Tabela Federal'!$D1129)</f>
        <v>LUMIRACOXIBE</v>
      </c>
    </row>
    <row r="1130" spans="4:6" x14ac:dyDescent="0.25">
      <c r="D1130" t="s">
        <v>3782</v>
      </c>
      <c r="E1130">
        <f>1</f>
        <v>1</v>
      </c>
      <c r="F1130" t="str">
        <f>TRIM('Tabela Federal'!$D1130)</f>
        <v>MALATO DE SUNITINIBE</v>
      </c>
    </row>
    <row r="1131" spans="4:6" x14ac:dyDescent="0.25">
      <c r="D1131" t="s">
        <v>4576</v>
      </c>
      <c r="E1131">
        <f>1</f>
        <v>1</v>
      </c>
      <c r="F1131" t="str">
        <f>TRIM('Tabela Federal'!$D1131)</f>
        <v>MALEATO DE ASENAPINA</v>
      </c>
    </row>
    <row r="1132" spans="4:6" x14ac:dyDescent="0.25">
      <c r="D1132" t="s">
        <v>3783</v>
      </c>
      <c r="E1132">
        <f>1</f>
        <v>1</v>
      </c>
      <c r="F1132" t="str">
        <f>TRIM('Tabela Federal'!$D1132)</f>
        <v>MALEATO DE ENALAPRIL</v>
      </c>
    </row>
    <row r="1133" spans="4:6" x14ac:dyDescent="0.25">
      <c r="D1133" t="s">
        <v>4577</v>
      </c>
      <c r="E1133">
        <f>1</f>
        <v>1</v>
      </c>
      <c r="F1133" t="str">
        <f>TRIM('Tabela Federal'!$D1133)</f>
        <v>MALEATO DE ERGOMETRINA</v>
      </c>
    </row>
    <row r="1134" spans="4:6" x14ac:dyDescent="0.25">
      <c r="D1134" t="s">
        <v>3784</v>
      </c>
      <c r="E1134">
        <f>1</f>
        <v>1</v>
      </c>
      <c r="F1134" t="str">
        <f>TRIM('Tabela Federal'!$D1134)</f>
        <v>MALEATO DE FLUVOXAMINA</v>
      </c>
    </row>
    <row r="1135" spans="4:6" x14ac:dyDescent="0.25">
      <c r="D1135" t="s">
        <v>4511</v>
      </c>
      <c r="E1135">
        <f>1</f>
        <v>1</v>
      </c>
      <c r="F1135" t="str">
        <f>TRIM('Tabela Federal'!$D1135)</f>
        <v>MALEATO DE INDACATEROL</v>
      </c>
    </row>
    <row r="1136" spans="4:6" x14ac:dyDescent="0.25">
      <c r="D1136" t="s">
        <v>3785</v>
      </c>
      <c r="E1136">
        <f>1</f>
        <v>1</v>
      </c>
      <c r="F1136" t="str">
        <f>TRIM('Tabela Federal'!$D1136)</f>
        <v>MALEATO DE LEVOMEPROMAZINA</v>
      </c>
    </row>
    <row r="1137" spans="4:6" x14ac:dyDescent="0.25">
      <c r="D1137" t="s">
        <v>3786</v>
      </c>
      <c r="E1137">
        <f>1</f>
        <v>1</v>
      </c>
      <c r="F1137" t="str">
        <f>TRIM('Tabela Federal'!$D1137)</f>
        <v>MALEATO DE LISURIDA</v>
      </c>
    </row>
    <row r="1138" spans="4:6" x14ac:dyDescent="0.25">
      <c r="D1138" t="s">
        <v>3787</v>
      </c>
      <c r="E1138">
        <f>1</f>
        <v>1</v>
      </c>
      <c r="F1138" t="str">
        <f>TRIM('Tabela Federal'!$D1138)</f>
        <v>MALEATO DE METILERGOMETRINA</v>
      </c>
    </row>
    <row r="1139" spans="4:6" x14ac:dyDescent="0.25">
      <c r="D1139" t="s">
        <v>3788</v>
      </c>
      <c r="E1139">
        <f>1</f>
        <v>1</v>
      </c>
      <c r="F1139" t="str">
        <f>TRIM('Tabela Federal'!$D1139)</f>
        <v>MALEATO DE MIDAZOLAM</v>
      </c>
    </row>
    <row r="1140" spans="4:6" x14ac:dyDescent="0.25">
      <c r="D1140" t="s">
        <v>3789</v>
      </c>
      <c r="E1140">
        <f>1</f>
        <v>1</v>
      </c>
      <c r="F1140" t="str">
        <f>TRIM('Tabela Federal'!$D1140)</f>
        <v>MALEATO DE PIMETIXENO</v>
      </c>
    </row>
    <row r="1141" spans="4:6" x14ac:dyDescent="0.25">
      <c r="D1141" t="s">
        <v>3790</v>
      </c>
      <c r="E1141">
        <f>1</f>
        <v>1</v>
      </c>
      <c r="F1141" t="str">
        <f>TRIM('Tabela Federal'!$D1141)</f>
        <v>MALEATO DE ROSIGLITAZONA</v>
      </c>
    </row>
    <row r="1142" spans="4:6" x14ac:dyDescent="0.25">
      <c r="D1142" t="s">
        <v>2790</v>
      </c>
      <c r="E1142">
        <f>1</f>
        <v>1</v>
      </c>
      <c r="F1142" t="str">
        <f>TRIM('Tabela Federal'!$D1142)</f>
        <v>MALEATO DE TIMOLOL</v>
      </c>
    </row>
    <row r="1143" spans="4:6" x14ac:dyDescent="0.25">
      <c r="D1143" t="s">
        <v>2790</v>
      </c>
      <c r="E1143">
        <f>1</f>
        <v>1</v>
      </c>
      <c r="F1143" t="str">
        <f>TRIM('Tabela Federal'!$D1143)</f>
        <v>MALEATO DE TIMOLOL</v>
      </c>
    </row>
    <row r="1144" spans="4:6" x14ac:dyDescent="0.25">
      <c r="D1144" t="s">
        <v>2790</v>
      </c>
      <c r="E1144">
        <f>1</f>
        <v>1</v>
      </c>
      <c r="F1144" t="str">
        <f>TRIM('Tabela Federal'!$D1144)</f>
        <v>MALEATO DE TIMOLOL</v>
      </c>
    </row>
    <row r="1145" spans="4:6" x14ac:dyDescent="0.25">
      <c r="D1145" t="s">
        <v>4416</v>
      </c>
      <c r="E1145">
        <f>1</f>
        <v>1</v>
      </c>
      <c r="F1145" t="str">
        <f>TRIM('Tabela Federal'!$D1145)</f>
        <v>MANGAFODIPIR TRISSODICO</v>
      </c>
    </row>
    <row r="1146" spans="4:6" x14ac:dyDescent="0.25">
      <c r="D1146" t="s">
        <v>3791</v>
      </c>
      <c r="E1146">
        <f>1</f>
        <v>1</v>
      </c>
      <c r="F1146" t="str">
        <f>TRIM('Tabela Federal'!$D1146)</f>
        <v>MANIDIPINO</v>
      </c>
    </row>
    <row r="1147" spans="4:6" x14ac:dyDescent="0.25">
      <c r="D1147" t="s">
        <v>3792</v>
      </c>
      <c r="E1147">
        <f>1</f>
        <v>1</v>
      </c>
      <c r="F1147" t="str">
        <f>TRIM('Tabela Federal'!$D1147)</f>
        <v>MANITOL</v>
      </c>
    </row>
    <row r="1148" spans="4:6" x14ac:dyDescent="0.25">
      <c r="D1148" t="s">
        <v>3792</v>
      </c>
      <c r="E1148">
        <f>1</f>
        <v>1</v>
      </c>
      <c r="F1148" t="str">
        <f>TRIM('Tabela Federal'!$D1148)</f>
        <v>MANITOL</v>
      </c>
    </row>
    <row r="1149" spans="4:6" x14ac:dyDescent="0.25">
      <c r="D1149" t="s">
        <v>3793</v>
      </c>
      <c r="E1149">
        <f>1</f>
        <v>1</v>
      </c>
      <c r="F1149" t="str">
        <f>TRIM('Tabela Federal'!$D1149)</f>
        <v>MARAVIROC</v>
      </c>
    </row>
    <row r="1150" spans="4:6" x14ac:dyDescent="0.25">
      <c r="D1150" t="s">
        <v>3794</v>
      </c>
      <c r="E1150">
        <f>1</f>
        <v>1</v>
      </c>
      <c r="F1150" t="str">
        <f>TRIM('Tabela Federal'!$D1150)</f>
        <v>MEBENDAZOL</v>
      </c>
    </row>
    <row r="1151" spans="4:6" x14ac:dyDescent="0.25">
      <c r="D1151" t="s">
        <v>3794</v>
      </c>
      <c r="E1151">
        <f>1</f>
        <v>1</v>
      </c>
      <c r="F1151" t="str">
        <f>TRIM('Tabela Federal'!$D1151)</f>
        <v>MEBENDAZOL</v>
      </c>
    </row>
    <row r="1152" spans="4:6" x14ac:dyDescent="0.25">
      <c r="D1152" t="s">
        <v>3795</v>
      </c>
      <c r="E1152">
        <f>1</f>
        <v>1</v>
      </c>
      <c r="F1152" t="str">
        <f>TRIM('Tabela Federal'!$D1152)</f>
        <v>MEGLUMINA</v>
      </c>
    </row>
    <row r="1153" spans="4:6" x14ac:dyDescent="0.25">
      <c r="D1153" t="s">
        <v>3796</v>
      </c>
      <c r="E1153">
        <f>1</f>
        <v>1</v>
      </c>
      <c r="F1153" t="str">
        <f>TRIM('Tabela Federal'!$D1153)</f>
        <v>MELAGATRANA</v>
      </c>
    </row>
    <row r="1154" spans="4:6" x14ac:dyDescent="0.25">
      <c r="D1154" t="s">
        <v>3797</v>
      </c>
      <c r="E1154">
        <f>1</f>
        <v>1</v>
      </c>
      <c r="F1154" t="str">
        <f>TRIM('Tabela Federal'!$D1154)</f>
        <v>MELFALANA</v>
      </c>
    </row>
    <row r="1155" spans="4:6" x14ac:dyDescent="0.25">
      <c r="D1155" t="s">
        <v>3798</v>
      </c>
      <c r="E1155">
        <f>1</f>
        <v>1</v>
      </c>
      <c r="F1155" t="str">
        <f>TRIM('Tabela Federal'!$D1155)</f>
        <v>MELOXICAM</v>
      </c>
    </row>
    <row r="1156" spans="4:6" x14ac:dyDescent="0.25">
      <c r="D1156" t="s">
        <v>2657</v>
      </c>
      <c r="E1156">
        <f>1</f>
        <v>1</v>
      </c>
      <c r="F1156" t="str">
        <f>TRIM('Tabela Federal'!$D1156)</f>
        <v>MEMANTINA</v>
      </c>
    </row>
    <row r="1157" spans="4:6" x14ac:dyDescent="0.25">
      <c r="D1157" t="s">
        <v>3799</v>
      </c>
      <c r="E1157">
        <f>1</f>
        <v>1</v>
      </c>
      <c r="F1157" t="str">
        <f>TRIM('Tabela Federal'!$D1157)</f>
        <v>MENOTROPINA</v>
      </c>
    </row>
    <row r="1158" spans="4:6" x14ac:dyDescent="0.25">
      <c r="D1158" t="s">
        <v>4578</v>
      </c>
      <c r="E1158">
        <f>1</f>
        <v>1</v>
      </c>
      <c r="F1158" t="str">
        <f>TRIM('Tabela Federal'!$D1158)</f>
        <v>MEPESUCCINATO DE OMACETAXINA</v>
      </c>
    </row>
    <row r="1159" spans="4:6" x14ac:dyDescent="0.25">
      <c r="D1159" t="s">
        <v>3800</v>
      </c>
      <c r="E1159">
        <f>1</f>
        <v>1</v>
      </c>
      <c r="F1159" t="str">
        <f>TRIM('Tabela Federal'!$D1159)</f>
        <v>MERCAPTOPURINA</v>
      </c>
    </row>
    <row r="1160" spans="4:6" x14ac:dyDescent="0.25">
      <c r="D1160" t="s">
        <v>4253</v>
      </c>
      <c r="E1160">
        <f>1</f>
        <v>1</v>
      </c>
      <c r="F1160" t="str">
        <f>TRIM('Tabela Federal'!$D1160)</f>
        <v>MEROPENEM</v>
      </c>
    </row>
    <row r="1161" spans="4:6" x14ac:dyDescent="0.25">
      <c r="D1161" t="s">
        <v>2794</v>
      </c>
      <c r="E1161">
        <f>1</f>
        <v>1</v>
      </c>
      <c r="F1161" t="str">
        <f>TRIM('Tabela Federal'!$D1161)</f>
        <v>MESALAZINA</v>
      </c>
    </row>
    <row r="1162" spans="4:6" x14ac:dyDescent="0.25">
      <c r="D1162" t="s">
        <v>3801</v>
      </c>
      <c r="E1162">
        <f>1</f>
        <v>1</v>
      </c>
      <c r="F1162" t="str">
        <f>TRIM('Tabela Federal'!$D1162)</f>
        <v>MESILATO DE BROMOCRIPTINA</v>
      </c>
    </row>
    <row r="1163" spans="4:6" x14ac:dyDescent="0.25">
      <c r="D1163" t="s">
        <v>3802</v>
      </c>
      <c r="E1163">
        <f>1</f>
        <v>1</v>
      </c>
      <c r="F1163" t="str">
        <f>TRIM('Tabela Federal'!$D1163)</f>
        <v>MESILATO DE CODERGOCRINA</v>
      </c>
    </row>
    <row r="1164" spans="4:6" x14ac:dyDescent="0.25">
      <c r="D1164" t="s">
        <v>3802</v>
      </c>
      <c r="E1164">
        <f>1</f>
        <v>1</v>
      </c>
      <c r="F1164" t="str">
        <f>TRIM('Tabela Federal'!$D1164)</f>
        <v>MESILATO DE CODERGOCRINA</v>
      </c>
    </row>
    <row r="1165" spans="4:6" x14ac:dyDescent="0.25">
      <c r="D1165" t="s">
        <v>3803</v>
      </c>
      <c r="E1165">
        <f>1</f>
        <v>1</v>
      </c>
      <c r="F1165" t="str">
        <f>TRIM('Tabela Federal'!$D1165)</f>
        <v>MESILATO DE DELAVIRDINA</v>
      </c>
    </row>
    <row r="1166" spans="4:6" x14ac:dyDescent="0.25">
      <c r="D1166" t="s">
        <v>3804</v>
      </c>
      <c r="E1166">
        <f>1</f>
        <v>1</v>
      </c>
      <c r="F1166" t="str">
        <f>TRIM('Tabela Federal'!$D1166)</f>
        <v>MESILATO DE DESFERROXAMINA</v>
      </c>
    </row>
    <row r="1167" spans="4:6" x14ac:dyDescent="0.25">
      <c r="D1167" t="s">
        <v>3805</v>
      </c>
      <c r="E1167">
        <f>1</f>
        <v>1</v>
      </c>
      <c r="F1167" t="str">
        <f>TRIM('Tabela Federal'!$D1167)</f>
        <v>MESILATO DE DIIDROERGOCRISTINA</v>
      </c>
    </row>
    <row r="1168" spans="4:6" x14ac:dyDescent="0.25">
      <c r="D1168" t="s">
        <v>3805</v>
      </c>
      <c r="E1168">
        <f>1</f>
        <v>1</v>
      </c>
      <c r="F1168" t="str">
        <f>TRIM('Tabela Federal'!$D1168)</f>
        <v>MESILATO DE DIIDROERGOCRISTINA</v>
      </c>
    </row>
    <row r="1169" spans="4:6" x14ac:dyDescent="0.25">
      <c r="D1169" t="s">
        <v>3806</v>
      </c>
      <c r="E1169">
        <f>1</f>
        <v>1</v>
      </c>
      <c r="F1169" t="str">
        <f>TRIM('Tabela Federal'!$D1169)</f>
        <v>MESILATO DE DOLASETRONA</v>
      </c>
    </row>
    <row r="1170" spans="4:6" x14ac:dyDescent="0.25">
      <c r="D1170" t="s">
        <v>3807</v>
      </c>
      <c r="E1170">
        <f>1</f>
        <v>1</v>
      </c>
      <c r="F1170" t="str">
        <f>TRIM('Tabela Federal'!$D1170)</f>
        <v>MESILATO DE DOXAZOSINA</v>
      </c>
    </row>
    <row r="1171" spans="4:6" x14ac:dyDescent="0.25">
      <c r="D1171" t="s">
        <v>3808</v>
      </c>
      <c r="E1171">
        <f>1</f>
        <v>1</v>
      </c>
      <c r="F1171" t="str">
        <f>TRIM('Tabela Federal'!$D1171)</f>
        <v>MESILATO DE EPROSARTANA</v>
      </c>
    </row>
    <row r="1172" spans="4:6" x14ac:dyDescent="0.25">
      <c r="D1172" t="s">
        <v>3809</v>
      </c>
      <c r="E1172">
        <f>1</f>
        <v>1</v>
      </c>
      <c r="F1172" t="str">
        <f>TRIM('Tabela Federal'!$D1172)</f>
        <v>MESILATO DE GEMIFLOXACINO</v>
      </c>
    </row>
    <row r="1173" spans="4:6" x14ac:dyDescent="0.25">
      <c r="D1173" t="s">
        <v>3810</v>
      </c>
      <c r="E1173">
        <f>1</f>
        <v>1</v>
      </c>
      <c r="F1173" t="str">
        <f>TRIM('Tabela Federal'!$D1173)</f>
        <v>MESILATO DE IMATINIBE</v>
      </c>
    </row>
    <row r="1174" spans="4:6" x14ac:dyDescent="0.25">
      <c r="D1174" t="s">
        <v>3811</v>
      </c>
      <c r="E1174">
        <f>1</f>
        <v>1</v>
      </c>
      <c r="F1174" t="str">
        <f>TRIM('Tabela Federal'!$D1174)</f>
        <v>MESILATO DE NELFINAVIR</v>
      </c>
    </row>
    <row r="1175" spans="4:6" x14ac:dyDescent="0.25">
      <c r="D1175" t="s">
        <v>3812</v>
      </c>
      <c r="E1175">
        <f>1</f>
        <v>1</v>
      </c>
      <c r="F1175" t="str">
        <f>TRIM('Tabela Federal'!$D1175)</f>
        <v>MESILATO DE PEFLOXACINO</v>
      </c>
    </row>
    <row r="1176" spans="4:6" x14ac:dyDescent="0.25">
      <c r="D1176" t="s">
        <v>3813</v>
      </c>
      <c r="E1176">
        <f>1</f>
        <v>1</v>
      </c>
      <c r="F1176" t="str">
        <f>TRIM('Tabela Federal'!$D1176)</f>
        <v>MESILATO DE PERGOLIDA</v>
      </c>
    </row>
    <row r="1177" spans="4:6" x14ac:dyDescent="0.25">
      <c r="D1177" t="s">
        <v>3814</v>
      </c>
      <c r="E1177">
        <f>1</f>
        <v>1</v>
      </c>
      <c r="F1177" t="str">
        <f>TRIM('Tabela Federal'!$D1177)</f>
        <v>MESILATO DE PRALIDOXIMA</v>
      </c>
    </row>
    <row r="1178" spans="4:6" x14ac:dyDescent="0.25">
      <c r="D1178" t="s">
        <v>3815</v>
      </c>
      <c r="E1178">
        <f>1</f>
        <v>1</v>
      </c>
      <c r="F1178" t="str">
        <f>TRIM('Tabela Federal'!$D1178)</f>
        <v>MESILATO DE REBOXETINA</v>
      </c>
    </row>
    <row r="1179" spans="4:6" x14ac:dyDescent="0.25">
      <c r="D1179" t="s">
        <v>3816</v>
      </c>
      <c r="E1179">
        <f>1</f>
        <v>1</v>
      </c>
      <c r="F1179" t="str">
        <f>TRIM('Tabela Federal'!$D1179)</f>
        <v>MESILATO DE SAQUINAVIR</v>
      </c>
    </row>
    <row r="1180" spans="4:6" x14ac:dyDescent="0.25">
      <c r="D1180" t="s">
        <v>3817</v>
      </c>
      <c r="E1180">
        <f>1</f>
        <v>1</v>
      </c>
      <c r="F1180" t="str">
        <f>TRIM('Tabela Federal'!$D1180)</f>
        <v>MESILATO DE ZIPRASIDONA</v>
      </c>
    </row>
    <row r="1181" spans="4:6" x14ac:dyDescent="0.25">
      <c r="D1181" t="s">
        <v>3818</v>
      </c>
      <c r="E1181">
        <f>1</f>
        <v>1</v>
      </c>
      <c r="F1181" t="str">
        <f>TRIM('Tabela Federal'!$D1181)</f>
        <v>MESNA</v>
      </c>
    </row>
    <row r="1182" spans="4:6" x14ac:dyDescent="0.25">
      <c r="D1182" t="s">
        <v>4579</v>
      </c>
      <c r="E1182">
        <f>1</f>
        <v>1</v>
      </c>
      <c r="F1182" t="str">
        <f>TRIM('Tabela Federal'!$D1182)</f>
        <v>MESTEROLONA</v>
      </c>
    </row>
    <row r="1183" spans="4:6" x14ac:dyDescent="0.25">
      <c r="D1183" t="s">
        <v>4417</v>
      </c>
      <c r="E1183">
        <f>1</f>
        <v>1</v>
      </c>
      <c r="F1183" t="str">
        <f>TRIM('Tabela Federal'!$D1183)</f>
        <v>METABISSULFITO DE SODIO</v>
      </c>
    </row>
    <row r="1184" spans="4:6" x14ac:dyDescent="0.25">
      <c r="D1184" t="s">
        <v>2783</v>
      </c>
      <c r="E1184">
        <f>1</f>
        <v>1</v>
      </c>
      <c r="F1184" t="str">
        <f>TRIM('Tabela Federal'!$D1184)</f>
        <v>METFORMINA</v>
      </c>
    </row>
    <row r="1185" spans="4:6" x14ac:dyDescent="0.25">
      <c r="D1185" t="s">
        <v>2783</v>
      </c>
      <c r="E1185">
        <f>1</f>
        <v>1</v>
      </c>
      <c r="F1185" t="str">
        <f>TRIM('Tabela Federal'!$D1185)</f>
        <v>METFORMINA</v>
      </c>
    </row>
    <row r="1186" spans="4:6" x14ac:dyDescent="0.25">
      <c r="D1186" t="s">
        <v>3819</v>
      </c>
      <c r="E1186">
        <f>1</f>
        <v>1</v>
      </c>
      <c r="F1186" t="str">
        <f>TRIM('Tabela Federal'!$D1186)</f>
        <v>METILDIGOXINA</v>
      </c>
    </row>
    <row r="1187" spans="4:6" x14ac:dyDescent="0.25">
      <c r="D1187" t="s">
        <v>3820</v>
      </c>
      <c r="E1187">
        <f>1</f>
        <v>1</v>
      </c>
      <c r="F1187" t="str">
        <f>TRIM('Tabela Federal'!$D1187)</f>
        <v>METILDOPA</v>
      </c>
    </row>
    <row r="1188" spans="4:6" x14ac:dyDescent="0.25">
      <c r="D1188" t="s">
        <v>3821</v>
      </c>
      <c r="E1188">
        <f>1</f>
        <v>1</v>
      </c>
      <c r="F1188" t="str">
        <f>TRIM('Tabela Federal'!$D1188)</f>
        <v>METILSULFATO DE NEOSTIGMINA</v>
      </c>
    </row>
    <row r="1189" spans="4:6" x14ac:dyDescent="0.25">
      <c r="D1189" t="s">
        <v>3822</v>
      </c>
      <c r="E1189">
        <f>1</f>
        <v>1</v>
      </c>
      <c r="F1189" t="str">
        <f>TRIM('Tabela Federal'!$D1189)</f>
        <v>METILSULFATO DE PRALIDOXIMA</v>
      </c>
    </row>
    <row r="1190" spans="4:6" x14ac:dyDescent="0.25">
      <c r="D1190" t="s">
        <v>3823</v>
      </c>
      <c r="E1190">
        <f>1</f>
        <v>1</v>
      </c>
      <c r="F1190" t="str">
        <f>TRIM('Tabela Federal'!$D1190)</f>
        <v>METIONINA</v>
      </c>
    </row>
    <row r="1191" spans="4:6" x14ac:dyDescent="0.25">
      <c r="D1191" t="s">
        <v>3824</v>
      </c>
      <c r="E1191">
        <f>1</f>
        <v>1</v>
      </c>
      <c r="F1191" t="str">
        <f>TRIM('Tabela Federal'!$D1191)</f>
        <v>METIPRANOLOL</v>
      </c>
    </row>
    <row r="1192" spans="4:6" x14ac:dyDescent="0.25">
      <c r="D1192" t="s">
        <v>3825</v>
      </c>
      <c r="E1192">
        <f>1</f>
        <v>1</v>
      </c>
      <c r="F1192" t="str">
        <f>TRIM('Tabela Federal'!$D1192)</f>
        <v>METOTREXATO</v>
      </c>
    </row>
    <row r="1193" spans="4:6" x14ac:dyDescent="0.25">
      <c r="D1193" t="s">
        <v>4418</v>
      </c>
      <c r="E1193">
        <f>1</f>
        <v>1</v>
      </c>
      <c r="F1193" t="str">
        <f>TRIM('Tabela Federal'!$D1193)</f>
        <v>METOTREXATO DE SODIO</v>
      </c>
    </row>
    <row r="1194" spans="4:6" x14ac:dyDescent="0.25">
      <c r="D1194" t="s">
        <v>3826</v>
      </c>
      <c r="E1194">
        <f>1</f>
        <v>1</v>
      </c>
      <c r="F1194" t="str">
        <f>TRIM('Tabela Federal'!$D1194)</f>
        <v>METOXISALENO</v>
      </c>
    </row>
    <row r="1195" spans="4:6" x14ac:dyDescent="0.25">
      <c r="D1195" t="s">
        <v>3827</v>
      </c>
      <c r="E1195">
        <f>1</f>
        <v>1</v>
      </c>
      <c r="F1195" t="str">
        <f>TRIM('Tabela Federal'!$D1195)</f>
        <v>METRIZOATO DE MEGLUMINA</v>
      </c>
    </row>
    <row r="1196" spans="4:6" x14ac:dyDescent="0.25">
      <c r="D1196" t="s">
        <v>3828</v>
      </c>
      <c r="E1196">
        <f>1</f>
        <v>1</v>
      </c>
      <c r="F1196" t="str">
        <f>TRIM('Tabela Federal'!$D1196)</f>
        <v>METRONIDAZOL</v>
      </c>
    </row>
    <row r="1197" spans="4:6" x14ac:dyDescent="0.25">
      <c r="D1197" t="s">
        <v>3829</v>
      </c>
      <c r="E1197">
        <f>1</f>
        <v>1</v>
      </c>
      <c r="F1197" t="str">
        <f>TRIM('Tabela Federal'!$D1197)</f>
        <v>MIANSERINA</v>
      </c>
    </row>
    <row r="1198" spans="4:6" x14ac:dyDescent="0.25">
      <c r="D1198" t="s">
        <v>3830</v>
      </c>
      <c r="E1198">
        <f>1</f>
        <v>1</v>
      </c>
      <c r="F1198" t="str">
        <f>TRIM('Tabela Federal'!$D1198)</f>
        <v>MICOFENOLATO DE MOFETILA</v>
      </c>
    </row>
    <row r="1199" spans="4:6" x14ac:dyDescent="0.25">
      <c r="D1199" t="s">
        <v>4419</v>
      </c>
      <c r="E1199">
        <f>1</f>
        <v>1</v>
      </c>
      <c r="F1199" t="str">
        <f>TRIM('Tabela Federal'!$D1199)</f>
        <v>MICOFENOLATO DE SODIO</v>
      </c>
    </row>
    <row r="1200" spans="4:6" x14ac:dyDescent="0.25">
      <c r="D1200" t="s">
        <v>3831</v>
      </c>
      <c r="E1200">
        <f>1</f>
        <v>1</v>
      </c>
      <c r="F1200" t="str">
        <f>TRIM('Tabela Federal'!$D1200)</f>
        <v>MICONAZOL</v>
      </c>
    </row>
    <row r="1201" spans="4:6" x14ac:dyDescent="0.25">
      <c r="D1201" t="s">
        <v>3832</v>
      </c>
      <c r="E1201">
        <f>1</f>
        <v>1</v>
      </c>
      <c r="F1201" t="str">
        <f>TRIM('Tabela Federal'!$D1201)</f>
        <v>MIDAZOLAM</v>
      </c>
    </row>
    <row r="1202" spans="4:6" x14ac:dyDescent="0.25">
      <c r="D1202" t="s">
        <v>3833</v>
      </c>
      <c r="E1202">
        <f>1</f>
        <v>1</v>
      </c>
      <c r="F1202" t="str">
        <f>TRIM('Tabela Federal'!$D1202)</f>
        <v>MIDECAMICINA</v>
      </c>
    </row>
    <row r="1203" spans="4:6" x14ac:dyDescent="0.25">
      <c r="D1203" t="s">
        <v>3834</v>
      </c>
      <c r="E1203">
        <f>1</f>
        <v>1</v>
      </c>
      <c r="F1203" t="str">
        <f>TRIM('Tabela Federal'!$D1203)</f>
        <v>MIGLUSTATE</v>
      </c>
    </row>
    <row r="1204" spans="4:6" x14ac:dyDescent="0.25">
      <c r="D1204" t="s">
        <v>3835</v>
      </c>
      <c r="E1204">
        <f>1</f>
        <v>1</v>
      </c>
      <c r="F1204" t="str">
        <f>TRIM('Tabela Federal'!$D1204)</f>
        <v>MILTEFOSINA</v>
      </c>
    </row>
    <row r="1205" spans="4:6" x14ac:dyDescent="0.25">
      <c r="D1205" t="s">
        <v>4649</v>
      </c>
      <c r="E1205">
        <f>1</f>
        <v>1</v>
      </c>
      <c r="F1205" t="str">
        <f>TRIM('Tabela Federal'!$D1205)</f>
        <v>MINOXIDIL</v>
      </c>
    </row>
    <row r="1206" spans="4:6" x14ac:dyDescent="0.25">
      <c r="D1206" t="s">
        <v>3836</v>
      </c>
      <c r="E1206">
        <f>1</f>
        <v>1</v>
      </c>
      <c r="F1206" t="str">
        <f>TRIM('Tabela Federal'!$D1206)</f>
        <v>MIRTAZAPINA</v>
      </c>
    </row>
    <row r="1207" spans="4:6" x14ac:dyDescent="0.25">
      <c r="D1207" t="s">
        <v>3837</v>
      </c>
      <c r="E1207">
        <f>1</f>
        <v>1</v>
      </c>
      <c r="F1207" t="str">
        <f>TRIM('Tabela Federal'!$D1207)</f>
        <v>MISOPROSTOL</v>
      </c>
    </row>
    <row r="1208" spans="4:6" x14ac:dyDescent="0.25">
      <c r="D1208" t="s">
        <v>3838</v>
      </c>
      <c r="E1208">
        <f>1</f>
        <v>1</v>
      </c>
      <c r="F1208" t="str">
        <f>TRIM('Tabela Federal'!$D1208)</f>
        <v>MITOMICINA</v>
      </c>
    </row>
    <row r="1209" spans="4:6" x14ac:dyDescent="0.25">
      <c r="D1209" t="s">
        <v>3839</v>
      </c>
      <c r="E1209">
        <f>1</f>
        <v>1</v>
      </c>
      <c r="F1209" t="str">
        <f>TRIM('Tabela Federal'!$D1209)</f>
        <v>MITOTANO</v>
      </c>
    </row>
    <row r="1210" spans="4:6" x14ac:dyDescent="0.25">
      <c r="D1210" t="s">
        <v>3840</v>
      </c>
      <c r="E1210">
        <f>1</f>
        <v>1</v>
      </c>
      <c r="F1210" t="str">
        <f>TRIM('Tabela Federal'!$D1210)</f>
        <v>MOCLOBEMIDA</v>
      </c>
    </row>
    <row r="1211" spans="4:6" x14ac:dyDescent="0.25">
      <c r="D1211" t="s">
        <v>3841</v>
      </c>
      <c r="E1211">
        <f>1</f>
        <v>1</v>
      </c>
      <c r="F1211" t="str">
        <f>TRIM('Tabela Federal'!$D1211)</f>
        <v>MODAFINILA</v>
      </c>
    </row>
    <row r="1212" spans="4:6" x14ac:dyDescent="0.25">
      <c r="D1212" t="s">
        <v>3842</v>
      </c>
      <c r="E1212">
        <f>1</f>
        <v>1</v>
      </c>
      <c r="F1212" t="str">
        <f>TRIM('Tabela Federal'!$D1212)</f>
        <v>MOLGRAMOSTIM</v>
      </c>
    </row>
    <row r="1213" spans="4:6" x14ac:dyDescent="0.25">
      <c r="D1213" t="s">
        <v>4420</v>
      </c>
      <c r="E1213">
        <f>1</f>
        <v>1</v>
      </c>
      <c r="F1213" t="str">
        <f>TRIM('Tabela Federal'!$D1213)</f>
        <v>MOLIBDATO DE SODIO</v>
      </c>
    </row>
    <row r="1214" spans="4:6" x14ac:dyDescent="0.25">
      <c r="D1214" t="s">
        <v>3843</v>
      </c>
      <c r="E1214">
        <f>1</f>
        <v>1</v>
      </c>
      <c r="F1214" t="str">
        <f>TRIM('Tabela Federal'!$D1214)</f>
        <v>MONONITRATO DE ISOSSORBIDA</v>
      </c>
    </row>
    <row r="1215" spans="4:6" x14ac:dyDescent="0.25">
      <c r="D1215" t="s">
        <v>2797</v>
      </c>
      <c r="E1215">
        <f>1</f>
        <v>1</v>
      </c>
      <c r="F1215" t="str">
        <f>TRIM('Tabela Federal'!$D1215)</f>
        <v>MONTELUCASTE DE SODIO</v>
      </c>
    </row>
    <row r="1216" spans="4:6" x14ac:dyDescent="0.25">
      <c r="D1216" t="s">
        <v>3844</v>
      </c>
      <c r="E1216">
        <f>1</f>
        <v>1</v>
      </c>
      <c r="F1216" t="str">
        <f>TRIM('Tabela Federal'!$D1216)</f>
        <v>MOXIFLOXACINO</v>
      </c>
    </row>
    <row r="1217" spans="4:6" x14ac:dyDescent="0.25">
      <c r="D1217" t="s">
        <v>3845</v>
      </c>
      <c r="E1217">
        <f>1</f>
        <v>1</v>
      </c>
      <c r="F1217" t="str">
        <f>TRIM('Tabela Federal'!$D1217)</f>
        <v>MOXONIDINA</v>
      </c>
    </row>
    <row r="1218" spans="4:6" x14ac:dyDescent="0.25">
      <c r="D1218" t="s">
        <v>3846</v>
      </c>
      <c r="E1218">
        <f>1</f>
        <v>1</v>
      </c>
      <c r="F1218" t="str">
        <f>TRIM('Tabela Federal'!$D1218)</f>
        <v>MURAGLITAZAR</v>
      </c>
    </row>
    <row r="1219" spans="4:6" x14ac:dyDescent="0.25">
      <c r="D1219" t="s">
        <v>3847</v>
      </c>
      <c r="E1219">
        <f>1</f>
        <v>1</v>
      </c>
      <c r="F1219" t="str">
        <f>TRIM('Tabela Federal'!$D1219)</f>
        <v>MUROMONABE CD3</v>
      </c>
    </row>
    <row r="1220" spans="4:6" x14ac:dyDescent="0.25">
      <c r="D1220" t="s">
        <v>3848</v>
      </c>
      <c r="E1220">
        <f>1</f>
        <v>1</v>
      </c>
      <c r="F1220" t="str">
        <f>TRIM('Tabela Federal'!$D1220)</f>
        <v>NABUMETONA</v>
      </c>
    </row>
    <row r="1221" spans="4:6" x14ac:dyDescent="0.25">
      <c r="D1221" t="s">
        <v>3849</v>
      </c>
      <c r="E1221">
        <f>1</f>
        <v>1</v>
      </c>
      <c r="F1221" t="str">
        <f>TRIM('Tabela Federal'!$D1221)</f>
        <v>NADOLOL</v>
      </c>
    </row>
    <row r="1222" spans="4:6" x14ac:dyDescent="0.25">
      <c r="D1222" t="s">
        <v>4228</v>
      </c>
      <c r="E1222">
        <f>1</f>
        <v>1</v>
      </c>
      <c r="F1222" t="str">
        <f>TRIM('Tabela Federal'!$D1222)</f>
        <v>NADROPARINA CALCICA</v>
      </c>
    </row>
    <row r="1223" spans="4:6" x14ac:dyDescent="0.25">
      <c r="D1223" t="s">
        <v>3850</v>
      </c>
      <c r="E1223">
        <f>1</f>
        <v>1</v>
      </c>
      <c r="F1223" t="str">
        <f>TRIM('Tabela Federal'!$D1223)</f>
        <v>NAFTIDROFURILA</v>
      </c>
    </row>
    <row r="1224" spans="4:6" x14ac:dyDescent="0.25">
      <c r="D1224" t="s">
        <v>3851</v>
      </c>
      <c r="E1224">
        <f>1</f>
        <v>1</v>
      </c>
      <c r="F1224" t="str">
        <f>TRIM('Tabela Federal'!$D1224)</f>
        <v>NAPROXENO</v>
      </c>
    </row>
    <row r="1225" spans="4:6" x14ac:dyDescent="0.25">
      <c r="D1225" t="s">
        <v>4421</v>
      </c>
      <c r="E1225">
        <f>1</f>
        <v>1</v>
      </c>
      <c r="F1225" t="str">
        <f>TRIM('Tabela Federal'!$D1225)</f>
        <v>NAPROXENO SODICO</v>
      </c>
    </row>
    <row r="1226" spans="4:6" x14ac:dyDescent="0.25">
      <c r="D1226" t="s">
        <v>4421</v>
      </c>
      <c r="E1226">
        <f>1</f>
        <v>1</v>
      </c>
      <c r="F1226" t="str">
        <f>TRIM('Tabela Federal'!$D1226)</f>
        <v>NAPROXENO SODICO</v>
      </c>
    </row>
    <row r="1227" spans="4:6" x14ac:dyDescent="0.25">
      <c r="D1227" t="s">
        <v>4580</v>
      </c>
      <c r="E1227">
        <f>1</f>
        <v>1</v>
      </c>
      <c r="F1227" t="str">
        <f>TRIM('Tabela Federal'!$D1227)</f>
        <v>NAPROXINODE</v>
      </c>
    </row>
    <row r="1228" spans="4:6" x14ac:dyDescent="0.25">
      <c r="D1228" t="s">
        <v>4581</v>
      </c>
      <c r="E1228">
        <f>1</f>
        <v>1</v>
      </c>
      <c r="F1228" t="str">
        <f>TRIM('Tabela Federal'!$D1228)</f>
        <v>NATALIZUMABE</v>
      </c>
    </row>
    <row r="1229" spans="4:6" x14ac:dyDescent="0.25">
      <c r="D1229" t="s">
        <v>3852</v>
      </c>
      <c r="E1229">
        <f>1</f>
        <v>1</v>
      </c>
      <c r="F1229" t="str">
        <f>TRIM('Tabela Federal'!$D1229)</f>
        <v>NATEGLINIDA</v>
      </c>
    </row>
    <row r="1230" spans="4:6" x14ac:dyDescent="0.25">
      <c r="D1230" t="s">
        <v>4422</v>
      </c>
      <c r="E1230">
        <f>1</f>
        <v>1</v>
      </c>
      <c r="F1230" t="str">
        <f>TRIM('Tabela Federal'!$D1230)</f>
        <v>NEDOCROMILA DISSODICA</v>
      </c>
    </row>
    <row r="1231" spans="4:6" x14ac:dyDescent="0.25">
      <c r="D1231" t="s">
        <v>3170</v>
      </c>
      <c r="E1231">
        <f>1</f>
        <v>1</v>
      </c>
      <c r="F1231" t="str">
        <f>TRIM('Tabela Federal'!$D1231)</f>
        <v>NEOMICINA</v>
      </c>
    </row>
    <row r="1232" spans="4:6" x14ac:dyDescent="0.25">
      <c r="D1232" t="s">
        <v>3853</v>
      </c>
      <c r="E1232">
        <f>1</f>
        <v>1</v>
      </c>
      <c r="F1232" t="str">
        <f>TRIM('Tabela Federal'!$D1232)</f>
        <v>NEPAFENACO</v>
      </c>
    </row>
    <row r="1233" spans="4:6" x14ac:dyDescent="0.25">
      <c r="D1233" t="s">
        <v>3854</v>
      </c>
      <c r="E1233">
        <f>1</f>
        <v>1</v>
      </c>
      <c r="F1233" t="str">
        <f>TRIM('Tabela Federal'!$D1233)</f>
        <v>NESIRITIDA</v>
      </c>
    </row>
    <row r="1234" spans="4:6" x14ac:dyDescent="0.25">
      <c r="D1234" t="s">
        <v>3855</v>
      </c>
      <c r="E1234">
        <f>1</f>
        <v>1</v>
      </c>
      <c r="F1234" t="str">
        <f>TRIM('Tabela Federal'!$D1234)</f>
        <v>NEVIRAPINA</v>
      </c>
    </row>
    <row r="1235" spans="4:6" x14ac:dyDescent="0.25">
      <c r="D1235" t="s">
        <v>3856</v>
      </c>
      <c r="E1235">
        <f>1</f>
        <v>1</v>
      </c>
      <c r="F1235" t="str">
        <f>TRIM('Tabela Federal'!$D1235)</f>
        <v>NICERGOLINA</v>
      </c>
    </row>
    <row r="1236" spans="4:6" x14ac:dyDescent="0.25">
      <c r="D1236" t="s">
        <v>4582</v>
      </c>
      <c r="E1236">
        <f>1</f>
        <v>1</v>
      </c>
      <c r="F1236" t="str">
        <f>TRIM('Tabela Federal'!$D1236)</f>
        <v>NICLOSAMIDA</v>
      </c>
    </row>
    <row r="1237" spans="4:6" x14ac:dyDescent="0.25">
      <c r="D1237" t="s">
        <v>2801</v>
      </c>
      <c r="E1237">
        <f>1</f>
        <v>1</v>
      </c>
      <c r="F1237" t="str">
        <f>TRIM('Tabela Federal'!$D1237)</f>
        <v>NICOTINA</v>
      </c>
    </row>
    <row r="1238" spans="4:6" x14ac:dyDescent="0.25">
      <c r="D1238" t="s">
        <v>3857</v>
      </c>
      <c r="E1238">
        <f>1</f>
        <v>1</v>
      </c>
      <c r="F1238" t="str">
        <f>TRIM('Tabela Federal'!$D1238)</f>
        <v>NICOTINAMIDA</v>
      </c>
    </row>
    <row r="1239" spans="4:6" x14ac:dyDescent="0.25">
      <c r="D1239" t="s">
        <v>3858</v>
      </c>
      <c r="E1239">
        <f>1</f>
        <v>1</v>
      </c>
      <c r="F1239" t="str">
        <f>TRIM('Tabela Federal'!$D1239)</f>
        <v>NIFEDIPINO</v>
      </c>
    </row>
    <row r="1240" spans="4:6" x14ac:dyDescent="0.25">
      <c r="D1240" t="s">
        <v>3859</v>
      </c>
      <c r="E1240">
        <f>1</f>
        <v>1</v>
      </c>
      <c r="F1240" t="str">
        <f>TRIM('Tabela Federal'!$D1240)</f>
        <v>NIFURTIMOX</v>
      </c>
    </row>
    <row r="1241" spans="4:6" x14ac:dyDescent="0.25">
      <c r="D1241" t="s">
        <v>4583</v>
      </c>
      <c r="E1241">
        <f>1</f>
        <v>1</v>
      </c>
      <c r="F1241" t="str">
        <f>TRIM('Tabela Federal'!$D1241)</f>
        <v>NILOTINIBE</v>
      </c>
    </row>
    <row r="1242" spans="4:6" x14ac:dyDescent="0.25">
      <c r="D1242" t="s">
        <v>3860</v>
      </c>
      <c r="E1242">
        <f>1</f>
        <v>1</v>
      </c>
      <c r="F1242" t="str">
        <f>TRIM('Tabela Federal'!$D1242)</f>
        <v>NILUTAMIDA</v>
      </c>
    </row>
    <row r="1243" spans="4:6" x14ac:dyDescent="0.25">
      <c r="D1243" t="s">
        <v>2640</v>
      </c>
      <c r="E1243">
        <f>1</f>
        <v>1</v>
      </c>
      <c r="F1243" t="str">
        <f>TRIM('Tabela Federal'!$D1243)</f>
        <v>NIMESULIDA</v>
      </c>
    </row>
    <row r="1244" spans="4:6" x14ac:dyDescent="0.25">
      <c r="D1244" t="s">
        <v>3861</v>
      </c>
      <c r="E1244">
        <f>1</f>
        <v>1</v>
      </c>
      <c r="F1244" t="str">
        <f>TRIM('Tabela Federal'!$D1244)</f>
        <v>NIMESULIDA BETACICLODEXTRINA</v>
      </c>
    </row>
    <row r="1245" spans="4:6" x14ac:dyDescent="0.25">
      <c r="D1245" t="s">
        <v>3862</v>
      </c>
      <c r="E1245">
        <f>1</f>
        <v>1</v>
      </c>
      <c r="F1245" t="str">
        <f>TRIM('Tabela Federal'!$D1245)</f>
        <v>NIMODIPINO</v>
      </c>
    </row>
    <row r="1246" spans="4:6" x14ac:dyDescent="0.25">
      <c r="D1246" t="s">
        <v>4584</v>
      </c>
      <c r="E1246">
        <f>1</f>
        <v>1</v>
      </c>
      <c r="F1246" t="str">
        <f>TRIM('Tabela Federal'!$D1246)</f>
        <v>NIMORAZOL</v>
      </c>
    </row>
    <row r="1247" spans="4:6" x14ac:dyDescent="0.25">
      <c r="D1247" t="s">
        <v>4585</v>
      </c>
      <c r="E1247">
        <f>1</f>
        <v>1</v>
      </c>
      <c r="F1247" t="str">
        <f>TRIM('Tabela Federal'!$D1247)</f>
        <v>NIMOTUZUMABE</v>
      </c>
    </row>
    <row r="1248" spans="4:6" x14ac:dyDescent="0.25">
      <c r="D1248" t="s">
        <v>3863</v>
      </c>
      <c r="E1248">
        <f>1</f>
        <v>1</v>
      </c>
      <c r="F1248" t="str">
        <f>TRIM('Tabela Federal'!$D1248)</f>
        <v>NISOLDIPINO</v>
      </c>
    </row>
    <row r="1249" spans="4:6" x14ac:dyDescent="0.25">
      <c r="D1249" t="s">
        <v>3864</v>
      </c>
      <c r="E1249">
        <f>1</f>
        <v>1</v>
      </c>
      <c r="F1249" t="str">
        <f>TRIM('Tabela Federal'!$D1249)</f>
        <v>NISTATINA</v>
      </c>
    </row>
    <row r="1250" spans="4:6" x14ac:dyDescent="0.25">
      <c r="D1250" t="s">
        <v>3865</v>
      </c>
      <c r="E1250">
        <f>1</f>
        <v>1</v>
      </c>
      <c r="F1250" t="str">
        <f>TRIM('Tabela Federal'!$D1250)</f>
        <v>NITRATO DE MICONAZOL</v>
      </c>
    </row>
    <row r="1251" spans="4:6" x14ac:dyDescent="0.25">
      <c r="D1251" t="s">
        <v>3866</v>
      </c>
      <c r="E1251">
        <f>1</f>
        <v>1</v>
      </c>
      <c r="F1251" t="str">
        <f>TRIM('Tabela Federal'!$D1251)</f>
        <v>NITRAZEPAM</v>
      </c>
    </row>
    <row r="1252" spans="4:6" x14ac:dyDescent="0.25">
      <c r="D1252" t="s">
        <v>3867</v>
      </c>
      <c r="E1252">
        <f>1</f>
        <v>1</v>
      </c>
      <c r="F1252" t="str">
        <f>TRIM('Tabela Federal'!$D1252)</f>
        <v>NITRENDIPINO</v>
      </c>
    </row>
    <row r="1253" spans="4:6" x14ac:dyDescent="0.25">
      <c r="D1253" t="s">
        <v>4314</v>
      </c>
      <c r="E1253">
        <f>1</f>
        <v>1</v>
      </c>
      <c r="F1253" t="str">
        <f>TRIM('Tabela Federal'!$D1253)</f>
        <v>NITROFURANTOINA</v>
      </c>
    </row>
    <row r="1254" spans="4:6" x14ac:dyDescent="0.25">
      <c r="D1254" t="s">
        <v>3868</v>
      </c>
      <c r="E1254">
        <f>1</f>
        <v>1</v>
      </c>
      <c r="F1254" t="str">
        <f>TRIM('Tabela Federal'!$D1254)</f>
        <v>NITROGLICERINA</v>
      </c>
    </row>
    <row r="1255" spans="4:6" x14ac:dyDescent="0.25">
      <c r="D1255" t="s">
        <v>4423</v>
      </c>
      <c r="E1255">
        <f>1</f>
        <v>1</v>
      </c>
      <c r="F1255" t="str">
        <f>TRIM('Tabela Federal'!$D1255)</f>
        <v>NITROPRUSSETO DE SODIO</v>
      </c>
    </row>
    <row r="1256" spans="4:6" x14ac:dyDescent="0.25">
      <c r="D1256" t="s">
        <v>3869</v>
      </c>
      <c r="E1256">
        <f>1</f>
        <v>1</v>
      </c>
      <c r="F1256" t="str">
        <f>TRIM('Tabela Federal'!$D1256)</f>
        <v>NIZATIDINA</v>
      </c>
    </row>
    <row r="1257" spans="4:6" x14ac:dyDescent="0.25">
      <c r="D1257" t="s">
        <v>3870</v>
      </c>
      <c r="E1257">
        <f>1</f>
        <v>1</v>
      </c>
      <c r="F1257" t="str">
        <f>TRIM('Tabela Federal'!$D1257)</f>
        <v>NONOXINOL</v>
      </c>
    </row>
    <row r="1258" spans="4:6" x14ac:dyDescent="0.25">
      <c r="D1258" t="s">
        <v>3188</v>
      </c>
      <c r="E1258">
        <f>1</f>
        <v>1</v>
      </c>
      <c r="F1258" t="str">
        <f>TRIM('Tabela Federal'!$D1258)</f>
        <v>NORETISTERONA</v>
      </c>
    </row>
    <row r="1259" spans="4:6" x14ac:dyDescent="0.25">
      <c r="D1259" t="s">
        <v>3188</v>
      </c>
      <c r="E1259">
        <f>1</f>
        <v>1</v>
      </c>
      <c r="F1259" t="str">
        <f>TRIM('Tabela Federal'!$D1259)</f>
        <v>NORETISTERONA</v>
      </c>
    </row>
    <row r="1260" spans="4:6" x14ac:dyDescent="0.25">
      <c r="D1260" t="s">
        <v>2669</v>
      </c>
      <c r="E1260">
        <f>1</f>
        <v>1</v>
      </c>
      <c r="F1260" t="str">
        <f>TRIM('Tabela Federal'!$D1260)</f>
        <v>NORFLOXACINO</v>
      </c>
    </row>
    <row r="1261" spans="4:6" x14ac:dyDescent="0.25">
      <c r="D1261" t="s">
        <v>3871</v>
      </c>
      <c r="E1261">
        <f>1</f>
        <v>1</v>
      </c>
      <c r="F1261" t="str">
        <f>TRIM('Tabela Federal'!$D1261)</f>
        <v>OCITOCINA</v>
      </c>
    </row>
    <row r="1262" spans="4:6" x14ac:dyDescent="0.25">
      <c r="D1262" t="s">
        <v>3872</v>
      </c>
      <c r="E1262">
        <f>1</f>
        <v>1</v>
      </c>
      <c r="F1262" t="str">
        <f>TRIM('Tabela Federal'!$D1262)</f>
        <v>OCTREOTIDA</v>
      </c>
    </row>
    <row r="1263" spans="4:6" x14ac:dyDescent="0.25">
      <c r="D1263" t="s">
        <v>3873</v>
      </c>
      <c r="E1263">
        <f>1</f>
        <v>1</v>
      </c>
      <c r="F1263" t="str">
        <f>TRIM('Tabela Federal'!$D1263)</f>
        <v>OFLOXACINO</v>
      </c>
    </row>
    <row r="1264" spans="4:6" x14ac:dyDescent="0.25">
      <c r="D1264" t="s">
        <v>3874</v>
      </c>
      <c r="E1264">
        <f>1</f>
        <v>1</v>
      </c>
      <c r="F1264" t="str">
        <f>TRIM('Tabela Federal'!$D1264)</f>
        <v>OLANZAPINA</v>
      </c>
    </row>
    <row r="1265" spans="4:6" x14ac:dyDescent="0.25">
      <c r="D1265" t="s">
        <v>3875</v>
      </c>
      <c r="E1265">
        <f>1</f>
        <v>1</v>
      </c>
      <c r="F1265" t="str">
        <f>TRIM('Tabela Federal'!$D1265)</f>
        <v>OLEATO DE MONOETANOLAMINA</v>
      </c>
    </row>
    <row r="1266" spans="4:6" x14ac:dyDescent="0.25">
      <c r="D1266" t="s">
        <v>4424</v>
      </c>
      <c r="E1266">
        <f>1</f>
        <v>1</v>
      </c>
      <c r="F1266" t="str">
        <f>TRIM('Tabela Federal'!$D1266)</f>
        <v>OLEO DE OLIVA</v>
      </c>
    </row>
    <row r="1267" spans="4:6" x14ac:dyDescent="0.25">
      <c r="D1267" t="s">
        <v>4425</v>
      </c>
      <c r="E1267">
        <f>1</f>
        <v>1</v>
      </c>
      <c r="F1267" t="str">
        <f>TRIM('Tabela Federal'!$D1267)</f>
        <v>OLEO DE SOJA</v>
      </c>
    </row>
    <row r="1268" spans="4:6" x14ac:dyDescent="0.25">
      <c r="D1268" t="s">
        <v>3876</v>
      </c>
      <c r="E1268">
        <f>1</f>
        <v>1</v>
      </c>
      <c r="F1268" t="str">
        <f>TRIM('Tabela Federal'!$D1268)</f>
        <v>OLMESARTANA MEDOXOMILA</v>
      </c>
    </row>
    <row r="1269" spans="4:6" x14ac:dyDescent="0.25">
      <c r="D1269" t="s">
        <v>3877</v>
      </c>
      <c r="E1269">
        <f>1</f>
        <v>1</v>
      </c>
      <c r="F1269" t="str">
        <f>TRIM('Tabela Federal'!$D1269)</f>
        <v>OMALIZUMABE</v>
      </c>
    </row>
    <row r="1270" spans="4:6" x14ac:dyDescent="0.25">
      <c r="D1270" t="s">
        <v>2672</v>
      </c>
      <c r="E1270">
        <f>1</f>
        <v>1</v>
      </c>
      <c r="F1270" t="str">
        <f>TRIM('Tabela Federal'!$D1270)</f>
        <v>OMEPRAZOL</v>
      </c>
    </row>
    <row r="1271" spans="4:6" x14ac:dyDescent="0.25">
      <c r="D1271" t="s">
        <v>4254</v>
      </c>
      <c r="E1271">
        <f>1</f>
        <v>1</v>
      </c>
      <c r="F1271" t="str">
        <f>TRIM('Tabela Federal'!$D1271)</f>
        <v>OMEPRAZOL MAGNESICO</v>
      </c>
    </row>
    <row r="1272" spans="4:6" x14ac:dyDescent="0.25">
      <c r="D1272" t="s">
        <v>3878</v>
      </c>
      <c r="E1272">
        <f>1</f>
        <v>1</v>
      </c>
      <c r="F1272" t="str">
        <f>TRIM('Tabela Federal'!$D1272)</f>
        <v>OPRELVECINA</v>
      </c>
    </row>
    <row r="1273" spans="4:6" x14ac:dyDescent="0.25">
      <c r="D1273" t="s">
        <v>3879</v>
      </c>
      <c r="E1273">
        <f>1</f>
        <v>1</v>
      </c>
      <c r="F1273" t="str">
        <f>TRIM('Tabela Federal'!$D1273)</f>
        <v>ORNITINA</v>
      </c>
    </row>
    <row r="1274" spans="4:6" x14ac:dyDescent="0.25">
      <c r="D1274" t="s">
        <v>4426</v>
      </c>
      <c r="E1274">
        <f>1</f>
        <v>1</v>
      </c>
      <c r="F1274" t="str">
        <f>TRIM('Tabela Federal'!$D1274)</f>
        <v>OXACILINA SODICA</v>
      </c>
    </row>
    <row r="1275" spans="4:6" x14ac:dyDescent="0.25">
      <c r="D1275" t="s">
        <v>3880</v>
      </c>
      <c r="E1275">
        <f>1</f>
        <v>1</v>
      </c>
      <c r="F1275" t="str">
        <f>TRIM('Tabela Federal'!$D1275)</f>
        <v>OXALATO DE ESCITALOPRAM</v>
      </c>
    </row>
    <row r="1276" spans="4:6" x14ac:dyDescent="0.25">
      <c r="D1276" t="s">
        <v>3881</v>
      </c>
      <c r="E1276">
        <f>1</f>
        <v>1</v>
      </c>
      <c r="F1276" t="str">
        <f>TRIM('Tabela Federal'!$D1276)</f>
        <v>OXALIPLATINA</v>
      </c>
    </row>
    <row r="1277" spans="4:6" x14ac:dyDescent="0.25">
      <c r="D1277" t="s">
        <v>3882</v>
      </c>
      <c r="E1277">
        <f>1</f>
        <v>1</v>
      </c>
      <c r="F1277" t="str">
        <f>TRIM('Tabela Federal'!$D1277)</f>
        <v>OXAMNIQUINA</v>
      </c>
    </row>
    <row r="1278" spans="4:6" x14ac:dyDescent="0.25">
      <c r="D1278" t="s">
        <v>3883</v>
      </c>
      <c r="E1278">
        <f>1</f>
        <v>1</v>
      </c>
      <c r="F1278" t="str">
        <f>TRIM('Tabela Federal'!$D1278)</f>
        <v>OXCARBAZEPINA</v>
      </c>
    </row>
    <row r="1279" spans="4:6" x14ac:dyDescent="0.25">
      <c r="D1279" t="s">
        <v>4315</v>
      </c>
      <c r="E1279">
        <f>1</f>
        <v>1</v>
      </c>
      <c r="F1279" t="str">
        <f>TRIM('Tabela Federal'!$D1279)</f>
        <v>OXIBUPROCAINA</v>
      </c>
    </row>
    <row r="1280" spans="4:6" x14ac:dyDescent="0.25">
      <c r="D1280" t="s">
        <v>4427</v>
      </c>
      <c r="E1280">
        <f>1</f>
        <v>1</v>
      </c>
      <c r="F1280" t="str">
        <f>TRIM('Tabela Federal'!$D1280)</f>
        <v>OXIDO DE FERRO PARAMAGNETICO</v>
      </c>
    </row>
    <row r="1281" spans="4:6" x14ac:dyDescent="0.25">
      <c r="D1281" t="s">
        <v>3884</v>
      </c>
      <c r="E1281">
        <f>1</f>
        <v>1</v>
      </c>
      <c r="F1281" t="str">
        <f>TRIM('Tabela Federal'!$D1281)</f>
        <v>OXIMETOLONA</v>
      </c>
    </row>
    <row r="1282" spans="4:6" x14ac:dyDescent="0.25">
      <c r="D1282" t="s">
        <v>3885</v>
      </c>
      <c r="E1282">
        <f>1</f>
        <v>1</v>
      </c>
      <c r="F1282" t="str">
        <f>TRIM('Tabela Federal'!$D1282)</f>
        <v>PACLITAXEL</v>
      </c>
    </row>
    <row r="1283" spans="4:6" x14ac:dyDescent="0.25">
      <c r="D1283" t="s">
        <v>4586</v>
      </c>
      <c r="E1283">
        <f>1</f>
        <v>1</v>
      </c>
      <c r="F1283" t="str">
        <f>TRIM('Tabela Federal'!$D1283)</f>
        <v>PALIFERMINA</v>
      </c>
    </row>
    <row r="1284" spans="4:6" x14ac:dyDescent="0.25">
      <c r="D1284" t="s">
        <v>4587</v>
      </c>
      <c r="E1284">
        <f>1</f>
        <v>1</v>
      </c>
      <c r="F1284" t="str">
        <f>TRIM('Tabela Federal'!$D1284)</f>
        <v>PALIPERIDONA</v>
      </c>
    </row>
    <row r="1285" spans="4:6" x14ac:dyDescent="0.25">
      <c r="D1285" t="s">
        <v>3886</v>
      </c>
      <c r="E1285">
        <f>1</f>
        <v>1</v>
      </c>
      <c r="F1285" t="str">
        <f>TRIM('Tabela Federal'!$D1285)</f>
        <v>PALIVIZUMABE</v>
      </c>
    </row>
    <row r="1286" spans="4:6" x14ac:dyDescent="0.25">
      <c r="D1286" t="s">
        <v>3887</v>
      </c>
      <c r="E1286">
        <f>1</f>
        <v>1</v>
      </c>
      <c r="F1286" t="str">
        <f>TRIM('Tabela Federal'!$D1286)</f>
        <v>PALMITATO DE CLORANFENICOL</v>
      </c>
    </row>
    <row r="1287" spans="4:6" x14ac:dyDescent="0.25">
      <c r="D1287" t="s">
        <v>3888</v>
      </c>
      <c r="E1287">
        <f>1</f>
        <v>1</v>
      </c>
      <c r="F1287" t="str">
        <f>TRIM('Tabela Federal'!$D1287)</f>
        <v>PALMITATO DE COLFOSCERILA</v>
      </c>
    </row>
    <row r="1288" spans="4:6" x14ac:dyDescent="0.25">
      <c r="D1288" t="s">
        <v>3889</v>
      </c>
      <c r="E1288">
        <f>1</f>
        <v>1</v>
      </c>
      <c r="F1288" t="str">
        <f>TRIM('Tabela Federal'!$D1288)</f>
        <v>PALMITATO DE PIPOTIAZINA</v>
      </c>
    </row>
    <row r="1289" spans="4:6" x14ac:dyDescent="0.25">
      <c r="D1289" t="s">
        <v>3890</v>
      </c>
      <c r="E1289">
        <f>1</f>
        <v>1</v>
      </c>
      <c r="F1289" t="str">
        <f>TRIM('Tabela Federal'!$D1289)</f>
        <v>PALMITATO DE RETINOL</v>
      </c>
    </row>
    <row r="1290" spans="4:6" x14ac:dyDescent="0.25">
      <c r="D1290" t="s">
        <v>4428</v>
      </c>
      <c r="E1290">
        <f>1</f>
        <v>1</v>
      </c>
      <c r="F1290" t="str">
        <f>TRIM('Tabela Federal'!$D1290)</f>
        <v>PAMIDRONATO DISSODICO</v>
      </c>
    </row>
    <row r="1291" spans="4:6" x14ac:dyDescent="0.25">
      <c r="D1291" t="s">
        <v>3891</v>
      </c>
      <c r="E1291">
        <f>1</f>
        <v>1</v>
      </c>
      <c r="F1291" t="str">
        <f>TRIM('Tabela Federal'!$D1291)</f>
        <v>PANTOPRAZOL</v>
      </c>
    </row>
    <row r="1292" spans="4:6" x14ac:dyDescent="0.25">
      <c r="D1292" t="s">
        <v>4429</v>
      </c>
      <c r="E1292">
        <f>1</f>
        <v>1</v>
      </c>
      <c r="F1292" t="str">
        <f>TRIM('Tabela Federal'!$D1292)</f>
        <v>PANTOPRAZOL SODICO SESQUIIDRATADO</v>
      </c>
    </row>
    <row r="1293" spans="4:6" x14ac:dyDescent="0.25">
      <c r="D1293" t="s">
        <v>3892</v>
      </c>
      <c r="E1293">
        <f>1</f>
        <v>1</v>
      </c>
      <c r="F1293" t="str">
        <f>TRIM('Tabela Federal'!$D1293)</f>
        <v>PARECOXIBE</v>
      </c>
    </row>
    <row r="1294" spans="4:6" x14ac:dyDescent="0.25">
      <c r="D1294" t="s">
        <v>3893</v>
      </c>
      <c r="E1294">
        <f>1</f>
        <v>1</v>
      </c>
      <c r="F1294" t="str">
        <f>TRIM('Tabela Federal'!$D1294)</f>
        <v>PARICALCITOL</v>
      </c>
    </row>
    <row r="1295" spans="4:6" x14ac:dyDescent="0.25">
      <c r="D1295" t="s">
        <v>3894</v>
      </c>
      <c r="E1295">
        <f>1</f>
        <v>1</v>
      </c>
      <c r="F1295" t="str">
        <f>TRIM('Tabela Federal'!$D1295)</f>
        <v>PEFLOXACINO</v>
      </c>
    </row>
    <row r="1296" spans="4:6" x14ac:dyDescent="0.25">
      <c r="D1296" t="s">
        <v>4430</v>
      </c>
      <c r="E1296">
        <f>1</f>
        <v>1</v>
      </c>
      <c r="F1296" t="str">
        <f>TRIM('Tabela Federal'!$D1296)</f>
        <v>PEGAPTANIBE OCTASSODICO</v>
      </c>
    </row>
    <row r="1297" spans="4:6" x14ac:dyDescent="0.25">
      <c r="D1297" t="s">
        <v>3895</v>
      </c>
      <c r="E1297">
        <f>1</f>
        <v>1</v>
      </c>
      <c r="F1297" t="str">
        <f>TRIM('Tabela Federal'!$D1297)</f>
        <v>PEGFILGRASTIM</v>
      </c>
    </row>
    <row r="1298" spans="4:6" x14ac:dyDescent="0.25">
      <c r="D1298" t="s">
        <v>3896</v>
      </c>
      <c r="E1298">
        <f>1</f>
        <v>1</v>
      </c>
      <c r="F1298" t="str">
        <f>TRIM('Tabela Federal'!$D1298)</f>
        <v>PEGVISOMANTO</v>
      </c>
    </row>
    <row r="1299" spans="4:6" x14ac:dyDescent="0.25">
      <c r="D1299" t="s">
        <v>3897</v>
      </c>
      <c r="E1299">
        <f>1</f>
        <v>1</v>
      </c>
      <c r="F1299" t="str">
        <f>TRIM('Tabela Federal'!$D1299)</f>
        <v>PEMETREXEDE</v>
      </c>
    </row>
    <row r="1300" spans="4:6" x14ac:dyDescent="0.25">
      <c r="D1300" t="s">
        <v>4431</v>
      </c>
      <c r="E1300">
        <f>1</f>
        <v>1</v>
      </c>
      <c r="F1300" t="str">
        <f>TRIM('Tabela Federal'!$D1300)</f>
        <v>PEMETREXEDE DISSODICO</v>
      </c>
    </row>
    <row r="1301" spans="4:6" x14ac:dyDescent="0.25">
      <c r="D1301" t="s">
        <v>3898</v>
      </c>
      <c r="E1301">
        <f>1</f>
        <v>1</v>
      </c>
      <c r="F1301" t="str">
        <f>TRIM('Tabela Federal'!$D1301)</f>
        <v>PENFLURIDOL</v>
      </c>
    </row>
    <row r="1302" spans="4:6" x14ac:dyDescent="0.25">
      <c r="D1302" t="s">
        <v>3899</v>
      </c>
      <c r="E1302">
        <f>1</f>
        <v>1</v>
      </c>
      <c r="F1302" t="str">
        <f>TRIM('Tabela Federal'!$D1302)</f>
        <v>PENICILAMINA</v>
      </c>
    </row>
    <row r="1303" spans="4:6" x14ac:dyDescent="0.25">
      <c r="D1303" t="s">
        <v>2675</v>
      </c>
      <c r="E1303">
        <f>1</f>
        <v>1</v>
      </c>
      <c r="F1303" t="str">
        <f>TRIM('Tabela Federal'!$D1303)</f>
        <v>PENTOXIFILINA</v>
      </c>
    </row>
    <row r="1304" spans="4:6" x14ac:dyDescent="0.25">
      <c r="D1304" t="s">
        <v>3900</v>
      </c>
      <c r="E1304">
        <f>1</f>
        <v>1</v>
      </c>
      <c r="F1304" t="str">
        <f>TRIM('Tabela Federal'!$D1304)</f>
        <v>PERICIAZINA</v>
      </c>
    </row>
    <row r="1305" spans="4:6" x14ac:dyDescent="0.25">
      <c r="D1305" t="s">
        <v>3901</v>
      </c>
      <c r="E1305">
        <f>1</f>
        <v>1</v>
      </c>
      <c r="F1305" t="str">
        <f>TRIM('Tabela Federal'!$D1305)</f>
        <v>PERINDOPRIL</v>
      </c>
    </row>
    <row r="1306" spans="4:6" x14ac:dyDescent="0.25">
      <c r="D1306" t="s">
        <v>3902</v>
      </c>
      <c r="E1306">
        <f>1</f>
        <v>1</v>
      </c>
      <c r="F1306" t="str">
        <f>TRIM('Tabela Federal'!$D1306)</f>
        <v>PERINDOPRIL ERBUMINA</v>
      </c>
    </row>
    <row r="1307" spans="4:6" x14ac:dyDescent="0.25">
      <c r="D1307" t="s">
        <v>4588</v>
      </c>
      <c r="E1307">
        <f>1</f>
        <v>1</v>
      </c>
      <c r="F1307" t="str">
        <f>TRIM('Tabela Federal'!$D1307)</f>
        <v>PERTUZUMABE</v>
      </c>
    </row>
    <row r="1308" spans="4:6" x14ac:dyDescent="0.25">
      <c r="D1308" t="s">
        <v>4589</v>
      </c>
      <c r="E1308">
        <f>1</f>
        <v>1</v>
      </c>
      <c r="F1308" t="str">
        <f>TRIM('Tabela Federal'!$D1308)</f>
        <v>PIMECROLIMO</v>
      </c>
    </row>
    <row r="1309" spans="4:6" x14ac:dyDescent="0.25">
      <c r="D1309" t="s">
        <v>3903</v>
      </c>
      <c r="E1309">
        <f>1</f>
        <v>1</v>
      </c>
      <c r="F1309" t="str">
        <f>TRIM('Tabela Federal'!$D1309)</f>
        <v>PIMETIXENO</v>
      </c>
    </row>
    <row r="1310" spans="4:6" x14ac:dyDescent="0.25">
      <c r="D1310" t="s">
        <v>3904</v>
      </c>
      <c r="E1310">
        <f>1</f>
        <v>1</v>
      </c>
      <c r="F1310" t="str">
        <f>TRIM('Tabela Federal'!$D1310)</f>
        <v>PIMOZIDA</v>
      </c>
    </row>
    <row r="1311" spans="4:6" x14ac:dyDescent="0.25">
      <c r="D1311" t="s">
        <v>3905</v>
      </c>
      <c r="E1311">
        <f>1</f>
        <v>1</v>
      </c>
      <c r="F1311" t="str">
        <f>TRIM('Tabela Federal'!$D1311)</f>
        <v>PINDOLOL</v>
      </c>
    </row>
    <row r="1312" spans="4:6" x14ac:dyDescent="0.25">
      <c r="D1312" t="s">
        <v>3906</v>
      </c>
      <c r="E1312">
        <f>1</f>
        <v>1</v>
      </c>
      <c r="F1312" t="str">
        <f>TRIM('Tabela Federal'!$D1312)</f>
        <v>PIOGLITAZONA</v>
      </c>
    </row>
    <row r="1313" spans="4:6" x14ac:dyDescent="0.25">
      <c r="D1313" t="s">
        <v>4432</v>
      </c>
      <c r="E1313">
        <f>1</f>
        <v>1</v>
      </c>
      <c r="F1313" t="str">
        <f>TRIM('Tabela Federal'!$D1313)</f>
        <v>PIPERACILINA SODICA</v>
      </c>
    </row>
    <row r="1314" spans="4:6" x14ac:dyDescent="0.25">
      <c r="D1314" t="s">
        <v>3907</v>
      </c>
      <c r="E1314">
        <f>1</f>
        <v>1</v>
      </c>
      <c r="F1314" t="str">
        <f>TRIM('Tabela Federal'!$D1314)</f>
        <v>PIPOTIAZINA</v>
      </c>
    </row>
    <row r="1315" spans="4:6" x14ac:dyDescent="0.25">
      <c r="D1315" t="s">
        <v>3908</v>
      </c>
      <c r="E1315">
        <f>1</f>
        <v>1</v>
      </c>
      <c r="F1315" t="str">
        <f>TRIM('Tabela Federal'!$D1315)</f>
        <v>PIRACETAM</v>
      </c>
    </row>
    <row r="1316" spans="4:6" x14ac:dyDescent="0.25">
      <c r="D1316" t="s">
        <v>3909</v>
      </c>
      <c r="E1316">
        <f>1</f>
        <v>1</v>
      </c>
      <c r="F1316" t="str">
        <f>TRIM('Tabela Federal'!$D1316)</f>
        <v>PIRAZINAMIDA</v>
      </c>
    </row>
    <row r="1317" spans="4:6" x14ac:dyDescent="0.25">
      <c r="D1317" t="s">
        <v>3910</v>
      </c>
      <c r="E1317">
        <f>1</f>
        <v>1</v>
      </c>
      <c r="F1317" t="str">
        <f>TRIM('Tabela Federal'!$D1317)</f>
        <v>PIRETANIDA</v>
      </c>
    </row>
    <row r="1318" spans="4:6" x14ac:dyDescent="0.25">
      <c r="D1318" t="s">
        <v>4590</v>
      </c>
      <c r="E1318">
        <f>1</f>
        <v>1</v>
      </c>
      <c r="F1318" t="str">
        <f>TRIM('Tabela Federal'!$D1318)</f>
        <v>PIRFENIDONA</v>
      </c>
    </row>
    <row r="1319" spans="4:6" x14ac:dyDescent="0.25">
      <c r="D1319" t="s">
        <v>3911</v>
      </c>
      <c r="E1319">
        <f>1</f>
        <v>1</v>
      </c>
      <c r="F1319" t="str">
        <f>TRIM('Tabela Federal'!$D1319)</f>
        <v>PIRIBEDIL</v>
      </c>
    </row>
    <row r="1320" spans="4:6" x14ac:dyDescent="0.25">
      <c r="D1320" t="s">
        <v>3169</v>
      </c>
      <c r="E1320">
        <f>1</f>
        <v>1</v>
      </c>
      <c r="F1320" t="str">
        <f>TRIM('Tabela Federal'!$D1320)</f>
        <v>PIRIDOXINA</v>
      </c>
    </row>
    <row r="1321" spans="4:6" x14ac:dyDescent="0.25">
      <c r="D1321" t="s">
        <v>3912</v>
      </c>
      <c r="E1321">
        <f>1</f>
        <v>1</v>
      </c>
      <c r="F1321" t="str">
        <f>TRIM('Tabela Federal'!$D1321)</f>
        <v>PIRIMETAMINA</v>
      </c>
    </row>
    <row r="1322" spans="4:6" x14ac:dyDescent="0.25">
      <c r="D1322" t="s">
        <v>3912</v>
      </c>
      <c r="E1322">
        <f>1</f>
        <v>1</v>
      </c>
      <c r="F1322" t="str">
        <f>TRIM('Tabela Federal'!$D1322)</f>
        <v>PIRIMETAMINA</v>
      </c>
    </row>
    <row r="1323" spans="4:6" x14ac:dyDescent="0.25">
      <c r="D1323" t="s">
        <v>3913</v>
      </c>
      <c r="E1323">
        <f>1</f>
        <v>1</v>
      </c>
      <c r="F1323" t="str">
        <f>TRIM('Tabela Federal'!$D1323)</f>
        <v>PIROXICAM</v>
      </c>
    </row>
    <row r="1324" spans="4:6" x14ac:dyDescent="0.25">
      <c r="D1324" t="s">
        <v>3914</v>
      </c>
      <c r="E1324">
        <f>1</f>
        <v>1</v>
      </c>
      <c r="F1324" t="str">
        <f>TRIM('Tabela Federal'!$D1324)</f>
        <v>PIROXICAM BETACICLODEXTRINA</v>
      </c>
    </row>
    <row r="1325" spans="4:6" x14ac:dyDescent="0.25">
      <c r="D1325" t="s">
        <v>4591</v>
      </c>
      <c r="E1325">
        <f>1</f>
        <v>1</v>
      </c>
      <c r="F1325" t="str">
        <f>TRIM('Tabela Federal'!$D1325)</f>
        <v>PIRVINIO</v>
      </c>
    </row>
    <row r="1326" spans="4:6" x14ac:dyDescent="0.25">
      <c r="D1326" t="s">
        <v>4592</v>
      </c>
      <c r="E1326">
        <f>1</f>
        <v>1</v>
      </c>
      <c r="F1326" t="str">
        <f>TRIM('Tabela Federal'!$D1326)</f>
        <v>PIXANTRONA</v>
      </c>
    </row>
    <row r="1327" spans="4:6" x14ac:dyDescent="0.25">
      <c r="D1327" t="s">
        <v>3915</v>
      </c>
      <c r="E1327">
        <f>1</f>
        <v>1</v>
      </c>
      <c r="F1327" t="str">
        <f>TRIM('Tabela Federal'!$D1327)</f>
        <v>PLAQUETAS</v>
      </c>
    </row>
    <row r="1328" spans="4:6" x14ac:dyDescent="0.25">
      <c r="D1328" t="s">
        <v>3916</v>
      </c>
      <c r="E1328">
        <f>1</f>
        <v>1</v>
      </c>
      <c r="F1328" t="str">
        <f>TRIM('Tabela Federal'!$D1328)</f>
        <v>PLASMA</v>
      </c>
    </row>
    <row r="1329" spans="4:6" x14ac:dyDescent="0.25">
      <c r="D1329" t="s">
        <v>4593</v>
      </c>
      <c r="E1329">
        <f>1</f>
        <v>1</v>
      </c>
      <c r="F1329" t="str">
        <f>TRIM('Tabela Federal'!$D1329)</f>
        <v>PLERIXAFOR</v>
      </c>
    </row>
    <row r="1330" spans="4:6" x14ac:dyDescent="0.25">
      <c r="D1330" t="s">
        <v>3917</v>
      </c>
      <c r="E1330">
        <f>1</f>
        <v>1</v>
      </c>
      <c r="F1330" t="str">
        <f>TRIM('Tabela Federal'!$D1330)</f>
        <v>POLIGELINA</v>
      </c>
    </row>
    <row r="1331" spans="4:6" x14ac:dyDescent="0.25">
      <c r="D1331" t="s">
        <v>4594</v>
      </c>
      <c r="E1331">
        <f>1</f>
        <v>1</v>
      </c>
      <c r="F1331" t="str">
        <f>TRIM('Tabela Federal'!$D1331)</f>
        <v>POSOCONAZOL</v>
      </c>
    </row>
    <row r="1332" spans="4:6" x14ac:dyDescent="0.25">
      <c r="D1332" t="s">
        <v>3918</v>
      </c>
      <c r="E1332">
        <f>1</f>
        <v>1</v>
      </c>
      <c r="F1332" t="str">
        <f>TRIM('Tabela Federal'!$D1332)</f>
        <v>PRANOPROFENO</v>
      </c>
    </row>
    <row r="1333" spans="4:6" x14ac:dyDescent="0.25">
      <c r="D1333" t="s">
        <v>4595</v>
      </c>
      <c r="E1333">
        <f>1</f>
        <v>1</v>
      </c>
      <c r="F1333" t="str">
        <f>TRIM('Tabela Federal'!$D1333)</f>
        <v>PRASUGREL</v>
      </c>
    </row>
    <row r="1334" spans="4:6" x14ac:dyDescent="0.25">
      <c r="D1334" t="s">
        <v>4433</v>
      </c>
      <c r="E1334">
        <f>1</f>
        <v>1</v>
      </c>
      <c r="F1334" t="str">
        <f>TRIM('Tabela Federal'!$D1334)</f>
        <v>PRAVASTATINA SODICA</v>
      </c>
    </row>
    <row r="1335" spans="4:6" x14ac:dyDescent="0.25">
      <c r="D1335" t="s">
        <v>3919</v>
      </c>
      <c r="E1335">
        <f>1</f>
        <v>1</v>
      </c>
      <c r="F1335" t="str">
        <f>TRIM('Tabela Federal'!$D1335)</f>
        <v>PRAZIQUANTEL</v>
      </c>
    </row>
    <row r="1336" spans="4:6" x14ac:dyDescent="0.25">
      <c r="D1336" t="s">
        <v>2678</v>
      </c>
      <c r="E1336">
        <f>1</f>
        <v>1</v>
      </c>
      <c r="F1336" t="str">
        <f>TRIM('Tabela Federal'!$D1336)</f>
        <v>PREDNISOLONA</v>
      </c>
    </row>
    <row r="1337" spans="4:6" x14ac:dyDescent="0.25">
      <c r="D1337" t="s">
        <v>3920</v>
      </c>
      <c r="E1337">
        <f>1</f>
        <v>1</v>
      </c>
      <c r="F1337" t="str">
        <f>TRIM('Tabela Federal'!$D1337)</f>
        <v>PREDNISONA</v>
      </c>
    </row>
    <row r="1338" spans="4:6" x14ac:dyDescent="0.25">
      <c r="D1338" t="s">
        <v>3921</v>
      </c>
      <c r="E1338">
        <f>1</f>
        <v>1</v>
      </c>
      <c r="F1338" t="str">
        <f>TRIM('Tabela Federal'!$D1338)</f>
        <v>PREGABALINA</v>
      </c>
    </row>
    <row r="1339" spans="4:6" x14ac:dyDescent="0.25">
      <c r="D1339" t="s">
        <v>3922</v>
      </c>
      <c r="E1339">
        <f>1</f>
        <v>1</v>
      </c>
      <c r="F1339" t="str">
        <f>TRIM('Tabela Federal'!$D1339)</f>
        <v>PRIMAQUINA</v>
      </c>
    </row>
    <row r="1340" spans="4:6" x14ac:dyDescent="0.25">
      <c r="D1340" t="s">
        <v>3923</v>
      </c>
      <c r="E1340">
        <f>1</f>
        <v>1</v>
      </c>
      <c r="F1340" t="str">
        <f>TRIM('Tabela Federal'!$D1340)</f>
        <v>PRIMIDONA</v>
      </c>
    </row>
    <row r="1341" spans="4:6" x14ac:dyDescent="0.25">
      <c r="D1341" t="s">
        <v>3924</v>
      </c>
      <c r="E1341">
        <f>1</f>
        <v>1</v>
      </c>
      <c r="F1341" t="str">
        <f>TRIM('Tabela Federal'!$D1341)</f>
        <v>PROBUCOL</v>
      </c>
    </row>
    <row r="1342" spans="4:6" x14ac:dyDescent="0.25">
      <c r="D1342" t="s">
        <v>4316</v>
      </c>
      <c r="E1342">
        <f>1</f>
        <v>1</v>
      </c>
      <c r="F1342" t="str">
        <f>TRIM('Tabela Federal'!$D1342)</f>
        <v>PROCAINA</v>
      </c>
    </row>
    <row r="1343" spans="4:6" x14ac:dyDescent="0.25">
      <c r="D1343" t="s">
        <v>3925</v>
      </c>
      <c r="E1343">
        <f>1</f>
        <v>1</v>
      </c>
      <c r="F1343" t="str">
        <f>TRIM('Tabela Federal'!$D1343)</f>
        <v>PROGESTERONA</v>
      </c>
    </row>
    <row r="1344" spans="4:6" x14ac:dyDescent="0.25">
      <c r="D1344" t="s">
        <v>3926</v>
      </c>
      <c r="E1344">
        <f>1</f>
        <v>1</v>
      </c>
      <c r="F1344" t="str">
        <f>TRIM('Tabela Federal'!$D1344)</f>
        <v>PROLINA</v>
      </c>
    </row>
    <row r="1345" spans="4:6" x14ac:dyDescent="0.25">
      <c r="D1345" t="s">
        <v>3927</v>
      </c>
      <c r="E1345">
        <f>1</f>
        <v>1</v>
      </c>
      <c r="F1345" t="str">
        <f>TRIM('Tabela Federal'!$D1345)</f>
        <v>PROMESTRIENO</v>
      </c>
    </row>
    <row r="1346" spans="4:6" x14ac:dyDescent="0.25">
      <c r="D1346" t="s">
        <v>2697</v>
      </c>
      <c r="E1346">
        <f>1</f>
        <v>1</v>
      </c>
      <c r="F1346" t="str">
        <f>TRIM('Tabela Federal'!$D1346)</f>
        <v>PROPATILNITRATO</v>
      </c>
    </row>
    <row r="1347" spans="4:6" x14ac:dyDescent="0.25">
      <c r="D1347" t="s">
        <v>3928</v>
      </c>
      <c r="E1347">
        <f>1</f>
        <v>1</v>
      </c>
      <c r="F1347" t="str">
        <f>TRIM('Tabela Federal'!$D1347)</f>
        <v>PROPILTIOURACILA</v>
      </c>
    </row>
    <row r="1348" spans="4:6" x14ac:dyDescent="0.25">
      <c r="D1348" t="s">
        <v>3929</v>
      </c>
      <c r="E1348">
        <f>1</f>
        <v>1</v>
      </c>
      <c r="F1348" t="str">
        <f>TRIM('Tabela Federal'!$D1348)</f>
        <v>PROPIONATO DE CLOBETASOL</v>
      </c>
    </row>
    <row r="1349" spans="4:6" x14ac:dyDescent="0.25">
      <c r="D1349" t="s">
        <v>3930</v>
      </c>
      <c r="E1349">
        <f>1</f>
        <v>1</v>
      </c>
      <c r="F1349" t="str">
        <f>TRIM('Tabela Federal'!$D1349)</f>
        <v>PROPIONATO DE FLUTICASONA</v>
      </c>
    </row>
    <row r="1350" spans="4:6" x14ac:dyDescent="0.25">
      <c r="D1350" t="s">
        <v>3930</v>
      </c>
      <c r="E1350">
        <f>1</f>
        <v>1</v>
      </c>
      <c r="F1350" t="str">
        <f>TRIM('Tabela Federal'!$D1350)</f>
        <v>PROPIONATO DE FLUTICASONA</v>
      </c>
    </row>
    <row r="1351" spans="4:6" x14ac:dyDescent="0.25">
      <c r="D1351" t="s">
        <v>3931</v>
      </c>
      <c r="E1351">
        <f>1</f>
        <v>1</v>
      </c>
      <c r="F1351" t="str">
        <f>TRIM('Tabela Federal'!$D1351)</f>
        <v>PROPOFOL</v>
      </c>
    </row>
    <row r="1352" spans="4:6" x14ac:dyDescent="0.25">
      <c r="D1352" t="s">
        <v>3931</v>
      </c>
      <c r="E1352">
        <f>1</f>
        <v>1</v>
      </c>
      <c r="F1352" t="str">
        <f>TRIM('Tabela Federal'!$D1352)</f>
        <v>PROPOFOL</v>
      </c>
    </row>
    <row r="1353" spans="4:6" x14ac:dyDescent="0.25">
      <c r="D1353" t="s">
        <v>3932</v>
      </c>
      <c r="E1353">
        <f>1</f>
        <v>1</v>
      </c>
      <c r="F1353" t="str">
        <f>TRIM('Tabela Federal'!$D1353)</f>
        <v>PROTIONAMIDA</v>
      </c>
    </row>
    <row r="1354" spans="4:6" x14ac:dyDescent="0.25">
      <c r="D1354" t="s">
        <v>3933</v>
      </c>
      <c r="E1354">
        <f>1</f>
        <v>1</v>
      </c>
      <c r="F1354" t="str">
        <f>TRIM('Tabela Federal'!$D1354)</f>
        <v>PROTIRRELINA</v>
      </c>
    </row>
    <row r="1355" spans="4:6" x14ac:dyDescent="0.25">
      <c r="D1355" t="s">
        <v>4596</v>
      </c>
      <c r="E1355">
        <f>1</f>
        <v>1</v>
      </c>
      <c r="F1355" t="str">
        <f>TRIM('Tabela Federal'!$D1355)</f>
        <v>PROTRIPLINA</v>
      </c>
    </row>
    <row r="1356" spans="4:6" x14ac:dyDescent="0.25">
      <c r="D1356" t="s">
        <v>3934</v>
      </c>
      <c r="E1356">
        <f>1</f>
        <v>1</v>
      </c>
      <c r="F1356" t="str">
        <f>TRIM('Tabela Federal'!$D1356)</f>
        <v>QUINAGOLIDA</v>
      </c>
    </row>
    <row r="1357" spans="4:6" x14ac:dyDescent="0.25">
      <c r="D1357" t="s">
        <v>3935</v>
      </c>
      <c r="E1357">
        <f>1</f>
        <v>1</v>
      </c>
      <c r="F1357" t="str">
        <f>TRIM('Tabela Federal'!$D1357)</f>
        <v>QUININA</v>
      </c>
    </row>
    <row r="1358" spans="4:6" x14ac:dyDescent="0.25">
      <c r="D1358" t="s">
        <v>4434</v>
      </c>
      <c r="E1358">
        <f>1</f>
        <v>1</v>
      </c>
      <c r="F1358" t="str">
        <f>TRIM('Tabela Federal'!$D1358)</f>
        <v>RABEPRAZOL SODICO</v>
      </c>
    </row>
    <row r="1359" spans="4:6" x14ac:dyDescent="0.25">
      <c r="D1359" t="s">
        <v>4597</v>
      </c>
      <c r="E1359">
        <f>1</f>
        <v>1</v>
      </c>
      <c r="F1359" t="str">
        <f>TRIM('Tabela Federal'!$D1359)</f>
        <v>RALTEGRAVIR</v>
      </c>
    </row>
    <row r="1360" spans="4:6" x14ac:dyDescent="0.25">
      <c r="D1360" t="s">
        <v>3936</v>
      </c>
      <c r="E1360">
        <f>1</f>
        <v>1</v>
      </c>
      <c r="F1360" t="str">
        <f>TRIM('Tabela Federal'!$D1360)</f>
        <v>RALTITREXEDE</v>
      </c>
    </row>
    <row r="1361" spans="4:6" x14ac:dyDescent="0.25">
      <c r="D1361" t="s">
        <v>3937</v>
      </c>
      <c r="E1361">
        <f>1</f>
        <v>1</v>
      </c>
      <c r="F1361" t="str">
        <f>TRIM('Tabela Federal'!$D1361)</f>
        <v>RAMIPRIL</v>
      </c>
    </row>
    <row r="1362" spans="4:6" x14ac:dyDescent="0.25">
      <c r="D1362" t="s">
        <v>2681</v>
      </c>
      <c r="E1362">
        <f>1</f>
        <v>1</v>
      </c>
      <c r="F1362" t="str">
        <f>TRIM('Tabela Federal'!$D1362)</f>
        <v>RANELATO DE ESTRONCIO</v>
      </c>
    </row>
    <row r="1363" spans="4:6" x14ac:dyDescent="0.25">
      <c r="D1363" t="s">
        <v>3938</v>
      </c>
      <c r="E1363">
        <f>1</f>
        <v>1</v>
      </c>
      <c r="F1363" t="str">
        <f>TRIM('Tabela Federal'!$D1363)</f>
        <v>RANIBIZUMABE</v>
      </c>
    </row>
    <row r="1364" spans="4:6" x14ac:dyDescent="0.25">
      <c r="D1364" t="s">
        <v>3939</v>
      </c>
      <c r="E1364">
        <f>1</f>
        <v>1</v>
      </c>
      <c r="F1364" t="str">
        <f>TRIM('Tabela Federal'!$D1364)</f>
        <v>RASBURICASE</v>
      </c>
    </row>
    <row r="1365" spans="4:6" x14ac:dyDescent="0.25">
      <c r="D1365" t="s">
        <v>3940</v>
      </c>
      <c r="E1365">
        <f>1</f>
        <v>1</v>
      </c>
      <c r="F1365" t="str">
        <f>TRIM('Tabela Federal'!$D1365)</f>
        <v>REPAGLINIDA</v>
      </c>
    </row>
    <row r="1366" spans="4:6" x14ac:dyDescent="0.25">
      <c r="D1366" t="s">
        <v>3941</v>
      </c>
      <c r="E1366">
        <f>1</f>
        <v>1</v>
      </c>
      <c r="F1366" t="str">
        <f>TRIM('Tabela Federal'!$D1366)</f>
        <v>RESERPINA</v>
      </c>
    </row>
    <row r="1367" spans="4:6" x14ac:dyDescent="0.25">
      <c r="D1367" t="s">
        <v>3942</v>
      </c>
      <c r="E1367">
        <f>1</f>
        <v>1</v>
      </c>
      <c r="F1367" t="str">
        <f>TRIM('Tabela Federal'!$D1367)</f>
        <v>RETEPLASE</v>
      </c>
    </row>
    <row r="1368" spans="4:6" x14ac:dyDescent="0.25">
      <c r="D1368" t="s">
        <v>3943</v>
      </c>
      <c r="E1368">
        <f>1</f>
        <v>1</v>
      </c>
      <c r="F1368" t="str">
        <f>TRIM('Tabela Federal'!$D1368)</f>
        <v>RIBAVIRINA</v>
      </c>
    </row>
    <row r="1369" spans="4:6" x14ac:dyDescent="0.25">
      <c r="D1369" t="s">
        <v>4598</v>
      </c>
      <c r="E1369">
        <f>1</f>
        <v>1</v>
      </c>
      <c r="F1369" t="str">
        <f>TRIM('Tabela Federal'!$D1369)</f>
        <v>RIBOFLAVINA</v>
      </c>
    </row>
    <row r="1370" spans="4:6" x14ac:dyDescent="0.25">
      <c r="D1370" t="s">
        <v>4435</v>
      </c>
      <c r="E1370">
        <f>1</f>
        <v>1</v>
      </c>
      <c r="F1370" t="str">
        <f>TRIM('Tabela Federal'!$D1370)</f>
        <v>RIFAMICINA SV SODICA</v>
      </c>
    </row>
    <row r="1371" spans="4:6" x14ac:dyDescent="0.25">
      <c r="D1371" t="s">
        <v>3944</v>
      </c>
      <c r="E1371">
        <f>1</f>
        <v>1</v>
      </c>
      <c r="F1371" t="str">
        <f>TRIM('Tabela Federal'!$D1371)</f>
        <v>RIFAMIDA</v>
      </c>
    </row>
    <row r="1372" spans="4:6" x14ac:dyDescent="0.25">
      <c r="D1372" t="s">
        <v>3945</v>
      </c>
      <c r="E1372">
        <f>1</f>
        <v>1</v>
      </c>
      <c r="F1372" t="str">
        <f>TRIM('Tabela Federal'!$D1372)</f>
        <v>RIFAMPICINA</v>
      </c>
    </row>
    <row r="1373" spans="4:6" x14ac:dyDescent="0.25">
      <c r="D1373" t="s">
        <v>3945</v>
      </c>
      <c r="E1373">
        <f>1</f>
        <v>1</v>
      </c>
      <c r="F1373" t="str">
        <f>TRIM('Tabela Federal'!$D1373)</f>
        <v>RIFAMPICINA</v>
      </c>
    </row>
    <row r="1374" spans="4:6" x14ac:dyDescent="0.25">
      <c r="D1374" t="s">
        <v>3946</v>
      </c>
      <c r="E1374">
        <f>1</f>
        <v>1</v>
      </c>
      <c r="F1374" t="str">
        <f>TRIM('Tabela Federal'!$D1374)</f>
        <v>RILUZOL</v>
      </c>
    </row>
    <row r="1375" spans="4:6" x14ac:dyDescent="0.25">
      <c r="D1375" t="s">
        <v>4436</v>
      </c>
      <c r="E1375">
        <f>1</f>
        <v>1</v>
      </c>
      <c r="F1375" t="str">
        <f>TRIM('Tabela Federal'!$D1375)</f>
        <v>RISEDRONATO SODICO</v>
      </c>
    </row>
    <row r="1376" spans="4:6" x14ac:dyDescent="0.25">
      <c r="D1376" t="s">
        <v>3947</v>
      </c>
      <c r="E1376">
        <f>1</f>
        <v>1</v>
      </c>
      <c r="F1376" t="str">
        <f>TRIM('Tabela Federal'!$D1376)</f>
        <v>RISPERIDONA</v>
      </c>
    </row>
    <row r="1377" spans="4:6" x14ac:dyDescent="0.25">
      <c r="D1377" t="s">
        <v>3948</v>
      </c>
      <c r="E1377">
        <f>1</f>
        <v>1</v>
      </c>
      <c r="F1377" t="str">
        <f>TRIM('Tabela Federal'!$D1377)</f>
        <v>RITONAVIR</v>
      </c>
    </row>
    <row r="1378" spans="4:6" x14ac:dyDescent="0.25">
      <c r="D1378" t="s">
        <v>3949</v>
      </c>
      <c r="E1378">
        <f>1</f>
        <v>1</v>
      </c>
      <c r="F1378" t="str">
        <f>TRIM('Tabela Federal'!$D1378)</f>
        <v>RITUXIMABE</v>
      </c>
    </row>
    <row r="1379" spans="4:6" x14ac:dyDescent="0.25">
      <c r="D1379" t="s">
        <v>4599</v>
      </c>
      <c r="E1379">
        <f>1</f>
        <v>1</v>
      </c>
      <c r="F1379" t="str">
        <f>TRIM('Tabela Federal'!$D1379)</f>
        <v>RIVAROXABANA</v>
      </c>
    </row>
    <row r="1380" spans="4:6" x14ac:dyDescent="0.25">
      <c r="D1380" t="s">
        <v>3950</v>
      </c>
      <c r="E1380">
        <f>1</f>
        <v>1</v>
      </c>
      <c r="F1380" t="str">
        <f>TRIM('Tabela Federal'!$D1380)</f>
        <v>RIVASTIGMINA</v>
      </c>
    </row>
    <row r="1381" spans="4:6" x14ac:dyDescent="0.25">
      <c r="D1381" t="s">
        <v>3951</v>
      </c>
      <c r="E1381">
        <f>1</f>
        <v>1</v>
      </c>
      <c r="F1381" t="str">
        <f>TRIM('Tabela Federal'!$D1381)</f>
        <v>ROFECOXIBE</v>
      </c>
    </row>
    <row r="1382" spans="4:6" x14ac:dyDescent="0.25">
      <c r="D1382" t="s">
        <v>3952</v>
      </c>
      <c r="E1382">
        <f>1</f>
        <v>1</v>
      </c>
      <c r="F1382" t="str">
        <f>TRIM('Tabela Federal'!$D1382)</f>
        <v>ROSOXACINO</v>
      </c>
    </row>
    <row r="1383" spans="4:6" x14ac:dyDescent="0.25">
      <c r="D1383" t="s">
        <v>4229</v>
      </c>
      <c r="E1383">
        <f>1</f>
        <v>1</v>
      </c>
      <c r="F1383" t="str">
        <f>TRIM('Tabela Federal'!$D1383)</f>
        <v>ROSUVASTATINA CALCICA</v>
      </c>
    </row>
    <row r="1384" spans="4:6" x14ac:dyDescent="0.25">
      <c r="D1384" t="s">
        <v>3953</v>
      </c>
      <c r="E1384">
        <f>1</f>
        <v>1</v>
      </c>
      <c r="F1384" t="str">
        <f>TRIM('Tabela Federal'!$D1384)</f>
        <v>ROXITROMICINA</v>
      </c>
    </row>
    <row r="1385" spans="4:6" x14ac:dyDescent="0.25">
      <c r="D1385" t="s">
        <v>4651</v>
      </c>
      <c r="E1385">
        <f>1</f>
        <v>1</v>
      </c>
      <c r="F1385" t="str">
        <f>TRIM('Tabela Federal'!$D1385)</f>
        <v>SACARATO DE HIDROXIDO FERRICO</v>
      </c>
    </row>
    <row r="1386" spans="4:6" x14ac:dyDescent="0.25">
      <c r="D1386" t="s">
        <v>3954</v>
      </c>
      <c r="E1386">
        <f>1</f>
        <v>1</v>
      </c>
      <c r="F1386" t="str">
        <f>TRIM('Tabela Federal'!$D1386)</f>
        <v>SALBUTAMOL</v>
      </c>
    </row>
    <row r="1387" spans="4:6" x14ac:dyDescent="0.25">
      <c r="D1387" t="s">
        <v>3198</v>
      </c>
      <c r="E1387">
        <f>1</f>
        <v>1</v>
      </c>
      <c r="F1387" t="str">
        <f>TRIM('Tabela Federal'!$D1387)</f>
        <v>SALMETEROL</v>
      </c>
    </row>
    <row r="1388" spans="4:6" x14ac:dyDescent="0.25">
      <c r="D1388" t="s">
        <v>3955</v>
      </c>
      <c r="E1388">
        <f>1</f>
        <v>1</v>
      </c>
      <c r="F1388" t="str">
        <f>TRIM('Tabela Federal'!$D1388)</f>
        <v>SAQUINAVIR</v>
      </c>
    </row>
    <row r="1389" spans="4:6" x14ac:dyDescent="0.25">
      <c r="D1389" t="s">
        <v>4600</v>
      </c>
      <c r="E1389">
        <f>1</f>
        <v>1</v>
      </c>
      <c r="F1389" t="str">
        <f>TRIM('Tabela Federal'!$D1389)</f>
        <v>SAXAGLIPTINA</v>
      </c>
    </row>
    <row r="1390" spans="4:6" x14ac:dyDescent="0.25">
      <c r="D1390" t="s">
        <v>3956</v>
      </c>
      <c r="E1390">
        <f>1</f>
        <v>1</v>
      </c>
      <c r="F1390" t="str">
        <f>TRIM('Tabela Federal'!$D1390)</f>
        <v>SELEGILINA</v>
      </c>
    </row>
    <row r="1391" spans="4:6" x14ac:dyDescent="0.25">
      <c r="D1391" t="s">
        <v>4437</v>
      </c>
      <c r="E1391">
        <f>1</f>
        <v>1</v>
      </c>
      <c r="F1391" t="str">
        <f>TRIM('Tabela Federal'!$D1391)</f>
        <v>SELENITO DE SODIO</v>
      </c>
    </row>
    <row r="1392" spans="4:6" x14ac:dyDescent="0.25">
      <c r="D1392" t="s">
        <v>3957</v>
      </c>
      <c r="E1392">
        <f>1</f>
        <v>1</v>
      </c>
      <c r="F1392" t="str">
        <f>TRIM('Tabela Federal'!$D1392)</f>
        <v>SERINA</v>
      </c>
    </row>
    <row r="1393" spans="4:6" x14ac:dyDescent="0.25">
      <c r="D1393" t="s">
        <v>4601</v>
      </c>
      <c r="E1393">
        <f>1</f>
        <v>1</v>
      </c>
      <c r="F1393" t="str">
        <f>TRIM('Tabela Federal'!$D1393)</f>
        <v>SERTINDOL</v>
      </c>
    </row>
    <row r="1394" spans="4:6" x14ac:dyDescent="0.25">
      <c r="D1394" t="s">
        <v>3958</v>
      </c>
      <c r="E1394">
        <f>1</f>
        <v>1</v>
      </c>
      <c r="F1394" t="str">
        <f>TRIM('Tabela Federal'!$D1394)</f>
        <v>SEVOFLURANO</v>
      </c>
    </row>
    <row r="1395" spans="4:6" x14ac:dyDescent="0.25">
      <c r="D1395" t="s">
        <v>2693</v>
      </c>
      <c r="E1395">
        <f>1</f>
        <v>1</v>
      </c>
      <c r="F1395" t="str">
        <f>TRIM('Tabela Federal'!$D1395)</f>
        <v>SINVASTATINA</v>
      </c>
    </row>
    <row r="1396" spans="4:6" x14ac:dyDescent="0.25">
      <c r="D1396" t="s">
        <v>2693</v>
      </c>
      <c r="E1396">
        <f>1</f>
        <v>1</v>
      </c>
      <c r="F1396" t="str">
        <f>TRIM('Tabela Federal'!$D1396)</f>
        <v>SINVASTATINA</v>
      </c>
    </row>
    <row r="1397" spans="4:6" x14ac:dyDescent="0.25">
      <c r="D1397" t="s">
        <v>2693</v>
      </c>
      <c r="E1397">
        <f>1</f>
        <v>1</v>
      </c>
      <c r="F1397" t="str">
        <f>TRIM('Tabela Federal'!$D1397)</f>
        <v>SINVASTATINA</v>
      </c>
    </row>
    <row r="1398" spans="4:6" x14ac:dyDescent="0.25">
      <c r="D1398" t="s">
        <v>4602</v>
      </c>
      <c r="E1398">
        <f>1</f>
        <v>1</v>
      </c>
      <c r="F1398" t="str">
        <f>TRIM('Tabela Federal'!$D1398)</f>
        <v>SIPULEUCEL-T</v>
      </c>
    </row>
    <row r="1399" spans="4:6" x14ac:dyDescent="0.25">
      <c r="D1399" t="s">
        <v>3959</v>
      </c>
      <c r="E1399">
        <f>1</f>
        <v>1</v>
      </c>
      <c r="F1399" t="str">
        <f>TRIM('Tabela Federal'!$D1399)</f>
        <v>SIROLIMO</v>
      </c>
    </row>
    <row r="1400" spans="4:6" x14ac:dyDescent="0.25">
      <c r="D1400" t="s">
        <v>4603</v>
      </c>
      <c r="E1400">
        <f>1</f>
        <v>1</v>
      </c>
      <c r="F1400" t="str">
        <f>TRIM('Tabela Federal'!$D1400)</f>
        <v>SITAXSENTANA SODICA</v>
      </c>
    </row>
    <row r="1401" spans="4:6" x14ac:dyDescent="0.25">
      <c r="D1401" t="s">
        <v>3960</v>
      </c>
      <c r="E1401">
        <f>1</f>
        <v>1</v>
      </c>
      <c r="F1401" t="str">
        <f>TRIM('Tabela Federal'!$D1401)</f>
        <v>SOMATOSTATINA</v>
      </c>
    </row>
    <row r="1402" spans="4:6" x14ac:dyDescent="0.25">
      <c r="D1402" t="s">
        <v>3961</v>
      </c>
      <c r="E1402">
        <f>1</f>
        <v>1</v>
      </c>
      <c r="F1402" t="str">
        <f>TRIM('Tabela Federal'!$D1402)</f>
        <v>SOMATROPINA</v>
      </c>
    </row>
    <row r="1403" spans="4:6" x14ac:dyDescent="0.25">
      <c r="D1403" t="s">
        <v>2443</v>
      </c>
      <c r="E1403">
        <f>1</f>
        <v>1</v>
      </c>
      <c r="F1403" t="str">
        <f>TRIM('Tabela Federal'!$D1403)</f>
        <v>SORBITOL</v>
      </c>
    </row>
    <row r="1404" spans="4:6" x14ac:dyDescent="0.25">
      <c r="D1404" t="s">
        <v>3962</v>
      </c>
      <c r="E1404">
        <f>1</f>
        <v>1</v>
      </c>
      <c r="F1404" t="str">
        <f>TRIM('Tabela Federal'!$D1404)</f>
        <v>SORO ANTI-A</v>
      </c>
    </row>
    <row r="1405" spans="4:6" x14ac:dyDescent="0.25">
      <c r="D1405" t="s">
        <v>4652</v>
      </c>
      <c r="E1405">
        <f>1</f>
        <v>1</v>
      </c>
      <c r="F1405" t="str">
        <f>TRIM('Tabela Federal'!$D1405)</f>
        <v>SORO ANTI-AB</v>
      </c>
    </row>
    <row r="1406" spans="4:6" x14ac:dyDescent="0.25">
      <c r="D1406" t="s">
        <v>3963</v>
      </c>
      <c r="E1406">
        <f>1</f>
        <v>1</v>
      </c>
      <c r="F1406" t="str">
        <f>TRIM('Tabela Federal'!$D1406)</f>
        <v>SORO ANTI-B</v>
      </c>
    </row>
    <row r="1407" spans="4:6" x14ac:dyDescent="0.25">
      <c r="D1407" t="s">
        <v>4438</v>
      </c>
      <c r="E1407">
        <f>1</f>
        <v>1</v>
      </c>
      <c r="F1407" t="str">
        <f>TRIM('Tabela Federal'!$D1407)</f>
        <v>SORO ANTIBOTROPICO</v>
      </c>
    </row>
    <row r="1408" spans="4:6" x14ac:dyDescent="0.25">
      <c r="D1408" t="s">
        <v>4438</v>
      </c>
      <c r="E1408">
        <f>1</f>
        <v>1</v>
      </c>
      <c r="F1408" t="str">
        <f>TRIM('Tabela Federal'!$D1408)</f>
        <v>SORO ANTIBOTROPICO</v>
      </c>
    </row>
    <row r="1409" spans="4:6" x14ac:dyDescent="0.25">
      <c r="D1409" t="s">
        <v>4438</v>
      </c>
      <c r="E1409">
        <f>1</f>
        <v>1</v>
      </c>
      <c r="F1409" t="str">
        <f>TRIM('Tabela Federal'!$D1409)</f>
        <v>SORO ANTIBOTROPICO</v>
      </c>
    </row>
    <row r="1410" spans="4:6" x14ac:dyDescent="0.25">
      <c r="D1410" t="s">
        <v>4653</v>
      </c>
      <c r="E1410">
        <f>1</f>
        <v>1</v>
      </c>
      <c r="F1410" t="str">
        <f>TRIM('Tabela Federal'!$D1410)</f>
        <v>SORO ANTICELLANO</v>
      </c>
    </row>
    <row r="1411" spans="4:6" x14ac:dyDescent="0.25">
      <c r="D1411" t="s">
        <v>4230</v>
      </c>
      <c r="E1411">
        <f>1</f>
        <v>1</v>
      </c>
      <c r="F1411" t="str">
        <f>TRIM('Tabela Federal'!$D1411)</f>
        <v>SORO ANTICROTALICO</v>
      </c>
    </row>
    <row r="1412" spans="4:6" x14ac:dyDescent="0.25">
      <c r="D1412" t="s">
        <v>4255</v>
      </c>
      <c r="E1412">
        <f>1</f>
        <v>1</v>
      </c>
      <c r="F1412" t="str">
        <f>TRIM('Tabela Federal'!$D1412)</f>
        <v>SORO ANTIDIFTERICO</v>
      </c>
    </row>
    <row r="1413" spans="4:6" x14ac:dyDescent="0.25">
      <c r="D1413" t="s">
        <v>4317</v>
      </c>
      <c r="E1413">
        <f>1</f>
        <v>1</v>
      </c>
      <c r="F1413" t="str">
        <f>TRIM('Tabela Federal'!$D1413)</f>
        <v>SORO ANTIELAPIDICO</v>
      </c>
    </row>
    <row r="1414" spans="4:6" x14ac:dyDescent="0.25">
      <c r="D1414" t="s">
        <v>4439</v>
      </c>
      <c r="E1414">
        <f>1</f>
        <v>1</v>
      </c>
      <c r="F1414" t="str">
        <f>TRIM('Tabela Federal'!$D1414)</f>
        <v>SORO ANTI-ESCORPIONICO</v>
      </c>
    </row>
    <row r="1415" spans="4:6" x14ac:dyDescent="0.25">
      <c r="D1415" t="s">
        <v>3964</v>
      </c>
      <c r="E1415">
        <f>1</f>
        <v>1</v>
      </c>
      <c r="F1415" t="str">
        <f>TRIM('Tabela Federal'!$D1415)</f>
        <v>SORO ANTI-FYA ANTI-DUFFY</v>
      </c>
    </row>
    <row r="1416" spans="4:6" x14ac:dyDescent="0.25">
      <c r="D1416" t="s">
        <v>3965</v>
      </c>
      <c r="E1416">
        <f>1</f>
        <v>1</v>
      </c>
      <c r="F1416" t="str">
        <f>TRIM('Tabela Federal'!$D1416)</f>
        <v>SORO ANTI-LEANTI LEWISA ORTHO</v>
      </c>
    </row>
    <row r="1417" spans="4:6" x14ac:dyDescent="0.25">
      <c r="D1417" t="s">
        <v>4231</v>
      </c>
      <c r="E1417">
        <f>1</f>
        <v>1</v>
      </c>
      <c r="F1417" t="str">
        <f>TRIM('Tabela Federal'!$D1417)</f>
        <v>SORO ANTI-RABICO/HUMANO</v>
      </c>
    </row>
    <row r="1418" spans="4:6" x14ac:dyDescent="0.25">
      <c r="D1418" t="s">
        <v>3966</v>
      </c>
      <c r="E1418">
        <f>1</f>
        <v>1</v>
      </c>
      <c r="F1418" t="str">
        <f>TRIM('Tabela Federal'!$D1418)</f>
        <v>SORO ANTI-RH (ANTI-C)</v>
      </c>
    </row>
    <row r="1419" spans="4:6" x14ac:dyDescent="0.25">
      <c r="D1419" t="s">
        <v>3967</v>
      </c>
      <c r="E1419">
        <f>1</f>
        <v>1</v>
      </c>
      <c r="F1419" t="str">
        <f>TRIM('Tabela Federal'!$D1419)</f>
        <v>SORO ANTI-RH (ANTI-D)</v>
      </c>
    </row>
    <row r="1420" spans="4:6" x14ac:dyDescent="0.25">
      <c r="D1420" t="s">
        <v>3968</v>
      </c>
      <c r="E1420">
        <f>1</f>
        <v>1</v>
      </c>
      <c r="F1420" t="str">
        <f>TRIM('Tabela Federal'!$D1420)</f>
        <v>SORO ANTI-RH (ANTI-E)</v>
      </c>
    </row>
    <row r="1421" spans="4:6" x14ac:dyDescent="0.25">
      <c r="D1421" t="s">
        <v>3969</v>
      </c>
      <c r="E1421">
        <f>1</f>
        <v>1</v>
      </c>
      <c r="F1421" t="str">
        <f>TRIM('Tabela Federal'!$D1421)</f>
        <v>SORO ANTI-S</v>
      </c>
    </row>
    <row r="1422" spans="4:6" x14ac:dyDescent="0.25">
      <c r="D1422" t="s">
        <v>4232</v>
      </c>
      <c r="E1422">
        <f>1</f>
        <v>1</v>
      </c>
      <c r="F1422" t="str">
        <f>TRIM('Tabela Federal'!$D1422)</f>
        <v>SORO ANTITETANICO</v>
      </c>
    </row>
    <row r="1423" spans="4:6" x14ac:dyDescent="0.25">
      <c r="D1423" t="s">
        <v>3970</v>
      </c>
      <c r="E1423">
        <f>1</f>
        <v>1</v>
      </c>
      <c r="F1423" t="str">
        <f>TRIM('Tabela Federal'!$D1423)</f>
        <v>SORO CONTRA LATRODECTUS CURACAVIENSIS</v>
      </c>
    </row>
    <row r="1424" spans="4:6" x14ac:dyDescent="0.25">
      <c r="D1424" t="s">
        <v>3971</v>
      </c>
      <c r="E1424">
        <f>1</f>
        <v>1</v>
      </c>
      <c r="F1424" t="str">
        <f>TRIM('Tabela Federal'!$D1424)</f>
        <v>SORO PARA O CONTATO COM A LAGARTA DO TIPO LOMONIA</v>
      </c>
    </row>
    <row r="1425" spans="4:6" x14ac:dyDescent="0.25">
      <c r="D1425" t="s">
        <v>3972</v>
      </c>
      <c r="E1425">
        <f>1</f>
        <v>1</v>
      </c>
      <c r="F1425" t="str">
        <f>TRIM('Tabela Federal'!$D1425)</f>
        <v>SUBCITRATO DE BISMUTO COLOIDAL</v>
      </c>
    </row>
    <row r="1426" spans="4:6" x14ac:dyDescent="0.25">
      <c r="D1426" t="s">
        <v>3973</v>
      </c>
      <c r="E1426">
        <f>1</f>
        <v>1</v>
      </c>
      <c r="F1426" t="str">
        <f>TRIM('Tabela Federal'!$D1426)</f>
        <v>SUBNITRATO DE BISMUTO</v>
      </c>
    </row>
    <row r="1427" spans="4:6" x14ac:dyDescent="0.25">
      <c r="D1427" t="s">
        <v>4604</v>
      </c>
      <c r="E1427">
        <f>1</f>
        <v>1</v>
      </c>
      <c r="F1427" t="str">
        <f>TRIM('Tabela Federal'!$D1427)</f>
        <v>SUCCINATO DE DESVENLAFAXINA</v>
      </c>
    </row>
    <row r="1428" spans="4:6" x14ac:dyDescent="0.25">
      <c r="D1428" t="s">
        <v>3974</v>
      </c>
      <c r="E1428">
        <f>1</f>
        <v>1</v>
      </c>
      <c r="F1428" t="str">
        <f>TRIM('Tabela Federal'!$D1428)</f>
        <v>SUCCINATO DE ESTRIOL</v>
      </c>
    </row>
    <row r="1429" spans="4:6" x14ac:dyDescent="0.25">
      <c r="D1429" t="s">
        <v>4605</v>
      </c>
      <c r="E1429">
        <f>1</f>
        <v>1</v>
      </c>
      <c r="F1429" t="str">
        <f>TRIM('Tabela Federal'!$D1429)</f>
        <v>SUCCINATO DE LOXAPINA</v>
      </c>
    </row>
    <row r="1430" spans="4:6" x14ac:dyDescent="0.25">
      <c r="D1430" t="s">
        <v>3975</v>
      </c>
      <c r="E1430">
        <f>1</f>
        <v>1</v>
      </c>
      <c r="F1430" t="str">
        <f>TRIM('Tabela Federal'!$D1430)</f>
        <v>SUCCINATO DE METOPROLOL</v>
      </c>
    </row>
    <row r="1431" spans="4:6" x14ac:dyDescent="0.25">
      <c r="D1431" t="s">
        <v>3976</v>
      </c>
      <c r="E1431">
        <f>1</f>
        <v>1</v>
      </c>
      <c r="F1431" t="str">
        <f>TRIM('Tabela Federal'!$D1431)</f>
        <v>SUCCINATO DE SUMATRIPTANA</v>
      </c>
    </row>
    <row r="1432" spans="4:6" x14ac:dyDescent="0.25">
      <c r="D1432" t="s">
        <v>4440</v>
      </c>
      <c r="E1432">
        <f>1</f>
        <v>1</v>
      </c>
      <c r="F1432" t="str">
        <f>TRIM('Tabela Federal'!$D1432)</f>
        <v>SUCCINATO SODICO DE CLORANFENICOL</v>
      </c>
    </row>
    <row r="1433" spans="4:6" x14ac:dyDescent="0.25">
      <c r="D1433" t="s">
        <v>4441</v>
      </c>
      <c r="E1433">
        <f>1</f>
        <v>1</v>
      </c>
      <c r="F1433" t="str">
        <f>TRIM('Tabela Federal'!$D1433)</f>
        <v>SUCCINATO SODICO DE HIDROCORTISONA</v>
      </c>
    </row>
    <row r="1434" spans="4:6" x14ac:dyDescent="0.25">
      <c r="D1434" t="s">
        <v>4442</v>
      </c>
      <c r="E1434">
        <f>1</f>
        <v>1</v>
      </c>
      <c r="F1434" t="str">
        <f>TRIM('Tabela Federal'!$D1434)</f>
        <v>SUCCINATO SODICO DE METILPREDNISOLONA</v>
      </c>
    </row>
    <row r="1435" spans="4:6" x14ac:dyDescent="0.25">
      <c r="D1435" t="s">
        <v>3977</v>
      </c>
      <c r="E1435">
        <f>1</f>
        <v>1</v>
      </c>
      <c r="F1435" t="str">
        <f>TRIM('Tabela Federal'!$D1435)</f>
        <v>SULFACETAMIDA</v>
      </c>
    </row>
    <row r="1436" spans="4:6" x14ac:dyDescent="0.25">
      <c r="D1436" t="s">
        <v>3978</v>
      </c>
      <c r="E1436">
        <f>1</f>
        <v>1</v>
      </c>
      <c r="F1436" t="str">
        <f>TRIM('Tabela Federal'!$D1436)</f>
        <v>SULFADIAZINA</v>
      </c>
    </row>
    <row r="1437" spans="4:6" x14ac:dyDescent="0.25">
      <c r="D1437" t="s">
        <v>3978</v>
      </c>
      <c r="E1437">
        <f>1</f>
        <v>1</v>
      </c>
      <c r="F1437" t="str">
        <f>TRIM('Tabela Federal'!$D1437)</f>
        <v>SULFADIAZINA</v>
      </c>
    </row>
    <row r="1438" spans="4:6" x14ac:dyDescent="0.25">
      <c r="D1438" t="s">
        <v>3979</v>
      </c>
      <c r="E1438">
        <f>1</f>
        <v>1</v>
      </c>
      <c r="F1438" t="str">
        <f>TRIM('Tabela Federal'!$D1438)</f>
        <v>SULFADIAZINA DE PRATA</v>
      </c>
    </row>
    <row r="1439" spans="4:6" x14ac:dyDescent="0.25">
      <c r="D1439" t="s">
        <v>3980</v>
      </c>
      <c r="E1439">
        <f>1</f>
        <v>1</v>
      </c>
      <c r="F1439" t="str">
        <f>TRIM('Tabela Federal'!$D1439)</f>
        <v>SULFAMETOXAZOL</v>
      </c>
    </row>
    <row r="1440" spans="4:6" x14ac:dyDescent="0.25">
      <c r="D1440" t="s">
        <v>3981</v>
      </c>
      <c r="E1440">
        <f>1</f>
        <v>1</v>
      </c>
      <c r="F1440" t="str">
        <f>TRIM('Tabela Federal'!$D1440)</f>
        <v>SULFASSALAZINA</v>
      </c>
    </row>
    <row r="1441" spans="4:6" x14ac:dyDescent="0.25">
      <c r="D1441" t="s">
        <v>4474</v>
      </c>
      <c r="E1441">
        <f>1</f>
        <v>1</v>
      </c>
      <c r="F1441" t="str">
        <f>TRIM('Tabela Federal'!$D1441)</f>
        <v>SULFATO CUPRICO</v>
      </c>
    </row>
    <row r="1442" spans="4:6" x14ac:dyDescent="0.25">
      <c r="D1442" t="s">
        <v>3982</v>
      </c>
      <c r="E1442">
        <f>1</f>
        <v>1</v>
      </c>
      <c r="F1442" t="str">
        <f>TRIM('Tabela Federal'!$D1442)</f>
        <v>SULFATO DE ABACAVIR</v>
      </c>
    </row>
    <row r="1443" spans="4:6" x14ac:dyDescent="0.25">
      <c r="D1443" t="s">
        <v>3983</v>
      </c>
      <c r="E1443">
        <f>1</f>
        <v>1</v>
      </c>
      <c r="F1443" t="str">
        <f>TRIM('Tabela Federal'!$D1443)</f>
        <v>SULFATO DE AMICACINA</v>
      </c>
    </row>
    <row r="1444" spans="4:6" x14ac:dyDescent="0.25">
      <c r="D1444" t="s">
        <v>3984</v>
      </c>
      <c r="E1444">
        <f>1</f>
        <v>1</v>
      </c>
      <c r="F1444" t="str">
        <f>TRIM('Tabela Federal'!$D1444)</f>
        <v>SULFATO DE ARBECACINA</v>
      </c>
    </row>
    <row r="1445" spans="4:6" x14ac:dyDescent="0.25">
      <c r="D1445" t="s">
        <v>3985</v>
      </c>
      <c r="E1445">
        <f>1</f>
        <v>1</v>
      </c>
      <c r="F1445" t="str">
        <f>TRIM('Tabela Federal'!$D1445)</f>
        <v>SULFATO DE ATAZANAVIR</v>
      </c>
    </row>
    <row r="1446" spans="4:6" x14ac:dyDescent="0.25">
      <c r="D1446" t="s">
        <v>4654</v>
      </c>
      <c r="E1446">
        <f>1</f>
        <v>1</v>
      </c>
      <c r="F1446" t="str">
        <f>TRIM('Tabela Federal'!$D1446)</f>
        <v>SULFATO DE ATROPINA</v>
      </c>
    </row>
    <row r="1447" spans="4:6" x14ac:dyDescent="0.25">
      <c r="D1447" t="s">
        <v>3986</v>
      </c>
      <c r="E1447">
        <f>1</f>
        <v>1</v>
      </c>
      <c r="F1447" t="str">
        <f>TRIM('Tabela Federal'!$D1447)</f>
        <v>SULFATO DE BAMETANA</v>
      </c>
    </row>
    <row r="1448" spans="4:6" x14ac:dyDescent="0.25">
      <c r="D1448" t="s">
        <v>4233</v>
      </c>
      <c r="E1448">
        <f>1</f>
        <v>1</v>
      </c>
      <c r="F1448" t="str">
        <f>TRIM('Tabela Federal'!$D1448)</f>
        <v>SULFATO DE BARIO</v>
      </c>
    </row>
    <row r="1449" spans="4:6" x14ac:dyDescent="0.25">
      <c r="D1449" t="s">
        <v>3987</v>
      </c>
      <c r="E1449">
        <f>1</f>
        <v>1</v>
      </c>
      <c r="F1449" t="str">
        <f>TRIM('Tabela Federal'!$D1449)</f>
        <v>SULFATO DE BLEOMICINA</v>
      </c>
    </row>
    <row r="1450" spans="4:6" x14ac:dyDescent="0.25">
      <c r="D1450" t="s">
        <v>3988</v>
      </c>
      <c r="E1450">
        <f>1</f>
        <v>1</v>
      </c>
      <c r="F1450" t="str">
        <f>TRIM('Tabela Federal'!$D1450)</f>
        <v>SULFATO DE CAPREOMICINA</v>
      </c>
    </row>
    <row r="1451" spans="4:6" x14ac:dyDescent="0.25">
      <c r="D1451" t="s">
        <v>3989</v>
      </c>
      <c r="E1451">
        <f>1</f>
        <v>1</v>
      </c>
      <c r="F1451" t="str">
        <f>TRIM('Tabela Federal'!$D1451)</f>
        <v>SULFATO DE CEFPIROMA</v>
      </c>
    </row>
    <row r="1452" spans="4:6" x14ac:dyDescent="0.25">
      <c r="D1452" t="s">
        <v>3990</v>
      </c>
      <c r="E1452">
        <f>1</f>
        <v>1</v>
      </c>
      <c r="F1452" t="str">
        <f>TRIM('Tabela Federal'!$D1452)</f>
        <v>SULFATO DE CLOROQUINA</v>
      </c>
    </row>
    <row r="1453" spans="4:6" x14ac:dyDescent="0.25">
      <c r="D1453" t="s">
        <v>3991</v>
      </c>
      <c r="E1453">
        <f>1</f>
        <v>1</v>
      </c>
      <c r="F1453" t="str">
        <f>TRIM('Tabela Federal'!$D1453)</f>
        <v>SULFATO DE CONDROITINA</v>
      </c>
    </row>
    <row r="1454" spans="4:6" x14ac:dyDescent="0.25">
      <c r="D1454" t="s">
        <v>3992</v>
      </c>
      <c r="E1454">
        <f>1</f>
        <v>1</v>
      </c>
      <c r="F1454" t="str">
        <f>TRIM('Tabela Federal'!$D1454)</f>
        <v>SULFATO DE EFEDRINA</v>
      </c>
    </row>
    <row r="1455" spans="4:6" x14ac:dyDescent="0.25">
      <c r="D1455" t="s">
        <v>3992</v>
      </c>
      <c r="E1455">
        <f>1</f>
        <v>1</v>
      </c>
      <c r="F1455" t="str">
        <f>TRIM('Tabela Federal'!$D1455)</f>
        <v>SULFATO DE EFEDRINA</v>
      </c>
    </row>
    <row r="1456" spans="4:6" x14ac:dyDescent="0.25">
      <c r="D1456" t="s">
        <v>3993</v>
      </c>
      <c r="E1456">
        <f>1</f>
        <v>1</v>
      </c>
      <c r="F1456" t="str">
        <f>TRIM('Tabela Federal'!$D1456)</f>
        <v>SULFATO DE ESTREPTOMICINA</v>
      </c>
    </row>
    <row r="1457" spans="4:6" x14ac:dyDescent="0.25">
      <c r="D1457" t="s">
        <v>3994</v>
      </c>
      <c r="E1457">
        <f>1</f>
        <v>1</v>
      </c>
      <c r="F1457" t="str">
        <f>TRIM('Tabela Federal'!$D1457)</f>
        <v>SULFATO DE GENTAMICINA</v>
      </c>
    </row>
    <row r="1458" spans="4:6" x14ac:dyDescent="0.25">
      <c r="D1458" t="s">
        <v>3995</v>
      </c>
      <c r="E1458">
        <f>1</f>
        <v>1</v>
      </c>
      <c r="F1458" t="str">
        <f>TRIM('Tabela Federal'!$D1458)</f>
        <v>SULFATO DE GLICOSAMINA</v>
      </c>
    </row>
    <row r="1459" spans="4:6" x14ac:dyDescent="0.25">
      <c r="D1459" t="s">
        <v>3995</v>
      </c>
      <c r="E1459">
        <f>1</f>
        <v>1</v>
      </c>
      <c r="F1459" t="str">
        <f>TRIM('Tabela Federal'!$D1459)</f>
        <v>SULFATO DE GLICOSAMINA</v>
      </c>
    </row>
    <row r="1460" spans="4:6" x14ac:dyDescent="0.25">
      <c r="D1460" t="s">
        <v>3996</v>
      </c>
      <c r="E1460">
        <f>1</f>
        <v>1</v>
      </c>
      <c r="F1460" t="str">
        <f>TRIM('Tabela Federal'!$D1460)</f>
        <v>SULFATO DE HIDROXICLOROQUINA</v>
      </c>
    </row>
    <row r="1461" spans="4:6" x14ac:dyDescent="0.25">
      <c r="D1461" t="s">
        <v>3997</v>
      </c>
      <c r="E1461">
        <f>1</f>
        <v>1</v>
      </c>
      <c r="F1461" t="str">
        <f>TRIM('Tabela Federal'!$D1461)</f>
        <v>SULFATO DE INDINAVIR</v>
      </c>
    </row>
    <row r="1462" spans="4:6" x14ac:dyDescent="0.25">
      <c r="D1462" t="s">
        <v>4256</v>
      </c>
      <c r="E1462">
        <f>1</f>
        <v>1</v>
      </c>
      <c r="F1462" t="str">
        <f>TRIM('Tabela Federal'!$D1462)</f>
        <v>SULFATO DE MAGNESIO</v>
      </c>
    </row>
    <row r="1463" spans="4:6" x14ac:dyDescent="0.25">
      <c r="D1463" t="s">
        <v>4257</v>
      </c>
      <c r="E1463">
        <f>1</f>
        <v>1</v>
      </c>
      <c r="F1463" t="str">
        <f>TRIM('Tabela Federal'!$D1463)</f>
        <v>SULFATO DE MANGANES</v>
      </c>
    </row>
    <row r="1464" spans="4:6" x14ac:dyDescent="0.25">
      <c r="D1464" t="s">
        <v>3998</v>
      </c>
      <c r="E1464">
        <f>1</f>
        <v>1</v>
      </c>
      <c r="F1464" t="str">
        <f>TRIM('Tabela Federal'!$D1464)</f>
        <v>SULFATO DE MORFINA</v>
      </c>
    </row>
    <row r="1465" spans="4:6" x14ac:dyDescent="0.25">
      <c r="D1465" t="s">
        <v>3999</v>
      </c>
      <c r="E1465">
        <f>1</f>
        <v>1</v>
      </c>
      <c r="F1465" t="str">
        <f>TRIM('Tabela Federal'!$D1465)</f>
        <v>SULFATO DE NEOMICINA</v>
      </c>
    </row>
    <row r="1466" spans="4:6" x14ac:dyDescent="0.25">
      <c r="D1466" t="s">
        <v>4000</v>
      </c>
      <c r="E1466">
        <f>1</f>
        <v>1</v>
      </c>
      <c r="F1466" t="str">
        <f>TRIM('Tabela Federal'!$D1466)</f>
        <v>SULFATO DE NETILMICINA</v>
      </c>
    </row>
    <row r="1467" spans="4:6" x14ac:dyDescent="0.25">
      <c r="D1467" t="s">
        <v>4128</v>
      </c>
      <c r="E1467">
        <f>1</f>
        <v>1</v>
      </c>
      <c r="F1467" t="str">
        <f>TRIM('Tabela Federal'!$D1467)</f>
        <v>SULFATO DE POLIMIXINA B</v>
      </c>
    </row>
    <row r="1468" spans="4:6" x14ac:dyDescent="0.25">
      <c r="D1468" t="s">
        <v>4001</v>
      </c>
      <c r="E1468">
        <f>1</f>
        <v>1</v>
      </c>
      <c r="F1468" t="str">
        <f>TRIM('Tabela Federal'!$D1468)</f>
        <v>SULFATO DE QUINIDINA</v>
      </c>
    </row>
    <row r="1469" spans="4:6" x14ac:dyDescent="0.25">
      <c r="D1469" t="s">
        <v>4002</v>
      </c>
      <c r="E1469">
        <f>1</f>
        <v>1</v>
      </c>
      <c r="F1469" t="str">
        <f>TRIM('Tabela Federal'!$D1469)</f>
        <v>SULFATO DE QUININA</v>
      </c>
    </row>
    <row r="1470" spans="4:6" x14ac:dyDescent="0.25">
      <c r="D1470" t="s">
        <v>4003</v>
      </c>
      <c r="E1470">
        <f>1</f>
        <v>1</v>
      </c>
      <c r="F1470" t="str">
        <f>TRIM('Tabela Federal'!$D1470)</f>
        <v>SULFATO DE SALBUTAMOL</v>
      </c>
    </row>
    <row r="1471" spans="4:6" x14ac:dyDescent="0.25">
      <c r="D1471" t="s">
        <v>4004</v>
      </c>
      <c r="E1471">
        <f>1</f>
        <v>1</v>
      </c>
      <c r="F1471" t="str">
        <f>TRIM('Tabela Federal'!$D1471)</f>
        <v>SULFATO DE TERBUTALINA</v>
      </c>
    </row>
    <row r="1472" spans="4:6" x14ac:dyDescent="0.25">
      <c r="D1472" t="s">
        <v>4005</v>
      </c>
      <c r="E1472">
        <f>1</f>
        <v>1</v>
      </c>
      <c r="F1472" t="str">
        <f>TRIM('Tabela Federal'!$D1472)</f>
        <v>SULFATO DE TOBRAMICINA</v>
      </c>
    </row>
    <row r="1473" spans="4:6" x14ac:dyDescent="0.25">
      <c r="D1473" t="s">
        <v>4006</v>
      </c>
      <c r="E1473">
        <f>1</f>
        <v>1</v>
      </c>
      <c r="F1473" t="str">
        <f>TRIM('Tabela Federal'!$D1473)</f>
        <v>SULFATO DE TRANILCIPROMINA</v>
      </c>
    </row>
    <row r="1474" spans="4:6" x14ac:dyDescent="0.25">
      <c r="D1474" t="s">
        <v>4007</v>
      </c>
      <c r="E1474">
        <f>1</f>
        <v>1</v>
      </c>
      <c r="F1474" t="str">
        <f>TRIM('Tabela Federal'!$D1474)</f>
        <v>SULFATO DE VIMBLASTINA</v>
      </c>
    </row>
    <row r="1475" spans="4:6" x14ac:dyDescent="0.25">
      <c r="D1475" t="s">
        <v>4008</v>
      </c>
      <c r="E1475">
        <f>1</f>
        <v>1</v>
      </c>
      <c r="F1475" t="str">
        <f>TRIM('Tabela Federal'!$D1475)</f>
        <v>SULFATO DE VINCRISTINA</v>
      </c>
    </row>
    <row r="1476" spans="4:6" x14ac:dyDescent="0.25">
      <c r="D1476" t="s">
        <v>4009</v>
      </c>
      <c r="E1476">
        <f>1</f>
        <v>1</v>
      </c>
      <c r="F1476" t="str">
        <f>TRIM('Tabela Federal'!$D1476)</f>
        <v>SULFATO DE ZINCO</v>
      </c>
    </row>
    <row r="1477" spans="4:6" x14ac:dyDescent="0.25">
      <c r="D1477" t="s">
        <v>4606</v>
      </c>
      <c r="E1477">
        <f>1</f>
        <v>1</v>
      </c>
      <c r="F1477" t="str">
        <f>TRIM('Tabela Federal'!$D1477)</f>
        <v>SULOPENEM</v>
      </c>
    </row>
    <row r="1478" spans="4:6" x14ac:dyDescent="0.25">
      <c r="D1478" t="s">
        <v>4010</v>
      </c>
      <c r="E1478">
        <f>1</f>
        <v>1</v>
      </c>
      <c r="F1478" t="str">
        <f>TRIM('Tabela Federal'!$D1478)</f>
        <v>SULPIRIDA</v>
      </c>
    </row>
    <row r="1479" spans="4:6" x14ac:dyDescent="0.25">
      <c r="D1479" t="s">
        <v>4011</v>
      </c>
      <c r="E1479">
        <f>1</f>
        <v>1</v>
      </c>
      <c r="F1479" t="str">
        <f>TRIM('Tabela Federal'!$D1479)</f>
        <v>SULTAMICILINA</v>
      </c>
    </row>
    <row r="1480" spans="4:6" x14ac:dyDescent="0.25">
      <c r="D1480" t="s">
        <v>4012</v>
      </c>
      <c r="E1480">
        <f>1</f>
        <v>1</v>
      </c>
      <c r="F1480" t="str">
        <f>TRIM('Tabela Federal'!$D1480)</f>
        <v>SUMATRIPTANA</v>
      </c>
    </row>
    <row r="1481" spans="4:6" x14ac:dyDescent="0.25">
      <c r="D1481" t="s">
        <v>4013</v>
      </c>
      <c r="E1481">
        <f>1</f>
        <v>1</v>
      </c>
      <c r="F1481" t="str">
        <f>TRIM('Tabela Federal'!$D1481)</f>
        <v>SUPROFENO</v>
      </c>
    </row>
    <row r="1482" spans="4:6" x14ac:dyDescent="0.25">
      <c r="D1482" t="s">
        <v>4014</v>
      </c>
      <c r="E1482">
        <f>1</f>
        <v>1</v>
      </c>
      <c r="F1482" t="str">
        <f>TRIM('Tabela Federal'!$D1482)</f>
        <v>TACRINA</v>
      </c>
    </row>
    <row r="1483" spans="4:6" x14ac:dyDescent="0.25">
      <c r="D1483" t="s">
        <v>4015</v>
      </c>
      <c r="E1483">
        <f>1</f>
        <v>1</v>
      </c>
      <c r="F1483" t="str">
        <f>TRIM('Tabela Federal'!$D1483)</f>
        <v>TACROLIMO</v>
      </c>
    </row>
    <row r="1484" spans="4:6" x14ac:dyDescent="0.25">
      <c r="D1484" t="s">
        <v>2637</v>
      </c>
      <c r="E1484">
        <f>1</f>
        <v>1</v>
      </c>
      <c r="F1484" t="str">
        <f>TRIM('Tabela Federal'!$D1484)</f>
        <v>TADALAFILA</v>
      </c>
    </row>
    <row r="1485" spans="4:6" x14ac:dyDescent="0.25">
      <c r="D1485" t="s">
        <v>4016</v>
      </c>
      <c r="E1485">
        <f>1</f>
        <v>1</v>
      </c>
      <c r="F1485" t="str">
        <f>TRIM('Tabela Federal'!$D1485)</f>
        <v>TALIDOMIDA</v>
      </c>
    </row>
    <row r="1486" spans="4:6" x14ac:dyDescent="0.25">
      <c r="D1486" t="s">
        <v>4017</v>
      </c>
      <c r="E1486">
        <f>1</f>
        <v>1</v>
      </c>
      <c r="F1486" t="str">
        <f>TRIM('Tabela Federal'!$D1486)</f>
        <v>TAMOXIFENO</v>
      </c>
    </row>
    <row r="1487" spans="4:6" x14ac:dyDescent="0.25">
      <c r="D1487" t="s">
        <v>4607</v>
      </c>
      <c r="E1487">
        <f>1</f>
        <v>1</v>
      </c>
      <c r="F1487" t="str">
        <f>TRIM('Tabela Federal'!$D1487)</f>
        <v>TANEZUMABE</v>
      </c>
    </row>
    <row r="1488" spans="4:6" x14ac:dyDescent="0.25">
      <c r="D1488" t="s">
        <v>4018</v>
      </c>
      <c r="E1488">
        <f>1</f>
        <v>1</v>
      </c>
      <c r="F1488" t="str">
        <f>TRIM('Tabela Federal'!$D1488)</f>
        <v>TANSULOSINA</v>
      </c>
    </row>
    <row r="1489" spans="4:6" x14ac:dyDescent="0.25">
      <c r="D1489" t="s">
        <v>2619</v>
      </c>
      <c r="E1489">
        <f>1</f>
        <v>1</v>
      </c>
      <c r="F1489" t="str">
        <f>TRIM('Tabela Federal'!$D1489)</f>
        <v>TARTARATO DE BRIMONIDINA</v>
      </c>
    </row>
    <row r="1490" spans="4:6" x14ac:dyDescent="0.25">
      <c r="D1490" t="s">
        <v>4019</v>
      </c>
      <c r="E1490">
        <f>1</f>
        <v>1</v>
      </c>
      <c r="F1490" t="str">
        <f>TRIM('Tabela Federal'!$D1490)</f>
        <v>TARTARATO DE LASOFOXIFENO</v>
      </c>
    </row>
    <row r="1491" spans="4:6" x14ac:dyDescent="0.25">
      <c r="D1491" t="s">
        <v>4020</v>
      </c>
      <c r="E1491">
        <f>1</f>
        <v>1</v>
      </c>
      <c r="F1491" t="str">
        <f>TRIM('Tabela Federal'!$D1491)</f>
        <v>TARTARATO DE METOPROLOL</v>
      </c>
    </row>
    <row r="1492" spans="4:6" x14ac:dyDescent="0.25">
      <c r="D1492" t="s">
        <v>2636</v>
      </c>
      <c r="E1492">
        <f>1</f>
        <v>1</v>
      </c>
      <c r="F1492" t="str">
        <f>TRIM('Tabela Federal'!$D1492)</f>
        <v>TARTARATO DE VARENICLINA</v>
      </c>
    </row>
    <row r="1493" spans="4:6" x14ac:dyDescent="0.25">
      <c r="D1493" t="s">
        <v>4021</v>
      </c>
      <c r="E1493">
        <f>1</f>
        <v>1</v>
      </c>
      <c r="F1493" t="str">
        <f>TRIM('Tabela Federal'!$D1493)</f>
        <v>TARTARATO DE VINORELBINA</v>
      </c>
    </row>
    <row r="1494" spans="4:6" x14ac:dyDescent="0.25">
      <c r="D1494" t="s">
        <v>4022</v>
      </c>
      <c r="E1494">
        <f>1</f>
        <v>1</v>
      </c>
      <c r="F1494" t="str">
        <f>TRIM('Tabela Federal'!$D1494)</f>
        <v>TAURINA</v>
      </c>
    </row>
    <row r="1495" spans="4:6" x14ac:dyDescent="0.25">
      <c r="D1495" t="s">
        <v>4023</v>
      </c>
      <c r="E1495">
        <f>1</f>
        <v>1</v>
      </c>
      <c r="F1495" t="str">
        <f>TRIM('Tabela Federal'!$D1495)</f>
        <v>TEGAFUR</v>
      </c>
    </row>
    <row r="1496" spans="4:6" x14ac:dyDescent="0.25">
      <c r="D1496" t="s">
        <v>4024</v>
      </c>
      <c r="E1496">
        <f>1</f>
        <v>1</v>
      </c>
      <c r="F1496" t="str">
        <f>TRIM('Tabela Federal'!$D1496)</f>
        <v>TEICOPLANINA</v>
      </c>
    </row>
    <row r="1497" spans="4:6" x14ac:dyDescent="0.25">
      <c r="D1497" t="s">
        <v>4608</v>
      </c>
      <c r="E1497">
        <f>1</f>
        <v>1</v>
      </c>
      <c r="F1497" t="str">
        <f>TRIM('Tabela Federal'!$D1497)</f>
        <v>TELBIVUDINA</v>
      </c>
    </row>
    <row r="1498" spans="4:6" x14ac:dyDescent="0.25">
      <c r="D1498" t="s">
        <v>4025</v>
      </c>
      <c r="E1498">
        <f>1</f>
        <v>1</v>
      </c>
      <c r="F1498" t="str">
        <f>TRIM('Tabela Federal'!$D1498)</f>
        <v>TELITROMICINA</v>
      </c>
    </row>
    <row r="1499" spans="4:6" x14ac:dyDescent="0.25">
      <c r="D1499" t="s">
        <v>4026</v>
      </c>
      <c r="E1499">
        <f>1</f>
        <v>1</v>
      </c>
      <c r="F1499" t="str">
        <f>TRIM('Tabela Federal'!$D1499)</f>
        <v>TELMISARTANA</v>
      </c>
    </row>
    <row r="1500" spans="4:6" x14ac:dyDescent="0.25">
      <c r="D1500" t="s">
        <v>4027</v>
      </c>
      <c r="E1500">
        <f>1</f>
        <v>1</v>
      </c>
      <c r="F1500" t="str">
        <f>TRIM('Tabela Federal'!$D1500)</f>
        <v>TEMOZOLOMIDA</v>
      </c>
    </row>
    <row r="1501" spans="4:6" x14ac:dyDescent="0.25">
      <c r="D1501" t="s">
        <v>4028</v>
      </c>
      <c r="E1501">
        <f>1</f>
        <v>1</v>
      </c>
      <c r="F1501" t="str">
        <f>TRIM('Tabela Federal'!$D1501)</f>
        <v>TENECTEPLASE</v>
      </c>
    </row>
    <row r="1502" spans="4:6" x14ac:dyDescent="0.25">
      <c r="D1502" t="s">
        <v>4318</v>
      </c>
      <c r="E1502">
        <f>1</f>
        <v>1</v>
      </c>
      <c r="F1502" t="str">
        <f>TRIM('Tabela Federal'!$D1502)</f>
        <v>TENIPOSIDEO</v>
      </c>
    </row>
    <row r="1503" spans="4:6" x14ac:dyDescent="0.25">
      <c r="D1503" t="s">
        <v>4029</v>
      </c>
      <c r="E1503">
        <f>1</f>
        <v>1</v>
      </c>
      <c r="F1503" t="str">
        <f>TRIM('Tabela Federal'!$D1503)</f>
        <v>TENOFOVIR</v>
      </c>
    </row>
    <row r="1504" spans="4:6" x14ac:dyDescent="0.25">
      <c r="D1504" t="s">
        <v>4030</v>
      </c>
      <c r="E1504">
        <f>1</f>
        <v>1</v>
      </c>
      <c r="F1504" t="str">
        <f>TRIM('Tabela Federal'!$D1504)</f>
        <v>TENOXICAM</v>
      </c>
    </row>
    <row r="1505" spans="4:6" x14ac:dyDescent="0.25">
      <c r="D1505" t="s">
        <v>4609</v>
      </c>
      <c r="E1505">
        <f>1</f>
        <v>1</v>
      </c>
      <c r="F1505" t="str">
        <f>TRIM('Tabela Federal'!$D1505)</f>
        <v>TENSIROLIMO</v>
      </c>
    </row>
    <row r="1506" spans="4:6" x14ac:dyDescent="0.25">
      <c r="D1506" t="s">
        <v>4031</v>
      </c>
      <c r="E1506">
        <f>1</f>
        <v>1</v>
      </c>
      <c r="F1506" t="str">
        <f>TRIM('Tabela Federal'!$D1506)</f>
        <v>TEOFILINA</v>
      </c>
    </row>
    <row r="1507" spans="4:6" x14ac:dyDescent="0.25">
      <c r="D1507" t="s">
        <v>4032</v>
      </c>
      <c r="E1507">
        <f>1</f>
        <v>1</v>
      </c>
      <c r="F1507" t="str">
        <f>TRIM('Tabela Federal'!$D1507)</f>
        <v>TEOFILINATO DE AMBROXOL</v>
      </c>
    </row>
    <row r="1508" spans="4:6" x14ac:dyDescent="0.25">
      <c r="D1508" t="s">
        <v>2781</v>
      </c>
      <c r="E1508">
        <f>1</f>
        <v>1</v>
      </c>
      <c r="F1508" t="str">
        <f>TRIM('Tabela Federal'!$D1508)</f>
        <v>TERIPARATIDA</v>
      </c>
    </row>
    <row r="1509" spans="4:6" x14ac:dyDescent="0.25">
      <c r="D1509" t="s">
        <v>4033</v>
      </c>
      <c r="E1509">
        <f>1</f>
        <v>1</v>
      </c>
      <c r="F1509" t="str">
        <f>TRIM('Tabela Federal'!$D1509)</f>
        <v>TERIZIDONA</v>
      </c>
    </row>
    <row r="1510" spans="4:6" x14ac:dyDescent="0.25">
      <c r="D1510" t="s">
        <v>4655</v>
      </c>
      <c r="E1510">
        <f>1</f>
        <v>1</v>
      </c>
      <c r="F1510" t="str">
        <f>TRIM('Tabela Federal'!$D1510)</f>
        <v>TESTOSTERONA</v>
      </c>
    </row>
    <row r="1511" spans="4:6" x14ac:dyDescent="0.25">
      <c r="D1511" t="s">
        <v>4034</v>
      </c>
      <c r="E1511">
        <f>1</f>
        <v>1</v>
      </c>
      <c r="F1511" t="str">
        <f>TRIM('Tabela Federal'!$D1511)</f>
        <v>TETRACICLINA</v>
      </c>
    </row>
    <row r="1512" spans="4:6" x14ac:dyDescent="0.25">
      <c r="D1512" t="s">
        <v>4610</v>
      </c>
      <c r="E1512">
        <f>1</f>
        <v>1</v>
      </c>
      <c r="F1512" t="str">
        <f>TRIM('Tabela Federal'!$D1512)</f>
        <v>TETROFOSMINA</v>
      </c>
    </row>
    <row r="1513" spans="4:6" x14ac:dyDescent="0.25">
      <c r="D1513" t="s">
        <v>4035</v>
      </c>
      <c r="E1513">
        <f>1</f>
        <v>1</v>
      </c>
      <c r="F1513" t="str">
        <f>TRIM('Tabela Federal'!$D1513)</f>
        <v>TIABENDAZOL</v>
      </c>
    </row>
    <row r="1514" spans="4:6" x14ac:dyDescent="0.25">
      <c r="D1514" t="s">
        <v>4036</v>
      </c>
      <c r="E1514">
        <f>1</f>
        <v>1</v>
      </c>
      <c r="F1514" t="str">
        <f>TRIM('Tabela Federal'!$D1514)</f>
        <v>TIAMAZOL</v>
      </c>
    </row>
    <row r="1515" spans="4:6" x14ac:dyDescent="0.25">
      <c r="D1515" t="s">
        <v>4174</v>
      </c>
      <c r="E1515">
        <f>1</f>
        <v>1</v>
      </c>
      <c r="F1515" t="str">
        <f>TRIM('Tabela Federal'!$D1515)</f>
        <v>TIAMINA</v>
      </c>
    </row>
    <row r="1516" spans="4:6" x14ac:dyDescent="0.25">
      <c r="D1516" t="s">
        <v>4443</v>
      </c>
      <c r="E1516">
        <f>1</f>
        <v>1</v>
      </c>
      <c r="F1516" t="str">
        <f>TRIM('Tabela Federal'!$D1516)</f>
        <v>TIANEPTINA SODICA</v>
      </c>
    </row>
    <row r="1517" spans="4:6" x14ac:dyDescent="0.25">
      <c r="D1517" t="s">
        <v>4037</v>
      </c>
      <c r="E1517">
        <f>1</f>
        <v>1</v>
      </c>
      <c r="F1517" t="str">
        <f>TRIM('Tabela Federal'!$D1517)</f>
        <v>TIANFENICOL</v>
      </c>
    </row>
    <row r="1518" spans="4:6" x14ac:dyDescent="0.25">
      <c r="D1518" t="s">
        <v>4038</v>
      </c>
      <c r="E1518">
        <f>1</f>
        <v>1</v>
      </c>
      <c r="F1518" t="str">
        <f>TRIM('Tabela Federal'!$D1518)</f>
        <v>TIAPRIDA</v>
      </c>
    </row>
    <row r="1519" spans="4:6" x14ac:dyDescent="0.25">
      <c r="D1519" t="s">
        <v>2698</v>
      </c>
      <c r="E1519">
        <f>1</f>
        <v>1</v>
      </c>
      <c r="F1519" t="str">
        <f>TRIM('Tabela Federal'!$D1519)</f>
        <v>TIBOLONA</v>
      </c>
    </row>
    <row r="1520" spans="4:6" x14ac:dyDescent="0.25">
      <c r="D1520" t="s">
        <v>4611</v>
      </c>
      <c r="E1520">
        <f>1</f>
        <v>1</v>
      </c>
      <c r="F1520" t="str">
        <f>TRIM('Tabela Federal'!$D1520)</f>
        <v>TICAGRELOR</v>
      </c>
    </row>
    <row r="1521" spans="4:6" x14ac:dyDescent="0.25">
      <c r="D1521" t="s">
        <v>4039</v>
      </c>
      <c r="E1521">
        <f>1</f>
        <v>1</v>
      </c>
      <c r="F1521" t="str">
        <f>TRIM('Tabela Federal'!$D1521)</f>
        <v>TIGECICLINA</v>
      </c>
    </row>
    <row r="1522" spans="4:6" x14ac:dyDescent="0.25">
      <c r="D1522" t="s">
        <v>4444</v>
      </c>
      <c r="E1522">
        <f>1</f>
        <v>1</v>
      </c>
      <c r="F1522" t="str">
        <f>TRIM('Tabela Federal'!$D1522)</f>
        <v>TILUDRONATO DISSODICO</v>
      </c>
    </row>
    <row r="1523" spans="4:6" x14ac:dyDescent="0.25">
      <c r="D1523" t="s">
        <v>4040</v>
      </c>
      <c r="E1523">
        <f>1</f>
        <v>1</v>
      </c>
      <c r="F1523" t="str">
        <f>TRIM('Tabela Federal'!$D1523)</f>
        <v>TIMALFASINA</v>
      </c>
    </row>
    <row r="1524" spans="4:6" x14ac:dyDescent="0.25">
      <c r="D1524" t="s">
        <v>4041</v>
      </c>
      <c r="E1524">
        <f>1</f>
        <v>1</v>
      </c>
      <c r="F1524" t="str">
        <f>TRIM('Tabela Federal'!$D1524)</f>
        <v>TIMOMODULINA</v>
      </c>
    </row>
    <row r="1525" spans="4:6" x14ac:dyDescent="0.25">
      <c r="D1525" t="s">
        <v>4042</v>
      </c>
      <c r="E1525">
        <f>1</f>
        <v>1</v>
      </c>
      <c r="F1525" t="str">
        <f>TRIM('Tabela Federal'!$D1525)</f>
        <v>TIOGUANINA</v>
      </c>
    </row>
    <row r="1526" spans="4:6" x14ac:dyDescent="0.25">
      <c r="D1526" t="s">
        <v>4445</v>
      </c>
      <c r="E1526">
        <f>1</f>
        <v>1</v>
      </c>
      <c r="F1526" t="str">
        <f>TRIM('Tabela Federal'!$D1526)</f>
        <v>TIOPENTAL SODICO</v>
      </c>
    </row>
    <row r="1527" spans="4:6" x14ac:dyDescent="0.25">
      <c r="D1527" t="s">
        <v>4446</v>
      </c>
      <c r="E1527">
        <f>1</f>
        <v>1</v>
      </c>
      <c r="F1527" t="str">
        <f>TRIM('Tabela Federal'!$D1527)</f>
        <v>TIOSSULFATO DE SODIO</v>
      </c>
    </row>
    <row r="1528" spans="4:6" x14ac:dyDescent="0.25">
      <c r="D1528" t="s">
        <v>4043</v>
      </c>
      <c r="E1528">
        <f>1</f>
        <v>1</v>
      </c>
      <c r="F1528" t="str">
        <f>TRIM('Tabela Federal'!$D1528)</f>
        <v>TIOTEPA</v>
      </c>
    </row>
    <row r="1529" spans="4:6" x14ac:dyDescent="0.25">
      <c r="D1529" t="s">
        <v>4044</v>
      </c>
      <c r="E1529">
        <f>1</f>
        <v>1</v>
      </c>
      <c r="F1529" t="str">
        <f>TRIM('Tabela Federal'!$D1529)</f>
        <v>TIOTIXENO</v>
      </c>
    </row>
    <row r="1530" spans="4:6" x14ac:dyDescent="0.25">
      <c r="D1530" t="s">
        <v>4045</v>
      </c>
      <c r="E1530">
        <f>1</f>
        <v>1</v>
      </c>
      <c r="F1530" t="str">
        <f>TRIM('Tabela Federal'!$D1530)</f>
        <v>TIPIFARNIBE</v>
      </c>
    </row>
    <row r="1531" spans="4:6" x14ac:dyDescent="0.25">
      <c r="D1531" t="s">
        <v>4612</v>
      </c>
      <c r="E1531">
        <f>1</f>
        <v>1</v>
      </c>
      <c r="F1531" t="str">
        <f>TRIM('Tabela Federal'!$D1531)</f>
        <v>TIPRANAVIR</v>
      </c>
    </row>
    <row r="1532" spans="4:6" x14ac:dyDescent="0.25">
      <c r="D1532" t="s">
        <v>4046</v>
      </c>
      <c r="E1532">
        <f>1</f>
        <v>1</v>
      </c>
      <c r="F1532" t="str">
        <f>TRIM('Tabela Federal'!$D1532)</f>
        <v>TIROSINA</v>
      </c>
    </row>
    <row r="1533" spans="4:6" x14ac:dyDescent="0.25">
      <c r="D1533" t="s">
        <v>2699</v>
      </c>
      <c r="E1533">
        <f>1</f>
        <v>1</v>
      </c>
      <c r="F1533" t="str">
        <f>TRIM('Tabela Federal'!$D1533)</f>
        <v>TOBRAMICINA</v>
      </c>
    </row>
    <row r="1534" spans="4:6" x14ac:dyDescent="0.25">
      <c r="D1534" t="s">
        <v>4613</v>
      </c>
      <c r="E1534">
        <f>1</f>
        <v>1</v>
      </c>
      <c r="F1534" t="str">
        <f>TRIM('Tabela Federal'!$D1534)</f>
        <v>TOCILIZUMABE</v>
      </c>
    </row>
    <row r="1535" spans="4:6" x14ac:dyDescent="0.25">
      <c r="D1535" t="s">
        <v>4614</v>
      </c>
      <c r="E1535">
        <f>1</f>
        <v>1</v>
      </c>
      <c r="F1535" t="str">
        <f>TRIM('Tabela Federal'!$D1535)</f>
        <v>TOCOFEROL</v>
      </c>
    </row>
    <row r="1536" spans="4:6" x14ac:dyDescent="0.25">
      <c r="D1536" t="s">
        <v>4047</v>
      </c>
      <c r="E1536">
        <f>1</f>
        <v>1</v>
      </c>
      <c r="F1536" t="str">
        <f>TRIM('Tabela Federal'!$D1536)</f>
        <v>TOLCAPONA</v>
      </c>
    </row>
    <row r="1537" spans="4:6" x14ac:dyDescent="0.25">
      <c r="D1537" t="s">
        <v>4048</v>
      </c>
      <c r="E1537">
        <f>1</f>
        <v>1</v>
      </c>
      <c r="F1537" t="str">
        <f>TRIM('Tabela Federal'!$D1537)</f>
        <v>TOPIRAMATO</v>
      </c>
    </row>
    <row r="1538" spans="4:6" x14ac:dyDescent="0.25">
      <c r="D1538" t="s">
        <v>4049</v>
      </c>
      <c r="E1538">
        <f>1</f>
        <v>1</v>
      </c>
      <c r="F1538" t="str">
        <f>TRIM('Tabela Federal'!$D1538)</f>
        <v>TOREMIFENO</v>
      </c>
    </row>
    <row r="1539" spans="4:6" x14ac:dyDescent="0.25">
      <c r="D1539" t="s">
        <v>4050</v>
      </c>
      <c r="E1539">
        <f>1</f>
        <v>1</v>
      </c>
      <c r="F1539" t="str">
        <f>TRIM('Tabela Federal'!$D1539)</f>
        <v>TOSILATO DE SORAFENIBE</v>
      </c>
    </row>
    <row r="1540" spans="4:6" x14ac:dyDescent="0.25">
      <c r="D1540" t="s">
        <v>4051</v>
      </c>
      <c r="E1540">
        <f>1</f>
        <v>1</v>
      </c>
      <c r="F1540" t="str">
        <f>TRIM('Tabela Federal'!$D1540)</f>
        <v>TOSILATO DE SULTAMICILINA</v>
      </c>
    </row>
    <row r="1541" spans="4:6" x14ac:dyDescent="0.25">
      <c r="D1541" t="s">
        <v>4319</v>
      </c>
      <c r="E1541">
        <f>1</f>
        <v>1</v>
      </c>
      <c r="F1541" t="str">
        <f>TRIM('Tabela Federal'!$D1541)</f>
        <v>TOXINA BOTULINICA TIPO A</v>
      </c>
    </row>
    <row r="1542" spans="4:6" x14ac:dyDescent="0.25">
      <c r="D1542" t="s">
        <v>4447</v>
      </c>
      <c r="E1542">
        <f>1</f>
        <v>1</v>
      </c>
      <c r="F1542" t="str">
        <f>TRIM('Tabela Federal'!$D1542)</f>
        <v>TOXOIDE DIFTERICO</v>
      </c>
    </row>
    <row r="1543" spans="4:6" x14ac:dyDescent="0.25">
      <c r="D1543" t="s">
        <v>4447</v>
      </c>
      <c r="E1543">
        <f>1</f>
        <v>1</v>
      </c>
      <c r="F1543" t="str">
        <f>TRIM('Tabela Federal'!$D1543)</f>
        <v>TOXOIDE DIFTERICO</v>
      </c>
    </row>
    <row r="1544" spans="4:6" x14ac:dyDescent="0.25">
      <c r="D1544" t="s">
        <v>4448</v>
      </c>
      <c r="E1544">
        <f>1</f>
        <v>1</v>
      </c>
      <c r="F1544" t="str">
        <f>TRIM('Tabela Federal'!$D1544)</f>
        <v>TOXOIDE ESTAFILOCOCICO</v>
      </c>
    </row>
    <row r="1545" spans="4:6" x14ac:dyDescent="0.25">
      <c r="D1545" t="s">
        <v>4449</v>
      </c>
      <c r="E1545">
        <f>1</f>
        <v>1</v>
      </c>
      <c r="F1545" t="str">
        <f>TRIM('Tabela Federal'!$D1545)</f>
        <v>TOXOIDE TETANICO ADSORVIDO</v>
      </c>
    </row>
    <row r="1546" spans="4:6" x14ac:dyDescent="0.25">
      <c r="D1546" t="s">
        <v>4052</v>
      </c>
      <c r="E1546">
        <f>1</f>
        <v>1</v>
      </c>
      <c r="F1546" t="str">
        <f>TRIM('Tabela Federal'!$D1546)</f>
        <v>TRANDOLAPRIL</v>
      </c>
    </row>
    <row r="1547" spans="4:6" x14ac:dyDescent="0.25">
      <c r="D1547" t="s">
        <v>4053</v>
      </c>
      <c r="E1547">
        <f>1</f>
        <v>1</v>
      </c>
      <c r="F1547" t="str">
        <f>TRIM('Tabela Federal'!$D1547)</f>
        <v>TRAPIDIL</v>
      </c>
    </row>
    <row r="1548" spans="4:6" x14ac:dyDescent="0.25">
      <c r="D1548" t="s">
        <v>4054</v>
      </c>
      <c r="E1548">
        <f>1</f>
        <v>1</v>
      </c>
      <c r="F1548" t="str">
        <f>TRIM('Tabela Federal'!$D1548)</f>
        <v>TRASTUZUMABE</v>
      </c>
    </row>
    <row r="1549" spans="4:6" x14ac:dyDescent="0.25">
      <c r="D1549" t="s">
        <v>4055</v>
      </c>
      <c r="E1549">
        <f>1</f>
        <v>1</v>
      </c>
      <c r="F1549" t="str">
        <f>TRIM('Tabela Federal'!$D1549)</f>
        <v>TRAVOPROSTA</v>
      </c>
    </row>
    <row r="1550" spans="4:6" x14ac:dyDescent="0.25">
      <c r="D1550" t="s">
        <v>2656</v>
      </c>
      <c r="E1550">
        <f>1</f>
        <v>1</v>
      </c>
      <c r="F1550" t="str">
        <f>TRIM('Tabela Federal'!$D1550)</f>
        <v>TRAZODONA</v>
      </c>
    </row>
    <row r="1551" spans="4:6" x14ac:dyDescent="0.25">
      <c r="D1551" t="s">
        <v>4615</v>
      </c>
      <c r="E1551">
        <f>1</f>
        <v>1</v>
      </c>
      <c r="F1551" t="str">
        <f>TRIM('Tabela Federal'!$D1551)</f>
        <v>TREMELIMUMABE</v>
      </c>
    </row>
    <row r="1552" spans="4:6" x14ac:dyDescent="0.25">
      <c r="D1552" t="s">
        <v>4056</v>
      </c>
      <c r="E1552">
        <f>1</f>
        <v>1</v>
      </c>
      <c r="F1552" t="str">
        <f>TRIM('Tabela Federal'!$D1552)</f>
        <v>TREONINA</v>
      </c>
    </row>
    <row r="1553" spans="4:6" x14ac:dyDescent="0.25">
      <c r="D1553" t="s">
        <v>4320</v>
      </c>
      <c r="E1553">
        <f>1</f>
        <v>1</v>
      </c>
      <c r="F1553" t="str">
        <f>TRIM('Tabela Federal'!$D1553)</f>
        <v>TRETINOINA</v>
      </c>
    </row>
    <row r="1554" spans="4:6" x14ac:dyDescent="0.25">
      <c r="D1554" t="s">
        <v>4057</v>
      </c>
      <c r="E1554">
        <f>1</f>
        <v>1</v>
      </c>
      <c r="F1554" t="str">
        <f>TRIM('Tabela Federal'!$D1554)</f>
        <v>TRIANCINOLONA ACETONIDA</v>
      </c>
    </row>
    <row r="1555" spans="4:6" x14ac:dyDescent="0.25">
      <c r="D1555" t="s">
        <v>4058</v>
      </c>
      <c r="E1555">
        <f>1</f>
        <v>1</v>
      </c>
      <c r="F1555" t="str">
        <f>TRIM('Tabela Federal'!$D1555)</f>
        <v>TRICLOSANA</v>
      </c>
    </row>
    <row r="1556" spans="4:6" x14ac:dyDescent="0.25">
      <c r="D1556" t="s">
        <v>4059</v>
      </c>
      <c r="E1556">
        <f>1</f>
        <v>1</v>
      </c>
      <c r="F1556" t="str">
        <f>TRIM('Tabela Federal'!$D1556)</f>
        <v>TRIENTINA</v>
      </c>
    </row>
    <row r="1557" spans="4:6" x14ac:dyDescent="0.25">
      <c r="D1557" t="s">
        <v>4060</v>
      </c>
      <c r="E1557">
        <f>1</f>
        <v>1</v>
      </c>
      <c r="F1557" t="str">
        <f>TRIM('Tabela Federal'!$D1557)</f>
        <v>TRIETIODETO DE GALAMINA</v>
      </c>
    </row>
    <row r="1558" spans="4:6" x14ac:dyDescent="0.25">
      <c r="D1558" t="s">
        <v>4061</v>
      </c>
      <c r="E1558">
        <f>1</f>
        <v>1</v>
      </c>
      <c r="F1558" t="str">
        <f>TRIM('Tabela Federal'!$D1558)</f>
        <v>TRIFLUSAL</v>
      </c>
    </row>
    <row r="1559" spans="4:6" x14ac:dyDescent="0.25">
      <c r="D1559" t="s">
        <v>4321</v>
      </c>
      <c r="E1559">
        <f>1</f>
        <v>1</v>
      </c>
      <c r="F1559" t="str">
        <f>TRIM('Tabela Federal'!$D1559)</f>
        <v>TRIGLICERIDEOS DE CADEIA MEDIA</v>
      </c>
    </row>
    <row r="1560" spans="4:6" x14ac:dyDescent="0.25">
      <c r="D1560" t="s">
        <v>2702</v>
      </c>
      <c r="E1560">
        <f>1</f>
        <v>1</v>
      </c>
      <c r="F1560" t="str">
        <f>TRIM('Tabela Federal'!$D1560)</f>
        <v>TRIMETAZIDINA</v>
      </c>
    </row>
    <row r="1561" spans="4:6" x14ac:dyDescent="0.25">
      <c r="D1561" t="s">
        <v>4062</v>
      </c>
      <c r="E1561">
        <f>1</f>
        <v>1</v>
      </c>
      <c r="F1561" t="str">
        <f>TRIM('Tabela Federal'!$D1561)</f>
        <v>TRIPTOFANA</v>
      </c>
    </row>
    <row r="1562" spans="4:6" x14ac:dyDescent="0.25">
      <c r="D1562" t="s">
        <v>4063</v>
      </c>
      <c r="E1562">
        <f>1</f>
        <v>1</v>
      </c>
      <c r="F1562" t="str">
        <f>TRIM('Tabela Federal'!$D1562)</f>
        <v>TRIPTORRELINA</v>
      </c>
    </row>
    <row r="1563" spans="4:6" x14ac:dyDescent="0.25">
      <c r="D1563" t="s">
        <v>4064</v>
      </c>
      <c r="E1563">
        <f>1</f>
        <v>1</v>
      </c>
      <c r="F1563" t="str">
        <f>TRIM('Tabela Federal'!$D1563)</f>
        <v>TROMETAMOL CETOROLACO</v>
      </c>
    </row>
    <row r="1564" spans="4:6" x14ac:dyDescent="0.25">
      <c r="D1564" t="s">
        <v>4065</v>
      </c>
      <c r="E1564">
        <f>1</f>
        <v>1</v>
      </c>
      <c r="F1564" t="str">
        <f>TRIM('Tabela Federal'!$D1564)</f>
        <v>TROMETAMOL DE LODOXAMIDA</v>
      </c>
    </row>
    <row r="1565" spans="4:6" x14ac:dyDescent="0.25">
      <c r="D1565" t="s">
        <v>4066</v>
      </c>
      <c r="E1565">
        <f>1</f>
        <v>1</v>
      </c>
      <c r="F1565" t="str">
        <f>TRIM('Tabela Federal'!$D1565)</f>
        <v>UBIDECARENONA</v>
      </c>
    </row>
    <row r="1566" spans="4:6" x14ac:dyDescent="0.25">
      <c r="D1566" t="s">
        <v>4067</v>
      </c>
      <c r="E1566">
        <f>1</f>
        <v>1</v>
      </c>
      <c r="F1566" t="str">
        <f>TRIM('Tabela Federal'!$D1566)</f>
        <v>UNDECILATO DE TESTOSTERONA</v>
      </c>
    </row>
    <row r="1567" spans="4:6" x14ac:dyDescent="0.25">
      <c r="D1567" t="s">
        <v>4322</v>
      </c>
      <c r="E1567">
        <f>1</f>
        <v>1</v>
      </c>
      <c r="F1567" t="str">
        <f>TRIM('Tabela Federal'!$D1567)</f>
        <v>UNOPROSTONA ISOPROPILICA</v>
      </c>
    </row>
    <row r="1568" spans="4:6" x14ac:dyDescent="0.25">
      <c r="D1568" t="s">
        <v>4068</v>
      </c>
      <c r="E1568">
        <f>1</f>
        <v>1</v>
      </c>
      <c r="F1568" t="str">
        <f>TRIM('Tabela Federal'!$D1568)</f>
        <v>UROFOLITROPINA</v>
      </c>
    </row>
    <row r="1569" spans="4:6" x14ac:dyDescent="0.25">
      <c r="D1569" t="s">
        <v>4069</v>
      </c>
      <c r="E1569">
        <f>1</f>
        <v>1</v>
      </c>
      <c r="F1569" t="str">
        <f>TRIM('Tabela Federal'!$D1569)</f>
        <v>UROQUINASE</v>
      </c>
    </row>
    <row r="1570" spans="4:6" x14ac:dyDescent="0.25">
      <c r="D1570" t="s">
        <v>4616</v>
      </c>
      <c r="E1570">
        <f>1</f>
        <v>1</v>
      </c>
      <c r="F1570" t="str">
        <f>TRIM('Tabela Federal'!$D1570)</f>
        <v>USTEQUINUMABE</v>
      </c>
    </row>
    <row r="1571" spans="4:6" x14ac:dyDescent="0.25">
      <c r="D1571" t="s">
        <v>4258</v>
      </c>
      <c r="E1571">
        <f>1</f>
        <v>1</v>
      </c>
      <c r="F1571" t="str">
        <f>TRIM('Tabela Federal'!$D1571)</f>
        <v>VACINA ADSORVIDA CONTRA DIFTERIA, TETANO, COQUELUCHE E POLIOMELITE INATIVADA</v>
      </c>
    </row>
    <row r="1572" spans="4:6" x14ac:dyDescent="0.25">
      <c r="D1572" t="s">
        <v>4070</v>
      </c>
      <c r="E1572">
        <f>1</f>
        <v>1</v>
      </c>
      <c r="F1572" t="str">
        <f>TRIM('Tabela Federal'!$D1572)</f>
        <v>VACINA ANTICATARRAL</v>
      </c>
    </row>
    <row r="1573" spans="4:6" x14ac:dyDescent="0.25">
      <c r="D1573" t="s">
        <v>4070</v>
      </c>
      <c r="E1573">
        <f>1</f>
        <v>1</v>
      </c>
      <c r="F1573" t="str">
        <f>TRIM('Tabela Federal'!$D1573)</f>
        <v>VACINA ANTICATARRAL</v>
      </c>
    </row>
    <row r="1574" spans="4:6" x14ac:dyDescent="0.25">
      <c r="D1574" t="s">
        <v>4071</v>
      </c>
      <c r="E1574">
        <f>1</f>
        <v>1</v>
      </c>
      <c r="F1574" t="str">
        <f>TRIM('Tabela Federal'!$D1574)</f>
        <v>VACINA BCG</v>
      </c>
    </row>
    <row r="1575" spans="4:6" x14ac:dyDescent="0.25">
      <c r="D1575" t="s">
        <v>4259</v>
      </c>
      <c r="E1575">
        <f>1</f>
        <v>1</v>
      </c>
      <c r="F1575" t="str">
        <f>TRIM('Tabela Federal'!$D1575)</f>
        <v>VACINA COMBINADA CONTRA DIFTERIA, TETANO, COQUELUCHE E HEPATITE B</v>
      </c>
    </row>
    <row r="1576" spans="4:6" x14ac:dyDescent="0.25">
      <c r="D1576" t="s">
        <v>4260</v>
      </c>
      <c r="E1576">
        <f>1</f>
        <v>1</v>
      </c>
      <c r="F1576" t="str">
        <f>TRIM('Tabela Federal'!$D1576)</f>
        <v>VACINA COMBINADA CONTRA DIFTERIA, TETANO, COQUELUCHE, POLIOINATIVADO E HAEMOPHILUS INFLUENZAE TIPO B</v>
      </c>
    </row>
    <row r="1577" spans="4:6" x14ac:dyDescent="0.25">
      <c r="D1577" t="s">
        <v>4261</v>
      </c>
      <c r="E1577">
        <f>1</f>
        <v>1</v>
      </c>
      <c r="F1577" t="str">
        <f>TRIM('Tabela Federal'!$D1577)</f>
        <v>VACINA COMBINADA CONTRA DIFTERIA, TETANO, COQUELUCHE, POLIOINATIVADO E HAEMOPHILUS INFLUENZAE TIPO B E HEPATITE B</v>
      </c>
    </row>
    <row r="1578" spans="4:6" x14ac:dyDescent="0.25">
      <c r="D1578" t="s">
        <v>4072</v>
      </c>
      <c r="E1578">
        <f>1</f>
        <v>1</v>
      </c>
      <c r="F1578" t="str">
        <f>TRIM('Tabela Federal'!$D1578)</f>
        <v>VACINA COMBINADA INATIVADA CONTRA HEPATITE A E B (RDNA)</v>
      </c>
    </row>
    <row r="1579" spans="4:6" x14ac:dyDescent="0.25">
      <c r="D1579" t="s">
        <v>4450</v>
      </c>
      <c r="E1579">
        <f>1</f>
        <v>1</v>
      </c>
      <c r="F1579" t="str">
        <f>TRIM('Tabela Federal'!$D1579)</f>
        <v>VACINA CONJUGADA CONTRA HAEMOPHILUS (PROTEINA MENINGOCOCICA) E HEPATITE B</v>
      </c>
    </row>
    <row r="1580" spans="4:6" x14ac:dyDescent="0.25">
      <c r="D1580" t="s">
        <v>4323</v>
      </c>
      <c r="E1580">
        <f>1</f>
        <v>1</v>
      </c>
      <c r="F1580" t="str">
        <f>TRIM('Tabela Federal'!$D1580)</f>
        <v>VACINA CONJUGADA CONTRA HAEMOPHILUS E PROTEINA DIFTERICA</v>
      </c>
    </row>
    <row r="1581" spans="4:6" x14ac:dyDescent="0.25">
      <c r="D1581" t="s">
        <v>4451</v>
      </c>
      <c r="E1581">
        <f>1</f>
        <v>1</v>
      </c>
      <c r="F1581" t="str">
        <f>TRIM('Tabela Federal'!$D1581)</f>
        <v>VACINA CONJUGADA CONTRA HAEMOPHILUS E TOXOIDE TETANICO</v>
      </c>
    </row>
    <row r="1582" spans="4:6" x14ac:dyDescent="0.25">
      <c r="D1582" t="s">
        <v>4073</v>
      </c>
      <c r="E1582">
        <f>1</f>
        <v>1</v>
      </c>
      <c r="F1582" t="str">
        <f>TRIM('Tabela Federal'!$D1582)</f>
        <v>VACINA CONTRA CAXUMBA</v>
      </c>
    </row>
    <row r="1583" spans="4:6" x14ac:dyDescent="0.25">
      <c r="D1583" t="s">
        <v>4262</v>
      </c>
      <c r="E1583">
        <f>1</f>
        <v>1</v>
      </c>
      <c r="F1583" t="str">
        <f>TRIM('Tabela Federal'!$D1583)</f>
        <v>VACINA CONTRA CAXUMBA, RUBEOLA E SARAMPO</v>
      </c>
    </row>
    <row r="1584" spans="4:6" x14ac:dyDescent="0.25">
      <c r="D1584" t="s">
        <v>4263</v>
      </c>
      <c r="E1584">
        <f>1</f>
        <v>1</v>
      </c>
      <c r="F1584" t="str">
        <f>TRIM('Tabela Federal'!$D1584)</f>
        <v>VACINA CONTRA CAXUMBA, RUBEOLA, SARAMPO COM NEOMICINA</v>
      </c>
    </row>
    <row r="1585" spans="4:6" x14ac:dyDescent="0.25">
      <c r="D1585" t="s">
        <v>4617</v>
      </c>
      <c r="E1585">
        <f>1</f>
        <v>1</v>
      </c>
      <c r="F1585" t="str">
        <f>TRIM('Tabela Federal'!$D1585)</f>
        <v>VACINA CONTRA COLERA</v>
      </c>
    </row>
    <row r="1586" spans="4:6" x14ac:dyDescent="0.25">
      <c r="D1586" t="s">
        <v>4264</v>
      </c>
      <c r="E1586">
        <f>1</f>
        <v>1</v>
      </c>
      <c r="F1586" t="str">
        <f>TRIM('Tabela Federal'!$D1586)</f>
        <v>VACINA CONTRA COQUELUCHE, TETANO E DIFTERIA CONJUGADA COM HAEMOPHILUS INFLUENZAE TIPO B</v>
      </c>
    </row>
    <row r="1587" spans="4:6" x14ac:dyDescent="0.25">
      <c r="D1587" t="s">
        <v>4265</v>
      </c>
      <c r="E1587">
        <f>1</f>
        <v>1</v>
      </c>
      <c r="F1587" t="str">
        <f>TRIM('Tabela Federal'!$D1587)</f>
        <v>VACINA CONTRA DIFTERIA E TETANO</v>
      </c>
    </row>
    <row r="1588" spans="4:6" x14ac:dyDescent="0.25">
      <c r="D1588" t="s">
        <v>4266</v>
      </c>
      <c r="E1588">
        <f>1</f>
        <v>1</v>
      </c>
      <c r="F1588" t="str">
        <f>TRIM('Tabela Federal'!$D1588)</f>
        <v>VACINA CONTRA DIFTERIA, TETANO E COQUELUCHE</v>
      </c>
    </row>
    <row r="1589" spans="4:6" x14ac:dyDescent="0.25">
      <c r="D1589" t="s">
        <v>4074</v>
      </c>
      <c r="E1589">
        <f>1</f>
        <v>1</v>
      </c>
      <c r="F1589" t="str">
        <f>TRIM('Tabela Federal'!$D1589)</f>
        <v>VACINA CONTRA FEBRE AMARELA</v>
      </c>
    </row>
    <row r="1590" spans="4:6" x14ac:dyDescent="0.25">
      <c r="D1590" t="s">
        <v>4618</v>
      </c>
      <c r="E1590">
        <f>1</f>
        <v>1</v>
      </c>
      <c r="F1590" t="str">
        <f>TRIM('Tabela Federal'!$D1590)</f>
        <v>VACINA CONTRA FEBRE TIFOIDE</v>
      </c>
    </row>
    <row r="1591" spans="4:6" x14ac:dyDescent="0.25">
      <c r="D1591" t="s">
        <v>4075</v>
      </c>
      <c r="E1591">
        <f>1</f>
        <v>1</v>
      </c>
      <c r="F1591" t="str">
        <f>TRIM('Tabela Federal'!$D1591)</f>
        <v>VACINA CONTRA GRIPE</v>
      </c>
    </row>
    <row r="1592" spans="4:6" x14ac:dyDescent="0.25">
      <c r="D1592" t="s">
        <v>4619</v>
      </c>
      <c r="E1592">
        <f>1</f>
        <v>1</v>
      </c>
      <c r="F1592" t="str">
        <f>TRIM('Tabela Federal'!$D1592)</f>
        <v>VACINA CONTRA GRIPE, TETANO E MENINGITE</v>
      </c>
    </row>
    <row r="1593" spans="4:6" x14ac:dyDescent="0.25">
      <c r="D1593" t="s">
        <v>4076</v>
      </c>
      <c r="E1593">
        <f>1</f>
        <v>1</v>
      </c>
      <c r="F1593" t="str">
        <f>TRIM('Tabela Federal'!$D1593)</f>
        <v>VACINA CONTRA HAEMOPHILUS INFLUENZAE TIPO B</v>
      </c>
    </row>
    <row r="1594" spans="4:6" x14ac:dyDescent="0.25">
      <c r="D1594" t="s">
        <v>4077</v>
      </c>
      <c r="E1594">
        <f>1</f>
        <v>1</v>
      </c>
      <c r="F1594" t="str">
        <f>TRIM('Tabela Federal'!$D1594)</f>
        <v>VACINA CONTRA HAEMOPHYLUS INFLUENZAE TIPO A</v>
      </c>
    </row>
    <row r="1595" spans="4:6" x14ac:dyDescent="0.25">
      <c r="D1595" t="s">
        <v>4078</v>
      </c>
      <c r="E1595">
        <f>1</f>
        <v>1</v>
      </c>
      <c r="F1595" t="str">
        <f>TRIM('Tabela Federal'!$D1595)</f>
        <v>VACINA CONTRA HEPATITE A</v>
      </c>
    </row>
    <row r="1596" spans="4:6" x14ac:dyDescent="0.25">
      <c r="D1596" t="s">
        <v>4079</v>
      </c>
      <c r="E1596">
        <f>1</f>
        <v>1</v>
      </c>
      <c r="F1596" t="str">
        <f>TRIM('Tabela Federal'!$D1596)</f>
        <v>VACINA CONTRA HEPATITE B</v>
      </c>
    </row>
    <row r="1597" spans="4:6" x14ac:dyDescent="0.25">
      <c r="D1597" t="s">
        <v>4080</v>
      </c>
      <c r="E1597">
        <f>1</f>
        <v>1</v>
      </c>
      <c r="F1597" t="str">
        <f>TRIM('Tabela Federal'!$D1597)</f>
        <v>VACINA CONTRA MENINGITE A</v>
      </c>
    </row>
    <row r="1598" spans="4:6" x14ac:dyDescent="0.25">
      <c r="D1598" t="s">
        <v>4081</v>
      </c>
      <c r="E1598">
        <f>1</f>
        <v>1</v>
      </c>
      <c r="F1598" t="str">
        <f>TRIM('Tabela Federal'!$D1598)</f>
        <v>VACINA CONTRA MENINGITE A E C</v>
      </c>
    </row>
    <row r="1599" spans="4:6" x14ac:dyDescent="0.25">
      <c r="D1599" t="s">
        <v>4082</v>
      </c>
      <c r="E1599">
        <f>1</f>
        <v>1</v>
      </c>
      <c r="F1599" t="str">
        <f>TRIM('Tabela Federal'!$D1599)</f>
        <v>VACINA CONTRA MENINGITE A, C E Y</v>
      </c>
    </row>
    <row r="1600" spans="4:6" x14ac:dyDescent="0.25">
      <c r="D1600" t="s">
        <v>4083</v>
      </c>
      <c r="E1600">
        <f>1</f>
        <v>1</v>
      </c>
      <c r="F1600" t="str">
        <f>TRIM('Tabela Federal'!$D1600)</f>
        <v>VACINA CONTRA MENINGITE B E C</v>
      </c>
    </row>
    <row r="1601" spans="4:6" x14ac:dyDescent="0.25">
      <c r="D1601" t="s">
        <v>4084</v>
      </c>
      <c r="E1601">
        <f>1</f>
        <v>1</v>
      </c>
      <c r="F1601" t="str">
        <f>TRIM('Tabela Federal'!$D1601)</f>
        <v>VACINA CONTRA MENINGITE C</v>
      </c>
    </row>
    <row r="1602" spans="4:6" x14ac:dyDescent="0.25">
      <c r="D1602" t="s">
        <v>4085</v>
      </c>
      <c r="E1602">
        <f>1</f>
        <v>1</v>
      </c>
      <c r="F1602" t="str">
        <f>TRIM('Tabela Federal'!$D1602)</f>
        <v>VACINA CONTRA PNEUMOCOCOS</v>
      </c>
    </row>
    <row r="1603" spans="4:6" x14ac:dyDescent="0.25">
      <c r="D1603" t="s">
        <v>4620</v>
      </c>
      <c r="E1603">
        <f>1</f>
        <v>1</v>
      </c>
      <c r="F1603" t="str">
        <f>TRIM('Tabela Federal'!$D1603)</f>
        <v>VACINA CONTRA PNEUMONIA</v>
      </c>
    </row>
    <row r="1604" spans="4:6" x14ac:dyDescent="0.25">
      <c r="D1604" t="s">
        <v>4086</v>
      </c>
      <c r="E1604">
        <f>1</f>
        <v>1</v>
      </c>
      <c r="F1604" t="str">
        <f>TRIM('Tabela Federal'!$D1604)</f>
        <v>VACINA CONTRA POLIOMELITE ATENUADA</v>
      </c>
    </row>
    <row r="1605" spans="4:6" x14ac:dyDescent="0.25">
      <c r="D1605" t="s">
        <v>4087</v>
      </c>
      <c r="E1605">
        <f>1</f>
        <v>1</v>
      </c>
      <c r="F1605" t="str">
        <f>TRIM('Tabela Federal'!$D1605)</f>
        <v>VACINA CONTRA POLIOMELITE INATIVADA</v>
      </c>
    </row>
    <row r="1606" spans="4:6" x14ac:dyDescent="0.25">
      <c r="D1606" t="s">
        <v>4088</v>
      </c>
      <c r="E1606">
        <f>1</f>
        <v>1</v>
      </c>
      <c r="F1606" t="str">
        <f>TRIM('Tabela Federal'!$D1606)</f>
        <v>VACINA CONTRA RAIVA</v>
      </c>
    </row>
    <row r="1607" spans="4:6" x14ac:dyDescent="0.25">
      <c r="D1607" t="s">
        <v>4267</v>
      </c>
      <c r="E1607">
        <f>1</f>
        <v>1</v>
      </c>
      <c r="F1607" t="str">
        <f>TRIM('Tabela Federal'!$D1607)</f>
        <v>VACINA CONTRA RUBEOLA</v>
      </c>
    </row>
    <row r="1608" spans="4:6" x14ac:dyDescent="0.25">
      <c r="D1608" t="s">
        <v>4268</v>
      </c>
      <c r="E1608">
        <f>1</f>
        <v>1</v>
      </c>
      <c r="F1608" t="str">
        <f>TRIM('Tabela Federal'!$D1608)</f>
        <v>VACINA CONTRA RUBEOLA, SARAMPO E CAXUMBA</v>
      </c>
    </row>
    <row r="1609" spans="4:6" x14ac:dyDescent="0.25">
      <c r="D1609" t="s">
        <v>4089</v>
      </c>
      <c r="E1609">
        <f>1</f>
        <v>1</v>
      </c>
      <c r="F1609" t="str">
        <f>TRIM('Tabela Federal'!$D1609)</f>
        <v>VACINA CONTRA SARAMPO</v>
      </c>
    </row>
    <row r="1610" spans="4:6" x14ac:dyDescent="0.25">
      <c r="D1610" t="s">
        <v>4269</v>
      </c>
      <c r="E1610">
        <f>1</f>
        <v>1</v>
      </c>
      <c r="F1610" t="str">
        <f>TRIM('Tabela Federal'!$D1610)</f>
        <v>VACINA CONTRA SARAMPO E RUBEOLA</v>
      </c>
    </row>
    <row r="1611" spans="4:6" x14ac:dyDescent="0.25">
      <c r="D1611" t="s">
        <v>4090</v>
      </c>
      <c r="E1611">
        <f>1</f>
        <v>1</v>
      </c>
      <c r="F1611" t="str">
        <f>TRIM('Tabela Federal'!$D1611)</f>
        <v>VACINA CONTRA VARICELA</v>
      </c>
    </row>
    <row r="1612" spans="4:6" x14ac:dyDescent="0.25">
      <c r="D1612" t="s">
        <v>4621</v>
      </c>
      <c r="E1612">
        <f>1</f>
        <v>1</v>
      </c>
      <c r="F1612" t="str">
        <f>TRIM('Tabela Federal'!$D1612)</f>
        <v>VACINA CONTRA VARICELA ZOSTER</v>
      </c>
    </row>
    <row r="1613" spans="4:6" x14ac:dyDescent="0.25">
      <c r="D1613" t="s">
        <v>4324</v>
      </c>
      <c r="E1613">
        <f>1</f>
        <v>1</v>
      </c>
      <c r="F1613" t="str">
        <f>TRIM('Tabela Federal'!$D1613)</f>
        <v>VACINA CONTRA VARIOLA</v>
      </c>
    </row>
    <row r="1614" spans="4:6" x14ac:dyDescent="0.25">
      <c r="D1614" t="s">
        <v>4325</v>
      </c>
      <c r="E1614">
        <f>1</f>
        <v>1</v>
      </c>
      <c r="F1614" t="str">
        <f>TRIM('Tabela Federal'!$D1614)</f>
        <v>VACINA DE ROTAVIRUS</v>
      </c>
    </row>
    <row r="1615" spans="4:6" x14ac:dyDescent="0.25">
      <c r="D1615" t="s">
        <v>4452</v>
      </c>
      <c r="E1615">
        <f>1</f>
        <v>1</v>
      </c>
      <c r="F1615" t="str">
        <f>TRIM('Tabela Federal'!$D1615)</f>
        <v>VACINA MENINGOGOCICA CONJUGADA DO GRUPO C</v>
      </c>
    </row>
    <row r="1616" spans="4:6" x14ac:dyDescent="0.25">
      <c r="D1616" t="s">
        <v>4453</v>
      </c>
      <c r="E1616">
        <f>1</f>
        <v>1</v>
      </c>
      <c r="F1616" t="str">
        <f>TRIM('Tabela Federal'!$D1616)</f>
        <v>VACINA PNEUMOCOCICA 7-VALENTE CONJUGADA COM PROTEINA DIFTERICA</v>
      </c>
    </row>
    <row r="1617" spans="4:6" x14ac:dyDescent="0.25">
      <c r="D1617" t="s">
        <v>4270</v>
      </c>
      <c r="E1617">
        <f>1</f>
        <v>1</v>
      </c>
      <c r="F1617" t="str">
        <f>TRIM('Tabela Federal'!$D1617)</f>
        <v>VACINA QUADRIVALENTE CONTRA SARAMPO, CAXUMBA, RUBEOLA E VARICELA</v>
      </c>
    </row>
    <row r="1618" spans="4:6" x14ac:dyDescent="0.25">
      <c r="D1618" t="s">
        <v>4091</v>
      </c>
      <c r="E1618">
        <f>1</f>
        <v>1</v>
      </c>
      <c r="F1618" t="str">
        <f>TRIM('Tabela Federal'!$D1618)</f>
        <v>VACINA QUADRIVALENTE RECOMBINANTE CONTRA PAPILOMA VIRUS HUMANO</v>
      </c>
    </row>
    <row r="1619" spans="4:6" x14ac:dyDescent="0.25">
      <c r="D1619" t="s">
        <v>4326</v>
      </c>
      <c r="E1619">
        <f>1</f>
        <v>1</v>
      </c>
      <c r="F1619" t="str">
        <f>TRIM('Tabela Federal'!$D1619)</f>
        <v>VACINA TERAPEUTICA CONTRA HERPESVIRUS TIPO I</v>
      </c>
    </row>
    <row r="1620" spans="4:6" x14ac:dyDescent="0.25">
      <c r="D1620" t="s">
        <v>4327</v>
      </c>
      <c r="E1620">
        <f>1</f>
        <v>1</v>
      </c>
      <c r="F1620" t="str">
        <f>TRIM('Tabela Federal'!$D1620)</f>
        <v>VACINA TERAPEUTICA CONTRA HERPESVIRUS TIPO II</v>
      </c>
    </row>
    <row r="1621" spans="4:6" x14ac:dyDescent="0.25">
      <c r="D1621" t="s">
        <v>4271</v>
      </c>
      <c r="E1621">
        <f>1</f>
        <v>1</v>
      </c>
      <c r="F1621" t="str">
        <f>TRIM('Tabela Federal'!$D1621)</f>
        <v>VACINA TERAPEUTICA CONTRA LEISHMANIOSE</v>
      </c>
    </row>
    <row r="1622" spans="4:6" x14ac:dyDescent="0.25">
      <c r="D1622" t="s">
        <v>4092</v>
      </c>
      <c r="E1622">
        <f>1</f>
        <v>1</v>
      </c>
      <c r="F1622" t="str">
        <f>TRIM('Tabela Federal'!$D1622)</f>
        <v>VALACICLOVIR</v>
      </c>
    </row>
    <row r="1623" spans="4:6" x14ac:dyDescent="0.25">
      <c r="D1623" t="s">
        <v>4093</v>
      </c>
      <c r="E1623">
        <f>1</f>
        <v>1</v>
      </c>
      <c r="F1623" t="str">
        <f>TRIM('Tabela Federal'!$D1623)</f>
        <v>VALDECOXIBE</v>
      </c>
    </row>
    <row r="1624" spans="4:6" x14ac:dyDescent="0.25">
      <c r="D1624" t="s">
        <v>4094</v>
      </c>
      <c r="E1624">
        <f>1</f>
        <v>1</v>
      </c>
      <c r="F1624" t="str">
        <f>TRIM('Tabela Federal'!$D1624)</f>
        <v>VALERATO DE ESTRADIOL</v>
      </c>
    </row>
    <row r="1625" spans="4:6" x14ac:dyDescent="0.25">
      <c r="D1625" t="s">
        <v>4095</v>
      </c>
      <c r="E1625">
        <f>1</f>
        <v>1</v>
      </c>
      <c r="F1625" t="str">
        <f>TRIM('Tabela Federal'!$D1625)</f>
        <v>VALGANCICLOVIR</v>
      </c>
    </row>
    <row r="1626" spans="4:6" x14ac:dyDescent="0.25">
      <c r="D1626" t="s">
        <v>4454</v>
      </c>
      <c r="E1626">
        <f>1</f>
        <v>1</v>
      </c>
      <c r="F1626" t="str">
        <f>TRIM('Tabela Federal'!$D1626)</f>
        <v>VALPROATO DE SODIO</v>
      </c>
    </row>
    <row r="1627" spans="4:6" x14ac:dyDescent="0.25">
      <c r="D1627" t="s">
        <v>4096</v>
      </c>
      <c r="E1627">
        <f>1</f>
        <v>1</v>
      </c>
      <c r="F1627" t="str">
        <f>TRIM('Tabela Federal'!$D1627)</f>
        <v>VALSARTANA</v>
      </c>
    </row>
    <row r="1628" spans="4:6" x14ac:dyDescent="0.25">
      <c r="D1628" t="s">
        <v>4622</v>
      </c>
      <c r="E1628">
        <f>1</f>
        <v>1</v>
      </c>
      <c r="F1628" t="str">
        <f>TRIM('Tabela Federal'!$D1628)</f>
        <v>VANCOMICINA</v>
      </c>
    </row>
    <row r="1629" spans="4:6" x14ac:dyDescent="0.25">
      <c r="D1629" t="s">
        <v>4623</v>
      </c>
      <c r="E1629">
        <f>1</f>
        <v>1</v>
      </c>
      <c r="F1629" t="str">
        <f>TRIM('Tabela Federal'!$D1629)</f>
        <v>VANDETANIBE</v>
      </c>
    </row>
    <row r="1630" spans="4:6" x14ac:dyDescent="0.25">
      <c r="D1630" t="s">
        <v>4097</v>
      </c>
      <c r="E1630">
        <f>1</f>
        <v>1</v>
      </c>
      <c r="F1630" t="str">
        <f>TRIM('Tabela Federal'!$D1630)</f>
        <v>VARENICLINA</v>
      </c>
    </row>
    <row r="1631" spans="4:6" x14ac:dyDescent="0.25">
      <c r="D1631" t="s">
        <v>4455</v>
      </c>
      <c r="E1631">
        <f>1</f>
        <v>1</v>
      </c>
      <c r="F1631" t="str">
        <f>TRIM('Tabela Federal'!$D1631)</f>
        <v>VARFARINA SODICA</v>
      </c>
    </row>
    <row r="1632" spans="4:6" x14ac:dyDescent="0.25">
      <c r="D1632" t="s">
        <v>4098</v>
      </c>
      <c r="E1632">
        <f>1</f>
        <v>1</v>
      </c>
      <c r="F1632" t="str">
        <f>TRIM('Tabela Federal'!$D1632)</f>
        <v>VERTEPORFINA</v>
      </c>
    </row>
    <row r="1633" spans="4:6" x14ac:dyDescent="0.25">
      <c r="D1633" t="s">
        <v>4624</v>
      </c>
      <c r="E1633">
        <f>1</f>
        <v>1</v>
      </c>
      <c r="F1633" t="str">
        <f>TRIM('Tabela Federal'!$D1633)</f>
        <v>VICVIROC</v>
      </c>
    </row>
    <row r="1634" spans="4:6" x14ac:dyDescent="0.25">
      <c r="D1634" t="s">
        <v>4099</v>
      </c>
      <c r="E1634">
        <f>1</f>
        <v>1</v>
      </c>
      <c r="F1634" t="str">
        <f>TRIM('Tabela Federal'!$D1634)</f>
        <v>VIGABATRINA</v>
      </c>
    </row>
    <row r="1635" spans="4:6" x14ac:dyDescent="0.25">
      <c r="D1635" t="s">
        <v>4100</v>
      </c>
      <c r="E1635">
        <f>1</f>
        <v>1</v>
      </c>
      <c r="F1635" t="str">
        <f>TRIM('Tabela Federal'!$D1635)</f>
        <v>VILDAGLIPTINA</v>
      </c>
    </row>
    <row r="1636" spans="4:6" x14ac:dyDescent="0.25">
      <c r="D1636" t="s">
        <v>2704</v>
      </c>
      <c r="E1636">
        <f>1</f>
        <v>1</v>
      </c>
      <c r="F1636" t="str">
        <f>TRIM('Tabela Federal'!$D1636)</f>
        <v>VIMPOCETINA</v>
      </c>
    </row>
    <row r="1637" spans="4:6" x14ac:dyDescent="0.25">
      <c r="D1637" t="s">
        <v>4101</v>
      </c>
      <c r="E1637">
        <f>1</f>
        <v>1</v>
      </c>
      <c r="F1637" t="str">
        <f>TRIM('Tabela Federal'!$D1637)</f>
        <v>VINCAMINA</v>
      </c>
    </row>
    <row r="1638" spans="4:6" x14ac:dyDescent="0.25">
      <c r="D1638" t="s">
        <v>4102</v>
      </c>
      <c r="E1638">
        <f>1</f>
        <v>1</v>
      </c>
      <c r="F1638" t="str">
        <f>TRIM('Tabela Federal'!$D1638)</f>
        <v>VORICONAZOL</v>
      </c>
    </row>
    <row r="1639" spans="4:6" x14ac:dyDescent="0.25">
      <c r="D1639" t="s">
        <v>4103</v>
      </c>
      <c r="E1639">
        <f>1</f>
        <v>1</v>
      </c>
      <c r="F1639" t="str">
        <f>TRIM('Tabela Federal'!$D1639)</f>
        <v>XIMELAGATRANA</v>
      </c>
    </row>
    <row r="1640" spans="4:6" x14ac:dyDescent="0.25">
      <c r="D1640" t="s">
        <v>4104</v>
      </c>
      <c r="E1640">
        <f>1</f>
        <v>1</v>
      </c>
      <c r="F1640" t="str">
        <f>TRIM('Tabela Federal'!$D1640)</f>
        <v>XINAFOATO DE SALMETEROL</v>
      </c>
    </row>
    <row r="1641" spans="4:6" x14ac:dyDescent="0.25">
      <c r="D1641" t="s">
        <v>4105</v>
      </c>
      <c r="E1641">
        <f>1</f>
        <v>1</v>
      </c>
      <c r="F1641" t="str">
        <f>TRIM('Tabela Federal'!$D1641)</f>
        <v>ZAFIRLUCASTE</v>
      </c>
    </row>
    <row r="1642" spans="4:6" x14ac:dyDescent="0.25">
      <c r="D1642" t="s">
        <v>4106</v>
      </c>
      <c r="E1642">
        <f>1</f>
        <v>1</v>
      </c>
      <c r="F1642" t="str">
        <f>TRIM('Tabela Federal'!$D1642)</f>
        <v>ZALCITABINA</v>
      </c>
    </row>
    <row r="1643" spans="4:6" x14ac:dyDescent="0.25">
      <c r="D1643" t="s">
        <v>4625</v>
      </c>
      <c r="E1643">
        <f>1</f>
        <v>1</v>
      </c>
      <c r="F1643" t="str">
        <f>TRIM('Tabela Federal'!$D1643)</f>
        <v>ZANAMIVIR</v>
      </c>
    </row>
    <row r="1644" spans="4:6" x14ac:dyDescent="0.25">
      <c r="D1644" t="s">
        <v>4626</v>
      </c>
      <c r="E1644">
        <f>1</f>
        <v>1</v>
      </c>
      <c r="F1644" t="str">
        <f>TRIM('Tabela Federal'!$D1644)</f>
        <v>ZIBOTENTANA</v>
      </c>
    </row>
    <row r="1645" spans="4:6" x14ac:dyDescent="0.25">
      <c r="D1645" t="s">
        <v>4107</v>
      </c>
      <c r="E1645">
        <f>1</f>
        <v>1</v>
      </c>
      <c r="F1645" t="str">
        <f>TRIM('Tabela Federal'!$D1645)</f>
        <v>ZIDOVUDINA</v>
      </c>
    </row>
    <row r="1646" spans="4:6" x14ac:dyDescent="0.25">
      <c r="D1646" t="s">
        <v>4108</v>
      </c>
      <c r="E1646">
        <f>1</f>
        <v>1</v>
      </c>
      <c r="F1646" t="str">
        <f>TRIM('Tabela Federal'!$D1646)</f>
        <v>ZOLMITRIPTANA</v>
      </c>
    </row>
    <row r="1647" spans="4:6" x14ac:dyDescent="0.25">
      <c r="D1647" t="s">
        <v>4109</v>
      </c>
      <c r="E1647">
        <f>1</f>
        <v>1</v>
      </c>
      <c r="F1647" t="str">
        <f>TRIM('Tabela Federal'!$D1647)</f>
        <v>ZOPICLONA</v>
      </c>
    </row>
    <row r="1648" spans="4:6" x14ac:dyDescent="0.25">
      <c r="D1648" t="s">
        <v>4627</v>
      </c>
      <c r="E1648">
        <f>1</f>
        <v>1</v>
      </c>
      <c r="F1648" t="str">
        <f>TRIM('Tabela Federal'!$D1648)</f>
        <v>ZUCLOPENTIXOL</v>
      </c>
    </row>
    <row r="1649" spans="4:6" x14ac:dyDescent="0.25">
      <c r="D1649" t="s">
        <v>2780</v>
      </c>
      <c r="E1649">
        <f>1</f>
        <v>1</v>
      </c>
      <c r="F1649" t="str">
        <f>TRIM('Tabela Federal'!$D1649)</f>
        <v>CINARIZINA</v>
      </c>
    </row>
    <row r="1650" spans="4:6" x14ac:dyDescent="0.25">
      <c r="D1650" t="s">
        <v>4394</v>
      </c>
      <c r="E1650">
        <f>1</f>
        <v>1</v>
      </c>
      <c r="F1650" t="str">
        <f>TRIM('Tabela Federal'!$D1650)</f>
        <v>FOSFATO DISSODICO DE BETAMETASONA</v>
      </c>
    </row>
    <row r="1651" spans="4:6" x14ac:dyDescent="0.25">
      <c r="D1651" t="s">
        <v>3182</v>
      </c>
      <c r="E1651">
        <f>1</f>
        <v>1</v>
      </c>
      <c r="F1651" t="str">
        <f>TRIM('Tabela Federal'!$D1651)</f>
        <v>ETINILESTRADIOL</v>
      </c>
    </row>
    <row r="1652" spans="4:6" x14ac:dyDescent="0.25">
      <c r="D1652" t="s">
        <v>4094</v>
      </c>
      <c r="E1652">
        <f>1</f>
        <v>1</v>
      </c>
      <c r="F1652" t="str">
        <f>TRIM('Tabela Federal'!$D1652)</f>
        <v>VALERATO DE ESTRADIOL</v>
      </c>
    </row>
    <row r="1653" spans="4:6" x14ac:dyDescent="0.25">
      <c r="D1653" t="s">
        <v>3182</v>
      </c>
      <c r="E1653">
        <f>1</f>
        <v>1</v>
      </c>
      <c r="F1653" t="str">
        <f>TRIM('Tabela Federal'!$D1653)</f>
        <v>ETINILESTRADIOL</v>
      </c>
    </row>
    <row r="1654" spans="4:6" x14ac:dyDescent="0.25">
      <c r="D1654" t="s">
        <v>4110</v>
      </c>
      <c r="E1654">
        <f>1</f>
        <v>1</v>
      </c>
      <c r="F1654" t="str">
        <f>TRIM('Tabela Federal'!$D1654)</f>
        <v>CLORIDRATO DE CLORTETRACICLINA</v>
      </c>
    </row>
    <row r="1655" spans="4:6" x14ac:dyDescent="0.25">
      <c r="D1655" t="s">
        <v>3364</v>
      </c>
      <c r="E1655">
        <f>1</f>
        <v>1</v>
      </c>
      <c r="F1655" t="str">
        <f>TRIM('Tabela Federal'!$D1655)</f>
        <v>CIANOCOBALAMINA</v>
      </c>
    </row>
    <row r="1656" spans="4:6" x14ac:dyDescent="0.25">
      <c r="D1656" t="s">
        <v>4395</v>
      </c>
      <c r="E1656">
        <f>1</f>
        <v>1</v>
      </c>
      <c r="F1656" t="str">
        <f>TRIM('Tabela Federal'!$D1656)</f>
        <v>FOSFATO DISSODICO DE DEXAMETASONA</v>
      </c>
    </row>
    <row r="1657" spans="4:6" x14ac:dyDescent="0.25">
      <c r="D1657" t="s">
        <v>4295</v>
      </c>
      <c r="E1657">
        <f>1</f>
        <v>1</v>
      </c>
      <c r="F1657" t="str">
        <f>TRIM('Tabela Federal'!$D1657)</f>
        <v>CLORIDRATO DE LIDOCAINA</v>
      </c>
    </row>
    <row r="1658" spans="4:6" x14ac:dyDescent="0.25">
      <c r="D1658" t="s">
        <v>4295</v>
      </c>
      <c r="E1658">
        <f>1</f>
        <v>1</v>
      </c>
      <c r="F1658" t="str">
        <f>TRIM('Tabela Federal'!$D1658)</f>
        <v>CLORIDRATO DE LIDOCAINA</v>
      </c>
    </row>
    <row r="1659" spans="4:6" x14ac:dyDescent="0.25">
      <c r="D1659" t="s">
        <v>4111</v>
      </c>
      <c r="E1659">
        <f>1</f>
        <v>1</v>
      </c>
      <c r="F1659" t="str">
        <f>TRIM('Tabela Federal'!$D1659)</f>
        <v>CIPIONATO DE ESTRADIOL</v>
      </c>
    </row>
    <row r="1660" spans="4:6" x14ac:dyDescent="0.25">
      <c r="D1660" t="s">
        <v>4250</v>
      </c>
      <c r="E1660">
        <f>1</f>
        <v>1</v>
      </c>
      <c r="F1660" t="str">
        <f>TRIM('Tabela Federal'!$D1660)</f>
        <v>ESTROGENIOS CONJUGADOS</v>
      </c>
    </row>
    <row r="1661" spans="4:6" x14ac:dyDescent="0.25">
      <c r="D1661" t="s">
        <v>4094</v>
      </c>
      <c r="E1661">
        <f>1</f>
        <v>1</v>
      </c>
      <c r="F1661" t="str">
        <f>TRIM('Tabela Federal'!$D1661)</f>
        <v>VALERATO DE ESTRADIOL</v>
      </c>
    </row>
    <row r="1662" spans="4:6" x14ac:dyDescent="0.25">
      <c r="D1662" t="s">
        <v>2659</v>
      </c>
      <c r="E1662">
        <f>1</f>
        <v>1</v>
      </c>
      <c r="F1662" t="str">
        <f>TRIM('Tabela Federal'!$D1662)</f>
        <v>ESTRADIOL</v>
      </c>
    </row>
    <row r="1663" spans="4:6" x14ac:dyDescent="0.25">
      <c r="D1663" t="s">
        <v>4112</v>
      </c>
      <c r="E1663">
        <f>1</f>
        <v>1</v>
      </c>
      <c r="F1663" t="str">
        <f>TRIM('Tabela Federal'!$D1663)</f>
        <v>ESTRADIOL HEMIIDRATADO</v>
      </c>
    </row>
    <row r="1664" spans="4:6" x14ac:dyDescent="0.25">
      <c r="D1664" t="s">
        <v>3182</v>
      </c>
      <c r="E1664">
        <f>1</f>
        <v>1</v>
      </c>
      <c r="F1664" t="str">
        <f>TRIM('Tabela Federal'!$D1664)</f>
        <v>ETINILESTRADIOL</v>
      </c>
    </row>
    <row r="1665" spans="4:6" x14ac:dyDescent="0.25">
      <c r="D1665" t="s">
        <v>3672</v>
      </c>
      <c r="E1665">
        <f>1</f>
        <v>1</v>
      </c>
      <c r="F1665" t="str">
        <f>TRIM('Tabela Federal'!$D1665)</f>
        <v>GATIFLOXACINO</v>
      </c>
    </row>
    <row r="1666" spans="4:6" x14ac:dyDescent="0.25">
      <c r="D1666" t="s">
        <v>4113</v>
      </c>
      <c r="E1666">
        <f>1</f>
        <v>1</v>
      </c>
      <c r="F1666" t="str">
        <f>TRIM('Tabela Federal'!$D1666)</f>
        <v>HIPROMELOSE</v>
      </c>
    </row>
    <row r="1667" spans="4:6" x14ac:dyDescent="0.25">
      <c r="D1667" t="s">
        <v>4456</v>
      </c>
      <c r="E1667">
        <f>1</f>
        <v>1</v>
      </c>
      <c r="F1667" t="str">
        <f>TRIM('Tabela Federal'!$D1667)</f>
        <v>SULFACETAMIDA SODICA</v>
      </c>
    </row>
    <row r="1668" spans="4:6" x14ac:dyDescent="0.25">
      <c r="D1668" t="s">
        <v>3999</v>
      </c>
      <c r="E1668">
        <f>1</f>
        <v>1</v>
      </c>
      <c r="F1668" t="str">
        <f>TRIM('Tabela Federal'!$D1668)</f>
        <v>SULFATO DE NEOMICINA</v>
      </c>
    </row>
    <row r="1669" spans="4:6" x14ac:dyDescent="0.25">
      <c r="D1669" t="s">
        <v>3322</v>
      </c>
      <c r="E1669">
        <f>1</f>
        <v>1</v>
      </c>
      <c r="F1669" t="str">
        <f>TRIM('Tabela Federal'!$D1669)</f>
        <v>BISSULFATO DE CLOPIDOGREL</v>
      </c>
    </row>
    <row r="1670" spans="4:6" x14ac:dyDescent="0.25">
      <c r="D1670" t="s">
        <v>3843</v>
      </c>
      <c r="E1670">
        <f>1</f>
        <v>1</v>
      </c>
      <c r="F1670" t="str">
        <f>TRIM('Tabela Federal'!$D1670)</f>
        <v>MONONITRATO DE ISOSSORBIDA</v>
      </c>
    </row>
    <row r="1671" spans="4:6" x14ac:dyDescent="0.25">
      <c r="D1671" t="s">
        <v>3858</v>
      </c>
      <c r="E1671">
        <f>1</f>
        <v>1</v>
      </c>
      <c r="F1671" t="str">
        <f>TRIM('Tabela Federal'!$D1671)</f>
        <v>NIFEDIPINO</v>
      </c>
    </row>
    <row r="1672" spans="4:6" x14ac:dyDescent="0.25">
      <c r="D1672" t="s">
        <v>2693</v>
      </c>
      <c r="E1672">
        <f>1</f>
        <v>1</v>
      </c>
      <c r="F1672" t="str">
        <f>TRIM('Tabela Federal'!$D1672)</f>
        <v>SINVASTATINA</v>
      </c>
    </row>
    <row r="1673" spans="4:6" x14ac:dyDescent="0.25">
      <c r="D1673" t="s">
        <v>4328</v>
      </c>
      <c r="E1673">
        <f>1</f>
        <v>1</v>
      </c>
      <c r="F1673" t="str">
        <f>TRIM('Tabela Federal'!$D1673)</f>
        <v>ANTIGENOS BACTERIANOS</v>
      </c>
    </row>
    <row r="1674" spans="4:6" x14ac:dyDescent="0.25">
      <c r="D1674" t="s">
        <v>4329</v>
      </c>
      <c r="E1674">
        <f>1</f>
        <v>1</v>
      </c>
      <c r="F1674" t="str">
        <f>TRIM('Tabela Federal'!$D1674)</f>
        <v>ACIDO SALICILICO</v>
      </c>
    </row>
    <row r="1675" spans="4:6" x14ac:dyDescent="0.25">
      <c r="D1675" t="s">
        <v>4329</v>
      </c>
      <c r="E1675">
        <f>1</f>
        <v>1</v>
      </c>
      <c r="F1675" t="str">
        <f>TRIM('Tabela Federal'!$D1675)</f>
        <v>ACIDO SALICILICO</v>
      </c>
    </row>
    <row r="1676" spans="4:6" x14ac:dyDescent="0.25">
      <c r="D1676" t="s">
        <v>3196</v>
      </c>
      <c r="E1676">
        <f>1</f>
        <v>1</v>
      </c>
      <c r="F1676" t="str">
        <f>TRIM('Tabela Federal'!$D1676)</f>
        <v>CLORANFENICOL</v>
      </c>
    </row>
    <row r="1677" spans="4:6" x14ac:dyDescent="0.25">
      <c r="D1677" t="s">
        <v>4114</v>
      </c>
      <c r="E1677">
        <f>1</f>
        <v>1</v>
      </c>
      <c r="F1677" t="str">
        <f>TRIM('Tabela Federal'!$D1677)</f>
        <v>CELULASE</v>
      </c>
    </row>
    <row r="1678" spans="4:6" x14ac:dyDescent="0.25">
      <c r="D1678" t="s">
        <v>4628</v>
      </c>
      <c r="E1678">
        <f>1</f>
        <v>1</v>
      </c>
      <c r="F1678" t="str">
        <f>TRIM('Tabela Federal'!$D1678)</f>
        <v>ROSUVASTATINA CALCIA</v>
      </c>
    </row>
    <row r="1679" spans="4:6" x14ac:dyDescent="0.25">
      <c r="D1679" t="s">
        <v>4629</v>
      </c>
      <c r="E1679">
        <f>1</f>
        <v>1</v>
      </c>
      <c r="F1679" t="str">
        <f>TRIM('Tabela Federal'!$D1679)</f>
        <v>LAROPIPRANTO</v>
      </c>
    </row>
    <row r="1680" spans="4:6" x14ac:dyDescent="0.25">
      <c r="D1680" t="s">
        <v>3780</v>
      </c>
      <c r="E1680">
        <f>1</f>
        <v>1</v>
      </c>
      <c r="F1680" t="str">
        <f>TRIM('Tabela Federal'!$D1680)</f>
        <v>LOVASTATINA</v>
      </c>
    </row>
    <row r="1681" spans="4:6" x14ac:dyDescent="0.25">
      <c r="D1681" t="s">
        <v>4454</v>
      </c>
      <c r="E1681">
        <f>1</f>
        <v>1</v>
      </c>
      <c r="F1681" t="str">
        <f>TRIM('Tabela Federal'!$D1681)</f>
        <v>VALPROATO DE SODIO</v>
      </c>
    </row>
    <row r="1682" spans="4:6" x14ac:dyDescent="0.25">
      <c r="D1682" t="s">
        <v>3636</v>
      </c>
      <c r="E1682">
        <f>1</f>
        <v>1</v>
      </c>
      <c r="F1682" t="str">
        <f>TRIM('Tabela Federal'!$D1682)</f>
        <v>FLUORMETOLONA</v>
      </c>
    </row>
    <row r="1683" spans="4:6" x14ac:dyDescent="0.25">
      <c r="D1683" t="s">
        <v>4204</v>
      </c>
      <c r="E1683">
        <f>1</f>
        <v>1</v>
      </c>
      <c r="F1683" t="str">
        <f>TRIM('Tabela Federal'!$D1683)</f>
        <v>CARBONATO DE CALCIO</v>
      </c>
    </row>
    <row r="1684" spans="4:6" x14ac:dyDescent="0.25">
      <c r="D1684" t="s">
        <v>3524</v>
      </c>
      <c r="E1684">
        <f>1</f>
        <v>1</v>
      </c>
      <c r="F1684" t="str">
        <f>TRIM('Tabela Federal'!$D1684)</f>
        <v>COLECALCIFEROL</v>
      </c>
    </row>
    <row r="1685" spans="4:6" x14ac:dyDescent="0.25">
      <c r="D1685" t="s">
        <v>2630</v>
      </c>
      <c r="E1685">
        <f>1</f>
        <v>1</v>
      </c>
      <c r="F1685" t="str">
        <f>TRIM('Tabela Federal'!$D1685)</f>
        <v>BROMOPRIDA</v>
      </c>
    </row>
    <row r="1686" spans="4:6" x14ac:dyDescent="0.25">
      <c r="D1686" t="s">
        <v>4115</v>
      </c>
      <c r="E1686">
        <f>1</f>
        <v>1</v>
      </c>
      <c r="F1686" t="str">
        <f>TRIM('Tabela Federal'!$D1686)</f>
        <v>LIPASE</v>
      </c>
    </row>
    <row r="1687" spans="4:6" x14ac:dyDescent="0.25">
      <c r="D1687" t="s">
        <v>4116</v>
      </c>
      <c r="E1687">
        <f>1</f>
        <v>1</v>
      </c>
      <c r="F1687" t="str">
        <f>TRIM('Tabela Federal'!$D1687)</f>
        <v>PEPSINA</v>
      </c>
    </row>
    <row r="1688" spans="4:6" x14ac:dyDescent="0.25">
      <c r="D1688" t="s">
        <v>3943</v>
      </c>
      <c r="E1688">
        <f>1</f>
        <v>1</v>
      </c>
      <c r="F1688" t="str">
        <f>TRIM('Tabela Federal'!$D1688)</f>
        <v>RIBAVIRINA</v>
      </c>
    </row>
    <row r="1689" spans="4:6" x14ac:dyDescent="0.25">
      <c r="D1689" t="s">
        <v>3943</v>
      </c>
      <c r="E1689">
        <f>1</f>
        <v>1</v>
      </c>
      <c r="F1689" t="str">
        <f>TRIM('Tabela Federal'!$D1689)</f>
        <v>RIBAVIRINA</v>
      </c>
    </row>
    <row r="1690" spans="4:6" x14ac:dyDescent="0.25">
      <c r="D1690" t="s">
        <v>4117</v>
      </c>
      <c r="E1690">
        <f>1</f>
        <v>1</v>
      </c>
      <c r="F1690" t="str">
        <f>TRIM('Tabela Federal'!$D1690)</f>
        <v>ENANTATO DE ESTRADIOL</v>
      </c>
    </row>
    <row r="1691" spans="4:6" x14ac:dyDescent="0.25">
      <c r="D1691" t="s">
        <v>4118</v>
      </c>
      <c r="E1691">
        <f>1</f>
        <v>1</v>
      </c>
      <c r="F1691" t="str">
        <f>TRIM('Tabela Federal'!$D1691)</f>
        <v>CLORIDRATO DE ETAFEDRINA</v>
      </c>
    </row>
    <row r="1692" spans="4:6" x14ac:dyDescent="0.25">
      <c r="D1692" t="s">
        <v>4118</v>
      </c>
      <c r="E1692">
        <f>1</f>
        <v>1</v>
      </c>
      <c r="F1692" t="str">
        <f>TRIM('Tabela Federal'!$D1692)</f>
        <v>CLORIDRATO DE ETAFEDRINA</v>
      </c>
    </row>
    <row r="1693" spans="4:6" x14ac:dyDescent="0.25">
      <c r="D1693" t="s">
        <v>4118</v>
      </c>
      <c r="E1693">
        <f>1</f>
        <v>1</v>
      </c>
      <c r="F1693" t="str">
        <f>TRIM('Tabela Federal'!$D1693)</f>
        <v>CLORIDRATO DE ETAFEDRINA</v>
      </c>
    </row>
    <row r="1694" spans="4:6" x14ac:dyDescent="0.25">
      <c r="D1694" t="s">
        <v>3521</v>
      </c>
      <c r="E1694">
        <f>1</f>
        <v>1</v>
      </c>
      <c r="F1694" t="str">
        <f>TRIM('Tabela Federal'!$D1694)</f>
        <v>CLORTALIDONA</v>
      </c>
    </row>
    <row r="1695" spans="4:6" x14ac:dyDescent="0.25">
      <c r="D1695" t="s">
        <v>3380</v>
      </c>
      <c r="E1695">
        <f>1</f>
        <v>1</v>
      </c>
      <c r="F1695" t="str">
        <f>TRIM('Tabela Federal'!$D1695)</f>
        <v>CLARITROMICINA</v>
      </c>
    </row>
    <row r="1696" spans="4:6" x14ac:dyDescent="0.25">
      <c r="D1696" t="s">
        <v>3380</v>
      </c>
      <c r="E1696">
        <f>1</f>
        <v>1</v>
      </c>
      <c r="F1696" t="str">
        <f>TRIM('Tabela Federal'!$D1696)</f>
        <v>CLARITROMICINA</v>
      </c>
    </row>
    <row r="1697" spans="4:6" x14ac:dyDescent="0.25">
      <c r="D1697" t="s">
        <v>3380</v>
      </c>
      <c r="E1697">
        <f>1</f>
        <v>1</v>
      </c>
      <c r="F1697" t="str">
        <f>TRIM('Tabela Federal'!$D1697)</f>
        <v>CLARITROMICINA</v>
      </c>
    </row>
    <row r="1698" spans="4:6" x14ac:dyDescent="0.25">
      <c r="D1698" t="s">
        <v>4205</v>
      </c>
      <c r="E1698">
        <f>1</f>
        <v>1</v>
      </c>
      <c r="F1698" t="str">
        <f>TRIM('Tabela Federal'!$D1698)</f>
        <v>CLAVULANATO DE POTASSIO</v>
      </c>
    </row>
    <row r="1699" spans="4:6" x14ac:dyDescent="0.25">
      <c r="D1699" t="s">
        <v>2664</v>
      </c>
      <c r="E1699">
        <f>1</f>
        <v>1</v>
      </c>
      <c r="F1699" t="str">
        <f>TRIM('Tabela Federal'!$D1699)</f>
        <v>LEVOFLOXACINO</v>
      </c>
    </row>
    <row r="1700" spans="4:6" x14ac:dyDescent="0.25">
      <c r="D1700" t="s">
        <v>4119</v>
      </c>
      <c r="E1700">
        <f>1</f>
        <v>1</v>
      </c>
      <c r="F1700" t="str">
        <f>TRIM('Tabela Federal'!$D1700)</f>
        <v>SULBACTAM</v>
      </c>
    </row>
    <row r="1701" spans="4:6" x14ac:dyDescent="0.25">
      <c r="D1701" t="s">
        <v>4205</v>
      </c>
      <c r="E1701">
        <f>1</f>
        <v>1</v>
      </c>
      <c r="F1701" t="str">
        <f>TRIM('Tabela Federal'!$D1701)</f>
        <v>CLAVULANATO DE POTASSIO</v>
      </c>
    </row>
    <row r="1702" spans="4:6" x14ac:dyDescent="0.25">
      <c r="D1702" t="s">
        <v>4120</v>
      </c>
      <c r="E1702">
        <f>1</f>
        <v>1</v>
      </c>
      <c r="F1702" t="str">
        <f>TRIM('Tabela Federal'!$D1702)</f>
        <v>PROBENECIDA</v>
      </c>
    </row>
    <row r="1703" spans="4:6" x14ac:dyDescent="0.25">
      <c r="D1703" t="s">
        <v>4119</v>
      </c>
      <c r="E1703">
        <f>1</f>
        <v>1</v>
      </c>
      <c r="F1703" t="str">
        <f>TRIM('Tabela Federal'!$D1703)</f>
        <v>SULBACTAM</v>
      </c>
    </row>
    <row r="1704" spans="4:6" x14ac:dyDescent="0.25">
      <c r="D1704" t="s">
        <v>4348</v>
      </c>
      <c r="E1704">
        <f>1</f>
        <v>1</v>
      </c>
      <c r="F1704" t="str">
        <f>TRIM('Tabela Federal'!$D1704)</f>
        <v>AMPICILINA SODICA</v>
      </c>
    </row>
    <row r="1705" spans="4:6" x14ac:dyDescent="0.25">
      <c r="D1705" t="s">
        <v>4207</v>
      </c>
      <c r="E1705">
        <f>1</f>
        <v>1</v>
      </c>
      <c r="F1705" t="str">
        <f>TRIM('Tabela Federal'!$D1705)</f>
        <v>CLORETO DE CALCIO</v>
      </c>
    </row>
    <row r="1706" spans="4:6" x14ac:dyDescent="0.25">
      <c r="D1706" t="s">
        <v>4215</v>
      </c>
      <c r="E1706">
        <f>1</f>
        <v>1</v>
      </c>
      <c r="F1706" t="str">
        <f>TRIM('Tabela Federal'!$D1706)</f>
        <v>FATOR XIII DE COAGULAcAO</v>
      </c>
    </row>
    <row r="1707" spans="4:6" x14ac:dyDescent="0.25">
      <c r="D1707" t="s">
        <v>3297</v>
      </c>
      <c r="E1707">
        <f>1</f>
        <v>1</v>
      </c>
      <c r="F1707" t="str">
        <f>TRIM('Tabela Federal'!$D1707)</f>
        <v>AZTREONAM</v>
      </c>
    </row>
    <row r="1708" spans="4:6" x14ac:dyDescent="0.25">
      <c r="D1708" t="s">
        <v>4630</v>
      </c>
      <c r="E1708">
        <f>1</f>
        <v>1</v>
      </c>
      <c r="F1708" t="str">
        <f>TRIM('Tabela Federal'!$D1708)</f>
        <v>CEFEPIMA</v>
      </c>
    </row>
    <row r="1709" spans="4:6" x14ac:dyDescent="0.25">
      <c r="D1709" t="s">
        <v>3415</v>
      </c>
      <c r="E1709">
        <f>1</f>
        <v>1</v>
      </c>
      <c r="F1709" t="str">
        <f>TRIM('Tabela Federal'!$D1709)</f>
        <v>CLORIDRATO DE CEFEPIMA</v>
      </c>
    </row>
    <row r="1710" spans="4:6" x14ac:dyDescent="0.25">
      <c r="D1710" t="s">
        <v>2614</v>
      </c>
      <c r="E1710">
        <f>1</f>
        <v>1</v>
      </c>
      <c r="F1710" t="str">
        <f>TRIM('Tabela Federal'!$D1710)</f>
        <v>IBUPROFENO</v>
      </c>
    </row>
    <row r="1711" spans="4:6" x14ac:dyDescent="0.25">
      <c r="D1711" t="s">
        <v>4121</v>
      </c>
      <c r="E1711">
        <f>1</f>
        <v>1</v>
      </c>
      <c r="F1711" t="str">
        <f>TRIM('Tabela Federal'!$D1711)</f>
        <v>LUMEFANTRINA</v>
      </c>
    </row>
    <row r="1712" spans="4:6" x14ac:dyDescent="0.25">
      <c r="D1712" t="s">
        <v>3310</v>
      </c>
      <c r="E1712">
        <f>1</f>
        <v>1</v>
      </c>
      <c r="F1712" t="str">
        <f>TRIM('Tabela Federal'!$D1712)</f>
        <v>BESILATO DE ANLODIPINO</v>
      </c>
    </row>
    <row r="1713" spans="4:6" x14ac:dyDescent="0.25">
      <c r="D1713" t="s">
        <v>3521</v>
      </c>
      <c r="E1713">
        <f>1</f>
        <v>1</v>
      </c>
      <c r="F1713" t="str">
        <f>TRIM('Tabela Federal'!$D1713)</f>
        <v>CLORTALIDONA</v>
      </c>
    </row>
    <row r="1714" spans="4:6" x14ac:dyDescent="0.25">
      <c r="D1714" t="s">
        <v>3858</v>
      </c>
      <c r="E1714">
        <f>1</f>
        <v>1</v>
      </c>
      <c r="F1714" t="str">
        <f>TRIM('Tabela Federal'!$D1714)</f>
        <v>NIFEDIPINO</v>
      </c>
    </row>
    <row r="1715" spans="4:6" x14ac:dyDescent="0.25">
      <c r="D1715" t="s">
        <v>4631</v>
      </c>
      <c r="E1715">
        <f>1</f>
        <v>1</v>
      </c>
      <c r="F1715" t="str">
        <f>TRIM('Tabela Federal'!$D1715)</f>
        <v>NIACINA</v>
      </c>
    </row>
    <row r="1716" spans="4:6" x14ac:dyDescent="0.25">
      <c r="D1716" t="s">
        <v>4122</v>
      </c>
      <c r="E1716">
        <f>1</f>
        <v>1</v>
      </c>
      <c r="F1716" t="str">
        <f>TRIM('Tabela Federal'!$D1716)</f>
        <v>TORCETRAPIBE</v>
      </c>
    </row>
    <row r="1717" spans="4:6" x14ac:dyDescent="0.25">
      <c r="D1717" t="s">
        <v>3310</v>
      </c>
      <c r="E1717">
        <f>1</f>
        <v>1</v>
      </c>
      <c r="F1717" t="str">
        <f>TRIM('Tabela Federal'!$D1717)</f>
        <v>BESILATO DE ANLODIPINO</v>
      </c>
    </row>
    <row r="1718" spans="4:6" x14ac:dyDescent="0.25">
      <c r="D1718" t="s">
        <v>4122</v>
      </c>
      <c r="E1718">
        <f>1</f>
        <v>1</v>
      </c>
      <c r="F1718" t="str">
        <f>TRIM('Tabela Federal'!$D1718)</f>
        <v>TORCETRAPIBE</v>
      </c>
    </row>
    <row r="1719" spans="4:6" x14ac:dyDescent="0.25">
      <c r="D1719" t="s">
        <v>3170</v>
      </c>
      <c r="E1719">
        <f>1</f>
        <v>1</v>
      </c>
      <c r="F1719" t="str">
        <f>TRIM('Tabela Federal'!$D1719)</f>
        <v>NEOMICINA</v>
      </c>
    </row>
    <row r="1720" spans="4:6" x14ac:dyDescent="0.25">
      <c r="D1720" t="s">
        <v>3999</v>
      </c>
      <c r="E1720">
        <f>1</f>
        <v>1</v>
      </c>
      <c r="F1720" t="str">
        <f>TRIM('Tabela Federal'!$D1720)</f>
        <v>SULFATO DE NEOMICINA</v>
      </c>
    </row>
    <row r="1721" spans="4:6" x14ac:dyDescent="0.25">
      <c r="D1721" t="s">
        <v>3999</v>
      </c>
      <c r="E1721">
        <f>1</f>
        <v>1</v>
      </c>
      <c r="F1721" t="str">
        <f>TRIM('Tabela Federal'!$D1721)</f>
        <v>SULFATO DE NEOMICINA</v>
      </c>
    </row>
    <row r="1722" spans="4:6" x14ac:dyDescent="0.25">
      <c r="D1722" t="s">
        <v>4330</v>
      </c>
      <c r="E1722">
        <f>1</f>
        <v>1</v>
      </c>
      <c r="F1722" t="str">
        <f>TRIM('Tabela Federal'!$D1722)</f>
        <v>BENZILPENICILINA PROCAINA</v>
      </c>
    </row>
    <row r="1723" spans="4:6" x14ac:dyDescent="0.25">
      <c r="D1723" t="s">
        <v>3925</v>
      </c>
      <c r="E1723">
        <f>1</f>
        <v>1</v>
      </c>
      <c r="F1723" t="str">
        <f>TRIM('Tabela Federal'!$D1723)</f>
        <v>PROGESTERONA</v>
      </c>
    </row>
    <row r="1724" spans="4:6" x14ac:dyDescent="0.25">
      <c r="D1724" t="s">
        <v>3407</v>
      </c>
      <c r="E1724">
        <f>1</f>
        <v>1</v>
      </c>
      <c r="F1724" t="str">
        <f>TRIM('Tabela Federal'!$D1724)</f>
        <v>CLORIDRATO DE BENAZEPRIL</v>
      </c>
    </row>
    <row r="1725" spans="4:6" x14ac:dyDescent="0.25">
      <c r="D1725" t="s">
        <v>3689</v>
      </c>
      <c r="E1725">
        <f>1</f>
        <v>1</v>
      </c>
      <c r="F1725" t="str">
        <f>TRIM('Tabela Federal'!$D1725)</f>
        <v>HEMIFUMARATO DE ALISQUIRENO</v>
      </c>
    </row>
    <row r="1726" spans="4:6" x14ac:dyDescent="0.25">
      <c r="D1726" t="s">
        <v>3699</v>
      </c>
      <c r="E1726">
        <f>1</f>
        <v>1</v>
      </c>
      <c r="F1726" t="str">
        <f>TRIM('Tabela Federal'!$D1726)</f>
        <v>HIDROCLOROTIAZIDA</v>
      </c>
    </row>
    <row r="1727" spans="4:6" x14ac:dyDescent="0.25">
      <c r="D1727" t="s">
        <v>3699</v>
      </c>
      <c r="E1727">
        <f>1</f>
        <v>1</v>
      </c>
      <c r="F1727" t="str">
        <f>TRIM('Tabela Federal'!$D1727)</f>
        <v>HIDROCLOROTIAZIDA</v>
      </c>
    </row>
    <row r="1728" spans="4:6" x14ac:dyDescent="0.25">
      <c r="D1728" t="s">
        <v>3740</v>
      </c>
      <c r="E1728">
        <f>1</f>
        <v>1</v>
      </c>
      <c r="F1728" t="str">
        <f>TRIM('Tabela Federal'!$D1728)</f>
        <v>IRBESARTANA</v>
      </c>
    </row>
    <row r="1729" spans="4:6" x14ac:dyDescent="0.25">
      <c r="D1729" t="s">
        <v>4227</v>
      </c>
      <c r="E1729">
        <f>1</f>
        <v>1</v>
      </c>
      <c r="F1729" t="str">
        <f>TRIM('Tabela Federal'!$D1729)</f>
        <v>LOSARTANA POTASSICA</v>
      </c>
    </row>
    <row r="1730" spans="4:6" x14ac:dyDescent="0.25">
      <c r="D1730" t="s">
        <v>3783</v>
      </c>
      <c r="E1730">
        <f>1</f>
        <v>1</v>
      </c>
      <c r="F1730" t="str">
        <f>TRIM('Tabela Federal'!$D1730)</f>
        <v>MALEATO DE ENALAPRIL</v>
      </c>
    </row>
    <row r="1731" spans="4:6" x14ac:dyDescent="0.25">
      <c r="D1731" t="s">
        <v>3876</v>
      </c>
      <c r="E1731">
        <f>1</f>
        <v>1</v>
      </c>
      <c r="F1731" t="str">
        <f>TRIM('Tabela Federal'!$D1731)</f>
        <v>OLMESARTANA MEDOXOMILA</v>
      </c>
    </row>
    <row r="1732" spans="4:6" x14ac:dyDescent="0.25">
      <c r="D1732" t="s">
        <v>3937</v>
      </c>
      <c r="E1732">
        <f>1</f>
        <v>1</v>
      </c>
      <c r="F1732" t="str">
        <f>TRIM('Tabela Federal'!$D1732)</f>
        <v>RAMIPRIL</v>
      </c>
    </row>
    <row r="1733" spans="4:6" x14ac:dyDescent="0.25">
      <c r="D1733" t="s">
        <v>4096</v>
      </c>
      <c r="E1733">
        <f>1</f>
        <v>1</v>
      </c>
      <c r="F1733" t="str">
        <f>TRIM('Tabela Federal'!$D1733)</f>
        <v>VALSARTANA</v>
      </c>
    </row>
    <row r="1734" spans="4:6" x14ac:dyDescent="0.25">
      <c r="D1734" t="s">
        <v>4402</v>
      </c>
      <c r="E1734">
        <f>1</f>
        <v>1</v>
      </c>
      <c r="F1734" t="str">
        <f>TRIM('Tabela Federal'!$D1734)</f>
        <v>HEPARINA SODICA</v>
      </c>
    </row>
    <row r="1735" spans="4:6" x14ac:dyDescent="0.25">
      <c r="D1735" t="s">
        <v>2790</v>
      </c>
      <c r="E1735">
        <f>1</f>
        <v>1</v>
      </c>
      <c r="F1735" t="str">
        <f>TRIM('Tabela Federal'!$D1735)</f>
        <v>MALEATO DE TIMOLOL</v>
      </c>
    </row>
    <row r="1736" spans="4:6" x14ac:dyDescent="0.25">
      <c r="D1736" t="s">
        <v>2790</v>
      </c>
      <c r="E1736">
        <f>1</f>
        <v>1</v>
      </c>
      <c r="F1736" t="str">
        <f>TRIM('Tabela Federal'!$D1736)</f>
        <v>MALEATO DE TIMOLOL</v>
      </c>
    </row>
    <row r="1737" spans="4:6" x14ac:dyDescent="0.25">
      <c r="D1737" t="s">
        <v>3699</v>
      </c>
      <c r="E1737">
        <f>1</f>
        <v>1</v>
      </c>
      <c r="F1737" t="str">
        <f>TRIM('Tabela Federal'!$D1737)</f>
        <v>HIDROCLOROTIAZIDA</v>
      </c>
    </row>
    <row r="1738" spans="4:6" x14ac:dyDescent="0.25">
      <c r="D1738" t="s">
        <v>4010</v>
      </c>
      <c r="E1738">
        <f>1</f>
        <v>1</v>
      </c>
      <c r="F1738" t="str">
        <f>TRIM('Tabela Federal'!$D1738)</f>
        <v>SULPIRIDA</v>
      </c>
    </row>
    <row r="1739" spans="4:6" x14ac:dyDescent="0.25">
      <c r="D1739" t="s">
        <v>4457</v>
      </c>
      <c r="E1739">
        <f>1</f>
        <v>1</v>
      </c>
      <c r="F1739" t="str">
        <f>TRIM('Tabela Federal'!$D1739)</f>
        <v>DESIDROCOLATO DE SODIO</v>
      </c>
    </row>
    <row r="1740" spans="4:6" x14ac:dyDescent="0.25">
      <c r="D1740" t="s">
        <v>3329</v>
      </c>
      <c r="E1740">
        <f>1</f>
        <v>1</v>
      </c>
      <c r="F1740" t="str">
        <f>TRIM('Tabela Federal'!$D1740)</f>
        <v>BROMIDRATO DE FENOTEROL</v>
      </c>
    </row>
    <row r="1741" spans="4:6" x14ac:dyDescent="0.25">
      <c r="D1741" t="s">
        <v>4003</v>
      </c>
      <c r="E1741">
        <f>1</f>
        <v>1</v>
      </c>
      <c r="F1741" t="str">
        <f>TRIM('Tabela Federal'!$D1741)</f>
        <v>SULFATO DE SALBUTAMOL</v>
      </c>
    </row>
    <row r="1742" spans="4:6" x14ac:dyDescent="0.25">
      <c r="D1742" t="s">
        <v>4114</v>
      </c>
      <c r="E1742">
        <f>1</f>
        <v>1</v>
      </c>
      <c r="F1742" t="str">
        <f>TRIM('Tabela Federal'!$D1742)</f>
        <v>CELULASE</v>
      </c>
    </row>
    <row r="1743" spans="4:6" x14ac:dyDescent="0.25">
      <c r="D1743" t="s">
        <v>3657</v>
      </c>
      <c r="E1743">
        <f>1</f>
        <v>1</v>
      </c>
      <c r="F1743" t="str">
        <f>TRIM('Tabela Federal'!$D1743)</f>
        <v>FUMARATO DE FORMOTEROL</v>
      </c>
    </row>
    <row r="1744" spans="4:6" x14ac:dyDescent="0.25">
      <c r="D1744" t="s">
        <v>3794</v>
      </c>
      <c r="E1744">
        <f>1</f>
        <v>1</v>
      </c>
      <c r="F1744" t="str">
        <f>TRIM('Tabela Federal'!$D1744)</f>
        <v>MEBENDAZOL</v>
      </c>
    </row>
    <row r="1745" spans="4:6" x14ac:dyDescent="0.25">
      <c r="D1745" t="s">
        <v>3620</v>
      </c>
      <c r="E1745">
        <f>1</f>
        <v>1</v>
      </c>
      <c r="F1745" t="str">
        <f>TRIM('Tabela Federal'!$D1745)</f>
        <v>FELODIPINO</v>
      </c>
    </row>
    <row r="1746" spans="4:6" x14ac:dyDescent="0.25">
      <c r="D1746" t="s">
        <v>3699</v>
      </c>
      <c r="E1746">
        <f>1</f>
        <v>1</v>
      </c>
      <c r="F1746" t="str">
        <f>TRIM('Tabela Federal'!$D1746)</f>
        <v>HIDROCLOROTIAZIDA</v>
      </c>
    </row>
    <row r="1747" spans="4:6" x14ac:dyDescent="0.25">
      <c r="D1747" t="s">
        <v>4094</v>
      </c>
      <c r="E1747">
        <f>1</f>
        <v>1</v>
      </c>
      <c r="F1747" t="str">
        <f>TRIM('Tabela Federal'!$D1747)</f>
        <v>VALERATO DE ESTRADIOL</v>
      </c>
    </row>
    <row r="1748" spans="4:6" x14ac:dyDescent="0.25">
      <c r="D1748" t="s">
        <v>3699</v>
      </c>
      <c r="E1748">
        <f>1</f>
        <v>1</v>
      </c>
      <c r="F1748" t="str">
        <f>TRIM('Tabela Federal'!$D1748)</f>
        <v>HIDROCLOROTIAZIDA</v>
      </c>
    </row>
    <row r="1749" spans="4:6" x14ac:dyDescent="0.25">
      <c r="D1749" t="s">
        <v>3592</v>
      </c>
      <c r="E1749">
        <f>1</f>
        <v>1</v>
      </c>
      <c r="F1749" t="str">
        <f>TRIM('Tabela Federal'!$D1749)</f>
        <v>ENTACAPONA</v>
      </c>
    </row>
    <row r="1750" spans="4:6" x14ac:dyDescent="0.25">
      <c r="D1750" t="s">
        <v>3162</v>
      </c>
      <c r="E1750">
        <f>1</f>
        <v>1</v>
      </c>
      <c r="F1750" t="str">
        <f>TRIM('Tabela Federal'!$D1750)</f>
        <v>LEVODOPA</v>
      </c>
    </row>
    <row r="1751" spans="4:6" x14ac:dyDescent="0.25">
      <c r="D1751" t="s">
        <v>3524</v>
      </c>
      <c r="E1751">
        <f>1</f>
        <v>1</v>
      </c>
      <c r="F1751" t="str">
        <f>TRIM('Tabela Federal'!$D1751)</f>
        <v>COLECALCIFEROL</v>
      </c>
    </row>
    <row r="1752" spans="4:6" x14ac:dyDescent="0.25">
      <c r="D1752" t="s">
        <v>4331</v>
      </c>
      <c r="E1752">
        <f>1</f>
        <v>1</v>
      </c>
      <c r="F1752" t="str">
        <f>TRIM('Tabela Federal'!$D1752)</f>
        <v>CLORIDRATO DE PROCAINA</v>
      </c>
    </row>
    <row r="1753" spans="4:6" x14ac:dyDescent="0.25">
      <c r="D1753" t="s">
        <v>4233</v>
      </c>
      <c r="E1753">
        <f>1</f>
        <v>1</v>
      </c>
      <c r="F1753" t="str">
        <f>TRIM('Tabela Federal'!$D1753)</f>
        <v>SULFATO DE BARIO</v>
      </c>
    </row>
    <row r="1754" spans="4:6" x14ac:dyDescent="0.25">
      <c r="D1754" t="s">
        <v>4119</v>
      </c>
      <c r="E1754">
        <f>1</f>
        <v>1</v>
      </c>
      <c r="F1754" t="str">
        <f>TRIM('Tabela Federal'!$D1754)</f>
        <v>SULBACTAM</v>
      </c>
    </row>
    <row r="1755" spans="4:6" x14ac:dyDescent="0.25">
      <c r="D1755" t="s">
        <v>3681</v>
      </c>
      <c r="E1755">
        <f>1</f>
        <v>1</v>
      </c>
      <c r="F1755" t="str">
        <f>TRIM('Tabela Federal'!$D1755)</f>
        <v>GLICONATO DE CLOREXIDINA</v>
      </c>
    </row>
    <row r="1756" spans="4:6" x14ac:dyDescent="0.25">
      <c r="D1756" t="s">
        <v>4123</v>
      </c>
      <c r="E1756">
        <f>1</f>
        <v>1</v>
      </c>
      <c r="F1756" t="str">
        <f>TRIM('Tabela Federal'!$D1756)</f>
        <v>CITRATO DE ORFENADRINA</v>
      </c>
    </row>
    <row r="1757" spans="4:6" x14ac:dyDescent="0.25">
      <c r="D1757" t="s">
        <v>3484</v>
      </c>
      <c r="E1757">
        <f>1</f>
        <v>1</v>
      </c>
      <c r="F1757" t="str">
        <f>TRIM('Tabela Federal'!$D1757)</f>
        <v>CLORIDRATO DE PIRIDOXINA</v>
      </c>
    </row>
    <row r="1758" spans="4:6" x14ac:dyDescent="0.25">
      <c r="D1758" t="s">
        <v>3484</v>
      </c>
      <c r="E1758">
        <f>1</f>
        <v>1</v>
      </c>
      <c r="F1758" t="str">
        <f>TRIM('Tabela Federal'!$D1758)</f>
        <v>CLORIDRATO DE PIRIDOXINA</v>
      </c>
    </row>
    <row r="1759" spans="4:6" x14ac:dyDescent="0.25">
      <c r="D1759" t="s">
        <v>3484</v>
      </c>
      <c r="E1759">
        <f>1</f>
        <v>1</v>
      </c>
      <c r="F1759" t="str">
        <f>TRIM('Tabela Federal'!$D1759)</f>
        <v>CLORIDRATO DE PIRIDOXINA</v>
      </c>
    </row>
    <row r="1760" spans="4:6" x14ac:dyDescent="0.25">
      <c r="D1760" t="s">
        <v>3484</v>
      </c>
      <c r="E1760">
        <f>1</f>
        <v>1</v>
      </c>
      <c r="F1760" t="str">
        <f>TRIM('Tabela Federal'!$D1760)</f>
        <v>CLORIDRATO DE PIRIDOXINA</v>
      </c>
    </row>
    <row r="1761" spans="4:6" x14ac:dyDescent="0.25">
      <c r="D1761" t="s">
        <v>4272</v>
      </c>
      <c r="E1761">
        <f>1</f>
        <v>1</v>
      </c>
      <c r="F1761" t="str">
        <f>TRIM('Tabela Federal'!$D1761)</f>
        <v>IMIPENEM</v>
      </c>
    </row>
    <row r="1762" spans="4:6" x14ac:dyDescent="0.25">
      <c r="D1762" t="s">
        <v>3699</v>
      </c>
      <c r="E1762">
        <f>1</f>
        <v>1</v>
      </c>
      <c r="F1762" t="str">
        <f>TRIM('Tabela Federal'!$D1762)</f>
        <v>HIDROCLOROTIAZIDA</v>
      </c>
    </row>
    <row r="1763" spans="4:6" x14ac:dyDescent="0.25">
      <c r="D1763" t="s">
        <v>3908</v>
      </c>
      <c r="E1763">
        <f>1</f>
        <v>1</v>
      </c>
      <c r="F1763" t="str">
        <f>TRIM('Tabela Federal'!$D1763)</f>
        <v>PIRACETAM</v>
      </c>
    </row>
    <row r="1764" spans="4:6" x14ac:dyDescent="0.25">
      <c r="D1764" t="s">
        <v>2643</v>
      </c>
      <c r="E1764">
        <f>1</f>
        <v>1</v>
      </c>
      <c r="F1764" t="str">
        <f>TRIM('Tabela Federal'!$D1764)</f>
        <v>CLORIDRATO DE CIPROFLOXACINO</v>
      </c>
    </row>
    <row r="1765" spans="4:6" x14ac:dyDescent="0.25">
      <c r="D1765" t="s">
        <v>3580</v>
      </c>
      <c r="E1765">
        <f>1</f>
        <v>1</v>
      </c>
      <c r="F1765" t="str">
        <f>TRIM('Tabela Federal'!$D1765)</f>
        <v>DROPERIDOL</v>
      </c>
    </row>
    <row r="1766" spans="4:6" x14ac:dyDescent="0.25">
      <c r="D1766" t="s">
        <v>2672</v>
      </c>
      <c r="E1766">
        <f>1</f>
        <v>1</v>
      </c>
      <c r="F1766" t="str">
        <f>TRIM('Tabela Federal'!$D1766)</f>
        <v>OMEPRAZOL</v>
      </c>
    </row>
    <row r="1767" spans="4:6" x14ac:dyDescent="0.25">
      <c r="D1767" t="s">
        <v>4124</v>
      </c>
      <c r="E1767">
        <f>1</f>
        <v>1</v>
      </c>
      <c r="F1767" t="str">
        <f>TRIM('Tabela Federal'!$D1767)</f>
        <v>TICARCILINA</v>
      </c>
    </row>
    <row r="1768" spans="4:6" x14ac:dyDescent="0.25">
      <c r="D1768" t="s">
        <v>4125</v>
      </c>
      <c r="E1768">
        <f>1</f>
        <v>1</v>
      </c>
      <c r="F1768" t="str">
        <f>TRIM('Tabela Federal'!$D1768)</f>
        <v>TARTARATO DE NICOTINILA</v>
      </c>
    </row>
    <row r="1769" spans="4:6" x14ac:dyDescent="0.25">
      <c r="D1769" t="s">
        <v>3905</v>
      </c>
      <c r="E1769">
        <f>1</f>
        <v>1</v>
      </c>
      <c r="F1769" t="str">
        <f>TRIM('Tabela Federal'!$D1769)</f>
        <v>PINDOLOL</v>
      </c>
    </row>
    <row r="1770" spans="4:6" x14ac:dyDescent="0.25">
      <c r="D1770" t="s">
        <v>3391</v>
      </c>
      <c r="E1770">
        <f>1</f>
        <v>1</v>
      </c>
      <c r="F1770" t="str">
        <f>TRIM('Tabela Federal'!$D1770)</f>
        <v>CLORFENESINA</v>
      </c>
    </row>
    <row r="1771" spans="4:6" x14ac:dyDescent="0.25">
      <c r="D1771" t="s">
        <v>4295</v>
      </c>
      <c r="E1771">
        <f>1</f>
        <v>1</v>
      </c>
      <c r="F1771" t="str">
        <f>TRIM('Tabela Federal'!$D1771)</f>
        <v>CLORIDRATO DE LIDOCAINA</v>
      </c>
    </row>
    <row r="1772" spans="4:6" x14ac:dyDescent="0.25">
      <c r="D1772" t="s">
        <v>4295</v>
      </c>
      <c r="E1772">
        <f>1</f>
        <v>1</v>
      </c>
      <c r="F1772" t="str">
        <f>TRIM('Tabela Federal'!$D1772)</f>
        <v>CLORIDRATO DE LIDOCAINA</v>
      </c>
    </row>
    <row r="1773" spans="4:6" x14ac:dyDescent="0.25">
      <c r="D1773" t="s">
        <v>4332</v>
      </c>
      <c r="E1773">
        <f>1</f>
        <v>1</v>
      </c>
      <c r="F1773" t="str">
        <f>TRIM('Tabela Federal'!$D1773)</f>
        <v>CLORIDRATO DE TETRACAINA</v>
      </c>
    </row>
    <row r="1774" spans="4:6" x14ac:dyDescent="0.25">
      <c r="D1774" t="s">
        <v>3503</v>
      </c>
      <c r="E1774">
        <f>1</f>
        <v>1</v>
      </c>
      <c r="F1774" t="str">
        <f>TRIM('Tabela Federal'!$D1774)</f>
        <v>CLORIDRATO DE TETRIZOLINA</v>
      </c>
    </row>
    <row r="1775" spans="4:6" x14ac:dyDescent="0.25">
      <c r="D1775" t="s">
        <v>3544</v>
      </c>
      <c r="E1775">
        <f>1</f>
        <v>1</v>
      </c>
      <c r="F1775" t="str">
        <f>TRIM('Tabela Federal'!$D1775)</f>
        <v>DESOXIRRIBONUCLEASE</v>
      </c>
    </row>
    <row r="1776" spans="4:6" x14ac:dyDescent="0.25">
      <c r="D1776" t="s">
        <v>2442</v>
      </c>
      <c r="E1776">
        <f>1</f>
        <v>1</v>
      </c>
      <c r="F1776" t="str">
        <f>TRIM('Tabela Federal'!$D1776)</f>
        <v>DEXAMETASONA</v>
      </c>
    </row>
    <row r="1777" spans="4:6" x14ac:dyDescent="0.25">
      <c r="D1777" t="s">
        <v>3635</v>
      </c>
      <c r="E1777">
        <f>1</f>
        <v>1</v>
      </c>
      <c r="F1777" t="str">
        <f>TRIM('Tabela Federal'!$D1777)</f>
        <v>FLUOCINOLONA ACETONIDA</v>
      </c>
    </row>
    <row r="1778" spans="4:6" x14ac:dyDescent="0.25">
      <c r="D1778" t="s">
        <v>4456</v>
      </c>
      <c r="E1778">
        <f>1</f>
        <v>1</v>
      </c>
      <c r="F1778" t="str">
        <f>TRIM('Tabela Federal'!$D1778)</f>
        <v>SULFACETAMIDA SODICA</v>
      </c>
    </row>
    <row r="1779" spans="4:6" x14ac:dyDescent="0.25">
      <c r="D1779" t="s">
        <v>3401</v>
      </c>
      <c r="E1779">
        <f>1</f>
        <v>1</v>
      </c>
      <c r="F1779" t="str">
        <f>TRIM('Tabela Federal'!$D1779)</f>
        <v>CLORIDRATO DE AMITRIPTILINA</v>
      </c>
    </row>
    <row r="1780" spans="4:6" x14ac:dyDescent="0.25">
      <c r="D1780" t="s">
        <v>4273</v>
      </c>
      <c r="E1780">
        <f>1</f>
        <v>1</v>
      </c>
      <c r="F1780" t="str">
        <f>TRIM('Tabela Federal'!$D1780)</f>
        <v>FIBRINOGENIO</v>
      </c>
    </row>
    <row r="1781" spans="4:6" x14ac:dyDescent="0.25">
      <c r="D1781" t="s">
        <v>4457</v>
      </c>
      <c r="E1781">
        <f>1</f>
        <v>1</v>
      </c>
      <c r="F1781" t="str">
        <f>TRIM('Tabela Federal'!$D1781)</f>
        <v>DESIDROCOLATO DE SODIO</v>
      </c>
    </row>
    <row r="1782" spans="4:6" x14ac:dyDescent="0.25">
      <c r="D1782" t="s">
        <v>3662</v>
      </c>
      <c r="E1782">
        <f>1</f>
        <v>1</v>
      </c>
      <c r="F1782" t="str">
        <f>TRIM('Tabela Federal'!$D1782)</f>
        <v>FUROSEMIDA</v>
      </c>
    </row>
    <row r="1783" spans="4:6" x14ac:dyDescent="0.25">
      <c r="D1783" t="s">
        <v>4332</v>
      </c>
      <c r="E1783">
        <f>1</f>
        <v>1</v>
      </c>
      <c r="F1783" t="str">
        <f>TRIM('Tabela Federal'!$D1783)</f>
        <v>CLORIDRATO DE TETRACAINA</v>
      </c>
    </row>
    <row r="1784" spans="4:6" x14ac:dyDescent="0.25">
      <c r="D1784" t="s">
        <v>4126</v>
      </c>
      <c r="E1784">
        <f>1</f>
        <v>1</v>
      </c>
      <c r="F1784" t="str">
        <f>TRIM('Tabela Federal'!$D1784)</f>
        <v>CLORIDRATO DE PROMETAZINA</v>
      </c>
    </row>
    <row r="1785" spans="4:6" x14ac:dyDescent="0.25">
      <c r="D1785" t="s">
        <v>3662</v>
      </c>
      <c r="E1785">
        <f>1</f>
        <v>1</v>
      </c>
      <c r="F1785" t="str">
        <f>TRIM('Tabela Federal'!$D1785)</f>
        <v>FUROSEMIDA</v>
      </c>
    </row>
    <row r="1786" spans="4:6" x14ac:dyDescent="0.25">
      <c r="D1786" t="s">
        <v>3699</v>
      </c>
      <c r="E1786">
        <f>1</f>
        <v>1</v>
      </c>
      <c r="F1786" t="str">
        <f>TRIM('Tabela Federal'!$D1786)</f>
        <v>HIDROCLOROTIAZIDA</v>
      </c>
    </row>
    <row r="1787" spans="4:6" x14ac:dyDescent="0.25">
      <c r="D1787" t="s">
        <v>3691</v>
      </c>
      <c r="E1787">
        <f>1</f>
        <v>1</v>
      </c>
      <c r="F1787" t="str">
        <f>TRIM('Tabela Federal'!$D1787)</f>
        <v>HEMITARTARATO DE EPINEFRINA</v>
      </c>
    </row>
    <row r="1788" spans="4:6" x14ac:dyDescent="0.25">
      <c r="D1788" t="s">
        <v>3699</v>
      </c>
      <c r="E1788">
        <f>1</f>
        <v>1</v>
      </c>
      <c r="F1788" t="str">
        <f>TRIM('Tabela Federal'!$D1788)</f>
        <v>HIDROCLOROTIAZIDA</v>
      </c>
    </row>
    <row r="1789" spans="4:6" x14ac:dyDescent="0.25">
      <c r="D1789" t="s">
        <v>3162</v>
      </c>
      <c r="E1789">
        <f>1</f>
        <v>1</v>
      </c>
      <c r="F1789" t="str">
        <f>TRIM('Tabela Federal'!$D1789)</f>
        <v>LEVODOPA</v>
      </c>
    </row>
    <row r="1790" spans="4:6" x14ac:dyDescent="0.25">
      <c r="D1790" t="s">
        <v>4127</v>
      </c>
      <c r="E1790">
        <f>1</f>
        <v>1</v>
      </c>
      <c r="F1790" t="str">
        <f>TRIM('Tabela Federal'!$D1790)</f>
        <v>EPINEFRINA</v>
      </c>
    </row>
    <row r="1791" spans="4:6" x14ac:dyDescent="0.25">
      <c r="D1791" t="s">
        <v>3175</v>
      </c>
      <c r="E1791">
        <f>1</f>
        <v>1</v>
      </c>
      <c r="F1791" t="str">
        <f>TRIM('Tabela Federal'!$D1791)</f>
        <v>GLICOSE</v>
      </c>
    </row>
    <row r="1792" spans="4:6" x14ac:dyDescent="0.25">
      <c r="D1792" t="s">
        <v>2442</v>
      </c>
      <c r="E1792">
        <f>1</f>
        <v>1</v>
      </c>
      <c r="F1792" t="str">
        <f>TRIM('Tabela Federal'!$D1792)</f>
        <v>DEXAMETASONA</v>
      </c>
    </row>
    <row r="1793" spans="4:6" x14ac:dyDescent="0.25">
      <c r="D1793" t="s">
        <v>3194</v>
      </c>
      <c r="E1793">
        <f>1</f>
        <v>1</v>
      </c>
      <c r="F1793" t="str">
        <f>TRIM('Tabela Federal'!$D1793)</f>
        <v>HIDROCORTISONA</v>
      </c>
    </row>
    <row r="1794" spans="4:6" x14ac:dyDescent="0.25">
      <c r="D1794" t="s">
        <v>3555</v>
      </c>
      <c r="E1794">
        <f>1</f>
        <v>1</v>
      </c>
      <c r="F1794" t="str">
        <f>TRIM('Tabela Federal'!$D1794)</f>
        <v>DICLORIDRATO DE MANIDIPINO</v>
      </c>
    </row>
    <row r="1795" spans="4:6" x14ac:dyDescent="0.25">
      <c r="D1795" t="s">
        <v>3175</v>
      </c>
      <c r="E1795">
        <f>1</f>
        <v>1</v>
      </c>
      <c r="F1795" t="str">
        <f>TRIM('Tabela Federal'!$D1795)</f>
        <v>GLICOSE</v>
      </c>
    </row>
    <row r="1796" spans="4:6" x14ac:dyDescent="0.25">
      <c r="D1796" t="s">
        <v>2790</v>
      </c>
      <c r="E1796">
        <f>1</f>
        <v>1</v>
      </c>
      <c r="F1796" t="str">
        <f>TRIM('Tabela Federal'!$D1796)</f>
        <v>MALEATO DE TIMOLOL</v>
      </c>
    </row>
    <row r="1797" spans="4:6" x14ac:dyDescent="0.25">
      <c r="D1797" t="s">
        <v>4295</v>
      </c>
      <c r="E1797">
        <f>1</f>
        <v>1</v>
      </c>
      <c r="F1797" t="str">
        <f>TRIM('Tabela Federal'!$D1797)</f>
        <v>CLORIDRATO DE LIDOCAINA</v>
      </c>
    </row>
    <row r="1798" spans="4:6" x14ac:dyDescent="0.25">
      <c r="D1798" t="s">
        <v>3874</v>
      </c>
      <c r="E1798">
        <f>1</f>
        <v>1</v>
      </c>
      <c r="F1798" t="str">
        <f>TRIM('Tabela Federal'!$D1798)</f>
        <v>OLANZAPINA</v>
      </c>
    </row>
    <row r="1799" spans="4:6" x14ac:dyDescent="0.25">
      <c r="D1799" t="s">
        <v>3992</v>
      </c>
      <c r="E1799">
        <f>1</f>
        <v>1</v>
      </c>
      <c r="F1799" t="str">
        <f>TRIM('Tabela Federal'!$D1799)</f>
        <v>SULFATO DE EFEDRINA</v>
      </c>
    </row>
    <row r="1800" spans="4:6" x14ac:dyDescent="0.25">
      <c r="D1800" t="s">
        <v>4127</v>
      </c>
      <c r="E1800">
        <f>1</f>
        <v>1</v>
      </c>
      <c r="F1800" t="str">
        <f>TRIM('Tabela Federal'!$D1800)</f>
        <v>EPINEFRINA</v>
      </c>
    </row>
    <row r="1801" spans="4:6" x14ac:dyDescent="0.25">
      <c r="D1801" t="s">
        <v>3635</v>
      </c>
      <c r="E1801">
        <f>1</f>
        <v>1</v>
      </c>
      <c r="F1801" t="str">
        <f>TRIM('Tabela Federal'!$D1801)</f>
        <v>FLUOCINOLONA ACETONIDA</v>
      </c>
    </row>
    <row r="1802" spans="4:6" x14ac:dyDescent="0.25">
      <c r="D1802" t="s">
        <v>3175</v>
      </c>
      <c r="E1802">
        <f>1</f>
        <v>1</v>
      </c>
      <c r="F1802" t="str">
        <f>TRIM('Tabela Federal'!$D1802)</f>
        <v>GLICOSE</v>
      </c>
    </row>
    <row r="1803" spans="4:6" x14ac:dyDescent="0.25">
      <c r="D1803" t="s">
        <v>3691</v>
      </c>
      <c r="E1803">
        <f>1</f>
        <v>1</v>
      </c>
      <c r="F1803" t="str">
        <f>TRIM('Tabela Federal'!$D1803)</f>
        <v>HEMITARTARATO DE EPINEFRINA</v>
      </c>
    </row>
    <row r="1804" spans="4:6" x14ac:dyDescent="0.25">
      <c r="D1804" t="s">
        <v>3693</v>
      </c>
      <c r="E1804">
        <f>1</f>
        <v>1</v>
      </c>
      <c r="F1804" t="str">
        <f>TRIM('Tabela Federal'!$D1804)</f>
        <v>HEMITARTARATO DE NOREPINEFRINA</v>
      </c>
    </row>
    <row r="1805" spans="4:6" x14ac:dyDescent="0.25">
      <c r="D1805" t="s">
        <v>3995</v>
      </c>
      <c r="E1805">
        <f>1</f>
        <v>1</v>
      </c>
      <c r="F1805" t="str">
        <f>TRIM('Tabela Federal'!$D1805)</f>
        <v>SULFATO DE GLICOSAMINA</v>
      </c>
    </row>
    <row r="1806" spans="4:6" x14ac:dyDescent="0.25">
      <c r="D1806" t="s">
        <v>3999</v>
      </c>
      <c r="E1806">
        <f>1</f>
        <v>1</v>
      </c>
      <c r="F1806" t="str">
        <f>TRIM('Tabela Federal'!$D1806)</f>
        <v>SULFATO DE NEOMICINA</v>
      </c>
    </row>
    <row r="1807" spans="4:6" x14ac:dyDescent="0.25">
      <c r="D1807" t="s">
        <v>3999</v>
      </c>
      <c r="E1807">
        <f>1</f>
        <v>1</v>
      </c>
      <c r="F1807" t="str">
        <f>TRIM('Tabela Federal'!$D1807)</f>
        <v>SULFATO DE NEOMICINA</v>
      </c>
    </row>
    <row r="1808" spans="4:6" x14ac:dyDescent="0.25">
      <c r="D1808" t="s">
        <v>4128</v>
      </c>
      <c r="E1808">
        <f>1</f>
        <v>1</v>
      </c>
      <c r="F1808" t="str">
        <f>TRIM('Tabela Federal'!$D1808)</f>
        <v>SULFATO DE POLIMIXINA B</v>
      </c>
    </row>
    <row r="1809" spans="4:6" x14ac:dyDescent="0.25">
      <c r="D1809" t="s">
        <v>4129</v>
      </c>
      <c r="E1809">
        <f>1</f>
        <v>1</v>
      </c>
      <c r="F1809" t="str">
        <f>TRIM('Tabela Federal'!$D1809)</f>
        <v>CORBADRINA</v>
      </c>
    </row>
    <row r="1810" spans="4:6" x14ac:dyDescent="0.25">
      <c r="D1810" t="s">
        <v>4127</v>
      </c>
      <c r="E1810">
        <f>1</f>
        <v>1</v>
      </c>
      <c r="F1810" t="str">
        <f>TRIM('Tabela Federal'!$D1810)</f>
        <v>EPINEFRINA</v>
      </c>
    </row>
    <row r="1811" spans="4:6" x14ac:dyDescent="0.25">
      <c r="D1811" t="s">
        <v>3691</v>
      </c>
      <c r="E1811">
        <f>1</f>
        <v>1</v>
      </c>
      <c r="F1811" t="str">
        <f>TRIM('Tabela Federal'!$D1811)</f>
        <v>HEMITARTARATO DE EPINEFRINA</v>
      </c>
    </row>
    <row r="1812" spans="4:6" x14ac:dyDescent="0.25">
      <c r="D1812" t="s">
        <v>3693</v>
      </c>
      <c r="E1812">
        <f>1</f>
        <v>1</v>
      </c>
      <c r="F1812" t="str">
        <f>TRIM('Tabela Federal'!$D1812)</f>
        <v>HEMITARTARATO DE NOREPINEFRINA</v>
      </c>
    </row>
    <row r="1813" spans="4:6" x14ac:dyDescent="0.25">
      <c r="D1813" t="s">
        <v>3483</v>
      </c>
      <c r="E1813">
        <f>1</f>
        <v>1</v>
      </c>
      <c r="F1813" t="str">
        <f>TRIM('Tabela Federal'!$D1813)</f>
        <v>CLORIDRATO DE PIOGLITAZONA</v>
      </c>
    </row>
    <row r="1814" spans="4:6" x14ac:dyDescent="0.25">
      <c r="D1814" t="s">
        <v>3646</v>
      </c>
      <c r="E1814">
        <f>1</f>
        <v>1</v>
      </c>
      <c r="F1814" t="str">
        <f>TRIM('Tabela Federal'!$D1814)</f>
        <v>FOSFATO DE SITAGLIPTINA</v>
      </c>
    </row>
    <row r="1815" spans="4:6" x14ac:dyDescent="0.25">
      <c r="D1815" t="s">
        <v>2782</v>
      </c>
      <c r="E1815">
        <f>1</f>
        <v>1</v>
      </c>
      <c r="F1815" t="str">
        <f>TRIM('Tabela Federal'!$D1815)</f>
        <v>GLIBENCLAMIDA</v>
      </c>
    </row>
    <row r="1816" spans="4:6" x14ac:dyDescent="0.25">
      <c r="D1816" t="s">
        <v>3682</v>
      </c>
      <c r="E1816">
        <f>1</f>
        <v>1</v>
      </c>
      <c r="F1816" t="str">
        <f>TRIM('Tabela Federal'!$D1816)</f>
        <v>GLIMEPIRIDA</v>
      </c>
    </row>
    <row r="1817" spans="4:6" x14ac:dyDescent="0.25">
      <c r="D1817" t="s">
        <v>3790</v>
      </c>
      <c r="E1817">
        <f>1</f>
        <v>1</v>
      </c>
      <c r="F1817" t="str">
        <f>TRIM('Tabela Federal'!$D1817)</f>
        <v>MALEATO DE ROSIGLITAZONA</v>
      </c>
    </row>
    <row r="1818" spans="4:6" x14ac:dyDescent="0.25">
      <c r="D1818" t="s">
        <v>3852</v>
      </c>
      <c r="E1818">
        <f>1</f>
        <v>1</v>
      </c>
      <c r="F1818" t="str">
        <f>TRIM('Tabela Federal'!$D1818)</f>
        <v>NATEGLINIDA</v>
      </c>
    </row>
    <row r="1819" spans="4:6" x14ac:dyDescent="0.25">
      <c r="D1819" t="s">
        <v>4600</v>
      </c>
      <c r="E1819">
        <f>1</f>
        <v>1</v>
      </c>
      <c r="F1819" t="str">
        <f>TRIM('Tabela Federal'!$D1819)</f>
        <v>SAXAGLIPTINA</v>
      </c>
    </row>
    <row r="1820" spans="4:6" x14ac:dyDescent="0.25">
      <c r="D1820" t="s">
        <v>4100</v>
      </c>
      <c r="E1820">
        <f>1</f>
        <v>1</v>
      </c>
      <c r="F1820" t="str">
        <f>TRIM('Tabela Federal'!$D1820)</f>
        <v>VILDAGLIPTINA</v>
      </c>
    </row>
    <row r="1821" spans="4:6" x14ac:dyDescent="0.25">
      <c r="D1821" t="s">
        <v>4395</v>
      </c>
      <c r="E1821">
        <f>1</f>
        <v>1</v>
      </c>
      <c r="F1821" t="str">
        <f>TRIM('Tabela Federal'!$D1821)</f>
        <v>FOSFATO DISSODICO DE DEXAMETASONA</v>
      </c>
    </row>
    <row r="1822" spans="4:6" x14ac:dyDescent="0.25">
      <c r="D1822" t="s">
        <v>3635</v>
      </c>
      <c r="E1822">
        <f>1</f>
        <v>1</v>
      </c>
      <c r="F1822" t="str">
        <f>TRIM('Tabela Federal'!$D1822)</f>
        <v>FLUOCINOLONA ACETONIDA</v>
      </c>
    </row>
    <row r="1823" spans="4:6" x14ac:dyDescent="0.25">
      <c r="D1823" t="s">
        <v>3177</v>
      </c>
      <c r="E1823">
        <f>1</f>
        <v>1</v>
      </c>
      <c r="F1823" t="str">
        <f>TRIM('Tabela Federal'!$D1823)</f>
        <v>LIDOCAINA</v>
      </c>
    </row>
    <row r="1824" spans="4:6" x14ac:dyDescent="0.25">
      <c r="D1824" t="s">
        <v>4128</v>
      </c>
      <c r="E1824">
        <f>1</f>
        <v>1</v>
      </c>
      <c r="F1824" t="str">
        <f>TRIM('Tabela Federal'!$D1824)</f>
        <v>SULFATO DE POLIMIXINA B</v>
      </c>
    </row>
    <row r="1825" spans="4:6" x14ac:dyDescent="0.25">
      <c r="D1825" t="s">
        <v>4130</v>
      </c>
      <c r="E1825">
        <f>1</f>
        <v>1</v>
      </c>
      <c r="F1825" t="str">
        <f>TRIM('Tabela Federal'!$D1825)</f>
        <v>FELIPRESSINA</v>
      </c>
    </row>
    <row r="1826" spans="4:6" x14ac:dyDescent="0.25">
      <c r="D1826" t="s">
        <v>3699</v>
      </c>
      <c r="E1826">
        <f>1</f>
        <v>1</v>
      </c>
      <c r="F1826" t="str">
        <f>TRIM('Tabela Federal'!$D1826)</f>
        <v>HIDROCLOROTIAZIDA</v>
      </c>
    </row>
    <row r="1827" spans="4:6" x14ac:dyDescent="0.25">
      <c r="D1827" t="s">
        <v>4052</v>
      </c>
      <c r="E1827">
        <f>1</f>
        <v>1</v>
      </c>
      <c r="F1827" t="str">
        <f>TRIM('Tabela Federal'!$D1827)</f>
        <v>TRANDOLAPRIL</v>
      </c>
    </row>
    <row r="1828" spans="4:6" x14ac:dyDescent="0.25">
      <c r="D1828" t="s">
        <v>4131</v>
      </c>
      <c r="E1828">
        <f>1</f>
        <v>1</v>
      </c>
      <c r="F1828" t="str">
        <f>TRIM('Tabela Federal'!$D1828)</f>
        <v>METABORATO DE ETILA</v>
      </c>
    </row>
    <row r="1829" spans="4:6" x14ac:dyDescent="0.25">
      <c r="D1829" t="s">
        <v>4132</v>
      </c>
      <c r="E1829">
        <f>1</f>
        <v>1</v>
      </c>
      <c r="F1829" t="str">
        <f>TRIM('Tabela Federal'!$D1829)</f>
        <v>TIROTRICINA</v>
      </c>
    </row>
    <row r="1830" spans="4:6" x14ac:dyDescent="0.25">
      <c r="D1830" t="s">
        <v>3941</v>
      </c>
      <c r="E1830">
        <f>1</f>
        <v>1</v>
      </c>
      <c r="F1830" t="str">
        <f>TRIM('Tabela Federal'!$D1830)</f>
        <v>RESERPINA</v>
      </c>
    </row>
    <row r="1831" spans="4:6" x14ac:dyDescent="0.25">
      <c r="D1831" t="s">
        <v>4402</v>
      </c>
      <c r="E1831">
        <f>1</f>
        <v>1</v>
      </c>
      <c r="F1831" t="str">
        <f>TRIM('Tabela Federal'!$D1831)</f>
        <v>HEPARINA SODICA</v>
      </c>
    </row>
    <row r="1832" spans="4:6" x14ac:dyDescent="0.25">
      <c r="D1832" t="s">
        <v>4133</v>
      </c>
      <c r="E1832">
        <f>1</f>
        <v>1</v>
      </c>
      <c r="F1832" t="str">
        <f>TRIM('Tabela Federal'!$D1832)</f>
        <v>QUINUPRISTINA</v>
      </c>
    </row>
    <row r="1833" spans="4:6" x14ac:dyDescent="0.25">
      <c r="D1833" t="s">
        <v>4134</v>
      </c>
      <c r="E1833">
        <f>1</f>
        <v>1</v>
      </c>
      <c r="F1833" t="str">
        <f>TRIM('Tabela Federal'!$D1833)</f>
        <v>FEMPROPIONATO DE TESTOSTERONA</v>
      </c>
    </row>
    <row r="1834" spans="4:6" x14ac:dyDescent="0.25">
      <c r="D1834" t="s">
        <v>3182</v>
      </c>
      <c r="E1834">
        <f>1</f>
        <v>1</v>
      </c>
      <c r="F1834" t="str">
        <f>TRIM('Tabela Federal'!$D1834)</f>
        <v>ETINILESTRADIOL</v>
      </c>
    </row>
    <row r="1835" spans="4:6" x14ac:dyDescent="0.25">
      <c r="D1835" t="s">
        <v>3999</v>
      </c>
      <c r="E1835">
        <f>1</f>
        <v>1</v>
      </c>
      <c r="F1835" t="str">
        <f>TRIM('Tabela Federal'!$D1835)</f>
        <v>SULFATO DE NEOMICINA</v>
      </c>
    </row>
    <row r="1836" spans="4:6" x14ac:dyDescent="0.25">
      <c r="D1836" t="s">
        <v>4135</v>
      </c>
      <c r="E1836">
        <f>1</f>
        <v>1</v>
      </c>
      <c r="F1836" t="str">
        <f>TRIM('Tabela Federal'!$D1836)</f>
        <v>FIBRINOLISINA</v>
      </c>
    </row>
    <row r="1837" spans="4:6" x14ac:dyDescent="0.25">
      <c r="D1837" t="s">
        <v>4135</v>
      </c>
      <c r="E1837">
        <f>1</f>
        <v>1</v>
      </c>
      <c r="F1837" t="str">
        <f>TRIM('Tabela Federal'!$D1837)</f>
        <v>FIBRINOLISINA</v>
      </c>
    </row>
    <row r="1838" spans="4:6" x14ac:dyDescent="0.25">
      <c r="D1838" t="s">
        <v>4113</v>
      </c>
      <c r="E1838">
        <f>1</f>
        <v>1</v>
      </c>
      <c r="F1838" t="str">
        <f>TRIM('Tabela Federal'!$D1838)</f>
        <v>HIPROMELOSE</v>
      </c>
    </row>
    <row r="1839" spans="4:6" x14ac:dyDescent="0.25">
      <c r="D1839" t="s">
        <v>3994</v>
      </c>
      <c r="E1839">
        <f>1</f>
        <v>1</v>
      </c>
      <c r="F1839" t="str">
        <f>TRIM('Tabela Federal'!$D1839)</f>
        <v>SULFATO DE GENTAMICINA</v>
      </c>
    </row>
    <row r="1840" spans="4:6" x14ac:dyDescent="0.25">
      <c r="D1840" t="s">
        <v>3999</v>
      </c>
      <c r="E1840">
        <f>1</f>
        <v>1</v>
      </c>
      <c r="F1840" t="str">
        <f>TRIM('Tabela Federal'!$D1840)</f>
        <v>SULFATO DE NEOMICINA</v>
      </c>
    </row>
    <row r="1841" spans="4:6" x14ac:dyDescent="0.25">
      <c r="D1841" t="s">
        <v>2699</v>
      </c>
      <c r="E1841">
        <f>1</f>
        <v>1</v>
      </c>
      <c r="F1841" t="str">
        <f>TRIM('Tabela Federal'!$D1841)</f>
        <v>TOBRAMICINA</v>
      </c>
    </row>
    <row r="1842" spans="4:6" x14ac:dyDescent="0.25">
      <c r="D1842" t="s">
        <v>4458</v>
      </c>
      <c r="E1842">
        <f>1</f>
        <v>1</v>
      </c>
      <c r="F1842" t="str">
        <f>TRIM('Tabela Federal'!$D1842)</f>
        <v>DIMETILSULFOXIDO</v>
      </c>
    </row>
    <row r="1843" spans="4:6" x14ac:dyDescent="0.25">
      <c r="D1843" t="s">
        <v>3182</v>
      </c>
      <c r="E1843">
        <f>1</f>
        <v>1</v>
      </c>
      <c r="F1843" t="str">
        <f>TRIM('Tabela Federal'!$D1843)</f>
        <v>ETINILESTRADIOL</v>
      </c>
    </row>
    <row r="1844" spans="4:6" x14ac:dyDescent="0.25">
      <c r="D1844" t="s">
        <v>2789</v>
      </c>
      <c r="E1844">
        <f>1</f>
        <v>1</v>
      </c>
      <c r="F1844" t="str">
        <f>TRIM('Tabela Federal'!$D1844)</f>
        <v>DIMETICONA</v>
      </c>
    </row>
    <row r="1845" spans="4:6" x14ac:dyDescent="0.25">
      <c r="D1845" t="s">
        <v>4136</v>
      </c>
      <c r="E1845">
        <f>1</f>
        <v>1</v>
      </c>
      <c r="F1845" t="str">
        <f>TRIM('Tabela Federal'!$D1845)</f>
        <v>PANCREATINA</v>
      </c>
    </row>
    <row r="1846" spans="4:6" x14ac:dyDescent="0.25">
      <c r="D1846" t="s">
        <v>4378</v>
      </c>
      <c r="E1846">
        <f>1</f>
        <v>1</v>
      </c>
      <c r="F1846" t="str">
        <f>TRIM('Tabela Federal'!$D1846)</f>
        <v>DIATRIZOATO DE SODIO</v>
      </c>
    </row>
    <row r="1847" spans="4:6" x14ac:dyDescent="0.25">
      <c r="D1847" t="s">
        <v>3805</v>
      </c>
      <c r="E1847">
        <f>1</f>
        <v>1</v>
      </c>
      <c r="F1847" t="str">
        <f>TRIM('Tabela Federal'!$D1847)</f>
        <v>MESILATO DE DIIDROERGOCRISTINA</v>
      </c>
    </row>
    <row r="1848" spans="4:6" x14ac:dyDescent="0.25">
      <c r="D1848" t="s">
        <v>4006</v>
      </c>
      <c r="E1848">
        <f>1</f>
        <v>1</v>
      </c>
      <c r="F1848" t="str">
        <f>TRIM('Tabela Federal'!$D1848)</f>
        <v>SULFATO DE TRANILCIPROMINA</v>
      </c>
    </row>
    <row r="1849" spans="4:6" x14ac:dyDescent="0.25">
      <c r="D1849" t="s">
        <v>2659</v>
      </c>
      <c r="E1849">
        <f>1</f>
        <v>1</v>
      </c>
      <c r="F1849" t="str">
        <f>TRIM('Tabela Federal'!$D1849)</f>
        <v>ESTRADIOL</v>
      </c>
    </row>
    <row r="1850" spans="4:6" x14ac:dyDescent="0.25">
      <c r="D1850" t="s">
        <v>4632</v>
      </c>
      <c r="E1850">
        <f>1</f>
        <v>1</v>
      </c>
      <c r="F1850" t="str">
        <f>TRIM('Tabela Federal'!$D1850)</f>
        <v>METILBROMETO DE HOMATROPINA</v>
      </c>
    </row>
    <row r="1851" spans="4:6" x14ac:dyDescent="0.25">
      <c r="D1851" t="s">
        <v>4136</v>
      </c>
      <c r="E1851">
        <f>1</f>
        <v>1</v>
      </c>
      <c r="F1851" t="str">
        <f>TRIM('Tabela Federal'!$D1851)</f>
        <v>PANCREATINA</v>
      </c>
    </row>
    <row r="1852" spans="4:6" x14ac:dyDescent="0.25">
      <c r="D1852" t="s">
        <v>4233</v>
      </c>
      <c r="E1852">
        <f>1</f>
        <v>1</v>
      </c>
      <c r="F1852" t="str">
        <f>TRIM('Tabela Federal'!$D1852)</f>
        <v>SULFATO DE BARIO</v>
      </c>
    </row>
    <row r="1853" spans="4:6" x14ac:dyDescent="0.25">
      <c r="D1853" t="s">
        <v>3657</v>
      </c>
      <c r="E1853">
        <f>1</f>
        <v>1</v>
      </c>
      <c r="F1853" t="str">
        <f>TRIM('Tabela Federal'!$D1853)</f>
        <v>FUMARATO DE FORMOTEROL</v>
      </c>
    </row>
    <row r="1854" spans="4:6" x14ac:dyDescent="0.25">
      <c r="D1854" t="s">
        <v>3954</v>
      </c>
      <c r="E1854">
        <f>1</f>
        <v>1</v>
      </c>
      <c r="F1854" t="str">
        <f>TRIM('Tabela Federal'!$D1854)</f>
        <v>SALBUTAMOL</v>
      </c>
    </row>
    <row r="1855" spans="4:6" x14ac:dyDescent="0.25">
      <c r="D1855" t="s">
        <v>4394</v>
      </c>
      <c r="E1855">
        <f>1</f>
        <v>1</v>
      </c>
      <c r="F1855" t="str">
        <f>TRIM('Tabela Federal'!$D1855)</f>
        <v>FOSFATO DISSODICO DE BETAMETASONA</v>
      </c>
    </row>
    <row r="1856" spans="4:6" x14ac:dyDescent="0.25">
      <c r="D1856" t="s">
        <v>2659</v>
      </c>
      <c r="E1856">
        <f>1</f>
        <v>1</v>
      </c>
      <c r="F1856" t="str">
        <f>TRIM('Tabela Federal'!$D1856)</f>
        <v>ESTRADIOL</v>
      </c>
    </row>
    <row r="1857" spans="4:6" x14ac:dyDescent="0.25">
      <c r="D1857" t="s">
        <v>3182</v>
      </c>
      <c r="E1857">
        <f>1</f>
        <v>1</v>
      </c>
      <c r="F1857" t="str">
        <f>TRIM('Tabela Federal'!$D1857)</f>
        <v>ETINILESTRADIOL</v>
      </c>
    </row>
    <row r="1858" spans="4:6" x14ac:dyDescent="0.25">
      <c r="D1858" t="s">
        <v>3594</v>
      </c>
      <c r="E1858">
        <f>1</f>
        <v>1</v>
      </c>
      <c r="F1858" t="str">
        <f>TRIM('Tabela Federal'!$D1858)</f>
        <v>ENTRICITABINA</v>
      </c>
    </row>
    <row r="1859" spans="4:6" x14ac:dyDescent="0.25">
      <c r="D1859" t="s">
        <v>4137</v>
      </c>
      <c r="E1859">
        <f>1</f>
        <v>1</v>
      </c>
      <c r="F1859" t="str">
        <f>TRIM('Tabela Federal'!$D1859)</f>
        <v>HEXAHIDROBENZOATO DE TESTOSTERONA</v>
      </c>
    </row>
    <row r="1860" spans="4:6" x14ac:dyDescent="0.25">
      <c r="D1860" t="s">
        <v>4094</v>
      </c>
      <c r="E1860">
        <f>1</f>
        <v>1</v>
      </c>
      <c r="F1860" t="str">
        <f>TRIM('Tabela Federal'!$D1860)</f>
        <v>VALERATO DE ESTRADIOL</v>
      </c>
    </row>
    <row r="1861" spans="4:6" x14ac:dyDescent="0.25">
      <c r="D1861" t="s">
        <v>3851</v>
      </c>
      <c r="E1861">
        <f>1</f>
        <v>1</v>
      </c>
      <c r="F1861" t="str">
        <f>TRIM('Tabela Federal'!$D1861)</f>
        <v>NAPROXENO</v>
      </c>
    </row>
    <row r="1862" spans="4:6" x14ac:dyDescent="0.25">
      <c r="D1862" t="s">
        <v>3828</v>
      </c>
      <c r="E1862">
        <f>1</f>
        <v>1</v>
      </c>
      <c r="F1862" t="str">
        <f>TRIM('Tabela Federal'!$D1862)</f>
        <v>METRONIDAZOL</v>
      </c>
    </row>
    <row r="1863" spans="4:6" x14ac:dyDescent="0.25">
      <c r="D1863" t="s">
        <v>3662</v>
      </c>
      <c r="E1863">
        <f>1</f>
        <v>1</v>
      </c>
      <c r="F1863" t="str">
        <f>TRIM('Tabela Federal'!$D1863)</f>
        <v>FUROSEMIDA</v>
      </c>
    </row>
    <row r="1864" spans="4:6" x14ac:dyDescent="0.25">
      <c r="D1864" t="s">
        <v>3699</v>
      </c>
      <c r="E1864">
        <f>1</f>
        <v>1</v>
      </c>
      <c r="F1864" t="str">
        <f>TRIM('Tabela Federal'!$D1864)</f>
        <v>HIDROCLOROTIAZIDA</v>
      </c>
    </row>
    <row r="1865" spans="4:6" x14ac:dyDescent="0.25">
      <c r="D1865" t="s">
        <v>4138</v>
      </c>
      <c r="E1865">
        <f>1</f>
        <v>1</v>
      </c>
      <c r="F1865" t="str">
        <f>TRIM('Tabela Federal'!$D1865)</f>
        <v>GESTODENO</v>
      </c>
    </row>
    <row r="1866" spans="4:6" x14ac:dyDescent="0.25">
      <c r="D1866" t="s">
        <v>2638</v>
      </c>
      <c r="E1866">
        <f>1</f>
        <v>1</v>
      </c>
      <c r="F1866" t="str">
        <f>TRIM('Tabela Federal'!$D1866)</f>
        <v>LEVONORGESTREL</v>
      </c>
    </row>
    <row r="1867" spans="4:6" x14ac:dyDescent="0.25">
      <c r="D1867" t="s">
        <v>4139</v>
      </c>
      <c r="E1867">
        <f>1</f>
        <v>1</v>
      </c>
      <c r="F1867" t="str">
        <f>TRIM('Tabela Federal'!$D1867)</f>
        <v>MEDROXIPROGESTERONA</v>
      </c>
    </row>
    <row r="1868" spans="4:6" x14ac:dyDescent="0.25">
      <c r="D1868" t="s">
        <v>4140</v>
      </c>
      <c r="E1868">
        <f>1</f>
        <v>1</v>
      </c>
      <c r="F1868" t="str">
        <f>TRIM('Tabela Federal'!$D1868)</f>
        <v>NORGESTIMATO</v>
      </c>
    </row>
    <row r="1869" spans="4:6" x14ac:dyDescent="0.25">
      <c r="D1869" t="s">
        <v>4141</v>
      </c>
      <c r="E1869">
        <f>1</f>
        <v>1</v>
      </c>
      <c r="F1869" t="str">
        <f>TRIM('Tabela Federal'!$D1869)</f>
        <v>TRIMEGESTONA</v>
      </c>
    </row>
    <row r="1870" spans="4:6" x14ac:dyDescent="0.25">
      <c r="D1870" t="s">
        <v>3612</v>
      </c>
      <c r="E1870">
        <f>1</f>
        <v>1</v>
      </c>
      <c r="F1870" t="str">
        <f>TRIM('Tabela Federal'!$D1870)</f>
        <v>ETONOGESTREL</v>
      </c>
    </row>
    <row r="1871" spans="4:6" x14ac:dyDescent="0.25">
      <c r="D1871" t="s">
        <v>4138</v>
      </c>
      <c r="E1871">
        <f>1</f>
        <v>1</v>
      </c>
      <c r="F1871" t="str">
        <f>TRIM('Tabela Federal'!$D1871)</f>
        <v>GESTODENO</v>
      </c>
    </row>
    <row r="1872" spans="4:6" x14ac:dyDescent="0.25">
      <c r="D1872" t="s">
        <v>4142</v>
      </c>
      <c r="E1872">
        <f>1</f>
        <v>1</v>
      </c>
      <c r="F1872" t="str">
        <f>TRIM('Tabela Federal'!$D1872)</f>
        <v>HIDROXIPROGESTERONA</v>
      </c>
    </row>
    <row r="1873" spans="4:6" x14ac:dyDescent="0.25">
      <c r="D1873" t="s">
        <v>2638</v>
      </c>
      <c r="E1873">
        <f>1</f>
        <v>1</v>
      </c>
      <c r="F1873" t="str">
        <f>TRIM('Tabela Federal'!$D1873)</f>
        <v>LEVONORGESTREL</v>
      </c>
    </row>
    <row r="1874" spans="4:6" x14ac:dyDescent="0.25">
      <c r="D1874" t="s">
        <v>2638</v>
      </c>
      <c r="E1874">
        <f>1</f>
        <v>1</v>
      </c>
      <c r="F1874" t="str">
        <f>TRIM('Tabela Federal'!$D1874)</f>
        <v>LEVONORGESTREL</v>
      </c>
    </row>
    <row r="1875" spans="4:6" x14ac:dyDescent="0.25">
      <c r="D1875" t="s">
        <v>3767</v>
      </c>
      <c r="E1875">
        <f>1</f>
        <v>1</v>
      </c>
      <c r="F1875" t="str">
        <f>TRIM('Tabela Federal'!$D1875)</f>
        <v>LINESTRENOL</v>
      </c>
    </row>
    <row r="1876" spans="4:6" x14ac:dyDescent="0.25">
      <c r="D1876" t="s">
        <v>4143</v>
      </c>
      <c r="E1876">
        <f>1</f>
        <v>1</v>
      </c>
      <c r="F1876" t="str">
        <f>TRIM('Tabela Federal'!$D1876)</f>
        <v>NORELGESTROMINA</v>
      </c>
    </row>
    <row r="1877" spans="4:6" x14ac:dyDescent="0.25">
      <c r="D1877" t="s">
        <v>3188</v>
      </c>
      <c r="E1877">
        <f>1</f>
        <v>1</v>
      </c>
      <c r="F1877" t="str">
        <f>TRIM('Tabela Federal'!$D1877)</f>
        <v>NORETISTERONA</v>
      </c>
    </row>
    <row r="1878" spans="4:6" x14ac:dyDescent="0.25">
      <c r="D1878" t="s">
        <v>4140</v>
      </c>
      <c r="E1878">
        <f>1</f>
        <v>1</v>
      </c>
      <c r="F1878" t="str">
        <f>TRIM('Tabela Federal'!$D1878)</f>
        <v>NORGESTIMATO</v>
      </c>
    </row>
    <row r="1879" spans="4:6" x14ac:dyDescent="0.25">
      <c r="D1879" t="s">
        <v>4144</v>
      </c>
      <c r="E1879">
        <f>1</f>
        <v>1</v>
      </c>
      <c r="F1879" t="str">
        <f>TRIM('Tabela Federal'!$D1879)</f>
        <v>NORGESTREL</v>
      </c>
    </row>
    <row r="1880" spans="4:6" x14ac:dyDescent="0.25">
      <c r="D1880" t="s">
        <v>4145</v>
      </c>
      <c r="E1880">
        <f>1</f>
        <v>1</v>
      </c>
      <c r="F1880" t="str">
        <f>TRIM('Tabela Federal'!$D1880)</f>
        <v>NORMETADONA</v>
      </c>
    </row>
    <row r="1881" spans="4:6" x14ac:dyDescent="0.25">
      <c r="D1881" t="s">
        <v>4459</v>
      </c>
      <c r="E1881">
        <f>1</f>
        <v>1</v>
      </c>
      <c r="F1881" t="str">
        <f>TRIM('Tabela Federal'!$D1881)</f>
        <v>EXTRATO DE MEDULA OSSEA</v>
      </c>
    </row>
    <row r="1882" spans="4:6" x14ac:dyDescent="0.25">
      <c r="D1882" t="s">
        <v>2693</v>
      </c>
      <c r="E1882">
        <f>1</f>
        <v>1</v>
      </c>
      <c r="F1882" t="str">
        <f>TRIM('Tabela Federal'!$D1882)</f>
        <v>SINVASTATINA</v>
      </c>
    </row>
    <row r="1883" spans="4:6" x14ac:dyDescent="0.25">
      <c r="D1883" t="s">
        <v>4213</v>
      </c>
      <c r="E1883">
        <f>1</f>
        <v>1</v>
      </c>
      <c r="F1883" t="str">
        <f>TRIM('Tabela Federal'!$D1883)</f>
        <v>FATOR IX DE COAGULAcAO</v>
      </c>
    </row>
    <row r="1884" spans="4:6" x14ac:dyDescent="0.25">
      <c r="D1884" t="s">
        <v>4213</v>
      </c>
      <c r="E1884">
        <f>1</f>
        <v>1</v>
      </c>
      <c r="F1884" t="str">
        <f>TRIM('Tabela Federal'!$D1884)</f>
        <v>FATOR IX DE COAGULAcAO</v>
      </c>
    </row>
    <row r="1885" spans="4:6" x14ac:dyDescent="0.25">
      <c r="D1885" t="s">
        <v>4214</v>
      </c>
      <c r="E1885">
        <f>1</f>
        <v>1</v>
      </c>
      <c r="F1885" t="str">
        <f>TRIM('Tabela Federal'!$D1885)</f>
        <v>FATOR VIII DE COAGULAcAO</v>
      </c>
    </row>
    <row r="1886" spans="4:6" x14ac:dyDescent="0.25">
      <c r="D1886" t="s">
        <v>3975</v>
      </c>
      <c r="E1886">
        <f>1</f>
        <v>1</v>
      </c>
      <c r="F1886" t="str">
        <f>TRIM('Tabela Federal'!$D1886)</f>
        <v>SUCCINATO DE METOPROLOL</v>
      </c>
    </row>
    <row r="1887" spans="4:6" x14ac:dyDescent="0.25">
      <c r="D1887" t="s">
        <v>4633</v>
      </c>
      <c r="E1887">
        <f>1</f>
        <v>1</v>
      </c>
      <c r="F1887" t="str">
        <f>TRIM('Tabela Federal'!$D1887)</f>
        <v>TROMBINA HUMANA</v>
      </c>
    </row>
    <row r="1888" spans="4:6" x14ac:dyDescent="0.25">
      <c r="D1888" t="s">
        <v>3994</v>
      </c>
      <c r="E1888">
        <f>1</f>
        <v>1</v>
      </c>
      <c r="F1888" t="str">
        <f>TRIM('Tabela Federal'!$D1888)</f>
        <v>SULFATO DE GENTAMICINA</v>
      </c>
    </row>
    <row r="1889" spans="4:6" x14ac:dyDescent="0.25">
      <c r="D1889" t="s">
        <v>3999</v>
      </c>
      <c r="E1889">
        <f>1</f>
        <v>1</v>
      </c>
      <c r="F1889" t="str">
        <f>TRIM('Tabela Federal'!$D1889)</f>
        <v>SULFATO DE NEOMICINA</v>
      </c>
    </row>
    <row r="1890" spans="4:6" x14ac:dyDescent="0.25">
      <c r="D1890" t="s">
        <v>3994</v>
      </c>
      <c r="E1890">
        <f>1</f>
        <v>1</v>
      </c>
      <c r="F1890" t="str">
        <f>TRIM('Tabela Federal'!$D1890)</f>
        <v>SULFATO DE GENTAMICINA</v>
      </c>
    </row>
    <row r="1891" spans="4:6" x14ac:dyDescent="0.25">
      <c r="D1891" t="s">
        <v>3999</v>
      </c>
      <c r="E1891">
        <f>1</f>
        <v>1</v>
      </c>
      <c r="F1891" t="str">
        <f>TRIM('Tabela Federal'!$D1891)</f>
        <v>SULFATO DE NEOMICINA</v>
      </c>
    </row>
    <row r="1892" spans="4:6" x14ac:dyDescent="0.25">
      <c r="D1892" t="s">
        <v>3699</v>
      </c>
      <c r="E1892">
        <f>1</f>
        <v>1</v>
      </c>
      <c r="F1892" t="str">
        <f>TRIM('Tabela Federal'!$D1892)</f>
        <v>HIDROCLOROTIAZIDA</v>
      </c>
    </row>
    <row r="1893" spans="4:6" x14ac:dyDescent="0.25">
      <c r="D1893" t="s">
        <v>3699</v>
      </c>
      <c r="E1893">
        <f>1</f>
        <v>1</v>
      </c>
      <c r="F1893" t="str">
        <f>TRIM('Tabela Federal'!$D1893)</f>
        <v>HIDROCLOROTIAZIDA</v>
      </c>
    </row>
    <row r="1894" spans="4:6" x14ac:dyDescent="0.25">
      <c r="D1894" t="s">
        <v>4146</v>
      </c>
      <c r="E1894">
        <f>1</f>
        <v>1</v>
      </c>
      <c r="F1894" t="str">
        <f>TRIM('Tabela Federal'!$D1894)</f>
        <v>TRIANTERENO</v>
      </c>
    </row>
    <row r="1895" spans="4:6" x14ac:dyDescent="0.25">
      <c r="D1895" t="s">
        <v>3790</v>
      </c>
      <c r="E1895">
        <f>1</f>
        <v>1</v>
      </c>
      <c r="F1895" t="str">
        <f>TRIM('Tabela Federal'!$D1895)</f>
        <v>MALEATO DE ROSIGLITAZONA</v>
      </c>
    </row>
    <row r="1896" spans="4:6" x14ac:dyDescent="0.25">
      <c r="D1896" t="s">
        <v>4004</v>
      </c>
      <c r="E1896">
        <f>1</f>
        <v>1</v>
      </c>
      <c r="F1896" t="str">
        <f>TRIM('Tabela Federal'!$D1896)</f>
        <v>SULFATO DE TERBUTALINA</v>
      </c>
    </row>
    <row r="1897" spans="4:6" x14ac:dyDescent="0.25">
      <c r="D1897" t="s">
        <v>3699</v>
      </c>
      <c r="E1897">
        <f>1</f>
        <v>1</v>
      </c>
      <c r="F1897" t="str">
        <f>TRIM('Tabela Federal'!$D1897)</f>
        <v>HIDROCLOROTIAZIDA</v>
      </c>
    </row>
    <row r="1898" spans="4:6" x14ac:dyDescent="0.25">
      <c r="D1898" t="s">
        <v>3195</v>
      </c>
      <c r="E1898">
        <f>1</f>
        <v>1</v>
      </c>
      <c r="F1898" t="str">
        <f>TRIM('Tabela Federal'!$D1898)</f>
        <v>HIALURONIDASE</v>
      </c>
    </row>
    <row r="1899" spans="4:6" x14ac:dyDescent="0.25">
      <c r="D1899" t="s">
        <v>4147</v>
      </c>
      <c r="E1899">
        <f>1</f>
        <v>1</v>
      </c>
      <c r="F1899" t="str">
        <f>TRIM('Tabela Federal'!$D1899)</f>
        <v>NICOTINATO DE BENZILA</v>
      </c>
    </row>
    <row r="1900" spans="4:6" x14ac:dyDescent="0.25">
      <c r="D1900" t="s">
        <v>3177</v>
      </c>
      <c r="E1900">
        <f>1</f>
        <v>1</v>
      </c>
      <c r="F1900" t="str">
        <f>TRIM('Tabela Federal'!$D1900)</f>
        <v>LIDOCAINA</v>
      </c>
    </row>
    <row r="1901" spans="4:6" x14ac:dyDescent="0.25">
      <c r="D1901" t="s">
        <v>3740</v>
      </c>
      <c r="E1901">
        <f>1</f>
        <v>1</v>
      </c>
      <c r="F1901" t="str">
        <f>TRIM('Tabela Federal'!$D1901)</f>
        <v>IRBESARTANA</v>
      </c>
    </row>
    <row r="1902" spans="4:6" x14ac:dyDescent="0.25">
      <c r="D1902" t="s">
        <v>3773</v>
      </c>
      <c r="E1902">
        <f>1</f>
        <v>1</v>
      </c>
      <c r="F1902" t="str">
        <f>TRIM('Tabela Federal'!$D1902)</f>
        <v>LISINOPRIL</v>
      </c>
    </row>
    <row r="1903" spans="4:6" x14ac:dyDescent="0.25">
      <c r="D1903" t="s">
        <v>2788</v>
      </c>
      <c r="E1903">
        <f>1</f>
        <v>1</v>
      </c>
      <c r="F1903" t="str">
        <f>TRIM('Tabela Federal'!$D1903)</f>
        <v>LOSARTANA</v>
      </c>
    </row>
    <row r="1904" spans="4:6" x14ac:dyDescent="0.25">
      <c r="D1904" t="s">
        <v>4227</v>
      </c>
      <c r="E1904">
        <f>1</f>
        <v>1</v>
      </c>
      <c r="F1904" t="str">
        <f>TRIM('Tabela Federal'!$D1904)</f>
        <v>LOSARTANA POTASSICA</v>
      </c>
    </row>
    <row r="1905" spans="4:6" x14ac:dyDescent="0.25">
      <c r="D1905" t="s">
        <v>3783</v>
      </c>
      <c r="E1905">
        <f>1</f>
        <v>1</v>
      </c>
      <c r="F1905" t="str">
        <f>TRIM('Tabela Federal'!$D1905)</f>
        <v>MALEATO DE ENALAPRIL</v>
      </c>
    </row>
    <row r="1906" spans="4:6" x14ac:dyDescent="0.25">
      <c r="D1906" t="s">
        <v>3808</v>
      </c>
      <c r="E1906">
        <f>1</f>
        <v>1</v>
      </c>
      <c r="F1906" t="str">
        <f>TRIM('Tabela Federal'!$D1906)</f>
        <v>MESILATO DE EPROSARTANA</v>
      </c>
    </row>
    <row r="1907" spans="4:6" x14ac:dyDescent="0.25">
      <c r="D1907" t="s">
        <v>3820</v>
      </c>
      <c r="E1907">
        <f>1</f>
        <v>1</v>
      </c>
      <c r="F1907" t="str">
        <f>TRIM('Tabela Federal'!$D1907)</f>
        <v>METILDOPA</v>
      </c>
    </row>
    <row r="1908" spans="4:6" x14ac:dyDescent="0.25">
      <c r="D1908" t="s">
        <v>3876</v>
      </c>
      <c r="E1908">
        <f>1</f>
        <v>1</v>
      </c>
      <c r="F1908" t="str">
        <f>TRIM('Tabela Federal'!$D1908)</f>
        <v>OLMESARTANA MEDOXOMILA</v>
      </c>
    </row>
    <row r="1909" spans="4:6" x14ac:dyDescent="0.25">
      <c r="D1909" t="s">
        <v>3937</v>
      </c>
      <c r="E1909">
        <f>1</f>
        <v>1</v>
      </c>
      <c r="F1909" t="str">
        <f>TRIM('Tabela Federal'!$D1909)</f>
        <v>RAMIPRIL</v>
      </c>
    </row>
    <row r="1910" spans="4:6" x14ac:dyDescent="0.25">
      <c r="D1910" t="s">
        <v>3941</v>
      </c>
      <c r="E1910">
        <f>1</f>
        <v>1</v>
      </c>
      <c r="F1910" t="str">
        <f>TRIM('Tabela Federal'!$D1910)</f>
        <v>RESERPINA</v>
      </c>
    </row>
    <row r="1911" spans="4:6" x14ac:dyDescent="0.25">
      <c r="D1911" t="s">
        <v>3975</v>
      </c>
      <c r="E1911">
        <f>1</f>
        <v>1</v>
      </c>
      <c r="F1911" t="str">
        <f>TRIM('Tabela Federal'!$D1911)</f>
        <v>SUCCINATO DE METOPROLOL</v>
      </c>
    </row>
    <row r="1912" spans="4:6" x14ac:dyDescent="0.25">
      <c r="D1912" t="s">
        <v>4020</v>
      </c>
      <c r="E1912">
        <f>1</f>
        <v>1</v>
      </c>
      <c r="F1912" t="str">
        <f>TRIM('Tabela Federal'!$D1912)</f>
        <v>TARTARATO DE METOPROLOL</v>
      </c>
    </row>
    <row r="1913" spans="4:6" x14ac:dyDescent="0.25">
      <c r="D1913" t="s">
        <v>4026</v>
      </c>
      <c r="E1913">
        <f>1</f>
        <v>1</v>
      </c>
      <c r="F1913" t="str">
        <f>TRIM('Tabela Federal'!$D1913)</f>
        <v>TELMISARTANA</v>
      </c>
    </row>
    <row r="1914" spans="4:6" x14ac:dyDescent="0.25">
      <c r="D1914" t="s">
        <v>4146</v>
      </c>
      <c r="E1914">
        <f>1</f>
        <v>1</v>
      </c>
      <c r="F1914" t="str">
        <f>TRIM('Tabela Federal'!$D1914)</f>
        <v>TRIANTERENO</v>
      </c>
    </row>
    <row r="1915" spans="4:6" x14ac:dyDescent="0.25">
      <c r="D1915" t="s">
        <v>4096</v>
      </c>
      <c r="E1915">
        <f>1</f>
        <v>1</v>
      </c>
      <c r="F1915" t="str">
        <f>TRIM('Tabela Federal'!$D1915)</f>
        <v>VALSARTANA</v>
      </c>
    </row>
    <row r="1916" spans="4:6" x14ac:dyDescent="0.25">
      <c r="D1916" t="s">
        <v>3999</v>
      </c>
      <c r="E1916">
        <f>1</f>
        <v>1</v>
      </c>
      <c r="F1916" t="str">
        <f>TRIM('Tabela Federal'!$D1916)</f>
        <v>SULFATO DE NEOMICINA</v>
      </c>
    </row>
    <row r="1917" spans="4:6" x14ac:dyDescent="0.25">
      <c r="D1917" t="s">
        <v>4407</v>
      </c>
      <c r="E1917">
        <f>1</f>
        <v>1</v>
      </c>
      <c r="F1917" t="str">
        <f>TRIM('Tabela Federal'!$D1917)</f>
        <v>HORMONIO LUTEINIZANTE</v>
      </c>
    </row>
    <row r="1918" spans="4:6" x14ac:dyDescent="0.25">
      <c r="D1918" t="s">
        <v>3902</v>
      </c>
      <c r="E1918">
        <f>1</f>
        <v>1</v>
      </c>
      <c r="F1918" t="str">
        <f>TRIM('Tabela Federal'!$D1918)</f>
        <v>PERINDOPRIL ERBUMINA</v>
      </c>
    </row>
    <row r="1919" spans="4:6" x14ac:dyDescent="0.25">
      <c r="D1919" t="s">
        <v>4148</v>
      </c>
      <c r="E1919">
        <f>1</f>
        <v>1</v>
      </c>
      <c r="F1919" t="str">
        <f>TRIM('Tabela Federal'!$D1919)</f>
        <v>IOPIDONA</v>
      </c>
    </row>
    <row r="1920" spans="4:6" x14ac:dyDescent="0.25">
      <c r="D1920" t="s">
        <v>4460</v>
      </c>
      <c r="E1920">
        <f>1</f>
        <v>1</v>
      </c>
      <c r="F1920" t="str">
        <f>TRIM('Tabela Federal'!$D1920)</f>
        <v>IOXAGLATO DE SODIO</v>
      </c>
    </row>
    <row r="1921" spans="4:6" x14ac:dyDescent="0.25">
      <c r="D1921" t="s">
        <v>4461</v>
      </c>
      <c r="E1921">
        <f>1</f>
        <v>1</v>
      </c>
      <c r="F1921" t="str">
        <f>TRIM('Tabela Federal'!$D1921)</f>
        <v>IOXITALAMATO DE SODIO</v>
      </c>
    </row>
    <row r="1922" spans="4:6" x14ac:dyDescent="0.25">
      <c r="D1922" t="s">
        <v>4149</v>
      </c>
      <c r="E1922">
        <f>1</f>
        <v>1</v>
      </c>
      <c r="F1922" t="str">
        <f>TRIM('Tabela Federal'!$D1922)</f>
        <v>POVIDONA</v>
      </c>
    </row>
    <row r="1923" spans="4:6" x14ac:dyDescent="0.25">
      <c r="D1923" t="s">
        <v>3945</v>
      </c>
      <c r="E1923">
        <f>1</f>
        <v>1</v>
      </c>
      <c r="F1923" t="str">
        <f>TRIM('Tabela Federal'!$D1923)</f>
        <v>RIFAMPICINA</v>
      </c>
    </row>
    <row r="1924" spans="4:6" x14ac:dyDescent="0.25">
      <c r="D1924" t="s">
        <v>3982</v>
      </c>
      <c r="E1924">
        <f>1</f>
        <v>1</v>
      </c>
      <c r="F1924" t="str">
        <f>TRIM('Tabela Federal'!$D1924)</f>
        <v>SULFATO DE ABACAVIR</v>
      </c>
    </row>
    <row r="1925" spans="4:6" x14ac:dyDescent="0.25">
      <c r="D1925" t="s">
        <v>3982</v>
      </c>
      <c r="E1925">
        <f>1</f>
        <v>1</v>
      </c>
      <c r="F1925" t="str">
        <f>TRIM('Tabela Federal'!$D1925)</f>
        <v>SULFATO DE ABACAVIR</v>
      </c>
    </row>
    <row r="1926" spans="4:6" x14ac:dyDescent="0.25">
      <c r="D1926" t="s">
        <v>4107</v>
      </c>
      <c r="E1926">
        <f>1</f>
        <v>1</v>
      </c>
      <c r="F1926" t="str">
        <f>TRIM('Tabela Federal'!$D1926)</f>
        <v>ZIDOVUDINA</v>
      </c>
    </row>
    <row r="1927" spans="4:6" x14ac:dyDescent="0.25">
      <c r="D1927" t="s">
        <v>2790</v>
      </c>
      <c r="E1927">
        <f>1</f>
        <v>1</v>
      </c>
      <c r="F1927" t="str">
        <f>TRIM('Tabela Federal'!$D1927)</f>
        <v>MALEATO DE TIMOLOL</v>
      </c>
    </row>
    <row r="1928" spans="4:6" x14ac:dyDescent="0.25">
      <c r="D1928" t="s">
        <v>4094</v>
      </c>
      <c r="E1928">
        <f>1</f>
        <v>1</v>
      </c>
      <c r="F1928" t="str">
        <f>TRIM('Tabela Federal'!$D1928)</f>
        <v>VALERATO DE ESTRADIOL</v>
      </c>
    </row>
    <row r="1929" spans="4:6" x14ac:dyDescent="0.25">
      <c r="D1929" t="s">
        <v>4414</v>
      </c>
      <c r="E1929">
        <f>1</f>
        <v>1</v>
      </c>
      <c r="F1929" t="str">
        <f>TRIM('Tabela Federal'!$D1929)</f>
        <v>LIOTIRONINA SODICA</v>
      </c>
    </row>
    <row r="1930" spans="4:6" x14ac:dyDescent="0.25">
      <c r="D1930" t="s">
        <v>4333</v>
      </c>
      <c r="E1930">
        <f>1</f>
        <v>1</v>
      </c>
      <c r="F1930" t="str">
        <f>TRIM('Tabela Federal'!$D1930)</f>
        <v>PRILOCAINA</v>
      </c>
    </row>
    <row r="1931" spans="4:6" x14ac:dyDescent="0.25">
      <c r="D1931" t="s">
        <v>3805</v>
      </c>
      <c r="E1931">
        <f>1</f>
        <v>1</v>
      </c>
      <c r="F1931" t="str">
        <f>TRIM('Tabela Federal'!$D1931)</f>
        <v>MESILATO DE DIIDROERGOCRISTINA</v>
      </c>
    </row>
    <row r="1932" spans="4:6" x14ac:dyDescent="0.25">
      <c r="D1932" t="s">
        <v>3948</v>
      </c>
      <c r="E1932">
        <f>1</f>
        <v>1</v>
      </c>
      <c r="F1932" t="str">
        <f>TRIM('Tabela Federal'!$D1932)</f>
        <v>RITONAVIR</v>
      </c>
    </row>
    <row r="1933" spans="4:6" x14ac:dyDescent="0.25">
      <c r="D1933" t="s">
        <v>3858</v>
      </c>
      <c r="E1933">
        <f>1</f>
        <v>1</v>
      </c>
      <c r="F1933" t="str">
        <f>TRIM('Tabela Federal'!$D1933)</f>
        <v>NIFEDIPINO</v>
      </c>
    </row>
    <row r="1934" spans="4:6" x14ac:dyDescent="0.25">
      <c r="D1934" t="s">
        <v>2619</v>
      </c>
      <c r="E1934">
        <f>1</f>
        <v>1</v>
      </c>
      <c r="F1934" t="str">
        <f>TRIM('Tabela Federal'!$D1934)</f>
        <v>TARTARATO DE BRIMONIDINA</v>
      </c>
    </row>
    <row r="1935" spans="4:6" x14ac:dyDescent="0.25">
      <c r="D1935" t="s">
        <v>4055</v>
      </c>
      <c r="E1935">
        <f>1</f>
        <v>1</v>
      </c>
      <c r="F1935" t="str">
        <f>TRIM('Tabela Federal'!$D1935)</f>
        <v>TRAVOPROSTA</v>
      </c>
    </row>
    <row r="1936" spans="4:6" x14ac:dyDescent="0.25">
      <c r="D1936" t="s">
        <v>4035</v>
      </c>
      <c r="E1936">
        <f>1</f>
        <v>1</v>
      </c>
      <c r="F1936" t="str">
        <f>TRIM('Tabela Federal'!$D1936)</f>
        <v>TIABENDAZOL</v>
      </c>
    </row>
    <row r="1937" spans="4:6" x14ac:dyDescent="0.25">
      <c r="D1937" t="s">
        <v>4149</v>
      </c>
      <c r="E1937">
        <f>1</f>
        <v>1</v>
      </c>
      <c r="F1937" t="str">
        <f>TRIM('Tabela Federal'!$D1937)</f>
        <v>POVIDONA</v>
      </c>
    </row>
    <row r="1938" spans="4:6" x14ac:dyDescent="0.25">
      <c r="D1938" t="s">
        <v>3908</v>
      </c>
      <c r="E1938">
        <f>1</f>
        <v>1</v>
      </c>
      <c r="F1938" t="str">
        <f>TRIM('Tabela Federal'!$D1938)</f>
        <v>PIRACETAM</v>
      </c>
    </row>
    <row r="1939" spans="4:6" x14ac:dyDescent="0.25">
      <c r="D1939" t="s">
        <v>3908</v>
      </c>
      <c r="E1939">
        <f>1</f>
        <v>1</v>
      </c>
      <c r="F1939" t="str">
        <f>TRIM('Tabela Federal'!$D1939)</f>
        <v>PIRACETAM</v>
      </c>
    </row>
    <row r="1940" spans="4:6" x14ac:dyDescent="0.25">
      <c r="D1940" t="s">
        <v>3852</v>
      </c>
      <c r="E1940">
        <f>1</f>
        <v>1</v>
      </c>
      <c r="F1940" t="str">
        <f>TRIM('Tabela Federal'!$D1940)</f>
        <v>NATEGLINIDA</v>
      </c>
    </row>
    <row r="1941" spans="4:6" x14ac:dyDescent="0.25">
      <c r="D1941" t="s">
        <v>3976</v>
      </c>
      <c r="E1941">
        <f>1</f>
        <v>1</v>
      </c>
      <c r="F1941" t="str">
        <f>TRIM('Tabela Federal'!$D1941)</f>
        <v>SUCCINATO DE SUMATRIPTANA</v>
      </c>
    </row>
    <row r="1942" spans="4:6" x14ac:dyDescent="0.25">
      <c r="D1942" t="s">
        <v>4035</v>
      </c>
      <c r="E1942">
        <f>1</f>
        <v>1</v>
      </c>
      <c r="F1942" t="str">
        <f>TRIM('Tabela Federal'!$D1942)</f>
        <v>TIABENDAZOL</v>
      </c>
    </row>
    <row r="1943" spans="4:6" x14ac:dyDescent="0.25">
      <c r="D1943" t="s">
        <v>4094</v>
      </c>
      <c r="E1943">
        <f>1</f>
        <v>1</v>
      </c>
      <c r="F1943" t="str">
        <f>TRIM('Tabela Federal'!$D1943)</f>
        <v>VALERATO DE ESTRADIOL</v>
      </c>
    </row>
    <row r="1944" spans="4:6" x14ac:dyDescent="0.25">
      <c r="D1944" t="s">
        <v>4462</v>
      </c>
      <c r="E1944">
        <f>1</f>
        <v>1</v>
      </c>
      <c r="F1944" t="str">
        <f>TRIM('Tabela Federal'!$D1944)</f>
        <v>TAZOBACTAM SODICO</v>
      </c>
    </row>
    <row r="1945" spans="4:6" x14ac:dyDescent="0.25">
      <c r="D1945" t="s">
        <v>4150</v>
      </c>
      <c r="E1945">
        <f>1</f>
        <v>1</v>
      </c>
      <c r="F1945" t="str">
        <f>TRIM('Tabela Federal'!$D1945)</f>
        <v>SULFADOXINA</v>
      </c>
    </row>
    <row r="1946" spans="4:6" x14ac:dyDescent="0.25">
      <c r="D1946" t="s">
        <v>4104</v>
      </c>
      <c r="E1946">
        <f>1</f>
        <v>1</v>
      </c>
      <c r="F1946" t="str">
        <f>TRIM('Tabela Federal'!$D1946)</f>
        <v>XINAFOATO DE SALMETEROL</v>
      </c>
    </row>
    <row r="1947" spans="4:6" x14ac:dyDescent="0.25">
      <c r="D1947" t="s">
        <v>4634</v>
      </c>
      <c r="E1947">
        <f>1</f>
        <v>1</v>
      </c>
      <c r="F1947" t="str">
        <f>TRIM('Tabela Federal'!$D1947)</f>
        <v>REMIFENTANILA</v>
      </c>
    </row>
    <row r="1948" spans="4:6" x14ac:dyDescent="0.25">
      <c r="D1948" t="s">
        <v>4024</v>
      </c>
      <c r="E1948">
        <f>1</f>
        <v>1</v>
      </c>
      <c r="F1948" t="str">
        <f>TRIM('Tabela Federal'!$D1948)</f>
        <v>TEICOPLANINA</v>
      </c>
    </row>
    <row r="1949" spans="4:6" x14ac:dyDescent="0.25">
      <c r="D1949" t="s">
        <v>4278</v>
      </c>
      <c r="E1949">
        <f>1</f>
        <v>1</v>
      </c>
      <c r="F1949" t="str">
        <f>TRIM('Tabela Federal'!$D1949)</f>
        <v>ACIDO ACETILSALICILICO</v>
      </c>
    </row>
    <row r="1950" spans="4:6" x14ac:dyDescent="0.25">
      <c r="D1950" t="s">
        <v>4096</v>
      </c>
      <c r="E1950">
        <f>1</f>
        <v>1</v>
      </c>
      <c r="F1950" t="str">
        <f>TRIM('Tabela Federal'!$D1950)</f>
        <v>VALSARTANA</v>
      </c>
    </row>
    <row r="1951" spans="4:6" x14ac:dyDescent="0.25">
      <c r="D1951" t="s">
        <v>4230</v>
      </c>
      <c r="E1951">
        <f>1</f>
        <v>1</v>
      </c>
      <c r="F1951" t="str">
        <f>TRIM('Tabela Federal'!$D1951)</f>
        <v>SORO ANTICROTALICO</v>
      </c>
    </row>
    <row r="1952" spans="4:6" x14ac:dyDescent="0.25">
      <c r="D1952" t="s">
        <v>4274</v>
      </c>
      <c r="E1952">
        <f>1</f>
        <v>1</v>
      </c>
      <c r="F1952" t="str">
        <f>TRIM('Tabela Federal'!$D1952)</f>
        <v>SORO LAQUETICO</v>
      </c>
    </row>
    <row r="1953" spans="4:6" x14ac:dyDescent="0.25">
      <c r="D1953" t="s">
        <v>4151</v>
      </c>
      <c r="E1953">
        <f>1</f>
        <v>1</v>
      </c>
      <c r="F1953" t="str">
        <f>TRIM('Tabela Federal'!$D1953)</f>
        <v>TRIMETOPRIMA</v>
      </c>
    </row>
    <row r="1954" spans="4:6" x14ac:dyDescent="0.25">
      <c r="D1954" t="s">
        <v>4151</v>
      </c>
      <c r="E1954">
        <f>1</f>
        <v>1</v>
      </c>
      <c r="F1954" t="str">
        <f>TRIM('Tabela Federal'!$D1954)</f>
        <v>TRIMETOPRIMA</v>
      </c>
    </row>
    <row r="1955" spans="4:6" x14ac:dyDescent="0.25">
      <c r="D1955" t="s">
        <v>3995</v>
      </c>
      <c r="E1955">
        <f>1</f>
        <v>1</v>
      </c>
      <c r="F1955" t="str">
        <f>TRIM('Tabela Federal'!$D1955)</f>
        <v>SULFATO DE GLICOSAMINA</v>
      </c>
    </row>
    <row r="1956" spans="4:6" x14ac:dyDescent="0.25">
      <c r="D1956" t="s">
        <v>4031</v>
      </c>
      <c r="E1956">
        <f>1</f>
        <v>1</v>
      </c>
      <c r="F1956" t="str">
        <f>TRIM('Tabela Federal'!$D1956)</f>
        <v>TEOFILINA</v>
      </c>
    </row>
    <row r="1957" spans="4:6" x14ac:dyDescent="0.25">
      <c r="D1957" t="s">
        <v>4463</v>
      </c>
      <c r="E1957">
        <f>1</f>
        <v>1</v>
      </c>
      <c r="F1957" t="str">
        <f>TRIM('Tabela Federal'!$D1957)</f>
        <v>SULFATO SODICO DE CONDROITINA</v>
      </c>
    </row>
    <row r="1958" spans="4:6" x14ac:dyDescent="0.25">
      <c r="D1958" t="s">
        <v>4128</v>
      </c>
      <c r="E1958">
        <f>1</f>
        <v>1</v>
      </c>
      <c r="F1958" t="str">
        <f>TRIM('Tabela Federal'!$D1958)</f>
        <v>SULFATO DE POLIMIXINA B</v>
      </c>
    </row>
    <row r="1959" spans="4:6" x14ac:dyDescent="0.25">
      <c r="D1959" t="s">
        <v>4152</v>
      </c>
      <c r="E1959">
        <f>1</f>
        <v>1</v>
      </c>
      <c r="F1959" t="str">
        <f>TRIM('Tabela Federal'!$D1959)</f>
        <v>URACILA</v>
      </c>
    </row>
    <row r="1960" spans="4:6" x14ac:dyDescent="0.25">
      <c r="D1960" t="s">
        <v>4464</v>
      </c>
      <c r="E1960">
        <f>1</f>
        <v>1</v>
      </c>
      <c r="F1960" t="str">
        <f>TRIM('Tabela Federal'!$D1960)</f>
        <v>TOXOIDE TETANICO</v>
      </c>
    </row>
    <row r="1961" spans="4:6" x14ac:dyDescent="0.25">
      <c r="D1961" t="s">
        <v>4464</v>
      </c>
      <c r="E1961">
        <f>1</f>
        <v>1</v>
      </c>
      <c r="F1961" t="str">
        <f>TRIM('Tabela Federal'!$D1961)</f>
        <v>TOXOIDE TETANICO</v>
      </c>
    </row>
    <row r="1962" spans="4:6" x14ac:dyDescent="0.25">
      <c r="D1962" t="s">
        <v>4275</v>
      </c>
      <c r="E1962">
        <f>1</f>
        <v>1</v>
      </c>
      <c r="F1962" t="str">
        <f>TRIM('Tabela Federal'!$D1962)</f>
        <v>VACINA ANTIPIOGENICA</v>
      </c>
    </row>
    <row r="1963" spans="4:6" x14ac:dyDescent="0.25">
      <c r="D1963" t="s">
        <v>4153</v>
      </c>
      <c r="E1963">
        <f>1</f>
        <v>1</v>
      </c>
      <c r="F1963" t="str">
        <f>TRIM('Tabela Federal'!$D1963)</f>
        <v>TIPO B</v>
      </c>
    </row>
    <row r="1964" spans="4:6" x14ac:dyDescent="0.25">
      <c r="D1964" t="s">
        <v>4154</v>
      </c>
      <c r="E1964">
        <f>1</f>
        <v>1</v>
      </c>
      <c r="F1964" t="str">
        <f>TRIM('Tabela Federal'!$D1964)</f>
        <v>LORETINATO DE BISMUTO</v>
      </c>
    </row>
    <row r="1965" spans="4:6" x14ac:dyDescent="0.25">
      <c r="D1965" t="s">
        <v>3484</v>
      </c>
      <c r="E1965">
        <f>1</f>
        <v>1</v>
      </c>
      <c r="F1965" t="str">
        <f>TRIM('Tabela Federal'!$D1965)</f>
        <v>CLORIDRATO DE PIRIDOXINA</v>
      </c>
    </row>
    <row r="1966" spans="4:6" x14ac:dyDescent="0.25">
      <c r="D1966" t="s">
        <v>4458</v>
      </c>
      <c r="E1966">
        <f>1</f>
        <v>1</v>
      </c>
      <c r="F1966" t="str">
        <f>TRIM('Tabela Federal'!$D1966)</f>
        <v>DIMETILSULFOXIDO</v>
      </c>
    </row>
    <row r="1967" spans="4:6" x14ac:dyDescent="0.25">
      <c r="D1967" t="s">
        <v>4155</v>
      </c>
      <c r="E1967">
        <f>1</f>
        <v>1</v>
      </c>
      <c r="F1967" t="str">
        <f>TRIM('Tabela Federal'!$D1967)</f>
        <v>NITROFURAL</v>
      </c>
    </row>
    <row r="1968" spans="4:6" x14ac:dyDescent="0.25">
      <c r="D1968" t="s">
        <v>4456</v>
      </c>
      <c r="E1968">
        <f>1</f>
        <v>1</v>
      </c>
      <c r="F1968" t="str">
        <f>TRIM('Tabela Federal'!$D1968)</f>
        <v>SULFACETAMIDA SODICA</v>
      </c>
    </row>
    <row r="1969" spans="4:6" x14ac:dyDescent="0.25">
      <c r="D1969" t="s">
        <v>4128</v>
      </c>
      <c r="E1969">
        <f>1</f>
        <v>1</v>
      </c>
      <c r="F1969" t="str">
        <f>TRIM('Tabela Federal'!$D1969)</f>
        <v>SULFATO DE POLIMIXINA B</v>
      </c>
    </row>
    <row r="1970" spans="4:6" x14ac:dyDescent="0.25">
      <c r="D1970" t="s">
        <v>3303</v>
      </c>
      <c r="E1970">
        <f>1</f>
        <v>1</v>
      </c>
      <c r="F1970" t="str">
        <f>TRIM('Tabela Federal'!$D1970)</f>
        <v>BENZILPENICILINA</v>
      </c>
    </row>
    <row r="1971" spans="4:6" x14ac:dyDescent="0.25">
      <c r="D1971" t="s">
        <v>4331</v>
      </c>
      <c r="E1971">
        <f>1</f>
        <v>1</v>
      </c>
      <c r="F1971" t="str">
        <f>TRIM('Tabela Federal'!$D1971)</f>
        <v>CLORIDRATO DE PROCAINA</v>
      </c>
    </row>
    <row r="1972" spans="4:6" x14ac:dyDescent="0.25">
      <c r="D1972" t="s">
        <v>4332</v>
      </c>
      <c r="E1972">
        <f>1</f>
        <v>1</v>
      </c>
      <c r="F1972" t="str">
        <f>TRIM('Tabela Federal'!$D1972)</f>
        <v>CLORIDRATO DE TETRACAINA</v>
      </c>
    </row>
    <row r="1973" spans="4:6" x14ac:dyDescent="0.25">
      <c r="D1973" t="s">
        <v>4156</v>
      </c>
      <c r="E1973">
        <f>1</f>
        <v>1</v>
      </c>
      <c r="F1973" t="str">
        <f>TRIM('Tabela Federal'!$D1973)</f>
        <v>CLORIDRATO DE METOCLOPRAMIDA</v>
      </c>
    </row>
    <row r="1974" spans="4:6" x14ac:dyDescent="0.25">
      <c r="D1974" t="s">
        <v>3524</v>
      </c>
      <c r="E1974">
        <f>1</f>
        <v>1</v>
      </c>
      <c r="F1974" t="str">
        <f>TRIM('Tabela Federal'!$D1974)</f>
        <v>COLECALCIFEROL</v>
      </c>
    </row>
    <row r="1975" spans="4:6" x14ac:dyDescent="0.25">
      <c r="D1975" t="s">
        <v>2789</v>
      </c>
      <c r="E1975">
        <f>1</f>
        <v>1</v>
      </c>
      <c r="F1975" t="str">
        <f>TRIM('Tabela Federal'!$D1975)</f>
        <v>DIMETICONA</v>
      </c>
    </row>
    <row r="1976" spans="4:6" x14ac:dyDescent="0.25">
      <c r="D1976" t="s">
        <v>4234</v>
      </c>
      <c r="E1976">
        <f>1</f>
        <v>1</v>
      </c>
      <c r="F1976" t="str">
        <f>TRIM('Tabela Federal'!$D1976)</f>
        <v>PROTEASE PANCREATICA</v>
      </c>
    </row>
    <row r="1977" spans="4:6" x14ac:dyDescent="0.25">
      <c r="D1977" t="s">
        <v>2667</v>
      </c>
      <c r="E1977">
        <f>1</f>
        <v>1</v>
      </c>
      <c r="F1977" t="str">
        <f>TRIM('Tabela Federal'!$D1977)</f>
        <v>CLORIDRATO DE FENILEFRINA</v>
      </c>
    </row>
    <row r="1978" spans="4:6" x14ac:dyDescent="0.25">
      <c r="D1978" t="s">
        <v>2703</v>
      </c>
      <c r="E1978">
        <f>1</f>
        <v>1</v>
      </c>
      <c r="F1978" t="str">
        <f>TRIM('Tabela Federal'!$D1978)</f>
        <v>GUAIFENESINA</v>
      </c>
    </row>
    <row r="1979" spans="4:6" x14ac:dyDescent="0.25">
      <c r="D1979" t="s">
        <v>4157</v>
      </c>
      <c r="E1979">
        <f>1</f>
        <v>1</v>
      </c>
      <c r="F1979" t="str">
        <f>TRIM('Tabela Federal'!$D1979)</f>
        <v>SUCCINATO DE DOXILAMINA</v>
      </c>
    </row>
    <row r="1980" spans="4:6" x14ac:dyDescent="0.25">
      <c r="D1980" t="s">
        <v>3755</v>
      </c>
      <c r="E1980">
        <f>1</f>
        <v>1</v>
      </c>
      <c r="F1980" t="str">
        <f>TRIM('Tabela Federal'!$D1980)</f>
        <v>LANSOPRAZOL</v>
      </c>
    </row>
    <row r="1981" spans="4:6" x14ac:dyDescent="0.25">
      <c r="D1981" t="s">
        <v>2672</v>
      </c>
      <c r="E1981">
        <f>1</f>
        <v>1</v>
      </c>
      <c r="F1981" t="str">
        <f>TRIM('Tabela Federal'!$D1981)</f>
        <v>OMEPRAZOL</v>
      </c>
    </row>
    <row r="1982" spans="4:6" x14ac:dyDescent="0.25">
      <c r="D1982" t="s">
        <v>3891</v>
      </c>
      <c r="E1982">
        <f>1</f>
        <v>1</v>
      </c>
      <c r="F1982" t="str">
        <f>TRIM('Tabela Federal'!$D1982)</f>
        <v>PANTOPRAZOL</v>
      </c>
    </row>
    <row r="1983" spans="4:6" x14ac:dyDescent="0.25">
      <c r="D1983" t="s">
        <v>3755</v>
      </c>
      <c r="E1983">
        <f>1</f>
        <v>1</v>
      </c>
      <c r="F1983" t="str">
        <f>TRIM('Tabela Federal'!$D1983)</f>
        <v>LANSOPRAZOL</v>
      </c>
    </row>
    <row r="1984" spans="4:6" x14ac:dyDescent="0.25">
      <c r="D1984" t="s">
        <v>4273</v>
      </c>
      <c r="E1984">
        <f>1</f>
        <v>1</v>
      </c>
      <c r="F1984" t="str">
        <f>TRIM('Tabela Federal'!$D1984)</f>
        <v>FIBRINOGENIO</v>
      </c>
    </row>
    <row r="1985" spans="4:6" x14ac:dyDescent="0.25">
      <c r="D1985" t="s">
        <v>4273</v>
      </c>
      <c r="E1985">
        <f>1</f>
        <v>1</v>
      </c>
      <c r="F1985" t="str">
        <f>TRIM('Tabela Federal'!$D1985)</f>
        <v>FIBRINOGENIO</v>
      </c>
    </row>
    <row r="1986" spans="4:6" x14ac:dyDescent="0.25">
      <c r="D1986" t="s">
        <v>3740</v>
      </c>
      <c r="E1986">
        <f>1</f>
        <v>1</v>
      </c>
      <c r="F1986" t="str">
        <f>TRIM('Tabela Federal'!$D1986)</f>
        <v>IRBESARTANA</v>
      </c>
    </row>
    <row r="1987" spans="4:6" x14ac:dyDescent="0.25">
      <c r="D1987" t="s">
        <v>4096</v>
      </c>
      <c r="E1987">
        <f>1</f>
        <v>1</v>
      </c>
      <c r="F1987" t="str">
        <f>TRIM('Tabela Federal'!$D1987)</f>
        <v>VALSARTANA</v>
      </c>
    </row>
    <row r="1988" spans="4:6" x14ac:dyDescent="0.25">
      <c r="D1988" t="s">
        <v>4158</v>
      </c>
      <c r="E1988">
        <f>1</f>
        <v>1</v>
      </c>
      <c r="F1988" t="str">
        <f>TRIM('Tabela Federal'!$D1988)</f>
        <v>SALICILATO DE ETILENOGLICOL</v>
      </c>
    </row>
    <row r="1989" spans="4:6" x14ac:dyDescent="0.25">
      <c r="D1989" t="s">
        <v>2619</v>
      </c>
      <c r="E1989">
        <f>1</f>
        <v>1</v>
      </c>
      <c r="F1989" t="str">
        <f>TRIM('Tabela Federal'!$D1989)</f>
        <v>TARTARATO DE BRIMONIDINA</v>
      </c>
    </row>
    <row r="1990" spans="4:6" x14ac:dyDescent="0.25">
      <c r="D1990" t="s">
        <v>2789</v>
      </c>
      <c r="E1990">
        <f>1</f>
        <v>1</v>
      </c>
      <c r="F1990" t="str">
        <f>TRIM('Tabela Federal'!$D1990)</f>
        <v>DIMETICONA</v>
      </c>
    </row>
    <row r="1991" spans="4:6" x14ac:dyDescent="0.25">
      <c r="D1991" t="s">
        <v>2789</v>
      </c>
      <c r="E1991">
        <f>1</f>
        <v>1</v>
      </c>
      <c r="F1991" t="str">
        <f>TRIM('Tabela Federal'!$D1991)</f>
        <v>DIMETICONA</v>
      </c>
    </row>
    <row r="1992" spans="4:6" x14ac:dyDescent="0.25">
      <c r="D1992" t="s">
        <v>3162</v>
      </c>
      <c r="E1992">
        <f>1</f>
        <v>1</v>
      </c>
      <c r="F1992" t="str">
        <f>TRIM('Tabela Federal'!$D1992)</f>
        <v>LEVODOPA</v>
      </c>
    </row>
    <row r="1993" spans="4:6" x14ac:dyDescent="0.25">
      <c r="D1993" t="s">
        <v>4436</v>
      </c>
      <c r="E1993">
        <f>1</f>
        <v>1</v>
      </c>
      <c r="F1993" t="str">
        <f>TRIM('Tabela Federal'!$D1993)</f>
        <v>RISEDRONATO SODICO</v>
      </c>
    </row>
    <row r="1994" spans="4:6" x14ac:dyDescent="0.25">
      <c r="D1994" t="s">
        <v>4159</v>
      </c>
      <c r="E1994">
        <f>1</f>
        <v>1</v>
      </c>
      <c r="F1994" t="str">
        <f>TRIM('Tabela Federal'!$D1994)</f>
        <v>FENOL</v>
      </c>
    </row>
    <row r="1995" spans="4:6" x14ac:dyDescent="0.25">
      <c r="D1995" t="s">
        <v>2442</v>
      </c>
      <c r="E1995">
        <f>1</f>
        <v>1</v>
      </c>
      <c r="F1995" t="str">
        <f>TRIM('Tabela Federal'!$D1995)</f>
        <v>DEXAMETASONA</v>
      </c>
    </row>
    <row r="1996" spans="4:6" x14ac:dyDescent="0.25">
      <c r="D1996" t="s">
        <v>3504</v>
      </c>
      <c r="E1996">
        <f>1</f>
        <v>1</v>
      </c>
      <c r="F1996" t="str">
        <f>TRIM('Tabela Federal'!$D1996)</f>
        <v>CLORIDRATO DE TIAMINA</v>
      </c>
    </row>
    <row r="1997" spans="4:6" x14ac:dyDescent="0.25">
      <c r="D1997" t="s">
        <v>3504</v>
      </c>
      <c r="E1997">
        <f>1</f>
        <v>1</v>
      </c>
      <c r="F1997" t="str">
        <f>TRIM('Tabela Federal'!$D1997)</f>
        <v>CLORIDRATO DE TIAMINA</v>
      </c>
    </row>
    <row r="1998" spans="4:6" x14ac:dyDescent="0.25">
      <c r="D1998" t="s">
        <v>4380</v>
      </c>
      <c r="E1998">
        <f>1</f>
        <v>1</v>
      </c>
      <c r="F1998" t="str">
        <f>TRIM('Tabela Federal'!$D1998)</f>
        <v>DICLOFENACO SODICO</v>
      </c>
    </row>
    <row r="1999" spans="4:6" x14ac:dyDescent="0.25">
      <c r="D1999" t="s">
        <v>4166</v>
      </c>
      <c r="E1999">
        <f>1</f>
        <v>1</v>
      </c>
      <c r="F1999" t="str">
        <f>TRIM('Tabela Federal'!$D1999)</f>
        <v>NITRATO DE TIAMINA</v>
      </c>
    </row>
    <row r="2000" spans="4:6" x14ac:dyDescent="0.25">
      <c r="D2000" t="s">
        <v>4160</v>
      </c>
      <c r="E2000">
        <f>1</f>
        <v>1</v>
      </c>
      <c r="F2000" t="str">
        <f>TRIM('Tabela Federal'!$D2000)</f>
        <v>TINIDAZOL</v>
      </c>
    </row>
    <row r="2001" spans="4:6" x14ac:dyDescent="0.25">
      <c r="D2001" t="s">
        <v>4295</v>
      </c>
      <c r="E2001">
        <f>1</f>
        <v>1</v>
      </c>
      <c r="F2001" t="str">
        <f>TRIM('Tabela Federal'!$D2001)</f>
        <v>CLORIDRATO DE LIDOCAINA</v>
      </c>
    </row>
    <row r="2002" spans="4:6" x14ac:dyDescent="0.25">
      <c r="D2002" t="s">
        <v>2442</v>
      </c>
      <c r="E2002">
        <f>1</f>
        <v>1</v>
      </c>
      <c r="F2002" t="str">
        <f>TRIM('Tabela Federal'!$D2002)</f>
        <v>DEXAMETASONA</v>
      </c>
    </row>
    <row r="2003" spans="4:6" x14ac:dyDescent="0.25">
      <c r="D2003" t="s">
        <v>4456</v>
      </c>
      <c r="E2003">
        <f>1</f>
        <v>1</v>
      </c>
      <c r="F2003" t="str">
        <f>TRIM('Tabela Federal'!$D2003)</f>
        <v>SULFACETAMIDA SODICA</v>
      </c>
    </row>
    <row r="2004" spans="4:6" x14ac:dyDescent="0.25">
      <c r="D2004" t="s">
        <v>2442</v>
      </c>
      <c r="E2004">
        <f>1</f>
        <v>1</v>
      </c>
      <c r="F2004" t="str">
        <f>TRIM('Tabela Federal'!$D2004)</f>
        <v>DEXAMETASONA</v>
      </c>
    </row>
    <row r="2005" spans="4:6" x14ac:dyDescent="0.25">
      <c r="D2005" t="s">
        <v>4135</v>
      </c>
      <c r="E2005">
        <f>1</f>
        <v>1</v>
      </c>
      <c r="F2005" t="str">
        <f>TRIM('Tabela Federal'!$D2005)</f>
        <v>FIBRINOLISINA</v>
      </c>
    </row>
    <row r="2006" spans="4:6" x14ac:dyDescent="0.25">
      <c r="D2006" t="s">
        <v>4161</v>
      </c>
      <c r="E2006">
        <f>1</f>
        <v>1</v>
      </c>
      <c r="F2006" t="str">
        <f>TRIM('Tabela Federal'!$D2006)</f>
        <v>TROMBINA</v>
      </c>
    </row>
    <row r="2007" spans="4:6" x14ac:dyDescent="0.25">
      <c r="D2007" t="s">
        <v>3548</v>
      </c>
      <c r="E2007">
        <f>1</f>
        <v>1</v>
      </c>
      <c r="F2007" t="str">
        <f>TRIM('Tabela Federal'!$D2007)</f>
        <v>DIASTASE</v>
      </c>
    </row>
    <row r="2008" spans="4:6" x14ac:dyDescent="0.25">
      <c r="D2008" t="s">
        <v>4162</v>
      </c>
      <c r="E2008">
        <f>1</f>
        <v>1</v>
      </c>
      <c r="F2008" t="str">
        <f>TRIM('Tabela Federal'!$D2008)</f>
        <v>VALERATO DE BETAMETASONA</v>
      </c>
    </row>
    <row r="2009" spans="4:6" x14ac:dyDescent="0.25">
      <c r="D2009" t="s">
        <v>2655</v>
      </c>
      <c r="E2009">
        <f>1</f>
        <v>1</v>
      </c>
      <c r="F2009" t="str">
        <f>TRIM('Tabela Federal'!$D2009)</f>
        <v>DIPIRONA SODICA</v>
      </c>
    </row>
    <row r="2010" spans="4:6" x14ac:dyDescent="0.25">
      <c r="D2010" t="s">
        <v>4031</v>
      </c>
      <c r="E2010">
        <f>1</f>
        <v>1</v>
      </c>
      <c r="F2010" t="str">
        <f>TRIM('Tabela Federal'!$D2010)</f>
        <v>TEOFILINA</v>
      </c>
    </row>
    <row r="2011" spans="4:6" x14ac:dyDescent="0.25">
      <c r="D2011" t="s">
        <v>3999</v>
      </c>
      <c r="E2011">
        <f>1</f>
        <v>1</v>
      </c>
      <c r="F2011" t="str">
        <f>TRIM('Tabela Federal'!$D2011)</f>
        <v>SULFATO DE NEOMICINA</v>
      </c>
    </row>
    <row r="2012" spans="4:6" x14ac:dyDescent="0.25">
      <c r="D2012" t="s">
        <v>4128</v>
      </c>
      <c r="E2012">
        <f>1</f>
        <v>1</v>
      </c>
      <c r="F2012" t="str">
        <f>TRIM('Tabela Federal'!$D2012)</f>
        <v>SULFATO DE POLIMIXINA B</v>
      </c>
    </row>
    <row r="2013" spans="4:6" x14ac:dyDescent="0.25">
      <c r="D2013" t="s">
        <v>3999</v>
      </c>
      <c r="E2013">
        <f>1</f>
        <v>1</v>
      </c>
      <c r="F2013" t="str">
        <f>TRIM('Tabela Federal'!$D2013)</f>
        <v>SULFATO DE NEOMICINA</v>
      </c>
    </row>
    <row r="2014" spans="4:6" x14ac:dyDescent="0.25">
      <c r="D2014" t="s">
        <v>4132</v>
      </c>
      <c r="E2014">
        <f>1</f>
        <v>1</v>
      </c>
      <c r="F2014" t="str">
        <f>TRIM('Tabela Federal'!$D2014)</f>
        <v>TIROTRICINA</v>
      </c>
    </row>
    <row r="2015" spans="4:6" x14ac:dyDescent="0.25">
      <c r="D2015" t="s">
        <v>4276</v>
      </c>
      <c r="E2015">
        <f>1</f>
        <v>1</v>
      </c>
      <c r="F2015" t="str">
        <f>TRIM('Tabela Federal'!$D2015)</f>
        <v>UREIA</v>
      </c>
    </row>
    <row r="2016" spans="4:6" x14ac:dyDescent="0.25">
      <c r="D2016" t="s">
        <v>4163</v>
      </c>
      <c r="E2016">
        <f>1</f>
        <v>1</v>
      </c>
      <c r="F2016" t="str">
        <f>TRIM('Tabela Federal'!$D2016)</f>
        <v>ISOCAPROATO DE TESTOSTERONA</v>
      </c>
    </row>
    <row r="2017" spans="4:6" x14ac:dyDescent="0.25">
      <c r="D2017" t="s">
        <v>4164</v>
      </c>
      <c r="E2017">
        <f>1</f>
        <v>1</v>
      </c>
      <c r="F2017" t="str">
        <f>TRIM('Tabela Federal'!$D2017)</f>
        <v>GENTAMICINA</v>
      </c>
    </row>
    <row r="2018" spans="4:6" x14ac:dyDescent="0.25">
      <c r="D2018" t="s">
        <v>3999</v>
      </c>
      <c r="E2018">
        <f>1</f>
        <v>1</v>
      </c>
      <c r="F2018" t="str">
        <f>TRIM('Tabela Federal'!$D2018)</f>
        <v>SULFATO DE NEOMICINA</v>
      </c>
    </row>
    <row r="2019" spans="4:6" x14ac:dyDescent="0.25">
      <c r="D2019" t="s">
        <v>4128</v>
      </c>
      <c r="E2019">
        <f>1</f>
        <v>1</v>
      </c>
      <c r="F2019" t="str">
        <f>TRIM('Tabela Federal'!$D2019)</f>
        <v>SULFATO DE POLIMIXINA B</v>
      </c>
    </row>
    <row r="2020" spans="4:6" x14ac:dyDescent="0.25">
      <c r="D2020" t="s">
        <v>4402</v>
      </c>
      <c r="E2020">
        <f>1</f>
        <v>1</v>
      </c>
      <c r="F2020" t="str">
        <f>TRIM('Tabela Federal'!$D2020)</f>
        <v>HEPARINA SODICA</v>
      </c>
    </row>
    <row r="2021" spans="4:6" x14ac:dyDescent="0.25">
      <c r="D2021" t="s">
        <v>4136</v>
      </c>
      <c r="E2021">
        <f>1</f>
        <v>1</v>
      </c>
      <c r="F2021" t="str">
        <f>TRIM('Tabela Federal'!$D2021)</f>
        <v>PANCREATINA</v>
      </c>
    </row>
    <row r="2022" spans="4:6" x14ac:dyDescent="0.25">
      <c r="D2022" t="s">
        <v>4116</v>
      </c>
      <c r="E2022">
        <f>1</f>
        <v>1</v>
      </c>
      <c r="F2022" t="str">
        <f>TRIM('Tabela Federal'!$D2022)</f>
        <v>PEPSINA</v>
      </c>
    </row>
    <row r="2023" spans="4:6" x14ac:dyDescent="0.25">
      <c r="D2023" t="s">
        <v>3659</v>
      </c>
      <c r="E2023">
        <f>1</f>
        <v>1</v>
      </c>
      <c r="F2023" t="str">
        <f>TRIM('Tabela Federal'!$D2023)</f>
        <v>FUMARATO DE TENOFOVIR DESOPROXILA</v>
      </c>
    </row>
    <row r="2024" spans="4:6" x14ac:dyDescent="0.25">
      <c r="D2024" t="s">
        <v>3698</v>
      </c>
      <c r="E2024">
        <f>1</f>
        <v>1</v>
      </c>
      <c r="F2024" t="str">
        <f>TRIM('Tabela Federal'!$D2024)</f>
        <v>HEXAIDROBENZOATO DE ESTRADIOL</v>
      </c>
    </row>
    <row r="2025" spans="4:6" x14ac:dyDescent="0.25">
      <c r="D2025" t="s">
        <v>3169</v>
      </c>
      <c r="E2025">
        <f>1</f>
        <v>1</v>
      </c>
      <c r="F2025" t="str">
        <f>TRIM('Tabela Federal'!$D2025)</f>
        <v>PIRIDOXINA</v>
      </c>
    </row>
    <row r="2026" spans="4:6" x14ac:dyDescent="0.25">
      <c r="D2026" t="s">
        <v>4235</v>
      </c>
      <c r="E2026">
        <f>1</f>
        <v>1</v>
      </c>
      <c r="F2026" t="str">
        <f>TRIM('Tabela Federal'!$D2026)</f>
        <v>FATOR VII DE COAGULAcAO</v>
      </c>
    </row>
    <row r="2027" spans="4:6" x14ac:dyDescent="0.25">
      <c r="D2027" t="s">
        <v>3177</v>
      </c>
      <c r="E2027">
        <f>1</f>
        <v>1</v>
      </c>
      <c r="F2027" t="str">
        <f>TRIM('Tabela Federal'!$D2027)</f>
        <v>LIDOCAINA</v>
      </c>
    </row>
    <row r="2028" spans="4:6" x14ac:dyDescent="0.25">
      <c r="D2028" t="s">
        <v>3999</v>
      </c>
      <c r="E2028">
        <f>1</f>
        <v>1</v>
      </c>
      <c r="F2028" t="str">
        <f>TRIM('Tabela Federal'!$D2028)</f>
        <v>SULFATO DE NEOMICINA</v>
      </c>
    </row>
    <row r="2029" spans="4:6" x14ac:dyDescent="0.25">
      <c r="D2029" t="s">
        <v>4165</v>
      </c>
      <c r="E2029">
        <f>1</f>
        <v>1</v>
      </c>
      <c r="F2029" t="str">
        <f>TRIM('Tabela Federal'!$D2029)</f>
        <v>SULFATO DE DIIDRALAZINA</v>
      </c>
    </row>
    <row r="2030" spans="4:6" x14ac:dyDescent="0.25">
      <c r="D2030" t="s">
        <v>4128</v>
      </c>
      <c r="E2030">
        <f>1</f>
        <v>1</v>
      </c>
      <c r="F2030" t="str">
        <f>TRIM('Tabela Federal'!$D2030)</f>
        <v>SULFATO DE POLIMIXINA B</v>
      </c>
    </row>
    <row r="2031" spans="4:6" x14ac:dyDescent="0.25">
      <c r="D2031" t="s">
        <v>4107</v>
      </c>
      <c r="E2031">
        <f>1</f>
        <v>1</v>
      </c>
      <c r="F2031" t="str">
        <f>TRIM('Tabela Federal'!$D2031)</f>
        <v>ZIDOVUDINA</v>
      </c>
    </row>
    <row r="2032" spans="4:6" x14ac:dyDescent="0.25">
      <c r="D2032" t="s">
        <v>4465</v>
      </c>
      <c r="E2032">
        <f>1</f>
        <v>1</v>
      </c>
      <c r="F2032" t="str">
        <f>TRIM('Tabela Federal'!$D2032)</f>
        <v>TOXOIDE PERTUSSIS</v>
      </c>
    </row>
    <row r="2033" spans="4:6" x14ac:dyDescent="0.25">
      <c r="D2033" t="s">
        <v>4465</v>
      </c>
      <c r="E2033">
        <f>1</f>
        <v>1</v>
      </c>
      <c r="F2033" t="str">
        <f>TRIM('Tabela Federal'!$D2033)</f>
        <v>TOXOIDE PERTUSSIS</v>
      </c>
    </row>
    <row r="2034" spans="4:6" x14ac:dyDescent="0.25">
      <c r="D2034" t="s">
        <v>3504</v>
      </c>
      <c r="E2034">
        <f>1</f>
        <v>1</v>
      </c>
      <c r="F2034" t="str">
        <f>TRIM('Tabela Federal'!$D2034)</f>
        <v>CLORIDRATO DE TIAMINA</v>
      </c>
    </row>
    <row r="2035" spans="4:6" x14ac:dyDescent="0.25">
      <c r="D2035" t="s">
        <v>3180</v>
      </c>
      <c r="E2035">
        <f>1</f>
        <v>1</v>
      </c>
      <c r="F2035" t="str">
        <f>TRIM('Tabela Federal'!$D2035)</f>
        <v>MENTOL</v>
      </c>
    </row>
    <row r="2036" spans="4:6" x14ac:dyDescent="0.25">
      <c r="D2036" t="s">
        <v>3999</v>
      </c>
      <c r="E2036">
        <f>1</f>
        <v>1</v>
      </c>
      <c r="F2036" t="str">
        <f>TRIM('Tabela Federal'!$D2036)</f>
        <v>SULFATO DE NEOMICINA</v>
      </c>
    </row>
    <row r="2037" spans="4:6" x14ac:dyDescent="0.25">
      <c r="D2037" t="s">
        <v>4132</v>
      </c>
      <c r="E2037">
        <f>1</f>
        <v>1</v>
      </c>
      <c r="F2037" t="str">
        <f>TRIM('Tabela Federal'!$D2037)</f>
        <v>TIROTRICINA</v>
      </c>
    </row>
    <row r="2038" spans="4:6" x14ac:dyDescent="0.25">
      <c r="D2038" t="s">
        <v>4456</v>
      </c>
      <c r="E2038">
        <f>1</f>
        <v>1</v>
      </c>
      <c r="F2038" t="str">
        <f>TRIM('Tabela Federal'!$D2038)</f>
        <v>SULFACETAMIDA SODICA</v>
      </c>
    </row>
    <row r="2039" spans="4:6" x14ac:dyDescent="0.25">
      <c r="D2039" t="s">
        <v>2789</v>
      </c>
      <c r="E2039">
        <f>1</f>
        <v>1</v>
      </c>
      <c r="F2039" t="str">
        <f>TRIM('Tabela Federal'!$D2039)</f>
        <v>DIMETICONA</v>
      </c>
    </row>
    <row r="2040" spans="4:6" x14ac:dyDescent="0.25">
      <c r="D2040" t="s">
        <v>4115</v>
      </c>
      <c r="E2040">
        <f>1</f>
        <v>1</v>
      </c>
      <c r="F2040" t="str">
        <f>TRIM('Tabela Federal'!$D2040)</f>
        <v>LIPASE</v>
      </c>
    </row>
    <row r="2041" spans="4:6" x14ac:dyDescent="0.25">
      <c r="D2041" t="s">
        <v>4157</v>
      </c>
      <c r="E2041">
        <f>1</f>
        <v>1</v>
      </c>
      <c r="F2041" t="str">
        <f>TRIM('Tabela Federal'!$D2041)</f>
        <v>SUCCINATO DE DOXILAMINA</v>
      </c>
    </row>
    <row r="2042" spans="4:6" x14ac:dyDescent="0.25">
      <c r="D2042" t="s">
        <v>4157</v>
      </c>
      <c r="E2042">
        <f>1</f>
        <v>1</v>
      </c>
      <c r="F2042" t="str">
        <f>TRIM('Tabela Federal'!$D2042)</f>
        <v>SUCCINATO DE DOXILAMINA</v>
      </c>
    </row>
    <row r="2043" spans="4:6" x14ac:dyDescent="0.25">
      <c r="D2043" t="s">
        <v>4161</v>
      </c>
      <c r="E2043">
        <f>1</f>
        <v>1</v>
      </c>
      <c r="F2043" t="str">
        <f>TRIM('Tabela Federal'!$D2043)</f>
        <v>TROMBINA</v>
      </c>
    </row>
    <row r="2044" spans="4:6" x14ac:dyDescent="0.25">
      <c r="D2044" t="s">
        <v>4161</v>
      </c>
      <c r="E2044">
        <f>1</f>
        <v>1</v>
      </c>
      <c r="F2044" t="str">
        <f>TRIM('Tabela Federal'!$D2044)</f>
        <v>TROMBINA</v>
      </c>
    </row>
    <row r="2045" spans="4:6" x14ac:dyDescent="0.25">
      <c r="D2045" t="s">
        <v>2677</v>
      </c>
      <c r="E2045">
        <f>1</f>
        <v>1</v>
      </c>
      <c r="F2045" t="str">
        <f>TRIM('Tabela Federal'!$D2045)</f>
        <v>METOCLOPRAMIDA</v>
      </c>
    </row>
    <row r="2046" spans="4:6" x14ac:dyDescent="0.25">
      <c r="D2046" t="s">
        <v>4136</v>
      </c>
      <c r="E2046">
        <f>1</f>
        <v>1</v>
      </c>
      <c r="F2046" t="str">
        <f>TRIM('Tabela Federal'!$D2046)</f>
        <v>PANCREATINA</v>
      </c>
    </row>
    <row r="2047" spans="4:6" x14ac:dyDescent="0.25">
      <c r="D2047" t="s">
        <v>3913</v>
      </c>
      <c r="E2047">
        <f>1</f>
        <v>1</v>
      </c>
      <c r="F2047" t="str">
        <f>TRIM('Tabela Federal'!$D2047)</f>
        <v>PIROXICAM</v>
      </c>
    </row>
    <row r="2048" spans="4:6" x14ac:dyDescent="0.25">
      <c r="D2048" t="s">
        <v>4380</v>
      </c>
      <c r="E2048">
        <f>1</f>
        <v>1</v>
      </c>
      <c r="F2048" t="str">
        <f>TRIM('Tabela Federal'!$D2048)</f>
        <v>DICLOFENACO SODICO</v>
      </c>
    </row>
    <row r="2049" spans="4:6" x14ac:dyDescent="0.25">
      <c r="D2049" t="s">
        <v>4166</v>
      </c>
      <c r="E2049">
        <f>1</f>
        <v>1</v>
      </c>
      <c r="F2049" t="str">
        <f>TRIM('Tabela Federal'!$D2049)</f>
        <v>NITRATO DE TIAMINA</v>
      </c>
    </row>
    <row r="2050" spans="4:6" x14ac:dyDescent="0.25">
      <c r="D2050" t="s">
        <v>4276</v>
      </c>
      <c r="E2050">
        <f>1</f>
        <v>1</v>
      </c>
      <c r="F2050" t="str">
        <f>TRIM('Tabela Federal'!$D2050)</f>
        <v>UREIA</v>
      </c>
    </row>
    <row r="2051" spans="4:6" x14ac:dyDescent="0.25">
      <c r="D2051" t="s">
        <v>4167</v>
      </c>
      <c r="E2051">
        <f>1</f>
        <v>1</v>
      </c>
      <c r="F2051" t="str">
        <f>TRIM('Tabela Federal'!$D2051)</f>
        <v>HOMOCISTEINATIOLACTONA</v>
      </c>
    </row>
    <row r="2052" spans="4:6" x14ac:dyDescent="0.25">
      <c r="D2052" t="s">
        <v>4128</v>
      </c>
      <c r="E2052">
        <f>1</f>
        <v>1</v>
      </c>
      <c r="F2052" t="str">
        <f>TRIM('Tabela Federal'!$D2052)</f>
        <v>SULFATO DE POLIMIXINA B</v>
      </c>
    </row>
    <row r="2053" spans="4:6" x14ac:dyDescent="0.25">
      <c r="D2053" t="s">
        <v>4057</v>
      </c>
      <c r="E2053">
        <f>1</f>
        <v>1</v>
      </c>
      <c r="F2053" t="str">
        <f>TRIM('Tabela Federal'!$D2053)</f>
        <v>TRIANCINOLONA ACETONIDA</v>
      </c>
    </row>
    <row r="2054" spans="4:6" x14ac:dyDescent="0.25">
      <c r="D2054" t="s">
        <v>4009</v>
      </c>
      <c r="E2054">
        <f>1</f>
        <v>1</v>
      </c>
      <c r="F2054" t="str">
        <f>TRIM('Tabela Federal'!$D2054)</f>
        <v>SULFATO DE ZINCO</v>
      </c>
    </row>
    <row r="2055" spans="4:6" x14ac:dyDescent="0.25">
      <c r="D2055" t="s">
        <v>4168</v>
      </c>
      <c r="E2055">
        <f>1</f>
        <v>1</v>
      </c>
      <c r="F2055" t="str">
        <f>TRIM('Tabela Federal'!$D2055)</f>
        <v>PROPIONATO DE TESTOSTERONA</v>
      </c>
    </row>
    <row r="2056" spans="4:6" x14ac:dyDescent="0.25">
      <c r="D2056" t="s">
        <v>4128</v>
      </c>
      <c r="E2056">
        <f>1</f>
        <v>1</v>
      </c>
      <c r="F2056" t="str">
        <f>TRIM('Tabela Federal'!$D2056)</f>
        <v>SULFATO DE POLIMIXINA B</v>
      </c>
    </row>
    <row r="2057" spans="4:6" x14ac:dyDescent="0.25">
      <c r="D2057" t="s">
        <v>4116</v>
      </c>
      <c r="E2057">
        <f>1</f>
        <v>1</v>
      </c>
      <c r="F2057" t="str">
        <f>TRIM('Tabela Federal'!$D2057)</f>
        <v>PEPSINA</v>
      </c>
    </row>
    <row r="2058" spans="4:6" x14ac:dyDescent="0.25">
      <c r="D2058" t="s">
        <v>4236</v>
      </c>
      <c r="E2058">
        <f>1</f>
        <v>1</v>
      </c>
      <c r="F2058" t="str">
        <f>TRIM('Tabela Federal'!$D2058)</f>
        <v>FATOR X DE COAGULAcAO</v>
      </c>
    </row>
    <row r="2059" spans="4:6" x14ac:dyDescent="0.25">
      <c r="D2059" t="s">
        <v>4169</v>
      </c>
      <c r="E2059">
        <f>1</f>
        <v>1</v>
      </c>
      <c r="F2059" t="str">
        <f>TRIM('Tabela Federal'!$D2059)</f>
        <v>HEMAGLUTININA FILAMENTOSA</v>
      </c>
    </row>
    <row r="2060" spans="4:6" x14ac:dyDescent="0.25">
      <c r="D2060" t="s">
        <v>4169</v>
      </c>
      <c r="E2060">
        <f>1</f>
        <v>1</v>
      </c>
      <c r="F2060" t="str">
        <f>TRIM('Tabela Federal'!$D2060)</f>
        <v>HEMAGLUTININA FILAMENTOSA</v>
      </c>
    </row>
    <row r="2061" spans="4:6" x14ac:dyDescent="0.25">
      <c r="D2061" t="s">
        <v>4155</v>
      </c>
      <c r="E2061">
        <f>1</f>
        <v>1</v>
      </c>
      <c r="F2061" t="str">
        <f>TRIM('Tabela Federal'!$D2061)</f>
        <v>NITROFURAL</v>
      </c>
    </row>
    <row r="2062" spans="4:6" x14ac:dyDescent="0.25">
      <c r="D2062" t="s">
        <v>4128</v>
      </c>
      <c r="E2062">
        <f>1</f>
        <v>1</v>
      </c>
      <c r="F2062" t="str">
        <f>TRIM('Tabela Federal'!$D2062)</f>
        <v>SULFATO DE POLIMIXINA B</v>
      </c>
    </row>
    <row r="2063" spans="4:6" x14ac:dyDescent="0.25">
      <c r="D2063" t="s">
        <v>4276</v>
      </c>
      <c r="E2063">
        <f>1</f>
        <v>1</v>
      </c>
      <c r="F2063" t="str">
        <f>TRIM('Tabela Federal'!$D2063)</f>
        <v>UREIA</v>
      </c>
    </row>
    <row r="2064" spans="4:6" x14ac:dyDescent="0.25">
      <c r="D2064" t="s">
        <v>4136</v>
      </c>
      <c r="E2064">
        <f>1</f>
        <v>1</v>
      </c>
      <c r="F2064" t="str">
        <f>TRIM('Tabela Federal'!$D2064)</f>
        <v>PANCREATINA</v>
      </c>
    </row>
    <row r="2065" spans="4:6" x14ac:dyDescent="0.25">
      <c r="D2065" t="s">
        <v>4116</v>
      </c>
      <c r="E2065">
        <f>1</f>
        <v>1</v>
      </c>
      <c r="F2065" t="str">
        <f>TRIM('Tabela Federal'!$D2065)</f>
        <v>PEPSINA</v>
      </c>
    </row>
    <row r="2066" spans="4:6" x14ac:dyDescent="0.25">
      <c r="D2066" t="s">
        <v>4136</v>
      </c>
      <c r="E2066">
        <f>1</f>
        <v>1</v>
      </c>
      <c r="F2066" t="str">
        <f>TRIM('Tabela Federal'!$D2066)</f>
        <v>PANCREATINA</v>
      </c>
    </row>
    <row r="2067" spans="4:6" x14ac:dyDescent="0.25">
      <c r="D2067" t="s">
        <v>3857</v>
      </c>
      <c r="E2067">
        <f>1</f>
        <v>1</v>
      </c>
      <c r="F2067" t="str">
        <f>TRIM('Tabela Federal'!$D2067)</f>
        <v>NICOTINAMIDA</v>
      </c>
    </row>
    <row r="2068" spans="4:6" x14ac:dyDescent="0.25">
      <c r="D2068" t="s">
        <v>4170</v>
      </c>
      <c r="E2068">
        <f>1</f>
        <v>1</v>
      </c>
      <c r="F2068" t="str">
        <f>TRIM('Tabela Federal'!$D2068)</f>
        <v>PERTACTINA</v>
      </c>
    </row>
    <row r="2069" spans="4:6" x14ac:dyDescent="0.25">
      <c r="D2069" t="s">
        <v>4171</v>
      </c>
      <c r="E2069">
        <f>1</f>
        <v>1</v>
      </c>
      <c r="F2069" t="str">
        <f>TRIM('Tabela Federal'!$D2069)</f>
        <v>VIRUS INATIVADOS DA POLIOMIELITE</v>
      </c>
    </row>
  </sheetData>
  <pageMargins left="0.511811024" right="0.511811024" top="0.78740157499999996" bottom="0.78740157499999996" header="0.31496062000000002" footer="0.31496062000000002"/>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10509"/>
  <sheetViews>
    <sheetView topLeftCell="A2" workbookViewId="0">
      <selection activeCell="A12" sqref="A12"/>
    </sheetView>
  </sheetViews>
  <sheetFormatPr defaultRowHeight="15" x14ac:dyDescent="0.25"/>
  <cols>
    <col min="6" max="6" width="50.7109375" customWidth="1"/>
  </cols>
  <sheetData>
    <row r="2" spans="2:9" x14ac:dyDescent="0.25">
      <c r="B2" t="s">
        <v>4663</v>
      </c>
      <c r="C2" t="s">
        <v>4664</v>
      </c>
      <c r="D2" t="s">
        <v>4665</v>
      </c>
      <c r="E2" t="s">
        <v>4666</v>
      </c>
      <c r="F2" t="s">
        <v>4667</v>
      </c>
      <c r="G2" t="s">
        <v>4668</v>
      </c>
      <c r="H2" t="s">
        <v>4669</v>
      </c>
      <c r="I2" t="s">
        <v>2610</v>
      </c>
    </row>
    <row r="3" spans="2:9" x14ac:dyDescent="0.25">
      <c r="B3">
        <v>0</v>
      </c>
      <c r="C3" s="16" t="s">
        <v>9399</v>
      </c>
      <c r="D3" s="16"/>
      <c r="E3">
        <v>6</v>
      </c>
      <c r="F3" t="s">
        <v>4670</v>
      </c>
      <c r="G3">
        <v>1</v>
      </c>
      <c r="H3">
        <v>1</v>
      </c>
      <c r="I3">
        <f>1</f>
        <v>1</v>
      </c>
    </row>
    <row r="4" spans="2:9" x14ac:dyDescent="0.25">
      <c r="B4">
        <v>0</v>
      </c>
      <c r="C4" s="16" t="s">
        <v>9400</v>
      </c>
      <c r="D4" s="16"/>
      <c r="E4">
        <v>6</v>
      </c>
      <c r="F4" t="s">
        <v>4671</v>
      </c>
      <c r="G4">
        <v>1</v>
      </c>
      <c r="H4">
        <v>1</v>
      </c>
      <c r="I4">
        <f>1</f>
        <v>1</v>
      </c>
    </row>
    <row r="5" spans="2:9" x14ac:dyDescent="0.25">
      <c r="B5">
        <v>0</v>
      </c>
      <c r="C5" s="16" t="s">
        <v>9401</v>
      </c>
      <c r="D5" s="16"/>
      <c r="E5">
        <v>6</v>
      </c>
      <c r="F5" t="s">
        <v>4672</v>
      </c>
      <c r="G5">
        <v>1</v>
      </c>
      <c r="H5">
        <v>1</v>
      </c>
      <c r="I5">
        <f>1</f>
        <v>1</v>
      </c>
    </row>
    <row r="6" spans="2:9" x14ac:dyDescent="0.25">
      <c r="B6">
        <v>0</v>
      </c>
      <c r="C6" s="16" t="s">
        <v>9402</v>
      </c>
      <c r="D6" s="16"/>
      <c r="E6">
        <v>6</v>
      </c>
      <c r="F6" t="s">
        <v>4673</v>
      </c>
      <c r="G6">
        <v>1</v>
      </c>
      <c r="H6">
        <v>1</v>
      </c>
      <c r="I6">
        <f>1</f>
        <v>1</v>
      </c>
    </row>
    <row r="7" spans="2:9" x14ac:dyDescent="0.25">
      <c r="B7">
        <v>0</v>
      </c>
      <c r="C7" s="16" t="s">
        <v>9403</v>
      </c>
      <c r="D7" s="16"/>
      <c r="E7">
        <v>6</v>
      </c>
      <c r="F7" t="s">
        <v>4670</v>
      </c>
      <c r="G7">
        <v>1</v>
      </c>
      <c r="H7">
        <v>1</v>
      </c>
      <c r="I7">
        <f>1</f>
        <v>1</v>
      </c>
    </row>
    <row r="8" spans="2:9" x14ac:dyDescent="0.25">
      <c r="B8">
        <v>0</v>
      </c>
      <c r="C8" s="16" t="s">
        <v>9404</v>
      </c>
      <c r="D8" s="16"/>
      <c r="E8">
        <v>6</v>
      </c>
      <c r="F8" t="s">
        <v>4671</v>
      </c>
      <c r="G8">
        <v>1</v>
      </c>
      <c r="H8">
        <v>1</v>
      </c>
      <c r="I8">
        <f>1</f>
        <v>1</v>
      </c>
    </row>
    <row r="9" spans="2:9" x14ac:dyDescent="0.25">
      <c r="B9">
        <v>0</v>
      </c>
      <c r="C9" s="16" t="s">
        <v>9405</v>
      </c>
      <c r="D9" s="16"/>
      <c r="E9">
        <v>6</v>
      </c>
      <c r="F9" t="s">
        <v>4674</v>
      </c>
      <c r="G9">
        <v>1</v>
      </c>
      <c r="H9">
        <v>1</v>
      </c>
      <c r="I9">
        <f>1</f>
        <v>1</v>
      </c>
    </row>
    <row r="10" spans="2:9" x14ac:dyDescent="0.25">
      <c r="B10">
        <v>0</v>
      </c>
      <c r="C10" s="16" t="s">
        <v>9406</v>
      </c>
      <c r="D10" s="16"/>
      <c r="E10">
        <v>6</v>
      </c>
      <c r="F10" t="s">
        <v>4675</v>
      </c>
      <c r="G10">
        <v>1</v>
      </c>
      <c r="H10">
        <v>1</v>
      </c>
      <c r="I10">
        <f>1</f>
        <v>1</v>
      </c>
    </row>
    <row r="11" spans="2:9" x14ac:dyDescent="0.25">
      <c r="B11">
        <v>0</v>
      </c>
      <c r="C11" s="16" t="s">
        <v>9407</v>
      </c>
      <c r="D11" s="16"/>
      <c r="E11">
        <v>6</v>
      </c>
      <c r="F11" t="s">
        <v>4676</v>
      </c>
      <c r="G11">
        <v>1</v>
      </c>
      <c r="H11">
        <v>1</v>
      </c>
      <c r="I11">
        <f>1</f>
        <v>1</v>
      </c>
    </row>
    <row r="12" spans="2:9" x14ac:dyDescent="0.25">
      <c r="B12">
        <v>0</v>
      </c>
      <c r="C12" s="16" t="s">
        <v>9408</v>
      </c>
      <c r="D12" s="16"/>
      <c r="E12">
        <v>6</v>
      </c>
      <c r="F12" t="s">
        <v>4670</v>
      </c>
      <c r="G12">
        <v>1</v>
      </c>
      <c r="H12">
        <v>1</v>
      </c>
      <c r="I12">
        <f>1</f>
        <v>1</v>
      </c>
    </row>
    <row r="13" spans="2:9" x14ac:dyDescent="0.25">
      <c r="B13">
        <v>0</v>
      </c>
      <c r="C13" s="16" t="s">
        <v>9409</v>
      </c>
      <c r="D13" s="16"/>
      <c r="E13">
        <v>6</v>
      </c>
      <c r="F13" t="s">
        <v>4671</v>
      </c>
      <c r="G13">
        <v>1</v>
      </c>
      <c r="H13">
        <v>1</v>
      </c>
      <c r="I13">
        <f>1</f>
        <v>1</v>
      </c>
    </row>
    <row r="14" spans="2:9" x14ac:dyDescent="0.25">
      <c r="B14">
        <v>0</v>
      </c>
      <c r="C14" s="16" t="s">
        <v>9410</v>
      </c>
      <c r="D14" s="16"/>
      <c r="E14">
        <v>6</v>
      </c>
      <c r="F14" t="s">
        <v>4674</v>
      </c>
      <c r="G14">
        <v>1</v>
      </c>
      <c r="H14">
        <v>1</v>
      </c>
      <c r="I14">
        <f>1</f>
        <v>1</v>
      </c>
    </row>
    <row r="15" spans="2:9" x14ac:dyDescent="0.25">
      <c r="B15">
        <v>0</v>
      </c>
      <c r="C15" s="16" t="s">
        <v>9411</v>
      </c>
      <c r="D15" s="16"/>
      <c r="E15">
        <v>6</v>
      </c>
      <c r="F15" t="s">
        <v>4675</v>
      </c>
      <c r="G15">
        <v>1</v>
      </c>
      <c r="H15">
        <v>1</v>
      </c>
      <c r="I15">
        <f>1</f>
        <v>1</v>
      </c>
    </row>
    <row r="16" spans="2:9" x14ac:dyDescent="0.25">
      <c r="B16">
        <v>0</v>
      </c>
      <c r="C16" s="16" t="s">
        <v>9412</v>
      </c>
      <c r="D16" s="16"/>
      <c r="E16">
        <v>6</v>
      </c>
      <c r="F16" t="s">
        <v>4676</v>
      </c>
      <c r="G16">
        <v>1</v>
      </c>
      <c r="H16">
        <v>1</v>
      </c>
      <c r="I16">
        <f>1</f>
        <v>1</v>
      </c>
    </row>
    <row r="17" spans="2:9" x14ac:dyDescent="0.25">
      <c r="B17">
        <v>0</v>
      </c>
      <c r="C17" s="16" t="s">
        <v>9413</v>
      </c>
      <c r="D17" s="16"/>
      <c r="E17">
        <v>6</v>
      </c>
      <c r="F17" t="e">
        <f>-De galinhas-d angola  pintadas</f>
        <v>#NAME?</v>
      </c>
      <c r="G17">
        <v>1</v>
      </c>
      <c r="H17">
        <v>1</v>
      </c>
      <c r="I17">
        <f>1</f>
        <v>1</v>
      </c>
    </row>
    <row r="18" spans="2:9" x14ac:dyDescent="0.25">
      <c r="B18">
        <v>0</v>
      </c>
      <c r="C18" s="16" t="s">
        <v>9414</v>
      </c>
      <c r="D18" s="16"/>
      <c r="E18">
        <v>6</v>
      </c>
      <c r="F18" t="e">
        <f>-De coelhos ou De lebres</f>
        <v>#NAME?</v>
      </c>
      <c r="G18">
        <v>1</v>
      </c>
      <c r="H18">
        <v>1</v>
      </c>
      <c r="I18">
        <f>1</f>
        <v>1</v>
      </c>
    </row>
    <row r="19" spans="2:9" x14ac:dyDescent="0.25">
      <c r="B19">
        <v>0</v>
      </c>
      <c r="C19" s="16" t="s">
        <v>9415</v>
      </c>
      <c r="D19" s="16"/>
      <c r="E19">
        <v>6</v>
      </c>
      <c r="F19" t="e">
        <f>-De primatas</f>
        <v>#NAME?</v>
      </c>
      <c r="G19">
        <v>1</v>
      </c>
      <c r="H19">
        <v>1</v>
      </c>
      <c r="I19">
        <f>1</f>
        <v>1</v>
      </c>
    </row>
    <row r="20" spans="2:9" x14ac:dyDescent="0.25">
      <c r="B20">
        <v>0</v>
      </c>
      <c r="C20" s="16" t="s">
        <v>9416</v>
      </c>
      <c r="D20" s="16"/>
      <c r="E20">
        <v>6</v>
      </c>
      <c r="F20" t="s">
        <v>4677</v>
      </c>
      <c r="G20">
        <v>1</v>
      </c>
      <c r="H20">
        <v>1</v>
      </c>
      <c r="I20">
        <f>1</f>
        <v>1</v>
      </c>
    </row>
    <row r="21" spans="2:9" x14ac:dyDescent="0.25">
      <c r="B21">
        <v>0</v>
      </c>
      <c r="C21" s="16" t="s">
        <v>9417</v>
      </c>
      <c r="D21" s="16"/>
      <c r="E21">
        <v>6</v>
      </c>
      <c r="F21" t="e">
        <f>-De répteis  incluindo as serpentes e as tartarugas marinhas</f>
        <v>#NAME?</v>
      </c>
      <c r="G21">
        <v>1</v>
      </c>
      <c r="H21">
        <v>1</v>
      </c>
      <c r="I21">
        <f>1</f>
        <v>1</v>
      </c>
    </row>
    <row r="22" spans="2:9" x14ac:dyDescent="0.25">
      <c r="B22">
        <v>0</v>
      </c>
      <c r="C22" s="16" t="s">
        <v>9418</v>
      </c>
      <c r="D22" s="16"/>
      <c r="E22">
        <v>6</v>
      </c>
      <c r="F22" t="e">
        <f>-De camelos e De outros camelídeos  Camelidae</f>
        <v>#NAME?</v>
      </c>
      <c r="G22">
        <v>1</v>
      </c>
      <c r="H22">
        <v>1</v>
      </c>
      <c r="I22">
        <f>1</f>
        <v>1</v>
      </c>
    </row>
    <row r="23" spans="2:9" x14ac:dyDescent="0.25">
      <c r="B23">
        <v>0</v>
      </c>
      <c r="C23" s="16" t="s">
        <v>9419</v>
      </c>
      <c r="D23" s="16"/>
      <c r="E23">
        <v>6</v>
      </c>
      <c r="F23" t="e">
        <f>-Outras</f>
        <v>#NAME?</v>
      </c>
      <c r="G23">
        <v>1</v>
      </c>
      <c r="H23">
        <v>1</v>
      </c>
      <c r="I23">
        <f>1</f>
        <v>1</v>
      </c>
    </row>
    <row r="24" spans="2:9" x14ac:dyDescent="0.25">
      <c r="B24">
        <v>0</v>
      </c>
      <c r="C24" s="16" t="s">
        <v>9420</v>
      </c>
      <c r="D24" s="16"/>
      <c r="E24">
        <v>6</v>
      </c>
      <c r="F24" t="s">
        <v>4678</v>
      </c>
      <c r="G24">
        <v>1</v>
      </c>
      <c r="H24">
        <v>1</v>
      </c>
      <c r="I24">
        <f>1</f>
        <v>1</v>
      </c>
    </row>
    <row r="25" spans="2:9" x14ac:dyDescent="0.25">
      <c r="B25">
        <v>0</v>
      </c>
      <c r="C25" s="16" t="s">
        <v>9421</v>
      </c>
      <c r="D25" s="16"/>
      <c r="E25">
        <v>6</v>
      </c>
      <c r="F25" t="e">
        <f>--Reprodutores De raça pura</f>
        <v>#NAME?</v>
      </c>
      <c r="G25">
        <v>1</v>
      </c>
      <c r="H25">
        <v>0</v>
      </c>
      <c r="I25">
        <f>1</f>
        <v>1</v>
      </c>
    </row>
    <row r="26" spans="2:9" x14ac:dyDescent="0.25">
      <c r="B26">
        <v>0</v>
      </c>
      <c r="C26" s="16" t="s">
        <v>9422</v>
      </c>
      <c r="D26" s="16"/>
      <c r="E26">
        <v>6</v>
      </c>
      <c r="F26" t="e">
        <f>--outros</f>
        <v>#NAME?</v>
      </c>
      <c r="G26">
        <v>1</v>
      </c>
      <c r="H26">
        <v>0</v>
      </c>
      <c r="I26">
        <f>1</f>
        <v>1</v>
      </c>
    </row>
    <row r="27" spans="2:9" x14ac:dyDescent="0.25">
      <c r="B27">
        <v>0</v>
      </c>
      <c r="C27" s="16" t="s">
        <v>9423</v>
      </c>
      <c r="D27" s="16"/>
      <c r="E27">
        <v>6</v>
      </c>
      <c r="F27" t="e">
        <f>-Asininos</f>
        <v>#NAME?</v>
      </c>
      <c r="G27">
        <v>1</v>
      </c>
      <c r="H27">
        <v>0</v>
      </c>
      <c r="I27">
        <f>1</f>
        <v>1</v>
      </c>
    </row>
    <row r="28" spans="2:9" x14ac:dyDescent="0.25">
      <c r="B28">
        <v>0</v>
      </c>
      <c r="C28" s="16" t="s">
        <v>9424</v>
      </c>
      <c r="D28" s="16"/>
      <c r="E28">
        <v>6</v>
      </c>
      <c r="F28" t="e">
        <f>-outros</f>
        <v>#NAME?</v>
      </c>
      <c r="G28">
        <v>1</v>
      </c>
      <c r="H28">
        <v>0</v>
      </c>
      <c r="I28">
        <f>1</f>
        <v>1</v>
      </c>
    </row>
    <row r="29" spans="2:9" x14ac:dyDescent="0.25">
      <c r="B29">
        <v>0</v>
      </c>
      <c r="C29" s="16" t="s">
        <v>9425</v>
      </c>
      <c r="D29" s="16"/>
      <c r="E29">
        <v>6</v>
      </c>
      <c r="F29" t="s">
        <v>4679</v>
      </c>
      <c r="G29">
        <v>1</v>
      </c>
      <c r="H29">
        <v>0</v>
      </c>
      <c r="I29">
        <f>1</f>
        <v>1</v>
      </c>
    </row>
    <row r="30" spans="2:9" x14ac:dyDescent="0.25">
      <c r="B30">
        <v>0</v>
      </c>
      <c r="C30" s="16" t="s">
        <v>9426</v>
      </c>
      <c r="D30" s="16"/>
      <c r="E30">
        <v>6</v>
      </c>
      <c r="F30" t="s">
        <v>4680</v>
      </c>
      <c r="G30">
        <v>1</v>
      </c>
      <c r="H30">
        <v>0</v>
      </c>
      <c r="I30">
        <f>1</f>
        <v>1</v>
      </c>
    </row>
    <row r="31" spans="2:9" x14ac:dyDescent="0.25">
      <c r="B31">
        <v>0</v>
      </c>
      <c r="C31" s="16" t="s">
        <v>9427</v>
      </c>
      <c r="D31" s="16"/>
      <c r="E31">
        <v>6</v>
      </c>
      <c r="F31" t="s">
        <v>4679</v>
      </c>
      <c r="G31">
        <v>1</v>
      </c>
      <c r="H31">
        <v>0</v>
      </c>
      <c r="I31">
        <f>1</f>
        <v>1</v>
      </c>
    </row>
    <row r="32" spans="2:9" x14ac:dyDescent="0.25">
      <c r="B32">
        <v>0</v>
      </c>
      <c r="C32" s="16" t="s">
        <v>9428</v>
      </c>
      <c r="D32" s="16"/>
      <c r="E32">
        <v>6</v>
      </c>
      <c r="F32" t="s">
        <v>4680</v>
      </c>
      <c r="G32">
        <v>1</v>
      </c>
      <c r="H32">
        <v>0</v>
      </c>
      <c r="I32">
        <f>1</f>
        <v>1</v>
      </c>
    </row>
    <row r="33" spans="2:9" x14ac:dyDescent="0.25">
      <c r="B33">
        <v>0</v>
      </c>
      <c r="C33" s="16" t="s">
        <v>9429</v>
      </c>
      <c r="D33" s="16"/>
      <c r="E33">
        <v>6</v>
      </c>
      <c r="F33" t="s">
        <v>4680</v>
      </c>
      <c r="G33">
        <v>1</v>
      </c>
      <c r="H33">
        <v>0</v>
      </c>
      <c r="I33">
        <f>1</f>
        <v>1</v>
      </c>
    </row>
    <row r="34" spans="2:9" x14ac:dyDescent="0.25">
      <c r="B34">
        <v>0</v>
      </c>
      <c r="C34" s="16" t="s">
        <v>9430</v>
      </c>
      <c r="D34" s="16"/>
      <c r="E34">
        <v>6</v>
      </c>
      <c r="F34" t="s">
        <v>4679</v>
      </c>
      <c r="G34">
        <v>1</v>
      </c>
      <c r="H34">
        <v>0</v>
      </c>
      <c r="I34">
        <f>1</f>
        <v>1</v>
      </c>
    </row>
    <row r="35" spans="2:9" x14ac:dyDescent="0.25">
      <c r="B35">
        <v>0</v>
      </c>
      <c r="C35" s="16" t="s">
        <v>9431</v>
      </c>
      <c r="D35" s="16"/>
      <c r="E35">
        <v>6</v>
      </c>
      <c r="F35" t="s">
        <v>4680</v>
      </c>
      <c r="G35">
        <v>1</v>
      </c>
      <c r="H35">
        <v>0</v>
      </c>
      <c r="I35">
        <f>1</f>
        <v>1</v>
      </c>
    </row>
    <row r="36" spans="2:9" x14ac:dyDescent="0.25">
      <c r="B36">
        <v>0</v>
      </c>
      <c r="C36" s="16" t="s">
        <v>9432</v>
      </c>
      <c r="D36" s="16"/>
      <c r="E36">
        <v>6</v>
      </c>
      <c r="F36" t="s">
        <v>4679</v>
      </c>
      <c r="G36">
        <v>1</v>
      </c>
      <c r="H36">
        <v>0</v>
      </c>
      <c r="I36">
        <f>1</f>
        <v>1</v>
      </c>
    </row>
    <row r="37" spans="2:9" x14ac:dyDescent="0.25">
      <c r="B37">
        <v>0</v>
      </c>
      <c r="C37" s="16" t="s">
        <v>9433</v>
      </c>
      <c r="D37" s="16"/>
      <c r="E37">
        <v>6</v>
      </c>
      <c r="F37" t="s">
        <v>4680</v>
      </c>
      <c r="G37">
        <v>1</v>
      </c>
      <c r="H37">
        <v>0</v>
      </c>
      <c r="I37">
        <f>1</f>
        <v>1</v>
      </c>
    </row>
    <row r="38" spans="2:9" x14ac:dyDescent="0.25">
      <c r="B38">
        <v>0</v>
      </c>
      <c r="C38" s="16" t="s">
        <v>9434</v>
      </c>
      <c r="D38" s="16"/>
      <c r="E38">
        <v>6</v>
      </c>
      <c r="F38" t="s">
        <v>4680</v>
      </c>
      <c r="G38">
        <v>1</v>
      </c>
      <c r="H38">
        <v>0</v>
      </c>
      <c r="I38">
        <f>1</f>
        <v>1</v>
      </c>
    </row>
    <row r="39" spans="2:9" x14ac:dyDescent="0.25">
      <c r="B39">
        <v>0</v>
      </c>
      <c r="C39" s="16" t="s">
        <v>9435</v>
      </c>
      <c r="D39" s="16"/>
      <c r="E39">
        <v>6</v>
      </c>
      <c r="F39" t="e">
        <f>-outros</f>
        <v>#NAME?</v>
      </c>
      <c r="G39">
        <v>1</v>
      </c>
      <c r="H39">
        <v>0</v>
      </c>
      <c r="I39">
        <f>1</f>
        <v>1</v>
      </c>
    </row>
    <row r="40" spans="2:9" x14ac:dyDescent="0.25">
      <c r="B40">
        <v>0</v>
      </c>
      <c r="C40" s="16" t="s">
        <v>9436</v>
      </c>
      <c r="D40" s="16"/>
      <c r="E40">
        <v>6</v>
      </c>
      <c r="F40" t="e">
        <f>-Reprodutores De raça pura</f>
        <v>#NAME?</v>
      </c>
      <c r="G40">
        <v>1</v>
      </c>
      <c r="H40">
        <v>0</v>
      </c>
      <c r="I40">
        <f>1</f>
        <v>1</v>
      </c>
    </row>
    <row r="41" spans="2:9" x14ac:dyDescent="0.25">
      <c r="B41">
        <v>0</v>
      </c>
      <c r="C41" s="16" t="s">
        <v>9437</v>
      </c>
      <c r="D41" s="16"/>
      <c r="E41">
        <v>6</v>
      </c>
      <c r="F41" t="s">
        <v>4681</v>
      </c>
      <c r="G41">
        <v>1</v>
      </c>
      <c r="H41">
        <v>0</v>
      </c>
      <c r="I41">
        <f>1</f>
        <v>1</v>
      </c>
    </row>
    <row r="42" spans="2:9" x14ac:dyDescent="0.25">
      <c r="B42">
        <v>0</v>
      </c>
      <c r="C42" s="16" t="s">
        <v>9438</v>
      </c>
      <c r="D42" s="16"/>
      <c r="E42">
        <v>6</v>
      </c>
      <c r="F42" t="s">
        <v>4682</v>
      </c>
      <c r="G42">
        <v>1</v>
      </c>
      <c r="H42">
        <v>0</v>
      </c>
      <c r="I42">
        <f>1</f>
        <v>1</v>
      </c>
    </row>
    <row r="43" spans="2:9" x14ac:dyDescent="0.25">
      <c r="B43">
        <v>0</v>
      </c>
      <c r="C43" s="16" t="s">
        <v>9439</v>
      </c>
      <c r="D43" s="16"/>
      <c r="E43">
        <v>6</v>
      </c>
      <c r="F43" t="s">
        <v>4679</v>
      </c>
      <c r="G43">
        <v>1</v>
      </c>
      <c r="H43">
        <v>0</v>
      </c>
      <c r="I43">
        <f>1</f>
        <v>1</v>
      </c>
    </row>
    <row r="44" spans="2:9" x14ac:dyDescent="0.25">
      <c r="B44">
        <v>0</v>
      </c>
      <c r="C44" s="16" t="s">
        <v>9440</v>
      </c>
      <c r="D44" s="16"/>
      <c r="E44">
        <v>6</v>
      </c>
      <c r="F44" t="s">
        <v>4680</v>
      </c>
      <c r="G44">
        <v>1</v>
      </c>
      <c r="H44">
        <v>0</v>
      </c>
      <c r="I44">
        <f>1</f>
        <v>1</v>
      </c>
    </row>
    <row r="45" spans="2:9" x14ac:dyDescent="0.25">
      <c r="B45">
        <v>0</v>
      </c>
      <c r="C45" s="16" t="s">
        <v>9441</v>
      </c>
      <c r="D45" s="16"/>
      <c r="E45">
        <v>6</v>
      </c>
      <c r="F45" t="s">
        <v>4680</v>
      </c>
      <c r="G45">
        <v>1</v>
      </c>
      <c r="H45">
        <v>0</v>
      </c>
      <c r="I45">
        <f>1</f>
        <v>1</v>
      </c>
    </row>
    <row r="46" spans="2:9" x14ac:dyDescent="0.25">
      <c r="B46">
        <v>0</v>
      </c>
      <c r="C46" s="16" t="s">
        <v>9442</v>
      </c>
      <c r="D46" s="16"/>
      <c r="E46">
        <v>6</v>
      </c>
      <c r="F46" t="s">
        <v>4683</v>
      </c>
      <c r="G46">
        <v>1</v>
      </c>
      <c r="H46">
        <v>0</v>
      </c>
      <c r="I46">
        <f>1</f>
        <v>1</v>
      </c>
    </row>
    <row r="47" spans="2:9" x14ac:dyDescent="0.25">
      <c r="B47">
        <v>0</v>
      </c>
      <c r="C47" s="16" t="s">
        <v>9443</v>
      </c>
      <c r="D47" s="16"/>
      <c r="E47">
        <v>6</v>
      </c>
      <c r="F47" t="s">
        <v>4680</v>
      </c>
      <c r="G47">
        <v>1</v>
      </c>
      <c r="H47">
        <v>0</v>
      </c>
      <c r="I47">
        <f>1</f>
        <v>1</v>
      </c>
    </row>
    <row r="48" spans="2:9" x14ac:dyDescent="0.25">
      <c r="B48">
        <v>0</v>
      </c>
      <c r="C48" s="16" t="s">
        <v>9444</v>
      </c>
      <c r="D48" s="16"/>
      <c r="E48">
        <v>6</v>
      </c>
      <c r="F48" t="s">
        <v>4684</v>
      </c>
      <c r="G48">
        <v>1</v>
      </c>
      <c r="H48">
        <v>0</v>
      </c>
      <c r="I48">
        <f>1</f>
        <v>1</v>
      </c>
    </row>
    <row r="49" spans="2:9" x14ac:dyDescent="0.25">
      <c r="B49">
        <v>0</v>
      </c>
      <c r="C49" s="16" t="s">
        <v>9445</v>
      </c>
      <c r="D49" s="16"/>
      <c r="E49">
        <v>6</v>
      </c>
      <c r="F49" t="s">
        <v>4680</v>
      </c>
      <c r="G49">
        <v>1</v>
      </c>
      <c r="H49">
        <v>0</v>
      </c>
      <c r="I49">
        <f>1</f>
        <v>1</v>
      </c>
    </row>
    <row r="50" spans="2:9" x14ac:dyDescent="0.25">
      <c r="B50">
        <v>0</v>
      </c>
      <c r="C50" s="16" t="s">
        <v>9446</v>
      </c>
      <c r="D50" s="16"/>
      <c r="E50">
        <v>6</v>
      </c>
      <c r="F50" t="e">
        <f>--Peruas e perus</f>
        <v>#NAME?</v>
      </c>
      <c r="G50">
        <v>1</v>
      </c>
      <c r="H50">
        <v>0</v>
      </c>
      <c r="I50">
        <f>1</f>
        <v>1</v>
      </c>
    </row>
    <row r="51" spans="2:9" x14ac:dyDescent="0.25">
      <c r="B51">
        <v>0</v>
      </c>
      <c r="C51" s="16" t="s">
        <v>9447</v>
      </c>
      <c r="D51" s="16"/>
      <c r="E51">
        <v>6</v>
      </c>
      <c r="F51" t="e">
        <f>--Patos</f>
        <v>#NAME?</v>
      </c>
      <c r="G51">
        <v>1</v>
      </c>
      <c r="H51">
        <v>0</v>
      </c>
      <c r="I51">
        <f>1</f>
        <v>1</v>
      </c>
    </row>
    <row r="52" spans="2:9" x14ac:dyDescent="0.25">
      <c r="B52">
        <v>0</v>
      </c>
      <c r="C52" s="16" t="s">
        <v>9448</v>
      </c>
      <c r="D52" s="16"/>
      <c r="E52">
        <v>6</v>
      </c>
      <c r="F52" t="e">
        <f>--Gansos</f>
        <v>#NAME?</v>
      </c>
      <c r="G52">
        <v>1</v>
      </c>
      <c r="H52">
        <v>0</v>
      </c>
      <c r="I52">
        <f>1</f>
        <v>1</v>
      </c>
    </row>
    <row r="53" spans="2:9" x14ac:dyDescent="0.25">
      <c r="B53">
        <v>0</v>
      </c>
      <c r="C53" s="16" t="s">
        <v>9449</v>
      </c>
      <c r="D53" s="16"/>
      <c r="E53">
        <v>6</v>
      </c>
      <c r="F53" t="e">
        <f>--galinhas-d angola  pintadas</f>
        <v>#NAME?</v>
      </c>
      <c r="G53">
        <v>1</v>
      </c>
      <c r="H53">
        <v>0</v>
      </c>
      <c r="I53">
        <f>1</f>
        <v>1</v>
      </c>
    </row>
    <row r="54" spans="2:9" x14ac:dyDescent="0.25">
      <c r="B54">
        <v>0</v>
      </c>
      <c r="C54" s="16" t="s">
        <v>9450</v>
      </c>
      <c r="D54" s="16"/>
      <c r="E54">
        <v>6</v>
      </c>
      <c r="F54" t="e">
        <f>--Galos e galinhas</f>
        <v>#NAME?</v>
      </c>
      <c r="G54">
        <v>1</v>
      </c>
      <c r="H54">
        <v>0</v>
      </c>
      <c r="I54">
        <f>1</f>
        <v>1</v>
      </c>
    </row>
    <row r="55" spans="2:9" x14ac:dyDescent="0.25">
      <c r="B55">
        <v>0</v>
      </c>
      <c r="C55" s="16" t="s">
        <v>9451</v>
      </c>
      <c r="D55" s="16"/>
      <c r="E55">
        <v>6</v>
      </c>
      <c r="F55" t="e">
        <f>--outros</f>
        <v>#NAME?</v>
      </c>
      <c r="G55">
        <v>1</v>
      </c>
      <c r="H55">
        <v>0</v>
      </c>
      <c r="I55">
        <f>1</f>
        <v>1</v>
      </c>
    </row>
    <row r="56" spans="2:9" x14ac:dyDescent="0.25">
      <c r="B56">
        <v>0</v>
      </c>
      <c r="C56" s="16" t="s">
        <v>9452</v>
      </c>
      <c r="D56" s="16"/>
      <c r="E56">
        <v>6</v>
      </c>
      <c r="F56" t="e">
        <f>--primatas</f>
        <v>#NAME?</v>
      </c>
      <c r="G56">
        <v>1</v>
      </c>
      <c r="H56">
        <v>0</v>
      </c>
      <c r="I56">
        <f>1</f>
        <v>1</v>
      </c>
    </row>
    <row r="57" spans="2:9" x14ac:dyDescent="0.25">
      <c r="B57">
        <v>0</v>
      </c>
      <c r="C57" s="16" t="s">
        <v>9453</v>
      </c>
      <c r="D57" s="16"/>
      <c r="E57">
        <v>6</v>
      </c>
      <c r="F57" t="s">
        <v>4685</v>
      </c>
      <c r="G57">
        <v>1</v>
      </c>
      <c r="H57">
        <v>0</v>
      </c>
      <c r="I57">
        <f>1</f>
        <v>1</v>
      </c>
    </row>
    <row r="58" spans="2:9" x14ac:dyDescent="0.25">
      <c r="B58">
        <v>0</v>
      </c>
      <c r="C58" s="16" t="s">
        <v>9454</v>
      </c>
      <c r="D58" s="16"/>
      <c r="E58">
        <v>6</v>
      </c>
      <c r="F58" t="e">
        <f>--camelos e outros camelídeos  Camelidae</f>
        <v>#NAME?</v>
      </c>
      <c r="G58">
        <v>1</v>
      </c>
      <c r="H58">
        <v>0</v>
      </c>
      <c r="I58">
        <f>1</f>
        <v>1</v>
      </c>
    </row>
    <row r="59" spans="2:9" x14ac:dyDescent="0.25">
      <c r="B59">
        <v>0</v>
      </c>
      <c r="C59" s="16" t="s">
        <v>9455</v>
      </c>
      <c r="D59" s="16"/>
      <c r="E59">
        <v>6</v>
      </c>
      <c r="F59" t="e">
        <f>--coelhos e lebres</f>
        <v>#NAME?</v>
      </c>
      <c r="G59">
        <v>1</v>
      </c>
      <c r="H59">
        <v>0</v>
      </c>
      <c r="I59">
        <f>1</f>
        <v>1</v>
      </c>
    </row>
    <row r="60" spans="2:9" x14ac:dyDescent="0.25">
      <c r="B60">
        <v>0</v>
      </c>
      <c r="C60" s="16" t="s">
        <v>9456</v>
      </c>
      <c r="D60" s="16"/>
      <c r="E60">
        <v>6</v>
      </c>
      <c r="F60" t="e">
        <f>--outros</f>
        <v>#NAME?</v>
      </c>
      <c r="G60">
        <v>1</v>
      </c>
      <c r="H60">
        <v>0</v>
      </c>
      <c r="I60">
        <f>1</f>
        <v>1</v>
      </c>
    </row>
    <row r="61" spans="2:9" x14ac:dyDescent="0.25">
      <c r="B61">
        <v>0</v>
      </c>
      <c r="C61" s="16" t="s">
        <v>9457</v>
      </c>
      <c r="D61" s="16"/>
      <c r="E61">
        <v>6</v>
      </c>
      <c r="F61" t="e">
        <f>-répteis  incluindo as serpentes e as tartarugas marinhas</f>
        <v>#NAME?</v>
      </c>
      <c r="G61">
        <v>1</v>
      </c>
      <c r="H61">
        <v>0</v>
      </c>
      <c r="I61">
        <f>1</f>
        <v>1</v>
      </c>
    </row>
    <row r="62" spans="2:9" x14ac:dyDescent="0.25">
      <c r="B62">
        <v>0</v>
      </c>
      <c r="C62" s="16" t="s">
        <v>9458</v>
      </c>
      <c r="D62" s="16"/>
      <c r="E62">
        <v>6</v>
      </c>
      <c r="F62" t="e">
        <f>--Aves De rapina</f>
        <v>#NAME?</v>
      </c>
      <c r="G62">
        <v>1</v>
      </c>
      <c r="H62">
        <v>0</v>
      </c>
      <c r="I62">
        <f>1</f>
        <v>1</v>
      </c>
    </row>
    <row r="63" spans="2:9" x14ac:dyDescent="0.25">
      <c r="B63">
        <v>0</v>
      </c>
      <c r="C63" s="16" t="s">
        <v>9459</v>
      </c>
      <c r="D63" s="16"/>
      <c r="E63">
        <v>6</v>
      </c>
      <c r="F63" t="s">
        <v>4686</v>
      </c>
      <c r="G63">
        <v>1</v>
      </c>
      <c r="H63">
        <v>0</v>
      </c>
      <c r="I63">
        <f>1</f>
        <v>1</v>
      </c>
    </row>
    <row r="64" spans="2:9" x14ac:dyDescent="0.25">
      <c r="B64">
        <v>0</v>
      </c>
      <c r="C64" s="16" t="s">
        <v>9460</v>
      </c>
      <c r="D64" s="16"/>
      <c r="E64">
        <v>6</v>
      </c>
      <c r="F64" t="s">
        <v>4687</v>
      </c>
      <c r="G64">
        <v>1</v>
      </c>
      <c r="H64">
        <v>0</v>
      </c>
      <c r="I64">
        <f>1</f>
        <v>1</v>
      </c>
    </row>
    <row r="65" spans="2:9" x14ac:dyDescent="0.25">
      <c r="B65">
        <v>0</v>
      </c>
      <c r="C65" s="16" t="s">
        <v>9461</v>
      </c>
      <c r="D65" s="16"/>
      <c r="E65">
        <v>6</v>
      </c>
      <c r="F65" t="s">
        <v>4680</v>
      </c>
      <c r="G65">
        <v>1</v>
      </c>
      <c r="H65">
        <v>0</v>
      </c>
      <c r="I65">
        <f>1</f>
        <v>1</v>
      </c>
    </row>
    <row r="66" spans="2:9" x14ac:dyDescent="0.25">
      <c r="B66">
        <v>0</v>
      </c>
      <c r="C66" s="16" t="s">
        <v>9462</v>
      </c>
      <c r="D66" s="16"/>
      <c r="E66">
        <v>6</v>
      </c>
      <c r="F66" t="e">
        <f>--Outras</f>
        <v>#NAME?</v>
      </c>
      <c r="G66">
        <v>1</v>
      </c>
      <c r="H66">
        <v>0</v>
      </c>
      <c r="I66">
        <f>1</f>
        <v>1</v>
      </c>
    </row>
    <row r="67" spans="2:9" x14ac:dyDescent="0.25">
      <c r="B67">
        <v>0</v>
      </c>
      <c r="C67" s="16" t="s">
        <v>9463</v>
      </c>
      <c r="D67" s="16"/>
      <c r="E67">
        <v>6</v>
      </c>
      <c r="F67" t="e">
        <f>--Abelhas</f>
        <v>#NAME?</v>
      </c>
      <c r="G67">
        <v>1</v>
      </c>
      <c r="H67">
        <v>0</v>
      </c>
      <c r="I67">
        <f>1</f>
        <v>1</v>
      </c>
    </row>
    <row r="68" spans="2:9" x14ac:dyDescent="0.25">
      <c r="B68">
        <v>0</v>
      </c>
      <c r="C68" s="16" t="s">
        <v>9464</v>
      </c>
      <c r="D68" s="16"/>
      <c r="E68">
        <v>6</v>
      </c>
      <c r="F68" t="e">
        <f>--outros</f>
        <v>#NAME?</v>
      </c>
      <c r="G68">
        <v>1</v>
      </c>
      <c r="H68">
        <v>0</v>
      </c>
      <c r="I68">
        <f>1</f>
        <v>1</v>
      </c>
    </row>
    <row r="69" spans="2:9" x14ac:dyDescent="0.25">
      <c r="B69">
        <v>0</v>
      </c>
      <c r="C69" s="16" t="s">
        <v>9465</v>
      </c>
      <c r="D69" s="16"/>
      <c r="E69">
        <v>6</v>
      </c>
      <c r="F69" t="e">
        <f>-outros</f>
        <v>#NAME?</v>
      </c>
      <c r="G69">
        <v>1</v>
      </c>
      <c r="H69">
        <v>0</v>
      </c>
      <c r="I69">
        <f>1</f>
        <v>1</v>
      </c>
    </row>
    <row r="70" spans="2:9" x14ac:dyDescent="0.25">
      <c r="B70">
        <v>0</v>
      </c>
      <c r="C70" s="16" t="s">
        <v>9466</v>
      </c>
      <c r="D70" s="16"/>
      <c r="E70">
        <v>6</v>
      </c>
      <c r="F70" t="e">
        <f>-Carcaças e meias-Carcaças</f>
        <v>#NAME?</v>
      </c>
      <c r="G70">
        <v>1</v>
      </c>
      <c r="H70">
        <v>1</v>
      </c>
      <c r="I70">
        <f>1</f>
        <v>1</v>
      </c>
    </row>
    <row r="71" spans="2:9" x14ac:dyDescent="0.25">
      <c r="B71">
        <v>0</v>
      </c>
      <c r="C71" s="16" t="s">
        <v>9467</v>
      </c>
      <c r="D71" s="16"/>
      <c r="E71">
        <v>6</v>
      </c>
      <c r="F71" t="s">
        <v>4688</v>
      </c>
      <c r="G71">
        <v>1</v>
      </c>
      <c r="H71">
        <v>1</v>
      </c>
      <c r="I71">
        <f>1</f>
        <v>1</v>
      </c>
    </row>
    <row r="72" spans="2:9" x14ac:dyDescent="0.25">
      <c r="B72">
        <v>0</v>
      </c>
      <c r="C72" s="16" t="s">
        <v>9468</v>
      </c>
      <c r="D72" s="16"/>
      <c r="E72">
        <v>6</v>
      </c>
      <c r="F72" t="s">
        <v>4689</v>
      </c>
      <c r="G72">
        <v>1</v>
      </c>
      <c r="H72">
        <v>1</v>
      </c>
      <c r="I72">
        <f>1</f>
        <v>1</v>
      </c>
    </row>
    <row r="73" spans="2:9" x14ac:dyDescent="0.25">
      <c r="B73">
        <v>0</v>
      </c>
      <c r="C73" s="16" t="s">
        <v>9469</v>
      </c>
      <c r="D73" s="16"/>
      <c r="E73">
        <v>6</v>
      </c>
      <c r="F73" t="s">
        <v>4690</v>
      </c>
      <c r="G73">
        <v>1</v>
      </c>
      <c r="H73">
        <v>1</v>
      </c>
      <c r="I73">
        <f>1</f>
        <v>1</v>
      </c>
    </row>
    <row r="74" spans="2:9" x14ac:dyDescent="0.25">
      <c r="B74">
        <v>0</v>
      </c>
      <c r="C74" s="16" t="s">
        <v>9470</v>
      </c>
      <c r="D74" s="16"/>
      <c r="E74">
        <v>6</v>
      </c>
      <c r="F74" t="e">
        <f>-Desossadas</f>
        <v>#NAME?</v>
      </c>
      <c r="G74">
        <v>1</v>
      </c>
      <c r="H74">
        <v>1</v>
      </c>
      <c r="I74">
        <f>1</f>
        <v>1</v>
      </c>
    </row>
    <row r="75" spans="2:9" x14ac:dyDescent="0.25">
      <c r="B75">
        <v>0</v>
      </c>
      <c r="C75" s="16" t="s">
        <v>9471</v>
      </c>
      <c r="D75" s="16"/>
      <c r="E75">
        <v>6</v>
      </c>
      <c r="F75" t="e">
        <f>-Carcaças e meias-Carcaças</f>
        <v>#NAME?</v>
      </c>
      <c r="G75">
        <v>1</v>
      </c>
      <c r="H75">
        <v>1</v>
      </c>
      <c r="I75">
        <f>1</f>
        <v>1</v>
      </c>
    </row>
    <row r="76" spans="2:9" x14ac:dyDescent="0.25">
      <c r="B76">
        <v>0</v>
      </c>
      <c r="C76" s="16" t="s">
        <v>9472</v>
      </c>
      <c r="D76" s="16"/>
      <c r="E76">
        <v>6</v>
      </c>
      <c r="F76" t="s">
        <v>4688</v>
      </c>
      <c r="G76">
        <v>1</v>
      </c>
      <c r="H76">
        <v>1</v>
      </c>
      <c r="I76">
        <f>1</f>
        <v>1</v>
      </c>
    </row>
    <row r="77" spans="2:9" x14ac:dyDescent="0.25">
      <c r="B77">
        <v>0</v>
      </c>
      <c r="C77" s="16" t="s">
        <v>9473</v>
      </c>
      <c r="D77" s="16"/>
      <c r="E77">
        <v>6</v>
      </c>
      <c r="F77" t="s">
        <v>4689</v>
      </c>
      <c r="G77">
        <v>1</v>
      </c>
      <c r="H77">
        <v>1</v>
      </c>
      <c r="I77">
        <f>1</f>
        <v>1</v>
      </c>
    </row>
    <row r="78" spans="2:9" x14ac:dyDescent="0.25">
      <c r="B78">
        <v>0</v>
      </c>
      <c r="C78" s="16" t="s">
        <v>9474</v>
      </c>
      <c r="D78" s="16"/>
      <c r="E78">
        <v>6</v>
      </c>
      <c r="F78" t="s">
        <v>4690</v>
      </c>
      <c r="G78">
        <v>1</v>
      </c>
      <c r="H78">
        <v>1</v>
      </c>
      <c r="I78">
        <f>1</f>
        <v>1</v>
      </c>
    </row>
    <row r="79" spans="2:9" x14ac:dyDescent="0.25">
      <c r="B79">
        <v>0</v>
      </c>
      <c r="C79" s="16" t="s">
        <v>9475</v>
      </c>
      <c r="D79" s="16"/>
      <c r="E79">
        <v>6</v>
      </c>
      <c r="F79" t="e">
        <f>-Desossadas</f>
        <v>#NAME?</v>
      </c>
      <c r="G79">
        <v>1</v>
      </c>
      <c r="H79">
        <v>1</v>
      </c>
      <c r="I79">
        <f>1</f>
        <v>1</v>
      </c>
    </row>
    <row r="80" spans="2:9" x14ac:dyDescent="0.25">
      <c r="B80">
        <v>0</v>
      </c>
      <c r="C80" s="16" t="s">
        <v>9476</v>
      </c>
      <c r="D80" s="16"/>
      <c r="E80">
        <v>6</v>
      </c>
      <c r="F80" t="e">
        <f>--Carcaças e meias-Carcaças</f>
        <v>#NAME?</v>
      </c>
      <c r="G80">
        <v>1</v>
      </c>
      <c r="H80">
        <v>1</v>
      </c>
      <c r="I80">
        <f>1</f>
        <v>1</v>
      </c>
    </row>
    <row r="81" spans="2:9" x14ac:dyDescent="0.25">
      <c r="B81">
        <v>0</v>
      </c>
      <c r="C81" s="16" t="s">
        <v>9477</v>
      </c>
      <c r="D81" s="16"/>
      <c r="E81">
        <v>6</v>
      </c>
      <c r="F81" t="s">
        <v>4691</v>
      </c>
      <c r="G81">
        <v>1</v>
      </c>
      <c r="H81">
        <v>1</v>
      </c>
      <c r="I81">
        <f>1</f>
        <v>1</v>
      </c>
    </row>
    <row r="82" spans="2:9" x14ac:dyDescent="0.25">
      <c r="B82">
        <v>0</v>
      </c>
      <c r="C82" s="16" t="s">
        <v>9478</v>
      </c>
      <c r="D82" s="16"/>
      <c r="E82">
        <v>6</v>
      </c>
      <c r="F82" t="e">
        <f>--Outras</f>
        <v>#NAME?</v>
      </c>
      <c r="G82">
        <v>1</v>
      </c>
      <c r="H82">
        <v>1</v>
      </c>
      <c r="I82">
        <f>1</f>
        <v>1</v>
      </c>
    </row>
    <row r="83" spans="2:9" x14ac:dyDescent="0.25">
      <c r="B83">
        <v>0</v>
      </c>
      <c r="C83" s="16" t="s">
        <v>9479</v>
      </c>
      <c r="D83" s="16"/>
      <c r="E83">
        <v>6</v>
      </c>
      <c r="F83" t="e">
        <f>--Carcaças e meias-Carcaças</f>
        <v>#NAME?</v>
      </c>
      <c r="G83">
        <v>1</v>
      </c>
      <c r="H83">
        <v>1</v>
      </c>
      <c r="I83">
        <f>1</f>
        <v>1</v>
      </c>
    </row>
    <row r="84" spans="2:9" x14ac:dyDescent="0.25">
      <c r="B84">
        <v>0</v>
      </c>
      <c r="C84" s="16" t="s">
        <v>9480</v>
      </c>
      <c r="D84" s="16"/>
      <c r="E84">
        <v>6</v>
      </c>
      <c r="F84" t="s">
        <v>4691</v>
      </c>
      <c r="G84">
        <v>1</v>
      </c>
      <c r="H84">
        <v>1</v>
      </c>
      <c r="I84">
        <f>1</f>
        <v>1</v>
      </c>
    </row>
    <row r="85" spans="2:9" x14ac:dyDescent="0.25">
      <c r="B85">
        <v>0</v>
      </c>
      <c r="C85" s="16" t="s">
        <v>9481</v>
      </c>
      <c r="D85" s="16"/>
      <c r="E85">
        <v>6</v>
      </c>
      <c r="F85" t="e">
        <f>--Outras</f>
        <v>#NAME?</v>
      </c>
      <c r="G85">
        <v>1</v>
      </c>
      <c r="H85">
        <v>1</v>
      </c>
      <c r="I85">
        <f>1</f>
        <v>1</v>
      </c>
    </row>
    <row r="86" spans="2:9" x14ac:dyDescent="0.25">
      <c r="B86">
        <v>0</v>
      </c>
      <c r="C86" s="16" t="s">
        <v>9482</v>
      </c>
      <c r="D86" s="16"/>
      <c r="E86">
        <v>6</v>
      </c>
      <c r="F86" t="s">
        <v>4692</v>
      </c>
      <c r="G86">
        <v>1</v>
      </c>
      <c r="H86">
        <v>1</v>
      </c>
      <c r="I86">
        <f>1</f>
        <v>1</v>
      </c>
    </row>
    <row r="87" spans="2:9" x14ac:dyDescent="0.25">
      <c r="B87">
        <v>0</v>
      </c>
      <c r="C87" s="16" t="s">
        <v>9483</v>
      </c>
      <c r="D87" s="16"/>
      <c r="E87">
        <v>6</v>
      </c>
      <c r="F87" t="e">
        <f>--Carcaças e meias-Carcaças</f>
        <v>#NAME?</v>
      </c>
      <c r="G87">
        <v>1</v>
      </c>
      <c r="H87">
        <v>1</v>
      </c>
      <c r="I87">
        <f>1</f>
        <v>1</v>
      </c>
    </row>
    <row r="88" spans="2:9" x14ac:dyDescent="0.25">
      <c r="B88">
        <v>0</v>
      </c>
      <c r="C88" s="16" t="s">
        <v>9484</v>
      </c>
      <c r="D88" s="16"/>
      <c r="E88">
        <v>6</v>
      </c>
      <c r="F88" t="e">
        <f>--Outras peças Não Desossadas</f>
        <v>#NAME?</v>
      </c>
      <c r="G88">
        <v>1</v>
      </c>
      <c r="H88">
        <v>1</v>
      </c>
      <c r="I88">
        <f>1</f>
        <v>1</v>
      </c>
    </row>
    <row r="89" spans="2:9" x14ac:dyDescent="0.25">
      <c r="B89">
        <v>0</v>
      </c>
      <c r="C89" s="16" t="s">
        <v>9485</v>
      </c>
      <c r="D89" s="16"/>
      <c r="E89">
        <v>6</v>
      </c>
      <c r="F89" t="e">
        <f>--Desossadas</f>
        <v>#NAME?</v>
      </c>
      <c r="G89">
        <v>1</v>
      </c>
      <c r="H89">
        <v>1</v>
      </c>
      <c r="I89">
        <f>1</f>
        <v>1</v>
      </c>
    </row>
    <row r="90" spans="2:9" x14ac:dyDescent="0.25">
      <c r="B90">
        <v>0</v>
      </c>
      <c r="C90" s="16" t="s">
        <v>9486</v>
      </c>
      <c r="D90" s="16"/>
      <c r="E90">
        <v>6</v>
      </c>
      <c r="F90" t="s">
        <v>4693</v>
      </c>
      <c r="G90">
        <v>1</v>
      </c>
      <c r="H90">
        <v>1</v>
      </c>
      <c r="I90">
        <f>1</f>
        <v>1</v>
      </c>
    </row>
    <row r="91" spans="2:9" x14ac:dyDescent="0.25">
      <c r="B91">
        <v>0</v>
      </c>
      <c r="C91" s="16" t="s">
        <v>9487</v>
      </c>
      <c r="D91" s="16"/>
      <c r="E91">
        <v>6</v>
      </c>
      <c r="F91" t="e">
        <f>--Carcaças e meias-Carcaças</f>
        <v>#NAME?</v>
      </c>
      <c r="G91">
        <v>1</v>
      </c>
      <c r="H91">
        <v>1</v>
      </c>
      <c r="I91">
        <f>1</f>
        <v>1</v>
      </c>
    </row>
    <row r="92" spans="2:9" x14ac:dyDescent="0.25">
      <c r="B92">
        <v>0</v>
      </c>
      <c r="C92" s="16" t="s">
        <v>9488</v>
      </c>
      <c r="D92" s="16"/>
      <c r="E92">
        <v>6</v>
      </c>
      <c r="F92" t="e">
        <f>--Outras peças Não Desossadas</f>
        <v>#NAME?</v>
      </c>
      <c r="G92">
        <v>1</v>
      </c>
      <c r="H92">
        <v>1</v>
      </c>
      <c r="I92">
        <f>1</f>
        <v>1</v>
      </c>
    </row>
    <row r="93" spans="2:9" x14ac:dyDescent="0.25">
      <c r="B93">
        <v>0</v>
      </c>
      <c r="C93" s="16" t="s">
        <v>9489</v>
      </c>
      <c r="D93" s="16"/>
      <c r="E93">
        <v>6</v>
      </c>
      <c r="F93" t="e">
        <f>--Desossadas</f>
        <v>#NAME?</v>
      </c>
      <c r="G93">
        <v>1</v>
      </c>
      <c r="H93">
        <v>1</v>
      </c>
      <c r="I93">
        <f>1</f>
        <v>1</v>
      </c>
    </row>
    <row r="94" spans="2:9" x14ac:dyDescent="0.25">
      <c r="B94">
        <v>0</v>
      </c>
      <c r="C94" s="16" t="s">
        <v>9490</v>
      </c>
      <c r="D94" s="16"/>
      <c r="E94">
        <v>6</v>
      </c>
      <c r="F94" t="e">
        <f>-Carnes De animais da espécie caprina</f>
        <v>#NAME?</v>
      </c>
      <c r="G94">
        <v>1</v>
      </c>
      <c r="H94">
        <v>1</v>
      </c>
      <c r="I94">
        <f>1</f>
        <v>1</v>
      </c>
    </row>
    <row r="95" spans="2:9" x14ac:dyDescent="0.25">
      <c r="B95">
        <v>0</v>
      </c>
      <c r="C95" s="16" t="s">
        <v>9491</v>
      </c>
      <c r="D95" s="16"/>
      <c r="E95">
        <v>6</v>
      </c>
      <c r="F95" t="s">
        <v>4694</v>
      </c>
      <c r="G95">
        <v>1</v>
      </c>
      <c r="H95">
        <v>1</v>
      </c>
      <c r="I95">
        <f>1</f>
        <v>1</v>
      </c>
    </row>
    <row r="96" spans="2:9" x14ac:dyDescent="0.25">
      <c r="B96">
        <v>0</v>
      </c>
      <c r="C96" s="16" t="s">
        <v>9492</v>
      </c>
      <c r="D96" s="16"/>
      <c r="E96">
        <v>6</v>
      </c>
      <c r="F96" t="s">
        <v>4695</v>
      </c>
      <c r="G96">
        <v>1</v>
      </c>
      <c r="H96">
        <v>1</v>
      </c>
      <c r="I96">
        <f>1</f>
        <v>1</v>
      </c>
    </row>
    <row r="97" spans="2:9" x14ac:dyDescent="0.25">
      <c r="B97">
        <v>0</v>
      </c>
      <c r="C97" s="16" t="s">
        <v>9493</v>
      </c>
      <c r="D97" s="16"/>
      <c r="E97">
        <v>6</v>
      </c>
      <c r="F97" t="e">
        <f>--Línguas</f>
        <v>#NAME?</v>
      </c>
      <c r="G97">
        <v>1</v>
      </c>
      <c r="H97">
        <v>1</v>
      </c>
      <c r="I97">
        <f>1</f>
        <v>1</v>
      </c>
    </row>
    <row r="98" spans="2:9" x14ac:dyDescent="0.25">
      <c r="B98">
        <v>0</v>
      </c>
      <c r="C98" s="16" t="s">
        <v>9494</v>
      </c>
      <c r="D98" s="16"/>
      <c r="E98">
        <v>6</v>
      </c>
      <c r="F98" t="e">
        <f>--Fígados</f>
        <v>#NAME?</v>
      </c>
      <c r="G98">
        <v>1</v>
      </c>
      <c r="H98">
        <v>1</v>
      </c>
      <c r="I98">
        <f>1</f>
        <v>1</v>
      </c>
    </row>
    <row r="99" spans="2:9" x14ac:dyDescent="0.25">
      <c r="B99">
        <v>0</v>
      </c>
      <c r="C99" s="16" t="s">
        <v>9495</v>
      </c>
      <c r="D99" s="16"/>
      <c r="E99">
        <v>6</v>
      </c>
      <c r="F99" t="s">
        <v>4696</v>
      </c>
      <c r="G99">
        <v>1</v>
      </c>
      <c r="H99">
        <v>1</v>
      </c>
      <c r="I99">
        <f>1</f>
        <v>1</v>
      </c>
    </row>
    <row r="100" spans="2:9" x14ac:dyDescent="0.25">
      <c r="B100">
        <v>0</v>
      </c>
      <c r="C100" s="16" t="s">
        <v>9496</v>
      </c>
      <c r="D100" s="16"/>
      <c r="E100">
        <v>6</v>
      </c>
      <c r="F100" t="s">
        <v>4680</v>
      </c>
      <c r="G100">
        <v>1</v>
      </c>
      <c r="H100">
        <v>1</v>
      </c>
      <c r="I100">
        <f>1</f>
        <v>1</v>
      </c>
    </row>
    <row r="101" spans="2:9" x14ac:dyDescent="0.25">
      <c r="B101">
        <v>0</v>
      </c>
      <c r="C101" s="16" t="s">
        <v>9497</v>
      </c>
      <c r="D101" s="16"/>
      <c r="E101">
        <v>6</v>
      </c>
      <c r="F101" t="s">
        <v>4697</v>
      </c>
      <c r="G101">
        <v>1</v>
      </c>
      <c r="H101">
        <v>1</v>
      </c>
      <c r="I101">
        <f>1</f>
        <v>1</v>
      </c>
    </row>
    <row r="102" spans="2:9" x14ac:dyDescent="0.25">
      <c r="B102">
        <v>0</v>
      </c>
      <c r="C102" s="16" t="s">
        <v>9498</v>
      </c>
      <c r="D102" s="16"/>
      <c r="E102">
        <v>6</v>
      </c>
      <c r="F102" t="e">
        <f>--Fígados</f>
        <v>#NAME?</v>
      </c>
      <c r="G102">
        <v>1</v>
      </c>
      <c r="H102">
        <v>1</v>
      </c>
      <c r="I102">
        <f>1</f>
        <v>1</v>
      </c>
    </row>
    <row r="103" spans="2:9" x14ac:dyDescent="0.25">
      <c r="B103">
        <v>0</v>
      </c>
      <c r="C103" s="16" t="s">
        <v>9499</v>
      </c>
      <c r="D103" s="16"/>
      <c r="E103">
        <v>6</v>
      </c>
      <c r="F103" t="e">
        <f>--Outras</f>
        <v>#NAME?</v>
      </c>
      <c r="G103">
        <v>1</v>
      </c>
      <c r="H103">
        <v>1</v>
      </c>
      <c r="I103">
        <f>1</f>
        <v>1</v>
      </c>
    </row>
    <row r="104" spans="2:9" x14ac:dyDescent="0.25">
      <c r="B104">
        <v>0</v>
      </c>
      <c r="C104" s="16" t="s">
        <v>9500</v>
      </c>
      <c r="D104" s="16"/>
      <c r="E104">
        <v>6</v>
      </c>
      <c r="F104" t="s">
        <v>4698</v>
      </c>
      <c r="G104">
        <v>1</v>
      </c>
      <c r="H104">
        <v>1</v>
      </c>
      <c r="I104">
        <f>1</f>
        <v>1</v>
      </c>
    </row>
    <row r="105" spans="2:9" x14ac:dyDescent="0.25">
      <c r="B105">
        <v>0</v>
      </c>
      <c r="C105" s="16" t="s">
        <v>9501</v>
      </c>
      <c r="D105" s="16"/>
      <c r="E105">
        <v>6</v>
      </c>
      <c r="F105" t="s">
        <v>4699</v>
      </c>
      <c r="G105">
        <v>1</v>
      </c>
      <c r="H105">
        <v>1</v>
      </c>
      <c r="I105">
        <f>1</f>
        <v>1</v>
      </c>
    </row>
    <row r="106" spans="2:9" x14ac:dyDescent="0.25">
      <c r="B106">
        <v>0</v>
      </c>
      <c r="C106" s="16" t="s">
        <v>9502</v>
      </c>
      <c r="D106" s="16"/>
      <c r="E106">
        <v>6</v>
      </c>
      <c r="F106" t="s">
        <v>4670</v>
      </c>
      <c r="G106">
        <v>1</v>
      </c>
      <c r="H106">
        <v>1</v>
      </c>
      <c r="I106">
        <f>1</f>
        <v>1</v>
      </c>
    </row>
    <row r="107" spans="2:9" x14ac:dyDescent="0.25">
      <c r="B107">
        <v>0</v>
      </c>
      <c r="C107" s="16" t="s">
        <v>9503</v>
      </c>
      <c r="D107" s="16"/>
      <c r="E107">
        <v>6</v>
      </c>
      <c r="F107" t="s">
        <v>4671</v>
      </c>
      <c r="G107">
        <v>1</v>
      </c>
      <c r="H107">
        <v>1</v>
      </c>
      <c r="I107">
        <f>1</f>
        <v>1</v>
      </c>
    </row>
    <row r="108" spans="2:9" x14ac:dyDescent="0.25">
      <c r="B108">
        <v>0</v>
      </c>
      <c r="C108" s="16" t="s">
        <v>9504</v>
      </c>
      <c r="D108" s="16"/>
      <c r="E108">
        <v>6</v>
      </c>
      <c r="F108" t="s">
        <v>4672</v>
      </c>
      <c r="G108">
        <v>1</v>
      </c>
      <c r="H108">
        <v>1</v>
      </c>
      <c r="I108">
        <f>1</f>
        <v>1</v>
      </c>
    </row>
    <row r="109" spans="2:9" x14ac:dyDescent="0.25">
      <c r="B109">
        <v>0</v>
      </c>
      <c r="C109" s="16" t="s">
        <v>9505</v>
      </c>
      <c r="D109" s="16"/>
      <c r="E109">
        <v>6</v>
      </c>
      <c r="F109" t="s">
        <v>4673</v>
      </c>
      <c r="G109">
        <v>1</v>
      </c>
      <c r="H109">
        <v>1</v>
      </c>
      <c r="I109">
        <f>1</f>
        <v>1</v>
      </c>
    </row>
    <row r="110" spans="2:9" x14ac:dyDescent="0.25">
      <c r="B110">
        <v>0</v>
      </c>
      <c r="C110" s="16" t="s">
        <v>9506</v>
      </c>
      <c r="D110" s="16"/>
      <c r="E110">
        <v>6</v>
      </c>
      <c r="F110" t="s">
        <v>4680</v>
      </c>
      <c r="G110">
        <v>1</v>
      </c>
      <c r="H110">
        <v>1</v>
      </c>
      <c r="I110">
        <f>1</f>
        <v>1</v>
      </c>
    </row>
    <row r="111" spans="2:9" x14ac:dyDescent="0.25">
      <c r="B111">
        <v>0</v>
      </c>
      <c r="C111" s="16" t="s">
        <v>9507</v>
      </c>
      <c r="D111" s="16"/>
      <c r="E111">
        <v>6</v>
      </c>
      <c r="F111" t="s">
        <v>4700</v>
      </c>
      <c r="G111">
        <v>1</v>
      </c>
      <c r="H111">
        <v>1</v>
      </c>
      <c r="I111">
        <f>1</f>
        <v>1</v>
      </c>
    </row>
    <row r="112" spans="2:9" x14ac:dyDescent="0.25">
      <c r="B112">
        <v>0</v>
      </c>
      <c r="C112" s="16" t="s">
        <v>9508</v>
      </c>
      <c r="D112" s="16"/>
      <c r="E112">
        <v>6</v>
      </c>
      <c r="F112" t="s">
        <v>4690</v>
      </c>
      <c r="G112">
        <v>1</v>
      </c>
      <c r="H112">
        <v>1</v>
      </c>
      <c r="I112">
        <f>1</f>
        <v>1</v>
      </c>
    </row>
    <row r="113" spans="2:9" x14ac:dyDescent="0.25">
      <c r="B113">
        <v>0</v>
      </c>
      <c r="C113" s="16" t="s">
        <v>9509</v>
      </c>
      <c r="D113" s="16"/>
      <c r="E113">
        <v>6</v>
      </c>
      <c r="F113" t="e">
        <f>-outros</f>
        <v>#NAME?</v>
      </c>
      <c r="G113">
        <v>1</v>
      </c>
      <c r="H113">
        <v>1</v>
      </c>
      <c r="I113">
        <f>1</f>
        <v>1</v>
      </c>
    </row>
    <row r="114" spans="2:9" x14ac:dyDescent="0.25">
      <c r="B114">
        <v>0</v>
      </c>
      <c r="C114" s="16" t="s">
        <v>9510</v>
      </c>
      <c r="D114" s="16"/>
      <c r="E114">
        <v>6</v>
      </c>
      <c r="F114" t="s">
        <v>4691</v>
      </c>
      <c r="G114">
        <v>1</v>
      </c>
      <c r="H114">
        <v>1</v>
      </c>
      <c r="I114">
        <f>1</f>
        <v>1</v>
      </c>
    </row>
    <row r="115" spans="2:9" x14ac:dyDescent="0.25">
      <c r="B115">
        <v>0</v>
      </c>
      <c r="C115" s="16" t="s">
        <v>9511</v>
      </c>
      <c r="D115" s="16"/>
      <c r="E115">
        <v>6</v>
      </c>
      <c r="F115" t="e">
        <f>--Toucinhos entremeados e seus pedaços</f>
        <v>#NAME?</v>
      </c>
      <c r="G115">
        <v>1</v>
      </c>
      <c r="H115">
        <v>1</v>
      </c>
      <c r="I115">
        <f>1</f>
        <v>1</v>
      </c>
    </row>
    <row r="116" spans="2:9" x14ac:dyDescent="0.25">
      <c r="B116">
        <v>0</v>
      </c>
      <c r="C116" s="16" t="s">
        <v>9512</v>
      </c>
      <c r="D116" s="16"/>
      <c r="E116">
        <v>6</v>
      </c>
      <c r="F116" t="e">
        <f>--Outras</f>
        <v>#NAME?</v>
      </c>
      <c r="G116">
        <v>1</v>
      </c>
      <c r="H116">
        <v>1</v>
      </c>
      <c r="I116">
        <f>1</f>
        <v>1</v>
      </c>
    </row>
    <row r="117" spans="2:9" x14ac:dyDescent="0.25">
      <c r="B117">
        <v>0</v>
      </c>
      <c r="C117" s="16" t="s">
        <v>9513</v>
      </c>
      <c r="D117" s="16"/>
      <c r="E117">
        <v>6</v>
      </c>
      <c r="F117" t="e">
        <f>-Carnes da espécie bovina</f>
        <v>#NAME?</v>
      </c>
      <c r="G117">
        <v>1</v>
      </c>
      <c r="H117">
        <v>1</v>
      </c>
      <c r="I117">
        <f>1</f>
        <v>1</v>
      </c>
    </row>
    <row r="118" spans="2:9" x14ac:dyDescent="0.25">
      <c r="B118">
        <v>0</v>
      </c>
      <c r="C118" s="16" t="s">
        <v>9514</v>
      </c>
      <c r="D118" s="16"/>
      <c r="E118">
        <v>6</v>
      </c>
      <c r="F118" t="e">
        <f>--De primatas</f>
        <v>#NAME?</v>
      </c>
      <c r="G118">
        <v>1</v>
      </c>
      <c r="H118">
        <v>1</v>
      </c>
      <c r="I118">
        <f>1</f>
        <v>1</v>
      </c>
    </row>
    <row r="119" spans="2:9" x14ac:dyDescent="0.25">
      <c r="B119">
        <v>0</v>
      </c>
      <c r="C119" s="16" t="s">
        <v>9514</v>
      </c>
      <c r="D119" s="16" t="s">
        <v>19430</v>
      </c>
      <c r="E119">
        <v>6</v>
      </c>
      <c r="F119" t="s">
        <v>4701</v>
      </c>
      <c r="G119">
        <v>1</v>
      </c>
      <c r="H119">
        <v>1</v>
      </c>
      <c r="I119">
        <f>1</f>
        <v>1</v>
      </c>
    </row>
    <row r="120" spans="2:9" x14ac:dyDescent="0.25">
      <c r="B120">
        <v>0</v>
      </c>
      <c r="C120" s="16" t="s">
        <v>9515</v>
      </c>
      <c r="D120" s="16"/>
      <c r="E120">
        <v>6</v>
      </c>
      <c r="F120" t="s">
        <v>4702</v>
      </c>
      <c r="G120">
        <v>1</v>
      </c>
      <c r="H120">
        <v>1</v>
      </c>
      <c r="I120">
        <f>1</f>
        <v>1</v>
      </c>
    </row>
    <row r="121" spans="2:9" x14ac:dyDescent="0.25">
      <c r="B121">
        <v>0</v>
      </c>
      <c r="C121" s="16" t="s">
        <v>9515</v>
      </c>
      <c r="D121" s="16" t="s">
        <v>19430</v>
      </c>
      <c r="E121">
        <v>6</v>
      </c>
      <c r="F121" t="s">
        <v>4701</v>
      </c>
      <c r="G121">
        <v>1</v>
      </c>
      <c r="H121">
        <v>1</v>
      </c>
      <c r="I121">
        <f>1</f>
        <v>1</v>
      </c>
    </row>
    <row r="122" spans="2:9" x14ac:dyDescent="0.25">
      <c r="B122">
        <v>0</v>
      </c>
      <c r="C122" s="16" t="s">
        <v>9516</v>
      </c>
      <c r="D122" s="16"/>
      <c r="E122">
        <v>6</v>
      </c>
      <c r="F122" t="e">
        <f>--De répteis  incluindo as serpentes e as tartarugas marinhas</f>
        <v>#NAME?</v>
      </c>
      <c r="G122">
        <v>1</v>
      </c>
      <c r="H122">
        <v>1</v>
      </c>
      <c r="I122">
        <f>1</f>
        <v>1</v>
      </c>
    </row>
    <row r="123" spans="2:9" x14ac:dyDescent="0.25">
      <c r="B123">
        <v>0</v>
      </c>
      <c r="C123" s="16" t="s">
        <v>9516</v>
      </c>
      <c r="D123" s="16" t="s">
        <v>19430</v>
      </c>
      <c r="E123">
        <v>6</v>
      </c>
      <c r="F123" t="s">
        <v>4701</v>
      </c>
      <c r="G123">
        <v>1</v>
      </c>
      <c r="H123">
        <v>1</v>
      </c>
      <c r="I123">
        <f>1</f>
        <v>1</v>
      </c>
    </row>
    <row r="124" spans="2:9" x14ac:dyDescent="0.25">
      <c r="B124">
        <v>0</v>
      </c>
      <c r="C124" s="16" t="s">
        <v>9517</v>
      </c>
      <c r="D124" s="16"/>
      <c r="E124">
        <v>6</v>
      </c>
      <c r="F124" t="e">
        <f>--Outras</f>
        <v>#NAME?</v>
      </c>
      <c r="G124">
        <v>1</v>
      </c>
      <c r="H124">
        <v>1</v>
      </c>
      <c r="I124">
        <f>1</f>
        <v>1</v>
      </c>
    </row>
    <row r="125" spans="2:9" x14ac:dyDescent="0.25">
      <c r="B125">
        <v>0</v>
      </c>
      <c r="C125" s="16" t="s">
        <v>9517</v>
      </c>
      <c r="D125" s="16" t="s">
        <v>19430</v>
      </c>
      <c r="E125">
        <v>6</v>
      </c>
      <c r="F125" t="s">
        <v>4703</v>
      </c>
      <c r="G125">
        <v>1</v>
      </c>
      <c r="H125">
        <v>1</v>
      </c>
      <c r="I125">
        <f>1</f>
        <v>1</v>
      </c>
    </row>
    <row r="126" spans="2:9" x14ac:dyDescent="0.25">
      <c r="B126">
        <v>0</v>
      </c>
      <c r="C126" s="16" t="s">
        <v>9517</v>
      </c>
      <c r="D126" s="16" t="s">
        <v>19431</v>
      </c>
      <c r="E126">
        <v>6</v>
      </c>
      <c r="F126" t="s">
        <v>4704</v>
      </c>
      <c r="G126">
        <v>1</v>
      </c>
      <c r="H126">
        <v>1</v>
      </c>
      <c r="I126">
        <f>1</f>
        <v>1</v>
      </c>
    </row>
    <row r="127" spans="2:9" x14ac:dyDescent="0.25">
      <c r="B127">
        <v>0</v>
      </c>
      <c r="C127" s="16" t="s">
        <v>9518</v>
      </c>
      <c r="D127" s="16"/>
      <c r="E127">
        <v>6</v>
      </c>
      <c r="F127" t="s">
        <v>4705</v>
      </c>
      <c r="G127">
        <v>1</v>
      </c>
      <c r="H127">
        <v>1</v>
      </c>
      <c r="I127">
        <f>1</f>
        <v>1</v>
      </c>
    </row>
    <row r="128" spans="2:9" x14ac:dyDescent="0.25">
      <c r="B128">
        <v>0</v>
      </c>
      <c r="C128" s="16" t="s">
        <v>9519</v>
      </c>
      <c r="D128" s="16"/>
      <c r="E128">
        <v>6</v>
      </c>
      <c r="F128" t="s">
        <v>4680</v>
      </c>
      <c r="G128">
        <v>1</v>
      </c>
      <c r="H128">
        <v>1</v>
      </c>
      <c r="I128">
        <f>1</f>
        <v>1</v>
      </c>
    </row>
    <row r="129" spans="2:9" x14ac:dyDescent="0.25">
      <c r="B129">
        <v>0</v>
      </c>
      <c r="C129" s="16" t="s">
        <v>9520</v>
      </c>
      <c r="D129" s="16"/>
      <c r="E129">
        <v>6</v>
      </c>
      <c r="F129" t="e">
        <f>--outros</f>
        <v>#NAME?</v>
      </c>
      <c r="G129">
        <v>1</v>
      </c>
      <c r="H129">
        <v>1</v>
      </c>
      <c r="I129">
        <f>1</f>
        <v>1</v>
      </c>
    </row>
    <row r="130" spans="2:9" x14ac:dyDescent="0.25">
      <c r="B130">
        <v>0</v>
      </c>
      <c r="C130" s="16" t="s">
        <v>9521</v>
      </c>
      <c r="D130" s="16"/>
      <c r="E130">
        <v>6</v>
      </c>
      <c r="F130" t="s">
        <v>4706</v>
      </c>
      <c r="G130">
        <v>1</v>
      </c>
      <c r="H130">
        <v>1</v>
      </c>
      <c r="I130">
        <f>1</f>
        <v>1</v>
      </c>
    </row>
    <row r="131" spans="2:9" x14ac:dyDescent="0.25">
      <c r="B131">
        <v>0</v>
      </c>
      <c r="C131" s="16" t="s">
        <v>9522</v>
      </c>
      <c r="D131" s="16"/>
      <c r="E131">
        <v>6</v>
      </c>
      <c r="F131" t="s">
        <v>4690</v>
      </c>
      <c r="G131">
        <v>1</v>
      </c>
      <c r="H131">
        <v>1</v>
      </c>
      <c r="I131">
        <f>1</f>
        <v>1</v>
      </c>
    </row>
    <row r="132" spans="2:9" x14ac:dyDescent="0.25">
      <c r="B132">
        <v>0</v>
      </c>
      <c r="C132" s="16" t="s">
        <v>9523</v>
      </c>
      <c r="D132" s="16"/>
      <c r="E132">
        <v>6</v>
      </c>
      <c r="F132" t="s">
        <v>4706</v>
      </c>
      <c r="G132">
        <v>1</v>
      </c>
      <c r="H132">
        <v>1</v>
      </c>
      <c r="I132">
        <f>1</f>
        <v>1</v>
      </c>
    </row>
    <row r="133" spans="2:9" x14ac:dyDescent="0.25">
      <c r="B133">
        <v>0</v>
      </c>
      <c r="C133" s="16" t="s">
        <v>9524</v>
      </c>
      <c r="D133" s="16"/>
      <c r="E133">
        <v>6</v>
      </c>
      <c r="F133" t="s">
        <v>4690</v>
      </c>
      <c r="G133">
        <v>1</v>
      </c>
      <c r="H133">
        <v>1</v>
      </c>
      <c r="I133">
        <f>1</f>
        <v>1</v>
      </c>
    </row>
    <row r="134" spans="2:9" x14ac:dyDescent="0.25">
      <c r="B134">
        <v>0</v>
      </c>
      <c r="C134" s="16" t="s">
        <v>9525</v>
      </c>
      <c r="D134" s="16"/>
      <c r="E134">
        <v>6</v>
      </c>
      <c r="F134" t="s">
        <v>4706</v>
      </c>
      <c r="G134">
        <v>1</v>
      </c>
      <c r="H134">
        <v>1</v>
      </c>
      <c r="I134">
        <f>1</f>
        <v>1</v>
      </c>
    </row>
    <row r="135" spans="2:9" x14ac:dyDescent="0.25">
      <c r="B135">
        <v>0</v>
      </c>
      <c r="C135" s="16" t="s">
        <v>9526</v>
      </c>
      <c r="D135" s="16"/>
      <c r="E135">
        <v>6</v>
      </c>
      <c r="F135" t="s">
        <v>4690</v>
      </c>
      <c r="G135">
        <v>1</v>
      </c>
      <c r="H135">
        <v>1</v>
      </c>
      <c r="I135">
        <f>1</f>
        <v>1</v>
      </c>
    </row>
    <row r="136" spans="2:9" x14ac:dyDescent="0.25">
      <c r="B136">
        <v>0</v>
      </c>
      <c r="C136" s="16" t="s">
        <v>9527</v>
      </c>
      <c r="D136" s="16"/>
      <c r="E136">
        <v>6</v>
      </c>
      <c r="F136" t="s">
        <v>4706</v>
      </c>
      <c r="G136">
        <v>1</v>
      </c>
      <c r="H136">
        <v>1</v>
      </c>
      <c r="I136">
        <f>1</f>
        <v>1</v>
      </c>
    </row>
    <row r="137" spans="2:9" x14ac:dyDescent="0.25">
      <c r="B137">
        <v>0</v>
      </c>
      <c r="C137" s="16" t="s">
        <v>9528</v>
      </c>
      <c r="D137" s="16"/>
      <c r="E137">
        <v>6</v>
      </c>
      <c r="F137" t="s">
        <v>4690</v>
      </c>
      <c r="G137">
        <v>1</v>
      </c>
      <c r="H137">
        <v>1</v>
      </c>
      <c r="I137">
        <f>1</f>
        <v>1</v>
      </c>
    </row>
    <row r="138" spans="2:9" x14ac:dyDescent="0.25">
      <c r="B138">
        <v>0</v>
      </c>
      <c r="C138" s="16" t="s">
        <v>9529</v>
      </c>
      <c r="D138" s="16"/>
      <c r="E138">
        <v>6</v>
      </c>
      <c r="F138" t="s">
        <v>4706</v>
      </c>
      <c r="G138">
        <v>1</v>
      </c>
      <c r="H138">
        <v>1</v>
      </c>
      <c r="I138">
        <f>1</f>
        <v>1</v>
      </c>
    </row>
    <row r="139" spans="2:9" x14ac:dyDescent="0.25">
      <c r="B139">
        <v>0</v>
      </c>
      <c r="C139" s="16" t="s">
        <v>9530</v>
      </c>
      <c r="D139" s="16"/>
      <c r="E139">
        <v>6</v>
      </c>
      <c r="F139" t="s">
        <v>4680</v>
      </c>
      <c r="G139">
        <v>1</v>
      </c>
      <c r="H139">
        <v>1</v>
      </c>
      <c r="I139">
        <f>1</f>
        <v>1</v>
      </c>
    </row>
    <row r="140" spans="2:9" x14ac:dyDescent="0.25">
      <c r="B140">
        <v>0</v>
      </c>
      <c r="C140" s="16" t="s">
        <v>9531</v>
      </c>
      <c r="D140" s="16"/>
      <c r="E140">
        <v>6</v>
      </c>
      <c r="F140" t="s">
        <v>4707</v>
      </c>
      <c r="G140">
        <v>1</v>
      </c>
      <c r="H140">
        <v>1</v>
      </c>
      <c r="I140">
        <f>1</f>
        <v>1</v>
      </c>
    </row>
    <row r="141" spans="2:9" x14ac:dyDescent="0.25">
      <c r="B141">
        <v>0</v>
      </c>
      <c r="C141" s="16" t="s">
        <v>9532</v>
      </c>
      <c r="D141" s="16"/>
      <c r="E141">
        <v>6</v>
      </c>
      <c r="F141" t="s">
        <v>4708</v>
      </c>
      <c r="G141">
        <v>1</v>
      </c>
      <c r="H141">
        <v>1</v>
      </c>
      <c r="I141">
        <f>1</f>
        <v>1</v>
      </c>
    </row>
    <row r="142" spans="2:9" x14ac:dyDescent="0.25">
      <c r="B142">
        <v>0</v>
      </c>
      <c r="C142" s="16" t="s">
        <v>9533</v>
      </c>
      <c r="D142" s="16"/>
      <c r="E142">
        <v>6</v>
      </c>
      <c r="F142" t="s">
        <v>4680</v>
      </c>
      <c r="G142">
        <v>1</v>
      </c>
      <c r="H142">
        <v>1</v>
      </c>
      <c r="I142">
        <f>1</f>
        <v>1</v>
      </c>
    </row>
    <row r="143" spans="2:9" x14ac:dyDescent="0.25">
      <c r="B143">
        <v>0</v>
      </c>
      <c r="C143" s="16" t="s">
        <v>9534</v>
      </c>
      <c r="D143" s="16"/>
      <c r="E143">
        <v>6</v>
      </c>
      <c r="F143" t="s">
        <v>4707</v>
      </c>
      <c r="G143">
        <v>1</v>
      </c>
      <c r="H143">
        <v>1</v>
      </c>
      <c r="I143">
        <f>1</f>
        <v>1</v>
      </c>
    </row>
    <row r="144" spans="2:9" x14ac:dyDescent="0.25">
      <c r="B144">
        <v>0</v>
      </c>
      <c r="C144" s="16" t="s">
        <v>9535</v>
      </c>
      <c r="D144" s="16"/>
      <c r="E144">
        <v>6</v>
      </c>
      <c r="F144" t="s">
        <v>4708</v>
      </c>
      <c r="G144">
        <v>1</v>
      </c>
      <c r="H144">
        <v>1</v>
      </c>
      <c r="I144">
        <f>1</f>
        <v>1</v>
      </c>
    </row>
    <row r="145" spans="2:9" x14ac:dyDescent="0.25">
      <c r="B145">
        <v>0</v>
      </c>
      <c r="C145" s="16" t="s">
        <v>9536</v>
      </c>
      <c r="D145" s="16"/>
      <c r="E145">
        <v>6</v>
      </c>
      <c r="F145" t="s">
        <v>4680</v>
      </c>
      <c r="G145">
        <v>1</v>
      </c>
      <c r="H145">
        <v>1</v>
      </c>
      <c r="I145">
        <f>1</f>
        <v>1</v>
      </c>
    </row>
    <row r="146" spans="2:9" x14ac:dyDescent="0.25">
      <c r="B146">
        <v>0</v>
      </c>
      <c r="C146" s="16" t="s">
        <v>9537</v>
      </c>
      <c r="D146" s="16"/>
      <c r="E146">
        <v>6</v>
      </c>
      <c r="F146" t="s">
        <v>4709</v>
      </c>
      <c r="G146">
        <v>1</v>
      </c>
      <c r="H146">
        <v>1</v>
      </c>
      <c r="I146">
        <f>1</f>
        <v>1</v>
      </c>
    </row>
    <row r="147" spans="2:9" x14ac:dyDescent="0.25">
      <c r="B147">
        <v>0</v>
      </c>
      <c r="C147" s="16" t="s">
        <v>9538</v>
      </c>
      <c r="D147" s="16"/>
      <c r="E147">
        <v>6</v>
      </c>
      <c r="F147" t="s">
        <v>4710</v>
      </c>
      <c r="G147">
        <v>1</v>
      </c>
      <c r="H147">
        <v>1</v>
      </c>
      <c r="I147">
        <f>1</f>
        <v>1</v>
      </c>
    </row>
    <row r="148" spans="2:9" x14ac:dyDescent="0.25">
      <c r="B148">
        <v>0</v>
      </c>
      <c r="C148" s="16" t="s">
        <v>9539</v>
      </c>
      <c r="D148" s="16"/>
      <c r="E148">
        <v>6</v>
      </c>
      <c r="F148" t="e">
        <f>--Salmão-do-atlântico  Salmo salar  e Salmão-do-danúbio  Hucho Hucho</f>
        <v>#NAME?</v>
      </c>
      <c r="G148">
        <v>1</v>
      </c>
      <c r="H148">
        <v>1</v>
      </c>
      <c r="I148">
        <f>1</f>
        <v>1</v>
      </c>
    </row>
    <row r="149" spans="2:9" x14ac:dyDescent="0.25">
      <c r="B149">
        <v>0</v>
      </c>
      <c r="C149" s="16" t="s">
        <v>9540</v>
      </c>
      <c r="D149" s="16"/>
      <c r="E149">
        <v>6</v>
      </c>
      <c r="F149" t="e">
        <f>--outros</f>
        <v>#NAME?</v>
      </c>
      <c r="G149">
        <v>1</v>
      </c>
      <c r="H149">
        <v>1</v>
      </c>
      <c r="I149">
        <f>1</f>
        <v>1</v>
      </c>
    </row>
    <row r="150" spans="2:9" x14ac:dyDescent="0.25">
      <c r="B150">
        <v>0</v>
      </c>
      <c r="C150" s="16" t="s">
        <v>9541</v>
      </c>
      <c r="D150" s="16"/>
      <c r="E150">
        <v>6</v>
      </c>
      <c r="F150" t="s">
        <v>4711</v>
      </c>
      <c r="G150">
        <v>1</v>
      </c>
      <c r="H150">
        <v>1</v>
      </c>
      <c r="I150">
        <f>1</f>
        <v>1</v>
      </c>
    </row>
    <row r="151" spans="2:9" x14ac:dyDescent="0.25">
      <c r="B151">
        <v>0</v>
      </c>
      <c r="C151" s="16" t="s">
        <v>9542</v>
      </c>
      <c r="D151" s="16"/>
      <c r="E151">
        <v>6</v>
      </c>
      <c r="F151" t="e">
        <f>--Solha  Pleuronectes platessa</f>
        <v>#NAME?</v>
      </c>
      <c r="G151">
        <v>1</v>
      </c>
      <c r="H151">
        <v>1</v>
      </c>
      <c r="I151">
        <f>1</f>
        <v>1</v>
      </c>
    </row>
    <row r="152" spans="2:9" x14ac:dyDescent="0.25">
      <c r="B152">
        <v>0</v>
      </c>
      <c r="C152" s="16" t="s">
        <v>9543</v>
      </c>
      <c r="D152" s="16"/>
      <c r="E152">
        <v>6</v>
      </c>
      <c r="F152" t="e">
        <f>--Linguados  Solea spp.</f>
        <v>#NAME?</v>
      </c>
      <c r="G152">
        <v>1</v>
      </c>
      <c r="H152">
        <v>1</v>
      </c>
      <c r="I152">
        <f>1</f>
        <v>1</v>
      </c>
    </row>
    <row r="153" spans="2:9" x14ac:dyDescent="0.25">
      <c r="B153">
        <v>0</v>
      </c>
      <c r="C153" s="16" t="s">
        <v>9544</v>
      </c>
      <c r="D153" s="16"/>
      <c r="E153">
        <v>6</v>
      </c>
      <c r="F153" t="e">
        <f>--Pregado  Psetta maxima</f>
        <v>#NAME?</v>
      </c>
      <c r="G153">
        <v>1</v>
      </c>
      <c r="H153">
        <v>1</v>
      </c>
      <c r="I153">
        <f>1</f>
        <v>1</v>
      </c>
    </row>
    <row r="154" spans="2:9" x14ac:dyDescent="0.25">
      <c r="B154">
        <v>0</v>
      </c>
      <c r="C154" s="16" t="s">
        <v>9545</v>
      </c>
      <c r="D154" s="16"/>
      <c r="E154">
        <v>6</v>
      </c>
      <c r="F154" t="e">
        <f>--outros</f>
        <v>#NAME?</v>
      </c>
      <c r="G154">
        <v>1</v>
      </c>
      <c r="H154">
        <v>1</v>
      </c>
      <c r="I154">
        <f>1</f>
        <v>1</v>
      </c>
    </row>
    <row r="155" spans="2:9" x14ac:dyDescent="0.25">
      <c r="B155">
        <v>0</v>
      </c>
      <c r="C155" s="16" t="s">
        <v>9546</v>
      </c>
      <c r="D155" s="16"/>
      <c r="E155">
        <v>6</v>
      </c>
      <c r="F155" t="e">
        <f>--Albacora-branca  Thunnus alalunga</f>
        <v>#NAME?</v>
      </c>
      <c r="G155">
        <v>1</v>
      </c>
      <c r="H155">
        <v>1</v>
      </c>
      <c r="I155">
        <f>1</f>
        <v>1</v>
      </c>
    </row>
    <row r="156" spans="2:9" x14ac:dyDescent="0.25">
      <c r="B156">
        <v>0</v>
      </c>
      <c r="C156" s="16" t="s">
        <v>9547</v>
      </c>
      <c r="D156" s="16"/>
      <c r="E156">
        <v>6</v>
      </c>
      <c r="F156" t="e">
        <f>--Albacora-laje  Thunnus albacares</f>
        <v>#NAME?</v>
      </c>
      <c r="G156">
        <v>1</v>
      </c>
      <c r="H156">
        <v>1</v>
      </c>
      <c r="I156">
        <f>1</f>
        <v>1</v>
      </c>
    </row>
    <row r="157" spans="2:9" x14ac:dyDescent="0.25">
      <c r="B157">
        <v>0</v>
      </c>
      <c r="C157" s="16" t="s">
        <v>9548</v>
      </c>
      <c r="D157" s="16"/>
      <c r="E157">
        <v>6</v>
      </c>
      <c r="F157" t="e">
        <f>--Bonito-listrado</f>
        <v>#NAME?</v>
      </c>
      <c r="G157">
        <v>1</v>
      </c>
      <c r="H157">
        <v>1</v>
      </c>
      <c r="I157">
        <f>1</f>
        <v>1</v>
      </c>
    </row>
    <row r="158" spans="2:9" x14ac:dyDescent="0.25">
      <c r="B158">
        <v>0</v>
      </c>
      <c r="C158" s="16" t="s">
        <v>9549</v>
      </c>
      <c r="D158" s="16"/>
      <c r="E158">
        <v>6</v>
      </c>
      <c r="F158" t="e">
        <f>--Albacora-bandolim  Thunnus obesus</f>
        <v>#NAME?</v>
      </c>
      <c r="G158">
        <v>1</v>
      </c>
      <c r="H158">
        <v>1</v>
      </c>
      <c r="I158">
        <f>1</f>
        <v>1</v>
      </c>
    </row>
    <row r="159" spans="2:9" x14ac:dyDescent="0.25">
      <c r="B159">
        <v>0</v>
      </c>
      <c r="C159" s="16" t="s">
        <v>9550</v>
      </c>
      <c r="D159" s="16"/>
      <c r="E159">
        <v>6</v>
      </c>
      <c r="F159" t="s">
        <v>4712</v>
      </c>
      <c r="G159">
        <v>1</v>
      </c>
      <c r="H159">
        <v>1</v>
      </c>
      <c r="I159">
        <f>1</f>
        <v>1</v>
      </c>
    </row>
    <row r="160" spans="2:9" x14ac:dyDescent="0.25">
      <c r="B160">
        <v>0</v>
      </c>
      <c r="C160" s="16" t="s">
        <v>9551</v>
      </c>
      <c r="D160" s="16"/>
      <c r="E160">
        <v>6</v>
      </c>
      <c r="F160" t="e">
        <f>--Atum azul do Sul  Thunnus maccoyii</f>
        <v>#NAME?</v>
      </c>
      <c r="G160">
        <v>1</v>
      </c>
      <c r="H160">
        <v>1</v>
      </c>
      <c r="I160">
        <f>1</f>
        <v>1</v>
      </c>
    </row>
    <row r="161" spans="2:9" x14ac:dyDescent="0.25">
      <c r="B161">
        <v>0</v>
      </c>
      <c r="C161" s="16" t="s">
        <v>9552</v>
      </c>
      <c r="D161" s="16"/>
      <c r="E161">
        <v>6</v>
      </c>
      <c r="F161" t="e">
        <f>--outros</f>
        <v>#NAME?</v>
      </c>
      <c r="G161">
        <v>1</v>
      </c>
      <c r="H161">
        <v>1</v>
      </c>
      <c r="I161">
        <f>1</f>
        <v>1</v>
      </c>
    </row>
    <row r="162" spans="2:9" x14ac:dyDescent="0.25">
      <c r="B162">
        <v>0</v>
      </c>
      <c r="C162" s="16" t="s">
        <v>9553</v>
      </c>
      <c r="D162" s="16"/>
      <c r="E162">
        <v>6</v>
      </c>
      <c r="F162" t="s">
        <v>4713</v>
      </c>
      <c r="G162">
        <v>1</v>
      </c>
      <c r="H162">
        <v>1</v>
      </c>
      <c r="I162">
        <f>1</f>
        <v>1</v>
      </c>
    </row>
    <row r="163" spans="2:9" x14ac:dyDescent="0.25">
      <c r="B163">
        <v>0</v>
      </c>
      <c r="C163" s="16" t="s">
        <v>9554</v>
      </c>
      <c r="D163" s="16"/>
      <c r="E163">
        <v>6</v>
      </c>
      <c r="F163" t="s">
        <v>4714</v>
      </c>
      <c r="G163">
        <v>1</v>
      </c>
      <c r="H163">
        <v>1</v>
      </c>
      <c r="I163">
        <f>1</f>
        <v>1</v>
      </c>
    </row>
    <row r="164" spans="2:9" x14ac:dyDescent="0.25">
      <c r="B164">
        <v>0</v>
      </c>
      <c r="C164" s="16" t="s">
        <v>9555</v>
      </c>
      <c r="D164" s="16"/>
      <c r="E164">
        <v>6</v>
      </c>
      <c r="F164" t="s">
        <v>4680</v>
      </c>
      <c r="G164">
        <v>1</v>
      </c>
      <c r="H164">
        <v>1</v>
      </c>
      <c r="I164">
        <f>1</f>
        <v>1</v>
      </c>
    </row>
    <row r="165" spans="2:9" x14ac:dyDescent="0.25">
      <c r="B165">
        <v>0</v>
      </c>
      <c r="C165" s="16" t="s">
        <v>9556</v>
      </c>
      <c r="D165" s="16"/>
      <c r="E165">
        <v>6</v>
      </c>
      <c r="F165" t="s">
        <v>4715</v>
      </c>
      <c r="G165">
        <v>1</v>
      </c>
      <c r="H165">
        <v>1</v>
      </c>
      <c r="I165">
        <f>1</f>
        <v>1</v>
      </c>
    </row>
    <row r="166" spans="2:9" x14ac:dyDescent="0.25">
      <c r="B166">
        <v>0</v>
      </c>
      <c r="C166" s="16" t="s">
        <v>9557</v>
      </c>
      <c r="D166" s="16"/>
      <c r="E166">
        <v>6</v>
      </c>
      <c r="F166" t="s">
        <v>4716</v>
      </c>
      <c r="G166">
        <v>1</v>
      </c>
      <c r="H166">
        <v>1</v>
      </c>
      <c r="I166">
        <f>1</f>
        <v>1</v>
      </c>
    </row>
    <row r="167" spans="2:9" x14ac:dyDescent="0.25">
      <c r="B167">
        <v>0</v>
      </c>
      <c r="C167" s="16" t="s">
        <v>9558</v>
      </c>
      <c r="D167" s="16"/>
      <c r="E167">
        <v>6</v>
      </c>
      <c r="F167" t="e">
        <f>--Chicharros  Trachurus spp.</f>
        <v>#NAME?</v>
      </c>
      <c r="G167">
        <v>1</v>
      </c>
      <c r="H167">
        <v>1</v>
      </c>
      <c r="I167">
        <f>1</f>
        <v>1</v>
      </c>
    </row>
    <row r="168" spans="2:9" x14ac:dyDescent="0.25">
      <c r="B168">
        <v>0</v>
      </c>
      <c r="C168" s="16" t="s">
        <v>9559</v>
      </c>
      <c r="D168" s="16"/>
      <c r="E168">
        <v>6</v>
      </c>
      <c r="F168" t="e">
        <f>--Bijupirá  Rachycentron canadum</f>
        <v>#NAME?</v>
      </c>
      <c r="G168">
        <v>1</v>
      </c>
      <c r="H168">
        <v>1</v>
      </c>
      <c r="I168">
        <f>1</f>
        <v>1</v>
      </c>
    </row>
    <row r="169" spans="2:9" x14ac:dyDescent="0.25">
      <c r="B169">
        <v>0</v>
      </c>
      <c r="C169" s="16" t="s">
        <v>9560</v>
      </c>
      <c r="D169" s="16"/>
      <c r="E169">
        <v>6</v>
      </c>
      <c r="F169" t="e">
        <f>--Espadarte  Xiphias gladius</f>
        <v>#NAME?</v>
      </c>
      <c r="G169">
        <v>1</v>
      </c>
      <c r="H169">
        <v>1</v>
      </c>
      <c r="I169">
        <f>1</f>
        <v>1</v>
      </c>
    </row>
    <row r="170" spans="2:9" x14ac:dyDescent="0.25">
      <c r="B170">
        <v>0</v>
      </c>
      <c r="C170" s="16" t="s">
        <v>9561</v>
      </c>
      <c r="D170" s="16"/>
      <c r="E170">
        <v>6</v>
      </c>
      <c r="F170" t="s">
        <v>4717</v>
      </c>
      <c r="G170">
        <v>1</v>
      </c>
      <c r="H170">
        <v>1</v>
      </c>
      <c r="I170">
        <f>1</f>
        <v>1</v>
      </c>
    </row>
    <row r="171" spans="2:9" x14ac:dyDescent="0.25">
      <c r="B171">
        <v>0</v>
      </c>
      <c r="C171" s="16" t="s">
        <v>9562</v>
      </c>
      <c r="D171" s="16"/>
      <c r="E171">
        <v>6</v>
      </c>
      <c r="F171" t="e">
        <f>--Haddock ou lubina  Melanogrammus aeglefinus</f>
        <v>#NAME?</v>
      </c>
      <c r="G171">
        <v>1</v>
      </c>
      <c r="H171">
        <v>1</v>
      </c>
      <c r="I171">
        <f>1</f>
        <v>1</v>
      </c>
    </row>
    <row r="172" spans="2:9" x14ac:dyDescent="0.25">
      <c r="B172">
        <v>0</v>
      </c>
      <c r="C172" s="16" t="s">
        <v>9563</v>
      </c>
      <c r="D172" s="16"/>
      <c r="E172">
        <v>6</v>
      </c>
      <c r="F172" t="e">
        <f>--Saithe  Pollachius virens</f>
        <v>#NAME?</v>
      </c>
      <c r="G172">
        <v>1</v>
      </c>
      <c r="H172">
        <v>1</v>
      </c>
      <c r="I172">
        <f>1</f>
        <v>1</v>
      </c>
    </row>
    <row r="173" spans="2:9" x14ac:dyDescent="0.25">
      <c r="B173">
        <v>0</v>
      </c>
      <c r="C173" s="16" t="s">
        <v>9564</v>
      </c>
      <c r="D173" s="16"/>
      <c r="E173">
        <v>6</v>
      </c>
      <c r="F173" t="s">
        <v>4718</v>
      </c>
      <c r="G173">
        <v>1</v>
      </c>
      <c r="H173">
        <v>1</v>
      </c>
      <c r="I173">
        <f>1</f>
        <v>1</v>
      </c>
    </row>
    <row r="174" spans="2:9" x14ac:dyDescent="0.25">
      <c r="B174">
        <v>0</v>
      </c>
      <c r="C174" s="16" t="s">
        <v>9565</v>
      </c>
      <c r="D174" s="16"/>
      <c r="E174">
        <v>6</v>
      </c>
      <c r="F174" t="e">
        <f>--Merluza-do-alasca  Theragra chalcogramma</f>
        <v>#NAME?</v>
      </c>
      <c r="G174">
        <v>1</v>
      </c>
      <c r="H174">
        <v>1</v>
      </c>
      <c r="I174">
        <f>1</f>
        <v>1</v>
      </c>
    </row>
    <row r="175" spans="2:9" x14ac:dyDescent="0.25">
      <c r="B175">
        <v>0</v>
      </c>
      <c r="C175" s="16" t="s">
        <v>9566</v>
      </c>
      <c r="D175" s="16"/>
      <c r="E175">
        <v>6</v>
      </c>
      <c r="F175" t="s">
        <v>4719</v>
      </c>
      <c r="G175">
        <v>1</v>
      </c>
      <c r="H175">
        <v>1</v>
      </c>
      <c r="I175">
        <f>1</f>
        <v>1</v>
      </c>
    </row>
    <row r="176" spans="2:9" x14ac:dyDescent="0.25">
      <c r="B176">
        <v>0</v>
      </c>
      <c r="C176" s="16" t="s">
        <v>9567</v>
      </c>
      <c r="D176" s="16"/>
      <c r="E176">
        <v>6</v>
      </c>
      <c r="F176" t="e">
        <f>--outros</f>
        <v>#NAME?</v>
      </c>
      <c r="G176">
        <v>1</v>
      </c>
      <c r="H176">
        <v>1</v>
      </c>
      <c r="I176">
        <f>1</f>
        <v>1</v>
      </c>
    </row>
    <row r="177" spans="2:9" x14ac:dyDescent="0.25">
      <c r="B177">
        <v>0</v>
      </c>
      <c r="C177" s="16" t="s">
        <v>9568</v>
      </c>
      <c r="D177" s="16"/>
      <c r="E177">
        <v>6</v>
      </c>
      <c r="F177" t="e">
        <f>--Tilápias  Oreochromis spp.</f>
        <v>#NAME?</v>
      </c>
      <c r="G177">
        <v>1</v>
      </c>
      <c r="H177">
        <v>1</v>
      </c>
      <c r="I177">
        <f>1</f>
        <v>1</v>
      </c>
    </row>
    <row r="178" spans="2:9" x14ac:dyDescent="0.25">
      <c r="B178">
        <v>0</v>
      </c>
      <c r="C178" s="16" t="s">
        <v>9569</v>
      </c>
      <c r="D178" s="16"/>
      <c r="E178">
        <v>6</v>
      </c>
      <c r="F178" t="s">
        <v>4720</v>
      </c>
      <c r="G178">
        <v>1</v>
      </c>
      <c r="H178">
        <v>1</v>
      </c>
      <c r="I178">
        <f>1</f>
        <v>1</v>
      </c>
    </row>
    <row r="179" spans="2:9" x14ac:dyDescent="0.25">
      <c r="B179">
        <v>0</v>
      </c>
      <c r="C179" s="16" t="s">
        <v>9570</v>
      </c>
      <c r="D179" s="16"/>
      <c r="E179">
        <v>6</v>
      </c>
      <c r="F179" t="s">
        <v>4680</v>
      </c>
      <c r="G179">
        <v>1</v>
      </c>
      <c r="H179">
        <v>1</v>
      </c>
      <c r="I179">
        <f>1</f>
        <v>1</v>
      </c>
    </row>
    <row r="180" spans="2:9" x14ac:dyDescent="0.25">
      <c r="B180">
        <v>0</v>
      </c>
      <c r="C180" s="16" t="s">
        <v>9571</v>
      </c>
      <c r="D180" s="16"/>
      <c r="E180">
        <v>6</v>
      </c>
      <c r="F180" t="s">
        <v>4721</v>
      </c>
      <c r="G180">
        <v>1</v>
      </c>
      <c r="H180">
        <v>1</v>
      </c>
      <c r="I180">
        <f>1</f>
        <v>1</v>
      </c>
    </row>
    <row r="181" spans="2:9" x14ac:dyDescent="0.25">
      <c r="B181">
        <v>0</v>
      </c>
      <c r="C181" s="16" t="s">
        <v>9572</v>
      </c>
      <c r="D181" s="16"/>
      <c r="E181">
        <v>6</v>
      </c>
      <c r="F181" t="e">
        <f>--Enguias  Anguilla spp.</f>
        <v>#NAME?</v>
      </c>
      <c r="G181">
        <v>1</v>
      </c>
      <c r="H181">
        <v>1</v>
      </c>
      <c r="I181">
        <f>1</f>
        <v>1</v>
      </c>
    </row>
    <row r="182" spans="2:9" x14ac:dyDescent="0.25">
      <c r="B182">
        <v>0</v>
      </c>
      <c r="C182" s="16" t="s">
        <v>9573</v>
      </c>
      <c r="D182" s="16"/>
      <c r="E182">
        <v>6</v>
      </c>
      <c r="F182" t="e">
        <f>--outros</f>
        <v>#NAME?</v>
      </c>
      <c r="G182">
        <v>1</v>
      </c>
      <c r="H182">
        <v>1</v>
      </c>
      <c r="I182">
        <f>1</f>
        <v>1</v>
      </c>
    </row>
    <row r="183" spans="2:9" x14ac:dyDescent="0.25">
      <c r="B183">
        <v>0</v>
      </c>
      <c r="C183" s="16" t="s">
        <v>9574</v>
      </c>
      <c r="D183" s="16"/>
      <c r="E183">
        <v>6</v>
      </c>
      <c r="F183" t="e">
        <f>--Cação e outros tubarões</f>
        <v>#NAME?</v>
      </c>
      <c r="G183">
        <v>1</v>
      </c>
      <c r="H183">
        <v>1</v>
      </c>
      <c r="I183">
        <f>1</f>
        <v>1</v>
      </c>
    </row>
    <row r="184" spans="2:9" x14ac:dyDescent="0.25">
      <c r="B184">
        <v>0</v>
      </c>
      <c r="C184" s="16" t="s">
        <v>9575</v>
      </c>
      <c r="D184" s="16"/>
      <c r="E184">
        <v>6</v>
      </c>
      <c r="F184" t="e">
        <f>--Raias  Rajidae</f>
        <v>#NAME?</v>
      </c>
      <c r="G184">
        <v>1</v>
      </c>
      <c r="H184">
        <v>1</v>
      </c>
      <c r="I184">
        <f>1</f>
        <v>1</v>
      </c>
    </row>
    <row r="185" spans="2:9" x14ac:dyDescent="0.25">
      <c r="B185">
        <v>0</v>
      </c>
      <c r="C185" s="16" t="s">
        <v>9576</v>
      </c>
      <c r="D185" s="16"/>
      <c r="E185">
        <v>6</v>
      </c>
      <c r="F185" t="s">
        <v>4722</v>
      </c>
      <c r="G185">
        <v>1</v>
      </c>
      <c r="H185">
        <v>1</v>
      </c>
      <c r="I185">
        <f>1</f>
        <v>1</v>
      </c>
    </row>
    <row r="186" spans="2:9" x14ac:dyDescent="0.25">
      <c r="B186">
        <v>0</v>
      </c>
      <c r="C186" s="16" t="s">
        <v>9577</v>
      </c>
      <c r="D186" s="16"/>
      <c r="E186">
        <v>6</v>
      </c>
      <c r="F186" t="s">
        <v>4723</v>
      </c>
      <c r="G186">
        <v>1</v>
      </c>
      <c r="H186">
        <v>1</v>
      </c>
      <c r="I186">
        <f>1</f>
        <v>1</v>
      </c>
    </row>
    <row r="187" spans="2:9" x14ac:dyDescent="0.25">
      <c r="B187">
        <v>0</v>
      </c>
      <c r="C187" s="16" t="s">
        <v>9578</v>
      </c>
      <c r="D187" s="16"/>
      <c r="E187">
        <v>6</v>
      </c>
      <c r="F187" t="e">
        <f>--Robalos  Dicentrarchus spp.</f>
        <v>#NAME?</v>
      </c>
      <c r="G187">
        <v>1</v>
      </c>
      <c r="H187">
        <v>1</v>
      </c>
      <c r="I187">
        <f>1</f>
        <v>1</v>
      </c>
    </row>
    <row r="188" spans="2:9" x14ac:dyDescent="0.25">
      <c r="B188">
        <v>0</v>
      </c>
      <c r="C188" s="16" t="s">
        <v>9579</v>
      </c>
      <c r="D188" s="16"/>
      <c r="E188">
        <v>6</v>
      </c>
      <c r="F188" t="e">
        <f>--Pargos ou sargos  Sparidae</f>
        <v>#NAME?</v>
      </c>
      <c r="G188">
        <v>1</v>
      </c>
      <c r="H188">
        <v>1</v>
      </c>
      <c r="I188">
        <f>1</f>
        <v>1</v>
      </c>
    </row>
    <row r="189" spans="2:9" x14ac:dyDescent="0.25">
      <c r="B189">
        <v>0</v>
      </c>
      <c r="C189" s="16" t="s">
        <v>9580</v>
      </c>
      <c r="D189" s="16"/>
      <c r="E189">
        <v>6</v>
      </c>
      <c r="F189" t="s">
        <v>4724</v>
      </c>
      <c r="G189">
        <v>1</v>
      </c>
      <c r="H189">
        <v>1</v>
      </c>
      <c r="I189">
        <f>1</f>
        <v>1</v>
      </c>
    </row>
    <row r="190" spans="2:9" x14ac:dyDescent="0.25">
      <c r="B190">
        <v>0</v>
      </c>
      <c r="C190" s="16" t="s">
        <v>9581</v>
      </c>
      <c r="D190" s="16"/>
      <c r="E190">
        <v>6</v>
      </c>
      <c r="F190" t="s">
        <v>4725</v>
      </c>
      <c r="G190">
        <v>1</v>
      </c>
      <c r="H190">
        <v>1</v>
      </c>
      <c r="I190">
        <f>1</f>
        <v>1</v>
      </c>
    </row>
    <row r="191" spans="2:9" x14ac:dyDescent="0.25">
      <c r="B191">
        <v>0</v>
      </c>
      <c r="C191" s="16" t="s">
        <v>9582</v>
      </c>
      <c r="D191" s="16"/>
      <c r="E191">
        <v>6</v>
      </c>
      <c r="F191" t="s">
        <v>4726</v>
      </c>
      <c r="G191">
        <v>1</v>
      </c>
      <c r="H191">
        <v>1</v>
      </c>
      <c r="I191">
        <f>1</f>
        <v>1</v>
      </c>
    </row>
    <row r="192" spans="2:9" x14ac:dyDescent="0.25">
      <c r="B192">
        <v>0</v>
      </c>
      <c r="C192" s="16" t="s">
        <v>9583</v>
      </c>
      <c r="D192" s="16"/>
      <c r="E192">
        <v>6</v>
      </c>
      <c r="F192" t="s">
        <v>4727</v>
      </c>
      <c r="G192">
        <v>1</v>
      </c>
      <c r="H192">
        <v>1</v>
      </c>
      <c r="I192">
        <f>1</f>
        <v>1</v>
      </c>
    </row>
    <row r="193" spans="2:9" x14ac:dyDescent="0.25">
      <c r="B193">
        <v>0</v>
      </c>
      <c r="C193" s="16" t="s">
        <v>9584</v>
      </c>
      <c r="D193" s="16"/>
      <c r="E193">
        <v>6</v>
      </c>
      <c r="F193" t="s">
        <v>4728</v>
      </c>
      <c r="G193">
        <v>1</v>
      </c>
      <c r="H193">
        <v>1</v>
      </c>
      <c r="I193">
        <f>1</f>
        <v>1</v>
      </c>
    </row>
    <row r="194" spans="2:9" x14ac:dyDescent="0.25">
      <c r="B194">
        <v>0</v>
      </c>
      <c r="C194" s="16" t="s">
        <v>9585</v>
      </c>
      <c r="D194" s="16"/>
      <c r="E194">
        <v>6</v>
      </c>
      <c r="F194" t="s">
        <v>4729</v>
      </c>
      <c r="G194">
        <v>1</v>
      </c>
      <c r="H194">
        <v>1</v>
      </c>
      <c r="I194">
        <f>1</f>
        <v>1</v>
      </c>
    </row>
    <row r="195" spans="2:9" x14ac:dyDescent="0.25">
      <c r="B195">
        <v>0</v>
      </c>
      <c r="C195" s="16" t="s">
        <v>9586</v>
      </c>
      <c r="D195" s="16"/>
      <c r="E195">
        <v>6</v>
      </c>
      <c r="F195" t="s">
        <v>4730</v>
      </c>
      <c r="G195">
        <v>1</v>
      </c>
      <c r="H195">
        <v>1</v>
      </c>
      <c r="I195">
        <f>1</f>
        <v>1</v>
      </c>
    </row>
    <row r="196" spans="2:9" x14ac:dyDescent="0.25">
      <c r="B196">
        <v>0</v>
      </c>
      <c r="C196" s="16" t="s">
        <v>9587</v>
      </c>
      <c r="D196" s="16"/>
      <c r="E196">
        <v>6</v>
      </c>
      <c r="F196" t="s">
        <v>4731</v>
      </c>
      <c r="G196">
        <v>1</v>
      </c>
      <c r="H196">
        <v>1</v>
      </c>
      <c r="I196">
        <f>1</f>
        <v>1</v>
      </c>
    </row>
    <row r="197" spans="2:9" x14ac:dyDescent="0.25">
      <c r="B197">
        <v>0</v>
      </c>
      <c r="C197" s="16" t="s">
        <v>9588</v>
      </c>
      <c r="D197" s="16"/>
      <c r="E197">
        <v>6</v>
      </c>
      <c r="F197" t="s">
        <v>4732</v>
      </c>
      <c r="G197">
        <v>1</v>
      </c>
      <c r="H197">
        <v>1</v>
      </c>
      <c r="I197">
        <f>1</f>
        <v>1</v>
      </c>
    </row>
    <row r="198" spans="2:9" x14ac:dyDescent="0.25">
      <c r="B198">
        <v>0</v>
      </c>
      <c r="C198" s="16" t="s">
        <v>9589</v>
      </c>
      <c r="D198" s="16"/>
      <c r="E198">
        <v>6</v>
      </c>
      <c r="F198" t="s">
        <v>4733</v>
      </c>
      <c r="G198">
        <v>1</v>
      </c>
      <c r="H198">
        <v>1</v>
      </c>
      <c r="I198">
        <f>1</f>
        <v>1</v>
      </c>
    </row>
    <row r="199" spans="2:9" x14ac:dyDescent="0.25">
      <c r="B199">
        <v>0</v>
      </c>
      <c r="C199" s="16" t="s">
        <v>9590</v>
      </c>
      <c r="D199" s="16"/>
      <c r="E199">
        <v>6</v>
      </c>
      <c r="F199" t="s">
        <v>4734</v>
      </c>
      <c r="G199">
        <v>1</v>
      </c>
      <c r="H199">
        <v>1</v>
      </c>
      <c r="I199">
        <f>1</f>
        <v>1</v>
      </c>
    </row>
    <row r="200" spans="2:9" x14ac:dyDescent="0.25">
      <c r="B200">
        <v>0</v>
      </c>
      <c r="C200" s="16" t="s">
        <v>9591</v>
      </c>
      <c r="D200" s="16"/>
      <c r="E200">
        <v>6</v>
      </c>
      <c r="F200" t="s">
        <v>4735</v>
      </c>
      <c r="G200">
        <v>1</v>
      </c>
      <c r="H200">
        <v>1</v>
      </c>
      <c r="I200">
        <f>1</f>
        <v>1</v>
      </c>
    </row>
    <row r="201" spans="2:9" x14ac:dyDescent="0.25">
      <c r="B201">
        <v>0</v>
      </c>
      <c r="C201" s="16" t="s">
        <v>9592</v>
      </c>
      <c r="D201" s="16"/>
      <c r="E201">
        <v>6</v>
      </c>
      <c r="F201" t="s">
        <v>4736</v>
      </c>
      <c r="G201">
        <v>1</v>
      </c>
      <c r="H201">
        <v>1</v>
      </c>
      <c r="I201">
        <f>1</f>
        <v>1</v>
      </c>
    </row>
    <row r="202" spans="2:9" x14ac:dyDescent="0.25">
      <c r="B202">
        <v>0</v>
      </c>
      <c r="C202" s="16" t="s">
        <v>9593</v>
      </c>
      <c r="D202" s="16"/>
      <c r="E202">
        <v>6</v>
      </c>
      <c r="F202" t="s">
        <v>4737</v>
      </c>
      <c r="G202">
        <v>1</v>
      </c>
      <c r="H202">
        <v>1</v>
      </c>
      <c r="I202">
        <f>1</f>
        <v>1</v>
      </c>
    </row>
    <row r="203" spans="2:9" x14ac:dyDescent="0.25">
      <c r="B203">
        <v>0</v>
      </c>
      <c r="C203" s="16" t="s">
        <v>9594</v>
      </c>
      <c r="D203" s="16"/>
      <c r="E203">
        <v>6</v>
      </c>
      <c r="F203" t="s">
        <v>4738</v>
      </c>
      <c r="G203">
        <v>1</v>
      </c>
      <c r="H203">
        <v>1</v>
      </c>
      <c r="I203">
        <f>1</f>
        <v>1</v>
      </c>
    </row>
    <row r="204" spans="2:9" x14ac:dyDescent="0.25">
      <c r="B204">
        <v>0</v>
      </c>
      <c r="C204" s="16" t="s">
        <v>9595</v>
      </c>
      <c r="D204" s="16"/>
      <c r="E204">
        <v>6</v>
      </c>
      <c r="F204" t="s">
        <v>4739</v>
      </c>
      <c r="G204">
        <v>1</v>
      </c>
      <c r="H204">
        <v>1</v>
      </c>
      <c r="I204">
        <f>1</f>
        <v>1</v>
      </c>
    </row>
    <row r="205" spans="2:9" x14ac:dyDescent="0.25">
      <c r="B205">
        <v>0</v>
      </c>
      <c r="C205" s="16" t="s">
        <v>9596</v>
      </c>
      <c r="D205" s="16"/>
      <c r="E205">
        <v>6</v>
      </c>
      <c r="F205" t="s">
        <v>4740</v>
      </c>
      <c r="G205">
        <v>1</v>
      </c>
      <c r="H205">
        <v>1</v>
      </c>
      <c r="I205">
        <f>1</f>
        <v>1</v>
      </c>
    </row>
    <row r="206" spans="2:9" x14ac:dyDescent="0.25">
      <c r="B206">
        <v>0</v>
      </c>
      <c r="C206" s="16" t="s">
        <v>9597</v>
      </c>
      <c r="D206" s="16"/>
      <c r="E206">
        <v>6</v>
      </c>
      <c r="F206" t="s">
        <v>4741</v>
      </c>
      <c r="G206">
        <v>1</v>
      </c>
      <c r="H206">
        <v>1</v>
      </c>
      <c r="I206">
        <f>1</f>
        <v>1</v>
      </c>
    </row>
    <row r="207" spans="2:9" x14ac:dyDescent="0.25">
      <c r="B207">
        <v>0</v>
      </c>
      <c r="C207" s="16" t="s">
        <v>9598</v>
      </c>
      <c r="D207" s="16"/>
      <c r="E207">
        <v>6</v>
      </c>
      <c r="F207" t="s">
        <v>4742</v>
      </c>
      <c r="G207">
        <v>1</v>
      </c>
      <c r="H207">
        <v>1</v>
      </c>
      <c r="I207">
        <f>1</f>
        <v>1</v>
      </c>
    </row>
    <row r="208" spans="2:9" x14ac:dyDescent="0.25">
      <c r="B208">
        <v>0</v>
      </c>
      <c r="C208" s="16" t="s">
        <v>9599</v>
      </c>
      <c r="D208" s="16"/>
      <c r="E208">
        <v>6</v>
      </c>
      <c r="F208" t="s">
        <v>4680</v>
      </c>
      <c r="G208">
        <v>1</v>
      </c>
      <c r="H208">
        <v>1</v>
      </c>
      <c r="I208">
        <f>1</f>
        <v>1</v>
      </c>
    </row>
    <row r="209" spans="2:9" x14ac:dyDescent="0.25">
      <c r="B209">
        <v>0</v>
      </c>
      <c r="C209" s="16" t="s">
        <v>9600</v>
      </c>
      <c r="D209" s="16"/>
      <c r="E209">
        <v>6</v>
      </c>
      <c r="F209" t="s">
        <v>4743</v>
      </c>
      <c r="G209">
        <v>1</v>
      </c>
      <c r="H209">
        <v>1</v>
      </c>
      <c r="I209">
        <f>1</f>
        <v>1</v>
      </c>
    </row>
    <row r="210" spans="2:9" x14ac:dyDescent="0.25">
      <c r="B210">
        <v>0</v>
      </c>
      <c r="C210" s="16" t="s">
        <v>9601</v>
      </c>
      <c r="D210" s="16"/>
      <c r="E210">
        <v>6</v>
      </c>
      <c r="F210" t="e">
        <f>--Salmão  Oncorhynchus nerka</f>
        <v>#NAME?</v>
      </c>
      <c r="G210">
        <v>1</v>
      </c>
      <c r="H210">
        <v>1</v>
      </c>
      <c r="I210">
        <f>1</f>
        <v>1</v>
      </c>
    </row>
    <row r="211" spans="2:9" x14ac:dyDescent="0.25">
      <c r="B211">
        <v>0</v>
      </c>
      <c r="C211" s="16" t="s">
        <v>9602</v>
      </c>
      <c r="D211" s="16"/>
      <c r="E211">
        <v>6</v>
      </c>
      <c r="F211" t="s">
        <v>4744</v>
      </c>
      <c r="G211">
        <v>1</v>
      </c>
      <c r="H211">
        <v>1</v>
      </c>
      <c r="I211">
        <f>1</f>
        <v>1</v>
      </c>
    </row>
    <row r="212" spans="2:9" x14ac:dyDescent="0.25">
      <c r="B212">
        <v>0</v>
      </c>
      <c r="C212" s="16" t="s">
        <v>9603</v>
      </c>
      <c r="D212" s="16"/>
      <c r="E212">
        <v>6</v>
      </c>
      <c r="F212" t="e">
        <f>--Salmão-do-atlântico  Salmo salar  e Salmão-do-danúbio  Hucho Hucho</f>
        <v>#NAME?</v>
      </c>
      <c r="G212">
        <v>1</v>
      </c>
      <c r="H212">
        <v>1</v>
      </c>
      <c r="I212">
        <f>1</f>
        <v>1</v>
      </c>
    </row>
    <row r="213" spans="2:9" x14ac:dyDescent="0.25">
      <c r="B213">
        <v>0</v>
      </c>
      <c r="C213" s="16" t="s">
        <v>9604</v>
      </c>
      <c r="D213" s="16"/>
      <c r="E213">
        <v>6</v>
      </c>
      <c r="F213" t="s">
        <v>4709</v>
      </c>
      <c r="G213">
        <v>1</v>
      </c>
      <c r="H213">
        <v>1</v>
      </c>
      <c r="I213">
        <f>1</f>
        <v>1</v>
      </c>
    </row>
    <row r="214" spans="2:9" x14ac:dyDescent="0.25">
      <c r="B214">
        <v>0</v>
      </c>
      <c r="C214" s="16" t="s">
        <v>9605</v>
      </c>
      <c r="D214" s="16"/>
      <c r="E214">
        <v>6</v>
      </c>
      <c r="F214" t="e">
        <f>--outros</f>
        <v>#NAME?</v>
      </c>
      <c r="G214">
        <v>1</v>
      </c>
      <c r="H214">
        <v>1</v>
      </c>
      <c r="I214">
        <f>1</f>
        <v>1</v>
      </c>
    </row>
    <row r="215" spans="2:9" x14ac:dyDescent="0.25">
      <c r="B215">
        <v>0</v>
      </c>
      <c r="C215" s="16" t="s">
        <v>9606</v>
      </c>
      <c r="D215" s="16"/>
      <c r="E215">
        <v>6</v>
      </c>
      <c r="F215" t="e">
        <f>--Tilápias  Oreochromis spp.</f>
        <v>#NAME?</v>
      </c>
      <c r="G215">
        <v>1</v>
      </c>
      <c r="H215">
        <v>1</v>
      </c>
      <c r="I215">
        <f>1</f>
        <v>1</v>
      </c>
    </row>
    <row r="216" spans="2:9" x14ac:dyDescent="0.25">
      <c r="B216">
        <v>0</v>
      </c>
      <c r="C216" s="16" t="s">
        <v>9607</v>
      </c>
      <c r="D216" s="16"/>
      <c r="E216">
        <v>6</v>
      </c>
      <c r="F216" t="s">
        <v>4720</v>
      </c>
      <c r="G216">
        <v>1</v>
      </c>
      <c r="H216">
        <v>1</v>
      </c>
      <c r="I216">
        <f>1</f>
        <v>1</v>
      </c>
    </row>
    <row r="217" spans="2:9" x14ac:dyDescent="0.25">
      <c r="B217">
        <v>0</v>
      </c>
      <c r="C217" s="16" t="s">
        <v>9608</v>
      </c>
      <c r="D217" s="16"/>
      <c r="E217">
        <v>6</v>
      </c>
      <c r="F217" t="s">
        <v>4680</v>
      </c>
      <c r="G217">
        <v>1</v>
      </c>
      <c r="H217">
        <v>1</v>
      </c>
      <c r="I217">
        <f>1</f>
        <v>1</v>
      </c>
    </row>
    <row r="218" spans="2:9" x14ac:dyDescent="0.25">
      <c r="B218">
        <v>0</v>
      </c>
      <c r="C218" s="16" t="s">
        <v>9609</v>
      </c>
      <c r="D218" s="16"/>
      <c r="E218">
        <v>6</v>
      </c>
      <c r="F218" t="s">
        <v>4745</v>
      </c>
      <c r="G218">
        <v>1</v>
      </c>
      <c r="H218">
        <v>1</v>
      </c>
      <c r="I218">
        <f>1</f>
        <v>1</v>
      </c>
    </row>
    <row r="219" spans="2:9" x14ac:dyDescent="0.25">
      <c r="B219">
        <v>0</v>
      </c>
      <c r="C219" s="16" t="s">
        <v>9610</v>
      </c>
      <c r="D219" s="16"/>
      <c r="E219">
        <v>6</v>
      </c>
      <c r="F219" t="e">
        <f>--Enguias  Anguilla spp.</f>
        <v>#NAME?</v>
      </c>
      <c r="G219">
        <v>1</v>
      </c>
      <c r="H219">
        <v>1</v>
      </c>
      <c r="I219">
        <f>1</f>
        <v>1</v>
      </c>
    </row>
    <row r="220" spans="2:9" x14ac:dyDescent="0.25">
      <c r="B220">
        <v>0</v>
      </c>
      <c r="C220" s="16" t="s">
        <v>9611</v>
      </c>
      <c r="D220" s="16"/>
      <c r="E220">
        <v>6</v>
      </c>
      <c r="F220" t="e">
        <f>--outros</f>
        <v>#NAME?</v>
      </c>
      <c r="G220">
        <v>1</v>
      </c>
      <c r="H220">
        <v>1</v>
      </c>
      <c r="I220">
        <f>1</f>
        <v>1</v>
      </c>
    </row>
    <row r="221" spans="2:9" x14ac:dyDescent="0.25">
      <c r="B221">
        <v>0</v>
      </c>
      <c r="C221" s="16" t="s">
        <v>9612</v>
      </c>
      <c r="D221" s="16"/>
      <c r="E221">
        <v>6</v>
      </c>
      <c r="F221" t="s">
        <v>4711</v>
      </c>
      <c r="G221">
        <v>1</v>
      </c>
      <c r="H221">
        <v>1</v>
      </c>
      <c r="I221">
        <f>1</f>
        <v>1</v>
      </c>
    </row>
    <row r="222" spans="2:9" x14ac:dyDescent="0.25">
      <c r="B222">
        <v>0</v>
      </c>
      <c r="C222" s="16" t="s">
        <v>9613</v>
      </c>
      <c r="D222" s="16"/>
      <c r="E222">
        <v>6</v>
      </c>
      <c r="F222" t="e">
        <f>--Solha  Pleuronectes platessa</f>
        <v>#NAME?</v>
      </c>
      <c r="G222">
        <v>1</v>
      </c>
      <c r="H222">
        <v>1</v>
      </c>
      <c r="I222">
        <f>1</f>
        <v>1</v>
      </c>
    </row>
    <row r="223" spans="2:9" x14ac:dyDescent="0.25">
      <c r="B223">
        <v>0</v>
      </c>
      <c r="C223" s="16" t="s">
        <v>9614</v>
      </c>
      <c r="D223" s="16"/>
      <c r="E223">
        <v>6</v>
      </c>
      <c r="F223" t="e">
        <f>--Linguados  Solea spp.</f>
        <v>#NAME?</v>
      </c>
      <c r="G223">
        <v>1</v>
      </c>
      <c r="H223">
        <v>1</v>
      </c>
      <c r="I223">
        <f>1</f>
        <v>1</v>
      </c>
    </row>
    <row r="224" spans="2:9" x14ac:dyDescent="0.25">
      <c r="B224">
        <v>0</v>
      </c>
      <c r="C224" s="16" t="s">
        <v>9615</v>
      </c>
      <c r="D224" s="16"/>
      <c r="E224">
        <v>6</v>
      </c>
      <c r="F224" t="e">
        <f>--Pregado  Psetta maxima</f>
        <v>#NAME?</v>
      </c>
      <c r="G224">
        <v>1</v>
      </c>
      <c r="H224">
        <v>1</v>
      </c>
      <c r="I224">
        <f>1</f>
        <v>1</v>
      </c>
    </row>
    <row r="225" spans="2:9" x14ac:dyDescent="0.25">
      <c r="B225">
        <v>0</v>
      </c>
      <c r="C225" s="16" t="s">
        <v>9616</v>
      </c>
      <c r="D225" s="16"/>
      <c r="E225">
        <v>6</v>
      </c>
      <c r="F225" t="e">
        <f>--outros</f>
        <v>#NAME?</v>
      </c>
      <c r="G225">
        <v>1</v>
      </c>
      <c r="H225">
        <v>1</v>
      </c>
      <c r="I225">
        <f>1</f>
        <v>1</v>
      </c>
    </row>
    <row r="226" spans="2:9" x14ac:dyDescent="0.25">
      <c r="B226">
        <v>0</v>
      </c>
      <c r="C226" s="16" t="s">
        <v>9617</v>
      </c>
      <c r="D226" s="16"/>
      <c r="E226">
        <v>6</v>
      </c>
      <c r="F226" t="e">
        <f>--Albacora-branca  Thunnus alalunga</f>
        <v>#NAME?</v>
      </c>
      <c r="G226">
        <v>1</v>
      </c>
      <c r="H226">
        <v>1</v>
      </c>
      <c r="I226">
        <f>1</f>
        <v>1</v>
      </c>
    </row>
    <row r="227" spans="2:9" x14ac:dyDescent="0.25">
      <c r="B227">
        <v>0</v>
      </c>
      <c r="C227" s="16" t="s">
        <v>9618</v>
      </c>
      <c r="D227" s="16"/>
      <c r="E227">
        <v>6</v>
      </c>
      <c r="F227" t="e">
        <f>--Albacora-laje  Thunnus albacares</f>
        <v>#NAME?</v>
      </c>
      <c r="G227">
        <v>1</v>
      </c>
      <c r="H227">
        <v>1</v>
      </c>
      <c r="I227">
        <f>1</f>
        <v>1</v>
      </c>
    </row>
    <row r="228" spans="2:9" x14ac:dyDescent="0.25">
      <c r="B228">
        <v>0</v>
      </c>
      <c r="C228" s="16" t="s">
        <v>9619</v>
      </c>
      <c r="D228" s="16"/>
      <c r="E228">
        <v>6</v>
      </c>
      <c r="F228" t="e">
        <f>--Bonito-listrado</f>
        <v>#NAME?</v>
      </c>
      <c r="G228">
        <v>1</v>
      </c>
      <c r="H228">
        <v>1</v>
      </c>
      <c r="I228">
        <f>1</f>
        <v>1</v>
      </c>
    </row>
    <row r="229" spans="2:9" x14ac:dyDescent="0.25">
      <c r="B229">
        <v>0</v>
      </c>
      <c r="C229" s="16" t="s">
        <v>9620</v>
      </c>
      <c r="D229" s="16"/>
      <c r="E229">
        <v>6</v>
      </c>
      <c r="F229" t="e">
        <f>--Albacora-bandolim  Thunnus obesus</f>
        <v>#NAME?</v>
      </c>
      <c r="G229">
        <v>1</v>
      </c>
      <c r="H229">
        <v>1</v>
      </c>
      <c r="I229">
        <f>1</f>
        <v>1</v>
      </c>
    </row>
    <row r="230" spans="2:9" x14ac:dyDescent="0.25">
      <c r="B230">
        <v>0</v>
      </c>
      <c r="C230" s="16" t="s">
        <v>9621</v>
      </c>
      <c r="D230" s="16"/>
      <c r="E230">
        <v>6</v>
      </c>
      <c r="F230" t="s">
        <v>4712</v>
      </c>
      <c r="G230">
        <v>1</v>
      </c>
      <c r="H230">
        <v>1</v>
      </c>
      <c r="I230">
        <f>1</f>
        <v>1</v>
      </c>
    </row>
    <row r="231" spans="2:9" x14ac:dyDescent="0.25">
      <c r="B231">
        <v>0</v>
      </c>
      <c r="C231" s="16" t="s">
        <v>9622</v>
      </c>
      <c r="D231" s="16"/>
      <c r="E231">
        <v>6</v>
      </c>
      <c r="F231" t="e">
        <f>--Atum azul do Sul  Thunnus maccoyii</f>
        <v>#NAME?</v>
      </c>
      <c r="G231">
        <v>1</v>
      </c>
      <c r="H231">
        <v>1</v>
      </c>
      <c r="I231">
        <f>1</f>
        <v>1</v>
      </c>
    </row>
    <row r="232" spans="2:9" x14ac:dyDescent="0.25">
      <c r="B232">
        <v>0</v>
      </c>
      <c r="C232" s="16" t="s">
        <v>9623</v>
      </c>
      <c r="D232" s="16"/>
      <c r="E232">
        <v>6</v>
      </c>
      <c r="F232" t="e">
        <f>--outros</f>
        <v>#NAME?</v>
      </c>
      <c r="G232">
        <v>1</v>
      </c>
      <c r="H232">
        <v>1</v>
      </c>
      <c r="I232">
        <f>1</f>
        <v>1</v>
      </c>
    </row>
    <row r="233" spans="2:9" x14ac:dyDescent="0.25">
      <c r="B233">
        <v>0</v>
      </c>
      <c r="C233" s="16" t="s">
        <v>9624</v>
      </c>
      <c r="D233" s="16"/>
      <c r="E233">
        <v>6</v>
      </c>
      <c r="F233" t="s">
        <v>4713</v>
      </c>
      <c r="G233">
        <v>1</v>
      </c>
      <c r="H233">
        <v>1</v>
      </c>
      <c r="I233">
        <f>1</f>
        <v>1</v>
      </c>
    </row>
    <row r="234" spans="2:9" x14ac:dyDescent="0.25">
      <c r="B234">
        <v>0</v>
      </c>
      <c r="C234" s="16" t="s">
        <v>9625</v>
      </c>
      <c r="D234" s="16"/>
      <c r="E234">
        <v>6</v>
      </c>
      <c r="F234" t="s">
        <v>4715</v>
      </c>
      <c r="G234">
        <v>1</v>
      </c>
      <c r="H234">
        <v>1</v>
      </c>
      <c r="I234">
        <f>1</f>
        <v>1</v>
      </c>
    </row>
    <row r="235" spans="2:9" x14ac:dyDescent="0.25">
      <c r="B235">
        <v>0</v>
      </c>
      <c r="C235" s="16" t="s">
        <v>9626</v>
      </c>
      <c r="D235" s="16"/>
      <c r="E235">
        <v>6</v>
      </c>
      <c r="F235" t="s">
        <v>4716</v>
      </c>
      <c r="G235">
        <v>1</v>
      </c>
      <c r="H235">
        <v>1</v>
      </c>
      <c r="I235">
        <f>1</f>
        <v>1</v>
      </c>
    </row>
    <row r="236" spans="2:9" x14ac:dyDescent="0.25">
      <c r="B236">
        <v>0</v>
      </c>
      <c r="C236" s="16" t="s">
        <v>9627</v>
      </c>
      <c r="D236" s="16"/>
      <c r="E236">
        <v>6</v>
      </c>
      <c r="F236" t="e">
        <f>--Chicharros  Trachurus spp.</f>
        <v>#NAME?</v>
      </c>
      <c r="G236">
        <v>1</v>
      </c>
      <c r="H236">
        <v>1</v>
      </c>
      <c r="I236">
        <f>1</f>
        <v>1</v>
      </c>
    </row>
    <row r="237" spans="2:9" x14ac:dyDescent="0.25">
      <c r="B237">
        <v>0</v>
      </c>
      <c r="C237" s="16" t="s">
        <v>9628</v>
      </c>
      <c r="D237" s="16"/>
      <c r="E237">
        <v>6</v>
      </c>
      <c r="F237" t="e">
        <f>--Bijupirá  Rachycentron canadum</f>
        <v>#NAME?</v>
      </c>
      <c r="G237">
        <v>1</v>
      </c>
      <c r="H237">
        <v>1</v>
      </c>
      <c r="I237">
        <f>1</f>
        <v>1</v>
      </c>
    </row>
    <row r="238" spans="2:9" x14ac:dyDescent="0.25">
      <c r="B238">
        <v>0</v>
      </c>
      <c r="C238" s="16" t="s">
        <v>9629</v>
      </c>
      <c r="D238" s="16"/>
      <c r="E238">
        <v>6</v>
      </c>
      <c r="F238" t="e">
        <f>--Espadarte  Xiphias gladius</f>
        <v>#NAME?</v>
      </c>
      <c r="G238">
        <v>1</v>
      </c>
      <c r="H238">
        <v>1</v>
      </c>
      <c r="I238">
        <f>1</f>
        <v>1</v>
      </c>
    </row>
    <row r="239" spans="2:9" x14ac:dyDescent="0.25">
      <c r="B239">
        <v>0</v>
      </c>
      <c r="C239" s="16" t="s">
        <v>9630</v>
      </c>
      <c r="D239" s="16"/>
      <c r="E239">
        <v>6</v>
      </c>
      <c r="F239" t="s">
        <v>4717</v>
      </c>
      <c r="G239">
        <v>1</v>
      </c>
      <c r="H239">
        <v>1</v>
      </c>
      <c r="I239">
        <f>1</f>
        <v>1</v>
      </c>
    </row>
    <row r="240" spans="2:9" x14ac:dyDescent="0.25">
      <c r="B240">
        <v>0</v>
      </c>
      <c r="C240" s="16" t="s">
        <v>9631</v>
      </c>
      <c r="D240" s="16"/>
      <c r="E240">
        <v>6</v>
      </c>
      <c r="F240" t="e">
        <f>--Haddock ou lubina  Melanogrammus aeglefinus</f>
        <v>#NAME?</v>
      </c>
      <c r="G240">
        <v>1</v>
      </c>
      <c r="H240">
        <v>1</v>
      </c>
      <c r="I240">
        <f>1</f>
        <v>1</v>
      </c>
    </row>
    <row r="241" spans="2:9" x14ac:dyDescent="0.25">
      <c r="B241">
        <v>0</v>
      </c>
      <c r="C241" s="16" t="s">
        <v>9632</v>
      </c>
      <c r="D241" s="16"/>
      <c r="E241">
        <v>6</v>
      </c>
      <c r="F241" t="e">
        <f>--Saithe  Pollachius virens</f>
        <v>#NAME?</v>
      </c>
      <c r="G241">
        <v>1</v>
      </c>
      <c r="H241">
        <v>1</v>
      </c>
      <c r="I241">
        <f>1</f>
        <v>1</v>
      </c>
    </row>
    <row r="242" spans="2:9" x14ac:dyDescent="0.25">
      <c r="B242">
        <v>0</v>
      </c>
      <c r="C242" s="16" t="s">
        <v>9633</v>
      </c>
      <c r="D242" s="16"/>
      <c r="E242">
        <v>6</v>
      </c>
      <c r="F242" t="s">
        <v>4718</v>
      </c>
      <c r="G242">
        <v>1</v>
      </c>
      <c r="H242">
        <v>1</v>
      </c>
      <c r="I242">
        <f>1</f>
        <v>1</v>
      </c>
    </row>
    <row r="243" spans="2:9" x14ac:dyDescent="0.25">
      <c r="B243">
        <v>0</v>
      </c>
      <c r="C243" s="16" t="s">
        <v>9634</v>
      </c>
      <c r="D243" s="16"/>
      <c r="E243">
        <v>6</v>
      </c>
      <c r="F243" t="e">
        <f>--Merluza-do-alasca  Theragra chalcogramma</f>
        <v>#NAME?</v>
      </c>
      <c r="G243">
        <v>1</v>
      </c>
      <c r="H243">
        <v>1</v>
      </c>
      <c r="I243">
        <f>1</f>
        <v>1</v>
      </c>
    </row>
    <row r="244" spans="2:9" x14ac:dyDescent="0.25">
      <c r="B244">
        <v>0</v>
      </c>
      <c r="C244" s="16" t="s">
        <v>9635</v>
      </c>
      <c r="D244" s="16"/>
      <c r="E244">
        <v>6</v>
      </c>
      <c r="F244" t="s">
        <v>4719</v>
      </c>
      <c r="G244">
        <v>1</v>
      </c>
      <c r="H244">
        <v>1</v>
      </c>
      <c r="I244">
        <f>1</f>
        <v>1</v>
      </c>
    </row>
    <row r="245" spans="2:9" x14ac:dyDescent="0.25">
      <c r="B245">
        <v>0</v>
      </c>
      <c r="C245" s="16" t="s">
        <v>9636</v>
      </c>
      <c r="D245" s="16"/>
      <c r="E245">
        <v>6</v>
      </c>
      <c r="F245" t="s">
        <v>4746</v>
      </c>
      <c r="G245">
        <v>1</v>
      </c>
      <c r="H245">
        <v>1</v>
      </c>
      <c r="I245">
        <f>1</f>
        <v>1</v>
      </c>
    </row>
    <row r="246" spans="2:9" x14ac:dyDescent="0.25">
      <c r="B246">
        <v>0</v>
      </c>
      <c r="C246" s="16" t="s">
        <v>9637</v>
      </c>
      <c r="D246" s="16"/>
      <c r="E246">
        <v>6</v>
      </c>
      <c r="F246" t="s">
        <v>4680</v>
      </c>
      <c r="G246">
        <v>1</v>
      </c>
      <c r="H246">
        <v>1</v>
      </c>
      <c r="I246">
        <f>1</f>
        <v>1</v>
      </c>
    </row>
    <row r="247" spans="2:9" x14ac:dyDescent="0.25">
      <c r="B247">
        <v>0</v>
      </c>
      <c r="C247" s="16" t="s">
        <v>9638</v>
      </c>
      <c r="D247" s="16"/>
      <c r="E247">
        <v>6</v>
      </c>
      <c r="F247" t="s">
        <v>4747</v>
      </c>
      <c r="G247">
        <v>1</v>
      </c>
      <c r="H247">
        <v>1</v>
      </c>
      <c r="I247">
        <f>1</f>
        <v>1</v>
      </c>
    </row>
    <row r="248" spans="2:9" x14ac:dyDescent="0.25">
      <c r="B248">
        <v>0</v>
      </c>
      <c r="C248" s="16" t="s">
        <v>9639</v>
      </c>
      <c r="D248" s="16"/>
      <c r="E248">
        <v>6</v>
      </c>
      <c r="F248" t="s">
        <v>4748</v>
      </c>
      <c r="G248">
        <v>1</v>
      </c>
      <c r="H248">
        <v>1</v>
      </c>
      <c r="I248">
        <f>1</f>
        <v>1</v>
      </c>
    </row>
    <row r="249" spans="2:9" x14ac:dyDescent="0.25">
      <c r="B249">
        <v>0</v>
      </c>
      <c r="C249" s="16" t="s">
        <v>9640</v>
      </c>
      <c r="D249" s="16"/>
      <c r="E249">
        <v>6</v>
      </c>
      <c r="F249" t="s">
        <v>4749</v>
      </c>
      <c r="G249">
        <v>1</v>
      </c>
      <c r="H249">
        <v>1</v>
      </c>
      <c r="I249">
        <f>1</f>
        <v>1</v>
      </c>
    </row>
    <row r="250" spans="2:9" x14ac:dyDescent="0.25">
      <c r="B250">
        <v>0</v>
      </c>
      <c r="C250" s="16" t="s">
        <v>9641</v>
      </c>
      <c r="D250" s="16"/>
      <c r="E250">
        <v>6</v>
      </c>
      <c r="F250" t="s">
        <v>4750</v>
      </c>
      <c r="G250">
        <v>1</v>
      </c>
      <c r="H250">
        <v>1</v>
      </c>
      <c r="I250">
        <f>1</f>
        <v>1</v>
      </c>
    </row>
    <row r="251" spans="2:9" x14ac:dyDescent="0.25">
      <c r="B251">
        <v>0</v>
      </c>
      <c r="C251" s="16" t="s">
        <v>9642</v>
      </c>
      <c r="D251" s="16"/>
      <c r="E251">
        <v>6</v>
      </c>
      <c r="F251" t="s">
        <v>4680</v>
      </c>
      <c r="G251">
        <v>1</v>
      </c>
      <c r="H251">
        <v>1</v>
      </c>
      <c r="I251">
        <f>1</f>
        <v>1</v>
      </c>
    </row>
    <row r="252" spans="2:9" x14ac:dyDescent="0.25">
      <c r="B252">
        <v>0</v>
      </c>
      <c r="C252" s="16" t="s">
        <v>9643</v>
      </c>
      <c r="D252" s="16"/>
      <c r="E252">
        <v>6</v>
      </c>
      <c r="F252" t="s">
        <v>4680</v>
      </c>
      <c r="G252">
        <v>1</v>
      </c>
      <c r="H252">
        <v>1</v>
      </c>
      <c r="I252">
        <f>1</f>
        <v>1</v>
      </c>
    </row>
    <row r="253" spans="2:9" x14ac:dyDescent="0.25">
      <c r="B253">
        <v>0</v>
      </c>
      <c r="C253" s="16" t="s">
        <v>9644</v>
      </c>
      <c r="D253" s="16"/>
      <c r="E253">
        <v>6</v>
      </c>
      <c r="F253" t="e">
        <f>--Raias  Rajidae</f>
        <v>#NAME?</v>
      </c>
      <c r="G253">
        <v>1</v>
      </c>
      <c r="H253">
        <v>1</v>
      </c>
      <c r="I253">
        <f>1</f>
        <v>1</v>
      </c>
    </row>
    <row r="254" spans="2:9" x14ac:dyDescent="0.25">
      <c r="B254">
        <v>0</v>
      </c>
      <c r="C254" s="16" t="s">
        <v>9645</v>
      </c>
      <c r="D254" s="16"/>
      <c r="E254">
        <v>6</v>
      </c>
      <c r="F254" t="s">
        <v>4751</v>
      </c>
      <c r="G254">
        <v>1</v>
      </c>
      <c r="H254">
        <v>1</v>
      </c>
      <c r="I254">
        <f>1</f>
        <v>1</v>
      </c>
    </row>
    <row r="255" spans="2:9" x14ac:dyDescent="0.25">
      <c r="B255">
        <v>0</v>
      </c>
      <c r="C255" s="16" t="s">
        <v>9646</v>
      </c>
      <c r="D255" s="16"/>
      <c r="E255">
        <v>6</v>
      </c>
      <c r="F255" t="s">
        <v>4752</v>
      </c>
      <c r="G255">
        <v>1</v>
      </c>
      <c r="H255">
        <v>1</v>
      </c>
      <c r="I255">
        <f>1</f>
        <v>1</v>
      </c>
    </row>
    <row r="256" spans="2:9" x14ac:dyDescent="0.25">
      <c r="B256">
        <v>0</v>
      </c>
      <c r="C256" s="16" t="s">
        <v>9647</v>
      </c>
      <c r="D256" s="16"/>
      <c r="E256">
        <v>6</v>
      </c>
      <c r="F256" t="s">
        <v>4690</v>
      </c>
      <c r="G256">
        <v>1</v>
      </c>
      <c r="H256">
        <v>1</v>
      </c>
      <c r="I256">
        <f>1</f>
        <v>1</v>
      </c>
    </row>
    <row r="257" spans="2:9" x14ac:dyDescent="0.25">
      <c r="B257">
        <v>0</v>
      </c>
      <c r="C257" s="16" t="s">
        <v>9648</v>
      </c>
      <c r="D257" s="16"/>
      <c r="E257">
        <v>6</v>
      </c>
      <c r="F257" t="s">
        <v>4751</v>
      </c>
      <c r="G257">
        <v>1</v>
      </c>
      <c r="H257">
        <v>1</v>
      </c>
      <c r="I257">
        <f>1</f>
        <v>1</v>
      </c>
    </row>
    <row r="258" spans="2:9" x14ac:dyDescent="0.25">
      <c r="B258">
        <v>0</v>
      </c>
      <c r="C258" s="16" t="s">
        <v>9649</v>
      </c>
      <c r="D258" s="16"/>
      <c r="E258">
        <v>6</v>
      </c>
      <c r="F258" t="s">
        <v>4752</v>
      </c>
      <c r="G258">
        <v>1</v>
      </c>
      <c r="H258">
        <v>1</v>
      </c>
      <c r="I258">
        <f>1</f>
        <v>1</v>
      </c>
    </row>
    <row r="259" spans="2:9" x14ac:dyDescent="0.25">
      <c r="B259">
        <v>0</v>
      </c>
      <c r="C259" s="16" t="s">
        <v>9650</v>
      </c>
      <c r="D259" s="16"/>
      <c r="E259">
        <v>6</v>
      </c>
      <c r="F259" t="s">
        <v>4690</v>
      </c>
      <c r="G259">
        <v>1</v>
      </c>
      <c r="H259">
        <v>1</v>
      </c>
      <c r="I259">
        <f>1</f>
        <v>1</v>
      </c>
    </row>
    <row r="260" spans="2:9" x14ac:dyDescent="0.25">
      <c r="B260">
        <v>0</v>
      </c>
      <c r="C260" s="16" t="s">
        <v>9651</v>
      </c>
      <c r="D260" s="16"/>
      <c r="E260">
        <v>6</v>
      </c>
      <c r="F260" t="e">
        <f>--Robalos  Dicentrarchus spp.</f>
        <v>#NAME?</v>
      </c>
      <c r="G260">
        <v>1</v>
      </c>
      <c r="H260">
        <v>1</v>
      </c>
      <c r="I260">
        <f>1</f>
        <v>1</v>
      </c>
    </row>
    <row r="261" spans="2:9" x14ac:dyDescent="0.25">
      <c r="B261">
        <v>0</v>
      </c>
      <c r="C261" s="16" t="s">
        <v>9652</v>
      </c>
      <c r="D261" s="16"/>
      <c r="E261">
        <v>6</v>
      </c>
      <c r="F261" t="s">
        <v>4753</v>
      </c>
      <c r="G261">
        <v>1</v>
      </c>
      <c r="H261">
        <v>1</v>
      </c>
      <c r="I261">
        <f>1</f>
        <v>1</v>
      </c>
    </row>
    <row r="262" spans="2:9" x14ac:dyDescent="0.25">
      <c r="B262">
        <v>0</v>
      </c>
      <c r="C262" s="16" t="s">
        <v>9653</v>
      </c>
      <c r="D262" s="16"/>
      <c r="E262">
        <v>6</v>
      </c>
      <c r="F262" t="s">
        <v>4754</v>
      </c>
      <c r="G262">
        <v>1</v>
      </c>
      <c r="H262">
        <v>1</v>
      </c>
      <c r="I262">
        <f>1</f>
        <v>1</v>
      </c>
    </row>
    <row r="263" spans="2:9" x14ac:dyDescent="0.25">
      <c r="B263">
        <v>0</v>
      </c>
      <c r="C263" s="16" t="s">
        <v>9654</v>
      </c>
      <c r="D263" s="16"/>
      <c r="E263">
        <v>6</v>
      </c>
      <c r="F263" t="s">
        <v>4724</v>
      </c>
      <c r="G263">
        <v>1</v>
      </c>
      <c r="H263">
        <v>1</v>
      </c>
      <c r="I263">
        <f>1</f>
        <v>1</v>
      </c>
    </row>
    <row r="264" spans="2:9" x14ac:dyDescent="0.25">
      <c r="B264">
        <v>0</v>
      </c>
      <c r="C264" s="16" t="s">
        <v>9655</v>
      </c>
      <c r="D264" s="16"/>
      <c r="E264">
        <v>6</v>
      </c>
      <c r="F264" t="s">
        <v>4725</v>
      </c>
      <c r="G264">
        <v>1</v>
      </c>
      <c r="H264">
        <v>1</v>
      </c>
      <c r="I264">
        <f>1</f>
        <v>1</v>
      </c>
    </row>
    <row r="265" spans="2:9" x14ac:dyDescent="0.25">
      <c r="B265">
        <v>0</v>
      </c>
      <c r="C265" s="16" t="s">
        <v>9656</v>
      </c>
      <c r="D265" s="16"/>
      <c r="E265">
        <v>6</v>
      </c>
      <c r="F265" t="s">
        <v>4755</v>
      </c>
      <c r="G265">
        <v>1</v>
      </c>
      <c r="H265">
        <v>1</v>
      </c>
      <c r="I265">
        <f>1</f>
        <v>1</v>
      </c>
    </row>
    <row r="266" spans="2:9" x14ac:dyDescent="0.25">
      <c r="B266">
        <v>0</v>
      </c>
      <c r="C266" s="16" t="s">
        <v>9657</v>
      </c>
      <c r="D266" s="16"/>
      <c r="E266">
        <v>6</v>
      </c>
      <c r="F266" t="s">
        <v>4726</v>
      </c>
      <c r="G266">
        <v>1</v>
      </c>
      <c r="H266">
        <v>1</v>
      </c>
      <c r="I266">
        <f>1</f>
        <v>1</v>
      </c>
    </row>
    <row r="267" spans="2:9" x14ac:dyDescent="0.25">
      <c r="B267">
        <v>0</v>
      </c>
      <c r="C267" s="16" t="s">
        <v>9658</v>
      </c>
      <c r="D267" s="16"/>
      <c r="E267">
        <v>6</v>
      </c>
      <c r="F267" t="s">
        <v>4727</v>
      </c>
      <c r="G267">
        <v>1</v>
      </c>
      <c r="H267">
        <v>1</v>
      </c>
      <c r="I267">
        <f>1</f>
        <v>1</v>
      </c>
    </row>
    <row r="268" spans="2:9" x14ac:dyDescent="0.25">
      <c r="B268">
        <v>0</v>
      </c>
      <c r="C268" s="16" t="s">
        <v>9659</v>
      </c>
      <c r="D268" s="16"/>
      <c r="E268">
        <v>6</v>
      </c>
      <c r="F268" t="s">
        <v>4756</v>
      </c>
      <c r="G268">
        <v>1</v>
      </c>
      <c r="H268">
        <v>1</v>
      </c>
      <c r="I268">
        <f>1</f>
        <v>1</v>
      </c>
    </row>
    <row r="269" spans="2:9" x14ac:dyDescent="0.25">
      <c r="B269">
        <v>0</v>
      </c>
      <c r="C269" s="16" t="s">
        <v>9660</v>
      </c>
      <c r="D269" s="16"/>
      <c r="E269">
        <v>6</v>
      </c>
      <c r="F269" t="s">
        <v>4708</v>
      </c>
      <c r="G269">
        <v>1</v>
      </c>
      <c r="H269">
        <v>1</v>
      </c>
      <c r="I269">
        <f>1</f>
        <v>1</v>
      </c>
    </row>
    <row r="270" spans="2:9" x14ac:dyDescent="0.25">
      <c r="B270">
        <v>0</v>
      </c>
      <c r="C270" s="16" t="s">
        <v>9661</v>
      </c>
      <c r="D270" s="16"/>
      <c r="E270">
        <v>6</v>
      </c>
      <c r="F270" t="s">
        <v>4729</v>
      </c>
      <c r="G270">
        <v>1</v>
      </c>
      <c r="H270">
        <v>1</v>
      </c>
      <c r="I270">
        <f>1</f>
        <v>1</v>
      </c>
    </row>
    <row r="271" spans="2:9" x14ac:dyDescent="0.25">
      <c r="B271">
        <v>0</v>
      </c>
      <c r="C271" s="16" t="s">
        <v>9662</v>
      </c>
      <c r="D271" s="16"/>
      <c r="E271">
        <v>6</v>
      </c>
      <c r="F271" t="s">
        <v>4757</v>
      </c>
      <c r="G271">
        <v>1</v>
      </c>
      <c r="H271">
        <v>1</v>
      </c>
      <c r="I271">
        <f>1</f>
        <v>1</v>
      </c>
    </row>
    <row r="272" spans="2:9" x14ac:dyDescent="0.25">
      <c r="B272">
        <v>0</v>
      </c>
      <c r="C272" s="16" t="s">
        <v>9663</v>
      </c>
      <c r="D272" s="16"/>
      <c r="E272">
        <v>6</v>
      </c>
      <c r="F272" t="s">
        <v>4730</v>
      </c>
      <c r="G272">
        <v>1</v>
      </c>
      <c r="H272">
        <v>1</v>
      </c>
      <c r="I272">
        <f>1</f>
        <v>1</v>
      </c>
    </row>
    <row r="273" spans="2:9" x14ac:dyDescent="0.25">
      <c r="B273">
        <v>0</v>
      </c>
      <c r="C273" s="16" t="s">
        <v>9664</v>
      </c>
      <c r="D273" s="16"/>
      <c r="E273">
        <v>6</v>
      </c>
      <c r="F273" t="s">
        <v>4731</v>
      </c>
      <c r="G273">
        <v>1</v>
      </c>
      <c r="H273">
        <v>1</v>
      </c>
      <c r="I273">
        <f>1</f>
        <v>1</v>
      </c>
    </row>
    <row r="274" spans="2:9" x14ac:dyDescent="0.25">
      <c r="B274">
        <v>0</v>
      </c>
      <c r="C274" s="16" t="s">
        <v>9665</v>
      </c>
      <c r="D274" s="16"/>
      <c r="E274">
        <v>6</v>
      </c>
      <c r="F274" t="s">
        <v>4732</v>
      </c>
      <c r="G274">
        <v>1</v>
      </c>
      <c r="H274">
        <v>1</v>
      </c>
      <c r="I274">
        <f>1</f>
        <v>1</v>
      </c>
    </row>
    <row r="275" spans="2:9" x14ac:dyDescent="0.25">
      <c r="B275">
        <v>0</v>
      </c>
      <c r="C275" s="16" t="s">
        <v>9666</v>
      </c>
      <c r="D275" s="16"/>
      <c r="E275">
        <v>6</v>
      </c>
      <c r="F275" t="s">
        <v>4733</v>
      </c>
      <c r="G275">
        <v>1</v>
      </c>
      <c r="H275">
        <v>1</v>
      </c>
      <c r="I275">
        <f>1</f>
        <v>1</v>
      </c>
    </row>
    <row r="276" spans="2:9" x14ac:dyDescent="0.25">
      <c r="B276">
        <v>0</v>
      </c>
      <c r="C276" s="16" t="s">
        <v>9667</v>
      </c>
      <c r="D276" s="16"/>
      <c r="E276">
        <v>6</v>
      </c>
      <c r="F276" t="s">
        <v>4734</v>
      </c>
      <c r="G276">
        <v>1</v>
      </c>
      <c r="H276">
        <v>1</v>
      </c>
      <c r="I276">
        <f>1</f>
        <v>1</v>
      </c>
    </row>
    <row r="277" spans="2:9" x14ac:dyDescent="0.25">
      <c r="B277">
        <v>0</v>
      </c>
      <c r="C277" s="16" t="s">
        <v>9668</v>
      </c>
      <c r="D277" s="16"/>
      <c r="E277">
        <v>6</v>
      </c>
      <c r="F277" t="s">
        <v>4736</v>
      </c>
      <c r="G277">
        <v>1</v>
      </c>
      <c r="H277">
        <v>1</v>
      </c>
      <c r="I277">
        <f>1</f>
        <v>1</v>
      </c>
    </row>
    <row r="278" spans="2:9" x14ac:dyDescent="0.25">
      <c r="B278">
        <v>0</v>
      </c>
      <c r="C278" s="16" t="s">
        <v>9669</v>
      </c>
      <c r="D278" s="16"/>
      <c r="E278">
        <v>6</v>
      </c>
      <c r="F278" t="s">
        <v>4714</v>
      </c>
      <c r="G278">
        <v>1</v>
      </c>
      <c r="H278">
        <v>1</v>
      </c>
      <c r="I278">
        <f>1</f>
        <v>1</v>
      </c>
    </row>
    <row r="279" spans="2:9" x14ac:dyDescent="0.25">
      <c r="B279">
        <v>0</v>
      </c>
      <c r="C279" s="16" t="s">
        <v>9670</v>
      </c>
      <c r="D279" s="16"/>
      <c r="E279">
        <v>6</v>
      </c>
      <c r="F279" t="s">
        <v>4738</v>
      </c>
      <c r="G279">
        <v>1</v>
      </c>
      <c r="H279">
        <v>1</v>
      </c>
      <c r="I279">
        <f>1</f>
        <v>1</v>
      </c>
    </row>
    <row r="280" spans="2:9" x14ac:dyDescent="0.25">
      <c r="B280">
        <v>0</v>
      </c>
      <c r="C280" s="16" t="s">
        <v>9671</v>
      </c>
      <c r="D280" s="16"/>
      <c r="E280">
        <v>6</v>
      </c>
      <c r="F280" t="s">
        <v>4739</v>
      </c>
      <c r="G280">
        <v>1</v>
      </c>
      <c r="H280">
        <v>1</v>
      </c>
      <c r="I280">
        <f>1</f>
        <v>1</v>
      </c>
    </row>
    <row r="281" spans="2:9" x14ac:dyDescent="0.25">
      <c r="B281">
        <v>0</v>
      </c>
      <c r="C281" s="16" t="s">
        <v>9672</v>
      </c>
      <c r="D281" s="16"/>
      <c r="E281">
        <v>6</v>
      </c>
      <c r="F281" t="s">
        <v>4758</v>
      </c>
      <c r="G281">
        <v>1</v>
      </c>
      <c r="H281">
        <v>1</v>
      </c>
      <c r="I281">
        <f>1</f>
        <v>1</v>
      </c>
    </row>
    <row r="282" spans="2:9" x14ac:dyDescent="0.25">
      <c r="B282">
        <v>0</v>
      </c>
      <c r="C282" s="16" t="s">
        <v>9673</v>
      </c>
      <c r="D282" s="16"/>
      <c r="E282">
        <v>6</v>
      </c>
      <c r="F282" t="s">
        <v>4741</v>
      </c>
      <c r="G282">
        <v>1</v>
      </c>
      <c r="H282">
        <v>1</v>
      </c>
      <c r="I282">
        <f>1</f>
        <v>1</v>
      </c>
    </row>
    <row r="283" spans="2:9" x14ac:dyDescent="0.25">
      <c r="B283">
        <v>0</v>
      </c>
      <c r="C283" s="16" t="s">
        <v>9674</v>
      </c>
      <c r="D283" s="16"/>
      <c r="E283">
        <v>6</v>
      </c>
      <c r="F283" t="s">
        <v>4742</v>
      </c>
      <c r="G283">
        <v>1</v>
      </c>
      <c r="H283">
        <v>1</v>
      </c>
      <c r="I283">
        <f>1</f>
        <v>1</v>
      </c>
    </row>
    <row r="284" spans="2:9" x14ac:dyDescent="0.25">
      <c r="B284">
        <v>0</v>
      </c>
      <c r="C284" s="16" t="s">
        <v>9675</v>
      </c>
      <c r="D284" s="16"/>
      <c r="E284">
        <v>6</v>
      </c>
      <c r="F284" t="s">
        <v>4680</v>
      </c>
      <c r="G284">
        <v>1</v>
      </c>
      <c r="H284">
        <v>1</v>
      </c>
      <c r="I284">
        <f>1</f>
        <v>1</v>
      </c>
    </row>
    <row r="285" spans="2:9" x14ac:dyDescent="0.25">
      <c r="B285">
        <v>0</v>
      </c>
      <c r="C285" s="16" t="s">
        <v>9676</v>
      </c>
      <c r="D285" s="16"/>
      <c r="E285">
        <v>6</v>
      </c>
      <c r="F285" t="s">
        <v>4743</v>
      </c>
      <c r="G285">
        <v>1</v>
      </c>
      <c r="H285">
        <v>1</v>
      </c>
      <c r="I285">
        <f>1</f>
        <v>1</v>
      </c>
    </row>
    <row r="286" spans="2:9" x14ac:dyDescent="0.25">
      <c r="B286">
        <v>0</v>
      </c>
      <c r="C286" s="16" t="s">
        <v>9677</v>
      </c>
      <c r="D286" s="16"/>
      <c r="E286">
        <v>6</v>
      </c>
      <c r="F286" t="e">
        <f>--Tilápias  Oreochromis spp.</f>
        <v>#NAME?</v>
      </c>
      <c r="G286">
        <v>1</v>
      </c>
      <c r="H286">
        <v>1</v>
      </c>
      <c r="I286">
        <f>1</f>
        <v>1</v>
      </c>
    </row>
    <row r="287" spans="2:9" x14ac:dyDescent="0.25">
      <c r="B287">
        <v>0</v>
      </c>
      <c r="C287" s="16" t="s">
        <v>9678</v>
      </c>
      <c r="D287" s="16"/>
      <c r="E287">
        <v>6</v>
      </c>
      <c r="F287" t="s">
        <v>4720</v>
      </c>
      <c r="G287">
        <v>1</v>
      </c>
      <c r="H287">
        <v>1</v>
      </c>
      <c r="I287">
        <f>1</f>
        <v>1</v>
      </c>
    </row>
    <row r="288" spans="2:9" x14ac:dyDescent="0.25">
      <c r="B288">
        <v>0</v>
      </c>
      <c r="C288" s="16" t="s">
        <v>9679</v>
      </c>
      <c r="D288" s="16"/>
      <c r="E288">
        <v>6</v>
      </c>
      <c r="F288" t="s">
        <v>4680</v>
      </c>
      <c r="G288">
        <v>1</v>
      </c>
      <c r="H288">
        <v>1</v>
      </c>
      <c r="I288">
        <f>1</f>
        <v>1</v>
      </c>
    </row>
    <row r="289" spans="2:9" x14ac:dyDescent="0.25">
      <c r="B289">
        <v>0</v>
      </c>
      <c r="C289" s="16" t="s">
        <v>9680</v>
      </c>
      <c r="D289" s="16"/>
      <c r="E289">
        <v>6</v>
      </c>
      <c r="F289" t="e">
        <f>--Perca-do-nilo  Lates niloticus</f>
        <v>#NAME?</v>
      </c>
      <c r="G289">
        <v>1</v>
      </c>
      <c r="H289">
        <v>1</v>
      </c>
      <c r="I289">
        <f>1</f>
        <v>1</v>
      </c>
    </row>
    <row r="290" spans="2:9" x14ac:dyDescent="0.25">
      <c r="B290">
        <v>0</v>
      </c>
      <c r="C290" s="16" t="s">
        <v>9681</v>
      </c>
      <c r="D290" s="16"/>
      <c r="E290">
        <v>6</v>
      </c>
      <c r="F290" t="e">
        <f>--outros</f>
        <v>#NAME?</v>
      </c>
      <c r="G290">
        <v>1</v>
      </c>
      <c r="H290">
        <v>1</v>
      </c>
      <c r="I290">
        <f>1</f>
        <v>1</v>
      </c>
    </row>
    <row r="291" spans="2:9" x14ac:dyDescent="0.25">
      <c r="B291">
        <v>0</v>
      </c>
      <c r="C291" s="16" t="s">
        <v>9682</v>
      </c>
      <c r="D291" s="16"/>
      <c r="E291">
        <v>6</v>
      </c>
      <c r="F291" t="s">
        <v>4759</v>
      </c>
      <c r="G291">
        <v>1</v>
      </c>
      <c r="H291">
        <v>1</v>
      </c>
      <c r="I291">
        <f>1</f>
        <v>1</v>
      </c>
    </row>
    <row r="292" spans="2:9" x14ac:dyDescent="0.25">
      <c r="B292">
        <v>0</v>
      </c>
      <c r="C292" s="16" t="s">
        <v>9683</v>
      </c>
      <c r="D292" s="16"/>
      <c r="E292">
        <v>6</v>
      </c>
      <c r="F292" t="s">
        <v>4709</v>
      </c>
      <c r="G292">
        <v>1</v>
      </c>
      <c r="H292">
        <v>1</v>
      </c>
      <c r="I292">
        <f>1</f>
        <v>1</v>
      </c>
    </row>
    <row r="293" spans="2:9" x14ac:dyDescent="0.25">
      <c r="B293">
        <v>0</v>
      </c>
      <c r="C293" s="16" t="s">
        <v>9684</v>
      </c>
      <c r="D293" s="16"/>
      <c r="E293">
        <v>6</v>
      </c>
      <c r="F293" t="s">
        <v>4760</v>
      </c>
      <c r="G293">
        <v>1</v>
      </c>
      <c r="H293">
        <v>1</v>
      </c>
      <c r="I293">
        <f>1</f>
        <v>1</v>
      </c>
    </row>
    <row r="294" spans="2:9" x14ac:dyDescent="0.25">
      <c r="B294">
        <v>0</v>
      </c>
      <c r="C294" s="16" t="s">
        <v>9685</v>
      </c>
      <c r="D294" s="16"/>
      <c r="E294">
        <v>6</v>
      </c>
      <c r="F294" t="s">
        <v>4761</v>
      </c>
      <c r="G294">
        <v>1</v>
      </c>
      <c r="H294">
        <v>1</v>
      </c>
      <c r="I294">
        <f>1</f>
        <v>1</v>
      </c>
    </row>
    <row r="295" spans="2:9" x14ac:dyDescent="0.25">
      <c r="B295">
        <v>0</v>
      </c>
      <c r="C295" s="16" t="s">
        <v>9686</v>
      </c>
      <c r="D295" s="16"/>
      <c r="E295">
        <v>6</v>
      </c>
      <c r="F295" t="e">
        <f>--Espadarte  Xiphias gladius</f>
        <v>#NAME?</v>
      </c>
      <c r="G295">
        <v>1</v>
      </c>
      <c r="H295">
        <v>1</v>
      </c>
      <c r="I295">
        <f>1</f>
        <v>1</v>
      </c>
    </row>
    <row r="296" spans="2:9" x14ac:dyDescent="0.25">
      <c r="B296">
        <v>0</v>
      </c>
      <c r="C296" s="16" t="s">
        <v>9687</v>
      </c>
      <c r="D296" s="16"/>
      <c r="E296">
        <v>6</v>
      </c>
      <c r="F296" t="e">
        <f>--Merluza negra e Merluza antártica  Dissostichus spp.</f>
        <v>#NAME?</v>
      </c>
      <c r="G296">
        <v>1</v>
      </c>
      <c r="H296">
        <v>1</v>
      </c>
      <c r="I296">
        <f>1</f>
        <v>1</v>
      </c>
    </row>
    <row r="297" spans="2:9" x14ac:dyDescent="0.25">
      <c r="B297">
        <v>0</v>
      </c>
      <c r="C297" s="16" t="s">
        <v>9688</v>
      </c>
      <c r="D297" s="16"/>
      <c r="E297">
        <v>6</v>
      </c>
      <c r="F297" t="s">
        <v>4726</v>
      </c>
      <c r="G297">
        <v>1</v>
      </c>
      <c r="H297">
        <v>1</v>
      </c>
      <c r="I297">
        <f>1</f>
        <v>1</v>
      </c>
    </row>
    <row r="298" spans="2:9" x14ac:dyDescent="0.25">
      <c r="B298">
        <v>0</v>
      </c>
      <c r="C298" s="16" t="s">
        <v>9689</v>
      </c>
      <c r="D298" s="16"/>
      <c r="E298">
        <v>6</v>
      </c>
      <c r="F298" t="s">
        <v>4727</v>
      </c>
      <c r="G298">
        <v>1</v>
      </c>
      <c r="H298">
        <v>1</v>
      </c>
      <c r="I298">
        <f>1</f>
        <v>1</v>
      </c>
    </row>
    <row r="299" spans="2:9" x14ac:dyDescent="0.25">
      <c r="B299">
        <v>0</v>
      </c>
      <c r="C299" s="16" t="s">
        <v>9690</v>
      </c>
      <c r="D299" s="16"/>
      <c r="E299">
        <v>6</v>
      </c>
      <c r="F299" t="s">
        <v>4680</v>
      </c>
      <c r="G299">
        <v>1</v>
      </c>
      <c r="H299">
        <v>1</v>
      </c>
      <c r="I299">
        <f>1</f>
        <v>1</v>
      </c>
    </row>
    <row r="300" spans="2:9" x14ac:dyDescent="0.25">
      <c r="B300">
        <v>0</v>
      </c>
      <c r="C300" s="16" t="s">
        <v>9691</v>
      </c>
      <c r="D300" s="16"/>
      <c r="E300">
        <v>6</v>
      </c>
      <c r="F300" t="s">
        <v>4762</v>
      </c>
      <c r="G300">
        <v>1</v>
      </c>
      <c r="H300">
        <v>1</v>
      </c>
      <c r="I300">
        <f>1</f>
        <v>1</v>
      </c>
    </row>
    <row r="301" spans="2:9" x14ac:dyDescent="0.25">
      <c r="B301">
        <v>0</v>
      </c>
      <c r="C301" s="16" t="s">
        <v>9692</v>
      </c>
      <c r="D301" s="16"/>
      <c r="E301">
        <v>6</v>
      </c>
      <c r="F301" t="e">
        <f>--Salmonídeos</f>
        <v>#NAME?</v>
      </c>
      <c r="G301">
        <v>1</v>
      </c>
      <c r="H301">
        <v>1</v>
      </c>
      <c r="I301">
        <f>1</f>
        <v>1</v>
      </c>
    </row>
    <row r="302" spans="2:9" x14ac:dyDescent="0.25">
      <c r="B302">
        <v>0</v>
      </c>
      <c r="C302" s="16" t="s">
        <v>9693</v>
      </c>
      <c r="D302" s="16"/>
      <c r="E302">
        <v>6</v>
      </c>
      <c r="F302" t="s">
        <v>4761</v>
      </c>
      <c r="G302">
        <v>1</v>
      </c>
      <c r="H302">
        <v>1</v>
      </c>
      <c r="I302">
        <f>1</f>
        <v>1</v>
      </c>
    </row>
    <row r="303" spans="2:9" x14ac:dyDescent="0.25">
      <c r="B303">
        <v>0</v>
      </c>
      <c r="C303" s="16" t="s">
        <v>9694</v>
      </c>
      <c r="D303" s="16"/>
      <c r="E303">
        <v>6</v>
      </c>
      <c r="F303" t="e">
        <f>--Espadarte  Xiphias gladius</f>
        <v>#NAME?</v>
      </c>
      <c r="G303">
        <v>1</v>
      </c>
      <c r="H303">
        <v>1</v>
      </c>
      <c r="I303">
        <f>1</f>
        <v>1</v>
      </c>
    </row>
    <row r="304" spans="2:9" x14ac:dyDescent="0.25">
      <c r="B304">
        <v>0</v>
      </c>
      <c r="C304" s="16" t="s">
        <v>9695</v>
      </c>
      <c r="D304" s="16"/>
      <c r="E304">
        <v>6</v>
      </c>
      <c r="F304" t="e">
        <f>--Merluza negra e Merluza antártica  Dissostichus spp.</f>
        <v>#NAME?</v>
      </c>
      <c r="G304">
        <v>1</v>
      </c>
      <c r="H304">
        <v>1</v>
      </c>
      <c r="I304">
        <f>1</f>
        <v>1</v>
      </c>
    </row>
    <row r="305" spans="2:9" x14ac:dyDescent="0.25">
      <c r="B305">
        <v>0</v>
      </c>
      <c r="C305" s="16" t="s">
        <v>9696</v>
      </c>
      <c r="D305" s="16"/>
      <c r="E305">
        <v>6</v>
      </c>
      <c r="F305" t="e">
        <f>--outros</f>
        <v>#NAME?</v>
      </c>
      <c r="G305">
        <v>1</v>
      </c>
      <c r="H305">
        <v>1</v>
      </c>
      <c r="I305">
        <f>1</f>
        <v>1</v>
      </c>
    </row>
    <row r="306" spans="2:9" x14ac:dyDescent="0.25">
      <c r="B306">
        <v>0</v>
      </c>
      <c r="C306" s="16" t="s">
        <v>9697</v>
      </c>
      <c r="D306" s="16"/>
      <c r="E306">
        <v>6</v>
      </c>
      <c r="F306" t="e">
        <f>--Tilápias  Oreochromis spp.</f>
        <v>#NAME?</v>
      </c>
      <c r="G306">
        <v>1</v>
      </c>
      <c r="H306">
        <v>1</v>
      </c>
      <c r="I306">
        <f>1</f>
        <v>1</v>
      </c>
    </row>
    <row r="307" spans="2:9" x14ac:dyDescent="0.25">
      <c r="B307">
        <v>0</v>
      </c>
      <c r="C307" s="16" t="s">
        <v>9698</v>
      </c>
      <c r="D307" s="16"/>
      <c r="E307">
        <v>6</v>
      </c>
      <c r="F307" t="s">
        <v>4720</v>
      </c>
      <c r="G307">
        <v>1</v>
      </c>
      <c r="H307">
        <v>1</v>
      </c>
      <c r="I307">
        <f>1</f>
        <v>1</v>
      </c>
    </row>
    <row r="308" spans="2:9" x14ac:dyDescent="0.25">
      <c r="B308">
        <v>0</v>
      </c>
      <c r="C308" s="16" t="s">
        <v>9699</v>
      </c>
      <c r="D308" s="16"/>
      <c r="E308">
        <v>6</v>
      </c>
      <c r="F308" t="s">
        <v>4680</v>
      </c>
      <c r="G308">
        <v>1</v>
      </c>
      <c r="H308">
        <v>1</v>
      </c>
      <c r="I308">
        <f>1</f>
        <v>1</v>
      </c>
    </row>
    <row r="309" spans="2:9" x14ac:dyDescent="0.25">
      <c r="B309">
        <v>0</v>
      </c>
      <c r="C309" s="16" t="s">
        <v>9700</v>
      </c>
      <c r="D309" s="16"/>
      <c r="E309">
        <v>6</v>
      </c>
      <c r="F309" t="e">
        <f>--Perca-do-nilo  Lates niloticus</f>
        <v>#NAME?</v>
      </c>
      <c r="G309">
        <v>1</v>
      </c>
      <c r="H309">
        <v>1</v>
      </c>
      <c r="I309">
        <f>1</f>
        <v>1</v>
      </c>
    </row>
    <row r="310" spans="2:9" x14ac:dyDescent="0.25">
      <c r="B310">
        <v>0</v>
      </c>
      <c r="C310" s="16" t="s">
        <v>9701</v>
      </c>
      <c r="D310" s="16"/>
      <c r="E310">
        <v>6</v>
      </c>
      <c r="F310" t="e">
        <f>--outros</f>
        <v>#NAME?</v>
      </c>
      <c r="G310">
        <v>1</v>
      </c>
      <c r="H310">
        <v>1</v>
      </c>
      <c r="I310">
        <f>1</f>
        <v>1</v>
      </c>
    </row>
    <row r="311" spans="2:9" x14ac:dyDescent="0.25">
      <c r="B311">
        <v>0</v>
      </c>
      <c r="C311" s="16" t="s">
        <v>9702</v>
      </c>
      <c r="D311" s="16"/>
      <c r="E311">
        <v>6</v>
      </c>
      <c r="F311" t="s">
        <v>4717</v>
      </c>
      <c r="G311">
        <v>1</v>
      </c>
      <c r="H311">
        <v>1</v>
      </c>
      <c r="I311">
        <f>1</f>
        <v>1</v>
      </c>
    </row>
    <row r="312" spans="2:9" x14ac:dyDescent="0.25">
      <c r="B312">
        <v>0</v>
      </c>
      <c r="C312" s="16" t="s">
        <v>9703</v>
      </c>
      <c r="D312" s="16"/>
      <c r="E312">
        <v>6</v>
      </c>
      <c r="F312" t="e">
        <f>--Haddock ou lubina  Melanogrammus aeglefinus</f>
        <v>#NAME?</v>
      </c>
      <c r="G312">
        <v>1</v>
      </c>
      <c r="H312">
        <v>1</v>
      </c>
      <c r="I312">
        <f>1</f>
        <v>1</v>
      </c>
    </row>
    <row r="313" spans="2:9" x14ac:dyDescent="0.25">
      <c r="B313">
        <v>0</v>
      </c>
      <c r="C313" s="16" t="s">
        <v>9704</v>
      </c>
      <c r="D313" s="16"/>
      <c r="E313">
        <v>6</v>
      </c>
      <c r="F313" t="e">
        <f>--Saithe  Pollachius virens</f>
        <v>#NAME?</v>
      </c>
      <c r="G313">
        <v>1</v>
      </c>
      <c r="H313">
        <v>1</v>
      </c>
      <c r="I313">
        <f>1</f>
        <v>1</v>
      </c>
    </row>
    <row r="314" spans="2:9" x14ac:dyDescent="0.25">
      <c r="B314">
        <v>0</v>
      </c>
      <c r="C314" s="16" t="s">
        <v>9705</v>
      </c>
      <c r="D314" s="16"/>
      <c r="E314">
        <v>6</v>
      </c>
      <c r="F314" t="s">
        <v>4718</v>
      </c>
      <c r="G314">
        <v>1</v>
      </c>
      <c r="H314">
        <v>1</v>
      </c>
      <c r="I314">
        <f>1</f>
        <v>1</v>
      </c>
    </row>
    <row r="315" spans="2:9" x14ac:dyDescent="0.25">
      <c r="B315">
        <v>0</v>
      </c>
      <c r="C315" s="16" t="s">
        <v>9706</v>
      </c>
      <c r="D315" s="16"/>
      <c r="E315">
        <v>6</v>
      </c>
      <c r="F315" t="e">
        <f>--Merluza-do-alasca  Theragra chalcogramma</f>
        <v>#NAME?</v>
      </c>
      <c r="G315">
        <v>1</v>
      </c>
      <c r="H315">
        <v>1</v>
      </c>
      <c r="I315">
        <f>1</f>
        <v>1</v>
      </c>
    </row>
    <row r="316" spans="2:9" x14ac:dyDescent="0.25">
      <c r="B316">
        <v>0</v>
      </c>
      <c r="C316" s="16" t="s">
        <v>9707</v>
      </c>
      <c r="D316" s="16"/>
      <c r="E316">
        <v>6</v>
      </c>
      <c r="F316" t="e">
        <f>--outros</f>
        <v>#NAME?</v>
      </c>
      <c r="G316">
        <v>1</v>
      </c>
      <c r="H316">
        <v>1</v>
      </c>
      <c r="I316">
        <f>1</f>
        <v>1</v>
      </c>
    </row>
    <row r="317" spans="2:9" x14ac:dyDescent="0.25">
      <c r="B317">
        <v>0</v>
      </c>
      <c r="C317" s="16" t="s">
        <v>9708</v>
      </c>
      <c r="D317" s="16"/>
      <c r="E317">
        <v>6</v>
      </c>
      <c r="F317" t="s">
        <v>4759</v>
      </c>
      <c r="G317">
        <v>1</v>
      </c>
      <c r="H317">
        <v>1</v>
      </c>
      <c r="I317">
        <f>1</f>
        <v>1</v>
      </c>
    </row>
    <row r="318" spans="2:9" x14ac:dyDescent="0.25">
      <c r="B318">
        <v>0</v>
      </c>
      <c r="C318" s="16" t="s">
        <v>9709</v>
      </c>
      <c r="D318" s="16"/>
      <c r="E318">
        <v>6</v>
      </c>
      <c r="F318" t="s">
        <v>4709</v>
      </c>
      <c r="G318">
        <v>1</v>
      </c>
      <c r="H318">
        <v>1</v>
      </c>
      <c r="I318">
        <f>1</f>
        <v>1</v>
      </c>
    </row>
    <row r="319" spans="2:9" x14ac:dyDescent="0.25">
      <c r="B319">
        <v>0</v>
      </c>
      <c r="C319" s="16" t="s">
        <v>9710</v>
      </c>
      <c r="D319" s="16"/>
      <c r="E319">
        <v>6</v>
      </c>
      <c r="F319" t="s">
        <v>4760</v>
      </c>
      <c r="G319">
        <v>1</v>
      </c>
      <c r="H319">
        <v>1</v>
      </c>
      <c r="I319">
        <f>1</f>
        <v>1</v>
      </c>
    </row>
    <row r="320" spans="2:9" x14ac:dyDescent="0.25">
      <c r="B320">
        <v>0</v>
      </c>
      <c r="C320" s="16" t="s">
        <v>9711</v>
      </c>
      <c r="D320" s="16"/>
      <c r="E320">
        <v>6</v>
      </c>
      <c r="F320" t="e">
        <f>--Espadarte  Xiphias gladius</f>
        <v>#NAME?</v>
      </c>
      <c r="G320">
        <v>1</v>
      </c>
      <c r="H320">
        <v>1</v>
      </c>
      <c r="I320">
        <f>1</f>
        <v>1</v>
      </c>
    </row>
    <row r="321" spans="2:9" x14ac:dyDescent="0.25">
      <c r="B321">
        <v>0</v>
      </c>
      <c r="C321" s="16" t="s">
        <v>9712</v>
      </c>
      <c r="D321" s="16"/>
      <c r="E321">
        <v>6</v>
      </c>
      <c r="F321" t="s">
        <v>4722</v>
      </c>
      <c r="G321">
        <v>1</v>
      </c>
      <c r="H321">
        <v>1</v>
      </c>
      <c r="I321">
        <f>1</f>
        <v>1</v>
      </c>
    </row>
    <row r="322" spans="2:9" x14ac:dyDescent="0.25">
      <c r="B322">
        <v>0</v>
      </c>
      <c r="C322" s="16" t="s">
        <v>9713</v>
      </c>
      <c r="D322" s="16"/>
      <c r="E322">
        <v>6</v>
      </c>
      <c r="F322" t="s">
        <v>4723</v>
      </c>
      <c r="G322">
        <v>1</v>
      </c>
      <c r="H322">
        <v>1</v>
      </c>
      <c r="I322">
        <f>1</f>
        <v>1</v>
      </c>
    </row>
    <row r="323" spans="2:9" x14ac:dyDescent="0.25">
      <c r="B323">
        <v>0</v>
      </c>
      <c r="C323" s="16" t="s">
        <v>9714</v>
      </c>
      <c r="D323" s="16"/>
      <c r="E323">
        <v>6</v>
      </c>
      <c r="F323" t="s">
        <v>4713</v>
      </c>
      <c r="G323">
        <v>1</v>
      </c>
      <c r="H323">
        <v>1</v>
      </c>
      <c r="I323">
        <f>1</f>
        <v>1</v>
      </c>
    </row>
    <row r="324" spans="2:9" x14ac:dyDescent="0.25">
      <c r="B324">
        <v>0</v>
      </c>
      <c r="C324" s="16" t="s">
        <v>9715</v>
      </c>
      <c r="D324" s="16"/>
      <c r="E324">
        <v>6</v>
      </c>
      <c r="F324" t="s">
        <v>4763</v>
      </c>
      <c r="G324">
        <v>1</v>
      </c>
      <c r="H324">
        <v>1</v>
      </c>
      <c r="I324">
        <f>1</f>
        <v>1</v>
      </c>
    </row>
    <row r="325" spans="2:9" x14ac:dyDescent="0.25">
      <c r="B325">
        <v>0</v>
      </c>
      <c r="C325" s="16" t="s">
        <v>9716</v>
      </c>
      <c r="D325" s="16"/>
      <c r="E325">
        <v>6</v>
      </c>
      <c r="F325" t="s">
        <v>4725</v>
      </c>
      <c r="G325">
        <v>1</v>
      </c>
      <c r="H325">
        <v>1</v>
      </c>
      <c r="I325">
        <f>1</f>
        <v>1</v>
      </c>
    </row>
    <row r="326" spans="2:9" x14ac:dyDescent="0.25">
      <c r="B326">
        <v>0</v>
      </c>
      <c r="C326" s="16" t="s">
        <v>9717</v>
      </c>
      <c r="D326" s="16"/>
      <c r="E326">
        <v>6</v>
      </c>
      <c r="F326" t="s">
        <v>4726</v>
      </c>
      <c r="G326">
        <v>1</v>
      </c>
      <c r="H326">
        <v>1</v>
      </c>
      <c r="I326">
        <f>1</f>
        <v>1</v>
      </c>
    </row>
    <row r="327" spans="2:9" x14ac:dyDescent="0.25">
      <c r="B327">
        <v>0</v>
      </c>
      <c r="C327" s="16" t="s">
        <v>9718</v>
      </c>
      <c r="D327" s="16"/>
      <c r="E327">
        <v>6</v>
      </c>
      <c r="F327" t="s">
        <v>4727</v>
      </c>
      <c r="G327">
        <v>1</v>
      </c>
      <c r="H327">
        <v>1</v>
      </c>
      <c r="I327">
        <f>1</f>
        <v>1</v>
      </c>
    </row>
    <row r="328" spans="2:9" x14ac:dyDescent="0.25">
      <c r="B328">
        <v>0</v>
      </c>
      <c r="C328" s="16" t="s">
        <v>9719</v>
      </c>
      <c r="D328" s="16"/>
      <c r="E328">
        <v>6</v>
      </c>
      <c r="F328" t="s">
        <v>4764</v>
      </c>
      <c r="G328">
        <v>1</v>
      </c>
      <c r="H328">
        <v>1</v>
      </c>
      <c r="I328">
        <f>1</f>
        <v>1</v>
      </c>
    </row>
    <row r="329" spans="2:9" x14ac:dyDescent="0.25">
      <c r="B329">
        <v>0</v>
      </c>
      <c r="C329" s="16" t="s">
        <v>9720</v>
      </c>
      <c r="D329" s="16"/>
      <c r="E329">
        <v>6</v>
      </c>
      <c r="F329" t="s">
        <v>4680</v>
      </c>
      <c r="G329">
        <v>1</v>
      </c>
      <c r="H329">
        <v>1</v>
      </c>
      <c r="I329">
        <f>1</f>
        <v>1</v>
      </c>
    </row>
    <row r="330" spans="2:9" x14ac:dyDescent="0.25">
      <c r="B330">
        <v>0</v>
      </c>
      <c r="C330" s="16" t="s">
        <v>9721</v>
      </c>
      <c r="D330" s="16"/>
      <c r="E330">
        <v>6</v>
      </c>
      <c r="F330" t="e">
        <f>--Espadarte  Xiphias gladius</f>
        <v>#NAME?</v>
      </c>
      <c r="G330">
        <v>1</v>
      </c>
      <c r="H330">
        <v>1</v>
      </c>
      <c r="I330">
        <f>1</f>
        <v>1</v>
      </c>
    </row>
    <row r="331" spans="2:9" x14ac:dyDescent="0.25">
      <c r="B331">
        <v>0</v>
      </c>
      <c r="C331" s="16" t="s">
        <v>9722</v>
      </c>
      <c r="D331" s="16"/>
      <c r="E331">
        <v>6</v>
      </c>
      <c r="F331" t="s">
        <v>4765</v>
      </c>
      <c r="G331">
        <v>1</v>
      </c>
      <c r="H331">
        <v>1</v>
      </c>
      <c r="I331">
        <f>1</f>
        <v>1</v>
      </c>
    </row>
    <row r="332" spans="2:9" x14ac:dyDescent="0.25">
      <c r="B332">
        <v>0</v>
      </c>
      <c r="C332" s="16" t="s">
        <v>9723</v>
      </c>
      <c r="D332" s="16"/>
      <c r="E332">
        <v>6</v>
      </c>
      <c r="F332" t="s">
        <v>4766</v>
      </c>
      <c r="G332">
        <v>1</v>
      </c>
      <c r="H332">
        <v>1</v>
      </c>
      <c r="I332">
        <f>1</f>
        <v>1</v>
      </c>
    </row>
    <row r="333" spans="2:9" x14ac:dyDescent="0.25">
      <c r="B333">
        <v>0</v>
      </c>
      <c r="C333" s="16" t="s">
        <v>9724</v>
      </c>
      <c r="D333" s="16"/>
      <c r="E333">
        <v>6</v>
      </c>
      <c r="F333" t="s">
        <v>4680</v>
      </c>
      <c r="G333">
        <v>1</v>
      </c>
      <c r="H333">
        <v>1</v>
      </c>
      <c r="I333">
        <f>1</f>
        <v>1</v>
      </c>
    </row>
    <row r="334" spans="2:9" x14ac:dyDescent="0.25">
      <c r="B334">
        <v>0</v>
      </c>
      <c r="C334" s="16" t="s">
        <v>9725</v>
      </c>
      <c r="D334" s="16"/>
      <c r="E334">
        <v>6</v>
      </c>
      <c r="F334" t="s">
        <v>4765</v>
      </c>
      <c r="G334">
        <v>1</v>
      </c>
      <c r="H334">
        <v>1</v>
      </c>
      <c r="I334">
        <f>1</f>
        <v>1</v>
      </c>
    </row>
    <row r="335" spans="2:9" x14ac:dyDescent="0.25">
      <c r="B335">
        <v>0</v>
      </c>
      <c r="C335" s="16" t="s">
        <v>9726</v>
      </c>
      <c r="D335" s="16"/>
      <c r="E335">
        <v>6</v>
      </c>
      <c r="F335" t="s">
        <v>4766</v>
      </c>
      <c r="G335">
        <v>1</v>
      </c>
      <c r="H335">
        <v>1</v>
      </c>
      <c r="I335">
        <f>1</f>
        <v>1</v>
      </c>
    </row>
    <row r="336" spans="2:9" x14ac:dyDescent="0.25">
      <c r="B336">
        <v>0</v>
      </c>
      <c r="C336" s="16" t="s">
        <v>9727</v>
      </c>
      <c r="D336" s="16"/>
      <c r="E336">
        <v>6</v>
      </c>
      <c r="F336" t="s">
        <v>4680</v>
      </c>
      <c r="G336">
        <v>1</v>
      </c>
      <c r="H336">
        <v>1</v>
      </c>
      <c r="I336">
        <f>1</f>
        <v>1</v>
      </c>
    </row>
    <row r="337" spans="2:9" x14ac:dyDescent="0.25">
      <c r="B337">
        <v>0</v>
      </c>
      <c r="C337" s="16" t="s">
        <v>9728</v>
      </c>
      <c r="D337" s="16"/>
      <c r="E337">
        <v>6</v>
      </c>
      <c r="F337" t="s">
        <v>4762</v>
      </c>
      <c r="G337">
        <v>1</v>
      </c>
      <c r="H337">
        <v>1</v>
      </c>
      <c r="I337">
        <f>1</f>
        <v>1</v>
      </c>
    </row>
    <row r="338" spans="2:9" x14ac:dyDescent="0.25">
      <c r="B338">
        <v>0</v>
      </c>
      <c r="C338" s="16" t="s">
        <v>9729</v>
      </c>
      <c r="D338" s="16"/>
      <c r="E338">
        <v>6</v>
      </c>
      <c r="F338" t="e">
        <f>--Merluza-do-alasca  Theragra chalcogramma</f>
        <v>#NAME?</v>
      </c>
      <c r="G338">
        <v>1</v>
      </c>
      <c r="H338">
        <v>1</v>
      </c>
      <c r="I338">
        <f>1</f>
        <v>1</v>
      </c>
    </row>
    <row r="339" spans="2:9" x14ac:dyDescent="0.25">
      <c r="B339">
        <v>0</v>
      </c>
      <c r="C339" s="16" t="s">
        <v>9730</v>
      </c>
      <c r="D339" s="16"/>
      <c r="E339">
        <v>6</v>
      </c>
      <c r="F339" t="s">
        <v>4767</v>
      </c>
      <c r="G339">
        <v>1</v>
      </c>
      <c r="H339">
        <v>1</v>
      </c>
      <c r="I339">
        <f>1</f>
        <v>1</v>
      </c>
    </row>
    <row r="340" spans="2:9" x14ac:dyDescent="0.25">
      <c r="B340">
        <v>0</v>
      </c>
      <c r="C340" s="16" t="s">
        <v>9731</v>
      </c>
      <c r="D340" s="16"/>
      <c r="E340">
        <v>6</v>
      </c>
      <c r="F340" t="e">
        <f>--outros</f>
        <v>#NAME?</v>
      </c>
      <c r="G340">
        <v>1</v>
      </c>
      <c r="H340">
        <v>1</v>
      </c>
      <c r="I340">
        <f>1</f>
        <v>1</v>
      </c>
    </row>
    <row r="341" spans="2:9" x14ac:dyDescent="0.25">
      <c r="B341">
        <v>0</v>
      </c>
      <c r="C341" s="16" t="s">
        <v>9732</v>
      </c>
      <c r="D341" s="16"/>
      <c r="E341">
        <v>6</v>
      </c>
      <c r="F341" t="s">
        <v>4768</v>
      </c>
      <c r="G341">
        <v>1</v>
      </c>
      <c r="H341">
        <v>1</v>
      </c>
      <c r="I341">
        <f>1</f>
        <v>1</v>
      </c>
    </row>
    <row r="342" spans="2:9" x14ac:dyDescent="0.25">
      <c r="B342">
        <v>0</v>
      </c>
      <c r="C342" s="16" t="s">
        <v>9733</v>
      </c>
      <c r="D342" s="16"/>
      <c r="E342">
        <v>6</v>
      </c>
      <c r="F342" t="s">
        <v>4769</v>
      </c>
      <c r="G342">
        <v>1</v>
      </c>
      <c r="H342">
        <v>1</v>
      </c>
      <c r="I342">
        <f>1</f>
        <v>1</v>
      </c>
    </row>
    <row r="343" spans="2:9" x14ac:dyDescent="0.25">
      <c r="B343">
        <v>0</v>
      </c>
      <c r="C343" s="16" t="s">
        <v>9734</v>
      </c>
      <c r="D343" s="16"/>
      <c r="E343">
        <v>6</v>
      </c>
      <c r="F343" t="s">
        <v>4762</v>
      </c>
      <c r="G343">
        <v>1</v>
      </c>
      <c r="H343">
        <v>1</v>
      </c>
      <c r="I343">
        <f>1</f>
        <v>1</v>
      </c>
    </row>
    <row r="344" spans="2:9" x14ac:dyDescent="0.25">
      <c r="B344">
        <v>0</v>
      </c>
      <c r="C344" s="16" t="s">
        <v>9735</v>
      </c>
      <c r="D344" s="16"/>
      <c r="E344">
        <v>6</v>
      </c>
      <c r="F344" t="s">
        <v>4770</v>
      </c>
      <c r="G344">
        <v>1</v>
      </c>
      <c r="H344">
        <v>1</v>
      </c>
      <c r="I344">
        <f>1</f>
        <v>1</v>
      </c>
    </row>
    <row r="345" spans="2:9" x14ac:dyDescent="0.25">
      <c r="B345">
        <v>0</v>
      </c>
      <c r="C345" s="16" t="s">
        <v>9736</v>
      </c>
      <c r="D345" s="16"/>
      <c r="E345">
        <v>6</v>
      </c>
      <c r="F345" t="s">
        <v>4771</v>
      </c>
      <c r="G345">
        <v>1</v>
      </c>
      <c r="H345">
        <v>1</v>
      </c>
      <c r="I345">
        <f>1</f>
        <v>1</v>
      </c>
    </row>
    <row r="346" spans="2:9" x14ac:dyDescent="0.25">
      <c r="B346">
        <v>0</v>
      </c>
      <c r="C346" s="16" t="s">
        <v>9737</v>
      </c>
      <c r="D346" s="16"/>
      <c r="E346">
        <v>6</v>
      </c>
      <c r="F346" t="s">
        <v>4680</v>
      </c>
      <c r="G346">
        <v>1</v>
      </c>
      <c r="H346">
        <v>1</v>
      </c>
      <c r="I346">
        <f>1</f>
        <v>1</v>
      </c>
    </row>
    <row r="347" spans="2:9" x14ac:dyDescent="0.25">
      <c r="B347">
        <v>0</v>
      </c>
      <c r="C347" s="16" t="s">
        <v>9738</v>
      </c>
      <c r="D347" s="16"/>
      <c r="E347">
        <v>6</v>
      </c>
      <c r="F347" t="s">
        <v>4772</v>
      </c>
      <c r="G347">
        <v>1</v>
      </c>
      <c r="H347">
        <v>1</v>
      </c>
      <c r="I347">
        <f>1</f>
        <v>1</v>
      </c>
    </row>
    <row r="348" spans="2:9" x14ac:dyDescent="0.25">
      <c r="B348">
        <v>0</v>
      </c>
      <c r="C348" s="16" t="s">
        <v>9739</v>
      </c>
      <c r="D348" s="16"/>
      <c r="E348">
        <v>6</v>
      </c>
      <c r="F348" t="s">
        <v>4680</v>
      </c>
      <c r="G348">
        <v>1</v>
      </c>
      <c r="H348">
        <v>1</v>
      </c>
      <c r="I348">
        <f>1</f>
        <v>1</v>
      </c>
    </row>
    <row r="349" spans="2:9" x14ac:dyDescent="0.25">
      <c r="B349">
        <v>0</v>
      </c>
      <c r="C349" s="16" t="s">
        <v>9740</v>
      </c>
      <c r="D349" s="16"/>
      <c r="E349">
        <v>6</v>
      </c>
      <c r="F349" t="s">
        <v>4713</v>
      </c>
      <c r="G349">
        <v>1</v>
      </c>
      <c r="H349">
        <v>1</v>
      </c>
      <c r="I349">
        <f>1</f>
        <v>1</v>
      </c>
    </row>
    <row r="350" spans="2:9" x14ac:dyDescent="0.25">
      <c r="B350">
        <v>0</v>
      </c>
      <c r="C350" s="16" t="s">
        <v>9741</v>
      </c>
      <c r="D350" s="16"/>
      <c r="E350">
        <v>6</v>
      </c>
      <c r="F350" t="s">
        <v>4709</v>
      </c>
      <c r="G350">
        <v>1</v>
      </c>
      <c r="H350">
        <v>1</v>
      </c>
      <c r="I350">
        <f>1</f>
        <v>1</v>
      </c>
    </row>
    <row r="351" spans="2:9" x14ac:dyDescent="0.25">
      <c r="B351">
        <v>0</v>
      </c>
      <c r="C351" s="16" t="s">
        <v>9742</v>
      </c>
      <c r="D351" s="16"/>
      <c r="E351">
        <v>6</v>
      </c>
      <c r="F351" t="s">
        <v>4759</v>
      </c>
      <c r="G351">
        <v>1</v>
      </c>
      <c r="H351">
        <v>1</v>
      </c>
      <c r="I351">
        <f>1</f>
        <v>1</v>
      </c>
    </row>
    <row r="352" spans="2:9" x14ac:dyDescent="0.25">
      <c r="B352">
        <v>0</v>
      </c>
      <c r="C352" s="16" t="s">
        <v>9743</v>
      </c>
      <c r="D352" s="16"/>
      <c r="E352">
        <v>6</v>
      </c>
      <c r="F352" t="s">
        <v>4762</v>
      </c>
      <c r="G352">
        <v>1</v>
      </c>
      <c r="H352">
        <v>1</v>
      </c>
      <c r="I352">
        <f>1</f>
        <v>1</v>
      </c>
    </row>
    <row r="353" spans="2:9" x14ac:dyDescent="0.25">
      <c r="B353">
        <v>0</v>
      </c>
      <c r="C353" s="16" t="s">
        <v>9744</v>
      </c>
      <c r="D353" s="16"/>
      <c r="E353">
        <v>6</v>
      </c>
      <c r="F353" t="s">
        <v>4770</v>
      </c>
      <c r="G353">
        <v>1</v>
      </c>
      <c r="H353">
        <v>1</v>
      </c>
      <c r="I353">
        <f>1</f>
        <v>1</v>
      </c>
    </row>
    <row r="354" spans="2:9" x14ac:dyDescent="0.25">
      <c r="B354">
        <v>0</v>
      </c>
      <c r="C354" s="16" t="s">
        <v>9745</v>
      </c>
      <c r="D354" s="16"/>
      <c r="E354">
        <v>6</v>
      </c>
      <c r="F354" t="s">
        <v>4773</v>
      </c>
      <c r="G354">
        <v>1</v>
      </c>
      <c r="H354">
        <v>1</v>
      </c>
      <c r="I354">
        <f>1</f>
        <v>1</v>
      </c>
    </row>
    <row r="355" spans="2:9" x14ac:dyDescent="0.25">
      <c r="B355">
        <v>0</v>
      </c>
      <c r="C355" s="16" t="s">
        <v>9746</v>
      </c>
      <c r="D355" s="16"/>
      <c r="E355">
        <v>6</v>
      </c>
      <c r="F355" t="s">
        <v>4680</v>
      </c>
      <c r="G355">
        <v>1</v>
      </c>
      <c r="H355">
        <v>1</v>
      </c>
      <c r="I355">
        <f>1</f>
        <v>1</v>
      </c>
    </row>
    <row r="356" spans="2:9" x14ac:dyDescent="0.25">
      <c r="B356">
        <v>0</v>
      </c>
      <c r="C356" s="16" t="s">
        <v>9747</v>
      </c>
      <c r="D356" s="16"/>
      <c r="E356">
        <v>6</v>
      </c>
      <c r="F356" t="s">
        <v>4717</v>
      </c>
      <c r="G356">
        <v>1</v>
      </c>
      <c r="H356">
        <v>1</v>
      </c>
      <c r="I356">
        <f>1</f>
        <v>1</v>
      </c>
    </row>
    <row r="357" spans="2:9" x14ac:dyDescent="0.25">
      <c r="B357">
        <v>0</v>
      </c>
      <c r="C357" s="16" t="s">
        <v>9748</v>
      </c>
      <c r="D357" s="16"/>
      <c r="E357">
        <v>6</v>
      </c>
      <c r="F357" t="s">
        <v>4774</v>
      </c>
      <c r="G357">
        <v>1</v>
      </c>
      <c r="H357">
        <v>1</v>
      </c>
      <c r="I357">
        <f>1</f>
        <v>1</v>
      </c>
    </row>
    <row r="358" spans="2:9" x14ac:dyDescent="0.25">
      <c r="B358">
        <v>0</v>
      </c>
      <c r="C358" s="16" t="s">
        <v>9749</v>
      </c>
      <c r="D358" s="16"/>
      <c r="E358">
        <v>6</v>
      </c>
      <c r="F358" t="s">
        <v>4680</v>
      </c>
      <c r="G358">
        <v>1</v>
      </c>
      <c r="H358">
        <v>1</v>
      </c>
      <c r="I358">
        <f>1</f>
        <v>1</v>
      </c>
    </row>
    <row r="359" spans="2:9" x14ac:dyDescent="0.25">
      <c r="B359">
        <v>0</v>
      </c>
      <c r="C359" s="16" t="s">
        <v>9750</v>
      </c>
      <c r="D359" s="16"/>
      <c r="E359">
        <v>6</v>
      </c>
      <c r="F359" t="s">
        <v>4713</v>
      </c>
      <c r="G359">
        <v>1</v>
      </c>
      <c r="H359">
        <v>1</v>
      </c>
      <c r="I359">
        <f>1</f>
        <v>1</v>
      </c>
    </row>
    <row r="360" spans="2:9" x14ac:dyDescent="0.25">
      <c r="B360">
        <v>0</v>
      </c>
      <c r="C360" s="16" t="s">
        <v>9751</v>
      </c>
      <c r="D360" s="16"/>
      <c r="E360">
        <v>6</v>
      </c>
      <c r="F360" t="s">
        <v>4717</v>
      </c>
      <c r="G360">
        <v>1</v>
      </c>
      <c r="H360">
        <v>1</v>
      </c>
      <c r="I360">
        <f>1</f>
        <v>1</v>
      </c>
    </row>
    <row r="361" spans="2:9" x14ac:dyDescent="0.25">
      <c r="B361">
        <v>0</v>
      </c>
      <c r="C361" s="16" t="s">
        <v>9752</v>
      </c>
      <c r="D361" s="16"/>
      <c r="E361">
        <v>6</v>
      </c>
      <c r="F361" t="e">
        <f>--Anchovas  Engraulis spp.</f>
        <v>#NAME?</v>
      </c>
      <c r="G361">
        <v>1</v>
      </c>
      <c r="H361">
        <v>1</v>
      </c>
      <c r="I361">
        <f>1</f>
        <v>1</v>
      </c>
    </row>
    <row r="362" spans="2:9" x14ac:dyDescent="0.25">
      <c r="B362">
        <v>0</v>
      </c>
      <c r="C362" s="16" t="s">
        <v>9753</v>
      </c>
      <c r="D362" s="16"/>
      <c r="E362">
        <v>6</v>
      </c>
      <c r="F362" t="s">
        <v>4762</v>
      </c>
      <c r="G362">
        <v>1</v>
      </c>
      <c r="H362">
        <v>1</v>
      </c>
      <c r="I362">
        <f>1</f>
        <v>1</v>
      </c>
    </row>
    <row r="363" spans="2:9" x14ac:dyDescent="0.25">
      <c r="B363">
        <v>0</v>
      </c>
      <c r="C363" s="16" t="s">
        <v>9754</v>
      </c>
      <c r="D363" s="16"/>
      <c r="E363">
        <v>6</v>
      </c>
      <c r="F363" t="s">
        <v>4773</v>
      </c>
      <c r="G363">
        <v>1</v>
      </c>
      <c r="H363">
        <v>1</v>
      </c>
      <c r="I363">
        <f>1</f>
        <v>1</v>
      </c>
    </row>
    <row r="364" spans="2:9" x14ac:dyDescent="0.25">
      <c r="B364">
        <v>0</v>
      </c>
      <c r="C364" s="16" t="s">
        <v>9755</v>
      </c>
      <c r="D364" s="16"/>
      <c r="E364">
        <v>6</v>
      </c>
      <c r="F364" t="s">
        <v>4680</v>
      </c>
      <c r="G364">
        <v>1</v>
      </c>
      <c r="H364">
        <v>1</v>
      </c>
      <c r="I364">
        <f>1</f>
        <v>1</v>
      </c>
    </row>
    <row r="365" spans="2:9" x14ac:dyDescent="0.25">
      <c r="B365">
        <v>0</v>
      </c>
      <c r="C365" s="16" t="s">
        <v>9756</v>
      </c>
      <c r="D365" s="16"/>
      <c r="E365">
        <v>6</v>
      </c>
      <c r="F365" t="e">
        <f>--Barbatanas De tubarão</f>
        <v>#NAME?</v>
      </c>
      <c r="G365">
        <v>1</v>
      </c>
      <c r="H365">
        <v>1</v>
      </c>
      <c r="I365">
        <f>1</f>
        <v>1</v>
      </c>
    </row>
    <row r="366" spans="2:9" x14ac:dyDescent="0.25">
      <c r="B366">
        <v>0</v>
      </c>
      <c r="C366" s="16" t="s">
        <v>9756</v>
      </c>
      <c r="D366" s="16" t="s">
        <v>19430</v>
      </c>
      <c r="E366">
        <v>6</v>
      </c>
      <c r="F366" t="s">
        <v>4775</v>
      </c>
      <c r="G366">
        <v>1</v>
      </c>
      <c r="H366">
        <v>1</v>
      </c>
      <c r="I366">
        <f>1</f>
        <v>1</v>
      </c>
    </row>
    <row r="367" spans="2:9" x14ac:dyDescent="0.25">
      <c r="B367">
        <v>0</v>
      </c>
      <c r="C367" s="16" t="s">
        <v>9757</v>
      </c>
      <c r="D367" s="16"/>
      <c r="E367">
        <v>6</v>
      </c>
      <c r="F367" t="s">
        <v>4776</v>
      </c>
      <c r="G367">
        <v>1</v>
      </c>
      <c r="H367">
        <v>1</v>
      </c>
      <c r="I367">
        <f>1</f>
        <v>1</v>
      </c>
    </row>
    <row r="368" spans="2:9" x14ac:dyDescent="0.25">
      <c r="B368">
        <v>0</v>
      </c>
      <c r="C368" s="16" t="s">
        <v>9757</v>
      </c>
      <c r="D368" s="16" t="s">
        <v>19430</v>
      </c>
      <c r="E368">
        <v>6</v>
      </c>
      <c r="F368" t="s">
        <v>4777</v>
      </c>
      <c r="G368">
        <v>1</v>
      </c>
      <c r="H368">
        <v>1</v>
      </c>
      <c r="I368">
        <f>1</f>
        <v>1</v>
      </c>
    </row>
    <row r="369" spans="2:9" x14ac:dyDescent="0.25">
      <c r="B369">
        <v>0</v>
      </c>
      <c r="C369" s="16" t="s">
        <v>9757</v>
      </c>
      <c r="D369" s="16" t="s">
        <v>19431</v>
      </c>
      <c r="E369">
        <v>6</v>
      </c>
      <c r="F369" t="s">
        <v>4778</v>
      </c>
      <c r="G369">
        <v>1</v>
      </c>
      <c r="H369">
        <v>1</v>
      </c>
      <c r="I369">
        <f>1</f>
        <v>1</v>
      </c>
    </row>
    <row r="370" spans="2:9" x14ac:dyDescent="0.25">
      <c r="B370">
        <v>0</v>
      </c>
      <c r="C370" s="16" t="s">
        <v>9758</v>
      </c>
      <c r="D370" s="16"/>
      <c r="E370">
        <v>6</v>
      </c>
      <c r="F370" t="e">
        <f>--outros</f>
        <v>#NAME?</v>
      </c>
      <c r="G370">
        <v>1</v>
      </c>
      <c r="H370">
        <v>1</v>
      </c>
      <c r="I370">
        <f>1</f>
        <v>1</v>
      </c>
    </row>
    <row r="371" spans="2:9" x14ac:dyDescent="0.25">
      <c r="B371">
        <v>0</v>
      </c>
      <c r="C371" s="16" t="s">
        <v>9758</v>
      </c>
      <c r="D371" s="16" t="s">
        <v>19430</v>
      </c>
      <c r="E371">
        <v>6</v>
      </c>
      <c r="F371" t="s">
        <v>4777</v>
      </c>
      <c r="G371">
        <v>1</v>
      </c>
      <c r="H371">
        <v>1</v>
      </c>
      <c r="I371">
        <f>1</f>
        <v>1</v>
      </c>
    </row>
    <row r="372" spans="2:9" x14ac:dyDescent="0.25">
      <c r="B372">
        <v>0</v>
      </c>
      <c r="C372" s="16" t="s">
        <v>9758</v>
      </c>
      <c r="D372" s="16" t="s">
        <v>19431</v>
      </c>
      <c r="E372">
        <v>6</v>
      </c>
      <c r="F372" t="s">
        <v>4778</v>
      </c>
      <c r="G372">
        <v>1</v>
      </c>
      <c r="H372">
        <v>1</v>
      </c>
      <c r="I372">
        <f>1</f>
        <v>1</v>
      </c>
    </row>
    <row r="373" spans="2:9" x14ac:dyDescent="0.25">
      <c r="B373">
        <v>0</v>
      </c>
      <c r="C373" s="16" t="s">
        <v>9759</v>
      </c>
      <c r="D373" s="16"/>
      <c r="E373">
        <v>6</v>
      </c>
      <c r="F373" t="s">
        <v>4779</v>
      </c>
      <c r="G373">
        <v>1</v>
      </c>
      <c r="H373">
        <v>1</v>
      </c>
      <c r="I373">
        <f>1</f>
        <v>1</v>
      </c>
    </row>
    <row r="374" spans="2:9" x14ac:dyDescent="0.25">
      <c r="B374">
        <v>0</v>
      </c>
      <c r="C374" s="16" t="s">
        <v>9760</v>
      </c>
      <c r="D374" s="16"/>
      <c r="E374">
        <v>6</v>
      </c>
      <c r="F374" t="s">
        <v>4690</v>
      </c>
      <c r="G374">
        <v>1</v>
      </c>
      <c r="H374">
        <v>1</v>
      </c>
      <c r="I374">
        <f>1</f>
        <v>1</v>
      </c>
    </row>
    <row r="375" spans="2:9" x14ac:dyDescent="0.25">
      <c r="B375">
        <v>0</v>
      </c>
      <c r="C375" s="16" t="s">
        <v>9761</v>
      </c>
      <c r="D375" s="16"/>
      <c r="E375">
        <v>6</v>
      </c>
      <c r="F375" t="e">
        <f>--Lavagantes  Homarus spp.</f>
        <v>#NAME?</v>
      </c>
      <c r="G375">
        <v>1</v>
      </c>
      <c r="H375">
        <v>1</v>
      </c>
      <c r="I375">
        <f>1</f>
        <v>1</v>
      </c>
    </row>
    <row r="376" spans="2:9" x14ac:dyDescent="0.25">
      <c r="B376">
        <v>0</v>
      </c>
      <c r="C376" s="16" t="s">
        <v>9762</v>
      </c>
      <c r="D376" s="16"/>
      <c r="E376">
        <v>6</v>
      </c>
      <c r="F376" t="e">
        <f>--Caranguejos</f>
        <v>#NAME?</v>
      </c>
      <c r="G376">
        <v>1</v>
      </c>
      <c r="H376">
        <v>1</v>
      </c>
      <c r="I376">
        <f>1</f>
        <v>1</v>
      </c>
    </row>
    <row r="377" spans="2:9" x14ac:dyDescent="0.25">
      <c r="B377">
        <v>0</v>
      </c>
      <c r="C377" s="16" t="s">
        <v>9763</v>
      </c>
      <c r="D377" s="16"/>
      <c r="E377">
        <v>6</v>
      </c>
      <c r="F377" t="e">
        <f>--Lagosta norueguesa  Nephrops norvegicus</f>
        <v>#NAME?</v>
      </c>
      <c r="G377">
        <v>1</v>
      </c>
      <c r="H377">
        <v>1</v>
      </c>
      <c r="I377">
        <f>1</f>
        <v>1</v>
      </c>
    </row>
    <row r="378" spans="2:9" x14ac:dyDescent="0.25">
      <c r="B378">
        <v>0</v>
      </c>
      <c r="C378" s="16" t="s">
        <v>9764</v>
      </c>
      <c r="D378" s="16"/>
      <c r="E378">
        <v>6</v>
      </c>
      <c r="F378" t="s">
        <v>4780</v>
      </c>
      <c r="G378">
        <v>1</v>
      </c>
      <c r="H378">
        <v>1</v>
      </c>
      <c r="I378">
        <f>1</f>
        <v>1</v>
      </c>
    </row>
    <row r="379" spans="2:9" x14ac:dyDescent="0.25">
      <c r="B379">
        <v>0</v>
      </c>
      <c r="C379" s="16" t="s">
        <v>9765</v>
      </c>
      <c r="D379" s="16"/>
      <c r="E379">
        <v>6</v>
      </c>
      <c r="F379" t="s">
        <v>4680</v>
      </c>
      <c r="G379">
        <v>1</v>
      </c>
      <c r="H379">
        <v>1</v>
      </c>
      <c r="I379">
        <f>1</f>
        <v>1</v>
      </c>
    </row>
    <row r="380" spans="2:9" x14ac:dyDescent="0.25">
      <c r="B380">
        <v>0</v>
      </c>
      <c r="C380" s="16" t="s">
        <v>9766</v>
      </c>
      <c r="D380" s="16"/>
      <c r="E380">
        <v>6</v>
      </c>
      <c r="F380" t="s">
        <v>4780</v>
      </c>
      <c r="G380">
        <v>1</v>
      </c>
      <c r="H380">
        <v>1</v>
      </c>
      <c r="I380">
        <f>1</f>
        <v>1</v>
      </c>
    </row>
    <row r="381" spans="2:9" x14ac:dyDescent="0.25">
      <c r="B381">
        <v>0</v>
      </c>
      <c r="C381" s="16" t="s">
        <v>9767</v>
      </c>
      <c r="D381" s="16"/>
      <c r="E381">
        <v>6</v>
      </c>
      <c r="F381" t="s">
        <v>4680</v>
      </c>
      <c r="G381">
        <v>1</v>
      </c>
      <c r="H381">
        <v>1</v>
      </c>
      <c r="I381">
        <f>1</f>
        <v>1</v>
      </c>
    </row>
    <row r="382" spans="2:9" x14ac:dyDescent="0.25">
      <c r="B382">
        <v>0</v>
      </c>
      <c r="C382" s="16" t="s">
        <v>9768</v>
      </c>
      <c r="D382" s="16"/>
      <c r="E382">
        <v>6</v>
      </c>
      <c r="F382" t="s">
        <v>4781</v>
      </c>
      <c r="G382">
        <v>1</v>
      </c>
      <c r="H382">
        <v>1</v>
      </c>
      <c r="I382">
        <f>1</f>
        <v>1</v>
      </c>
    </row>
    <row r="383" spans="2:9" x14ac:dyDescent="0.25">
      <c r="B383">
        <v>0</v>
      </c>
      <c r="C383" s="16" t="s">
        <v>9769</v>
      </c>
      <c r="D383" s="16"/>
      <c r="E383">
        <v>6</v>
      </c>
      <c r="F383" t="s">
        <v>4680</v>
      </c>
      <c r="G383">
        <v>1</v>
      </c>
      <c r="H383">
        <v>1</v>
      </c>
      <c r="I383">
        <f>1</f>
        <v>1</v>
      </c>
    </row>
    <row r="384" spans="2:9" x14ac:dyDescent="0.25">
      <c r="B384">
        <v>0</v>
      </c>
      <c r="C384" s="16" t="s">
        <v>9770</v>
      </c>
      <c r="D384" s="16"/>
      <c r="E384">
        <v>6</v>
      </c>
      <c r="F384" t="s">
        <v>4782</v>
      </c>
      <c r="G384">
        <v>1</v>
      </c>
      <c r="H384">
        <v>1</v>
      </c>
      <c r="I384">
        <f>1</f>
        <v>1</v>
      </c>
    </row>
    <row r="385" spans="2:9" x14ac:dyDescent="0.25">
      <c r="B385">
        <v>0</v>
      </c>
      <c r="C385" s="16" t="s">
        <v>9771</v>
      </c>
      <c r="D385" s="16"/>
      <c r="E385">
        <v>6</v>
      </c>
      <c r="F385" t="e">
        <f>--Lavagantes  Homarus spp.</f>
        <v>#NAME?</v>
      </c>
      <c r="G385">
        <v>1</v>
      </c>
      <c r="H385">
        <v>1</v>
      </c>
      <c r="I385">
        <f>1</f>
        <v>1</v>
      </c>
    </row>
    <row r="386" spans="2:9" x14ac:dyDescent="0.25">
      <c r="B386">
        <v>0</v>
      </c>
      <c r="C386" s="16" t="s">
        <v>9772</v>
      </c>
      <c r="D386" s="16"/>
      <c r="E386">
        <v>6</v>
      </c>
      <c r="F386" t="e">
        <f>--Caranguejos</f>
        <v>#NAME?</v>
      </c>
      <c r="G386">
        <v>1</v>
      </c>
      <c r="H386">
        <v>1</v>
      </c>
      <c r="I386">
        <f>1</f>
        <v>1</v>
      </c>
    </row>
    <row r="387" spans="2:9" x14ac:dyDescent="0.25">
      <c r="B387">
        <v>0</v>
      </c>
      <c r="C387" s="16" t="s">
        <v>9773</v>
      </c>
      <c r="D387" s="16"/>
      <c r="E387">
        <v>6</v>
      </c>
      <c r="F387" t="e">
        <f>--Lagosta norueguesa  Nephrops norvegicus</f>
        <v>#NAME?</v>
      </c>
      <c r="G387">
        <v>1</v>
      </c>
      <c r="H387">
        <v>1</v>
      </c>
      <c r="I387">
        <f>1</f>
        <v>1</v>
      </c>
    </row>
    <row r="388" spans="2:9" x14ac:dyDescent="0.25">
      <c r="B388">
        <v>0</v>
      </c>
      <c r="C388" s="16" t="s">
        <v>9774</v>
      </c>
      <c r="D388" s="16"/>
      <c r="E388">
        <v>6</v>
      </c>
      <c r="F388" t="s">
        <v>4783</v>
      </c>
      <c r="G388">
        <v>1</v>
      </c>
      <c r="H388">
        <v>1</v>
      </c>
      <c r="I388">
        <f>1</f>
        <v>1</v>
      </c>
    </row>
    <row r="389" spans="2:9" x14ac:dyDescent="0.25">
      <c r="B389">
        <v>0</v>
      </c>
      <c r="C389" s="16" t="s">
        <v>9775</v>
      </c>
      <c r="D389" s="16"/>
      <c r="E389">
        <v>6</v>
      </c>
      <c r="F389" t="e">
        <f>--outros Camarões</f>
        <v>#NAME?</v>
      </c>
      <c r="G389">
        <v>1</v>
      </c>
      <c r="H389">
        <v>1</v>
      </c>
      <c r="I389">
        <f>1</f>
        <v>1</v>
      </c>
    </row>
    <row r="390" spans="2:9" x14ac:dyDescent="0.25">
      <c r="B390">
        <v>0</v>
      </c>
      <c r="C390" s="16" t="s">
        <v>9776</v>
      </c>
      <c r="D390" s="16"/>
      <c r="E390">
        <v>6</v>
      </c>
      <c r="F390" t="s">
        <v>4784</v>
      </c>
      <c r="G390">
        <v>1</v>
      </c>
      <c r="H390">
        <v>1</v>
      </c>
      <c r="I390">
        <f>1</f>
        <v>1</v>
      </c>
    </row>
    <row r="391" spans="2:9" x14ac:dyDescent="0.25">
      <c r="B391">
        <v>0</v>
      </c>
      <c r="C391" s="16" t="s">
        <v>9777</v>
      </c>
      <c r="D391" s="16"/>
      <c r="E391">
        <v>6</v>
      </c>
      <c r="F391" t="s">
        <v>4680</v>
      </c>
      <c r="G391">
        <v>1</v>
      </c>
      <c r="H391">
        <v>1</v>
      </c>
      <c r="I391">
        <f>1</f>
        <v>1</v>
      </c>
    </row>
    <row r="392" spans="2:9" x14ac:dyDescent="0.25">
      <c r="B392">
        <v>0</v>
      </c>
      <c r="C392" s="16" t="s">
        <v>9778</v>
      </c>
      <c r="D392" s="16"/>
      <c r="E392">
        <v>6</v>
      </c>
      <c r="F392" t="s">
        <v>4785</v>
      </c>
      <c r="G392">
        <v>1</v>
      </c>
      <c r="H392">
        <v>1</v>
      </c>
      <c r="I392">
        <f>1</f>
        <v>1</v>
      </c>
    </row>
    <row r="393" spans="2:9" x14ac:dyDescent="0.25">
      <c r="B393">
        <v>0</v>
      </c>
      <c r="C393" s="16" t="s">
        <v>9779</v>
      </c>
      <c r="D393" s="16"/>
      <c r="E393">
        <v>6</v>
      </c>
      <c r="F393" t="e">
        <f>--Outras</f>
        <v>#NAME?</v>
      </c>
      <c r="G393">
        <v>1</v>
      </c>
      <c r="H393">
        <v>1</v>
      </c>
      <c r="I393">
        <f>1</f>
        <v>1</v>
      </c>
    </row>
    <row r="394" spans="2:9" x14ac:dyDescent="0.25">
      <c r="B394">
        <v>0</v>
      </c>
      <c r="C394" s="16" t="s">
        <v>9780</v>
      </c>
      <c r="D394" s="16"/>
      <c r="E394">
        <v>6</v>
      </c>
      <c r="F394" t="s">
        <v>4786</v>
      </c>
      <c r="G394">
        <v>1</v>
      </c>
      <c r="H394">
        <v>1</v>
      </c>
      <c r="I394">
        <f>1</f>
        <v>1</v>
      </c>
    </row>
    <row r="395" spans="2:9" x14ac:dyDescent="0.25">
      <c r="B395">
        <v>0</v>
      </c>
      <c r="C395" s="16" t="s">
        <v>9781</v>
      </c>
      <c r="D395" s="16"/>
      <c r="E395">
        <v>6</v>
      </c>
      <c r="F395" t="e">
        <f>--outros</f>
        <v>#NAME?</v>
      </c>
      <c r="G395">
        <v>1</v>
      </c>
      <c r="H395">
        <v>1</v>
      </c>
      <c r="I395">
        <f>1</f>
        <v>1</v>
      </c>
    </row>
    <row r="396" spans="2:9" x14ac:dyDescent="0.25">
      <c r="B396">
        <v>0</v>
      </c>
      <c r="C396" s="16" t="s">
        <v>9782</v>
      </c>
      <c r="D396" s="16"/>
      <c r="E396">
        <v>6</v>
      </c>
      <c r="F396" t="s">
        <v>4786</v>
      </c>
      <c r="G396">
        <v>1</v>
      </c>
      <c r="H396">
        <v>1</v>
      </c>
      <c r="I396">
        <f>1</f>
        <v>1</v>
      </c>
    </row>
    <row r="397" spans="2:9" x14ac:dyDescent="0.25">
      <c r="B397">
        <v>0</v>
      </c>
      <c r="C397" s="16" t="s">
        <v>9783</v>
      </c>
      <c r="D397" s="16"/>
      <c r="E397">
        <v>6</v>
      </c>
      <c r="F397" t="e">
        <f>--outros</f>
        <v>#NAME?</v>
      </c>
      <c r="G397">
        <v>1</v>
      </c>
      <c r="H397">
        <v>1</v>
      </c>
      <c r="I397">
        <f>1</f>
        <v>1</v>
      </c>
    </row>
    <row r="398" spans="2:9" x14ac:dyDescent="0.25">
      <c r="B398">
        <v>0</v>
      </c>
      <c r="C398" s="16" t="s">
        <v>9784</v>
      </c>
      <c r="D398" s="16"/>
      <c r="E398">
        <v>6</v>
      </c>
      <c r="F398" t="s">
        <v>4785</v>
      </c>
      <c r="G398">
        <v>1</v>
      </c>
      <c r="H398">
        <v>1</v>
      </c>
      <c r="I398">
        <f>1</f>
        <v>1</v>
      </c>
    </row>
    <row r="399" spans="2:9" x14ac:dyDescent="0.25">
      <c r="B399">
        <v>0</v>
      </c>
      <c r="C399" s="16" t="s">
        <v>9785</v>
      </c>
      <c r="D399" s="16"/>
      <c r="E399">
        <v>6</v>
      </c>
      <c r="F399" t="s">
        <v>4787</v>
      </c>
      <c r="G399">
        <v>1</v>
      </c>
      <c r="H399">
        <v>1</v>
      </c>
      <c r="I399">
        <f>1</f>
        <v>1</v>
      </c>
    </row>
    <row r="400" spans="2:9" x14ac:dyDescent="0.25">
      <c r="B400">
        <v>0</v>
      </c>
      <c r="C400" s="16" t="s">
        <v>9786</v>
      </c>
      <c r="D400" s="16"/>
      <c r="E400">
        <v>6</v>
      </c>
      <c r="F400" t="s">
        <v>4690</v>
      </c>
      <c r="G400">
        <v>1</v>
      </c>
      <c r="H400">
        <v>1</v>
      </c>
      <c r="I400">
        <f>1</f>
        <v>1</v>
      </c>
    </row>
    <row r="401" spans="2:9" x14ac:dyDescent="0.25">
      <c r="B401">
        <v>0</v>
      </c>
      <c r="C401" s="16" t="s">
        <v>9787</v>
      </c>
      <c r="D401" s="16"/>
      <c r="E401">
        <v>6</v>
      </c>
      <c r="F401" t="s">
        <v>4690</v>
      </c>
      <c r="G401">
        <v>1</v>
      </c>
      <c r="H401">
        <v>1</v>
      </c>
      <c r="I401">
        <f>1</f>
        <v>1</v>
      </c>
    </row>
    <row r="402" spans="2:9" x14ac:dyDescent="0.25">
      <c r="B402">
        <v>0</v>
      </c>
      <c r="C402" s="16" t="s">
        <v>9788</v>
      </c>
      <c r="D402" s="16"/>
      <c r="E402">
        <v>6</v>
      </c>
      <c r="F402" t="s">
        <v>4786</v>
      </c>
      <c r="G402">
        <v>1</v>
      </c>
      <c r="H402">
        <v>1</v>
      </c>
      <c r="I402">
        <f>1</f>
        <v>1</v>
      </c>
    </row>
    <row r="403" spans="2:9" x14ac:dyDescent="0.25">
      <c r="B403">
        <v>0</v>
      </c>
      <c r="C403" s="16" t="s">
        <v>9789</v>
      </c>
      <c r="D403" s="16"/>
      <c r="E403">
        <v>6</v>
      </c>
      <c r="F403" t="s">
        <v>4788</v>
      </c>
      <c r="G403">
        <v>1</v>
      </c>
      <c r="H403">
        <v>1</v>
      </c>
      <c r="I403">
        <f>1</f>
        <v>1</v>
      </c>
    </row>
    <row r="404" spans="2:9" x14ac:dyDescent="0.25">
      <c r="B404">
        <v>0</v>
      </c>
      <c r="C404" s="16" t="s">
        <v>9790</v>
      </c>
      <c r="D404" s="16"/>
      <c r="E404">
        <v>6</v>
      </c>
      <c r="F404" t="s">
        <v>4680</v>
      </c>
      <c r="G404">
        <v>1</v>
      </c>
      <c r="H404">
        <v>1</v>
      </c>
      <c r="I404">
        <f>1</f>
        <v>1</v>
      </c>
    </row>
    <row r="405" spans="2:9" x14ac:dyDescent="0.25">
      <c r="B405">
        <v>0</v>
      </c>
      <c r="C405" s="16" t="s">
        <v>9791</v>
      </c>
      <c r="D405" s="16"/>
      <c r="E405">
        <v>6</v>
      </c>
      <c r="F405" t="s">
        <v>4789</v>
      </c>
      <c r="G405">
        <v>1</v>
      </c>
      <c r="H405">
        <v>1</v>
      </c>
      <c r="I405">
        <f>1</f>
        <v>1</v>
      </c>
    </row>
    <row r="406" spans="2:9" x14ac:dyDescent="0.25">
      <c r="B406">
        <v>0</v>
      </c>
      <c r="C406" s="16" t="s">
        <v>9792</v>
      </c>
      <c r="D406" s="16"/>
      <c r="E406">
        <v>6</v>
      </c>
      <c r="F406" t="s">
        <v>4786</v>
      </c>
      <c r="G406">
        <v>1</v>
      </c>
      <c r="H406">
        <v>1</v>
      </c>
      <c r="I406">
        <f>1</f>
        <v>1</v>
      </c>
    </row>
    <row r="407" spans="2:9" x14ac:dyDescent="0.25">
      <c r="B407">
        <v>0</v>
      </c>
      <c r="C407" s="16" t="s">
        <v>9793</v>
      </c>
      <c r="D407" s="16"/>
      <c r="E407">
        <v>6</v>
      </c>
      <c r="F407" t="e">
        <f>--outros</f>
        <v>#NAME?</v>
      </c>
      <c r="G407">
        <v>1</v>
      </c>
      <c r="H407">
        <v>1</v>
      </c>
      <c r="I407">
        <f>1</f>
        <v>1</v>
      </c>
    </row>
    <row r="408" spans="2:9" x14ac:dyDescent="0.25">
      <c r="B408">
        <v>0</v>
      </c>
      <c r="C408" s="16" t="s">
        <v>9794</v>
      </c>
      <c r="D408" s="16"/>
      <c r="E408">
        <v>6</v>
      </c>
      <c r="F408" t="s">
        <v>4786</v>
      </c>
      <c r="G408">
        <v>1</v>
      </c>
      <c r="H408">
        <v>1</v>
      </c>
      <c r="I408">
        <f>1</f>
        <v>1</v>
      </c>
    </row>
    <row r="409" spans="2:9" x14ac:dyDescent="0.25">
      <c r="B409">
        <v>0</v>
      </c>
      <c r="C409" s="16" t="s">
        <v>9795</v>
      </c>
      <c r="D409" s="16"/>
      <c r="E409">
        <v>6</v>
      </c>
      <c r="F409" t="e">
        <f>--outros</f>
        <v>#NAME?</v>
      </c>
      <c r="G409">
        <v>1</v>
      </c>
      <c r="H409">
        <v>1</v>
      </c>
      <c r="I409">
        <f>1</f>
        <v>1</v>
      </c>
    </row>
    <row r="410" spans="2:9" x14ac:dyDescent="0.25">
      <c r="B410">
        <v>0</v>
      </c>
      <c r="C410" s="16" t="s">
        <v>9796</v>
      </c>
      <c r="D410" s="16"/>
      <c r="E410">
        <v>6</v>
      </c>
      <c r="F410" t="s">
        <v>4786</v>
      </c>
      <c r="G410">
        <v>1</v>
      </c>
      <c r="H410">
        <v>1</v>
      </c>
      <c r="I410">
        <f>1</f>
        <v>1</v>
      </c>
    </row>
    <row r="411" spans="2:9" x14ac:dyDescent="0.25">
      <c r="B411">
        <v>0</v>
      </c>
      <c r="C411" s="16" t="s">
        <v>9797</v>
      </c>
      <c r="D411" s="16"/>
      <c r="E411">
        <v>6</v>
      </c>
      <c r="F411" t="e">
        <f>--outros</f>
        <v>#NAME?</v>
      </c>
      <c r="G411">
        <v>1</v>
      </c>
      <c r="H411">
        <v>1</v>
      </c>
      <c r="I411">
        <f>1</f>
        <v>1</v>
      </c>
    </row>
    <row r="412" spans="2:9" x14ac:dyDescent="0.25">
      <c r="B412">
        <v>0</v>
      </c>
      <c r="C412" s="16" t="s">
        <v>9798</v>
      </c>
      <c r="D412" s="16"/>
      <c r="E412">
        <v>6</v>
      </c>
      <c r="F412" t="s">
        <v>4786</v>
      </c>
      <c r="G412">
        <v>1</v>
      </c>
      <c r="H412">
        <v>1</v>
      </c>
      <c r="I412">
        <f>1</f>
        <v>1</v>
      </c>
    </row>
    <row r="413" spans="2:9" x14ac:dyDescent="0.25">
      <c r="B413">
        <v>0</v>
      </c>
      <c r="C413" s="16" t="s">
        <v>9799</v>
      </c>
      <c r="D413" s="16"/>
      <c r="E413">
        <v>6</v>
      </c>
      <c r="F413" t="e">
        <f>--outros</f>
        <v>#NAME?</v>
      </c>
      <c r="G413">
        <v>1</v>
      </c>
      <c r="H413">
        <v>1</v>
      </c>
      <c r="I413">
        <f>1</f>
        <v>1</v>
      </c>
    </row>
    <row r="414" spans="2:9" x14ac:dyDescent="0.25">
      <c r="B414">
        <v>0</v>
      </c>
      <c r="C414" s="16" t="s">
        <v>9800</v>
      </c>
      <c r="D414" s="16"/>
      <c r="E414">
        <v>6</v>
      </c>
      <c r="F414" t="s">
        <v>4786</v>
      </c>
      <c r="G414">
        <v>1</v>
      </c>
      <c r="H414">
        <v>1</v>
      </c>
      <c r="I414">
        <f>1</f>
        <v>1</v>
      </c>
    </row>
    <row r="415" spans="2:9" x14ac:dyDescent="0.25">
      <c r="B415">
        <v>0</v>
      </c>
      <c r="C415" s="16" t="s">
        <v>9801</v>
      </c>
      <c r="D415" s="16"/>
      <c r="E415">
        <v>6</v>
      </c>
      <c r="F415" t="e">
        <f>--outros</f>
        <v>#NAME?</v>
      </c>
      <c r="G415">
        <v>1</v>
      </c>
      <c r="H415">
        <v>1</v>
      </c>
      <c r="I415">
        <f>1</f>
        <v>1</v>
      </c>
    </row>
    <row r="416" spans="2:9" x14ac:dyDescent="0.25">
      <c r="B416">
        <v>0</v>
      </c>
      <c r="C416" s="16" t="s">
        <v>9802</v>
      </c>
      <c r="D416" s="16"/>
      <c r="E416">
        <v>6</v>
      </c>
      <c r="F416" t="e">
        <f>-Medusas  águas-Vivas   Rhopilema spp.</f>
        <v>#NAME?</v>
      </c>
      <c r="G416">
        <v>1</v>
      </c>
      <c r="H416">
        <v>1</v>
      </c>
      <c r="I416">
        <f>1</f>
        <v>1</v>
      </c>
    </row>
    <row r="417" spans="2:9" x14ac:dyDescent="0.25">
      <c r="B417">
        <v>0</v>
      </c>
      <c r="C417" s="16" t="s">
        <v>9803</v>
      </c>
      <c r="D417" s="16"/>
      <c r="E417">
        <v>6</v>
      </c>
      <c r="F417" t="e">
        <f>-outros</f>
        <v>#NAME?</v>
      </c>
      <c r="G417">
        <v>1</v>
      </c>
      <c r="H417">
        <v>1</v>
      </c>
      <c r="I417">
        <f>1</f>
        <v>1</v>
      </c>
    </row>
    <row r="418" spans="2:9" x14ac:dyDescent="0.25">
      <c r="B418">
        <v>0</v>
      </c>
      <c r="C418" s="16" t="s">
        <v>9804</v>
      </c>
      <c r="D418" s="16"/>
      <c r="E418">
        <v>6</v>
      </c>
      <c r="F418" t="s">
        <v>4790</v>
      </c>
      <c r="G418">
        <v>1</v>
      </c>
      <c r="H418">
        <v>1</v>
      </c>
      <c r="I418">
        <f>1</f>
        <v>1</v>
      </c>
    </row>
    <row r="419" spans="2:9" x14ac:dyDescent="0.25">
      <c r="B419">
        <v>0</v>
      </c>
      <c r="C419" s="16" t="s">
        <v>9805</v>
      </c>
      <c r="D419" s="16"/>
      <c r="E419">
        <v>6</v>
      </c>
      <c r="F419" t="s">
        <v>4680</v>
      </c>
      <c r="G419">
        <v>1</v>
      </c>
      <c r="H419">
        <v>1</v>
      </c>
      <c r="I419">
        <f>1</f>
        <v>1</v>
      </c>
    </row>
    <row r="420" spans="2:9" x14ac:dyDescent="0.25">
      <c r="B420">
        <v>0</v>
      </c>
      <c r="C420" s="16" t="s">
        <v>9806</v>
      </c>
      <c r="D420" s="16"/>
      <c r="E420">
        <v>6</v>
      </c>
      <c r="F420" t="s">
        <v>4790</v>
      </c>
      <c r="G420">
        <v>1</v>
      </c>
      <c r="H420">
        <v>1</v>
      </c>
      <c r="I420">
        <f>1</f>
        <v>1</v>
      </c>
    </row>
    <row r="421" spans="2:9" x14ac:dyDescent="0.25">
      <c r="B421">
        <v>0</v>
      </c>
      <c r="C421" s="16" t="s">
        <v>9807</v>
      </c>
      <c r="D421" s="16"/>
      <c r="E421">
        <v>6</v>
      </c>
      <c r="F421" t="s">
        <v>4680</v>
      </c>
      <c r="G421">
        <v>1</v>
      </c>
      <c r="H421">
        <v>1</v>
      </c>
      <c r="I421">
        <f>1</f>
        <v>1</v>
      </c>
    </row>
    <row r="422" spans="2:9" x14ac:dyDescent="0.25">
      <c r="B422">
        <v>0</v>
      </c>
      <c r="C422" s="16" t="s">
        <v>9808</v>
      </c>
      <c r="D422" s="16"/>
      <c r="E422">
        <v>6</v>
      </c>
      <c r="F422" t="s">
        <v>4791</v>
      </c>
      <c r="G422">
        <v>1</v>
      </c>
      <c r="H422">
        <v>1</v>
      </c>
      <c r="I422">
        <f>1</f>
        <v>1</v>
      </c>
    </row>
    <row r="423" spans="2:9" x14ac:dyDescent="0.25">
      <c r="B423">
        <v>0</v>
      </c>
      <c r="C423" s="16" t="s">
        <v>9809</v>
      </c>
      <c r="D423" s="16"/>
      <c r="E423">
        <v>6</v>
      </c>
      <c r="F423" t="s">
        <v>4792</v>
      </c>
      <c r="G423">
        <v>1</v>
      </c>
      <c r="H423">
        <v>1</v>
      </c>
      <c r="I423">
        <f>1</f>
        <v>1</v>
      </c>
    </row>
    <row r="424" spans="2:9" x14ac:dyDescent="0.25">
      <c r="B424">
        <v>0</v>
      </c>
      <c r="C424" s="16" t="s">
        <v>9809</v>
      </c>
      <c r="D424" s="16" t="s">
        <v>19430</v>
      </c>
      <c r="E424">
        <v>6</v>
      </c>
      <c r="F424" t="s">
        <v>4793</v>
      </c>
      <c r="G424">
        <v>1</v>
      </c>
      <c r="H424">
        <v>1</v>
      </c>
      <c r="I424">
        <f>1</f>
        <v>1</v>
      </c>
    </row>
    <row r="425" spans="2:9" x14ac:dyDescent="0.25">
      <c r="B425">
        <v>0</v>
      </c>
      <c r="C425" s="16" t="s">
        <v>9810</v>
      </c>
      <c r="D425" s="16"/>
      <c r="E425">
        <v>6</v>
      </c>
      <c r="F425" t="s">
        <v>4680</v>
      </c>
      <c r="G425">
        <v>1</v>
      </c>
      <c r="H425">
        <v>1</v>
      </c>
      <c r="I425">
        <f>1</f>
        <v>1</v>
      </c>
    </row>
    <row r="426" spans="2:9" x14ac:dyDescent="0.25">
      <c r="B426">
        <v>0</v>
      </c>
      <c r="C426" s="16" t="s">
        <v>9810</v>
      </c>
      <c r="D426" s="16" t="s">
        <v>19430</v>
      </c>
      <c r="E426">
        <v>6</v>
      </c>
      <c r="F426" t="s">
        <v>4794</v>
      </c>
      <c r="G426">
        <v>1</v>
      </c>
      <c r="H426">
        <v>1</v>
      </c>
      <c r="I426">
        <f>1</f>
        <v>1</v>
      </c>
    </row>
    <row r="427" spans="2:9" x14ac:dyDescent="0.25">
      <c r="B427">
        <v>0</v>
      </c>
      <c r="C427" s="16" t="s">
        <v>9811</v>
      </c>
      <c r="D427" s="16"/>
      <c r="E427">
        <v>6</v>
      </c>
      <c r="F427" t="s">
        <v>4791</v>
      </c>
      <c r="G427">
        <v>1</v>
      </c>
      <c r="H427">
        <v>1</v>
      </c>
      <c r="I427">
        <f>1</f>
        <v>1</v>
      </c>
    </row>
    <row r="428" spans="2:9" x14ac:dyDescent="0.25">
      <c r="B428">
        <v>0</v>
      </c>
      <c r="C428" s="16" t="s">
        <v>9812</v>
      </c>
      <c r="D428" s="16"/>
      <c r="E428">
        <v>6</v>
      </c>
      <c r="F428" t="s">
        <v>4792</v>
      </c>
      <c r="G428">
        <v>1</v>
      </c>
      <c r="H428">
        <v>1</v>
      </c>
      <c r="I428">
        <f>1</f>
        <v>1</v>
      </c>
    </row>
    <row r="429" spans="2:9" x14ac:dyDescent="0.25">
      <c r="B429">
        <v>0</v>
      </c>
      <c r="C429" s="16" t="s">
        <v>9812</v>
      </c>
      <c r="D429" s="16" t="s">
        <v>19430</v>
      </c>
      <c r="E429">
        <v>6</v>
      </c>
      <c r="F429" t="s">
        <v>4793</v>
      </c>
      <c r="G429">
        <v>1</v>
      </c>
      <c r="H429">
        <v>1</v>
      </c>
      <c r="I429">
        <f>1</f>
        <v>1</v>
      </c>
    </row>
    <row r="430" spans="2:9" x14ac:dyDescent="0.25">
      <c r="B430">
        <v>0</v>
      </c>
      <c r="C430" s="16" t="s">
        <v>9813</v>
      </c>
      <c r="D430" s="16"/>
      <c r="E430">
        <v>6</v>
      </c>
      <c r="F430" t="s">
        <v>4680</v>
      </c>
      <c r="G430">
        <v>1</v>
      </c>
      <c r="H430">
        <v>1</v>
      </c>
      <c r="I430">
        <f>1</f>
        <v>1</v>
      </c>
    </row>
    <row r="431" spans="2:9" x14ac:dyDescent="0.25">
      <c r="B431">
        <v>0</v>
      </c>
      <c r="C431" s="16" t="s">
        <v>9813</v>
      </c>
      <c r="D431" s="16" t="s">
        <v>19430</v>
      </c>
      <c r="E431">
        <v>6</v>
      </c>
      <c r="F431" t="s">
        <v>4794</v>
      </c>
      <c r="G431">
        <v>1</v>
      </c>
      <c r="H431">
        <v>1</v>
      </c>
      <c r="I431">
        <f>1</f>
        <v>1</v>
      </c>
    </row>
    <row r="432" spans="2:9" x14ac:dyDescent="0.25">
      <c r="B432">
        <v>0</v>
      </c>
      <c r="C432" s="16" t="s">
        <v>9814</v>
      </c>
      <c r="D432" s="16"/>
      <c r="E432">
        <v>6</v>
      </c>
      <c r="F432" t="s">
        <v>4795</v>
      </c>
      <c r="G432">
        <v>1</v>
      </c>
      <c r="H432">
        <v>1</v>
      </c>
      <c r="I432">
        <f>1</f>
        <v>1</v>
      </c>
    </row>
    <row r="433" spans="2:9" x14ac:dyDescent="0.25">
      <c r="B433">
        <v>0</v>
      </c>
      <c r="C433" s="16" t="s">
        <v>9815</v>
      </c>
      <c r="D433" s="16"/>
      <c r="E433">
        <v>6</v>
      </c>
      <c r="F433" t="s">
        <v>4680</v>
      </c>
      <c r="G433">
        <v>1</v>
      </c>
      <c r="H433">
        <v>1</v>
      </c>
      <c r="I433">
        <f>1</f>
        <v>1</v>
      </c>
    </row>
    <row r="434" spans="2:9" x14ac:dyDescent="0.25">
      <c r="B434">
        <v>0</v>
      </c>
      <c r="C434" s="16" t="s">
        <v>9816</v>
      </c>
      <c r="D434" s="16"/>
      <c r="E434">
        <v>6</v>
      </c>
      <c r="F434" t="s">
        <v>4796</v>
      </c>
      <c r="G434">
        <v>1</v>
      </c>
      <c r="H434">
        <v>1</v>
      </c>
      <c r="I434">
        <f>1</f>
        <v>1</v>
      </c>
    </row>
    <row r="435" spans="2:9" x14ac:dyDescent="0.25">
      <c r="B435">
        <v>0</v>
      </c>
      <c r="C435" s="16" t="s">
        <v>9817</v>
      </c>
      <c r="D435" s="16"/>
      <c r="E435">
        <v>6</v>
      </c>
      <c r="F435" t="s">
        <v>4797</v>
      </c>
      <c r="G435">
        <v>1</v>
      </c>
      <c r="H435">
        <v>1</v>
      </c>
      <c r="I435">
        <f>1</f>
        <v>1</v>
      </c>
    </row>
    <row r="436" spans="2:9" x14ac:dyDescent="0.25">
      <c r="B436">
        <v>0</v>
      </c>
      <c r="C436" s="16" t="s">
        <v>9818</v>
      </c>
      <c r="D436" s="16"/>
      <c r="E436">
        <v>6</v>
      </c>
      <c r="F436" t="s">
        <v>4798</v>
      </c>
      <c r="G436">
        <v>1</v>
      </c>
      <c r="H436">
        <v>1</v>
      </c>
      <c r="I436">
        <f>1</f>
        <v>1</v>
      </c>
    </row>
    <row r="437" spans="2:9" x14ac:dyDescent="0.25">
      <c r="B437">
        <v>0</v>
      </c>
      <c r="C437" s="16" t="s">
        <v>9819</v>
      </c>
      <c r="D437" s="16"/>
      <c r="E437">
        <v>6</v>
      </c>
      <c r="F437" t="s">
        <v>4796</v>
      </c>
      <c r="G437">
        <v>1</v>
      </c>
      <c r="H437">
        <v>1</v>
      </c>
      <c r="I437">
        <f>1</f>
        <v>1</v>
      </c>
    </row>
    <row r="438" spans="2:9" x14ac:dyDescent="0.25">
      <c r="B438">
        <v>0</v>
      </c>
      <c r="C438" s="16" t="s">
        <v>9820</v>
      </c>
      <c r="D438" s="16"/>
      <c r="E438">
        <v>6</v>
      </c>
      <c r="F438" t="s">
        <v>4797</v>
      </c>
      <c r="G438">
        <v>1</v>
      </c>
      <c r="H438">
        <v>1</v>
      </c>
      <c r="I438">
        <f>1</f>
        <v>1</v>
      </c>
    </row>
    <row r="439" spans="2:9" x14ac:dyDescent="0.25">
      <c r="B439">
        <v>0</v>
      </c>
      <c r="C439" s="16" t="s">
        <v>9821</v>
      </c>
      <c r="D439" s="16"/>
      <c r="E439">
        <v>6</v>
      </c>
      <c r="F439" t="s">
        <v>4798</v>
      </c>
      <c r="G439">
        <v>1</v>
      </c>
      <c r="H439">
        <v>1</v>
      </c>
      <c r="I439">
        <f>1</f>
        <v>1</v>
      </c>
    </row>
    <row r="440" spans="2:9" x14ac:dyDescent="0.25">
      <c r="B440">
        <v>0</v>
      </c>
      <c r="C440" s="16" t="s">
        <v>9822</v>
      </c>
      <c r="D440" s="16"/>
      <c r="E440">
        <v>6</v>
      </c>
      <c r="F440" t="e">
        <f>--Sem adição De açúcar ou De outros edulcorantes</f>
        <v>#NAME?</v>
      </c>
      <c r="G440">
        <v>1</v>
      </c>
      <c r="H440">
        <v>1</v>
      </c>
      <c r="I440">
        <f>1</f>
        <v>1</v>
      </c>
    </row>
    <row r="441" spans="2:9" x14ac:dyDescent="0.25">
      <c r="B441">
        <v>0</v>
      </c>
      <c r="C441" s="16" t="s">
        <v>9822</v>
      </c>
      <c r="D441" s="16" t="s">
        <v>19430</v>
      </c>
      <c r="E441">
        <v>6</v>
      </c>
      <c r="F441" t="s">
        <v>4799</v>
      </c>
      <c r="G441">
        <v>1</v>
      </c>
      <c r="H441">
        <v>1</v>
      </c>
      <c r="I441">
        <f>1</f>
        <v>1</v>
      </c>
    </row>
    <row r="442" spans="2:9" x14ac:dyDescent="0.25">
      <c r="B442">
        <v>0</v>
      </c>
      <c r="C442" s="16" t="s">
        <v>9823</v>
      </c>
      <c r="D442" s="16"/>
      <c r="E442">
        <v>6</v>
      </c>
      <c r="F442" t="e">
        <f>--outros</f>
        <v>#NAME?</v>
      </c>
      <c r="G442">
        <v>1</v>
      </c>
      <c r="H442">
        <v>1</v>
      </c>
      <c r="I442">
        <f>1</f>
        <v>1</v>
      </c>
    </row>
    <row r="443" spans="2:9" x14ac:dyDescent="0.25">
      <c r="B443">
        <v>0</v>
      </c>
      <c r="C443" s="16" t="s">
        <v>9823</v>
      </c>
      <c r="D443" s="16" t="s">
        <v>19430</v>
      </c>
      <c r="E443">
        <v>6</v>
      </c>
      <c r="F443" t="s">
        <v>4799</v>
      </c>
      <c r="G443">
        <v>1</v>
      </c>
      <c r="H443">
        <v>1</v>
      </c>
      <c r="I443">
        <f>1</f>
        <v>1</v>
      </c>
    </row>
    <row r="444" spans="2:9" x14ac:dyDescent="0.25">
      <c r="B444">
        <v>0</v>
      </c>
      <c r="C444" s="16" t="s">
        <v>9824</v>
      </c>
      <c r="D444" s="16"/>
      <c r="E444">
        <v>6</v>
      </c>
      <c r="F444" t="e">
        <f>-Iogurte</f>
        <v>#NAME?</v>
      </c>
      <c r="G444">
        <v>1</v>
      </c>
      <c r="H444">
        <v>1</v>
      </c>
      <c r="I444">
        <f>1</f>
        <v>1</v>
      </c>
    </row>
    <row r="445" spans="2:9" x14ac:dyDescent="0.25">
      <c r="B445">
        <v>0</v>
      </c>
      <c r="C445" s="16" t="s">
        <v>9824</v>
      </c>
      <c r="D445" s="16" t="s">
        <v>19430</v>
      </c>
      <c r="E445">
        <v>6</v>
      </c>
      <c r="F445" t="s">
        <v>4800</v>
      </c>
      <c r="G445">
        <v>1</v>
      </c>
      <c r="H445">
        <v>1</v>
      </c>
      <c r="I445">
        <f>1</f>
        <v>1</v>
      </c>
    </row>
    <row r="446" spans="2:9" x14ac:dyDescent="0.25">
      <c r="B446">
        <v>0</v>
      </c>
      <c r="C446" s="16" t="s">
        <v>9825</v>
      </c>
      <c r="D446" s="16"/>
      <c r="E446">
        <v>6</v>
      </c>
      <c r="F446" t="e">
        <f>-outros</f>
        <v>#NAME?</v>
      </c>
      <c r="G446">
        <v>1</v>
      </c>
      <c r="H446">
        <v>1</v>
      </c>
      <c r="I446">
        <f>1</f>
        <v>1</v>
      </c>
    </row>
    <row r="447" spans="2:9" x14ac:dyDescent="0.25">
      <c r="B447">
        <v>0</v>
      </c>
      <c r="C447" s="16" t="s">
        <v>9825</v>
      </c>
      <c r="D447" s="16" t="s">
        <v>19430</v>
      </c>
      <c r="E447">
        <v>6</v>
      </c>
      <c r="F447" t="s">
        <v>4801</v>
      </c>
      <c r="G447">
        <v>1</v>
      </c>
      <c r="H447">
        <v>1</v>
      </c>
      <c r="I447">
        <f>1</f>
        <v>1</v>
      </c>
    </row>
    <row r="448" spans="2:9" x14ac:dyDescent="0.25">
      <c r="B448">
        <v>0</v>
      </c>
      <c r="C448" s="16" t="s">
        <v>9826</v>
      </c>
      <c r="D448" s="16"/>
      <c r="E448">
        <v>6</v>
      </c>
      <c r="F448" t="s">
        <v>4802</v>
      </c>
      <c r="G448">
        <v>1</v>
      </c>
      <c r="H448">
        <v>1</v>
      </c>
      <c r="I448">
        <f>1</f>
        <v>1</v>
      </c>
    </row>
    <row r="449" spans="2:9" x14ac:dyDescent="0.25">
      <c r="B449">
        <v>0</v>
      </c>
      <c r="C449" s="16" t="s">
        <v>9826</v>
      </c>
      <c r="D449" s="16" t="s">
        <v>19430</v>
      </c>
      <c r="E449">
        <v>6</v>
      </c>
      <c r="F449" t="s">
        <v>4803</v>
      </c>
      <c r="G449">
        <v>1</v>
      </c>
      <c r="H449">
        <v>1</v>
      </c>
      <c r="I449">
        <f>1</f>
        <v>1</v>
      </c>
    </row>
    <row r="450" spans="2:9" x14ac:dyDescent="0.25">
      <c r="B450">
        <v>0</v>
      </c>
      <c r="C450" s="16" t="s">
        <v>9827</v>
      </c>
      <c r="D450" s="16"/>
      <c r="E450">
        <v>6</v>
      </c>
      <c r="F450" t="e">
        <f>-outros</f>
        <v>#NAME?</v>
      </c>
      <c r="G450">
        <v>1</v>
      </c>
      <c r="H450">
        <v>1</v>
      </c>
      <c r="I450">
        <f>1</f>
        <v>1</v>
      </c>
    </row>
    <row r="451" spans="2:9" x14ac:dyDescent="0.25">
      <c r="B451">
        <v>0</v>
      </c>
      <c r="C451" s="16" t="s">
        <v>9827</v>
      </c>
      <c r="D451" s="16" t="s">
        <v>19430</v>
      </c>
      <c r="E451">
        <v>6</v>
      </c>
      <c r="F451" t="s">
        <v>4803</v>
      </c>
      <c r="G451">
        <v>1</v>
      </c>
      <c r="H451">
        <v>1</v>
      </c>
      <c r="I451">
        <f>1</f>
        <v>1</v>
      </c>
    </row>
    <row r="452" spans="2:9" x14ac:dyDescent="0.25">
      <c r="B452">
        <v>0</v>
      </c>
      <c r="C452" s="16" t="s">
        <v>9828</v>
      </c>
      <c r="D452" s="16"/>
      <c r="E452">
        <v>6</v>
      </c>
      <c r="F452" t="e">
        <f>-Manteiga</f>
        <v>#NAME?</v>
      </c>
      <c r="G452">
        <v>1</v>
      </c>
      <c r="H452">
        <v>1</v>
      </c>
      <c r="I452">
        <f>1</f>
        <v>1</v>
      </c>
    </row>
    <row r="453" spans="2:9" x14ac:dyDescent="0.25">
      <c r="B453">
        <v>0</v>
      </c>
      <c r="C453" s="16" t="s">
        <v>9829</v>
      </c>
      <c r="D453" s="16"/>
      <c r="E453">
        <v>6</v>
      </c>
      <c r="F453" t="e">
        <f>-Pasta De espalhar  Pasta De barrar  De produtos provenientes do leite</f>
        <v>#NAME?</v>
      </c>
      <c r="G453">
        <v>1</v>
      </c>
      <c r="H453">
        <v>1</v>
      </c>
      <c r="I453">
        <f>1</f>
        <v>1</v>
      </c>
    </row>
    <row r="454" spans="2:9" x14ac:dyDescent="0.25">
      <c r="B454">
        <v>0</v>
      </c>
      <c r="C454" s="16" t="s">
        <v>9830</v>
      </c>
      <c r="D454" s="16"/>
      <c r="E454">
        <v>6</v>
      </c>
      <c r="F454" t="s">
        <v>4804</v>
      </c>
      <c r="G454">
        <v>1</v>
      </c>
      <c r="H454">
        <v>1</v>
      </c>
      <c r="I454">
        <f>1</f>
        <v>1</v>
      </c>
    </row>
    <row r="455" spans="2:9" x14ac:dyDescent="0.25">
      <c r="B455">
        <v>0</v>
      </c>
      <c r="C455" s="16" t="s">
        <v>9831</v>
      </c>
      <c r="D455" s="16"/>
      <c r="E455">
        <v>6</v>
      </c>
      <c r="F455" t="s">
        <v>4690</v>
      </c>
      <c r="G455">
        <v>1</v>
      </c>
      <c r="H455">
        <v>1</v>
      </c>
      <c r="I455">
        <f>1</f>
        <v>1</v>
      </c>
    </row>
    <row r="456" spans="2:9" x14ac:dyDescent="0.25">
      <c r="B456">
        <v>0</v>
      </c>
      <c r="C456" s="16" t="s">
        <v>9832</v>
      </c>
      <c r="D456" s="16"/>
      <c r="E456">
        <v>6</v>
      </c>
      <c r="F456" t="s">
        <v>4805</v>
      </c>
      <c r="G456">
        <v>1</v>
      </c>
      <c r="H456">
        <v>1</v>
      </c>
      <c r="I456">
        <f>1</f>
        <v>1</v>
      </c>
    </row>
    <row r="457" spans="2:9" x14ac:dyDescent="0.25">
      <c r="B457">
        <v>0</v>
      </c>
      <c r="C457" s="16" t="s">
        <v>9833</v>
      </c>
      <c r="D457" s="16"/>
      <c r="E457">
        <v>6</v>
      </c>
      <c r="F457" t="s">
        <v>4680</v>
      </c>
      <c r="G457">
        <v>1</v>
      </c>
      <c r="H457">
        <v>1</v>
      </c>
      <c r="I457">
        <f>1</f>
        <v>1</v>
      </c>
    </row>
    <row r="458" spans="2:9" x14ac:dyDescent="0.25">
      <c r="B458">
        <v>0</v>
      </c>
      <c r="C458" s="16" t="s">
        <v>9834</v>
      </c>
      <c r="D458" s="16"/>
      <c r="E458">
        <v>6</v>
      </c>
      <c r="F458" t="s">
        <v>4806</v>
      </c>
      <c r="G458">
        <v>1</v>
      </c>
      <c r="H458">
        <v>1</v>
      </c>
      <c r="I458">
        <f>1</f>
        <v>1</v>
      </c>
    </row>
    <row r="459" spans="2:9" x14ac:dyDescent="0.25">
      <c r="B459">
        <v>0</v>
      </c>
      <c r="C459" s="16" t="s">
        <v>9835</v>
      </c>
      <c r="D459" s="16"/>
      <c r="E459">
        <v>6</v>
      </c>
      <c r="F459" t="s">
        <v>4807</v>
      </c>
      <c r="G459">
        <v>1</v>
      </c>
      <c r="H459">
        <v>1</v>
      </c>
      <c r="I459">
        <f>1</f>
        <v>1</v>
      </c>
    </row>
    <row r="460" spans="2:9" x14ac:dyDescent="0.25">
      <c r="B460">
        <v>0</v>
      </c>
      <c r="C460" s="16" t="s">
        <v>9836</v>
      </c>
      <c r="D460" s="16"/>
      <c r="E460">
        <v>6</v>
      </c>
      <c r="F460" t="e">
        <f>-Queijos De Pasta mofada e outros Queijos que apresentem veios obtidos utilizando Penicillium roqueforti</f>
        <v>#NAME?</v>
      </c>
      <c r="G460">
        <v>1</v>
      </c>
      <c r="H460">
        <v>1</v>
      </c>
      <c r="I460">
        <f>1</f>
        <v>1</v>
      </c>
    </row>
    <row r="461" spans="2:9" x14ac:dyDescent="0.25">
      <c r="B461">
        <v>0</v>
      </c>
      <c r="C461" s="16" t="s">
        <v>9837</v>
      </c>
      <c r="D461" s="16"/>
      <c r="E461">
        <v>6</v>
      </c>
      <c r="F461" t="s">
        <v>4808</v>
      </c>
      <c r="G461">
        <v>1</v>
      </c>
      <c r="H461">
        <v>1</v>
      </c>
      <c r="I461">
        <f>1</f>
        <v>1</v>
      </c>
    </row>
    <row r="462" spans="2:9" x14ac:dyDescent="0.25">
      <c r="B462">
        <v>0</v>
      </c>
      <c r="C462" s="16" t="s">
        <v>9838</v>
      </c>
      <c r="D462" s="16"/>
      <c r="E462">
        <v>6</v>
      </c>
      <c r="F462" t="s">
        <v>4809</v>
      </c>
      <c r="G462">
        <v>1</v>
      </c>
      <c r="H462">
        <v>1</v>
      </c>
      <c r="I462">
        <f>1</f>
        <v>1</v>
      </c>
    </row>
    <row r="463" spans="2:9" x14ac:dyDescent="0.25">
      <c r="B463">
        <v>0</v>
      </c>
      <c r="C463" s="16" t="s">
        <v>9839</v>
      </c>
      <c r="D463" s="16"/>
      <c r="E463">
        <v>6</v>
      </c>
      <c r="F463" t="s">
        <v>4810</v>
      </c>
      <c r="G463">
        <v>1</v>
      </c>
      <c r="H463">
        <v>1</v>
      </c>
      <c r="I463">
        <f>1</f>
        <v>1</v>
      </c>
    </row>
    <row r="464" spans="2:9" x14ac:dyDescent="0.25">
      <c r="B464">
        <v>0</v>
      </c>
      <c r="C464" s="16" t="s">
        <v>9840</v>
      </c>
      <c r="D464" s="16"/>
      <c r="E464">
        <v>6</v>
      </c>
      <c r="F464" t="s">
        <v>4680</v>
      </c>
      <c r="G464">
        <v>1</v>
      </c>
      <c r="H464">
        <v>1</v>
      </c>
      <c r="I464">
        <f>1</f>
        <v>1</v>
      </c>
    </row>
    <row r="465" spans="2:9" x14ac:dyDescent="0.25">
      <c r="B465">
        <v>0</v>
      </c>
      <c r="C465" s="16" t="s">
        <v>9841</v>
      </c>
      <c r="D465" s="16"/>
      <c r="E465">
        <v>6</v>
      </c>
      <c r="F465" t="e">
        <f>--De Aves da espécie Gallus domesticus</f>
        <v>#NAME?</v>
      </c>
      <c r="G465">
        <v>1</v>
      </c>
      <c r="H465">
        <v>1</v>
      </c>
      <c r="I465">
        <f>1</f>
        <v>1</v>
      </c>
    </row>
    <row r="466" spans="2:9" x14ac:dyDescent="0.25">
      <c r="B466">
        <v>0</v>
      </c>
      <c r="C466" s="16" t="s">
        <v>9842</v>
      </c>
      <c r="D466" s="16"/>
      <c r="E466">
        <v>6</v>
      </c>
      <c r="F466" t="e">
        <f>--outros</f>
        <v>#NAME?</v>
      </c>
      <c r="G466">
        <v>1</v>
      </c>
      <c r="H466">
        <v>1</v>
      </c>
      <c r="I466">
        <f>1</f>
        <v>1</v>
      </c>
    </row>
    <row r="467" spans="2:9" x14ac:dyDescent="0.25">
      <c r="B467">
        <v>0</v>
      </c>
      <c r="C467" s="16" t="s">
        <v>9843</v>
      </c>
      <c r="D467" s="16"/>
      <c r="E467">
        <v>6</v>
      </c>
      <c r="F467" t="e">
        <f>--De Aves da espécie Gallus domesticus</f>
        <v>#NAME?</v>
      </c>
      <c r="G467">
        <v>1</v>
      </c>
      <c r="H467">
        <v>1</v>
      </c>
      <c r="I467">
        <f>1</f>
        <v>1</v>
      </c>
    </row>
    <row r="468" spans="2:9" x14ac:dyDescent="0.25">
      <c r="B468">
        <v>0</v>
      </c>
      <c r="C468" s="16" t="s">
        <v>9844</v>
      </c>
      <c r="D468" s="16"/>
      <c r="E468">
        <v>6</v>
      </c>
      <c r="F468" t="e">
        <f>--outros</f>
        <v>#NAME?</v>
      </c>
      <c r="G468">
        <v>1</v>
      </c>
      <c r="H468">
        <v>1</v>
      </c>
      <c r="I468">
        <f>1</f>
        <v>1</v>
      </c>
    </row>
    <row r="469" spans="2:9" x14ac:dyDescent="0.25">
      <c r="B469">
        <v>0</v>
      </c>
      <c r="C469" s="16" t="s">
        <v>9845</v>
      </c>
      <c r="D469" s="16"/>
      <c r="E469">
        <v>6</v>
      </c>
      <c r="F469" t="e">
        <f>-outros</f>
        <v>#NAME?</v>
      </c>
      <c r="G469">
        <v>1</v>
      </c>
      <c r="H469">
        <v>1</v>
      </c>
      <c r="I469">
        <f>1</f>
        <v>1</v>
      </c>
    </row>
    <row r="470" spans="2:9" x14ac:dyDescent="0.25">
      <c r="B470">
        <v>0</v>
      </c>
      <c r="C470" s="16" t="s">
        <v>9846</v>
      </c>
      <c r="D470" s="16"/>
      <c r="E470">
        <v>6</v>
      </c>
      <c r="F470" t="e">
        <f>--Secas</f>
        <v>#NAME?</v>
      </c>
      <c r="G470">
        <v>1</v>
      </c>
      <c r="H470">
        <v>1</v>
      </c>
      <c r="I470">
        <f>1</f>
        <v>1</v>
      </c>
    </row>
    <row r="471" spans="2:9" x14ac:dyDescent="0.25">
      <c r="B471">
        <v>0</v>
      </c>
      <c r="C471" s="16" t="s">
        <v>9847</v>
      </c>
      <c r="D471" s="16"/>
      <c r="E471">
        <v>6</v>
      </c>
      <c r="F471" t="e">
        <f>--Outras</f>
        <v>#NAME?</v>
      </c>
      <c r="G471">
        <v>1</v>
      </c>
      <c r="H471">
        <v>1</v>
      </c>
      <c r="I471">
        <f>1</f>
        <v>1</v>
      </c>
    </row>
    <row r="472" spans="2:9" x14ac:dyDescent="0.25">
      <c r="B472">
        <v>0</v>
      </c>
      <c r="C472" s="16" t="s">
        <v>9847</v>
      </c>
      <c r="D472" s="16" t="s">
        <v>19430</v>
      </c>
      <c r="E472">
        <v>6</v>
      </c>
      <c r="F472" t="s">
        <v>4811</v>
      </c>
      <c r="G472">
        <v>1</v>
      </c>
      <c r="H472">
        <v>1</v>
      </c>
      <c r="I472">
        <f>1</f>
        <v>1</v>
      </c>
    </row>
    <row r="473" spans="2:9" x14ac:dyDescent="0.25">
      <c r="B473">
        <v>0</v>
      </c>
      <c r="C473" s="16" t="s">
        <v>9848</v>
      </c>
      <c r="D473" s="16"/>
      <c r="E473">
        <v>6</v>
      </c>
      <c r="F473" t="e">
        <f>--Secos</f>
        <v>#NAME?</v>
      </c>
      <c r="G473">
        <v>1</v>
      </c>
      <c r="H473">
        <v>1</v>
      </c>
      <c r="I473">
        <f>1</f>
        <v>1</v>
      </c>
    </row>
    <row r="474" spans="2:9" x14ac:dyDescent="0.25">
      <c r="B474">
        <v>0</v>
      </c>
      <c r="C474" s="16" t="s">
        <v>9849</v>
      </c>
      <c r="D474" s="16"/>
      <c r="E474">
        <v>6</v>
      </c>
      <c r="F474" t="e">
        <f>--outros</f>
        <v>#NAME?</v>
      </c>
      <c r="G474">
        <v>1</v>
      </c>
      <c r="H474">
        <v>1</v>
      </c>
      <c r="I474">
        <f>1</f>
        <v>1</v>
      </c>
    </row>
    <row r="475" spans="2:9" x14ac:dyDescent="0.25">
      <c r="B475">
        <v>0</v>
      </c>
      <c r="C475" s="16" t="s">
        <v>9849</v>
      </c>
      <c r="D475" s="16" t="s">
        <v>19430</v>
      </c>
      <c r="E475">
        <v>6</v>
      </c>
      <c r="F475" t="s">
        <v>4812</v>
      </c>
      <c r="G475">
        <v>1</v>
      </c>
      <c r="H475">
        <v>1</v>
      </c>
      <c r="I475">
        <f>1</f>
        <v>1</v>
      </c>
    </row>
    <row r="476" spans="2:9" x14ac:dyDescent="0.25">
      <c r="B476">
        <v>0</v>
      </c>
      <c r="C476" s="16" t="s">
        <v>9850</v>
      </c>
      <c r="D476" s="16"/>
      <c r="E476">
        <v>6</v>
      </c>
      <c r="F476" t="s">
        <v>4813</v>
      </c>
      <c r="G476">
        <v>1</v>
      </c>
      <c r="H476">
        <v>1</v>
      </c>
      <c r="I476">
        <f>1</f>
        <v>1</v>
      </c>
    </row>
    <row r="477" spans="2:9" x14ac:dyDescent="0.25">
      <c r="B477">
        <v>0</v>
      </c>
      <c r="C477" s="16" t="s">
        <v>9850</v>
      </c>
      <c r="D477" s="16" t="s">
        <v>19430</v>
      </c>
      <c r="E477">
        <v>6</v>
      </c>
      <c r="F477" t="s">
        <v>4800</v>
      </c>
      <c r="G477">
        <v>1</v>
      </c>
      <c r="H477">
        <v>1</v>
      </c>
      <c r="I477">
        <f>1</f>
        <v>1</v>
      </c>
    </row>
    <row r="478" spans="2:9" x14ac:dyDescent="0.25">
      <c r="B478">
        <v>0</v>
      </c>
      <c r="C478" s="16" t="s">
        <v>9851</v>
      </c>
      <c r="D478" s="16"/>
      <c r="E478">
        <v>6</v>
      </c>
      <c r="F478" t="s">
        <v>4814</v>
      </c>
      <c r="G478">
        <v>1</v>
      </c>
      <c r="H478">
        <v>1</v>
      </c>
      <c r="I478">
        <f>1</f>
        <v>1</v>
      </c>
    </row>
    <row r="479" spans="2:9" x14ac:dyDescent="0.25">
      <c r="B479">
        <v>0</v>
      </c>
      <c r="C479" s="16" t="s">
        <v>9852</v>
      </c>
      <c r="D479" s="16"/>
      <c r="E479">
        <v>6</v>
      </c>
      <c r="F479" t="s">
        <v>4815</v>
      </c>
      <c r="G479">
        <v>1</v>
      </c>
      <c r="H479">
        <v>1</v>
      </c>
      <c r="I479">
        <f>1</f>
        <v>1</v>
      </c>
    </row>
    <row r="480" spans="2:9" x14ac:dyDescent="0.25">
      <c r="B480">
        <v>0</v>
      </c>
      <c r="C480" s="16" t="s">
        <v>9853</v>
      </c>
      <c r="D480" s="16"/>
      <c r="E480">
        <v>6</v>
      </c>
      <c r="F480" t="s">
        <v>4816</v>
      </c>
      <c r="G480">
        <v>1</v>
      </c>
      <c r="H480">
        <v>1</v>
      </c>
      <c r="I480">
        <f>1</f>
        <v>1</v>
      </c>
    </row>
    <row r="481" spans="2:9" x14ac:dyDescent="0.25">
      <c r="B481">
        <v>0</v>
      </c>
      <c r="C481" s="16" t="s">
        <v>9854</v>
      </c>
      <c r="D481" s="16"/>
      <c r="E481">
        <v>6</v>
      </c>
      <c r="F481" t="s">
        <v>4690</v>
      </c>
      <c r="G481">
        <v>1</v>
      </c>
      <c r="H481">
        <v>1</v>
      </c>
      <c r="I481">
        <f>1</f>
        <v>1</v>
      </c>
    </row>
    <row r="482" spans="2:9" x14ac:dyDescent="0.25">
      <c r="B482">
        <v>0</v>
      </c>
      <c r="C482" s="16" t="s">
        <v>9855</v>
      </c>
      <c r="D482" s="16"/>
      <c r="E482">
        <v>6</v>
      </c>
      <c r="F482" t="s">
        <v>4680</v>
      </c>
      <c r="G482">
        <v>1</v>
      </c>
      <c r="H482">
        <v>1</v>
      </c>
      <c r="I482">
        <f>1</f>
        <v>1</v>
      </c>
    </row>
    <row r="483" spans="2:9" x14ac:dyDescent="0.25">
      <c r="B483">
        <v>0</v>
      </c>
      <c r="C483" s="16" t="s">
        <v>9856</v>
      </c>
      <c r="D483" s="16"/>
      <c r="E483">
        <v>6</v>
      </c>
      <c r="F483" t="s">
        <v>4817</v>
      </c>
      <c r="G483">
        <v>1</v>
      </c>
      <c r="H483">
        <v>1</v>
      </c>
      <c r="I483">
        <f>1</f>
        <v>1</v>
      </c>
    </row>
    <row r="484" spans="2:9" x14ac:dyDescent="0.25">
      <c r="B484">
        <v>0</v>
      </c>
      <c r="C484" s="16" t="s">
        <v>9857</v>
      </c>
      <c r="D484" s="16"/>
      <c r="E484">
        <v>6</v>
      </c>
      <c r="F484" t="s">
        <v>4818</v>
      </c>
      <c r="G484">
        <v>1</v>
      </c>
      <c r="H484">
        <v>1</v>
      </c>
      <c r="I484">
        <f>1</f>
        <v>1</v>
      </c>
    </row>
    <row r="485" spans="2:9" x14ac:dyDescent="0.25">
      <c r="B485">
        <v>0</v>
      </c>
      <c r="C485" s="16" t="s">
        <v>9858</v>
      </c>
      <c r="D485" s="16"/>
      <c r="E485">
        <v>6</v>
      </c>
      <c r="F485" t="s">
        <v>4819</v>
      </c>
      <c r="G485">
        <v>1</v>
      </c>
      <c r="H485">
        <v>1</v>
      </c>
      <c r="I485">
        <f>1</f>
        <v>1</v>
      </c>
    </row>
    <row r="486" spans="2:9" x14ac:dyDescent="0.25">
      <c r="B486">
        <v>0</v>
      </c>
      <c r="C486" s="16" t="s">
        <v>9859</v>
      </c>
      <c r="D486" s="16"/>
      <c r="E486">
        <v>6</v>
      </c>
      <c r="F486" t="s">
        <v>4820</v>
      </c>
      <c r="G486">
        <v>1</v>
      </c>
      <c r="H486">
        <v>1</v>
      </c>
      <c r="I486">
        <f>1</f>
        <v>1</v>
      </c>
    </row>
    <row r="487" spans="2:9" x14ac:dyDescent="0.25">
      <c r="B487">
        <v>0</v>
      </c>
      <c r="C487" s="16" t="s">
        <v>9860</v>
      </c>
      <c r="D487" s="16"/>
      <c r="E487">
        <v>6</v>
      </c>
      <c r="F487" t="s">
        <v>4821</v>
      </c>
      <c r="G487">
        <v>1</v>
      </c>
      <c r="H487">
        <v>1</v>
      </c>
      <c r="I487">
        <f>1</f>
        <v>1</v>
      </c>
    </row>
    <row r="488" spans="2:9" x14ac:dyDescent="0.25">
      <c r="B488">
        <v>0</v>
      </c>
      <c r="C488" s="16" t="s">
        <v>9861</v>
      </c>
      <c r="D488" s="16"/>
      <c r="E488">
        <v>6</v>
      </c>
      <c r="F488" t="s">
        <v>4690</v>
      </c>
      <c r="G488">
        <v>1</v>
      </c>
      <c r="H488">
        <v>1</v>
      </c>
      <c r="I488">
        <f>1</f>
        <v>1</v>
      </c>
    </row>
    <row r="489" spans="2:9" x14ac:dyDescent="0.25">
      <c r="B489">
        <v>0</v>
      </c>
      <c r="C489" s="16" t="s">
        <v>9862</v>
      </c>
      <c r="D489" s="16"/>
      <c r="E489">
        <v>6</v>
      </c>
      <c r="F489" t="s">
        <v>4680</v>
      </c>
      <c r="G489">
        <v>1</v>
      </c>
      <c r="H489">
        <v>1</v>
      </c>
      <c r="I489">
        <f>1</f>
        <v>1</v>
      </c>
    </row>
    <row r="490" spans="2:9" x14ac:dyDescent="0.25">
      <c r="B490">
        <v>0</v>
      </c>
      <c r="C490" s="16" t="s">
        <v>9863</v>
      </c>
      <c r="D490" s="16"/>
      <c r="E490">
        <v>6</v>
      </c>
      <c r="F490" t="s">
        <v>4822</v>
      </c>
      <c r="G490">
        <v>1</v>
      </c>
      <c r="H490">
        <v>1</v>
      </c>
      <c r="I490">
        <f>1</f>
        <v>1</v>
      </c>
    </row>
    <row r="491" spans="2:9" x14ac:dyDescent="0.25">
      <c r="B491">
        <v>0</v>
      </c>
      <c r="C491" s="16" t="s">
        <v>9864</v>
      </c>
      <c r="D491" s="16"/>
      <c r="E491">
        <v>6</v>
      </c>
      <c r="F491" t="e">
        <f>-outros</f>
        <v>#NAME?</v>
      </c>
      <c r="G491">
        <v>1</v>
      </c>
      <c r="H491">
        <v>1</v>
      </c>
      <c r="I491">
        <f>1</f>
        <v>1</v>
      </c>
    </row>
    <row r="492" spans="2:9" x14ac:dyDescent="0.25">
      <c r="B492">
        <v>0</v>
      </c>
      <c r="C492" s="16" t="s">
        <v>9865</v>
      </c>
      <c r="D492" s="16"/>
      <c r="E492">
        <v>6</v>
      </c>
      <c r="F492" t="s">
        <v>4823</v>
      </c>
      <c r="G492">
        <v>1</v>
      </c>
      <c r="H492">
        <v>1</v>
      </c>
      <c r="I492">
        <f>1</f>
        <v>1</v>
      </c>
    </row>
    <row r="493" spans="2:9" x14ac:dyDescent="0.25">
      <c r="B493">
        <v>0</v>
      </c>
      <c r="C493" s="16" t="s">
        <v>9866</v>
      </c>
      <c r="D493" s="16"/>
      <c r="E493">
        <v>6</v>
      </c>
      <c r="F493" t="e">
        <f>-Osseína e ossos acidulados</f>
        <v>#NAME?</v>
      </c>
      <c r="G493">
        <v>1</v>
      </c>
      <c r="H493">
        <v>1</v>
      </c>
      <c r="I493">
        <f>1</f>
        <v>1</v>
      </c>
    </row>
    <row r="494" spans="2:9" x14ac:dyDescent="0.25">
      <c r="B494">
        <v>0</v>
      </c>
      <c r="C494" s="16" t="s">
        <v>9867</v>
      </c>
      <c r="D494" s="16"/>
      <c r="E494">
        <v>6</v>
      </c>
      <c r="F494" t="e">
        <f>-outros</f>
        <v>#NAME?</v>
      </c>
      <c r="G494">
        <v>1</v>
      </c>
      <c r="H494">
        <v>1</v>
      </c>
      <c r="I494">
        <f>1</f>
        <v>1</v>
      </c>
    </row>
    <row r="495" spans="2:9" x14ac:dyDescent="0.25">
      <c r="B495">
        <v>0</v>
      </c>
      <c r="C495" s="16" t="s">
        <v>9868</v>
      </c>
      <c r="D495" s="16"/>
      <c r="E495">
        <v>6</v>
      </c>
      <c r="F495" t="s">
        <v>4824</v>
      </c>
      <c r="G495">
        <v>1</v>
      </c>
      <c r="H495">
        <v>1</v>
      </c>
      <c r="I495">
        <f>1</f>
        <v>1</v>
      </c>
    </row>
    <row r="496" spans="2:9" x14ac:dyDescent="0.25">
      <c r="B496">
        <v>0</v>
      </c>
      <c r="C496" s="16" t="s">
        <v>9869</v>
      </c>
      <c r="D496" s="16"/>
      <c r="E496">
        <v>6</v>
      </c>
      <c r="F496" t="e">
        <f>-outros</f>
        <v>#NAME?</v>
      </c>
      <c r="G496">
        <v>1</v>
      </c>
      <c r="H496">
        <v>1</v>
      </c>
      <c r="I496">
        <f>1</f>
        <v>1</v>
      </c>
    </row>
    <row r="497" spans="2:9" x14ac:dyDescent="0.25">
      <c r="B497">
        <v>0</v>
      </c>
      <c r="C497" s="16" t="s">
        <v>9870</v>
      </c>
      <c r="D497" s="16"/>
      <c r="E497">
        <v>6</v>
      </c>
      <c r="F497" t="s">
        <v>4825</v>
      </c>
      <c r="G497">
        <v>1</v>
      </c>
      <c r="H497">
        <v>1</v>
      </c>
      <c r="I497">
        <f>1</f>
        <v>1</v>
      </c>
    </row>
    <row r="498" spans="2:9" x14ac:dyDescent="0.25">
      <c r="B498">
        <v>0</v>
      </c>
      <c r="C498" s="16" t="s">
        <v>9871</v>
      </c>
      <c r="D498" s="16"/>
      <c r="E498">
        <v>6</v>
      </c>
      <c r="F498" t="s">
        <v>4826</v>
      </c>
      <c r="G498">
        <v>1</v>
      </c>
      <c r="H498">
        <v>1</v>
      </c>
      <c r="I498">
        <f>1</f>
        <v>1</v>
      </c>
    </row>
    <row r="499" spans="2:9" x14ac:dyDescent="0.25">
      <c r="B499">
        <v>0</v>
      </c>
      <c r="C499" s="16" t="s">
        <v>9872</v>
      </c>
      <c r="D499" s="16"/>
      <c r="E499">
        <v>6</v>
      </c>
      <c r="F499" t="s">
        <v>4680</v>
      </c>
      <c r="G499">
        <v>1</v>
      </c>
      <c r="H499">
        <v>1</v>
      </c>
      <c r="I499">
        <f>1</f>
        <v>1</v>
      </c>
    </row>
    <row r="500" spans="2:9" x14ac:dyDescent="0.25">
      <c r="B500">
        <v>0</v>
      </c>
      <c r="C500" s="16" t="s">
        <v>9873</v>
      </c>
      <c r="D500" s="16"/>
      <c r="E500">
        <v>6</v>
      </c>
      <c r="F500" t="e">
        <f>-Sêmen De bovino</f>
        <v>#NAME?</v>
      </c>
      <c r="G500">
        <v>1</v>
      </c>
      <c r="H500">
        <v>1</v>
      </c>
      <c r="I500">
        <f>1</f>
        <v>1</v>
      </c>
    </row>
    <row r="501" spans="2:9" x14ac:dyDescent="0.25">
      <c r="B501">
        <v>0</v>
      </c>
      <c r="C501" s="16" t="s">
        <v>9874</v>
      </c>
      <c r="D501" s="16"/>
      <c r="E501">
        <v>6</v>
      </c>
      <c r="F501" t="s">
        <v>4827</v>
      </c>
      <c r="G501">
        <v>1</v>
      </c>
      <c r="H501">
        <v>1</v>
      </c>
      <c r="I501">
        <f>1</f>
        <v>1</v>
      </c>
    </row>
    <row r="502" spans="2:9" x14ac:dyDescent="0.25">
      <c r="B502">
        <v>0</v>
      </c>
      <c r="C502" s="16" t="s">
        <v>9875</v>
      </c>
      <c r="D502" s="16"/>
      <c r="E502">
        <v>6</v>
      </c>
      <c r="F502" t="s">
        <v>4680</v>
      </c>
      <c r="G502">
        <v>1</v>
      </c>
      <c r="H502">
        <v>1</v>
      </c>
      <c r="I502">
        <f>1</f>
        <v>1</v>
      </c>
    </row>
    <row r="503" spans="2:9" x14ac:dyDescent="0.25">
      <c r="B503">
        <v>0</v>
      </c>
      <c r="C503" s="16" t="s">
        <v>9876</v>
      </c>
      <c r="D503" s="16"/>
      <c r="E503">
        <v>6</v>
      </c>
      <c r="F503" t="s">
        <v>4828</v>
      </c>
      <c r="G503">
        <v>1</v>
      </c>
      <c r="H503">
        <v>1</v>
      </c>
      <c r="I503">
        <f>1</f>
        <v>1</v>
      </c>
    </row>
    <row r="504" spans="2:9" x14ac:dyDescent="0.25">
      <c r="B504">
        <v>0</v>
      </c>
      <c r="C504" s="16" t="s">
        <v>9877</v>
      </c>
      <c r="D504" s="16"/>
      <c r="E504">
        <v>6</v>
      </c>
      <c r="F504" t="s">
        <v>4829</v>
      </c>
      <c r="G504">
        <v>1</v>
      </c>
      <c r="H504">
        <v>1</v>
      </c>
      <c r="I504">
        <f>1</f>
        <v>1</v>
      </c>
    </row>
    <row r="505" spans="2:9" x14ac:dyDescent="0.25">
      <c r="B505">
        <v>0</v>
      </c>
      <c r="C505" s="16" t="s">
        <v>9878</v>
      </c>
      <c r="D505" s="16"/>
      <c r="E505">
        <v>6</v>
      </c>
      <c r="F505" t="s">
        <v>4830</v>
      </c>
      <c r="G505">
        <v>1</v>
      </c>
      <c r="H505">
        <v>1</v>
      </c>
      <c r="I505">
        <f>1</f>
        <v>1</v>
      </c>
    </row>
    <row r="506" spans="2:9" x14ac:dyDescent="0.25">
      <c r="B506">
        <v>0</v>
      </c>
      <c r="C506" s="16" t="s">
        <v>9879</v>
      </c>
      <c r="D506" s="16"/>
      <c r="E506">
        <v>6</v>
      </c>
      <c r="F506" t="s">
        <v>4831</v>
      </c>
      <c r="G506">
        <v>1</v>
      </c>
      <c r="H506">
        <v>1</v>
      </c>
      <c r="I506">
        <f>1</f>
        <v>1</v>
      </c>
    </row>
    <row r="507" spans="2:9" x14ac:dyDescent="0.25">
      <c r="B507">
        <v>0</v>
      </c>
      <c r="C507" s="16" t="s">
        <v>9880</v>
      </c>
      <c r="D507" s="16"/>
      <c r="E507">
        <v>6</v>
      </c>
      <c r="F507" t="s">
        <v>4680</v>
      </c>
      <c r="G507">
        <v>1</v>
      </c>
      <c r="H507">
        <v>1</v>
      </c>
      <c r="I507">
        <f>1</f>
        <v>1</v>
      </c>
    </row>
    <row r="508" spans="2:9" x14ac:dyDescent="0.25">
      <c r="B508">
        <v>0</v>
      </c>
      <c r="C508" s="16" t="s">
        <v>9881</v>
      </c>
      <c r="D508" s="16"/>
      <c r="E508">
        <v>6</v>
      </c>
      <c r="F508" t="s">
        <v>4832</v>
      </c>
      <c r="G508">
        <v>1</v>
      </c>
      <c r="H508">
        <v>1</v>
      </c>
      <c r="I508">
        <f>1</f>
        <v>1</v>
      </c>
    </row>
    <row r="509" spans="2:9" x14ac:dyDescent="0.25">
      <c r="B509">
        <v>0</v>
      </c>
      <c r="C509" s="16" t="s">
        <v>9882</v>
      </c>
      <c r="D509" s="16"/>
      <c r="E509">
        <v>6</v>
      </c>
      <c r="F509" t="e">
        <f>-Estacas Não enraizadas e enxertos</f>
        <v>#NAME?</v>
      </c>
      <c r="G509">
        <v>1</v>
      </c>
      <c r="H509">
        <v>1</v>
      </c>
      <c r="I509">
        <f>1</f>
        <v>1</v>
      </c>
    </row>
    <row r="510" spans="2:9" x14ac:dyDescent="0.25">
      <c r="B510">
        <v>0</v>
      </c>
      <c r="C510" s="16" t="s">
        <v>9883</v>
      </c>
      <c r="D510" s="16"/>
      <c r="E510">
        <v>6</v>
      </c>
      <c r="F510" t="s">
        <v>4833</v>
      </c>
      <c r="G510">
        <v>1</v>
      </c>
      <c r="H510">
        <v>1</v>
      </c>
      <c r="I510">
        <f>1</f>
        <v>1</v>
      </c>
    </row>
    <row r="511" spans="2:9" x14ac:dyDescent="0.25">
      <c r="B511">
        <v>0</v>
      </c>
      <c r="C511" s="16" t="s">
        <v>9884</v>
      </c>
      <c r="D511" s="16"/>
      <c r="E511">
        <v>6</v>
      </c>
      <c r="F511" t="s">
        <v>4834</v>
      </c>
      <c r="G511">
        <v>1</v>
      </c>
      <c r="H511">
        <v>1</v>
      </c>
      <c r="I511">
        <f>1</f>
        <v>1</v>
      </c>
    </row>
    <row r="512" spans="2:9" x14ac:dyDescent="0.25">
      <c r="B512">
        <v>0</v>
      </c>
      <c r="C512" s="16" t="s">
        <v>9885</v>
      </c>
      <c r="D512" s="16"/>
      <c r="E512">
        <v>6</v>
      </c>
      <c r="F512" t="s">
        <v>4835</v>
      </c>
      <c r="G512">
        <v>1</v>
      </c>
      <c r="H512">
        <v>1</v>
      </c>
      <c r="I512">
        <f>1</f>
        <v>1</v>
      </c>
    </row>
    <row r="513" spans="2:9" x14ac:dyDescent="0.25">
      <c r="B513">
        <v>0</v>
      </c>
      <c r="C513" s="16" t="s">
        <v>9886</v>
      </c>
      <c r="D513" s="16"/>
      <c r="E513">
        <v>6</v>
      </c>
      <c r="F513" t="s">
        <v>4836</v>
      </c>
      <c r="G513">
        <v>1</v>
      </c>
      <c r="H513">
        <v>1</v>
      </c>
      <c r="I513">
        <f>1</f>
        <v>1</v>
      </c>
    </row>
    <row r="514" spans="2:9" x14ac:dyDescent="0.25">
      <c r="B514">
        <v>0</v>
      </c>
      <c r="C514" s="16" t="s">
        <v>9887</v>
      </c>
      <c r="D514" s="16"/>
      <c r="E514">
        <v>6</v>
      </c>
      <c r="F514" t="s">
        <v>4837</v>
      </c>
      <c r="G514">
        <v>1</v>
      </c>
      <c r="H514">
        <v>1</v>
      </c>
      <c r="I514">
        <f>1</f>
        <v>1</v>
      </c>
    </row>
    <row r="515" spans="2:9" x14ac:dyDescent="0.25">
      <c r="B515">
        <v>0</v>
      </c>
      <c r="C515" s="16" t="s">
        <v>9888</v>
      </c>
      <c r="D515" s="16"/>
      <c r="E515">
        <v>6</v>
      </c>
      <c r="F515" t="s">
        <v>4690</v>
      </c>
      <c r="G515">
        <v>1</v>
      </c>
      <c r="H515">
        <v>1</v>
      </c>
      <c r="I515">
        <f>1</f>
        <v>1</v>
      </c>
    </row>
    <row r="516" spans="2:9" x14ac:dyDescent="0.25">
      <c r="B516">
        <v>0</v>
      </c>
      <c r="C516" s="16" t="s">
        <v>9889</v>
      </c>
      <c r="D516" s="16"/>
      <c r="E516">
        <v>6</v>
      </c>
      <c r="F516" t="s">
        <v>4838</v>
      </c>
      <c r="G516">
        <v>1</v>
      </c>
      <c r="H516">
        <v>1</v>
      </c>
      <c r="I516">
        <f>1</f>
        <v>1</v>
      </c>
    </row>
    <row r="517" spans="2:9" x14ac:dyDescent="0.25">
      <c r="B517">
        <v>0</v>
      </c>
      <c r="C517" s="16" t="s">
        <v>9890</v>
      </c>
      <c r="D517" s="16"/>
      <c r="E517">
        <v>6</v>
      </c>
      <c r="F517" t="s">
        <v>4839</v>
      </c>
      <c r="G517">
        <v>1</v>
      </c>
      <c r="H517">
        <v>1</v>
      </c>
      <c r="I517">
        <f>1</f>
        <v>1</v>
      </c>
    </row>
    <row r="518" spans="2:9" x14ac:dyDescent="0.25">
      <c r="B518">
        <v>0</v>
      </c>
      <c r="C518" s="16" t="s">
        <v>9891</v>
      </c>
      <c r="D518" s="16"/>
      <c r="E518">
        <v>6</v>
      </c>
      <c r="F518" t="s">
        <v>4840</v>
      </c>
      <c r="G518">
        <v>1</v>
      </c>
      <c r="H518">
        <v>1</v>
      </c>
      <c r="I518">
        <f>1</f>
        <v>1</v>
      </c>
    </row>
    <row r="519" spans="2:9" x14ac:dyDescent="0.25">
      <c r="B519">
        <v>0</v>
      </c>
      <c r="C519" s="16" t="s">
        <v>9892</v>
      </c>
      <c r="D519" s="16"/>
      <c r="E519">
        <v>6</v>
      </c>
      <c r="F519" t="s">
        <v>4690</v>
      </c>
      <c r="G519">
        <v>1</v>
      </c>
      <c r="H519">
        <v>1</v>
      </c>
      <c r="I519">
        <f>1</f>
        <v>1</v>
      </c>
    </row>
    <row r="520" spans="2:9" x14ac:dyDescent="0.25">
      <c r="B520">
        <v>0</v>
      </c>
      <c r="C520" s="16" t="s">
        <v>9893</v>
      </c>
      <c r="D520" s="16"/>
      <c r="E520">
        <v>6</v>
      </c>
      <c r="F520" t="s">
        <v>4690</v>
      </c>
      <c r="G520">
        <v>1</v>
      </c>
      <c r="H520">
        <v>1</v>
      </c>
      <c r="I520">
        <f>1</f>
        <v>1</v>
      </c>
    </row>
    <row r="521" spans="2:9" x14ac:dyDescent="0.25">
      <c r="B521">
        <v>0</v>
      </c>
      <c r="C521" s="16" t="s">
        <v>9894</v>
      </c>
      <c r="D521" s="16"/>
      <c r="E521">
        <v>6</v>
      </c>
      <c r="F521" t="e">
        <f>--Rosas</f>
        <v>#NAME?</v>
      </c>
      <c r="G521">
        <v>1</v>
      </c>
      <c r="H521">
        <v>1</v>
      </c>
      <c r="I521">
        <f>1</f>
        <v>1</v>
      </c>
    </row>
    <row r="522" spans="2:9" x14ac:dyDescent="0.25">
      <c r="B522">
        <v>0</v>
      </c>
      <c r="C522" s="16" t="s">
        <v>9895</v>
      </c>
      <c r="D522" s="16"/>
      <c r="E522">
        <v>6</v>
      </c>
      <c r="F522" t="e">
        <f>--Cravos</f>
        <v>#NAME?</v>
      </c>
      <c r="G522">
        <v>1</v>
      </c>
      <c r="H522">
        <v>1</v>
      </c>
      <c r="I522">
        <f>1</f>
        <v>1</v>
      </c>
    </row>
    <row r="523" spans="2:9" x14ac:dyDescent="0.25">
      <c r="B523">
        <v>0</v>
      </c>
      <c r="C523" s="16" t="s">
        <v>9896</v>
      </c>
      <c r="D523" s="16"/>
      <c r="E523">
        <v>6</v>
      </c>
      <c r="F523" t="e">
        <f>--Orquídeas</f>
        <v>#NAME?</v>
      </c>
      <c r="G523">
        <v>1</v>
      </c>
      <c r="H523">
        <v>1</v>
      </c>
      <c r="I523">
        <f>1</f>
        <v>1</v>
      </c>
    </row>
    <row r="524" spans="2:9" x14ac:dyDescent="0.25">
      <c r="B524">
        <v>0</v>
      </c>
      <c r="C524" s="16" t="s">
        <v>9897</v>
      </c>
      <c r="D524" s="16"/>
      <c r="E524">
        <v>6</v>
      </c>
      <c r="F524" t="e">
        <f>--Crisântemos</f>
        <v>#NAME?</v>
      </c>
      <c r="G524">
        <v>1</v>
      </c>
      <c r="H524">
        <v>1</v>
      </c>
      <c r="I524">
        <f>1</f>
        <v>1</v>
      </c>
    </row>
    <row r="525" spans="2:9" x14ac:dyDescent="0.25">
      <c r="B525">
        <v>0</v>
      </c>
      <c r="C525" s="16" t="s">
        <v>9898</v>
      </c>
      <c r="D525" s="16"/>
      <c r="E525">
        <v>6</v>
      </c>
      <c r="F525" t="e">
        <f>--Lírios  Lilium spp.</f>
        <v>#NAME?</v>
      </c>
      <c r="G525">
        <v>1</v>
      </c>
      <c r="H525">
        <v>1</v>
      </c>
      <c r="I525">
        <f>1</f>
        <v>1</v>
      </c>
    </row>
    <row r="526" spans="2:9" x14ac:dyDescent="0.25">
      <c r="B526">
        <v>0</v>
      </c>
      <c r="C526" s="16" t="s">
        <v>9899</v>
      </c>
      <c r="D526" s="16"/>
      <c r="E526">
        <v>6</v>
      </c>
      <c r="F526" t="e">
        <f>--outros</f>
        <v>#NAME?</v>
      </c>
      <c r="G526">
        <v>1</v>
      </c>
      <c r="H526">
        <v>1</v>
      </c>
      <c r="I526">
        <f>1</f>
        <v>1</v>
      </c>
    </row>
    <row r="527" spans="2:9" x14ac:dyDescent="0.25">
      <c r="B527">
        <v>0</v>
      </c>
      <c r="C527" s="16" t="s">
        <v>9900</v>
      </c>
      <c r="D527" s="16"/>
      <c r="E527">
        <v>6</v>
      </c>
      <c r="F527" t="e">
        <f>-outros</f>
        <v>#NAME?</v>
      </c>
      <c r="G527">
        <v>1</v>
      </c>
      <c r="H527">
        <v>1</v>
      </c>
      <c r="I527">
        <f>1</f>
        <v>1</v>
      </c>
    </row>
    <row r="528" spans="2:9" x14ac:dyDescent="0.25">
      <c r="B528">
        <v>0</v>
      </c>
      <c r="C528" s="16" t="s">
        <v>9901</v>
      </c>
      <c r="D528" s="16"/>
      <c r="E528">
        <v>6</v>
      </c>
      <c r="F528" t="e">
        <f>-Frescos</f>
        <v>#NAME?</v>
      </c>
      <c r="G528">
        <v>1</v>
      </c>
      <c r="H528">
        <v>1</v>
      </c>
      <c r="I528">
        <f>1</f>
        <v>1</v>
      </c>
    </row>
    <row r="529" spans="2:9" x14ac:dyDescent="0.25">
      <c r="B529">
        <v>0</v>
      </c>
      <c r="C529" s="16" t="s">
        <v>9902</v>
      </c>
      <c r="D529" s="16"/>
      <c r="E529">
        <v>6</v>
      </c>
      <c r="F529" t="e">
        <f>-outros</f>
        <v>#NAME?</v>
      </c>
      <c r="G529">
        <v>1</v>
      </c>
      <c r="H529">
        <v>1</v>
      </c>
      <c r="I529">
        <f>1</f>
        <v>1</v>
      </c>
    </row>
    <row r="530" spans="2:9" x14ac:dyDescent="0.25">
      <c r="B530">
        <v>0</v>
      </c>
      <c r="C530" s="16" t="s">
        <v>9903</v>
      </c>
      <c r="D530" s="16"/>
      <c r="E530">
        <v>6</v>
      </c>
      <c r="F530" t="e">
        <f>-para semeadura</f>
        <v>#NAME?</v>
      </c>
      <c r="G530">
        <v>1</v>
      </c>
      <c r="H530">
        <v>1</v>
      </c>
      <c r="I530">
        <f>1</f>
        <v>1</v>
      </c>
    </row>
    <row r="531" spans="2:9" x14ac:dyDescent="0.25">
      <c r="B531">
        <v>0</v>
      </c>
      <c r="C531" s="16" t="s">
        <v>9904</v>
      </c>
      <c r="D531" s="16"/>
      <c r="E531">
        <v>6</v>
      </c>
      <c r="F531" t="e">
        <f>-Outras</f>
        <v>#NAME?</v>
      </c>
      <c r="G531">
        <v>1</v>
      </c>
      <c r="H531">
        <v>1</v>
      </c>
      <c r="I531">
        <f>1</f>
        <v>1</v>
      </c>
    </row>
    <row r="532" spans="2:9" x14ac:dyDescent="0.25">
      <c r="B532">
        <v>0</v>
      </c>
      <c r="C532" s="16" t="s">
        <v>9905</v>
      </c>
      <c r="D532" s="16"/>
      <c r="E532">
        <v>6</v>
      </c>
      <c r="F532" t="s">
        <v>4841</v>
      </c>
      <c r="G532">
        <v>1</v>
      </c>
      <c r="H532">
        <v>1</v>
      </c>
      <c r="I532">
        <f>1</f>
        <v>1</v>
      </c>
    </row>
    <row r="533" spans="2:9" x14ac:dyDescent="0.25">
      <c r="B533">
        <v>0</v>
      </c>
      <c r="C533" s="16" t="s">
        <v>9906</v>
      </c>
      <c r="D533" s="16"/>
      <c r="E533">
        <v>6</v>
      </c>
      <c r="F533" t="s">
        <v>4842</v>
      </c>
      <c r="G533">
        <v>1</v>
      </c>
      <c r="H533">
        <v>1</v>
      </c>
      <c r="I533">
        <f>1</f>
        <v>1</v>
      </c>
    </row>
    <row r="534" spans="2:9" x14ac:dyDescent="0.25">
      <c r="B534">
        <v>0</v>
      </c>
      <c r="C534" s="16" t="s">
        <v>9907</v>
      </c>
      <c r="D534" s="16"/>
      <c r="E534">
        <v>6</v>
      </c>
      <c r="F534" t="s">
        <v>4690</v>
      </c>
      <c r="G534">
        <v>1</v>
      </c>
      <c r="H534">
        <v>1</v>
      </c>
      <c r="I534">
        <f>1</f>
        <v>1</v>
      </c>
    </row>
    <row r="535" spans="2:9" x14ac:dyDescent="0.25">
      <c r="B535">
        <v>0</v>
      </c>
      <c r="C535" s="16" t="s">
        <v>9908</v>
      </c>
      <c r="D535" s="16"/>
      <c r="E535">
        <v>6</v>
      </c>
      <c r="F535" t="s">
        <v>4842</v>
      </c>
      <c r="G535">
        <v>1</v>
      </c>
      <c r="H535">
        <v>1</v>
      </c>
      <c r="I535">
        <f>1</f>
        <v>1</v>
      </c>
    </row>
    <row r="536" spans="2:9" x14ac:dyDescent="0.25">
      <c r="B536">
        <v>0</v>
      </c>
      <c r="C536" s="16" t="s">
        <v>9909</v>
      </c>
      <c r="D536" s="16"/>
      <c r="E536">
        <v>6</v>
      </c>
      <c r="F536" t="s">
        <v>4690</v>
      </c>
      <c r="G536">
        <v>1</v>
      </c>
      <c r="H536">
        <v>1</v>
      </c>
      <c r="I536">
        <f>1</f>
        <v>1</v>
      </c>
    </row>
    <row r="537" spans="2:9" x14ac:dyDescent="0.25">
      <c r="B537">
        <v>0</v>
      </c>
      <c r="C537" s="16" t="s">
        <v>9910</v>
      </c>
      <c r="D537" s="16"/>
      <c r="E537">
        <v>6</v>
      </c>
      <c r="F537" t="s">
        <v>4842</v>
      </c>
      <c r="G537">
        <v>1</v>
      </c>
      <c r="H537">
        <v>1</v>
      </c>
      <c r="I537">
        <f>1</f>
        <v>1</v>
      </c>
    </row>
    <row r="538" spans="2:9" x14ac:dyDescent="0.25">
      <c r="B538">
        <v>0</v>
      </c>
      <c r="C538" s="16" t="s">
        <v>9911</v>
      </c>
      <c r="D538" s="16"/>
      <c r="E538">
        <v>6</v>
      </c>
      <c r="F538" t="s">
        <v>4680</v>
      </c>
      <c r="G538">
        <v>1</v>
      </c>
      <c r="H538">
        <v>1</v>
      </c>
      <c r="I538">
        <f>1</f>
        <v>1</v>
      </c>
    </row>
    <row r="539" spans="2:9" x14ac:dyDescent="0.25">
      <c r="B539">
        <v>0</v>
      </c>
      <c r="C539" s="16" t="s">
        <v>9912</v>
      </c>
      <c r="D539" s="16"/>
      <c r="E539">
        <v>6</v>
      </c>
      <c r="F539" t="s">
        <v>4842</v>
      </c>
      <c r="G539">
        <v>1</v>
      </c>
      <c r="H539">
        <v>1</v>
      </c>
      <c r="I539">
        <f>1</f>
        <v>1</v>
      </c>
    </row>
    <row r="540" spans="2:9" x14ac:dyDescent="0.25">
      <c r="B540">
        <v>0</v>
      </c>
      <c r="C540" s="16" t="s">
        <v>9913</v>
      </c>
      <c r="D540" s="16"/>
      <c r="E540">
        <v>6</v>
      </c>
      <c r="F540" t="s">
        <v>4680</v>
      </c>
      <c r="G540">
        <v>1</v>
      </c>
      <c r="H540">
        <v>1</v>
      </c>
      <c r="I540">
        <f>1</f>
        <v>1</v>
      </c>
    </row>
    <row r="541" spans="2:9" x14ac:dyDescent="0.25">
      <c r="B541">
        <v>0</v>
      </c>
      <c r="C541" s="16" t="s">
        <v>9914</v>
      </c>
      <c r="D541" s="16"/>
      <c r="E541">
        <v>6</v>
      </c>
      <c r="F541" t="e">
        <f>-Couve-flor e brócolis</f>
        <v>#NAME?</v>
      </c>
      <c r="G541">
        <v>1</v>
      </c>
      <c r="H541">
        <v>1</v>
      </c>
      <c r="I541">
        <f>1</f>
        <v>1</v>
      </c>
    </row>
    <row r="542" spans="2:9" x14ac:dyDescent="0.25">
      <c r="B542">
        <v>0</v>
      </c>
      <c r="C542" s="16" t="s">
        <v>9915</v>
      </c>
      <c r="D542" s="16"/>
      <c r="E542">
        <v>6</v>
      </c>
      <c r="F542" t="e">
        <f>-Couve-De-bruxelas</f>
        <v>#NAME?</v>
      </c>
      <c r="G542">
        <v>1</v>
      </c>
      <c r="H542">
        <v>1</v>
      </c>
      <c r="I542">
        <f>1</f>
        <v>1</v>
      </c>
    </row>
    <row r="543" spans="2:9" x14ac:dyDescent="0.25">
      <c r="B543">
        <v>0</v>
      </c>
      <c r="C543" s="16" t="s">
        <v>9916</v>
      </c>
      <c r="D543" s="16"/>
      <c r="E543">
        <v>6</v>
      </c>
      <c r="F543" t="e">
        <f>-outros</f>
        <v>#NAME?</v>
      </c>
      <c r="G543">
        <v>1</v>
      </c>
      <c r="H543">
        <v>1</v>
      </c>
      <c r="I543">
        <f>1</f>
        <v>1</v>
      </c>
    </row>
    <row r="544" spans="2:9" x14ac:dyDescent="0.25">
      <c r="B544">
        <v>0</v>
      </c>
      <c r="C544" s="16" t="s">
        <v>9917</v>
      </c>
      <c r="D544" s="16"/>
      <c r="E544">
        <v>6</v>
      </c>
      <c r="F544" t="e">
        <f>--Repolhudas</f>
        <v>#NAME?</v>
      </c>
      <c r="G544">
        <v>1</v>
      </c>
      <c r="H544">
        <v>1</v>
      </c>
      <c r="I544">
        <f>1</f>
        <v>1</v>
      </c>
    </row>
    <row r="545" spans="2:9" x14ac:dyDescent="0.25">
      <c r="B545">
        <v>0</v>
      </c>
      <c r="C545" s="16" t="s">
        <v>9918</v>
      </c>
      <c r="D545" s="16"/>
      <c r="E545">
        <v>6</v>
      </c>
      <c r="F545" t="e">
        <f>--Outras</f>
        <v>#NAME?</v>
      </c>
      <c r="G545">
        <v>1</v>
      </c>
      <c r="H545">
        <v>1</v>
      </c>
      <c r="I545">
        <f>1</f>
        <v>1</v>
      </c>
    </row>
    <row r="546" spans="2:9" x14ac:dyDescent="0.25">
      <c r="B546">
        <v>0</v>
      </c>
      <c r="C546" s="16" t="s">
        <v>9919</v>
      </c>
      <c r="D546" s="16"/>
      <c r="E546">
        <v>6</v>
      </c>
      <c r="F546" t="e">
        <f>--Endívia  Cichorium intybus var. foliosum</f>
        <v>#NAME?</v>
      </c>
      <c r="G546">
        <v>1</v>
      </c>
      <c r="H546">
        <v>1</v>
      </c>
      <c r="I546">
        <f>1</f>
        <v>1</v>
      </c>
    </row>
    <row r="547" spans="2:9" x14ac:dyDescent="0.25">
      <c r="B547">
        <v>0</v>
      </c>
      <c r="C547" s="16" t="s">
        <v>9920</v>
      </c>
      <c r="D547" s="16"/>
      <c r="E547">
        <v>6</v>
      </c>
      <c r="F547" t="e">
        <f>--Outras</f>
        <v>#NAME?</v>
      </c>
      <c r="G547">
        <v>1</v>
      </c>
      <c r="H547">
        <v>1</v>
      </c>
      <c r="I547">
        <f>1</f>
        <v>1</v>
      </c>
    </row>
    <row r="548" spans="2:9" x14ac:dyDescent="0.25">
      <c r="B548">
        <v>0</v>
      </c>
      <c r="C548" s="16" t="s">
        <v>9921</v>
      </c>
      <c r="D548" s="16"/>
      <c r="E548">
        <v>6</v>
      </c>
      <c r="F548" t="e">
        <f>-Cenouras e nabos</f>
        <v>#NAME?</v>
      </c>
      <c r="G548">
        <v>1</v>
      </c>
      <c r="H548">
        <v>1</v>
      </c>
      <c r="I548">
        <f>1</f>
        <v>1</v>
      </c>
    </row>
    <row r="549" spans="2:9" x14ac:dyDescent="0.25">
      <c r="B549">
        <v>0</v>
      </c>
      <c r="C549" s="16" t="s">
        <v>9922</v>
      </c>
      <c r="D549" s="16"/>
      <c r="E549">
        <v>6</v>
      </c>
      <c r="F549" t="e">
        <f>-outros</f>
        <v>#NAME?</v>
      </c>
      <c r="G549">
        <v>1</v>
      </c>
      <c r="H549">
        <v>1</v>
      </c>
      <c r="I549">
        <f>1</f>
        <v>1</v>
      </c>
    </row>
    <row r="550" spans="2:9" x14ac:dyDescent="0.25">
      <c r="B550">
        <v>0</v>
      </c>
      <c r="C550" s="16" t="s">
        <v>9923</v>
      </c>
      <c r="D550" s="16"/>
      <c r="E550">
        <v>6</v>
      </c>
      <c r="F550" t="s">
        <v>4843</v>
      </c>
      <c r="G550">
        <v>1</v>
      </c>
      <c r="H550">
        <v>1</v>
      </c>
      <c r="I550">
        <f>1</f>
        <v>1</v>
      </c>
    </row>
    <row r="551" spans="2:9" x14ac:dyDescent="0.25">
      <c r="B551">
        <v>0</v>
      </c>
      <c r="C551" s="16" t="s">
        <v>9924</v>
      </c>
      <c r="D551" s="16"/>
      <c r="E551">
        <v>6</v>
      </c>
      <c r="F551" t="e">
        <f>-Ervilhas  Pisum sativum</f>
        <v>#NAME?</v>
      </c>
      <c r="G551">
        <v>1</v>
      </c>
      <c r="H551">
        <v>1</v>
      </c>
      <c r="I551">
        <f>1</f>
        <v>1</v>
      </c>
    </row>
    <row r="552" spans="2:9" x14ac:dyDescent="0.25">
      <c r="B552">
        <v>0</v>
      </c>
      <c r="C552" s="16" t="s">
        <v>9925</v>
      </c>
      <c r="D552" s="16"/>
      <c r="E552">
        <v>6</v>
      </c>
      <c r="F552" t="s">
        <v>4844</v>
      </c>
      <c r="G552">
        <v>1</v>
      </c>
      <c r="H552">
        <v>1</v>
      </c>
      <c r="I552">
        <f>1</f>
        <v>1</v>
      </c>
    </row>
    <row r="553" spans="2:9" x14ac:dyDescent="0.25">
      <c r="B553">
        <v>0</v>
      </c>
      <c r="C553" s="16" t="s">
        <v>9926</v>
      </c>
      <c r="D553" s="16"/>
      <c r="E553">
        <v>6</v>
      </c>
      <c r="F553" t="e">
        <f>-outros legumes De vagem</f>
        <v>#NAME?</v>
      </c>
      <c r="G553">
        <v>1</v>
      </c>
      <c r="H553">
        <v>1</v>
      </c>
      <c r="I553">
        <f>1</f>
        <v>1</v>
      </c>
    </row>
    <row r="554" spans="2:9" x14ac:dyDescent="0.25">
      <c r="B554">
        <v>0</v>
      </c>
      <c r="C554" s="16" t="s">
        <v>9927</v>
      </c>
      <c r="D554" s="16"/>
      <c r="E554">
        <v>6</v>
      </c>
      <c r="F554" t="e">
        <f>-Aspargos</f>
        <v>#NAME?</v>
      </c>
      <c r="G554">
        <v>1</v>
      </c>
      <c r="H554">
        <v>1</v>
      </c>
      <c r="I554">
        <f>1</f>
        <v>1</v>
      </c>
    </row>
    <row r="555" spans="2:9" x14ac:dyDescent="0.25">
      <c r="B555">
        <v>0</v>
      </c>
      <c r="C555" s="16" t="s">
        <v>9928</v>
      </c>
      <c r="D555" s="16"/>
      <c r="E555">
        <v>6</v>
      </c>
      <c r="F555" t="e">
        <f>-Beringelas</f>
        <v>#NAME?</v>
      </c>
      <c r="G555">
        <v>1</v>
      </c>
      <c r="H555">
        <v>1</v>
      </c>
      <c r="I555">
        <f>1</f>
        <v>1</v>
      </c>
    </row>
    <row r="556" spans="2:9" x14ac:dyDescent="0.25">
      <c r="B556">
        <v>0</v>
      </c>
      <c r="C556" s="16" t="s">
        <v>9929</v>
      </c>
      <c r="D556" s="16"/>
      <c r="E556">
        <v>6</v>
      </c>
      <c r="F556" t="s">
        <v>4845</v>
      </c>
      <c r="G556">
        <v>1</v>
      </c>
      <c r="H556">
        <v>1</v>
      </c>
      <c r="I556">
        <f>1</f>
        <v>1</v>
      </c>
    </row>
    <row r="557" spans="2:9" x14ac:dyDescent="0.25">
      <c r="B557">
        <v>0</v>
      </c>
      <c r="C557" s="16" t="s">
        <v>9930</v>
      </c>
      <c r="D557" s="16"/>
      <c r="E557">
        <v>6</v>
      </c>
      <c r="F557" t="e">
        <f>--Cogumelos do gênero Agaricus</f>
        <v>#NAME?</v>
      </c>
      <c r="G557">
        <v>1</v>
      </c>
      <c r="H557">
        <v>1</v>
      </c>
      <c r="I557">
        <f>1</f>
        <v>1</v>
      </c>
    </row>
    <row r="558" spans="2:9" x14ac:dyDescent="0.25">
      <c r="B558">
        <v>0</v>
      </c>
      <c r="C558" s="16" t="s">
        <v>9931</v>
      </c>
      <c r="D558" s="16"/>
      <c r="E558">
        <v>6</v>
      </c>
      <c r="F558" t="e">
        <f>--outros</f>
        <v>#NAME?</v>
      </c>
      <c r="G558">
        <v>1</v>
      </c>
      <c r="H558">
        <v>1</v>
      </c>
      <c r="I558">
        <f>1</f>
        <v>1</v>
      </c>
    </row>
    <row r="559" spans="2:9" x14ac:dyDescent="0.25">
      <c r="B559">
        <v>0</v>
      </c>
      <c r="C559" s="16" t="s">
        <v>9932</v>
      </c>
      <c r="D559" s="16"/>
      <c r="E559">
        <v>6</v>
      </c>
      <c r="F559" t="e">
        <f>-Pimentões e pimentas dos gêneros Capsicum ou Pimenta</f>
        <v>#NAME?</v>
      </c>
      <c r="G559">
        <v>1</v>
      </c>
      <c r="H559">
        <v>1</v>
      </c>
      <c r="I559">
        <f>1</f>
        <v>1</v>
      </c>
    </row>
    <row r="560" spans="2:9" x14ac:dyDescent="0.25">
      <c r="B560">
        <v>0</v>
      </c>
      <c r="C560" s="16" t="s">
        <v>9933</v>
      </c>
      <c r="D560" s="16"/>
      <c r="E560">
        <v>6</v>
      </c>
      <c r="F560" t="s">
        <v>4846</v>
      </c>
      <c r="G560">
        <v>1</v>
      </c>
      <c r="H560">
        <v>1</v>
      </c>
      <c r="I560">
        <f>1</f>
        <v>1</v>
      </c>
    </row>
    <row r="561" spans="2:9" x14ac:dyDescent="0.25">
      <c r="B561">
        <v>0</v>
      </c>
      <c r="C561" s="16" t="s">
        <v>9934</v>
      </c>
      <c r="D561" s="16"/>
      <c r="E561">
        <v>6</v>
      </c>
      <c r="F561" t="e">
        <f>--Alcachofras</f>
        <v>#NAME?</v>
      </c>
      <c r="G561">
        <v>1</v>
      </c>
      <c r="H561">
        <v>1</v>
      </c>
      <c r="I561">
        <f>1</f>
        <v>1</v>
      </c>
    </row>
    <row r="562" spans="2:9" x14ac:dyDescent="0.25">
      <c r="B562">
        <v>0</v>
      </c>
      <c r="C562" s="16" t="s">
        <v>9935</v>
      </c>
      <c r="D562" s="16"/>
      <c r="E562">
        <v>6</v>
      </c>
      <c r="F562" t="e">
        <f>--Azeitonas</f>
        <v>#NAME?</v>
      </c>
      <c r="G562">
        <v>1</v>
      </c>
      <c r="H562">
        <v>1</v>
      </c>
      <c r="I562">
        <f>1</f>
        <v>1</v>
      </c>
    </row>
    <row r="563" spans="2:9" x14ac:dyDescent="0.25">
      <c r="B563">
        <v>0</v>
      </c>
      <c r="C563" s="16" t="s">
        <v>9936</v>
      </c>
      <c r="D563" s="16"/>
      <c r="E563">
        <v>6</v>
      </c>
      <c r="F563" t="s">
        <v>4847</v>
      </c>
      <c r="G563">
        <v>1</v>
      </c>
      <c r="H563">
        <v>1</v>
      </c>
      <c r="I563">
        <f>1</f>
        <v>1</v>
      </c>
    </row>
    <row r="564" spans="2:9" x14ac:dyDescent="0.25">
      <c r="B564">
        <v>0</v>
      </c>
      <c r="C564" s="16" t="s">
        <v>9937</v>
      </c>
      <c r="D564" s="16"/>
      <c r="E564">
        <v>6</v>
      </c>
      <c r="F564" t="s">
        <v>4842</v>
      </c>
      <c r="G564">
        <v>1</v>
      </c>
      <c r="H564">
        <v>1</v>
      </c>
      <c r="I564">
        <f>1</f>
        <v>1</v>
      </c>
    </row>
    <row r="565" spans="2:9" x14ac:dyDescent="0.25">
      <c r="B565">
        <v>0</v>
      </c>
      <c r="C565" s="16" t="s">
        <v>9938</v>
      </c>
      <c r="D565" s="16"/>
      <c r="E565">
        <v>6</v>
      </c>
      <c r="F565" t="s">
        <v>4680</v>
      </c>
      <c r="G565">
        <v>1</v>
      </c>
      <c r="H565">
        <v>1</v>
      </c>
      <c r="I565">
        <f>1</f>
        <v>1</v>
      </c>
    </row>
    <row r="566" spans="2:9" x14ac:dyDescent="0.25">
      <c r="B566">
        <v>0</v>
      </c>
      <c r="C566" s="16" t="s">
        <v>9939</v>
      </c>
      <c r="D566" s="16"/>
      <c r="E566">
        <v>6</v>
      </c>
      <c r="F566" t="s">
        <v>4680</v>
      </c>
      <c r="G566">
        <v>1</v>
      </c>
      <c r="H566">
        <v>1</v>
      </c>
      <c r="I566">
        <f>1</f>
        <v>1</v>
      </c>
    </row>
    <row r="567" spans="2:9" x14ac:dyDescent="0.25">
      <c r="B567">
        <v>0</v>
      </c>
      <c r="C567" s="16" t="s">
        <v>9940</v>
      </c>
      <c r="D567" s="16"/>
      <c r="E567">
        <v>6</v>
      </c>
      <c r="F567" t="e">
        <f>-Batatas</f>
        <v>#NAME?</v>
      </c>
      <c r="G567">
        <v>1</v>
      </c>
      <c r="H567">
        <v>1</v>
      </c>
      <c r="I567">
        <f>1</f>
        <v>1</v>
      </c>
    </row>
    <row r="568" spans="2:9" x14ac:dyDescent="0.25">
      <c r="B568">
        <v>0</v>
      </c>
      <c r="C568" s="16" t="s">
        <v>9941</v>
      </c>
      <c r="D568" s="16"/>
      <c r="E568">
        <v>6</v>
      </c>
      <c r="F568" t="e">
        <f>--Ervilhas  Pisum sativum</f>
        <v>#NAME?</v>
      </c>
      <c r="G568">
        <v>1</v>
      </c>
      <c r="H568">
        <v>1</v>
      </c>
      <c r="I568">
        <f>1</f>
        <v>1</v>
      </c>
    </row>
    <row r="569" spans="2:9" x14ac:dyDescent="0.25">
      <c r="B569">
        <v>0</v>
      </c>
      <c r="C569" s="16" t="s">
        <v>9942</v>
      </c>
      <c r="D569" s="16"/>
      <c r="E569">
        <v>6</v>
      </c>
      <c r="F569" t="s">
        <v>4848</v>
      </c>
      <c r="G569">
        <v>1</v>
      </c>
      <c r="H569">
        <v>1</v>
      </c>
      <c r="I569">
        <f>1</f>
        <v>1</v>
      </c>
    </row>
    <row r="570" spans="2:9" x14ac:dyDescent="0.25">
      <c r="B570">
        <v>0</v>
      </c>
      <c r="C570" s="16" t="s">
        <v>9943</v>
      </c>
      <c r="D570" s="16"/>
      <c r="E570">
        <v>6</v>
      </c>
      <c r="F570" t="e">
        <f>--outros</f>
        <v>#NAME?</v>
      </c>
      <c r="G570">
        <v>1</v>
      </c>
      <c r="H570">
        <v>1</v>
      </c>
      <c r="I570">
        <f>1</f>
        <v>1</v>
      </c>
    </row>
    <row r="571" spans="2:9" x14ac:dyDescent="0.25">
      <c r="B571">
        <v>0</v>
      </c>
      <c r="C571" s="16" t="s">
        <v>9944</v>
      </c>
      <c r="D571" s="16"/>
      <c r="E571">
        <v>6</v>
      </c>
      <c r="F571" t="s">
        <v>4846</v>
      </c>
      <c r="G571">
        <v>1</v>
      </c>
      <c r="H571">
        <v>1</v>
      </c>
      <c r="I571">
        <f>1</f>
        <v>1</v>
      </c>
    </row>
    <row r="572" spans="2:9" x14ac:dyDescent="0.25">
      <c r="B572">
        <v>0</v>
      </c>
      <c r="C572" s="16" t="s">
        <v>9945</v>
      </c>
      <c r="D572" s="16"/>
      <c r="E572">
        <v>6</v>
      </c>
      <c r="F572" t="e">
        <f>-Milho doce</f>
        <v>#NAME?</v>
      </c>
      <c r="G572">
        <v>1</v>
      </c>
      <c r="H572">
        <v>1</v>
      </c>
      <c r="I572">
        <f>1</f>
        <v>1</v>
      </c>
    </row>
    <row r="573" spans="2:9" x14ac:dyDescent="0.25">
      <c r="B573">
        <v>0</v>
      </c>
      <c r="C573" s="16" t="s">
        <v>9946</v>
      </c>
      <c r="D573" s="16"/>
      <c r="E573">
        <v>6</v>
      </c>
      <c r="F573" t="e">
        <f>-outros produtos hortícolas</f>
        <v>#NAME?</v>
      </c>
      <c r="G573">
        <v>1</v>
      </c>
      <c r="H573">
        <v>1</v>
      </c>
      <c r="I573">
        <f>1</f>
        <v>1</v>
      </c>
    </row>
    <row r="574" spans="2:9" x14ac:dyDescent="0.25">
      <c r="B574">
        <v>0</v>
      </c>
      <c r="C574" s="16" t="s">
        <v>9947</v>
      </c>
      <c r="D574" s="16"/>
      <c r="E574">
        <v>6</v>
      </c>
      <c r="F574" t="e">
        <f>-Misturas De produtos hortícolas</f>
        <v>#NAME?</v>
      </c>
      <c r="G574">
        <v>1</v>
      </c>
      <c r="H574">
        <v>1</v>
      </c>
      <c r="I574">
        <f>1</f>
        <v>1</v>
      </c>
    </row>
    <row r="575" spans="2:9" x14ac:dyDescent="0.25">
      <c r="B575">
        <v>0</v>
      </c>
      <c r="C575" s="16" t="s">
        <v>9948</v>
      </c>
      <c r="D575" s="16"/>
      <c r="E575">
        <v>6</v>
      </c>
      <c r="F575" t="s">
        <v>4849</v>
      </c>
      <c r="G575">
        <v>1</v>
      </c>
      <c r="H575">
        <v>1</v>
      </c>
      <c r="I575">
        <f>1</f>
        <v>1</v>
      </c>
    </row>
    <row r="576" spans="2:9" x14ac:dyDescent="0.25">
      <c r="B576">
        <v>0</v>
      </c>
      <c r="C576" s="16" t="s">
        <v>9949</v>
      </c>
      <c r="D576" s="16"/>
      <c r="E576">
        <v>6</v>
      </c>
      <c r="F576" t="s">
        <v>4850</v>
      </c>
      <c r="G576">
        <v>1</v>
      </c>
      <c r="H576">
        <v>1</v>
      </c>
      <c r="I576">
        <f>1</f>
        <v>1</v>
      </c>
    </row>
    <row r="577" spans="2:9" x14ac:dyDescent="0.25">
      <c r="B577">
        <v>0</v>
      </c>
      <c r="C577" s="16" t="s">
        <v>9950</v>
      </c>
      <c r="D577" s="16"/>
      <c r="E577">
        <v>6</v>
      </c>
      <c r="F577" t="s">
        <v>4690</v>
      </c>
      <c r="G577">
        <v>1</v>
      </c>
      <c r="H577">
        <v>1</v>
      </c>
      <c r="I577">
        <f>1</f>
        <v>1</v>
      </c>
    </row>
    <row r="578" spans="2:9" x14ac:dyDescent="0.25">
      <c r="B578">
        <v>0</v>
      </c>
      <c r="C578" s="16" t="s">
        <v>9951</v>
      </c>
      <c r="D578" s="16"/>
      <c r="E578">
        <v>6</v>
      </c>
      <c r="F578" t="e">
        <f>-Pepinos e pepininhos  cornichons</f>
        <v>#NAME?</v>
      </c>
      <c r="G578">
        <v>1</v>
      </c>
      <c r="H578">
        <v>1</v>
      </c>
      <c r="I578">
        <f>1</f>
        <v>1</v>
      </c>
    </row>
    <row r="579" spans="2:9" x14ac:dyDescent="0.25">
      <c r="B579">
        <v>0</v>
      </c>
      <c r="C579" s="16" t="s">
        <v>9951</v>
      </c>
      <c r="D579" s="16" t="s">
        <v>19430</v>
      </c>
      <c r="E579">
        <v>6</v>
      </c>
      <c r="F579" t="s">
        <v>4851</v>
      </c>
      <c r="G579">
        <v>1</v>
      </c>
      <c r="H579">
        <v>1</v>
      </c>
      <c r="I579">
        <f>1</f>
        <v>1</v>
      </c>
    </row>
    <row r="580" spans="2:9" x14ac:dyDescent="0.25">
      <c r="B580">
        <v>0</v>
      </c>
      <c r="C580" s="16" t="s">
        <v>9952</v>
      </c>
      <c r="D580" s="16"/>
      <c r="E580">
        <v>6</v>
      </c>
      <c r="F580" t="e">
        <f>--Cogumelos do gênero Agaricus</f>
        <v>#NAME?</v>
      </c>
      <c r="G580">
        <v>1</v>
      </c>
      <c r="H580">
        <v>1</v>
      </c>
      <c r="I580">
        <f>1</f>
        <v>1</v>
      </c>
    </row>
    <row r="581" spans="2:9" x14ac:dyDescent="0.25">
      <c r="B581">
        <v>0</v>
      </c>
      <c r="C581" s="16" t="s">
        <v>9952</v>
      </c>
      <c r="D581" s="16" t="s">
        <v>19430</v>
      </c>
      <c r="E581">
        <v>6</v>
      </c>
      <c r="F581" t="s">
        <v>4851</v>
      </c>
      <c r="G581">
        <v>1</v>
      </c>
      <c r="H581">
        <v>1</v>
      </c>
      <c r="I581">
        <f>1</f>
        <v>1</v>
      </c>
    </row>
    <row r="582" spans="2:9" x14ac:dyDescent="0.25">
      <c r="B582">
        <v>0</v>
      </c>
      <c r="C582" s="16" t="s">
        <v>9953</v>
      </c>
      <c r="D582" s="16"/>
      <c r="E582">
        <v>6</v>
      </c>
      <c r="F582" t="e">
        <f>--outros</f>
        <v>#NAME?</v>
      </c>
      <c r="G582">
        <v>1</v>
      </c>
      <c r="H582">
        <v>1</v>
      </c>
      <c r="I582">
        <f>1</f>
        <v>1</v>
      </c>
    </row>
    <row r="583" spans="2:9" x14ac:dyDescent="0.25">
      <c r="B583">
        <v>0</v>
      </c>
      <c r="C583" s="16" t="s">
        <v>9953</v>
      </c>
      <c r="D583" s="16" t="s">
        <v>19430</v>
      </c>
      <c r="E583">
        <v>6</v>
      </c>
      <c r="F583" t="s">
        <v>4851</v>
      </c>
      <c r="G583">
        <v>1</v>
      </c>
      <c r="H583">
        <v>1</v>
      </c>
      <c r="I583">
        <f>1</f>
        <v>1</v>
      </c>
    </row>
    <row r="584" spans="2:9" x14ac:dyDescent="0.25">
      <c r="B584">
        <v>0</v>
      </c>
      <c r="C584" s="16" t="s">
        <v>9954</v>
      </c>
      <c r="D584" s="16"/>
      <c r="E584">
        <v>6</v>
      </c>
      <c r="F584" t="s">
        <v>4852</v>
      </c>
      <c r="G584">
        <v>1</v>
      </c>
      <c r="H584">
        <v>1</v>
      </c>
      <c r="I584">
        <f>1</f>
        <v>1</v>
      </c>
    </row>
    <row r="585" spans="2:9" x14ac:dyDescent="0.25">
      <c r="B585">
        <v>0</v>
      </c>
      <c r="C585" s="16" t="s">
        <v>9954</v>
      </c>
      <c r="D585" s="16" t="s">
        <v>19430</v>
      </c>
      <c r="E585">
        <v>6</v>
      </c>
      <c r="F585" t="s">
        <v>4851</v>
      </c>
      <c r="G585">
        <v>1</v>
      </c>
      <c r="H585">
        <v>1</v>
      </c>
      <c r="I585">
        <f>1</f>
        <v>1</v>
      </c>
    </row>
    <row r="586" spans="2:9" x14ac:dyDescent="0.25">
      <c r="B586">
        <v>0</v>
      </c>
      <c r="C586" s="16" t="s">
        <v>9955</v>
      </c>
      <c r="D586" s="16"/>
      <c r="E586">
        <v>6</v>
      </c>
      <c r="F586" t="e">
        <f>-Cebolas</f>
        <v>#NAME?</v>
      </c>
      <c r="G586">
        <v>1</v>
      </c>
      <c r="H586">
        <v>1</v>
      </c>
      <c r="I586">
        <f>1</f>
        <v>1</v>
      </c>
    </row>
    <row r="587" spans="2:9" x14ac:dyDescent="0.25">
      <c r="B587">
        <v>0</v>
      </c>
      <c r="C587" s="16" t="s">
        <v>9956</v>
      </c>
      <c r="D587" s="16"/>
      <c r="E587">
        <v>6</v>
      </c>
      <c r="F587" t="e">
        <f>--Cogumelos do gênero Agaricus</f>
        <v>#NAME?</v>
      </c>
      <c r="G587">
        <v>1</v>
      </c>
      <c r="H587">
        <v>1</v>
      </c>
      <c r="I587">
        <f>1</f>
        <v>1</v>
      </c>
    </row>
    <row r="588" spans="2:9" x14ac:dyDescent="0.25">
      <c r="B588">
        <v>0</v>
      </c>
      <c r="C588" s="16" t="s">
        <v>9957</v>
      </c>
      <c r="D588" s="16"/>
      <c r="E588">
        <v>6</v>
      </c>
      <c r="F588" t="e">
        <f>--Orelhas-De-judas  Auricularia spp.</f>
        <v>#NAME?</v>
      </c>
      <c r="G588">
        <v>1</v>
      </c>
      <c r="H588">
        <v>1</v>
      </c>
      <c r="I588">
        <f>1</f>
        <v>1</v>
      </c>
    </row>
    <row r="589" spans="2:9" x14ac:dyDescent="0.25">
      <c r="B589">
        <v>0</v>
      </c>
      <c r="C589" s="16" t="s">
        <v>9958</v>
      </c>
      <c r="D589" s="16"/>
      <c r="E589">
        <v>6</v>
      </c>
      <c r="F589" t="e">
        <f>--Tremelas  Tremella spp.</f>
        <v>#NAME?</v>
      </c>
      <c r="G589">
        <v>1</v>
      </c>
      <c r="H589">
        <v>1</v>
      </c>
      <c r="I589">
        <f>1</f>
        <v>1</v>
      </c>
    </row>
    <row r="590" spans="2:9" x14ac:dyDescent="0.25">
      <c r="B590">
        <v>0</v>
      </c>
      <c r="C590" s="16" t="s">
        <v>9959</v>
      </c>
      <c r="D590" s="16"/>
      <c r="E590">
        <v>6</v>
      </c>
      <c r="F590" t="e">
        <f>--outros</f>
        <v>#NAME?</v>
      </c>
      <c r="G590">
        <v>1</v>
      </c>
      <c r="H590">
        <v>1</v>
      </c>
      <c r="I590">
        <f>1</f>
        <v>1</v>
      </c>
    </row>
    <row r="591" spans="2:9" x14ac:dyDescent="0.25">
      <c r="B591">
        <v>0</v>
      </c>
      <c r="C591" s="16" t="s">
        <v>9960</v>
      </c>
      <c r="D591" s="16"/>
      <c r="E591">
        <v>6</v>
      </c>
      <c r="F591" t="s">
        <v>4853</v>
      </c>
      <c r="G591">
        <v>1</v>
      </c>
      <c r="H591">
        <v>1</v>
      </c>
      <c r="I591">
        <f>1</f>
        <v>1</v>
      </c>
    </row>
    <row r="592" spans="2:9" x14ac:dyDescent="0.25">
      <c r="B592">
        <v>0</v>
      </c>
      <c r="C592" s="16" t="s">
        <v>9961</v>
      </c>
      <c r="D592" s="16"/>
      <c r="E592">
        <v>6</v>
      </c>
      <c r="F592" t="s">
        <v>4680</v>
      </c>
      <c r="G592">
        <v>1</v>
      </c>
      <c r="H592">
        <v>1</v>
      </c>
      <c r="I592">
        <f>1</f>
        <v>1</v>
      </c>
    </row>
    <row r="593" spans="2:9" x14ac:dyDescent="0.25">
      <c r="B593">
        <v>0</v>
      </c>
      <c r="C593" s="16" t="s">
        <v>9961</v>
      </c>
      <c r="D593" s="16" t="s">
        <v>19430</v>
      </c>
      <c r="E593">
        <v>6</v>
      </c>
      <c r="F593" t="s">
        <v>4854</v>
      </c>
      <c r="G593">
        <v>1</v>
      </c>
      <c r="H593">
        <v>1</v>
      </c>
      <c r="I593">
        <f>1</f>
        <v>1</v>
      </c>
    </row>
    <row r="594" spans="2:9" x14ac:dyDescent="0.25">
      <c r="B594">
        <v>0</v>
      </c>
      <c r="C594" s="16" t="s">
        <v>9962</v>
      </c>
      <c r="D594" s="16"/>
      <c r="E594">
        <v>6</v>
      </c>
      <c r="F594" t="s">
        <v>4842</v>
      </c>
      <c r="G594">
        <v>1</v>
      </c>
      <c r="H594">
        <v>1</v>
      </c>
      <c r="I594">
        <f>1</f>
        <v>1</v>
      </c>
    </row>
    <row r="595" spans="2:9" x14ac:dyDescent="0.25">
      <c r="B595">
        <v>0</v>
      </c>
      <c r="C595" s="16" t="s">
        <v>9963</v>
      </c>
      <c r="D595" s="16"/>
      <c r="E595">
        <v>6</v>
      </c>
      <c r="F595" t="s">
        <v>4690</v>
      </c>
      <c r="G595">
        <v>1</v>
      </c>
      <c r="H595">
        <v>1</v>
      </c>
      <c r="I595">
        <f>1</f>
        <v>1</v>
      </c>
    </row>
    <row r="596" spans="2:9" x14ac:dyDescent="0.25">
      <c r="B596">
        <v>0</v>
      </c>
      <c r="C596" s="16" t="s">
        <v>9964</v>
      </c>
      <c r="D596" s="16"/>
      <c r="E596">
        <v>6</v>
      </c>
      <c r="F596" t="s">
        <v>4842</v>
      </c>
      <c r="G596">
        <v>1</v>
      </c>
      <c r="H596">
        <v>1</v>
      </c>
      <c r="I596">
        <f>1</f>
        <v>1</v>
      </c>
    </row>
    <row r="597" spans="2:9" x14ac:dyDescent="0.25">
      <c r="B597">
        <v>0</v>
      </c>
      <c r="C597" s="16" t="s">
        <v>9965</v>
      </c>
      <c r="D597" s="16"/>
      <c r="E597">
        <v>6</v>
      </c>
      <c r="F597" t="s">
        <v>4680</v>
      </c>
      <c r="G597">
        <v>1</v>
      </c>
      <c r="H597">
        <v>1</v>
      </c>
      <c r="I597">
        <f>1</f>
        <v>1</v>
      </c>
    </row>
    <row r="598" spans="2:9" x14ac:dyDescent="0.25">
      <c r="B598">
        <v>0</v>
      </c>
      <c r="C598" s="16" t="s">
        <v>9966</v>
      </c>
      <c r="D598" s="16"/>
      <c r="E598">
        <v>6</v>
      </c>
      <c r="F598" t="s">
        <v>4842</v>
      </c>
      <c r="G598">
        <v>1</v>
      </c>
      <c r="H598">
        <v>1</v>
      </c>
      <c r="I598">
        <f>1</f>
        <v>1</v>
      </c>
    </row>
    <row r="599" spans="2:9" x14ac:dyDescent="0.25">
      <c r="B599">
        <v>0</v>
      </c>
      <c r="C599" s="16" t="s">
        <v>9967</v>
      </c>
      <c r="D599" s="16"/>
      <c r="E599">
        <v>6</v>
      </c>
      <c r="F599" t="s">
        <v>4680</v>
      </c>
      <c r="G599">
        <v>1</v>
      </c>
      <c r="H599">
        <v>1</v>
      </c>
      <c r="I599">
        <f>1</f>
        <v>1</v>
      </c>
    </row>
    <row r="600" spans="2:9" x14ac:dyDescent="0.25">
      <c r="B600">
        <v>0</v>
      </c>
      <c r="C600" s="16" t="s">
        <v>9968</v>
      </c>
      <c r="D600" s="16"/>
      <c r="E600">
        <v>6</v>
      </c>
      <c r="F600" t="s">
        <v>4842</v>
      </c>
      <c r="G600">
        <v>1</v>
      </c>
      <c r="H600">
        <v>1</v>
      </c>
      <c r="I600">
        <f>1</f>
        <v>1</v>
      </c>
    </row>
    <row r="601" spans="2:9" x14ac:dyDescent="0.25">
      <c r="B601">
        <v>0</v>
      </c>
      <c r="C601" s="16" t="s">
        <v>9969</v>
      </c>
      <c r="D601" s="16"/>
      <c r="E601">
        <v>6</v>
      </c>
      <c r="F601" t="s">
        <v>4680</v>
      </c>
      <c r="G601">
        <v>1</v>
      </c>
      <c r="H601">
        <v>1</v>
      </c>
      <c r="I601">
        <f>1</f>
        <v>1</v>
      </c>
    </row>
    <row r="602" spans="2:9" x14ac:dyDescent="0.25">
      <c r="B602">
        <v>0</v>
      </c>
      <c r="C602" s="16" t="s">
        <v>9970</v>
      </c>
      <c r="D602" s="16"/>
      <c r="E602">
        <v>6</v>
      </c>
      <c r="F602" t="s">
        <v>4842</v>
      </c>
      <c r="G602">
        <v>1</v>
      </c>
      <c r="H602">
        <v>1</v>
      </c>
      <c r="I602">
        <f>1</f>
        <v>1</v>
      </c>
    </row>
    <row r="603" spans="2:9" x14ac:dyDescent="0.25">
      <c r="B603">
        <v>0</v>
      </c>
      <c r="C603" s="16" t="s">
        <v>9971</v>
      </c>
      <c r="D603" s="16"/>
      <c r="E603">
        <v>6</v>
      </c>
      <c r="F603" t="s">
        <v>4680</v>
      </c>
      <c r="G603">
        <v>1</v>
      </c>
      <c r="H603">
        <v>1</v>
      </c>
      <c r="I603">
        <f>1</f>
        <v>1</v>
      </c>
    </row>
    <row r="604" spans="2:9" x14ac:dyDescent="0.25">
      <c r="B604">
        <v>0</v>
      </c>
      <c r="C604" s="16" t="s">
        <v>9972</v>
      </c>
      <c r="D604" s="16"/>
      <c r="E604">
        <v>6</v>
      </c>
      <c r="F604" t="s">
        <v>4842</v>
      </c>
      <c r="G604">
        <v>1</v>
      </c>
      <c r="H604">
        <v>1</v>
      </c>
      <c r="I604">
        <f>1</f>
        <v>1</v>
      </c>
    </row>
    <row r="605" spans="2:9" x14ac:dyDescent="0.25">
      <c r="B605">
        <v>0</v>
      </c>
      <c r="C605" s="16" t="s">
        <v>9973</v>
      </c>
      <c r="D605" s="16"/>
      <c r="E605">
        <v>6</v>
      </c>
      <c r="F605" t="s">
        <v>4680</v>
      </c>
      <c r="G605">
        <v>1</v>
      </c>
      <c r="H605">
        <v>1</v>
      </c>
      <c r="I605">
        <f>1</f>
        <v>1</v>
      </c>
    </row>
    <row r="606" spans="2:9" x14ac:dyDescent="0.25">
      <c r="B606">
        <v>0</v>
      </c>
      <c r="C606" s="16" t="s">
        <v>9974</v>
      </c>
      <c r="D606" s="16"/>
      <c r="E606">
        <v>6</v>
      </c>
      <c r="F606" t="s">
        <v>4842</v>
      </c>
      <c r="G606">
        <v>1</v>
      </c>
      <c r="H606">
        <v>1</v>
      </c>
      <c r="I606">
        <f>1</f>
        <v>1</v>
      </c>
    </row>
    <row r="607" spans="2:9" x14ac:dyDescent="0.25">
      <c r="B607">
        <v>0</v>
      </c>
      <c r="C607" s="16" t="s">
        <v>9975</v>
      </c>
      <c r="D607" s="16"/>
      <c r="E607">
        <v>6</v>
      </c>
      <c r="F607" t="s">
        <v>4680</v>
      </c>
      <c r="G607">
        <v>1</v>
      </c>
      <c r="H607">
        <v>1</v>
      </c>
      <c r="I607">
        <f>1</f>
        <v>1</v>
      </c>
    </row>
    <row r="608" spans="2:9" x14ac:dyDescent="0.25">
      <c r="B608">
        <v>0</v>
      </c>
      <c r="C608" s="16" t="s">
        <v>9976</v>
      </c>
      <c r="D608" s="16"/>
      <c r="E608">
        <v>6</v>
      </c>
      <c r="F608" t="s">
        <v>4842</v>
      </c>
      <c r="G608">
        <v>1</v>
      </c>
      <c r="H608">
        <v>1</v>
      </c>
      <c r="I608">
        <f>1</f>
        <v>1</v>
      </c>
    </row>
    <row r="609" spans="2:9" x14ac:dyDescent="0.25">
      <c r="B609">
        <v>0</v>
      </c>
      <c r="C609" s="16" t="s">
        <v>9977</v>
      </c>
      <c r="D609" s="16"/>
      <c r="E609">
        <v>6</v>
      </c>
      <c r="F609" t="s">
        <v>4680</v>
      </c>
      <c r="G609">
        <v>1</v>
      </c>
      <c r="H609">
        <v>1</v>
      </c>
      <c r="I609">
        <f>1</f>
        <v>1</v>
      </c>
    </row>
    <row r="610" spans="2:9" x14ac:dyDescent="0.25">
      <c r="B610">
        <v>0</v>
      </c>
      <c r="C610" s="16" t="s">
        <v>9978</v>
      </c>
      <c r="D610" s="16"/>
      <c r="E610">
        <v>6</v>
      </c>
      <c r="F610" t="s">
        <v>4842</v>
      </c>
      <c r="G610">
        <v>1</v>
      </c>
      <c r="H610">
        <v>1</v>
      </c>
      <c r="I610">
        <f>1</f>
        <v>1</v>
      </c>
    </row>
    <row r="611" spans="2:9" x14ac:dyDescent="0.25">
      <c r="B611">
        <v>0</v>
      </c>
      <c r="C611" s="16" t="s">
        <v>9979</v>
      </c>
      <c r="D611" s="16"/>
      <c r="E611">
        <v>6</v>
      </c>
      <c r="F611" t="s">
        <v>4680</v>
      </c>
      <c r="G611">
        <v>1</v>
      </c>
      <c r="H611">
        <v>1</v>
      </c>
      <c r="I611">
        <f>1</f>
        <v>1</v>
      </c>
    </row>
    <row r="612" spans="2:9" x14ac:dyDescent="0.25">
      <c r="B612">
        <v>0</v>
      </c>
      <c r="C612" s="16" t="s">
        <v>9980</v>
      </c>
      <c r="D612" s="16"/>
      <c r="E612">
        <v>6</v>
      </c>
      <c r="F612" t="s">
        <v>4842</v>
      </c>
      <c r="G612">
        <v>1</v>
      </c>
      <c r="H612">
        <v>1</v>
      </c>
      <c r="I612">
        <f>1</f>
        <v>1</v>
      </c>
    </row>
    <row r="613" spans="2:9" x14ac:dyDescent="0.25">
      <c r="B613">
        <v>0</v>
      </c>
      <c r="C613" s="16" t="s">
        <v>9981</v>
      </c>
      <c r="D613" s="16"/>
      <c r="E613">
        <v>6</v>
      </c>
      <c r="F613" t="s">
        <v>4680</v>
      </c>
      <c r="G613">
        <v>1</v>
      </c>
      <c r="H613">
        <v>1</v>
      </c>
      <c r="I613">
        <f>1</f>
        <v>1</v>
      </c>
    </row>
    <row r="614" spans="2:9" x14ac:dyDescent="0.25">
      <c r="B614">
        <v>0</v>
      </c>
      <c r="C614" s="16" t="s">
        <v>9982</v>
      </c>
      <c r="D614" s="16"/>
      <c r="E614">
        <v>6</v>
      </c>
      <c r="F614" t="s">
        <v>4842</v>
      </c>
      <c r="G614">
        <v>1</v>
      </c>
      <c r="H614">
        <v>1</v>
      </c>
      <c r="I614">
        <f>1</f>
        <v>1</v>
      </c>
    </row>
    <row r="615" spans="2:9" x14ac:dyDescent="0.25">
      <c r="B615">
        <v>0</v>
      </c>
      <c r="C615" s="16" t="s">
        <v>9983</v>
      </c>
      <c r="D615" s="16"/>
      <c r="E615">
        <v>6</v>
      </c>
      <c r="F615" t="s">
        <v>4690</v>
      </c>
      <c r="G615">
        <v>1</v>
      </c>
      <c r="H615">
        <v>1</v>
      </c>
      <c r="I615">
        <f>1</f>
        <v>1</v>
      </c>
    </row>
    <row r="616" spans="2:9" x14ac:dyDescent="0.25">
      <c r="B616">
        <v>0</v>
      </c>
      <c r="C616" s="16" t="s">
        <v>9984</v>
      </c>
      <c r="D616" s="16"/>
      <c r="E616">
        <v>6</v>
      </c>
      <c r="F616" t="s">
        <v>4842</v>
      </c>
      <c r="G616">
        <v>1</v>
      </c>
      <c r="H616">
        <v>1</v>
      </c>
      <c r="I616">
        <f>1</f>
        <v>1</v>
      </c>
    </row>
    <row r="617" spans="2:9" x14ac:dyDescent="0.25">
      <c r="B617">
        <v>0</v>
      </c>
      <c r="C617" s="16" t="s">
        <v>9985</v>
      </c>
      <c r="D617" s="16"/>
      <c r="E617">
        <v>6</v>
      </c>
      <c r="F617" t="s">
        <v>4690</v>
      </c>
      <c r="G617">
        <v>1</v>
      </c>
      <c r="H617">
        <v>1</v>
      </c>
      <c r="I617">
        <f>1</f>
        <v>1</v>
      </c>
    </row>
    <row r="618" spans="2:9" x14ac:dyDescent="0.25">
      <c r="B618">
        <v>0</v>
      </c>
      <c r="C618" s="16" t="s">
        <v>9986</v>
      </c>
      <c r="D618" s="16"/>
      <c r="E618">
        <v>6</v>
      </c>
      <c r="F618" t="s">
        <v>4842</v>
      </c>
      <c r="G618">
        <v>1</v>
      </c>
      <c r="H618">
        <v>1</v>
      </c>
      <c r="I618">
        <f>1</f>
        <v>1</v>
      </c>
    </row>
    <row r="619" spans="2:9" x14ac:dyDescent="0.25">
      <c r="B619">
        <v>0</v>
      </c>
      <c r="C619" s="16" t="s">
        <v>9987</v>
      </c>
      <c r="D619" s="16"/>
      <c r="E619">
        <v>6</v>
      </c>
      <c r="F619" t="s">
        <v>4680</v>
      </c>
      <c r="G619">
        <v>1</v>
      </c>
      <c r="H619">
        <v>1</v>
      </c>
      <c r="I619">
        <f>1</f>
        <v>1</v>
      </c>
    </row>
    <row r="620" spans="2:9" x14ac:dyDescent="0.25">
      <c r="B620">
        <v>0</v>
      </c>
      <c r="C620" s="16" t="s">
        <v>9988</v>
      </c>
      <c r="D620" s="16"/>
      <c r="E620">
        <v>6</v>
      </c>
      <c r="F620" t="s">
        <v>4842</v>
      </c>
      <c r="G620">
        <v>1</v>
      </c>
      <c r="H620">
        <v>1</v>
      </c>
      <c r="I620">
        <f>1</f>
        <v>1</v>
      </c>
    </row>
    <row r="621" spans="2:9" x14ac:dyDescent="0.25">
      <c r="B621">
        <v>0</v>
      </c>
      <c r="C621" s="16" t="s">
        <v>9989</v>
      </c>
      <c r="D621" s="16"/>
      <c r="E621">
        <v>6</v>
      </c>
      <c r="F621" t="s">
        <v>4680</v>
      </c>
      <c r="G621">
        <v>1</v>
      </c>
      <c r="H621">
        <v>1</v>
      </c>
      <c r="I621">
        <f>1</f>
        <v>1</v>
      </c>
    </row>
    <row r="622" spans="2:9" x14ac:dyDescent="0.25">
      <c r="B622">
        <v>0</v>
      </c>
      <c r="C622" s="16" t="s">
        <v>9990</v>
      </c>
      <c r="D622" s="16"/>
      <c r="E622">
        <v>6</v>
      </c>
      <c r="F622" t="e">
        <f>-Raízes De mandioca</f>
        <v>#NAME?</v>
      </c>
      <c r="G622">
        <v>1</v>
      </c>
      <c r="H622">
        <v>1</v>
      </c>
      <c r="I622">
        <f>1</f>
        <v>1</v>
      </c>
    </row>
    <row r="623" spans="2:9" x14ac:dyDescent="0.25">
      <c r="B623">
        <v>0</v>
      </c>
      <c r="C623" s="16" t="s">
        <v>9991</v>
      </c>
      <c r="D623" s="16"/>
      <c r="E623">
        <v>6</v>
      </c>
      <c r="F623" t="e">
        <f>-Batatas-doces</f>
        <v>#NAME?</v>
      </c>
      <c r="G623">
        <v>1</v>
      </c>
      <c r="H623">
        <v>1</v>
      </c>
      <c r="I623">
        <f>1</f>
        <v>1</v>
      </c>
    </row>
    <row r="624" spans="2:9" x14ac:dyDescent="0.25">
      <c r="B624">
        <v>0</v>
      </c>
      <c r="C624" s="16" t="s">
        <v>9992</v>
      </c>
      <c r="D624" s="16"/>
      <c r="E624">
        <v>6</v>
      </c>
      <c r="F624" t="e">
        <f>-Inhames  Dioscorea spp.</f>
        <v>#NAME?</v>
      </c>
      <c r="G624">
        <v>1</v>
      </c>
      <c r="H624">
        <v>1</v>
      </c>
      <c r="I624">
        <f>1</f>
        <v>1</v>
      </c>
    </row>
    <row r="625" spans="2:9" x14ac:dyDescent="0.25">
      <c r="B625">
        <v>0</v>
      </c>
      <c r="C625" s="16" t="s">
        <v>9993</v>
      </c>
      <c r="D625" s="16"/>
      <c r="E625">
        <v>6</v>
      </c>
      <c r="F625" t="e">
        <f>-Taros  Colocasia spp.</f>
        <v>#NAME?</v>
      </c>
      <c r="G625">
        <v>1</v>
      </c>
      <c r="H625">
        <v>1</v>
      </c>
      <c r="I625">
        <f>1</f>
        <v>1</v>
      </c>
    </row>
    <row r="626" spans="2:9" x14ac:dyDescent="0.25">
      <c r="B626">
        <v>0</v>
      </c>
      <c r="C626" s="16" t="s">
        <v>9994</v>
      </c>
      <c r="D626" s="16"/>
      <c r="E626">
        <v>6</v>
      </c>
      <c r="F626" t="e">
        <f>-Mangaritos  Xanthosoma spp.</f>
        <v>#NAME?</v>
      </c>
      <c r="G626">
        <v>1</v>
      </c>
      <c r="H626">
        <v>1</v>
      </c>
      <c r="I626">
        <f>1</f>
        <v>1</v>
      </c>
    </row>
    <row r="627" spans="2:9" x14ac:dyDescent="0.25">
      <c r="B627">
        <v>0</v>
      </c>
      <c r="C627" s="16" t="s">
        <v>9995</v>
      </c>
      <c r="D627" s="16"/>
      <c r="E627">
        <v>6</v>
      </c>
      <c r="F627" t="e">
        <f>-outros</f>
        <v>#NAME?</v>
      </c>
      <c r="G627">
        <v>1</v>
      </c>
      <c r="H627">
        <v>1</v>
      </c>
      <c r="I627">
        <f>1</f>
        <v>1</v>
      </c>
    </row>
    <row r="628" spans="2:9" x14ac:dyDescent="0.25">
      <c r="B628">
        <v>0</v>
      </c>
      <c r="C628" s="16" t="s">
        <v>9996</v>
      </c>
      <c r="D628" s="16"/>
      <c r="E628">
        <v>6</v>
      </c>
      <c r="F628" t="s">
        <v>4855</v>
      </c>
      <c r="G628">
        <v>1</v>
      </c>
      <c r="H628">
        <v>1</v>
      </c>
      <c r="I628">
        <f>1</f>
        <v>1</v>
      </c>
    </row>
    <row r="629" spans="2:9" x14ac:dyDescent="0.25">
      <c r="B629">
        <v>0</v>
      </c>
      <c r="C629" s="16" t="s">
        <v>9996</v>
      </c>
      <c r="D629" s="16" t="s">
        <v>19430</v>
      </c>
      <c r="E629">
        <v>6</v>
      </c>
      <c r="F629" t="s">
        <v>4856</v>
      </c>
      <c r="G629">
        <v>1</v>
      </c>
      <c r="H629">
        <v>1</v>
      </c>
      <c r="I629">
        <f>1</f>
        <v>1</v>
      </c>
    </row>
    <row r="630" spans="2:9" x14ac:dyDescent="0.25">
      <c r="B630">
        <v>0</v>
      </c>
      <c r="C630" s="16" t="s">
        <v>9997</v>
      </c>
      <c r="D630" s="16"/>
      <c r="E630">
        <v>6</v>
      </c>
      <c r="F630" t="s">
        <v>4680</v>
      </c>
      <c r="G630">
        <v>1</v>
      </c>
      <c r="H630">
        <v>1</v>
      </c>
      <c r="I630">
        <f>1</f>
        <v>1</v>
      </c>
    </row>
    <row r="631" spans="2:9" x14ac:dyDescent="0.25">
      <c r="B631">
        <v>0</v>
      </c>
      <c r="C631" s="16" t="s">
        <v>9997</v>
      </c>
      <c r="D631" s="16" t="s">
        <v>19430</v>
      </c>
      <c r="E631">
        <v>6</v>
      </c>
      <c r="F631" t="s">
        <v>4856</v>
      </c>
      <c r="G631">
        <v>1</v>
      </c>
      <c r="H631">
        <v>1</v>
      </c>
      <c r="I631">
        <f>1</f>
        <v>1</v>
      </c>
    </row>
    <row r="632" spans="2:9" x14ac:dyDescent="0.25">
      <c r="B632">
        <v>0</v>
      </c>
      <c r="C632" s="16" t="s">
        <v>9998</v>
      </c>
      <c r="D632" s="16"/>
      <c r="E632">
        <v>6</v>
      </c>
      <c r="F632" t="e">
        <f>--Na casca interna  endocarpo</f>
        <v>#NAME?</v>
      </c>
      <c r="G632">
        <v>1</v>
      </c>
      <c r="H632">
        <v>1</v>
      </c>
      <c r="I632">
        <f>1</f>
        <v>1</v>
      </c>
    </row>
    <row r="633" spans="2:9" x14ac:dyDescent="0.25">
      <c r="B633">
        <v>0</v>
      </c>
      <c r="C633" s="16" t="s">
        <v>9999</v>
      </c>
      <c r="D633" s="16"/>
      <c r="E633">
        <v>6</v>
      </c>
      <c r="F633" t="e">
        <f>--outros</f>
        <v>#NAME?</v>
      </c>
      <c r="G633">
        <v>1</v>
      </c>
      <c r="H633">
        <v>1</v>
      </c>
      <c r="I633">
        <f>1</f>
        <v>1</v>
      </c>
    </row>
    <row r="634" spans="2:9" x14ac:dyDescent="0.25">
      <c r="B634">
        <v>0</v>
      </c>
      <c r="C634" s="16" t="s">
        <v>10000</v>
      </c>
      <c r="D634" s="16"/>
      <c r="E634">
        <v>6</v>
      </c>
      <c r="F634" t="e">
        <f>--Com casca</f>
        <v>#NAME?</v>
      </c>
      <c r="G634">
        <v>1</v>
      </c>
      <c r="H634">
        <v>1</v>
      </c>
      <c r="I634">
        <f>1</f>
        <v>1</v>
      </c>
    </row>
    <row r="635" spans="2:9" x14ac:dyDescent="0.25">
      <c r="B635">
        <v>0</v>
      </c>
      <c r="C635" s="16" t="s">
        <v>10000</v>
      </c>
      <c r="D635" s="16" t="s">
        <v>19430</v>
      </c>
      <c r="E635">
        <v>6</v>
      </c>
      <c r="F635" t="s">
        <v>4857</v>
      </c>
      <c r="G635">
        <v>1</v>
      </c>
      <c r="H635">
        <v>1</v>
      </c>
      <c r="I635">
        <f>1</f>
        <v>1</v>
      </c>
    </row>
    <row r="636" spans="2:9" x14ac:dyDescent="0.25">
      <c r="B636">
        <v>0</v>
      </c>
      <c r="C636" s="16" t="s">
        <v>10001</v>
      </c>
      <c r="D636" s="16"/>
      <c r="E636">
        <v>6</v>
      </c>
      <c r="F636" t="e">
        <f>--Sem casca</f>
        <v>#NAME?</v>
      </c>
      <c r="G636">
        <v>1</v>
      </c>
      <c r="H636">
        <v>1</v>
      </c>
      <c r="I636">
        <f>1</f>
        <v>1</v>
      </c>
    </row>
    <row r="637" spans="2:9" x14ac:dyDescent="0.25">
      <c r="B637">
        <v>0</v>
      </c>
      <c r="C637" s="16" t="s">
        <v>10001</v>
      </c>
      <c r="D637" s="16" t="s">
        <v>19430</v>
      </c>
      <c r="E637">
        <v>6</v>
      </c>
      <c r="F637" t="s">
        <v>4857</v>
      </c>
      <c r="G637">
        <v>1</v>
      </c>
      <c r="H637">
        <v>1</v>
      </c>
      <c r="I637">
        <f>1</f>
        <v>1</v>
      </c>
    </row>
    <row r="638" spans="2:9" x14ac:dyDescent="0.25">
      <c r="B638">
        <v>0</v>
      </c>
      <c r="C638" s="16" t="s">
        <v>10002</v>
      </c>
      <c r="D638" s="16"/>
      <c r="E638">
        <v>6</v>
      </c>
      <c r="F638" t="e">
        <f>--Com casca</f>
        <v>#NAME?</v>
      </c>
      <c r="G638">
        <v>1</v>
      </c>
      <c r="H638">
        <v>1</v>
      </c>
      <c r="I638">
        <f>1</f>
        <v>1</v>
      </c>
    </row>
    <row r="639" spans="2:9" x14ac:dyDescent="0.25">
      <c r="B639">
        <v>0</v>
      </c>
      <c r="C639" s="16" t="s">
        <v>10002</v>
      </c>
      <c r="D639" s="16" t="s">
        <v>19430</v>
      </c>
      <c r="E639">
        <v>6</v>
      </c>
      <c r="F639" t="s">
        <v>4857</v>
      </c>
      <c r="G639">
        <v>1</v>
      </c>
      <c r="H639">
        <v>1</v>
      </c>
      <c r="I639">
        <f>1</f>
        <v>1</v>
      </c>
    </row>
    <row r="640" spans="2:9" x14ac:dyDescent="0.25">
      <c r="B640">
        <v>0</v>
      </c>
      <c r="C640" s="16" t="s">
        <v>10003</v>
      </c>
      <c r="D640" s="16"/>
      <c r="E640">
        <v>6</v>
      </c>
      <c r="F640" t="e">
        <f>--Sem casca</f>
        <v>#NAME?</v>
      </c>
      <c r="G640">
        <v>1</v>
      </c>
      <c r="H640">
        <v>1</v>
      </c>
      <c r="I640">
        <f>1</f>
        <v>1</v>
      </c>
    </row>
    <row r="641" spans="2:9" x14ac:dyDescent="0.25">
      <c r="B641">
        <v>0</v>
      </c>
      <c r="C641" s="16" t="s">
        <v>10003</v>
      </c>
      <c r="D641" s="16" t="s">
        <v>19430</v>
      </c>
      <c r="E641">
        <v>6</v>
      </c>
      <c r="F641" t="s">
        <v>4857</v>
      </c>
      <c r="G641">
        <v>1</v>
      </c>
      <c r="H641">
        <v>1</v>
      </c>
      <c r="I641">
        <f>1</f>
        <v>1</v>
      </c>
    </row>
    <row r="642" spans="2:9" x14ac:dyDescent="0.25">
      <c r="B642">
        <v>0</v>
      </c>
      <c r="C642" s="16" t="s">
        <v>10004</v>
      </c>
      <c r="D642" s="16"/>
      <c r="E642">
        <v>6</v>
      </c>
      <c r="F642" t="e">
        <f>--Com casca</f>
        <v>#NAME?</v>
      </c>
      <c r="G642">
        <v>1</v>
      </c>
      <c r="H642">
        <v>1</v>
      </c>
      <c r="I642">
        <f>1</f>
        <v>1</v>
      </c>
    </row>
    <row r="643" spans="2:9" x14ac:dyDescent="0.25">
      <c r="B643">
        <v>0</v>
      </c>
      <c r="C643" s="16" t="s">
        <v>10005</v>
      </c>
      <c r="D643" s="16"/>
      <c r="E643">
        <v>6</v>
      </c>
      <c r="F643" t="e">
        <f>--Sem casca</f>
        <v>#NAME?</v>
      </c>
      <c r="G643">
        <v>1</v>
      </c>
      <c r="H643">
        <v>1</v>
      </c>
      <c r="I643">
        <f>1</f>
        <v>1</v>
      </c>
    </row>
    <row r="644" spans="2:9" x14ac:dyDescent="0.25">
      <c r="B644">
        <v>0</v>
      </c>
      <c r="C644" s="16" t="s">
        <v>10006</v>
      </c>
      <c r="D644" s="16"/>
      <c r="E644">
        <v>6</v>
      </c>
      <c r="F644" t="e">
        <f>--Com casca</f>
        <v>#NAME?</v>
      </c>
      <c r="G644">
        <v>1</v>
      </c>
      <c r="H644">
        <v>1</v>
      </c>
      <c r="I644">
        <f>1</f>
        <v>1</v>
      </c>
    </row>
    <row r="645" spans="2:9" x14ac:dyDescent="0.25">
      <c r="B645">
        <v>0</v>
      </c>
      <c r="C645" s="16" t="s">
        <v>10007</v>
      </c>
      <c r="D645" s="16"/>
      <c r="E645">
        <v>6</v>
      </c>
      <c r="F645" t="e">
        <f>--Sem casca</f>
        <v>#NAME?</v>
      </c>
      <c r="G645">
        <v>1</v>
      </c>
      <c r="H645">
        <v>1</v>
      </c>
      <c r="I645">
        <f>1</f>
        <v>1</v>
      </c>
    </row>
    <row r="646" spans="2:9" x14ac:dyDescent="0.25">
      <c r="B646">
        <v>0</v>
      </c>
      <c r="C646" s="16" t="s">
        <v>10008</v>
      </c>
      <c r="D646" s="16"/>
      <c r="E646">
        <v>6</v>
      </c>
      <c r="F646" t="e">
        <f>--Com casca</f>
        <v>#NAME?</v>
      </c>
      <c r="G646">
        <v>1</v>
      </c>
      <c r="H646">
        <v>1</v>
      </c>
      <c r="I646">
        <f>1</f>
        <v>1</v>
      </c>
    </row>
    <row r="647" spans="2:9" x14ac:dyDescent="0.25">
      <c r="B647">
        <v>0</v>
      </c>
      <c r="C647" s="16" t="s">
        <v>10009</v>
      </c>
      <c r="D647" s="16"/>
      <c r="E647">
        <v>6</v>
      </c>
      <c r="F647" t="e">
        <f>--Sem casca</f>
        <v>#NAME?</v>
      </c>
      <c r="G647">
        <v>1</v>
      </c>
      <c r="H647">
        <v>1</v>
      </c>
      <c r="I647">
        <f>1</f>
        <v>1</v>
      </c>
    </row>
    <row r="648" spans="2:9" x14ac:dyDescent="0.25">
      <c r="B648">
        <v>0</v>
      </c>
      <c r="C648" s="16" t="s">
        <v>10010</v>
      </c>
      <c r="D648" s="16"/>
      <c r="E648">
        <v>6</v>
      </c>
      <c r="F648" t="e">
        <f>--Com casca</f>
        <v>#NAME?</v>
      </c>
      <c r="G648">
        <v>1</v>
      </c>
      <c r="H648">
        <v>1</v>
      </c>
      <c r="I648">
        <f>1</f>
        <v>1</v>
      </c>
    </row>
    <row r="649" spans="2:9" x14ac:dyDescent="0.25">
      <c r="B649">
        <v>0</v>
      </c>
      <c r="C649" s="16" t="s">
        <v>10011</v>
      </c>
      <c r="D649" s="16"/>
      <c r="E649">
        <v>6</v>
      </c>
      <c r="F649" t="e">
        <f>--Sem casca</f>
        <v>#NAME?</v>
      </c>
      <c r="G649">
        <v>1</v>
      </c>
      <c r="H649">
        <v>1</v>
      </c>
      <c r="I649">
        <f>1</f>
        <v>1</v>
      </c>
    </row>
    <row r="650" spans="2:9" x14ac:dyDescent="0.25">
      <c r="B650">
        <v>0</v>
      </c>
      <c r="C650" s="16" t="s">
        <v>10012</v>
      </c>
      <c r="D650" s="16"/>
      <c r="E650">
        <v>6</v>
      </c>
      <c r="F650" t="e">
        <f>--Com casca</f>
        <v>#NAME?</v>
      </c>
      <c r="G650">
        <v>1</v>
      </c>
      <c r="H650">
        <v>1</v>
      </c>
      <c r="I650">
        <f>1</f>
        <v>1</v>
      </c>
    </row>
    <row r="651" spans="2:9" x14ac:dyDescent="0.25">
      <c r="B651">
        <v>0</v>
      </c>
      <c r="C651" s="16" t="s">
        <v>10013</v>
      </c>
      <c r="D651" s="16"/>
      <c r="E651">
        <v>6</v>
      </c>
      <c r="F651" t="e">
        <f>--Sem casca</f>
        <v>#NAME?</v>
      </c>
      <c r="G651">
        <v>1</v>
      </c>
      <c r="H651">
        <v>1</v>
      </c>
      <c r="I651">
        <f>1</f>
        <v>1</v>
      </c>
    </row>
    <row r="652" spans="2:9" x14ac:dyDescent="0.25">
      <c r="B652">
        <v>0</v>
      </c>
      <c r="C652" s="16" t="s">
        <v>10014</v>
      </c>
      <c r="D652" s="16"/>
      <c r="E652">
        <v>6</v>
      </c>
      <c r="F652" t="e">
        <f>--Com casca</f>
        <v>#NAME?</v>
      </c>
      <c r="G652">
        <v>1</v>
      </c>
      <c r="H652">
        <v>1</v>
      </c>
      <c r="I652">
        <f>1</f>
        <v>1</v>
      </c>
    </row>
    <row r="653" spans="2:9" x14ac:dyDescent="0.25">
      <c r="B653">
        <v>0</v>
      </c>
      <c r="C653" s="16" t="s">
        <v>10015</v>
      </c>
      <c r="D653" s="16"/>
      <c r="E653">
        <v>6</v>
      </c>
      <c r="F653" t="e">
        <f>--Sem casca</f>
        <v>#NAME?</v>
      </c>
      <c r="G653">
        <v>1</v>
      </c>
      <c r="H653">
        <v>1</v>
      </c>
      <c r="I653">
        <f>1</f>
        <v>1</v>
      </c>
    </row>
    <row r="654" spans="2:9" x14ac:dyDescent="0.25">
      <c r="B654">
        <v>0</v>
      </c>
      <c r="C654" s="16" t="s">
        <v>10016</v>
      </c>
      <c r="D654" s="16"/>
      <c r="E654">
        <v>6</v>
      </c>
      <c r="F654" t="e">
        <f>-Nozes De cola  cola spp.</f>
        <v>#NAME?</v>
      </c>
      <c r="G654">
        <v>1</v>
      </c>
      <c r="H654">
        <v>1</v>
      </c>
      <c r="I654">
        <f>1</f>
        <v>1</v>
      </c>
    </row>
    <row r="655" spans="2:9" x14ac:dyDescent="0.25">
      <c r="B655">
        <v>0</v>
      </c>
      <c r="C655" s="16" t="s">
        <v>10017</v>
      </c>
      <c r="D655" s="16"/>
      <c r="E655">
        <v>6</v>
      </c>
      <c r="F655" t="e">
        <f>-Nozes De areca  Nozes De bétele</f>
        <v>#NAME?</v>
      </c>
      <c r="G655">
        <v>1</v>
      </c>
      <c r="H655">
        <v>1</v>
      </c>
      <c r="I655">
        <f>1</f>
        <v>1</v>
      </c>
    </row>
    <row r="656" spans="2:9" x14ac:dyDescent="0.25">
      <c r="B656">
        <v>0</v>
      </c>
      <c r="C656" s="16" t="s">
        <v>10018</v>
      </c>
      <c r="D656" s="16"/>
      <c r="E656">
        <v>6</v>
      </c>
      <c r="F656" t="e">
        <f>-Outras</f>
        <v>#NAME?</v>
      </c>
      <c r="G656">
        <v>1</v>
      </c>
      <c r="H656">
        <v>1</v>
      </c>
      <c r="I656">
        <f>1</f>
        <v>1</v>
      </c>
    </row>
    <row r="657" spans="2:9" x14ac:dyDescent="0.25">
      <c r="B657">
        <v>0</v>
      </c>
      <c r="C657" s="16" t="s">
        <v>10019</v>
      </c>
      <c r="D657" s="16"/>
      <c r="E657">
        <v>6</v>
      </c>
      <c r="F657" t="e">
        <f>-Bananas-da-terra</f>
        <v>#NAME?</v>
      </c>
      <c r="G657">
        <v>1</v>
      </c>
      <c r="H657">
        <v>1</v>
      </c>
      <c r="I657">
        <f>1</f>
        <v>1</v>
      </c>
    </row>
    <row r="658" spans="2:9" x14ac:dyDescent="0.25">
      <c r="B658">
        <v>0</v>
      </c>
      <c r="C658" s="16" t="s">
        <v>10020</v>
      </c>
      <c r="D658" s="16"/>
      <c r="E658">
        <v>6</v>
      </c>
      <c r="F658" t="e">
        <f>-Outras</f>
        <v>#NAME?</v>
      </c>
      <c r="G658">
        <v>1</v>
      </c>
      <c r="H658">
        <v>1</v>
      </c>
      <c r="I658">
        <f>1</f>
        <v>1</v>
      </c>
    </row>
    <row r="659" spans="2:9" x14ac:dyDescent="0.25">
      <c r="B659">
        <v>0</v>
      </c>
      <c r="C659" s="16" t="s">
        <v>10020</v>
      </c>
      <c r="D659" s="16" t="s">
        <v>19430</v>
      </c>
      <c r="E659">
        <v>6</v>
      </c>
      <c r="F659" t="s">
        <v>4858</v>
      </c>
      <c r="G659">
        <v>1</v>
      </c>
      <c r="H659">
        <v>1</v>
      </c>
      <c r="I659">
        <f>1</f>
        <v>1</v>
      </c>
    </row>
    <row r="660" spans="2:9" x14ac:dyDescent="0.25">
      <c r="B660">
        <v>0</v>
      </c>
      <c r="C660" s="16" t="s">
        <v>10021</v>
      </c>
      <c r="D660" s="16"/>
      <c r="E660">
        <v>6</v>
      </c>
      <c r="F660" t="s">
        <v>4859</v>
      </c>
      <c r="G660">
        <v>1</v>
      </c>
      <c r="H660">
        <v>1</v>
      </c>
      <c r="I660">
        <f>1</f>
        <v>1</v>
      </c>
    </row>
    <row r="661" spans="2:9" x14ac:dyDescent="0.25">
      <c r="B661">
        <v>0</v>
      </c>
      <c r="C661" s="16" t="s">
        <v>10022</v>
      </c>
      <c r="D661" s="16"/>
      <c r="E661">
        <v>6</v>
      </c>
      <c r="F661" t="s">
        <v>4860</v>
      </c>
      <c r="G661">
        <v>1</v>
      </c>
      <c r="H661">
        <v>1</v>
      </c>
      <c r="I661">
        <f>1</f>
        <v>1</v>
      </c>
    </row>
    <row r="662" spans="2:9" x14ac:dyDescent="0.25">
      <c r="B662">
        <v>0</v>
      </c>
      <c r="C662" s="16" t="s">
        <v>10023</v>
      </c>
      <c r="D662" s="16"/>
      <c r="E662">
        <v>6</v>
      </c>
      <c r="F662" t="s">
        <v>4861</v>
      </c>
      <c r="G662">
        <v>1</v>
      </c>
      <c r="H662">
        <v>1</v>
      </c>
      <c r="I662">
        <f>1</f>
        <v>1</v>
      </c>
    </row>
    <row r="663" spans="2:9" x14ac:dyDescent="0.25">
      <c r="B663">
        <v>0</v>
      </c>
      <c r="C663" s="16" t="s">
        <v>10024</v>
      </c>
      <c r="D663" s="16"/>
      <c r="E663">
        <v>6</v>
      </c>
      <c r="F663" t="s">
        <v>4862</v>
      </c>
      <c r="G663">
        <v>1</v>
      </c>
      <c r="H663">
        <v>1</v>
      </c>
      <c r="I663">
        <f>1</f>
        <v>1</v>
      </c>
    </row>
    <row r="664" spans="2:9" x14ac:dyDescent="0.25">
      <c r="B664">
        <v>0</v>
      </c>
      <c r="C664" s="16" t="s">
        <v>10025</v>
      </c>
      <c r="D664" s="16"/>
      <c r="E664">
        <v>6</v>
      </c>
      <c r="F664" t="e">
        <f>-Abacaxis  ananases</f>
        <v>#NAME?</v>
      </c>
      <c r="G664">
        <v>1</v>
      </c>
      <c r="H664">
        <v>1</v>
      </c>
      <c r="I664">
        <f>1</f>
        <v>1</v>
      </c>
    </row>
    <row r="665" spans="2:9" x14ac:dyDescent="0.25">
      <c r="B665">
        <v>0</v>
      </c>
      <c r="C665" s="16" t="s">
        <v>10025</v>
      </c>
      <c r="D665" s="16" t="s">
        <v>19430</v>
      </c>
      <c r="E665">
        <v>6</v>
      </c>
      <c r="F665" t="s">
        <v>4863</v>
      </c>
      <c r="G665">
        <v>1</v>
      </c>
      <c r="H665">
        <v>1</v>
      </c>
      <c r="I665">
        <f>1</f>
        <v>1</v>
      </c>
    </row>
    <row r="666" spans="2:9" x14ac:dyDescent="0.25">
      <c r="B666">
        <v>0</v>
      </c>
      <c r="C666" s="16" t="s">
        <v>10026</v>
      </c>
      <c r="D666" s="16"/>
      <c r="E666">
        <v>6</v>
      </c>
      <c r="F666" t="e">
        <f>-Abacates</f>
        <v>#NAME?</v>
      </c>
      <c r="G666">
        <v>1</v>
      </c>
      <c r="H666">
        <v>1</v>
      </c>
      <c r="I666">
        <f>1</f>
        <v>1</v>
      </c>
    </row>
    <row r="667" spans="2:9" x14ac:dyDescent="0.25">
      <c r="B667">
        <v>0</v>
      </c>
      <c r="C667" s="16" t="s">
        <v>10026</v>
      </c>
      <c r="D667" s="16" t="s">
        <v>19430</v>
      </c>
      <c r="E667">
        <v>6</v>
      </c>
      <c r="F667" t="s">
        <v>4863</v>
      </c>
      <c r="G667">
        <v>1</v>
      </c>
      <c r="H667">
        <v>1</v>
      </c>
      <c r="I667">
        <f>1</f>
        <v>1</v>
      </c>
    </row>
    <row r="668" spans="2:9" x14ac:dyDescent="0.25">
      <c r="B668">
        <v>0</v>
      </c>
      <c r="C668" s="16" t="s">
        <v>10027</v>
      </c>
      <c r="D668" s="16"/>
      <c r="E668">
        <v>6</v>
      </c>
      <c r="F668" t="s">
        <v>4864</v>
      </c>
      <c r="G668">
        <v>1</v>
      </c>
      <c r="H668">
        <v>1</v>
      </c>
      <c r="I668">
        <f>1</f>
        <v>1</v>
      </c>
    </row>
    <row r="669" spans="2:9" x14ac:dyDescent="0.25">
      <c r="B669">
        <v>0</v>
      </c>
      <c r="C669" s="16" t="s">
        <v>10027</v>
      </c>
      <c r="D669" s="16" t="s">
        <v>19430</v>
      </c>
      <c r="E669">
        <v>6</v>
      </c>
      <c r="F669" t="s">
        <v>4858</v>
      </c>
      <c r="G669">
        <v>1</v>
      </c>
      <c r="H669">
        <v>1</v>
      </c>
      <c r="I669">
        <f>1</f>
        <v>1</v>
      </c>
    </row>
    <row r="670" spans="2:9" x14ac:dyDescent="0.25">
      <c r="B670">
        <v>0</v>
      </c>
      <c r="C670" s="16" t="s">
        <v>10028</v>
      </c>
      <c r="D670" s="16"/>
      <c r="E670">
        <v>6</v>
      </c>
      <c r="F670" t="s">
        <v>4865</v>
      </c>
      <c r="G670">
        <v>1</v>
      </c>
      <c r="H670">
        <v>1</v>
      </c>
      <c r="I670">
        <f>1</f>
        <v>1</v>
      </c>
    </row>
    <row r="671" spans="2:9" x14ac:dyDescent="0.25">
      <c r="B671">
        <v>0</v>
      </c>
      <c r="C671" s="16" t="s">
        <v>10028</v>
      </c>
      <c r="D671" s="16" t="s">
        <v>19430</v>
      </c>
      <c r="E671">
        <v>6</v>
      </c>
      <c r="F671" t="s">
        <v>4858</v>
      </c>
      <c r="G671">
        <v>1</v>
      </c>
      <c r="H671">
        <v>1</v>
      </c>
      <c r="I671">
        <f>1</f>
        <v>1</v>
      </c>
    </row>
    <row r="672" spans="2:9" x14ac:dyDescent="0.25">
      <c r="B672">
        <v>0</v>
      </c>
      <c r="C672" s="16" t="s">
        <v>10029</v>
      </c>
      <c r="D672" s="16"/>
      <c r="E672">
        <v>6</v>
      </c>
      <c r="F672" t="s">
        <v>4866</v>
      </c>
      <c r="G672">
        <v>1</v>
      </c>
      <c r="H672">
        <v>1</v>
      </c>
      <c r="I672">
        <f>1</f>
        <v>1</v>
      </c>
    </row>
    <row r="673" spans="2:9" x14ac:dyDescent="0.25">
      <c r="B673">
        <v>0</v>
      </c>
      <c r="C673" s="16" t="s">
        <v>10029</v>
      </c>
      <c r="D673" s="16" t="s">
        <v>19430</v>
      </c>
      <c r="E673">
        <v>6</v>
      </c>
      <c r="F673" t="s">
        <v>4867</v>
      </c>
      <c r="G673">
        <v>1</v>
      </c>
      <c r="H673">
        <v>1</v>
      </c>
      <c r="I673">
        <f>1</f>
        <v>1</v>
      </c>
    </row>
    <row r="674" spans="2:9" x14ac:dyDescent="0.25">
      <c r="B674">
        <v>0</v>
      </c>
      <c r="C674" s="16" t="s">
        <v>10030</v>
      </c>
      <c r="D674" s="16"/>
      <c r="E674">
        <v>6</v>
      </c>
      <c r="F674" t="e">
        <f>-Laranjas</f>
        <v>#NAME?</v>
      </c>
      <c r="G674">
        <v>1</v>
      </c>
      <c r="H674">
        <v>1</v>
      </c>
      <c r="I674">
        <f>1</f>
        <v>1</v>
      </c>
    </row>
    <row r="675" spans="2:9" x14ac:dyDescent="0.25">
      <c r="B675">
        <v>0</v>
      </c>
      <c r="C675" s="16" t="s">
        <v>10030</v>
      </c>
      <c r="D675" s="16" t="s">
        <v>19430</v>
      </c>
      <c r="E675">
        <v>6</v>
      </c>
      <c r="F675" t="s">
        <v>4868</v>
      </c>
      <c r="G675">
        <v>1</v>
      </c>
      <c r="H675">
        <v>1</v>
      </c>
      <c r="I675">
        <f>1</f>
        <v>1</v>
      </c>
    </row>
    <row r="676" spans="2:9" x14ac:dyDescent="0.25">
      <c r="B676">
        <v>0</v>
      </c>
      <c r="C676" s="16" t="s">
        <v>10031</v>
      </c>
      <c r="D676" s="16"/>
      <c r="E676">
        <v>6</v>
      </c>
      <c r="F676" t="s">
        <v>4869</v>
      </c>
      <c r="G676">
        <v>1</v>
      </c>
      <c r="H676">
        <v>1</v>
      </c>
      <c r="I676">
        <f>1</f>
        <v>1</v>
      </c>
    </row>
    <row r="677" spans="2:9" x14ac:dyDescent="0.25">
      <c r="B677">
        <v>0</v>
      </c>
      <c r="C677" s="16" t="s">
        <v>10031</v>
      </c>
      <c r="D677" s="16" t="s">
        <v>19430</v>
      </c>
      <c r="E677">
        <v>6</v>
      </c>
      <c r="F677" t="s">
        <v>4870</v>
      </c>
      <c r="G677">
        <v>1</v>
      </c>
      <c r="H677">
        <v>1</v>
      </c>
      <c r="I677">
        <f>1</f>
        <v>1</v>
      </c>
    </row>
    <row r="678" spans="2:9" x14ac:dyDescent="0.25">
      <c r="B678">
        <v>0</v>
      </c>
      <c r="C678" s="16" t="s">
        <v>10032</v>
      </c>
      <c r="D678" s="16"/>
      <c r="E678">
        <v>6</v>
      </c>
      <c r="F678" t="e">
        <f>-Toranjas e pomelos</f>
        <v>#NAME?</v>
      </c>
      <c r="G678">
        <v>1</v>
      </c>
      <c r="H678">
        <v>1</v>
      </c>
      <c r="I678">
        <f>1</f>
        <v>1</v>
      </c>
    </row>
    <row r="679" spans="2:9" x14ac:dyDescent="0.25">
      <c r="B679">
        <v>0</v>
      </c>
      <c r="C679" s="16" t="s">
        <v>10032</v>
      </c>
      <c r="D679" s="16" t="s">
        <v>19430</v>
      </c>
      <c r="E679">
        <v>6</v>
      </c>
      <c r="F679" t="s">
        <v>4867</v>
      </c>
      <c r="G679">
        <v>1</v>
      </c>
      <c r="H679">
        <v>1</v>
      </c>
      <c r="I679">
        <f>1</f>
        <v>1</v>
      </c>
    </row>
    <row r="680" spans="2:9" x14ac:dyDescent="0.25">
      <c r="B680">
        <v>0</v>
      </c>
      <c r="C680" s="16" t="s">
        <v>10033</v>
      </c>
      <c r="D680" s="16"/>
      <c r="E680">
        <v>6</v>
      </c>
      <c r="F680" t="s">
        <v>4871</v>
      </c>
      <c r="G680">
        <v>1</v>
      </c>
      <c r="H680">
        <v>1</v>
      </c>
      <c r="I680">
        <f>1</f>
        <v>1</v>
      </c>
    </row>
    <row r="681" spans="2:9" x14ac:dyDescent="0.25">
      <c r="B681">
        <v>0</v>
      </c>
      <c r="C681" s="16" t="s">
        <v>10033</v>
      </c>
      <c r="D681" s="16" t="s">
        <v>19430</v>
      </c>
      <c r="E681">
        <v>6</v>
      </c>
      <c r="F681" t="s">
        <v>4867</v>
      </c>
      <c r="G681">
        <v>1</v>
      </c>
      <c r="H681">
        <v>1</v>
      </c>
      <c r="I681">
        <f>1</f>
        <v>1</v>
      </c>
    </row>
    <row r="682" spans="2:9" x14ac:dyDescent="0.25">
      <c r="B682">
        <v>0</v>
      </c>
      <c r="C682" s="16" t="s">
        <v>10034</v>
      </c>
      <c r="D682" s="16"/>
      <c r="E682">
        <v>6</v>
      </c>
      <c r="F682" t="e">
        <f>-outros</f>
        <v>#NAME?</v>
      </c>
      <c r="G682">
        <v>1</v>
      </c>
      <c r="H682">
        <v>1</v>
      </c>
      <c r="I682">
        <f>1</f>
        <v>1</v>
      </c>
    </row>
    <row r="683" spans="2:9" x14ac:dyDescent="0.25">
      <c r="B683">
        <v>0</v>
      </c>
      <c r="C683" s="16" t="s">
        <v>10034</v>
      </c>
      <c r="D683" s="16" t="s">
        <v>19430</v>
      </c>
      <c r="E683">
        <v>6</v>
      </c>
      <c r="F683" t="s">
        <v>4867</v>
      </c>
      <c r="G683">
        <v>1</v>
      </c>
      <c r="H683">
        <v>1</v>
      </c>
      <c r="I683">
        <f>1</f>
        <v>1</v>
      </c>
    </row>
    <row r="684" spans="2:9" x14ac:dyDescent="0.25">
      <c r="B684">
        <v>0</v>
      </c>
      <c r="C684" s="16" t="s">
        <v>10035</v>
      </c>
      <c r="D684" s="16"/>
      <c r="E684">
        <v>6</v>
      </c>
      <c r="F684" t="e">
        <f>-Frescas</f>
        <v>#NAME?</v>
      </c>
      <c r="G684">
        <v>1</v>
      </c>
      <c r="H684">
        <v>1</v>
      </c>
      <c r="I684">
        <f>1</f>
        <v>1</v>
      </c>
    </row>
    <row r="685" spans="2:9" x14ac:dyDescent="0.25">
      <c r="B685">
        <v>0</v>
      </c>
      <c r="C685" s="16" t="s">
        <v>10036</v>
      </c>
      <c r="D685" s="16"/>
      <c r="E685">
        <v>6</v>
      </c>
      <c r="F685" t="e">
        <f>-Secas  passas</f>
        <v>#NAME?</v>
      </c>
      <c r="G685">
        <v>1</v>
      </c>
      <c r="H685">
        <v>1</v>
      </c>
      <c r="I685">
        <f>1</f>
        <v>1</v>
      </c>
    </row>
    <row r="686" spans="2:9" x14ac:dyDescent="0.25">
      <c r="B686">
        <v>0</v>
      </c>
      <c r="C686" s="16" t="s">
        <v>10037</v>
      </c>
      <c r="D686" s="16"/>
      <c r="E686">
        <v>6</v>
      </c>
      <c r="F686" t="e">
        <f>--Melancias</f>
        <v>#NAME?</v>
      </c>
      <c r="G686">
        <v>1</v>
      </c>
      <c r="H686">
        <v>1</v>
      </c>
      <c r="I686">
        <f>1</f>
        <v>1</v>
      </c>
    </row>
    <row r="687" spans="2:9" x14ac:dyDescent="0.25">
      <c r="B687">
        <v>0</v>
      </c>
      <c r="C687" s="16" t="s">
        <v>10038</v>
      </c>
      <c r="D687" s="16"/>
      <c r="E687">
        <v>6</v>
      </c>
      <c r="F687" t="e">
        <f>--outros</f>
        <v>#NAME?</v>
      </c>
      <c r="G687">
        <v>1</v>
      </c>
      <c r="H687">
        <v>1</v>
      </c>
      <c r="I687">
        <f>1</f>
        <v>1</v>
      </c>
    </row>
    <row r="688" spans="2:9" x14ac:dyDescent="0.25">
      <c r="B688">
        <v>0</v>
      </c>
      <c r="C688" s="16" t="s">
        <v>10039</v>
      </c>
      <c r="D688" s="16"/>
      <c r="E688">
        <v>6</v>
      </c>
      <c r="F688" t="e">
        <f>-Mamões  papaias</f>
        <v>#NAME?</v>
      </c>
      <c r="G688">
        <v>1</v>
      </c>
      <c r="H688">
        <v>1</v>
      </c>
      <c r="I688">
        <f>1</f>
        <v>1</v>
      </c>
    </row>
    <row r="689" spans="2:9" x14ac:dyDescent="0.25">
      <c r="B689">
        <v>0</v>
      </c>
      <c r="C689" s="16" t="s">
        <v>10040</v>
      </c>
      <c r="D689" s="16"/>
      <c r="E689">
        <v>6</v>
      </c>
      <c r="F689" t="e">
        <f>-Maçãs</f>
        <v>#NAME?</v>
      </c>
      <c r="G689">
        <v>1</v>
      </c>
      <c r="H689">
        <v>1</v>
      </c>
      <c r="I689">
        <f>1</f>
        <v>1</v>
      </c>
    </row>
    <row r="690" spans="2:9" x14ac:dyDescent="0.25">
      <c r="B690">
        <v>0</v>
      </c>
      <c r="C690" s="16" t="s">
        <v>10041</v>
      </c>
      <c r="D690" s="16"/>
      <c r="E690">
        <v>6</v>
      </c>
      <c r="F690" t="e">
        <f>-Peras</f>
        <v>#NAME?</v>
      </c>
      <c r="G690">
        <v>1</v>
      </c>
      <c r="H690">
        <v>1</v>
      </c>
      <c r="I690">
        <f>1</f>
        <v>1</v>
      </c>
    </row>
    <row r="691" spans="2:9" x14ac:dyDescent="0.25">
      <c r="B691">
        <v>0</v>
      </c>
      <c r="C691" s="16" t="s">
        <v>10042</v>
      </c>
      <c r="D691" s="16"/>
      <c r="E691">
        <v>6</v>
      </c>
      <c r="F691" t="e">
        <f>-Marmelos</f>
        <v>#NAME?</v>
      </c>
      <c r="G691">
        <v>1</v>
      </c>
      <c r="H691">
        <v>1</v>
      </c>
      <c r="I691">
        <f>1</f>
        <v>1</v>
      </c>
    </row>
    <row r="692" spans="2:9" x14ac:dyDescent="0.25">
      <c r="B692">
        <v>0</v>
      </c>
      <c r="C692" s="16" t="s">
        <v>10043</v>
      </c>
      <c r="D692" s="16"/>
      <c r="E692">
        <v>6</v>
      </c>
      <c r="F692" t="e">
        <f>-Damascos</f>
        <v>#NAME?</v>
      </c>
      <c r="G692">
        <v>1</v>
      </c>
      <c r="H692">
        <v>1</v>
      </c>
      <c r="I692">
        <f>1</f>
        <v>1</v>
      </c>
    </row>
    <row r="693" spans="2:9" x14ac:dyDescent="0.25">
      <c r="B693">
        <v>0</v>
      </c>
      <c r="C693" s="16" t="s">
        <v>10044</v>
      </c>
      <c r="D693" s="16"/>
      <c r="E693">
        <v>6</v>
      </c>
      <c r="F693" t="e">
        <f>--Cerejas-ácidas  Prunus cerasus</f>
        <v>#NAME?</v>
      </c>
      <c r="G693">
        <v>1</v>
      </c>
      <c r="H693">
        <v>1</v>
      </c>
      <c r="I693">
        <f>1</f>
        <v>1</v>
      </c>
    </row>
    <row r="694" spans="2:9" x14ac:dyDescent="0.25">
      <c r="B694">
        <v>0</v>
      </c>
      <c r="C694" s="16" t="s">
        <v>10045</v>
      </c>
      <c r="D694" s="16"/>
      <c r="E694">
        <v>6</v>
      </c>
      <c r="F694" t="e">
        <f>--Outras</f>
        <v>#NAME?</v>
      </c>
      <c r="G694">
        <v>1</v>
      </c>
      <c r="H694">
        <v>1</v>
      </c>
      <c r="I694">
        <f>1</f>
        <v>1</v>
      </c>
    </row>
    <row r="695" spans="2:9" x14ac:dyDescent="0.25">
      <c r="B695">
        <v>0</v>
      </c>
      <c r="C695" s="16" t="s">
        <v>10046</v>
      </c>
      <c r="D695" s="16"/>
      <c r="E695">
        <v>6</v>
      </c>
      <c r="F695" t="s">
        <v>4872</v>
      </c>
      <c r="G695">
        <v>1</v>
      </c>
      <c r="H695">
        <v>1</v>
      </c>
      <c r="I695">
        <f>1</f>
        <v>1</v>
      </c>
    </row>
    <row r="696" spans="2:9" x14ac:dyDescent="0.25">
      <c r="B696">
        <v>0</v>
      </c>
      <c r="C696" s="16" t="s">
        <v>10047</v>
      </c>
      <c r="D696" s="16"/>
      <c r="E696">
        <v>6</v>
      </c>
      <c r="F696" t="s">
        <v>4873</v>
      </c>
      <c r="G696">
        <v>1</v>
      </c>
      <c r="H696">
        <v>1</v>
      </c>
      <c r="I696">
        <f>1</f>
        <v>1</v>
      </c>
    </row>
    <row r="697" spans="2:9" x14ac:dyDescent="0.25">
      <c r="B697">
        <v>0</v>
      </c>
      <c r="C697" s="16" t="s">
        <v>10048</v>
      </c>
      <c r="D697" s="16"/>
      <c r="E697">
        <v>6</v>
      </c>
      <c r="F697" t="e">
        <f>-Ameixas e abrunhos</f>
        <v>#NAME?</v>
      </c>
      <c r="G697">
        <v>1</v>
      </c>
      <c r="H697">
        <v>1</v>
      </c>
      <c r="I697">
        <f>1</f>
        <v>1</v>
      </c>
    </row>
    <row r="698" spans="2:9" x14ac:dyDescent="0.25">
      <c r="B698">
        <v>0</v>
      </c>
      <c r="C698" s="16" t="s">
        <v>10049</v>
      </c>
      <c r="D698" s="16"/>
      <c r="E698">
        <v>6</v>
      </c>
      <c r="F698" t="e">
        <f>-Morangos</f>
        <v>#NAME?</v>
      </c>
      <c r="G698">
        <v>1</v>
      </c>
      <c r="H698">
        <v>1</v>
      </c>
      <c r="I698">
        <f>1</f>
        <v>1</v>
      </c>
    </row>
    <row r="699" spans="2:9" x14ac:dyDescent="0.25">
      <c r="B699">
        <v>0</v>
      </c>
      <c r="C699" s="16" t="s">
        <v>10050</v>
      </c>
      <c r="D699" s="16"/>
      <c r="E699">
        <v>6</v>
      </c>
      <c r="F699" t="s">
        <v>4874</v>
      </c>
      <c r="G699">
        <v>1</v>
      </c>
      <c r="H699">
        <v>1</v>
      </c>
      <c r="I699">
        <f>1</f>
        <v>1</v>
      </c>
    </row>
    <row r="700" spans="2:9" x14ac:dyDescent="0.25">
      <c r="B700">
        <v>0</v>
      </c>
      <c r="C700" s="16" t="s">
        <v>10051</v>
      </c>
      <c r="D700" s="16"/>
      <c r="E700">
        <v>6</v>
      </c>
      <c r="F700" t="s">
        <v>4875</v>
      </c>
      <c r="G700">
        <v>1</v>
      </c>
      <c r="H700">
        <v>1</v>
      </c>
      <c r="I700">
        <f>1</f>
        <v>1</v>
      </c>
    </row>
    <row r="701" spans="2:9" x14ac:dyDescent="0.25">
      <c r="B701">
        <v>0</v>
      </c>
      <c r="C701" s="16" t="s">
        <v>10052</v>
      </c>
      <c r="D701" s="16"/>
      <c r="E701">
        <v>6</v>
      </c>
      <c r="F701" t="s">
        <v>4876</v>
      </c>
      <c r="G701">
        <v>1</v>
      </c>
      <c r="H701">
        <v>1</v>
      </c>
      <c r="I701">
        <f>1</f>
        <v>1</v>
      </c>
    </row>
    <row r="702" spans="2:9" x14ac:dyDescent="0.25">
      <c r="B702">
        <v>0</v>
      </c>
      <c r="C702" s="16" t="s">
        <v>10053</v>
      </c>
      <c r="D702" s="16"/>
      <c r="E702">
        <v>6</v>
      </c>
      <c r="F702" t="e">
        <f>-Kiwis  quivis</f>
        <v>#NAME?</v>
      </c>
      <c r="G702">
        <v>1</v>
      </c>
      <c r="H702">
        <v>1</v>
      </c>
      <c r="I702">
        <f>1</f>
        <v>1</v>
      </c>
    </row>
    <row r="703" spans="2:9" x14ac:dyDescent="0.25">
      <c r="B703">
        <v>0</v>
      </c>
      <c r="C703" s="16" t="s">
        <v>10054</v>
      </c>
      <c r="D703" s="16"/>
      <c r="E703">
        <v>6</v>
      </c>
      <c r="F703" t="e">
        <f>-Duriões  duriangos</f>
        <v>#NAME?</v>
      </c>
      <c r="G703">
        <v>1</v>
      </c>
      <c r="H703">
        <v>1</v>
      </c>
      <c r="I703">
        <f>1</f>
        <v>1</v>
      </c>
    </row>
    <row r="704" spans="2:9" x14ac:dyDescent="0.25">
      <c r="B704">
        <v>0</v>
      </c>
      <c r="C704" s="16" t="s">
        <v>10055</v>
      </c>
      <c r="D704" s="16"/>
      <c r="E704">
        <v>6</v>
      </c>
      <c r="F704" t="e">
        <f>-Caquis  dióspiros</f>
        <v>#NAME?</v>
      </c>
      <c r="G704">
        <v>1</v>
      </c>
      <c r="H704">
        <v>1</v>
      </c>
      <c r="I704">
        <f>1</f>
        <v>1</v>
      </c>
    </row>
    <row r="705" spans="2:9" x14ac:dyDescent="0.25">
      <c r="B705">
        <v>0</v>
      </c>
      <c r="C705" s="16" t="s">
        <v>10056</v>
      </c>
      <c r="D705" s="16"/>
      <c r="E705">
        <v>6</v>
      </c>
      <c r="F705" t="e">
        <f>-Outras</f>
        <v>#NAME?</v>
      </c>
      <c r="G705">
        <v>1</v>
      </c>
      <c r="H705">
        <v>1</v>
      </c>
      <c r="I705">
        <f>1</f>
        <v>1</v>
      </c>
    </row>
    <row r="706" spans="2:9" x14ac:dyDescent="0.25">
      <c r="B706">
        <v>0</v>
      </c>
      <c r="C706" s="16" t="s">
        <v>10057</v>
      </c>
      <c r="D706" s="16"/>
      <c r="E706">
        <v>6</v>
      </c>
      <c r="F706" t="e">
        <f>-Morangos</f>
        <v>#NAME?</v>
      </c>
      <c r="G706">
        <v>1</v>
      </c>
      <c r="H706">
        <v>1</v>
      </c>
      <c r="I706">
        <f>1</f>
        <v>1</v>
      </c>
    </row>
    <row r="707" spans="2:9" x14ac:dyDescent="0.25">
      <c r="B707">
        <v>0</v>
      </c>
      <c r="C707" s="16" t="s">
        <v>10057</v>
      </c>
      <c r="D707" s="16" t="s">
        <v>19430</v>
      </c>
      <c r="E707">
        <v>6</v>
      </c>
      <c r="F707" t="s">
        <v>4877</v>
      </c>
      <c r="G707">
        <v>1</v>
      </c>
      <c r="H707">
        <v>1</v>
      </c>
      <c r="I707">
        <f>1</f>
        <v>1</v>
      </c>
    </row>
    <row r="708" spans="2:9" x14ac:dyDescent="0.25">
      <c r="B708">
        <v>0</v>
      </c>
      <c r="C708" s="16" t="s">
        <v>10058</v>
      </c>
      <c r="D708" s="16"/>
      <c r="E708">
        <v>6</v>
      </c>
      <c r="F708" t="s">
        <v>4878</v>
      </c>
      <c r="G708">
        <v>1</v>
      </c>
      <c r="H708">
        <v>1</v>
      </c>
      <c r="I708">
        <f>1</f>
        <v>1</v>
      </c>
    </row>
    <row r="709" spans="2:9" x14ac:dyDescent="0.25">
      <c r="B709">
        <v>0</v>
      </c>
      <c r="C709" s="16" t="s">
        <v>10058</v>
      </c>
      <c r="D709" s="16" t="s">
        <v>19430</v>
      </c>
      <c r="E709">
        <v>6</v>
      </c>
      <c r="F709" t="s">
        <v>4877</v>
      </c>
      <c r="G709">
        <v>1</v>
      </c>
      <c r="H709">
        <v>1</v>
      </c>
      <c r="I709">
        <f>1</f>
        <v>1</v>
      </c>
    </row>
    <row r="710" spans="2:9" x14ac:dyDescent="0.25">
      <c r="B710">
        <v>0</v>
      </c>
      <c r="C710" s="16" t="s">
        <v>10059</v>
      </c>
      <c r="D710" s="16"/>
      <c r="E710">
        <v>6</v>
      </c>
      <c r="F710" t="e">
        <f>-Outras</f>
        <v>#NAME?</v>
      </c>
      <c r="G710">
        <v>1</v>
      </c>
      <c r="H710">
        <v>1</v>
      </c>
      <c r="I710">
        <f>1</f>
        <v>1</v>
      </c>
    </row>
    <row r="711" spans="2:9" x14ac:dyDescent="0.25">
      <c r="B711">
        <v>0</v>
      </c>
      <c r="C711" s="16" t="s">
        <v>10059</v>
      </c>
      <c r="D711" s="16" t="s">
        <v>19430</v>
      </c>
      <c r="E711">
        <v>6</v>
      </c>
      <c r="F711" t="s">
        <v>4879</v>
      </c>
      <c r="G711">
        <v>1</v>
      </c>
      <c r="H711">
        <v>1</v>
      </c>
      <c r="I711">
        <f>1</f>
        <v>1</v>
      </c>
    </row>
    <row r="712" spans="2:9" x14ac:dyDescent="0.25">
      <c r="B712">
        <v>0</v>
      </c>
      <c r="C712" s="16" t="s">
        <v>10060</v>
      </c>
      <c r="D712" s="16"/>
      <c r="E712">
        <v>6</v>
      </c>
      <c r="F712" t="e">
        <f>-Cerejas</f>
        <v>#NAME?</v>
      </c>
      <c r="G712">
        <v>1</v>
      </c>
      <c r="H712">
        <v>1</v>
      </c>
      <c r="I712">
        <f>1</f>
        <v>1</v>
      </c>
    </row>
    <row r="713" spans="2:9" x14ac:dyDescent="0.25">
      <c r="B713">
        <v>0</v>
      </c>
      <c r="C713" s="16" t="s">
        <v>10061</v>
      </c>
      <c r="D713" s="16"/>
      <c r="E713">
        <v>6</v>
      </c>
      <c r="F713" t="e">
        <f>-Outras</f>
        <v>#NAME?</v>
      </c>
      <c r="G713">
        <v>1</v>
      </c>
      <c r="H713">
        <v>1</v>
      </c>
      <c r="I713">
        <f>1</f>
        <v>1</v>
      </c>
    </row>
    <row r="714" spans="2:9" x14ac:dyDescent="0.25">
      <c r="B714">
        <v>0</v>
      </c>
      <c r="C714" s="16" t="s">
        <v>10062</v>
      </c>
      <c r="D714" s="16"/>
      <c r="E714">
        <v>6</v>
      </c>
      <c r="F714" t="e">
        <f>-Damascos</f>
        <v>#NAME?</v>
      </c>
      <c r="G714">
        <v>1</v>
      </c>
      <c r="H714">
        <v>1</v>
      </c>
      <c r="I714">
        <f>1</f>
        <v>1</v>
      </c>
    </row>
    <row r="715" spans="2:9" x14ac:dyDescent="0.25">
      <c r="B715">
        <v>0</v>
      </c>
      <c r="C715" s="16" t="s">
        <v>10063</v>
      </c>
      <c r="D715" s="16"/>
      <c r="E715">
        <v>6</v>
      </c>
      <c r="F715" t="s">
        <v>4880</v>
      </c>
      <c r="G715">
        <v>1</v>
      </c>
      <c r="H715">
        <v>1</v>
      </c>
      <c r="I715">
        <f>1</f>
        <v>1</v>
      </c>
    </row>
    <row r="716" spans="2:9" x14ac:dyDescent="0.25">
      <c r="B716">
        <v>0</v>
      </c>
      <c r="C716" s="16" t="s">
        <v>10064</v>
      </c>
      <c r="D716" s="16"/>
      <c r="E716">
        <v>6</v>
      </c>
      <c r="F716" t="s">
        <v>4881</v>
      </c>
      <c r="G716">
        <v>1</v>
      </c>
      <c r="H716">
        <v>1</v>
      </c>
      <c r="I716">
        <f>1</f>
        <v>1</v>
      </c>
    </row>
    <row r="717" spans="2:9" x14ac:dyDescent="0.25">
      <c r="B717">
        <v>0</v>
      </c>
      <c r="C717" s="16" t="s">
        <v>10065</v>
      </c>
      <c r="D717" s="16"/>
      <c r="E717">
        <v>6</v>
      </c>
      <c r="F717" t="e">
        <f>-Maçãs</f>
        <v>#NAME?</v>
      </c>
      <c r="G717">
        <v>1</v>
      </c>
      <c r="H717">
        <v>1</v>
      </c>
      <c r="I717">
        <f>1</f>
        <v>1</v>
      </c>
    </row>
    <row r="718" spans="2:9" x14ac:dyDescent="0.25">
      <c r="B718">
        <v>0</v>
      </c>
      <c r="C718" s="16" t="s">
        <v>10066</v>
      </c>
      <c r="D718" s="16"/>
      <c r="E718">
        <v>6</v>
      </c>
      <c r="F718" t="s">
        <v>4882</v>
      </c>
      <c r="G718">
        <v>1</v>
      </c>
      <c r="H718">
        <v>1</v>
      </c>
      <c r="I718">
        <f>1</f>
        <v>1</v>
      </c>
    </row>
    <row r="719" spans="2:9" x14ac:dyDescent="0.25">
      <c r="B719">
        <v>0</v>
      </c>
      <c r="C719" s="16" t="s">
        <v>10067</v>
      </c>
      <c r="D719" s="16"/>
      <c r="E719">
        <v>6</v>
      </c>
      <c r="F719" t="s">
        <v>4690</v>
      </c>
      <c r="G719">
        <v>1</v>
      </c>
      <c r="H719">
        <v>1</v>
      </c>
      <c r="I719">
        <f>1</f>
        <v>1</v>
      </c>
    </row>
    <row r="720" spans="2:9" x14ac:dyDescent="0.25">
      <c r="B720">
        <v>0</v>
      </c>
      <c r="C720" s="16" t="s">
        <v>10068</v>
      </c>
      <c r="D720" s="16"/>
      <c r="E720">
        <v>6</v>
      </c>
      <c r="F720" t="s">
        <v>4883</v>
      </c>
      <c r="G720">
        <v>1</v>
      </c>
      <c r="H720">
        <v>1</v>
      </c>
      <c r="I720">
        <f>1</f>
        <v>1</v>
      </c>
    </row>
    <row r="721" spans="2:9" x14ac:dyDescent="0.25">
      <c r="B721">
        <v>0</v>
      </c>
      <c r="C721" s="16" t="s">
        <v>10069</v>
      </c>
      <c r="D721" s="16"/>
      <c r="E721">
        <v>6</v>
      </c>
      <c r="F721" t="s">
        <v>4884</v>
      </c>
      <c r="G721">
        <v>1</v>
      </c>
      <c r="H721">
        <v>1</v>
      </c>
      <c r="I721">
        <f>1</f>
        <v>1</v>
      </c>
    </row>
    <row r="722" spans="2:9" x14ac:dyDescent="0.25">
      <c r="B722">
        <v>0</v>
      </c>
      <c r="C722" s="16" t="s">
        <v>10070</v>
      </c>
      <c r="D722" s="16"/>
      <c r="E722">
        <v>6</v>
      </c>
      <c r="F722" t="s">
        <v>4885</v>
      </c>
      <c r="G722">
        <v>1</v>
      </c>
      <c r="H722">
        <v>1</v>
      </c>
      <c r="I722">
        <f>1</f>
        <v>1</v>
      </c>
    </row>
    <row r="723" spans="2:9" x14ac:dyDescent="0.25">
      <c r="B723">
        <v>0</v>
      </c>
      <c r="C723" s="16" t="s">
        <v>10071</v>
      </c>
      <c r="D723" s="16"/>
      <c r="E723">
        <v>6</v>
      </c>
      <c r="F723" t="s">
        <v>4680</v>
      </c>
      <c r="G723">
        <v>1</v>
      </c>
      <c r="H723">
        <v>1</v>
      </c>
      <c r="I723">
        <f>1</f>
        <v>1</v>
      </c>
    </row>
    <row r="724" spans="2:9" x14ac:dyDescent="0.25">
      <c r="B724">
        <v>0</v>
      </c>
      <c r="C724" s="16" t="s">
        <v>10071</v>
      </c>
      <c r="D724" s="16" t="s">
        <v>19430</v>
      </c>
      <c r="E724">
        <v>6</v>
      </c>
      <c r="F724" t="s">
        <v>4886</v>
      </c>
      <c r="G724">
        <v>1</v>
      </c>
      <c r="H724">
        <v>1</v>
      </c>
      <c r="I724">
        <f>1</f>
        <v>1</v>
      </c>
    </row>
    <row r="725" spans="2:9" x14ac:dyDescent="0.25">
      <c r="B725">
        <v>0</v>
      </c>
      <c r="C725" s="16" t="s">
        <v>10072</v>
      </c>
      <c r="D725" s="16"/>
      <c r="E725">
        <v>6</v>
      </c>
      <c r="F725" t="e">
        <f>--Descafeinado</f>
        <v>#NAME?</v>
      </c>
      <c r="G725">
        <v>1</v>
      </c>
      <c r="H725">
        <v>1</v>
      </c>
      <c r="I725">
        <f>1</f>
        <v>1</v>
      </c>
    </row>
    <row r="726" spans="2:9" x14ac:dyDescent="0.25">
      <c r="B726">
        <v>0</v>
      </c>
      <c r="C726" s="16" t="s">
        <v>10073</v>
      </c>
      <c r="D726" s="16"/>
      <c r="E726">
        <v>6</v>
      </c>
      <c r="F726" t="e">
        <f>--Não Descafeinado</f>
        <v>#NAME?</v>
      </c>
      <c r="G726">
        <v>1</v>
      </c>
      <c r="H726">
        <v>1</v>
      </c>
      <c r="I726">
        <f>1</f>
        <v>1</v>
      </c>
    </row>
    <row r="727" spans="2:9" x14ac:dyDescent="0.25">
      <c r="B727">
        <v>0</v>
      </c>
      <c r="C727" s="16" t="s">
        <v>10074</v>
      </c>
      <c r="D727" s="16"/>
      <c r="E727">
        <v>6</v>
      </c>
      <c r="F727" t="e">
        <f>--Descafeinado</f>
        <v>#NAME?</v>
      </c>
      <c r="G727">
        <v>1</v>
      </c>
      <c r="H727">
        <v>1</v>
      </c>
      <c r="I727">
        <f>1</f>
        <v>1</v>
      </c>
    </row>
    <row r="728" spans="2:9" x14ac:dyDescent="0.25">
      <c r="B728">
        <v>0</v>
      </c>
      <c r="C728" s="16" t="s">
        <v>10075</v>
      </c>
      <c r="D728" s="16"/>
      <c r="E728">
        <v>6</v>
      </c>
      <c r="F728" t="e">
        <f>-outros</f>
        <v>#NAME?</v>
      </c>
      <c r="G728">
        <v>1</v>
      </c>
      <c r="H728">
        <v>1</v>
      </c>
      <c r="I728">
        <f>1</f>
        <v>1</v>
      </c>
    </row>
    <row r="729" spans="2:9" x14ac:dyDescent="0.25">
      <c r="B729">
        <v>0</v>
      </c>
      <c r="C729" s="16" t="s">
        <v>10075</v>
      </c>
      <c r="D729" s="16" t="s">
        <v>19430</v>
      </c>
      <c r="E729">
        <v>6</v>
      </c>
      <c r="F729" t="s">
        <v>4887</v>
      </c>
      <c r="G729">
        <v>1</v>
      </c>
      <c r="H729">
        <v>1</v>
      </c>
      <c r="I729">
        <f>1</f>
        <v>1</v>
      </c>
    </row>
    <row r="730" spans="2:9" x14ac:dyDescent="0.25">
      <c r="B730">
        <v>0</v>
      </c>
      <c r="C730" s="16" t="s">
        <v>10076</v>
      </c>
      <c r="D730" s="16"/>
      <c r="E730">
        <v>6</v>
      </c>
      <c r="F730" t="s">
        <v>4888</v>
      </c>
      <c r="G730">
        <v>1</v>
      </c>
      <c r="H730">
        <v>1</v>
      </c>
      <c r="I730">
        <f>1</f>
        <v>1</v>
      </c>
    </row>
    <row r="731" spans="2:9" x14ac:dyDescent="0.25">
      <c r="B731">
        <v>0</v>
      </c>
      <c r="C731" s="16" t="s">
        <v>10077</v>
      </c>
      <c r="D731" s="16"/>
      <c r="E731">
        <v>6</v>
      </c>
      <c r="F731" t="e">
        <f>-Chá verde  Não fermentado  apresentado De qualquer outra forma</f>
        <v>#NAME?</v>
      </c>
      <c r="G731">
        <v>1</v>
      </c>
      <c r="H731">
        <v>1</v>
      </c>
      <c r="I731">
        <f>1</f>
        <v>1</v>
      </c>
    </row>
    <row r="732" spans="2:9" x14ac:dyDescent="0.25">
      <c r="B732">
        <v>0</v>
      </c>
      <c r="C732" s="16" t="s">
        <v>10078</v>
      </c>
      <c r="D732" s="16"/>
      <c r="E732">
        <v>6</v>
      </c>
      <c r="F732" t="s">
        <v>4889</v>
      </c>
      <c r="G732">
        <v>1</v>
      </c>
      <c r="H732">
        <v>1</v>
      </c>
      <c r="I732">
        <f>1</f>
        <v>1</v>
      </c>
    </row>
    <row r="733" spans="2:9" x14ac:dyDescent="0.25">
      <c r="B733">
        <v>0</v>
      </c>
      <c r="C733" s="16" t="s">
        <v>10079</v>
      </c>
      <c r="D733" s="16"/>
      <c r="E733">
        <v>6</v>
      </c>
      <c r="F733" t="s">
        <v>4890</v>
      </c>
      <c r="G733">
        <v>1</v>
      </c>
      <c r="H733">
        <v>1</v>
      </c>
      <c r="I733">
        <f>1</f>
        <v>1</v>
      </c>
    </row>
    <row r="734" spans="2:9" x14ac:dyDescent="0.25">
      <c r="B734">
        <v>0</v>
      </c>
      <c r="C734" s="16" t="s">
        <v>10080</v>
      </c>
      <c r="D734" s="16"/>
      <c r="E734">
        <v>6</v>
      </c>
      <c r="F734" t="s">
        <v>4891</v>
      </c>
      <c r="G734">
        <v>1</v>
      </c>
      <c r="H734">
        <v>1</v>
      </c>
      <c r="I734">
        <f>1</f>
        <v>1</v>
      </c>
    </row>
    <row r="735" spans="2:9" x14ac:dyDescent="0.25">
      <c r="B735">
        <v>0</v>
      </c>
      <c r="C735" s="16" t="s">
        <v>10080</v>
      </c>
      <c r="D735" s="16" t="s">
        <v>19430</v>
      </c>
      <c r="E735">
        <v>6</v>
      </c>
      <c r="F735" t="s">
        <v>4892</v>
      </c>
      <c r="G735">
        <v>1</v>
      </c>
      <c r="H735">
        <v>1</v>
      </c>
      <c r="I735">
        <f>1</f>
        <v>1</v>
      </c>
    </row>
    <row r="736" spans="2:9" x14ac:dyDescent="0.25">
      <c r="B736">
        <v>0</v>
      </c>
      <c r="C736" s="16" t="s">
        <v>10081</v>
      </c>
      <c r="D736" s="16"/>
      <c r="E736">
        <v>6</v>
      </c>
      <c r="F736" t="s">
        <v>4680</v>
      </c>
      <c r="G736">
        <v>1</v>
      </c>
      <c r="H736">
        <v>1</v>
      </c>
      <c r="I736">
        <f>1</f>
        <v>1</v>
      </c>
    </row>
    <row r="737" spans="2:9" x14ac:dyDescent="0.25">
      <c r="B737">
        <v>0</v>
      </c>
      <c r="C737" s="16" t="s">
        <v>10081</v>
      </c>
      <c r="D737" s="16" t="s">
        <v>19430</v>
      </c>
      <c r="E737">
        <v>6</v>
      </c>
      <c r="F737" t="s">
        <v>4892</v>
      </c>
      <c r="G737">
        <v>1</v>
      </c>
      <c r="H737">
        <v>1</v>
      </c>
      <c r="I737">
        <f>1</f>
        <v>1</v>
      </c>
    </row>
    <row r="738" spans="2:9" x14ac:dyDescent="0.25">
      <c r="B738">
        <v>0</v>
      </c>
      <c r="C738" s="16" t="s">
        <v>10082</v>
      </c>
      <c r="D738" s="16"/>
      <c r="E738">
        <v>6</v>
      </c>
      <c r="F738" t="e">
        <f>--Não triturada nem em pó</f>
        <v>#NAME?</v>
      </c>
      <c r="G738">
        <v>1</v>
      </c>
      <c r="H738">
        <v>1</v>
      </c>
      <c r="I738">
        <f>1</f>
        <v>1</v>
      </c>
    </row>
    <row r="739" spans="2:9" x14ac:dyDescent="0.25">
      <c r="B739">
        <v>0</v>
      </c>
      <c r="C739" s="16" t="s">
        <v>10083</v>
      </c>
      <c r="D739" s="16"/>
      <c r="E739">
        <v>6</v>
      </c>
      <c r="F739" t="e">
        <f>--triturada ou em pó</f>
        <v>#NAME?</v>
      </c>
      <c r="G739">
        <v>1</v>
      </c>
      <c r="H739">
        <v>1</v>
      </c>
      <c r="I739">
        <f>1</f>
        <v>1</v>
      </c>
    </row>
    <row r="740" spans="2:9" x14ac:dyDescent="0.25">
      <c r="B740">
        <v>0</v>
      </c>
      <c r="C740" s="16" t="s">
        <v>10084</v>
      </c>
      <c r="D740" s="16"/>
      <c r="E740">
        <v>6</v>
      </c>
      <c r="F740" t="s">
        <v>4893</v>
      </c>
      <c r="G740">
        <v>1</v>
      </c>
      <c r="H740">
        <v>1</v>
      </c>
      <c r="I740">
        <f>1</f>
        <v>1</v>
      </c>
    </row>
    <row r="741" spans="2:9" x14ac:dyDescent="0.25">
      <c r="B741">
        <v>0</v>
      </c>
      <c r="C741" s="16" t="s">
        <v>10085</v>
      </c>
      <c r="D741" s="16"/>
      <c r="E741">
        <v>6</v>
      </c>
      <c r="F741" t="e">
        <f>--Triturados ou em pó</f>
        <v>#NAME?</v>
      </c>
      <c r="G741">
        <v>1</v>
      </c>
      <c r="H741">
        <v>1</v>
      </c>
      <c r="I741">
        <f>1</f>
        <v>1</v>
      </c>
    </row>
    <row r="742" spans="2:9" x14ac:dyDescent="0.25">
      <c r="B742">
        <v>0</v>
      </c>
      <c r="C742" s="16" t="s">
        <v>10086</v>
      </c>
      <c r="D742" s="16"/>
      <c r="E742">
        <v>6</v>
      </c>
      <c r="F742" t="e">
        <f>-Não triturada nem em pó</f>
        <v>#NAME?</v>
      </c>
      <c r="G742">
        <v>1</v>
      </c>
      <c r="H742">
        <v>1</v>
      </c>
      <c r="I742">
        <f>1</f>
        <v>1</v>
      </c>
    </row>
    <row r="743" spans="2:9" x14ac:dyDescent="0.25">
      <c r="B743">
        <v>0</v>
      </c>
      <c r="C743" s="16" t="s">
        <v>10087</v>
      </c>
      <c r="D743" s="16"/>
      <c r="E743">
        <v>6</v>
      </c>
      <c r="F743" t="e">
        <f>-triturada ou em pó</f>
        <v>#NAME?</v>
      </c>
      <c r="G743">
        <v>1</v>
      </c>
      <c r="H743">
        <v>1</v>
      </c>
      <c r="I743">
        <f>1</f>
        <v>1</v>
      </c>
    </row>
    <row r="744" spans="2:9" x14ac:dyDescent="0.25">
      <c r="B744">
        <v>0</v>
      </c>
      <c r="C744" s="16" t="s">
        <v>10088</v>
      </c>
      <c r="D744" s="16"/>
      <c r="E744">
        <v>6</v>
      </c>
      <c r="F744" t="e">
        <f>--Canela  Cinnamomum zeylanicum blume</f>
        <v>#NAME?</v>
      </c>
      <c r="G744">
        <v>1</v>
      </c>
      <c r="H744">
        <v>1</v>
      </c>
      <c r="I744">
        <f>1</f>
        <v>1</v>
      </c>
    </row>
    <row r="745" spans="2:9" x14ac:dyDescent="0.25">
      <c r="B745">
        <v>0</v>
      </c>
      <c r="C745" s="16" t="s">
        <v>10089</v>
      </c>
      <c r="D745" s="16"/>
      <c r="E745">
        <v>6</v>
      </c>
      <c r="F745" t="e">
        <f>--Outras</f>
        <v>#NAME?</v>
      </c>
      <c r="G745">
        <v>1</v>
      </c>
      <c r="H745">
        <v>1</v>
      </c>
      <c r="I745">
        <f>1</f>
        <v>1</v>
      </c>
    </row>
    <row r="746" spans="2:9" x14ac:dyDescent="0.25">
      <c r="B746">
        <v>0</v>
      </c>
      <c r="C746" s="16" t="s">
        <v>10090</v>
      </c>
      <c r="D746" s="16"/>
      <c r="E746">
        <v>6</v>
      </c>
      <c r="F746" t="e">
        <f>-Trituradas ou em pó</f>
        <v>#NAME?</v>
      </c>
      <c r="G746">
        <v>1</v>
      </c>
      <c r="H746">
        <v>1</v>
      </c>
      <c r="I746">
        <f>1</f>
        <v>1</v>
      </c>
    </row>
    <row r="747" spans="2:9" x14ac:dyDescent="0.25">
      <c r="B747">
        <v>0</v>
      </c>
      <c r="C747" s="16" t="s">
        <v>10091</v>
      </c>
      <c r="D747" s="16"/>
      <c r="E747">
        <v>6</v>
      </c>
      <c r="F747" t="e">
        <f>-Não triturado nem em pó</f>
        <v>#NAME?</v>
      </c>
      <c r="G747">
        <v>1</v>
      </c>
      <c r="H747">
        <v>1</v>
      </c>
      <c r="I747">
        <f>1</f>
        <v>1</v>
      </c>
    </row>
    <row r="748" spans="2:9" x14ac:dyDescent="0.25">
      <c r="B748">
        <v>0</v>
      </c>
      <c r="C748" s="16" t="s">
        <v>10092</v>
      </c>
      <c r="D748" s="16"/>
      <c r="E748">
        <v>6</v>
      </c>
      <c r="F748" t="e">
        <f>-triturado ou em pó</f>
        <v>#NAME?</v>
      </c>
      <c r="G748">
        <v>1</v>
      </c>
      <c r="H748">
        <v>1</v>
      </c>
      <c r="I748">
        <f>1</f>
        <v>1</v>
      </c>
    </row>
    <row r="749" spans="2:9" x14ac:dyDescent="0.25">
      <c r="B749">
        <v>0</v>
      </c>
      <c r="C749" s="16" t="s">
        <v>10093</v>
      </c>
      <c r="D749" s="16"/>
      <c r="E749">
        <v>6</v>
      </c>
      <c r="F749" t="e">
        <f>--Não triturada nem em pó</f>
        <v>#NAME?</v>
      </c>
      <c r="G749">
        <v>1</v>
      </c>
      <c r="H749">
        <v>1</v>
      </c>
      <c r="I749">
        <f>1</f>
        <v>1</v>
      </c>
    </row>
    <row r="750" spans="2:9" x14ac:dyDescent="0.25">
      <c r="B750">
        <v>0</v>
      </c>
      <c r="C750" s="16" t="s">
        <v>10094</v>
      </c>
      <c r="D750" s="16"/>
      <c r="E750">
        <v>6</v>
      </c>
      <c r="F750" t="e">
        <f>--triturada ou em pó</f>
        <v>#NAME?</v>
      </c>
      <c r="G750">
        <v>1</v>
      </c>
      <c r="H750">
        <v>1</v>
      </c>
      <c r="I750">
        <f>1</f>
        <v>1</v>
      </c>
    </row>
    <row r="751" spans="2:9" x14ac:dyDescent="0.25">
      <c r="B751">
        <v>0</v>
      </c>
      <c r="C751" s="16" t="s">
        <v>10095</v>
      </c>
      <c r="D751" s="16"/>
      <c r="E751">
        <v>6</v>
      </c>
      <c r="F751" t="e">
        <f>--Não triturado nem em pó</f>
        <v>#NAME?</v>
      </c>
      <c r="G751">
        <v>1</v>
      </c>
      <c r="H751">
        <v>1</v>
      </c>
      <c r="I751">
        <f>1</f>
        <v>1</v>
      </c>
    </row>
    <row r="752" spans="2:9" x14ac:dyDescent="0.25">
      <c r="B752">
        <v>0</v>
      </c>
      <c r="C752" s="16" t="s">
        <v>10096</v>
      </c>
      <c r="D752" s="16"/>
      <c r="E752">
        <v>6</v>
      </c>
      <c r="F752" t="e">
        <f>--triturado ou em pó</f>
        <v>#NAME?</v>
      </c>
      <c r="G752">
        <v>1</v>
      </c>
      <c r="H752">
        <v>1</v>
      </c>
      <c r="I752">
        <f>1</f>
        <v>1</v>
      </c>
    </row>
    <row r="753" spans="2:9" x14ac:dyDescent="0.25">
      <c r="B753">
        <v>0</v>
      </c>
      <c r="C753" s="16" t="s">
        <v>10097</v>
      </c>
      <c r="D753" s="16"/>
      <c r="E753">
        <v>6</v>
      </c>
      <c r="F753" t="e">
        <f>--Não Triturados nem em pó</f>
        <v>#NAME?</v>
      </c>
      <c r="G753">
        <v>1</v>
      </c>
      <c r="H753">
        <v>1</v>
      </c>
      <c r="I753">
        <f>1</f>
        <v>1</v>
      </c>
    </row>
    <row r="754" spans="2:9" x14ac:dyDescent="0.25">
      <c r="B754">
        <v>0</v>
      </c>
      <c r="C754" s="16" t="s">
        <v>10098</v>
      </c>
      <c r="D754" s="16"/>
      <c r="E754">
        <v>6</v>
      </c>
      <c r="F754" t="e">
        <f>--Triturados ou em pó</f>
        <v>#NAME?</v>
      </c>
      <c r="G754">
        <v>1</v>
      </c>
      <c r="H754">
        <v>1</v>
      </c>
      <c r="I754">
        <f>1</f>
        <v>1</v>
      </c>
    </row>
    <row r="755" spans="2:9" x14ac:dyDescent="0.25">
      <c r="B755">
        <v>0</v>
      </c>
      <c r="C755" s="16" t="s">
        <v>10099</v>
      </c>
      <c r="D755" s="16"/>
      <c r="E755">
        <v>6</v>
      </c>
      <c r="F755" t="e">
        <f>--Não Trituradas nem em pó</f>
        <v>#NAME?</v>
      </c>
      <c r="G755">
        <v>1</v>
      </c>
      <c r="H755">
        <v>1</v>
      </c>
      <c r="I755">
        <f>1</f>
        <v>1</v>
      </c>
    </row>
    <row r="756" spans="2:9" x14ac:dyDescent="0.25">
      <c r="B756">
        <v>0</v>
      </c>
      <c r="C756" s="16" t="s">
        <v>10100</v>
      </c>
      <c r="D756" s="16"/>
      <c r="E756">
        <v>6</v>
      </c>
      <c r="F756" t="e">
        <f>--Trituradas ou em pó</f>
        <v>#NAME?</v>
      </c>
      <c r="G756">
        <v>1</v>
      </c>
      <c r="H756">
        <v>1</v>
      </c>
      <c r="I756">
        <f>1</f>
        <v>1</v>
      </c>
    </row>
    <row r="757" spans="2:9" x14ac:dyDescent="0.25">
      <c r="B757">
        <v>0</v>
      </c>
      <c r="C757" s="16" t="s">
        <v>10101</v>
      </c>
      <c r="D757" s="16"/>
      <c r="E757">
        <v>6</v>
      </c>
      <c r="F757" t="e">
        <f>--Não Trituradas nem em pó</f>
        <v>#NAME?</v>
      </c>
      <c r="G757">
        <v>1</v>
      </c>
      <c r="H757">
        <v>1</v>
      </c>
      <c r="I757">
        <f>1</f>
        <v>1</v>
      </c>
    </row>
    <row r="758" spans="2:9" x14ac:dyDescent="0.25">
      <c r="B758">
        <v>0</v>
      </c>
      <c r="C758" s="16" t="s">
        <v>10102</v>
      </c>
      <c r="D758" s="16"/>
      <c r="E758">
        <v>6</v>
      </c>
      <c r="F758" t="e">
        <f>--Trituradas ou em pó</f>
        <v>#NAME?</v>
      </c>
      <c r="G758">
        <v>1</v>
      </c>
      <c r="H758">
        <v>1</v>
      </c>
      <c r="I758">
        <f>1</f>
        <v>1</v>
      </c>
    </row>
    <row r="759" spans="2:9" x14ac:dyDescent="0.25">
      <c r="B759">
        <v>0</v>
      </c>
      <c r="C759" s="16" t="s">
        <v>10103</v>
      </c>
      <c r="D759" s="16"/>
      <c r="E759">
        <v>6</v>
      </c>
      <c r="F759" t="s">
        <v>4894</v>
      </c>
      <c r="G759">
        <v>1</v>
      </c>
      <c r="H759">
        <v>1</v>
      </c>
      <c r="I759">
        <f>1</f>
        <v>1</v>
      </c>
    </row>
    <row r="760" spans="2:9" x14ac:dyDescent="0.25">
      <c r="B760">
        <v>0</v>
      </c>
      <c r="C760" s="16" t="s">
        <v>10104</v>
      </c>
      <c r="D760" s="16"/>
      <c r="E760">
        <v>6</v>
      </c>
      <c r="F760" t="s">
        <v>4895</v>
      </c>
      <c r="G760">
        <v>1</v>
      </c>
      <c r="H760">
        <v>1</v>
      </c>
      <c r="I760">
        <f>1</f>
        <v>1</v>
      </c>
    </row>
    <row r="761" spans="2:9" x14ac:dyDescent="0.25">
      <c r="B761">
        <v>0</v>
      </c>
      <c r="C761" s="16" t="s">
        <v>10105</v>
      </c>
      <c r="D761" s="16"/>
      <c r="E761">
        <v>6</v>
      </c>
      <c r="F761" t="s">
        <v>4690</v>
      </c>
      <c r="G761">
        <v>1</v>
      </c>
      <c r="H761">
        <v>1</v>
      </c>
      <c r="I761">
        <f>1</f>
        <v>1</v>
      </c>
    </row>
    <row r="762" spans="2:9" x14ac:dyDescent="0.25">
      <c r="B762">
        <v>0</v>
      </c>
      <c r="C762" s="16" t="s">
        <v>10106</v>
      </c>
      <c r="D762" s="16"/>
      <c r="E762">
        <v>6</v>
      </c>
      <c r="F762" t="s">
        <v>4894</v>
      </c>
      <c r="G762">
        <v>1</v>
      </c>
      <c r="H762">
        <v>1</v>
      </c>
      <c r="I762">
        <f>1</f>
        <v>1</v>
      </c>
    </row>
    <row r="763" spans="2:9" x14ac:dyDescent="0.25">
      <c r="B763">
        <v>0</v>
      </c>
      <c r="C763" s="16" t="s">
        <v>10107</v>
      </c>
      <c r="D763" s="16"/>
      <c r="E763">
        <v>6</v>
      </c>
      <c r="F763" t="s">
        <v>4895</v>
      </c>
      <c r="G763">
        <v>1</v>
      </c>
      <c r="H763">
        <v>1</v>
      </c>
      <c r="I763">
        <f>1</f>
        <v>1</v>
      </c>
    </row>
    <row r="764" spans="2:9" x14ac:dyDescent="0.25">
      <c r="B764">
        <v>0</v>
      </c>
      <c r="C764" s="16" t="s">
        <v>10108</v>
      </c>
      <c r="D764" s="16"/>
      <c r="E764">
        <v>6</v>
      </c>
      <c r="F764" t="s">
        <v>4690</v>
      </c>
      <c r="G764">
        <v>1</v>
      </c>
      <c r="H764">
        <v>1</v>
      </c>
      <c r="I764">
        <f>1</f>
        <v>1</v>
      </c>
    </row>
    <row r="765" spans="2:9" x14ac:dyDescent="0.25">
      <c r="B765">
        <v>0</v>
      </c>
      <c r="C765" s="16" t="s">
        <v>10109</v>
      </c>
      <c r="D765" s="16"/>
      <c r="E765">
        <v>6</v>
      </c>
      <c r="F765" t="e">
        <f>--Não triturado nem em pó</f>
        <v>#NAME?</v>
      </c>
      <c r="G765">
        <v>1</v>
      </c>
      <c r="H765">
        <v>1</v>
      </c>
      <c r="I765">
        <f>1</f>
        <v>1</v>
      </c>
    </row>
    <row r="766" spans="2:9" x14ac:dyDescent="0.25">
      <c r="B766">
        <v>0</v>
      </c>
      <c r="C766" s="16" t="s">
        <v>10110</v>
      </c>
      <c r="D766" s="16"/>
      <c r="E766">
        <v>6</v>
      </c>
      <c r="F766" t="e">
        <f>--triturado ou em pó</f>
        <v>#NAME?</v>
      </c>
      <c r="G766">
        <v>1</v>
      </c>
      <c r="H766">
        <v>1</v>
      </c>
      <c r="I766">
        <f>1</f>
        <v>1</v>
      </c>
    </row>
    <row r="767" spans="2:9" x14ac:dyDescent="0.25">
      <c r="B767">
        <v>0</v>
      </c>
      <c r="C767" s="16" t="s">
        <v>10111</v>
      </c>
      <c r="D767" s="16"/>
      <c r="E767">
        <v>6</v>
      </c>
      <c r="F767" t="e">
        <f>-Açafrão</f>
        <v>#NAME?</v>
      </c>
      <c r="G767">
        <v>1</v>
      </c>
      <c r="H767">
        <v>1</v>
      </c>
      <c r="I767">
        <f>1</f>
        <v>1</v>
      </c>
    </row>
    <row r="768" spans="2:9" x14ac:dyDescent="0.25">
      <c r="B768">
        <v>0</v>
      </c>
      <c r="C768" s="16" t="s">
        <v>10112</v>
      </c>
      <c r="D768" s="16"/>
      <c r="E768">
        <v>6</v>
      </c>
      <c r="F768" t="e">
        <f>-Açafrão-da-terra</f>
        <v>#NAME?</v>
      </c>
      <c r="G768">
        <v>1</v>
      </c>
      <c r="H768">
        <v>1</v>
      </c>
      <c r="I768">
        <f>1</f>
        <v>1</v>
      </c>
    </row>
    <row r="769" spans="2:9" x14ac:dyDescent="0.25">
      <c r="B769">
        <v>0</v>
      </c>
      <c r="C769" s="16" t="s">
        <v>10113</v>
      </c>
      <c r="D769" s="16"/>
      <c r="E769">
        <v>6</v>
      </c>
      <c r="F769" t="s">
        <v>4896</v>
      </c>
      <c r="G769">
        <v>1</v>
      </c>
      <c r="H769">
        <v>1</v>
      </c>
      <c r="I769">
        <f>1</f>
        <v>1</v>
      </c>
    </row>
    <row r="770" spans="2:9" x14ac:dyDescent="0.25">
      <c r="B770">
        <v>0</v>
      </c>
      <c r="C770" s="16" t="s">
        <v>10114</v>
      </c>
      <c r="D770" s="16"/>
      <c r="E770">
        <v>6</v>
      </c>
      <c r="F770" t="e">
        <f>--Outras</f>
        <v>#NAME?</v>
      </c>
      <c r="G770">
        <v>1</v>
      </c>
      <c r="H770">
        <v>1</v>
      </c>
      <c r="I770">
        <f>1</f>
        <v>1</v>
      </c>
    </row>
    <row r="771" spans="2:9" x14ac:dyDescent="0.25">
      <c r="B771">
        <v>0</v>
      </c>
      <c r="C771" s="16" t="s">
        <v>10115</v>
      </c>
      <c r="D771" s="16"/>
      <c r="E771">
        <v>6</v>
      </c>
      <c r="F771" t="e">
        <f>--para semeadura</f>
        <v>#NAME?</v>
      </c>
      <c r="G771">
        <v>1</v>
      </c>
      <c r="H771">
        <v>1</v>
      </c>
      <c r="I771">
        <f>1</f>
        <v>1</v>
      </c>
    </row>
    <row r="772" spans="2:9" x14ac:dyDescent="0.25">
      <c r="B772">
        <v>0</v>
      </c>
      <c r="C772" s="16" t="s">
        <v>10116</v>
      </c>
      <c r="D772" s="16"/>
      <c r="E772">
        <v>6</v>
      </c>
      <c r="F772" t="e">
        <f>--outros</f>
        <v>#NAME?</v>
      </c>
      <c r="G772">
        <v>1</v>
      </c>
      <c r="H772">
        <v>1</v>
      </c>
      <c r="I772">
        <f>1</f>
        <v>1</v>
      </c>
    </row>
    <row r="773" spans="2:9" x14ac:dyDescent="0.25">
      <c r="B773">
        <v>0</v>
      </c>
      <c r="C773" s="16" t="s">
        <v>10117</v>
      </c>
      <c r="D773" s="16"/>
      <c r="E773">
        <v>6</v>
      </c>
      <c r="F773" t="e">
        <f>--para semeadura</f>
        <v>#NAME?</v>
      </c>
      <c r="G773">
        <v>1</v>
      </c>
      <c r="H773">
        <v>1</v>
      </c>
      <c r="I773">
        <f>1</f>
        <v>1</v>
      </c>
    </row>
    <row r="774" spans="2:9" x14ac:dyDescent="0.25">
      <c r="B774">
        <v>0</v>
      </c>
      <c r="C774" s="16" t="s">
        <v>10118</v>
      </c>
      <c r="D774" s="16"/>
      <c r="E774">
        <v>6</v>
      </c>
      <c r="F774" t="e">
        <f>--outros</f>
        <v>#NAME?</v>
      </c>
      <c r="G774">
        <v>1</v>
      </c>
      <c r="H774">
        <v>1</v>
      </c>
      <c r="I774">
        <f>1</f>
        <v>1</v>
      </c>
    </row>
    <row r="775" spans="2:9" x14ac:dyDescent="0.25">
      <c r="B775">
        <v>0</v>
      </c>
      <c r="C775" s="16" t="s">
        <v>10119</v>
      </c>
      <c r="D775" s="16"/>
      <c r="E775">
        <v>6</v>
      </c>
      <c r="F775" t="e">
        <f>-para semeadura</f>
        <v>#NAME?</v>
      </c>
      <c r="G775">
        <v>1</v>
      </c>
      <c r="H775">
        <v>1</v>
      </c>
      <c r="I775">
        <f>1</f>
        <v>1</v>
      </c>
    </row>
    <row r="776" spans="2:9" x14ac:dyDescent="0.25">
      <c r="B776">
        <v>0</v>
      </c>
      <c r="C776" s="16" t="s">
        <v>10120</v>
      </c>
      <c r="D776" s="16"/>
      <c r="E776">
        <v>6</v>
      </c>
      <c r="F776" t="e">
        <f>-outros</f>
        <v>#NAME?</v>
      </c>
      <c r="G776">
        <v>1</v>
      </c>
      <c r="H776">
        <v>1</v>
      </c>
      <c r="I776">
        <f>1</f>
        <v>1</v>
      </c>
    </row>
    <row r="777" spans="2:9" x14ac:dyDescent="0.25">
      <c r="B777">
        <v>0</v>
      </c>
      <c r="C777" s="16" t="s">
        <v>10121</v>
      </c>
      <c r="D777" s="16"/>
      <c r="E777">
        <v>6</v>
      </c>
      <c r="F777" t="e">
        <f>-para semeadura</f>
        <v>#NAME?</v>
      </c>
      <c r="G777">
        <v>1</v>
      </c>
      <c r="H777">
        <v>1</v>
      </c>
      <c r="I777">
        <f>1</f>
        <v>1</v>
      </c>
    </row>
    <row r="778" spans="2:9" x14ac:dyDescent="0.25">
      <c r="B778">
        <v>0</v>
      </c>
      <c r="C778" s="16" t="s">
        <v>10122</v>
      </c>
      <c r="D778" s="16"/>
      <c r="E778">
        <v>6</v>
      </c>
      <c r="F778" t="s">
        <v>4897</v>
      </c>
      <c r="G778">
        <v>1</v>
      </c>
      <c r="H778">
        <v>1</v>
      </c>
      <c r="I778">
        <f>1</f>
        <v>1</v>
      </c>
    </row>
    <row r="779" spans="2:9" x14ac:dyDescent="0.25">
      <c r="B779">
        <v>0</v>
      </c>
      <c r="C779" s="16" t="s">
        <v>10123</v>
      </c>
      <c r="D779" s="16"/>
      <c r="E779">
        <v>6</v>
      </c>
      <c r="F779" t="s">
        <v>4898</v>
      </c>
      <c r="G779">
        <v>1</v>
      </c>
      <c r="H779">
        <v>1</v>
      </c>
      <c r="I779">
        <f>1</f>
        <v>1</v>
      </c>
    </row>
    <row r="780" spans="2:9" x14ac:dyDescent="0.25">
      <c r="B780">
        <v>0</v>
      </c>
      <c r="C780" s="16" t="s">
        <v>10124</v>
      </c>
      <c r="D780" s="16"/>
      <c r="E780">
        <v>6</v>
      </c>
      <c r="F780" t="s">
        <v>4690</v>
      </c>
      <c r="G780">
        <v>1</v>
      </c>
      <c r="H780">
        <v>1</v>
      </c>
      <c r="I780">
        <f>1</f>
        <v>1</v>
      </c>
    </row>
    <row r="781" spans="2:9" x14ac:dyDescent="0.25">
      <c r="B781">
        <v>0</v>
      </c>
      <c r="C781" s="16" t="s">
        <v>10125</v>
      </c>
      <c r="D781" s="16"/>
      <c r="E781">
        <v>6</v>
      </c>
      <c r="F781" t="e">
        <f>-para semeadura</f>
        <v>#NAME?</v>
      </c>
      <c r="G781">
        <v>1</v>
      </c>
      <c r="H781">
        <v>1</v>
      </c>
      <c r="I781">
        <f>1</f>
        <v>1</v>
      </c>
    </row>
    <row r="782" spans="2:9" x14ac:dyDescent="0.25">
      <c r="B782">
        <v>0</v>
      </c>
      <c r="C782" s="16" t="s">
        <v>10126</v>
      </c>
      <c r="D782" s="16"/>
      <c r="E782">
        <v>6</v>
      </c>
      <c r="F782" t="e">
        <f>-Outras</f>
        <v>#NAME?</v>
      </c>
      <c r="G782">
        <v>1</v>
      </c>
      <c r="H782">
        <v>1</v>
      </c>
      <c r="I782">
        <f>1</f>
        <v>1</v>
      </c>
    </row>
    <row r="783" spans="2:9" x14ac:dyDescent="0.25">
      <c r="B783">
        <v>0</v>
      </c>
      <c r="C783" s="16" t="s">
        <v>10127</v>
      </c>
      <c r="D783" s="16"/>
      <c r="E783">
        <v>6</v>
      </c>
      <c r="F783" t="e">
        <f>-para semeadura</f>
        <v>#NAME?</v>
      </c>
      <c r="G783">
        <v>1</v>
      </c>
      <c r="H783">
        <v>1</v>
      </c>
      <c r="I783">
        <f>1</f>
        <v>1</v>
      </c>
    </row>
    <row r="784" spans="2:9" x14ac:dyDescent="0.25">
      <c r="B784">
        <v>0</v>
      </c>
      <c r="C784" s="16" t="s">
        <v>10128</v>
      </c>
      <c r="D784" s="16"/>
      <c r="E784">
        <v>6</v>
      </c>
      <c r="F784" t="s">
        <v>4885</v>
      </c>
      <c r="G784">
        <v>1</v>
      </c>
      <c r="H784">
        <v>1</v>
      </c>
      <c r="I784">
        <f>1</f>
        <v>1</v>
      </c>
    </row>
    <row r="785" spans="2:9" x14ac:dyDescent="0.25">
      <c r="B785">
        <v>0</v>
      </c>
      <c r="C785" s="16" t="s">
        <v>10129</v>
      </c>
      <c r="D785" s="16"/>
      <c r="E785">
        <v>6</v>
      </c>
      <c r="F785" t="s">
        <v>4680</v>
      </c>
      <c r="G785">
        <v>1</v>
      </c>
      <c r="H785">
        <v>1</v>
      </c>
      <c r="I785">
        <f>1</f>
        <v>1</v>
      </c>
    </row>
    <row r="786" spans="2:9" x14ac:dyDescent="0.25">
      <c r="B786">
        <v>0</v>
      </c>
      <c r="C786" s="16" t="s">
        <v>10130</v>
      </c>
      <c r="D786" s="16"/>
      <c r="E786">
        <v>6</v>
      </c>
      <c r="F786" t="s">
        <v>4842</v>
      </c>
      <c r="G786">
        <v>1</v>
      </c>
      <c r="H786">
        <v>1</v>
      </c>
      <c r="I786">
        <f>1</f>
        <v>1</v>
      </c>
    </row>
    <row r="787" spans="2:9" x14ac:dyDescent="0.25">
      <c r="B787">
        <v>0</v>
      </c>
      <c r="C787" s="16" t="s">
        <v>10131</v>
      </c>
      <c r="D787" s="16"/>
      <c r="E787">
        <v>6</v>
      </c>
      <c r="F787" t="s">
        <v>4899</v>
      </c>
      <c r="G787">
        <v>1</v>
      </c>
      <c r="H787">
        <v>1</v>
      </c>
      <c r="I787">
        <f>1</f>
        <v>1</v>
      </c>
    </row>
    <row r="788" spans="2:9" x14ac:dyDescent="0.25">
      <c r="B788">
        <v>0</v>
      </c>
      <c r="C788" s="16" t="s">
        <v>10132</v>
      </c>
      <c r="D788" s="16"/>
      <c r="E788">
        <v>6</v>
      </c>
      <c r="F788" t="s">
        <v>4900</v>
      </c>
      <c r="G788">
        <v>1</v>
      </c>
      <c r="H788">
        <v>1</v>
      </c>
      <c r="I788">
        <f>1</f>
        <v>1</v>
      </c>
    </row>
    <row r="789" spans="2:9" x14ac:dyDescent="0.25">
      <c r="B789">
        <v>0</v>
      </c>
      <c r="C789" s="16" t="s">
        <v>10133</v>
      </c>
      <c r="D789" s="16"/>
      <c r="E789">
        <v>6</v>
      </c>
      <c r="F789" t="s">
        <v>4899</v>
      </c>
      <c r="G789">
        <v>1</v>
      </c>
      <c r="H789">
        <v>1</v>
      </c>
      <c r="I789">
        <f>1</f>
        <v>1</v>
      </c>
    </row>
    <row r="790" spans="2:9" x14ac:dyDescent="0.25">
      <c r="B790">
        <v>0</v>
      </c>
      <c r="C790" s="16" t="s">
        <v>10134</v>
      </c>
      <c r="D790" s="16"/>
      <c r="E790">
        <v>6</v>
      </c>
      <c r="F790" t="s">
        <v>4900</v>
      </c>
      <c r="G790">
        <v>1</v>
      </c>
      <c r="H790">
        <v>1</v>
      </c>
      <c r="I790">
        <f>1</f>
        <v>1</v>
      </c>
    </row>
    <row r="791" spans="2:9" x14ac:dyDescent="0.25">
      <c r="B791">
        <v>0</v>
      </c>
      <c r="C791" s="16" t="s">
        <v>10135</v>
      </c>
      <c r="D791" s="16"/>
      <c r="E791">
        <v>6</v>
      </c>
      <c r="F791" t="s">
        <v>4901</v>
      </c>
      <c r="G791">
        <v>1</v>
      </c>
      <c r="H791">
        <v>1</v>
      </c>
      <c r="I791">
        <f>1</f>
        <v>1</v>
      </c>
    </row>
    <row r="792" spans="2:9" x14ac:dyDescent="0.25">
      <c r="B792">
        <v>0</v>
      </c>
      <c r="C792" s="16" t="s">
        <v>10136</v>
      </c>
      <c r="D792" s="16"/>
      <c r="E792">
        <v>6</v>
      </c>
      <c r="F792" t="s">
        <v>4680</v>
      </c>
      <c r="G792">
        <v>1</v>
      </c>
      <c r="H792">
        <v>1</v>
      </c>
      <c r="I792">
        <f>1</f>
        <v>1</v>
      </c>
    </row>
    <row r="793" spans="2:9" x14ac:dyDescent="0.25">
      <c r="B793">
        <v>0</v>
      </c>
      <c r="C793" s="16" t="s">
        <v>10137</v>
      </c>
      <c r="D793" s="16"/>
      <c r="E793">
        <v>6</v>
      </c>
      <c r="F793" t="s">
        <v>4901</v>
      </c>
      <c r="G793">
        <v>1</v>
      </c>
      <c r="H793">
        <v>1</v>
      </c>
      <c r="I793">
        <f>1</f>
        <v>1</v>
      </c>
    </row>
    <row r="794" spans="2:9" x14ac:dyDescent="0.25">
      <c r="B794">
        <v>0</v>
      </c>
      <c r="C794" s="16" t="s">
        <v>10138</v>
      </c>
      <c r="D794" s="16"/>
      <c r="E794">
        <v>6</v>
      </c>
      <c r="F794" t="s">
        <v>4680</v>
      </c>
      <c r="G794">
        <v>1</v>
      </c>
      <c r="H794">
        <v>1</v>
      </c>
      <c r="I794">
        <f>1</f>
        <v>1</v>
      </c>
    </row>
    <row r="795" spans="2:9" x14ac:dyDescent="0.25">
      <c r="B795">
        <v>0</v>
      </c>
      <c r="C795" s="16" t="s">
        <v>10139</v>
      </c>
      <c r="D795" s="16"/>
      <c r="E795">
        <v>6</v>
      </c>
      <c r="F795" t="e">
        <f>-Arroz quebrado</f>
        <v>#NAME?</v>
      </c>
      <c r="G795">
        <v>1</v>
      </c>
      <c r="H795">
        <v>1</v>
      </c>
      <c r="I795">
        <f>1</f>
        <v>1</v>
      </c>
    </row>
    <row r="796" spans="2:9" x14ac:dyDescent="0.25">
      <c r="B796">
        <v>0</v>
      </c>
      <c r="C796" s="16" t="s">
        <v>10140</v>
      </c>
      <c r="D796" s="16"/>
      <c r="E796">
        <v>6</v>
      </c>
      <c r="F796" t="e">
        <f>-para semeadura</f>
        <v>#NAME?</v>
      </c>
      <c r="G796">
        <v>1</v>
      </c>
      <c r="H796">
        <v>1</v>
      </c>
      <c r="I796">
        <f>1</f>
        <v>1</v>
      </c>
    </row>
    <row r="797" spans="2:9" x14ac:dyDescent="0.25">
      <c r="B797">
        <v>0</v>
      </c>
      <c r="C797" s="16" t="s">
        <v>10141</v>
      </c>
      <c r="D797" s="16"/>
      <c r="E797">
        <v>6</v>
      </c>
      <c r="F797" t="e">
        <f>-outros</f>
        <v>#NAME?</v>
      </c>
      <c r="G797">
        <v>1</v>
      </c>
      <c r="H797">
        <v>1</v>
      </c>
      <c r="I797">
        <f>1</f>
        <v>1</v>
      </c>
    </row>
    <row r="798" spans="2:9" x14ac:dyDescent="0.25">
      <c r="B798">
        <v>0</v>
      </c>
      <c r="C798" s="16" t="s">
        <v>10142</v>
      </c>
      <c r="D798" s="16"/>
      <c r="E798">
        <v>6</v>
      </c>
      <c r="F798" t="s">
        <v>4842</v>
      </c>
      <c r="G798">
        <v>1</v>
      </c>
      <c r="H798">
        <v>1</v>
      </c>
      <c r="I798">
        <f>1</f>
        <v>1</v>
      </c>
    </row>
    <row r="799" spans="2:9" x14ac:dyDescent="0.25">
      <c r="B799">
        <v>0</v>
      </c>
      <c r="C799" s="16" t="s">
        <v>10143</v>
      </c>
      <c r="D799" s="16"/>
      <c r="E799">
        <v>6</v>
      </c>
      <c r="F799" t="s">
        <v>4680</v>
      </c>
      <c r="G799">
        <v>1</v>
      </c>
      <c r="H799">
        <v>1</v>
      </c>
      <c r="I799">
        <f>1</f>
        <v>1</v>
      </c>
    </row>
    <row r="800" spans="2:9" x14ac:dyDescent="0.25">
      <c r="B800">
        <v>0</v>
      </c>
      <c r="C800" s="16" t="s">
        <v>10144</v>
      </c>
      <c r="D800" s="16"/>
      <c r="E800">
        <v>6</v>
      </c>
      <c r="F800" t="e">
        <f>--para semeadura</f>
        <v>#NAME?</v>
      </c>
      <c r="G800">
        <v>1</v>
      </c>
      <c r="H800">
        <v>1</v>
      </c>
      <c r="I800">
        <f>1</f>
        <v>1</v>
      </c>
    </row>
    <row r="801" spans="2:9" x14ac:dyDescent="0.25">
      <c r="B801">
        <v>0</v>
      </c>
      <c r="C801" s="16" t="s">
        <v>10145</v>
      </c>
      <c r="D801" s="16"/>
      <c r="E801">
        <v>6</v>
      </c>
      <c r="F801" t="e">
        <f>--outros</f>
        <v>#NAME?</v>
      </c>
      <c r="G801">
        <v>1</v>
      </c>
      <c r="H801">
        <v>1</v>
      </c>
      <c r="I801">
        <f>1</f>
        <v>1</v>
      </c>
    </row>
    <row r="802" spans="2:9" x14ac:dyDescent="0.25">
      <c r="B802">
        <v>0</v>
      </c>
      <c r="C802" s="16" t="s">
        <v>10146</v>
      </c>
      <c r="D802" s="16"/>
      <c r="E802">
        <v>6</v>
      </c>
      <c r="F802" t="s">
        <v>4842</v>
      </c>
      <c r="G802">
        <v>1</v>
      </c>
      <c r="H802">
        <v>1</v>
      </c>
      <c r="I802">
        <f>1</f>
        <v>1</v>
      </c>
    </row>
    <row r="803" spans="2:9" x14ac:dyDescent="0.25">
      <c r="B803">
        <v>0</v>
      </c>
      <c r="C803" s="16" t="s">
        <v>10147</v>
      </c>
      <c r="D803" s="16"/>
      <c r="E803">
        <v>6</v>
      </c>
      <c r="F803" t="s">
        <v>4680</v>
      </c>
      <c r="G803">
        <v>1</v>
      </c>
      <c r="H803">
        <v>1</v>
      </c>
      <c r="I803">
        <f>1</f>
        <v>1</v>
      </c>
    </row>
    <row r="804" spans="2:9" x14ac:dyDescent="0.25">
      <c r="B804">
        <v>0</v>
      </c>
      <c r="C804" s="16" t="s">
        <v>10148</v>
      </c>
      <c r="D804" s="16"/>
      <c r="E804">
        <v>6</v>
      </c>
      <c r="F804" t="s">
        <v>4842</v>
      </c>
      <c r="G804">
        <v>1</v>
      </c>
      <c r="H804">
        <v>1</v>
      </c>
      <c r="I804">
        <f>1</f>
        <v>1</v>
      </c>
    </row>
    <row r="805" spans="2:9" x14ac:dyDescent="0.25">
      <c r="B805">
        <v>0</v>
      </c>
      <c r="C805" s="16" t="s">
        <v>10149</v>
      </c>
      <c r="D805" s="16"/>
      <c r="E805">
        <v>6</v>
      </c>
      <c r="F805" t="s">
        <v>4680</v>
      </c>
      <c r="G805">
        <v>1</v>
      </c>
      <c r="H805">
        <v>1</v>
      </c>
      <c r="I805">
        <f>1</f>
        <v>1</v>
      </c>
    </row>
    <row r="806" spans="2:9" x14ac:dyDescent="0.25">
      <c r="B806">
        <v>0</v>
      </c>
      <c r="C806" s="16" t="s">
        <v>10150</v>
      </c>
      <c r="D806" s="16"/>
      <c r="E806">
        <v>6</v>
      </c>
      <c r="F806" t="s">
        <v>4842</v>
      </c>
      <c r="G806">
        <v>1</v>
      </c>
      <c r="H806">
        <v>1</v>
      </c>
      <c r="I806">
        <f>1</f>
        <v>1</v>
      </c>
    </row>
    <row r="807" spans="2:9" x14ac:dyDescent="0.25">
      <c r="B807">
        <v>0</v>
      </c>
      <c r="C807" s="16" t="s">
        <v>10151</v>
      </c>
      <c r="D807" s="16"/>
      <c r="E807">
        <v>6</v>
      </c>
      <c r="F807" t="s">
        <v>4680</v>
      </c>
      <c r="G807">
        <v>1</v>
      </c>
      <c r="H807">
        <v>1</v>
      </c>
      <c r="I807">
        <f>1</f>
        <v>1</v>
      </c>
    </row>
    <row r="808" spans="2:9" x14ac:dyDescent="0.25">
      <c r="B808">
        <v>0</v>
      </c>
      <c r="C808" s="16" t="s">
        <v>10152</v>
      </c>
      <c r="D808" s="16"/>
      <c r="E808">
        <v>6</v>
      </c>
      <c r="F808" t="s">
        <v>4842</v>
      </c>
      <c r="G808">
        <v>1</v>
      </c>
      <c r="H808">
        <v>1</v>
      </c>
      <c r="I808">
        <f>1</f>
        <v>1</v>
      </c>
    </row>
    <row r="809" spans="2:9" x14ac:dyDescent="0.25">
      <c r="B809">
        <v>0</v>
      </c>
      <c r="C809" s="16" t="s">
        <v>10153</v>
      </c>
      <c r="D809" s="16"/>
      <c r="E809">
        <v>6</v>
      </c>
      <c r="F809" t="s">
        <v>4680</v>
      </c>
      <c r="G809">
        <v>1</v>
      </c>
      <c r="H809">
        <v>1</v>
      </c>
      <c r="I809">
        <f>1</f>
        <v>1</v>
      </c>
    </row>
    <row r="810" spans="2:9" x14ac:dyDescent="0.25">
      <c r="B810">
        <v>0</v>
      </c>
      <c r="C810" s="16" t="s">
        <v>10154</v>
      </c>
      <c r="D810" s="16"/>
      <c r="E810">
        <v>6</v>
      </c>
      <c r="F810" t="s">
        <v>4842</v>
      </c>
      <c r="G810">
        <v>1</v>
      </c>
      <c r="H810">
        <v>1</v>
      </c>
      <c r="I810">
        <f>1</f>
        <v>1</v>
      </c>
    </row>
    <row r="811" spans="2:9" x14ac:dyDescent="0.25">
      <c r="B811">
        <v>0</v>
      </c>
      <c r="C811" s="16" t="s">
        <v>10155</v>
      </c>
      <c r="D811" s="16"/>
      <c r="E811">
        <v>6</v>
      </c>
      <c r="F811" t="s">
        <v>4680</v>
      </c>
      <c r="G811">
        <v>1</v>
      </c>
      <c r="H811">
        <v>1</v>
      </c>
      <c r="I811">
        <f>1</f>
        <v>1</v>
      </c>
    </row>
    <row r="812" spans="2:9" x14ac:dyDescent="0.25">
      <c r="B812">
        <v>0</v>
      </c>
      <c r="C812" s="16" t="s">
        <v>10156</v>
      </c>
      <c r="D812" s="16"/>
      <c r="E812">
        <v>6</v>
      </c>
      <c r="F812" t="s">
        <v>4902</v>
      </c>
      <c r="G812">
        <v>1</v>
      </c>
      <c r="H812">
        <v>1</v>
      </c>
      <c r="I812">
        <f>1</f>
        <v>1</v>
      </c>
    </row>
    <row r="813" spans="2:9" x14ac:dyDescent="0.25">
      <c r="B813">
        <v>0</v>
      </c>
      <c r="C813" s="16" t="s">
        <v>10157</v>
      </c>
      <c r="D813" s="16"/>
      <c r="E813">
        <v>6</v>
      </c>
      <c r="F813" t="s">
        <v>4903</v>
      </c>
      <c r="G813">
        <v>1</v>
      </c>
      <c r="H813">
        <v>1</v>
      </c>
      <c r="I813">
        <f>1</f>
        <v>1</v>
      </c>
    </row>
    <row r="814" spans="2:9" x14ac:dyDescent="0.25">
      <c r="B814">
        <v>0</v>
      </c>
      <c r="C814" s="16" t="s">
        <v>10158</v>
      </c>
      <c r="D814" s="16"/>
      <c r="E814">
        <v>6</v>
      </c>
      <c r="F814" t="e">
        <f>-Farinha De Milho</f>
        <v>#NAME?</v>
      </c>
      <c r="G814">
        <v>1</v>
      </c>
      <c r="H814">
        <v>1</v>
      </c>
      <c r="I814">
        <f>1</f>
        <v>1</v>
      </c>
    </row>
    <row r="815" spans="2:9" x14ac:dyDescent="0.25">
      <c r="B815">
        <v>0</v>
      </c>
      <c r="C815" s="16" t="s">
        <v>10159</v>
      </c>
      <c r="D815" s="16"/>
      <c r="E815">
        <v>6</v>
      </c>
      <c r="F815" t="e">
        <f>-Outras</f>
        <v>#NAME?</v>
      </c>
      <c r="G815">
        <v>1</v>
      </c>
      <c r="H815">
        <v>1</v>
      </c>
      <c r="I815">
        <f>1</f>
        <v>1</v>
      </c>
    </row>
    <row r="816" spans="2:9" x14ac:dyDescent="0.25">
      <c r="B816">
        <v>0</v>
      </c>
      <c r="C816" s="16" t="s">
        <v>10160</v>
      </c>
      <c r="D816" s="16"/>
      <c r="E816">
        <v>6</v>
      </c>
      <c r="F816" t="e">
        <f>--De trigo</f>
        <v>#NAME?</v>
      </c>
      <c r="G816">
        <v>1</v>
      </c>
      <c r="H816">
        <v>1</v>
      </c>
      <c r="I816">
        <f>1</f>
        <v>1</v>
      </c>
    </row>
    <row r="817" spans="2:9" x14ac:dyDescent="0.25">
      <c r="B817">
        <v>0</v>
      </c>
      <c r="C817" s="16" t="s">
        <v>10161</v>
      </c>
      <c r="D817" s="16"/>
      <c r="E817">
        <v>6</v>
      </c>
      <c r="F817" t="e">
        <f>--De Milho</f>
        <v>#NAME?</v>
      </c>
      <c r="G817">
        <v>1</v>
      </c>
      <c r="H817">
        <v>1</v>
      </c>
      <c r="I817">
        <f>1</f>
        <v>1</v>
      </c>
    </row>
    <row r="818" spans="2:9" x14ac:dyDescent="0.25">
      <c r="B818">
        <v>0</v>
      </c>
      <c r="C818" s="16" t="s">
        <v>10162</v>
      </c>
      <c r="D818" s="16"/>
      <c r="E818">
        <v>6</v>
      </c>
      <c r="F818" t="e">
        <f>--De outros cereais</f>
        <v>#NAME?</v>
      </c>
      <c r="G818">
        <v>1</v>
      </c>
      <c r="H818">
        <v>1</v>
      </c>
      <c r="I818">
        <f>1</f>
        <v>1</v>
      </c>
    </row>
    <row r="819" spans="2:9" x14ac:dyDescent="0.25">
      <c r="B819">
        <v>0</v>
      </c>
      <c r="C819" s="16" t="s">
        <v>10163</v>
      </c>
      <c r="D819" s="16"/>
      <c r="E819">
        <v>6</v>
      </c>
      <c r="F819" t="e">
        <f>-Pellets</f>
        <v>#NAME?</v>
      </c>
      <c r="G819">
        <v>1</v>
      </c>
      <c r="H819">
        <v>1</v>
      </c>
      <c r="I819">
        <f>1</f>
        <v>1</v>
      </c>
    </row>
    <row r="820" spans="2:9" x14ac:dyDescent="0.25">
      <c r="B820">
        <v>0</v>
      </c>
      <c r="C820" s="16" t="s">
        <v>10164</v>
      </c>
      <c r="D820" s="16"/>
      <c r="E820">
        <v>6</v>
      </c>
      <c r="F820" t="e">
        <f>--De aveia</f>
        <v>#NAME?</v>
      </c>
      <c r="G820">
        <v>1</v>
      </c>
      <c r="H820">
        <v>1</v>
      </c>
      <c r="I820">
        <f>1</f>
        <v>1</v>
      </c>
    </row>
    <row r="821" spans="2:9" x14ac:dyDescent="0.25">
      <c r="B821">
        <v>0</v>
      </c>
      <c r="C821" s="16" t="s">
        <v>10165</v>
      </c>
      <c r="D821" s="16"/>
      <c r="E821">
        <v>6</v>
      </c>
      <c r="F821" t="e">
        <f>--De outros cereais</f>
        <v>#NAME?</v>
      </c>
      <c r="G821">
        <v>1</v>
      </c>
      <c r="H821">
        <v>1</v>
      </c>
      <c r="I821">
        <f>1</f>
        <v>1</v>
      </c>
    </row>
    <row r="822" spans="2:9" x14ac:dyDescent="0.25">
      <c r="B822">
        <v>0</v>
      </c>
      <c r="C822" s="16" t="s">
        <v>10166</v>
      </c>
      <c r="D822" s="16"/>
      <c r="E822">
        <v>6</v>
      </c>
      <c r="F822" t="e">
        <f>--De aveia</f>
        <v>#NAME?</v>
      </c>
      <c r="G822">
        <v>1</v>
      </c>
      <c r="H822">
        <v>1</v>
      </c>
      <c r="I822">
        <f>1</f>
        <v>1</v>
      </c>
    </row>
    <row r="823" spans="2:9" x14ac:dyDescent="0.25">
      <c r="B823">
        <v>0</v>
      </c>
      <c r="C823" s="16" t="s">
        <v>10167</v>
      </c>
      <c r="D823" s="16"/>
      <c r="E823">
        <v>6</v>
      </c>
      <c r="F823" t="e">
        <f>--De Milho</f>
        <v>#NAME?</v>
      </c>
      <c r="G823">
        <v>1</v>
      </c>
      <c r="H823">
        <v>1</v>
      </c>
      <c r="I823">
        <f>1</f>
        <v>1</v>
      </c>
    </row>
    <row r="824" spans="2:9" x14ac:dyDescent="0.25">
      <c r="B824">
        <v>0</v>
      </c>
      <c r="C824" s="16" t="s">
        <v>10168</v>
      </c>
      <c r="D824" s="16"/>
      <c r="E824">
        <v>6</v>
      </c>
      <c r="F824" t="e">
        <f>--De outros cereais</f>
        <v>#NAME?</v>
      </c>
      <c r="G824">
        <v>1</v>
      </c>
      <c r="H824">
        <v>1</v>
      </c>
      <c r="I824">
        <f>1</f>
        <v>1</v>
      </c>
    </row>
    <row r="825" spans="2:9" x14ac:dyDescent="0.25">
      <c r="B825">
        <v>0</v>
      </c>
      <c r="C825" s="16" t="s">
        <v>10169</v>
      </c>
      <c r="D825" s="16"/>
      <c r="E825">
        <v>6</v>
      </c>
      <c r="F825" t="s">
        <v>4904</v>
      </c>
      <c r="G825">
        <v>1</v>
      </c>
      <c r="H825">
        <v>1</v>
      </c>
      <c r="I825">
        <f>1</f>
        <v>1</v>
      </c>
    </row>
    <row r="826" spans="2:9" x14ac:dyDescent="0.25">
      <c r="B826">
        <v>0</v>
      </c>
      <c r="C826" s="16" t="s">
        <v>10170</v>
      </c>
      <c r="D826" s="16"/>
      <c r="E826">
        <v>6</v>
      </c>
      <c r="F826" t="s">
        <v>4905</v>
      </c>
      <c r="G826">
        <v>1</v>
      </c>
      <c r="H826">
        <v>1</v>
      </c>
      <c r="I826">
        <f>1</f>
        <v>1</v>
      </c>
    </row>
    <row r="827" spans="2:9" x14ac:dyDescent="0.25">
      <c r="B827">
        <v>0</v>
      </c>
      <c r="C827" s="16" t="s">
        <v>10171</v>
      </c>
      <c r="D827" s="16"/>
      <c r="E827">
        <v>6</v>
      </c>
      <c r="F827" t="s">
        <v>4906</v>
      </c>
      <c r="G827">
        <v>1</v>
      </c>
      <c r="H827">
        <v>1</v>
      </c>
      <c r="I827">
        <f>1</f>
        <v>1</v>
      </c>
    </row>
    <row r="828" spans="2:9" x14ac:dyDescent="0.25">
      <c r="B828">
        <v>0</v>
      </c>
      <c r="C828" s="16" t="s">
        <v>10172</v>
      </c>
      <c r="D828" s="16"/>
      <c r="E828">
        <v>6</v>
      </c>
      <c r="F828" t="s">
        <v>4907</v>
      </c>
      <c r="G828">
        <v>1</v>
      </c>
      <c r="H828">
        <v>1</v>
      </c>
      <c r="I828">
        <f>1</f>
        <v>1</v>
      </c>
    </row>
    <row r="829" spans="2:9" x14ac:dyDescent="0.25">
      <c r="B829">
        <v>0</v>
      </c>
      <c r="C829" s="16" t="s">
        <v>10173</v>
      </c>
      <c r="D829" s="16"/>
      <c r="E829">
        <v>6</v>
      </c>
      <c r="F829" t="s">
        <v>4908</v>
      </c>
      <c r="G829">
        <v>1</v>
      </c>
      <c r="H829">
        <v>1</v>
      </c>
      <c r="I829">
        <f>1</f>
        <v>1</v>
      </c>
    </row>
    <row r="830" spans="2:9" x14ac:dyDescent="0.25">
      <c r="B830">
        <v>0</v>
      </c>
      <c r="C830" s="16" t="s">
        <v>10174</v>
      </c>
      <c r="D830" s="16"/>
      <c r="E830">
        <v>6</v>
      </c>
      <c r="F830" t="s">
        <v>4909</v>
      </c>
      <c r="G830">
        <v>1</v>
      </c>
      <c r="H830">
        <v>1</v>
      </c>
      <c r="I830">
        <f>1</f>
        <v>1</v>
      </c>
    </row>
    <row r="831" spans="2:9" x14ac:dyDescent="0.25">
      <c r="B831">
        <v>0</v>
      </c>
      <c r="C831" s="16" t="s">
        <v>10175</v>
      </c>
      <c r="D831" s="16"/>
      <c r="E831">
        <v>6</v>
      </c>
      <c r="F831" t="s">
        <v>4910</v>
      </c>
      <c r="G831">
        <v>1</v>
      </c>
      <c r="H831">
        <v>1</v>
      </c>
      <c r="I831">
        <f>1</f>
        <v>1</v>
      </c>
    </row>
    <row r="832" spans="2:9" x14ac:dyDescent="0.25">
      <c r="B832">
        <v>0</v>
      </c>
      <c r="C832" s="16" t="s">
        <v>10176</v>
      </c>
      <c r="D832" s="16"/>
      <c r="E832">
        <v>6</v>
      </c>
      <c r="F832" t="s">
        <v>4911</v>
      </c>
      <c r="G832">
        <v>1</v>
      </c>
      <c r="H832">
        <v>1</v>
      </c>
      <c r="I832">
        <f>1</f>
        <v>1</v>
      </c>
    </row>
    <row r="833" spans="2:9" x14ac:dyDescent="0.25">
      <c r="B833">
        <v>0</v>
      </c>
      <c r="C833" s="16" t="s">
        <v>10177</v>
      </c>
      <c r="D833" s="16"/>
      <c r="E833">
        <v>6</v>
      </c>
      <c r="F833" t="s">
        <v>4910</v>
      </c>
      <c r="G833">
        <v>1</v>
      </c>
      <c r="H833">
        <v>1</v>
      </c>
      <c r="I833">
        <f>1</f>
        <v>1</v>
      </c>
    </row>
    <row r="834" spans="2:9" x14ac:dyDescent="0.25">
      <c r="B834">
        <v>0</v>
      </c>
      <c r="C834" s="16" t="s">
        <v>10178</v>
      </c>
      <c r="D834" s="16"/>
      <c r="E834">
        <v>6</v>
      </c>
      <c r="F834" t="s">
        <v>4911</v>
      </c>
      <c r="G834">
        <v>1</v>
      </c>
      <c r="H834">
        <v>1</v>
      </c>
      <c r="I834">
        <f>1</f>
        <v>1</v>
      </c>
    </row>
    <row r="835" spans="2:9" x14ac:dyDescent="0.25">
      <c r="B835">
        <v>0</v>
      </c>
      <c r="C835" s="16" t="s">
        <v>10179</v>
      </c>
      <c r="D835" s="16"/>
      <c r="E835">
        <v>6</v>
      </c>
      <c r="F835" t="e">
        <f>--Amido De trigo</f>
        <v>#NAME?</v>
      </c>
      <c r="G835">
        <v>1</v>
      </c>
      <c r="H835">
        <v>1</v>
      </c>
      <c r="I835">
        <f>1</f>
        <v>1</v>
      </c>
    </row>
    <row r="836" spans="2:9" x14ac:dyDescent="0.25">
      <c r="B836">
        <v>0</v>
      </c>
      <c r="C836" s="16" t="s">
        <v>10180</v>
      </c>
      <c r="D836" s="16"/>
      <c r="E836">
        <v>6</v>
      </c>
      <c r="F836" t="e">
        <f>--Amido De Milho</f>
        <v>#NAME?</v>
      </c>
      <c r="G836">
        <v>1</v>
      </c>
      <c r="H836">
        <v>1</v>
      </c>
      <c r="I836">
        <f>1</f>
        <v>1</v>
      </c>
    </row>
    <row r="837" spans="2:9" x14ac:dyDescent="0.25">
      <c r="B837">
        <v>0</v>
      </c>
      <c r="C837" s="16" t="s">
        <v>10181</v>
      </c>
      <c r="D837" s="16"/>
      <c r="E837">
        <v>6</v>
      </c>
      <c r="F837" t="e">
        <f>--Fécula De batata</f>
        <v>#NAME?</v>
      </c>
      <c r="G837">
        <v>1</v>
      </c>
      <c r="H837">
        <v>1</v>
      </c>
      <c r="I837">
        <f>1</f>
        <v>1</v>
      </c>
    </row>
    <row r="838" spans="2:9" x14ac:dyDescent="0.25">
      <c r="B838">
        <v>0</v>
      </c>
      <c r="C838" s="16" t="s">
        <v>10182</v>
      </c>
      <c r="D838" s="16"/>
      <c r="E838">
        <v>6</v>
      </c>
      <c r="F838" t="e">
        <f>--Fécula De mandioca</f>
        <v>#NAME?</v>
      </c>
      <c r="G838">
        <v>1</v>
      </c>
      <c r="H838">
        <v>1</v>
      </c>
      <c r="I838">
        <f>1</f>
        <v>1</v>
      </c>
    </row>
    <row r="839" spans="2:9" x14ac:dyDescent="0.25">
      <c r="B839">
        <v>0</v>
      </c>
      <c r="C839" s="16" t="s">
        <v>10183</v>
      </c>
      <c r="D839" s="16"/>
      <c r="E839">
        <v>6</v>
      </c>
      <c r="F839" t="e">
        <f>--outros amidos e féculas</f>
        <v>#NAME?</v>
      </c>
      <c r="G839">
        <v>1</v>
      </c>
      <c r="H839">
        <v>1</v>
      </c>
      <c r="I839">
        <f>1</f>
        <v>1</v>
      </c>
    </row>
    <row r="840" spans="2:9" x14ac:dyDescent="0.25">
      <c r="B840">
        <v>0</v>
      </c>
      <c r="C840" s="16" t="s">
        <v>10184</v>
      </c>
      <c r="D840" s="16"/>
      <c r="E840">
        <v>6</v>
      </c>
      <c r="F840" t="e">
        <f>-Inulina</f>
        <v>#NAME?</v>
      </c>
      <c r="G840">
        <v>1</v>
      </c>
      <c r="H840">
        <v>1</v>
      </c>
      <c r="I840">
        <f>1</f>
        <v>1</v>
      </c>
    </row>
    <row r="841" spans="2:9" x14ac:dyDescent="0.25">
      <c r="B841">
        <v>0</v>
      </c>
      <c r="C841" s="16" t="s">
        <v>10185</v>
      </c>
      <c r="D841" s="16"/>
      <c r="E841">
        <v>6</v>
      </c>
      <c r="F841" t="s">
        <v>4912</v>
      </c>
      <c r="G841">
        <v>1</v>
      </c>
      <c r="H841">
        <v>1</v>
      </c>
      <c r="I841">
        <f>1</f>
        <v>1</v>
      </c>
    </row>
    <row r="842" spans="2:9" x14ac:dyDescent="0.25">
      <c r="B842">
        <v>0</v>
      </c>
      <c r="C842" s="16" t="s">
        <v>10186</v>
      </c>
      <c r="D842" s="16"/>
      <c r="E842">
        <v>6</v>
      </c>
      <c r="F842" t="e">
        <f>-para semeadura</f>
        <v>#NAME?</v>
      </c>
      <c r="G842">
        <v>1</v>
      </c>
      <c r="H842">
        <v>1</v>
      </c>
      <c r="I842">
        <f>1</f>
        <v>1</v>
      </c>
    </row>
    <row r="843" spans="2:9" x14ac:dyDescent="0.25">
      <c r="B843">
        <v>0</v>
      </c>
      <c r="C843" s="16" t="s">
        <v>10187</v>
      </c>
      <c r="D843" s="16"/>
      <c r="E843">
        <v>6</v>
      </c>
      <c r="F843" t="e">
        <f>-Outras</f>
        <v>#NAME?</v>
      </c>
      <c r="G843">
        <v>1</v>
      </c>
      <c r="H843">
        <v>1</v>
      </c>
      <c r="I843">
        <f>1</f>
        <v>1</v>
      </c>
    </row>
    <row r="844" spans="2:9" x14ac:dyDescent="0.25">
      <c r="B844">
        <v>0</v>
      </c>
      <c r="C844" s="16" t="s">
        <v>10188</v>
      </c>
      <c r="D844" s="16"/>
      <c r="E844">
        <v>6</v>
      </c>
      <c r="F844" t="e">
        <f>-para semeadura</f>
        <v>#NAME?</v>
      </c>
      <c r="G844">
        <v>1</v>
      </c>
      <c r="H844">
        <v>1</v>
      </c>
      <c r="I844">
        <f>1</f>
        <v>1</v>
      </c>
    </row>
    <row r="845" spans="2:9" x14ac:dyDescent="0.25">
      <c r="B845">
        <v>0</v>
      </c>
      <c r="C845" s="16" t="s">
        <v>10189</v>
      </c>
      <c r="D845" s="16"/>
      <c r="E845">
        <v>6</v>
      </c>
      <c r="F845" t="e">
        <f>--Com casca</f>
        <v>#NAME?</v>
      </c>
      <c r="G845">
        <v>1</v>
      </c>
      <c r="H845">
        <v>1</v>
      </c>
      <c r="I845">
        <f>1</f>
        <v>1</v>
      </c>
    </row>
    <row r="846" spans="2:9" x14ac:dyDescent="0.25">
      <c r="B846">
        <v>0</v>
      </c>
      <c r="C846" s="16" t="s">
        <v>10190</v>
      </c>
      <c r="D846" s="16"/>
      <c r="E846">
        <v>6</v>
      </c>
      <c r="F846" t="s">
        <v>4913</v>
      </c>
      <c r="G846">
        <v>1</v>
      </c>
      <c r="H846">
        <v>1</v>
      </c>
      <c r="I846">
        <f>1</f>
        <v>1</v>
      </c>
    </row>
    <row r="847" spans="2:9" x14ac:dyDescent="0.25">
      <c r="B847">
        <v>0</v>
      </c>
      <c r="C847" s="16" t="s">
        <v>10191</v>
      </c>
      <c r="D847" s="16"/>
      <c r="E847">
        <v>6</v>
      </c>
      <c r="F847" t="s">
        <v>4914</v>
      </c>
      <c r="G847">
        <v>1</v>
      </c>
      <c r="H847">
        <v>1</v>
      </c>
      <c r="I847">
        <f>1</f>
        <v>1</v>
      </c>
    </row>
    <row r="848" spans="2:9" x14ac:dyDescent="0.25">
      <c r="B848">
        <v>0</v>
      </c>
      <c r="C848" s="16" t="s">
        <v>10192</v>
      </c>
      <c r="D848" s="16"/>
      <c r="E848">
        <v>6</v>
      </c>
      <c r="F848" t="s">
        <v>4842</v>
      </c>
      <c r="G848">
        <v>1</v>
      </c>
      <c r="H848">
        <v>1</v>
      </c>
      <c r="I848">
        <f>1</f>
        <v>1</v>
      </c>
    </row>
    <row r="849" spans="2:9" x14ac:dyDescent="0.25">
      <c r="B849">
        <v>0</v>
      </c>
      <c r="C849" s="16" t="s">
        <v>10193</v>
      </c>
      <c r="D849" s="16"/>
      <c r="E849">
        <v>6</v>
      </c>
      <c r="F849" t="s">
        <v>4690</v>
      </c>
      <c r="G849">
        <v>1</v>
      </c>
      <c r="H849">
        <v>1</v>
      </c>
      <c r="I849">
        <f>1</f>
        <v>1</v>
      </c>
    </row>
    <row r="850" spans="2:9" x14ac:dyDescent="0.25">
      <c r="B850">
        <v>0</v>
      </c>
      <c r="C850" s="16" t="s">
        <v>10194</v>
      </c>
      <c r="D850" s="16"/>
      <c r="E850">
        <v>6</v>
      </c>
      <c r="F850" t="s">
        <v>4842</v>
      </c>
      <c r="G850">
        <v>1</v>
      </c>
      <c r="H850">
        <v>1</v>
      </c>
      <c r="I850">
        <f>1</f>
        <v>1</v>
      </c>
    </row>
    <row r="851" spans="2:9" x14ac:dyDescent="0.25">
      <c r="B851">
        <v>0</v>
      </c>
      <c r="C851" s="16" t="s">
        <v>10195</v>
      </c>
      <c r="D851" s="16"/>
      <c r="E851">
        <v>6</v>
      </c>
      <c r="F851" t="s">
        <v>4690</v>
      </c>
      <c r="G851">
        <v>1</v>
      </c>
      <c r="H851">
        <v>1</v>
      </c>
      <c r="I851">
        <f>1</f>
        <v>1</v>
      </c>
    </row>
    <row r="852" spans="2:9" x14ac:dyDescent="0.25">
      <c r="B852">
        <v>0</v>
      </c>
      <c r="C852" s="16" t="s">
        <v>10196</v>
      </c>
      <c r="D852" s="16"/>
      <c r="E852">
        <v>6</v>
      </c>
      <c r="F852" t="s">
        <v>4842</v>
      </c>
      <c r="G852">
        <v>1</v>
      </c>
      <c r="H852">
        <v>1</v>
      </c>
      <c r="I852">
        <f>1</f>
        <v>1</v>
      </c>
    </row>
    <row r="853" spans="2:9" x14ac:dyDescent="0.25">
      <c r="B853">
        <v>0</v>
      </c>
      <c r="C853" s="16" t="s">
        <v>10197</v>
      </c>
      <c r="D853" s="16"/>
      <c r="E853">
        <v>6</v>
      </c>
      <c r="F853" t="s">
        <v>4690</v>
      </c>
      <c r="G853">
        <v>1</v>
      </c>
      <c r="H853">
        <v>1</v>
      </c>
      <c r="I853">
        <f>1</f>
        <v>1</v>
      </c>
    </row>
    <row r="854" spans="2:9" x14ac:dyDescent="0.25">
      <c r="B854">
        <v>0</v>
      </c>
      <c r="C854" s="16" t="s">
        <v>10198</v>
      </c>
      <c r="D854" s="16"/>
      <c r="E854">
        <v>6</v>
      </c>
      <c r="F854" t="s">
        <v>4842</v>
      </c>
      <c r="G854">
        <v>1</v>
      </c>
      <c r="H854">
        <v>1</v>
      </c>
      <c r="I854">
        <f>1</f>
        <v>1</v>
      </c>
    </row>
    <row r="855" spans="2:9" x14ac:dyDescent="0.25">
      <c r="B855">
        <v>0</v>
      </c>
      <c r="C855" s="16" t="s">
        <v>10199</v>
      </c>
      <c r="D855" s="16"/>
      <c r="E855">
        <v>6</v>
      </c>
      <c r="F855" t="s">
        <v>4690</v>
      </c>
      <c r="G855">
        <v>1</v>
      </c>
      <c r="H855">
        <v>1</v>
      </c>
      <c r="I855">
        <f>1</f>
        <v>1</v>
      </c>
    </row>
    <row r="856" spans="2:9" x14ac:dyDescent="0.25">
      <c r="B856">
        <v>0</v>
      </c>
      <c r="C856" s="16" t="s">
        <v>10200</v>
      </c>
      <c r="D856" s="16"/>
      <c r="E856">
        <v>6</v>
      </c>
      <c r="F856" t="s">
        <v>4842</v>
      </c>
      <c r="G856">
        <v>1</v>
      </c>
      <c r="H856">
        <v>1</v>
      </c>
      <c r="I856">
        <f>1</f>
        <v>1</v>
      </c>
    </row>
    <row r="857" spans="2:9" x14ac:dyDescent="0.25">
      <c r="B857">
        <v>0</v>
      </c>
      <c r="C857" s="16" t="s">
        <v>10201</v>
      </c>
      <c r="D857" s="16"/>
      <c r="E857">
        <v>6</v>
      </c>
      <c r="F857" t="s">
        <v>4690</v>
      </c>
      <c r="G857">
        <v>1</v>
      </c>
      <c r="H857">
        <v>1</v>
      </c>
      <c r="I857">
        <f>1</f>
        <v>1</v>
      </c>
    </row>
    <row r="858" spans="2:9" x14ac:dyDescent="0.25">
      <c r="B858">
        <v>0</v>
      </c>
      <c r="C858" s="16" t="s">
        <v>10202</v>
      </c>
      <c r="D858" s="16"/>
      <c r="E858">
        <v>6</v>
      </c>
      <c r="F858" t="e">
        <f>--para semeadura</f>
        <v>#NAME?</v>
      </c>
      <c r="G858">
        <v>1</v>
      </c>
      <c r="H858">
        <v>1</v>
      </c>
      <c r="I858">
        <f>1</f>
        <v>1</v>
      </c>
    </row>
    <row r="859" spans="2:9" x14ac:dyDescent="0.25">
      <c r="B859">
        <v>0</v>
      </c>
      <c r="C859" s="16" t="s">
        <v>10203</v>
      </c>
      <c r="D859" s="16"/>
      <c r="E859">
        <v>6</v>
      </c>
      <c r="F859" t="e">
        <f>--Outras</f>
        <v>#NAME?</v>
      </c>
      <c r="G859">
        <v>1</v>
      </c>
      <c r="H859">
        <v>1</v>
      </c>
      <c r="I859">
        <f>1</f>
        <v>1</v>
      </c>
    </row>
    <row r="860" spans="2:9" x14ac:dyDescent="0.25">
      <c r="B860">
        <v>0</v>
      </c>
      <c r="C860" s="16" t="s">
        <v>10204</v>
      </c>
      <c r="D860" s="16"/>
      <c r="E860">
        <v>6</v>
      </c>
      <c r="F860" t="e">
        <f>--para semeadura</f>
        <v>#NAME?</v>
      </c>
      <c r="G860">
        <v>1</v>
      </c>
      <c r="H860">
        <v>1</v>
      </c>
      <c r="I860">
        <f>1</f>
        <v>1</v>
      </c>
    </row>
    <row r="861" spans="2:9" x14ac:dyDescent="0.25">
      <c r="B861">
        <v>0</v>
      </c>
      <c r="C861" s="16" t="s">
        <v>10205</v>
      </c>
      <c r="D861" s="16"/>
      <c r="E861">
        <v>6</v>
      </c>
      <c r="F861" t="e">
        <f>--Outras</f>
        <v>#NAME?</v>
      </c>
      <c r="G861">
        <v>1</v>
      </c>
      <c r="H861">
        <v>1</v>
      </c>
      <c r="I861">
        <f>1</f>
        <v>1</v>
      </c>
    </row>
    <row r="862" spans="2:9" x14ac:dyDescent="0.25">
      <c r="B862">
        <v>0</v>
      </c>
      <c r="C862" s="16" t="s">
        <v>10206</v>
      </c>
      <c r="D862" s="16"/>
      <c r="E862">
        <v>6</v>
      </c>
      <c r="F862" t="s">
        <v>4842</v>
      </c>
      <c r="G862">
        <v>1</v>
      </c>
      <c r="H862">
        <v>1</v>
      </c>
      <c r="I862">
        <f>1</f>
        <v>1</v>
      </c>
    </row>
    <row r="863" spans="2:9" x14ac:dyDescent="0.25">
      <c r="B863">
        <v>0</v>
      </c>
      <c r="C863" s="16" t="s">
        <v>10207</v>
      </c>
      <c r="D863" s="16"/>
      <c r="E863">
        <v>6</v>
      </c>
      <c r="F863" t="s">
        <v>4690</v>
      </c>
      <c r="G863">
        <v>1</v>
      </c>
      <c r="H863">
        <v>1</v>
      </c>
      <c r="I863">
        <f>1</f>
        <v>1</v>
      </c>
    </row>
    <row r="864" spans="2:9" x14ac:dyDescent="0.25">
      <c r="B864">
        <v>0</v>
      </c>
      <c r="C864" s="16" t="s">
        <v>10208</v>
      </c>
      <c r="D864" s="16"/>
      <c r="E864">
        <v>6</v>
      </c>
      <c r="F864" t="s">
        <v>4842</v>
      </c>
      <c r="G864">
        <v>1</v>
      </c>
      <c r="H864">
        <v>1</v>
      </c>
      <c r="I864">
        <f>1</f>
        <v>1</v>
      </c>
    </row>
    <row r="865" spans="2:9" x14ac:dyDescent="0.25">
      <c r="B865">
        <v>0</v>
      </c>
      <c r="C865" s="16" t="s">
        <v>10209</v>
      </c>
      <c r="D865" s="16"/>
      <c r="E865">
        <v>6</v>
      </c>
      <c r="F865" t="s">
        <v>4690</v>
      </c>
      <c r="G865">
        <v>1</v>
      </c>
      <c r="H865">
        <v>1</v>
      </c>
      <c r="I865">
        <f>1</f>
        <v>1</v>
      </c>
    </row>
    <row r="866" spans="2:9" x14ac:dyDescent="0.25">
      <c r="B866">
        <v>0</v>
      </c>
      <c r="C866" s="16" t="s">
        <v>10210</v>
      </c>
      <c r="D866" s="16"/>
      <c r="E866">
        <v>6</v>
      </c>
      <c r="F866" t="s">
        <v>4842</v>
      </c>
      <c r="G866">
        <v>1</v>
      </c>
      <c r="H866">
        <v>1</v>
      </c>
      <c r="I866">
        <f>1</f>
        <v>1</v>
      </c>
    </row>
    <row r="867" spans="2:9" x14ac:dyDescent="0.25">
      <c r="B867">
        <v>0</v>
      </c>
      <c r="C867" s="16" t="s">
        <v>10211</v>
      </c>
      <c r="D867" s="16"/>
      <c r="E867">
        <v>6</v>
      </c>
      <c r="F867" t="s">
        <v>4690</v>
      </c>
      <c r="G867">
        <v>1</v>
      </c>
      <c r="H867">
        <v>1</v>
      </c>
      <c r="I867">
        <f>1</f>
        <v>1</v>
      </c>
    </row>
    <row r="868" spans="2:9" x14ac:dyDescent="0.25">
      <c r="B868">
        <v>0</v>
      </c>
      <c r="C868" s="16" t="s">
        <v>10212</v>
      </c>
      <c r="D868" s="16"/>
      <c r="E868">
        <v>6</v>
      </c>
      <c r="F868" t="s">
        <v>4842</v>
      </c>
      <c r="G868">
        <v>1</v>
      </c>
      <c r="H868">
        <v>1</v>
      </c>
      <c r="I868">
        <f>1</f>
        <v>1</v>
      </c>
    </row>
    <row r="869" spans="2:9" x14ac:dyDescent="0.25">
      <c r="B869">
        <v>0</v>
      </c>
      <c r="C869" s="16" t="s">
        <v>10213</v>
      </c>
      <c r="D869" s="16"/>
      <c r="E869">
        <v>6</v>
      </c>
      <c r="F869" t="s">
        <v>4690</v>
      </c>
      <c r="G869">
        <v>1</v>
      </c>
      <c r="H869">
        <v>1</v>
      </c>
      <c r="I869">
        <f>1</f>
        <v>1</v>
      </c>
    </row>
    <row r="870" spans="2:9" x14ac:dyDescent="0.25">
      <c r="B870">
        <v>0</v>
      </c>
      <c r="C870" s="16" t="s">
        <v>10214</v>
      </c>
      <c r="D870" s="16"/>
      <c r="E870">
        <v>6</v>
      </c>
      <c r="F870" t="s">
        <v>4842</v>
      </c>
      <c r="G870">
        <v>1</v>
      </c>
      <c r="H870">
        <v>1</v>
      </c>
      <c r="I870">
        <f>1</f>
        <v>1</v>
      </c>
    </row>
    <row r="871" spans="2:9" x14ac:dyDescent="0.25">
      <c r="B871">
        <v>0</v>
      </c>
      <c r="C871" s="16" t="s">
        <v>10215</v>
      </c>
      <c r="D871" s="16"/>
      <c r="E871">
        <v>6</v>
      </c>
      <c r="F871" t="s">
        <v>4690</v>
      </c>
      <c r="G871">
        <v>1</v>
      </c>
      <c r="H871">
        <v>1</v>
      </c>
      <c r="I871">
        <f>1</f>
        <v>1</v>
      </c>
    </row>
    <row r="872" spans="2:9" x14ac:dyDescent="0.25">
      <c r="B872">
        <v>0</v>
      </c>
      <c r="C872" s="16" t="s">
        <v>10216</v>
      </c>
      <c r="D872" s="16"/>
      <c r="E872">
        <v>6</v>
      </c>
      <c r="F872" t="s">
        <v>4842</v>
      </c>
      <c r="G872">
        <v>1</v>
      </c>
      <c r="H872">
        <v>1</v>
      </c>
      <c r="I872">
        <f>1</f>
        <v>1</v>
      </c>
    </row>
    <row r="873" spans="2:9" x14ac:dyDescent="0.25">
      <c r="B873">
        <v>0</v>
      </c>
      <c r="C873" s="16" t="s">
        <v>10217</v>
      </c>
      <c r="D873" s="16"/>
      <c r="E873">
        <v>6</v>
      </c>
      <c r="F873" t="s">
        <v>4680</v>
      </c>
      <c r="G873">
        <v>1</v>
      </c>
      <c r="H873">
        <v>1</v>
      </c>
      <c r="I873">
        <f>1</f>
        <v>1</v>
      </c>
    </row>
    <row r="874" spans="2:9" x14ac:dyDescent="0.25">
      <c r="B874">
        <v>0</v>
      </c>
      <c r="C874" s="16" t="s">
        <v>10218</v>
      </c>
      <c r="D874" s="16"/>
      <c r="E874">
        <v>6</v>
      </c>
      <c r="F874" t="e">
        <f>-De soja</f>
        <v>#NAME?</v>
      </c>
      <c r="G874">
        <v>1</v>
      </c>
      <c r="H874">
        <v>1</v>
      </c>
      <c r="I874">
        <f>1</f>
        <v>1</v>
      </c>
    </row>
    <row r="875" spans="2:9" x14ac:dyDescent="0.25">
      <c r="B875">
        <v>0</v>
      </c>
      <c r="C875" s="16" t="s">
        <v>10219</v>
      </c>
      <c r="D875" s="16"/>
      <c r="E875">
        <v>6</v>
      </c>
      <c r="F875" t="e">
        <f>-Outras</f>
        <v>#NAME?</v>
      </c>
      <c r="G875">
        <v>1</v>
      </c>
      <c r="H875">
        <v>1</v>
      </c>
      <c r="I875">
        <f>1</f>
        <v>1</v>
      </c>
    </row>
    <row r="876" spans="2:9" x14ac:dyDescent="0.25">
      <c r="B876">
        <v>0</v>
      </c>
      <c r="C876" s="16" t="s">
        <v>10220</v>
      </c>
      <c r="D876" s="16"/>
      <c r="E876">
        <v>6</v>
      </c>
      <c r="F876" t="e">
        <f>-Sementes De beterraba sacarina</f>
        <v>#NAME?</v>
      </c>
      <c r="G876">
        <v>1</v>
      </c>
      <c r="H876">
        <v>1</v>
      </c>
      <c r="I876">
        <f>1</f>
        <v>1</v>
      </c>
    </row>
    <row r="877" spans="2:9" x14ac:dyDescent="0.25">
      <c r="B877">
        <v>0</v>
      </c>
      <c r="C877" s="16" t="s">
        <v>10221</v>
      </c>
      <c r="D877" s="16"/>
      <c r="E877">
        <v>6</v>
      </c>
      <c r="F877" t="e">
        <f>--Sementes De alfafa  luzerna</f>
        <v>#NAME?</v>
      </c>
      <c r="G877">
        <v>1</v>
      </c>
      <c r="H877">
        <v>1</v>
      </c>
      <c r="I877">
        <f>1</f>
        <v>1</v>
      </c>
    </row>
    <row r="878" spans="2:9" x14ac:dyDescent="0.25">
      <c r="B878">
        <v>0</v>
      </c>
      <c r="C878" s="16" t="s">
        <v>10222</v>
      </c>
      <c r="D878" s="16"/>
      <c r="E878">
        <v>6</v>
      </c>
      <c r="F878" t="e">
        <f>--Sementes De trevo  Trifolium spp.</f>
        <v>#NAME?</v>
      </c>
      <c r="G878">
        <v>1</v>
      </c>
      <c r="H878">
        <v>1</v>
      </c>
      <c r="I878">
        <f>1</f>
        <v>1</v>
      </c>
    </row>
    <row r="879" spans="2:9" x14ac:dyDescent="0.25">
      <c r="B879">
        <v>0</v>
      </c>
      <c r="C879" s="16" t="s">
        <v>10223</v>
      </c>
      <c r="D879" s="16"/>
      <c r="E879">
        <v>6</v>
      </c>
      <c r="F879" t="e">
        <f>--Sementes De festuca</f>
        <v>#NAME?</v>
      </c>
      <c r="G879">
        <v>1</v>
      </c>
      <c r="H879">
        <v>1</v>
      </c>
      <c r="I879">
        <f>1</f>
        <v>1</v>
      </c>
    </row>
    <row r="880" spans="2:9" x14ac:dyDescent="0.25">
      <c r="B880">
        <v>0</v>
      </c>
      <c r="C880" s="16" t="s">
        <v>10224</v>
      </c>
      <c r="D880" s="16"/>
      <c r="E880">
        <v>6</v>
      </c>
      <c r="F880" t="e">
        <f>--Sementes De pasto dos prados De Kentucky  Poa pratensis L.</f>
        <v>#NAME?</v>
      </c>
      <c r="G880">
        <v>1</v>
      </c>
      <c r="H880">
        <v>1</v>
      </c>
      <c r="I880">
        <f>1</f>
        <v>1</v>
      </c>
    </row>
    <row r="881" spans="2:9" x14ac:dyDescent="0.25">
      <c r="B881">
        <v>0</v>
      </c>
      <c r="C881" s="16" t="s">
        <v>10225</v>
      </c>
      <c r="D881" s="16"/>
      <c r="E881">
        <v>6</v>
      </c>
      <c r="F881" t="s">
        <v>4915</v>
      </c>
      <c r="G881">
        <v>1</v>
      </c>
      <c r="H881">
        <v>1</v>
      </c>
      <c r="I881">
        <f>1</f>
        <v>1</v>
      </c>
    </row>
    <row r="882" spans="2:9" x14ac:dyDescent="0.25">
      <c r="B882">
        <v>0</v>
      </c>
      <c r="C882" s="16" t="s">
        <v>10226</v>
      </c>
      <c r="D882" s="16"/>
      <c r="E882">
        <v>6</v>
      </c>
      <c r="F882" t="e">
        <f>--Outras</f>
        <v>#NAME?</v>
      </c>
      <c r="G882">
        <v>1</v>
      </c>
      <c r="H882">
        <v>1</v>
      </c>
      <c r="I882">
        <f>1</f>
        <v>1</v>
      </c>
    </row>
    <row r="883" spans="2:9" x14ac:dyDescent="0.25">
      <c r="B883">
        <v>0</v>
      </c>
      <c r="C883" s="16" t="s">
        <v>10227</v>
      </c>
      <c r="D883" s="16"/>
      <c r="E883">
        <v>6</v>
      </c>
      <c r="F883" t="e">
        <f>-Sementes De plantas herbáceas cultivadas especialmente pelas suas flores</f>
        <v>#NAME?</v>
      </c>
      <c r="G883">
        <v>1</v>
      </c>
      <c r="H883">
        <v>1</v>
      </c>
      <c r="I883">
        <f>1</f>
        <v>1</v>
      </c>
    </row>
    <row r="884" spans="2:9" x14ac:dyDescent="0.25">
      <c r="B884">
        <v>0</v>
      </c>
      <c r="C884" s="16" t="s">
        <v>10228</v>
      </c>
      <c r="D884" s="16"/>
      <c r="E884">
        <v>6</v>
      </c>
      <c r="F884" t="e">
        <f>--Sementes De produtos hortícolas</f>
        <v>#NAME?</v>
      </c>
      <c r="G884">
        <v>1</v>
      </c>
      <c r="H884">
        <v>1</v>
      </c>
      <c r="I884">
        <f>1</f>
        <v>1</v>
      </c>
    </row>
    <row r="885" spans="2:9" x14ac:dyDescent="0.25">
      <c r="B885">
        <v>0</v>
      </c>
      <c r="C885" s="16" t="s">
        <v>10229</v>
      </c>
      <c r="D885" s="16"/>
      <c r="E885">
        <v>6</v>
      </c>
      <c r="F885" t="e">
        <f>--outros</f>
        <v>#NAME?</v>
      </c>
      <c r="G885">
        <v>1</v>
      </c>
      <c r="H885">
        <v>1</v>
      </c>
      <c r="I885">
        <f>1</f>
        <v>1</v>
      </c>
    </row>
    <row r="886" spans="2:9" x14ac:dyDescent="0.25">
      <c r="B886">
        <v>0</v>
      </c>
      <c r="C886" s="16" t="s">
        <v>10230</v>
      </c>
      <c r="D886" s="16"/>
      <c r="E886">
        <v>6</v>
      </c>
      <c r="F886" t="s">
        <v>4916</v>
      </c>
      <c r="G886">
        <v>1</v>
      </c>
      <c r="H886">
        <v>1</v>
      </c>
      <c r="I886">
        <f>1</f>
        <v>1</v>
      </c>
    </row>
    <row r="887" spans="2:9" x14ac:dyDescent="0.25">
      <c r="B887">
        <v>0</v>
      </c>
      <c r="C887" s="16" t="s">
        <v>10231</v>
      </c>
      <c r="D887" s="16"/>
      <c r="E887">
        <v>6</v>
      </c>
      <c r="F887" t="s">
        <v>4917</v>
      </c>
      <c r="G887">
        <v>1</v>
      </c>
      <c r="H887">
        <v>1</v>
      </c>
      <c r="I887">
        <f>1</f>
        <v>1</v>
      </c>
    </row>
    <row r="888" spans="2:9" x14ac:dyDescent="0.25">
      <c r="B888">
        <v>0</v>
      </c>
      <c r="C888" s="16" t="s">
        <v>10232</v>
      </c>
      <c r="D888" s="16"/>
      <c r="E888">
        <v>6</v>
      </c>
      <c r="F888" t="s">
        <v>4918</v>
      </c>
      <c r="G888">
        <v>1</v>
      </c>
      <c r="H888">
        <v>1</v>
      </c>
      <c r="I888">
        <f>1</f>
        <v>1</v>
      </c>
    </row>
    <row r="889" spans="2:9" x14ac:dyDescent="0.25">
      <c r="B889">
        <v>0</v>
      </c>
      <c r="C889" s="16" t="s">
        <v>10233</v>
      </c>
      <c r="D889" s="16"/>
      <c r="E889">
        <v>6</v>
      </c>
      <c r="F889" t="e">
        <f>-Raízes De ginseng</f>
        <v>#NAME?</v>
      </c>
      <c r="G889">
        <v>1</v>
      </c>
      <c r="H889">
        <v>1</v>
      </c>
      <c r="I889">
        <f>1</f>
        <v>1</v>
      </c>
    </row>
    <row r="890" spans="2:9" x14ac:dyDescent="0.25">
      <c r="B890">
        <v>0</v>
      </c>
      <c r="C890" s="16" t="s">
        <v>10233</v>
      </c>
      <c r="D890" s="16" t="s">
        <v>19430</v>
      </c>
      <c r="E890">
        <v>6</v>
      </c>
      <c r="F890" t="s">
        <v>4868</v>
      </c>
      <c r="G890">
        <v>1</v>
      </c>
      <c r="H890">
        <v>1</v>
      </c>
      <c r="I890">
        <f>1</f>
        <v>1</v>
      </c>
    </row>
    <row r="891" spans="2:9" x14ac:dyDescent="0.25">
      <c r="B891">
        <v>0</v>
      </c>
      <c r="C891" s="16" t="s">
        <v>10234</v>
      </c>
      <c r="D891" s="16"/>
      <c r="E891">
        <v>6</v>
      </c>
      <c r="F891" t="e">
        <f>-Coca  folha De</f>
        <v>#NAME?</v>
      </c>
      <c r="G891">
        <v>1</v>
      </c>
      <c r="H891">
        <v>1</v>
      </c>
      <c r="I891">
        <f>1</f>
        <v>1</v>
      </c>
    </row>
    <row r="892" spans="2:9" x14ac:dyDescent="0.25">
      <c r="B892">
        <v>0</v>
      </c>
      <c r="C892" s="16" t="s">
        <v>10234</v>
      </c>
      <c r="D892" s="16" t="s">
        <v>19430</v>
      </c>
      <c r="E892">
        <v>6</v>
      </c>
      <c r="F892" t="s">
        <v>4919</v>
      </c>
      <c r="G892">
        <v>1</v>
      </c>
      <c r="H892">
        <v>1</v>
      </c>
      <c r="I892">
        <f>1</f>
        <v>1</v>
      </c>
    </row>
    <row r="893" spans="2:9" x14ac:dyDescent="0.25">
      <c r="B893">
        <v>0</v>
      </c>
      <c r="C893" s="16" t="s">
        <v>10235</v>
      </c>
      <c r="D893" s="16"/>
      <c r="E893">
        <v>6</v>
      </c>
      <c r="F893" t="e">
        <f>-Palha De dormideira ou papoula</f>
        <v>#NAME?</v>
      </c>
      <c r="G893">
        <v>1</v>
      </c>
      <c r="H893">
        <v>1</v>
      </c>
      <c r="I893">
        <f>1</f>
        <v>1</v>
      </c>
    </row>
    <row r="894" spans="2:9" x14ac:dyDescent="0.25">
      <c r="B894">
        <v>0</v>
      </c>
      <c r="C894" s="16" t="s">
        <v>10235</v>
      </c>
      <c r="D894" s="16" t="s">
        <v>19430</v>
      </c>
      <c r="E894">
        <v>6</v>
      </c>
      <c r="F894" t="s">
        <v>4919</v>
      </c>
      <c r="G894">
        <v>1</v>
      </c>
      <c r="H894">
        <v>1</v>
      </c>
      <c r="I894">
        <f>1</f>
        <v>1</v>
      </c>
    </row>
    <row r="895" spans="2:9" x14ac:dyDescent="0.25">
      <c r="B895">
        <v>0</v>
      </c>
      <c r="C895" s="16" t="s">
        <v>10236</v>
      </c>
      <c r="D895" s="16"/>
      <c r="E895">
        <v>6</v>
      </c>
      <c r="F895" t="s">
        <v>4920</v>
      </c>
      <c r="G895">
        <v>1</v>
      </c>
      <c r="H895">
        <v>1</v>
      </c>
      <c r="I895">
        <f>1</f>
        <v>1</v>
      </c>
    </row>
    <row r="896" spans="2:9" x14ac:dyDescent="0.25">
      <c r="B896">
        <v>0</v>
      </c>
      <c r="C896" s="16" t="s">
        <v>10236</v>
      </c>
      <c r="D896" s="16" t="s">
        <v>19430</v>
      </c>
      <c r="E896">
        <v>6</v>
      </c>
      <c r="F896" t="s">
        <v>4921</v>
      </c>
      <c r="G896">
        <v>1</v>
      </c>
      <c r="H896">
        <v>1</v>
      </c>
      <c r="I896">
        <f>1</f>
        <v>1</v>
      </c>
    </row>
    <row r="897" spans="2:9" x14ac:dyDescent="0.25">
      <c r="B897">
        <v>0</v>
      </c>
      <c r="C897" s="16" t="s">
        <v>10237</v>
      </c>
      <c r="D897" s="16"/>
      <c r="E897">
        <v>6</v>
      </c>
      <c r="F897" t="s">
        <v>4680</v>
      </c>
      <c r="G897">
        <v>1</v>
      </c>
      <c r="H897">
        <v>1</v>
      </c>
      <c r="I897">
        <f>1</f>
        <v>1</v>
      </c>
    </row>
    <row r="898" spans="2:9" x14ac:dyDescent="0.25">
      <c r="B898">
        <v>0</v>
      </c>
      <c r="C898" s="16" t="s">
        <v>10237</v>
      </c>
      <c r="D898" s="16" t="s">
        <v>19430</v>
      </c>
      <c r="E898">
        <v>6</v>
      </c>
      <c r="F898" t="s">
        <v>4867</v>
      </c>
      <c r="G898">
        <v>1</v>
      </c>
      <c r="H898">
        <v>1</v>
      </c>
      <c r="I898">
        <f>1</f>
        <v>1</v>
      </c>
    </row>
    <row r="899" spans="2:9" x14ac:dyDescent="0.25">
      <c r="B899">
        <v>0</v>
      </c>
      <c r="C899" s="16" t="s">
        <v>10238</v>
      </c>
      <c r="D899" s="16"/>
      <c r="E899">
        <v>6</v>
      </c>
      <c r="F899" t="e">
        <f>--Próprias para a alimentação humana</f>
        <v>#NAME?</v>
      </c>
      <c r="G899">
        <v>1</v>
      </c>
      <c r="H899">
        <v>1</v>
      </c>
      <c r="I899">
        <f>1</f>
        <v>1</v>
      </c>
    </row>
    <row r="900" spans="2:9" x14ac:dyDescent="0.25">
      <c r="B900">
        <v>0</v>
      </c>
      <c r="C900" s="16" t="s">
        <v>10238</v>
      </c>
      <c r="D900" s="16" t="s">
        <v>19430</v>
      </c>
      <c r="E900">
        <v>6</v>
      </c>
      <c r="F900" t="s">
        <v>4922</v>
      </c>
      <c r="G900">
        <v>1</v>
      </c>
      <c r="H900">
        <v>1</v>
      </c>
      <c r="I900">
        <f>1</f>
        <v>1</v>
      </c>
    </row>
    <row r="901" spans="2:9" x14ac:dyDescent="0.25">
      <c r="B901">
        <v>0</v>
      </c>
      <c r="C901" s="16" t="s">
        <v>10239</v>
      </c>
      <c r="D901" s="16"/>
      <c r="E901">
        <v>6</v>
      </c>
      <c r="F901" t="e">
        <f>--Outras</f>
        <v>#NAME?</v>
      </c>
      <c r="G901">
        <v>1</v>
      </c>
      <c r="H901">
        <v>1</v>
      </c>
      <c r="I901">
        <f>1</f>
        <v>1</v>
      </c>
    </row>
    <row r="902" spans="2:9" x14ac:dyDescent="0.25">
      <c r="B902">
        <v>0</v>
      </c>
      <c r="C902" s="16" t="s">
        <v>10239</v>
      </c>
      <c r="D902" s="16" t="s">
        <v>19430</v>
      </c>
      <c r="E902">
        <v>6</v>
      </c>
      <c r="F902" t="s">
        <v>4923</v>
      </c>
      <c r="G902">
        <v>1</v>
      </c>
      <c r="H902">
        <v>1</v>
      </c>
      <c r="I902">
        <f>1</f>
        <v>1</v>
      </c>
    </row>
    <row r="903" spans="2:9" x14ac:dyDescent="0.25">
      <c r="B903">
        <v>0</v>
      </c>
      <c r="C903" s="16" t="s">
        <v>10240</v>
      </c>
      <c r="D903" s="16"/>
      <c r="E903">
        <v>6</v>
      </c>
      <c r="F903" t="e">
        <f>--beterraba sacarina</f>
        <v>#NAME?</v>
      </c>
      <c r="G903">
        <v>1</v>
      </c>
      <c r="H903">
        <v>1</v>
      </c>
      <c r="I903">
        <f>1</f>
        <v>1</v>
      </c>
    </row>
    <row r="904" spans="2:9" x14ac:dyDescent="0.25">
      <c r="B904">
        <v>0</v>
      </c>
      <c r="C904" s="16" t="s">
        <v>10241</v>
      </c>
      <c r="D904" s="16"/>
      <c r="E904">
        <v>6</v>
      </c>
      <c r="F904" t="e">
        <f>--Alfarroba</f>
        <v>#NAME?</v>
      </c>
      <c r="G904">
        <v>1</v>
      </c>
      <c r="H904">
        <v>1</v>
      </c>
      <c r="I904">
        <f>1</f>
        <v>1</v>
      </c>
    </row>
    <row r="905" spans="2:9" x14ac:dyDescent="0.25">
      <c r="B905">
        <v>0</v>
      </c>
      <c r="C905" s="16" t="s">
        <v>10241</v>
      </c>
      <c r="D905" s="16" t="s">
        <v>19430</v>
      </c>
      <c r="E905">
        <v>6</v>
      </c>
      <c r="F905" t="s">
        <v>4924</v>
      </c>
      <c r="G905">
        <v>1</v>
      </c>
      <c r="H905">
        <v>1</v>
      </c>
      <c r="I905">
        <f>1</f>
        <v>1</v>
      </c>
    </row>
    <row r="906" spans="2:9" x14ac:dyDescent="0.25">
      <c r="B906">
        <v>0</v>
      </c>
      <c r="C906" s="16" t="s">
        <v>10242</v>
      </c>
      <c r="D906" s="16"/>
      <c r="E906">
        <v>6</v>
      </c>
      <c r="F906" t="e">
        <f>--Cana-De-açúcar</f>
        <v>#NAME?</v>
      </c>
      <c r="G906">
        <v>1</v>
      </c>
      <c r="H906">
        <v>1</v>
      </c>
      <c r="I906">
        <f>1</f>
        <v>1</v>
      </c>
    </row>
    <row r="907" spans="2:9" x14ac:dyDescent="0.25">
      <c r="B907">
        <v>0</v>
      </c>
      <c r="C907" s="16" t="s">
        <v>10243</v>
      </c>
      <c r="D907" s="16"/>
      <c r="E907">
        <v>6</v>
      </c>
      <c r="F907" t="e">
        <f>--Raízes De chicória</f>
        <v>#NAME?</v>
      </c>
      <c r="G907">
        <v>1</v>
      </c>
      <c r="H907">
        <v>1</v>
      </c>
      <c r="I907">
        <f>1</f>
        <v>1</v>
      </c>
    </row>
    <row r="908" spans="2:9" x14ac:dyDescent="0.25">
      <c r="B908">
        <v>0</v>
      </c>
      <c r="C908" s="16" t="s">
        <v>10244</v>
      </c>
      <c r="D908" s="16"/>
      <c r="E908">
        <v>6</v>
      </c>
      <c r="F908" t="s">
        <v>4925</v>
      </c>
      <c r="G908">
        <v>1</v>
      </c>
      <c r="H908">
        <v>1</v>
      </c>
      <c r="I908">
        <f>1</f>
        <v>1</v>
      </c>
    </row>
    <row r="909" spans="2:9" x14ac:dyDescent="0.25">
      <c r="B909">
        <v>0</v>
      </c>
      <c r="C909" s="16" t="s">
        <v>10245</v>
      </c>
      <c r="D909" s="16"/>
      <c r="E909">
        <v>6</v>
      </c>
      <c r="F909" t="s">
        <v>4680</v>
      </c>
      <c r="G909">
        <v>1</v>
      </c>
      <c r="H909">
        <v>1</v>
      </c>
      <c r="I909">
        <f>1</f>
        <v>1</v>
      </c>
    </row>
    <row r="910" spans="2:9" x14ac:dyDescent="0.25">
      <c r="B910">
        <v>0</v>
      </c>
      <c r="C910" s="16" t="s">
        <v>10246</v>
      </c>
      <c r="D910" s="16"/>
      <c r="E910">
        <v>6</v>
      </c>
      <c r="F910" t="s">
        <v>4926</v>
      </c>
      <c r="G910">
        <v>1</v>
      </c>
      <c r="H910">
        <v>1</v>
      </c>
      <c r="I910">
        <f>1</f>
        <v>1</v>
      </c>
    </row>
    <row r="911" spans="2:9" x14ac:dyDescent="0.25">
      <c r="B911">
        <v>0</v>
      </c>
      <c r="C911" s="16" t="s">
        <v>10247</v>
      </c>
      <c r="D911" s="16"/>
      <c r="E911">
        <v>6</v>
      </c>
      <c r="F911" t="s">
        <v>4927</v>
      </c>
      <c r="G911">
        <v>1</v>
      </c>
      <c r="H911">
        <v>1</v>
      </c>
      <c r="I911">
        <f>1</f>
        <v>1</v>
      </c>
    </row>
    <row r="912" spans="2:9" x14ac:dyDescent="0.25">
      <c r="B912">
        <v>0</v>
      </c>
      <c r="C912" s="16" t="s">
        <v>10248</v>
      </c>
      <c r="D912" s="16"/>
      <c r="E912">
        <v>6</v>
      </c>
      <c r="F912" t="e">
        <f>-outros</f>
        <v>#NAME?</v>
      </c>
      <c r="G912">
        <v>1</v>
      </c>
      <c r="H912">
        <v>1</v>
      </c>
      <c r="I912">
        <f>1</f>
        <v>1</v>
      </c>
    </row>
    <row r="913" spans="2:9" x14ac:dyDescent="0.25">
      <c r="B913">
        <v>0</v>
      </c>
      <c r="C913" s="16" t="s">
        <v>10249</v>
      </c>
      <c r="D913" s="16"/>
      <c r="E913">
        <v>6</v>
      </c>
      <c r="F913" t="e">
        <f>-Goma-arábica</f>
        <v>#NAME?</v>
      </c>
      <c r="G913">
        <v>1</v>
      </c>
      <c r="H913">
        <v>0</v>
      </c>
      <c r="I913">
        <f>1</f>
        <v>1</v>
      </c>
    </row>
    <row r="914" spans="2:9" x14ac:dyDescent="0.25">
      <c r="B914">
        <v>0</v>
      </c>
      <c r="C914" s="16" t="s">
        <v>10250</v>
      </c>
      <c r="D914" s="16"/>
      <c r="E914">
        <v>6</v>
      </c>
      <c r="F914" t="s">
        <v>4928</v>
      </c>
      <c r="G914">
        <v>1</v>
      </c>
      <c r="H914">
        <v>0</v>
      </c>
      <c r="I914">
        <f>1</f>
        <v>1</v>
      </c>
    </row>
    <row r="915" spans="2:9" x14ac:dyDescent="0.25">
      <c r="B915">
        <v>0</v>
      </c>
      <c r="C915" s="16" t="s">
        <v>10251</v>
      </c>
      <c r="D915" s="16"/>
      <c r="E915">
        <v>6</v>
      </c>
      <c r="F915" t="s">
        <v>4680</v>
      </c>
      <c r="G915">
        <v>1</v>
      </c>
      <c r="H915">
        <v>0</v>
      </c>
      <c r="I915">
        <f>1</f>
        <v>1</v>
      </c>
    </row>
    <row r="916" spans="2:9" x14ac:dyDescent="0.25">
      <c r="B916">
        <v>0</v>
      </c>
      <c r="C916" s="16" t="s">
        <v>10252</v>
      </c>
      <c r="D916" s="16"/>
      <c r="E916">
        <v>6</v>
      </c>
      <c r="F916" t="s">
        <v>4929</v>
      </c>
      <c r="G916">
        <v>1</v>
      </c>
      <c r="H916">
        <v>0</v>
      </c>
      <c r="I916">
        <f>1</f>
        <v>1</v>
      </c>
    </row>
    <row r="917" spans="2:9" x14ac:dyDescent="0.25">
      <c r="B917">
        <v>0</v>
      </c>
      <c r="C917" s="16" t="s">
        <v>10253</v>
      </c>
      <c r="D917" s="16"/>
      <c r="E917">
        <v>6</v>
      </c>
      <c r="F917" t="s">
        <v>4680</v>
      </c>
      <c r="G917">
        <v>1</v>
      </c>
      <c r="H917">
        <v>0</v>
      </c>
      <c r="I917">
        <f>1</f>
        <v>1</v>
      </c>
    </row>
    <row r="918" spans="2:9" x14ac:dyDescent="0.25">
      <c r="B918">
        <v>0</v>
      </c>
      <c r="C918" s="16" t="s">
        <v>10254</v>
      </c>
      <c r="D918" s="16"/>
      <c r="E918">
        <v>6</v>
      </c>
      <c r="F918" t="e">
        <f>--De alcaçuz</f>
        <v>#NAME?</v>
      </c>
      <c r="G918">
        <v>1</v>
      </c>
      <c r="H918">
        <v>0</v>
      </c>
      <c r="I918">
        <f>1</f>
        <v>1</v>
      </c>
    </row>
    <row r="919" spans="2:9" x14ac:dyDescent="0.25">
      <c r="B919">
        <v>0</v>
      </c>
      <c r="C919" s="16" t="s">
        <v>10255</v>
      </c>
      <c r="D919" s="16"/>
      <c r="E919">
        <v>6</v>
      </c>
      <c r="F919" t="e">
        <f>--De lúpulo</f>
        <v>#NAME?</v>
      </c>
      <c r="G919">
        <v>1</v>
      </c>
      <c r="H919">
        <v>0</v>
      </c>
      <c r="I919">
        <f>1</f>
        <v>1</v>
      </c>
    </row>
    <row r="920" spans="2:9" x14ac:dyDescent="0.25">
      <c r="B920">
        <v>0</v>
      </c>
      <c r="C920" s="16" t="s">
        <v>10256</v>
      </c>
      <c r="D920" s="16"/>
      <c r="E920">
        <v>6</v>
      </c>
      <c r="F920" t="s">
        <v>4930</v>
      </c>
      <c r="G920">
        <v>1</v>
      </c>
      <c r="H920">
        <v>0</v>
      </c>
      <c r="I920">
        <f>1</f>
        <v>1</v>
      </c>
    </row>
    <row r="921" spans="2:9" x14ac:dyDescent="0.25">
      <c r="B921">
        <v>0</v>
      </c>
      <c r="C921" s="16" t="s">
        <v>10257</v>
      </c>
      <c r="D921" s="16"/>
      <c r="E921">
        <v>6</v>
      </c>
      <c r="F921" t="s">
        <v>4931</v>
      </c>
      <c r="G921">
        <v>1</v>
      </c>
      <c r="H921">
        <v>0</v>
      </c>
      <c r="I921">
        <f>1</f>
        <v>1</v>
      </c>
    </row>
    <row r="922" spans="2:9" x14ac:dyDescent="0.25">
      <c r="B922">
        <v>0</v>
      </c>
      <c r="C922" s="16" t="s">
        <v>10258</v>
      </c>
      <c r="D922" s="16"/>
      <c r="E922">
        <v>6</v>
      </c>
      <c r="F922" t="s">
        <v>4932</v>
      </c>
      <c r="G922">
        <v>1</v>
      </c>
      <c r="H922">
        <v>0</v>
      </c>
      <c r="I922">
        <f>1</f>
        <v>1</v>
      </c>
    </row>
    <row r="923" spans="2:9" x14ac:dyDescent="0.25">
      <c r="B923">
        <v>0</v>
      </c>
      <c r="C923" s="16" t="s">
        <v>10259</v>
      </c>
      <c r="D923" s="16"/>
      <c r="E923">
        <v>6</v>
      </c>
      <c r="F923" t="s">
        <v>4933</v>
      </c>
      <c r="G923">
        <v>1</v>
      </c>
      <c r="H923">
        <v>0</v>
      </c>
      <c r="I923">
        <f>1</f>
        <v>1</v>
      </c>
    </row>
    <row r="924" spans="2:9" x14ac:dyDescent="0.25">
      <c r="B924">
        <v>0</v>
      </c>
      <c r="C924" s="16" t="s">
        <v>10260</v>
      </c>
      <c r="D924" s="16"/>
      <c r="E924">
        <v>6</v>
      </c>
      <c r="F924" t="s">
        <v>4934</v>
      </c>
      <c r="G924">
        <v>1</v>
      </c>
      <c r="H924">
        <v>0</v>
      </c>
      <c r="I924">
        <f>1</f>
        <v>1</v>
      </c>
    </row>
    <row r="925" spans="2:9" x14ac:dyDescent="0.25">
      <c r="B925">
        <v>0</v>
      </c>
      <c r="C925" s="16" t="s">
        <v>10261</v>
      </c>
      <c r="D925" s="16"/>
      <c r="E925">
        <v>6</v>
      </c>
      <c r="F925" t="s">
        <v>4935</v>
      </c>
      <c r="G925">
        <v>1</v>
      </c>
      <c r="H925">
        <v>0</v>
      </c>
      <c r="I925">
        <f>1</f>
        <v>1</v>
      </c>
    </row>
    <row r="926" spans="2:9" x14ac:dyDescent="0.25">
      <c r="B926">
        <v>0</v>
      </c>
      <c r="C926" s="16" t="s">
        <v>10262</v>
      </c>
      <c r="D926" s="16"/>
      <c r="E926">
        <v>6</v>
      </c>
      <c r="F926" t="s">
        <v>4936</v>
      </c>
      <c r="G926">
        <v>1</v>
      </c>
      <c r="H926">
        <v>0</v>
      </c>
      <c r="I926">
        <f>1</f>
        <v>1</v>
      </c>
    </row>
    <row r="927" spans="2:9" x14ac:dyDescent="0.25">
      <c r="B927">
        <v>0</v>
      </c>
      <c r="C927" s="16" t="s">
        <v>10263</v>
      </c>
      <c r="D927" s="16"/>
      <c r="E927">
        <v>6</v>
      </c>
      <c r="F927" t="s">
        <v>4680</v>
      </c>
      <c r="G927">
        <v>1</v>
      </c>
      <c r="H927">
        <v>0</v>
      </c>
      <c r="I927">
        <f>1</f>
        <v>1</v>
      </c>
    </row>
    <row r="928" spans="2:9" x14ac:dyDescent="0.25">
      <c r="B928">
        <v>0</v>
      </c>
      <c r="C928" s="16" t="s">
        <v>10264</v>
      </c>
      <c r="D928" s="16"/>
      <c r="E928">
        <v>6</v>
      </c>
      <c r="F928" t="s">
        <v>4937</v>
      </c>
      <c r="G928">
        <v>1</v>
      </c>
      <c r="H928">
        <v>0</v>
      </c>
      <c r="I928">
        <f>1</f>
        <v>1</v>
      </c>
    </row>
    <row r="929" spans="2:9" x14ac:dyDescent="0.25">
      <c r="B929">
        <v>0</v>
      </c>
      <c r="C929" s="16" t="s">
        <v>10265</v>
      </c>
      <c r="D929" s="16"/>
      <c r="E929">
        <v>6</v>
      </c>
      <c r="F929" t="s">
        <v>4680</v>
      </c>
      <c r="G929">
        <v>1</v>
      </c>
      <c r="H929">
        <v>0</v>
      </c>
      <c r="I929">
        <f>1</f>
        <v>1</v>
      </c>
    </row>
    <row r="930" spans="2:9" x14ac:dyDescent="0.25">
      <c r="B930">
        <v>0</v>
      </c>
      <c r="C930" s="16" t="s">
        <v>10266</v>
      </c>
      <c r="D930" s="16"/>
      <c r="E930">
        <v>6</v>
      </c>
      <c r="F930" t="e">
        <f>--Ágar-Ágar</f>
        <v>#NAME?</v>
      </c>
      <c r="G930">
        <v>1</v>
      </c>
      <c r="H930">
        <v>0</v>
      </c>
      <c r="I930">
        <f>1</f>
        <v>1</v>
      </c>
    </row>
    <row r="931" spans="2:9" x14ac:dyDescent="0.25">
      <c r="B931">
        <v>0</v>
      </c>
      <c r="C931" s="16" t="s">
        <v>10267</v>
      </c>
      <c r="D931" s="16"/>
      <c r="E931">
        <v>6</v>
      </c>
      <c r="F931" t="s">
        <v>4938</v>
      </c>
      <c r="G931">
        <v>1</v>
      </c>
      <c r="H931">
        <v>0</v>
      </c>
      <c r="I931">
        <f>1</f>
        <v>1</v>
      </c>
    </row>
    <row r="932" spans="2:9" x14ac:dyDescent="0.25">
      <c r="B932">
        <v>0</v>
      </c>
      <c r="C932" s="16" t="s">
        <v>10268</v>
      </c>
      <c r="D932" s="16"/>
      <c r="E932">
        <v>6</v>
      </c>
      <c r="F932" t="s">
        <v>4680</v>
      </c>
      <c r="G932">
        <v>1</v>
      </c>
      <c r="H932">
        <v>0</v>
      </c>
      <c r="I932">
        <f>1</f>
        <v>1</v>
      </c>
    </row>
    <row r="933" spans="2:9" x14ac:dyDescent="0.25">
      <c r="B933">
        <v>0</v>
      </c>
      <c r="C933" s="16" t="s">
        <v>10269</v>
      </c>
      <c r="D933" s="16"/>
      <c r="E933">
        <v>6</v>
      </c>
      <c r="F933" t="s">
        <v>4939</v>
      </c>
      <c r="G933">
        <v>1</v>
      </c>
      <c r="H933">
        <v>0</v>
      </c>
      <c r="I933">
        <f>1</f>
        <v>1</v>
      </c>
    </row>
    <row r="934" spans="2:9" x14ac:dyDescent="0.25">
      <c r="B934">
        <v>0</v>
      </c>
      <c r="C934" s="16" t="s">
        <v>10270</v>
      </c>
      <c r="D934" s="16"/>
      <c r="E934">
        <v>6</v>
      </c>
      <c r="F934" t="s">
        <v>4940</v>
      </c>
      <c r="G934">
        <v>1</v>
      </c>
      <c r="H934">
        <v>0</v>
      </c>
      <c r="I934">
        <f>1</f>
        <v>1</v>
      </c>
    </row>
    <row r="935" spans="2:9" x14ac:dyDescent="0.25">
      <c r="B935">
        <v>0</v>
      </c>
      <c r="C935" s="16" t="s">
        <v>10271</v>
      </c>
      <c r="D935" s="16"/>
      <c r="E935">
        <v>6</v>
      </c>
      <c r="F935" t="s">
        <v>4680</v>
      </c>
      <c r="G935">
        <v>1</v>
      </c>
      <c r="H935">
        <v>0</v>
      </c>
      <c r="I935">
        <f>1</f>
        <v>1</v>
      </c>
    </row>
    <row r="936" spans="2:9" x14ac:dyDescent="0.25">
      <c r="B936">
        <v>0</v>
      </c>
      <c r="C936" s="16" t="s">
        <v>10272</v>
      </c>
      <c r="D936" s="16"/>
      <c r="E936">
        <v>6</v>
      </c>
      <c r="F936" t="e">
        <f>-Bambus</f>
        <v>#NAME?</v>
      </c>
      <c r="G936">
        <v>1</v>
      </c>
      <c r="H936">
        <v>0</v>
      </c>
      <c r="I936">
        <f>1</f>
        <v>1</v>
      </c>
    </row>
    <row r="937" spans="2:9" x14ac:dyDescent="0.25">
      <c r="B937">
        <v>0</v>
      </c>
      <c r="C937" s="16" t="s">
        <v>10273</v>
      </c>
      <c r="D937" s="16"/>
      <c r="E937">
        <v>6</v>
      </c>
      <c r="F937" t="e">
        <f>-Rotins</f>
        <v>#NAME?</v>
      </c>
      <c r="G937">
        <v>1</v>
      </c>
      <c r="H937">
        <v>0</v>
      </c>
      <c r="I937">
        <f>1</f>
        <v>1</v>
      </c>
    </row>
    <row r="938" spans="2:9" x14ac:dyDescent="0.25">
      <c r="B938">
        <v>0</v>
      </c>
      <c r="C938" s="16" t="s">
        <v>10274</v>
      </c>
      <c r="D938" s="16"/>
      <c r="E938">
        <v>6</v>
      </c>
      <c r="F938" t="e">
        <f>-Outras</f>
        <v>#NAME?</v>
      </c>
      <c r="G938">
        <v>1</v>
      </c>
      <c r="H938">
        <v>0</v>
      </c>
      <c r="I938">
        <f>1</f>
        <v>1</v>
      </c>
    </row>
    <row r="939" spans="2:9" x14ac:dyDescent="0.25">
      <c r="B939">
        <v>0</v>
      </c>
      <c r="C939" s="16" t="s">
        <v>10275</v>
      </c>
      <c r="D939" s="16"/>
      <c r="E939">
        <v>6</v>
      </c>
      <c r="F939" t="s">
        <v>4941</v>
      </c>
      <c r="G939">
        <v>1</v>
      </c>
      <c r="H939">
        <v>0</v>
      </c>
      <c r="I939">
        <f>1</f>
        <v>1</v>
      </c>
    </row>
    <row r="940" spans="2:9" x14ac:dyDescent="0.25">
      <c r="B940">
        <v>0</v>
      </c>
      <c r="C940" s="16" t="s">
        <v>10276</v>
      </c>
      <c r="D940" s="16"/>
      <c r="E940">
        <v>6</v>
      </c>
      <c r="F940" t="s">
        <v>4680</v>
      </c>
      <c r="G940">
        <v>1</v>
      </c>
      <c r="H940">
        <v>0</v>
      </c>
      <c r="I940">
        <f>1</f>
        <v>1</v>
      </c>
    </row>
    <row r="941" spans="2:9" x14ac:dyDescent="0.25">
      <c r="B941">
        <v>0</v>
      </c>
      <c r="C941" s="16" t="s">
        <v>10277</v>
      </c>
      <c r="D941" s="16"/>
      <c r="E941">
        <v>6</v>
      </c>
      <c r="F941" t="s">
        <v>4942</v>
      </c>
      <c r="G941">
        <v>1</v>
      </c>
      <c r="H941">
        <v>0</v>
      </c>
      <c r="I941">
        <f>1</f>
        <v>1</v>
      </c>
    </row>
    <row r="942" spans="2:9" x14ac:dyDescent="0.25">
      <c r="B942">
        <v>0</v>
      </c>
      <c r="C942" s="16" t="s">
        <v>10278</v>
      </c>
      <c r="D942" s="16"/>
      <c r="E942">
        <v>6</v>
      </c>
      <c r="F942" t="s">
        <v>4680</v>
      </c>
      <c r="G942">
        <v>1</v>
      </c>
      <c r="H942">
        <v>0</v>
      </c>
      <c r="I942">
        <f>1</f>
        <v>1</v>
      </c>
    </row>
    <row r="943" spans="2:9" x14ac:dyDescent="0.25">
      <c r="B943">
        <v>0</v>
      </c>
      <c r="C943" s="16" t="s">
        <v>10279</v>
      </c>
      <c r="D943" s="16"/>
      <c r="E943">
        <v>6</v>
      </c>
      <c r="F943" t="e">
        <f>-Banha</f>
        <v>#NAME?</v>
      </c>
      <c r="G943">
        <v>1</v>
      </c>
      <c r="H943">
        <v>1</v>
      </c>
      <c r="I943">
        <f>1</f>
        <v>1</v>
      </c>
    </row>
    <row r="944" spans="2:9" x14ac:dyDescent="0.25">
      <c r="B944">
        <v>0</v>
      </c>
      <c r="C944" s="16" t="s">
        <v>10280</v>
      </c>
      <c r="D944" s="16"/>
      <c r="E944">
        <v>6</v>
      </c>
      <c r="F944" t="e">
        <f>-Outras gorduras De porco</f>
        <v>#NAME?</v>
      </c>
      <c r="G944">
        <v>1</v>
      </c>
      <c r="H944">
        <v>1</v>
      </c>
      <c r="I944">
        <f>1</f>
        <v>1</v>
      </c>
    </row>
    <row r="945" spans="2:9" x14ac:dyDescent="0.25">
      <c r="B945">
        <v>0</v>
      </c>
      <c r="C945" s="16" t="s">
        <v>10281</v>
      </c>
      <c r="D945" s="16"/>
      <c r="E945">
        <v>6</v>
      </c>
      <c r="F945" t="e">
        <f>-Outras</f>
        <v>#NAME?</v>
      </c>
      <c r="G945">
        <v>1</v>
      </c>
      <c r="H945">
        <v>1</v>
      </c>
      <c r="I945">
        <f>1</f>
        <v>1</v>
      </c>
    </row>
    <row r="946" spans="2:9" x14ac:dyDescent="0.25">
      <c r="B946">
        <v>0</v>
      </c>
      <c r="C946" s="16" t="s">
        <v>10282</v>
      </c>
      <c r="D946" s="16"/>
      <c r="E946">
        <v>6</v>
      </c>
      <c r="F946" t="s">
        <v>4941</v>
      </c>
      <c r="G946">
        <v>1</v>
      </c>
      <c r="H946">
        <v>1</v>
      </c>
      <c r="I946">
        <f>1</f>
        <v>1</v>
      </c>
    </row>
    <row r="947" spans="2:9" x14ac:dyDescent="0.25">
      <c r="B947">
        <v>0</v>
      </c>
      <c r="C947" s="16" t="s">
        <v>10283</v>
      </c>
      <c r="D947" s="16"/>
      <c r="E947">
        <v>6</v>
      </c>
      <c r="F947" t="s">
        <v>4943</v>
      </c>
      <c r="G947">
        <v>1</v>
      </c>
      <c r="H947">
        <v>1</v>
      </c>
      <c r="I947">
        <f>1</f>
        <v>1</v>
      </c>
    </row>
    <row r="948" spans="2:9" x14ac:dyDescent="0.25">
      <c r="B948">
        <v>0</v>
      </c>
      <c r="C948" s="16" t="s">
        <v>10284</v>
      </c>
      <c r="D948" s="16"/>
      <c r="E948">
        <v>6</v>
      </c>
      <c r="F948" t="s">
        <v>4680</v>
      </c>
      <c r="G948">
        <v>1</v>
      </c>
      <c r="H948">
        <v>1</v>
      </c>
      <c r="I948">
        <f>1</f>
        <v>1</v>
      </c>
    </row>
    <row r="949" spans="2:9" x14ac:dyDescent="0.25">
      <c r="B949">
        <v>0</v>
      </c>
      <c r="C949" s="16" t="s">
        <v>10285</v>
      </c>
      <c r="D949" s="16"/>
      <c r="E949">
        <v>6</v>
      </c>
      <c r="F949" t="s">
        <v>4680</v>
      </c>
      <c r="G949">
        <v>1</v>
      </c>
      <c r="H949">
        <v>1</v>
      </c>
      <c r="I949">
        <f>1</f>
        <v>1</v>
      </c>
    </row>
    <row r="950" spans="2:9" x14ac:dyDescent="0.25">
      <c r="B950">
        <v>0</v>
      </c>
      <c r="C950" s="16" t="s">
        <v>10286</v>
      </c>
      <c r="D950" s="16"/>
      <c r="E950">
        <v>6</v>
      </c>
      <c r="F950" t="e">
        <f>-Outras</f>
        <v>#NAME?</v>
      </c>
      <c r="G950">
        <v>1</v>
      </c>
      <c r="H950">
        <v>1</v>
      </c>
      <c r="I950">
        <f>1</f>
        <v>1</v>
      </c>
    </row>
    <row r="951" spans="2:9" x14ac:dyDescent="0.25">
      <c r="B951">
        <v>0</v>
      </c>
      <c r="C951" s="16" t="s">
        <v>10287</v>
      </c>
      <c r="D951" s="16"/>
      <c r="E951">
        <v>6</v>
      </c>
      <c r="F951" t="s">
        <v>4944</v>
      </c>
      <c r="G951">
        <v>1</v>
      </c>
      <c r="H951">
        <v>1</v>
      </c>
      <c r="I951">
        <f>1</f>
        <v>1</v>
      </c>
    </row>
    <row r="952" spans="2:9" x14ac:dyDescent="0.25">
      <c r="B952">
        <v>0</v>
      </c>
      <c r="C952" s="16" t="s">
        <v>10288</v>
      </c>
      <c r="D952" s="16"/>
      <c r="E952">
        <v>6</v>
      </c>
      <c r="F952" t="s">
        <v>4945</v>
      </c>
      <c r="G952">
        <v>1</v>
      </c>
      <c r="H952">
        <v>1</v>
      </c>
      <c r="I952">
        <f>1</f>
        <v>1</v>
      </c>
    </row>
    <row r="953" spans="2:9" x14ac:dyDescent="0.25">
      <c r="B953">
        <v>0</v>
      </c>
      <c r="C953" s="16" t="s">
        <v>10289</v>
      </c>
      <c r="D953" s="16"/>
      <c r="E953">
        <v>6</v>
      </c>
      <c r="F953" t="s">
        <v>4680</v>
      </c>
      <c r="G953">
        <v>1</v>
      </c>
      <c r="H953">
        <v>1</v>
      </c>
      <c r="I953">
        <f>1</f>
        <v>1</v>
      </c>
    </row>
    <row r="954" spans="2:9" x14ac:dyDescent="0.25">
      <c r="B954">
        <v>0</v>
      </c>
      <c r="C954" s="16" t="s">
        <v>10290</v>
      </c>
      <c r="D954" s="16"/>
      <c r="E954">
        <v>6</v>
      </c>
      <c r="F954" t="s">
        <v>4680</v>
      </c>
      <c r="G954">
        <v>1</v>
      </c>
      <c r="H954">
        <v>1</v>
      </c>
      <c r="I954">
        <f>1</f>
        <v>1</v>
      </c>
    </row>
    <row r="955" spans="2:9" x14ac:dyDescent="0.25">
      <c r="B955">
        <v>0</v>
      </c>
      <c r="C955" s="16" t="s">
        <v>10291</v>
      </c>
      <c r="D955" s="16"/>
      <c r="E955">
        <v>6</v>
      </c>
      <c r="F955" t="s">
        <v>4946</v>
      </c>
      <c r="G955">
        <v>1</v>
      </c>
      <c r="H955">
        <v>1</v>
      </c>
      <c r="I955">
        <f>1</f>
        <v>1</v>
      </c>
    </row>
    <row r="956" spans="2:9" x14ac:dyDescent="0.25">
      <c r="B956">
        <v>0</v>
      </c>
      <c r="C956" s="16" t="s">
        <v>10292</v>
      </c>
      <c r="D956" s="16"/>
      <c r="E956">
        <v>6</v>
      </c>
      <c r="F956" t="e">
        <f>-gorduras e óleos De mamíferos marinhos e respectivas frações</f>
        <v>#NAME?</v>
      </c>
      <c r="G956">
        <v>1</v>
      </c>
      <c r="H956">
        <v>1</v>
      </c>
      <c r="I956">
        <f>1</f>
        <v>1</v>
      </c>
    </row>
    <row r="957" spans="2:9" x14ac:dyDescent="0.25">
      <c r="B957">
        <v>0</v>
      </c>
      <c r="C957" s="16" t="s">
        <v>10293</v>
      </c>
      <c r="D957" s="16"/>
      <c r="E957">
        <v>6</v>
      </c>
      <c r="F957" t="s">
        <v>4947</v>
      </c>
      <c r="G957">
        <v>1</v>
      </c>
      <c r="H957">
        <v>1</v>
      </c>
      <c r="I957">
        <f>1</f>
        <v>1</v>
      </c>
    </row>
    <row r="958" spans="2:9" x14ac:dyDescent="0.25">
      <c r="B958">
        <v>0</v>
      </c>
      <c r="C958" s="16" t="s">
        <v>10294</v>
      </c>
      <c r="D958" s="16"/>
      <c r="E958">
        <v>6</v>
      </c>
      <c r="F958" t="s">
        <v>4690</v>
      </c>
      <c r="G958">
        <v>1</v>
      </c>
      <c r="H958">
        <v>1</v>
      </c>
      <c r="I958">
        <f>1</f>
        <v>1</v>
      </c>
    </row>
    <row r="959" spans="2:9" x14ac:dyDescent="0.25">
      <c r="B959">
        <v>0</v>
      </c>
      <c r="C959" s="16" t="s">
        <v>10295</v>
      </c>
      <c r="D959" s="16"/>
      <c r="E959">
        <v>6</v>
      </c>
      <c r="F959" t="s">
        <v>4948</v>
      </c>
      <c r="G959">
        <v>1</v>
      </c>
      <c r="H959">
        <v>1</v>
      </c>
      <c r="I959">
        <f>1</f>
        <v>1</v>
      </c>
    </row>
    <row r="960" spans="2:9" x14ac:dyDescent="0.25">
      <c r="B960">
        <v>0</v>
      </c>
      <c r="C960" s="16" t="s">
        <v>10296</v>
      </c>
      <c r="D960" s="16"/>
      <c r="E960">
        <v>6</v>
      </c>
      <c r="F960" t="s">
        <v>4949</v>
      </c>
      <c r="G960">
        <v>1</v>
      </c>
      <c r="H960">
        <v>1</v>
      </c>
      <c r="I960">
        <f>1</f>
        <v>1</v>
      </c>
    </row>
    <row r="961" spans="2:9" x14ac:dyDescent="0.25">
      <c r="B961">
        <v>0</v>
      </c>
      <c r="C961" s="16" t="s">
        <v>10297</v>
      </c>
      <c r="D961" s="16"/>
      <c r="E961">
        <v>6</v>
      </c>
      <c r="F961" t="s">
        <v>4950</v>
      </c>
      <c r="G961">
        <v>1</v>
      </c>
      <c r="H961">
        <v>1</v>
      </c>
      <c r="I961">
        <f>1</f>
        <v>1</v>
      </c>
    </row>
    <row r="962" spans="2:9" x14ac:dyDescent="0.25">
      <c r="B962">
        <v>0</v>
      </c>
      <c r="C962" s="16" t="s">
        <v>10298</v>
      </c>
      <c r="D962" s="16"/>
      <c r="E962">
        <v>6</v>
      </c>
      <c r="F962" t="s">
        <v>4680</v>
      </c>
      <c r="G962">
        <v>1</v>
      </c>
      <c r="H962">
        <v>1</v>
      </c>
      <c r="I962">
        <f>1</f>
        <v>1</v>
      </c>
    </row>
    <row r="963" spans="2:9" x14ac:dyDescent="0.25">
      <c r="B963">
        <v>0</v>
      </c>
      <c r="C963" s="16" t="s">
        <v>10299</v>
      </c>
      <c r="D963" s="16"/>
      <c r="E963">
        <v>6</v>
      </c>
      <c r="F963" t="s">
        <v>4680</v>
      </c>
      <c r="G963">
        <v>1</v>
      </c>
      <c r="H963">
        <v>1</v>
      </c>
      <c r="I963">
        <f>1</f>
        <v>1</v>
      </c>
    </row>
    <row r="964" spans="2:9" x14ac:dyDescent="0.25">
      <c r="B964">
        <v>0</v>
      </c>
      <c r="C964" s="16" t="s">
        <v>10300</v>
      </c>
      <c r="D964" s="16"/>
      <c r="E964">
        <v>6</v>
      </c>
      <c r="F964" t="e">
        <f>-Óleo em bruto</f>
        <v>#NAME?</v>
      </c>
      <c r="G964">
        <v>1</v>
      </c>
      <c r="H964">
        <v>1</v>
      </c>
      <c r="I964">
        <f>1</f>
        <v>1</v>
      </c>
    </row>
    <row r="965" spans="2:9" x14ac:dyDescent="0.25">
      <c r="B965">
        <v>0</v>
      </c>
      <c r="C965" s="16" t="s">
        <v>10301</v>
      </c>
      <c r="D965" s="16"/>
      <c r="E965">
        <v>6</v>
      </c>
      <c r="F965" t="e">
        <f>-outros</f>
        <v>#NAME?</v>
      </c>
      <c r="G965">
        <v>1</v>
      </c>
      <c r="H965">
        <v>1</v>
      </c>
      <c r="I965">
        <f>1</f>
        <v>1</v>
      </c>
    </row>
    <row r="966" spans="2:9" x14ac:dyDescent="0.25">
      <c r="B966">
        <v>0</v>
      </c>
      <c r="C966" s="16" t="s">
        <v>10302</v>
      </c>
      <c r="D966" s="16"/>
      <c r="E966">
        <v>6</v>
      </c>
      <c r="F966" t="e">
        <f>-Virgens</f>
        <v>#NAME?</v>
      </c>
      <c r="G966">
        <v>1</v>
      </c>
      <c r="H966">
        <v>1</v>
      </c>
      <c r="I966">
        <f>1</f>
        <v>1</v>
      </c>
    </row>
    <row r="967" spans="2:9" x14ac:dyDescent="0.25">
      <c r="B967">
        <v>0</v>
      </c>
      <c r="C967" s="16" t="s">
        <v>10303</v>
      </c>
      <c r="D967" s="16"/>
      <c r="E967">
        <v>6</v>
      </c>
      <c r="F967" t="s">
        <v>4951</v>
      </c>
      <c r="G967">
        <v>1</v>
      </c>
      <c r="H967">
        <v>1</v>
      </c>
      <c r="I967">
        <f>1</f>
        <v>1</v>
      </c>
    </row>
    <row r="968" spans="2:9" x14ac:dyDescent="0.25">
      <c r="B968">
        <v>0</v>
      </c>
      <c r="C968" s="16" t="s">
        <v>10304</v>
      </c>
      <c r="D968" s="16"/>
      <c r="E968">
        <v>6</v>
      </c>
      <c r="F968" t="s">
        <v>4680</v>
      </c>
      <c r="G968">
        <v>1</v>
      </c>
      <c r="H968">
        <v>1</v>
      </c>
      <c r="I968">
        <f>1</f>
        <v>1</v>
      </c>
    </row>
    <row r="969" spans="2:9" x14ac:dyDescent="0.25">
      <c r="B969">
        <v>0</v>
      </c>
      <c r="C969" s="16" t="s">
        <v>10305</v>
      </c>
      <c r="D969" s="16"/>
      <c r="E969">
        <v>6</v>
      </c>
      <c r="F969" t="s">
        <v>4952</v>
      </c>
      <c r="G969">
        <v>1</v>
      </c>
      <c r="H969">
        <v>1</v>
      </c>
      <c r="I969">
        <f>1</f>
        <v>1</v>
      </c>
    </row>
    <row r="970" spans="2:9" x14ac:dyDescent="0.25">
      <c r="B970">
        <v>0</v>
      </c>
      <c r="C970" s="16" t="s">
        <v>10306</v>
      </c>
      <c r="D970" s="16"/>
      <c r="E970">
        <v>6</v>
      </c>
      <c r="F970" t="e">
        <f>-Óleo em bruto</f>
        <v>#NAME?</v>
      </c>
      <c r="G970">
        <v>1</v>
      </c>
      <c r="H970">
        <v>1</v>
      </c>
      <c r="I970">
        <f>1</f>
        <v>1</v>
      </c>
    </row>
    <row r="971" spans="2:9" x14ac:dyDescent="0.25">
      <c r="B971">
        <v>0</v>
      </c>
      <c r="C971" s="16" t="s">
        <v>10307</v>
      </c>
      <c r="D971" s="16"/>
      <c r="E971">
        <v>6</v>
      </c>
      <c r="F971" t="e">
        <f>-outros</f>
        <v>#NAME?</v>
      </c>
      <c r="G971">
        <v>1</v>
      </c>
      <c r="H971">
        <v>1</v>
      </c>
      <c r="I971">
        <f>1</f>
        <v>1</v>
      </c>
    </row>
    <row r="972" spans="2:9" x14ac:dyDescent="0.25">
      <c r="B972">
        <v>0</v>
      </c>
      <c r="C972" s="16" t="s">
        <v>10308</v>
      </c>
      <c r="D972" s="16"/>
      <c r="E972">
        <v>6</v>
      </c>
      <c r="F972" t="s">
        <v>4953</v>
      </c>
      <c r="G972">
        <v>1</v>
      </c>
      <c r="H972">
        <v>1</v>
      </c>
      <c r="I972">
        <f>1</f>
        <v>1</v>
      </c>
    </row>
    <row r="973" spans="2:9" x14ac:dyDescent="0.25">
      <c r="B973">
        <v>0</v>
      </c>
      <c r="C973" s="16" t="s">
        <v>10309</v>
      </c>
      <c r="D973" s="16"/>
      <c r="E973">
        <v>6</v>
      </c>
      <c r="F973" t="s">
        <v>4954</v>
      </c>
      <c r="G973">
        <v>1</v>
      </c>
      <c r="H973">
        <v>1</v>
      </c>
      <c r="I973">
        <f>1</f>
        <v>1</v>
      </c>
    </row>
    <row r="974" spans="2:9" x14ac:dyDescent="0.25">
      <c r="B974">
        <v>0</v>
      </c>
      <c r="C974" s="16" t="s">
        <v>10310</v>
      </c>
      <c r="D974" s="16"/>
      <c r="E974">
        <v>6</v>
      </c>
      <c r="F974" t="s">
        <v>4955</v>
      </c>
      <c r="G974">
        <v>1</v>
      </c>
      <c r="H974">
        <v>1</v>
      </c>
      <c r="I974">
        <f>1</f>
        <v>1</v>
      </c>
    </row>
    <row r="975" spans="2:9" x14ac:dyDescent="0.25">
      <c r="B975">
        <v>0</v>
      </c>
      <c r="C975" s="16" t="s">
        <v>10311</v>
      </c>
      <c r="D975" s="16"/>
      <c r="E975">
        <v>6</v>
      </c>
      <c r="F975" t="s">
        <v>4680</v>
      </c>
      <c r="G975">
        <v>1</v>
      </c>
      <c r="H975">
        <v>1</v>
      </c>
      <c r="I975">
        <f>1</f>
        <v>1</v>
      </c>
    </row>
    <row r="976" spans="2:9" x14ac:dyDescent="0.25">
      <c r="B976">
        <v>0</v>
      </c>
      <c r="C976" s="16" t="s">
        <v>10312</v>
      </c>
      <c r="D976" s="16"/>
      <c r="E976">
        <v>6</v>
      </c>
      <c r="F976" t="s">
        <v>4954</v>
      </c>
      <c r="G976">
        <v>1</v>
      </c>
      <c r="H976">
        <v>1</v>
      </c>
      <c r="I976">
        <f>1</f>
        <v>1</v>
      </c>
    </row>
    <row r="977" spans="2:9" x14ac:dyDescent="0.25">
      <c r="B977">
        <v>0</v>
      </c>
      <c r="C977" s="16" t="s">
        <v>10313</v>
      </c>
      <c r="D977" s="16"/>
      <c r="E977">
        <v>6</v>
      </c>
      <c r="F977" t="s">
        <v>4956</v>
      </c>
      <c r="G977">
        <v>1</v>
      </c>
      <c r="H977">
        <v>1</v>
      </c>
      <c r="I977">
        <f>1</f>
        <v>1</v>
      </c>
    </row>
    <row r="978" spans="2:9" x14ac:dyDescent="0.25">
      <c r="B978">
        <v>0</v>
      </c>
      <c r="C978" s="16" t="s">
        <v>10314</v>
      </c>
      <c r="D978" s="16"/>
      <c r="E978">
        <v>6</v>
      </c>
      <c r="F978" t="s">
        <v>4951</v>
      </c>
      <c r="G978">
        <v>1</v>
      </c>
      <c r="H978">
        <v>1</v>
      </c>
      <c r="I978">
        <f>1</f>
        <v>1</v>
      </c>
    </row>
    <row r="979" spans="2:9" x14ac:dyDescent="0.25">
      <c r="B979">
        <v>0</v>
      </c>
      <c r="C979" s="16" t="s">
        <v>10315</v>
      </c>
      <c r="D979" s="16"/>
      <c r="E979">
        <v>6</v>
      </c>
      <c r="F979" t="s">
        <v>4680</v>
      </c>
      <c r="G979">
        <v>1</v>
      </c>
      <c r="H979">
        <v>1</v>
      </c>
      <c r="I979">
        <f>1</f>
        <v>1</v>
      </c>
    </row>
    <row r="980" spans="2:9" x14ac:dyDescent="0.25">
      <c r="B980">
        <v>0</v>
      </c>
      <c r="C980" s="16" t="s">
        <v>10316</v>
      </c>
      <c r="D980" s="16"/>
      <c r="E980">
        <v>6</v>
      </c>
      <c r="F980" t="e">
        <f>--Óleo em bruto</f>
        <v>#NAME?</v>
      </c>
      <c r="G980">
        <v>1</v>
      </c>
      <c r="H980">
        <v>1</v>
      </c>
      <c r="I980">
        <f>1</f>
        <v>1</v>
      </c>
    </row>
    <row r="981" spans="2:9" x14ac:dyDescent="0.25">
      <c r="B981">
        <v>0</v>
      </c>
      <c r="C981" s="16" t="s">
        <v>10317</v>
      </c>
      <c r="D981" s="16"/>
      <c r="E981">
        <v>6</v>
      </c>
      <c r="F981" t="e">
        <f>--outros</f>
        <v>#NAME?</v>
      </c>
      <c r="G981">
        <v>1</v>
      </c>
      <c r="H981">
        <v>1</v>
      </c>
      <c r="I981">
        <f>1</f>
        <v>1</v>
      </c>
    </row>
    <row r="982" spans="2:9" x14ac:dyDescent="0.25">
      <c r="B982">
        <v>0</v>
      </c>
      <c r="C982" s="16" t="s">
        <v>10318</v>
      </c>
      <c r="D982" s="16"/>
      <c r="E982">
        <v>6</v>
      </c>
      <c r="F982" t="s">
        <v>4957</v>
      </c>
      <c r="G982">
        <v>1</v>
      </c>
      <c r="H982">
        <v>1</v>
      </c>
      <c r="I982">
        <f>1</f>
        <v>1</v>
      </c>
    </row>
    <row r="983" spans="2:9" x14ac:dyDescent="0.25">
      <c r="B983">
        <v>0</v>
      </c>
      <c r="C983" s="16" t="s">
        <v>10319</v>
      </c>
      <c r="D983" s="16"/>
      <c r="E983">
        <v>6</v>
      </c>
      <c r="F983" t="s">
        <v>4958</v>
      </c>
      <c r="G983">
        <v>1</v>
      </c>
      <c r="H983">
        <v>1</v>
      </c>
      <c r="I983">
        <f>1</f>
        <v>1</v>
      </c>
    </row>
    <row r="984" spans="2:9" x14ac:dyDescent="0.25">
      <c r="B984">
        <v>0</v>
      </c>
      <c r="C984" s="16" t="s">
        <v>10320</v>
      </c>
      <c r="D984" s="16"/>
      <c r="E984">
        <v>6</v>
      </c>
      <c r="F984" t="s">
        <v>4957</v>
      </c>
      <c r="G984">
        <v>1</v>
      </c>
      <c r="H984">
        <v>1</v>
      </c>
      <c r="I984">
        <f>1</f>
        <v>1</v>
      </c>
    </row>
    <row r="985" spans="2:9" x14ac:dyDescent="0.25">
      <c r="B985">
        <v>0</v>
      </c>
      <c r="C985" s="16" t="s">
        <v>10321</v>
      </c>
      <c r="D985" s="16"/>
      <c r="E985">
        <v>6</v>
      </c>
      <c r="F985" t="s">
        <v>4958</v>
      </c>
      <c r="G985">
        <v>1</v>
      </c>
      <c r="H985">
        <v>1</v>
      </c>
      <c r="I985">
        <f>1</f>
        <v>1</v>
      </c>
    </row>
    <row r="986" spans="2:9" x14ac:dyDescent="0.25">
      <c r="B986">
        <v>0</v>
      </c>
      <c r="C986" s="16" t="s">
        <v>10322</v>
      </c>
      <c r="D986" s="16"/>
      <c r="E986">
        <v>6</v>
      </c>
      <c r="F986" t="e">
        <f>--óleos em bruto</f>
        <v>#NAME?</v>
      </c>
      <c r="G986">
        <v>1</v>
      </c>
      <c r="H986">
        <v>1</v>
      </c>
      <c r="I986">
        <f>1</f>
        <v>1</v>
      </c>
    </row>
    <row r="987" spans="2:9" x14ac:dyDescent="0.25">
      <c r="B987">
        <v>0</v>
      </c>
      <c r="C987" s="16" t="s">
        <v>10323</v>
      </c>
      <c r="D987" s="16"/>
      <c r="E987">
        <v>6</v>
      </c>
      <c r="F987" t="s">
        <v>4959</v>
      </c>
      <c r="G987">
        <v>1</v>
      </c>
      <c r="H987">
        <v>1</v>
      </c>
      <c r="I987">
        <f>1</f>
        <v>1</v>
      </c>
    </row>
    <row r="988" spans="2:9" x14ac:dyDescent="0.25">
      <c r="B988">
        <v>0</v>
      </c>
      <c r="C988" s="16" t="s">
        <v>10324</v>
      </c>
      <c r="D988" s="16"/>
      <c r="E988">
        <v>6</v>
      </c>
      <c r="F988" t="s">
        <v>4680</v>
      </c>
      <c r="G988">
        <v>1</v>
      </c>
      <c r="H988">
        <v>1</v>
      </c>
      <c r="I988">
        <f>1</f>
        <v>1</v>
      </c>
    </row>
    <row r="989" spans="2:9" x14ac:dyDescent="0.25">
      <c r="B989">
        <v>0</v>
      </c>
      <c r="C989" s="16" t="s">
        <v>10325</v>
      </c>
      <c r="D989" s="16"/>
      <c r="E989">
        <v>6</v>
      </c>
      <c r="F989" t="e">
        <f>--óleos em bruto</f>
        <v>#NAME?</v>
      </c>
      <c r="G989">
        <v>1</v>
      </c>
      <c r="H989">
        <v>1</v>
      </c>
      <c r="I989">
        <f>1</f>
        <v>1</v>
      </c>
    </row>
    <row r="990" spans="2:9" x14ac:dyDescent="0.25">
      <c r="B990">
        <v>0</v>
      </c>
      <c r="C990" s="16" t="s">
        <v>10326</v>
      </c>
      <c r="D990" s="16"/>
      <c r="E990">
        <v>6</v>
      </c>
      <c r="F990" t="s">
        <v>4959</v>
      </c>
      <c r="G990">
        <v>1</v>
      </c>
      <c r="H990">
        <v>1</v>
      </c>
      <c r="I990">
        <f>1</f>
        <v>1</v>
      </c>
    </row>
    <row r="991" spans="2:9" x14ac:dyDescent="0.25">
      <c r="B991">
        <v>0</v>
      </c>
      <c r="C991" s="16" t="s">
        <v>10327</v>
      </c>
      <c r="D991" s="16"/>
      <c r="E991">
        <v>6</v>
      </c>
      <c r="F991" t="s">
        <v>4680</v>
      </c>
      <c r="G991">
        <v>1</v>
      </c>
      <c r="H991">
        <v>1</v>
      </c>
      <c r="I991">
        <f>1</f>
        <v>1</v>
      </c>
    </row>
    <row r="992" spans="2:9" x14ac:dyDescent="0.25">
      <c r="B992">
        <v>0</v>
      </c>
      <c r="C992" s="16" t="s">
        <v>10328</v>
      </c>
      <c r="D992" s="16"/>
      <c r="E992">
        <v>6</v>
      </c>
      <c r="F992" t="e">
        <f>--Óleo em bruto</f>
        <v>#NAME?</v>
      </c>
      <c r="G992">
        <v>1</v>
      </c>
      <c r="H992">
        <v>1</v>
      </c>
      <c r="I992">
        <f>1</f>
        <v>1</v>
      </c>
    </row>
    <row r="993" spans="2:9" x14ac:dyDescent="0.25">
      <c r="B993">
        <v>0</v>
      </c>
      <c r="C993" s="16" t="s">
        <v>10329</v>
      </c>
      <c r="D993" s="16"/>
      <c r="E993">
        <v>6</v>
      </c>
      <c r="F993" t="e">
        <f>--outros</f>
        <v>#NAME?</v>
      </c>
      <c r="G993">
        <v>1</v>
      </c>
      <c r="H993">
        <v>1</v>
      </c>
      <c r="I993">
        <f>1</f>
        <v>1</v>
      </c>
    </row>
    <row r="994" spans="2:9" x14ac:dyDescent="0.25">
      <c r="B994">
        <v>0</v>
      </c>
      <c r="C994" s="16" t="s">
        <v>10330</v>
      </c>
      <c r="D994" s="16"/>
      <c r="E994">
        <v>6</v>
      </c>
      <c r="F994" t="e">
        <f>--Óleo em bruto</f>
        <v>#NAME?</v>
      </c>
      <c r="G994">
        <v>1</v>
      </c>
      <c r="H994">
        <v>1</v>
      </c>
      <c r="I994">
        <f>1</f>
        <v>1</v>
      </c>
    </row>
    <row r="995" spans="2:9" x14ac:dyDescent="0.25">
      <c r="B995">
        <v>0</v>
      </c>
      <c r="C995" s="16" t="s">
        <v>10331</v>
      </c>
      <c r="D995" s="16"/>
      <c r="E995">
        <v>6</v>
      </c>
      <c r="F995" t="s">
        <v>4955</v>
      </c>
      <c r="G995">
        <v>1</v>
      </c>
      <c r="H995">
        <v>1</v>
      </c>
      <c r="I995">
        <f>1</f>
        <v>1</v>
      </c>
    </row>
    <row r="996" spans="2:9" x14ac:dyDescent="0.25">
      <c r="B996">
        <v>0</v>
      </c>
      <c r="C996" s="16" t="s">
        <v>10332</v>
      </c>
      <c r="D996" s="16"/>
      <c r="E996">
        <v>6</v>
      </c>
      <c r="F996" t="s">
        <v>4680</v>
      </c>
      <c r="G996">
        <v>1</v>
      </c>
      <c r="H996">
        <v>1</v>
      </c>
      <c r="I996">
        <f>1</f>
        <v>1</v>
      </c>
    </row>
    <row r="997" spans="2:9" x14ac:dyDescent="0.25">
      <c r="B997">
        <v>0</v>
      </c>
      <c r="C997" s="16" t="s">
        <v>10333</v>
      </c>
      <c r="D997" s="16"/>
      <c r="E997">
        <v>6</v>
      </c>
      <c r="F997" t="e">
        <f>-Óleo De rícino e respectivas frações</f>
        <v>#NAME?</v>
      </c>
      <c r="G997">
        <v>1</v>
      </c>
      <c r="H997">
        <v>1</v>
      </c>
      <c r="I997">
        <f>1</f>
        <v>1</v>
      </c>
    </row>
    <row r="998" spans="2:9" x14ac:dyDescent="0.25">
      <c r="B998">
        <v>0</v>
      </c>
      <c r="C998" s="16" t="s">
        <v>10334</v>
      </c>
      <c r="D998" s="16"/>
      <c r="E998">
        <v>6</v>
      </c>
      <c r="F998" t="e">
        <f>-Óleo De gergelim e respectivas frações</f>
        <v>#NAME?</v>
      </c>
      <c r="G998">
        <v>1</v>
      </c>
      <c r="H998">
        <v>1</v>
      </c>
      <c r="I998">
        <f>1</f>
        <v>1</v>
      </c>
    </row>
    <row r="999" spans="2:9" x14ac:dyDescent="0.25">
      <c r="B999">
        <v>0</v>
      </c>
      <c r="C999" s="16" t="s">
        <v>10335</v>
      </c>
      <c r="D999" s="16"/>
      <c r="E999">
        <v>6</v>
      </c>
      <c r="F999" t="s">
        <v>4960</v>
      </c>
      <c r="G999">
        <v>1</v>
      </c>
      <c r="H999">
        <v>1</v>
      </c>
      <c r="I999">
        <f>1</f>
        <v>1</v>
      </c>
    </row>
    <row r="1000" spans="2:9" x14ac:dyDescent="0.25">
      <c r="B1000">
        <v>0</v>
      </c>
      <c r="C1000" s="16" t="s">
        <v>10336</v>
      </c>
      <c r="D1000" s="16"/>
      <c r="E1000">
        <v>6</v>
      </c>
      <c r="F1000" t="s">
        <v>4941</v>
      </c>
      <c r="G1000">
        <v>1</v>
      </c>
      <c r="H1000">
        <v>1</v>
      </c>
      <c r="I1000">
        <f>1</f>
        <v>1</v>
      </c>
    </row>
    <row r="1001" spans="2:9" x14ac:dyDescent="0.25">
      <c r="B1001">
        <v>0</v>
      </c>
      <c r="C1001" s="16" t="s">
        <v>10337</v>
      </c>
      <c r="D1001" s="16"/>
      <c r="E1001">
        <v>6</v>
      </c>
      <c r="F1001" t="s">
        <v>4951</v>
      </c>
      <c r="G1001">
        <v>1</v>
      </c>
      <c r="H1001">
        <v>1</v>
      </c>
      <c r="I1001">
        <f>1</f>
        <v>1</v>
      </c>
    </row>
    <row r="1002" spans="2:9" x14ac:dyDescent="0.25">
      <c r="B1002">
        <v>0</v>
      </c>
      <c r="C1002" s="16" t="s">
        <v>10338</v>
      </c>
      <c r="D1002" s="16"/>
      <c r="E1002">
        <v>6</v>
      </c>
      <c r="F1002" t="s">
        <v>4680</v>
      </c>
      <c r="G1002">
        <v>1</v>
      </c>
      <c r="H1002">
        <v>1</v>
      </c>
      <c r="I1002">
        <f>1</f>
        <v>1</v>
      </c>
    </row>
    <row r="1003" spans="2:9" x14ac:dyDescent="0.25">
      <c r="B1003">
        <v>0</v>
      </c>
      <c r="C1003" s="16" t="s">
        <v>10339</v>
      </c>
      <c r="D1003" s="16"/>
      <c r="E1003">
        <v>6</v>
      </c>
      <c r="F1003" t="e">
        <f>-gorduras e óleos animais e respectivas frações</f>
        <v>#NAME?</v>
      </c>
      <c r="G1003">
        <v>1</v>
      </c>
      <c r="H1003">
        <v>1</v>
      </c>
      <c r="I1003">
        <f>1</f>
        <v>1</v>
      </c>
    </row>
    <row r="1004" spans="2:9" x14ac:dyDescent="0.25">
      <c r="B1004">
        <v>0</v>
      </c>
      <c r="C1004" s="16" t="s">
        <v>10340</v>
      </c>
      <c r="D1004" s="16"/>
      <c r="E1004">
        <v>6</v>
      </c>
      <c r="F1004" t="e">
        <f>-gorduras e óleos vegetais e respectivas frações</f>
        <v>#NAME?</v>
      </c>
      <c r="G1004">
        <v>1</v>
      </c>
      <c r="H1004">
        <v>1</v>
      </c>
      <c r="I1004">
        <f>1</f>
        <v>1</v>
      </c>
    </row>
    <row r="1005" spans="2:9" x14ac:dyDescent="0.25">
      <c r="B1005">
        <v>0</v>
      </c>
      <c r="C1005" s="16" t="s">
        <v>10341</v>
      </c>
      <c r="D1005" s="16"/>
      <c r="E1005">
        <v>6</v>
      </c>
      <c r="F1005" t="s">
        <v>4961</v>
      </c>
      <c r="G1005">
        <v>1</v>
      </c>
      <c r="H1005">
        <v>1</v>
      </c>
      <c r="I1005">
        <f>1</f>
        <v>1</v>
      </c>
    </row>
    <row r="1006" spans="2:9" x14ac:dyDescent="0.25">
      <c r="B1006">
        <v>0</v>
      </c>
      <c r="C1006" s="16" t="s">
        <v>10342</v>
      </c>
      <c r="D1006" s="16"/>
      <c r="E1006">
        <v>6</v>
      </c>
      <c r="F1006" t="s">
        <v>4962</v>
      </c>
      <c r="G1006">
        <v>1</v>
      </c>
      <c r="H1006">
        <v>1</v>
      </c>
      <c r="I1006">
        <f>1</f>
        <v>1</v>
      </c>
    </row>
    <row r="1007" spans="2:9" x14ac:dyDescent="0.25">
      <c r="B1007">
        <v>0</v>
      </c>
      <c r="C1007" s="16" t="s">
        <v>10343</v>
      </c>
      <c r="D1007" s="16"/>
      <c r="E1007">
        <v>6</v>
      </c>
      <c r="F1007" t="s">
        <v>4690</v>
      </c>
      <c r="G1007">
        <v>1</v>
      </c>
      <c r="H1007">
        <v>1</v>
      </c>
      <c r="I1007">
        <f>1</f>
        <v>1</v>
      </c>
    </row>
    <row r="1008" spans="2:9" x14ac:dyDescent="0.25">
      <c r="B1008">
        <v>0</v>
      </c>
      <c r="C1008" s="16" t="s">
        <v>10344</v>
      </c>
      <c r="D1008" s="16"/>
      <c r="E1008">
        <v>6</v>
      </c>
      <c r="F1008" t="s">
        <v>4963</v>
      </c>
      <c r="G1008">
        <v>1</v>
      </c>
      <c r="H1008">
        <v>1</v>
      </c>
      <c r="I1008">
        <f>1</f>
        <v>1</v>
      </c>
    </row>
    <row r="1009" spans="2:9" x14ac:dyDescent="0.25">
      <c r="B1009">
        <v>0</v>
      </c>
      <c r="C1009" s="16" t="s">
        <v>10345</v>
      </c>
      <c r="D1009" s="16"/>
      <c r="E1009">
        <v>6</v>
      </c>
      <c r="F1009" t="s">
        <v>4680</v>
      </c>
      <c r="G1009">
        <v>1</v>
      </c>
      <c r="H1009">
        <v>1</v>
      </c>
      <c r="I1009">
        <f>1</f>
        <v>1</v>
      </c>
    </row>
    <row r="1010" spans="2:9" x14ac:dyDescent="0.25">
      <c r="B1010">
        <v>0</v>
      </c>
      <c r="C1010" s="16" t="s">
        <v>10346</v>
      </c>
      <c r="D1010" s="16"/>
      <c r="E1010">
        <v>6</v>
      </c>
      <c r="F1010" t="s">
        <v>4964</v>
      </c>
      <c r="G1010">
        <v>1</v>
      </c>
      <c r="H1010">
        <v>1</v>
      </c>
      <c r="I1010">
        <f>1</f>
        <v>1</v>
      </c>
    </row>
    <row r="1011" spans="2:9" x14ac:dyDescent="0.25">
      <c r="B1011">
        <v>0</v>
      </c>
      <c r="C1011" s="16" t="s">
        <v>10347</v>
      </c>
      <c r="D1011" s="16"/>
      <c r="E1011">
        <v>6</v>
      </c>
      <c r="F1011" t="s">
        <v>4965</v>
      </c>
      <c r="G1011">
        <v>1</v>
      </c>
      <c r="H1011">
        <v>1</v>
      </c>
      <c r="I1011">
        <f>1</f>
        <v>1</v>
      </c>
    </row>
    <row r="1012" spans="2:9" x14ac:dyDescent="0.25">
      <c r="B1012">
        <v>0</v>
      </c>
      <c r="C1012" s="16" t="s">
        <v>10348</v>
      </c>
      <c r="D1012" s="16"/>
      <c r="E1012">
        <v>6</v>
      </c>
      <c r="F1012" t="e">
        <f>-Ceras vegetais</f>
        <v>#NAME?</v>
      </c>
      <c r="G1012">
        <v>1</v>
      </c>
      <c r="H1012">
        <v>1</v>
      </c>
      <c r="I1012">
        <f>1</f>
        <v>1</v>
      </c>
    </row>
    <row r="1013" spans="2:9" x14ac:dyDescent="0.25">
      <c r="B1013">
        <v>0</v>
      </c>
      <c r="C1013" s="16" t="s">
        <v>10348</v>
      </c>
      <c r="D1013" s="16" t="s">
        <v>19430</v>
      </c>
      <c r="E1013">
        <v>6</v>
      </c>
      <c r="F1013" t="s">
        <v>4966</v>
      </c>
      <c r="G1013">
        <v>1</v>
      </c>
      <c r="H1013">
        <v>1</v>
      </c>
      <c r="I1013">
        <f>1</f>
        <v>1</v>
      </c>
    </row>
    <row r="1014" spans="2:9" x14ac:dyDescent="0.25">
      <c r="B1014">
        <v>0</v>
      </c>
      <c r="C1014" s="16" t="s">
        <v>10349</v>
      </c>
      <c r="D1014" s="16"/>
      <c r="E1014">
        <v>6</v>
      </c>
      <c r="F1014" t="s">
        <v>4941</v>
      </c>
      <c r="G1014">
        <v>1</v>
      </c>
      <c r="H1014">
        <v>1</v>
      </c>
      <c r="I1014">
        <f>1</f>
        <v>1</v>
      </c>
    </row>
    <row r="1015" spans="2:9" x14ac:dyDescent="0.25">
      <c r="B1015">
        <v>0</v>
      </c>
      <c r="C1015" s="16" t="s">
        <v>10350</v>
      </c>
      <c r="D1015" s="16"/>
      <c r="E1015">
        <v>6</v>
      </c>
      <c r="F1015" t="s">
        <v>4690</v>
      </c>
      <c r="G1015">
        <v>1</v>
      </c>
      <c r="H1015">
        <v>1</v>
      </c>
      <c r="I1015">
        <f>1</f>
        <v>1</v>
      </c>
    </row>
    <row r="1016" spans="2:9" x14ac:dyDescent="0.25">
      <c r="B1016">
        <v>0</v>
      </c>
      <c r="C1016" s="16" t="s">
        <v>10350</v>
      </c>
      <c r="D1016" s="16" t="s">
        <v>19430</v>
      </c>
      <c r="E1016">
        <v>6</v>
      </c>
      <c r="F1016" t="s">
        <v>4966</v>
      </c>
      <c r="G1016">
        <v>1</v>
      </c>
      <c r="H1016">
        <v>1</v>
      </c>
      <c r="I1016">
        <f>1</f>
        <v>1</v>
      </c>
    </row>
    <row r="1017" spans="2:9" x14ac:dyDescent="0.25">
      <c r="B1017">
        <v>0</v>
      </c>
      <c r="C1017" s="16" t="s">
        <v>10351</v>
      </c>
      <c r="D1017" s="16"/>
      <c r="E1017">
        <v>6</v>
      </c>
      <c r="F1017" t="s">
        <v>4690</v>
      </c>
      <c r="G1017">
        <v>1</v>
      </c>
      <c r="H1017">
        <v>1</v>
      </c>
      <c r="I1017">
        <f>1</f>
        <v>1</v>
      </c>
    </row>
    <row r="1018" spans="2:9" x14ac:dyDescent="0.25">
      <c r="B1018">
        <v>0</v>
      </c>
      <c r="C1018" s="16" t="s">
        <v>10351</v>
      </c>
      <c r="D1018" s="16" t="s">
        <v>19430</v>
      </c>
      <c r="E1018">
        <v>6</v>
      </c>
      <c r="F1018" t="s">
        <v>4967</v>
      </c>
      <c r="G1018">
        <v>1</v>
      </c>
      <c r="H1018">
        <v>1</v>
      </c>
      <c r="I1018">
        <f>1</f>
        <v>1</v>
      </c>
    </row>
    <row r="1019" spans="2:9" x14ac:dyDescent="0.25">
      <c r="B1019">
        <v>0</v>
      </c>
      <c r="C1019" s="16" t="s">
        <v>10351</v>
      </c>
      <c r="D1019" s="16" t="s">
        <v>19431</v>
      </c>
      <c r="E1019">
        <v>6</v>
      </c>
      <c r="F1019" t="s">
        <v>4968</v>
      </c>
      <c r="G1019">
        <v>1</v>
      </c>
      <c r="H1019">
        <v>1</v>
      </c>
      <c r="I1019">
        <f>1</f>
        <v>1</v>
      </c>
    </row>
    <row r="1020" spans="2:9" x14ac:dyDescent="0.25">
      <c r="B1020">
        <v>0</v>
      </c>
      <c r="C1020" s="16" t="s">
        <v>10352</v>
      </c>
      <c r="D1020" s="16"/>
      <c r="E1020">
        <v>6</v>
      </c>
      <c r="F1020" t="s">
        <v>4969</v>
      </c>
      <c r="G1020">
        <v>1</v>
      </c>
      <c r="H1020">
        <v>1</v>
      </c>
      <c r="I1020">
        <f>1</f>
        <v>1</v>
      </c>
    </row>
    <row r="1021" spans="2:9" x14ac:dyDescent="0.25">
      <c r="B1021">
        <v>0</v>
      </c>
      <c r="C1021" s="16" t="s">
        <v>10353</v>
      </c>
      <c r="D1021" s="16"/>
      <c r="E1021">
        <v>6</v>
      </c>
      <c r="F1021" t="s">
        <v>4970</v>
      </c>
      <c r="G1021">
        <v>1</v>
      </c>
      <c r="H1021">
        <v>1</v>
      </c>
      <c r="I1021">
        <f>1</f>
        <v>1</v>
      </c>
    </row>
    <row r="1022" spans="2:9" x14ac:dyDescent="0.25">
      <c r="B1022">
        <v>0</v>
      </c>
      <c r="C1022" s="16" t="s">
        <v>10354</v>
      </c>
      <c r="D1022" s="16"/>
      <c r="E1022">
        <v>6</v>
      </c>
      <c r="F1022" t="e">
        <f>-Preparações homogeneizadas</f>
        <v>#NAME?</v>
      </c>
      <c r="G1022">
        <v>1</v>
      </c>
      <c r="H1022">
        <v>1</v>
      </c>
      <c r="I1022">
        <f>1</f>
        <v>1</v>
      </c>
    </row>
    <row r="1023" spans="2:9" x14ac:dyDescent="0.25">
      <c r="B1023">
        <v>0</v>
      </c>
      <c r="C1023" s="16" t="s">
        <v>10355</v>
      </c>
      <c r="D1023" s="16"/>
      <c r="E1023">
        <v>6</v>
      </c>
      <c r="F1023" t="e">
        <f>-De Fígados De quaisquer animais</f>
        <v>#NAME?</v>
      </c>
      <c r="G1023">
        <v>1</v>
      </c>
      <c r="H1023">
        <v>1</v>
      </c>
      <c r="I1023">
        <f>1</f>
        <v>1</v>
      </c>
    </row>
    <row r="1024" spans="2:9" x14ac:dyDescent="0.25">
      <c r="B1024">
        <v>0</v>
      </c>
      <c r="C1024" s="16" t="s">
        <v>10356</v>
      </c>
      <c r="D1024" s="16"/>
      <c r="E1024">
        <v>6</v>
      </c>
      <c r="F1024" t="e">
        <f>--De Peruas e De perus</f>
        <v>#NAME?</v>
      </c>
      <c r="G1024">
        <v>1</v>
      </c>
      <c r="H1024">
        <v>1</v>
      </c>
      <c r="I1024">
        <f>1</f>
        <v>1</v>
      </c>
    </row>
    <row r="1025" spans="2:9" x14ac:dyDescent="0.25">
      <c r="B1025">
        <v>0</v>
      </c>
      <c r="C1025" s="16" t="s">
        <v>10357</v>
      </c>
      <c r="D1025" s="16"/>
      <c r="E1025">
        <v>6</v>
      </c>
      <c r="F1025" t="s">
        <v>4971</v>
      </c>
      <c r="G1025">
        <v>1</v>
      </c>
      <c r="H1025">
        <v>1</v>
      </c>
      <c r="I1025">
        <f>1</f>
        <v>1</v>
      </c>
    </row>
    <row r="1026" spans="2:9" x14ac:dyDescent="0.25">
      <c r="B1026">
        <v>0</v>
      </c>
      <c r="C1026" s="16" t="s">
        <v>10358</v>
      </c>
      <c r="D1026" s="16"/>
      <c r="E1026">
        <v>6</v>
      </c>
      <c r="F1026" t="s">
        <v>4972</v>
      </c>
      <c r="G1026">
        <v>1</v>
      </c>
      <c r="H1026">
        <v>1</v>
      </c>
      <c r="I1026">
        <f>1</f>
        <v>1</v>
      </c>
    </row>
    <row r="1027" spans="2:9" x14ac:dyDescent="0.25">
      <c r="B1027">
        <v>0</v>
      </c>
      <c r="C1027" s="16" t="s">
        <v>10359</v>
      </c>
      <c r="D1027" s="16"/>
      <c r="E1027">
        <v>6</v>
      </c>
      <c r="F1027" t="s">
        <v>4973</v>
      </c>
      <c r="G1027">
        <v>1</v>
      </c>
      <c r="H1027">
        <v>1</v>
      </c>
      <c r="I1027">
        <f>1</f>
        <v>1</v>
      </c>
    </row>
    <row r="1028" spans="2:9" x14ac:dyDescent="0.25">
      <c r="B1028">
        <v>0</v>
      </c>
      <c r="C1028" s="16" t="s">
        <v>10360</v>
      </c>
      <c r="D1028" s="16"/>
      <c r="E1028">
        <v>6</v>
      </c>
      <c r="F1028" t="s">
        <v>4690</v>
      </c>
      <c r="G1028">
        <v>1</v>
      </c>
      <c r="H1028">
        <v>1</v>
      </c>
      <c r="I1028">
        <f>1</f>
        <v>1</v>
      </c>
    </row>
    <row r="1029" spans="2:9" x14ac:dyDescent="0.25">
      <c r="B1029">
        <v>0</v>
      </c>
      <c r="C1029" s="16" t="s">
        <v>10361</v>
      </c>
      <c r="D1029" s="16"/>
      <c r="E1029">
        <v>6</v>
      </c>
      <c r="F1029" t="e">
        <f>--Outras</f>
        <v>#NAME?</v>
      </c>
      <c r="G1029">
        <v>1</v>
      </c>
      <c r="H1029">
        <v>1</v>
      </c>
      <c r="I1029">
        <f>1</f>
        <v>1</v>
      </c>
    </row>
    <row r="1030" spans="2:9" x14ac:dyDescent="0.25">
      <c r="B1030">
        <v>0</v>
      </c>
      <c r="C1030" s="16" t="s">
        <v>10362</v>
      </c>
      <c r="D1030" s="16"/>
      <c r="E1030">
        <v>6</v>
      </c>
      <c r="F1030" t="e">
        <f>--Pernas e respectivos pedaços</f>
        <v>#NAME?</v>
      </c>
      <c r="G1030">
        <v>1</v>
      </c>
      <c r="H1030">
        <v>1</v>
      </c>
      <c r="I1030">
        <f>1</f>
        <v>1</v>
      </c>
    </row>
    <row r="1031" spans="2:9" x14ac:dyDescent="0.25">
      <c r="B1031">
        <v>0</v>
      </c>
      <c r="C1031" s="16" t="s">
        <v>10363</v>
      </c>
      <c r="D1031" s="16"/>
      <c r="E1031">
        <v>6</v>
      </c>
      <c r="F1031" t="e">
        <f>--Pás e respectivos pedaços</f>
        <v>#NAME?</v>
      </c>
      <c r="G1031">
        <v>1</v>
      </c>
      <c r="H1031">
        <v>1</v>
      </c>
      <c r="I1031">
        <f>1</f>
        <v>1</v>
      </c>
    </row>
    <row r="1032" spans="2:9" x14ac:dyDescent="0.25">
      <c r="B1032">
        <v>0</v>
      </c>
      <c r="C1032" s="16" t="s">
        <v>10364</v>
      </c>
      <c r="D1032" s="16"/>
      <c r="E1032">
        <v>6</v>
      </c>
      <c r="F1032" t="s">
        <v>4974</v>
      </c>
      <c r="G1032">
        <v>1</v>
      </c>
      <c r="H1032">
        <v>1</v>
      </c>
      <c r="I1032">
        <f>1</f>
        <v>1</v>
      </c>
    </row>
    <row r="1033" spans="2:9" x14ac:dyDescent="0.25">
      <c r="B1033">
        <v>0</v>
      </c>
      <c r="C1033" s="16" t="s">
        <v>10365</v>
      </c>
      <c r="D1033" s="16"/>
      <c r="E1033">
        <v>6</v>
      </c>
      <c r="F1033" t="e">
        <f>-da espécie bovina</f>
        <v>#NAME?</v>
      </c>
      <c r="G1033">
        <v>1</v>
      </c>
      <c r="H1033">
        <v>1</v>
      </c>
      <c r="I1033">
        <f>1</f>
        <v>1</v>
      </c>
    </row>
    <row r="1034" spans="2:9" x14ac:dyDescent="0.25">
      <c r="B1034">
        <v>0</v>
      </c>
      <c r="C1034" s="16" t="s">
        <v>10366</v>
      </c>
      <c r="D1034" s="16"/>
      <c r="E1034">
        <v>6</v>
      </c>
      <c r="F1034" t="s">
        <v>4975</v>
      </c>
      <c r="G1034">
        <v>1</v>
      </c>
      <c r="H1034">
        <v>1</v>
      </c>
      <c r="I1034">
        <f>1</f>
        <v>1</v>
      </c>
    </row>
    <row r="1035" spans="2:9" x14ac:dyDescent="0.25">
      <c r="B1035">
        <v>0</v>
      </c>
      <c r="C1035" s="16" t="s">
        <v>10367</v>
      </c>
      <c r="D1035" s="16"/>
      <c r="E1035">
        <v>6</v>
      </c>
      <c r="F1035" t="s">
        <v>4976</v>
      </c>
      <c r="G1035">
        <v>1</v>
      </c>
      <c r="H1035">
        <v>1</v>
      </c>
      <c r="I1035">
        <f>1</f>
        <v>1</v>
      </c>
    </row>
    <row r="1036" spans="2:9" x14ac:dyDescent="0.25">
      <c r="B1036">
        <v>0</v>
      </c>
      <c r="C1036" s="16" t="s">
        <v>10368</v>
      </c>
      <c r="D1036" s="16"/>
      <c r="E1036">
        <v>6</v>
      </c>
      <c r="F1036" t="e">
        <f>--Salmões</f>
        <v>#NAME?</v>
      </c>
      <c r="G1036">
        <v>1</v>
      </c>
      <c r="H1036">
        <v>1</v>
      </c>
      <c r="I1036">
        <f>1</f>
        <v>1</v>
      </c>
    </row>
    <row r="1037" spans="2:9" x14ac:dyDescent="0.25">
      <c r="B1037">
        <v>0</v>
      </c>
      <c r="C1037" s="16" t="s">
        <v>10369</v>
      </c>
      <c r="D1037" s="16"/>
      <c r="E1037">
        <v>6</v>
      </c>
      <c r="F1037" t="e">
        <f>--Arenques</f>
        <v>#NAME?</v>
      </c>
      <c r="G1037">
        <v>1</v>
      </c>
      <c r="H1037">
        <v>1</v>
      </c>
      <c r="I1037">
        <f>1</f>
        <v>1</v>
      </c>
    </row>
    <row r="1038" spans="2:9" x14ac:dyDescent="0.25">
      <c r="B1038">
        <v>0</v>
      </c>
      <c r="C1038" s="16" t="s">
        <v>10370</v>
      </c>
      <c r="D1038" s="16"/>
      <c r="E1038">
        <v>6</v>
      </c>
      <c r="F1038" t="s">
        <v>4977</v>
      </c>
      <c r="G1038">
        <v>1</v>
      </c>
      <c r="H1038">
        <v>1</v>
      </c>
      <c r="I1038">
        <f>1</f>
        <v>1</v>
      </c>
    </row>
    <row r="1039" spans="2:9" x14ac:dyDescent="0.25">
      <c r="B1039">
        <v>0</v>
      </c>
      <c r="C1039" s="16" t="s">
        <v>10371</v>
      </c>
      <c r="D1039" s="16"/>
      <c r="E1039">
        <v>6</v>
      </c>
      <c r="F1039" t="s">
        <v>4680</v>
      </c>
      <c r="G1039">
        <v>1</v>
      </c>
      <c r="H1039">
        <v>1</v>
      </c>
      <c r="I1039">
        <f>1</f>
        <v>1</v>
      </c>
    </row>
    <row r="1040" spans="2:9" x14ac:dyDescent="0.25">
      <c r="B1040">
        <v>0</v>
      </c>
      <c r="C1040" s="16" t="s">
        <v>10372</v>
      </c>
      <c r="D1040" s="16"/>
      <c r="E1040">
        <v>6</v>
      </c>
      <c r="F1040" t="s">
        <v>4978</v>
      </c>
      <c r="G1040">
        <v>1</v>
      </c>
      <c r="H1040">
        <v>1</v>
      </c>
      <c r="I1040">
        <f>1</f>
        <v>1</v>
      </c>
    </row>
    <row r="1041" spans="2:9" x14ac:dyDescent="0.25">
      <c r="B1041">
        <v>0</v>
      </c>
      <c r="C1041" s="16" t="s">
        <v>10373</v>
      </c>
      <c r="D1041" s="16"/>
      <c r="E1041">
        <v>6</v>
      </c>
      <c r="F1041" t="s">
        <v>4979</v>
      </c>
      <c r="G1041">
        <v>1</v>
      </c>
      <c r="H1041">
        <v>1</v>
      </c>
      <c r="I1041">
        <f>1</f>
        <v>1</v>
      </c>
    </row>
    <row r="1042" spans="2:9" x14ac:dyDescent="0.25">
      <c r="B1042">
        <v>0</v>
      </c>
      <c r="C1042" s="16" t="s">
        <v>10374</v>
      </c>
      <c r="D1042" s="16"/>
      <c r="E1042">
        <v>6</v>
      </c>
      <c r="F1042" t="s">
        <v>4980</v>
      </c>
      <c r="G1042">
        <v>1</v>
      </c>
      <c r="H1042">
        <v>1</v>
      </c>
      <c r="I1042">
        <f>1</f>
        <v>1</v>
      </c>
    </row>
    <row r="1043" spans="2:9" x14ac:dyDescent="0.25">
      <c r="B1043">
        <v>0</v>
      </c>
      <c r="C1043" s="16" t="s">
        <v>10375</v>
      </c>
      <c r="D1043" s="16"/>
      <c r="E1043">
        <v>6</v>
      </c>
      <c r="F1043" t="e">
        <f>--Cavalinhas</f>
        <v>#NAME?</v>
      </c>
      <c r="G1043">
        <v>1</v>
      </c>
      <c r="H1043">
        <v>1</v>
      </c>
      <c r="I1043">
        <f>1</f>
        <v>1</v>
      </c>
    </row>
    <row r="1044" spans="2:9" x14ac:dyDescent="0.25">
      <c r="B1044">
        <v>0</v>
      </c>
      <c r="C1044" s="16" t="s">
        <v>10376</v>
      </c>
      <c r="D1044" s="16"/>
      <c r="E1044">
        <v>6</v>
      </c>
      <c r="F1044" t="e">
        <f>--Anchovas</f>
        <v>#NAME?</v>
      </c>
      <c r="G1044">
        <v>1</v>
      </c>
      <c r="H1044">
        <v>1</v>
      </c>
      <c r="I1044">
        <f>1</f>
        <v>1</v>
      </c>
    </row>
    <row r="1045" spans="2:9" x14ac:dyDescent="0.25">
      <c r="B1045">
        <v>0</v>
      </c>
      <c r="C1045" s="16" t="s">
        <v>10377</v>
      </c>
      <c r="D1045" s="16"/>
      <c r="E1045">
        <v>6</v>
      </c>
      <c r="F1045" t="e">
        <f>--Enguias</f>
        <v>#NAME?</v>
      </c>
      <c r="G1045">
        <v>1</v>
      </c>
      <c r="H1045">
        <v>1</v>
      </c>
      <c r="I1045">
        <f>1</f>
        <v>1</v>
      </c>
    </row>
    <row r="1046" spans="2:9" x14ac:dyDescent="0.25">
      <c r="B1046">
        <v>0</v>
      </c>
      <c r="C1046" s="16" t="s">
        <v>10378</v>
      </c>
      <c r="D1046" s="16"/>
      <c r="E1046">
        <v>6</v>
      </c>
      <c r="F1046" t="e">
        <f>--outros</f>
        <v>#NAME?</v>
      </c>
      <c r="G1046">
        <v>1</v>
      </c>
      <c r="H1046">
        <v>1</v>
      </c>
      <c r="I1046">
        <f>1</f>
        <v>1</v>
      </c>
    </row>
    <row r="1047" spans="2:9" x14ac:dyDescent="0.25">
      <c r="B1047">
        <v>0</v>
      </c>
      <c r="C1047" s="16" t="s">
        <v>10379</v>
      </c>
      <c r="D1047" s="16"/>
      <c r="E1047">
        <v>6</v>
      </c>
      <c r="F1047" t="s">
        <v>4981</v>
      </c>
      <c r="G1047">
        <v>1</v>
      </c>
      <c r="H1047">
        <v>1</v>
      </c>
      <c r="I1047">
        <f>1</f>
        <v>1</v>
      </c>
    </row>
    <row r="1048" spans="2:9" x14ac:dyDescent="0.25">
      <c r="B1048">
        <v>0</v>
      </c>
      <c r="C1048" s="16" t="s">
        <v>10380</v>
      </c>
      <c r="D1048" s="16"/>
      <c r="E1048">
        <v>6</v>
      </c>
      <c r="F1048" t="s">
        <v>4982</v>
      </c>
      <c r="G1048">
        <v>1</v>
      </c>
      <c r="H1048">
        <v>1</v>
      </c>
      <c r="I1048">
        <f>1</f>
        <v>1</v>
      </c>
    </row>
    <row r="1049" spans="2:9" x14ac:dyDescent="0.25">
      <c r="B1049">
        <v>0</v>
      </c>
      <c r="C1049" s="16" t="s">
        <v>10381</v>
      </c>
      <c r="D1049" s="16"/>
      <c r="E1049">
        <v>6</v>
      </c>
      <c r="F1049" t="s">
        <v>4983</v>
      </c>
      <c r="G1049">
        <v>1</v>
      </c>
      <c r="H1049">
        <v>1</v>
      </c>
      <c r="I1049">
        <f>1</f>
        <v>1</v>
      </c>
    </row>
    <row r="1050" spans="2:9" x14ac:dyDescent="0.25">
      <c r="B1050">
        <v>0</v>
      </c>
      <c r="C1050" s="16" t="s">
        <v>10382</v>
      </c>
      <c r="D1050" s="16"/>
      <c r="E1050">
        <v>6</v>
      </c>
      <c r="F1050" t="s">
        <v>4690</v>
      </c>
      <c r="G1050">
        <v>1</v>
      </c>
      <c r="H1050">
        <v>1</v>
      </c>
      <c r="I1050">
        <f>1</f>
        <v>1</v>
      </c>
    </row>
    <row r="1051" spans="2:9" x14ac:dyDescent="0.25">
      <c r="B1051">
        <v>0</v>
      </c>
      <c r="C1051" s="16" t="s">
        <v>10383</v>
      </c>
      <c r="D1051" s="16"/>
      <c r="E1051">
        <v>6</v>
      </c>
      <c r="F1051" t="e">
        <f>--Caviar</f>
        <v>#NAME?</v>
      </c>
      <c r="G1051">
        <v>1</v>
      </c>
      <c r="H1051">
        <v>1</v>
      </c>
      <c r="I1051">
        <f>1</f>
        <v>1</v>
      </c>
    </row>
    <row r="1052" spans="2:9" x14ac:dyDescent="0.25">
      <c r="B1052">
        <v>0</v>
      </c>
      <c r="C1052" s="16" t="s">
        <v>10384</v>
      </c>
      <c r="D1052" s="16"/>
      <c r="E1052">
        <v>6</v>
      </c>
      <c r="F1052" t="e">
        <f>--Sucedâneos De Caviar</f>
        <v>#NAME?</v>
      </c>
      <c r="G1052">
        <v>1</v>
      </c>
      <c r="H1052">
        <v>1</v>
      </c>
      <c r="I1052">
        <f>1</f>
        <v>1</v>
      </c>
    </row>
    <row r="1053" spans="2:9" x14ac:dyDescent="0.25">
      <c r="B1053">
        <v>0</v>
      </c>
      <c r="C1053" s="16" t="s">
        <v>10385</v>
      </c>
      <c r="D1053" s="16"/>
      <c r="E1053">
        <v>6</v>
      </c>
      <c r="F1053" t="e">
        <f>-Caranguejos</f>
        <v>#NAME?</v>
      </c>
      <c r="G1053">
        <v>1</v>
      </c>
      <c r="H1053">
        <v>1</v>
      </c>
      <c r="I1053">
        <f>1</f>
        <v>1</v>
      </c>
    </row>
    <row r="1054" spans="2:9" x14ac:dyDescent="0.25">
      <c r="B1054">
        <v>0</v>
      </c>
      <c r="C1054" s="16" t="s">
        <v>10386</v>
      </c>
      <c r="D1054" s="16"/>
      <c r="E1054">
        <v>6</v>
      </c>
      <c r="F1054" t="e">
        <f>--Não acondicionados em recipientes hermeticamente fechados</f>
        <v>#NAME?</v>
      </c>
      <c r="G1054">
        <v>1</v>
      </c>
      <c r="H1054">
        <v>1</v>
      </c>
      <c r="I1054">
        <f>1</f>
        <v>1</v>
      </c>
    </row>
    <row r="1055" spans="2:9" x14ac:dyDescent="0.25">
      <c r="B1055">
        <v>0</v>
      </c>
      <c r="C1055" s="16" t="s">
        <v>10387</v>
      </c>
      <c r="D1055" s="16"/>
      <c r="E1055">
        <v>6</v>
      </c>
      <c r="F1055" t="e">
        <f>--outros</f>
        <v>#NAME?</v>
      </c>
      <c r="G1055">
        <v>1</v>
      </c>
      <c r="H1055">
        <v>1</v>
      </c>
      <c r="I1055">
        <f>1</f>
        <v>1</v>
      </c>
    </row>
    <row r="1056" spans="2:9" x14ac:dyDescent="0.25">
      <c r="B1056">
        <v>0</v>
      </c>
      <c r="C1056" s="16" t="s">
        <v>10388</v>
      </c>
      <c r="D1056" s="16"/>
      <c r="E1056">
        <v>6</v>
      </c>
      <c r="F1056" t="e">
        <f>-Lavagantes</f>
        <v>#NAME?</v>
      </c>
      <c r="G1056">
        <v>1</v>
      </c>
      <c r="H1056">
        <v>1</v>
      </c>
      <c r="I1056">
        <f>1</f>
        <v>1</v>
      </c>
    </row>
    <row r="1057" spans="2:9" x14ac:dyDescent="0.25">
      <c r="B1057">
        <v>0</v>
      </c>
      <c r="C1057" s="16" t="s">
        <v>10389</v>
      </c>
      <c r="D1057" s="16"/>
      <c r="E1057">
        <v>6</v>
      </c>
      <c r="F1057" t="e">
        <f>-outros crustáceos</f>
        <v>#NAME?</v>
      </c>
      <c r="G1057">
        <v>1</v>
      </c>
      <c r="H1057">
        <v>1</v>
      </c>
      <c r="I1057">
        <f>1</f>
        <v>1</v>
      </c>
    </row>
    <row r="1058" spans="2:9" x14ac:dyDescent="0.25">
      <c r="B1058">
        <v>0</v>
      </c>
      <c r="C1058" s="16" t="s">
        <v>10390</v>
      </c>
      <c r="D1058" s="16"/>
      <c r="E1058">
        <v>6</v>
      </c>
      <c r="F1058" t="e">
        <f>--Ostras</f>
        <v>#NAME?</v>
      </c>
      <c r="G1058">
        <v>1</v>
      </c>
      <c r="H1058">
        <v>1</v>
      </c>
      <c r="I1058">
        <f>1</f>
        <v>1</v>
      </c>
    </row>
    <row r="1059" spans="2:9" x14ac:dyDescent="0.25">
      <c r="B1059">
        <v>0</v>
      </c>
      <c r="C1059" s="16" t="s">
        <v>10391</v>
      </c>
      <c r="D1059" s="16"/>
      <c r="E1059">
        <v>6</v>
      </c>
      <c r="F1059" t="e">
        <f>--Vieiras e outros mariscos</f>
        <v>#NAME?</v>
      </c>
      <c r="G1059">
        <v>1</v>
      </c>
      <c r="H1059">
        <v>1</v>
      </c>
      <c r="I1059">
        <f>1</f>
        <v>1</v>
      </c>
    </row>
    <row r="1060" spans="2:9" x14ac:dyDescent="0.25">
      <c r="B1060">
        <v>0</v>
      </c>
      <c r="C1060" s="16" t="s">
        <v>10392</v>
      </c>
      <c r="D1060" s="16"/>
      <c r="E1060">
        <v>6</v>
      </c>
      <c r="F1060" t="e">
        <f>--Mexilhões</f>
        <v>#NAME?</v>
      </c>
      <c r="G1060">
        <v>1</v>
      </c>
      <c r="H1060">
        <v>1</v>
      </c>
      <c r="I1060">
        <f>1</f>
        <v>1</v>
      </c>
    </row>
    <row r="1061" spans="2:9" x14ac:dyDescent="0.25">
      <c r="B1061">
        <v>0</v>
      </c>
      <c r="C1061" s="16" t="s">
        <v>10393</v>
      </c>
      <c r="D1061" s="16"/>
      <c r="E1061">
        <v>6</v>
      </c>
      <c r="F1061" t="e">
        <f>--Sépias e lulas</f>
        <v>#NAME?</v>
      </c>
      <c r="G1061">
        <v>1</v>
      </c>
      <c r="H1061">
        <v>1</v>
      </c>
      <c r="I1061">
        <f>1</f>
        <v>1</v>
      </c>
    </row>
    <row r="1062" spans="2:9" x14ac:dyDescent="0.25">
      <c r="B1062">
        <v>0</v>
      </c>
      <c r="C1062" s="16" t="s">
        <v>10394</v>
      </c>
      <c r="D1062" s="16"/>
      <c r="E1062">
        <v>6</v>
      </c>
      <c r="F1062" t="e">
        <f>--Polvos</f>
        <v>#NAME?</v>
      </c>
      <c r="G1062">
        <v>1</v>
      </c>
      <c r="H1062">
        <v>1</v>
      </c>
      <c r="I1062">
        <f>1</f>
        <v>1</v>
      </c>
    </row>
    <row r="1063" spans="2:9" x14ac:dyDescent="0.25">
      <c r="B1063">
        <v>0</v>
      </c>
      <c r="C1063" s="16" t="s">
        <v>10395</v>
      </c>
      <c r="D1063" s="16"/>
      <c r="E1063">
        <v>6</v>
      </c>
      <c r="F1063" t="s">
        <v>4984</v>
      </c>
      <c r="G1063">
        <v>1</v>
      </c>
      <c r="H1063">
        <v>1</v>
      </c>
      <c r="I1063">
        <f>1</f>
        <v>1</v>
      </c>
    </row>
    <row r="1064" spans="2:9" x14ac:dyDescent="0.25">
      <c r="B1064">
        <v>0</v>
      </c>
      <c r="C1064" s="16" t="s">
        <v>10396</v>
      </c>
      <c r="D1064" s="16"/>
      <c r="E1064">
        <v>6</v>
      </c>
      <c r="F1064" t="e">
        <f>--Abalones</f>
        <v>#NAME?</v>
      </c>
      <c r="G1064">
        <v>1</v>
      </c>
      <c r="H1064">
        <v>1</v>
      </c>
      <c r="I1064">
        <f>1</f>
        <v>1</v>
      </c>
    </row>
    <row r="1065" spans="2:9" x14ac:dyDescent="0.25">
      <c r="B1065">
        <v>0</v>
      </c>
      <c r="C1065" s="16" t="s">
        <v>10397</v>
      </c>
      <c r="D1065" s="16"/>
      <c r="E1065">
        <v>6</v>
      </c>
      <c r="F1065" t="s">
        <v>4985</v>
      </c>
      <c r="G1065">
        <v>1</v>
      </c>
      <c r="H1065">
        <v>1</v>
      </c>
      <c r="I1065">
        <f>1</f>
        <v>1</v>
      </c>
    </row>
    <row r="1066" spans="2:9" x14ac:dyDescent="0.25">
      <c r="B1066">
        <v>0</v>
      </c>
      <c r="C1066" s="16" t="s">
        <v>10398</v>
      </c>
      <c r="D1066" s="16"/>
      <c r="E1066">
        <v>6</v>
      </c>
      <c r="F1066" t="e">
        <f>-outros</f>
        <v>#NAME?</v>
      </c>
      <c r="G1066">
        <v>1</v>
      </c>
      <c r="H1066">
        <v>1</v>
      </c>
      <c r="I1066">
        <f>1</f>
        <v>1</v>
      </c>
    </row>
    <row r="1067" spans="2:9" x14ac:dyDescent="0.25">
      <c r="B1067">
        <v>0</v>
      </c>
      <c r="C1067" s="16" t="s">
        <v>10399</v>
      </c>
      <c r="D1067" s="16"/>
      <c r="E1067">
        <v>6</v>
      </c>
      <c r="F1067" t="e">
        <f>--Pepinos-do-mar</f>
        <v>#NAME?</v>
      </c>
      <c r="G1067">
        <v>1</v>
      </c>
      <c r="H1067">
        <v>1</v>
      </c>
      <c r="I1067">
        <f>1</f>
        <v>1</v>
      </c>
    </row>
    <row r="1068" spans="2:9" x14ac:dyDescent="0.25">
      <c r="B1068">
        <v>0</v>
      </c>
      <c r="C1068" s="16" t="s">
        <v>10400</v>
      </c>
      <c r="D1068" s="16"/>
      <c r="E1068">
        <v>6</v>
      </c>
      <c r="F1068" t="e">
        <f>--Ouriços-do-mar</f>
        <v>#NAME?</v>
      </c>
      <c r="G1068">
        <v>1</v>
      </c>
      <c r="H1068">
        <v>1</v>
      </c>
      <c r="I1068">
        <f>1</f>
        <v>1</v>
      </c>
    </row>
    <row r="1069" spans="2:9" x14ac:dyDescent="0.25">
      <c r="B1069">
        <v>0</v>
      </c>
      <c r="C1069" s="16" t="s">
        <v>10401</v>
      </c>
      <c r="D1069" s="16"/>
      <c r="E1069">
        <v>6</v>
      </c>
      <c r="F1069" t="e">
        <f>--Medusas  águas-Vivas</f>
        <v>#NAME?</v>
      </c>
      <c r="G1069">
        <v>1</v>
      </c>
      <c r="H1069">
        <v>1</v>
      </c>
      <c r="I1069">
        <f>1</f>
        <v>1</v>
      </c>
    </row>
    <row r="1070" spans="2:9" x14ac:dyDescent="0.25">
      <c r="B1070">
        <v>0</v>
      </c>
      <c r="C1070" s="16" t="s">
        <v>10402</v>
      </c>
      <c r="D1070" s="16"/>
      <c r="E1070">
        <v>6</v>
      </c>
      <c r="F1070" t="e">
        <f>--outros</f>
        <v>#NAME?</v>
      </c>
      <c r="G1070">
        <v>1</v>
      </c>
      <c r="H1070">
        <v>1</v>
      </c>
      <c r="I1070">
        <f>1</f>
        <v>1</v>
      </c>
    </row>
    <row r="1071" spans="2:9" x14ac:dyDescent="0.25">
      <c r="B1071">
        <v>0</v>
      </c>
      <c r="C1071" s="16" t="s">
        <v>10403</v>
      </c>
      <c r="D1071" s="16"/>
      <c r="E1071">
        <v>6</v>
      </c>
      <c r="F1071" t="e">
        <f>--De beterraba</f>
        <v>#NAME?</v>
      </c>
      <c r="G1071">
        <v>1</v>
      </c>
      <c r="H1071">
        <v>1</v>
      </c>
      <c r="I1071">
        <f>1</f>
        <v>1</v>
      </c>
    </row>
    <row r="1072" spans="2:9" x14ac:dyDescent="0.25">
      <c r="B1072">
        <v>0</v>
      </c>
      <c r="C1072" s="16" t="s">
        <v>10404</v>
      </c>
      <c r="D1072" s="16"/>
      <c r="E1072">
        <v>6</v>
      </c>
      <c r="F1072" t="s">
        <v>4986</v>
      </c>
      <c r="G1072">
        <v>1</v>
      </c>
      <c r="H1072">
        <v>1</v>
      </c>
      <c r="I1072">
        <f>1</f>
        <v>1</v>
      </c>
    </row>
    <row r="1073" spans="2:9" x14ac:dyDescent="0.25">
      <c r="B1073">
        <v>0</v>
      </c>
      <c r="C1073" s="16" t="s">
        <v>10405</v>
      </c>
      <c r="D1073" s="16"/>
      <c r="E1073">
        <v>6</v>
      </c>
      <c r="F1073" t="e">
        <f>--outros açúcares De Cana</f>
        <v>#NAME?</v>
      </c>
      <c r="G1073">
        <v>1</v>
      </c>
      <c r="H1073">
        <v>1</v>
      </c>
      <c r="I1073">
        <f>1</f>
        <v>1</v>
      </c>
    </row>
    <row r="1074" spans="2:9" x14ac:dyDescent="0.25">
      <c r="B1074">
        <v>0</v>
      </c>
      <c r="C1074" s="16" t="s">
        <v>10406</v>
      </c>
      <c r="D1074" s="16"/>
      <c r="E1074">
        <v>6</v>
      </c>
      <c r="F1074" t="e">
        <f>--Adicionados De aromatizantes ou De corantes</f>
        <v>#NAME?</v>
      </c>
      <c r="G1074">
        <v>1</v>
      </c>
      <c r="H1074">
        <v>1</v>
      </c>
      <c r="I1074">
        <f>1</f>
        <v>1</v>
      </c>
    </row>
    <row r="1075" spans="2:9" x14ac:dyDescent="0.25">
      <c r="B1075">
        <v>0</v>
      </c>
      <c r="C1075" s="16" t="s">
        <v>10407</v>
      </c>
      <c r="D1075" s="16"/>
      <c r="E1075">
        <v>6</v>
      </c>
      <c r="F1075" t="e">
        <f>--outros</f>
        <v>#NAME?</v>
      </c>
      <c r="G1075">
        <v>1</v>
      </c>
      <c r="H1075">
        <v>1</v>
      </c>
      <c r="I1075">
        <f>1</f>
        <v>1</v>
      </c>
    </row>
    <row r="1076" spans="2:9" x14ac:dyDescent="0.25">
      <c r="B1076">
        <v>0</v>
      </c>
      <c r="C1076" s="16" t="s">
        <v>10407</v>
      </c>
      <c r="D1076" s="16" t="s">
        <v>19430</v>
      </c>
      <c r="E1076">
        <v>6</v>
      </c>
      <c r="F1076" t="s">
        <v>4987</v>
      </c>
      <c r="G1076">
        <v>1</v>
      </c>
      <c r="H1076">
        <v>1</v>
      </c>
      <c r="I1076">
        <f>1</f>
        <v>1</v>
      </c>
    </row>
    <row r="1077" spans="2:9" x14ac:dyDescent="0.25">
      <c r="B1077">
        <v>0</v>
      </c>
      <c r="C1077" s="16" t="s">
        <v>10408</v>
      </c>
      <c r="D1077" s="16"/>
      <c r="E1077">
        <v>6</v>
      </c>
      <c r="F1077" t="s">
        <v>4988</v>
      </c>
      <c r="G1077">
        <v>1</v>
      </c>
      <c r="H1077">
        <v>1</v>
      </c>
      <c r="I1077">
        <f>1</f>
        <v>1</v>
      </c>
    </row>
    <row r="1078" spans="2:9" x14ac:dyDescent="0.25">
      <c r="B1078">
        <v>0</v>
      </c>
      <c r="C1078" s="16" t="s">
        <v>10409</v>
      </c>
      <c r="D1078" s="16"/>
      <c r="E1078">
        <v>6</v>
      </c>
      <c r="F1078" t="e">
        <f>--outros</f>
        <v>#NAME?</v>
      </c>
      <c r="G1078">
        <v>1</v>
      </c>
      <c r="H1078">
        <v>1</v>
      </c>
      <c r="I1078">
        <f>1</f>
        <v>1</v>
      </c>
    </row>
    <row r="1079" spans="2:9" x14ac:dyDescent="0.25">
      <c r="B1079">
        <v>0</v>
      </c>
      <c r="C1079" s="16" t="s">
        <v>10410</v>
      </c>
      <c r="D1079" s="16"/>
      <c r="E1079">
        <v>6</v>
      </c>
      <c r="F1079" t="s">
        <v>4989</v>
      </c>
      <c r="G1079">
        <v>1</v>
      </c>
      <c r="H1079">
        <v>1</v>
      </c>
      <c r="I1079">
        <f>1</f>
        <v>1</v>
      </c>
    </row>
    <row r="1080" spans="2:9" x14ac:dyDescent="0.25">
      <c r="B1080">
        <v>0</v>
      </c>
      <c r="C1080" s="16" t="s">
        <v>10411</v>
      </c>
      <c r="D1080" s="16"/>
      <c r="E1080">
        <v>6</v>
      </c>
      <c r="F1080" t="s">
        <v>4990</v>
      </c>
      <c r="G1080">
        <v>1</v>
      </c>
      <c r="H1080">
        <v>1</v>
      </c>
      <c r="I1080">
        <f>1</f>
        <v>1</v>
      </c>
    </row>
    <row r="1081" spans="2:9" x14ac:dyDescent="0.25">
      <c r="B1081">
        <v>0</v>
      </c>
      <c r="C1081" s="16" t="s">
        <v>10412</v>
      </c>
      <c r="D1081" s="16"/>
      <c r="E1081">
        <v>6</v>
      </c>
      <c r="F1081" t="s">
        <v>4690</v>
      </c>
      <c r="G1081">
        <v>1</v>
      </c>
      <c r="H1081">
        <v>1</v>
      </c>
      <c r="I1081">
        <f>1</f>
        <v>1</v>
      </c>
    </row>
    <row r="1082" spans="2:9" x14ac:dyDescent="0.25">
      <c r="B1082">
        <v>0</v>
      </c>
      <c r="C1082" s="16" t="s">
        <v>10413</v>
      </c>
      <c r="D1082" s="16"/>
      <c r="E1082">
        <v>6</v>
      </c>
      <c r="F1082" t="s">
        <v>4991</v>
      </c>
      <c r="G1082">
        <v>1</v>
      </c>
      <c r="H1082">
        <v>1</v>
      </c>
      <c r="I1082">
        <f>1</f>
        <v>1</v>
      </c>
    </row>
    <row r="1083" spans="2:9" x14ac:dyDescent="0.25">
      <c r="B1083">
        <v>0</v>
      </c>
      <c r="C1083" s="16" t="s">
        <v>10414</v>
      </c>
      <c r="D1083" s="16"/>
      <c r="E1083">
        <v>6</v>
      </c>
      <c r="F1083" t="s">
        <v>4992</v>
      </c>
      <c r="G1083">
        <v>1</v>
      </c>
      <c r="H1083">
        <v>1</v>
      </c>
      <c r="I1083">
        <f>1</f>
        <v>1</v>
      </c>
    </row>
    <row r="1084" spans="2:9" x14ac:dyDescent="0.25">
      <c r="B1084">
        <v>0</v>
      </c>
      <c r="C1084" s="16" t="s">
        <v>10415</v>
      </c>
      <c r="D1084" s="16"/>
      <c r="E1084">
        <v>6</v>
      </c>
      <c r="F1084" t="s">
        <v>4991</v>
      </c>
      <c r="G1084">
        <v>1</v>
      </c>
      <c r="H1084">
        <v>1</v>
      </c>
      <c r="I1084">
        <f>1</f>
        <v>1</v>
      </c>
    </row>
    <row r="1085" spans="2:9" x14ac:dyDescent="0.25">
      <c r="B1085">
        <v>0</v>
      </c>
      <c r="C1085" s="16" t="s">
        <v>10416</v>
      </c>
      <c r="D1085" s="16"/>
      <c r="E1085">
        <v>6</v>
      </c>
      <c r="F1085" t="e">
        <f>-Frutose  levulose  quimicamente pura</f>
        <v>#NAME?</v>
      </c>
      <c r="G1085">
        <v>1</v>
      </c>
      <c r="H1085">
        <v>1</v>
      </c>
      <c r="I1085">
        <f>1</f>
        <v>1</v>
      </c>
    </row>
    <row r="1086" spans="2:9" x14ac:dyDescent="0.25">
      <c r="B1086">
        <v>0</v>
      </c>
      <c r="C1086" s="16" t="s">
        <v>10417</v>
      </c>
      <c r="D1086" s="16"/>
      <c r="E1086">
        <v>6</v>
      </c>
      <c r="F1086" t="s">
        <v>4993</v>
      </c>
      <c r="G1086">
        <v>1</v>
      </c>
      <c r="H1086">
        <v>1</v>
      </c>
      <c r="I1086">
        <f>1</f>
        <v>1</v>
      </c>
    </row>
    <row r="1087" spans="2:9" x14ac:dyDescent="0.25">
      <c r="B1087">
        <v>0</v>
      </c>
      <c r="C1087" s="16" t="s">
        <v>10418</v>
      </c>
      <c r="D1087" s="16"/>
      <c r="E1087">
        <v>6</v>
      </c>
      <c r="F1087" t="s">
        <v>4994</v>
      </c>
      <c r="G1087">
        <v>1</v>
      </c>
      <c r="H1087">
        <v>1</v>
      </c>
      <c r="I1087">
        <f>1</f>
        <v>1</v>
      </c>
    </row>
    <row r="1088" spans="2:9" x14ac:dyDescent="0.25">
      <c r="B1088">
        <v>0</v>
      </c>
      <c r="C1088" s="16" t="s">
        <v>10419</v>
      </c>
      <c r="D1088" s="16"/>
      <c r="E1088">
        <v>6</v>
      </c>
      <c r="F1088" t="s">
        <v>4995</v>
      </c>
      <c r="G1088">
        <v>1</v>
      </c>
      <c r="H1088">
        <v>1</v>
      </c>
      <c r="I1088">
        <f>1</f>
        <v>1</v>
      </c>
    </row>
    <row r="1089" spans="2:9" x14ac:dyDescent="0.25">
      <c r="B1089">
        <v>0</v>
      </c>
      <c r="C1089" s="16" t="s">
        <v>10420</v>
      </c>
      <c r="D1089" s="16"/>
      <c r="E1089">
        <v>6</v>
      </c>
      <c r="F1089" t="e">
        <f>-Melaços De Cana</f>
        <v>#NAME?</v>
      </c>
      <c r="G1089">
        <v>1</v>
      </c>
      <c r="H1089">
        <v>1</v>
      </c>
      <c r="I1089">
        <f>1</f>
        <v>1</v>
      </c>
    </row>
    <row r="1090" spans="2:9" x14ac:dyDescent="0.25">
      <c r="B1090">
        <v>0</v>
      </c>
      <c r="C1090" s="16" t="s">
        <v>10421</v>
      </c>
      <c r="D1090" s="16"/>
      <c r="E1090">
        <v>6</v>
      </c>
      <c r="F1090" t="e">
        <f>-outros</f>
        <v>#NAME?</v>
      </c>
      <c r="G1090">
        <v>1</v>
      </c>
      <c r="H1090">
        <v>1</v>
      </c>
      <c r="I1090">
        <f>1</f>
        <v>1</v>
      </c>
    </row>
    <row r="1091" spans="2:9" x14ac:dyDescent="0.25">
      <c r="B1091">
        <v>0</v>
      </c>
      <c r="C1091" s="16" t="s">
        <v>10422</v>
      </c>
      <c r="D1091" s="16"/>
      <c r="E1091">
        <v>6</v>
      </c>
      <c r="F1091" t="s">
        <v>4996</v>
      </c>
      <c r="G1091">
        <v>1</v>
      </c>
      <c r="H1091">
        <v>1</v>
      </c>
      <c r="I1091">
        <f>1</f>
        <v>1</v>
      </c>
    </row>
    <row r="1092" spans="2:9" x14ac:dyDescent="0.25">
      <c r="B1092">
        <v>0</v>
      </c>
      <c r="C1092" s="16" t="s">
        <v>10423</v>
      </c>
      <c r="D1092" s="16"/>
      <c r="E1092">
        <v>6</v>
      </c>
      <c r="F1092" t="s">
        <v>4997</v>
      </c>
      <c r="G1092">
        <v>1</v>
      </c>
      <c r="H1092">
        <v>1</v>
      </c>
      <c r="I1092">
        <f>1</f>
        <v>1</v>
      </c>
    </row>
    <row r="1093" spans="2:9" x14ac:dyDescent="0.25">
      <c r="B1093">
        <v>0</v>
      </c>
      <c r="C1093" s="16" t="s">
        <v>10424</v>
      </c>
      <c r="D1093" s="16"/>
      <c r="E1093">
        <v>6</v>
      </c>
      <c r="F1093" t="s">
        <v>4998</v>
      </c>
      <c r="G1093">
        <v>1</v>
      </c>
      <c r="H1093">
        <v>1</v>
      </c>
      <c r="I1093">
        <f>1</f>
        <v>1</v>
      </c>
    </row>
    <row r="1094" spans="2:9" x14ac:dyDescent="0.25">
      <c r="B1094">
        <v>0</v>
      </c>
      <c r="C1094" s="16" t="s">
        <v>10425</v>
      </c>
      <c r="D1094" s="16"/>
      <c r="E1094">
        <v>6</v>
      </c>
      <c r="F1094" t="s">
        <v>4680</v>
      </c>
      <c r="G1094">
        <v>1</v>
      </c>
      <c r="H1094">
        <v>1</v>
      </c>
      <c r="I1094">
        <f>1</f>
        <v>1</v>
      </c>
    </row>
    <row r="1095" spans="2:9" x14ac:dyDescent="0.25">
      <c r="B1095">
        <v>0</v>
      </c>
      <c r="C1095" s="16" t="s">
        <v>10426</v>
      </c>
      <c r="D1095" s="16"/>
      <c r="E1095">
        <v>6</v>
      </c>
      <c r="F1095" t="s">
        <v>4999</v>
      </c>
      <c r="G1095">
        <v>1</v>
      </c>
      <c r="H1095">
        <v>1</v>
      </c>
      <c r="I1095">
        <f>1</f>
        <v>1</v>
      </c>
    </row>
    <row r="1096" spans="2:9" x14ac:dyDescent="0.25">
      <c r="B1096">
        <v>0</v>
      </c>
      <c r="C1096" s="16" t="s">
        <v>10426</v>
      </c>
      <c r="D1096" s="16" t="s">
        <v>19430</v>
      </c>
      <c r="E1096">
        <v>6</v>
      </c>
      <c r="F1096" t="s">
        <v>5000</v>
      </c>
      <c r="G1096">
        <v>1</v>
      </c>
      <c r="H1096">
        <v>1</v>
      </c>
      <c r="I1096">
        <f>1</f>
        <v>1</v>
      </c>
    </row>
    <row r="1097" spans="2:9" x14ac:dyDescent="0.25">
      <c r="B1097">
        <v>0</v>
      </c>
      <c r="C1097" s="16" t="s">
        <v>10427</v>
      </c>
      <c r="D1097" s="16"/>
      <c r="E1097">
        <v>6</v>
      </c>
      <c r="F1097" t="s">
        <v>5001</v>
      </c>
      <c r="G1097">
        <v>1</v>
      </c>
      <c r="H1097">
        <v>1</v>
      </c>
      <c r="I1097">
        <f>1</f>
        <v>1</v>
      </c>
    </row>
    <row r="1098" spans="2:9" x14ac:dyDescent="0.25">
      <c r="B1098">
        <v>0</v>
      </c>
      <c r="C1098" s="16" t="s">
        <v>10428</v>
      </c>
      <c r="D1098" s="16"/>
      <c r="E1098">
        <v>6</v>
      </c>
      <c r="F1098" t="e">
        <f>-Não desengordurada</f>
        <v>#NAME?</v>
      </c>
      <c r="G1098">
        <v>1</v>
      </c>
      <c r="H1098">
        <v>1</v>
      </c>
      <c r="I1098">
        <f>1</f>
        <v>1</v>
      </c>
    </row>
    <row r="1099" spans="2:9" x14ac:dyDescent="0.25">
      <c r="B1099">
        <v>0</v>
      </c>
      <c r="C1099" s="16" t="s">
        <v>10429</v>
      </c>
      <c r="D1099" s="16"/>
      <c r="E1099">
        <v>6</v>
      </c>
      <c r="F1099" t="e">
        <f>-Total ou parcialmente desengordurada</f>
        <v>#NAME?</v>
      </c>
      <c r="G1099">
        <v>1</v>
      </c>
      <c r="H1099">
        <v>1</v>
      </c>
      <c r="I1099">
        <f>1</f>
        <v>1</v>
      </c>
    </row>
    <row r="1100" spans="2:9" x14ac:dyDescent="0.25">
      <c r="B1100">
        <v>0</v>
      </c>
      <c r="C1100" s="16" t="s">
        <v>10430</v>
      </c>
      <c r="D1100" s="16"/>
      <c r="E1100">
        <v>6</v>
      </c>
      <c r="F1100" t="s">
        <v>5002</v>
      </c>
      <c r="G1100">
        <v>1</v>
      </c>
      <c r="H1100">
        <v>1</v>
      </c>
      <c r="I1100">
        <f>1</f>
        <v>1</v>
      </c>
    </row>
    <row r="1101" spans="2:9" x14ac:dyDescent="0.25">
      <c r="B1101">
        <v>0</v>
      </c>
      <c r="C1101" s="16" t="s">
        <v>10431</v>
      </c>
      <c r="D1101" s="16"/>
      <c r="E1101">
        <v>6</v>
      </c>
      <c r="F1101" t="s">
        <v>5003</v>
      </c>
      <c r="G1101">
        <v>1</v>
      </c>
      <c r="H1101">
        <v>1</v>
      </c>
      <c r="I1101">
        <f>1</f>
        <v>1</v>
      </c>
    </row>
    <row r="1102" spans="2:9" x14ac:dyDescent="0.25">
      <c r="B1102">
        <v>0</v>
      </c>
      <c r="C1102" s="16" t="s">
        <v>10432</v>
      </c>
      <c r="D1102" s="16"/>
      <c r="E1102">
        <v>6</v>
      </c>
      <c r="F1102" t="s">
        <v>5004</v>
      </c>
      <c r="G1102">
        <v>1</v>
      </c>
      <c r="H1102">
        <v>1</v>
      </c>
      <c r="I1102">
        <f>1</f>
        <v>1</v>
      </c>
    </row>
    <row r="1103" spans="2:9" x14ac:dyDescent="0.25">
      <c r="B1103">
        <v>0</v>
      </c>
      <c r="C1103" s="16" t="s">
        <v>10433</v>
      </c>
      <c r="D1103" s="16"/>
      <c r="E1103">
        <v>6</v>
      </c>
      <c r="F1103" t="s">
        <v>5005</v>
      </c>
      <c r="G1103">
        <v>1</v>
      </c>
      <c r="H1103">
        <v>1</v>
      </c>
      <c r="I1103">
        <f>1</f>
        <v>1</v>
      </c>
    </row>
    <row r="1104" spans="2:9" x14ac:dyDescent="0.25">
      <c r="B1104">
        <v>0</v>
      </c>
      <c r="C1104" s="16" t="s">
        <v>10434</v>
      </c>
      <c r="D1104" s="16"/>
      <c r="E1104">
        <v>6</v>
      </c>
      <c r="F1104" t="s">
        <v>5006</v>
      </c>
      <c r="G1104">
        <v>1</v>
      </c>
      <c r="H1104">
        <v>1</v>
      </c>
      <c r="I1104">
        <f>1</f>
        <v>1</v>
      </c>
    </row>
    <row r="1105" spans="2:9" x14ac:dyDescent="0.25">
      <c r="B1105">
        <v>0</v>
      </c>
      <c r="C1105" s="16" t="s">
        <v>10435</v>
      </c>
      <c r="D1105" s="16"/>
      <c r="E1105">
        <v>6</v>
      </c>
      <c r="F1105" t="s">
        <v>5007</v>
      </c>
      <c r="G1105">
        <v>1</v>
      </c>
      <c r="H1105">
        <v>1</v>
      </c>
      <c r="I1105">
        <f>1</f>
        <v>1</v>
      </c>
    </row>
    <row r="1106" spans="2:9" x14ac:dyDescent="0.25">
      <c r="B1106">
        <v>0</v>
      </c>
      <c r="C1106" s="16" t="s">
        <v>10436</v>
      </c>
      <c r="D1106" s="16"/>
      <c r="E1106">
        <v>6</v>
      </c>
      <c r="F1106" t="s">
        <v>5006</v>
      </c>
      <c r="G1106">
        <v>1</v>
      </c>
      <c r="H1106">
        <v>1</v>
      </c>
      <c r="I1106">
        <f>1</f>
        <v>1</v>
      </c>
    </row>
    <row r="1107" spans="2:9" x14ac:dyDescent="0.25">
      <c r="B1107">
        <v>0</v>
      </c>
      <c r="C1107" s="16" t="s">
        <v>10437</v>
      </c>
      <c r="D1107" s="16"/>
      <c r="E1107">
        <v>6</v>
      </c>
      <c r="F1107" t="s">
        <v>5007</v>
      </c>
      <c r="G1107">
        <v>1</v>
      </c>
      <c r="H1107">
        <v>1</v>
      </c>
      <c r="I1107">
        <f>1</f>
        <v>1</v>
      </c>
    </row>
    <row r="1108" spans="2:9" x14ac:dyDescent="0.25">
      <c r="B1108">
        <v>0</v>
      </c>
      <c r="C1108" s="16" t="s">
        <v>10438</v>
      </c>
      <c r="D1108" s="16"/>
      <c r="E1108">
        <v>6</v>
      </c>
      <c r="F1108" t="e">
        <f>-outros</f>
        <v>#NAME?</v>
      </c>
      <c r="G1108">
        <v>1</v>
      </c>
      <c r="H1108">
        <v>1</v>
      </c>
      <c r="I1108">
        <f>1</f>
        <v>1</v>
      </c>
    </row>
    <row r="1109" spans="2:9" x14ac:dyDescent="0.25">
      <c r="B1109">
        <v>0</v>
      </c>
      <c r="C1109" s="16" t="s">
        <v>10438</v>
      </c>
      <c r="D1109" s="16" t="s">
        <v>19430</v>
      </c>
      <c r="E1109">
        <v>6</v>
      </c>
      <c r="F1109" t="s">
        <v>5008</v>
      </c>
      <c r="G1109">
        <v>1</v>
      </c>
      <c r="H1109">
        <v>1</v>
      </c>
      <c r="I1109">
        <f>1</f>
        <v>1</v>
      </c>
    </row>
    <row r="1110" spans="2:9" x14ac:dyDescent="0.25">
      <c r="B1110">
        <v>0</v>
      </c>
      <c r="C1110" s="16" t="s">
        <v>10439</v>
      </c>
      <c r="D1110" s="16"/>
      <c r="E1110">
        <v>6</v>
      </c>
      <c r="F1110" t="s">
        <v>5009</v>
      </c>
      <c r="G1110">
        <v>1</v>
      </c>
      <c r="H1110">
        <v>1</v>
      </c>
      <c r="I1110">
        <f>1</f>
        <v>1</v>
      </c>
    </row>
    <row r="1111" spans="2:9" x14ac:dyDescent="0.25">
      <c r="B1111">
        <v>0</v>
      </c>
      <c r="C1111" s="16" t="s">
        <v>10440</v>
      </c>
      <c r="D1111" s="16"/>
      <c r="E1111">
        <v>6</v>
      </c>
      <c r="F1111" t="s">
        <v>5010</v>
      </c>
      <c r="G1111">
        <v>1</v>
      </c>
      <c r="H1111">
        <v>1</v>
      </c>
      <c r="I1111">
        <f>1</f>
        <v>1</v>
      </c>
    </row>
    <row r="1112" spans="2:9" x14ac:dyDescent="0.25">
      <c r="B1112">
        <v>0</v>
      </c>
      <c r="C1112" s="16" t="s">
        <v>10441</v>
      </c>
      <c r="D1112" s="16"/>
      <c r="E1112">
        <v>6</v>
      </c>
      <c r="F1112" t="s">
        <v>5011</v>
      </c>
      <c r="G1112">
        <v>1</v>
      </c>
      <c r="H1112">
        <v>1</v>
      </c>
      <c r="I1112">
        <f>1</f>
        <v>1</v>
      </c>
    </row>
    <row r="1113" spans="2:9" x14ac:dyDescent="0.25">
      <c r="B1113">
        <v>0</v>
      </c>
      <c r="C1113" s="16" t="s">
        <v>10442</v>
      </c>
      <c r="D1113" s="16"/>
      <c r="E1113">
        <v>6</v>
      </c>
      <c r="F1113" t="s">
        <v>4690</v>
      </c>
      <c r="G1113">
        <v>1</v>
      </c>
      <c r="H1113">
        <v>1</v>
      </c>
      <c r="I1113">
        <f>1</f>
        <v>1</v>
      </c>
    </row>
    <row r="1114" spans="2:9" x14ac:dyDescent="0.25">
      <c r="B1114">
        <v>0</v>
      </c>
      <c r="C1114" s="16" t="s">
        <v>10443</v>
      </c>
      <c r="D1114" s="16"/>
      <c r="E1114">
        <v>6</v>
      </c>
      <c r="F1114" t="s">
        <v>5012</v>
      </c>
      <c r="G1114">
        <v>1</v>
      </c>
      <c r="H1114">
        <v>1</v>
      </c>
      <c r="I1114">
        <f>1</f>
        <v>1</v>
      </c>
    </row>
    <row r="1115" spans="2:9" x14ac:dyDescent="0.25">
      <c r="B1115">
        <v>0</v>
      </c>
      <c r="C1115" s="16" t="s">
        <v>10443</v>
      </c>
      <c r="D1115" s="16" t="s">
        <v>19430</v>
      </c>
      <c r="E1115">
        <v>6</v>
      </c>
      <c r="F1115" t="s">
        <v>5013</v>
      </c>
      <c r="G1115">
        <v>1</v>
      </c>
      <c r="H1115">
        <v>1</v>
      </c>
      <c r="I1115">
        <f>1</f>
        <v>1</v>
      </c>
    </row>
    <row r="1116" spans="2:9" x14ac:dyDescent="0.25">
      <c r="B1116">
        <v>0</v>
      </c>
      <c r="C1116" s="16" t="s">
        <v>10444</v>
      </c>
      <c r="D1116" s="16"/>
      <c r="E1116">
        <v>6</v>
      </c>
      <c r="F1116" t="s">
        <v>5014</v>
      </c>
      <c r="G1116">
        <v>1</v>
      </c>
      <c r="H1116">
        <v>1</v>
      </c>
      <c r="I1116">
        <f>1</f>
        <v>1</v>
      </c>
    </row>
    <row r="1117" spans="2:9" x14ac:dyDescent="0.25">
      <c r="B1117">
        <v>0</v>
      </c>
      <c r="C1117" s="16" t="s">
        <v>10445</v>
      </c>
      <c r="D1117" s="16"/>
      <c r="E1117">
        <v>6</v>
      </c>
      <c r="F1117" t="s">
        <v>5015</v>
      </c>
      <c r="G1117">
        <v>1</v>
      </c>
      <c r="H1117">
        <v>1</v>
      </c>
      <c r="I1117">
        <f>1</f>
        <v>1</v>
      </c>
    </row>
    <row r="1118" spans="2:9" x14ac:dyDescent="0.25">
      <c r="B1118">
        <v>0</v>
      </c>
      <c r="C1118" s="16" t="s">
        <v>10446</v>
      </c>
      <c r="D1118" s="16"/>
      <c r="E1118">
        <v>6</v>
      </c>
      <c r="F1118" t="s">
        <v>4680</v>
      </c>
      <c r="G1118">
        <v>1</v>
      </c>
      <c r="H1118">
        <v>1</v>
      </c>
      <c r="I1118">
        <f>1</f>
        <v>1</v>
      </c>
    </row>
    <row r="1119" spans="2:9" x14ac:dyDescent="0.25">
      <c r="B1119">
        <v>0</v>
      </c>
      <c r="C1119" s="16" t="s">
        <v>10447</v>
      </c>
      <c r="D1119" s="16"/>
      <c r="E1119">
        <v>6</v>
      </c>
      <c r="F1119" t="e">
        <f>--que contenham ovos</f>
        <v>#NAME?</v>
      </c>
      <c r="G1119">
        <v>1</v>
      </c>
      <c r="H1119">
        <v>1</v>
      </c>
      <c r="I1119">
        <f>1</f>
        <v>1</v>
      </c>
    </row>
    <row r="1120" spans="2:9" x14ac:dyDescent="0.25">
      <c r="B1120">
        <v>0</v>
      </c>
      <c r="C1120" s="16" t="s">
        <v>10448</v>
      </c>
      <c r="D1120" s="16"/>
      <c r="E1120">
        <v>6</v>
      </c>
      <c r="F1120" t="e">
        <f>--Outras</f>
        <v>#NAME?</v>
      </c>
      <c r="G1120">
        <v>1</v>
      </c>
      <c r="H1120">
        <v>1</v>
      </c>
      <c r="I1120">
        <f>1</f>
        <v>1</v>
      </c>
    </row>
    <row r="1121" spans="2:9" x14ac:dyDescent="0.25">
      <c r="B1121">
        <v>0</v>
      </c>
      <c r="C1121" s="16" t="s">
        <v>10449</v>
      </c>
      <c r="D1121" s="16"/>
      <c r="E1121">
        <v>6</v>
      </c>
      <c r="F1121" t="e">
        <f>-Massas alimentícias recheadas  mesmo cozidas ou preparadas De outro modo</f>
        <v>#NAME?</v>
      </c>
      <c r="G1121">
        <v>1</v>
      </c>
      <c r="H1121">
        <v>1</v>
      </c>
      <c r="I1121">
        <f>1</f>
        <v>1</v>
      </c>
    </row>
    <row r="1122" spans="2:9" x14ac:dyDescent="0.25">
      <c r="B1122">
        <v>0</v>
      </c>
      <c r="C1122" s="16" t="s">
        <v>10450</v>
      </c>
      <c r="D1122" s="16"/>
      <c r="E1122">
        <v>6</v>
      </c>
      <c r="F1122" t="e">
        <f>-Outras Massas alimentícias</f>
        <v>#NAME?</v>
      </c>
      <c r="G1122">
        <v>1</v>
      </c>
      <c r="H1122">
        <v>1</v>
      </c>
      <c r="I1122">
        <f>1</f>
        <v>1</v>
      </c>
    </row>
    <row r="1123" spans="2:9" x14ac:dyDescent="0.25">
      <c r="B1123">
        <v>0</v>
      </c>
      <c r="C1123" s="16" t="s">
        <v>10451</v>
      </c>
      <c r="D1123" s="16"/>
      <c r="E1123">
        <v>6</v>
      </c>
      <c r="F1123" t="e">
        <f>-Cuscuz</f>
        <v>#NAME?</v>
      </c>
      <c r="G1123">
        <v>1</v>
      </c>
      <c r="H1123">
        <v>1</v>
      </c>
      <c r="I1123">
        <f>1</f>
        <v>1</v>
      </c>
    </row>
    <row r="1124" spans="2:9" x14ac:dyDescent="0.25">
      <c r="B1124">
        <v>0</v>
      </c>
      <c r="C1124" s="16" t="s">
        <v>10452</v>
      </c>
      <c r="D1124" s="16"/>
      <c r="E1124">
        <v>6</v>
      </c>
      <c r="F1124" t="s">
        <v>5016</v>
      </c>
      <c r="G1124">
        <v>1</v>
      </c>
      <c r="H1124">
        <v>1</v>
      </c>
      <c r="I1124">
        <f>1</f>
        <v>1</v>
      </c>
    </row>
    <row r="1125" spans="2:9" x14ac:dyDescent="0.25">
      <c r="B1125">
        <v>0</v>
      </c>
      <c r="C1125" s="16" t="s">
        <v>10453</v>
      </c>
      <c r="D1125" s="16"/>
      <c r="E1125">
        <v>6</v>
      </c>
      <c r="F1125" t="s">
        <v>5017</v>
      </c>
      <c r="G1125">
        <v>1</v>
      </c>
      <c r="H1125">
        <v>1</v>
      </c>
      <c r="I1125">
        <f>1</f>
        <v>1</v>
      </c>
    </row>
    <row r="1126" spans="2:9" x14ac:dyDescent="0.25">
      <c r="B1126">
        <v>0</v>
      </c>
      <c r="C1126" s="16" t="s">
        <v>10454</v>
      </c>
      <c r="D1126" s="16"/>
      <c r="E1126">
        <v>6</v>
      </c>
      <c r="F1126" t="e">
        <f>-Preparações alimentícias obtidas a partir De Flocos De cereais Não torrados ou De Misturas De Flocos De cereais Não torrados Com Flocos De cereais torrados ou expandidos</f>
        <v>#NAME?</v>
      </c>
      <c r="G1126">
        <v>1</v>
      </c>
      <c r="H1126">
        <v>1</v>
      </c>
      <c r="I1126">
        <f>1</f>
        <v>1</v>
      </c>
    </row>
    <row r="1127" spans="2:9" x14ac:dyDescent="0.25">
      <c r="B1127">
        <v>0</v>
      </c>
      <c r="C1127" s="16" t="s">
        <v>10455</v>
      </c>
      <c r="D1127" s="16"/>
      <c r="E1127">
        <v>6</v>
      </c>
      <c r="F1127" t="e">
        <f>-trigo bulgur</f>
        <v>#NAME?</v>
      </c>
      <c r="G1127">
        <v>1</v>
      </c>
      <c r="H1127">
        <v>1</v>
      </c>
      <c r="I1127">
        <f>1</f>
        <v>1</v>
      </c>
    </row>
    <row r="1128" spans="2:9" x14ac:dyDescent="0.25">
      <c r="B1128">
        <v>0</v>
      </c>
      <c r="C1128" s="16" t="s">
        <v>10456</v>
      </c>
      <c r="D1128" s="16"/>
      <c r="E1128">
        <v>6</v>
      </c>
      <c r="F1128" t="e">
        <f>-outros</f>
        <v>#NAME?</v>
      </c>
      <c r="G1128">
        <v>1</v>
      </c>
      <c r="H1128">
        <v>1</v>
      </c>
      <c r="I1128">
        <f>1</f>
        <v>1</v>
      </c>
    </row>
    <row r="1129" spans="2:9" x14ac:dyDescent="0.25">
      <c r="B1129">
        <v>0</v>
      </c>
      <c r="C1129" s="16" t="s">
        <v>10457</v>
      </c>
      <c r="D1129" s="16"/>
      <c r="E1129">
        <v>6</v>
      </c>
      <c r="F1129" t="e">
        <f>-Pão denominado knäckebrot</f>
        <v>#NAME?</v>
      </c>
      <c r="G1129">
        <v>1</v>
      </c>
      <c r="H1129">
        <v>1</v>
      </c>
      <c r="I1129">
        <f>1</f>
        <v>1</v>
      </c>
    </row>
    <row r="1130" spans="2:9" x14ac:dyDescent="0.25">
      <c r="B1130">
        <v>0</v>
      </c>
      <c r="C1130" s="16" t="s">
        <v>10458</v>
      </c>
      <c r="D1130" s="16"/>
      <c r="E1130">
        <v>6</v>
      </c>
      <c r="F1130" t="s">
        <v>5018</v>
      </c>
      <c r="G1130">
        <v>1</v>
      </c>
      <c r="H1130">
        <v>1</v>
      </c>
      <c r="I1130">
        <f>1</f>
        <v>1</v>
      </c>
    </row>
    <row r="1131" spans="2:9" x14ac:dyDescent="0.25">
      <c r="B1131">
        <v>0</v>
      </c>
      <c r="C1131" s="16" t="s">
        <v>10459</v>
      </c>
      <c r="D1131" s="16"/>
      <c r="E1131">
        <v>6</v>
      </c>
      <c r="F1131" t="s">
        <v>4680</v>
      </c>
      <c r="G1131">
        <v>1</v>
      </c>
      <c r="H1131">
        <v>1</v>
      </c>
      <c r="I1131">
        <f>1</f>
        <v>1</v>
      </c>
    </row>
    <row r="1132" spans="2:9" x14ac:dyDescent="0.25">
      <c r="B1132">
        <v>0</v>
      </c>
      <c r="C1132" s="16" t="s">
        <v>10460</v>
      </c>
      <c r="D1132" s="16"/>
      <c r="E1132">
        <v>6</v>
      </c>
      <c r="F1132" t="s">
        <v>5019</v>
      </c>
      <c r="G1132">
        <v>1</v>
      </c>
      <c r="H1132">
        <v>1</v>
      </c>
      <c r="I1132">
        <f>1</f>
        <v>1</v>
      </c>
    </row>
    <row r="1133" spans="2:9" x14ac:dyDescent="0.25">
      <c r="B1133">
        <v>0</v>
      </c>
      <c r="C1133" s="16" t="s">
        <v>10461</v>
      </c>
      <c r="D1133" s="16"/>
      <c r="E1133">
        <v>6</v>
      </c>
      <c r="F1133" t="e">
        <f>--Waffles e wafers</f>
        <v>#NAME?</v>
      </c>
      <c r="G1133">
        <v>1</v>
      </c>
      <c r="H1133">
        <v>1</v>
      </c>
      <c r="I1133">
        <f>1</f>
        <v>1</v>
      </c>
    </row>
    <row r="1134" spans="2:9" x14ac:dyDescent="0.25">
      <c r="B1134">
        <v>0</v>
      </c>
      <c r="C1134" s="16" t="s">
        <v>10462</v>
      </c>
      <c r="D1134" s="16"/>
      <c r="E1134">
        <v>6</v>
      </c>
      <c r="F1134" t="s">
        <v>5020</v>
      </c>
      <c r="G1134">
        <v>1</v>
      </c>
      <c r="H1134">
        <v>1</v>
      </c>
      <c r="I1134">
        <f>1</f>
        <v>1</v>
      </c>
    </row>
    <row r="1135" spans="2:9" x14ac:dyDescent="0.25">
      <c r="B1135">
        <v>0</v>
      </c>
      <c r="C1135" s="16" t="s">
        <v>10463</v>
      </c>
      <c r="D1135" s="16"/>
      <c r="E1135">
        <v>6</v>
      </c>
      <c r="F1135" t="s">
        <v>5021</v>
      </c>
      <c r="G1135">
        <v>1</v>
      </c>
      <c r="H1135">
        <v>1</v>
      </c>
      <c r="I1135">
        <f>1</f>
        <v>1</v>
      </c>
    </row>
    <row r="1136" spans="2:9" x14ac:dyDescent="0.25">
      <c r="B1136">
        <v>0</v>
      </c>
      <c r="C1136" s="16" t="s">
        <v>10464</v>
      </c>
      <c r="D1136" s="16"/>
      <c r="E1136">
        <v>6</v>
      </c>
      <c r="F1136" t="s">
        <v>5022</v>
      </c>
      <c r="G1136">
        <v>1</v>
      </c>
      <c r="H1136">
        <v>1</v>
      </c>
      <c r="I1136">
        <f>1</f>
        <v>1</v>
      </c>
    </row>
    <row r="1137" spans="2:9" x14ac:dyDescent="0.25">
      <c r="B1137">
        <v>0</v>
      </c>
      <c r="C1137" s="16" t="s">
        <v>10465</v>
      </c>
      <c r="D1137" s="16"/>
      <c r="E1137">
        <v>6</v>
      </c>
      <c r="F1137" t="s">
        <v>4680</v>
      </c>
      <c r="G1137">
        <v>1</v>
      </c>
      <c r="H1137">
        <v>1</v>
      </c>
      <c r="I1137">
        <f>1</f>
        <v>1</v>
      </c>
    </row>
    <row r="1138" spans="2:9" x14ac:dyDescent="0.25">
      <c r="B1138">
        <v>0</v>
      </c>
      <c r="C1138" s="16" t="s">
        <v>10465</v>
      </c>
      <c r="D1138" s="16" t="s">
        <v>19430</v>
      </c>
      <c r="E1138">
        <v>6</v>
      </c>
      <c r="F1138" t="s">
        <v>5023</v>
      </c>
      <c r="G1138">
        <v>1</v>
      </c>
      <c r="H1138">
        <v>1</v>
      </c>
      <c r="I1138">
        <f>1</f>
        <v>1</v>
      </c>
    </row>
    <row r="1139" spans="2:9" x14ac:dyDescent="0.25">
      <c r="B1139">
        <v>0</v>
      </c>
      <c r="C1139" s="16" t="s">
        <v>10466</v>
      </c>
      <c r="D1139" s="16"/>
      <c r="E1139">
        <v>6</v>
      </c>
      <c r="F1139" t="e">
        <f>-Pepinos e pepininhos  cornichons</f>
        <v>#NAME?</v>
      </c>
      <c r="G1139">
        <v>1</v>
      </c>
      <c r="H1139">
        <v>1</v>
      </c>
      <c r="I1139">
        <f>1</f>
        <v>1</v>
      </c>
    </row>
    <row r="1140" spans="2:9" x14ac:dyDescent="0.25">
      <c r="B1140">
        <v>0</v>
      </c>
      <c r="C1140" s="16" t="s">
        <v>10467</v>
      </c>
      <c r="D1140" s="16"/>
      <c r="E1140">
        <v>6</v>
      </c>
      <c r="F1140" t="e">
        <f>-outros</f>
        <v>#NAME?</v>
      </c>
      <c r="G1140">
        <v>1</v>
      </c>
      <c r="H1140">
        <v>1</v>
      </c>
      <c r="I1140">
        <f>1</f>
        <v>1</v>
      </c>
    </row>
    <row r="1141" spans="2:9" x14ac:dyDescent="0.25">
      <c r="B1141">
        <v>0</v>
      </c>
      <c r="C1141" s="16" t="s">
        <v>10468</v>
      </c>
      <c r="D1141" s="16"/>
      <c r="E1141">
        <v>6</v>
      </c>
      <c r="F1141" t="e">
        <f>-Tomates inteiros ou em pedaços</f>
        <v>#NAME?</v>
      </c>
      <c r="G1141">
        <v>1</v>
      </c>
      <c r="H1141">
        <v>1</v>
      </c>
      <c r="I1141">
        <f>1</f>
        <v>1</v>
      </c>
    </row>
    <row r="1142" spans="2:9" x14ac:dyDescent="0.25">
      <c r="B1142">
        <v>0</v>
      </c>
      <c r="C1142" s="16" t="s">
        <v>10468</v>
      </c>
      <c r="D1142" s="16" t="s">
        <v>19430</v>
      </c>
      <c r="E1142">
        <v>6</v>
      </c>
      <c r="F1142" t="s">
        <v>5024</v>
      </c>
      <c r="G1142">
        <v>1</v>
      </c>
      <c r="H1142">
        <v>1</v>
      </c>
      <c r="I1142">
        <f>1</f>
        <v>1</v>
      </c>
    </row>
    <row r="1143" spans="2:9" x14ac:dyDescent="0.25">
      <c r="B1143">
        <v>0</v>
      </c>
      <c r="C1143" s="16" t="s">
        <v>10469</v>
      </c>
      <c r="D1143" s="16"/>
      <c r="E1143">
        <v>6</v>
      </c>
      <c r="F1143" t="s">
        <v>5025</v>
      </c>
      <c r="G1143">
        <v>1</v>
      </c>
      <c r="H1143">
        <v>1</v>
      </c>
      <c r="I1143">
        <f>1</f>
        <v>1</v>
      </c>
    </row>
    <row r="1144" spans="2:9" x14ac:dyDescent="0.25">
      <c r="B1144">
        <v>0</v>
      </c>
      <c r="C1144" s="16" t="s">
        <v>10470</v>
      </c>
      <c r="D1144" s="16"/>
      <c r="E1144">
        <v>6</v>
      </c>
      <c r="F1144" t="s">
        <v>4680</v>
      </c>
      <c r="G1144">
        <v>1</v>
      </c>
      <c r="H1144">
        <v>1</v>
      </c>
      <c r="I1144">
        <f>1</f>
        <v>1</v>
      </c>
    </row>
    <row r="1145" spans="2:9" x14ac:dyDescent="0.25">
      <c r="B1145">
        <v>0</v>
      </c>
      <c r="C1145" s="16" t="s">
        <v>10470</v>
      </c>
      <c r="D1145" s="16" t="s">
        <v>19430</v>
      </c>
      <c r="E1145">
        <v>6</v>
      </c>
      <c r="F1145" t="s">
        <v>5024</v>
      </c>
      <c r="G1145">
        <v>1</v>
      </c>
      <c r="H1145">
        <v>1</v>
      </c>
      <c r="I1145">
        <f>1</f>
        <v>1</v>
      </c>
    </row>
    <row r="1146" spans="2:9" x14ac:dyDescent="0.25">
      <c r="B1146">
        <v>0</v>
      </c>
      <c r="C1146" s="16" t="s">
        <v>10471</v>
      </c>
      <c r="D1146" s="16"/>
      <c r="E1146">
        <v>6</v>
      </c>
      <c r="F1146" t="e">
        <f>-Cogumelos do gênero Agaricus</f>
        <v>#NAME?</v>
      </c>
      <c r="G1146">
        <v>1</v>
      </c>
      <c r="H1146">
        <v>1</v>
      </c>
      <c r="I1146">
        <f>1</f>
        <v>1</v>
      </c>
    </row>
    <row r="1147" spans="2:9" x14ac:dyDescent="0.25">
      <c r="B1147">
        <v>0</v>
      </c>
      <c r="C1147" s="16" t="s">
        <v>10471</v>
      </c>
      <c r="D1147" s="16" t="s">
        <v>19430</v>
      </c>
      <c r="E1147">
        <v>6</v>
      </c>
      <c r="F1147" t="s">
        <v>5024</v>
      </c>
      <c r="G1147">
        <v>1</v>
      </c>
      <c r="H1147">
        <v>1</v>
      </c>
      <c r="I1147">
        <f>1</f>
        <v>1</v>
      </c>
    </row>
    <row r="1148" spans="2:9" x14ac:dyDescent="0.25">
      <c r="B1148">
        <v>0</v>
      </c>
      <c r="C1148" s="16" t="s">
        <v>10472</v>
      </c>
      <c r="D1148" s="16"/>
      <c r="E1148">
        <v>6</v>
      </c>
      <c r="F1148" t="e">
        <f>-outros</f>
        <v>#NAME?</v>
      </c>
      <c r="G1148">
        <v>1</v>
      </c>
      <c r="H1148">
        <v>1</v>
      </c>
      <c r="I1148">
        <f>1</f>
        <v>1</v>
      </c>
    </row>
    <row r="1149" spans="2:9" x14ac:dyDescent="0.25">
      <c r="B1149">
        <v>0</v>
      </c>
      <c r="C1149" s="16" t="s">
        <v>10472</v>
      </c>
      <c r="D1149" s="16" t="s">
        <v>19430</v>
      </c>
      <c r="E1149">
        <v>6</v>
      </c>
      <c r="F1149" t="s">
        <v>5024</v>
      </c>
      <c r="G1149">
        <v>1</v>
      </c>
      <c r="H1149">
        <v>1</v>
      </c>
      <c r="I1149">
        <f>1</f>
        <v>1</v>
      </c>
    </row>
    <row r="1150" spans="2:9" x14ac:dyDescent="0.25">
      <c r="B1150">
        <v>0</v>
      </c>
      <c r="C1150" s="16" t="s">
        <v>10472</v>
      </c>
      <c r="D1150" s="16" t="s">
        <v>19431</v>
      </c>
      <c r="E1150">
        <v>6</v>
      </c>
      <c r="F1150" t="s">
        <v>5026</v>
      </c>
      <c r="G1150">
        <v>1</v>
      </c>
      <c r="H1150">
        <v>1</v>
      </c>
      <c r="I1150">
        <f>1</f>
        <v>1</v>
      </c>
    </row>
    <row r="1151" spans="2:9" x14ac:dyDescent="0.25">
      <c r="B1151">
        <v>0</v>
      </c>
      <c r="C1151" s="16" t="s">
        <v>10472</v>
      </c>
      <c r="D1151" s="16" t="s">
        <v>19432</v>
      </c>
      <c r="E1151">
        <v>6</v>
      </c>
      <c r="F1151" t="s">
        <v>5027</v>
      </c>
      <c r="G1151">
        <v>1</v>
      </c>
      <c r="H1151">
        <v>1</v>
      </c>
      <c r="I1151">
        <f>1</f>
        <v>1</v>
      </c>
    </row>
    <row r="1152" spans="2:9" x14ac:dyDescent="0.25">
      <c r="B1152">
        <v>0</v>
      </c>
      <c r="C1152" s="16" t="s">
        <v>10473</v>
      </c>
      <c r="D1152" s="16"/>
      <c r="E1152">
        <v>6</v>
      </c>
      <c r="F1152" t="e">
        <f>-Batatas</f>
        <v>#NAME?</v>
      </c>
      <c r="G1152">
        <v>1</v>
      </c>
      <c r="H1152">
        <v>1</v>
      </c>
      <c r="I1152">
        <f>1</f>
        <v>1</v>
      </c>
    </row>
    <row r="1153" spans="2:9" x14ac:dyDescent="0.25">
      <c r="B1153">
        <v>0</v>
      </c>
      <c r="C1153" s="16" t="s">
        <v>10473</v>
      </c>
      <c r="D1153" s="16" t="s">
        <v>19430</v>
      </c>
      <c r="E1153">
        <v>6</v>
      </c>
      <c r="F1153" t="s">
        <v>5028</v>
      </c>
      <c r="G1153">
        <v>1</v>
      </c>
      <c r="H1153">
        <v>1</v>
      </c>
      <c r="I1153">
        <f>1</f>
        <v>1</v>
      </c>
    </row>
    <row r="1154" spans="2:9" x14ac:dyDescent="0.25">
      <c r="B1154">
        <v>0</v>
      </c>
      <c r="C1154" s="16" t="s">
        <v>10474</v>
      </c>
      <c r="D1154" s="16"/>
      <c r="E1154">
        <v>6</v>
      </c>
      <c r="F1154" t="e">
        <f>-outros produtos hortícolas e Misturas De produtos hortícolas</f>
        <v>#NAME?</v>
      </c>
      <c r="G1154">
        <v>1</v>
      </c>
      <c r="H1154">
        <v>1</v>
      </c>
      <c r="I1154">
        <f>1</f>
        <v>1</v>
      </c>
    </row>
    <row r="1155" spans="2:9" x14ac:dyDescent="0.25">
      <c r="B1155">
        <v>0</v>
      </c>
      <c r="C1155" s="16" t="s">
        <v>10474</v>
      </c>
      <c r="D1155" s="16" t="s">
        <v>19430</v>
      </c>
      <c r="E1155">
        <v>6</v>
      </c>
      <c r="F1155" t="s">
        <v>5029</v>
      </c>
      <c r="G1155">
        <v>1</v>
      </c>
      <c r="H1155">
        <v>1</v>
      </c>
      <c r="I1155">
        <f>1</f>
        <v>1</v>
      </c>
    </row>
    <row r="1156" spans="2:9" x14ac:dyDescent="0.25">
      <c r="B1156">
        <v>0</v>
      </c>
      <c r="C1156" s="16" t="s">
        <v>10475</v>
      </c>
      <c r="D1156" s="16"/>
      <c r="E1156">
        <v>6</v>
      </c>
      <c r="F1156" t="e">
        <f>-produtos hortícolas homogeneizados</f>
        <v>#NAME?</v>
      </c>
      <c r="G1156">
        <v>1</v>
      </c>
      <c r="H1156">
        <v>1</v>
      </c>
      <c r="I1156">
        <f>1</f>
        <v>1</v>
      </c>
    </row>
    <row r="1157" spans="2:9" x14ac:dyDescent="0.25">
      <c r="B1157">
        <v>0</v>
      </c>
      <c r="C1157" s="16" t="s">
        <v>10476</v>
      </c>
      <c r="D1157" s="16"/>
      <c r="E1157">
        <v>6</v>
      </c>
      <c r="F1157" t="e">
        <f>-Batatas</f>
        <v>#NAME?</v>
      </c>
      <c r="G1157">
        <v>1</v>
      </c>
      <c r="H1157">
        <v>1</v>
      </c>
      <c r="I1157">
        <f>1</f>
        <v>1</v>
      </c>
    </row>
    <row r="1158" spans="2:9" x14ac:dyDescent="0.25">
      <c r="B1158">
        <v>0</v>
      </c>
      <c r="C1158" s="16" t="s">
        <v>10477</v>
      </c>
      <c r="D1158" s="16"/>
      <c r="E1158">
        <v>6</v>
      </c>
      <c r="F1158" t="e">
        <f>-Ervilhas  Pisum sativum</f>
        <v>#NAME?</v>
      </c>
      <c r="G1158">
        <v>1</v>
      </c>
      <c r="H1158">
        <v>1</v>
      </c>
      <c r="I1158">
        <f>1</f>
        <v>1</v>
      </c>
    </row>
    <row r="1159" spans="2:9" x14ac:dyDescent="0.25">
      <c r="B1159">
        <v>0</v>
      </c>
      <c r="C1159" s="16" t="s">
        <v>10478</v>
      </c>
      <c r="D1159" s="16"/>
      <c r="E1159">
        <v>6</v>
      </c>
      <c r="F1159" t="e">
        <f>--Feijões em grãos</f>
        <v>#NAME?</v>
      </c>
      <c r="G1159">
        <v>1</v>
      </c>
      <c r="H1159">
        <v>1</v>
      </c>
      <c r="I1159">
        <f>1</f>
        <v>1</v>
      </c>
    </row>
    <row r="1160" spans="2:9" x14ac:dyDescent="0.25">
      <c r="B1160">
        <v>0</v>
      </c>
      <c r="C1160" s="16" t="s">
        <v>10479</v>
      </c>
      <c r="D1160" s="16"/>
      <c r="E1160">
        <v>6</v>
      </c>
      <c r="F1160" t="e">
        <f>--outros</f>
        <v>#NAME?</v>
      </c>
      <c r="G1160">
        <v>1</v>
      </c>
      <c r="H1160">
        <v>1</v>
      </c>
      <c r="I1160">
        <f>1</f>
        <v>1</v>
      </c>
    </row>
    <row r="1161" spans="2:9" x14ac:dyDescent="0.25">
      <c r="B1161">
        <v>0</v>
      </c>
      <c r="C1161" s="16" t="s">
        <v>10480</v>
      </c>
      <c r="D1161" s="16"/>
      <c r="E1161">
        <v>6</v>
      </c>
      <c r="F1161" t="e">
        <f>-Aspargos</f>
        <v>#NAME?</v>
      </c>
      <c r="G1161">
        <v>1</v>
      </c>
      <c r="H1161">
        <v>1</v>
      </c>
      <c r="I1161">
        <f>1</f>
        <v>1</v>
      </c>
    </row>
    <row r="1162" spans="2:9" x14ac:dyDescent="0.25">
      <c r="B1162">
        <v>0</v>
      </c>
      <c r="C1162" s="16" t="s">
        <v>10481</v>
      </c>
      <c r="D1162" s="16"/>
      <c r="E1162">
        <v>6</v>
      </c>
      <c r="F1162" t="e">
        <f>-Azeitonas</f>
        <v>#NAME?</v>
      </c>
      <c r="G1162">
        <v>1</v>
      </c>
      <c r="H1162">
        <v>1</v>
      </c>
      <c r="I1162">
        <f>1</f>
        <v>1</v>
      </c>
    </row>
    <row r="1163" spans="2:9" x14ac:dyDescent="0.25">
      <c r="B1163">
        <v>0</v>
      </c>
      <c r="C1163" s="16" t="s">
        <v>10482</v>
      </c>
      <c r="D1163" s="16"/>
      <c r="E1163">
        <v>6</v>
      </c>
      <c r="F1163" t="e">
        <f>-Milho doce  Zea mays var. saccharata</f>
        <v>#NAME?</v>
      </c>
      <c r="G1163">
        <v>1</v>
      </c>
      <c r="H1163">
        <v>1</v>
      </c>
      <c r="I1163">
        <f>1</f>
        <v>1</v>
      </c>
    </row>
    <row r="1164" spans="2:9" x14ac:dyDescent="0.25">
      <c r="B1164">
        <v>0</v>
      </c>
      <c r="C1164" s="16" t="s">
        <v>10483</v>
      </c>
      <c r="D1164" s="16"/>
      <c r="E1164">
        <v>6</v>
      </c>
      <c r="F1164" t="e">
        <f>--Brotos De bambu</f>
        <v>#NAME?</v>
      </c>
      <c r="G1164">
        <v>1</v>
      </c>
      <c r="H1164">
        <v>1</v>
      </c>
      <c r="I1164">
        <f>1</f>
        <v>1</v>
      </c>
    </row>
    <row r="1165" spans="2:9" x14ac:dyDescent="0.25">
      <c r="B1165">
        <v>0</v>
      </c>
      <c r="C1165" s="16" t="s">
        <v>10484</v>
      </c>
      <c r="D1165" s="16"/>
      <c r="E1165">
        <v>6</v>
      </c>
      <c r="F1165" t="e">
        <f>--outros</f>
        <v>#NAME?</v>
      </c>
      <c r="G1165">
        <v>1</v>
      </c>
      <c r="H1165">
        <v>1</v>
      </c>
      <c r="I1165">
        <f>1</f>
        <v>1</v>
      </c>
    </row>
    <row r="1166" spans="2:9" x14ac:dyDescent="0.25">
      <c r="B1166">
        <v>0</v>
      </c>
      <c r="C1166" s="16" t="s">
        <v>10485</v>
      </c>
      <c r="D1166" s="16"/>
      <c r="E1166">
        <v>6</v>
      </c>
      <c r="F1166" t="s">
        <v>5030</v>
      </c>
      <c r="G1166">
        <v>1</v>
      </c>
      <c r="H1166">
        <v>1</v>
      </c>
      <c r="I1166">
        <f>1</f>
        <v>1</v>
      </c>
    </row>
    <row r="1167" spans="2:9" x14ac:dyDescent="0.25">
      <c r="B1167">
        <v>0</v>
      </c>
      <c r="C1167" s="16" t="s">
        <v>10486</v>
      </c>
      <c r="D1167" s="16"/>
      <c r="E1167">
        <v>6</v>
      </c>
      <c r="F1167" t="e">
        <f>-Preparações homogeneizadas</f>
        <v>#NAME?</v>
      </c>
      <c r="G1167">
        <v>1</v>
      </c>
      <c r="H1167">
        <v>1</v>
      </c>
      <c r="I1167">
        <f>1</f>
        <v>1</v>
      </c>
    </row>
    <row r="1168" spans="2:9" x14ac:dyDescent="0.25">
      <c r="B1168">
        <v>0</v>
      </c>
      <c r="C1168" s="16" t="s">
        <v>10487</v>
      </c>
      <c r="D1168" s="16"/>
      <c r="E1168">
        <v>6</v>
      </c>
      <c r="F1168" t="e">
        <f>--De frutos cítricos</f>
        <v>#NAME?</v>
      </c>
      <c r="G1168">
        <v>1</v>
      </c>
      <c r="H1168">
        <v>1</v>
      </c>
      <c r="I1168">
        <f>1</f>
        <v>1</v>
      </c>
    </row>
    <row r="1169" spans="2:9" x14ac:dyDescent="0.25">
      <c r="B1169">
        <v>0</v>
      </c>
      <c r="C1169" s="16" t="s">
        <v>10488</v>
      </c>
      <c r="D1169" s="16"/>
      <c r="E1169">
        <v>6</v>
      </c>
      <c r="F1169" t="s">
        <v>5031</v>
      </c>
      <c r="G1169">
        <v>1</v>
      </c>
      <c r="H1169">
        <v>1</v>
      </c>
      <c r="I1169">
        <f>1</f>
        <v>1</v>
      </c>
    </row>
    <row r="1170" spans="2:9" x14ac:dyDescent="0.25">
      <c r="B1170">
        <v>0</v>
      </c>
      <c r="C1170" s="16" t="s">
        <v>10489</v>
      </c>
      <c r="D1170" s="16"/>
      <c r="E1170">
        <v>6</v>
      </c>
      <c r="F1170" t="s">
        <v>4680</v>
      </c>
      <c r="G1170">
        <v>1</v>
      </c>
      <c r="H1170">
        <v>1</v>
      </c>
      <c r="I1170">
        <f>1</f>
        <v>1</v>
      </c>
    </row>
    <row r="1171" spans="2:9" x14ac:dyDescent="0.25">
      <c r="B1171">
        <v>0</v>
      </c>
      <c r="C1171" s="16" t="s">
        <v>10490</v>
      </c>
      <c r="D1171" s="16"/>
      <c r="E1171">
        <v>6</v>
      </c>
      <c r="F1171" t="e">
        <f>--Amendoins</f>
        <v>#NAME?</v>
      </c>
      <c r="G1171">
        <v>1</v>
      </c>
      <c r="H1171">
        <v>1</v>
      </c>
      <c r="I1171">
        <f>1</f>
        <v>1</v>
      </c>
    </row>
    <row r="1172" spans="2:9" x14ac:dyDescent="0.25">
      <c r="B1172">
        <v>0</v>
      </c>
      <c r="C1172" s="16" t="s">
        <v>10491</v>
      </c>
      <c r="D1172" s="16"/>
      <c r="E1172">
        <v>6</v>
      </c>
      <c r="F1172" t="s">
        <v>5032</v>
      </c>
      <c r="G1172">
        <v>1</v>
      </c>
      <c r="H1172">
        <v>1</v>
      </c>
      <c r="I1172">
        <f>1</f>
        <v>1</v>
      </c>
    </row>
    <row r="1173" spans="2:9" x14ac:dyDescent="0.25">
      <c r="B1173">
        <v>0</v>
      </c>
      <c r="C1173" s="16" t="s">
        <v>10491</v>
      </c>
      <c r="D1173" s="16" t="s">
        <v>19430</v>
      </c>
      <c r="E1173">
        <v>6</v>
      </c>
      <c r="F1173" t="s">
        <v>5033</v>
      </c>
      <c r="G1173">
        <v>1</v>
      </c>
      <c r="H1173">
        <v>1</v>
      </c>
      <c r="I1173">
        <f>1</f>
        <v>1</v>
      </c>
    </row>
    <row r="1174" spans="2:9" x14ac:dyDescent="0.25">
      <c r="B1174">
        <v>0</v>
      </c>
      <c r="C1174" s="16" t="s">
        <v>10492</v>
      </c>
      <c r="D1174" s="16"/>
      <c r="E1174">
        <v>6</v>
      </c>
      <c r="F1174" t="s">
        <v>5034</v>
      </c>
      <c r="G1174">
        <v>1</v>
      </c>
      <c r="H1174">
        <v>1</v>
      </c>
      <c r="I1174">
        <f>1</f>
        <v>1</v>
      </c>
    </row>
    <row r="1175" spans="2:9" x14ac:dyDescent="0.25">
      <c r="B1175">
        <v>0</v>
      </c>
      <c r="C1175" s="16" t="s">
        <v>10493</v>
      </c>
      <c r="D1175" s="16"/>
      <c r="E1175">
        <v>6</v>
      </c>
      <c r="F1175" t="s">
        <v>4680</v>
      </c>
      <c r="G1175">
        <v>1</v>
      </c>
      <c r="H1175">
        <v>1</v>
      </c>
      <c r="I1175">
        <f>1</f>
        <v>1</v>
      </c>
    </row>
    <row r="1176" spans="2:9" x14ac:dyDescent="0.25">
      <c r="B1176">
        <v>0</v>
      </c>
      <c r="C1176" s="16" t="s">
        <v>10493</v>
      </c>
      <c r="D1176" s="16" t="s">
        <v>19430</v>
      </c>
      <c r="E1176">
        <v>6</v>
      </c>
      <c r="F1176" t="s">
        <v>5035</v>
      </c>
      <c r="G1176">
        <v>1</v>
      </c>
      <c r="H1176">
        <v>1</v>
      </c>
      <c r="I1176">
        <f>1</f>
        <v>1</v>
      </c>
    </row>
    <row r="1177" spans="2:9" x14ac:dyDescent="0.25">
      <c r="B1177">
        <v>0</v>
      </c>
      <c r="C1177" s="16" t="s">
        <v>10494</v>
      </c>
      <c r="D1177" s="16"/>
      <c r="E1177">
        <v>6</v>
      </c>
      <c r="F1177" t="e">
        <f>-frutos cítricos</f>
        <v>#NAME?</v>
      </c>
      <c r="G1177">
        <v>1</v>
      </c>
      <c r="H1177">
        <v>1</v>
      </c>
      <c r="I1177">
        <f>1</f>
        <v>1</v>
      </c>
    </row>
    <row r="1178" spans="2:9" x14ac:dyDescent="0.25">
      <c r="B1178">
        <v>0</v>
      </c>
      <c r="C1178" s="16" t="s">
        <v>10494</v>
      </c>
      <c r="D1178" s="16" t="s">
        <v>19430</v>
      </c>
      <c r="E1178">
        <v>6</v>
      </c>
      <c r="F1178" t="s">
        <v>5035</v>
      </c>
      <c r="G1178">
        <v>1</v>
      </c>
      <c r="H1178">
        <v>1</v>
      </c>
      <c r="I1178">
        <f>1</f>
        <v>1</v>
      </c>
    </row>
    <row r="1179" spans="2:9" x14ac:dyDescent="0.25">
      <c r="B1179">
        <v>0</v>
      </c>
      <c r="C1179" s="16" t="s">
        <v>10495</v>
      </c>
      <c r="D1179" s="16"/>
      <c r="E1179">
        <v>6</v>
      </c>
      <c r="F1179" t="s">
        <v>5034</v>
      </c>
      <c r="G1179">
        <v>1</v>
      </c>
      <c r="H1179">
        <v>1</v>
      </c>
      <c r="I1179">
        <f>1</f>
        <v>1</v>
      </c>
    </row>
    <row r="1180" spans="2:9" x14ac:dyDescent="0.25">
      <c r="B1180">
        <v>0</v>
      </c>
      <c r="C1180" s="16" t="s">
        <v>10496</v>
      </c>
      <c r="D1180" s="16"/>
      <c r="E1180">
        <v>6</v>
      </c>
      <c r="F1180" t="s">
        <v>4690</v>
      </c>
      <c r="G1180">
        <v>1</v>
      </c>
      <c r="H1180">
        <v>1</v>
      </c>
      <c r="I1180">
        <f>1</f>
        <v>1</v>
      </c>
    </row>
    <row r="1181" spans="2:9" x14ac:dyDescent="0.25">
      <c r="B1181">
        <v>0</v>
      </c>
      <c r="C1181" s="16" t="s">
        <v>10496</v>
      </c>
      <c r="D1181" s="16" t="s">
        <v>19430</v>
      </c>
      <c r="E1181">
        <v>6</v>
      </c>
      <c r="F1181" t="s">
        <v>5036</v>
      </c>
      <c r="G1181">
        <v>1</v>
      </c>
      <c r="H1181">
        <v>1</v>
      </c>
      <c r="I1181">
        <f>1</f>
        <v>1</v>
      </c>
    </row>
    <row r="1182" spans="2:9" x14ac:dyDescent="0.25">
      <c r="B1182">
        <v>0</v>
      </c>
      <c r="C1182" s="16" t="s">
        <v>10497</v>
      </c>
      <c r="D1182" s="16"/>
      <c r="E1182">
        <v>6</v>
      </c>
      <c r="F1182" t="e">
        <f>-Damascos</f>
        <v>#NAME?</v>
      </c>
      <c r="G1182">
        <v>1</v>
      </c>
      <c r="H1182">
        <v>1</v>
      </c>
      <c r="I1182">
        <f>1</f>
        <v>1</v>
      </c>
    </row>
    <row r="1183" spans="2:9" x14ac:dyDescent="0.25">
      <c r="B1183">
        <v>0</v>
      </c>
      <c r="C1183" s="16" t="s">
        <v>10497</v>
      </c>
      <c r="D1183" s="16" t="s">
        <v>19430</v>
      </c>
      <c r="E1183">
        <v>6</v>
      </c>
      <c r="F1183" t="s">
        <v>5035</v>
      </c>
      <c r="G1183">
        <v>1</v>
      </c>
      <c r="H1183">
        <v>1</v>
      </c>
      <c r="I1183">
        <f>1</f>
        <v>1</v>
      </c>
    </row>
    <row r="1184" spans="2:9" x14ac:dyDescent="0.25">
      <c r="B1184">
        <v>0</v>
      </c>
      <c r="C1184" s="16" t="s">
        <v>10498</v>
      </c>
      <c r="D1184" s="16"/>
      <c r="E1184">
        <v>6</v>
      </c>
      <c r="F1184" t="s">
        <v>5034</v>
      </c>
      <c r="G1184">
        <v>1</v>
      </c>
      <c r="H1184">
        <v>1</v>
      </c>
      <c r="I1184">
        <f>1</f>
        <v>1</v>
      </c>
    </row>
    <row r="1185" spans="2:9" x14ac:dyDescent="0.25">
      <c r="B1185">
        <v>0</v>
      </c>
      <c r="C1185" s="16" t="s">
        <v>10499</v>
      </c>
      <c r="D1185" s="16"/>
      <c r="E1185">
        <v>6</v>
      </c>
      <c r="F1185" t="s">
        <v>4690</v>
      </c>
      <c r="G1185">
        <v>1</v>
      </c>
      <c r="H1185">
        <v>1</v>
      </c>
      <c r="I1185">
        <f>1</f>
        <v>1</v>
      </c>
    </row>
    <row r="1186" spans="2:9" x14ac:dyDescent="0.25">
      <c r="B1186">
        <v>0</v>
      </c>
      <c r="C1186" s="16" t="s">
        <v>10499</v>
      </c>
      <c r="D1186" s="16" t="s">
        <v>19430</v>
      </c>
      <c r="E1186">
        <v>6</v>
      </c>
      <c r="F1186" t="s">
        <v>5036</v>
      </c>
      <c r="G1186">
        <v>1</v>
      </c>
      <c r="H1186">
        <v>1</v>
      </c>
      <c r="I1186">
        <f>1</f>
        <v>1</v>
      </c>
    </row>
    <row r="1187" spans="2:9" x14ac:dyDescent="0.25">
      <c r="B1187">
        <v>0</v>
      </c>
      <c r="C1187" s="16" t="s">
        <v>10500</v>
      </c>
      <c r="D1187" s="16"/>
      <c r="E1187">
        <v>6</v>
      </c>
      <c r="F1187" t="s">
        <v>5034</v>
      </c>
      <c r="G1187">
        <v>1</v>
      </c>
      <c r="H1187">
        <v>1</v>
      </c>
      <c r="I1187">
        <f>1</f>
        <v>1</v>
      </c>
    </row>
    <row r="1188" spans="2:9" x14ac:dyDescent="0.25">
      <c r="B1188">
        <v>0</v>
      </c>
      <c r="C1188" s="16" t="s">
        <v>10501</v>
      </c>
      <c r="D1188" s="16"/>
      <c r="E1188">
        <v>6</v>
      </c>
      <c r="F1188" t="s">
        <v>5037</v>
      </c>
      <c r="G1188">
        <v>1</v>
      </c>
      <c r="H1188">
        <v>1</v>
      </c>
      <c r="I1188">
        <f>1</f>
        <v>1</v>
      </c>
    </row>
    <row r="1189" spans="2:9" x14ac:dyDescent="0.25">
      <c r="B1189">
        <v>0</v>
      </c>
      <c r="C1189" s="16" t="s">
        <v>10502</v>
      </c>
      <c r="D1189" s="16"/>
      <c r="E1189">
        <v>6</v>
      </c>
      <c r="F1189" t="s">
        <v>4680</v>
      </c>
      <c r="G1189">
        <v>1</v>
      </c>
      <c r="H1189">
        <v>1</v>
      </c>
      <c r="I1189">
        <f>1</f>
        <v>1</v>
      </c>
    </row>
    <row r="1190" spans="2:9" x14ac:dyDescent="0.25">
      <c r="B1190">
        <v>0</v>
      </c>
      <c r="C1190" s="16" t="s">
        <v>10502</v>
      </c>
      <c r="D1190" s="16" t="s">
        <v>19430</v>
      </c>
      <c r="E1190">
        <v>6</v>
      </c>
      <c r="F1190" t="s">
        <v>5035</v>
      </c>
      <c r="G1190">
        <v>1</v>
      </c>
      <c r="H1190">
        <v>1</v>
      </c>
      <c r="I1190">
        <f>1</f>
        <v>1</v>
      </c>
    </row>
    <row r="1191" spans="2:9" x14ac:dyDescent="0.25">
      <c r="B1191">
        <v>0</v>
      </c>
      <c r="C1191" s="16" t="s">
        <v>10503</v>
      </c>
      <c r="D1191" s="16"/>
      <c r="E1191">
        <v>6</v>
      </c>
      <c r="F1191" t="e">
        <f>-Morangos</f>
        <v>#NAME?</v>
      </c>
      <c r="G1191">
        <v>1</v>
      </c>
      <c r="H1191">
        <v>1</v>
      </c>
      <c r="I1191">
        <f>1</f>
        <v>1</v>
      </c>
    </row>
    <row r="1192" spans="2:9" x14ac:dyDescent="0.25">
      <c r="B1192">
        <v>0</v>
      </c>
      <c r="C1192" s="16" t="s">
        <v>10503</v>
      </c>
      <c r="D1192" s="16" t="s">
        <v>19430</v>
      </c>
      <c r="E1192">
        <v>6</v>
      </c>
      <c r="F1192" t="s">
        <v>5035</v>
      </c>
      <c r="G1192">
        <v>1</v>
      </c>
      <c r="H1192">
        <v>1</v>
      </c>
      <c r="I1192">
        <f>1</f>
        <v>1</v>
      </c>
    </row>
    <row r="1193" spans="2:9" x14ac:dyDescent="0.25">
      <c r="B1193">
        <v>0</v>
      </c>
      <c r="C1193" s="16" t="s">
        <v>10504</v>
      </c>
      <c r="D1193" s="16"/>
      <c r="E1193">
        <v>6</v>
      </c>
      <c r="F1193" t="e">
        <f>--Palmitos</f>
        <v>#NAME?</v>
      </c>
      <c r="G1193">
        <v>1</v>
      </c>
      <c r="H1193">
        <v>1</v>
      </c>
      <c r="I1193">
        <f>1</f>
        <v>1</v>
      </c>
    </row>
    <row r="1194" spans="2:9" x14ac:dyDescent="0.25">
      <c r="B1194">
        <v>0</v>
      </c>
      <c r="C1194" s="16" t="s">
        <v>10505</v>
      </c>
      <c r="D1194" s="16"/>
      <c r="E1194">
        <v>6</v>
      </c>
      <c r="F1194" t="s">
        <v>5038</v>
      </c>
      <c r="G1194">
        <v>1</v>
      </c>
      <c r="H1194">
        <v>1</v>
      </c>
      <c r="I1194">
        <f>1</f>
        <v>1</v>
      </c>
    </row>
    <row r="1195" spans="2:9" x14ac:dyDescent="0.25">
      <c r="B1195">
        <v>0</v>
      </c>
      <c r="C1195" s="16" t="s">
        <v>10505</v>
      </c>
      <c r="D1195" s="16" t="s">
        <v>19430</v>
      </c>
      <c r="E1195">
        <v>6</v>
      </c>
      <c r="F1195" t="s">
        <v>5036</v>
      </c>
      <c r="G1195">
        <v>1</v>
      </c>
      <c r="H1195">
        <v>1</v>
      </c>
      <c r="I1195">
        <f>1</f>
        <v>1</v>
      </c>
    </row>
    <row r="1196" spans="2:9" x14ac:dyDescent="0.25">
      <c r="B1196">
        <v>0</v>
      </c>
      <c r="C1196" s="16" t="s">
        <v>10506</v>
      </c>
      <c r="D1196" s="16"/>
      <c r="E1196">
        <v>6</v>
      </c>
      <c r="F1196" t="s">
        <v>5034</v>
      </c>
      <c r="G1196">
        <v>1</v>
      </c>
      <c r="H1196">
        <v>1</v>
      </c>
      <c r="I1196">
        <f>1</f>
        <v>1</v>
      </c>
    </row>
    <row r="1197" spans="2:9" x14ac:dyDescent="0.25">
      <c r="B1197">
        <v>0</v>
      </c>
      <c r="C1197" s="16" t="s">
        <v>10507</v>
      </c>
      <c r="D1197" s="16"/>
      <c r="E1197">
        <v>6</v>
      </c>
      <c r="F1197" t="s">
        <v>4690</v>
      </c>
      <c r="G1197">
        <v>1</v>
      </c>
      <c r="H1197">
        <v>1</v>
      </c>
      <c r="I1197">
        <f>1</f>
        <v>1</v>
      </c>
    </row>
    <row r="1198" spans="2:9" x14ac:dyDescent="0.25">
      <c r="B1198">
        <v>0</v>
      </c>
      <c r="C1198" s="16" t="s">
        <v>10507</v>
      </c>
      <c r="D1198" s="16" t="s">
        <v>19430</v>
      </c>
      <c r="E1198">
        <v>6</v>
      </c>
      <c r="F1198" t="s">
        <v>5036</v>
      </c>
      <c r="G1198">
        <v>1</v>
      </c>
      <c r="H1198">
        <v>1</v>
      </c>
      <c r="I1198">
        <f>1</f>
        <v>1</v>
      </c>
    </row>
    <row r="1199" spans="2:9" x14ac:dyDescent="0.25">
      <c r="B1199">
        <v>0</v>
      </c>
      <c r="C1199" s="16" t="s">
        <v>10508</v>
      </c>
      <c r="D1199" s="16"/>
      <c r="E1199">
        <v>6</v>
      </c>
      <c r="F1199" t="e">
        <f>--Outras</f>
        <v>#NAME?</v>
      </c>
      <c r="G1199">
        <v>1</v>
      </c>
      <c r="H1199">
        <v>1</v>
      </c>
      <c r="I1199">
        <f>1</f>
        <v>1</v>
      </c>
    </row>
    <row r="1200" spans="2:9" x14ac:dyDescent="0.25">
      <c r="B1200">
        <v>0</v>
      </c>
      <c r="C1200" s="16" t="s">
        <v>10508</v>
      </c>
      <c r="D1200" s="16" t="s">
        <v>19430</v>
      </c>
      <c r="E1200">
        <v>6</v>
      </c>
      <c r="F1200" t="s">
        <v>5036</v>
      </c>
      <c r="G1200">
        <v>1</v>
      </c>
      <c r="H1200">
        <v>1</v>
      </c>
      <c r="I1200">
        <f>1</f>
        <v>1</v>
      </c>
    </row>
    <row r="1201" spans="2:9" x14ac:dyDescent="0.25">
      <c r="B1201">
        <v>0</v>
      </c>
      <c r="C1201" s="16" t="s">
        <v>10509</v>
      </c>
      <c r="D1201" s="16"/>
      <c r="E1201">
        <v>6</v>
      </c>
      <c r="F1201" t="e">
        <f>--Congelado</f>
        <v>#NAME?</v>
      </c>
      <c r="G1201">
        <v>1</v>
      </c>
      <c r="H1201">
        <v>1</v>
      </c>
      <c r="I1201">
        <f>1</f>
        <v>1</v>
      </c>
    </row>
    <row r="1202" spans="2:9" x14ac:dyDescent="0.25">
      <c r="B1202">
        <v>0</v>
      </c>
      <c r="C1202" s="16" t="s">
        <v>10510</v>
      </c>
      <c r="D1202" s="16"/>
      <c r="E1202">
        <v>6</v>
      </c>
      <c r="F1202" t="s">
        <v>5039</v>
      </c>
      <c r="G1202">
        <v>1</v>
      </c>
      <c r="H1202">
        <v>1</v>
      </c>
      <c r="I1202">
        <f>1</f>
        <v>1</v>
      </c>
    </row>
    <row r="1203" spans="2:9" x14ac:dyDescent="0.25">
      <c r="B1203">
        <v>0</v>
      </c>
      <c r="C1203" s="16" t="s">
        <v>10511</v>
      </c>
      <c r="D1203" s="16"/>
      <c r="E1203">
        <v>6</v>
      </c>
      <c r="F1203" t="e">
        <f>--outros</f>
        <v>#NAME?</v>
      </c>
      <c r="G1203">
        <v>1</v>
      </c>
      <c r="H1203">
        <v>1</v>
      </c>
      <c r="I1203">
        <f>1</f>
        <v>1</v>
      </c>
    </row>
    <row r="1204" spans="2:9" x14ac:dyDescent="0.25">
      <c r="B1204">
        <v>0</v>
      </c>
      <c r="C1204" s="16" t="s">
        <v>10512</v>
      </c>
      <c r="D1204" s="16"/>
      <c r="E1204">
        <v>6</v>
      </c>
      <c r="F1204" t="s">
        <v>5040</v>
      </c>
      <c r="G1204">
        <v>1</v>
      </c>
      <c r="H1204">
        <v>1</v>
      </c>
      <c r="I1204">
        <f>1</f>
        <v>1</v>
      </c>
    </row>
    <row r="1205" spans="2:9" x14ac:dyDescent="0.25">
      <c r="B1205">
        <v>0</v>
      </c>
      <c r="C1205" s="16" t="s">
        <v>10513</v>
      </c>
      <c r="D1205" s="16"/>
      <c r="E1205">
        <v>6</v>
      </c>
      <c r="F1205" t="e">
        <f>--outros</f>
        <v>#NAME?</v>
      </c>
      <c r="G1205">
        <v>1</v>
      </c>
      <c r="H1205">
        <v>1</v>
      </c>
      <c r="I1205">
        <f>1</f>
        <v>1</v>
      </c>
    </row>
    <row r="1206" spans="2:9" x14ac:dyDescent="0.25">
      <c r="B1206">
        <v>0</v>
      </c>
      <c r="C1206" s="16" t="s">
        <v>10514</v>
      </c>
      <c r="D1206" s="16"/>
      <c r="E1206">
        <v>6</v>
      </c>
      <c r="F1206" t="s">
        <v>5040</v>
      </c>
      <c r="G1206">
        <v>1</v>
      </c>
      <c r="H1206">
        <v>1</v>
      </c>
      <c r="I1206">
        <f>1</f>
        <v>1</v>
      </c>
    </row>
    <row r="1207" spans="2:9" x14ac:dyDescent="0.25">
      <c r="B1207">
        <v>0</v>
      </c>
      <c r="C1207" s="16" t="s">
        <v>10515</v>
      </c>
      <c r="D1207" s="16"/>
      <c r="E1207">
        <v>6</v>
      </c>
      <c r="F1207" t="e">
        <f>--outros</f>
        <v>#NAME?</v>
      </c>
      <c r="G1207">
        <v>1</v>
      </c>
      <c r="H1207">
        <v>1</v>
      </c>
      <c r="I1207">
        <f>1</f>
        <v>1</v>
      </c>
    </row>
    <row r="1208" spans="2:9" x14ac:dyDescent="0.25">
      <c r="B1208">
        <v>0</v>
      </c>
      <c r="C1208" s="16" t="s">
        <v>10516</v>
      </c>
      <c r="D1208" s="16"/>
      <c r="E1208">
        <v>6</v>
      </c>
      <c r="F1208" t="s">
        <v>5040</v>
      </c>
      <c r="G1208">
        <v>1</v>
      </c>
      <c r="H1208">
        <v>1</v>
      </c>
      <c r="I1208">
        <f>1</f>
        <v>1</v>
      </c>
    </row>
    <row r="1209" spans="2:9" x14ac:dyDescent="0.25">
      <c r="B1209">
        <v>0</v>
      </c>
      <c r="C1209" s="16" t="s">
        <v>10517</v>
      </c>
      <c r="D1209" s="16"/>
      <c r="E1209">
        <v>6</v>
      </c>
      <c r="F1209" t="e">
        <f>--outros</f>
        <v>#NAME?</v>
      </c>
      <c r="G1209">
        <v>1</v>
      </c>
      <c r="H1209">
        <v>1</v>
      </c>
      <c r="I1209">
        <f>1</f>
        <v>1</v>
      </c>
    </row>
    <row r="1210" spans="2:9" x14ac:dyDescent="0.25">
      <c r="B1210">
        <v>0</v>
      </c>
      <c r="C1210" s="16" t="s">
        <v>10518</v>
      </c>
      <c r="D1210" s="16"/>
      <c r="E1210">
        <v>6</v>
      </c>
      <c r="F1210" t="e">
        <f>-Suco  sumo  De tomate</f>
        <v>#NAME?</v>
      </c>
      <c r="G1210">
        <v>1</v>
      </c>
      <c r="H1210">
        <v>1</v>
      </c>
      <c r="I1210">
        <f>1</f>
        <v>1</v>
      </c>
    </row>
    <row r="1211" spans="2:9" x14ac:dyDescent="0.25">
      <c r="B1211">
        <v>0</v>
      </c>
      <c r="C1211" s="16" t="s">
        <v>10519</v>
      </c>
      <c r="D1211" s="16"/>
      <c r="E1211">
        <v>6</v>
      </c>
      <c r="F1211" t="s">
        <v>5041</v>
      </c>
      <c r="G1211">
        <v>1</v>
      </c>
      <c r="H1211">
        <v>1</v>
      </c>
      <c r="I1211">
        <f>1</f>
        <v>1</v>
      </c>
    </row>
    <row r="1212" spans="2:9" x14ac:dyDescent="0.25">
      <c r="B1212">
        <v>0</v>
      </c>
      <c r="C1212" s="16" t="s">
        <v>10520</v>
      </c>
      <c r="D1212" s="16"/>
      <c r="E1212">
        <v>6</v>
      </c>
      <c r="F1212" t="e">
        <f>--outros</f>
        <v>#NAME?</v>
      </c>
      <c r="G1212">
        <v>1</v>
      </c>
      <c r="H1212">
        <v>1</v>
      </c>
      <c r="I1212">
        <f>1</f>
        <v>1</v>
      </c>
    </row>
    <row r="1213" spans="2:9" x14ac:dyDescent="0.25">
      <c r="B1213">
        <v>0</v>
      </c>
      <c r="C1213" s="16" t="s">
        <v>10521</v>
      </c>
      <c r="D1213" s="16"/>
      <c r="E1213">
        <v>6</v>
      </c>
      <c r="F1213" t="s">
        <v>5040</v>
      </c>
      <c r="G1213">
        <v>1</v>
      </c>
      <c r="H1213">
        <v>1</v>
      </c>
      <c r="I1213">
        <f>1</f>
        <v>1</v>
      </c>
    </row>
    <row r="1214" spans="2:9" x14ac:dyDescent="0.25">
      <c r="B1214">
        <v>0</v>
      </c>
      <c r="C1214" s="16" t="s">
        <v>10522</v>
      </c>
      <c r="D1214" s="16"/>
      <c r="E1214">
        <v>6</v>
      </c>
      <c r="F1214" t="e">
        <f>--outros</f>
        <v>#NAME?</v>
      </c>
      <c r="G1214">
        <v>1</v>
      </c>
      <c r="H1214">
        <v>1</v>
      </c>
      <c r="I1214">
        <f>1</f>
        <v>1</v>
      </c>
    </row>
    <row r="1215" spans="2:9" x14ac:dyDescent="0.25">
      <c r="B1215">
        <v>0</v>
      </c>
      <c r="C1215" s="16" t="s">
        <v>10523</v>
      </c>
      <c r="D1215" s="16"/>
      <c r="E1215">
        <v>6</v>
      </c>
      <c r="F1215" t="s">
        <v>5042</v>
      </c>
      <c r="G1215">
        <v>1</v>
      </c>
      <c r="H1215">
        <v>1</v>
      </c>
      <c r="I1215">
        <f>1</f>
        <v>1</v>
      </c>
    </row>
    <row r="1216" spans="2:9" x14ac:dyDescent="0.25">
      <c r="B1216">
        <v>0</v>
      </c>
      <c r="C1216" s="16" t="s">
        <v>10524</v>
      </c>
      <c r="D1216" s="16"/>
      <c r="E1216">
        <v>6</v>
      </c>
      <c r="F1216" t="s">
        <v>5043</v>
      </c>
      <c r="G1216">
        <v>1</v>
      </c>
      <c r="H1216">
        <v>1</v>
      </c>
      <c r="I1216">
        <f>1</f>
        <v>1</v>
      </c>
    </row>
    <row r="1217" spans="2:9" x14ac:dyDescent="0.25">
      <c r="B1217">
        <v>0</v>
      </c>
      <c r="C1217" s="16" t="s">
        <v>10525</v>
      </c>
      <c r="D1217" s="16"/>
      <c r="E1217">
        <v>6</v>
      </c>
      <c r="F1217" t="s">
        <v>4680</v>
      </c>
      <c r="G1217">
        <v>1</v>
      </c>
      <c r="H1217">
        <v>1</v>
      </c>
      <c r="I1217">
        <f>1</f>
        <v>1</v>
      </c>
    </row>
    <row r="1218" spans="2:9" x14ac:dyDescent="0.25">
      <c r="B1218">
        <v>0</v>
      </c>
      <c r="C1218" s="16" t="s">
        <v>10526</v>
      </c>
      <c r="D1218" s="16"/>
      <c r="E1218">
        <v>6</v>
      </c>
      <c r="F1218" t="e">
        <f>-Misturas De sucos  sumos</f>
        <v>#NAME?</v>
      </c>
      <c r="G1218">
        <v>1</v>
      </c>
      <c r="H1218">
        <v>1</v>
      </c>
      <c r="I1218">
        <f>1</f>
        <v>1</v>
      </c>
    </row>
    <row r="1219" spans="2:9" x14ac:dyDescent="0.25">
      <c r="B1219">
        <v>0</v>
      </c>
      <c r="C1219" s="16" t="s">
        <v>10527</v>
      </c>
      <c r="D1219" s="16"/>
      <c r="E1219">
        <v>6</v>
      </c>
      <c r="F1219" t="s">
        <v>5044</v>
      </c>
      <c r="G1219">
        <v>1</v>
      </c>
      <c r="H1219">
        <v>1</v>
      </c>
      <c r="I1219">
        <f>1</f>
        <v>1</v>
      </c>
    </row>
    <row r="1220" spans="2:9" x14ac:dyDescent="0.25">
      <c r="B1220">
        <v>0</v>
      </c>
      <c r="C1220" s="16" t="s">
        <v>10528</v>
      </c>
      <c r="D1220" s="16"/>
      <c r="E1220">
        <v>6</v>
      </c>
      <c r="F1220" t="s">
        <v>4680</v>
      </c>
      <c r="G1220">
        <v>1</v>
      </c>
      <c r="H1220">
        <v>1</v>
      </c>
      <c r="I1220">
        <f>1</f>
        <v>1</v>
      </c>
    </row>
    <row r="1221" spans="2:9" x14ac:dyDescent="0.25">
      <c r="B1221">
        <v>0</v>
      </c>
      <c r="C1221" s="16" t="s">
        <v>10529</v>
      </c>
      <c r="D1221" s="16"/>
      <c r="E1221">
        <v>6</v>
      </c>
      <c r="F1221" t="s">
        <v>5045</v>
      </c>
      <c r="G1221">
        <v>1</v>
      </c>
      <c r="H1221">
        <v>1</v>
      </c>
      <c r="I1221">
        <f>1</f>
        <v>1</v>
      </c>
    </row>
    <row r="1222" spans="2:9" x14ac:dyDescent="0.25">
      <c r="B1222">
        <v>0</v>
      </c>
      <c r="C1222" s="16" t="s">
        <v>10530</v>
      </c>
      <c r="D1222" s="16"/>
      <c r="E1222">
        <v>6</v>
      </c>
      <c r="F1222" t="s">
        <v>5046</v>
      </c>
      <c r="G1222">
        <v>1</v>
      </c>
      <c r="H1222">
        <v>1</v>
      </c>
      <c r="I1222">
        <f>1</f>
        <v>1</v>
      </c>
    </row>
    <row r="1223" spans="2:9" x14ac:dyDescent="0.25">
      <c r="B1223">
        <v>0</v>
      </c>
      <c r="C1223" s="16" t="s">
        <v>10531</v>
      </c>
      <c r="D1223" s="16"/>
      <c r="E1223">
        <v>6</v>
      </c>
      <c r="F1223" t="s">
        <v>5047</v>
      </c>
      <c r="G1223">
        <v>1</v>
      </c>
      <c r="H1223">
        <v>1</v>
      </c>
      <c r="I1223">
        <f>1</f>
        <v>1</v>
      </c>
    </row>
    <row r="1224" spans="2:9" x14ac:dyDescent="0.25">
      <c r="B1224">
        <v>0</v>
      </c>
      <c r="C1224" s="16" t="s">
        <v>10532</v>
      </c>
      <c r="D1224" s="16"/>
      <c r="E1224">
        <v>6</v>
      </c>
      <c r="F1224" t="s">
        <v>5048</v>
      </c>
      <c r="G1224">
        <v>1</v>
      </c>
      <c r="H1224">
        <v>1</v>
      </c>
      <c r="I1224">
        <f>1</f>
        <v>1</v>
      </c>
    </row>
    <row r="1225" spans="2:9" x14ac:dyDescent="0.25">
      <c r="B1225">
        <v>0</v>
      </c>
      <c r="C1225" s="16" t="s">
        <v>10533</v>
      </c>
      <c r="D1225" s="16"/>
      <c r="E1225">
        <v>6</v>
      </c>
      <c r="F1225" t="s">
        <v>5049</v>
      </c>
      <c r="G1225">
        <v>1</v>
      </c>
      <c r="H1225">
        <v>1</v>
      </c>
      <c r="I1225">
        <f>1</f>
        <v>1</v>
      </c>
    </row>
    <row r="1226" spans="2:9" x14ac:dyDescent="0.25">
      <c r="B1226">
        <v>0</v>
      </c>
      <c r="C1226" s="16" t="s">
        <v>10534</v>
      </c>
      <c r="D1226" s="16"/>
      <c r="E1226">
        <v>6</v>
      </c>
      <c r="F1226" t="s">
        <v>4690</v>
      </c>
      <c r="G1226">
        <v>1</v>
      </c>
      <c r="H1226">
        <v>1</v>
      </c>
      <c r="I1226">
        <f>1</f>
        <v>1</v>
      </c>
    </row>
    <row r="1227" spans="2:9" x14ac:dyDescent="0.25">
      <c r="B1227">
        <v>0</v>
      </c>
      <c r="C1227" s="16" t="s">
        <v>10535</v>
      </c>
      <c r="D1227" s="16"/>
      <c r="E1227">
        <v>6</v>
      </c>
      <c r="F1227" t="s">
        <v>5050</v>
      </c>
      <c r="G1227">
        <v>1</v>
      </c>
      <c r="H1227">
        <v>1</v>
      </c>
      <c r="I1227">
        <f>1</f>
        <v>1</v>
      </c>
    </row>
    <row r="1228" spans="2:9" x14ac:dyDescent="0.25">
      <c r="B1228">
        <v>0</v>
      </c>
      <c r="C1228" s="16" t="s">
        <v>10535</v>
      </c>
      <c r="D1228" s="16" t="s">
        <v>19430</v>
      </c>
      <c r="E1228">
        <v>6</v>
      </c>
      <c r="F1228" t="s">
        <v>5051</v>
      </c>
      <c r="G1228">
        <v>1</v>
      </c>
      <c r="H1228">
        <v>1</v>
      </c>
      <c r="I1228">
        <f>1</f>
        <v>1</v>
      </c>
    </row>
    <row r="1229" spans="2:9" x14ac:dyDescent="0.25">
      <c r="B1229">
        <v>0</v>
      </c>
      <c r="C1229" s="16" t="s">
        <v>10536</v>
      </c>
      <c r="D1229" s="16"/>
      <c r="E1229">
        <v>6</v>
      </c>
      <c r="F1229" t="s">
        <v>5052</v>
      </c>
      <c r="G1229">
        <v>1</v>
      </c>
      <c r="H1229">
        <v>1</v>
      </c>
      <c r="I1229">
        <f>1</f>
        <v>1</v>
      </c>
    </row>
    <row r="1230" spans="2:9" x14ac:dyDescent="0.25">
      <c r="B1230">
        <v>0</v>
      </c>
      <c r="C1230" s="16" t="s">
        <v>10537</v>
      </c>
      <c r="D1230" s="16"/>
      <c r="E1230">
        <v>6</v>
      </c>
      <c r="F1230" t="s">
        <v>5053</v>
      </c>
      <c r="G1230">
        <v>1</v>
      </c>
      <c r="H1230">
        <v>1</v>
      </c>
      <c r="I1230">
        <f>1</f>
        <v>1</v>
      </c>
    </row>
    <row r="1231" spans="2:9" x14ac:dyDescent="0.25">
      <c r="B1231">
        <v>0</v>
      </c>
      <c r="C1231" s="16" t="s">
        <v>10538</v>
      </c>
      <c r="D1231" s="16"/>
      <c r="E1231">
        <v>6</v>
      </c>
      <c r="F1231" t="s">
        <v>4680</v>
      </c>
      <c r="G1231">
        <v>1</v>
      </c>
      <c r="H1231">
        <v>1</v>
      </c>
      <c r="I1231">
        <f>1</f>
        <v>1</v>
      </c>
    </row>
    <row r="1232" spans="2:9" x14ac:dyDescent="0.25">
      <c r="B1232">
        <v>0</v>
      </c>
      <c r="C1232" s="16" t="s">
        <v>10539</v>
      </c>
      <c r="D1232" s="16"/>
      <c r="E1232">
        <v>6</v>
      </c>
      <c r="F1232" t="s">
        <v>5053</v>
      </c>
      <c r="G1232">
        <v>1</v>
      </c>
      <c r="H1232">
        <v>1</v>
      </c>
      <c r="I1232">
        <f>1</f>
        <v>1</v>
      </c>
    </row>
    <row r="1233" spans="2:9" x14ac:dyDescent="0.25">
      <c r="B1233">
        <v>0</v>
      </c>
      <c r="C1233" s="16" t="s">
        <v>10540</v>
      </c>
      <c r="D1233" s="16"/>
      <c r="E1233">
        <v>6</v>
      </c>
      <c r="F1233" t="s">
        <v>4680</v>
      </c>
      <c r="G1233">
        <v>1</v>
      </c>
      <c r="H1233">
        <v>1</v>
      </c>
      <c r="I1233">
        <f>1</f>
        <v>1</v>
      </c>
    </row>
    <row r="1234" spans="2:9" x14ac:dyDescent="0.25">
      <c r="B1234">
        <v>0</v>
      </c>
      <c r="C1234" s="16" t="s">
        <v>10541</v>
      </c>
      <c r="D1234" s="16"/>
      <c r="E1234">
        <v>6</v>
      </c>
      <c r="F1234" t="s">
        <v>5054</v>
      </c>
      <c r="G1234">
        <v>1</v>
      </c>
      <c r="H1234">
        <v>1</v>
      </c>
      <c r="I1234">
        <f>1</f>
        <v>1</v>
      </c>
    </row>
    <row r="1235" spans="2:9" x14ac:dyDescent="0.25">
      <c r="B1235">
        <v>0</v>
      </c>
      <c r="C1235" s="16" t="s">
        <v>10542</v>
      </c>
      <c r="D1235" s="16"/>
      <c r="E1235">
        <v>6</v>
      </c>
      <c r="F1235" t="s">
        <v>5053</v>
      </c>
      <c r="G1235">
        <v>1</v>
      </c>
      <c r="H1235">
        <v>1</v>
      </c>
      <c r="I1235">
        <f>1</f>
        <v>1</v>
      </c>
    </row>
    <row r="1236" spans="2:9" x14ac:dyDescent="0.25">
      <c r="B1236">
        <v>0</v>
      </c>
      <c r="C1236" s="16" t="s">
        <v>10543</v>
      </c>
      <c r="D1236" s="16"/>
      <c r="E1236">
        <v>6</v>
      </c>
      <c r="F1236" t="s">
        <v>4690</v>
      </c>
      <c r="G1236">
        <v>1</v>
      </c>
      <c r="H1236">
        <v>1</v>
      </c>
      <c r="I1236">
        <f>1</f>
        <v>1</v>
      </c>
    </row>
    <row r="1237" spans="2:9" x14ac:dyDescent="0.25">
      <c r="B1237">
        <v>0</v>
      </c>
      <c r="C1237" s="16" t="s">
        <v>10544</v>
      </c>
      <c r="D1237" s="16"/>
      <c r="E1237">
        <v>6</v>
      </c>
      <c r="F1237" t="s">
        <v>5053</v>
      </c>
      <c r="G1237">
        <v>1</v>
      </c>
      <c r="H1237">
        <v>1</v>
      </c>
      <c r="I1237">
        <f>1</f>
        <v>1</v>
      </c>
    </row>
    <row r="1238" spans="2:9" x14ac:dyDescent="0.25">
      <c r="B1238">
        <v>0</v>
      </c>
      <c r="C1238" s="16" t="s">
        <v>10545</v>
      </c>
      <c r="D1238" s="16"/>
      <c r="E1238">
        <v>6</v>
      </c>
      <c r="F1238" t="s">
        <v>5055</v>
      </c>
      <c r="G1238">
        <v>1</v>
      </c>
      <c r="H1238">
        <v>1</v>
      </c>
      <c r="I1238">
        <f>1</f>
        <v>1</v>
      </c>
    </row>
    <row r="1239" spans="2:9" x14ac:dyDescent="0.25">
      <c r="B1239">
        <v>0</v>
      </c>
      <c r="C1239" s="16" t="s">
        <v>10546</v>
      </c>
      <c r="D1239" s="16"/>
      <c r="E1239">
        <v>6</v>
      </c>
      <c r="F1239" t="s">
        <v>5053</v>
      </c>
      <c r="G1239">
        <v>1</v>
      </c>
      <c r="H1239">
        <v>1</v>
      </c>
      <c r="I1239">
        <f>1</f>
        <v>1</v>
      </c>
    </row>
    <row r="1240" spans="2:9" x14ac:dyDescent="0.25">
      <c r="B1240">
        <v>0</v>
      </c>
      <c r="C1240" s="16" t="s">
        <v>10547</v>
      </c>
      <c r="D1240" s="16"/>
      <c r="E1240">
        <v>6</v>
      </c>
      <c r="F1240" t="s">
        <v>4680</v>
      </c>
      <c r="G1240">
        <v>1</v>
      </c>
      <c r="H1240">
        <v>1</v>
      </c>
      <c r="I1240">
        <f>1</f>
        <v>1</v>
      </c>
    </row>
    <row r="1241" spans="2:9" x14ac:dyDescent="0.25">
      <c r="B1241">
        <v>0</v>
      </c>
      <c r="C1241" s="16" t="s">
        <v>10548</v>
      </c>
      <c r="D1241" s="16"/>
      <c r="E1241">
        <v>6</v>
      </c>
      <c r="F1241" t="s">
        <v>5053</v>
      </c>
      <c r="G1241">
        <v>1</v>
      </c>
      <c r="H1241">
        <v>1</v>
      </c>
      <c r="I1241">
        <f>1</f>
        <v>1</v>
      </c>
    </row>
    <row r="1242" spans="2:9" x14ac:dyDescent="0.25">
      <c r="B1242">
        <v>0</v>
      </c>
      <c r="C1242" s="16" t="s">
        <v>10549</v>
      </c>
      <c r="D1242" s="16"/>
      <c r="E1242">
        <v>6</v>
      </c>
      <c r="F1242" t="s">
        <v>4680</v>
      </c>
      <c r="G1242">
        <v>1</v>
      </c>
      <c r="H1242">
        <v>1</v>
      </c>
      <c r="I1242">
        <f>1</f>
        <v>1</v>
      </c>
    </row>
    <row r="1243" spans="2:9" x14ac:dyDescent="0.25">
      <c r="B1243">
        <v>0</v>
      </c>
      <c r="C1243" s="16" t="s">
        <v>10550</v>
      </c>
      <c r="D1243" s="16"/>
      <c r="E1243">
        <v>6</v>
      </c>
      <c r="F1243" t="s">
        <v>5053</v>
      </c>
      <c r="G1243">
        <v>1</v>
      </c>
      <c r="H1243">
        <v>1</v>
      </c>
      <c r="I1243">
        <f>1</f>
        <v>1</v>
      </c>
    </row>
    <row r="1244" spans="2:9" x14ac:dyDescent="0.25">
      <c r="B1244">
        <v>0</v>
      </c>
      <c r="C1244" s="16" t="s">
        <v>10551</v>
      </c>
      <c r="D1244" s="16"/>
      <c r="E1244">
        <v>6</v>
      </c>
      <c r="F1244" t="s">
        <v>4690</v>
      </c>
      <c r="G1244">
        <v>1</v>
      </c>
      <c r="H1244">
        <v>1</v>
      </c>
      <c r="I1244">
        <f>1</f>
        <v>1</v>
      </c>
    </row>
    <row r="1245" spans="2:9" x14ac:dyDescent="0.25">
      <c r="B1245">
        <v>0</v>
      </c>
      <c r="C1245" s="16" t="s">
        <v>10552</v>
      </c>
      <c r="D1245" s="16"/>
      <c r="E1245">
        <v>6</v>
      </c>
      <c r="F1245" t="s">
        <v>5053</v>
      </c>
      <c r="G1245">
        <v>1</v>
      </c>
      <c r="H1245">
        <v>1</v>
      </c>
      <c r="I1245">
        <f>1</f>
        <v>1</v>
      </c>
    </row>
    <row r="1246" spans="2:9" x14ac:dyDescent="0.25">
      <c r="B1246">
        <v>0</v>
      </c>
      <c r="C1246" s="16" t="s">
        <v>10553</v>
      </c>
      <c r="D1246" s="16"/>
      <c r="E1246">
        <v>6</v>
      </c>
      <c r="F1246" t="s">
        <v>4680</v>
      </c>
      <c r="G1246">
        <v>1</v>
      </c>
      <c r="H1246">
        <v>1</v>
      </c>
      <c r="I1246">
        <f>1</f>
        <v>1</v>
      </c>
    </row>
    <row r="1247" spans="2:9" x14ac:dyDescent="0.25">
      <c r="B1247">
        <v>0</v>
      </c>
      <c r="C1247" s="16" t="s">
        <v>10554</v>
      </c>
      <c r="D1247" s="16"/>
      <c r="E1247">
        <v>6</v>
      </c>
      <c r="F1247" t="e">
        <f>-Preparações alimentícias compostas homogeneizadas</f>
        <v>#NAME?</v>
      </c>
      <c r="G1247">
        <v>1</v>
      </c>
      <c r="H1247">
        <v>1</v>
      </c>
      <c r="I1247">
        <f>1</f>
        <v>1</v>
      </c>
    </row>
    <row r="1248" spans="2:9" x14ac:dyDescent="0.25">
      <c r="B1248">
        <v>0</v>
      </c>
      <c r="C1248" s="16" t="s">
        <v>10555</v>
      </c>
      <c r="D1248" s="16"/>
      <c r="E1248">
        <v>6</v>
      </c>
      <c r="F1248" t="s">
        <v>5056</v>
      </c>
      <c r="G1248">
        <v>1</v>
      </c>
      <c r="H1248">
        <v>1</v>
      </c>
      <c r="I1248">
        <f>1</f>
        <v>1</v>
      </c>
    </row>
    <row r="1249" spans="2:9" x14ac:dyDescent="0.25">
      <c r="B1249">
        <v>0</v>
      </c>
      <c r="C1249" s="16" t="s">
        <v>10556</v>
      </c>
      <c r="D1249" s="16"/>
      <c r="E1249">
        <v>6</v>
      </c>
      <c r="F1249" t="s">
        <v>4680</v>
      </c>
      <c r="G1249">
        <v>1</v>
      </c>
      <c r="H1249">
        <v>1</v>
      </c>
      <c r="I1249">
        <f>1</f>
        <v>1</v>
      </c>
    </row>
    <row r="1250" spans="2:9" x14ac:dyDescent="0.25">
      <c r="B1250">
        <v>0</v>
      </c>
      <c r="C1250" s="16" t="s">
        <v>10557</v>
      </c>
      <c r="D1250" s="16"/>
      <c r="E1250">
        <v>6</v>
      </c>
      <c r="F1250" t="e">
        <f>-Concentrados De proteínas e substâncias proteicas texturizadas</f>
        <v>#NAME?</v>
      </c>
      <c r="G1250">
        <v>1</v>
      </c>
      <c r="H1250">
        <v>1</v>
      </c>
      <c r="I1250">
        <f>1</f>
        <v>1</v>
      </c>
    </row>
    <row r="1251" spans="2:9" x14ac:dyDescent="0.25">
      <c r="B1251">
        <v>0</v>
      </c>
      <c r="C1251" s="16" t="s">
        <v>10558</v>
      </c>
      <c r="D1251" s="16"/>
      <c r="E1251">
        <v>6</v>
      </c>
      <c r="F1251" t="s">
        <v>5057</v>
      </c>
      <c r="G1251">
        <v>1</v>
      </c>
      <c r="H1251">
        <v>1</v>
      </c>
      <c r="I1251">
        <f>1</f>
        <v>1</v>
      </c>
    </row>
    <row r="1252" spans="2:9" x14ac:dyDescent="0.25">
      <c r="B1252">
        <v>0</v>
      </c>
      <c r="C1252" s="16" t="s">
        <v>10558</v>
      </c>
      <c r="D1252" s="16" t="s">
        <v>19430</v>
      </c>
      <c r="E1252">
        <v>6</v>
      </c>
      <c r="F1252" t="s">
        <v>5058</v>
      </c>
      <c r="G1252">
        <v>1</v>
      </c>
      <c r="H1252">
        <v>1</v>
      </c>
      <c r="I1252">
        <f>1</f>
        <v>1</v>
      </c>
    </row>
    <row r="1253" spans="2:9" x14ac:dyDescent="0.25">
      <c r="B1253">
        <v>0</v>
      </c>
      <c r="C1253" s="16" t="s">
        <v>10558</v>
      </c>
      <c r="D1253" s="16" t="s">
        <v>19431</v>
      </c>
      <c r="E1253">
        <v>6</v>
      </c>
      <c r="F1253" t="s">
        <v>5059</v>
      </c>
      <c r="G1253">
        <v>1</v>
      </c>
      <c r="H1253">
        <v>1</v>
      </c>
      <c r="I1253">
        <f>1</f>
        <v>1</v>
      </c>
    </row>
    <row r="1254" spans="2:9" x14ac:dyDescent="0.25">
      <c r="B1254">
        <v>0</v>
      </c>
      <c r="C1254" s="16" t="s">
        <v>10559</v>
      </c>
      <c r="D1254" s="16"/>
      <c r="E1254">
        <v>6</v>
      </c>
      <c r="F1254" t="s">
        <v>5060</v>
      </c>
      <c r="G1254">
        <v>1</v>
      </c>
      <c r="H1254">
        <v>1</v>
      </c>
      <c r="I1254">
        <f>1</f>
        <v>1</v>
      </c>
    </row>
    <row r="1255" spans="2:9" x14ac:dyDescent="0.25">
      <c r="B1255">
        <v>0</v>
      </c>
      <c r="C1255" s="16" t="s">
        <v>10560</v>
      </c>
      <c r="D1255" s="16"/>
      <c r="E1255">
        <v>6</v>
      </c>
      <c r="F1255" t="s">
        <v>4680</v>
      </c>
      <c r="G1255">
        <v>1</v>
      </c>
      <c r="H1255">
        <v>1</v>
      </c>
      <c r="I1255">
        <f>1</f>
        <v>1</v>
      </c>
    </row>
    <row r="1256" spans="2:9" x14ac:dyDescent="0.25">
      <c r="B1256">
        <v>0</v>
      </c>
      <c r="C1256" s="16" t="s">
        <v>10561</v>
      </c>
      <c r="D1256" s="16"/>
      <c r="E1256">
        <v>6</v>
      </c>
      <c r="F1256" t="s">
        <v>5061</v>
      </c>
      <c r="G1256">
        <v>1</v>
      </c>
      <c r="H1256">
        <v>1</v>
      </c>
      <c r="I1256">
        <f>1</f>
        <v>1</v>
      </c>
    </row>
    <row r="1257" spans="2:9" x14ac:dyDescent="0.25">
      <c r="B1257">
        <v>0</v>
      </c>
      <c r="C1257" s="16" t="s">
        <v>10562</v>
      </c>
      <c r="D1257" s="16"/>
      <c r="E1257">
        <v>6</v>
      </c>
      <c r="F1257" t="s">
        <v>5062</v>
      </c>
      <c r="G1257">
        <v>1</v>
      </c>
      <c r="H1257">
        <v>1</v>
      </c>
      <c r="I1257">
        <f>1</f>
        <v>1</v>
      </c>
    </row>
    <row r="1258" spans="2:9" x14ac:dyDescent="0.25">
      <c r="B1258">
        <v>0</v>
      </c>
      <c r="C1258" s="16" t="s">
        <v>10563</v>
      </c>
      <c r="D1258" s="16"/>
      <c r="E1258">
        <v>6</v>
      </c>
      <c r="F1258" t="s">
        <v>5063</v>
      </c>
      <c r="G1258">
        <v>1</v>
      </c>
      <c r="H1258">
        <v>1</v>
      </c>
      <c r="I1258">
        <f>1</f>
        <v>1</v>
      </c>
    </row>
    <row r="1259" spans="2:9" x14ac:dyDescent="0.25">
      <c r="B1259">
        <v>0</v>
      </c>
      <c r="C1259" s="16" t="s">
        <v>10564</v>
      </c>
      <c r="D1259" s="16"/>
      <c r="E1259">
        <v>6</v>
      </c>
      <c r="F1259" t="s">
        <v>5064</v>
      </c>
      <c r="G1259">
        <v>1</v>
      </c>
      <c r="H1259">
        <v>1</v>
      </c>
      <c r="I1259">
        <f>1</f>
        <v>1</v>
      </c>
    </row>
    <row r="1260" spans="2:9" x14ac:dyDescent="0.25">
      <c r="B1260">
        <v>0</v>
      </c>
      <c r="C1260" s="16" t="s">
        <v>10565</v>
      </c>
      <c r="D1260" s="16"/>
      <c r="E1260">
        <v>6</v>
      </c>
      <c r="F1260" t="s">
        <v>4690</v>
      </c>
      <c r="G1260">
        <v>1</v>
      </c>
      <c r="H1260">
        <v>1</v>
      </c>
      <c r="I1260">
        <f>1</f>
        <v>1</v>
      </c>
    </row>
    <row r="1261" spans="2:9" x14ac:dyDescent="0.25">
      <c r="B1261">
        <v>0</v>
      </c>
      <c r="C1261" s="16" t="s">
        <v>10566</v>
      </c>
      <c r="D1261" s="16"/>
      <c r="E1261">
        <v>6</v>
      </c>
      <c r="F1261" t="e">
        <f>-águas minerais e águas gaseificadas</f>
        <v>#NAME?</v>
      </c>
      <c r="G1261">
        <v>1</v>
      </c>
      <c r="H1261">
        <v>1</v>
      </c>
      <c r="I1261">
        <f>1</f>
        <v>1</v>
      </c>
    </row>
    <row r="1262" spans="2:9" x14ac:dyDescent="0.25">
      <c r="B1262">
        <v>0</v>
      </c>
      <c r="C1262" s="16" t="s">
        <v>10566</v>
      </c>
      <c r="D1262" s="16" t="s">
        <v>19430</v>
      </c>
      <c r="E1262">
        <v>6</v>
      </c>
      <c r="F1262" t="s">
        <v>5065</v>
      </c>
      <c r="G1262">
        <v>1</v>
      </c>
      <c r="H1262">
        <v>1</v>
      </c>
      <c r="I1262">
        <f>1</f>
        <v>1</v>
      </c>
    </row>
    <row r="1263" spans="2:9" x14ac:dyDescent="0.25">
      <c r="B1263">
        <v>0</v>
      </c>
      <c r="C1263" s="16" t="s">
        <v>10566</v>
      </c>
      <c r="D1263" s="16" t="s">
        <v>19431</v>
      </c>
      <c r="E1263">
        <v>6</v>
      </c>
      <c r="F1263" t="s">
        <v>5066</v>
      </c>
      <c r="G1263">
        <v>1</v>
      </c>
      <c r="H1263">
        <v>1</v>
      </c>
      <c r="I1263">
        <f>1</f>
        <v>1</v>
      </c>
    </row>
    <row r="1264" spans="2:9" x14ac:dyDescent="0.25">
      <c r="B1264">
        <v>0</v>
      </c>
      <c r="C1264" s="16" t="s">
        <v>10567</v>
      </c>
      <c r="D1264" s="16"/>
      <c r="E1264">
        <v>6</v>
      </c>
      <c r="F1264" t="e">
        <f>-outros</f>
        <v>#NAME?</v>
      </c>
      <c r="G1264">
        <v>1</v>
      </c>
      <c r="H1264">
        <v>1</v>
      </c>
      <c r="I1264">
        <f>1</f>
        <v>1</v>
      </c>
    </row>
    <row r="1265" spans="2:9" x14ac:dyDescent="0.25">
      <c r="B1265">
        <v>0</v>
      </c>
      <c r="C1265" s="16" t="s">
        <v>10568</v>
      </c>
      <c r="D1265" s="16"/>
      <c r="E1265">
        <v>6</v>
      </c>
      <c r="F1265" t="s">
        <v>5067</v>
      </c>
      <c r="G1265">
        <v>1</v>
      </c>
      <c r="H1265">
        <v>1</v>
      </c>
      <c r="I1265">
        <f>1</f>
        <v>1</v>
      </c>
    </row>
    <row r="1266" spans="2:9" x14ac:dyDescent="0.25">
      <c r="B1266">
        <v>0</v>
      </c>
      <c r="C1266" s="16" t="s">
        <v>10568</v>
      </c>
      <c r="D1266" s="16" t="s">
        <v>19430</v>
      </c>
      <c r="E1266">
        <v>6</v>
      </c>
      <c r="F1266" t="s">
        <v>5068</v>
      </c>
      <c r="G1266">
        <v>1</v>
      </c>
      <c r="H1266">
        <v>1</v>
      </c>
      <c r="I1266">
        <f>1</f>
        <v>1</v>
      </c>
    </row>
    <row r="1267" spans="2:9" x14ac:dyDescent="0.25">
      <c r="B1267">
        <v>0</v>
      </c>
      <c r="C1267" s="16" t="s">
        <v>10569</v>
      </c>
      <c r="D1267" s="16"/>
      <c r="E1267">
        <v>6</v>
      </c>
      <c r="F1267" t="e">
        <f>-Outras</f>
        <v>#NAME?</v>
      </c>
      <c r="G1267">
        <v>1</v>
      </c>
      <c r="H1267">
        <v>1</v>
      </c>
      <c r="I1267">
        <f>1</f>
        <v>1</v>
      </c>
    </row>
    <row r="1268" spans="2:9" x14ac:dyDescent="0.25">
      <c r="B1268">
        <v>0</v>
      </c>
      <c r="C1268" s="16" t="s">
        <v>10569</v>
      </c>
      <c r="D1268" s="16" t="s">
        <v>19430</v>
      </c>
      <c r="E1268">
        <v>6</v>
      </c>
      <c r="F1268" t="s">
        <v>5069</v>
      </c>
      <c r="G1268">
        <v>1</v>
      </c>
      <c r="H1268">
        <v>1</v>
      </c>
      <c r="I1268">
        <f>1</f>
        <v>1</v>
      </c>
    </row>
    <row r="1269" spans="2:9" x14ac:dyDescent="0.25">
      <c r="B1269">
        <v>0</v>
      </c>
      <c r="C1269" s="16" t="s">
        <v>10569</v>
      </c>
      <c r="D1269" s="16" t="s">
        <v>19431</v>
      </c>
      <c r="E1269">
        <v>6</v>
      </c>
      <c r="F1269" t="s">
        <v>5070</v>
      </c>
      <c r="G1269">
        <v>1</v>
      </c>
      <c r="H1269">
        <v>1</v>
      </c>
      <c r="I1269">
        <f>1</f>
        <v>1</v>
      </c>
    </row>
    <row r="1270" spans="2:9" x14ac:dyDescent="0.25">
      <c r="B1270">
        <v>0</v>
      </c>
      <c r="C1270" s="16" t="s">
        <v>10569</v>
      </c>
      <c r="D1270" s="16" t="s">
        <v>19432</v>
      </c>
      <c r="E1270">
        <v>6</v>
      </c>
      <c r="F1270" t="s">
        <v>5071</v>
      </c>
      <c r="G1270">
        <v>1</v>
      </c>
      <c r="H1270">
        <v>1</v>
      </c>
      <c r="I1270">
        <f>1</f>
        <v>1</v>
      </c>
    </row>
    <row r="1271" spans="2:9" x14ac:dyDescent="0.25">
      <c r="B1271">
        <v>0</v>
      </c>
      <c r="C1271" s="16" t="s">
        <v>10569</v>
      </c>
      <c r="D1271" s="16" t="s">
        <v>19433</v>
      </c>
      <c r="E1271">
        <v>6</v>
      </c>
      <c r="F1271" t="s">
        <v>5072</v>
      </c>
      <c r="G1271">
        <v>1</v>
      </c>
      <c r="H1271">
        <v>1</v>
      </c>
      <c r="I1271">
        <f>1</f>
        <v>1</v>
      </c>
    </row>
    <row r="1272" spans="2:9" x14ac:dyDescent="0.25">
      <c r="B1272">
        <v>0</v>
      </c>
      <c r="C1272" s="16" t="s">
        <v>10569</v>
      </c>
      <c r="D1272" s="16" t="s">
        <v>19434</v>
      </c>
      <c r="E1272">
        <v>6</v>
      </c>
      <c r="F1272" t="s">
        <v>5073</v>
      </c>
      <c r="G1272">
        <v>1</v>
      </c>
      <c r="H1272">
        <v>1</v>
      </c>
      <c r="I1272">
        <f>1</f>
        <v>1</v>
      </c>
    </row>
    <row r="1273" spans="2:9" x14ac:dyDescent="0.25">
      <c r="B1273">
        <v>0</v>
      </c>
      <c r="C1273" s="16" t="s">
        <v>10570</v>
      </c>
      <c r="D1273" s="16"/>
      <c r="E1273">
        <v>6</v>
      </c>
      <c r="F1273" t="s">
        <v>5074</v>
      </c>
      <c r="G1273">
        <v>1</v>
      </c>
      <c r="H1273">
        <v>1</v>
      </c>
      <c r="I1273">
        <f>1</f>
        <v>1</v>
      </c>
    </row>
    <row r="1274" spans="2:9" x14ac:dyDescent="0.25">
      <c r="B1274">
        <v>0</v>
      </c>
      <c r="C1274" s="16" t="s">
        <v>10570</v>
      </c>
      <c r="D1274" s="16" t="s">
        <v>19430</v>
      </c>
      <c r="E1274">
        <v>6</v>
      </c>
      <c r="F1274" t="s">
        <v>5075</v>
      </c>
      <c r="G1274">
        <v>1</v>
      </c>
      <c r="H1274">
        <v>1</v>
      </c>
      <c r="I1274">
        <f>1</f>
        <v>1</v>
      </c>
    </row>
    <row r="1275" spans="2:9" x14ac:dyDescent="0.25">
      <c r="B1275">
        <v>0</v>
      </c>
      <c r="C1275" s="16" t="s">
        <v>10571</v>
      </c>
      <c r="D1275" s="16"/>
      <c r="E1275">
        <v>6</v>
      </c>
      <c r="F1275" t="s">
        <v>5076</v>
      </c>
      <c r="G1275">
        <v>1</v>
      </c>
      <c r="H1275">
        <v>1</v>
      </c>
      <c r="I1275">
        <f>1</f>
        <v>1</v>
      </c>
    </row>
    <row r="1276" spans="2:9" x14ac:dyDescent="0.25">
      <c r="B1276">
        <v>0</v>
      </c>
      <c r="C1276" s="16" t="s">
        <v>10572</v>
      </c>
      <c r="D1276" s="16"/>
      <c r="E1276">
        <v>6</v>
      </c>
      <c r="F1276" t="s">
        <v>4680</v>
      </c>
      <c r="G1276">
        <v>1</v>
      </c>
      <c r="H1276">
        <v>1</v>
      </c>
      <c r="I1276">
        <f>1</f>
        <v>1</v>
      </c>
    </row>
    <row r="1277" spans="2:9" x14ac:dyDescent="0.25">
      <c r="B1277">
        <v>0</v>
      </c>
      <c r="C1277" s="16" t="s">
        <v>10573</v>
      </c>
      <c r="D1277" s="16"/>
      <c r="E1277">
        <v>6</v>
      </c>
      <c r="F1277" t="s">
        <v>5077</v>
      </c>
      <c r="G1277">
        <v>1</v>
      </c>
      <c r="H1277">
        <v>1</v>
      </c>
      <c r="I1277">
        <f>1</f>
        <v>1</v>
      </c>
    </row>
    <row r="1278" spans="2:9" x14ac:dyDescent="0.25">
      <c r="B1278">
        <v>0</v>
      </c>
      <c r="C1278" s="16" t="s">
        <v>10573</v>
      </c>
      <c r="D1278" s="16" t="s">
        <v>19430</v>
      </c>
      <c r="E1278">
        <v>6</v>
      </c>
      <c r="F1278" t="s">
        <v>5078</v>
      </c>
      <c r="G1278">
        <v>1</v>
      </c>
      <c r="H1278">
        <v>1</v>
      </c>
      <c r="I1278">
        <f>1</f>
        <v>1</v>
      </c>
    </row>
    <row r="1279" spans="2:9" x14ac:dyDescent="0.25">
      <c r="B1279">
        <v>0</v>
      </c>
      <c r="C1279" s="16" t="s">
        <v>10574</v>
      </c>
      <c r="D1279" s="16"/>
      <c r="E1279">
        <v>6</v>
      </c>
      <c r="F1279" t="s">
        <v>5079</v>
      </c>
      <c r="G1279">
        <v>1</v>
      </c>
      <c r="H1279">
        <v>1</v>
      </c>
      <c r="I1279">
        <f>1</f>
        <v>1</v>
      </c>
    </row>
    <row r="1280" spans="2:9" x14ac:dyDescent="0.25">
      <c r="B1280">
        <v>0</v>
      </c>
      <c r="C1280" s="16" t="s">
        <v>10574</v>
      </c>
      <c r="D1280" s="16" t="s">
        <v>19430</v>
      </c>
      <c r="E1280">
        <v>6</v>
      </c>
      <c r="F1280" t="s">
        <v>5078</v>
      </c>
      <c r="G1280">
        <v>1</v>
      </c>
      <c r="H1280">
        <v>1</v>
      </c>
      <c r="I1280">
        <f>1</f>
        <v>1</v>
      </c>
    </row>
    <row r="1281" spans="2:9" x14ac:dyDescent="0.25">
      <c r="B1281">
        <v>0</v>
      </c>
      <c r="C1281" s="16" t="s">
        <v>10575</v>
      </c>
      <c r="D1281" s="16"/>
      <c r="E1281">
        <v>6</v>
      </c>
      <c r="F1281" t="s">
        <v>4680</v>
      </c>
      <c r="G1281">
        <v>1</v>
      </c>
      <c r="H1281">
        <v>1</v>
      </c>
      <c r="I1281">
        <f>1</f>
        <v>1</v>
      </c>
    </row>
    <row r="1282" spans="2:9" x14ac:dyDescent="0.25">
      <c r="B1282">
        <v>0</v>
      </c>
      <c r="C1282" s="16" t="s">
        <v>10575</v>
      </c>
      <c r="D1282" s="16" t="s">
        <v>19430</v>
      </c>
      <c r="E1282">
        <v>6</v>
      </c>
      <c r="F1282" t="s">
        <v>5078</v>
      </c>
      <c r="G1282">
        <v>1</v>
      </c>
      <c r="H1282">
        <v>1</v>
      </c>
      <c r="I1282">
        <f>1</f>
        <v>1</v>
      </c>
    </row>
    <row r="1283" spans="2:9" x14ac:dyDescent="0.25">
      <c r="B1283">
        <v>0</v>
      </c>
      <c r="C1283" s="16" t="s">
        <v>10576</v>
      </c>
      <c r="D1283" s="16"/>
      <c r="E1283">
        <v>6</v>
      </c>
      <c r="F1283" t="s">
        <v>5080</v>
      </c>
      <c r="G1283">
        <v>1</v>
      </c>
      <c r="H1283">
        <v>1</v>
      </c>
      <c r="I1283">
        <f>1</f>
        <v>1</v>
      </c>
    </row>
    <row r="1284" spans="2:9" x14ac:dyDescent="0.25">
      <c r="B1284">
        <v>0</v>
      </c>
      <c r="C1284" s="16" t="s">
        <v>10577</v>
      </c>
      <c r="D1284" s="16"/>
      <c r="E1284">
        <v>6</v>
      </c>
      <c r="F1284" t="e">
        <f>-outros mostos De uvas</f>
        <v>#NAME?</v>
      </c>
      <c r="G1284">
        <v>1</v>
      </c>
      <c r="H1284">
        <v>1</v>
      </c>
      <c r="I1284">
        <f>1</f>
        <v>1</v>
      </c>
    </row>
    <row r="1285" spans="2:9" x14ac:dyDescent="0.25">
      <c r="B1285">
        <v>0</v>
      </c>
      <c r="C1285" s="16" t="s">
        <v>10578</v>
      </c>
      <c r="D1285" s="16"/>
      <c r="E1285">
        <v>6</v>
      </c>
      <c r="F1285" t="s">
        <v>5081</v>
      </c>
      <c r="G1285">
        <v>1</v>
      </c>
      <c r="H1285">
        <v>1</v>
      </c>
      <c r="I1285">
        <f>1</f>
        <v>1</v>
      </c>
    </row>
    <row r="1286" spans="2:9" x14ac:dyDescent="0.25">
      <c r="B1286">
        <v>0</v>
      </c>
      <c r="C1286" s="16" t="s">
        <v>10579</v>
      </c>
      <c r="D1286" s="16"/>
      <c r="E1286">
        <v>6</v>
      </c>
      <c r="F1286" t="e">
        <f>-outros</f>
        <v>#NAME?</v>
      </c>
      <c r="G1286">
        <v>1</v>
      </c>
      <c r="H1286">
        <v>1</v>
      </c>
      <c r="I1286">
        <f>1</f>
        <v>1</v>
      </c>
    </row>
    <row r="1287" spans="2:9" x14ac:dyDescent="0.25">
      <c r="B1287">
        <v>0</v>
      </c>
      <c r="C1287" s="16" t="s">
        <v>10580</v>
      </c>
      <c r="D1287" s="16"/>
      <c r="E1287">
        <v>6</v>
      </c>
      <c r="F1287" t="s">
        <v>5082</v>
      </c>
      <c r="G1287">
        <v>1</v>
      </c>
      <c r="H1287">
        <v>1</v>
      </c>
      <c r="I1287">
        <f>1</f>
        <v>1</v>
      </c>
    </row>
    <row r="1288" spans="2:9" x14ac:dyDescent="0.25">
      <c r="B1288">
        <v>0</v>
      </c>
      <c r="C1288" s="16" t="s">
        <v>10581</v>
      </c>
      <c r="D1288" s="16"/>
      <c r="E1288">
        <v>6</v>
      </c>
      <c r="F1288" t="s">
        <v>4690</v>
      </c>
      <c r="G1288">
        <v>1</v>
      </c>
      <c r="H1288">
        <v>1</v>
      </c>
      <c r="I1288">
        <f>1</f>
        <v>1</v>
      </c>
    </row>
    <row r="1289" spans="2:9" x14ac:dyDescent="0.25">
      <c r="B1289">
        <v>0</v>
      </c>
      <c r="C1289" s="16" t="s">
        <v>10581</v>
      </c>
      <c r="D1289" s="16" t="s">
        <v>19430</v>
      </c>
      <c r="E1289">
        <v>6</v>
      </c>
      <c r="F1289" t="s">
        <v>5083</v>
      </c>
      <c r="G1289">
        <v>1</v>
      </c>
      <c r="H1289">
        <v>1</v>
      </c>
      <c r="I1289">
        <f>1</f>
        <v>1</v>
      </c>
    </row>
    <row r="1290" spans="2:9" x14ac:dyDescent="0.25">
      <c r="B1290">
        <v>0</v>
      </c>
      <c r="C1290" s="16" t="s">
        <v>10582</v>
      </c>
      <c r="D1290" s="16"/>
      <c r="E1290">
        <v>6</v>
      </c>
      <c r="F1290" t="s">
        <v>5084</v>
      </c>
      <c r="G1290">
        <v>1</v>
      </c>
      <c r="H1290">
        <v>1</v>
      </c>
      <c r="I1290">
        <f>1</f>
        <v>1</v>
      </c>
    </row>
    <row r="1291" spans="2:9" x14ac:dyDescent="0.25">
      <c r="B1291">
        <v>0</v>
      </c>
      <c r="C1291" s="16" t="s">
        <v>10582</v>
      </c>
      <c r="D1291" s="16" t="s">
        <v>19430</v>
      </c>
      <c r="E1291">
        <v>6</v>
      </c>
      <c r="F1291" t="s">
        <v>5085</v>
      </c>
      <c r="G1291">
        <v>1</v>
      </c>
      <c r="H1291">
        <v>1</v>
      </c>
      <c r="I1291">
        <f>1</f>
        <v>1</v>
      </c>
    </row>
    <row r="1292" spans="2:9" x14ac:dyDescent="0.25">
      <c r="B1292">
        <v>0</v>
      </c>
      <c r="C1292" s="16" t="s">
        <v>10582</v>
      </c>
      <c r="D1292" s="16" t="s">
        <v>19431</v>
      </c>
      <c r="E1292">
        <v>6</v>
      </c>
      <c r="F1292" t="s">
        <v>5086</v>
      </c>
      <c r="G1292">
        <v>1</v>
      </c>
      <c r="H1292">
        <v>1</v>
      </c>
      <c r="I1292">
        <f>1</f>
        <v>1</v>
      </c>
    </row>
    <row r="1293" spans="2:9" x14ac:dyDescent="0.25">
      <c r="B1293">
        <v>0</v>
      </c>
      <c r="C1293" s="16" t="s">
        <v>10583</v>
      </c>
      <c r="D1293" s="16"/>
      <c r="E1293">
        <v>6</v>
      </c>
      <c r="F1293" t="s">
        <v>4680</v>
      </c>
      <c r="G1293">
        <v>1</v>
      </c>
      <c r="H1293">
        <v>1</v>
      </c>
      <c r="I1293">
        <f>1</f>
        <v>1</v>
      </c>
    </row>
    <row r="1294" spans="2:9" x14ac:dyDescent="0.25">
      <c r="B1294">
        <v>0</v>
      </c>
      <c r="C1294" s="16" t="s">
        <v>10583</v>
      </c>
      <c r="D1294" s="16" t="s">
        <v>19430</v>
      </c>
      <c r="E1294">
        <v>6</v>
      </c>
      <c r="F1294" t="s">
        <v>5085</v>
      </c>
      <c r="G1294">
        <v>1</v>
      </c>
      <c r="H1294">
        <v>1</v>
      </c>
      <c r="I1294">
        <f>1</f>
        <v>1</v>
      </c>
    </row>
    <row r="1295" spans="2:9" x14ac:dyDescent="0.25">
      <c r="B1295">
        <v>0</v>
      </c>
      <c r="C1295" s="16" t="s">
        <v>10583</v>
      </c>
      <c r="D1295" s="16" t="s">
        <v>19431</v>
      </c>
      <c r="E1295">
        <v>6</v>
      </c>
      <c r="F1295" t="s">
        <v>5086</v>
      </c>
      <c r="G1295">
        <v>1</v>
      </c>
      <c r="H1295">
        <v>1</v>
      </c>
      <c r="I1295">
        <f>1</f>
        <v>1</v>
      </c>
    </row>
    <row r="1296" spans="2:9" x14ac:dyDescent="0.25">
      <c r="B1296">
        <v>0</v>
      </c>
      <c r="C1296" s="16" t="s">
        <v>10584</v>
      </c>
      <c r="D1296" s="16"/>
      <c r="E1296">
        <v>6</v>
      </c>
      <c r="F1296" t="s">
        <v>5084</v>
      </c>
      <c r="G1296">
        <v>1</v>
      </c>
      <c r="H1296">
        <v>1</v>
      </c>
      <c r="I1296">
        <f>1</f>
        <v>1</v>
      </c>
    </row>
    <row r="1297" spans="2:9" x14ac:dyDescent="0.25">
      <c r="B1297">
        <v>0</v>
      </c>
      <c r="C1297" s="16" t="s">
        <v>10584</v>
      </c>
      <c r="D1297" s="16" t="s">
        <v>19430</v>
      </c>
      <c r="E1297">
        <v>6</v>
      </c>
      <c r="F1297" t="s">
        <v>5085</v>
      </c>
      <c r="G1297">
        <v>1</v>
      </c>
      <c r="H1297">
        <v>1</v>
      </c>
      <c r="I1297">
        <f>1</f>
        <v>1</v>
      </c>
    </row>
    <row r="1298" spans="2:9" x14ac:dyDescent="0.25">
      <c r="B1298">
        <v>0</v>
      </c>
      <c r="C1298" s="16" t="s">
        <v>10585</v>
      </c>
      <c r="D1298" s="16"/>
      <c r="E1298">
        <v>6</v>
      </c>
      <c r="F1298" t="s">
        <v>4680</v>
      </c>
      <c r="G1298">
        <v>1</v>
      </c>
      <c r="H1298">
        <v>1</v>
      </c>
      <c r="I1298">
        <f>1</f>
        <v>1</v>
      </c>
    </row>
    <row r="1299" spans="2:9" x14ac:dyDescent="0.25">
      <c r="B1299">
        <v>0</v>
      </c>
      <c r="C1299" s="16" t="s">
        <v>10585</v>
      </c>
      <c r="D1299" s="16" t="s">
        <v>19430</v>
      </c>
      <c r="E1299">
        <v>6</v>
      </c>
      <c r="F1299" t="s">
        <v>5085</v>
      </c>
      <c r="G1299">
        <v>1</v>
      </c>
      <c r="H1299">
        <v>1</v>
      </c>
      <c r="I1299">
        <f>1</f>
        <v>1</v>
      </c>
    </row>
    <row r="1300" spans="2:9" x14ac:dyDescent="0.25">
      <c r="B1300">
        <v>0</v>
      </c>
      <c r="C1300" s="16" t="s">
        <v>10586</v>
      </c>
      <c r="D1300" s="16"/>
      <c r="E1300">
        <v>6</v>
      </c>
      <c r="F1300" t="s">
        <v>5087</v>
      </c>
      <c r="G1300">
        <v>1</v>
      </c>
      <c r="H1300">
        <v>1</v>
      </c>
      <c r="I1300">
        <f>1</f>
        <v>1</v>
      </c>
    </row>
    <row r="1301" spans="2:9" x14ac:dyDescent="0.25">
      <c r="B1301">
        <v>0</v>
      </c>
      <c r="C1301" s="16" t="s">
        <v>10587</v>
      </c>
      <c r="D1301" s="16"/>
      <c r="E1301">
        <v>6</v>
      </c>
      <c r="F1301" t="e">
        <f>-Aguardentes De vinho ou De bagaço De uvas</f>
        <v>#NAME?</v>
      </c>
      <c r="G1301">
        <v>1</v>
      </c>
      <c r="H1301">
        <v>1</v>
      </c>
      <c r="I1301">
        <f>1</f>
        <v>1</v>
      </c>
    </row>
    <row r="1302" spans="2:9" x14ac:dyDescent="0.25">
      <c r="B1302">
        <v>0</v>
      </c>
      <c r="C1302" s="16" t="s">
        <v>10588</v>
      </c>
      <c r="D1302" s="16"/>
      <c r="E1302">
        <v>6</v>
      </c>
      <c r="F1302" t="s">
        <v>5088</v>
      </c>
      <c r="G1302">
        <v>1</v>
      </c>
      <c r="H1302">
        <v>1</v>
      </c>
      <c r="I1302">
        <f>1</f>
        <v>1</v>
      </c>
    </row>
    <row r="1303" spans="2:9" x14ac:dyDescent="0.25">
      <c r="B1303">
        <v>0</v>
      </c>
      <c r="C1303" s="16" t="s">
        <v>10588</v>
      </c>
      <c r="D1303" s="16" t="s">
        <v>19430</v>
      </c>
      <c r="E1303">
        <v>6</v>
      </c>
      <c r="F1303" t="s">
        <v>5089</v>
      </c>
      <c r="G1303">
        <v>1</v>
      </c>
      <c r="H1303">
        <v>1</v>
      </c>
      <c r="I1303">
        <f>1</f>
        <v>1</v>
      </c>
    </row>
    <row r="1304" spans="2:9" x14ac:dyDescent="0.25">
      <c r="B1304">
        <v>0</v>
      </c>
      <c r="C1304" s="16" t="s">
        <v>10588</v>
      </c>
      <c r="D1304" s="16" t="s">
        <v>19431</v>
      </c>
      <c r="E1304">
        <v>6</v>
      </c>
      <c r="F1304" t="s">
        <v>5090</v>
      </c>
      <c r="G1304">
        <v>1</v>
      </c>
      <c r="H1304">
        <v>1</v>
      </c>
      <c r="I1304">
        <f>1</f>
        <v>1</v>
      </c>
    </row>
    <row r="1305" spans="2:9" x14ac:dyDescent="0.25">
      <c r="B1305">
        <v>0</v>
      </c>
      <c r="C1305" s="16" t="s">
        <v>10589</v>
      </c>
      <c r="D1305" s="16"/>
      <c r="E1305">
        <v>6</v>
      </c>
      <c r="F1305" t="s">
        <v>5091</v>
      </c>
      <c r="G1305">
        <v>1</v>
      </c>
      <c r="H1305">
        <v>1</v>
      </c>
      <c r="I1305">
        <f>1</f>
        <v>1</v>
      </c>
    </row>
    <row r="1306" spans="2:9" x14ac:dyDescent="0.25">
      <c r="B1306">
        <v>0</v>
      </c>
      <c r="C1306" s="16" t="s">
        <v>10590</v>
      </c>
      <c r="D1306" s="16"/>
      <c r="E1306">
        <v>6</v>
      </c>
      <c r="F1306" t="s">
        <v>4680</v>
      </c>
      <c r="G1306">
        <v>1</v>
      </c>
      <c r="H1306">
        <v>1</v>
      </c>
      <c r="I1306">
        <f>1</f>
        <v>1</v>
      </c>
    </row>
    <row r="1307" spans="2:9" x14ac:dyDescent="0.25">
      <c r="B1307">
        <v>0</v>
      </c>
      <c r="C1307" s="16" t="s">
        <v>10591</v>
      </c>
      <c r="D1307" s="16"/>
      <c r="E1307">
        <v>6</v>
      </c>
      <c r="F1307" t="s">
        <v>5092</v>
      </c>
      <c r="G1307">
        <v>1</v>
      </c>
      <c r="H1307">
        <v>1</v>
      </c>
      <c r="I1307">
        <f>1</f>
        <v>1</v>
      </c>
    </row>
    <row r="1308" spans="2:9" x14ac:dyDescent="0.25">
      <c r="B1308">
        <v>0</v>
      </c>
      <c r="C1308" s="16" t="s">
        <v>10592</v>
      </c>
      <c r="D1308" s="16"/>
      <c r="E1308">
        <v>6</v>
      </c>
      <c r="F1308" t="e">
        <f>-Gim  gin  e genebra</f>
        <v>#NAME?</v>
      </c>
      <c r="G1308">
        <v>1</v>
      </c>
      <c r="H1308">
        <v>1</v>
      </c>
      <c r="I1308">
        <f>1</f>
        <v>1</v>
      </c>
    </row>
    <row r="1309" spans="2:9" x14ac:dyDescent="0.25">
      <c r="B1309">
        <v>0</v>
      </c>
      <c r="C1309" s="16" t="s">
        <v>10593</v>
      </c>
      <c r="D1309" s="16"/>
      <c r="E1309">
        <v>6</v>
      </c>
      <c r="F1309" t="e">
        <f>-Vodca</f>
        <v>#NAME?</v>
      </c>
      <c r="G1309">
        <v>1</v>
      </c>
      <c r="H1309">
        <v>1</v>
      </c>
      <c r="I1309">
        <f>1</f>
        <v>1</v>
      </c>
    </row>
    <row r="1310" spans="2:9" x14ac:dyDescent="0.25">
      <c r="B1310">
        <v>0</v>
      </c>
      <c r="C1310" s="16" t="s">
        <v>10594</v>
      </c>
      <c r="D1310" s="16"/>
      <c r="E1310">
        <v>6</v>
      </c>
      <c r="F1310" t="e">
        <f>-Licores</f>
        <v>#NAME?</v>
      </c>
      <c r="G1310">
        <v>1</v>
      </c>
      <c r="H1310">
        <v>1</v>
      </c>
      <c r="I1310">
        <f>1</f>
        <v>1</v>
      </c>
    </row>
    <row r="1311" spans="2:9" x14ac:dyDescent="0.25">
      <c r="B1311">
        <v>0</v>
      </c>
      <c r="C1311" s="16" t="s">
        <v>10595</v>
      </c>
      <c r="D1311" s="16"/>
      <c r="E1311">
        <v>6</v>
      </c>
      <c r="F1311" t="e">
        <f>-outros</f>
        <v>#NAME?</v>
      </c>
      <c r="G1311">
        <v>1</v>
      </c>
      <c r="H1311">
        <v>1</v>
      </c>
      <c r="I1311">
        <f>1</f>
        <v>1</v>
      </c>
    </row>
    <row r="1312" spans="2:9" x14ac:dyDescent="0.25">
      <c r="B1312">
        <v>0</v>
      </c>
      <c r="C1312" s="16" t="s">
        <v>10595</v>
      </c>
      <c r="D1312" s="16" t="s">
        <v>19430</v>
      </c>
      <c r="E1312">
        <v>6</v>
      </c>
      <c r="F1312" t="s">
        <v>5093</v>
      </c>
      <c r="G1312">
        <v>1</v>
      </c>
      <c r="H1312">
        <v>1</v>
      </c>
      <c r="I1312">
        <f>1</f>
        <v>1</v>
      </c>
    </row>
    <row r="1313" spans="2:9" x14ac:dyDescent="0.25">
      <c r="B1313">
        <v>0</v>
      </c>
      <c r="C1313" s="16" t="s">
        <v>10595</v>
      </c>
      <c r="D1313" s="16" t="s">
        <v>19431</v>
      </c>
      <c r="E1313">
        <v>6</v>
      </c>
      <c r="F1313" t="s">
        <v>5094</v>
      </c>
      <c r="G1313">
        <v>1</v>
      </c>
      <c r="H1313">
        <v>1</v>
      </c>
      <c r="I1313">
        <f>1</f>
        <v>1</v>
      </c>
    </row>
    <row r="1314" spans="2:9" x14ac:dyDescent="0.25">
      <c r="B1314">
        <v>0</v>
      </c>
      <c r="C1314" s="16" t="s">
        <v>10596</v>
      </c>
      <c r="D1314" s="16"/>
      <c r="E1314">
        <v>6</v>
      </c>
      <c r="F1314" t="s">
        <v>5095</v>
      </c>
      <c r="G1314">
        <v>1</v>
      </c>
      <c r="H1314">
        <v>1</v>
      </c>
      <c r="I1314">
        <f>1</f>
        <v>1</v>
      </c>
    </row>
    <row r="1315" spans="2:9" x14ac:dyDescent="0.25">
      <c r="B1315">
        <v>0</v>
      </c>
      <c r="C1315" s="16" t="s">
        <v>10597</v>
      </c>
      <c r="D1315" s="16"/>
      <c r="E1315">
        <v>6</v>
      </c>
      <c r="F1315" t="s">
        <v>5096</v>
      </c>
      <c r="G1315">
        <v>1</v>
      </c>
      <c r="H1315">
        <v>0</v>
      </c>
      <c r="I1315">
        <f>1</f>
        <v>1</v>
      </c>
    </row>
    <row r="1316" spans="2:9" x14ac:dyDescent="0.25">
      <c r="B1316">
        <v>0</v>
      </c>
      <c r="C1316" s="16" t="s">
        <v>10598</v>
      </c>
      <c r="D1316" s="16"/>
      <c r="E1316">
        <v>6</v>
      </c>
      <c r="F1316" t="s">
        <v>4680</v>
      </c>
      <c r="G1316">
        <v>1</v>
      </c>
      <c r="H1316">
        <v>0</v>
      </c>
      <c r="I1316">
        <f>1</f>
        <v>1</v>
      </c>
    </row>
    <row r="1317" spans="2:9" x14ac:dyDescent="0.25">
      <c r="B1317">
        <v>0</v>
      </c>
      <c r="C1317" s="16" t="s">
        <v>10599</v>
      </c>
      <c r="D1317" s="16"/>
      <c r="E1317">
        <v>6</v>
      </c>
      <c r="F1317" t="s">
        <v>5097</v>
      </c>
      <c r="G1317">
        <v>1</v>
      </c>
      <c r="H1317">
        <v>0</v>
      </c>
      <c r="I1317">
        <f>1</f>
        <v>1</v>
      </c>
    </row>
    <row r="1318" spans="2:9" x14ac:dyDescent="0.25">
      <c r="B1318">
        <v>0</v>
      </c>
      <c r="C1318" s="16" t="s">
        <v>10600</v>
      </c>
      <c r="D1318" s="16"/>
      <c r="E1318">
        <v>6</v>
      </c>
      <c r="F1318" t="s">
        <v>4680</v>
      </c>
      <c r="G1318">
        <v>1</v>
      </c>
      <c r="H1318">
        <v>0</v>
      </c>
      <c r="I1318">
        <f>1</f>
        <v>1</v>
      </c>
    </row>
    <row r="1319" spans="2:9" x14ac:dyDescent="0.25">
      <c r="B1319">
        <v>0</v>
      </c>
      <c r="C1319" s="16" t="s">
        <v>10601</v>
      </c>
      <c r="D1319" s="16"/>
      <c r="E1319">
        <v>6</v>
      </c>
      <c r="F1319" t="e">
        <f>-De Milho</f>
        <v>#NAME?</v>
      </c>
      <c r="G1319">
        <v>1</v>
      </c>
      <c r="H1319">
        <v>0</v>
      </c>
      <c r="I1319">
        <f>1</f>
        <v>1</v>
      </c>
    </row>
    <row r="1320" spans="2:9" x14ac:dyDescent="0.25">
      <c r="B1320">
        <v>0</v>
      </c>
      <c r="C1320" s="16" t="s">
        <v>10602</v>
      </c>
      <c r="D1320" s="16"/>
      <c r="E1320">
        <v>6</v>
      </c>
      <c r="F1320" t="s">
        <v>5098</v>
      </c>
      <c r="G1320">
        <v>1</v>
      </c>
      <c r="H1320">
        <v>0</v>
      </c>
      <c r="I1320">
        <f>1</f>
        <v>1</v>
      </c>
    </row>
    <row r="1321" spans="2:9" x14ac:dyDescent="0.25">
      <c r="B1321">
        <v>0</v>
      </c>
      <c r="C1321" s="16" t="s">
        <v>10603</v>
      </c>
      <c r="D1321" s="16"/>
      <c r="E1321">
        <v>6</v>
      </c>
      <c r="F1321" t="s">
        <v>4680</v>
      </c>
      <c r="G1321">
        <v>1</v>
      </c>
      <c r="H1321">
        <v>0</v>
      </c>
      <c r="I1321">
        <f>1</f>
        <v>1</v>
      </c>
    </row>
    <row r="1322" spans="2:9" x14ac:dyDescent="0.25">
      <c r="B1322">
        <v>0</v>
      </c>
      <c r="C1322" s="16" t="s">
        <v>10604</v>
      </c>
      <c r="D1322" s="16"/>
      <c r="E1322">
        <v>6</v>
      </c>
      <c r="F1322" t="e">
        <f>-De outros cereais</f>
        <v>#NAME?</v>
      </c>
      <c r="G1322">
        <v>1</v>
      </c>
      <c r="H1322">
        <v>0</v>
      </c>
      <c r="I1322">
        <f>1</f>
        <v>1</v>
      </c>
    </row>
    <row r="1323" spans="2:9" x14ac:dyDescent="0.25">
      <c r="B1323">
        <v>0</v>
      </c>
      <c r="C1323" s="16" t="s">
        <v>10605</v>
      </c>
      <c r="D1323" s="16"/>
      <c r="E1323">
        <v>6</v>
      </c>
      <c r="F1323" t="e">
        <f>-De leguminosas</f>
        <v>#NAME?</v>
      </c>
      <c r="G1323">
        <v>1</v>
      </c>
      <c r="H1323">
        <v>0</v>
      </c>
      <c r="I1323">
        <f>1</f>
        <v>1</v>
      </c>
    </row>
    <row r="1324" spans="2:9" x14ac:dyDescent="0.25">
      <c r="B1324">
        <v>0</v>
      </c>
      <c r="C1324" s="16" t="s">
        <v>10606</v>
      </c>
      <c r="D1324" s="16"/>
      <c r="E1324">
        <v>6</v>
      </c>
      <c r="F1324" t="e">
        <f>-Resíduos da fabricação do Amido e Resíduos semelhantes</f>
        <v>#NAME?</v>
      </c>
      <c r="G1324">
        <v>1</v>
      </c>
      <c r="H1324">
        <v>0</v>
      </c>
      <c r="I1324">
        <f>1</f>
        <v>1</v>
      </c>
    </row>
    <row r="1325" spans="2:9" x14ac:dyDescent="0.25">
      <c r="B1325">
        <v>0</v>
      </c>
      <c r="C1325" s="16" t="s">
        <v>10607</v>
      </c>
      <c r="D1325" s="16"/>
      <c r="E1325">
        <v>6</v>
      </c>
      <c r="F1325" t="s">
        <v>5099</v>
      </c>
      <c r="G1325">
        <v>1</v>
      </c>
      <c r="H1325">
        <v>0</v>
      </c>
      <c r="I1325">
        <f>1</f>
        <v>1</v>
      </c>
    </row>
    <row r="1326" spans="2:9" x14ac:dyDescent="0.25">
      <c r="B1326">
        <v>0</v>
      </c>
      <c r="C1326" s="16" t="s">
        <v>10608</v>
      </c>
      <c r="D1326" s="16"/>
      <c r="E1326">
        <v>6</v>
      </c>
      <c r="F1326" t="e">
        <f>-Borras e desperdícios da indústria da cerveja e das destilarias</f>
        <v>#NAME?</v>
      </c>
      <c r="G1326">
        <v>1</v>
      </c>
      <c r="H1326">
        <v>0</v>
      </c>
      <c r="I1326">
        <f>1</f>
        <v>1</v>
      </c>
    </row>
    <row r="1327" spans="2:9" x14ac:dyDescent="0.25">
      <c r="B1327">
        <v>0</v>
      </c>
      <c r="C1327" s="16" t="s">
        <v>10609</v>
      </c>
      <c r="D1327" s="16"/>
      <c r="E1327">
        <v>6</v>
      </c>
      <c r="F1327" t="s">
        <v>5100</v>
      </c>
      <c r="G1327">
        <v>1</v>
      </c>
      <c r="H1327">
        <v>0</v>
      </c>
      <c r="I1327">
        <f>1</f>
        <v>1</v>
      </c>
    </row>
    <row r="1328" spans="2:9" x14ac:dyDescent="0.25">
      <c r="B1328">
        <v>0</v>
      </c>
      <c r="C1328" s="16" t="s">
        <v>10610</v>
      </c>
      <c r="D1328" s="16"/>
      <c r="E1328">
        <v>6</v>
      </c>
      <c r="F1328" t="s">
        <v>4680</v>
      </c>
      <c r="G1328">
        <v>1</v>
      </c>
      <c r="H1328">
        <v>0</v>
      </c>
      <c r="I1328">
        <f>1</f>
        <v>1</v>
      </c>
    </row>
    <row r="1329" spans="2:9" x14ac:dyDescent="0.25">
      <c r="B1329">
        <v>0</v>
      </c>
      <c r="C1329" s="16" t="s">
        <v>10611</v>
      </c>
      <c r="D1329" s="16"/>
      <c r="E1329">
        <v>6</v>
      </c>
      <c r="F1329" t="s">
        <v>5101</v>
      </c>
      <c r="G1329">
        <v>1</v>
      </c>
      <c r="H1329">
        <v>0</v>
      </c>
      <c r="I1329">
        <f>1</f>
        <v>1</v>
      </c>
    </row>
    <row r="1330" spans="2:9" x14ac:dyDescent="0.25">
      <c r="B1330">
        <v>0</v>
      </c>
      <c r="C1330" s="16" t="s">
        <v>10612</v>
      </c>
      <c r="D1330" s="16"/>
      <c r="E1330">
        <v>6</v>
      </c>
      <c r="F1330" t="e">
        <f>-De Sementes De algodão</f>
        <v>#NAME?</v>
      </c>
      <c r="G1330">
        <v>1</v>
      </c>
      <c r="H1330">
        <v>0</v>
      </c>
      <c r="I1330">
        <f>1</f>
        <v>1</v>
      </c>
    </row>
    <row r="1331" spans="2:9" x14ac:dyDescent="0.25">
      <c r="B1331">
        <v>0</v>
      </c>
      <c r="C1331" s="16" t="s">
        <v>10613</v>
      </c>
      <c r="D1331" s="16"/>
      <c r="E1331">
        <v>6</v>
      </c>
      <c r="F1331" t="e">
        <f>-De linhaça  Sementes De linho</f>
        <v>#NAME?</v>
      </c>
      <c r="G1331">
        <v>1</v>
      </c>
      <c r="H1331">
        <v>0</v>
      </c>
      <c r="I1331">
        <f>1</f>
        <v>1</v>
      </c>
    </row>
    <row r="1332" spans="2:9" x14ac:dyDescent="0.25">
      <c r="B1332">
        <v>0</v>
      </c>
      <c r="C1332" s="16" t="s">
        <v>10614</v>
      </c>
      <c r="D1332" s="16"/>
      <c r="E1332">
        <v>6</v>
      </c>
      <c r="F1332" t="s">
        <v>5102</v>
      </c>
      <c r="G1332">
        <v>1</v>
      </c>
      <c r="H1332">
        <v>0</v>
      </c>
      <c r="I1332">
        <f>1</f>
        <v>1</v>
      </c>
    </row>
    <row r="1333" spans="2:9" x14ac:dyDescent="0.25">
      <c r="B1333">
        <v>0</v>
      </c>
      <c r="C1333" s="16" t="s">
        <v>10615</v>
      </c>
      <c r="D1333" s="16"/>
      <c r="E1333">
        <v>6</v>
      </c>
      <c r="F1333" t="s">
        <v>4680</v>
      </c>
      <c r="G1333">
        <v>1</v>
      </c>
      <c r="H1333">
        <v>0</v>
      </c>
      <c r="I1333">
        <f>1</f>
        <v>1</v>
      </c>
    </row>
    <row r="1334" spans="2:9" x14ac:dyDescent="0.25">
      <c r="B1334">
        <v>0</v>
      </c>
      <c r="C1334" s="16" t="s">
        <v>10616</v>
      </c>
      <c r="D1334" s="16"/>
      <c r="E1334">
        <v>6</v>
      </c>
      <c r="F1334" t="e">
        <f>--Com baixo teor De ácido erúcico</f>
        <v>#NAME?</v>
      </c>
      <c r="G1334">
        <v>1</v>
      </c>
      <c r="H1334">
        <v>0</v>
      </c>
      <c r="I1334">
        <f>1</f>
        <v>1</v>
      </c>
    </row>
    <row r="1335" spans="2:9" x14ac:dyDescent="0.25">
      <c r="B1335">
        <v>0</v>
      </c>
      <c r="C1335" s="16" t="s">
        <v>10617</v>
      </c>
      <c r="D1335" s="16"/>
      <c r="E1335">
        <v>6</v>
      </c>
      <c r="F1335" t="e">
        <f>--outros</f>
        <v>#NAME?</v>
      </c>
      <c r="G1335">
        <v>1</v>
      </c>
      <c r="H1335">
        <v>0</v>
      </c>
      <c r="I1335">
        <f>1</f>
        <v>1</v>
      </c>
    </row>
    <row r="1336" spans="2:9" x14ac:dyDescent="0.25">
      <c r="B1336">
        <v>0</v>
      </c>
      <c r="C1336" s="16" t="s">
        <v>10618</v>
      </c>
      <c r="D1336" s="16"/>
      <c r="E1336">
        <v>6</v>
      </c>
      <c r="F1336" t="e">
        <f>-De coco ou De copra</f>
        <v>#NAME?</v>
      </c>
      <c r="G1336">
        <v>1</v>
      </c>
      <c r="H1336">
        <v>0</v>
      </c>
      <c r="I1336">
        <f>1</f>
        <v>1</v>
      </c>
    </row>
    <row r="1337" spans="2:9" x14ac:dyDescent="0.25">
      <c r="B1337">
        <v>0</v>
      </c>
      <c r="C1337" s="16" t="s">
        <v>10619</v>
      </c>
      <c r="D1337" s="16"/>
      <c r="E1337">
        <v>6</v>
      </c>
      <c r="F1337" t="e">
        <f>-De Nozes ou De amêndoas De palma  palmiste</f>
        <v>#NAME?</v>
      </c>
      <c r="G1337">
        <v>1</v>
      </c>
      <c r="H1337">
        <v>0</v>
      </c>
      <c r="I1337">
        <f>1</f>
        <v>1</v>
      </c>
    </row>
    <row r="1338" spans="2:9" x14ac:dyDescent="0.25">
      <c r="B1338">
        <v>0</v>
      </c>
      <c r="C1338" s="16" t="s">
        <v>10620</v>
      </c>
      <c r="D1338" s="16"/>
      <c r="E1338">
        <v>6</v>
      </c>
      <c r="F1338" t="s">
        <v>5103</v>
      </c>
      <c r="G1338">
        <v>1</v>
      </c>
      <c r="H1338">
        <v>0</v>
      </c>
      <c r="I1338">
        <f>1</f>
        <v>1</v>
      </c>
    </row>
    <row r="1339" spans="2:9" x14ac:dyDescent="0.25">
      <c r="B1339">
        <v>0</v>
      </c>
      <c r="C1339" s="16" t="s">
        <v>10621</v>
      </c>
      <c r="D1339" s="16"/>
      <c r="E1339">
        <v>6</v>
      </c>
      <c r="F1339" t="s">
        <v>4680</v>
      </c>
      <c r="G1339">
        <v>1</v>
      </c>
      <c r="H1339">
        <v>0</v>
      </c>
      <c r="I1339">
        <f>1</f>
        <v>1</v>
      </c>
    </row>
    <row r="1340" spans="2:9" x14ac:dyDescent="0.25">
      <c r="B1340">
        <v>0</v>
      </c>
      <c r="C1340" s="16" t="s">
        <v>10622</v>
      </c>
      <c r="D1340" s="16"/>
      <c r="E1340">
        <v>6</v>
      </c>
      <c r="F1340" t="s">
        <v>5104</v>
      </c>
      <c r="G1340">
        <v>1</v>
      </c>
      <c r="H1340">
        <v>0</v>
      </c>
      <c r="I1340">
        <f>1</f>
        <v>1</v>
      </c>
    </row>
    <row r="1341" spans="2:9" x14ac:dyDescent="0.25">
      <c r="B1341">
        <v>0</v>
      </c>
      <c r="C1341" s="16" t="s">
        <v>10623</v>
      </c>
      <c r="D1341" s="16"/>
      <c r="E1341">
        <v>6</v>
      </c>
      <c r="F1341" t="s">
        <v>5105</v>
      </c>
      <c r="G1341">
        <v>1</v>
      </c>
      <c r="H1341">
        <v>0</v>
      </c>
      <c r="I1341">
        <f>1</f>
        <v>1</v>
      </c>
    </row>
    <row r="1342" spans="2:9" x14ac:dyDescent="0.25">
      <c r="B1342">
        <v>0</v>
      </c>
      <c r="C1342" s="16" t="s">
        <v>10624</v>
      </c>
      <c r="D1342" s="16"/>
      <c r="E1342">
        <v>6</v>
      </c>
      <c r="F1342" t="s">
        <v>5106</v>
      </c>
      <c r="G1342">
        <v>1</v>
      </c>
      <c r="H1342">
        <v>0</v>
      </c>
      <c r="I1342">
        <f>1</f>
        <v>1</v>
      </c>
    </row>
    <row r="1343" spans="2:9" x14ac:dyDescent="0.25">
      <c r="B1343">
        <v>0</v>
      </c>
      <c r="C1343" s="16" t="s">
        <v>10625</v>
      </c>
      <c r="D1343" s="16"/>
      <c r="E1343">
        <v>6</v>
      </c>
      <c r="F1343" t="s">
        <v>5107</v>
      </c>
      <c r="G1343">
        <v>1</v>
      </c>
      <c r="H1343">
        <v>0</v>
      </c>
      <c r="I1343">
        <f>1</f>
        <v>1</v>
      </c>
    </row>
    <row r="1344" spans="2:9" x14ac:dyDescent="0.25">
      <c r="B1344">
        <v>0</v>
      </c>
      <c r="C1344" s="16" t="s">
        <v>10626</v>
      </c>
      <c r="D1344" s="16"/>
      <c r="E1344">
        <v>6</v>
      </c>
      <c r="F1344" t="s">
        <v>5108</v>
      </c>
      <c r="G1344">
        <v>1</v>
      </c>
      <c r="H1344">
        <v>0</v>
      </c>
      <c r="I1344">
        <f>1</f>
        <v>1</v>
      </c>
    </row>
    <row r="1345" spans="2:9" x14ac:dyDescent="0.25">
      <c r="B1345">
        <v>0</v>
      </c>
      <c r="C1345" s="16" t="s">
        <v>10627</v>
      </c>
      <c r="D1345" s="16"/>
      <c r="E1345">
        <v>6</v>
      </c>
      <c r="F1345" t="s">
        <v>5109</v>
      </c>
      <c r="G1345">
        <v>1</v>
      </c>
      <c r="H1345">
        <v>0</v>
      </c>
      <c r="I1345">
        <f>1</f>
        <v>1</v>
      </c>
    </row>
    <row r="1346" spans="2:9" x14ac:dyDescent="0.25">
      <c r="B1346">
        <v>0</v>
      </c>
      <c r="C1346" s="16" t="s">
        <v>10628</v>
      </c>
      <c r="D1346" s="16"/>
      <c r="E1346">
        <v>6</v>
      </c>
      <c r="F1346" t="s">
        <v>5110</v>
      </c>
      <c r="G1346">
        <v>1</v>
      </c>
      <c r="H1346">
        <v>0</v>
      </c>
      <c r="I1346">
        <f>1</f>
        <v>1</v>
      </c>
    </row>
    <row r="1347" spans="2:9" x14ac:dyDescent="0.25">
      <c r="B1347">
        <v>0</v>
      </c>
      <c r="C1347" s="16" t="s">
        <v>10629</v>
      </c>
      <c r="D1347" s="16"/>
      <c r="E1347">
        <v>6</v>
      </c>
      <c r="F1347" t="s">
        <v>5111</v>
      </c>
      <c r="G1347">
        <v>1</v>
      </c>
      <c r="H1347">
        <v>0</v>
      </c>
      <c r="I1347">
        <f>1</f>
        <v>1</v>
      </c>
    </row>
    <row r="1348" spans="2:9" x14ac:dyDescent="0.25">
      <c r="B1348">
        <v>0</v>
      </c>
      <c r="C1348" s="16" t="s">
        <v>10630</v>
      </c>
      <c r="D1348" s="16"/>
      <c r="E1348">
        <v>6</v>
      </c>
      <c r="F1348" t="s">
        <v>5112</v>
      </c>
      <c r="G1348">
        <v>1</v>
      </c>
      <c r="H1348">
        <v>0</v>
      </c>
      <c r="I1348">
        <f>1</f>
        <v>1</v>
      </c>
    </row>
    <row r="1349" spans="2:9" x14ac:dyDescent="0.25">
      <c r="B1349">
        <v>0</v>
      </c>
      <c r="C1349" s="16" t="s">
        <v>10630</v>
      </c>
      <c r="D1349" s="16" t="s">
        <v>19430</v>
      </c>
      <c r="E1349">
        <v>6</v>
      </c>
      <c r="F1349" t="s">
        <v>5113</v>
      </c>
      <c r="G1349">
        <v>1</v>
      </c>
      <c r="H1349">
        <v>0</v>
      </c>
      <c r="I1349">
        <f>1</f>
        <v>1</v>
      </c>
    </row>
    <row r="1350" spans="2:9" x14ac:dyDescent="0.25">
      <c r="B1350">
        <v>0</v>
      </c>
      <c r="C1350" s="16" t="s">
        <v>10631</v>
      </c>
      <c r="D1350" s="16"/>
      <c r="E1350">
        <v>6</v>
      </c>
      <c r="F1350" t="s">
        <v>4690</v>
      </c>
      <c r="G1350">
        <v>1</v>
      </c>
      <c r="H1350">
        <v>0</v>
      </c>
      <c r="I1350">
        <f>1</f>
        <v>1</v>
      </c>
    </row>
    <row r="1351" spans="2:9" x14ac:dyDescent="0.25">
      <c r="B1351">
        <v>0</v>
      </c>
      <c r="C1351" s="16" t="s">
        <v>10631</v>
      </c>
      <c r="D1351" s="16" t="s">
        <v>19430</v>
      </c>
      <c r="E1351">
        <v>6</v>
      </c>
      <c r="F1351" t="s">
        <v>5113</v>
      </c>
      <c r="G1351">
        <v>1</v>
      </c>
      <c r="H1351">
        <v>0</v>
      </c>
      <c r="I1351">
        <f>1</f>
        <v>1</v>
      </c>
    </row>
    <row r="1352" spans="2:9" x14ac:dyDescent="0.25">
      <c r="B1352">
        <v>0</v>
      </c>
      <c r="C1352" s="16" t="s">
        <v>10632</v>
      </c>
      <c r="D1352" s="16"/>
      <c r="E1352">
        <v>6</v>
      </c>
      <c r="F1352" t="s">
        <v>5114</v>
      </c>
      <c r="G1352">
        <v>1</v>
      </c>
      <c r="H1352">
        <v>1</v>
      </c>
      <c r="I1352">
        <f>1</f>
        <v>1</v>
      </c>
    </row>
    <row r="1353" spans="2:9" x14ac:dyDescent="0.25">
      <c r="B1353">
        <v>0</v>
      </c>
      <c r="C1353" s="16" t="s">
        <v>10633</v>
      </c>
      <c r="D1353" s="16"/>
      <c r="E1353">
        <v>6</v>
      </c>
      <c r="F1353" t="s">
        <v>5115</v>
      </c>
      <c r="G1353">
        <v>1</v>
      </c>
      <c r="H1353">
        <v>1</v>
      </c>
      <c r="I1353">
        <f>1</f>
        <v>1</v>
      </c>
    </row>
    <row r="1354" spans="2:9" x14ac:dyDescent="0.25">
      <c r="B1354">
        <v>0</v>
      </c>
      <c r="C1354" s="16" t="s">
        <v>10634</v>
      </c>
      <c r="D1354" s="16"/>
      <c r="E1354">
        <v>6</v>
      </c>
      <c r="F1354" t="s">
        <v>5116</v>
      </c>
      <c r="G1354">
        <v>1</v>
      </c>
      <c r="H1354">
        <v>1</v>
      </c>
      <c r="I1354">
        <f>1</f>
        <v>1</v>
      </c>
    </row>
    <row r="1355" spans="2:9" x14ac:dyDescent="0.25">
      <c r="B1355">
        <v>0</v>
      </c>
      <c r="C1355" s="16" t="s">
        <v>10635</v>
      </c>
      <c r="D1355" s="16"/>
      <c r="E1355">
        <v>6</v>
      </c>
      <c r="F1355" t="s">
        <v>5117</v>
      </c>
      <c r="G1355">
        <v>1</v>
      </c>
      <c r="H1355">
        <v>1</v>
      </c>
      <c r="I1355">
        <f>1</f>
        <v>1</v>
      </c>
    </row>
    <row r="1356" spans="2:9" x14ac:dyDescent="0.25">
      <c r="B1356">
        <v>0</v>
      </c>
      <c r="C1356" s="16" t="s">
        <v>10636</v>
      </c>
      <c r="D1356" s="16"/>
      <c r="E1356">
        <v>6</v>
      </c>
      <c r="F1356" t="s">
        <v>4680</v>
      </c>
      <c r="G1356">
        <v>1</v>
      </c>
      <c r="H1356">
        <v>1</v>
      </c>
      <c r="I1356">
        <f>1</f>
        <v>1</v>
      </c>
    </row>
    <row r="1357" spans="2:9" x14ac:dyDescent="0.25">
      <c r="B1357">
        <v>0</v>
      </c>
      <c r="C1357" s="16" t="s">
        <v>10637</v>
      </c>
      <c r="D1357" s="16"/>
      <c r="E1357">
        <v>6</v>
      </c>
      <c r="F1357" t="s">
        <v>5114</v>
      </c>
      <c r="G1357">
        <v>1</v>
      </c>
      <c r="H1357">
        <v>1</v>
      </c>
      <c r="I1357">
        <f>1</f>
        <v>1</v>
      </c>
    </row>
    <row r="1358" spans="2:9" x14ac:dyDescent="0.25">
      <c r="B1358">
        <v>0</v>
      </c>
      <c r="C1358" s="16" t="s">
        <v>10638</v>
      </c>
      <c r="D1358" s="16"/>
      <c r="E1358">
        <v>6</v>
      </c>
      <c r="F1358" t="s">
        <v>5115</v>
      </c>
      <c r="G1358">
        <v>1</v>
      </c>
      <c r="H1358">
        <v>1</v>
      </c>
      <c r="I1358">
        <f>1</f>
        <v>1</v>
      </c>
    </row>
    <row r="1359" spans="2:9" x14ac:dyDescent="0.25">
      <c r="B1359">
        <v>0</v>
      </c>
      <c r="C1359" s="16" t="s">
        <v>10639</v>
      </c>
      <c r="D1359" s="16"/>
      <c r="E1359">
        <v>6</v>
      </c>
      <c r="F1359" t="s">
        <v>5116</v>
      </c>
      <c r="G1359">
        <v>1</v>
      </c>
      <c r="H1359">
        <v>1</v>
      </c>
      <c r="I1359">
        <f>1</f>
        <v>1</v>
      </c>
    </row>
    <row r="1360" spans="2:9" x14ac:dyDescent="0.25">
      <c r="B1360">
        <v>0</v>
      </c>
      <c r="C1360" s="16" t="s">
        <v>10640</v>
      </c>
      <c r="D1360" s="16"/>
      <c r="E1360">
        <v>6</v>
      </c>
      <c r="F1360" t="s">
        <v>5118</v>
      </c>
      <c r="G1360">
        <v>1</v>
      </c>
      <c r="H1360">
        <v>1</v>
      </c>
      <c r="I1360">
        <f>1</f>
        <v>1</v>
      </c>
    </row>
    <row r="1361" spans="2:9" x14ac:dyDescent="0.25">
      <c r="B1361">
        <v>0</v>
      </c>
      <c r="C1361" s="16" t="s">
        <v>10641</v>
      </c>
      <c r="D1361" s="16"/>
      <c r="E1361">
        <v>6</v>
      </c>
      <c r="F1361" t="s">
        <v>4680</v>
      </c>
      <c r="G1361">
        <v>1</v>
      </c>
      <c r="H1361">
        <v>1</v>
      </c>
      <c r="I1361">
        <f>1</f>
        <v>1</v>
      </c>
    </row>
    <row r="1362" spans="2:9" x14ac:dyDescent="0.25">
      <c r="B1362">
        <v>0</v>
      </c>
      <c r="C1362" s="16" t="s">
        <v>10642</v>
      </c>
      <c r="D1362" s="16"/>
      <c r="E1362">
        <v>6</v>
      </c>
      <c r="F1362" t="e">
        <f>-desperdícios De tabaco</f>
        <v>#NAME?</v>
      </c>
      <c r="G1362">
        <v>1</v>
      </c>
      <c r="H1362">
        <v>1</v>
      </c>
      <c r="I1362">
        <f>1</f>
        <v>1</v>
      </c>
    </row>
    <row r="1363" spans="2:9" x14ac:dyDescent="0.25">
      <c r="B1363">
        <v>0</v>
      </c>
      <c r="C1363" s="16" t="s">
        <v>10643</v>
      </c>
      <c r="D1363" s="16"/>
      <c r="E1363">
        <v>6</v>
      </c>
      <c r="F1363" t="s">
        <v>5119</v>
      </c>
      <c r="G1363">
        <v>1</v>
      </c>
      <c r="H1363">
        <v>1</v>
      </c>
      <c r="I1363">
        <f>1</f>
        <v>1</v>
      </c>
    </row>
    <row r="1364" spans="2:9" x14ac:dyDescent="0.25">
      <c r="B1364">
        <v>0</v>
      </c>
      <c r="C1364" s="16" t="s">
        <v>10643</v>
      </c>
      <c r="D1364" s="16" t="s">
        <v>19430</v>
      </c>
      <c r="E1364">
        <v>6</v>
      </c>
      <c r="F1364" t="s">
        <v>5120</v>
      </c>
      <c r="G1364">
        <v>1</v>
      </c>
      <c r="H1364">
        <v>1</v>
      </c>
      <c r="I1364">
        <f>1</f>
        <v>1</v>
      </c>
    </row>
    <row r="1365" spans="2:9" x14ac:dyDescent="0.25">
      <c r="B1365">
        <v>0</v>
      </c>
      <c r="C1365" s="16" t="s">
        <v>10644</v>
      </c>
      <c r="D1365" s="16"/>
      <c r="E1365">
        <v>6</v>
      </c>
      <c r="F1365" t="e">
        <f>-Cigarros que contenham tabaco</f>
        <v>#NAME?</v>
      </c>
      <c r="G1365">
        <v>1</v>
      </c>
      <c r="H1365">
        <v>1</v>
      </c>
      <c r="I1365">
        <f>1</f>
        <v>1</v>
      </c>
    </row>
    <row r="1366" spans="2:9" x14ac:dyDescent="0.25">
      <c r="B1366">
        <v>0</v>
      </c>
      <c r="C1366" s="16" t="s">
        <v>10644</v>
      </c>
      <c r="D1366" s="16" t="s">
        <v>19430</v>
      </c>
      <c r="E1366">
        <v>6</v>
      </c>
      <c r="F1366" t="s">
        <v>5121</v>
      </c>
      <c r="G1366">
        <v>1</v>
      </c>
      <c r="H1366">
        <v>1</v>
      </c>
      <c r="I1366">
        <f>1</f>
        <v>1</v>
      </c>
    </row>
    <row r="1367" spans="2:9" x14ac:dyDescent="0.25">
      <c r="B1367">
        <v>0</v>
      </c>
      <c r="C1367" s="16" t="s">
        <v>10645</v>
      </c>
      <c r="D1367" s="16"/>
      <c r="E1367">
        <v>6</v>
      </c>
      <c r="F1367" t="e">
        <f>-outros</f>
        <v>#NAME?</v>
      </c>
      <c r="G1367">
        <v>1</v>
      </c>
      <c r="H1367">
        <v>1</v>
      </c>
      <c r="I1367">
        <f>1</f>
        <v>1</v>
      </c>
    </row>
    <row r="1368" spans="2:9" x14ac:dyDescent="0.25">
      <c r="B1368">
        <v>0</v>
      </c>
      <c r="C1368" s="16" t="s">
        <v>10645</v>
      </c>
      <c r="D1368" s="16" t="s">
        <v>19430</v>
      </c>
      <c r="E1368">
        <v>6</v>
      </c>
      <c r="F1368" t="s">
        <v>5122</v>
      </c>
      <c r="G1368">
        <v>1</v>
      </c>
      <c r="H1368">
        <v>1</v>
      </c>
      <c r="I1368">
        <f>1</f>
        <v>1</v>
      </c>
    </row>
    <row r="1369" spans="2:9" x14ac:dyDescent="0.25">
      <c r="B1369">
        <v>0</v>
      </c>
      <c r="C1369" s="16" t="s">
        <v>10646</v>
      </c>
      <c r="D1369" s="16"/>
      <c r="E1369">
        <v>6</v>
      </c>
      <c r="F1369" t="s">
        <v>5123</v>
      </c>
      <c r="G1369">
        <v>1</v>
      </c>
      <c r="H1369">
        <v>1</v>
      </c>
      <c r="I1369">
        <f>1</f>
        <v>1</v>
      </c>
    </row>
    <row r="1370" spans="2:9" x14ac:dyDescent="0.25">
      <c r="B1370">
        <v>0</v>
      </c>
      <c r="C1370" s="16" t="s">
        <v>10647</v>
      </c>
      <c r="D1370" s="16"/>
      <c r="E1370">
        <v>6</v>
      </c>
      <c r="F1370" t="e">
        <f>--outros</f>
        <v>#NAME?</v>
      </c>
      <c r="G1370">
        <v>1</v>
      </c>
      <c r="H1370">
        <v>1</v>
      </c>
      <c r="I1370">
        <f>1</f>
        <v>1</v>
      </c>
    </row>
    <row r="1371" spans="2:9" x14ac:dyDescent="0.25">
      <c r="B1371">
        <v>0</v>
      </c>
      <c r="C1371" s="16" t="s">
        <v>10648</v>
      </c>
      <c r="D1371" s="16"/>
      <c r="E1371">
        <v>6</v>
      </c>
      <c r="F1371" t="e">
        <f>--tabaco “homogeneizado” ou “reconstituído”</f>
        <v>#NAME?</v>
      </c>
      <c r="G1371">
        <v>1</v>
      </c>
      <c r="H1371">
        <v>1</v>
      </c>
      <c r="I1371">
        <f>1</f>
        <v>1</v>
      </c>
    </row>
    <row r="1372" spans="2:9" x14ac:dyDescent="0.25">
      <c r="B1372">
        <v>0</v>
      </c>
      <c r="C1372" s="16" t="s">
        <v>10649</v>
      </c>
      <c r="D1372" s="16"/>
      <c r="E1372">
        <v>6</v>
      </c>
      <c r="F1372" t="s">
        <v>5124</v>
      </c>
      <c r="G1372">
        <v>1</v>
      </c>
      <c r="H1372">
        <v>1</v>
      </c>
      <c r="I1372">
        <f>1</f>
        <v>1</v>
      </c>
    </row>
    <row r="1373" spans="2:9" x14ac:dyDescent="0.25">
      <c r="B1373">
        <v>0</v>
      </c>
      <c r="C1373" s="16" t="s">
        <v>10650</v>
      </c>
      <c r="D1373" s="16"/>
      <c r="E1373">
        <v>6</v>
      </c>
      <c r="F1373" t="s">
        <v>4680</v>
      </c>
      <c r="G1373">
        <v>1</v>
      </c>
      <c r="H1373">
        <v>1</v>
      </c>
      <c r="I1373">
        <f>1</f>
        <v>1</v>
      </c>
    </row>
    <row r="1374" spans="2:9" x14ac:dyDescent="0.25">
      <c r="B1374">
        <v>0</v>
      </c>
      <c r="C1374" s="16" t="s">
        <v>10651</v>
      </c>
      <c r="D1374" s="16"/>
      <c r="E1374">
        <v>6</v>
      </c>
      <c r="F1374" t="s">
        <v>5125</v>
      </c>
      <c r="G1374">
        <v>1</v>
      </c>
      <c r="H1374">
        <v>1</v>
      </c>
      <c r="I1374">
        <f>1</f>
        <v>1</v>
      </c>
    </row>
    <row r="1375" spans="2:9" x14ac:dyDescent="0.25">
      <c r="B1375">
        <v>0</v>
      </c>
      <c r="C1375" s="16" t="s">
        <v>10652</v>
      </c>
      <c r="D1375" s="16"/>
      <c r="E1375">
        <v>6</v>
      </c>
      <c r="F1375" t="s">
        <v>4680</v>
      </c>
      <c r="G1375">
        <v>1</v>
      </c>
      <c r="H1375">
        <v>1</v>
      </c>
      <c r="I1375">
        <f>1</f>
        <v>1</v>
      </c>
    </row>
    <row r="1376" spans="2:9" x14ac:dyDescent="0.25">
      <c r="B1376">
        <v>0</v>
      </c>
      <c r="C1376" s="16" t="s">
        <v>10653</v>
      </c>
      <c r="D1376" s="16"/>
      <c r="E1376">
        <v>6</v>
      </c>
      <c r="F1376" t="s">
        <v>5126</v>
      </c>
      <c r="G1376">
        <v>1</v>
      </c>
      <c r="H1376">
        <v>1</v>
      </c>
      <c r="I1376">
        <f>1</f>
        <v>1</v>
      </c>
    </row>
    <row r="1377" spans="2:9" x14ac:dyDescent="0.25">
      <c r="B1377">
        <v>0</v>
      </c>
      <c r="C1377" s="16" t="s">
        <v>10654</v>
      </c>
      <c r="D1377" s="16"/>
      <c r="E1377">
        <v>6</v>
      </c>
      <c r="F1377" t="s">
        <v>4680</v>
      </c>
      <c r="G1377">
        <v>1</v>
      </c>
      <c r="H1377">
        <v>1</v>
      </c>
      <c r="I1377">
        <f>1</f>
        <v>1</v>
      </c>
    </row>
    <row r="1378" spans="2:9" x14ac:dyDescent="0.25">
      <c r="B1378">
        <v>0</v>
      </c>
      <c r="C1378" s="16" t="s">
        <v>10654</v>
      </c>
      <c r="D1378" s="16" t="s">
        <v>19430</v>
      </c>
      <c r="E1378">
        <v>6</v>
      </c>
      <c r="F1378" t="s">
        <v>5127</v>
      </c>
      <c r="G1378">
        <v>1</v>
      </c>
      <c r="H1378">
        <v>1</v>
      </c>
      <c r="I1378">
        <f>1</f>
        <v>1</v>
      </c>
    </row>
    <row r="1379" spans="2:9" x14ac:dyDescent="0.25">
      <c r="B1379">
        <v>0</v>
      </c>
      <c r="C1379" s="16" t="s">
        <v>10655</v>
      </c>
      <c r="D1379" s="16"/>
      <c r="E1379">
        <v>6</v>
      </c>
      <c r="F1379" t="s">
        <v>5128</v>
      </c>
      <c r="G1379">
        <v>1</v>
      </c>
      <c r="H1379">
        <v>1</v>
      </c>
      <c r="I1379">
        <f>1</f>
        <v>1</v>
      </c>
    </row>
    <row r="1380" spans="2:9" x14ac:dyDescent="0.25">
      <c r="B1380">
        <v>0</v>
      </c>
      <c r="C1380" s="16" t="s">
        <v>10656</v>
      </c>
      <c r="D1380" s="16"/>
      <c r="E1380">
        <v>6</v>
      </c>
      <c r="F1380" t="s">
        <v>5129</v>
      </c>
      <c r="G1380">
        <v>1</v>
      </c>
      <c r="H1380">
        <v>1</v>
      </c>
      <c r="I1380">
        <f>1</f>
        <v>1</v>
      </c>
    </row>
    <row r="1381" spans="2:9" x14ac:dyDescent="0.25">
      <c r="B1381">
        <v>0</v>
      </c>
      <c r="C1381" s="16" t="s">
        <v>10656</v>
      </c>
      <c r="D1381" s="16" t="s">
        <v>19430</v>
      </c>
      <c r="E1381">
        <v>6</v>
      </c>
      <c r="F1381" t="s">
        <v>5130</v>
      </c>
      <c r="G1381">
        <v>1</v>
      </c>
      <c r="H1381">
        <v>1</v>
      </c>
      <c r="I1381">
        <f>1</f>
        <v>1</v>
      </c>
    </row>
    <row r="1382" spans="2:9" x14ac:dyDescent="0.25">
      <c r="B1382">
        <v>0</v>
      </c>
      <c r="C1382" s="16" t="s">
        <v>10657</v>
      </c>
      <c r="D1382" s="16"/>
      <c r="E1382">
        <v>6</v>
      </c>
      <c r="F1382" t="s">
        <v>4680</v>
      </c>
      <c r="G1382">
        <v>1</v>
      </c>
      <c r="H1382">
        <v>1</v>
      </c>
      <c r="I1382">
        <f>1</f>
        <v>1</v>
      </c>
    </row>
    <row r="1383" spans="2:9" x14ac:dyDescent="0.25">
      <c r="B1383">
        <v>0</v>
      </c>
      <c r="C1383" s="16" t="s">
        <v>10658</v>
      </c>
      <c r="D1383" s="16"/>
      <c r="E1383">
        <v>6</v>
      </c>
      <c r="F1383" t="e">
        <f>-em pó ou em escamas</f>
        <v>#NAME?</v>
      </c>
      <c r="G1383">
        <v>1</v>
      </c>
      <c r="H1383">
        <v>1</v>
      </c>
      <c r="I1383">
        <f>1</f>
        <v>1</v>
      </c>
    </row>
    <row r="1384" spans="2:9" x14ac:dyDescent="0.25">
      <c r="B1384">
        <v>0</v>
      </c>
      <c r="C1384" s="16" t="s">
        <v>10659</v>
      </c>
      <c r="D1384" s="16"/>
      <c r="E1384">
        <v>6</v>
      </c>
      <c r="F1384" t="e">
        <f>-outra</f>
        <v>#NAME?</v>
      </c>
      <c r="G1384">
        <v>1</v>
      </c>
      <c r="H1384">
        <v>1</v>
      </c>
      <c r="I1384">
        <f>1</f>
        <v>1</v>
      </c>
    </row>
    <row r="1385" spans="2:9" x14ac:dyDescent="0.25">
      <c r="B1385">
        <v>0</v>
      </c>
      <c r="C1385" s="16" t="s">
        <v>10660</v>
      </c>
      <c r="D1385" s="16"/>
      <c r="E1385">
        <v>6</v>
      </c>
      <c r="F1385" t="e">
        <f>-Areias siliciosas e Areias quartzosas</f>
        <v>#NAME?</v>
      </c>
      <c r="G1385">
        <v>1</v>
      </c>
      <c r="H1385">
        <v>1</v>
      </c>
      <c r="I1385">
        <f>1</f>
        <v>1</v>
      </c>
    </row>
    <row r="1386" spans="2:9" x14ac:dyDescent="0.25">
      <c r="B1386">
        <v>0</v>
      </c>
      <c r="C1386" s="16" t="s">
        <v>10661</v>
      </c>
      <c r="D1386" s="16"/>
      <c r="E1386">
        <v>6</v>
      </c>
      <c r="F1386" t="e">
        <f>-Outras Areias</f>
        <v>#NAME?</v>
      </c>
      <c r="G1386">
        <v>1</v>
      </c>
      <c r="H1386">
        <v>1</v>
      </c>
      <c r="I1386">
        <f>1</f>
        <v>1</v>
      </c>
    </row>
    <row r="1387" spans="2:9" x14ac:dyDescent="0.25">
      <c r="B1387">
        <v>0</v>
      </c>
      <c r="C1387" s="16" t="s">
        <v>10662</v>
      </c>
      <c r="D1387" s="16"/>
      <c r="E1387">
        <v>6</v>
      </c>
      <c r="F1387" t="e">
        <f>-Quartzo</f>
        <v>#NAME?</v>
      </c>
      <c r="G1387">
        <v>1</v>
      </c>
      <c r="H1387">
        <v>1</v>
      </c>
      <c r="I1387">
        <f>1</f>
        <v>1</v>
      </c>
    </row>
    <row r="1388" spans="2:9" x14ac:dyDescent="0.25">
      <c r="B1388">
        <v>0</v>
      </c>
      <c r="C1388" s="16" t="s">
        <v>10663</v>
      </c>
      <c r="D1388" s="16"/>
      <c r="E1388">
        <v>6</v>
      </c>
      <c r="F1388" t="e">
        <f>-Quartzitos</f>
        <v>#NAME?</v>
      </c>
      <c r="G1388">
        <v>1</v>
      </c>
      <c r="H1388">
        <v>1</v>
      </c>
      <c r="I1388">
        <f>1</f>
        <v>1</v>
      </c>
    </row>
    <row r="1389" spans="2:9" x14ac:dyDescent="0.25">
      <c r="B1389">
        <v>0</v>
      </c>
      <c r="C1389" s="16" t="s">
        <v>10664</v>
      </c>
      <c r="D1389" s="16"/>
      <c r="E1389">
        <v>6</v>
      </c>
      <c r="F1389" t="s">
        <v>5131</v>
      </c>
      <c r="G1389">
        <v>1</v>
      </c>
      <c r="H1389">
        <v>1</v>
      </c>
      <c r="I1389">
        <f>1</f>
        <v>1</v>
      </c>
    </row>
    <row r="1390" spans="2:9" x14ac:dyDescent="0.25">
      <c r="B1390">
        <v>0</v>
      </c>
      <c r="C1390" s="16" t="s">
        <v>10665</v>
      </c>
      <c r="D1390" s="16"/>
      <c r="E1390">
        <v>6</v>
      </c>
      <c r="F1390" t="s">
        <v>4680</v>
      </c>
      <c r="G1390">
        <v>1</v>
      </c>
      <c r="H1390">
        <v>1</v>
      </c>
      <c r="I1390">
        <f>1</f>
        <v>1</v>
      </c>
    </row>
    <row r="1391" spans="2:9" x14ac:dyDescent="0.25">
      <c r="B1391">
        <v>0</v>
      </c>
      <c r="C1391" s="16" t="s">
        <v>10666</v>
      </c>
      <c r="D1391" s="16"/>
      <c r="E1391">
        <v>6</v>
      </c>
      <c r="F1391" t="e">
        <f>-Bentonita</f>
        <v>#NAME?</v>
      </c>
      <c r="G1391">
        <v>1</v>
      </c>
      <c r="H1391">
        <v>1</v>
      </c>
      <c r="I1391">
        <f>1</f>
        <v>1</v>
      </c>
    </row>
    <row r="1392" spans="2:9" x14ac:dyDescent="0.25">
      <c r="B1392">
        <v>0</v>
      </c>
      <c r="C1392" s="16" t="s">
        <v>10667</v>
      </c>
      <c r="D1392" s="16"/>
      <c r="E1392">
        <v>6</v>
      </c>
      <c r="F1392" t="e">
        <f>-Argilas refratárias</f>
        <v>#NAME?</v>
      </c>
      <c r="G1392">
        <v>1</v>
      </c>
      <c r="H1392">
        <v>1</v>
      </c>
      <c r="I1392">
        <f>1</f>
        <v>1</v>
      </c>
    </row>
    <row r="1393" spans="2:9" x14ac:dyDescent="0.25">
      <c r="B1393">
        <v>0</v>
      </c>
      <c r="C1393" s="16" t="s">
        <v>10668</v>
      </c>
      <c r="D1393" s="16"/>
      <c r="E1393">
        <v>6</v>
      </c>
      <c r="F1393" t="s">
        <v>5132</v>
      </c>
      <c r="G1393">
        <v>1</v>
      </c>
      <c r="H1393">
        <v>1</v>
      </c>
      <c r="I1393">
        <f>1</f>
        <v>1</v>
      </c>
    </row>
    <row r="1394" spans="2:9" x14ac:dyDescent="0.25">
      <c r="B1394">
        <v>0</v>
      </c>
      <c r="C1394" s="16" t="s">
        <v>10669</v>
      </c>
      <c r="D1394" s="16"/>
      <c r="E1394">
        <v>6</v>
      </c>
      <c r="F1394" t="s">
        <v>4690</v>
      </c>
      <c r="G1394">
        <v>1</v>
      </c>
      <c r="H1394">
        <v>1</v>
      </c>
      <c r="I1394">
        <f>1</f>
        <v>1</v>
      </c>
    </row>
    <row r="1395" spans="2:9" x14ac:dyDescent="0.25">
      <c r="B1395">
        <v>0</v>
      </c>
      <c r="C1395" s="16" t="s">
        <v>10670</v>
      </c>
      <c r="D1395" s="16"/>
      <c r="E1395">
        <v>6</v>
      </c>
      <c r="F1395" t="s">
        <v>5133</v>
      </c>
      <c r="G1395">
        <v>1</v>
      </c>
      <c r="H1395">
        <v>1</v>
      </c>
      <c r="I1395">
        <f>1</f>
        <v>1</v>
      </c>
    </row>
    <row r="1396" spans="2:9" x14ac:dyDescent="0.25">
      <c r="B1396">
        <v>0</v>
      </c>
      <c r="C1396" s="16" t="s">
        <v>10671</v>
      </c>
      <c r="D1396" s="16"/>
      <c r="E1396">
        <v>6</v>
      </c>
      <c r="F1396" t="e">
        <f>-Mulita</f>
        <v>#NAME?</v>
      </c>
      <c r="G1396">
        <v>1</v>
      </c>
      <c r="H1396">
        <v>1</v>
      </c>
      <c r="I1396">
        <f>1</f>
        <v>1</v>
      </c>
    </row>
    <row r="1397" spans="2:9" x14ac:dyDescent="0.25">
      <c r="B1397">
        <v>0</v>
      </c>
      <c r="C1397" s="16" t="s">
        <v>10672</v>
      </c>
      <c r="D1397" s="16"/>
      <c r="E1397">
        <v>6</v>
      </c>
      <c r="F1397" t="e">
        <f>-Barro cozido em pó  terra De chamotte  e terra De dinas</f>
        <v>#NAME?</v>
      </c>
      <c r="G1397">
        <v>1</v>
      </c>
      <c r="H1397">
        <v>1</v>
      </c>
      <c r="I1397">
        <f>1</f>
        <v>1</v>
      </c>
    </row>
    <row r="1398" spans="2:9" x14ac:dyDescent="0.25">
      <c r="B1398">
        <v>0</v>
      </c>
      <c r="C1398" s="16" t="s">
        <v>10673</v>
      </c>
      <c r="D1398" s="16"/>
      <c r="E1398">
        <v>6</v>
      </c>
      <c r="F1398" t="s">
        <v>5134</v>
      </c>
      <c r="G1398">
        <v>1</v>
      </c>
      <c r="H1398">
        <v>1</v>
      </c>
      <c r="I1398">
        <f>1</f>
        <v>1</v>
      </c>
    </row>
    <row r="1399" spans="2:9" x14ac:dyDescent="0.25">
      <c r="B1399">
        <v>0</v>
      </c>
      <c r="C1399" s="16" t="s">
        <v>10674</v>
      </c>
      <c r="D1399" s="16"/>
      <c r="E1399">
        <v>6</v>
      </c>
      <c r="F1399" t="s">
        <v>5135</v>
      </c>
      <c r="G1399">
        <v>1</v>
      </c>
      <c r="H1399">
        <v>1</v>
      </c>
      <c r="I1399">
        <f>1</f>
        <v>1</v>
      </c>
    </row>
    <row r="1400" spans="2:9" x14ac:dyDescent="0.25">
      <c r="B1400">
        <v>0</v>
      </c>
      <c r="C1400" s="16" t="s">
        <v>10675</v>
      </c>
      <c r="D1400" s="16"/>
      <c r="E1400">
        <v>6</v>
      </c>
      <c r="F1400" t="s">
        <v>4680</v>
      </c>
      <c r="G1400">
        <v>1</v>
      </c>
      <c r="H1400">
        <v>1</v>
      </c>
      <c r="I1400">
        <f>1</f>
        <v>1</v>
      </c>
    </row>
    <row r="1401" spans="2:9" x14ac:dyDescent="0.25">
      <c r="B1401">
        <v>0</v>
      </c>
      <c r="C1401" s="16" t="s">
        <v>10676</v>
      </c>
      <c r="D1401" s="16"/>
      <c r="E1401">
        <v>6</v>
      </c>
      <c r="F1401" t="s">
        <v>5135</v>
      </c>
      <c r="G1401">
        <v>1</v>
      </c>
      <c r="H1401">
        <v>1</v>
      </c>
      <c r="I1401">
        <f>1</f>
        <v>1</v>
      </c>
    </row>
    <row r="1402" spans="2:9" x14ac:dyDescent="0.25">
      <c r="B1402">
        <v>0</v>
      </c>
      <c r="C1402" s="16" t="s">
        <v>10677</v>
      </c>
      <c r="D1402" s="16"/>
      <c r="E1402">
        <v>6</v>
      </c>
      <c r="F1402" t="s">
        <v>4680</v>
      </c>
      <c r="G1402">
        <v>1</v>
      </c>
      <c r="H1402">
        <v>1</v>
      </c>
      <c r="I1402">
        <f>1</f>
        <v>1</v>
      </c>
    </row>
    <row r="1403" spans="2:9" x14ac:dyDescent="0.25">
      <c r="B1403">
        <v>0</v>
      </c>
      <c r="C1403" s="16" t="s">
        <v>10678</v>
      </c>
      <c r="D1403" s="16"/>
      <c r="E1403">
        <v>6</v>
      </c>
      <c r="F1403" t="e">
        <f>-Sulfato De bário natural  baritina</f>
        <v>#NAME?</v>
      </c>
      <c r="G1403">
        <v>1</v>
      </c>
      <c r="H1403">
        <v>1</v>
      </c>
      <c r="I1403">
        <f>1</f>
        <v>1</v>
      </c>
    </row>
    <row r="1404" spans="2:9" x14ac:dyDescent="0.25">
      <c r="B1404">
        <v>0</v>
      </c>
      <c r="C1404" s="16" t="s">
        <v>10679</v>
      </c>
      <c r="D1404" s="16"/>
      <c r="E1404">
        <v>6</v>
      </c>
      <c r="F1404" t="e">
        <f>-Carbonato De bário natural  witherita</f>
        <v>#NAME?</v>
      </c>
      <c r="G1404">
        <v>1</v>
      </c>
      <c r="H1404">
        <v>1</v>
      </c>
      <c r="I1404">
        <f>1</f>
        <v>1</v>
      </c>
    </row>
    <row r="1405" spans="2:9" x14ac:dyDescent="0.25">
      <c r="B1405">
        <v>0</v>
      </c>
      <c r="C1405" s="16" t="s">
        <v>10680</v>
      </c>
      <c r="D1405" s="16"/>
      <c r="E1405">
        <v>6</v>
      </c>
      <c r="F1405" t="s">
        <v>5136</v>
      </c>
      <c r="G1405">
        <v>1</v>
      </c>
      <c r="H1405">
        <v>1</v>
      </c>
      <c r="I1405">
        <f>1</f>
        <v>1</v>
      </c>
    </row>
    <row r="1406" spans="2:9" x14ac:dyDescent="0.25">
      <c r="B1406">
        <v>0</v>
      </c>
      <c r="C1406" s="16" t="s">
        <v>10681</v>
      </c>
      <c r="D1406" s="16"/>
      <c r="E1406">
        <v>6</v>
      </c>
      <c r="F1406" t="e">
        <f>-Pedra-pomes</f>
        <v>#NAME?</v>
      </c>
      <c r="G1406">
        <v>1</v>
      </c>
      <c r="H1406">
        <v>1</v>
      </c>
      <c r="I1406">
        <f>1</f>
        <v>1</v>
      </c>
    </row>
    <row r="1407" spans="2:9" x14ac:dyDescent="0.25">
      <c r="B1407">
        <v>0</v>
      </c>
      <c r="C1407" s="16" t="s">
        <v>10682</v>
      </c>
      <c r="D1407" s="16"/>
      <c r="E1407">
        <v>6</v>
      </c>
      <c r="F1407" t="s">
        <v>5137</v>
      </c>
      <c r="G1407">
        <v>1</v>
      </c>
      <c r="H1407">
        <v>1</v>
      </c>
      <c r="I1407">
        <f>1</f>
        <v>1</v>
      </c>
    </row>
    <row r="1408" spans="2:9" x14ac:dyDescent="0.25">
      <c r="B1408">
        <v>0</v>
      </c>
      <c r="C1408" s="16" t="s">
        <v>10683</v>
      </c>
      <c r="D1408" s="16"/>
      <c r="E1408">
        <v>6</v>
      </c>
      <c r="F1408" t="s">
        <v>5138</v>
      </c>
      <c r="G1408">
        <v>1</v>
      </c>
      <c r="H1408">
        <v>1</v>
      </c>
      <c r="I1408">
        <f>1</f>
        <v>1</v>
      </c>
    </row>
    <row r="1409" spans="2:9" x14ac:dyDescent="0.25">
      <c r="B1409">
        <v>0</v>
      </c>
      <c r="C1409" s="16" t="s">
        <v>10684</v>
      </c>
      <c r="D1409" s="16"/>
      <c r="E1409">
        <v>6</v>
      </c>
      <c r="F1409" t="e">
        <f>--em bruto ou desbastados</f>
        <v>#NAME?</v>
      </c>
      <c r="G1409">
        <v>1</v>
      </c>
      <c r="H1409">
        <v>1</v>
      </c>
      <c r="I1409">
        <f>1</f>
        <v>1</v>
      </c>
    </row>
    <row r="1410" spans="2:9" x14ac:dyDescent="0.25">
      <c r="B1410">
        <v>0</v>
      </c>
      <c r="C1410" s="16" t="s">
        <v>10685</v>
      </c>
      <c r="D1410" s="16"/>
      <c r="E1410">
        <v>6</v>
      </c>
      <c r="F1410" t="s">
        <v>5139</v>
      </c>
      <c r="G1410">
        <v>1</v>
      </c>
      <c r="H1410">
        <v>1</v>
      </c>
      <c r="I1410">
        <f>1</f>
        <v>1</v>
      </c>
    </row>
    <row r="1411" spans="2:9" x14ac:dyDescent="0.25">
      <c r="B1411">
        <v>0</v>
      </c>
      <c r="C1411" s="16" t="s">
        <v>10686</v>
      </c>
      <c r="D1411" s="16"/>
      <c r="E1411">
        <v>6</v>
      </c>
      <c r="F1411" t="s">
        <v>5140</v>
      </c>
      <c r="G1411">
        <v>1</v>
      </c>
      <c r="H1411">
        <v>1</v>
      </c>
      <c r="I1411">
        <f>1</f>
        <v>1</v>
      </c>
    </row>
    <row r="1412" spans="2:9" x14ac:dyDescent="0.25">
      <c r="B1412">
        <v>0</v>
      </c>
      <c r="C1412" s="16" t="s">
        <v>10687</v>
      </c>
      <c r="D1412" s="16"/>
      <c r="E1412">
        <v>6</v>
      </c>
      <c r="F1412" t="s">
        <v>5141</v>
      </c>
      <c r="G1412">
        <v>1</v>
      </c>
      <c r="H1412">
        <v>1</v>
      </c>
      <c r="I1412">
        <f>1</f>
        <v>1</v>
      </c>
    </row>
    <row r="1413" spans="2:9" x14ac:dyDescent="0.25">
      <c r="B1413">
        <v>0</v>
      </c>
      <c r="C1413" s="16" t="s">
        <v>10688</v>
      </c>
      <c r="D1413" s="16"/>
      <c r="E1413">
        <v>6</v>
      </c>
      <c r="F1413" t="e">
        <f>--em bruto ou desbastado</f>
        <v>#NAME?</v>
      </c>
      <c r="G1413">
        <v>1</v>
      </c>
      <c r="H1413">
        <v>1</v>
      </c>
      <c r="I1413">
        <f>1</f>
        <v>1</v>
      </c>
    </row>
    <row r="1414" spans="2:9" x14ac:dyDescent="0.25">
      <c r="B1414">
        <v>0</v>
      </c>
      <c r="C1414" s="16" t="s">
        <v>10689</v>
      </c>
      <c r="D1414" s="16"/>
      <c r="E1414">
        <v>6</v>
      </c>
      <c r="F1414" t="s">
        <v>5142</v>
      </c>
      <c r="G1414">
        <v>1</v>
      </c>
      <c r="H1414">
        <v>1</v>
      </c>
      <c r="I1414">
        <f>1</f>
        <v>1</v>
      </c>
    </row>
    <row r="1415" spans="2:9" x14ac:dyDescent="0.25">
      <c r="B1415">
        <v>0</v>
      </c>
      <c r="C1415" s="16" t="s">
        <v>10690</v>
      </c>
      <c r="D1415" s="16"/>
      <c r="E1415">
        <v>6</v>
      </c>
      <c r="F1415" t="e">
        <f>-Arenito</f>
        <v>#NAME?</v>
      </c>
      <c r="G1415">
        <v>1</v>
      </c>
      <c r="H1415">
        <v>1</v>
      </c>
      <c r="I1415">
        <f>1</f>
        <v>1</v>
      </c>
    </row>
    <row r="1416" spans="2:9" x14ac:dyDescent="0.25">
      <c r="B1416">
        <v>0</v>
      </c>
      <c r="C1416" s="16" t="s">
        <v>10691</v>
      </c>
      <c r="D1416" s="16"/>
      <c r="E1416">
        <v>6</v>
      </c>
      <c r="F1416" t="e">
        <f>-Outras pedras De cantaria ou De construção</f>
        <v>#NAME?</v>
      </c>
      <c r="G1416">
        <v>1</v>
      </c>
      <c r="H1416">
        <v>1</v>
      </c>
      <c r="I1416">
        <f>1</f>
        <v>1</v>
      </c>
    </row>
    <row r="1417" spans="2:9" x14ac:dyDescent="0.25">
      <c r="B1417">
        <v>0</v>
      </c>
      <c r="C1417" s="16" t="s">
        <v>10692</v>
      </c>
      <c r="D1417" s="16"/>
      <c r="E1417">
        <v>6</v>
      </c>
      <c r="F1417" t="s">
        <v>5143</v>
      </c>
      <c r="G1417">
        <v>1</v>
      </c>
      <c r="H1417">
        <v>1</v>
      </c>
      <c r="I1417">
        <f>1</f>
        <v>1</v>
      </c>
    </row>
    <row r="1418" spans="2:9" x14ac:dyDescent="0.25">
      <c r="B1418">
        <v>0</v>
      </c>
      <c r="C1418" s="16" t="s">
        <v>10693</v>
      </c>
      <c r="D1418" s="16"/>
      <c r="E1418">
        <v>6</v>
      </c>
      <c r="F1418" t="s">
        <v>5144</v>
      </c>
      <c r="G1418">
        <v>1</v>
      </c>
      <c r="H1418">
        <v>1</v>
      </c>
      <c r="I1418">
        <f>1</f>
        <v>1</v>
      </c>
    </row>
    <row r="1419" spans="2:9" x14ac:dyDescent="0.25">
      <c r="B1419">
        <v>0</v>
      </c>
      <c r="C1419" s="16" t="s">
        <v>10694</v>
      </c>
      <c r="D1419" s="16"/>
      <c r="E1419">
        <v>6</v>
      </c>
      <c r="F1419" t="e">
        <f>-Tarmacadame</f>
        <v>#NAME?</v>
      </c>
      <c r="G1419">
        <v>1</v>
      </c>
      <c r="H1419">
        <v>1</v>
      </c>
      <c r="I1419">
        <f>1</f>
        <v>1</v>
      </c>
    </row>
    <row r="1420" spans="2:9" x14ac:dyDescent="0.25">
      <c r="B1420">
        <v>0</v>
      </c>
      <c r="C1420" s="16" t="s">
        <v>10695</v>
      </c>
      <c r="D1420" s="16"/>
      <c r="E1420">
        <v>6</v>
      </c>
      <c r="F1420" t="e">
        <f>--De mármore</f>
        <v>#NAME?</v>
      </c>
      <c r="G1420">
        <v>1</v>
      </c>
      <c r="H1420">
        <v>1</v>
      </c>
      <c r="I1420">
        <f>1</f>
        <v>1</v>
      </c>
    </row>
    <row r="1421" spans="2:9" x14ac:dyDescent="0.25">
      <c r="B1421">
        <v>0</v>
      </c>
      <c r="C1421" s="16" t="s">
        <v>10696</v>
      </c>
      <c r="D1421" s="16"/>
      <c r="E1421">
        <v>6</v>
      </c>
      <c r="F1421" t="e">
        <f>--outros</f>
        <v>#NAME?</v>
      </c>
      <c r="G1421">
        <v>1</v>
      </c>
      <c r="H1421">
        <v>1</v>
      </c>
      <c r="I1421">
        <f>1</f>
        <v>1</v>
      </c>
    </row>
    <row r="1422" spans="2:9" x14ac:dyDescent="0.25">
      <c r="B1422">
        <v>0</v>
      </c>
      <c r="C1422" s="16" t="s">
        <v>10697</v>
      </c>
      <c r="D1422" s="16"/>
      <c r="E1422">
        <v>6</v>
      </c>
      <c r="F1422" t="s">
        <v>5145</v>
      </c>
      <c r="G1422">
        <v>1</v>
      </c>
      <c r="H1422">
        <v>1</v>
      </c>
      <c r="I1422">
        <f>1</f>
        <v>1</v>
      </c>
    </row>
    <row r="1423" spans="2:9" x14ac:dyDescent="0.25">
      <c r="B1423">
        <v>0</v>
      </c>
      <c r="C1423" s="16" t="s">
        <v>10698</v>
      </c>
      <c r="D1423" s="16"/>
      <c r="E1423">
        <v>6</v>
      </c>
      <c r="F1423" t="e">
        <f>-Dolomita calcinada ou sinterizada</f>
        <v>#NAME?</v>
      </c>
      <c r="G1423">
        <v>1</v>
      </c>
      <c r="H1423">
        <v>1</v>
      </c>
      <c r="I1423">
        <f>1</f>
        <v>1</v>
      </c>
    </row>
    <row r="1424" spans="2:9" x14ac:dyDescent="0.25">
      <c r="B1424">
        <v>0</v>
      </c>
      <c r="C1424" s="16" t="s">
        <v>10699</v>
      </c>
      <c r="D1424" s="16"/>
      <c r="E1424">
        <v>6</v>
      </c>
      <c r="F1424" t="e">
        <f>-Aglomerados De Dolomita</f>
        <v>#NAME?</v>
      </c>
      <c r="G1424">
        <v>1</v>
      </c>
      <c r="H1424">
        <v>1</v>
      </c>
      <c r="I1424">
        <f>1</f>
        <v>1</v>
      </c>
    </row>
    <row r="1425" spans="2:9" x14ac:dyDescent="0.25">
      <c r="B1425">
        <v>0</v>
      </c>
      <c r="C1425" s="16" t="s">
        <v>10700</v>
      </c>
      <c r="D1425" s="16"/>
      <c r="E1425">
        <v>6</v>
      </c>
      <c r="F1425" t="e">
        <f>-Carbonato De magnésio natural  magnesita</f>
        <v>#NAME?</v>
      </c>
      <c r="G1425">
        <v>1</v>
      </c>
      <c r="H1425">
        <v>1</v>
      </c>
      <c r="I1425">
        <f>1</f>
        <v>1</v>
      </c>
    </row>
    <row r="1426" spans="2:9" x14ac:dyDescent="0.25">
      <c r="B1426">
        <v>0</v>
      </c>
      <c r="C1426" s="16" t="s">
        <v>10701</v>
      </c>
      <c r="D1426" s="16"/>
      <c r="E1426">
        <v>6</v>
      </c>
      <c r="F1426" t="s">
        <v>5146</v>
      </c>
      <c r="G1426">
        <v>1</v>
      </c>
      <c r="H1426">
        <v>1</v>
      </c>
      <c r="I1426">
        <f>1</f>
        <v>1</v>
      </c>
    </row>
    <row r="1427" spans="2:9" x14ac:dyDescent="0.25">
      <c r="B1427">
        <v>0</v>
      </c>
      <c r="C1427" s="16" t="s">
        <v>10702</v>
      </c>
      <c r="D1427" s="16"/>
      <c r="E1427">
        <v>6</v>
      </c>
      <c r="F1427" t="s">
        <v>4680</v>
      </c>
      <c r="G1427">
        <v>1</v>
      </c>
      <c r="H1427">
        <v>1</v>
      </c>
      <c r="I1427">
        <f>1</f>
        <v>1</v>
      </c>
    </row>
    <row r="1428" spans="2:9" x14ac:dyDescent="0.25">
      <c r="B1428">
        <v>0</v>
      </c>
      <c r="C1428" s="16" t="s">
        <v>10703</v>
      </c>
      <c r="D1428" s="16"/>
      <c r="E1428">
        <v>6</v>
      </c>
      <c r="F1428" t="s">
        <v>5147</v>
      </c>
      <c r="G1428">
        <v>1</v>
      </c>
      <c r="H1428">
        <v>1</v>
      </c>
      <c r="I1428">
        <f>1</f>
        <v>1</v>
      </c>
    </row>
    <row r="1429" spans="2:9" x14ac:dyDescent="0.25">
      <c r="B1429">
        <v>0</v>
      </c>
      <c r="C1429" s="16" t="s">
        <v>10704</v>
      </c>
      <c r="D1429" s="16"/>
      <c r="E1429">
        <v>6</v>
      </c>
      <c r="F1429" t="s">
        <v>4680</v>
      </c>
      <c r="G1429">
        <v>1</v>
      </c>
      <c r="H1429">
        <v>1</v>
      </c>
      <c r="I1429">
        <f>1</f>
        <v>1</v>
      </c>
    </row>
    <row r="1430" spans="2:9" x14ac:dyDescent="0.25">
      <c r="B1430">
        <v>0</v>
      </c>
      <c r="C1430" s="16" t="s">
        <v>10705</v>
      </c>
      <c r="D1430" s="16"/>
      <c r="E1430">
        <v>6</v>
      </c>
      <c r="F1430" t="s">
        <v>5148</v>
      </c>
      <c r="G1430">
        <v>1</v>
      </c>
      <c r="H1430">
        <v>1</v>
      </c>
      <c r="I1430">
        <f>1</f>
        <v>1</v>
      </c>
    </row>
    <row r="1431" spans="2:9" x14ac:dyDescent="0.25">
      <c r="B1431">
        <v>0</v>
      </c>
      <c r="C1431" s="16" t="s">
        <v>10706</v>
      </c>
      <c r="D1431" s="16"/>
      <c r="E1431">
        <v>6</v>
      </c>
      <c r="F1431" t="s">
        <v>5149</v>
      </c>
      <c r="G1431">
        <v>1</v>
      </c>
      <c r="H1431">
        <v>1</v>
      </c>
      <c r="I1431">
        <f>1</f>
        <v>1</v>
      </c>
    </row>
    <row r="1432" spans="2:9" x14ac:dyDescent="0.25">
      <c r="B1432">
        <v>0</v>
      </c>
      <c r="C1432" s="16" t="s">
        <v>10707</v>
      </c>
      <c r="D1432" s="16"/>
      <c r="E1432">
        <v>6</v>
      </c>
      <c r="F1432" t="s">
        <v>4680</v>
      </c>
      <c r="G1432">
        <v>1</v>
      </c>
      <c r="H1432">
        <v>1</v>
      </c>
      <c r="I1432">
        <f>1</f>
        <v>1</v>
      </c>
    </row>
    <row r="1433" spans="2:9" x14ac:dyDescent="0.25">
      <c r="B1433">
        <v>0</v>
      </c>
      <c r="C1433" s="16" t="s">
        <v>10708</v>
      </c>
      <c r="D1433" s="16"/>
      <c r="E1433">
        <v>6</v>
      </c>
      <c r="F1433" t="s">
        <v>5150</v>
      </c>
      <c r="G1433">
        <v>1</v>
      </c>
      <c r="H1433">
        <v>1</v>
      </c>
      <c r="I1433">
        <f>1</f>
        <v>1</v>
      </c>
    </row>
    <row r="1434" spans="2:9" x14ac:dyDescent="0.25">
      <c r="B1434">
        <v>0</v>
      </c>
      <c r="C1434" s="16" t="s">
        <v>10709</v>
      </c>
      <c r="D1434" s="16"/>
      <c r="E1434">
        <v>6</v>
      </c>
      <c r="F1434" t="e">
        <f>-Cal viva</f>
        <v>#NAME?</v>
      </c>
      <c r="G1434">
        <v>1</v>
      </c>
      <c r="H1434">
        <v>1</v>
      </c>
      <c r="I1434">
        <f>1</f>
        <v>1</v>
      </c>
    </row>
    <row r="1435" spans="2:9" x14ac:dyDescent="0.25">
      <c r="B1435">
        <v>0</v>
      </c>
      <c r="C1435" s="16" t="s">
        <v>10710</v>
      </c>
      <c r="D1435" s="16"/>
      <c r="E1435">
        <v>6</v>
      </c>
      <c r="F1435" t="e">
        <f>-Cal apagada</f>
        <v>#NAME?</v>
      </c>
      <c r="G1435">
        <v>1</v>
      </c>
      <c r="H1435">
        <v>1</v>
      </c>
      <c r="I1435">
        <f>1</f>
        <v>1</v>
      </c>
    </row>
    <row r="1436" spans="2:9" x14ac:dyDescent="0.25">
      <c r="B1436">
        <v>0</v>
      </c>
      <c r="C1436" s="16" t="s">
        <v>10711</v>
      </c>
      <c r="D1436" s="16"/>
      <c r="E1436">
        <v>6</v>
      </c>
      <c r="F1436" t="e">
        <f>-Cal hidráulica</f>
        <v>#NAME?</v>
      </c>
      <c r="G1436">
        <v>1</v>
      </c>
      <c r="H1436">
        <v>1</v>
      </c>
      <c r="I1436">
        <f>1</f>
        <v>1</v>
      </c>
    </row>
    <row r="1437" spans="2:9" x14ac:dyDescent="0.25">
      <c r="B1437">
        <v>0</v>
      </c>
      <c r="C1437" s="16" t="s">
        <v>10712</v>
      </c>
      <c r="D1437" s="16"/>
      <c r="E1437">
        <v>6</v>
      </c>
      <c r="F1437" t="s">
        <v>5151</v>
      </c>
      <c r="G1437">
        <v>1</v>
      </c>
      <c r="H1437">
        <v>1</v>
      </c>
      <c r="I1437">
        <f>1</f>
        <v>1</v>
      </c>
    </row>
    <row r="1438" spans="2:9" x14ac:dyDescent="0.25">
      <c r="B1438">
        <v>0</v>
      </c>
      <c r="C1438" s="16" t="s">
        <v>10713</v>
      </c>
      <c r="D1438" s="16"/>
      <c r="E1438">
        <v>6</v>
      </c>
      <c r="F1438" t="s">
        <v>5152</v>
      </c>
      <c r="G1438">
        <v>1</v>
      </c>
      <c r="H1438">
        <v>1</v>
      </c>
      <c r="I1438">
        <f>1</f>
        <v>1</v>
      </c>
    </row>
    <row r="1439" spans="2:9" x14ac:dyDescent="0.25">
      <c r="B1439">
        <v>0</v>
      </c>
      <c r="C1439" s="16" t="s">
        <v>10714</v>
      </c>
      <c r="D1439" s="16"/>
      <c r="E1439">
        <v>6</v>
      </c>
      <c r="F1439" t="s">
        <v>5153</v>
      </c>
      <c r="G1439">
        <v>1</v>
      </c>
      <c r="H1439">
        <v>1</v>
      </c>
      <c r="I1439">
        <f>1</f>
        <v>1</v>
      </c>
    </row>
    <row r="1440" spans="2:9" x14ac:dyDescent="0.25">
      <c r="B1440">
        <v>0</v>
      </c>
      <c r="C1440" s="16" t="s">
        <v>10715</v>
      </c>
      <c r="D1440" s="16"/>
      <c r="E1440">
        <v>6</v>
      </c>
      <c r="F1440" t="s">
        <v>4680</v>
      </c>
      <c r="G1440">
        <v>1</v>
      </c>
      <c r="H1440">
        <v>1</v>
      </c>
      <c r="I1440">
        <f>1</f>
        <v>1</v>
      </c>
    </row>
    <row r="1441" spans="2:9" x14ac:dyDescent="0.25">
      <c r="B1441">
        <v>0</v>
      </c>
      <c r="C1441" s="16" t="s">
        <v>10716</v>
      </c>
      <c r="D1441" s="16"/>
      <c r="E1441">
        <v>6</v>
      </c>
      <c r="F1441" t="e">
        <f>-Cimentos aluminosos</f>
        <v>#NAME?</v>
      </c>
      <c r="G1441">
        <v>1</v>
      </c>
      <c r="H1441">
        <v>1</v>
      </c>
      <c r="I1441">
        <f>1</f>
        <v>1</v>
      </c>
    </row>
    <row r="1442" spans="2:9" x14ac:dyDescent="0.25">
      <c r="B1442">
        <v>0</v>
      </c>
      <c r="C1442" s="16" t="s">
        <v>10717</v>
      </c>
      <c r="D1442" s="16"/>
      <c r="E1442">
        <v>6</v>
      </c>
      <c r="F1442" t="e">
        <f>-outros Cimentos hidráulicos</f>
        <v>#NAME?</v>
      </c>
      <c r="G1442">
        <v>1</v>
      </c>
      <c r="H1442">
        <v>1</v>
      </c>
      <c r="I1442">
        <f>1</f>
        <v>1</v>
      </c>
    </row>
    <row r="1443" spans="2:9" x14ac:dyDescent="0.25">
      <c r="B1443">
        <v>0</v>
      </c>
      <c r="C1443" s="16" t="s">
        <v>10718</v>
      </c>
      <c r="D1443" s="16"/>
      <c r="E1443">
        <v>6</v>
      </c>
      <c r="F1443" t="e">
        <f>-Crocidolita</f>
        <v>#NAME?</v>
      </c>
      <c r="G1443">
        <v>1</v>
      </c>
      <c r="H1443">
        <v>1</v>
      </c>
      <c r="I1443">
        <f>1</f>
        <v>1</v>
      </c>
    </row>
    <row r="1444" spans="2:9" x14ac:dyDescent="0.25">
      <c r="B1444">
        <v>0</v>
      </c>
      <c r="C1444" s="16" t="s">
        <v>10719</v>
      </c>
      <c r="D1444" s="16"/>
      <c r="E1444">
        <v>6</v>
      </c>
      <c r="F1444" t="e">
        <f>-outros</f>
        <v>#NAME?</v>
      </c>
      <c r="G1444">
        <v>1</v>
      </c>
      <c r="H1444">
        <v>1</v>
      </c>
      <c r="I1444">
        <f>1</f>
        <v>1</v>
      </c>
    </row>
    <row r="1445" spans="2:9" x14ac:dyDescent="0.25">
      <c r="B1445">
        <v>0</v>
      </c>
      <c r="C1445" s="16" t="s">
        <v>10720</v>
      </c>
      <c r="D1445" s="16"/>
      <c r="E1445">
        <v>6</v>
      </c>
      <c r="F1445" t="e">
        <f>-Mica em bruto ou clivada em folhas ou lamelas irregulares  splittings</f>
        <v>#NAME?</v>
      </c>
      <c r="G1445">
        <v>1</v>
      </c>
      <c r="H1445">
        <v>1</v>
      </c>
      <c r="I1445">
        <f>1</f>
        <v>1</v>
      </c>
    </row>
    <row r="1446" spans="2:9" x14ac:dyDescent="0.25">
      <c r="B1446">
        <v>0</v>
      </c>
      <c r="C1446" s="16" t="s">
        <v>10721</v>
      </c>
      <c r="D1446" s="16"/>
      <c r="E1446">
        <v>6</v>
      </c>
      <c r="F1446" t="e">
        <f>-Mica em pó</f>
        <v>#NAME?</v>
      </c>
      <c r="G1446">
        <v>1</v>
      </c>
      <c r="H1446">
        <v>1</v>
      </c>
      <c r="I1446">
        <f>1</f>
        <v>1</v>
      </c>
    </row>
    <row r="1447" spans="2:9" x14ac:dyDescent="0.25">
      <c r="B1447">
        <v>0</v>
      </c>
      <c r="C1447" s="16" t="s">
        <v>10722</v>
      </c>
      <c r="D1447" s="16"/>
      <c r="E1447">
        <v>6</v>
      </c>
      <c r="F1447" t="e">
        <f>-desperdícios De Mica</f>
        <v>#NAME?</v>
      </c>
      <c r="G1447">
        <v>1</v>
      </c>
      <c r="H1447">
        <v>1</v>
      </c>
      <c r="I1447">
        <f>1</f>
        <v>1</v>
      </c>
    </row>
    <row r="1448" spans="2:9" x14ac:dyDescent="0.25">
      <c r="B1448">
        <v>0</v>
      </c>
      <c r="C1448" s="16" t="s">
        <v>10723</v>
      </c>
      <c r="D1448" s="16"/>
      <c r="E1448">
        <v>6</v>
      </c>
      <c r="F1448" t="e">
        <f>-Não Triturados nem em pó</f>
        <v>#NAME?</v>
      </c>
      <c r="G1448">
        <v>1</v>
      </c>
      <c r="H1448">
        <v>1</v>
      </c>
      <c r="I1448">
        <f>1</f>
        <v>1</v>
      </c>
    </row>
    <row r="1449" spans="2:9" x14ac:dyDescent="0.25">
      <c r="B1449">
        <v>0</v>
      </c>
      <c r="C1449" s="16" t="s">
        <v>10724</v>
      </c>
      <c r="D1449" s="16"/>
      <c r="E1449">
        <v>6</v>
      </c>
      <c r="F1449" t="e">
        <f>-Triturados ou em pó</f>
        <v>#NAME?</v>
      </c>
      <c r="G1449">
        <v>1</v>
      </c>
      <c r="H1449">
        <v>1</v>
      </c>
      <c r="I1449">
        <f>1</f>
        <v>1</v>
      </c>
    </row>
    <row r="1450" spans="2:9" x14ac:dyDescent="0.25">
      <c r="B1450">
        <v>0</v>
      </c>
      <c r="C1450" s="16" t="s">
        <v>10725</v>
      </c>
      <c r="D1450" s="16"/>
      <c r="E1450">
        <v>6</v>
      </c>
      <c r="F1450" t="s">
        <v>5154</v>
      </c>
      <c r="G1450">
        <v>1</v>
      </c>
      <c r="H1450">
        <v>1</v>
      </c>
      <c r="I1450">
        <f>1</f>
        <v>1</v>
      </c>
    </row>
    <row r="1451" spans="2:9" x14ac:dyDescent="0.25">
      <c r="B1451">
        <v>0</v>
      </c>
      <c r="C1451" s="16" t="s">
        <v>10726</v>
      </c>
      <c r="D1451" s="16"/>
      <c r="E1451">
        <v>6</v>
      </c>
      <c r="F1451" t="e">
        <f>-Feldspato</f>
        <v>#NAME?</v>
      </c>
      <c r="G1451">
        <v>1</v>
      </c>
      <c r="H1451">
        <v>1</v>
      </c>
      <c r="I1451">
        <f>1</f>
        <v>1</v>
      </c>
    </row>
    <row r="1452" spans="2:9" x14ac:dyDescent="0.25">
      <c r="B1452">
        <v>0</v>
      </c>
      <c r="C1452" s="16" t="s">
        <v>10727</v>
      </c>
      <c r="D1452" s="16"/>
      <c r="E1452">
        <v>6</v>
      </c>
      <c r="F1452" t="s">
        <v>5155</v>
      </c>
      <c r="G1452">
        <v>1</v>
      </c>
      <c r="H1452">
        <v>1</v>
      </c>
      <c r="I1452">
        <f>1</f>
        <v>1</v>
      </c>
    </row>
    <row r="1453" spans="2:9" x14ac:dyDescent="0.25">
      <c r="B1453">
        <v>0</v>
      </c>
      <c r="C1453" s="16" t="s">
        <v>10728</v>
      </c>
      <c r="D1453" s="16"/>
      <c r="E1453">
        <v>6</v>
      </c>
      <c r="F1453" t="s">
        <v>5156</v>
      </c>
      <c r="G1453">
        <v>1</v>
      </c>
      <c r="H1453">
        <v>1</v>
      </c>
      <c r="I1453">
        <f>1</f>
        <v>1</v>
      </c>
    </row>
    <row r="1454" spans="2:9" x14ac:dyDescent="0.25">
      <c r="B1454">
        <v>0</v>
      </c>
      <c r="C1454" s="16" t="s">
        <v>10729</v>
      </c>
      <c r="D1454" s="16"/>
      <c r="E1454">
        <v>6</v>
      </c>
      <c r="F1454" t="s">
        <v>5157</v>
      </c>
      <c r="G1454">
        <v>1</v>
      </c>
      <c r="H1454">
        <v>1</v>
      </c>
      <c r="I1454">
        <f>1</f>
        <v>1</v>
      </c>
    </row>
    <row r="1455" spans="2:9" x14ac:dyDescent="0.25">
      <c r="B1455">
        <v>0</v>
      </c>
      <c r="C1455" s="16" t="s">
        <v>10730</v>
      </c>
      <c r="D1455" s="16"/>
      <c r="E1455">
        <v>6</v>
      </c>
      <c r="F1455" t="s">
        <v>5158</v>
      </c>
      <c r="G1455">
        <v>1</v>
      </c>
      <c r="H1455">
        <v>1</v>
      </c>
      <c r="I1455">
        <f>1</f>
        <v>1</v>
      </c>
    </row>
    <row r="1456" spans="2:9" x14ac:dyDescent="0.25">
      <c r="B1456">
        <v>0</v>
      </c>
      <c r="C1456" s="16" t="s">
        <v>10731</v>
      </c>
      <c r="D1456" s="16"/>
      <c r="E1456">
        <v>6</v>
      </c>
      <c r="F1456" t="s">
        <v>4690</v>
      </c>
      <c r="G1456">
        <v>1</v>
      </c>
      <c r="H1456">
        <v>1</v>
      </c>
      <c r="I1456">
        <f>1</f>
        <v>1</v>
      </c>
    </row>
    <row r="1457" spans="2:9" x14ac:dyDescent="0.25">
      <c r="B1457">
        <v>0</v>
      </c>
      <c r="C1457" s="16" t="s">
        <v>10732</v>
      </c>
      <c r="D1457" s="16"/>
      <c r="E1457">
        <v>6</v>
      </c>
      <c r="F1457" t="s">
        <v>5159</v>
      </c>
      <c r="G1457">
        <v>1</v>
      </c>
      <c r="H1457">
        <v>1</v>
      </c>
      <c r="I1457">
        <f>1</f>
        <v>1</v>
      </c>
    </row>
    <row r="1458" spans="2:9" x14ac:dyDescent="0.25">
      <c r="B1458">
        <v>0</v>
      </c>
      <c r="C1458" s="16" t="s">
        <v>10733</v>
      </c>
      <c r="D1458" s="16"/>
      <c r="E1458">
        <v>6</v>
      </c>
      <c r="F1458" t="s">
        <v>5160</v>
      </c>
      <c r="G1458">
        <v>1</v>
      </c>
      <c r="H1458">
        <v>1</v>
      </c>
      <c r="I1458">
        <f>1</f>
        <v>1</v>
      </c>
    </row>
    <row r="1459" spans="2:9" x14ac:dyDescent="0.25">
      <c r="B1459">
        <v>0</v>
      </c>
      <c r="C1459" s="16" t="s">
        <v>10734</v>
      </c>
      <c r="D1459" s="16"/>
      <c r="E1459">
        <v>6</v>
      </c>
      <c r="F1459" t="s">
        <v>5161</v>
      </c>
      <c r="G1459">
        <v>1</v>
      </c>
      <c r="H1459">
        <v>1</v>
      </c>
      <c r="I1459">
        <f>1</f>
        <v>1</v>
      </c>
    </row>
    <row r="1460" spans="2:9" x14ac:dyDescent="0.25">
      <c r="B1460">
        <v>0</v>
      </c>
      <c r="C1460" s="16" t="s">
        <v>10735</v>
      </c>
      <c r="D1460" s="16"/>
      <c r="E1460">
        <v>6</v>
      </c>
      <c r="F1460" t="s">
        <v>5162</v>
      </c>
      <c r="G1460">
        <v>1</v>
      </c>
      <c r="H1460">
        <v>1</v>
      </c>
      <c r="I1460">
        <f>1</f>
        <v>1</v>
      </c>
    </row>
    <row r="1461" spans="2:9" x14ac:dyDescent="0.25">
      <c r="B1461">
        <v>0</v>
      </c>
      <c r="C1461" s="16" t="s">
        <v>10736</v>
      </c>
      <c r="D1461" s="16"/>
      <c r="E1461">
        <v>6</v>
      </c>
      <c r="F1461" t="s">
        <v>5163</v>
      </c>
      <c r="G1461">
        <v>1</v>
      </c>
      <c r="H1461">
        <v>1</v>
      </c>
      <c r="I1461">
        <f>1</f>
        <v>1</v>
      </c>
    </row>
    <row r="1462" spans="2:9" x14ac:dyDescent="0.25">
      <c r="B1462">
        <v>0</v>
      </c>
      <c r="C1462" s="16" t="s">
        <v>10737</v>
      </c>
      <c r="D1462" s="16"/>
      <c r="E1462">
        <v>6</v>
      </c>
      <c r="F1462" t="s">
        <v>4690</v>
      </c>
      <c r="G1462">
        <v>1</v>
      </c>
      <c r="H1462">
        <v>1</v>
      </c>
      <c r="I1462">
        <f>1</f>
        <v>1</v>
      </c>
    </row>
    <row r="1463" spans="2:9" x14ac:dyDescent="0.25">
      <c r="B1463">
        <v>0</v>
      </c>
      <c r="C1463" s="16" t="s">
        <v>10738</v>
      </c>
      <c r="D1463" s="16"/>
      <c r="E1463">
        <v>6</v>
      </c>
      <c r="F1463" t="e">
        <f>--Não Aglomerados</f>
        <v>#NAME?</v>
      </c>
      <c r="G1463">
        <v>1</v>
      </c>
      <c r="H1463">
        <v>1</v>
      </c>
      <c r="I1463">
        <f>1</f>
        <v>1</v>
      </c>
    </row>
    <row r="1464" spans="2:9" x14ac:dyDescent="0.25">
      <c r="B1464">
        <v>0</v>
      </c>
      <c r="C1464" s="16" t="s">
        <v>10739</v>
      </c>
      <c r="D1464" s="16"/>
      <c r="E1464">
        <v>6</v>
      </c>
      <c r="F1464" t="e">
        <f>--Aglomerados</f>
        <v>#NAME?</v>
      </c>
      <c r="G1464">
        <v>1</v>
      </c>
      <c r="H1464">
        <v>1</v>
      </c>
      <c r="I1464">
        <f>1</f>
        <v>1</v>
      </c>
    </row>
    <row r="1465" spans="2:9" x14ac:dyDescent="0.25">
      <c r="B1465">
        <v>0</v>
      </c>
      <c r="C1465" s="16" t="s">
        <v>10740</v>
      </c>
      <c r="D1465" s="16"/>
      <c r="E1465">
        <v>6</v>
      </c>
      <c r="F1465" t="e">
        <f>-Piritas De ferro ustuladas  cinzas De Piritas</f>
        <v>#NAME?</v>
      </c>
      <c r="G1465">
        <v>1</v>
      </c>
      <c r="H1465">
        <v>1</v>
      </c>
      <c r="I1465">
        <f>1</f>
        <v>1</v>
      </c>
    </row>
    <row r="1466" spans="2:9" x14ac:dyDescent="0.25">
      <c r="B1466">
        <v>0</v>
      </c>
      <c r="C1466" s="16" t="s">
        <v>10741</v>
      </c>
      <c r="D1466" s="16"/>
      <c r="E1466">
        <v>6</v>
      </c>
      <c r="F1466" t="s">
        <v>5164</v>
      </c>
      <c r="G1466">
        <v>1</v>
      </c>
      <c r="H1466">
        <v>1</v>
      </c>
      <c r="I1466">
        <f>1</f>
        <v>1</v>
      </c>
    </row>
    <row r="1467" spans="2:9" x14ac:dyDescent="0.25">
      <c r="B1467">
        <v>0</v>
      </c>
      <c r="C1467" s="16" t="s">
        <v>10742</v>
      </c>
      <c r="D1467" s="16"/>
      <c r="E1467">
        <v>6</v>
      </c>
      <c r="F1467" t="s">
        <v>4680</v>
      </c>
      <c r="G1467">
        <v>1</v>
      </c>
      <c r="H1467">
        <v>1</v>
      </c>
      <c r="I1467">
        <f>1</f>
        <v>1</v>
      </c>
    </row>
    <row r="1468" spans="2:9" x14ac:dyDescent="0.25">
      <c r="B1468">
        <v>0</v>
      </c>
      <c r="C1468" s="16" t="s">
        <v>10743</v>
      </c>
      <c r="D1468" s="16"/>
      <c r="E1468">
        <v>6</v>
      </c>
      <c r="F1468" t="s">
        <v>5165</v>
      </c>
      <c r="G1468">
        <v>1</v>
      </c>
      <c r="H1468">
        <v>1</v>
      </c>
      <c r="I1468">
        <f>1</f>
        <v>1</v>
      </c>
    </row>
    <row r="1469" spans="2:9" x14ac:dyDescent="0.25">
      <c r="B1469">
        <v>0</v>
      </c>
      <c r="C1469" s="16" t="s">
        <v>10744</v>
      </c>
      <c r="D1469" s="16"/>
      <c r="E1469">
        <v>6</v>
      </c>
      <c r="F1469" t="s">
        <v>4680</v>
      </c>
      <c r="G1469">
        <v>1</v>
      </c>
      <c r="H1469">
        <v>1</v>
      </c>
      <c r="I1469">
        <f>1</f>
        <v>1</v>
      </c>
    </row>
    <row r="1470" spans="2:9" x14ac:dyDescent="0.25">
      <c r="B1470">
        <v>0</v>
      </c>
      <c r="C1470" s="16" t="s">
        <v>10745</v>
      </c>
      <c r="D1470" s="16"/>
      <c r="E1470">
        <v>6</v>
      </c>
      <c r="F1470" t="s">
        <v>5166</v>
      </c>
      <c r="G1470">
        <v>1</v>
      </c>
      <c r="H1470">
        <v>1</v>
      </c>
      <c r="I1470">
        <f>1</f>
        <v>1</v>
      </c>
    </row>
    <row r="1471" spans="2:9" x14ac:dyDescent="0.25">
      <c r="B1471">
        <v>0</v>
      </c>
      <c r="C1471" s="16" t="s">
        <v>10746</v>
      </c>
      <c r="D1471" s="16"/>
      <c r="E1471">
        <v>6</v>
      </c>
      <c r="F1471" t="s">
        <v>5167</v>
      </c>
      <c r="G1471">
        <v>1</v>
      </c>
      <c r="H1471">
        <v>1</v>
      </c>
      <c r="I1471">
        <f>1</f>
        <v>1</v>
      </c>
    </row>
    <row r="1472" spans="2:9" x14ac:dyDescent="0.25">
      <c r="B1472">
        <v>0</v>
      </c>
      <c r="C1472" s="16" t="s">
        <v>10747</v>
      </c>
      <c r="D1472" s="16"/>
      <c r="E1472">
        <v>6</v>
      </c>
      <c r="F1472" t="s">
        <v>5168</v>
      </c>
      <c r="G1472">
        <v>1</v>
      </c>
      <c r="H1472">
        <v>1</v>
      </c>
      <c r="I1472">
        <f>1</f>
        <v>1</v>
      </c>
    </row>
    <row r="1473" spans="2:9" x14ac:dyDescent="0.25">
      <c r="B1473">
        <v>0</v>
      </c>
      <c r="C1473" s="16" t="s">
        <v>10748</v>
      </c>
      <c r="D1473" s="16"/>
      <c r="E1473">
        <v>6</v>
      </c>
      <c r="F1473" t="s">
        <v>5169</v>
      </c>
      <c r="G1473">
        <v>1</v>
      </c>
      <c r="H1473">
        <v>1</v>
      </c>
      <c r="I1473">
        <f>1</f>
        <v>1</v>
      </c>
    </row>
    <row r="1474" spans="2:9" x14ac:dyDescent="0.25">
      <c r="B1474">
        <v>0</v>
      </c>
      <c r="C1474" s="16" t="s">
        <v>10749</v>
      </c>
      <c r="D1474" s="16"/>
      <c r="E1474">
        <v>6</v>
      </c>
      <c r="F1474" t="s">
        <v>4680</v>
      </c>
      <c r="G1474">
        <v>1</v>
      </c>
      <c r="H1474">
        <v>1</v>
      </c>
      <c r="I1474">
        <f>1</f>
        <v>1</v>
      </c>
    </row>
    <row r="1475" spans="2:9" x14ac:dyDescent="0.25">
      <c r="B1475">
        <v>0</v>
      </c>
      <c r="C1475" s="16" t="s">
        <v>10750</v>
      </c>
      <c r="D1475" s="16"/>
      <c r="E1475">
        <v>6</v>
      </c>
      <c r="F1475" t="s">
        <v>5170</v>
      </c>
      <c r="G1475">
        <v>1</v>
      </c>
      <c r="H1475">
        <v>1</v>
      </c>
      <c r="I1475">
        <f>1</f>
        <v>1</v>
      </c>
    </row>
    <row r="1476" spans="2:9" x14ac:dyDescent="0.25">
      <c r="B1476">
        <v>0</v>
      </c>
      <c r="C1476" s="16" t="s">
        <v>10751</v>
      </c>
      <c r="D1476" s="16"/>
      <c r="E1476">
        <v>6</v>
      </c>
      <c r="F1476" t="s">
        <v>5165</v>
      </c>
      <c r="G1476">
        <v>1</v>
      </c>
      <c r="H1476">
        <v>1</v>
      </c>
      <c r="I1476">
        <f>1</f>
        <v>1</v>
      </c>
    </row>
    <row r="1477" spans="2:9" x14ac:dyDescent="0.25">
      <c r="B1477">
        <v>0</v>
      </c>
      <c r="C1477" s="16" t="s">
        <v>10752</v>
      </c>
      <c r="D1477" s="16"/>
      <c r="E1477">
        <v>6</v>
      </c>
      <c r="F1477" t="s">
        <v>4680</v>
      </c>
      <c r="G1477">
        <v>1</v>
      </c>
      <c r="H1477">
        <v>1</v>
      </c>
      <c r="I1477">
        <f>1</f>
        <v>1</v>
      </c>
    </row>
    <row r="1478" spans="2:9" x14ac:dyDescent="0.25">
      <c r="B1478">
        <v>0</v>
      </c>
      <c r="C1478" s="16" t="s">
        <v>10753</v>
      </c>
      <c r="D1478" s="16"/>
      <c r="E1478">
        <v>6</v>
      </c>
      <c r="F1478" t="s">
        <v>5171</v>
      </c>
      <c r="G1478">
        <v>1</v>
      </c>
      <c r="H1478">
        <v>1</v>
      </c>
      <c r="I1478">
        <f>1</f>
        <v>1</v>
      </c>
    </row>
    <row r="1479" spans="2:9" x14ac:dyDescent="0.25">
      <c r="B1479">
        <v>0</v>
      </c>
      <c r="C1479" s="16" t="s">
        <v>10754</v>
      </c>
      <c r="D1479" s="16"/>
      <c r="E1479">
        <v>6</v>
      </c>
      <c r="F1479" t="s">
        <v>5172</v>
      </c>
      <c r="G1479">
        <v>1</v>
      </c>
      <c r="H1479">
        <v>1</v>
      </c>
      <c r="I1479">
        <f>1</f>
        <v>1</v>
      </c>
    </row>
    <row r="1480" spans="2:9" x14ac:dyDescent="0.25">
      <c r="B1480">
        <v>0</v>
      </c>
      <c r="C1480" s="16" t="s">
        <v>10755</v>
      </c>
      <c r="D1480" s="16"/>
      <c r="E1480">
        <v>6</v>
      </c>
      <c r="F1480" t="s">
        <v>4680</v>
      </c>
      <c r="G1480">
        <v>1</v>
      </c>
      <c r="H1480">
        <v>1</v>
      </c>
      <c r="I1480">
        <f>1</f>
        <v>1</v>
      </c>
    </row>
    <row r="1481" spans="2:9" x14ac:dyDescent="0.25">
      <c r="B1481">
        <v>0</v>
      </c>
      <c r="C1481" s="16" t="s">
        <v>10756</v>
      </c>
      <c r="D1481" s="16"/>
      <c r="E1481">
        <v>6</v>
      </c>
      <c r="F1481" t="s">
        <v>5173</v>
      </c>
      <c r="G1481">
        <v>1</v>
      </c>
      <c r="H1481">
        <v>1</v>
      </c>
      <c r="I1481">
        <f>1</f>
        <v>1</v>
      </c>
    </row>
    <row r="1482" spans="2:9" x14ac:dyDescent="0.25">
      <c r="B1482">
        <v>0</v>
      </c>
      <c r="C1482" s="16" t="s">
        <v>10757</v>
      </c>
      <c r="D1482" s="16"/>
      <c r="E1482">
        <v>6</v>
      </c>
      <c r="F1482" t="e">
        <f>-Minérios De urânio e seus Concentrados</f>
        <v>#NAME?</v>
      </c>
      <c r="G1482">
        <v>1</v>
      </c>
      <c r="H1482">
        <v>1</v>
      </c>
      <c r="I1482">
        <f>1</f>
        <v>1</v>
      </c>
    </row>
    <row r="1483" spans="2:9" x14ac:dyDescent="0.25">
      <c r="B1483">
        <v>0</v>
      </c>
      <c r="C1483" s="16" t="s">
        <v>10758</v>
      </c>
      <c r="D1483" s="16"/>
      <c r="E1483">
        <v>6</v>
      </c>
      <c r="F1483" t="e">
        <f>-Minérios De tório e seus Concentrados</f>
        <v>#NAME?</v>
      </c>
      <c r="G1483">
        <v>1</v>
      </c>
      <c r="H1483">
        <v>1</v>
      </c>
      <c r="I1483">
        <f>1</f>
        <v>1</v>
      </c>
    </row>
    <row r="1484" spans="2:9" x14ac:dyDescent="0.25">
      <c r="B1484">
        <v>0</v>
      </c>
      <c r="C1484" s="16" t="s">
        <v>10759</v>
      </c>
      <c r="D1484" s="16"/>
      <c r="E1484">
        <v>6</v>
      </c>
      <c r="F1484" t="s">
        <v>5174</v>
      </c>
      <c r="G1484">
        <v>1</v>
      </c>
      <c r="H1484">
        <v>1</v>
      </c>
      <c r="I1484">
        <f>1</f>
        <v>1</v>
      </c>
    </row>
    <row r="1485" spans="2:9" x14ac:dyDescent="0.25">
      <c r="B1485">
        <v>0</v>
      </c>
      <c r="C1485" s="16" t="s">
        <v>10760</v>
      </c>
      <c r="D1485" s="16"/>
      <c r="E1485">
        <v>6</v>
      </c>
      <c r="F1485" t="s">
        <v>4680</v>
      </c>
      <c r="G1485">
        <v>1</v>
      </c>
      <c r="H1485">
        <v>1</v>
      </c>
      <c r="I1485">
        <f>1</f>
        <v>1</v>
      </c>
    </row>
    <row r="1486" spans="2:9" x14ac:dyDescent="0.25">
      <c r="B1486">
        <v>0</v>
      </c>
      <c r="C1486" s="16" t="s">
        <v>10761</v>
      </c>
      <c r="D1486" s="16"/>
      <c r="E1486">
        <v>6</v>
      </c>
      <c r="F1486" t="s">
        <v>5174</v>
      </c>
      <c r="G1486">
        <v>1</v>
      </c>
      <c r="H1486">
        <v>1</v>
      </c>
      <c r="I1486">
        <f>1</f>
        <v>1</v>
      </c>
    </row>
    <row r="1487" spans="2:9" x14ac:dyDescent="0.25">
      <c r="B1487">
        <v>0</v>
      </c>
      <c r="C1487" s="16" t="s">
        <v>10762</v>
      </c>
      <c r="D1487" s="16"/>
      <c r="E1487">
        <v>6</v>
      </c>
      <c r="F1487" t="s">
        <v>4680</v>
      </c>
      <c r="G1487">
        <v>1</v>
      </c>
      <c r="H1487">
        <v>1</v>
      </c>
      <c r="I1487">
        <f>1</f>
        <v>1</v>
      </c>
    </row>
    <row r="1488" spans="2:9" x14ac:dyDescent="0.25">
      <c r="B1488">
        <v>0</v>
      </c>
      <c r="C1488" s="16" t="s">
        <v>10763</v>
      </c>
      <c r="D1488" s="16"/>
      <c r="E1488">
        <v>6</v>
      </c>
      <c r="F1488" t="s">
        <v>5175</v>
      </c>
      <c r="G1488">
        <v>1</v>
      </c>
      <c r="H1488">
        <v>1</v>
      </c>
      <c r="I1488">
        <f>1</f>
        <v>1</v>
      </c>
    </row>
    <row r="1489" spans="2:9" x14ac:dyDescent="0.25">
      <c r="B1489">
        <v>0</v>
      </c>
      <c r="C1489" s="16" t="s">
        <v>10764</v>
      </c>
      <c r="D1489" s="16"/>
      <c r="E1489">
        <v>6</v>
      </c>
      <c r="F1489" t="s">
        <v>4680</v>
      </c>
      <c r="G1489">
        <v>1</v>
      </c>
      <c r="H1489">
        <v>1</v>
      </c>
      <c r="I1489">
        <f>1</f>
        <v>1</v>
      </c>
    </row>
    <row r="1490" spans="2:9" x14ac:dyDescent="0.25">
      <c r="B1490">
        <v>0</v>
      </c>
      <c r="C1490" s="16" t="s">
        <v>10765</v>
      </c>
      <c r="D1490" s="16"/>
      <c r="E1490">
        <v>6</v>
      </c>
      <c r="F1490" t="s">
        <v>5176</v>
      </c>
      <c r="G1490">
        <v>1</v>
      </c>
      <c r="H1490">
        <v>1</v>
      </c>
      <c r="I1490">
        <f>1</f>
        <v>1</v>
      </c>
    </row>
    <row r="1491" spans="2:9" x14ac:dyDescent="0.25">
      <c r="B1491">
        <v>0</v>
      </c>
      <c r="C1491" s="16" t="s">
        <v>10766</v>
      </c>
      <c r="D1491" s="16"/>
      <c r="E1491">
        <v>6</v>
      </c>
      <c r="F1491" t="s">
        <v>5177</v>
      </c>
      <c r="G1491">
        <v>1</v>
      </c>
      <c r="H1491">
        <v>1</v>
      </c>
      <c r="I1491">
        <f>1</f>
        <v>1</v>
      </c>
    </row>
    <row r="1492" spans="2:9" x14ac:dyDescent="0.25">
      <c r="B1492">
        <v>0</v>
      </c>
      <c r="C1492" s="16" t="s">
        <v>10767</v>
      </c>
      <c r="D1492" s="16"/>
      <c r="E1492">
        <v>6</v>
      </c>
      <c r="F1492" t="s">
        <v>4680</v>
      </c>
      <c r="G1492">
        <v>1</v>
      </c>
      <c r="H1492">
        <v>1</v>
      </c>
      <c r="I1492">
        <f>1</f>
        <v>1</v>
      </c>
    </row>
    <row r="1493" spans="2:9" x14ac:dyDescent="0.25">
      <c r="B1493">
        <v>0</v>
      </c>
      <c r="C1493" s="16" t="s">
        <v>10768</v>
      </c>
      <c r="D1493" s="16"/>
      <c r="E1493">
        <v>6</v>
      </c>
      <c r="F1493" t="e">
        <f>-outros</f>
        <v>#NAME?</v>
      </c>
      <c r="G1493">
        <v>1</v>
      </c>
      <c r="H1493">
        <v>1</v>
      </c>
      <c r="I1493">
        <f>1</f>
        <v>1</v>
      </c>
    </row>
    <row r="1494" spans="2:9" x14ac:dyDescent="0.25">
      <c r="B1494">
        <v>0</v>
      </c>
      <c r="C1494" s="16" t="s">
        <v>10769</v>
      </c>
      <c r="D1494" s="16"/>
      <c r="E1494">
        <v>6</v>
      </c>
      <c r="F1494" t="e">
        <f>-Minérios De prata e seus Concentrados</f>
        <v>#NAME?</v>
      </c>
      <c r="G1494">
        <v>1</v>
      </c>
      <c r="H1494">
        <v>1</v>
      </c>
      <c r="I1494">
        <f>1</f>
        <v>1</v>
      </c>
    </row>
    <row r="1495" spans="2:9" x14ac:dyDescent="0.25">
      <c r="B1495">
        <v>0</v>
      </c>
      <c r="C1495" s="16" t="s">
        <v>10770</v>
      </c>
      <c r="D1495" s="16"/>
      <c r="E1495">
        <v>6</v>
      </c>
      <c r="F1495" t="e">
        <f>-outros</f>
        <v>#NAME?</v>
      </c>
      <c r="G1495">
        <v>1</v>
      </c>
      <c r="H1495">
        <v>1</v>
      </c>
      <c r="I1495">
        <f>1</f>
        <v>1</v>
      </c>
    </row>
    <row r="1496" spans="2:9" x14ac:dyDescent="0.25">
      <c r="B1496">
        <v>0</v>
      </c>
      <c r="C1496" s="16" t="s">
        <v>10771</v>
      </c>
      <c r="D1496" s="16"/>
      <c r="E1496">
        <v>6</v>
      </c>
      <c r="F1496" t="e">
        <f>-Minérios De antimônio e seus Concentrados</f>
        <v>#NAME?</v>
      </c>
      <c r="G1496">
        <v>1</v>
      </c>
      <c r="H1496">
        <v>1</v>
      </c>
      <c r="I1496">
        <f>1</f>
        <v>1</v>
      </c>
    </row>
    <row r="1497" spans="2:9" x14ac:dyDescent="0.25">
      <c r="B1497">
        <v>0</v>
      </c>
      <c r="C1497" s="16" t="s">
        <v>10772</v>
      </c>
      <c r="D1497" s="16"/>
      <c r="E1497">
        <v>6</v>
      </c>
      <c r="F1497" t="e">
        <f>-outros</f>
        <v>#NAME?</v>
      </c>
      <c r="G1497">
        <v>1</v>
      </c>
      <c r="H1497">
        <v>1</v>
      </c>
      <c r="I1497">
        <f>1</f>
        <v>1</v>
      </c>
    </row>
    <row r="1498" spans="2:9" x14ac:dyDescent="0.25">
      <c r="B1498">
        <v>0</v>
      </c>
      <c r="C1498" s="16" t="s">
        <v>10773</v>
      </c>
      <c r="D1498" s="16"/>
      <c r="E1498">
        <v>6</v>
      </c>
      <c r="F1498" t="s">
        <v>5178</v>
      </c>
      <c r="G1498">
        <v>1</v>
      </c>
      <c r="H1498">
        <v>1</v>
      </c>
      <c r="I1498">
        <f>1</f>
        <v>1</v>
      </c>
    </row>
    <row r="1499" spans="2:9" x14ac:dyDescent="0.25">
      <c r="B1499">
        <v>0</v>
      </c>
      <c r="C1499" s="16" t="s">
        <v>10774</v>
      </c>
      <c r="D1499" s="16"/>
      <c r="E1499">
        <v>6</v>
      </c>
      <c r="F1499" t="s">
        <v>5179</v>
      </c>
      <c r="G1499">
        <v>1</v>
      </c>
      <c r="H1499">
        <v>1</v>
      </c>
      <c r="I1499">
        <f>1</f>
        <v>1</v>
      </c>
    </row>
    <row r="1500" spans="2:9" x14ac:dyDescent="0.25">
      <c r="B1500">
        <v>0</v>
      </c>
      <c r="C1500" s="16" t="s">
        <v>10775</v>
      </c>
      <c r="D1500" s="16"/>
      <c r="E1500">
        <v>6</v>
      </c>
      <c r="F1500" t="e">
        <f>--Mates De galvanização</f>
        <v>#NAME?</v>
      </c>
      <c r="G1500">
        <v>1</v>
      </c>
      <c r="H1500">
        <v>1</v>
      </c>
      <c r="I1500">
        <f>1</f>
        <v>1</v>
      </c>
    </row>
    <row r="1501" spans="2:9" x14ac:dyDescent="0.25">
      <c r="B1501">
        <v>0</v>
      </c>
      <c r="C1501" s="16" t="s">
        <v>10776</v>
      </c>
      <c r="D1501" s="16"/>
      <c r="E1501">
        <v>6</v>
      </c>
      <c r="F1501" t="e">
        <f>--outros</f>
        <v>#NAME?</v>
      </c>
      <c r="G1501">
        <v>1</v>
      </c>
      <c r="H1501">
        <v>1</v>
      </c>
      <c r="I1501">
        <f>1</f>
        <v>1</v>
      </c>
    </row>
    <row r="1502" spans="2:9" x14ac:dyDescent="0.25">
      <c r="B1502">
        <v>0</v>
      </c>
      <c r="C1502" s="16" t="s">
        <v>10777</v>
      </c>
      <c r="D1502" s="16"/>
      <c r="E1502">
        <v>6</v>
      </c>
      <c r="F1502" t="e">
        <f>--Lamas  Borras  De gasolina que contenham chumbo e Lamas  Borras  De compostos antidetonantes que contenham chumbo</f>
        <v>#NAME?</v>
      </c>
      <c r="G1502">
        <v>1</v>
      </c>
      <c r="H1502">
        <v>1</v>
      </c>
      <c r="I1502">
        <f>1</f>
        <v>1</v>
      </c>
    </row>
    <row r="1503" spans="2:9" x14ac:dyDescent="0.25">
      <c r="B1503">
        <v>0</v>
      </c>
      <c r="C1503" s="16" t="s">
        <v>10778</v>
      </c>
      <c r="D1503" s="16"/>
      <c r="E1503">
        <v>6</v>
      </c>
      <c r="F1503" t="e">
        <f>--outros</f>
        <v>#NAME?</v>
      </c>
      <c r="G1503">
        <v>1</v>
      </c>
      <c r="H1503">
        <v>1</v>
      </c>
      <c r="I1503">
        <f>1</f>
        <v>1</v>
      </c>
    </row>
    <row r="1504" spans="2:9" x14ac:dyDescent="0.25">
      <c r="B1504">
        <v>0</v>
      </c>
      <c r="C1504" s="16" t="s">
        <v>10779</v>
      </c>
      <c r="D1504" s="16"/>
      <c r="E1504">
        <v>6</v>
      </c>
      <c r="F1504" t="e">
        <f>-que contenham principalmente cobre</f>
        <v>#NAME?</v>
      </c>
      <c r="G1504">
        <v>1</v>
      </c>
      <c r="H1504">
        <v>1</v>
      </c>
      <c r="I1504">
        <f>1</f>
        <v>1</v>
      </c>
    </row>
    <row r="1505" spans="2:9" x14ac:dyDescent="0.25">
      <c r="B1505">
        <v>0</v>
      </c>
      <c r="C1505" s="16" t="s">
        <v>10780</v>
      </c>
      <c r="D1505" s="16"/>
      <c r="E1505">
        <v>6</v>
      </c>
      <c r="F1505" t="e">
        <f>-que contenham principalmente alumínio</f>
        <v>#NAME?</v>
      </c>
      <c r="G1505">
        <v>1</v>
      </c>
      <c r="H1505">
        <v>1</v>
      </c>
      <c r="I1505">
        <f>1</f>
        <v>1</v>
      </c>
    </row>
    <row r="1506" spans="2:9" x14ac:dyDescent="0.25">
      <c r="B1506">
        <v>0</v>
      </c>
      <c r="C1506" s="16" t="s">
        <v>10781</v>
      </c>
      <c r="D1506" s="16"/>
      <c r="E1506">
        <v>6</v>
      </c>
      <c r="F1506" t="s">
        <v>5180</v>
      </c>
      <c r="G1506">
        <v>1</v>
      </c>
      <c r="H1506">
        <v>1</v>
      </c>
      <c r="I1506">
        <f>1</f>
        <v>1</v>
      </c>
    </row>
    <row r="1507" spans="2:9" x14ac:dyDescent="0.25">
      <c r="B1507">
        <v>0</v>
      </c>
      <c r="C1507" s="16" t="s">
        <v>10782</v>
      </c>
      <c r="D1507" s="16"/>
      <c r="E1507">
        <v>6</v>
      </c>
      <c r="F1507" t="s">
        <v>5181</v>
      </c>
      <c r="G1507">
        <v>1</v>
      </c>
      <c r="H1507">
        <v>1</v>
      </c>
      <c r="I1507">
        <f>1</f>
        <v>1</v>
      </c>
    </row>
    <row r="1508" spans="2:9" x14ac:dyDescent="0.25">
      <c r="B1508">
        <v>0</v>
      </c>
      <c r="C1508" s="16" t="s">
        <v>10783</v>
      </c>
      <c r="D1508" s="16"/>
      <c r="E1508">
        <v>6</v>
      </c>
      <c r="F1508" t="s">
        <v>5182</v>
      </c>
      <c r="G1508">
        <v>1</v>
      </c>
      <c r="H1508">
        <v>1</v>
      </c>
      <c r="I1508">
        <f>1</f>
        <v>1</v>
      </c>
    </row>
    <row r="1509" spans="2:9" x14ac:dyDescent="0.25">
      <c r="B1509">
        <v>0</v>
      </c>
      <c r="C1509" s="16" t="s">
        <v>10784</v>
      </c>
      <c r="D1509" s="16"/>
      <c r="E1509">
        <v>6</v>
      </c>
      <c r="F1509" t="s">
        <v>4680</v>
      </c>
      <c r="G1509">
        <v>1</v>
      </c>
      <c r="H1509">
        <v>1</v>
      </c>
      <c r="I1509">
        <f>1</f>
        <v>1</v>
      </c>
    </row>
    <row r="1510" spans="2:9" x14ac:dyDescent="0.25">
      <c r="B1510">
        <v>0</v>
      </c>
      <c r="C1510" s="16" t="s">
        <v>10785</v>
      </c>
      <c r="D1510" s="16"/>
      <c r="E1510">
        <v>6</v>
      </c>
      <c r="F1510" t="e">
        <f>-cinzas e Resíduos provenientes da incineração De lixos municipais</f>
        <v>#NAME?</v>
      </c>
      <c r="G1510">
        <v>1</v>
      </c>
      <c r="H1510">
        <v>1</v>
      </c>
      <c r="I1510">
        <f>1</f>
        <v>1</v>
      </c>
    </row>
    <row r="1511" spans="2:9" x14ac:dyDescent="0.25">
      <c r="B1511">
        <v>0</v>
      </c>
      <c r="C1511" s="16" t="s">
        <v>10786</v>
      </c>
      <c r="D1511" s="16"/>
      <c r="E1511">
        <v>6</v>
      </c>
      <c r="F1511" t="s">
        <v>5183</v>
      </c>
      <c r="G1511">
        <v>1</v>
      </c>
      <c r="H1511">
        <v>1</v>
      </c>
      <c r="I1511">
        <f>1</f>
        <v>1</v>
      </c>
    </row>
    <row r="1512" spans="2:9" x14ac:dyDescent="0.25">
      <c r="B1512">
        <v>0</v>
      </c>
      <c r="C1512" s="16" t="s">
        <v>10787</v>
      </c>
      <c r="D1512" s="16"/>
      <c r="E1512">
        <v>6</v>
      </c>
      <c r="F1512" t="s">
        <v>4690</v>
      </c>
      <c r="G1512">
        <v>1</v>
      </c>
      <c r="H1512">
        <v>1</v>
      </c>
      <c r="I1512">
        <f>1</f>
        <v>1</v>
      </c>
    </row>
    <row r="1513" spans="2:9" x14ac:dyDescent="0.25">
      <c r="B1513">
        <v>0</v>
      </c>
      <c r="C1513" s="16" t="s">
        <v>10788</v>
      </c>
      <c r="D1513" s="16"/>
      <c r="E1513">
        <v>6</v>
      </c>
      <c r="F1513" t="e">
        <f>--Antracita</f>
        <v>#NAME?</v>
      </c>
      <c r="G1513">
        <v>1</v>
      </c>
      <c r="H1513">
        <v>1</v>
      </c>
      <c r="I1513">
        <f>1</f>
        <v>1</v>
      </c>
    </row>
    <row r="1514" spans="2:9" x14ac:dyDescent="0.25">
      <c r="B1514">
        <v>0</v>
      </c>
      <c r="C1514" s="16" t="s">
        <v>10789</v>
      </c>
      <c r="D1514" s="16"/>
      <c r="E1514">
        <v>6</v>
      </c>
      <c r="F1514" t="e">
        <f>--Hulha betuminosa</f>
        <v>#NAME?</v>
      </c>
      <c r="G1514">
        <v>1</v>
      </c>
      <c r="H1514">
        <v>1</v>
      </c>
      <c r="I1514">
        <f>1</f>
        <v>1</v>
      </c>
    </row>
    <row r="1515" spans="2:9" x14ac:dyDescent="0.25">
      <c r="B1515">
        <v>0</v>
      </c>
      <c r="C1515" s="16" t="s">
        <v>10790</v>
      </c>
      <c r="D1515" s="16"/>
      <c r="E1515">
        <v>6</v>
      </c>
      <c r="F1515" t="e">
        <f>--Outras hulhas</f>
        <v>#NAME?</v>
      </c>
      <c r="G1515">
        <v>1</v>
      </c>
      <c r="H1515">
        <v>1</v>
      </c>
      <c r="I1515">
        <f>1</f>
        <v>1</v>
      </c>
    </row>
    <row r="1516" spans="2:9" x14ac:dyDescent="0.25">
      <c r="B1516">
        <v>0</v>
      </c>
      <c r="C1516" s="16" t="s">
        <v>10791</v>
      </c>
      <c r="D1516" s="16"/>
      <c r="E1516">
        <v>6</v>
      </c>
      <c r="F1516" t="s">
        <v>5184</v>
      </c>
      <c r="G1516">
        <v>1</v>
      </c>
      <c r="H1516">
        <v>1</v>
      </c>
      <c r="I1516">
        <f>1</f>
        <v>1</v>
      </c>
    </row>
    <row r="1517" spans="2:9" x14ac:dyDescent="0.25">
      <c r="B1517">
        <v>0</v>
      </c>
      <c r="C1517" s="16" t="s">
        <v>10792</v>
      </c>
      <c r="D1517" s="16"/>
      <c r="E1517">
        <v>6</v>
      </c>
      <c r="F1517" t="s">
        <v>5185</v>
      </c>
      <c r="G1517">
        <v>1</v>
      </c>
      <c r="H1517">
        <v>1</v>
      </c>
      <c r="I1517">
        <f>1</f>
        <v>1</v>
      </c>
    </row>
    <row r="1518" spans="2:9" x14ac:dyDescent="0.25">
      <c r="B1518">
        <v>0</v>
      </c>
      <c r="C1518" s="16" t="s">
        <v>10793</v>
      </c>
      <c r="D1518" s="16"/>
      <c r="E1518">
        <v>6</v>
      </c>
      <c r="F1518" t="e">
        <f>-Linhitas aglomeradas</f>
        <v>#NAME?</v>
      </c>
      <c r="G1518">
        <v>1</v>
      </c>
      <c r="H1518">
        <v>1</v>
      </c>
      <c r="I1518">
        <f>1</f>
        <v>1</v>
      </c>
    </row>
    <row r="1519" spans="2:9" x14ac:dyDescent="0.25">
      <c r="B1519">
        <v>0</v>
      </c>
      <c r="C1519" s="16" t="s">
        <v>10794</v>
      </c>
      <c r="D1519" s="16"/>
      <c r="E1519">
        <v>6</v>
      </c>
      <c r="F1519" t="s">
        <v>5186</v>
      </c>
      <c r="G1519">
        <v>1</v>
      </c>
      <c r="H1519">
        <v>1</v>
      </c>
      <c r="I1519">
        <f>1</f>
        <v>1</v>
      </c>
    </row>
    <row r="1520" spans="2:9" x14ac:dyDescent="0.25">
      <c r="B1520">
        <v>0</v>
      </c>
      <c r="C1520" s="16" t="s">
        <v>10795</v>
      </c>
      <c r="D1520" s="16"/>
      <c r="E1520">
        <v>6</v>
      </c>
      <c r="F1520" t="s">
        <v>5187</v>
      </c>
      <c r="G1520">
        <v>1</v>
      </c>
      <c r="H1520">
        <v>1</v>
      </c>
      <c r="I1520">
        <f>1</f>
        <v>1</v>
      </c>
    </row>
    <row r="1521" spans="2:9" x14ac:dyDescent="0.25">
      <c r="B1521">
        <v>0</v>
      </c>
      <c r="C1521" s="16" t="s">
        <v>10796</v>
      </c>
      <c r="D1521" s="16"/>
      <c r="E1521">
        <v>6</v>
      </c>
      <c r="F1521" t="s">
        <v>4680</v>
      </c>
      <c r="G1521">
        <v>1</v>
      </c>
      <c r="H1521">
        <v>1</v>
      </c>
      <c r="I1521">
        <f>1</f>
        <v>1</v>
      </c>
    </row>
    <row r="1522" spans="2:9" x14ac:dyDescent="0.25">
      <c r="B1522">
        <v>0</v>
      </c>
      <c r="C1522" s="16" t="s">
        <v>10797</v>
      </c>
      <c r="D1522" s="16"/>
      <c r="E1522">
        <v>6</v>
      </c>
      <c r="F1522" t="s">
        <v>5188</v>
      </c>
      <c r="G1522">
        <v>1</v>
      </c>
      <c r="H1522">
        <v>1</v>
      </c>
      <c r="I1522">
        <f>1</f>
        <v>1</v>
      </c>
    </row>
    <row r="1523" spans="2:9" x14ac:dyDescent="0.25">
      <c r="B1523">
        <v>0</v>
      </c>
      <c r="C1523" s="16" t="s">
        <v>10798</v>
      </c>
      <c r="D1523" s="16"/>
      <c r="E1523">
        <v>6</v>
      </c>
      <c r="F1523" t="s">
        <v>5189</v>
      </c>
      <c r="G1523">
        <v>1</v>
      </c>
      <c r="H1523">
        <v>1</v>
      </c>
      <c r="I1523">
        <f>1</f>
        <v>1</v>
      </c>
    </row>
    <row r="1524" spans="2:9" x14ac:dyDescent="0.25">
      <c r="B1524">
        <v>0</v>
      </c>
      <c r="C1524" s="16" t="s">
        <v>10799</v>
      </c>
      <c r="D1524" s="16"/>
      <c r="E1524">
        <v>6</v>
      </c>
      <c r="F1524" t="e">
        <f>-Benzol  benzeno</f>
        <v>#NAME?</v>
      </c>
      <c r="G1524">
        <v>1</v>
      </c>
      <c r="H1524">
        <v>1</v>
      </c>
      <c r="I1524">
        <f>1</f>
        <v>1</v>
      </c>
    </row>
    <row r="1525" spans="2:9" x14ac:dyDescent="0.25">
      <c r="B1525">
        <v>0</v>
      </c>
      <c r="C1525" s="16" t="s">
        <v>10800</v>
      </c>
      <c r="D1525" s="16"/>
      <c r="E1525">
        <v>6</v>
      </c>
      <c r="F1525" t="e">
        <f>-Toluol  tolueno</f>
        <v>#NAME?</v>
      </c>
      <c r="G1525">
        <v>1</v>
      </c>
      <c r="H1525">
        <v>1</v>
      </c>
      <c r="I1525">
        <f>1</f>
        <v>1</v>
      </c>
    </row>
    <row r="1526" spans="2:9" x14ac:dyDescent="0.25">
      <c r="B1526">
        <v>0</v>
      </c>
      <c r="C1526" s="16" t="s">
        <v>10801</v>
      </c>
      <c r="D1526" s="16"/>
      <c r="E1526">
        <v>6</v>
      </c>
      <c r="F1526" t="e">
        <f>-Xilol  xilenos</f>
        <v>#NAME?</v>
      </c>
      <c r="G1526">
        <v>1</v>
      </c>
      <c r="H1526">
        <v>1</v>
      </c>
      <c r="I1526">
        <f>1</f>
        <v>1</v>
      </c>
    </row>
    <row r="1527" spans="2:9" x14ac:dyDescent="0.25">
      <c r="B1527">
        <v>0</v>
      </c>
      <c r="C1527" s="16" t="s">
        <v>10802</v>
      </c>
      <c r="D1527" s="16"/>
      <c r="E1527">
        <v>6</v>
      </c>
      <c r="F1527" t="e">
        <f>-Naftaleno</f>
        <v>#NAME?</v>
      </c>
      <c r="G1527">
        <v>1</v>
      </c>
      <c r="H1527">
        <v>1</v>
      </c>
      <c r="I1527">
        <f>1</f>
        <v>1</v>
      </c>
    </row>
    <row r="1528" spans="2:9" x14ac:dyDescent="0.25">
      <c r="B1528">
        <v>0</v>
      </c>
      <c r="C1528" s="16" t="s">
        <v>10803</v>
      </c>
      <c r="D1528" s="16"/>
      <c r="E1528">
        <v>6</v>
      </c>
      <c r="F1528" t="s">
        <v>5190</v>
      </c>
      <c r="G1528">
        <v>1</v>
      </c>
      <c r="H1528">
        <v>1</v>
      </c>
      <c r="I1528">
        <f>1</f>
        <v>1</v>
      </c>
    </row>
    <row r="1529" spans="2:9" x14ac:dyDescent="0.25">
      <c r="B1529">
        <v>0</v>
      </c>
      <c r="C1529" s="16" t="s">
        <v>10804</v>
      </c>
      <c r="D1529" s="16"/>
      <c r="E1529">
        <v>6</v>
      </c>
      <c r="F1529" t="e">
        <f>--óleos De creosoto</f>
        <v>#NAME?</v>
      </c>
      <c r="G1529">
        <v>1</v>
      </c>
      <c r="H1529">
        <v>1</v>
      </c>
      <c r="I1529">
        <f>1</f>
        <v>1</v>
      </c>
    </row>
    <row r="1530" spans="2:9" x14ac:dyDescent="0.25">
      <c r="B1530">
        <v>0</v>
      </c>
      <c r="C1530" s="16" t="s">
        <v>10805</v>
      </c>
      <c r="D1530" s="16"/>
      <c r="E1530">
        <v>6</v>
      </c>
      <c r="F1530" t="s">
        <v>5191</v>
      </c>
      <c r="G1530">
        <v>1</v>
      </c>
      <c r="H1530">
        <v>1</v>
      </c>
      <c r="I1530">
        <f>1</f>
        <v>1</v>
      </c>
    </row>
    <row r="1531" spans="2:9" x14ac:dyDescent="0.25">
      <c r="B1531">
        <v>0</v>
      </c>
      <c r="C1531" s="16" t="s">
        <v>10806</v>
      </c>
      <c r="D1531" s="16"/>
      <c r="E1531">
        <v>6</v>
      </c>
      <c r="F1531" t="s">
        <v>4680</v>
      </c>
      <c r="G1531">
        <v>1</v>
      </c>
      <c r="H1531">
        <v>1</v>
      </c>
      <c r="I1531">
        <f>1</f>
        <v>1</v>
      </c>
    </row>
    <row r="1532" spans="2:9" x14ac:dyDescent="0.25">
      <c r="B1532">
        <v>0</v>
      </c>
      <c r="C1532" s="16" t="s">
        <v>10807</v>
      </c>
      <c r="D1532" s="16"/>
      <c r="E1532">
        <v>6</v>
      </c>
      <c r="F1532" t="e">
        <f>-Breu</f>
        <v>#NAME?</v>
      </c>
      <c r="G1532">
        <v>1</v>
      </c>
      <c r="H1532">
        <v>1</v>
      </c>
      <c r="I1532">
        <f>1</f>
        <v>1</v>
      </c>
    </row>
    <row r="1533" spans="2:9" x14ac:dyDescent="0.25">
      <c r="B1533">
        <v>0</v>
      </c>
      <c r="C1533" s="16" t="s">
        <v>10808</v>
      </c>
      <c r="D1533" s="16"/>
      <c r="E1533">
        <v>6</v>
      </c>
      <c r="F1533" t="e">
        <f>-Coque De Breu</f>
        <v>#NAME?</v>
      </c>
      <c r="G1533">
        <v>1</v>
      </c>
      <c r="H1533">
        <v>1</v>
      </c>
      <c r="I1533">
        <f>1</f>
        <v>1</v>
      </c>
    </row>
    <row r="1534" spans="2:9" x14ac:dyDescent="0.25">
      <c r="B1534">
        <v>0</v>
      </c>
      <c r="C1534" s="16" t="s">
        <v>10809</v>
      </c>
      <c r="D1534" s="16"/>
      <c r="E1534">
        <v>6</v>
      </c>
      <c r="F1534" t="s">
        <v>5192</v>
      </c>
      <c r="G1534">
        <v>1</v>
      </c>
      <c r="H1534">
        <v>1</v>
      </c>
      <c r="I1534">
        <f>1</f>
        <v>1</v>
      </c>
    </row>
    <row r="1535" spans="2:9" x14ac:dyDescent="0.25">
      <c r="B1535">
        <v>0</v>
      </c>
      <c r="C1535" s="16" t="s">
        <v>10810</v>
      </c>
      <c r="D1535" s="16"/>
      <c r="E1535">
        <v>6</v>
      </c>
      <c r="F1535" t="s">
        <v>4680</v>
      </c>
      <c r="G1535">
        <v>1</v>
      </c>
      <c r="H1535">
        <v>1</v>
      </c>
      <c r="I1535">
        <f>1</f>
        <v>1</v>
      </c>
    </row>
    <row r="1536" spans="2:9" x14ac:dyDescent="0.25">
      <c r="B1536">
        <v>0</v>
      </c>
      <c r="C1536" s="16" t="s">
        <v>10811</v>
      </c>
      <c r="D1536" s="16"/>
      <c r="E1536">
        <v>6</v>
      </c>
      <c r="F1536" t="s">
        <v>5193</v>
      </c>
      <c r="G1536">
        <v>1</v>
      </c>
      <c r="H1536">
        <v>1</v>
      </c>
      <c r="I1536">
        <f>1</f>
        <v>1</v>
      </c>
    </row>
    <row r="1537" spans="2:9" x14ac:dyDescent="0.25">
      <c r="B1537">
        <v>0</v>
      </c>
      <c r="C1537" s="16" t="s">
        <v>10812</v>
      </c>
      <c r="D1537" s="16"/>
      <c r="E1537">
        <v>6</v>
      </c>
      <c r="F1537" t="s">
        <v>5194</v>
      </c>
      <c r="G1537">
        <v>1</v>
      </c>
      <c r="H1537">
        <v>1</v>
      </c>
      <c r="I1537">
        <f>1</f>
        <v>1</v>
      </c>
    </row>
    <row r="1538" spans="2:9" x14ac:dyDescent="0.25">
      <c r="B1538">
        <v>0</v>
      </c>
      <c r="C1538" s="16" t="s">
        <v>10813</v>
      </c>
      <c r="D1538" s="16"/>
      <c r="E1538">
        <v>6</v>
      </c>
      <c r="F1538" t="s">
        <v>4690</v>
      </c>
      <c r="G1538">
        <v>1</v>
      </c>
      <c r="H1538">
        <v>1</v>
      </c>
      <c r="I1538">
        <f>1</f>
        <v>1</v>
      </c>
    </row>
    <row r="1539" spans="2:9" x14ac:dyDescent="0.25">
      <c r="B1539">
        <v>0</v>
      </c>
      <c r="C1539" s="16" t="s">
        <v>10814</v>
      </c>
      <c r="D1539" s="16"/>
      <c r="E1539">
        <v>6</v>
      </c>
      <c r="F1539" t="s">
        <v>5195</v>
      </c>
      <c r="G1539">
        <v>1</v>
      </c>
      <c r="H1539">
        <v>1</v>
      </c>
      <c r="I1539">
        <f>1</f>
        <v>1</v>
      </c>
    </row>
    <row r="1540" spans="2:9" x14ac:dyDescent="0.25">
      <c r="B1540">
        <v>0</v>
      </c>
      <c r="C1540" s="16" t="s">
        <v>10815</v>
      </c>
      <c r="D1540" s="16"/>
      <c r="E1540">
        <v>6</v>
      </c>
      <c r="F1540" t="s">
        <v>5196</v>
      </c>
      <c r="G1540">
        <v>1</v>
      </c>
      <c r="H1540">
        <v>1</v>
      </c>
      <c r="I1540">
        <f>1</f>
        <v>1</v>
      </c>
    </row>
    <row r="1541" spans="2:9" x14ac:dyDescent="0.25">
      <c r="B1541">
        <v>0</v>
      </c>
      <c r="C1541" s="16" t="s">
        <v>10816</v>
      </c>
      <c r="D1541" s="16"/>
      <c r="E1541">
        <v>6</v>
      </c>
      <c r="F1541" t="s">
        <v>4690</v>
      </c>
      <c r="G1541">
        <v>1</v>
      </c>
      <c r="H1541">
        <v>1</v>
      </c>
      <c r="I1541">
        <f>1</f>
        <v>1</v>
      </c>
    </row>
    <row r="1542" spans="2:9" x14ac:dyDescent="0.25">
      <c r="B1542">
        <v>0</v>
      </c>
      <c r="C1542" s="16" t="s">
        <v>10817</v>
      </c>
      <c r="D1542" s="16"/>
      <c r="E1542">
        <v>6</v>
      </c>
      <c r="F1542" t="s">
        <v>5197</v>
      </c>
      <c r="G1542">
        <v>1</v>
      </c>
      <c r="H1542">
        <v>1</v>
      </c>
      <c r="I1542">
        <f>1</f>
        <v>1</v>
      </c>
    </row>
    <row r="1543" spans="2:9" x14ac:dyDescent="0.25">
      <c r="B1543">
        <v>0</v>
      </c>
      <c r="C1543" s="16" t="s">
        <v>10818</v>
      </c>
      <c r="D1543" s="16"/>
      <c r="E1543">
        <v>6</v>
      </c>
      <c r="F1543" t="s">
        <v>4690</v>
      </c>
      <c r="G1543">
        <v>1</v>
      </c>
      <c r="H1543">
        <v>1</v>
      </c>
      <c r="I1543">
        <f>1</f>
        <v>1</v>
      </c>
    </row>
    <row r="1544" spans="2:9" x14ac:dyDescent="0.25">
      <c r="B1544">
        <v>0</v>
      </c>
      <c r="C1544" s="16" t="s">
        <v>10819</v>
      </c>
      <c r="D1544" s="16"/>
      <c r="E1544">
        <v>6</v>
      </c>
      <c r="F1544" t="s">
        <v>5198</v>
      </c>
      <c r="G1544">
        <v>1</v>
      </c>
      <c r="H1544">
        <v>1</v>
      </c>
      <c r="I1544">
        <f>1</f>
        <v>1</v>
      </c>
    </row>
    <row r="1545" spans="2:9" x14ac:dyDescent="0.25">
      <c r="B1545">
        <v>0</v>
      </c>
      <c r="C1545" s="16" t="s">
        <v>10820</v>
      </c>
      <c r="D1545" s="16"/>
      <c r="E1545">
        <v>6</v>
      </c>
      <c r="F1545" t="s">
        <v>4680</v>
      </c>
      <c r="G1545">
        <v>1</v>
      </c>
      <c r="H1545">
        <v>1</v>
      </c>
      <c r="I1545">
        <f>1</f>
        <v>1</v>
      </c>
    </row>
    <row r="1546" spans="2:9" x14ac:dyDescent="0.25">
      <c r="B1546">
        <v>0</v>
      </c>
      <c r="C1546" s="16" t="s">
        <v>10820</v>
      </c>
      <c r="D1546" s="16" t="s">
        <v>19430</v>
      </c>
      <c r="E1546">
        <v>6</v>
      </c>
      <c r="F1546" t="s">
        <v>5199</v>
      </c>
      <c r="G1546">
        <v>1</v>
      </c>
      <c r="H1546">
        <v>1</v>
      </c>
      <c r="I1546">
        <f>1</f>
        <v>1</v>
      </c>
    </row>
    <row r="1547" spans="2:9" x14ac:dyDescent="0.25">
      <c r="B1547">
        <v>0</v>
      </c>
      <c r="C1547" s="16" t="s">
        <v>10820</v>
      </c>
      <c r="D1547" s="16" t="s">
        <v>19431</v>
      </c>
      <c r="E1547">
        <v>6</v>
      </c>
      <c r="F1547" t="s">
        <v>5200</v>
      </c>
      <c r="G1547">
        <v>1</v>
      </c>
      <c r="H1547">
        <v>1</v>
      </c>
      <c r="I1547">
        <f>1</f>
        <v>1</v>
      </c>
    </row>
    <row r="1548" spans="2:9" x14ac:dyDescent="0.25">
      <c r="B1548">
        <v>0</v>
      </c>
      <c r="C1548" s="16" t="s">
        <v>10821</v>
      </c>
      <c r="D1548" s="16"/>
      <c r="E1548">
        <v>6</v>
      </c>
      <c r="F1548" t="s">
        <v>5197</v>
      </c>
      <c r="G1548">
        <v>1</v>
      </c>
      <c r="H1548">
        <v>1</v>
      </c>
      <c r="I1548">
        <f>1</f>
        <v>1</v>
      </c>
    </row>
    <row r="1549" spans="2:9" x14ac:dyDescent="0.25">
      <c r="B1549">
        <v>0</v>
      </c>
      <c r="C1549" s="16" t="s">
        <v>10822</v>
      </c>
      <c r="D1549" s="16"/>
      <c r="E1549">
        <v>6</v>
      </c>
      <c r="F1549" t="s">
        <v>4680</v>
      </c>
      <c r="G1549">
        <v>1</v>
      </c>
      <c r="H1549">
        <v>1</v>
      </c>
      <c r="I1549">
        <f>1</f>
        <v>1</v>
      </c>
    </row>
    <row r="1550" spans="2:9" x14ac:dyDescent="0.25">
      <c r="B1550">
        <v>0</v>
      </c>
      <c r="C1550" s="16" t="s">
        <v>10823</v>
      </c>
      <c r="D1550" s="16"/>
      <c r="E1550">
        <v>6</v>
      </c>
      <c r="F1550" t="s">
        <v>5201</v>
      </c>
      <c r="G1550">
        <v>1</v>
      </c>
      <c r="H1550">
        <v>1</v>
      </c>
      <c r="I1550">
        <f>1</f>
        <v>1</v>
      </c>
    </row>
    <row r="1551" spans="2:9" x14ac:dyDescent="0.25">
      <c r="B1551">
        <v>0</v>
      </c>
      <c r="C1551" s="16" t="s">
        <v>10824</v>
      </c>
      <c r="D1551" s="16"/>
      <c r="E1551">
        <v>6</v>
      </c>
      <c r="F1551" t="s">
        <v>5202</v>
      </c>
      <c r="G1551">
        <v>1</v>
      </c>
      <c r="H1551">
        <v>1</v>
      </c>
      <c r="I1551">
        <f>1</f>
        <v>1</v>
      </c>
    </row>
    <row r="1552" spans="2:9" x14ac:dyDescent="0.25">
      <c r="B1552">
        <v>0</v>
      </c>
      <c r="C1552" s="16" t="s">
        <v>10825</v>
      </c>
      <c r="D1552" s="16"/>
      <c r="E1552">
        <v>6</v>
      </c>
      <c r="F1552" t="s">
        <v>4680</v>
      </c>
      <c r="G1552">
        <v>1</v>
      </c>
      <c r="H1552">
        <v>1</v>
      </c>
      <c r="I1552">
        <f>1</f>
        <v>1</v>
      </c>
    </row>
    <row r="1553" spans="2:9" x14ac:dyDescent="0.25">
      <c r="B1553">
        <v>0</v>
      </c>
      <c r="C1553" s="16" t="s">
        <v>10826</v>
      </c>
      <c r="D1553" s="16"/>
      <c r="E1553">
        <v>6</v>
      </c>
      <c r="F1553" t="s">
        <v>5203</v>
      </c>
      <c r="G1553">
        <v>1</v>
      </c>
      <c r="H1553">
        <v>1</v>
      </c>
      <c r="I1553">
        <f>1</f>
        <v>1</v>
      </c>
    </row>
    <row r="1554" spans="2:9" x14ac:dyDescent="0.25">
      <c r="B1554">
        <v>0</v>
      </c>
      <c r="C1554" s="16" t="s">
        <v>10827</v>
      </c>
      <c r="D1554" s="16"/>
      <c r="E1554">
        <v>6</v>
      </c>
      <c r="F1554" t="s">
        <v>5204</v>
      </c>
      <c r="G1554">
        <v>1</v>
      </c>
      <c r="H1554">
        <v>1</v>
      </c>
      <c r="I1554">
        <f>1</f>
        <v>1</v>
      </c>
    </row>
    <row r="1555" spans="2:9" x14ac:dyDescent="0.25">
      <c r="B1555">
        <v>0</v>
      </c>
      <c r="C1555" s="16" t="s">
        <v>10828</v>
      </c>
      <c r="D1555" s="16"/>
      <c r="E1555">
        <v>6</v>
      </c>
      <c r="F1555" t="s">
        <v>5205</v>
      </c>
      <c r="G1555">
        <v>1</v>
      </c>
      <c r="H1555">
        <v>1</v>
      </c>
      <c r="I1555">
        <f>1</f>
        <v>1</v>
      </c>
    </row>
    <row r="1556" spans="2:9" x14ac:dyDescent="0.25">
      <c r="B1556">
        <v>0</v>
      </c>
      <c r="C1556" s="16" t="s">
        <v>10829</v>
      </c>
      <c r="D1556" s="16"/>
      <c r="E1556">
        <v>6</v>
      </c>
      <c r="F1556" t="s">
        <v>5206</v>
      </c>
      <c r="G1556">
        <v>1</v>
      </c>
      <c r="H1556">
        <v>1</v>
      </c>
      <c r="I1556">
        <f>1</f>
        <v>1</v>
      </c>
    </row>
    <row r="1557" spans="2:9" x14ac:dyDescent="0.25">
      <c r="B1557">
        <v>0</v>
      </c>
      <c r="C1557" s="16" t="s">
        <v>10830</v>
      </c>
      <c r="D1557" s="16"/>
      <c r="E1557">
        <v>6</v>
      </c>
      <c r="F1557" t="s">
        <v>5207</v>
      </c>
      <c r="G1557">
        <v>1</v>
      </c>
      <c r="H1557">
        <v>1</v>
      </c>
      <c r="I1557">
        <f>1</f>
        <v>1</v>
      </c>
    </row>
    <row r="1558" spans="2:9" x14ac:dyDescent="0.25">
      <c r="B1558">
        <v>0</v>
      </c>
      <c r="C1558" s="16" t="s">
        <v>10831</v>
      </c>
      <c r="D1558" s="16"/>
      <c r="E1558">
        <v>6</v>
      </c>
      <c r="F1558" t="e">
        <f>--Não calcinado</f>
        <v>#NAME?</v>
      </c>
      <c r="G1558">
        <v>1</v>
      </c>
      <c r="H1558">
        <v>1</v>
      </c>
      <c r="I1558">
        <f>1</f>
        <v>1</v>
      </c>
    </row>
    <row r="1559" spans="2:9" x14ac:dyDescent="0.25">
      <c r="B1559">
        <v>0</v>
      </c>
      <c r="C1559" s="16" t="s">
        <v>10832</v>
      </c>
      <c r="D1559" s="16"/>
      <c r="E1559">
        <v>6</v>
      </c>
      <c r="F1559" t="e">
        <f>--calcinado</f>
        <v>#NAME?</v>
      </c>
      <c r="G1559">
        <v>1</v>
      </c>
      <c r="H1559">
        <v>1</v>
      </c>
      <c r="I1559">
        <f>1</f>
        <v>1</v>
      </c>
    </row>
    <row r="1560" spans="2:9" x14ac:dyDescent="0.25">
      <c r="B1560">
        <v>0</v>
      </c>
      <c r="C1560" s="16" t="s">
        <v>10833</v>
      </c>
      <c r="D1560" s="16"/>
      <c r="E1560">
        <v>6</v>
      </c>
      <c r="F1560" t="e">
        <f>-Betume De petróleo</f>
        <v>#NAME?</v>
      </c>
      <c r="G1560">
        <v>1</v>
      </c>
      <c r="H1560">
        <v>1</v>
      </c>
      <c r="I1560">
        <f>1</f>
        <v>1</v>
      </c>
    </row>
    <row r="1561" spans="2:9" x14ac:dyDescent="0.25">
      <c r="B1561">
        <v>0</v>
      </c>
      <c r="C1561" s="16" t="s">
        <v>10834</v>
      </c>
      <c r="D1561" s="16"/>
      <c r="E1561">
        <v>6</v>
      </c>
      <c r="F1561" t="s">
        <v>5208</v>
      </c>
      <c r="G1561">
        <v>1</v>
      </c>
      <c r="H1561">
        <v>1</v>
      </c>
      <c r="I1561">
        <f>1</f>
        <v>1</v>
      </c>
    </row>
    <row r="1562" spans="2:9" x14ac:dyDescent="0.25">
      <c r="B1562">
        <v>0</v>
      </c>
      <c r="C1562" s="16" t="s">
        <v>10835</v>
      </c>
      <c r="D1562" s="16"/>
      <c r="E1562">
        <v>6</v>
      </c>
      <c r="F1562" t="s">
        <v>4680</v>
      </c>
      <c r="G1562">
        <v>1</v>
      </c>
      <c r="H1562">
        <v>1</v>
      </c>
      <c r="I1562">
        <f>1</f>
        <v>1</v>
      </c>
    </row>
    <row r="1563" spans="2:9" x14ac:dyDescent="0.25">
      <c r="B1563">
        <v>0</v>
      </c>
      <c r="C1563" s="16" t="s">
        <v>10835</v>
      </c>
      <c r="D1563" s="16" t="s">
        <v>19430</v>
      </c>
      <c r="E1563">
        <v>6</v>
      </c>
      <c r="F1563" t="s">
        <v>5199</v>
      </c>
      <c r="G1563">
        <v>1</v>
      </c>
      <c r="H1563">
        <v>1</v>
      </c>
      <c r="I1563">
        <f>1</f>
        <v>1</v>
      </c>
    </row>
    <row r="1564" spans="2:9" x14ac:dyDescent="0.25">
      <c r="B1564">
        <v>0</v>
      </c>
      <c r="C1564" s="16" t="s">
        <v>10835</v>
      </c>
      <c r="D1564" s="16" t="s">
        <v>19431</v>
      </c>
      <c r="E1564">
        <v>6</v>
      </c>
      <c r="F1564" t="s">
        <v>5200</v>
      </c>
      <c r="G1564">
        <v>1</v>
      </c>
      <c r="H1564">
        <v>1</v>
      </c>
      <c r="I1564">
        <f>1</f>
        <v>1</v>
      </c>
    </row>
    <row r="1565" spans="2:9" x14ac:dyDescent="0.25">
      <c r="B1565">
        <v>0</v>
      </c>
      <c r="C1565" s="16" t="s">
        <v>10836</v>
      </c>
      <c r="D1565" s="16"/>
      <c r="E1565">
        <v>6</v>
      </c>
      <c r="F1565" t="s">
        <v>5209</v>
      </c>
      <c r="G1565">
        <v>1</v>
      </c>
      <c r="H1565">
        <v>1</v>
      </c>
      <c r="I1565">
        <f>1</f>
        <v>1</v>
      </c>
    </row>
    <row r="1566" spans="2:9" x14ac:dyDescent="0.25">
      <c r="B1566">
        <v>0</v>
      </c>
      <c r="C1566" s="16" t="s">
        <v>10836</v>
      </c>
      <c r="D1566" s="16" t="s">
        <v>19430</v>
      </c>
      <c r="E1566">
        <v>6</v>
      </c>
      <c r="F1566" t="s">
        <v>5210</v>
      </c>
      <c r="G1566">
        <v>1</v>
      </c>
      <c r="H1566">
        <v>1</v>
      </c>
      <c r="I1566">
        <f>1</f>
        <v>1</v>
      </c>
    </row>
    <row r="1567" spans="2:9" x14ac:dyDescent="0.25">
      <c r="B1567">
        <v>0</v>
      </c>
      <c r="C1567" s="16" t="s">
        <v>10837</v>
      </c>
      <c r="D1567" s="16"/>
      <c r="E1567">
        <v>6</v>
      </c>
      <c r="F1567" t="s">
        <v>5211</v>
      </c>
      <c r="G1567">
        <v>1</v>
      </c>
      <c r="H1567">
        <v>1</v>
      </c>
      <c r="I1567">
        <f>1</f>
        <v>1</v>
      </c>
    </row>
    <row r="1568" spans="2:9" x14ac:dyDescent="0.25">
      <c r="B1568">
        <v>0</v>
      </c>
      <c r="C1568" s="16" t="s">
        <v>10838</v>
      </c>
      <c r="D1568" s="16"/>
      <c r="E1568">
        <v>6</v>
      </c>
      <c r="F1568" t="e">
        <f>--outros</f>
        <v>#NAME?</v>
      </c>
      <c r="G1568">
        <v>1</v>
      </c>
      <c r="H1568">
        <v>1</v>
      </c>
      <c r="I1568">
        <f>1</f>
        <v>1</v>
      </c>
    </row>
    <row r="1569" spans="2:9" x14ac:dyDescent="0.25">
      <c r="B1569">
        <v>0</v>
      </c>
      <c r="C1569" s="16" t="s">
        <v>10839</v>
      </c>
      <c r="D1569" s="16"/>
      <c r="E1569">
        <v>6</v>
      </c>
      <c r="F1569" t="e">
        <f>--Gás natural</f>
        <v>#NAME?</v>
      </c>
      <c r="G1569">
        <v>1</v>
      </c>
      <c r="H1569">
        <v>1</v>
      </c>
      <c r="I1569">
        <f>1</f>
        <v>1</v>
      </c>
    </row>
    <row r="1570" spans="2:9" x14ac:dyDescent="0.25">
      <c r="B1570">
        <v>0</v>
      </c>
      <c r="C1570" s="16" t="s">
        <v>10840</v>
      </c>
      <c r="D1570" s="16"/>
      <c r="E1570">
        <v>6</v>
      </c>
      <c r="F1570" t="s">
        <v>5212</v>
      </c>
      <c r="G1570">
        <v>1</v>
      </c>
      <c r="H1570">
        <v>1</v>
      </c>
      <c r="I1570">
        <f>1</f>
        <v>1</v>
      </c>
    </row>
    <row r="1571" spans="2:9" x14ac:dyDescent="0.25">
      <c r="B1571">
        <v>0</v>
      </c>
      <c r="C1571" s="16" t="s">
        <v>10841</v>
      </c>
      <c r="D1571" s="16"/>
      <c r="E1571">
        <v>6</v>
      </c>
      <c r="F1571" t="s">
        <v>4680</v>
      </c>
      <c r="G1571">
        <v>1</v>
      </c>
      <c r="H1571">
        <v>1</v>
      </c>
      <c r="I1571">
        <f>1</f>
        <v>1</v>
      </c>
    </row>
    <row r="1572" spans="2:9" x14ac:dyDescent="0.25">
      <c r="B1572">
        <v>0</v>
      </c>
      <c r="C1572" s="16" t="s">
        <v>10842</v>
      </c>
      <c r="D1572" s="16"/>
      <c r="E1572">
        <v>6</v>
      </c>
      <c r="F1572" t="e">
        <f>--Butanos</f>
        <v>#NAME?</v>
      </c>
      <c r="G1572">
        <v>1</v>
      </c>
      <c r="H1572">
        <v>1</v>
      </c>
      <c r="I1572">
        <f>1</f>
        <v>1</v>
      </c>
    </row>
    <row r="1573" spans="2:9" x14ac:dyDescent="0.25">
      <c r="B1573">
        <v>0</v>
      </c>
      <c r="C1573" s="16" t="s">
        <v>10843</v>
      </c>
      <c r="D1573" s="16"/>
      <c r="E1573">
        <v>6</v>
      </c>
      <c r="F1573" t="s">
        <v>5213</v>
      </c>
      <c r="G1573">
        <v>1</v>
      </c>
      <c r="H1573">
        <v>1</v>
      </c>
      <c r="I1573">
        <f>1</f>
        <v>1</v>
      </c>
    </row>
    <row r="1574" spans="2:9" x14ac:dyDescent="0.25">
      <c r="B1574">
        <v>0</v>
      </c>
      <c r="C1574" s="16" t="s">
        <v>10844</v>
      </c>
      <c r="D1574" s="16"/>
      <c r="E1574">
        <v>6</v>
      </c>
      <c r="F1574" t="s">
        <v>5214</v>
      </c>
      <c r="G1574">
        <v>1</v>
      </c>
      <c r="H1574">
        <v>1</v>
      </c>
      <c r="I1574">
        <f>1</f>
        <v>1</v>
      </c>
    </row>
    <row r="1575" spans="2:9" x14ac:dyDescent="0.25">
      <c r="B1575">
        <v>0</v>
      </c>
      <c r="C1575" s="16" t="s">
        <v>10845</v>
      </c>
      <c r="D1575" s="16"/>
      <c r="E1575">
        <v>6</v>
      </c>
      <c r="F1575" t="s">
        <v>4680</v>
      </c>
      <c r="G1575">
        <v>1</v>
      </c>
      <c r="H1575">
        <v>1</v>
      </c>
      <c r="I1575">
        <f>1</f>
        <v>1</v>
      </c>
    </row>
    <row r="1576" spans="2:9" x14ac:dyDescent="0.25">
      <c r="B1576">
        <v>0</v>
      </c>
      <c r="C1576" s="16" t="s">
        <v>10846</v>
      </c>
      <c r="D1576" s="16"/>
      <c r="E1576">
        <v>6</v>
      </c>
      <c r="F1576" t="e">
        <f>--Gás natural</f>
        <v>#NAME?</v>
      </c>
      <c r="G1576">
        <v>1</v>
      </c>
      <c r="H1576">
        <v>1</v>
      </c>
      <c r="I1576">
        <f>1</f>
        <v>1</v>
      </c>
    </row>
    <row r="1577" spans="2:9" x14ac:dyDescent="0.25">
      <c r="B1577">
        <v>0</v>
      </c>
      <c r="C1577" s="16" t="s">
        <v>10847</v>
      </c>
      <c r="D1577" s="16"/>
      <c r="E1577">
        <v>6</v>
      </c>
      <c r="F1577" t="s">
        <v>5215</v>
      </c>
      <c r="G1577">
        <v>1</v>
      </c>
      <c r="H1577">
        <v>1</v>
      </c>
      <c r="I1577">
        <f>1</f>
        <v>1</v>
      </c>
    </row>
    <row r="1578" spans="2:9" x14ac:dyDescent="0.25">
      <c r="B1578">
        <v>0</v>
      </c>
      <c r="C1578" s="16" t="s">
        <v>10848</v>
      </c>
      <c r="D1578" s="16"/>
      <c r="E1578">
        <v>6</v>
      </c>
      <c r="F1578" t="s">
        <v>4680</v>
      </c>
      <c r="G1578">
        <v>1</v>
      </c>
      <c r="H1578">
        <v>1</v>
      </c>
      <c r="I1578">
        <f>1</f>
        <v>1</v>
      </c>
    </row>
    <row r="1579" spans="2:9" x14ac:dyDescent="0.25">
      <c r="B1579">
        <v>0</v>
      </c>
      <c r="C1579" s="16" t="s">
        <v>10849</v>
      </c>
      <c r="D1579" s="16"/>
      <c r="E1579">
        <v>6</v>
      </c>
      <c r="F1579" t="e">
        <f>-Vaselina</f>
        <v>#NAME?</v>
      </c>
      <c r="G1579">
        <v>1</v>
      </c>
      <c r="H1579">
        <v>1</v>
      </c>
      <c r="I1579">
        <f>1</f>
        <v>1</v>
      </c>
    </row>
    <row r="1580" spans="2:9" x14ac:dyDescent="0.25">
      <c r="B1580">
        <v>0</v>
      </c>
      <c r="C1580" s="16" t="s">
        <v>10850</v>
      </c>
      <c r="D1580" s="16"/>
      <c r="E1580">
        <v>6</v>
      </c>
      <c r="F1580" t="s">
        <v>5216</v>
      </c>
      <c r="G1580">
        <v>1</v>
      </c>
      <c r="H1580">
        <v>1</v>
      </c>
      <c r="I1580">
        <f>1</f>
        <v>1</v>
      </c>
    </row>
    <row r="1581" spans="2:9" x14ac:dyDescent="0.25">
      <c r="B1581">
        <v>0</v>
      </c>
      <c r="C1581" s="16" t="s">
        <v>10851</v>
      </c>
      <c r="D1581" s="16"/>
      <c r="E1581">
        <v>6</v>
      </c>
      <c r="F1581" t="e">
        <f>-outros</f>
        <v>#NAME?</v>
      </c>
      <c r="G1581">
        <v>1</v>
      </c>
      <c r="H1581">
        <v>1</v>
      </c>
      <c r="I1581">
        <f>1</f>
        <v>1</v>
      </c>
    </row>
    <row r="1582" spans="2:9" x14ac:dyDescent="0.25">
      <c r="B1582">
        <v>0</v>
      </c>
      <c r="C1582" s="16" t="s">
        <v>10852</v>
      </c>
      <c r="D1582" s="16"/>
      <c r="E1582">
        <v>6</v>
      </c>
      <c r="F1582" t="e">
        <f>-outros Resíduos dos óleos De petróleo ou De minerais betuminosos</f>
        <v>#NAME?</v>
      </c>
      <c r="G1582">
        <v>1</v>
      </c>
      <c r="H1582">
        <v>1</v>
      </c>
      <c r="I1582">
        <f>1</f>
        <v>1</v>
      </c>
    </row>
    <row r="1583" spans="2:9" x14ac:dyDescent="0.25">
      <c r="B1583">
        <v>0</v>
      </c>
      <c r="C1583" s="16" t="s">
        <v>10853</v>
      </c>
      <c r="D1583" s="16"/>
      <c r="E1583">
        <v>6</v>
      </c>
      <c r="F1583" t="e">
        <f>-Xistos e Areias betuminosos</f>
        <v>#NAME?</v>
      </c>
      <c r="G1583">
        <v>1</v>
      </c>
      <c r="H1583">
        <v>1</v>
      </c>
      <c r="I1583">
        <f>1</f>
        <v>1</v>
      </c>
    </row>
    <row r="1584" spans="2:9" x14ac:dyDescent="0.25">
      <c r="B1584">
        <v>0</v>
      </c>
      <c r="C1584" s="16" t="s">
        <v>10854</v>
      </c>
      <c r="D1584" s="16"/>
      <c r="E1584">
        <v>6</v>
      </c>
      <c r="F1584" t="e">
        <f>-outros</f>
        <v>#NAME?</v>
      </c>
      <c r="G1584">
        <v>1</v>
      </c>
      <c r="H1584">
        <v>1</v>
      </c>
      <c r="I1584">
        <f>1</f>
        <v>1</v>
      </c>
    </row>
    <row r="1585" spans="2:9" x14ac:dyDescent="0.25">
      <c r="B1585">
        <v>0</v>
      </c>
      <c r="C1585" s="16" t="s">
        <v>10855</v>
      </c>
      <c r="D1585" s="16"/>
      <c r="E1585">
        <v>6</v>
      </c>
      <c r="F1585" t="s">
        <v>5217</v>
      </c>
      <c r="G1585">
        <v>1</v>
      </c>
      <c r="H1585">
        <v>1</v>
      </c>
      <c r="I1585">
        <f>1</f>
        <v>1</v>
      </c>
    </row>
    <row r="1586" spans="2:9" x14ac:dyDescent="0.25">
      <c r="B1586">
        <v>0</v>
      </c>
      <c r="C1586" s="16" t="s">
        <v>10856</v>
      </c>
      <c r="D1586" s="16"/>
      <c r="E1586">
        <v>6</v>
      </c>
      <c r="F1586" t="s">
        <v>5218</v>
      </c>
      <c r="G1586">
        <v>1</v>
      </c>
      <c r="H1586">
        <v>1</v>
      </c>
      <c r="I1586">
        <f>1</f>
        <v>1</v>
      </c>
    </row>
    <row r="1587" spans="2:9" x14ac:dyDescent="0.25">
      <c r="B1587">
        <v>0</v>
      </c>
      <c r="C1587" s="16" t="s">
        <v>10857</v>
      </c>
      <c r="D1587" s="16"/>
      <c r="E1587">
        <v>6</v>
      </c>
      <c r="F1587" t="e">
        <f>-Cloro</f>
        <v>#NAME?</v>
      </c>
      <c r="G1587">
        <v>1</v>
      </c>
      <c r="H1587">
        <v>0</v>
      </c>
      <c r="I1587">
        <f>1</f>
        <v>1</v>
      </c>
    </row>
    <row r="1588" spans="2:9" x14ac:dyDescent="0.25">
      <c r="B1588">
        <v>0</v>
      </c>
      <c r="C1588" s="16" t="s">
        <v>10858</v>
      </c>
      <c r="D1588" s="16"/>
      <c r="E1588">
        <v>6</v>
      </c>
      <c r="F1588" t="s">
        <v>5219</v>
      </c>
      <c r="G1588">
        <v>1</v>
      </c>
      <c r="H1588">
        <v>0</v>
      </c>
      <c r="I1588">
        <f>1</f>
        <v>1</v>
      </c>
    </row>
    <row r="1589" spans="2:9" x14ac:dyDescent="0.25">
      <c r="B1589">
        <v>0</v>
      </c>
      <c r="C1589" s="16" t="s">
        <v>10859</v>
      </c>
      <c r="D1589" s="16"/>
      <c r="E1589">
        <v>6</v>
      </c>
      <c r="F1589" t="s">
        <v>4680</v>
      </c>
      <c r="G1589">
        <v>1</v>
      </c>
      <c r="H1589">
        <v>0</v>
      </c>
      <c r="I1589">
        <f>1</f>
        <v>1</v>
      </c>
    </row>
    <row r="1590" spans="2:9" x14ac:dyDescent="0.25">
      <c r="B1590">
        <v>0</v>
      </c>
      <c r="C1590" s="16" t="s">
        <v>10860</v>
      </c>
      <c r="D1590" s="16"/>
      <c r="E1590">
        <v>6</v>
      </c>
      <c r="F1590" t="s">
        <v>5220</v>
      </c>
      <c r="G1590">
        <v>1</v>
      </c>
      <c r="H1590">
        <v>0</v>
      </c>
      <c r="I1590">
        <f>1</f>
        <v>1</v>
      </c>
    </row>
    <row r="1591" spans="2:9" x14ac:dyDescent="0.25">
      <c r="B1591">
        <v>0</v>
      </c>
      <c r="C1591" s="16" t="s">
        <v>10861</v>
      </c>
      <c r="D1591" s="16"/>
      <c r="E1591">
        <v>6</v>
      </c>
      <c r="F1591" t="s">
        <v>5221</v>
      </c>
      <c r="G1591">
        <v>1</v>
      </c>
      <c r="H1591">
        <v>0</v>
      </c>
      <c r="I1591">
        <f>1</f>
        <v>1</v>
      </c>
    </row>
    <row r="1592" spans="2:9" x14ac:dyDescent="0.25">
      <c r="B1592">
        <v>0</v>
      </c>
      <c r="C1592" s="16" t="s">
        <v>10862</v>
      </c>
      <c r="D1592" s="16"/>
      <c r="E1592">
        <v>6</v>
      </c>
      <c r="F1592" t="s">
        <v>5222</v>
      </c>
      <c r="G1592">
        <v>1</v>
      </c>
      <c r="H1592">
        <v>0</v>
      </c>
      <c r="I1592">
        <f>1</f>
        <v>1</v>
      </c>
    </row>
    <row r="1593" spans="2:9" x14ac:dyDescent="0.25">
      <c r="B1593">
        <v>0</v>
      </c>
      <c r="C1593" s="16" t="s">
        <v>10863</v>
      </c>
      <c r="D1593" s="16"/>
      <c r="E1593">
        <v>6</v>
      </c>
      <c r="F1593" t="s">
        <v>4680</v>
      </c>
      <c r="G1593">
        <v>1</v>
      </c>
      <c r="H1593">
        <v>0</v>
      </c>
      <c r="I1593">
        <f>1</f>
        <v>1</v>
      </c>
    </row>
    <row r="1594" spans="2:9" x14ac:dyDescent="0.25">
      <c r="B1594">
        <v>0</v>
      </c>
      <c r="C1594" s="16" t="s">
        <v>10864</v>
      </c>
      <c r="D1594" s="16"/>
      <c r="E1594">
        <v>6</v>
      </c>
      <c r="F1594" t="s">
        <v>4680</v>
      </c>
      <c r="G1594">
        <v>1</v>
      </c>
      <c r="H1594">
        <v>0</v>
      </c>
      <c r="I1594">
        <f>1</f>
        <v>1</v>
      </c>
    </row>
    <row r="1595" spans="2:9" x14ac:dyDescent="0.25">
      <c r="B1595">
        <v>0</v>
      </c>
      <c r="C1595" s="16" t="s">
        <v>10865</v>
      </c>
      <c r="D1595" s="16"/>
      <c r="E1595">
        <v>6</v>
      </c>
      <c r="F1595" t="e">
        <f>-Hidrogênio</f>
        <v>#NAME?</v>
      </c>
      <c r="G1595">
        <v>1</v>
      </c>
      <c r="H1595">
        <v>0</v>
      </c>
      <c r="I1595">
        <f>1</f>
        <v>1</v>
      </c>
    </row>
    <row r="1596" spans="2:9" x14ac:dyDescent="0.25">
      <c r="B1596">
        <v>0</v>
      </c>
      <c r="C1596" s="16" t="s">
        <v>10866</v>
      </c>
      <c r="D1596" s="16"/>
      <c r="E1596">
        <v>6</v>
      </c>
      <c r="F1596" t="e">
        <f>--Argônio  árgon</f>
        <v>#NAME?</v>
      </c>
      <c r="G1596">
        <v>1</v>
      </c>
      <c r="H1596">
        <v>0</v>
      </c>
      <c r="I1596">
        <f>1</f>
        <v>1</v>
      </c>
    </row>
    <row r="1597" spans="2:9" x14ac:dyDescent="0.25">
      <c r="B1597">
        <v>0</v>
      </c>
      <c r="C1597" s="16" t="s">
        <v>10867</v>
      </c>
      <c r="D1597" s="16"/>
      <c r="E1597">
        <v>6</v>
      </c>
      <c r="F1597" t="s">
        <v>5223</v>
      </c>
      <c r="G1597">
        <v>1</v>
      </c>
      <c r="H1597">
        <v>0</v>
      </c>
      <c r="I1597">
        <f>1</f>
        <v>1</v>
      </c>
    </row>
    <row r="1598" spans="2:9" x14ac:dyDescent="0.25">
      <c r="B1598">
        <v>0</v>
      </c>
      <c r="C1598" s="16" t="s">
        <v>10868</v>
      </c>
      <c r="D1598" s="16"/>
      <c r="E1598">
        <v>6</v>
      </c>
      <c r="F1598" t="s">
        <v>4680</v>
      </c>
      <c r="G1598">
        <v>1</v>
      </c>
      <c r="H1598">
        <v>0</v>
      </c>
      <c r="I1598">
        <f>1</f>
        <v>1</v>
      </c>
    </row>
    <row r="1599" spans="2:9" x14ac:dyDescent="0.25">
      <c r="B1599">
        <v>0</v>
      </c>
      <c r="C1599" s="16" t="s">
        <v>10869</v>
      </c>
      <c r="D1599" s="16"/>
      <c r="E1599">
        <v>6</v>
      </c>
      <c r="F1599" t="e">
        <f>-Nitrogênio  azoto</f>
        <v>#NAME?</v>
      </c>
      <c r="G1599">
        <v>1</v>
      </c>
      <c r="H1599">
        <v>0</v>
      </c>
      <c r="I1599">
        <f>1</f>
        <v>1</v>
      </c>
    </row>
    <row r="1600" spans="2:9" x14ac:dyDescent="0.25">
      <c r="B1600">
        <v>0</v>
      </c>
      <c r="C1600" s="16" t="s">
        <v>10870</v>
      </c>
      <c r="D1600" s="16"/>
      <c r="E1600">
        <v>6</v>
      </c>
      <c r="F1600" t="e">
        <f>-Oxigênio</f>
        <v>#NAME?</v>
      </c>
      <c r="G1600">
        <v>1</v>
      </c>
      <c r="H1600">
        <v>0</v>
      </c>
      <c r="I1600">
        <f>1</f>
        <v>1</v>
      </c>
    </row>
    <row r="1601" spans="2:9" x14ac:dyDescent="0.25">
      <c r="B1601">
        <v>0</v>
      </c>
      <c r="C1601" s="16" t="s">
        <v>10871</v>
      </c>
      <c r="D1601" s="16"/>
      <c r="E1601">
        <v>6</v>
      </c>
      <c r="F1601" t="s">
        <v>5224</v>
      </c>
      <c r="G1601">
        <v>1</v>
      </c>
      <c r="H1601">
        <v>0</v>
      </c>
      <c r="I1601">
        <f>1</f>
        <v>1</v>
      </c>
    </row>
    <row r="1602" spans="2:9" x14ac:dyDescent="0.25">
      <c r="B1602">
        <v>0</v>
      </c>
      <c r="C1602" s="16" t="s">
        <v>10872</v>
      </c>
      <c r="D1602" s="16"/>
      <c r="E1602">
        <v>6</v>
      </c>
      <c r="F1602" t="s">
        <v>5225</v>
      </c>
      <c r="G1602">
        <v>1</v>
      </c>
      <c r="H1602">
        <v>0</v>
      </c>
      <c r="I1602">
        <f>1</f>
        <v>1</v>
      </c>
    </row>
    <row r="1603" spans="2:9" x14ac:dyDescent="0.25">
      <c r="B1603">
        <v>0</v>
      </c>
      <c r="C1603" s="16" t="s">
        <v>10873</v>
      </c>
      <c r="D1603" s="16"/>
      <c r="E1603">
        <v>6</v>
      </c>
      <c r="F1603" t="e">
        <f>--outro</f>
        <v>#NAME?</v>
      </c>
      <c r="G1603">
        <v>1</v>
      </c>
      <c r="H1603">
        <v>0</v>
      </c>
      <c r="I1603">
        <f>1</f>
        <v>1</v>
      </c>
    </row>
    <row r="1604" spans="2:9" x14ac:dyDescent="0.25">
      <c r="B1604">
        <v>0</v>
      </c>
      <c r="C1604" s="16" t="s">
        <v>10874</v>
      </c>
      <c r="D1604" s="16"/>
      <c r="E1604">
        <v>6</v>
      </c>
      <c r="F1604" t="s">
        <v>5226</v>
      </c>
      <c r="G1604">
        <v>1</v>
      </c>
      <c r="H1604">
        <v>0</v>
      </c>
      <c r="I1604">
        <f>1</f>
        <v>1</v>
      </c>
    </row>
    <row r="1605" spans="2:9" x14ac:dyDescent="0.25">
      <c r="B1605">
        <v>0</v>
      </c>
      <c r="C1605" s="16" t="s">
        <v>10875</v>
      </c>
      <c r="D1605" s="16"/>
      <c r="E1605">
        <v>6</v>
      </c>
      <c r="F1605" t="s">
        <v>5227</v>
      </c>
      <c r="G1605">
        <v>1</v>
      </c>
      <c r="H1605">
        <v>0</v>
      </c>
      <c r="I1605">
        <f>1</f>
        <v>1</v>
      </c>
    </row>
    <row r="1606" spans="2:9" x14ac:dyDescent="0.25">
      <c r="B1606">
        <v>0</v>
      </c>
      <c r="C1606" s="16" t="s">
        <v>10876</v>
      </c>
      <c r="D1606" s="16"/>
      <c r="E1606">
        <v>6</v>
      </c>
      <c r="F1606" t="s">
        <v>5228</v>
      </c>
      <c r="G1606">
        <v>1</v>
      </c>
      <c r="H1606">
        <v>0</v>
      </c>
      <c r="I1606">
        <f>1</f>
        <v>1</v>
      </c>
    </row>
    <row r="1607" spans="2:9" x14ac:dyDescent="0.25">
      <c r="B1607">
        <v>0</v>
      </c>
      <c r="C1607" s="16" t="s">
        <v>10877</v>
      </c>
      <c r="D1607" s="16"/>
      <c r="E1607">
        <v>6</v>
      </c>
      <c r="F1607" t="e">
        <f>-arsênio</f>
        <v>#NAME?</v>
      </c>
      <c r="G1607">
        <v>1</v>
      </c>
      <c r="H1607">
        <v>0</v>
      </c>
      <c r="I1607">
        <f>1</f>
        <v>1</v>
      </c>
    </row>
    <row r="1608" spans="2:9" x14ac:dyDescent="0.25">
      <c r="B1608">
        <v>0</v>
      </c>
      <c r="C1608" s="16" t="s">
        <v>10878</v>
      </c>
      <c r="D1608" s="16"/>
      <c r="E1608">
        <v>6</v>
      </c>
      <c r="F1608" t="e">
        <f>-Selênio</f>
        <v>#NAME?</v>
      </c>
      <c r="G1608">
        <v>1</v>
      </c>
      <c r="H1608">
        <v>0</v>
      </c>
      <c r="I1608">
        <f>1</f>
        <v>1</v>
      </c>
    </row>
    <row r="1609" spans="2:9" x14ac:dyDescent="0.25">
      <c r="B1609">
        <v>0</v>
      </c>
      <c r="C1609" s="16" t="s">
        <v>10879</v>
      </c>
      <c r="D1609" s="16"/>
      <c r="E1609">
        <v>6</v>
      </c>
      <c r="F1609" t="e">
        <f>--Sódio</f>
        <v>#NAME?</v>
      </c>
      <c r="G1609">
        <v>1</v>
      </c>
      <c r="H1609">
        <v>0</v>
      </c>
      <c r="I1609">
        <f>1</f>
        <v>1</v>
      </c>
    </row>
    <row r="1610" spans="2:9" x14ac:dyDescent="0.25">
      <c r="B1610">
        <v>0</v>
      </c>
      <c r="C1610" s="16" t="s">
        <v>10880</v>
      </c>
      <c r="D1610" s="16"/>
      <c r="E1610">
        <v>6</v>
      </c>
      <c r="F1610" t="e">
        <f>--Cálcio</f>
        <v>#NAME?</v>
      </c>
      <c r="G1610">
        <v>1</v>
      </c>
      <c r="H1610">
        <v>0</v>
      </c>
      <c r="I1610">
        <f>1</f>
        <v>1</v>
      </c>
    </row>
    <row r="1611" spans="2:9" x14ac:dyDescent="0.25">
      <c r="B1611">
        <v>0</v>
      </c>
      <c r="C1611" s="16" t="s">
        <v>10881</v>
      </c>
      <c r="D1611" s="16"/>
      <c r="E1611">
        <v>6</v>
      </c>
      <c r="F1611" t="s">
        <v>5229</v>
      </c>
      <c r="G1611">
        <v>1</v>
      </c>
      <c r="H1611">
        <v>0</v>
      </c>
      <c r="I1611">
        <f>1</f>
        <v>1</v>
      </c>
    </row>
    <row r="1612" spans="2:9" x14ac:dyDescent="0.25">
      <c r="B1612">
        <v>0</v>
      </c>
      <c r="C1612" s="16" t="s">
        <v>10882</v>
      </c>
      <c r="D1612" s="16"/>
      <c r="E1612">
        <v>6</v>
      </c>
      <c r="F1612" t="s">
        <v>5230</v>
      </c>
      <c r="G1612">
        <v>1</v>
      </c>
      <c r="H1612">
        <v>0</v>
      </c>
      <c r="I1612">
        <f>1</f>
        <v>1</v>
      </c>
    </row>
    <row r="1613" spans="2:9" x14ac:dyDescent="0.25">
      <c r="B1613">
        <v>0</v>
      </c>
      <c r="C1613" s="16" t="s">
        <v>10883</v>
      </c>
      <c r="D1613" s="16"/>
      <c r="E1613">
        <v>6</v>
      </c>
      <c r="F1613" t="s">
        <v>4680</v>
      </c>
      <c r="G1613">
        <v>1</v>
      </c>
      <c r="H1613">
        <v>0</v>
      </c>
      <c r="I1613">
        <f>1</f>
        <v>1</v>
      </c>
    </row>
    <row r="1614" spans="2:9" x14ac:dyDescent="0.25">
      <c r="B1614">
        <v>0</v>
      </c>
      <c r="C1614" s="16" t="s">
        <v>10884</v>
      </c>
      <c r="D1614" s="16"/>
      <c r="E1614">
        <v>6</v>
      </c>
      <c r="F1614" t="s">
        <v>5231</v>
      </c>
      <c r="G1614">
        <v>1</v>
      </c>
      <c r="H1614">
        <v>0</v>
      </c>
      <c r="I1614">
        <f>1</f>
        <v>1</v>
      </c>
    </row>
    <row r="1615" spans="2:9" x14ac:dyDescent="0.25">
      <c r="B1615">
        <v>0</v>
      </c>
      <c r="C1615" s="16" t="s">
        <v>10885</v>
      </c>
      <c r="D1615" s="16"/>
      <c r="E1615">
        <v>6</v>
      </c>
      <c r="F1615" t="s">
        <v>4680</v>
      </c>
      <c r="G1615">
        <v>1</v>
      </c>
      <c r="H1615">
        <v>0</v>
      </c>
      <c r="I1615">
        <f>1</f>
        <v>1</v>
      </c>
    </row>
    <row r="1616" spans="2:9" x14ac:dyDescent="0.25">
      <c r="B1616">
        <v>0</v>
      </c>
      <c r="C1616" s="16" t="s">
        <v>10886</v>
      </c>
      <c r="D1616" s="16"/>
      <c r="E1616">
        <v>6</v>
      </c>
      <c r="F1616" t="e">
        <f>-Mercúrio</f>
        <v>#NAME?</v>
      </c>
      <c r="G1616">
        <v>1</v>
      </c>
      <c r="H1616">
        <v>0</v>
      </c>
      <c r="I1616">
        <f>1</f>
        <v>1</v>
      </c>
    </row>
    <row r="1617" spans="2:9" x14ac:dyDescent="0.25">
      <c r="B1617">
        <v>0</v>
      </c>
      <c r="C1617" s="16" t="s">
        <v>10887</v>
      </c>
      <c r="D1617" s="16"/>
      <c r="E1617">
        <v>6</v>
      </c>
      <c r="F1617" t="s">
        <v>5232</v>
      </c>
      <c r="G1617">
        <v>1</v>
      </c>
      <c r="H1617">
        <v>0</v>
      </c>
      <c r="I1617">
        <f>1</f>
        <v>1</v>
      </c>
    </row>
    <row r="1618" spans="2:9" x14ac:dyDescent="0.25">
      <c r="B1618">
        <v>0</v>
      </c>
      <c r="C1618" s="16" t="s">
        <v>10888</v>
      </c>
      <c r="D1618" s="16"/>
      <c r="E1618">
        <v>6</v>
      </c>
      <c r="F1618" t="s">
        <v>5233</v>
      </c>
      <c r="G1618">
        <v>1</v>
      </c>
      <c r="H1618">
        <v>0</v>
      </c>
      <c r="I1618">
        <f>1</f>
        <v>1</v>
      </c>
    </row>
    <row r="1619" spans="2:9" x14ac:dyDescent="0.25">
      <c r="B1619">
        <v>0</v>
      </c>
      <c r="C1619" s="16" t="s">
        <v>10889</v>
      </c>
      <c r="D1619" s="16"/>
      <c r="E1619">
        <v>6</v>
      </c>
      <c r="F1619" t="e">
        <f>-ácido clorossulfúrico</f>
        <v>#NAME?</v>
      </c>
      <c r="G1619">
        <v>1</v>
      </c>
      <c r="H1619">
        <v>0</v>
      </c>
      <c r="I1619">
        <f>1</f>
        <v>1</v>
      </c>
    </row>
    <row r="1620" spans="2:9" x14ac:dyDescent="0.25">
      <c r="B1620">
        <v>0</v>
      </c>
      <c r="C1620" s="16" t="s">
        <v>10890</v>
      </c>
      <c r="D1620" s="16"/>
      <c r="E1620">
        <v>6</v>
      </c>
      <c r="F1620" t="s">
        <v>5234</v>
      </c>
      <c r="G1620">
        <v>1</v>
      </c>
      <c r="H1620">
        <v>0</v>
      </c>
      <c r="I1620">
        <f>1</f>
        <v>1</v>
      </c>
    </row>
    <row r="1621" spans="2:9" x14ac:dyDescent="0.25">
      <c r="B1621">
        <v>0</v>
      </c>
      <c r="C1621" s="16" t="s">
        <v>10891</v>
      </c>
      <c r="D1621" s="16"/>
      <c r="E1621">
        <v>6</v>
      </c>
      <c r="F1621" t="s">
        <v>5235</v>
      </c>
      <c r="G1621">
        <v>1</v>
      </c>
      <c r="H1621">
        <v>0</v>
      </c>
      <c r="I1621">
        <f>1</f>
        <v>1</v>
      </c>
    </row>
    <row r="1622" spans="2:9" x14ac:dyDescent="0.25">
      <c r="B1622">
        <v>0</v>
      </c>
      <c r="C1622" s="16" t="s">
        <v>10892</v>
      </c>
      <c r="D1622" s="16"/>
      <c r="E1622">
        <v>6</v>
      </c>
      <c r="F1622" t="s">
        <v>5236</v>
      </c>
      <c r="G1622">
        <v>1</v>
      </c>
      <c r="H1622">
        <v>0</v>
      </c>
      <c r="I1622">
        <f>1</f>
        <v>1</v>
      </c>
    </row>
    <row r="1623" spans="2:9" x14ac:dyDescent="0.25">
      <c r="B1623">
        <v>0</v>
      </c>
      <c r="C1623" s="16" t="s">
        <v>10893</v>
      </c>
      <c r="D1623" s="16"/>
      <c r="E1623">
        <v>6</v>
      </c>
      <c r="F1623" t="s">
        <v>5237</v>
      </c>
      <c r="G1623">
        <v>1</v>
      </c>
      <c r="H1623">
        <v>0</v>
      </c>
      <c r="I1623">
        <f>1</f>
        <v>1</v>
      </c>
    </row>
    <row r="1624" spans="2:9" x14ac:dyDescent="0.25">
      <c r="B1624">
        <v>0</v>
      </c>
      <c r="C1624" s="16" t="s">
        <v>10894</v>
      </c>
      <c r="D1624" s="16"/>
      <c r="E1624">
        <v>6</v>
      </c>
      <c r="F1624" t="e">
        <f>-Pentóxido De difósforo</f>
        <v>#NAME?</v>
      </c>
      <c r="G1624">
        <v>1</v>
      </c>
      <c r="H1624">
        <v>0</v>
      </c>
      <c r="I1624">
        <f>1</f>
        <v>1</v>
      </c>
    </row>
    <row r="1625" spans="2:9" x14ac:dyDescent="0.25">
      <c r="B1625">
        <v>0</v>
      </c>
      <c r="C1625" s="16" t="s">
        <v>10895</v>
      </c>
      <c r="D1625" s="16"/>
      <c r="E1625">
        <v>6</v>
      </c>
      <c r="F1625" t="s">
        <v>5238</v>
      </c>
      <c r="G1625">
        <v>1</v>
      </c>
      <c r="H1625">
        <v>0</v>
      </c>
      <c r="I1625">
        <f>1</f>
        <v>1</v>
      </c>
    </row>
    <row r="1626" spans="2:9" x14ac:dyDescent="0.25">
      <c r="B1626">
        <v>0</v>
      </c>
      <c r="C1626" s="16" t="s">
        <v>10896</v>
      </c>
      <c r="D1626" s="16"/>
      <c r="E1626">
        <v>6</v>
      </c>
      <c r="F1626" t="s">
        <v>4680</v>
      </c>
      <c r="G1626">
        <v>1</v>
      </c>
      <c r="H1626">
        <v>0</v>
      </c>
      <c r="I1626">
        <f>1</f>
        <v>1</v>
      </c>
    </row>
    <row r="1627" spans="2:9" x14ac:dyDescent="0.25">
      <c r="B1627">
        <v>0</v>
      </c>
      <c r="C1627" s="16" t="s">
        <v>10897</v>
      </c>
      <c r="D1627" s="16"/>
      <c r="E1627">
        <v>6</v>
      </c>
      <c r="F1627" t="s">
        <v>5239</v>
      </c>
      <c r="G1627">
        <v>1</v>
      </c>
      <c r="H1627">
        <v>0</v>
      </c>
      <c r="I1627">
        <f>1</f>
        <v>1</v>
      </c>
    </row>
    <row r="1628" spans="2:9" x14ac:dyDescent="0.25">
      <c r="B1628">
        <v>0</v>
      </c>
      <c r="C1628" s="16" t="s">
        <v>10898</v>
      </c>
      <c r="D1628" s="16"/>
      <c r="E1628">
        <v>6</v>
      </c>
      <c r="F1628" t="s">
        <v>5240</v>
      </c>
      <c r="G1628">
        <v>1</v>
      </c>
      <c r="H1628">
        <v>0</v>
      </c>
      <c r="I1628">
        <f>1</f>
        <v>1</v>
      </c>
    </row>
    <row r="1629" spans="2:9" x14ac:dyDescent="0.25">
      <c r="B1629">
        <v>0</v>
      </c>
      <c r="C1629" s="16" t="s">
        <v>10899</v>
      </c>
      <c r="D1629" s="16"/>
      <c r="E1629">
        <v>6</v>
      </c>
      <c r="F1629" t="s">
        <v>4680</v>
      </c>
      <c r="G1629">
        <v>1</v>
      </c>
      <c r="H1629">
        <v>0</v>
      </c>
      <c r="I1629">
        <f>1</f>
        <v>1</v>
      </c>
    </row>
    <row r="1630" spans="2:9" x14ac:dyDescent="0.25">
      <c r="B1630">
        <v>0</v>
      </c>
      <c r="C1630" s="16" t="s">
        <v>10900</v>
      </c>
      <c r="D1630" s="16"/>
      <c r="E1630">
        <v>6</v>
      </c>
      <c r="F1630" t="s">
        <v>5241</v>
      </c>
      <c r="G1630">
        <v>1</v>
      </c>
      <c r="H1630">
        <v>0</v>
      </c>
      <c r="I1630">
        <f>1</f>
        <v>1</v>
      </c>
    </row>
    <row r="1631" spans="2:9" x14ac:dyDescent="0.25">
      <c r="B1631">
        <v>0</v>
      </c>
      <c r="C1631" s="16" t="s">
        <v>10901</v>
      </c>
      <c r="D1631" s="16"/>
      <c r="E1631">
        <v>6</v>
      </c>
      <c r="F1631" t="s">
        <v>4680</v>
      </c>
      <c r="G1631">
        <v>1</v>
      </c>
      <c r="H1631">
        <v>0</v>
      </c>
      <c r="I1631">
        <f>1</f>
        <v>1</v>
      </c>
    </row>
    <row r="1632" spans="2:9" x14ac:dyDescent="0.25">
      <c r="B1632">
        <v>0</v>
      </c>
      <c r="C1632" s="16" t="s">
        <v>10902</v>
      </c>
      <c r="D1632" s="16"/>
      <c r="E1632">
        <v>6</v>
      </c>
      <c r="F1632" t="e">
        <f>--Fluoreto De Hidrogênio  ácido fluorídrico</f>
        <v>#NAME?</v>
      </c>
      <c r="G1632">
        <v>1</v>
      </c>
      <c r="H1632">
        <v>0</v>
      </c>
      <c r="I1632">
        <f>1</f>
        <v>1</v>
      </c>
    </row>
    <row r="1633" spans="2:9" x14ac:dyDescent="0.25">
      <c r="B1633">
        <v>0</v>
      </c>
      <c r="C1633" s="16" t="s">
        <v>10903</v>
      </c>
      <c r="D1633" s="16"/>
      <c r="E1633">
        <v>6</v>
      </c>
      <c r="F1633" t="s">
        <v>5242</v>
      </c>
      <c r="G1633">
        <v>1</v>
      </c>
      <c r="H1633">
        <v>0</v>
      </c>
      <c r="I1633">
        <f>1</f>
        <v>1</v>
      </c>
    </row>
    <row r="1634" spans="2:9" x14ac:dyDescent="0.25">
      <c r="B1634">
        <v>0</v>
      </c>
      <c r="C1634" s="16" t="s">
        <v>10904</v>
      </c>
      <c r="D1634" s="16"/>
      <c r="E1634">
        <v>6</v>
      </c>
      <c r="F1634" t="s">
        <v>5243</v>
      </c>
      <c r="G1634">
        <v>1</v>
      </c>
      <c r="H1634">
        <v>0</v>
      </c>
      <c r="I1634">
        <f>1</f>
        <v>1</v>
      </c>
    </row>
    <row r="1635" spans="2:9" x14ac:dyDescent="0.25">
      <c r="B1635">
        <v>0</v>
      </c>
      <c r="C1635" s="16" t="s">
        <v>10905</v>
      </c>
      <c r="D1635" s="16"/>
      <c r="E1635">
        <v>6</v>
      </c>
      <c r="F1635" t="s">
        <v>5244</v>
      </c>
      <c r="G1635">
        <v>1</v>
      </c>
      <c r="H1635">
        <v>0</v>
      </c>
      <c r="I1635">
        <f>1</f>
        <v>1</v>
      </c>
    </row>
    <row r="1636" spans="2:9" x14ac:dyDescent="0.25">
      <c r="B1636">
        <v>0</v>
      </c>
      <c r="C1636" s="16" t="s">
        <v>10906</v>
      </c>
      <c r="D1636" s="16"/>
      <c r="E1636">
        <v>6</v>
      </c>
      <c r="F1636" t="s">
        <v>5245</v>
      </c>
      <c r="G1636">
        <v>1</v>
      </c>
      <c r="H1636">
        <v>0</v>
      </c>
      <c r="I1636">
        <f>1</f>
        <v>1</v>
      </c>
    </row>
    <row r="1637" spans="2:9" x14ac:dyDescent="0.25">
      <c r="B1637">
        <v>0</v>
      </c>
      <c r="C1637" s="16" t="s">
        <v>10907</v>
      </c>
      <c r="D1637" s="16"/>
      <c r="E1637">
        <v>6</v>
      </c>
      <c r="F1637" t="s">
        <v>5246</v>
      </c>
      <c r="G1637">
        <v>1</v>
      </c>
      <c r="H1637">
        <v>0</v>
      </c>
      <c r="I1637">
        <f>1</f>
        <v>1</v>
      </c>
    </row>
    <row r="1638" spans="2:9" x14ac:dyDescent="0.25">
      <c r="B1638">
        <v>0</v>
      </c>
      <c r="C1638" s="16" t="s">
        <v>10908</v>
      </c>
      <c r="D1638" s="16"/>
      <c r="E1638">
        <v>6</v>
      </c>
      <c r="F1638" t="s">
        <v>4680</v>
      </c>
      <c r="G1638">
        <v>1</v>
      </c>
      <c r="H1638">
        <v>0</v>
      </c>
      <c r="I1638">
        <f>1</f>
        <v>1</v>
      </c>
    </row>
    <row r="1639" spans="2:9" x14ac:dyDescent="0.25">
      <c r="B1639">
        <v>0</v>
      </c>
      <c r="C1639" s="16" t="s">
        <v>10909</v>
      </c>
      <c r="D1639" s="16"/>
      <c r="E1639">
        <v>6</v>
      </c>
      <c r="F1639" t="e">
        <f>--Dióxido De carbono</f>
        <v>#NAME?</v>
      </c>
      <c r="G1639">
        <v>1</v>
      </c>
      <c r="H1639">
        <v>0</v>
      </c>
      <c r="I1639">
        <f>1</f>
        <v>1</v>
      </c>
    </row>
    <row r="1640" spans="2:9" x14ac:dyDescent="0.25">
      <c r="B1640">
        <v>0</v>
      </c>
      <c r="C1640" s="16" t="s">
        <v>10910</v>
      </c>
      <c r="D1640" s="16"/>
      <c r="E1640">
        <v>6</v>
      </c>
      <c r="F1640" t="s">
        <v>5247</v>
      </c>
      <c r="G1640">
        <v>1</v>
      </c>
      <c r="H1640">
        <v>0</v>
      </c>
      <c r="I1640">
        <f>1</f>
        <v>1</v>
      </c>
    </row>
    <row r="1641" spans="2:9" x14ac:dyDescent="0.25">
      <c r="B1641">
        <v>0</v>
      </c>
      <c r="C1641" s="16" t="s">
        <v>10911</v>
      </c>
      <c r="D1641" s="16"/>
      <c r="E1641">
        <v>6</v>
      </c>
      <c r="F1641" t="s">
        <v>5248</v>
      </c>
      <c r="G1641">
        <v>1</v>
      </c>
      <c r="H1641">
        <v>0</v>
      </c>
      <c r="I1641">
        <f>1</f>
        <v>1</v>
      </c>
    </row>
    <row r="1642" spans="2:9" x14ac:dyDescent="0.25">
      <c r="B1642">
        <v>0</v>
      </c>
      <c r="C1642" s="16" t="s">
        <v>10912</v>
      </c>
      <c r="D1642" s="16"/>
      <c r="E1642">
        <v>6</v>
      </c>
      <c r="F1642" t="s">
        <v>5249</v>
      </c>
      <c r="G1642">
        <v>1</v>
      </c>
      <c r="H1642">
        <v>0</v>
      </c>
      <c r="I1642">
        <f>1</f>
        <v>1</v>
      </c>
    </row>
    <row r="1643" spans="2:9" x14ac:dyDescent="0.25">
      <c r="B1643">
        <v>0</v>
      </c>
      <c r="C1643" s="16" t="s">
        <v>10913</v>
      </c>
      <c r="D1643" s="16"/>
      <c r="E1643">
        <v>6</v>
      </c>
      <c r="F1643" t="s">
        <v>4680</v>
      </c>
      <c r="G1643">
        <v>1</v>
      </c>
      <c r="H1643">
        <v>0</v>
      </c>
      <c r="I1643">
        <f>1</f>
        <v>1</v>
      </c>
    </row>
    <row r="1644" spans="2:9" x14ac:dyDescent="0.25">
      <c r="B1644">
        <v>0</v>
      </c>
      <c r="C1644" s="16" t="s">
        <v>10914</v>
      </c>
      <c r="D1644" s="16"/>
      <c r="E1644">
        <v>6</v>
      </c>
      <c r="F1644" t="s">
        <v>5250</v>
      </c>
      <c r="G1644">
        <v>1</v>
      </c>
      <c r="H1644">
        <v>0</v>
      </c>
      <c r="I1644">
        <f>1</f>
        <v>1</v>
      </c>
    </row>
    <row r="1645" spans="2:9" x14ac:dyDescent="0.25">
      <c r="B1645">
        <v>0</v>
      </c>
      <c r="C1645" s="16" t="s">
        <v>10915</v>
      </c>
      <c r="D1645" s="16"/>
      <c r="E1645">
        <v>6</v>
      </c>
      <c r="F1645" t="s">
        <v>4680</v>
      </c>
      <c r="G1645">
        <v>1</v>
      </c>
      <c r="H1645">
        <v>0</v>
      </c>
      <c r="I1645">
        <f>1</f>
        <v>1</v>
      </c>
    </row>
    <row r="1646" spans="2:9" x14ac:dyDescent="0.25">
      <c r="B1646">
        <v>0</v>
      </c>
      <c r="C1646" s="16" t="s">
        <v>10916</v>
      </c>
      <c r="D1646" s="16"/>
      <c r="E1646">
        <v>6</v>
      </c>
      <c r="F1646" t="s">
        <v>5251</v>
      </c>
      <c r="G1646">
        <v>1</v>
      </c>
      <c r="H1646">
        <v>0</v>
      </c>
      <c r="I1646">
        <f>1</f>
        <v>1</v>
      </c>
    </row>
    <row r="1647" spans="2:9" x14ac:dyDescent="0.25">
      <c r="B1647">
        <v>0</v>
      </c>
      <c r="C1647" s="16" t="s">
        <v>10917</v>
      </c>
      <c r="D1647" s="16"/>
      <c r="E1647">
        <v>6</v>
      </c>
      <c r="F1647" t="s">
        <v>5252</v>
      </c>
      <c r="G1647">
        <v>1</v>
      </c>
      <c r="H1647">
        <v>0</v>
      </c>
      <c r="I1647">
        <f>1</f>
        <v>1</v>
      </c>
    </row>
    <row r="1648" spans="2:9" x14ac:dyDescent="0.25">
      <c r="B1648">
        <v>0</v>
      </c>
      <c r="C1648" s="16" t="s">
        <v>10918</v>
      </c>
      <c r="D1648" s="16"/>
      <c r="E1648">
        <v>6</v>
      </c>
      <c r="F1648" t="s">
        <v>5253</v>
      </c>
      <c r="G1648">
        <v>1</v>
      </c>
      <c r="H1648">
        <v>0</v>
      </c>
      <c r="I1648">
        <f>1</f>
        <v>1</v>
      </c>
    </row>
    <row r="1649" spans="2:9" x14ac:dyDescent="0.25">
      <c r="B1649">
        <v>0</v>
      </c>
      <c r="C1649" s="16" t="s">
        <v>10919</v>
      </c>
      <c r="D1649" s="16"/>
      <c r="E1649">
        <v>6</v>
      </c>
      <c r="F1649" t="s">
        <v>5254</v>
      </c>
      <c r="G1649">
        <v>1</v>
      </c>
      <c r="H1649">
        <v>0</v>
      </c>
      <c r="I1649">
        <f>1</f>
        <v>1</v>
      </c>
    </row>
    <row r="1650" spans="2:9" x14ac:dyDescent="0.25">
      <c r="B1650">
        <v>0</v>
      </c>
      <c r="C1650" s="16" t="s">
        <v>10920</v>
      </c>
      <c r="D1650" s="16"/>
      <c r="E1650">
        <v>6</v>
      </c>
      <c r="F1650" t="s">
        <v>5255</v>
      </c>
      <c r="G1650">
        <v>1</v>
      </c>
      <c r="H1650">
        <v>0</v>
      </c>
      <c r="I1650">
        <f>1</f>
        <v>1</v>
      </c>
    </row>
    <row r="1651" spans="2:9" x14ac:dyDescent="0.25">
      <c r="B1651">
        <v>0</v>
      </c>
      <c r="C1651" s="16" t="s">
        <v>10921</v>
      </c>
      <c r="D1651" s="16"/>
      <c r="E1651">
        <v>6</v>
      </c>
      <c r="F1651" t="s">
        <v>4680</v>
      </c>
      <c r="G1651">
        <v>1</v>
      </c>
      <c r="H1651">
        <v>0</v>
      </c>
      <c r="I1651">
        <f>1</f>
        <v>1</v>
      </c>
    </row>
    <row r="1652" spans="2:9" x14ac:dyDescent="0.25">
      <c r="B1652">
        <v>0</v>
      </c>
      <c r="C1652" s="16" t="s">
        <v>10922</v>
      </c>
      <c r="D1652" s="16"/>
      <c r="E1652">
        <v>6</v>
      </c>
      <c r="F1652" t="s">
        <v>5256</v>
      </c>
      <c r="G1652">
        <v>1</v>
      </c>
      <c r="H1652">
        <v>0</v>
      </c>
      <c r="I1652">
        <f>1</f>
        <v>1</v>
      </c>
    </row>
    <row r="1653" spans="2:9" x14ac:dyDescent="0.25">
      <c r="B1653">
        <v>0</v>
      </c>
      <c r="C1653" s="16" t="s">
        <v>10923</v>
      </c>
      <c r="D1653" s="16"/>
      <c r="E1653">
        <v>6</v>
      </c>
      <c r="F1653" t="s">
        <v>5257</v>
      </c>
      <c r="G1653">
        <v>1</v>
      </c>
      <c r="H1653">
        <v>0</v>
      </c>
      <c r="I1653">
        <f>1</f>
        <v>1</v>
      </c>
    </row>
    <row r="1654" spans="2:9" x14ac:dyDescent="0.25">
      <c r="B1654">
        <v>0</v>
      </c>
      <c r="C1654" s="16" t="s">
        <v>10924</v>
      </c>
      <c r="D1654" s="16"/>
      <c r="E1654">
        <v>6</v>
      </c>
      <c r="F1654" t="s">
        <v>5258</v>
      </c>
      <c r="G1654">
        <v>1</v>
      </c>
      <c r="H1654">
        <v>0</v>
      </c>
      <c r="I1654">
        <f>1</f>
        <v>1</v>
      </c>
    </row>
    <row r="1655" spans="2:9" x14ac:dyDescent="0.25">
      <c r="B1655">
        <v>0</v>
      </c>
      <c r="C1655" s="16" t="s">
        <v>10925</v>
      </c>
      <c r="D1655" s="16"/>
      <c r="E1655">
        <v>6</v>
      </c>
      <c r="F1655" t="s">
        <v>4680</v>
      </c>
      <c r="G1655">
        <v>1</v>
      </c>
      <c r="H1655">
        <v>0</v>
      </c>
      <c r="I1655">
        <f>1</f>
        <v>1</v>
      </c>
    </row>
    <row r="1656" spans="2:9" x14ac:dyDescent="0.25">
      <c r="B1656">
        <v>0</v>
      </c>
      <c r="C1656" s="16" t="s">
        <v>10926</v>
      </c>
      <c r="D1656" s="16"/>
      <c r="E1656">
        <v>6</v>
      </c>
      <c r="F1656" t="e">
        <f>-outros</f>
        <v>#NAME?</v>
      </c>
      <c r="G1656">
        <v>1</v>
      </c>
      <c r="H1656">
        <v>0</v>
      </c>
      <c r="I1656">
        <f>1</f>
        <v>1</v>
      </c>
    </row>
    <row r="1657" spans="2:9" x14ac:dyDescent="0.25">
      <c r="B1657">
        <v>0</v>
      </c>
      <c r="C1657" s="16" t="s">
        <v>10927</v>
      </c>
      <c r="D1657" s="16"/>
      <c r="E1657">
        <v>6</v>
      </c>
      <c r="F1657" t="e">
        <f>-Dissulfeto De carbono</f>
        <v>#NAME?</v>
      </c>
      <c r="G1657">
        <v>1</v>
      </c>
      <c r="H1657">
        <v>0</v>
      </c>
      <c r="I1657">
        <f>1</f>
        <v>1</v>
      </c>
    </row>
    <row r="1658" spans="2:9" x14ac:dyDescent="0.25">
      <c r="B1658">
        <v>0</v>
      </c>
      <c r="C1658" s="16" t="s">
        <v>10928</v>
      </c>
      <c r="D1658" s="16"/>
      <c r="E1658">
        <v>6</v>
      </c>
      <c r="F1658" t="s">
        <v>5259</v>
      </c>
      <c r="G1658">
        <v>1</v>
      </c>
      <c r="H1658">
        <v>0</v>
      </c>
      <c r="I1658">
        <f>1</f>
        <v>1</v>
      </c>
    </row>
    <row r="1659" spans="2:9" x14ac:dyDescent="0.25">
      <c r="B1659">
        <v>0</v>
      </c>
      <c r="C1659" s="16" t="s">
        <v>10929</v>
      </c>
      <c r="D1659" s="16"/>
      <c r="E1659">
        <v>6</v>
      </c>
      <c r="F1659" t="s">
        <v>4680</v>
      </c>
      <c r="G1659">
        <v>1</v>
      </c>
      <c r="H1659">
        <v>0</v>
      </c>
      <c r="I1659">
        <f>1</f>
        <v>1</v>
      </c>
    </row>
    <row r="1660" spans="2:9" x14ac:dyDescent="0.25">
      <c r="B1660">
        <v>0</v>
      </c>
      <c r="C1660" s="16" t="s">
        <v>10930</v>
      </c>
      <c r="D1660" s="16"/>
      <c r="E1660">
        <v>6</v>
      </c>
      <c r="F1660" t="e">
        <f>-Amoníaco anidro</f>
        <v>#NAME?</v>
      </c>
      <c r="G1660">
        <v>1</v>
      </c>
      <c r="H1660">
        <v>0</v>
      </c>
      <c r="I1660">
        <f>1</f>
        <v>1</v>
      </c>
    </row>
    <row r="1661" spans="2:9" x14ac:dyDescent="0.25">
      <c r="B1661">
        <v>0</v>
      </c>
      <c r="C1661" s="16" t="s">
        <v>10931</v>
      </c>
      <c r="D1661" s="16"/>
      <c r="E1661">
        <v>6</v>
      </c>
      <c r="F1661" t="e">
        <f>-Amoníaco em solução aquosa  amônia</f>
        <v>#NAME?</v>
      </c>
      <c r="G1661">
        <v>1</v>
      </c>
      <c r="H1661">
        <v>0</v>
      </c>
      <c r="I1661">
        <f>1</f>
        <v>1</v>
      </c>
    </row>
    <row r="1662" spans="2:9" x14ac:dyDescent="0.25">
      <c r="B1662">
        <v>0</v>
      </c>
      <c r="C1662" s="16" t="s">
        <v>10932</v>
      </c>
      <c r="D1662" s="16"/>
      <c r="E1662">
        <v>6</v>
      </c>
      <c r="F1662" t="e">
        <f>--Sólido</f>
        <v>#NAME?</v>
      </c>
      <c r="G1662">
        <v>1</v>
      </c>
      <c r="H1662">
        <v>0</v>
      </c>
      <c r="I1662">
        <f>1</f>
        <v>1</v>
      </c>
    </row>
    <row r="1663" spans="2:9" x14ac:dyDescent="0.25">
      <c r="B1663">
        <v>0</v>
      </c>
      <c r="C1663" s="16" t="s">
        <v>10933</v>
      </c>
      <c r="D1663" s="16"/>
      <c r="E1663">
        <v>6</v>
      </c>
      <c r="F1663" t="e">
        <f>--em solução aquosa  lixívia De soda cáustica</f>
        <v>#NAME?</v>
      </c>
      <c r="G1663">
        <v>1</v>
      </c>
      <c r="H1663">
        <v>0</v>
      </c>
      <c r="I1663">
        <f>1</f>
        <v>1</v>
      </c>
    </row>
    <row r="1664" spans="2:9" x14ac:dyDescent="0.25">
      <c r="B1664">
        <v>0</v>
      </c>
      <c r="C1664" s="16" t="s">
        <v>10934</v>
      </c>
      <c r="D1664" s="16"/>
      <c r="E1664">
        <v>6</v>
      </c>
      <c r="F1664" t="e">
        <f>-Hidróxido De potássio  potassa cáustica</f>
        <v>#NAME?</v>
      </c>
      <c r="G1664">
        <v>1</v>
      </c>
      <c r="H1664">
        <v>0</v>
      </c>
      <c r="I1664">
        <f>1</f>
        <v>1</v>
      </c>
    </row>
    <row r="1665" spans="2:9" x14ac:dyDescent="0.25">
      <c r="B1665">
        <v>0</v>
      </c>
      <c r="C1665" s="16" t="s">
        <v>10935</v>
      </c>
      <c r="D1665" s="16"/>
      <c r="E1665">
        <v>6</v>
      </c>
      <c r="F1665" t="e">
        <f>-Peróxidos De Sódio ou De potássio</f>
        <v>#NAME?</v>
      </c>
      <c r="G1665">
        <v>1</v>
      </c>
      <c r="H1665">
        <v>0</v>
      </c>
      <c r="I1665">
        <f>1</f>
        <v>1</v>
      </c>
    </row>
    <row r="1666" spans="2:9" x14ac:dyDescent="0.25">
      <c r="B1666">
        <v>0</v>
      </c>
      <c r="C1666" s="16" t="s">
        <v>10936</v>
      </c>
      <c r="D1666" s="16"/>
      <c r="E1666">
        <v>6</v>
      </c>
      <c r="F1666" t="s">
        <v>5260</v>
      </c>
      <c r="G1666">
        <v>1</v>
      </c>
      <c r="H1666">
        <v>0</v>
      </c>
      <c r="I1666">
        <f>1</f>
        <v>1</v>
      </c>
    </row>
    <row r="1667" spans="2:9" x14ac:dyDescent="0.25">
      <c r="B1667">
        <v>0</v>
      </c>
      <c r="C1667" s="16" t="s">
        <v>10937</v>
      </c>
      <c r="D1667" s="16"/>
      <c r="E1667">
        <v>6</v>
      </c>
      <c r="F1667" t="s">
        <v>5261</v>
      </c>
      <c r="G1667">
        <v>1</v>
      </c>
      <c r="H1667">
        <v>0</v>
      </c>
      <c r="I1667">
        <f>1</f>
        <v>1</v>
      </c>
    </row>
    <row r="1668" spans="2:9" x14ac:dyDescent="0.25">
      <c r="B1668">
        <v>0</v>
      </c>
      <c r="C1668" s="16" t="s">
        <v>10938</v>
      </c>
      <c r="D1668" s="16"/>
      <c r="E1668">
        <v>6</v>
      </c>
      <c r="F1668" t="s">
        <v>5262</v>
      </c>
      <c r="G1668">
        <v>1</v>
      </c>
      <c r="H1668">
        <v>0</v>
      </c>
      <c r="I1668">
        <f>1</f>
        <v>1</v>
      </c>
    </row>
    <row r="1669" spans="2:9" x14ac:dyDescent="0.25">
      <c r="B1669">
        <v>0</v>
      </c>
      <c r="C1669" s="16" t="s">
        <v>10939</v>
      </c>
      <c r="D1669" s="16"/>
      <c r="E1669">
        <v>6</v>
      </c>
      <c r="F1669" t="s">
        <v>4680</v>
      </c>
      <c r="G1669">
        <v>1</v>
      </c>
      <c r="H1669">
        <v>0</v>
      </c>
      <c r="I1669">
        <f>1</f>
        <v>1</v>
      </c>
    </row>
    <row r="1670" spans="2:9" x14ac:dyDescent="0.25">
      <c r="B1670">
        <v>0</v>
      </c>
      <c r="C1670" s="16" t="s">
        <v>10940</v>
      </c>
      <c r="D1670" s="16"/>
      <c r="E1670">
        <v>6</v>
      </c>
      <c r="F1670" t="s">
        <v>5263</v>
      </c>
      <c r="G1670">
        <v>1</v>
      </c>
      <c r="H1670">
        <v>0</v>
      </c>
      <c r="I1670">
        <f>1</f>
        <v>1</v>
      </c>
    </row>
    <row r="1671" spans="2:9" x14ac:dyDescent="0.25">
      <c r="B1671">
        <v>0</v>
      </c>
      <c r="C1671" s="16" t="s">
        <v>10941</v>
      </c>
      <c r="D1671" s="16"/>
      <c r="E1671">
        <v>6</v>
      </c>
      <c r="F1671" t="s">
        <v>5264</v>
      </c>
      <c r="G1671">
        <v>1</v>
      </c>
      <c r="H1671">
        <v>0</v>
      </c>
      <c r="I1671">
        <f>1</f>
        <v>1</v>
      </c>
    </row>
    <row r="1672" spans="2:9" x14ac:dyDescent="0.25">
      <c r="B1672">
        <v>0</v>
      </c>
      <c r="C1672" s="16" t="s">
        <v>10942</v>
      </c>
      <c r="D1672" s="16"/>
      <c r="E1672">
        <v>6</v>
      </c>
      <c r="F1672" t="s">
        <v>5265</v>
      </c>
      <c r="G1672">
        <v>1</v>
      </c>
      <c r="H1672">
        <v>0</v>
      </c>
      <c r="I1672">
        <f>1</f>
        <v>1</v>
      </c>
    </row>
    <row r="1673" spans="2:9" x14ac:dyDescent="0.25">
      <c r="B1673">
        <v>0</v>
      </c>
      <c r="C1673" s="16" t="s">
        <v>10943</v>
      </c>
      <c r="D1673" s="16"/>
      <c r="E1673">
        <v>6</v>
      </c>
      <c r="F1673" t="s">
        <v>4680</v>
      </c>
      <c r="G1673">
        <v>1</v>
      </c>
      <c r="H1673">
        <v>0</v>
      </c>
      <c r="I1673">
        <f>1</f>
        <v>1</v>
      </c>
    </row>
    <row r="1674" spans="2:9" x14ac:dyDescent="0.25">
      <c r="B1674">
        <v>0</v>
      </c>
      <c r="C1674" s="16" t="s">
        <v>10944</v>
      </c>
      <c r="D1674" s="16"/>
      <c r="E1674">
        <v>6</v>
      </c>
      <c r="F1674" t="s">
        <v>5266</v>
      </c>
      <c r="G1674">
        <v>1</v>
      </c>
      <c r="H1674">
        <v>0</v>
      </c>
      <c r="I1674">
        <f>1</f>
        <v>1</v>
      </c>
    </row>
    <row r="1675" spans="2:9" x14ac:dyDescent="0.25">
      <c r="B1675">
        <v>0</v>
      </c>
      <c r="C1675" s="16" t="s">
        <v>10945</v>
      </c>
      <c r="D1675" s="16"/>
      <c r="E1675">
        <v>6</v>
      </c>
      <c r="F1675" t="s">
        <v>4680</v>
      </c>
      <c r="G1675">
        <v>1</v>
      </c>
      <c r="H1675">
        <v>0</v>
      </c>
      <c r="I1675">
        <f>1</f>
        <v>1</v>
      </c>
    </row>
    <row r="1676" spans="2:9" x14ac:dyDescent="0.25">
      <c r="B1676">
        <v>0</v>
      </c>
      <c r="C1676" s="16" t="s">
        <v>10946</v>
      </c>
      <c r="D1676" s="16"/>
      <c r="E1676">
        <v>6</v>
      </c>
      <c r="F1676" t="e">
        <f>-Hidróxido De alumínio</f>
        <v>#NAME?</v>
      </c>
      <c r="G1676">
        <v>1</v>
      </c>
      <c r="H1676">
        <v>0</v>
      </c>
      <c r="I1676">
        <f>1</f>
        <v>1</v>
      </c>
    </row>
    <row r="1677" spans="2:9" x14ac:dyDescent="0.25">
      <c r="B1677">
        <v>0</v>
      </c>
      <c r="C1677" s="16" t="s">
        <v>10947</v>
      </c>
      <c r="D1677" s="16"/>
      <c r="E1677">
        <v>6</v>
      </c>
      <c r="F1677" t="e">
        <f>-Trióxido De cromo</f>
        <v>#NAME?</v>
      </c>
      <c r="G1677">
        <v>1</v>
      </c>
      <c r="H1677">
        <v>0</v>
      </c>
      <c r="I1677">
        <f>1</f>
        <v>1</v>
      </c>
    </row>
    <row r="1678" spans="2:9" x14ac:dyDescent="0.25">
      <c r="B1678">
        <v>0</v>
      </c>
      <c r="C1678" s="16" t="s">
        <v>10948</v>
      </c>
      <c r="D1678" s="16"/>
      <c r="E1678">
        <v>6</v>
      </c>
      <c r="F1678" t="s">
        <v>5267</v>
      </c>
      <c r="G1678">
        <v>1</v>
      </c>
      <c r="H1678">
        <v>0</v>
      </c>
      <c r="I1678">
        <f>1</f>
        <v>1</v>
      </c>
    </row>
    <row r="1679" spans="2:9" x14ac:dyDescent="0.25">
      <c r="B1679">
        <v>0</v>
      </c>
      <c r="C1679" s="16" t="s">
        <v>10949</v>
      </c>
      <c r="D1679" s="16"/>
      <c r="E1679">
        <v>6</v>
      </c>
      <c r="F1679" t="s">
        <v>5268</v>
      </c>
      <c r="G1679">
        <v>1</v>
      </c>
      <c r="H1679">
        <v>0</v>
      </c>
      <c r="I1679">
        <f>1</f>
        <v>1</v>
      </c>
    </row>
    <row r="1680" spans="2:9" x14ac:dyDescent="0.25">
      <c r="B1680">
        <v>0</v>
      </c>
      <c r="C1680" s="16" t="s">
        <v>10950</v>
      </c>
      <c r="D1680" s="16"/>
      <c r="E1680">
        <v>6</v>
      </c>
      <c r="F1680" t="e">
        <f>-Dióxido De manganês</f>
        <v>#NAME?</v>
      </c>
      <c r="G1680">
        <v>1</v>
      </c>
      <c r="H1680">
        <v>0</v>
      </c>
      <c r="I1680">
        <f>1</f>
        <v>1</v>
      </c>
    </row>
    <row r="1681" spans="2:9" x14ac:dyDescent="0.25">
      <c r="B1681">
        <v>0</v>
      </c>
      <c r="C1681" s="16" t="s">
        <v>10951</v>
      </c>
      <c r="D1681" s="16"/>
      <c r="E1681">
        <v>6</v>
      </c>
      <c r="F1681" t="s">
        <v>5269</v>
      </c>
      <c r="G1681">
        <v>1</v>
      </c>
      <c r="H1681">
        <v>0</v>
      </c>
      <c r="I1681">
        <f>1</f>
        <v>1</v>
      </c>
    </row>
    <row r="1682" spans="2:9" x14ac:dyDescent="0.25">
      <c r="B1682">
        <v>0</v>
      </c>
      <c r="C1682" s="16" t="s">
        <v>10952</v>
      </c>
      <c r="D1682" s="16"/>
      <c r="E1682">
        <v>6</v>
      </c>
      <c r="F1682" t="s">
        <v>5270</v>
      </c>
      <c r="G1682">
        <v>1</v>
      </c>
      <c r="H1682">
        <v>0</v>
      </c>
      <c r="I1682">
        <f>1</f>
        <v>1</v>
      </c>
    </row>
    <row r="1683" spans="2:9" x14ac:dyDescent="0.25">
      <c r="B1683">
        <v>0</v>
      </c>
      <c r="C1683" s="16" t="s">
        <v>10953</v>
      </c>
      <c r="D1683" s="16"/>
      <c r="E1683">
        <v>6</v>
      </c>
      <c r="F1683" t="s">
        <v>5271</v>
      </c>
      <c r="G1683">
        <v>1</v>
      </c>
      <c r="H1683">
        <v>0</v>
      </c>
      <c r="I1683">
        <f>1</f>
        <v>1</v>
      </c>
    </row>
    <row r="1684" spans="2:9" x14ac:dyDescent="0.25">
      <c r="B1684">
        <v>0</v>
      </c>
      <c r="C1684" s="16" t="s">
        <v>10954</v>
      </c>
      <c r="D1684" s="16"/>
      <c r="E1684">
        <v>6</v>
      </c>
      <c r="F1684" t="s">
        <v>5272</v>
      </c>
      <c r="G1684">
        <v>1</v>
      </c>
      <c r="H1684">
        <v>0</v>
      </c>
      <c r="I1684">
        <f>1</f>
        <v>1</v>
      </c>
    </row>
    <row r="1685" spans="2:9" x14ac:dyDescent="0.25">
      <c r="B1685">
        <v>0</v>
      </c>
      <c r="C1685" s="16" t="s">
        <v>10955</v>
      </c>
      <c r="D1685" s="16"/>
      <c r="E1685">
        <v>6</v>
      </c>
      <c r="F1685" t="s">
        <v>5273</v>
      </c>
      <c r="G1685">
        <v>1</v>
      </c>
      <c r="H1685">
        <v>0</v>
      </c>
      <c r="I1685">
        <f>1</f>
        <v>1</v>
      </c>
    </row>
    <row r="1686" spans="2:9" x14ac:dyDescent="0.25">
      <c r="B1686">
        <v>0</v>
      </c>
      <c r="C1686" s="16" t="s">
        <v>10956</v>
      </c>
      <c r="D1686" s="16"/>
      <c r="E1686">
        <v>6</v>
      </c>
      <c r="F1686" t="s">
        <v>4680</v>
      </c>
      <c r="G1686">
        <v>1</v>
      </c>
      <c r="H1686">
        <v>0</v>
      </c>
      <c r="I1686">
        <f>1</f>
        <v>1</v>
      </c>
    </row>
    <row r="1687" spans="2:9" x14ac:dyDescent="0.25">
      <c r="B1687">
        <v>0</v>
      </c>
      <c r="C1687" s="16" t="s">
        <v>10957</v>
      </c>
      <c r="D1687" s="16"/>
      <c r="E1687">
        <v>6</v>
      </c>
      <c r="F1687" t="s">
        <v>5274</v>
      </c>
      <c r="G1687">
        <v>1</v>
      </c>
      <c r="H1687">
        <v>0</v>
      </c>
      <c r="I1687">
        <f>1</f>
        <v>1</v>
      </c>
    </row>
    <row r="1688" spans="2:9" x14ac:dyDescent="0.25">
      <c r="B1688">
        <v>0</v>
      </c>
      <c r="C1688" s="16" t="s">
        <v>10958</v>
      </c>
      <c r="D1688" s="16"/>
      <c r="E1688">
        <v>6</v>
      </c>
      <c r="F1688" t="s">
        <v>5275</v>
      </c>
      <c r="G1688">
        <v>1</v>
      </c>
      <c r="H1688">
        <v>0</v>
      </c>
      <c r="I1688">
        <f>1</f>
        <v>1</v>
      </c>
    </row>
    <row r="1689" spans="2:9" x14ac:dyDescent="0.25">
      <c r="B1689">
        <v>0</v>
      </c>
      <c r="C1689" s="16" t="s">
        <v>10959</v>
      </c>
      <c r="D1689" s="16"/>
      <c r="E1689">
        <v>6</v>
      </c>
      <c r="F1689" t="s">
        <v>4680</v>
      </c>
      <c r="G1689">
        <v>1</v>
      </c>
      <c r="H1689">
        <v>0</v>
      </c>
      <c r="I1689">
        <f>1</f>
        <v>1</v>
      </c>
    </row>
    <row r="1690" spans="2:9" x14ac:dyDescent="0.25">
      <c r="B1690">
        <v>0</v>
      </c>
      <c r="C1690" s="16" t="s">
        <v>10960</v>
      </c>
      <c r="D1690" s="16"/>
      <c r="E1690">
        <v>6</v>
      </c>
      <c r="F1690" t="e">
        <f>-Terras corantes</f>
        <v>#NAME?</v>
      </c>
      <c r="G1690">
        <v>1</v>
      </c>
      <c r="H1690">
        <v>0</v>
      </c>
      <c r="I1690">
        <f>1</f>
        <v>1</v>
      </c>
    </row>
    <row r="1691" spans="2:9" x14ac:dyDescent="0.25">
      <c r="B1691">
        <v>0</v>
      </c>
      <c r="C1691" s="16" t="s">
        <v>10961</v>
      </c>
      <c r="D1691" s="16"/>
      <c r="E1691">
        <v>6</v>
      </c>
      <c r="F1691" t="s">
        <v>5276</v>
      </c>
      <c r="G1691">
        <v>1</v>
      </c>
      <c r="H1691">
        <v>0</v>
      </c>
      <c r="I1691">
        <f>1</f>
        <v>1</v>
      </c>
    </row>
    <row r="1692" spans="2:9" x14ac:dyDescent="0.25">
      <c r="B1692">
        <v>0</v>
      </c>
      <c r="C1692" s="16" t="s">
        <v>10962</v>
      </c>
      <c r="D1692" s="16"/>
      <c r="E1692">
        <v>6</v>
      </c>
      <c r="F1692" t="s">
        <v>4680</v>
      </c>
      <c r="G1692">
        <v>1</v>
      </c>
      <c r="H1692">
        <v>0</v>
      </c>
      <c r="I1692">
        <f>1</f>
        <v>1</v>
      </c>
    </row>
    <row r="1693" spans="2:9" x14ac:dyDescent="0.25">
      <c r="B1693">
        <v>0</v>
      </c>
      <c r="C1693" s="16" t="s">
        <v>10963</v>
      </c>
      <c r="D1693" s="16"/>
      <c r="E1693">
        <v>6</v>
      </c>
      <c r="F1693" t="s">
        <v>5277</v>
      </c>
      <c r="G1693">
        <v>1</v>
      </c>
      <c r="H1693">
        <v>0</v>
      </c>
      <c r="I1693">
        <f>1</f>
        <v>1</v>
      </c>
    </row>
    <row r="1694" spans="2:9" x14ac:dyDescent="0.25">
      <c r="B1694">
        <v>0</v>
      </c>
      <c r="C1694" s="16" t="s">
        <v>10964</v>
      </c>
      <c r="D1694" s="16"/>
      <c r="E1694">
        <v>6</v>
      </c>
      <c r="F1694" t="s">
        <v>4680</v>
      </c>
      <c r="G1694">
        <v>1</v>
      </c>
      <c r="H1694">
        <v>0</v>
      </c>
      <c r="I1694">
        <f>1</f>
        <v>1</v>
      </c>
    </row>
    <row r="1695" spans="2:9" x14ac:dyDescent="0.25">
      <c r="B1695">
        <v>0</v>
      </c>
      <c r="C1695" s="16" t="s">
        <v>10965</v>
      </c>
      <c r="D1695" s="16"/>
      <c r="E1695">
        <v>6</v>
      </c>
      <c r="F1695" t="s">
        <v>5278</v>
      </c>
      <c r="G1695">
        <v>1</v>
      </c>
      <c r="H1695">
        <v>0</v>
      </c>
      <c r="I1695">
        <f>1</f>
        <v>1</v>
      </c>
    </row>
    <row r="1696" spans="2:9" x14ac:dyDescent="0.25">
      <c r="B1696">
        <v>0</v>
      </c>
      <c r="C1696" s="16" t="s">
        <v>10966</v>
      </c>
      <c r="D1696" s="16"/>
      <c r="E1696">
        <v>6</v>
      </c>
      <c r="F1696" t="s">
        <v>5279</v>
      </c>
      <c r="G1696">
        <v>1</v>
      </c>
      <c r="H1696">
        <v>0</v>
      </c>
      <c r="I1696">
        <f>1</f>
        <v>1</v>
      </c>
    </row>
    <row r="1697" spans="2:9" x14ac:dyDescent="0.25">
      <c r="B1697">
        <v>0</v>
      </c>
      <c r="C1697" s="16" t="s">
        <v>10967</v>
      </c>
      <c r="D1697" s="16"/>
      <c r="E1697">
        <v>6</v>
      </c>
      <c r="F1697" t="s">
        <v>4680</v>
      </c>
      <c r="G1697">
        <v>1</v>
      </c>
      <c r="H1697">
        <v>0</v>
      </c>
      <c r="I1697">
        <f>1</f>
        <v>1</v>
      </c>
    </row>
    <row r="1698" spans="2:9" x14ac:dyDescent="0.25">
      <c r="B1698">
        <v>0</v>
      </c>
      <c r="C1698" s="16" t="s">
        <v>10968</v>
      </c>
      <c r="D1698" s="16"/>
      <c r="E1698">
        <v>6</v>
      </c>
      <c r="F1698" t="s">
        <v>5280</v>
      </c>
      <c r="G1698">
        <v>1</v>
      </c>
      <c r="H1698">
        <v>0</v>
      </c>
      <c r="I1698">
        <f>1</f>
        <v>1</v>
      </c>
    </row>
    <row r="1699" spans="2:9" x14ac:dyDescent="0.25">
      <c r="B1699">
        <v>0</v>
      </c>
      <c r="C1699" s="16" t="s">
        <v>10969</v>
      </c>
      <c r="D1699" s="16"/>
      <c r="E1699">
        <v>6</v>
      </c>
      <c r="F1699" t="s">
        <v>5281</v>
      </c>
      <c r="G1699">
        <v>1</v>
      </c>
      <c r="H1699">
        <v>0</v>
      </c>
      <c r="I1699">
        <f>1</f>
        <v>1</v>
      </c>
    </row>
    <row r="1700" spans="2:9" x14ac:dyDescent="0.25">
      <c r="B1700">
        <v>0</v>
      </c>
      <c r="C1700" s="16" t="s">
        <v>10970</v>
      </c>
      <c r="D1700" s="16"/>
      <c r="E1700">
        <v>6</v>
      </c>
      <c r="F1700" t="s">
        <v>5282</v>
      </c>
      <c r="G1700">
        <v>1</v>
      </c>
      <c r="H1700">
        <v>0</v>
      </c>
      <c r="I1700">
        <f>1</f>
        <v>1</v>
      </c>
    </row>
    <row r="1701" spans="2:9" x14ac:dyDescent="0.25">
      <c r="B1701">
        <v>0</v>
      </c>
      <c r="C1701" s="16" t="s">
        <v>10971</v>
      </c>
      <c r="D1701" s="16"/>
      <c r="E1701">
        <v>6</v>
      </c>
      <c r="F1701" t="s">
        <v>5260</v>
      </c>
      <c r="G1701">
        <v>1</v>
      </c>
      <c r="H1701">
        <v>0</v>
      </c>
      <c r="I1701">
        <f>1</f>
        <v>1</v>
      </c>
    </row>
    <row r="1702" spans="2:9" x14ac:dyDescent="0.25">
      <c r="B1702">
        <v>0</v>
      </c>
      <c r="C1702" s="16" t="s">
        <v>10972</v>
      </c>
      <c r="D1702" s="16"/>
      <c r="E1702">
        <v>6</v>
      </c>
      <c r="F1702" t="s">
        <v>5283</v>
      </c>
      <c r="G1702">
        <v>1</v>
      </c>
      <c r="H1702">
        <v>0</v>
      </c>
      <c r="I1702">
        <f>1</f>
        <v>1</v>
      </c>
    </row>
    <row r="1703" spans="2:9" x14ac:dyDescent="0.25">
      <c r="B1703">
        <v>0</v>
      </c>
      <c r="C1703" s="16" t="s">
        <v>10973</v>
      </c>
      <c r="D1703" s="16"/>
      <c r="E1703">
        <v>6</v>
      </c>
      <c r="F1703" t="s">
        <v>4680</v>
      </c>
      <c r="G1703">
        <v>1</v>
      </c>
      <c r="H1703">
        <v>0</v>
      </c>
      <c r="I1703">
        <f>1</f>
        <v>1</v>
      </c>
    </row>
    <row r="1704" spans="2:9" x14ac:dyDescent="0.25">
      <c r="B1704">
        <v>0</v>
      </c>
      <c r="C1704" s="16" t="s">
        <v>10974</v>
      </c>
      <c r="D1704" s="16"/>
      <c r="E1704">
        <v>6</v>
      </c>
      <c r="F1704" t="s">
        <v>5284</v>
      </c>
      <c r="G1704">
        <v>1</v>
      </c>
      <c r="H1704">
        <v>0</v>
      </c>
      <c r="I1704">
        <f>1</f>
        <v>1</v>
      </c>
    </row>
    <row r="1705" spans="2:9" x14ac:dyDescent="0.25">
      <c r="B1705">
        <v>0</v>
      </c>
      <c r="C1705" s="16" t="s">
        <v>10975</v>
      </c>
      <c r="D1705" s="16"/>
      <c r="E1705">
        <v>6</v>
      </c>
      <c r="F1705" t="s">
        <v>4680</v>
      </c>
      <c r="G1705">
        <v>1</v>
      </c>
      <c r="H1705">
        <v>0</v>
      </c>
      <c r="I1705">
        <f>1</f>
        <v>1</v>
      </c>
    </row>
    <row r="1706" spans="2:9" x14ac:dyDescent="0.25">
      <c r="B1706">
        <v>0</v>
      </c>
      <c r="C1706" s="16" t="s">
        <v>10976</v>
      </c>
      <c r="D1706" s="16"/>
      <c r="E1706">
        <v>6</v>
      </c>
      <c r="F1706" t="s">
        <v>5285</v>
      </c>
      <c r="G1706">
        <v>1</v>
      </c>
      <c r="H1706">
        <v>0</v>
      </c>
      <c r="I1706">
        <f>1</f>
        <v>1</v>
      </c>
    </row>
    <row r="1707" spans="2:9" x14ac:dyDescent="0.25">
      <c r="B1707">
        <v>0</v>
      </c>
      <c r="C1707" s="16" t="s">
        <v>10977</v>
      </c>
      <c r="D1707" s="16"/>
      <c r="E1707">
        <v>6</v>
      </c>
      <c r="F1707" t="s">
        <v>4680</v>
      </c>
      <c r="G1707">
        <v>1</v>
      </c>
      <c r="H1707">
        <v>0</v>
      </c>
      <c r="I1707">
        <f>1</f>
        <v>1</v>
      </c>
    </row>
    <row r="1708" spans="2:9" x14ac:dyDescent="0.25">
      <c r="B1708">
        <v>0</v>
      </c>
      <c r="C1708" s="16" t="s">
        <v>10978</v>
      </c>
      <c r="D1708" s="16"/>
      <c r="E1708">
        <v>6</v>
      </c>
      <c r="F1708" t="s">
        <v>5286</v>
      </c>
      <c r="G1708">
        <v>1</v>
      </c>
      <c r="H1708">
        <v>0</v>
      </c>
      <c r="I1708">
        <f>1</f>
        <v>1</v>
      </c>
    </row>
    <row r="1709" spans="2:9" x14ac:dyDescent="0.25">
      <c r="B1709">
        <v>0</v>
      </c>
      <c r="C1709" s="16" t="s">
        <v>10979</v>
      </c>
      <c r="D1709" s="16"/>
      <c r="E1709">
        <v>6</v>
      </c>
      <c r="F1709" t="s">
        <v>5287</v>
      </c>
      <c r="G1709">
        <v>1</v>
      </c>
      <c r="H1709">
        <v>0</v>
      </c>
      <c r="I1709">
        <f>1</f>
        <v>1</v>
      </c>
    </row>
    <row r="1710" spans="2:9" x14ac:dyDescent="0.25">
      <c r="B1710">
        <v>0</v>
      </c>
      <c r="C1710" s="16" t="s">
        <v>10980</v>
      </c>
      <c r="D1710" s="16"/>
      <c r="E1710">
        <v>6</v>
      </c>
      <c r="F1710" t="s">
        <v>5288</v>
      </c>
      <c r="G1710">
        <v>1</v>
      </c>
      <c r="H1710">
        <v>0</v>
      </c>
      <c r="I1710">
        <f>1</f>
        <v>1</v>
      </c>
    </row>
    <row r="1711" spans="2:9" x14ac:dyDescent="0.25">
      <c r="B1711">
        <v>0</v>
      </c>
      <c r="C1711" s="16" t="s">
        <v>10981</v>
      </c>
      <c r="D1711" s="16"/>
      <c r="E1711">
        <v>6</v>
      </c>
      <c r="F1711" t="s">
        <v>4680</v>
      </c>
      <c r="G1711">
        <v>1</v>
      </c>
      <c r="H1711">
        <v>0</v>
      </c>
      <c r="I1711">
        <f>1</f>
        <v>1</v>
      </c>
    </row>
    <row r="1712" spans="2:9" x14ac:dyDescent="0.25">
      <c r="B1712">
        <v>0</v>
      </c>
      <c r="C1712" s="16" t="s">
        <v>10982</v>
      </c>
      <c r="D1712" s="16"/>
      <c r="E1712">
        <v>6</v>
      </c>
      <c r="F1712" t="s">
        <v>5289</v>
      </c>
      <c r="G1712">
        <v>1</v>
      </c>
      <c r="H1712">
        <v>0</v>
      </c>
      <c r="I1712">
        <f>1</f>
        <v>1</v>
      </c>
    </row>
    <row r="1713" spans="2:9" x14ac:dyDescent="0.25">
      <c r="B1713">
        <v>0</v>
      </c>
      <c r="C1713" s="16" t="s">
        <v>10983</v>
      </c>
      <c r="D1713" s="16"/>
      <c r="E1713">
        <v>6</v>
      </c>
      <c r="F1713" t="s">
        <v>4680</v>
      </c>
      <c r="G1713">
        <v>1</v>
      </c>
      <c r="H1713">
        <v>0</v>
      </c>
      <c r="I1713">
        <f>1</f>
        <v>1</v>
      </c>
    </row>
    <row r="1714" spans="2:9" x14ac:dyDescent="0.25">
      <c r="B1714">
        <v>0</v>
      </c>
      <c r="C1714" s="16" t="s">
        <v>10984</v>
      </c>
      <c r="D1714" s="16"/>
      <c r="E1714">
        <v>6</v>
      </c>
      <c r="F1714" t="s">
        <v>5290</v>
      </c>
      <c r="G1714">
        <v>1</v>
      </c>
      <c r="H1714">
        <v>0</v>
      </c>
      <c r="I1714">
        <f>1</f>
        <v>1</v>
      </c>
    </row>
    <row r="1715" spans="2:9" x14ac:dyDescent="0.25">
      <c r="B1715">
        <v>0</v>
      </c>
      <c r="C1715" s="16" t="s">
        <v>10985</v>
      </c>
      <c r="D1715" s="16"/>
      <c r="E1715">
        <v>6</v>
      </c>
      <c r="F1715" t="s">
        <v>5291</v>
      </c>
      <c r="G1715">
        <v>1</v>
      </c>
      <c r="H1715">
        <v>0</v>
      </c>
      <c r="I1715">
        <f>1</f>
        <v>1</v>
      </c>
    </row>
    <row r="1716" spans="2:9" x14ac:dyDescent="0.25">
      <c r="B1716">
        <v>0</v>
      </c>
      <c r="C1716" s="16" t="s">
        <v>10986</v>
      </c>
      <c r="D1716" s="16"/>
      <c r="E1716">
        <v>6</v>
      </c>
      <c r="F1716" t="s">
        <v>4680</v>
      </c>
      <c r="G1716">
        <v>1</v>
      </c>
      <c r="H1716">
        <v>0</v>
      </c>
      <c r="I1716">
        <f>1</f>
        <v>1</v>
      </c>
    </row>
    <row r="1717" spans="2:9" x14ac:dyDescent="0.25">
      <c r="B1717">
        <v>0</v>
      </c>
      <c r="C1717" s="16" t="s">
        <v>10987</v>
      </c>
      <c r="D1717" s="16"/>
      <c r="E1717">
        <v>6</v>
      </c>
      <c r="F1717" t="e">
        <f>--De alumínio</f>
        <v>#NAME?</v>
      </c>
      <c r="G1717">
        <v>1</v>
      </c>
      <c r="H1717">
        <v>0</v>
      </c>
      <c r="I1717">
        <f>1</f>
        <v>1</v>
      </c>
    </row>
    <row r="1718" spans="2:9" x14ac:dyDescent="0.25">
      <c r="B1718">
        <v>0</v>
      </c>
      <c r="C1718" s="16" t="s">
        <v>10988</v>
      </c>
      <c r="D1718" s="16"/>
      <c r="E1718">
        <v>6</v>
      </c>
      <c r="F1718" t="s">
        <v>5292</v>
      </c>
      <c r="G1718">
        <v>1</v>
      </c>
      <c r="H1718">
        <v>0</v>
      </c>
      <c r="I1718">
        <f>1</f>
        <v>1</v>
      </c>
    </row>
    <row r="1719" spans="2:9" x14ac:dyDescent="0.25">
      <c r="B1719">
        <v>0</v>
      </c>
      <c r="C1719" s="16" t="s">
        <v>10989</v>
      </c>
      <c r="D1719" s="16"/>
      <c r="E1719">
        <v>6</v>
      </c>
      <c r="F1719" t="s">
        <v>5293</v>
      </c>
      <c r="G1719">
        <v>1</v>
      </c>
      <c r="H1719">
        <v>0</v>
      </c>
      <c r="I1719">
        <f>1</f>
        <v>1</v>
      </c>
    </row>
    <row r="1720" spans="2:9" x14ac:dyDescent="0.25">
      <c r="B1720">
        <v>0</v>
      </c>
      <c r="C1720" s="16" t="s">
        <v>10990</v>
      </c>
      <c r="D1720" s="16"/>
      <c r="E1720">
        <v>6</v>
      </c>
      <c r="F1720" t="s">
        <v>4680</v>
      </c>
      <c r="G1720">
        <v>1</v>
      </c>
      <c r="H1720">
        <v>0</v>
      </c>
      <c r="I1720">
        <f>1</f>
        <v>1</v>
      </c>
    </row>
    <row r="1721" spans="2:9" x14ac:dyDescent="0.25">
      <c r="B1721">
        <v>0</v>
      </c>
      <c r="C1721" s="16" t="s">
        <v>10991</v>
      </c>
      <c r="D1721" s="16"/>
      <c r="E1721">
        <v>6</v>
      </c>
      <c r="F1721" t="e">
        <f>-Hexafluoroaluminato De Sódio  criolita sintética</f>
        <v>#NAME?</v>
      </c>
      <c r="G1721">
        <v>1</v>
      </c>
      <c r="H1721">
        <v>0</v>
      </c>
      <c r="I1721">
        <f>1</f>
        <v>1</v>
      </c>
    </row>
    <row r="1722" spans="2:9" x14ac:dyDescent="0.25">
      <c r="B1722">
        <v>0</v>
      </c>
      <c r="C1722" s="16" t="s">
        <v>10992</v>
      </c>
      <c r="D1722" s="16"/>
      <c r="E1722">
        <v>6</v>
      </c>
      <c r="F1722" t="s">
        <v>5294</v>
      </c>
      <c r="G1722">
        <v>1</v>
      </c>
      <c r="H1722">
        <v>0</v>
      </c>
      <c r="I1722">
        <f>1</f>
        <v>1</v>
      </c>
    </row>
    <row r="1723" spans="2:9" x14ac:dyDescent="0.25">
      <c r="B1723">
        <v>0</v>
      </c>
      <c r="C1723" s="16" t="s">
        <v>10993</v>
      </c>
      <c r="D1723" s="16"/>
      <c r="E1723">
        <v>6</v>
      </c>
      <c r="F1723" t="s">
        <v>5295</v>
      </c>
      <c r="G1723">
        <v>1</v>
      </c>
      <c r="H1723">
        <v>0</v>
      </c>
      <c r="I1723">
        <f>1</f>
        <v>1</v>
      </c>
    </row>
    <row r="1724" spans="2:9" x14ac:dyDescent="0.25">
      <c r="B1724">
        <v>0</v>
      </c>
      <c r="C1724" s="16" t="s">
        <v>10994</v>
      </c>
      <c r="D1724" s="16"/>
      <c r="E1724">
        <v>6</v>
      </c>
      <c r="F1724" t="s">
        <v>4680</v>
      </c>
      <c r="G1724">
        <v>1</v>
      </c>
      <c r="H1724">
        <v>0</v>
      </c>
      <c r="I1724">
        <f>1</f>
        <v>1</v>
      </c>
    </row>
    <row r="1725" spans="2:9" x14ac:dyDescent="0.25">
      <c r="B1725">
        <v>0</v>
      </c>
      <c r="C1725" s="16" t="s">
        <v>10995</v>
      </c>
      <c r="D1725" s="16"/>
      <c r="E1725">
        <v>6</v>
      </c>
      <c r="F1725" t="e">
        <f>-Cloreto De amônio</f>
        <v>#NAME?</v>
      </c>
      <c r="G1725">
        <v>1</v>
      </c>
      <c r="H1725">
        <v>0</v>
      </c>
      <c r="I1725">
        <f>1</f>
        <v>1</v>
      </c>
    </row>
    <row r="1726" spans="2:9" x14ac:dyDescent="0.25">
      <c r="B1726">
        <v>0</v>
      </c>
      <c r="C1726" s="16" t="s">
        <v>10996</v>
      </c>
      <c r="D1726" s="16"/>
      <c r="E1726">
        <v>6</v>
      </c>
      <c r="F1726" t="s">
        <v>5296</v>
      </c>
      <c r="G1726">
        <v>1</v>
      </c>
      <c r="H1726">
        <v>0</v>
      </c>
      <c r="I1726">
        <f>1</f>
        <v>1</v>
      </c>
    </row>
    <row r="1727" spans="2:9" x14ac:dyDescent="0.25">
      <c r="B1727">
        <v>0</v>
      </c>
      <c r="C1727" s="16" t="s">
        <v>10997</v>
      </c>
      <c r="D1727" s="16"/>
      <c r="E1727">
        <v>6</v>
      </c>
      <c r="F1727" t="s">
        <v>4680</v>
      </c>
      <c r="G1727">
        <v>1</v>
      </c>
      <c r="H1727">
        <v>0</v>
      </c>
      <c r="I1727">
        <f>1</f>
        <v>1</v>
      </c>
    </row>
    <row r="1728" spans="2:9" x14ac:dyDescent="0.25">
      <c r="B1728">
        <v>0</v>
      </c>
      <c r="C1728" s="16" t="s">
        <v>10998</v>
      </c>
      <c r="D1728" s="16"/>
      <c r="E1728">
        <v>6</v>
      </c>
      <c r="F1728" t="s">
        <v>5297</v>
      </c>
      <c r="G1728">
        <v>1</v>
      </c>
      <c r="H1728">
        <v>0</v>
      </c>
      <c r="I1728">
        <f>1</f>
        <v>1</v>
      </c>
    </row>
    <row r="1729" spans="2:9" x14ac:dyDescent="0.25">
      <c r="B1729">
        <v>0</v>
      </c>
      <c r="C1729" s="16" t="s">
        <v>10999</v>
      </c>
      <c r="D1729" s="16"/>
      <c r="E1729">
        <v>6</v>
      </c>
      <c r="F1729" t="s">
        <v>4680</v>
      </c>
      <c r="G1729">
        <v>1</v>
      </c>
      <c r="H1729">
        <v>0</v>
      </c>
      <c r="I1729">
        <f>1</f>
        <v>1</v>
      </c>
    </row>
    <row r="1730" spans="2:9" x14ac:dyDescent="0.25">
      <c r="B1730">
        <v>0</v>
      </c>
      <c r="C1730" s="16" t="s">
        <v>11000</v>
      </c>
      <c r="D1730" s="16"/>
      <c r="E1730">
        <v>6</v>
      </c>
      <c r="F1730" t="e">
        <f>--De alumínio</f>
        <v>#NAME?</v>
      </c>
      <c r="G1730">
        <v>1</v>
      </c>
      <c r="H1730">
        <v>0</v>
      </c>
      <c r="I1730">
        <f>1</f>
        <v>1</v>
      </c>
    </row>
    <row r="1731" spans="2:9" x14ac:dyDescent="0.25">
      <c r="B1731">
        <v>0</v>
      </c>
      <c r="C1731" s="16" t="s">
        <v>11001</v>
      </c>
      <c r="D1731" s="16"/>
      <c r="E1731">
        <v>6</v>
      </c>
      <c r="F1731" t="e">
        <f>--De níquel</f>
        <v>#NAME?</v>
      </c>
      <c r="G1731">
        <v>1</v>
      </c>
      <c r="H1731">
        <v>0</v>
      </c>
      <c r="I1731">
        <f>1</f>
        <v>1</v>
      </c>
    </row>
    <row r="1732" spans="2:9" x14ac:dyDescent="0.25">
      <c r="B1732">
        <v>0</v>
      </c>
      <c r="C1732" s="16" t="s">
        <v>11002</v>
      </c>
      <c r="D1732" s="16"/>
      <c r="E1732">
        <v>6</v>
      </c>
      <c r="F1732" t="s">
        <v>5298</v>
      </c>
      <c r="G1732">
        <v>1</v>
      </c>
      <c r="H1732">
        <v>0</v>
      </c>
      <c r="I1732">
        <f>1</f>
        <v>1</v>
      </c>
    </row>
    <row r="1733" spans="2:9" x14ac:dyDescent="0.25">
      <c r="B1733">
        <v>0</v>
      </c>
      <c r="C1733" s="16" t="s">
        <v>11003</v>
      </c>
      <c r="D1733" s="16"/>
      <c r="E1733">
        <v>6</v>
      </c>
      <c r="F1733" t="s">
        <v>5299</v>
      </c>
      <c r="G1733">
        <v>1</v>
      </c>
      <c r="H1733">
        <v>0</v>
      </c>
      <c r="I1733">
        <f>1</f>
        <v>1</v>
      </c>
    </row>
    <row r="1734" spans="2:9" x14ac:dyDescent="0.25">
      <c r="B1734">
        <v>0</v>
      </c>
      <c r="C1734" s="16" t="s">
        <v>11004</v>
      </c>
      <c r="D1734" s="16"/>
      <c r="E1734">
        <v>6</v>
      </c>
      <c r="F1734" t="s">
        <v>5300</v>
      </c>
      <c r="G1734">
        <v>1</v>
      </c>
      <c r="H1734">
        <v>0</v>
      </c>
      <c r="I1734">
        <f>1</f>
        <v>1</v>
      </c>
    </row>
    <row r="1735" spans="2:9" x14ac:dyDescent="0.25">
      <c r="B1735">
        <v>0</v>
      </c>
      <c r="C1735" s="16" t="s">
        <v>11005</v>
      </c>
      <c r="D1735" s="16"/>
      <c r="E1735">
        <v>6</v>
      </c>
      <c r="F1735" t="s">
        <v>5301</v>
      </c>
      <c r="G1735">
        <v>1</v>
      </c>
      <c r="H1735">
        <v>0</v>
      </c>
      <c r="I1735">
        <f>1</f>
        <v>1</v>
      </c>
    </row>
    <row r="1736" spans="2:9" x14ac:dyDescent="0.25">
      <c r="B1736">
        <v>0</v>
      </c>
      <c r="C1736" s="16" t="s">
        <v>11006</v>
      </c>
      <c r="D1736" s="16"/>
      <c r="E1736">
        <v>6</v>
      </c>
      <c r="F1736" t="s">
        <v>5302</v>
      </c>
      <c r="G1736">
        <v>1</v>
      </c>
      <c r="H1736">
        <v>0</v>
      </c>
      <c r="I1736">
        <f>1</f>
        <v>1</v>
      </c>
    </row>
    <row r="1737" spans="2:9" x14ac:dyDescent="0.25">
      <c r="B1737">
        <v>0</v>
      </c>
      <c r="C1737" s="16" t="s">
        <v>11007</v>
      </c>
      <c r="D1737" s="16"/>
      <c r="E1737">
        <v>6</v>
      </c>
      <c r="F1737" t="s">
        <v>5303</v>
      </c>
      <c r="G1737">
        <v>1</v>
      </c>
      <c r="H1737">
        <v>0</v>
      </c>
      <c r="I1737">
        <f>1</f>
        <v>1</v>
      </c>
    </row>
    <row r="1738" spans="2:9" x14ac:dyDescent="0.25">
      <c r="B1738">
        <v>0</v>
      </c>
      <c r="C1738" s="16" t="s">
        <v>11008</v>
      </c>
      <c r="D1738" s="16"/>
      <c r="E1738">
        <v>6</v>
      </c>
      <c r="F1738" t="s">
        <v>5304</v>
      </c>
      <c r="G1738">
        <v>1</v>
      </c>
      <c r="H1738">
        <v>0</v>
      </c>
      <c r="I1738">
        <f>1</f>
        <v>1</v>
      </c>
    </row>
    <row r="1739" spans="2:9" x14ac:dyDescent="0.25">
      <c r="B1739">
        <v>0</v>
      </c>
      <c r="C1739" s="16" t="s">
        <v>11009</v>
      </c>
      <c r="D1739" s="16"/>
      <c r="E1739">
        <v>6</v>
      </c>
      <c r="F1739" t="s">
        <v>5305</v>
      </c>
      <c r="G1739">
        <v>1</v>
      </c>
      <c r="H1739">
        <v>0</v>
      </c>
      <c r="I1739">
        <f>1</f>
        <v>1</v>
      </c>
    </row>
    <row r="1740" spans="2:9" x14ac:dyDescent="0.25">
      <c r="B1740">
        <v>0</v>
      </c>
      <c r="C1740" s="16" t="s">
        <v>11010</v>
      </c>
      <c r="D1740" s="16"/>
      <c r="E1740">
        <v>6</v>
      </c>
      <c r="F1740" t="s">
        <v>5306</v>
      </c>
      <c r="G1740">
        <v>1</v>
      </c>
      <c r="H1740">
        <v>0</v>
      </c>
      <c r="I1740">
        <f>1</f>
        <v>1</v>
      </c>
    </row>
    <row r="1741" spans="2:9" x14ac:dyDescent="0.25">
      <c r="B1741">
        <v>0</v>
      </c>
      <c r="C1741" s="16" t="s">
        <v>11011</v>
      </c>
      <c r="D1741" s="16"/>
      <c r="E1741">
        <v>6</v>
      </c>
      <c r="F1741" t="s">
        <v>5307</v>
      </c>
      <c r="G1741">
        <v>1</v>
      </c>
      <c r="H1741">
        <v>0</v>
      </c>
      <c r="I1741">
        <f>1</f>
        <v>1</v>
      </c>
    </row>
    <row r="1742" spans="2:9" x14ac:dyDescent="0.25">
      <c r="B1742">
        <v>0</v>
      </c>
      <c r="C1742" s="16" t="s">
        <v>11012</v>
      </c>
      <c r="D1742" s="16"/>
      <c r="E1742">
        <v>6</v>
      </c>
      <c r="F1742" t="s">
        <v>5308</v>
      </c>
      <c r="G1742">
        <v>1</v>
      </c>
      <c r="H1742">
        <v>0</v>
      </c>
      <c r="I1742">
        <f>1</f>
        <v>1</v>
      </c>
    </row>
    <row r="1743" spans="2:9" x14ac:dyDescent="0.25">
      <c r="B1743">
        <v>0</v>
      </c>
      <c r="C1743" s="16" t="s">
        <v>11013</v>
      </c>
      <c r="D1743" s="16"/>
      <c r="E1743">
        <v>6</v>
      </c>
      <c r="F1743" t="s">
        <v>5309</v>
      </c>
      <c r="G1743">
        <v>1</v>
      </c>
      <c r="H1743">
        <v>0</v>
      </c>
      <c r="I1743">
        <f>1</f>
        <v>1</v>
      </c>
    </row>
    <row r="1744" spans="2:9" x14ac:dyDescent="0.25">
      <c r="B1744">
        <v>0</v>
      </c>
      <c r="C1744" s="16" t="s">
        <v>11014</v>
      </c>
      <c r="D1744" s="16"/>
      <c r="E1744">
        <v>6</v>
      </c>
      <c r="F1744" t="s">
        <v>5310</v>
      </c>
      <c r="G1744">
        <v>1</v>
      </c>
      <c r="H1744">
        <v>0</v>
      </c>
      <c r="I1744">
        <f>1</f>
        <v>1</v>
      </c>
    </row>
    <row r="1745" spans="2:9" x14ac:dyDescent="0.25">
      <c r="B1745">
        <v>0</v>
      </c>
      <c r="C1745" s="16" t="s">
        <v>11015</v>
      </c>
      <c r="D1745" s="16"/>
      <c r="E1745">
        <v>6</v>
      </c>
      <c r="F1745" t="s">
        <v>5311</v>
      </c>
      <c r="G1745">
        <v>1</v>
      </c>
      <c r="H1745">
        <v>0</v>
      </c>
      <c r="I1745">
        <f>1</f>
        <v>1</v>
      </c>
    </row>
    <row r="1746" spans="2:9" x14ac:dyDescent="0.25">
      <c r="B1746">
        <v>0</v>
      </c>
      <c r="C1746" s="16" t="s">
        <v>11016</v>
      </c>
      <c r="D1746" s="16"/>
      <c r="E1746">
        <v>6</v>
      </c>
      <c r="F1746" t="s">
        <v>4680</v>
      </c>
      <c r="G1746">
        <v>1</v>
      </c>
      <c r="H1746">
        <v>0</v>
      </c>
      <c r="I1746">
        <f>1</f>
        <v>1</v>
      </c>
    </row>
    <row r="1747" spans="2:9" x14ac:dyDescent="0.25">
      <c r="B1747">
        <v>0</v>
      </c>
      <c r="C1747" s="16" t="s">
        <v>11017</v>
      </c>
      <c r="D1747" s="16"/>
      <c r="E1747">
        <v>6</v>
      </c>
      <c r="F1747" t="s">
        <v>5312</v>
      </c>
      <c r="G1747">
        <v>1</v>
      </c>
      <c r="H1747">
        <v>0</v>
      </c>
      <c r="I1747">
        <f>1</f>
        <v>1</v>
      </c>
    </row>
    <row r="1748" spans="2:9" x14ac:dyDescent="0.25">
      <c r="B1748">
        <v>0</v>
      </c>
      <c r="C1748" s="16" t="s">
        <v>11018</v>
      </c>
      <c r="D1748" s="16"/>
      <c r="E1748">
        <v>6</v>
      </c>
      <c r="F1748" t="s">
        <v>5313</v>
      </c>
      <c r="G1748">
        <v>1</v>
      </c>
      <c r="H1748">
        <v>0</v>
      </c>
      <c r="I1748">
        <f>1</f>
        <v>1</v>
      </c>
    </row>
    <row r="1749" spans="2:9" x14ac:dyDescent="0.25">
      <c r="B1749">
        <v>0</v>
      </c>
      <c r="C1749" s="16" t="s">
        <v>11019</v>
      </c>
      <c r="D1749" s="16"/>
      <c r="E1749">
        <v>6</v>
      </c>
      <c r="F1749" t="s">
        <v>5303</v>
      </c>
      <c r="G1749">
        <v>1</v>
      </c>
      <c r="H1749">
        <v>0</v>
      </c>
      <c r="I1749">
        <f>1</f>
        <v>1</v>
      </c>
    </row>
    <row r="1750" spans="2:9" x14ac:dyDescent="0.25">
      <c r="B1750">
        <v>0</v>
      </c>
      <c r="C1750" s="16" t="s">
        <v>11020</v>
      </c>
      <c r="D1750" s="16"/>
      <c r="E1750">
        <v>6</v>
      </c>
      <c r="F1750" t="s">
        <v>5300</v>
      </c>
      <c r="G1750">
        <v>1</v>
      </c>
      <c r="H1750">
        <v>0</v>
      </c>
      <c r="I1750">
        <f>1</f>
        <v>1</v>
      </c>
    </row>
    <row r="1751" spans="2:9" x14ac:dyDescent="0.25">
      <c r="B1751">
        <v>0</v>
      </c>
      <c r="C1751" s="16" t="s">
        <v>11021</v>
      </c>
      <c r="D1751" s="16"/>
      <c r="E1751">
        <v>6</v>
      </c>
      <c r="F1751" t="s">
        <v>4680</v>
      </c>
      <c r="G1751">
        <v>1</v>
      </c>
      <c r="H1751">
        <v>0</v>
      </c>
      <c r="I1751">
        <f>1</f>
        <v>1</v>
      </c>
    </row>
    <row r="1752" spans="2:9" x14ac:dyDescent="0.25">
      <c r="B1752">
        <v>0</v>
      </c>
      <c r="C1752" s="16" t="s">
        <v>11022</v>
      </c>
      <c r="D1752" s="16"/>
      <c r="E1752">
        <v>6</v>
      </c>
      <c r="F1752" t="s">
        <v>5314</v>
      </c>
      <c r="G1752">
        <v>1</v>
      </c>
      <c r="H1752">
        <v>0</v>
      </c>
      <c r="I1752">
        <f>1</f>
        <v>1</v>
      </c>
    </row>
    <row r="1753" spans="2:9" x14ac:dyDescent="0.25">
      <c r="B1753">
        <v>0</v>
      </c>
      <c r="C1753" s="16" t="s">
        <v>11023</v>
      </c>
      <c r="D1753" s="16"/>
      <c r="E1753">
        <v>6</v>
      </c>
      <c r="F1753" t="s">
        <v>4680</v>
      </c>
      <c r="G1753">
        <v>1</v>
      </c>
      <c r="H1753">
        <v>0</v>
      </c>
      <c r="I1753">
        <f>1</f>
        <v>1</v>
      </c>
    </row>
    <row r="1754" spans="2:9" x14ac:dyDescent="0.25">
      <c r="B1754">
        <v>0</v>
      </c>
      <c r="C1754" s="16" t="s">
        <v>11024</v>
      </c>
      <c r="D1754" s="16"/>
      <c r="E1754">
        <v>6</v>
      </c>
      <c r="F1754" t="e">
        <f>--Brometos De Sódio ou De potássio</f>
        <v>#NAME?</v>
      </c>
      <c r="G1754">
        <v>1</v>
      </c>
      <c r="H1754">
        <v>0</v>
      </c>
      <c r="I1754">
        <f>1</f>
        <v>1</v>
      </c>
    </row>
    <row r="1755" spans="2:9" x14ac:dyDescent="0.25">
      <c r="B1755">
        <v>0</v>
      </c>
      <c r="C1755" s="16" t="s">
        <v>11025</v>
      </c>
      <c r="D1755" s="16"/>
      <c r="E1755">
        <v>6</v>
      </c>
      <c r="F1755" t="e">
        <f>--outros</f>
        <v>#NAME?</v>
      </c>
      <c r="G1755">
        <v>1</v>
      </c>
      <c r="H1755">
        <v>0</v>
      </c>
      <c r="I1755">
        <f>1</f>
        <v>1</v>
      </c>
    </row>
    <row r="1756" spans="2:9" x14ac:dyDescent="0.25">
      <c r="B1756">
        <v>0</v>
      </c>
      <c r="C1756" s="16" t="s">
        <v>11026</v>
      </c>
      <c r="D1756" s="16"/>
      <c r="E1756">
        <v>6</v>
      </c>
      <c r="F1756" t="s">
        <v>5315</v>
      </c>
      <c r="G1756">
        <v>1</v>
      </c>
      <c r="H1756">
        <v>0</v>
      </c>
      <c r="I1756">
        <f>1</f>
        <v>1</v>
      </c>
    </row>
    <row r="1757" spans="2:9" x14ac:dyDescent="0.25">
      <c r="B1757">
        <v>0</v>
      </c>
      <c r="C1757" s="16" t="s">
        <v>11027</v>
      </c>
      <c r="D1757" s="16"/>
      <c r="E1757">
        <v>6</v>
      </c>
      <c r="F1757" t="s">
        <v>5316</v>
      </c>
      <c r="G1757">
        <v>1</v>
      </c>
      <c r="H1757">
        <v>0</v>
      </c>
      <c r="I1757">
        <f>1</f>
        <v>1</v>
      </c>
    </row>
    <row r="1758" spans="2:9" x14ac:dyDescent="0.25">
      <c r="B1758">
        <v>0</v>
      </c>
      <c r="C1758" s="16" t="s">
        <v>11028</v>
      </c>
      <c r="D1758" s="16"/>
      <c r="E1758">
        <v>6</v>
      </c>
      <c r="F1758" t="s">
        <v>4680</v>
      </c>
      <c r="G1758">
        <v>1</v>
      </c>
      <c r="H1758">
        <v>0</v>
      </c>
      <c r="I1758">
        <f>1</f>
        <v>1</v>
      </c>
    </row>
    <row r="1759" spans="2:9" x14ac:dyDescent="0.25">
      <c r="B1759">
        <v>0</v>
      </c>
      <c r="C1759" s="16" t="s">
        <v>11029</v>
      </c>
      <c r="D1759" s="16"/>
      <c r="E1759">
        <v>6</v>
      </c>
      <c r="F1759" t="s">
        <v>5316</v>
      </c>
      <c r="G1759">
        <v>1</v>
      </c>
      <c r="H1759">
        <v>0</v>
      </c>
      <c r="I1759">
        <f>1</f>
        <v>1</v>
      </c>
    </row>
    <row r="1760" spans="2:9" x14ac:dyDescent="0.25">
      <c r="B1760">
        <v>0</v>
      </c>
      <c r="C1760" s="16" t="s">
        <v>11030</v>
      </c>
      <c r="D1760" s="16"/>
      <c r="E1760">
        <v>6</v>
      </c>
      <c r="F1760" t="s">
        <v>4680</v>
      </c>
      <c r="G1760">
        <v>1</v>
      </c>
      <c r="H1760">
        <v>0</v>
      </c>
      <c r="I1760">
        <f>1</f>
        <v>1</v>
      </c>
    </row>
    <row r="1761" spans="2:9" x14ac:dyDescent="0.25">
      <c r="B1761">
        <v>0</v>
      </c>
      <c r="C1761" s="16" t="s">
        <v>11031</v>
      </c>
      <c r="D1761" s="16"/>
      <c r="E1761">
        <v>6</v>
      </c>
      <c r="F1761" t="e">
        <f>-Hipoclorito De Cálcio comercial e outros hipocloritos De Cálcio</f>
        <v>#NAME?</v>
      </c>
      <c r="G1761">
        <v>1</v>
      </c>
      <c r="H1761">
        <v>0</v>
      </c>
      <c r="I1761">
        <f>1</f>
        <v>1</v>
      </c>
    </row>
    <row r="1762" spans="2:9" x14ac:dyDescent="0.25">
      <c r="B1762">
        <v>0</v>
      </c>
      <c r="C1762" s="16" t="s">
        <v>11032</v>
      </c>
      <c r="D1762" s="16"/>
      <c r="E1762">
        <v>6</v>
      </c>
      <c r="F1762" t="s">
        <v>5315</v>
      </c>
      <c r="G1762">
        <v>1</v>
      </c>
      <c r="H1762">
        <v>0</v>
      </c>
      <c r="I1762">
        <f>1</f>
        <v>1</v>
      </c>
    </row>
    <row r="1763" spans="2:9" x14ac:dyDescent="0.25">
      <c r="B1763">
        <v>0</v>
      </c>
      <c r="C1763" s="16" t="s">
        <v>11033</v>
      </c>
      <c r="D1763" s="16"/>
      <c r="E1763">
        <v>6</v>
      </c>
      <c r="F1763" t="s">
        <v>4680</v>
      </c>
      <c r="G1763">
        <v>1</v>
      </c>
      <c r="H1763">
        <v>0</v>
      </c>
      <c r="I1763">
        <f>1</f>
        <v>1</v>
      </c>
    </row>
    <row r="1764" spans="2:9" x14ac:dyDescent="0.25">
      <c r="B1764">
        <v>0</v>
      </c>
      <c r="C1764" s="16" t="s">
        <v>11034</v>
      </c>
      <c r="D1764" s="16"/>
      <c r="E1764">
        <v>6</v>
      </c>
      <c r="F1764" t="s">
        <v>5317</v>
      </c>
      <c r="G1764">
        <v>1</v>
      </c>
      <c r="H1764">
        <v>0</v>
      </c>
      <c r="I1764">
        <f>1</f>
        <v>1</v>
      </c>
    </row>
    <row r="1765" spans="2:9" x14ac:dyDescent="0.25">
      <c r="B1765">
        <v>0</v>
      </c>
      <c r="C1765" s="16" t="s">
        <v>11035</v>
      </c>
      <c r="D1765" s="16"/>
      <c r="E1765">
        <v>6</v>
      </c>
      <c r="F1765" t="s">
        <v>4680</v>
      </c>
      <c r="G1765">
        <v>1</v>
      </c>
      <c r="H1765">
        <v>0</v>
      </c>
      <c r="I1765">
        <f>1</f>
        <v>1</v>
      </c>
    </row>
    <row r="1766" spans="2:9" x14ac:dyDescent="0.25">
      <c r="B1766">
        <v>0</v>
      </c>
      <c r="C1766" s="16" t="s">
        <v>11036</v>
      </c>
      <c r="D1766" s="16"/>
      <c r="E1766">
        <v>6</v>
      </c>
      <c r="F1766" t="e">
        <f>--De Sódio</f>
        <v>#NAME?</v>
      </c>
      <c r="G1766">
        <v>1</v>
      </c>
      <c r="H1766">
        <v>0</v>
      </c>
      <c r="I1766">
        <f>1</f>
        <v>1</v>
      </c>
    </row>
    <row r="1767" spans="2:9" x14ac:dyDescent="0.25">
      <c r="B1767">
        <v>0</v>
      </c>
      <c r="C1767" s="16" t="s">
        <v>11037</v>
      </c>
      <c r="D1767" s="16"/>
      <c r="E1767">
        <v>6</v>
      </c>
      <c r="F1767" t="s">
        <v>5318</v>
      </c>
      <c r="G1767">
        <v>1</v>
      </c>
      <c r="H1767">
        <v>0</v>
      </c>
      <c r="I1767">
        <f>1</f>
        <v>1</v>
      </c>
    </row>
    <row r="1768" spans="2:9" x14ac:dyDescent="0.25">
      <c r="B1768">
        <v>0</v>
      </c>
      <c r="C1768" s="16" t="s">
        <v>11038</v>
      </c>
      <c r="D1768" s="16"/>
      <c r="E1768">
        <v>6</v>
      </c>
      <c r="F1768" t="s">
        <v>5316</v>
      </c>
      <c r="G1768">
        <v>1</v>
      </c>
      <c r="H1768">
        <v>0</v>
      </c>
      <c r="I1768">
        <f>1</f>
        <v>1</v>
      </c>
    </row>
    <row r="1769" spans="2:9" x14ac:dyDescent="0.25">
      <c r="B1769">
        <v>0</v>
      </c>
      <c r="C1769" s="16" t="s">
        <v>11039</v>
      </c>
      <c r="D1769" s="16"/>
      <c r="E1769">
        <v>6</v>
      </c>
      <c r="F1769" t="s">
        <v>4680</v>
      </c>
      <c r="G1769">
        <v>1</v>
      </c>
      <c r="H1769">
        <v>0</v>
      </c>
      <c r="I1769">
        <f>1</f>
        <v>1</v>
      </c>
    </row>
    <row r="1770" spans="2:9" x14ac:dyDescent="0.25">
      <c r="B1770">
        <v>0</v>
      </c>
      <c r="C1770" s="16" t="s">
        <v>11040</v>
      </c>
      <c r="D1770" s="16"/>
      <c r="E1770">
        <v>6</v>
      </c>
      <c r="F1770" t="s">
        <v>5315</v>
      </c>
      <c r="G1770">
        <v>1</v>
      </c>
      <c r="H1770">
        <v>0</v>
      </c>
      <c r="I1770">
        <f>1</f>
        <v>1</v>
      </c>
    </row>
    <row r="1771" spans="2:9" x14ac:dyDescent="0.25">
      <c r="B1771">
        <v>0</v>
      </c>
      <c r="C1771" s="16" t="s">
        <v>11041</v>
      </c>
      <c r="D1771" s="16"/>
      <c r="E1771">
        <v>6</v>
      </c>
      <c r="F1771" t="s">
        <v>5316</v>
      </c>
      <c r="G1771">
        <v>1</v>
      </c>
      <c r="H1771">
        <v>0</v>
      </c>
      <c r="I1771">
        <f>1</f>
        <v>1</v>
      </c>
    </row>
    <row r="1772" spans="2:9" x14ac:dyDescent="0.25">
      <c r="B1772">
        <v>0</v>
      </c>
      <c r="C1772" s="16" t="s">
        <v>11042</v>
      </c>
      <c r="D1772" s="16"/>
      <c r="E1772">
        <v>6</v>
      </c>
      <c r="F1772" t="s">
        <v>4680</v>
      </c>
      <c r="G1772">
        <v>1</v>
      </c>
      <c r="H1772">
        <v>0</v>
      </c>
      <c r="I1772">
        <f>1</f>
        <v>1</v>
      </c>
    </row>
    <row r="1773" spans="2:9" x14ac:dyDescent="0.25">
      <c r="B1773">
        <v>0</v>
      </c>
      <c r="C1773" s="16" t="s">
        <v>11043</v>
      </c>
      <c r="D1773" s="16"/>
      <c r="E1773">
        <v>6</v>
      </c>
      <c r="F1773" t="s">
        <v>5315</v>
      </c>
      <c r="G1773">
        <v>1</v>
      </c>
      <c r="H1773">
        <v>0</v>
      </c>
      <c r="I1773">
        <f>1</f>
        <v>1</v>
      </c>
    </row>
    <row r="1774" spans="2:9" x14ac:dyDescent="0.25">
      <c r="B1774">
        <v>0</v>
      </c>
      <c r="C1774" s="16" t="s">
        <v>11044</v>
      </c>
      <c r="D1774" s="16"/>
      <c r="E1774">
        <v>6</v>
      </c>
      <c r="F1774" t="s">
        <v>5316</v>
      </c>
      <c r="G1774">
        <v>1</v>
      </c>
      <c r="H1774">
        <v>0</v>
      </c>
      <c r="I1774">
        <f>1</f>
        <v>1</v>
      </c>
    </row>
    <row r="1775" spans="2:9" x14ac:dyDescent="0.25">
      <c r="B1775">
        <v>0</v>
      </c>
      <c r="C1775" s="16" t="s">
        <v>11045</v>
      </c>
      <c r="D1775" s="16"/>
      <c r="E1775">
        <v>6</v>
      </c>
      <c r="F1775" t="s">
        <v>4680</v>
      </c>
      <c r="G1775">
        <v>1</v>
      </c>
      <c r="H1775">
        <v>0</v>
      </c>
      <c r="I1775">
        <f>1</f>
        <v>1</v>
      </c>
    </row>
    <row r="1776" spans="2:9" x14ac:dyDescent="0.25">
      <c r="B1776">
        <v>0</v>
      </c>
      <c r="C1776" s="16" t="s">
        <v>11046</v>
      </c>
      <c r="D1776" s="16"/>
      <c r="E1776">
        <v>6</v>
      </c>
      <c r="F1776" t="s">
        <v>5316</v>
      </c>
      <c r="G1776">
        <v>1</v>
      </c>
      <c r="H1776">
        <v>0</v>
      </c>
      <c r="I1776">
        <f>1</f>
        <v>1</v>
      </c>
    </row>
    <row r="1777" spans="2:9" x14ac:dyDescent="0.25">
      <c r="B1777">
        <v>0</v>
      </c>
      <c r="C1777" s="16" t="s">
        <v>11047</v>
      </c>
      <c r="D1777" s="16"/>
      <c r="E1777">
        <v>6</v>
      </c>
      <c r="F1777" t="s">
        <v>5318</v>
      </c>
      <c r="G1777">
        <v>1</v>
      </c>
      <c r="H1777">
        <v>0</v>
      </c>
      <c r="I1777">
        <f>1</f>
        <v>1</v>
      </c>
    </row>
    <row r="1778" spans="2:9" x14ac:dyDescent="0.25">
      <c r="B1778">
        <v>0</v>
      </c>
      <c r="C1778" s="16" t="s">
        <v>11048</v>
      </c>
      <c r="D1778" s="16"/>
      <c r="E1778">
        <v>6</v>
      </c>
      <c r="F1778" t="s">
        <v>4680</v>
      </c>
      <c r="G1778">
        <v>1</v>
      </c>
      <c r="H1778">
        <v>0</v>
      </c>
      <c r="I1778">
        <f>1</f>
        <v>1</v>
      </c>
    </row>
    <row r="1779" spans="2:9" x14ac:dyDescent="0.25">
      <c r="B1779">
        <v>0</v>
      </c>
      <c r="C1779" s="16" t="s">
        <v>11049</v>
      </c>
      <c r="D1779" s="16"/>
      <c r="E1779">
        <v>6</v>
      </c>
      <c r="F1779" t="s">
        <v>5319</v>
      </c>
      <c r="G1779">
        <v>1</v>
      </c>
      <c r="H1779">
        <v>0</v>
      </c>
      <c r="I1779">
        <f>1</f>
        <v>1</v>
      </c>
    </row>
    <row r="1780" spans="2:9" x14ac:dyDescent="0.25">
      <c r="B1780">
        <v>0</v>
      </c>
      <c r="C1780" s="16" t="s">
        <v>11050</v>
      </c>
      <c r="D1780" s="16"/>
      <c r="E1780">
        <v>6</v>
      </c>
      <c r="F1780" t="s">
        <v>5320</v>
      </c>
      <c r="G1780">
        <v>1</v>
      </c>
      <c r="H1780">
        <v>0</v>
      </c>
      <c r="I1780">
        <f>1</f>
        <v>1</v>
      </c>
    </row>
    <row r="1781" spans="2:9" x14ac:dyDescent="0.25">
      <c r="B1781">
        <v>0</v>
      </c>
      <c r="C1781" s="16" t="s">
        <v>11051</v>
      </c>
      <c r="D1781" s="16"/>
      <c r="E1781">
        <v>6</v>
      </c>
      <c r="F1781" t="s">
        <v>5321</v>
      </c>
      <c r="G1781">
        <v>1</v>
      </c>
      <c r="H1781">
        <v>0</v>
      </c>
      <c r="I1781">
        <f>1</f>
        <v>1</v>
      </c>
    </row>
    <row r="1782" spans="2:9" x14ac:dyDescent="0.25">
      <c r="B1782">
        <v>0</v>
      </c>
      <c r="C1782" s="16" t="s">
        <v>11052</v>
      </c>
      <c r="D1782" s="16"/>
      <c r="E1782">
        <v>6</v>
      </c>
      <c r="F1782" t="s">
        <v>5322</v>
      </c>
      <c r="G1782">
        <v>1</v>
      </c>
      <c r="H1782">
        <v>0</v>
      </c>
      <c r="I1782">
        <f>1</f>
        <v>1</v>
      </c>
    </row>
    <row r="1783" spans="2:9" x14ac:dyDescent="0.25">
      <c r="B1783">
        <v>0</v>
      </c>
      <c r="C1783" s="16" t="s">
        <v>11053</v>
      </c>
      <c r="D1783" s="16"/>
      <c r="E1783">
        <v>6</v>
      </c>
      <c r="F1783" t="s">
        <v>5323</v>
      </c>
      <c r="G1783">
        <v>1</v>
      </c>
      <c r="H1783">
        <v>0</v>
      </c>
      <c r="I1783">
        <f>1</f>
        <v>1</v>
      </c>
    </row>
    <row r="1784" spans="2:9" x14ac:dyDescent="0.25">
      <c r="B1784">
        <v>0</v>
      </c>
      <c r="C1784" s="16" t="s">
        <v>11054</v>
      </c>
      <c r="D1784" s="16"/>
      <c r="E1784">
        <v>6</v>
      </c>
      <c r="F1784" t="s">
        <v>5324</v>
      </c>
      <c r="G1784">
        <v>1</v>
      </c>
      <c r="H1784">
        <v>0</v>
      </c>
      <c r="I1784">
        <f>1</f>
        <v>1</v>
      </c>
    </row>
    <row r="1785" spans="2:9" x14ac:dyDescent="0.25">
      <c r="B1785">
        <v>0</v>
      </c>
      <c r="C1785" s="16" t="s">
        <v>11055</v>
      </c>
      <c r="D1785" s="16"/>
      <c r="E1785">
        <v>6</v>
      </c>
      <c r="F1785" t="s">
        <v>5316</v>
      </c>
      <c r="G1785">
        <v>1</v>
      </c>
      <c r="H1785">
        <v>0</v>
      </c>
      <c r="I1785">
        <f>1</f>
        <v>1</v>
      </c>
    </row>
    <row r="1786" spans="2:9" x14ac:dyDescent="0.25">
      <c r="B1786">
        <v>0</v>
      </c>
      <c r="C1786" s="16" t="s">
        <v>11056</v>
      </c>
      <c r="D1786" s="16"/>
      <c r="E1786">
        <v>6</v>
      </c>
      <c r="F1786" t="s">
        <v>5325</v>
      </c>
      <c r="G1786">
        <v>1</v>
      </c>
      <c r="H1786">
        <v>0</v>
      </c>
      <c r="I1786">
        <f>1</f>
        <v>1</v>
      </c>
    </row>
    <row r="1787" spans="2:9" x14ac:dyDescent="0.25">
      <c r="B1787">
        <v>0</v>
      </c>
      <c r="C1787" s="16" t="s">
        <v>11057</v>
      </c>
      <c r="D1787" s="16"/>
      <c r="E1787">
        <v>6</v>
      </c>
      <c r="F1787" t="s">
        <v>5307</v>
      </c>
      <c r="G1787">
        <v>1</v>
      </c>
      <c r="H1787">
        <v>0</v>
      </c>
      <c r="I1787">
        <f>1</f>
        <v>1</v>
      </c>
    </row>
    <row r="1788" spans="2:9" x14ac:dyDescent="0.25">
      <c r="B1788">
        <v>0</v>
      </c>
      <c r="C1788" s="16" t="s">
        <v>11058</v>
      </c>
      <c r="D1788" s="16"/>
      <c r="E1788">
        <v>6</v>
      </c>
      <c r="F1788" t="s">
        <v>5311</v>
      </c>
      <c r="G1788">
        <v>1</v>
      </c>
      <c r="H1788">
        <v>0</v>
      </c>
      <c r="I1788">
        <f>1</f>
        <v>1</v>
      </c>
    </row>
    <row r="1789" spans="2:9" x14ac:dyDescent="0.25">
      <c r="B1789">
        <v>0</v>
      </c>
      <c r="C1789" s="16" t="s">
        <v>11059</v>
      </c>
      <c r="D1789" s="16"/>
      <c r="E1789">
        <v>6</v>
      </c>
      <c r="F1789" t="s">
        <v>4680</v>
      </c>
      <c r="G1789">
        <v>1</v>
      </c>
      <c r="H1789">
        <v>0</v>
      </c>
      <c r="I1789">
        <f>1</f>
        <v>1</v>
      </c>
    </row>
    <row r="1790" spans="2:9" x14ac:dyDescent="0.25">
      <c r="B1790">
        <v>0</v>
      </c>
      <c r="C1790" s="16" t="s">
        <v>11060</v>
      </c>
      <c r="D1790" s="16"/>
      <c r="E1790">
        <v>6</v>
      </c>
      <c r="F1790" t="s">
        <v>5326</v>
      </c>
      <c r="G1790">
        <v>1</v>
      </c>
      <c r="H1790">
        <v>0</v>
      </c>
      <c r="I1790">
        <f>1</f>
        <v>1</v>
      </c>
    </row>
    <row r="1791" spans="2:9" x14ac:dyDescent="0.25">
      <c r="B1791">
        <v>0</v>
      </c>
      <c r="C1791" s="16" t="s">
        <v>11061</v>
      </c>
      <c r="D1791" s="16"/>
      <c r="E1791">
        <v>6</v>
      </c>
      <c r="F1791" t="s">
        <v>5327</v>
      </c>
      <c r="G1791">
        <v>1</v>
      </c>
      <c r="H1791">
        <v>0</v>
      </c>
      <c r="I1791">
        <f>1</f>
        <v>1</v>
      </c>
    </row>
    <row r="1792" spans="2:9" x14ac:dyDescent="0.25">
      <c r="B1792">
        <v>0</v>
      </c>
      <c r="C1792" s="16" t="s">
        <v>11062</v>
      </c>
      <c r="D1792" s="16"/>
      <c r="E1792">
        <v>6</v>
      </c>
      <c r="F1792" t="s">
        <v>4680</v>
      </c>
      <c r="G1792">
        <v>1</v>
      </c>
      <c r="H1792">
        <v>0</v>
      </c>
      <c r="I1792">
        <f>1</f>
        <v>1</v>
      </c>
    </row>
    <row r="1793" spans="2:9" x14ac:dyDescent="0.25">
      <c r="B1793">
        <v>0</v>
      </c>
      <c r="C1793" s="16" t="s">
        <v>11063</v>
      </c>
      <c r="D1793" s="16"/>
      <c r="E1793">
        <v>6</v>
      </c>
      <c r="F1793" t="s">
        <v>5328</v>
      </c>
      <c r="G1793">
        <v>1</v>
      </c>
      <c r="H1793">
        <v>0</v>
      </c>
      <c r="I1793">
        <f>1</f>
        <v>1</v>
      </c>
    </row>
    <row r="1794" spans="2:9" x14ac:dyDescent="0.25">
      <c r="B1794">
        <v>0</v>
      </c>
      <c r="C1794" s="16" t="s">
        <v>11064</v>
      </c>
      <c r="D1794" s="16"/>
      <c r="E1794">
        <v>6</v>
      </c>
      <c r="F1794" t="s">
        <v>4680</v>
      </c>
      <c r="G1794">
        <v>1</v>
      </c>
      <c r="H1794">
        <v>0</v>
      </c>
      <c r="I1794">
        <f>1</f>
        <v>1</v>
      </c>
    </row>
    <row r="1795" spans="2:9" x14ac:dyDescent="0.25">
      <c r="B1795">
        <v>0</v>
      </c>
      <c r="C1795" s="16" t="s">
        <v>11065</v>
      </c>
      <c r="D1795" s="16"/>
      <c r="E1795">
        <v>6</v>
      </c>
      <c r="F1795" t="s">
        <v>5329</v>
      </c>
      <c r="G1795">
        <v>1</v>
      </c>
      <c r="H1795">
        <v>0</v>
      </c>
      <c r="I1795">
        <f>1</f>
        <v>1</v>
      </c>
    </row>
    <row r="1796" spans="2:9" x14ac:dyDescent="0.25">
      <c r="B1796">
        <v>0</v>
      </c>
      <c r="C1796" s="16" t="s">
        <v>11066</v>
      </c>
      <c r="D1796" s="16"/>
      <c r="E1796">
        <v>6</v>
      </c>
      <c r="F1796" t="s">
        <v>4680</v>
      </c>
      <c r="G1796">
        <v>1</v>
      </c>
      <c r="H1796">
        <v>0</v>
      </c>
      <c r="I1796">
        <f>1</f>
        <v>1</v>
      </c>
    </row>
    <row r="1797" spans="2:9" x14ac:dyDescent="0.25">
      <c r="B1797">
        <v>0</v>
      </c>
      <c r="C1797" s="16" t="s">
        <v>11067</v>
      </c>
      <c r="D1797" s="16"/>
      <c r="E1797">
        <v>6</v>
      </c>
      <c r="F1797" t="s">
        <v>5321</v>
      </c>
      <c r="G1797">
        <v>1</v>
      </c>
      <c r="H1797">
        <v>0</v>
      </c>
      <c r="I1797">
        <f>1</f>
        <v>1</v>
      </c>
    </row>
    <row r="1798" spans="2:9" x14ac:dyDescent="0.25">
      <c r="B1798">
        <v>0</v>
      </c>
      <c r="C1798" s="16" t="s">
        <v>11068</v>
      </c>
      <c r="D1798" s="16"/>
      <c r="E1798">
        <v>6</v>
      </c>
      <c r="F1798" t="s">
        <v>4680</v>
      </c>
      <c r="G1798">
        <v>1</v>
      </c>
      <c r="H1798">
        <v>0</v>
      </c>
      <c r="I1798">
        <f>1</f>
        <v>1</v>
      </c>
    </row>
    <row r="1799" spans="2:9" x14ac:dyDescent="0.25">
      <c r="B1799">
        <v>0</v>
      </c>
      <c r="C1799" s="16" t="s">
        <v>11069</v>
      </c>
      <c r="D1799" s="16"/>
      <c r="E1799">
        <v>6</v>
      </c>
      <c r="F1799" t="e">
        <f>-outros sulfitos</f>
        <v>#NAME?</v>
      </c>
      <c r="G1799">
        <v>1</v>
      </c>
      <c r="H1799">
        <v>0</v>
      </c>
      <c r="I1799">
        <f>1</f>
        <v>1</v>
      </c>
    </row>
    <row r="1800" spans="2:9" x14ac:dyDescent="0.25">
      <c r="B1800">
        <v>0</v>
      </c>
      <c r="C1800" s="16" t="s">
        <v>11070</v>
      </c>
      <c r="D1800" s="16"/>
      <c r="E1800">
        <v>6</v>
      </c>
      <c r="F1800" t="s">
        <v>5330</v>
      </c>
      <c r="G1800">
        <v>1</v>
      </c>
      <c r="H1800">
        <v>0</v>
      </c>
      <c r="I1800">
        <f>1</f>
        <v>1</v>
      </c>
    </row>
    <row r="1801" spans="2:9" x14ac:dyDescent="0.25">
      <c r="B1801">
        <v>0</v>
      </c>
      <c r="C1801" s="16" t="s">
        <v>11071</v>
      </c>
      <c r="D1801" s="16"/>
      <c r="E1801">
        <v>6</v>
      </c>
      <c r="F1801" t="s">
        <v>5315</v>
      </c>
      <c r="G1801">
        <v>1</v>
      </c>
      <c r="H1801">
        <v>0</v>
      </c>
      <c r="I1801">
        <f>1</f>
        <v>1</v>
      </c>
    </row>
    <row r="1802" spans="2:9" x14ac:dyDescent="0.25">
      <c r="B1802">
        <v>0</v>
      </c>
      <c r="C1802" s="16" t="s">
        <v>11072</v>
      </c>
      <c r="D1802" s="16"/>
      <c r="E1802">
        <v>6</v>
      </c>
      <c r="F1802" t="s">
        <v>4680</v>
      </c>
      <c r="G1802">
        <v>1</v>
      </c>
      <c r="H1802">
        <v>0</v>
      </c>
      <c r="I1802">
        <f>1</f>
        <v>1</v>
      </c>
    </row>
    <row r="1803" spans="2:9" x14ac:dyDescent="0.25">
      <c r="B1803">
        <v>0</v>
      </c>
      <c r="C1803" s="16" t="s">
        <v>11073</v>
      </c>
      <c r="D1803" s="16"/>
      <c r="E1803">
        <v>6</v>
      </c>
      <c r="F1803" t="s">
        <v>5331</v>
      </c>
      <c r="G1803">
        <v>1</v>
      </c>
      <c r="H1803">
        <v>0</v>
      </c>
      <c r="I1803">
        <f>1</f>
        <v>1</v>
      </c>
    </row>
    <row r="1804" spans="2:9" x14ac:dyDescent="0.25">
      <c r="B1804">
        <v>0</v>
      </c>
      <c r="C1804" s="16" t="s">
        <v>11074</v>
      </c>
      <c r="D1804" s="16"/>
      <c r="E1804">
        <v>6</v>
      </c>
      <c r="F1804" t="s">
        <v>4680</v>
      </c>
      <c r="G1804">
        <v>1</v>
      </c>
      <c r="H1804">
        <v>0</v>
      </c>
      <c r="I1804">
        <f>1</f>
        <v>1</v>
      </c>
    </row>
    <row r="1805" spans="2:9" x14ac:dyDescent="0.25">
      <c r="B1805">
        <v>0</v>
      </c>
      <c r="C1805" s="16" t="s">
        <v>11075</v>
      </c>
      <c r="D1805" s="16"/>
      <c r="E1805">
        <v>6</v>
      </c>
      <c r="F1805" t="e">
        <f>--outros</f>
        <v>#NAME?</v>
      </c>
      <c r="G1805">
        <v>1</v>
      </c>
      <c r="H1805">
        <v>0</v>
      </c>
      <c r="I1805">
        <f>1</f>
        <v>1</v>
      </c>
    </row>
    <row r="1806" spans="2:9" x14ac:dyDescent="0.25">
      <c r="B1806">
        <v>0</v>
      </c>
      <c r="C1806" s="16" t="s">
        <v>11076</v>
      </c>
      <c r="D1806" s="16"/>
      <c r="E1806">
        <v>6</v>
      </c>
      <c r="F1806" t="e">
        <f>--De magnésio</f>
        <v>#NAME?</v>
      </c>
      <c r="G1806">
        <v>1</v>
      </c>
      <c r="H1806">
        <v>0</v>
      </c>
      <c r="I1806">
        <f>1</f>
        <v>1</v>
      </c>
    </row>
    <row r="1807" spans="2:9" x14ac:dyDescent="0.25">
      <c r="B1807">
        <v>0</v>
      </c>
      <c r="C1807" s="16" t="s">
        <v>11077</v>
      </c>
      <c r="D1807" s="16"/>
      <c r="E1807">
        <v>6</v>
      </c>
      <c r="F1807" t="e">
        <f>--De alumínio</f>
        <v>#NAME?</v>
      </c>
      <c r="G1807">
        <v>1</v>
      </c>
      <c r="H1807">
        <v>0</v>
      </c>
      <c r="I1807">
        <f>1</f>
        <v>1</v>
      </c>
    </row>
    <row r="1808" spans="2:9" x14ac:dyDescent="0.25">
      <c r="B1808">
        <v>0</v>
      </c>
      <c r="C1808" s="16" t="s">
        <v>11078</v>
      </c>
      <c r="D1808" s="16"/>
      <c r="E1808">
        <v>6</v>
      </c>
      <c r="F1808" t="e">
        <f>--De níquel</f>
        <v>#NAME?</v>
      </c>
      <c r="G1808">
        <v>1</v>
      </c>
      <c r="H1808">
        <v>0</v>
      </c>
      <c r="I1808">
        <f>1</f>
        <v>1</v>
      </c>
    </row>
    <row r="1809" spans="2:9" x14ac:dyDescent="0.25">
      <c r="B1809">
        <v>0</v>
      </c>
      <c r="C1809" s="16" t="s">
        <v>11079</v>
      </c>
      <c r="D1809" s="16"/>
      <c r="E1809">
        <v>6</v>
      </c>
      <c r="F1809" t="s">
        <v>5332</v>
      </c>
      <c r="G1809">
        <v>1</v>
      </c>
      <c r="H1809">
        <v>0</v>
      </c>
      <c r="I1809">
        <f>1</f>
        <v>1</v>
      </c>
    </row>
    <row r="1810" spans="2:9" x14ac:dyDescent="0.25">
      <c r="B1810">
        <v>0</v>
      </c>
      <c r="C1810" s="16" t="s">
        <v>11080</v>
      </c>
      <c r="D1810" s="16"/>
      <c r="E1810">
        <v>6</v>
      </c>
      <c r="F1810" t="s">
        <v>5333</v>
      </c>
      <c r="G1810">
        <v>1</v>
      </c>
      <c r="H1810">
        <v>0</v>
      </c>
      <c r="I1810">
        <f>1</f>
        <v>1</v>
      </c>
    </row>
    <row r="1811" spans="2:9" x14ac:dyDescent="0.25">
      <c r="B1811">
        <v>0</v>
      </c>
      <c r="C1811" s="16" t="s">
        <v>11081</v>
      </c>
      <c r="D1811" s="16"/>
      <c r="E1811">
        <v>6</v>
      </c>
      <c r="F1811" t="s">
        <v>5334</v>
      </c>
      <c r="G1811">
        <v>1</v>
      </c>
      <c r="H1811">
        <v>0</v>
      </c>
      <c r="I1811">
        <f>1</f>
        <v>1</v>
      </c>
    </row>
    <row r="1812" spans="2:9" x14ac:dyDescent="0.25">
      <c r="B1812">
        <v>0</v>
      </c>
      <c r="C1812" s="16" t="s">
        <v>11082</v>
      </c>
      <c r="D1812" s="16"/>
      <c r="E1812">
        <v>6</v>
      </c>
      <c r="F1812" t="s">
        <v>4680</v>
      </c>
      <c r="G1812">
        <v>1</v>
      </c>
      <c r="H1812">
        <v>0</v>
      </c>
      <c r="I1812">
        <f>1</f>
        <v>1</v>
      </c>
    </row>
    <row r="1813" spans="2:9" x14ac:dyDescent="0.25">
      <c r="B1813">
        <v>0</v>
      </c>
      <c r="C1813" s="16" t="s">
        <v>11083</v>
      </c>
      <c r="D1813" s="16"/>
      <c r="E1813">
        <v>6</v>
      </c>
      <c r="F1813" t="s">
        <v>5301</v>
      </c>
      <c r="G1813">
        <v>1</v>
      </c>
      <c r="H1813">
        <v>0</v>
      </c>
      <c r="I1813">
        <f>1</f>
        <v>1</v>
      </c>
    </row>
    <row r="1814" spans="2:9" x14ac:dyDescent="0.25">
      <c r="B1814">
        <v>0</v>
      </c>
      <c r="C1814" s="16" t="s">
        <v>11084</v>
      </c>
      <c r="D1814" s="16"/>
      <c r="E1814">
        <v>6</v>
      </c>
      <c r="F1814" t="s">
        <v>5302</v>
      </c>
      <c r="G1814">
        <v>1</v>
      </c>
      <c r="H1814">
        <v>0</v>
      </c>
      <c r="I1814">
        <f>1</f>
        <v>1</v>
      </c>
    </row>
    <row r="1815" spans="2:9" x14ac:dyDescent="0.25">
      <c r="B1815">
        <v>0</v>
      </c>
      <c r="C1815" s="16" t="s">
        <v>11085</v>
      </c>
      <c r="D1815" s="16"/>
      <c r="E1815">
        <v>6</v>
      </c>
      <c r="F1815" t="s">
        <v>5307</v>
      </c>
      <c r="G1815">
        <v>1</v>
      </c>
      <c r="H1815">
        <v>0</v>
      </c>
      <c r="I1815">
        <f>1</f>
        <v>1</v>
      </c>
    </row>
    <row r="1816" spans="2:9" x14ac:dyDescent="0.25">
      <c r="B1816">
        <v>0</v>
      </c>
      <c r="C1816" s="16" t="s">
        <v>11086</v>
      </c>
      <c r="D1816" s="16"/>
      <c r="E1816">
        <v>6</v>
      </c>
      <c r="F1816" t="s">
        <v>5335</v>
      </c>
      <c r="G1816">
        <v>1</v>
      </c>
      <c r="H1816">
        <v>0</v>
      </c>
      <c r="I1816">
        <f>1</f>
        <v>1</v>
      </c>
    </row>
    <row r="1817" spans="2:9" x14ac:dyDescent="0.25">
      <c r="B1817">
        <v>0</v>
      </c>
      <c r="C1817" s="16" t="s">
        <v>11087</v>
      </c>
      <c r="D1817" s="16"/>
      <c r="E1817">
        <v>6</v>
      </c>
      <c r="F1817" t="s">
        <v>5336</v>
      </c>
      <c r="G1817">
        <v>1</v>
      </c>
      <c r="H1817">
        <v>0</v>
      </c>
      <c r="I1817">
        <f>1</f>
        <v>1</v>
      </c>
    </row>
    <row r="1818" spans="2:9" x14ac:dyDescent="0.25">
      <c r="B1818">
        <v>0</v>
      </c>
      <c r="C1818" s="16" t="s">
        <v>11088</v>
      </c>
      <c r="D1818" s="16"/>
      <c r="E1818">
        <v>6</v>
      </c>
      <c r="F1818" t="s">
        <v>5306</v>
      </c>
      <c r="G1818">
        <v>1</v>
      </c>
      <c r="H1818">
        <v>0</v>
      </c>
      <c r="I1818">
        <f>1</f>
        <v>1</v>
      </c>
    </row>
    <row r="1819" spans="2:9" x14ac:dyDescent="0.25">
      <c r="B1819">
        <v>0</v>
      </c>
      <c r="C1819" s="16" t="s">
        <v>11089</v>
      </c>
      <c r="D1819" s="16"/>
      <c r="E1819">
        <v>6</v>
      </c>
      <c r="F1819" t="s">
        <v>5311</v>
      </c>
      <c r="G1819">
        <v>1</v>
      </c>
      <c r="H1819">
        <v>0</v>
      </c>
      <c r="I1819">
        <f>1</f>
        <v>1</v>
      </c>
    </row>
    <row r="1820" spans="2:9" x14ac:dyDescent="0.25">
      <c r="B1820">
        <v>0</v>
      </c>
      <c r="C1820" s="16" t="s">
        <v>11090</v>
      </c>
      <c r="D1820" s="16"/>
      <c r="E1820">
        <v>6</v>
      </c>
      <c r="F1820" t="s">
        <v>4680</v>
      </c>
      <c r="G1820">
        <v>1</v>
      </c>
      <c r="H1820">
        <v>0</v>
      </c>
      <c r="I1820">
        <f>1</f>
        <v>1</v>
      </c>
    </row>
    <row r="1821" spans="2:9" x14ac:dyDescent="0.25">
      <c r="B1821">
        <v>0</v>
      </c>
      <c r="C1821" s="16" t="s">
        <v>11091</v>
      </c>
      <c r="D1821" s="16"/>
      <c r="E1821">
        <v>6</v>
      </c>
      <c r="F1821" t="e">
        <f>-Alumes</f>
        <v>#NAME?</v>
      </c>
      <c r="G1821">
        <v>1</v>
      </c>
      <c r="H1821">
        <v>0</v>
      </c>
      <c r="I1821">
        <f>1</f>
        <v>1</v>
      </c>
    </row>
    <row r="1822" spans="2:9" x14ac:dyDescent="0.25">
      <c r="B1822">
        <v>0</v>
      </c>
      <c r="C1822" s="16" t="s">
        <v>11092</v>
      </c>
      <c r="D1822" s="16"/>
      <c r="E1822">
        <v>6</v>
      </c>
      <c r="F1822" t="s">
        <v>5315</v>
      </c>
      <c r="G1822">
        <v>1</v>
      </c>
      <c r="H1822">
        <v>0</v>
      </c>
      <c r="I1822">
        <f>1</f>
        <v>1</v>
      </c>
    </row>
    <row r="1823" spans="2:9" x14ac:dyDescent="0.25">
      <c r="B1823">
        <v>0</v>
      </c>
      <c r="C1823" s="16" t="s">
        <v>11093</v>
      </c>
      <c r="D1823" s="16"/>
      <c r="E1823">
        <v>6</v>
      </c>
      <c r="F1823" t="s">
        <v>5330</v>
      </c>
      <c r="G1823">
        <v>1</v>
      </c>
      <c r="H1823">
        <v>0</v>
      </c>
      <c r="I1823">
        <f>1</f>
        <v>1</v>
      </c>
    </row>
    <row r="1824" spans="2:9" x14ac:dyDescent="0.25">
      <c r="B1824">
        <v>0</v>
      </c>
      <c r="C1824" s="16" t="s">
        <v>11094</v>
      </c>
      <c r="D1824" s="16"/>
      <c r="E1824">
        <v>6</v>
      </c>
      <c r="F1824" t="s">
        <v>4680</v>
      </c>
      <c r="G1824">
        <v>1</v>
      </c>
      <c r="H1824">
        <v>0</v>
      </c>
      <c r="I1824">
        <f>1</f>
        <v>1</v>
      </c>
    </row>
    <row r="1825" spans="2:9" x14ac:dyDescent="0.25">
      <c r="B1825">
        <v>0</v>
      </c>
      <c r="C1825" s="16" t="s">
        <v>11095</v>
      </c>
      <c r="D1825" s="16"/>
      <c r="E1825">
        <v>6</v>
      </c>
      <c r="F1825" t="s">
        <v>5315</v>
      </c>
      <c r="G1825">
        <v>1</v>
      </c>
      <c r="H1825">
        <v>0</v>
      </c>
      <c r="I1825">
        <f>1</f>
        <v>1</v>
      </c>
    </row>
    <row r="1826" spans="2:9" x14ac:dyDescent="0.25">
      <c r="B1826">
        <v>0</v>
      </c>
      <c r="C1826" s="16" t="s">
        <v>11096</v>
      </c>
      <c r="D1826" s="16"/>
      <c r="E1826">
        <v>6</v>
      </c>
      <c r="F1826" t="s">
        <v>4680</v>
      </c>
      <c r="G1826">
        <v>1</v>
      </c>
      <c r="H1826">
        <v>0</v>
      </c>
      <c r="I1826">
        <f>1</f>
        <v>1</v>
      </c>
    </row>
    <row r="1827" spans="2:9" x14ac:dyDescent="0.25">
      <c r="B1827">
        <v>0</v>
      </c>
      <c r="C1827" s="16" t="s">
        <v>11097</v>
      </c>
      <c r="D1827" s="16"/>
      <c r="E1827">
        <v>6</v>
      </c>
      <c r="F1827" t="s">
        <v>5337</v>
      </c>
      <c r="G1827">
        <v>1</v>
      </c>
      <c r="H1827">
        <v>0</v>
      </c>
      <c r="I1827">
        <f>1</f>
        <v>1</v>
      </c>
    </row>
    <row r="1828" spans="2:9" x14ac:dyDescent="0.25">
      <c r="B1828">
        <v>0</v>
      </c>
      <c r="C1828" s="16" t="s">
        <v>11098</v>
      </c>
      <c r="D1828" s="16"/>
      <c r="E1828">
        <v>6</v>
      </c>
      <c r="F1828" t="s">
        <v>4680</v>
      </c>
      <c r="G1828">
        <v>1</v>
      </c>
      <c r="H1828">
        <v>0</v>
      </c>
      <c r="I1828">
        <f>1</f>
        <v>1</v>
      </c>
    </row>
    <row r="1829" spans="2:9" x14ac:dyDescent="0.25">
      <c r="B1829">
        <v>0</v>
      </c>
      <c r="C1829" s="16" t="s">
        <v>11099</v>
      </c>
      <c r="D1829" s="16"/>
      <c r="E1829">
        <v>6</v>
      </c>
      <c r="F1829" t="s">
        <v>5338</v>
      </c>
      <c r="G1829">
        <v>1</v>
      </c>
      <c r="H1829">
        <v>0</v>
      </c>
      <c r="I1829">
        <f>1</f>
        <v>1</v>
      </c>
    </row>
    <row r="1830" spans="2:9" x14ac:dyDescent="0.25">
      <c r="B1830">
        <v>0</v>
      </c>
      <c r="C1830" s="16" t="s">
        <v>11100</v>
      </c>
      <c r="D1830" s="16"/>
      <c r="E1830">
        <v>6</v>
      </c>
      <c r="F1830" t="s">
        <v>5314</v>
      </c>
      <c r="G1830">
        <v>1</v>
      </c>
      <c r="H1830">
        <v>0</v>
      </c>
      <c r="I1830">
        <f>1</f>
        <v>1</v>
      </c>
    </row>
    <row r="1831" spans="2:9" x14ac:dyDescent="0.25">
      <c r="B1831">
        <v>0</v>
      </c>
      <c r="C1831" s="16" t="s">
        <v>11101</v>
      </c>
      <c r="D1831" s="16"/>
      <c r="E1831">
        <v>6</v>
      </c>
      <c r="F1831" t="s">
        <v>5302</v>
      </c>
      <c r="G1831">
        <v>1</v>
      </c>
      <c r="H1831">
        <v>0</v>
      </c>
      <c r="I1831">
        <f>1</f>
        <v>1</v>
      </c>
    </row>
    <row r="1832" spans="2:9" x14ac:dyDescent="0.25">
      <c r="B1832">
        <v>0</v>
      </c>
      <c r="C1832" s="16" t="s">
        <v>11102</v>
      </c>
      <c r="D1832" s="16"/>
      <c r="E1832">
        <v>6</v>
      </c>
      <c r="F1832" t="s">
        <v>4680</v>
      </c>
      <c r="G1832">
        <v>1</v>
      </c>
      <c r="H1832">
        <v>0</v>
      </c>
      <c r="I1832">
        <f>1</f>
        <v>1</v>
      </c>
    </row>
    <row r="1833" spans="2:9" x14ac:dyDescent="0.25">
      <c r="B1833">
        <v>0</v>
      </c>
      <c r="C1833" s="16" t="s">
        <v>11103</v>
      </c>
      <c r="D1833" s="16"/>
      <c r="E1833">
        <v>6</v>
      </c>
      <c r="F1833" t="s">
        <v>5315</v>
      </c>
      <c r="G1833">
        <v>1</v>
      </c>
      <c r="H1833">
        <v>0</v>
      </c>
      <c r="I1833">
        <f>1</f>
        <v>1</v>
      </c>
    </row>
    <row r="1834" spans="2:9" x14ac:dyDescent="0.25">
      <c r="B1834">
        <v>0</v>
      </c>
      <c r="C1834" s="16" t="s">
        <v>11104</v>
      </c>
      <c r="D1834" s="16"/>
      <c r="E1834">
        <v>6</v>
      </c>
      <c r="F1834" t="s">
        <v>4680</v>
      </c>
      <c r="G1834">
        <v>1</v>
      </c>
      <c r="H1834">
        <v>0</v>
      </c>
      <c r="I1834">
        <f>1</f>
        <v>1</v>
      </c>
    </row>
    <row r="1835" spans="2:9" x14ac:dyDescent="0.25">
      <c r="B1835">
        <v>0</v>
      </c>
      <c r="C1835" s="16" t="s">
        <v>11105</v>
      </c>
      <c r="D1835" s="16"/>
      <c r="E1835">
        <v>6</v>
      </c>
      <c r="F1835" t="s">
        <v>5339</v>
      </c>
      <c r="G1835">
        <v>1</v>
      </c>
      <c r="H1835">
        <v>0</v>
      </c>
      <c r="I1835">
        <f>1</f>
        <v>1</v>
      </c>
    </row>
    <row r="1836" spans="2:9" x14ac:dyDescent="0.25">
      <c r="B1836">
        <v>0</v>
      </c>
      <c r="C1836" s="16" t="s">
        <v>11106</v>
      </c>
      <c r="D1836" s="16"/>
      <c r="E1836">
        <v>6</v>
      </c>
      <c r="F1836" t="s">
        <v>4680</v>
      </c>
      <c r="G1836">
        <v>1</v>
      </c>
      <c r="H1836">
        <v>0</v>
      </c>
      <c r="I1836">
        <f>1</f>
        <v>1</v>
      </c>
    </row>
    <row r="1837" spans="2:9" x14ac:dyDescent="0.25">
      <c r="B1837">
        <v>0</v>
      </c>
      <c r="C1837" s="16" t="s">
        <v>11107</v>
      </c>
      <c r="D1837" s="16"/>
      <c r="E1837">
        <v>6</v>
      </c>
      <c r="F1837" t="e">
        <f>--Mono ou dissódico</f>
        <v>#NAME?</v>
      </c>
      <c r="G1837">
        <v>1</v>
      </c>
      <c r="H1837">
        <v>0</v>
      </c>
      <c r="I1837">
        <f>1</f>
        <v>1</v>
      </c>
    </row>
    <row r="1838" spans="2:9" x14ac:dyDescent="0.25">
      <c r="B1838">
        <v>0</v>
      </c>
      <c r="C1838" s="16" t="s">
        <v>11108</v>
      </c>
      <c r="D1838" s="16"/>
      <c r="E1838">
        <v>6</v>
      </c>
      <c r="F1838" t="e">
        <f>--De potássio</f>
        <v>#NAME?</v>
      </c>
      <c r="G1838">
        <v>1</v>
      </c>
      <c r="H1838">
        <v>0</v>
      </c>
      <c r="I1838">
        <f>1</f>
        <v>1</v>
      </c>
    </row>
    <row r="1839" spans="2:9" x14ac:dyDescent="0.25">
      <c r="B1839">
        <v>0</v>
      </c>
      <c r="C1839" s="16" t="s">
        <v>11109</v>
      </c>
      <c r="D1839" s="16"/>
      <c r="E1839">
        <v>6</v>
      </c>
      <c r="F1839" t="e">
        <f>--Hidrogeno-ortofosfato De Cálcio  fosfato dicálcico</f>
        <v>#NAME?</v>
      </c>
      <c r="G1839">
        <v>1</v>
      </c>
      <c r="H1839">
        <v>0</v>
      </c>
      <c r="I1839">
        <f>1</f>
        <v>1</v>
      </c>
    </row>
    <row r="1840" spans="2:9" x14ac:dyDescent="0.25">
      <c r="B1840">
        <v>0</v>
      </c>
      <c r="C1840" s="16" t="s">
        <v>11110</v>
      </c>
      <c r="D1840" s="16"/>
      <c r="E1840">
        <v>6</v>
      </c>
      <c r="F1840" t="e">
        <f>--outros fosfatos De Cálcio</f>
        <v>#NAME?</v>
      </c>
      <c r="G1840">
        <v>1</v>
      </c>
      <c r="H1840">
        <v>0</v>
      </c>
      <c r="I1840">
        <f>1</f>
        <v>1</v>
      </c>
    </row>
    <row r="1841" spans="2:9" x14ac:dyDescent="0.25">
      <c r="B1841">
        <v>0</v>
      </c>
      <c r="C1841" s="16" t="s">
        <v>11111</v>
      </c>
      <c r="D1841" s="16"/>
      <c r="E1841">
        <v>6</v>
      </c>
      <c r="F1841" t="s">
        <v>5309</v>
      </c>
      <c r="G1841">
        <v>1</v>
      </c>
      <c r="H1841">
        <v>0</v>
      </c>
      <c r="I1841">
        <f>1</f>
        <v>1</v>
      </c>
    </row>
    <row r="1842" spans="2:9" x14ac:dyDescent="0.25">
      <c r="B1842">
        <v>0</v>
      </c>
      <c r="C1842" s="16" t="s">
        <v>11112</v>
      </c>
      <c r="D1842" s="16"/>
      <c r="E1842">
        <v>6</v>
      </c>
      <c r="F1842" t="s">
        <v>5310</v>
      </c>
      <c r="G1842">
        <v>1</v>
      </c>
      <c r="H1842">
        <v>0</v>
      </c>
      <c r="I1842">
        <f>1</f>
        <v>1</v>
      </c>
    </row>
    <row r="1843" spans="2:9" x14ac:dyDescent="0.25">
      <c r="B1843">
        <v>0</v>
      </c>
      <c r="C1843" s="16" t="s">
        <v>11113</v>
      </c>
      <c r="D1843" s="16"/>
      <c r="E1843">
        <v>6</v>
      </c>
      <c r="F1843" t="s">
        <v>5340</v>
      </c>
      <c r="G1843">
        <v>1</v>
      </c>
      <c r="H1843">
        <v>0</v>
      </c>
      <c r="I1843">
        <f>1</f>
        <v>1</v>
      </c>
    </row>
    <row r="1844" spans="2:9" x14ac:dyDescent="0.25">
      <c r="B1844">
        <v>0</v>
      </c>
      <c r="C1844" s="16" t="s">
        <v>11114</v>
      </c>
      <c r="D1844" s="16"/>
      <c r="E1844">
        <v>6</v>
      </c>
      <c r="F1844" t="s">
        <v>5306</v>
      </c>
      <c r="G1844">
        <v>1</v>
      </c>
      <c r="H1844">
        <v>0</v>
      </c>
      <c r="I1844">
        <f>1</f>
        <v>1</v>
      </c>
    </row>
    <row r="1845" spans="2:9" x14ac:dyDescent="0.25">
      <c r="B1845">
        <v>0</v>
      </c>
      <c r="C1845" s="16" t="s">
        <v>11115</v>
      </c>
      <c r="D1845" s="16"/>
      <c r="E1845">
        <v>6</v>
      </c>
      <c r="F1845" t="s">
        <v>5307</v>
      </c>
      <c r="G1845">
        <v>1</v>
      </c>
      <c r="H1845">
        <v>0</v>
      </c>
      <c r="I1845">
        <f>1</f>
        <v>1</v>
      </c>
    </row>
    <row r="1846" spans="2:9" x14ac:dyDescent="0.25">
      <c r="B1846">
        <v>0</v>
      </c>
      <c r="C1846" s="16" t="s">
        <v>11116</v>
      </c>
      <c r="D1846" s="16"/>
      <c r="E1846">
        <v>6</v>
      </c>
      <c r="F1846" t="s">
        <v>5308</v>
      </c>
      <c r="G1846">
        <v>1</v>
      </c>
      <c r="H1846">
        <v>0</v>
      </c>
      <c r="I1846">
        <f>1</f>
        <v>1</v>
      </c>
    </row>
    <row r="1847" spans="2:9" x14ac:dyDescent="0.25">
      <c r="B1847">
        <v>0</v>
      </c>
      <c r="C1847" s="16" t="s">
        <v>11117</v>
      </c>
      <c r="D1847" s="16"/>
      <c r="E1847">
        <v>6</v>
      </c>
      <c r="F1847" t="s">
        <v>5341</v>
      </c>
      <c r="G1847">
        <v>1</v>
      </c>
      <c r="H1847">
        <v>0</v>
      </c>
      <c r="I1847">
        <f>1</f>
        <v>1</v>
      </c>
    </row>
    <row r="1848" spans="2:9" x14ac:dyDescent="0.25">
      <c r="B1848">
        <v>0</v>
      </c>
      <c r="C1848" s="16" t="s">
        <v>11118</v>
      </c>
      <c r="D1848" s="16"/>
      <c r="E1848">
        <v>6</v>
      </c>
      <c r="F1848" t="s">
        <v>5342</v>
      </c>
      <c r="G1848">
        <v>1</v>
      </c>
      <c r="H1848">
        <v>0</v>
      </c>
      <c r="I1848">
        <f>1</f>
        <v>1</v>
      </c>
    </row>
    <row r="1849" spans="2:9" x14ac:dyDescent="0.25">
      <c r="B1849">
        <v>0</v>
      </c>
      <c r="C1849" s="16" t="s">
        <v>11119</v>
      </c>
      <c r="D1849" s="16"/>
      <c r="E1849">
        <v>6</v>
      </c>
      <c r="F1849" t="s">
        <v>4680</v>
      </c>
      <c r="G1849">
        <v>1</v>
      </c>
      <c r="H1849">
        <v>0</v>
      </c>
      <c r="I1849">
        <f>1</f>
        <v>1</v>
      </c>
    </row>
    <row r="1850" spans="2:9" x14ac:dyDescent="0.25">
      <c r="B1850">
        <v>0</v>
      </c>
      <c r="C1850" s="16" t="s">
        <v>11120</v>
      </c>
      <c r="D1850" s="16"/>
      <c r="E1850">
        <v>6</v>
      </c>
      <c r="F1850" t="s">
        <v>5343</v>
      </c>
      <c r="G1850">
        <v>1</v>
      </c>
      <c r="H1850">
        <v>0</v>
      </c>
      <c r="I1850">
        <f>1</f>
        <v>1</v>
      </c>
    </row>
    <row r="1851" spans="2:9" x14ac:dyDescent="0.25">
      <c r="B1851">
        <v>0</v>
      </c>
      <c r="C1851" s="16" t="s">
        <v>11121</v>
      </c>
      <c r="D1851" s="16"/>
      <c r="E1851">
        <v>6</v>
      </c>
      <c r="F1851" t="s">
        <v>4680</v>
      </c>
      <c r="G1851">
        <v>1</v>
      </c>
      <c r="H1851">
        <v>0</v>
      </c>
      <c r="I1851">
        <f>1</f>
        <v>1</v>
      </c>
    </row>
    <row r="1852" spans="2:9" x14ac:dyDescent="0.25">
      <c r="B1852">
        <v>0</v>
      </c>
      <c r="C1852" s="16" t="s">
        <v>11122</v>
      </c>
      <c r="D1852" s="16"/>
      <c r="E1852">
        <v>6</v>
      </c>
      <c r="F1852" t="s">
        <v>5344</v>
      </c>
      <c r="G1852">
        <v>1</v>
      </c>
      <c r="H1852">
        <v>0</v>
      </c>
      <c r="I1852">
        <f>1</f>
        <v>1</v>
      </c>
    </row>
    <row r="1853" spans="2:9" x14ac:dyDescent="0.25">
      <c r="B1853">
        <v>0</v>
      </c>
      <c r="C1853" s="16" t="s">
        <v>11123</v>
      </c>
      <c r="D1853" s="16"/>
      <c r="E1853">
        <v>6</v>
      </c>
      <c r="F1853" t="s">
        <v>5345</v>
      </c>
      <c r="G1853">
        <v>1</v>
      </c>
      <c r="H1853">
        <v>0</v>
      </c>
      <c r="I1853">
        <f>1</f>
        <v>1</v>
      </c>
    </row>
    <row r="1854" spans="2:9" x14ac:dyDescent="0.25">
      <c r="B1854">
        <v>0</v>
      </c>
      <c r="C1854" s="16" t="s">
        <v>11124</v>
      </c>
      <c r="D1854" s="16"/>
      <c r="E1854">
        <v>6</v>
      </c>
      <c r="F1854" t="s">
        <v>5346</v>
      </c>
      <c r="G1854">
        <v>1</v>
      </c>
      <c r="H1854">
        <v>0</v>
      </c>
      <c r="I1854">
        <f>1</f>
        <v>1</v>
      </c>
    </row>
    <row r="1855" spans="2:9" x14ac:dyDescent="0.25">
      <c r="B1855">
        <v>0</v>
      </c>
      <c r="C1855" s="16" t="s">
        <v>11125</v>
      </c>
      <c r="D1855" s="16"/>
      <c r="E1855">
        <v>6</v>
      </c>
      <c r="F1855" t="s">
        <v>4680</v>
      </c>
      <c r="G1855">
        <v>1</v>
      </c>
      <c r="H1855">
        <v>0</v>
      </c>
      <c r="I1855">
        <f>1</f>
        <v>1</v>
      </c>
    </row>
    <row r="1856" spans="2:9" x14ac:dyDescent="0.25">
      <c r="B1856">
        <v>0</v>
      </c>
      <c r="C1856" s="16" t="s">
        <v>11126</v>
      </c>
      <c r="D1856" s="16"/>
      <c r="E1856">
        <v>6</v>
      </c>
      <c r="F1856" t="s">
        <v>5331</v>
      </c>
      <c r="G1856">
        <v>1</v>
      </c>
      <c r="H1856">
        <v>0</v>
      </c>
      <c r="I1856">
        <f>1</f>
        <v>1</v>
      </c>
    </row>
    <row r="1857" spans="2:9" x14ac:dyDescent="0.25">
      <c r="B1857">
        <v>0</v>
      </c>
      <c r="C1857" s="16" t="s">
        <v>11127</v>
      </c>
      <c r="D1857" s="16"/>
      <c r="E1857">
        <v>6</v>
      </c>
      <c r="F1857" t="s">
        <v>4680</v>
      </c>
      <c r="G1857">
        <v>1</v>
      </c>
      <c r="H1857">
        <v>0</v>
      </c>
      <c r="I1857">
        <f>1</f>
        <v>1</v>
      </c>
    </row>
    <row r="1858" spans="2:9" x14ac:dyDescent="0.25">
      <c r="B1858">
        <v>0</v>
      </c>
      <c r="C1858" s="16" t="s">
        <v>11128</v>
      </c>
      <c r="D1858" s="16"/>
      <c r="E1858">
        <v>6</v>
      </c>
      <c r="F1858" t="e">
        <f>-Hidrogenocarbonato  bicarbonato  De Sódio</f>
        <v>#NAME?</v>
      </c>
      <c r="G1858">
        <v>1</v>
      </c>
      <c r="H1858">
        <v>0</v>
      </c>
      <c r="I1858">
        <f>1</f>
        <v>1</v>
      </c>
    </row>
    <row r="1859" spans="2:9" x14ac:dyDescent="0.25">
      <c r="B1859">
        <v>0</v>
      </c>
      <c r="C1859" s="16" t="s">
        <v>11129</v>
      </c>
      <c r="D1859" s="16"/>
      <c r="E1859">
        <v>6</v>
      </c>
      <c r="F1859" t="e">
        <f>-Carbonatos De potássio</f>
        <v>#NAME?</v>
      </c>
      <c r="G1859">
        <v>1</v>
      </c>
      <c r="H1859">
        <v>0</v>
      </c>
      <c r="I1859">
        <f>1</f>
        <v>1</v>
      </c>
    </row>
    <row r="1860" spans="2:9" x14ac:dyDescent="0.25">
      <c r="B1860">
        <v>0</v>
      </c>
      <c r="C1860" s="16" t="s">
        <v>11130</v>
      </c>
      <c r="D1860" s="16"/>
      <c r="E1860">
        <v>6</v>
      </c>
      <c r="F1860" t="e">
        <f>-Carbonato De Cálcio</f>
        <v>#NAME?</v>
      </c>
      <c r="G1860">
        <v>1</v>
      </c>
      <c r="H1860">
        <v>0</v>
      </c>
      <c r="I1860">
        <f>1</f>
        <v>1</v>
      </c>
    </row>
    <row r="1861" spans="2:9" x14ac:dyDescent="0.25">
      <c r="B1861">
        <v>0</v>
      </c>
      <c r="C1861" s="16" t="s">
        <v>11131</v>
      </c>
      <c r="D1861" s="16"/>
      <c r="E1861">
        <v>6</v>
      </c>
      <c r="F1861" t="e">
        <f>-Carbonato De bário</f>
        <v>#NAME?</v>
      </c>
      <c r="G1861">
        <v>1</v>
      </c>
      <c r="H1861">
        <v>0</v>
      </c>
      <c r="I1861">
        <f>1</f>
        <v>1</v>
      </c>
    </row>
    <row r="1862" spans="2:9" x14ac:dyDescent="0.25">
      <c r="B1862">
        <v>0</v>
      </c>
      <c r="C1862" s="16" t="s">
        <v>11132</v>
      </c>
      <c r="D1862" s="16"/>
      <c r="E1862">
        <v>6</v>
      </c>
      <c r="F1862" t="e">
        <f>--Carbonatos De lítio</f>
        <v>#NAME?</v>
      </c>
      <c r="G1862">
        <v>1</v>
      </c>
      <c r="H1862">
        <v>0</v>
      </c>
      <c r="I1862">
        <f>1</f>
        <v>1</v>
      </c>
    </row>
    <row r="1863" spans="2:9" x14ac:dyDescent="0.25">
      <c r="B1863">
        <v>0</v>
      </c>
      <c r="C1863" s="16" t="s">
        <v>11133</v>
      </c>
      <c r="D1863" s="16"/>
      <c r="E1863">
        <v>6</v>
      </c>
      <c r="F1863" t="e">
        <f>--Carbonato De estrôncio</f>
        <v>#NAME?</v>
      </c>
      <c r="G1863">
        <v>1</v>
      </c>
      <c r="H1863">
        <v>0</v>
      </c>
      <c r="I1863">
        <f>1</f>
        <v>1</v>
      </c>
    </row>
    <row r="1864" spans="2:9" x14ac:dyDescent="0.25">
      <c r="B1864">
        <v>0</v>
      </c>
      <c r="C1864" s="16" t="s">
        <v>11134</v>
      </c>
      <c r="D1864" s="16"/>
      <c r="E1864">
        <v>6</v>
      </c>
      <c r="F1864" t="s">
        <v>5347</v>
      </c>
      <c r="G1864">
        <v>1</v>
      </c>
      <c r="H1864">
        <v>0</v>
      </c>
      <c r="I1864">
        <f>1</f>
        <v>1</v>
      </c>
    </row>
    <row r="1865" spans="2:9" x14ac:dyDescent="0.25">
      <c r="B1865">
        <v>0</v>
      </c>
      <c r="C1865" s="16" t="s">
        <v>11135</v>
      </c>
      <c r="D1865" s="16"/>
      <c r="E1865">
        <v>6</v>
      </c>
      <c r="F1865" t="s">
        <v>5300</v>
      </c>
      <c r="G1865">
        <v>1</v>
      </c>
      <c r="H1865">
        <v>0</v>
      </c>
      <c r="I1865">
        <f>1</f>
        <v>1</v>
      </c>
    </row>
    <row r="1866" spans="2:9" x14ac:dyDescent="0.25">
      <c r="B1866">
        <v>0</v>
      </c>
      <c r="C1866" s="16" t="s">
        <v>11136</v>
      </c>
      <c r="D1866" s="16"/>
      <c r="E1866">
        <v>6</v>
      </c>
      <c r="F1866" t="s">
        <v>5348</v>
      </c>
      <c r="G1866">
        <v>1</v>
      </c>
      <c r="H1866">
        <v>0</v>
      </c>
      <c r="I1866">
        <f>1</f>
        <v>1</v>
      </c>
    </row>
    <row r="1867" spans="2:9" x14ac:dyDescent="0.25">
      <c r="B1867">
        <v>0</v>
      </c>
      <c r="C1867" s="16" t="s">
        <v>11137</v>
      </c>
      <c r="D1867" s="16"/>
      <c r="E1867">
        <v>6</v>
      </c>
      <c r="F1867" t="s">
        <v>4680</v>
      </c>
      <c r="G1867">
        <v>1</v>
      </c>
      <c r="H1867">
        <v>0</v>
      </c>
      <c r="I1867">
        <f>1</f>
        <v>1</v>
      </c>
    </row>
    <row r="1868" spans="2:9" x14ac:dyDescent="0.25">
      <c r="B1868">
        <v>0</v>
      </c>
      <c r="C1868" s="16" t="s">
        <v>11138</v>
      </c>
      <c r="D1868" s="16"/>
      <c r="E1868">
        <v>6</v>
      </c>
      <c r="F1868" t="s">
        <v>5349</v>
      </c>
      <c r="G1868">
        <v>1</v>
      </c>
      <c r="H1868">
        <v>0</v>
      </c>
      <c r="I1868">
        <f>1</f>
        <v>1</v>
      </c>
    </row>
    <row r="1869" spans="2:9" x14ac:dyDescent="0.25">
      <c r="B1869">
        <v>0</v>
      </c>
      <c r="C1869" s="16" t="s">
        <v>11139</v>
      </c>
      <c r="D1869" s="16"/>
      <c r="E1869">
        <v>6</v>
      </c>
      <c r="F1869" t="e">
        <f>--De Sódio</f>
        <v>#NAME?</v>
      </c>
      <c r="G1869">
        <v>1</v>
      </c>
      <c r="H1869">
        <v>0</v>
      </c>
      <c r="I1869">
        <f>1</f>
        <v>1</v>
      </c>
    </row>
    <row r="1870" spans="2:9" x14ac:dyDescent="0.25">
      <c r="B1870">
        <v>0</v>
      </c>
      <c r="C1870" s="16" t="s">
        <v>11140</v>
      </c>
      <c r="D1870" s="16"/>
      <c r="E1870">
        <v>6</v>
      </c>
      <c r="F1870" t="s">
        <v>5316</v>
      </c>
      <c r="G1870">
        <v>1</v>
      </c>
      <c r="H1870">
        <v>0</v>
      </c>
      <c r="I1870">
        <f>1</f>
        <v>1</v>
      </c>
    </row>
    <row r="1871" spans="2:9" x14ac:dyDescent="0.25">
      <c r="B1871">
        <v>0</v>
      </c>
      <c r="C1871" s="16" t="s">
        <v>11141</v>
      </c>
      <c r="D1871" s="16"/>
      <c r="E1871">
        <v>6</v>
      </c>
      <c r="F1871" t="s">
        <v>5311</v>
      </c>
      <c r="G1871">
        <v>1</v>
      </c>
      <c r="H1871">
        <v>0</v>
      </c>
      <c r="I1871">
        <f>1</f>
        <v>1</v>
      </c>
    </row>
    <row r="1872" spans="2:9" x14ac:dyDescent="0.25">
      <c r="B1872">
        <v>0</v>
      </c>
      <c r="C1872" s="16" t="s">
        <v>11142</v>
      </c>
      <c r="D1872" s="16"/>
      <c r="E1872">
        <v>6</v>
      </c>
      <c r="F1872" t="s">
        <v>5350</v>
      </c>
      <c r="G1872">
        <v>1</v>
      </c>
      <c r="H1872">
        <v>0</v>
      </c>
      <c r="I1872">
        <f>1</f>
        <v>1</v>
      </c>
    </row>
    <row r="1873" spans="2:9" x14ac:dyDescent="0.25">
      <c r="B1873">
        <v>0</v>
      </c>
      <c r="C1873" s="16" t="s">
        <v>11143</v>
      </c>
      <c r="D1873" s="16"/>
      <c r="E1873">
        <v>6</v>
      </c>
      <c r="F1873" t="s">
        <v>5351</v>
      </c>
      <c r="G1873">
        <v>1</v>
      </c>
      <c r="H1873">
        <v>0</v>
      </c>
      <c r="I1873">
        <f>1</f>
        <v>1</v>
      </c>
    </row>
    <row r="1874" spans="2:9" x14ac:dyDescent="0.25">
      <c r="B1874">
        <v>0</v>
      </c>
      <c r="C1874" s="16" t="s">
        <v>11144</v>
      </c>
      <c r="D1874" s="16"/>
      <c r="E1874">
        <v>6</v>
      </c>
      <c r="F1874" t="s">
        <v>4680</v>
      </c>
      <c r="G1874">
        <v>1</v>
      </c>
      <c r="H1874">
        <v>0</v>
      </c>
      <c r="I1874">
        <f>1</f>
        <v>1</v>
      </c>
    </row>
    <row r="1875" spans="2:9" x14ac:dyDescent="0.25">
      <c r="B1875">
        <v>0</v>
      </c>
      <c r="C1875" s="16" t="s">
        <v>11145</v>
      </c>
      <c r="D1875" s="16"/>
      <c r="E1875">
        <v>6</v>
      </c>
      <c r="F1875" t="s">
        <v>5352</v>
      </c>
      <c r="G1875">
        <v>1</v>
      </c>
      <c r="H1875">
        <v>0</v>
      </c>
      <c r="I1875">
        <f>1</f>
        <v>1</v>
      </c>
    </row>
    <row r="1876" spans="2:9" x14ac:dyDescent="0.25">
      <c r="B1876">
        <v>0</v>
      </c>
      <c r="C1876" s="16" t="s">
        <v>11146</v>
      </c>
      <c r="D1876" s="16"/>
      <c r="E1876">
        <v>6</v>
      </c>
      <c r="F1876" t="s">
        <v>5315</v>
      </c>
      <c r="G1876">
        <v>1</v>
      </c>
      <c r="H1876">
        <v>0</v>
      </c>
      <c r="I1876">
        <f>1</f>
        <v>1</v>
      </c>
    </row>
    <row r="1877" spans="2:9" x14ac:dyDescent="0.25">
      <c r="B1877">
        <v>0</v>
      </c>
      <c r="C1877" s="16" t="s">
        <v>11147</v>
      </c>
      <c r="D1877" s="16"/>
      <c r="E1877">
        <v>6</v>
      </c>
      <c r="F1877" t="s">
        <v>5353</v>
      </c>
      <c r="G1877">
        <v>1</v>
      </c>
      <c r="H1877">
        <v>0</v>
      </c>
      <c r="I1877">
        <f>1</f>
        <v>1</v>
      </c>
    </row>
    <row r="1878" spans="2:9" x14ac:dyDescent="0.25">
      <c r="B1878">
        <v>0</v>
      </c>
      <c r="C1878" s="16" t="s">
        <v>11148</v>
      </c>
      <c r="D1878" s="16"/>
      <c r="E1878">
        <v>6</v>
      </c>
      <c r="F1878" t="s">
        <v>4680</v>
      </c>
      <c r="G1878">
        <v>1</v>
      </c>
      <c r="H1878">
        <v>0</v>
      </c>
      <c r="I1878">
        <f>1</f>
        <v>1</v>
      </c>
    </row>
    <row r="1879" spans="2:9" x14ac:dyDescent="0.25">
      <c r="B1879">
        <v>0</v>
      </c>
      <c r="C1879" s="16" t="s">
        <v>11149</v>
      </c>
      <c r="D1879" s="16"/>
      <c r="E1879">
        <v>6</v>
      </c>
      <c r="F1879" t="s">
        <v>5316</v>
      </c>
      <c r="G1879">
        <v>1</v>
      </c>
      <c r="H1879">
        <v>0</v>
      </c>
      <c r="I1879">
        <f>1</f>
        <v>1</v>
      </c>
    </row>
    <row r="1880" spans="2:9" x14ac:dyDescent="0.25">
      <c r="B1880">
        <v>0</v>
      </c>
      <c r="C1880" s="16" t="s">
        <v>11150</v>
      </c>
      <c r="D1880" s="16"/>
      <c r="E1880">
        <v>6</v>
      </c>
      <c r="F1880" t="s">
        <v>5354</v>
      </c>
      <c r="G1880">
        <v>1</v>
      </c>
      <c r="H1880">
        <v>0</v>
      </c>
      <c r="I1880">
        <f>1</f>
        <v>1</v>
      </c>
    </row>
    <row r="1881" spans="2:9" x14ac:dyDescent="0.25">
      <c r="B1881">
        <v>0</v>
      </c>
      <c r="C1881" s="16" t="s">
        <v>11151</v>
      </c>
      <c r="D1881" s="16"/>
      <c r="E1881">
        <v>6</v>
      </c>
      <c r="F1881" t="s">
        <v>5355</v>
      </c>
      <c r="G1881">
        <v>1</v>
      </c>
      <c r="H1881">
        <v>0</v>
      </c>
      <c r="I1881">
        <f>1</f>
        <v>1</v>
      </c>
    </row>
    <row r="1882" spans="2:9" x14ac:dyDescent="0.25">
      <c r="B1882">
        <v>0</v>
      </c>
      <c r="C1882" s="16" t="s">
        <v>11152</v>
      </c>
      <c r="D1882" s="16"/>
      <c r="E1882">
        <v>6</v>
      </c>
      <c r="F1882" t="s">
        <v>4680</v>
      </c>
      <c r="G1882">
        <v>1</v>
      </c>
      <c r="H1882">
        <v>0</v>
      </c>
      <c r="I1882">
        <f>1</f>
        <v>1</v>
      </c>
    </row>
    <row r="1883" spans="2:9" x14ac:dyDescent="0.25">
      <c r="B1883">
        <v>0</v>
      </c>
      <c r="C1883" s="16" t="s">
        <v>11153</v>
      </c>
      <c r="D1883" s="16"/>
      <c r="E1883">
        <v>6</v>
      </c>
      <c r="F1883" t="s">
        <v>4680</v>
      </c>
      <c r="G1883">
        <v>1</v>
      </c>
      <c r="H1883">
        <v>0</v>
      </c>
      <c r="I1883">
        <f>1</f>
        <v>1</v>
      </c>
    </row>
    <row r="1884" spans="2:9" x14ac:dyDescent="0.25">
      <c r="B1884">
        <v>0</v>
      </c>
      <c r="C1884" s="16" t="s">
        <v>11154</v>
      </c>
      <c r="D1884" s="16"/>
      <c r="E1884">
        <v>6</v>
      </c>
      <c r="F1884" t="e">
        <f>--Metassilicatos</f>
        <v>#NAME?</v>
      </c>
      <c r="G1884">
        <v>1</v>
      </c>
      <c r="H1884">
        <v>0</v>
      </c>
      <c r="I1884">
        <f>1</f>
        <v>1</v>
      </c>
    </row>
    <row r="1885" spans="2:9" x14ac:dyDescent="0.25">
      <c r="B1885">
        <v>0</v>
      </c>
      <c r="C1885" s="16" t="s">
        <v>11155</v>
      </c>
      <c r="D1885" s="16"/>
      <c r="E1885">
        <v>6</v>
      </c>
      <c r="F1885" t="e">
        <f>--outros</f>
        <v>#NAME?</v>
      </c>
      <c r="G1885">
        <v>1</v>
      </c>
      <c r="H1885">
        <v>0</v>
      </c>
      <c r="I1885">
        <f>1</f>
        <v>1</v>
      </c>
    </row>
    <row r="1886" spans="2:9" x14ac:dyDescent="0.25">
      <c r="B1886">
        <v>0</v>
      </c>
      <c r="C1886" s="16" t="s">
        <v>11156</v>
      </c>
      <c r="D1886" s="16"/>
      <c r="E1886">
        <v>6</v>
      </c>
      <c r="F1886" t="s">
        <v>5356</v>
      </c>
      <c r="G1886">
        <v>1</v>
      </c>
      <c r="H1886">
        <v>0</v>
      </c>
      <c r="I1886">
        <f>1</f>
        <v>1</v>
      </c>
    </row>
    <row r="1887" spans="2:9" x14ac:dyDescent="0.25">
      <c r="B1887">
        <v>0</v>
      </c>
      <c r="C1887" s="16" t="s">
        <v>11157</v>
      </c>
      <c r="D1887" s="16"/>
      <c r="E1887">
        <v>6</v>
      </c>
      <c r="F1887" t="s">
        <v>5314</v>
      </c>
      <c r="G1887">
        <v>1</v>
      </c>
      <c r="H1887">
        <v>0</v>
      </c>
      <c r="I1887">
        <f>1</f>
        <v>1</v>
      </c>
    </row>
    <row r="1888" spans="2:9" x14ac:dyDescent="0.25">
      <c r="B1888">
        <v>0</v>
      </c>
      <c r="C1888" s="16" t="s">
        <v>11158</v>
      </c>
      <c r="D1888" s="16"/>
      <c r="E1888">
        <v>6</v>
      </c>
      <c r="F1888" t="s">
        <v>5300</v>
      </c>
      <c r="G1888">
        <v>1</v>
      </c>
      <c r="H1888">
        <v>0</v>
      </c>
      <c r="I1888">
        <f>1</f>
        <v>1</v>
      </c>
    </row>
    <row r="1889" spans="2:9" x14ac:dyDescent="0.25">
      <c r="B1889">
        <v>0</v>
      </c>
      <c r="C1889" s="16" t="s">
        <v>11159</v>
      </c>
      <c r="D1889" s="16"/>
      <c r="E1889">
        <v>6</v>
      </c>
      <c r="F1889" t="s">
        <v>5325</v>
      </c>
      <c r="G1889">
        <v>1</v>
      </c>
      <c r="H1889">
        <v>0</v>
      </c>
      <c r="I1889">
        <f>1</f>
        <v>1</v>
      </c>
    </row>
    <row r="1890" spans="2:9" x14ac:dyDescent="0.25">
      <c r="B1890">
        <v>0</v>
      </c>
      <c r="C1890" s="16" t="s">
        <v>11160</v>
      </c>
      <c r="D1890" s="16"/>
      <c r="E1890">
        <v>6</v>
      </c>
      <c r="F1890" t="s">
        <v>5316</v>
      </c>
      <c r="G1890">
        <v>1</v>
      </c>
      <c r="H1890">
        <v>0</v>
      </c>
      <c r="I1890">
        <f>1</f>
        <v>1</v>
      </c>
    </row>
    <row r="1891" spans="2:9" x14ac:dyDescent="0.25">
      <c r="B1891">
        <v>0</v>
      </c>
      <c r="C1891" s="16" t="s">
        <v>11161</v>
      </c>
      <c r="D1891" s="16"/>
      <c r="E1891">
        <v>6</v>
      </c>
      <c r="F1891" t="s">
        <v>4680</v>
      </c>
      <c r="G1891">
        <v>1</v>
      </c>
      <c r="H1891">
        <v>0</v>
      </c>
      <c r="I1891">
        <f>1</f>
        <v>1</v>
      </c>
    </row>
    <row r="1892" spans="2:9" x14ac:dyDescent="0.25">
      <c r="B1892">
        <v>0</v>
      </c>
      <c r="C1892" s="16" t="s">
        <v>11162</v>
      </c>
      <c r="D1892" s="16"/>
      <c r="E1892">
        <v>6</v>
      </c>
      <c r="F1892" t="e">
        <f>--anidro</f>
        <v>#NAME?</v>
      </c>
      <c r="G1892">
        <v>1</v>
      </c>
      <c r="H1892">
        <v>0</v>
      </c>
      <c r="I1892">
        <f>1</f>
        <v>1</v>
      </c>
    </row>
    <row r="1893" spans="2:9" x14ac:dyDescent="0.25">
      <c r="B1893">
        <v>0</v>
      </c>
      <c r="C1893" s="16" t="s">
        <v>11163</v>
      </c>
      <c r="D1893" s="16"/>
      <c r="E1893">
        <v>6</v>
      </c>
      <c r="F1893" t="e">
        <f>--outro</f>
        <v>#NAME?</v>
      </c>
      <c r="G1893">
        <v>1</v>
      </c>
      <c r="H1893">
        <v>0</v>
      </c>
      <c r="I1893">
        <f>1</f>
        <v>1</v>
      </c>
    </row>
    <row r="1894" spans="2:9" x14ac:dyDescent="0.25">
      <c r="B1894">
        <v>0</v>
      </c>
      <c r="C1894" s="16" t="s">
        <v>11164</v>
      </c>
      <c r="D1894" s="16"/>
      <c r="E1894">
        <v>6</v>
      </c>
      <c r="F1894" t="e">
        <f>-outros boratos</f>
        <v>#NAME?</v>
      </c>
      <c r="G1894">
        <v>1</v>
      </c>
      <c r="H1894">
        <v>0</v>
      </c>
      <c r="I1894">
        <f>1</f>
        <v>1</v>
      </c>
    </row>
    <row r="1895" spans="2:9" x14ac:dyDescent="0.25">
      <c r="B1895">
        <v>0</v>
      </c>
      <c r="C1895" s="16" t="s">
        <v>11165</v>
      </c>
      <c r="D1895" s="16"/>
      <c r="E1895">
        <v>6</v>
      </c>
      <c r="F1895" t="e">
        <f>-Peroxoboratos  perboratos</f>
        <v>#NAME?</v>
      </c>
      <c r="G1895">
        <v>1</v>
      </c>
      <c r="H1895">
        <v>0</v>
      </c>
      <c r="I1895">
        <f>1</f>
        <v>1</v>
      </c>
    </row>
    <row r="1896" spans="2:9" x14ac:dyDescent="0.25">
      <c r="B1896">
        <v>0</v>
      </c>
      <c r="C1896" s="16" t="s">
        <v>11166</v>
      </c>
      <c r="D1896" s="16"/>
      <c r="E1896">
        <v>6</v>
      </c>
      <c r="F1896" t="e">
        <f>-Dicromato De Sódio</f>
        <v>#NAME?</v>
      </c>
      <c r="G1896">
        <v>1</v>
      </c>
      <c r="H1896">
        <v>0</v>
      </c>
      <c r="I1896">
        <f>1</f>
        <v>1</v>
      </c>
    </row>
    <row r="1897" spans="2:9" x14ac:dyDescent="0.25">
      <c r="B1897">
        <v>0</v>
      </c>
      <c r="C1897" s="16" t="s">
        <v>11167</v>
      </c>
      <c r="D1897" s="16"/>
      <c r="E1897">
        <v>6</v>
      </c>
      <c r="F1897" t="s">
        <v>5357</v>
      </c>
      <c r="G1897">
        <v>1</v>
      </c>
      <c r="H1897">
        <v>0</v>
      </c>
      <c r="I1897">
        <f>1</f>
        <v>1</v>
      </c>
    </row>
    <row r="1898" spans="2:9" x14ac:dyDescent="0.25">
      <c r="B1898">
        <v>0</v>
      </c>
      <c r="C1898" s="16" t="s">
        <v>11168</v>
      </c>
      <c r="D1898" s="16"/>
      <c r="E1898">
        <v>6</v>
      </c>
      <c r="F1898" t="s">
        <v>5358</v>
      </c>
      <c r="G1898">
        <v>1</v>
      </c>
      <c r="H1898">
        <v>0</v>
      </c>
      <c r="I1898">
        <f>1</f>
        <v>1</v>
      </c>
    </row>
    <row r="1899" spans="2:9" x14ac:dyDescent="0.25">
      <c r="B1899">
        <v>0</v>
      </c>
      <c r="C1899" s="16" t="s">
        <v>11169</v>
      </c>
      <c r="D1899" s="16"/>
      <c r="E1899">
        <v>6</v>
      </c>
      <c r="F1899" t="s">
        <v>5359</v>
      </c>
      <c r="G1899">
        <v>1</v>
      </c>
      <c r="H1899">
        <v>0</v>
      </c>
      <c r="I1899">
        <f>1</f>
        <v>1</v>
      </c>
    </row>
    <row r="1900" spans="2:9" x14ac:dyDescent="0.25">
      <c r="B1900">
        <v>0</v>
      </c>
      <c r="C1900" s="16" t="s">
        <v>11170</v>
      </c>
      <c r="D1900" s="16"/>
      <c r="E1900">
        <v>6</v>
      </c>
      <c r="F1900" t="s">
        <v>5360</v>
      </c>
      <c r="G1900">
        <v>1</v>
      </c>
      <c r="H1900">
        <v>0</v>
      </c>
      <c r="I1900">
        <f>1</f>
        <v>1</v>
      </c>
    </row>
    <row r="1901" spans="2:9" x14ac:dyDescent="0.25">
      <c r="B1901">
        <v>0</v>
      </c>
      <c r="C1901" s="16" t="s">
        <v>11171</v>
      </c>
      <c r="D1901" s="16"/>
      <c r="E1901">
        <v>6</v>
      </c>
      <c r="F1901" t="s">
        <v>5361</v>
      </c>
      <c r="G1901">
        <v>1</v>
      </c>
      <c r="H1901">
        <v>0</v>
      </c>
      <c r="I1901">
        <f>1</f>
        <v>1</v>
      </c>
    </row>
    <row r="1902" spans="2:9" x14ac:dyDescent="0.25">
      <c r="B1902">
        <v>0</v>
      </c>
      <c r="C1902" s="16" t="s">
        <v>11172</v>
      </c>
      <c r="D1902" s="16"/>
      <c r="E1902">
        <v>6</v>
      </c>
      <c r="F1902" t="s">
        <v>5362</v>
      </c>
      <c r="G1902">
        <v>1</v>
      </c>
      <c r="H1902">
        <v>0</v>
      </c>
      <c r="I1902">
        <f>1</f>
        <v>1</v>
      </c>
    </row>
    <row r="1903" spans="2:9" x14ac:dyDescent="0.25">
      <c r="B1903">
        <v>0</v>
      </c>
      <c r="C1903" s="16" t="s">
        <v>11173</v>
      </c>
      <c r="D1903" s="16"/>
      <c r="E1903">
        <v>6</v>
      </c>
      <c r="F1903" t="s">
        <v>4680</v>
      </c>
      <c r="G1903">
        <v>1</v>
      </c>
      <c r="H1903">
        <v>0</v>
      </c>
      <c r="I1903">
        <f>1</f>
        <v>1</v>
      </c>
    </row>
    <row r="1904" spans="2:9" x14ac:dyDescent="0.25">
      <c r="B1904">
        <v>0</v>
      </c>
      <c r="C1904" s="16" t="s">
        <v>11174</v>
      </c>
      <c r="D1904" s="16"/>
      <c r="E1904">
        <v>6</v>
      </c>
      <c r="F1904" t="s">
        <v>5363</v>
      </c>
      <c r="G1904">
        <v>1</v>
      </c>
      <c r="H1904">
        <v>0</v>
      </c>
      <c r="I1904">
        <f>1</f>
        <v>1</v>
      </c>
    </row>
    <row r="1905" spans="2:9" x14ac:dyDescent="0.25">
      <c r="B1905">
        <v>0</v>
      </c>
      <c r="C1905" s="16" t="s">
        <v>11175</v>
      </c>
      <c r="D1905" s="16"/>
      <c r="E1905">
        <v>6</v>
      </c>
      <c r="F1905" t="e">
        <f>--Permanganato De potássio</f>
        <v>#NAME?</v>
      </c>
      <c r="G1905">
        <v>1</v>
      </c>
      <c r="H1905">
        <v>0</v>
      </c>
      <c r="I1905">
        <f>1</f>
        <v>1</v>
      </c>
    </row>
    <row r="1906" spans="2:9" x14ac:dyDescent="0.25">
      <c r="B1906">
        <v>0</v>
      </c>
      <c r="C1906" s="16" t="s">
        <v>11176</v>
      </c>
      <c r="D1906" s="16"/>
      <c r="E1906">
        <v>6</v>
      </c>
      <c r="F1906" t="s">
        <v>5364</v>
      </c>
      <c r="G1906">
        <v>1</v>
      </c>
      <c r="H1906">
        <v>0</v>
      </c>
      <c r="I1906">
        <f>1</f>
        <v>1</v>
      </c>
    </row>
    <row r="1907" spans="2:9" x14ac:dyDescent="0.25">
      <c r="B1907">
        <v>0</v>
      </c>
      <c r="C1907" s="16" t="s">
        <v>11177</v>
      </c>
      <c r="D1907" s="16"/>
      <c r="E1907">
        <v>6</v>
      </c>
      <c r="F1907" t="s">
        <v>5365</v>
      </c>
      <c r="G1907">
        <v>1</v>
      </c>
      <c r="H1907">
        <v>0</v>
      </c>
      <c r="I1907">
        <f>1</f>
        <v>1</v>
      </c>
    </row>
    <row r="1908" spans="2:9" x14ac:dyDescent="0.25">
      <c r="B1908">
        <v>0</v>
      </c>
      <c r="C1908" s="16" t="s">
        <v>11178</v>
      </c>
      <c r="D1908" s="16"/>
      <c r="E1908">
        <v>6</v>
      </c>
      <c r="F1908" t="s">
        <v>5366</v>
      </c>
      <c r="G1908">
        <v>1</v>
      </c>
      <c r="H1908">
        <v>0</v>
      </c>
      <c r="I1908">
        <f>1</f>
        <v>1</v>
      </c>
    </row>
    <row r="1909" spans="2:9" x14ac:dyDescent="0.25">
      <c r="B1909">
        <v>0</v>
      </c>
      <c r="C1909" s="16" t="s">
        <v>11179</v>
      </c>
      <c r="D1909" s="16"/>
      <c r="E1909">
        <v>6</v>
      </c>
      <c r="F1909" t="s">
        <v>5330</v>
      </c>
      <c r="G1909">
        <v>1</v>
      </c>
      <c r="H1909">
        <v>0</v>
      </c>
      <c r="I1909">
        <f>1</f>
        <v>1</v>
      </c>
    </row>
    <row r="1910" spans="2:9" x14ac:dyDescent="0.25">
      <c r="B1910">
        <v>0</v>
      </c>
      <c r="C1910" s="16" t="s">
        <v>11180</v>
      </c>
      <c r="D1910" s="16"/>
      <c r="E1910">
        <v>6</v>
      </c>
      <c r="F1910" t="s">
        <v>5315</v>
      </c>
      <c r="G1910">
        <v>1</v>
      </c>
      <c r="H1910">
        <v>0</v>
      </c>
      <c r="I1910">
        <f>1</f>
        <v>1</v>
      </c>
    </row>
    <row r="1911" spans="2:9" x14ac:dyDescent="0.25">
      <c r="B1911">
        <v>0</v>
      </c>
      <c r="C1911" s="16" t="s">
        <v>11181</v>
      </c>
      <c r="D1911" s="16"/>
      <c r="E1911">
        <v>6</v>
      </c>
      <c r="F1911" t="s">
        <v>4680</v>
      </c>
      <c r="G1911">
        <v>1</v>
      </c>
      <c r="H1911">
        <v>0</v>
      </c>
      <c r="I1911">
        <f>1</f>
        <v>1</v>
      </c>
    </row>
    <row r="1912" spans="2:9" x14ac:dyDescent="0.25">
      <c r="B1912">
        <v>0</v>
      </c>
      <c r="C1912" s="16" t="s">
        <v>11182</v>
      </c>
      <c r="D1912" s="16"/>
      <c r="E1912">
        <v>6</v>
      </c>
      <c r="F1912" t="s">
        <v>5330</v>
      </c>
      <c r="G1912">
        <v>1</v>
      </c>
      <c r="H1912">
        <v>0</v>
      </c>
      <c r="I1912">
        <f>1</f>
        <v>1</v>
      </c>
    </row>
    <row r="1913" spans="2:9" x14ac:dyDescent="0.25">
      <c r="B1913">
        <v>0</v>
      </c>
      <c r="C1913" s="16" t="s">
        <v>11183</v>
      </c>
      <c r="D1913" s="16"/>
      <c r="E1913">
        <v>6</v>
      </c>
      <c r="F1913" t="s">
        <v>5325</v>
      </c>
      <c r="G1913">
        <v>1</v>
      </c>
      <c r="H1913">
        <v>0</v>
      </c>
      <c r="I1913">
        <f>1</f>
        <v>1</v>
      </c>
    </row>
    <row r="1914" spans="2:9" x14ac:dyDescent="0.25">
      <c r="B1914">
        <v>0</v>
      </c>
      <c r="C1914" s="16" t="s">
        <v>11184</v>
      </c>
      <c r="D1914" s="16"/>
      <c r="E1914">
        <v>6</v>
      </c>
      <c r="F1914" t="s">
        <v>4680</v>
      </c>
      <c r="G1914">
        <v>1</v>
      </c>
      <c r="H1914">
        <v>0</v>
      </c>
      <c r="I1914">
        <f>1</f>
        <v>1</v>
      </c>
    </row>
    <row r="1915" spans="2:9" x14ac:dyDescent="0.25">
      <c r="B1915">
        <v>0</v>
      </c>
      <c r="C1915" s="16" t="s">
        <v>11185</v>
      </c>
      <c r="D1915" s="16"/>
      <c r="E1915">
        <v>6</v>
      </c>
      <c r="F1915" t="s">
        <v>5325</v>
      </c>
      <c r="G1915">
        <v>1</v>
      </c>
      <c r="H1915">
        <v>0</v>
      </c>
      <c r="I1915">
        <f>1</f>
        <v>1</v>
      </c>
    </row>
    <row r="1916" spans="2:9" x14ac:dyDescent="0.25">
      <c r="B1916">
        <v>0</v>
      </c>
      <c r="C1916" s="16" t="s">
        <v>11186</v>
      </c>
      <c r="D1916" s="16"/>
      <c r="E1916">
        <v>6</v>
      </c>
      <c r="F1916" t="s">
        <v>5367</v>
      </c>
      <c r="G1916">
        <v>1</v>
      </c>
      <c r="H1916">
        <v>0</v>
      </c>
      <c r="I1916">
        <f>1</f>
        <v>1</v>
      </c>
    </row>
    <row r="1917" spans="2:9" x14ac:dyDescent="0.25">
      <c r="B1917">
        <v>0</v>
      </c>
      <c r="C1917" s="16" t="s">
        <v>11187</v>
      </c>
      <c r="D1917" s="16"/>
      <c r="E1917">
        <v>6</v>
      </c>
      <c r="F1917" t="s">
        <v>5368</v>
      </c>
      <c r="G1917">
        <v>1</v>
      </c>
      <c r="H1917">
        <v>0</v>
      </c>
      <c r="I1917">
        <f>1</f>
        <v>1</v>
      </c>
    </row>
    <row r="1918" spans="2:9" x14ac:dyDescent="0.25">
      <c r="B1918">
        <v>0</v>
      </c>
      <c r="C1918" s="16" t="s">
        <v>11188</v>
      </c>
      <c r="D1918" s="16"/>
      <c r="E1918">
        <v>6</v>
      </c>
      <c r="F1918" t="s">
        <v>5356</v>
      </c>
      <c r="G1918">
        <v>1</v>
      </c>
      <c r="H1918">
        <v>0</v>
      </c>
      <c r="I1918">
        <f>1</f>
        <v>1</v>
      </c>
    </row>
    <row r="1919" spans="2:9" x14ac:dyDescent="0.25">
      <c r="B1919">
        <v>0</v>
      </c>
      <c r="C1919" s="16" t="s">
        <v>11189</v>
      </c>
      <c r="D1919" s="16"/>
      <c r="E1919">
        <v>6</v>
      </c>
      <c r="F1919" t="s">
        <v>5369</v>
      </c>
      <c r="G1919">
        <v>1</v>
      </c>
      <c r="H1919">
        <v>0</v>
      </c>
      <c r="I1919">
        <f>1</f>
        <v>1</v>
      </c>
    </row>
    <row r="1920" spans="2:9" x14ac:dyDescent="0.25">
      <c r="B1920">
        <v>0</v>
      </c>
      <c r="C1920" s="16" t="s">
        <v>11190</v>
      </c>
      <c r="D1920" s="16"/>
      <c r="E1920">
        <v>6</v>
      </c>
      <c r="F1920" t="s">
        <v>4680</v>
      </c>
      <c r="G1920">
        <v>1</v>
      </c>
      <c r="H1920">
        <v>0</v>
      </c>
      <c r="I1920">
        <f>1</f>
        <v>1</v>
      </c>
    </row>
    <row r="1921" spans="2:9" x14ac:dyDescent="0.25">
      <c r="B1921">
        <v>0</v>
      </c>
      <c r="C1921" s="16" t="s">
        <v>11191</v>
      </c>
      <c r="D1921" s="16"/>
      <c r="E1921">
        <v>6</v>
      </c>
      <c r="F1921" t="s">
        <v>5370</v>
      </c>
      <c r="G1921">
        <v>1</v>
      </c>
      <c r="H1921">
        <v>0</v>
      </c>
      <c r="I1921">
        <f>1</f>
        <v>1</v>
      </c>
    </row>
    <row r="1922" spans="2:9" x14ac:dyDescent="0.25">
      <c r="B1922">
        <v>0</v>
      </c>
      <c r="C1922" s="16" t="s">
        <v>11192</v>
      </c>
      <c r="D1922" s="16"/>
      <c r="E1922">
        <v>6</v>
      </c>
      <c r="F1922" t="s">
        <v>5371</v>
      </c>
      <c r="G1922">
        <v>1</v>
      </c>
      <c r="H1922">
        <v>0</v>
      </c>
      <c r="I1922">
        <f>1</f>
        <v>1</v>
      </c>
    </row>
    <row r="1923" spans="2:9" x14ac:dyDescent="0.25">
      <c r="B1923">
        <v>0</v>
      </c>
      <c r="C1923" s="16" t="s">
        <v>11193</v>
      </c>
      <c r="D1923" s="16"/>
      <c r="E1923">
        <v>6</v>
      </c>
      <c r="F1923" t="s">
        <v>4680</v>
      </c>
      <c r="G1923">
        <v>1</v>
      </c>
      <c r="H1923">
        <v>0</v>
      </c>
      <c r="I1923">
        <f>1</f>
        <v>1</v>
      </c>
    </row>
    <row r="1924" spans="2:9" x14ac:dyDescent="0.25">
      <c r="B1924">
        <v>0</v>
      </c>
      <c r="C1924" s="16" t="s">
        <v>11194</v>
      </c>
      <c r="D1924" s="16"/>
      <c r="E1924">
        <v>6</v>
      </c>
      <c r="F1924" t="s">
        <v>5372</v>
      </c>
      <c r="G1924">
        <v>1</v>
      </c>
      <c r="H1924">
        <v>0</v>
      </c>
      <c r="I1924">
        <f>1</f>
        <v>1</v>
      </c>
    </row>
    <row r="1925" spans="2:9" x14ac:dyDescent="0.25">
      <c r="B1925">
        <v>0</v>
      </c>
      <c r="C1925" s="16" t="s">
        <v>11195</v>
      </c>
      <c r="D1925" s="16"/>
      <c r="E1925">
        <v>6</v>
      </c>
      <c r="F1925" t="s">
        <v>5324</v>
      </c>
      <c r="G1925">
        <v>1</v>
      </c>
      <c r="H1925">
        <v>0</v>
      </c>
      <c r="I1925">
        <f>1</f>
        <v>1</v>
      </c>
    </row>
    <row r="1926" spans="2:9" x14ac:dyDescent="0.25">
      <c r="B1926">
        <v>0</v>
      </c>
      <c r="C1926" s="16" t="s">
        <v>11196</v>
      </c>
      <c r="D1926" s="16"/>
      <c r="E1926">
        <v>6</v>
      </c>
      <c r="F1926" t="s">
        <v>5303</v>
      </c>
      <c r="G1926">
        <v>1</v>
      </c>
      <c r="H1926">
        <v>0</v>
      </c>
      <c r="I1926">
        <f>1</f>
        <v>1</v>
      </c>
    </row>
    <row r="1927" spans="2:9" x14ac:dyDescent="0.25">
      <c r="B1927">
        <v>0</v>
      </c>
      <c r="C1927" s="16" t="s">
        <v>11197</v>
      </c>
      <c r="D1927" s="16"/>
      <c r="E1927">
        <v>6</v>
      </c>
      <c r="F1927" t="s">
        <v>5318</v>
      </c>
      <c r="G1927">
        <v>1</v>
      </c>
      <c r="H1927">
        <v>0</v>
      </c>
      <c r="I1927">
        <f>1</f>
        <v>1</v>
      </c>
    </row>
    <row r="1928" spans="2:9" x14ac:dyDescent="0.25">
      <c r="B1928">
        <v>0</v>
      </c>
      <c r="C1928" s="16" t="s">
        <v>11198</v>
      </c>
      <c r="D1928" s="16"/>
      <c r="E1928">
        <v>6</v>
      </c>
      <c r="F1928" t="s">
        <v>4680</v>
      </c>
      <c r="G1928">
        <v>1</v>
      </c>
      <c r="H1928">
        <v>0</v>
      </c>
      <c r="I1928">
        <f>1</f>
        <v>1</v>
      </c>
    </row>
    <row r="1929" spans="2:9" x14ac:dyDescent="0.25">
      <c r="B1929">
        <v>0</v>
      </c>
      <c r="C1929" s="16" t="s">
        <v>11199</v>
      </c>
      <c r="D1929" s="16"/>
      <c r="E1929">
        <v>6</v>
      </c>
      <c r="F1929" t="s">
        <v>5373</v>
      </c>
      <c r="G1929">
        <v>1</v>
      </c>
      <c r="H1929">
        <v>0</v>
      </c>
      <c r="I1929">
        <f>1</f>
        <v>1</v>
      </c>
    </row>
    <row r="1930" spans="2:9" x14ac:dyDescent="0.25">
      <c r="B1930">
        <v>0</v>
      </c>
      <c r="C1930" s="16" t="s">
        <v>11200</v>
      </c>
      <c r="D1930" s="16"/>
      <c r="E1930">
        <v>6</v>
      </c>
      <c r="F1930" t="s">
        <v>5374</v>
      </c>
      <c r="G1930">
        <v>1</v>
      </c>
      <c r="H1930">
        <v>0</v>
      </c>
      <c r="I1930">
        <f>1</f>
        <v>1</v>
      </c>
    </row>
    <row r="1931" spans="2:9" x14ac:dyDescent="0.25">
      <c r="B1931">
        <v>0</v>
      </c>
      <c r="C1931" s="16" t="s">
        <v>11201</v>
      </c>
      <c r="D1931" s="16"/>
      <c r="E1931">
        <v>6</v>
      </c>
      <c r="F1931" t="s">
        <v>5375</v>
      </c>
      <c r="G1931">
        <v>1</v>
      </c>
      <c r="H1931">
        <v>0</v>
      </c>
      <c r="I1931">
        <f>1</f>
        <v>1</v>
      </c>
    </row>
    <row r="1932" spans="2:9" x14ac:dyDescent="0.25">
      <c r="B1932">
        <v>0</v>
      </c>
      <c r="C1932" s="16" t="s">
        <v>11202</v>
      </c>
      <c r="D1932" s="16"/>
      <c r="E1932">
        <v>6</v>
      </c>
      <c r="F1932" t="s">
        <v>5315</v>
      </c>
      <c r="G1932">
        <v>1</v>
      </c>
      <c r="H1932">
        <v>0</v>
      </c>
      <c r="I1932">
        <f>1</f>
        <v>1</v>
      </c>
    </row>
    <row r="1933" spans="2:9" x14ac:dyDescent="0.25">
      <c r="B1933">
        <v>0</v>
      </c>
      <c r="C1933" s="16" t="s">
        <v>11203</v>
      </c>
      <c r="D1933" s="16"/>
      <c r="E1933">
        <v>6</v>
      </c>
      <c r="F1933" t="s">
        <v>5356</v>
      </c>
      <c r="G1933">
        <v>1</v>
      </c>
      <c r="H1933">
        <v>0</v>
      </c>
      <c r="I1933">
        <f>1</f>
        <v>1</v>
      </c>
    </row>
    <row r="1934" spans="2:9" x14ac:dyDescent="0.25">
      <c r="B1934">
        <v>0</v>
      </c>
      <c r="C1934" s="16" t="s">
        <v>11204</v>
      </c>
      <c r="D1934" s="16"/>
      <c r="E1934">
        <v>6</v>
      </c>
      <c r="F1934" t="s">
        <v>5303</v>
      </c>
      <c r="G1934">
        <v>1</v>
      </c>
      <c r="H1934">
        <v>0</v>
      </c>
      <c r="I1934">
        <f>1</f>
        <v>1</v>
      </c>
    </row>
    <row r="1935" spans="2:9" x14ac:dyDescent="0.25">
      <c r="B1935">
        <v>0</v>
      </c>
      <c r="C1935" s="16" t="s">
        <v>11205</v>
      </c>
      <c r="D1935" s="16"/>
      <c r="E1935">
        <v>6</v>
      </c>
      <c r="F1935" t="s">
        <v>4680</v>
      </c>
      <c r="G1935">
        <v>1</v>
      </c>
      <c r="H1935">
        <v>0</v>
      </c>
      <c r="I1935">
        <f>1</f>
        <v>1</v>
      </c>
    </row>
    <row r="1936" spans="2:9" x14ac:dyDescent="0.25">
      <c r="B1936">
        <v>0</v>
      </c>
      <c r="C1936" s="16" t="s">
        <v>11206</v>
      </c>
      <c r="D1936" s="16"/>
      <c r="E1936">
        <v>6</v>
      </c>
      <c r="F1936" t="s">
        <v>4680</v>
      </c>
      <c r="G1936">
        <v>1</v>
      </c>
      <c r="H1936">
        <v>0</v>
      </c>
      <c r="I1936">
        <f>1</f>
        <v>1</v>
      </c>
    </row>
    <row r="1937" spans="2:9" x14ac:dyDescent="0.25">
      <c r="B1937">
        <v>0</v>
      </c>
      <c r="C1937" s="16" t="s">
        <v>11207</v>
      </c>
      <c r="D1937" s="16"/>
      <c r="E1937">
        <v>6</v>
      </c>
      <c r="F1937" t="s">
        <v>5376</v>
      </c>
      <c r="G1937">
        <v>1</v>
      </c>
      <c r="H1937">
        <v>0</v>
      </c>
      <c r="I1937">
        <f>1</f>
        <v>1</v>
      </c>
    </row>
    <row r="1938" spans="2:9" x14ac:dyDescent="0.25">
      <c r="B1938">
        <v>0</v>
      </c>
      <c r="C1938" s="16" t="s">
        <v>11208</v>
      </c>
      <c r="D1938" s="16"/>
      <c r="E1938">
        <v>6</v>
      </c>
      <c r="F1938" t="s">
        <v>4680</v>
      </c>
      <c r="G1938">
        <v>1</v>
      </c>
      <c r="H1938">
        <v>0</v>
      </c>
      <c r="I1938">
        <f>1</f>
        <v>1</v>
      </c>
    </row>
    <row r="1939" spans="2:9" x14ac:dyDescent="0.25">
      <c r="B1939">
        <v>0</v>
      </c>
      <c r="C1939" s="16" t="s">
        <v>11209</v>
      </c>
      <c r="D1939" s="16"/>
      <c r="E1939">
        <v>6</v>
      </c>
      <c r="F1939" t="e">
        <f>-outros</f>
        <v>#NAME?</v>
      </c>
      <c r="G1939">
        <v>1</v>
      </c>
      <c r="H1939">
        <v>0</v>
      </c>
      <c r="I1939">
        <f>1</f>
        <v>1</v>
      </c>
    </row>
    <row r="1940" spans="2:9" x14ac:dyDescent="0.25">
      <c r="B1940">
        <v>0</v>
      </c>
      <c r="C1940" s="16" t="s">
        <v>11210</v>
      </c>
      <c r="D1940" s="16"/>
      <c r="E1940">
        <v>6</v>
      </c>
      <c r="F1940" t="e">
        <f>-Metais preciosos no estado coloidal</f>
        <v>#NAME?</v>
      </c>
      <c r="G1940">
        <v>1</v>
      </c>
      <c r="H1940">
        <v>0</v>
      </c>
      <c r="I1940">
        <f>1</f>
        <v>1</v>
      </c>
    </row>
    <row r="1941" spans="2:9" x14ac:dyDescent="0.25">
      <c r="B1941">
        <v>0</v>
      </c>
      <c r="C1941" s="16" t="s">
        <v>11211</v>
      </c>
      <c r="D1941" s="16"/>
      <c r="E1941">
        <v>6</v>
      </c>
      <c r="F1941" t="e">
        <f>--Nitrato De prata</f>
        <v>#NAME?</v>
      </c>
      <c r="G1941">
        <v>1</v>
      </c>
      <c r="H1941">
        <v>0</v>
      </c>
      <c r="I1941">
        <f>1</f>
        <v>1</v>
      </c>
    </row>
    <row r="1942" spans="2:9" x14ac:dyDescent="0.25">
      <c r="B1942">
        <v>0</v>
      </c>
      <c r="C1942" s="16" t="s">
        <v>11212</v>
      </c>
      <c r="D1942" s="16"/>
      <c r="E1942">
        <v>6</v>
      </c>
      <c r="F1942" t="s">
        <v>5377</v>
      </c>
      <c r="G1942">
        <v>1</v>
      </c>
      <c r="H1942">
        <v>0</v>
      </c>
      <c r="I1942">
        <f>1</f>
        <v>1</v>
      </c>
    </row>
    <row r="1943" spans="2:9" x14ac:dyDescent="0.25">
      <c r="B1943">
        <v>0</v>
      </c>
      <c r="C1943" s="16" t="s">
        <v>11213</v>
      </c>
      <c r="D1943" s="16"/>
      <c r="E1943">
        <v>6</v>
      </c>
      <c r="F1943" t="s">
        <v>4680</v>
      </c>
      <c r="G1943">
        <v>1</v>
      </c>
      <c r="H1943">
        <v>0</v>
      </c>
      <c r="I1943">
        <f>1</f>
        <v>1</v>
      </c>
    </row>
    <row r="1944" spans="2:9" x14ac:dyDescent="0.25">
      <c r="B1944">
        <v>0</v>
      </c>
      <c r="C1944" s="16" t="s">
        <v>11214</v>
      </c>
      <c r="D1944" s="16"/>
      <c r="E1944">
        <v>6</v>
      </c>
      <c r="F1944" t="s">
        <v>5378</v>
      </c>
      <c r="G1944">
        <v>1</v>
      </c>
      <c r="H1944">
        <v>0</v>
      </c>
      <c r="I1944">
        <f>1</f>
        <v>1</v>
      </c>
    </row>
    <row r="1945" spans="2:9" x14ac:dyDescent="0.25">
      <c r="B1945">
        <v>0</v>
      </c>
      <c r="C1945" s="16" t="s">
        <v>11215</v>
      </c>
      <c r="D1945" s="16"/>
      <c r="E1945">
        <v>6</v>
      </c>
      <c r="F1945" t="s">
        <v>4680</v>
      </c>
      <c r="G1945">
        <v>1</v>
      </c>
      <c r="H1945">
        <v>0</v>
      </c>
      <c r="I1945">
        <f>1</f>
        <v>1</v>
      </c>
    </row>
    <row r="1946" spans="2:9" x14ac:dyDescent="0.25">
      <c r="B1946">
        <v>0</v>
      </c>
      <c r="C1946" s="16" t="s">
        <v>11216</v>
      </c>
      <c r="D1946" s="16"/>
      <c r="E1946">
        <v>6</v>
      </c>
      <c r="F1946" t="s">
        <v>5379</v>
      </c>
      <c r="G1946">
        <v>1</v>
      </c>
      <c r="H1946">
        <v>0</v>
      </c>
      <c r="I1946">
        <f>1</f>
        <v>1</v>
      </c>
    </row>
    <row r="1947" spans="2:9" x14ac:dyDescent="0.25">
      <c r="B1947">
        <v>0</v>
      </c>
      <c r="C1947" s="16" t="s">
        <v>11217</v>
      </c>
      <c r="D1947" s="16"/>
      <c r="E1947">
        <v>6</v>
      </c>
      <c r="F1947" t="s">
        <v>4680</v>
      </c>
      <c r="G1947">
        <v>1</v>
      </c>
      <c r="H1947">
        <v>0</v>
      </c>
      <c r="I1947">
        <f>1</f>
        <v>1</v>
      </c>
    </row>
    <row r="1948" spans="2:9" x14ac:dyDescent="0.25">
      <c r="B1948">
        <v>0</v>
      </c>
      <c r="C1948" s="16" t="s">
        <v>11218</v>
      </c>
      <c r="D1948" s="16"/>
      <c r="E1948">
        <v>6</v>
      </c>
      <c r="F1948" t="s">
        <v>4680</v>
      </c>
      <c r="G1948">
        <v>1</v>
      </c>
      <c r="H1948">
        <v>0</v>
      </c>
      <c r="I1948">
        <f>1</f>
        <v>1</v>
      </c>
    </row>
    <row r="1949" spans="2:9" x14ac:dyDescent="0.25">
      <c r="B1949">
        <v>0</v>
      </c>
      <c r="C1949" s="16" t="s">
        <v>11219</v>
      </c>
      <c r="D1949" s="16"/>
      <c r="E1949">
        <v>6</v>
      </c>
      <c r="F1949" t="s">
        <v>5380</v>
      </c>
      <c r="G1949">
        <v>1</v>
      </c>
      <c r="H1949">
        <v>0</v>
      </c>
      <c r="I1949">
        <f>1</f>
        <v>1</v>
      </c>
    </row>
    <row r="1950" spans="2:9" x14ac:dyDescent="0.25">
      <c r="B1950">
        <v>0</v>
      </c>
      <c r="C1950" s="16" t="s">
        <v>11220</v>
      </c>
      <c r="D1950" s="16"/>
      <c r="E1950">
        <v>6</v>
      </c>
      <c r="F1950" t="s">
        <v>5381</v>
      </c>
      <c r="G1950">
        <v>1</v>
      </c>
      <c r="H1950">
        <v>0</v>
      </c>
      <c r="I1950">
        <f>1</f>
        <v>1</v>
      </c>
    </row>
    <row r="1951" spans="2:9" x14ac:dyDescent="0.25">
      <c r="B1951">
        <v>0</v>
      </c>
      <c r="C1951" s="16" t="s">
        <v>11221</v>
      </c>
      <c r="D1951" s="16"/>
      <c r="E1951">
        <v>6</v>
      </c>
      <c r="F1951" t="s">
        <v>5382</v>
      </c>
      <c r="G1951">
        <v>1</v>
      </c>
      <c r="H1951">
        <v>0</v>
      </c>
      <c r="I1951">
        <f>1</f>
        <v>1</v>
      </c>
    </row>
    <row r="1952" spans="2:9" x14ac:dyDescent="0.25">
      <c r="B1952">
        <v>0</v>
      </c>
      <c r="C1952" s="16" t="s">
        <v>11222</v>
      </c>
      <c r="D1952" s="16"/>
      <c r="E1952">
        <v>6</v>
      </c>
      <c r="F1952" t="s">
        <v>5383</v>
      </c>
      <c r="G1952">
        <v>1</v>
      </c>
      <c r="H1952">
        <v>0</v>
      </c>
      <c r="I1952">
        <f>1</f>
        <v>1</v>
      </c>
    </row>
    <row r="1953" spans="2:9" x14ac:dyDescent="0.25">
      <c r="B1953">
        <v>0</v>
      </c>
      <c r="C1953" s="16" t="s">
        <v>11223</v>
      </c>
      <c r="D1953" s="16"/>
      <c r="E1953">
        <v>6</v>
      </c>
      <c r="F1953" t="s">
        <v>5384</v>
      </c>
      <c r="G1953">
        <v>1</v>
      </c>
      <c r="H1953">
        <v>0</v>
      </c>
      <c r="I1953">
        <f>1</f>
        <v>1</v>
      </c>
    </row>
    <row r="1954" spans="2:9" x14ac:dyDescent="0.25">
      <c r="B1954">
        <v>0</v>
      </c>
      <c r="C1954" s="16" t="s">
        <v>11224</v>
      </c>
      <c r="D1954" s="16"/>
      <c r="E1954">
        <v>6</v>
      </c>
      <c r="F1954" t="s">
        <v>5385</v>
      </c>
      <c r="G1954">
        <v>1</v>
      </c>
      <c r="H1954">
        <v>0</v>
      </c>
      <c r="I1954">
        <f>1</f>
        <v>1</v>
      </c>
    </row>
    <row r="1955" spans="2:9" x14ac:dyDescent="0.25">
      <c r="B1955">
        <v>0</v>
      </c>
      <c r="C1955" s="16" t="s">
        <v>11225</v>
      </c>
      <c r="D1955" s="16"/>
      <c r="E1955">
        <v>6</v>
      </c>
      <c r="F1955" t="s">
        <v>4680</v>
      </c>
      <c r="G1955">
        <v>1</v>
      </c>
      <c r="H1955">
        <v>0</v>
      </c>
      <c r="I1955">
        <f>1</f>
        <v>1</v>
      </c>
    </row>
    <row r="1956" spans="2:9" x14ac:dyDescent="0.25">
      <c r="B1956">
        <v>0</v>
      </c>
      <c r="C1956" s="16" t="s">
        <v>11226</v>
      </c>
      <c r="D1956" s="16"/>
      <c r="E1956">
        <v>6</v>
      </c>
      <c r="F1956" t="e">
        <f>-Elementos combustíveis  cartuchos  usados  irradiados  De reatores nucleares</f>
        <v>#NAME?</v>
      </c>
      <c r="G1956">
        <v>1</v>
      </c>
      <c r="H1956">
        <v>0</v>
      </c>
      <c r="I1956">
        <f>1</f>
        <v>1</v>
      </c>
    </row>
    <row r="1957" spans="2:9" x14ac:dyDescent="0.25">
      <c r="B1957">
        <v>0</v>
      </c>
      <c r="C1957" s="16" t="s">
        <v>11227</v>
      </c>
      <c r="D1957" s="16"/>
      <c r="E1957">
        <v>6</v>
      </c>
      <c r="F1957" t="e">
        <f>-água pesada  óxido De deutério</f>
        <v>#NAME?</v>
      </c>
      <c r="G1957">
        <v>1</v>
      </c>
      <c r="H1957">
        <v>0</v>
      </c>
      <c r="I1957">
        <f>1</f>
        <v>1</v>
      </c>
    </row>
    <row r="1958" spans="2:9" x14ac:dyDescent="0.25">
      <c r="B1958">
        <v>0</v>
      </c>
      <c r="C1958" s="16" t="s">
        <v>11228</v>
      </c>
      <c r="D1958" s="16"/>
      <c r="E1958">
        <v>6</v>
      </c>
      <c r="F1958" t="e">
        <f>-outros</f>
        <v>#NAME?</v>
      </c>
      <c r="G1958">
        <v>1</v>
      </c>
      <c r="H1958">
        <v>0</v>
      </c>
      <c r="I1958">
        <f>1</f>
        <v>1</v>
      </c>
    </row>
    <row r="1959" spans="2:9" x14ac:dyDescent="0.25">
      <c r="B1959">
        <v>0</v>
      </c>
      <c r="C1959" s="16" t="s">
        <v>11229</v>
      </c>
      <c r="D1959" s="16"/>
      <c r="E1959">
        <v>6</v>
      </c>
      <c r="F1959" t="s">
        <v>5386</v>
      </c>
      <c r="G1959">
        <v>1</v>
      </c>
      <c r="H1959">
        <v>0</v>
      </c>
      <c r="I1959">
        <f>1</f>
        <v>1</v>
      </c>
    </row>
    <row r="1960" spans="2:9" x14ac:dyDescent="0.25">
      <c r="B1960">
        <v>0</v>
      </c>
      <c r="C1960" s="16" t="s">
        <v>11230</v>
      </c>
      <c r="D1960" s="16"/>
      <c r="E1960">
        <v>6</v>
      </c>
      <c r="F1960" t="s">
        <v>4680</v>
      </c>
      <c r="G1960">
        <v>1</v>
      </c>
      <c r="H1960">
        <v>0</v>
      </c>
      <c r="I1960">
        <f>1</f>
        <v>1</v>
      </c>
    </row>
    <row r="1961" spans="2:9" x14ac:dyDescent="0.25">
      <c r="B1961">
        <v>0</v>
      </c>
      <c r="C1961" s="16" t="s">
        <v>11231</v>
      </c>
      <c r="D1961" s="16"/>
      <c r="E1961">
        <v>6</v>
      </c>
      <c r="F1961" t="s">
        <v>5387</v>
      </c>
      <c r="G1961">
        <v>1</v>
      </c>
      <c r="H1961">
        <v>0</v>
      </c>
      <c r="I1961">
        <f>1</f>
        <v>1</v>
      </c>
    </row>
    <row r="1962" spans="2:9" x14ac:dyDescent="0.25">
      <c r="B1962">
        <v>0</v>
      </c>
      <c r="C1962" s="16" t="s">
        <v>11232</v>
      </c>
      <c r="D1962" s="16"/>
      <c r="E1962">
        <v>6</v>
      </c>
      <c r="F1962" t="s">
        <v>5388</v>
      </c>
      <c r="G1962">
        <v>1</v>
      </c>
      <c r="H1962">
        <v>0</v>
      </c>
      <c r="I1962">
        <f>1</f>
        <v>1</v>
      </c>
    </row>
    <row r="1963" spans="2:9" x14ac:dyDescent="0.25">
      <c r="B1963">
        <v>0</v>
      </c>
      <c r="C1963" s="16" t="s">
        <v>11233</v>
      </c>
      <c r="D1963" s="16"/>
      <c r="E1963">
        <v>6</v>
      </c>
      <c r="F1963" t="s">
        <v>5389</v>
      </c>
      <c r="G1963">
        <v>1</v>
      </c>
      <c r="H1963">
        <v>0</v>
      </c>
      <c r="I1963">
        <f>1</f>
        <v>1</v>
      </c>
    </row>
    <row r="1964" spans="2:9" x14ac:dyDescent="0.25">
      <c r="B1964">
        <v>0</v>
      </c>
      <c r="C1964" s="16" t="s">
        <v>11234</v>
      </c>
      <c r="D1964" s="16"/>
      <c r="E1964">
        <v>6</v>
      </c>
      <c r="F1964" t="s">
        <v>4680</v>
      </c>
      <c r="G1964">
        <v>1</v>
      </c>
      <c r="H1964">
        <v>0</v>
      </c>
      <c r="I1964">
        <f>1</f>
        <v>1</v>
      </c>
    </row>
    <row r="1965" spans="2:9" x14ac:dyDescent="0.25">
      <c r="B1965">
        <v>0</v>
      </c>
      <c r="C1965" s="16" t="s">
        <v>11235</v>
      </c>
      <c r="D1965" s="16"/>
      <c r="E1965">
        <v>6</v>
      </c>
      <c r="F1965" t="s">
        <v>5390</v>
      </c>
      <c r="G1965">
        <v>1</v>
      </c>
      <c r="H1965">
        <v>0</v>
      </c>
      <c r="I1965">
        <f>1</f>
        <v>1</v>
      </c>
    </row>
    <row r="1966" spans="2:9" x14ac:dyDescent="0.25">
      <c r="B1966">
        <v>0</v>
      </c>
      <c r="C1966" s="16" t="s">
        <v>11236</v>
      </c>
      <c r="D1966" s="16"/>
      <c r="E1966">
        <v>6</v>
      </c>
      <c r="F1966" t="s">
        <v>5314</v>
      </c>
      <c r="G1966">
        <v>1</v>
      </c>
      <c r="H1966">
        <v>0</v>
      </c>
      <c r="I1966">
        <f>1</f>
        <v>1</v>
      </c>
    </row>
    <row r="1967" spans="2:9" x14ac:dyDescent="0.25">
      <c r="B1967">
        <v>0</v>
      </c>
      <c r="C1967" s="16" t="s">
        <v>11237</v>
      </c>
      <c r="D1967" s="16"/>
      <c r="E1967">
        <v>6</v>
      </c>
      <c r="F1967" t="s">
        <v>5356</v>
      </c>
      <c r="G1967">
        <v>1</v>
      </c>
      <c r="H1967">
        <v>0</v>
      </c>
      <c r="I1967">
        <f>1</f>
        <v>1</v>
      </c>
    </row>
    <row r="1968" spans="2:9" x14ac:dyDescent="0.25">
      <c r="B1968">
        <v>0</v>
      </c>
      <c r="C1968" s="16" t="s">
        <v>11238</v>
      </c>
      <c r="D1968" s="16"/>
      <c r="E1968">
        <v>6</v>
      </c>
      <c r="F1968" t="s">
        <v>5391</v>
      </c>
      <c r="G1968">
        <v>1</v>
      </c>
      <c r="H1968">
        <v>0</v>
      </c>
      <c r="I1968">
        <f>1</f>
        <v>1</v>
      </c>
    </row>
    <row r="1969" spans="2:9" x14ac:dyDescent="0.25">
      <c r="B1969">
        <v>0</v>
      </c>
      <c r="C1969" s="16" t="s">
        <v>11239</v>
      </c>
      <c r="D1969" s="16"/>
      <c r="E1969">
        <v>6</v>
      </c>
      <c r="F1969" t="s">
        <v>4680</v>
      </c>
      <c r="G1969">
        <v>1</v>
      </c>
      <c r="H1969">
        <v>0</v>
      </c>
      <c r="I1969">
        <f>1</f>
        <v>1</v>
      </c>
    </row>
    <row r="1970" spans="2:9" x14ac:dyDescent="0.25">
      <c r="B1970">
        <v>0</v>
      </c>
      <c r="C1970" s="16" t="s">
        <v>11240</v>
      </c>
      <c r="D1970" s="16"/>
      <c r="E1970">
        <v>6</v>
      </c>
      <c r="F1970" t="e">
        <f>-De Cálcio</f>
        <v>#NAME?</v>
      </c>
      <c r="G1970">
        <v>1</v>
      </c>
      <c r="H1970">
        <v>0</v>
      </c>
      <c r="I1970">
        <f>1</f>
        <v>1</v>
      </c>
    </row>
    <row r="1971" spans="2:9" x14ac:dyDescent="0.25">
      <c r="B1971">
        <v>0</v>
      </c>
      <c r="C1971" s="16" t="s">
        <v>11241</v>
      </c>
      <c r="D1971" s="16"/>
      <c r="E1971">
        <v>6</v>
      </c>
      <c r="F1971" t="e">
        <f>-De silício</f>
        <v>#NAME?</v>
      </c>
      <c r="G1971">
        <v>1</v>
      </c>
      <c r="H1971">
        <v>0</v>
      </c>
      <c r="I1971">
        <f>1</f>
        <v>1</v>
      </c>
    </row>
    <row r="1972" spans="2:9" x14ac:dyDescent="0.25">
      <c r="B1972">
        <v>0</v>
      </c>
      <c r="C1972" s="16" t="s">
        <v>11242</v>
      </c>
      <c r="D1972" s="16"/>
      <c r="E1972">
        <v>6</v>
      </c>
      <c r="F1972" t="s">
        <v>5392</v>
      </c>
      <c r="G1972">
        <v>1</v>
      </c>
      <c r="H1972">
        <v>0</v>
      </c>
      <c r="I1972">
        <f>1</f>
        <v>1</v>
      </c>
    </row>
    <row r="1973" spans="2:9" x14ac:dyDescent="0.25">
      <c r="B1973">
        <v>0</v>
      </c>
      <c r="C1973" s="16" t="s">
        <v>11243</v>
      </c>
      <c r="D1973" s="16"/>
      <c r="E1973">
        <v>6</v>
      </c>
      <c r="F1973" t="s">
        <v>5393</v>
      </c>
      <c r="G1973">
        <v>1</v>
      </c>
      <c r="H1973">
        <v>0</v>
      </c>
      <c r="I1973">
        <f>1</f>
        <v>1</v>
      </c>
    </row>
    <row r="1974" spans="2:9" x14ac:dyDescent="0.25">
      <c r="B1974">
        <v>0</v>
      </c>
      <c r="C1974" s="16" t="s">
        <v>11244</v>
      </c>
      <c r="D1974" s="16"/>
      <c r="E1974">
        <v>6</v>
      </c>
      <c r="F1974" t="s">
        <v>5394</v>
      </c>
      <c r="G1974">
        <v>1</v>
      </c>
      <c r="H1974">
        <v>0</v>
      </c>
      <c r="I1974">
        <f>1</f>
        <v>1</v>
      </c>
    </row>
    <row r="1975" spans="2:9" x14ac:dyDescent="0.25">
      <c r="B1975">
        <v>0</v>
      </c>
      <c r="C1975" s="16" t="s">
        <v>11245</v>
      </c>
      <c r="D1975" s="16"/>
      <c r="E1975">
        <v>6</v>
      </c>
      <c r="F1975" t="s">
        <v>4680</v>
      </c>
      <c r="G1975">
        <v>1</v>
      </c>
      <c r="H1975">
        <v>0</v>
      </c>
      <c r="I1975">
        <f>1</f>
        <v>1</v>
      </c>
    </row>
    <row r="1976" spans="2:9" x14ac:dyDescent="0.25">
      <c r="B1976">
        <v>0</v>
      </c>
      <c r="C1976" s="16" t="s">
        <v>11246</v>
      </c>
      <c r="D1976" s="16"/>
      <c r="E1976">
        <v>6</v>
      </c>
      <c r="F1976" t="s">
        <v>5395</v>
      </c>
      <c r="G1976">
        <v>1</v>
      </c>
      <c r="H1976">
        <v>0</v>
      </c>
      <c r="I1976">
        <f>1</f>
        <v>1</v>
      </c>
    </row>
    <row r="1977" spans="2:9" x14ac:dyDescent="0.25">
      <c r="B1977">
        <v>0</v>
      </c>
      <c r="C1977" s="16" t="s">
        <v>11247</v>
      </c>
      <c r="D1977" s="16"/>
      <c r="E1977">
        <v>6</v>
      </c>
      <c r="F1977" t="s">
        <v>5396</v>
      </c>
      <c r="G1977">
        <v>1</v>
      </c>
      <c r="H1977">
        <v>0</v>
      </c>
      <c r="I1977">
        <f>1</f>
        <v>1</v>
      </c>
    </row>
    <row r="1978" spans="2:9" x14ac:dyDescent="0.25">
      <c r="B1978">
        <v>0</v>
      </c>
      <c r="C1978" s="16" t="s">
        <v>11248</v>
      </c>
      <c r="D1978" s="16"/>
      <c r="E1978">
        <v>6</v>
      </c>
      <c r="F1978" t="s">
        <v>4680</v>
      </c>
      <c r="G1978">
        <v>1</v>
      </c>
      <c r="H1978">
        <v>0</v>
      </c>
      <c r="I1978">
        <f>1</f>
        <v>1</v>
      </c>
    </row>
    <row r="1979" spans="2:9" x14ac:dyDescent="0.25">
      <c r="B1979">
        <v>0</v>
      </c>
      <c r="C1979" s="16" t="s">
        <v>11249</v>
      </c>
      <c r="D1979" s="16"/>
      <c r="E1979">
        <v>6</v>
      </c>
      <c r="F1979" t="s">
        <v>5267</v>
      </c>
      <c r="G1979">
        <v>1</v>
      </c>
      <c r="H1979">
        <v>0</v>
      </c>
      <c r="I1979">
        <f>1</f>
        <v>1</v>
      </c>
    </row>
    <row r="1980" spans="2:9" x14ac:dyDescent="0.25">
      <c r="B1980">
        <v>0</v>
      </c>
      <c r="C1980" s="16" t="s">
        <v>11250</v>
      </c>
      <c r="D1980" s="16"/>
      <c r="E1980">
        <v>6</v>
      </c>
      <c r="F1980" t="s">
        <v>5397</v>
      </c>
      <c r="G1980">
        <v>1</v>
      </c>
      <c r="H1980">
        <v>0</v>
      </c>
      <c r="I1980">
        <f>1</f>
        <v>1</v>
      </c>
    </row>
    <row r="1981" spans="2:9" x14ac:dyDescent="0.25">
      <c r="B1981">
        <v>0</v>
      </c>
      <c r="C1981" s="16" t="s">
        <v>11251</v>
      </c>
      <c r="D1981" s="16"/>
      <c r="E1981">
        <v>6</v>
      </c>
      <c r="F1981" t="s">
        <v>5398</v>
      </c>
      <c r="G1981">
        <v>1</v>
      </c>
      <c r="H1981">
        <v>0</v>
      </c>
      <c r="I1981">
        <f>1</f>
        <v>1</v>
      </c>
    </row>
    <row r="1982" spans="2:9" x14ac:dyDescent="0.25">
      <c r="B1982">
        <v>0</v>
      </c>
      <c r="C1982" s="16" t="s">
        <v>11252</v>
      </c>
      <c r="D1982" s="16"/>
      <c r="E1982">
        <v>6</v>
      </c>
      <c r="F1982" t="s">
        <v>5399</v>
      </c>
      <c r="G1982">
        <v>1</v>
      </c>
      <c r="H1982">
        <v>0</v>
      </c>
      <c r="I1982">
        <f>1</f>
        <v>1</v>
      </c>
    </row>
    <row r="1983" spans="2:9" x14ac:dyDescent="0.25">
      <c r="B1983">
        <v>0</v>
      </c>
      <c r="C1983" s="16" t="s">
        <v>11253</v>
      </c>
      <c r="D1983" s="16"/>
      <c r="E1983">
        <v>6</v>
      </c>
      <c r="F1983" t="s">
        <v>4680</v>
      </c>
      <c r="G1983">
        <v>1</v>
      </c>
      <c r="H1983">
        <v>0</v>
      </c>
      <c r="I1983">
        <f>1</f>
        <v>1</v>
      </c>
    </row>
    <row r="1984" spans="2:9" x14ac:dyDescent="0.25">
      <c r="B1984">
        <v>0</v>
      </c>
      <c r="C1984" s="16" t="s">
        <v>11254</v>
      </c>
      <c r="D1984" s="16"/>
      <c r="E1984">
        <v>6</v>
      </c>
      <c r="F1984" t="s">
        <v>5400</v>
      </c>
      <c r="G1984">
        <v>1</v>
      </c>
      <c r="H1984">
        <v>0</v>
      </c>
      <c r="I1984">
        <f>1</f>
        <v>1</v>
      </c>
    </row>
    <row r="1985" spans="2:9" x14ac:dyDescent="0.25">
      <c r="B1985">
        <v>0</v>
      </c>
      <c r="C1985" s="16" t="s">
        <v>11255</v>
      </c>
      <c r="D1985" s="16"/>
      <c r="E1985">
        <v>6</v>
      </c>
      <c r="F1985" t="s">
        <v>5401</v>
      </c>
      <c r="G1985">
        <v>1</v>
      </c>
      <c r="H1985">
        <v>0</v>
      </c>
      <c r="I1985">
        <f>1</f>
        <v>1</v>
      </c>
    </row>
    <row r="1986" spans="2:9" x14ac:dyDescent="0.25">
      <c r="B1986">
        <v>0</v>
      </c>
      <c r="C1986" s="16" t="s">
        <v>11256</v>
      </c>
      <c r="D1986" s="16"/>
      <c r="E1986">
        <v>6</v>
      </c>
      <c r="F1986" t="s">
        <v>5402</v>
      </c>
      <c r="G1986">
        <v>1</v>
      </c>
      <c r="H1986">
        <v>0</v>
      </c>
      <c r="I1986">
        <f>1</f>
        <v>1</v>
      </c>
    </row>
    <row r="1987" spans="2:9" x14ac:dyDescent="0.25">
      <c r="B1987">
        <v>0</v>
      </c>
      <c r="C1987" s="16" t="s">
        <v>11257</v>
      </c>
      <c r="D1987" s="16"/>
      <c r="E1987">
        <v>6</v>
      </c>
      <c r="F1987" t="s">
        <v>5403</v>
      </c>
      <c r="G1987">
        <v>1</v>
      </c>
      <c r="H1987">
        <v>0</v>
      </c>
      <c r="I1987">
        <f>1</f>
        <v>1</v>
      </c>
    </row>
    <row r="1988" spans="2:9" x14ac:dyDescent="0.25">
      <c r="B1988">
        <v>0</v>
      </c>
      <c r="C1988" s="16" t="s">
        <v>11258</v>
      </c>
      <c r="D1988" s="16"/>
      <c r="E1988">
        <v>6</v>
      </c>
      <c r="F1988" t="s">
        <v>5404</v>
      </c>
      <c r="G1988">
        <v>1</v>
      </c>
      <c r="H1988">
        <v>0</v>
      </c>
      <c r="I1988">
        <f>1</f>
        <v>1</v>
      </c>
    </row>
    <row r="1989" spans="2:9" x14ac:dyDescent="0.25">
      <c r="B1989">
        <v>0</v>
      </c>
      <c r="C1989" s="16" t="s">
        <v>11259</v>
      </c>
      <c r="D1989" s="16"/>
      <c r="E1989">
        <v>6</v>
      </c>
      <c r="F1989" t="s">
        <v>4680</v>
      </c>
      <c r="G1989">
        <v>1</v>
      </c>
      <c r="H1989">
        <v>0</v>
      </c>
      <c r="I1989">
        <f>1</f>
        <v>1</v>
      </c>
    </row>
    <row r="1990" spans="2:9" x14ac:dyDescent="0.25">
      <c r="B1990">
        <v>0</v>
      </c>
      <c r="C1990" s="16" t="s">
        <v>11260</v>
      </c>
      <c r="D1990" s="16"/>
      <c r="E1990">
        <v>6</v>
      </c>
      <c r="F1990" t="e">
        <f>-outros</f>
        <v>#NAME?</v>
      </c>
      <c r="G1990">
        <v>1</v>
      </c>
      <c r="H1990">
        <v>0</v>
      </c>
      <c r="I1990">
        <f>1</f>
        <v>1</v>
      </c>
    </row>
    <row r="1991" spans="2:9" x14ac:dyDescent="0.25">
      <c r="B1991">
        <v>0</v>
      </c>
      <c r="C1991" s="16" t="s">
        <v>11261</v>
      </c>
      <c r="D1991" s="16"/>
      <c r="E1991">
        <v>6</v>
      </c>
      <c r="F1991" t="s">
        <v>5405</v>
      </c>
      <c r="G1991">
        <v>1</v>
      </c>
      <c r="H1991">
        <v>0</v>
      </c>
      <c r="I1991">
        <f>1</f>
        <v>1</v>
      </c>
    </row>
    <row r="1992" spans="2:9" x14ac:dyDescent="0.25">
      <c r="B1992">
        <v>0</v>
      </c>
      <c r="C1992" s="16" t="s">
        <v>11262</v>
      </c>
      <c r="D1992" s="16"/>
      <c r="E1992">
        <v>6</v>
      </c>
      <c r="F1992" t="s">
        <v>5406</v>
      </c>
      <c r="G1992">
        <v>1</v>
      </c>
      <c r="H1992">
        <v>0</v>
      </c>
      <c r="I1992">
        <f>1</f>
        <v>1</v>
      </c>
    </row>
    <row r="1993" spans="2:9" x14ac:dyDescent="0.25">
      <c r="B1993">
        <v>0</v>
      </c>
      <c r="C1993" s="16" t="s">
        <v>11263</v>
      </c>
      <c r="D1993" s="16"/>
      <c r="E1993">
        <v>6</v>
      </c>
      <c r="F1993" t="s">
        <v>5407</v>
      </c>
      <c r="G1993">
        <v>1</v>
      </c>
      <c r="H1993">
        <v>0</v>
      </c>
      <c r="I1993">
        <f>1</f>
        <v>1</v>
      </c>
    </row>
    <row r="1994" spans="2:9" x14ac:dyDescent="0.25">
      <c r="B1994">
        <v>0</v>
      </c>
      <c r="C1994" s="16" t="s">
        <v>11264</v>
      </c>
      <c r="D1994" s="16"/>
      <c r="E1994">
        <v>6</v>
      </c>
      <c r="F1994" t="s">
        <v>4680</v>
      </c>
      <c r="G1994">
        <v>1</v>
      </c>
      <c r="H1994">
        <v>0</v>
      </c>
      <c r="I1994">
        <f>1</f>
        <v>1</v>
      </c>
    </row>
    <row r="1995" spans="2:9" x14ac:dyDescent="0.25">
      <c r="B1995">
        <v>0</v>
      </c>
      <c r="C1995" s="16" t="s">
        <v>11265</v>
      </c>
      <c r="D1995" s="16"/>
      <c r="E1995">
        <v>6</v>
      </c>
      <c r="F1995" t="s">
        <v>4680</v>
      </c>
      <c r="G1995">
        <v>1</v>
      </c>
      <c r="H1995">
        <v>0</v>
      </c>
      <c r="I1995">
        <f>1</f>
        <v>1</v>
      </c>
    </row>
    <row r="1996" spans="2:9" x14ac:dyDescent="0.25">
      <c r="B1996">
        <v>0</v>
      </c>
      <c r="C1996" s="16" t="s">
        <v>11265</v>
      </c>
      <c r="D1996" s="16" t="s">
        <v>19430</v>
      </c>
      <c r="E1996">
        <v>6</v>
      </c>
      <c r="F1996" t="s">
        <v>5408</v>
      </c>
      <c r="G1996">
        <v>1</v>
      </c>
      <c r="H1996">
        <v>0</v>
      </c>
      <c r="I1996">
        <f>1</f>
        <v>1</v>
      </c>
    </row>
    <row r="1997" spans="2:9" x14ac:dyDescent="0.25">
      <c r="B1997">
        <v>0</v>
      </c>
      <c r="C1997" s="16" t="s">
        <v>11266</v>
      </c>
      <c r="D1997" s="16"/>
      <c r="E1997">
        <v>6</v>
      </c>
      <c r="F1997" t="e">
        <f>-Saturados</f>
        <v>#NAME?</v>
      </c>
      <c r="G1997">
        <v>1</v>
      </c>
      <c r="H1997">
        <v>0</v>
      </c>
      <c r="I1997">
        <f>1</f>
        <v>1</v>
      </c>
    </row>
    <row r="1998" spans="2:9" x14ac:dyDescent="0.25">
      <c r="B1998">
        <v>0</v>
      </c>
      <c r="C1998" s="16" t="s">
        <v>11267</v>
      </c>
      <c r="D1998" s="16"/>
      <c r="E1998">
        <v>6</v>
      </c>
      <c r="F1998" t="e">
        <f>--Etileno</f>
        <v>#NAME?</v>
      </c>
      <c r="G1998">
        <v>1</v>
      </c>
      <c r="H1998">
        <v>0</v>
      </c>
      <c r="I1998">
        <f>1</f>
        <v>1</v>
      </c>
    </row>
    <row r="1999" spans="2:9" x14ac:dyDescent="0.25">
      <c r="B1999">
        <v>0</v>
      </c>
      <c r="C1999" s="16" t="s">
        <v>11268</v>
      </c>
      <c r="D1999" s="16"/>
      <c r="E1999">
        <v>6</v>
      </c>
      <c r="F1999" t="e">
        <f>--Propeno  propileno</f>
        <v>#NAME?</v>
      </c>
      <c r="G1999">
        <v>1</v>
      </c>
      <c r="H1999">
        <v>0</v>
      </c>
      <c r="I1999">
        <f>1</f>
        <v>1</v>
      </c>
    </row>
    <row r="2000" spans="2:9" x14ac:dyDescent="0.25">
      <c r="B2000">
        <v>0</v>
      </c>
      <c r="C2000" s="16" t="s">
        <v>11269</v>
      </c>
      <c r="D2000" s="16"/>
      <c r="E2000">
        <v>6</v>
      </c>
      <c r="F2000" t="e">
        <f>--Buteno  butileno  e seus isômeros</f>
        <v>#NAME?</v>
      </c>
      <c r="G2000">
        <v>1</v>
      </c>
      <c r="H2000">
        <v>0</v>
      </c>
      <c r="I2000">
        <f>1</f>
        <v>1</v>
      </c>
    </row>
    <row r="2001" spans="2:9" x14ac:dyDescent="0.25">
      <c r="B2001">
        <v>0</v>
      </c>
      <c r="C2001" s="16" t="s">
        <v>11270</v>
      </c>
      <c r="D2001" s="16"/>
      <c r="E2001">
        <v>6</v>
      </c>
      <c r="F2001" t="s">
        <v>5409</v>
      </c>
      <c r="G2001">
        <v>1</v>
      </c>
      <c r="H2001">
        <v>0</v>
      </c>
      <c r="I2001">
        <f>1</f>
        <v>1</v>
      </c>
    </row>
    <row r="2002" spans="2:9" x14ac:dyDescent="0.25">
      <c r="B2002">
        <v>0</v>
      </c>
      <c r="C2002" s="16" t="s">
        <v>11271</v>
      </c>
      <c r="D2002" s="16"/>
      <c r="E2002">
        <v>6</v>
      </c>
      <c r="F2002" t="s">
        <v>5410</v>
      </c>
      <c r="G2002">
        <v>1</v>
      </c>
      <c r="H2002">
        <v>0</v>
      </c>
      <c r="I2002">
        <f>1</f>
        <v>1</v>
      </c>
    </row>
    <row r="2003" spans="2:9" x14ac:dyDescent="0.25">
      <c r="B2003">
        <v>0</v>
      </c>
      <c r="C2003" s="16" t="s">
        <v>11272</v>
      </c>
      <c r="D2003" s="16"/>
      <c r="E2003">
        <v>6</v>
      </c>
      <c r="F2003" t="e">
        <f>--outros</f>
        <v>#NAME?</v>
      </c>
      <c r="G2003">
        <v>1</v>
      </c>
      <c r="H2003">
        <v>0</v>
      </c>
      <c r="I2003">
        <f>1</f>
        <v>1</v>
      </c>
    </row>
    <row r="2004" spans="2:9" x14ac:dyDescent="0.25">
      <c r="B2004">
        <v>0</v>
      </c>
      <c r="C2004" s="16" t="s">
        <v>11273</v>
      </c>
      <c r="D2004" s="16"/>
      <c r="E2004">
        <v>6</v>
      </c>
      <c r="F2004" t="e">
        <f>--Cicloexano</f>
        <v>#NAME?</v>
      </c>
      <c r="G2004">
        <v>1</v>
      </c>
      <c r="H2004">
        <v>0</v>
      </c>
      <c r="I2004">
        <f>1</f>
        <v>1</v>
      </c>
    </row>
    <row r="2005" spans="2:9" x14ac:dyDescent="0.25">
      <c r="B2005">
        <v>0</v>
      </c>
      <c r="C2005" s="16" t="s">
        <v>11274</v>
      </c>
      <c r="D2005" s="16"/>
      <c r="E2005">
        <v>6</v>
      </c>
      <c r="F2005" t="s">
        <v>5411</v>
      </c>
      <c r="G2005">
        <v>1</v>
      </c>
      <c r="H2005">
        <v>0</v>
      </c>
      <c r="I2005">
        <f>1</f>
        <v>1</v>
      </c>
    </row>
    <row r="2006" spans="2:9" x14ac:dyDescent="0.25">
      <c r="B2006">
        <v>0</v>
      </c>
      <c r="C2006" s="16" t="s">
        <v>11275</v>
      </c>
      <c r="D2006" s="16"/>
      <c r="E2006">
        <v>6</v>
      </c>
      <c r="F2006" t="s">
        <v>4680</v>
      </c>
      <c r="G2006">
        <v>1</v>
      </c>
      <c r="H2006">
        <v>0</v>
      </c>
      <c r="I2006">
        <f>1</f>
        <v>1</v>
      </c>
    </row>
    <row r="2007" spans="2:9" x14ac:dyDescent="0.25">
      <c r="B2007">
        <v>0</v>
      </c>
      <c r="C2007" s="16" t="s">
        <v>11276</v>
      </c>
      <c r="D2007" s="16"/>
      <c r="E2007">
        <v>6</v>
      </c>
      <c r="F2007" t="e">
        <f>-benzeno</f>
        <v>#NAME?</v>
      </c>
      <c r="G2007">
        <v>1</v>
      </c>
      <c r="H2007">
        <v>0</v>
      </c>
      <c r="I2007">
        <f>1</f>
        <v>1</v>
      </c>
    </row>
    <row r="2008" spans="2:9" x14ac:dyDescent="0.25">
      <c r="B2008">
        <v>0</v>
      </c>
      <c r="C2008" s="16" t="s">
        <v>11277</v>
      </c>
      <c r="D2008" s="16"/>
      <c r="E2008">
        <v>6</v>
      </c>
      <c r="F2008" t="e">
        <f>-tolueno</f>
        <v>#NAME?</v>
      </c>
      <c r="G2008">
        <v>1</v>
      </c>
      <c r="H2008">
        <v>0</v>
      </c>
      <c r="I2008">
        <f>1</f>
        <v>1</v>
      </c>
    </row>
    <row r="2009" spans="2:9" x14ac:dyDescent="0.25">
      <c r="B2009">
        <v>0</v>
      </c>
      <c r="C2009" s="16" t="s">
        <v>11278</v>
      </c>
      <c r="D2009" s="16"/>
      <c r="E2009">
        <v>6</v>
      </c>
      <c r="F2009" t="e">
        <f>--o-Xileno</f>
        <v>#NAME?</v>
      </c>
      <c r="G2009">
        <v>1</v>
      </c>
      <c r="H2009">
        <v>0</v>
      </c>
      <c r="I2009">
        <f>1</f>
        <v>1</v>
      </c>
    </row>
    <row r="2010" spans="2:9" x14ac:dyDescent="0.25">
      <c r="B2010">
        <v>0</v>
      </c>
      <c r="C2010" s="16" t="s">
        <v>11279</v>
      </c>
      <c r="D2010" s="16"/>
      <c r="E2010">
        <v>6</v>
      </c>
      <c r="F2010" t="e">
        <f>--m-Xileno</f>
        <v>#NAME?</v>
      </c>
      <c r="G2010">
        <v>1</v>
      </c>
      <c r="H2010">
        <v>0</v>
      </c>
      <c r="I2010">
        <f>1</f>
        <v>1</v>
      </c>
    </row>
    <row r="2011" spans="2:9" x14ac:dyDescent="0.25">
      <c r="B2011">
        <v>0</v>
      </c>
      <c r="C2011" s="16" t="s">
        <v>11280</v>
      </c>
      <c r="D2011" s="16"/>
      <c r="E2011">
        <v>6</v>
      </c>
      <c r="F2011" t="e">
        <f>--p-Xileno</f>
        <v>#NAME?</v>
      </c>
      <c r="G2011">
        <v>1</v>
      </c>
      <c r="H2011">
        <v>0</v>
      </c>
      <c r="I2011">
        <f>1</f>
        <v>1</v>
      </c>
    </row>
    <row r="2012" spans="2:9" x14ac:dyDescent="0.25">
      <c r="B2012">
        <v>0</v>
      </c>
      <c r="C2012" s="16" t="s">
        <v>11281</v>
      </c>
      <c r="D2012" s="16"/>
      <c r="E2012">
        <v>6</v>
      </c>
      <c r="F2012" t="e">
        <f>--Mistura De isômeros do Xileno</f>
        <v>#NAME?</v>
      </c>
      <c r="G2012">
        <v>1</v>
      </c>
      <c r="H2012">
        <v>0</v>
      </c>
      <c r="I2012">
        <f>1</f>
        <v>1</v>
      </c>
    </row>
    <row r="2013" spans="2:9" x14ac:dyDescent="0.25">
      <c r="B2013">
        <v>0</v>
      </c>
      <c r="C2013" s="16" t="s">
        <v>11282</v>
      </c>
      <c r="D2013" s="16"/>
      <c r="E2013">
        <v>6</v>
      </c>
      <c r="F2013" t="e">
        <f>-Estireno</f>
        <v>#NAME?</v>
      </c>
      <c r="G2013">
        <v>1</v>
      </c>
      <c r="H2013">
        <v>0</v>
      </c>
      <c r="I2013">
        <f>1</f>
        <v>1</v>
      </c>
    </row>
    <row r="2014" spans="2:9" x14ac:dyDescent="0.25">
      <c r="B2014">
        <v>0</v>
      </c>
      <c r="C2014" s="16" t="s">
        <v>11283</v>
      </c>
      <c r="D2014" s="16"/>
      <c r="E2014">
        <v>6</v>
      </c>
      <c r="F2014" t="e">
        <f>-Etilbenzeno</f>
        <v>#NAME?</v>
      </c>
      <c r="G2014">
        <v>1</v>
      </c>
      <c r="H2014">
        <v>0</v>
      </c>
      <c r="I2014">
        <f>1</f>
        <v>1</v>
      </c>
    </row>
    <row r="2015" spans="2:9" x14ac:dyDescent="0.25">
      <c r="B2015">
        <v>0</v>
      </c>
      <c r="C2015" s="16" t="s">
        <v>11284</v>
      </c>
      <c r="D2015" s="16"/>
      <c r="E2015">
        <v>6</v>
      </c>
      <c r="F2015" t="e">
        <f>-Cumeno</f>
        <v>#NAME?</v>
      </c>
      <c r="G2015">
        <v>1</v>
      </c>
      <c r="H2015">
        <v>0</v>
      </c>
      <c r="I2015">
        <f>1</f>
        <v>1</v>
      </c>
    </row>
    <row r="2016" spans="2:9" x14ac:dyDescent="0.25">
      <c r="B2016">
        <v>0</v>
      </c>
      <c r="C2016" s="16" t="s">
        <v>11285</v>
      </c>
      <c r="D2016" s="16"/>
      <c r="E2016">
        <v>6</v>
      </c>
      <c r="F2016" t="s">
        <v>5412</v>
      </c>
      <c r="G2016">
        <v>1</v>
      </c>
      <c r="H2016">
        <v>0</v>
      </c>
      <c r="I2016">
        <f>1</f>
        <v>1</v>
      </c>
    </row>
    <row r="2017" spans="2:9" x14ac:dyDescent="0.25">
      <c r="B2017">
        <v>0</v>
      </c>
      <c r="C2017" s="16" t="s">
        <v>11286</v>
      </c>
      <c r="D2017" s="16"/>
      <c r="E2017">
        <v>6</v>
      </c>
      <c r="F2017" t="s">
        <v>5413</v>
      </c>
      <c r="G2017">
        <v>1</v>
      </c>
      <c r="H2017">
        <v>0</v>
      </c>
      <c r="I2017">
        <f>1</f>
        <v>1</v>
      </c>
    </row>
    <row r="2018" spans="2:9" x14ac:dyDescent="0.25">
      <c r="B2018">
        <v>0</v>
      </c>
      <c r="C2018" s="16" t="s">
        <v>11287</v>
      </c>
      <c r="D2018" s="16"/>
      <c r="E2018">
        <v>6</v>
      </c>
      <c r="F2018" t="s">
        <v>5414</v>
      </c>
      <c r="G2018">
        <v>1</v>
      </c>
      <c r="H2018">
        <v>0</v>
      </c>
      <c r="I2018">
        <f>1</f>
        <v>1</v>
      </c>
    </row>
    <row r="2019" spans="2:9" x14ac:dyDescent="0.25">
      <c r="B2019">
        <v>0</v>
      </c>
      <c r="C2019" s="16" t="s">
        <v>11288</v>
      </c>
      <c r="D2019" s="16"/>
      <c r="E2019">
        <v>6</v>
      </c>
      <c r="F2019" t="s">
        <v>5415</v>
      </c>
      <c r="G2019">
        <v>1</v>
      </c>
      <c r="H2019">
        <v>0</v>
      </c>
      <c r="I2019">
        <f>1</f>
        <v>1</v>
      </c>
    </row>
    <row r="2020" spans="2:9" x14ac:dyDescent="0.25">
      <c r="B2020">
        <v>0</v>
      </c>
      <c r="C2020" s="16" t="s">
        <v>11289</v>
      </c>
      <c r="D2020" s="16"/>
      <c r="E2020">
        <v>6</v>
      </c>
      <c r="F2020" t="s">
        <v>4680</v>
      </c>
      <c r="G2020">
        <v>1</v>
      </c>
      <c r="H2020">
        <v>0</v>
      </c>
      <c r="I2020">
        <f>1</f>
        <v>1</v>
      </c>
    </row>
    <row r="2021" spans="2:9" x14ac:dyDescent="0.25">
      <c r="B2021">
        <v>0</v>
      </c>
      <c r="C2021" s="16" t="s">
        <v>11290</v>
      </c>
      <c r="D2021" s="16"/>
      <c r="E2021">
        <v>6</v>
      </c>
      <c r="F2021" t="s">
        <v>5416</v>
      </c>
      <c r="G2021">
        <v>1</v>
      </c>
      <c r="H2021">
        <v>0</v>
      </c>
      <c r="I2021">
        <f>1</f>
        <v>1</v>
      </c>
    </row>
    <row r="2022" spans="2:9" x14ac:dyDescent="0.25">
      <c r="B2022">
        <v>0</v>
      </c>
      <c r="C2022" s="16" t="s">
        <v>11291</v>
      </c>
      <c r="D2022" s="16"/>
      <c r="E2022">
        <v>6</v>
      </c>
      <c r="F2022" t="s">
        <v>5417</v>
      </c>
      <c r="G2022">
        <v>1</v>
      </c>
      <c r="H2022">
        <v>0</v>
      </c>
      <c r="I2022">
        <f>1</f>
        <v>1</v>
      </c>
    </row>
    <row r="2023" spans="2:9" x14ac:dyDescent="0.25">
      <c r="B2023">
        <v>0</v>
      </c>
      <c r="C2023" s="16" t="s">
        <v>11292</v>
      </c>
      <c r="D2023" s="16"/>
      <c r="E2023">
        <v>6</v>
      </c>
      <c r="F2023" t="e">
        <f>--Diclorometano  Cloreto De metileno</f>
        <v>#NAME?</v>
      </c>
      <c r="G2023">
        <v>1</v>
      </c>
      <c r="H2023">
        <v>0</v>
      </c>
      <c r="I2023">
        <f>1</f>
        <v>1</v>
      </c>
    </row>
    <row r="2024" spans="2:9" x14ac:dyDescent="0.25">
      <c r="B2024">
        <v>0</v>
      </c>
      <c r="C2024" s="16" t="s">
        <v>11293</v>
      </c>
      <c r="D2024" s="16"/>
      <c r="E2024">
        <v>6</v>
      </c>
      <c r="F2024" t="e">
        <f>--Clorofórmio  triclorometano</f>
        <v>#NAME?</v>
      </c>
      <c r="G2024">
        <v>1</v>
      </c>
      <c r="H2024">
        <v>0</v>
      </c>
      <c r="I2024">
        <f>1</f>
        <v>1</v>
      </c>
    </row>
    <row r="2025" spans="2:9" x14ac:dyDescent="0.25">
      <c r="B2025">
        <v>0</v>
      </c>
      <c r="C2025" s="16" t="s">
        <v>11294</v>
      </c>
      <c r="D2025" s="16"/>
      <c r="E2025">
        <v>6</v>
      </c>
      <c r="F2025" t="e">
        <f>--Tetracloreto De carbono</f>
        <v>#NAME?</v>
      </c>
      <c r="G2025">
        <v>1</v>
      </c>
      <c r="H2025">
        <v>0</v>
      </c>
      <c r="I2025">
        <f>1</f>
        <v>1</v>
      </c>
    </row>
    <row r="2026" spans="2:9" x14ac:dyDescent="0.25">
      <c r="B2026">
        <v>0</v>
      </c>
      <c r="C2026" s="16" t="s">
        <v>11295</v>
      </c>
      <c r="D2026" s="16"/>
      <c r="E2026">
        <v>6</v>
      </c>
      <c r="F2026" t="s">
        <v>5418</v>
      </c>
      <c r="G2026">
        <v>1</v>
      </c>
      <c r="H2026">
        <v>0</v>
      </c>
      <c r="I2026">
        <f>1</f>
        <v>1</v>
      </c>
    </row>
    <row r="2027" spans="2:9" x14ac:dyDescent="0.25">
      <c r="B2027">
        <v>0</v>
      </c>
      <c r="C2027" s="16" t="s">
        <v>11296</v>
      </c>
      <c r="D2027" s="16"/>
      <c r="E2027">
        <v>6</v>
      </c>
      <c r="F2027" t="s">
        <v>5419</v>
      </c>
      <c r="G2027">
        <v>1</v>
      </c>
      <c r="H2027">
        <v>0</v>
      </c>
      <c r="I2027">
        <f>1</f>
        <v>1</v>
      </c>
    </row>
    <row r="2028" spans="2:9" x14ac:dyDescent="0.25">
      <c r="B2028">
        <v>0</v>
      </c>
      <c r="C2028" s="16" t="s">
        <v>11297</v>
      </c>
      <c r="D2028" s="16"/>
      <c r="E2028">
        <v>6</v>
      </c>
      <c r="F2028" t="s">
        <v>5420</v>
      </c>
      <c r="G2028">
        <v>1</v>
      </c>
      <c r="H2028">
        <v>0</v>
      </c>
      <c r="I2028">
        <f>1</f>
        <v>1</v>
      </c>
    </row>
    <row r="2029" spans="2:9" x14ac:dyDescent="0.25">
      <c r="B2029">
        <v>0</v>
      </c>
      <c r="C2029" s="16" t="s">
        <v>11298</v>
      </c>
      <c r="D2029" s="16"/>
      <c r="E2029">
        <v>6</v>
      </c>
      <c r="F2029" t="s">
        <v>4680</v>
      </c>
      <c r="G2029">
        <v>1</v>
      </c>
      <c r="H2029">
        <v>0</v>
      </c>
      <c r="I2029">
        <f>1</f>
        <v>1</v>
      </c>
    </row>
    <row r="2030" spans="2:9" x14ac:dyDescent="0.25">
      <c r="B2030">
        <v>0</v>
      </c>
      <c r="C2030" s="16" t="s">
        <v>11299</v>
      </c>
      <c r="D2030" s="16"/>
      <c r="E2030">
        <v>6</v>
      </c>
      <c r="F2030" t="e">
        <f>--Cloreto De vinila  cloroetileno</f>
        <v>#NAME?</v>
      </c>
      <c r="G2030">
        <v>1</v>
      </c>
      <c r="H2030">
        <v>0</v>
      </c>
      <c r="I2030">
        <f>1</f>
        <v>1</v>
      </c>
    </row>
    <row r="2031" spans="2:9" x14ac:dyDescent="0.25">
      <c r="B2031">
        <v>0</v>
      </c>
      <c r="C2031" s="16" t="s">
        <v>11300</v>
      </c>
      <c r="D2031" s="16"/>
      <c r="E2031">
        <v>6</v>
      </c>
      <c r="F2031" t="e">
        <f>--Tricloroetileno</f>
        <v>#NAME?</v>
      </c>
      <c r="G2031">
        <v>1</v>
      </c>
      <c r="H2031">
        <v>0</v>
      </c>
      <c r="I2031">
        <f>1</f>
        <v>1</v>
      </c>
    </row>
    <row r="2032" spans="2:9" x14ac:dyDescent="0.25">
      <c r="B2032">
        <v>0</v>
      </c>
      <c r="C2032" s="16" t="s">
        <v>11301</v>
      </c>
      <c r="D2032" s="16"/>
      <c r="E2032">
        <v>6</v>
      </c>
      <c r="F2032" t="e">
        <f>--Tetracloroetileno  percloroetileno</f>
        <v>#NAME?</v>
      </c>
      <c r="G2032">
        <v>1</v>
      </c>
      <c r="H2032">
        <v>0</v>
      </c>
      <c r="I2032">
        <f>1</f>
        <v>1</v>
      </c>
    </row>
    <row r="2033" spans="2:9" x14ac:dyDescent="0.25">
      <c r="B2033">
        <v>0</v>
      </c>
      <c r="C2033" s="16" t="s">
        <v>11302</v>
      </c>
      <c r="D2033" s="16"/>
      <c r="E2033">
        <v>6</v>
      </c>
      <c r="F2033" t="e">
        <f>--outros</f>
        <v>#NAME?</v>
      </c>
      <c r="G2033">
        <v>1</v>
      </c>
      <c r="H2033">
        <v>0</v>
      </c>
      <c r="I2033">
        <f>1</f>
        <v>1</v>
      </c>
    </row>
    <row r="2034" spans="2:9" x14ac:dyDescent="0.25">
      <c r="B2034">
        <v>0</v>
      </c>
      <c r="C2034" s="16" t="s">
        <v>11303</v>
      </c>
      <c r="D2034" s="16"/>
      <c r="E2034">
        <v>6</v>
      </c>
      <c r="F2034" t="s">
        <v>5421</v>
      </c>
      <c r="G2034">
        <v>1</v>
      </c>
      <c r="H2034">
        <v>0</v>
      </c>
      <c r="I2034">
        <f>1</f>
        <v>1</v>
      </c>
    </row>
    <row r="2035" spans="2:9" x14ac:dyDescent="0.25">
      <c r="B2035">
        <v>0</v>
      </c>
      <c r="C2035" s="16" t="s">
        <v>11304</v>
      </c>
      <c r="D2035" s="16"/>
      <c r="E2035">
        <v>6</v>
      </c>
      <c r="F2035" t="s">
        <v>5422</v>
      </c>
      <c r="G2035">
        <v>1</v>
      </c>
      <c r="H2035">
        <v>0</v>
      </c>
      <c r="I2035">
        <f>1</f>
        <v>1</v>
      </c>
    </row>
    <row r="2036" spans="2:9" x14ac:dyDescent="0.25">
      <c r="B2036">
        <v>0</v>
      </c>
      <c r="C2036" s="16" t="s">
        <v>11305</v>
      </c>
      <c r="D2036" s="16"/>
      <c r="E2036">
        <v>6</v>
      </c>
      <c r="F2036" t="s">
        <v>5423</v>
      </c>
      <c r="G2036">
        <v>1</v>
      </c>
      <c r="H2036">
        <v>0</v>
      </c>
      <c r="I2036">
        <f>1</f>
        <v>1</v>
      </c>
    </row>
    <row r="2037" spans="2:9" x14ac:dyDescent="0.25">
      <c r="B2037">
        <v>0</v>
      </c>
      <c r="C2037" s="16" t="s">
        <v>11306</v>
      </c>
      <c r="D2037" s="16"/>
      <c r="E2037">
        <v>6</v>
      </c>
      <c r="F2037" t="s">
        <v>4680</v>
      </c>
      <c r="G2037">
        <v>1</v>
      </c>
      <c r="H2037">
        <v>0</v>
      </c>
      <c r="I2037">
        <f>1</f>
        <v>1</v>
      </c>
    </row>
    <row r="2038" spans="2:9" x14ac:dyDescent="0.25">
      <c r="B2038">
        <v>0</v>
      </c>
      <c r="C2038" s="16" t="s">
        <v>11307</v>
      </c>
      <c r="D2038" s="16"/>
      <c r="E2038">
        <v>6</v>
      </c>
      <c r="F2038" t="s">
        <v>5424</v>
      </c>
      <c r="G2038">
        <v>1</v>
      </c>
      <c r="H2038">
        <v>0</v>
      </c>
      <c r="I2038">
        <f>1</f>
        <v>1</v>
      </c>
    </row>
    <row r="2039" spans="2:9" x14ac:dyDescent="0.25">
      <c r="B2039">
        <v>0</v>
      </c>
      <c r="C2039" s="16" t="s">
        <v>11308</v>
      </c>
      <c r="D2039" s="16"/>
      <c r="E2039">
        <v>6</v>
      </c>
      <c r="F2039" t="s">
        <v>4680</v>
      </c>
      <c r="G2039">
        <v>1</v>
      </c>
      <c r="H2039">
        <v>0</v>
      </c>
      <c r="I2039">
        <f>1</f>
        <v>1</v>
      </c>
    </row>
    <row r="2040" spans="2:9" x14ac:dyDescent="0.25">
      <c r="B2040">
        <v>0</v>
      </c>
      <c r="C2040" s="16" t="s">
        <v>11309</v>
      </c>
      <c r="D2040" s="16"/>
      <c r="E2040">
        <v>6</v>
      </c>
      <c r="F2040" t="s">
        <v>5425</v>
      </c>
      <c r="G2040">
        <v>1</v>
      </c>
      <c r="H2040">
        <v>0</v>
      </c>
      <c r="I2040">
        <f>1</f>
        <v>1</v>
      </c>
    </row>
    <row r="2041" spans="2:9" x14ac:dyDescent="0.25">
      <c r="B2041">
        <v>0</v>
      </c>
      <c r="C2041" s="16" t="s">
        <v>11310</v>
      </c>
      <c r="D2041" s="16"/>
      <c r="E2041">
        <v>6</v>
      </c>
      <c r="F2041" t="s">
        <v>5426</v>
      </c>
      <c r="G2041">
        <v>1</v>
      </c>
      <c r="H2041">
        <v>0</v>
      </c>
      <c r="I2041">
        <f>1</f>
        <v>1</v>
      </c>
    </row>
    <row r="2042" spans="2:9" x14ac:dyDescent="0.25">
      <c r="B2042">
        <v>0</v>
      </c>
      <c r="C2042" s="16" t="s">
        <v>11311</v>
      </c>
      <c r="D2042" s="16"/>
      <c r="E2042">
        <v>6</v>
      </c>
      <c r="F2042" t="s">
        <v>4680</v>
      </c>
      <c r="G2042">
        <v>1</v>
      </c>
      <c r="H2042">
        <v>0</v>
      </c>
      <c r="I2042">
        <f>1</f>
        <v>1</v>
      </c>
    </row>
    <row r="2043" spans="2:9" x14ac:dyDescent="0.25">
      <c r="B2043">
        <v>0</v>
      </c>
      <c r="C2043" s="16" t="s">
        <v>11312</v>
      </c>
      <c r="D2043" s="16"/>
      <c r="E2043">
        <v>6</v>
      </c>
      <c r="F2043" t="e">
        <f>--Clorodifluorometanos</f>
        <v>#NAME?</v>
      </c>
      <c r="G2043">
        <v>1</v>
      </c>
      <c r="H2043">
        <v>0</v>
      </c>
      <c r="I2043">
        <f>1</f>
        <v>1</v>
      </c>
    </row>
    <row r="2044" spans="2:9" x14ac:dyDescent="0.25">
      <c r="B2044">
        <v>0</v>
      </c>
      <c r="C2044" s="16" t="s">
        <v>11313</v>
      </c>
      <c r="D2044" s="16"/>
      <c r="E2044">
        <v>6</v>
      </c>
      <c r="F2044" t="e">
        <f>--Diclorotrifluoroetanos</f>
        <v>#NAME?</v>
      </c>
      <c r="G2044">
        <v>1</v>
      </c>
      <c r="H2044">
        <v>0</v>
      </c>
      <c r="I2044">
        <f>1</f>
        <v>1</v>
      </c>
    </row>
    <row r="2045" spans="2:9" x14ac:dyDescent="0.25">
      <c r="B2045">
        <v>0</v>
      </c>
      <c r="C2045" s="16" t="s">
        <v>11314</v>
      </c>
      <c r="D2045" s="16"/>
      <c r="E2045">
        <v>6</v>
      </c>
      <c r="F2045" t="e">
        <f>--Diclorofluoroetanos</f>
        <v>#NAME?</v>
      </c>
      <c r="G2045">
        <v>1</v>
      </c>
      <c r="H2045">
        <v>0</v>
      </c>
      <c r="I2045">
        <f>1</f>
        <v>1</v>
      </c>
    </row>
    <row r="2046" spans="2:9" x14ac:dyDescent="0.25">
      <c r="B2046">
        <v>0</v>
      </c>
      <c r="C2046" s="16" t="s">
        <v>11315</v>
      </c>
      <c r="D2046" s="16"/>
      <c r="E2046">
        <v>6</v>
      </c>
      <c r="F2046" t="e">
        <f>--Clorodifluoroetanos</f>
        <v>#NAME?</v>
      </c>
      <c r="G2046">
        <v>1</v>
      </c>
      <c r="H2046">
        <v>0</v>
      </c>
      <c r="I2046">
        <f>1</f>
        <v>1</v>
      </c>
    </row>
    <row r="2047" spans="2:9" x14ac:dyDescent="0.25">
      <c r="B2047">
        <v>0</v>
      </c>
      <c r="C2047" s="16" t="s">
        <v>11316</v>
      </c>
      <c r="D2047" s="16"/>
      <c r="E2047">
        <v>6</v>
      </c>
      <c r="F2047" t="e">
        <f>--Dicloropentafluoropropanos</f>
        <v>#NAME?</v>
      </c>
      <c r="G2047">
        <v>1</v>
      </c>
      <c r="H2047">
        <v>0</v>
      </c>
      <c r="I2047">
        <f>1</f>
        <v>1</v>
      </c>
    </row>
    <row r="2048" spans="2:9" x14ac:dyDescent="0.25">
      <c r="B2048">
        <v>0</v>
      </c>
      <c r="C2048" s="16" t="s">
        <v>11317</v>
      </c>
      <c r="D2048" s="16"/>
      <c r="E2048">
        <v>6</v>
      </c>
      <c r="F2048" t="s">
        <v>5427</v>
      </c>
      <c r="G2048">
        <v>1</v>
      </c>
      <c r="H2048">
        <v>0</v>
      </c>
      <c r="I2048">
        <f>1</f>
        <v>1</v>
      </c>
    </row>
    <row r="2049" spans="2:9" x14ac:dyDescent="0.25">
      <c r="B2049">
        <v>0</v>
      </c>
      <c r="C2049" s="16" t="s">
        <v>11318</v>
      </c>
      <c r="D2049" s="16"/>
      <c r="E2049">
        <v>6</v>
      </c>
      <c r="F2049" t="s">
        <v>5428</v>
      </c>
      <c r="G2049">
        <v>1</v>
      </c>
      <c r="H2049">
        <v>0</v>
      </c>
      <c r="I2049">
        <f>1</f>
        <v>1</v>
      </c>
    </row>
    <row r="2050" spans="2:9" x14ac:dyDescent="0.25">
      <c r="B2050">
        <v>0</v>
      </c>
      <c r="C2050" s="16" t="s">
        <v>11319</v>
      </c>
      <c r="D2050" s="16"/>
      <c r="E2050">
        <v>6</v>
      </c>
      <c r="F2050" t="s">
        <v>5429</v>
      </c>
      <c r="G2050">
        <v>1</v>
      </c>
      <c r="H2050">
        <v>0</v>
      </c>
      <c r="I2050">
        <f>1</f>
        <v>1</v>
      </c>
    </row>
    <row r="2051" spans="2:9" x14ac:dyDescent="0.25">
      <c r="B2051">
        <v>0</v>
      </c>
      <c r="C2051" s="16" t="s">
        <v>11320</v>
      </c>
      <c r="D2051" s="16"/>
      <c r="E2051">
        <v>6</v>
      </c>
      <c r="F2051" t="s">
        <v>5430</v>
      </c>
      <c r="G2051">
        <v>1</v>
      </c>
      <c r="H2051">
        <v>0</v>
      </c>
      <c r="I2051">
        <f>1</f>
        <v>1</v>
      </c>
    </row>
    <row r="2052" spans="2:9" x14ac:dyDescent="0.25">
      <c r="B2052">
        <v>0</v>
      </c>
      <c r="C2052" s="16" t="s">
        <v>11321</v>
      </c>
      <c r="D2052" s="16"/>
      <c r="E2052">
        <v>6</v>
      </c>
      <c r="F2052" t="s">
        <v>5431</v>
      </c>
      <c r="G2052">
        <v>1</v>
      </c>
      <c r="H2052">
        <v>0</v>
      </c>
      <c r="I2052">
        <f>1</f>
        <v>1</v>
      </c>
    </row>
    <row r="2053" spans="2:9" x14ac:dyDescent="0.25">
      <c r="B2053">
        <v>0</v>
      </c>
      <c r="C2053" s="16" t="s">
        <v>11322</v>
      </c>
      <c r="D2053" s="16"/>
      <c r="E2053">
        <v>6</v>
      </c>
      <c r="F2053" t="s">
        <v>5432</v>
      </c>
      <c r="G2053">
        <v>1</v>
      </c>
      <c r="H2053">
        <v>0</v>
      </c>
      <c r="I2053">
        <f>1</f>
        <v>1</v>
      </c>
    </row>
    <row r="2054" spans="2:9" x14ac:dyDescent="0.25">
      <c r="B2054">
        <v>0</v>
      </c>
      <c r="C2054" s="16" t="s">
        <v>11323</v>
      </c>
      <c r="D2054" s="16"/>
      <c r="E2054">
        <v>6</v>
      </c>
      <c r="F2054" t="s">
        <v>5433</v>
      </c>
      <c r="G2054">
        <v>1</v>
      </c>
      <c r="H2054">
        <v>0</v>
      </c>
      <c r="I2054">
        <f>1</f>
        <v>1</v>
      </c>
    </row>
    <row r="2055" spans="2:9" x14ac:dyDescent="0.25">
      <c r="B2055">
        <v>0</v>
      </c>
      <c r="C2055" s="16" t="s">
        <v>11324</v>
      </c>
      <c r="D2055" s="16"/>
      <c r="E2055">
        <v>6</v>
      </c>
      <c r="F2055" t="s">
        <v>5434</v>
      </c>
      <c r="G2055">
        <v>1</v>
      </c>
      <c r="H2055">
        <v>0</v>
      </c>
      <c r="I2055">
        <f>1</f>
        <v>1</v>
      </c>
    </row>
    <row r="2056" spans="2:9" x14ac:dyDescent="0.25">
      <c r="B2056">
        <v>0</v>
      </c>
      <c r="C2056" s="16" t="s">
        <v>11325</v>
      </c>
      <c r="D2056" s="16"/>
      <c r="E2056">
        <v>6</v>
      </c>
      <c r="F2056" t="s">
        <v>5435</v>
      </c>
      <c r="G2056">
        <v>1</v>
      </c>
      <c r="H2056">
        <v>0</v>
      </c>
      <c r="I2056">
        <f>1</f>
        <v>1</v>
      </c>
    </row>
    <row r="2057" spans="2:9" x14ac:dyDescent="0.25">
      <c r="B2057">
        <v>0</v>
      </c>
      <c r="C2057" s="16" t="s">
        <v>11326</v>
      </c>
      <c r="D2057" s="16"/>
      <c r="E2057">
        <v>6</v>
      </c>
      <c r="F2057" t="s">
        <v>5436</v>
      </c>
      <c r="G2057">
        <v>1</v>
      </c>
      <c r="H2057">
        <v>0</v>
      </c>
      <c r="I2057">
        <f>1</f>
        <v>1</v>
      </c>
    </row>
    <row r="2058" spans="2:9" x14ac:dyDescent="0.25">
      <c r="B2058">
        <v>0</v>
      </c>
      <c r="C2058" s="16" t="s">
        <v>11327</v>
      </c>
      <c r="D2058" s="16"/>
      <c r="E2058">
        <v>6</v>
      </c>
      <c r="F2058" t="s">
        <v>5437</v>
      </c>
      <c r="G2058">
        <v>1</v>
      </c>
      <c r="H2058">
        <v>0</v>
      </c>
      <c r="I2058">
        <f>1</f>
        <v>1</v>
      </c>
    </row>
    <row r="2059" spans="2:9" x14ac:dyDescent="0.25">
      <c r="B2059">
        <v>0</v>
      </c>
      <c r="C2059" s="16" t="s">
        <v>11328</v>
      </c>
      <c r="D2059" s="16"/>
      <c r="E2059">
        <v>6</v>
      </c>
      <c r="F2059" t="s">
        <v>5438</v>
      </c>
      <c r="G2059">
        <v>1</v>
      </c>
      <c r="H2059">
        <v>0</v>
      </c>
      <c r="I2059">
        <f>1</f>
        <v>1</v>
      </c>
    </row>
    <row r="2060" spans="2:9" x14ac:dyDescent="0.25">
      <c r="B2060">
        <v>0</v>
      </c>
      <c r="C2060" s="16" t="s">
        <v>11329</v>
      </c>
      <c r="D2060" s="16"/>
      <c r="E2060">
        <v>6</v>
      </c>
      <c r="F2060" t="s">
        <v>5439</v>
      </c>
      <c r="G2060">
        <v>1</v>
      </c>
      <c r="H2060">
        <v>0</v>
      </c>
      <c r="I2060">
        <f>1</f>
        <v>1</v>
      </c>
    </row>
    <row r="2061" spans="2:9" x14ac:dyDescent="0.25">
      <c r="B2061">
        <v>0</v>
      </c>
      <c r="C2061" s="16" t="s">
        <v>11330</v>
      </c>
      <c r="D2061" s="16"/>
      <c r="E2061">
        <v>6</v>
      </c>
      <c r="F2061" t="s">
        <v>5440</v>
      </c>
      <c r="G2061">
        <v>1</v>
      </c>
      <c r="H2061">
        <v>0</v>
      </c>
      <c r="I2061">
        <f>1</f>
        <v>1</v>
      </c>
    </row>
    <row r="2062" spans="2:9" x14ac:dyDescent="0.25">
      <c r="B2062">
        <v>0</v>
      </c>
      <c r="C2062" s="16" t="s">
        <v>11331</v>
      </c>
      <c r="D2062" s="16"/>
      <c r="E2062">
        <v>6</v>
      </c>
      <c r="F2062" t="s">
        <v>5441</v>
      </c>
      <c r="G2062">
        <v>1</v>
      </c>
      <c r="H2062">
        <v>0</v>
      </c>
      <c r="I2062">
        <f>1</f>
        <v>1</v>
      </c>
    </row>
    <row r="2063" spans="2:9" x14ac:dyDescent="0.25">
      <c r="B2063">
        <v>0</v>
      </c>
      <c r="C2063" s="16" t="s">
        <v>11332</v>
      </c>
      <c r="D2063" s="16"/>
      <c r="E2063">
        <v>6</v>
      </c>
      <c r="F2063" t="s">
        <v>4680</v>
      </c>
      <c r="G2063">
        <v>1</v>
      </c>
      <c r="H2063">
        <v>0</v>
      </c>
      <c r="I2063">
        <f>1</f>
        <v>1</v>
      </c>
    </row>
    <row r="2064" spans="2:9" x14ac:dyDescent="0.25">
      <c r="B2064">
        <v>0</v>
      </c>
      <c r="C2064" s="16" t="s">
        <v>11333</v>
      </c>
      <c r="D2064" s="16"/>
      <c r="E2064">
        <v>6</v>
      </c>
      <c r="F2064" t="e">
        <f>--outros derivados peralogenados</f>
        <v>#NAME?</v>
      </c>
      <c r="G2064">
        <v>1</v>
      </c>
      <c r="H2064">
        <v>0</v>
      </c>
      <c r="I2064">
        <f>1</f>
        <v>1</v>
      </c>
    </row>
    <row r="2065" spans="2:9" x14ac:dyDescent="0.25">
      <c r="B2065">
        <v>0</v>
      </c>
      <c r="C2065" s="16" t="s">
        <v>11334</v>
      </c>
      <c r="D2065" s="16"/>
      <c r="E2065">
        <v>6</v>
      </c>
      <c r="F2065" t="s">
        <v>5442</v>
      </c>
      <c r="G2065">
        <v>1</v>
      </c>
      <c r="H2065">
        <v>0</v>
      </c>
      <c r="I2065">
        <f>1</f>
        <v>1</v>
      </c>
    </row>
    <row r="2066" spans="2:9" x14ac:dyDescent="0.25">
      <c r="B2066">
        <v>0</v>
      </c>
      <c r="C2066" s="16" t="s">
        <v>11335</v>
      </c>
      <c r="D2066" s="16"/>
      <c r="E2066">
        <v>6</v>
      </c>
      <c r="F2066" t="s">
        <v>5443</v>
      </c>
      <c r="G2066">
        <v>1</v>
      </c>
      <c r="H2066">
        <v>0</v>
      </c>
      <c r="I2066">
        <f>1</f>
        <v>1</v>
      </c>
    </row>
    <row r="2067" spans="2:9" x14ac:dyDescent="0.25">
      <c r="B2067">
        <v>0</v>
      </c>
      <c r="C2067" s="16" t="s">
        <v>11336</v>
      </c>
      <c r="D2067" s="16"/>
      <c r="E2067">
        <v>6</v>
      </c>
      <c r="F2067" t="s">
        <v>4680</v>
      </c>
      <c r="G2067">
        <v>1</v>
      </c>
      <c r="H2067">
        <v>0</v>
      </c>
      <c r="I2067">
        <f>1</f>
        <v>1</v>
      </c>
    </row>
    <row r="2068" spans="2:9" x14ac:dyDescent="0.25">
      <c r="B2068">
        <v>0</v>
      </c>
      <c r="C2068" s="16" t="s">
        <v>11337</v>
      </c>
      <c r="D2068" s="16"/>
      <c r="E2068">
        <v>6</v>
      </c>
      <c r="F2068" t="s">
        <v>5444</v>
      </c>
      <c r="G2068">
        <v>1</v>
      </c>
      <c r="H2068">
        <v>0</v>
      </c>
      <c r="I2068">
        <f>1</f>
        <v>1</v>
      </c>
    </row>
    <row r="2069" spans="2:9" x14ac:dyDescent="0.25">
      <c r="B2069">
        <v>0</v>
      </c>
      <c r="C2069" s="16" t="s">
        <v>11338</v>
      </c>
      <c r="D2069" s="16"/>
      <c r="E2069">
        <v>6</v>
      </c>
      <c r="F2069" t="s">
        <v>5445</v>
      </c>
      <c r="G2069">
        <v>1</v>
      </c>
      <c r="H2069">
        <v>0</v>
      </c>
      <c r="I2069">
        <f>1</f>
        <v>1</v>
      </c>
    </row>
    <row r="2070" spans="2:9" x14ac:dyDescent="0.25">
      <c r="B2070">
        <v>0</v>
      </c>
      <c r="C2070" s="16" t="s">
        <v>11339</v>
      </c>
      <c r="D2070" s="16"/>
      <c r="E2070">
        <v>6</v>
      </c>
      <c r="F2070" t="s">
        <v>4680</v>
      </c>
      <c r="G2070">
        <v>1</v>
      </c>
      <c r="H2070">
        <v>0</v>
      </c>
      <c r="I2070">
        <f>1</f>
        <v>1</v>
      </c>
    </row>
    <row r="2071" spans="2:9" x14ac:dyDescent="0.25">
      <c r="B2071">
        <v>0</v>
      </c>
      <c r="C2071" s="16" t="s">
        <v>11340</v>
      </c>
      <c r="D2071" s="16"/>
      <c r="E2071">
        <v>6</v>
      </c>
      <c r="F2071" t="s">
        <v>4680</v>
      </c>
      <c r="G2071">
        <v>1</v>
      </c>
      <c r="H2071">
        <v>0</v>
      </c>
      <c r="I2071">
        <f>1</f>
        <v>1</v>
      </c>
    </row>
    <row r="2072" spans="2:9" x14ac:dyDescent="0.25">
      <c r="B2072">
        <v>0</v>
      </c>
      <c r="C2072" s="16" t="s">
        <v>11341</v>
      </c>
      <c r="D2072" s="16"/>
      <c r="E2072">
        <v>6</v>
      </c>
      <c r="F2072" t="s">
        <v>5446</v>
      </c>
      <c r="G2072">
        <v>1</v>
      </c>
      <c r="H2072">
        <v>0</v>
      </c>
      <c r="I2072">
        <f>1</f>
        <v>1</v>
      </c>
    </row>
    <row r="2073" spans="2:9" x14ac:dyDescent="0.25">
      <c r="B2073">
        <v>0</v>
      </c>
      <c r="C2073" s="16" t="s">
        <v>11342</v>
      </c>
      <c r="D2073" s="16"/>
      <c r="E2073">
        <v>6</v>
      </c>
      <c r="F2073" t="s">
        <v>4680</v>
      </c>
      <c r="G2073">
        <v>1</v>
      </c>
      <c r="H2073">
        <v>0</v>
      </c>
      <c r="I2073">
        <f>1</f>
        <v>1</v>
      </c>
    </row>
    <row r="2074" spans="2:9" x14ac:dyDescent="0.25">
      <c r="B2074">
        <v>0</v>
      </c>
      <c r="C2074" s="16" t="s">
        <v>11343</v>
      </c>
      <c r="D2074" s="16"/>
      <c r="E2074">
        <v>6</v>
      </c>
      <c r="F2074" t="s">
        <v>5447</v>
      </c>
      <c r="G2074">
        <v>1</v>
      </c>
      <c r="H2074">
        <v>0</v>
      </c>
      <c r="I2074">
        <f>1</f>
        <v>1</v>
      </c>
    </row>
    <row r="2075" spans="2:9" x14ac:dyDescent="0.25">
      <c r="B2075">
        <v>0</v>
      </c>
      <c r="C2075" s="16" t="s">
        <v>11344</v>
      </c>
      <c r="D2075" s="16"/>
      <c r="E2075">
        <v>6</v>
      </c>
      <c r="F2075" t="s">
        <v>5448</v>
      </c>
      <c r="G2075">
        <v>1</v>
      </c>
      <c r="H2075">
        <v>0</v>
      </c>
      <c r="I2075">
        <f>1</f>
        <v>1</v>
      </c>
    </row>
    <row r="2076" spans="2:9" x14ac:dyDescent="0.25">
      <c r="B2076">
        <v>0</v>
      </c>
      <c r="C2076" s="16" t="s">
        <v>11345</v>
      </c>
      <c r="D2076" s="16"/>
      <c r="E2076">
        <v>6</v>
      </c>
      <c r="F2076" t="s">
        <v>5449</v>
      </c>
      <c r="G2076">
        <v>1</v>
      </c>
      <c r="H2076">
        <v>0</v>
      </c>
      <c r="I2076">
        <f>1</f>
        <v>1</v>
      </c>
    </row>
    <row r="2077" spans="2:9" x14ac:dyDescent="0.25">
      <c r="B2077">
        <v>0</v>
      </c>
      <c r="C2077" s="16" t="s">
        <v>11346</v>
      </c>
      <c r="D2077" s="16"/>
      <c r="E2077">
        <v>6</v>
      </c>
      <c r="F2077" t="s">
        <v>5450</v>
      </c>
      <c r="G2077">
        <v>1</v>
      </c>
      <c r="H2077">
        <v>0</v>
      </c>
      <c r="I2077">
        <f>1</f>
        <v>1</v>
      </c>
    </row>
    <row r="2078" spans="2:9" x14ac:dyDescent="0.25">
      <c r="B2078">
        <v>0</v>
      </c>
      <c r="C2078" s="16" t="s">
        <v>11347</v>
      </c>
      <c r="D2078" s="16"/>
      <c r="E2078">
        <v>6</v>
      </c>
      <c r="F2078" t="s">
        <v>4680</v>
      </c>
      <c r="G2078">
        <v>1</v>
      </c>
      <c r="H2078">
        <v>0</v>
      </c>
      <c r="I2078">
        <f>1</f>
        <v>1</v>
      </c>
    </row>
    <row r="2079" spans="2:9" x14ac:dyDescent="0.25">
      <c r="B2079">
        <v>0</v>
      </c>
      <c r="C2079" s="16" t="s">
        <v>11348</v>
      </c>
      <c r="D2079" s="16"/>
      <c r="E2079">
        <v>6</v>
      </c>
      <c r="F2079" t="s">
        <v>5451</v>
      </c>
      <c r="G2079">
        <v>1</v>
      </c>
      <c r="H2079">
        <v>0</v>
      </c>
      <c r="I2079">
        <f>1</f>
        <v>1</v>
      </c>
    </row>
    <row r="2080" spans="2:9" x14ac:dyDescent="0.25">
      <c r="B2080">
        <v>0</v>
      </c>
      <c r="C2080" s="16" t="s">
        <v>11349</v>
      </c>
      <c r="D2080" s="16"/>
      <c r="E2080">
        <v>6</v>
      </c>
      <c r="F2080" t="s">
        <v>5452</v>
      </c>
      <c r="G2080">
        <v>1</v>
      </c>
      <c r="H2080">
        <v>0</v>
      </c>
      <c r="I2080">
        <f>1</f>
        <v>1</v>
      </c>
    </row>
    <row r="2081" spans="2:9" x14ac:dyDescent="0.25">
      <c r="B2081">
        <v>0</v>
      </c>
      <c r="C2081" s="16" t="s">
        <v>11350</v>
      </c>
      <c r="D2081" s="16"/>
      <c r="E2081">
        <v>6</v>
      </c>
      <c r="F2081" t="s">
        <v>5453</v>
      </c>
      <c r="G2081">
        <v>1</v>
      </c>
      <c r="H2081">
        <v>0</v>
      </c>
      <c r="I2081">
        <f>1</f>
        <v>1</v>
      </c>
    </row>
    <row r="2082" spans="2:9" x14ac:dyDescent="0.25">
      <c r="B2082">
        <v>0</v>
      </c>
      <c r="C2082" s="16" t="s">
        <v>11351</v>
      </c>
      <c r="D2082" s="16"/>
      <c r="E2082">
        <v>6</v>
      </c>
      <c r="F2082" t="s">
        <v>5454</v>
      </c>
      <c r="G2082">
        <v>1</v>
      </c>
      <c r="H2082">
        <v>0</v>
      </c>
      <c r="I2082">
        <f>1</f>
        <v>1</v>
      </c>
    </row>
    <row r="2083" spans="2:9" x14ac:dyDescent="0.25">
      <c r="B2083">
        <v>0</v>
      </c>
      <c r="C2083" s="16" t="s">
        <v>11352</v>
      </c>
      <c r="D2083" s="16"/>
      <c r="E2083">
        <v>6</v>
      </c>
      <c r="F2083" t="s">
        <v>5455</v>
      </c>
      <c r="G2083">
        <v>1</v>
      </c>
      <c r="H2083">
        <v>0</v>
      </c>
      <c r="I2083">
        <f>1</f>
        <v>1</v>
      </c>
    </row>
    <row r="2084" spans="2:9" x14ac:dyDescent="0.25">
      <c r="B2084">
        <v>0</v>
      </c>
      <c r="C2084" s="16" t="s">
        <v>11353</v>
      </c>
      <c r="D2084" s="16"/>
      <c r="E2084">
        <v>6</v>
      </c>
      <c r="F2084" t="s">
        <v>5456</v>
      </c>
      <c r="G2084">
        <v>1</v>
      </c>
      <c r="H2084">
        <v>0</v>
      </c>
      <c r="I2084">
        <f>1</f>
        <v>1</v>
      </c>
    </row>
    <row r="2085" spans="2:9" x14ac:dyDescent="0.25">
      <c r="B2085">
        <v>0</v>
      </c>
      <c r="C2085" s="16" t="s">
        <v>11354</v>
      </c>
      <c r="D2085" s="16"/>
      <c r="E2085">
        <v>6</v>
      </c>
      <c r="F2085" t="s">
        <v>5457</v>
      </c>
      <c r="G2085">
        <v>1</v>
      </c>
      <c r="H2085">
        <v>0</v>
      </c>
      <c r="I2085">
        <f>1</f>
        <v>1</v>
      </c>
    </row>
    <row r="2086" spans="2:9" x14ac:dyDescent="0.25">
      <c r="B2086">
        <v>0</v>
      </c>
      <c r="C2086" s="16" t="s">
        <v>11355</v>
      </c>
      <c r="D2086" s="16"/>
      <c r="E2086">
        <v>6</v>
      </c>
      <c r="F2086" t="s">
        <v>5458</v>
      </c>
      <c r="G2086">
        <v>1</v>
      </c>
      <c r="H2086">
        <v>0</v>
      </c>
      <c r="I2086">
        <f>1</f>
        <v>1</v>
      </c>
    </row>
    <row r="2087" spans="2:9" x14ac:dyDescent="0.25">
      <c r="B2087">
        <v>0</v>
      </c>
      <c r="C2087" s="16" t="s">
        <v>11356</v>
      </c>
      <c r="D2087" s="16"/>
      <c r="E2087">
        <v>6</v>
      </c>
      <c r="F2087" t="s">
        <v>5459</v>
      </c>
      <c r="G2087">
        <v>1</v>
      </c>
      <c r="H2087">
        <v>0</v>
      </c>
      <c r="I2087">
        <f>1</f>
        <v>1</v>
      </c>
    </row>
    <row r="2088" spans="2:9" x14ac:dyDescent="0.25">
      <c r="B2088">
        <v>0</v>
      </c>
      <c r="C2088" s="16" t="s">
        <v>11357</v>
      </c>
      <c r="D2088" s="16"/>
      <c r="E2088">
        <v>6</v>
      </c>
      <c r="F2088" t="s">
        <v>5460</v>
      </c>
      <c r="G2088">
        <v>1</v>
      </c>
      <c r="H2088">
        <v>0</v>
      </c>
      <c r="I2088">
        <f>1</f>
        <v>1</v>
      </c>
    </row>
    <row r="2089" spans="2:9" x14ac:dyDescent="0.25">
      <c r="B2089">
        <v>0</v>
      </c>
      <c r="C2089" s="16" t="s">
        <v>11358</v>
      </c>
      <c r="D2089" s="16"/>
      <c r="E2089">
        <v>6</v>
      </c>
      <c r="F2089" t="s">
        <v>5461</v>
      </c>
      <c r="G2089">
        <v>1</v>
      </c>
      <c r="H2089">
        <v>0</v>
      </c>
      <c r="I2089">
        <f>1</f>
        <v>1</v>
      </c>
    </row>
    <row r="2090" spans="2:9" x14ac:dyDescent="0.25">
      <c r="B2090">
        <v>0</v>
      </c>
      <c r="C2090" s="16" t="s">
        <v>11359</v>
      </c>
      <c r="D2090" s="16"/>
      <c r="E2090">
        <v>6</v>
      </c>
      <c r="F2090" t="s">
        <v>5462</v>
      </c>
      <c r="G2090">
        <v>1</v>
      </c>
      <c r="H2090">
        <v>0</v>
      </c>
      <c r="I2090">
        <f>1</f>
        <v>1</v>
      </c>
    </row>
    <row r="2091" spans="2:9" x14ac:dyDescent="0.25">
      <c r="B2091">
        <v>0</v>
      </c>
      <c r="C2091" s="16" t="s">
        <v>11360</v>
      </c>
      <c r="D2091" s="16"/>
      <c r="E2091">
        <v>6</v>
      </c>
      <c r="F2091" t="s">
        <v>5463</v>
      </c>
      <c r="G2091">
        <v>1</v>
      </c>
      <c r="H2091">
        <v>0</v>
      </c>
      <c r="I2091">
        <f>1</f>
        <v>1</v>
      </c>
    </row>
    <row r="2092" spans="2:9" x14ac:dyDescent="0.25">
      <c r="B2092">
        <v>0</v>
      </c>
      <c r="C2092" s="16" t="s">
        <v>11361</v>
      </c>
      <c r="D2092" s="16"/>
      <c r="E2092">
        <v>6</v>
      </c>
      <c r="F2092" t="s">
        <v>4680</v>
      </c>
      <c r="G2092">
        <v>1</v>
      </c>
      <c r="H2092">
        <v>0</v>
      </c>
      <c r="I2092">
        <f>1</f>
        <v>1</v>
      </c>
    </row>
    <row r="2093" spans="2:9" x14ac:dyDescent="0.25">
      <c r="B2093">
        <v>0</v>
      </c>
      <c r="C2093" s="16" t="s">
        <v>11362</v>
      </c>
      <c r="D2093" s="16"/>
      <c r="E2093">
        <v>6</v>
      </c>
      <c r="F2093" t="s">
        <v>5464</v>
      </c>
      <c r="G2093">
        <v>1</v>
      </c>
      <c r="H2093">
        <v>0</v>
      </c>
      <c r="I2093">
        <f>1</f>
        <v>1</v>
      </c>
    </row>
    <row r="2094" spans="2:9" x14ac:dyDescent="0.25">
      <c r="B2094">
        <v>0</v>
      </c>
      <c r="C2094" s="16" t="s">
        <v>11363</v>
      </c>
      <c r="D2094" s="16"/>
      <c r="E2094">
        <v>6</v>
      </c>
      <c r="F2094" t="s">
        <v>5465</v>
      </c>
      <c r="G2094">
        <v>1</v>
      </c>
      <c r="H2094">
        <v>0</v>
      </c>
      <c r="I2094">
        <f>1</f>
        <v>1</v>
      </c>
    </row>
    <row r="2095" spans="2:9" x14ac:dyDescent="0.25">
      <c r="B2095">
        <v>0</v>
      </c>
      <c r="C2095" s="16" t="s">
        <v>11364</v>
      </c>
      <c r="D2095" s="16"/>
      <c r="E2095">
        <v>6</v>
      </c>
      <c r="F2095" t="s">
        <v>5466</v>
      </c>
      <c r="G2095">
        <v>1</v>
      </c>
      <c r="H2095">
        <v>0</v>
      </c>
      <c r="I2095">
        <f>1</f>
        <v>1</v>
      </c>
    </row>
    <row r="2096" spans="2:9" x14ac:dyDescent="0.25">
      <c r="B2096">
        <v>0</v>
      </c>
      <c r="C2096" s="16" t="s">
        <v>11365</v>
      </c>
      <c r="D2096" s="16"/>
      <c r="E2096">
        <v>6</v>
      </c>
      <c r="F2096" t="s">
        <v>5467</v>
      </c>
      <c r="G2096">
        <v>1</v>
      </c>
      <c r="H2096">
        <v>0</v>
      </c>
      <c r="I2096">
        <f>1</f>
        <v>1</v>
      </c>
    </row>
    <row r="2097" spans="2:9" x14ac:dyDescent="0.25">
      <c r="B2097">
        <v>0</v>
      </c>
      <c r="C2097" s="16" t="s">
        <v>11366</v>
      </c>
      <c r="D2097" s="16"/>
      <c r="E2097">
        <v>6</v>
      </c>
      <c r="F2097" t="s">
        <v>4680</v>
      </c>
      <c r="G2097">
        <v>1</v>
      </c>
      <c r="H2097">
        <v>0</v>
      </c>
      <c r="I2097">
        <f>1</f>
        <v>1</v>
      </c>
    </row>
    <row r="2098" spans="2:9" x14ac:dyDescent="0.25">
      <c r="B2098">
        <v>0</v>
      </c>
      <c r="C2098" s="16" t="s">
        <v>11367</v>
      </c>
      <c r="D2098" s="16"/>
      <c r="E2098">
        <v>6</v>
      </c>
      <c r="F2098" t="s">
        <v>5468</v>
      </c>
      <c r="G2098">
        <v>1</v>
      </c>
      <c r="H2098">
        <v>0</v>
      </c>
      <c r="I2098">
        <f>1</f>
        <v>1</v>
      </c>
    </row>
    <row r="2099" spans="2:9" x14ac:dyDescent="0.25">
      <c r="B2099">
        <v>0</v>
      </c>
      <c r="C2099" s="16" t="s">
        <v>11368</v>
      </c>
      <c r="D2099" s="16"/>
      <c r="E2099">
        <v>6</v>
      </c>
      <c r="F2099" t="s">
        <v>4680</v>
      </c>
      <c r="G2099">
        <v>1</v>
      </c>
      <c r="H2099">
        <v>0</v>
      </c>
      <c r="I2099">
        <f>1</f>
        <v>1</v>
      </c>
    </row>
    <row r="2100" spans="2:9" x14ac:dyDescent="0.25">
      <c r="B2100">
        <v>0</v>
      </c>
      <c r="C2100" s="16" t="s">
        <v>11369</v>
      </c>
      <c r="D2100" s="16"/>
      <c r="E2100">
        <v>6</v>
      </c>
      <c r="F2100" t="s">
        <v>4680</v>
      </c>
      <c r="G2100">
        <v>1</v>
      </c>
      <c r="H2100">
        <v>0</v>
      </c>
      <c r="I2100">
        <f>1</f>
        <v>1</v>
      </c>
    </row>
    <row r="2101" spans="2:9" x14ac:dyDescent="0.25">
      <c r="B2101">
        <v>0</v>
      </c>
      <c r="C2101" s="16" t="s">
        <v>11370</v>
      </c>
      <c r="D2101" s="16"/>
      <c r="E2101">
        <v>6</v>
      </c>
      <c r="F2101" t="s">
        <v>5469</v>
      </c>
      <c r="G2101">
        <v>1</v>
      </c>
      <c r="H2101">
        <v>0</v>
      </c>
      <c r="I2101">
        <f>1</f>
        <v>1</v>
      </c>
    </row>
    <row r="2102" spans="2:9" x14ac:dyDescent="0.25">
      <c r="B2102">
        <v>0</v>
      </c>
      <c r="C2102" s="16" t="s">
        <v>11371</v>
      </c>
      <c r="D2102" s="16"/>
      <c r="E2102">
        <v>6</v>
      </c>
      <c r="F2102" t="s">
        <v>5470</v>
      </c>
      <c r="G2102">
        <v>1</v>
      </c>
      <c r="H2102">
        <v>0</v>
      </c>
      <c r="I2102">
        <f>1</f>
        <v>1</v>
      </c>
    </row>
    <row r="2103" spans="2:9" x14ac:dyDescent="0.25">
      <c r="B2103">
        <v>0</v>
      </c>
      <c r="C2103" s="16" t="s">
        <v>11372</v>
      </c>
      <c r="D2103" s="16"/>
      <c r="E2103">
        <v>6</v>
      </c>
      <c r="F2103" t="s">
        <v>5471</v>
      </c>
      <c r="G2103">
        <v>1</v>
      </c>
      <c r="H2103">
        <v>0</v>
      </c>
      <c r="I2103">
        <f>1</f>
        <v>1</v>
      </c>
    </row>
    <row r="2104" spans="2:9" x14ac:dyDescent="0.25">
      <c r="B2104">
        <v>0</v>
      </c>
      <c r="C2104" s="16" t="s">
        <v>11373</v>
      </c>
      <c r="D2104" s="16"/>
      <c r="E2104">
        <v>6</v>
      </c>
      <c r="F2104" t="s">
        <v>4680</v>
      </c>
      <c r="G2104">
        <v>1</v>
      </c>
      <c r="H2104">
        <v>0</v>
      </c>
      <c r="I2104">
        <f>1</f>
        <v>1</v>
      </c>
    </row>
    <row r="2105" spans="2:9" x14ac:dyDescent="0.25">
      <c r="B2105">
        <v>0</v>
      </c>
      <c r="C2105" s="16" t="s">
        <v>11374</v>
      </c>
      <c r="D2105" s="16"/>
      <c r="E2105">
        <v>6</v>
      </c>
      <c r="F2105" t="s">
        <v>5472</v>
      </c>
      <c r="G2105">
        <v>1</v>
      </c>
      <c r="H2105">
        <v>0</v>
      </c>
      <c r="I2105">
        <f>1</f>
        <v>1</v>
      </c>
    </row>
    <row r="2106" spans="2:9" x14ac:dyDescent="0.25">
      <c r="B2106">
        <v>0</v>
      </c>
      <c r="C2106" s="16" t="s">
        <v>11375</v>
      </c>
      <c r="D2106" s="16"/>
      <c r="E2106">
        <v>6</v>
      </c>
      <c r="F2106" t="s">
        <v>5473</v>
      </c>
      <c r="G2106">
        <v>1</v>
      </c>
      <c r="H2106">
        <v>0</v>
      </c>
      <c r="I2106">
        <f>1</f>
        <v>1</v>
      </c>
    </row>
    <row r="2107" spans="2:9" x14ac:dyDescent="0.25">
      <c r="B2107">
        <v>0</v>
      </c>
      <c r="C2107" s="16" t="s">
        <v>11376</v>
      </c>
      <c r="D2107" s="16"/>
      <c r="E2107">
        <v>6</v>
      </c>
      <c r="F2107" t="s">
        <v>5474</v>
      </c>
      <c r="G2107">
        <v>1</v>
      </c>
      <c r="H2107">
        <v>0</v>
      </c>
      <c r="I2107">
        <f>1</f>
        <v>1</v>
      </c>
    </row>
    <row r="2108" spans="2:9" x14ac:dyDescent="0.25">
      <c r="B2108">
        <v>0</v>
      </c>
      <c r="C2108" s="16" t="s">
        <v>11377</v>
      </c>
      <c r="D2108" s="16"/>
      <c r="E2108">
        <v>6</v>
      </c>
      <c r="F2108" t="s">
        <v>5475</v>
      </c>
      <c r="G2108">
        <v>1</v>
      </c>
      <c r="H2108">
        <v>0</v>
      </c>
      <c r="I2108">
        <f>1</f>
        <v>1</v>
      </c>
    </row>
    <row r="2109" spans="2:9" x14ac:dyDescent="0.25">
      <c r="B2109">
        <v>0</v>
      </c>
      <c r="C2109" s="16" t="s">
        <v>11378</v>
      </c>
      <c r="D2109" s="16"/>
      <c r="E2109">
        <v>6</v>
      </c>
      <c r="F2109" t="s">
        <v>5476</v>
      </c>
      <c r="G2109">
        <v>1</v>
      </c>
      <c r="H2109">
        <v>0</v>
      </c>
      <c r="I2109">
        <f>1</f>
        <v>1</v>
      </c>
    </row>
    <row r="2110" spans="2:9" x14ac:dyDescent="0.25">
      <c r="B2110">
        <v>0</v>
      </c>
      <c r="C2110" s="16" t="s">
        <v>11379</v>
      </c>
      <c r="D2110" s="16"/>
      <c r="E2110">
        <v>6</v>
      </c>
      <c r="F2110" t="s">
        <v>5477</v>
      </c>
      <c r="G2110">
        <v>1</v>
      </c>
      <c r="H2110">
        <v>0</v>
      </c>
      <c r="I2110">
        <f>1</f>
        <v>1</v>
      </c>
    </row>
    <row r="2111" spans="2:9" x14ac:dyDescent="0.25">
      <c r="B2111">
        <v>0</v>
      </c>
      <c r="C2111" s="16" t="s">
        <v>11380</v>
      </c>
      <c r="D2111" s="16"/>
      <c r="E2111">
        <v>6</v>
      </c>
      <c r="F2111" t="s">
        <v>4680</v>
      </c>
      <c r="G2111">
        <v>1</v>
      </c>
      <c r="H2111">
        <v>0</v>
      </c>
      <c r="I2111">
        <f>1</f>
        <v>1</v>
      </c>
    </row>
    <row r="2112" spans="2:9" x14ac:dyDescent="0.25">
      <c r="B2112">
        <v>0</v>
      </c>
      <c r="C2112" s="16" t="s">
        <v>11381</v>
      </c>
      <c r="D2112" s="16"/>
      <c r="E2112">
        <v>6</v>
      </c>
      <c r="F2112" t="s">
        <v>5478</v>
      </c>
      <c r="G2112">
        <v>1</v>
      </c>
      <c r="H2112">
        <v>0</v>
      </c>
      <c r="I2112">
        <f>1</f>
        <v>1</v>
      </c>
    </row>
    <row r="2113" spans="2:9" x14ac:dyDescent="0.25">
      <c r="B2113">
        <v>0</v>
      </c>
      <c r="C2113" s="16" t="s">
        <v>11382</v>
      </c>
      <c r="D2113" s="16"/>
      <c r="E2113">
        <v>6</v>
      </c>
      <c r="F2113" t="s">
        <v>4680</v>
      </c>
      <c r="G2113">
        <v>1</v>
      </c>
      <c r="H2113">
        <v>0</v>
      </c>
      <c r="I2113">
        <f>1</f>
        <v>1</v>
      </c>
    </row>
    <row r="2114" spans="2:9" x14ac:dyDescent="0.25">
      <c r="B2114">
        <v>0</v>
      </c>
      <c r="C2114" s="16" t="s">
        <v>11383</v>
      </c>
      <c r="D2114" s="16"/>
      <c r="E2114">
        <v>6</v>
      </c>
      <c r="F2114" t="s">
        <v>5479</v>
      </c>
      <c r="G2114">
        <v>1</v>
      </c>
      <c r="H2114">
        <v>0</v>
      </c>
      <c r="I2114">
        <f>1</f>
        <v>1</v>
      </c>
    </row>
    <row r="2115" spans="2:9" x14ac:dyDescent="0.25">
      <c r="B2115">
        <v>0</v>
      </c>
      <c r="C2115" s="16" t="s">
        <v>11384</v>
      </c>
      <c r="D2115" s="16"/>
      <c r="E2115">
        <v>6</v>
      </c>
      <c r="F2115" t="s">
        <v>5480</v>
      </c>
      <c r="G2115">
        <v>1</v>
      </c>
      <c r="H2115">
        <v>0</v>
      </c>
      <c r="I2115">
        <f>1</f>
        <v>1</v>
      </c>
    </row>
    <row r="2116" spans="2:9" x14ac:dyDescent="0.25">
      <c r="B2116">
        <v>0</v>
      </c>
      <c r="C2116" s="16" t="s">
        <v>11385</v>
      </c>
      <c r="D2116" s="16"/>
      <c r="E2116">
        <v>6</v>
      </c>
      <c r="F2116" t="s">
        <v>5481</v>
      </c>
      <c r="G2116">
        <v>1</v>
      </c>
      <c r="H2116">
        <v>0</v>
      </c>
      <c r="I2116">
        <f>1</f>
        <v>1</v>
      </c>
    </row>
    <row r="2117" spans="2:9" x14ac:dyDescent="0.25">
      <c r="B2117">
        <v>0</v>
      </c>
      <c r="C2117" s="16" t="s">
        <v>11386</v>
      </c>
      <c r="D2117" s="16"/>
      <c r="E2117">
        <v>6</v>
      </c>
      <c r="F2117" t="s">
        <v>5482</v>
      </c>
      <c r="G2117">
        <v>1</v>
      </c>
      <c r="H2117">
        <v>0</v>
      </c>
      <c r="I2117">
        <f>1</f>
        <v>1</v>
      </c>
    </row>
    <row r="2118" spans="2:9" x14ac:dyDescent="0.25">
      <c r="B2118">
        <v>0</v>
      </c>
      <c r="C2118" s="16" t="s">
        <v>11387</v>
      </c>
      <c r="D2118" s="16"/>
      <c r="E2118">
        <v>6</v>
      </c>
      <c r="F2118" t="s">
        <v>4680</v>
      </c>
      <c r="G2118">
        <v>1</v>
      </c>
      <c r="H2118">
        <v>0</v>
      </c>
      <c r="I2118">
        <f>1</f>
        <v>1</v>
      </c>
    </row>
    <row r="2119" spans="2:9" x14ac:dyDescent="0.25">
      <c r="B2119">
        <v>0</v>
      </c>
      <c r="C2119" s="16" t="s">
        <v>11388</v>
      </c>
      <c r="D2119" s="16"/>
      <c r="E2119">
        <v>6</v>
      </c>
      <c r="F2119" t="s">
        <v>5483</v>
      </c>
      <c r="G2119">
        <v>1</v>
      </c>
      <c r="H2119">
        <v>0</v>
      </c>
      <c r="I2119">
        <f>1</f>
        <v>1</v>
      </c>
    </row>
    <row r="2120" spans="2:9" x14ac:dyDescent="0.25">
      <c r="B2120">
        <v>0</v>
      </c>
      <c r="C2120" s="16" t="s">
        <v>11389</v>
      </c>
      <c r="D2120" s="16"/>
      <c r="E2120">
        <v>6</v>
      </c>
      <c r="F2120" t="s">
        <v>5484</v>
      </c>
      <c r="G2120">
        <v>1</v>
      </c>
      <c r="H2120">
        <v>0</v>
      </c>
      <c r="I2120">
        <f>1</f>
        <v>1</v>
      </c>
    </row>
    <row r="2121" spans="2:9" x14ac:dyDescent="0.25">
      <c r="B2121">
        <v>0</v>
      </c>
      <c r="C2121" s="16" t="s">
        <v>11390</v>
      </c>
      <c r="D2121" s="16"/>
      <c r="E2121">
        <v>6</v>
      </c>
      <c r="F2121" t="s">
        <v>4680</v>
      </c>
      <c r="G2121">
        <v>1</v>
      </c>
      <c r="H2121">
        <v>0</v>
      </c>
      <c r="I2121">
        <f>1</f>
        <v>1</v>
      </c>
    </row>
    <row r="2122" spans="2:9" x14ac:dyDescent="0.25">
      <c r="B2122">
        <v>0</v>
      </c>
      <c r="C2122" s="16" t="s">
        <v>11391</v>
      </c>
      <c r="D2122" s="16"/>
      <c r="E2122">
        <v>6</v>
      </c>
      <c r="F2122" t="s">
        <v>5485</v>
      </c>
      <c r="G2122">
        <v>1</v>
      </c>
      <c r="H2122">
        <v>0</v>
      </c>
      <c r="I2122">
        <f>1</f>
        <v>1</v>
      </c>
    </row>
    <row r="2123" spans="2:9" x14ac:dyDescent="0.25">
      <c r="B2123">
        <v>0</v>
      </c>
      <c r="C2123" s="16" t="s">
        <v>11392</v>
      </c>
      <c r="D2123" s="16"/>
      <c r="E2123">
        <v>6</v>
      </c>
      <c r="F2123" t="s">
        <v>5486</v>
      </c>
      <c r="G2123">
        <v>1</v>
      </c>
      <c r="H2123">
        <v>0</v>
      </c>
      <c r="I2123">
        <f>1</f>
        <v>1</v>
      </c>
    </row>
    <row r="2124" spans="2:9" x14ac:dyDescent="0.25">
      <c r="B2124">
        <v>0</v>
      </c>
      <c r="C2124" s="16" t="s">
        <v>11393</v>
      </c>
      <c r="D2124" s="16"/>
      <c r="E2124">
        <v>6</v>
      </c>
      <c r="F2124" t="s">
        <v>4680</v>
      </c>
      <c r="G2124">
        <v>1</v>
      </c>
      <c r="H2124">
        <v>0</v>
      </c>
      <c r="I2124">
        <f>1</f>
        <v>1</v>
      </c>
    </row>
    <row r="2125" spans="2:9" x14ac:dyDescent="0.25">
      <c r="B2125">
        <v>0</v>
      </c>
      <c r="C2125" s="16" t="s">
        <v>11394</v>
      </c>
      <c r="D2125" s="16"/>
      <c r="E2125">
        <v>6</v>
      </c>
      <c r="F2125" t="s">
        <v>5487</v>
      </c>
      <c r="G2125">
        <v>1</v>
      </c>
      <c r="H2125">
        <v>0</v>
      </c>
      <c r="I2125">
        <f>1</f>
        <v>1</v>
      </c>
    </row>
    <row r="2126" spans="2:9" x14ac:dyDescent="0.25">
      <c r="B2126">
        <v>0</v>
      </c>
      <c r="C2126" s="16" t="s">
        <v>11395</v>
      </c>
      <c r="D2126" s="16"/>
      <c r="E2126">
        <v>6</v>
      </c>
      <c r="F2126" t="s">
        <v>5488</v>
      </c>
      <c r="G2126">
        <v>1</v>
      </c>
      <c r="H2126">
        <v>0</v>
      </c>
      <c r="I2126">
        <f>1</f>
        <v>1</v>
      </c>
    </row>
    <row r="2127" spans="2:9" x14ac:dyDescent="0.25">
      <c r="B2127">
        <v>0</v>
      </c>
      <c r="C2127" s="16" t="s">
        <v>11396</v>
      </c>
      <c r="D2127" s="16"/>
      <c r="E2127">
        <v>6</v>
      </c>
      <c r="F2127" t="s">
        <v>5489</v>
      </c>
      <c r="G2127">
        <v>1</v>
      </c>
      <c r="H2127">
        <v>0</v>
      </c>
      <c r="I2127">
        <f>1</f>
        <v>1</v>
      </c>
    </row>
    <row r="2128" spans="2:9" x14ac:dyDescent="0.25">
      <c r="B2128">
        <v>0</v>
      </c>
      <c r="C2128" s="16" t="s">
        <v>11397</v>
      </c>
      <c r="D2128" s="16"/>
      <c r="E2128">
        <v>6</v>
      </c>
      <c r="F2128" t="s">
        <v>5490</v>
      </c>
      <c r="G2128">
        <v>1</v>
      </c>
      <c r="H2128">
        <v>0</v>
      </c>
      <c r="I2128">
        <f>1</f>
        <v>1</v>
      </c>
    </row>
    <row r="2129" spans="2:9" x14ac:dyDescent="0.25">
      <c r="B2129">
        <v>0</v>
      </c>
      <c r="C2129" s="16" t="s">
        <v>11398</v>
      </c>
      <c r="D2129" s="16"/>
      <c r="E2129">
        <v>6</v>
      </c>
      <c r="F2129" t="s">
        <v>5491</v>
      </c>
      <c r="G2129">
        <v>1</v>
      </c>
      <c r="H2129">
        <v>0</v>
      </c>
      <c r="I2129">
        <f>1</f>
        <v>1</v>
      </c>
    </row>
    <row r="2130" spans="2:9" x14ac:dyDescent="0.25">
      <c r="B2130">
        <v>0</v>
      </c>
      <c r="C2130" s="16" t="s">
        <v>11399</v>
      </c>
      <c r="D2130" s="16"/>
      <c r="E2130">
        <v>6</v>
      </c>
      <c r="F2130" t="s">
        <v>5492</v>
      </c>
      <c r="G2130">
        <v>1</v>
      </c>
      <c r="H2130">
        <v>0</v>
      </c>
      <c r="I2130">
        <f>1</f>
        <v>1</v>
      </c>
    </row>
    <row r="2131" spans="2:9" x14ac:dyDescent="0.25">
      <c r="B2131">
        <v>0</v>
      </c>
      <c r="C2131" s="16" t="s">
        <v>11400</v>
      </c>
      <c r="D2131" s="16"/>
      <c r="E2131">
        <v>6</v>
      </c>
      <c r="F2131" t="s">
        <v>5493</v>
      </c>
      <c r="G2131">
        <v>1</v>
      </c>
      <c r="H2131">
        <v>0</v>
      </c>
      <c r="I2131">
        <f>1</f>
        <v>1</v>
      </c>
    </row>
    <row r="2132" spans="2:9" x14ac:dyDescent="0.25">
      <c r="B2132">
        <v>0</v>
      </c>
      <c r="C2132" s="16" t="s">
        <v>11401</v>
      </c>
      <c r="D2132" s="16"/>
      <c r="E2132">
        <v>6</v>
      </c>
      <c r="F2132" t="s">
        <v>4680</v>
      </c>
      <c r="G2132">
        <v>1</v>
      </c>
      <c r="H2132">
        <v>0</v>
      </c>
      <c r="I2132">
        <f>1</f>
        <v>1</v>
      </c>
    </row>
    <row r="2133" spans="2:9" x14ac:dyDescent="0.25">
      <c r="B2133">
        <v>0</v>
      </c>
      <c r="C2133" s="16" t="s">
        <v>11402</v>
      </c>
      <c r="D2133" s="16"/>
      <c r="E2133">
        <v>6</v>
      </c>
      <c r="F2133" t="s">
        <v>5494</v>
      </c>
      <c r="G2133">
        <v>1</v>
      </c>
      <c r="H2133">
        <v>0</v>
      </c>
      <c r="I2133">
        <f>1</f>
        <v>1</v>
      </c>
    </row>
    <row r="2134" spans="2:9" x14ac:dyDescent="0.25">
      <c r="B2134">
        <v>0</v>
      </c>
      <c r="C2134" s="16" t="s">
        <v>11403</v>
      </c>
      <c r="D2134" s="16"/>
      <c r="E2134">
        <v>6</v>
      </c>
      <c r="F2134" t="s">
        <v>4680</v>
      </c>
      <c r="G2134">
        <v>1</v>
      </c>
      <c r="H2134">
        <v>0</v>
      </c>
      <c r="I2134">
        <f>1</f>
        <v>1</v>
      </c>
    </row>
    <row r="2135" spans="2:9" x14ac:dyDescent="0.25">
      <c r="B2135">
        <v>0</v>
      </c>
      <c r="C2135" s="16" t="s">
        <v>11404</v>
      </c>
      <c r="D2135" s="16"/>
      <c r="E2135">
        <v>6</v>
      </c>
      <c r="F2135" t="s">
        <v>5495</v>
      </c>
      <c r="G2135">
        <v>1</v>
      </c>
      <c r="H2135">
        <v>0</v>
      </c>
      <c r="I2135">
        <f>1</f>
        <v>1</v>
      </c>
    </row>
    <row r="2136" spans="2:9" x14ac:dyDescent="0.25">
      <c r="B2136">
        <v>0</v>
      </c>
      <c r="C2136" s="16" t="s">
        <v>11405</v>
      </c>
      <c r="D2136" s="16"/>
      <c r="E2136">
        <v>6</v>
      </c>
      <c r="F2136" t="s">
        <v>5496</v>
      </c>
      <c r="G2136">
        <v>1</v>
      </c>
      <c r="H2136">
        <v>0</v>
      </c>
      <c r="I2136">
        <f>1</f>
        <v>1</v>
      </c>
    </row>
    <row r="2137" spans="2:9" x14ac:dyDescent="0.25">
      <c r="B2137">
        <v>0</v>
      </c>
      <c r="C2137" s="16" t="s">
        <v>11406</v>
      </c>
      <c r="D2137" s="16"/>
      <c r="E2137">
        <v>6</v>
      </c>
      <c r="F2137" t="s">
        <v>4680</v>
      </c>
      <c r="G2137">
        <v>1</v>
      </c>
      <c r="H2137">
        <v>0</v>
      </c>
      <c r="I2137">
        <f>1</f>
        <v>1</v>
      </c>
    </row>
    <row r="2138" spans="2:9" x14ac:dyDescent="0.25">
      <c r="B2138">
        <v>0</v>
      </c>
      <c r="C2138" s="16" t="s">
        <v>11407</v>
      </c>
      <c r="D2138" s="16"/>
      <c r="E2138">
        <v>6</v>
      </c>
      <c r="F2138" t="e">
        <f>--Metanol  álcool metílico</f>
        <v>#NAME?</v>
      </c>
      <c r="G2138">
        <v>1</v>
      </c>
      <c r="H2138">
        <v>0</v>
      </c>
      <c r="I2138">
        <f>1</f>
        <v>1</v>
      </c>
    </row>
    <row r="2139" spans="2:9" x14ac:dyDescent="0.25">
      <c r="B2139">
        <v>0</v>
      </c>
      <c r="C2139" s="16" t="s">
        <v>11408</v>
      </c>
      <c r="D2139" s="16"/>
      <c r="E2139">
        <v>6</v>
      </c>
      <c r="F2139" t="s">
        <v>5497</v>
      </c>
      <c r="G2139">
        <v>1</v>
      </c>
      <c r="H2139">
        <v>0</v>
      </c>
      <c r="I2139">
        <f>1</f>
        <v>1</v>
      </c>
    </row>
    <row r="2140" spans="2:9" x14ac:dyDescent="0.25">
      <c r="B2140">
        <v>0</v>
      </c>
      <c r="C2140" s="16" t="s">
        <v>11409</v>
      </c>
      <c r="D2140" s="16"/>
      <c r="E2140">
        <v>6</v>
      </c>
      <c r="F2140" t="s">
        <v>5498</v>
      </c>
      <c r="G2140">
        <v>1</v>
      </c>
      <c r="H2140">
        <v>0</v>
      </c>
      <c r="I2140">
        <f>1</f>
        <v>1</v>
      </c>
    </row>
    <row r="2141" spans="2:9" x14ac:dyDescent="0.25">
      <c r="B2141">
        <v>0</v>
      </c>
      <c r="C2141" s="16" t="s">
        <v>11410</v>
      </c>
      <c r="D2141" s="16"/>
      <c r="E2141">
        <v>6</v>
      </c>
      <c r="F2141" t="e">
        <f>--Butan-1-ol  álcool n-butílico</f>
        <v>#NAME?</v>
      </c>
      <c r="G2141">
        <v>1</v>
      </c>
      <c r="H2141">
        <v>0</v>
      </c>
      <c r="I2141">
        <f>1</f>
        <v>1</v>
      </c>
    </row>
    <row r="2142" spans="2:9" x14ac:dyDescent="0.25">
      <c r="B2142">
        <v>0</v>
      </c>
      <c r="C2142" s="16" t="s">
        <v>11411</v>
      </c>
      <c r="D2142" s="16"/>
      <c r="E2142">
        <v>6</v>
      </c>
      <c r="F2142" t="s">
        <v>5499</v>
      </c>
      <c r="G2142">
        <v>1</v>
      </c>
      <c r="H2142">
        <v>0</v>
      </c>
      <c r="I2142">
        <f>1</f>
        <v>1</v>
      </c>
    </row>
    <row r="2143" spans="2:9" x14ac:dyDescent="0.25">
      <c r="B2143">
        <v>0</v>
      </c>
      <c r="C2143" s="16" t="s">
        <v>11412</v>
      </c>
      <c r="D2143" s="16"/>
      <c r="E2143">
        <v>6</v>
      </c>
      <c r="F2143" t="s">
        <v>5500</v>
      </c>
      <c r="G2143">
        <v>1</v>
      </c>
      <c r="H2143">
        <v>0</v>
      </c>
      <c r="I2143">
        <f>1</f>
        <v>1</v>
      </c>
    </row>
    <row r="2144" spans="2:9" x14ac:dyDescent="0.25">
      <c r="B2144">
        <v>0</v>
      </c>
      <c r="C2144" s="16" t="s">
        <v>11413</v>
      </c>
      <c r="D2144" s="16"/>
      <c r="E2144">
        <v>6</v>
      </c>
      <c r="F2144" t="s">
        <v>5501</v>
      </c>
      <c r="G2144">
        <v>1</v>
      </c>
      <c r="H2144">
        <v>0</v>
      </c>
      <c r="I2144">
        <f>1</f>
        <v>1</v>
      </c>
    </row>
    <row r="2145" spans="2:9" x14ac:dyDescent="0.25">
      <c r="B2145">
        <v>0</v>
      </c>
      <c r="C2145" s="16" t="s">
        <v>11414</v>
      </c>
      <c r="D2145" s="16"/>
      <c r="E2145">
        <v>6</v>
      </c>
      <c r="F2145" t="e">
        <f>--Octanol  álcool octílico  e seus isômeros</f>
        <v>#NAME?</v>
      </c>
      <c r="G2145">
        <v>1</v>
      </c>
      <c r="H2145">
        <v>0</v>
      </c>
      <c r="I2145">
        <f>1</f>
        <v>1</v>
      </c>
    </row>
    <row r="2146" spans="2:9" x14ac:dyDescent="0.25">
      <c r="B2146">
        <v>0</v>
      </c>
      <c r="C2146" s="16" t="s">
        <v>11415</v>
      </c>
      <c r="D2146" s="16"/>
      <c r="E2146">
        <v>6</v>
      </c>
      <c r="F2146" t="s">
        <v>5502</v>
      </c>
      <c r="G2146">
        <v>1</v>
      </c>
      <c r="H2146">
        <v>0</v>
      </c>
      <c r="I2146">
        <f>1</f>
        <v>1</v>
      </c>
    </row>
    <row r="2147" spans="2:9" x14ac:dyDescent="0.25">
      <c r="B2147">
        <v>0</v>
      </c>
      <c r="C2147" s="16" t="s">
        <v>11416</v>
      </c>
      <c r="D2147" s="16"/>
      <c r="E2147">
        <v>6</v>
      </c>
      <c r="F2147" t="s">
        <v>5503</v>
      </c>
      <c r="G2147">
        <v>1</v>
      </c>
      <c r="H2147">
        <v>0</v>
      </c>
      <c r="I2147">
        <f>1</f>
        <v>1</v>
      </c>
    </row>
    <row r="2148" spans="2:9" x14ac:dyDescent="0.25">
      <c r="B2148">
        <v>0</v>
      </c>
      <c r="C2148" s="16" t="s">
        <v>11417</v>
      </c>
      <c r="D2148" s="16"/>
      <c r="E2148">
        <v>6</v>
      </c>
      <c r="F2148" t="s">
        <v>5504</v>
      </c>
      <c r="G2148">
        <v>1</v>
      </c>
      <c r="H2148">
        <v>0</v>
      </c>
      <c r="I2148">
        <f>1</f>
        <v>1</v>
      </c>
    </row>
    <row r="2149" spans="2:9" x14ac:dyDescent="0.25">
      <c r="B2149">
        <v>0</v>
      </c>
      <c r="C2149" s="16" t="s">
        <v>11418</v>
      </c>
      <c r="D2149" s="16"/>
      <c r="E2149">
        <v>6</v>
      </c>
      <c r="F2149" t="s">
        <v>5505</v>
      </c>
      <c r="G2149">
        <v>1</v>
      </c>
      <c r="H2149">
        <v>0</v>
      </c>
      <c r="I2149">
        <f>1</f>
        <v>1</v>
      </c>
    </row>
    <row r="2150" spans="2:9" x14ac:dyDescent="0.25">
      <c r="B2150">
        <v>0</v>
      </c>
      <c r="C2150" s="16" t="s">
        <v>11419</v>
      </c>
      <c r="D2150" s="16"/>
      <c r="E2150">
        <v>6</v>
      </c>
      <c r="F2150" t="s">
        <v>5506</v>
      </c>
      <c r="G2150">
        <v>1</v>
      </c>
      <c r="H2150">
        <v>0</v>
      </c>
      <c r="I2150">
        <f>1</f>
        <v>1</v>
      </c>
    </row>
    <row r="2151" spans="2:9" x14ac:dyDescent="0.25">
      <c r="B2151">
        <v>0</v>
      </c>
      <c r="C2151" s="16" t="s">
        <v>11420</v>
      </c>
      <c r="D2151" s="16"/>
      <c r="E2151">
        <v>6</v>
      </c>
      <c r="F2151" t="s">
        <v>4680</v>
      </c>
      <c r="G2151">
        <v>1</v>
      </c>
      <c r="H2151">
        <v>0</v>
      </c>
      <c r="I2151">
        <f>1</f>
        <v>1</v>
      </c>
    </row>
    <row r="2152" spans="2:9" x14ac:dyDescent="0.25">
      <c r="B2152">
        <v>0</v>
      </c>
      <c r="C2152" s="16" t="s">
        <v>11421</v>
      </c>
      <c r="D2152" s="16"/>
      <c r="E2152">
        <v>6</v>
      </c>
      <c r="F2152" t="s">
        <v>5507</v>
      </c>
      <c r="G2152">
        <v>1</v>
      </c>
      <c r="H2152">
        <v>0</v>
      </c>
      <c r="I2152">
        <f>1</f>
        <v>1</v>
      </c>
    </row>
    <row r="2153" spans="2:9" x14ac:dyDescent="0.25">
      <c r="B2153">
        <v>0</v>
      </c>
      <c r="C2153" s="16" t="s">
        <v>11422</v>
      </c>
      <c r="D2153" s="16"/>
      <c r="E2153">
        <v>6</v>
      </c>
      <c r="F2153" t="s">
        <v>5508</v>
      </c>
      <c r="G2153">
        <v>1</v>
      </c>
      <c r="H2153">
        <v>0</v>
      </c>
      <c r="I2153">
        <f>1</f>
        <v>1</v>
      </c>
    </row>
    <row r="2154" spans="2:9" x14ac:dyDescent="0.25">
      <c r="B2154">
        <v>0</v>
      </c>
      <c r="C2154" s="16" t="s">
        <v>11423</v>
      </c>
      <c r="D2154" s="16"/>
      <c r="E2154">
        <v>6</v>
      </c>
      <c r="F2154" t="s">
        <v>5509</v>
      </c>
      <c r="G2154">
        <v>1</v>
      </c>
      <c r="H2154">
        <v>0</v>
      </c>
      <c r="I2154">
        <f>1</f>
        <v>1</v>
      </c>
    </row>
    <row r="2155" spans="2:9" x14ac:dyDescent="0.25">
      <c r="B2155">
        <v>0</v>
      </c>
      <c r="C2155" s="16" t="s">
        <v>11424</v>
      </c>
      <c r="D2155" s="16"/>
      <c r="E2155">
        <v>6</v>
      </c>
      <c r="F2155" t="s">
        <v>4680</v>
      </c>
      <c r="G2155">
        <v>1</v>
      </c>
      <c r="H2155">
        <v>0</v>
      </c>
      <c r="I2155">
        <f>1</f>
        <v>1</v>
      </c>
    </row>
    <row r="2156" spans="2:9" x14ac:dyDescent="0.25">
      <c r="B2156">
        <v>0</v>
      </c>
      <c r="C2156" s="16" t="s">
        <v>11425</v>
      </c>
      <c r="D2156" s="16"/>
      <c r="E2156">
        <v>6</v>
      </c>
      <c r="F2156" t="s">
        <v>5510</v>
      </c>
      <c r="G2156">
        <v>1</v>
      </c>
      <c r="H2156">
        <v>0</v>
      </c>
      <c r="I2156">
        <f>1</f>
        <v>1</v>
      </c>
    </row>
    <row r="2157" spans="2:9" x14ac:dyDescent="0.25">
      <c r="B2157">
        <v>0</v>
      </c>
      <c r="C2157" s="16" t="s">
        <v>11426</v>
      </c>
      <c r="D2157" s="16"/>
      <c r="E2157">
        <v>6</v>
      </c>
      <c r="F2157" t="s">
        <v>5511</v>
      </c>
      <c r="G2157">
        <v>1</v>
      </c>
      <c r="H2157">
        <v>0</v>
      </c>
      <c r="I2157">
        <f>1</f>
        <v>1</v>
      </c>
    </row>
    <row r="2158" spans="2:9" x14ac:dyDescent="0.25">
      <c r="B2158">
        <v>0</v>
      </c>
      <c r="C2158" s="16" t="s">
        <v>11427</v>
      </c>
      <c r="D2158" s="16"/>
      <c r="E2158">
        <v>6</v>
      </c>
      <c r="F2158" t="s">
        <v>5512</v>
      </c>
      <c r="G2158">
        <v>1</v>
      </c>
      <c r="H2158">
        <v>0</v>
      </c>
      <c r="I2158">
        <f>1</f>
        <v>1</v>
      </c>
    </row>
    <row r="2159" spans="2:9" x14ac:dyDescent="0.25">
      <c r="B2159">
        <v>0</v>
      </c>
      <c r="C2159" s="16" t="s">
        <v>11428</v>
      </c>
      <c r="D2159" s="16"/>
      <c r="E2159">
        <v>6</v>
      </c>
      <c r="F2159" t="s">
        <v>5513</v>
      </c>
      <c r="G2159">
        <v>1</v>
      </c>
      <c r="H2159">
        <v>0</v>
      </c>
      <c r="I2159">
        <f>1</f>
        <v>1</v>
      </c>
    </row>
    <row r="2160" spans="2:9" x14ac:dyDescent="0.25">
      <c r="B2160">
        <v>0</v>
      </c>
      <c r="C2160" s="16" t="s">
        <v>11429</v>
      </c>
      <c r="D2160" s="16"/>
      <c r="E2160">
        <v>6</v>
      </c>
      <c r="F2160" t="s">
        <v>5514</v>
      </c>
      <c r="G2160">
        <v>1</v>
      </c>
      <c r="H2160">
        <v>0</v>
      </c>
      <c r="I2160">
        <f>1</f>
        <v>1</v>
      </c>
    </row>
    <row r="2161" spans="2:9" x14ac:dyDescent="0.25">
      <c r="B2161">
        <v>0</v>
      </c>
      <c r="C2161" s="16" t="s">
        <v>11430</v>
      </c>
      <c r="D2161" s="16"/>
      <c r="E2161">
        <v>6</v>
      </c>
      <c r="F2161" t="s">
        <v>5515</v>
      </c>
      <c r="G2161">
        <v>1</v>
      </c>
      <c r="H2161">
        <v>0</v>
      </c>
      <c r="I2161">
        <f>1</f>
        <v>1</v>
      </c>
    </row>
    <row r="2162" spans="2:9" x14ac:dyDescent="0.25">
      <c r="B2162">
        <v>0</v>
      </c>
      <c r="C2162" s="16" t="s">
        <v>11431</v>
      </c>
      <c r="D2162" s="16"/>
      <c r="E2162">
        <v>6</v>
      </c>
      <c r="F2162" t="s">
        <v>4680</v>
      </c>
      <c r="G2162">
        <v>1</v>
      </c>
      <c r="H2162">
        <v>0</v>
      </c>
      <c r="I2162">
        <f>1</f>
        <v>1</v>
      </c>
    </row>
    <row r="2163" spans="2:9" x14ac:dyDescent="0.25">
      <c r="B2163">
        <v>0</v>
      </c>
      <c r="C2163" s="16" t="s">
        <v>11432</v>
      </c>
      <c r="D2163" s="16"/>
      <c r="E2163">
        <v>6</v>
      </c>
      <c r="F2163" t="s">
        <v>5516</v>
      </c>
      <c r="G2163">
        <v>1</v>
      </c>
      <c r="H2163">
        <v>0</v>
      </c>
      <c r="I2163">
        <f>1</f>
        <v>1</v>
      </c>
    </row>
    <row r="2164" spans="2:9" x14ac:dyDescent="0.25">
      <c r="B2164">
        <v>0</v>
      </c>
      <c r="C2164" s="16" t="s">
        <v>11433</v>
      </c>
      <c r="D2164" s="16"/>
      <c r="E2164">
        <v>6</v>
      </c>
      <c r="F2164" t="s">
        <v>5517</v>
      </c>
      <c r="G2164">
        <v>1</v>
      </c>
      <c r="H2164">
        <v>0</v>
      </c>
      <c r="I2164">
        <f>1</f>
        <v>1</v>
      </c>
    </row>
    <row r="2165" spans="2:9" x14ac:dyDescent="0.25">
      <c r="B2165">
        <v>0</v>
      </c>
      <c r="C2165" s="16" t="s">
        <v>11434</v>
      </c>
      <c r="D2165" s="16"/>
      <c r="E2165">
        <v>6</v>
      </c>
      <c r="F2165" t="s">
        <v>5518</v>
      </c>
      <c r="G2165">
        <v>1</v>
      </c>
      <c r="H2165">
        <v>0</v>
      </c>
      <c r="I2165">
        <f>1</f>
        <v>1</v>
      </c>
    </row>
    <row r="2166" spans="2:9" x14ac:dyDescent="0.25">
      <c r="B2166">
        <v>0</v>
      </c>
      <c r="C2166" s="16" t="s">
        <v>11435</v>
      </c>
      <c r="D2166" s="16"/>
      <c r="E2166">
        <v>6</v>
      </c>
      <c r="F2166" t="s">
        <v>4680</v>
      </c>
      <c r="G2166">
        <v>1</v>
      </c>
      <c r="H2166">
        <v>0</v>
      </c>
      <c r="I2166">
        <f>1</f>
        <v>1</v>
      </c>
    </row>
    <row r="2167" spans="2:9" x14ac:dyDescent="0.25">
      <c r="B2167">
        <v>0</v>
      </c>
      <c r="C2167" s="16" t="s">
        <v>11436</v>
      </c>
      <c r="D2167" s="16"/>
      <c r="E2167">
        <v>6</v>
      </c>
      <c r="F2167" t="s">
        <v>5519</v>
      </c>
      <c r="G2167">
        <v>1</v>
      </c>
      <c r="H2167">
        <v>0</v>
      </c>
      <c r="I2167">
        <f>1</f>
        <v>1</v>
      </c>
    </row>
    <row r="2168" spans="2:9" x14ac:dyDescent="0.25">
      <c r="B2168">
        <v>0</v>
      </c>
      <c r="C2168" s="16" t="s">
        <v>11437</v>
      </c>
      <c r="D2168" s="16"/>
      <c r="E2168">
        <v>6</v>
      </c>
      <c r="F2168" t="s">
        <v>4680</v>
      </c>
      <c r="G2168">
        <v>1</v>
      </c>
      <c r="H2168">
        <v>0</v>
      </c>
      <c r="I2168">
        <f>1</f>
        <v>1</v>
      </c>
    </row>
    <row r="2169" spans="2:9" x14ac:dyDescent="0.25">
      <c r="B2169">
        <v>0</v>
      </c>
      <c r="C2169" s="16" t="s">
        <v>11438</v>
      </c>
      <c r="D2169" s="16"/>
      <c r="E2169">
        <v>6</v>
      </c>
      <c r="F2169" t="e">
        <f>--Etilenoglicol  etanodiol</f>
        <v>#NAME?</v>
      </c>
      <c r="G2169">
        <v>1</v>
      </c>
      <c r="H2169">
        <v>0</v>
      </c>
      <c r="I2169">
        <f>1</f>
        <v>1</v>
      </c>
    </row>
    <row r="2170" spans="2:9" x14ac:dyDescent="0.25">
      <c r="B2170">
        <v>0</v>
      </c>
      <c r="C2170" s="16" t="s">
        <v>11439</v>
      </c>
      <c r="D2170" s="16"/>
      <c r="E2170">
        <v>6</v>
      </c>
      <c r="F2170" t="e">
        <f>--Propilenoglicol  propano-1.2-diol</f>
        <v>#NAME?</v>
      </c>
      <c r="G2170">
        <v>1</v>
      </c>
      <c r="H2170">
        <v>0</v>
      </c>
      <c r="I2170">
        <f>1</f>
        <v>1</v>
      </c>
    </row>
    <row r="2171" spans="2:9" x14ac:dyDescent="0.25">
      <c r="B2171">
        <v>0</v>
      </c>
      <c r="C2171" s="16" t="s">
        <v>11440</v>
      </c>
      <c r="D2171" s="16"/>
      <c r="E2171">
        <v>6</v>
      </c>
      <c r="F2171" t="s">
        <v>5520</v>
      </c>
      <c r="G2171">
        <v>1</v>
      </c>
      <c r="H2171">
        <v>0</v>
      </c>
      <c r="I2171">
        <f>1</f>
        <v>1</v>
      </c>
    </row>
    <row r="2172" spans="2:9" x14ac:dyDescent="0.25">
      <c r="B2172">
        <v>0</v>
      </c>
      <c r="C2172" s="16" t="s">
        <v>11441</v>
      </c>
      <c r="D2172" s="16"/>
      <c r="E2172">
        <v>6</v>
      </c>
      <c r="F2172" t="s">
        <v>5521</v>
      </c>
      <c r="G2172">
        <v>1</v>
      </c>
      <c r="H2172">
        <v>0</v>
      </c>
      <c r="I2172">
        <f>1</f>
        <v>1</v>
      </c>
    </row>
    <row r="2173" spans="2:9" x14ac:dyDescent="0.25">
      <c r="B2173">
        <v>0</v>
      </c>
      <c r="C2173" s="16" t="s">
        <v>11442</v>
      </c>
      <c r="D2173" s="16"/>
      <c r="E2173">
        <v>6</v>
      </c>
      <c r="F2173" t="s">
        <v>5522</v>
      </c>
      <c r="G2173">
        <v>1</v>
      </c>
      <c r="H2173">
        <v>0</v>
      </c>
      <c r="I2173">
        <f>1</f>
        <v>1</v>
      </c>
    </row>
    <row r="2174" spans="2:9" x14ac:dyDescent="0.25">
      <c r="B2174">
        <v>0</v>
      </c>
      <c r="C2174" s="16" t="s">
        <v>11443</v>
      </c>
      <c r="D2174" s="16"/>
      <c r="E2174">
        <v>6</v>
      </c>
      <c r="F2174" t="s">
        <v>4680</v>
      </c>
      <c r="G2174">
        <v>1</v>
      </c>
      <c r="H2174">
        <v>0</v>
      </c>
      <c r="I2174">
        <f>1</f>
        <v>1</v>
      </c>
    </row>
    <row r="2175" spans="2:9" x14ac:dyDescent="0.25">
      <c r="B2175">
        <v>0</v>
      </c>
      <c r="C2175" s="16" t="s">
        <v>11444</v>
      </c>
      <c r="D2175" s="16"/>
      <c r="E2175">
        <v>6</v>
      </c>
      <c r="F2175" t="e">
        <f>--2-Etil-2- hidroximetil propano-1.3-diol  trimetilolpropano</f>
        <v>#NAME?</v>
      </c>
      <c r="G2175">
        <v>1</v>
      </c>
      <c r="H2175">
        <v>0</v>
      </c>
      <c r="I2175">
        <f>1</f>
        <v>1</v>
      </c>
    </row>
    <row r="2176" spans="2:9" x14ac:dyDescent="0.25">
      <c r="B2176">
        <v>0</v>
      </c>
      <c r="C2176" s="16" t="s">
        <v>11445</v>
      </c>
      <c r="D2176" s="16"/>
      <c r="E2176">
        <v>6</v>
      </c>
      <c r="F2176" t="e">
        <f>--Pentaeritritol  pentaeritrita</f>
        <v>#NAME?</v>
      </c>
      <c r="G2176">
        <v>1</v>
      </c>
      <c r="H2176">
        <v>0</v>
      </c>
      <c r="I2176">
        <f>1</f>
        <v>1</v>
      </c>
    </row>
    <row r="2177" spans="2:9" x14ac:dyDescent="0.25">
      <c r="B2177">
        <v>0</v>
      </c>
      <c r="C2177" s="16" t="s">
        <v>11446</v>
      </c>
      <c r="D2177" s="16"/>
      <c r="E2177">
        <v>6</v>
      </c>
      <c r="F2177" t="e">
        <f>--Manitol</f>
        <v>#NAME?</v>
      </c>
      <c r="G2177">
        <v>1</v>
      </c>
      <c r="H2177">
        <v>0</v>
      </c>
      <c r="I2177">
        <f>1</f>
        <v>1</v>
      </c>
    </row>
    <row r="2178" spans="2:9" x14ac:dyDescent="0.25">
      <c r="B2178">
        <v>0</v>
      </c>
      <c r="C2178" s="16" t="s">
        <v>11447</v>
      </c>
      <c r="D2178" s="16"/>
      <c r="E2178">
        <v>6</v>
      </c>
      <c r="F2178" t="e">
        <f>--d-glucitol  sorbitol</f>
        <v>#NAME?</v>
      </c>
      <c r="G2178">
        <v>1</v>
      </c>
      <c r="H2178">
        <v>0</v>
      </c>
      <c r="I2178">
        <f>1</f>
        <v>1</v>
      </c>
    </row>
    <row r="2179" spans="2:9" x14ac:dyDescent="0.25">
      <c r="B2179">
        <v>0</v>
      </c>
      <c r="C2179" s="16" t="s">
        <v>11448</v>
      </c>
      <c r="D2179" s="16"/>
      <c r="E2179">
        <v>6</v>
      </c>
      <c r="F2179" t="e">
        <f>--Glicerol</f>
        <v>#NAME?</v>
      </c>
      <c r="G2179">
        <v>1</v>
      </c>
      <c r="H2179">
        <v>0</v>
      </c>
      <c r="I2179">
        <f>1</f>
        <v>1</v>
      </c>
    </row>
    <row r="2180" spans="2:9" x14ac:dyDescent="0.25">
      <c r="B2180">
        <v>0</v>
      </c>
      <c r="C2180" s="16" t="s">
        <v>11449</v>
      </c>
      <c r="D2180" s="16"/>
      <c r="E2180">
        <v>6</v>
      </c>
      <c r="F2180" t="e">
        <f>--outros</f>
        <v>#NAME?</v>
      </c>
      <c r="G2180">
        <v>1</v>
      </c>
      <c r="H2180">
        <v>0</v>
      </c>
      <c r="I2180">
        <f>1</f>
        <v>1</v>
      </c>
    </row>
    <row r="2181" spans="2:9" x14ac:dyDescent="0.25">
      <c r="B2181">
        <v>0</v>
      </c>
      <c r="C2181" s="16" t="s">
        <v>11450</v>
      </c>
      <c r="D2181" s="16"/>
      <c r="E2181">
        <v>6</v>
      </c>
      <c r="F2181" t="e">
        <f>--Etclorvinol  DCI</f>
        <v>#NAME?</v>
      </c>
      <c r="G2181">
        <v>1</v>
      </c>
      <c r="H2181">
        <v>0</v>
      </c>
      <c r="I2181">
        <f>1</f>
        <v>1</v>
      </c>
    </row>
    <row r="2182" spans="2:9" x14ac:dyDescent="0.25">
      <c r="B2182">
        <v>0</v>
      </c>
      <c r="C2182" s="16" t="s">
        <v>11451</v>
      </c>
      <c r="D2182" s="16"/>
      <c r="E2182">
        <v>6</v>
      </c>
      <c r="F2182" t="s">
        <v>5523</v>
      </c>
      <c r="G2182">
        <v>1</v>
      </c>
      <c r="H2182">
        <v>0</v>
      </c>
      <c r="I2182">
        <f>1</f>
        <v>1</v>
      </c>
    </row>
    <row r="2183" spans="2:9" x14ac:dyDescent="0.25">
      <c r="B2183">
        <v>0</v>
      </c>
      <c r="C2183" s="16" t="s">
        <v>11452</v>
      </c>
      <c r="D2183" s="16"/>
      <c r="E2183">
        <v>6</v>
      </c>
      <c r="F2183" t="s">
        <v>4680</v>
      </c>
      <c r="G2183">
        <v>1</v>
      </c>
      <c r="H2183">
        <v>0</v>
      </c>
      <c r="I2183">
        <f>1</f>
        <v>1</v>
      </c>
    </row>
    <row r="2184" spans="2:9" x14ac:dyDescent="0.25">
      <c r="B2184">
        <v>0</v>
      </c>
      <c r="C2184" s="16" t="s">
        <v>11453</v>
      </c>
      <c r="D2184" s="16"/>
      <c r="E2184">
        <v>6</v>
      </c>
      <c r="F2184" t="e">
        <f>--Mentol</f>
        <v>#NAME?</v>
      </c>
      <c r="G2184">
        <v>1</v>
      </c>
      <c r="H2184">
        <v>0</v>
      </c>
      <c r="I2184">
        <f>1</f>
        <v>1</v>
      </c>
    </row>
    <row r="2185" spans="2:9" x14ac:dyDescent="0.25">
      <c r="B2185">
        <v>0</v>
      </c>
      <c r="C2185" s="16" t="s">
        <v>11454</v>
      </c>
      <c r="D2185" s="16"/>
      <c r="E2185">
        <v>6</v>
      </c>
      <c r="F2185" t="s">
        <v>5524</v>
      </c>
      <c r="G2185">
        <v>1</v>
      </c>
      <c r="H2185">
        <v>0</v>
      </c>
      <c r="I2185">
        <f>1</f>
        <v>1</v>
      </c>
    </row>
    <row r="2186" spans="2:9" x14ac:dyDescent="0.25">
      <c r="B2186">
        <v>0</v>
      </c>
      <c r="C2186" s="16" t="s">
        <v>11455</v>
      </c>
      <c r="D2186" s="16"/>
      <c r="E2186">
        <v>6</v>
      </c>
      <c r="F2186" t="e">
        <f>--Esteróis e inositóis</f>
        <v>#NAME?</v>
      </c>
      <c r="G2186">
        <v>1</v>
      </c>
      <c r="H2186">
        <v>0</v>
      </c>
      <c r="I2186">
        <f>1</f>
        <v>1</v>
      </c>
    </row>
    <row r="2187" spans="2:9" x14ac:dyDescent="0.25">
      <c r="B2187">
        <v>0</v>
      </c>
      <c r="C2187" s="16" t="s">
        <v>11456</v>
      </c>
      <c r="D2187" s="16"/>
      <c r="E2187">
        <v>6</v>
      </c>
      <c r="F2187" t="s">
        <v>5525</v>
      </c>
      <c r="G2187">
        <v>1</v>
      </c>
      <c r="H2187">
        <v>0</v>
      </c>
      <c r="I2187">
        <f>1</f>
        <v>1</v>
      </c>
    </row>
    <row r="2188" spans="2:9" x14ac:dyDescent="0.25">
      <c r="B2188">
        <v>0</v>
      </c>
      <c r="C2188" s="16" t="s">
        <v>11457</v>
      </c>
      <c r="D2188" s="16"/>
      <c r="E2188">
        <v>6</v>
      </c>
      <c r="F2188" t="s">
        <v>5526</v>
      </c>
      <c r="G2188">
        <v>1</v>
      </c>
      <c r="H2188">
        <v>0</v>
      </c>
      <c r="I2188">
        <f>1</f>
        <v>1</v>
      </c>
    </row>
    <row r="2189" spans="2:9" x14ac:dyDescent="0.25">
      <c r="B2189">
        <v>0</v>
      </c>
      <c r="C2189" s="16" t="s">
        <v>11458</v>
      </c>
      <c r="D2189" s="16"/>
      <c r="E2189">
        <v>6</v>
      </c>
      <c r="F2189" t="s">
        <v>5527</v>
      </c>
      <c r="G2189">
        <v>1</v>
      </c>
      <c r="H2189">
        <v>0</v>
      </c>
      <c r="I2189">
        <f>1</f>
        <v>1</v>
      </c>
    </row>
    <row r="2190" spans="2:9" x14ac:dyDescent="0.25">
      <c r="B2190">
        <v>0</v>
      </c>
      <c r="C2190" s="16" t="s">
        <v>11459</v>
      </c>
      <c r="D2190" s="16"/>
      <c r="E2190">
        <v>6</v>
      </c>
      <c r="F2190" t="s">
        <v>5528</v>
      </c>
      <c r="G2190">
        <v>1</v>
      </c>
      <c r="H2190">
        <v>0</v>
      </c>
      <c r="I2190">
        <f>1</f>
        <v>1</v>
      </c>
    </row>
    <row r="2191" spans="2:9" x14ac:dyDescent="0.25">
      <c r="B2191">
        <v>0</v>
      </c>
      <c r="C2191" s="16" t="s">
        <v>11460</v>
      </c>
      <c r="D2191" s="16"/>
      <c r="E2191">
        <v>6</v>
      </c>
      <c r="F2191" t="s">
        <v>5529</v>
      </c>
      <c r="G2191">
        <v>1</v>
      </c>
      <c r="H2191">
        <v>0</v>
      </c>
      <c r="I2191">
        <f>1</f>
        <v>1</v>
      </c>
    </row>
    <row r="2192" spans="2:9" x14ac:dyDescent="0.25">
      <c r="B2192">
        <v>0</v>
      </c>
      <c r="C2192" s="16" t="s">
        <v>11461</v>
      </c>
      <c r="D2192" s="16"/>
      <c r="E2192">
        <v>6</v>
      </c>
      <c r="F2192" t="s">
        <v>4680</v>
      </c>
      <c r="G2192">
        <v>1</v>
      </c>
      <c r="H2192">
        <v>0</v>
      </c>
      <c r="I2192">
        <f>1</f>
        <v>1</v>
      </c>
    </row>
    <row r="2193" spans="2:9" x14ac:dyDescent="0.25">
      <c r="B2193">
        <v>0</v>
      </c>
      <c r="C2193" s="16" t="s">
        <v>11462</v>
      </c>
      <c r="D2193" s="16"/>
      <c r="E2193">
        <v>6</v>
      </c>
      <c r="F2193" t="e">
        <f>--álcool benzílico</f>
        <v>#NAME?</v>
      </c>
      <c r="G2193">
        <v>1</v>
      </c>
      <c r="H2193">
        <v>0</v>
      </c>
      <c r="I2193">
        <f>1</f>
        <v>1</v>
      </c>
    </row>
    <row r="2194" spans="2:9" x14ac:dyDescent="0.25">
      <c r="B2194">
        <v>0</v>
      </c>
      <c r="C2194" s="16" t="s">
        <v>11463</v>
      </c>
      <c r="D2194" s="16"/>
      <c r="E2194">
        <v>6</v>
      </c>
      <c r="F2194" t="s">
        <v>5530</v>
      </c>
      <c r="G2194">
        <v>1</v>
      </c>
      <c r="H2194">
        <v>0</v>
      </c>
      <c r="I2194">
        <f>1</f>
        <v>1</v>
      </c>
    </row>
    <row r="2195" spans="2:9" x14ac:dyDescent="0.25">
      <c r="B2195">
        <v>0</v>
      </c>
      <c r="C2195" s="16" t="s">
        <v>11464</v>
      </c>
      <c r="D2195" s="16"/>
      <c r="E2195">
        <v>6</v>
      </c>
      <c r="F2195" t="s">
        <v>5531</v>
      </c>
      <c r="G2195">
        <v>1</v>
      </c>
      <c r="H2195">
        <v>0</v>
      </c>
      <c r="I2195">
        <f>1</f>
        <v>1</v>
      </c>
    </row>
    <row r="2196" spans="2:9" x14ac:dyDescent="0.25">
      <c r="B2196">
        <v>0</v>
      </c>
      <c r="C2196" s="16" t="s">
        <v>11465</v>
      </c>
      <c r="D2196" s="16"/>
      <c r="E2196">
        <v>6</v>
      </c>
      <c r="F2196" t="s">
        <v>4680</v>
      </c>
      <c r="G2196">
        <v>1</v>
      </c>
      <c r="H2196">
        <v>0</v>
      </c>
      <c r="I2196">
        <f>1</f>
        <v>1</v>
      </c>
    </row>
    <row r="2197" spans="2:9" x14ac:dyDescent="0.25">
      <c r="B2197">
        <v>0</v>
      </c>
      <c r="C2197" s="16" t="s">
        <v>11466</v>
      </c>
      <c r="D2197" s="16"/>
      <c r="E2197">
        <v>6</v>
      </c>
      <c r="F2197" t="e">
        <f>--Fenol  hidroxibenzeno  e seus sais</f>
        <v>#NAME?</v>
      </c>
      <c r="G2197">
        <v>1</v>
      </c>
      <c r="H2197">
        <v>0</v>
      </c>
      <c r="I2197">
        <f>1</f>
        <v>1</v>
      </c>
    </row>
    <row r="2198" spans="2:9" x14ac:dyDescent="0.25">
      <c r="B2198">
        <v>0</v>
      </c>
      <c r="C2198" s="16" t="s">
        <v>11467</v>
      </c>
      <c r="D2198" s="16"/>
      <c r="E2198">
        <v>6</v>
      </c>
      <c r="F2198" t="e">
        <f>--Cresóis e seus sais</f>
        <v>#NAME?</v>
      </c>
      <c r="G2198">
        <v>1</v>
      </c>
      <c r="H2198">
        <v>0</v>
      </c>
      <c r="I2198">
        <f>1</f>
        <v>1</v>
      </c>
    </row>
    <row r="2199" spans="2:9" x14ac:dyDescent="0.25">
      <c r="B2199">
        <v>0</v>
      </c>
      <c r="C2199" s="16" t="s">
        <v>11468</v>
      </c>
      <c r="D2199" s="16"/>
      <c r="E2199">
        <v>6</v>
      </c>
      <c r="F2199" t="s">
        <v>5532</v>
      </c>
      <c r="G2199">
        <v>1</v>
      </c>
      <c r="H2199">
        <v>0</v>
      </c>
      <c r="I2199">
        <f>1</f>
        <v>1</v>
      </c>
    </row>
    <row r="2200" spans="2:9" x14ac:dyDescent="0.25">
      <c r="B2200">
        <v>0</v>
      </c>
      <c r="C2200" s="16" t="s">
        <v>11469</v>
      </c>
      <c r="D2200" s="16"/>
      <c r="E2200">
        <v>6</v>
      </c>
      <c r="F2200" t="s">
        <v>5533</v>
      </c>
      <c r="G2200">
        <v>1</v>
      </c>
      <c r="H2200">
        <v>0</v>
      </c>
      <c r="I2200">
        <f>1</f>
        <v>1</v>
      </c>
    </row>
    <row r="2201" spans="2:9" x14ac:dyDescent="0.25">
      <c r="B2201">
        <v>0</v>
      </c>
      <c r="C2201" s="16" t="s">
        <v>11470</v>
      </c>
      <c r="D2201" s="16"/>
      <c r="E2201">
        <v>6</v>
      </c>
      <c r="F2201" t="s">
        <v>4680</v>
      </c>
      <c r="G2201">
        <v>1</v>
      </c>
      <c r="H2201">
        <v>0</v>
      </c>
      <c r="I2201">
        <f>1</f>
        <v>1</v>
      </c>
    </row>
    <row r="2202" spans="2:9" x14ac:dyDescent="0.25">
      <c r="B2202">
        <v>0</v>
      </c>
      <c r="C2202" s="16" t="s">
        <v>11471</v>
      </c>
      <c r="D2202" s="16"/>
      <c r="E2202">
        <v>6</v>
      </c>
      <c r="F2202" t="s">
        <v>5534</v>
      </c>
      <c r="G2202">
        <v>1</v>
      </c>
      <c r="H2202">
        <v>0</v>
      </c>
      <c r="I2202">
        <f>1</f>
        <v>1</v>
      </c>
    </row>
    <row r="2203" spans="2:9" x14ac:dyDescent="0.25">
      <c r="B2203">
        <v>0</v>
      </c>
      <c r="C2203" s="16" t="s">
        <v>11472</v>
      </c>
      <c r="D2203" s="16"/>
      <c r="E2203">
        <v>6</v>
      </c>
      <c r="F2203" t="s">
        <v>5535</v>
      </c>
      <c r="G2203">
        <v>1</v>
      </c>
      <c r="H2203">
        <v>0</v>
      </c>
      <c r="I2203">
        <f>1</f>
        <v>1</v>
      </c>
    </row>
    <row r="2204" spans="2:9" x14ac:dyDescent="0.25">
      <c r="B2204">
        <v>0</v>
      </c>
      <c r="C2204" s="16" t="s">
        <v>11473</v>
      </c>
      <c r="D2204" s="16"/>
      <c r="E2204">
        <v>6</v>
      </c>
      <c r="F2204" t="s">
        <v>5536</v>
      </c>
      <c r="G2204">
        <v>1</v>
      </c>
      <c r="H2204">
        <v>0</v>
      </c>
      <c r="I2204">
        <f>1</f>
        <v>1</v>
      </c>
    </row>
    <row r="2205" spans="2:9" x14ac:dyDescent="0.25">
      <c r="B2205">
        <v>0</v>
      </c>
      <c r="C2205" s="16" t="s">
        <v>11474</v>
      </c>
      <c r="D2205" s="16"/>
      <c r="E2205">
        <v>6</v>
      </c>
      <c r="F2205" t="s">
        <v>5537</v>
      </c>
      <c r="G2205">
        <v>1</v>
      </c>
      <c r="H2205">
        <v>0</v>
      </c>
      <c r="I2205">
        <f>1</f>
        <v>1</v>
      </c>
    </row>
    <row r="2206" spans="2:9" x14ac:dyDescent="0.25">
      <c r="B2206">
        <v>0</v>
      </c>
      <c r="C2206" s="16" t="s">
        <v>11475</v>
      </c>
      <c r="D2206" s="16"/>
      <c r="E2206">
        <v>6</v>
      </c>
      <c r="F2206" t="s">
        <v>4680</v>
      </c>
      <c r="G2206">
        <v>1</v>
      </c>
      <c r="H2206">
        <v>0</v>
      </c>
      <c r="I2206">
        <f>1</f>
        <v>1</v>
      </c>
    </row>
    <row r="2207" spans="2:9" x14ac:dyDescent="0.25">
      <c r="B2207">
        <v>0</v>
      </c>
      <c r="C2207" s="16" t="s">
        <v>11476</v>
      </c>
      <c r="D2207" s="16"/>
      <c r="E2207">
        <v>6</v>
      </c>
      <c r="F2207" t="e">
        <f>--Resorcinol e seus sais</f>
        <v>#NAME?</v>
      </c>
      <c r="G2207">
        <v>1</v>
      </c>
      <c r="H2207">
        <v>0</v>
      </c>
      <c r="I2207">
        <f>1</f>
        <v>1</v>
      </c>
    </row>
    <row r="2208" spans="2:9" x14ac:dyDescent="0.25">
      <c r="B2208">
        <v>0</v>
      </c>
      <c r="C2208" s="16" t="s">
        <v>11477</v>
      </c>
      <c r="D2208" s="16"/>
      <c r="E2208">
        <v>6</v>
      </c>
      <c r="F2208" t="e">
        <f>--Hidroquinona e seus sais</f>
        <v>#NAME?</v>
      </c>
      <c r="G2208">
        <v>1</v>
      </c>
      <c r="H2208">
        <v>0</v>
      </c>
      <c r="I2208">
        <f>1</f>
        <v>1</v>
      </c>
    </row>
    <row r="2209" spans="2:9" x14ac:dyDescent="0.25">
      <c r="B2209">
        <v>0</v>
      </c>
      <c r="C2209" s="16" t="s">
        <v>11478</v>
      </c>
      <c r="D2209" s="16"/>
      <c r="E2209">
        <v>6</v>
      </c>
      <c r="F2209" t="s">
        <v>5538</v>
      </c>
      <c r="G2209">
        <v>1</v>
      </c>
      <c r="H2209">
        <v>0</v>
      </c>
      <c r="I2209">
        <f>1</f>
        <v>1</v>
      </c>
    </row>
    <row r="2210" spans="2:9" x14ac:dyDescent="0.25">
      <c r="B2210">
        <v>0</v>
      </c>
      <c r="C2210" s="16" t="s">
        <v>11479</v>
      </c>
      <c r="D2210" s="16"/>
      <c r="E2210">
        <v>6</v>
      </c>
      <c r="F2210" t="e">
        <f>--outros</f>
        <v>#NAME?</v>
      </c>
      <c r="G2210">
        <v>1</v>
      </c>
      <c r="H2210">
        <v>0</v>
      </c>
      <c r="I2210">
        <f>1</f>
        <v>1</v>
      </c>
    </row>
    <row r="2211" spans="2:9" x14ac:dyDescent="0.25">
      <c r="B2211">
        <v>0</v>
      </c>
      <c r="C2211" s="16" t="s">
        <v>11480</v>
      </c>
      <c r="D2211" s="16"/>
      <c r="E2211">
        <v>6</v>
      </c>
      <c r="F2211" t="e">
        <f>--Pentaclorofenol  ISO</f>
        <v>#NAME?</v>
      </c>
      <c r="G2211">
        <v>1</v>
      </c>
      <c r="H2211">
        <v>0</v>
      </c>
      <c r="I2211">
        <f>1</f>
        <v>1</v>
      </c>
    </row>
    <row r="2212" spans="2:9" x14ac:dyDescent="0.25">
      <c r="B2212">
        <v>0</v>
      </c>
      <c r="C2212" s="16" t="s">
        <v>11481</v>
      </c>
      <c r="D2212" s="16"/>
      <c r="E2212">
        <v>6</v>
      </c>
      <c r="F2212" t="s">
        <v>5539</v>
      </c>
      <c r="G2212">
        <v>1</v>
      </c>
      <c r="H2212">
        <v>0</v>
      </c>
      <c r="I2212">
        <f>1</f>
        <v>1</v>
      </c>
    </row>
    <row r="2213" spans="2:9" x14ac:dyDescent="0.25">
      <c r="B2213">
        <v>0</v>
      </c>
      <c r="C2213" s="16" t="s">
        <v>11482</v>
      </c>
      <c r="D2213" s="16"/>
      <c r="E2213">
        <v>6</v>
      </c>
      <c r="F2213" t="s">
        <v>5540</v>
      </c>
      <c r="G2213">
        <v>1</v>
      </c>
      <c r="H2213">
        <v>0</v>
      </c>
      <c r="I2213">
        <f>1</f>
        <v>1</v>
      </c>
    </row>
    <row r="2214" spans="2:9" x14ac:dyDescent="0.25">
      <c r="B2214">
        <v>0</v>
      </c>
      <c r="C2214" s="16" t="s">
        <v>11483</v>
      </c>
      <c r="D2214" s="16"/>
      <c r="E2214">
        <v>6</v>
      </c>
      <c r="F2214" t="s">
        <v>5541</v>
      </c>
      <c r="G2214">
        <v>1</v>
      </c>
      <c r="H2214">
        <v>0</v>
      </c>
      <c r="I2214">
        <f>1</f>
        <v>1</v>
      </c>
    </row>
    <row r="2215" spans="2:9" x14ac:dyDescent="0.25">
      <c r="B2215">
        <v>0</v>
      </c>
      <c r="C2215" s="16" t="s">
        <v>11484</v>
      </c>
      <c r="D2215" s="16"/>
      <c r="E2215">
        <v>6</v>
      </c>
      <c r="F2215" t="s">
        <v>5542</v>
      </c>
      <c r="G2215">
        <v>1</v>
      </c>
      <c r="H2215">
        <v>0</v>
      </c>
      <c r="I2215">
        <f>1</f>
        <v>1</v>
      </c>
    </row>
    <row r="2216" spans="2:9" x14ac:dyDescent="0.25">
      <c r="B2216">
        <v>0</v>
      </c>
      <c r="C2216" s="16" t="s">
        <v>11485</v>
      </c>
      <c r="D2216" s="16"/>
      <c r="E2216">
        <v>6</v>
      </c>
      <c r="F2216" t="s">
        <v>5543</v>
      </c>
      <c r="G2216">
        <v>1</v>
      </c>
      <c r="H2216">
        <v>0</v>
      </c>
      <c r="I2216">
        <f>1</f>
        <v>1</v>
      </c>
    </row>
    <row r="2217" spans="2:9" x14ac:dyDescent="0.25">
      <c r="B2217">
        <v>0</v>
      </c>
      <c r="C2217" s="16" t="s">
        <v>11486</v>
      </c>
      <c r="D2217" s="16"/>
      <c r="E2217">
        <v>6</v>
      </c>
      <c r="F2217" t="s">
        <v>4680</v>
      </c>
      <c r="G2217">
        <v>1</v>
      </c>
      <c r="H2217">
        <v>0</v>
      </c>
      <c r="I2217">
        <f>1</f>
        <v>1</v>
      </c>
    </row>
    <row r="2218" spans="2:9" x14ac:dyDescent="0.25">
      <c r="B2218">
        <v>0</v>
      </c>
      <c r="C2218" s="16" t="s">
        <v>11487</v>
      </c>
      <c r="D2218" s="16"/>
      <c r="E2218">
        <v>6</v>
      </c>
      <c r="F2218" t="s">
        <v>5544</v>
      </c>
      <c r="G2218">
        <v>1</v>
      </c>
      <c r="H2218">
        <v>0</v>
      </c>
      <c r="I2218">
        <f>1</f>
        <v>1</v>
      </c>
    </row>
    <row r="2219" spans="2:9" x14ac:dyDescent="0.25">
      <c r="B2219">
        <v>0</v>
      </c>
      <c r="C2219" s="16" t="s">
        <v>11488</v>
      </c>
      <c r="D2219" s="16"/>
      <c r="E2219">
        <v>6</v>
      </c>
      <c r="F2219" t="s">
        <v>4680</v>
      </c>
      <c r="G2219">
        <v>1</v>
      </c>
      <c r="H2219">
        <v>0</v>
      </c>
      <c r="I2219">
        <f>1</f>
        <v>1</v>
      </c>
    </row>
    <row r="2220" spans="2:9" x14ac:dyDescent="0.25">
      <c r="B2220">
        <v>0</v>
      </c>
      <c r="C2220" s="16" t="s">
        <v>11489</v>
      </c>
      <c r="D2220" s="16"/>
      <c r="E2220">
        <v>6</v>
      </c>
      <c r="F2220" t="s">
        <v>4680</v>
      </c>
      <c r="G2220">
        <v>1</v>
      </c>
      <c r="H2220">
        <v>0</v>
      </c>
      <c r="I2220">
        <f>1</f>
        <v>1</v>
      </c>
    </row>
    <row r="2221" spans="2:9" x14ac:dyDescent="0.25">
      <c r="B2221">
        <v>0</v>
      </c>
      <c r="C2221" s="16" t="s">
        <v>11490</v>
      </c>
      <c r="D2221" s="16"/>
      <c r="E2221">
        <v>6</v>
      </c>
      <c r="F2221" t="e">
        <f>--Dinoseb  ISO  e seus sais</f>
        <v>#NAME?</v>
      </c>
      <c r="G2221">
        <v>1</v>
      </c>
      <c r="H2221">
        <v>0</v>
      </c>
      <c r="I2221">
        <f>1</f>
        <v>1</v>
      </c>
    </row>
    <row r="2222" spans="2:9" x14ac:dyDescent="0.25">
      <c r="B2222">
        <v>0</v>
      </c>
      <c r="C2222" s="16" t="s">
        <v>11491</v>
      </c>
      <c r="D2222" s="16"/>
      <c r="E2222">
        <v>6</v>
      </c>
      <c r="F2222" t="e">
        <f>--4.6-Dinitro-o-cresol  DNOC  ISO   e seus sais</f>
        <v>#NAME?</v>
      </c>
      <c r="G2222">
        <v>1</v>
      </c>
      <c r="H2222">
        <v>0</v>
      </c>
      <c r="I2222">
        <f>1</f>
        <v>1</v>
      </c>
    </row>
    <row r="2223" spans="2:9" x14ac:dyDescent="0.25">
      <c r="B2223">
        <v>0</v>
      </c>
      <c r="C2223" s="16" t="s">
        <v>11492</v>
      </c>
      <c r="D2223" s="16"/>
      <c r="E2223">
        <v>6</v>
      </c>
      <c r="F2223" t="s">
        <v>5545</v>
      </c>
      <c r="G2223">
        <v>1</v>
      </c>
      <c r="H2223">
        <v>0</v>
      </c>
      <c r="I2223">
        <f>1</f>
        <v>1</v>
      </c>
    </row>
    <row r="2224" spans="2:9" x14ac:dyDescent="0.25">
      <c r="B2224">
        <v>0</v>
      </c>
      <c r="C2224" s="16" t="s">
        <v>11493</v>
      </c>
      <c r="D2224" s="16"/>
      <c r="E2224">
        <v>6</v>
      </c>
      <c r="F2224" t="s">
        <v>5546</v>
      </c>
      <c r="G2224">
        <v>1</v>
      </c>
      <c r="H2224">
        <v>0</v>
      </c>
      <c r="I2224">
        <f>1</f>
        <v>1</v>
      </c>
    </row>
    <row r="2225" spans="2:9" x14ac:dyDescent="0.25">
      <c r="B2225">
        <v>0</v>
      </c>
      <c r="C2225" s="16" t="s">
        <v>11494</v>
      </c>
      <c r="D2225" s="16"/>
      <c r="E2225">
        <v>6</v>
      </c>
      <c r="F2225" t="s">
        <v>4680</v>
      </c>
      <c r="G2225">
        <v>1</v>
      </c>
      <c r="H2225">
        <v>0</v>
      </c>
      <c r="I2225">
        <f>1</f>
        <v>1</v>
      </c>
    </row>
    <row r="2226" spans="2:9" x14ac:dyDescent="0.25">
      <c r="B2226">
        <v>0</v>
      </c>
      <c r="C2226" s="16" t="s">
        <v>11495</v>
      </c>
      <c r="D2226" s="16"/>
      <c r="E2226">
        <v>6</v>
      </c>
      <c r="F2226" t="s">
        <v>5547</v>
      </c>
      <c r="G2226">
        <v>1</v>
      </c>
      <c r="H2226">
        <v>0</v>
      </c>
      <c r="I2226">
        <f>1</f>
        <v>1</v>
      </c>
    </row>
    <row r="2227" spans="2:9" x14ac:dyDescent="0.25">
      <c r="B2227">
        <v>0</v>
      </c>
      <c r="C2227" s="16" t="s">
        <v>11496</v>
      </c>
      <c r="D2227" s="16"/>
      <c r="E2227">
        <v>6</v>
      </c>
      <c r="F2227" t="s">
        <v>4680</v>
      </c>
      <c r="G2227">
        <v>1</v>
      </c>
      <c r="H2227">
        <v>0</v>
      </c>
      <c r="I2227">
        <f>1</f>
        <v>1</v>
      </c>
    </row>
    <row r="2228" spans="2:9" x14ac:dyDescent="0.25">
      <c r="B2228">
        <v>0</v>
      </c>
      <c r="C2228" s="16" t="s">
        <v>11497</v>
      </c>
      <c r="D2228" s="16"/>
      <c r="E2228">
        <v>6</v>
      </c>
      <c r="F2228" t="s">
        <v>5548</v>
      </c>
      <c r="G2228">
        <v>1</v>
      </c>
      <c r="H2228">
        <v>0</v>
      </c>
      <c r="I2228">
        <f>1</f>
        <v>1</v>
      </c>
    </row>
    <row r="2229" spans="2:9" x14ac:dyDescent="0.25">
      <c r="B2229">
        <v>0</v>
      </c>
      <c r="C2229" s="16" t="s">
        <v>11498</v>
      </c>
      <c r="D2229" s="16"/>
      <c r="E2229">
        <v>6</v>
      </c>
      <c r="F2229" t="s">
        <v>4680</v>
      </c>
      <c r="G2229">
        <v>1</v>
      </c>
      <c r="H2229">
        <v>0</v>
      </c>
      <c r="I2229">
        <f>1</f>
        <v>1</v>
      </c>
    </row>
    <row r="2230" spans="2:9" x14ac:dyDescent="0.25">
      <c r="B2230">
        <v>0</v>
      </c>
      <c r="C2230" s="16" t="s">
        <v>11499</v>
      </c>
      <c r="D2230" s="16"/>
      <c r="E2230">
        <v>6</v>
      </c>
      <c r="F2230" t="e">
        <f>--Éter dietílico  óxido De dietila</f>
        <v>#NAME?</v>
      </c>
      <c r="G2230">
        <v>1</v>
      </c>
      <c r="H2230">
        <v>0</v>
      </c>
      <c r="I2230">
        <f>1</f>
        <v>1</v>
      </c>
    </row>
    <row r="2231" spans="2:9" x14ac:dyDescent="0.25">
      <c r="B2231">
        <v>0</v>
      </c>
      <c r="C2231" s="16" t="s">
        <v>11500</v>
      </c>
      <c r="D2231" s="16"/>
      <c r="E2231">
        <v>6</v>
      </c>
      <c r="F2231" t="s">
        <v>5549</v>
      </c>
      <c r="G2231">
        <v>1</v>
      </c>
      <c r="H2231">
        <v>0</v>
      </c>
      <c r="I2231">
        <f>1</f>
        <v>1</v>
      </c>
    </row>
    <row r="2232" spans="2:9" x14ac:dyDescent="0.25">
      <c r="B2232">
        <v>0</v>
      </c>
      <c r="C2232" s="16" t="s">
        <v>11501</v>
      </c>
      <c r="D2232" s="16"/>
      <c r="E2232">
        <v>6</v>
      </c>
      <c r="F2232" t="s">
        <v>4680</v>
      </c>
      <c r="G2232">
        <v>1</v>
      </c>
      <c r="H2232">
        <v>0</v>
      </c>
      <c r="I2232">
        <f>1</f>
        <v>1</v>
      </c>
    </row>
    <row r="2233" spans="2:9" x14ac:dyDescent="0.25">
      <c r="B2233">
        <v>0</v>
      </c>
      <c r="C2233" s="16" t="s">
        <v>11502</v>
      </c>
      <c r="D2233" s="16"/>
      <c r="E2233">
        <v>6</v>
      </c>
      <c r="F2233" t="s">
        <v>5550</v>
      </c>
      <c r="G2233">
        <v>1</v>
      </c>
      <c r="H2233">
        <v>0</v>
      </c>
      <c r="I2233">
        <f>1</f>
        <v>1</v>
      </c>
    </row>
    <row r="2234" spans="2:9" x14ac:dyDescent="0.25">
      <c r="B2234">
        <v>0</v>
      </c>
      <c r="C2234" s="16" t="s">
        <v>11503</v>
      </c>
      <c r="D2234" s="16"/>
      <c r="E2234">
        <v>6</v>
      </c>
      <c r="F2234" t="s">
        <v>5551</v>
      </c>
      <c r="G2234">
        <v>1</v>
      </c>
      <c r="H2234">
        <v>0</v>
      </c>
      <c r="I2234">
        <f>1</f>
        <v>1</v>
      </c>
    </row>
    <row r="2235" spans="2:9" x14ac:dyDescent="0.25">
      <c r="B2235">
        <v>0</v>
      </c>
      <c r="C2235" s="16" t="s">
        <v>11504</v>
      </c>
      <c r="D2235" s="16"/>
      <c r="E2235">
        <v>6</v>
      </c>
      <c r="F2235" t="s">
        <v>5552</v>
      </c>
      <c r="G2235">
        <v>1</v>
      </c>
      <c r="H2235">
        <v>0</v>
      </c>
      <c r="I2235">
        <f>1</f>
        <v>1</v>
      </c>
    </row>
    <row r="2236" spans="2:9" x14ac:dyDescent="0.25">
      <c r="B2236">
        <v>0</v>
      </c>
      <c r="C2236" s="16" t="s">
        <v>11505</v>
      </c>
      <c r="D2236" s="16"/>
      <c r="E2236">
        <v>6</v>
      </c>
      <c r="F2236" t="s">
        <v>5553</v>
      </c>
      <c r="G2236">
        <v>1</v>
      </c>
      <c r="H2236">
        <v>0</v>
      </c>
      <c r="I2236">
        <f>1</f>
        <v>1</v>
      </c>
    </row>
    <row r="2237" spans="2:9" x14ac:dyDescent="0.25">
      <c r="B2237">
        <v>0</v>
      </c>
      <c r="C2237" s="16" t="s">
        <v>11506</v>
      </c>
      <c r="D2237" s="16"/>
      <c r="E2237">
        <v>6</v>
      </c>
      <c r="F2237" t="s">
        <v>5554</v>
      </c>
      <c r="G2237">
        <v>1</v>
      </c>
      <c r="H2237">
        <v>0</v>
      </c>
      <c r="I2237">
        <f>1</f>
        <v>1</v>
      </c>
    </row>
    <row r="2238" spans="2:9" x14ac:dyDescent="0.25">
      <c r="B2238">
        <v>0</v>
      </c>
      <c r="C2238" s="16" t="s">
        <v>11507</v>
      </c>
      <c r="D2238" s="16"/>
      <c r="E2238">
        <v>6</v>
      </c>
      <c r="F2238" t="s">
        <v>4680</v>
      </c>
      <c r="G2238">
        <v>1</v>
      </c>
      <c r="H2238">
        <v>0</v>
      </c>
      <c r="I2238">
        <f>1</f>
        <v>1</v>
      </c>
    </row>
    <row r="2239" spans="2:9" x14ac:dyDescent="0.25">
      <c r="B2239">
        <v>0</v>
      </c>
      <c r="C2239" s="16" t="s">
        <v>11508</v>
      </c>
      <c r="D2239" s="16"/>
      <c r="E2239">
        <v>6</v>
      </c>
      <c r="F2239" t="s">
        <v>5555</v>
      </c>
      <c r="G2239">
        <v>1</v>
      </c>
      <c r="H2239">
        <v>0</v>
      </c>
      <c r="I2239">
        <f>1</f>
        <v>1</v>
      </c>
    </row>
    <row r="2240" spans="2:9" x14ac:dyDescent="0.25">
      <c r="B2240">
        <v>0</v>
      </c>
      <c r="C2240" s="16" t="s">
        <v>11509</v>
      </c>
      <c r="D2240" s="16"/>
      <c r="E2240">
        <v>6</v>
      </c>
      <c r="F2240" t="s">
        <v>4680</v>
      </c>
      <c r="G2240">
        <v>1</v>
      </c>
      <c r="H2240">
        <v>0</v>
      </c>
      <c r="I2240">
        <f>1</f>
        <v>1</v>
      </c>
    </row>
    <row r="2241" spans="2:9" x14ac:dyDescent="0.25">
      <c r="B2241">
        <v>0</v>
      </c>
      <c r="C2241" s="16" t="s">
        <v>11510</v>
      </c>
      <c r="D2241" s="16"/>
      <c r="E2241">
        <v>6</v>
      </c>
      <c r="F2241" t="e">
        <f>--2.2 -Oxidietanol  dietilenoglicol</f>
        <v>#NAME?</v>
      </c>
      <c r="G2241">
        <v>1</v>
      </c>
      <c r="H2241">
        <v>0</v>
      </c>
      <c r="I2241">
        <f>1</f>
        <v>1</v>
      </c>
    </row>
    <row r="2242" spans="2:9" x14ac:dyDescent="0.25">
      <c r="B2242">
        <v>0</v>
      </c>
      <c r="C2242" s="16" t="s">
        <v>11511</v>
      </c>
      <c r="D2242" s="16"/>
      <c r="E2242">
        <v>6</v>
      </c>
      <c r="F2242" t="s">
        <v>5556</v>
      </c>
      <c r="G2242">
        <v>1</v>
      </c>
      <c r="H2242">
        <v>0</v>
      </c>
      <c r="I2242">
        <f>1</f>
        <v>1</v>
      </c>
    </row>
    <row r="2243" spans="2:9" x14ac:dyDescent="0.25">
      <c r="B2243">
        <v>0</v>
      </c>
      <c r="C2243" s="16" t="s">
        <v>11512</v>
      </c>
      <c r="D2243" s="16"/>
      <c r="E2243">
        <v>6</v>
      </c>
      <c r="F2243" t="s">
        <v>5557</v>
      </c>
      <c r="G2243">
        <v>1</v>
      </c>
      <c r="H2243">
        <v>0</v>
      </c>
      <c r="I2243">
        <f>1</f>
        <v>1</v>
      </c>
    </row>
    <row r="2244" spans="2:9" x14ac:dyDescent="0.25">
      <c r="B2244">
        <v>0</v>
      </c>
      <c r="C2244" s="16" t="s">
        <v>11513</v>
      </c>
      <c r="D2244" s="16"/>
      <c r="E2244">
        <v>6</v>
      </c>
      <c r="F2244" t="s">
        <v>5558</v>
      </c>
      <c r="G2244">
        <v>1</v>
      </c>
      <c r="H2244">
        <v>0</v>
      </c>
      <c r="I2244">
        <f>1</f>
        <v>1</v>
      </c>
    </row>
    <row r="2245" spans="2:9" x14ac:dyDescent="0.25">
      <c r="B2245">
        <v>0</v>
      </c>
      <c r="C2245" s="16" t="s">
        <v>11514</v>
      </c>
      <c r="D2245" s="16"/>
      <c r="E2245">
        <v>6</v>
      </c>
      <c r="F2245" t="s">
        <v>5559</v>
      </c>
      <c r="G2245">
        <v>1</v>
      </c>
      <c r="H2245">
        <v>0</v>
      </c>
      <c r="I2245">
        <f>1</f>
        <v>1</v>
      </c>
    </row>
    <row r="2246" spans="2:9" x14ac:dyDescent="0.25">
      <c r="B2246">
        <v>0</v>
      </c>
      <c r="C2246" s="16" t="s">
        <v>11515</v>
      </c>
      <c r="D2246" s="16"/>
      <c r="E2246">
        <v>6</v>
      </c>
      <c r="F2246" t="s">
        <v>5560</v>
      </c>
      <c r="G2246">
        <v>1</v>
      </c>
      <c r="H2246">
        <v>0</v>
      </c>
      <c r="I2246">
        <f>1</f>
        <v>1</v>
      </c>
    </row>
    <row r="2247" spans="2:9" x14ac:dyDescent="0.25">
      <c r="B2247">
        <v>0</v>
      </c>
      <c r="C2247" s="16" t="s">
        <v>11516</v>
      </c>
      <c r="D2247" s="16"/>
      <c r="E2247">
        <v>6</v>
      </c>
      <c r="F2247" t="s">
        <v>4680</v>
      </c>
      <c r="G2247">
        <v>1</v>
      </c>
      <c r="H2247">
        <v>0</v>
      </c>
      <c r="I2247">
        <f>1</f>
        <v>1</v>
      </c>
    </row>
    <row r="2248" spans="2:9" x14ac:dyDescent="0.25">
      <c r="B2248">
        <v>0</v>
      </c>
      <c r="C2248" s="16" t="s">
        <v>11517</v>
      </c>
      <c r="D2248" s="16"/>
      <c r="E2248">
        <v>6</v>
      </c>
      <c r="F2248" t="s">
        <v>5558</v>
      </c>
      <c r="G2248">
        <v>1</v>
      </c>
      <c r="H2248">
        <v>0</v>
      </c>
      <c r="I2248">
        <f>1</f>
        <v>1</v>
      </c>
    </row>
    <row r="2249" spans="2:9" x14ac:dyDescent="0.25">
      <c r="B2249">
        <v>0</v>
      </c>
      <c r="C2249" s="16" t="s">
        <v>11518</v>
      </c>
      <c r="D2249" s="16"/>
      <c r="E2249">
        <v>6</v>
      </c>
      <c r="F2249" t="s">
        <v>4680</v>
      </c>
      <c r="G2249">
        <v>1</v>
      </c>
      <c r="H2249">
        <v>0</v>
      </c>
      <c r="I2249">
        <f>1</f>
        <v>1</v>
      </c>
    </row>
    <row r="2250" spans="2:9" x14ac:dyDescent="0.25">
      <c r="B2250">
        <v>0</v>
      </c>
      <c r="C2250" s="16" t="s">
        <v>11519</v>
      </c>
      <c r="D2250" s="16"/>
      <c r="E2250">
        <v>6</v>
      </c>
      <c r="F2250" t="s">
        <v>5561</v>
      </c>
      <c r="G2250">
        <v>1</v>
      </c>
      <c r="H2250">
        <v>0</v>
      </c>
      <c r="I2250">
        <f>1</f>
        <v>1</v>
      </c>
    </row>
    <row r="2251" spans="2:9" x14ac:dyDescent="0.25">
      <c r="B2251">
        <v>0</v>
      </c>
      <c r="C2251" s="16" t="s">
        <v>11520</v>
      </c>
      <c r="D2251" s="16"/>
      <c r="E2251">
        <v>6</v>
      </c>
      <c r="F2251" t="s">
        <v>5562</v>
      </c>
      <c r="G2251">
        <v>1</v>
      </c>
      <c r="H2251">
        <v>0</v>
      </c>
      <c r="I2251">
        <f>1</f>
        <v>1</v>
      </c>
    </row>
    <row r="2252" spans="2:9" x14ac:dyDescent="0.25">
      <c r="B2252">
        <v>0</v>
      </c>
      <c r="C2252" s="16" t="s">
        <v>11521</v>
      </c>
      <c r="D2252" s="16"/>
      <c r="E2252">
        <v>6</v>
      </c>
      <c r="F2252" t="s">
        <v>5563</v>
      </c>
      <c r="G2252">
        <v>1</v>
      </c>
      <c r="H2252">
        <v>0</v>
      </c>
      <c r="I2252">
        <f>1</f>
        <v>1</v>
      </c>
    </row>
    <row r="2253" spans="2:9" x14ac:dyDescent="0.25">
      <c r="B2253">
        <v>0</v>
      </c>
      <c r="C2253" s="16" t="s">
        <v>11522</v>
      </c>
      <c r="D2253" s="16"/>
      <c r="E2253">
        <v>6</v>
      </c>
      <c r="F2253" t="s">
        <v>5564</v>
      </c>
      <c r="G2253">
        <v>1</v>
      </c>
      <c r="H2253">
        <v>0</v>
      </c>
      <c r="I2253">
        <f>1</f>
        <v>1</v>
      </c>
    </row>
    <row r="2254" spans="2:9" x14ac:dyDescent="0.25">
      <c r="B2254">
        <v>0</v>
      </c>
      <c r="C2254" s="16" t="s">
        <v>11523</v>
      </c>
      <c r="D2254" s="16"/>
      <c r="E2254">
        <v>6</v>
      </c>
      <c r="F2254" t="s">
        <v>5565</v>
      </c>
      <c r="G2254">
        <v>1</v>
      </c>
      <c r="H2254">
        <v>0</v>
      </c>
      <c r="I2254">
        <f>1</f>
        <v>1</v>
      </c>
    </row>
    <row r="2255" spans="2:9" x14ac:dyDescent="0.25">
      <c r="B2255">
        <v>0</v>
      </c>
      <c r="C2255" s="16" t="s">
        <v>11524</v>
      </c>
      <c r="D2255" s="16"/>
      <c r="E2255">
        <v>6</v>
      </c>
      <c r="F2255" t="s">
        <v>4680</v>
      </c>
      <c r="G2255">
        <v>1</v>
      </c>
      <c r="H2255">
        <v>0</v>
      </c>
      <c r="I2255">
        <f>1</f>
        <v>1</v>
      </c>
    </row>
    <row r="2256" spans="2:9" x14ac:dyDescent="0.25">
      <c r="B2256">
        <v>0</v>
      </c>
      <c r="C2256" s="16" t="s">
        <v>11525</v>
      </c>
      <c r="D2256" s="16"/>
      <c r="E2256">
        <v>6</v>
      </c>
      <c r="F2256" t="s">
        <v>5566</v>
      </c>
      <c r="G2256">
        <v>1</v>
      </c>
      <c r="H2256">
        <v>0</v>
      </c>
      <c r="I2256">
        <f>1</f>
        <v>1</v>
      </c>
    </row>
    <row r="2257" spans="2:9" x14ac:dyDescent="0.25">
      <c r="B2257">
        <v>0</v>
      </c>
      <c r="C2257" s="16" t="s">
        <v>11526</v>
      </c>
      <c r="D2257" s="16"/>
      <c r="E2257">
        <v>6</v>
      </c>
      <c r="F2257" t="s">
        <v>5567</v>
      </c>
      <c r="G2257">
        <v>1</v>
      </c>
      <c r="H2257">
        <v>0</v>
      </c>
      <c r="I2257">
        <f>1</f>
        <v>1</v>
      </c>
    </row>
    <row r="2258" spans="2:9" x14ac:dyDescent="0.25">
      <c r="B2258">
        <v>0</v>
      </c>
      <c r="C2258" s="16" t="s">
        <v>11527</v>
      </c>
      <c r="D2258" s="16"/>
      <c r="E2258">
        <v>6</v>
      </c>
      <c r="F2258" t="s">
        <v>4680</v>
      </c>
      <c r="G2258">
        <v>1</v>
      </c>
      <c r="H2258">
        <v>0</v>
      </c>
      <c r="I2258">
        <f>1</f>
        <v>1</v>
      </c>
    </row>
    <row r="2259" spans="2:9" x14ac:dyDescent="0.25">
      <c r="B2259">
        <v>0</v>
      </c>
      <c r="C2259" s="16" t="s">
        <v>11528</v>
      </c>
      <c r="D2259" s="16"/>
      <c r="E2259">
        <v>6</v>
      </c>
      <c r="F2259" t="s">
        <v>5568</v>
      </c>
      <c r="G2259">
        <v>1</v>
      </c>
      <c r="H2259">
        <v>0</v>
      </c>
      <c r="I2259">
        <f>1</f>
        <v>1</v>
      </c>
    </row>
    <row r="2260" spans="2:9" x14ac:dyDescent="0.25">
      <c r="B2260">
        <v>0</v>
      </c>
      <c r="C2260" s="16" t="s">
        <v>11529</v>
      </c>
      <c r="D2260" s="16"/>
      <c r="E2260">
        <v>6</v>
      </c>
      <c r="F2260" t="s">
        <v>4680</v>
      </c>
      <c r="G2260">
        <v>1</v>
      </c>
      <c r="H2260">
        <v>0</v>
      </c>
      <c r="I2260">
        <f>1</f>
        <v>1</v>
      </c>
    </row>
    <row r="2261" spans="2:9" x14ac:dyDescent="0.25">
      <c r="B2261">
        <v>0</v>
      </c>
      <c r="C2261" s="16" t="s">
        <v>11530</v>
      </c>
      <c r="D2261" s="16"/>
      <c r="E2261">
        <v>6</v>
      </c>
      <c r="F2261" t="s">
        <v>5569</v>
      </c>
      <c r="G2261">
        <v>1</v>
      </c>
      <c r="H2261">
        <v>0</v>
      </c>
      <c r="I2261">
        <f>1</f>
        <v>1</v>
      </c>
    </row>
    <row r="2262" spans="2:9" x14ac:dyDescent="0.25">
      <c r="B2262">
        <v>0</v>
      </c>
      <c r="C2262" s="16" t="s">
        <v>11531</v>
      </c>
      <c r="D2262" s="16"/>
      <c r="E2262">
        <v>6</v>
      </c>
      <c r="F2262" t="s">
        <v>4680</v>
      </c>
      <c r="G2262">
        <v>1</v>
      </c>
      <c r="H2262">
        <v>0</v>
      </c>
      <c r="I2262">
        <f>1</f>
        <v>1</v>
      </c>
    </row>
    <row r="2263" spans="2:9" x14ac:dyDescent="0.25">
      <c r="B2263">
        <v>0</v>
      </c>
      <c r="C2263" s="16" t="s">
        <v>11532</v>
      </c>
      <c r="D2263" s="16"/>
      <c r="E2263">
        <v>6</v>
      </c>
      <c r="F2263" t="s">
        <v>5570</v>
      </c>
      <c r="G2263">
        <v>1</v>
      </c>
      <c r="H2263">
        <v>0</v>
      </c>
      <c r="I2263">
        <f>1</f>
        <v>1</v>
      </c>
    </row>
    <row r="2264" spans="2:9" x14ac:dyDescent="0.25">
      <c r="B2264">
        <v>0</v>
      </c>
      <c r="C2264" s="16" t="s">
        <v>11533</v>
      </c>
      <c r="D2264" s="16"/>
      <c r="E2264">
        <v>6</v>
      </c>
      <c r="F2264" t="s">
        <v>5571</v>
      </c>
      <c r="G2264">
        <v>1</v>
      </c>
      <c r="H2264">
        <v>0</v>
      </c>
      <c r="I2264">
        <f>1</f>
        <v>1</v>
      </c>
    </row>
    <row r="2265" spans="2:9" x14ac:dyDescent="0.25">
      <c r="B2265">
        <v>0</v>
      </c>
      <c r="C2265" s="16" t="s">
        <v>11534</v>
      </c>
      <c r="D2265" s="16"/>
      <c r="E2265">
        <v>6</v>
      </c>
      <c r="F2265" t="s">
        <v>5572</v>
      </c>
      <c r="G2265">
        <v>1</v>
      </c>
      <c r="H2265">
        <v>0</v>
      </c>
      <c r="I2265">
        <f>1</f>
        <v>1</v>
      </c>
    </row>
    <row r="2266" spans="2:9" x14ac:dyDescent="0.25">
      <c r="B2266">
        <v>0</v>
      </c>
      <c r="C2266" s="16" t="s">
        <v>11535</v>
      </c>
      <c r="D2266" s="16"/>
      <c r="E2266">
        <v>6</v>
      </c>
      <c r="F2266" t="s">
        <v>4680</v>
      </c>
      <c r="G2266">
        <v>1</v>
      </c>
      <c r="H2266">
        <v>0</v>
      </c>
      <c r="I2266">
        <f>1</f>
        <v>1</v>
      </c>
    </row>
    <row r="2267" spans="2:9" x14ac:dyDescent="0.25">
      <c r="B2267">
        <v>0</v>
      </c>
      <c r="C2267" s="16" t="s">
        <v>11536</v>
      </c>
      <c r="D2267" s="16"/>
      <c r="E2267">
        <v>6</v>
      </c>
      <c r="F2267" t="s">
        <v>4680</v>
      </c>
      <c r="G2267">
        <v>1</v>
      </c>
      <c r="H2267">
        <v>0</v>
      </c>
      <c r="I2267">
        <f>1</f>
        <v>1</v>
      </c>
    </row>
    <row r="2268" spans="2:9" x14ac:dyDescent="0.25">
      <c r="B2268">
        <v>0</v>
      </c>
      <c r="C2268" s="16" t="s">
        <v>11537</v>
      </c>
      <c r="D2268" s="16"/>
      <c r="E2268">
        <v>6</v>
      </c>
      <c r="F2268" t="s">
        <v>5573</v>
      </c>
      <c r="G2268">
        <v>1</v>
      </c>
      <c r="H2268">
        <v>0</v>
      </c>
      <c r="I2268">
        <f>1</f>
        <v>1</v>
      </c>
    </row>
    <row r="2269" spans="2:9" x14ac:dyDescent="0.25">
      <c r="B2269">
        <v>0</v>
      </c>
      <c r="C2269" s="16" t="s">
        <v>11538</v>
      </c>
      <c r="D2269" s="16"/>
      <c r="E2269">
        <v>6</v>
      </c>
      <c r="F2269" t="s">
        <v>5574</v>
      </c>
      <c r="G2269">
        <v>1</v>
      </c>
      <c r="H2269">
        <v>0</v>
      </c>
      <c r="I2269">
        <f>1</f>
        <v>1</v>
      </c>
    </row>
    <row r="2270" spans="2:9" x14ac:dyDescent="0.25">
      <c r="B2270">
        <v>0</v>
      </c>
      <c r="C2270" s="16" t="s">
        <v>11539</v>
      </c>
      <c r="D2270" s="16"/>
      <c r="E2270">
        <v>6</v>
      </c>
      <c r="F2270" t="s">
        <v>5575</v>
      </c>
      <c r="G2270">
        <v>1</v>
      </c>
      <c r="H2270">
        <v>0</v>
      </c>
      <c r="I2270">
        <f>1</f>
        <v>1</v>
      </c>
    </row>
    <row r="2271" spans="2:9" x14ac:dyDescent="0.25">
      <c r="B2271">
        <v>0</v>
      </c>
      <c r="C2271" s="16" t="s">
        <v>11540</v>
      </c>
      <c r="D2271" s="16"/>
      <c r="E2271">
        <v>6</v>
      </c>
      <c r="F2271" t="s">
        <v>4680</v>
      </c>
      <c r="G2271">
        <v>1</v>
      </c>
      <c r="H2271">
        <v>0</v>
      </c>
      <c r="I2271">
        <f>1</f>
        <v>1</v>
      </c>
    </row>
    <row r="2272" spans="2:9" x14ac:dyDescent="0.25">
      <c r="B2272">
        <v>0</v>
      </c>
      <c r="C2272" s="16" t="s">
        <v>11541</v>
      </c>
      <c r="D2272" s="16"/>
      <c r="E2272">
        <v>6</v>
      </c>
      <c r="F2272" t="s">
        <v>5576</v>
      </c>
      <c r="G2272">
        <v>1</v>
      </c>
      <c r="H2272">
        <v>0</v>
      </c>
      <c r="I2272">
        <f>1</f>
        <v>1</v>
      </c>
    </row>
    <row r="2273" spans="2:9" x14ac:dyDescent="0.25">
      <c r="B2273">
        <v>0</v>
      </c>
      <c r="C2273" s="16" t="s">
        <v>11542</v>
      </c>
      <c r="D2273" s="16"/>
      <c r="E2273">
        <v>6</v>
      </c>
      <c r="F2273" t="e">
        <f>-Oxirano  óxido De Etileno</f>
        <v>#NAME?</v>
      </c>
      <c r="G2273">
        <v>1</v>
      </c>
      <c r="H2273">
        <v>0</v>
      </c>
      <c r="I2273">
        <f>1</f>
        <v>1</v>
      </c>
    </row>
    <row r="2274" spans="2:9" x14ac:dyDescent="0.25">
      <c r="B2274">
        <v>0</v>
      </c>
      <c r="C2274" s="16" t="s">
        <v>11543</v>
      </c>
      <c r="D2274" s="16"/>
      <c r="E2274">
        <v>6</v>
      </c>
      <c r="F2274" t="e">
        <f>-Metiloxirano  óxido De propileno</f>
        <v>#NAME?</v>
      </c>
      <c r="G2274">
        <v>1</v>
      </c>
      <c r="H2274">
        <v>0</v>
      </c>
      <c r="I2274">
        <f>1</f>
        <v>1</v>
      </c>
    </row>
    <row r="2275" spans="2:9" x14ac:dyDescent="0.25">
      <c r="B2275">
        <v>0</v>
      </c>
      <c r="C2275" s="16" t="s">
        <v>11544</v>
      </c>
      <c r="D2275" s="16"/>
      <c r="E2275">
        <v>6</v>
      </c>
      <c r="F2275" t="e">
        <f>-1-Cloro-2.3-epoxipropano  epicloridrina</f>
        <v>#NAME?</v>
      </c>
      <c r="G2275">
        <v>1</v>
      </c>
      <c r="H2275">
        <v>0</v>
      </c>
      <c r="I2275">
        <f>1</f>
        <v>1</v>
      </c>
    </row>
    <row r="2276" spans="2:9" x14ac:dyDescent="0.25">
      <c r="B2276">
        <v>0</v>
      </c>
      <c r="C2276" s="16" t="s">
        <v>11545</v>
      </c>
      <c r="D2276" s="16"/>
      <c r="E2276">
        <v>6</v>
      </c>
      <c r="F2276" t="s">
        <v>5577</v>
      </c>
      <c r="G2276">
        <v>1</v>
      </c>
      <c r="H2276">
        <v>0</v>
      </c>
      <c r="I2276">
        <f>1</f>
        <v>1</v>
      </c>
    </row>
    <row r="2277" spans="2:9" x14ac:dyDescent="0.25">
      <c r="B2277">
        <v>0</v>
      </c>
      <c r="C2277" s="16" t="s">
        <v>11546</v>
      </c>
      <c r="D2277" s="16"/>
      <c r="E2277">
        <v>6</v>
      </c>
      <c r="F2277" t="s">
        <v>5578</v>
      </c>
      <c r="G2277">
        <v>1</v>
      </c>
      <c r="H2277">
        <v>0</v>
      </c>
      <c r="I2277">
        <f>1</f>
        <v>1</v>
      </c>
    </row>
    <row r="2278" spans="2:9" x14ac:dyDescent="0.25">
      <c r="B2278">
        <v>0</v>
      </c>
      <c r="C2278" s="16" t="s">
        <v>11547</v>
      </c>
      <c r="D2278" s="16"/>
      <c r="E2278">
        <v>6</v>
      </c>
      <c r="F2278" t="s">
        <v>5579</v>
      </c>
      <c r="G2278">
        <v>1</v>
      </c>
      <c r="H2278">
        <v>0</v>
      </c>
      <c r="I2278">
        <f>1</f>
        <v>1</v>
      </c>
    </row>
    <row r="2279" spans="2:9" x14ac:dyDescent="0.25">
      <c r="B2279">
        <v>0</v>
      </c>
      <c r="C2279" s="16" t="s">
        <v>11548</v>
      </c>
      <c r="D2279" s="16"/>
      <c r="E2279">
        <v>6</v>
      </c>
      <c r="F2279" t="s">
        <v>4680</v>
      </c>
      <c r="G2279">
        <v>1</v>
      </c>
      <c r="H2279">
        <v>0</v>
      </c>
      <c r="I2279">
        <f>1</f>
        <v>1</v>
      </c>
    </row>
    <row r="2280" spans="2:9" x14ac:dyDescent="0.25">
      <c r="B2280">
        <v>0</v>
      </c>
      <c r="C2280" s="16" t="s">
        <v>11549</v>
      </c>
      <c r="D2280" s="16"/>
      <c r="E2280">
        <v>6</v>
      </c>
      <c r="F2280" t="s">
        <v>5580</v>
      </c>
      <c r="G2280">
        <v>1</v>
      </c>
      <c r="H2280">
        <v>0</v>
      </c>
      <c r="I2280">
        <f>1</f>
        <v>1</v>
      </c>
    </row>
    <row r="2281" spans="2:9" x14ac:dyDescent="0.25">
      <c r="B2281">
        <v>0</v>
      </c>
      <c r="C2281" s="16" t="s">
        <v>11550</v>
      </c>
      <c r="D2281" s="16"/>
      <c r="E2281">
        <v>6</v>
      </c>
      <c r="F2281" t="s">
        <v>4680</v>
      </c>
      <c r="G2281">
        <v>1</v>
      </c>
      <c r="H2281">
        <v>0</v>
      </c>
      <c r="I2281">
        <f>1</f>
        <v>1</v>
      </c>
    </row>
    <row r="2282" spans="2:9" x14ac:dyDescent="0.25">
      <c r="B2282">
        <v>0</v>
      </c>
      <c r="C2282" s="16" t="s">
        <v>11551</v>
      </c>
      <c r="D2282" s="16"/>
      <c r="E2282">
        <v>6</v>
      </c>
      <c r="F2282" t="e">
        <f>--Metanal  formaldeído</f>
        <v>#NAME?</v>
      </c>
      <c r="G2282">
        <v>1</v>
      </c>
      <c r="H2282">
        <v>0</v>
      </c>
      <c r="I2282">
        <f>1</f>
        <v>1</v>
      </c>
    </row>
    <row r="2283" spans="2:9" x14ac:dyDescent="0.25">
      <c r="B2283">
        <v>0</v>
      </c>
      <c r="C2283" s="16" t="s">
        <v>11552</v>
      </c>
      <c r="D2283" s="16"/>
      <c r="E2283">
        <v>6</v>
      </c>
      <c r="F2283" t="e">
        <f>--Etanal  acetaldeído</f>
        <v>#NAME?</v>
      </c>
      <c r="G2283">
        <v>1</v>
      </c>
      <c r="H2283">
        <v>0</v>
      </c>
      <c r="I2283">
        <f>1</f>
        <v>1</v>
      </c>
    </row>
    <row r="2284" spans="2:9" x14ac:dyDescent="0.25">
      <c r="B2284">
        <v>0</v>
      </c>
      <c r="C2284" s="16" t="s">
        <v>11553</v>
      </c>
      <c r="D2284" s="16"/>
      <c r="E2284">
        <v>6</v>
      </c>
      <c r="F2284" t="s">
        <v>5581</v>
      </c>
      <c r="G2284">
        <v>1</v>
      </c>
      <c r="H2284">
        <v>0</v>
      </c>
      <c r="I2284">
        <f>1</f>
        <v>1</v>
      </c>
    </row>
    <row r="2285" spans="2:9" x14ac:dyDescent="0.25">
      <c r="B2285">
        <v>0</v>
      </c>
      <c r="C2285" s="16" t="s">
        <v>11554</v>
      </c>
      <c r="D2285" s="16"/>
      <c r="E2285">
        <v>6</v>
      </c>
      <c r="F2285" t="s">
        <v>5582</v>
      </c>
      <c r="G2285">
        <v>1</v>
      </c>
      <c r="H2285">
        <v>0</v>
      </c>
      <c r="I2285">
        <f>1</f>
        <v>1</v>
      </c>
    </row>
    <row r="2286" spans="2:9" x14ac:dyDescent="0.25">
      <c r="B2286">
        <v>0</v>
      </c>
      <c r="C2286" s="16" t="s">
        <v>11555</v>
      </c>
      <c r="D2286" s="16"/>
      <c r="E2286">
        <v>6</v>
      </c>
      <c r="F2286" t="s">
        <v>4680</v>
      </c>
      <c r="G2286">
        <v>1</v>
      </c>
      <c r="H2286">
        <v>0</v>
      </c>
      <c r="I2286">
        <f>1</f>
        <v>1</v>
      </c>
    </row>
    <row r="2287" spans="2:9" x14ac:dyDescent="0.25">
      <c r="B2287">
        <v>0</v>
      </c>
      <c r="C2287" s="16" t="s">
        <v>11556</v>
      </c>
      <c r="D2287" s="16"/>
      <c r="E2287">
        <v>6</v>
      </c>
      <c r="F2287" t="s">
        <v>5583</v>
      </c>
      <c r="G2287">
        <v>1</v>
      </c>
      <c r="H2287">
        <v>0</v>
      </c>
      <c r="I2287">
        <f>1</f>
        <v>1</v>
      </c>
    </row>
    <row r="2288" spans="2:9" x14ac:dyDescent="0.25">
      <c r="B2288">
        <v>0</v>
      </c>
      <c r="C2288" s="16" t="s">
        <v>11557</v>
      </c>
      <c r="D2288" s="16"/>
      <c r="E2288">
        <v>6</v>
      </c>
      <c r="F2288" t="s">
        <v>5584</v>
      </c>
      <c r="G2288">
        <v>1</v>
      </c>
      <c r="H2288">
        <v>0</v>
      </c>
      <c r="I2288">
        <f>1</f>
        <v>1</v>
      </c>
    </row>
    <row r="2289" spans="2:9" x14ac:dyDescent="0.25">
      <c r="B2289">
        <v>0</v>
      </c>
      <c r="C2289" s="16" t="s">
        <v>11558</v>
      </c>
      <c r="D2289" s="16"/>
      <c r="E2289">
        <v>6</v>
      </c>
      <c r="F2289" t="s">
        <v>5585</v>
      </c>
      <c r="G2289">
        <v>1</v>
      </c>
      <c r="H2289">
        <v>0</v>
      </c>
      <c r="I2289">
        <f>1</f>
        <v>1</v>
      </c>
    </row>
    <row r="2290" spans="2:9" x14ac:dyDescent="0.25">
      <c r="B2290">
        <v>0</v>
      </c>
      <c r="C2290" s="16" t="s">
        <v>11559</v>
      </c>
      <c r="D2290" s="16"/>
      <c r="E2290">
        <v>6</v>
      </c>
      <c r="F2290" t="s">
        <v>4680</v>
      </c>
      <c r="G2290">
        <v>1</v>
      </c>
      <c r="H2290">
        <v>0</v>
      </c>
      <c r="I2290">
        <f>1</f>
        <v>1</v>
      </c>
    </row>
    <row r="2291" spans="2:9" x14ac:dyDescent="0.25">
      <c r="B2291">
        <v>0</v>
      </c>
      <c r="C2291" s="16" t="s">
        <v>11560</v>
      </c>
      <c r="D2291" s="16"/>
      <c r="E2291">
        <v>6</v>
      </c>
      <c r="F2291" t="s">
        <v>5586</v>
      </c>
      <c r="G2291">
        <v>1</v>
      </c>
      <c r="H2291">
        <v>0</v>
      </c>
      <c r="I2291">
        <f>1</f>
        <v>1</v>
      </c>
    </row>
    <row r="2292" spans="2:9" x14ac:dyDescent="0.25">
      <c r="B2292">
        <v>0</v>
      </c>
      <c r="C2292" s="16" t="s">
        <v>11561</v>
      </c>
      <c r="D2292" s="16"/>
      <c r="E2292">
        <v>6</v>
      </c>
      <c r="F2292" t="s">
        <v>4680</v>
      </c>
      <c r="G2292">
        <v>1</v>
      </c>
      <c r="H2292">
        <v>0</v>
      </c>
      <c r="I2292">
        <f>1</f>
        <v>1</v>
      </c>
    </row>
    <row r="2293" spans="2:9" x14ac:dyDescent="0.25">
      <c r="B2293">
        <v>0</v>
      </c>
      <c r="C2293" s="16" t="s">
        <v>11562</v>
      </c>
      <c r="D2293" s="16"/>
      <c r="E2293">
        <v>6</v>
      </c>
      <c r="F2293" t="e">
        <f>--Benzaldeído  aldeído benzóico</f>
        <v>#NAME?</v>
      </c>
      <c r="G2293">
        <v>1</v>
      </c>
      <c r="H2293">
        <v>0</v>
      </c>
      <c r="I2293">
        <f>1</f>
        <v>1</v>
      </c>
    </row>
    <row r="2294" spans="2:9" x14ac:dyDescent="0.25">
      <c r="B2294">
        <v>0</v>
      </c>
      <c r="C2294" s="16" t="s">
        <v>11563</v>
      </c>
      <c r="D2294" s="16"/>
      <c r="E2294">
        <v>6</v>
      </c>
      <c r="F2294" t="s">
        <v>5587</v>
      </c>
      <c r="G2294">
        <v>1</v>
      </c>
      <c r="H2294">
        <v>0</v>
      </c>
      <c r="I2294">
        <f>1</f>
        <v>1</v>
      </c>
    </row>
    <row r="2295" spans="2:9" x14ac:dyDescent="0.25">
      <c r="B2295">
        <v>0</v>
      </c>
      <c r="C2295" s="16" t="s">
        <v>11564</v>
      </c>
      <c r="D2295" s="16"/>
      <c r="E2295">
        <v>6</v>
      </c>
      <c r="F2295" t="s">
        <v>5588</v>
      </c>
      <c r="G2295">
        <v>1</v>
      </c>
      <c r="H2295">
        <v>0</v>
      </c>
      <c r="I2295">
        <f>1</f>
        <v>1</v>
      </c>
    </row>
    <row r="2296" spans="2:9" x14ac:dyDescent="0.25">
      <c r="B2296">
        <v>0</v>
      </c>
      <c r="C2296" s="16" t="s">
        <v>11565</v>
      </c>
      <c r="D2296" s="16"/>
      <c r="E2296">
        <v>6</v>
      </c>
      <c r="F2296" t="s">
        <v>4680</v>
      </c>
      <c r="G2296">
        <v>1</v>
      </c>
      <c r="H2296">
        <v>0</v>
      </c>
      <c r="I2296">
        <f>1</f>
        <v>1</v>
      </c>
    </row>
    <row r="2297" spans="2:9" x14ac:dyDescent="0.25">
      <c r="B2297">
        <v>0</v>
      </c>
      <c r="C2297" s="16" t="s">
        <v>11566</v>
      </c>
      <c r="D2297" s="16"/>
      <c r="E2297">
        <v>6</v>
      </c>
      <c r="F2297" t="e">
        <f>--Vanilina  aldeído metilprotocatéquico</f>
        <v>#NAME?</v>
      </c>
      <c r="G2297">
        <v>1</v>
      </c>
      <c r="H2297">
        <v>0</v>
      </c>
      <c r="I2297">
        <f>1</f>
        <v>1</v>
      </c>
    </row>
    <row r="2298" spans="2:9" x14ac:dyDescent="0.25">
      <c r="B2298">
        <v>0</v>
      </c>
      <c r="C2298" s="16" t="s">
        <v>11567</v>
      </c>
      <c r="D2298" s="16"/>
      <c r="E2298">
        <v>6</v>
      </c>
      <c r="F2298" t="e">
        <f>--Etilvanilina  aldeído etilprotocatéquico</f>
        <v>#NAME?</v>
      </c>
      <c r="G2298">
        <v>1</v>
      </c>
      <c r="H2298">
        <v>0</v>
      </c>
      <c r="I2298">
        <f>1</f>
        <v>1</v>
      </c>
    </row>
    <row r="2299" spans="2:9" x14ac:dyDescent="0.25">
      <c r="B2299">
        <v>0</v>
      </c>
      <c r="C2299" s="16" t="s">
        <v>11568</v>
      </c>
      <c r="D2299" s="16"/>
      <c r="E2299">
        <v>6</v>
      </c>
      <c r="F2299" t="s">
        <v>5589</v>
      </c>
      <c r="G2299">
        <v>1</v>
      </c>
      <c r="H2299">
        <v>0</v>
      </c>
      <c r="I2299">
        <f>1</f>
        <v>1</v>
      </c>
    </row>
    <row r="2300" spans="2:9" x14ac:dyDescent="0.25">
      <c r="B2300">
        <v>0</v>
      </c>
      <c r="C2300" s="16" t="s">
        <v>11569</v>
      </c>
      <c r="D2300" s="16"/>
      <c r="E2300">
        <v>6</v>
      </c>
      <c r="F2300" t="s">
        <v>5590</v>
      </c>
      <c r="G2300">
        <v>1</v>
      </c>
      <c r="H2300">
        <v>0</v>
      </c>
      <c r="I2300">
        <f>1</f>
        <v>1</v>
      </c>
    </row>
    <row r="2301" spans="2:9" x14ac:dyDescent="0.25">
      <c r="B2301">
        <v>0</v>
      </c>
      <c r="C2301" s="16" t="s">
        <v>11570</v>
      </c>
      <c r="D2301" s="16"/>
      <c r="E2301">
        <v>6</v>
      </c>
      <c r="F2301" t="s">
        <v>5591</v>
      </c>
      <c r="G2301">
        <v>1</v>
      </c>
      <c r="H2301">
        <v>0</v>
      </c>
      <c r="I2301">
        <f>1</f>
        <v>1</v>
      </c>
    </row>
    <row r="2302" spans="2:9" x14ac:dyDescent="0.25">
      <c r="B2302">
        <v>0</v>
      </c>
      <c r="C2302" s="16" t="s">
        <v>11571</v>
      </c>
      <c r="D2302" s="16"/>
      <c r="E2302">
        <v>6</v>
      </c>
      <c r="F2302" t="s">
        <v>5592</v>
      </c>
      <c r="G2302">
        <v>1</v>
      </c>
      <c r="H2302">
        <v>0</v>
      </c>
      <c r="I2302">
        <f>1</f>
        <v>1</v>
      </c>
    </row>
    <row r="2303" spans="2:9" x14ac:dyDescent="0.25">
      <c r="B2303">
        <v>0</v>
      </c>
      <c r="C2303" s="16" t="s">
        <v>11572</v>
      </c>
      <c r="D2303" s="16"/>
      <c r="E2303">
        <v>6</v>
      </c>
      <c r="F2303" t="s">
        <v>4680</v>
      </c>
      <c r="G2303">
        <v>1</v>
      </c>
      <c r="H2303">
        <v>0</v>
      </c>
      <c r="I2303">
        <f>1</f>
        <v>1</v>
      </c>
    </row>
    <row r="2304" spans="2:9" x14ac:dyDescent="0.25">
      <c r="B2304">
        <v>0</v>
      </c>
      <c r="C2304" s="16" t="s">
        <v>11573</v>
      </c>
      <c r="D2304" s="16"/>
      <c r="E2304">
        <v>6</v>
      </c>
      <c r="F2304" t="s">
        <v>4680</v>
      </c>
      <c r="G2304">
        <v>1</v>
      </c>
      <c r="H2304">
        <v>0</v>
      </c>
      <c r="I2304">
        <f>1</f>
        <v>1</v>
      </c>
    </row>
    <row r="2305" spans="2:9" x14ac:dyDescent="0.25">
      <c r="B2305">
        <v>0</v>
      </c>
      <c r="C2305" s="16" t="s">
        <v>11574</v>
      </c>
      <c r="D2305" s="16"/>
      <c r="E2305">
        <v>6</v>
      </c>
      <c r="F2305" t="e">
        <f>-Polímeros cíclicos dos aldeídos</f>
        <v>#NAME?</v>
      </c>
      <c r="G2305">
        <v>1</v>
      </c>
      <c r="H2305">
        <v>0</v>
      </c>
      <c r="I2305">
        <f>1</f>
        <v>1</v>
      </c>
    </row>
    <row r="2306" spans="2:9" x14ac:dyDescent="0.25">
      <c r="B2306">
        <v>0</v>
      </c>
      <c r="C2306" s="16" t="s">
        <v>11575</v>
      </c>
      <c r="D2306" s="16"/>
      <c r="E2306">
        <v>6</v>
      </c>
      <c r="F2306" t="e">
        <f>-Paraformaldeído</f>
        <v>#NAME?</v>
      </c>
      <c r="G2306">
        <v>1</v>
      </c>
      <c r="H2306">
        <v>0</v>
      </c>
      <c r="I2306">
        <f>1</f>
        <v>1</v>
      </c>
    </row>
    <row r="2307" spans="2:9" x14ac:dyDescent="0.25">
      <c r="B2307">
        <v>0</v>
      </c>
      <c r="C2307" s="16" t="s">
        <v>11576</v>
      </c>
      <c r="D2307" s="16"/>
      <c r="E2307">
        <v>6</v>
      </c>
      <c r="F2307" t="s">
        <v>5593</v>
      </c>
      <c r="G2307">
        <v>1</v>
      </c>
      <c r="H2307">
        <v>0</v>
      </c>
      <c r="I2307">
        <f>1</f>
        <v>1</v>
      </c>
    </row>
    <row r="2308" spans="2:9" x14ac:dyDescent="0.25">
      <c r="B2308">
        <v>0</v>
      </c>
      <c r="C2308" s="16" t="s">
        <v>11577</v>
      </c>
      <c r="D2308" s="16"/>
      <c r="E2308">
        <v>6</v>
      </c>
      <c r="F2308" t="s">
        <v>4680</v>
      </c>
      <c r="G2308">
        <v>1</v>
      </c>
      <c r="H2308">
        <v>0</v>
      </c>
      <c r="I2308">
        <f>1</f>
        <v>1</v>
      </c>
    </row>
    <row r="2309" spans="2:9" x14ac:dyDescent="0.25">
      <c r="B2309">
        <v>0</v>
      </c>
      <c r="C2309" s="16" t="s">
        <v>11578</v>
      </c>
      <c r="D2309" s="16"/>
      <c r="E2309">
        <v>6</v>
      </c>
      <c r="F2309" t="e">
        <f>--Acetona</f>
        <v>#NAME?</v>
      </c>
      <c r="G2309">
        <v>1</v>
      </c>
      <c r="H2309">
        <v>0</v>
      </c>
      <c r="I2309">
        <f>1</f>
        <v>1</v>
      </c>
    </row>
    <row r="2310" spans="2:9" x14ac:dyDescent="0.25">
      <c r="B2310">
        <v>0</v>
      </c>
      <c r="C2310" s="16" t="s">
        <v>11579</v>
      </c>
      <c r="D2310" s="16"/>
      <c r="E2310">
        <v>6</v>
      </c>
      <c r="F2310" t="e">
        <f>--Butanona  metiletilcetona</f>
        <v>#NAME?</v>
      </c>
      <c r="G2310">
        <v>1</v>
      </c>
      <c r="H2310">
        <v>0</v>
      </c>
      <c r="I2310">
        <f>1</f>
        <v>1</v>
      </c>
    </row>
    <row r="2311" spans="2:9" x14ac:dyDescent="0.25">
      <c r="B2311">
        <v>0</v>
      </c>
      <c r="C2311" s="16" t="s">
        <v>11580</v>
      </c>
      <c r="D2311" s="16"/>
      <c r="E2311">
        <v>6</v>
      </c>
      <c r="F2311" t="e">
        <f>--4-Metilpentan-2-ona  metilisobutilcetona</f>
        <v>#NAME?</v>
      </c>
      <c r="G2311">
        <v>1</v>
      </c>
      <c r="H2311">
        <v>0</v>
      </c>
      <c r="I2311">
        <f>1</f>
        <v>1</v>
      </c>
    </row>
    <row r="2312" spans="2:9" x14ac:dyDescent="0.25">
      <c r="B2312">
        <v>0</v>
      </c>
      <c r="C2312" s="16" t="s">
        <v>11581</v>
      </c>
      <c r="D2312" s="16"/>
      <c r="E2312">
        <v>6</v>
      </c>
      <c r="F2312" t="s">
        <v>5594</v>
      </c>
      <c r="G2312">
        <v>1</v>
      </c>
      <c r="H2312">
        <v>0</v>
      </c>
      <c r="I2312">
        <f>1</f>
        <v>1</v>
      </c>
    </row>
    <row r="2313" spans="2:9" x14ac:dyDescent="0.25">
      <c r="B2313">
        <v>0</v>
      </c>
      <c r="C2313" s="16" t="s">
        <v>11582</v>
      </c>
      <c r="D2313" s="16"/>
      <c r="E2313">
        <v>6</v>
      </c>
      <c r="F2313" t="s">
        <v>5595</v>
      </c>
      <c r="G2313">
        <v>1</v>
      </c>
      <c r="H2313">
        <v>0</v>
      </c>
      <c r="I2313">
        <f>1</f>
        <v>1</v>
      </c>
    </row>
    <row r="2314" spans="2:9" x14ac:dyDescent="0.25">
      <c r="B2314">
        <v>0</v>
      </c>
      <c r="C2314" s="16" t="s">
        <v>11583</v>
      </c>
      <c r="D2314" s="16"/>
      <c r="E2314">
        <v>6</v>
      </c>
      <c r="F2314" t="s">
        <v>5596</v>
      </c>
      <c r="G2314">
        <v>1</v>
      </c>
      <c r="H2314">
        <v>0</v>
      </c>
      <c r="I2314">
        <f>1</f>
        <v>1</v>
      </c>
    </row>
    <row r="2315" spans="2:9" x14ac:dyDescent="0.25">
      <c r="B2315">
        <v>0</v>
      </c>
      <c r="C2315" s="16" t="s">
        <v>11584</v>
      </c>
      <c r="D2315" s="16"/>
      <c r="E2315">
        <v>6</v>
      </c>
      <c r="F2315" t="s">
        <v>5597</v>
      </c>
      <c r="G2315">
        <v>1</v>
      </c>
      <c r="H2315">
        <v>0</v>
      </c>
      <c r="I2315">
        <f>1</f>
        <v>1</v>
      </c>
    </row>
    <row r="2316" spans="2:9" x14ac:dyDescent="0.25">
      <c r="B2316">
        <v>0</v>
      </c>
      <c r="C2316" s="16" t="s">
        <v>11585</v>
      </c>
      <c r="D2316" s="16"/>
      <c r="E2316">
        <v>6</v>
      </c>
      <c r="F2316" t="s">
        <v>4690</v>
      </c>
      <c r="G2316">
        <v>1</v>
      </c>
      <c r="H2316">
        <v>0</v>
      </c>
      <c r="I2316">
        <f>1</f>
        <v>1</v>
      </c>
    </row>
    <row r="2317" spans="2:9" x14ac:dyDescent="0.25">
      <c r="B2317">
        <v>0</v>
      </c>
      <c r="C2317" s="16" t="s">
        <v>11586</v>
      </c>
      <c r="D2317" s="16"/>
      <c r="E2317">
        <v>6</v>
      </c>
      <c r="F2317" t="s">
        <v>5598</v>
      </c>
      <c r="G2317">
        <v>1</v>
      </c>
      <c r="H2317">
        <v>0</v>
      </c>
      <c r="I2317">
        <f>1</f>
        <v>1</v>
      </c>
    </row>
    <row r="2318" spans="2:9" x14ac:dyDescent="0.25">
      <c r="B2318">
        <v>0</v>
      </c>
      <c r="C2318" s="16" t="s">
        <v>11587</v>
      </c>
      <c r="D2318" s="16"/>
      <c r="E2318">
        <v>6</v>
      </c>
      <c r="F2318" t="s">
        <v>5599</v>
      </c>
      <c r="G2318">
        <v>1</v>
      </c>
      <c r="H2318">
        <v>0</v>
      </c>
      <c r="I2318">
        <f>1</f>
        <v>1</v>
      </c>
    </row>
    <row r="2319" spans="2:9" x14ac:dyDescent="0.25">
      <c r="B2319">
        <v>0</v>
      </c>
      <c r="C2319" s="16" t="s">
        <v>11588</v>
      </c>
      <c r="D2319" s="16"/>
      <c r="E2319">
        <v>6</v>
      </c>
      <c r="F2319" t="s">
        <v>5600</v>
      </c>
      <c r="G2319">
        <v>1</v>
      </c>
      <c r="H2319">
        <v>0</v>
      </c>
      <c r="I2319">
        <f>1</f>
        <v>1</v>
      </c>
    </row>
    <row r="2320" spans="2:9" x14ac:dyDescent="0.25">
      <c r="B2320">
        <v>0</v>
      </c>
      <c r="C2320" s="16" t="s">
        <v>11589</v>
      </c>
      <c r="D2320" s="16"/>
      <c r="E2320">
        <v>6</v>
      </c>
      <c r="F2320" t="s">
        <v>4690</v>
      </c>
      <c r="G2320">
        <v>1</v>
      </c>
      <c r="H2320">
        <v>0</v>
      </c>
      <c r="I2320">
        <f>1</f>
        <v>1</v>
      </c>
    </row>
    <row r="2321" spans="2:9" x14ac:dyDescent="0.25">
      <c r="B2321">
        <v>0</v>
      </c>
      <c r="C2321" s="16" t="s">
        <v>11590</v>
      </c>
      <c r="D2321" s="16"/>
      <c r="E2321">
        <v>6</v>
      </c>
      <c r="F2321" t="s">
        <v>5601</v>
      </c>
      <c r="G2321">
        <v>1</v>
      </c>
      <c r="H2321">
        <v>0</v>
      </c>
      <c r="I2321">
        <f>1</f>
        <v>1</v>
      </c>
    </row>
    <row r="2322" spans="2:9" x14ac:dyDescent="0.25">
      <c r="B2322">
        <v>0</v>
      </c>
      <c r="C2322" s="16" t="s">
        <v>11591</v>
      </c>
      <c r="D2322" s="16"/>
      <c r="E2322">
        <v>6</v>
      </c>
      <c r="F2322" t="s">
        <v>5602</v>
      </c>
      <c r="G2322">
        <v>1</v>
      </c>
      <c r="H2322">
        <v>0</v>
      </c>
      <c r="I2322">
        <f>1</f>
        <v>1</v>
      </c>
    </row>
    <row r="2323" spans="2:9" x14ac:dyDescent="0.25">
      <c r="B2323">
        <v>0</v>
      </c>
      <c r="C2323" s="16" t="s">
        <v>11592</v>
      </c>
      <c r="D2323" s="16"/>
      <c r="E2323">
        <v>6</v>
      </c>
      <c r="F2323" t="s">
        <v>5603</v>
      </c>
      <c r="G2323">
        <v>1</v>
      </c>
      <c r="H2323">
        <v>0</v>
      </c>
      <c r="I2323">
        <f>1</f>
        <v>1</v>
      </c>
    </row>
    <row r="2324" spans="2:9" x14ac:dyDescent="0.25">
      <c r="B2324">
        <v>0</v>
      </c>
      <c r="C2324" s="16" t="s">
        <v>11593</v>
      </c>
      <c r="D2324" s="16"/>
      <c r="E2324">
        <v>6</v>
      </c>
      <c r="F2324" t="s">
        <v>5604</v>
      </c>
      <c r="G2324">
        <v>1</v>
      </c>
      <c r="H2324">
        <v>0</v>
      </c>
      <c r="I2324">
        <f>1</f>
        <v>1</v>
      </c>
    </row>
    <row r="2325" spans="2:9" x14ac:dyDescent="0.25">
      <c r="B2325">
        <v>0</v>
      </c>
      <c r="C2325" s="16" t="s">
        <v>11594</v>
      </c>
      <c r="D2325" s="16"/>
      <c r="E2325">
        <v>6</v>
      </c>
      <c r="F2325" t="s">
        <v>5605</v>
      </c>
      <c r="G2325">
        <v>1</v>
      </c>
      <c r="H2325">
        <v>0</v>
      </c>
      <c r="I2325">
        <f>1</f>
        <v>1</v>
      </c>
    </row>
    <row r="2326" spans="2:9" x14ac:dyDescent="0.25">
      <c r="B2326">
        <v>0</v>
      </c>
      <c r="C2326" s="16" t="s">
        <v>11595</v>
      </c>
      <c r="D2326" s="16"/>
      <c r="E2326">
        <v>6</v>
      </c>
      <c r="F2326" t="s">
        <v>5606</v>
      </c>
      <c r="G2326">
        <v>1</v>
      </c>
      <c r="H2326">
        <v>0</v>
      </c>
      <c r="I2326">
        <f>1</f>
        <v>1</v>
      </c>
    </row>
    <row r="2327" spans="2:9" x14ac:dyDescent="0.25">
      <c r="B2327">
        <v>0</v>
      </c>
      <c r="C2327" s="16" t="s">
        <v>11596</v>
      </c>
      <c r="D2327" s="16"/>
      <c r="E2327">
        <v>6</v>
      </c>
      <c r="F2327" t="s">
        <v>4690</v>
      </c>
      <c r="G2327">
        <v>1</v>
      </c>
      <c r="H2327">
        <v>0</v>
      </c>
      <c r="I2327">
        <f>1</f>
        <v>1</v>
      </c>
    </row>
    <row r="2328" spans="2:9" x14ac:dyDescent="0.25">
      <c r="B2328">
        <v>0</v>
      </c>
      <c r="C2328" s="16" t="s">
        <v>11597</v>
      </c>
      <c r="D2328" s="16"/>
      <c r="E2328">
        <v>6</v>
      </c>
      <c r="F2328" t="e">
        <f>--Fenilacetona  fenilpropan-2-ona</f>
        <v>#NAME?</v>
      </c>
      <c r="G2328">
        <v>1</v>
      </c>
      <c r="H2328">
        <v>0</v>
      </c>
      <c r="I2328">
        <f>1</f>
        <v>1</v>
      </c>
    </row>
    <row r="2329" spans="2:9" x14ac:dyDescent="0.25">
      <c r="B2329">
        <v>0</v>
      </c>
      <c r="C2329" s="16" t="s">
        <v>11598</v>
      </c>
      <c r="D2329" s="16"/>
      <c r="E2329">
        <v>6</v>
      </c>
      <c r="F2329" t="s">
        <v>5607</v>
      </c>
      <c r="G2329">
        <v>1</v>
      </c>
      <c r="H2329">
        <v>0</v>
      </c>
      <c r="I2329">
        <f>1</f>
        <v>1</v>
      </c>
    </row>
    <row r="2330" spans="2:9" x14ac:dyDescent="0.25">
      <c r="B2330">
        <v>0</v>
      </c>
      <c r="C2330" s="16" t="s">
        <v>11599</v>
      </c>
      <c r="D2330" s="16"/>
      <c r="E2330">
        <v>6</v>
      </c>
      <c r="F2330" t="s">
        <v>4690</v>
      </c>
      <c r="G2330">
        <v>1</v>
      </c>
      <c r="H2330">
        <v>0</v>
      </c>
      <c r="I2330">
        <f>1</f>
        <v>1</v>
      </c>
    </row>
    <row r="2331" spans="2:9" x14ac:dyDescent="0.25">
      <c r="B2331">
        <v>0</v>
      </c>
      <c r="C2331" s="16" t="s">
        <v>11600</v>
      </c>
      <c r="D2331" s="16"/>
      <c r="E2331">
        <v>6</v>
      </c>
      <c r="F2331" t="s">
        <v>5608</v>
      </c>
      <c r="G2331">
        <v>1</v>
      </c>
      <c r="H2331">
        <v>0</v>
      </c>
      <c r="I2331">
        <f>1</f>
        <v>1</v>
      </c>
    </row>
    <row r="2332" spans="2:9" x14ac:dyDescent="0.25">
      <c r="B2332">
        <v>0</v>
      </c>
      <c r="C2332" s="16" t="s">
        <v>11601</v>
      </c>
      <c r="D2332" s="16"/>
      <c r="E2332">
        <v>6</v>
      </c>
      <c r="F2332" t="s">
        <v>5609</v>
      </c>
      <c r="G2332">
        <v>1</v>
      </c>
      <c r="H2332">
        <v>0</v>
      </c>
      <c r="I2332">
        <f>1</f>
        <v>1</v>
      </c>
    </row>
    <row r="2333" spans="2:9" x14ac:dyDescent="0.25">
      <c r="B2333">
        <v>0</v>
      </c>
      <c r="C2333" s="16" t="s">
        <v>11602</v>
      </c>
      <c r="D2333" s="16"/>
      <c r="E2333">
        <v>6</v>
      </c>
      <c r="F2333" t="s">
        <v>4690</v>
      </c>
      <c r="G2333">
        <v>1</v>
      </c>
      <c r="H2333">
        <v>0</v>
      </c>
      <c r="I2333">
        <f>1</f>
        <v>1</v>
      </c>
    </row>
    <row r="2334" spans="2:9" x14ac:dyDescent="0.25">
      <c r="B2334">
        <v>0</v>
      </c>
      <c r="C2334" s="16" t="s">
        <v>11603</v>
      </c>
      <c r="D2334" s="16"/>
      <c r="E2334">
        <v>6</v>
      </c>
      <c r="F2334" t="s">
        <v>5610</v>
      </c>
      <c r="G2334">
        <v>1</v>
      </c>
      <c r="H2334">
        <v>0</v>
      </c>
      <c r="I2334">
        <f>1</f>
        <v>1</v>
      </c>
    </row>
    <row r="2335" spans="2:9" x14ac:dyDescent="0.25">
      <c r="B2335">
        <v>0</v>
      </c>
      <c r="C2335" s="16" t="s">
        <v>11604</v>
      </c>
      <c r="D2335" s="16"/>
      <c r="E2335">
        <v>6</v>
      </c>
      <c r="F2335" t="s">
        <v>5611</v>
      </c>
      <c r="G2335">
        <v>1</v>
      </c>
      <c r="H2335">
        <v>0</v>
      </c>
      <c r="I2335">
        <f>1</f>
        <v>1</v>
      </c>
    </row>
    <row r="2336" spans="2:9" x14ac:dyDescent="0.25">
      <c r="B2336">
        <v>0</v>
      </c>
      <c r="C2336" s="16" t="s">
        <v>11605</v>
      </c>
      <c r="D2336" s="16"/>
      <c r="E2336">
        <v>6</v>
      </c>
      <c r="F2336" t="s">
        <v>4690</v>
      </c>
      <c r="G2336">
        <v>1</v>
      </c>
      <c r="H2336">
        <v>0</v>
      </c>
      <c r="I2336">
        <f>1</f>
        <v>1</v>
      </c>
    </row>
    <row r="2337" spans="2:9" x14ac:dyDescent="0.25">
      <c r="B2337">
        <v>0</v>
      </c>
      <c r="C2337" s="16" t="s">
        <v>11606</v>
      </c>
      <c r="D2337" s="16"/>
      <c r="E2337">
        <v>6</v>
      </c>
      <c r="F2337" t="e">
        <f>--Antraquinona</f>
        <v>#NAME?</v>
      </c>
      <c r="G2337">
        <v>1</v>
      </c>
      <c r="H2337">
        <v>0</v>
      </c>
      <c r="I2337">
        <f>1</f>
        <v>1</v>
      </c>
    </row>
    <row r="2338" spans="2:9" x14ac:dyDescent="0.25">
      <c r="B2338">
        <v>0</v>
      </c>
      <c r="C2338" s="16" t="s">
        <v>11607</v>
      </c>
      <c r="D2338" s="16"/>
      <c r="E2338">
        <v>6</v>
      </c>
      <c r="F2338" t="s">
        <v>5612</v>
      </c>
      <c r="G2338">
        <v>1</v>
      </c>
      <c r="H2338">
        <v>0</v>
      </c>
      <c r="I2338">
        <f>1</f>
        <v>1</v>
      </c>
    </row>
    <row r="2339" spans="2:9" x14ac:dyDescent="0.25">
      <c r="B2339">
        <v>0</v>
      </c>
      <c r="C2339" s="16" t="s">
        <v>11608</v>
      </c>
      <c r="D2339" s="16"/>
      <c r="E2339">
        <v>6</v>
      </c>
      <c r="F2339" t="s">
        <v>5613</v>
      </c>
      <c r="G2339">
        <v>1</v>
      </c>
      <c r="H2339">
        <v>0</v>
      </c>
      <c r="I2339">
        <f>1</f>
        <v>1</v>
      </c>
    </row>
    <row r="2340" spans="2:9" x14ac:dyDescent="0.25">
      <c r="B2340">
        <v>0</v>
      </c>
      <c r="C2340" s="16" t="s">
        <v>11609</v>
      </c>
      <c r="D2340" s="16"/>
      <c r="E2340">
        <v>6</v>
      </c>
      <c r="F2340" t="s">
        <v>4690</v>
      </c>
      <c r="G2340">
        <v>1</v>
      </c>
      <c r="H2340">
        <v>0</v>
      </c>
      <c r="I2340">
        <f>1</f>
        <v>1</v>
      </c>
    </row>
    <row r="2341" spans="2:9" x14ac:dyDescent="0.25">
      <c r="B2341">
        <v>0</v>
      </c>
      <c r="C2341" s="16" t="s">
        <v>11610</v>
      </c>
      <c r="D2341" s="16"/>
      <c r="E2341">
        <v>6</v>
      </c>
      <c r="F2341" t="s">
        <v>5614</v>
      </c>
      <c r="G2341">
        <v>1</v>
      </c>
      <c r="H2341">
        <v>0</v>
      </c>
      <c r="I2341">
        <f>1</f>
        <v>1</v>
      </c>
    </row>
    <row r="2342" spans="2:9" x14ac:dyDescent="0.25">
      <c r="B2342">
        <v>0</v>
      </c>
      <c r="C2342" s="16" t="s">
        <v>11611</v>
      </c>
      <c r="D2342" s="16"/>
      <c r="E2342">
        <v>6</v>
      </c>
      <c r="F2342" t="s">
        <v>4680</v>
      </c>
      <c r="G2342">
        <v>1</v>
      </c>
      <c r="H2342">
        <v>0</v>
      </c>
      <c r="I2342">
        <f>1</f>
        <v>1</v>
      </c>
    </row>
    <row r="2343" spans="2:9" x14ac:dyDescent="0.25">
      <c r="B2343">
        <v>0</v>
      </c>
      <c r="C2343" s="16" t="s">
        <v>11612</v>
      </c>
      <c r="D2343" s="16"/>
      <c r="E2343">
        <v>6</v>
      </c>
      <c r="F2343" t="s">
        <v>5615</v>
      </c>
      <c r="G2343">
        <v>1</v>
      </c>
      <c r="H2343">
        <v>0</v>
      </c>
      <c r="I2343">
        <f>1</f>
        <v>1</v>
      </c>
    </row>
    <row r="2344" spans="2:9" x14ac:dyDescent="0.25">
      <c r="B2344">
        <v>0</v>
      </c>
      <c r="C2344" s="16" t="s">
        <v>11613</v>
      </c>
      <c r="D2344" s="16"/>
      <c r="E2344">
        <v>6</v>
      </c>
      <c r="F2344" t="s">
        <v>5616</v>
      </c>
      <c r="G2344">
        <v>1</v>
      </c>
      <c r="H2344">
        <v>0</v>
      </c>
      <c r="I2344">
        <f>1</f>
        <v>1</v>
      </c>
    </row>
    <row r="2345" spans="2:9" x14ac:dyDescent="0.25">
      <c r="B2345">
        <v>0</v>
      </c>
      <c r="C2345" s="16" t="s">
        <v>11614</v>
      </c>
      <c r="D2345" s="16"/>
      <c r="E2345">
        <v>6</v>
      </c>
      <c r="F2345" t="s">
        <v>4680</v>
      </c>
      <c r="G2345">
        <v>1</v>
      </c>
      <c r="H2345">
        <v>0</v>
      </c>
      <c r="I2345">
        <f>1</f>
        <v>1</v>
      </c>
    </row>
    <row r="2346" spans="2:9" x14ac:dyDescent="0.25">
      <c r="B2346">
        <v>0</v>
      </c>
      <c r="C2346" s="16" t="s">
        <v>11615</v>
      </c>
      <c r="D2346" s="16"/>
      <c r="E2346">
        <v>6</v>
      </c>
      <c r="F2346" t="s">
        <v>4680</v>
      </c>
      <c r="G2346">
        <v>1</v>
      </c>
      <c r="H2346">
        <v>0</v>
      </c>
      <c r="I2346">
        <f>1</f>
        <v>1</v>
      </c>
    </row>
    <row r="2347" spans="2:9" x14ac:dyDescent="0.25">
      <c r="B2347">
        <v>0</v>
      </c>
      <c r="C2347" s="16" t="s">
        <v>11616</v>
      </c>
      <c r="D2347" s="16"/>
      <c r="E2347">
        <v>6</v>
      </c>
      <c r="F2347" t="e">
        <f>--ácido fórmico</f>
        <v>#NAME?</v>
      </c>
      <c r="G2347">
        <v>1</v>
      </c>
      <c r="H2347">
        <v>0</v>
      </c>
      <c r="I2347">
        <f>1</f>
        <v>1</v>
      </c>
    </row>
    <row r="2348" spans="2:9" x14ac:dyDescent="0.25">
      <c r="B2348">
        <v>0</v>
      </c>
      <c r="C2348" s="16" t="s">
        <v>11617</v>
      </c>
      <c r="D2348" s="16"/>
      <c r="E2348">
        <v>6</v>
      </c>
      <c r="F2348" t="s">
        <v>5315</v>
      </c>
      <c r="G2348">
        <v>1</v>
      </c>
      <c r="H2348">
        <v>0</v>
      </c>
      <c r="I2348">
        <f>1</f>
        <v>1</v>
      </c>
    </row>
    <row r="2349" spans="2:9" x14ac:dyDescent="0.25">
      <c r="B2349">
        <v>0</v>
      </c>
      <c r="C2349" s="16" t="s">
        <v>11618</v>
      </c>
      <c r="D2349" s="16"/>
      <c r="E2349">
        <v>6</v>
      </c>
      <c r="F2349" t="s">
        <v>4680</v>
      </c>
      <c r="G2349">
        <v>1</v>
      </c>
      <c r="H2349">
        <v>0</v>
      </c>
      <c r="I2349">
        <f>1</f>
        <v>1</v>
      </c>
    </row>
    <row r="2350" spans="2:9" x14ac:dyDescent="0.25">
      <c r="B2350">
        <v>0</v>
      </c>
      <c r="C2350" s="16" t="s">
        <v>11619</v>
      </c>
      <c r="D2350" s="16"/>
      <c r="E2350">
        <v>6</v>
      </c>
      <c r="F2350" t="s">
        <v>5617</v>
      </c>
      <c r="G2350">
        <v>1</v>
      </c>
      <c r="H2350">
        <v>0</v>
      </c>
      <c r="I2350">
        <f>1</f>
        <v>1</v>
      </c>
    </row>
    <row r="2351" spans="2:9" x14ac:dyDescent="0.25">
      <c r="B2351">
        <v>0</v>
      </c>
      <c r="C2351" s="16" t="s">
        <v>11620</v>
      </c>
      <c r="D2351" s="16"/>
      <c r="E2351">
        <v>6</v>
      </c>
      <c r="F2351" t="s">
        <v>4680</v>
      </c>
      <c r="G2351">
        <v>1</v>
      </c>
      <c r="H2351">
        <v>0</v>
      </c>
      <c r="I2351">
        <f>1</f>
        <v>1</v>
      </c>
    </row>
    <row r="2352" spans="2:9" x14ac:dyDescent="0.25">
      <c r="B2352">
        <v>0</v>
      </c>
      <c r="C2352" s="16" t="s">
        <v>11621</v>
      </c>
      <c r="D2352" s="16"/>
      <c r="E2352">
        <v>6</v>
      </c>
      <c r="F2352" t="e">
        <f>--ácido acético</f>
        <v>#NAME?</v>
      </c>
      <c r="G2352">
        <v>1</v>
      </c>
      <c r="H2352">
        <v>0</v>
      </c>
      <c r="I2352">
        <f>1</f>
        <v>1</v>
      </c>
    </row>
    <row r="2353" spans="2:9" x14ac:dyDescent="0.25">
      <c r="B2353">
        <v>0</v>
      </c>
      <c r="C2353" s="16" t="s">
        <v>11622</v>
      </c>
      <c r="D2353" s="16"/>
      <c r="E2353">
        <v>6</v>
      </c>
      <c r="F2353" t="e">
        <f>--Anidrido acético</f>
        <v>#NAME?</v>
      </c>
      <c r="G2353">
        <v>1</v>
      </c>
      <c r="H2353">
        <v>0</v>
      </c>
      <c r="I2353">
        <f>1</f>
        <v>1</v>
      </c>
    </row>
    <row r="2354" spans="2:9" x14ac:dyDescent="0.25">
      <c r="B2354">
        <v>0</v>
      </c>
      <c r="C2354" s="16" t="s">
        <v>11623</v>
      </c>
      <c r="D2354" s="16"/>
      <c r="E2354">
        <v>6</v>
      </c>
      <c r="F2354" t="s">
        <v>5618</v>
      </c>
      <c r="G2354">
        <v>1</v>
      </c>
      <c r="H2354">
        <v>0</v>
      </c>
      <c r="I2354">
        <f>1</f>
        <v>1</v>
      </c>
    </row>
    <row r="2355" spans="2:9" x14ac:dyDescent="0.25">
      <c r="B2355">
        <v>0</v>
      </c>
      <c r="C2355" s="16" t="s">
        <v>11624</v>
      </c>
      <c r="D2355" s="16"/>
      <c r="E2355">
        <v>6</v>
      </c>
      <c r="F2355" t="s">
        <v>5619</v>
      </c>
      <c r="G2355">
        <v>1</v>
      </c>
      <c r="H2355">
        <v>0</v>
      </c>
      <c r="I2355">
        <f>1</f>
        <v>1</v>
      </c>
    </row>
    <row r="2356" spans="2:9" x14ac:dyDescent="0.25">
      <c r="B2356">
        <v>0</v>
      </c>
      <c r="C2356" s="16" t="s">
        <v>11625</v>
      </c>
      <c r="D2356" s="16"/>
      <c r="E2356">
        <v>6</v>
      </c>
      <c r="F2356" t="s">
        <v>4680</v>
      </c>
      <c r="G2356">
        <v>1</v>
      </c>
      <c r="H2356">
        <v>0</v>
      </c>
      <c r="I2356">
        <f>1</f>
        <v>1</v>
      </c>
    </row>
    <row r="2357" spans="2:9" x14ac:dyDescent="0.25">
      <c r="B2357">
        <v>0</v>
      </c>
      <c r="C2357" s="16" t="s">
        <v>11626</v>
      </c>
      <c r="D2357" s="16"/>
      <c r="E2357">
        <v>6</v>
      </c>
      <c r="F2357" t="e">
        <f>--Acetato De etila</f>
        <v>#NAME?</v>
      </c>
      <c r="G2357">
        <v>1</v>
      </c>
      <c r="H2357">
        <v>0</v>
      </c>
      <c r="I2357">
        <f>1</f>
        <v>1</v>
      </c>
    </row>
    <row r="2358" spans="2:9" x14ac:dyDescent="0.25">
      <c r="B2358">
        <v>0</v>
      </c>
      <c r="C2358" s="16" t="s">
        <v>11627</v>
      </c>
      <c r="D2358" s="16"/>
      <c r="E2358">
        <v>6</v>
      </c>
      <c r="F2358" t="e">
        <f>--Acetato De vinila</f>
        <v>#NAME?</v>
      </c>
      <c r="G2358">
        <v>1</v>
      </c>
      <c r="H2358">
        <v>0</v>
      </c>
      <c r="I2358">
        <f>1</f>
        <v>1</v>
      </c>
    </row>
    <row r="2359" spans="2:9" x14ac:dyDescent="0.25">
      <c r="B2359">
        <v>0</v>
      </c>
      <c r="C2359" s="16" t="s">
        <v>11628</v>
      </c>
      <c r="D2359" s="16"/>
      <c r="E2359">
        <v>6</v>
      </c>
      <c r="F2359" t="e">
        <f>--Acetato De n-butila</f>
        <v>#NAME?</v>
      </c>
      <c r="G2359">
        <v>1</v>
      </c>
      <c r="H2359">
        <v>0</v>
      </c>
      <c r="I2359">
        <f>1</f>
        <v>1</v>
      </c>
    </row>
    <row r="2360" spans="2:9" x14ac:dyDescent="0.25">
      <c r="B2360">
        <v>0</v>
      </c>
      <c r="C2360" s="16" t="s">
        <v>11629</v>
      </c>
      <c r="D2360" s="16"/>
      <c r="E2360">
        <v>6</v>
      </c>
      <c r="F2360" t="e">
        <f>--Acetato De Dinoseb  ISO</f>
        <v>#NAME?</v>
      </c>
      <c r="G2360">
        <v>1</v>
      </c>
      <c r="H2360">
        <v>0</v>
      </c>
      <c r="I2360">
        <f>1</f>
        <v>1</v>
      </c>
    </row>
    <row r="2361" spans="2:9" x14ac:dyDescent="0.25">
      <c r="B2361">
        <v>0</v>
      </c>
      <c r="C2361" s="16" t="s">
        <v>11630</v>
      </c>
      <c r="D2361" s="16"/>
      <c r="E2361">
        <v>6</v>
      </c>
      <c r="F2361" t="s">
        <v>5620</v>
      </c>
      <c r="G2361">
        <v>1</v>
      </c>
      <c r="H2361">
        <v>0</v>
      </c>
      <c r="I2361">
        <f>1</f>
        <v>1</v>
      </c>
    </row>
    <row r="2362" spans="2:9" x14ac:dyDescent="0.25">
      <c r="B2362">
        <v>0</v>
      </c>
      <c r="C2362" s="16" t="s">
        <v>11631</v>
      </c>
      <c r="D2362" s="16"/>
      <c r="E2362">
        <v>6</v>
      </c>
      <c r="F2362" t="s">
        <v>5621</v>
      </c>
      <c r="G2362">
        <v>1</v>
      </c>
      <c r="H2362">
        <v>0</v>
      </c>
      <c r="I2362">
        <f>1</f>
        <v>1</v>
      </c>
    </row>
    <row r="2363" spans="2:9" x14ac:dyDescent="0.25">
      <c r="B2363">
        <v>0</v>
      </c>
      <c r="C2363" s="16" t="s">
        <v>11632</v>
      </c>
      <c r="D2363" s="16"/>
      <c r="E2363">
        <v>6</v>
      </c>
      <c r="F2363" t="s">
        <v>4680</v>
      </c>
      <c r="G2363">
        <v>1</v>
      </c>
      <c r="H2363">
        <v>0</v>
      </c>
      <c r="I2363">
        <f>1</f>
        <v>1</v>
      </c>
    </row>
    <row r="2364" spans="2:9" x14ac:dyDescent="0.25">
      <c r="B2364">
        <v>0</v>
      </c>
      <c r="C2364" s="16" t="s">
        <v>11633</v>
      </c>
      <c r="D2364" s="16"/>
      <c r="E2364">
        <v>6</v>
      </c>
      <c r="F2364" t="s">
        <v>5622</v>
      </c>
      <c r="G2364">
        <v>1</v>
      </c>
      <c r="H2364">
        <v>0</v>
      </c>
      <c r="I2364">
        <f>1</f>
        <v>1</v>
      </c>
    </row>
    <row r="2365" spans="2:9" x14ac:dyDescent="0.25">
      <c r="B2365">
        <v>0</v>
      </c>
      <c r="C2365" s="16" t="s">
        <v>11634</v>
      </c>
      <c r="D2365" s="16"/>
      <c r="E2365">
        <v>6</v>
      </c>
      <c r="F2365" t="s">
        <v>5623</v>
      </c>
      <c r="G2365">
        <v>1</v>
      </c>
      <c r="H2365">
        <v>0</v>
      </c>
      <c r="I2365">
        <f>1</f>
        <v>1</v>
      </c>
    </row>
    <row r="2366" spans="2:9" x14ac:dyDescent="0.25">
      <c r="B2366">
        <v>0</v>
      </c>
      <c r="C2366" s="16" t="s">
        <v>11635</v>
      </c>
      <c r="D2366" s="16"/>
      <c r="E2366">
        <v>6</v>
      </c>
      <c r="F2366" t="s">
        <v>4680</v>
      </c>
      <c r="G2366">
        <v>1</v>
      </c>
      <c r="H2366">
        <v>0</v>
      </c>
      <c r="I2366">
        <f>1</f>
        <v>1</v>
      </c>
    </row>
    <row r="2367" spans="2:9" x14ac:dyDescent="0.25">
      <c r="B2367">
        <v>0</v>
      </c>
      <c r="C2367" s="16" t="s">
        <v>11636</v>
      </c>
      <c r="D2367" s="16"/>
      <c r="E2367">
        <v>6</v>
      </c>
      <c r="F2367" t="s">
        <v>5624</v>
      </c>
      <c r="G2367">
        <v>1</v>
      </c>
      <c r="H2367">
        <v>0</v>
      </c>
      <c r="I2367">
        <f>1</f>
        <v>1</v>
      </c>
    </row>
    <row r="2368" spans="2:9" x14ac:dyDescent="0.25">
      <c r="B2368">
        <v>0</v>
      </c>
      <c r="C2368" s="16" t="s">
        <v>11637</v>
      </c>
      <c r="D2368" s="16"/>
      <c r="E2368">
        <v>6</v>
      </c>
      <c r="F2368" t="s">
        <v>5625</v>
      </c>
      <c r="G2368">
        <v>1</v>
      </c>
      <c r="H2368">
        <v>0</v>
      </c>
      <c r="I2368">
        <f>1</f>
        <v>1</v>
      </c>
    </row>
    <row r="2369" spans="2:9" x14ac:dyDescent="0.25">
      <c r="B2369">
        <v>0</v>
      </c>
      <c r="C2369" s="16" t="s">
        <v>11638</v>
      </c>
      <c r="D2369" s="16"/>
      <c r="E2369">
        <v>6</v>
      </c>
      <c r="F2369" t="s">
        <v>5626</v>
      </c>
      <c r="G2369">
        <v>1</v>
      </c>
      <c r="H2369">
        <v>0</v>
      </c>
      <c r="I2369">
        <f>1</f>
        <v>1</v>
      </c>
    </row>
    <row r="2370" spans="2:9" x14ac:dyDescent="0.25">
      <c r="B2370">
        <v>0</v>
      </c>
      <c r="C2370" s="16" t="s">
        <v>11639</v>
      </c>
      <c r="D2370" s="16"/>
      <c r="E2370">
        <v>6</v>
      </c>
      <c r="F2370" t="s">
        <v>5627</v>
      </c>
      <c r="G2370">
        <v>1</v>
      </c>
      <c r="H2370">
        <v>0</v>
      </c>
      <c r="I2370">
        <f>1</f>
        <v>1</v>
      </c>
    </row>
    <row r="2371" spans="2:9" x14ac:dyDescent="0.25">
      <c r="B2371">
        <v>0</v>
      </c>
      <c r="C2371" s="16" t="s">
        <v>11640</v>
      </c>
      <c r="D2371" s="16"/>
      <c r="E2371">
        <v>6</v>
      </c>
      <c r="F2371" t="s">
        <v>5628</v>
      </c>
      <c r="G2371">
        <v>1</v>
      </c>
      <c r="H2371">
        <v>0</v>
      </c>
      <c r="I2371">
        <f>1</f>
        <v>1</v>
      </c>
    </row>
    <row r="2372" spans="2:9" x14ac:dyDescent="0.25">
      <c r="B2372">
        <v>0</v>
      </c>
      <c r="C2372" s="16" t="s">
        <v>11641</v>
      </c>
      <c r="D2372" s="16"/>
      <c r="E2372">
        <v>6</v>
      </c>
      <c r="F2372" t="s">
        <v>5629</v>
      </c>
      <c r="G2372">
        <v>1</v>
      </c>
      <c r="H2372">
        <v>0</v>
      </c>
      <c r="I2372">
        <f>1</f>
        <v>1</v>
      </c>
    </row>
    <row r="2373" spans="2:9" x14ac:dyDescent="0.25">
      <c r="B2373">
        <v>0</v>
      </c>
      <c r="C2373" s="16" t="s">
        <v>11642</v>
      </c>
      <c r="D2373" s="16"/>
      <c r="E2373">
        <v>6</v>
      </c>
      <c r="F2373" t="s">
        <v>5630</v>
      </c>
      <c r="G2373">
        <v>1</v>
      </c>
      <c r="H2373">
        <v>0</v>
      </c>
      <c r="I2373">
        <f>1</f>
        <v>1</v>
      </c>
    </row>
    <row r="2374" spans="2:9" x14ac:dyDescent="0.25">
      <c r="B2374">
        <v>0</v>
      </c>
      <c r="C2374" s="16" t="s">
        <v>11643</v>
      </c>
      <c r="D2374" s="16"/>
      <c r="E2374">
        <v>6</v>
      </c>
      <c r="F2374" t="s">
        <v>5631</v>
      </c>
      <c r="G2374">
        <v>1</v>
      </c>
      <c r="H2374">
        <v>0</v>
      </c>
      <c r="I2374">
        <f>1</f>
        <v>1</v>
      </c>
    </row>
    <row r="2375" spans="2:9" x14ac:dyDescent="0.25">
      <c r="B2375">
        <v>0</v>
      </c>
      <c r="C2375" s="16" t="s">
        <v>11644</v>
      </c>
      <c r="D2375" s="16"/>
      <c r="E2375">
        <v>6</v>
      </c>
      <c r="F2375" t="s">
        <v>5632</v>
      </c>
      <c r="G2375">
        <v>1</v>
      </c>
      <c r="H2375">
        <v>0</v>
      </c>
      <c r="I2375">
        <f>1</f>
        <v>1</v>
      </c>
    </row>
    <row r="2376" spans="2:9" x14ac:dyDescent="0.25">
      <c r="B2376">
        <v>0</v>
      </c>
      <c r="C2376" s="16" t="s">
        <v>11645</v>
      </c>
      <c r="D2376" s="16"/>
      <c r="E2376">
        <v>6</v>
      </c>
      <c r="F2376" t="s">
        <v>5633</v>
      </c>
      <c r="G2376">
        <v>1</v>
      </c>
      <c r="H2376">
        <v>0</v>
      </c>
      <c r="I2376">
        <f>1</f>
        <v>1</v>
      </c>
    </row>
    <row r="2377" spans="2:9" x14ac:dyDescent="0.25">
      <c r="B2377">
        <v>0</v>
      </c>
      <c r="C2377" s="16" t="s">
        <v>11646</v>
      </c>
      <c r="D2377" s="16"/>
      <c r="E2377">
        <v>6</v>
      </c>
      <c r="F2377" t="s">
        <v>5634</v>
      </c>
      <c r="G2377">
        <v>1</v>
      </c>
      <c r="H2377">
        <v>0</v>
      </c>
      <c r="I2377">
        <f>1</f>
        <v>1</v>
      </c>
    </row>
    <row r="2378" spans="2:9" x14ac:dyDescent="0.25">
      <c r="B2378">
        <v>0</v>
      </c>
      <c r="C2378" s="16" t="s">
        <v>11647</v>
      </c>
      <c r="D2378" s="16"/>
      <c r="E2378">
        <v>6</v>
      </c>
      <c r="F2378" t="s">
        <v>5635</v>
      </c>
      <c r="G2378">
        <v>1</v>
      </c>
      <c r="H2378">
        <v>0</v>
      </c>
      <c r="I2378">
        <f>1</f>
        <v>1</v>
      </c>
    </row>
    <row r="2379" spans="2:9" x14ac:dyDescent="0.25">
      <c r="B2379">
        <v>0</v>
      </c>
      <c r="C2379" s="16" t="s">
        <v>11648</v>
      </c>
      <c r="D2379" s="16"/>
      <c r="E2379">
        <v>6</v>
      </c>
      <c r="F2379" t="s">
        <v>5636</v>
      </c>
      <c r="G2379">
        <v>1</v>
      </c>
      <c r="H2379">
        <v>0</v>
      </c>
      <c r="I2379">
        <f>1</f>
        <v>1</v>
      </c>
    </row>
    <row r="2380" spans="2:9" x14ac:dyDescent="0.25">
      <c r="B2380">
        <v>0</v>
      </c>
      <c r="C2380" s="16" t="s">
        <v>11649</v>
      </c>
      <c r="D2380" s="16"/>
      <c r="E2380">
        <v>6</v>
      </c>
      <c r="F2380" t="s">
        <v>5637</v>
      </c>
      <c r="G2380">
        <v>1</v>
      </c>
      <c r="H2380">
        <v>0</v>
      </c>
      <c r="I2380">
        <f>1</f>
        <v>1</v>
      </c>
    </row>
    <row r="2381" spans="2:9" x14ac:dyDescent="0.25">
      <c r="B2381">
        <v>0</v>
      </c>
      <c r="C2381" s="16" t="s">
        <v>11650</v>
      </c>
      <c r="D2381" s="16"/>
      <c r="E2381">
        <v>6</v>
      </c>
      <c r="F2381" t="s">
        <v>4680</v>
      </c>
      <c r="G2381">
        <v>1</v>
      </c>
      <c r="H2381">
        <v>0</v>
      </c>
      <c r="I2381">
        <f>1</f>
        <v>1</v>
      </c>
    </row>
    <row r="2382" spans="2:9" x14ac:dyDescent="0.25">
      <c r="B2382">
        <v>0</v>
      </c>
      <c r="C2382" s="16" t="s">
        <v>11651</v>
      </c>
      <c r="D2382" s="16"/>
      <c r="E2382">
        <v>6</v>
      </c>
      <c r="F2382" t="s">
        <v>5638</v>
      </c>
      <c r="G2382">
        <v>1</v>
      </c>
      <c r="H2382">
        <v>0</v>
      </c>
      <c r="I2382">
        <f>1</f>
        <v>1</v>
      </c>
    </row>
    <row r="2383" spans="2:9" x14ac:dyDescent="0.25">
      <c r="B2383">
        <v>0</v>
      </c>
      <c r="C2383" s="16" t="s">
        <v>11652</v>
      </c>
      <c r="D2383" s="16"/>
      <c r="E2383">
        <v>6</v>
      </c>
      <c r="F2383" t="s">
        <v>5639</v>
      </c>
      <c r="G2383">
        <v>1</v>
      </c>
      <c r="H2383">
        <v>0</v>
      </c>
      <c r="I2383">
        <f>1</f>
        <v>1</v>
      </c>
    </row>
    <row r="2384" spans="2:9" x14ac:dyDescent="0.25">
      <c r="B2384">
        <v>0</v>
      </c>
      <c r="C2384" s="16" t="s">
        <v>11653</v>
      </c>
      <c r="D2384" s="16"/>
      <c r="E2384">
        <v>6</v>
      </c>
      <c r="F2384" t="s">
        <v>4680</v>
      </c>
      <c r="G2384">
        <v>1</v>
      </c>
      <c r="H2384">
        <v>0</v>
      </c>
      <c r="I2384">
        <f>1</f>
        <v>1</v>
      </c>
    </row>
    <row r="2385" spans="2:9" x14ac:dyDescent="0.25">
      <c r="B2385">
        <v>0</v>
      </c>
      <c r="C2385" s="16" t="s">
        <v>11654</v>
      </c>
      <c r="D2385" s="16"/>
      <c r="E2385">
        <v>6</v>
      </c>
      <c r="F2385" t="s">
        <v>5640</v>
      </c>
      <c r="G2385">
        <v>1</v>
      </c>
      <c r="H2385">
        <v>0</v>
      </c>
      <c r="I2385">
        <f>1</f>
        <v>1</v>
      </c>
    </row>
    <row r="2386" spans="2:9" x14ac:dyDescent="0.25">
      <c r="B2386">
        <v>0</v>
      </c>
      <c r="C2386" s="16" t="s">
        <v>11655</v>
      </c>
      <c r="D2386" s="16"/>
      <c r="E2386">
        <v>6</v>
      </c>
      <c r="F2386" t="s">
        <v>5641</v>
      </c>
      <c r="G2386">
        <v>1</v>
      </c>
      <c r="H2386">
        <v>0</v>
      </c>
      <c r="I2386">
        <f>1</f>
        <v>1</v>
      </c>
    </row>
    <row r="2387" spans="2:9" x14ac:dyDescent="0.25">
      <c r="B2387">
        <v>0</v>
      </c>
      <c r="C2387" s="16" t="s">
        <v>11656</v>
      </c>
      <c r="D2387" s="16"/>
      <c r="E2387">
        <v>6</v>
      </c>
      <c r="F2387" t="s">
        <v>5642</v>
      </c>
      <c r="G2387">
        <v>1</v>
      </c>
      <c r="H2387">
        <v>0</v>
      </c>
      <c r="I2387">
        <f>1</f>
        <v>1</v>
      </c>
    </row>
    <row r="2388" spans="2:9" x14ac:dyDescent="0.25">
      <c r="B2388">
        <v>0</v>
      </c>
      <c r="C2388" s="16" t="s">
        <v>11657</v>
      </c>
      <c r="D2388" s="16"/>
      <c r="E2388">
        <v>6</v>
      </c>
      <c r="F2388" t="s">
        <v>5643</v>
      </c>
      <c r="G2388">
        <v>1</v>
      </c>
      <c r="H2388">
        <v>0</v>
      </c>
      <c r="I2388">
        <f>1</f>
        <v>1</v>
      </c>
    </row>
    <row r="2389" spans="2:9" x14ac:dyDescent="0.25">
      <c r="B2389">
        <v>0</v>
      </c>
      <c r="C2389" s="16" t="s">
        <v>11658</v>
      </c>
      <c r="D2389" s="16"/>
      <c r="E2389">
        <v>6</v>
      </c>
      <c r="F2389" t="s">
        <v>5644</v>
      </c>
      <c r="G2389">
        <v>1</v>
      </c>
      <c r="H2389">
        <v>0</v>
      </c>
      <c r="I2389">
        <f>1</f>
        <v>1</v>
      </c>
    </row>
    <row r="2390" spans="2:9" x14ac:dyDescent="0.25">
      <c r="B2390">
        <v>0</v>
      </c>
      <c r="C2390" s="16" t="s">
        <v>11659</v>
      </c>
      <c r="D2390" s="16"/>
      <c r="E2390">
        <v>6</v>
      </c>
      <c r="F2390" t="s">
        <v>4680</v>
      </c>
      <c r="G2390">
        <v>1</v>
      </c>
      <c r="H2390">
        <v>0</v>
      </c>
      <c r="I2390">
        <f>1</f>
        <v>1</v>
      </c>
    </row>
    <row r="2391" spans="2:9" x14ac:dyDescent="0.25">
      <c r="B2391">
        <v>0</v>
      </c>
      <c r="C2391" s="16" t="s">
        <v>11660</v>
      </c>
      <c r="D2391" s="16"/>
      <c r="E2391">
        <v>6</v>
      </c>
      <c r="F2391" t="s">
        <v>5645</v>
      </c>
      <c r="G2391">
        <v>1</v>
      </c>
      <c r="H2391">
        <v>0</v>
      </c>
      <c r="I2391">
        <f>1</f>
        <v>1</v>
      </c>
    </row>
    <row r="2392" spans="2:9" x14ac:dyDescent="0.25">
      <c r="B2392">
        <v>0</v>
      </c>
      <c r="C2392" s="16" t="s">
        <v>11661</v>
      </c>
      <c r="D2392" s="16"/>
      <c r="E2392">
        <v>6</v>
      </c>
      <c r="F2392" t="s">
        <v>4680</v>
      </c>
      <c r="G2392">
        <v>1</v>
      </c>
      <c r="H2392">
        <v>0</v>
      </c>
      <c r="I2392">
        <f>1</f>
        <v>1</v>
      </c>
    </row>
    <row r="2393" spans="2:9" x14ac:dyDescent="0.25">
      <c r="B2393">
        <v>0</v>
      </c>
      <c r="C2393" s="16" t="s">
        <v>11662</v>
      </c>
      <c r="D2393" s="16"/>
      <c r="E2393">
        <v>6</v>
      </c>
      <c r="F2393" t="s">
        <v>5646</v>
      </c>
      <c r="G2393">
        <v>1</v>
      </c>
      <c r="H2393">
        <v>0</v>
      </c>
      <c r="I2393">
        <f>1</f>
        <v>1</v>
      </c>
    </row>
    <row r="2394" spans="2:9" x14ac:dyDescent="0.25">
      <c r="B2394">
        <v>0</v>
      </c>
      <c r="C2394" s="16" t="s">
        <v>11663</v>
      </c>
      <c r="D2394" s="16"/>
      <c r="E2394">
        <v>6</v>
      </c>
      <c r="F2394" t="s">
        <v>4680</v>
      </c>
      <c r="G2394">
        <v>1</v>
      </c>
      <c r="H2394">
        <v>0</v>
      </c>
      <c r="I2394">
        <f>1</f>
        <v>1</v>
      </c>
    </row>
    <row r="2395" spans="2:9" x14ac:dyDescent="0.25">
      <c r="B2395">
        <v>0</v>
      </c>
      <c r="C2395" s="16" t="s">
        <v>11664</v>
      </c>
      <c r="D2395" s="16"/>
      <c r="E2395">
        <v>6</v>
      </c>
      <c r="F2395" t="s">
        <v>5647</v>
      </c>
      <c r="G2395">
        <v>1</v>
      </c>
      <c r="H2395">
        <v>0</v>
      </c>
      <c r="I2395">
        <f>1</f>
        <v>1</v>
      </c>
    </row>
    <row r="2396" spans="2:9" x14ac:dyDescent="0.25">
      <c r="B2396">
        <v>0</v>
      </c>
      <c r="C2396" s="16" t="s">
        <v>11665</v>
      </c>
      <c r="D2396" s="16"/>
      <c r="E2396">
        <v>6</v>
      </c>
      <c r="F2396" t="s">
        <v>5311</v>
      </c>
      <c r="G2396">
        <v>1</v>
      </c>
      <c r="H2396">
        <v>0</v>
      </c>
      <c r="I2396">
        <f>1</f>
        <v>1</v>
      </c>
    </row>
    <row r="2397" spans="2:9" x14ac:dyDescent="0.25">
      <c r="B2397">
        <v>0</v>
      </c>
      <c r="C2397" s="16" t="s">
        <v>11666</v>
      </c>
      <c r="D2397" s="16"/>
      <c r="E2397">
        <v>6</v>
      </c>
      <c r="F2397" t="s">
        <v>4680</v>
      </c>
      <c r="G2397">
        <v>1</v>
      </c>
      <c r="H2397">
        <v>0</v>
      </c>
      <c r="I2397">
        <f>1</f>
        <v>1</v>
      </c>
    </row>
    <row r="2398" spans="2:9" x14ac:dyDescent="0.25">
      <c r="B2398">
        <v>0</v>
      </c>
      <c r="C2398" s="16" t="s">
        <v>11667</v>
      </c>
      <c r="D2398" s="16"/>
      <c r="E2398">
        <v>6</v>
      </c>
      <c r="F2398" t="s">
        <v>5648</v>
      </c>
      <c r="G2398">
        <v>1</v>
      </c>
      <c r="H2398">
        <v>0</v>
      </c>
      <c r="I2398">
        <f>1</f>
        <v>1</v>
      </c>
    </row>
    <row r="2399" spans="2:9" x14ac:dyDescent="0.25">
      <c r="B2399">
        <v>0</v>
      </c>
      <c r="C2399" s="16" t="s">
        <v>11668</v>
      </c>
      <c r="D2399" s="16"/>
      <c r="E2399">
        <v>6</v>
      </c>
      <c r="F2399" t="s">
        <v>5649</v>
      </c>
      <c r="G2399">
        <v>1</v>
      </c>
      <c r="H2399">
        <v>0</v>
      </c>
      <c r="I2399">
        <f>1</f>
        <v>1</v>
      </c>
    </row>
    <row r="2400" spans="2:9" x14ac:dyDescent="0.25">
      <c r="B2400">
        <v>0</v>
      </c>
      <c r="C2400" s="16" t="s">
        <v>11669</v>
      </c>
      <c r="D2400" s="16"/>
      <c r="E2400">
        <v>6</v>
      </c>
      <c r="F2400" t="s">
        <v>5650</v>
      </c>
      <c r="G2400">
        <v>1</v>
      </c>
      <c r="H2400">
        <v>0</v>
      </c>
      <c r="I2400">
        <f>1</f>
        <v>1</v>
      </c>
    </row>
    <row r="2401" spans="2:9" x14ac:dyDescent="0.25">
      <c r="B2401">
        <v>0</v>
      </c>
      <c r="C2401" s="16" t="s">
        <v>11670</v>
      </c>
      <c r="D2401" s="16"/>
      <c r="E2401">
        <v>6</v>
      </c>
      <c r="F2401" t="s">
        <v>5651</v>
      </c>
      <c r="G2401">
        <v>1</v>
      </c>
      <c r="H2401">
        <v>0</v>
      </c>
      <c r="I2401">
        <f>1</f>
        <v>1</v>
      </c>
    </row>
    <row r="2402" spans="2:9" x14ac:dyDescent="0.25">
      <c r="B2402">
        <v>0</v>
      </c>
      <c r="C2402" s="16" t="s">
        <v>11671</v>
      </c>
      <c r="D2402" s="16"/>
      <c r="E2402">
        <v>6</v>
      </c>
      <c r="F2402" t="s">
        <v>5652</v>
      </c>
      <c r="G2402">
        <v>1</v>
      </c>
      <c r="H2402">
        <v>0</v>
      </c>
      <c r="I2402">
        <f>1</f>
        <v>1</v>
      </c>
    </row>
    <row r="2403" spans="2:9" x14ac:dyDescent="0.25">
      <c r="B2403">
        <v>0</v>
      </c>
      <c r="C2403" s="16" t="s">
        <v>11672</v>
      </c>
      <c r="D2403" s="16"/>
      <c r="E2403">
        <v>6</v>
      </c>
      <c r="F2403" t="s">
        <v>5653</v>
      </c>
      <c r="G2403">
        <v>1</v>
      </c>
      <c r="H2403">
        <v>0</v>
      </c>
      <c r="I2403">
        <f>1</f>
        <v>1</v>
      </c>
    </row>
    <row r="2404" spans="2:9" x14ac:dyDescent="0.25">
      <c r="B2404">
        <v>0</v>
      </c>
      <c r="C2404" s="16" t="s">
        <v>11673</v>
      </c>
      <c r="D2404" s="16"/>
      <c r="E2404">
        <v>6</v>
      </c>
      <c r="F2404" t="s">
        <v>4680</v>
      </c>
      <c r="G2404">
        <v>1</v>
      </c>
      <c r="H2404">
        <v>0</v>
      </c>
      <c r="I2404">
        <f>1</f>
        <v>1</v>
      </c>
    </row>
    <row r="2405" spans="2:9" x14ac:dyDescent="0.25">
      <c r="B2405">
        <v>0</v>
      </c>
      <c r="C2405" s="16" t="s">
        <v>11674</v>
      </c>
      <c r="D2405" s="16"/>
      <c r="E2405">
        <v>6</v>
      </c>
      <c r="F2405" t="s">
        <v>5654</v>
      </c>
      <c r="G2405">
        <v>1</v>
      </c>
      <c r="H2405">
        <v>0</v>
      </c>
      <c r="I2405">
        <f>1</f>
        <v>1</v>
      </c>
    </row>
    <row r="2406" spans="2:9" x14ac:dyDescent="0.25">
      <c r="B2406">
        <v>0</v>
      </c>
      <c r="C2406" s="16" t="s">
        <v>11675</v>
      </c>
      <c r="D2406" s="16"/>
      <c r="E2406">
        <v>6</v>
      </c>
      <c r="F2406" t="s">
        <v>5655</v>
      </c>
      <c r="G2406">
        <v>1</v>
      </c>
      <c r="H2406">
        <v>0</v>
      </c>
      <c r="I2406">
        <f>1</f>
        <v>1</v>
      </c>
    </row>
    <row r="2407" spans="2:9" x14ac:dyDescent="0.25">
      <c r="B2407">
        <v>0</v>
      </c>
      <c r="C2407" s="16" t="s">
        <v>11676</v>
      </c>
      <c r="D2407" s="16"/>
      <c r="E2407">
        <v>6</v>
      </c>
      <c r="F2407" t="s">
        <v>5656</v>
      </c>
      <c r="G2407">
        <v>1</v>
      </c>
      <c r="H2407">
        <v>0</v>
      </c>
      <c r="I2407">
        <f>1</f>
        <v>1</v>
      </c>
    </row>
    <row r="2408" spans="2:9" x14ac:dyDescent="0.25">
      <c r="B2408">
        <v>0</v>
      </c>
      <c r="C2408" s="16" t="s">
        <v>11677</v>
      </c>
      <c r="D2408" s="16"/>
      <c r="E2408">
        <v>6</v>
      </c>
      <c r="F2408" t="s">
        <v>4680</v>
      </c>
      <c r="G2408">
        <v>1</v>
      </c>
      <c r="H2408">
        <v>0</v>
      </c>
      <c r="I2408">
        <f>1</f>
        <v>1</v>
      </c>
    </row>
    <row r="2409" spans="2:9" x14ac:dyDescent="0.25">
      <c r="B2409">
        <v>0</v>
      </c>
      <c r="C2409" s="16" t="s">
        <v>11678</v>
      </c>
      <c r="D2409" s="16"/>
      <c r="E2409">
        <v>6</v>
      </c>
      <c r="F2409" t="s">
        <v>5657</v>
      </c>
      <c r="G2409">
        <v>1</v>
      </c>
      <c r="H2409">
        <v>0</v>
      </c>
      <c r="I2409">
        <f>1</f>
        <v>1</v>
      </c>
    </row>
    <row r="2410" spans="2:9" x14ac:dyDescent="0.25">
      <c r="B2410">
        <v>0</v>
      </c>
      <c r="C2410" s="16" t="s">
        <v>11679</v>
      </c>
      <c r="D2410" s="16"/>
      <c r="E2410">
        <v>6</v>
      </c>
      <c r="F2410" t="s">
        <v>5658</v>
      </c>
      <c r="G2410">
        <v>1</v>
      </c>
      <c r="H2410">
        <v>0</v>
      </c>
      <c r="I2410">
        <f>1</f>
        <v>1</v>
      </c>
    </row>
    <row r="2411" spans="2:9" x14ac:dyDescent="0.25">
      <c r="B2411">
        <v>0</v>
      </c>
      <c r="C2411" s="16" t="s">
        <v>11680</v>
      </c>
      <c r="D2411" s="16"/>
      <c r="E2411">
        <v>6</v>
      </c>
      <c r="F2411" t="s">
        <v>5659</v>
      </c>
      <c r="G2411">
        <v>1</v>
      </c>
      <c r="H2411">
        <v>0</v>
      </c>
      <c r="I2411">
        <f>1</f>
        <v>1</v>
      </c>
    </row>
    <row r="2412" spans="2:9" x14ac:dyDescent="0.25">
      <c r="B2412">
        <v>0</v>
      </c>
      <c r="C2412" s="16" t="s">
        <v>11681</v>
      </c>
      <c r="D2412" s="16"/>
      <c r="E2412">
        <v>6</v>
      </c>
      <c r="F2412" t="s">
        <v>5660</v>
      </c>
      <c r="G2412">
        <v>1</v>
      </c>
      <c r="H2412">
        <v>0</v>
      </c>
      <c r="I2412">
        <f>1</f>
        <v>1</v>
      </c>
    </row>
    <row r="2413" spans="2:9" x14ac:dyDescent="0.25">
      <c r="B2413">
        <v>0</v>
      </c>
      <c r="C2413" s="16" t="s">
        <v>11682</v>
      </c>
      <c r="D2413" s="16"/>
      <c r="E2413">
        <v>6</v>
      </c>
      <c r="F2413" t="s">
        <v>4680</v>
      </c>
      <c r="G2413">
        <v>1</v>
      </c>
      <c r="H2413">
        <v>0</v>
      </c>
      <c r="I2413">
        <f>1</f>
        <v>1</v>
      </c>
    </row>
    <row r="2414" spans="2:9" x14ac:dyDescent="0.25">
      <c r="B2414">
        <v>0</v>
      </c>
      <c r="C2414" s="16" t="s">
        <v>11683</v>
      </c>
      <c r="D2414" s="16"/>
      <c r="E2414">
        <v>6</v>
      </c>
      <c r="F2414" t="s">
        <v>5661</v>
      </c>
      <c r="G2414">
        <v>1</v>
      </c>
      <c r="H2414">
        <v>0</v>
      </c>
      <c r="I2414">
        <f>1</f>
        <v>1</v>
      </c>
    </row>
    <row r="2415" spans="2:9" x14ac:dyDescent="0.25">
      <c r="B2415">
        <v>0</v>
      </c>
      <c r="C2415" s="16" t="s">
        <v>11684</v>
      </c>
      <c r="D2415" s="16"/>
      <c r="E2415">
        <v>6</v>
      </c>
      <c r="F2415" t="s">
        <v>5641</v>
      </c>
      <c r="G2415">
        <v>1</v>
      </c>
      <c r="H2415">
        <v>0</v>
      </c>
      <c r="I2415">
        <f>1</f>
        <v>1</v>
      </c>
    </row>
    <row r="2416" spans="2:9" x14ac:dyDescent="0.25">
      <c r="B2416">
        <v>0</v>
      </c>
      <c r="C2416" s="16" t="s">
        <v>11685</v>
      </c>
      <c r="D2416" s="16"/>
      <c r="E2416">
        <v>6</v>
      </c>
      <c r="F2416" t="s">
        <v>5662</v>
      </c>
      <c r="G2416">
        <v>1</v>
      </c>
      <c r="H2416">
        <v>0</v>
      </c>
      <c r="I2416">
        <f>1</f>
        <v>1</v>
      </c>
    </row>
    <row r="2417" spans="2:9" x14ac:dyDescent="0.25">
      <c r="B2417">
        <v>0</v>
      </c>
      <c r="C2417" s="16" t="s">
        <v>11686</v>
      </c>
      <c r="D2417" s="16"/>
      <c r="E2417">
        <v>6</v>
      </c>
      <c r="F2417" t="s">
        <v>5663</v>
      </c>
      <c r="G2417">
        <v>1</v>
      </c>
      <c r="H2417">
        <v>0</v>
      </c>
      <c r="I2417">
        <f>1</f>
        <v>1</v>
      </c>
    </row>
    <row r="2418" spans="2:9" x14ac:dyDescent="0.25">
      <c r="B2418">
        <v>0</v>
      </c>
      <c r="C2418" s="16" t="s">
        <v>11687</v>
      </c>
      <c r="D2418" s="16"/>
      <c r="E2418">
        <v>6</v>
      </c>
      <c r="F2418" t="s">
        <v>5664</v>
      </c>
      <c r="G2418">
        <v>1</v>
      </c>
      <c r="H2418">
        <v>0</v>
      </c>
      <c r="I2418">
        <f>1</f>
        <v>1</v>
      </c>
    </row>
    <row r="2419" spans="2:9" x14ac:dyDescent="0.25">
      <c r="B2419">
        <v>0</v>
      </c>
      <c r="C2419" s="16" t="s">
        <v>11688</v>
      </c>
      <c r="D2419" s="16"/>
      <c r="E2419">
        <v>6</v>
      </c>
      <c r="F2419" t="s">
        <v>5665</v>
      </c>
      <c r="G2419">
        <v>1</v>
      </c>
      <c r="H2419">
        <v>0</v>
      </c>
      <c r="I2419">
        <f>1</f>
        <v>1</v>
      </c>
    </row>
    <row r="2420" spans="2:9" x14ac:dyDescent="0.25">
      <c r="B2420">
        <v>0</v>
      </c>
      <c r="C2420" s="16" t="s">
        <v>11689</v>
      </c>
      <c r="D2420" s="16"/>
      <c r="E2420">
        <v>6</v>
      </c>
      <c r="F2420" t="s">
        <v>4680</v>
      </c>
      <c r="G2420">
        <v>1</v>
      </c>
      <c r="H2420">
        <v>0</v>
      </c>
      <c r="I2420">
        <f>1</f>
        <v>1</v>
      </c>
    </row>
    <row r="2421" spans="2:9" x14ac:dyDescent="0.25">
      <c r="B2421">
        <v>0</v>
      </c>
      <c r="C2421" s="16" t="s">
        <v>11690</v>
      </c>
      <c r="D2421" s="16"/>
      <c r="E2421">
        <v>6</v>
      </c>
      <c r="F2421" t="s">
        <v>5666</v>
      </c>
      <c r="G2421">
        <v>1</v>
      </c>
      <c r="H2421">
        <v>0</v>
      </c>
      <c r="I2421">
        <f>1</f>
        <v>1</v>
      </c>
    </row>
    <row r="2422" spans="2:9" x14ac:dyDescent="0.25">
      <c r="B2422">
        <v>0</v>
      </c>
      <c r="C2422" s="16" t="s">
        <v>11691</v>
      </c>
      <c r="D2422" s="16"/>
      <c r="E2422">
        <v>6</v>
      </c>
      <c r="F2422" t="s">
        <v>5641</v>
      </c>
      <c r="G2422">
        <v>1</v>
      </c>
      <c r="H2422">
        <v>0</v>
      </c>
      <c r="I2422">
        <f>1</f>
        <v>1</v>
      </c>
    </row>
    <row r="2423" spans="2:9" x14ac:dyDescent="0.25">
      <c r="B2423">
        <v>0</v>
      </c>
      <c r="C2423" s="16" t="s">
        <v>11692</v>
      </c>
      <c r="D2423" s="16"/>
      <c r="E2423">
        <v>6</v>
      </c>
      <c r="F2423" t="s">
        <v>5662</v>
      </c>
      <c r="G2423">
        <v>1</v>
      </c>
      <c r="H2423">
        <v>0</v>
      </c>
      <c r="I2423">
        <f>1</f>
        <v>1</v>
      </c>
    </row>
    <row r="2424" spans="2:9" x14ac:dyDescent="0.25">
      <c r="B2424">
        <v>0</v>
      </c>
      <c r="C2424" s="16" t="s">
        <v>11693</v>
      </c>
      <c r="D2424" s="16"/>
      <c r="E2424">
        <v>6</v>
      </c>
      <c r="F2424" t="s">
        <v>5663</v>
      </c>
      <c r="G2424">
        <v>1</v>
      </c>
      <c r="H2424">
        <v>0</v>
      </c>
      <c r="I2424">
        <f>1</f>
        <v>1</v>
      </c>
    </row>
    <row r="2425" spans="2:9" x14ac:dyDescent="0.25">
      <c r="B2425">
        <v>0</v>
      </c>
      <c r="C2425" s="16" t="s">
        <v>11694</v>
      </c>
      <c r="D2425" s="16"/>
      <c r="E2425">
        <v>6</v>
      </c>
      <c r="F2425" t="s">
        <v>5667</v>
      </c>
      <c r="G2425">
        <v>1</v>
      </c>
      <c r="H2425">
        <v>0</v>
      </c>
      <c r="I2425">
        <f>1</f>
        <v>1</v>
      </c>
    </row>
    <row r="2426" spans="2:9" x14ac:dyDescent="0.25">
      <c r="B2426">
        <v>0</v>
      </c>
      <c r="C2426" s="16" t="s">
        <v>11695</v>
      </c>
      <c r="D2426" s="16"/>
      <c r="E2426">
        <v>6</v>
      </c>
      <c r="F2426" t="s">
        <v>4680</v>
      </c>
      <c r="G2426">
        <v>1</v>
      </c>
      <c r="H2426">
        <v>0</v>
      </c>
      <c r="I2426">
        <f>1</f>
        <v>1</v>
      </c>
    </row>
    <row r="2427" spans="2:9" x14ac:dyDescent="0.25">
      <c r="B2427">
        <v>0</v>
      </c>
      <c r="C2427" s="16" t="s">
        <v>11696</v>
      </c>
      <c r="D2427" s="16"/>
      <c r="E2427">
        <v>6</v>
      </c>
      <c r="F2427" t="s">
        <v>5668</v>
      </c>
      <c r="G2427">
        <v>1</v>
      </c>
      <c r="H2427">
        <v>0</v>
      </c>
      <c r="I2427">
        <f>1</f>
        <v>1</v>
      </c>
    </row>
    <row r="2428" spans="2:9" x14ac:dyDescent="0.25">
      <c r="B2428">
        <v>0</v>
      </c>
      <c r="C2428" s="16" t="s">
        <v>11697</v>
      </c>
      <c r="D2428" s="16"/>
      <c r="E2428">
        <v>6</v>
      </c>
      <c r="F2428" t="s">
        <v>4680</v>
      </c>
      <c r="G2428">
        <v>1</v>
      </c>
      <c r="H2428">
        <v>0</v>
      </c>
      <c r="I2428">
        <f>1</f>
        <v>1</v>
      </c>
    </row>
    <row r="2429" spans="2:9" x14ac:dyDescent="0.25">
      <c r="B2429">
        <v>0</v>
      </c>
      <c r="C2429" s="16" t="s">
        <v>11698</v>
      </c>
      <c r="D2429" s="16"/>
      <c r="E2429">
        <v>6</v>
      </c>
      <c r="F2429" t="s">
        <v>5669</v>
      </c>
      <c r="G2429">
        <v>1</v>
      </c>
      <c r="H2429">
        <v>0</v>
      </c>
      <c r="I2429">
        <f>1</f>
        <v>1</v>
      </c>
    </row>
    <row r="2430" spans="2:9" x14ac:dyDescent="0.25">
      <c r="B2430">
        <v>0</v>
      </c>
      <c r="C2430" s="16" t="s">
        <v>11699</v>
      </c>
      <c r="D2430" s="16"/>
      <c r="E2430">
        <v>6</v>
      </c>
      <c r="F2430" t="e">
        <f>--Binapacril  ISO</f>
        <v>#NAME?</v>
      </c>
      <c r="G2430">
        <v>1</v>
      </c>
      <c r="H2430">
        <v>0</v>
      </c>
      <c r="I2430">
        <f>1</f>
        <v>1</v>
      </c>
    </row>
    <row r="2431" spans="2:9" x14ac:dyDescent="0.25">
      <c r="B2431">
        <v>0</v>
      </c>
      <c r="C2431" s="16" t="s">
        <v>11700</v>
      </c>
      <c r="D2431" s="16"/>
      <c r="E2431">
        <v>6</v>
      </c>
      <c r="F2431" t="s">
        <v>5670</v>
      </c>
      <c r="G2431">
        <v>1</v>
      </c>
      <c r="H2431">
        <v>0</v>
      </c>
      <c r="I2431">
        <f>1</f>
        <v>1</v>
      </c>
    </row>
    <row r="2432" spans="2:9" x14ac:dyDescent="0.25">
      <c r="B2432">
        <v>0</v>
      </c>
      <c r="C2432" s="16" t="s">
        <v>11701</v>
      </c>
      <c r="D2432" s="16"/>
      <c r="E2432">
        <v>6</v>
      </c>
      <c r="F2432" t="s">
        <v>4680</v>
      </c>
      <c r="G2432">
        <v>1</v>
      </c>
      <c r="H2432">
        <v>0</v>
      </c>
      <c r="I2432">
        <f>1</f>
        <v>1</v>
      </c>
    </row>
    <row r="2433" spans="2:9" x14ac:dyDescent="0.25">
      <c r="B2433">
        <v>0</v>
      </c>
      <c r="C2433" s="16" t="s">
        <v>11702</v>
      </c>
      <c r="D2433" s="16"/>
      <c r="E2433">
        <v>6</v>
      </c>
      <c r="F2433" t="s">
        <v>5671</v>
      </c>
      <c r="G2433">
        <v>1</v>
      </c>
      <c r="H2433">
        <v>0</v>
      </c>
      <c r="I2433">
        <f>1</f>
        <v>1</v>
      </c>
    </row>
    <row r="2434" spans="2:9" x14ac:dyDescent="0.25">
      <c r="B2434">
        <v>0</v>
      </c>
      <c r="C2434" s="16" t="s">
        <v>11703</v>
      </c>
      <c r="D2434" s="16"/>
      <c r="E2434">
        <v>6</v>
      </c>
      <c r="F2434" t="s">
        <v>5672</v>
      </c>
      <c r="G2434">
        <v>1</v>
      </c>
      <c r="H2434">
        <v>0</v>
      </c>
      <c r="I2434">
        <f>1</f>
        <v>1</v>
      </c>
    </row>
    <row r="2435" spans="2:9" x14ac:dyDescent="0.25">
      <c r="B2435">
        <v>0</v>
      </c>
      <c r="C2435" s="16" t="s">
        <v>11704</v>
      </c>
      <c r="D2435" s="16"/>
      <c r="E2435">
        <v>6</v>
      </c>
      <c r="F2435" t="s">
        <v>5673</v>
      </c>
      <c r="G2435">
        <v>1</v>
      </c>
      <c r="H2435">
        <v>0</v>
      </c>
      <c r="I2435">
        <f>1</f>
        <v>1</v>
      </c>
    </row>
    <row r="2436" spans="2:9" x14ac:dyDescent="0.25">
      <c r="B2436">
        <v>0</v>
      </c>
      <c r="C2436" s="16" t="s">
        <v>11705</v>
      </c>
      <c r="D2436" s="16"/>
      <c r="E2436">
        <v>6</v>
      </c>
      <c r="F2436" t="s">
        <v>4680</v>
      </c>
      <c r="G2436">
        <v>1</v>
      </c>
      <c r="H2436">
        <v>0</v>
      </c>
      <c r="I2436">
        <f>1</f>
        <v>1</v>
      </c>
    </row>
    <row r="2437" spans="2:9" x14ac:dyDescent="0.25">
      <c r="B2437">
        <v>0</v>
      </c>
      <c r="C2437" s="16" t="s">
        <v>11706</v>
      </c>
      <c r="D2437" s="16"/>
      <c r="E2437">
        <v>6</v>
      </c>
      <c r="F2437" t="s">
        <v>4680</v>
      </c>
      <c r="G2437">
        <v>1</v>
      </c>
      <c r="H2437">
        <v>0</v>
      </c>
      <c r="I2437">
        <f>1</f>
        <v>1</v>
      </c>
    </row>
    <row r="2438" spans="2:9" x14ac:dyDescent="0.25">
      <c r="B2438">
        <v>0</v>
      </c>
      <c r="C2438" s="16" t="s">
        <v>11707</v>
      </c>
      <c r="D2438" s="16"/>
      <c r="E2438">
        <v>6</v>
      </c>
      <c r="F2438" t="s">
        <v>5674</v>
      </c>
      <c r="G2438">
        <v>1</v>
      </c>
      <c r="H2438">
        <v>0</v>
      </c>
      <c r="I2438">
        <f>1</f>
        <v>1</v>
      </c>
    </row>
    <row r="2439" spans="2:9" x14ac:dyDescent="0.25">
      <c r="B2439">
        <v>0</v>
      </c>
      <c r="C2439" s="16" t="s">
        <v>11708</v>
      </c>
      <c r="D2439" s="16"/>
      <c r="E2439">
        <v>6</v>
      </c>
      <c r="F2439" t="s">
        <v>5675</v>
      </c>
      <c r="G2439">
        <v>1</v>
      </c>
      <c r="H2439">
        <v>0</v>
      </c>
      <c r="I2439">
        <f>1</f>
        <v>1</v>
      </c>
    </row>
    <row r="2440" spans="2:9" x14ac:dyDescent="0.25">
      <c r="B2440">
        <v>0</v>
      </c>
      <c r="C2440" s="16" t="s">
        <v>11709</v>
      </c>
      <c r="D2440" s="16"/>
      <c r="E2440">
        <v>6</v>
      </c>
      <c r="F2440" t="s">
        <v>5676</v>
      </c>
      <c r="G2440">
        <v>1</v>
      </c>
      <c r="H2440">
        <v>0</v>
      </c>
      <c r="I2440">
        <f>1</f>
        <v>1</v>
      </c>
    </row>
    <row r="2441" spans="2:9" x14ac:dyDescent="0.25">
      <c r="B2441">
        <v>0</v>
      </c>
      <c r="C2441" s="16" t="s">
        <v>11710</v>
      </c>
      <c r="D2441" s="16"/>
      <c r="E2441">
        <v>6</v>
      </c>
      <c r="F2441" t="s">
        <v>5677</v>
      </c>
      <c r="G2441">
        <v>1</v>
      </c>
      <c r="H2441">
        <v>0</v>
      </c>
      <c r="I2441">
        <f>1</f>
        <v>1</v>
      </c>
    </row>
    <row r="2442" spans="2:9" x14ac:dyDescent="0.25">
      <c r="B2442">
        <v>0</v>
      </c>
      <c r="C2442" s="16" t="s">
        <v>11711</v>
      </c>
      <c r="D2442" s="16"/>
      <c r="E2442">
        <v>6</v>
      </c>
      <c r="F2442" t="s">
        <v>5678</v>
      </c>
      <c r="G2442">
        <v>1</v>
      </c>
      <c r="H2442">
        <v>0</v>
      </c>
      <c r="I2442">
        <f>1</f>
        <v>1</v>
      </c>
    </row>
    <row r="2443" spans="2:9" x14ac:dyDescent="0.25">
      <c r="B2443">
        <v>0</v>
      </c>
      <c r="C2443" s="16" t="s">
        <v>11712</v>
      </c>
      <c r="D2443" s="16"/>
      <c r="E2443">
        <v>6</v>
      </c>
      <c r="F2443" t="s">
        <v>4680</v>
      </c>
      <c r="G2443">
        <v>1</v>
      </c>
      <c r="H2443">
        <v>0</v>
      </c>
      <c r="I2443">
        <f>1</f>
        <v>1</v>
      </c>
    </row>
    <row r="2444" spans="2:9" x14ac:dyDescent="0.25">
      <c r="B2444">
        <v>0</v>
      </c>
      <c r="C2444" s="16" t="s">
        <v>11713</v>
      </c>
      <c r="D2444" s="16"/>
      <c r="E2444">
        <v>6</v>
      </c>
      <c r="F2444" t="s">
        <v>4680</v>
      </c>
      <c r="G2444">
        <v>1</v>
      </c>
      <c r="H2444">
        <v>0</v>
      </c>
      <c r="I2444">
        <f>1</f>
        <v>1</v>
      </c>
    </row>
    <row r="2445" spans="2:9" x14ac:dyDescent="0.25">
      <c r="B2445">
        <v>0</v>
      </c>
      <c r="C2445" s="16" t="s">
        <v>11714</v>
      </c>
      <c r="D2445" s="16"/>
      <c r="E2445">
        <v>6</v>
      </c>
      <c r="F2445" t="s">
        <v>5679</v>
      </c>
      <c r="G2445">
        <v>1</v>
      </c>
      <c r="H2445">
        <v>0</v>
      </c>
      <c r="I2445">
        <f>1</f>
        <v>1</v>
      </c>
    </row>
    <row r="2446" spans="2:9" x14ac:dyDescent="0.25">
      <c r="B2446">
        <v>0</v>
      </c>
      <c r="C2446" s="16" t="s">
        <v>11715</v>
      </c>
      <c r="D2446" s="16"/>
      <c r="E2446">
        <v>6</v>
      </c>
      <c r="F2446" t="s">
        <v>5315</v>
      </c>
      <c r="G2446">
        <v>1</v>
      </c>
      <c r="H2446">
        <v>0</v>
      </c>
      <c r="I2446">
        <f>1</f>
        <v>1</v>
      </c>
    </row>
    <row r="2447" spans="2:9" x14ac:dyDescent="0.25">
      <c r="B2447">
        <v>0</v>
      </c>
      <c r="C2447" s="16" t="s">
        <v>11716</v>
      </c>
      <c r="D2447" s="16"/>
      <c r="E2447">
        <v>6</v>
      </c>
      <c r="F2447" t="s">
        <v>5330</v>
      </c>
      <c r="G2447">
        <v>1</v>
      </c>
      <c r="H2447">
        <v>0</v>
      </c>
      <c r="I2447">
        <f>1</f>
        <v>1</v>
      </c>
    </row>
    <row r="2448" spans="2:9" x14ac:dyDescent="0.25">
      <c r="B2448">
        <v>0</v>
      </c>
      <c r="C2448" s="16" t="s">
        <v>11717</v>
      </c>
      <c r="D2448" s="16"/>
      <c r="E2448">
        <v>6</v>
      </c>
      <c r="F2448" t="s">
        <v>4680</v>
      </c>
      <c r="G2448">
        <v>1</v>
      </c>
      <c r="H2448">
        <v>0</v>
      </c>
      <c r="I2448">
        <f>1</f>
        <v>1</v>
      </c>
    </row>
    <row r="2449" spans="2:9" x14ac:dyDescent="0.25">
      <c r="B2449">
        <v>0</v>
      </c>
      <c r="C2449" s="16" t="s">
        <v>11718</v>
      </c>
      <c r="D2449" s="16"/>
      <c r="E2449">
        <v>6</v>
      </c>
      <c r="F2449" t="s">
        <v>5662</v>
      </c>
      <c r="G2449">
        <v>1</v>
      </c>
      <c r="H2449">
        <v>0</v>
      </c>
      <c r="I2449">
        <f>1</f>
        <v>1</v>
      </c>
    </row>
    <row r="2450" spans="2:9" x14ac:dyDescent="0.25">
      <c r="B2450">
        <v>0</v>
      </c>
      <c r="C2450" s="16" t="s">
        <v>11719</v>
      </c>
      <c r="D2450" s="16"/>
      <c r="E2450">
        <v>6</v>
      </c>
      <c r="F2450" t="s">
        <v>5680</v>
      </c>
      <c r="G2450">
        <v>1</v>
      </c>
      <c r="H2450">
        <v>0</v>
      </c>
      <c r="I2450">
        <f>1</f>
        <v>1</v>
      </c>
    </row>
    <row r="2451" spans="2:9" x14ac:dyDescent="0.25">
      <c r="B2451">
        <v>0</v>
      </c>
      <c r="C2451" s="16" t="s">
        <v>11720</v>
      </c>
      <c r="D2451" s="16"/>
      <c r="E2451">
        <v>6</v>
      </c>
      <c r="F2451" t="s">
        <v>4680</v>
      </c>
      <c r="G2451">
        <v>1</v>
      </c>
      <c r="H2451">
        <v>0</v>
      </c>
      <c r="I2451">
        <f>1</f>
        <v>1</v>
      </c>
    </row>
    <row r="2452" spans="2:9" x14ac:dyDescent="0.25">
      <c r="B2452">
        <v>0</v>
      </c>
      <c r="C2452" s="16" t="s">
        <v>11721</v>
      </c>
      <c r="D2452" s="16"/>
      <c r="E2452">
        <v>6</v>
      </c>
      <c r="F2452" t="s">
        <v>5681</v>
      </c>
      <c r="G2452">
        <v>1</v>
      </c>
      <c r="H2452">
        <v>0</v>
      </c>
      <c r="I2452">
        <f>1</f>
        <v>1</v>
      </c>
    </row>
    <row r="2453" spans="2:9" x14ac:dyDescent="0.25">
      <c r="B2453">
        <v>0</v>
      </c>
      <c r="C2453" s="16" t="s">
        <v>11722</v>
      </c>
      <c r="D2453" s="16"/>
      <c r="E2453">
        <v>6</v>
      </c>
      <c r="F2453" t="s">
        <v>5682</v>
      </c>
      <c r="G2453">
        <v>1</v>
      </c>
      <c r="H2453">
        <v>0</v>
      </c>
      <c r="I2453">
        <f>1</f>
        <v>1</v>
      </c>
    </row>
    <row r="2454" spans="2:9" x14ac:dyDescent="0.25">
      <c r="B2454">
        <v>0</v>
      </c>
      <c r="C2454" s="16" t="s">
        <v>11723</v>
      </c>
      <c r="D2454" s="16"/>
      <c r="E2454">
        <v>6</v>
      </c>
      <c r="F2454" t="e">
        <f>--ácido fenilacético e seus sais</f>
        <v>#NAME?</v>
      </c>
      <c r="G2454">
        <v>1</v>
      </c>
      <c r="H2454">
        <v>0</v>
      </c>
      <c r="I2454">
        <f>1</f>
        <v>1</v>
      </c>
    </row>
    <row r="2455" spans="2:9" x14ac:dyDescent="0.25">
      <c r="B2455">
        <v>0</v>
      </c>
      <c r="C2455" s="16" t="s">
        <v>11724</v>
      </c>
      <c r="D2455" s="16"/>
      <c r="E2455">
        <v>6</v>
      </c>
      <c r="F2455" t="s">
        <v>5683</v>
      </c>
      <c r="G2455">
        <v>1</v>
      </c>
      <c r="H2455">
        <v>0</v>
      </c>
      <c r="I2455">
        <f>1</f>
        <v>1</v>
      </c>
    </row>
    <row r="2456" spans="2:9" x14ac:dyDescent="0.25">
      <c r="B2456">
        <v>0</v>
      </c>
      <c r="C2456" s="16" t="s">
        <v>11725</v>
      </c>
      <c r="D2456" s="16"/>
      <c r="E2456">
        <v>6</v>
      </c>
      <c r="F2456" t="s">
        <v>2441</v>
      </c>
      <c r="G2456">
        <v>1</v>
      </c>
      <c r="H2456">
        <v>0</v>
      </c>
      <c r="I2456">
        <f>1</f>
        <v>1</v>
      </c>
    </row>
    <row r="2457" spans="2:9" x14ac:dyDescent="0.25">
      <c r="B2457">
        <v>0</v>
      </c>
      <c r="C2457" s="16" t="s">
        <v>11726</v>
      </c>
      <c r="D2457" s="16"/>
      <c r="E2457">
        <v>6</v>
      </c>
      <c r="F2457" t="s">
        <v>5684</v>
      </c>
      <c r="G2457">
        <v>1</v>
      </c>
      <c r="H2457">
        <v>0</v>
      </c>
      <c r="I2457">
        <f>1</f>
        <v>1</v>
      </c>
    </row>
    <row r="2458" spans="2:9" x14ac:dyDescent="0.25">
      <c r="B2458">
        <v>0</v>
      </c>
      <c r="C2458" s="16" t="s">
        <v>11727</v>
      </c>
      <c r="D2458" s="16"/>
      <c r="E2458">
        <v>6</v>
      </c>
      <c r="F2458" t="s">
        <v>5685</v>
      </c>
      <c r="G2458">
        <v>1</v>
      </c>
      <c r="H2458">
        <v>0</v>
      </c>
      <c r="I2458">
        <f>1</f>
        <v>1</v>
      </c>
    </row>
    <row r="2459" spans="2:9" x14ac:dyDescent="0.25">
      <c r="B2459">
        <v>0</v>
      </c>
      <c r="C2459" s="16" t="s">
        <v>11728</v>
      </c>
      <c r="D2459" s="16"/>
      <c r="E2459">
        <v>6</v>
      </c>
      <c r="F2459" t="s">
        <v>4680</v>
      </c>
      <c r="G2459">
        <v>1</v>
      </c>
      <c r="H2459">
        <v>0</v>
      </c>
      <c r="I2459">
        <f>1</f>
        <v>1</v>
      </c>
    </row>
    <row r="2460" spans="2:9" x14ac:dyDescent="0.25">
      <c r="B2460">
        <v>0</v>
      </c>
      <c r="C2460" s="16" t="s">
        <v>11729</v>
      </c>
      <c r="D2460" s="16"/>
      <c r="E2460">
        <v>6</v>
      </c>
      <c r="F2460" t="s">
        <v>5686</v>
      </c>
      <c r="G2460">
        <v>1</v>
      </c>
      <c r="H2460">
        <v>0</v>
      </c>
      <c r="I2460">
        <f>1</f>
        <v>1</v>
      </c>
    </row>
    <row r="2461" spans="2:9" x14ac:dyDescent="0.25">
      <c r="B2461">
        <v>0</v>
      </c>
      <c r="C2461" s="16" t="s">
        <v>11730</v>
      </c>
      <c r="D2461" s="16"/>
      <c r="E2461">
        <v>6</v>
      </c>
      <c r="F2461" t="s">
        <v>5642</v>
      </c>
      <c r="G2461">
        <v>1</v>
      </c>
      <c r="H2461">
        <v>0</v>
      </c>
      <c r="I2461">
        <f>1</f>
        <v>1</v>
      </c>
    </row>
    <row r="2462" spans="2:9" x14ac:dyDescent="0.25">
      <c r="B2462">
        <v>0</v>
      </c>
      <c r="C2462" s="16" t="s">
        <v>11731</v>
      </c>
      <c r="D2462" s="16"/>
      <c r="E2462">
        <v>6</v>
      </c>
      <c r="F2462" t="s">
        <v>5687</v>
      </c>
      <c r="G2462">
        <v>1</v>
      </c>
      <c r="H2462">
        <v>0</v>
      </c>
      <c r="I2462">
        <f>1</f>
        <v>1</v>
      </c>
    </row>
    <row r="2463" spans="2:9" x14ac:dyDescent="0.25">
      <c r="B2463">
        <v>0</v>
      </c>
      <c r="C2463" s="16" t="s">
        <v>11732</v>
      </c>
      <c r="D2463" s="16"/>
      <c r="E2463">
        <v>6</v>
      </c>
      <c r="F2463" t="s">
        <v>5658</v>
      </c>
      <c r="G2463">
        <v>1</v>
      </c>
      <c r="H2463">
        <v>0</v>
      </c>
      <c r="I2463">
        <f>1</f>
        <v>1</v>
      </c>
    </row>
    <row r="2464" spans="2:9" x14ac:dyDescent="0.25">
      <c r="B2464">
        <v>0</v>
      </c>
      <c r="C2464" s="16" t="s">
        <v>11733</v>
      </c>
      <c r="D2464" s="16"/>
      <c r="E2464">
        <v>6</v>
      </c>
      <c r="F2464" t="s">
        <v>5688</v>
      </c>
      <c r="G2464">
        <v>1</v>
      </c>
      <c r="H2464">
        <v>0</v>
      </c>
      <c r="I2464">
        <f>1</f>
        <v>1</v>
      </c>
    </row>
    <row r="2465" spans="2:9" x14ac:dyDescent="0.25">
      <c r="B2465">
        <v>0</v>
      </c>
      <c r="C2465" s="16" t="s">
        <v>11734</v>
      </c>
      <c r="D2465" s="16"/>
      <c r="E2465">
        <v>6</v>
      </c>
      <c r="F2465" t="s">
        <v>5689</v>
      </c>
      <c r="G2465">
        <v>1</v>
      </c>
      <c r="H2465">
        <v>0</v>
      </c>
      <c r="I2465">
        <f>1</f>
        <v>1</v>
      </c>
    </row>
    <row r="2466" spans="2:9" x14ac:dyDescent="0.25">
      <c r="B2466">
        <v>0</v>
      </c>
      <c r="C2466" s="16" t="s">
        <v>11735</v>
      </c>
      <c r="D2466" s="16"/>
      <c r="E2466">
        <v>6</v>
      </c>
      <c r="F2466" t="s">
        <v>5690</v>
      </c>
      <c r="G2466">
        <v>1</v>
      </c>
      <c r="H2466">
        <v>0</v>
      </c>
      <c r="I2466">
        <f>1</f>
        <v>1</v>
      </c>
    </row>
    <row r="2467" spans="2:9" x14ac:dyDescent="0.25">
      <c r="B2467">
        <v>0</v>
      </c>
      <c r="C2467" s="16" t="s">
        <v>11736</v>
      </c>
      <c r="D2467" s="16"/>
      <c r="E2467">
        <v>6</v>
      </c>
      <c r="F2467" t="s">
        <v>5691</v>
      </c>
      <c r="G2467">
        <v>1</v>
      </c>
      <c r="H2467">
        <v>0</v>
      </c>
      <c r="I2467">
        <f>1</f>
        <v>1</v>
      </c>
    </row>
    <row r="2468" spans="2:9" x14ac:dyDescent="0.25">
      <c r="B2468">
        <v>0</v>
      </c>
      <c r="C2468" s="16" t="s">
        <v>11737</v>
      </c>
      <c r="D2468" s="16"/>
      <c r="E2468">
        <v>6</v>
      </c>
      <c r="F2468" t="s">
        <v>4680</v>
      </c>
      <c r="G2468">
        <v>1</v>
      </c>
      <c r="H2468">
        <v>0</v>
      </c>
      <c r="I2468">
        <f>1</f>
        <v>1</v>
      </c>
    </row>
    <row r="2469" spans="2:9" x14ac:dyDescent="0.25">
      <c r="B2469">
        <v>0</v>
      </c>
      <c r="C2469" s="16" t="s">
        <v>11738</v>
      </c>
      <c r="D2469" s="16"/>
      <c r="E2469">
        <v>6</v>
      </c>
      <c r="F2469" t="e">
        <f>--Anidrido maléico</f>
        <v>#NAME?</v>
      </c>
      <c r="G2469">
        <v>1</v>
      </c>
      <c r="H2469">
        <v>0</v>
      </c>
      <c r="I2469">
        <f>1</f>
        <v>1</v>
      </c>
    </row>
    <row r="2470" spans="2:9" x14ac:dyDescent="0.25">
      <c r="B2470">
        <v>0</v>
      </c>
      <c r="C2470" s="16" t="s">
        <v>11739</v>
      </c>
      <c r="D2470" s="16"/>
      <c r="E2470">
        <v>6</v>
      </c>
      <c r="F2470" t="s">
        <v>5692</v>
      </c>
      <c r="G2470">
        <v>1</v>
      </c>
      <c r="H2470">
        <v>0</v>
      </c>
      <c r="I2470">
        <f>1</f>
        <v>1</v>
      </c>
    </row>
    <row r="2471" spans="2:9" x14ac:dyDescent="0.25">
      <c r="B2471">
        <v>0</v>
      </c>
      <c r="C2471" s="16" t="s">
        <v>11740</v>
      </c>
      <c r="D2471" s="16"/>
      <c r="E2471">
        <v>6</v>
      </c>
      <c r="F2471" t="s">
        <v>5693</v>
      </c>
      <c r="G2471">
        <v>1</v>
      </c>
      <c r="H2471">
        <v>0</v>
      </c>
      <c r="I2471">
        <f>1</f>
        <v>1</v>
      </c>
    </row>
    <row r="2472" spans="2:9" x14ac:dyDescent="0.25">
      <c r="B2472">
        <v>0</v>
      </c>
      <c r="C2472" s="16" t="s">
        <v>11741</v>
      </c>
      <c r="D2472" s="16"/>
      <c r="E2472">
        <v>6</v>
      </c>
      <c r="F2472" t="s">
        <v>5658</v>
      </c>
      <c r="G2472">
        <v>1</v>
      </c>
      <c r="H2472">
        <v>0</v>
      </c>
      <c r="I2472">
        <f>1</f>
        <v>1</v>
      </c>
    </row>
    <row r="2473" spans="2:9" x14ac:dyDescent="0.25">
      <c r="B2473">
        <v>0</v>
      </c>
      <c r="C2473" s="16" t="s">
        <v>11742</v>
      </c>
      <c r="D2473" s="16"/>
      <c r="E2473">
        <v>6</v>
      </c>
      <c r="F2473" t="s">
        <v>5694</v>
      </c>
      <c r="G2473">
        <v>1</v>
      </c>
      <c r="H2473">
        <v>0</v>
      </c>
      <c r="I2473">
        <f>1</f>
        <v>1</v>
      </c>
    </row>
    <row r="2474" spans="2:9" x14ac:dyDescent="0.25">
      <c r="B2474">
        <v>0</v>
      </c>
      <c r="C2474" s="16" t="s">
        <v>11743</v>
      </c>
      <c r="D2474" s="16"/>
      <c r="E2474">
        <v>6</v>
      </c>
      <c r="F2474" t="s">
        <v>4680</v>
      </c>
      <c r="G2474">
        <v>1</v>
      </c>
      <c r="H2474">
        <v>0</v>
      </c>
      <c r="I2474">
        <f>1</f>
        <v>1</v>
      </c>
    </row>
    <row r="2475" spans="2:9" x14ac:dyDescent="0.25">
      <c r="B2475">
        <v>0</v>
      </c>
      <c r="C2475" s="16" t="s">
        <v>11744</v>
      </c>
      <c r="D2475" s="16"/>
      <c r="E2475">
        <v>6</v>
      </c>
      <c r="F2475" t="s">
        <v>5695</v>
      </c>
      <c r="G2475">
        <v>1</v>
      </c>
      <c r="H2475">
        <v>0</v>
      </c>
      <c r="I2475">
        <f>1</f>
        <v>1</v>
      </c>
    </row>
    <row r="2476" spans="2:9" x14ac:dyDescent="0.25">
      <c r="B2476">
        <v>0</v>
      </c>
      <c r="C2476" s="16" t="s">
        <v>11745</v>
      </c>
      <c r="D2476" s="16"/>
      <c r="E2476">
        <v>6</v>
      </c>
      <c r="F2476" t="e">
        <f>--Ortoftalatos De dioctila</f>
        <v>#NAME?</v>
      </c>
      <c r="G2476">
        <v>1</v>
      </c>
      <c r="H2476">
        <v>0</v>
      </c>
      <c r="I2476">
        <f>1</f>
        <v>1</v>
      </c>
    </row>
    <row r="2477" spans="2:9" x14ac:dyDescent="0.25">
      <c r="B2477">
        <v>0</v>
      </c>
      <c r="C2477" s="16" t="s">
        <v>11746</v>
      </c>
      <c r="D2477" s="16"/>
      <c r="E2477">
        <v>6</v>
      </c>
      <c r="F2477" t="e">
        <f>--Ortoftalatos De dinonila ou De didecila</f>
        <v>#NAME?</v>
      </c>
      <c r="G2477">
        <v>1</v>
      </c>
      <c r="H2477">
        <v>0</v>
      </c>
      <c r="I2477">
        <f>1</f>
        <v>1</v>
      </c>
    </row>
    <row r="2478" spans="2:9" x14ac:dyDescent="0.25">
      <c r="B2478">
        <v>0</v>
      </c>
      <c r="C2478" s="16" t="s">
        <v>11747</v>
      </c>
      <c r="D2478" s="16"/>
      <c r="E2478">
        <v>6</v>
      </c>
      <c r="F2478" t="e">
        <f>--outros ésteres do ácido ortoftálico</f>
        <v>#NAME?</v>
      </c>
      <c r="G2478">
        <v>1</v>
      </c>
      <c r="H2478">
        <v>0</v>
      </c>
      <c r="I2478">
        <f>1</f>
        <v>1</v>
      </c>
    </row>
    <row r="2479" spans="2:9" x14ac:dyDescent="0.25">
      <c r="B2479">
        <v>0</v>
      </c>
      <c r="C2479" s="16" t="s">
        <v>11748</v>
      </c>
      <c r="D2479" s="16"/>
      <c r="E2479">
        <v>6</v>
      </c>
      <c r="F2479" t="e">
        <f>--Anidrido ftálico</f>
        <v>#NAME?</v>
      </c>
      <c r="G2479">
        <v>1</v>
      </c>
      <c r="H2479">
        <v>0</v>
      </c>
      <c r="I2479">
        <f>1</f>
        <v>1</v>
      </c>
    </row>
    <row r="2480" spans="2:9" x14ac:dyDescent="0.25">
      <c r="B2480">
        <v>0</v>
      </c>
      <c r="C2480" s="16" t="s">
        <v>11749</v>
      </c>
      <c r="D2480" s="16"/>
      <c r="E2480">
        <v>6</v>
      </c>
      <c r="F2480" t="e">
        <f>--ácido tereftálico e seus sais</f>
        <v>#NAME?</v>
      </c>
      <c r="G2480">
        <v>1</v>
      </c>
      <c r="H2480">
        <v>0</v>
      </c>
      <c r="I2480">
        <f>1</f>
        <v>1</v>
      </c>
    </row>
    <row r="2481" spans="2:9" x14ac:dyDescent="0.25">
      <c r="B2481">
        <v>0</v>
      </c>
      <c r="C2481" s="16" t="s">
        <v>11750</v>
      </c>
      <c r="D2481" s="16"/>
      <c r="E2481">
        <v>6</v>
      </c>
      <c r="F2481" t="e">
        <f>--Tereftalato De dimetila</f>
        <v>#NAME?</v>
      </c>
      <c r="G2481">
        <v>1</v>
      </c>
      <c r="H2481">
        <v>0</v>
      </c>
      <c r="I2481">
        <f>1</f>
        <v>1</v>
      </c>
    </row>
    <row r="2482" spans="2:9" x14ac:dyDescent="0.25">
      <c r="B2482">
        <v>0</v>
      </c>
      <c r="C2482" s="16" t="s">
        <v>11751</v>
      </c>
      <c r="D2482" s="16"/>
      <c r="E2482">
        <v>6</v>
      </c>
      <c r="F2482" t="s">
        <v>5642</v>
      </c>
      <c r="G2482">
        <v>1</v>
      </c>
      <c r="H2482">
        <v>0</v>
      </c>
      <c r="I2482">
        <f>1</f>
        <v>1</v>
      </c>
    </row>
    <row r="2483" spans="2:9" x14ac:dyDescent="0.25">
      <c r="B2483">
        <v>0</v>
      </c>
      <c r="C2483" s="16" t="s">
        <v>11752</v>
      </c>
      <c r="D2483" s="16"/>
      <c r="E2483">
        <v>6</v>
      </c>
      <c r="F2483" t="s">
        <v>4680</v>
      </c>
      <c r="G2483">
        <v>1</v>
      </c>
      <c r="H2483">
        <v>0</v>
      </c>
      <c r="I2483">
        <f>1</f>
        <v>1</v>
      </c>
    </row>
    <row r="2484" spans="2:9" x14ac:dyDescent="0.25">
      <c r="B2484">
        <v>0</v>
      </c>
      <c r="C2484" s="16" t="s">
        <v>11753</v>
      </c>
      <c r="D2484" s="16"/>
      <c r="E2484">
        <v>6</v>
      </c>
      <c r="F2484" t="s">
        <v>5696</v>
      </c>
      <c r="G2484">
        <v>1</v>
      </c>
      <c r="H2484">
        <v>0</v>
      </c>
      <c r="I2484">
        <f>1</f>
        <v>1</v>
      </c>
    </row>
    <row r="2485" spans="2:9" x14ac:dyDescent="0.25">
      <c r="B2485">
        <v>0</v>
      </c>
      <c r="C2485" s="16" t="s">
        <v>11754</v>
      </c>
      <c r="D2485" s="16"/>
      <c r="E2485">
        <v>6</v>
      </c>
      <c r="F2485" t="s">
        <v>5697</v>
      </c>
      <c r="G2485">
        <v>1</v>
      </c>
      <c r="H2485">
        <v>0</v>
      </c>
      <c r="I2485">
        <f>1</f>
        <v>1</v>
      </c>
    </row>
    <row r="2486" spans="2:9" x14ac:dyDescent="0.25">
      <c r="B2486">
        <v>0</v>
      </c>
      <c r="C2486" s="16" t="s">
        <v>11755</v>
      </c>
      <c r="D2486" s="16"/>
      <c r="E2486">
        <v>6</v>
      </c>
      <c r="F2486" t="s">
        <v>4680</v>
      </c>
      <c r="G2486">
        <v>1</v>
      </c>
      <c r="H2486">
        <v>0</v>
      </c>
      <c r="I2486">
        <f>1</f>
        <v>1</v>
      </c>
    </row>
    <row r="2487" spans="2:9" x14ac:dyDescent="0.25">
      <c r="B2487">
        <v>0</v>
      </c>
      <c r="C2487" s="16" t="s">
        <v>11756</v>
      </c>
      <c r="D2487" s="16"/>
      <c r="E2487">
        <v>6</v>
      </c>
      <c r="F2487" t="s">
        <v>5698</v>
      </c>
      <c r="G2487">
        <v>1</v>
      </c>
      <c r="H2487">
        <v>0</v>
      </c>
      <c r="I2487">
        <f>1</f>
        <v>1</v>
      </c>
    </row>
    <row r="2488" spans="2:9" x14ac:dyDescent="0.25">
      <c r="B2488">
        <v>0</v>
      </c>
      <c r="C2488" s="16" t="s">
        <v>11757</v>
      </c>
      <c r="D2488" s="16"/>
      <c r="E2488">
        <v>6</v>
      </c>
      <c r="F2488" t="s">
        <v>5699</v>
      </c>
      <c r="G2488">
        <v>1</v>
      </c>
      <c r="H2488">
        <v>0</v>
      </c>
      <c r="I2488">
        <f>1</f>
        <v>1</v>
      </c>
    </row>
    <row r="2489" spans="2:9" x14ac:dyDescent="0.25">
      <c r="B2489">
        <v>0</v>
      </c>
      <c r="C2489" s="16" t="s">
        <v>11758</v>
      </c>
      <c r="D2489" s="16"/>
      <c r="E2489">
        <v>6</v>
      </c>
      <c r="F2489" t="s">
        <v>4680</v>
      </c>
      <c r="G2489">
        <v>1</v>
      </c>
      <c r="H2489">
        <v>0</v>
      </c>
      <c r="I2489">
        <f>1</f>
        <v>1</v>
      </c>
    </row>
    <row r="2490" spans="2:9" x14ac:dyDescent="0.25">
      <c r="B2490">
        <v>0</v>
      </c>
      <c r="C2490" s="16" t="s">
        <v>11759</v>
      </c>
      <c r="D2490" s="16"/>
      <c r="E2490">
        <v>6</v>
      </c>
      <c r="F2490" t="s">
        <v>5700</v>
      </c>
      <c r="G2490">
        <v>1</v>
      </c>
      <c r="H2490">
        <v>0</v>
      </c>
      <c r="I2490">
        <f>1</f>
        <v>1</v>
      </c>
    </row>
    <row r="2491" spans="2:9" x14ac:dyDescent="0.25">
      <c r="B2491">
        <v>0</v>
      </c>
      <c r="C2491" s="16" t="s">
        <v>11760</v>
      </c>
      <c r="D2491" s="16"/>
      <c r="E2491">
        <v>6</v>
      </c>
      <c r="F2491" t="e">
        <f>--ácido tartárico</f>
        <v>#NAME?</v>
      </c>
      <c r="G2491">
        <v>1</v>
      </c>
      <c r="H2491">
        <v>0</v>
      </c>
      <c r="I2491">
        <f>1</f>
        <v>1</v>
      </c>
    </row>
    <row r="2492" spans="2:9" x14ac:dyDescent="0.25">
      <c r="B2492">
        <v>0</v>
      </c>
      <c r="C2492" s="16" t="s">
        <v>11761</v>
      </c>
      <c r="D2492" s="16"/>
      <c r="E2492">
        <v>6</v>
      </c>
      <c r="F2492" t="s">
        <v>5641</v>
      </c>
      <c r="G2492">
        <v>1</v>
      </c>
      <c r="H2492">
        <v>0</v>
      </c>
      <c r="I2492">
        <f>1</f>
        <v>1</v>
      </c>
    </row>
    <row r="2493" spans="2:9" x14ac:dyDescent="0.25">
      <c r="B2493">
        <v>0</v>
      </c>
      <c r="C2493" s="16" t="s">
        <v>11762</v>
      </c>
      <c r="D2493" s="16"/>
      <c r="E2493">
        <v>6</v>
      </c>
      <c r="F2493" t="s">
        <v>5642</v>
      </c>
      <c r="G2493">
        <v>1</v>
      </c>
      <c r="H2493">
        <v>0</v>
      </c>
      <c r="I2493">
        <f>1</f>
        <v>1</v>
      </c>
    </row>
    <row r="2494" spans="2:9" x14ac:dyDescent="0.25">
      <c r="B2494">
        <v>0</v>
      </c>
      <c r="C2494" s="16" t="s">
        <v>11763</v>
      </c>
      <c r="D2494" s="16"/>
      <c r="E2494">
        <v>6</v>
      </c>
      <c r="F2494" t="e">
        <f>--ácido cítrico</f>
        <v>#NAME?</v>
      </c>
      <c r="G2494">
        <v>1</v>
      </c>
      <c r="H2494">
        <v>0</v>
      </c>
      <c r="I2494">
        <f>1</f>
        <v>1</v>
      </c>
    </row>
    <row r="2495" spans="2:9" x14ac:dyDescent="0.25">
      <c r="B2495">
        <v>0</v>
      </c>
      <c r="C2495" s="16" t="s">
        <v>11764</v>
      </c>
      <c r="D2495" s="16"/>
      <c r="E2495">
        <v>6</v>
      </c>
      <c r="F2495" t="e">
        <f>--sais e ésteres do ácido cítrico</f>
        <v>#NAME?</v>
      </c>
      <c r="G2495">
        <v>1</v>
      </c>
      <c r="H2495">
        <v>0</v>
      </c>
      <c r="I2495">
        <f>1</f>
        <v>1</v>
      </c>
    </row>
    <row r="2496" spans="2:9" x14ac:dyDescent="0.25">
      <c r="B2496">
        <v>0</v>
      </c>
      <c r="C2496" s="16" t="s">
        <v>11765</v>
      </c>
      <c r="D2496" s="16"/>
      <c r="E2496">
        <v>6</v>
      </c>
      <c r="F2496" t="s">
        <v>5701</v>
      </c>
      <c r="G2496">
        <v>1</v>
      </c>
      <c r="H2496">
        <v>0</v>
      </c>
      <c r="I2496">
        <f>1</f>
        <v>1</v>
      </c>
    </row>
    <row r="2497" spans="2:9" x14ac:dyDescent="0.25">
      <c r="B2497">
        <v>0</v>
      </c>
      <c r="C2497" s="16" t="s">
        <v>11766</v>
      </c>
      <c r="D2497" s="16"/>
      <c r="E2497">
        <v>6</v>
      </c>
      <c r="F2497" t="s">
        <v>4680</v>
      </c>
      <c r="G2497">
        <v>1</v>
      </c>
      <c r="H2497">
        <v>0</v>
      </c>
      <c r="I2497">
        <f>1</f>
        <v>1</v>
      </c>
    </row>
    <row r="2498" spans="2:9" x14ac:dyDescent="0.25">
      <c r="B2498">
        <v>0</v>
      </c>
      <c r="C2498" s="16" t="s">
        <v>11767</v>
      </c>
      <c r="D2498" s="16"/>
      <c r="E2498">
        <v>6</v>
      </c>
      <c r="F2498" t="e">
        <f>--Clorobenzilato  ISO</f>
        <v>#NAME?</v>
      </c>
      <c r="G2498">
        <v>1</v>
      </c>
      <c r="H2498">
        <v>0</v>
      </c>
      <c r="I2498">
        <f>1</f>
        <v>1</v>
      </c>
    </row>
    <row r="2499" spans="2:9" x14ac:dyDescent="0.25">
      <c r="B2499">
        <v>0</v>
      </c>
      <c r="C2499" s="16" t="s">
        <v>11768</v>
      </c>
      <c r="D2499" s="16"/>
      <c r="E2499">
        <v>6</v>
      </c>
      <c r="F2499" t="s">
        <v>5702</v>
      </c>
      <c r="G2499">
        <v>1</v>
      </c>
      <c r="H2499">
        <v>0</v>
      </c>
      <c r="I2499">
        <f>1</f>
        <v>1</v>
      </c>
    </row>
    <row r="2500" spans="2:9" x14ac:dyDescent="0.25">
      <c r="B2500">
        <v>0</v>
      </c>
      <c r="C2500" s="16" t="s">
        <v>11769</v>
      </c>
      <c r="D2500" s="16"/>
      <c r="E2500">
        <v>6</v>
      </c>
      <c r="F2500" t="s">
        <v>5703</v>
      </c>
      <c r="G2500">
        <v>1</v>
      </c>
      <c r="H2500">
        <v>0</v>
      </c>
      <c r="I2500">
        <f>1</f>
        <v>1</v>
      </c>
    </row>
    <row r="2501" spans="2:9" x14ac:dyDescent="0.25">
      <c r="B2501">
        <v>0</v>
      </c>
      <c r="C2501" s="16" t="s">
        <v>11770</v>
      </c>
      <c r="D2501" s="16"/>
      <c r="E2501">
        <v>6</v>
      </c>
      <c r="F2501" t="s">
        <v>5704</v>
      </c>
      <c r="G2501">
        <v>1</v>
      </c>
      <c r="H2501">
        <v>0</v>
      </c>
      <c r="I2501">
        <f>1</f>
        <v>1</v>
      </c>
    </row>
    <row r="2502" spans="2:9" x14ac:dyDescent="0.25">
      <c r="B2502">
        <v>0</v>
      </c>
      <c r="C2502" s="16" t="s">
        <v>11771</v>
      </c>
      <c r="D2502" s="16"/>
      <c r="E2502">
        <v>6</v>
      </c>
      <c r="F2502" t="s">
        <v>4680</v>
      </c>
      <c r="G2502">
        <v>1</v>
      </c>
      <c r="H2502">
        <v>0</v>
      </c>
      <c r="I2502">
        <f>1</f>
        <v>1</v>
      </c>
    </row>
    <row r="2503" spans="2:9" x14ac:dyDescent="0.25">
      <c r="B2503">
        <v>0</v>
      </c>
      <c r="C2503" s="16" t="s">
        <v>11772</v>
      </c>
      <c r="D2503" s="16"/>
      <c r="E2503">
        <v>6</v>
      </c>
      <c r="F2503" t="s">
        <v>5705</v>
      </c>
      <c r="G2503">
        <v>1</v>
      </c>
      <c r="H2503">
        <v>0</v>
      </c>
      <c r="I2503">
        <f>1</f>
        <v>1</v>
      </c>
    </row>
    <row r="2504" spans="2:9" x14ac:dyDescent="0.25">
      <c r="B2504">
        <v>0</v>
      </c>
      <c r="C2504" s="16" t="s">
        <v>11773</v>
      </c>
      <c r="D2504" s="16"/>
      <c r="E2504">
        <v>6</v>
      </c>
      <c r="F2504" t="s">
        <v>5706</v>
      </c>
      <c r="G2504">
        <v>1</v>
      </c>
      <c r="H2504">
        <v>0</v>
      </c>
      <c r="I2504">
        <f>1</f>
        <v>1</v>
      </c>
    </row>
    <row r="2505" spans="2:9" x14ac:dyDescent="0.25">
      <c r="B2505">
        <v>0</v>
      </c>
      <c r="C2505" s="16" t="s">
        <v>11774</v>
      </c>
      <c r="D2505" s="16"/>
      <c r="E2505">
        <v>6</v>
      </c>
      <c r="F2505" t="s">
        <v>5641</v>
      </c>
      <c r="G2505">
        <v>1</v>
      </c>
      <c r="H2505">
        <v>0</v>
      </c>
      <c r="I2505">
        <f>1</f>
        <v>1</v>
      </c>
    </row>
    <row r="2506" spans="2:9" x14ac:dyDescent="0.25">
      <c r="B2506">
        <v>0</v>
      </c>
      <c r="C2506" s="16" t="s">
        <v>11775</v>
      </c>
      <c r="D2506" s="16"/>
      <c r="E2506">
        <v>6</v>
      </c>
      <c r="F2506" t="s">
        <v>5642</v>
      </c>
      <c r="G2506">
        <v>1</v>
      </c>
      <c r="H2506">
        <v>0</v>
      </c>
      <c r="I2506">
        <f>1</f>
        <v>1</v>
      </c>
    </row>
    <row r="2507" spans="2:9" x14ac:dyDescent="0.25">
      <c r="B2507">
        <v>0</v>
      </c>
      <c r="C2507" s="16" t="s">
        <v>11776</v>
      </c>
      <c r="D2507" s="16"/>
      <c r="E2507">
        <v>6</v>
      </c>
      <c r="F2507" t="s">
        <v>4680</v>
      </c>
      <c r="G2507">
        <v>1</v>
      </c>
      <c r="H2507">
        <v>0</v>
      </c>
      <c r="I2507">
        <f>1</f>
        <v>1</v>
      </c>
    </row>
    <row r="2508" spans="2:9" x14ac:dyDescent="0.25">
      <c r="B2508">
        <v>0</v>
      </c>
      <c r="C2508" s="16" t="s">
        <v>11777</v>
      </c>
      <c r="D2508" s="16"/>
      <c r="E2508">
        <v>6</v>
      </c>
      <c r="F2508" t="s">
        <v>5707</v>
      </c>
      <c r="G2508">
        <v>1</v>
      </c>
      <c r="H2508">
        <v>0</v>
      </c>
      <c r="I2508">
        <f>1</f>
        <v>1</v>
      </c>
    </row>
    <row r="2509" spans="2:9" x14ac:dyDescent="0.25">
      <c r="B2509">
        <v>0</v>
      </c>
      <c r="C2509" s="16" t="s">
        <v>11778</v>
      </c>
      <c r="D2509" s="16"/>
      <c r="E2509">
        <v>6</v>
      </c>
      <c r="F2509" t="s">
        <v>5641</v>
      </c>
      <c r="G2509">
        <v>1</v>
      </c>
      <c r="H2509">
        <v>0</v>
      </c>
      <c r="I2509">
        <f>1</f>
        <v>1</v>
      </c>
    </row>
    <row r="2510" spans="2:9" x14ac:dyDescent="0.25">
      <c r="B2510">
        <v>0</v>
      </c>
      <c r="C2510" s="16" t="s">
        <v>11779</v>
      </c>
      <c r="D2510" s="16"/>
      <c r="E2510">
        <v>6</v>
      </c>
      <c r="F2510" t="s">
        <v>5708</v>
      </c>
      <c r="G2510">
        <v>1</v>
      </c>
      <c r="H2510">
        <v>0</v>
      </c>
      <c r="I2510">
        <f>1</f>
        <v>1</v>
      </c>
    </row>
    <row r="2511" spans="2:9" x14ac:dyDescent="0.25">
      <c r="B2511">
        <v>0</v>
      </c>
      <c r="C2511" s="16" t="s">
        <v>11780</v>
      </c>
      <c r="D2511" s="16"/>
      <c r="E2511">
        <v>6</v>
      </c>
      <c r="F2511" t="s">
        <v>5709</v>
      </c>
      <c r="G2511">
        <v>1</v>
      </c>
      <c r="H2511">
        <v>0</v>
      </c>
      <c r="I2511">
        <f>1</f>
        <v>1</v>
      </c>
    </row>
    <row r="2512" spans="2:9" x14ac:dyDescent="0.25">
      <c r="B2512">
        <v>0</v>
      </c>
      <c r="C2512" s="16" t="s">
        <v>11781</v>
      </c>
      <c r="D2512" s="16"/>
      <c r="E2512">
        <v>6</v>
      </c>
      <c r="F2512" t="s">
        <v>4680</v>
      </c>
      <c r="G2512">
        <v>1</v>
      </c>
      <c r="H2512">
        <v>0</v>
      </c>
      <c r="I2512">
        <f>1</f>
        <v>1</v>
      </c>
    </row>
    <row r="2513" spans="2:9" x14ac:dyDescent="0.25">
      <c r="B2513">
        <v>0</v>
      </c>
      <c r="C2513" s="16" t="s">
        <v>11782</v>
      </c>
      <c r="D2513" s="16"/>
      <c r="E2513">
        <v>6</v>
      </c>
      <c r="F2513" t="s">
        <v>5642</v>
      </c>
      <c r="G2513">
        <v>1</v>
      </c>
      <c r="H2513">
        <v>0</v>
      </c>
      <c r="I2513">
        <f>1</f>
        <v>1</v>
      </c>
    </row>
    <row r="2514" spans="2:9" x14ac:dyDescent="0.25">
      <c r="B2514">
        <v>0</v>
      </c>
      <c r="C2514" s="16" t="s">
        <v>11783</v>
      </c>
      <c r="D2514" s="16"/>
      <c r="E2514">
        <v>6</v>
      </c>
      <c r="F2514" t="e">
        <f>--outros ésteres do ácido salicílico e seus sais</f>
        <v>#NAME?</v>
      </c>
      <c r="G2514">
        <v>1</v>
      </c>
      <c r="H2514">
        <v>0</v>
      </c>
      <c r="I2514">
        <f>1</f>
        <v>1</v>
      </c>
    </row>
    <row r="2515" spans="2:9" x14ac:dyDescent="0.25">
      <c r="B2515">
        <v>0</v>
      </c>
      <c r="C2515" s="16" t="s">
        <v>11784</v>
      </c>
      <c r="D2515" s="16"/>
      <c r="E2515">
        <v>6</v>
      </c>
      <c r="F2515" t="s">
        <v>5710</v>
      </c>
      <c r="G2515">
        <v>1</v>
      </c>
      <c r="H2515">
        <v>0</v>
      </c>
      <c r="I2515">
        <f>1</f>
        <v>1</v>
      </c>
    </row>
    <row r="2516" spans="2:9" x14ac:dyDescent="0.25">
      <c r="B2516">
        <v>0</v>
      </c>
      <c r="C2516" s="16" t="s">
        <v>11785</v>
      </c>
      <c r="D2516" s="16"/>
      <c r="E2516">
        <v>6</v>
      </c>
      <c r="F2516" t="s">
        <v>5711</v>
      </c>
      <c r="G2516">
        <v>1</v>
      </c>
      <c r="H2516">
        <v>0</v>
      </c>
      <c r="I2516">
        <f>1</f>
        <v>1</v>
      </c>
    </row>
    <row r="2517" spans="2:9" x14ac:dyDescent="0.25">
      <c r="B2517">
        <v>0</v>
      </c>
      <c r="C2517" s="16" t="s">
        <v>11786</v>
      </c>
      <c r="D2517" s="16"/>
      <c r="E2517">
        <v>6</v>
      </c>
      <c r="F2517" t="s">
        <v>5712</v>
      </c>
      <c r="G2517">
        <v>1</v>
      </c>
      <c r="H2517">
        <v>0</v>
      </c>
      <c r="I2517">
        <f>1</f>
        <v>1</v>
      </c>
    </row>
    <row r="2518" spans="2:9" x14ac:dyDescent="0.25">
      <c r="B2518">
        <v>0</v>
      </c>
      <c r="C2518" s="16" t="s">
        <v>11787</v>
      </c>
      <c r="D2518" s="16"/>
      <c r="E2518">
        <v>6</v>
      </c>
      <c r="F2518" t="s">
        <v>5713</v>
      </c>
      <c r="G2518">
        <v>1</v>
      </c>
      <c r="H2518">
        <v>0</v>
      </c>
      <c r="I2518">
        <f>1</f>
        <v>1</v>
      </c>
    </row>
    <row r="2519" spans="2:9" x14ac:dyDescent="0.25">
      <c r="B2519">
        <v>0</v>
      </c>
      <c r="C2519" s="16" t="s">
        <v>11788</v>
      </c>
      <c r="D2519" s="16"/>
      <c r="E2519">
        <v>6</v>
      </c>
      <c r="F2519" t="s">
        <v>4680</v>
      </c>
      <c r="G2519">
        <v>1</v>
      </c>
      <c r="H2519">
        <v>0</v>
      </c>
      <c r="I2519">
        <f>1</f>
        <v>1</v>
      </c>
    </row>
    <row r="2520" spans="2:9" x14ac:dyDescent="0.25">
      <c r="B2520">
        <v>0</v>
      </c>
      <c r="C2520" s="16" t="s">
        <v>11789</v>
      </c>
      <c r="D2520" s="16"/>
      <c r="E2520">
        <v>6</v>
      </c>
      <c r="F2520" t="s">
        <v>5714</v>
      </c>
      <c r="G2520">
        <v>1</v>
      </c>
      <c r="H2520">
        <v>0</v>
      </c>
      <c r="I2520">
        <f>1</f>
        <v>1</v>
      </c>
    </row>
    <row r="2521" spans="2:9" x14ac:dyDescent="0.25">
      <c r="B2521">
        <v>0</v>
      </c>
      <c r="C2521" s="16" t="s">
        <v>11790</v>
      </c>
      <c r="D2521" s="16"/>
      <c r="E2521">
        <v>6</v>
      </c>
      <c r="F2521" t="s">
        <v>5715</v>
      </c>
      <c r="G2521">
        <v>1</v>
      </c>
      <c r="H2521">
        <v>0</v>
      </c>
      <c r="I2521">
        <f>1</f>
        <v>1</v>
      </c>
    </row>
    <row r="2522" spans="2:9" x14ac:dyDescent="0.25">
      <c r="B2522">
        <v>0</v>
      </c>
      <c r="C2522" s="16" t="s">
        <v>11791</v>
      </c>
      <c r="D2522" s="16"/>
      <c r="E2522">
        <v>6</v>
      </c>
      <c r="F2522" t="s">
        <v>5716</v>
      </c>
      <c r="G2522">
        <v>1</v>
      </c>
      <c r="H2522">
        <v>0</v>
      </c>
      <c r="I2522">
        <f>1</f>
        <v>1</v>
      </c>
    </row>
    <row r="2523" spans="2:9" x14ac:dyDescent="0.25">
      <c r="B2523">
        <v>0</v>
      </c>
      <c r="C2523" s="16" t="s">
        <v>11792</v>
      </c>
      <c r="D2523" s="16"/>
      <c r="E2523">
        <v>6</v>
      </c>
      <c r="F2523" t="s">
        <v>4680</v>
      </c>
      <c r="G2523">
        <v>1</v>
      </c>
      <c r="H2523">
        <v>0</v>
      </c>
      <c r="I2523">
        <f>1</f>
        <v>1</v>
      </c>
    </row>
    <row r="2524" spans="2:9" x14ac:dyDescent="0.25">
      <c r="B2524">
        <v>0</v>
      </c>
      <c r="C2524" s="16" t="s">
        <v>11793</v>
      </c>
      <c r="D2524" s="16"/>
      <c r="E2524">
        <v>6</v>
      </c>
      <c r="F2524" t="s">
        <v>5717</v>
      </c>
      <c r="G2524">
        <v>1</v>
      </c>
      <c r="H2524">
        <v>0</v>
      </c>
      <c r="I2524">
        <f>1</f>
        <v>1</v>
      </c>
    </row>
    <row r="2525" spans="2:9" x14ac:dyDescent="0.25">
      <c r="B2525">
        <v>0</v>
      </c>
      <c r="C2525" s="16" t="s">
        <v>11794</v>
      </c>
      <c r="D2525" s="16"/>
      <c r="E2525">
        <v>6</v>
      </c>
      <c r="F2525" t="s">
        <v>5718</v>
      </c>
      <c r="G2525">
        <v>1</v>
      </c>
      <c r="H2525">
        <v>0</v>
      </c>
      <c r="I2525">
        <f>1</f>
        <v>1</v>
      </c>
    </row>
    <row r="2526" spans="2:9" x14ac:dyDescent="0.25">
      <c r="B2526">
        <v>0</v>
      </c>
      <c r="C2526" s="16" t="s">
        <v>11795</v>
      </c>
      <c r="D2526" s="16"/>
      <c r="E2526">
        <v>6</v>
      </c>
      <c r="F2526" t="s">
        <v>5719</v>
      </c>
      <c r="G2526">
        <v>1</v>
      </c>
      <c r="H2526">
        <v>0</v>
      </c>
      <c r="I2526">
        <f>1</f>
        <v>1</v>
      </c>
    </row>
    <row r="2527" spans="2:9" x14ac:dyDescent="0.25">
      <c r="B2527">
        <v>0</v>
      </c>
      <c r="C2527" s="16" t="s">
        <v>11796</v>
      </c>
      <c r="D2527" s="16"/>
      <c r="E2527">
        <v>6</v>
      </c>
      <c r="F2527" t="s">
        <v>5720</v>
      </c>
      <c r="G2527">
        <v>1</v>
      </c>
      <c r="H2527">
        <v>0</v>
      </c>
      <c r="I2527">
        <f>1</f>
        <v>1</v>
      </c>
    </row>
    <row r="2528" spans="2:9" x14ac:dyDescent="0.25">
      <c r="B2528">
        <v>0</v>
      </c>
      <c r="C2528" s="16" t="s">
        <v>11797</v>
      </c>
      <c r="D2528" s="16"/>
      <c r="E2528">
        <v>6</v>
      </c>
      <c r="F2528" t="s">
        <v>5721</v>
      </c>
      <c r="G2528">
        <v>1</v>
      </c>
      <c r="H2528">
        <v>0</v>
      </c>
      <c r="I2528">
        <f>1</f>
        <v>1</v>
      </c>
    </row>
    <row r="2529" spans="2:9" x14ac:dyDescent="0.25">
      <c r="B2529">
        <v>0</v>
      </c>
      <c r="C2529" s="16" t="s">
        <v>11798</v>
      </c>
      <c r="D2529" s="16"/>
      <c r="E2529">
        <v>6</v>
      </c>
      <c r="F2529" t="s">
        <v>4680</v>
      </c>
      <c r="G2529">
        <v>1</v>
      </c>
      <c r="H2529">
        <v>0</v>
      </c>
      <c r="I2529">
        <f>1</f>
        <v>1</v>
      </c>
    </row>
    <row r="2530" spans="2:9" x14ac:dyDescent="0.25">
      <c r="B2530">
        <v>0</v>
      </c>
      <c r="C2530" s="16" t="s">
        <v>11799</v>
      </c>
      <c r="D2530" s="16"/>
      <c r="E2530">
        <v>6</v>
      </c>
      <c r="F2530" t="s">
        <v>5722</v>
      </c>
      <c r="G2530">
        <v>1</v>
      </c>
      <c r="H2530">
        <v>0</v>
      </c>
      <c r="I2530">
        <f>1</f>
        <v>1</v>
      </c>
    </row>
    <row r="2531" spans="2:9" x14ac:dyDescent="0.25">
      <c r="B2531">
        <v>0</v>
      </c>
      <c r="C2531" s="16" t="s">
        <v>11800</v>
      </c>
      <c r="D2531" s="16"/>
      <c r="E2531">
        <v>6</v>
      </c>
      <c r="F2531" t="s">
        <v>4680</v>
      </c>
      <c r="G2531">
        <v>1</v>
      </c>
      <c r="H2531">
        <v>0</v>
      </c>
      <c r="I2531">
        <f>1</f>
        <v>1</v>
      </c>
    </row>
    <row r="2532" spans="2:9" x14ac:dyDescent="0.25">
      <c r="B2532">
        <v>0</v>
      </c>
      <c r="C2532" s="16" t="s">
        <v>11801</v>
      </c>
      <c r="D2532" s="16"/>
      <c r="E2532">
        <v>6</v>
      </c>
      <c r="F2532" t="s">
        <v>5723</v>
      </c>
      <c r="G2532">
        <v>1</v>
      </c>
      <c r="H2532">
        <v>0</v>
      </c>
      <c r="I2532">
        <f>1</f>
        <v>1</v>
      </c>
    </row>
    <row r="2533" spans="2:9" x14ac:dyDescent="0.25">
      <c r="B2533">
        <v>0</v>
      </c>
      <c r="C2533" s="16" t="s">
        <v>11802</v>
      </c>
      <c r="D2533" s="16"/>
      <c r="E2533">
        <v>6</v>
      </c>
      <c r="F2533" t="s">
        <v>5724</v>
      </c>
      <c r="G2533">
        <v>1</v>
      </c>
      <c r="H2533">
        <v>0</v>
      </c>
      <c r="I2533">
        <f>1</f>
        <v>1</v>
      </c>
    </row>
    <row r="2534" spans="2:9" x14ac:dyDescent="0.25">
      <c r="B2534">
        <v>0</v>
      </c>
      <c r="C2534" s="16" t="s">
        <v>11803</v>
      </c>
      <c r="D2534" s="16"/>
      <c r="E2534">
        <v>6</v>
      </c>
      <c r="F2534" t="s">
        <v>5725</v>
      </c>
      <c r="G2534">
        <v>1</v>
      </c>
      <c r="H2534">
        <v>0</v>
      </c>
      <c r="I2534">
        <f>1</f>
        <v>1</v>
      </c>
    </row>
    <row r="2535" spans="2:9" x14ac:dyDescent="0.25">
      <c r="B2535">
        <v>0</v>
      </c>
      <c r="C2535" s="16" t="s">
        <v>11804</v>
      </c>
      <c r="D2535" s="16"/>
      <c r="E2535">
        <v>6</v>
      </c>
      <c r="F2535" t="s">
        <v>4680</v>
      </c>
      <c r="G2535">
        <v>1</v>
      </c>
      <c r="H2535">
        <v>0</v>
      </c>
      <c r="I2535">
        <f>1</f>
        <v>1</v>
      </c>
    </row>
    <row r="2536" spans="2:9" x14ac:dyDescent="0.25">
      <c r="B2536">
        <v>0</v>
      </c>
      <c r="C2536" s="16" t="s">
        <v>11805</v>
      </c>
      <c r="D2536" s="16"/>
      <c r="E2536">
        <v>6</v>
      </c>
      <c r="F2536" t="s">
        <v>5726</v>
      </c>
      <c r="G2536">
        <v>1</v>
      </c>
      <c r="H2536">
        <v>0</v>
      </c>
      <c r="I2536">
        <f>1</f>
        <v>1</v>
      </c>
    </row>
    <row r="2537" spans="2:9" x14ac:dyDescent="0.25">
      <c r="B2537">
        <v>0</v>
      </c>
      <c r="C2537" s="16" t="s">
        <v>11806</v>
      </c>
      <c r="D2537" s="16"/>
      <c r="E2537">
        <v>6</v>
      </c>
      <c r="F2537" t="s">
        <v>4680</v>
      </c>
      <c r="G2537">
        <v>1</v>
      </c>
      <c r="H2537">
        <v>0</v>
      </c>
      <c r="I2537">
        <f>1</f>
        <v>1</v>
      </c>
    </row>
    <row r="2538" spans="2:9" x14ac:dyDescent="0.25">
      <c r="B2538">
        <v>0</v>
      </c>
      <c r="C2538" s="16" t="s">
        <v>11807</v>
      </c>
      <c r="D2538" s="16"/>
      <c r="E2538">
        <v>6</v>
      </c>
      <c r="F2538" t="s">
        <v>5727</v>
      </c>
      <c r="G2538">
        <v>1</v>
      </c>
      <c r="H2538">
        <v>0</v>
      </c>
      <c r="I2538">
        <f>1</f>
        <v>1</v>
      </c>
    </row>
    <row r="2539" spans="2:9" x14ac:dyDescent="0.25">
      <c r="B2539">
        <v>0</v>
      </c>
      <c r="C2539" s="16" t="s">
        <v>11808</v>
      </c>
      <c r="D2539" s="16"/>
      <c r="E2539">
        <v>6</v>
      </c>
      <c r="F2539" t="s">
        <v>5728</v>
      </c>
      <c r="G2539">
        <v>1</v>
      </c>
      <c r="H2539">
        <v>0</v>
      </c>
      <c r="I2539">
        <f>1</f>
        <v>1</v>
      </c>
    </row>
    <row r="2540" spans="2:9" x14ac:dyDescent="0.25">
      <c r="B2540">
        <v>0</v>
      </c>
      <c r="C2540" s="16" t="s">
        <v>11809</v>
      </c>
      <c r="D2540" s="16"/>
      <c r="E2540">
        <v>6</v>
      </c>
      <c r="F2540" t="s">
        <v>5729</v>
      </c>
      <c r="G2540">
        <v>1</v>
      </c>
      <c r="H2540">
        <v>0</v>
      </c>
      <c r="I2540">
        <f>1</f>
        <v>1</v>
      </c>
    </row>
    <row r="2541" spans="2:9" x14ac:dyDescent="0.25">
      <c r="B2541">
        <v>0</v>
      </c>
      <c r="C2541" s="16" t="s">
        <v>11810</v>
      </c>
      <c r="D2541" s="16"/>
      <c r="E2541">
        <v>6</v>
      </c>
      <c r="F2541" t="s">
        <v>5730</v>
      </c>
      <c r="G2541">
        <v>1</v>
      </c>
      <c r="H2541">
        <v>0</v>
      </c>
      <c r="I2541">
        <f>1</f>
        <v>1</v>
      </c>
    </row>
    <row r="2542" spans="2:9" x14ac:dyDescent="0.25">
      <c r="B2542">
        <v>0</v>
      </c>
      <c r="C2542" s="16" t="s">
        <v>11811</v>
      </c>
      <c r="D2542" s="16"/>
      <c r="E2542">
        <v>6</v>
      </c>
      <c r="F2542" t="s">
        <v>5731</v>
      </c>
      <c r="G2542">
        <v>1</v>
      </c>
      <c r="H2542">
        <v>0</v>
      </c>
      <c r="I2542">
        <f>1</f>
        <v>1</v>
      </c>
    </row>
    <row r="2543" spans="2:9" x14ac:dyDescent="0.25">
      <c r="B2543">
        <v>0</v>
      </c>
      <c r="C2543" s="16" t="s">
        <v>11812</v>
      </c>
      <c r="D2543" s="16"/>
      <c r="E2543">
        <v>6</v>
      </c>
      <c r="F2543" t="s">
        <v>5732</v>
      </c>
      <c r="G2543">
        <v>1</v>
      </c>
      <c r="H2543">
        <v>0</v>
      </c>
      <c r="I2543">
        <f>1</f>
        <v>1</v>
      </c>
    </row>
    <row r="2544" spans="2:9" x14ac:dyDescent="0.25">
      <c r="B2544">
        <v>0</v>
      </c>
      <c r="C2544" s="16" t="s">
        <v>11813</v>
      </c>
      <c r="D2544" s="16"/>
      <c r="E2544">
        <v>6</v>
      </c>
      <c r="F2544" t="s">
        <v>5733</v>
      </c>
      <c r="G2544">
        <v>1</v>
      </c>
      <c r="H2544">
        <v>0</v>
      </c>
      <c r="I2544">
        <f>1</f>
        <v>1</v>
      </c>
    </row>
    <row r="2545" spans="2:9" x14ac:dyDescent="0.25">
      <c r="B2545">
        <v>0</v>
      </c>
      <c r="C2545" s="16" t="s">
        <v>11814</v>
      </c>
      <c r="D2545" s="16"/>
      <c r="E2545">
        <v>6</v>
      </c>
      <c r="F2545" t="s">
        <v>5734</v>
      </c>
      <c r="G2545">
        <v>1</v>
      </c>
      <c r="H2545">
        <v>0</v>
      </c>
      <c r="I2545">
        <f>1</f>
        <v>1</v>
      </c>
    </row>
    <row r="2546" spans="2:9" x14ac:dyDescent="0.25">
      <c r="B2546">
        <v>0</v>
      </c>
      <c r="C2546" s="16" t="s">
        <v>11815</v>
      </c>
      <c r="D2546" s="16"/>
      <c r="E2546">
        <v>6</v>
      </c>
      <c r="F2546" t="s">
        <v>4680</v>
      </c>
      <c r="G2546">
        <v>1</v>
      </c>
      <c r="H2546">
        <v>0</v>
      </c>
      <c r="I2546">
        <f>1</f>
        <v>1</v>
      </c>
    </row>
    <row r="2547" spans="2:9" x14ac:dyDescent="0.25">
      <c r="B2547">
        <v>0</v>
      </c>
      <c r="C2547" s="16" t="s">
        <v>11816</v>
      </c>
      <c r="D2547" s="16"/>
      <c r="E2547">
        <v>6</v>
      </c>
      <c r="F2547" t="s">
        <v>5735</v>
      </c>
      <c r="G2547">
        <v>1</v>
      </c>
      <c r="H2547">
        <v>0</v>
      </c>
      <c r="I2547">
        <f>1</f>
        <v>1</v>
      </c>
    </row>
    <row r="2548" spans="2:9" x14ac:dyDescent="0.25">
      <c r="B2548">
        <v>0</v>
      </c>
      <c r="C2548" s="16" t="s">
        <v>11817</v>
      </c>
      <c r="D2548" s="16"/>
      <c r="E2548">
        <v>6</v>
      </c>
      <c r="F2548" t="s">
        <v>5736</v>
      </c>
      <c r="G2548">
        <v>1</v>
      </c>
      <c r="H2548">
        <v>0</v>
      </c>
      <c r="I2548">
        <f>1</f>
        <v>1</v>
      </c>
    </row>
    <row r="2549" spans="2:9" x14ac:dyDescent="0.25">
      <c r="B2549">
        <v>0</v>
      </c>
      <c r="C2549" s="16" t="s">
        <v>11818</v>
      </c>
      <c r="D2549" s="16"/>
      <c r="E2549">
        <v>6</v>
      </c>
      <c r="F2549" t="s">
        <v>5737</v>
      </c>
      <c r="G2549">
        <v>1</v>
      </c>
      <c r="H2549">
        <v>0</v>
      </c>
      <c r="I2549">
        <f>1</f>
        <v>1</v>
      </c>
    </row>
    <row r="2550" spans="2:9" x14ac:dyDescent="0.25">
      <c r="B2550">
        <v>0</v>
      </c>
      <c r="C2550" s="16" t="s">
        <v>11819</v>
      </c>
      <c r="D2550" s="16"/>
      <c r="E2550">
        <v>6</v>
      </c>
      <c r="F2550" t="s">
        <v>5738</v>
      </c>
      <c r="G2550">
        <v>1</v>
      </c>
      <c r="H2550">
        <v>0</v>
      </c>
      <c r="I2550">
        <f>1</f>
        <v>1</v>
      </c>
    </row>
    <row r="2551" spans="2:9" x14ac:dyDescent="0.25">
      <c r="B2551">
        <v>0</v>
      </c>
      <c r="C2551" s="16" t="s">
        <v>11820</v>
      </c>
      <c r="D2551" s="16"/>
      <c r="E2551">
        <v>6</v>
      </c>
      <c r="F2551" t="s">
        <v>5739</v>
      </c>
      <c r="G2551">
        <v>1</v>
      </c>
      <c r="H2551">
        <v>0</v>
      </c>
      <c r="I2551">
        <f>1</f>
        <v>1</v>
      </c>
    </row>
    <row r="2552" spans="2:9" x14ac:dyDescent="0.25">
      <c r="B2552">
        <v>0</v>
      </c>
      <c r="C2552" s="16" t="s">
        <v>11821</v>
      </c>
      <c r="D2552" s="16"/>
      <c r="E2552">
        <v>6</v>
      </c>
      <c r="F2552" t="s">
        <v>5740</v>
      </c>
      <c r="G2552">
        <v>1</v>
      </c>
      <c r="H2552">
        <v>0</v>
      </c>
      <c r="I2552">
        <f>1</f>
        <v>1</v>
      </c>
    </row>
    <row r="2553" spans="2:9" x14ac:dyDescent="0.25">
      <c r="B2553">
        <v>0</v>
      </c>
      <c r="C2553" s="16" t="s">
        <v>11822</v>
      </c>
      <c r="D2553" s="16"/>
      <c r="E2553">
        <v>6</v>
      </c>
      <c r="F2553" t="s">
        <v>5741</v>
      </c>
      <c r="G2553">
        <v>1</v>
      </c>
      <c r="H2553">
        <v>0</v>
      </c>
      <c r="I2553">
        <f>1</f>
        <v>1</v>
      </c>
    </row>
    <row r="2554" spans="2:9" x14ac:dyDescent="0.25">
      <c r="B2554">
        <v>0</v>
      </c>
      <c r="C2554" s="16" t="s">
        <v>11823</v>
      </c>
      <c r="D2554" s="16"/>
      <c r="E2554">
        <v>6</v>
      </c>
      <c r="F2554" t="s">
        <v>4680</v>
      </c>
      <c r="G2554">
        <v>1</v>
      </c>
      <c r="H2554">
        <v>0</v>
      </c>
      <c r="I2554">
        <f>1</f>
        <v>1</v>
      </c>
    </row>
    <row r="2555" spans="2:9" x14ac:dyDescent="0.25">
      <c r="B2555">
        <v>0</v>
      </c>
      <c r="C2555" s="16" t="s">
        <v>11824</v>
      </c>
      <c r="D2555" s="16"/>
      <c r="E2555">
        <v>6</v>
      </c>
      <c r="F2555" t="s">
        <v>5742</v>
      </c>
      <c r="G2555">
        <v>1</v>
      </c>
      <c r="H2555">
        <v>0</v>
      </c>
      <c r="I2555">
        <f>1</f>
        <v>1</v>
      </c>
    </row>
    <row r="2556" spans="2:9" x14ac:dyDescent="0.25">
      <c r="B2556">
        <v>0</v>
      </c>
      <c r="C2556" s="16" t="s">
        <v>11825</v>
      </c>
      <c r="D2556" s="16"/>
      <c r="E2556">
        <v>6</v>
      </c>
      <c r="F2556" t="s">
        <v>5743</v>
      </c>
      <c r="G2556">
        <v>1</v>
      </c>
      <c r="H2556">
        <v>0</v>
      </c>
      <c r="I2556">
        <f>1</f>
        <v>1</v>
      </c>
    </row>
    <row r="2557" spans="2:9" x14ac:dyDescent="0.25">
      <c r="B2557">
        <v>0</v>
      </c>
      <c r="C2557" s="16" t="s">
        <v>11826</v>
      </c>
      <c r="D2557" s="16"/>
      <c r="E2557">
        <v>6</v>
      </c>
      <c r="F2557" t="s">
        <v>5744</v>
      </c>
      <c r="G2557">
        <v>1</v>
      </c>
      <c r="H2557">
        <v>0</v>
      </c>
      <c r="I2557">
        <f>1</f>
        <v>1</v>
      </c>
    </row>
    <row r="2558" spans="2:9" x14ac:dyDescent="0.25">
      <c r="B2558">
        <v>0</v>
      </c>
      <c r="C2558" s="16" t="s">
        <v>11827</v>
      </c>
      <c r="D2558" s="16"/>
      <c r="E2558">
        <v>6</v>
      </c>
      <c r="F2558" t="s">
        <v>5745</v>
      </c>
      <c r="G2558">
        <v>1</v>
      </c>
      <c r="H2558">
        <v>0</v>
      </c>
      <c r="I2558">
        <f>1</f>
        <v>1</v>
      </c>
    </row>
    <row r="2559" spans="2:9" x14ac:dyDescent="0.25">
      <c r="B2559">
        <v>0</v>
      </c>
      <c r="C2559" s="16" t="s">
        <v>11828</v>
      </c>
      <c r="D2559" s="16"/>
      <c r="E2559">
        <v>6</v>
      </c>
      <c r="F2559" t="s">
        <v>4680</v>
      </c>
      <c r="G2559">
        <v>1</v>
      </c>
      <c r="H2559">
        <v>0</v>
      </c>
      <c r="I2559">
        <f>1</f>
        <v>1</v>
      </c>
    </row>
    <row r="2560" spans="2:9" x14ac:dyDescent="0.25">
      <c r="B2560">
        <v>0</v>
      </c>
      <c r="C2560" s="16" t="s">
        <v>11829</v>
      </c>
      <c r="D2560" s="16"/>
      <c r="E2560">
        <v>6</v>
      </c>
      <c r="F2560" t="s">
        <v>5746</v>
      </c>
      <c r="G2560">
        <v>1</v>
      </c>
      <c r="H2560">
        <v>0</v>
      </c>
      <c r="I2560">
        <f>1</f>
        <v>1</v>
      </c>
    </row>
    <row r="2561" spans="2:9" x14ac:dyDescent="0.25">
      <c r="B2561">
        <v>0</v>
      </c>
      <c r="C2561" s="16" t="s">
        <v>11830</v>
      </c>
      <c r="D2561" s="16"/>
      <c r="E2561">
        <v>6</v>
      </c>
      <c r="F2561" t="s">
        <v>5747</v>
      </c>
      <c r="G2561">
        <v>1</v>
      </c>
      <c r="H2561">
        <v>0</v>
      </c>
      <c r="I2561">
        <f>1</f>
        <v>1</v>
      </c>
    </row>
    <row r="2562" spans="2:9" x14ac:dyDescent="0.25">
      <c r="B2562">
        <v>0</v>
      </c>
      <c r="C2562" s="16" t="s">
        <v>11831</v>
      </c>
      <c r="D2562" s="16"/>
      <c r="E2562">
        <v>6</v>
      </c>
      <c r="F2562" t="s">
        <v>5748</v>
      </c>
      <c r="G2562">
        <v>1</v>
      </c>
      <c r="H2562">
        <v>0</v>
      </c>
      <c r="I2562">
        <f>1</f>
        <v>1</v>
      </c>
    </row>
    <row r="2563" spans="2:9" x14ac:dyDescent="0.25">
      <c r="B2563">
        <v>0</v>
      </c>
      <c r="C2563" s="16" t="s">
        <v>11832</v>
      </c>
      <c r="D2563" s="16"/>
      <c r="E2563">
        <v>6</v>
      </c>
      <c r="F2563" t="s">
        <v>5749</v>
      </c>
      <c r="G2563">
        <v>1</v>
      </c>
      <c r="H2563">
        <v>0</v>
      </c>
      <c r="I2563">
        <f>1</f>
        <v>1</v>
      </c>
    </row>
    <row r="2564" spans="2:9" x14ac:dyDescent="0.25">
      <c r="B2564">
        <v>0</v>
      </c>
      <c r="C2564" s="16" t="s">
        <v>11833</v>
      </c>
      <c r="D2564" s="16"/>
      <c r="E2564">
        <v>6</v>
      </c>
      <c r="F2564" t="s">
        <v>5750</v>
      </c>
      <c r="G2564">
        <v>1</v>
      </c>
      <c r="H2564">
        <v>0</v>
      </c>
      <c r="I2564">
        <f>1</f>
        <v>1</v>
      </c>
    </row>
    <row r="2565" spans="2:9" x14ac:dyDescent="0.25">
      <c r="B2565">
        <v>0</v>
      </c>
      <c r="C2565" s="16" t="s">
        <v>11834</v>
      </c>
      <c r="D2565" s="16"/>
      <c r="E2565">
        <v>6</v>
      </c>
      <c r="F2565" t="s">
        <v>4680</v>
      </c>
      <c r="G2565">
        <v>1</v>
      </c>
      <c r="H2565">
        <v>0</v>
      </c>
      <c r="I2565">
        <f>1</f>
        <v>1</v>
      </c>
    </row>
    <row r="2566" spans="2:9" x14ac:dyDescent="0.25">
      <c r="B2566">
        <v>0</v>
      </c>
      <c r="C2566" s="16" t="s">
        <v>11835</v>
      </c>
      <c r="D2566" s="16"/>
      <c r="E2566">
        <v>6</v>
      </c>
      <c r="F2566" t="s">
        <v>5751</v>
      </c>
      <c r="G2566">
        <v>1</v>
      </c>
      <c r="H2566">
        <v>0</v>
      </c>
      <c r="I2566">
        <f>1</f>
        <v>1</v>
      </c>
    </row>
    <row r="2567" spans="2:9" x14ac:dyDescent="0.25">
      <c r="B2567">
        <v>0</v>
      </c>
      <c r="C2567" s="16" t="s">
        <v>11836</v>
      </c>
      <c r="D2567" s="16"/>
      <c r="E2567">
        <v>6</v>
      </c>
      <c r="F2567" t="s">
        <v>5752</v>
      </c>
      <c r="G2567">
        <v>1</v>
      </c>
      <c r="H2567">
        <v>0</v>
      </c>
      <c r="I2567">
        <f>1</f>
        <v>1</v>
      </c>
    </row>
    <row r="2568" spans="2:9" x14ac:dyDescent="0.25">
      <c r="B2568">
        <v>0</v>
      </c>
      <c r="C2568" s="16" t="s">
        <v>11837</v>
      </c>
      <c r="D2568" s="16"/>
      <c r="E2568">
        <v>6</v>
      </c>
      <c r="F2568" t="s">
        <v>4680</v>
      </c>
      <c r="G2568">
        <v>1</v>
      </c>
      <c r="H2568">
        <v>0</v>
      </c>
      <c r="I2568">
        <f>1</f>
        <v>1</v>
      </c>
    </row>
    <row r="2569" spans="2:9" x14ac:dyDescent="0.25">
      <c r="B2569">
        <v>0</v>
      </c>
      <c r="C2569" s="16" t="s">
        <v>11838</v>
      </c>
      <c r="D2569" s="16"/>
      <c r="E2569">
        <v>6</v>
      </c>
      <c r="F2569" t="s">
        <v>5753</v>
      </c>
      <c r="G2569">
        <v>1</v>
      </c>
      <c r="H2569">
        <v>0</v>
      </c>
      <c r="I2569">
        <f>1</f>
        <v>1</v>
      </c>
    </row>
    <row r="2570" spans="2:9" x14ac:dyDescent="0.25">
      <c r="B2570">
        <v>0</v>
      </c>
      <c r="C2570" s="16" t="s">
        <v>11839</v>
      </c>
      <c r="D2570" s="16"/>
      <c r="E2570">
        <v>6</v>
      </c>
      <c r="F2570" t="s">
        <v>5754</v>
      </c>
      <c r="G2570">
        <v>1</v>
      </c>
      <c r="H2570">
        <v>0</v>
      </c>
      <c r="I2570">
        <f>1</f>
        <v>1</v>
      </c>
    </row>
    <row r="2571" spans="2:9" x14ac:dyDescent="0.25">
      <c r="B2571">
        <v>0</v>
      </c>
      <c r="C2571" s="16" t="s">
        <v>11840</v>
      </c>
      <c r="D2571" s="16"/>
      <c r="E2571">
        <v>6</v>
      </c>
      <c r="F2571" t="s">
        <v>5755</v>
      </c>
      <c r="G2571">
        <v>1</v>
      </c>
      <c r="H2571">
        <v>0</v>
      </c>
      <c r="I2571">
        <f>1</f>
        <v>1</v>
      </c>
    </row>
    <row r="2572" spans="2:9" x14ac:dyDescent="0.25">
      <c r="B2572">
        <v>0</v>
      </c>
      <c r="C2572" s="16" t="s">
        <v>11841</v>
      </c>
      <c r="D2572" s="16"/>
      <c r="E2572">
        <v>6</v>
      </c>
      <c r="F2572" t="s">
        <v>4680</v>
      </c>
      <c r="G2572">
        <v>1</v>
      </c>
      <c r="H2572">
        <v>0</v>
      </c>
      <c r="I2572">
        <f>1</f>
        <v>1</v>
      </c>
    </row>
    <row r="2573" spans="2:9" x14ac:dyDescent="0.25">
      <c r="B2573">
        <v>0</v>
      </c>
      <c r="C2573" s="16" t="s">
        <v>11842</v>
      </c>
      <c r="D2573" s="16"/>
      <c r="E2573">
        <v>6</v>
      </c>
      <c r="F2573" t="s">
        <v>5756</v>
      </c>
      <c r="G2573">
        <v>1</v>
      </c>
      <c r="H2573">
        <v>0</v>
      </c>
      <c r="I2573">
        <f>1</f>
        <v>1</v>
      </c>
    </row>
    <row r="2574" spans="2:9" x14ac:dyDescent="0.25">
      <c r="B2574">
        <v>0</v>
      </c>
      <c r="C2574" s="16" t="s">
        <v>11843</v>
      </c>
      <c r="D2574" s="16"/>
      <c r="E2574">
        <v>6</v>
      </c>
      <c r="F2574" t="s">
        <v>5757</v>
      </c>
      <c r="G2574">
        <v>1</v>
      </c>
      <c r="H2574">
        <v>0</v>
      </c>
      <c r="I2574">
        <f>1</f>
        <v>1</v>
      </c>
    </row>
    <row r="2575" spans="2:9" x14ac:dyDescent="0.25">
      <c r="B2575">
        <v>0</v>
      </c>
      <c r="C2575" s="16" t="s">
        <v>11844</v>
      </c>
      <c r="D2575" s="16"/>
      <c r="E2575">
        <v>6</v>
      </c>
      <c r="F2575" t="s">
        <v>4680</v>
      </c>
      <c r="G2575">
        <v>1</v>
      </c>
      <c r="H2575">
        <v>0</v>
      </c>
      <c r="I2575">
        <f>1</f>
        <v>1</v>
      </c>
    </row>
    <row r="2576" spans="2:9" x14ac:dyDescent="0.25">
      <c r="B2576">
        <v>0</v>
      </c>
      <c r="C2576" s="16" t="s">
        <v>11845</v>
      </c>
      <c r="D2576" s="16"/>
      <c r="E2576">
        <v>6</v>
      </c>
      <c r="F2576" t="s">
        <v>5663</v>
      </c>
      <c r="G2576">
        <v>1</v>
      </c>
      <c r="H2576">
        <v>0</v>
      </c>
      <c r="I2576">
        <f>1</f>
        <v>1</v>
      </c>
    </row>
    <row r="2577" spans="2:9" x14ac:dyDescent="0.25">
      <c r="B2577">
        <v>0</v>
      </c>
      <c r="C2577" s="16" t="s">
        <v>11846</v>
      </c>
      <c r="D2577" s="16"/>
      <c r="E2577">
        <v>6</v>
      </c>
      <c r="F2577" t="s">
        <v>4680</v>
      </c>
      <c r="G2577">
        <v>1</v>
      </c>
      <c r="H2577">
        <v>0</v>
      </c>
      <c r="I2577">
        <f>1</f>
        <v>1</v>
      </c>
    </row>
    <row r="2578" spans="2:9" x14ac:dyDescent="0.25">
      <c r="B2578">
        <v>0</v>
      </c>
      <c r="C2578" s="16" t="s">
        <v>11847</v>
      </c>
      <c r="D2578" s="16"/>
      <c r="E2578">
        <v>6</v>
      </c>
      <c r="F2578" t="s">
        <v>5758</v>
      </c>
      <c r="G2578">
        <v>1</v>
      </c>
      <c r="H2578">
        <v>0</v>
      </c>
      <c r="I2578">
        <f>1</f>
        <v>1</v>
      </c>
    </row>
    <row r="2579" spans="2:9" x14ac:dyDescent="0.25">
      <c r="B2579">
        <v>0</v>
      </c>
      <c r="C2579" s="16" t="s">
        <v>11848</v>
      </c>
      <c r="D2579" s="16"/>
      <c r="E2579">
        <v>6</v>
      </c>
      <c r="F2579" t="s">
        <v>5759</v>
      </c>
      <c r="G2579">
        <v>1</v>
      </c>
      <c r="H2579">
        <v>0</v>
      </c>
      <c r="I2579">
        <f>1</f>
        <v>1</v>
      </c>
    </row>
    <row r="2580" spans="2:9" x14ac:dyDescent="0.25">
      <c r="B2580">
        <v>0</v>
      </c>
      <c r="C2580" s="16" t="s">
        <v>11849</v>
      </c>
      <c r="D2580" s="16"/>
      <c r="E2580">
        <v>6</v>
      </c>
      <c r="F2580" t="s">
        <v>5760</v>
      </c>
      <c r="G2580">
        <v>1</v>
      </c>
      <c r="H2580">
        <v>0</v>
      </c>
      <c r="I2580">
        <f>1</f>
        <v>1</v>
      </c>
    </row>
    <row r="2581" spans="2:9" x14ac:dyDescent="0.25">
      <c r="B2581">
        <v>0</v>
      </c>
      <c r="C2581" s="16" t="s">
        <v>11850</v>
      </c>
      <c r="D2581" s="16"/>
      <c r="E2581">
        <v>6</v>
      </c>
      <c r="F2581" t="s">
        <v>5761</v>
      </c>
      <c r="G2581">
        <v>1</v>
      </c>
      <c r="H2581">
        <v>0</v>
      </c>
      <c r="I2581">
        <f>1</f>
        <v>1</v>
      </c>
    </row>
    <row r="2582" spans="2:9" x14ac:dyDescent="0.25">
      <c r="B2582">
        <v>0</v>
      </c>
      <c r="C2582" s="16" t="s">
        <v>11851</v>
      </c>
      <c r="D2582" s="16"/>
      <c r="E2582">
        <v>6</v>
      </c>
      <c r="F2582" t="s">
        <v>4680</v>
      </c>
      <c r="G2582">
        <v>1</v>
      </c>
      <c r="H2582">
        <v>0</v>
      </c>
      <c r="I2582">
        <f>1</f>
        <v>1</v>
      </c>
    </row>
    <row r="2583" spans="2:9" x14ac:dyDescent="0.25">
      <c r="B2583">
        <v>0</v>
      </c>
      <c r="C2583" s="16" t="s">
        <v>11852</v>
      </c>
      <c r="D2583" s="16"/>
      <c r="E2583">
        <v>6</v>
      </c>
      <c r="F2583" t="s">
        <v>4680</v>
      </c>
      <c r="G2583">
        <v>1</v>
      </c>
      <c r="H2583">
        <v>0</v>
      </c>
      <c r="I2583">
        <f>1</f>
        <v>1</v>
      </c>
    </row>
    <row r="2584" spans="2:9" x14ac:dyDescent="0.25">
      <c r="B2584">
        <v>0</v>
      </c>
      <c r="C2584" s="16" t="s">
        <v>11853</v>
      </c>
      <c r="D2584" s="16"/>
      <c r="E2584">
        <v>6</v>
      </c>
      <c r="F2584" t="s">
        <v>5762</v>
      </c>
      <c r="G2584">
        <v>1</v>
      </c>
      <c r="H2584">
        <v>0</v>
      </c>
      <c r="I2584">
        <f>1</f>
        <v>1</v>
      </c>
    </row>
    <row r="2585" spans="2:9" x14ac:dyDescent="0.25">
      <c r="B2585">
        <v>0</v>
      </c>
      <c r="C2585" s="16" t="s">
        <v>11854</v>
      </c>
      <c r="D2585" s="16"/>
      <c r="E2585">
        <v>6</v>
      </c>
      <c r="F2585" t="s">
        <v>5641</v>
      </c>
      <c r="G2585">
        <v>1</v>
      </c>
      <c r="H2585">
        <v>0</v>
      </c>
      <c r="I2585">
        <f>1</f>
        <v>1</v>
      </c>
    </row>
    <row r="2586" spans="2:9" x14ac:dyDescent="0.25">
      <c r="B2586">
        <v>0</v>
      </c>
      <c r="C2586" s="16" t="s">
        <v>11855</v>
      </c>
      <c r="D2586" s="16"/>
      <c r="E2586">
        <v>6</v>
      </c>
      <c r="F2586" t="s">
        <v>5763</v>
      </c>
      <c r="G2586">
        <v>1</v>
      </c>
      <c r="H2586">
        <v>0</v>
      </c>
      <c r="I2586">
        <f>1</f>
        <v>1</v>
      </c>
    </row>
    <row r="2587" spans="2:9" x14ac:dyDescent="0.25">
      <c r="B2587">
        <v>0</v>
      </c>
      <c r="C2587" s="16" t="s">
        <v>11856</v>
      </c>
      <c r="D2587" s="16"/>
      <c r="E2587">
        <v>6</v>
      </c>
      <c r="F2587" t="s">
        <v>5764</v>
      </c>
      <c r="G2587">
        <v>1</v>
      </c>
      <c r="H2587">
        <v>0</v>
      </c>
      <c r="I2587">
        <f>1</f>
        <v>1</v>
      </c>
    </row>
    <row r="2588" spans="2:9" x14ac:dyDescent="0.25">
      <c r="B2588">
        <v>0</v>
      </c>
      <c r="C2588" s="16" t="s">
        <v>11857</v>
      </c>
      <c r="D2588" s="16"/>
      <c r="E2588">
        <v>6</v>
      </c>
      <c r="F2588" t="s">
        <v>5765</v>
      </c>
      <c r="G2588">
        <v>1</v>
      </c>
      <c r="H2588">
        <v>0</v>
      </c>
      <c r="I2588">
        <f>1</f>
        <v>1</v>
      </c>
    </row>
    <row r="2589" spans="2:9" x14ac:dyDescent="0.25">
      <c r="B2589">
        <v>0</v>
      </c>
      <c r="C2589" s="16" t="s">
        <v>11858</v>
      </c>
      <c r="D2589" s="16"/>
      <c r="E2589">
        <v>6</v>
      </c>
      <c r="F2589" t="s">
        <v>4680</v>
      </c>
      <c r="G2589">
        <v>1</v>
      </c>
      <c r="H2589">
        <v>0</v>
      </c>
      <c r="I2589">
        <f>1</f>
        <v>1</v>
      </c>
    </row>
    <row r="2590" spans="2:9" x14ac:dyDescent="0.25">
      <c r="B2590">
        <v>0</v>
      </c>
      <c r="C2590" s="16" t="s">
        <v>11859</v>
      </c>
      <c r="D2590" s="16"/>
      <c r="E2590">
        <v>6</v>
      </c>
      <c r="F2590" t="s">
        <v>5766</v>
      </c>
      <c r="G2590">
        <v>1</v>
      </c>
      <c r="H2590">
        <v>0</v>
      </c>
      <c r="I2590">
        <f>1</f>
        <v>1</v>
      </c>
    </row>
    <row r="2591" spans="2:9" x14ac:dyDescent="0.25">
      <c r="B2591">
        <v>0</v>
      </c>
      <c r="C2591" s="16" t="s">
        <v>11860</v>
      </c>
      <c r="D2591" s="16"/>
      <c r="E2591">
        <v>6</v>
      </c>
      <c r="F2591" t="s">
        <v>5767</v>
      </c>
      <c r="G2591">
        <v>1</v>
      </c>
      <c r="H2591">
        <v>0</v>
      </c>
      <c r="I2591">
        <f>1</f>
        <v>1</v>
      </c>
    </row>
    <row r="2592" spans="2:9" x14ac:dyDescent="0.25">
      <c r="B2592">
        <v>0</v>
      </c>
      <c r="C2592" s="16" t="s">
        <v>11861</v>
      </c>
      <c r="D2592" s="16"/>
      <c r="E2592">
        <v>6</v>
      </c>
      <c r="F2592" t="s">
        <v>4680</v>
      </c>
      <c r="G2592">
        <v>1</v>
      </c>
      <c r="H2592">
        <v>0</v>
      </c>
      <c r="I2592">
        <f>1</f>
        <v>1</v>
      </c>
    </row>
    <row r="2593" spans="2:9" x14ac:dyDescent="0.25">
      <c r="B2593">
        <v>0</v>
      </c>
      <c r="C2593" s="16" t="s">
        <v>11862</v>
      </c>
      <c r="D2593" s="16"/>
      <c r="E2593">
        <v>6</v>
      </c>
      <c r="F2593" t="s">
        <v>5768</v>
      </c>
      <c r="G2593">
        <v>1</v>
      </c>
      <c r="H2593">
        <v>0</v>
      </c>
      <c r="I2593">
        <f>1</f>
        <v>1</v>
      </c>
    </row>
    <row r="2594" spans="2:9" x14ac:dyDescent="0.25">
      <c r="B2594">
        <v>0</v>
      </c>
      <c r="C2594" s="16" t="s">
        <v>11863</v>
      </c>
      <c r="D2594" s="16"/>
      <c r="E2594">
        <v>6</v>
      </c>
      <c r="F2594" t="s">
        <v>5769</v>
      </c>
      <c r="G2594">
        <v>1</v>
      </c>
      <c r="H2594">
        <v>0</v>
      </c>
      <c r="I2594">
        <f>1</f>
        <v>1</v>
      </c>
    </row>
    <row r="2595" spans="2:9" x14ac:dyDescent="0.25">
      <c r="B2595">
        <v>0</v>
      </c>
      <c r="C2595" s="16" t="s">
        <v>11864</v>
      </c>
      <c r="D2595" s="16"/>
      <c r="E2595">
        <v>6</v>
      </c>
      <c r="F2595" t="s">
        <v>5770</v>
      </c>
      <c r="G2595">
        <v>1</v>
      </c>
      <c r="H2595">
        <v>0</v>
      </c>
      <c r="I2595">
        <f>1</f>
        <v>1</v>
      </c>
    </row>
    <row r="2596" spans="2:9" x14ac:dyDescent="0.25">
      <c r="B2596">
        <v>0</v>
      </c>
      <c r="C2596" s="16" t="s">
        <v>11865</v>
      </c>
      <c r="D2596" s="16"/>
      <c r="E2596">
        <v>6</v>
      </c>
      <c r="F2596" t="s">
        <v>5771</v>
      </c>
      <c r="G2596">
        <v>1</v>
      </c>
      <c r="H2596">
        <v>0</v>
      </c>
      <c r="I2596">
        <f>1</f>
        <v>1</v>
      </c>
    </row>
    <row r="2597" spans="2:9" x14ac:dyDescent="0.25">
      <c r="B2597">
        <v>0</v>
      </c>
      <c r="C2597" s="16" t="s">
        <v>11866</v>
      </c>
      <c r="D2597" s="16"/>
      <c r="E2597">
        <v>6</v>
      </c>
      <c r="F2597" t="s">
        <v>5772</v>
      </c>
      <c r="G2597">
        <v>1</v>
      </c>
      <c r="H2597">
        <v>0</v>
      </c>
      <c r="I2597">
        <f>1</f>
        <v>1</v>
      </c>
    </row>
    <row r="2598" spans="2:9" x14ac:dyDescent="0.25">
      <c r="B2598">
        <v>0</v>
      </c>
      <c r="C2598" s="16" t="s">
        <v>11867</v>
      </c>
      <c r="D2598" s="16"/>
      <c r="E2598">
        <v>6</v>
      </c>
      <c r="F2598" t="s">
        <v>4680</v>
      </c>
      <c r="G2598">
        <v>1</v>
      </c>
      <c r="H2598">
        <v>0</v>
      </c>
      <c r="I2598">
        <f>1</f>
        <v>1</v>
      </c>
    </row>
    <row r="2599" spans="2:9" x14ac:dyDescent="0.25">
      <c r="B2599">
        <v>0</v>
      </c>
      <c r="C2599" s="16" t="s">
        <v>11868</v>
      </c>
      <c r="D2599" s="16"/>
      <c r="E2599">
        <v>6</v>
      </c>
      <c r="F2599" t="s">
        <v>5773</v>
      </c>
      <c r="G2599">
        <v>1</v>
      </c>
      <c r="H2599">
        <v>0</v>
      </c>
      <c r="I2599">
        <f>1</f>
        <v>1</v>
      </c>
    </row>
    <row r="2600" spans="2:9" x14ac:dyDescent="0.25">
      <c r="B2600">
        <v>0</v>
      </c>
      <c r="C2600" s="16" t="s">
        <v>11869</v>
      </c>
      <c r="D2600" s="16"/>
      <c r="E2600">
        <v>6</v>
      </c>
      <c r="F2600" t="s">
        <v>5774</v>
      </c>
      <c r="G2600">
        <v>1</v>
      </c>
      <c r="H2600">
        <v>0</v>
      </c>
      <c r="I2600">
        <f>1</f>
        <v>1</v>
      </c>
    </row>
    <row r="2601" spans="2:9" x14ac:dyDescent="0.25">
      <c r="B2601">
        <v>0</v>
      </c>
      <c r="C2601" s="16" t="s">
        <v>11870</v>
      </c>
      <c r="D2601" s="16"/>
      <c r="E2601">
        <v>6</v>
      </c>
      <c r="F2601" t="s">
        <v>5775</v>
      </c>
      <c r="G2601">
        <v>1</v>
      </c>
      <c r="H2601">
        <v>0</v>
      </c>
      <c r="I2601">
        <f>1</f>
        <v>1</v>
      </c>
    </row>
    <row r="2602" spans="2:9" x14ac:dyDescent="0.25">
      <c r="B2602">
        <v>0</v>
      </c>
      <c r="C2602" s="16" t="s">
        <v>11871</v>
      </c>
      <c r="D2602" s="16"/>
      <c r="E2602">
        <v>6</v>
      </c>
      <c r="F2602" t="s">
        <v>5776</v>
      </c>
      <c r="G2602">
        <v>1</v>
      </c>
      <c r="H2602">
        <v>0</v>
      </c>
      <c r="I2602">
        <f>1</f>
        <v>1</v>
      </c>
    </row>
    <row r="2603" spans="2:9" x14ac:dyDescent="0.25">
      <c r="B2603">
        <v>0</v>
      </c>
      <c r="C2603" s="16" t="s">
        <v>11872</v>
      </c>
      <c r="D2603" s="16"/>
      <c r="E2603">
        <v>6</v>
      </c>
      <c r="F2603" t="s">
        <v>4680</v>
      </c>
      <c r="G2603">
        <v>1</v>
      </c>
      <c r="H2603">
        <v>0</v>
      </c>
      <c r="I2603">
        <f>1</f>
        <v>1</v>
      </c>
    </row>
    <row r="2604" spans="2:9" x14ac:dyDescent="0.25">
      <c r="B2604">
        <v>0</v>
      </c>
      <c r="C2604" s="16" t="s">
        <v>11873</v>
      </c>
      <c r="D2604" s="16"/>
      <c r="E2604">
        <v>6</v>
      </c>
      <c r="F2604" t="s">
        <v>5777</v>
      </c>
      <c r="G2604">
        <v>1</v>
      </c>
      <c r="H2604">
        <v>0</v>
      </c>
      <c r="I2604">
        <f>1</f>
        <v>1</v>
      </c>
    </row>
    <row r="2605" spans="2:9" x14ac:dyDescent="0.25">
      <c r="B2605">
        <v>0</v>
      </c>
      <c r="C2605" s="16" t="s">
        <v>11874</v>
      </c>
      <c r="D2605" s="16"/>
      <c r="E2605">
        <v>6</v>
      </c>
      <c r="F2605" t="s">
        <v>4680</v>
      </c>
      <c r="G2605">
        <v>1</v>
      </c>
      <c r="H2605">
        <v>0</v>
      </c>
      <c r="I2605">
        <f>1</f>
        <v>1</v>
      </c>
    </row>
    <row r="2606" spans="2:9" x14ac:dyDescent="0.25">
      <c r="B2606">
        <v>0</v>
      </c>
      <c r="C2606" s="16" t="s">
        <v>11875</v>
      </c>
      <c r="D2606" s="16"/>
      <c r="E2606">
        <v>6</v>
      </c>
      <c r="F2606" t="s">
        <v>5778</v>
      </c>
      <c r="G2606">
        <v>1</v>
      </c>
      <c r="H2606">
        <v>0</v>
      </c>
      <c r="I2606">
        <f>1</f>
        <v>1</v>
      </c>
    </row>
    <row r="2607" spans="2:9" x14ac:dyDescent="0.25">
      <c r="B2607">
        <v>0</v>
      </c>
      <c r="C2607" s="16" t="s">
        <v>11876</v>
      </c>
      <c r="D2607" s="16"/>
      <c r="E2607">
        <v>6</v>
      </c>
      <c r="F2607" t="s">
        <v>4690</v>
      </c>
      <c r="G2607">
        <v>1</v>
      </c>
      <c r="H2607">
        <v>0</v>
      </c>
      <c r="I2607">
        <f>1</f>
        <v>1</v>
      </c>
    </row>
    <row r="2608" spans="2:9" x14ac:dyDescent="0.25">
      <c r="B2608">
        <v>0</v>
      </c>
      <c r="C2608" s="16" t="s">
        <v>11877</v>
      </c>
      <c r="D2608" s="16"/>
      <c r="E2608">
        <v>6</v>
      </c>
      <c r="F2608" t="s">
        <v>5779</v>
      </c>
      <c r="G2608">
        <v>1</v>
      </c>
      <c r="H2608">
        <v>0</v>
      </c>
      <c r="I2608">
        <f>1</f>
        <v>1</v>
      </c>
    </row>
    <row r="2609" spans="2:9" x14ac:dyDescent="0.25">
      <c r="B2609">
        <v>0</v>
      </c>
      <c r="C2609" s="16" t="s">
        <v>11878</v>
      </c>
      <c r="D2609" s="16"/>
      <c r="E2609">
        <v>6</v>
      </c>
      <c r="F2609" t="s">
        <v>5780</v>
      </c>
      <c r="G2609">
        <v>1</v>
      </c>
      <c r="H2609">
        <v>0</v>
      </c>
      <c r="I2609">
        <f>1</f>
        <v>1</v>
      </c>
    </row>
    <row r="2610" spans="2:9" x14ac:dyDescent="0.25">
      <c r="B2610">
        <v>0</v>
      </c>
      <c r="C2610" s="16" t="s">
        <v>11879</v>
      </c>
      <c r="D2610" s="16"/>
      <c r="E2610">
        <v>6</v>
      </c>
      <c r="F2610" t="s">
        <v>5781</v>
      </c>
      <c r="G2610">
        <v>1</v>
      </c>
      <c r="H2610">
        <v>0</v>
      </c>
      <c r="I2610">
        <f>1</f>
        <v>1</v>
      </c>
    </row>
    <row r="2611" spans="2:9" x14ac:dyDescent="0.25">
      <c r="B2611">
        <v>0</v>
      </c>
      <c r="C2611" s="16" t="s">
        <v>11880</v>
      </c>
      <c r="D2611" s="16"/>
      <c r="E2611">
        <v>6</v>
      </c>
      <c r="F2611" t="s">
        <v>4680</v>
      </c>
      <c r="G2611">
        <v>1</v>
      </c>
      <c r="H2611">
        <v>0</v>
      </c>
      <c r="I2611">
        <f>1</f>
        <v>1</v>
      </c>
    </row>
    <row r="2612" spans="2:9" x14ac:dyDescent="0.25">
      <c r="B2612">
        <v>0</v>
      </c>
      <c r="C2612" s="16" t="s">
        <v>11881</v>
      </c>
      <c r="D2612" s="16"/>
      <c r="E2612">
        <v>6</v>
      </c>
      <c r="F2612" t="e">
        <f>--Etilenodiamina e seus sais</f>
        <v>#NAME?</v>
      </c>
      <c r="G2612">
        <v>1</v>
      </c>
      <c r="H2612">
        <v>0</v>
      </c>
      <c r="I2612">
        <f>1</f>
        <v>1</v>
      </c>
    </row>
    <row r="2613" spans="2:9" x14ac:dyDescent="0.25">
      <c r="B2613">
        <v>0</v>
      </c>
      <c r="C2613" s="16" t="s">
        <v>11882</v>
      </c>
      <c r="D2613" s="16"/>
      <c r="E2613">
        <v>6</v>
      </c>
      <c r="F2613" t="e">
        <f>--Hexametilenodiamina e seus sais</f>
        <v>#NAME?</v>
      </c>
      <c r="G2613">
        <v>1</v>
      </c>
      <c r="H2613">
        <v>0</v>
      </c>
      <c r="I2613">
        <f>1</f>
        <v>1</v>
      </c>
    </row>
    <row r="2614" spans="2:9" x14ac:dyDescent="0.25">
      <c r="B2614">
        <v>0</v>
      </c>
      <c r="C2614" s="16" t="s">
        <v>11883</v>
      </c>
      <c r="D2614" s="16"/>
      <c r="E2614">
        <v>6</v>
      </c>
      <c r="F2614" t="s">
        <v>5782</v>
      </c>
      <c r="G2614">
        <v>1</v>
      </c>
      <c r="H2614">
        <v>0</v>
      </c>
      <c r="I2614">
        <f>1</f>
        <v>1</v>
      </c>
    </row>
    <row r="2615" spans="2:9" x14ac:dyDescent="0.25">
      <c r="B2615">
        <v>0</v>
      </c>
      <c r="C2615" s="16" t="s">
        <v>11884</v>
      </c>
      <c r="D2615" s="16"/>
      <c r="E2615">
        <v>6</v>
      </c>
      <c r="F2615" t="s">
        <v>5783</v>
      </c>
      <c r="G2615">
        <v>1</v>
      </c>
      <c r="H2615">
        <v>0</v>
      </c>
      <c r="I2615">
        <f>1</f>
        <v>1</v>
      </c>
    </row>
    <row r="2616" spans="2:9" x14ac:dyDescent="0.25">
      <c r="B2616">
        <v>0</v>
      </c>
      <c r="C2616" s="16" t="s">
        <v>11885</v>
      </c>
      <c r="D2616" s="16"/>
      <c r="E2616">
        <v>6</v>
      </c>
      <c r="F2616" t="s">
        <v>4680</v>
      </c>
      <c r="G2616">
        <v>1</v>
      </c>
      <c r="H2616">
        <v>0</v>
      </c>
      <c r="I2616">
        <f>1</f>
        <v>1</v>
      </c>
    </row>
    <row r="2617" spans="2:9" x14ac:dyDescent="0.25">
      <c r="B2617">
        <v>0</v>
      </c>
      <c r="C2617" s="16" t="s">
        <v>11886</v>
      </c>
      <c r="D2617" s="16"/>
      <c r="E2617">
        <v>6</v>
      </c>
      <c r="F2617" t="s">
        <v>5784</v>
      </c>
      <c r="G2617">
        <v>1</v>
      </c>
      <c r="H2617">
        <v>0</v>
      </c>
      <c r="I2617">
        <f>1</f>
        <v>1</v>
      </c>
    </row>
    <row r="2618" spans="2:9" x14ac:dyDescent="0.25">
      <c r="B2618">
        <v>0</v>
      </c>
      <c r="C2618" s="16" t="s">
        <v>11887</v>
      </c>
      <c r="D2618" s="16"/>
      <c r="E2618">
        <v>6</v>
      </c>
      <c r="F2618" t="s">
        <v>5785</v>
      </c>
      <c r="G2618">
        <v>1</v>
      </c>
      <c r="H2618">
        <v>0</v>
      </c>
      <c r="I2618">
        <f>1</f>
        <v>1</v>
      </c>
    </row>
    <row r="2619" spans="2:9" x14ac:dyDescent="0.25">
      <c r="B2619">
        <v>0</v>
      </c>
      <c r="C2619" s="16" t="s">
        <v>11888</v>
      </c>
      <c r="D2619" s="16"/>
      <c r="E2619">
        <v>6</v>
      </c>
      <c r="F2619" t="s">
        <v>4680</v>
      </c>
      <c r="G2619">
        <v>1</v>
      </c>
      <c r="H2619">
        <v>0</v>
      </c>
      <c r="I2619">
        <f>1</f>
        <v>1</v>
      </c>
    </row>
    <row r="2620" spans="2:9" x14ac:dyDescent="0.25">
      <c r="B2620">
        <v>0</v>
      </c>
      <c r="C2620" s="16" t="s">
        <v>11889</v>
      </c>
      <c r="D2620" s="16"/>
      <c r="E2620">
        <v>6</v>
      </c>
      <c r="F2620" t="s">
        <v>5786</v>
      </c>
      <c r="G2620">
        <v>1</v>
      </c>
      <c r="H2620">
        <v>0</v>
      </c>
      <c r="I2620">
        <f>1</f>
        <v>1</v>
      </c>
    </row>
    <row r="2621" spans="2:9" x14ac:dyDescent="0.25">
      <c r="B2621">
        <v>0</v>
      </c>
      <c r="C2621" s="16" t="s">
        <v>11890</v>
      </c>
      <c r="D2621" s="16"/>
      <c r="E2621">
        <v>6</v>
      </c>
      <c r="F2621" t="s">
        <v>4680</v>
      </c>
      <c r="G2621">
        <v>1</v>
      </c>
      <c r="H2621">
        <v>0</v>
      </c>
      <c r="I2621">
        <f>1</f>
        <v>1</v>
      </c>
    </row>
    <row r="2622" spans="2:9" x14ac:dyDescent="0.25">
      <c r="B2622">
        <v>0</v>
      </c>
      <c r="C2622" s="16" t="s">
        <v>11891</v>
      </c>
      <c r="D2622" s="16"/>
      <c r="E2622">
        <v>6</v>
      </c>
      <c r="F2622" t="e">
        <f>--Anilina e seus sais</f>
        <v>#NAME?</v>
      </c>
      <c r="G2622">
        <v>1</v>
      </c>
      <c r="H2622">
        <v>0</v>
      </c>
      <c r="I2622">
        <f>1</f>
        <v>1</v>
      </c>
    </row>
    <row r="2623" spans="2:9" x14ac:dyDescent="0.25">
      <c r="B2623">
        <v>0</v>
      </c>
      <c r="C2623" s="16" t="s">
        <v>11892</v>
      </c>
      <c r="D2623" s="16"/>
      <c r="E2623">
        <v>6</v>
      </c>
      <c r="F2623" t="s">
        <v>5787</v>
      </c>
      <c r="G2623">
        <v>1</v>
      </c>
      <c r="H2623">
        <v>0</v>
      </c>
      <c r="I2623">
        <f>1</f>
        <v>1</v>
      </c>
    </row>
    <row r="2624" spans="2:9" x14ac:dyDescent="0.25">
      <c r="B2624">
        <v>0</v>
      </c>
      <c r="C2624" s="16" t="s">
        <v>11893</v>
      </c>
      <c r="D2624" s="16"/>
      <c r="E2624">
        <v>6</v>
      </c>
      <c r="F2624" t="s">
        <v>4680</v>
      </c>
      <c r="G2624">
        <v>1</v>
      </c>
      <c r="H2624">
        <v>0</v>
      </c>
      <c r="I2624">
        <f>1</f>
        <v>1</v>
      </c>
    </row>
    <row r="2625" spans="2:9" x14ac:dyDescent="0.25">
      <c r="B2625">
        <v>0</v>
      </c>
      <c r="C2625" s="16" t="s">
        <v>11894</v>
      </c>
      <c r="D2625" s="16"/>
      <c r="E2625">
        <v>6</v>
      </c>
      <c r="F2625" t="s">
        <v>5788</v>
      </c>
      <c r="G2625">
        <v>1</v>
      </c>
      <c r="H2625">
        <v>0</v>
      </c>
      <c r="I2625">
        <f>1</f>
        <v>1</v>
      </c>
    </row>
    <row r="2626" spans="2:9" x14ac:dyDescent="0.25">
      <c r="B2626">
        <v>0</v>
      </c>
      <c r="C2626" s="16" t="s">
        <v>11895</v>
      </c>
      <c r="D2626" s="16"/>
      <c r="E2626">
        <v>6</v>
      </c>
      <c r="F2626" t="s">
        <v>4680</v>
      </c>
      <c r="G2626">
        <v>1</v>
      </c>
      <c r="H2626">
        <v>0</v>
      </c>
      <c r="I2626">
        <f>1</f>
        <v>1</v>
      </c>
    </row>
    <row r="2627" spans="2:9" x14ac:dyDescent="0.25">
      <c r="B2627">
        <v>0</v>
      </c>
      <c r="C2627" s="16" t="s">
        <v>11896</v>
      </c>
      <c r="D2627" s="16"/>
      <c r="E2627">
        <v>6</v>
      </c>
      <c r="F2627" t="s">
        <v>5789</v>
      </c>
      <c r="G2627">
        <v>1</v>
      </c>
      <c r="H2627">
        <v>0</v>
      </c>
      <c r="I2627">
        <f>1</f>
        <v>1</v>
      </c>
    </row>
    <row r="2628" spans="2:9" x14ac:dyDescent="0.25">
      <c r="B2628">
        <v>0</v>
      </c>
      <c r="C2628" s="16" t="s">
        <v>11897</v>
      </c>
      <c r="D2628" s="16"/>
      <c r="E2628">
        <v>6</v>
      </c>
      <c r="F2628" t="s">
        <v>4680</v>
      </c>
      <c r="G2628">
        <v>1</v>
      </c>
      <c r="H2628">
        <v>0</v>
      </c>
      <c r="I2628">
        <f>1</f>
        <v>1</v>
      </c>
    </row>
    <row r="2629" spans="2:9" x14ac:dyDescent="0.25">
      <c r="B2629">
        <v>0</v>
      </c>
      <c r="C2629" s="16" t="s">
        <v>11898</v>
      </c>
      <c r="D2629" s="16"/>
      <c r="E2629">
        <v>6</v>
      </c>
      <c r="F2629" t="s">
        <v>5790</v>
      </c>
      <c r="G2629">
        <v>1</v>
      </c>
      <c r="H2629">
        <v>0</v>
      </c>
      <c r="I2629">
        <f>1</f>
        <v>1</v>
      </c>
    </row>
    <row r="2630" spans="2:9" x14ac:dyDescent="0.25">
      <c r="B2630">
        <v>0</v>
      </c>
      <c r="C2630" s="16" t="s">
        <v>11899</v>
      </c>
      <c r="D2630" s="16"/>
      <c r="E2630">
        <v>6</v>
      </c>
      <c r="F2630" t="s">
        <v>4680</v>
      </c>
      <c r="G2630">
        <v>1</v>
      </c>
      <c r="H2630">
        <v>0</v>
      </c>
      <c r="I2630">
        <f>1</f>
        <v>1</v>
      </c>
    </row>
    <row r="2631" spans="2:9" x14ac:dyDescent="0.25">
      <c r="B2631">
        <v>0</v>
      </c>
      <c r="C2631" s="16" t="s">
        <v>11900</v>
      </c>
      <c r="D2631" s="16"/>
      <c r="E2631">
        <v>6</v>
      </c>
      <c r="F2631" t="s">
        <v>4680</v>
      </c>
      <c r="G2631">
        <v>1</v>
      </c>
      <c r="H2631">
        <v>0</v>
      </c>
      <c r="I2631">
        <f>1</f>
        <v>1</v>
      </c>
    </row>
    <row r="2632" spans="2:9" x14ac:dyDescent="0.25">
      <c r="B2632">
        <v>0</v>
      </c>
      <c r="C2632" s="16" t="s">
        <v>11901</v>
      </c>
      <c r="D2632" s="16"/>
      <c r="E2632">
        <v>6</v>
      </c>
      <c r="F2632" t="s">
        <v>5791</v>
      </c>
      <c r="G2632">
        <v>1</v>
      </c>
      <c r="H2632">
        <v>0</v>
      </c>
      <c r="I2632">
        <f>1</f>
        <v>1</v>
      </c>
    </row>
    <row r="2633" spans="2:9" x14ac:dyDescent="0.25">
      <c r="B2633">
        <v>0</v>
      </c>
      <c r="C2633" s="16" t="s">
        <v>11902</v>
      </c>
      <c r="D2633" s="16"/>
      <c r="E2633">
        <v>6</v>
      </c>
      <c r="F2633" t="s">
        <v>4680</v>
      </c>
      <c r="G2633">
        <v>1</v>
      </c>
      <c r="H2633">
        <v>0</v>
      </c>
      <c r="I2633">
        <f>1</f>
        <v>1</v>
      </c>
    </row>
    <row r="2634" spans="2:9" x14ac:dyDescent="0.25">
      <c r="B2634">
        <v>0</v>
      </c>
      <c r="C2634" s="16" t="s">
        <v>11903</v>
      </c>
      <c r="D2634" s="16"/>
      <c r="E2634">
        <v>6</v>
      </c>
      <c r="F2634" t="s">
        <v>5792</v>
      </c>
      <c r="G2634">
        <v>1</v>
      </c>
      <c r="H2634">
        <v>0</v>
      </c>
      <c r="I2634">
        <f>1</f>
        <v>1</v>
      </c>
    </row>
    <row r="2635" spans="2:9" x14ac:dyDescent="0.25">
      <c r="B2635">
        <v>0</v>
      </c>
      <c r="C2635" s="16" t="s">
        <v>11904</v>
      </c>
      <c r="D2635" s="16"/>
      <c r="E2635">
        <v>6</v>
      </c>
      <c r="F2635" t="s">
        <v>5793</v>
      </c>
      <c r="G2635">
        <v>1</v>
      </c>
      <c r="H2635">
        <v>0</v>
      </c>
      <c r="I2635">
        <f>1</f>
        <v>1</v>
      </c>
    </row>
    <row r="2636" spans="2:9" x14ac:dyDescent="0.25">
      <c r="B2636">
        <v>0</v>
      </c>
      <c r="C2636" s="16" t="s">
        <v>11905</v>
      </c>
      <c r="D2636" s="16"/>
      <c r="E2636">
        <v>6</v>
      </c>
      <c r="F2636" t="s">
        <v>5794</v>
      </c>
      <c r="G2636">
        <v>1</v>
      </c>
      <c r="H2636">
        <v>0</v>
      </c>
      <c r="I2636">
        <f>1</f>
        <v>1</v>
      </c>
    </row>
    <row r="2637" spans="2:9" x14ac:dyDescent="0.25">
      <c r="B2637">
        <v>0</v>
      </c>
      <c r="C2637" s="16" t="s">
        <v>11906</v>
      </c>
      <c r="D2637" s="16"/>
      <c r="E2637">
        <v>6</v>
      </c>
      <c r="F2637" t="s">
        <v>4680</v>
      </c>
      <c r="G2637">
        <v>1</v>
      </c>
      <c r="H2637">
        <v>0</v>
      </c>
      <c r="I2637">
        <f>1</f>
        <v>1</v>
      </c>
    </row>
    <row r="2638" spans="2:9" x14ac:dyDescent="0.25">
      <c r="B2638">
        <v>0</v>
      </c>
      <c r="C2638" s="16" t="s">
        <v>11907</v>
      </c>
      <c r="D2638" s="16"/>
      <c r="E2638">
        <v>6</v>
      </c>
      <c r="F2638" t="s">
        <v>5795</v>
      </c>
      <c r="G2638">
        <v>1</v>
      </c>
      <c r="H2638">
        <v>0</v>
      </c>
      <c r="I2638">
        <f>1</f>
        <v>1</v>
      </c>
    </row>
    <row r="2639" spans="2:9" x14ac:dyDescent="0.25">
      <c r="B2639">
        <v>0</v>
      </c>
      <c r="C2639" s="16" t="s">
        <v>11908</v>
      </c>
      <c r="D2639" s="16"/>
      <c r="E2639">
        <v>6</v>
      </c>
      <c r="F2639" t="s">
        <v>5796</v>
      </c>
      <c r="G2639">
        <v>1</v>
      </c>
      <c r="H2639">
        <v>0</v>
      </c>
      <c r="I2639">
        <f>1</f>
        <v>1</v>
      </c>
    </row>
    <row r="2640" spans="2:9" x14ac:dyDescent="0.25">
      <c r="B2640">
        <v>0</v>
      </c>
      <c r="C2640" s="16" t="s">
        <v>11909</v>
      </c>
      <c r="D2640" s="16"/>
      <c r="E2640">
        <v>6</v>
      </c>
      <c r="F2640" t="s">
        <v>5797</v>
      </c>
      <c r="G2640">
        <v>1</v>
      </c>
      <c r="H2640">
        <v>0</v>
      </c>
      <c r="I2640">
        <f>1</f>
        <v>1</v>
      </c>
    </row>
    <row r="2641" spans="2:9" x14ac:dyDescent="0.25">
      <c r="B2641">
        <v>0</v>
      </c>
      <c r="C2641" s="16" t="s">
        <v>11910</v>
      </c>
      <c r="D2641" s="16"/>
      <c r="E2641">
        <v>6</v>
      </c>
      <c r="F2641" t="s">
        <v>4680</v>
      </c>
      <c r="G2641">
        <v>1</v>
      </c>
      <c r="H2641">
        <v>0</v>
      </c>
      <c r="I2641">
        <f>1</f>
        <v>1</v>
      </c>
    </row>
    <row r="2642" spans="2:9" x14ac:dyDescent="0.25">
      <c r="B2642">
        <v>0</v>
      </c>
      <c r="C2642" s="16" t="s">
        <v>11911</v>
      </c>
      <c r="D2642" s="16"/>
      <c r="E2642">
        <v>6</v>
      </c>
      <c r="F2642" t="s">
        <v>5798</v>
      </c>
      <c r="G2642">
        <v>1</v>
      </c>
      <c r="H2642">
        <v>0</v>
      </c>
      <c r="I2642">
        <f>1</f>
        <v>1</v>
      </c>
    </row>
    <row r="2643" spans="2:9" x14ac:dyDescent="0.25">
      <c r="B2643">
        <v>0</v>
      </c>
      <c r="C2643" s="16" t="s">
        <v>11912</v>
      </c>
      <c r="D2643" s="16"/>
      <c r="E2643">
        <v>6</v>
      </c>
      <c r="F2643" t="s">
        <v>5799</v>
      </c>
      <c r="G2643">
        <v>1</v>
      </c>
      <c r="H2643">
        <v>0</v>
      </c>
      <c r="I2643">
        <f>1</f>
        <v>1</v>
      </c>
    </row>
    <row r="2644" spans="2:9" x14ac:dyDescent="0.25">
      <c r="B2644">
        <v>0</v>
      </c>
      <c r="C2644" s="16" t="s">
        <v>11913</v>
      </c>
      <c r="D2644" s="16"/>
      <c r="E2644">
        <v>6</v>
      </c>
      <c r="F2644" t="s">
        <v>5800</v>
      </c>
      <c r="G2644">
        <v>1</v>
      </c>
      <c r="H2644">
        <v>0</v>
      </c>
      <c r="I2644">
        <f>1</f>
        <v>1</v>
      </c>
    </row>
    <row r="2645" spans="2:9" x14ac:dyDescent="0.25">
      <c r="B2645">
        <v>0</v>
      </c>
      <c r="C2645" s="16" t="s">
        <v>11914</v>
      </c>
      <c r="D2645" s="16"/>
      <c r="E2645">
        <v>6</v>
      </c>
      <c r="F2645" t="s">
        <v>5801</v>
      </c>
      <c r="G2645">
        <v>1</v>
      </c>
      <c r="H2645">
        <v>0</v>
      </c>
      <c r="I2645">
        <f>1</f>
        <v>1</v>
      </c>
    </row>
    <row r="2646" spans="2:9" x14ac:dyDescent="0.25">
      <c r="B2646">
        <v>0</v>
      </c>
      <c r="C2646" s="16" t="s">
        <v>11915</v>
      </c>
      <c r="D2646" s="16"/>
      <c r="E2646">
        <v>6</v>
      </c>
      <c r="F2646" t="s">
        <v>5802</v>
      </c>
      <c r="G2646">
        <v>1</v>
      </c>
      <c r="H2646">
        <v>0</v>
      </c>
      <c r="I2646">
        <f>1</f>
        <v>1</v>
      </c>
    </row>
    <row r="2647" spans="2:9" x14ac:dyDescent="0.25">
      <c r="B2647">
        <v>0</v>
      </c>
      <c r="C2647" s="16" t="s">
        <v>11916</v>
      </c>
      <c r="D2647" s="16"/>
      <c r="E2647">
        <v>6</v>
      </c>
      <c r="F2647" t="s">
        <v>5803</v>
      </c>
      <c r="G2647">
        <v>1</v>
      </c>
      <c r="H2647">
        <v>0</v>
      </c>
      <c r="I2647">
        <f>1</f>
        <v>1</v>
      </c>
    </row>
    <row r="2648" spans="2:9" x14ac:dyDescent="0.25">
      <c r="B2648">
        <v>0</v>
      </c>
      <c r="C2648" s="16" t="s">
        <v>11917</v>
      </c>
      <c r="D2648" s="16"/>
      <c r="E2648">
        <v>6</v>
      </c>
      <c r="F2648" t="s">
        <v>5804</v>
      </c>
      <c r="G2648">
        <v>1</v>
      </c>
      <c r="H2648">
        <v>0</v>
      </c>
      <c r="I2648">
        <f>1</f>
        <v>1</v>
      </c>
    </row>
    <row r="2649" spans="2:9" x14ac:dyDescent="0.25">
      <c r="B2649">
        <v>0</v>
      </c>
      <c r="C2649" s="16" t="s">
        <v>11918</v>
      </c>
      <c r="D2649" s="16"/>
      <c r="E2649">
        <v>6</v>
      </c>
      <c r="F2649" t="s">
        <v>5805</v>
      </c>
      <c r="G2649">
        <v>1</v>
      </c>
      <c r="H2649">
        <v>0</v>
      </c>
      <c r="I2649">
        <f>1</f>
        <v>1</v>
      </c>
    </row>
    <row r="2650" spans="2:9" x14ac:dyDescent="0.25">
      <c r="B2650">
        <v>0</v>
      </c>
      <c r="C2650" s="16" t="s">
        <v>11919</v>
      </c>
      <c r="D2650" s="16"/>
      <c r="E2650">
        <v>6</v>
      </c>
      <c r="F2650" t="s">
        <v>5806</v>
      </c>
      <c r="G2650">
        <v>1</v>
      </c>
      <c r="H2650">
        <v>0</v>
      </c>
      <c r="I2650">
        <f>1</f>
        <v>1</v>
      </c>
    </row>
    <row r="2651" spans="2:9" x14ac:dyDescent="0.25">
      <c r="B2651">
        <v>0</v>
      </c>
      <c r="C2651" s="16" t="s">
        <v>11920</v>
      </c>
      <c r="D2651" s="16"/>
      <c r="E2651">
        <v>6</v>
      </c>
      <c r="F2651" t="s">
        <v>5807</v>
      </c>
      <c r="G2651">
        <v>1</v>
      </c>
      <c r="H2651">
        <v>0</v>
      </c>
      <c r="I2651">
        <f>1</f>
        <v>1</v>
      </c>
    </row>
    <row r="2652" spans="2:9" x14ac:dyDescent="0.25">
      <c r="B2652">
        <v>0</v>
      </c>
      <c r="C2652" s="16" t="s">
        <v>11921</v>
      </c>
      <c r="D2652" s="16"/>
      <c r="E2652">
        <v>6</v>
      </c>
      <c r="F2652" t="s">
        <v>5808</v>
      </c>
      <c r="G2652">
        <v>1</v>
      </c>
      <c r="H2652">
        <v>0</v>
      </c>
      <c r="I2652">
        <f>1</f>
        <v>1</v>
      </c>
    </row>
    <row r="2653" spans="2:9" x14ac:dyDescent="0.25">
      <c r="B2653">
        <v>0</v>
      </c>
      <c r="C2653" s="16" t="s">
        <v>11922</v>
      </c>
      <c r="D2653" s="16"/>
      <c r="E2653">
        <v>6</v>
      </c>
      <c r="F2653" t="s">
        <v>5809</v>
      </c>
      <c r="G2653">
        <v>1</v>
      </c>
      <c r="H2653">
        <v>0</v>
      </c>
      <c r="I2653">
        <f>1</f>
        <v>1</v>
      </c>
    </row>
    <row r="2654" spans="2:9" x14ac:dyDescent="0.25">
      <c r="B2654">
        <v>0</v>
      </c>
      <c r="C2654" s="16" t="s">
        <v>11923</v>
      </c>
      <c r="D2654" s="16"/>
      <c r="E2654">
        <v>6</v>
      </c>
      <c r="F2654" t="s">
        <v>5810</v>
      </c>
      <c r="G2654">
        <v>1</v>
      </c>
      <c r="H2654">
        <v>0</v>
      </c>
      <c r="I2654">
        <f>1</f>
        <v>1</v>
      </c>
    </row>
    <row r="2655" spans="2:9" x14ac:dyDescent="0.25">
      <c r="B2655">
        <v>0</v>
      </c>
      <c r="C2655" s="16" t="s">
        <v>11924</v>
      </c>
      <c r="D2655" s="16"/>
      <c r="E2655">
        <v>6</v>
      </c>
      <c r="F2655" t="s">
        <v>4680</v>
      </c>
      <c r="G2655">
        <v>1</v>
      </c>
      <c r="H2655">
        <v>0</v>
      </c>
      <c r="I2655">
        <f>1</f>
        <v>1</v>
      </c>
    </row>
    <row r="2656" spans="2:9" x14ac:dyDescent="0.25">
      <c r="B2656">
        <v>0</v>
      </c>
      <c r="C2656" s="16" t="s">
        <v>11925</v>
      </c>
      <c r="D2656" s="16"/>
      <c r="E2656">
        <v>6</v>
      </c>
      <c r="F2656" t="s">
        <v>5811</v>
      </c>
      <c r="G2656">
        <v>1</v>
      </c>
      <c r="H2656">
        <v>0</v>
      </c>
      <c r="I2656">
        <f>1</f>
        <v>1</v>
      </c>
    </row>
    <row r="2657" spans="2:9" x14ac:dyDescent="0.25">
      <c r="B2657">
        <v>0</v>
      </c>
      <c r="C2657" s="16" t="s">
        <v>11926</v>
      </c>
      <c r="D2657" s="16"/>
      <c r="E2657">
        <v>6</v>
      </c>
      <c r="F2657" t="s">
        <v>4680</v>
      </c>
      <c r="G2657">
        <v>1</v>
      </c>
      <c r="H2657">
        <v>0</v>
      </c>
      <c r="I2657">
        <f>1</f>
        <v>1</v>
      </c>
    </row>
    <row r="2658" spans="2:9" x14ac:dyDescent="0.25">
      <c r="B2658">
        <v>0</v>
      </c>
      <c r="C2658" s="16" t="s">
        <v>11927</v>
      </c>
      <c r="D2658" s="16"/>
      <c r="E2658">
        <v>6</v>
      </c>
      <c r="F2658" t="s">
        <v>4680</v>
      </c>
      <c r="G2658">
        <v>1</v>
      </c>
      <c r="H2658">
        <v>0</v>
      </c>
      <c r="I2658">
        <f>1</f>
        <v>1</v>
      </c>
    </row>
    <row r="2659" spans="2:9" x14ac:dyDescent="0.25">
      <c r="B2659">
        <v>0</v>
      </c>
      <c r="C2659" s="16" t="s">
        <v>11928</v>
      </c>
      <c r="D2659" s="16"/>
      <c r="E2659">
        <v>6</v>
      </c>
      <c r="F2659" t="s">
        <v>5812</v>
      </c>
      <c r="G2659">
        <v>1</v>
      </c>
      <c r="H2659">
        <v>0</v>
      </c>
      <c r="I2659">
        <f>1</f>
        <v>1</v>
      </c>
    </row>
    <row r="2660" spans="2:9" x14ac:dyDescent="0.25">
      <c r="B2660">
        <v>0</v>
      </c>
      <c r="C2660" s="16" t="s">
        <v>11929</v>
      </c>
      <c r="D2660" s="16"/>
      <c r="E2660">
        <v>6</v>
      </c>
      <c r="F2660" t="s">
        <v>5813</v>
      </c>
      <c r="G2660">
        <v>1</v>
      </c>
      <c r="H2660">
        <v>0</v>
      </c>
      <c r="I2660">
        <f>1</f>
        <v>1</v>
      </c>
    </row>
    <row r="2661" spans="2:9" x14ac:dyDescent="0.25">
      <c r="B2661">
        <v>0</v>
      </c>
      <c r="C2661" s="16" t="s">
        <v>11930</v>
      </c>
      <c r="D2661" s="16"/>
      <c r="E2661">
        <v>6</v>
      </c>
      <c r="F2661" t="s">
        <v>4680</v>
      </c>
      <c r="G2661">
        <v>1</v>
      </c>
      <c r="H2661">
        <v>0</v>
      </c>
      <c r="I2661">
        <f>1</f>
        <v>1</v>
      </c>
    </row>
    <row r="2662" spans="2:9" x14ac:dyDescent="0.25">
      <c r="B2662">
        <v>0</v>
      </c>
      <c r="C2662" s="16" t="s">
        <v>11931</v>
      </c>
      <c r="D2662" s="16"/>
      <c r="E2662">
        <v>6</v>
      </c>
      <c r="F2662" t="s">
        <v>5814</v>
      </c>
      <c r="G2662">
        <v>1</v>
      </c>
      <c r="H2662">
        <v>0</v>
      </c>
      <c r="I2662">
        <f>1</f>
        <v>1</v>
      </c>
    </row>
    <row r="2663" spans="2:9" x14ac:dyDescent="0.25">
      <c r="B2663">
        <v>0</v>
      </c>
      <c r="C2663" s="16" t="s">
        <v>11932</v>
      </c>
      <c r="D2663" s="16"/>
      <c r="E2663">
        <v>6</v>
      </c>
      <c r="F2663" t="s">
        <v>5815</v>
      </c>
      <c r="G2663">
        <v>1</v>
      </c>
      <c r="H2663">
        <v>0</v>
      </c>
      <c r="I2663">
        <f>1</f>
        <v>1</v>
      </c>
    </row>
    <row r="2664" spans="2:9" x14ac:dyDescent="0.25">
      <c r="B2664">
        <v>0</v>
      </c>
      <c r="C2664" s="16" t="s">
        <v>11933</v>
      </c>
      <c r="D2664" s="16"/>
      <c r="E2664">
        <v>6</v>
      </c>
      <c r="F2664" t="s">
        <v>5816</v>
      </c>
      <c r="G2664">
        <v>1</v>
      </c>
      <c r="H2664">
        <v>0</v>
      </c>
      <c r="I2664">
        <f>1</f>
        <v>1</v>
      </c>
    </row>
    <row r="2665" spans="2:9" x14ac:dyDescent="0.25">
      <c r="B2665">
        <v>0</v>
      </c>
      <c r="C2665" s="16" t="s">
        <v>11934</v>
      </c>
      <c r="D2665" s="16"/>
      <c r="E2665">
        <v>6</v>
      </c>
      <c r="F2665" t="s">
        <v>5817</v>
      </c>
      <c r="G2665">
        <v>1</v>
      </c>
      <c r="H2665">
        <v>0</v>
      </c>
      <c r="I2665">
        <f>1</f>
        <v>1</v>
      </c>
    </row>
    <row r="2666" spans="2:9" x14ac:dyDescent="0.25">
      <c r="B2666">
        <v>0</v>
      </c>
      <c r="C2666" s="16" t="s">
        <v>11935</v>
      </c>
      <c r="D2666" s="16"/>
      <c r="E2666">
        <v>6</v>
      </c>
      <c r="F2666" t="s">
        <v>5818</v>
      </c>
      <c r="G2666">
        <v>1</v>
      </c>
      <c r="H2666">
        <v>0</v>
      </c>
      <c r="I2666">
        <f>1</f>
        <v>1</v>
      </c>
    </row>
    <row r="2667" spans="2:9" x14ac:dyDescent="0.25">
      <c r="B2667">
        <v>0</v>
      </c>
      <c r="C2667" s="16" t="s">
        <v>11936</v>
      </c>
      <c r="D2667" s="16"/>
      <c r="E2667">
        <v>6</v>
      </c>
      <c r="F2667" t="s">
        <v>5819</v>
      </c>
      <c r="G2667">
        <v>1</v>
      </c>
      <c r="H2667">
        <v>0</v>
      </c>
      <c r="I2667">
        <f>1</f>
        <v>1</v>
      </c>
    </row>
    <row r="2668" spans="2:9" x14ac:dyDescent="0.25">
      <c r="B2668">
        <v>0</v>
      </c>
      <c r="C2668" s="16" t="s">
        <v>11937</v>
      </c>
      <c r="D2668" s="16"/>
      <c r="E2668">
        <v>6</v>
      </c>
      <c r="F2668" t="s">
        <v>4680</v>
      </c>
      <c r="G2668">
        <v>1</v>
      </c>
      <c r="H2668">
        <v>0</v>
      </c>
      <c r="I2668">
        <f>1</f>
        <v>1</v>
      </c>
    </row>
    <row r="2669" spans="2:9" x14ac:dyDescent="0.25">
      <c r="B2669">
        <v>0</v>
      </c>
      <c r="C2669" s="16" t="s">
        <v>11938</v>
      </c>
      <c r="D2669" s="16"/>
      <c r="E2669">
        <v>6</v>
      </c>
      <c r="F2669" t="s">
        <v>4680</v>
      </c>
      <c r="G2669">
        <v>1</v>
      </c>
      <c r="H2669">
        <v>0</v>
      </c>
      <c r="I2669">
        <f>1</f>
        <v>1</v>
      </c>
    </row>
    <row r="2670" spans="2:9" x14ac:dyDescent="0.25">
      <c r="B2670">
        <v>0</v>
      </c>
      <c r="C2670" s="16" t="s">
        <v>11939</v>
      </c>
      <c r="D2670" s="16"/>
      <c r="E2670">
        <v>6</v>
      </c>
      <c r="F2670" t="s">
        <v>5820</v>
      </c>
      <c r="G2670">
        <v>1</v>
      </c>
      <c r="H2670">
        <v>0</v>
      </c>
      <c r="I2670">
        <f>1</f>
        <v>1</v>
      </c>
    </row>
    <row r="2671" spans="2:9" x14ac:dyDescent="0.25">
      <c r="B2671">
        <v>0</v>
      </c>
      <c r="C2671" s="16" t="s">
        <v>11940</v>
      </c>
      <c r="D2671" s="16"/>
      <c r="E2671">
        <v>6</v>
      </c>
      <c r="F2671" t="s">
        <v>4680</v>
      </c>
      <c r="G2671">
        <v>1</v>
      </c>
      <c r="H2671">
        <v>0</v>
      </c>
      <c r="I2671">
        <f>1</f>
        <v>1</v>
      </c>
    </row>
    <row r="2672" spans="2:9" x14ac:dyDescent="0.25">
      <c r="B2672">
        <v>0</v>
      </c>
      <c r="C2672" s="16" t="s">
        <v>11941</v>
      </c>
      <c r="D2672" s="16"/>
      <c r="E2672">
        <v>6</v>
      </c>
      <c r="F2672" t="s">
        <v>5821</v>
      </c>
      <c r="G2672">
        <v>1</v>
      </c>
      <c r="H2672">
        <v>0</v>
      </c>
      <c r="I2672">
        <f>1</f>
        <v>1</v>
      </c>
    </row>
    <row r="2673" spans="2:9" x14ac:dyDescent="0.25">
      <c r="B2673">
        <v>0</v>
      </c>
      <c r="C2673" s="16" t="s">
        <v>11942</v>
      </c>
      <c r="D2673" s="16"/>
      <c r="E2673">
        <v>6</v>
      </c>
      <c r="F2673" t="s">
        <v>4680</v>
      </c>
      <c r="G2673">
        <v>1</v>
      </c>
      <c r="H2673">
        <v>0</v>
      </c>
      <c r="I2673">
        <f>1</f>
        <v>1</v>
      </c>
    </row>
    <row r="2674" spans="2:9" x14ac:dyDescent="0.25">
      <c r="B2674">
        <v>0</v>
      </c>
      <c r="C2674" s="16" t="s">
        <v>11943</v>
      </c>
      <c r="D2674" s="16"/>
      <c r="E2674">
        <v>6</v>
      </c>
      <c r="F2674" t="s">
        <v>5822</v>
      </c>
      <c r="G2674">
        <v>1</v>
      </c>
      <c r="H2674">
        <v>0</v>
      </c>
      <c r="I2674">
        <f>1</f>
        <v>1</v>
      </c>
    </row>
    <row r="2675" spans="2:9" x14ac:dyDescent="0.25">
      <c r="B2675">
        <v>0</v>
      </c>
      <c r="C2675" s="16" t="s">
        <v>11944</v>
      </c>
      <c r="D2675" s="16"/>
      <c r="E2675">
        <v>6</v>
      </c>
      <c r="F2675" t="s">
        <v>5823</v>
      </c>
      <c r="G2675">
        <v>1</v>
      </c>
      <c r="H2675">
        <v>0</v>
      </c>
      <c r="I2675">
        <f>1</f>
        <v>1</v>
      </c>
    </row>
    <row r="2676" spans="2:9" x14ac:dyDescent="0.25">
      <c r="B2676">
        <v>0</v>
      </c>
      <c r="C2676" s="16" t="s">
        <v>11945</v>
      </c>
      <c r="D2676" s="16"/>
      <c r="E2676">
        <v>6</v>
      </c>
      <c r="F2676" t="s">
        <v>4680</v>
      </c>
      <c r="G2676">
        <v>1</v>
      </c>
      <c r="H2676">
        <v>0</v>
      </c>
      <c r="I2676">
        <f>1</f>
        <v>1</v>
      </c>
    </row>
    <row r="2677" spans="2:9" x14ac:dyDescent="0.25">
      <c r="B2677">
        <v>0</v>
      </c>
      <c r="C2677" s="16" t="s">
        <v>11946</v>
      </c>
      <c r="D2677" s="16"/>
      <c r="E2677">
        <v>6</v>
      </c>
      <c r="F2677" t="s">
        <v>4680</v>
      </c>
      <c r="G2677">
        <v>1</v>
      </c>
      <c r="H2677">
        <v>0</v>
      </c>
      <c r="I2677">
        <f>1</f>
        <v>1</v>
      </c>
    </row>
    <row r="2678" spans="2:9" x14ac:dyDescent="0.25">
      <c r="B2678">
        <v>0</v>
      </c>
      <c r="C2678" s="16" t="s">
        <v>11947</v>
      </c>
      <c r="D2678" s="16"/>
      <c r="E2678">
        <v>6</v>
      </c>
      <c r="F2678" t="e">
        <f>--Monoetanolamina e seus sais</f>
        <v>#NAME?</v>
      </c>
      <c r="G2678">
        <v>1</v>
      </c>
      <c r="H2678">
        <v>0</v>
      </c>
      <c r="I2678">
        <f>1</f>
        <v>1</v>
      </c>
    </row>
    <row r="2679" spans="2:9" x14ac:dyDescent="0.25">
      <c r="B2679">
        <v>0</v>
      </c>
      <c r="C2679" s="16" t="s">
        <v>11948</v>
      </c>
      <c r="D2679" s="16"/>
      <c r="E2679">
        <v>6</v>
      </c>
      <c r="F2679" t="e">
        <f>--Dietanolamina e seus sais</f>
        <v>#NAME?</v>
      </c>
      <c r="G2679">
        <v>1</v>
      </c>
      <c r="H2679">
        <v>0</v>
      </c>
      <c r="I2679">
        <f>1</f>
        <v>1</v>
      </c>
    </row>
    <row r="2680" spans="2:9" x14ac:dyDescent="0.25">
      <c r="B2680">
        <v>0</v>
      </c>
      <c r="C2680" s="16" t="s">
        <v>11949</v>
      </c>
      <c r="D2680" s="16"/>
      <c r="E2680">
        <v>6</v>
      </c>
      <c r="F2680" t="s">
        <v>5824</v>
      </c>
      <c r="G2680">
        <v>1</v>
      </c>
      <c r="H2680">
        <v>0</v>
      </c>
      <c r="I2680">
        <f>1</f>
        <v>1</v>
      </c>
    </row>
    <row r="2681" spans="2:9" x14ac:dyDescent="0.25">
      <c r="B2681">
        <v>0</v>
      </c>
      <c r="C2681" s="16" t="s">
        <v>11950</v>
      </c>
      <c r="D2681" s="16"/>
      <c r="E2681">
        <v>6</v>
      </c>
      <c r="F2681" t="s">
        <v>5641</v>
      </c>
      <c r="G2681">
        <v>1</v>
      </c>
      <c r="H2681">
        <v>0</v>
      </c>
      <c r="I2681">
        <f>1</f>
        <v>1</v>
      </c>
    </row>
    <row r="2682" spans="2:9" x14ac:dyDescent="0.25">
      <c r="B2682">
        <v>0</v>
      </c>
      <c r="C2682" s="16" t="s">
        <v>11951</v>
      </c>
      <c r="D2682" s="16"/>
      <c r="E2682">
        <v>6</v>
      </c>
      <c r="F2682" t="e">
        <f>--Dextropropoxifeno  DCI  e seus sais</f>
        <v>#NAME?</v>
      </c>
      <c r="G2682">
        <v>1</v>
      </c>
      <c r="H2682">
        <v>0</v>
      </c>
      <c r="I2682">
        <f>1</f>
        <v>1</v>
      </c>
    </row>
    <row r="2683" spans="2:9" x14ac:dyDescent="0.25">
      <c r="B2683">
        <v>0</v>
      </c>
      <c r="C2683" s="16" t="s">
        <v>11952</v>
      </c>
      <c r="D2683" s="16"/>
      <c r="E2683">
        <v>6</v>
      </c>
      <c r="F2683" t="s">
        <v>5825</v>
      </c>
      <c r="G2683">
        <v>1</v>
      </c>
      <c r="H2683">
        <v>0</v>
      </c>
      <c r="I2683">
        <f>1</f>
        <v>1</v>
      </c>
    </row>
    <row r="2684" spans="2:9" x14ac:dyDescent="0.25">
      <c r="B2684">
        <v>0</v>
      </c>
      <c r="C2684" s="16" t="s">
        <v>11953</v>
      </c>
      <c r="D2684" s="16"/>
      <c r="E2684">
        <v>6</v>
      </c>
      <c r="F2684" t="s">
        <v>5826</v>
      </c>
      <c r="G2684">
        <v>1</v>
      </c>
      <c r="H2684">
        <v>0</v>
      </c>
      <c r="I2684">
        <f>1</f>
        <v>1</v>
      </c>
    </row>
    <row r="2685" spans="2:9" x14ac:dyDescent="0.25">
      <c r="B2685">
        <v>0</v>
      </c>
      <c r="C2685" s="16" t="s">
        <v>11954</v>
      </c>
      <c r="D2685" s="16"/>
      <c r="E2685">
        <v>6</v>
      </c>
      <c r="F2685" t="s">
        <v>5827</v>
      </c>
      <c r="G2685">
        <v>1</v>
      </c>
      <c r="H2685">
        <v>0</v>
      </c>
      <c r="I2685">
        <f>1</f>
        <v>1</v>
      </c>
    </row>
    <row r="2686" spans="2:9" x14ac:dyDescent="0.25">
      <c r="B2686">
        <v>0</v>
      </c>
      <c r="C2686" s="16" t="s">
        <v>11955</v>
      </c>
      <c r="D2686" s="16"/>
      <c r="E2686">
        <v>6</v>
      </c>
      <c r="F2686" t="s">
        <v>4680</v>
      </c>
      <c r="G2686">
        <v>1</v>
      </c>
      <c r="H2686">
        <v>0</v>
      </c>
      <c r="I2686">
        <f>1</f>
        <v>1</v>
      </c>
    </row>
    <row r="2687" spans="2:9" x14ac:dyDescent="0.25">
      <c r="B2687">
        <v>0</v>
      </c>
      <c r="C2687" s="16" t="s">
        <v>11956</v>
      </c>
      <c r="D2687" s="16"/>
      <c r="E2687">
        <v>6</v>
      </c>
      <c r="F2687" t="s">
        <v>5828</v>
      </c>
      <c r="G2687">
        <v>1</v>
      </c>
      <c r="H2687">
        <v>0</v>
      </c>
      <c r="I2687">
        <f>1</f>
        <v>1</v>
      </c>
    </row>
    <row r="2688" spans="2:9" x14ac:dyDescent="0.25">
      <c r="B2688">
        <v>0</v>
      </c>
      <c r="C2688" s="16" t="s">
        <v>11957</v>
      </c>
      <c r="D2688" s="16"/>
      <c r="E2688">
        <v>6</v>
      </c>
      <c r="F2688" t="s">
        <v>4680</v>
      </c>
      <c r="G2688">
        <v>1</v>
      </c>
      <c r="H2688">
        <v>0</v>
      </c>
      <c r="I2688">
        <f>1</f>
        <v>1</v>
      </c>
    </row>
    <row r="2689" spans="2:9" x14ac:dyDescent="0.25">
      <c r="B2689">
        <v>0</v>
      </c>
      <c r="C2689" s="16" t="s">
        <v>11958</v>
      </c>
      <c r="D2689" s="16"/>
      <c r="E2689">
        <v>6</v>
      </c>
      <c r="F2689" t="s">
        <v>5829</v>
      </c>
      <c r="G2689">
        <v>1</v>
      </c>
      <c r="H2689">
        <v>0</v>
      </c>
      <c r="I2689">
        <f>1</f>
        <v>1</v>
      </c>
    </row>
    <row r="2690" spans="2:9" x14ac:dyDescent="0.25">
      <c r="B2690">
        <v>0</v>
      </c>
      <c r="C2690" s="16" t="s">
        <v>11959</v>
      </c>
      <c r="D2690" s="16"/>
      <c r="E2690">
        <v>6</v>
      </c>
      <c r="F2690" t="s">
        <v>4680</v>
      </c>
      <c r="G2690">
        <v>1</v>
      </c>
      <c r="H2690">
        <v>0</v>
      </c>
      <c r="I2690">
        <f>1</f>
        <v>1</v>
      </c>
    </row>
    <row r="2691" spans="2:9" x14ac:dyDescent="0.25">
      <c r="B2691">
        <v>0</v>
      </c>
      <c r="C2691" s="16" t="s">
        <v>11960</v>
      </c>
      <c r="D2691" s="16"/>
      <c r="E2691">
        <v>6</v>
      </c>
      <c r="F2691" t="s">
        <v>5829</v>
      </c>
      <c r="G2691">
        <v>1</v>
      </c>
      <c r="H2691">
        <v>0</v>
      </c>
      <c r="I2691">
        <f>1</f>
        <v>1</v>
      </c>
    </row>
    <row r="2692" spans="2:9" x14ac:dyDescent="0.25">
      <c r="B2692">
        <v>0</v>
      </c>
      <c r="C2692" s="16" t="s">
        <v>11961</v>
      </c>
      <c r="D2692" s="16"/>
      <c r="E2692">
        <v>6</v>
      </c>
      <c r="F2692" t="s">
        <v>4680</v>
      </c>
      <c r="G2692">
        <v>1</v>
      </c>
      <c r="H2692">
        <v>0</v>
      </c>
      <c r="I2692">
        <f>1</f>
        <v>1</v>
      </c>
    </row>
    <row r="2693" spans="2:9" x14ac:dyDescent="0.25">
      <c r="B2693">
        <v>0</v>
      </c>
      <c r="C2693" s="16" t="s">
        <v>11962</v>
      </c>
      <c r="D2693" s="16"/>
      <c r="E2693">
        <v>6</v>
      </c>
      <c r="F2693" t="s">
        <v>5830</v>
      </c>
      <c r="G2693">
        <v>1</v>
      </c>
      <c r="H2693">
        <v>0</v>
      </c>
      <c r="I2693">
        <f>1</f>
        <v>1</v>
      </c>
    </row>
    <row r="2694" spans="2:9" x14ac:dyDescent="0.25">
      <c r="B2694">
        <v>0</v>
      </c>
      <c r="C2694" s="16" t="s">
        <v>11963</v>
      </c>
      <c r="D2694" s="16"/>
      <c r="E2694">
        <v>6</v>
      </c>
      <c r="F2694" t="s">
        <v>5831</v>
      </c>
      <c r="G2694">
        <v>1</v>
      </c>
      <c r="H2694">
        <v>0</v>
      </c>
      <c r="I2694">
        <f>1</f>
        <v>1</v>
      </c>
    </row>
    <row r="2695" spans="2:9" x14ac:dyDescent="0.25">
      <c r="B2695">
        <v>0</v>
      </c>
      <c r="C2695" s="16" t="s">
        <v>11964</v>
      </c>
      <c r="D2695" s="16"/>
      <c r="E2695">
        <v>6</v>
      </c>
      <c r="F2695" t="s">
        <v>4680</v>
      </c>
      <c r="G2695">
        <v>1</v>
      </c>
      <c r="H2695">
        <v>0</v>
      </c>
      <c r="I2695">
        <f>1</f>
        <v>1</v>
      </c>
    </row>
    <row r="2696" spans="2:9" x14ac:dyDescent="0.25">
      <c r="B2696">
        <v>0</v>
      </c>
      <c r="C2696" s="16" t="s">
        <v>11965</v>
      </c>
      <c r="D2696" s="16"/>
      <c r="E2696">
        <v>6</v>
      </c>
      <c r="F2696" t="s">
        <v>5832</v>
      </c>
      <c r="G2696">
        <v>1</v>
      </c>
      <c r="H2696">
        <v>0</v>
      </c>
      <c r="I2696">
        <f>1</f>
        <v>1</v>
      </c>
    </row>
    <row r="2697" spans="2:9" x14ac:dyDescent="0.25">
      <c r="B2697">
        <v>0</v>
      </c>
      <c r="C2697" s="16" t="s">
        <v>11966</v>
      </c>
      <c r="D2697" s="16"/>
      <c r="E2697">
        <v>6</v>
      </c>
      <c r="F2697" t="s">
        <v>5833</v>
      </c>
      <c r="G2697">
        <v>1</v>
      </c>
      <c r="H2697">
        <v>0</v>
      </c>
      <c r="I2697">
        <f>1</f>
        <v>1</v>
      </c>
    </row>
    <row r="2698" spans="2:9" x14ac:dyDescent="0.25">
      <c r="B2698">
        <v>0</v>
      </c>
      <c r="C2698" s="16" t="s">
        <v>11967</v>
      </c>
      <c r="D2698" s="16"/>
      <c r="E2698">
        <v>6</v>
      </c>
      <c r="F2698" t="s">
        <v>4680</v>
      </c>
      <c r="G2698">
        <v>1</v>
      </c>
      <c r="H2698">
        <v>0</v>
      </c>
      <c r="I2698">
        <f>1</f>
        <v>1</v>
      </c>
    </row>
    <row r="2699" spans="2:9" x14ac:dyDescent="0.25">
      <c r="B2699">
        <v>0</v>
      </c>
      <c r="C2699" s="16" t="s">
        <v>11968</v>
      </c>
      <c r="D2699" s="16"/>
      <c r="E2699">
        <v>6</v>
      </c>
      <c r="F2699" t="s">
        <v>5834</v>
      </c>
      <c r="G2699">
        <v>1</v>
      </c>
      <c r="H2699">
        <v>0</v>
      </c>
      <c r="I2699">
        <f>1</f>
        <v>1</v>
      </c>
    </row>
    <row r="2700" spans="2:9" x14ac:dyDescent="0.25">
      <c r="B2700">
        <v>0</v>
      </c>
      <c r="C2700" s="16" t="s">
        <v>11969</v>
      </c>
      <c r="D2700" s="16"/>
      <c r="E2700">
        <v>6</v>
      </c>
      <c r="F2700" t="s">
        <v>5835</v>
      </c>
      <c r="G2700">
        <v>1</v>
      </c>
      <c r="H2700">
        <v>0</v>
      </c>
      <c r="I2700">
        <f>1</f>
        <v>1</v>
      </c>
    </row>
    <row r="2701" spans="2:9" x14ac:dyDescent="0.25">
      <c r="B2701">
        <v>0</v>
      </c>
      <c r="C2701" s="16" t="s">
        <v>11970</v>
      </c>
      <c r="D2701" s="16"/>
      <c r="E2701">
        <v>6</v>
      </c>
      <c r="F2701" t="s">
        <v>5836</v>
      </c>
      <c r="G2701">
        <v>1</v>
      </c>
      <c r="H2701">
        <v>0</v>
      </c>
      <c r="I2701">
        <f>1</f>
        <v>1</v>
      </c>
    </row>
    <row r="2702" spans="2:9" x14ac:dyDescent="0.25">
      <c r="B2702">
        <v>0</v>
      </c>
      <c r="C2702" s="16" t="s">
        <v>11971</v>
      </c>
      <c r="D2702" s="16"/>
      <c r="E2702">
        <v>6</v>
      </c>
      <c r="F2702" t="s">
        <v>5837</v>
      </c>
      <c r="G2702">
        <v>1</v>
      </c>
      <c r="H2702">
        <v>0</v>
      </c>
      <c r="I2702">
        <f>1</f>
        <v>1</v>
      </c>
    </row>
    <row r="2703" spans="2:9" x14ac:dyDescent="0.25">
      <c r="B2703">
        <v>0</v>
      </c>
      <c r="C2703" s="16" t="s">
        <v>11972</v>
      </c>
      <c r="D2703" s="16"/>
      <c r="E2703">
        <v>6</v>
      </c>
      <c r="F2703" t="s">
        <v>5838</v>
      </c>
      <c r="G2703">
        <v>1</v>
      </c>
      <c r="H2703">
        <v>0</v>
      </c>
      <c r="I2703">
        <f>1</f>
        <v>1</v>
      </c>
    </row>
    <row r="2704" spans="2:9" x14ac:dyDescent="0.25">
      <c r="B2704">
        <v>0</v>
      </c>
      <c r="C2704" s="16" t="s">
        <v>11973</v>
      </c>
      <c r="D2704" s="16"/>
      <c r="E2704">
        <v>6</v>
      </c>
      <c r="F2704" t="s">
        <v>4680</v>
      </c>
      <c r="G2704">
        <v>1</v>
      </c>
      <c r="H2704">
        <v>0</v>
      </c>
      <c r="I2704">
        <f>1</f>
        <v>1</v>
      </c>
    </row>
    <row r="2705" spans="2:9" x14ac:dyDescent="0.25">
      <c r="B2705">
        <v>0</v>
      </c>
      <c r="C2705" s="16" t="s">
        <v>11974</v>
      </c>
      <c r="D2705" s="16"/>
      <c r="E2705">
        <v>6</v>
      </c>
      <c r="F2705" t="e">
        <f>--Ácidos aminonaftolsulfônicos e seus sais</f>
        <v>#NAME?</v>
      </c>
      <c r="G2705">
        <v>1</v>
      </c>
      <c r="H2705">
        <v>0</v>
      </c>
      <c r="I2705">
        <f>1</f>
        <v>1</v>
      </c>
    </row>
    <row r="2706" spans="2:9" x14ac:dyDescent="0.25">
      <c r="B2706">
        <v>0</v>
      </c>
      <c r="C2706" s="16" t="s">
        <v>11975</v>
      </c>
      <c r="D2706" s="16"/>
      <c r="E2706">
        <v>6</v>
      </c>
      <c r="F2706" t="s">
        <v>5839</v>
      </c>
      <c r="G2706">
        <v>1</v>
      </c>
      <c r="H2706">
        <v>0</v>
      </c>
      <c r="I2706">
        <f>1</f>
        <v>1</v>
      </c>
    </row>
    <row r="2707" spans="2:9" x14ac:dyDescent="0.25">
      <c r="B2707">
        <v>0</v>
      </c>
      <c r="C2707" s="16" t="s">
        <v>11976</v>
      </c>
      <c r="D2707" s="16"/>
      <c r="E2707">
        <v>6</v>
      </c>
      <c r="F2707" t="s">
        <v>4680</v>
      </c>
      <c r="G2707">
        <v>1</v>
      </c>
      <c r="H2707">
        <v>0</v>
      </c>
      <c r="I2707">
        <f>1</f>
        <v>1</v>
      </c>
    </row>
    <row r="2708" spans="2:9" x14ac:dyDescent="0.25">
      <c r="B2708">
        <v>0</v>
      </c>
      <c r="C2708" s="16" t="s">
        <v>11977</v>
      </c>
      <c r="D2708" s="16"/>
      <c r="E2708">
        <v>6</v>
      </c>
      <c r="F2708" t="s">
        <v>5840</v>
      </c>
      <c r="G2708">
        <v>1</v>
      </c>
      <c r="H2708">
        <v>0</v>
      </c>
      <c r="I2708">
        <f>1</f>
        <v>1</v>
      </c>
    </row>
    <row r="2709" spans="2:9" x14ac:dyDescent="0.25">
      <c r="B2709">
        <v>0</v>
      </c>
      <c r="C2709" s="16" t="s">
        <v>11978</v>
      </c>
      <c r="D2709" s="16"/>
      <c r="E2709">
        <v>6</v>
      </c>
      <c r="F2709" t="s">
        <v>4680</v>
      </c>
      <c r="G2709">
        <v>1</v>
      </c>
      <c r="H2709">
        <v>0</v>
      </c>
      <c r="I2709">
        <f>1</f>
        <v>1</v>
      </c>
    </row>
    <row r="2710" spans="2:9" x14ac:dyDescent="0.25">
      <c r="B2710">
        <v>0</v>
      </c>
      <c r="C2710" s="16" t="s">
        <v>11979</v>
      </c>
      <c r="D2710" s="16"/>
      <c r="E2710">
        <v>6</v>
      </c>
      <c r="F2710" t="s">
        <v>5841</v>
      </c>
      <c r="G2710">
        <v>1</v>
      </c>
      <c r="H2710">
        <v>0</v>
      </c>
      <c r="I2710">
        <f>1</f>
        <v>1</v>
      </c>
    </row>
    <row r="2711" spans="2:9" x14ac:dyDescent="0.25">
      <c r="B2711">
        <v>0</v>
      </c>
      <c r="C2711" s="16" t="s">
        <v>11980</v>
      </c>
      <c r="D2711" s="16"/>
      <c r="E2711">
        <v>6</v>
      </c>
      <c r="F2711" t="s">
        <v>5641</v>
      </c>
      <c r="G2711">
        <v>1</v>
      </c>
      <c r="H2711">
        <v>0</v>
      </c>
      <c r="I2711">
        <f>1</f>
        <v>1</v>
      </c>
    </row>
    <row r="2712" spans="2:9" x14ac:dyDescent="0.25">
      <c r="B2712">
        <v>0</v>
      </c>
      <c r="C2712" s="16" t="s">
        <v>11981</v>
      </c>
      <c r="D2712" s="16"/>
      <c r="E2712">
        <v>6</v>
      </c>
      <c r="F2712" t="s">
        <v>5842</v>
      </c>
      <c r="G2712">
        <v>1</v>
      </c>
      <c r="H2712">
        <v>0</v>
      </c>
      <c r="I2712">
        <f>1</f>
        <v>1</v>
      </c>
    </row>
    <row r="2713" spans="2:9" x14ac:dyDescent="0.25">
      <c r="B2713">
        <v>0</v>
      </c>
      <c r="C2713" s="16" t="s">
        <v>11982</v>
      </c>
      <c r="D2713" s="16"/>
      <c r="E2713">
        <v>6</v>
      </c>
      <c r="F2713" t="s">
        <v>5843</v>
      </c>
      <c r="G2713">
        <v>1</v>
      </c>
      <c r="H2713">
        <v>0</v>
      </c>
      <c r="I2713">
        <f>1</f>
        <v>1</v>
      </c>
    </row>
    <row r="2714" spans="2:9" x14ac:dyDescent="0.25">
      <c r="B2714">
        <v>0</v>
      </c>
      <c r="C2714" s="16" t="s">
        <v>11983</v>
      </c>
      <c r="D2714" s="16"/>
      <c r="E2714">
        <v>6</v>
      </c>
      <c r="F2714" t="s">
        <v>5844</v>
      </c>
      <c r="G2714">
        <v>1</v>
      </c>
      <c r="H2714">
        <v>0</v>
      </c>
      <c r="I2714">
        <f>1</f>
        <v>1</v>
      </c>
    </row>
    <row r="2715" spans="2:9" x14ac:dyDescent="0.25">
      <c r="B2715">
        <v>0</v>
      </c>
      <c r="C2715" s="16" t="s">
        <v>11984</v>
      </c>
      <c r="D2715" s="16"/>
      <c r="E2715">
        <v>6</v>
      </c>
      <c r="F2715" t="s">
        <v>5829</v>
      </c>
      <c r="G2715">
        <v>1</v>
      </c>
      <c r="H2715">
        <v>0</v>
      </c>
      <c r="I2715">
        <f>1</f>
        <v>1</v>
      </c>
    </row>
    <row r="2716" spans="2:9" x14ac:dyDescent="0.25">
      <c r="B2716">
        <v>0</v>
      </c>
      <c r="C2716" s="16" t="s">
        <v>11985</v>
      </c>
      <c r="D2716" s="16"/>
      <c r="E2716">
        <v>6</v>
      </c>
      <c r="F2716" t="s">
        <v>4680</v>
      </c>
      <c r="G2716">
        <v>1</v>
      </c>
      <c r="H2716">
        <v>0</v>
      </c>
      <c r="I2716">
        <f>1</f>
        <v>1</v>
      </c>
    </row>
    <row r="2717" spans="2:9" x14ac:dyDescent="0.25">
      <c r="B2717">
        <v>0</v>
      </c>
      <c r="C2717" s="16" t="s">
        <v>11986</v>
      </c>
      <c r="D2717" s="16"/>
      <c r="E2717">
        <v>6</v>
      </c>
      <c r="F2717" t="s">
        <v>4680</v>
      </c>
      <c r="G2717">
        <v>1</v>
      </c>
      <c r="H2717">
        <v>0</v>
      </c>
      <c r="I2717">
        <f>1</f>
        <v>1</v>
      </c>
    </row>
    <row r="2718" spans="2:9" x14ac:dyDescent="0.25">
      <c r="B2718">
        <v>0</v>
      </c>
      <c r="C2718" s="16" t="s">
        <v>11987</v>
      </c>
      <c r="D2718" s="16"/>
      <c r="E2718">
        <v>6</v>
      </c>
      <c r="F2718" t="s">
        <v>5845</v>
      </c>
      <c r="G2718">
        <v>1</v>
      </c>
      <c r="H2718">
        <v>0</v>
      </c>
      <c r="I2718">
        <f>1</f>
        <v>1</v>
      </c>
    </row>
    <row r="2719" spans="2:9" x14ac:dyDescent="0.25">
      <c r="B2719">
        <v>0</v>
      </c>
      <c r="C2719" s="16" t="s">
        <v>11988</v>
      </c>
      <c r="D2719" s="16"/>
      <c r="E2719">
        <v>6</v>
      </c>
      <c r="F2719" t="s">
        <v>4680</v>
      </c>
      <c r="G2719">
        <v>1</v>
      </c>
      <c r="H2719">
        <v>0</v>
      </c>
      <c r="I2719">
        <f>1</f>
        <v>1</v>
      </c>
    </row>
    <row r="2720" spans="2:9" x14ac:dyDescent="0.25">
      <c r="B2720">
        <v>0</v>
      </c>
      <c r="C2720" s="16" t="s">
        <v>11989</v>
      </c>
      <c r="D2720" s="16"/>
      <c r="E2720">
        <v>6</v>
      </c>
      <c r="F2720" t="s">
        <v>5846</v>
      </c>
      <c r="G2720">
        <v>1</v>
      </c>
      <c r="H2720">
        <v>0</v>
      </c>
      <c r="I2720">
        <f>1</f>
        <v>1</v>
      </c>
    </row>
    <row r="2721" spans="2:9" x14ac:dyDescent="0.25">
      <c r="B2721">
        <v>0</v>
      </c>
      <c r="C2721" s="16" t="s">
        <v>11990</v>
      </c>
      <c r="D2721" s="16"/>
      <c r="E2721">
        <v>6</v>
      </c>
      <c r="F2721" t="s">
        <v>5641</v>
      </c>
      <c r="G2721">
        <v>1</v>
      </c>
      <c r="H2721">
        <v>0</v>
      </c>
      <c r="I2721">
        <f>1</f>
        <v>1</v>
      </c>
    </row>
    <row r="2722" spans="2:9" x14ac:dyDescent="0.25">
      <c r="B2722">
        <v>0</v>
      </c>
      <c r="C2722" s="16" t="s">
        <v>11991</v>
      </c>
      <c r="D2722" s="16"/>
      <c r="E2722">
        <v>6</v>
      </c>
      <c r="F2722" t="e">
        <f>--ácido antranílico e seus sais</f>
        <v>#NAME?</v>
      </c>
      <c r="G2722">
        <v>1</v>
      </c>
      <c r="H2722">
        <v>0</v>
      </c>
      <c r="I2722">
        <f>1</f>
        <v>1</v>
      </c>
    </row>
    <row r="2723" spans="2:9" x14ac:dyDescent="0.25">
      <c r="B2723">
        <v>0</v>
      </c>
      <c r="C2723" s="16" t="s">
        <v>11992</v>
      </c>
      <c r="D2723" s="16"/>
      <c r="E2723">
        <v>6</v>
      </c>
      <c r="F2723" t="s">
        <v>5847</v>
      </c>
      <c r="G2723">
        <v>1</v>
      </c>
      <c r="H2723">
        <v>0</v>
      </c>
      <c r="I2723">
        <f>1</f>
        <v>1</v>
      </c>
    </row>
    <row r="2724" spans="2:9" x14ac:dyDescent="0.25">
      <c r="B2724">
        <v>0</v>
      </c>
      <c r="C2724" s="16" t="s">
        <v>11993</v>
      </c>
      <c r="D2724" s="16"/>
      <c r="E2724">
        <v>6</v>
      </c>
      <c r="F2724" t="s">
        <v>5641</v>
      </c>
      <c r="G2724">
        <v>1</v>
      </c>
      <c r="H2724">
        <v>0</v>
      </c>
      <c r="I2724">
        <f>1</f>
        <v>1</v>
      </c>
    </row>
    <row r="2725" spans="2:9" x14ac:dyDescent="0.25">
      <c r="B2725">
        <v>0</v>
      </c>
      <c r="C2725" s="16" t="s">
        <v>11994</v>
      </c>
      <c r="D2725" s="16"/>
      <c r="E2725">
        <v>6</v>
      </c>
      <c r="F2725" t="s">
        <v>5848</v>
      </c>
      <c r="G2725">
        <v>1</v>
      </c>
      <c r="H2725">
        <v>0</v>
      </c>
      <c r="I2725">
        <f>1</f>
        <v>1</v>
      </c>
    </row>
    <row r="2726" spans="2:9" x14ac:dyDescent="0.25">
      <c r="B2726">
        <v>0</v>
      </c>
      <c r="C2726" s="16" t="s">
        <v>11995</v>
      </c>
      <c r="D2726" s="16"/>
      <c r="E2726">
        <v>6</v>
      </c>
      <c r="F2726" t="s">
        <v>5849</v>
      </c>
      <c r="G2726">
        <v>1</v>
      </c>
      <c r="H2726">
        <v>0</v>
      </c>
      <c r="I2726">
        <f>1</f>
        <v>1</v>
      </c>
    </row>
    <row r="2727" spans="2:9" x14ac:dyDescent="0.25">
      <c r="B2727">
        <v>0</v>
      </c>
      <c r="C2727" s="16" t="s">
        <v>11996</v>
      </c>
      <c r="D2727" s="16"/>
      <c r="E2727">
        <v>6</v>
      </c>
      <c r="F2727" t="s">
        <v>5850</v>
      </c>
      <c r="G2727">
        <v>1</v>
      </c>
      <c r="H2727">
        <v>0</v>
      </c>
      <c r="I2727">
        <f>1</f>
        <v>1</v>
      </c>
    </row>
    <row r="2728" spans="2:9" x14ac:dyDescent="0.25">
      <c r="B2728">
        <v>0</v>
      </c>
      <c r="C2728" s="16" t="s">
        <v>11997</v>
      </c>
      <c r="D2728" s="16"/>
      <c r="E2728">
        <v>6</v>
      </c>
      <c r="F2728" t="s">
        <v>5641</v>
      </c>
      <c r="G2728">
        <v>1</v>
      </c>
      <c r="H2728">
        <v>0</v>
      </c>
      <c r="I2728">
        <f>1</f>
        <v>1</v>
      </c>
    </row>
    <row r="2729" spans="2:9" x14ac:dyDescent="0.25">
      <c r="B2729">
        <v>0</v>
      </c>
      <c r="C2729" s="16" t="s">
        <v>11998</v>
      </c>
      <c r="D2729" s="16"/>
      <c r="E2729">
        <v>6</v>
      </c>
      <c r="F2729" t="s">
        <v>5851</v>
      </c>
      <c r="G2729">
        <v>1</v>
      </c>
      <c r="H2729">
        <v>0</v>
      </c>
      <c r="I2729">
        <f>1</f>
        <v>1</v>
      </c>
    </row>
    <row r="2730" spans="2:9" x14ac:dyDescent="0.25">
      <c r="B2730">
        <v>0</v>
      </c>
      <c r="C2730" s="16" t="s">
        <v>11999</v>
      </c>
      <c r="D2730" s="16"/>
      <c r="E2730">
        <v>6</v>
      </c>
      <c r="F2730" t="s">
        <v>5852</v>
      </c>
      <c r="G2730">
        <v>1</v>
      </c>
      <c r="H2730">
        <v>0</v>
      </c>
      <c r="I2730">
        <f>1</f>
        <v>1</v>
      </c>
    </row>
    <row r="2731" spans="2:9" x14ac:dyDescent="0.25">
      <c r="B2731">
        <v>0</v>
      </c>
      <c r="C2731" s="16" t="s">
        <v>12000</v>
      </c>
      <c r="D2731" s="16"/>
      <c r="E2731">
        <v>6</v>
      </c>
      <c r="F2731" t="s">
        <v>5853</v>
      </c>
      <c r="G2731">
        <v>1</v>
      </c>
      <c r="H2731">
        <v>0</v>
      </c>
      <c r="I2731">
        <f>1</f>
        <v>1</v>
      </c>
    </row>
    <row r="2732" spans="2:9" x14ac:dyDescent="0.25">
      <c r="B2732">
        <v>0</v>
      </c>
      <c r="C2732" s="16" t="s">
        <v>12001</v>
      </c>
      <c r="D2732" s="16"/>
      <c r="E2732">
        <v>6</v>
      </c>
      <c r="F2732" t="s">
        <v>4680</v>
      </c>
      <c r="G2732">
        <v>1</v>
      </c>
      <c r="H2732">
        <v>0</v>
      </c>
      <c r="I2732">
        <f>1</f>
        <v>1</v>
      </c>
    </row>
    <row r="2733" spans="2:9" x14ac:dyDescent="0.25">
      <c r="B2733">
        <v>0</v>
      </c>
      <c r="C2733" s="16" t="s">
        <v>12002</v>
      </c>
      <c r="D2733" s="16"/>
      <c r="E2733">
        <v>6</v>
      </c>
      <c r="F2733" t="s">
        <v>5854</v>
      </c>
      <c r="G2733">
        <v>1</v>
      </c>
      <c r="H2733">
        <v>0</v>
      </c>
      <c r="I2733">
        <f>1</f>
        <v>1</v>
      </c>
    </row>
    <row r="2734" spans="2:9" x14ac:dyDescent="0.25">
      <c r="B2734">
        <v>0</v>
      </c>
      <c r="C2734" s="16" t="s">
        <v>12003</v>
      </c>
      <c r="D2734" s="16"/>
      <c r="E2734">
        <v>6</v>
      </c>
      <c r="F2734" t="s">
        <v>5855</v>
      </c>
      <c r="G2734">
        <v>1</v>
      </c>
      <c r="H2734">
        <v>0</v>
      </c>
      <c r="I2734">
        <f>1</f>
        <v>1</v>
      </c>
    </row>
    <row r="2735" spans="2:9" x14ac:dyDescent="0.25">
      <c r="B2735">
        <v>0</v>
      </c>
      <c r="C2735" s="16" t="s">
        <v>12004</v>
      </c>
      <c r="D2735" s="16"/>
      <c r="E2735">
        <v>6</v>
      </c>
      <c r="F2735" t="s">
        <v>5856</v>
      </c>
      <c r="G2735">
        <v>1</v>
      </c>
      <c r="H2735">
        <v>0</v>
      </c>
      <c r="I2735">
        <f>1</f>
        <v>1</v>
      </c>
    </row>
    <row r="2736" spans="2:9" x14ac:dyDescent="0.25">
      <c r="B2736">
        <v>0</v>
      </c>
      <c r="C2736" s="16" t="s">
        <v>12005</v>
      </c>
      <c r="D2736" s="16"/>
      <c r="E2736">
        <v>6</v>
      </c>
      <c r="F2736" t="s">
        <v>5857</v>
      </c>
      <c r="G2736">
        <v>1</v>
      </c>
      <c r="H2736">
        <v>0</v>
      </c>
      <c r="I2736">
        <f>1</f>
        <v>1</v>
      </c>
    </row>
    <row r="2737" spans="2:9" x14ac:dyDescent="0.25">
      <c r="B2737">
        <v>0</v>
      </c>
      <c r="C2737" s="16" t="s">
        <v>12006</v>
      </c>
      <c r="D2737" s="16"/>
      <c r="E2737">
        <v>6</v>
      </c>
      <c r="F2737" t="s">
        <v>4680</v>
      </c>
      <c r="G2737">
        <v>1</v>
      </c>
      <c r="H2737">
        <v>0</v>
      </c>
      <c r="I2737">
        <f>1</f>
        <v>1</v>
      </c>
    </row>
    <row r="2738" spans="2:9" x14ac:dyDescent="0.25">
      <c r="B2738">
        <v>0</v>
      </c>
      <c r="C2738" s="16" t="s">
        <v>12007</v>
      </c>
      <c r="D2738" s="16"/>
      <c r="E2738">
        <v>6</v>
      </c>
      <c r="F2738" t="s">
        <v>4680</v>
      </c>
      <c r="G2738">
        <v>1</v>
      </c>
      <c r="H2738">
        <v>0</v>
      </c>
      <c r="I2738">
        <f>1</f>
        <v>1</v>
      </c>
    </row>
    <row r="2739" spans="2:9" x14ac:dyDescent="0.25">
      <c r="B2739">
        <v>0</v>
      </c>
      <c r="C2739" s="16" t="s">
        <v>12008</v>
      </c>
      <c r="D2739" s="16"/>
      <c r="E2739">
        <v>6</v>
      </c>
      <c r="F2739" t="s">
        <v>5829</v>
      </c>
      <c r="G2739">
        <v>1</v>
      </c>
      <c r="H2739">
        <v>0</v>
      </c>
      <c r="I2739">
        <f>1</f>
        <v>1</v>
      </c>
    </row>
    <row r="2740" spans="2:9" x14ac:dyDescent="0.25">
      <c r="B2740">
        <v>0</v>
      </c>
      <c r="C2740" s="16" t="s">
        <v>12009</v>
      </c>
      <c r="D2740" s="16"/>
      <c r="E2740">
        <v>6</v>
      </c>
      <c r="F2740" t="s">
        <v>4680</v>
      </c>
      <c r="G2740">
        <v>1</v>
      </c>
      <c r="H2740">
        <v>0</v>
      </c>
      <c r="I2740">
        <f>1</f>
        <v>1</v>
      </c>
    </row>
    <row r="2741" spans="2:9" x14ac:dyDescent="0.25">
      <c r="B2741">
        <v>0</v>
      </c>
      <c r="C2741" s="16" t="s">
        <v>12010</v>
      </c>
      <c r="D2741" s="16"/>
      <c r="E2741">
        <v>6</v>
      </c>
      <c r="F2741" t="s">
        <v>5829</v>
      </c>
      <c r="G2741">
        <v>1</v>
      </c>
      <c r="H2741">
        <v>0</v>
      </c>
      <c r="I2741">
        <f>1</f>
        <v>1</v>
      </c>
    </row>
    <row r="2742" spans="2:9" x14ac:dyDescent="0.25">
      <c r="B2742">
        <v>0</v>
      </c>
      <c r="C2742" s="16" t="s">
        <v>12011</v>
      </c>
      <c r="D2742" s="16"/>
      <c r="E2742">
        <v>6</v>
      </c>
      <c r="F2742" t="s">
        <v>4680</v>
      </c>
      <c r="G2742">
        <v>1</v>
      </c>
      <c r="H2742">
        <v>0</v>
      </c>
      <c r="I2742">
        <f>1</f>
        <v>1</v>
      </c>
    </row>
    <row r="2743" spans="2:9" x14ac:dyDescent="0.25">
      <c r="B2743">
        <v>0</v>
      </c>
      <c r="C2743" s="16" t="s">
        <v>12012</v>
      </c>
      <c r="D2743" s="16"/>
      <c r="E2743">
        <v>6</v>
      </c>
      <c r="F2743" t="s">
        <v>5858</v>
      </c>
      <c r="G2743">
        <v>1</v>
      </c>
      <c r="H2743">
        <v>0</v>
      </c>
      <c r="I2743">
        <f>1</f>
        <v>1</v>
      </c>
    </row>
    <row r="2744" spans="2:9" x14ac:dyDescent="0.25">
      <c r="B2744">
        <v>0</v>
      </c>
      <c r="C2744" s="16" t="s">
        <v>12013</v>
      </c>
      <c r="D2744" s="16"/>
      <c r="E2744">
        <v>6</v>
      </c>
      <c r="F2744" t="s">
        <v>5859</v>
      </c>
      <c r="G2744">
        <v>1</v>
      </c>
      <c r="H2744">
        <v>0</v>
      </c>
      <c r="I2744">
        <f>1</f>
        <v>1</v>
      </c>
    </row>
    <row r="2745" spans="2:9" x14ac:dyDescent="0.25">
      <c r="B2745">
        <v>0</v>
      </c>
      <c r="C2745" s="16" t="s">
        <v>12014</v>
      </c>
      <c r="D2745" s="16"/>
      <c r="E2745">
        <v>6</v>
      </c>
      <c r="F2745" t="s">
        <v>4680</v>
      </c>
      <c r="G2745">
        <v>1</v>
      </c>
      <c r="H2745">
        <v>0</v>
      </c>
      <c r="I2745">
        <f>1</f>
        <v>1</v>
      </c>
    </row>
    <row r="2746" spans="2:9" x14ac:dyDescent="0.25">
      <c r="B2746">
        <v>0</v>
      </c>
      <c r="C2746" s="16" t="s">
        <v>12015</v>
      </c>
      <c r="D2746" s="16"/>
      <c r="E2746">
        <v>6</v>
      </c>
      <c r="F2746" t="s">
        <v>5860</v>
      </c>
      <c r="G2746">
        <v>1</v>
      </c>
      <c r="H2746">
        <v>0</v>
      </c>
      <c r="I2746">
        <f>1</f>
        <v>1</v>
      </c>
    </row>
    <row r="2747" spans="2:9" x14ac:dyDescent="0.25">
      <c r="B2747">
        <v>0</v>
      </c>
      <c r="C2747" s="16" t="s">
        <v>12016</v>
      </c>
      <c r="D2747" s="16"/>
      <c r="E2747">
        <v>6</v>
      </c>
      <c r="F2747" t="s">
        <v>4680</v>
      </c>
      <c r="G2747">
        <v>1</v>
      </c>
      <c r="H2747">
        <v>0</v>
      </c>
      <c r="I2747">
        <f>1</f>
        <v>1</v>
      </c>
    </row>
    <row r="2748" spans="2:9" x14ac:dyDescent="0.25">
      <c r="B2748">
        <v>0</v>
      </c>
      <c r="C2748" s="16" t="s">
        <v>12017</v>
      </c>
      <c r="D2748" s="16"/>
      <c r="E2748">
        <v>6</v>
      </c>
      <c r="F2748" t="s">
        <v>5861</v>
      </c>
      <c r="G2748">
        <v>1</v>
      </c>
      <c r="H2748">
        <v>0</v>
      </c>
      <c r="I2748">
        <f>1</f>
        <v>1</v>
      </c>
    </row>
    <row r="2749" spans="2:9" x14ac:dyDescent="0.25">
      <c r="B2749">
        <v>0</v>
      </c>
      <c r="C2749" s="16" t="s">
        <v>12018</v>
      </c>
      <c r="D2749" s="16"/>
      <c r="E2749">
        <v>6</v>
      </c>
      <c r="F2749" t="s">
        <v>5862</v>
      </c>
      <c r="G2749">
        <v>1</v>
      </c>
      <c r="H2749">
        <v>0</v>
      </c>
      <c r="I2749">
        <f>1</f>
        <v>1</v>
      </c>
    </row>
    <row r="2750" spans="2:9" x14ac:dyDescent="0.25">
      <c r="B2750">
        <v>0</v>
      </c>
      <c r="C2750" s="16" t="s">
        <v>12019</v>
      </c>
      <c r="D2750" s="16"/>
      <c r="E2750">
        <v>6</v>
      </c>
      <c r="F2750" t="s">
        <v>4680</v>
      </c>
      <c r="G2750">
        <v>1</v>
      </c>
      <c r="H2750">
        <v>0</v>
      </c>
      <c r="I2750">
        <f>1</f>
        <v>1</v>
      </c>
    </row>
    <row r="2751" spans="2:9" x14ac:dyDescent="0.25">
      <c r="B2751">
        <v>0</v>
      </c>
      <c r="C2751" s="16" t="s">
        <v>12020</v>
      </c>
      <c r="D2751" s="16"/>
      <c r="E2751">
        <v>6</v>
      </c>
      <c r="F2751" t="e">
        <f>-Colina e seus sais</f>
        <v>#NAME?</v>
      </c>
      <c r="G2751">
        <v>1</v>
      </c>
      <c r="H2751">
        <v>0</v>
      </c>
      <c r="I2751">
        <f>1</f>
        <v>1</v>
      </c>
    </row>
    <row r="2752" spans="2:9" x14ac:dyDescent="0.25">
      <c r="B2752">
        <v>0</v>
      </c>
      <c r="C2752" s="16" t="s">
        <v>12021</v>
      </c>
      <c r="D2752" s="16"/>
      <c r="E2752">
        <v>6</v>
      </c>
      <c r="F2752" t="e">
        <f>-Lecitinas e outros fosfoaminolipídios</f>
        <v>#NAME?</v>
      </c>
      <c r="G2752">
        <v>1</v>
      </c>
      <c r="H2752">
        <v>0</v>
      </c>
      <c r="I2752">
        <f>1</f>
        <v>1</v>
      </c>
    </row>
    <row r="2753" spans="2:9" x14ac:dyDescent="0.25">
      <c r="B2753">
        <v>0</v>
      </c>
      <c r="C2753" s="16" t="s">
        <v>12022</v>
      </c>
      <c r="D2753" s="16"/>
      <c r="E2753">
        <v>6</v>
      </c>
      <c r="F2753" t="s">
        <v>5863</v>
      </c>
      <c r="G2753">
        <v>1</v>
      </c>
      <c r="H2753">
        <v>0</v>
      </c>
      <c r="I2753">
        <f>1</f>
        <v>1</v>
      </c>
    </row>
    <row r="2754" spans="2:9" x14ac:dyDescent="0.25">
      <c r="B2754">
        <v>0</v>
      </c>
      <c r="C2754" s="16" t="s">
        <v>12023</v>
      </c>
      <c r="D2754" s="16"/>
      <c r="E2754">
        <v>6</v>
      </c>
      <c r="F2754" t="s">
        <v>5864</v>
      </c>
      <c r="G2754">
        <v>1</v>
      </c>
      <c r="H2754">
        <v>0</v>
      </c>
      <c r="I2754">
        <f>1</f>
        <v>1</v>
      </c>
    </row>
    <row r="2755" spans="2:9" x14ac:dyDescent="0.25">
      <c r="B2755">
        <v>0</v>
      </c>
      <c r="C2755" s="16" t="s">
        <v>12024</v>
      </c>
      <c r="D2755" s="16"/>
      <c r="E2755">
        <v>6</v>
      </c>
      <c r="F2755" t="s">
        <v>5865</v>
      </c>
      <c r="G2755">
        <v>1</v>
      </c>
      <c r="H2755">
        <v>0</v>
      </c>
      <c r="I2755">
        <f>1</f>
        <v>1</v>
      </c>
    </row>
    <row r="2756" spans="2:9" x14ac:dyDescent="0.25">
      <c r="B2756">
        <v>0</v>
      </c>
      <c r="C2756" s="16" t="s">
        <v>12025</v>
      </c>
      <c r="D2756" s="16"/>
      <c r="E2756">
        <v>6</v>
      </c>
      <c r="F2756" t="s">
        <v>5866</v>
      </c>
      <c r="G2756">
        <v>1</v>
      </c>
      <c r="H2756">
        <v>0</v>
      </c>
      <c r="I2756">
        <f>1</f>
        <v>1</v>
      </c>
    </row>
    <row r="2757" spans="2:9" x14ac:dyDescent="0.25">
      <c r="B2757">
        <v>0</v>
      </c>
      <c r="C2757" s="16" t="s">
        <v>12026</v>
      </c>
      <c r="D2757" s="16"/>
      <c r="E2757">
        <v>6</v>
      </c>
      <c r="F2757" t="s">
        <v>5867</v>
      </c>
      <c r="G2757">
        <v>1</v>
      </c>
      <c r="H2757">
        <v>0</v>
      </c>
      <c r="I2757">
        <f>1</f>
        <v>1</v>
      </c>
    </row>
    <row r="2758" spans="2:9" x14ac:dyDescent="0.25">
      <c r="B2758">
        <v>0</v>
      </c>
      <c r="C2758" s="16" t="s">
        <v>12027</v>
      </c>
      <c r="D2758" s="16"/>
      <c r="E2758">
        <v>6</v>
      </c>
      <c r="F2758" t="s">
        <v>5868</v>
      </c>
      <c r="G2758">
        <v>1</v>
      </c>
      <c r="H2758">
        <v>0</v>
      </c>
      <c r="I2758">
        <f>1</f>
        <v>1</v>
      </c>
    </row>
    <row r="2759" spans="2:9" x14ac:dyDescent="0.25">
      <c r="B2759">
        <v>0</v>
      </c>
      <c r="C2759" s="16" t="s">
        <v>12028</v>
      </c>
      <c r="D2759" s="16"/>
      <c r="E2759">
        <v>6</v>
      </c>
      <c r="F2759" t="s">
        <v>4680</v>
      </c>
      <c r="G2759">
        <v>1</v>
      </c>
      <c r="H2759">
        <v>0</v>
      </c>
      <c r="I2759">
        <f>1</f>
        <v>1</v>
      </c>
    </row>
    <row r="2760" spans="2:9" x14ac:dyDescent="0.25">
      <c r="B2760">
        <v>0</v>
      </c>
      <c r="C2760" s="16" t="s">
        <v>12029</v>
      </c>
      <c r="D2760" s="16"/>
      <c r="E2760">
        <v>6</v>
      </c>
      <c r="F2760" t="e">
        <f>--Meprobamato  DCI</f>
        <v>#NAME?</v>
      </c>
      <c r="G2760">
        <v>1</v>
      </c>
      <c r="H2760">
        <v>0</v>
      </c>
      <c r="I2760">
        <f>1</f>
        <v>1</v>
      </c>
    </row>
    <row r="2761" spans="2:9" x14ac:dyDescent="0.25">
      <c r="B2761">
        <v>0</v>
      </c>
      <c r="C2761" s="16" t="s">
        <v>12030</v>
      </c>
      <c r="D2761" s="16"/>
      <c r="E2761">
        <v>6</v>
      </c>
      <c r="F2761" t="s">
        <v>5869</v>
      </c>
      <c r="G2761">
        <v>1</v>
      </c>
      <c r="H2761">
        <v>0</v>
      </c>
      <c r="I2761">
        <f>1</f>
        <v>1</v>
      </c>
    </row>
    <row r="2762" spans="2:9" x14ac:dyDescent="0.25">
      <c r="B2762">
        <v>0</v>
      </c>
      <c r="C2762" s="16" t="s">
        <v>12031</v>
      </c>
      <c r="D2762" s="16"/>
      <c r="E2762">
        <v>6</v>
      </c>
      <c r="F2762" t="s">
        <v>5870</v>
      </c>
      <c r="G2762">
        <v>1</v>
      </c>
      <c r="H2762">
        <v>0</v>
      </c>
      <c r="I2762">
        <f>1</f>
        <v>1</v>
      </c>
    </row>
    <row r="2763" spans="2:9" x14ac:dyDescent="0.25">
      <c r="B2763">
        <v>0</v>
      </c>
      <c r="C2763" s="16" t="s">
        <v>12032</v>
      </c>
      <c r="D2763" s="16"/>
      <c r="E2763">
        <v>6</v>
      </c>
      <c r="F2763" t="s">
        <v>5871</v>
      </c>
      <c r="G2763">
        <v>1</v>
      </c>
      <c r="H2763">
        <v>0</v>
      </c>
      <c r="I2763">
        <f>1</f>
        <v>1</v>
      </c>
    </row>
    <row r="2764" spans="2:9" x14ac:dyDescent="0.25">
      <c r="B2764">
        <v>0</v>
      </c>
      <c r="C2764" s="16" t="s">
        <v>12033</v>
      </c>
      <c r="D2764" s="16"/>
      <c r="E2764">
        <v>6</v>
      </c>
      <c r="F2764" t="s">
        <v>5872</v>
      </c>
      <c r="G2764">
        <v>1</v>
      </c>
      <c r="H2764">
        <v>0</v>
      </c>
      <c r="I2764">
        <f>1</f>
        <v>1</v>
      </c>
    </row>
    <row r="2765" spans="2:9" x14ac:dyDescent="0.25">
      <c r="B2765">
        <v>0</v>
      </c>
      <c r="C2765" s="16" t="s">
        <v>12034</v>
      </c>
      <c r="D2765" s="16"/>
      <c r="E2765">
        <v>6</v>
      </c>
      <c r="F2765" t="s">
        <v>4680</v>
      </c>
      <c r="G2765">
        <v>1</v>
      </c>
      <c r="H2765">
        <v>0</v>
      </c>
      <c r="I2765">
        <f>1</f>
        <v>1</v>
      </c>
    </row>
    <row r="2766" spans="2:9" x14ac:dyDescent="0.25">
      <c r="B2766">
        <v>0</v>
      </c>
      <c r="C2766" s="16" t="s">
        <v>12035</v>
      </c>
      <c r="D2766" s="16"/>
      <c r="E2766">
        <v>6</v>
      </c>
      <c r="F2766" t="s">
        <v>5873</v>
      </c>
      <c r="G2766">
        <v>1</v>
      </c>
      <c r="H2766">
        <v>0</v>
      </c>
      <c r="I2766">
        <f>1</f>
        <v>1</v>
      </c>
    </row>
    <row r="2767" spans="2:9" x14ac:dyDescent="0.25">
      <c r="B2767">
        <v>0</v>
      </c>
      <c r="C2767" s="16" t="s">
        <v>12036</v>
      </c>
      <c r="D2767" s="16"/>
      <c r="E2767">
        <v>6</v>
      </c>
      <c r="F2767" t="s">
        <v>5874</v>
      </c>
      <c r="G2767">
        <v>1</v>
      </c>
      <c r="H2767">
        <v>0</v>
      </c>
      <c r="I2767">
        <f>1</f>
        <v>1</v>
      </c>
    </row>
    <row r="2768" spans="2:9" x14ac:dyDescent="0.25">
      <c r="B2768">
        <v>0</v>
      </c>
      <c r="C2768" s="16" t="s">
        <v>12037</v>
      </c>
      <c r="D2768" s="16"/>
      <c r="E2768">
        <v>6</v>
      </c>
      <c r="F2768" t="s">
        <v>4690</v>
      </c>
      <c r="G2768">
        <v>1</v>
      </c>
      <c r="H2768">
        <v>0</v>
      </c>
      <c r="I2768">
        <f>1</f>
        <v>1</v>
      </c>
    </row>
    <row r="2769" spans="2:9" x14ac:dyDescent="0.25">
      <c r="B2769">
        <v>0</v>
      </c>
      <c r="C2769" s="16" t="s">
        <v>12038</v>
      </c>
      <c r="D2769" s="16"/>
      <c r="E2769">
        <v>6</v>
      </c>
      <c r="F2769" t="s">
        <v>5875</v>
      </c>
      <c r="G2769">
        <v>1</v>
      </c>
      <c r="H2769">
        <v>0</v>
      </c>
      <c r="I2769">
        <f>1</f>
        <v>1</v>
      </c>
    </row>
    <row r="2770" spans="2:9" x14ac:dyDescent="0.25">
      <c r="B2770">
        <v>0</v>
      </c>
      <c r="C2770" s="16" t="s">
        <v>12039</v>
      </c>
      <c r="D2770" s="16"/>
      <c r="E2770">
        <v>6</v>
      </c>
      <c r="F2770" t="s">
        <v>5876</v>
      </c>
      <c r="G2770">
        <v>1</v>
      </c>
      <c r="H2770">
        <v>0</v>
      </c>
      <c r="I2770">
        <f>1</f>
        <v>1</v>
      </c>
    </row>
    <row r="2771" spans="2:9" x14ac:dyDescent="0.25">
      <c r="B2771">
        <v>0</v>
      </c>
      <c r="C2771" s="16" t="s">
        <v>12040</v>
      </c>
      <c r="D2771" s="16"/>
      <c r="E2771">
        <v>6</v>
      </c>
      <c r="F2771" t="s">
        <v>4680</v>
      </c>
      <c r="G2771">
        <v>1</v>
      </c>
      <c r="H2771">
        <v>0</v>
      </c>
      <c r="I2771">
        <f>1</f>
        <v>1</v>
      </c>
    </row>
    <row r="2772" spans="2:9" x14ac:dyDescent="0.25">
      <c r="B2772">
        <v>0</v>
      </c>
      <c r="C2772" s="16" t="s">
        <v>12041</v>
      </c>
      <c r="D2772" s="16"/>
      <c r="E2772">
        <v>6</v>
      </c>
      <c r="F2772" t="s">
        <v>5877</v>
      </c>
      <c r="G2772">
        <v>1</v>
      </c>
      <c r="H2772">
        <v>0</v>
      </c>
      <c r="I2772">
        <f>1</f>
        <v>1</v>
      </c>
    </row>
    <row r="2773" spans="2:9" x14ac:dyDescent="0.25">
      <c r="B2773">
        <v>0</v>
      </c>
      <c r="C2773" s="16" t="s">
        <v>12042</v>
      </c>
      <c r="D2773" s="16"/>
      <c r="E2773">
        <v>6</v>
      </c>
      <c r="F2773" t="s">
        <v>4680</v>
      </c>
      <c r="G2773">
        <v>1</v>
      </c>
      <c r="H2773">
        <v>0</v>
      </c>
      <c r="I2773">
        <f>1</f>
        <v>1</v>
      </c>
    </row>
    <row r="2774" spans="2:9" x14ac:dyDescent="0.25">
      <c r="B2774">
        <v>0</v>
      </c>
      <c r="C2774" s="16" t="s">
        <v>12043</v>
      </c>
      <c r="D2774" s="16"/>
      <c r="E2774">
        <v>6</v>
      </c>
      <c r="F2774" t="s">
        <v>5878</v>
      </c>
      <c r="G2774">
        <v>1</v>
      </c>
      <c r="H2774">
        <v>0</v>
      </c>
      <c r="I2774">
        <f>1</f>
        <v>1</v>
      </c>
    </row>
    <row r="2775" spans="2:9" x14ac:dyDescent="0.25">
      <c r="B2775">
        <v>0</v>
      </c>
      <c r="C2775" s="16" t="s">
        <v>12044</v>
      </c>
      <c r="D2775" s="16"/>
      <c r="E2775">
        <v>6</v>
      </c>
      <c r="F2775" t="s">
        <v>5879</v>
      </c>
      <c r="G2775">
        <v>1</v>
      </c>
      <c r="H2775">
        <v>0</v>
      </c>
      <c r="I2775">
        <f>1</f>
        <v>1</v>
      </c>
    </row>
    <row r="2776" spans="2:9" x14ac:dyDescent="0.25">
      <c r="B2776">
        <v>0</v>
      </c>
      <c r="C2776" s="16" t="s">
        <v>12045</v>
      </c>
      <c r="D2776" s="16"/>
      <c r="E2776">
        <v>6</v>
      </c>
      <c r="F2776" t="s">
        <v>5880</v>
      </c>
      <c r="G2776">
        <v>1</v>
      </c>
      <c r="H2776">
        <v>0</v>
      </c>
      <c r="I2776">
        <f>1</f>
        <v>1</v>
      </c>
    </row>
    <row r="2777" spans="2:9" x14ac:dyDescent="0.25">
      <c r="B2777">
        <v>0</v>
      </c>
      <c r="C2777" s="16" t="s">
        <v>12046</v>
      </c>
      <c r="D2777" s="16"/>
      <c r="E2777">
        <v>6</v>
      </c>
      <c r="F2777" t="s">
        <v>5881</v>
      </c>
      <c r="G2777">
        <v>1</v>
      </c>
      <c r="H2777">
        <v>0</v>
      </c>
      <c r="I2777">
        <f>1</f>
        <v>1</v>
      </c>
    </row>
    <row r="2778" spans="2:9" x14ac:dyDescent="0.25">
      <c r="B2778">
        <v>0</v>
      </c>
      <c r="C2778" s="16" t="s">
        <v>12047</v>
      </c>
      <c r="D2778" s="16"/>
      <c r="E2778">
        <v>6</v>
      </c>
      <c r="F2778" t="s">
        <v>4680</v>
      </c>
      <c r="G2778">
        <v>1</v>
      </c>
      <c r="H2778">
        <v>0</v>
      </c>
      <c r="I2778">
        <f>1</f>
        <v>1</v>
      </c>
    </row>
    <row r="2779" spans="2:9" x14ac:dyDescent="0.25">
      <c r="B2779">
        <v>0</v>
      </c>
      <c r="C2779" s="16" t="s">
        <v>12048</v>
      </c>
      <c r="D2779" s="16"/>
      <c r="E2779">
        <v>6</v>
      </c>
      <c r="F2779" t="s">
        <v>5882</v>
      </c>
      <c r="G2779">
        <v>1</v>
      </c>
      <c r="H2779">
        <v>0</v>
      </c>
      <c r="I2779">
        <f>1</f>
        <v>1</v>
      </c>
    </row>
    <row r="2780" spans="2:9" x14ac:dyDescent="0.25">
      <c r="B2780">
        <v>0</v>
      </c>
      <c r="C2780" s="16" t="s">
        <v>12049</v>
      </c>
      <c r="D2780" s="16"/>
      <c r="E2780">
        <v>6</v>
      </c>
      <c r="F2780" t="s">
        <v>4680</v>
      </c>
      <c r="G2780">
        <v>1</v>
      </c>
      <c r="H2780">
        <v>0</v>
      </c>
      <c r="I2780">
        <f>1</f>
        <v>1</v>
      </c>
    </row>
    <row r="2781" spans="2:9" x14ac:dyDescent="0.25">
      <c r="B2781">
        <v>0</v>
      </c>
      <c r="C2781" s="16" t="s">
        <v>12050</v>
      </c>
      <c r="D2781" s="16"/>
      <c r="E2781">
        <v>6</v>
      </c>
      <c r="F2781" t="s">
        <v>5883</v>
      </c>
      <c r="G2781">
        <v>1</v>
      </c>
      <c r="H2781">
        <v>0</v>
      </c>
      <c r="I2781">
        <f>1</f>
        <v>1</v>
      </c>
    </row>
    <row r="2782" spans="2:9" x14ac:dyDescent="0.25">
      <c r="B2782">
        <v>0</v>
      </c>
      <c r="C2782" s="16" t="s">
        <v>12051</v>
      </c>
      <c r="D2782" s="16"/>
      <c r="E2782">
        <v>6</v>
      </c>
      <c r="F2782" t="s">
        <v>4680</v>
      </c>
      <c r="G2782">
        <v>1</v>
      </c>
      <c r="H2782">
        <v>0</v>
      </c>
      <c r="I2782">
        <f>1</f>
        <v>1</v>
      </c>
    </row>
    <row r="2783" spans="2:9" x14ac:dyDescent="0.25">
      <c r="B2783">
        <v>0</v>
      </c>
      <c r="C2783" s="16" t="s">
        <v>12052</v>
      </c>
      <c r="D2783" s="16"/>
      <c r="E2783">
        <v>6</v>
      </c>
      <c r="F2783" t="s">
        <v>5884</v>
      </c>
      <c r="G2783">
        <v>1</v>
      </c>
      <c r="H2783">
        <v>0</v>
      </c>
      <c r="I2783">
        <f>1</f>
        <v>1</v>
      </c>
    </row>
    <row r="2784" spans="2:9" x14ac:dyDescent="0.25">
      <c r="B2784">
        <v>0</v>
      </c>
      <c r="C2784" s="16" t="s">
        <v>12053</v>
      </c>
      <c r="D2784" s="16"/>
      <c r="E2784">
        <v>6</v>
      </c>
      <c r="F2784" t="e">
        <f>--Etinamato  DCI</f>
        <v>#NAME?</v>
      </c>
      <c r="G2784">
        <v>1</v>
      </c>
      <c r="H2784">
        <v>0</v>
      </c>
      <c r="I2784">
        <f>1</f>
        <v>1</v>
      </c>
    </row>
    <row r="2785" spans="2:9" x14ac:dyDescent="0.25">
      <c r="B2785">
        <v>0</v>
      </c>
      <c r="C2785" s="16" t="s">
        <v>12054</v>
      </c>
      <c r="D2785" s="16"/>
      <c r="E2785">
        <v>6</v>
      </c>
      <c r="F2785" t="s">
        <v>5885</v>
      </c>
      <c r="G2785">
        <v>1</v>
      </c>
      <c r="H2785">
        <v>0</v>
      </c>
      <c r="I2785">
        <f>1</f>
        <v>1</v>
      </c>
    </row>
    <row r="2786" spans="2:9" x14ac:dyDescent="0.25">
      <c r="B2786">
        <v>0</v>
      </c>
      <c r="C2786" s="16" t="s">
        <v>12055</v>
      </c>
      <c r="D2786" s="16"/>
      <c r="E2786">
        <v>6</v>
      </c>
      <c r="F2786" t="s">
        <v>5886</v>
      </c>
      <c r="G2786">
        <v>1</v>
      </c>
      <c r="H2786">
        <v>0</v>
      </c>
      <c r="I2786">
        <f>1</f>
        <v>1</v>
      </c>
    </row>
    <row r="2787" spans="2:9" x14ac:dyDescent="0.25">
      <c r="B2787">
        <v>0</v>
      </c>
      <c r="C2787" s="16" t="s">
        <v>12056</v>
      </c>
      <c r="D2787" s="16"/>
      <c r="E2787">
        <v>6</v>
      </c>
      <c r="F2787" t="s">
        <v>5887</v>
      </c>
      <c r="G2787">
        <v>1</v>
      </c>
      <c r="H2787">
        <v>0</v>
      </c>
      <c r="I2787">
        <f>1</f>
        <v>1</v>
      </c>
    </row>
    <row r="2788" spans="2:9" x14ac:dyDescent="0.25">
      <c r="B2788">
        <v>0</v>
      </c>
      <c r="C2788" s="16" t="s">
        <v>12057</v>
      </c>
      <c r="D2788" s="16"/>
      <c r="E2788">
        <v>6</v>
      </c>
      <c r="F2788" t="s">
        <v>5888</v>
      </c>
      <c r="G2788">
        <v>1</v>
      </c>
      <c r="H2788">
        <v>0</v>
      </c>
      <c r="I2788">
        <f>1</f>
        <v>1</v>
      </c>
    </row>
    <row r="2789" spans="2:9" x14ac:dyDescent="0.25">
      <c r="B2789">
        <v>0</v>
      </c>
      <c r="C2789" s="16" t="s">
        <v>12058</v>
      </c>
      <c r="D2789" s="16"/>
      <c r="E2789">
        <v>6</v>
      </c>
      <c r="F2789" t="s">
        <v>5889</v>
      </c>
      <c r="G2789">
        <v>1</v>
      </c>
      <c r="H2789">
        <v>0</v>
      </c>
      <c r="I2789">
        <f>1</f>
        <v>1</v>
      </c>
    </row>
    <row r="2790" spans="2:9" x14ac:dyDescent="0.25">
      <c r="B2790">
        <v>0</v>
      </c>
      <c r="C2790" s="16" t="s">
        <v>12059</v>
      </c>
      <c r="D2790" s="16"/>
      <c r="E2790">
        <v>6</v>
      </c>
      <c r="F2790" t="s">
        <v>4680</v>
      </c>
      <c r="G2790">
        <v>1</v>
      </c>
      <c r="H2790">
        <v>0</v>
      </c>
      <c r="I2790">
        <f>1</f>
        <v>1</v>
      </c>
    </row>
    <row r="2791" spans="2:9" x14ac:dyDescent="0.25">
      <c r="B2791">
        <v>0</v>
      </c>
      <c r="C2791" s="16" t="s">
        <v>12060</v>
      </c>
      <c r="D2791" s="16"/>
      <c r="E2791">
        <v>6</v>
      </c>
      <c r="F2791" t="s">
        <v>5890</v>
      </c>
      <c r="G2791">
        <v>1</v>
      </c>
      <c r="H2791">
        <v>0</v>
      </c>
      <c r="I2791">
        <f>1</f>
        <v>1</v>
      </c>
    </row>
    <row r="2792" spans="2:9" x14ac:dyDescent="0.25">
      <c r="B2792">
        <v>0</v>
      </c>
      <c r="C2792" s="16" t="s">
        <v>12061</v>
      </c>
      <c r="D2792" s="16"/>
      <c r="E2792">
        <v>6</v>
      </c>
      <c r="F2792" t="s">
        <v>5891</v>
      </c>
      <c r="G2792">
        <v>1</v>
      </c>
      <c r="H2792">
        <v>0</v>
      </c>
      <c r="I2792">
        <f>1</f>
        <v>1</v>
      </c>
    </row>
    <row r="2793" spans="2:9" x14ac:dyDescent="0.25">
      <c r="B2793">
        <v>0</v>
      </c>
      <c r="C2793" s="16" t="s">
        <v>12062</v>
      </c>
      <c r="D2793" s="16"/>
      <c r="E2793">
        <v>6</v>
      </c>
      <c r="F2793" t="s">
        <v>5892</v>
      </c>
      <c r="G2793">
        <v>1</v>
      </c>
      <c r="H2793">
        <v>0</v>
      </c>
      <c r="I2793">
        <f>1</f>
        <v>1</v>
      </c>
    </row>
    <row r="2794" spans="2:9" x14ac:dyDescent="0.25">
      <c r="B2794">
        <v>0</v>
      </c>
      <c r="C2794" s="16" t="s">
        <v>12063</v>
      </c>
      <c r="D2794" s="16"/>
      <c r="E2794">
        <v>6</v>
      </c>
      <c r="F2794" t="s">
        <v>4680</v>
      </c>
      <c r="G2794">
        <v>1</v>
      </c>
      <c r="H2794">
        <v>0</v>
      </c>
      <c r="I2794">
        <f>1</f>
        <v>1</v>
      </c>
    </row>
    <row r="2795" spans="2:9" x14ac:dyDescent="0.25">
      <c r="B2795">
        <v>0</v>
      </c>
      <c r="C2795" s="16" t="s">
        <v>12064</v>
      </c>
      <c r="D2795" s="16"/>
      <c r="E2795">
        <v>6</v>
      </c>
      <c r="F2795" t="s">
        <v>5893</v>
      </c>
      <c r="G2795">
        <v>1</v>
      </c>
      <c r="H2795">
        <v>0</v>
      </c>
      <c r="I2795">
        <f>1</f>
        <v>1</v>
      </c>
    </row>
    <row r="2796" spans="2:9" x14ac:dyDescent="0.25">
      <c r="B2796">
        <v>0</v>
      </c>
      <c r="C2796" s="16" t="s">
        <v>12065</v>
      </c>
      <c r="D2796" s="16"/>
      <c r="E2796">
        <v>6</v>
      </c>
      <c r="F2796" t="s">
        <v>5894</v>
      </c>
      <c r="G2796">
        <v>1</v>
      </c>
      <c r="H2796">
        <v>0</v>
      </c>
      <c r="I2796">
        <f>1</f>
        <v>1</v>
      </c>
    </row>
    <row r="2797" spans="2:9" x14ac:dyDescent="0.25">
      <c r="B2797">
        <v>0</v>
      </c>
      <c r="C2797" s="16" t="s">
        <v>12066</v>
      </c>
      <c r="D2797" s="16"/>
      <c r="E2797">
        <v>6</v>
      </c>
      <c r="F2797" t="s">
        <v>5895</v>
      </c>
      <c r="G2797">
        <v>1</v>
      </c>
      <c r="H2797">
        <v>0</v>
      </c>
      <c r="I2797">
        <f>1</f>
        <v>1</v>
      </c>
    </row>
    <row r="2798" spans="2:9" x14ac:dyDescent="0.25">
      <c r="B2798">
        <v>0</v>
      </c>
      <c r="C2798" s="16" t="s">
        <v>12067</v>
      </c>
      <c r="D2798" s="16"/>
      <c r="E2798">
        <v>6</v>
      </c>
      <c r="F2798" t="s">
        <v>5896</v>
      </c>
      <c r="G2798">
        <v>1</v>
      </c>
      <c r="H2798">
        <v>0</v>
      </c>
      <c r="I2798">
        <f>1</f>
        <v>1</v>
      </c>
    </row>
    <row r="2799" spans="2:9" x14ac:dyDescent="0.25">
      <c r="B2799">
        <v>0</v>
      </c>
      <c r="C2799" s="16" t="s">
        <v>12068</v>
      </c>
      <c r="D2799" s="16"/>
      <c r="E2799">
        <v>6</v>
      </c>
      <c r="F2799" t="s">
        <v>5897</v>
      </c>
      <c r="G2799">
        <v>1</v>
      </c>
      <c r="H2799">
        <v>0</v>
      </c>
      <c r="I2799">
        <f>1</f>
        <v>1</v>
      </c>
    </row>
    <row r="2800" spans="2:9" x14ac:dyDescent="0.25">
      <c r="B2800">
        <v>0</v>
      </c>
      <c r="C2800" s="16" t="s">
        <v>12069</v>
      </c>
      <c r="D2800" s="16"/>
      <c r="E2800">
        <v>6</v>
      </c>
      <c r="F2800" t="s">
        <v>5898</v>
      </c>
      <c r="G2800">
        <v>1</v>
      </c>
      <c r="H2800">
        <v>0</v>
      </c>
      <c r="I2800">
        <f>1</f>
        <v>1</v>
      </c>
    </row>
    <row r="2801" spans="2:9" x14ac:dyDescent="0.25">
      <c r="B2801">
        <v>0</v>
      </c>
      <c r="C2801" s="16" t="s">
        <v>12070</v>
      </c>
      <c r="D2801" s="16"/>
      <c r="E2801">
        <v>6</v>
      </c>
      <c r="F2801" t="s">
        <v>5899</v>
      </c>
      <c r="G2801">
        <v>1</v>
      </c>
      <c r="H2801">
        <v>0</v>
      </c>
      <c r="I2801">
        <f>1</f>
        <v>1</v>
      </c>
    </row>
    <row r="2802" spans="2:9" x14ac:dyDescent="0.25">
      <c r="B2802">
        <v>0</v>
      </c>
      <c r="C2802" s="16" t="s">
        <v>12071</v>
      </c>
      <c r="D2802" s="16"/>
      <c r="E2802">
        <v>6</v>
      </c>
      <c r="F2802" t="s">
        <v>4680</v>
      </c>
      <c r="G2802">
        <v>1</v>
      </c>
      <c r="H2802">
        <v>0</v>
      </c>
      <c r="I2802">
        <f>1</f>
        <v>1</v>
      </c>
    </row>
    <row r="2803" spans="2:9" x14ac:dyDescent="0.25">
      <c r="B2803">
        <v>0</v>
      </c>
      <c r="C2803" s="16" t="s">
        <v>12072</v>
      </c>
      <c r="D2803" s="16"/>
      <c r="E2803">
        <v>6</v>
      </c>
      <c r="F2803" t="s">
        <v>2554</v>
      </c>
      <c r="G2803">
        <v>1</v>
      </c>
      <c r="H2803">
        <v>0</v>
      </c>
      <c r="I2803">
        <f>1</f>
        <v>1</v>
      </c>
    </row>
    <row r="2804" spans="2:9" x14ac:dyDescent="0.25">
      <c r="B2804">
        <v>0</v>
      </c>
      <c r="C2804" s="16" t="s">
        <v>12073</v>
      </c>
      <c r="D2804" s="16"/>
      <c r="E2804">
        <v>6</v>
      </c>
      <c r="F2804" t="s">
        <v>5900</v>
      </c>
      <c r="G2804">
        <v>1</v>
      </c>
      <c r="H2804">
        <v>0</v>
      </c>
      <c r="I2804">
        <f>1</f>
        <v>1</v>
      </c>
    </row>
    <row r="2805" spans="2:9" x14ac:dyDescent="0.25">
      <c r="B2805">
        <v>0</v>
      </c>
      <c r="C2805" s="16" t="s">
        <v>12074</v>
      </c>
      <c r="D2805" s="16"/>
      <c r="E2805">
        <v>6</v>
      </c>
      <c r="F2805" t="s">
        <v>4680</v>
      </c>
      <c r="G2805">
        <v>1</v>
      </c>
      <c r="H2805">
        <v>0</v>
      </c>
      <c r="I2805">
        <f>1</f>
        <v>1</v>
      </c>
    </row>
    <row r="2806" spans="2:9" x14ac:dyDescent="0.25">
      <c r="B2806">
        <v>0</v>
      </c>
      <c r="C2806" s="16" t="s">
        <v>12075</v>
      </c>
      <c r="D2806" s="16"/>
      <c r="E2806">
        <v>6</v>
      </c>
      <c r="F2806" t="s">
        <v>5901</v>
      </c>
      <c r="G2806">
        <v>1</v>
      </c>
      <c r="H2806">
        <v>0</v>
      </c>
      <c r="I2806">
        <f>1</f>
        <v>1</v>
      </c>
    </row>
    <row r="2807" spans="2:9" x14ac:dyDescent="0.25">
      <c r="B2807">
        <v>0</v>
      </c>
      <c r="C2807" s="16" t="s">
        <v>12076</v>
      </c>
      <c r="D2807" s="16"/>
      <c r="E2807">
        <v>6</v>
      </c>
      <c r="F2807" t="s">
        <v>5902</v>
      </c>
      <c r="G2807">
        <v>1</v>
      </c>
      <c r="H2807">
        <v>0</v>
      </c>
      <c r="I2807">
        <f>1</f>
        <v>1</v>
      </c>
    </row>
    <row r="2808" spans="2:9" x14ac:dyDescent="0.25">
      <c r="B2808">
        <v>0</v>
      </c>
      <c r="C2808" s="16" t="s">
        <v>12077</v>
      </c>
      <c r="D2808" s="16"/>
      <c r="E2808">
        <v>6</v>
      </c>
      <c r="F2808" t="s">
        <v>5903</v>
      </c>
      <c r="G2808">
        <v>1</v>
      </c>
      <c r="H2808">
        <v>0</v>
      </c>
      <c r="I2808">
        <f>1</f>
        <v>1</v>
      </c>
    </row>
    <row r="2809" spans="2:9" x14ac:dyDescent="0.25">
      <c r="B2809">
        <v>0</v>
      </c>
      <c r="C2809" s="16" t="s">
        <v>12078</v>
      </c>
      <c r="D2809" s="16"/>
      <c r="E2809">
        <v>6</v>
      </c>
      <c r="F2809" t="s">
        <v>5904</v>
      </c>
      <c r="G2809">
        <v>1</v>
      </c>
      <c r="H2809">
        <v>0</v>
      </c>
      <c r="I2809">
        <f>1</f>
        <v>1</v>
      </c>
    </row>
    <row r="2810" spans="2:9" x14ac:dyDescent="0.25">
      <c r="B2810">
        <v>0</v>
      </c>
      <c r="C2810" s="16" t="s">
        <v>12079</v>
      </c>
      <c r="D2810" s="16"/>
      <c r="E2810">
        <v>6</v>
      </c>
      <c r="F2810" t="s">
        <v>4680</v>
      </c>
      <c r="G2810">
        <v>1</v>
      </c>
      <c r="H2810">
        <v>0</v>
      </c>
      <c r="I2810">
        <f>1</f>
        <v>1</v>
      </c>
    </row>
    <row r="2811" spans="2:9" x14ac:dyDescent="0.25">
      <c r="B2811">
        <v>0</v>
      </c>
      <c r="C2811" s="16" t="s">
        <v>12080</v>
      </c>
      <c r="D2811" s="16"/>
      <c r="E2811">
        <v>6</v>
      </c>
      <c r="F2811" t="s">
        <v>5905</v>
      </c>
      <c r="G2811">
        <v>1</v>
      </c>
      <c r="H2811">
        <v>0</v>
      </c>
      <c r="I2811">
        <f>1</f>
        <v>1</v>
      </c>
    </row>
    <row r="2812" spans="2:9" x14ac:dyDescent="0.25">
      <c r="B2812">
        <v>0</v>
      </c>
      <c r="C2812" s="16" t="s">
        <v>12081</v>
      </c>
      <c r="D2812" s="16"/>
      <c r="E2812">
        <v>6</v>
      </c>
      <c r="F2812" t="s">
        <v>5906</v>
      </c>
      <c r="G2812">
        <v>1</v>
      </c>
      <c r="H2812">
        <v>0</v>
      </c>
      <c r="I2812">
        <f>1</f>
        <v>1</v>
      </c>
    </row>
    <row r="2813" spans="2:9" x14ac:dyDescent="0.25">
      <c r="B2813">
        <v>0</v>
      </c>
      <c r="C2813" s="16" t="s">
        <v>12082</v>
      </c>
      <c r="D2813" s="16"/>
      <c r="E2813">
        <v>6</v>
      </c>
      <c r="F2813" t="s">
        <v>5907</v>
      </c>
      <c r="G2813">
        <v>1</v>
      </c>
      <c r="H2813">
        <v>0</v>
      </c>
      <c r="I2813">
        <f>1</f>
        <v>1</v>
      </c>
    </row>
    <row r="2814" spans="2:9" x14ac:dyDescent="0.25">
      <c r="B2814">
        <v>0</v>
      </c>
      <c r="C2814" s="16" t="s">
        <v>12083</v>
      </c>
      <c r="D2814" s="16"/>
      <c r="E2814">
        <v>6</v>
      </c>
      <c r="F2814" t="s">
        <v>5908</v>
      </c>
      <c r="G2814">
        <v>1</v>
      </c>
      <c r="H2814">
        <v>0</v>
      </c>
      <c r="I2814">
        <f>1</f>
        <v>1</v>
      </c>
    </row>
    <row r="2815" spans="2:9" x14ac:dyDescent="0.25">
      <c r="B2815">
        <v>0</v>
      </c>
      <c r="C2815" s="16" t="s">
        <v>12084</v>
      </c>
      <c r="D2815" s="16"/>
      <c r="E2815">
        <v>6</v>
      </c>
      <c r="F2815" t="s">
        <v>5909</v>
      </c>
      <c r="G2815">
        <v>1</v>
      </c>
      <c r="H2815">
        <v>0</v>
      </c>
      <c r="I2815">
        <f>1</f>
        <v>1</v>
      </c>
    </row>
    <row r="2816" spans="2:9" x14ac:dyDescent="0.25">
      <c r="B2816">
        <v>0</v>
      </c>
      <c r="C2816" s="16" t="s">
        <v>12085</v>
      </c>
      <c r="D2816" s="16"/>
      <c r="E2816">
        <v>6</v>
      </c>
      <c r="F2816" t="s">
        <v>5910</v>
      </c>
      <c r="G2816">
        <v>1</v>
      </c>
      <c r="H2816">
        <v>0</v>
      </c>
      <c r="I2816">
        <f>1</f>
        <v>1</v>
      </c>
    </row>
    <row r="2817" spans="2:9" x14ac:dyDescent="0.25">
      <c r="B2817">
        <v>0</v>
      </c>
      <c r="C2817" s="16" t="s">
        <v>12086</v>
      </c>
      <c r="D2817" s="16"/>
      <c r="E2817">
        <v>6</v>
      </c>
      <c r="F2817" t="s">
        <v>4680</v>
      </c>
      <c r="G2817">
        <v>1</v>
      </c>
      <c r="H2817">
        <v>0</v>
      </c>
      <c r="I2817">
        <f>1</f>
        <v>1</v>
      </c>
    </row>
    <row r="2818" spans="2:9" x14ac:dyDescent="0.25">
      <c r="B2818">
        <v>0</v>
      </c>
      <c r="C2818" s="16" t="s">
        <v>12087</v>
      </c>
      <c r="D2818" s="16"/>
      <c r="E2818">
        <v>6</v>
      </c>
      <c r="F2818" t="e">
        <f>--sacarina e seus sais</f>
        <v>#NAME?</v>
      </c>
      <c r="G2818">
        <v>1</v>
      </c>
      <c r="H2818">
        <v>0</v>
      </c>
      <c r="I2818">
        <f>1</f>
        <v>1</v>
      </c>
    </row>
    <row r="2819" spans="2:9" x14ac:dyDescent="0.25">
      <c r="B2819">
        <v>0</v>
      </c>
      <c r="C2819" s="16" t="s">
        <v>12088</v>
      </c>
      <c r="D2819" s="16"/>
      <c r="E2819">
        <v>6</v>
      </c>
      <c r="F2819" t="e">
        <f>--Glutetimida  DCI</f>
        <v>#NAME?</v>
      </c>
      <c r="G2819">
        <v>1</v>
      </c>
      <c r="H2819">
        <v>0</v>
      </c>
      <c r="I2819">
        <f>1</f>
        <v>1</v>
      </c>
    </row>
    <row r="2820" spans="2:9" x14ac:dyDescent="0.25">
      <c r="B2820">
        <v>0</v>
      </c>
      <c r="C2820" s="16" t="s">
        <v>12089</v>
      </c>
      <c r="D2820" s="16"/>
      <c r="E2820">
        <v>6</v>
      </c>
      <c r="F2820" t="s">
        <v>5911</v>
      </c>
      <c r="G2820">
        <v>1</v>
      </c>
      <c r="H2820">
        <v>0</v>
      </c>
      <c r="I2820">
        <f>1</f>
        <v>1</v>
      </c>
    </row>
    <row r="2821" spans="2:9" x14ac:dyDescent="0.25">
      <c r="B2821">
        <v>0</v>
      </c>
      <c r="C2821" s="16" t="s">
        <v>12090</v>
      </c>
      <c r="D2821" s="16"/>
      <c r="E2821">
        <v>6</v>
      </c>
      <c r="F2821" t="s">
        <v>4680</v>
      </c>
      <c r="G2821">
        <v>1</v>
      </c>
      <c r="H2821">
        <v>0</v>
      </c>
      <c r="I2821">
        <f>1</f>
        <v>1</v>
      </c>
    </row>
    <row r="2822" spans="2:9" x14ac:dyDescent="0.25">
      <c r="B2822">
        <v>0</v>
      </c>
      <c r="C2822" s="16" t="s">
        <v>12091</v>
      </c>
      <c r="D2822" s="16"/>
      <c r="E2822">
        <v>6</v>
      </c>
      <c r="F2822" t="e">
        <f>--Clordimeforme  ISO</f>
        <v>#NAME?</v>
      </c>
      <c r="G2822">
        <v>1</v>
      </c>
      <c r="H2822">
        <v>0</v>
      </c>
      <c r="I2822">
        <f>1</f>
        <v>1</v>
      </c>
    </row>
    <row r="2823" spans="2:9" x14ac:dyDescent="0.25">
      <c r="B2823">
        <v>0</v>
      </c>
      <c r="C2823" s="16" t="s">
        <v>12092</v>
      </c>
      <c r="D2823" s="16"/>
      <c r="E2823">
        <v>6</v>
      </c>
      <c r="F2823" t="s">
        <v>5912</v>
      </c>
      <c r="G2823">
        <v>1</v>
      </c>
      <c r="H2823">
        <v>0</v>
      </c>
      <c r="I2823">
        <f>1</f>
        <v>1</v>
      </c>
    </row>
    <row r="2824" spans="2:9" x14ac:dyDescent="0.25">
      <c r="B2824">
        <v>0</v>
      </c>
      <c r="C2824" s="16" t="s">
        <v>12093</v>
      </c>
      <c r="D2824" s="16"/>
      <c r="E2824">
        <v>6</v>
      </c>
      <c r="F2824" t="s">
        <v>4680</v>
      </c>
      <c r="G2824">
        <v>1</v>
      </c>
      <c r="H2824">
        <v>0</v>
      </c>
      <c r="I2824">
        <f>1</f>
        <v>1</v>
      </c>
    </row>
    <row r="2825" spans="2:9" x14ac:dyDescent="0.25">
      <c r="B2825">
        <v>0</v>
      </c>
      <c r="C2825" s="16" t="s">
        <v>12094</v>
      </c>
      <c r="D2825" s="16"/>
      <c r="E2825">
        <v>6</v>
      </c>
      <c r="F2825" t="s">
        <v>5913</v>
      </c>
      <c r="G2825">
        <v>1</v>
      </c>
      <c r="H2825">
        <v>0</v>
      </c>
      <c r="I2825">
        <f>1</f>
        <v>1</v>
      </c>
    </row>
    <row r="2826" spans="2:9" x14ac:dyDescent="0.25">
      <c r="B2826">
        <v>0</v>
      </c>
      <c r="C2826" s="16" t="s">
        <v>12095</v>
      </c>
      <c r="D2826" s="16"/>
      <c r="E2826">
        <v>6</v>
      </c>
      <c r="F2826" t="s">
        <v>5914</v>
      </c>
      <c r="G2826">
        <v>1</v>
      </c>
      <c r="H2826">
        <v>0</v>
      </c>
      <c r="I2826">
        <f>1</f>
        <v>1</v>
      </c>
    </row>
    <row r="2827" spans="2:9" x14ac:dyDescent="0.25">
      <c r="B2827">
        <v>0</v>
      </c>
      <c r="C2827" s="16" t="s">
        <v>12096</v>
      </c>
      <c r="D2827" s="16"/>
      <c r="E2827">
        <v>6</v>
      </c>
      <c r="F2827" t="s">
        <v>5915</v>
      </c>
      <c r="G2827">
        <v>1</v>
      </c>
      <c r="H2827">
        <v>0</v>
      </c>
      <c r="I2827">
        <f>1</f>
        <v>1</v>
      </c>
    </row>
    <row r="2828" spans="2:9" x14ac:dyDescent="0.25">
      <c r="B2828">
        <v>0</v>
      </c>
      <c r="C2828" s="16" t="s">
        <v>12097</v>
      </c>
      <c r="D2828" s="16"/>
      <c r="E2828">
        <v>6</v>
      </c>
      <c r="F2828" t="s">
        <v>4680</v>
      </c>
      <c r="G2828">
        <v>1</v>
      </c>
      <c r="H2828">
        <v>0</v>
      </c>
      <c r="I2828">
        <f>1</f>
        <v>1</v>
      </c>
    </row>
    <row r="2829" spans="2:9" x14ac:dyDescent="0.25">
      <c r="B2829">
        <v>0</v>
      </c>
      <c r="C2829" s="16" t="s">
        <v>12098</v>
      </c>
      <c r="D2829" s="16"/>
      <c r="E2829">
        <v>6</v>
      </c>
      <c r="F2829" t="s">
        <v>5916</v>
      </c>
      <c r="G2829">
        <v>1</v>
      </c>
      <c r="H2829">
        <v>0</v>
      </c>
      <c r="I2829">
        <f>1</f>
        <v>1</v>
      </c>
    </row>
    <row r="2830" spans="2:9" x14ac:dyDescent="0.25">
      <c r="B2830">
        <v>0</v>
      </c>
      <c r="C2830" s="16" t="s">
        <v>12099</v>
      </c>
      <c r="D2830" s="16"/>
      <c r="E2830">
        <v>6</v>
      </c>
      <c r="F2830" t="s">
        <v>5917</v>
      </c>
      <c r="G2830">
        <v>1</v>
      </c>
      <c r="H2830">
        <v>0</v>
      </c>
      <c r="I2830">
        <f>1</f>
        <v>1</v>
      </c>
    </row>
    <row r="2831" spans="2:9" x14ac:dyDescent="0.25">
      <c r="B2831">
        <v>0</v>
      </c>
      <c r="C2831" s="16" t="s">
        <v>12100</v>
      </c>
      <c r="D2831" s="16"/>
      <c r="E2831">
        <v>6</v>
      </c>
      <c r="F2831" t="s">
        <v>5918</v>
      </c>
      <c r="G2831">
        <v>1</v>
      </c>
      <c r="H2831">
        <v>0</v>
      </c>
      <c r="I2831">
        <f>1</f>
        <v>1</v>
      </c>
    </row>
    <row r="2832" spans="2:9" x14ac:dyDescent="0.25">
      <c r="B2832">
        <v>0</v>
      </c>
      <c r="C2832" s="16" t="s">
        <v>12101</v>
      </c>
      <c r="D2832" s="16"/>
      <c r="E2832">
        <v>6</v>
      </c>
      <c r="F2832" t="s">
        <v>4680</v>
      </c>
      <c r="G2832">
        <v>1</v>
      </c>
      <c r="H2832">
        <v>0</v>
      </c>
      <c r="I2832">
        <f>1</f>
        <v>1</v>
      </c>
    </row>
    <row r="2833" spans="2:9" x14ac:dyDescent="0.25">
      <c r="B2833">
        <v>0</v>
      </c>
      <c r="C2833" s="16" t="s">
        <v>12102</v>
      </c>
      <c r="D2833" s="16"/>
      <c r="E2833">
        <v>6</v>
      </c>
      <c r="F2833" t="e">
        <f>-Acrilonitrila</f>
        <v>#NAME?</v>
      </c>
      <c r="G2833">
        <v>1</v>
      </c>
      <c r="H2833">
        <v>0</v>
      </c>
      <c r="I2833">
        <f>1</f>
        <v>1</v>
      </c>
    </row>
    <row r="2834" spans="2:9" x14ac:dyDescent="0.25">
      <c r="B2834">
        <v>0</v>
      </c>
      <c r="C2834" s="16" t="s">
        <v>12103</v>
      </c>
      <c r="D2834" s="16"/>
      <c r="E2834">
        <v>6</v>
      </c>
      <c r="F2834" t="e">
        <f>-1-Cianoguanidina  diciandiamida</f>
        <v>#NAME?</v>
      </c>
      <c r="G2834">
        <v>1</v>
      </c>
      <c r="H2834">
        <v>0</v>
      </c>
      <c r="I2834">
        <f>1</f>
        <v>1</v>
      </c>
    </row>
    <row r="2835" spans="2:9" x14ac:dyDescent="0.25">
      <c r="B2835">
        <v>0</v>
      </c>
      <c r="C2835" s="16" t="s">
        <v>12104</v>
      </c>
      <c r="D2835" s="16"/>
      <c r="E2835">
        <v>6</v>
      </c>
      <c r="F2835" t="s">
        <v>5919</v>
      </c>
      <c r="G2835">
        <v>1</v>
      </c>
      <c r="H2835">
        <v>0</v>
      </c>
      <c r="I2835">
        <f>1</f>
        <v>1</v>
      </c>
    </row>
    <row r="2836" spans="2:9" x14ac:dyDescent="0.25">
      <c r="B2836">
        <v>0</v>
      </c>
      <c r="C2836" s="16" t="s">
        <v>12105</v>
      </c>
      <c r="D2836" s="16"/>
      <c r="E2836">
        <v>6</v>
      </c>
      <c r="F2836" t="s">
        <v>5641</v>
      </c>
      <c r="G2836">
        <v>1</v>
      </c>
      <c r="H2836">
        <v>0</v>
      </c>
      <c r="I2836">
        <f>1</f>
        <v>1</v>
      </c>
    </row>
    <row r="2837" spans="2:9" x14ac:dyDescent="0.25">
      <c r="B2837">
        <v>0</v>
      </c>
      <c r="C2837" s="16" t="s">
        <v>12106</v>
      </c>
      <c r="D2837" s="16"/>
      <c r="E2837">
        <v>6</v>
      </c>
      <c r="F2837" t="s">
        <v>5920</v>
      </c>
      <c r="G2837">
        <v>1</v>
      </c>
      <c r="H2837">
        <v>0</v>
      </c>
      <c r="I2837">
        <f>1</f>
        <v>1</v>
      </c>
    </row>
    <row r="2838" spans="2:9" x14ac:dyDescent="0.25">
      <c r="B2838">
        <v>0</v>
      </c>
      <c r="C2838" s="16" t="s">
        <v>12107</v>
      </c>
      <c r="D2838" s="16"/>
      <c r="E2838">
        <v>6</v>
      </c>
      <c r="F2838" t="s">
        <v>5921</v>
      </c>
      <c r="G2838">
        <v>1</v>
      </c>
      <c r="H2838">
        <v>0</v>
      </c>
      <c r="I2838">
        <f>1</f>
        <v>1</v>
      </c>
    </row>
    <row r="2839" spans="2:9" x14ac:dyDescent="0.25">
      <c r="B2839">
        <v>0</v>
      </c>
      <c r="C2839" s="16" t="s">
        <v>12108</v>
      </c>
      <c r="D2839" s="16"/>
      <c r="E2839">
        <v>6</v>
      </c>
      <c r="F2839" t="s">
        <v>5829</v>
      </c>
      <c r="G2839">
        <v>1</v>
      </c>
      <c r="H2839">
        <v>0</v>
      </c>
      <c r="I2839">
        <f>1</f>
        <v>1</v>
      </c>
    </row>
    <row r="2840" spans="2:9" x14ac:dyDescent="0.25">
      <c r="B2840">
        <v>0</v>
      </c>
      <c r="C2840" s="16" t="s">
        <v>12109</v>
      </c>
      <c r="D2840" s="16"/>
      <c r="E2840">
        <v>6</v>
      </c>
      <c r="F2840" t="s">
        <v>4680</v>
      </c>
      <c r="G2840">
        <v>1</v>
      </c>
      <c r="H2840">
        <v>0</v>
      </c>
      <c r="I2840">
        <f>1</f>
        <v>1</v>
      </c>
    </row>
    <row r="2841" spans="2:9" x14ac:dyDescent="0.25">
      <c r="B2841">
        <v>0</v>
      </c>
      <c r="C2841" s="16" t="s">
        <v>12110</v>
      </c>
      <c r="D2841" s="16"/>
      <c r="E2841">
        <v>6</v>
      </c>
      <c r="F2841" t="s">
        <v>5922</v>
      </c>
      <c r="G2841">
        <v>1</v>
      </c>
      <c r="H2841">
        <v>0</v>
      </c>
      <c r="I2841">
        <f>1</f>
        <v>1</v>
      </c>
    </row>
    <row r="2842" spans="2:9" x14ac:dyDescent="0.25">
      <c r="B2842">
        <v>0</v>
      </c>
      <c r="C2842" s="16" t="s">
        <v>12111</v>
      </c>
      <c r="D2842" s="16"/>
      <c r="E2842">
        <v>6</v>
      </c>
      <c r="F2842" t="s">
        <v>5923</v>
      </c>
      <c r="G2842">
        <v>1</v>
      </c>
      <c r="H2842">
        <v>0</v>
      </c>
      <c r="I2842">
        <f>1</f>
        <v>1</v>
      </c>
    </row>
    <row r="2843" spans="2:9" x14ac:dyDescent="0.25">
      <c r="B2843">
        <v>0</v>
      </c>
      <c r="C2843" s="16" t="s">
        <v>12112</v>
      </c>
      <c r="D2843" s="16"/>
      <c r="E2843">
        <v>6</v>
      </c>
      <c r="F2843" t="s">
        <v>5924</v>
      </c>
      <c r="G2843">
        <v>1</v>
      </c>
      <c r="H2843">
        <v>0</v>
      </c>
      <c r="I2843">
        <f>1</f>
        <v>1</v>
      </c>
    </row>
    <row r="2844" spans="2:9" x14ac:dyDescent="0.25">
      <c r="B2844">
        <v>0</v>
      </c>
      <c r="C2844" s="16" t="s">
        <v>12113</v>
      </c>
      <c r="D2844" s="16"/>
      <c r="E2844">
        <v>6</v>
      </c>
      <c r="F2844" t="s">
        <v>5925</v>
      </c>
      <c r="G2844">
        <v>1</v>
      </c>
      <c r="H2844">
        <v>0</v>
      </c>
      <c r="I2844">
        <f>1</f>
        <v>1</v>
      </c>
    </row>
    <row r="2845" spans="2:9" x14ac:dyDescent="0.25">
      <c r="B2845">
        <v>0</v>
      </c>
      <c r="C2845" s="16" t="s">
        <v>12114</v>
      </c>
      <c r="D2845" s="16"/>
      <c r="E2845">
        <v>6</v>
      </c>
      <c r="F2845" t="s">
        <v>5926</v>
      </c>
      <c r="G2845">
        <v>1</v>
      </c>
      <c r="H2845">
        <v>0</v>
      </c>
      <c r="I2845">
        <f>1</f>
        <v>1</v>
      </c>
    </row>
    <row r="2846" spans="2:9" x14ac:dyDescent="0.25">
      <c r="B2846">
        <v>0</v>
      </c>
      <c r="C2846" s="16" t="s">
        <v>12115</v>
      </c>
      <c r="D2846" s="16"/>
      <c r="E2846">
        <v>6</v>
      </c>
      <c r="F2846" t="s">
        <v>5927</v>
      </c>
      <c r="G2846">
        <v>1</v>
      </c>
      <c r="H2846">
        <v>0</v>
      </c>
      <c r="I2846">
        <f>1</f>
        <v>1</v>
      </c>
    </row>
    <row r="2847" spans="2:9" x14ac:dyDescent="0.25">
      <c r="B2847">
        <v>0</v>
      </c>
      <c r="C2847" s="16" t="s">
        <v>12116</v>
      </c>
      <c r="D2847" s="16"/>
      <c r="E2847">
        <v>6</v>
      </c>
      <c r="F2847" t="s">
        <v>4680</v>
      </c>
      <c r="G2847">
        <v>1</v>
      </c>
      <c r="H2847">
        <v>0</v>
      </c>
      <c r="I2847">
        <f>1</f>
        <v>1</v>
      </c>
    </row>
    <row r="2848" spans="2:9" x14ac:dyDescent="0.25">
      <c r="B2848">
        <v>0</v>
      </c>
      <c r="C2848" s="16" t="s">
        <v>12117</v>
      </c>
      <c r="D2848" s="16"/>
      <c r="E2848">
        <v>6</v>
      </c>
      <c r="F2848" t="s">
        <v>5928</v>
      </c>
      <c r="G2848">
        <v>1</v>
      </c>
      <c r="H2848">
        <v>0</v>
      </c>
      <c r="I2848">
        <f>1</f>
        <v>1</v>
      </c>
    </row>
    <row r="2849" spans="2:9" x14ac:dyDescent="0.25">
      <c r="B2849">
        <v>0</v>
      </c>
      <c r="C2849" s="16" t="s">
        <v>12118</v>
      </c>
      <c r="D2849" s="16"/>
      <c r="E2849">
        <v>6</v>
      </c>
      <c r="F2849" t="s">
        <v>5929</v>
      </c>
      <c r="G2849">
        <v>1</v>
      </c>
      <c r="H2849">
        <v>0</v>
      </c>
      <c r="I2849">
        <f>1</f>
        <v>1</v>
      </c>
    </row>
    <row r="2850" spans="2:9" x14ac:dyDescent="0.25">
      <c r="B2850">
        <v>0</v>
      </c>
      <c r="C2850" s="16" t="s">
        <v>12119</v>
      </c>
      <c r="D2850" s="16"/>
      <c r="E2850">
        <v>6</v>
      </c>
      <c r="F2850" t="s">
        <v>5930</v>
      </c>
      <c r="G2850">
        <v>1</v>
      </c>
      <c r="H2850">
        <v>0</v>
      </c>
      <c r="I2850">
        <f>1</f>
        <v>1</v>
      </c>
    </row>
    <row r="2851" spans="2:9" x14ac:dyDescent="0.25">
      <c r="B2851">
        <v>0</v>
      </c>
      <c r="C2851" s="16" t="s">
        <v>12120</v>
      </c>
      <c r="D2851" s="16"/>
      <c r="E2851">
        <v>6</v>
      </c>
      <c r="F2851" t="s">
        <v>5931</v>
      </c>
      <c r="G2851">
        <v>1</v>
      </c>
      <c r="H2851">
        <v>0</v>
      </c>
      <c r="I2851">
        <f>1</f>
        <v>1</v>
      </c>
    </row>
    <row r="2852" spans="2:9" x14ac:dyDescent="0.25">
      <c r="B2852">
        <v>0</v>
      </c>
      <c r="C2852" s="16" t="s">
        <v>12121</v>
      </c>
      <c r="D2852" s="16"/>
      <c r="E2852">
        <v>6</v>
      </c>
      <c r="F2852" t="s">
        <v>5932</v>
      </c>
      <c r="G2852">
        <v>1</v>
      </c>
      <c r="H2852">
        <v>0</v>
      </c>
      <c r="I2852">
        <f>1</f>
        <v>1</v>
      </c>
    </row>
    <row r="2853" spans="2:9" x14ac:dyDescent="0.25">
      <c r="B2853">
        <v>0</v>
      </c>
      <c r="C2853" s="16" t="s">
        <v>12122</v>
      </c>
      <c r="D2853" s="16"/>
      <c r="E2853">
        <v>6</v>
      </c>
      <c r="F2853" t="s">
        <v>5933</v>
      </c>
      <c r="G2853">
        <v>1</v>
      </c>
      <c r="H2853">
        <v>0</v>
      </c>
      <c r="I2853">
        <f>1</f>
        <v>1</v>
      </c>
    </row>
    <row r="2854" spans="2:9" x14ac:dyDescent="0.25">
      <c r="B2854">
        <v>0</v>
      </c>
      <c r="C2854" s="16" t="s">
        <v>12123</v>
      </c>
      <c r="D2854" s="16"/>
      <c r="E2854">
        <v>6</v>
      </c>
      <c r="F2854" t="s">
        <v>4680</v>
      </c>
      <c r="G2854">
        <v>1</v>
      </c>
      <c r="H2854">
        <v>0</v>
      </c>
      <c r="I2854">
        <f>1</f>
        <v>1</v>
      </c>
    </row>
    <row r="2855" spans="2:9" x14ac:dyDescent="0.25">
      <c r="B2855">
        <v>0</v>
      </c>
      <c r="C2855" s="16" t="s">
        <v>12124</v>
      </c>
      <c r="D2855" s="16"/>
      <c r="E2855">
        <v>6</v>
      </c>
      <c r="F2855" t="s">
        <v>5934</v>
      </c>
      <c r="G2855">
        <v>1</v>
      </c>
      <c r="H2855">
        <v>0</v>
      </c>
      <c r="I2855">
        <f>1</f>
        <v>1</v>
      </c>
    </row>
    <row r="2856" spans="2:9" x14ac:dyDescent="0.25">
      <c r="B2856">
        <v>0</v>
      </c>
      <c r="C2856" s="16" t="s">
        <v>12125</v>
      </c>
      <c r="D2856" s="16"/>
      <c r="E2856">
        <v>6</v>
      </c>
      <c r="F2856" t="s">
        <v>5935</v>
      </c>
      <c r="G2856">
        <v>1</v>
      </c>
      <c r="H2856">
        <v>0</v>
      </c>
      <c r="I2856">
        <f>1</f>
        <v>1</v>
      </c>
    </row>
    <row r="2857" spans="2:9" x14ac:dyDescent="0.25">
      <c r="B2857">
        <v>0</v>
      </c>
      <c r="C2857" s="16" t="s">
        <v>12126</v>
      </c>
      <c r="D2857" s="16"/>
      <c r="E2857">
        <v>6</v>
      </c>
      <c r="F2857" t="s">
        <v>4680</v>
      </c>
      <c r="G2857">
        <v>1</v>
      </c>
      <c r="H2857">
        <v>0</v>
      </c>
      <c r="I2857">
        <f>1</f>
        <v>1</v>
      </c>
    </row>
    <row r="2858" spans="2:9" x14ac:dyDescent="0.25">
      <c r="B2858">
        <v>0</v>
      </c>
      <c r="C2858" s="16" t="s">
        <v>12127</v>
      </c>
      <c r="D2858" s="16"/>
      <c r="E2858">
        <v>6</v>
      </c>
      <c r="F2858" t="s">
        <v>5936</v>
      </c>
      <c r="G2858">
        <v>1</v>
      </c>
      <c r="H2858">
        <v>0</v>
      </c>
      <c r="I2858">
        <f>1</f>
        <v>1</v>
      </c>
    </row>
    <row r="2859" spans="2:9" x14ac:dyDescent="0.25">
      <c r="B2859">
        <v>0</v>
      </c>
      <c r="C2859" s="16" t="s">
        <v>12128</v>
      </c>
      <c r="D2859" s="16"/>
      <c r="E2859">
        <v>6</v>
      </c>
      <c r="F2859" t="s">
        <v>5937</v>
      </c>
      <c r="G2859">
        <v>1</v>
      </c>
      <c r="H2859">
        <v>0</v>
      </c>
      <c r="I2859">
        <f>1</f>
        <v>1</v>
      </c>
    </row>
    <row r="2860" spans="2:9" x14ac:dyDescent="0.25">
      <c r="B2860">
        <v>0</v>
      </c>
      <c r="C2860" s="16" t="s">
        <v>12129</v>
      </c>
      <c r="D2860" s="16"/>
      <c r="E2860">
        <v>6</v>
      </c>
      <c r="F2860" t="s">
        <v>4680</v>
      </c>
      <c r="G2860">
        <v>1</v>
      </c>
      <c r="H2860">
        <v>0</v>
      </c>
      <c r="I2860">
        <f>1</f>
        <v>1</v>
      </c>
    </row>
    <row r="2861" spans="2:9" x14ac:dyDescent="0.25">
      <c r="B2861">
        <v>0</v>
      </c>
      <c r="C2861" s="16" t="s">
        <v>12130</v>
      </c>
      <c r="D2861" s="16"/>
      <c r="E2861">
        <v>6</v>
      </c>
      <c r="F2861" t="s">
        <v>5938</v>
      </c>
      <c r="G2861">
        <v>1</v>
      </c>
      <c r="H2861">
        <v>0</v>
      </c>
      <c r="I2861">
        <f>1</f>
        <v>1</v>
      </c>
    </row>
    <row r="2862" spans="2:9" x14ac:dyDescent="0.25">
      <c r="B2862">
        <v>0</v>
      </c>
      <c r="C2862" s="16" t="s">
        <v>12131</v>
      </c>
      <c r="D2862" s="16"/>
      <c r="E2862">
        <v>6</v>
      </c>
      <c r="F2862" t="s">
        <v>5939</v>
      </c>
      <c r="G2862">
        <v>1</v>
      </c>
      <c r="H2862">
        <v>0</v>
      </c>
      <c r="I2862">
        <f>1</f>
        <v>1</v>
      </c>
    </row>
    <row r="2863" spans="2:9" x14ac:dyDescent="0.25">
      <c r="B2863">
        <v>0</v>
      </c>
      <c r="C2863" s="16" t="s">
        <v>12132</v>
      </c>
      <c r="D2863" s="16"/>
      <c r="E2863">
        <v>6</v>
      </c>
      <c r="F2863" t="s">
        <v>5940</v>
      </c>
      <c r="G2863">
        <v>1</v>
      </c>
      <c r="H2863">
        <v>0</v>
      </c>
      <c r="I2863">
        <f>1</f>
        <v>1</v>
      </c>
    </row>
    <row r="2864" spans="2:9" x14ac:dyDescent="0.25">
      <c r="B2864">
        <v>0</v>
      </c>
      <c r="C2864" s="16" t="s">
        <v>12133</v>
      </c>
      <c r="D2864" s="16"/>
      <c r="E2864">
        <v>6</v>
      </c>
      <c r="F2864" t="s">
        <v>5941</v>
      </c>
      <c r="G2864">
        <v>1</v>
      </c>
      <c r="H2864">
        <v>0</v>
      </c>
      <c r="I2864">
        <f>1</f>
        <v>1</v>
      </c>
    </row>
    <row r="2865" spans="2:9" x14ac:dyDescent="0.25">
      <c r="B2865">
        <v>0</v>
      </c>
      <c r="C2865" s="16" t="s">
        <v>12134</v>
      </c>
      <c r="D2865" s="16"/>
      <c r="E2865">
        <v>6</v>
      </c>
      <c r="F2865" t="s">
        <v>4680</v>
      </c>
      <c r="G2865">
        <v>1</v>
      </c>
      <c r="H2865">
        <v>0</v>
      </c>
      <c r="I2865">
        <f>1</f>
        <v>1</v>
      </c>
    </row>
    <row r="2866" spans="2:9" x14ac:dyDescent="0.25">
      <c r="B2866">
        <v>0</v>
      </c>
      <c r="C2866" s="16" t="s">
        <v>12135</v>
      </c>
      <c r="D2866" s="16"/>
      <c r="E2866">
        <v>6</v>
      </c>
      <c r="F2866" t="s">
        <v>5942</v>
      </c>
      <c r="G2866">
        <v>1</v>
      </c>
      <c r="H2866">
        <v>0</v>
      </c>
      <c r="I2866">
        <f>1</f>
        <v>1</v>
      </c>
    </row>
    <row r="2867" spans="2:9" x14ac:dyDescent="0.25">
      <c r="B2867">
        <v>0</v>
      </c>
      <c r="C2867" s="16" t="s">
        <v>12136</v>
      </c>
      <c r="D2867" s="16"/>
      <c r="E2867">
        <v>6</v>
      </c>
      <c r="F2867" t="s">
        <v>5943</v>
      </c>
      <c r="G2867">
        <v>1</v>
      </c>
      <c r="H2867">
        <v>0</v>
      </c>
      <c r="I2867">
        <f>1</f>
        <v>1</v>
      </c>
    </row>
    <row r="2868" spans="2:9" x14ac:dyDescent="0.25">
      <c r="B2868">
        <v>0</v>
      </c>
      <c r="C2868" s="16" t="s">
        <v>12137</v>
      </c>
      <c r="D2868" s="16"/>
      <c r="E2868">
        <v>6</v>
      </c>
      <c r="F2868" t="s">
        <v>4680</v>
      </c>
      <c r="G2868">
        <v>1</v>
      </c>
      <c r="H2868">
        <v>0</v>
      </c>
      <c r="I2868">
        <f>1</f>
        <v>1</v>
      </c>
    </row>
    <row r="2869" spans="2:9" x14ac:dyDescent="0.25">
      <c r="B2869">
        <v>0</v>
      </c>
      <c r="C2869" s="16" t="s">
        <v>12138</v>
      </c>
      <c r="D2869" s="16"/>
      <c r="E2869">
        <v>6</v>
      </c>
      <c r="F2869" t="s">
        <v>5944</v>
      </c>
      <c r="G2869">
        <v>1</v>
      </c>
      <c r="H2869">
        <v>0</v>
      </c>
      <c r="I2869">
        <f>1</f>
        <v>1</v>
      </c>
    </row>
    <row r="2870" spans="2:9" x14ac:dyDescent="0.25">
      <c r="B2870">
        <v>0</v>
      </c>
      <c r="C2870" s="16" t="s">
        <v>12139</v>
      </c>
      <c r="D2870" s="16"/>
      <c r="E2870">
        <v>6</v>
      </c>
      <c r="F2870" t="s">
        <v>4680</v>
      </c>
      <c r="G2870">
        <v>1</v>
      </c>
      <c r="H2870">
        <v>0</v>
      </c>
      <c r="I2870">
        <f>1</f>
        <v>1</v>
      </c>
    </row>
    <row r="2871" spans="2:9" x14ac:dyDescent="0.25">
      <c r="B2871">
        <v>0</v>
      </c>
      <c r="C2871" s="16" t="s">
        <v>12140</v>
      </c>
      <c r="D2871" s="16"/>
      <c r="E2871">
        <v>6</v>
      </c>
      <c r="F2871" t="s">
        <v>5315</v>
      </c>
      <c r="G2871">
        <v>1</v>
      </c>
      <c r="H2871">
        <v>0</v>
      </c>
      <c r="I2871">
        <f>1</f>
        <v>1</v>
      </c>
    </row>
    <row r="2872" spans="2:9" x14ac:dyDescent="0.25">
      <c r="B2872">
        <v>0</v>
      </c>
      <c r="C2872" s="16" t="s">
        <v>12141</v>
      </c>
      <c r="D2872" s="16"/>
      <c r="E2872">
        <v>6</v>
      </c>
      <c r="F2872" t="s">
        <v>5318</v>
      </c>
      <c r="G2872">
        <v>1</v>
      </c>
      <c r="H2872">
        <v>0</v>
      </c>
      <c r="I2872">
        <f>1</f>
        <v>1</v>
      </c>
    </row>
    <row r="2873" spans="2:9" x14ac:dyDescent="0.25">
      <c r="B2873">
        <v>0</v>
      </c>
      <c r="C2873" s="16" t="s">
        <v>12142</v>
      </c>
      <c r="D2873" s="16"/>
      <c r="E2873">
        <v>6</v>
      </c>
      <c r="F2873" t="s">
        <v>4680</v>
      </c>
      <c r="G2873">
        <v>1</v>
      </c>
      <c r="H2873">
        <v>0</v>
      </c>
      <c r="I2873">
        <f>1</f>
        <v>1</v>
      </c>
    </row>
    <row r="2874" spans="2:9" x14ac:dyDescent="0.25">
      <c r="B2874">
        <v>0</v>
      </c>
      <c r="C2874" s="16" t="s">
        <v>12143</v>
      </c>
      <c r="D2874" s="16"/>
      <c r="E2874">
        <v>6</v>
      </c>
      <c r="F2874" t="s">
        <v>5945</v>
      </c>
      <c r="G2874">
        <v>1</v>
      </c>
      <c r="H2874">
        <v>0</v>
      </c>
      <c r="I2874">
        <f>1</f>
        <v>1</v>
      </c>
    </row>
    <row r="2875" spans="2:9" x14ac:dyDescent="0.25">
      <c r="B2875">
        <v>0</v>
      </c>
      <c r="C2875" s="16" t="s">
        <v>12144</v>
      </c>
      <c r="D2875" s="16"/>
      <c r="E2875">
        <v>6</v>
      </c>
      <c r="F2875" t="s">
        <v>5946</v>
      </c>
      <c r="G2875">
        <v>1</v>
      </c>
      <c r="H2875">
        <v>0</v>
      </c>
      <c r="I2875">
        <f>1</f>
        <v>1</v>
      </c>
    </row>
    <row r="2876" spans="2:9" x14ac:dyDescent="0.25">
      <c r="B2876">
        <v>0</v>
      </c>
      <c r="C2876" s="16" t="s">
        <v>12145</v>
      </c>
      <c r="D2876" s="16"/>
      <c r="E2876">
        <v>6</v>
      </c>
      <c r="F2876" t="s">
        <v>4680</v>
      </c>
      <c r="G2876">
        <v>1</v>
      </c>
      <c r="H2876">
        <v>0</v>
      </c>
      <c r="I2876">
        <f>1</f>
        <v>1</v>
      </c>
    </row>
    <row r="2877" spans="2:9" x14ac:dyDescent="0.25">
      <c r="B2877">
        <v>0</v>
      </c>
      <c r="C2877" s="16" t="s">
        <v>12146</v>
      </c>
      <c r="D2877" s="16"/>
      <c r="E2877">
        <v>6</v>
      </c>
      <c r="F2877" t="s">
        <v>4680</v>
      </c>
      <c r="G2877">
        <v>1</v>
      </c>
      <c r="H2877">
        <v>0</v>
      </c>
      <c r="I2877">
        <f>1</f>
        <v>1</v>
      </c>
    </row>
    <row r="2878" spans="2:9" x14ac:dyDescent="0.25">
      <c r="B2878">
        <v>0</v>
      </c>
      <c r="C2878" s="16" t="s">
        <v>12147</v>
      </c>
      <c r="D2878" s="16"/>
      <c r="E2878">
        <v>6</v>
      </c>
      <c r="F2878" t="s">
        <v>5947</v>
      </c>
      <c r="G2878">
        <v>1</v>
      </c>
      <c r="H2878">
        <v>0</v>
      </c>
      <c r="I2878">
        <f>1</f>
        <v>1</v>
      </c>
    </row>
    <row r="2879" spans="2:9" x14ac:dyDescent="0.25">
      <c r="B2879">
        <v>0</v>
      </c>
      <c r="C2879" s="16" t="s">
        <v>12148</v>
      </c>
      <c r="D2879" s="16"/>
      <c r="E2879">
        <v>6</v>
      </c>
      <c r="F2879" t="s">
        <v>5948</v>
      </c>
      <c r="G2879">
        <v>1</v>
      </c>
      <c r="H2879">
        <v>0</v>
      </c>
      <c r="I2879">
        <f>1</f>
        <v>1</v>
      </c>
    </row>
    <row r="2880" spans="2:9" x14ac:dyDescent="0.25">
      <c r="B2880">
        <v>0</v>
      </c>
      <c r="C2880" s="16" t="s">
        <v>12149</v>
      </c>
      <c r="D2880" s="16"/>
      <c r="E2880">
        <v>6</v>
      </c>
      <c r="F2880" t="s">
        <v>5949</v>
      </c>
      <c r="G2880">
        <v>1</v>
      </c>
      <c r="H2880">
        <v>0</v>
      </c>
      <c r="I2880">
        <f>1</f>
        <v>1</v>
      </c>
    </row>
    <row r="2881" spans="2:9" x14ac:dyDescent="0.25">
      <c r="B2881">
        <v>0</v>
      </c>
      <c r="C2881" s="16" t="s">
        <v>12150</v>
      </c>
      <c r="D2881" s="16"/>
      <c r="E2881">
        <v>6</v>
      </c>
      <c r="F2881" t="s">
        <v>4680</v>
      </c>
      <c r="G2881">
        <v>1</v>
      </c>
      <c r="H2881">
        <v>0</v>
      </c>
      <c r="I2881">
        <f>1</f>
        <v>1</v>
      </c>
    </row>
    <row r="2882" spans="2:9" x14ac:dyDescent="0.25">
      <c r="B2882">
        <v>0</v>
      </c>
      <c r="C2882" s="16" t="s">
        <v>12151</v>
      </c>
      <c r="D2882" s="16"/>
      <c r="E2882">
        <v>6</v>
      </c>
      <c r="F2882" t="s">
        <v>5950</v>
      </c>
      <c r="G2882">
        <v>1</v>
      </c>
      <c r="H2882">
        <v>0</v>
      </c>
      <c r="I2882">
        <f>1</f>
        <v>1</v>
      </c>
    </row>
    <row r="2883" spans="2:9" x14ac:dyDescent="0.25">
      <c r="B2883">
        <v>0</v>
      </c>
      <c r="C2883" s="16" t="s">
        <v>12152</v>
      </c>
      <c r="D2883" s="16"/>
      <c r="E2883">
        <v>6</v>
      </c>
      <c r="F2883" t="s">
        <v>5951</v>
      </c>
      <c r="G2883">
        <v>1</v>
      </c>
      <c r="H2883">
        <v>0</v>
      </c>
      <c r="I2883">
        <f>1</f>
        <v>1</v>
      </c>
    </row>
    <row r="2884" spans="2:9" x14ac:dyDescent="0.25">
      <c r="B2884">
        <v>0</v>
      </c>
      <c r="C2884" s="16" t="s">
        <v>12153</v>
      </c>
      <c r="D2884" s="16"/>
      <c r="E2884">
        <v>6</v>
      </c>
      <c r="F2884" t="s">
        <v>5952</v>
      </c>
      <c r="G2884">
        <v>1</v>
      </c>
      <c r="H2884">
        <v>0</v>
      </c>
      <c r="I2884">
        <f>1</f>
        <v>1</v>
      </c>
    </row>
    <row r="2885" spans="2:9" x14ac:dyDescent="0.25">
      <c r="B2885">
        <v>0</v>
      </c>
      <c r="C2885" s="16" t="s">
        <v>12154</v>
      </c>
      <c r="D2885" s="16"/>
      <c r="E2885">
        <v>6</v>
      </c>
      <c r="F2885" t="s">
        <v>5953</v>
      </c>
      <c r="G2885">
        <v>1</v>
      </c>
      <c r="H2885">
        <v>0</v>
      </c>
      <c r="I2885">
        <f>1</f>
        <v>1</v>
      </c>
    </row>
    <row r="2886" spans="2:9" x14ac:dyDescent="0.25">
      <c r="B2886">
        <v>0</v>
      </c>
      <c r="C2886" s="16" t="s">
        <v>12155</v>
      </c>
      <c r="D2886" s="16"/>
      <c r="E2886">
        <v>6</v>
      </c>
      <c r="F2886" t="s">
        <v>4680</v>
      </c>
      <c r="G2886">
        <v>1</v>
      </c>
      <c r="H2886">
        <v>0</v>
      </c>
      <c r="I2886">
        <f>1</f>
        <v>1</v>
      </c>
    </row>
    <row r="2887" spans="2:9" x14ac:dyDescent="0.25">
      <c r="B2887">
        <v>0</v>
      </c>
      <c r="C2887" s="16" t="s">
        <v>12156</v>
      </c>
      <c r="D2887" s="16"/>
      <c r="E2887">
        <v>6</v>
      </c>
      <c r="F2887" t="s">
        <v>5954</v>
      </c>
      <c r="G2887">
        <v>1</v>
      </c>
      <c r="H2887">
        <v>0</v>
      </c>
      <c r="I2887">
        <f>1</f>
        <v>1</v>
      </c>
    </row>
    <row r="2888" spans="2:9" x14ac:dyDescent="0.25">
      <c r="B2888">
        <v>0</v>
      </c>
      <c r="C2888" s="16" t="s">
        <v>12157</v>
      </c>
      <c r="D2888" s="16"/>
      <c r="E2888">
        <v>6</v>
      </c>
      <c r="F2888" t="s">
        <v>5955</v>
      </c>
      <c r="G2888">
        <v>1</v>
      </c>
      <c r="H2888">
        <v>0</v>
      </c>
      <c r="I2888">
        <f>1</f>
        <v>1</v>
      </c>
    </row>
    <row r="2889" spans="2:9" x14ac:dyDescent="0.25">
      <c r="B2889">
        <v>0</v>
      </c>
      <c r="C2889" s="16" t="s">
        <v>12158</v>
      </c>
      <c r="D2889" s="16"/>
      <c r="E2889">
        <v>6</v>
      </c>
      <c r="F2889" t="s">
        <v>4680</v>
      </c>
      <c r="G2889">
        <v>1</v>
      </c>
      <c r="H2889">
        <v>0</v>
      </c>
      <c r="I2889">
        <f>1</f>
        <v>1</v>
      </c>
    </row>
    <row r="2890" spans="2:9" x14ac:dyDescent="0.25">
      <c r="B2890">
        <v>0</v>
      </c>
      <c r="C2890" s="16" t="s">
        <v>12159</v>
      </c>
      <c r="D2890" s="16"/>
      <c r="E2890">
        <v>6</v>
      </c>
      <c r="F2890" t="s">
        <v>5956</v>
      </c>
      <c r="G2890">
        <v>1</v>
      </c>
      <c r="H2890">
        <v>0</v>
      </c>
      <c r="I2890">
        <f>1</f>
        <v>1</v>
      </c>
    </row>
    <row r="2891" spans="2:9" x14ac:dyDescent="0.25">
      <c r="B2891">
        <v>0</v>
      </c>
      <c r="C2891" s="16" t="s">
        <v>12160</v>
      </c>
      <c r="D2891" s="16"/>
      <c r="E2891">
        <v>6</v>
      </c>
      <c r="F2891" t="s">
        <v>5957</v>
      </c>
      <c r="G2891">
        <v>1</v>
      </c>
      <c r="H2891">
        <v>0</v>
      </c>
      <c r="I2891">
        <f>1</f>
        <v>1</v>
      </c>
    </row>
    <row r="2892" spans="2:9" x14ac:dyDescent="0.25">
      <c r="B2892">
        <v>0</v>
      </c>
      <c r="C2892" s="16" t="s">
        <v>12161</v>
      </c>
      <c r="D2892" s="16"/>
      <c r="E2892">
        <v>6</v>
      </c>
      <c r="F2892" t="s">
        <v>4680</v>
      </c>
      <c r="G2892">
        <v>1</v>
      </c>
      <c r="H2892">
        <v>0</v>
      </c>
      <c r="I2892">
        <f>1</f>
        <v>1</v>
      </c>
    </row>
    <row r="2893" spans="2:9" x14ac:dyDescent="0.25">
      <c r="B2893">
        <v>0</v>
      </c>
      <c r="C2893" s="16" t="s">
        <v>12162</v>
      </c>
      <c r="D2893" s="16"/>
      <c r="E2893">
        <v>6</v>
      </c>
      <c r="F2893" t="s">
        <v>4680</v>
      </c>
      <c r="G2893">
        <v>1</v>
      </c>
      <c r="H2893">
        <v>0</v>
      </c>
      <c r="I2893">
        <f>1</f>
        <v>1</v>
      </c>
    </row>
    <row r="2894" spans="2:9" x14ac:dyDescent="0.25">
      <c r="B2894">
        <v>0</v>
      </c>
      <c r="C2894" s="16" t="s">
        <v>12163</v>
      </c>
      <c r="D2894" s="16"/>
      <c r="E2894">
        <v>6</v>
      </c>
      <c r="F2894" t="s">
        <v>5958</v>
      </c>
      <c r="G2894">
        <v>1</v>
      </c>
      <c r="H2894">
        <v>0</v>
      </c>
      <c r="I2894">
        <f>1</f>
        <v>1</v>
      </c>
    </row>
    <row r="2895" spans="2:9" x14ac:dyDescent="0.25">
      <c r="B2895">
        <v>0</v>
      </c>
      <c r="C2895" s="16" t="s">
        <v>12164</v>
      </c>
      <c r="D2895" s="16"/>
      <c r="E2895">
        <v>6</v>
      </c>
      <c r="F2895" t="s">
        <v>5055</v>
      </c>
      <c r="G2895">
        <v>1</v>
      </c>
      <c r="H2895">
        <v>0</v>
      </c>
      <c r="I2895">
        <f>1</f>
        <v>1</v>
      </c>
    </row>
    <row r="2896" spans="2:9" x14ac:dyDescent="0.25">
      <c r="B2896">
        <v>0</v>
      </c>
      <c r="C2896" s="16" t="s">
        <v>12165</v>
      </c>
      <c r="D2896" s="16"/>
      <c r="E2896">
        <v>6</v>
      </c>
      <c r="F2896" t="s">
        <v>5959</v>
      </c>
      <c r="G2896">
        <v>1</v>
      </c>
      <c r="H2896">
        <v>0</v>
      </c>
      <c r="I2896">
        <f>1</f>
        <v>1</v>
      </c>
    </row>
    <row r="2897" spans="2:9" x14ac:dyDescent="0.25">
      <c r="B2897">
        <v>0</v>
      </c>
      <c r="C2897" s="16" t="s">
        <v>12166</v>
      </c>
      <c r="D2897" s="16"/>
      <c r="E2897">
        <v>6</v>
      </c>
      <c r="F2897" t="s">
        <v>5960</v>
      </c>
      <c r="G2897">
        <v>1</v>
      </c>
      <c r="H2897">
        <v>0</v>
      </c>
      <c r="I2897">
        <f>1</f>
        <v>1</v>
      </c>
    </row>
    <row r="2898" spans="2:9" x14ac:dyDescent="0.25">
      <c r="B2898">
        <v>0</v>
      </c>
      <c r="C2898" s="16" t="s">
        <v>12167</v>
      </c>
      <c r="D2898" s="16"/>
      <c r="E2898">
        <v>6</v>
      </c>
      <c r="F2898" t="s">
        <v>5961</v>
      </c>
      <c r="G2898">
        <v>1</v>
      </c>
      <c r="H2898">
        <v>0</v>
      </c>
      <c r="I2898">
        <f>1</f>
        <v>1</v>
      </c>
    </row>
    <row r="2899" spans="2:9" x14ac:dyDescent="0.25">
      <c r="B2899">
        <v>0</v>
      </c>
      <c r="C2899" s="16" t="s">
        <v>12168</v>
      </c>
      <c r="D2899" s="16"/>
      <c r="E2899">
        <v>6</v>
      </c>
      <c r="F2899" t="s">
        <v>5962</v>
      </c>
      <c r="G2899">
        <v>1</v>
      </c>
      <c r="H2899">
        <v>0</v>
      </c>
      <c r="I2899">
        <f>1</f>
        <v>1</v>
      </c>
    </row>
    <row r="2900" spans="2:9" x14ac:dyDescent="0.25">
      <c r="B2900">
        <v>0</v>
      </c>
      <c r="C2900" s="16" t="s">
        <v>12169</v>
      </c>
      <c r="D2900" s="16"/>
      <c r="E2900">
        <v>6</v>
      </c>
      <c r="F2900" t="s">
        <v>5963</v>
      </c>
      <c r="G2900">
        <v>1</v>
      </c>
      <c r="H2900">
        <v>0</v>
      </c>
      <c r="I2900">
        <f>1</f>
        <v>1</v>
      </c>
    </row>
    <row r="2901" spans="2:9" x14ac:dyDescent="0.25">
      <c r="B2901">
        <v>0</v>
      </c>
      <c r="C2901" s="16" t="s">
        <v>12170</v>
      </c>
      <c r="D2901" s="16"/>
      <c r="E2901">
        <v>6</v>
      </c>
      <c r="F2901" t="s">
        <v>4680</v>
      </c>
      <c r="G2901">
        <v>1</v>
      </c>
      <c r="H2901">
        <v>0</v>
      </c>
      <c r="I2901">
        <f>1</f>
        <v>1</v>
      </c>
    </row>
    <row r="2902" spans="2:9" x14ac:dyDescent="0.25">
      <c r="B2902">
        <v>0</v>
      </c>
      <c r="C2902" s="16" t="s">
        <v>12171</v>
      </c>
      <c r="D2902" s="16"/>
      <c r="E2902">
        <v>6</v>
      </c>
      <c r="F2902" t="s">
        <v>5964</v>
      </c>
      <c r="G2902">
        <v>1</v>
      </c>
      <c r="H2902">
        <v>0</v>
      </c>
      <c r="I2902">
        <f>1</f>
        <v>1</v>
      </c>
    </row>
    <row r="2903" spans="2:9" x14ac:dyDescent="0.25">
      <c r="B2903">
        <v>0</v>
      </c>
      <c r="C2903" s="16" t="s">
        <v>12172</v>
      </c>
      <c r="D2903" s="16"/>
      <c r="E2903">
        <v>6</v>
      </c>
      <c r="F2903" t="s">
        <v>5965</v>
      </c>
      <c r="G2903">
        <v>1</v>
      </c>
      <c r="H2903">
        <v>0</v>
      </c>
      <c r="I2903">
        <f>1</f>
        <v>1</v>
      </c>
    </row>
    <row r="2904" spans="2:9" x14ac:dyDescent="0.25">
      <c r="B2904">
        <v>0</v>
      </c>
      <c r="C2904" s="16" t="s">
        <v>12173</v>
      </c>
      <c r="D2904" s="16"/>
      <c r="E2904">
        <v>6</v>
      </c>
      <c r="F2904" t="s">
        <v>5966</v>
      </c>
      <c r="G2904">
        <v>1</v>
      </c>
      <c r="H2904">
        <v>0</v>
      </c>
      <c r="I2904">
        <f>1</f>
        <v>1</v>
      </c>
    </row>
    <row r="2905" spans="2:9" x14ac:dyDescent="0.25">
      <c r="B2905">
        <v>0</v>
      </c>
      <c r="C2905" s="16" t="s">
        <v>12174</v>
      </c>
      <c r="D2905" s="16"/>
      <c r="E2905">
        <v>6</v>
      </c>
      <c r="F2905" t="s">
        <v>4680</v>
      </c>
      <c r="G2905">
        <v>1</v>
      </c>
      <c r="H2905">
        <v>0</v>
      </c>
      <c r="I2905">
        <f>1</f>
        <v>1</v>
      </c>
    </row>
    <row r="2906" spans="2:9" x14ac:dyDescent="0.25">
      <c r="B2906">
        <v>0</v>
      </c>
      <c r="C2906" s="16" t="s">
        <v>12175</v>
      </c>
      <c r="D2906" s="16"/>
      <c r="E2906">
        <v>6</v>
      </c>
      <c r="F2906" t="s">
        <v>5967</v>
      </c>
      <c r="G2906">
        <v>1</v>
      </c>
      <c r="H2906">
        <v>0</v>
      </c>
      <c r="I2906">
        <f>1</f>
        <v>1</v>
      </c>
    </row>
    <row r="2907" spans="2:9" x14ac:dyDescent="0.25">
      <c r="B2907">
        <v>0</v>
      </c>
      <c r="C2907" s="16" t="s">
        <v>12176</v>
      </c>
      <c r="D2907" s="16"/>
      <c r="E2907">
        <v>6</v>
      </c>
      <c r="F2907" t="s">
        <v>5968</v>
      </c>
      <c r="G2907">
        <v>1</v>
      </c>
      <c r="H2907">
        <v>0</v>
      </c>
      <c r="I2907">
        <f>1</f>
        <v>1</v>
      </c>
    </row>
    <row r="2908" spans="2:9" x14ac:dyDescent="0.25">
      <c r="B2908">
        <v>0</v>
      </c>
      <c r="C2908" s="16" t="s">
        <v>12177</v>
      </c>
      <c r="D2908" s="16"/>
      <c r="E2908">
        <v>6</v>
      </c>
      <c r="F2908" t="s">
        <v>5969</v>
      </c>
      <c r="G2908">
        <v>1</v>
      </c>
      <c r="H2908">
        <v>0</v>
      </c>
      <c r="I2908">
        <f>1</f>
        <v>1</v>
      </c>
    </row>
    <row r="2909" spans="2:9" x14ac:dyDescent="0.25">
      <c r="B2909">
        <v>0</v>
      </c>
      <c r="C2909" s="16" t="s">
        <v>12178</v>
      </c>
      <c r="D2909" s="16"/>
      <c r="E2909">
        <v>6</v>
      </c>
      <c r="F2909" t="s">
        <v>5970</v>
      </c>
      <c r="G2909">
        <v>1</v>
      </c>
      <c r="H2909">
        <v>0</v>
      </c>
      <c r="I2909">
        <f>1</f>
        <v>1</v>
      </c>
    </row>
    <row r="2910" spans="2:9" x14ac:dyDescent="0.25">
      <c r="B2910">
        <v>0</v>
      </c>
      <c r="C2910" s="16" t="s">
        <v>12179</v>
      </c>
      <c r="D2910" s="16"/>
      <c r="E2910">
        <v>6</v>
      </c>
      <c r="F2910" t="s">
        <v>5971</v>
      </c>
      <c r="G2910">
        <v>1</v>
      </c>
      <c r="H2910">
        <v>0</v>
      </c>
      <c r="I2910">
        <f>1</f>
        <v>1</v>
      </c>
    </row>
    <row r="2911" spans="2:9" x14ac:dyDescent="0.25">
      <c r="B2911">
        <v>0</v>
      </c>
      <c r="C2911" s="16" t="s">
        <v>12180</v>
      </c>
      <c r="D2911" s="16"/>
      <c r="E2911">
        <v>6</v>
      </c>
      <c r="F2911" t="s">
        <v>5972</v>
      </c>
      <c r="G2911">
        <v>1</v>
      </c>
      <c r="H2911">
        <v>0</v>
      </c>
      <c r="I2911">
        <f>1</f>
        <v>1</v>
      </c>
    </row>
    <row r="2912" spans="2:9" x14ac:dyDescent="0.25">
      <c r="B2912">
        <v>0</v>
      </c>
      <c r="C2912" s="16" t="s">
        <v>12181</v>
      </c>
      <c r="D2912" s="16"/>
      <c r="E2912">
        <v>6</v>
      </c>
      <c r="F2912" t="s">
        <v>5973</v>
      </c>
      <c r="G2912">
        <v>1</v>
      </c>
      <c r="H2912">
        <v>0</v>
      </c>
      <c r="I2912">
        <f>1</f>
        <v>1</v>
      </c>
    </row>
    <row r="2913" spans="2:9" x14ac:dyDescent="0.25">
      <c r="B2913">
        <v>0</v>
      </c>
      <c r="C2913" s="16" t="s">
        <v>12182</v>
      </c>
      <c r="D2913" s="16"/>
      <c r="E2913">
        <v>6</v>
      </c>
      <c r="F2913" t="s">
        <v>5974</v>
      </c>
      <c r="G2913">
        <v>1</v>
      </c>
      <c r="H2913">
        <v>0</v>
      </c>
      <c r="I2913">
        <f>1</f>
        <v>1</v>
      </c>
    </row>
    <row r="2914" spans="2:9" x14ac:dyDescent="0.25">
      <c r="B2914">
        <v>0</v>
      </c>
      <c r="C2914" s="16" t="s">
        <v>12183</v>
      </c>
      <c r="D2914" s="16"/>
      <c r="E2914">
        <v>6</v>
      </c>
      <c r="F2914" t="s">
        <v>4680</v>
      </c>
      <c r="G2914">
        <v>1</v>
      </c>
      <c r="H2914">
        <v>0</v>
      </c>
      <c r="I2914">
        <f>1</f>
        <v>1</v>
      </c>
    </row>
    <row r="2915" spans="2:9" x14ac:dyDescent="0.25">
      <c r="B2915">
        <v>0</v>
      </c>
      <c r="C2915" s="16" t="s">
        <v>12184</v>
      </c>
      <c r="D2915" s="16"/>
      <c r="E2915">
        <v>6</v>
      </c>
      <c r="F2915" t="s">
        <v>5975</v>
      </c>
      <c r="G2915">
        <v>1</v>
      </c>
      <c r="H2915">
        <v>0</v>
      </c>
      <c r="I2915">
        <f>1</f>
        <v>1</v>
      </c>
    </row>
    <row r="2916" spans="2:9" x14ac:dyDescent="0.25">
      <c r="B2916">
        <v>0</v>
      </c>
      <c r="C2916" s="16" t="s">
        <v>12185</v>
      </c>
      <c r="D2916" s="16"/>
      <c r="E2916">
        <v>6</v>
      </c>
      <c r="F2916" t="s">
        <v>5976</v>
      </c>
      <c r="G2916">
        <v>1</v>
      </c>
      <c r="H2916">
        <v>0</v>
      </c>
      <c r="I2916">
        <f>1</f>
        <v>1</v>
      </c>
    </row>
    <row r="2917" spans="2:9" x14ac:dyDescent="0.25">
      <c r="B2917">
        <v>0</v>
      </c>
      <c r="C2917" s="16" t="s">
        <v>12186</v>
      </c>
      <c r="D2917" s="16"/>
      <c r="E2917">
        <v>6</v>
      </c>
      <c r="F2917" t="s">
        <v>5977</v>
      </c>
      <c r="G2917">
        <v>1</v>
      </c>
      <c r="H2917">
        <v>0</v>
      </c>
      <c r="I2917">
        <f>1</f>
        <v>1</v>
      </c>
    </row>
    <row r="2918" spans="2:9" x14ac:dyDescent="0.25">
      <c r="B2918">
        <v>0</v>
      </c>
      <c r="C2918" s="16" t="s">
        <v>12187</v>
      </c>
      <c r="D2918" s="16"/>
      <c r="E2918">
        <v>6</v>
      </c>
      <c r="F2918" t="s">
        <v>4680</v>
      </c>
      <c r="G2918">
        <v>1</v>
      </c>
      <c r="H2918">
        <v>0</v>
      </c>
      <c r="I2918">
        <f>1</f>
        <v>1</v>
      </c>
    </row>
    <row r="2919" spans="2:9" x14ac:dyDescent="0.25">
      <c r="B2919">
        <v>0</v>
      </c>
      <c r="C2919" s="16" t="s">
        <v>12188</v>
      </c>
      <c r="D2919" s="16"/>
      <c r="E2919">
        <v>6</v>
      </c>
      <c r="F2919" t="s">
        <v>5978</v>
      </c>
      <c r="G2919">
        <v>1</v>
      </c>
      <c r="H2919">
        <v>0</v>
      </c>
      <c r="I2919">
        <f>1</f>
        <v>1</v>
      </c>
    </row>
    <row r="2920" spans="2:9" x14ac:dyDescent="0.25">
      <c r="B2920">
        <v>0</v>
      </c>
      <c r="C2920" s="16" t="s">
        <v>12189</v>
      </c>
      <c r="D2920" s="16"/>
      <c r="E2920">
        <v>6</v>
      </c>
      <c r="F2920" t="s">
        <v>5979</v>
      </c>
      <c r="G2920">
        <v>1</v>
      </c>
      <c r="H2920">
        <v>0</v>
      </c>
      <c r="I2920">
        <f>1</f>
        <v>1</v>
      </c>
    </row>
    <row r="2921" spans="2:9" x14ac:dyDescent="0.25">
      <c r="B2921">
        <v>0</v>
      </c>
      <c r="C2921" s="16" t="s">
        <v>12190</v>
      </c>
      <c r="D2921" s="16"/>
      <c r="E2921">
        <v>6</v>
      </c>
      <c r="F2921" t="s">
        <v>5980</v>
      </c>
      <c r="G2921">
        <v>1</v>
      </c>
      <c r="H2921">
        <v>0</v>
      </c>
      <c r="I2921">
        <f>1</f>
        <v>1</v>
      </c>
    </row>
    <row r="2922" spans="2:9" x14ac:dyDescent="0.25">
      <c r="B2922">
        <v>0</v>
      </c>
      <c r="C2922" s="16" t="s">
        <v>12191</v>
      </c>
      <c r="D2922" s="16"/>
      <c r="E2922">
        <v>6</v>
      </c>
      <c r="F2922" t="s">
        <v>5981</v>
      </c>
      <c r="G2922">
        <v>1</v>
      </c>
      <c r="H2922">
        <v>0</v>
      </c>
      <c r="I2922">
        <f>1</f>
        <v>1</v>
      </c>
    </row>
    <row r="2923" spans="2:9" x14ac:dyDescent="0.25">
      <c r="B2923">
        <v>0</v>
      </c>
      <c r="C2923" s="16" t="s">
        <v>12192</v>
      </c>
      <c r="D2923" s="16"/>
      <c r="E2923">
        <v>6</v>
      </c>
      <c r="F2923" t="s">
        <v>5982</v>
      </c>
      <c r="G2923">
        <v>1</v>
      </c>
      <c r="H2923">
        <v>0</v>
      </c>
      <c r="I2923">
        <f>1</f>
        <v>1</v>
      </c>
    </row>
    <row r="2924" spans="2:9" x14ac:dyDescent="0.25">
      <c r="B2924">
        <v>0</v>
      </c>
      <c r="C2924" s="16" t="s">
        <v>12193</v>
      </c>
      <c r="D2924" s="16"/>
      <c r="E2924">
        <v>6</v>
      </c>
      <c r="F2924" t="s">
        <v>4680</v>
      </c>
      <c r="G2924">
        <v>1</v>
      </c>
      <c r="H2924">
        <v>0</v>
      </c>
      <c r="I2924">
        <f>1</f>
        <v>1</v>
      </c>
    </row>
    <row r="2925" spans="2:9" x14ac:dyDescent="0.25">
      <c r="B2925">
        <v>0</v>
      </c>
      <c r="C2925" s="16" t="s">
        <v>12194</v>
      </c>
      <c r="D2925" s="16"/>
      <c r="E2925">
        <v>6</v>
      </c>
      <c r="F2925" t="s">
        <v>5983</v>
      </c>
      <c r="G2925">
        <v>1</v>
      </c>
      <c r="H2925">
        <v>0</v>
      </c>
      <c r="I2925">
        <f>1</f>
        <v>1</v>
      </c>
    </row>
    <row r="2926" spans="2:9" x14ac:dyDescent="0.25">
      <c r="B2926">
        <v>0</v>
      </c>
      <c r="C2926" s="16" t="s">
        <v>12195</v>
      </c>
      <c r="D2926" s="16"/>
      <c r="E2926">
        <v>6</v>
      </c>
      <c r="F2926" t="s">
        <v>4680</v>
      </c>
      <c r="G2926">
        <v>1</v>
      </c>
      <c r="H2926">
        <v>0</v>
      </c>
      <c r="I2926">
        <f>1</f>
        <v>1</v>
      </c>
    </row>
    <row r="2927" spans="2:9" x14ac:dyDescent="0.25">
      <c r="B2927">
        <v>0</v>
      </c>
      <c r="C2927" s="16" t="s">
        <v>12196</v>
      </c>
      <c r="D2927" s="16"/>
      <c r="E2927">
        <v>6</v>
      </c>
      <c r="F2927" t="s">
        <v>5984</v>
      </c>
      <c r="G2927">
        <v>1</v>
      </c>
      <c r="H2927">
        <v>0</v>
      </c>
      <c r="I2927">
        <f>1</f>
        <v>1</v>
      </c>
    </row>
    <row r="2928" spans="2:9" x14ac:dyDescent="0.25">
      <c r="B2928">
        <v>0</v>
      </c>
      <c r="C2928" s="16" t="s">
        <v>12197</v>
      </c>
      <c r="D2928" s="16"/>
      <c r="E2928">
        <v>6</v>
      </c>
      <c r="F2928" t="s">
        <v>5985</v>
      </c>
      <c r="G2928">
        <v>1</v>
      </c>
      <c r="H2928">
        <v>0</v>
      </c>
      <c r="I2928">
        <f>1</f>
        <v>1</v>
      </c>
    </row>
    <row r="2929" spans="2:9" x14ac:dyDescent="0.25">
      <c r="B2929">
        <v>0</v>
      </c>
      <c r="C2929" s="16" t="s">
        <v>12198</v>
      </c>
      <c r="D2929" s="16"/>
      <c r="E2929">
        <v>6</v>
      </c>
      <c r="F2929" t="s">
        <v>4690</v>
      </c>
      <c r="G2929">
        <v>1</v>
      </c>
      <c r="H2929">
        <v>0</v>
      </c>
      <c r="I2929">
        <f>1</f>
        <v>1</v>
      </c>
    </row>
    <row r="2930" spans="2:9" x14ac:dyDescent="0.25">
      <c r="B2930">
        <v>0</v>
      </c>
      <c r="C2930" s="16" t="s">
        <v>12199</v>
      </c>
      <c r="D2930" s="16"/>
      <c r="E2930">
        <v>6</v>
      </c>
      <c r="F2930" t="s">
        <v>5986</v>
      </c>
      <c r="G2930">
        <v>1</v>
      </c>
      <c r="H2930">
        <v>0</v>
      </c>
      <c r="I2930">
        <f>1</f>
        <v>1</v>
      </c>
    </row>
    <row r="2931" spans="2:9" x14ac:dyDescent="0.25">
      <c r="B2931">
        <v>0</v>
      </c>
      <c r="C2931" s="16" t="s">
        <v>12200</v>
      </c>
      <c r="D2931" s="16"/>
      <c r="E2931">
        <v>6</v>
      </c>
      <c r="F2931" t="s">
        <v>5987</v>
      </c>
      <c r="G2931">
        <v>1</v>
      </c>
      <c r="H2931">
        <v>0</v>
      </c>
      <c r="I2931">
        <f>1</f>
        <v>1</v>
      </c>
    </row>
    <row r="2932" spans="2:9" x14ac:dyDescent="0.25">
      <c r="B2932">
        <v>0</v>
      </c>
      <c r="C2932" s="16" t="s">
        <v>12201</v>
      </c>
      <c r="D2932" s="16"/>
      <c r="E2932">
        <v>6</v>
      </c>
      <c r="F2932" t="s">
        <v>5988</v>
      </c>
      <c r="G2932">
        <v>1</v>
      </c>
      <c r="H2932">
        <v>0</v>
      </c>
      <c r="I2932">
        <f>1</f>
        <v>1</v>
      </c>
    </row>
    <row r="2933" spans="2:9" x14ac:dyDescent="0.25">
      <c r="B2933">
        <v>0</v>
      </c>
      <c r="C2933" s="16" t="s">
        <v>12202</v>
      </c>
      <c r="D2933" s="16"/>
      <c r="E2933">
        <v>6</v>
      </c>
      <c r="F2933" t="s">
        <v>5989</v>
      </c>
      <c r="G2933">
        <v>1</v>
      </c>
      <c r="H2933">
        <v>0</v>
      </c>
      <c r="I2933">
        <f>1</f>
        <v>1</v>
      </c>
    </row>
    <row r="2934" spans="2:9" x14ac:dyDescent="0.25">
      <c r="B2934">
        <v>0</v>
      </c>
      <c r="C2934" s="16" t="s">
        <v>12203</v>
      </c>
      <c r="D2934" s="16"/>
      <c r="E2934">
        <v>6</v>
      </c>
      <c r="F2934" t="s">
        <v>5990</v>
      </c>
      <c r="G2934">
        <v>1</v>
      </c>
      <c r="H2934">
        <v>0</v>
      </c>
      <c r="I2934">
        <f>1</f>
        <v>1</v>
      </c>
    </row>
    <row r="2935" spans="2:9" x14ac:dyDescent="0.25">
      <c r="B2935">
        <v>0</v>
      </c>
      <c r="C2935" s="16" t="s">
        <v>12204</v>
      </c>
      <c r="D2935" s="16"/>
      <c r="E2935">
        <v>6</v>
      </c>
      <c r="F2935" t="s">
        <v>5991</v>
      </c>
      <c r="G2935">
        <v>1</v>
      </c>
      <c r="H2935">
        <v>0</v>
      </c>
      <c r="I2935">
        <f>1</f>
        <v>1</v>
      </c>
    </row>
    <row r="2936" spans="2:9" x14ac:dyDescent="0.25">
      <c r="B2936">
        <v>0</v>
      </c>
      <c r="C2936" s="16" t="s">
        <v>12205</v>
      </c>
      <c r="D2936" s="16"/>
      <c r="E2936">
        <v>6</v>
      </c>
      <c r="F2936" t="s">
        <v>5992</v>
      </c>
      <c r="G2936">
        <v>1</v>
      </c>
      <c r="H2936">
        <v>0</v>
      </c>
      <c r="I2936">
        <f>1</f>
        <v>1</v>
      </c>
    </row>
    <row r="2937" spans="2:9" x14ac:dyDescent="0.25">
      <c r="B2937">
        <v>0</v>
      </c>
      <c r="C2937" s="16" t="s">
        <v>12206</v>
      </c>
      <c r="D2937" s="16"/>
      <c r="E2937">
        <v>6</v>
      </c>
      <c r="F2937" t="s">
        <v>5993</v>
      </c>
      <c r="G2937">
        <v>1</v>
      </c>
      <c r="H2937">
        <v>0</v>
      </c>
      <c r="I2937">
        <f>1</f>
        <v>1</v>
      </c>
    </row>
    <row r="2938" spans="2:9" x14ac:dyDescent="0.25">
      <c r="B2938">
        <v>0</v>
      </c>
      <c r="C2938" s="16" t="s">
        <v>12207</v>
      </c>
      <c r="D2938" s="16"/>
      <c r="E2938">
        <v>6</v>
      </c>
      <c r="F2938" t="s">
        <v>5994</v>
      </c>
      <c r="G2938">
        <v>1</v>
      </c>
      <c r="H2938">
        <v>0</v>
      </c>
      <c r="I2938">
        <f>1</f>
        <v>1</v>
      </c>
    </row>
    <row r="2939" spans="2:9" x14ac:dyDescent="0.25">
      <c r="B2939">
        <v>0</v>
      </c>
      <c r="C2939" s="16" t="s">
        <v>12208</v>
      </c>
      <c r="D2939" s="16"/>
      <c r="E2939">
        <v>6</v>
      </c>
      <c r="F2939" t="s">
        <v>5995</v>
      </c>
      <c r="G2939">
        <v>1</v>
      </c>
      <c r="H2939">
        <v>0</v>
      </c>
      <c r="I2939">
        <f>1</f>
        <v>1</v>
      </c>
    </row>
    <row r="2940" spans="2:9" x14ac:dyDescent="0.25">
      <c r="B2940">
        <v>0</v>
      </c>
      <c r="C2940" s="16" t="s">
        <v>12209</v>
      </c>
      <c r="D2940" s="16"/>
      <c r="E2940">
        <v>6</v>
      </c>
      <c r="F2940" t="s">
        <v>5996</v>
      </c>
      <c r="G2940">
        <v>1</v>
      </c>
      <c r="H2940">
        <v>0</v>
      </c>
      <c r="I2940">
        <f>1</f>
        <v>1</v>
      </c>
    </row>
    <row r="2941" spans="2:9" x14ac:dyDescent="0.25">
      <c r="B2941">
        <v>0</v>
      </c>
      <c r="C2941" s="16" t="s">
        <v>12210</v>
      </c>
      <c r="D2941" s="16"/>
      <c r="E2941">
        <v>6</v>
      </c>
      <c r="F2941" t="s">
        <v>5997</v>
      </c>
      <c r="G2941">
        <v>1</v>
      </c>
      <c r="H2941">
        <v>0</v>
      </c>
      <c r="I2941">
        <f>1</f>
        <v>1</v>
      </c>
    </row>
    <row r="2942" spans="2:9" x14ac:dyDescent="0.25">
      <c r="B2942">
        <v>0</v>
      </c>
      <c r="C2942" s="16" t="s">
        <v>12211</v>
      </c>
      <c r="D2942" s="16"/>
      <c r="E2942">
        <v>6</v>
      </c>
      <c r="F2942" t="s">
        <v>5998</v>
      </c>
      <c r="G2942">
        <v>1</v>
      </c>
      <c r="H2942">
        <v>0</v>
      </c>
      <c r="I2942">
        <f>1</f>
        <v>1</v>
      </c>
    </row>
    <row r="2943" spans="2:9" x14ac:dyDescent="0.25">
      <c r="B2943">
        <v>0</v>
      </c>
      <c r="C2943" s="16" t="s">
        <v>12212</v>
      </c>
      <c r="D2943" s="16"/>
      <c r="E2943">
        <v>6</v>
      </c>
      <c r="F2943" t="s">
        <v>5999</v>
      </c>
      <c r="G2943">
        <v>1</v>
      </c>
      <c r="H2943">
        <v>0</v>
      </c>
      <c r="I2943">
        <f>1</f>
        <v>1</v>
      </c>
    </row>
    <row r="2944" spans="2:9" x14ac:dyDescent="0.25">
      <c r="B2944">
        <v>0</v>
      </c>
      <c r="C2944" s="16" t="s">
        <v>12213</v>
      </c>
      <c r="D2944" s="16"/>
      <c r="E2944">
        <v>6</v>
      </c>
      <c r="F2944" t="s">
        <v>6000</v>
      </c>
      <c r="G2944">
        <v>1</v>
      </c>
      <c r="H2944">
        <v>0</v>
      </c>
      <c r="I2944">
        <f>1</f>
        <v>1</v>
      </c>
    </row>
    <row r="2945" spans="2:9" x14ac:dyDescent="0.25">
      <c r="B2945">
        <v>0</v>
      </c>
      <c r="C2945" s="16" t="s">
        <v>12214</v>
      </c>
      <c r="D2945" s="16"/>
      <c r="E2945">
        <v>6</v>
      </c>
      <c r="F2945" t="s">
        <v>6001</v>
      </c>
      <c r="G2945">
        <v>1</v>
      </c>
      <c r="H2945">
        <v>0</v>
      </c>
      <c r="I2945">
        <f>1</f>
        <v>1</v>
      </c>
    </row>
    <row r="2946" spans="2:9" x14ac:dyDescent="0.25">
      <c r="B2946">
        <v>0</v>
      </c>
      <c r="C2946" s="16" t="s">
        <v>12215</v>
      </c>
      <c r="D2946" s="16"/>
      <c r="E2946">
        <v>6</v>
      </c>
      <c r="F2946" t="s">
        <v>4680</v>
      </c>
      <c r="G2946">
        <v>1</v>
      </c>
      <c r="H2946">
        <v>0</v>
      </c>
      <c r="I2946">
        <f>1</f>
        <v>1</v>
      </c>
    </row>
    <row r="2947" spans="2:9" x14ac:dyDescent="0.25">
      <c r="B2947">
        <v>0</v>
      </c>
      <c r="C2947" s="16" t="s">
        <v>12216</v>
      </c>
      <c r="D2947" s="16"/>
      <c r="E2947">
        <v>6</v>
      </c>
      <c r="F2947" t="e">
        <f>-chumbo tetrametila e chumbo tetraetileno</f>
        <v>#NAME?</v>
      </c>
      <c r="G2947">
        <v>1</v>
      </c>
      <c r="H2947">
        <v>0</v>
      </c>
      <c r="I2947">
        <f>1</f>
        <v>1</v>
      </c>
    </row>
    <row r="2948" spans="2:9" x14ac:dyDescent="0.25">
      <c r="B2948">
        <v>0</v>
      </c>
      <c r="C2948" s="16" t="s">
        <v>12217</v>
      </c>
      <c r="D2948" s="16"/>
      <c r="E2948">
        <v>6</v>
      </c>
      <c r="F2948" t="e">
        <f>-compostos De tributilestanho</f>
        <v>#NAME?</v>
      </c>
      <c r="G2948">
        <v>1</v>
      </c>
      <c r="H2948">
        <v>0</v>
      </c>
      <c r="I2948">
        <f>1</f>
        <v>1</v>
      </c>
    </row>
    <row r="2949" spans="2:9" x14ac:dyDescent="0.25">
      <c r="B2949">
        <v>0</v>
      </c>
      <c r="C2949" s="16" t="s">
        <v>12218</v>
      </c>
      <c r="D2949" s="16"/>
      <c r="E2949">
        <v>6</v>
      </c>
      <c r="F2949" t="s">
        <v>6002</v>
      </c>
      <c r="G2949">
        <v>1</v>
      </c>
      <c r="H2949">
        <v>0</v>
      </c>
      <c r="I2949">
        <f>1</f>
        <v>1</v>
      </c>
    </row>
    <row r="2950" spans="2:9" x14ac:dyDescent="0.25">
      <c r="B2950">
        <v>0</v>
      </c>
      <c r="C2950" s="16" t="s">
        <v>12219</v>
      </c>
      <c r="D2950" s="16"/>
      <c r="E2950">
        <v>6</v>
      </c>
      <c r="F2950" t="s">
        <v>4680</v>
      </c>
      <c r="G2950">
        <v>1</v>
      </c>
      <c r="H2950">
        <v>0</v>
      </c>
      <c r="I2950">
        <f>1</f>
        <v>1</v>
      </c>
    </row>
    <row r="2951" spans="2:9" x14ac:dyDescent="0.25">
      <c r="B2951">
        <v>0</v>
      </c>
      <c r="C2951" s="16" t="s">
        <v>12220</v>
      </c>
      <c r="D2951" s="16"/>
      <c r="E2951">
        <v>6</v>
      </c>
      <c r="F2951" t="s">
        <v>6003</v>
      </c>
      <c r="G2951">
        <v>1</v>
      </c>
      <c r="H2951">
        <v>0</v>
      </c>
      <c r="I2951">
        <f>1</f>
        <v>1</v>
      </c>
    </row>
    <row r="2952" spans="2:9" x14ac:dyDescent="0.25">
      <c r="B2952">
        <v>0</v>
      </c>
      <c r="C2952" s="16" t="s">
        <v>12221</v>
      </c>
      <c r="D2952" s="16"/>
      <c r="E2952">
        <v>6</v>
      </c>
      <c r="F2952" t="s">
        <v>6004</v>
      </c>
      <c r="G2952">
        <v>1</v>
      </c>
      <c r="H2952">
        <v>0</v>
      </c>
      <c r="I2952">
        <f>1</f>
        <v>1</v>
      </c>
    </row>
    <row r="2953" spans="2:9" x14ac:dyDescent="0.25">
      <c r="B2953">
        <v>0</v>
      </c>
      <c r="C2953" s="16" t="s">
        <v>12222</v>
      </c>
      <c r="D2953" s="16"/>
      <c r="E2953">
        <v>6</v>
      </c>
      <c r="F2953" t="s">
        <v>6005</v>
      </c>
      <c r="G2953">
        <v>1</v>
      </c>
      <c r="H2953">
        <v>0</v>
      </c>
      <c r="I2953">
        <f>1</f>
        <v>1</v>
      </c>
    </row>
    <row r="2954" spans="2:9" x14ac:dyDescent="0.25">
      <c r="B2954">
        <v>0</v>
      </c>
      <c r="C2954" s="16" t="s">
        <v>12223</v>
      </c>
      <c r="D2954" s="16"/>
      <c r="E2954">
        <v>6</v>
      </c>
      <c r="F2954" t="s">
        <v>6006</v>
      </c>
      <c r="G2954">
        <v>1</v>
      </c>
      <c r="H2954">
        <v>0</v>
      </c>
      <c r="I2954">
        <f>1</f>
        <v>1</v>
      </c>
    </row>
    <row r="2955" spans="2:9" x14ac:dyDescent="0.25">
      <c r="B2955">
        <v>0</v>
      </c>
      <c r="C2955" s="16" t="s">
        <v>12224</v>
      </c>
      <c r="D2955" s="16"/>
      <c r="E2955">
        <v>6</v>
      </c>
      <c r="F2955" t="s">
        <v>6007</v>
      </c>
      <c r="G2955">
        <v>1</v>
      </c>
      <c r="H2955">
        <v>0</v>
      </c>
      <c r="I2955">
        <f>1</f>
        <v>1</v>
      </c>
    </row>
    <row r="2956" spans="2:9" x14ac:dyDescent="0.25">
      <c r="B2956">
        <v>0</v>
      </c>
      <c r="C2956" s="16" t="s">
        <v>12225</v>
      </c>
      <c r="D2956" s="16"/>
      <c r="E2956">
        <v>6</v>
      </c>
      <c r="F2956" t="s">
        <v>6008</v>
      </c>
      <c r="G2956">
        <v>1</v>
      </c>
      <c r="H2956">
        <v>0</v>
      </c>
      <c r="I2956">
        <f>1</f>
        <v>1</v>
      </c>
    </row>
    <row r="2957" spans="2:9" x14ac:dyDescent="0.25">
      <c r="B2957">
        <v>0</v>
      </c>
      <c r="C2957" s="16" t="s">
        <v>12226</v>
      </c>
      <c r="D2957" s="16"/>
      <c r="E2957">
        <v>6</v>
      </c>
      <c r="F2957" t="s">
        <v>6009</v>
      </c>
      <c r="G2957">
        <v>1</v>
      </c>
      <c r="H2957">
        <v>0</v>
      </c>
      <c r="I2957">
        <f>1</f>
        <v>1</v>
      </c>
    </row>
    <row r="2958" spans="2:9" x14ac:dyDescent="0.25">
      <c r="B2958">
        <v>0</v>
      </c>
      <c r="C2958" s="16" t="s">
        <v>12227</v>
      </c>
      <c r="D2958" s="16"/>
      <c r="E2958">
        <v>6</v>
      </c>
      <c r="F2958" t="s">
        <v>6010</v>
      </c>
      <c r="G2958">
        <v>1</v>
      </c>
      <c r="H2958">
        <v>0</v>
      </c>
      <c r="I2958">
        <f>1</f>
        <v>1</v>
      </c>
    </row>
    <row r="2959" spans="2:9" x14ac:dyDescent="0.25">
      <c r="B2959">
        <v>0</v>
      </c>
      <c r="C2959" s="16" t="s">
        <v>12228</v>
      </c>
      <c r="D2959" s="16"/>
      <c r="E2959">
        <v>6</v>
      </c>
      <c r="F2959" t="s">
        <v>6011</v>
      </c>
      <c r="G2959">
        <v>1</v>
      </c>
      <c r="H2959">
        <v>0</v>
      </c>
      <c r="I2959">
        <f>1</f>
        <v>1</v>
      </c>
    </row>
    <row r="2960" spans="2:9" x14ac:dyDescent="0.25">
      <c r="B2960">
        <v>0</v>
      </c>
      <c r="C2960" s="16" t="s">
        <v>12229</v>
      </c>
      <c r="D2960" s="16"/>
      <c r="E2960">
        <v>6</v>
      </c>
      <c r="F2960" t="s">
        <v>6012</v>
      </c>
      <c r="G2960">
        <v>1</v>
      </c>
      <c r="H2960">
        <v>0</v>
      </c>
      <c r="I2960">
        <f>1</f>
        <v>1</v>
      </c>
    </row>
    <row r="2961" spans="2:9" x14ac:dyDescent="0.25">
      <c r="B2961">
        <v>0</v>
      </c>
      <c r="C2961" s="16" t="s">
        <v>12230</v>
      </c>
      <c r="D2961" s="16"/>
      <c r="E2961">
        <v>6</v>
      </c>
      <c r="F2961" t="s">
        <v>6013</v>
      </c>
      <c r="G2961">
        <v>1</v>
      </c>
      <c r="H2961">
        <v>0</v>
      </c>
      <c r="I2961">
        <f>1</f>
        <v>1</v>
      </c>
    </row>
    <row r="2962" spans="2:9" x14ac:dyDescent="0.25">
      <c r="B2962">
        <v>0</v>
      </c>
      <c r="C2962" s="16" t="s">
        <v>12231</v>
      </c>
      <c r="D2962" s="16"/>
      <c r="E2962">
        <v>6</v>
      </c>
      <c r="F2962" t="s">
        <v>6014</v>
      </c>
      <c r="G2962">
        <v>1</v>
      </c>
      <c r="H2962">
        <v>0</v>
      </c>
      <c r="I2962">
        <f>1</f>
        <v>1</v>
      </c>
    </row>
    <row r="2963" spans="2:9" x14ac:dyDescent="0.25">
      <c r="B2963">
        <v>0</v>
      </c>
      <c r="C2963" s="16" t="s">
        <v>12232</v>
      </c>
      <c r="D2963" s="16"/>
      <c r="E2963">
        <v>6</v>
      </c>
      <c r="F2963" t="s">
        <v>6015</v>
      </c>
      <c r="G2963">
        <v>1</v>
      </c>
      <c r="H2963">
        <v>0</v>
      </c>
      <c r="I2963">
        <f>1</f>
        <v>1</v>
      </c>
    </row>
    <row r="2964" spans="2:9" x14ac:dyDescent="0.25">
      <c r="B2964">
        <v>0</v>
      </c>
      <c r="C2964" s="16" t="s">
        <v>12233</v>
      </c>
      <c r="D2964" s="16"/>
      <c r="E2964">
        <v>6</v>
      </c>
      <c r="F2964" t="s">
        <v>6016</v>
      </c>
      <c r="G2964">
        <v>1</v>
      </c>
      <c r="H2964">
        <v>0</v>
      </c>
      <c r="I2964">
        <f>1</f>
        <v>1</v>
      </c>
    </row>
    <row r="2965" spans="2:9" x14ac:dyDescent="0.25">
      <c r="B2965">
        <v>0</v>
      </c>
      <c r="C2965" s="16" t="s">
        <v>12234</v>
      </c>
      <c r="D2965" s="16"/>
      <c r="E2965">
        <v>6</v>
      </c>
      <c r="F2965" t="s">
        <v>4680</v>
      </c>
      <c r="G2965">
        <v>1</v>
      </c>
      <c r="H2965">
        <v>0</v>
      </c>
      <c r="I2965">
        <f>1</f>
        <v>1</v>
      </c>
    </row>
    <row r="2966" spans="2:9" x14ac:dyDescent="0.25">
      <c r="B2966">
        <v>0</v>
      </c>
      <c r="C2966" s="16" t="s">
        <v>12235</v>
      </c>
      <c r="D2966" s="16"/>
      <c r="E2966">
        <v>6</v>
      </c>
      <c r="F2966" t="s">
        <v>6017</v>
      </c>
      <c r="G2966">
        <v>1</v>
      </c>
      <c r="H2966">
        <v>0</v>
      </c>
      <c r="I2966">
        <f>1</f>
        <v>1</v>
      </c>
    </row>
    <row r="2967" spans="2:9" x14ac:dyDescent="0.25">
      <c r="B2967">
        <v>0</v>
      </c>
      <c r="C2967" s="16" t="s">
        <v>12236</v>
      </c>
      <c r="D2967" s="16"/>
      <c r="E2967">
        <v>6</v>
      </c>
      <c r="F2967" t="s">
        <v>6018</v>
      </c>
      <c r="G2967">
        <v>1</v>
      </c>
      <c r="H2967">
        <v>0</v>
      </c>
      <c r="I2967">
        <f>1</f>
        <v>1</v>
      </c>
    </row>
    <row r="2968" spans="2:9" x14ac:dyDescent="0.25">
      <c r="B2968">
        <v>0</v>
      </c>
      <c r="C2968" s="16" t="s">
        <v>12237</v>
      </c>
      <c r="D2968" s="16"/>
      <c r="E2968">
        <v>6</v>
      </c>
      <c r="F2968" t="s">
        <v>6019</v>
      </c>
      <c r="G2968">
        <v>1</v>
      </c>
      <c r="H2968">
        <v>0</v>
      </c>
      <c r="I2968">
        <f>1</f>
        <v>1</v>
      </c>
    </row>
    <row r="2969" spans="2:9" x14ac:dyDescent="0.25">
      <c r="B2969">
        <v>0</v>
      </c>
      <c r="C2969" s="16" t="s">
        <v>12238</v>
      </c>
      <c r="D2969" s="16"/>
      <c r="E2969">
        <v>6</v>
      </c>
      <c r="F2969" t="s">
        <v>6020</v>
      </c>
      <c r="G2969">
        <v>1</v>
      </c>
      <c r="H2969">
        <v>0</v>
      </c>
      <c r="I2969">
        <f>1</f>
        <v>1</v>
      </c>
    </row>
    <row r="2970" spans="2:9" x14ac:dyDescent="0.25">
      <c r="B2970">
        <v>0</v>
      </c>
      <c r="C2970" s="16" t="s">
        <v>12239</v>
      </c>
      <c r="D2970" s="16"/>
      <c r="E2970">
        <v>6</v>
      </c>
      <c r="F2970" t="s">
        <v>4680</v>
      </c>
      <c r="G2970">
        <v>1</v>
      </c>
      <c r="H2970">
        <v>0</v>
      </c>
      <c r="I2970">
        <f>1</f>
        <v>1</v>
      </c>
    </row>
    <row r="2971" spans="2:9" x14ac:dyDescent="0.25">
      <c r="B2971">
        <v>0</v>
      </c>
      <c r="C2971" s="16" t="s">
        <v>12240</v>
      </c>
      <c r="D2971" s="16"/>
      <c r="E2971">
        <v>6</v>
      </c>
      <c r="F2971" t="s">
        <v>6021</v>
      </c>
      <c r="G2971">
        <v>1</v>
      </c>
      <c r="H2971">
        <v>0</v>
      </c>
      <c r="I2971">
        <f>1</f>
        <v>1</v>
      </c>
    </row>
    <row r="2972" spans="2:9" x14ac:dyDescent="0.25">
      <c r="B2972">
        <v>0</v>
      </c>
      <c r="C2972" s="16" t="s">
        <v>12241</v>
      </c>
      <c r="D2972" s="16"/>
      <c r="E2972">
        <v>6</v>
      </c>
      <c r="F2972" t="s">
        <v>6022</v>
      </c>
      <c r="G2972">
        <v>1</v>
      </c>
      <c r="H2972">
        <v>0</v>
      </c>
      <c r="I2972">
        <f>1</f>
        <v>1</v>
      </c>
    </row>
    <row r="2973" spans="2:9" x14ac:dyDescent="0.25">
      <c r="B2973">
        <v>0</v>
      </c>
      <c r="C2973" s="16" t="s">
        <v>12242</v>
      </c>
      <c r="D2973" s="16"/>
      <c r="E2973">
        <v>6</v>
      </c>
      <c r="F2973" t="s">
        <v>4680</v>
      </c>
      <c r="G2973">
        <v>1</v>
      </c>
      <c r="H2973">
        <v>0</v>
      </c>
      <c r="I2973">
        <f>1</f>
        <v>1</v>
      </c>
    </row>
    <row r="2974" spans="2:9" x14ac:dyDescent="0.25">
      <c r="B2974">
        <v>0</v>
      </c>
      <c r="C2974" s="16" t="s">
        <v>12243</v>
      </c>
      <c r="D2974" s="16"/>
      <c r="E2974">
        <v>6</v>
      </c>
      <c r="F2974" t="s">
        <v>6023</v>
      </c>
      <c r="G2974">
        <v>1</v>
      </c>
      <c r="H2974">
        <v>0</v>
      </c>
      <c r="I2974">
        <f>1</f>
        <v>1</v>
      </c>
    </row>
    <row r="2975" spans="2:9" x14ac:dyDescent="0.25">
      <c r="B2975">
        <v>0</v>
      </c>
      <c r="C2975" s="16" t="s">
        <v>12244</v>
      </c>
      <c r="D2975" s="16"/>
      <c r="E2975">
        <v>6</v>
      </c>
      <c r="F2975" t="s">
        <v>6024</v>
      </c>
      <c r="G2975">
        <v>1</v>
      </c>
      <c r="H2975">
        <v>0</v>
      </c>
      <c r="I2975">
        <f>1</f>
        <v>1</v>
      </c>
    </row>
    <row r="2976" spans="2:9" x14ac:dyDescent="0.25">
      <c r="B2976">
        <v>0</v>
      </c>
      <c r="C2976" s="16" t="s">
        <v>12245</v>
      </c>
      <c r="D2976" s="16"/>
      <c r="E2976">
        <v>6</v>
      </c>
      <c r="F2976" t="s">
        <v>6025</v>
      </c>
      <c r="G2976">
        <v>1</v>
      </c>
      <c r="H2976">
        <v>0</v>
      </c>
      <c r="I2976">
        <f>1</f>
        <v>1</v>
      </c>
    </row>
    <row r="2977" spans="2:9" x14ac:dyDescent="0.25">
      <c r="B2977">
        <v>0</v>
      </c>
      <c r="C2977" s="16" t="s">
        <v>12246</v>
      </c>
      <c r="D2977" s="16"/>
      <c r="E2977">
        <v>6</v>
      </c>
      <c r="F2977" t="s">
        <v>6026</v>
      </c>
      <c r="G2977">
        <v>1</v>
      </c>
      <c r="H2977">
        <v>0</v>
      </c>
      <c r="I2977">
        <f>1</f>
        <v>1</v>
      </c>
    </row>
    <row r="2978" spans="2:9" x14ac:dyDescent="0.25">
      <c r="B2978">
        <v>0</v>
      </c>
      <c r="C2978" s="16" t="s">
        <v>12247</v>
      </c>
      <c r="D2978" s="16"/>
      <c r="E2978">
        <v>6</v>
      </c>
      <c r="F2978" t="s">
        <v>6027</v>
      </c>
      <c r="G2978">
        <v>1</v>
      </c>
      <c r="H2978">
        <v>0</v>
      </c>
      <c r="I2978">
        <f>1</f>
        <v>1</v>
      </c>
    </row>
    <row r="2979" spans="2:9" x14ac:dyDescent="0.25">
      <c r="B2979">
        <v>0</v>
      </c>
      <c r="C2979" s="16" t="s">
        <v>12248</v>
      </c>
      <c r="D2979" s="16"/>
      <c r="E2979">
        <v>6</v>
      </c>
      <c r="F2979" t="s">
        <v>6000</v>
      </c>
      <c r="G2979">
        <v>1</v>
      </c>
      <c r="H2979">
        <v>0</v>
      </c>
      <c r="I2979">
        <f>1</f>
        <v>1</v>
      </c>
    </row>
    <row r="2980" spans="2:9" x14ac:dyDescent="0.25">
      <c r="B2980">
        <v>0</v>
      </c>
      <c r="C2980" s="16" t="s">
        <v>12249</v>
      </c>
      <c r="D2980" s="16"/>
      <c r="E2980">
        <v>6</v>
      </c>
      <c r="F2980" t="s">
        <v>6028</v>
      </c>
      <c r="G2980">
        <v>1</v>
      </c>
      <c r="H2980">
        <v>0</v>
      </c>
      <c r="I2980">
        <f>1</f>
        <v>1</v>
      </c>
    </row>
    <row r="2981" spans="2:9" x14ac:dyDescent="0.25">
      <c r="B2981">
        <v>0</v>
      </c>
      <c r="C2981" s="16" t="s">
        <v>12250</v>
      </c>
      <c r="D2981" s="16"/>
      <c r="E2981">
        <v>6</v>
      </c>
      <c r="F2981" t="s">
        <v>4680</v>
      </c>
      <c r="G2981">
        <v>1</v>
      </c>
      <c r="H2981">
        <v>0</v>
      </c>
      <c r="I2981">
        <f>1</f>
        <v>1</v>
      </c>
    </row>
    <row r="2982" spans="2:9" x14ac:dyDescent="0.25">
      <c r="B2982">
        <v>0</v>
      </c>
      <c r="C2982" s="16" t="s">
        <v>12251</v>
      </c>
      <c r="D2982" s="16"/>
      <c r="E2982">
        <v>6</v>
      </c>
      <c r="F2982" t="s">
        <v>4680</v>
      </c>
      <c r="G2982">
        <v>1</v>
      </c>
      <c r="H2982">
        <v>0</v>
      </c>
      <c r="I2982">
        <f>1</f>
        <v>1</v>
      </c>
    </row>
    <row r="2983" spans="2:9" x14ac:dyDescent="0.25">
      <c r="B2983">
        <v>0</v>
      </c>
      <c r="C2983" s="16" t="s">
        <v>12252</v>
      </c>
      <c r="D2983" s="16"/>
      <c r="E2983">
        <v>6</v>
      </c>
      <c r="F2983" t="e">
        <f>--Tetraidrofurano</f>
        <v>#NAME?</v>
      </c>
      <c r="G2983">
        <v>1</v>
      </c>
      <c r="H2983">
        <v>0</v>
      </c>
      <c r="I2983">
        <f>1</f>
        <v>1</v>
      </c>
    </row>
    <row r="2984" spans="2:9" x14ac:dyDescent="0.25">
      <c r="B2984">
        <v>0</v>
      </c>
      <c r="C2984" s="16" t="s">
        <v>12253</v>
      </c>
      <c r="D2984" s="16"/>
      <c r="E2984">
        <v>6</v>
      </c>
      <c r="F2984" t="e">
        <f>--2-Furaldeído  furfural</f>
        <v>#NAME?</v>
      </c>
      <c r="G2984">
        <v>1</v>
      </c>
      <c r="H2984">
        <v>0</v>
      </c>
      <c r="I2984">
        <f>1</f>
        <v>1</v>
      </c>
    </row>
    <row r="2985" spans="2:9" x14ac:dyDescent="0.25">
      <c r="B2985">
        <v>0</v>
      </c>
      <c r="C2985" s="16" t="s">
        <v>12254</v>
      </c>
      <c r="D2985" s="16"/>
      <c r="E2985">
        <v>6</v>
      </c>
      <c r="F2985" t="s">
        <v>6029</v>
      </c>
      <c r="G2985">
        <v>1</v>
      </c>
      <c r="H2985">
        <v>0</v>
      </c>
      <c r="I2985">
        <f>1</f>
        <v>1</v>
      </c>
    </row>
    <row r="2986" spans="2:9" x14ac:dyDescent="0.25">
      <c r="B2986">
        <v>0</v>
      </c>
      <c r="C2986" s="16" t="s">
        <v>12255</v>
      </c>
      <c r="D2986" s="16"/>
      <c r="E2986">
        <v>6</v>
      </c>
      <c r="F2986" t="s">
        <v>6030</v>
      </c>
      <c r="G2986">
        <v>1</v>
      </c>
      <c r="H2986">
        <v>0</v>
      </c>
      <c r="I2986">
        <f>1</f>
        <v>1</v>
      </c>
    </row>
    <row r="2987" spans="2:9" x14ac:dyDescent="0.25">
      <c r="B2987">
        <v>0</v>
      </c>
      <c r="C2987" s="16" t="s">
        <v>12256</v>
      </c>
      <c r="D2987" s="16"/>
      <c r="E2987">
        <v>6</v>
      </c>
      <c r="F2987" t="s">
        <v>6031</v>
      </c>
      <c r="G2987">
        <v>1</v>
      </c>
      <c r="H2987">
        <v>0</v>
      </c>
      <c r="I2987">
        <f>1</f>
        <v>1</v>
      </c>
    </row>
    <row r="2988" spans="2:9" x14ac:dyDescent="0.25">
      <c r="B2988">
        <v>0</v>
      </c>
      <c r="C2988" s="16" t="s">
        <v>12257</v>
      </c>
      <c r="D2988" s="16"/>
      <c r="E2988">
        <v>6</v>
      </c>
      <c r="F2988" t="s">
        <v>6032</v>
      </c>
      <c r="G2988">
        <v>1</v>
      </c>
      <c r="H2988">
        <v>0</v>
      </c>
      <c r="I2988">
        <f>1</f>
        <v>1</v>
      </c>
    </row>
    <row r="2989" spans="2:9" x14ac:dyDescent="0.25">
      <c r="B2989">
        <v>0</v>
      </c>
      <c r="C2989" s="16" t="s">
        <v>12258</v>
      </c>
      <c r="D2989" s="16"/>
      <c r="E2989">
        <v>6</v>
      </c>
      <c r="F2989" t="s">
        <v>6033</v>
      </c>
      <c r="G2989">
        <v>1</v>
      </c>
      <c r="H2989">
        <v>0</v>
      </c>
      <c r="I2989">
        <f>1</f>
        <v>1</v>
      </c>
    </row>
    <row r="2990" spans="2:9" x14ac:dyDescent="0.25">
      <c r="B2990">
        <v>0</v>
      </c>
      <c r="C2990" s="16" t="s">
        <v>12259</v>
      </c>
      <c r="D2990" s="16"/>
      <c r="E2990">
        <v>6</v>
      </c>
      <c r="F2990" t="s">
        <v>6034</v>
      </c>
      <c r="G2990">
        <v>1</v>
      </c>
      <c r="H2990">
        <v>0</v>
      </c>
      <c r="I2990">
        <f>1</f>
        <v>1</v>
      </c>
    </row>
    <row r="2991" spans="2:9" x14ac:dyDescent="0.25">
      <c r="B2991">
        <v>0</v>
      </c>
      <c r="C2991" s="16" t="s">
        <v>12260</v>
      </c>
      <c r="D2991" s="16"/>
      <c r="E2991">
        <v>6</v>
      </c>
      <c r="F2991" t="s">
        <v>6035</v>
      </c>
      <c r="G2991">
        <v>1</v>
      </c>
      <c r="H2991">
        <v>0</v>
      </c>
      <c r="I2991">
        <f>1</f>
        <v>1</v>
      </c>
    </row>
    <row r="2992" spans="2:9" x14ac:dyDescent="0.25">
      <c r="B2992">
        <v>0</v>
      </c>
      <c r="C2992" s="16" t="s">
        <v>12261</v>
      </c>
      <c r="D2992" s="16"/>
      <c r="E2992">
        <v>6</v>
      </c>
      <c r="F2992" t="s">
        <v>4680</v>
      </c>
      <c r="G2992">
        <v>1</v>
      </c>
      <c r="H2992">
        <v>0</v>
      </c>
      <c r="I2992">
        <f>1</f>
        <v>1</v>
      </c>
    </row>
    <row r="2993" spans="2:9" x14ac:dyDescent="0.25">
      <c r="B2993">
        <v>0</v>
      </c>
      <c r="C2993" s="16" t="s">
        <v>12262</v>
      </c>
      <c r="D2993" s="16"/>
      <c r="E2993">
        <v>6</v>
      </c>
      <c r="F2993" t="e">
        <f>-Lactonas</f>
        <v>#NAME?</v>
      </c>
      <c r="G2993">
        <v>1</v>
      </c>
      <c r="H2993">
        <v>0</v>
      </c>
      <c r="I2993">
        <f>1</f>
        <v>1</v>
      </c>
    </row>
    <row r="2994" spans="2:9" x14ac:dyDescent="0.25">
      <c r="B2994">
        <v>0</v>
      </c>
      <c r="C2994" s="16" t="s">
        <v>12263</v>
      </c>
      <c r="D2994" s="16"/>
      <c r="E2994">
        <v>6</v>
      </c>
      <c r="F2994" t="e">
        <f>--Isosafrol</f>
        <v>#NAME?</v>
      </c>
      <c r="G2994">
        <v>1</v>
      </c>
      <c r="H2994">
        <v>0</v>
      </c>
      <c r="I2994">
        <f>1</f>
        <v>1</v>
      </c>
    </row>
    <row r="2995" spans="2:9" x14ac:dyDescent="0.25">
      <c r="B2995">
        <v>0</v>
      </c>
      <c r="C2995" s="16" t="s">
        <v>12264</v>
      </c>
      <c r="D2995" s="16"/>
      <c r="E2995">
        <v>6</v>
      </c>
      <c r="F2995" t="e">
        <f>--1- 1.3-Benzodioxol-5-il propan-2-ona</f>
        <v>#NAME?</v>
      </c>
      <c r="G2995">
        <v>1</v>
      </c>
      <c r="H2995">
        <v>0</v>
      </c>
      <c r="I2995">
        <f>1</f>
        <v>1</v>
      </c>
    </row>
    <row r="2996" spans="2:9" x14ac:dyDescent="0.25">
      <c r="B2996">
        <v>0</v>
      </c>
      <c r="C2996" s="16" t="s">
        <v>12265</v>
      </c>
      <c r="D2996" s="16"/>
      <c r="E2996">
        <v>6</v>
      </c>
      <c r="F2996" t="e">
        <f>--Piperonal</f>
        <v>#NAME?</v>
      </c>
      <c r="G2996">
        <v>1</v>
      </c>
      <c r="H2996">
        <v>0</v>
      </c>
      <c r="I2996">
        <f>1</f>
        <v>1</v>
      </c>
    </row>
    <row r="2997" spans="2:9" x14ac:dyDescent="0.25">
      <c r="B2997">
        <v>0</v>
      </c>
      <c r="C2997" s="16" t="s">
        <v>12266</v>
      </c>
      <c r="D2997" s="16"/>
      <c r="E2997">
        <v>6</v>
      </c>
      <c r="F2997" t="e">
        <f>--Safrol</f>
        <v>#NAME?</v>
      </c>
      <c r="G2997">
        <v>1</v>
      </c>
      <c r="H2997">
        <v>0</v>
      </c>
      <c r="I2997">
        <f>1</f>
        <v>1</v>
      </c>
    </row>
    <row r="2998" spans="2:9" x14ac:dyDescent="0.25">
      <c r="B2998">
        <v>0</v>
      </c>
      <c r="C2998" s="16" t="s">
        <v>12267</v>
      </c>
      <c r="D2998" s="16"/>
      <c r="E2998">
        <v>6</v>
      </c>
      <c r="F2998" t="e">
        <f>--Tetraidrocanabinóis  todos os isômeros</f>
        <v>#NAME?</v>
      </c>
      <c r="G2998">
        <v>1</v>
      </c>
      <c r="H2998">
        <v>0</v>
      </c>
      <c r="I2998">
        <f>1</f>
        <v>1</v>
      </c>
    </row>
    <row r="2999" spans="2:9" x14ac:dyDescent="0.25">
      <c r="B2999">
        <v>0</v>
      </c>
      <c r="C2999" s="16" t="s">
        <v>12268</v>
      </c>
      <c r="D2999" s="16"/>
      <c r="E2999">
        <v>6</v>
      </c>
      <c r="F2999" t="s">
        <v>6036</v>
      </c>
      <c r="G2999">
        <v>1</v>
      </c>
      <c r="H2999">
        <v>0</v>
      </c>
      <c r="I2999">
        <f>1</f>
        <v>1</v>
      </c>
    </row>
    <row r="3000" spans="2:9" x14ac:dyDescent="0.25">
      <c r="B3000">
        <v>0</v>
      </c>
      <c r="C3000" s="16" t="s">
        <v>12269</v>
      </c>
      <c r="D3000" s="16"/>
      <c r="E3000">
        <v>6</v>
      </c>
      <c r="F3000" t="s">
        <v>6037</v>
      </c>
      <c r="G3000">
        <v>1</v>
      </c>
      <c r="H3000">
        <v>0</v>
      </c>
      <c r="I3000">
        <f>1</f>
        <v>1</v>
      </c>
    </row>
    <row r="3001" spans="2:9" x14ac:dyDescent="0.25">
      <c r="B3001">
        <v>0</v>
      </c>
      <c r="C3001" s="16" t="s">
        <v>12270</v>
      </c>
      <c r="D3001" s="16"/>
      <c r="E3001">
        <v>6</v>
      </c>
      <c r="F3001" t="s">
        <v>6038</v>
      </c>
      <c r="G3001">
        <v>1</v>
      </c>
      <c r="H3001">
        <v>0</v>
      </c>
      <c r="I3001">
        <f>1</f>
        <v>1</v>
      </c>
    </row>
    <row r="3002" spans="2:9" x14ac:dyDescent="0.25">
      <c r="B3002">
        <v>0</v>
      </c>
      <c r="C3002" s="16" t="s">
        <v>12271</v>
      </c>
      <c r="D3002" s="16"/>
      <c r="E3002">
        <v>6</v>
      </c>
      <c r="F3002" t="s">
        <v>6039</v>
      </c>
      <c r="G3002">
        <v>1</v>
      </c>
      <c r="H3002">
        <v>0</v>
      </c>
      <c r="I3002">
        <f>1</f>
        <v>1</v>
      </c>
    </row>
    <row r="3003" spans="2:9" x14ac:dyDescent="0.25">
      <c r="B3003">
        <v>0</v>
      </c>
      <c r="C3003" s="16" t="s">
        <v>12272</v>
      </c>
      <c r="D3003" s="16"/>
      <c r="E3003">
        <v>6</v>
      </c>
      <c r="F3003" t="s">
        <v>6040</v>
      </c>
      <c r="G3003">
        <v>1</v>
      </c>
      <c r="H3003">
        <v>0</v>
      </c>
      <c r="I3003">
        <f>1</f>
        <v>1</v>
      </c>
    </row>
    <row r="3004" spans="2:9" x14ac:dyDescent="0.25">
      <c r="B3004">
        <v>0</v>
      </c>
      <c r="C3004" s="16" t="s">
        <v>12273</v>
      </c>
      <c r="D3004" s="16"/>
      <c r="E3004">
        <v>6</v>
      </c>
      <c r="F3004" t="s">
        <v>6041</v>
      </c>
      <c r="G3004">
        <v>1</v>
      </c>
      <c r="H3004">
        <v>0</v>
      </c>
      <c r="I3004">
        <f>1</f>
        <v>1</v>
      </c>
    </row>
    <row r="3005" spans="2:9" x14ac:dyDescent="0.25">
      <c r="B3005">
        <v>0</v>
      </c>
      <c r="C3005" s="16" t="s">
        <v>12274</v>
      </c>
      <c r="D3005" s="16"/>
      <c r="E3005">
        <v>6</v>
      </c>
      <c r="F3005" t="s">
        <v>6042</v>
      </c>
      <c r="G3005">
        <v>1</v>
      </c>
      <c r="H3005">
        <v>0</v>
      </c>
      <c r="I3005">
        <f>1</f>
        <v>1</v>
      </c>
    </row>
    <row r="3006" spans="2:9" x14ac:dyDescent="0.25">
      <c r="B3006">
        <v>0</v>
      </c>
      <c r="C3006" s="16" t="s">
        <v>12275</v>
      </c>
      <c r="D3006" s="16"/>
      <c r="E3006">
        <v>6</v>
      </c>
      <c r="F3006" t="s">
        <v>6043</v>
      </c>
      <c r="G3006">
        <v>1</v>
      </c>
      <c r="H3006">
        <v>0</v>
      </c>
      <c r="I3006">
        <f>1</f>
        <v>1</v>
      </c>
    </row>
    <row r="3007" spans="2:9" x14ac:dyDescent="0.25">
      <c r="B3007">
        <v>0</v>
      </c>
      <c r="C3007" s="16" t="s">
        <v>12276</v>
      </c>
      <c r="D3007" s="16"/>
      <c r="E3007">
        <v>6</v>
      </c>
      <c r="F3007" t="s">
        <v>4680</v>
      </c>
      <c r="G3007">
        <v>1</v>
      </c>
      <c r="H3007">
        <v>0</v>
      </c>
      <c r="I3007">
        <f>1</f>
        <v>1</v>
      </c>
    </row>
    <row r="3008" spans="2:9" x14ac:dyDescent="0.25">
      <c r="B3008">
        <v>0</v>
      </c>
      <c r="C3008" s="16" t="s">
        <v>12277</v>
      </c>
      <c r="D3008" s="16"/>
      <c r="E3008">
        <v>6</v>
      </c>
      <c r="F3008" t="s">
        <v>6044</v>
      </c>
      <c r="G3008">
        <v>1</v>
      </c>
      <c r="H3008">
        <v>0</v>
      </c>
      <c r="I3008">
        <f>1</f>
        <v>1</v>
      </c>
    </row>
    <row r="3009" spans="2:9" x14ac:dyDescent="0.25">
      <c r="B3009">
        <v>0</v>
      </c>
      <c r="C3009" s="16" t="s">
        <v>12278</v>
      </c>
      <c r="D3009" s="16"/>
      <c r="E3009">
        <v>6</v>
      </c>
      <c r="F3009" t="s">
        <v>6045</v>
      </c>
      <c r="G3009">
        <v>1</v>
      </c>
      <c r="H3009">
        <v>0</v>
      </c>
      <c r="I3009">
        <f>1</f>
        <v>1</v>
      </c>
    </row>
    <row r="3010" spans="2:9" x14ac:dyDescent="0.25">
      <c r="B3010">
        <v>0</v>
      </c>
      <c r="C3010" s="16" t="s">
        <v>12279</v>
      </c>
      <c r="D3010" s="16"/>
      <c r="E3010">
        <v>6</v>
      </c>
      <c r="F3010" t="s">
        <v>4680</v>
      </c>
      <c r="G3010">
        <v>1</v>
      </c>
      <c r="H3010">
        <v>0</v>
      </c>
      <c r="I3010">
        <f>1</f>
        <v>1</v>
      </c>
    </row>
    <row r="3011" spans="2:9" x14ac:dyDescent="0.25">
      <c r="B3011">
        <v>0</v>
      </c>
      <c r="C3011" s="16" t="s">
        <v>12280</v>
      </c>
      <c r="D3011" s="16"/>
      <c r="E3011">
        <v>6</v>
      </c>
      <c r="F3011" t="s">
        <v>6046</v>
      </c>
      <c r="G3011">
        <v>1</v>
      </c>
      <c r="H3011">
        <v>0</v>
      </c>
      <c r="I3011">
        <f>1</f>
        <v>1</v>
      </c>
    </row>
    <row r="3012" spans="2:9" x14ac:dyDescent="0.25">
      <c r="B3012">
        <v>0</v>
      </c>
      <c r="C3012" s="16" t="s">
        <v>12281</v>
      </c>
      <c r="D3012" s="16"/>
      <c r="E3012">
        <v>6</v>
      </c>
      <c r="F3012" t="s">
        <v>4680</v>
      </c>
      <c r="G3012">
        <v>1</v>
      </c>
      <c r="H3012">
        <v>0</v>
      </c>
      <c r="I3012">
        <f>1</f>
        <v>1</v>
      </c>
    </row>
    <row r="3013" spans="2:9" x14ac:dyDescent="0.25">
      <c r="B3013">
        <v>0</v>
      </c>
      <c r="C3013" s="16" t="s">
        <v>12282</v>
      </c>
      <c r="D3013" s="16"/>
      <c r="E3013">
        <v>6</v>
      </c>
      <c r="F3013" t="s">
        <v>6047</v>
      </c>
      <c r="G3013">
        <v>1</v>
      </c>
      <c r="H3013">
        <v>0</v>
      </c>
      <c r="I3013">
        <f>1</f>
        <v>1</v>
      </c>
    </row>
    <row r="3014" spans="2:9" x14ac:dyDescent="0.25">
      <c r="B3014">
        <v>0</v>
      </c>
      <c r="C3014" s="16" t="s">
        <v>12283</v>
      </c>
      <c r="D3014" s="16"/>
      <c r="E3014">
        <v>6</v>
      </c>
      <c r="F3014" t="s">
        <v>4680</v>
      </c>
      <c r="G3014">
        <v>1</v>
      </c>
      <c r="H3014">
        <v>0</v>
      </c>
      <c r="I3014">
        <f>1</f>
        <v>1</v>
      </c>
    </row>
    <row r="3015" spans="2:9" x14ac:dyDescent="0.25">
      <c r="B3015">
        <v>0</v>
      </c>
      <c r="C3015" s="16" t="s">
        <v>12284</v>
      </c>
      <c r="D3015" s="16"/>
      <c r="E3015">
        <v>6</v>
      </c>
      <c r="F3015" t="s">
        <v>4680</v>
      </c>
      <c r="G3015">
        <v>1</v>
      </c>
      <c r="H3015">
        <v>0</v>
      </c>
      <c r="I3015">
        <f>1</f>
        <v>1</v>
      </c>
    </row>
    <row r="3016" spans="2:9" x14ac:dyDescent="0.25">
      <c r="B3016">
        <v>0</v>
      </c>
      <c r="C3016" s="16" t="s">
        <v>12285</v>
      </c>
      <c r="D3016" s="16"/>
      <c r="E3016">
        <v>6</v>
      </c>
      <c r="F3016" t="s">
        <v>6048</v>
      </c>
      <c r="G3016">
        <v>1</v>
      </c>
      <c r="H3016">
        <v>0</v>
      </c>
      <c r="I3016">
        <f>1</f>
        <v>1</v>
      </c>
    </row>
    <row r="3017" spans="2:9" x14ac:dyDescent="0.25">
      <c r="B3017">
        <v>0</v>
      </c>
      <c r="C3017" s="16" t="s">
        <v>12286</v>
      </c>
      <c r="D3017" s="16"/>
      <c r="E3017">
        <v>6</v>
      </c>
      <c r="F3017" t="s">
        <v>6049</v>
      </c>
      <c r="G3017">
        <v>1</v>
      </c>
      <c r="H3017">
        <v>0</v>
      </c>
      <c r="I3017">
        <f>1</f>
        <v>1</v>
      </c>
    </row>
    <row r="3018" spans="2:9" x14ac:dyDescent="0.25">
      <c r="B3018">
        <v>0</v>
      </c>
      <c r="C3018" s="16" t="s">
        <v>12287</v>
      </c>
      <c r="D3018" s="16"/>
      <c r="E3018">
        <v>6</v>
      </c>
      <c r="F3018" t="s">
        <v>4680</v>
      </c>
      <c r="G3018">
        <v>1</v>
      </c>
      <c r="H3018">
        <v>0</v>
      </c>
      <c r="I3018">
        <f>1</f>
        <v>1</v>
      </c>
    </row>
    <row r="3019" spans="2:9" x14ac:dyDescent="0.25">
      <c r="B3019">
        <v>0</v>
      </c>
      <c r="C3019" s="16" t="s">
        <v>12288</v>
      </c>
      <c r="D3019" s="16"/>
      <c r="E3019">
        <v>6</v>
      </c>
      <c r="F3019" t="s">
        <v>4680</v>
      </c>
      <c r="G3019">
        <v>1</v>
      </c>
      <c r="H3019">
        <v>0</v>
      </c>
      <c r="I3019">
        <f>1</f>
        <v>1</v>
      </c>
    </row>
    <row r="3020" spans="2:9" x14ac:dyDescent="0.25">
      <c r="B3020">
        <v>0</v>
      </c>
      <c r="C3020" s="16" t="s">
        <v>12289</v>
      </c>
      <c r="D3020" s="16"/>
      <c r="E3020">
        <v>6</v>
      </c>
      <c r="F3020" t="s">
        <v>6050</v>
      </c>
      <c r="G3020">
        <v>1</v>
      </c>
      <c r="H3020">
        <v>0</v>
      </c>
      <c r="I3020">
        <f>1</f>
        <v>1</v>
      </c>
    </row>
    <row r="3021" spans="2:9" x14ac:dyDescent="0.25">
      <c r="B3021">
        <v>0</v>
      </c>
      <c r="C3021" s="16" t="s">
        <v>12290</v>
      </c>
      <c r="D3021" s="16"/>
      <c r="E3021">
        <v>6</v>
      </c>
      <c r="F3021" t="s">
        <v>6051</v>
      </c>
      <c r="G3021">
        <v>1</v>
      </c>
      <c r="H3021">
        <v>0</v>
      </c>
      <c r="I3021">
        <f>1</f>
        <v>1</v>
      </c>
    </row>
    <row r="3022" spans="2:9" x14ac:dyDescent="0.25">
      <c r="B3022">
        <v>0</v>
      </c>
      <c r="C3022" s="16" t="s">
        <v>12291</v>
      </c>
      <c r="D3022" s="16"/>
      <c r="E3022">
        <v>6</v>
      </c>
      <c r="F3022" t="s">
        <v>6052</v>
      </c>
      <c r="G3022">
        <v>1</v>
      </c>
      <c r="H3022">
        <v>0</v>
      </c>
      <c r="I3022">
        <f>1</f>
        <v>1</v>
      </c>
    </row>
    <row r="3023" spans="2:9" x14ac:dyDescent="0.25">
      <c r="B3023">
        <v>0</v>
      </c>
      <c r="C3023" s="16" t="s">
        <v>12292</v>
      </c>
      <c r="D3023" s="16"/>
      <c r="E3023">
        <v>6</v>
      </c>
      <c r="F3023" t="s">
        <v>4680</v>
      </c>
      <c r="G3023">
        <v>1</v>
      </c>
      <c r="H3023">
        <v>0</v>
      </c>
      <c r="I3023">
        <f>1</f>
        <v>1</v>
      </c>
    </row>
    <row r="3024" spans="2:9" x14ac:dyDescent="0.25">
      <c r="B3024">
        <v>0</v>
      </c>
      <c r="C3024" s="16" t="s">
        <v>12293</v>
      </c>
      <c r="D3024" s="16"/>
      <c r="E3024">
        <v>6</v>
      </c>
      <c r="F3024" t="s">
        <v>6053</v>
      </c>
      <c r="G3024">
        <v>1</v>
      </c>
      <c r="H3024">
        <v>0</v>
      </c>
      <c r="I3024">
        <f>1</f>
        <v>1</v>
      </c>
    </row>
    <row r="3025" spans="2:9" x14ac:dyDescent="0.25">
      <c r="B3025">
        <v>0</v>
      </c>
      <c r="C3025" s="16" t="s">
        <v>12294</v>
      </c>
      <c r="D3025" s="16"/>
      <c r="E3025">
        <v>6</v>
      </c>
      <c r="F3025" t="s">
        <v>6054</v>
      </c>
      <c r="G3025">
        <v>1</v>
      </c>
      <c r="H3025">
        <v>0</v>
      </c>
      <c r="I3025">
        <f>1</f>
        <v>1</v>
      </c>
    </row>
    <row r="3026" spans="2:9" x14ac:dyDescent="0.25">
      <c r="B3026">
        <v>0</v>
      </c>
      <c r="C3026" s="16" t="s">
        <v>12295</v>
      </c>
      <c r="D3026" s="16"/>
      <c r="E3026">
        <v>6</v>
      </c>
      <c r="F3026" t="s">
        <v>6055</v>
      </c>
      <c r="G3026">
        <v>1</v>
      </c>
      <c r="H3026">
        <v>0</v>
      </c>
      <c r="I3026">
        <f>1</f>
        <v>1</v>
      </c>
    </row>
    <row r="3027" spans="2:9" x14ac:dyDescent="0.25">
      <c r="B3027">
        <v>0</v>
      </c>
      <c r="C3027" s="16" t="s">
        <v>12296</v>
      </c>
      <c r="D3027" s="16"/>
      <c r="E3027">
        <v>6</v>
      </c>
      <c r="F3027" t="s">
        <v>6056</v>
      </c>
      <c r="G3027">
        <v>1</v>
      </c>
      <c r="H3027">
        <v>0</v>
      </c>
      <c r="I3027">
        <f>1</f>
        <v>1</v>
      </c>
    </row>
    <row r="3028" spans="2:9" x14ac:dyDescent="0.25">
      <c r="B3028">
        <v>0</v>
      </c>
      <c r="C3028" s="16" t="s">
        <v>12297</v>
      </c>
      <c r="D3028" s="16"/>
      <c r="E3028">
        <v>6</v>
      </c>
      <c r="F3028" t="s">
        <v>6057</v>
      </c>
      <c r="G3028">
        <v>1</v>
      </c>
      <c r="H3028">
        <v>0</v>
      </c>
      <c r="I3028">
        <f>1</f>
        <v>1</v>
      </c>
    </row>
    <row r="3029" spans="2:9" x14ac:dyDescent="0.25">
      <c r="B3029">
        <v>0</v>
      </c>
      <c r="C3029" s="16" t="s">
        <v>12298</v>
      </c>
      <c r="D3029" s="16"/>
      <c r="E3029">
        <v>6</v>
      </c>
      <c r="F3029" t="s">
        <v>4680</v>
      </c>
      <c r="G3029">
        <v>1</v>
      </c>
      <c r="H3029">
        <v>0</v>
      </c>
      <c r="I3029">
        <f>1</f>
        <v>1</v>
      </c>
    </row>
    <row r="3030" spans="2:9" x14ac:dyDescent="0.25">
      <c r="B3030">
        <v>0</v>
      </c>
      <c r="C3030" s="16" t="s">
        <v>12299</v>
      </c>
      <c r="D3030" s="16"/>
      <c r="E3030">
        <v>6</v>
      </c>
      <c r="F3030" t="s">
        <v>6058</v>
      </c>
      <c r="G3030">
        <v>1</v>
      </c>
      <c r="H3030">
        <v>0</v>
      </c>
      <c r="I3030">
        <f>1</f>
        <v>1</v>
      </c>
    </row>
    <row r="3031" spans="2:9" x14ac:dyDescent="0.25">
      <c r="B3031">
        <v>0</v>
      </c>
      <c r="C3031" s="16" t="s">
        <v>12300</v>
      </c>
      <c r="D3031" s="16"/>
      <c r="E3031">
        <v>6</v>
      </c>
      <c r="F3031" t="s">
        <v>6059</v>
      </c>
      <c r="G3031">
        <v>1</v>
      </c>
      <c r="H3031">
        <v>0</v>
      </c>
      <c r="I3031">
        <f>1</f>
        <v>1</v>
      </c>
    </row>
    <row r="3032" spans="2:9" x14ac:dyDescent="0.25">
      <c r="B3032">
        <v>0</v>
      </c>
      <c r="C3032" s="16" t="s">
        <v>12301</v>
      </c>
      <c r="D3032" s="16"/>
      <c r="E3032">
        <v>6</v>
      </c>
      <c r="F3032" t="s">
        <v>6060</v>
      </c>
      <c r="G3032">
        <v>1</v>
      </c>
      <c r="H3032">
        <v>0</v>
      </c>
      <c r="I3032">
        <f>1</f>
        <v>1</v>
      </c>
    </row>
    <row r="3033" spans="2:9" x14ac:dyDescent="0.25">
      <c r="B3033">
        <v>0</v>
      </c>
      <c r="C3033" s="16" t="s">
        <v>12302</v>
      </c>
      <c r="D3033" s="16"/>
      <c r="E3033">
        <v>6</v>
      </c>
      <c r="F3033" t="s">
        <v>6061</v>
      </c>
      <c r="G3033">
        <v>1</v>
      </c>
      <c r="H3033">
        <v>0</v>
      </c>
      <c r="I3033">
        <f>1</f>
        <v>1</v>
      </c>
    </row>
    <row r="3034" spans="2:9" x14ac:dyDescent="0.25">
      <c r="B3034">
        <v>0</v>
      </c>
      <c r="C3034" s="16" t="s">
        <v>12303</v>
      </c>
      <c r="D3034" s="16"/>
      <c r="E3034">
        <v>6</v>
      </c>
      <c r="F3034" t="s">
        <v>6062</v>
      </c>
      <c r="G3034">
        <v>1</v>
      </c>
      <c r="H3034">
        <v>0</v>
      </c>
      <c r="I3034">
        <f>1</f>
        <v>1</v>
      </c>
    </row>
    <row r="3035" spans="2:9" x14ac:dyDescent="0.25">
      <c r="B3035">
        <v>0</v>
      </c>
      <c r="C3035" s="16" t="s">
        <v>12304</v>
      </c>
      <c r="D3035" s="16"/>
      <c r="E3035">
        <v>6</v>
      </c>
      <c r="F3035" t="s">
        <v>6063</v>
      </c>
      <c r="G3035">
        <v>1</v>
      </c>
      <c r="H3035">
        <v>0</v>
      </c>
      <c r="I3035">
        <f>1</f>
        <v>1</v>
      </c>
    </row>
    <row r="3036" spans="2:9" x14ac:dyDescent="0.25">
      <c r="B3036">
        <v>0</v>
      </c>
      <c r="C3036" s="16" t="s">
        <v>12305</v>
      </c>
      <c r="D3036" s="16"/>
      <c r="E3036">
        <v>6</v>
      </c>
      <c r="F3036" t="s">
        <v>6064</v>
      </c>
      <c r="G3036">
        <v>1</v>
      </c>
      <c r="H3036">
        <v>0</v>
      </c>
      <c r="I3036">
        <f>1</f>
        <v>1</v>
      </c>
    </row>
    <row r="3037" spans="2:9" x14ac:dyDescent="0.25">
      <c r="B3037">
        <v>0</v>
      </c>
      <c r="C3037" s="16" t="s">
        <v>12306</v>
      </c>
      <c r="D3037" s="16"/>
      <c r="E3037">
        <v>6</v>
      </c>
      <c r="F3037" t="s">
        <v>4680</v>
      </c>
      <c r="G3037">
        <v>1</v>
      </c>
      <c r="H3037">
        <v>0</v>
      </c>
      <c r="I3037">
        <f>1</f>
        <v>1</v>
      </c>
    </row>
    <row r="3038" spans="2:9" x14ac:dyDescent="0.25">
      <c r="B3038">
        <v>0</v>
      </c>
      <c r="C3038" s="16" t="s">
        <v>12307</v>
      </c>
      <c r="D3038" s="16"/>
      <c r="E3038">
        <v>6</v>
      </c>
      <c r="F3038" t="s">
        <v>6065</v>
      </c>
      <c r="G3038">
        <v>1</v>
      </c>
      <c r="H3038">
        <v>0</v>
      </c>
      <c r="I3038">
        <f>1</f>
        <v>1</v>
      </c>
    </row>
    <row r="3039" spans="2:9" x14ac:dyDescent="0.25">
      <c r="B3039">
        <v>0</v>
      </c>
      <c r="C3039" s="16" t="s">
        <v>12308</v>
      </c>
      <c r="D3039" s="16"/>
      <c r="E3039">
        <v>6</v>
      </c>
      <c r="F3039" t="s">
        <v>5641</v>
      </c>
      <c r="G3039">
        <v>1</v>
      </c>
      <c r="H3039">
        <v>0</v>
      </c>
      <c r="I3039">
        <f>1</f>
        <v>1</v>
      </c>
    </row>
    <row r="3040" spans="2:9" x14ac:dyDescent="0.25">
      <c r="B3040">
        <v>0</v>
      </c>
      <c r="C3040" s="16" t="s">
        <v>12309</v>
      </c>
      <c r="D3040" s="16"/>
      <c r="E3040">
        <v>6</v>
      </c>
      <c r="F3040" t="e">
        <f>--Piperidina e seus sais</f>
        <v>#NAME?</v>
      </c>
      <c r="G3040">
        <v>1</v>
      </c>
      <c r="H3040">
        <v>0</v>
      </c>
      <c r="I3040">
        <f>1</f>
        <v>1</v>
      </c>
    </row>
    <row r="3041" spans="2:9" x14ac:dyDescent="0.25">
      <c r="B3041">
        <v>0</v>
      </c>
      <c r="C3041" s="16" t="s">
        <v>12310</v>
      </c>
      <c r="D3041" s="16"/>
      <c r="E3041">
        <v>6</v>
      </c>
      <c r="F3041" t="s">
        <v>6066</v>
      </c>
      <c r="G3041">
        <v>1</v>
      </c>
      <c r="H3041">
        <v>0</v>
      </c>
      <c r="I3041">
        <f>1</f>
        <v>1</v>
      </c>
    </row>
    <row r="3042" spans="2:9" x14ac:dyDescent="0.25">
      <c r="B3042">
        <v>0</v>
      </c>
      <c r="C3042" s="16" t="s">
        <v>12311</v>
      </c>
      <c r="D3042" s="16"/>
      <c r="E3042">
        <v>6</v>
      </c>
      <c r="F3042" t="s">
        <v>6067</v>
      </c>
      <c r="G3042">
        <v>1</v>
      </c>
      <c r="H3042">
        <v>0</v>
      </c>
      <c r="I3042">
        <f>1</f>
        <v>1</v>
      </c>
    </row>
    <row r="3043" spans="2:9" x14ac:dyDescent="0.25">
      <c r="B3043">
        <v>0</v>
      </c>
      <c r="C3043" s="16" t="s">
        <v>12312</v>
      </c>
      <c r="D3043" s="16"/>
      <c r="E3043">
        <v>6</v>
      </c>
      <c r="F3043" t="s">
        <v>4680</v>
      </c>
      <c r="G3043">
        <v>1</v>
      </c>
      <c r="H3043">
        <v>0</v>
      </c>
      <c r="I3043">
        <f>1</f>
        <v>1</v>
      </c>
    </row>
    <row r="3044" spans="2:9" x14ac:dyDescent="0.25">
      <c r="B3044">
        <v>0</v>
      </c>
      <c r="C3044" s="16" t="s">
        <v>12313</v>
      </c>
      <c r="D3044" s="16"/>
      <c r="E3044">
        <v>6</v>
      </c>
      <c r="F3044" t="s">
        <v>6068</v>
      </c>
      <c r="G3044">
        <v>1</v>
      </c>
      <c r="H3044">
        <v>0</v>
      </c>
      <c r="I3044">
        <f>1</f>
        <v>1</v>
      </c>
    </row>
    <row r="3045" spans="2:9" x14ac:dyDescent="0.25">
      <c r="B3045">
        <v>0</v>
      </c>
      <c r="C3045" s="16" t="s">
        <v>12314</v>
      </c>
      <c r="D3045" s="16"/>
      <c r="E3045">
        <v>6</v>
      </c>
      <c r="F3045" t="s">
        <v>6069</v>
      </c>
      <c r="G3045">
        <v>1</v>
      </c>
      <c r="H3045">
        <v>0</v>
      </c>
      <c r="I3045">
        <f>1</f>
        <v>1</v>
      </c>
    </row>
    <row r="3046" spans="2:9" x14ac:dyDescent="0.25">
      <c r="B3046">
        <v>0</v>
      </c>
      <c r="C3046" s="16" t="s">
        <v>12315</v>
      </c>
      <c r="D3046" s="16"/>
      <c r="E3046">
        <v>6</v>
      </c>
      <c r="F3046" t="s">
        <v>4680</v>
      </c>
      <c r="G3046">
        <v>1</v>
      </c>
      <c r="H3046">
        <v>0</v>
      </c>
      <c r="I3046">
        <f>1</f>
        <v>1</v>
      </c>
    </row>
    <row r="3047" spans="2:9" x14ac:dyDescent="0.25">
      <c r="B3047">
        <v>0</v>
      </c>
      <c r="C3047" s="16" t="s">
        <v>12316</v>
      </c>
      <c r="D3047" s="16"/>
      <c r="E3047">
        <v>6</v>
      </c>
      <c r="F3047" t="s">
        <v>6070</v>
      </c>
      <c r="G3047">
        <v>1</v>
      </c>
      <c r="H3047">
        <v>0</v>
      </c>
      <c r="I3047">
        <f>1</f>
        <v>1</v>
      </c>
    </row>
    <row r="3048" spans="2:9" x14ac:dyDescent="0.25">
      <c r="B3048">
        <v>0</v>
      </c>
      <c r="C3048" s="16" t="s">
        <v>12317</v>
      </c>
      <c r="D3048" s="16"/>
      <c r="E3048">
        <v>6</v>
      </c>
      <c r="F3048" t="s">
        <v>6071</v>
      </c>
      <c r="G3048">
        <v>1</v>
      </c>
      <c r="H3048">
        <v>0</v>
      </c>
      <c r="I3048">
        <f>1</f>
        <v>1</v>
      </c>
    </row>
    <row r="3049" spans="2:9" x14ac:dyDescent="0.25">
      <c r="B3049">
        <v>0</v>
      </c>
      <c r="C3049" s="16" t="s">
        <v>12318</v>
      </c>
      <c r="D3049" s="16"/>
      <c r="E3049">
        <v>6</v>
      </c>
      <c r="F3049" t="s">
        <v>6072</v>
      </c>
      <c r="G3049">
        <v>1</v>
      </c>
      <c r="H3049">
        <v>0</v>
      </c>
      <c r="I3049">
        <f>1</f>
        <v>1</v>
      </c>
    </row>
    <row r="3050" spans="2:9" x14ac:dyDescent="0.25">
      <c r="B3050">
        <v>0</v>
      </c>
      <c r="C3050" s="16" t="s">
        <v>12319</v>
      </c>
      <c r="D3050" s="16"/>
      <c r="E3050">
        <v>6</v>
      </c>
      <c r="F3050" t="s">
        <v>4680</v>
      </c>
      <c r="G3050">
        <v>1</v>
      </c>
      <c r="H3050">
        <v>0</v>
      </c>
      <c r="I3050">
        <f>1</f>
        <v>1</v>
      </c>
    </row>
    <row r="3051" spans="2:9" x14ac:dyDescent="0.25">
      <c r="B3051">
        <v>0</v>
      </c>
      <c r="C3051" s="16" t="s">
        <v>12320</v>
      </c>
      <c r="D3051" s="16"/>
      <c r="E3051">
        <v>6</v>
      </c>
      <c r="F3051" t="s">
        <v>6073</v>
      </c>
      <c r="G3051">
        <v>1</v>
      </c>
      <c r="H3051">
        <v>0</v>
      </c>
      <c r="I3051">
        <f>1</f>
        <v>1</v>
      </c>
    </row>
    <row r="3052" spans="2:9" x14ac:dyDescent="0.25">
      <c r="B3052">
        <v>0</v>
      </c>
      <c r="C3052" s="16" t="s">
        <v>12321</v>
      </c>
      <c r="D3052" s="16"/>
      <c r="E3052">
        <v>6</v>
      </c>
      <c r="F3052" t="s">
        <v>6074</v>
      </c>
      <c r="G3052">
        <v>1</v>
      </c>
      <c r="H3052">
        <v>0</v>
      </c>
      <c r="I3052">
        <f>1</f>
        <v>1</v>
      </c>
    </row>
    <row r="3053" spans="2:9" x14ac:dyDescent="0.25">
      <c r="B3053">
        <v>0</v>
      </c>
      <c r="C3053" s="16" t="s">
        <v>12322</v>
      </c>
      <c r="D3053" s="16"/>
      <c r="E3053">
        <v>6</v>
      </c>
      <c r="F3053" t="s">
        <v>4680</v>
      </c>
      <c r="G3053">
        <v>1</v>
      </c>
      <c r="H3053">
        <v>0</v>
      </c>
      <c r="I3053">
        <f>1</f>
        <v>1</v>
      </c>
    </row>
    <row r="3054" spans="2:9" x14ac:dyDescent="0.25">
      <c r="B3054">
        <v>0</v>
      </c>
      <c r="C3054" s="16" t="s">
        <v>12323</v>
      </c>
      <c r="D3054" s="16"/>
      <c r="E3054">
        <v>6</v>
      </c>
      <c r="F3054" t="s">
        <v>6075</v>
      </c>
      <c r="G3054">
        <v>1</v>
      </c>
      <c r="H3054">
        <v>0</v>
      </c>
      <c r="I3054">
        <f>1</f>
        <v>1</v>
      </c>
    </row>
    <row r="3055" spans="2:9" x14ac:dyDescent="0.25">
      <c r="B3055">
        <v>0</v>
      </c>
      <c r="C3055" s="16" t="s">
        <v>12324</v>
      </c>
      <c r="D3055" s="16"/>
      <c r="E3055">
        <v>6</v>
      </c>
      <c r="F3055" t="s">
        <v>6076</v>
      </c>
      <c r="G3055">
        <v>1</v>
      </c>
      <c r="H3055">
        <v>0</v>
      </c>
      <c r="I3055">
        <f>1</f>
        <v>1</v>
      </c>
    </row>
    <row r="3056" spans="2:9" x14ac:dyDescent="0.25">
      <c r="B3056">
        <v>0</v>
      </c>
      <c r="C3056" s="16" t="s">
        <v>12325</v>
      </c>
      <c r="D3056" s="16"/>
      <c r="E3056">
        <v>6</v>
      </c>
      <c r="F3056" t="s">
        <v>6077</v>
      </c>
      <c r="G3056">
        <v>1</v>
      </c>
      <c r="H3056">
        <v>0</v>
      </c>
      <c r="I3056">
        <f>1</f>
        <v>1</v>
      </c>
    </row>
    <row r="3057" spans="2:9" x14ac:dyDescent="0.25">
      <c r="B3057">
        <v>0</v>
      </c>
      <c r="C3057" s="16" t="s">
        <v>12326</v>
      </c>
      <c r="D3057" s="16"/>
      <c r="E3057">
        <v>6</v>
      </c>
      <c r="F3057" t="s">
        <v>4680</v>
      </c>
      <c r="G3057">
        <v>1</v>
      </c>
      <c r="H3057">
        <v>0</v>
      </c>
      <c r="I3057">
        <f>1</f>
        <v>1</v>
      </c>
    </row>
    <row r="3058" spans="2:9" x14ac:dyDescent="0.25">
      <c r="B3058">
        <v>0</v>
      </c>
      <c r="C3058" s="16" t="s">
        <v>12327</v>
      </c>
      <c r="D3058" s="16"/>
      <c r="E3058">
        <v>6</v>
      </c>
      <c r="F3058" t="s">
        <v>6078</v>
      </c>
      <c r="G3058">
        <v>1</v>
      </c>
      <c r="H3058">
        <v>0</v>
      </c>
      <c r="I3058">
        <f>1</f>
        <v>1</v>
      </c>
    </row>
    <row r="3059" spans="2:9" x14ac:dyDescent="0.25">
      <c r="B3059">
        <v>0</v>
      </c>
      <c r="C3059" s="16" t="s">
        <v>12328</v>
      </c>
      <c r="D3059" s="16"/>
      <c r="E3059">
        <v>6</v>
      </c>
      <c r="F3059" t="s">
        <v>6079</v>
      </c>
      <c r="G3059">
        <v>1</v>
      </c>
      <c r="H3059">
        <v>0</v>
      </c>
      <c r="I3059">
        <f>1</f>
        <v>1</v>
      </c>
    </row>
    <row r="3060" spans="2:9" x14ac:dyDescent="0.25">
      <c r="B3060">
        <v>0</v>
      </c>
      <c r="C3060" s="16" t="s">
        <v>12329</v>
      </c>
      <c r="D3060" s="16"/>
      <c r="E3060">
        <v>6</v>
      </c>
      <c r="F3060" t="s">
        <v>4680</v>
      </c>
      <c r="G3060">
        <v>1</v>
      </c>
      <c r="H3060">
        <v>0</v>
      </c>
      <c r="I3060">
        <f>1</f>
        <v>1</v>
      </c>
    </row>
    <row r="3061" spans="2:9" x14ac:dyDescent="0.25">
      <c r="B3061">
        <v>0</v>
      </c>
      <c r="C3061" s="16" t="s">
        <v>12330</v>
      </c>
      <c r="D3061" s="16"/>
      <c r="E3061">
        <v>6</v>
      </c>
      <c r="F3061" t="s">
        <v>6080</v>
      </c>
      <c r="G3061">
        <v>1</v>
      </c>
      <c r="H3061">
        <v>0</v>
      </c>
      <c r="I3061">
        <f>1</f>
        <v>1</v>
      </c>
    </row>
    <row r="3062" spans="2:9" x14ac:dyDescent="0.25">
      <c r="B3062">
        <v>0</v>
      </c>
      <c r="C3062" s="16" t="s">
        <v>12331</v>
      </c>
      <c r="D3062" s="16"/>
      <c r="E3062">
        <v>6</v>
      </c>
      <c r="F3062" t="s">
        <v>6081</v>
      </c>
      <c r="G3062">
        <v>1</v>
      </c>
      <c r="H3062">
        <v>0</v>
      </c>
      <c r="I3062">
        <f>1</f>
        <v>1</v>
      </c>
    </row>
    <row r="3063" spans="2:9" x14ac:dyDescent="0.25">
      <c r="B3063">
        <v>0</v>
      </c>
      <c r="C3063" s="16" t="s">
        <v>12332</v>
      </c>
      <c r="D3063" s="16"/>
      <c r="E3063">
        <v>6</v>
      </c>
      <c r="F3063" t="s">
        <v>6082</v>
      </c>
      <c r="G3063">
        <v>1</v>
      </c>
      <c r="H3063">
        <v>0</v>
      </c>
      <c r="I3063">
        <f>1</f>
        <v>1</v>
      </c>
    </row>
    <row r="3064" spans="2:9" x14ac:dyDescent="0.25">
      <c r="B3064">
        <v>0</v>
      </c>
      <c r="C3064" s="16" t="s">
        <v>12333</v>
      </c>
      <c r="D3064" s="16"/>
      <c r="E3064">
        <v>6</v>
      </c>
      <c r="F3064" t="s">
        <v>6083</v>
      </c>
      <c r="G3064">
        <v>1</v>
      </c>
      <c r="H3064">
        <v>0</v>
      </c>
      <c r="I3064">
        <f>1</f>
        <v>1</v>
      </c>
    </row>
    <row r="3065" spans="2:9" x14ac:dyDescent="0.25">
      <c r="B3065">
        <v>0</v>
      </c>
      <c r="C3065" s="16" t="s">
        <v>12334</v>
      </c>
      <c r="D3065" s="16"/>
      <c r="E3065">
        <v>6</v>
      </c>
      <c r="F3065" t="s">
        <v>4680</v>
      </c>
      <c r="G3065">
        <v>1</v>
      </c>
      <c r="H3065">
        <v>0</v>
      </c>
      <c r="I3065">
        <f>1</f>
        <v>1</v>
      </c>
    </row>
    <row r="3066" spans="2:9" x14ac:dyDescent="0.25">
      <c r="B3066">
        <v>0</v>
      </c>
      <c r="C3066" s="16" t="s">
        <v>12335</v>
      </c>
      <c r="D3066" s="16"/>
      <c r="E3066">
        <v>6</v>
      </c>
      <c r="F3066" t="s">
        <v>6084</v>
      </c>
      <c r="G3066">
        <v>1</v>
      </c>
      <c r="H3066">
        <v>0</v>
      </c>
      <c r="I3066">
        <f>1</f>
        <v>1</v>
      </c>
    </row>
    <row r="3067" spans="2:9" x14ac:dyDescent="0.25">
      <c r="B3067">
        <v>0</v>
      </c>
      <c r="C3067" s="16" t="s">
        <v>12336</v>
      </c>
      <c r="D3067" s="16"/>
      <c r="E3067">
        <v>6</v>
      </c>
      <c r="F3067" t="s">
        <v>6085</v>
      </c>
      <c r="G3067">
        <v>1</v>
      </c>
      <c r="H3067">
        <v>0</v>
      </c>
      <c r="I3067">
        <f>1</f>
        <v>1</v>
      </c>
    </row>
    <row r="3068" spans="2:9" x14ac:dyDescent="0.25">
      <c r="B3068">
        <v>0</v>
      </c>
      <c r="C3068" s="16" t="s">
        <v>12337</v>
      </c>
      <c r="D3068" s="16"/>
      <c r="E3068">
        <v>6</v>
      </c>
      <c r="F3068" t="s">
        <v>6086</v>
      </c>
      <c r="G3068">
        <v>1</v>
      </c>
      <c r="H3068">
        <v>0</v>
      </c>
      <c r="I3068">
        <f>1</f>
        <v>1</v>
      </c>
    </row>
    <row r="3069" spans="2:9" x14ac:dyDescent="0.25">
      <c r="B3069">
        <v>0</v>
      </c>
      <c r="C3069" s="16" t="s">
        <v>12338</v>
      </c>
      <c r="D3069" s="16"/>
      <c r="E3069">
        <v>6</v>
      </c>
      <c r="F3069" t="s">
        <v>4680</v>
      </c>
      <c r="G3069">
        <v>1</v>
      </c>
      <c r="H3069">
        <v>0</v>
      </c>
      <c r="I3069">
        <f>1</f>
        <v>1</v>
      </c>
    </row>
    <row r="3070" spans="2:9" x14ac:dyDescent="0.25">
      <c r="B3070">
        <v>0</v>
      </c>
      <c r="C3070" s="16" t="s">
        <v>12339</v>
      </c>
      <c r="D3070" s="16"/>
      <c r="E3070">
        <v>6</v>
      </c>
      <c r="F3070" t="s">
        <v>6087</v>
      </c>
      <c r="G3070">
        <v>1</v>
      </c>
      <c r="H3070">
        <v>0</v>
      </c>
      <c r="I3070">
        <f>1</f>
        <v>1</v>
      </c>
    </row>
    <row r="3071" spans="2:9" x14ac:dyDescent="0.25">
      <c r="B3071">
        <v>0</v>
      </c>
      <c r="C3071" s="16" t="s">
        <v>12340</v>
      </c>
      <c r="D3071" s="16"/>
      <c r="E3071">
        <v>6</v>
      </c>
      <c r="F3071" t="s">
        <v>6088</v>
      </c>
      <c r="G3071">
        <v>1</v>
      </c>
      <c r="H3071">
        <v>0</v>
      </c>
      <c r="I3071">
        <f>1</f>
        <v>1</v>
      </c>
    </row>
    <row r="3072" spans="2:9" x14ac:dyDescent="0.25">
      <c r="B3072">
        <v>0</v>
      </c>
      <c r="C3072" s="16" t="s">
        <v>12341</v>
      </c>
      <c r="D3072" s="16"/>
      <c r="E3072">
        <v>6</v>
      </c>
      <c r="F3072" t="s">
        <v>6089</v>
      </c>
      <c r="G3072">
        <v>1</v>
      </c>
      <c r="H3072">
        <v>0</v>
      </c>
      <c r="I3072">
        <f>1</f>
        <v>1</v>
      </c>
    </row>
    <row r="3073" spans="2:9" x14ac:dyDescent="0.25">
      <c r="B3073">
        <v>0</v>
      </c>
      <c r="C3073" s="16" t="s">
        <v>12342</v>
      </c>
      <c r="D3073" s="16"/>
      <c r="E3073">
        <v>6</v>
      </c>
      <c r="F3073" t="s">
        <v>6090</v>
      </c>
      <c r="G3073">
        <v>1</v>
      </c>
      <c r="H3073">
        <v>0</v>
      </c>
      <c r="I3073">
        <f>1</f>
        <v>1</v>
      </c>
    </row>
    <row r="3074" spans="2:9" x14ac:dyDescent="0.25">
      <c r="B3074">
        <v>0</v>
      </c>
      <c r="C3074" s="16" t="s">
        <v>12343</v>
      </c>
      <c r="D3074" s="16"/>
      <c r="E3074">
        <v>6</v>
      </c>
      <c r="F3074" t="s">
        <v>4680</v>
      </c>
      <c r="G3074">
        <v>1</v>
      </c>
      <c r="H3074">
        <v>0</v>
      </c>
      <c r="I3074">
        <f>1</f>
        <v>1</v>
      </c>
    </row>
    <row r="3075" spans="2:9" x14ac:dyDescent="0.25">
      <c r="B3075">
        <v>0</v>
      </c>
      <c r="C3075" s="16" t="s">
        <v>12344</v>
      </c>
      <c r="D3075" s="16"/>
      <c r="E3075">
        <v>6</v>
      </c>
      <c r="F3075" t="s">
        <v>6091</v>
      </c>
      <c r="G3075">
        <v>1</v>
      </c>
      <c r="H3075">
        <v>0</v>
      </c>
      <c r="I3075">
        <f>1</f>
        <v>1</v>
      </c>
    </row>
    <row r="3076" spans="2:9" x14ac:dyDescent="0.25">
      <c r="B3076">
        <v>0</v>
      </c>
      <c r="C3076" s="16" t="s">
        <v>12345</v>
      </c>
      <c r="D3076" s="16"/>
      <c r="E3076">
        <v>6</v>
      </c>
      <c r="F3076" t="s">
        <v>6092</v>
      </c>
      <c r="G3076">
        <v>1</v>
      </c>
      <c r="H3076">
        <v>0</v>
      </c>
      <c r="I3076">
        <f>1</f>
        <v>1</v>
      </c>
    </row>
    <row r="3077" spans="2:9" x14ac:dyDescent="0.25">
      <c r="B3077">
        <v>0</v>
      </c>
      <c r="C3077" s="16" t="s">
        <v>12346</v>
      </c>
      <c r="D3077" s="16"/>
      <c r="E3077">
        <v>6</v>
      </c>
      <c r="F3077" t="s">
        <v>6093</v>
      </c>
      <c r="G3077">
        <v>1</v>
      </c>
      <c r="H3077">
        <v>0</v>
      </c>
      <c r="I3077">
        <f>1</f>
        <v>1</v>
      </c>
    </row>
    <row r="3078" spans="2:9" x14ac:dyDescent="0.25">
      <c r="B3078">
        <v>0</v>
      </c>
      <c r="C3078" s="16" t="s">
        <v>12347</v>
      </c>
      <c r="D3078" s="16"/>
      <c r="E3078">
        <v>6</v>
      </c>
      <c r="F3078" t="s">
        <v>6094</v>
      </c>
      <c r="G3078">
        <v>1</v>
      </c>
      <c r="H3078">
        <v>0</v>
      </c>
      <c r="I3078">
        <f>1</f>
        <v>1</v>
      </c>
    </row>
    <row r="3079" spans="2:9" x14ac:dyDescent="0.25">
      <c r="B3079">
        <v>0</v>
      </c>
      <c r="C3079" s="16" t="s">
        <v>12348</v>
      </c>
      <c r="D3079" s="16"/>
      <c r="E3079">
        <v>6</v>
      </c>
      <c r="F3079" t="s">
        <v>6095</v>
      </c>
      <c r="G3079">
        <v>1</v>
      </c>
      <c r="H3079">
        <v>0</v>
      </c>
      <c r="I3079">
        <f>1</f>
        <v>1</v>
      </c>
    </row>
    <row r="3080" spans="2:9" x14ac:dyDescent="0.25">
      <c r="B3080">
        <v>0</v>
      </c>
      <c r="C3080" s="16" t="s">
        <v>12349</v>
      </c>
      <c r="D3080" s="16"/>
      <c r="E3080">
        <v>6</v>
      </c>
      <c r="F3080" t="s">
        <v>4680</v>
      </c>
      <c r="G3080">
        <v>1</v>
      </c>
      <c r="H3080">
        <v>0</v>
      </c>
      <c r="I3080">
        <f>1</f>
        <v>1</v>
      </c>
    </row>
    <row r="3081" spans="2:9" x14ac:dyDescent="0.25">
      <c r="B3081">
        <v>0</v>
      </c>
      <c r="C3081" s="16" t="s">
        <v>12350</v>
      </c>
      <c r="D3081" s="16"/>
      <c r="E3081">
        <v>6</v>
      </c>
      <c r="F3081" t="s">
        <v>6096</v>
      </c>
      <c r="G3081">
        <v>1</v>
      </c>
      <c r="H3081">
        <v>0</v>
      </c>
      <c r="I3081">
        <f>1</f>
        <v>1</v>
      </c>
    </row>
    <row r="3082" spans="2:9" x14ac:dyDescent="0.25">
      <c r="B3082">
        <v>0</v>
      </c>
      <c r="C3082" s="16" t="s">
        <v>12351</v>
      </c>
      <c r="D3082" s="16"/>
      <c r="E3082">
        <v>6</v>
      </c>
      <c r="F3082" t="s">
        <v>6097</v>
      </c>
      <c r="G3082">
        <v>1</v>
      </c>
      <c r="H3082">
        <v>0</v>
      </c>
      <c r="I3082">
        <f>1</f>
        <v>1</v>
      </c>
    </row>
    <row r="3083" spans="2:9" x14ac:dyDescent="0.25">
      <c r="B3083">
        <v>0</v>
      </c>
      <c r="C3083" s="16" t="s">
        <v>12352</v>
      </c>
      <c r="D3083" s="16"/>
      <c r="E3083">
        <v>6</v>
      </c>
      <c r="F3083" t="s">
        <v>6098</v>
      </c>
      <c r="G3083">
        <v>1</v>
      </c>
      <c r="H3083">
        <v>0</v>
      </c>
      <c r="I3083">
        <f>1</f>
        <v>1</v>
      </c>
    </row>
    <row r="3084" spans="2:9" x14ac:dyDescent="0.25">
      <c r="B3084">
        <v>0</v>
      </c>
      <c r="C3084" s="16" t="s">
        <v>12353</v>
      </c>
      <c r="D3084" s="16"/>
      <c r="E3084">
        <v>6</v>
      </c>
      <c r="F3084" t="s">
        <v>6099</v>
      </c>
      <c r="G3084">
        <v>1</v>
      </c>
      <c r="H3084">
        <v>0</v>
      </c>
      <c r="I3084">
        <f>1</f>
        <v>1</v>
      </c>
    </row>
    <row r="3085" spans="2:9" x14ac:dyDescent="0.25">
      <c r="B3085">
        <v>0</v>
      </c>
      <c r="C3085" s="16" t="s">
        <v>12354</v>
      </c>
      <c r="D3085" s="16"/>
      <c r="E3085">
        <v>6</v>
      </c>
      <c r="F3085" t="s">
        <v>6100</v>
      </c>
      <c r="G3085">
        <v>1</v>
      </c>
      <c r="H3085">
        <v>0</v>
      </c>
      <c r="I3085">
        <f>1</f>
        <v>1</v>
      </c>
    </row>
    <row r="3086" spans="2:9" x14ac:dyDescent="0.25">
      <c r="B3086">
        <v>0</v>
      </c>
      <c r="C3086" s="16" t="s">
        <v>12355</v>
      </c>
      <c r="D3086" s="16"/>
      <c r="E3086">
        <v>6</v>
      </c>
      <c r="F3086" t="s">
        <v>6101</v>
      </c>
      <c r="G3086">
        <v>1</v>
      </c>
      <c r="H3086">
        <v>0</v>
      </c>
      <c r="I3086">
        <f>1</f>
        <v>1</v>
      </c>
    </row>
    <row r="3087" spans="2:9" x14ac:dyDescent="0.25">
      <c r="B3087">
        <v>0</v>
      </c>
      <c r="C3087" s="16" t="s">
        <v>12356</v>
      </c>
      <c r="D3087" s="16"/>
      <c r="E3087">
        <v>6</v>
      </c>
      <c r="F3087" t="s">
        <v>4680</v>
      </c>
      <c r="G3087">
        <v>1</v>
      </c>
      <c r="H3087">
        <v>0</v>
      </c>
      <c r="I3087">
        <f>1</f>
        <v>1</v>
      </c>
    </row>
    <row r="3088" spans="2:9" x14ac:dyDescent="0.25">
      <c r="B3088">
        <v>0</v>
      </c>
      <c r="C3088" s="16" t="s">
        <v>12357</v>
      </c>
      <c r="D3088" s="16"/>
      <c r="E3088">
        <v>6</v>
      </c>
      <c r="F3088" t="s">
        <v>6102</v>
      </c>
      <c r="G3088">
        <v>1</v>
      </c>
      <c r="H3088">
        <v>0</v>
      </c>
      <c r="I3088">
        <f>1</f>
        <v>1</v>
      </c>
    </row>
    <row r="3089" spans="2:9" x14ac:dyDescent="0.25">
      <c r="B3089">
        <v>0</v>
      </c>
      <c r="C3089" s="16" t="s">
        <v>12358</v>
      </c>
      <c r="D3089" s="16"/>
      <c r="E3089">
        <v>6</v>
      </c>
      <c r="F3089" t="s">
        <v>6103</v>
      </c>
      <c r="G3089">
        <v>1</v>
      </c>
      <c r="H3089">
        <v>0</v>
      </c>
      <c r="I3089">
        <f>1</f>
        <v>1</v>
      </c>
    </row>
    <row r="3090" spans="2:9" x14ac:dyDescent="0.25">
      <c r="B3090">
        <v>0</v>
      </c>
      <c r="C3090" s="16" t="s">
        <v>12359</v>
      </c>
      <c r="D3090" s="16"/>
      <c r="E3090">
        <v>6</v>
      </c>
      <c r="F3090" t="s">
        <v>6104</v>
      </c>
      <c r="G3090">
        <v>1</v>
      </c>
      <c r="H3090">
        <v>0</v>
      </c>
      <c r="I3090">
        <f>1</f>
        <v>1</v>
      </c>
    </row>
    <row r="3091" spans="2:9" x14ac:dyDescent="0.25">
      <c r="B3091">
        <v>0</v>
      </c>
      <c r="C3091" s="16" t="s">
        <v>12360</v>
      </c>
      <c r="D3091" s="16"/>
      <c r="E3091">
        <v>6</v>
      </c>
      <c r="F3091" t="s">
        <v>6105</v>
      </c>
      <c r="G3091">
        <v>1</v>
      </c>
      <c r="H3091">
        <v>0</v>
      </c>
      <c r="I3091">
        <f>1</f>
        <v>1</v>
      </c>
    </row>
    <row r="3092" spans="2:9" x14ac:dyDescent="0.25">
      <c r="B3092">
        <v>0</v>
      </c>
      <c r="C3092" s="16" t="s">
        <v>12361</v>
      </c>
      <c r="D3092" s="16"/>
      <c r="E3092">
        <v>6</v>
      </c>
      <c r="F3092" t="s">
        <v>6106</v>
      </c>
      <c r="G3092">
        <v>1</v>
      </c>
      <c r="H3092">
        <v>0</v>
      </c>
      <c r="I3092">
        <f>1</f>
        <v>1</v>
      </c>
    </row>
    <row r="3093" spans="2:9" x14ac:dyDescent="0.25">
      <c r="B3093">
        <v>0</v>
      </c>
      <c r="C3093" s="16" t="s">
        <v>12362</v>
      </c>
      <c r="D3093" s="16"/>
      <c r="E3093">
        <v>6</v>
      </c>
      <c r="F3093" t="s">
        <v>6107</v>
      </c>
      <c r="G3093">
        <v>1</v>
      </c>
      <c r="H3093">
        <v>0</v>
      </c>
      <c r="I3093">
        <f>1</f>
        <v>1</v>
      </c>
    </row>
    <row r="3094" spans="2:9" x14ac:dyDescent="0.25">
      <c r="B3094">
        <v>0</v>
      </c>
      <c r="C3094" s="16" t="s">
        <v>12363</v>
      </c>
      <c r="D3094" s="16"/>
      <c r="E3094">
        <v>6</v>
      </c>
      <c r="F3094" t="s">
        <v>4680</v>
      </c>
      <c r="G3094">
        <v>1</v>
      </c>
      <c r="H3094">
        <v>0</v>
      </c>
      <c r="I3094">
        <f>1</f>
        <v>1</v>
      </c>
    </row>
    <row r="3095" spans="2:9" x14ac:dyDescent="0.25">
      <c r="B3095">
        <v>0</v>
      </c>
      <c r="C3095" s="16" t="s">
        <v>12364</v>
      </c>
      <c r="D3095" s="16"/>
      <c r="E3095">
        <v>6</v>
      </c>
      <c r="F3095" t="s">
        <v>6108</v>
      </c>
      <c r="G3095">
        <v>1</v>
      </c>
      <c r="H3095">
        <v>0</v>
      </c>
      <c r="I3095">
        <f>1</f>
        <v>1</v>
      </c>
    </row>
    <row r="3096" spans="2:9" x14ac:dyDescent="0.25">
      <c r="B3096">
        <v>0</v>
      </c>
      <c r="C3096" s="16" t="s">
        <v>12365</v>
      </c>
      <c r="D3096" s="16"/>
      <c r="E3096">
        <v>6</v>
      </c>
      <c r="F3096" t="s">
        <v>6109</v>
      </c>
      <c r="G3096">
        <v>1</v>
      </c>
      <c r="H3096">
        <v>0</v>
      </c>
      <c r="I3096">
        <f>1</f>
        <v>1</v>
      </c>
    </row>
    <row r="3097" spans="2:9" x14ac:dyDescent="0.25">
      <c r="B3097">
        <v>0</v>
      </c>
      <c r="C3097" s="16" t="s">
        <v>12366</v>
      </c>
      <c r="D3097" s="16"/>
      <c r="E3097">
        <v>6</v>
      </c>
      <c r="F3097" t="s">
        <v>6110</v>
      </c>
      <c r="G3097">
        <v>1</v>
      </c>
      <c r="H3097">
        <v>0</v>
      </c>
      <c r="I3097">
        <f>1</f>
        <v>1</v>
      </c>
    </row>
    <row r="3098" spans="2:9" x14ac:dyDescent="0.25">
      <c r="B3098">
        <v>0</v>
      </c>
      <c r="C3098" s="16" t="s">
        <v>12367</v>
      </c>
      <c r="D3098" s="16"/>
      <c r="E3098">
        <v>6</v>
      </c>
      <c r="F3098" t="s">
        <v>6111</v>
      </c>
      <c r="G3098">
        <v>1</v>
      </c>
      <c r="H3098">
        <v>0</v>
      </c>
      <c r="I3098">
        <f>1</f>
        <v>1</v>
      </c>
    </row>
    <row r="3099" spans="2:9" x14ac:dyDescent="0.25">
      <c r="B3099">
        <v>0</v>
      </c>
      <c r="C3099" s="16" t="s">
        <v>12368</v>
      </c>
      <c r="D3099" s="16"/>
      <c r="E3099">
        <v>6</v>
      </c>
      <c r="F3099" t="s">
        <v>4680</v>
      </c>
      <c r="G3099">
        <v>1</v>
      </c>
      <c r="H3099">
        <v>0</v>
      </c>
      <c r="I3099">
        <f>1</f>
        <v>1</v>
      </c>
    </row>
    <row r="3100" spans="2:9" x14ac:dyDescent="0.25">
      <c r="B3100">
        <v>0</v>
      </c>
      <c r="C3100" s="16" t="s">
        <v>12369</v>
      </c>
      <c r="D3100" s="16"/>
      <c r="E3100">
        <v>6</v>
      </c>
      <c r="F3100" t="s">
        <v>6112</v>
      </c>
      <c r="G3100">
        <v>1</v>
      </c>
      <c r="H3100">
        <v>0</v>
      </c>
      <c r="I3100">
        <f>1</f>
        <v>1</v>
      </c>
    </row>
    <row r="3101" spans="2:9" x14ac:dyDescent="0.25">
      <c r="B3101">
        <v>0</v>
      </c>
      <c r="C3101" s="16" t="s">
        <v>12370</v>
      </c>
      <c r="D3101" s="16"/>
      <c r="E3101">
        <v>6</v>
      </c>
      <c r="F3101" t="s">
        <v>6113</v>
      </c>
      <c r="G3101">
        <v>1</v>
      </c>
      <c r="H3101">
        <v>0</v>
      </c>
      <c r="I3101">
        <f>1</f>
        <v>1</v>
      </c>
    </row>
    <row r="3102" spans="2:9" x14ac:dyDescent="0.25">
      <c r="B3102">
        <v>0</v>
      </c>
      <c r="C3102" s="16" t="s">
        <v>12371</v>
      </c>
      <c r="D3102" s="16"/>
      <c r="E3102">
        <v>6</v>
      </c>
      <c r="F3102" t="s">
        <v>6114</v>
      </c>
      <c r="G3102">
        <v>1</v>
      </c>
      <c r="H3102">
        <v>0</v>
      </c>
      <c r="I3102">
        <f>1</f>
        <v>1</v>
      </c>
    </row>
    <row r="3103" spans="2:9" x14ac:dyDescent="0.25">
      <c r="B3103">
        <v>0</v>
      </c>
      <c r="C3103" s="16" t="s">
        <v>12372</v>
      </c>
      <c r="D3103" s="16"/>
      <c r="E3103">
        <v>6</v>
      </c>
      <c r="F3103" t="s">
        <v>6115</v>
      </c>
      <c r="G3103">
        <v>1</v>
      </c>
      <c r="H3103">
        <v>0</v>
      </c>
      <c r="I3103">
        <f>1</f>
        <v>1</v>
      </c>
    </row>
    <row r="3104" spans="2:9" x14ac:dyDescent="0.25">
      <c r="B3104">
        <v>0</v>
      </c>
      <c r="C3104" s="16" t="s">
        <v>12373</v>
      </c>
      <c r="D3104" s="16"/>
      <c r="E3104">
        <v>6</v>
      </c>
      <c r="F3104" t="s">
        <v>4680</v>
      </c>
      <c r="G3104">
        <v>1</v>
      </c>
      <c r="H3104">
        <v>0</v>
      </c>
      <c r="I3104">
        <f>1</f>
        <v>1</v>
      </c>
    </row>
    <row r="3105" spans="2:9" x14ac:dyDescent="0.25">
      <c r="B3105">
        <v>0</v>
      </c>
      <c r="C3105" s="16" t="s">
        <v>12374</v>
      </c>
      <c r="D3105" s="16"/>
      <c r="E3105">
        <v>6</v>
      </c>
      <c r="F3105" t="s">
        <v>6116</v>
      </c>
      <c r="G3105">
        <v>1</v>
      </c>
      <c r="H3105">
        <v>0</v>
      </c>
      <c r="I3105">
        <f>1</f>
        <v>1</v>
      </c>
    </row>
    <row r="3106" spans="2:9" x14ac:dyDescent="0.25">
      <c r="B3106">
        <v>0</v>
      </c>
      <c r="C3106" s="16" t="s">
        <v>12375</v>
      </c>
      <c r="D3106" s="16"/>
      <c r="E3106">
        <v>6</v>
      </c>
      <c r="F3106" t="s">
        <v>5641</v>
      </c>
      <c r="G3106">
        <v>1</v>
      </c>
      <c r="H3106">
        <v>0</v>
      </c>
      <c r="I3106">
        <f>1</f>
        <v>1</v>
      </c>
    </row>
    <row r="3107" spans="2:9" x14ac:dyDescent="0.25">
      <c r="B3107">
        <v>0</v>
      </c>
      <c r="C3107" s="16" t="s">
        <v>12376</v>
      </c>
      <c r="D3107" s="16"/>
      <c r="E3107">
        <v>6</v>
      </c>
      <c r="F3107" t="s">
        <v>6117</v>
      </c>
      <c r="G3107">
        <v>1</v>
      </c>
      <c r="H3107">
        <v>0</v>
      </c>
      <c r="I3107">
        <f>1</f>
        <v>1</v>
      </c>
    </row>
    <row r="3108" spans="2:9" x14ac:dyDescent="0.25">
      <c r="B3108">
        <v>0</v>
      </c>
      <c r="C3108" s="16" t="s">
        <v>12377</v>
      </c>
      <c r="D3108" s="16"/>
      <c r="E3108">
        <v>6</v>
      </c>
      <c r="F3108" t="s">
        <v>6118</v>
      </c>
      <c r="G3108">
        <v>1</v>
      </c>
      <c r="H3108">
        <v>0</v>
      </c>
      <c r="I3108">
        <f>1</f>
        <v>1</v>
      </c>
    </row>
    <row r="3109" spans="2:9" x14ac:dyDescent="0.25">
      <c r="B3109">
        <v>0</v>
      </c>
      <c r="C3109" s="16" t="s">
        <v>12378</v>
      </c>
      <c r="D3109" s="16"/>
      <c r="E3109">
        <v>6</v>
      </c>
      <c r="F3109" t="s">
        <v>6119</v>
      </c>
      <c r="G3109">
        <v>1</v>
      </c>
      <c r="H3109">
        <v>0</v>
      </c>
      <c r="I3109">
        <f>1</f>
        <v>1</v>
      </c>
    </row>
    <row r="3110" spans="2:9" x14ac:dyDescent="0.25">
      <c r="B3110">
        <v>0</v>
      </c>
      <c r="C3110" s="16" t="s">
        <v>12379</v>
      </c>
      <c r="D3110" s="16"/>
      <c r="E3110">
        <v>6</v>
      </c>
      <c r="F3110" t="s">
        <v>4680</v>
      </c>
      <c r="G3110">
        <v>1</v>
      </c>
      <c r="H3110">
        <v>0</v>
      </c>
      <c r="I3110">
        <f>1</f>
        <v>1</v>
      </c>
    </row>
    <row r="3111" spans="2:9" x14ac:dyDescent="0.25">
      <c r="B3111">
        <v>0</v>
      </c>
      <c r="C3111" s="16" t="s">
        <v>12380</v>
      </c>
      <c r="D3111" s="16"/>
      <c r="E3111">
        <v>6</v>
      </c>
      <c r="F3111" t="s">
        <v>6120</v>
      </c>
      <c r="G3111">
        <v>1</v>
      </c>
      <c r="H3111">
        <v>0</v>
      </c>
      <c r="I3111">
        <f>1</f>
        <v>1</v>
      </c>
    </row>
    <row r="3112" spans="2:9" x14ac:dyDescent="0.25">
      <c r="B3112">
        <v>0</v>
      </c>
      <c r="C3112" s="16" t="s">
        <v>12381</v>
      </c>
      <c r="D3112" s="16"/>
      <c r="E3112">
        <v>6</v>
      </c>
      <c r="F3112" t="s">
        <v>6121</v>
      </c>
      <c r="G3112">
        <v>1</v>
      </c>
      <c r="H3112">
        <v>0</v>
      </c>
      <c r="I3112">
        <f>1</f>
        <v>1</v>
      </c>
    </row>
    <row r="3113" spans="2:9" x14ac:dyDescent="0.25">
      <c r="B3113">
        <v>0</v>
      </c>
      <c r="C3113" s="16" t="s">
        <v>12382</v>
      </c>
      <c r="D3113" s="16"/>
      <c r="E3113">
        <v>6</v>
      </c>
      <c r="F3113" t="s">
        <v>6122</v>
      </c>
      <c r="G3113">
        <v>1</v>
      </c>
      <c r="H3113">
        <v>0</v>
      </c>
      <c r="I3113">
        <f>1</f>
        <v>1</v>
      </c>
    </row>
    <row r="3114" spans="2:9" x14ac:dyDescent="0.25">
      <c r="B3114">
        <v>0</v>
      </c>
      <c r="C3114" s="16" t="s">
        <v>12383</v>
      </c>
      <c r="D3114" s="16"/>
      <c r="E3114">
        <v>6</v>
      </c>
      <c r="F3114" t="s">
        <v>4680</v>
      </c>
      <c r="G3114">
        <v>1</v>
      </c>
      <c r="H3114">
        <v>0</v>
      </c>
      <c r="I3114">
        <f>1</f>
        <v>1</v>
      </c>
    </row>
    <row r="3115" spans="2:9" x14ac:dyDescent="0.25">
      <c r="B3115">
        <v>0</v>
      </c>
      <c r="C3115" s="16" t="s">
        <v>12384</v>
      </c>
      <c r="D3115" s="16"/>
      <c r="E3115">
        <v>6</v>
      </c>
      <c r="F3115" t="e">
        <f>--Malonilureia  ácido barbitúrico  e seus sais</f>
        <v>#NAME?</v>
      </c>
      <c r="G3115">
        <v>1</v>
      </c>
      <c r="H3115">
        <v>0</v>
      </c>
      <c r="I3115">
        <f>1</f>
        <v>1</v>
      </c>
    </row>
    <row r="3116" spans="2:9" x14ac:dyDescent="0.25">
      <c r="B3116">
        <v>0</v>
      </c>
      <c r="C3116" s="16" t="s">
        <v>12385</v>
      </c>
      <c r="D3116" s="16"/>
      <c r="E3116">
        <v>6</v>
      </c>
      <c r="F3116" t="s">
        <v>6123</v>
      </c>
      <c r="G3116">
        <v>1</v>
      </c>
      <c r="H3116">
        <v>0</v>
      </c>
      <c r="I3116">
        <f>1</f>
        <v>1</v>
      </c>
    </row>
    <row r="3117" spans="2:9" x14ac:dyDescent="0.25">
      <c r="B3117">
        <v>0</v>
      </c>
      <c r="C3117" s="16" t="s">
        <v>12386</v>
      </c>
      <c r="D3117" s="16"/>
      <c r="E3117">
        <v>6</v>
      </c>
      <c r="F3117" t="s">
        <v>6124</v>
      </c>
      <c r="G3117">
        <v>1</v>
      </c>
      <c r="H3117">
        <v>0</v>
      </c>
      <c r="I3117">
        <f>1</f>
        <v>1</v>
      </c>
    </row>
    <row r="3118" spans="2:9" x14ac:dyDescent="0.25">
      <c r="B3118">
        <v>0</v>
      </c>
      <c r="C3118" s="16" t="s">
        <v>12387</v>
      </c>
      <c r="D3118" s="16"/>
      <c r="E3118">
        <v>6</v>
      </c>
      <c r="F3118" t="s">
        <v>6125</v>
      </c>
      <c r="G3118">
        <v>1</v>
      </c>
      <c r="H3118">
        <v>0</v>
      </c>
      <c r="I3118">
        <f>1</f>
        <v>1</v>
      </c>
    </row>
    <row r="3119" spans="2:9" x14ac:dyDescent="0.25">
      <c r="B3119">
        <v>0</v>
      </c>
      <c r="C3119" s="16" t="s">
        <v>12388</v>
      </c>
      <c r="D3119" s="16"/>
      <c r="E3119">
        <v>6</v>
      </c>
      <c r="F3119" t="s">
        <v>6126</v>
      </c>
      <c r="G3119">
        <v>1</v>
      </c>
      <c r="H3119">
        <v>0</v>
      </c>
      <c r="I3119">
        <f>1</f>
        <v>1</v>
      </c>
    </row>
    <row r="3120" spans="2:9" x14ac:dyDescent="0.25">
      <c r="B3120">
        <v>0</v>
      </c>
      <c r="C3120" s="16" t="s">
        <v>12389</v>
      </c>
      <c r="D3120" s="16"/>
      <c r="E3120">
        <v>6</v>
      </c>
      <c r="F3120" t="s">
        <v>6127</v>
      </c>
      <c r="G3120">
        <v>1</v>
      </c>
      <c r="H3120">
        <v>0</v>
      </c>
      <c r="I3120">
        <f>1</f>
        <v>1</v>
      </c>
    </row>
    <row r="3121" spans="2:9" x14ac:dyDescent="0.25">
      <c r="B3121">
        <v>0</v>
      </c>
      <c r="C3121" s="16" t="s">
        <v>12390</v>
      </c>
      <c r="D3121" s="16"/>
      <c r="E3121">
        <v>6</v>
      </c>
      <c r="F3121" t="s">
        <v>6128</v>
      </c>
      <c r="G3121">
        <v>1</v>
      </c>
      <c r="H3121">
        <v>0</v>
      </c>
      <c r="I3121">
        <f>1</f>
        <v>1</v>
      </c>
    </row>
    <row r="3122" spans="2:9" x14ac:dyDescent="0.25">
      <c r="B3122">
        <v>0</v>
      </c>
      <c r="C3122" s="16" t="s">
        <v>12391</v>
      </c>
      <c r="D3122" s="16"/>
      <c r="E3122">
        <v>6</v>
      </c>
      <c r="F3122" t="s">
        <v>6129</v>
      </c>
      <c r="G3122">
        <v>1</v>
      </c>
      <c r="H3122">
        <v>0</v>
      </c>
      <c r="I3122">
        <f>1</f>
        <v>1</v>
      </c>
    </row>
    <row r="3123" spans="2:9" x14ac:dyDescent="0.25">
      <c r="B3123">
        <v>0</v>
      </c>
      <c r="C3123" s="16" t="s">
        <v>12392</v>
      </c>
      <c r="D3123" s="16"/>
      <c r="E3123">
        <v>6</v>
      </c>
      <c r="F3123" t="s">
        <v>6130</v>
      </c>
      <c r="G3123">
        <v>1</v>
      </c>
      <c r="H3123">
        <v>0</v>
      </c>
      <c r="I3123">
        <f>1</f>
        <v>1</v>
      </c>
    </row>
    <row r="3124" spans="2:9" x14ac:dyDescent="0.25">
      <c r="B3124">
        <v>0</v>
      </c>
      <c r="C3124" s="16" t="s">
        <v>12393</v>
      </c>
      <c r="D3124" s="16"/>
      <c r="E3124">
        <v>6</v>
      </c>
      <c r="F3124" t="s">
        <v>6131</v>
      </c>
      <c r="G3124">
        <v>1</v>
      </c>
      <c r="H3124">
        <v>0</v>
      </c>
      <c r="I3124">
        <f>1</f>
        <v>1</v>
      </c>
    </row>
    <row r="3125" spans="2:9" x14ac:dyDescent="0.25">
      <c r="B3125">
        <v>0</v>
      </c>
      <c r="C3125" s="16" t="s">
        <v>12394</v>
      </c>
      <c r="D3125" s="16"/>
      <c r="E3125">
        <v>6</v>
      </c>
      <c r="F3125" t="s">
        <v>6132</v>
      </c>
      <c r="G3125">
        <v>1</v>
      </c>
      <c r="H3125">
        <v>0</v>
      </c>
      <c r="I3125">
        <f>1</f>
        <v>1</v>
      </c>
    </row>
    <row r="3126" spans="2:9" x14ac:dyDescent="0.25">
      <c r="B3126">
        <v>0</v>
      </c>
      <c r="C3126" s="16" t="s">
        <v>12395</v>
      </c>
      <c r="D3126" s="16"/>
      <c r="E3126">
        <v>6</v>
      </c>
      <c r="F3126" t="s">
        <v>6133</v>
      </c>
      <c r="G3126">
        <v>1</v>
      </c>
      <c r="H3126">
        <v>0</v>
      </c>
      <c r="I3126">
        <f>1</f>
        <v>1</v>
      </c>
    </row>
    <row r="3127" spans="2:9" x14ac:dyDescent="0.25">
      <c r="B3127">
        <v>0</v>
      </c>
      <c r="C3127" s="16" t="s">
        <v>12396</v>
      </c>
      <c r="D3127" s="16"/>
      <c r="E3127">
        <v>6</v>
      </c>
      <c r="F3127" t="s">
        <v>6134</v>
      </c>
      <c r="G3127">
        <v>1</v>
      </c>
      <c r="H3127">
        <v>0</v>
      </c>
      <c r="I3127">
        <f>1</f>
        <v>1</v>
      </c>
    </row>
    <row r="3128" spans="2:9" x14ac:dyDescent="0.25">
      <c r="B3128">
        <v>0</v>
      </c>
      <c r="C3128" s="16" t="s">
        <v>12397</v>
      </c>
      <c r="D3128" s="16"/>
      <c r="E3128">
        <v>6</v>
      </c>
      <c r="F3128" t="s">
        <v>6135</v>
      </c>
      <c r="G3128">
        <v>1</v>
      </c>
      <c r="H3128">
        <v>0</v>
      </c>
      <c r="I3128">
        <f>1</f>
        <v>1</v>
      </c>
    </row>
    <row r="3129" spans="2:9" x14ac:dyDescent="0.25">
      <c r="B3129">
        <v>0</v>
      </c>
      <c r="C3129" s="16" t="s">
        <v>12398</v>
      </c>
      <c r="D3129" s="16"/>
      <c r="E3129">
        <v>6</v>
      </c>
      <c r="F3129" t="s">
        <v>6136</v>
      </c>
      <c r="G3129">
        <v>1</v>
      </c>
      <c r="H3129">
        <v>0</v>
      </c>
      <c r="I3129">
        <f>1</f>
        <v>1</v>
      </c>
    </row>
    <row r="3130" spans="2:9" x14ac:dyDescent="0.25">
      <c r="B3130">
        <v>0</v>
      </c>
      <c r="C3130" s="16" t="s">
        <v>12399</v>
      </c>
      <c r="D3130" s="16"/>
      <c r="E3130">
        <v>6</v>
      </c>
      <c r="F3130" t="s">
        <v>6137</v>
      </c>
      <c r="G3130">
        <v>1</v>
      </c>
      <c r="H3130">
        <v>0</v>
      </c>
      <c r="I3130">
        <f>1</f>
        <v>1</v>
      </c>
    </row>
    <row r="3131" spans="2:9" x14ac:dyDescent="0.25">
      <c r="B3131">
        <v>0</v>
      </c>
      <c r="C3131" s="16" t="s">
        <v>12400</v>
      </c>
      <c r="D3131" s="16"/>
      <c r="E3131">
        <v>6</v>
      </c>
      <c r="F3131" t="s">
        <v>6138</v>
      </c>
      <c r="G3131">
        <v>1</v>
      </c>
      <c r="H3131">
        <v>0</v>
      </c>
      <c r="I3131">
        <f>1</f>
        <v>1</v>
      </c>
    </row>
    <row r="3132" spans="2:9" x14ac:dyDescent="0.25">
      <c r="B3132">
        <v>0</v>
      </c>
      <c r="C3132" s="16" t="s">
        <v>12401</v>
      </c>
      <c r="D3132" s="16"/>
      <c r="E3132">
        <v>6</v>
      </c>
      <c r="F3132" t="s">
        <v>6139</v>
      </c>
      <c r="G3132">
        <v>1</v>
      </c>
      <c r="H3132">
        <v>0</v>
      </c>
      <c r="I3132">
        <f>1</f>
        <v>1</v>
      </c>
    </row>
    <row r="3133" spans="2:9" x14ac:dyDescent="0.25">
      <c r="B3133">
        <v>0</v>
      </c>
      <c r="C3133" s="16" t="s">
        <v>12402</v>
      </c>
      <c r="D3133" s="16"/>
      <c r="E3133">
        <v>6</v>
      </c>
      <c r="F3133" t="s">
        <v>6140</v>
      </c>
      <c r="G3133">
        <v>1</v>
      </c>
      <c r="H3133">
        <v>0</v>
      </c>
      <c r="I3133">
        <f>1</f>
        <v>1</v>
      </c>
    </row>
    <row r="3134" spans="2:9" x14ac:dyDescent="0.25">
      <c r="B3134">
        <v>0</v>
      </c>
      <c r="C3134" s="16" t="s">
        <v>12403</v>
      </c>
      <c r="D3134" s="16"/>
      <c r="E3134">
        <v>6</v>
      </c>
      <c r="F3134" t="s">
        <v>6141</v>
      </c>
      <c r="G3134">
        <v>1</v>
      </c>
      <c r="H3134">
        <v>0</v>
      </c>
      <c r="I3134">
        <f>1</f>
        <v>1</v>
      </c>
    </row>
    <row r="3135" spans="2:9" x14ac:dyDescent="0.25">
      <c r="B3135">
        <v>0</v>
      </c>
      <c r="C3135" s="16" t="s">
        <v>12404</v>
      </c>
      <c r="D3135" s="16"/>
      <c r="E3135">
        <v>6</v>
      </c>
      <c r="F3135" t="s">
        <v>6142</v>
      </c>
      <c r="G3135">
        <v>1</v>
      </c>
      <c r="H3135">
        <v>0</v>
      </c>
      <c r="I3135">
        <f>1</f>
        <v>1</v>
      </c>
    </row>
    <row r="3136" spans="2:9" x14ac:dyDescent="0.25">
      <c r="B3136">
        <v>0</v>
      </c>
      <c r="C3136" s="16" t="s">
        <v>12405</v>
      </c>
      <c r="D3136" s="16"/>
      <c r="E3136">
        <v>6</v>
      </c>
      <c r="F3136" t="s">
        <v>6143</v>
      </c>
      <c r="G3136">
        <v>1</v>
      </c>
      <c r="H3136">
        <v>0</v>
      </c>
      <c r="I3136">
        <f>1</f>
        <v>1</v>
      </c>
    </row>
    <row r="3137" spans="2:9" x14ac:dyDescent="0.25">
      <c r="B3137">
        <v>0</v>
      </c>
      <c r="C3137" s="16" t="s">
        <v>12406</v>
      </c>
      <c r="D3137" s="16"/>
      <c r="E3137">
        <v>6</v>
      </c>
      <c r="F3137" t="s">
        <v>6144</v>
      </c>
      <c r="G3137">
        <v>1</v>
      </c>
      <c r="H3137">
        <v>0</v>
      </c>
      <c r="I3137">
        <f>1</f>
        <v>1</v>
      </c>
    </row>
    <row r="3138" spans="2:9" x14ac:dyDescent="0.25">
      <c r="B3138">
        <v>0</v>
      </c>
      <c r="C3138" s="16" t="s">
        <v>12407</v>
      </c>
      <c r="D3138" s="16"/>
      <c r="E3138">
        <v>6</v>
      </c>
      <c r="F3138" t="s">
        <v>6145</v>
      </c>
      <c r="G3138">
        <v>1</v>
      </c>
      <c r="H3138">
        <v>0</v>
      </c>
      <c r="I3138">
        <f>1</f>
        <v>1</v>
      </c>
    </row>
    <row r="3139" spans="2:9" x14ac:dyDescent="0.25">
      <c r="B3139">
        <v>0</v>
      </c>
      <c r="C3139" s="16" t="s">
        <v>12408</v>
      </c>
      <c r="D3139" s="16"/>
      <c r="E3139">
        <v>6</v>
      </c>
      <c r="F3139" t="s">
        <v>4680</v>
      </c>
      <c r="G3139">
        <v>1</v>
      </c>
      <c r="H3139">
        <v>0</v>
      </c>
      <c r="I3139">
        <f>1</f>
        <v>1</v>
      </c>
    </row>
    <row r="3140" spans="2:9" x14ac:dyDescent="0.25">
      <c r="B3140">
        <v>0</v>
      </c>
      <c r="C3140" s="16" t="s">
        <v>12409</v>
      </c>
      <c r="D3140" s="16"/>
      <c r="E3140">
        <v>6</v>
      </c>
      <c r="F3140" t="s">
        <v>6146</v>
      </c>
      <c r="G3140">
        <v>1</v>
      </c>
      <c r="H3140">
        <v>0</v>
      </c>
      <c r="I3140">
        <f>1</f>
        <v>1</v>
      </c>
    </row>
    <row r="3141" spans="2:9" x14ac:dyDescent="0.25">
      <c r="B3141">
        <v>0</v>
      </c>
      <c r="C3141" s="16" t="s">
        <v>12410</v>
      </c>
      <c r="D3141" s="16"/>
      <c r="E3141">
        <v>6</v>
      </c>
      <c r="F3141" t="s">
        <v>6147</v>
      </c>
      <c r="G3141">
        <v>1</v>
      </c>
      <c r="H3141">
        <v>0</v>
      </c>
      <c r="I3141">
        <f>1</f>
        <v>1</v>
      </c>
    </row>
    <row r="3142" spans="2:9" x14ac:dyDescent="0.25">
      <c r="B3142">
        <v>0</v>
      </c>
      <c r="C3142" s="16" t="s">
        <v>12411</v>
      </c>
      <c r="D3142" s="16"/>
      <c r="E3142">
        <v>6</v>
      </c>
      <c r="F3142" t="s">
        <v>6148</v>
      </c>
      <c r="G3142">
        <v>1</v>
      </c>
      <c r="H3142">
        <v>0</v>
      </c>
      <c r="I3142">
        <f>1</f>
        <v>1</v>
      </c>
    </row>
    <row r="3143" spans="2:9" x14ac:dyDescent="0.25">
      <c r="B3143">
        <v>0</v>
      </c>
      <c r="C3143" s="16" t="s">
        <v>12412</v>
      </c>
      <c r="D3143" s="16"/>
      <c r="E3143">
        <v>6</v>
      </c>
      <c r="F3143" t="s">
        <v>4680</v>
      </c>
      <c r="G3143">
        <v>1</v>
      </c>
      <c r="H3143">
        <v>0</v>
      </c>
      <c r="I3143">
        <f>1</f>
        <v>1</v>
      </c>
    </row>
    <row r="3144" spans="2:9" x14ac:dyDescent="0.25">
      <c r="B3144">
        <v>0</v>
      </c>
      <c r="C3144" s="16" t="s">
        <v>12413</v>
      </c>
      <c r="D3144" s="16"/>
      <c r="E3144">
        <v>6</v>
      </c>
      <c r="F3144" t="s">
        <v>6149</v>
      </c>
      <c r="G3144">
        <v>1</v>
      </c>
      <c r="H3144">
        <v>0</v>
      </c>
      <c r="I3144">
        <f>1</f>
        <v>1</v>
      </c>
    </row>
    <row r="3145" spans="2:9" x14ac:dyDescent="0.25">
      <c r="B3145">
        <v>0</v>
      </c>
      <c r="C3145" s="16" t="s">
        <v>12414</v>
      </c>
      <c r="D3145" s="16"/>
      <c r="E3145">
        <v>6</v>
      </c>
      <c r="F3145" t="s">
        <v>6150</v>
      </c>
      <c r="G3145">
        <v>1</v>
      </c>
      <c r="H3145">
        <v>0</v>
      </c>
      <c r="I3145">
        <f>1</f>
        <v>1</v>
      </c>
    </row>
    <row r="3146" spans="2:9" x14ac:dyDescent="0.25">
      <c r="B3146">
        <v>0</v>
      </c>
      <c r="C3146" s="16" t="s">
        <v>12415</v>
      </c>
      <c r="D3146" s="16"/>
      <c r="E3146">
        <v>6</v>
      </c>
      <c r="F3146" t="s">
        <v>6151</v>
      </c>
      <c r="G3146">
        <v>1</v>
      </c>
      <c r="H3146">
        <v>0</v>
      </c>
      <c r="I3146">
        <f>1</f>
        <v>1</v>
      </c>
    </row>
    <row r="3147" spans="2:9" x14ac:dyDescent="0.25">
      <c r="B3147">
        <v>0</v>
      </c>
      <c r="C3147" s="16" t="s">
        <v>12416</v>
      </c>
      <c r="D3147" s="16"/>
      <c r="E3147">
        <v>6</v>
      </c>
      <c r="F3147" t="s">
        <v>6152</v>
      </c>
      <c r="G3147">
        <v>1</v>
      </c>
      <c r="H3147">
        <v>0</v>
      </c>
      <c r="I3147">
        <f>1</f>
        <v>1</v>
      </c>
    </row>
    <row r="3148" spans="2:9" x14ac:dyDescent="0.25">
      <c r="B3148">
        <v>0</v>
      </c>
      <c r="C3148" s="16" t="s">
        <v>12417</v>
      </c>
      <c r="D3148" s="16"/>
      <c r="E3148">
        <v>6</v>
      </c>
      <c r="F3148" t="s">
        <v>6153</v>
      </c>
      <c r="G3148">
        <v>1</v>
      </c>
      <c r="H3148">
        <v>0</v>
      </c>
      <c r="I3148">
        <f>1</f>
        <v>1</v>
      </c>
    </row>
    <row r="3149" spans="2:9" x14ac:dyDescent="0.25">
      <c r="B3149">
        <v>0</v>
      </c>
      <c r="C3149" s="16" t="s">
        <v>12418</v>
      </c>
      <c r="D3149" s="16"/>
      <c r="E3149">
        <v>6</v>
      </c>
      <c r="F3149" t="s">
        <v>4680</v>
      </c>
      <c r="G3149">
        <v>1</v>
      </c>
      <c r="H3149">
        <v>0</v>
      </c>
      <c r="I3149">
        <f>1</f>
        <v>1</v>
      </c>
    </row>
    <row r="3150" spans="2:9" x14ac:dyDescent="0.25">
      <c r="B3150">
        <v>0</v>
      </c>
      <c r="C3150" s="16" t="s">
        <v>12419</v>
      </c>
      <c r="D3150" s="16"/>
      <c r="E3150">
        <v>6</v>
      </c>
      <c r="F3150" t="s">
        <v>6154</v>
      </c>
      <c r="G3150">
        <v>1</v>
      </c>
      <c r="H3150">
        <v>0</v>
      </c>
      <c r="I3150">
        <f>1</f>
        <v>1</v>
      </c>
    </row>
    <row r="3151" spans="2:9" x14ac:dyDescent="0.25">
      <c r="B3151">
        <v>0</v>
      </c>
      <c r="C3151" s="16" t="s">
        <v>12420</v>
      </c>
      <c r="D3151" s="16"/>
      <c r="E3151">
        <v>6</v>
      </c>
      <c r="F3151" t="s">
        <v>6155</v>
      </c>
      <c r="G3151">
        <v>1</v>
      </c>
      <c r="H3151">
        <v>0</v>
      </c>
      <c r="I3151">
        <f>1</f>
        <v>1</v>
      </c>
    </row>
    <row r="3152" spans="2:9" x14ac:dyDescent="0.25">
      <c r="B3152">
        <v>0</v>
      </c>
      <c r="C3152" s="16" t="s">
        <v>12421</v>
      </c>
      <c r="D3152" s="16"/>
      <c r="E3152">
        <v>6</v>
      </c>
      <c r="F3152" t="s">
        <v>6156</v>
      </c>
      <c r="G3152">
        <v>1</v>
      </c>
      <c r="H3152">
        <v>0</v>
      </c>
      <c r="I3152">
        <f>1</f>
        <v>1</v>
      </c>
    </row>
    <row r="3153" spans="2:9" x14ac:dyDescent="0.25">
      <c r="B3153">
        <v>0</v>
      </c>
      <c r="C3153" s="16" t="s">
        <v>12422</v>
      </c>
      <c r="D3153" s="16"/>
      <c r="E3153">
        <v>6</v>
      </c>
      <c r="F3153" t="s">
        <v>6157</v>
      </c>
      <c r="G3153">
        <v>1</v>
      </c>
      <c r="H3153">
        <v>0</v>
      </c>
      <c r="I3153">
        <f>1</f>
        <v>1</v>
      </c>
    </row>
    <row r="3154" spans="2:9" x14ac:dyDescent="0.25">
      <c r="B3154">
        <v>0</v>
      </c>
      <c r="C3154" s="16" t="s">
        <v>12423</v>
      </c>
      <c r="D3154" s="16"/>
      <c r="E3154">
        <v>6</v>
      </c>
      <c r="F3154" t="s">
        <v>6158</v>
      </c>
      <c r="G3154">
        <v>1</v>
      </c>
      <c r="H3154">
        <v>0</v>
      </c>
      <c r="I3154">
        <f>1</f>
        <v>1</v>
      </c>
    </row>
    <row r="3155" spans="2:9" x14ac:dyDescent="0.25">
      <c r="B3155">
        <v>0</v>
      </c>
      <c r="C3155" s="16" t="s">
        <v>12424</v>
      </c>
      <c r="D3155" s="16"/>
      <c r="E3155">
        <v>6</v>
      </c>
      <c r="F3155" t="s">
        <v>4680</v>
      </c>
      <c r="G3155">
        <v>1</v>
      </c>
      <c r="H3155">
        <v>0</v>
      </c>
      <c r="I3155">
        <f>1</f>
        <v>1</v>
      </c>
    </row>
    <row r="3156" spans="2:9" x14ac:dyDescent="0.25">
      <c r="B3156">
        <v>0</v>
      </c>
      <c r="C3156" s="16" t="s">
        <v>12425</v>
      </c>
      <c r="D3156" s="16"/>
      <c r="E3156">
        <v>6</v>
      </c>
      <c r="F3156" t="s">
        <v>6159</v>
      </c>
      <c r="G3156">
        <v>1</v>
      </c>
      <c r="H3156">
        <v>0</v>
      </c>
      <c r="I3156">
        <f>1</f>
        <v>1</v>
      </c>
    </row>
    <row r="3157" spans="2:9" x14ac:dyDescent="0.25">
      <c r="B3157">
        <v>0</v>
      </c>
      <c r="C3157" s="16" t="s">
        <v>12426</v>
      </c>
      <c r="D3157" s="16"/>
      <c r="E3157">
        <v>6</v>
      </c>
      <c r="F3157" t="s">
        <v>6160</v>
      </c>
      <c r="G3157">
        <v>1</v>
      </c>
      <c r="H3157">
        <v>0</v>
      </c>
      <c r="I3157">
        <f>1</f>
        <v>1</v>
      </c>
    </row>
    <row r="3158" spans="2:9" x14ac:dyDescent="0.25">
      <c r="B3158">
        <v>0</v>
      </c>
      <c r="C3158" s="16" t="s">
        <v>12427</v>
      </c>
      <c r="D3158" s="16"/>
      <c r="E3158">
        <v>6</v>
      </c>
      <c r="F3158" t="s">
        <v>4680</v>
      </c>
      <c r="G3158">
        <v>1</v>
      </c>
      <c r="H3158">
        <v>0</v>
      </c>
      <c r="I3158">
        <f>1</f>
        <v>1</v>
      </c>
    </row>
    <row r="3159" spans="2:9" x14ac:dyDescent="0.25">
      <c r="B3159">
        <v>0</v>
      </c>
      <c r="C3159" s="16" t="s">
        <v>12428</v>
      </c>
      <c r="D3159" s="16"/>
      <c r="E3159">
        <v>6</v>
      </c>
      <c r="F3159" t="e">
        <f>--Melamina</f>
        <v>#NAME?</v>
      </c>
      <c r="G3159">
        <v>1</v>
      </c>
      <c r="H3159">
        <v>0</v>
      </c>
      <c r="I3159">
        <f>1</f>
        <v>1</v>
      </c>
    </row>
    <row r="3160" spans="2:9" x14ac:dyDescent="0.25">
      <c r="B3160">
        <v>0</v>
      </c>
      <c r="C3160" s="16" t="s">
        <v>12429</v>
      </c>
      <c r="D3160" s="16"/>
      <c r="E3160">
        <v>6</v>
      </c>
      <c r="F3160" t="s">
        <v>6161</v>
      </c>
      <c r="G3160">
        <v>1</v>
      </c>
      <c r="H3160">
        <v>0</v>
      </c>
      <c r="I3160">
        <f>1</f>
        <v>1</v>
      </c>
    </row>
    <row r="3161" spans="2:9" x14ac:dyDescent="0.25">
      <c r="B3161">
        <v>0</v>
      </c>
      <c r="C3161" s="16" t="s">
        <v>12430</v>
      </c>
      <c r="D3161" s="16"/>
      <c r="E3161">
        <v>6</v>
      </c>
      <c r="F3161" t="s">
        <v>6162</v>
      </c>
      <c r="G3161">
        <v>1</v>
      </c>
      <c r="H3161">
        <v>0</v>
      </c>
      <c r="I3161">
        <f>1</f>
        <v>1</v>
      </c>
    </row>
    <row r="3162" spans="2:9" x14ac:dyDescent="0.25">
      <c r="B3162">
        <v>0</v>
      </c>
      <c r="C3162" s="16" t="s">
        <v>12431</v>
      </c>
      <c r="D3162" s="16"/>
      <c r="E3162">
        <v>6</v>
      </c>
      <c r="F3162" t="s">
        <v>6163</v>
      </c>
      <c r="G3162">
        <v>1</v>
      </c>
      <c r="H3162">
        <v>0</v>
      </c>
      <c r="I3162">
        <f>1</f>
        <v>1</v>
      </c>
    </row>
    <row r="3163" spans="2:9" x14ac:dyDescent="0.25">
      <c r="B3163">
        <v>0</v>
      </c>
      <c r="C3163" s="16" t="s">
        <v>12432</v>
      </c>
      <c r="D3163" s="16"/>
      <c r="E3163">
        <v>6</v>
      </c>
      <c r="F3163" t="s">
        <v>6164</v>
      </c>
      <c r="G3163">
        <v>1</v>
      </c>
      <c r="H3163">
        <v>0</v>
      </c>
      <c r="I3163">
        <f>1</f>
        <v>1</v>
      </c>
    </row>
    <row r="3164" spans="2:9" x14ac:dyDescent="0.25">
      <c r="B3164">
        <v>0</v>
      </c>
      <c r="C3164" s="16" t="s">
        <v>12433</v>
      </c>
      <c r="D3164" s="16"/>
      <c r="E3164">
        <v>6</v>
      </c>
      <c r="F3164" t="s">
        <v>6165</v>
      </c>
      <c r="G3164">
        <v>1</v>
      </c>
      <c r="H3164">
        <v>0</v>
      </c>
      <c r="I3164">
        <f>1</f>
        <v>1</v>
      </c>
    </row>
    <row r="3165" spans="2:9" x14ac:dyDescent="0.25">
      <c r="B3165">
        <v>0</v>
      </c>
      <c r="C3165" s="16" t="s">
        <v>12434</v>
      </c>
      <c r="D3165" s="16"/>
      <c r="E3165">
        <v>6</v>
      </c>
      <c r="F3165" t="s">
        <v>6166</v>
      </c>
      <c r="G3165">
        <v>1</v>
      </c>
      <c r="H3165">
        <v>0</v>
      </c>
      <c r="I3165">
        <f>1</f>
        <v>1</v>
      </c>
    </row>
    <row r="3166" spans="2:9" x14ac:dyDescent="0.25">
      <c r="B3166">
        <v>0</v>
      </c>
      <c r="C3166" s="16" t="s">
        <v>12435</v>
      </c>
      <c r="D3166" s="16"/>
      <c r="E3166">
        <v>6</v>
      </c>
      <c r="F3166" t="s">
        <v>4680</v>
      </c>
      <c r="G3166">
        <v>1</v>
      </c>
      <c r="H3166">
        <v>0</v>
      </c>
      <c r="I3166">
        <f>1</f>
        <v>1</v>
      </c>
    </row>
    <row r="3167" spans="2:9" x14ac:dyDescent="0.25">
      <c r="B3167">
        <v>0</v>
      </c>
      <c r="C3167" s="16" t="s">
        <v>12436</v>
      </c>
      <c r="D3167" s="16"/>
      <c r="E3167">
        <v>6</v>
      </c>
      <c r="F3167" t="s">
        <v>6167</v>
      </c>
      <c r="G3167">
        <v>1</v>
      </c>
      <c r="H3167">
        <v>0</v>
      </c>
      <c r="I3167">
        <f>1</f>
        <v>1</v>
      </c>
    </row>
    <row r="3168" spans="2:9" x14ac:dyDescent="0.25">
      <c r="B3168">
        <v>0</v>
      </c>
      <c r="C3168" s="16" t="s">
        <v>12437</v>
      </c>
      <c r="D3168" s="16"/>
      <c r="E3168">
        <v>6</v>
      </c>
      <c r="F3168" t="s">
        <v>6168</v>
      </c>
      <c r="G3168">
        <v>1</v>
      </c>
      <c r="H3168">
        <v>0</v>
      </c>
      <c r="I3168">
        <f>1</f>
        <v>1</v>
      </c>
    </row>
    <row r="3169" spans="2:9" x14ac:dyDescent="0.25">
      <c r="B3169">
        <v>0</v>
      </c>
      <c r="C3169" s="16" t="s">
        <v>12438</v>
      </c>
      <c r="D3169" s="16"/>
      <c r="E3169">
        <v>6</v>
      </c>
      <c r="F3169" t="s">
        <v>6169</v>
      </c>
      <c r="G3169">
        <v>1</v>
      </c>
      <c r="H3169">
        <v>0</v>
      </c>
      <c r="I3169">
        <f>1</f>
        <v>1</v>
      </c>
    </row>
    <row r="3170" spans="2:9" x14ac:dyDescent="0.25">
      <c r="B3170">
        <v>0</v>
      </c>
      <c r="C3170" s="16" t="s">
        <v>12439</v>
      </c>
      <c r="D3170" s="16"/>
      <c r="E3170">
        <v>6</v>
      </c>
      <c r="F3170" t="s">
        <v>4680</v>
      </c>
      <c r="G3170">
        <v>1</v>
      </c>
      <c r="H3170">
        <v>0</v>
      </c>
      <c r="I3170">
        <f>1</f>
        <v>1</v>
      </c>
    </row>
    <row r="3171" spans="2:9" x14ac:dyDescent="0.25">
      <c r="B3171">
        <v>0</v>
      </c>
      <c r="C3171" s="16" t="s">
        <v>12440</v>
      </c>
      <c r="D3171" s="16"/>
      <c r="E3171">
        <v>6</v>
      </c>
      <c r="F3171" t="s">
        <v>6170</v>
      </c>
      <c r="G3171">
        <v>1</v>
      </c>
      <c r="H3171">
        <v>0</v>
      </c>
      <c r="I3171">
        <f>1</f>
        <v>1</v>
      </c>
    </row>
    <row r="3172" spans="2:9" x14ac:dyDescent="0.25">
      <c r="B3172">
        <v>0</v>
      </c>
      <c r="C3172" s="16" t="s">
        <v>12441</v>
      </c>
      <c r="D3172" s="16"/>
      <c r="E3172">
        <v>6</v>
      </c>
      <c r="F3172" t="s">
        <v>6171</v>
      </c>
      <c r="G3172">
        <v>1</v>
      </c>
      <c r="H3172">
        <v>0</v>
      </c>
      <c r="I3172">
        <f>1</f>
        <v>1</v>
      </c>
    </row>
    <row r="3173" spans="2:9" x14ac:dyDescent="0.25">
      <c r="B3173">
        <v>0</v>
      </c>
      <c r="C3173" s="16" t="s">
        <v>12442</v>
      </c>
      <c r="D3173" s="16"/>
      <c r="E3173">
        <v>6</v>
      </c>
      <c r="F3173" t="s">
        <v>4680</v>
      </c>
      <c r="G3173">
        <v>1</v>
      </c>
      <c r="H3173">
        <v>0</v>
      </c>
      <c r="I3173">
        <f>1</f>
        <v>1</v>
      </c>
    </row>
    <row r="3174" spans="2:9" x14ac:dyDescent="0.25">
      <c r="B3174">
        <v>0</v>
      </c>
      <c r="C3174" s="16" t="s">
        <v>12443</v>
      </c>
      <c r="D3174" s="16"/>
      <c r="E3174">
        <v>6</v>
      </c>
      <c r="F3174" t="e">
        <f>--6-Hexanolactama  epsilon-caprolactama</f>
        <v>#NAME?</v>
      </c>
      <c r="G3174">
        <v>1</v>
      </c>
      <c r="H3174">
        <v>0</v>
      </c>
      <c r="I3174">
        <f>1</f>
        <v>1</v>
      </c>
    </row>
    <row r="3175" spans="2:9" x14ac:dyDescent="0.25">
      <c r="B3175">
        <v>0</v>
      </c>
      <c r="C3175" s="16" t="s">
        <v>12444</v>
      </c>
      <c r="D3175" s="16"/>
      <c r="E3175">
        <v>6</v>
      </c>
      <c r="F3175" t="s">
        <v>6172</v>
      </c>
      <c r="G3175">
        <v>1</v>
      </c>
      <c r="H3175">
        <v>0</v>
      </c>
      <c r="I3175">
        <f>1</f>
        <v>1</v>
      </c>
    </row>
    <row r="3176" spans="2:9" x14ac:dyDescent="0.25">
      <c r="B3176">
        <v>0</v>
      </c>
      <c r="C3176" s="16" t="s">
        <v>12445</v>
      </c>
      <c r="D3176" s="16"/>
      <c r="E3176">
        <v>6</v>
      </c>
      <c r="F3176" t="s">
        <v>6173</v>
      </c>
      <c r="G3176">
        <v>1</v>
      </c>
      <c r="H3176">
        <v>0</v>
      </c>
      <c r="I3176">
        <f>1</f>
        <v>1</v>
      </c>
    </row>
    <row r="3177" spans="2:9" x14ac:dyDescent="0.25">
      <c r="B3177">
        <v>0</v>
      </c>
      <c r="C3177" s="16" t="s">
        <v>12446</v>
      </c>
      <c r="D3177" s="16"/>
      <c r="E3177">
        <v>6</v>
      </c>
      <c r="F3177" t="s">
        <v>6174</v>
      </c>
      <c r="G3177">
        <v>1</v>
      </c>
      <c r="H3177">
        <v>0</v>
      </c>
      <c r="I3177">
        <f>1</f>
        <v>1</v>
      </c>
    </row>
    <row r="3178" spans="2:9" x14ac:dyDescent="0.25">
      <c r="B3178">
        <v>0</v>
      </c>
      <c r="C3178" s="16" t="s">
        <v>12447</v>
      </c>
      <c r="D3178" s="16"/>
      <c r="E3178">
        <v>6</v>
      </c>
      <c r="F3178" t="s">
        <v>4690</v>
      </c>
      <c r="G3178">
        <v>1</v>
      </c>
      <c r="H3178">
        <v>0</v>
      </c>
      <c r="I3178">
        <f>1</f>
        <v>1</v>
      </c>
    </row>
    <row r="3179" spans="2:9" x14ac:dyDescent="0.25">
      <c r="B3179">
        <v>0</v>
      </c>
      <c r="C3179" s="16" t="s">
        <v>12448</v>
      </c>
      <c r="D3179" s="16"/>
      <c r="E3179">
        <v>6</v>
      </c>
      <c r="F3179" t="s">
        <v>6175</v>
      </c>
      <c r="G3179">
        <v>1</v>
      </c>
      <c r="H3179">
        <v>0</v>
      </c>
      <c r="I3179">
        <f>1</f>
        <v>1</v>
      </c>
    </row>
    <row r="3180" spans="2:9" x14ac:dyDescent="0.25">
      <c r="B3180">
        <v>0</v>
      </c>
      <c r="C3180" s="16" t="s">
        <v>12449</v>
      </c>
      <c r="D3180" s="16"/>
      <c r="E3180">
        <v>6</v>
      </c>
      <c r="F3180" t="s">
        <v>6176</v>
      </c>
      <c r="G3180">
        <v>1</v>
      </c>
      <c r="H3180">
        <v>0</v>
      </c>
      <c r="I3180">
        <f>1</f>
        <v>1</v>
      </c>
    </row>
    <row r="3181" spans="2:9" x14ac:dyDescent="0.25">
      <c r="B3181">
        <v>0</v>
      </c>
      <c r="C3181" s="16" t="s">
        <v>12450</v>
      </c>
      <c r="D3181" s="16"/>
      <c r="E3181">
        <v>6</v>
      </c>
      <c r="F3181" t="s">
        <v>6177</v>
      </c>
      <c r="G3181">
        <v>1</v>
      </c>
      <c r="H3181">
        <v>0</v>
      </c>
      <c r="I3181">
        <f>1</f>
        <v>1</v>
      </c>
    </row>
    <row r="3182" spans="2:9" x14ac:dyDescent="0.25">
      <c r="B3182">
        <v>0</v>
      </c>
      <c r="C3182" s="16" t="s">
        <v>12451</v>
      </c>
      <c r="D3182" s="16"/>
      <c r="E3182">
        <v>6</v>
      </c>
      <c r="F3182" t="s">
        <v>6178</v>
      </c>
      <c r="G3182">
        <v>1</v>
      </c>
      <c r="H3182">
        <v>0</v>
      </c>
      <c r="I3182">
        <f>1</f>
        <v>1</v>
      </c>
    </row>
    <row r="3183" spans="2:9" x14ac:dyDescent="0.25">
      <c r="B3183">
        <v>0</v>
      </c>
      <c r="C3183" s="16" t="s">
        <v>12452</v>
      </c>
      <c r="D3183" s="16"/>
      <c r="E3183">
        <v>6</v>
      </c>
      <c r="F3183" t="s">
        <v>6179</v>
      </c>
      <c r="G3183">
        <v>1</v>
      </c>
      <c r="H3183">
        <v>0</v>
      </c>
      <c r="I3183">
        <f>1</f>
        <v>1</v>
      </c>
    </row>
    <row r="3184" spans="2:9" x14ac:dyDescent="0.25">
      <c r="B3184">
        <v>0</v>
      </c>
      <c r="C3184" s="16" t="s">
        <v>12453</v>
      </c>
      <c r="D3184" s="16"/>
      <c r="E3184">
        <v>6</v>
      </c>
      <c r="F3184" t="s">
        <v>4680</v>
      </c>
      <c r="G3184">
        <v>1</v>
      </c>
      <c r="H3184">
        <v>0</v>
      </c>
      <c r="I3184">
        <f>1</f>
        <v>1</v>
      </c>
    </row>
    <row r="3185" spans="2:9" x14ac:dyDescent="0.25">
      <c r="B3185">
        <v>0</v>
      </c>
      <c r="C3185" s="16" t="s">
        <v>12454</v>
      </c>
      <c r="D3185" s="16"/>
      <c r="E3185">
        <v>6</v>
      </c>
      <c r="F3185" t="s">
        <v>6180</v>
      </c>
      <c r="G3185">
        <v>1</v>
      </c>
      <c r="H3185">
        <v>0</v>
      </c>
      <c r="I3185">
        <f>1</f>
        <v>1</v>
      </c>
    </row>
    <row r="3186" spans="2:9" x14ac:dyDescent="0.25">
      <c r="B3186">
        <v>0</v>
      </c>
      <c r="C3186" s="16" t="s">
        <v>12455</v>
      </c>
      <c r="D3186" s="16"/>
      <c r="E3186">
        <v>6</v>
      </c>
      <c r="F3186" t="s">
        <v>6181</v>
      </c>
      <c r="G3186">
        <v>1</v>
      </c>
      <c r="H3186">
        <v>0</v>
      </c>
      <c r="I3186">
        <f>1</f>
        <v>1</v>
      </c>
    </row>
    <row r="3187" spans="2:9" x14ac:dyDescent="0.25">
      <c r="B3187">
        <v>0</v>
      </c>
      <c r="C3187" s="16" t="s">
        <v>12456</v>
      </c>
      <c r="D3187" s="16"/>
      <c r="E3187">
        <v>6</v>
      </c>
      <c r="F3187" t="s">
        <v>6182</v>
      </c>
      <c r="G3187">
        <v>1</v>
      </c>
      <c r="H3187">
        <v>0</v>
      </c>
      <c r="I3187">
        <f>1</f>
        <v>1</v>
      </c>
    </row>
    <row r="3188" spans="2:9" x14ac:dyDescent="0.25">
      <c r="B3188">
        <v>0</v>
      </c>
      <c r="C3188" s="16" t="s">
        <v>12457</v>
      </c>
      <c r="D3188" s="16"/>
      <c r="E3188">
        <v>6</v>
      </c>
      <c r="F3188" t="s">
        <v>4680</v>
      </c>
      <c r="G3188">
        <v>1</v>
      </c>
      <c r="H3188">
        <v>0</v>
      </c>
      <c r="I3188">
        <f>1</f>
        <v>1</v>
      </c>
    </row>
    <row r="3189" spans="2:9" x14ac:dyDescent="0.25">
      <c r="B3189">
        <v>0</v>
      </c>
      <c r="C3189" s="16" t="s">
        <v>12458</v>
      </c>
      <c r="D3189" s="16"/>
      <c r="E3189">
        <v>6</v>
      </c>
      <c r="F3189" t="s">
        <v>6183</v>
      </c>
      <c r="G3189">
        <v>1</v>
      </c>
      <c r="H3189">
        <v>0</v>
      </c>
      <c r="I3189">
        <f>1</f>
        <v>1</v>
      </c>
    </row>
    <row r="3190" spans="2:9" x14ac:dyDescent="0.25">
      <c r="B3190">
        <v>0</v>
      </c>
      <c r="C3190" s="16" t="s">
        <v>12459</v>
      </c>
      <c r="D3190" s="16"/>
      <c r="E3190">
        <v>6</v>
      </c>
      <c r="F3190" t="s">
        <v>6184</v>
      </c>
      <c r="G3190">
        <v>1</v>
      </c>
      <c r="H3190">
        <v>0</v>
      </c>
      <c r="I3190">
        <f>1</f>
        <v>1</v>
      </c>
    </row>
    <row r="3191" spans="2:9" x14ac:dyDescent="0.25">
      <c r="B3191">
        <v>0</v>
      </c>
      <c r="C3191" s="16" t="s">
        <v>12460</v>
      </c>
      <c r="D3191" s="16"/>
      <c r="E3191">
        <v>6</v>
      </c>
      <c r="F3191" t="s">
        <v>6185</v>
      </c>
      <c r="G3191">
        <v>1</v>
      </c>
      <c r="H3191">
        <v>0</v>
      </c>
      <c r="I3191">
        <f>1</f>
        <v>1</v>
      </c>
    </row>
    <row r="3192" spans="2:9" x14ac:dyDescent="0.25">
      <c r="B3192">
        <v>0</v>
      </c>
      <c r="C3192" s="16" t="s">
        <v>12461</v>
      </c>
      <c r="D3192" s="16"/>
      <c r="E3192">
        <v>6</v>
      </c>
      <c r="F3192" t="s">
        <v>6186</v>
      </c>
      <c r="G3192">
        <v>1</v>
      </c>
      <c r="H3192">
        <v>0</v>
      </c>
      <c r="I3192">
        <f>1</f>
        <v>1</v>
      </c>
    </row>
    <row r="3193" spans="2:9" x14ac:dyDescent="0.25">
      <c r="B3193">
        <v>0</v>
      </c>
      <c r="C3193" s="16" t="s">
        <v>12462</v>
      </c>
      <c r="D3193" s="16"/>
      <c r="E3193">
        <v>6</v>
      </c>
      <c r="F3193" t="s">
        <v>4680</v>
      </c>
      <c r="G3193">
        <v>1</v>
      </c>
      <c r="H3193">
        <v>0</v>
      </c>
      <c r="I3193">
        <f>1</f>
        <v>1</v>
      </c>
    </row>
    <row r="3194" spans="2:9" x14ac:dyDescent="0.25">
      <c r="B3194">
        <v>0</v>
      </c>
      <c r="C3194" s="16" t="s">
        <v>12463</v>
      </c>
      <c r="D3194" s="16"/>
      <c r="E3194">
        <v>6</v>
      </c>
      <c r="F3194" t="s">
        <v>6187</v>
      </c>
      <c r="G3194">
        <v>1</v>
      </c>
      <c r="H3194">
        <v>0</v>
      </c>
      <c r="I3194">
        <f>1</f>
        <v>1</v>
      </c>
    </row>
    <row r="3195" spans="2:9" x14ac:dyDescent="0.25">
      <c r="B3195">
        <v>0</v>
      </c>
      <c r="C3195" s="16" t="s">
        <v>12464</v>
      </c>
      <c r="D3195" s="16"/>
      <c r="E3195">
        <v>6</v>
      </c>
      <c r="F3195" t="s">
        <v>6188</v>
      </c>
      <c r="G3195">
        <v>1</v>
      </c>
      <c r="H3195">
        <v>0</v>
      </c>
      <c r="I3195">
        <f>1</f>
        <v>1</v>
      </c>
    </row>
    <row r="3196" spans="2:9" x14ac:dyDescent="0.25">
      <c r="B3196">
        <v>0</v>
      </c>
      <c r="C3196" s="16" t="s">
        <v>12465</v>
      </c>
      <c r="D3196" s="16"/>
      <c r="E3196">
        <v>6</v>
      </c>
      <c r="F3196" t="s">
        <v>6189</v>
      </c>
      <c r="G3196">
        <v>1</v>
      </c>
      <c r="H3196">
        <v>0</v>
      </c>
      <c r="I3196">
        <f>1</f>
        <v>1</v>
      </c>
    </row>
    <row r="3197" spans="2:9" x14ac:dyDescent="0.25">
      <c r="B3197">
        <v>0</v>
      </c>
      <c r="C3197" s="16" t="s">
        <v>12466</v>
      </c>
      <c r="D3197" s="16"/>
      <c r="E3197">
        <v>6</v>
      </c>
      <c r="F3197" t="s">
        <v>4680</v>
      </c>
      <c r="G3197">
        <v>1</v>
      </c>
      <c r="H3197">
        <v>0</v>
      </c>
      <c r="I3197">
        <f>1</f>
        <v>1</v>
      </c>
    </row>
    <row r="3198" spans="2:9" x14ac:dyDescent="0.25">
      <c r="B3198">
        <v>0</v>
      </c>
      <c r="C3198" s="16" t="s">
        <v>12467</v>
      </c>
      <c r="D3198" s="16"/>
      <c r="E3198">
        <v>6</v>
      </c>
      <c r="F3198" t="s">
        <v>6190</v>
      </c>
      <c r="G3198">
        <v>1</v>
      </c>
      <c r="H3198">
        <v>0</v>
      </c>
      <c r="I3198">
        <f>1</f>
        <v>1</v>
      </c>
    </row>
    <row r="3199" spans="2:9" x14ac:dyDescent="0.25">
      <c r="B3199">
        <v>0</v>
      </c>
      <c r="C3199" s="16" t="s">
        <v>12468</v>
      </c>
      <c r="D3199" s="16"/>
      <c r="E3199">
        <v>6</v>
      </c>
      <c r="F3199" t="s">
        <v>6191</v>
      </c>
      <c r="G3199">
        <v>1</v>
      </c>
      <c r="H3199">
        <v>0</v>
      </c>
      <c r="I3199">
        <f>1</f>
        <v>1</v>
      </c>
    </row>
    <row r="3200" spans="2:9" x14ac:dyDescent="0.25">
      <c r="B3200">
        <v>0</v>
      </c>
      <c r="C3200" s="16" t="s">
        <v>12469</v>
      </c>
      <c r="D3200" s="16"/>
      <c r="E3200">
        <v>6</v>
      </c>
      <c r="F3200" t="s">
        <v>6192</v>
      </c>
      <c r="G3200">
        <v>1</v>
      </c>
      <c r="H3200">
        <v>0</v>
      </c>
      <c r="I3200">
        <f>1</f>
        <v>1</v>
      </c>
    </row>
    <row r="3201" spans="2:9" x14ac:dyDescent="0.25">
      <c r="B3201">
        <v>0</v>
      </c>
      <c r="C3201" s="16" t="s">
        <v>12470</v>
      </c>
      <c r="D3201" s="16"/>
      <c r="E3201">
        <v>6</v>
      </c>
      <c r="F3201" t="s">
        <v>4680</v>
      </c>
      <c r="G3201">
        <v>1</v>
      </c>
      <c r="H3201">
        <v>0</v>
      </c>
      <c r="I3201">
        <f>1</f>
        <v>1</v>
      </c>
    </row>
    <row r="3202" spans="2:9" x14ac:dyDescent="0.25">
      <c r="B3202">
        <v>0</v>
      </c>
      <c r="C3202" s="16" t="s">
        <v>12471</v>
      </c>
      <c r="D3202" s="16"/>
      <c r="E3202">
        <v>6</v>
      </c>
      <c r="F3202" t="s">
        <v>6193</v>
      </c>
      <c r="G3202">
        <v>1</v>
      </c>
      <c r="H3202">
        <v>0</v>
      </c>
      <c r="I3202">
        <f>1</f>
        <v>1</v>
      </c>
    </row>
    <row r="3203" spans="2:9" x14ac:dyDescent="0.25">
      <c r="B3203">
        <v>0</v>
      </c>
      <c r="C3203" s="16" t="s">
        <v>12472</v>
      </c>
      <c r="D3203" s="16"/>
      <c r="E3203">
        <v>6</v>
      </c>
      <c r="F3203" t="s">
        <v>6194</v>
      </c>
      <c r="G3203">
        <v>1</v>
      </c>
      <c r="H3203">
        <v>0</v>
      </c>
      <c r="I3203">
        <f>1</f>
        <v>1</v>
      </c>
    </row>
    <row r="3204" spans="2:9" x14ac:dyDescent="0.25">
      <c r="B3204">
        <v>0</v>
      </c>
      <c r="C3204" s="16" t="s">
        <v>12473</v>
      </c>
      <c r="D3204" s="16"/>
      <c r="E3204">
        <v>6</v>
      </c>
      <c r="F3204" t="s">
        <v>6195</v>
      </c>
      <c r="G3204">
        <v>1</v>
      </c>
      <c r="H3204">
        <v>0</v>
      </c>
      <c r="I3204">
        <f>1</f>
        <v>1</v>
      </c>
    </row>
    <row r="3205" spans="2:9" x14ac:dyDescent="0.25">
      <c r="B3205">
        <v>0</v>
      </c>
      <c r="C3205" s="16" t="s">
        <v>12474</v>
      </c>
      <c r="D3205" s="16"/>
      <c r="E3205">
        <v>6</v>
      </c>
      <c r="F3205" t="s">
        <v>6196</v>
      </c>
      <c r="G3205">
        <v>1</v>
      </c>
      <c r="H3205">
        <v>0</v>
      </c>
      <c r="I3205">
        <f>1</f>
        <v>1</v>
      </c>
    </row>
    <row r="3206" spans="2:9" x14ac:dyDescent="0.25">
      <c r="B3206">
        <v>0</v>
      </c>
      <c r="C3206" s="16" t="s">
        <v>12475</v>
      </c>
      <c r="D3206" s="16"/>
      <c r="E3206">
        <v>6</v>
      </c>
      <c r="F3206" t="s">
        <v>4680</v>
      </c>
      <c r="G3206">
        <v>1</v>
      </c>
      <c r="H3206">
        <v>0</v>
      </c>
      <c r="I3206">
        <f>1</f>
        <v>1</v>
      </c>
    </row>
    <row r="3207" spans="2:9" x14ac:dyDescent="0.25">
      <c r="B3207">
        <v>0</v>
      </c>
      <c r="C3207" s="16" t="s">
        <v>12476</v>
      </c>
      <c r="D3207" s="16"/>
      <c r="E3207">
        <v>6</v>
      </c>
      <c r="F3207" t="s">
        <v>6197</v>
      </c>
      <c r="G3207">
        <v>1</v>
      </c>
      <c r="H3207">
        <v>0</v>
      </c>
      <c r="I3207">
        <f>1</f>
        <v>1</v>
      </c>
    </row>
    <row r="3208" spans="2:9" x14ac:dyDescent="0.25">
      <c r="B3208">
        <v>0</v>
      </c>
      <c r="C3208" s="16" t="s">
        <v>12477</v>
      </c>
      <c r="D3208" s="16"/>
      <c r="E3208">
        <v>6</v>
      </c>
      <c r="F3208" t="s">
        <v>6198</v>
      </c>
      <c r="G3208">
        <v>1</v>
      </c>
      <c r="H3208">
        <v>0</v>
      </c>
      <c r="I3208">
        <f>1</f>
        <v>1</v>
      </c>
    </row>
    <row r="3209" spans="2:9" x14ac:dyDescent="0.25">
      <c r="B3209">
        <v>0</v>
      </c>
      <c r="C3209" s="16" t="s">
        <v>12478</v>
      </c>
      <c r="D3209" s="16"/>
      <c r="E3209">
        <v>6</v>
      </c>
      <c r="F3209" t="s">
        <v>6199</v>
      </c>
      <c r="G3209">
        <v>1</v>
      </c>
      <c r="H3209">
        <v>0</v>
      </c>
      <c r="I3209">
        <f>1</f>
        <v>1</v>
      </c>
    </row>
    <row r="3210" spans="2:9" x14ac:dyDescent="0.25">
      <c r="B3210">
        <v>0</v>
      </c>
      <c r="C3210" s="16" t="s">
        <v>12479</v>
      </c>
      <c r="D3210" s="16"/>
      <c r="E3210">
        <v>6</v>
      </c>
      <c r="F3210" t="s">
        <v>4680</v>
      </c>
      <c r="G3210">
        <v>1</v>
      </c>
      <c r="H3210">
        <v>0</v>
      </c>
      <c r="I3210">
        <f>1</f>
        <v>1</v>
      </c>
    </row>
    <row r="3211" spans="2:9" x14ac:dyDescent="0.25">
      <c r="B3211">
        <v>0</v>
      </c>
      <c r="C3211" s="16" t="s">
        <v>12480</v>
      </c>
      <c r="D3211" s="16"/>
      <c r="E3211">
        <v>6</v>
      </c>
      <c r="F3211" t="s">
        <v>6200</v>
      </c>
      <c r="G3211">
        <v>1</v>
      </c>
      <c r="H3211">
        <v>0</v>
      </c>
      <c r="I3211">
        <f>1</f>
        <v>1</v>
      </c>
    </row>
    <row r="3212" spans="2:9" x14ac:dyDescent="0.25">
      <c r="B3212">
        <v>0</v>
      </c>
      <c r="C3212" s="16" t="s">
        <v>12481</v>
      </c>
      <c r="D3212" s="16"/>
      <c r="E3212">
        <v>6</v>
      </c>
      <c r="F3212" t="s">
        <v>6201</v>
      </c>
      <c r="G3212">
        <v>1</v>
      </c>
      <c r="H3212">
        <v>0</v>
      </c>
      <c r="I3212">
        <f>1</f>
        <v>1</v>
      </c>
    </row>
    <row r="3213" spans="2:9" x14ac:dyDescent="0.25">
      <c r="B3213">
        <v>0</v>
      </c>
      <c r="C3213" s="16" t="s">
        <v>12482</v>
      </c>
      <c r="D3213" s="16"/>
      <c r="E3213">
        <v>6</v>
      </c>
      <c r="F3213" t="s">
        <v>6202</v>
      </c>
      <c r="G3213">
        <v>1</v>
      </c>
      <c r="H3213">
        <v>0</v>
      </c>
      <c r="I3213">
        <f>1</f>
        <v>1</v>
      </c>
    </row>
    <row r="3214" spans="2:9" x14ac:dyDescent="0.25">
      <c r="B3214">
        <v>0</v>
      </c>
      <c r="C3214" s="16" t="s">
        <v>12483</v>
      </c>
      <c r="D3214" s="16"/>
      <c r="E3214">
        <v>6</v>
      </c>
      <c r="F3214" t="s">
        <v>4680</v>
      </c>
      <c r="G3214">
        <v>1</v>
      </c>
      <c r="H3214">
        <v>0</v>
      </c>
      <c r="I3214">
        <f>1</f>
        <v>1</v>
      </c>
    </row>
    <row r="3215" spans="2:9" x14ac:dyDescent="0.25">
      <c r="B3215">
        <v>0</v>
      </c>
      <c r="C3215" s="16" t="s">
        <v>12484</v>
      </c>
      <c r="D3215" s="16"/>
      <c r="E3215">
        <v>6</v>
      </c>
      <c r="F3215" t="s">
        <v>6203</v>
      </c>
      <c r="G3215">
        <v>1</v>
      </c>
      <c r="H3215">
        <v>0</v>
      </c>
      <c r="I3215">
        <f>1</f>
        <v>1</v>
      </c>
    </row>
    <row r="3216" spans="2:9" x14ac:dyDescent="0.25">
      <c r="B3216">
        <v>0</v>
      </c>
      <c r="C3216" s="16" t="s">
        <v>12485</v>
      </c>
      <c r="D3216" s="16"/>
      <c r="E3216">
        <v>6</v>
      </c>
      <c r="F3216" t="s">
        <v>6204</v>
      </c>
      <c r="G3216">
        <v>1</v>
      </c>
      <c r="H3216">
        <v>0</v>
      </c>
      <c r="I3216">
        <f>1</f>
        <v>1</v>
      </c>
    </row>
    <row r="3217" spans="2:9" x14ac:dyDescent="0.25">
      <c r="B3217">
        <v>0</v>
      </c>
      <c r="C3217" s="16" t="s">
        <v>12486</v>
      </c>
      <c r="D3217" s="16"/>
      <c r="E3217">
        <v>6</v>
      </c>
      <c r="F3217" t="s">
        <v>6205</v>
      </c>
      <c r="G3217">
        <v>1</v>
      </c>
      <c r="H3217">
        <v>0</v>
      </c>
      <c r="I3217">
        <f>1</f>
        <v>1</v>
      </c>
    </row>
    <row r="3218" spans="2:9" x14ac:dyDescent="0.25">
      <c r="B3218">
        <v>0</v>
      </c>
      <c r="C3218" s="16" t="s">
        <v>12487</v>
      </c>
      <c r="D3218" s="16"/>
      <c r="E3218">
        <v>6</v>
      </c>
      <c r="F3218" t="s">
        <v>4680</v>
      </c>
      <c r="G3218">
        <v>1</v>
      </c>
      <c r="H3218">
        <v>0</v>
      </c>
      <c r="I3218">
        <f>1</f>
        <v>1</v>
      </c>
    </row>
    <row r="3219" spans="2:9" x14ac:dyDescent="0.25">
      <c r="B3219">
        <v>0</v>
      </c>
      <c r="C3219" s="16" t="s">
        <v>12488</v>
      </c>
      <c r="D3219" s="16"/>
      <c r="E3219">
        <v>6</v>
      </c>
      <c r="F3219" t="s">
        <v>6206</v>
      </c>
      <c r="G3219">
        <v>1</v>
      </c>
      <c r="H3219">
        <v>0</v>
      </c>
      <c r="I3219">
        <f>1</f>
        <v>1</v>
      </c>
    </row>
    <row r="3220" spans="2:9" x14ac:dyDescent="0.25">
      <c r="B3220">
        <v>0</v>
      </c>
      <c r="C3220" s="16" t="s">
        <v>12489</v>
      </c>
      <c r="D3220" s="16"/>
      <c r="E3220">
        <v>6</v>
      </c>
      <c r="F3220" t="s">
        <v>6207</v>
      </c>
      <c r="G3220">
        <v>1</v>
      </c>
      <c r="H3220">
        <v>0</v>
      </c>
      <c r="I3220">
        <f>1</f>
        <v>1</v>
      </c>
    </row>
    <row r="3221" spans="2:9" x14ac:dyDescent="0.25">
      <c r="B3221">
        <v>0</v>
      </c>
      <c r="C3221" s="16" t="s">
        <v>12490</v>
      </c>
      <c r="D3221" s="16"/>
      <c r="E3221">
        <v>6</v>
      </c>
      <c r="F3221" t="s">
        <v>6208</v>
      </c>
      <c r="G3221">
        <v>1</v>
      </c>
      <c r="H3221">
        <v>0</v>
      </c>
      <c r="I3221">
        <f>1</f>
        <v>1</v>
      </c>
    </row>
    <row r="3222" spans="2:9" x14ac:dyDescent="0.25">
      <c r="B3222">
        <v>0</v>
      </c>
      <c r="C3222" s="16" t="s">
        <v>12491</v>
      </c>
      <c r="D3222" s="16"/>
      <c r="E3222">
        <v>6</v>
      </c>
      <c r="F3222" t="s">
        <v>6209</v>
      </c>
      <c r="G3222">
        <v>1</v>
      </c>
      <c r="H3222">
        <v>0</v>
      </c>
      <c r="I3222">
        <f>1</f>
        <v>1</v>
      </c>
    </row>
    <row r="3223" spans="2:9" x14ac:dyDescent="0.25">
      <c r="B3223">
        <v>0</v>
      </c>
      <c r="C3223" s="16" t="s">
        <v>12492</v>
      </c>
      <c r="D3223" s="16"/>
      <c r="E3223">
        <v>6</v>
      </c>
      <c r="F3223" t="s">
        <v>6210</v>
      </c>
      <c r="G3223">
        <v>1</v>
      </c>
      <c r="H3223">
        <v>0</v>
      </c>
      <c r="I3223">
        <f>1</f>
        <v>1</v>
      </c>
    </row>
    <row r="3224" spans="2:9" x14ac:dyDescent="0.25">
      <c r="B3224">
        <v>0</v>
      </c>
      <c r="C3224" s="16" t="s">
        <v>12493</v>
      </c>
      <c r="D3224" s="16"/>
      <c r="E3224">
        <v>6</v>
      </c>
      <c r="F3224" t="s">
        <v>6211</v>
      </c>
      <c r="G3224">
        <v>1</v>
      </c>
      <c r="H3224">
        <v>0</v>
      </c>
      <c r="I3224">
        <f>1</f>
        <v>1</v>
      </c>
    </row>
    <row r="3225" spans="2:9" x14ac:dyDescent="0.25">
      <c r="B3225">
        <v>0</v>
      </c>
      <c r="C3225" s="16" t="s">
        <v>12494</v>
      </c>
      <c r="D3225" s="16"/>
      <c r="E3225">
        <v>6</v>
      </c>
      <c r="F3225" t="s">
        <v>4680</v>
      </c>
      <c r="G3225">
        <v>1</v>
      </c>
      <c r="H3225">
        <v>0</v>
      </c>
      <c r="I3225">
        <f>1</f>
        <v>1</v>
      </c>
    </row>
    <row r="3226" spans="2:9" x14ac:dyDescent="0.25">
      <c r="B3226">
        <v>0</v>
      </c>
      <c r="C3226" s="16" t="s">
        <v>12495</v>
      </c>
      <c r="D3226" s="16"/>
      <c r="E3226">
        <v>6</v>
      </c>
      <c r="F3226" t="s">
        <v>6212</v>
      </c>
      <c r="G3226">
        <v>1</v>
      </c>
      <c r="H3226">
        <v>0</v>
      </c>
      <c r="I3226">
        <f>1</f>
        <v>1</v>
      </c>
    </row>
    <row r="3227" spans="2:9" x14ac:dyDescent="0.25">
      <c r="B3227">
        <v>0</v>
      </c>
      <c r="C3227" s="16" t="s">
        <v>12496</v>
      </c>
      <c r="D3227" s="16"/>
      <c r="E3227">
        <v>6</v>
      </c>
      <c r="F3227" t="s">
        <v>6213</v>
      </c>
      <c r="G3227">
        <v>1</v>
      </c>
      <c r="H3227">
        <v>0</v>
      </c>
      <c r="I3227">
        <f>1</f>
        <v>1</v>
      </c>
    </row>
    <row r="3228" spans="2:9" x14ac:dyDescent="0.25">
      <c r="B3228">
        <v>0</v>
      </c>
      <c r="C3228" s="16" t="s">
        <v>12497</v>
      </c>
      <c r="D3228" s="16"/>
      <c r="E3228">
        <v>6</v>
      </c>
      <c r="F3228" t="s">
        <v>6214</v>
      </c>
      <c r="G3228">
        <v>1</v>
      </c>
      <c r="H3228">
        <v>0</v>
      </c>
      <c r="I3228">
        <f>1</f>
        <v>1</v>
      </c>
    </row>
    <row r="3229" spans="2:9" x14ac:dyDescent="0.25">
      <c r="B3229">
        <v>0</v>
      </c>
      <c r="C3229" s="16" t="s">
        <v>12498</v>
      </c>
      <c r="D3229" s="16"/>
      <c r="E3229">
        <v>6</v>
      </c>
      <c r="F3229" t="s">
        <v>6215</v>
      </c>
      <c r="G3229">
        <v>1</v>
      </c>
      <c r="H3229">
        <v>0</v>
      </c>
      <c r="I3229">
        <f>1</f>
        <v>1</v>
      </c>
    </row>
    <row r="3230" spans="2:9" x14ac:dyDescent="0.25">
      <c r="B3230">
        <v>0</v>
      </c>
      <c r="C3230" s="16" t="s">
        <v>12499</v>
      </c>
      <c r="D3230" s="16"/>
      <c r="E3230">
        <v>6</v>
      </c>
      <c r="F3230" t="s">
        <v>6216</v>
      </c>
      <c r="G3230">
        <v>1</v>
      </c>
      <c r="H3230">
        <v>0</v>
      </c>
      <c r="I3230">
        <f>1</f>
        <v>1</v>
      </c>
    </row>
    <row r="3231" spans="2:9" x14ac:dyDescent="0.25">
      <c r="B3231">
        <v>0</v>
      </c>
      <c r="C3231" s="16" t="s">
        <v>12500</v>
      </c>
      <c r="D3231" s="16"/>
      <c r="E3231">
        <v>6</v>
      </c>
      <c r="F3231" t="s">
        <v>6217</v>
      </c>
      <c r="G3231">
        <v>1</v>
      </c>
      <c r="H3231">
        <v>0</v>
      </c>
      <c r="I3231">
        <f>1</f>
        <v>1</v>
      </c>
    </row>
    <row r="3232" spans="2:9" x14ac:dyDescent="0.25">
      <c r="B3232">
        <v>0</v>
      </c>
      <c r="C3232" s="16" t="s">
        <v>12501</v>
      </c>
      <c r="D3232" s="16"/>
      <c r="E3232">
        <v>6</v>
      </c>
      <c r="F3232" t="s">
        <v>6218</v>
      </c>
      <c r="G3232">
        <v>1</v>
      </c>
      <c r="H3232">
        <v>0</v>
      </c>
      <c r="I3232">
        <f>1</f>
        <v>1</v>
      </c>
    </row>
    <row r="3233" spans="2:9" x14ac:dyDescent="0.25">
      <c r="B3233">
        <v>0</v>
      </c>
      <c r="C3233" s="16" t="s">
        <v>12502</v>
      </c>
      <c r="D3233" s="16"/>
      <c r="E3233">
        <v>6</v>
      </c>
      <c r="F3233" t="s">
        <v>4680</v>
      </c>
      <c r="G3233">
        <v>1</v>
      </c>
      <c r="H3233">
        <v>0</v>
      </c>
      <c r="I3233">
        <f>1</f>
        <v>1</v>
      </c>
    </row>
    <row r="3234" spans="2:9" x14ac:dyDescent="0.25">
      <c r="B3234">
        <v>0</v>
      </c>
      <c r="C3234" s="16" t="s">
        <v>12503</v>
      </c>
      <c r="D3234" s="16"/>
      <c r="E3234">
        <v>6</v>
      </c>
      <c r="F3234" t="s">
        <v>6219</v>
      </c>
      <c r="G3234">
        <v>1</v>
      </c>
      <c r="H3234">
        <v>0</v>
      </c>
      <c r="I3234">
        <f>1</f>
        <v>1</v>
      </c>
    </row>
    <row r="3235" spans="2:9" x14ac:dyDescent="0.25">
      <c r="B3235">
        <v>0</v>
      </c>
      <c r="C3235" s="16" t="s">
        <v>12504</v>
      </c>
      <c r="D3235" s="16"/>
      <c r="E3235">
        <v>6</v>
      </c>
      <c r="F3235" t="s">
        <v>6220</v>
      </c>
      <c r="G3235">
        <v>1</v>
      </c>
      <c r="H3235">
        <v>0</v>
      </c>
      <c r="I3235">
        <f>1</f>
        <v>1</v>
      </c>
    </row>
    <row r="3236" spans="2:9" x14ac:dyDescent="0.25">
      <c r="B3236">
        <v>0</v>
      </c>
      <c r="C3236" s="16" t="s">
        <v>12505</v>
      </c>
      <c r="D3236" s="16"/>
      <c r="E3236">
        <v>6</v>
      </c>
      <c r="F3236" t="s">
        <v>6221</v>
      </c>
      <c r="G3236">
        <v>1</v>
      </c>
      <c r="H3236">
        <v>0</v>
      </c>
      <c r="I3236">
        <f>1</f>
        <v>1</v>
      </c>
    </row>
    <row r="3237" spans="2:9" x14ac:dyDescent="0.25">
      <c r="B3237">
        <v>0</v>
      </c>
      <c r="C3237" s="16" t="s">
        <v>12506</v>
      </c>
      <c r="D3237" s="16"/>
      <c r="E3237">
        <v>6</v>
      </c>
      <c r="F3237" t="s">
        <v>6222</v>
      </c>
      <c r="G3237">
        <v>1</v>
      </c>
      <c r="H3237">
        <v>0</v>
      </c>
      <c r="I3237">
        <f>1</f>
        <v>1</v>
      </c>
    </row>
    <row r="3238" spans="2:9" x14ac:dyDescent="0.25">
      <c r="B3238">
        <v>0</v>
      </c>
      <c r="C3238" s="16" t="s">
        <v>12507</v>
      </c>
      <c r="D3238" s="16"/>
      <c r="E3238">
        <v>6</v>
      </c>
      <c r="F3238" t="s">
        <v>6223</v>
      </c>
      <c r="G3238">
        <v>1</v>
      </c>
      <c r="H3238">
        <v>0</v>
      </c>
      <c r="I3238">
        <f>1</f>
        <v>1</v>
      </c>
    </row>
    <row r="3239" spans="2:9" x14ac:dyDescent="0.25">
      <c r="B3239">
        <v>0</v>
      </c>
      <c r="C3239" s="16" t="s">
        <v>12508</v>
      </c>
      <c r="D3239" s="16"/>
      <c r="E3239">
        <v>6</v>
      </c>
      <c r="F3239" t="s">
        <v>6224</v>
      </c>
      <c r="G3239">
        <v>1</v>
      </c>
      <c r="H3239">
        <v>0</v>
      </c>
      <c r="I3239">
        <f>1</f>
        <v>1</v>
      </c>
    </row>
    <row r="3240" spans="2:9" x14ac:dyDescent="0.25">
      <c r="B3240">
        <v>0</v>
      </c>
      <c r="C3240" s="16" t="s">
        <v>12509</v>
      </c>
      <c r="D3240" s="16"/>
      <c r="E3240">
        <v>6</v>
      </c>
      <c r="F3240" t="s">
        <v>4680</v>
      </c>
      <c r="G3240">
        <v>1</v>
      </c>
      <c r="H3240">
        <v>0</v>
      </c>
      <c r="I3240">
        <f>1</f>
        <v>1</v>
      </c>
    </row>
    <row r="3241" spans="2:9" x14ac:dyDescent="0.25">
      <c r="B3241">
        <v>0</v>
      </c>
      <c r="C3241" s="16" t="s">
        <v>12510</v>
      </c>
      <c r="D3241" s="16"/>
      <c r="E3241">
        <v>6</v>
      </c>
      <c r="F3241" t="s">
        <v>6225</v>
      </c>
      <c r="G3241">
        <v>1</v>
      </c>
      <c r="H3241">
        <v>0</v>
      </c>
      <c r="I3241">
        <f>1</f>
        <v>1</v>
      </c>
    </row>
    <row r="3242" spans="2:9" x14ac:dyDescent="0.25">
      <c r="B3242">
        <v>0</v>
      </c>
      <c r="C3242" s="16" t="s">
        <v>12511</v>
      </c>
      <c r="D3242" s="16"/>
      <c r="E3242">
        <v>6</v>
      </c>
      <c r="F3242" t="s">
        <v>6226</v>
      </c>
      <c r="G3242">
        <v>1</v>
      </c>
      <c r="H3242">
        <v>0</v>
      </c>
      <c r="I3242">
        <f>1</f>
        <v>1</v>
      </c>
    </row>
    <row r="3243" spans="2:9" x14ac:dyDescent="0.25">
      <c r="B3243">
        <v>0</v>
      </c>
      <c r="C3243" s="16" t="s">
        <v>12512</v>
      </c>
      <c r="D3243" s="16"/>
      <c r="E3243">
        <v>6</v>
      </c>
      <c r="F3243" t="s">
        <v>6227</v>
      </c>
      <c r="G3243">
        <v>1</v>
      </c>
      <c r="H3243">
        <v>0</v>
      </c>
      <c r="I3243">
        <f>1</f>
        <v>1</v>
      </c>
    </row>
    <row r="3244" spans="2:9" x14ac:dyDescent="0.25">
      <c r="B3244">
        <v>0</v>
      </c>
      <c r="C3244" s="16" t="s">
        <v>12513</v>
      </c>
      <c r="D3244" s="16"/>
      <c r="E3244">
        <v>6</v>
      </c>
      <c r="F3244" t="s">
        <v>4680</v>
      </c>
      <c r="G3244">
        <v>1</v>
      </c>
      <c r="H3244">
        <v>0</v>
      </c>
      <c r="I3244">
        <f>1</f>
        <v>1</v>
      </c>
    </row>
    <row r="3245" spans="2:9" x14ac:dyDescent="0.25">
      <c r="B3245">
        <v>0</v>
      </c>
      <c r="C3245" s="16" t="s">
        <v>12514</v>
      </c>
      <c r="D3245" s="16"/>
      <c r="E3245">
        <v>6</v>
      </c>
      <c r="F3245" t="s">
        <v>6228</v>
      </c>
      <c r="G3245">
        <v>1</v>
      </c>
      <c r="H3245">
        <v>0</v>
      </c>
      <c r="I3245">
        <f>1</f>
        <v>1</v>
      </c>
    </row>
    <row r="3246" spans="2:9" x14ac:dyDescent="0.25">
      <c r="B3246">
        <v>0</v>
      </c>
      <c r="C3246" s="16" t="s">
        <v>12515</v>
      </c>
      <c r="D3246" s="16"/>
      <c r="E3246">
        <v>6</v>
      </c>
      <c r="F3246" t="s">
        <v>6229</v>
      </c>
      <c r="G3246">
        <v>1</v>
      </c>
      <c r="H3246">
        <v>0</v>
      </c>
      <c r="I3246">
        <f>1</f>
        <v>1</v>
      </c>
    </row>
    <row r="3247" spans="2:9" x14ac:dyDescent="0.25">
      <c r="B3247">
        <v>0</v>
      </c>
      <c r="C3247" s="16" t="s">
        <v>12516</v>
      </c>
      <c r="D3247" s="16"/>
      <c r="E3247">
        <v>6</v>
      </c>
      <c r="F3247" t="s">
        <v>6230</v>
      </c>
      <c r="G3247">
        <v>1</v>
      </c>
      <c r="H3247">
        <v>0</v>
      </c>
      <c r="I3247">
        <f>1</f>
        <v>1</v>
      </c>
    </row>
    <row r="3248" spans="2:9" x14ac:dyDescent="0.25">
      <c r="B3248">
        <v>0</v>
      </c>
      <c r="C3248" s="16" t="s">
        <v>12517</v>
      </c>
      <c r="D3248" s="16"/>
      <c r="E3248">
        <v>6</v>
      </c>
      <c r="F3248" t="s">
        <v>6231</v>
      </c>
      <c r="G3248">
        <v>1</v>
      </c>
      <c r="H3248">
        <v>0</v>
      </c>
      <c r="I3248">
        <f>1</f>
        <v>1</v>
      </c>
    </row>
    <row r="3249" spans="2:9" x14ac:dyDescent="0.25">
      <c r="B3249">
        <v>0</v>
      </c>
      <c r="C3249" s="16" t="s">
        <v>12518</v>
      </c>
      <c r="D3249" s="16"/>
      <c r="E3249">
        <v>6</v>
      </c>
      <c r="F3249" t="s">
        <v>6232</v>
      </c>
      <c r="G3249">
        <v>1</v>
      </c>
      <c r="H3249">
        <v>0</v>
      </c>
      <c r="I3249">
        <f>1</f>
        <v>1</v>
      </c>
    </row>
    <row r="3250" spans="2:9" x14ac:dyDescent="0.25">
      <c r="B3250">
        <v>0</v>
      </c>
      <c r="C3250" s="16" t="s">
        <v>12519</v>
      </c>
      <c r="D3250" s="16"/>
      <c r="E3250">
        <v>6</v>
      </c>
      <c r="F3250" t="s">
        <v>4680</v>
      </c>
      <c r="G3250">
        <v>1</v>
      </c>
      <c r="H3250">
        <v>0</v>
      </c>
      <c r="I3250">
        <f>1</f>
        <v>1</v>
      </c>
    </row>
    <row r="3251" spans="2:9" x14ac:dyDescent="0.25">
      <c r="B3251">
        <v>0</v>
      </c>
      <c r="C3251" s="16" t="s">
        <v>12520</v>
      </c>
      <c r="D3251" s="16"/>
      <c r="E3251">
        <v>6</v>
      </c>
      <c r="F3251" t="s">
        <v>6233</v>
      </c>
      <c r="G3251">
        <v>1</v>
      </c>
      <c r="H3251">
        <v>0</v>
      </c>
      <c r="I3251">
        <f>1</f>
        <v>1</v>
      </c>
    </row>
    <row r="3252" spans="2:9" x14ac:dyDescent="0.25">
      <c r="B3252">
        <v>0</v>
      </c>
      <c r="C3252" s="16" t="s">
        <v>12521</v>
      </c>
      <c r="D3252" s="16"/>
      <c r="E3252">
        <v>6</v>
      </c>
      <c r="F3252" t="s">
        <v>6234</v>
      </c>
      <c r="G3252">
        <v>1</v>
      </c>
      <c r="H3252">
        <v>0</v>
      </c>
      <c r="I3252">
        <f>1</f>
        <v>1</v>
      </c>
    </row>
    <row r="3253" spans="2:9" x14ac:dyDescent="0.25">
      <c r="B3253">
        <v>0</v>
      </c>
      <c r="C3253" s="16" t="s">
        <v>12522</v>
      </c>
      <c r="D3253" s="16"/>
      <c r="E3253">
        <v>6</v>
      </c>
      <c r="F3253" t="s">
        <v>6235</v>
      </c>
      <c r="G3253">
        <v>1</v>
      </c>
      <c r="H3253">
        <v>0</v>
      </c>
      <c r="I3253">
        <f>1</f>
        <v>1</v>
      </c>
    </row>
    <row r="3254" spans="2:9" x14ac:dyDescent="0.25">
      <c r="B3254">
        <v>0</v>
      </c>
      <c r="C3254" s="16" t="s">
        <v>12523</v>
      </c>
      <c r="D3254" s="16"/>
      <c r="E3254">
        <v>6</v>
      </c>
      <c r="F3254" t="s">
        <v>4680</v>
      </c>
      <c r="G3254">
        <v>1</v>
      </c>
      <c r="H3254">
        <v>0</v>
      </c>
      <c r="I3254">
        <f>1</f>
        <v>1</v>
      </c>
    </row>
    <row r="3255" spans="2:9" x14ac:dyDescent="0.25">
      <c r="B3255">
        <v>0</v>
      </c>
      <c r="C3255" s="16" t="s">
        <v>12524</v>
      </c>
      <c r="D3255" s="16"/>
      <c r="E3255">
        <v>6</v>
      </c>
      <c r="F3255" t="s">
        <v>6236</v>
      </c>
      <c r="G3255">
        <v>1</v>
      </c>
      <c r="H3255">
        <v>0</v>
      </c>
      <c r="I3255">
        <f>1</f>
        <v>1</v>
      </c>
    </row>
    <row r="3256" spans="2:9" x14ac:dyDescent="0.25">
      <c r="B3256">
        <v>0</v>
      </c>
      <c r="C3256" s="16" t="s">
        <v>12525</v>
      </c>
      <c r="D3256" s="16"/>
      <c r="E3256">
        <v>6</v>
      </c>
      <c r="F3256" t="s">
        <v>6237</v>
      </c>
      <c r="G3256">
        <v>1</v>
      </c>
      <c r="H3256">
        <v>0</v>
      </c>
      <c r="I3256">
        <f>1</f>
        <v>1</v>
      </c>
    </row>
    <row r="3257" spans="2:9" x14ac:dyDescent="0.25">
      <c r="B3257">
        <v>0</v>
      </c>
      <c r="C3257" s="16" t="s">
        <v>12526</v>
      </c>
      <c r="D3257" s="16"/>
      <c r="E3257">
        <v>6</v>
      </c>
      <c r="F3257" t="s">
        <v>6238</v>
      </c>
      <c r="G3257">
        <v>1</v>
      </c>
      <c r="H3257">
        <v>0</v>
      </c>
      <c r="I3257">
        <f>1</f>
        <v>1</v>
      </c>
    </row>
    <row r="3258" spans="2:9" x14ac:dyDescent="0.25">
      <c r="B3258">
        <v>0</v>
      </c>
      <c r="C3258" s="16" t="s">
        <v>12527</v>
      </c>
      <c r="D3258" s="16"/>
      <c r="E3258">
        <v>6</v>
      </c>
      <c r="F3258" t="s">
        <v>6239</v>
      </c>
      <c r="G3258">
        <v>1</v>
      </c>
      <c r="H3258">
        <v>0</v>
      </c>
      <c r="I3258">
        <f>1</f>
        <v>1</v>
      </c>
    </row>
    <row r="3259" spans="2:9" x14ac:dyDescent="0.25">
      <c r="B3259">
        <v>0</v>
      </c>
      <c r="C3259" s="16" t="s">
        <v>12528</v>
      </c>
      <c r="D3259" s="16"/>
      <c r="E3259">
        <v>6</v>
      </c>
      <c r="F3259" t="s">
        <v>6240</v>
      </c>
      <c r="G3259">
        <v>1</v>
      </c>
      <c r="H3259">
        <v>0</v>
      </c>
      <c r="I3259">
        <f>1</f>
        <v>1</v>
      </c>
    </row>
    <row r="3260" spans="2:9" x14ac:dyDescent="0.25">
      <c r="B3260">
        <v>0</v>
      </c>
      <c r="C3260" s="16" t="s">
        <v>12529</v>
      </c>
      <c r="D3260" s="16"/>
      <c r="E3260">
        <v>6</v>
      </c>
      <c r="F3260" t="s">
        <v>6241</v>
      </c>
      <c r="G3260">
        <v>1</v>
      </c>
      <c r="H3260">
        <v>0</v>
      </c>
      <c r="I3260">
        <f>1</f>
        <v>1</v>
      </c>
    </row>
    <row r="3261" spans="2:9" x14ac:dyDescent="0.25">
      <c r="B3261">
        <v>0</v>
      </c>
      <c r="C3261" s="16" t="s">
        <v>12530</v>
      </c>
      <c r="D3261" s="16"/>
      <c r="E3261">
        <v>6</v>
      </c>
      <c r="F3261" t="s">
        <v>4690</v>
      </c>
      <c r="G3261">
        <v>1</v>
      </c>
      <c r="H3261">
        <v>0</v>
      </c>
      <c r="I3261">
        <f>1</f>
        <v>1</v>
      </c>
    </row>
    <row r="3262" spans="2:9" x14ac:dyDescent="0.25">
      <c r="B3262">
        <v>0</v>
      </c>
      <c r="C3262" s="16" t="s">
        <v>12531</v>
      </c>
      <c r="D3262" s="16"/>
      <c r="E3262">
        <v>6</v>
      </c>
      <c r="F3262" t="s">
        <v>6242</v>
      </c>
      <c r="G3262">
        <v>1</v>
      </c>
      <c r="H3262">
        <v>0</v>
      </c>
      <c r="I3262">
        <f>1</f>
        <v>1</v>
      </c>
    </row>
    <row r="3263" spans="2:9" x14ac:dyDescent="0.25">
      <c r="B3263">
        <v>0</v>
      </c>
      <c r="C3263" s="16" t="s">
        <v>12532</v>
      </c>
      <c r="D3263" s="16"/>
      <c r="E3263">
        <v>6</v>
      </c>
      <c r="F3263" t="s">
        <v>4680</v>
      </c>
      <c r="G3263">
        <v>1</v>
      </c>
      <c r="H3263">
        <v>0</v>
      </c>
      <c r="I3263">
        <f>1</f>
        <v>1</v>
      </c>
    </row>
    <row r="3264" spans="2:9" x14ac:dyDescent="0.25">
      <c r="B3264">
        <v>0</v>
      </c>
      <c r="C3264" s="16" t="s">
        <v>12533</v>
      </c>
      <c r="D3264" s="16"/>
      <c r="E3264">
        <v>6</v>
      </c>
      <c r="F3264" t="s">
        <v>6243</v>
      </c>
      <c r="G3264">
        <v>1</v>
      </c>
      <c r="H3264">
        <v>0</v>
      </c>
      <c r="I3264">
        <f>1</f>
        <v>1</v>
      </c>
    </row>
    <row r="3265" spans="2:9" x14ac:dyDescent="0.25">
      <c r="B3265">
        <v>0</v>
      </c>
      <c r="C3265" s="16" t="s">
        <v>12534</v>
      </c>
      <c r="D3265" s="16"/>
      <c r="E3265">
        <v>6</v>
      </c>
      <c r="F3265" t="s">
        <v>6244</v>
      </c>
      <c r="G3265">
        <v>1</v>
      </c>
      <c r="H3265">
        <v>0</v>
      </c>
      <c r="I3265">
        <f>1</f>
        <v>1</v>
      </c>
    </row>
    <row r="3266" spans="2:9" x14ac:dyDescent="0.25">
      <c r="B3266">
        <v>0</v>
      </c>
      <c r="C3266" s="16" t="s">
        <v>12535</v>
      </c>
      <c r="D3266" s="16"/>
      <c r="E3266">
        <v>6</v>
      </c>
      <c r="F3266" t="s">
        <v>6245</v>
      </c>
      <c r="G3266">
        <v>1</v>
      </c>
      <c r="H3266">
        <v>0</v>
      </c>
      <c r="I3266">
        <f>1</f>
        <v>1</v>
      </c>
    </row>
    <row r="3267" spans="2:9" x14ac:dyDescent="0.25">
      <c r="B3267">
        <v>0</v>
      </c>
      <c r="C3267" s="16" t="s">
        <v>12536</v>
      </c>
      <c r="D3267" s="16"/>
      <c r="E3267">
        <v>6</v>
      </c>
      <c r="F3267" t="s">
        <v>4680</v>
      </c>
      <c r="G3267">
        <v>1</v>
      </c>
      <c r="H3267">
        <v>0</v>
      </c>
      <c r="I3267">
        <f>1</f>
        <v>1</v>
      </c>
    </row>
    <row r="3268" spans="2:9" x14ac:dyDescent="0.25">
      <c r="B3268">
        <v>0</v>
      </c>
      <c r="C3268" s="16" t="s">
        <v>12537</v>
      </c>
      <c r="D3268" s="16"/>
      <c r="E3268">
        <v>6</v>
      </c>
      <c r="F3268" t="s">
        <v>6246</v>
      </c>
      <c r="G3268">
        <v>1</v>
      </c>
      <c r="H3268">
        <v>0</v>
      </c>
      <c r="I3268">
        <f>1</f>
        <v>1</v>
      </c>
    </row>
    <row r="3269" spans="2:9" x14ac:dyDescent="0.25">
      <c r="B3269">
        <v>0</v>
      </c>
      <c r="C3269" s="16" t="s">
        <v>12538</v>
      </c>
      <c r="D3269" s="16"/>
      <c r="E3269">
        <v>6</v>
      </c>
      <c r="F3269" t="s">
        <v>6247</v>
      </c>
      <c r="G3269">
        <v>1</v>
      </c>
      <c r="H3269">
        <v>0</v>
      </c>
      <c r="I3269">
        <f>1</f>
        <v>1</v>
      </c>
    </row>
    <row r="3270" spans="2:9" x14ac:dyDescent="0.25">
      <c r="B3270">
        <v>0</v>
      </c>
      <c r="C3270" s="16" t="s">
        <v>12539</v>
      </c>
      <c r="D3270" s="16"/>
      <c r="E3270">
        <v>6</v>
      </c>
      <c r="F3270" t="s">
        <v>6248</v>
      </c>
      <c r="G3270">
        <v>1</v>
      </c>
      <c r="H3270">
        <v>0</v>
      </c>
      <c r="I3270">
        <f>1</f>
        <v>1</v>
      </c>
    </row>
    <row r="3271" spans="2:9" x14ac:dyDescent="0.25">
      <c r="B3271">
        <v>0</v>
      </c>
      <c r="C3271" s="16" t="s">
        <v>12540</v>
      </c>
      <c r="D3271" s="16"/>
      <c r="E3271">
        <v>6</v>
      </c>
      <c r="F3271" t="s">
        <v>6249</v>
      </c>
      <c r="G3271">
        <v>1</v>
      </c>
      <c r="H3271">
        <v>0</v>
      </c>
      <c r="I3271">
        <f>1</f>
        <v>1</v>
      </c>
    </row>
    <row r="3272" spans="2:9" x14ac:dyDescent="0.25">
      <c r="B3272">
        <v>0</v>
      </c>
      <c r="C3272" s="16" t="s">
        <v>12541</v>
      </c>
      <c r="D3272" s="16"/>
      <c r="E3272">
        <v>6</v>
      </c>
      <c r="F3272" t="s">
        <v>6250</v>
      </c>
      <c r="G3272">
        <v>1</v>
      </c>
      <c r="H3272">
        <v>0</v>
      </c>
      <c r="I3272">
        <f>1</f>
        <v>1</v>
      </c>
    </row>
    <row r="3273" spans="2:9" x14ac:dyDescent="0.25">
      <c r="B3273">
        <v>0</v>
      </c>
      <c r="C3273" s="16" t="s">
        <v>12542</v>
      </c>
      <c r="D3273" s="16"/>
      <c r="E3273">
        <v>6</v>
      </c>
      <c r="F3273" t="s">
        <v>4680</v>
      </c>
      <c r="G3273">
        <v>1</v>
      </c>
      <c r="H3273">
        <v>0</v>
      </c>
      <c r="I3273">
        <f>1</f>
        <v>1</v>
      </c>
    </row>
    <row r="3274" spans="2:9" x14ac:dyDescent="0.25">
      <c r="B3274">
        <v>0</v>
      </c>
      <c r="C3274" s="16" t="s">
        <v>12543</v>
      </c>
      <c r="D3274" s="16"/>
      <c r="E3274">
        <v>6</v>
      </c>
      <c r="F3274" t="s">
        <v>6251</v>
      </c>
      <c r="G3274">
        <v>1</v>
      </c>
      <c r="H3274">
        <v>0</v>
      </c>
      <c r="I3274">
        <f>1</f>
        <v>1</v>
      </c>
    </row>
    <row r="3275" spans="2:9" x14ac:dyDescent="0.25">
      <c r="B3275">
        <v>0</v>
      </c>
      <c r="C3275" s="16" t="s">
        <v>12544</v>
      </c>
      <c r="D3275" s="16"/>
      <c r="E3275">
        <v>6</v>
      </c>
      <c r="F3275" t="s">
        <v>6252</v>
      </c>
      <c r="G3275">
        <v>1</v>
      </c>
      <c r="H3275">
        <v>0</v>
      </c>
      <c r="I3275">
        <f>1</f>
        <v>1</v>
      </c>
    </row>
    <row r="3276" spans="2:9" x14ac:dyDescent="0.25">
      <c r="B3276">
        <v>0</v>
      </c>
      <c r="C3276" s="16" t="s">
        <v>12545</v>
      </c>
      <c r="D3276" s="16"/>
      <c r="E3276">
        <v>6</v>
      </c>
      <c r="F3276" t="s">
        <v>6253</v>
      </c>
      <c r="G3276">
        <v>1</v>
      </c>
      <c r="H3276">
        <v>0</v>
      </c>
      <c r="I3276">
        <f>1</f>
        <v>1</v>
      </c>
    </row>
    <row r="3277" spans="2:9" x14ac:dyDescent="0.25">
      <c r="B3277">
        <v>0</v>
      </c>
      <c r="C3277" s="16" t="s">
        <v>12546</v>
      </c>
      <c r="D3277" s="16"/>
      <c r="E3277">
        <v>6</v>
      </c>
      <c r="F3277" t="s">
        <v>6254</v>
      </c>
      <c r="G3277">
        <v>1</v>
      </c>
      <c r="H3277">
        <v>0</v>
      </c>
      <c r="I3277">
        <f>1</f>
        <v>1</v>
      </c>
    </row>
    <row r="3278" spans="2:9" x14ac:dyDescent="0.25">
      <c r="B3278">
        <v>0</v>
      </c>
      <c r="C3278" s="16" t="s">
        <v>12547</v>
      </c>
      <c r="D3278" s="16"/>
      <c r="E3278">
        <v>6</v>
      </c>
      <c r="F3278" t="s">
        <v>6255</v>
      </c>
      <c r="G3278">
        <v>1</v>
      </c>
      <c r="H3278">
        <v>0</v>
      </c>
      <c r="I3278">
        <f>1</f>
        <v>1</v>
      </c>
    </row>
    <row r="3279" spans="2:9" x14ac:dyDescent="0.25">
      <c r="B3279">
        <v>0</v>
      </c>
      <c r="C3279" s="16" t="s">
        <v>12548</v>
      </c>
      <c r="D3279" s="16"/>
      <c r="E3279">
        <v>6</v>
      </c>
      <c r="F3279" t="s">
        <v>4680</v>
      </c>
      <c r="G3279">
        <v>1</v>
      </c>
      <c r="H3279">
        <v>0</v>
      </c>
      <c r="I3279">
        <f>1</f>
        <v>1</v>
      </c>
    </row>
    <row r="3280" spans="2:9" x14ac:dyDescent="0.25">
      <c r="B3280">
        <v>0</v>
      </c>
      <c r="C3280" s="16" t="s">
        <v>12549</v>
      </c>
      <c r="D3280" s="16"/>
      <c r="E3280">
        <v>6</v>
      </c>
      <c r="F3280" t="s">
        <v>6256</v>
      </c>
      <c r="G3280">
        <v>1</v>
      </c>
      <c r="H3280">
        <v>0</v>
      </c>
      <c r="I3280">
        <f>1</f>
        <v>1</v>
      </c>
    </row>
    <row r="3281" spans="2:9" x14ac:dyDescent="0.25">
      <c r="B3281">
        <v>0</v>
      </c>
      <c r="C3281" s="16" t="s">
        <v>12550</v>
      </c>
      <c r="D3281" s="16"/>
      <c r="E3281">
        <v>6</v>
      </c>
      <c r="F3281" t="s">
        <v>6257</v>
      </c>
      <c r="G3281">
        <v>1</v>
      </c>
      <c r="H3281">
        <v>0</v>
      </c>
      <c r="I3281">
        <f>1</f>
        <v>1</v>
      </c>
    </row>
    <row r="3282" spans="2:9" x14ac:dyDescent="0.25">
      <c r="B3282">
        <v>0</v>
      </c>
      <c r="C3282" s="16" t="s">
        <v>12551</v>
      </c>
      <c r="D3282" s="16"/>
      <c r="E3282">
        <v>6</v>
      </c>
      <c r="F3282" t="s">
        <v>6258</v>
      </c>
      <c r="G3282">
        <v>1</v>
      </c>
      <c r="H3282">
        <v>0</v>
      </c>
      <c r="I3282">
        <f>1</f>
        <v>1</v>
      </c>
    </row>
    <row r="3283" spans="2:9" x14ac:dyDescent="0.25">
      <c r="B3283">
        <v>0</v>
      </c>
      <c r="C3283" s="16" t="s">
        <v>12552</v>
      </c>
      <c r="D3283" s="16"/>
      <c r="E3283">
        <v>6</v>
      </c>
      <c r="F3283" t="s">
        <v>6259</v>
      </c>
      <c r="G3283">
        <v>1</v>
      </c>
      <c r="H3283">
        <v>0</v>
      </c>
      <c r="I3283">
        <f>1</f>
        <v>1</v>
      </c>
    </row>
    <row r="3284" spans="2:9" x14ac:dyDescent="0.25">
      <c r="B3284">
        <v>0</v>
      </c>
      <c r="C3284" s="16" t="s">
        <v>12553</v>
      </c>
      <c r="D3284" s="16"/>
      <c r="E3284">
        <v>6</v>
      </c>
      <c r="F3284" t="s">
        <v>6260</v>
      </c>
      <c r="G3284">
        <v>1</v>
      </c>
      <c r="H3284">
        <v>0</v>
      </c>
      <c r="I3284">
        <f>1</f>
        <v>1</v>
      </c>
    </row>
    <row r="3285" spans="2:9" x14ac:dyDescent="0.25">
      <c r="B3285">
        <v>0</v>
      </c>
      <c r="C3285" s="16" t="s">
        <v>12554</v>
      </c>
      <c r="D3285" s="16"/>
      <c r="E3285">
        <v>6</v>
      </c>
      <c r="F3285" t="s">
        <v>6261</v>
      </c>
      <c r="G3285">
        <v>1</v>
      </c>
      <c r="H3285">
        <v>0</v>
      </c>
      <c r="I3285">
        <f>1</f>
        <v>1</v>
      </c>
    </row>
    <row r="3286" spans="2:9" x14ac:dyDescent="0.25">
      <c r="B3286">
        <v>0</v>
      </c>
      <c r="C3286" s="16" t="s">
        <v>12555</v>
      </c>
      <c r="D3286" s="16"/>
      <c r="E3286">
        <v>6</v>
      </c>
      <c r="F3286" t="s">
        <v>6262</v>
      </c>
      <c r="G3286">
        <v>1</v>
      </c>
      <c r="H3286">
        <v>0</v>
      </c>
      <c r="I3286">
        <f>1</f>
        <v>1</v>
      </c>
    </row>
    <row r="3287" spans="2:9" x14ac:dyDescent="0.25">
      <c r="B3287">
        <v>0</v>
      </c>
      <c r="C3287" s="16" t="s">
        <v>12556</v>
      </c>
      <c r="D3287" s="16"/>
      <c r="E3287">
        <v>6</v>
      </c>
      <c r="F3287" t="s">
        <v>6263</v>
      </c>
      <c r="G3287">
        <v>1</v>
      </c>
      <c r="H3287">
        <v>0</v>
      </c>
      <c r="I3287">
        <f>1</f>
        <v>1</v>
      </c>
    </row>
    <row r="3288" spans="2:9" x14ac:dyDescent="0.25">
      <c r="B3288">
        <v>0</v>
      </c>
      <c r="C3288" s="16" t="s">
        <v>12557</v>
      </c>
      <c r="D3288" s="16"/>
      <c r="E3288">
        <v>6</v>
      </c>
      <c r="F3288" t="s">
        <v>4680</v>
      </c>
      <c r="G3288">
        <v>1</v>
      </c>
      <c r="H3288">
        <v>0</v>
      </c>
      <c r="I3288">
        <f>1</f>
        <v>1</v>
      </c>
    </row>
    <row r="3289" spans="2:9" x14ac:dyDescent="0.25">
      <c r="B3289">
        <v>0</v>
      </c>
      <c r="C3289" s="16" t="s">
        <v>12558</v>
      </c>
      <c r="D3289" s="16"/>
      <c r="E3289">
        <v>6</v>
      </c>
      <c r="F3289" t="s">
        <v>6264</v>
      </c>
      <c r="G3289">
        <v>1</v>
      </c>
      <c r="H3289">
        <v>0</v>
      </c>
      <c r="I3289">
        <f>1</f>
        <v>1</v>
      </c>
    </row>
    <row r="3290" spans="2:9" x14ac:dyDescent="0.25">
      <c r="B3290">
        <v>0</v>
      </c>
      <c r="C3290" s="16" t="s">
        <v>12559</v>
      </c>
      <c r="D3290" s="16"/>
      <c r="E3290">
        <v>6</v>
      </c>
      <c r="F3290" t="s">
        <v>6265</v>
      </c>
      <c r="G3290">
        <v>1</v>
      </c>
      <c r="H3290">
        <v>0</v>
      </c>
      <c r="I3290">
        <f>1</f>
        <v>1</v>
      </c>
    </row>
    <row r="3291" spans="2:9" x14ac:dyDescent="0.25">
      <c r="B3291">
        <v>0</v>
      </c>
      <c r="C3291" s="16" t="s">
        <v>12560</v>
      </c>
      <c r="D3291" s="16"/>
      <c r="E3291">
        <v>6</v>
      </c>
      <c r="F3291" t="s">
        <v>6266</v>
      </c>
      <c r="G3291">
        <v>1</v>
      </c>
      <c r="H3291">
        <v>0</v>
      </c>
      <c r="I3291">
        <f>1</f>
        <v>1</v>
      </c>
    </row>
    <row r="3292" spans="2:9" x14ac:dyDescent="0.25">
      <c r="B3292">
        <v>0</v>
      </c>
      <c r="C3292" s="16" t="s">
        <v>12561</v>
      </c>
      <c r="D3292" s="16"/>
      <c r="E3292">
        <v>6</v>
      </c>
      <c r="F3292" t="s">
        <v>6267</v>
      </c>
      <c r="G3292">
        <v>1</v>
      </c>
      <c r="H3292">
        <v>0</v>
      </c>
      <c r="I3292">
        <f>1</f>
        <v>1</v>
      </c>
    </row>
    <row r="3293" spans="2:9" x14ac:dyDescent="0.25">
      <c r="B3293">
        <v>0</v>
      </c>
      <c r="C3293" s="16" t="s">
        <v>12562</v>
      </c>
      <c r="D3293" s="16"/>
      <c r="E3293">
        <v>6</v>
      </c>
      <c r="F3293" t="s">
        <v>6268</v>
      </c>
      <c r="G3293">
        <v>1</v>
      </c>
      <c r="H3293">
        <v>0</v>
      </c>
      <c r="I3293">
        <f>1</f>
        <v>1</v>
      </c>
    </row>
    <row r="3294" spans="2:9" x14ac:dyDescent="0.25">
      <c r="B3294">
        <v>0</v>
      </c>
      <c r="C3294" s="16" t="s">
        <v>12563</v>
      </c>
      <c r="D3294" s="16"/>
      <c r="E3294">
        <v>6</v>
      </c>
      <c r="F3294" t="s">
        <v>6269</v>
      </c>
      <c r="G3294">
        <v>1</v>
      </c>
      <c r="H3294">
        <v>0</v>
      </c>
      <c r="I3294">
        <f>1</f>
        <v>1</v>
      </c>
    </row>
    <row r="3295" spans="2:9" x14ac:dyDescent="0.25">
      <c r="B3295">
        <v>0</v>
      </c>
      <c r="C3295" s="16" t="s">
        <v>12564</v>
      </c>
      <c r="D3295" s="16"/>
      <c r="E3295">
        <v>6</v>
      </c>
      <c r="F3295" t="s">
        <v>4680</v>
      </c>
      <c r="G3295">
        <v>1</v>
      </c>
      <c r="H3295">
        <v>0</v>
      </c>
      <c r="I3295">
        <f>1</f>
        <v>1</v>
      </c>
    </row>
    <row r="3296" spans="2:9" x14ac:dyDescent="0.25">
      <c r="B3296">
        <v>0</v>
      </c>
      <c r="C3296" s="16" t="s">
        <v>12565</v>
      </c>
      <c r="D3296" s="16"/>
      <c r="E3296">
        <v>6</v>
      </c>
      <c r="F3296" t="s">
        <v>6270</v>
      </c>
      <c r="G3296">
        <v>1</v>
      </c>
      <c r="H3296">
        <v>0</v>
      </c>
      <c r="I3296">
        <f>1</f>
        <v>1</v>
      </c>
    </row>
    <row r="3297" spans="2:9" x14ac:dyDescent="0.25">
      <c r="B3297">
        <v>0</v>
      </c>
      <c r="C3297" s="16" t="s">
        <v>12566</v>
      </c>
      <c r="D3297" s="16"/>
      <c r="E3297">
        <v>6</v>
      </c>
      <c r="F3297" t="s">
        <v>6271</v>
      </c>
      <c r="G3297">
        <v>1</v>
      </c>
      <c r="H3297">
        <v>0</v>
      </c>
      <c r="I3297">
        <f>1</f>
        <v>1</v>
      </c>
    </row>
    <row r="3298" spans="2:9" x14ac:dyDescent="0.25">
      <c r="B3298">
        <v>0</v>
      </c>
      <c r="C3298" s="16" t="s">
        <v>12567</v>
      </c>
      <c r="D3298" s="16"/>
      <c r="E3298">
        <v>6</v>
      </c>
      <c r="F3298" t="s">
        <v>6272</v>
      </c>
      <c r="G3298">
        <v>1</v>
      </c>
      <c r="H3298">
        <v>0</v>
      </c>
      <c r="I3298">
        <f>1</f>
        <v>1</v>
      </c>
    </row>
    <row r="3299" spans="2:9" x14ac:dyDescent="0.25">
      <c r="B3299">
        <v>0</v>
      </c>
      <c r="C3299" s="16" t="s">
        <v>12568</v>
      </c>
      <c r="D3299" s="16"/>
      <c r="E3299">
        <v>6</v>
      </c>
      <c r="F3299" t="s">
        <v>6273</v>
      </c>
      <c r="G3299">
        <v>1</v>
      </c>
      <c r="H3299">
        <v>0</v>
      </c>
      <c r="I3299">
        <f>1</f>
        <v>1</v>
      </c>
    </row>
    <row r="3300" spans="2:9" x14ac:dyDescent="0.25">
      <c r="B3300">
        <v>0</v>
      </c>
      <c r="C3300" s="16" t="s">
        <v>12569</v>
      </c>
      <c r="D3300" s="16"/>
      <c r="E3300">
        <v>6</v>
      </c>
      <c r="F3300" t="s">
        <v>6274</v>
      </c>
      <c r="G3300">
        <v>1</v>
      </c>
      <c r="H3300">
        <v>0</v>
      </c>
      <c r="I3300">
        <f>1</f>
        <v>1</v>
      </c>
    </row>
    <row r="3301" spans="2:9" x14ac:dyDescent="0.25">
      <c r="B3301">
        <v>0</v>
      </c>
      <c r="C3301" s="16" t="s">
        <v>12570</v>
      </c>
      <c r="D3301" s="16"/>
      <c r="E3301">
        <v>6</v>
      </c>
      <c r="F3301" t="s">
        <v>4680</v>
      </c>
      <c r="G3301">
        <v>1</v>
      </c>
      <c r="H3301">
        <v>0</v>
      </c>
      <c r="I3301">
        <f>1</f>
        <v>1</v>
      </c>
    </row>
    <row r="3302" spans="2:9" x14ac:dyDescent="0.25">
      <c r="B3302">
        <v>0</v>
      </c>
      <c r="C3302" s="16" t="s">
        <v>12571</v>
      </c>
      <c r="D3302" s="16"/>
      <c r="E3302">
        <v>6</v>
      </c>
      <c r="F3302" t="s">
        <v>6275</v>
      </c>
      <c r="G3302">
        <v>1</v>
      </c>
      <c r="H3302">
        <v>0</v>
      </c>
      <c r="I3302">
        <f>1</f>
        <v>1</v>
      </c>
    </row>
    <row r="3303" spans="2:9" x14ac:dyDescent="0.25">
      <c r="B3303">
        <v>0</v>
      </c>
      <c r="C3303" s="16" t="s">
        <v>12572</v>
      </c>
      <c r="D3303" s="16"/>
      <c r="E3303">
        <v>6</v>
      </c>
      <c r="F3303" t="s">
        <v>6276</v>
      </c>
      <c r="G3303">
        <v>1</v>
      </c>
      <c r="H3303">
        <v>0</v>
      </c>
      <c r="I3303">
        <f>1</f>
        <v>1</v>
      </c>
    </row>
    <row r="3304" spans="2:9" x14ac:dyDescent="0.25">
      <c r="B3304">
        <v>0</v>
      </c>
      <c r="C3304" s="16" t="s">
        <v>12573</v>
      </c>
      <c r="D3304" s="16"/>
      <c r="E3304">
        <v>6</v>
      </c>
      <c r="F3304" t="s">
        <v>6277</v>
      </c>
      <c r="G3304">
        <v>1</v>
      </c>
      <c r="H3304">
        <v>0</v>
      </c>
      <c r="I3304">
        <f>1</f>
        <v>1</v>
      </c>
    </row>
    <row r="3305" spans="2:9" x14ac:dyDescent="0.25">
      <c r="B3305">
        <v>0</v>
      </c>
      <c r="C3305" s="16" t="s">
        <v>12574</v>
      </c>
      <c r="D3305" s="16"/>
      <c r="E3305">
        <v>6</v>
      </c>
      <c r="F3305" t="s">
        <v>6278</v>
      </c>
      <c r="G3305">
        <v>1</v>
      </c>
      <c r="H3305">
        <v>0</v>
      </c>
      <c r="I3305">
        <f>1</f>
        <v>1</v>
      </c>
    </row>
    <row r="3306" spans="2:9" x14ac:dyDescent="0.25">
      <c r="B3306">
        <v>0</v>
      </c>
      <c r="C3306" s="16" t="s">
        <v>12575</v>
      </c>
      <c r="D3306" s="16"/>
      <c r="E3306">
        <v>6</v>
      </c>
      <c r="F3306" t="s">
        <v>6279</v>
      </c>
      <c r="G3306">
        <v>1</v>
      </c>
      <c r="H3306">
        <v>0</v>
      </c>
      <c r="I3306">
        <f>1</f>
        <v>1</v>
      </c>
    </row>
    <row r="3307" spans="2:9" x14ac:dyDescent="0.25">
      <c r="B3307">
        <v>0</v>
      </c>
      <c r="C3307" s="16" t="s">
        <v>12576</v>
      </c>
      <c r="D3307" s="16"/>
      <c r="E3307">
        <v>6</v>
      </c>
      <c r="F3307" t="s">
        <v>6280</v>
      </c>
      <c r="G3307">
        <v>1</v>
      </c>
      <c r="H3307">
        <v>0</v>
      </c>
      <c r="I3307">
        <f>1</f>
        <v>1</v>
      </c>
    </row>
    <row r="3308" spans="2:9" x14ac:dyDescent="0.25">
      <c r="B3308">
        <v>0</v>
      </c>
      <c r="C3308" s="16" t="s">
        <v>12577</v>
      </c>
      <c r="D3308" s="16"/>
      <c r="E3308">
        <v>6</v>
      </c>
      <c r="F3308" t="s">
        <v>4680</v>
      </c>
      <c r="G3308">
        <v>1</v>
      </c>
      <c r="H3308">
        <v>0</v>
      </c>
      <c r="I3308">
        <f>1</f>
        <v>1</v>
      </c>
    </row>
    <row r="3309" spans="2:9" x14ac:dyDescent="0.25">
      <c r="B3309">
        <v>0</v>
      </c>
      <c r="C3309" s="16" t="s">
        <v>12578</v>
      </c>
      <c r="D3309" s="16"/>
      <c r="E3309">
        <v>6</v>
      </c>
      <c r="F3309" t="s">
        <v>6281</v>
      </c>
      <c r="G3309">
        <v>1</v>
      </c>
      <c r="H3309">
        <v>0</v>
      </c>
      <c r="I3309">
        <f>1</f>
        <v>1</v>
      </c>
    </row>
    <row r="3310" spans="2:9" x14ac:dyDescent="0.25">
      <c r="B3310">
        <v>0</v>
      </c>
      <c r="C3310" s="16" t="s">
        <v>12579</v>
      </c>
      <c r="D3310" s="16"/>
      <c r="E3310">
        <v>6</v>
      </c>
      <c r="F3310" t="s">
        <v>6282</v>
      </c>
      <c r="G3310">
        <v>1</v>
      </c>
      <c r="H3310">
        <v>0</v>
      </c>
      <c r="I3310">
        <f>1</f>
        <v>1</v>
      </c>
    </row>
    <row r="3311" spans="2:9" x14ac:dyDescent="0.25">
      <c r="B3311">
        <v>0</v>
      </c>
      <c r="C3311" s="16" t="s">
        <v>12580</v>
      </c>
      <c r="D3311" s="16"/>
      <c r="E3311">
        <v>6</v>
      </c>
      <c r="F3311" t="s">
        <v>6283</v>
      </c>
      <c r="G3311">
        <v>1</v>
      </c>
      <c r="H3311">
        <v>0</v>
      </c>
      <c r="I3311">
        <f>1</f>
        <v>1</v>
      </c>
    </row>
    <row r="3312" spans="2:9" x14ac:dyDescent="0.25">
      <c r="B3312">
        <v>0</v>
      </c>
      <c r="C3312" s="16" t="s">
        <v>12581</v>
      </c>
      <c r="D3312" s="16"/>
      <c r="E3312">
        <v>6</v>
      </c>
      <c r="F3312" t="s">
        <v>6284</v>
      </c>
      <c r="G3312">
        <v>1</v>
      </c>
      <c r="H3312">
        <v>0</v>
      </c>
      <c r="I3312">
        <f>1</f>
        <v>1</v>
      </c>
    </row>
    <row r="3313" spans="2:9" x14ac:dyDescent="0.25">
      <c r="B3313">
        <v>0</v>
      </c>
      <c r="C3313" s="16" t="s">
        <v>12582</v>
      </c>
      <c r="D3313" s="16"/>
      <c r="E3313">
        <v>6</v>
      </c>
      <c r="F3313" t="s">
        <v>4680</v>
      </c>
      <c r="G3313">
        <v>1</v>
      </c>
      <c r="H3313">
        <v>0</v>
      </c>
      <c r="I3313">
        <f>1</f>
        <v>1</v>
      </c>
    </row>
    <row r="3314" spans="2:9" x14ac:dyDescent="0.25">
      <c r="B3314">
        <v>0</v>
      </c>
      <c r="C3314" s="16" t="s">
        <v>12583</v>
      </c>
      <c r="D3314" s="16"/>
      <c r="E3314">
        <v>6</v>
      </c>
      <c r="F3314" t="s">
        <v>6285</v>
      </c>
      <c r="G3314">
        <v>1</v>
      </c>
      <c r="H3314">
        <v>0</v>
      </c>
      <c r="I3314">
        <f>1</f>
        <v>1</v>
      </c>
    </row>
    <row r="3315" spans="2:9" x14ac:dyDescent="0.25">
      <c r="B3315">
        <v>0</v>
      </c>
      <c r="C3315" s="16" t="s">
        <v>12584</v>
      </c>
      <c r="D3315" s="16"/>
      <c r="E3315">
        <v>6</v>
      </c>
      <c r="F3315" t="s">
        <v>4680</v>
      </c>
      <c r="G3315">
        <v>1</v>
      </c>
      <c r="H3315">
        <v>0</v>
      </c>
      <c r="I3315">
        <f>1</f>
        <v>1</v>
      </c>
    </row>
    <row r="3316" spans="2:9" x14ac:dyDescent="0.25">
      <c r="B3316">
        <v>0</v>
      </c>
      <c r="C3316" s="16" t="s">
        <v>12585</v>
      </c>
      <c r="D3316" s="16"/>
      <c r="E3316">
        <v>6</v>
      </c>
      <c r="F3316" t="s">
        <v>2482</v>
      </c>
      <c r="G3316">
        <v>1</v>
      </c>
      <c r="H3316">
        <v>0</v>
      </c>
      <c r="I3316">
        <f>1</f>
        <v>1</v>
      </c>
    </row>
    <row r="3317" spans="2:9" x14ac:dyDescent="0.25">
      <c r="B3317">
        <v>0</v>
      </c>
      <c r="C3317" s="16" t="s">
        <v>12586</v>
      </c>
      <c r="D3317" s="16"/>
      <c r="E3317">
        <v>6</v>
      </c>
      <c r="F3317" t="s">
        <v>6286</v>
      </c>
      <c r="G3317">
        <v>1</v>
      </c>
      <c r="H3317">
        <v>0</v>
      </c>
      <c r="I3317">
        <f>1</f>
        <v>1</v>
      </c>
    </row>
    <row r="3318" spans="2:9" x14ac:dyDescent="0.25">
      <c r="B3318">
        <v>0</v>
      </c>
      <c r="C3318" s="16" t="s">
        <v>12587</v>
      </c>
      <c r="D3318" s="16"/>
      <c r="E3318">
        <v>6</v>
      </c>
      <c r="F3318" t="s">
        <v>6287</v>
      </c>
      <c r="G3318">
        <v>1</v>
      </c>
      <c r="H3318">
        <v>0</v>
      </c>
      <c r="I3318">
        <f>1</f>
        <v>1</v>
      </c>
    </row>
    <row r="3319" spans="2:9" x14ac:dyDescent="0.25">
      <c r="B3319">
        <v>0</v>
      </c>
      <c r="C3319" s="16" t="s">
        <v>12588</v>
      </c>
      <c r="D3319" s="16"/>
      <c r="E3319">
        <v>6</v>
      </c>
      <c r="F3319" t="s">
        <v>4680</v>
      </c>
      <c r="G3319">
        <v>1</v>
      </c>
      <c r="H3319">
        <v>0</v>
      </c>
      <c r="I3319">
        <f>1</f>
        <v>1</v>
      </c>
    </row>
    <row r="3320" spans="2:9" x14ac:dyDescent="0.25">
      <c r="B3320">
        <v>0</v>
      </c>
      <c r="C3320" s="16" t="s">
        <v>12589</v>
      </c>
      <c r="D3320" s="16"/>
      <c r="E3320">
        <v>6</v>
      </c>
      <c r="F3320" t="s">
        <v>6288</v>
      </c>
      <c r="G3320">
        <v>1</v>
      </c>
      <c r="H3320">
        <v>0</v>
      </c>
      <c r="I3320">
        <f>1</f>
        <v>1</v>
      </c>
    </row>
    <row r="3321" spans="2:9" x14ac:dyDescent="0.25">
      <c r="B3321">
        <v>0</v>
      </c>
      <c r="C3321" s="16" t="s">
        <v>12590</v>
      </c>
      <c r="D3321" s="16"/>
      <c r="E3321">
        <v>6</v>
      </c>
      <c r="F3321" t="s">
        <v>6289</v>
      </c>
      <c r="G3321">
        <v>1</v>
      </c>
      <c r="H3321">
        <v>0</v>
      </c>
      <c r="I3321">
        <f>1</f>
        <v>1</v>
      </c>
    </row>
    <row r="3322" spans="2:9" x14ac:dyDescent="0.25">
      <c r="B3322">
        <v>0</v>
      </c>
      <c r="C3322" s="16" t="s">
        <v>12591</v>
      </c>
      <c r="D3322" s="16"/>
      <c r="E3322">
        <v>6</v>
      </c>
      <c r="F3322" t="s">
        <v>6290</v>
      </c>
      <c r="G3322">
        <v>1</v>
      </c>
      <c r="H3322">
        <v>0</v>
      </c>
      <c r="I3322">
        <f>1</f>
        <v>1</v>
      </c>
    </row>
    <row r="3323" spans="2:9" x14ac:dyDescent="0.25">
      <c r="B3323">
        <v>0</v>
      </c>
      <c r="C3323" s="16" t="s">
        <v>12592</v>
      </c>
      <c r="D3323" s="16"/>
      <c r="E3323">
        <v>6</v>
      </c>
      <c r="F3323" t="s">
        <v>6291</v>
      </c>
      <c r="G3323">
        <v>1</v>
      </c>
      <c r="H3323">
        <v>0</v>
      </c>
      <c r="I3323">
        <f>1</f>
        <v>1</v>
      </c>
    </row>
    <row r="3324" spans="2:9" x14ac:dyDescent="0.25">
      <c r="B3324">
        <v>0</v>
      </c>
      <c r="C3324" s="16" t="s">
        <v>12593</v>
      </c>
      <c r="D3324" s="16"/>
      <c r="E3324">
        <v>6</v>
      </c>
      <c r="F3324" t="s">
        <v>6292</v>
      </c>
      <c r="G3324">
        <v>1</v>
      </c>
      <c r="H3324">
        <v>0</v>
      </c>
      <c r="I3324">
        <f>1</f>
        <v>1</v>
      </c>
    </row>
    <row r="3325" spans="2:9" x14ac:dyDescent="0.25">
      <c r="B3325">
        <v>0</v>
      </c>
      <c r="C3325" s="16" t="s">
        <v>12594</v>
      </c>
      <c r="D3325" s="16"/>
      <c r="E3325">
        <v>6</v>
      </c>
      <c r="F3325" t="s">
        <v>4690</v>
      </c>
      <c r="G3325">
        <v>1</v>
      </c>
      <c r="H3325">
        <v>0</v>
      </c>
      <c r="I3325">
        <f>1</f>
        <v>1</v>
      </c>
    </row>
    <row r="3326" spans="2:9" x14ac:dyDescent="0.25">
      <c r="B3326">
        <v>0</v>
      </c>
      <c r="C3326" s="16" t="s">
        <v>12595</v>
      </c>
      <c r="D3326" s="16"/>
      <c r="E3326">
        <v>6</v>
      </c>
      <c r="F3326" t="s">
        <v>6293</v>
      </c>
      <c r="G3326">
        <v>1</v>
      </c>
      <c r="H3326">
        <v>0</v>
      </c>
      <c r="I3326">
        <f>1</f>
        <v>1</v>
      </c>
    </row>
    <row r="3327" spans="2:9" x14ac:dyDescent="0.25">
      <c r="B3327">
        <v>0</v>
      </c>
      <c r="C3327" s="16" t="s">
        <v>12596</v>
      </c>
      <c r="D3327" s="16"/>
      <c r="E3327">
        <v>6</v>
      </c>
      <c r="F3327" t="s">
        <v>6294</v>
      </c>
      <c r="G3327">
        <v>1</v>
      </c>
      <c r="H3327">
        <v>0</v>
      </c>
      <c r="I3327">
        <f>1</f>
        <v>1</v>
      </c>
    </row>
    <row r="3328" spans="2:9" x14ac:dyDescent="0.25">
      <c r="B3328">
        <v>0</v>
      </c>
      <c r="C3328" s="16" t="s">
        <v>12597</v>
      </c>
      <c r="D3328" s="16"/>
      <c r="E3328">
        <v>6</v>
      </c>
      <c r="F3328" t="s">
        <v>6295</v>
      </c>
      <c r="G3328">
        <v>1</v>
      </c>
      <c r="H3328">
        <v>0</v>
      </c>
      <c r="I3328">
        <f>1</f>
        <v>1</v>
      </c>
    </row>
    <row r="3329" spans="2:9" x14ac:dyDescent="0.25">
      <c r="B3329">
        <v>0</v>
      </c>
      <c r="C3329" s="16" t="s">
        <v>12598</v>
      </c>
      <c r="D3329" s="16"/>
      <c r="E3329">
        <v>6</v>
      </c>
      <c r="F3329" t="s">
        <v>6296</v>
      </c>
      <c r="G3329">
        <v>1</v>
      </c>
      <c r="H3329">
        <v>0</v>
      </c>
      <c r="I3329">
        <f>1</f>
        <v>1</v>
      </c>
    </row>
    <row r="3330" spans="2:9" x14ac:dyDescent="0.25">
      <c r="B3330">
        <v>0</v>
      </c>
      <c r="C3330" s="16" t="s">
        <v>12599</v>
      </c>
      <c r="D3330" s="16"/>
      <c r="E3330">
        <v>6</v>
      </c>
      <c r="F3330" t="s">
        <v>6297</v>
      </c>
      <c r="G3330">
        <v>1</v>
      </c>
      <c r="H3330">
        <v>0</v>
      </c>
      <c r="I3330">
        <f>1</f>
        <v>1</v>
      </c>
    </row>
    <row r="3331" spans="2:9" x14ac:dyDescent="0.25">
      <c r="B3331">
        <v>0</v>
      </c>
      <c r="C3331" s="16" t="s">
        <v>12600</v>
      </c>
      <c r="D3331" s="16"/>
      <c r="E3331">
        <v>6</v>
      </c>
      <c r="F3331" t="s">
        <v>4690</v>
      </c>
      <c r="G3331">
        <v>1</v>
      </c>
      <c r="H3331">
        <v>0</v>
      </c>
      <c r="I3331">
        <f>1</f>
        <v>1</v>
      </c>
    </row>
    <row r="3332" spans="2:9" x14ac:dyDescent="0.25">
      <c r="B3332">
        <v>0</v>
      </c>
      <c r="C3332" s="16" t="s">
        <v>12601</v>
      </c>
      <c r="D3332" s="16"/>
      <c r="E3332">
        <v>6</v>
      </c>
      <c r="F3332" t="s">
        <v>6298</v>
      </c>
      <c r="G3332">
        <v>1</v>
      </c>
      <c r="H3332">
        <v>0</v>
      </c>
      <c r="I3332">
        <f>1</f>
        <v>1</v>
      </c>
    </row>
    <row r="3333" spans="2:9" x14ac:dyDescent="0.25">
      <c r="B3333">
        <v>0</v>
      </c>
      <c r="C3333" s="16" t="s">
        <v>12602</v>
      </c>
      <c r="D3333" s="16"/>
      <c r="E3333">
        <v>6</v>
      </c>
      <c r="F3333" t="s">
        <v>6299</v>
      </c>
      <c r="G3333">
        <v>1</v>
      </c>
      <c r="H3333">
        <v>0</v>
      </c>
      <c r="I3333">
        <f>1</f>
        <v>1</v>
      </c>
    </row>
    <row r="3334" spans="2:9" x14ac:dyDescent="0.25">
      <c r="B3334">
        <v>0</v>
      </c>
      <c r="C3334" s="16" t="s">
        <v>12603</v>
      </c>
      <c r="D3334" s="16"/>
      <c r="E3334">
        <v>6</v>
      </c>
      <c r="F3334" t="s">
        <v>6300</v>
      </c>
      <c r="G3334">
        <v>1</v>
      </c>
      <c r="H3334">
        <v>0</v>
      </c>
      <c r="I3334">
        <f>1</f>
        <v>1</v>
      </c>
    </row>
    <row r="3335" spans="2:9" x14ac:dyDescent="0.25">
      <c r="B3335">
        <v>0</v>
      </c>
      <c r="C3335" s="16" t="s">
        <v>12604</v>
      </c>
      <c r="D3335" s="16"/>
      <c r="E3335">
        <v>6</v>
      </c>
      <c r="F3335" t="s">
        <v>6301</v>
      </c>
      <c r="G3335">
        <v>1</v>
      </c>
      <c r="H3335">
        <v>0</v>
      </c>
      <c r="I3335">
        <f>1</f>
        <v>1</v>
      </c>
    </row>
    <row r="3336" spans="2:9" x14ac:dyDescent="0.25">
      <c r="B3336">
        <v>0</v>
      </c>
      <c r="C3336" s="16" t="s">
        <v>12605</v>
      </c>
      <c r="D3336" s="16"/>
      <c r="E3336">
        <v>6</v>
      </c>
      <c r="F3336" t="s">
        <v>6302</v>
      </c>
      <c r="G3336">
        <v>1</v>
      </c>
      <c r="H3336">
        <v>0</v>
      </c>
      <c r="I3336">
        <f>1</f>
        <v>1</v>
      </c>
    </row>
    <row r="3337" spans="2:9" x14ac:dyDescent="0.25">
      <c r="B3337">
        <v>0</v>
      </c>
      <c r="C3337" s="16" t="s">
        <v>12606</v>
      </c>
      <c r="D3337" s="16"/>
      <c r="E3337">
        <v>6</v>
      </c>
      <c r="F3337" t="s">
        <v>6303</v>
      </c>
      <c r="G3337">
        <v>1</v>
      </c>
      <c r="H3337">
        <v>0</v>
      </c>
      <c r="I3337">
        <f>1</f>
        <v>1</v>
      </c>
    </row>
    <row r="3338" spans="2:9" x14ac:dyDescent="0.25">
      <c r="B3338">
        <v>0</v>
      </c>
      <c r="C3338" s="16" t="s">
        <v>12607</v>
      </c>
      <c r="D3338" s="16"/>
      <c r="E3338">
        <v>6</v>
      </c>
      <c r="F3338" t="s">
        <v>6304</v>
      </c>
      <c r="G3338">
        <v>1</v>
      </c>
      <c r="H3338">
        <v>0</v>
      </c>
      <c r="I3338">
        <f>1</f>
        <v>1</v>
      </c>
    </row>
    <row r="3339" spans="2:9" x14ac:dyDescent="0.25">
      <c r="B3339">
        <v>0</v>
      </c>
      <c r="C3339" s="16" t="s">
        <v>12608</v>
      </c>
      <c r="D3339" s="16"/>
      <c r="E3339">
        <v>6</v>
      </c>
      <c r="F3339" t="s">
        <v>4690</v>
      </c>
      <c r="G3339">
        <v>1</v>
      </c>
      <c r="H3339">
        <v>0</v>
      </c>
      <c r="I3339">
        <f>1</f>
        <v>1</v>
      </c>
    </row>
    <row r="3340" spans="2:9" x14ac:dyDescent="0.25">
      <c r="B3340">
        <v>0</v>
      </c>
      <c r="C3340" s="16" t="s">
        <v>12609</v>
      </c>
      <c r="D3340" s="16"/>
      <c r="E3340">
        <v>6</v>
      </c>
      <c r="F3340" t="s">
        <v>6305</v>
      </c>
      <c r="G3340">
        <v>1</v>
      </c>
      <c r="H3340">
        <v>0</v>
      </c>
      <c r="I3340">
        <f>1</f>
        <v>1</v>
      </c>
    </row>
    <row r="3341" spans="2:9" x14ac:dyDescent="0.25">
      <c r="B3341">
        <v>0</v>
      </c>
      <c r="C3341" s="16" t="s">
        <v>12610</v>
      </c>
      <c r="D3341" s="16"/>
      <c r="E3341">
        <v>6</v>
      </c>
      <c r="F3341" t="s">
        <v>6306</v>
      </c>
      <c r="G3341">
        <v>1</v>
      </c>
      <c r="H3341">
        <v>0</v>
      </c>
      <c r="I3341">
        <f>1</f>
        <v>1</v>
      </c>
    </row>
    <row r="3342" spans="2:9" x14ac:dyDescent="0.25">
      <c r="B3342">
        <v>0</v>
      </c>
      <c r="C3342" s="16" t="s">
        <v>12611</v>
      </c>
      <c r="D3342" s="16"/>
      <c r="E3342">
        <v>6</v>
      </c>
      <c r="F3342" t="s">
        <v>6307</v>
      </c>
      <c r="G3342">
        <v>1</v>
      </c>
      <c r="H3342">
        <v>0</v>
      </c>
      <c r="I3342">
        <f>1</f>
        <v>1</v>
      </c>
    </row>
    <row r="3343" spans="2:9" x14ac:dyDescent="0.25">
      <c r="B3343">
        <v>0</v>
      </c>
      <c r="C3343" s="16" t="s">
        <v>12612</v>
      </c>
      <c r="D3343" s="16"/>
      <c r="E3343">
        <v>6</v>
      </c>
      <c r="F3343" t="s">
        <v>4680</v>
      </c>
      <c r="G3343">
        <v>1</v>
      </c>
      <c r="H3343">
        <v>0</v>
      </c>
      <c r="I3343">
        <f>1</f>
        <v>1</v>
      </c>
    </row>
    <row r="3344" spans="2:9" x14ac:dyDescent="0.25">
      <c r="B3344">
        <v>0</v>
      </c>
      <c r="C3344" s="16" t="s">
        <v>12613</v>
      </c>
      <c r="D3344" s="16"/>
      <c r="E3344">
        <v>6</v>
      </c>
      <c r="F3344" t="s">
        <v>4680</v>
      </c>
      <c r="G3344">
        <v>1</v>
      </c>
      <c r="H3344">
        <v>0</v>
      </c>
      <c r="I3344">
        <f>1</f>
        <v>1</v>
      </c>
    </row>
    <row r="3345" spans="2:9" x14ac:dyDescent="0.25">
      <c r="B3345">
        <v>0</v>
      </c>
      <c r="C3345" s="16" t="s">
        <v>12614</v>
      </c>
      <c r="D3345" s="16"/>
      <c r="E3345">
        <v>6</v>
      </c>
      <c r="F3345" t="s">
        <v>6308</v>
      </c>
      <c r="G3345">
        <v>1</v>
      </c>
      <c r="H3345">
        <v>0</v>
      </c>
      <c r="I3345">
        <f>1</f>
        <v>1</v>
      </c>
    </row>
    <row r="3346" spans="2:9" x14ac:dyDescent="0.25">
      <c r="B3346">
        <v>0</v>
      </c>
      <c r="C3346" s="16" t="s">
        <v>12615</v>
      </c>
      <c r="D3346" s="16"/>
      <c r="E3346">
        <v>6</v>
      </c>
      <c r="F3346" t="s">
        <v>6309</v>
      </c>
      <c r="G3346">
        <v>1</v>
      </c>
      <c r="H3346">
        <v>0</v>
      </c>
      <c r="I3346">
        <f>1</f>
        <v>1</v>
      </c>
    </row>
    <row r="3347" spans="2:9" x14ac:dyDescent="0.25">
      <c r="B3347">
        <v>0</v>
      </c>
      <c r="C3347" s="16" t="s">
        <v>12616</v>
      </c>
      <c r="D3347" s="16"/>
      <c r="E3347">
        <v>6</v>
      </c>
      <c r="F3347" t="s">
        <v>4680</v>
      </c>
      <c r="G3347">
        <v>1</v>
      </c>
      <c r="H3347">
        <v>0</v>
      </c>
      <c r="I3347">
        <f>1</f>
        <v>1</v>
      </c>
    </row>
    <row r="3348" spans="2:9" x14ac:dyDescent="0.25">
      <c r="B3348">
        <v>0</v>
      </c>
      <c r="C3348" s="16" t="s">
        <v>12617</v>
      </c>
      <c r="D3348" s="16"/>
      <c r="E3348">
        <v>6</v>
      </c>
      <c r="F3348" t="s">
        <v>6310</v>
      </c>
      <c r="G3348">
        <v>1</v>
      </c>
      <c r="H3348">
        <v>0</v>
      </c>
      <c r="I3348">
        <f>1</f>
        <v>1</v>
      </c>
    </row>
    <row r="3349" spans="2:9" x14ac:dyDescent="0.25">
      <c r="B3349">
        <v>0</v>
      </c>
      <c r="C3349" s="16" t="s">
        <v>12618</v>
      </c>
      <c r="D3349" s="16"/>
      <c r="E3349">
        <v>6</v>
      </c>
      <c r="F3349" t="s">
        <v>6311</v>
      </c>
      <c r="G3349">
        <v>1</v>
      </c>
      <c r="H3349">
        <v>0</v>
      </c>
      <c r="I3349">
        <f>1</f>
        <v>1</v>
      </c>
    </row>
    <row r="3350" spans="2:9" x14ac:dyDescent="0.25">
      <c r="B3350">
        <v>0</v>
      </c>
      <c r="C3350" s="16" t="s">
        <v>12619</v>
      </c>
      <c r="D3350" s="16"/>
      <c r="E3350">
        <v>6</v>
      </c>
      <c r="F3350" t="s">
        <v>4680</v>
      </c>
      <c r="G3350">
        <v>1</v>
      </c>
      <c r="H3350">
        <v>0</v>
      </c>
      <c r="I3350">
        <f>1</f>
        <v>1</v>
      </c>
    </row>
    <row r="3351" spans="2:9" x14ac:dyDescent="0.25">
      <c r="B3351">
        <v>0</v>
      </c>
      <c r="C3351" s="16" t="s">
        <v>12620</v>
      </c>
      <c r="D3351" s="16"/>
      <c r="E3351">
        <v>6</v>
      </c>
      <c r="F3351" t="s">
        <v>6312</v>
      </c>
      <c r="G3351">
        <v>1</v>
      </c>
      <c r="H3351">
        <v>0</v>
      </c>
      <c r="I3351">
        <f>1</f>
        <v>1</v>
      </c>
    </row>
    <row r="3352" spans="2:9" x14ac:dyDescent="0.25">
      <c r="B3352">
        <v>0</v>
      </c>
      <c r="C3352" s="16" t="s">
        <v>12621</v>
      </c>
      <c r="D3352" s="16"/>
      <c r="E3352">
        <v>6</v>
      </c>
      <c r="F3352" t="s">
        <v>4680</v>
      </c>
      <c r="G3352">
        <v>1</v>
      </c>
      <c r="H3352">
        <v>0</v>
      </c>
      <c r="I3352">
        <f>1</f>
        <v>1</v>
      </c>
    </row>
    <row r="3353" spans="2:9" x14ac:dyDescent="0.25">
      <c r="B3353">
        <v>0</v>
      </c>
      <c r="C3353" s="16" t="s">
        <v>12622</v>
      </c>
      <c r="D3353" s="16"/>
      <c r="E3353">
        <v>6</v>
      </c>
      <c r="F3353" t="s">
        <v>6313</v>
      </c>
      <c r="G3353">
        <v>1</v>
      </c>
      <c r="H3353">
        <v>0</v>
      </c>
      <c r="I3353">
        <f>1</f>
        <v>1</v>
      </c>
    </row>
    <row r="3354" spans="2:9" x14ac:dyDescent="0.25">
      <c r="B3354">
        <v>0</v>
      </c>
      <c r="C3354" s="16" t="s">
        <v>12623</v>
      </c>
      <c r="D3354" s="16"/>
      <c r="E3354">
        <v>6</v>
      </c>
      <c r="F3354" t="s">
        <v>6314</v>
      </c>
      <c r="G3354">
        <v>1</v>
      </c>
      <c r="H3354">
        <v>0</v>
      </c>
      <c r="I3354">
        <f>1</f>
        <v>1</v>
      </c>
    </row>
    <row r="3355" spans="2:9" x14ac:dyDescent="0.25">
      <c r="B3355">
        <v>0</v>
      </c>
      <c r="C3355" s="16" t="s">
        <v>12624</v>
      </c>
      <c r="D3355" s="16"/>
      <c r="E3355">
        <v>6</v>
      </c>
      <c r="F3355" t="s">
        <v>4680</v>
      </c>
      <c r="G3355">
        <v>1</v>
      </c>
      <c r="H3355">
        <v>0</v>
      </c>
      <c r="I3355">
        <f>1</f>
        <v>1</v>
      </c>
    </row>
    <row r="3356" spans="2:9" x14ac:dyDescent="0.25">
      <c r="B3356">
        <v>0</v>
      </c>
      <c r="C3356" s="16" t="s">
        <v>12625</v>
      </c>
      <c r="D3356" s="16"/>
      <c r="E3356">
        <v>6</v>
      </c>
      <c r="F3356" t="s">
        <v>6315</v>
      </c>
      <c r="G3356">
        <v>1</v>
      </c>
      <c r="H3356">
        <v>0</v>
      </c>
      <c r="I3356">
        <f>1</f>
        <v>1</v>
      </c>
    </row>
    <row r="3357" spans="2:9" x14ac:dyDescent="0.25">
      <c r="B3357">
        <v>0</v>
      </c>
      <c r="C3357" s="16" t="s">
        <v>12626</v>
      </c>
      <c r="D3357" s="16"/>
      <c r="E3357">
        <v>6</v>
      </c>
      <c r="F3357" t="s">
        <v>6316</v>
      </c>
      <c r="G3357">
        <v>1</v>
      </c>
      <c r="H3357">
        <v>0</v>
      </c>
      <c r="I3357">
        <f>1</f>
        <v>1</v>
      </c>
    </row>
    <row r="3358" spans="2:9" x14ac:dyDescent="0.25">
      <c r="B3358">
        <v>0</v>
      </c>
      <c r="C3358" s="16" t="s">
        <v>12627</v>
      </c>
      <c r="D3358" s="16"/>
      <c r="E3358">
        <v>6</v>
      </c>
      <c r="F3358" t="s">
        <v>6317</v>
      </c>
      <c r="G3358">
        <v>1</v>
      </c>
      <c r="H3358">
        <v>0</v>
      </c>
      <c r="I3358">
        <f>1</f>
        <v>1</v>
      </c>
    </row>
    <row r="3359" spans="2:9" x14ac:dyDescent="0.25">
      <c r="B3359">
        <v>0</v>
      </c>
      <c r="C3359" s="16" t="s">
        <v>12628</v>
      </c>
      <c r="D3359" s="16"/>
      <c r="E3359">
        <v>6</v>
      </c>
      <c r="F3359" t="s">
        <v>4680</v>
      </c>
      <c r="G3359">
        <v>1</v>
      </c>
      <c r="H3359">
        <v>0</v>
      </c>
      <c r="I3359">
        <f>1</f>
        <v>1</v>
      </c>
    </row>
    <row r="3360" spans="2:9" x14ac:dyDescent="0.25">
      <c r="B3360">
        <v>0</v>
      </c>
      <c r="C3360" s="16" t="s">
        <v>12629</v>
      </c>
      <c r="D3360" s="16"/>
      <c r="E3360">
        <v>6</v>
      </c>
      <c r="F3360" t="s">
        <v>6318</v>
      </c>
      <c r="G3360">
        <v>1</v>
      </c>
      <c r="H3360">
        <v>0</v>
      </c>
      <c r="I3360">
        <f>1</f>
        <v>1</v>
      </c>
    </row>
    <row r="3361" spans="2:9" x14ac:dyDescent="0.25">
      <c r="B3361">
        <v>0</v>
      </c>
      <c r="C3361" s="16" t="s">
        <v>12630</v>
      </c>
      <c r="D3361" s="16"/>
      <c r="E3361">
        <v>6</v>
      </c>
      <c r="F3361" t="s">
        <v>6319</v>
      </c>
      <c r="G3361">
        <v>1</v>
      </c>
      <c r="H3361">
        <v>0</v>
      </c>
      <c r="I3361">
        <f>1</f>
        <v>1</v>
      </c>
    </row>
    <row r="3362" spans="2:9" x14ac:dyDescent="0.25">
      <c r="B3362">
        <v>0</v>
      </c>
      <c r="C3362" s="16" t="s">
        <v>12631</v>
      </c>
      <c r="D3362" s="16"/>
      <c r="E3362">
        <v>6</v>
      </c>
      <c r="F3362" t="s">
        <v>4680</v>
      </c>
      <c r="G3362">
        <v>1</v>
      </c>
      <c r="H3362">
        <v>0</v>
      </c>
      <c r="I3362">
        <f>1</f>
        <v>1</v>
      </c>
    </row>
    <row r="3363" spans="2:9" x14ac:dyDescent="0.25">
      <c r="B3363">
        <v>0</v>
      </c>
      <c r="C3363" s="16" t="s">
        <v>12632</v>
      </c>
      <c r="D3363" s="16"/>
      <c r="E3363">
        <v>6</v>
      </c>
      <c r="F3363" t="s">
        <v>6320</v>
      </c>
      <c r="G3363">
        <v>1</v>
      </c>
      <c r="H3363">
        <v>0</v>
      </c>
      <c r="I3363">
        <f>1</f>
        <v>1</v>
      </c>
    </row>
    <row r="3364" spans="2:9" x14ac:dyDescent="0.25">
      <c r="B3364">
        <v>0</v>
      </c>
      <c r="C3364" s="16" t="s">
        <v>12633</v>
      </c>
      <c r="D3364" s="16"/>
      <c r="E3364">
        <v>6</v>
      </c>
      <c r="F3364" t="s">
        <v>6321</v>
      </c>
      <c r="G3364">
        <v>1</v>
      </c>
      <c r="H3364">
        <v>0</v>
      </c>
      <c r="I3364">
        <f>1</f>
        <v>1</v>
      </c>
    </row>
    <row r="3365" spans="2:9" x14ac:dyDescent="0.25">
      <c r="B3365">
        <v>0</v>
      </c>
      <c r="C3365" s="16" t="s">
        <v>12634</v>
      </c>
      <c r="D3365" s="16"/>
      <c r="E3365">
        <v>6</v>
      </c>
      <c r="F3365" t="s">
        <v>4680</v>
      </c>
      <c r="G3365">
        <v>1</v>
      </c>
      <c r="H3365">
        <v>0</v>
      </c>
      <c r="I3365">
        <f>1</f>
        <v>1</v>
      </c>
    </row>
    <row r="3366" spans="2:9" x14ac:dyDescent="0.25">
      <c r="B3366">
        <v>0</v>
      </c>
      <c r="C3366" s="16" t="s">
        <v>12635</v>
      </c>
      <c r="D3366" s="16"/>
      <c r="E3366">
        <v>6</v>
      </c>
      <c r="F3366" t="s">
        <v>4680</v>
      </c>
      <c r="G3366">
        <v>1</v>
      </c>
      <c r="H3366">
        <v>0</v>
      </c>
      <c r="I3366">
        <f>1</f>
        <v>1</v>
      </c>
    </row>
    <row r="3367" spans="2:9" x14ac:dyDescent="0.25">
      <c r="B3367">
        <v>0</v>
      </c>
      <c r="C3367" s="16" t="s">
        <v>12636</v>
      </c>
      <c r="D3367" s="16"/>
      <c r="E3367">
        <v>6</v>
      </c>
      <c r="F3367" t="s">
        <v>6322</v>
      </c>
      <c r="G3367">
        <v>1</v>
      </c>
      <c r="H3367">
        <v>0</v>
      </c>
      <c r="I3367">
        <f>1</f>
        <v>1</v>
      </c>
    </row>
    <row r="3368" spans="2:9" x14ac:dyDescent="0.25">
      <c r="B3368">
        <v>0</v>
      </c>
      <c r="C3368" s="16" t="s">
        <v>12637</v>
      </c>
      <c r="D3368" s="16"/>
      <c r="E3368">
        <v>6</v>
      </c>
      <c r="F3368" t="s">
        <v>4680</v>
      </c>
      <c r="G3368">
        <v>1</v>
      </c>
      <c r="H3368">
        <v>0</v>
      </c>
      <c r="I3368">
        <f>1</f>
        <v>1</v>
      </c>
    </row>
    <row r="3369" spans="2:9" x14ac:dyDescent="0.25">
      <c r="B3369">
        <v>0</v>
      </c>
      <c r="C3369" s="16" t="s">
        <v>12638</v>
      </c>
      <c r="D3369" s="16"/>
      <c r="E3369">
        <v>6</v>
      </c>
      <c r="F3369" t="s">
        <v>6323</v>
      </c>
      <c r="G3369">
        <v>1</v>
      </c>
      <c r="H3369">
        <v>0</v>
      </c>
      <c r="I3369">
        <f>1</f>
        <v>1</v>
      </c>
    </row>
    <row r="3370" spans="2:9" x14ac:dyDescent="0.25">
      <c r="B3370">
        <v>0</v>
      </c>
      <c r="C3370" s="16" t="s">
        <v>12639</v>
      </c>
      <c r="D3370" s="16"/>
      <c r="E3370">
        <v>6</v>
      </c>
      <c r="F3370" t="s">
        <v>4680</v>
      </c>
      <c r="G3370">
        <v>1</v>
      </c>
      <c r="H3370">
        <v>0</v>
      </c>
      <c r="I3370">
        <f>1</f>
        <v>1</v>
      </c>
    </row>
    <row r="3371" spans="2:9" x14ac:dyDescent="0.25">
      <c r="B3371">
        <v>0</v>
      </c>
      <c r="C3371" s="16" t="s">
        <v>12640</v>
      </c>
      <c r="D3371" s="16"/>
      <c r="E3371">
        <v>6</v>
      </c>
      <c r="F3371" t="s">
        <v>6324</v>
      </c>
      <c r="G3371">
        <v>1</v>
      </c>
      <c r="H3371">
        <v>0</v>
      </c>
      <c r="I3371">
        <f>1</f>
        <v>1</v>
      </c>
    </row>
    <row r="3372" spans="2:9" x14ac:dyDescent="0.25">
      <c r="B3372">
        <v>0</v>
      </c>
      <c r="C3372" s="16" t="s">
        <v>12641</v>
      </c>
      <c r="D3372" s="16"/>
      <c r="E3372">
        <v>6</v>
      </c>
      <c r="F3372" t="s">
        <v>4680</v>
      </c>
      <c r="G3372">
        <v>1</v>
      </c>
      <c r="H3372">
        <v>0</v>
      </c>
      <c r="I3372">
        <f>1</f>
        <v>1</v>
      </c>
    </row>
    <row r="3373" spans="2:9" x14ac:dyDescent="0.25">
      <c r="B3373">
        <v>0</v>
      </c>
      <c r="C3373" s="16" t="s">
        <v>12642</v>
      </c>
      <c r="D3373" s="16"/>
      <c r="E3373">
        <v>6</v>
      </c>
      <c r="F3373" t="s">
        <v>6325</v>
      </c>
      <c r="G3373">
        <v>1</v>
      </c>
      <c r="H3373">
        <v>0</v>
      </c>
      <c r="I3373">
        <f>1</f>
        <v>1</v>
      </c>
    </row>
    <row r="3374" spans="2:9" x14ac:dyDescent="0.25">
      <c r="B3374">
        <v>0</v>
      </c>
      <c r="C3374" s="16" t="s">
        <v>12643</v>
      </c>
      <c r="D3374" s="16"/>
      <c r="E3374">
        <v>6</v>
      </c>
      <c r="F3374" t="s">
        <v>6326</v>
      </c>
      <c r="G3374">
        <v>1</v>
      </c>
      <c r="H3374">
        <v>0</v>
      </c>
      <c r="I3374">
        <f>1</f>
        <v>1</v>
      </c>
    </row>
    <row r="3375" spans="2:9" x14ac:dyDescent="0.25">
      <c r="B3375">
        <v>0</v>
      </c>
      <c r="C3375" s="16" t="s">
        <v>12644</v>
      </c>
      <c r="D3375" s="16"/>
      <c r="E3375">
        <v>6</v>
      </c>
      <c r="F3375" t="s">
        <v>6327</v>
      </c>
      <c r="G3375">
        <v>1</v>
      </c>
      <c r="H3375">
        <v>0</v>
      </c>
      <c r="I3375">
        <f>1</f>
        <v>1</v>
      </c>
    </row>
    <row r="3376" spans="2:9" x14ac:dyDescent="0.25">
      <c r="B3376">
        <v>0</v>
      </c>
      <c r="C3376" s="16" t="s">
        <v>12645</v>
      </c>
      <c r="D3376" s="16"/>
      <c r="E3376">
        <v>6</v>
      </c>
      <c r="F3376" t="s">
        <v>6328</v>
      </c>
      <c r="G3376">
        <v>1</v>
      </c>
      <c r="H3376">
        <v>0</v>
      </c>
      <c r="I3376">
        <f>1</f>
        <v>1</v>
      </c>
    </row>
    <row r="3377" spans="2:9" x14ac:dyDescent="0.25">
      <c r="B3377">
        <v>0</v>
      </c>
      <c r="C3377" s="16" t="s">
        <v>12646</v>
      </c>
      <c r="D3377" s="16"/>
      <c r="E3377">
        <v>6</v>
      </c>
      <c r="F3377" t="s">
        <v>4680</v>
      </c>
      <c r="G3377">
        <v>1</v>
      </c>
      <c r="H3377">
        <v>0</v>
      </c>
      <c r="I3377">
        <f>1</f>
        <v>1</v>
      </c>
    </row>
    <row r="3378" spans="2:9" x14ac:dyDescent="0.25">
      <c r="B3378">
        <v>0</v>
      </c>
      <c r="C3378" s="16" t="s">
        <v>12647</v>
      </c>
      <c r="D3378" s="16"/>
      <c r="E3378">
        <v>6</v>
      </c>
      <c r="F3378" t="s">
        <v>4680</v>
      </c>
      <c r="G3378">
        <v>1</v>
      </c>
      <c r="H3378">
        <v>0</v>
      </c>
      <c r="I3378">
        <f>1</f>
        <v>1</v>
      </c>
    </row>
    <row r="3379" spans="2:9" x14ac:dyDescent="0.25">
      <c r="B3379">
        <v>0</v>
      </c>
      <c r="C3379" s="16" t="s">
        <v>12648</v>
      </c>
      <c r="D3379" s="16"/>
      <c r="E3379">
        <v>6</v>
      </c>
      <c r="F3379" t="s">
        <v>6329</v>
      </c>
      <c r="G3379">
        <v>1</v>
      </c>
      <c r="H3379">
        <v>0</v>
      </c>
      <c r="I3379">
        <f>1</f>
        <v>1</v>
      </c>
    </row>
    <row r="3380" spans="2:9" x14ac:dyDescent="0.25">
      <c r="B3380">
        <v>0</v>
      </c>
      <c r="C3380" s="16" t="s">
        <v>12649</v>
      </c>
      <c r="D3380" s="16"/>
      <c r="E3380">
        <v>6</v>
      </c>
      <c r="F3380" t="s">
        <v>6330</v>
      </c>
      <c r="G3380">
        <v>1</v>
      </c>
      <c r="H3380">
        <v>0</v>
      </c>
      <c r="I3380">
        <f>1</f>
        <v>1</v>
      </c>
    </row>
    <row r="3381" spans="2:9" x14ac:dyDescent="0.25">
      <c r="B3381">
        <v>0</v>
      </c>
      <c r="C3381" s="16" t="s">
        <v>12650</v>
      </c>
      <c r="D3381" s="16"/>
      <c r="E3381">
        <v>6</v>
      </c>
      <c r="F3381" t="e">
        <f>--Insulina e seus sais</f>
        <v>#NAME?</v>
      </c>
      <c r="G3381">
        <v>1</v>
      </c>
      <c r="H3381">
        <v>0</v>
      </c>
      <c r="I3381">
        <f>1</f>
        <v>1</v>
      </c>
    </row>
    <row r="3382" spans="2:9" x14ac:dyDescent="0.25">
      <c r="B3382">
        <v>0</v>
      </c>
      <c r="C3382" s="16" t="s">
        <v>12651</v>
      </c>
      <c r="D3382" s="16"/>
      <c r="E3382">
        <v>6</v>
      </c>
      <c r="F3382" t="s">
        <v>6331</v>
      </c>
      <c r="G3382">
        <v>1</v>
      </c>
      <c r="H3382">
        <v>0</v>
      </c>
      <c r="I3382">
        <f>1</f>
        <v>1</v>
      </c>
    </row>
    <row r="3383" spans="2:9" x14ac:dyDescent="0.25">
      <c r="B3383">
        <v>0</v>
      </c>
      <c r="C3383" s="16" t="s">
        <v>12652</v>
      </c>
      <c r="D3383" s="16"/>
      <c r="E3383">
        <v>6</v>
      </c>
      <c r="F3383" t="s">
        <v>6332</v>
      </c>
      <c r="G3383">
        <v>1</v>
      </c>
      <c r="H3383">
        <v>0</v>
      </c>
      <c r="I3383">
        <f>1</f>
        <v>1</v>
      </c>
    </row>
    <row r="3384" spans="2:9" x14ac:dyDescent="0.25">
      <c r="B3384">
        <v>0</v>
      </c>
      <c r="C3384" s="16" t="s">
        <v>12653</v>
      </c>
      <c r="D3384" s="16"/>
      <c r="E3384">
        <v>6</v>
      </c>
      <c r="F3384" t="s">
        <v>6333</v>
      </c>
      <c r="G3384">
        <v>1</v>
      </c>
      <c r="H3384">
        <v>0</v>
      </c>
      <c r="I3384">
        <f>1</f>
        <v>1</v>
      </c>
    </row>
    <row r="3385" spans="2:9" x14ac:dyDescent="0.25">
      <c r="B3385">
        <v>0</v>
      </c>
      <c r="C3385" s="16" t="s">
        <v>12654</v>
      </c>
      <c r="D3385" s="16"/>
      <c r="E3385">
        <v>6</v>
      </c>
      <c r="F3385" t="s">
        <v>6334</v>
      </c>
      <c r="G3385">
        <v>1</v>
      </c>
      <c r="H3385">
        <v>0</v>
      </c>
      <c r="I3385">
        <f>1</f>
        <v>1</v>
      </c>
    </row>
    <row r="3386" spans="2:9" x14ac:dyDescent="0.25">
      <c r="B3386">
        <v>0</v>
      </c>
      <c r="C3386" s="16" t="s">
        <v>12655</v>
      </c>
      <c r="D3386" s="16"/>
      <c r="E3386">
        <v>6</v>
      </c>
      <c r="F3386" t="s">
        <v>6335</v>
      </c>
      <c r="G3386">
        <v>1</v>
      </c>
      <c r="H3386">
        <v>0</v>
      </c>
      <c r="I3386">
        <f>1</f>
        <v>1</v>
      </c>
    </row>
    <row r="3387" spans="2:9" x14ac:dyDescent="0.25">
      <c r="B3387">
        <v>0</v>
      </c>
      <c r="C3387" s="16" t="s">
        <v>12656</v>
      </c>
      <c r="D3387" s="16"/>
      <c r="E3387">
        <v>6</v>
      </c>
      <c r="F3387" t="s">
        <v>4680</v>
      </c>
      <c r="G3387">
        <v>1</v>
      </c>
      <c r="H3387">
        <v>0</v>
      </c>
      <c r="I3387">
        <f>1</f>
        <v>1</v>
      </c>
    </row>
    <row r="3388" spans="2:9" x14ac:dyDescent="0.25">
      <c r="B3388">
        <v>0</v>
      </c>
      <c r="C3388" s="16" t="s">
        <v>12657</v>
      </c>
      <c r="D3388" s="16"/>
      <c r="E3388">
        <v>6</v>
      </c>
      <c r="F3388" t="s">
        <v>6336</v>
      </c>
      <c r="G3388">
        <v>1</v>
      </c>
      <c r="H3388">
        <v>0</v>
      </c>
      <c r="I3388">
        <f>1</f>
        <v>1</v>
      </c>
    </row>
    <row r="3389" spans="2:9" x14ac:dyDescent="0.25">
      <c r="B3389">
        <v>0</v>
      </c>
      <c r="C3389" s="16" t="s">
        <v>12658</v>
      </c>
      <c r="D3389" s="16"/>
      <c r="E3389">
        <v>6</v>
      </c>
      <c r="F3389" t="s">
        <v>6337</v>
      </c>
      <c r="G3389">
        <v>1</v>
      </c>
      <c r="H3389">
        <v>0</v>
      </c>
      <c r="I3389">
        <f>1</f>
        <v>1</v>
      </c>
    </row>
    <row r="3390" spans="2:9" x14ac:dyDescent="0.25">
      <c r="B3390">
        <v>0</v>
      </c>
      <c r="C3390" s="16" t="s">
        <v>12659</v>
      </c>
      <c r="D3390" s="16"/>
      <c r="E3390">
        <v>6</v>
      </c>
      <c r="F3390" t="s">
        <v>6338</v>
      </c>
      <c r="G3390">
        <v>1</v>
      </c>
      <c r="H3390">
        <v>0</v>
      </c>
      <c r="I3390">
        <f>1</f>
        <v>1</v>
      </c>
    </row>
    <row r="3391" spans="2:9" x14ac:dyDescent="0.25">
      <c r="B3391">
        <v>0</v>
      </c>
      <c r="C3391" s="16" t="s">
        <v>12660</v>
      </c>
      <c r="D3391" s="16"/>
      <c r="E3391">
        <v>6</v>
      </c>
      <c r="F3391" t="s">
        <v>6339</v>
      </c>
      <c r="G3391">
        <v>1</v>
      </c>
      <c r="H3391">
        <v>0</v>
      </c>
      <c r="I3391">
        <f>1</f>
        <v>1</v>
      </c>
    </row>
    <row r="3392" spans="2:9" x14ac:dyDescent="0.25">
      <c r="B3392">
        <v>0</v>
      </c>
      <c r="C3392" s="16" t="s">
        <v>12661</v>
      </c>
      <c r="D3392" s="16"/>
      <c r="E3392">
        <v>6</v>
      </c>
      <c r="F3392" t="s">
        <v>6340</v>
      </c>
      <c r="G3392">
        <v>1</v>
      </c>
      <c r="H3392">
        <v>0</v>
      </c>
      <c r="I3392">
        <f>1</f>
        <v>1</v>
      </c>
    </row>
    <row r="3393" spans="2:9" x14ac:dyDescent="0.25">
      <c r="B3393">
        <v>0</v>
      </c>
      <c r="C3393" s="16" t="s">
        <v>12662</v>
      </c>
      <c r="D3393" s="16"/>
      <c r="E3393">
        <v>6</v>
      </c>
      <c r="F3393" t="s">
        <v>6341</v>
      </c>
      <c r="G3393">
        <v>1</v>
      </c>
      <c r="H3393">
        <v>0</v>
      </c>
      <c r="I3393">
        <f>1</f>
        <v>1</v>
      </c>
    </row>
    <row r="3394" spans="2:9" x14ac:dyDescent="0.25">
      <c r="B3394">
        <v>0</v>
      </c>
      <c r="C3394" s="16" t="s">
        <v>12663</v>
      </c>
      <c r="D3394" s="16"/>
      <c r="E3394">
        <v>6</v>
      </c>
      <c r="F3394" t="s">
        <v>4680</v>
      </c>
      <c r="G3394">
        <v>1</v>
      </c>
      <c r="H3394">
        <v>0</v>
      </c>
      <c r="I3394">
        <f>1</f>
        <v>1</v>
      </c>
    </row>
    <row r="3395" spans="2:9" x14ac:dyDescent="0.25">
      <c r="B3395">
        <v>0</v>
      </c>
      <c r="C3395" s="16" t="s">
        <v>12664</v>
      </c>
      <c r="D3395" s="16"/>
      <c r="E3395">
        <v>6</v>
      </c>
      <c r="F3395" t="s">
        <v>6342</v>
      </c>
      <c r="G3395">
        <v>1</v>
      </c>
      <c r="H3395">
        <v>0</v>
      </c>
      <c r="I3395">
        <f>1</f>
        <v>1</v>
      </c>
    </row>
    <row r="3396" spans="2:9" x14ac:dyDescent="0.25">
      <c r="B3396">
        <v>0</v>
      </c>
      <c r="C3396" s="16" t="s">
        <v>12665</v>
      </c>
      <c r="D3396" s="16"/>
      <c r="E3396">
        <v>6</v>
      </c>
      <c r="F3396" t="s">
        <v>4680</v>
      </c>
      <c r="G3396">
        <v>1</v>
      </c>
      <c r="H3396">
        <v>0</v>
      </c>
      <c r="I3396">
        <f>1</f>
        <v>1</v>
      </c>
    </row>
    <row r="3397" spans="2:9" x14ac:dyDescent="0.25">
      <c r="B3397">
        <v>0</v>
      </c>
      <c r="C3397" s="16" t="s">
        <v>12666</v>
      </c>
      <c r="D3397" s="16"/>
      <c r="E3397">
        <v>6</v>
      </c>
      <c r="F3397" t="s">
        <v>4680</v>
      </c>
      <c r="G3397">
        <v>1</v>
      </c>
      <c r="H3397">
        <v>0</v>
      </c>
      <c r="I3397">
        <f>1</f>
        <v>1</v>
      </c>
    </row>
    <row r="3398" spans="2:9" x14ac:dyDescent="0.25">
      <c r="B3398">
        <v>0</v>
      </c>
      <c r="C3398" s="16" t="s">
        <v>12667</v>
      </c>
      <c r="D3398" s="16"/>
      <c r="E3398">
        <v>6</v>
      </c>
      <c r="F3398" t="s">
        <v>6343</v>
      </c>
      <c r="G3398">
        <v>1</v>
      </c>
      <c r="H3398">
        <v>0</v>
      </c>
      <c r="I3398">
        <f>1</f>
        <v>1</v>
      </c>
    </row>
    <row r="3399" spans="2:9" x14ac:dyDescent="0.25">
      <c r="B3399">
        <v>0</v>
      </c>
      <c r="C3399" s="16" t="s">
        <v>12668</v>
      </c>
      <c r="D3399" s="16"/>
      <c r="E3399">
        <v>6</v>
      </c>
      <c r="F3399" t="s">
        <v>6344</v>
      </c>
      <c r="G3399">
        <v>1</v>
      </c>
      <c r="H3399">
        <v>0</v>
      </c>
      <c r="I3399">
        <f>1</f>
        <v>1</v>
      </c>
    </row>
    <row r="3400" spans="2:9" x14ac:dyDescent="0.25">
      <c r="B3400">
        <v>0</v>
      </c>
      <c r="C3400" s="16" t="s">
        <v>12669</v>
      </c>
      <c r="D3400" s="16"/>
      <c r="E3400">
        <v>6</v>
      </c>
      <c r="F3400" t="s">
        <v>6345</v>
      </c>
      <c r="G3400">
        <v>1</v>
      </c>
      <c r="H3400">
        <v>0</v>
      </c>
      <c r="I3400">
        <f>1</f>
        <v>1</v>
      </c>
    </row>
    <row r="3401" spans="2:9" x14ac:dyDescent="0.25">
      <c r="B3401">
        <v>0</v>
      </c>
      <c r="C3401" s="16" t="s">
        <v>12670</v>
      </c>
      <c r="D3401" s="16"/>
      <c r="E3401">
        <v>6</v>
      </c>
      <c r="F3401" t="s">
        <v>4680</v>
      </c>
      <c r="G3401">
        <v>1</v>
      </c>
      <c r="H3401">
        <v>0</v>
      </c>
      <c r="I3401">
        <f>1</f>
        <v>1</v>
      </c>
    </row>
    <row r="3402" spans="2:9" x14ac:dyDescent="0.25">
      <c r="B3402">
        <v>0</v>
      </c>
      <c r="C3402" s="16" t="s">
        <v>12671</v>
      </c>
      <c r="D3402" s="16"/>
      <c r="E3402">
        <v>6</v>
      </c>
      <c r="F3402" t="s">
        <v>6346</v>
      </c>
      <c r="G3402">
        <v>1</v>
      </c>
      <c r="H3402">
        <v>0</v>
      </c>
      <c r="I3402">
        <f>1</f>
        <v>1</v>
      </c>
    </row>
    <row r="3403" spans="2:9" x14ac:dyDescent="0.25">
      <c r="B3403">
        <v>0</v>
      </c>
      <c r="C3403" s="16" t="s">
        <v>12672</v>
      </c>
      <c r="D3403" s="16"/>
      <c r="E3403">
        <v>6</v>
      </c>
      <c r="F3403" t="s">
        <v>4680</v>
      </c>
      <c r="G3403">
        <v>1</v>
      </c>
      <c r="H3403">
        <v>0</v>
      </c>
      <c r="I3403">
        <f>1</f>
        <v>1</v>
      </c>
    </row>
    <row r="3404" spans="2:9" x14ac:dyDescent="0.25">
      <c r="B3404">
        <v>0</v>
      </c>
      <c r="C3404" s="16" t="s">
        <v>12673</v>
      </c>
      <c r="D3404" s="16"/>
      <c r="E3404">
        <v>6</v>
      </c>
      <c r="F3404" t="s">
        <v>6347</v>
      </c>
      <c r="G3404">
        <v>1</v>
      </c>
      <c r="H3404">
        <v>0</v>
      </c>
      <c r="I3404">
        <f>1</f>
        <v>1</v>
      </c>
    </row>
    <row r="3405" spans="2:9" x14ac:dyDescent="0.25">
      <c r="B3405">
        <v>0</v>
      </c>
      <c r="C3405" s="16" t="s">
        <v>12674</v>
      </c>
      <c r="D3405" s="16"/>
      <c r="E3405">
        <v>6</v>
      </c>
      <c r="F3405" t="s">
        <v>6348</v>
      </c>
      <c r="G3405">
        <v>1</v>
      </c>
      <c r="H3405">
        <v>0</v>
      </c>
      <c r="I3405">
        <f>1</f>
        <v>1</v>
      </c>
    </row>
    <row r="3406" spans="2:9" x14ac:dyDescent="0.25">
      <c r="B3406">
        <v>0</v>
      </c>
      <c r="C3406" s="16" t="s">
        <v>12675</v>
      </c>
      <c r="D3406" s="16"/>
      <c r="E3406">
        <v>6</v>
      </c>
      <c r="F3406" t="s">
        <v>4680</v>
      </c>
      <c r="G3406">
        <v>1</v>
      </c>
      <c r="H3406">
        <v>0</v>
      </c>
      <c r="I3406">
        <f>1</f>
        <v>1</v>
      </c>
    </row>
    <row r="3407" spans="2:9" x14ac:dyDescent="0.25">
      <c r="B3407">
        <v>0</v>
      </c>
      <c r="C3407" s="16" t="s">
        <v>12676</v>
      </c>
      <c r="D3407" s="16"/>
      <c r="E3407">
        <v>6</v>
      </c>
      <c r="F3407" t="s">
        <v>6349</v>
      </c>
      <c r="G3407">
        <v>1</v>
      </c>
      <c r="H3407">
        <v>0</v>
      </c>
      <c r="I3407">
        <f>1</f>
        <v>1</v>
      </c>
    </row>
    <row r="3408" spans="2:9" x14ac:dyDescent="0.25">
      <c r="B3408">
        <v>0</v>
      </c>
      <c r="C3408" s="16" t="s">
        <v>12677</v>
      </c>
      <c r="D3408" s="16"/>
      <c r="E3408">
        <v>6</v>
      </c>
      <c r="F3408" t="s">
        <v>4680</v>
      </c>
      <c r="G3408">
        <v>1</v>
      </c>
      <c r="H3408">
        <v>0</v>
      </c>
      <c r="I3408">
        <f>1</f>
        <v>1</v>
      </c>
    </row>
    <row r="3409" spans="2:9" x14ac:dyDescent="0.25">
      <c r="B3409">
        <v>0</v>
      </c>
      <c r="C3409" s="16" t="s">
        <v>12678</v>
      </c>
      <c r="D3409" s="16"/>
      <c r="E3409">
        <v>6</v>
      </c>
      <c r="F3409" t="s">
        <v>2563</v>
      </c>
      <c r="G3409">
        <v>1</v>
      </c>
      <c r="H3409">
        <v>0</v>
      </c>
      <c r="I3409">
        <f>1</f>
        <v>1</v>
      </c>
    </row>
    <row r="3410" spans="2:9" x14ac:dyDescent="0.25">
      <c r="B3410">
        <v>0</v>
      </c>
      <c r="C3410" s="16" t="s">
        <v>12679</v>
      </c>
      <c r="D3410" s="16"/>
      <c r="E3410">
        <v>6</v>
      </c>
      <c r="F3410" t="s">
        <v>6350</v>
      </c>
      <c r="G3410">
        <v>1</v>
      </c>
      <c r="H3410">
        <v>0</v>
      </c>
      <c r="I3410">
        <f>1</f>
        <v>1</v>
      </c>
    </row>
    <row r="3411" spans="2:9" x14ac:dyDescent="0.25">
      <c r="B3411">
        <v>0</v>
      </c>
      <c r="C3411" s="16" t="s">
        <v>12680</v>
      </c>
      <c r="D3411" s="16"/>
      <c r="E3411">
        <v>6</v>
      </c>
      <c r="F3411" t="s">
        <v>6351</v>
      </c>
      <c r="G3411">
        <v>1</v>
      </c>
      <c r="H3411">
        <v>0</v>
      </c>
      <c r="I3411">
        <f>1</f>
        <v>1</v>
      </c>
    </row>
    <row r="3412" spans="2:9" x14ac:dyDescent="0.25">
      <c r="B3412">
        <v>0</v>
      </c>
      <c r="C3412" s="16" t="s">
        <v>12681</v>
      </c>
      <c r="D3412" s="16"/>
      <c r="E3412">
        <v>6</v>
      </c>
      <c r="F3412" t="s">
        <v>6352</v>
      </c>
      <c r="G3412">
        <v>1</v>
      </c>
      <c r="H3412">
        <v>0</v>
      </c>
      <c r="I3412">
        <f>1</f>
        <v>1</v>
      </c>
    </row>
    <row r="3413" spans="2:9" x14ac:dyDescent="0.25">
      <c r="B3413">
        <v>0</v>
      </c>
      <c r="C3413" s="16" t="s">
        <v>12682</v>
      </c>
      <c r="D3413" s="16"/>
      <c r="E3413">
        <v>6</v>
      </c>
      <c r="F3413" t="s">
        <v>4680</v>
      </c>
      <c r="G3413">
        <v>1</v>
      </c>
      <c r="H3413">
        <v>0</v>
      </c>
      <c r="I3413">
        <f>1</f>
        <v>1</v>
      </c>
    </row>
    <row r="3414" spans="2:9" x14ac:dyDescent="0.25">
      <c r="B3414">
        <v>0</v>
      </c>
      <c r="C3414" s="16" t="s">
        <v>12683</v>
      </c>
      <c r="D3414" s="16"/>
      <c r="E3414">
        <v>6</v>
      </c>
      <c r="F3414" t="s">
        <v>6353</v>
      </c>
      <c r="G3414">
        <v>1</v>
      </c>
      <c r="H3414">
        <v>0</v>
      </c>
      <c r="I3414">
        <f>1</f>
        <v>1</v>
      </c>
    </row>
    <row r="3415" spans="2:9" x14ac:dyDescent="0.25">
      <c r="B3415">
        <v>0</v>
      </c>
      <c r="C3415" s="16" t="s">
        <v>12684</v>
      </c>
      <c r="D3415" s="16"/>
      <c r="E3415">
        <v>6</v>
      </c>
      <c r="F3415" t="s">
        <v>6354</v>
      </c>
      <c r="G3415">
        <v>1</v>
      </c>
      <c r="H3415">
        <v>0</v>
      </c>
      <c r="I3415">
        <f>1</f>
        <v>1</v>
      </c>
    </row>
    <row r="3416" spans="2:9" x14ac:dyDescent="0.25">
      <c r="B3416">
        <v>0</v>
      </c>
      <c r="C3416" s="16" t="s">
        <v>12685</v>
      </c>
      <c r="D3416" s="16"/>
      <c r="E3416">
        <v>6</v>
      </c>
      <c r="F3416" t="s">
        <v>6355</v>
      </c>
      <c r="G3416">
        <v>1</v>
      </c>
      <c r="H3416">
        <v>0</v>
      </c>
      <c r="I3416">
        <f>1</f>
        <v>1</v>
      </c>
    </row>
    <row r="3417" spans="2:9" x14ac:dyDescent="0.25">
      <c r="B3417">
        <v>0</v>
      </c>
      <c r="C3417" s="16" t="s">
        <v>12686</v>
      </c>
      <c r="D3417" s="16"/>
      <c r="E3417">
        <v>6</v>
      </c>
      <c r="F3417" t="s">
        <v>4680</v>
      </c>
      <c r="G3417">
        <v>1</v>
      </c>
      <c r="H3417">
        <v>0</v>
      </c>
      <c r="I3417">
        <f>1</f>
        <v>1</v>
      </c>
    </row>
    <row r="3418" spans="2:9" x14ac:dyDescent="0.25">
      <c r="B3418">
        <v>0</v>
      </c>
      <c r="C3418" s="16" t="s">
        <v>12687</v>
      </c>
      <c r="D3418" s="16"/>
      <c r="E3418">
        <v>6</v>
      </c>
      <c r="F3418" t="s">
        <v>6356</v>
      </c>
      <c r="G3418">
        <v>1</v>
      </c>
      <c r="H3418">
        <v>0</v>
      </c>
      <c r="I3418">
        <f>1</f>
        <v>1</v>
      </c>
    </row>
    <row r="3419" spans="2:9" x14ac:dyDescent="0.25">
      <c r="B3419">
        <v>0</v>
      </c>
      <c r="C3419" s="16" t="s">
        <v>12688</v>
      </c>
      <c r="D3419" s="16"/>
      <c r="E3419">
        <v>6</v>
      </c>
      <c r="F3419" t="s">
        <v>6357</v>
      </c>
      <c r="G3419">
        <v>1</v>
      </c>
      <c r="H3419">
        <v>0</v>
      </c>
      <c r="I3419">
        <f>1</f>
        <v>1</v>
      </c>
    </row>
    <row r="3420" spans="2:9" x14ac:dyDescent="0.25">
      <c r="B3420">
        <v>0</v>
      </c>
      <c r="C3420" s="16" t="s">
        <v>12689</v>
      </c>
      <c r="D3420" s="16"/>
      <c r="E3420">
        <v>6</v>
      </c>
      <c r="F3420" t="s">
        <v>6358</v>
      </c>
      <c r="G3420">
        <v>1</v>
      </c>
      <c r="H3420">
        <v>0</v>
      </c>
      <c r="I3420">
        <f>1</f>
        <v>1</v>
      </c>
    </row>
    <row r="3421" spans="2:9" x14ac:dyDescent="0.25">
      <c r="B3421">
        <v>0</v>
      </c>
      <c r="C3421" s="16" t="s">
        <v>12690</v>
      </c>
      <c r="D3421" s="16"/>
      <c r="E3421">
        <v>6</v>
      </c>
      <c r="F3421" t="s">
        <v>4680</v>
      </c>
      <c r="G3421">
        <v>1</v>
      </c>
      <c r="H3421">
        <v>0</v>
      </c>
      <c r="I3421">
        <f>1</f>
        <v>1</v>
      </c>
    </row>
    <row r="3422" spans="2:9" x14ac:dyDescent="0.25">
      <c r="B3422">
        <v>0</v>
      </c>
      <c r="C3422" s="16" t="s">
        <v>12691</v>
      </c>
      <c r="D3422" s="16"/>
      <c r="E3422">
        <v>6</v>
      </c>
      <c r="F3422" t="s">
        <v>6359</v>
      </c>
      <c r="G3422">
        <v>1</v>
      </c>
      <c r="H3422">
        <v>0</v>
      </c>
      <c r="I3422">
        <f>1</f>
        <v>1</v>
      </c>
    </row>
    <row r="3423" spans="2:9" x14ac:dyDescent="0.25">
      <c r="B3423">
        <v>0</v>
      </c>
      <c r="C3423" s="16" t="s">
        <v>12692</v>
      </c>
      <c r="D3423" s="16"/>
      <c r="E3423">
        <v>6</v>
      </c>
      <c r="F3423" t="s">
        <v>6360</v>
      </c>
      <c r="G3423">
        <v>1</v>
      </c>
      <c r="H3423">
        <v>0</v>
      </c>
      <c r="I3423">
        <f>1</f>
        <v>1</v>
      </c>
    </row>
    <row r="3424" spans="2:9" x14ac:dyDescent="0.25">
      <c r="B3424">
        <v>0</v>
      </c>
      <c r="C3424" s="16" t="s">
        <v>12693</v>
      </c>
      <c r="D3424" s="16"/>
      <c r="E3424">
        <v>6</v>
      </c>
      <c r="F3424" t="s">
        <v>6361</v>
      </c>
      <c r="G3424">
        <v>1</v>
      </c>
      <c r="H3424">
        <v>0</v>
      </c>
      <c r="I3424">
        <f>1</f>
        <v>1</v>
      </c>
    </row>
    <row r="3425" spans="2:9" x14ac:dyDescent="0.25">
      <c r="B3425">
        <v>0</v>
      </c>
      <c r="C3425" s="16" t="s">
        <v>12694</v>
      </c>
      <c r="D3425" s="16"/>
      <c r="E3425">
        <v>6</v>
      </c>
      <c r="F3425" t="s">
        <v>6362</v>
      </c>
      <c r="G3425">
        <v>1</v>
      </c>
      <c r="H3425">
        <v>0</v>
      </c>
      <c r="I3425">
        <f>1</f>
        <v>1</v>
      </c>
    </row>
    <row r="3426" spans="2:9" x14ac:dyDescent="0.25">
      <c r="B3426">
        <v>0</v>
      </c>
      <c r="C3426" s="16" t="s">
        <v>12695</v>
      </c>
      <c r="D3426" s="16"/>
      <c r="E3426">
        <v>6</v>
      </c>
      <c r="F3426" t="s">
        <v>4680</v>
      </c>
      <c r="G3426">
        <v>1</v>
      </c>
      <c r="H3426">
        <v>0</v>
      </c>
      <c r="I3426">
        <f>1</f>
        <v>1</v>
      </c>
    </row>
    <row r="3427" spans="2:9" x14ac:dyDescent="0.25">
      <c r="B3427">
        <v>0</v>
      </c>
      <c r="C3427" s="16" t="s">
        <v>12696</v>
      </c>
      <c r="D3427" s="16"/>
      <c r="E3427">
        <v>6</v>
      </c>
      <c r="F3427" t="e">
        <f>-Rutosídio  rutina  e seus derivados</f>
        <v>#NAME?</v>
      </c>
      <c r="G3427">
        <v>1</v>
      </c>
      <c r="H3427">
        <v>0</v>
      </c>
      <c r="I3427">
        <f>1</f>
        <v>1</v>
      </c>
    </row>
    <row r="3428" spans="2:9" x14ac:dyDescent="0.25">
      <c r="B3428">
        <v>0</v>
      </c>
      <c r="C3428" s="16" t="s">
        <v>12697</v>
      </c>
      <c r="D3428" s="16"/>
      <c r="E3428">
        <v>6</v>
      </c>
      <c r="F3428" t="s">
        <v>6363</v>
      </c>
      <c r="G3428">
        <v>1</v>
      </c>
      <c r="H3428">
        <v>0</v>
      </c>
      <c r="I3428">
        <f>1</f>
        <v>1</v>
      </c>
    </row>
    <row r="3429" spans="2:9" x14ac:dyDescent="0.25">
      <c r="B3429">
        <v>0</v>
      </c>
      <c r="C3429" s="16" t="s">
        <v>12698</v>
      </c>
      <c r="D3429" s="16"/>
      <c r="E3429">
        <v>6</v>
      </c>
      <c r="F3429" t="s">
        <v>6364</v>
      </c>
      <c r="G3429">
        <v>1</v>
      </c>
      <c r="H3429">
        <v>0</v>
      </c>
      <c r="I3429">
        <f>1</f>
        <v>1</v>
      </c>
    </row>
    <row r="3430" spans="2:9" x14ac:dyDescent="0.25">
      <c r="B3430">
        <v>0</v>
      </c>
      <c r="C3430" s="16" t="s">
        <v>12699</v>
      </c>
      <c r="D3430" s="16"/>
      <c r="E3430">
        <v>6</v>
      </c>
      <c r="F3430" t="s">
        <v>4680</v>
      </c>
      <c r="G3430">
        <v>1</v>
      </c>
      <c r="H3430">
        <v>0</v>
      </c>
      <c r="I3430">
        <f>1</f>
        <v>1</v>
      </c>
    </row>
    <row r="3431" spans="2:9" x14ac:dyDescent="0.25">
      <c r="B3431">
        <v>0</v>
      </c>
      <c r="C3431" s="16" t="s">
        <v>12700</v>
      </c>
      <c r="D3431" s="16"/>
      <c r="E3431">
        <v>6</v>
      </c>
      <c r="F3431" t="s">
        <v>6365</v>
      </c>
      <c r="G3431">
        <v>1</v>
      </c>
      <c r="H3431">
        <v>0</v>
      </c>
      <c r="I3431">
        <f>1</f>
        <v>1</v>
      </c>
    </row>
    <row r="3432" spans="2:9" x14ac:dyDescent="0.25">
      <c r="B3432">
        <v>0</v>
      </c>
      <c r="C3432" s="16" t="s">
        <v>12701</v>
      </c>
      <c r="D3432" s="16"/>
      <c r="E3432">
        <v>6</v>
      </c>
      <c r="F3432" t="s">
        <v>6366</v>
      </c>
      <c r="G3432">
        <v>1</v>
      </c>
      <c r="H3432">
        <v>0</v>
      </c>
      <c r="I3432">
        <f>1</f>
        <v>1</v>
      </c>
    </row>
    <row r="3433" spans="2:9" x14ac:dyDescent="0.25">
      <c r="B3433">
        <v>0</v>
      </c>
      <c r="C3433" s="16" t="s">
        <v>12702</v>
      </c>
      <c r="D3433" s="16"/>
      <c r="E3433">
        <v>6</v>
      </c>
      <c r="F3433" t="s">
        <v>6367</v>
      </c>
      <c r="G3433">
        <v>1</v>
      </c>
      <c r="H3433">
        <v>0</v>
      </c>
      <c r="I3433">
        <f>1</f>
        <v>1</v>
      </c>
    </row>
    <row r="3434" spans="2:9" x14ac:dyDescent="0.25">
      <c r="B3434">
        <v>0</v>
      </c>
      <c r="C3434" s="16" t="s">
        <v>12703</v>
      </c>
      <c r="D3434" s="16"/>
      <c r="E3434">
        <v>6</v>
      </c>
      <c r="F3434" t="s">
        <v>6368</v>
      </c>
      <c r="G3434">
        <v>1</v>
      </c>
      <c r="H3434">
        <v>0</v>
      </c>
      <c r="I3434">
        <f>1</f>
        <v>1</v>
      </c>
    </row>
    <row r="3435" spans="2:9" x14ac:dyDescent="0.25">
      <c r="B3435">
        <v>0</v>
      </c>
      <c r="C3435" s="16" t="s">
        <v>12704</v>
      </c>
      <c r="D3435" s="16"/>
      <c r="E3435">
        <v>6</v>
      </c>
      <c r="F3435" t="s">
        <v>6369</v>
      </c>
      <c r="G3435">
        <v>1</v>
      </c>
      <c r="H3435">
        <v>0</v>
      </c>
      <c r="I3435">
        <f>1</f>
        <v>1</v>
      </c>
    </row>
    <row r="3436" spans="2:9" x14ac:dyDescent="0.25">
      <c r="B3436">
        <v>0</v>
      </c>
      <c r="C3436" s="16" t="s">
        <v>12705</v>
      </c>
      <c r="D3436" s="16"/>
      <c r="E3436">
        <v>6</v>
      </c>
      <c r="F3436" t="s">
        <v>6370</v>
      </c>
      <c r="G3436">
        <v>1</v>
      </c>
      <c r="H3436">
        <v>0</v>
      </c>
      <c r="I3436">
        <f>1</f>
        <v>1</v>
      </c>
    </row>
    <row r="3437" spans="2:9" x14ac:dyDescent="0.25">
      <c r="B3437">
        <v>0</v>
      </c>
      <c r="C3437" s="16" t="s">
        <v>12706</v>
      </c>
      <c r="D3437" s="16"/>
      <c r="E3437">
        <v>6</v>
      </c>
      <c r="F3437" t="s">
        <v>6371</v>
      </c>
      <c r="G3437">
        <v>1</v>
      </c>
      <c r="H3437">
        <v>0</v>
      </c>
      <c r="I3437">
        <f>1</f>
        <v>1</v>
      </c>
    </row>
    <row r="3438" spans="2:9" x14ac:dyDescent="0.25">
      <c r="B3438">
        <v>0</v>
      </c>
      <c r="C3438" s="16" t="s">
        <v>12707</v>
      </c>
      <c r="D3438" s="16"/>
      <c r="E3438">
        <v>6</v>
      </c>
      <c r="F3438" t="s">
        <v>6372</v>
      </c>
      <c r="G3438">
        <v>1</v>
      </c>
      <c r="H3438">
        <v>0</v>
      </c>
      <c r="I3438">
        <f>1</f>
        <v>1</v>
      </c>
    </row>
    <row r="3439" spans="2:9" x14ac:dyDescent="0.25">
      <c r="B3439">
        <v>0</v>
      </c>
      <c r="C3439" s="16" t="s">
        <v>12708</v>
      </c>
      <c r="D3439" s="16"/>
      <c r="E3439">
        <v>6</v>
      </c>
      <c r="F3439" t="s">
        <v>6373</v>
      </c>
      <c r="G3439">
        <v>1</v>
      </c>
      <c r="H3439">
        <v>0</v>
      </c>
      <c r="I3439">
        <f>1</f>
        <v>1</v>
      </c>
    </row>
    <row r="3440" spans="2:9" x14ac:dyDescent="0.25">
      <c r="B3440">
        <v>0</v>
      </c>
      <c r="C3440" s="16" t="s">
        <v>12709</v>
      </c>
      <c r="D3440" s="16"/>
      <c r="E3440">
        <v>6</v>
      </c>
      <c r="F3440" t="s">
        <v>6374</v>
      </c>
      <c r="G3440">
        <v>1</v>
      </c>
      <c r="H3440">
        <v>0</v>
      </c>
      <c r="I3440">
        <f>1</f>
        <v>1</v>
      </c>
    </row>
    <row r="3441" spans="2:9" x14ac:dyDescent="0.25">
      <c r="B3441">
        <v>0</v>
      </c>
      <c r="C3441" s="16" t="s">
        <v>12710</v>
      </c>
      <c r="D3441" s="16"/>
      <c r="E3441">
        <v>6</v>
      </c>
      <c r="F3441" t="s">
        <v>6375</v>
      </c>
      <c r="G3441">
        <v>1</v>
      </c>
      <c r="H3441">
        <v>0</v>
      </c>
      <c r="I3441">
        <f>1</f>
        <v>1</v>
      </c>
    </row>
    <row r="3442" spans="2:9" x14ac:dyDescent="0.25">
      <c r="B3442">
        <v>0</v>
      </c>
      <c r="C3442" s="16" t="s">
        <v>12711</v>
      </c>
      <c r="D3442" s="16"/>
      <c r="E3442">
        <v>6</v>
      </c>
      <c r="F3442" t="s">
        <v>6376</v>
      </c>
      <c r="G3442">
        <v>1</v>
      </c>
      <c r="H3442">
        <v>0</v>
      </c>
      <c r="I3442">
        <f>1</f>
        <v>1</v>
      </c>
    </row>
    <row r="3443" spans="2:9" x14ac:dyDescent="0.25">
      <c r="B3443">
        <v>0</v>
      </c>
      <c r="C3443" s="16" t="s">
        <v>12712</v>
      </c>
      <c r="D3443" s="16"/>
      <c r="E3443">
        <v>6</v>
      </c>
      <c r="F3443" t="s">
        <v>4680</v>
      </c>
      <c r="G3443">
        <v>1</v>
      </c>
      <c r="H3443">
        <v>0</v>
      </c>
      <c r="I3443">
        <f>1</f>
        <v>1</v>
      </c>
    </row>
    <row r="3444" spans="2:9" x14ac:dyDescent="0.25">
      <c r="B3444">
        <v>0</v>
      </c>
      <c r="C3444" s="16" t="s">
        <v>12713</v>
      </c>
      <c r="D3444" s="16"/>
      <c r="E3444">
        <v>6</v>
      </c>
      <c r="F3444" t="s">
        <v>6377</v>
      </c>
      <c r="G3444">
        <v>1</v>
      </c>
      <c r="H3444">
        <v>0</v>
      </c>
      <c r="I3444">
        <f>1</f>
        <v>1</v>
      </c>
    </row>
    <row r="3445" spans="2:9" x14ac:dyDescent="0.25">
      <c r="B3445">
        <v>0</v>
      </c>
      <c r="C3445" s="16" t="s">
        <v>12714</v>
      </c>
      <c r="D3445" s="16"/>
      <c r="E3445">
        <v>6</v>
      </c>
      <c r="F3445" t="s">
        <v>6378</v>
      </c>
      <c r="G3445">
        <v>1</v>
      </c>
      <c r="H3445">
        <v>0</v>
      </c>
      <c r="I3445">
        <f>1</f>
        <v>1</v>
      </c>
    </row>
    <row r="3446" spans="2:9" x14ac:dyDescent="0.25">
      <c r="B3446">
        <v>0</v>
      </c>
      <c r="C3446" s="16" t="s">
        <v>12715</v>
      </c>
      <c r="D3446" s="16"/>
      <c r="E3446">
        <v>6</v>
      </c>
      <c r="F3446" t="s">
        <v>6379</v>
      </c>
      <c r="G3446">
        <v>1</v>
      </c>
      <c r="H3446">
        <v>0</v>
      </c>
      <c r="I3446">
        <f>1</f>
        <v>1</v>
      </c>
    </row>
    <row r="3447" spans="2:9" x14ac:dyDescent="0.25">
      <c r="B3447">
        <v>0</v>
      </c>
      <c r="C3447" s="16" t="s">
        <v>12716</v>
      </c>
      <c r="D3447" s="16"/>
      <c r="E3447">
        <v>6</v>
      </c>
      <c r="F3447" t="s">
        <v>6380</v>
      </c>
      <c r="G3447">
        <v>1</v>
      </c>
      <c r="H3447">
        <v>0</v>
      </c>
      <c r="I3447">
        <f>1</f>
        <v>1</v>
      </c>
    </row>
    <row r="3448" spans="2:9" x14ac:dyDescent="0.25">
      <c r="B3448">
        <v>0</v>
      </c>
      <c r="C3448" s="16" t="s">
        <v>12717</v>
      </c>
      <c r="D3448" s="16"/>
      <c r="E3448">
        <v>6</v>
      </c>
      <c r="F3448" t="s">
        <v>6381</v>
      </c>
      <c r="G3448">
        <v>1</v>
      </c>
      <c r="H3448">
        <v>0</v>
      </c>
      <c r="I3448">
        <f>1</f>
        <v>1</v>
      </c>
    </row>
    <row r="3449" spans="2:9" x14ac:dyDescent="0.25">
      <c r="B3449">
        <v>0</v>
      </c>
      <c r="C3449" s="16" t="s">
        <v>12718</v>
      </c>
      <c r="D3449" s="16"/>
      <c r="E3449">
        <v>6</v>
      </c>
      <c r="F3449" t="e">
        <f>--outros</f>
        <v>#NAME?</v>
      </c>
      <c r="G3449">
        <v>1</v>
      </c>
      <c r="H3449">
        <v>0</v>
      </c>
      <c r="I3449">
        <f>1</f>
        <v>1</v>
      </c>
    </row>
    <row r="3450" spans="2:9" x14ac:dyDescent="0.25">
      <c r="B3450">
        <v>0</v>
      </c>
      <c r="C3450" s="16" t="s">
        <v>12719</v>
      </c>
      <c r="D3450" s="16"/>
      <c r="E3450">
        <v>6</v>
      </c>
      <c r="F3450" t="s">
        <v>6382</v>
      </c>
      <c r="G3450">
        <v>1</v>
      </c>
      <c r="H3450">
        <v>0</v>
      </c>
      <c r="I3450">
        <f>1</f>
        <v>1</v>
      </c>
    </row>
    <row r="3451" spans="2:9" x14ac:dyDescent="0.25">
      <c r="B3451">
        <v>0</v>
      </c>
      <c r="C3451" s="16" t="s">
        <v>12720</v>
      </c>
      <c r="D3451" s="16"/>
      <c r="E3451">
        <v>6</v>
      </c>
      <c r="F3451" t="s">
        <v>6383</v>
      </c>
      <c r="G3451">
        <v>1</v>
      </c>
      <c r="H3451">
        <v>0</v>
      </c>
      <c r="I3451">
        <f>1</f>
        <v>1</v>
      </c>
    </row>
    <row r="3452" spans="2:9" x14ac:dyDescent="0.25">
      <c r="B3452">
        <v>0</v>
      </c>
      <c r="C3452" s="16" t="s">
        <v>12721</v>
      </c>
      <c r="D3452" s="16"/>
      <c r="E3452">
        <v>6</v>
      </c>
      <c r="F3452" t="s">
        <v>5641</v>
      </c>
      <c r="G3452">
        <v>1</v>
      </c>
      <c r="H3452">
        <v>0</v>
      </c>
      <c r="I3452">
        <f>1</f>
        <v>1</v>
      </c>
    </row>
    <row r="3453" spans="2:9" x14ac:dyDescent="0.25">
      <c r="B3453">
        <v>0</v>
      </c>
      <c r="C3453" s="16" t="s">
        <v>12722</v>
      </c>
      <c r="D3453" s="16"/>
      <c r="E3453">
        <v>6</v>
      </c>
      <c r="F3453" t="e">
        <f>--Efedrina e seus sais</f>
        <v>#NAME?</v>
      </c>
      <c r="G3453">
        <v>1</v>
      </c>
      <c r="H3453">
        <v>0</v>
      </c>
      <c r="I3453">
        <f>1</f>
        <v>1</v>
      </c>
    </row>
    <row r="3454" spans="2:9" x14ac:dyDescent="0.25">
      <c r="B3454">
        <v>0</v>
      </c>
      <c r="C3454" s="16" t="s">
        <v>12723</v>
      </c>
      <c r="D3454" s="16"/>
      <c r="E3454">
        <v>6</v>
      </c>
      <c r="F3454" t="e">
        <f>--Pseudoefedrina  DCI  e seus sais</f>
        <v>#NAME?</v>
      </c>
      <c r="G3454">
        <v>1</v>
      </c>
      <c r="H3454">
        <v>0</v>
      </c>
      <c r="I3454">
        <f>1</f>
        <v>1</v>
      </c>
    </row>
    <row r="3455" spans="2:9" x14ac:dyDescent="0.25">
      <c r="B3455">
        <v>0</v>
      </c>
      <c r="C3455" s="16" t="s">
        <v>12724</v>
      </c>
      <c r="D3455" s="16"/>
      <c r="E3455">
        <v>6</v>
      </c>
      <c r="F3455" t="e">
        <f>--Catina  DCI  e seus sais</f>
        <v>#NAME?</v>
      </c>
      <c r="G3455">
        <v>1</v>
      </c>
      <c r="H3455">
        <v>0</v>
      </c>
      <c r="I3455">
        <f>1</f>
        <v>1</v>
      </c>
    </row>
    <row r="3456" spans="2:9" x14ac:dyDescent="0.25">
      <c r="B3456">
        <v>0</v>
      </c>
      <c r="C3456" s="16" t="s">
        <v>12725</v>
      </c>
      <c r="D3456" s="16"/>
      <c r="E3456">
        <v>6</v>
      </c>
      <c r="F3456" t="e">
        <f>--Norefedrina e seus sais</f>
        <v>#NAME?</v>
      </c>
      <c r="G3456">
        <v>1</v>
      </c>
      <c r="H3456">
        <v>0</v>
      </c>
      <c r="I3456">
        <f>1</f>
        <v>1</v>
      </c>
    </row>
    <row r="3457" spans="2:9" x14ac:dyDescent="0.25">
      <c r="B3457">
        <v>0</v>
      </c>
      <c r="C3457" s="16" t="s">
        <v>12726</v>
      </c>
      <c r="D3457" s="16"/>
      <c r="E3457">
        <v>6</v>
      </c>
      <c r="F3457" t="e">
        <f>--outros</f>
        <v>#NAME?</v>
      </c>
      <c r="G3457">
        <v>1</v>
      </c>
      <c r="H3457">
        <v>0</v>
      </c>
      <c r="I3457">
        <f>1</f>
        <v>1</v>
      </c>
    </row>
    <row r="3458" spans="2:9" x14ac:dyDescent="0.25">
      <c r="B3458">
        <v>0</v>
      </c>
      <c r="C3458" s="16" t="s">
        <v>12727</v>
      </c>
      <c r="D3458" s="16"/>
      <c r="E3458">
        <v>6</v>
      </c>
      <c r="F3458" t="e">
        <f>--Fenetilina  DCI  e seus sais</f>
        <v>#NAME?</v>
      </c>
      <c r="G3458">
        <v>1</v>
      </c>
      <c r="H3458">
        <v>0</v>
      </c>
      <c r="I3458">
        <f>1</f>
        <v>1</v>
      </c>
    </row>
    <row r="3459" spans="2:9" x14ac:dyDescent="0.25">
      <c r="B3459">
        <v>0</v>
      </c>
      <c r="C3459" s="16" t="s">
        <v>12728</v>
      </c>
      <c r="D3459" s="16"/>
      <c r="E3459">
        <v>6</v>
      </c>
      <c r="F3459" t="s">
        <v>6384</v>
      </c>
      <c r="G3459">
        <v>1</v>
      </c>
      <c r="H3459">
        <v>0</v>
      </c>
      <c r="I3459">
        <f>1</f>
        <v>1</v>
      </c>
    </row>
    <row r="3460" spans="2:9" x14ac:dyDescent="0.25">
      <c r="B3460">
        <v>0</v>
      </c>
      <c r="C3460" s="16" t="s">
        <v>12729</v>
      </c>
      <c r="D3460" s="16"/>
      <c r="E3460">
        <v>6</v>
      </c>
      <c r="F3460" t="s">
        <v>6385</v>
      </c>
      <c r="G3460">
        <v>1</v>
      </c>
      <c r="H3460">
        <v>0</v>
      </c>
      <c r="I3460">
        <f>1</f>
        <v>1</v>
      </c>
    </row>
    <row r="3461" spans="2:9" x14ac:dyDescent="0.25">
      <c r="B3461">
        <v>0</v>
      </c>
      <c r="C3461" s="16" t="s">
        <v>12730</v>
      </c>
      <c r="D3461" s="16"/>
      <c r="E3461">
        <v>6</v>
      </c>
      <c r="F3461" t="s">
        <v>4680</v>
      </c>
      <c r="G3461">
        <v>1</v>
      </c>
      <c r="H3461">
        <v>0</v>
      </c>
      <c r="I3461">
        <f>1</f>
        <v>1</v>
      </c>
    </row>
    <row r="3462" spans="2:9" x14ac:dyDescent="0.25">
      <c r="B3462">
        <v>0</v>
      </c>
      <c r="C3462" s="16" t="s">
        <v>12731</v>
      </c>
      <c r="D3462" s="16"/>
      <c r="E3462">
        <v>6</v>
      </c>
      <c r="F3462" t="e">
        <f>--Ergometrina  DCI  e seus sais</f>
        <v>#NAME?</v>
      </c>
      <c r="G3462">
        <v>1</v>
      </c>
      <c r="H3462">
        <v>0</v>
      </c>
      <c r="I3462">
        <f>1</f>
        <v>1</v>
      </c>
    </row>
    <row r="3463" spans="2:9" x14ac:dyDescent="0.25">
      <c r="B3463">
        <v>0</v>
      </c>
      <c r="C3463" s="16" t="s">
        <v>12732</v>
      </c>
      <c r="D3463" s="16"/>
      <c r="E3463">
        <v>6</v>
      </c>
      <c r="F3463" t="e">
        <f>--Ergotamina  DCI  e seus sais</f>
        <v>#NAME?</v>
      </c>
      <c r="G3463">
        <v>1</v>
      </c>
      <c r="H3463">
        <v>0</v>
      </c>
      <c r="I3463">
        <f>1</f>
        <v>1</v>
      </c>
    </row>
    <row r="3464" spans="2:9" x14ac:dyDescent="0.25">
      <c r="B3464">
        <v>0</v>
      </c>
      <c r="C3464" s="16" t="s">
        <v>12733</v>
      </c>
      <c r="D3464" s="16"/>
      <c r="E3464">
        <v>6</v>
      </c>
      <c r="F3464" t="e">
        <f>--ácido lisérgico e seus sais</f>
        <v>#NAME?</v>
      </c>
      <c r="G3464">
        <v>1</v>
      </c>
      <c r="H3464">
        <v>0</v>
      </c>
      <c r="I3464">
        <f>1</f>
        <v>1</v>
      </c>
    </row>
    <row r="3465" spans="2:9" x14ac:dyDescent="0.25">
      <c r="B3465">
        <v>0</v>
      </c>
      <c r="C3465" s="16" t="s">
        <v>12734</v>
      </c>
      <c r="D3465" s="16"/>
      <c r="E3465">
        <v>6</v>
      </c>
      <c r="F3465" t="s">
        <v>6386</v>
      </c>
      <c r="G3465">
        <v>1</v>
      </c>
      <c r="H3465">
        <v>0</v>
      </c>
      <c r="I3465">
        <f>1</f>
        <v>1</v>
      </c>
    </row>
    <row r="3466" spans="2:9" x14ac:dyDescent="0.25">
      <c r="B3466">
        <v>0</v>
      </c>
      <c r="C3466" s="16" t="s">
        <v>12735</v>
      </c>
      <c r="D3466" s="16"/>
      <c r="E3466">
        <v>6</v>
      </c>
      <c r="F3466" t="s">
        <v>4680</v>
      </c>
      <c r="G3466">
        <v>1</v>
      </c>
      <c r="H3466">
        <v>0</v>
      </c>
      <c r="I3466">
        <f>1</f>
        <v>1</v>
      </c>
    </row>
    <row r="3467" spans="2:9" x14ac:dyDescent="0.25">
      <c r="B3467">
        <v>0</v>
      </c>
      <c r="C3467" s="16" t="s">
        <v>12736</v>
      </c>
      <c r="D3467" s="16"/>
      <c r="E3467">
        <v>6</v>
      </c>
      <c r="F3467" t="s">
        <v>6387</v>
      </c>
      <c r="G3467">
        <v>1</v>
      </c>
      <c r="H3467">
        <v>0</v>
      </c>
      <c r="I3467">
        <f>1</f>
        <v>1</v>
      </c>
    </row>
    <row r="3468" spans="2:9" x14ac:dyDescent="0.25">
      <c r="B3468">
        <v>0</v>
      </c>
      <c r="C3468" s="16" t="s">
        <v>12737</v>
      </c>
      <c r="D3468" s="16"/>
      <c r="E3468">
        <v>6</v>
      </c>
      <c r="F3468" t="s">
        <v>4680</v>
      </c>
      <c r="G3468">
        <v>1</v>
      </c>
      <c r="H3468">
        <v>0</v>
      </c>
      <c r="I3468">
        <f>1</f>
        <v>1</v>
      </c>
    </row>
    <row r="3469" spans="2:9" x14ac:dyDescent="0.25">
      <c r="B3469">
        <v>0</v>
      </c>
      <c r="C3469" s="16" t="s">
        <v>12738</v>
      </c>
      <c r="D3469" s="16"/>
      <c r="E3469">
        <v>6</v>
      </c>
      <c r="F3469" t="s">
        <v>6388</v>
      </c>
      <c r="G3469">
        <v>1</v>
      </c>
      <c r="H3469">
        <v>0</v>
      </c>
      <c r="I3469">
        <f>1</f>
        <v>1</v>
      </c>
    </row>
    <row r="3470" spans="2:9" x14ac:dyDescent="0.25">
      <c r="B3470">
        <v>0</v>
      </c>
      <c r="C3470" s="16" t="s">
        <v>12739</v>
      </c>
      <c r="D3470" s="16"/>
      <c r="E3470">
        <v>6</v>
      </c>
      <c r="F3470" t="s">
        <v>4680</v>
      </c>
      <c r="G3470">
        <v>1</v>
      </c>
      <c r="H3470">
        <v>0</v>
      </c>
      <c r="I3470">
        <f>1</f>
        <v>1</v>
      </c>
    </row>
    <row r="3471" spans="2:9" x14ac:dyDescent="0.25">
      <c r="B3471">
        <v>0</v>
      </c>
      <c r="C3471" s="16" t="s">
        <v>12740</v>
      </c>
      <c r="D3471" s="16"/>
      <c r="E3471">
        <v>6</v>
      </c>
      <c r="F3471" t="s">
        <v>6389</v>
      </c>
      <c r="G3471">
        <v>1</v>
      </c>
      <c r="H3471">
        <v>0</v>
      </c>
      <c r="I3471">
        <f>1</f>
        <v>1</v>
      </c>
    </row>
    <row r="3472" spans="2:9" x14ac:dyDescent="0.25">
      <c r="B3472">
        <v>0</v>
      </c>
      <c r="C3472" s="16" t="s">
        <v>12741</v>
      </c>
      <c r="D3472" s="16"/>
      <c r="E3472">
        <v>6</v>
      </c>
      <c r="F3472" t="s">
        <v>6390</v>
      </c>
      <c r="G3472">
        <v>1</v>
      </c>
      <c r="H3472">
        <v>0</v>
      </c>
      <c r="I3472">
        <f>1</f>
        <v>1</v>
      </c>
    </row>
    <row r="3473" spans="2:9" x14ac:dyDescent="0.25">
      <c r="B3473">
        <v>0</v>
      </c>
      <c r="C3473" s="16" t="s">
        <v>12742</v>
      </c>
      <c r="D3473" s="16"/>
      <c r="E3473">
        <v>6</v>
      </c>
      <c r="F3473" t="s">
        <v>4680</v>
      </c>
      <c r="G3473">
        <v>1</v>
      </c>
      <c r="H3473">
        <v>0</v>
      </c>
      <c r="I3473">
        <f>1</f>
        <v>1</v>
      </c>
    </row>
    <row r="3474" spans="2:9" x14ac:dyDescent="0.25">
      <c r="B3474">
        <v>0</v>
      </c>
      <c r="C3474" s="16" t="s">
        <v>12743</v>
      </c>
      <c r="D3474" s="16"/>
      <c r="E3474">
        <v>6</v>
      </c>
      <c r="F3474" t="s">
        <v>6391</v>
      </c>
      <c r="G3474">
        <v>1</v>
      </c>
      <c r="H3474">
        <v>0</v>
      </c>
      <c r="I3474">
        <f>1</f>
        <v>1</v>
      </c>
    </row>
    <row r="3475" spans="2:9" x14ac:dyDescent="0.25">
      <c r="B3475">
        <v>0</v>
      </c>
      <c r="C3475" s="16" t="s">
        <v>12744</v>
      </c>
      <c r="D3475" s="16"/>
      <c r="E3475">
        <v>6</v>
      </c>
      <c r="F3475" t="s">
        <v>6392</v>
      </c>
      <c r="G3475">
        <v>1</v>
      </c>
      <c r="H3475">
        <v>0</v>
      </c>
      <c r="I3475">
        <f>1</f>
        <v>1</v>
      </c>
    </row>
    <row r="3476" spans="2:9" x14ac:dyDescent="0.25">
      <c r="B3476">
        <v>0</v>
      </c>
      <c r="C3476" s="16" t="s">
        <v>12745</v>
      </c>
      <c r="D3476" s="16"/>
      <c r="E3476">
        <v>6</v>
      </c>
      <c r="F3476" t="s">
        <v>4680</v>
      </c>
      <c r="G3476">
        <v>1</v>
      </c>
      <c r="H3476">
        <v>0</v>
      </c>
      <c r="I3476">
        <f>1</f>
        <v>1</v>
      </c>
    </row>
    <row r="3477" spans="2:9" x14ac:dyDescent="0.25">
      <c r="B3477">
        <v>0</v>
      </c>
      <c r="C3477" s="16" t="s">
        <v>12746</v>
      </c>
      <c r="D3477" s="16"/>
      <c r="E3477">
        <v>6</v>
      </c>
      <c r="F3477" t="s">
        <v>4680</v>
      </c>
      <c r="G3477">
        <v>1</v>
      </c>
      <c r="H3477">
        <v>0</v>
      </c>
      <c r="I3477">
        <f>1</f>
        <v>1</v>
      </c>
    </row>
    <row r="3478" spans="2:9" x14ac:dyDescent="0.25">
      <c r="B3478">
        <v>0</v>
      </c>
      <c r="C3478" s="16" t="s">
        <v>12747</v>
      </c>
      <c r="D3478" s="16"/>
      <c r="E3478">
        <v>6</v>
      </c>
      <c r="F3478" t="s">
        <v>6393</v>
      </c>
      <c r="G3478">
        <v>1</v>
      </c>
      <c r="H3478">
        <v>0</v>
      </c>
      <c r="I3478">
        <f>1</f>
        <v>1</v>
      </c>
    </row>
    <row r="3479" spans="2:9" x14ac:dyDescent="0.25">
      <c r="B3479">
        <v>0</v>
      </c>
      <c r="C3479" s="16" t="s">
        <v>12748</v>
      </c>
      <c r="D3479" s="16"/>
      <c r="E3479">
        <v>6</v>
      </c>
      <c r="F3479" t="s">
        <v>6394</v>
      </c>
      <c r="G3479">
        <v>1</v>
      </c>
      <c r="H3479">
        <v>0</v>
      </c>
      <c r="I3479">
        <f>1</f>
        <v>1</v>
      </c>
    </row>
    <row r="3480" spans="2:9" x14ac:dyDescent="0.25">
      <c r="B3480">
        <v>0</v>
      </c>
      <c r="C3480" s="16" t="s">
        <v>12749</v>
      </c>
      <c r="D3480" s="16"/>
      <c r="E3480">
        <v>6</v>
      </c>
      <c r="F3480" t="s">
        <v>4680</v>
      </c>
      <c r="G3480">
        <v>1</v>
      </c>
      <c r="H3480">
        <v>0</v>
      </c>
      <c r="I3480">
        <f>1</f>
        <v>1</v>
      </c>
    </row>
    <row r="3481" spans="2:9" x14ac:dyDescent="0.25">
      <c r="B3481">
        <v>0</v>
      </c>
      <c r="C3481" s="16" t="s">
        <v>12750</v>
      </c>
      <c r="D3481" s="16"/>
      <c r="E3481">
        <v>6</v>
      </c>
      <c r="F3481" t="s">
        <v>6395</v>
      </c>
      <c r="G3481">
        <v>1</v>
      </c>
      <c r="H3481">
        <v>0</v>
      </c>
      <c r="I3481">
        <f>1</f>
        <v>1</v>
      </c>
    </row>
    <row r="3482" spans="2:9" x14ac:dyDescent="0.25">
      <c r="B3482">
        <v>0</v>
      </c>
      <c r="C3482" s="16" t="s">
        <v>12751</v>
      </c>
      <c r="D3482" s="16"/>
      <c r="E3482">
        <v>6</v>
      </c>
      <c r="F3482" t="s">
        <v>6396</v>
      </c>
      <c r="G3482">
        <v>1</v>
      </c>
      <c r="H3482">
        <v>0</v>
      </c>
      <c r="I3482">
        <f>1</f>
        <v>1</v>
      </c>
    </row>
    <row r="3483" spans="2:9" x14ac:dyDescent="0.25">
      <c r="B3483">
        <v>0</v>
      </c>
      <c r="C3483" s="16" t="s">
        <v>12752</v>
      </c>
      <c r="D3483" s="16"/>
      <c r="E3483">
        <v>6</v>
      </c>
      <c r="F3483" t="s">
        <v>6397</v>
      </c>
      <c r="G3483">
        <v>1</v>
      </c>
      <c r="H3483">
        <v>0</v>
      </c>
      <c r="I3483">
        <f>1</f>
        <v>1</v>
      </c>
    </row>
    <row r="3484" spans="2:9" x14ac:dyDescent="0.25">
      <c r="B3484">
        <v>0</v>
      </c>
      <c r="C3484" s="16" t="s">
        <v>12753</v>
      </c>
      <c r="D3484" s="16"/>
      <c r="E3484">
        <v>6</v>
      </c>
      <c r="F3484" t="s">
        <v>6398</v>
      </c>
      <c r="G3484">
        <v>1</v>
      </c>
      <c r="H3484">
        <v>0</v>
      </c>
      <c r="I3484">
        <f>1</f>
        <v>1</v>
      </c>
    </row>
    <row r="3485" spans="2:9" x14ac:dyDescent="0.25">
      <c r="B3485">
        <v>0</v>
      </c>
      <c r="C3485" s="16" t="s">
        <v>12754</v>
      </c>
      <c r="D3485" s="16"/>
      <c r="E3485">
        <v>6</v>
      </c>
      <c r="F3485" t="s">
        <v>4680</v>
      </c>
      <c r="G3485">
        <v>1</v>
      </c>
      <c r="H3485">
        <v>0</v>
      </c>
      <c r="I3485">
        <f>1</f>
        <v>1</v>
      </c>
    </row>
    <row r="3486" spans="2:9" x14ac:dyDescent="0.25">
      <c r="B3486">
        <v>0</v>
      </c>
      <c r="C3486" s="16" t="s">
        <v>12755</v>
      </c>
      <c r="D3486" s="16"/>
      <c r="E3486">
        <v>6</v>
      </c>
      <c r="F3486" t="s">
        <v>6399</v>
      </c>
      <c r="G3486">
        <v>1</v>
      </c>
      <c r="H3486">
        <v>0</v>
      </c>
      <c r="I3486">
        <f>1</f>
        <v>1</v>
      </c>
    </row>
    <row r="3487" spans="2:9" x14ac:dyDescent="0.25">
      <c r="B3487">
        <v>0</v>
      </c>
      <c r="C3487" s="16" t="s">
        <v>12756</v>
      </c>
      <c r="D3487" s="16"/>
      <c r="E3487">
        <v>6</v>
      </c>
      <c r="F3487" t="s">
        <v>6400</v>
      </c>
      <c r="G3487">
        <v>1</v>
      </c>
      <c r="H3487">
        <v>0</v>
      </c>
      <c r="I3487">
        <f>1</f>
        <v>1</v>
      </c>
    </row>
    <row r="3488" spans="2:9" x14ac:dyDescent="0.25">
      <c r="B3488">
        <v>0</v>
      </c>
      <c r="C3488" s="16" t="s">
        <v>12757</v>
      </c>
      <c r="D3488" s="16"/>
      <c r="E3488">
        <v>6</v>
      </c>
      <c r="F3488" t="s">
        <v>4680</v>
      </c>
      <c r="G3488">
        <v>1</v>
      </c>
      <c r="H3488">
        <v>0</v>
      </c>
      <c r="I3488">
        <f>1</f>
        <v>1</v>
      </c>
    </row>
    <row r="3489" spans="2:9" x14ac:dyDescent="0.25">
      <c r="B3489">
        <v>0</v>
      </c>
      <c r="C3489" s="16" t="s">
        <v>12758</v>
      </c>
      <c r="D3489" s="16"/>
      <c r="E3489">
        <v>6</v>
      </c>
      <c r="F3489" t="s">
        <v>6401</v>
      </c>
      <c r="G3489">
        <v>1</v>
      </c>
      <c r="H3489">
        <v>0</v>
      </c>
      <c r="I3489">
        <f>1</f>
        <v>1</v>
      </c>
    </row>
    <row r="3490" spans="2:9" x14ac:dyDescent="0.25">
      <c r="B3490">
        <v>0</v>
      </c>
      <c r="C3490" s="16" t="s">
        <v>12759</v>
      </c>
      <c r="D3490" s="16"/>
      <c r="E3490">
        <v>6</v>
      </c>
      <c r="F3490" t="s">
        <v>4680</v>
      </c>
      <c r="G3490">
        <v>1</v>
      </c>
      <c r="H3490">
        <v>0</v>
      </c>
      <c r="I3490">
        <f>1</f>
        <v>1</v>
      </c>
    </row>
    <row r="3491" spans="2:9" x14ac:dyDescent="0.25">
      <c r="B3491">
        <v>0</v>
      </c>
      <c r="C3491" s="16" t="s">
        <v>12760</v>
      </c>
      <c r="D3491" s="16"/>
      <c r="E3491">
        <v>6</v>
      </c>
      <c r="F3491" t="s">
        <v>6402</v>
      </c>
      <c r="G3491">
        <v>1</v>
      </c>
      <c r="H3491">
        <v>0</v>
      </c>
      <c r="I3491">
        <f>1</f>
        <v>1</v>
      </c>
    </row>
    <row r="3492" spans="2:9" x14ac:dyDescent="0.25">
      <c r="B3492">
        <v>0</v>
      </c>
      <c r="C3492" s="16" t="s">
        <v>12761</v>
      </c>
      <c r="D3492" s="16"/>
      <c r="E3492">
        <v>6</v>
      </c>
      <c r="F3492" t="s">
        <v>6403</v>
      </c>
      <c r="G3492">
        <v>1</v>
      </c>
      <c r="H3492">
        <v>0</v>
      </c>
      <c r="I3492">
        <f>1</f>
        <v>1</v>
      </c>
    </row>
    <row r="3493" spans="2:9" x14ac:dyDescent="0.25">
      <c r="B3493">
        <v>0</v>
      </c>
      <c r="C3493" s="16" t="s">
        <v>12762</v>
      </c>
      <c r="D3493" s="16"/>
      <c r="E3493">
        <v>6</v>
      </c>
      <c r="F3493" t="s">
        <v>6404</v>
      </c>
      <c r="G3493">
        <v>1</v>
      </c>
      <c r="H3493">
        <v>0</v>
      </c>
      <c r="I3493">
        <f>1</f>
        <v>1</v>
      </c>
    </row>
    <row r="3494" spans="2:9" x14ac:dyDescent="0.25">
      <c r="B3494">
        <v>0</v>
      </c>
      <c r="C3494" s="16" t="s">
        <v>12763</v>
      </c>
      <c r="D3494" s="16"/>
      <c r="E3494">
        <v>6</v>
      </c>
      <c r="F3494" t="s">
        <v>4680</v>
      </c>
      <c r="G3494">
        <v>1</v>
      </c>
      <c r="H3494">
        <v>0</v>
      </c>
      <c r="I3494">
        <f>1</f>
        <v>1</v>
      </c>
    </row>
    <row r="3495" spans="2:9" x14ac:dyDescent="0.25">
      <c r="B3495">
        <v>0</v>
      </c>
      <c r="C3495" s="16" t="s">
        <v>12764</v>
      </c>
      <c r="D3495" s="16"/>
      <c r="E3495">
        <v>6</v>
      </c>
      <c r="F3495" t="s">
        <v>6405</v>
      </c>
      <c r="G3495">
        <v>1</v>
      </c>
      <c r="H3495">
        <v>0</v>
      </c>
      <c r="I3495">
        <f>1</f>
        <v>1</v>
      </c>
    </row>
    <row r="3496" spans="2:9" x14ac:dyDescent="0.25">
      <c r="B3496">
        <v>0</v>
      </c>
      <c r="C3496" s="16" t="s">
        <v>12765</v>
      </c>
      <c r="D3496" s="16"/>
      <c r="E3496">
        <v>6</v>
      </c>
      <c r="F3496" t="s">
        <v>6406</v>
      </c>
      <c r="G3496">
        <v>1</v>
      </c>
      <c r="H3496">
        <v>0</v>
      </c>
      <c r="I3496">
        <f>1</f>
        <v>1</v>
      </c>
    </row>
    <row r="3497" spans="2:9" x14ac:dyDescent="0.25">
      <c r="B3497">
        <v>0</v>
      </c>
      <c r="C3497" s="16" t="s">
        <v>12766</v>
      </c>
      <c r="D3497" s="16"/>
      <c r="E3497">
        <v>6</v>
      </c>
      <c r="F3497" t="s">
        <v>6407</v>
      </c>
      <c r="G3497">
        <v>1</v>
      </c>
      <c r="H3497">
        <v>0</v>
      </c>
      <c r="I3497">
        <f>1</f>
        <v>1</v>
      </c>
    </row>
    <row r="3498" spans="2:9" x14ac:dyDescent="0.25">
      <c r="B3498">
        <v>0</v>
      </c>
      <c r="C3498" s="16" t="s">
        <v>12767</v>
      </c>
      <c r="D3498" s="16"/>
      <c r="E3498">
        <v>6</v>
      </c>
      <c r="F3498" t="s">
        <v>4680</v>
      </c>
      <c r="G3498">
        <v>1</v>
      </c>
      <c r="H3498">
        <v>0</v>
      </c>
      <c r="I3498">
        <f>1</f>
        <v>1</v>
      </c>
    </row>
    <row r="3499" spans="2:9" x14ac:dyDescent="0.25">
      <c r="B3499">
        <v>0</v>
      </c>
      <c r="C3499" s="16" t="s">
        <v>12768</v>
      </c>
      <c r="D3499" s="16"/>
      <c r="E3499">
        <v>6</v>
      </c>
      <c r="F3499" t="s">
        <v>6408</v>
      </c>
      <c r="G3499">
        <v>1</v>
      </c>
      <c r="H3499">
        <v>0</v>
      </c>
      <c r="I3499">
        <f>1</f>
        <v>1</v>
      </c>
    </row>
    <row r="3500" spans="2:9" x14ac:dyDescent="0.25">
      <c r="B3500">
        <v>0</v>
      </c>
      <c r="C3500" s="16" t="s">
        <v>12769</v>
      </c>
      <c r="D3500" s="16"/>
      <c r="E3500">
        <v>6</v>
      </c>
      <c r="F3500" t="s">
        <v>6409</v>
      </c>
      <c r="G3500">
        <v>1</v>
      </c>
      <c r="H3500">
        <v>0</v>
      </c>
      <c r="I3500">
        <f>1</f>
        <v>1</v>
      </c>
    </row>
    <row r="3501" spans="2:9" x14ac:dyDescent="0.25">
      <c r="B3501">
        <v>0</v>
      </c>
      <c r="C3501" s="16" t="s">
        <v>12770</v>
      </c>
      <c r="D3501" s="16"/>
      <c r="E3501">
        <v>6</v>
      </c>
      <c r="F3501" t="s">
        <v>6410</v>
      </c>
      <c r="G3501">
        <v>1</v>
      </c>
      <c r="H3501">
        <v>0</v>
      </c>
      <c r="I3501">
        <f>1</f>
        <v>1</v>
      </c>
    </row>
    <row r="3502" spans="2:9" x14ac:dyDescent="0.25">
      <c r="B3502">
        <v>0</v>
      </c>
      <c r="C3502" s="16" t="s">
        <v>12771</v>
      </c>
      <c r="D3502" s="16"/>
      <c r="E3502">
        <v>6</v>
      </c>
      <c r="F3502" t="s">
        <v>4680</v>
      </c>
      <c r="G3502">
        <v>1</v>
      </c>
      <c r="H3502">
        <v>0</v>
      </c>
      <c r="I3502">
        <f>1</f>
        <v>1</v>
      </c>
    </row>
    <row r="3503" spans="2:9" x14ac:dyDescent="0.25">
      <c r="B3503">
        <v>0</v>
      </c>
      <c r="C3503" s="16" t="s">
        <v>12772</v>
      </c>
      <c r="D3503" s="16"/>
      <c r="E3503">
        <v>6</v>
      </c>
      <c r="F3503" t="s">
        <v>6411</v>
      </c>
      <c r="G3503">
        <v>1</v>
      </c>
      <c r="H3503">
        <v>0</v>
      </c>
      <c r="I3503">
        <f>1</f>
        <v>1</v>
      </c>
    </row>
    <row r="3504" spans="2:9" x14ac:dyDescent="0.25">
      <c r="B3504">
        <v>0</v>
      </c>
      <c r="C3504" s="16" t="s">
        <v>12773</v>
      </c>
      <c r="D3504" s="16"/>
      <c r="E3504">
        <v>6</v>
      </c>
      <c r="F3504" t="s">
        <v>6412</v>
      </c>
      <c r="G3504">
        <v>1</v>
      </c>
      <c r="H3504">
        <v>0</v>
      </c>
      <c r="I3504">
        <f>1</f>
        <v>1</v>
      </c>
    </row>
    <row r="3505" spans="2:9" x14ac:dyDescent="0.25">
      <c r="B3505">
        <v>0</v>
      </c>
      <c r="C3505" s="16" t="s">
        <v>12774</v>
      </c>
      <c r="D3505" s="16"/>
      <c r="E3505">
        <v>6</v>
      </c>
      <c r="F3505" t="s">
        <v>6413</v>
      </c>
      <c r="G3505">
        <v>1</v>
      </c>
      <c r="H3505">
        <v>0</v>
      </c>
      <c r="I3505">
        <f>1</f>
        <v>1</v>
      </c>
    </row>
    <row r="3506" spans="2:9" x14ac:dyDescent="0.25">
      <c r="B3506">
        <v>0</v>
      </c>
      <c r="C3506" s="16" t="s">
        <v>12775</v>
      </c>
      <c r="D3506" s="16"/>
      <c r="E3506">
        <v>6</v>
      </c>
      <c r="F3506" t="s">
        <v>4680</v>
      </c>
      <c r="G3506">
        <v>1</v>
      </c>
      <c r="H3506">
        <v>0</v>
      </c>
      <c r="I3506">
        <f>1</f>
        <v>1</v>
      </c>
    </row>
    <row r="3507" spans="2:9" x14ac:dyDescent="0.25">
      <c r="B3507">
        <v>0</v>
      </c>
      <c r="C3507" s="16" t="s">
        <v>12776</v>
      </c>
      <c r="D3507" s="16"/>
      <c r="E3507">
        <v>6</v>
      </c>
      <c r="F3507" t="s">
        <v>6414</v>
      </c>
      <c r="G3507">
        <v>1</v>
      </c>
      <c r="H3507">
        <v>0</v>
      </c>
      <c r="I3507">
        <f>1</f>
        <v>1</v>
      </c>
    </row>
    <row r="3508" spans="2:9" x14ac:dyDescent="0.25">
      <c r="B3508">
        <v>0</v>
      </c>
      <c r="C3508" s="16" t="s">
        <v>12777</v>
      </c>
      <c r="D3508" s="16"/>
      <c r="E3508">
        <v>6</v>
      </c>
      <c r="F3508" t="s">
        <v>6415</v>
      </c>
      <c r="G3508">
        <v>1</v>
      </c>
      <c r="H3508">
        <v>0</v>
      </c>
      <c r="I3508">
        <f>1</f>
        <v>1</v>
      </c>
    </row>
    <row r="3509" spans="2:9" x14ac:dyDescent="0.25">
      <c r="B3509">
        <v>0</v>
      </c>
      <c r="C3509" s="16" t="s">
        <v>12778</v>
      </c>
      <c r="D3509" s="16"/>
      <c r="E3509">
        <v>6</v>
      </c>
      <c r="F3509" t="s">
        <v>6416</v>
      </c>
      <c r="G3509">
        <v>1</v>
      </c>
      <c r="H3509">
        <v>0</v>
      </c>
      <c r="I3509">
        <f>1</f>
        <v>1</v>
      </c>
    </row>
    <row r="3510" spans="2:9" x14ac:dyDescent="0.25">
      <c r="B3510">
        <v>0</v>
      </c>
      <c r="C3510" s="16" t="s">
        <v>12779</v>
      </c>
      <c r="D3510" s="16"/>
      <c r="E3510">
        <v>6</v>
      </c>
      <c r="F3510" t="s">
        <v>4680</v>
      </c>
      <c r="G3510">
        <v>1</v>
      </c>
      <c r="H3510">
        <v>0</v>
      </c>
      <c r="I3510">
        <f>1</f>
        <v>1</v>
      </c>
    </row>
    <row r="3511" spans="2:9" x14ac:dyDescent="0.25">
      <c r="B3511">
        <v>0</v>
      </c>
      <c r="C3511" s="16" t="s">
        <v>12780</v>
      </c>
      <c r="D3511" s="16"/>
      <c r="E3511">
        <v>6</v>
      </c>
      <c r="F3511" t="s">
        <v>4680</v>
      </c>
      <c r="G3511">
        <v>1</v>
      </c>
      <c r="H3511">
        <v>0</v>
      </c>
      <c r="I3511">
        <f>1</f>
        <v>1</v>
      </c>
    </row>
    <row r="3512" spans="2:9" x14ac:dyDescent="0.25">
      <c r="B3512">
        <v>0</v>
      </c>
      <c r="C3512" s="16" t="s">
        <v>12781</v>
      </c>
      <c r="D3512" s="16"/>
      <c r="E3512">
        <v>6</v>
      </c>
      <c r="F3512" t="s">
        <v>6417</v>
      </c>
      <c r="G3512">
        <v>1</v>
      </c>
      <c r="H3512">
        <v>0</v>
      </c>
      <c r="I3512">
        <f>1</f>
        <v>1</v>
      </c>
    </row>
    <row r="3513" spans="2:9" x14ac:dyDescent="0.25">
      <c r="B3513">
        <v>0</v>
      </c>
      <c r="C3513" s="16" t="s">
        <v>12782</v>
      </c>
      <c r="D3513" s="16"/>
      <c r="E3513">
        <v>6</v>
      </c>
      <c r="F3513" t="s">
        <v>4680</v>
      </c>
      <c r="G3513">
        <v>1</v>
      </c>
      <c r="H3513">
        <v>0</v>
      </c>
      <c r="I3513">
        <f>1</f>
        <v>1</v>
      </c>
    </row>
    <row r="3514" spans="2:9" x14ac:dyDescent="0.25">
      <c r="B3514">
        <v>0</v>
      </c>
      <c r="C3514" s="16" t="s">
        <v>12783</v>
      </c>
      <c r="D3514" s="16"/>
      <c r="E3514">
        <v>6</v>
      </c>
      <c r="F3514" t="s">
        <v>6418</v>
      </c>
      <c r="G3514">
        <v>1</v>
      </c>
      <c r="H3514">
        <v>0</v>
      </c>
      <c r="I3514">
        <f>1</f>
        <v>1</v>
      </c>
    </row>
    <row r="3515" spans="2:9" x14ac:dyDescent="0.25">
      <c r="B3515">
        <v>0</v>
      </c>
      <c r="C3515" s="16" t="s">
        <v>12784</v>
      </c>
      <c r="D3515" s="16"/>
      <c r="E3515">
        <v>6</v>
      </c>
      <c r="F3515" t="s">
        <v>6419</v>
      </c>
      <c r="G3515">
        <v>1</v>
      </c>
      <c r="H3515">
        <v>0</v>
      </c>
      <c r="I3515">
        <f>1</f>
        <v>1</v>
      </c>
    </row>
    <row r="3516" spans="2:9" x14ac:dyDescent="0.25">
      <c r="B3516">
        <v>0</v>
      </c>
      <c r="C3516" s="16" t="s">
        <v>12785</v>
      </c>
      <c r="D3516" s="16"/>
      <c r="E3516">
        <v>6</v>
      </c>
      <c r="F3516" t="s">
        <v>6420</v>
      </c>
      <c r="G3516">
        <v>1</v>
      </c>
      <c r="H3516">
        <v>0</v>
      </c>
      <c r="I3516">
        <f>1</f>
        <v>1</v>
      </c>
    </row>
    <row r="3517" spans="2:9" x14ac:dyDescent="0.25">
      <c r="B3517">
        <v>0</v>
      </c>
      <c r="C3517" s="16" t="s">
        <v>12786</v>
      </c>
      <c r="D3517" s="16"/>
      <c r="E3517">
        <v>6</v>
      </c>
      <c r="F3517" t="s">
        <v>5641</v>
      </c>
      <c r="G3517">
        <v>1</v>
      </c>
      <c r="H3517">
        <v>0</v>
      </c>
      <c r="I3517">
        <f>1</f>
        <v>1</v>
      </c>
    </row>
    <row r="3518" spans="2:9" x14ac:dyDescent="0.25">
      <c r="B3518">
        <v>0</v>
      </c>
      <c r="C3518" s="16" t="s">
        <v>12787</v>
      </c>
      <c r="D3518" s="16"/>
      <c r="E3518">
        <v>6</v>
      </c>
      <c r="F3518" t="s">
        <v>4680</v>
      </c>
      <c r="G3518">
        <v>1</v>
      </c>
      <c r="H3518">
        <v>0</v>
      </c>
      <c r="I3518">
        <f>1</f>
        <v>1</v>
      </c>
    </row>
    <row r="3519" spans="2:9" x14ac:dyDescent="0.25">
      <c r="B3519">
        <v>0</v>
      </c>
      <c r="C3519" s="16" t="s">
        <v>12788</v>
      </c>
      <c r="D3519" s="16"/>
      <c r="E3519">
        <v>6</v>
      </c>
      <c r="F3519" t="s">
        <v>6421</v>
      </c>
      <c r="G3519">
        <v>1</v>
      </c>
      <c r="H3519">
        <v>0</v>
      </c>
      <c r="I3519">
        <f>1</f>
        <v>1</v>
      </c>
    </row>
    <row r="3520" spans="2:9" x14ac:dyDescent="0.25">
      <c r="B3520">
        <v>0</v>
      </c>
      <c r="C3520" s="16" t="s">
        <v>12789</v>
      </c>
      <c r="D3520" s="16"/>
      <c r="E3520">
        <v>6</v>
      </c>
      <c r="F3520" t="s">
        <v>4680</v>
      </c>
      <c r="G3520">
        <v>1</v>
      </c>
      <c r="H3520">
        <v>0</v>
      </c>
      <c r="I3520">
        <f>1</f>
        <v>1</v>
      </c>
    </row>
    <row r="3521" spans="2:9" x14ac:dyDescent="0.25">
      <c r="B3521">
        <v>0</v>
      </c>
      <c r="C3521" s="16" t="s">
        <v>12790</v>
      </c>
      <c r="D3521" s="16"/>
      <c r="E3521">
        <v>6</v>
      </c>
      <c r="F3521" t="s">
        <v>6422</v>
      </c>
      <c r="G3521">
        <v>1</v>
      </c>
      <c r="H3521">
        <v>0</v>
      </c>
      <c r="I3521">
        <f>1</f>
        <v>1</v>
      </c>
    </row>
    <row r="3522" spans="2:9" x14ac:dyDescent="0.25">
      <c r="B3522">
        <v>0</v>
      </c>
      <c r="C3522" s="16" t="s">
        <v>12791</v>
      </c>
      <c r="D3522" s="16"/>
      <c r="E3522">
        <v>6</v>
      </c>
      <c r="F3522" t="s">
        <v>4680</v>
      </c>
      <c r="G3522">
        <v>1</v>
      </c>
      <c r="H3522">
        <v>0</v>
      </c>
      <c r="I3522">
        <f>1</f>
        <v>1</v>
      </c>
    </row>
    <row r="3523" spans="2:9" x14ac:dyDescent="0.25">
      <c r="B3523">
        <v>0</v>
      </c>
      <c r="C3523" s="16" t="s">
        <v>12792</v>
      </c>
      <c r="D3523" s="16"/>
      <c r="E3523">
        <v>6</v>
      </c>
      <c r="F3523" t="s">
        <v>6423</v>
      </c>
      <c r="G3523">
        <v>1</v>
      </c>
      <c r="H3523">
        <v>0</v>
      </c>
      <c r="I3523">
        <f>1</f>
        <v>1</v>
      </c>
    </row>
    <row r="3524" spans="2:9" x14ac:dyDescent="0.25">
      <c r="B3524">
        <v>0</v>
      </c>
      <c r="C3524" s="16" t="s">
        <v>12793</v>
      </c>
      <c r="D3524" s="16"/>
      <c r="E3524">
        <v>6</v>
      </c>
      <c r="F3524" t="s">
        <v>6424</v>
      </c>
      <c r="G3524">
        <v>1</v>
      </c>
      <c r="H3524">
        <v>0</v>
      </c>
      <c r="I3524">
        <f>1</f>
        <v>1</v>
      </c>
    </row>
    <row r="3525" spans="2:9" x14ac:dyDescent="0.25">
      <c r="B3525">
        <v>0</v>
      </c>
      <c r="C3525" s="16" t="s">
        <v>12794</v>
      </c>
      <c r="D3525" s="16"/>
      <c r="E3525">
        <v>6</v>
      </c>
      <c r="F3525" t="s">
        <v>4680</v>
      </c>
      <c r="G3525">
        <v>1</v>
      </c>
      <c r="H3525">
        <v>0</v>
      </c>
      <c r="I3525">
        <f>1</f>
        <v>1</v>
      </c>
    </row>
    <row r="3526" spans="2:9" x14ac:dyDescent="0.25">
      <c r="B3526">
        <v>0</v>
      </c>
      <c r="C3526" s="16" t="s">
        <v>12795</v>
      </c>
      <c r="D3526" s="16"/>
      <c r="E3526">
        <v>6</v>
      </c>
      <c r="F3526" t="s">
        <v>6425</v>
      </c>
      <c r="G3526">
        <v>1</v>
      </c>
      <c r="H3526">
        <v>0</v>
      </c>
      <c r="I3526">
        <f>1</f>
        <v>1</v>
      </c>
    </row>
    <row r="3527" spans="2:9" x14ac:dyDescent="0.25">
      <c r="B3527">
        <v>0</v>
      </c>
      <c r="C3527" s="16" t="s">
        <v>12796</v>
      </c>
      <c r="D3527" s="16"/>
      <c r="E3527">
        <v>6</v>
      </c>
      <c r="F3527" t="s">
        <v>6426</v>
      </c>
      <c r="G3527">
        <v>1</v>
      </c>
      <c r="H3527">
        <v>0</v>
      </c>
      <c r="I3527">
        <f>1</f>
        <v>1</v>
      </c>
    </row>
    <row r="3528" spans="2:9" x14ac:dyDescent="0.25">
      <c r="B3528">
        <v>0</v>
      </c>
      <c r="C3528" s="16" t="s">
        <v>12797</v>
      </c>
      <c r="D3528" s="16"/>
      <c r="E3528">
        <v>6</v>
      </c>
      <c r="F3528" t="s">
        <v>6427</v>
      </c>
      <c r="G3528">
        <v>1</v>
      </c>
      <c r="H3528">
        <v>0</v>
      </c>
      <c r="I3528">
        <f>1</f>
        <v>1</v>
      </c>
    </row>
    <row r="3529" spans="2:9" x14ac:dyDescent="0.25">
      <c r="B3529">
        <v>0</v>
      </c>
      <c r="C3529" s="16" t="s">
        <v>12798</v>
      </c>
      <c r="D3529" s="16"/>
      <c r="E3529">
        <v>6</v>
      </c>
      <c r="F3529" t="s">
        <v>4680</v>
      </c>
      <c r="G3529">
        <v>1</v>
      </c>
      <c r="H3529">
        <v>0</v>
      </c>
      <c r="I3529">
        <f>1</f>
        <v>1</v>
      </c>
    </row>
    <row r="3530" spans="2:9" x14ac:dyDescent="0.25">
      <c r="B3530">
        <v>0</v>
      </c>
      <c r="C3530" s="16" t="s">
        <v>12799</v>
      </c>
      <c r="D3530" s="16"/>
      <c r="E3530">
        <v>6</v>
      </c>
      <c r="F3530" t="s">
        <v>6428</v>
      </c>
      <c r="G3530">
        <v>1</v>
      </c>
      <c r="H3530">
        <v>0</v>
      </c>
      <c r="I3530">
        <f>1</f>
        <v>1</v>
      </c>
    </row>
    <row r="3531" spans="2:9" x14ac:dyDescent="0.25">
      <c r="B3531">
        <v>0</v>
      </c>
      <c r="C3531" s="16" t="s">
        <v>12800</v>
      </c>
      <c r="D3531" s="16"/>
      <c r="E3531">
        <v>6</v>
      </c>
      <c r="F3531" t="s">
        <v>6429</v>
      </c>
      <c r="G3531">
        <v>1</v>
      </c>
      <c r="H3531">
        <v>0</v>
      </c>
      <c r="I3531">
        <f>1</f>
        <v>1</v>
      </c>
    </row>
    <row r="3532" spans="2:9" x14ac:dyDescent="0.25">
      <c r="B3532">
        <v>0</v>
      </c>
      <c r="C3532" s="16" t="s">
        <v>12801</v>
      </c>
      <c r="D3532" s="16"/>
      <c r="E3532">
        <v>6</v>
      </c>
      <c r="F3532" t="s">
        <v>4680</v>
      </c>
      <c r="G3532">
        <v>1</v>
      </c>
      <c r="H3532">
        <v>0</v>
      </c>
      <c r="I3532">
        <f>1</f>
        <v>1</v>
      </c>
    </row>
    <row r="3533" spans="2:9" x14ac:dyDescent="0.25">
      <c r="B3533">
        <v>0</v>
      </c>
      <c r="C3533" s="16" t="s">
        <v>12802</v>
      </c>
      <c r="D3533" s="16"/>
      <c r="E3533">
        <v>6</v>
      </c>
      <c r="F3533" t="s">
        <v>6430</v>
      </c>
      <c r="G3533">
        <v>1</v>
      </c>
      <c r="H3533">
        <v>0</v>
      </c>
      <c r="I3533">
        <f>1</f>
        <v>1</v>
      </c>
    </row>
    <row r="3534" spans="2:9" x14ac:dyDescent="0.25">
      <c r="B3534">
        <v>0</v>
      </c>
      <c r="C3534" s="16" t="s">
        <v>12803</v>
      </c>
      <c r="D3534" s="16"/>
      <c r="E3534">
        <v>6</v>
      </c>
      <c r="F3534" t="s">
        <v>6431</v>
      </c>
      <c r="G3534">
        <v>1</v>
      </c>
      <c r="H3534">
        <v>0</v>
      </c>
      <c r="I3534">
        <f>1</f>
        <v>1</v>
      </c>
    </row>
    <row r="3535" spans="2:9" x14ac:dyDescent="0.25">
      <c r="B3535">
        <v>0</v>
      </c>
      <c r="C3535" s="16" t="s">
        <v>12804</v>
      </c>
      <c r="D3535" s="16"/>
      <c r="E3535">
        <v>6</v>
      </c>
      <c r="F3535" t="s">
        <v>6432</v>
      </c>
      <c r="G3535">
        <v>1</v>
      </c>
      <c r="H3535">
        <v>0</v>
      </c>
      <c r="I3535">
        <f>1</f>
        <v>1</v>
      </c>
    </row>
    <row r="3536" spans="2:9" x14ac:dyDescent="0.25">
      <c r="B3536">
        <v>0</v>
      </c>
      <c r="C3536" s="16" t="s">
        <v>12805</v>
      </c>
      <c r="D3536" s="16"/>
      <c r="E3536">
        <v>6</v>
      </c>
      <c r="F3536" t="s">
        <v>6433</v>
      </c>
      <c r="G3536">
        <v>1</v>
      </c>
      <c r="H3536">
        <v>0</v>
      </c>
      <c r="I3536">
        <f>1</f>
        <v>1</v>
      </c>
    </row>
    <row r="3537" spans="2:9" x14ac:dyDescent="0.25">
      <c r="B3537">
        <v>0</v>
      </c>
      <c r="C3537" s="16" t="s">
        <v>12806</v>
      </c>
      <c r="D3537" s="16"/>
      <c r="E3537">
        <v>6</v>
      </c>
      <c r="F3537" t="s">
        <v>6434</v>
      </c>
      <c r="G3537">
        <v>1</v>
      </c>
      <c r="H3537">
        <v>0</v>
      </c>
      <c r="I3537">
        <f>1</f>
        <v>1</v>
      </c>
    </row>
    <row r="3538" spans="2:9" x14ac:dyDescent="0.25">
      <c r="B3538">
        <v>0</v>
      </c>
      <c r="C3538" s="16" t="s">
        <v>12807</v>
      </c>
      <c r="D3538" s="16"/>
      <c r="E3538">
        <v>6</v>
      </c>
      <c r="F3538" t="s">
        <v>6435</v>
      </c>
      <c r="G3538">
        <v>1</v>
      </c>
      <c r="H3538">
        <v>0</v>
      </c>
      <c r="I3538">
        <f>1</f>
        <v>1</v>
      </c>
    </row>
    <row r="3539" spans="2:9" x14ac:dyDescent="0.25">
      <c r="B3539">
        <v>0</v>
      </c>
      <c r="C3539" s="16" t="s">
        <v>12808</v>
      </c>
      <c r="D3539" s="16"/>
      <c r="E3539">
        <v>6</v>
      </c>
      <c r="F3539" t="s">
        <v>6436</v>
      </c>
      <c r="G3539">
        <v>1</v>
      </c>
      <c r="H3539">
        <v>0</v>
      </c>
      <c r="I3539">
        <f>1</f>
        <v>1</v>
      </c>
    </row>
    <row r="3540" spans="2:9" x14ac:dyDescent="0.25">
      <c r="B3540">
        <v>0</v>
      </c>
      <c r="C3540" s="16" t="s">
        <v>12809</v>
      </c>
      <c r="D3540" s="16"/>
      <c r="E3540">
        <v>6</v>
      </c>
      <c r="F3540" t="s">
        <v>4680</v>
      </c>
      <c r="G3540">
        <v>1</v>
      </c>
      <c r="H3540">
        <v>0</v>
      </c>
      <c r="I3540">
        <f>1</f>
        <v>1</v>
      </c>
    </row>
    <row r="3541" spans="2:9" x14ac:dyDescent="0.25">
      <c r="B3541">
        <v>0</v>
      </c>
      <c r="C3541" s="16" t="s">
        <v>12810</v>
      </c>
      <c r="D3541" s="16"/>
      <c r="E3541">
        <v>6</v>
      </c>
      <c r="F3541" t="s">
        <v>6437</v>
      </c>
      <c r="G3541">
        <v>1</v>
      </c>
      <c r="H3541">
        <v>0</v>
      </c>
      <c r="I3541">
        <f>1</f>
        <v>1</v>
      </c>
    </row>
    <row r="3542" spans="2:9" x14ac:dyDescent="0.25">
      <c r="B3542">
        <v>0</v>
      </c>
      <c r="C3542" s="16" t="s">
        <v>12811</v>
      </c>
      <c r="D3542" s="16"/>
      <c r="E3542">
        <v>6</v>
      </c>
      <c r="F3542" t="s">
        <v>6438</v>
      </c>
      <c r="G3542">
        <v>1</v>
      </c>
      <c r="H3542">
        <v>0</v>
      </c>
      <c r="I3542">
        <f>1</f>
        <v>1</v>
      </c>
    </row>
    <row r="3543" spans="2:9" x14ac:dyDescent="0.25">
      <c r="B3543">
        <v>0</v>
      </c>
      <c r="C3543" s="16" t="s">
        <v>12812</v>
      </c>
      <c r="D3543" s="16"/>
      <c r="E3543">
        <v>6</v>
      </c>
      <c r="F3543" t="s">
        <v>6439</v>
      </c>
      <c r="G3543">
        <v>1</v>
      </c>
      <c r="H3543">
        <v>0</v>
      </c>
      <c r="I3543">
        <f>1</f>
        <v>1</v>
      </c>
    </row>
    <row r="3544" spans="2:9" x14ac:dyDescent="0.25">
      <c r="B3544">
        <v>0</v>
      </c>
      <c r="C3544" s="16" t="s">
        <v>12813</v>
      </c>
      <c r="D3544" s="16"/>
      <c r="E3544">
        <v>6</v>
      </c>
      <c r="F3544" t="s">
        <v>4680</v>
      </c>
      <c r="G3544">
        <v>1</v>
      </c>
      <c r="H3544">
        <v>0</v>
      </c>
      <c r="I3544">
        <f>1</f>
        <v>1</v>
      </c>
    </row>
    <row r="3545" spans="2:9" x14ac:dyDescent="0.25">
      <c r="B3545">
        <v>0</v>
      </c>
      <c r="C3545" s="16" t="s">
        <v>12814</v>
      </c>
      <c r="D3545" s="16"/>
      <c r="E3545">
        <v>6</v>
      </c>
      <c r="F3545" t="s">
        <v>6440</v>
      </c>
      <c r="G3545">
        <v>1</v>
      </c>
      <c r="H3545">
        <v>0</v>
      </c>
      <c r="I3545">
        <f>1</f>
        <v>1</v>
      </c>
    </row>
    <row r="3546" spans="2:9" x14ac:dyDescent="0.25">
      <c r="B3546">
        <v>0</v>
      </c>
      <c r="C3546" s="16" t="s">
        <v>12815</v>
      </c>
      <c r="D3546" s="16"/>
      <c r="E3546">
        <v>6</v>
      </c>
      <c r="F3546" t="s">
        <v>4680</v>
      </c>
      <c r="G3546">
        <v>1</v>
      </c>
      <c r="H3546">
        <v>0</v>
      </c>
      <c r="I3546">
        <f>1</f>
        <v>1</v>
      </c>
    </row>
    <row r="3547" spans="2:9" x14ac:dyDescent="0.25">
      <c r="B3547">
        <v>0</v>
      </c>
      <c r="C3547" s="16" t="s">
        <v>12816</v>
      </c>
      <c r="D3547" s="16"/>
      <c r="E3547">
        <v>6</v>
      </c>
      <c r="F3547" t="s">
        <v>6441</v>
      </c>
      <c r="G3547">
        <v>1</v>
      </c>
      <c r="H3547">
        <v>0</v>
      </c>
      <c r="I3547">
        <f>1</f>
        <v>1</v>
      </c>
    </row>
    <row r="3548" spans="2:9" x14ac:dyDescent="0.25">
      <c r="B3548">
        <v>0</v>
      </c>
      <c r="C3548" s="16" t="s">
        <v>12817</v>
      </c>
      <c r="D3548" s="16"/>
      <c r="E3548">
        <v>6</v>
      </c>
      <c r="F3548" t="s">
        <v>6442</v>
      </c>
      <c r="G3548">
        <v>1</v>
      </c>
      <c r="H3548">
        <v>0</v>
      </c>
      <c r="I3548">
        <f>1</f>
        <v>1</v>
      </c>
    </row>
    <row r="3549" spans="2:9" x14ac:dyDescent="0.25">
      <c r="B3549">
        <v>0</v>
      </c>
      <c r="C3549" s="16" t="s">
        <v>12818</v>
      </c>
      <c r="D3549" s="16"/>
      <c r="E3549">
        <v>6</v>
      </c>
      <c r="F3549" t="s">
        <v>4680</v>
      </c>
      <c r="G3549">
        <v>1</v>
      </c>
      <c r="H3549">
        <v>0</v>
      </c>
      <c r="I3549">
        <f>1</f>
        <v>1</v>
      </c>
    </row>
    <row r="3550" spans="2:9" x14ac:dyDescent="0.25">
      <c r="B3550">
        <v>0</v>
      </c>
      <c r="C3550" s="16" t="s">
        <v>12819</v>
      </c>
      <c r="D3550" s="16"/>
      <c r="E3550">
        <v>6</v>
      </c>
      <c r="F3550" t="s">
        <v>6443</v>
      </c>
      <c r="G3550">
        <v>1</v>
      </c>
      <c r="H3550">
        <v>0</v>
      </c>
      <c r="I3550">
        <f>1</f>
        <v>1</v>
      </c>
    </row>
    <row r="3551" spans="2:9" x14ac:dyDescent="0.25">
      <c r="B3551">
        <v>0</v>
      </c>
      <c r="C3551" s="16" t="s">
        <v>12820</v>
      </c>
      <c r="D3551" s="16"/>
      <c r="E3551">
        <v>6</v>
      </c>
      <c r="F3551" t="s">
        <v>6444</v>
      </c>
      <c r="G3551">
        <v>1</v>
      </c>
      <c r="H3551">
        <v>0</v>
      </c>
      <c r="I3551">
        <f>1</f>
        <v>1</v>
      </c>
    </row>
    <row r="3552" spans="2:9" x14ac:dyDescent="0.25">
      <c r="B3552">
        <v>0</v>
      </c>
      <c r="C3552" s="16" t="s">
        <v>12821</v>
      </c>
      <c r="D3552" s="16"/>
      <c r="E3552">
        <v>6</v>
      </c>
      <c r="F3552" t="s">
        <v>6445</v>
      </c>
      <c r="G3552">
        <v>1</v>
      </c>
      <c r="H3552">
        <v>0</v>
      </c>
      <c r="I3552">
        <f>1</f>
        <v>1</v>
      </c>
    </row>
    <row r="3553" spans="2:9" x14ac:dyDescent="0.25">
      <c r="B3553">
        <v>0</v>
      </c>
      <c r="C3553" s="16" t="s">
        <v>12822</v>
      </c>
      <c r="D3553" s="16"/>
      <c r="E3553">
        <v>6</v>
      </c>
      <c r="F3553" t="s">
        <v>4680</v>
      </c>
      <c r="G3553">
        <v>1</v>
      </c>
      <c r="H3553">
        <v>0</v>
      </c>
      <c r="I3553">
        <f>1</f>
        <v>1</v>
      </c>
    </row>
    <row r="3554" spans="2:9" x14ac:dyDescent="0.25">
      <c r="B3554">
        <v>0</v>
      </c>
      <c r="C3554" s="16" t="s">
        <v>12823</v>
      </c>
      <c r="D3554" s="16"/>
      <c r="E3554">
        <v>6</v>
      </c>
      <c r="F3554" t="s">
        <v>6446</v>
      </c>
      <c r="G3554">
        <v>1</v>
      </c>
      <c r="H3554">
        <v>0</v>
      </c>
      <c r="I3554">
        <f>1</f>
        <v>1</v>
      </c>
    </row>
    <row r="3555" spans="2:9" x14ac:dyDescent="0.25">
      <c r="B3555">
        <v>0</v>
      </c>
      <c r="C3555" s="16" t="s">
        <v>12824</v>
      </c>
      <c r="D3555" s="16"/>
      <c r="E3555">
        <v>6</v>
      </c>
      <c r="F3555" t="s">
        <v>6447</v>
      </c>
      <c r="G3555">
        <v>1</v>
      </c>
      <c r="H3555">
        <v>0</v>
      </c>
      <c r="I3555">
        <f>1</f>
        <v>1</v>
      </c>
    </row>
    <row r="3556" spans="2:9" x14ac:dyDescent="0.25">
      <c r="B3556">
        <v>0</v>
      </c>
      <c r="C3556" s="16" t="s">
        <v>12825</v>
      </c>
      <c r="D3556" s="16"/>
      <c r="E3556">
        <v>6</v>
      </c>
      <c r="F3556" t="s">
        <v>6448</v>
      </c>
      <c r="G3556">
        <v>1</v>
      </c>
      <c r="H3556">
        <v>0</v>
      </c>
      <c r="I3556">
        <f>1</f>
        <v>1</v>
      </c>
    </row>
    <row r="3557" spans="2:9" x14ac:dyDescent="0.25">
      <c r="B3557">
        <v>0</v>
      </c>
      <c r="C3557" s="16" t="s">
        <v>12826</v>
      </c>
      <c r="D3557" s="16"/>
      <c r="E3557">
        <v>6</v>
      </c>
      <c r="F3557" t="s">
        <v>4680</v>
      </c>
      <c r="G3557">
        <v>1</v>
      </c>
      <c r="H3557">
        <v>0</v>
      </c>
      <c r="I3557">
        <f>1</f>
        <v>1</v>
      </c>
    </row>
    <row r="3558" spans="2:9" x14ac:dyDescent="0.25">
      <c r="B3558">
        <v>0</v>
      </c>
      <c r="C3558" s="16" t="s">
        <v>12827</v>
      </c>
      <c r="D3558" s="16"/>
      <c r="E3558">
        <v>6</v>
      </c>
      <c r="F3558" t="s">
        <v>6449</v>
      </c>
      <c r="G3558">
        <v>1</v>
      </c>
      <c r="H3558">
        <v>0</v>
      </c>
      <c r="I3558">
        <f>1</f>
        <v>1</v>
      </c>
    </row>
    <row r="3559" spans="2:9" x14ac:dyDescent="0.25">
      <c r="B3559">
        <v>0</v>
      </c>
      <c r="C3559" s="16" t="s">
        <v>12828</v>
      </c>
      <c r="D3559" s="16"/>
      <c r="E3559">
        <v>6</v>
      </c>
      <c r="F3559" t="s">
        <v>6450</v>
      </c>
      <c r="G3559">
        <v>1</v>
      </c>
      <c r="H3559">
        <v>0</v>
      </c>
      <c r="I3559">
        <f>1</f>
        <v>1</v>
      </c>
    </row>
    <row r="3560" spans="2:9" x14ac:dyDescent="0.25">
      <c r="B3560">
        <v>0</v>
      </c>
      <c r="C3560" s="16" t="s">
        <v>12829</v>
      </c>
      <c r="D3560" s="16"/>
      <c r="E3560">
        <v>6</v>
      </c>
      <c r="F3560" t="s">
        <v>4680</v>
      </c>
      <c r="G3560">
        <v>1</v>
      </c>
      <c r="H3560">
        <v>0</v>
      </c>
      <c r="I3560">
        <f>1</f>
        <v>1</v>
      </c>
    </row>
    <row r="3561" spans="2:9" x14ac:dyDescent="0.25">
      <c r="B3561">
        <v>0</v>
      </c>
      <c r="C3561" s="16" t="s">
        <v>12830</v>
      </c>
      <c r="D3561" s="16"/>
      <c r="E3561">
        <v>6</v>
      </c>
      <c r="F3561" t="s">
        <v>6451</v>
      </c>
      <c r="G3561">
        <v>1</v>
      </c>
      <c r="H3561">
        <v>0</v>
      </c>
      <c r="I3561">
        <f>1</f>
        <v>1</v>
      </c>
    </row>
    <row r="3562" spans="2:9" x14ac:dyDescent="0.25">
      <c r="B3562">
        <v>0</v>
      </c>
      <c r="C3562" s="16" t="s">
        <v>12831</v>
      </c>
      <c r="D3562" s="16"/>
      <c r="E3562">
        <v>6</v>
      </c>
      <c r="F3562" t="s">
        <v>6452</v>
      </c>
      <c r="G3562">
        <v>1</v>
      </c>
      <c r="H3562">
        <v>1</v>
      </c>
      <c r="I3562">
        <f>1</f>
        <v>1</v>
      </c>
    </row>
    <row r="3563" spans="2:9" x14ac:dyDescent="0.25">
      <c r="B3563">
        <v>0</v>
      </c>
      <c r="C3563" s="16" t="s">
        <v>12832</v>
      </c>
      <c r="D3563" s="16"/>
      <c r="E3563">
        <v>6</v>
      </c>
      <c r="F3563" t="s">
        <v>4680</v>
      </c>
      <c r="G3563">
        <v>1</v>
      </c>
      <c r="H3563">
        <v>1</v>
      </c>
      <c r="I3563">
        <f>1</f>
        <v>1</v>
      </c>
    </row>
    <row r="3564" spans="2:9" x14ac:dyDescent="0.25">
      <c r="B3564">
        <v>0</v>
      </c>
      <c r="C3564" s="16" t="s">
        <v>12833</v>
      </c>
      <c r="D3564" s="16"/>
      <c r="E3564">
        <v>6</v>
      </c>
      <c r="F3564" t="s">
        <v>6453</v>
      </c>
      <c r="G3564">
        <v>1</v>
      </c>
      <c r="H3564">
        <v>1</v>
      </c>
      <c r="I3564">
        <f>1</f>
        <v>1</v>
      </c>
    </row>
    <row r="3565" spans="2:9" x14ac:dyDescent="0.25">
      <c r="B3565">
        <v>0</v>
      </c>
      <c r="C3565" s="16" t="s">
        <v>12834</v>
      </c>
      <c r="D3565" s="16"/>
      <c r="E3565">
        <v>6</v>
      </c>
      <c r="F3565" t="s">
        <v>6454</v>
      </c>
      <c r="G3565">
        <v>1</v>
      </c>
      <c r="H3565">
        <v>1</v>
      </c>
      <c r="I3565">
        <f>1</f>
        <v>1</v>
      </c>
    </row>
    <row r="3566" spans="2:9" x14ac:dyDescent="0.25">
      <c r="B3566">
        <v>0</v>
      </c>
      <c r="C3566" s="16" t="s">
        <v>12835</v>
      </c>
      <c r="D3566" s="16"/>
      <c r="E3566">
        <v>6</v>
      </c>
      <c r="F3566" t="s">
        <v>6455</v>
      </c>
      <c r="G3566">
        <v>1</v>
      </c>
      <c r="H3566">
        <v>1</v>
      </c>
      <c r="I3566">
        <f>1</f>
        <v>1</v>
      </c>
    </row>
    <row r="3567" spans="2:9" x14ac:dyDescent="0.25">
      <c r="B3567">
        <v>0</v>
      </c>
      <c r="C3567" s="16" t="s">
        <v>12836</v>
      </c>
      <c r="D3567" s="16"/>
      <c r="E3567">
        <v>6</v>
      </c>
      <c r="F3567" t="s">
        <v>4680</v>
      </c>
      <c r="G3567">
        <v>1</v>
      </c>
      <c r="H3567">
        <v>1</v>
      </c>
      <c r="I3567">
        <f>1</f>
        <v>1</v>
      </c>
    </row>
    <row r="3568" spans="2:9" x14ac:dyDescent="0.25">
      <c r="B3568">
        <v>0</v>
      </c>
      <c r="C3568" s="16" t="s">
        <v>12837</v>
      </c>
      <c r="D3568" s="16"/>
      <c r="E3568">
        <v>6</v>
      </c>
      <c r="F3568" t="s">
        <v>4680</v>
      </c>
      <c r="G3568">
        <v>1</v>
      </c>
      <c r="H3568">
        <v>1</v>
      </c>
      <c r="I3568">
        <f>1</f>
        <v>1</v>
      </c>
    </row>
    <row r="3569" spans="2:9" x14ac:dyDescent="0.25">
      <c r="B3569">
        <v>0</v>
      </c>
      <c r="C3569" s="16" t="s">
        <v>12838</v>
      </c>
      <c r="D3569" s="16"/>
      <c r="E3569">
        <v>6</v>
      </c>
      <c r="F3569" t="s">
        <v>6456</v>
      </c>
      <c r="G3569">
        <v>1</v>
      </c>
      <c r="H3569">
        <v>1</v>
      </c>
      <c r="I3569">
        <f>1</f>
        <v>1</v>
      </c>
    </row>
    <row r="3570" spans="2:9" x14ac:dyDescent="0.25">
      <c r="B3570">
        <v>0</v>
      </c>
      <c r="C3570" s="16" t="s">
        <v>12839</v>
      </c>
      <c r="D3570" s="16"/>
      <c r="E3570">
        <v>6</v>
      </c>
      <c r="F3570" t="s">
        <v>6457</v>
      </c>
      <c r="G3570">
        <v>1</v>
      </c>
      <c r="H3570">
        <v>1</v>
      </c>
      <c r="I3570">
        <f>1</f>
        <v>1</v>
      </c>
    </row>
    <row r="3571" spans="2:9" x14ac:dyDescent="0.25">
      <c r="B3571">
        <v>0</v>
      </c>
      <c r="C3571" s="16" t="s">
        <v>12840</v>
      </c>
      <c r="D3571" s="16"/>
      <c r="E3571">
        <v>6</v>
      </c>
      <c r="F3571" t="s">
        <v>6458</v>
      </c>
      <c r="G3571">
        <v>1</v>
      </c>
      <c r="H3571">
        <v>1</v>
      </c>
      <c r="I3571">
        <f>1</f>
        <v>1</v>
      </c>
    </row>
    <row r="3572" spans="2:9" x14ac:dyDescent="0.25">
      <c r="B3572">
        <v>0</v>
      </c>
      <c r="C3572" s="16" t="s">
        <v>12841</v>
      </c>
      <c r="D3572" s="16"/>
      <c r="E3572">
        <v>6</v>
      </c>
      <c r="F3572" t="s">
        <v>6459</v>
      </c>
      <c r="G3572">
        <v>1</v>
      </c>
      <c r="H3572">
        <v>1</v>
      </c>
      <c r="I3572">
        <f>1</f>
        <v>1</v>
      </c>
    </row>
    <row r="3573" spans="2:9" x14ac:dyDescent="0.25">
      <c r="B3573">
        <v>0</v>
      </c>
      <c r="C3573" s="16" t="s">
        <v>12842</v>
      </c>
      <c r="D3573" s="16"/>
      <c r="E3573">
        <v>6</v>
      </c>
      <c r="F3573" t="s">
        <v>6460</v>
      </c>
      <c r="G3573">
        <v>1</v>
      </c>
      <c r="H3573">
        <v>1</v>
      </c>
      <c r="I3573">
        <f>1</f>
        <v>1</v>
      </c>
    </row>
    <row r="3574" spans="2:9" x14ac:dyDescent="0.25">
      <c r="B3574">
        <v>0</v>
      </c>
      <c r="C3574" s="16" t="s">
        <v>12843</v>
      </c>
      <c r="D3574" s="16"/>
      <c r="E3574">
        <v>6</v>
      </c>
      <c r="F3574" t="s">
        <v>6461</v>
      </c>
      <c r="G3574">
        <v>1</v>
      </c>
      <c r="H3574">
        <v>1</v>
      </c>
      <c r="I3574">
        <f>1</f>
        <v>1</v>
      </c>
    </row>
    <row r="3575" spans="2:9" x14ac:dyDescent="0.25">
      <c r="B3575">
        <v>0</v>
      </c>
      <c r="C3575" s="16" t="s">
        <v>12844</v>
      </c>
      <c r="D3575" s="16"/>
      <c r="E3575">
        <v>6</v>
      </c>
      <c r="F3575" t="s">
        <v>4680</v>
      </c>
      <c r="G3575">
        <v>1</v>
      </c>
      <c r="H3575">
        <v>1</v>
      </c>
      <c r="I3575">
        <f>1</f>
        <v>1</v>
      </c>
    </row>
    <row r="3576" spans="2:9" x14ac:dyDescent="0.25">
      <c r="B3576">
        <v>0</v>
      </c>
      <c r="C3576" s="16" t="s">
        <v>12845</v>
      </c>
      <c r="D3576" s="16"/>
      <c r="E3576">
        <v>6</v>
      </c>
      <c r="F3576" t="s">
        <v>6462</v>
      </c>
      <c r="G3576">
        <v>1</v>
      </c>
      <c r="H3576">
        <v>1</v>
      </c>
      <c r="I3576">
        <f>1</f>
        <v>1</v>
      </c>
    </row>
    <row r="3577" spans="2:9" x14ac:dyDescent="0.25">
      <c r="B3577">
        <v>0</v>
      </c>
      <c r="C3577" s="16" t="s">
        <v>12846</v>
      </c>
      <c r="D3577" s="16"/>
      <c r="E3577">
        <v>6</v>
      </c>
      <c r="F3577" t="s">
        <v>6463</v>
      </c>
      <c r="G3577">
        <v>1</v>
      </c>
      <c r="H3577">
        <v>1</v>
      </c>
      <c r="I3577">
        <f>1</f>
        <v>1</v>
      </c>
    </row>
    <row r="3578" spans="2:9" x14ac:dyDescent="0.25">
      <c r="B3578">
        <v>0</v>
      </c>
      <c r="C3578" s="16" t="s">
        <v>12847</v>
      </c>
      <c r="D3578" s="16"/>
      <c r="E3578">
        <v>6</v>
      </c>
      <c r="F3578" t="s">
        <v>6464</v>
      </c>
      <c r="G3578">
        <v>1</v>
      </c>
      <c r="H3578">
        <v>1</v>
      </c>
      <c r="I3578">
        <f>1</f>
        <v>1</v>
      </c>
    </row>
    <row r="3579" spans="2:9" x14ac:dyDescent="0.25">
      <c r="B3579">
        <v>0</v>
      </c>
      <c r="C3579" s="16" t="s">
        <v>12848</v>
      </c>
      <c r="D3579" s="16"/>
      <c r="E3579">
        <v>6</v>
      </c>
      <c r="F3579" t="s">
        <v>6465</v>
      </c>
      <c r="G3579">
        <v>1</v>
      </c>
      <c r="H3579">
        <v>1</v>
      </c>
      <c r="I3579">
        <f>1</f>
        <v>1</v>
      </c>
    </row>
    <row r="3580" spans="2:9" x14ac:dyDescent="0.25">
      <c r="B3580">
        <v>0</v>
      </c>
      <c r="C3580" s="16" t="s">
        <v>12849</v>
      </c>
      <c r="D3580" s="16"/>
      <c r="E3580">
        <v>6</v>
      </c>
      <c r="F3580" t="s">
        <v>6466</v>
      </c>
      <c r="G3580">
        <v>1</v>
      </c>
      <c r="H3580">
        <v>1</v>
      </c>
      <c r="I3580">
        <f>1</f>
        <v>1</v>
      </c>
    </row>
    <row r="3581" spans="2:9" x14ac:dyDescent="0.25">
      <c r="B3581">
        <v>0</v>
      </c>
      <c r="C3581" s="16" t="s">
        <v>12850</v>
      </c>
      <c r="D3581" s="16"/>
      <c r="E3581">
        <v>6</v>
      </c>
      <c r="F3581" t="s">
        <v>4680</v>
      </c>
      <c r="G3581">
        <v>1</v>
      </c>
      <c r="H3581">
        <v>1</v>
      </c>
      <c r="I3581">
        <f>1</f>
        <v>1</v>
      </c>
    </row>
    <row r="3582" spans="2:9" x14ac:dyDescent="0.25">
      <c r="B3582">
        <v>0</v>
      </c>
      <c r="C3582" s="16" t="s">
        <v>12851</v>
      </c>
      <c r="D3582" s="16"/>
      <c r="E3582">
        <v>6</v>
      </c>
      <c r="F3582" t="s">
        <v>6467</v>
      </c>
      <c r="G3582">
        <v>1</v>
      </c>
      <c r="H3582">
        <v>1</v>
      </c>
      <c r="I3582">
        <f>1</f>
        <v>1</v>
      </c>
    </row>
    <row r="3583" spans="2:9" x14ac:dyDescent="0.25">
      <c r="B3583">
        <v>0</v>
      </c>
      <c r="C3583" s="16" t="s">
        <v>12852</v>
      </c>
      <c r="D3583" s="16"/>
      <c r="E3583">
        <v>6</v>
      </c>
      <c r="F3583" t="s">
        <v>6468</v>
      </c>
      <c r="G3583">
        <v>1</v>
      </c>
      <c r="H3583">
        <v>1</v>
      </c>
      <c r="I3583">
        <f>1</f>
        <v>1</v>
      </c>
    </row>
    <row r="3584" spans="2:9" x14ac:dyDescent="0.25">
      <c r="B3584">
        <v>0</v>
      </c>
      <c r="C3584" s="16" t="s">
        <v>12853</v>
      </c>
      <c r="D3584" s="16"/>
      <c r="E3584">
        <v>6</v>
      </c>
      <c r="F3584" t="s">
        <v>6469</v>
      </c>
      <c r="G3584">
        <v>1</v>
      </c>
      <c r="H3584">
        <v>1</v>
      </c>
      <c r="I3584">
        <f>1</f>
        <v>1</v>
      </c>
    </row>
    <row r="3585" spans="2:9" x14ac:dyDescent="0.25">
      <c r="B3585">
        <v>0</v>
      </c>
      <c r="C3585" s="16" t="s">
        <v>12854</v>
      </c>
      <c r="D3585" s="16"/>
      <c r="E3585">
        <v>6</v>
      </c>
      <c r="F3585" t="s">
        <v>6470</v>
      </c>
      <c r="G3585">
        <v>1</v>
      </c>
      <c r="H3585">
        <v>1</v>
      </c>
      <c r="I3585">
        <f>1</f>
        <v>1</v>
      </c>
    </row>
    <row r="3586" spans="2:9" x14ac:dyDescent="0.25">
      <c r="B3586">
        <v>0</v>
      </c>
      <c r="C3586" s="16" t="s">
        <v>12855</v>
      </c>
      <c r="D3586" s="16"/>
      <c r="E3586">
        <v>6</v>
      </c>
      <c r="F3586" t="s">
        <v>6471</v>
      </c>
      <c r="G3586">
        <v>1</v>
      </c>
      <c r="H3586">
        <v>1</v>
      </c>
      <c r="I3586">
        <f>1</f>
        <v>1</v>
      </c>
    </row>
    <row r="3587" spans="2:9" x14ac:dyDescent="0.25">
      <c r="B3587">
        <v>0</v>
      </c>
      <c r="C3587" s="16" t="s">
        <v>12856</v>
      </c>
      <c r="D3587" s="16"/>
      <c r="E3587">
        <v>6</v>
      </c>
      <c r="F3587" t="s">
        <v>6472</v>
      </c>
      <c r="G3587">
        <v>1</v>
      </c>
      <c r="H3587">
        <v>1</v>
      </c>
      <c r="I3587">
        <f>1</f>
        <v>1</v>
      </c>
    </row>
    <row r="3588" spans="2:9" x14ac:dyDescent="0.25">
      <c r="B3588">
        <v>0</v>
      </c>
      <c r="C3588" s="16" t="s">
        <v>12857</v>
      </c>
      <c r="D3588" s="16"/>
      <c r="E3588">
        <v>6</v>
      </c>
      <c r="F3588" t="s">
        <v>6473</v>
      </c>
      <c r="G3588">
        <v>1</v>
      </c>
      <c r="H3588">
        <v>1</v>
      </c>
      <c r="I3588">
        <f>1</f>
        <v>1</v>
      </c>
    </row>
    <row r="3589" spans="2:9" x14ac:dyDescent="0.25">
      <c r="B3589">
        <v>0</v>
      </c>
      <c r="C3589" s="16" t="s">
        <v>12858</v>
      </c>
      <c r="D3589" s="16"/>
      <c r="E3589">
        <v>6</v>
      </c>
      <c r="F3589" t="s">
        <v>6474</v>
      </c>
      <c r="G3589">
        <v>1</v>
      </c>
      <c r="H3589">
        <v>1</v>
      </c>
      <c r="I3589">
        <f>1</f>
        <v>1</v>
      </c>
    </row>
    <row r="3590" spans="2:9" x14ac:dyDescent="0.25">
      <c r="B3590">
        <v>0</v>
      </c>
      <c r="C3590" s="16" t="s">
        <v>12859</v>
      </c>
      <c r="D3590" s="16"/>
      <c r="E3590">
        <v>6</v>
      </c>
      <c r="F3590" t="s">
        <v>4680</v>
      </c>
      <c r="G3590">
        <v>1</v>
      </c>
      <c r="H3590">
        <v>1</v>
      </c>
      <c r="I3590">
        <f>1</f>
        <v>1</v>
      </c>
    </row>
    <row r="3591" spans="2:9" x14ac:dyDescent="0.25">
      <c r="B3591">
        <v>0</v>
      </c>
      <c r="C3591" s="16" t="s">
        <v>12860</v>
      </c>
      <c r="D3591" s="16"/>
      <c r="E3591">
        <v>6</v>
      </c>
      <c r="F3591" t="s">
        <v>6475</v>
      </c>
      <c r="G3591">
        <v>1</v>
      </c>
      <c r="H3591">
        <v>1</v>
      </c>
      <c r="I3591">
        <f>1</f>
        <v>1</v>
      </c>
    </row>
    <row r="3592" spans="2:9" x14ac:dyDescent="0.25">
      <c r="B3592">
        <v>0</v>
      </c>
      <c r="C3592" s="16" t="s">
        <v>12861</v>
      </c>
      <c r="D3592" s="16"/>
      <c r="E3592">
        <v>6</v>
      </c>
      <c r="F3592" t="s">
        <v>6476</v>
      </c>
      <c r="G3592">
        <v>1</v>
      </c>
      <c r="H3592">
        <v>1</v>
      </c>
      <c r="I3592">
        <f>1</f>
        <v>1</v>
      </c>
    </row>
    <row r="3593" spans="2:9" x14ac:dyDescent="0.25">
      <c r="B3593">
        <v>0</v>
      </c>
      <c r="C3593" s="16" t="s">
        <v>12862</v>
      </c>
      <c r="D3593" s="16"/>
      <c r="E3593">
        <v>6</v>
      </c>
      <c r="F3593" t="s">
        <v>6477</v>
      </c>
      <c r="G3593">
        <v>1</v>
      </c>
      <c r="H3593">
        <v>1</v>
      </c>
      <c r="I3593">
        <f>1</f>
        <v>1</v>
      </c>
    </row>
    <row r="3594" spans="2:9" x14ac:dyDescent="0.25">
      <c r="B3594">
        <v>0</v>
      </c>
      <c r="C3594" s="16" t="s">
        <v>12863</v>
      </c>
      <c r="D3594" s="16"/>
      <c r="E3594">
        <v>6</v>
      </c>
      <c r="F3594" t="s">
        <v>6478</v>
      </c>
      <c r="G3594">
        <v>1</v>
      </c>
      <c r="H3594">
        <v>1</v>
      </c>
      <c r="I3594">
        <f>1</f>
        <v>1</v>
      </c>
    </row>
    <row r="3595" spans="2:9" x14ac:dyDescent="0.25">
      <c r="B3595">
        <v>0</v>
      </c>
      <c r="C3595" s="16" t="s">
        <v>12864</v>
      </c>
      <c r="D3595" s="16"/>
      <c r="E3595">
        <v>6</v>
      </c>
      <c r="F3595" t="s">
        <v>6479</v>
      </c>
      <c r="G3595">
        <v>1</v>
      </c>
      <c r="H3595">
        <v>1</v>
      </c>
      <c r="I3595">
        <f>1</f>
        <v>1</v>
      </c>
    </row>
    <row r="3596" spans="2:9" x14ac:dyDescent="0.25">
      <c r="B3596">
        <v>0</v>
      </c>
      <c r="C3596" s="16" t="s">
        <v>12865</v>
      </c>
      <c r="D3596" s="16"/>
      <c r="E3596">
        <v>6</v>
      </c>
      <c r="F3596" t="s">
        <v>6480</v>
      </c>
      <c r="G3596">
        <v>1</v>
      </c>
      <c r="H3596">
        <v>1</v>
      </c>
      <c r="I3596">
        <f>1</f>
        <v>1</v>
      </c>
    </row>
    <row r="3597" spans="2:9" x14ac:dyDescent="0.25">
      <c r="B3597">
        <v>0</v>
      </c>
      <c r="C3597" s="16" t="s">
        <v>12866</v>
      </c>
      <c r="D3597" s="16"/>
      <c r="E3597">
        <v>6</v>
      </c>
      <c r="F3597" t="s">
        <v>6481</v>
      </c>
      <c r="G3597">
        <v>1</v>
      </c>
      <c r="H3597">
        <v>1</v>
      </c>
      <c r="I3597">
        <f>1</f>
        <v>1</v>
      </c>
    </row>
    <row r="3598" spans="2:9" x14ac:dyDescent="0.25">
      <c r="B3598">
        <v>0</v>
      </c>
      <c r="C3598" s="16" t="s">
        <v>12867</v>
      </c>
      <c r="D3598" s="16"/>
      <c r="E3598">
        <v>6</v>
      </c>
      <c r="F3598" t="s">
        <v>6482</v>
      </c>
      <c r="G3598">
        <v>1</v>
      </c>
      <c r="H3598">
        <v>1</v>
      </c>
      <c r="I3598">
        <f>1</f>
        <v>1</v>
      </c>
    </row>
    <row r="3599" spans="2:9" x14ac:dyDescent="0.25">
      <c r="B3599">
        <v>0</v>
      </c>
      <c r="C3599" s="16" t="s">
        <v>12868</v>
      </c>
      <c r="D3599" s="16"/>
      <c r="E3599">
        <v>6</v>
      </c>
      <c r="F3599" t="s">
        <v>4690</v>
      </c>
      <c r="G3599">
        <v>1</v>
      </c>
      <c r="H3599">
        <v>1</v>
      </c>
      <c r="I3599">
        <f>1</f>
        <v>1</v>
      </c>
    </row>
    <row r="3600" spans="2:9" x14ac:dyDescent="0.25">
      <c r="B3600">
        <v>0</v>
      </c>
      <c r="C3600" s="16" t="s">
        <v>12869</v>
      </c>
      <c r="D3600" s="16"/>
      <c r="E3600">
        <v>6</v>
      </c>
      <c r="F3600" t="s">
        <v>6475</v>
      </c>
      <c r="G3600">
        <v>1</v>
      </c>
      <c r="H3600">
        <v>1</v>
      </c>
      <c r="I3600">
        <f>1</f>
        <v>1</v>
      </c>
    </row>
    <row r="3601" spans="2:9" x14ac:dyDescent="0.25">
      <c r="B3601">
        <v>0</v>
      </c>
      <c r="C3601" s="16" t="s">
        <v>12870</v>
      </c>
      <c r="D3601" s="16"/>
      <c r="E3601">
        <v>6</v>
      </c>
      <c r="F3601" t="s">
        <v>6476</v>
      </c>
      <c r="G3601">
        <v>1</v>
      </c>
      <c r="H3601">
        <v>1</v>
      </c>
      <c r="I3601">
        <f>1</f>
        <v>1</v>
      </c>
    </row>
    <row r="3602" spans="2:9" x14ac:dyDescent="0.25">
      <c r="B3602">
        <v>0</v>
      </c>
      <c r="C3602" s="16" t="s">
        <v>12871</v>
      </c>
      <c r="D3602" s="16"/>
      <c r="E3602">
        <v>6</v>
      </c>
      <c r="F3602" t="s">
        <v>6477</v>
      </c>
      <c r="G3602">
        <v>1</v>
      </c>
      <c r="H3602">
        <v>1</v>
      </c>
      <c r="I3602">
        <f>1</f>
        <v>1</v>
      </c>
    </row>
    <row r="3603" spans="2:9" x14ac:dyDescent="0.25">
      <c r="B3603">
        <v>0</v>
      </c>
      <c r="C3603" s="16" t="s">
        <v>12872</v>
      </c>
      <c r="D3603" s="16"/>
      <c r="E3603">
        <v>6</v>
      </c>
      <c r="F3603" t="s">
        <v>6478</v>
      </c>
      <c r="G3603">
        <v>1</v>
      </c>
      <c r="H3603">
        <v>1</v>
      </c>
      <c r="I3603">
        <f>1</f>
        <v>1</v>
      </c>
    </row>
    <row r="3604" spans="2:9" x14ac:dyDescent="0.25">
      <c r="B3604">
        <v>0</v>
      </c>
      <c r="C3604" s="16" t="s">
        <v>12873</v>
      </c>
      <c r="D3604" s="16"/>
      <c r="E3604">
        <v>6</v>
      </c>
      <c r="F3604" t="s">
        <v>6479</v>
      </c>
      <c r="G3604">
        <v>1</v>
      </c>
      <c r="H3604">
        <v>1</v>
      </c>
      <c r="I3604">
        <f>1</f>
        <v>1</v>
      </c>
    </row>
    <row r="3605" spans="2:9" x14ac:dyDescent="0.25">
      <c r="B3605">
        <v>0</v>
      </c>
      <c r="C3605" s="16" t="s">
        <v>12874</v>
      </c>
      <c r="D3605" s="16"/>
      <c r="E3605">
        <v>6</v>
      </c>
      <c r="F3605" t="s">
        <v>6480</v>
      </c>
      <c r="G3605">
        <v>1</v>
      </c>
      <c r="H3605">
        <v>1</v>
      </c>
      <c r="I3605">
        <f>1</f>
        <v>1</v>
      </c>
    </row>
    <row r="3606" spans="2:9" x14ac:dyDescent="0.25">
      <c r="B3606">
        <v>0</v>
      </c>
      <c r="C3606" s="16" t="s">
        <v>12875</v>
      </c>
      <c r="D3606" s="16"/>
      <c r="E3606">
        <v>6</v>
      </c>
      <c r="F3606" t="s">
        <v>6481</v>
      </c>
      <c r="G3606">
        <v>1</v>
      </c>
      <c r="H3606">
        <v>1</v>
      </c>
      <c r="I3606">
        <f>1</f>
        <v>1</v>
      </c>
    </row>
    <row r="3607" spans="2:9" x14ac:dyDescent="0.25">
      <c r="B3607">
        <v>0</v>
      </c>
      <c r="C3607" s="16" t="s">
        <v>12876</v>
      </c>
      <c r="D3607" s="16"/>
      <c r="E3607">
        <v>6</v>
      </c>
      <c r="F3607" t="s">
        <v>6482</v>
      </c>
      <c r="G3607">
        <v>1</v>
      </c>
      <c r="H3607">
        <v>1</v>
      </c>
      <c r="I3607">
        <f>1</f>
        <v>1</v>
      </c>
    </row>
    <row r="3608" spans="2:9" x14ac:dyDescent="0.25">
      <c r="B3608">
        <v>0</v>
      </c>
      <c r="C3608" s="16" t="s">
        <v>12877</v>
      </c>
      <c r="D3608" s="16"/>
      <c r="E3608">
        <v>6</v>
      </c>
      <c r="F3608" t="s">
        <v>4690</v>
      </c>
      <c r="G3608">
        <v>1</v>
      </c>
      <c r="H3608">
        <v>1</v>
      </c>
      <c r="I3608">
        <f>1</f>
        <v>1</v>
      </c>
    </row>
    <row r="3609" spans="2:9" x14ac:dyDescent="0.25">
      <c r="B3609">
        <v>0</v>
      </c>
      <c r="C3609" s="16" t="s">
        <v>12878</v>
      </c>
      <c r="D3609" s="16"/>
      <c r="E3609">
        <v>6</v>
      </c>
      <c r="F3609" t="s">
        <v>6483</v>
      </c>
      <c r="G3609">
        <v>1</v>
      </c>
      <c r="H3609">
        <v>1</v>
      </c>
      <c r="I3609">
        <f>1</f>
        <v>1</v>
      </c>
    </row>
    <row r="3610" spans="2:9" x14ac:dyDescent="0.25">
      <c r="B3610">
        <v>0</v>
      </c>
      <c r="C3610" s="16" t="s">
        <v>12879</v>
      </c>
      <c r="D3610" s="16"/>
      <c r="E3610">
        <v>6</v>
      </c>
      <c r="F3610" t="s">
        <v>6484</v>
      </c>
      <c r="G3610">
        <v>1</v>
      </c>
      <c r="H3610">
        <v>1</v>
      </c>
      <c r="I3610">
        <f>1</f>
        <v>1</v>
      </c>
    </row>
    <row r="3611" spans="2:9" x14ac:dyDescent="0.25">
      <c r="B3611">
        <v>0</v>
      </c>
      <c r="C3611" s="16" t="s">
        <v>12880</v>
      </c>
      <c r="D3611" s="16"/>
      <c r="E3611">
        <v>6</v>
      </c>
      <c r="F3611" t="s">
        <v>6485</v>
      </c>
      <c r="G3611">
        <v>1</v>
      </c>
      <c r="H3611">
        <v>1</v>
      </c>
      <c r="I3611">
        <f>1</f>
        <v>1</v>
      </c>
    </row>
    <row r="3612" spans="2:9" x14ac:dyDescent="0.25">
      <c r="B3612">
        <v>0</v>
      </c>
      <c r="C3612" s="16" t="s">
        <v>12881</v>
      </c>
      <c r="D3612" s="16"/>
      <c r="E3612">
        <v>6</v>
      </c>
      <c r="F3612" t="s">
        <v>6486</v>
      </c>
      <c r="G3612">
        <v>1</v>
      </c>
      <c r="H3612">
        <v>1</v>
      </c>
      <c r="I3612">
        <f>1</f>
        <v>1</v>
      </c>
    </row>
    <row r="3613" spans="2:9" x14ac:dyDescent="0.25">
      <c r="B3613">
        <v>0</v>
      </c>
      <c r="C3613" s="16" t="s">
        <v>12882</v>
      </c>
      <c r="D3613" s="16"/>
      <c r="E3613">
        <v>6</v>
      </c>
      <c r="F3613" t="s">
        <v>6487</v>
      </c>
      <c r="G3613">
        <v>1</v>
      </c>
      <c r="H3613">
        <v>1</v>
      </c>
      <c r="I3613">
        <f>1</f>
        <v>1</v>
      </c>
    </row>
    <row r="3614" spans="2:9" x14ac:dyDescent="0.25">
      <c r="B3614">
        <v>0</v>
      </c>
      <c r="C3614" s="16" t="s">
        <v>12883</v>
      </c>
      <c r="D3614" s="16"/>
      <c r="E3614">
        <v>6</v>
      </c>
      <c r="F3614" t="s">
        <v>6488</v>
      </c>
      <c r="G3614">
        <v>1</v>
      </c>
      <c r="H3614">
        <v>1</v>
      </c>
      <c r="I3614">
        <f>1</f>
        <v>1</v>
      </c>
    </row>
    <row r="3615" spans="2:9" x14ac:dyDescent="0.25">
      <c r="B3615">
        <v>0</v>
      </c>
      <c r="C3615" s="16" t="s">
        <v>12884</v>
      </c>
      <c r="D3615" s="16"/>
      <c r="E3615">
        <v>6</v>
      </c>
      <c r="F3615" t="s">
        <v>6489</v>
      </c>
      <c r="G3615">
        <v>1</v>
      </c>
      <c r="H3615">
        <v>1</v>
      </c>
      <c r="I3615">
        <f>1</f>
        <v>1</v>
      </c>
    </row>
    <row r="3616" spans="2:9" x14ac:dyDescent="0.25">
      <c r="B3616">
        <v>0</v>
      </c>
      <c r="C3616" s="16" t="s">
        <v>12885</v>
      </c>
      <c r="D3616" s="16"/>
      <c r="E3616">
        <v>6</v>
      </c>
      <c r="F3616" t="s">
        <v>6490</v>
      </c>
      <c r="G3616">
        <v>1</v>
      </c>
      <c r="H3616">
        <v>1</v>
      </c>
      <c r="I3616">
        <f>1</f>
        <v>1</v>
      </c>
    </row>
    <row r="3617" spans="2:9" x14ac:dyDescent="0.25">
      <c r="B3617">
        <v>0</v>
      </c>
      <c r="C3617" s="16" t="s">
        <v>12886</v>
      </c>
      <c r="D3617" s="16"/>
      <c r="E3617">
        <v>6</v>
      </c>
      <c r="F3617" t="s">
        <v>4690</v>
      </c>
      <c r="G3617">
        <v>1</v>
      </c>
      <c r="H3617">
        <v>1</v>
      </c>
      <c r="I3617">
        <f>1</f>
        <v>1</v>
      </c>
    </row>
    <row r="3618" spans="2:9" x14ac:dyDescent="0.25">
      <c r="B3618">
        <v>0</v>
      </c>
      <c r="C3618" s="16" t="s">
        <v>12887</v>
      </c>
      <c r="D3618" s="16"/>
      <c r="E3618">
        <v>6</v>
      </c>
      <c r="F3618" t="s">
        <v>6491</v>
      </c>
      <c r="G3618">
        <v>1</v>
      </c>
      <c r="H3618">
        <v>1</v>
      </c>
      <c r="I3618">
        <f>1</f>
        <v>1</v>
      </c>
    </row>
    <row r="3619" spans="2:9" x14ac:dyDescent="0.25">
      <c r="B3619">
        <v>0</v>
      </c>
      <c r="C3619" s="16" t="s">
        <v>12888</v>
      </c>
      <c r="D3619" s="16"/>
      <c r="E3619">
        <v>6</v>
      </c>
      <c r="F3619" t="s">
        <v>6492</v>
      </c>
      <c r="G3619">
        <v>1</v>
      </c>
      <c r="H3619">
        <v>1</v>
      </c>
      <c r="I3619">
        <f>1</f>
        <v>1</v>
      </c>
    </row>
    <row r="3620" spans="2:9" x14ac:dyDescent="0.25">
      <c r="B3620">
        <v>0</v>
      </c>
      <c r="C3620" s="16" t="s">
        <v>12889</v>
      </c>
      <c r="D3620" s="16"/>
      <c r="E3620">
        <v>6</v>
      </c>
      <c r="F3620" t="s">
        <v>6493</v>
      </c>
      <c r="G3620">
        <v>1</v>
      </c>
      <c r="H3620">
        <v>1</v>
      </c>
      <c r="I3620">
        <f>1</f>
        <v>1</v>
      </c>
    </row>
    <row r="3621" spans="2:9" x14ac:dyDescent="0.25">
      <c r="B3621">
        <v>0</v>
      </c>
      <c r="C3621" s="16" t="s">
        <v>12890</v>
      </c>
      <c r="D3621" s="16"/>
      <c r="E3621">
        <v>6</v>
      </c>
      <c r="F3621" t="s">
        <v>6494</v>
      </c>
      <c r="G3621">
        <v>1</v>
      </c>
      <c r="H3621">
        <v>1</v>
      </c>
      <c r="I3621">
        <f>1</f>
        <v>1</v>
      </c>
    </row>
    <row r="3622" spans="2:9" x14ac:dyDescent="0.25">
      <c r="B3622">
        <v>0</v>
      </c>
      <c r="C3622" s="16" t="s">
        <v>12891</v>
      </c>
      <c r="D3622" s="16"/>
      <c r="E3622">
        <v>6</v>
      </c>
      <c r="F3622" t="s">
        <v>6495</v>
      </c>
      <c r="G3622">
        <v>1</v>
      </c>
      <c r="H3622">
        <v>1</v>
      </c>
      <c r="I3622">
        <f>1</f>
        <v>1</v>
      </c>
    </row>
    <row r="3623" spans="2:9" x14ac:dyDescent="0.25">
      <c r="B3623">
        <v>0</v>
      </c>
      <c r="C3623" s="16" t="s">
        <v>12892</v>
      </c>
      <c r="D3623" s="16"/>
      <c r="E3623">
        <v>6</v>
      </c>
      <c r="F3623" t="s">
        <v>6496</v>
      </c>
      <c r="G3623">
        <v>1</v>
      </c>
      <c r="H3623">
        <v>1</v>
      </c>
      <c r="I3623">
        <f>1</f>
        <v>1</v>
      </c>
    </row>
    <row r="3624" spans="2:9" x14ac:dyDescent="0.25">
      <c r="B3624">
        <v>0</v>
      </c>
      <c r="C3624" s="16" t="s">
        <v>12893</v>
      </c>
      <c r="D3624" s="16"/>
      <c r="E3624">
        <v>6</v>
      </c>
      <c r="F3624" t="s">
        <v>6497</v>
      </c>
      <c r="G3624">
        <v>1</v>
      </c>
      <c r="H3624">
        <v>1</v>
      </c>
      <c r="I3624">
        <f>1</f>
        <v>1</v>
      </c>
    </row>
    <row r="3625" spans="2:9" x14ac:dyDescent="0.25">
      <c r="B3625">
        <v>0</v>
      </c>
      <c r="C3625" s="16" t="s">
        <v>12894</v>
      </c>
      <c r="D3625" s="16"/>
      <c r="E3625">
        <v>6</v>
      </c>
      <c r="F3625" t="s">
        <v>4680</v>
      </c>
      <c r="G3625">
        <v>1</v>
      </c>
      <c r="H3625">
        <v>1</v>
      </c>
      <c r="I3625">
        <f>1</f>
        <v>1</v>
      </c>
    </row>
    <row r="3626" spans="2:9" x14ac:dyDescent="0.25">
      <c r="B3626">
        <v>0</v>
      </c>
      <c r="C3626" s="16" t="s">
        <v>12895</v>
      </c>
      <c r="D3626" s="16"/>
      <c r="E3626">
        <v>6</v>
      </c>
      <c r="F3626" t="s">
        <v>6498</v>
      </c>
      <c r="G3626">
        <v>1</v>
      </c>
      <c r="H3626">
        <v>1</v>
      </c>
      <c r="I3626">
        <f>1</f>
        <v>1</v>
      </c>
    </row>
    <row r="3627" spans="2:9" x14ac:dyDescent="0.25">
      <c r="B3627">
        <v>0</v>
      </c>
      <c r="C3627" s="16" t="s">
        <v>12896</v>
      </c>
      <c r="D3627" s="16"/>
      <c r="E3627">
        <v>6</v>
      </c>
      <c r="F3627" t="s">
        <v>6499</v>
      </c>
      <c r="G3627">
        <v>1</v>
      </c>
      <c r="H3627">
        <v>1</v>
      </c>
      <c r="I3627">
        <f>1</f>
        <v>1</v>
      </c>
    </row>
    <row r="3628" spans="2:9" x14ac:dyDescent="0.25">
      <c r="B3628">
        <v>0</v>
      </c>
      <c r="C3628" s="16" t="s">
        <v>12897</v>
      </c>
      <c r="D3628" s="16"/>
      <c r="E3628">
        <v>6</v>
      </c>
      <c r="F3628" t="s">
        <v>6415</v>
      </c>
      <c r="G3628">
        <v>1</v>
      </c>
      <c r="H3628">
        <v>1</v>
      </c>
      <c r="I3628">
        <f>1</f>
        <v>1</v>
      </c>
    </row>
    <row r="3629" spans="2:9" x14ac:dyDescent="0.25">
      <c r="B3629">
        <v>0</v>
      </c>
      <c r="C3629" s="16" t="s">
        <v>12898</v>
      </c>
      <c r="D3629" s="16"/>
      <c r="E3629">
        <v>6</v>
      </c>
      <c r="F3629" t="s">
        <v>6414</v>
      </c>
      <c r="G3629">
        <v>1</v>
      </c>
      <c r="H3629">
        <v>1</v>
      </c>
      <c r="I3629">
        <f>1</f>
        <v>1</v>
      </c>
    </row>
    <row r="3630" spans="2:9" x14ac:dyDescent="0.25">
      <c r="B3630">
        <v>0</v>
      </c>
      <c r="C3630" s="16" t="s">
        <v>12899</v>
      </c>
      <c r="D3630" s="16"/>
      <c r="E3630">
        <v>6</v>
      </c>
      <c r="F3630" t="s">
        <v>6416</v>
      </c>
      <c r="G3630">
        <v>1</v>
      </c>
      <c r="H3630">
        <v>1</v>
      </c>
      <c r="I3630">
        <f>1</f>
        <v>1</v>
      </c>
    </row>
    <row r="3631" spans="2:9" x14ac:dyDescent="0.25">
      <c r="B3631">
        <v>0</v>
      </c>
      <c r="C3631" s="16" t="s">
        <v>12900</v>
      </c>
      <c r="D3631" s="16"/>
      <c r="E3631">
        <v>6</v>
      </c>
      <c r="F3631" t="s">
        <v>4680</v>
      </c>
      <c r="G3631">
        <v>1</v>
      </c>
      <c r="H3631">
        <v>1</v>
      </c>
      <c r="I3631">
        <f>1</f>
        <v>1</v>
      </c>
    </row>
    <row r="3632" spans="2:9" x14ac:dyDescent="0.25">
      <c r="B3632">
        <v>0</v>
      </c>
      <c r="C3632" s="16" t="s">
        <v>12901</v>
      </c>
      <c r="D3632" s="16"/>
      <c r="E3632">
        <v>6</v>
      </c>
      <c r="F3632" t="s">
        <v>6500</v>
      </c>
      <c r="G3632">
        <v>1</v>
      </c>
      <c r="H3632">
        <v>1</v>
      </c>
      <c r="I3632">
        <f>1</f>
        <v>1</v>
      </c>
    </row>
    <row r="3633" spans="2:9" x14ac:dyDescent="0.25">
      <c r="B3633">
        <v>0</v>
      </c>
      <c r="C3633" s="16" t="s">
        <v>12902</v>
      </c>
      <c r="D3633" s="16"/>
      <c r="E3633">
        <v>6</v>
      </c>
      <c r="F3633" t="s">
        <v>6501</v>
      </c>
      <c r="G3633">
        <v>1</v>
      </c>
      <c r="H3633">
        <v>1</v>
      </c>
      <c r="I3633">
        <f>1</f>
        <v>1</v>
      </c>
    </row>
    <row r="3634" spans="2:9" x14ac:dyDescent="0.25">
      <c r="B3634">
        <v>0</v>
      </c>
      <c r="C3634" s="16" t="s">
        <v>12903</v>
      </c>
      <c r="D3634" s="16"/>
      <c r="E3634">
        <v>6</v>
      </c>
      <c r="F3634" t="s">
        <v>4680</v>
      </c>
      <c r="G3634">
        <v>1</v>
      </c>
      <c r="H3634">
        <v>1</v>
      </c>
      <c r="I3634">
        <f>1</f>
        <v>1</v>
      </c>
    </row>
    <row r="3635" spans="2:9" x14ac:dyDescent="0.25">
      <c r="B3635">
        <v>0</v>
      </c>
      <c r="C3635" s="16" t="s">
        <v>12904</v>
      </c>
      <c r="D3635" s="16"/>
      <c r="E3635">
        <v>6</v>
      </c>
      <c r="F3635" t="s">
        <v>6502</v>
      </c>
      <c r="G3635">
        <v>1</v>
      </c>
      <c r="H3635">
        <v>1</v>
      </c>
      <c r="I3635">
        <f>1</f>
        <v>1</v>
      </c>
    </row>
    <row r="3636" spans="2:9" x14ac:dyDescent="0.25">
      <c r="B3636">
        <v>0</v>
      </c>
      <c r="C3636" s="16" t="s">
        <v>12905</v>
      </c>
      <c r="D3636" s="16"/>
      <c r="E3636">
        <v>6</v>
      </c>
      <c r="F3636" t="s">
        <v>4680</v>
      </c>
      <c r="G3636">
        <v>1</v>
      </c>
      <c r="H3636">
        <v>1</v>
      </c>
      <c r="I3636">
        <f>1</f>
        <v>1</v>
      </c>
    </row>
    <row r="3637" spans="2:9" x14ac:dyDescent="0.25">
      <c r="B3637">
        <v>0</v>
      </c>
      <c r="C3637" s="16" t="s">
        <v>12906</v>
      </c>
      <c r="D3637" s="16"/>
      <c r="E3637">
        <v>6</v>
      </c>
      <c r="F3637" t="s">
        <v>6427</v>
      </c>
      <c r="G3637">
        <v>1</v>
      </c>
      <c r="H3637">
        <v>1</v>
      </c>
      <c r="I3637">
        <f>1</f>
        <v>1</v>
      </c>
    </row>
    <row r="3638" spans="2:9" x14ac:dyDescent="0.25">
      <c r="B3638">
        <v>0</v>
      </c>
      <c r="C3638" s="16" t="s">
        <v>12907</v>
      </c>
      <c r="D3638" s="16"/>
      <c r="E3638">
        <v>6</v>
      </c>
      <c r="F3638" t="s">
        <v>6503</v>
      </c>
      <c r="G3638">
        <v>1</v>
      </c>
      <c r="H3638">
        <v>1</v>
      </c>
      <c r="I3638">
        <f>1</f>
        <v>1</v>
      </c>
    </row>
    <row r="3639" spans="2:9" x14ac:dyDescent="0.25">
      <c r="B3639">
        <v>0</v>
      </c>
      <c r="C3639" s="16" t="s">
        <v>12908</v>
      </c>
      <c r="D3639" s="16"/>
      <c r="E3639">
        <v>6</v>
      </c>
      <c r="F3639" t="s">
        <v>4680</v>
      </c>
      <c r="G3639">
        <v>1</v>
      </c>
      <c r="H3639">
        <v>1</v>
      </c>
      <c r="I3639">
        <f>1</f>
        <v>1</v>
      </c>
    </row>
    <row r="3640" spans="2:9" x14ac:dyDescent="0.25">
      <c r="B3640">
        <v>0</v>
      </c>
      <c r="C3640" s="16" t="s">
        <v>12909</v>
      </c>
      <c r="D3640" s="16"/>
      <c r="E3640">
        <v>6</v>
      </c>
      <c r="F3640" t="s">
        <v>6428</v>
      </c>
      <c r="G3640">
        <v>1</v>
      </c>
      <c r="H3640">
        <v>1</v>
      </c>
      <c r="I3640">
        <f>1</f>
        <v>1</v>
      </c>
    </row>
    <row r="3641" spans="2:9" x14ac:dyDescent="0.25">
      <c r="B3641">
        <v>0</v>
      </c>
      <c r="C3641" s="16" t="s">
        <v>12910</v>
      </c>
      <c r="D3641" s="16"/>
      <c r="E3641">
        <v>6</v>
      </c>
      <c r="F3641" t="s">
        <v>4680</v>
      </c>
      <c r="G3641">
        <v>1</v>
      </c>
      <c r="H3641">
        <v>1</v>
      </c>
      <c r="I3641">
        <f>1</f>
        <v>1</v>
      </c>
    </row>
    <row r="3642" spans="2:9" x14ac:dyDescent="0.25">
      <c r="B3642">
        <v>0</v>
      </c>
      <c r="C3642" s="16" t="s">
        <v>12911</v>
      </c>
      <c r="D3642" s="16"/>
      <c r="E3642">
        <v>6</v>
      </c>
      <c r="F3642" t="s">
        <v>6504</v>
      </c>
      <c r="G3642">
        <v>1</v>
      </c>
      <c r="H3642">
        <v>1</v>
      </c>
      <c r="I3642">
        <f>1</f>
        <v>1</v>
      </c>
    </row>
    <row r="3643" spans="2:9" x14ac:dyDescent="0.25">
      <c r="B3643">
        <v>0</v>
      </c>
      <c r="C3643" s="16" t="s">
        <v>12912</v>
      </c>
      <c r="D3643" s="16"/>
      <c r="E3643">
        <v>6</v>
      </c>
      <c r="F3643" t="s">
        <v>6505</v>
      </c>
      <c r="G3643">
        <v>1</v>
      </c>
      <c r="H3643">
        <v>1</v>
      </c>
      <c r="I3643">
        <f>1</f>
        <v>1</v>
      </c>
    </row>
    <row r="3644" spans="2:9" x14ac:dyDescent="0.25">
      <c r="B3644">
        <v>0</v>
      </c>
      <c r="C3644" s="16" t="s">
        <v>12913</v>
      </c>
      <c r="D3644" s="16"/>
      <c r="E3644">
        <v>6</v>
      </c>
      <c r="F3644" t="s">
        <v>4680</v>
      </c>
      <c r="G3644">
        <v>1</v>
      </c>
      <c r="H3644">
        <v>1</v>
      </c>
      <c r="I3644">
        <f>1</f>
        <v>1</v>
      </c>
    </row>
    <row r="3645" spans="2:9" x14ac:dyDescent="0.25">
      <c r="B3645">
        <v>0</v>
      </c>
      <c r="C3645" s="16" t="s">
        <v>12914</v>
      </c>
      <c r="D3645" s="16"/>
      <c r="E3645">
        <v>6</v>
      </c>
      <c r="F3645" t="s">
        <v>6439</v>
      </c>
      <c r="G3645">
        <v>1</v>
      </c>
      <c r="H3645">
        <v>1</v>
      </c>
      <c r="I3645">
        <f>1</f>
        <v>1</v>
      </c>
    </row>
    <row r="3646" spans="2:9" x14ac:dyDescent="0.25">
      <c r="B3646">
        <v>0</v>
      </c>
      <c r="C3646" s="16" t="s">
        <v>12915</v>
      </c>
      <c r="D3646" s="16"/>
      <c r="E3646">
        <v>6</v>
      </c>
      <c r="F3646" t="s">
        <v>6506</v>
      </c>
      <c r="G3646">
        <v>1</v>
      </c>
      <c r="H3646">
        <v>1</v>
      </c>
      <c r="I3646">
        <f>1</f>
        <v>1</v>
      </c>
    </row>
    <row r="3647" spans="2:9" x14ac:dyDescent="0.25">
      <c r="B3647">
        <v>0</v>
      </c>
      <c r="C3647" s="16" t="s">
        <v>12916</v>
      </c>
      <c r="D3647" s="16"/>
      <c r="E3647">
        <v>6</v>
      </c>
      <c r="F3647" t="s">
        <v>6507</v>
      </c>
      <c r="G3647">
        <v>1</v>
      </c>
      <c r="H3647">
        <v>1</v>
      </c>
      <c r="I3647">
        <f>1</f>
        <v>1</v>
      </c>
    </row>
    <row r="3648" spans="2:9" x14ac:dyDescent="0.25">
      <c r="B3648">
        <v>0</v>
      </c>
      <c r="C3648" s="16" t="s">
        <v>12917</v>
      </c>
      <c r="D3648" s="16"/>
      <c r="E3648">
        <v>6</v>
      </c>
      <c r="F3648" t="s">
        <v>4680</v>
      </c>
      <c r="G3648">
        <v>1</v>
      </c>
      <c r="H3648">
        <v>1</v>
      </c>
      <c r="I3648">
        <f>1</f>
        <v>1</v>
      </c>
    </row>
    <row r="3649" spans="2:9" x14ac:dyDescent="0.25">
      <c r="B3649">
        <v>0</v>
      </c>
      <c r="C3649" s="16" t="s">
        <v>12918</v>
      </c>
      <c r="D3649" s="16"/>
      <c r="E3649">
        <v>6</v>
      </c>
      <c r="F3649" t="s">
        <v>6508</v>
      </c>
      <c r="G3649">
        <v>1</v>
      </c>
      <c r="H3649">
        <v>1</v>
      </c>
      <c r="I3649">
        <f>1</f>
        <v>1</v>
      </c>
    </row>
    <row r="3650" spans="2:9" x14ac:dyDescent="0.25">
      <c r="B3650">
        <v>0</v>
      </c>
      <c r="C3650" s="16" t="s">
        <v>12919</v>
      </c>
      <c r="D3650" s="16"/>
      <c r="E3650">
        <v>6</v>
      </c>
      <c r="F3650" t="s">
        <v>6509</v>
      </c>
      <c r="G3650">
        <v>1</v>
      </c>
      <c r="H3650">
        <v>1</v>
      </c>
      <c r="I3650">
        <f>1</f>
        <v>1</v>
      </c>
    </row>
    <row r="3651" spans="2:9" x14ac:dyDescent="0.25">
      <c r="B3651">
        <v>0</v>
      </c>
      <c r="C3651" s="16" t="s">
        <v>12920</v>
      </c>
      <c r="D3651" s="16"/>
      <c r="E3651">
        <v>6</v>
      </c>
      <c r="F3651" t="s">
        <v>6510</v>
      </c>
      <c r="G3651">
        <v>1</v>
      </c>
      <c r="H3651">
        <v>1</v>
      </c>
      <c r="I3651">
        <f>1</f>
        <v>1</v>
      </c>
    </row>
    <row r="3652" spans="2:9" x14ac:dyDescent="0.25">
      <c r="B3652">
        <v>0</v>
      </c>
      <c r="C3652" s="16" t="s">
        <v>12921</v>
      </c>
      <c r="D3652" s="16"/>
      <c r="E3652">
        <v>6</v>
      </c>
      <c r="F3652" t="s">
        <v>4680</v>
      </c>
      <c r="G3652">
        <v>1</v>
      </c>
      <c r="H3652">
        <v>1</v>
      </c>
      <c r="I3652">
        <f>1</f>
        <v>1</v>
      </c>
    </row>
    <row r="3653" spans="2:9" x14ac:dyDescent="0.25">
      <c r="B3653">
        <v>0</v>
      </c>
      <c r="C3653" s="16" t="s">
        <v>12922</v>
      </c>
      <c r="D3653" s="16"/>
      <c r="E3653">
        <v>6</v>
      </c>
      <c r="F3653" t="s">
        <v>6511</v>
      </c>
      <c r="G3653">
        <v>1</v>
      </c>
      <c r="H3653">
        <v>1</v>
      </c>
      <c r="I3653">
        <f>1</f>
        <v>1</v>
      </c>
    </row>
    <row r="3654" spans="2:9" x14ac:dyDescent="0.25">
      <c r="B3654">
        <v>0</v>
      </c>
      <c r="C3654" s="16" t="s">
        <v>12923</v>
      </c>
      <c r="D3654" s="16"/>
      <c r="E3654">
        <v>6</v>
      </c>
      <c r="F3654" t="s">
        <v>6450</v>
      </c>
      <c r="G3654">
        <v>1</v>
      </c>
      <c r="H3654">
        <v>1</v>
      </c>
      <c r="I3654">
        <f>1</f>
        <v>1</v>
      </c>
    </row>
    <row r="3655" spans="2:9" x14ac:dyDescent="0.25">
      <c r="B3655">
        <v>0</v>
      </c>
      <c r="C3655" s="16" t="s">
        <v>12924</v>
      </c>
      <c r="D3655" s="16"/>
      <c r="E3655">
        <v>6</v>
      </c>
      <c r="F3655" t="s">
        <v>6512</v>
      </c>
      <c r="G3655">
        <v>1</v>
      </c>
      <c r="H3655">
        <v>1</v>
      </c>
      <c r="I3655">
        <f>1</f>
        <v>1</v>
      </c>
    </row>
    <row r="3656" spans="2:9" x14ac:dyDescent="0.25">
      <c r="B3656">
        <v>0</v>
      </c>
      <c r="C3656" s="16" t="s">
        <v>12925</v>
      </c>
      <c r="D3656" s="16"/>
      <c r="E3656">
        <v>6</v>
      </c>
      <c r="F3656" t="s">
        <v>6513</v>
      </c>
      <c r="G3656">
        <v>1</v>
      </c>
      <c r="H3656">
        <v>1</v>
      </c>
      <c r="I3656">
        <f>1</f>
        <v>1</v>
      </c>
    </row>
    <row r="3657" spans="2:9" x14ac:dyDescent="0.25">
      <c r="B3657">
        <v>0</v>
      </c>
      <c r="C3657" s="16" t="s">
        <v>12926</v>
      </c>
      <c r="D3657" s="16"/>
      <c r="E3657">
        <v>6</v>
      </c>
      <c r="F3657" t="s">
        <v>6514</v>
      </c>
      <c r="G3657">
        <v>1</v>
      </c>
      <c r="H3657">
        <v>1</v>
      </c>
      <c r="I3657">
        <f>1</f>
        <v>1</v>
      </c>
    </row>
    <row r="3658" spans="2:9" x14ac:dyDescent="0.25">
      <c r="B3658">
        <v>0</v>
      </c>
      <c r="C3658" s="16" t="s">
        <v>12927</v>
      </c>
      <c r="D3658" s="16"/>
      <c r="E3658">
        <v>6</v>
      </c>
      <c r="F3658" t="s">
        <v>4680</v>
      </c>
      <c r="G3658">
        <v>1</v>
      </c>
      <c r="H3658">
        <v>1</v>
      </c>
      <c r="I3658">
        <f>1</f>
        <v>1</v>
      </c>
    </row>
    <row r="3659" spans="2:9" x14ac:dyDescent="0.25">
      <c r="B3659">
        <v>0</v>
      </c>
      <c r="C3659" s="16" t="s">
        <v>12928</v>
      </c>
      <c r="D3659" s="16"/>
      <c r="E3659">
        <v>6</v>
      </c>
      <c r="F3659" t="e">
        <f>--que contenham Insulina</f>
        <v>#NAME?</v>
      </c>
      <c r="G3659">
        <v>1</v>
      </c>
      <c r="H3659">
        <v>1</v>
      </c>
      <c r="I3659">
        <f>1</f>
        <v>1</v>
      </c>
    </row>
    <row r="3660" spans="2:9" x14ac:dyDescent="0.25">
      <c r="B3660">
        <v>0</v>
      </c>
      <c r="C3660" s="16" t="s">
        <v>12929</v>
      </c>
      <c r="D3660" s="16"/>
      <c r="E3660">
        <v>6</v>
      </c>
      <c r="F3660" t="s">
        <v>6515</v>
      </c>
      <c r="G3660">
        <v>1</v>
      </c>
      <c r="H3660">
        <v>1</v>
      </c>
      <c r="I3660">
        <f>1</f>
        <v>1</v>
      </c>
    </row>
    <row r="3661" spans="2:9" x14ac:dyDescent="0.25">
      <c r="B3661">
        <v>0</v>
      </c>
      <c r="C3661" s="16" t="s">
        <v>12930</v>
      </c>
      <c r="D3661" s="16"/>
      <c r="E3661">
        <v>6</v>
      </c>
      <c r="F3661" t="s">
        <v>6516</v>
      </c>
      <c r="G3661">
        <v>1</v>
      </c>
      <c r="H3661">
        <v>1</v>
      </c>
      <c r="I3661">
        <f>1</f>
        <v>1</v>
      </c>
    </row>
    <row r="3662" spans="2:9" x14ac:dyDescent="0.25">
      <c r="B3662">
        <v>0</v>
      </c>
      <c r="C3662" s="16" t="s">
        <v>12931</v>
      </c>
      <c r="D3662" s="16"/>
      <c r="E3662">
        <v>6</v>
      </c>
      <c r="F3662" t="s">
        <v>6334</v>
      </c>
      <c r="G3662">
        <v>1</v>
      </c>
      <c r="H3662">
        <v>1</v>
      </c>
      <c r="I3662">
        <f>1</f>
        <v>1</v>
      </c>
    </row>
    <row r="3663" spans="2:9" x14ac:dyDescent="0.25">
      <c r="B3663">
        <v>0</v>
      </c>
      <c r="C3663" s="16" t="s">
        <v>12932</v>
      </c>
      <c r="D3663" s="16"/>
      <c r="E3663">
        <v>6</v>
      </c>
      <c r="F3663" t="s">
        <v>6517</v>
      </c>
      <c r="G3663">
        <v>1</v>
      </c>
      <c r="H3663">
        <v>1</v>
      </c>
      <c r="I3663">
        <f>1</f>
        <v>1</v>
      </c>
    </row>
    <row r="3664" spans="2:9" x14ac:dyDescent="0.25">
      <c r="B3664">
        <v>0</v>
      </c>
      <c r="C3664" s="16" t="s">
        <v>12933</v>
      </c>
      <c r="D3664" s="16"/>
      <c r="E3664">
        <v>6</v>
      </c>
      <c r="F3664" t="s">
        <v>6518</v>
      </c>
      <c r="G3664">
        <v>1</v>
      </c>
      <c r="H3664">
        <v>1</v>
      </c>
      <c r="I3664">
        <f>1</f>
        <v>1</v>
      </c>
    </row>
    <row r="3665" spans="2:9" x14ac:dyDescent="0.25">
      <c r="B3665">
        <v>0</v>
      </c>
      <c r="C3665" s="16" t="s">
        <v>12934</v>
      </c>
      <c r="D3665" s="16"/>
      <c r="E3665">
        <v>6</v>
      </c>
      <c r="F3665" t="s">
        <v>6519</v>
      </c>
      <c r="G3665">
        <v>1</v>
      </c>
      <c r="H3665">
        <v>1</v>
      </c>
      <c r="I3665">
        <f>1</f>
        <v>1</v>
      </c>
    </row>
    <row r="3666" spans="2:9" x14ac:dyDescent="0.25">
      <c r="B3666">
        <v>0</v>
      </c>
      <c r="C3666" s="16" t="s">
        <v>12935</v>
      </c>
      <c r="D3666" s="16"/>
      <c r="E3666">
        <v>6</v>
      </c>
      <c r="F3666" t="s">
        <v>6520</v>
      </c>
      <c r="G3666">
        <v>1</v>
      </c>
      <c r="H3666">
        <v>1</v>
      </c>
      <c r="I3666">
        <f>1</f>
        <v>1</v>
      </c>
    </row>
    <row r="3667" spans="2:9" x14ac:dyDescent="0.25">
      <c r="B3667">
        <v>0</v>
      </c>
      <c r="C3667" s="16" t="s">
        <v>12936</v>
      </c>
      <c r="D3667" s="16"/>
      <c r="E3667">
        <v>6</v>
      </c>
      <c r="F3667" t="s">
        <v>6521</v>
      </c>
      <c r="G3667">
        <v>1</v>
      </c>
      <c r="H3667">
        <v>1</v>
      </c>
      <c r="I3667">
        <f>1</f>
        <v>1</v>
      </c>
    </row>
    <row r="3668" spans="2:9" x14ac:dyDescent="0.25">
      <c r="B3668">
        <v>0</v>
      </c>
      <c r="C3668" s="16" t="s">
        <v>12937</v>
      </c>
      <c r="D3668" s="16"/>
      <c r="E3668">
        <v>6</v>
      </c>
      <c r="F3668" t="s">
        <v>6522</v>
      </c>
      <c r="G3668">
        <v>1</v>
      </c>
      <c r="H3668">
        <v>1</v>
      </c>
      <c r="I3668">
        <f>1</f>
        <v>1</v>
      </c>
    </row>
    <row r="3669" spans="2:9" x14ac:dyDescent="0.25">
      <c r="B3669">
        <v>0</v>
      </c>
      <c r="C3669" s="16" t="s">
        <v>12938</v>
      </c>
      <c r="D3669" s="16"/>
      <c r="E3669">
        <v>6</v>
      </c>
      <c r="F3669" t="s">
        <v>6523</v>
      </c>
      <c r="G3669">
        <v>1</v>
      </c>
      <c r="H3669">
        <v>1</v>
      </c>
      <c r="I3669">
        <f>1</f>
        <v>1</v>
      </c>
    </row>
    <row r="3670" spans="2:9" x14ac:dyDescent="0.25">
      <c r="B3670">
        <v>0</v>
      </c>
      <c r="C3670" s="16" t="s">
        <v>12939</v>
      </c>
      <c r="D3670" s="16"/>
      <c r="E3670">
        <v>6</v>
      </c>
      <c r="F3670" t="s">
        <v>6335</v>
      </c>
      <c r="G3670">
        <v>1</v>
      </c>
      <c r="H3670">
        <v>1</v>
      </c>
      <c r="I3670">
        <f>1</f>
        <v>1</v>
      </c>
    </row>
    <row r="3671" spans="2:9" x14ac:dyDescent="0.25">
      <c r="B3671">
        <v>0</v>
      </c>
      <c r="C3671" s="16" t="s">
        <v>12940</v>
      </c>
      <c r="D3671" s="16"/>
      <c r="E3671">
        <v>6</v>
      </c>
      <c r="F3671" t="s">
        <v>6524</v>
      </c>
      <c r="G3671">
        <v>1</v>
      </c>
      <c r="H3671">
        <v>1</v>
      </c>
      <c r="I3671">
        <f>1</f>
        <v>1</v>
      </c>
    </row>
    <row r="3672" spans="2:9" x14ac:dyDescent="0.25">
      <c r="B3672">
        <v>0</v>
      </c>
      <c r="C3672" s="16" t="s">
        <v>12941</v>
      </c>
      <c r="D3672" s="16"/>
      <c r="E3672">
        <v>6</v>
      </c>
      <c r="F3672" t="s">
        <v>6525</v>
      </c>
      <c r="G3672">
        <v>1</v>
      </c>
      <c r="H3672">
        <v>1</v>
      </c>
      <c r="I3672">
        <f>1</f>
        <v>1</v>
      </c>
    </row>
    <row r="3673" spans="2:9" x14ac:dyDescent="0.25">
      <c r="B3673">
        <v>0</v>
      </c>
      <c r="C3673" s="16" t="s">
        <v>12942</v>
      </c>
      <c r="D3673" s="16"/>
      <c r="E3673">
        <v>6</v>
      </c>
      <c r="F3673" t="s">
        <v>6526</v>
      </c>
      <c r="G3673">
        <v>1</v>
      </c>
      <c r="H3673">
        <v>1</v>
      </c>
      <c r="I3673">
        <f>1</f>
        <v>1</v>
      </c>
    </row>
    <row r="3674" spans="2:9" x14ac:dyDescent="0.25">
      <c r="B3674">
        <v>0</v>
      </c>
      <c r="C3674" s="16" t="s">
        <v>12943</v>
      </c>
      <c r="D3674" s="16"/>
      <c r="E3674">
        <v>6</v>
      </c>
      <c r="F3674" t="s">
        <v>6527</v>
      </c>
      <c r="G3674">
        <v>1</v>
      </c>
      <c r="H3674">
        <v>1</v>
      </c>
      <c r="I3674">
        <f>1</f>
        <v>1</v>
      </c>
    </row>
    <row r="3675" spans="2:9" x14ac:dyDescent="0.25">
      <c r="B3675">
        <v>0</v>
      </c>
      <c r="C3675" s="16" t="s">
        <v>12944</v>
      </c>
      <c r="D3675" s="16"/>
      <c r="E3675">
        <v>6</v>
      </c>
      <c r="F3675" t="s">
        <v>6528</v>
      </c>
      <c r="G3675">
        <v>1</v>
      </c>
      <c r="H3675">
        <v>1</v>
      </c>
      <c r="I3675">
        <f>1</f>
        <v>1</v>
      </c>
    </row>
    <row r="3676" spans="2:9" x14ac:dyDescent="0.25">
      <c r="B3676">
        <v>0</v>
      </c>
      <c r="C3676" s="16" t="s">
        <v>12945</v>
      </c>
      <c r="D3676" s="16"/>
      <c r="E3676">
        <v>6</v>
      </c>
      <c r="F3676" t="s">
        <v>4680</v>
      </c>
      <c r="G3676">
        <v>1</v>
      </c>
      <c r="H3676">
        <v>1</v>
      </c>
      <c r="I3676">
        <f>1</f>
        <v>1</v>
      </c>
    </row>
    <row r="3677" spans="2:9" x14ac:dyDescent="0.25">
      <c r="B3677">
        <v>0</v>
      </c>
      <c r="C3677" s="16" t="s">
        <v>12946</v>
      </c>
      <c r="D3677" s="16"/>
      <c r="E3677">
        <v>6</v>
      </c>
      <c r="F3677" t="s">
        <v>6347</v>
      </c>
      <c r="G3677">
        <v>1</v>
      </c>
      <c r="H3677">
        <v>1</v>
      </c>
      <c r="I3677">
        <f>1</f>
        <v>1</v>
      </c>
    </row>
    <row r="3678" spans="2:9" x14ac:dyDescent="0.25">
      <c r="B3678">
        <v>0</v>
      </c>
      <c r="C3678" s="16" t="s">
        <v>12947</v>
      </c>
      <c r="D3678" s="16"/>
      <c r="E3678">
        <v>6</v>
      </c>
      <c r="F3678" t="s">
        <v>6529</v>
      </c>
      <c r="G3678">
        <v>1</v>
      </c>
      <c r="H3678">
        <v>1</v>
      </c>
      <c r="I3678">
        <f>1</f>
        <v>1</v>
      </c>
    </row>
    <row r="3679" spans="2:9" x14ac:dyDescent="0.25">
      <c r="B3679">
        <v>0</v>
      </c>
      <c r="C3679" s="16" t="s">
        <v>12948</v>
      </c>
      <c r="D3679" s="16"/>
      <c r="E3679">
        <v>6</v>
      </c>
      <c r="F3679" t="s">
        <v>6530</v>
      </c>
      <c r="G3679">
        <v>1</v>
      </c>
      <c r="H3679">
        <v>1</v>
      </c>
      <c r="I3679">
        <f>1</f>
        <v>1</v>
      </c>
    </row>
    <row r="3680" spans="2:9" x14ac:dyDescent="0.25">
      <c r="B3680">
        <v>0</v>
      </c>
      <c r="C3680" s="16" t="s">
        <v>12949</v>
      </c>
      <c r="D3680" s="16"/>
      <c r="E3680">
        <v>6</v>
      </c>
      <c r="F3680" t="s">
        <v>6349</v>
      </c>
      <c r="G3680">
        <v>1</v>
      </c>
      <c r="H3680">
        <v>1</v>
      </c>
      <c r="I3680">
        <f>1</f>
        <v>1</v>
      </c>
    </row>
    <row r="3681" spans="2:9" x14ac:dyDescent="0.25">
      <c r="B3681">
        <v>0</v>
      </c>
      <c r="C3681" s="16" t="s">
        <v>12950</v>
      </c>
      <c r="D3681" s="16"/>
      <c r="E3681">
        <v>6</v>
      </c>
      <c r="F3681" t="s">
        <v>6350</v>
      </c>
      <c r="G3681">
        <v>1</v>
      </c>
      <c r="H3681">
        <v>1</v>
      </c>
      <c r="I3681">
        <f>1</f>
        <v>1</v>
      </c>
    </row>
    <row r="3682" spans="2:9" x14ac:dyDescent="0.25">
      <c r="B3682">
        <v>0</v>
      </c>
      <c r="C3682" s="16" t="s">
        <v>12951</v>
      </c>
      <c r="D3682" s="16"/>
      <c r="E3682">
        <v>6</v>
      </c>
      <c r="F3682" t="s">
        <v>6531</v>
      </c>
      <c r="G3682">
        <v>1</v>
      </c>
      <c r="H3682">
        <v>1</v>
      </c>
      <c r="I3682">
        <f>1</f>
        <v>1</v>
      </c>
    </row>
    <row r="3683" spans="2:9" x14ac:dyDescent="0.25">
      <c r="B3683">
        <v>0</v>
      </c>
      <c r="C3683" s="16" t="s">
        <v>12952</v>
      </c>
      <c r="D3683" s="16"/>
      <c r="E3683">
        <v>6</v>
      </c>
      <c r="F3683" t="s">
        <v>2563</v>
      </c>
      <c r="G3683">
        <v>1</v>
      </c>
      <c r="H3683">
        <v>1</v>
      </c>
      <c r="I3683">
        <f>1</f>
        <v>1</v>
      </c>
    </row>
    <row r="3684" spans="2:9" x14ac:dyDescent="0.25">
      <c r="B3684">
        <v>0</v>
      </c>
      <c r="C3684" s="16" t="s">
        <v>12953</v>
      </c>
      <c r="D3684" s="16"/>
      <c r="E3684">
        <v>6</v>
      </c>
      <c r="F3684" t="s">
        <v>4680</v>
      </c>
      <c r="G3684">
        <v>1</v>
      </c>
      <c r="H3684">
        <v>1</v>
      </c>
      <c r="I3684">
        <f>1</f>
        <v>1</v>
      </c>
    </row>
    <row r="3685" spans="2:9" x14ac:dyDescent="0.25">
      <c r="B3685">
        <v>0</v>
      </c>
      <c r="C3685" s="16" t="s">
        <v>12954</v>
      </c>
      <c r="D3685" s="16"/>
      <c r="E3685">
        <v>6</v>
      </c>
      <c r="F3685" t="s">
        <v>6361</v>
      </c>
      <c r="G3685">
        <v>1</v>
      </c>
      <c r="H3685">
        <v>1</v>
      </c>
      <c r="I3685">
        <f>1</f>
        <v>1</v>
      </c>
    </row>
    <row r="3686" spans="2:9" x14ac:dyDescent="0.25">
      <c r="B3686">
        <v>0</v>
      </c>
      <c r="C3686" s="16" t="s">
        <v>12955</v>
      </c>
      <c r="D3686" s="16"/>
      <c r="E3686">
        <v>6</v>
      </c>
      <c r="F3686" t="s">
        <v>6362</v>
      </c>
      <c r="G3686">
        <v>1</v>
      </c>
      <c r="H3686">
        <v>1</v>
      </c>
      <c r="I3686">
        <f>1</f>
        <v>1</v>
      </c>
    </row>
    <row r="3687" spans="2:9" x14ac:dyDescent="0.25">
      <c r="B3687">
        <v>0</v>
      </c>
      <c r="C3687" s="16" t="s">
        <v>12956</v>
      </c>
      <c r="D3687" s="16"/>
      <c r="E3687">
        <v>6</v>
      </c>
      <c r="F3687" t="s">
        <v>6532</v>
      </c>
      <c r="G3687">
        <v>1</v>
      </c>
      <c r="H3687">
        <v>1</v>
      </c>
      <c r="I3687">
        <f>1</f>
        <v>1</v>
      </c>
    </row>
    <row r="3688" spans="2:9" x14ac:dyDescent="0.25">
      <c r="B3688">
        <v>0</v>
      </c>
      <c r="C3688" s="16" t="s">
        <v>12957</v>
      </c>
      <c r="D3688" s="16"/>
      <c r="E3688">
        <v>6</v>
      </c>
      <c r="F3688" t="s">
        <v>6533</v>
      </c>
      <c r="G3688">
        <v>1</v>
      </c>
      <c r="H3688">
        <v>1</v>
      </c>
      <c r="I3688">
        <f>1</f>
        <v>1</v>
      </c>
    </row>
    <row r="3689" spans="2:9" x14ac:dyDescent="0.25">
      <c r="B3689">
        <v>0</v>
      </c>
      <c r="C3689" s="16" t="s">
        <v>12958</v>
      </c>
      <c r="D3689" s="16"/>
      <c r="E3689">
        <v>6</v>
      </c>
      <c r="F3689" t="s">
        <v>6357</v>
      </c>
      <c r="G3689">
        <v>1</v>
      </c>
      <c r="H3689">
        <v>1</v>
      </c>
      <c r="I3689">
        <f>1</f>
        <v>1</v>
      </c>
    </row>
    <row r="3690" spans="2:9" x14ac:dyDescent="0.25">
      <c r="B3690">
        <v>0</v>
      </c>
      <c r="C3690" s="16" t="s">
        <v>12959</v>
      </c>
      <c r="D3690" s="16"/>
      <c r="E3690">
        <v>6</v>
      </c>
      <c r="F3690" t="s">
        <v>6534</v>
      </c>
      <c r="G3690">
        <v>1</v>
      </c>
      <c r="H3690">
        <v>1</v>
      </c>
      <c r="I3690">
        <f>1</f>
        <v>1</v>
      </c>
    </row>
    <row r="3691" spans="2:9" x14ac:dyDescent="0.25">
      <c r="B3691">
        <v>0</v>
      </c>
      <c r="C3691" s="16" t="s">
        <v>12960</v>
      </c>
      <c r="D3691" s="16"/>
      <c r="E3691">
        <v>6</v>
      </c>
      <c r="F3691" t="s">
        <v>4680</v>
      </c>
      <c r="G3691">
        <v>1</v>
      </c>
      <c r="H3691">
        <v>1</v>
      </c>
      <c r="I3691">
        <f>1</f>
        <v>1</v>
      </c>
    </row>
    <row r="3692" spans="2:9" x14ac:dyDescent="0.25">
      <c r="B3692">
        <v>0</v>
      </c>
      <c r="C3692" s="16" t="s">
        <v>12961</v>
      </c>
      <c r="D3692" s="16"/>
      <c r="E3692">
        <v>6</v>
      </c>
      <c r="F3692" t="s">
        <v>6535</v>
      </c>
      <c r="G3692">
        <v>1</v>
      </c>
      <c r="H3692">
        <v>1</v>
      </c>
      <c r="I3692">
        <f>1</f>
        <v>1</v>
      </c>
    </row>
    <row r="3693" spans="2:9" x14ac:dyDescent="0.25">
      <c r="B3693">
        <v>0</v>
      </c>
      <c r="C3693" s="16" t="s">
        <v>12962</v>
      </c>
      <c r="D3693" s="16"/>
      <c r="E3693">
        <v>6</v>
      </c>
      <c r="F3693" t="s">
        <v>6536</v>
      </c>
      <c r="G3693">
        <v>1</v>
      </c>
      <c r="H3693">
        <v>1</v>
      </c>
      <c r="I3693">
        <f>1</f>
        <v>1</v>
      </c>
    </row>
    <row r="3694" spans="2:9" x14ac:dyDescent="0.25">
      <c r="B3694">
        <v>0</v>
      </c>
      <c r="C3694" s="16" t="s">
        <v>12963</v>
      </c>
      <c r="D3694" s="16"/>
      <c r="E3694">
        <v>6</v>
      </c>
      <c r="F3694" t="s">
        <v>6392</v>
      </c>
      <c r="G3694">
        <v>1</v>
      </c>
      <c r="H3694">
        <v>1</v>
      </c>
      <c r="I3694">
        <f>1</f>
        <v>1</v>
      </c>
    </row>
    <row r="3695" spans="2:9" x14ac:dyDescent="0.25">
      <c r="B3695">
        <v>0</v>
      </c>
      <c r="C3695" s="16" t="s">
        <v>12964</v>
      </c>
      <c r="D3695" s="16"/>
      <c r="E3695">
        <v>6</v>
      </c>
      <c r="F3695" t="s">
        <v>6537</v>
      </c>
      <c r="G3695">
        <v>1</v>
      </c>
      <c r="H3695">
        <v>1</v>
      </c>
      <c r="I3695">
        <f>1</f>
        <v>1</v>
      </c>
    </row>
    <row r="3696" spans="2:9" x14ac:dyDescent="0.25">
      <c r="B3696">
        <v>0</v>
      </c>
      <c r="C3696" s="16" t="s">
        <v>12965</v>
      </c>
      <c r="D3696" s="16"/>
      <c r="E3696">
        <v>6</v>
      </c>
      <c r="F3696" t="s">
        <v>6538</v>
      </c>
      <c r="G3696">
        <v>1</v>
      </c>
      <c r="H3696">
        <v>1</v>
      </c>
      <c r="I3696">
        <f>1</f>
        <v>1</v>
      </c>
    </row>
    <row r="3697" spans="2:9" x14ac:dyDescent="0.25">
      <c r="B3697">
        <v>0</v>
      </c>
      <c r="C3697" s="16" t="s">
        <v>12966</v>
      </c>
      <c r="D3697" s="16"/>
      <c r="E3697">
        <v>6</v>
      </c>
      <c r="F3697" t="s">
        <v>4680</v>
      </c>
      <c r="G3697">
        <v>1</v>
      </c>
      <c r="H3697">
        <v>1</v>
      </c>
      <c r="I3697">
        <f>1</f>
        <v>1</v>
      </c>
    </row>
    <row r="3698" spans="2:9" x14ac:dyDescent="0.25">
      <c r="B3698">
        <v>0</v>
      </c>
      <c r="C3698" s="16" t="s">
        <v>12967</v>
      </c>
      <c r="D3698" s="16"/>
      <c r="E3698">
        <v>6</v>
      </c>
      <c r="F3698" t="s">
        <v>6539</v>
      </c>
      <c r="G3698">
        <v>1</v>
      </c>
      <c r="H3698">
        <v>1</v>
      </c>
      <c r="I3698">
        <f>1</f>
        <v>1</v>
      </c>
    </row>
    <row r="3699" spans="2:9" x14ac:dyDescent="0.25">
      <c r="B3699">
        <v>0</v>
      </c>
      <c r="C3699" s="16" t="s">
        <v>12968</v>
      </c>
      <c r="D3699" s="16"/>
      <c r="E3699">
        <v>6</v>
      </c>
      <c r="F3699" t="s">
        <v>6327</v>
      </c>
      <c r="G3699">
        <v>1</v>
      </c>
      <c r="H3699">
        <v>1</v>
      </c>
      <c r="I3699">
        <f>1</f>
        <v>1</v>
      </c>
    </row>
    <row r="3700" spans="2:9" x14ac:dyDescent="0.25">
      <c r="B3700">
        <v>0</v>
      </c>
      <c r="C3700" s="16" t="s">
        <v>12969</v>
      </c>
      <c r="D3700" s="16"/>
      <c r="E3700">
        <v>6</v>
      </c>
      <c r="F3700" t="s">
        <v>6540</v>
      </c>
      <c r="G3700">
        <v>1</v>
      </c>
      <c r="H3700">
        <v>1</v>
      </c>
      <c r="I3700">
        <f>1</f>
        <v>1</v>
      </c>
    </row>
    <row r="3701" spans="2:9" x14ac:dyDescent="0.25">
      <c r="B3701">
        <v>0</v>
      </c>
      <c r="C3701" s="16" t="s">
        <v>12970</v>
      </c>
      <c r="D3701" s="16"/>
      <c r="E3701">
        <v>6</v>
      </c>
      <c r="F3701" t="s">
        <v>6541</v>
      </c>
      <c r="G3701">
        <v>1</v>
      </c>
      <c r="H3701">
        <v>1</v>
      </c>
      <c r="I3701">
        <f>1</f>
        <v>1</v>
      </c>
    </row>
    <row r="3702" spans="2:9" x14ac:dyDescent="0.25">
      <c r="B3702">
        <v>0</v>
      </c>
      <c r="C3702" s="16" t="s">
        <v>12971</v>
      </c>
      <c r="D3702" s="16"/>
      <c r="E3702">
        <v>6</v>
      </c>
      <c r="F3702" t="s">
        <v>6542</v>
      </c>
      <c r="G3702">
        <v>1</v>
      </c>
      <c r="H3702">
        <v>1</v>
      </c>
      <c r="I3702">
        <f>1</f>
        <v>1</v>
      </c>
    </row>
    <row r="3703" spans="2:9" x14ac:dyDescent="0.25">
      <c r="B3703">
        <v>0</v>
      </c>
      <c r="C3703" s="16" t="s">
        <v>12972</v>
      </c>
      <c r="D3703" s="16"/>
      <c r="E3703">
        <v>6</v>
      </c>
      <c r="F3703" t="s">
        <v>6543</v>
      </c>
      <c r="G3703">
        <v>1</v>
      </c>
      <c r="H3703">
        <v>1</v>
      </c>
      <c r="I3703">
        <f>1</f>
        <v>1</v>
      </c>
    </row>
    <row r="3704" spans="2:9" x14ac:dyDescent="0.25">
      <c r="B3704">
        <v>0</v>
      </c>
      <c r="C3704" s="16" t="s">
        <v>12973</v>
      </c>
      <c r="D3704" s="16"/>
      <c r="E3704">
        <v>6</v>
      </c>
      <c r="F3704" t="s">
        <v>6544</v>
      </c>
      <c r="G3704">
        <v>1</v>
      </c>
      <c r="H3704">
        <v>1</v>
      </c>
      <c r="I3704">
        <f>1</f>
        <v>1</v>
      </c>
    </row>
    <row r="3705" spans="2:9" x14ac:dyDescent="0.25">
      <c r="B3705">
        <v>0</v>
      </c>
      <c r="C3705" s="16" t="s">
        <v>12974</v>
      </c>
      <c r="D3705" s="16"/>
      <c r="E3705">
        <v>6</v>
      </c>
      <c r="F3705" t="s">
        <v>4680</v>
      </c>
      <c r="G3705">
        <v>1</v>
      </c>
      <c r="H3705">
        <v>1</v>
      </c>
      <c r="I3705">
        <f>1</f>
        <v>1</v>
      </c>
    </row>
    <row r="3706" spans="2:9" x14ac:dyDescent="0.25">
      <c r="B3706">
        <v>0</v>
      </c>
      <c r="C3706" s="16" t="s">
        <v>12975</v>
      </c>
      <c r="D3706" s="16"/>
      <c r="E3706">
        <v>6</v>
      </c>
      <c r="F3706" t="s">
        <v>6545</v>
      </c>
      <c r="G3706">
        <v>1</v>
      </c>
      <c r="H3706">
        <v>1</v>
      </c>
      <c r="I3706">
        <f>1</f>
        <v>1</v>
      </c>
    </row>
    <row r="3707" spans="2:9" x14ac:dyDescent="0.25">
      <c r="B3707">
        <v>0</v>
      </c>
      <c r="C3707" s="16" t="s">
        <v>12976</v>
      </c>
      <c r="D3707" s="16"/>
      <c r="E3707">
        <v>6</v>
      </c>
      <c r="F3707" t="s">
        <v>6546</v>
      </c>
      <c r="G3707">
        <v>1</v>
      </c>
      <c r="H3707">
        <v>1</v>
      </c>
      <c r="I3707">
        <f>1</f>
        <v>1</v>
      </c>
    </row>
    <row r="3708" spans="2:9" x14ac:dyDescent="0.25">
      <c r="B3708">
        <v>0</v>
      </c>
      <c r="C3708" s="16" t="s">
        <v>12977</v>
      </c>
      <c r="D3708" s="16"/>
      <c r="E3708">
        <v>6</v>
      </c>
      <c r="F3708" t="s">
        <v>6547</v>
      </c>
      <c r="G3708">
        <v>1</v>
      </c>
      <c r="H3708">
        <v>1</v>
      </c>
      <c r="I3708">
        <f>1</f>
        <v>1</v>
      </c>
    </row>
    <row r="3709" spans="2:9" x14ac:dyDescent="0.25">
      <c r="B3709">
        <v>0</v>
      </c>
      <c r="C3709" s="16" t="s">
        <v>12978</v>
      </c>
      <c r="D3709" s="16"/>
      <c r="E3709">
        <v>6</v>
      </c>
      <c r="F3709" t="s">
        <v>4680</v>
      </c>
      <c r="G3709">
        <v>1</v>
      </c>
      <c r="H3709">
        <v>1</v>
      </c>
      <c r="I3709">
        <f>1</f>
        <v>1</v>
      </c>
    </row>
    <row r="3710" spans="2:9" x14ac:dyDescent="0.25">
      <c r="B3710">
        <v>0</v>
      </c>
      <c r="C3710" s="16" t="s">
        <v>12979</v>
      </c>
      <c r="D3710" s="16"/>
      <c r="E3710">
        <v>6</v>
      </c>
      <c r="F3710" t="s">
        <v>6548</v>
      </c>
      <c r="G3710">
        <v>1</v>
      </c>
      <c r="H3710">
        <v>1</v>
      </c>
      <c r="I3710">
        <f>1</f>
        <v>1</v>
      </c>
    </row>
    <row r="3711" spans="2:9" x14ac:dyDescent="0.25">
      <c r="B3711">
        <v>0</v>
      </c>
      <c r="C3711" s="16" t="s">
        <v>12980</v>
      </c>
      <c r="D3711" s="16"/>
      <c r="E3711">
        <v>6</v>
      </c>
      <c r="F3711" t="s">
        <v>6549</v>
      </c>
      <c r="G3711">
        <v>1</v>
      </c>
      <c r="H3711">
        <v>1</v>
      </c>
      <c r="I3711">
        <f>1</f>
        <v>1</v>
      </c>
    </row>
    <row r="3712" spans="2:9" x14ac:dyDescent="0.25">
      <c r="B3712">
        <v>0</v>
      </c>
      <c r="C3712" s="16" t="s">
        <v>12981</v>
      </c>
      <c r="D3712" s="16"/>
      <c r="E3712">
        <v>6</v>
      </c>
      <c r="F3712" t="s">
        <v>6550</v>
      </c>
      <c r="G3712">
        <v>1</v>
      </c>
      <c r="H3712">
        <v>1</v>
      </c>
      <c r="I3712">
        <f>1</f>
        <v>1</v>
      </c>
    </row>
    <row r="3713" spans="2:9" x14ac:dyDescent="0.25">
      <c r="B3713">
        <v>0</v>
      </c>
      <c r="C3713" s="16" t="s">
        <v>12982</v>
      </c>
      <c r="D3713" s="16"/>
      <c r="E3713">
        <v>6</v>
      </c>
      <c r="F3713" t="s">
        <v>6551</v>
      </c>
      <c r="G3713">
        <v>1</v>
      </c>
      <c r="H3713">
        <v>1</v>
      </c>
      <c r="I3713">
        <f>1</f>
        <v>1</v>
      </c>
    </row>
    <row r="3714" spans="2:9" x14ac:dyDescent="0.25">
      <c r="B3714">
        <v>0</v>
      </c>
      <c r="C3714" s="16" t="s">
        <v>12983</v>
      </c>
      <c r="D3714" s="16"/>
      <c r="E3714">
        <v>6</v>
      </c>
      <c r="F3714" t="s">
        <v>5740</v>
      </c>
      <c r="G3714">
        <v>1</v>
      </c>
      <c r="H3714">
        <v>1</v>
      </c>
      <c r="I3714">
        <f>1</f>
        <v>1</v>
      </c>
    </row>
    <row r="3715" spans="2:9" x14ac:dyDescent="0.25">
      <c r="B3715">
        <v>0</v>
      </c>
      <c r="C3715" s="16" t="s">
        <v>12984</v>
      </c>
      <c r="D3715" s="16"/>
      <c r="E3715">
        <v>6</v>
      </c>
      <c r="F3715" t="s">
        <v>6552</v>
      </c>
      <c r="G3715">
        <v>1</v>
      </c>
      <c r="H3715">
        <v>1</v>
      </c>
      <c r="I3715">
        <f>1</f>
        <v>1</v>
      </c>
    </row>
    <row r="3716" spans="2:9" x14ac:dyDescent="0.25">
      <c r="B3716">
        <v>0</v>
      </c>
      <c r="C3716" s="16" t="s">
        <v>12985</v>
      </c>
      <c r="D3716" s="16"/>
      <c r="E3716">
        <v>6</v>
      </c>
      <c r="F3716" t="s">
        <v>6553</v>
      </c>
      <c r="G3716">
        <v>1</v>
      </c>
      <c r="H3716">
        <v>1</v>
      </c>
      <c r="I3716">
        <f>1</f>
        <v>1</v>
      </c>
    </row>
    <row r="3717" spans="2:9" x14ac:dyDescent="0.25">
      <c r="B3717">
        <v>0</v>
      </c>
      <c r="C3717" s="16" t="s">
        <v>12986</v>
      </c>
      <c r="D3717" s="16"/>
      <c r="E3717">
        <v>6</v>
      </c>
      <c r="F3717" t="s">
        <v>6554</v>
      </c>
      <c r="G3717">
        <v>1</v>
      </c>
      <c r="H3717">
        <v>1</v>
      </c>
      <c r="I3717">
        <f>1</f>
        <v>1</v>
      </c>
    </row>
    <row r="3718" spans="2:9" x14ac:dyDescent="0.25">
      <c r="B3718">
        <v>0</v>
      </c>
      <c r="C3718" s="16" t="s">
        <v>12987</v>
      </c>
      <c r="D3718" s="16"/>
      <c r="E3718">
        <v>6</v>
      </c>
      <c r="F3718" t="s">
        <v>4680</v>
      </c>
      <c r="G3718">
        <v>1</v>
      </c>
      <c r="H3718">
        <v>1</v>
      </c>
      <c r="I3718">
        <f>1</f>
        <v>1</v>
      </c>
    </row>
    <row r="3719" spans="2:9" x14ac:dyDescent="0.25">
      <c r="B3719">
        <v>0</v>
      </c>
      <c r="C3719" s="16" t="s">
        <v>12988</v>
      </c>
      <c r="D3719" s="16"/>
      <c r="E3719">
        <v>6</v>
      </c>
      <c r="F3719" t="s">
        <v>6555</v>
      </c>
      <c r="G3719">
        <v>1</v>
      </c>
      <c r="H3719">
        <v>1</v>
      </c>
      <c r="I3719">
        <f>1</f>
        <v>1</v>
      </c>
    </row>
    <row r="3720" spans="2:9" x14ac:dyDescent="0.25">
      <c r="B3720">
        <v>0</v>
      </c>
      <c r="C3720" s="16" t="s">
        <v>12989</v>
      </c>
      <c r="D3720" s="16"/>
      <c r="E3720">
        <v>6</v>
      </c>
      <c r="F3720" t="s">
        <v>6556</v>
      </c>
      <c r="G3720">
        <v>1</v>
      </c>
      <c r="H3720">
        <v>1</v>
      </c>
      <c r="I3720">
        <f>1</f>
        <v>1</v>
      </c>
    </row>
    <row r="3721" spans="2:9" x14ac:dyDescent="0.25">
      <c r="B3721">
        <v>0</v>
      </c>
      <c r="C3721" s="16" t="s">
        <v>12990</v>
      </c>
      <c r="D3721" s="16"/>
      <c r="E3721">
        <v>6</v>
      </c>
      <c r="F3721" t="s">
        <v>6557</v>
      </c>
      <c r="G3721">
        <v>1</v>
      </c>
      <c r="H3721">
        <v>1</v>
      </c>
      <c r="I3721">
        <f>1</f>
        <v>1</v>
      </c>
    </row>
    <row r="3722" spans="2:9" x14ac:dyDescent="0.25">
      <c r="B3722">
        <v>0</v>
      </c>
      <c r="C3722" s="16" t="s">
        <v>12991</v>
      </c>
      <c r="D3722" s="16"/>
      <c r="E3722">
        <v>6</v>
      </c>
      <c r="F3722" t="s">
        <v>6558</v>
      </c>
      <c r="G3722">
        <v>1</v>
      </c>
      <c r="H3722">
        <v>1</v>
      </c>
      <c r="I3722">
        <f>1</f>
        <v>1</v>
      </c>
    </row>
    <row r="3723" spans="2:9" x14ac:dyDescent="0.25">
      <c r="B3723">
        <v>0</v>
      </c>
      <c r="C3723" s="16" t="s">
        <v>12992</v>
      </c>
      <c r="D3723" s="16"/>
      <c r="E3723">
        <v>6</v>
      </c>
      <c r="F3723" t="s">
        <v>6559</v>
      </c>
      <c r="G3723">
        <v>1</v>
      </c>
      <c r="H3723">
        <v>1</v>
      </c>
      <c r="I3723">
        <f>1</f>
        <v>1</v>
      </c>
    </row>
    <row r="3724" spans="2:9" x14ac:dyDescent="0.25">
      <c r="B3724">
        <v>0</v>
      </c>
      <c r="C3724" s="16" t="s">
        <v>12993</v>
      </c>
      <c r="D3724" s="16"/>
      <c r="E3724">
        <v>6</v>
      </c>
      <c r="F3724" t="s">
        <v>6560</v>
      </c>
      <c r="G3724">
        <v>1</v>
      </c>
      <c r="H3724">
        <v>1</v>
      </c>
      <c r="I3724">
        <f>1</f>
        <v>1</v>
      </c>
    </row>
    <row r="3725" spans="2:9" x14ac:dyDescent="0.25">
      <c r="B3725">
        <v>0</v>
      </c>
      <c r="C3725" s="16" t="s">
        <v>12994</v>
      </c>
      <c r="D3725" s="16"/>
      <c r="E3725">
        <v>6</v>
      </c>
      <c r="F3725" t="s">
        <v>6561</v>
      </c>
      <c r="G3725">
        <v>1</v>
      </c>
      <c r="H3725">
        <v>1</v>
      </c>
      <c r="I3725">
        <f>1</f>
        <v>1</v>
      </c>
    </row>
    <row r="3726" spans="2:9" x14ac:dyDescent="0.25">
      <c r="B3726">
        <v>0</v>
      </c>
      <c r="C3726" s="16" t="s">
        <v>12995</v>
      </c>
      <c r="D3726" s="16"/>
      <c r="E3726">
        <v>6</v>
      </c>
      <c r="F3726" t="s">
        <v>6562</v>
      </c>
      <c r="G3726">
        <v>1</v>
      </c>
      <c r="H3726">
        <v>1</v>
      </c>
      <c r="I3726">
        <f>1</f>
        <v>1</v>
      </c>
    </row>
    <row r="3727" spans="2:9" x14ac:dyDescent="0.25">
      <c r="B3727">
        <v>0</v>
      </c>
      <c r="C3727" s="16" t="s">
        <v>12996</v>
      </c>
      <c r="D3727" s="16"/>
      <c r="E3727">
        <v>6</v>
      </c>
      <c r="F3727" t="s">
        <v>4680</v>
      </c>
      <c r="G3727">
        <v>1</v>
      </c>
      <c r="H3727">
        <v>1</v>
      </c>
      <c r="I3727">
        <f>1</f>
        <v>1</v>
      </c>
    </row>
    <row r="3728" spans="2:9" x14ac:dyDescent="0.25">
      <c r="B3728">
        <v>0</v>
      </c>
      <c r="C3728" s="16" t="s">
        <v>12997</v>
      </c>
      <c r="D3728" s="16"/>
      <c r="E3728">
        <v>6</v>
      </c>
      <c r="F3728" t="s">
        <v>6563</v>
      </c>
      <c r="G3728">
        <v>1</v>
      </c>
      <c r="H3728">
        <v>1</v>
      </c>
      <c r="I3728">
        <f>1</f>
        <v>1</v>
      </c>
    </row>
    <row r="3729" spans="2:9" x14ac:dyDescent="0.25">
      <c r="B3729">
        <v>0</v>
      </c>
      <c r="C3729" s="16" t="s">
        <v>12998</v>
      </c>
      <c r="D3729" s="16"/>
      <c r="E3729">
        <v>6</v>
      </c>
      <c r="F3729" t="s">
        <v>6564</v>
      </c>
      <c r="G3729">
        <v>1</v>
      </c>
      <c r="H3729">
        <v>1</v>
      </c>
      <c r="I3729">
        <f>1</f>
        <v>1</v>
      </c>
    </row>
    <row r="3730" spans="2:9" x14ac:dyDescent="0.25">
      <c r="B3730">
        <v>0</v>
      </c>
      <c r="C3730" s="16" t="s">
        <v>12999</v>
      </c>
      <c r="D3730" s="16"/>
      <c r="E3730">
        <v>6</v>
      </c>
      <c r="F3730" t="s">
        <v>6565</v>
      </c>
      <c r="G3730">
        <v>1</v>
      </c>
      <c r="H3730">
        <v>1</v>
      </c>
      <c r="I3730">
        <f>1</f>
        <v>1</v>
      </c>
    </row>
    <row r="3731" spans="2:9" x14ac:dyDescent="0.25">
      <c r="B3731">
        <v>0</v>
      </c>
      <c r="C3731" s="16" t="s">
        <v>13000</v>
      </c>
      <c r="D3731" s="16"/>
      <c r="E3731">
        <v>6</v>
      </c>
      <c r="F3731" t="s">
        <v>6566</v>
      </c>
      <c r="G3731">
        <v>1</v>
      </c>
      <c r="H3731">
        <v>1</v>
      </c>
      <c r="I3731">
        <f>1</f>
        <v>1</v>
      </c>
    </row>
    <row r="3732" spans="2:9" x14ac:dyDescent="0.25">
      <c r="B3732">
        <v>0</v>
      </c>
      <c r="C3732" s="16" t="s">
        <v>13001</v>
      </c>
      <c r="D3732" s="16"/>
      <c r="E3732">
        <v>6</v>
      </c>
      <c r="F3732" t="s">
        <v>6567</v>
      </c>
      <c r="G3732">
        <v>1</v>
      </c>
      <c r="H3732">
        <v>1</v>
      </c>
      <c r="I3732">
        <f>1</f>
        <v>1</v>
      </c>
    </row>
    <row r="3733" spans="2:9" x14ac:dyDescent="0.25">
      <c r="B3733">
        <v>0</v>
      </c>
      <c r="C3733" s="16" t="s">
        <v>13002</v>
      </c>
      <c r="D3733" s="16"/>
      <c r="E3733">
        <v>6</v>
      </c>
      <c r="F3733" t="s">
        <v>6568</v>
      </c>
      <c r="G3733">
        <v>1</v>
      </c>
      <c r="H3733">
        <v>1</v>
      </c>
      <c r="I3733">
        <f>1</f>
        <v>1</v>
      </c>
    </row>
    <row r="3734" spans="2:9" x14ac:dyDescent="0.25">
      <c r="B3734">
        <v>0</v>
      </c>
      <c r="C3734" s="16" t="s">
        <v>13003</v>
      </c>
      <c r="D3734" s="16"/>
      <c r="E3734">
        <v>6</v>
      </c>
      <c r="F3734" t="s">
        <v>6569</v>
      </c>
      <c r="G3734">
        <v>1</v>
      </c>
      <c r="H3734">
        <v>1</v>
      </c>
      <c r="I3734">
        <f>1</f>
        <v>1</v>
      </c>
    </row>
    <row r="3735" spans="2:9" x14ac:dyDescent="0.25">
      <c r="B3735">
        <v>0</v>
      </c>
      <c r="C3735" s="16" t="s">
        <v>13004</v>
      </c>
      <c r="D3735" s="16"/>
      <c r="E3735">
        <v>6</v>
      </c>
      <c r="F3735" t="s">
        <v>6570</v>
      </c>
      <c r="G3735">
        <v>1</v>
      </c>
      <c r="H3735">
        <v>1</v>
      </c>
      <c r="I3735">
        <f>1</f>
        <v>1</v>
      </c>
    </row>
    <row r="3736" spans="2:9" x14ac:dyDescent="0.25">
      <c r="B3736">
        <v>0</v>
      </c>
      <c r="C3736" s="16" t="s">
        <v>13005</v>
      </c>
      <c r="D3736" s="16"/>
      <c r="E3736">
        <v>6</v>
      </c>
      <c r="F3736" t="s">
        <v>4680</v>
      </c>
      <c r="G3736">
        <v>1</v>
      </c>
      <c r="H3736">
        <v>1</v>
      </c>
      <c r="I3736">
        <f>1</f>
        <v>1</v>
      </c>
    </row>
    <row r="3737" spans="2:9" x14ac:dyDescent="0.25">
      <c r="B3737">
        <v>0</v>
      </c>
      <c r="C3737" s="16" t="s">
        <v>13006</v>
      </c>
      <c r="D3737" s="16"/>
      <c r="E3737">
        <v>6</v>
      </c>
      <c r="F3737" t="s">
        <v>6037</v>
      </c>
      <c r="G3737">
        <v>1</v>
      </c>
      <c r="H3737">
        <v>1</v>
      </c>
      <c r="I3737">
        <f>1</f>
        <v>1</v>
      </c>
    </row>
    <row r="3738" spans="2:9" x14ac:dyDescent="0.25">
      <c r="B3738">
        <v>0</v>
      </c>
      <c r="C3738" s="16" t="s">
        <v>13007</v>
      </c>
      <c r="D3738" s="16"/>
      <c r="E3738">
        <v>6</v>
      </c>
      <c r="F3738" t="s">
        <v>5984</v>
      </c>
      <c r="G3738">
        <v>1</v>
      </c>
      <c r="H3738">
        <v>1</v>
      </c>
      <c r="I3738">
        <f>1</f>
        <v>1</v>
      </c>
    </row>
    <row r="3739" spans="2:9" x14ac:dyDescent="0.25">
      <c r="B3739">
        <v>0</v>
      </c>
      <c r="C3739" s="16" t="s">
        <v>13008</v>
      </c>
      <c r="D3739" s="16"/>
      <c r="E3739">
        <v>6</v>
      </c>
      <c r="F3739" t="s">
        <v>6005</v>
      </c>
      <c r="G3739">
        <v>1</v>
      </c>
      <c r="H3739">
        <v>1</v>
      </c>
      <c r="I3739">
        <f>1</f>
        <v>1</v>
      </c>
    </row>
    <row r="3740" spans="2:9" x14ac:dyDescent="0.25">
      <c r="B3740">
        <v>0</v>
      </c>
      <c r="C3740" s="16" t="s">
        <v>13009</v>
      </c>
      <c r="D3740" s="16"/>
      <c r="E3740">
        <v>6</v>
      </c>
      <c r="F3740" t="s">
        <v>6040</v>
      </c>
      <c r="G3740">
        <v>1</v>
      </c>
      <c r="H3740">
        <v>1</v>
      </c>
      <c r="I3740">
        <f>1</f>
        <v>1</v>
      </c>
    </row>
    <row r="3741" spans="2:9" x14ac:dyDescent="0.25">
      <c r="B3741">
        <v>0</v>
      </c>
      <c r="C3741" s="16" t="s">
        <v>13010</v>
      </c>
      <c r="D3741" s="16"/>
      <c r="E3741">
        <v>6</v>
      </c>
      <c r="F3741" t="s">
        <v>6571</v>
      </c>
      <c r="G3741">
        <v>1</v>
      </c>
      <c r="H3741">
        <v>1</v>
      </c>
      <c r="I3741">
        <f>1</f>
        <v>1</v>
      </c>
    </row>
    <row r="3742" spans="2:9" x14ac:dyDescent="0.25">
      <c r="B3742">
        <v>0</v>
      </c>
      <c r="C3742" s="16" t="s">
        <v>13011</v>
      </c>
      <c r="D3742" s="16"/>
      <c r="E3742">
        <v>6</v>
      </c>
      <c r="F3742" t="s">
        <v>6572</v>
      </c>
      <c r="G3742">
        <v>1</v>
      </c>
      <c r="H3742">
        <v>1</v>
      </c>
      <c r="I3742">
        <f>1</f>
        <v>1</v>
      </c>
    </row>
    <row r="3743" spans="2:9" x14ac:dyDescent="0.25">
      <c r="B3743">
        <v>0</v>
      </c>
      <c r="C3743" s="16" t="s">
        <v>13012</v>
      </c>
      <c r="D3743" s="16"/>
      <c r="E3743">
        <v>6</v>
      </c>
      <c r="F3743" t="s">
        <v>6573</v>
      </c>
      <c r="G3743">
        <v>1</v>
      </c>
      <c r="H3743">
        <v>1</v>
      </c>
      <c r="I3743">
        <f>1</f>
        <v>1</v>
      </c>
    </row>
    <row r="3744" spans="2:9" x14ac:dyDescent="0.25">
      <c r="B3744">
        <v>0</v>
      </c>
      <c r="C3744" s="16" t="s">
        <v>13013</v>
      </c>
      <c r="D3744" s="16"/>
      <c r="E3744">
        <v>6</v>
      </c>
      <c r="F3744" t="s">
        <v>4680</v>
      </c>
      <c r="G3744">
        <v>1</v>
      </c>
      <c r="H3744">
        <v>1</v>
      </c>
      <c r="I3744">
        <f>1</f>
        <v>1</v>
      </c>
    </row>
    <row r="3745" spans="2:9" x14ac:dyDescent="0.25">
      <c r="B3745">
        <v>0</v>
      </c>
      <c r="C3745" s="16" t="s">
        <v>13014</v>
      </c>
      <c r="D3745" s="16"/>
      <c r="E3745">
        <v>6</v>
      </c>
      <c r="F3745" t="s">
        <v>6574</v>
      </c>
      <c r="G3745">
        <v>1</v>
      </c>
      <c r="H3745">
        <v>1</v>
      </c>
      <c r="I3745">
        <f>1</f>
        <v>1</v>
      </c>
    </row>
    <row r="3746" spans="2:9" x14ac:dyDescent="0.25">
      <c r="B3746">
        <v>0</v>
      </c>
      <c r="C3746" s="16" t="s">
        <v>13015</v>
      </c>
      <c r="D3746" s="16"/>
      <c r="E3746">
        <v>6</v>
      </c>
      <c r="F3746" t="s">
        <v>6575</v>
      </c>
      <c r="G3746">
        <v>1</v>
      </c>
      <c r="H3746">
        <v>1</v>
      </c>
      <c r="I3746">
        <f>1</f>
        <v>1</v>
      </c>
    </row>
    <row r="3747" spans="2:9" x14ac:dyDescent="0.25">
      <c r="B3747">
        <v>0</v>
      </c>
      <c r="C3747" s="16" t="s">
        <v>13016</v>
      </c>
      <c r="D3747" s="16"/>
      <c r="E3747">
        <v>6</v>
      </c>
      <c r="F3747" t="s">
        <v>6576</v>
      </c>
      <c r="G3747">
        <v>1</v>
      </c>
      <c r="H3747">
        <v>1</v>
      </c>
      <c r="I3747">
        <f>1</f>
        <v>1</v>
      </c>
    </row>
    <row r="3748" spans="2:9" x14ac:dyDescent="0.25">
      <c r="B3748">
        <v>0</v>
      </c>
      <c r="C3748" s="16" t="s">
        <v>13017</v>
      </c>
      <c r="D3748" s="16"/>
      <c r="E3748">
        <v>6</v>
      </c>
      <c r="F3748" t="s">
        <v>6577</v>
      </c>
      <c r="G3748">
        <v>1</v>
      </c>
      <c r="H3748">
        <v>1</v>
      </c>
      <c r="I3748">
        <f>1</f>
        <v>1</v>
      </c>
    </row>
    <row r="3749" spans="2:9" x14ac:dyDescent="0.25">
      <c r="B3749">
        <v>0</v>
      </c>
      <c r="C3749" s="16" t="s">
        <v>13018</v>
      </c>
      <c r="D3749" s="16"/>
      <c r="E3749">
        <v>6</v>
      </c>
      <c r="F3749" t="s">
        <v>6578</v>
      </c>
      <c r="G3749">
        <v>1</v>
      </c>
      <c r="H3749">
        <v>1</v>
      </c>
      <c r="I3749">
        <f>1</f>
        <v>1</v>
      </c>
    </row>
    <row r="3750" spans="2:9" x14ac:dyDescent="0.25">
      <c r="B3750">
        <v>0</v>
      </c>
      <c r="C3750" s="16" t="s">
        <v>13019</v>
      </c>
      <c r="D3750" s="16"/>
      <c r="E3750">
        <v>6</v>
      </c>
      <c r="F3750" t="s">
        <v>6579</v>
      </c>
      <c r="G3750">
        <v>1</v>
      </c>
      <c r="H3750">
        <v>1</v>
      </c>
      <c r="I3750">
        <f>1</f>
        <v>1</v>
      </c>
    </row>
    <row r="3751" spans="2:9" x14ac:dyDescent="0.25">
      <c r="B3751">
        <v>0</v>
      </c>
      <c r="C3751" s="16" t="s">
        <v>13020</v>
      </c>
      <c r="D3751" s="16"/>
      <c r="E3751">
        <v>6</v>
      </c>
      <c r="F3751" t="s">
        <v>6580</v>
      </c>
      <c r="G3751">
        <v>1</v>
      </c>
      <c r="H3751">
        <v>1</v>
      </c>
      <c r="I3751">
        <f>1</f>
        <v>1</v>
      </c>
    </row>
    <row r="3752" spans="2:9" x14ac:dyDescent="0.25">
      <c r="B3752">
        <v>0</v>
      </c>
      <c r="C3752" s="16" t="s">
        <v>13021</v>
      </c>
      <c r="D3752" s="16"/>
      <c r="E3752">
        <v>6</v>
      </c>
      <c r="F3752" t="s">
        <v>6581</v>
      </c>
      <c r="G3752">
        <v>1</v>
      </c>
      <c r="H3752">
        <v>1</v>
      </c>
      <c r="I3752">
        <f>1</f>
        <v>1</v>
      </c>
    </row>
    <row r="3753" spans="2:9" x14ac:dyDescent="0.25">
      <c r="B3753">
        <v>0</v>
      </c>
      <c r="C3753" s="16" t="s">
        <v>13022</v>
      </c>
      <c r="D3753" s="16"/>
      <c r="E3753">
        <v>6</v>
      </c>
      <c r="F3753" t="s">
        <v>4680</v>
      </c>
      <c r="G3753">
        <v>1</v>
      </c>
      <c r="H3753">
        <v>1</v>
      </c>
      <c r="I3753">
        <f>1</f>
        <v>1</v>
      </c>
    </row>
    <row r="3754" spans="2:9" x14ac:dyDescent="0.25">
      <c r="B3754">
        <v>0</v>
      </c>
      <c r="C3754" s="16" t="s">
        <v>13023</v>
      </c>
      <c r="D3754" s="16"/>
      <c r="E3754">
        <v>6</v>
      </c>
      <c r="F3754" t="s">
        <v>6582</v>
      </c>
      <c r="G3754">
        <v>1</v>
      </c>
      <c r="H3754">
        <v>1</v>
      </c>
      <c r="I3754">
        <f>1</f>
        <v>1</v>
      </c>
    </row>
    <row r="3755" spans="2:9" x14ac:dyDescent="0.25">
      <c r="B3755">
        <v>0</v>
      </c>
      <c r="C3755" s="16" t="s">
        <v>13024</v>
      </c>
      <c r="D3755" s="16"/>
      <c r="E3755">
        <v>6</v>
      </c>
      <c r="F3755" t="s">
        <v>6583</v>
      </c>
      <c r="G3755">
        <v>1</v>
      </c>
      <c r="H3755">
        <v>1</v>
      </c>
      <c r="I3755">
        <f>1</f>
        <v>1</v>
      </c>
    </row>
    <row r="3756" spans="2:9" x14ac:dyDescent="0.25">
      <c r="B3756">
        <v>0</v>
      </c>
      <c r="C3756" s="16" t="s">
        <v>13025</v>
      </c>
      <c r="D3756" s="16"/>
      <c r="E3756">
        <v>6</v>
      </c>
      <c r="F3756" t="s">
        <v>6584</v>
      </c>
      <c r="G3756">
        <v>1</v>
      </c>
      <c r="H3756">
        <v>1</v>
      </c>
      <c r="I3756">
        <f>1</f>
        <v>1</v>
      </c>
    </row>
    <row r="3757" spans="2:9" x14ac:dyDescent="0.25">
      <c r="B3757">
        <v>0</v>
      </c>
      <c r="C3757" s="16" t="s">
        <v>13026</v>
      </c>
      <c r="D3757" s="16"/>
      <c r="E3757">
        <v>6</v>
      </c>
      <c r="F3757" t="s">
        <v>6585</v>
      </c>
      <c r="G3757">
        <v>1</v>
      </c>
      <c r="H3757">
        <v>1</v>
      </c>
      <c r="I3757">
        <f>1</f>
        <v>1</v>
      </c>
    </row>
    <row r="3758" spans="2:9" x14ac:dyDescent="0.25">
      <c r="B3758">
        <v>0</v>
      </c>
      <c r="C3758" s="16" t="s">
        <v>13027</v>
      </c>
      <c r="D3758" s="16"/>
      <c r="E3758">
        <v>6</v>
      </c>
      <c r="F3758" t="s">
        <v>6586</v>
      </c>
      <c r="G3758">
        <v>1</v>
      </c>
      <c r="H3758">
        <v>1</v>
      </c>
      <c r="I3758">
        <f>1</f>
        <v>1</v>
      </c>
    </row>
    <row r="3759" spans="2:9" x14ac:dyDescent="0.25">
      <c r="B3759">
        <v>0</v>
      </c>
      <c r="C3759" s="16" t="s">
        <v>13028</v>
      </c>
      <c r="D3759" s="16"/>
      <c r="E3759">
        <v>6</v>
      </c>
      <c r="F3759" t="s">
        <v>6587</v>
      </c>
      <c r="G3759">
        <v>1</v>
      </c>
      <c r="H3759">
        <v>1</v>
      </c>
      <c r="I3759">
        <f>1</f>
        <v>1</v>
      </c>
    </row>
    <row r="3760" spans="2:9" x14ac:dyDescent="0.25">
      <c r="B3760">
        <v>0</v>
      </c>
      <c r="C3760" s="16" t="s">
        <v>13029</v>
      </c>
      <c r="D3760" s="16"/>
      <c r="E3760">
        <v>6</v>
      </c>
      <c r="F3760" t="s">
        <v>6588</v>
      </c>
      <c r="G3760">
        <v>1</v>
      </c>
      <c r="H3760">
        <v>1</v>
      </c>
      <c r="I3760">
        <f>1</f>
        <v>1</v>
      </c>
    </row>
    <row r="3761" spans="2:9" x14ac:dyDescent="0.25">
      <c r="B3761">
        <v>0</v>
      </c>
      <c r="C3761" s="16" t="s">
        <v>13030</v>
      </c>
      <c r="D3761" s="16"/>
      <c r="E3761">
        <v>6</v>
      </c>
      <c r="F3761" t="s">
        <v>6589</v>
      </c>
      <c r="G3761">
        <v>1</v>
      </c>
      <c r="H3761">
        <v>1</v>
      </c>
      <c r="I3761">
        <f>1</f>
        <v>1</v>
      </c>
    </row>
    <row r="3762" spans="2:9" x14ac:dyDescent="0.25">
      <c r="B3762">
        <v>0</v>
      </c>
      <c r="C3762" s="16" t="s">
        <v>13031</v>
      </c>
      <c r="D3762" s="16"/>
      <c r="E3762">
        <v>6</v>
      </c>
      <c r="F3762" t="s">
        <v>4680</v>
      </c>
      <c r="G3762">
        <v>1</v>
      </c>
      <c r="H3762">
        <v>1</v>
      </c>
      <c r="I3762">
        <f>1</f>
        <v>1</v>
      </c>
    </row>
    <row r="3763" spans="2:9" x14ac:dyDescent="0.25">
      <c r="B3763">
        <v>0</v>
      </c>
      <c r="C3763" s="16" t="s">
        <v>13032</v>
      </c>
      <c r="D3763" s="16"/>
      <c r="E3763">
        <v>6</v>
      </c>
      <c r="F3763" t="s">
        <v>6590</v>
      </c>
      <c r="G3763">
        <v>1</v>
      </c>
      <c r="H3763">
        <v>1</v>
      </c>
      <c r="I3763">
        <f>1</f>
        <v>1</v>
      </c>
    </row>
    <row r="3764" spans="2:9" x14ac:dyDescent="0.25">
      <c r="B3764">
        <v>0</v>
      </c>
      <c r="C3764" s="16" t="s">
        <v>13033</v>
      </c>
      <c r="D3764" s="16"/>
      <c r="E3764">
        <v>6</v>
      </c>
      <c r="F3764" t="s">
        <v>6591</v>
      </c>
      <c r="G3764">
        <v>1</v>
      </c>
      <c r="H3764">
        <v>1</v>
      </c>
      <c r="I3764">
        <f>1</f>
        <v>1</v>
      </c>
    </row>
    <row r="3765" spans="2:9" x14ac:dyDescent="0.25">
      <c r="B3765">
        <v>0</v>
      </c>
      <c r="C3765" s="16" t="s">
        <v>13034</v>
      </c>
      <c r="D3765" s="16"/>
      <c r="E3765">
        <v>6</v>
      </c>
      <c r="F3765" t="s">
        <v>6592</v>
      </c>
      <c r="G3765">
        <v>1</v>
      </c>
      <c r="H3765">
        <v>1</v>
      </c>
      <c r="I3765">
        <f>1</f>
        <v>1</v>
      </c>
    </row>
    <row r="3766" spans="2:9" x14ac:dyDescent="0.25">
      <c r="B3766">
        <v>0</v>
      </c>
      <c r="C3766" s="16" t="s">
        <v>13035</v>
      </c>
      <c r="D3766" s="16"/>
      <c r="E3766">
        <v>6</v>
      </c>
      <c r="F3766" t="s">
        <v>4935</v>
      </c>
      <c r="G3766">
        <v>1</v>
      </c>
      <c r="H3766">
        <v>1</v>
      </c>
      <c r="I3766">
        <f>1</f>
        <v>1</v>
      </c>
    </row>
    <row r="3767" spans="2:9" x14ac:dyDescent="0.25">
      <c r="B3767">
        <v>0</v>
      </c>
      <c r="C3767" s="16" t="s">
        <v>13036</v>
      </c>
      <c r="D3767" s="16"/>
      <c r="E3767">
        <v>6</v>
      </c>
      <c r="F3767" t="s">
        <v>6593</v>
      </c>
      <c r="G3767">
        <v>1</v>
      </c>
      <c r="H3767">
        <v>1</v>
      </c>
      <c r="I3767">
        <f>1</f>
        <v>1</v>
      </c>
    </row>
    <row r="3768" spans="2:9" x14ac:dyDescent="0.25">
      <c r="B3768">
        <v>0</v>
      </c>
      <c r="C3768" s="16" t="s">
        <v>13037</v>
      </c>
      <c r="D3768" s="16"/>
      <c r="E3768">
        <v>6</v>
      </c>
      <c r="F3768" t="s">
        <v>6594</v>
      </c>
      <c r="G3768">
        <v>1</v>
      </c>
      <c r="H3768">
        <v>1</v>
      </c>
      <c r="I3768">
        <f>1</f>
        <v>1</v>
      </c>
    </row>
    <row r="3769" spans="2:9" x14ac:dyDescent="0.25">
      <c r="B3769">
        <v>0</v>
      </c>
      <c r="C3769" s="16" t="s">
        <v>13038</v>
      </c>
      <c r="D3769" s="16"/>
      <c r="E3769">
        <v>6</v>
      </c>
      <c r="F3769" t="s">
        <v>4680</v>
      </c>
      <c r="G3769">
        <v>1</v>
      </c>
      <c r="H3769">
        <v>1</v>
      </c>
      <c r="I3769">
        <f>1</f>
        <v>1</v>
      </c>
    </row>
    <row r="3770" spans="2:9" x14ac:dyDescent="0.25">
      <c r="B3770">
        <v>0</v>
      </c>
      <c r="C3770" s="16" t="s">
        <v>13039</v>
      </c>
      <c r="D3770" s="16"/>
      <c r="E3770">
        <v>6</v>
      </c>
      <c r="F3770" t="s">
        <v>6498</v>
      </c>
      <c r="G3770">
        <v>1</v>
      </c>
      <c r="H3770">
        <v>1</v>
      </c>
      <c r="I3770">
        <f>1</f>
        <v>1</v>
      </c>
    </row>
    <row r="3771" spans="2:9" x14ac:dyDescent="0.25">
      <c r="B3771">
        <v>0</v>
      </c>
      <c r="C3771" s="16" t="s">
        <v>13040</v>
      </c>
      <c r="D3771" s="16"/>
      <c r="E3771">
        <v>6</v>
      </c>
      <c r="F3771" t="s">
        <v>6499</v>
      </c>
      <c r="G3771">
        <v>1</v>
      </c>
      <c r="H3771">
        <v>1</v>
      </c>
      <c r="I3771">
        <f>1</f>
        <v>1</v>
      </c>
    </row>
    <row r="3772" spans="2:9" x14ac:dyDescent="0.25">
      <c r="B3772">
        <v>0</v>
      </c>
      <c r="C3772" s="16" t="s">
        <v>13041</v>
      </c>
      <c r="D3772" s="16"/>
      <c r="E3772">
        <v>6</v>
      </c>
      <c r="F3772" t="s">
        <v>6415</v>
      </c>
      <c r="G3772">
        <v>1</v>
      </c>
      <c r="H3772">
        <v>1</v>
      </c>
      <c r="I3772">
        <f>1</f>
        <v>1</v>
      </c>
    </row>
    <row r="3773" spans="2:9" x14ac:dyDescent="0.25">
      <c r="B3773">
        <v>0</v>
      </c>
      <c r="C3773" s="16" t="s">
        <v>13042</v>
      </c>
      <c r="D3773" s="16"/>
      <c r="E3773">
        <v>6</v>
      </c>
      <c r="F3773" t="s">
        <v>6414</v>
      </c>
      <c r="G3773">
        <v>1</v>
      </c>
      <c r="H3773">
        <v>1</v>
      </c>
      <c r="I3773">
        <f>1</f>
        <v>1</v>
      </c>
    </row>
    <row r="3774" spans="2:9" x14ac:dyDescent="0.25">
      <c r="B3774">
        <v>0</v>
      </c>
      <c r="C3774" s="16" t="s">
        <v>13043</v>
      </c>
      <c r="D3774" s="16"/>
      <c r="E3774">
        <v>6</v>
      </c>
      <c r="F3774" t="s">
        <v>6416</v>
      </c>
      <c r="G3774">
        <v>1</v>
      </c>
      <c r="H3774">
        <v>1</v>
      </c>
      <c r="I3774">
        <f>1</f>
        <v>1</v>
      </c>
    </row>
    <row r="3775" spans="2:9" x14ac:dyDescent="0.25">
      <c r="B3775">
        <v>0</v>
      </c>
      <c r="C3775" s="16" t="s">
        <v>13044</v>
      </c>
      <c r="D3775" s="16"/>
      <c r="E3775">
        <v>6</v>
      </c>
      <c r="F3775" t="s">
        <v>4680</v>
      </c>
      <c r="G3775">
        <v>1</v>
      </c>
      <c r="H3775">
        <v>1</v>
      </c>
      <c r="I3775">
        <f>1</f>
        <v>1</v>
      </c>
    </row>
    <row r="3776" spans="2:9" x14ac:dyDescent="0.25">
      <c r="B3776">
        <v>0</v>
      </c>
      <c r="C3776" s="16" t="s">
        <v>13045</v>
      </c>
      <c r="D3776" s="16"/>
      <c r="E3776">
        <v>6</v>
      </c>
      <c r="F3776" t="s">
        <v>6500</v>
      </c>
      <c r="G3776">
        <v>1</v>
      </c>
      <c r="H3776">
        <v>1</v>
      </c>
      <c r="I3776">
        <f>1</f>
        <v>1</v>
      </c>
    </row>
    <row r="3777" spans="2:9" x14ac:dyDescent="0.25">
      <c r="B3777">
        <v>0</v>
      </c>
      <c r="C3777" s="16" t="s">
        <v>13046</v>
      </c>
      <c r="D3777" s="16"/>
      <c r="E3777">
        <v>6</v>
      </c>
      <c r="F3777" t="s">
        <v>6501</v>
      </c>
      <c r="G3777">
        <v>1</v>
      </c>
      <c r="H3777">
        <v>1</v>
      </c>
      <c r="I3777">
        <f>1</f>
        <v>1</v>
      </c>
    </row>
    <row r="3778" spans="2:9" x14ac:dyDescent="0.25">
      <c r="B3778">
        <v>0</v>
      </c>
      <c r="C3778" s="16" t="s">
        <v>13047</v>
      </c>
      <c r="D3778" s="16"/>
      <c r="E3778">
        <v>6</v>
      </c>
      <c r="F3778" t="s">
        <v>4680</v>
      </c>
      <c r="G3778">
        <v>1</v>
      </c>
      <c r="H3778">
        <v>1</v>
      </c>
      <c r="I3778">
        <f>1</f>
        <v>1</v>
      </c>
    </row>
    <row r="3779" spans="2:9" x14ac:dyDescent="0.25">
      <c r="B3779">
        <v>0</v>
      </c>
      <c r="C3779" s="16" t="s">
        <v>13048</v>
      </c>
      <c r="D3779" s="16"/>
      <c r="E3779">
        <v>6</v>
      </c>
      <c r="F3779" t="s">
        <v>6502</v>
      </c>
      <c r="G3779">
        <v>1</v>
      </c>
      <c r="H3779">
        <v>1</v>
      </c>
      <c r="I3779">
        <f>1</f>
        <v>1</v>
      </c>
    </row>
    <row r="3780" spans="2:9" x14ac:dyDescent="0.25">
      <c r="B3780">
        <v>0</v>
      </c>
      <c r="C3780" s="16" t="s">
        <v>13049</v>
      </c>
      <c r="D3780" s="16"/>
      <c r="E3780">
        <v>6</v>
      </c>
      <c r="F3780" t="s">
        <v>4680</v>
      </c>
      <c r="G3780">
        <v>1</v>
      </c>
      <c r="H3780">
        <v>1</v>
      </c>
      <c r="I3780">
        <f>1</f>
        <v>1</v>
      </c>
    </row>
    <row r="3781" spans="2:9" x14ac:dyDescent="0.25">
      <c r="B3781">
        <v>0</v>
      </c>
      <c r="C3781" s="16" t="s">
        <v>13050</v>
      </c>
      <c r="D3781" s="16"/>
      <c r="E3781">
        <v>6</v>
      </c>
      <c r="F3781" t="s">
        <v>6427</v>
      </c>
      <c r="G3781">
        <v>1</v>
      </c>
      <c r="H3781">
        <v>1</v>
      </c>
      <c r="I3781">
        <f>1</f>
        <v>1</v>
      </c>
    </row>
    <row r="3782" spans="2:9" x14ac:dyDescent="0.25">
      <c r="B3782">
        <v>0</v>
      </c>
      <c r="C3782" s="16" t="s">
        <v>13051</v>
      </c>
      <c r="D3782" s="16"/>
      <c r="E3782">
        <v>6</v>
      </c>
      <c r="F3782" t="s">
        <v>6503</v>
      </c>
      <c r="G3782">
        <v>1</v>
      </c>
      <c r="H3782">
        <v>1</v>
      </c>
      <c r="I3782">
        <f>1</f>
        <v>1</v>
      </c>
    </row>
    <row r="3783" spans="2:9" x14ac:dyDescent="0.25">
      <c r="B3783">
        <v>0</v>
      </c>
      <c r="C3783" s="16" t="s">
        <v>13052</v>
      </c>
      <c r="D3783" s="16"/>
      <c r="E3783">
        <v>6</v>
      </c>
      <c r="F3783" t="s">
        <v>4680</v>
      </c>
      <c r="G3783">
        <v>1</v>
      </c>
      <c r="H3783">
        <v>1</v>
      </c>
      <c r="I3783">
        <f>1</f>
        <v>1</v>
      </c>
    </row>
    <row r="3784" spans="2:9" x14ac:dyDescent="0.25">
      <c r="B3784">
        <v>0</v>
      </c>
      <c r="C3784" s="16" t="s">
        <v>13053</v>
      </c>
      <c r="D3784" s="16"/>
      <c r="E3784">
        <v>6</v>
      </c>
      <c r="F3784" t="s">
        <v>6428</v>
      </c>
      <c r="G3784">
        <v>1</v>
      </c>
      <c r="H3784">
        <v>1</v>
      </c>
      <c r="I3784">
        <f>1</f>
        <v>1</v>
      </c>
    </row>
    <row r="3785" spans="2:9" x14ac:dyDescent="0.25">
      <c r="B3785">
        <v>0</v>
      </c>
      <c r="C3785" s="16" t="s">
        <v>13054</v>
      </c>
      <c r="D3785" s="16"/>
      <c r="E3785">
        <v>6</v>
      </c>
      <c r="F3785" t="s">
        <v>4680</v>
      </c>
      <c r="G3785">
        <v>1</v>
      </c>
      <c r="H3785">
        <v>1</v>
      </c>
      <c r="I3785">
        <f>1</f>
        <v>1</v>
      </c>
    </row>
    <row r="3786" spans="2:9" x14ac:dyDescent="0.25">
      <c r="B3786">
        <v>0</v>
      </c>
      <c r="C3786" s="16" t="s">
        <v>13055</v>
      </c>
      <c r="D3786" s="16"/>
      <c r="E3786">
        <v>6</v>
      </c>
      <c r="F3786" t="s">
        <v>6504</v>
      </c>
      <c r="G3786">
        <v>1</v>
      </c>
      <c r="H3786">
        <v>1</v>
      </c>
      <c r="I3786">
        <f>1</f>
        <v>1</v>
      </c>
    </row>
    <row r="3787" spans="2:9" x14ac:dyDescent="0.25">
      <c r="B3787">
        <v>0</v>
      </c>
      <c r="C3787" s="16" t="s">
        <v>13056</v>
      </c>
      <c r="D3787" s="16"/>
      <c r="E3787">
        <v>6</v>
      </c>
      <c r="F3787" t="s">
        <v>6505</v>
      </c>
      <c r="G3787">
        <v>1</v>
      </c>
      <c r="H3787">
        <v>1</v>
      </c>
      <c r="I3787">
        <f>1</f>
        <v>1</v>
      </c>
    </row>
    <row r="3788" spans="2:9" x14ac:dyDescent="0.25">
      <c r="B3788">
        <v>0</v>
      </c>
      <c r="C3788" s="16" t="s">
        <v>13057</v>
      </c>
      <c r="D3788" s="16"/>
      <c r="E3788">
        <v>6</v>
      </c>
      <c r="F3788" t="s">
        <v>4680</v>
      </c>
      <c r="G3788">
        <v>1</v>
      </c>
      <c r="H3788">
        <v>1</v>
      </c>
      <c r="I3788">
        <f>1</f>
        <v>1</v>
      </c>
    </row>
    <row r="3789" spans="2:9" x14ac:dyDescent="0.25">
      <c r="B3789">
        <v>0</v>
      </c>
      <c r="C3789" s="16" t="s">
        <v>13058</v>
      </c>
      <c r="D3789" s="16"/>
      <c r="E3789">
        <v>6</v>
      </c>
      <c r="F3789" t="s">
        <v>6439</v>
      </c>
      <c r="G3789">
        <v>1</v>
      </c>
      <c r="H3789">
        <v>1</v>
      </c>
      <c r="I3789">
        <f>1</f>
        <v>1</v>
      </c>
    </row>
    <row r="3790" spans="2:9" x14ac:dyDescent="0.25">
      <c r="B3790">
        <v>0</v>
      </c>
      <c r="C3790" s="16" t="s">
        <v>13059</v>
      </c>
      <c r="D3790" s="16"/>
      <c r="E3790">
        <v>6</v>
      </c>
      <c r="F3790" t="s">
        <v>6506</v>
      </c>
      <c r="G3790">
        <v>1</v>
      </c>
      <c r="H3790">
        <v>1</v>
      </c>
      <c r="I3790">
        <f>1</f>
        <v>1</v>
      </c>
    </row>
    <row r="3791" spans="2:9" x14ac:dyDescent="0.25">
      <c r="B3791">
        <v>0</v>
      </c>
      <c r="C3791" s="16" t="s">
        <v>13060</v>
      </c>
      <c r="D3791" s="16"/>
      <c r="E3791">
        <v>6</v>
      </c>
      <c r="F3791" t="s">
        <v>6507</v>
      </c>
      <c r="G3791">
        <v>1</v>
      </c>
      <c r="H3791">
        <v>1</v>
      </c>
      <c r="I3791">
        <f>1</f>
        <v>1</v>
      </c>
    </row>
    <row r="3792" spans="2:9" x14ac:dyDescent="0.25">
      <c r="B3792">
        <v>0</v>
      </c>
      <c r="C3792" s="16" t="s">
        <v>13061</v>
      </c>
      <c r="D3792" s="16"/>
      <c r="E3792">
        <v>6</v>
      </c>
      <c r="F3792" t="s">
        <v>4680</v>
      </c>
      <c r="G3792">
        <v>1</v>
      </c>
      <c r="H3792">
        <v>1</v>
      </c>
      <c r="I3792">
        <f>1</f>
        <v>1</v>
      </c>
    </row>
    <row r="3793" spans="2:9" x14ac:dyDescent="0.25">
      <c r="B3793">
        <v>0</v>
      </c>
      <c r="C3793" s="16" t="s">
        <v>13062</v>
      </c>
      <c r="D3793" s="16"/>
      <c r="E3793">
        <v>6</v>
      </c>
      <c r="F3793" t="s">
        <v>6508</v>
      </c>
      <c r="G3793">
        <v>1</v>
      </c>
      <c r="H3793">
        <v>1</v>
      </c>
      <c r="I3793">
        <f>1</f>
        <v>1</v>
      </c>
    </row>
    <row r="3794" spans="2:9" x14ac:dyDescent="0.25">
      <c r="B3794">
        <v>0</v>
      </c>
      <c r="C3794" s="16" t="s">
        <v>13063</v>
      </c>
      <c r="D3794" s="16"/>
      <c r="E3794">
        <v>6</v>
      </c>
      <c r="F3794" t="s">
        <v>6509</v>
      </c>
      <c r="G3794">
        <v>1</v>
      </c>
      <c r="H3794">
        <v>1</v>
      </c>
      <c r="I3794">
        <f>1</f>
        <v>1</v>
      </c>
    </row>
    <row r="3795" spans="2:9" x14ac:dyDescent="0.25">
      <c r="B3795">
        <v>0</v>
      </c>
      <c r="C3795" s="16" t="s">
        <v>13064</v>
      </c>
      <c r="D3795" s="16"/>
      <c r="E3795">
        <v>6</v>
      </c>
      <c r="F3795" t="s">
        <v>6510</v>
      </c>
      <c r="G3795">
        <v>1</v>
      </c>
      <c r="H3795">
        <v>1</v>
      </c>
      <c r="I3795">
        <f>1</f>
        <v>1</v>
      </c>
    </row>
    <row r="3796" spans="2:9" x14ac:dyDescent="0.25">
      <c r="B3796">
        <v>0</v>
      </c>
      <c r="C3796" s="16" t="s">
        <v>13065</v>
      </c>
      <c r="D3796" s="16"/>
      <c r="E3796">
        <v>6</v>
      </c>
      <c r="F3796" t="s">
        <v>4680</v>
      </c>
      <c r="G3796">
        <v>1</v>
      </c>
      <c r="H3796">
        <v>1</v>
      </c>
      <c r="I3796">
        <f>1</f>
        <v>1</v>
      </c>
    </row>
    <row r="3797" spans="2:9" x14ac:dyDescent="0.25">
      <c r="B3797">
        <v>0</v>
      </c>
      <c r="C3797" s="16" t="s">
        <v>13066</v>
      </c>
      <c r="D3797" s="16"/>
      <c r="E3797">
        <v>6</v>
      </c>
      <c r="F3797" t="s">
        <v>6511</v>
      </c>
      <c r="G3797">
        <v>1</v>
      </c>
      <c r="H3797">
        <v>1</v>
      </c>
      <c r="I3797">
        <f>1</f>
        <v>1</v>
      </c>
    </row>
    <row r="3798" spans="2:9" x14ac:dyDescent="0.25">
      <c r="B3798">
        <v>0</v>
      </c>
      <c r="C3798" s="16" t="s">
        <v>13067</v>
      </c>
      <c r="D3798" s="16"/>
      <c r="E3798">
        <v>6</v>
      </c>
      <c r="F3798" t="s">
        <v>6450</v>
      </c>
      <c r="G3798">
        <v>1</v>
      </c>
      <c r="H3798">
        <v>1</v>
      </c>
      <c r="I3798">
        <f>1</f>
        <v>1</v>
      </c>
    </row>
    <row r="3799" spans="2:9" x14ac:dyDescent="0.25">
      <c r="B3799">
        <v>0</v>
      </c>
      <c r="C3799" s="16" t="s">
        <v>13068</v>
      </c>
      <c r="D3799" s="16"/>
      <c r="E3799">
        <v>6</v>
      </c>
      <c r="F3799" t="s">
        <v>6512</v>
      </c>
      <c r="G3799">
        <v>1</v>
      </c>
      <c r="H3799">
        <v>1</v>
      </c>
      <c r="I3799">
        <f>1</f>
        <v>1</v>
      </c>
    </row>
    <row r="3800" spans="2:9" x14ac:dyDescent="0.25">
      <c r="B3800">
        <v>0</v>
      </c>
      <c r="C3800" s="16" t="s">
        <v>13069</v>
      </c>
      <c r="D3800" s="16"/>
      <c r="E3800">
        <v>6</v>
      </c>
      <c r="F3800" t="s">
        <v>6513</v>
      </c>
      <c r="G3800">
        <v>1</v>
      </c>
      <c r="H3800">
        <v>1</v>
      </c>
      <c r="I3800">
        <f>1</f>
        <v>1</v>
      </c>
    </row>
    <row r="3801" spans="2:9" x14ac:dyDescent="0.25">
      <c r="B3801">
        <v>0</v>
      </c>
      <c r="C3801" s="16" t="s">
        <v>13070</v>
      </c>
      <c r="D3801" s="16"/>
      <c r="E3801">
        <v>6</v>
      </c>
      <c r="F3801" t="s">
        <v>6514</v>
      </c>
      <c r="G3801">
        <v>1</v>
      </c>
      <c r="H3801">
        <v>1</v>
      </c>
      <c r="I3801">
        <f>1</f>
        <v>1</v>
      </c>
    </row>
    <row r="3802" spans="2:9" x14ac:dyDescent="0.25">
      <c r="B3802">
        <v>0</v>
      </c>
      <c r="C3802" s="16" t="s">
        <v>13071</v>
      </c>
      <c r="D3802" s="16"/>
      <c r="E3802">
        <v>6</v>
      </c>
      <c r="F3802" t="s">
        <v>4680</v>
      </c>
      <c r="G3802">
        <v>1</v>
      </c>
      <c r="H3802">
        <v>1</v>
      </c>
      <c r="I3802">
        <f>1</f>
        <v>1</v>
      </c>
    </row>
    <row r="3803" spans="2:9" x14ac:dyDescent="0.25">
      <c r="B3803">
        <v>0</v>
      </c>
      <c r="C3803" s="16" t="s">
        <v>13072</v>
      </c>
      <c r="D3803" s="16"/>
      <c r="E3803">
        <v>6</v>
      </c>
      <c r="F3803" t="e">
        <f>--que contenham Insulina</f>
        <v>#NAME?</v>
      </c>
      <c r="G3803">
        <v>1</v>
      </c>
      <c r="H3803">
        <v>1</v>
      </c>
      <c r="I3803">
        <f>1</f>
        <v>1</v>
      </c>
    </row>
    <row r="3804" spans="2:9" x14ac:dyDescent="0.25">
      <c r="B3804">
        <v>0</v>
      </c>
      <c r="C3804" s="16" t="s">
        <v>13073</v>
      </c>
      <c r="D3804" s="16"/>
      <c r="E3804">
        <v>6</v>
      </c>
      <c r="F3804" t="s">
        <v>6595</v>
      </c>
      <c r="G3804">
        <v>1</v>
      </c>
      <c r="H3804">
        <v>1</v>
      </c>
      <c r="I3804">
        <f>1</f>
        <v>1</v>
      </c>
    </row>
    <row r="3805" spans="2:9" x14ac:dyDescent="0.25">
      <c r="B3805">
        <v>0</v>
      </c>
      <c r="C3805" s="16" t="s">
        <v>13074</v>
      </c>
      <c r="D3805" s="16"/>
      <c r="E3805">
        <v>6</v>
      </c>
      <c r="F3805" t="s">
        <v>6357</v>
      </c>
      <c r="G3805">
        <v>1</v>
      </c>
      <c r="H3805">
        <v>1</v>
      </c>
      <c r="I3805">
        <f>1</f>
        <v>1</v>
      </c>
    </row>
    <row r="3806" spans="2:9" x14ac:dyDescent="0.25">
      <c r="B3806">
        <v>0</v>
      </c>
      <c r="C3806" s="16" t="s">
        <v>13075</v>
      </c>
      <c r="D3806" s="16"/>
      <c r="E3806">
        <v>6</v>
      </c>
      <c r="F3806" t="s">
        <v>4680</v>
      </c>
      <c r="G3806">
        <v>1</v>
      </c>
      <c r="H3806">
        <v>1</v>
      </c>
      <c r="I3806">
        <f>1</f>
        <v>1</v>
      </c>
    </row>
    <row r="3807" spans="2:9" x14ac:dyDescent="0.25">
      <c r="B3807">
        <v>0</v>
      </c>
      <c r="C3807" s="16" t="s">
        <v>13076</v>
      </c>
      <c r="D3807" s="16"/>
      <c r="E3807">
        <v>6</v>
      </c>
      <c r="F3807" t="s">
        <v>6515</v>
      </c>
      <c r="G3807">
        <v>1</v>
      </c>
      <c r="H3807">
        <v>1</v>
      </c>
      <c r="I3807">
        <f>1</f>
        <v>1</v>
      </c>
    </row>
    <row r="3808" spans="2:9" x14ac:dyDescent="0.25">
      <c r="B3808">
        <v>0</v>
      </c>
      <c r="C3808" s="16" t="s">
        <v>13077</v>
      </c>
      <c r="D3808" s="16"/>
      <c r="E3808">
        <v>6</v>
      </c>
      <c r="F3808" t="s">
        <v>6516</v>
      </c>
      <c r="G3808">
        <v>1</v>
      </c>
      <c r="H3808">
        <v>1</v>
      </c>
      <c r="I3808">
        <f>1</f>
        <v>1</v>
      </c>
    </row>
    <row r="3809" spans="2:9" x14ac:dyDescent="0.25">
      <c r="B3809">
        <v>0</v>
      </c>
      <c r="C3809" s="16" t="s">
        <v>13078</v>
      </c>
      <c r="D3809" s="16"/>
      <c r="E3809">
        <v>6</v>
      </c>
      <c r="F3809" t="s">
        <v>6334</v>
      </c>
      <c r="G3809">
        <v>1</v>
      </c>
      <c r="H3809">
        <v>1</v>
      </c>
      <c r="I3809">
        <f>1</f>
        <v>1</v>
      </c>
    </row>
    <row r="3810" spans="2:9" x14ac:dyDescent="0.25">
      <c r="B3810">
        <v>0</v>
      </c>
      <c r="C3810" s="16" t="s">
        <v>13079</v>
      </c>
      <c r="D3810" s="16"/>
      <c r="E3810">
        <v>6</v>
      </c>
      <c r="F3810" t="s">
        <v>6517</v>
      </c>
      <c r="G3810">
        <v>1</v>
      </c>
      <c r="H3810">
        <v>1</v>
      </c>
      <c r="I3810">
        <f>1</f>
        <v>1</v>
      </c>
    </row>
    <row r="3811" spans="2:9" x14ac:dyDescent="0.25">
      <c r="B3811">
        <v>0</v>
      </c>
      <c r="C3811" s="16" t="s">
        <v>13080</v>
      </c>
      <c r="D3811" s="16"/>
      <c r="E3811">
        <v>6</v>
      </c>
      <c r="F3811" t="s">
        <v>6518</v>
      </c>
      <c r="G3811">
        <v>1</v>
      </c>
      <c r="H3811">
        <v>1</v>
      </c>
      <c r="I3811">
        <f>1</f>
        <v>1</v>
      </c>
    </row>
    <row r="3812" spans="2:9" x14ac:dyDescent="0.25">
      <c r="B3812">
        <v>0</v>
      </c>
      <c r="C3812" s="16" t="s">
        <v>13081</v>
      </c>
      <c r="D3812" s="16"/>
      <c r="E3812">
        <v>6</v>
      </c>
      <c r="F3812" t="s">
        <v>6519</v>
      </c>
      <c r="G3812">
        <v>1</v>
      </c>
      <c r="H3812">
        <v>1</v>
      </c>
      <c r="I3812">
        <f>1</f>
        <v>1</v>
      </c>
    </row>
    <row r="3813" spans="2:9" x14ac:dyDescent="0.25">
      <c r="B3813">
        <v>0</v>
      </c>
      <c r="C3813" s="16" t="s">
        <v>13082</v>
      </c>
      <c r="D3813" s="16"/>
      <c r="E3813">
        <v>6</v>
      </c>
      <c r="F3813" t="s">
        <v>6520</v>
      </c>
      <c r="G3813">
        <v>1</v>
      </c>
      <c r="H3813">
        <v>1</v>
      </c>
      <c r="I3813">
        <f>1</f>
        <v>1</v>
      </c>
    </row>
    <row r="3814" spans="2:9" x14ac:dyDescent="0.25">
      <c r="B3814">
        <v>0</v>
      </c>
      <c r="C3814" s="16" t="s">
        <v>13083</v>
      </c>
      <c r="D3814" s="16"/>
      <c r="E3814">
        <v>6</v>
      </c>
      <c r="F3814" t="s">
        <v>6521</v>
      </c>
      <c r="G3814">
        <v>1</v>
      </c>
      <c r="H3814">
        <v>1</v>
      </c>
      <c r="I3814">
        <f>1</f>
        <v>1</v>
      </c>
    </row>
    <row r="3815" spans="2:9" x14ac:dyDescent="0.25">
      <c r="B3815">
        <v>0</v>
      </c>
      <c r="C3815" s="16" t="s">
        <v>13084</v>
      </c>
      <c r="D3815" s="16"/>
      <c r="E3815">
        <v>6</v>
      </c>
      <c r="F3815" t="s">
        <v>6522</v>
      </c>
      <c r="G3815">
        <v>1</v>
      </c>
      <c r="H3815">
        <v>1</v>
      </c>
      <c r="I3815">
        <f>1</f>
        <v>1</v>
      </c>
    </row>
    <row r="3816" spans="2:9" x14ac:dyDescent="0.25">
      <c r="B3816">
        <v>0</v>
      </c>
      <c r="C3816" s="16" t="s">
        <v>13085</v>
      </c>
      <c r="D3816" s="16"/>
      <c r="E3816">
        <v>6</v>
      </c>
      <c r="F3816" t="s">
        <v>6523</v>
      </c>
      <c r="G3816">
        <v>1</v>
      </c>
      <c r="H3816">
        <v>1</v>
      </c>
      <c r="I3816">
        <f>1</f>
        <v>1</v>
      </c>
    </row>
    <row r="3817" spans="2:9" x14ac:dyDescent="0.25">
      <c r="B3817">
        <v>0</v>
      </c>
      <c r="C3817" s="16" t="s">
        <v>13086</v>
      </c>
      <c r="D3817" s="16"/>
      <c r="E3817">
        <v>6</v>
      </c>
      <c r="F3817" t="s">
        <v>6335</v>
      </c>
      <c r="G3817">
        <v>1</v>
      </c>
      <c r="H3817">
        <v>1</v>
      </c>
      <c r="I3817">
        <f>1</f>
        <v>1</v>
      </c>
    </row>
    <row r="3818" spans="2:9" x14ac:dyDescent="0.25">
      <c r="B3818">
        <v>0</v>
      </c>
      <c r="C3818" s="16" t="s">
        <v>13087</v>
      </c>
      <c r="D3818" s="16"/>
      <c r="E3818">
        <v>6</v>
      </c>
      <c r="F3818" t="s">
        <v>6524</v>
      </c>
      <c r="G3818">
        <v>1</v>
      </c>
      <c r="H3818">
        <v>1</v>
      </c>
      <c r="I3818">
        <f>1</f>
        <v>1</v>
      </c>
    </row>
    <row r="3819" spans="2:9" x14ac:dyDescent="0.25">
      <c r="B3819">
        <v>0</v>
      </c>
      <c r="C3819" s="16" t="s">
        <v>13088</v>
      </c>
      <c r="D3819" s="16"/>
      <c r="E3819">
        <v>6</v>
      </c>
      <c r="F3819" t="s">
        <v>6525</v>
      </c>
      <c r="G3819">
        <v>1</v>
      </c>
      <c r="H3819">
        <v>1</v>
      </c>
      <c r="I3819">
        <f>1</f>
        <v>1</v>
      </c>
    </row>
    <row r="3820" spans="2:9" x14ac:dyDescent="0.25">
      <c r="B3820">
        <v>0</v>
      </c>
      <c r="C3820" s="16" t="s">
        <v>13089</v>
      </c>
      <c r="D3820" s="16"/>
      <c r="E3820">
        <v>6</v>
      </c>
      <c r="F3820" t="s">
        <v>6596</v>
      </c>
      <c r="G3820">
        <v>1</v>
      </c>
      <c r="H3820">
        <v>1</v>
      </c>
      <c r="I3820">
        <f>1</f>
        <v>1</v>
      </c>
    </row>
    <row r="3821" spans="2:9" x14ac:dyDescent="0.25">
      <c r="B3821">
        <v>0</v>
      </c>
      <c r="C3821" s="16" t="s">
        <v>13090</v>
      </c>
      <c r="D3821" s="16"/>
      <c r="E3821">
        <v>6</v>
      </c>
      <c r="F3821" t="s">
        <v>6526</v>
      </c>
      <c r="G3821">
        <v>1</v>
      </c>
      <c r="H3821">
        <v>1</v>
      </c>
      <c r="I3821">
        <f>1</f>
        <v>1</v>
      </c>
    </row>
    <row r="3822" spans="2:9" x14ac:dyDescent="0.25">
      <c r="B3822">
        <v>0</v>
      </c>
      <c r="C3822" s="16" t="s">
        <v>13091</v>
      </c>
      <c r="D3822" s="16"/>
      <c r="E3822">
        <v>6</v>
      </c>
      <c r="F3822" t="s">
        <v>6527</v>
      </c>
      <c r="G3822">
        <v>1</v>
      </c>
      <c r="H3822">
        <v>1</v>
      </c>
      <c r="I3822">
        <f>1</f>
        <v>1</v>
      </c>
    </row>
    <row r="3823" spans="2:9" x14ac:dyDescent="0.25">
      <c r="B3823">
        <v>0</v>
      </c>
      <c r="C3823" s="16" t="s">
        <v>13092</v>
      </c>
      <c r="D3823" s="16"/>
      <c r="E3823">
        <v>6</v>
      </c>
      <c r="F3823" t="s">
        <v>6528</v>
      </c>
      <c r="G3823">
        <v>1</v>
      </c>
      <c r="H3823">
        <v>1</v>
      </c>
      <c r="I3823">
        <f>1</f>
        <v>1</v>
      </c>
    </row>
    <row r="3824" spans="2:9" x14ac:dyDescent="0.25">
      <c r="B3824">
        <v>0</v>
      </c>
      <c r="C3824" s="16" t="s">
        <v>13093</v>
      </c>
      <c r="D3824" s="16"/>
      <c r="E3824">
        <v>6</v>
      </c>
      <c r="F3824" t="s">
        <v>4680</v>
      </c>
      <c r="G3824">
        <v>1</v>
      </c>
      <c r="H3824">
        <v>1</v>
      </c>
      <c r="I3824">
        <f>1</f>
        <v>1</v>
      </c>
    </row>
    <row r="3825" spans="2:9" x14ac:dyDescent="0.25">
      <c r="B3825">
        <v>0</v>
      </c>
      <c r="C3825" s="16" t="s">
        <v>13094</v>
      </c>
      <c r="D3825" s="16"/>
      <c r="E3825">
        <v>6</v>
      </c>
      <c r="F3825" t="s">
        <v>6347</v>
      </c>
      <c r="G3825">
        <v>1</v>
      </c>
      <c r="H3825">
        <v>1</v>
      </c>
      <c r="I3825">
        <f>1</f>
        <v>1</v>
      </c>
    </row>
    <row r="3826" spans="2:9" x14ac:dyDescent="0.25">
      <c r="B3826">
        <v>0</v>
      </c>
      <c r="C3826" s="16" t="s">
        <v>13095</v>
      </c>
      <c r="D3826" s="16"/>
      <c r="E3826">
        <v>6</v>
      </c>
      <c r="F3826" t="s">
        <v>6529</v>
      </c>
      <c r="G3826">
        <v>1</v>
      </c>
      <c r="H3826">
        <v>1</v>
      </c>
      <c r="I3826">
        <f>1</f>
        <v>1</v>
      </c>
    </row>
    <row r="3827" spans="2:9" x14ac:dyDescent="0.25">
      <c r="B3827">
        <v>0</v>
      </c>
      <c r="C3827" s="16" t="s">
        <v>13096</v>
      </c>
      <c r="D3827" s="16"/>
      <c r="E3827">
        <v>6</v>
      </c>
      <c r="F3827" t="s">
        <v>6530</v>
      </c>
      <c r="G3827">
        <v>1</v>
      </c>
      <c r="H3827">
        <v>1</v>
      </c>
      <c r="I3827">
        <f>1</f>
        <v>1</v>
      </c>
    </row>
    <row r="3828" spans="2:9" x14ac:dyDescent="0.25">
      <c r="B3828">
        <v>0</v>
      </c>
      <c r="C3828" s="16" t="s">
        <v>13097</v>
      </c>
      <c r="D3828" s="16"/>
      <c r="E3828">
        <v>6</v>
      </c>
      <c r="F3828" t="s">
        <v>6349</v>
      </c>
      <c r="G3828">
        <v>1</v>
      </c>
      <c r="H3828">
        <v>1</v>
      </c>
      <c r="I3828">
        <f>1</f>
        <v>1</v>
      </c>
    </row>
    <row r="3829" spans="2:9" x14ac:dyDescent="0.25">
      <c r="B3829">
        <v>0</v>
      </c>
      <c r="C3829" s="16" t="s">
        <v>13098</v>
      </c>
      <c r="D3829" s="16"/>
      <c r="E3829">
        <v>6</v>
      </c>
      <c r="F3829" t="s">
        <v>6350</v>
      </c>
      <c r="G3829">
        <v>1</v>
      </c>
      <c r="H3829">
        <v>1</v>
      </c>
      <c r="I3829">
        <f>1</f>
        <v>1</v>
      </c>
    </row>
    <row r="3830" spans="2:9" x14ac:dyDescent="0.25">
      <c r="B3830">
        <v>0</v>
      </c>
      <c r="C3830" s="16" t="s">
        <v>13099</v>
      </c>
      <c r="D3830" s="16"/>
      <c r="E3830">
        <v>6</v>
      </c>
      <c r="F3830" t="s">
        <v>6531</v>
      </c>
      <c r="G3830">
        <v>1</v>
      </c>
      <c r="H3830">
        <v>1</v>
      </c>
      <c r="I3830">
        <f>1</f>
        <v>1</v>
      </c>
    </row>
    <row r="3831" spans="2:9" x14ac:dyDescent="0.25">
      <c r="B3831">
        <v>0</v>
      </c>
      <c r="C3831" s="16" t="s">
        <v>13100</v>
      </c>
      <c r="D3831" s="16"/>
      <c r="E3831">
        <v>6</v>
      </c>
      <c r="F3831" t="s">
        <v>2563</v>
      </c>
      <c r="G3831">
        <v>1</v>
      </c>
      <c r="H3831">
        <v>1</v>
      </c>
      <c r="I3831">
        <f>1</f>
        <v>1</v>
      </c>
    </row>
    <row r="3832" spans="2:9" x14ac:dyDescent="0.25">
      <c r="B3832">
        <v>0</v>
      </c>
      <c r="C3832" s="16" t="s">
        <v>13101</v>
      </c>
      <c r="D3832" s="16"/>
      <c r="E3832">
        <v>6</v>
      </c>
      <c r="F3832" t="s">
        <v>4680</v>
      </c>
      <c r="G3832">
        <v>1</v>
      </c>
      <c r="H3832">
        <v>1</v>
      </c>
      <c r="I3832">
        <f>1</f>
        <v>1</v>
      </c>
    </row>
    <row r="3833" spans="2:9" x14ac:dyDescent="0.25">
      <c r="B3833">
        <v>0</v>
      </c>
      <c r="C3833" s="16" t="s">
        <v>13102</v>
      </c>
      <c r="D3833" s="16"/>
      <c r="E3833">
        <v>6</v>
      </c>
      <c r="F3833" t="s">
        <v>6361</v>
      </c>
      <c r="G3833">
        <v>1</v>
      </c>
      <c r="H3833">
        <v>1</v>
      </c>
      <c r="I3833">
        <f>1</f>
        <v>1</v>
      </c>
    </row>
    <row r="3834" spans="2:9" x14ac:dyDescent="0.25">
      <c r="B3834">
        <v>0</v>
      </c>
      <c r="C3834" s="16" t="s">
        <v>13103</v>
      </c>
      <c r="D3834" s="16"/>
      <c r="E3834">
        <v>6</v>
      </c>
      <c r="F3834" t="s">
        <v>6362</v>
      </c>
      <c r="G3834">
        <v>1</v>
      </c>
      <c r="H3834">
        <v>1</v>
      </c>
      <c r="I3834">
        <f>1</f>
        <v>1</v>
      </c>
    </row>
    <row r="3835" spans="2:9" x14ac:dyDescent="0.25">
      <c r="B3835">
        <v>0</v>
      </c>
      <c r="C3835" s="16" t="s">
        <v>13104</v>
      </c>
      <c r="D3835" s="16"/>
      <c r="E3835">
        <v>6</v>
      </c>
      <c r="F3835" t="s">
        <v>6532</v>
      </c>
      <c r="G3835">
        <v>1</v>
      </c>
      <c r="H3835">
        <v>1</v>
      </c>
      <c r="I3835">
        <f>1</f>
        <v>1</v>
      </c>
    </row>
    <row r="3836" spans="2:9" x14ac:dyDescent="0.25">
      <c r="B3836">
        <v>0</v>
      </c>
      <c r="C3836" s="16" t="s">
        <v>13105</v>
      </c>
      <c r="D3836" s="16"/>
      <c r="E3836">
        <v>6</v>
      </c>
      <c r="F3836" t="s">
        <v>6533</v>
      </c>
      <c r="G3836">
        <v>1</v>
      </c>
      <c r="H3836">
        <v>1</v>
      </c>
      <c r="I3836">
        <f>1</f>
        <v>1</v>
      </c>
    </row>
    <row r="3837" spans="2:9" x14ac:dyDescent="0.25">
      <c r="B3837">
        <v>0</v>
      </c>
      <c r="C3837" s="16" t="s">
        <v>13106</v>
      </c>
      <c r="D3837" s="16"/>
      <c r="E3837">
        <v>6</v>
      </c>
      <c r="F3837" t="s">
        <v>6534</v>
      </c>
      <c r="G3837">
        <v>1</v>
      </c>
      <c r="H3837">
        <v>1</v>
      </c>
      <c r="I3837">
        <f>1</f>
        <v>1</v>
      </c>
    </row>
    <row r="3838" spans="2:9" x14ac:dyDescent="0.25">
      <c r="B3838">
        <v>0</v>
      </c>
      <c r="C3838" s="16" t="s">
        <v>13107</v>
      </c>
      <c r="D3838" s="16"/>
      <c r="E3838">
        <v>6</v>
      </c>
      <c r="F3838" t="s">
        <v>4680</v>
      </c>
      <c r="G3838">
        <v>1</v>
      </c>
      <c r="H3838">
        <v>1</v>
      </c>
      <c r="I3838">
        <f>1</f>
        <v>1</v>
      </c>
    </row>
    <row r="3839" spans="2:9" x14ac:dyDescent="0.25">
      <c r="B3839">
        <v>0</v>
      </c>
      <c r="C3839" s="16" t="s">
        <v>13108</v>
      </c>
      <c r="D3839" s="16"/>
      <c r="E3839">
        <v>6</v>
      </c>
      <c r="F3839" t="s">
        <v>6535</v>
      </c>
      <c r="G3839">
        <v>1</v>
      </c>
      <c r="H3839">
        <v>1</v>
      </c>
      <c r="I3839">
        <f>1</f>
        <v>1</v>
      </c>
    </row>
    <row r="3840" spans="2:9" x14ac:dyDescent="0.25">
      <c r="B3840">
        <v>0</v>
      </c>
      <c r="C3840" s="16" t="s">
        <v>13109</v>
      </c>
      <c r="D3840" s="16"/>
      <c r="E3840">
        <v>6</v>
      </c>
      <c r="F3840" t="s">
        <v>6536</v>
      </c>
      <c r="G3840">
        <v>1</v>
      </c>
      <c r="H3840">
        <v>1</v>
      </c>
      <c r="I3840">
        <f>1</f>
        <v>1</v>
      </c>
    </row>
    <row r="3841" spans="2:9" x14ac:dyDescent="0.25">
      <c r="B3841">
        <v>0</v>
      </c>
      <c r="C3841" s="16" t="s">
        <v>13110</v>
      </c>
      <c r="D3841" s="16"/>
      <c r="E3841">
        <v>6</v>
      </c>
      <c r="F3841" t="s">
        <v>6392</v>
      </c>
      <c r="G3841">
        <v>1</v>
      </c>
      <c r="H3841">
        <v>1</v>
      </c>
      <c r="I3841">
        <f>1</f>
        <v>1</v>
      </c>
    </row>
    <row r="3842" spans="2:9" x14ac:dyDescent="0.25">
      <c r="B3842">
        <v>0</v>
      </c>
      <c r="C3842" s="16" t="s">
        <v>13111</v>
      </c>
      <c r="D3842" s="16"/>
      <c r="E3842">
        <v>6</v>
      </c>
      <c r="F3842" t="s">
        <v>6537</v>
      </c>
      <c r="G3842">
        <v>1</v>
      </c>
      <c r="H3842">
        <v>1</v>
      </c>
      <c r="I3842">
        <f>1</f>
        <v>1</v>
      </c>
    </row>
    <row r="3843" spans="2:9" x14ac:dyDescent="0.25">
      <c r="B3843">
        <v>0</v>
      </c>
      <c r="C3843" s="16" t="s">
        <v>13112</v>
      </c>
      <c r="D3843" s="16"/>
      <c r="E3843">
        <v>6</v>
      </c>
      <c r="F3843" t="s">
        <v>6538</v>
      </c>
      <c r="G3843">
        <v>1</v>
      </c>
      <c r="H3843">
        <v>1</v>
      </c>
      <c r="I3843">
        <f>1</f>
        <v>1</v>
      </c>
    </row>
    <row r="3844" spans="2:9" x14ac:dyDescent="0.25">
      <c r="B3844">
        <v>0</v>
      </c>
      <c r="C3844" s="16" t="s">
        <v>13113</v>
      </c>
      <c r="D3844" s="16"/>
      <c r="E3844">
        <v>6</v>
      </c>
      <c r="F3844" t="s">
        <v>4680</v>
      </c>
      <c r="G3844">
        <v>1</v>
      </c>
      <c r="H3844">
        <v>1</v>
      </c>
      <c r="I3844">
        <f>1</f>
        <v>1</v>
      </c>
    </row>
    <row r="3845" spans="2:9" x14ac:dyDescent="0.25">
      <c r="B3845">
        <v>0</v>
      </c>
      <c r="C3845" s="16" t="s">
        <v>13114</v>
      </c>
      <c r="D3845" s="16"/>
      <c r="E3845">
        <v>6</v>
      </c>
      <c r="F3845" t="s">
        <v>6539</v>
      </c>
      <c r="G3845">
        <v>1</v>
      </c>
      <c r="H3845">
        <v>1</v>
      </c>
      <c r="I3845">
        <f>1</f>
        <v>1</v>
      </c>
    </row>
    <row r="3846" spans="2:9" x14ac:dyDescent="0.25">
      <c r="B3846">
        <v>0</v>
      </c>
      <c r="C3846" s="16" t="s">
        <v>13115</v>
      </c>
      <c r="D3846" s="16"/>
      <c r="E3846">
        <v>6</v>
      </c>
      <c r="F3846" t="s">
        <v>6327</v>
      </c>
      <c r="G3846">
        <v>1</v>
      </c>
      <c r="H3846">
        <v>1</v>
      </c>
      <c r="I3846">
        <f>1</f>
        <v>1</v>
      </c>
    </row>
    <row r="3847" spans="2:9" x14ac:dyDescent="0.25">
      <c r="B3847">
        <v>0</v>
      </c>
      <c r="C3847" s="16" t="s">
        <v>13116</v>
      </c>
      <c r="D3847" s="16"/>
      <c r="E3847">
        <v>6</v>
      </c>
      <c r="F3847" t="s">
        <v>6540</v>
      </c>
      <c r="G3847">
        <v>1</v>
      </c>
      <c r="H3847">
        <v>1</v>
      </c>
      <c r="I3847">
        <f>1</f>
        <v>1</v>
      </c>
    </row>
    <row r="3848" spans="2:9" x14ac:dyDescent="0.25">
      <c r="B3848">
        <v>0</v>
      </c>
      <c r="C3848" s="16" t="s">
        <v>13117</v>
      </c>
      <c r="D3848" s="16"/>
      <c r="E3848">
        <v>6</v>
      </c>
      <c r="F3848" t="s">
        <v>6541</v>
      </c>
      <c r="G3848">
        <v>1</v>
      </c>
      <c r="H3848">
        <v>1</v>
      </c>
      <c r="I3848">
        <f>1</f>
        <v>1</v>
      </c>
    </row>
    <row r="3849" spans="2:9" x14ac:dyDescent="0.25">
      <c r="B3849">
        <v>0</v>
      </c>
      <c r="C3849" s="16" t="s">
        <v>13118</v>
      </c>
      <c r="D3849" s="16"/>
      <c r="E3849">
        <v>6</v>
      </c>
      <c r="F3849" t="s">
        <v>6542</v>
      </c>
      <c r="G3849">
        <v>1</v>
      </c>
      <c r="H3849">
        <v>1</v>
      </c>
      <c r="I3849">
        <f>1</f>
        <v>1</v>
      </c>
    </row>
    <row r="3850" spans="2:9" x14ac:dyDescent="0.25">
      <c r="B3850">
        <v>0</v>
      </c>
      <c r="C3850" s="16" t="s">
        <v>13119</v>
      </c>
      <c r="D3850" s="16"/>
      <c r="E3850">
        <v>6</v>
      </c>
      <c r="F3850" t="s">
        <v>6544</v>
      </c>
      <c r="G3850">
        <v>1</v>
      </c>
      <c r="H3850">
        <v>1</v>
      </c>
      <c r="I3850">
        <f>1</f>
        <v>1</v>
      </c>
    </row>
    <row r="3851" spans="2:9" x14ac:dyDescent="0.25">
      <c r="B3851">
        <v>0</v>
      </c>
      <c r="C3851" s="16" t="s">
        <v>13120</v>
      </c>
      <c r="D3851" s="16"/>
      <c r="E3851">
        <v>6</v>
      </c>
      <c r="F3851" t="s">
        <v>4680</v>
      </c>
      <c r="G3851">
        <v>1</v>
      </c>
      <c r="H3851">
        <v>1</v>
      </c>
      <c r="I3851">
        <f>1</f>
        <v>1</v>
      </c>
    </row>
    <row r="3852" spans="2:9" x14ac:dyDescent="0.25">
      <c r="B3852">
        <v>0</v>
      </c>
      <c r="C3852" s="16" t="s">
        <v>13121</v>
      </c>
      <c r="D3852" s="16"/>
      <c r="E3852">
        <v>6</v>
      </c>
      <c r="F3852" t="s">
        <v>6545</v>
      </c>
      <c r="G3852">
        <v>1</v>
      </c>
      <c r="H3852">
        <v>1</v>
      </c>
      <c r="I3852">
        <f>1</f>
        <v>1</v>
      </c>
    </row>
    <row r="3853" spans="2:9" x14ac:dyDescent="0.25">
      <c r="B3853">
        <v>0</v>
      </c>
      <c r="C3853" s="16" t="s">
        <v>13122</v>
      </c>
      <c r="D3853" s="16"/>
      <c r="E3853">
        <v>6</v>
      </c>
      <c r="F3853" t="s">
        <v>6546</v>
      </c>
      <c r="G3853">
        <v>1</v>
      </c>
      <c r="H3853">
        <v>1</v>
      </c>
      <c r="I3853">
        <f>1</f>
        <v>1</v>
      </c>
    </row>
    <row r="3854" spans="2:9" x14ac:dyDescent="0.25">
      <c r="B3854">
        <v>0</v>
      </c>
      <c r="C3854" s="16" t="s">
        <v>13123</v>
      </c>
      <c r="D3854" s="16"/>
      <c r="E3854">
        <v>6</v>
      </c>
      <c r="F3854" t="s">
        <v>6547</v>
      </c>
      <c r="G3854">
        <v>1</v>
      </c>
      <c r="H3854">
        <v>1</v>
      </c>
      <c r="I3854">
        <f>1</f>
        <v>1</v>
      </c>
    </row>
    <row r="3855" spans="2:9" x14ac:dyDescent="0.25">
      <c r="B3855">
        <v>0</v>
      </c>
      <c r="C3855" s="16" t="s">
        <v>13124</v>
      </c>
      <c r="D3855" s="16"/>
      <c r="E3855">
        <v>6</v>
      </c>
      <c r="F3855" t="s">
        <v>4680</v>
      </c>
      <c r="G3855">
        <v>1</v>
      </c>
      <c r="H3855">
        <v>1</v>
      </c>
      <c r="I3855">
        <f>1</f>
        <v>1</v>
      </c>
    </row>
    <row r="3856" spans="2:9" x14ac:dyDescent="0.25">
      <c r="B3856">
        <v>0</v>
      </c>
      <c r="C3856" s="16" t="s">
        <v>13125</v>
      </c>
      <c r="D3856" s="16"/>
      <c r="E3856">
        <v>6</v>
      </c>
      <c r="F3856" t="s">
        <v>6548</v>
      </c>
      <c r="G3856">
        <v>1</v>
      </c>
      <c r="H3856">
        <v>1</v>
      </c>
      <c r="I3856">
        <f>1</f>
        <v>1</v>
      </c>
    </row>
    <row r="3857" spans="2:9" x14ac:dyDescent="0.25">
      <c r="B3857">
        <v>0</v>
      </c>
      <c r="C3857" s="16" t="s">
        <v>13126</v>
      </c>
      <c r="D3857" s="16"/>
      <c r="E3857">
        <v>6</v>
      </c>
      <c r="F3857" t="s">
        <v>6549</v>
      </c>
      <c r="G3857">
        <v>1</v>
      </c>
      <c r="H3857">
        <v>1</v>
      </c>
      <c r="I3857">
        <f>1</f>
        <v>1</v>
      </c>
    </row>
    <row r="3858" spans="2:9" x14ac:dyDescent="0.25">
      <c r="B3858">
        <v>0</v>
      </c>
      <c r="C3858" s="16" t="s">
        <v>13127</v>
      </c>
      <c r="D3858" s="16"/>
      <c r="E3858">
        <v>6</v>
      </c>
      <c r="F3858" t="s">
        <v>6550</v>
      </c>
      <c r="G3858">
        <v>1</v>
      </c>
      <c r="H3858">
        <v>1</v>
      </c>
      <c r="I3858">
        <f>1</f>
        <v>1</v>
      </c>
    </row>
    <row r="3859" spans="2:9" x14ac:dyDescent="0.25">
      <c r="B3859">
        <v>0</v>
      </c>
      <c r="C3859" s="16" t="s">
        <v>13128</v>
      </c>
      <c r="D3859" s="16"/>
      <c r="E3859">
        <v>6</v>
      </c>
      <c r="F3859" t="s">
        <v>6551</v>
      </c>
      <c r="G3859">
        <v>1</v>
      </c>
      <c r="H3859">
        <v>1</v>
      </c>
      <c r="I3859">
        <f>1</f>
        <v>1</v>
      </c>
    </row>
    <row r="3860" spans="2:9" x14ac:dyDescent="0.25">
      <c r="B3860">
        <v>0</v>
      </c>
      <c r="C3860" s="16" t="s">
        <v>13129</v>
      </c>
      <c r="D3860" s="16"/>
      <c r="E3860">
        <v>6</v>
      </c>
      <c r="F3860" t="s">
        <v>5740</v>
      </c>
      <c r="G3860">
        <v>1</v>
      </c>
      <c r="H3860">
        <v>1</v>
      </c>
      <c r="I3860">
        <f>1</f>
        <v>1</v>
      </c>
    </row>
    <row r="3861" spans="2:9" x14ac:dyDescent="0.25">
      <c r="B3861">
        <v>0</v>
      </c>
      <c r="C3861" s="16" t="s">
        <v>13130</v>
      </c>
      <c r="D3861" s="16"/>
      <c r="E3861">
        <v>6</v>
      </c>
      <c r="F3861" t="s">
        <v>6597</v>
      </c>
      <c r="G3861">
        <v>1</v>
      </c>
      <c r="H3861">
        <v>1</v>
      </c>
      <c r="I3861">
        <f>1</f>
        <v>1</v>
      </c>
    </row>
    <row r="3862" spans="2:9" x14ac:dyDescent="0.25">
      <c r="B3862">
        <v>0</v>
      </c>
      <c r="C3862" s="16" t="s">
        <v>13131</v>
      </c>
      <c r="D3862" s="16"/>
      <c r="E3862">
        <v>6</v>
      </c>
      <c r="F3862" t="s">
        <v>6598</v>
      </c>
      <c r="G3862">
        <v>1</v>
      </c>
      <c r="H3862">
        <v>1</v>
      </c>
      <c r="I3862">
        <f>1</f>
        <v>1</v>
      </c>
    </row>
    <row r="3863" spans="2:9" x14ac:dyDescent="0.25">
      <c r="B3863">
        <v>0</v>
      </c>
      <c r="C3863" s="16" t="s">
        <v>13132</v>
      </c>
      <c r="D3863" s="16"/>
      <c r="E3863">
        <v>6</v>
      </c>
      <c r="F3863" t="s">
        <v>6554</v>
      </c>
      <c r="G3863">
        <v>1</v>
      </c>
      <c r="H3863">
        <v>1</v>
      </c>
      <c r="I3863">
        <f>1</f>
        <v>1</v>
      </c>
    </row>
    <row r="3864" spans="2:9" x14ac:dyDescent="0.25">
      <c r="B3864">
        <v>0</v>
      </c>
      <c r="C3864" s="16" t="s">
        <v>13133</v>
      </c>
      <c r="D3864" s="16"/>
      <c r="E3864">
        <v>6</v>
      </c>
      <c r="F3864" t="s">
        <v>4680</v>
      </c>
      <c r="G3864">
        <v>1</v>
      </c>
      <c r="H3864">
        <v>1</v>
      </c>
      <c r="I3864">
        <f>1</f>
        <v>1</v>
      </c>
    </row>
    <row r="3865" spans="2:9" x14ac:dyDescent="0.25">
      <c r="B3865">
        <v>0</v>
      </c>
      <c r="C3865" s="16" t="s">
        <v>13134</v>
      </c>
      <c r="D3865" s="16"/>
      <c r="E3865">
        <v>6</v>
      </c>
      <c r="F3865" t="s">
        <v>6555</v>
      </c>
      <c r="G3865">
        <v>1</v>
      </c>
      <c r="H3865">
        <v>1</v>
      </c>
      <c r="I3865">
        <f>1</f>
        <v>1</v>
      </c>
    </row>
    <row r="3866" spans="2:9" x14ac:dyDescent="0.25">
      <c r="B3866">
        <v>0</v>
      </c>
      <c r="C3866" s="16" t="s">
        <v>13135</v>
      </c>
      <c r="D3866" s="16"/>
      <c r="E3866">
        <v>6</v>
      </c>
      <c r="F3866" t="s">
        <v>6556</v>
      </c>
      <c r="G3866">
        <v>1</v>
      </c>
      <c r="H3866">
        <v>1</v>
      </c>
      <c r="I3866">
        <f>1</f>
        <v>1</v>
      </c>
    </row>
    <row r="3867" spans="2:9" x14ac:dyDescent="0.25">
      <c r="B3867">
        <v>0</v>
      </c>
      <c r="C3867" s="16" t="s">
        <v>13136</v>
      </c>
      <c r="D3867" s="16"/>
      <c r="E3867">
        <v>6</v>
      </c>
      <c r="F3867" t="s">
        <v>6557</v>
      </c>
      <c r="G3867">
        <v>1</v>
      </c>
      <c r="H3867">
        <v>1</v>
      </c>
      <c r="I3867">
        <f>1</f>
        <v>1</v>
      </c>
    </row>
    <row r="3868" spans="2:9" x14ac:dyDescent="0.25">
      <c r="B3868">
        <v>0</v>
      </c>
      <c r="C3868" s="16" t="s">
        <v>13137</v>
      </c>
      <c r="D3868" s="16"/>
      <c r="E3868">
        <v>6</v>
      </c>
      <c r="F3868" t="s">
        <v>6558</v>
      </c>
      <c r="G3868">
        <v>1</v>
      </c>
      <c r="H3868">
        <v>1</v>
      </c>
      <c r="I3868">
        <f>1</f>
        <v>1</v>
      </c>
    </row>
    <row r="3869" spans="2:9" x14ac:dyDescent="0.25">
      <c r="B3869">
        <v>0</v>
      </c>
      <c r="C3869" s="16" t="s">
        <v>13138</v>
      </c>
      <c r="D3869" s="16"/>
      <c r="E3869">
        <v>6</v>
      </c>
      <c r="F3869" t="s">
        <v>6559</v>
      </c>
      <c r="G3869">
        <v>1</v>
      </c>
      <c r="H3869">
        <v>1</v>
      </c>
      <c r="I3869">
        <f>1</f>
        <v>1</v>
      </c>
    </row>
    <row r="3870" spans="2:9" x14ac:dyDescent="0.25">
      <c r="B3870">
        <v>0</v>
      </c>
      <c r="C3870" s="16" t="s">
        <v>13139</v>
      </c>
      <c r="D3870" s="16"/>
      <c r="E3870">
        <v>6</v>
      </c>
      <c r="F3870" t="s">
        <v>6560</v>
      </c>
      <c r="G3870">
        <v>1</v>
      </c>
      <c r="H3870">
        <v>1</v>
      </c>
      <c r="I3870">
        <f>1</f>
        <v>1</v>
      </c>
    </row>
    <row r="3871" spans="2:9" x14ac:dyDescent="0.25">
      <c r="B3871">
        <v>0</v>
      </c>
      <c r="C3871" s="16" t="s">
        <v>13140</v>
      </c>
      <c r="D3871" s="16"/>
      <c r="E3871">
        <v>6</v>
      </c>
      <c r="F3871" t="s">
        <v>6561</v>
      </c>
      <c r="G3871">
        <v>1</v>
      </c>
      <c r="H3871">
        <v>1</v>
      </c>
      <c r="I3871">
        <f>1</f>
        <v>1</v>
      </c>
    </row>
    <row r="3872" spans="2:9" x14ac:dyDescent="0.25">
      <c r="B3872">
        <v>0</v>
      </c>
      <c r="C3872" s="16" t="s">
        <v>13141</v>
      </c>
      <c r="D3872" s="16"/>
      <c r="E3872">
        <v>6</v>
      </c>
      <c r="F3872" t="s">
        <v>6562</v>
      </c>
      <c r="G3872">
        <v>1</v>
      </c>
      <c r="H3872">
        <v>1</v>
      </c>
      <c r="I3872">
        <f>1</f>
        <v>1</v>
      </c>
    </row>
    <row r="3873" spans="2:9" x14ac:dyDescent="0.25">
      <c r="B3873">
        <v>0</v>
      </c>
      <c r="C3873" s="16" t="s">
        <v>13142</v>
      </c>
      <c r="D3873" s="16"/>
      <c r="E3873">
        <v>6</v>
      </c>
      <c r="F3873" t="s">
        <v>4680</v>
      </c>
      <c r="G3873">
        <v>1</v>
      </c>
      <c r="H3873">
        <v>1</v>
      </c>
      <c r="I3873">
        <f>1</f>
        <v>1</v>
      </c>
    </row>
    <row r="3874" spans="2:9" x14ac:dyDescent="0.25">
      <c r="B3874">
        <v>0</v>
      </c>
      <c r="C3874" s="16" t="s">
        <v>13143</v>
      </c>
      <c r="D3874" s="16"/>
      <c r="E3874">
        <v>6</v>
      </c>
      <c r="F3874" t="s">
        <v>6563</v>
      </c>
      <c r="G3874">
        <v>1</v>
      </c>
      <c r="H3874">
        <v>1</v>
      </c>
      <c r="I3874">
        <f>1</f>
        <v>1</v>
      </c>
    </row>
    <row r="3875" spans="2:9" x14ac:dyDescent="0.25">
      <c r="B3875">
        <v>0</v>
      </c>
      <c r="C3875" s="16" t="s">
        <v>13144</v>
      </c>
      <c r="D3875" s="16"/>
      <c r="E3875">
        <v>6</v>
      </c>
      <c r="F3875" t="s">
        <v>6564</v>
      </c>
      <c r="G3875">
        <v>1</v>
      </c>
      <c r="H3875">
        <v>1</v>
      </c>
      <c r="I3875">
        <f>1</f>
        <v>1</v>
      </c>
    </row>
    <row r="3876" spans="2:9" x14ac:dyDescent="0.25">
      <c r="B3876">
        <v>0</v>
      </c>
      <c r="C3876" s="16" t="s">
        <v>13145</v>
      </c>
      <c r="D3876" s="16"/>
      <c r="E3876">
        <v>6</v>
      </c>
      <c r="F3876" t="s">
        <v>6565</v>
      </c>
      <c r="G3876">
        <v>1</v>
      </c>
      <c r="H3876">
        <v>1</v>
      </c>
      <c r="I3876">
        <f>1</f>
        <v>1</v>
      </c>
    </row>
    <row r="3877" spans="2:9" x14ac:dyDescent="0.25">
      <c r="B3877">
        <v>0</v>
      </c>
      <c r="C3877" s="16" t="s">
        <v>13146</v>
      </c>
      <c r="D3877" s="16"/>
      <c r="E3877">
        <v>6</v>
      </c>
      <c r="F3877" t="s">
        <v>6566</v>
      </c>
      <c r="G3877">
        <v>1</v>
      </c>
      <c r="H3877">
        <v>1</v>
      </c>
      <c r="I3877">
        <f>1</f>
        <v>1</v>
      </c>
    </row>
    <row r="3878" spans="2:9" x14ac:dyDescent="0.25">
      <c r="B3878">
        <v>0</v>
      </c>
      <c r="C3878" s="16" t="s">
        <v>13147</v>
      </c>
      <c r="D3878" s="16"/>
      <c r="E3878">
        <v>6</v>
      </c>
      <c r="F3878" t="s">
        <v>6567</v>
      </c>
      <c r="G3878">
        <v>1</v>
      </c>
      <c r="H3878">
        <v>1</v>
      </c>
      <c r="I3878">
        <f>1</f>
        <v>1</v>
      </c>
    </row>
    <row r="3879" spans="2:9" x14ac:dyDescent="0.25">
      <c r="B3879">
        <v>0</v>
      </c>
      <c r="C3879" s="16" t="s">
        <v>13148</v>
      </c>
      <c r="D3879" s="16"/>
      <c r="E3879">
        <v>6</v>
      </c>
      <c r="F3879" t="s">
        <v>6568</v>
      </c>
      <c r="G3879">
        <v>1</v>
      </c>
      <c r="H3879">
        <v>1</v>
      </c>
      <c r="I3879">
        <f>1</f>
        <v>1</v>
      </c>
    </row>
    <row r="3880" spans="2:9" x14ac:dyDescent="0.25">
      <c r="B3880">
        <v>0</v>
      </c>
      <c r="C3880" s="16" t="s">
        <v>13149</v>
      </c>
      <c r="D3880" s="16"/>
      <c r="E3880">
        <v>6</v>
      </c>
      <c r="F3880" t="s">
        <v>6569</v>
      </c>
      <c r="G3880">
        <v>1</v>
      </c>
      <c r="H3880">
        <v>1</v>
      </c>
      <c r="I3880">
        <f>1</f>
        <v>1</v>
      </c>
    </row>
    <row r="3881" spans="2:9" x14ac:dyDescent="0.25">
      <c r="B3881">
        <v>0</v>
      </c>
      <c r="C3881" s="16" t="s">
        <v>13150</v>
      </c>
      <c r="D3881" s="16"/>
      <c r="E3881">
        <v>6</v>
      </c>
      <c r="F3881" t="s">
        <v>6570</v>
      </c>
      <c r="G3881">
        <v>1</v>
      </c>
      <c r="H3881">
        <v>1</v>
      </c>
      <c r="I3881">
        <f>1</f>
        <v>1</v>
      </c>
    </row>
    <row r="3882" spans="2:9" x14ac:dyDescent="0.25">
      <c r="B3882">
        <v>0</v>
      </c>
      <c r="C3882" s="16" t="s">
        <v>13151</v>
      </c>
      <c r="D3882" s="16"/>
      <c r="E3882">
        <v>6</v>
      </c>
      <c r="F3882" t="s">
        <v>4680</v>
      </c>
      <c r="G3882">
        <v>1</v>
      </c>
      <c r="H3882">
        <v>1</v>
      </c>
      <c r="I3882">
        <f>1</f>
        <v>1</v>
      </c>
    </row>
    <row r="3883" spans="2:9" x14ac:dyDescent="0.25">
      <c r="B3883">
        <v>0</v>
      </c>
      <c r="C3883" s="16" t="s">
        <v>13152</v>
      </c>
      <c r="D3883" s="16"/>
      <c r="E3883">
        <v>6</v>
      </c>
      <c r="F3883" t="s">
        <v>6037</v>
      </c>
      <c r="G3883">
        <v>1</v>
      </c>
      <c r="H3883">
        <v>1</v>
      </c>
      <c r="I3883">
        <f>1</f>
        <v>1</v>
      </c>
    </row>
    <row r="3884" spans="2:9" x14ac:dyDescent="0.25">
      <c r="B3884">
        <v>0</v>
      </c>
      <c r="C3884" s="16" t="s">
        <v>13153</v>
      </c>
      <c r="D3884" s="16"/>
      <c r="E3884">
        <v>6</v>
      </c>
      <c r="F3884" t="s">
        <v>5984</v>
      </c>
      <c r="G3884">
        <v>1</v>
      </c>
      <c r="H3884">
        <v>1</v>
      </c>
      <c r="I3884">
        <f>1</f>
        <v>1</v>
      </c>
    </row>
    <row r="3885" spans="2:9" x14ac:dyDescent="0.25">
      <c r="B3885">
        <v>0</v>
      </c>
      <c r="C3885" s="16" t="s">
        <v>13154</v>
      </c>
      <c r="D3885" s="16"/>
      <c r="E3885">
        <v>6</v>
      </c>
      <c r="F3885" t="s">
        <v>6005</v>
      </c>
      <c r="G3885">
        <v>1</v>
      </c>
      <c r="H3885">
        <v>1</v>
      </c>
      <c r="I3885">
        <f>1</f>
        <v>1</v>
      </c>
    </row>
    <row r="3886" spans="2:9" x14ac:dyDescent="0.25">
      <c r="B3886">
        <v>0</v>
      </c>
      <c r="C3886" s="16" t="s">
        <v>13155</v>
      </c>
      <c r="D3886" s="16"/>
      <c r="E3886">
        <v>6</v>
      </c>
      <c r="F3886" t="s">
        <v>6040</v>
      </c>
      <c r="G3886">
        <v>1</v>
      </c>
      <c r="H3886">
        <v>1</v>
      </c>
      <c r="I3886">
        <f>1</f>
        <v>1</v>
      </c>
    </row>
    <row r="3887" spans="2:9" x14ac:dyDescent="0.25">
      <c r="B3887">
        <v>0</v>
      </c>
      <c r="C3887" s="16" t="s">
        <v>13156</v>
      </c>
      <c r="D3887" s="16"/>
      <c r="E3887">
        <v>6</v>
      </c>
      <c r="F3887" t="s">
        <v>6571</v>
      </c>
      <c r="G3887">
        <v>1</v>
      </c>
      <c r="H3887">
        <v>1</v>
      </c>
      <c r="I3887">
        <f>1</f>
        <v>1</v>
      </c>
    </row>
    <row r="3888" spans="2:9" x14ac:dyDescent="0.25">
      <c r="B3888">
        <v>0</v>
      </c>
      <c r="C3888" s="16" t="s">
        <v>13157</v>
      </c>
      <c r="D3888" s="16"/>
      <c r="E3888">
        <v>6</v>
      </c>
      <c r="F3888" t="s">
        <v>6573</v>
      </c>
      <c r="G3888">
        <v>1</v>
      </c>
      <c r="H3888">
        <v>1</v>
      </c>
      <c r="I3888">
        <f>1</f>
        <v>1</v>
      </c>
    </row>
    <row r="3889" spans="2:9" x14ac:dyDescent="0.25">
      <c r="B3889">
        <v>0</v>
      </c>
      <c r="C3889" s="16" t="s">
        <v>13158</v>
      </c>
      <c r="D3889" s="16"/>
      <c r="E3889">
        <v>6</v>
      </c>
      <c r="F3889" t="s">
        <v>6572</v>
      </c>
      <c r="G3889">
        <v>1</v>
      </c>
      <c r="H3889">
        <v>1</v>
      </c>
      <c r="I3889">
        <f>1</f>
        <v>1</v>
      </c>
    </row>
    <row r="3890" spans="2:9" x14ac:dyDescent="0.25">
      <c r="B3890">
        <v>0</v>
      </c>
      <c r="C3890" s="16" t="s">
        <v>13159</v>
      </c>
      <c r="D3890" s="16"/>
      <c r="E3890">
        <v>6</v>
      </c>
      <c r="F3890" t="s">
        <v>4680</v>
      </c>
      <c r="G3890">
        <v>1</v>
      </c>
      <c r="H3890">
        <v>1</v>
      </c>
      <c r="I3890">
        <f>1</f>
        <v>1</v>
      </c>
    </row>
    <row r="3891" spans="2:9" x14ac:dyDescent="0.25">
      <c r="B3891">
        <v>0</v>
      </c>
      <c r="C3891" s="16" t="s">
        <v>13160</v>
      </c>
      <c r="D3891" s="16"/>
      <c r="E3891">
        <v>6</v>
      </c>
      <c r="F3891" t="s">
        <v>6574</v>
      </c>
      <c r="G3891">
        <v>1</v>
      </c>
      <c r="H3891">
        <v>1</v>
      </c>
      <c r="I3891">
        <f>1</f>
        <v>1</v>
      </c>
    </row>
    <row r="3892" spans="2:9" x14ac:dyDescent="0.25">
      <c r="B3892">
        <v>0</v>
      </c>
      <c r="C3892" s="16" t="s">
        <v>13161</v>
      </c>
      <c r="D3892" s="16"/>
      <c r="E3892">
        <v>6</v>
      </c>
      <c r="F3892" t="s">
        <v>6599</v>
      </c>
      <c r="G3892">
        <v>1</v>
      </c>
      <c r="H3892">
        <v>1</v>
      </c>
      <c r="I3892">
        <f>1</f>
        <v>1</v>
      </c>
    </row>
    <row r="3893" spans="2:9" x14ac:dyDescent="0.25">
      <c r="B3893">
        <v>0</v>
      </c>
      <c r="C3893" s="16" t="s">
        <v>13162</v>
      </c>
      <c r="D3893" s="16"/>
      <c r="E3893">
        <v>6</v>
      </c>
      <c r="F3893" t="s">
        <v>6576</v>
      </c>
      <c r="G3893">
        <v>1</v>
      </c>
      <c r="H3893">
        <v>1</v>
      </c>
      <c r="I3893">
        <f>1</f>
        <v>1</v>
      </c>
    </row>
    <row r="3894" spans="2:9" x14ac:dyDescent="0.25">
      <c r="B3894">
        <v>0</v>
      </c>
      <c r="C3894" s="16" t="s">
        <v>13163</v>
      </c>
      <c r="D3894" s="16"/>
      <c r="E3894">
        <v>6</v>
      </c>
      <c r="F3894" t="s">
        <v>6577</v>
      </c>
      <c r="G3894">
        <v>1</v>
      </c>
      <c r="H3894">
        <v>1</v>
      </c>
      <c r="I3894">
        <f>1</f>
        <v>1</v>
      </c>
    </row>
    <row r="3895" spans="2:9" x14ac:dyDescent="0.25">
      <c r="B3895">
        <v>0</v>
      </c>
      <c r="C3895" s="16" t="s">
        <v>13164</v>
      </c>
      <c r="D3895" s="16"/>
      <c r="E3895">
        <v>6</v>
      </c>
      <c r="F3895" t="s">
        <v>6578</v>
      </c>
      <c r="G3895">
        <v>1</v>
      </c>
      <c r="H3895">
        <v>1</v>
      </c>
      <c r="I3895">
        <f>1</f>
        <v>1</v>
      </c>
    </row>
    <row r="3896" spans="2:9" x14ac:dyDescent="0.25">
      <c r="B3896">
        <v>0</v>
      </c>
      <c r="C3896" s="16" t="s">
        <v>13165</v>
      </c>
      <c r="D3896" s="16"/>
      <c r="E3896">
        <v>6</v>
      </c>
      <c r="F3896" t="s">
        <v>6579</v>
      </c>
      <c r="G3896">
        <v>1</v>
      </c>
      <c r="H3896">
        <v>1</v>
      </c>
      <c r="I3896">
        <f>1</f>
        <v>1</v>
      </c>
    </row>
    <row r="3897" spans="2:9" x14ac:dyDescent="0.25">
      <c r="B3897">
        <v>0</v>
      </c>
      <c r="C3897" s="16" t="s">
        <v>13166</v>
      </c>
      <c r="D3897" s="16"/>
      <c r="E3897">
        <v>6</v>
      </c>
      <c r="F3897" t="s">
        <v>6580</v>
      </c>
      <c r="G3897">
        <v>1</v>
      </c>
      <c r="H3897">
        <v>1</v>
      </c>
      <c r="I3897">
        <f>1</f>
        <v>1</v>
      </c>
    </row>
    <row r="3898" spans="2:9" x14ac:dyDescent="0.25">
      <c r="B3898">
        <v>0</v>
      </c>
      <c r="C3898" s="16" t="s">
        <v>13167</v>
      </c>
      <c r="D3898" s="16"/>
      <c r="E3898">
        <v>6</v>
      </c>
      <c r="F3898" t="s">
        <v>6581</v>
      </c>
      <c r="G3898">
        <v>1</v>
      </c>
      <c r="H3898">
        <v>1</v>
      </c>
      <c r="I3898">
        <f>1</f>
        <v>1</v>
      </c>
    </row>
    <row r="3899" spans="2:9" x14ac:dyDescent="0.25">
      <c r="B3899">
        <v>0</v>
      </c>
      <c r="C3899" s="16" t="s">
        <v>13168</v>
      </c>
      <c r="D3899" s="16"/>
      <c r="E3899">
        <v>6</v>
      </c>
      <c r="F3899" t="s">
        <v>4680</v>
      </c>
      <c r="G3899">
        <v>1</v>
      </c>
      <c r="H3899">
        <v>1</v>
      </c>
      <c r="I3899">
        <f>1</f>
        <v>1</v>
      </c>
    </row>
    <row r="3900" spans="2:9" x14ac:dyDescent="0.25">
      <c r="B3900">
        <v>0</v>
      </c>
      <c r="C3900" s="16" t="s">
        <v>13169</v>
      </c>
      <c r="D3900" s="16"/>
      <c r="E3900">
        <v>6</v>
      </c>
      <c r="F3900" t="s">
        <v>6582</v>
      </c>
      <c r="G3900">
        <v>1</v>
      </c>
      <c r="H3900">
        <v>1</v>
      </c>
      <c r="I3900">
        <f>1</f>
        <v>1</v>
      </c>
    </row>
    <row r="3901" spans="2:9" x14ac:dyDescent="0.25">
      <c r="B3901">
        <v>0</v>
      </c>
      <c r="C3901" s="16" t="s">
        <v>13170</v>
      </c>
      <c r="D3901" s="16"/>
      <c r="E3901">
        <v>6</v>
      </c>
      <c r="F3901" t="s">
        <v>6583</v>
      </c>
      <c r="G3901">
        <v>1</v>
      </c>
      <c r="H3901">
        <v>1</v>
      </c>
      <c r="I3901">
        <f>1</f>
        <v>1</v>
      </c>
    </row>
    <row r="3902" spans="2:9" x14ac:dyDescent="0.25">
      <c r="B3902">
        <v>0</v>
      </c>
      <c r="C3902" s="16" t="s">
        <v>13171</v>
      </c>
      <c r="D3902" s="16"/>
      <c r="E3902">
        <v>6</v>
      </c>
      <c r="F3902" t="s">
        <v>6584</v>
      </c>
      <c r="G3902">
        <v>1</v>
      </c>
      <c r="H3902">
        <v>1</v>
      </c>
      <c r="I3902">
        <f>1</f>
        <v>1</v>
      </c>
    </row>
    <row r="3903" spans="2:9" x14ac:dyDescent="0.25">
      <c r="B3903">
        <v>0</v>
      </c>
      <c r="C3903" s="16" t="s">
        <v>13172</v>
      </c>
      <c r="D3903" s="16"/>
      <c r="E3903">
        <v>6</v>
      </c>
      <c r="F3903" t="s">
        <v>6585</v>
      </c>
      <c r="G3903">
        <v>1</v>
      </c>
      <c r="H3903">
        <v>1</v>
      </c>
      <c r="I3903">
        <f>1</f>
        <v>1</v>
      </c>
    </row>
    <row r="3904" spans="2:9" x14ac:dyDescent="0.25">
      <c r="B3904">
        <v>0</v>
      </c>
      <c r="C3904" s="16" t="s">
        <v>13173</v>
      </c>
      <c r="D3904" s="16"/>
      <c r="E3904">
        <v>6</v>
      </c>
      <c r="F3904" t="s">
        <v>6586</v>
      </c>
      <c r="G3904">
        <v>1</v>
      </c>
      <c r="H3904">
        <v>1</v>
      </c>
      <c r="I3904">
        <f>1</f>
        <v>1</v>
      </c>
    </row>
    <row r="3905" spans="2:9" x14ac:dyDescent="0.25">
      <c r="B3905">
        <v>0</v>
      </c>
      <c r="C3905" s="16" t="s">
        <v>13174</v>
      </c>
      <c r="D3905" s="16"/>
      <c r="E3905">
        <v>6</v>
      </c>
      <c r="F3905" t="s">
        <v>6587</v>
      </c>
      <c r="G3905">
        <v>1</v>
      </c>
      <c r="H3905">
        <v>1</v>
      </c>
      <c r="I3905">
        <f>1</f>
        <v>1</v>
      </c>
    </row>
    <row r="3906" spans="2:9" x14ac:dyDescent="0.25">
      <c r="B3906">
        <v>0</v>
      </c>
      <c r="C3906" s="16" t="s">
        <v>13175</v>
      </c>
      <c r="D3906" s="16"/>
      <c r="E3906">
        <v>6</v>
      </c>
      <c r="F3906" t="s">
        <v>6588</v>
      </c>
      <c r="G3906">
        <v>1</v>
      </c>
      <c r="H3906">
        <v>1</v>
      </c>
      <c r="I3906">
        <f>1</f>
        <v>1</v>
      </c>
    </row>
    <row r="3907" spans="2:9" x14ac:dyDescent="0.25">
      <c r="B3907">
        <v>0</v>
      </c>
      <c r="C3907" s="16" t="s">
        <v>13176</v>
      </c>
      <c r="D3907" s="16"/>
      <c r="E3907">
        <v>6</v>
      </c>
      <c r="F3907" t="s">
        <v>6589</v>
      </c>
      <c r="G3907">
        <v>1</v>
      </c>
      <c r="H3907">
        <v>1</v>
      </c>
      <c r="I3907">
        <f>1</f>
        <v>1</v>
      </c>
    </row>
    <row r="3908" spans="2:9" x14ac:dyDescent="0.25">
      <c r="B3908">
        <v>0</v>
      </c>
      <c r="C3908" s="16" t="s">
        <v>13177</v>
      </c>
      <c r="D3908" s="16"/>
      <c r="E3908">
        <v>6</v>
      </c>
      <c r="F3908" t="s">
        <v>4680</v>
      </c>
      <c r="G3908">
        <v>1</v>
      </c>
      <c r="H3908">
        <v>1</v>
      </c>
      <c r="I3908">
        <f>1</f>
        <v>1</v>
      </c>
    </row>
    <row r="3909" spans="2:9" x14ac:dyDescent="0.25">
      <c r="B3909">
        <v>0</v>
      </c>
      <c r="C3909" s="16" t="s">
        <v>13178</v>
      </c>
      <c r="D3909" s="16"/>
      <c r="E3909">
        <v>6</v>
      </c>
      <c r="F3909" t="s">
        <v>6590</v>
      </c>
      <c r="G3909">
        <v>1</v>
      </c>
      <c r="H3909">
        <v>1</v>
      </c>
      <c r="I3909">
        <f>1</f>
        <v>1</v>
      </c>
    </row>
    <row r="3910" spans="2:9" x14ac:dyDescent="0.25">
      <c r="B3910">
        <v>0</v>
      </c>
      <c r="C3910" s="16" t="s">
        <v>13179</v>
      </c>
      <c r="D3910" s="16"/>
      <c r="E3910">
        <v>6</v>
      </c>
      <c r="F3910" t="s">
        <v>6591</v>
      </c>
      <c r="G3910">
        <v>1</v>
      </c>
      <c r="H3910">
        <v>1</v>
      </c>
      <c r="I3910">
        <f>1</f>
        <v>1</v>
      </c>
    </row>
    <row r="3911" spans="2:9" x14ac:dyDescent="0.25">
      <c r="B3911">
        <v>0</v>
      </c>
      <c r="C3911" s="16" t="s">
        <v>13180</v>
      </c>
      <c r="D3911" s="16"/>
      <c r="E3911">
        <v>6</v>
      </c>
      <c r="F3911" t="s">
        <v>6592</v>
      </c>
      <c r="G3911">
        <v>1</v>
      </c>
      <c r="H3911">
        <v>1</v>
      </c>
      <c r="I3911">
        <f>1</f>
        <v>1</v>
      </c>
    </row>
    <row r="3912" spans="2:9" x14ac:dyDescent="0.25">
      <c r="B3912">
        <v>0</v>
      </c>
      <c r="C3912" s="16" t="s">
        <v>13181</v>
      </c>
      <c r="D3912" s="16"/>
      <c r="E3912">
        <v>6</v>
      </c>
      <c r="F3912" t="s">
        <v>4935</v>
      </c>
      <c r="G3912">
        <v>1</v>
      </c>
      <c r="H3912">
        <v>1</v>
      </c>
      <c r="I3912">
        <f>1</f>
        <v>1</v>
      </c>
    </row>
    <row r="3913" spans="2:9" x14ac:dyDescent="0.25">
      <c r="B3913">
        <v>0</v>
      </c>
      <c r="C3913" s="16" t="s">
        <v>13182</v>
      </c>
      <c r="D3913" s="16"/>
      <c r="E3913">
        <v>6</v>
      </c>
      <c r="F3913" t="s">
        <v>6593</v>
      </c>
      <c r="G3913">
        <v>1</v>
      </c>
      <c r="H3913">
        <v>1</v>
      </c>
      <c r="I3913">
        <f>1</f>
        <v>1</v>
      </c>
    </row>
    <row r="3914" spans="2:9" x14ac:dyDescent="0.25">
      <c r="B3914">
        <v>0</v>
      </c>
      <c r="C3914" s="16" t="s">
        <v>13183</v>
      </c>
      <c r="D3914" s="16"/>
      <c r="E3914">
        <v>6</v>
      </c>
      <c r="F3914" t="s">
        <v>4680</v>
      </c>
      <c r="G3914">
        <v>1</v>
      </c>
      <c r="H3914">
        <v>1</v>
      </c>
      <c r="I3914">
        <f>1</f>
        <v>1</v>
      </c>
    </row>
    <row r="3915" spans="2:9" x14ac:dyDescent="0.25">
      <c r="B3915">
        <v>0</v>
      </c>
      <c r="C3915" s="16" t="s">
        <v>13184</v>
      </c>
      <c r="D3915" s="16"/>
      <c r="E3915">
        <v>6</v>
      </c>
      <c r="F3915" t="s">
        <v>6594</v>
      </c>
      <c r="G3915">
        <v>1</v>
      </c>
      <c r="H3915">
        <v>1</v>
      </c>
      <c r="I3915">
        <f>1</f>
        <v>1</v>
      </c>
    </row>
    <row r="3916" spans="2:9" x14ac:dyDescent="0.25">
      <c r="B3916">
        <v>0</v>
      </c>
      <c r="C3916" s="16" t="s">
        <v>13185</v>
      </c>
      <c r="D3916" s="16"/>
      <c r="E3916">
        <v>6</v>
      </c>
      <c r="F3916" t="s">
        <v>6600</v>
      </c>
      <c r="G3916">
        <v>1</v>
      </c>
      <c r="H3916">
        <v>1</v>
      </c>
      <c r="I3916">
        <f>1</f>
        <v>1</v>
      </c>
    </row>
    <row r="3917" spans="2:9" x14ac:dyDescent="0.25">
      <c r="B3917">
        <v>0</v>
      </c>
      <c r="C3917" s="16" t="s">
        <v>13186</v>
      </c>
      <c r="D3917" s="16"/>
      <c r="E3917">
        <v>6</v>
      </c>
      <c r="F3917" t="s">
        <v>6601</v>
      </c>
      <c r="G3917">
        <v>1</v>
      </c>
      <c r="H3917">
        <v>1</v>
      </c>
      <c r="I3917">
        <f>1</f>
        <v>1</v>
      </c>
    </row>
    <row r="3918" spans="2:9" x14ac:dyDescent="0.25">
      <c r="B3918">
        <v>0</v>
      </c>
      <c r="C3918" s="16" t="s">
        <v>13187</v>
      </c>
      <c r="D3918" s="16"/>
      <c r="E3918">
        <v>6</v>
      </c>
      <c r="F3918" t="s">
        <v>6602</v>
      </c>
      <c r="G3918">
        <v>1</v>
      </c>
      <c r="H3918">
        <v>1</v>
      </c>
      <c r="I3918">
        <f>1</f>
        <v>1</v>
      </c>
    </row>
    <row r="3919" spans="2:9" x14ac:dyDescent="0.25">
      <c r="B3919">
        <v>0</v>
      </c>
      <c r="C3919" s="16" t="s">
        <v>13188</v>
      </c>
      <c r="D3919" s="16"/>
      <c r="E3919">
        <v>6</v>
      </c>
      <c r="F3919" t="s">
        <v>6603</v>
      </c>
      <c r="G3919">
        <v>1</v>
      </c>
      <c r="H3919">
        <v>1</v>
      </c>
      <c r="I3919">
        <f>1</f>
        <v>1</v>
      </c>
    </row>
    <row r="3920" spans="2:9" x14ac:dyDescent="0.25">
      <c r="B3920">
        <v>0</v>
      </c>
      <c r="C3920" s="16" t="s">
        <v>13189</v>
      </c>
      <c r="D3920" s="16"/>
      <c r="E3920">
        <v>6</v>
      </c>
      <c r="F3920" t="s">
        <v>6604</v>
      </c>
      <c r="G3920">
        <v>1</v>
      </c>
      <c r="H3920">
        <v>1</v>
      </c>
      <c r="I3920">
        <f>1</f>
        <v>1</v>
      </c>
    </row>
    <row r="3921" spans="2:9" x14ac:dyDescent="0.25">
      <c r="B3921">
        <v>0</v>
      </c>
      <c r="C3921" s="16" t="s">
        <v>13190</v>
      </c>
      <c r="D3921" s="16"/>
      <c r="E3921">
        <v>6</v>
      </c>
      <c r="F3921" t="s">
        <v>4680</v>
      </c>
      <c r="G3921">
        <v>1</v>
      </c>
      <c r="H3921">
        <v>1</v>
      </c>
      <c r="I3921">
        <f>1</f>
        <v>1</v>
      </c>
    </row>
    <row r="3922" spans="2:9" x14ac:dyDescent="0.25">
      <c r="B3922">
        <v>0</v>
      </c>
      <c r="C3922" s="16" t="s">
        <v>13191</v>
      </c>
      <c r="D3922" s="16"/>
      <c r="E3922">
        <v>6</v>
      </c>
      <c r="F3922" t="s">
        <v>6605</v>
      </c>
      <c r="G3922">
        <v>1</v>
      </c>
      <c r="H3922">
        <v>1</v>
      </c>
      <c r="I3922">
        <f>1</f>
        <v>1</v>
      </c>
    </row>
    <row r="3923" spans="2:9" x14ac:dyDescent="0.25">
      <c r="B3923">
        <v>0</v>
      </c>
      <c r="C3923" s="16" t="s">
        <v>13192</v>
      </c>
      <c r="D3923" s="16"/>
      <c r="E3923">
        <v>6</v>
      </c>
      <c r="F3923" t="s">
        <v>6606</v>
      </c>
      <c r="G3923">
        <v>1</v>
      </c>
      <c r="H3923">
        <v>1</v>
      </c>
      <c r="I3923">
        <f>1</f>
        <v>1</v>
      </c>
    </row>
    <row r="3924" spans="2:9" x14ac:dyDescent="0.25">
      <c r="B3924">
        <v>0</v>
      </c>
      <c r="C3924" s="16" t="s">
        <v>13193</v>
      </c>
      <c r="D3924" s="16"/>
      <c r="E3924">
        <v>6</v>
      </c>
      <c r="F3924" t="s">
        <v>4680</v>
      </c>
      <c r="G3924">
        <v>1</v>
      </c>
      <c r="H3924">
        <v>1</v>
      </c>
      <c r="I3924">
        <f>1</f>
        <v>1</v>
      </c>
    </row>
    <row r="3925" spans="2:9" x14ac:dyDescent="0.25">
      <c r="B3925">
        <v>0</v>
      </c>
      <c r="C3925" s="16" t="s">
        <v>13194</v>
      </c>
      <c r="D3925" s="16"/>
      <c r="E3925">
        <v>6</v>
      </c>
      <c r="F3925" t="s">
        <v>6607</v>
      </c>
      <c r="G3925">
        <v>1</v>
      </c>
      <c r="H3925">
        <v>1</v>
      </c>
      <c r="I3925">
        <f>1</f>
        <v>1</v>
      </c>
    </row>
    <row r="3926" spans="2:9" x14ac:dyDescent="0.25">
      <c r="B3926">
        <v>0</v>
      </c>
      <c r="C3926" s="16" t="s">
        <v>13195</v>
      </c>
      <c r="D3926" s="16"/>
      <c r="E3926">
        <v>6</v>
      </c>
      <c r="F3926" t="s">
        <v>4680</v>
      </c>
      <c r="G3926">
        <v>1</v>
      </c>
      <c r="H3926">
        <v>1</v>
      </c>
      <c r="I3926">
        <f>1</f>
        <v>1</v>
      </c>
    </row>
    <row r="3927" spans="2:9" x14ac:dyDescent="0.25">
      <c r="B3927">
        <v>0</v>
      </c>
      <c r="C3927" s="16" t="s">
        <v>13196</v>
      </c>
      <c r="D3927" s="16"/>
      <c r="E3927">
        <v>6</v>
      </c>
      <c r="F3927" t="s">
        <v>6608</v>
      </c>
      <c r="G3927">
        <v>1</v>
      </c>
      <c r="H3927">
        <v>1</v>
      </c>
      <c r="I3927">
        <f>1</f>
        <v>1</v>
      </c>
    </row>
    <row r="3928" spans="2:9" x14ac:dyDescent="0.25">
      <c r="B3928">
        <v>0</v>
      </c>
      <c r="C3928" s="16" t="s">
        <v>13197</v>
      </c>
      <c r="D3928" s="16"/>
      <c r="E3928">
        <v>6</v>
      </c>
      <c r="F3928" t="s">
        <v>6609</v>
      </c>
      <c r="G3928">
        <v>1</v>
      </c>
      <c r="H3928">
        <v>1</v>
      </c>
      <c r="I3928">
        <f>1</f>
        <v>1</v>
      </c>
    </row>
    <row r="3929" spans="2:9" x14ac:dyDescent="0.25">
      <c r="B3929">
        <v>0</v>
      </c>
      <c r="C3929" s="16" t="s">
        <v>13198</v>
      </c>
      <c r="D3929" s="16"/>
      <c r="E3929">
        <v>6</v>
      </c>
      <c r="F3929" t="s">
        <v>4680</v>
      </c>
      <c r="G3929">
        <v>1</v>
      </c>
      <c r="H3929">
        <v>1</v>
      </c>
      <c r="I3929">
        <f>1</f>
        <v>1</v>
      </c>
    </row>
    <row r="3930" spans="2:9" x14ac:dyDescent="0.25">
      <c r="B3930">
        <v>0</v>
      </c>
      <c r="C3930" s="16" t="s">
        <v>13199</v>
      </c>
      <c r="D3930" s="16"/>
      <c r="E3930">
        <v>6</v>
      </c>
      <c r="F3930" t="e">
        <f>-Reagentes destinados à determinação dos grupos ou dos fatores sanguíneos</f>
        <v>#NAME?</v>
      </c>
      <c r="G3930">
        <v>1</v>
      </c>
      <c r="H3930">
        <v>1</v>
      </c>
      <c r="I3930">
        <f>1</f>
        <v>1</v>
      </c>
    </row>
    <row r="3931" spans="2:9" x14ac:dyDescent="0.25">
      <c r="B3931">
        <v>0</v>
      </c>
      <c r="C3931" s="16" t="s">
        <v>13200</v>
      </c>
      <c r="D3931" s="16"/>
      <c r="E3931">
        <v>6</v>
      </c>
      <c r="F3931" t="s">
        <v>6610</v>
      </c>
      <c r="G3931">
        <v>1</v>
      </c>
      <c r="H3931">
        <v>1</v>
      </c>
      <c r="I3931">
        <f>1</f>
        <v>1</v>
      </c>
    </row>
    <row r="3932" spans="2:9" x14ac:dyDescent="0.25">
      <c r="B3932">
        <v>0</v>
      </c>
      <c r="C3932" s="16" t="s">
        <v>13201</v>
      </c>
      <c r="D3932" s="16"/>
      <c r="E3932">
        <v>6</v>
      </c>
      <c r="F3932" t="s">
        <v>6611</v>
      </c>
      <c r="G3932">
        <v>1</v>
      </c>
      <c r="H3932">
        <v>1</v>
      </c>
      <c r="I3932">
        <f>1</f>
        <v>1</v>
      </c>
    </row>
    <row r="3933" spans="2:9" x14ac:dyDescent="0.25">
      <c r="B3933">
        <v>0</v>
      </c>
      <c r="C3933" s="16" t="s">
        <v>13202</v>
      </c>
      <c r="D3933" s="16"/>
      <c r="E3933">
        <v>6</v>
      </c>
      <c r="F3933" t="s">
        <v>6612</v>
      </c>
      <c r="G3933">
        <v>1</v>
      </c>
      <c r="H3933">
        <v>1</v>
      </c>
      <c r="I3933">
        <f>1</f>
        <v>1</v>
      </c>
    </row>
    <row r="3934" spans="2:9" x14ac:dyDescent="0.25">
      <c r="B3934">
        <v>0</v>
      </c>
      <c r="C3934" s="16" t="s">
        <v>13203</v>
      </c>
      <c r="D3934" s="16"/>
      <c r="E3934">
        <v>6</v>
      </c>
      <c r="F3934" t="s">
        <v>6613</v>
      </c>
      <c r="G3934">
        <v>1</v>
      </c>
      <c r="H3934">
        <v>1</v>
      </c>
      <c r="I3934">
        <f>1</f>
        <v>1</v>
      </c>
    </row>
    <row r="3935" spans="2:9" x14ac:dyDescent="0.25">
      <c r="B3935">
        <v>0</v>
      </c>
      <c r="C3935" s="16" t="s">
        <v>13204</v>
      </c>
      <c r="D3935" s="16"/>
      <c r="E3935">
        <v>6</v>
      </c>
      <c r="F3935" t="s">
        <v>6614</v>
      </c>
      <c r="G3935">
        <v>1</v>
      </c>
      <c r="H3935">
        <v>1</v>
      </c>
      <c r="I3935">
        <f>1</f>
        <v>1</v>
      </c>
    </row>
    <row r="3936" spans="2:9" x14ac:dyDescent="0.25">
      <c r="B3936">
        <v>0</v>
      </c>
      <c r="C3936" s="16" t="s">
        <v>13205</v>
      </c>
      <c r="D3936" s="16"/>
      <c r="E3936">
        <v>6</v>
      </c>
      <c r="F3936" t="s">
        <v>6615</v>
      </c>
      <c r="G3936">
        <v>1</v>
      </c>
      <c r="H3936">
        <v>1</v>
      </c>
      <c r="I3936">
        <f>1</f>
        <v>1</v>
      </c>
    </row>
    <row r="3937" spans="2:9" x14ac:dyDescent="0.25">
      <c r="B3937">
        <v>0</v>
      </c>
      <c r="C3937" s="16" t="s">
        <v>13206</v>
      </c>
      <c r="D3937" s="16"/>
      <c r="E3937">
        <v>6</v>
      </c>
      <c r="F3937" t="s">
        <v>6616</v>
      </c>
      <c r="G3937">
        <v>1</v>
      </c>
      <c r="H3937">
        <v>1</v>
      </c>
      <c r="I3937">
        <f>1</f>
        <v>1</v>
      </c>
    </row>
    <row r="3938" spans="2:9" x14ac:dyDescent="0.25">
      <c r="B3938">
        <v>0</v>
      </c>
      <c r="C3938" s="16" t="s">
        <v>13207</v>
      </c>
      <c r="D3938" s="16"/>
      <c r="E3938">
        <v>6</v>
      </c>
      <c r="F3938" t="s">
        <v>4690</v>
      </c>
      <c r="G3938">
        <v>1</v>
      </c>
      <c r="H3938">
        <v>1</v>
      </c>
      <c r="I3938">
        <f>1</f>
        <v>1</v>
      </c>
    </row>
    <row r="3939" spans="2:9" x14ac:dyDescent="0.25">
      <c r="B3939">
        <v>0</v>
      </c>
      <c r="C3939" s="16" t="s">
        <v>13208</v>
      </c>
      <c r="D3939" s="16"/>
      <c r="E3939">
        <v>6</v>
      </c>
      <c r="F3939" t="s">
        <v>6617</v>
      </c>
      <c r="G3939">
        <v>1</v>
      </c>
      <c r="H3939">
        <v>1</v>
      </c>
      <c r="I3939">
        <f>1</f>
        <v>1</v>
      </c>
    </row>
    <row r="3940" spans="2:9" x14ac:dyDescent="0.25">
      <c r="B3940">
        <v>0</v>
      </c>
      <c r="C3940" s="16" t="s">
        <v>13209</v>
      </c>
      <c r="D3940" s="16"/>
      <c r="E3940">
        <v>6</v>
      </c>
      <c r="F3940" t="s">
        <v>4680</v>
      </c>
      <c r="G3940">
        <v>1</v>
      </c>
      <c r="H3940">
        <v>1</v>
      </c>
      <c r="I3940">
        <f>1</f>
        <v>1</v>
      </c>
    </row>
    <row r="3941" spans="2:9" x14ac:dyDescent="0.25">
      <c r="B3941">
        <v>0</v>
      </c>
      <c r="C3941" s="16" t="s">
        <v>13210</v>
      </c>
      <c r="D3941" s="16"/>
      <c r="E3941">
        <v>6</v>
      </c>
      <c r="F3941" t="s">
        <v>6618</v>
      </c>
      <c r="G3941">
        <v>1</v>
      </c>
      <c r="H3941">
        <v>1</v>
      </c>
      <c r="I3941">
        <f>1</f>
        <v>1</v>
      </c>
    </row>
    <row r="3942" spans="2:9" x14ac:dyDescent="0.25">
      <c r="B3942">
        <v>0</v>
      </c>
      <c r="C3942" s="16" t="s">
        <v>13211</v>
      </c>
      <c r="D3942" s="16"/>
      <c r="E3942">
        <v>6</v>
      </c>
      <c r="F3942" t="s">
        <v>6619</v>
      </c>
      <c r="G3942">
        <v>1</v>
      </c>
      <c r="H3942">
        <v>1</v>
      </c>
      <c r="I3942">
        <f>1</f>
        <v>1</v>
      </c>
    </row>
    <row r="3943" spans="2:9" x14ac:dyDescent="0.25">
      <c r="B3943">
        <v>0</v>
      </c>
      <c r="C3943" s="16" t="s">
        <v>13212</v>
      </c>
      <c r="D3943" s="16"/>
      <c r="E3943">
        <v>6</v>
      </c>
      <c r="F3943" t="s">
        <v>6620</v>
      </c>
      <c r="G3943">
        <v>1</v>
      </c>
      <c r="H3943">
        <v>1</v>
      </c>
      <c r="I3943">
        <f>1</f>
        <v>1</v>
      </c>
    </row>
    <row r="3944" spans="2:9" x14ac:dyDescent="0.25">
      <c r="B3944">
        <v>0</v>
      </c>
      <c r="C3944" s="16" t="s">
        <v>13213</v>
      </c>
      <c r="D3944" s="16"/>
      <c r="E3944">
        <v>6</v>
      </c>
      <c r="F3944" t="s">
        <v>6621</v>
      </c>
      <c r="G3944">
        <v>1</v>
      </c>
      <c r="H3944">
        <v>1</v>
      </c>
      <c r="I3944">
        <f>1</f>
        <v>1</v>
      </c>
    </row>
    <row r="3945" spans="2:9" x14ac:dyDescent="0.25">
      <c r="B3945">
        <v>0</v>
      </c>
      <c r="C3945" s="16" t="s">
        <v>13214</v>
      </c>
      <c r="D3945" s="16"/>
      <c r="E3945">
        <v>6</v>
      </c>
      <c r="F3945" t="s">
        <v>6622</v>
      </c>
      <c r="G3945">
        <v>1</v>
      </c>
      <c r="H3945">
        <v>1</v>
      </c>
      <c r="I3945">
        <f>1</f>
        <v>1</v>
      </c>
    </row>
    <row r="3946" spans="2:9" x14ac:dyDescent="0.25">
      <c r="B3946">
        <v>0</v>
      </c>
      <c r="C3946" s="16" t="s">
        <v>13215</v>
      </c>
      <c r="D3946" s="16"/>
      <c r="E3946">
        <v>6</v>
      </c>
      <c r="F3946" t="s">
        <v>6623</v>
      </c>
      <c r="G3946">
        <v>1</v>
      </c>
      <c r="H3946">
        <v>1</v>
      </c>
      <c r="I3946">
        <f>1</f>
        <v>1</v>
      </c>
    </row>
    <row r="3947" spans="2:9" x14ac:dyDescent="0.25">
      <c r="B3947">
        <v>0</v>
      </c>
      <c r="C3947" s="16" t="s">
        <v>13216</v>
      </c>
      <c r="D3947" s="16"/>
      <c r="E3947">
        <v>6</v>
      </c>
      <c r="F3947" t="s">
        <v>6624</v>
      </c>
      <c r="G3947">
        <v>1</v>
      </c>
      <c r="H3947">
        <v>1</v>
      </c>
      <c r="I3947">
        <f>1</f>
        <v>1</v>
      </c>
    </row>
    <row r="3948" spans="2:9" x14ac:dyDescent="0.25">
      <c r="B3948">
        <v>0</v>
      </c>
      <c r="C3948" s="16" t="s">
        <v>13217</v>
      </c>
      <c r="D3948" s="16"/>
      <c r="E3948">
        <v>6</v>
      </c>
      <c r="F3948" t="s">
        <v>4680</v>
      </c>
      <c r="G3948">
        <v>1</v>
      </c>
      <c r="H3948">
        <v>1</v>
      </c>
      <c r="I3948">
        <f>1</f>
        <v>1</v>
      </c>
    </row>
    <row r="3949" spans="2:9" x14ac:dyDescent="0.25">
      <c r="B3949">
        <v>0</v>
      </c>
      <c r="C3949" s="16" t="s">
        <v>13218</v>
      </c>
      <c r="D3949" s="16"/>
      <c r="E3949">
        <v>6</v>
      </c>
      <c r="F3949" t="e">
        <f>--desperdícios farmacêuticos</f>
        <v>#NAME?</v>
      </c>
      <c r="G3949">
        <v>1</v>
      </c>
      <c r="H3949">
        <v>1</v>
      </c>
      <c r="I3949">
        <f>1</f>
        <v>1</v>
      </c>
    </row>
    <row r="3950" spans="2:9" x14ac:dyDescent="0.25">
      <c r="B3950">
        <v>0</v>
      </c>
      <c r="C3950" s="16" t="s">
        <v>13219</v>
      </c>
      <c r="D3950" s="16"/>
      <c r="E3950">
        <v>6</v>
      </c>
      <c r="F3950" t="s">
        <v>6625</v>
      </c>
      <c r="G3950">
        <v>1</v>
      </c>
      <c r="H3950">
        <v>0</v>
      </c>
      <c r="I3950">
        <f>1</f>
        <v>1</v>
      </c>
    </row>
    <row r="3951" spans="2:9" x14ac:dyDescent="0.25">
      <c r="B3951">
        <v>0</v>
      </c>
      <c r="C3951" s="16" t="s">
        <v>13220</v>
      </c>
      <c r="D3951" s="16"/>
      <c r="E3951">
        <v>6</v>
      </c>
      <c r="F3951" t="s">
        <v>6626</v>
      </c>
      <c r="G3951">
        <v>1</v>
      </c>
      <c r="H3951">
        <v>0</v>
      </c>
      <c r="I3951">
        <f>1</f>
        <v>1</v>
      </c>
    </row>
    <row r="3952" spans="2:9" x14ac:dyDescent="0.25">
      <c r="B3952">
        <v>0</v>
      </c>
      <c r="C3952" s="16" t="s">
        <v>13221</v>
      </c>
      <c r="D3952" s="16"/>
      <c r="E3952">
        <v>6</v>
      </c>
      <c r="F3952" t="s">
        <v>5055</v>
      </c>
      <c r="G3952">
        <v>1</v>
      </c>
      <c r="H3952">
        <v>0</v>
      </c>
      <c r="I3952">
        <f>1</f>
        <v>1</v>
      </c>
    </row>
    <row r="3953" spans="2:9" x14ac:dyDescent="0.25">
      <c r="B3953">
        <v>0</v>
      </c>
      <c r="C3953" s="16" t="s">
        <v>13222</v>
      </c>
      <c r="D3953" s="16"/>
      <c r="E3953">
        <v>6</v>
      </c>
      <c r="F3953" t="e">
        <f>--Sulfato De amônio</f>
        <v>#NAME?</v>
      </c>
      <c r="G3953">
        <v>1</v>
      </c>
      <c r="H3953">
        <v>0</v>
      </c>
      <c r="I3953">
        <f>1</f>
        <v>1</v>
      </c>
    </row>
    <row r="3954" spans="2:9" x14ac:dyDescent="0.25">
      <c r="B3954">
        <v>0</v>
      </c>
      <c r="C3954" s="16" t="s">
        <v>13223</v>
      </c>
      <c r="D3954" s="16"/>
      <c r="E3954">
        <v>6</v>
      </c>
      <c r="F3954" t="s">
        <v>6627</v>
      </c>
      <c r="G3954">
        <v>1</v>
      </c>
      <c r="H3954">
        <v>0</v>
      </c>
      <c r="I3954">
        <f>1</f>
        <v>1</v>
      </c>
    </row>
    <row r="3955" spans="2:9" x14ac:dyDescent="0.25">
      <c r="B3955">
        <v>0</v>
      </c>
      <c r="C3955" s="16" t="s">
        <v>13224</v>
      </c>
      <c r="D3955" s="16"/>
      <c r="E3955">
        <v>6</v>
      </c>
      <c r="F3955" t="s">
        <v>4680</v>
      </c>
      <c r="G3955">
        <v>1</v>
      </c>
      <c r="H3955">
        <v>0</v>
      </c>
      <c r="I3955">
        <f>1</f>
        <v>1</v>
      </c>
    </row>
    <row r="3956" spans="2:9" x14ac:dyDescent="0.25">
      <c r="B3956">
        <v>0</v>
      </c>
      <c r="C3956" s="16" t="s">
        <v>13225</v>
      </c>
      <c r="D3956" s="16"/>
      <c r="E3956">
        <v>6</v>
      </c>
      <c r="F3956" t="s">
        <v>6628</v>
      </c>
      <c r="G3956">
        <v>1</v>
      </c>
      <c r="H3956">
        <v>0</v>
      </c>
      <c r="I3956">
        <f>1</f>
        <v>1</v>
      </c>
    </row>
    <row r="3957" spans="2:9" x14ac:dyDescent="0.25">
      <c r="B3957">
        <v>0</v>
      </c>
      <c r="C3957" s="16" t="s">
        <v>13226</v>
      </c>
      <c r="D3957" s="16"/>
      <c r="E3957">
        <v>6</v>
      </c>
      <c r="F3957" t="e">
        <f>-Misturas De Nitrato De amônio Com Carbonato De Cálcio ou Com Outras matérias inorgânicas desprovidas De poder fertilizante</f>
        <v>#NAME?</v>
      </c>
      <c r="G3957">
        <v>1</v>
      </c>
      <c r="H3957">
        <v>0</v>
      </c>
      <c r="I3957">
        <f>1</f>
        <v>1</v>
      </c>
    </row>
    <row r="3958" spans="2:9" x14ac:dyDescent="0.25">
      <c r="B3958">
        <v>0</v>
      </c>
      <c r="C3958" s="16" t="s">
        <v>13227</v>
      </c>
      <c r="D3958" s="16"/>
      <c r="E3958">
        <v>6</v>
      </c>
      <c r="F3958" t="s">
        <v>6629</v>
      </c>
      <c r="G3958">
        <v>1</v>
      </c>
      <c r="H3958">
        <v>0</v>
      </c>
      <c r="I3958">
        <f>1</f>
        <v>1</v>
      </c>
    </row>
    <row r="3959" spans="2:9" x14ac:dyDescent="0.25">
      <c r="B3959">
        <v>0</v>
      </c>
      <c r="C3959" s="16" t="s">
        <v>13228</v>
      </c>
      <c r="D3959" s="16"/>
      <c r="E3959">
        <v>6</v>
      </c>
      <c r="F3959" t="s">
        <v>6630</v>
      </c>
      <c r="G3959">
        <v>1</v>
      </c>
      <c r="H3959">
        <v>0</v>
      </c>
      <c r="I3959">
        <f>1</f>
        <v>1</v>
      </c>
    </row>
    <row r="3960" spans="2:9" x14ac:dyDescent="0.25">
      <c r="B3960">
        <v>0</v>
      </c>
      <c r="C3960" s="16" t="s">
        <v>13229</v>
      </c>
      <c r="D3960" s="16"/>
      <c r="E3960">
        <v>6</v>
      </c>
      <c r="F3960" t="s">
        <v>6630</v>
      </c>
      <c r="G3960">
        <v>1</v>
      </c>
      <c r="H3960">
        <v>0</v>
      </c>
      <c r="I3960">
        <f>1</f>
        <v>1</v>
      </c>
    </row>
    <row r="3961" spans="2:9" x14ac:dyDescent="0.25">
      <c r="B3961">
        <v>0</v>
      </c>
      <c r="C3961" s="16" t="s">
        <v>13229</v>
      </c>
      <c r="D3961" s="16" t="s">
        <v>19430</v>
      </c>
      <c r="E3961">
        <v>6</v>
      </c>
      <c r="F3961" t="s">
        <v>6631</v>
      </c>
      <c r="G3961">
        <v>1</v>
      </c>
      <c r="H3961">
        <v>0</v>
      </c>
      <c r="I3961">
        <f>1</f>
        <v>1</v>
      </c>
    </row>
    <row r="3962" spans="2:9" x14ac:dyDescent="0.25">
      <c r="B3962">
        <v>0</v>
      </c>
      <c r="C3962" s="16" t="s">
        <v>13230</v>
      </c>
      <c r="D3962" s="16"/>
      <c r="E3962">
        <v>6</v>
      </c>
      <c r="F3962" t="e">
        <f>-sais duplos e Misturas De Nitrato De Cálcio e Nitrato De amônio</f>
        <v>#NAME?</v>
      </c>
      <c r="G3962">
        <v>1</v>
      </c>
      <c r="H3962">
        <v>0</v>
      </c>
      <c r="I3962">
        <f>1</f>
        <v>1</v>
      </c>
    </row>
    <row r="3963" spans="2:9" x14ac:dyDescent="0.25">
      <c r="B3963">
        <v>0</v>
      </c>
      <c r="C3963" s="16" t="s">
        <v>13231</v>
      </c>
      <c r="D3963" s="16"/>
      <c r="E3963">
        <v>6</v>
      </c>
      <c r="F3963" t="e">
        <f>-Misturas De ureia Com Nitrato De amônio em soluções aquosas ou amoniacais</f>
        <v>#NAME?</v>
      </c>
      <c r="G3963">
        <v>1</v>
      </c>
      <c r="H3963">
        <v>0</v>
      </c>
      <c r="I3963">
        <f>1</f>
        <v>1</v>
      </c>
    </row>
    <row r="3964" spans="2:9" x14ac:dyDescent="0.25">
      <c r="B3964">
        <v>0</v>
      </c>
      <c r="C3964" s="16" t="s">
        <v>13232</v>
      </c>
      <c r="D3964" s="16"/>
      <c r="E3964">
        <v>6</v>
      </c>
      <c r="F3964" t="s">
        <v>6632</v>
      </c>
      <c r="G3964">
        <v>1</v>
      </c>
      <c r="H3964">
        <v>0</v>
      </c>
      <c r="I3964">
        <f>1</f>
        <v>1</v>
      </c>
    </row>
    <row r="3965" spans="2:9" x14ac:dyDescent="0.25">
      <c r="B3965">
        <v>0</v>
      </c>
      <c r="C3965" s="16" t="s">
        <v>13232</v>
      </c>
      <c r="D3965" s="16" t="s">
        <v>19430</v>
      </c>
      <c r="E3965">
        <v>6</v>
      </c>
      <c r="F3965" t="s">
        <v>6633</v>
      </c>
      <c r="G3965">
        <v>1</v>
      </c>
      <c r="H3965">
        <v>0</v>
      </c>
      <c r="I3965">
        <f>1</f>
        <v>1</v>
      </c>
    </row>
    <row r="3966" spans="2:9" x14ac:dyDescent="0.25">
      <c r="B3966">
        <v>0</v>
      </c>
      <c r="C3966" s="16" t="s">
        <v>13233</v>
      </c>
      <c r="D3966" s="16"/>
      <c r="E3966">
        <v>6</v>
      </c>
      <c r="F3966" t="s">
        <v>6634</v>
      </c>
      <c r="G3966">
        <v>1</v>
      </c>
      <c r="H3966">
        <v>0</v>
      </c>
      <c r="I3966">
        <f>1</f>
        <v>1</v>
      </c>
    </row>
    <row r="3967" spans="2:9" x14ac:dyDescent="0.25">
      <c r="B3967">
        <v>0</v>
      </c>
      <c r="C3967" s="16" t="s">
        <v>13234</v>
      </c>
      <c r="D3967" s="16"/>
      <c r="E3967">
        <v>6</v>
      </c>
      <c r="F3967" t="s">
        <v>6635</v>
      </c>
      <c r="G3967">
        <v>1</v>
      </c>
      <c r="H3967">
        <v>0</v>
      </c>
      <c r="I3967">
        <f>1</f>
        <v>1</v>
      </c>
    </row>
    <row r="3968" spans="2:9" x14ac:dyDescent="0.25">
      <c r="B3968">
        <v>0</v>
      </c>
      <c r="C3968" s="16" t="s">
        <v>13235</v>
      </c>
      <c r="D3968" s="16"/>
      <c r="E3968">
        <v>6</v>
      </c>
      <c r="F3968" t="s">
        <v>6636</v>
      </c>
      <c r="G3968">
        <v>1</v>
      </c>
      <c r="H3968">
        <v>0</v>
      </c>
      <c r="I3968">
        <f>1</f>
        <v>1</v>
      </c>
    </row>
    <row r="3969" spans="2:9" x14ac:dyDescent="0.25">
      <c r="B3969">
        <v>0</v>
      </c>
      <c r="C3969" s="16" t="s">
        <v>13236</v>
      </c>
      <c r="D3969" s="16"/>
      <c r="E3969">
        <v>6</v>
      </c>
      <c r="F3969" t="s">
        <v>6637</v>
      </c>
      <c r="G3969">
        <v>1</v>
      </c>
      <c r="H3969">
        <v>0</v>
      </c>
      <c r="I3969">
        <f>1</f>
        <v>1</v>
      </c>
    </row>
    <row r="3970" spans="2:9" x14ac:dyDescent="0.25">
      <c r="B3970">
        <v>0</v>
      </c>
      <c r="C3970" s="16" t="s">
        <v>13237</v>
      </c>
      <c r="D3970" s="16"/>
      <c r="E3970">
        <v>6</v>
      </c>
      <c r="F3970" t="s">
        <v>4680</v>
      </c>
      <c r="G3970">
        <v>1</v>
      </c>
      <c r="H3970">
        <v>0</v>
      </c>
      <c r="I3970">
        <f>1</f>
        <v>1</v>
      </c>
    </row>
    <row r="3971" spans="2:9" x14ac:dyDescent="0.25">
      <c r="B3971">
        <v>0</v>
      </c>
      <c r="C3971" s="16" t="s">
        <v>13238</v>
      </c>
      <c r="D3971" s="16"/>
      <c r="E3971">
        <v>6</v>
      </c>
      <c r="F3971" t="s">
        <v>4680</v>
      </c>
      <c r="G3971">
        <v>1</v>
      </c>
      <c r="H3971">
        <v>0</v>
      </c>
      <c r="I3971">
        <f>1</f>
        <v>1</v>
      </c>
    </row>
    <row r="3972" spans="2:9" x14ac:dyDescent="0.25">
      <c r="B3972">
        <v>0</v>
      </c>
      <c r="C3972" s="16" t="s">
        <v>13239</v>
      </c>
      <c r="D3972" s="16"/>
      <c r="E3972">
        <v>6</v>
      </c>
      <c r="F3972" t="s">
        <v>6638</v>
      </c>
      <c r="G3972">
        <v>1</v>
      </c>
      <c r="H3972">
        <v>0</v>
      </c>
      <c r="I3972">
        <f>1</f>
        <v>1</v>
      </c>
    </row>
    <row r="3973" spans="2:9" x14ac:dyDescent="0.25">
      <c r="B3973">
        <v>0</v>
      </c>
      <c r="C3973" s="16" t="s">
        <v>13240</v>
      </c>
      <c r="D3973" s="16"/>
      <c r="E3973">
        <v>6</v>
      </c>
      <c r="F3973" t="s">
        <v>4680</v>
      </c>
      <c r="G3973">
        <v>1</v>
      </c>
      <c r="H3973">
        <v>0</v>
      </c>
      <c r="I3973">
        <f>1</f>
        <v>1</v>
      </c>
    </row>
    <row r="3974" spans="2:9" x14ac:dyDescent="0.25">
      <c r="B3974">
        <v>0</v>
      </c>
      <c r="C3974" s="16" t="s">
        <v>13241</v>
      </c>
      <c r="D3974" s="16"/>
      <c r="E3974">
        <v>6</v>
      </c>
      <c r="F3974" t="s">
        <v>6639</v>
      </c>
      <c r="G3974">
        <v>1</v>
      </c>
      <c r="H3974">
        <v>0</v>
      </c>
      <c r="I3974">
        <f>1</f>
        <v>1</v>
      </c>
    </row>
    <row r="3975" spans="2:9" x14ac:dyDescent="0.25">
      <c r="B3975">
        <v>0</v>
      </c>
      <c r="C3975" s="16" t="s">
        <v>13242</v>
      </c>
      <c r="D3975" s="16"/>
      <c r="E3975">
        <v>6</v>
      </c>
      <c r="F3975" t="s">
        <v>4680</v>
      </c>
      <c r="G3975">
        <v>1</v>
      </c>
      <c r="H3975">
        <v>0</v>
      </c>
      <c r="I3975">
        <f>1</f>
        <v>1</v>
      </c>
    </row>
    <row r="3976" spans="2:9" x14ac:dyDescent="0.25">
      <c r="B3976">
        <v>0</v>
      </c>
      <c r="C3976" s="16" t="s">
        <v>13243</v>
      </c>
      <c r="D3976" s="16"/>
      <c r="E3976">
        <v>6</v>
      </c>
      <c r="F3976" t="s">
        <v>6640</v>
      </c>
      <c r="G3976">
        <v>1</v>
      </c>
      <c r="H3976">
        <v>0</v>
      </c>
      <c r="I3976">
        <f>1</f>
        <v>1</v>
      </c>
    </row>
    <row r="3977" spans="2:9" x14ac:dyDescent="0.25">
      <c r="B3977">
        <v>0</v>
      </c>
      <c r="C3977" s="16" t="s">
        <v>13244</v>
      </c>
      <c r="D3977" s="16"/>
      <c r="E3977">
        <v>6</v>
      </c>
      <c r="F3977" t="s">
        <v>4680</v>
      </c>
      <c r="G3977">
        <v>1</v>
      </c>
      <c r="H3977">
        <v>0</v>
      </c>
      <c r="I3977">
        <f>1</f>
        <v>1</v>
      </c>
    </row>
    <row r="3978" spans="2:9" x14ac:dyDescent="0.25">
      <c r="B3978">
        <v>0</v>
      </c>
      <c r="C3978" s="16" t="s">
        <v>13245</v>
      </c>
      <c r="D3978" s="16"/>
      <c r="E3978">
        <v>6</v>
      </c>
      <c r="F3978" t="s">
        <v>6641</v>
      </c>
      <c r="G3978">
        <v>1</v>
      </c>
      <c r="H3978">
        <v>0</v>
      </c>
      <c r="I3978">
        <f>1</f>
        <v>1</v>
      </c>
    </row>
    <row r="3979" spans="2:9" x14ac:dyDescent="0.25">
      <c r="B3979">
        <v>0</v>
      </c>
      <c r="C3979" s="16" t="s">
        <v>13245</v>
      </c>
      <c r="D3979" s="16" t="s">
        <v>19430</v>
      </c>
      <c r="E3979">
        <v>6</v>
      </c>
      <c r="F3979" t="s">
        <v>6642</v>
      </c>
      <c r="G3979">
        <v>1</v>
      </c>
      <c r="H3979">
        <v>0</v>
      </c>
      <c r="I3979">
        <f>1</f>
        <v>1</v>
      </c>
    </row>
    <row r="3980" spans="2:9" x14ac:dyDescent="0.25">
      <c r="B3980">
        <v>0</v>
      </c>
      <c r="C3980" s="16" t="s">
        <v>13245</v>
      </c>
      <c r="D3980" s="16" t="s">
        <v>19431</v>
      </c>
      <c r="E3980">
        <v>6</v>
      </c>
      <c r="F3980" t="s">
        <v>6643</v>
      </c>
      <c r="G3980">
        <v>1</v>
      </c>
      <c r="H3980">
        <v>0</v>
      </c>
      <c r="I3980">
        <f>1</f>
        <v>1</v>
      </c>
    </row>
    <row r="3981" spans="2:9" x14ac:dyDescent="0.25">
      <c r="B3981">
        <v>0</v>
      </c>
      <c r="C3981" s="16" t="s">
        <v>13245</v>
      </c>
      <c r="D3981" s="16" t="s">
        <v>19432</v>
      </c>
      <c r="E3981">
        <v>6</v>
      </c>
      <c r="F3981" t="s">
        <v>6644</v>
      </c>
      <c r="G3981">
        <v>1</v>
      </c>
      <c r="H3981">
        <v>0</v>
      </c>
      <c r="I3981">
        <f>1</f>
        <v>1</v>
      </c>
    </row>
    <row r="3982" spans="2:9" x14ac:dyDescent="0.25">
      <c r="B3982">
        <v>0</v>
      </c>
      <c r="C3982" s="16" t="s">
        <v>13245</v>
      </c>
      <c r="D3982" s="16" t="s">
        <v>19433</v>
      </c>
      <c r="E3982">
        <v>6</v>
      </c>
      <c r="F3982" t="s">
        <v>6645</v>
      </c>
      <c r="G3982">
        <v>1</v>
      </c>
      <c r="H3982">
        <v>0</v>
      </c>
      <c r="I3982">
        <f>1</f>
        <v>1</v>
      </c>
    </row>
    <row r="3983" spans="2:9" x14ac:dyDescent="0.25">
      <c r="B3983">
        <v>0</v>
      </c>
      <c r="C3983" s="16" t="s">
        <v>13246</v>
      </c>
      <c r="D3983" s="16"/>
      <c r="E3983">
        <v>6</v>
      </c>
      <c r="F3983" t="s">
        <v>6646</v>
      </c>
      <c r="G3983">
        <v>1</v>
      </c>
      <c r="H3983">
        <v>0</v>
      </c>
      <c r="I3983">
        <f>1</f>
        <v>1</v>
      </c>
    </row>
    <row r="3984" spans="2:9" x14ac:dyDescent="0.25">
      <c r="B3984">
        <v>0</v>
      </c>
      <c r="C3984" s="16" t="s">
        <v>13247</v>
      </c>
      <c r="D3984" s="16"/>
      <c r="E3984">
        <v>6</v>
      </c>
      <c r="F3984" t="s">
        <v>6647</v>
      </c>
      <c r="G3984">
        <v>1</v>
      </c>
      <c r="H3984">
        <v>0</v>
      </c>
      <c r="I3984">
        <f>1</f>
        <v>1</v>
      </c>
    </row>
    <row r="3985" spans="2:9" x14ac:dyDescent="0.25">
      <c r="B3985">
        <v>0</v>
      </c>
      <c r="C3985" s="16" t="s">
        <v>13248</v>
      </c>
      <c r="D3985" s="16"/>
      <c r="E3985">
        <v>6</v>
      </c>
      <c r="F3985" t="s">
        <v>4680</v>
      </c>
      <c r="G3985">
        <v>1</v>
      </c>
      <c r="H3985">
        <v>0</v>
      </c>
      <c r="I3985">
        <f>1</f>
        <v>1</v>
      </c>
    </row>
    <row r="3986" spans="2:9" x14ac:dyDescent="0.25">
      <c r="B3986">
        <v>0</v>
      </c>
      <c r="C3986" s="16" t="s">
        <v>13249</v>
      </c>
      <c r="D3986" s="16"/>
      <c r="E3986">
        <v>6</v>
      </c>
      <c r="F3986" t="s">
        <v>6648</v>
      </c>
      <c r="G3986">
        <v>1</v>
      </c>
      <c r="H3986">
        <v>0</v>
      </c>
      <c r="I3986">
        <f>1</f>
        <v>1</v>
      </c>
    </row>
    <row r="3987" spans="2:9" x14ac:dyDescent="0.25">
      <c r="B3987">
        <v>0</v>
      </c>
      <c r="C3987" s="16" t="s">
        <v>13250</v>
      </c>
      <c r="D3987" s="16"/>
      <c r="E3987">
        <v>6</v>
      </c>
      <c r="F3987" t="e">
        <f>--que contenham nitratos e fosfatos</f>
        <v>#NAME?</v>
      </c>
      <c r="G3987">
        <v>1</v>
      </c>
      <c r="H3987">
        <v>0</v>
      </c>
      <c r="I3987">
        <f>1</f>
        <v>1</v>
      </c>
    </row>
    <row r="3988" spans="2:9" x14ac:dyDescent="0.25">
      <c r="B3988">
        <v>0</v>
      </c>
      <c r="C3988" s="16" t="s">
        <v>13251</v>
      </c>
      <c r="D3988" s="16"/>
      <c r="E3988">
        <v>6</v>
      </c>
      <c r="F3988" t="e">
        <f>--outros</f>
        <v>#NAME?</v>
      </c>
      <c r="G3988">
        <v>1</v>
      </c>
      <c r="H3988">
        <v>0</v>
      </c>
      <c r="I3988">
        <f>1</f>
        <v>1</v>
      </c>
    </row>
    <row r="3989" spans="2:9" x14ac:dyDescent="0.25">
      <c r="B3989">
        <v>0</v>
      </c>
      <c r="C3989" s="16" t="s">
        <v>13252</v>
      </c>
      <c r="D3989" s="16"/>
      <c r="E3989">
        <v>6</v>
      </c>
      <c r="F3989" t="s">
        <v>6649</v>
      </c>
      <c r="G3989">
        <v>1</v>
      </c>
      <c r="H3989">
        <v>0</v>
      </c>
      <c r="I3989">
        <f>1</f>
        <v>1</v>
      </c>
    </row>
    <row r="3990" spans="2:9" x14ac:dyDescent="0.25">
      <c r="B3990">
        <v>0</v>
      </c>
      <c r="C3990" s="16" t="s">
        <v>13253</v>
      </c>
      <c r="D3990" s="16"/>
      <c r="E3990">
        <v>6</v>
      </c>
      <c r="F3990" t="s">
        <v>6650</v>
      </c>
      <c r="G3990">
        <v>1</v>
      </c>
      <c r="H3990">
        <v>0</v>
      </c>
      <c r="I3990">
        <f>1</f>
        <v>1</v>
      </c>
    </row>
    <row r="3991" spans="2:9" x14ac:dyDescent="0.25">
      <c r="B3991">
        <v>0</v>
      </c>
      <c r="C3991" s="16" t="s">
        <v>13254</v>
      </c>
      <c r="D3991" s="16"/>
      <c r="E3991">
        <v>6</v>
      </c>
      <c r="F3991" t="s">
        <v>4680</v>
      </c>
      <c r="G3991">
        <v>1</v>
      </c>
      <c r="H3991">
        <v>0</v>
      </c>
      <c r="I3991">
        <f>1</f>
        <v>1</v>
      </c>
    </row>
    <row r="3992" spans="2:9" x14ac:dyDescent="0.25">
      <c r="B3992">
        <v>0</v>
      </c>
      <c r="C3992" s="16" t="s">
        <v>13255</v>
      </c>
      <c r="D3992" s="16"/>
      <c r="E3992">
        <v>6</v>
      </c>
      <c r="F3992" t="s">
        <v>4680</v>
      </c>
      <c r="G3992">
        <v>1</v>
      </c>
      <c r="H3992">
        <v>0</v>
      </c>
      <c r="I3992">
        <f>1</f>
        <v>1</v>
      </c>
    </row>
    <row r="3993" spans="2:9" x14ac:dyDescent="0.25">
      <c r="B3993">
        <v>0</v>
      </c>
      <c r="C3993" s="16" t="s">
        <v>13256</v>
      </c>
      <c r="D3993" s="16"/>
      <c r="E3993">
        <v>6</v>
      </c>
      <c r="F3993" t="e">
        <f>-Extrato De quebracho</f>
        <v>#NAME?</v>
      </c>
      <c r="G3993">
        <v>1</v>
      </c>
      <c r="H3993">
        <v>1</v>
      </c>
      <c r="I3993">
        <f>1</f>
        <v>1</v>
      </c>
    </row>
    <row r="3994" spans="2:9" x14ac:dyDescent="0.25">
      <c r="B3994">
        <v>0</v>
      </c>
      <c r="C3994" s="16" t="s">
        <v>13257</v>
      </c>
      <c r="D3994" s="16"/>
      <c r="E3994">
        <v>6</v>
      </c>
      <c r="F3994" t="e">
        <f>-Extrato De mimosa</f>
        <v>#NAME?</v>
      </c>
      <c r="G3994">
        <v>1</v>
      </c>
      <c r="H3994">
        <v>1</v>
      </c>
      <c r="I3994">
        <f>1</f>
        <v>1</v>
      </c>
    </row>
    <row r="3995" spans="2:9" x14ac:dyDescent="0.25">
      <c r="B3995">
        <v>0</v>
      </c>
      <c r="C3995" s="16" t="s">
        <v>13258</v>
      </c>
      <c r="D3995" s="16"/>
      <c r="E3995">
        <v>6</v>
      </c>
      <c r="F3995" t="s">
        <v>6651</v>
      </c>
      <c r="G3995">
        <v>1</v>
      </c>
      <c r="H3995">
        <v>1</v>
      </c>
      <c r="I3995">
        <f>1</f>
        <v>1</v>
      </c>
    </row>
    <row r="3996" spans="2:9" x14ac:dyDescent="0.25">
      <c r="B3996">
        <v>0</v>
      </c>
      <c r="C3996" s="16" t="s">
        <v>13259</v>
      </c>
      <c r="D3996" s="16"/>
      <c r="E3996">
        <v>6</v>
      </c>
      <c r="F3996" t="s">
        <v>6652</v>
      </c>
      <c r="G3996">
        <v>1</v>
      </c>
      <c r="H3996">
        <v>1</v>
      </c>
      <c r="I3996">
        <f>1</f>
        <v>1</v>
      </c>
    </row>
    <row r="3997" spans="2:9" x14ac:dyDescent="0.25">
      <c r="B3997">
        <v>0</v>
      </c>
      <c r="C3997" s="16" t="s">
        <v>13260</v>
      </c>
      <c r="D3997" s="16"/>
      <c r="E3997">
        <v>6</v>
      </c>
      <c r="F3997" t="s">
        <v>4680</v>
      </c>
      <c r="G3997">
        <v>1</v>
      </c>
      <c r="H3997">
        <v>1</v>
      </c>
      <c r="I3997">
        <f>1</f>
        <v>1</v>
      </c>
    </row>
    <row r="3998" spans="2:9" x14ac:dyDescent="0.25">
      <c r="B3998">
        <v>0</v>
      </c>
      <c r="C3998" s="16" t="s">
        <v>13261</v>
      </c>
      <c r="D3998" s="16"/>
      <c r="E3998">
        <v>6</v>
      </c>
      <c r="F3998" t="s">
        <v>6653</v>
      </c>
      <c r="G3998">
        <v>1</v>
      </c>
      <c r="H3998">
        <v>1</v>
      </c>
      <c r="I3998">
        <f>1</f>
        <v>1</v>
      </c>
    </row>
    <row r="3999" spans="2:9" x14ac:dyDescent="0.25">
      <c r="B3999">
        <v>0</v>
      </c>
      <c r="C3999" s="16" t="s">
        <v>13262</v>
      </c>
      <c r="D3999" s="16"/>
      <c r="E3999">
        <v>6</v>
      </c>
      <c r="F3999" t="s">
        <v>4680</v>
      </c>
      <c r="G3999">
        <v>1</v>
      </c>
      <c r="H3999">
        <v>1</v>
      </c>
      <c r="I3999">
        <f>1</f>
        <v>1</v>
      </c>
    </row>
    <row r="4000" spans="2:9" x14ac:dyDescent="0.25">
      <c r="B4000">
        <v>0</v>
      </c>
      <c r="C4000" s="16" t="s">
        <v>13263</v>
      </c>
      <c r="D4000" s="16"/>
      <c r="E4000">
        <v>6</v>
      </c>
      <c r="F4000" t="e">
        <f>-produtos tanantes orgânicos sintéticos</f>
        <v>#NAME?</v>
      </c>
      <c r="G4000">
        <v>1</v>
      </c>
      <c r="H4000">
        <v>1</v>
      </c>
      <c r="I4000">
        <f>1</f>
        <v>1</v>
      </c>
    </row>
    <row r="4001" spans="2:9" x14ac:dyDescent="0.25">
      <c r="B4001">
        <v>0</v>
      </c>
      <c r="C4001" s="16" t="s">
        <v>13264</v>
      </c>
      <c r="D4001" s="16"/>
      <c r="E4001">
        <v>6</v>
      </c>
      <c r="F4001" t="s">
        <v>6654</v>
      </c>
      <c r="G4001">
        <v>1</v>
      </c>
      <c r="H4001">
        <v>1</v>
      </c>
      <c r="I4001">
        <f>1</f>
        <v>1</v>
      </c>
    </row>
    <row r="4002" spans="2:9" x14ac:dyDescent="0.25">
      <c r="B4002">
        <v>0</v>
      </c>
      <c r="C4002" s="16" t="s">
        <v>13265</v>
      </c>
      <c r="D4002" s="16"/>
      <c r="E4002">
        <v>6</v>
      </c>
      <c r="F4002" t="s">
        <v>6655</v>
      </c>
      <c r="G4002">
        <v>1</v>
      </c>
      <c r="H4002">
        <v>1</v>
      </c>
      <c r="I4002">
        <f>1</f>
        <v>1</v>
      </c>
    </row>
    <row r="4003" spans="2:9" x14ac:dyDescent="0.25">
      <c r="B4003">
        <v>0</v>
      </c>
      <c r="C4003" s="16" t="s">
        <v>13266</v>
      </c>
      <c r="D4003" s="16"/>
      <c r="E4003">
        <v>6</v>
      </c>
      <c r="F4003" t="s">
        <v>6656</v>
      </c>
      <c r="G4003">
        <v>1</v>
      </c>
      <c r="H4003">
        <v>1</v>
      </c>
      <c r="I4003">
        <f>1</f>
        <v>1</v>
      </c>
    </row>
    <row r="4004" spans="2:9" x14ac:dyDescent="0.25">
      <c r="B4004">
        <v>0</v>
      </c>
      <c r="C4004" s="16" t="s">
        <v>13267</v>
      </c>
      <c r="D4004" s="16"/>
      <c r="E4004">
        <v>6</v>
      </c>
      <c r="F4004" t="s">
        <v>4680</v>
      </c>
      <c r="G4004">
        <v>1</v>
      </c>
      <c r="H4004">
        <v>1</v>
      </c>
      <c r="I4004">
        <f>1</f>
        <v>1</v>
      </c>
    </row>
    <row r="4005" spans="2:9" x14ac:dyDescent="0.25">
      <c r="B4005">
        <v>0</v>
      </c>
      <c r="C4005" s="16" t="s">
        <v>13268</v>
      </c>
      <c r="D4005" s="16"/>
      <c r="E4005">
        <v>6</v>
      </c>
      <c r="F4005" t="s">
        <v>6657</v>
      </c>
      <c r="G4005">
        <v>1</v>
      </c>
      <c r="H4005">
        <v>1</v>
      </c>
      <c r="I4005">
        <f>1</f>
        <v>1</v>
      </c>
    </row>
    <row r="4006" spans="2:9" x14ac:dyDescent="0.25">
      <c r="B4006">
        <v>0</v>
      </c>
      <c r="C4006" s="16" t="s">
        <v>13269</v>
      </c>
      <c r="D4006" s="16"/>
      <c r="E4006">
        <v>6</v>
      </c>
      <c r="F4006" t="s">
        <v>4680</v>
      </c>
      <c r="G4006">
        <v>1</v>
      </c>
      <c r="H4006">
        <v>1</v>
      </c>
      <c r="I4006">
        <f>1</f>
        <v>1</v>
      </c>
    </row>
    <row r="4007" spans="2:9" x14ac:dyDescent="0.25">
      <c r="B4007">
        <v>0</v>
      </c>
      <c r="C4007" s="16" t="s">
        <v>13270</v>
      </c>
      <c r="D4007" s="16"/>
      <c r="E4007">
        <v>6</v>
      </c>
      <c r="F4007" t="s">
        <v>6658</v>
      </c>
      <c r="G4007">
        <v>1</v>
      </c>
      <c r="H4007">
        <v>1</v>
      </c>
      <c r="I4007">
        <f>1</f>
        <v>1</v>
      </c>
    </row>
    <row r="4008" spans="2:9" x14ac:dyDescent="0.25">
      <c r="B4008">
        <v>0</v>
      </c>
      <c r="C4008" s="16" t="s">
        <v>13271</v>
      </c>
      <c r="D4008" s="16"/>
      <c r="E4008">
        <v>6</v>
      </c>
      <c r="F4008" t="s">
        <v>6659</v>
      </c>
      <c r="G4008">
        <v>1</v>
      </c>
      <c r="H4008">
        <v>1</v>
      </c>
      <c r="I4008">
        <f>1</f>
        <v>1</v>
      </c>
    </row>
    <row r="4009" spans="2:9" x14ac:dyDescent="0.25">
      <c r="B4009">
        <v>0</v>
      </c>
      <c r="C4009" s="16" t="s">
        <v>13272</v>
      </c>
      <c r="D4009" s="16"/>
      <c r="E4009">
        <v>6</v>
      </c>
      <c r="F4009" t="s">
        <v>6660</v>
      </c>
      <c r="G4009">
        <v>1</v>
      </c>
      <c r="H4009">
        <v>1</v>
      </c>
      <c r="I4009">
        <f>1</f>
        <v>1</v>
      </c>
    </row>
    <row r="4010" spans="2:9" x14ac:dyDescent="0.25">
      <c r="B4010">
        <v>0</v>
      </c>
      <c r="C4010" s="16" t="s">
        <v>13273</v>
      </c>
      <c r="D4010" s="16"/>
      <c r="E4010">
        <v>6</v>
      </c>
      <c r="F4010" t="s">
        <v>6661</v>
      </c>
      <c r="G4010">
        <v>1</v>
      </c>
      <c r="H4010">
        <v>1</v>
      </c>
      <c r="I4010">
        <f>1</f>
        <v>1</v>
      </c>
    </row>
    <row r="4011" spans="2:9" x14ac:dyDescent="0.25">
      <c r="B4011">
        <v>0</v>
      </c>
      <c r="C4011" s="16" t="s">
        <v>13274</v>
      </c>
      <c r="D4011" s="16"/>
      <c r="E4011">
        <v>6</v>
      </c>
      <c r="F4011" t="s">
        <v>4690</v>
      </c>
      <c r="G4011">
        <v>1</v>
      </c>
      <c r="H4011">
        <v>1</v>
      </c>
      <c r="I4011">
        <f>1</f>
        <v>1</v>
      </c>
    </row>
    <row r="4012" spans="2:9" x14ac:dyDescent="0.25">
      <c r="B4012">
        <v>0</v>
      </c>
      <c r="C4012" s="16" t="s">
        <v>13275</v>
      </c>
      <c r="D4012" s="16"/>
      <c r="E4012">
        <v>6</v>
      </c>
      <c r="F4012" t="s">
        <v>6662</v>
      </c>
      <c r="G4012">
        <v>1</v>
      </c>
      <c r="H4012">
        <v>1</v>
      </c>
      <c r="I4012">
        <f>1</f>
        <v>1</v>
      </c>
    </row>
    <row r="4013" spans="2:9" x14ac:dyDescent="0.25">
      <c r="B4013">
        <v>0</v>
      </c>
      <c r="C4013" s="16" t="s">
        <v>13276</v>
      </c>
      <c r="D4013" s="16"/>
      <c r="E4013">
        <v>6</v>
      </c>
      <c r="F4013" t="s">
        <v>4690</v>
      </c>
      <c r="G4013">
        <v>1</v>
      </c>
      <c r="H4013">
        <v>1</v>
      </c>
      <c r="I4013">
        <f>1</f>
        <v>1</v>
      </c>
    </row>
    <row r="4014" spans="2:9" x14ac:dyDescent="0.25">
      <c r="B4014">
        <v>0</v>
      </c>
      <c r="C4014" s="16" t="s">
        <v>13277</v>
      </c>
      <c r="D4014" s="16"/>
      <c r="E4014">
        <v>6</v>
      </c>
      <c r="F4014" t="s">
        <v>6663</v>
      </c>
      <c r="G4014">
        <v>1</v>
      </c>
      <c r="H4014">
        <v>1</v>
      </c>
      <c r="I4014">
        <f>1</f>
        <v>1</v>
      </c>
    </row>
    <row r="4015" spans="2:9" x14ac:dyDescent="0.25">
      <c r="B4015">
        <v>0</v>
      </c>
      <c r="C4015" s="16" t="s">
        <v>13278</v>
      </c>
      <c r="D4015" s="16"/>
      <c r="E4015">
        <v>6</v>
      </c>
      <c r="F4015" t="e">
        <f>--corantes dispersos e Preparações à base desses corantes</f>
        <v>#NAME?</v>
      </c>
      <c r="G4015">
        <v>1</v>
      </c>
      <c r="H4015">
        <v>1</v>
      </c>
      <c r="I4015">
        <f>1</f>
        <v>1</v>
      </c>
    </row>
    <row r="4016" spans="2:9" x14ac:dyDescent="0.25">
      <c r="B4016">
        <v>0</v>
      </c>
      <c r="C4016" s="16" t="s">
        <v>13279</v>
      </c>
      <c r="D4016" s="16"/>
      <c r="E4016">
        <v>6</v>
      </c>
      <c r="F4016" t="s">
        <v>6664</v>
      </c>
      <c r="G4016">
        <v>1</v>
      </c>
      <c r="H4016">
        <v>1</v>
      </c>
      <c r="I4016">
        <f>1</f>
        <v>1</v>
      </c>
    </row>
    <row r="4017" spans="2:9" x14ac:dyDescent="0.25">
      <c r="B4017">
        <v>0</v>
      </c>
      <c r="C4017" s="16" t="s">
        <v>13280</v>
      </c>
      <c r="D4017" s="16"/>
      <c r="E4017">
        <v>6</v>
      </c>
      <c r="F4017" t="s">
        <v>6665</v>
      </c>
      <c r="G4017">
        <v>1</v>
      </c>
      <c r="H4017">
        <v>1</v>
      </c>
      <c r="I4017">
        <f>1</f>
        <v>1</v>
      </c>
    </row>
    <row r="4018" spans="2:9" x14ac:dyDescent="0.25">
      <c r="B4018">
        <v>0</v>
      </c>
      <c r="C4018" s="16" t="s">
        <v>13281</v>
      </c>
      <c r="D4018" s="16"/>
      <c r="E4018">
        <v>6</v>
      </c>
      <c r="F4018" t="e">
        <f>--corantes básicos e Preparações à base desses corantes</f>
        <v>#NAME?</v>
      </c>
      <c r="G4018">
        <v>1</v>
      </c>
      <c r="H4018">
        <v>1</v>
      </c>
      <c r="I4018">
        <f>1</f>
        <v>1</v>
      </c>
    </row>
    <row r="4019" spans="2:9" x14ac:dyDescent="0.25">
      <c r="B4019">
        <v>0</v>
      </c>
      <c r="C4019" s="16" t="s">
        <v>13282</v>
      </c>
      <c r="D4019" s="16"/>
      <c r="E4019">
        <v>6</v>
      </c>
      <c r="F4019" t="e">
        <f>--corantes diretos e Preparações à base desses corantes</f>
        <v>#NAME?</v>
      </c>
      <c r="G4019">
        <v>1</v>
      </c>
      <c r="H4019">
        <v>1</v>
      </c>
      <c r="I4019">
        <f>1</f>
        <v>1</v>
      </c>
    </row>
    <row r="4020" spans="2:9" x14ac:dyDescent="0.25">
      <c r="B4020">
        <v>0</v>
      </c>
      <c r="C4020" s="16" t="s">
        <v>13283</v>
      </c>
      <c r="D4020" s="16"/>
      <c r="E4020">
        <v>6</v>
      </c>
      <c r="F4020" t="s">
        <v>6666</v>
      </c>
      <c r="G4020">
        <v>1</v>
      </c>
      <c r="H4020">
        <v>1</v>
      </c>
      <c r="I4020">
        <f>1</f>
        <v>1</v>
      </c>
    </row>
    <row r="4021" spans="2:9" x14ac:dyDescent="0.25">
      <c r="B4021">
        <v>0</v>
      </c>
      <c r="C4021" s="16" t="s">
        <v>13284</v>
      </c>
      <c r="D4021" s="16"/>
      <c r="E4021">
        <v>6</v>
      </c>
      <c r="F4021" t="s">
        <v>6667</v>
      </c>
      <c r="G4021">
        <v>1</v>
      </c>
      <c r="H4021">
        <v>1</v>
      </c>
      <c r="I4021">
        <f>1</f>
        <v>1</v>
      </c>
    </row>
    <row r="4022" spans="2:9" x14ac:dyDescent="0.25">
      <c r="B4022">
        <v>0</v>
      </c>
      <c r="C4022" s="16" t="s">
        <v>13285</v>
      </c>
      <c r="D4022" s="16"/>
      <c r="E4022">
        <v>6</v>
      </c>
      <c r="F4022" t="s">
        <v>6668</v>
      </c>
      <c r="G4022">
        <v>1</v>
      </c>
      <c r="H4022">
        <v>1</v>
      </c>
      <c r="I4022">
        <f>1</f>
        <v>1</v>
      </c>
    </row>
    <row r="4023" spans="2:9" x14ac:dyDescent="0.25">
      <c r="B4023">
        <v>0</v>
      </c>
      <c r="C4023" s="16" t="s">
        <v>13286</v>
      </c>
      <c r="D4023" s="16"/>
      <c r="E4023">
        <v>6</v>
      </c>
      <c r="F4023" t="s">
        <v>4680</v>
      </c>
      <c r="G4023">
        <v>1</v>
      </c>
      <c r="H4023">
        <v>1</v>
      </c>
      <c r="I4023">
        <f>1</f>
        <v>1</v>
      </c>
    </row>
    <row r="4024" spans="2:9" x14ac:dyDescent="0.25">
      <c r="B4024">
        <v>0</v>
      </c>
      <c r="C4024" s="16" t="s">
        <v>13287</v>
      </c>
      <c r="D4024" s="16"/>
      <c r="E4024">
        <v>6</v>
      </c>
      <c r="F4024" t="e">
        <f>--corantes Reagentes e Preparações à base desses corantes</f>
        <v>#NAME?</v>
      </c>
      <c r="G4024">
        <v>1</v>
      </c>
      <c r="H4024">
        <v>1</v>
      </c>
      <c r="I4024">
        <f>1</f>
        <v>1</v>
      </c>
    </row>
    <row r="4025" spans="2:9" x14ac:dyDescent="0.25">
      <c r="B4025">
        <v>0</v>
      </c>
      <c r="C4025" s="16" t="s">
        <v>13288</v>
      </c>
      <c r="D4025" s="16"/>
      <c r="E4025">
        <v>6</v>
      </c>
      <c r="F4025" t="e">
        <f>--Pigmentos e Preparações à base desses Pigmentos</f>
        <v>#NAME?</v>
      </c>
      <c r="G4025">
        <v>1</v>
      </c>
      <c r="H4025">
        <v>1</v>
      </c>
      <c r="I4025">
        <f>1</f>
        <v>1</v>
      </c>
    </row>
    <row r="4026" spans="2:9" x14ac:dyDescent="0.25">
      <c r="B4026">
        <v>0</v>
      </c>
      <c r="C4026" s="16" t="s">
        <v>13289</v>
      </c>
      <c r="D4026" s="16"/>
      <c r="E4026">
        <v>6</v>
      </c>
      <c r="F4026" t="s">
        <v>6669</v>
      </c>
      <c r="G4026">
        <v>1</v>
      </c>
      <c r="H4026">
        <v>1</v>
      </c>
      <c r="I4026">
        <f>1</f>
        <v>1</v>
      </c>
    </row>
    <row r="4027" spans="2:9" x14ac:dyDescent="0.25">
      <c r="B4027">
        <v>0</v>
      </c>
      <c r="C4027" s="16" t="s">
        <v>13290</v>
      </c>
      <c r="D4027" s="16"/>
      <c r="E4027">
        <v>6</v>
      </c>
      <c r="F4027" t="s">
        <v>6670</v>
      </c>
      <c r="G4027">
        <v>1</v>
      </c>
      <c r="H4027">
        <v>1</v>
      </c>
      <c r="I4027">
        <f>1</f>
        <v>1</v>
      </c>
    </row>
    <row r="4028" spans="2:9" x14ac:dyDescent="0.25">
      <c r="B4028">
        <v>0</v>
      </c>
      <c r="C4028" s="16" t="s">
        <v>13291</v>
      </c>
      <c r="D4028" s="16"/>
      <c r="E4028">
        <v>6</v>
      </c>
      <c r="F4028" t="s">
        <v>6671</v>
      </c>
      <c r="G4028">
        <v>1</v>
      </c>
      <c r="H4028">
        <v>1</v>
      </c>
      <c r="I4028">
        <f>1</f>
        <v>1</v>
      </c>
    </row>
    <row r="4029" spans="2:9" x14ac:dyDescent="0.25">
      <c r="B4029">
        <v>0</v>
      </c>
      <c r="C4029" s="16" t="s">
        <v>13292</v>
      </c>
      <c r="D4029" s="16"/>
      <c r="E4029">
        <v>6</v>
      </c>
      <c r="F4029" t="s">
        <v>4690</v>
      </c>
      <c r="G4029">
        <v>1</v>
      </c>
      <c r="H4029">
        <v>1</v>
      </c>
      <c r="I4029">
        <f>1</f>
        <v>1</v>
      </c>
    </row>
    <row r="4030" spans="2:9" x14ac:dyDescent="0.25">
      <c r="B4030">
        <v>0</v>
      </c>
      <c r="C4030" s="16" t="s">
        <v>13293</v>
      </c>
      <c r="D4030" s="16"/>
      <c r="E4030">
        <v>6</v>
      </c>
      <c r="F4030" t="s">
        <v>6672</v>
      </c>
      <c r="G4030">
        <v>1</v>
      </c>
      <c r="H4030">
        <v>1</v>
      </c>
      <c r="I4030">
        <f>1</f>
        <v>1</v>
      </c>
    </row>
    <row r="4031" spans="2:9" x14ac:dyDescent="0.25">
      <c r="B4031">
        <v>0</v>
      </c>
      <c r="C4031" s="16" t="s">
        <v>13294</v>
      </c>
      <c r="D4031" s="16"/>
      <c r="E4031">
        <v>6</v>
      </c>
      <c r="F4031" t="s">
        <v>6673</v>
      </c>
      <c r="G4031">
        <v>1</v>
      </c>
      <c r="H4031">
        <v>1</v>
      </c>
      <c r="I4031">
        <f>1</f>
        <v>1</v>
      </c>
    </row>
    <row r="4032" spans="2:9" x14ac:dyDescent="0.25">
      <c r="B4032">
        <v>0</v>
      </c>
      <c r="C4032" s="16" t="s">
        <v>13295</v>
      </c>
      <c r="D4032" s="16"/>
      <c r="E4032">
        <v>6</v>
      </c>
      <c r="F4032" t="s">
        <v>4690</v>
      </c>
      <c r="G4032">
        <v>1</v>
      </c>
      <c r="H4032">
        <v>1</v>
      </c>
      <c r="I4032">
        <f>1</f>
        <v>1</v>
      </c>
    </row>
    <row r="4033" spans="2:9" x14ac:dyDescent="0.25">
      <c r="B4033">
        <v>0</v>
      </c>
      <c r="C4033" s="16" t="s">
        <v>13296</v>
      </c>
      <c r="D4033" s="16"/>
      <c r="E4033">
        <v>6</v>
      </c>
      <c r="F4033" t="s">
        <v>6674</v>
      </c>
      <c r="G4033">
        <v>1</v>
      </c>
      <c r="H4033">
        <v>1</v>
      </c>
      <c r="I4033">
        <f>1</f>
        <v>1</v>
      </c>
    </row>
    <row r="4034" spans="2:9" x14ac:dyDescent="0.25">
      <c r="B4034">
        <v>0</v>
      </c>
      <c r="C4034" s="16" t="s">
        <v>13297</v>
      </c>
      <c r="D4034" s="16"/>
      <c r="E4034">
        <v>6</v>
      </c>
      <c r="F4034" t="s">
        <v>4680</v>
      </c>
      <c r="G4034">
        <v>1</v>
      </c>
      <c r="H4034">
        <v>1</v>
      </c>
      <c r="I4034">
        <f>1</f>
        <v>1</v>
      </c>
    </row>
    <row r="4035" spans="2:9" x14ac:dyDescent="0.25">
      <c r="B4035">
        <v>0</v>
      </c>
      <c r="C4035" s="16" t="s">
        <v>13298</v>
      </c>
      <c r="D4035" s="16"/>
      <c r="E4035">
        <v>6</v>
      </c>
      <c r="F4035" t="s">
        <v>4680</v>
      </c>
      <c r="G4035">
        <v>1</v>
      </c>
      <c r="H4035">
        <v>1</v>
      </c>
      <c r="I4035">
        <f>1</f>
        <v>1</v>
      </c>
    </row>
    <row r="4036" spans="2:9" x14ac:dyDescent="0.25">
      <c r="B4036">
        <v>0</v>
      </c>
      <c r="C4036" s="16" t="s">
        <v>13299</v>
      </c>
      <c r="D4036" s="16"/>
      <c r="E4036">
        <v>6</v>
      </c>
      <c r="F4036" t="e">
        <f>-outros</f>
        <v>#NAME?</v>
      </c>
      <c r="G4036">
        <v>1</v>
      </c>
      <c r="H4036">
        <v>1</v>
      </c>
      <c r="I4036">
        <f>1</f>
        <v>1</v>
      </c>
    </row>
    <row r="4037" spans="2:9" x14ac:dyDescent="0.25">
      <c r="B4037">
        <v>0</v>
      </c>
      <c r="C4037" s="16" t="s">
        <v>13300</v>
      </c>
      <c r="D4037" s="16"/>
      <c r="E4037">
        <v>6</v>
      </c>
      <c r="F4037" t="s">
        <v>6675</v>
      </c>
      <c r="G4037">
        <v>1</v>
      </c>
      <c r="H4037">
        <v>1</v>
      </c>
      <c r="I4037">
        <f>1</f>
        <v>1</v>
      </c>
    </row>
    <row r="4038" spans="2:9" x14ac:dyDescent="0.25">
      <c r="B4038">
        <v>0</v>
      </c>
      <c r="C4038" s="16" t="s">
        <v>13301</v>
      </c>
      <c r="D4038" s="16"/>
      <c r="E4038">
        <v>6</v>
      </c>
      <c r="F4038" t="s">
        <v>6676</v>
      </c>
      <c r="G4038">
        <v>1</v>
      </c>
      <c r="H4038">
        <v>1</v>
      </c>
      <c r="I4038">
        <f>1</f>
        <v>1</v>
      </c>
    </row>
    <row r="4039" spans="2:9" x14ac:dyDescent="0.25">
      <c r="B4039">
        <v>0</v>
      </c>
      <c r="C4039" s="16" t="s">
        <v>13302</v>
      </c>
      <c r="D4039" s="16"/>
      <c r="E4039">
        <v>6</v>
      </c>
      <c r="F4039" t="s">
        <v>4680</v>
      </c>
      <c r="G4039">
        <v>1</v>
      </c>
      <c r="H4039">
        <v>1</v>
      </c>
      <c r="I4039">
        <f>1</f>
        <v>1</v>
      </c>
    </row>
    <row r="4040" spans="2:9" x14ac:dyDescent="0.25">
      <c r="B4040">
        <v>0</v>
      </c>
      <c r="C4040" s="16" t="s">
        <v>13303</v>
      </c>
      <c r="D4040" s="16"/>
      <c r="E4040">
        <v>6</v>
      </c>
      <c r="F4040" t="s">
        <v>6677</v>
      </c>
      <c r="G4040">
        <v>1</v>
      </c>
      <c r="H4040">
        <v>1</v>
      </c>
      <c r="I4040">
        <f>1</f>
        <v>1</v>
      </c>
    </row>
    <row r="4041" spans="2:9" x14ac:dyDescent="0.25">
      <c r="B4041">
        <v>0</v>
      </c>
      <c r="C4041" s="16" t="s">
        <v>13304</v>
      </c>
      <c r="D4041" s="16"/>
      <c r="E4041">
        <v>6</v>
      </c>
      <c r="F4041" t="s">
        <v>6678</v>
      </c>
      <c r="G4041">
        <v>1</v>
      </c>
      <c r="H4041">
        <v>1</v>
      </c>
      <c r="I4041">
        <f>1</f>
        <v>1</v>
      </c>
    </row>
    <row r="4042" spans="2:9" x14ac:dyDescent="0.25">
      <c r="B4042">
        <v>0</v>
      </c>
      <c r="C4042" s="16" t="s">
        <v>13305</v>
      </c>
      <c r="D4042" s="16"/>
      <c r="E4042">
        <v>6</v>
      </c>
      <c r="F4042" t="s">
        <v>6679</v>
      </c>
      <c r="G4042">
        <v>1</v>
      </c>
      <c r="H4042">
        <v>1</v>
      </c>
      <c r="I4042">
        <f>1</f>
        <v>1</v>
      </c>
    </row>
    <row r="4043" spans="2:9" x14ac:dyDescent="0.25">
      <c r="B4043">
        <v>0</v>
      </c>
      <c r="C4043" s="16" t="s">
        <v>13306</v>
      </c>
      <c r="D4043" s="16"/>
      <c r="E4043">
        <v>6</v>
      </c>
      <c r="F4043" t="s">
        <v>4680</v>
      </c>
      <c r="G4043">
        <v>1</v>
      </c>
      <c r="H4043">
        <v>1</v>
      </c>
      <c r="I4043">
        <f>1</f>
        <v>1</v>
      </c>
    </row>
    <row r="4044" spans="2:9" x14ac:dyDescent="0.25">
      <c r="B4044">
        <v>0</v>
      </c>
      <c r="C4044" s="16" t="s">
        <v>13307</v>
      </c>
      <c r="D4044" s="16"/>
      <c r="E4044">
        <v>6</v>
      </c>
      <c r="F4044" t="e">
        <f>-Pigmentos e Preparações à base De compostos De cromo</f>
        <v>#NAME?</v>
      </c>
      <c r="G4044">
        <v>1</v>
      </c>
      <c r="H4044">
        <v>1</v>
      </c>
      <c r="I4044">
        <f>1</f>
        <v>1</v>
      </c>
    </row>
    <row r="4045" spans="2:9" x14ac:dyDescent="0.25">
      <c r="B4045">
        <v>0</v>
      </c>
      <c r="C4045" s="16" t="s">
        <v>13308</v>
      </c>
      <c r="D4045" s="16"/>
      <c r="E4045">
        <v>6</v>
      </c>
      <c r="F4045" t="e">
        <f>--Ultramar e suas Preparações</f>
        <v>#NAME?</v>
      </c>
      <c r="G4045">
        <v>1</v>
      </c>
      <c r="H4045">
        <v>1</v>
      </c>
      <c r="I4045">
        <f>1</f>
        <v>1</v>
      </c>
    </row>
    <row r="4046" spans="2:9" x14ac:dyDescent="0.25">
      <c r="B4046">
        <v>0</v>
      </c>
      <c r="C4046" s="16" t="s">
        <v>13309</v>
      </c>
      <c r="D4046" s="16"/>
      <c r="E4046">
        <v>6</v>
      </c>
      <c r="F4046" t="s">
        <v>6680</v>
      </c>
      <c r="G4046">
        <v>1</v>
      </c>
      <c r="H4046">
        <v>1</v>
      </c>
      <c r="I4046">
        <f>1</f>
        <v>1</v>
      </c>
    </row>
    <row r="4047" spans="2:9" x14ac:dyDescent="0.25">
      <c r="B4047">
        <v>0</v>
      </c>
      <c r="C4047" s="16" t="s">
        <v>13310</v>
      </c>
      <c r="D4047" s="16"/>
      <c r="E4047">
        <v>6</v>
      </c>
      <c r="F4047" t="s">
        <v>4680</v>
      </c>
      <c r="G4047">
        <v>1</v>
      </c>
      <c r="H4047">
        <v>1</v>
      </c>
      <c r="I4047">
        <f>1</f>
        <v>1</v>
      </c>
    </row>
    <row r="4048" spans="2:9" x14ac:dyDescent="0.25">
      <c r="B4048">
        <v>0</v>
      </c>
      <c r="C4048" s="16" t="s">
        <v>13311</v>
      </c>
      <c r="D4048" s="16"/>
      <c r="E4048">
        <v>6</v>
      </c>
      <c r="F4048" t="s">
        <v>6681</v>
      </c>
      <c r="G4048">
        <v>1</v>
      </c>
      <c r="H4048">
        <v>1</v>
      </c>
      <c r="I4048">
        <f>1</f>
        <v>1</v>
      </c>
    </row>
    <row r="4049" spans="2:9" x14ac:dyDescent="0.25">
      <c r="B4049">
        <v>0</v>
      </c>
      <c r="C4049" s="16" t="s">
        <v>13312</v>
      </c>
      <c r="D4049" s="16"/>
      <c r="E4049">
        <v>6</v>
      </c>
      <c r="F4049" t="s">
        <v>6682</v>
      </c>
      <c r="G4049">
        <v>1</v>
      </c>
      <c r="H4049">
        <v>1</v>
      </c>
      <c r="I4049">
        <f>1</f>
        <v>1</v>
      </c>
    </row>
    <row r="4050" spans="2:9" x14ac:dyDescent="0.25">
      <c r="B4050">
        <v>0</v>
      </c>
      <c r="C4050" s="16" t="s">
        <v>13313</v>
      </c>
      <c r="D4050" s="16"/>
      <c r="E4050">
        <v>6</v>
      </c>
      <c r="F4050" t="s">
        <v>4690</v>
      </c>
      <c r="G4050">
        <v>1</v>
      </c>
      <c r="H4050">
        <v>1</v>
      </c>
      <c r="I4050">
        <f>1</f>
        <v>1</v>
      </c>
    </row>
    <row r="4051" spans="2:9" x14ac:dyDescent="0.25">
      <c r="B4051">
        <v>0</v>
      </c>
      <c r="C4051" s="16" t="s">
        <v>13314</v>
      </c>
      <c r="D4051" s="16"/>
      <c r="E4051">
        <v>6</v>
      </c>
      <c r="F4051" t="s">
        <v>6683</v>
      </c>
      <c r="G4051">
        <v>1</v>
      </c>
      <c r="H4051">
        <v>1</v>
      </c>
      <c r="I4051">
        <f>1</f>
        <v>1</v>
      </c>
    </row>
    <row r="4052" spans="2:9" x14ac:dyDescent="0.25">
      <c r="B4052">
        <v>0</v>
      </c>
      <c r="C4052" s="16" t="s">
        <v>13315</v>
      </c>
      <c r="D4052" s="16"/>
      <c r="E4052">
        <v>6</v>
      </c>
      <c r="F4052" t="s">
        <v>4680</v>
      </c>
      <c r="G4052">
        <v>1</v>
      </c>
      <c r="H4052">
        <v>1</v>
      </c>
      <c r="I4052">
        <f>1</f>
        <v>1</v>
      </c>
    </row>
    <row r="4053" spans="2:9" x14ac:dyDescent="0.25">
      <c r="B4053">
        <v>0</v>
      </c>
      <c r="C4053" s="16" t="s">
        <v>13316</v>
      </c>
      <c r="D4053" s="16"/>
      <c r="E4053">
        <v>6</v>
      </c>
      <c r="F4053" t="s">
        <v>6683</v>
      </c>
      <c r="G4053">
        <v>1</v>
      </c>
      <c r="H4053">
        <v>1</v>
      </c>
      <c r="I4053">
        <f>1</f>
        <v>1</v>
      </c>
    </row>
    <row r="4054" spans="2:9" x14ac:dyDescent="0.25">
      <c r="B4054">
        <v>0</v>
      </c>
      <c r="C4054" s="16" t="s">
        <v>13317</v>
      </c>
      <c r="D4054" s="16"/>
      <c r="E4054">
        <v>6</v>
      </c>
      <c r="F4054" t="s">
        <v>4680</v>
      </c>
      <c r="G4054">
        <v>1</v>
      </c>
      <c r="H4054">
        <v>1</v>
      </c>
      <c r="I4054">
        <f>1</f>
        <v>1</v>
      </c>
    </row>
    <row r="4055" spans="2:9" x14ac:dyDescent="0.25">
      <c r="B4055">
        <v>0</v>
      </c>
      <c r="C4055" s="16" t="s">
        <v>13318</v>
      </c>
      <c r="D4055" s="16"/>
      <c r="E4055">
        <v>6</v>
      </c>
      <c r="F4055" t="s">
        <v>6684</v>
      </c>
      <c r="G4055">
        <v>1</v>
      </c>
      <c r="H4055">
        <v>1</v>
      </c>
      <c r="I4055">
        <f>1</f>
        <v>1</v>
      </c>
    </row>
    <row r="4056" spans="2:9" x14ac:dyDescent="0.25">
      <c r="B4056">
        <v>0</v>
      </c>
      <c r="C4056" s="16" t="s">
        <v>13319</v>
      </c>
      <c r="D4056" s="16"/>
      <c r="E4056">
        <v>6</v>
      </c>
      <c r="F4056" t="s">
        <v>4680</v>
      </c>
      <c r="G4056">
        <v>1</v>
      </c>
      <c r="H4056">
        <v>1</v>
      </c>
      <c r="I4056">
        <f>1</f>
        <v>1</v>
      </c>
    </row>
    <row r="4057" spans="2:9" x14ac:dyDescent="0.25">
      <c r="B4057">
        <v>0</v>
      </c>
      <c r="C4057" s="16" t="s">
        <v>13320</v>
      </c>
      <c r="D4057" s="16"/>
      <c r="E4057">
        <v>6</v>
      </c>
      <c r="F4057" t="s">
        <v>6685</v>
      </c>
      <c r="G4057">
        <v>1</v>
      </c>
      <c r="H4057">
        <v>1</v>
      </c>
      <c r="I4057">
        <f>1</f>
        <v>1</v>
      </c>
    </row>
    <row r="4058" spans="2:9" x14ac:dyDescent="0.25">
      <c r="B4058">
        <v>0</v>
      </c>
      <c r="C4058" s="16" t="s">
        <v>13321</v>
      </c>
      <c r="D4058" s="16"/>
      <c r="E4058">
        <v>6</v>
      </c>
      <c r="F4058" t="s">
        <v>6686</v>
      </c>
      <c r="G4058">
        <v>1</v>
      </c>
      <c r="H4058">
        <v>1</v>
      </c>
      <c r="I4058">
        <f>1</f>
        <v>1</v>
      </c>
    </row>
    <row r="4059" spans="2:9" x14ac:dyDescent="0.25">
      <c r="B4059">
        <v>0</v>
      </c>
      <c r="C4059" s="16" t="s">
        <v>13322</v>
      </c>
      <c r="D4059" s="16"/>
      <c r="E4059">
        <v>6</v>
      </c>
      <c r="F4059" t="s">
        <v>4690</v>
      </c>
      <c r="G4059">
        <v>1</v>
      </c>
      <c r="H4059">
        <v>1</v>
      </c>
      <c r="I4059">
        <f>1</f>
        <v>1</v>
      </c>
    </row>
    <row r="4060" spans="2:9" x14ac:dyDescent="0.25">
      <c r="B4060">
        <v>0</v>
      </c>
      <c r="C4060" s="16" t="s">
        <v>13323</v>
      </c>
      <c r="D4060" s="16"/>
      <c r="E4060">
        <v>6</v>
      </c>
      <c r="F4060" t="e">
        <f>-Polimentos líquidos e Preparações semelhantes</f>
        <v>#NAME?</v>
      </c>
      <c r="G4060">
        <v>1</v>
      </c>
      <c r="H4060">
        <v>1</v>
      </c>
      <c r="I4060">
        <f>1</f>
        <v>1</v>
      </c>
    </row>
    <row r="4061" spans="2:9" x14ac:dyDescent="0.25">
      <c r="B4061">
        <v>0</v>
      </c>
      <c r="C4061" s="16" t="s">
        <v>13324</v>
      </c>
      <c r="D4061" s="16"/>
      <c r="E4061">
        <v>6</v>
      </c>
      <c r="F4061" t="s">
        <v>6687</v>
      </c>
      <c r="G4061">
        <v>1</v>
      </c>
      <c r="H4061">
        <v>1</v>
      </c>
      <c r="I4061">
        <f>1</f>
        <v>1</v>
      </c>
    </row>
    <row r="4062" spans="2:9" x14ac:dyDescent="0.25">
      <c r="B4062">
        <v>0</v>
      </c>
      <c r="C4062" s="16" t="s">
        <v>13325</v>
      </c>
      <c r="D4062" s="16"/>
      <c r="E4062">
        <v>6</v>
      </c>
      <c r="F4062" t="s">
        <v>4680</v>
      </c>
      <c r="G4062">
        <v>1</v>
      </c>
      <c r="H4062">
        <v>1</v>
      </c>
      <c r="I4062">
        <f>1</f>
        <v>1</v>
      </c>
    </row>
    <row r="4063" spans="2:9" x14ac:dyDescent="0.25">
      <c r="B4063">
        <v>0</v>
      </c>
      <c r="C4063" s="16" t="s">
        <v>13326</v>
      </c>
      <c r="D4063" s="16"/>
      <c r="E4063">
        <v>6</v>
      </c>
      <c r="F4063" t="s">
        <v>6688</v>
      </c>
      <c r="G4063">
        <v>1</v>
      </c>
      <c r="H4063">
        <v>1</v>
      </c>
      <c r="I4063">
        <f>1</f>
        <v>1</v>
      </c>
    </row>
    <row r="4064" spans="2:9" x14ac:dyDescent="0.25">
      <c r="B4064">
        <v>0</v>
      </c>
      <c r="C4064" s="16" t="s">
        <v>13327</v>
      </c>
      <c r="D4064" s="16"/>
      <c r="E4064">
        <v>6</v>
      </c>
      <c r="F4064" t="s">
        <v>6689</v>
      </c>
      <c r="G4064">
        <v>1</v>
      </c>
      <c r="H4064">
        <v>1</v>
      </c>
      <c r="I4064">
        <f>1</f>
        <v>1</v>
      </c>
    </row>
    <row r="4065" spans="2:9" x14ac:dyDescent="0.25">
      <c r="B4065">
        <v>0</v>
      </c>
      <c r="C4065" s="16" t="s">
        <v>13328</v>
      </c>
      <c r="D4065" s="16"/>
      <c r="E4065">
        <v>6</v>
      </c>
      <c r="F4065" t="s">
        <v>6690</v>
      </c>
      <c r="G4065">
        <v>1</v>
      </c>
      <c r="H4065">
        <v>1</v>
      </c>
      <c r="I4065">
        <f>1</f>
        <v>1</v>
      </c>
    </row>
    <row r="4066" spans="2:9" x14ac:dyDescent="0.25">
      <c r="B4066">
        <v>0</v>
      </c>
      <c r="C4066" s="16" t="s">
        <v>13329</v>
      </c>
      <c r="D4066" s="16"/>
      <c r="E4066">
        <v>6</v>
      </c>
      <c r="F4066" t="s">
        <v>6691</v>
      </c>
      <c r="G4066">
        <v>1</v>
      </c>
      <c r="H4066">
        <v>1</v>
      </c>
      <c r="I4066">
        <f>1</f>
        <v>1</v>
      </c>
    </row>
    <row r="4067" spans="2:9" x14ac:dyDescent="0.25">
      <c r="B4067">
        <v>0</v>
      </c>
      <c r="C4067" s="16" t="s">
        <v>13330</v>
      </c>
      <c r="D4067" s="16"/>
      <c r="E4067">
        <v>6</v>
      </c>
      <c r="F4067" t="s">
        <v>4690</v>
      </c>
      <c r="G4067">
        <v>1</v>
      </c>
      <c r="H4067">
        <v>1</v>
      </c>
      <c r="I4067">
        <f>1</f>
        <v>1</v>
      </c>
    </row>
    <row r="4068" spans="2:9" x14ac:dyDescent="0.25">
      <c r="B4068">
        <v>0</v>
      </c>
      <c r="C4068" s="16" t="s">
        <v>13331</v>
      </c>
      <c r="D4068" s="16"/>
      <c r="E4068">
        <v>6</v>
      </c>
      <c r="F4068" t="s">
        <v>6689</v>
      </c>
      <c r="G4068">
        <v>1</v>
      </c>
      <c r="H4068">
        <v>1</v>
      </c>
      <c r="I4068">
        <f>1</f>
        <v>1</v>
      </c>
    </row>
    <row r="4069" spans="2:9" x14ac:dyDescent="0.25">
      <c r="B4069">
        <v>0</v>
      </c>
      <c r="C4069" s="16" t="s">
        <v>13332</v>
      </c>
      <c r="D4069" s="16"/>
      <c r="E4069">
        <v>6</v>
      </c>
      <c r="F4069" t="s">
        <v>6690</v>
      </c>
      <c r="G4069">
        <v>1</v>
      </c>
      <c r="H4069">
        <v>1</v>
      </c>
      <c r="I4069">
        <f>1</f>
        <v>1</v>
      </c>
    </row>
    <row r="4070" spans="2:9" x14ac:dyDescent="0.25">
      <c r="B4070">
        <v>0</v>
      </c>
      <c r="C4070" s="16" t="s">
        <v>13333</v>
      </c>
      <c r="D4070" s="16"/>
      <c r="E4070">
        <v>6</v>
      </c>
      <c r="F4070" t="s">
        <v>6688</v>
      </c>
      <c r="G4070">
        <v>1</v>
      </c>
      <c r="H4070">
        <v>1</v>
      </c>
      <c r="I4070">
        <f>1</f>
        <v>1</v>
      </c>
    </row>
    <row r="4071" spans="2:9" x14ac:dyDescent="0.25">
      <c r="B4071">
        <v>0</v>
      </c>
      <c r="C4071" s="16" t="s">
        <v>13334</v>
      </c>
      <c r="D4071" s="16"/>
      <c r="E4071">
        <v>6</v>
      </c>
      <c r="F4071" t="s">
        <v>6692</v>
      </c>
      <c r="G4071">
        <v>1</v>
      </c>
      <c r="H4071">
        <v>1</v>
      </c>
      <c r="I4071">
        <f>1</f>
        <v>1</v>
      </c>
    </row>
    <row r="4072" spans="2:9" x14ac:dyDescent="0.25">
      <c r="B4072">
        <v>0</v>
      </c>
      <c r="C4072" s="16" t="s">
        <v>13335</v>
      </c>
      <c r="D4072" s="16"/>
      <c r="E4072">
        <v>6</v>
      </c>
      <c r="F4072" t="s">
        <v>4680</v>
      </c>
      <c r="G4072">
        <v>1</v>
      </c>
      <c r="H4072">
        <v>1</v>
      </c>
      <c r="I4072">
        <f>1</f>
        <v>1</v>
      </c>
    </row>
    <row r="4073" spans="2:9" x14ac:dyDescent="0.25">
      <c r="B4073">
        <v>0</v>
      </c>
      <c r="C4073" s="16" t="s">
        <v>13336</v>
      </c>
      <c r="D4073" s="16"/>
      <c r="E4073">
        <v>6</v>
      </c>
      <c r="F4073" t="s">
        <v>6693</v>
      </c>
      <c r="G4073">
        <v>1</v>
      </c>
      <c r="H4073">
        <v>1</v>
      </c>
      <c r="I4073">
        <f>1</f>
        <v>1</v>
      </c>
    </row>
    <row r="4074" spans="2:9" x14ac:dyDescent="0.25">
      <c r="B4074">
        <v>0</v>
      </c>
      <c r="C4074" s="16" t="s">
        <v>13337</v>
      </c>
      <c r="D4074" s="16"/>
      <c r="E4074">
        <v>6</v>
      </c>
      <c r="F4074" t="s">
        <v>4690</v>
      </c>
      <c r="G4074">
        <v>1</v>
      </c>
      <c r="H4074">
        <v>1</v>
      </c>
      <c r="I4074">
        <f>1</f>
        <v>1</v>
      </c>
    </row>
    <row r="4075" spans="2:9" x14ac:dyDescent="0.25">
      <c r="B4075">
        <v>0</v>
      </c>
      <c r="C4075" s="16" t="s">
        <v>13338</v>
      </c>
      <c r="D4075" s="16"/>
      <c r="E4075">
        <v>6</v>
      </c>
      <c r="F4075" t="s">
        <v>6688</v>
      </c>
      <c r="G4075">
        <v>1</v>
      </c>
      <c r="H4075">
        <v>1</v>
      </c>
      <c r="I4075">
        <f>1</f>
        <v>1</v>
      </c>
    </row>
    <row r="4076" spans="2:9" x14ac:dyDescent="0.25">
      <c r="B4076">
        <v>0</v>
      </c>
      <c r="C4076" s="16" t="s">
        <v>13339</v>
      </c>
      <c r="D4076" s="16"/>
      <c r="E4076">
        <v>6</v>
      </c>
      <c r="F4076" t="s">
        <v>6689</v>
      </c>
      <c r="G4076">
        <v>1</v>
      </c>
      <c r="H4076">
        <v>1</v>
      </c>
      <c r="I4076">
        <f>1</f>
        <v>1</v>
      </c>
    </row>
    <row r="4077" spans="2:9" x14ac:dyDescent="0.25">
      <c r="B4077">
        <v>0</v>
      </c>
      <c r="C4077" s="16" t="s">
        <v>13340</v>
      </c>
      <c r="D4077" s="16"/>
      <c r="E4077">
        <v>6</v>
      </c>
      <c r="F4077" t="s">
        <v>6694</v>
      </c>
      <c r="G4077">
        <v>1</v>
      </c>
      <c r="H4077">
        <v>1</v>
      </c>
      <c r="I4077">
        <f>1</f>
        <v>1</v>
      </c>
    </row>
    <row r="4078" spans="2:9" x14ac:dyDescent="0.25">
      <c r="B4078">
        <v>0</v>
      </c>
      <c r="C4078" s="16" t="s">
        <v>13341</v>
      </c>
      <c r="D4078" s="16"/>
      <c r="E4078">
        <v>6</v>
      </c>
      <c r="F4078" t="s">
        <v>4690</v>
      </c>
      <c r="G4078">
        <v>1</v>
      </c>
      <c r="H4078">
        <v>1</v>
      </c>
      <c r="I4078">
        <f>1</f>
        <v>1</v>
      </c>
    </row>
    <row r="4079" spans="2:9" x14ac:dyDescent="0.25">
      <c r="B4079">
        <v>0</v>
      </c>
      <c r="C4079" s="16" t="s">
        <v>13342</v>
      </c>
      <c r="D4079" s="16"/>
      <c r="E4079">
        <v>6</v>
      </c>
      <c r="F4079" t="s">
        <v>6689</v>
      </c>
      <c r="G4079">
        <v>1</v>
      </c>
      <c r="H4079">
        <v>1</v>
      </c>
      <c r="I4079">
        <f>1</f>
        <v>1</v>
      </c>
    </row>
    <row r="4080" spans="2:9" x14ac:dyDescent="0.25">
      <c r="B4080">
        <v>0</v>
      </c>
      <c r="C4080" s="16" t="s">
        <v>13343</v>
      </c>
      <c r="D4080" s="16"/>
      <c r="E4080">
        <v>6</v>
      </c>
      <c r="F4080" t="s">
        <v>6688</v>
      </c>
      <c r="G4080">
        <v>1</v>
      </c>
      <c r="H4080">
        <v>1</v>
      </c>
      <c r="I4080">
        <f>1</f>
        <v>1</v>
      </c>
    </row>
    <row r="4081" spans="2:9" x14ac:dyDescent="0.25">
      <c r="B4081">
        <v>0</v>
      </c>
      <c r="C4081" s="16" t="s">
        <v>13344</v>
      </c>
      <c r="D4081" s="16"/>
      <c r="E4081">
        <v>6</v>
      </c>
      <c r="F4081" t="s">
        <v>6689</v>
      </c>
      <c r="G4081">
        <v>1</v>
      </c>
      <c r="H4081">
        <v>1</v>
      </c>
      <c r="I4081">
        <f>1</f>
        <v>1</v>
      </c>
    </row>
    <row r="4082" spans="2:9" x14ac:dyDescent="0.25">
      <c r="B4082">
        <v>0</v>
      </c>
      <c r="C4082" s="16" t="s">
        <v>13345</v>
      </c>
      <c r="D4082" s="16"/>
      <c r="E4082">
        <v>6</v>
      </c>
      <c r="F4082" t="s">
        <v>6695</v>
      </c>
      <c r="G4082">
        <v>1</v>
      </c>
      <c r="H4082">
        <v>1</v>
      </c>
      <c r="I4082">
        <f>1</f>
        <v>1</v>
      </c>
    </row>
    <row r="4083" spans="2:9" x14ac:dyDescent="0.25">
      <c r="B4083">
        <v>0</v>
      </c>
      <c r="C4083" s="16" t="s">
        <v>13346</v>
      </c>
      <c r="D4083" s="16"/>
      <c r="E4083">
        <v>6</v>
      </c>
      <c r="F4083" t="s">
        <v>6696</v>
      </c>
      <c r="G4083">
        <v>1</v>
      </c>
      <c r="H4083">
        <v>1</v>
      </c>
      <c r="I4083">
        <f>1</f>
        <v>1</v>
      </c>
    </row>
    <row r="4084" spans="2:9" x14ac:dyDescent="0.25">
      <c r="B4084">
        <v>0</v>
      </c>
      <c r="C4084" s="16" t="s">
        <v>13347</v>
      </c>
      <c r="D4084" s="16"/>
      <c r="E4084">
        <v>6</v>
      </c>
      <c r="F4084" t="e">
        <f>-folhas para marcar a ferro</f>
        <v>#NAME?</v>
      </c>
      <c r="G4084">
        <v>1</v>
      </c>
      <c r="H4084">
        <v>1</v>
      </c>
      <c r="I4084">
        <f>1</f>
        <v>1</v>
      </c>
    </row>
    <row r="4085" spans="2:9" x14ac:dyDescent="0.25">
      <c r="B4085">
        <v>0</v>
      </c>
      <c r="C4085" s="16" t="s">
        <v>13348</v>
      </c>
      <c r="D4085" s="16"/>
      <c r="E4085">
        <v>6</v>
      </c>
      <c r="F4085" t="s">
        <v>6697</v>
      </c>
      <c r="G4085">
        <v>1</v>
      </c>
      <c r="H4085">
        <v>1</v>
      </c>
      <c r="I4085">
        <f>1</f>
        <v>1</v>
      </c>
    </row>
    <row r="4086" spans="2:9" x14ac:dyDescent="0.25">
      <c r="B4086">
        <v>0</v>
      </c>
      <c r="C4086" s="16" t="s">
        <v>13349</v>
      </c>
      <c r="D4086" s="16"/>
      <c r="E4086">
        <v>6</v>
      </c>
      <c r="F4086" t="s">
        <v>4680</v>
      </c>
      <c r="G4086">
        <v>1</v>
      </c>
      <c r="H4086">
        <v>1</v>
      </c>
      <c r="I4086">
        <f>1</f>
        <v>1</v>
      </c>
    </row>
    <row r="4087" spans="2:9" x14ac:dyDescent="0.25">
      <c r="B4087">
        <v>0</v>
      </c>
      <c r="C4087" s="16" t="s">
        <v>13350</v>
      </c>
      <c r="D4087" s="16"/>
      <c r="E4087">
        <v>6</v>
      </c>
      <c r="F4087" t="e">
        <f>-Cores em sortidos</f>
        <v>#NAME?</v>
      </c>
      <c r="G4087">
        <v>1</v>
      </c>
      <c r="H4087">
        <v>1</v>
      </c>
      <c r="I4087">
        <f>1</f>
        <v>1</v>
      </c>
    </row>
    <row r="4088" spans="2:9" x14ac:dyDescent="0.25">
      <c r="B4088">
        <v>0</v>
      </c>
      <c r="C4088" s="16" t="s">
        <v>13351</v>
      </c>
      <c r="D4088" s="16"/>
      <c r="E4088">
        <v>6</v>
      </c>
      <c r="F4088" t="e">
        <f>-Outras</f>
        <v>#NAME?</v>
      </c>
      <c r="G4088">
        <v>1</v>
      </c>
      <c r="H4088">
        <v>1</v>
      </c>
      <c r="I4088">
        <f>1</f>
        <v>1</v>
      </c>
    </row>
    <row r="4089" spans="2:9" x14ac:dyDescent="0.25">
      <c r="B4089">
        <v>0</v>
      </c>
      <c r="C4089" s="16" t="s">
        <v>13352</v>
      </c>
      <c r="D4089" s="16"/>
      <c r="E4089">
        <v>6</v>
      </c>
      <c r="F4089" t="s">
        <v>6698</v>
      </c>
      <c r="G4089">
        <v>1</v>
      </c>
      <c r="H4089">
        <v>1</v>
      </c>
      <c r="I4089">
        <f>1</f>
        <v>1</v>
      </c>
    </row>
    <row r="4090" spans="2:9" x14ac:dyDescent="0.25">
      <c r="B4090">
        <v>0</v>
      </c>
      <c r="C4090" s="16" t="s">
        <v>13353</v>
      </c>
      <c r="D4090" s="16"/>
      <c r="E4090">
        <v>6</v>
      </c>
      <c r="F4090" t="s">
        <v>6699</v>
      </c>
      <c r="G4090">
        <v>1</v>
      </c>
      <c r="H4090">
        <v>1</v>
      </c>
      <c r="I4090">
        <f>1</f>
        <v>1</v>
      </c>
    </row>
    <row r="4091" spans="2:9" x14ac:dyDescent="0.25">
      <c r="B4091">
        <v>0</v>
      </c>
      <c r="C4091" s="16" t="s">
        <v>13354</v>
      </c>
      <c r="D4091" s="16"/>
      <c r="E4091">
        <v>6</v>
      </c>
      <c r="F4091" t="e">
        <f>-outros</f>
        <v>#NAME?</v>
      </c>
      <c r="G4091">
        <v>1</v>
      </c>
      <c r="H4091">
        <v>1</v>
      </c>
      <c r="I4091">
        <f>1</f>
        <v>1</v>
      </c>
    </row>
    <row r="4092" spans="2:9" x14ac:dyDescent="0.25">
      <c r="B4092">
        <v>0</v>
      </c>
      <c r="C4092" s="16" t="s">
        <v>13355</v>
      </c>
      <c r="D4092" s="16"/>
      <c r="E4092">
        <v>6</v>
      </c>
      <c r="F4092" t="e">
        <f>--Pretas</f>
        <v>#NAME?</v>
      </c>
      <c r="G4092">
        <v>1</v>
      </c>
      <c r="H4092">
        <v>1</v>
      </c>
      <c r="I4092">
        <f>1</f>
        <v>1</v>
      </c>
    </row>
    <row r="4093" spans="2:9" x14ac:dyDescent="0.25">
      <c r="B4093">
        <v>0</v>
      </c>
      <c r="C4093" s="16" t="s">
        <v>13356</v>
      </c>
      <c r="D4093" s="16"/>
      <c r="E4093">
        <v>6</v>
      </c>
      <c r="F4093" t="e">
        <f>--Outras</f>
        <v>#NAME?</v>
      </c>
      <c r="G4093">
        <v>1</v>
      </c>
      <c r="H4093">
        <v>1</v>
      </c>
      <c r="I4093">
        <f>1</f>
        <v>1</v>
      </c>
    </row>
    <row r="4094" spans="2:9" x14ac:dyDescent="0.25">
      <c r="B4094">
        <v>0</v>
      </c>
      <c r="C4094" s="16" t="s">
        <v>13357</v>
      </c>
      <c r="D4094" s="16"/>
      <c r="E4094">
        <v>6</v>
      </c>
      <c r="F4094" t="e">
        <f>-Outras</f>
        <v>#NAME?</v>
      </c>
      <c r="G4094">
        <v>1</v>
      </c>
      <c r="H4094">
        <v>1</v>
      </c>
      <c r="I4094">
        <f>1</f>
        <v>1</v>
      </c>
    </row>
    <row r="4095" spans="2:9" x14ac:dyDescent="0.25">
      <c r="B4095">
        <v>0</v>
      </c>
      <c r="C4095" s="16" t="s">
        <v>13358</v>
      </c>
      <c r="D4095" s="16"/>
      <c r="E4095">
        <v>6</v>
      </c>
      <c r="F4095" t="s">
        <v>6700</v>
      </c>
      <c r="G4095">
        <v>1</v>
      </c>
      <c r="H4095">
        <v>1</v>
      </c>
      <c r="I4095">
        <f>1</f>
        <v>1</v>
      </c>
    </row>
    <row r="4096" spans="2:9" x14ac:dyDescent="0.25">
      <c r="B4096">
        <v>0</v>
      </c>
      <c r="C4096" s="16" t="s">
        <v>13359</v>
      </c>
      <c r="D4096" s="16"/>
      <c r="E4096">
        <v>6</v>
      </c>
      <c r="F4096" t="s">
        <v>4680</v>
      </c>
      <c r="G4096">
        <v>1</v>
      </c>
      <c r="H4096">
        <v>1</v>
      </c>
      <c r="I4096">
        <f>1</f>
        <v>1</v>
      </c>
    </row>
    <row r="4097" spans="2:9" x14ac:dyDescent="0.25">
      <c r="B4097">
        <v>0</v>
      </c>
      <c r="C4097" s="16" t="s">
        <v>13360</v>
      </c>
      <c r="D4097" s="16"/>
      <c r="E4097">
        <v>6</v>
      </c>
      <c r="F4097" t="e">
        <f>--De limão</f>
        <v>#NAME?</v>
      </c>
      <c r="G4097">
        <v>1</v>
      </c>
      <c r="H4097">
        <v>1</v>
      </c>
      <c r="I4097">
        <f>1</f>
        <v>1</v>
      </c>
    </row>
    <row r="4098" spans="2:9" x14ac:dyDescent="0.25">
      <c r="B4098">
        <v>0</v>
      </c>
      <c r="C4098" s="16" t="s">
        <v>13361</v>
      </c>
      <c r="D4098" s="16"/>
      <c r="E4098">
        <v>6</v>
      </c>
      <c r="F4098" t="s">
        <v>6701</v>
      </c>
      <c r="G4098">
        <v>1</v>
      </c>
      <c r="H4098">
        <v>1</v>
      </c>
      <c r="I4098">
        <f>1</f>
        <v>1</v>
      </c>
    </row>
    <row r="4099" spans="2:9" x14ac:dyDescent="0.25">
      <c r="B4099">
        <v>0</v>
      </c>
      <c r="C4099" s="16" t="s">
        <v>13362</v>
      </c>
      <c r="D4099" s="16"/>
      <c r="E4099">
        <v>6</v>
      </c>
      <c r="F4099" t="s">
        <v>4680</v>
      </c>
      <c r="G4099">
        <v>1</v>
      </c>
      <c r="H4099">
        <v>1</v>
      </c>
      <c r="I4099">
        <f>1</f>
        <v>1</v>
      </c>
    </row>
    <row r="4100" spans="2:9" x14ac:dyDescent="0.25">
      <c r="B4100">
        <v>0</v>
      </c>
      <c r="C4100" s="16" t="s">
        <v>13363</v>
      </c>
      <c r="D4100" s="16"/>
      <c r="E4100">
        <v>6</v>
      </c>
      <c r="F4100" t="e">
        <f>--De hortelã-Pimenta  Mentha piperita</f>
        <v>#NAME?</v>
      </c>
      <c r="G4100">
        <v>1</v>
      </c>
      <c r="H4100">
        <v>1</v>
      </c>
      <c r="I4100">
        <f>1</f>
        <v>1</v>
      </c>
    </row>
    <row r="4101" spans="2:9" x14ac:dyDescent="0.25">
      <c r="B4101">
        <v>0</v>
      </c>
      <c r="C4101" s="16" t="s">
        <v>13364</v>
      </c>
      <c r="D4101" s="16"/>
      <c r="E4101">
        <v>6</v>
      </c>
      <c r="F4101" t="s">
        <v>6702</v>
      </c>
      <c r="G4101">
        <v>1</v>
      </c>
      <c r="H4101">
        <v>1</v>
      </c>
      <c r="I4101">
        <f>1</f>
        <v>1</v>
      </c>
    </row>
    <row r="4102" spans="2:9" x14ac:dyDescent="0.25">
      <c r="B4102">
        <v>0</v>
      </c>
      <c r="C4102" s="16" t="s">
        <v>13365</v>
      </c>
      <c r="D4102" s="16"/>
      <c r="E4102">
        <v>6</v>
      </c>
      <c r="F4102" t="s">
        <v>6703</v>
      </c>
      <c r="G4102">
        <v>1</v>
      </c>
      <c r="H4102">
        <v>1</v>
      </c>
      <c r="I4102">
        <f>1</f>
        <v>1</v>
      </c>
    </row>
    <row r="4103" spans="2:9" x14ac:dyDescent="0.25">
      <c r="B4103">
        <v>0</v>
      </c>
      <c r="C4103" s="16" t="s">
        <v>13366</v>
      </c>
      <c r="D4103" s="16"/>
      <c r="E4103">
        <v>6</v>
      </c>
      <c r="F4103" t="s">
        <v>4680</v>
      </c>
      <c r="G4103">
        <v>1</v>
      </c>
      <c r="H4103">
        <v>1</v>
      </c>
      <c r="I4103">
        <f>1</f>
        <v>1</v>
      </c>
    </row>
    <row r="4104" spans="2:9" x14ac:dyDescent="0.25">
      <c r="B4104">
        <v>0</v>
      </c>
      <c r="C4104" s="16" t="s">
        <v>13367</v>
      </c>
      <c r="D4104" s="16"/>
      <c r="E4104">
        <v>6</v>
      </c>
      <c r="F4104" t="s">
        <v>6704</v>
      </c>
      <c r="G4104">
        <v>1</v>
      </c>
      <c r="H4104">
        <v>1</v>
      </c>
      <c r="I4104">
        <f>1</f>
        <v>1</v>
      </c>
    </row>
    <row r="4105" spans="2:9" x14ac:dyDescent="0.25">
      <c r="B4105">
        <v>0</v>
      </c>
      <c r="C4105" s="16" t="s">
        <v>13368</v>
      </c>
      <c r="D4105" s="16"/>
      <c r="E4105">
        <v>6</v>
      </c>
      <c r="F4105" t="s">
        <v>6705</v>
      </c>
      <c r="G4105">
        <v>1</v>
      </c>
      <c r="H4105">
        <v>1</v>
      </c>
      <c r="I4105">
        <f>1</f>
        <v>1</v>
      </c>
    </row>
    <row r="4106" spans="2:9" x14ac:dyDescent="0.25">
      <c r="B4106">
        <v>0</v>
      </c>
      <c r="C4106" s="16" t="s">
        <v>13369</v>
      </c>
      <c r="D4106" s="16"/>
      <c r="E4106">
        <v>6</v>
      </c>
      <c r="F4106" t="s">
        <v>6706</v>
      </c>
      <c r="G4106">
        <v>1</v>
      </c>
      <c r="H4106">
        <v>1</v>
      </c>
      <c r="I4106">
        <f>1</f>
        <v>1</v>
      </c>
    </row>
    <row r="4107" spans="2:9" x14ac:dyDescent="0.25">
      <c r="B4107">
        <v>0</v>
      </c>
      <c r="C4107" s="16" t="s">
        <v>13370</v>
      </c>
      <c r="D4107" s="16"/>
      <c r="E4107">
        <v>6</v>
      </c>
      <c r="F4107" t="s">
        <v>6707</v>
      </c>
      <c r="G4107">
        <v>1</v>
      </c>
      <c r="H4107">
        <v>1</v>
      </c>
      <c r="I4107">
        <f>1</f>
        <v>1</v>
      </c>
    </row>
    <row r="4108" spans="2:9" x14ac:dyDescent="0.25">
      <c r="B4108">
        <v>0</v>
      </c>
      <c r="C4108" s="16" t="s">
        <v>13371</v>
      </c>
      <c r="D4108" s="16"/>
      <c r="E4108">
        <v>6</v>
      </c>
      <c r="F4108" t="s">
        <v>6708</v>
      </c>
      <c r="G4108">
        <v>1</v>
      </c>
      <c r="H4108">
        <v>1</v>
      </c>
      <c r="I4108">
        <f>1</f>
        <v>1</v>
      </c>
    </row>
    <row r="4109" spans="2:9" x14ac:dyDescent="0.25">
      <c r="B4109">
        <v>0</v>
      </c>
      <c r="C4109" s="16" t="s">
        <v>13372</v>
      </c>
      <c r="D4109" s="16"/>
      <c r="E4109">
        <v>6</v>
      </c>
      <c r="F4109" t="s">
        <v>6709</v>
      </c>
      <c r="G4109">
        <v>1</v>
      </c>
      <c r="H4109">
        <v>1</v>
      </c>
      <c r="I4109">
        <f>1</f>
        <v>1</v>
      </c>
    </row>
    <row r="4110" spans="2:9" x14ac:dyDescent="0.25">
      <c r="B4110">
        <v>0</v>
      </c>
      <c r="C4110" s="16" t="s">
        <v>13373</v>
      </c>
      <c r="D4110" s="16"/>
      <c r="E4110">
        <v>6</v>
      </c>
      <c r="F4110" t="s">
        <v>6710</v>
      </c>
      <c r="G4110">
        <v>1</v>
      </c>
      <c r="H4110">
        <v>1</v>
      </c>
      <c r="I4110">
        <f>1</f>
        <v>1</v>
      </c>
    </row>
    <row r="4111" spans="2:9" x14ac:dyDescent="0.25">
      <c r="B4111">
        <v>0</v>
      </c>
      <c r="C4111" s="16" t="s">
        <v>13374</v>
      </c>
      <c r="D4111" s="16"/>
      <c r="E4111">
        <v>6</v>
      </c>
      <c r="F4111" t="s">
        <v>6711</v>
      </c>
      <c r="G4111">
        <v>1</v>
      </c>
      <c r="H4111">
        <v>1</v>
      </c>
      <c r="I4111">
        <f>1</f>
        <v>1</v>
      </c>
    </row>
    <row r="4112" spans="2:9" x14ac:dyDescent="0.25">
      <c r="B4112">
        <v>0</v>
      </c>
      <c r="C4112" s="16" t="s">
        <v>13375</v>
      </c>
      <c r="D4112" s="16"/>
      <c r="E4112">
        <v>6</v>
      </c>
      <c r="F4112" t="s">
        <v>6712</v>
      </c>
      <c r="G4112">
        <v>1</v>
      </c>
      <c r="H4112">
        <v>1</v>
      </c>
      <c r="I4112">
        <f>1</f>
        <v>1</v>
      </c>
    </row>
    <row r="4113" spans="2:9" x14ac:dyDescent="0.25">
      <c r="B4113">
        <v>0</v>
      </c>
      <c r="C4113" s="16" t="s">
        <v>13376</v>
      </c>
      <c r="D4113" s="16"/>
      <c r="E4113">
        <v>6</v>
      </c>
      <c r="F4113" t="s">
        <v>6713</v>
      </c>
      <c r="G4113">
        <v>1</v>
      </c>
      <c r="H4113">
        <v>1</v>
      </c>
      <c r="I4113">
        <f>1</f>
        <v>1</v>
      </c>
    </row>
    <row r="4114" spans="2:9" x14ac:dyDescent="0.25">
      <c r="B4114">
        <v>0</v>
      </c>
      <c r="C4114" s="16" t="s">
        <v>13377</v>
      </c>
      <c r="D4114" s="16"/>
      <c r="E4114">
        <v>6</v>
      </c>
      <c r="F4114" t="s">
        <v>6714</v>
      </c>
      <c r="G4114">
        <v>1</v>
      </c>
      <c r="H4114">
        <v>1</v>
      </c>
      <c r="I4114">
        <f>1</f>
        <v>1</v>
      </c>
    </row>
    <row r="4115" spans="2:9" x14ac:dyDescent="0.25">
      <c r="B4115">
        <v>0</v>
      </c>
      <c r="C4115" s="16" t="s">
        <v>13378</v>
      </c>
      <c r="D4115" s="16"/>
      <c r="E4115">
        <v>6</v>
      </c>
      <c r="F4115" t="s">
        <v>4680</v>
      </c>
      <c r="G4115">
        <v>1</v>
      </c>
      <c r="H4115">
        <v>1</v>
      </c>
      <c r="I4115">
        <f>1</f>
        <v>1</v>
      </c>
    </row>
    <row r="4116" spans="2:9" x14ac:dyDescent="0.25">
      <c r="B4116">
        <v>0</v>
      </c>
      <c r="C4116" s="16" t="s">
        <v>13379</v>
      </c>
      <c r="D4116" s="16"/>
      <c r="E4116">
        <v>6</v>
      </c>
      <c r="F4116" t="e">
        <f>-Resinóides</f>
        <v>#NAME?</v>
      </c>
      <c r="G4116">
        <v>1</v>
      </c>
      <c r="H4116">
        <v>1</v>
      </c>
      <c r="I4116">
        <f>1</f>
        <v>1</v>
      </c>
    </row>
    <row r="4117" spans="2:9" x14ac:dyDescent="0.25">
      <c r="B4117">
        <v>0</v>
      </c>
      <c r="C4117" s="16" t="s">
        <v>13380</v>
      </c>
      <c r="D4117" s="16"/>
      <c r="E4117">
        <v>6</v>
      </c>
      <c r="F4117" t="s">
        <v>6715</v>
      </c>
      <c r="G4117">
        <v>1</v>
      </c>
      <c r="H4117">
        <v>1</v>
      </c>
      <c r="I4117">
        <f>1</f>
        <v>1</v>
      </c>
    </row>
    <row r="4118" spans="2:9" x14ac:dyDescent="0.25">
      <c r="B4118">
        <v>0</v>
      </c>
      <c r="C4118" s="16" t="s">
        <v>13381</v>
      </c>
      <c r="D4118" s="16"/>
      <c r="E4118">
        <v>6</v>
      </c>
      <c r="F4118" t="s">
        <v>6716</v>
      </c>
      <c r="G4118">
        <v>1</v>
      </c>
      <c r="H4118">
        <v>1</v>
      </c>
      <c r="I4118">
        <f>1</f>
        <v>1</v>
      </c>
    </row>
    <row r="4119" spans="2:9" x14ac:dyDescent="0.25">
      <c r="B4119">
        <v>0</v>
      </c>
      <c r="C4119" s="16" t="s">
        <v>13382</v>
      </c>
      <c r="D4119" s="16"/>
      <c r="E4119">
        <v>6</v>
      </c>
      <c r="F4119" t="s">
        <v>6717</v>
      </c>
      <c r="G4119">
        <v>1</v>
      </c>
      <c r="H4119">
        <v>1</v>
      </c>
      <c r="I4119">
        <f>1</f>
        <v>1</v>
      </c>
    </row>
    <row r="4120" spans="2:9" x14ac:dyDescent="0.25">
      <c r="B4120">
        <v>0</v>
      </c>
      <c r="C4120" s="16" t="s">
        <v>13383</v>
      </c>
      <c r="D4120" s="16"/>
      <c r="E4120">
        <v>6</v>
      </c>
      <c r="F4120" t="s">
        <v>6718</v>
      </c>
      <c r="G4120">
        <v>1</v>
      </c>
      <c r="H4120">
        <v>1</v>
      </c>
      <c r="I4120">
        <f>1</f>
        <v>1</v>
      </c>
    </row>
    <row r="4121" spans="2:9" x14ac:dyDescent="0.25">
      <c r="B4121">
        <v>0</v>
      </c>
      <c r="C4121" s="16" t="s">
        <v>13384</v>
      </c>
      <c r="D4121" s="16"/>
      <c r="E4121">
        <v>6</v>
      </c>
      <c r="F4121" t="e">
        <f>-dos tipos utilizados para as indústrias alimentares ou De bebidas</f>
        <v>#NAME?</v>
      </c>
      <c r="G4121">
        <v>1</v>
      </c>
      <c r="H4121">
        <v>1</v>
      </c>
      <c r="I4121">
        <f>1</f>
        <v>1</v>
      </c>
    </row>
    <row r="4122" spans="2:9" x14ac:dyDescent="0.25">
      <c r="B4122">
        <v>0</v>
      </c>
      <c r="C4122" s="16" t="s">
        <v>13385</v>
      </c>
      <c r="D4122" s="16"/>
      <c r="E4122">
        <v>6</v>
      </c>
      <c r="F4122" t="s">
        <v>6719</v>
      </c>
      <c r="G4122">
        <v>1</v>
      </c>
      <c r="H4122">
        <v>1</v>
      </c>
      <c r="I4122">
        <f>1</f>
        <v>1</v>
      </c>
    </row>
    <row r="4123" spans="2:9" x14ac:dyDescent="0.25">
      <c r="B4123">
        <v>0</v>
      </c>
      <c r="C4123" s="16" t="s">
        <v>13386</v>
      </c>
      <c r="D4123" s="16"/>
      <c r="E4123">
        <v>6</v>
      </c>
      <c r="F4123" t="s">
        <v>4690</v>
      </c>
      <c r="G4123">
        <v>1</v>
      </c>
      <c r="H4123">
        <v>1</v>
      </c>
      <c r="I4123">
        <f>1</f>
        <v>1</v>
      </c>
    </row>
    <row r="4124" spans="2:9" x14ac:dyDescent="0.25">
      <c r="B4124">
        <v>0</v>
      </c>
      <c r="C4124" s="16" t="s">
        <v>13387</v>
      </c>
      <c r="D4124" s="16"/>
      <c r="E4124">
        <v>6</v>
      </c>
      <c r="F4124" t="s">
        <v>4690</v>
      </c>
      <c r="G4124">
        <v>1</v>
      </c>
      <c r="H4124">
        <v>1</v>
      </c>
      <c r="I4124">
        <f>1</f>
        <v>1</v>
      </c>
    </row>
    <row r="4125" spans="2:9" x14ac:dyDescent="0.25">
      <c r="B4125">
        <v>0</v>
      </c>
      <c r="C4125" s="16" t="s">
        <v>13388</v>
      </c>
      <c r="D4125" s="16"/>
      <c r="E4125">
        <v>6</v>
      </c>
      <c r="F4125" t="s">
        <v>6720</v>
      </c>
      <c r="G4125">
        <v>1</v>
      </c>
      <c r="H4125">
        <v>1</v>
      </c>
      <c r="I4125">
        <f>1</f>
        <v>1</v>
      </c>
    </row>
    <row r="4126" spans="2:9" x14ac:dyDescent="0.25">
      <c r="B4126">
        <v>0</v>
      </c>
      <c r="C4126" s="16" t="s">
        <v>13389</v>
      </c>
      <c r="D4126" s="16"/>
      <c r="E4126">
        <v>6</v>
      </c>
      <c r="F4126" t="s">
        <v>6721</v>
      </c>
      <c r="G4126">
        <v>1</v>
      </c>
      <c r="H4126">
        <v>1</v>
      </c>
      <c r="I4126">
        <f>1</f>
        <v>1</v>
      </c>
    </row>
    <row r="4127" spans="2:9" x14ac:dyDescent="0.25">
      <c r="B4127">
        <v>0</v>
      </c>
      <c r="C4127" s="16" t="s">
        <v>13390</v>
      </c>
      <c r="D4127" s="16"/>
      <c r="E4127">
        <v>6</v>
      </c>
      <c r="F4127" t="e">
        <f>-produtos De maquiagem para os lábios</f>
        <v>#NAME?</v>
      </c>
      <c r="G4127">
        <v>1</v>
      </c>
      <c r="H4127">
        <v>1</v>
      </c>
      <c r="I4127">
        <f>1</f>
        <v>1</v>
      </c>
    </row>
    <row r="4128" spans="2:9" x14ac:dyDescent="0.25">
      <c r="B4128">
        <v>0</v>
      </c>
      <c r="C4128" s="16" t="s">
        <v>13391</v>
      </c>
      <c r="D4128" s="16"/>
      <c r="E4128">
        <v>6</v>
      </c>
      <c r="F4128" t="s">
        <v>6722</v>
      </c>
      <c r="G4128">
        <v>1</v>
      </c>
      <c r="H4128">
        <v>1</v>
      </c>
      <c r="I4128">
        <f>1</f>
        <v>1</v>
      </c>
    </row>
    <row r="4129" spans="2:9" x14ac:dyDescent="0.25">
      <c r="B4129">
        <v>0</v>
      </c>
      <c r="C4129" s="16" t="s">
        <v>13392</v>
      </c>
      <c r="D4129" s="16"/>
      <c r="E4129">
        <v>6</v>
      </c>
      <c r="F4129" t="s">
        <v>4680</v>
      </c>
      <c r="G4129">
        <v>1</v>
      </c>
      <c r="H4129">
        <v>1</v>
      </c>
      <c r="I4129">
        <f>1</f>
        <v>1</v>
      </c>
    </row>
    <row r="4130" spans="2:9" x14ac:dyDescent="0.25">
      <c r="B4130">
        <v>0</v>
      </c>
      <c r="C4130" s="16" t="s">
        <v>13393</v>
      </c>
      <c r="D4130" s="16"/>
      <c r="E4130">
        <v>6</v>
      </c>
      <c r="F4130" t="e">
        <f>-Preparações para manicuros e pedicuros</f>
        <v>#NAME?</v>
      </c>
      <c r="G4130">
        <v>1</v>
      </c>
      <c r="H4130">
        <v>1</v>
      </c>
      <c r="I4130">
        <f>1</f>
        <v>1</v>
      </c>
    </row>
    <row r="4131" spans="2:9" x14ac:dyDescent="0.25">
      <c r="B4131">
        <v>0</v>
      </c>
      <c r="C4131" s="16" t="s">
        <v>13394</v>
      </c>
      <c r="D4131" s="16"/>
      <c r="E4131">
        <v>6</v>
      </c>
      <c r="F4131" t="s">
        <v>6723</v>
      </c>
      <c r="G4131">
        <v>1</v>
      </c>
      <c r="H4131">
        <v>1</v>
      </c>
      <c r="I4131">
        <f>1</f>
        <v>1</v>
      </c>
    </row>
    <row r="4132" spans="2:9" x14ac:dyDescent="0.25">
      <c r="B4132">
        <v>0</v>
      </c>
      <c r="C4132" s="16" t="s">
        <v>13394</v>
      </c>
      <c r="D4132" s="16" t="s">
        <v>19430</v>
      </c>
      <c r="E4132">
        <v>6</v>
      </c>
      <c r="F4132" t="s">
        <v>6724</v>
      </c>
      <c r="G4132">
        <v>1</v>
      </c>
      <c r="H4132">
        <v>1</v>
      </c>
      <c r="I4132">
        <f>1</f>
        <v>1</v>
      </c>
    </row>
    <row r="4133" spans="2:9" x14ac:dyDescent="0.25">
      <c r="B4133">
        <v>0</v>
      </c>
      <c r="C4133" s="16" t="s">
        <v>13395</v>
      </c>
      <c r="D4133" s="16"/>
      <c r="E4133">
        <v>6</v>
      </c>
      <c r="F4133" t="s">
        <v>6725</v>
      </c>
      <c r="G4133">
        <v>1</v>
      </c>
      <c r="H4133">
        <v>1</v>
      </c>
      <c r="I4133">
        <f>1</f>
        <v>1</v>
      </c>
    </row>
    <row r="4134" spans="2:9" x14ac:dyDescent="0.25">
      <c r="B4134">
        <v>0</v>
      </c>
      <c r="C4134" s="16" t="s">
        <v>13396</v>
      </c>
      <c r="D4134" s="16"/>
      <c r="E4134">
        <v>6</v>
      </c>
      <c r="F4134" t="s">
        <v>4680</v>
      </c>
      <c r="G4134">
        <v>1</v>
      </c>
      <c r="H4134">
        <v>1</v>
      </c>
      <c r="I4134">
        <f>1</f>
        <v>1</v>
      </c>
    </row>
    <row r="4135" spans="2:9" x14ac:dyDescent="0.25">
      <c r="B4135">
        <v>0</v>
      </c>
      <c r="C4135" s="16" t="s">
        <v>13396</v>
      </c>
      <c r="D4135" s="16" t="s">
        <v>19430</v>
      </c>
      <c r="E4135">
        <v>6</v>
      </c>
      <c r="F4135" t="s">
        <v>6726</v>
      </c>
      <c r="G4135">
        <v>1</v>
      </c>
      <c r="H4135">
        <v>1</v>
      </c>
      <c r="I4135">
        <f>1</f>
        <v>1</v>
      </c>
    </row>
    <row r="4136" spans="2:9" x14ac:dyDescent="0.25">
      <c r="B4136">
        <v>0</v>
      </c>
      <c r="C4136" s="16" t="s">
        <v>13396</v>
      </c>
      <c r="D4136" s="16" t="s">
        <v>19431</v>
      </c>
      <c r="E4136">
        <v>6</v>
      </c>
      <c r="F4136" t="s">
        <v>6727</v>
      </c>
      <c r="G4136">
        <v>1</v>
      </c>
      <c r="H4136">
        <v>1</v>
      </c>
      <c r="I4136">
        <f>1</f>
        <v>1</v>
      </c>
    </row>
    <row r="4137" spans="2:9" x14ac:dyDescent="0.25">
      <c r="B4137">
        <v>0</v>
      </c>
      <c r="C4137" s="16" t="s">
        <v>13397</v>
      </c>
      <c r="D4137" s="16"/>
      <c r="E4137">
        <v>6</v>
      </c>
      <c r="F4137" t="e">
        <f>-Xampus</f>
        <v>#NAME?</v>
      </c>
      <c r="G4137">
        <v>1</v>
      </c>
      <c r="H4137">
        <v>1</v>
      </c>
      <c r="I4137">
        <f>1</f>
        <v>1</v>
      </c>
    </row>
    <row r="4138" spans="2:9" x14ac:dyDescent="0.25">
      <c r="B4138">
        <v>0</v>
      </c>
      <c r="C4138" s="16" t="s">
        <v>13398</v>
      </c>
      <c r="D4138" s="16"/>
      <c r="E4138">
        <v>6</v>
      </c>
      <c r="F4138" t="s">
        <v>6728</v>
      </c>
      <c r="G4138">
        <v>1</v>
      </c>
      <c r="H4138">
        <v>1</v>
      </c>
      <c r="I4138">
        <f>1</f>
        <v>1</v>
      </c>
    </row>
    <row r="4139" spans="2:9" x14ac:dyDescent="0.25">
      <c r="B4139">
        <v>0</v>
      </c>
      <c r="C4139" s="16" t="s">
        <v>13399</v>
      </c>
      <c r="D4139" s="16"/>
      <c r="E4139">
        <v>6</v>
      </c>
      <c r="F4139" t="e">
        <f>-Laquês para o cabelo</f>
        <v>#NAME?</v>
      </c>
      <c r="G4139">
        <v>1</v>
      </c>
      <c r="H4139">
        <v>1</v>
      </c>
      <c r="I4139">
        <f>1</f>
        <v>1</v>
      </c>
    </row>
    <row r="4140" spans="2:9" x14ac:dyDescent="0.25">
      <c r="B4140">
        <v>0</v>
      </c>
      <c r="C4140" s="16" t="s">
        <v>13400</v>
      </c>
      <c r="D4140" s="16"/>
      <c r="E4140">
        <v>6</v>
      </c>
      <c r="F4140" t="e">
        <f>-Outras</f>
        <v>#NAME?</v>
      </c>
      <c r="G4140">
        <v>1</v>
      </c>
      <c r="H4140">
        <v>1</v>
      </c>
      <c r="I4140">
        <f>1</f>
        <v>1</v>
      </c>
    </row>
    <row r="4141" spans="2:9" x14ac:dyDescent="0.25">
      <c r="B4141">
        <v>0</v>
      </c>
      <c r="C4141" s="16" t="s">
        <v>13400</v>
      </c>
      <c r="D4141" s="16" t="s">
        <v>19430</v>
      </c>
      <c r="E4141">
        <v>6</v>
      </c>
      <c r="F4141" t="s">
        <v>6729</v>
      </c>
      <c r="G4141">
        <v>1</v>
      </c>
      <c r="H4141">
        <v>1</v>
      </c>
      <c r="I4141">
        <f>1</f>
        <v>1</v>
      </c>
    </row>
    <row r="4142" spans="2:9" x14ac:dyDescent="0.25">
      <c r="B4142">
        <v>0</v>
      </c>
      <c r="C4142" s="16" t="s">
        <v>13401</v>
      </c>
      <c r="D4142" s="16"/>
      <c r="E4142">
        <v>6</v>
      </c>
      <c r="F4142" t="e">
        <f>-Dentifrícios  dentífricos</f>
        <v>#NAME?</v>
      </c>
      <c r="G4142">
        <v>1</v>
      </c>
      <c r="H4142">
        <v>1</v>
      </c>
      <c r="I4142">
        <f>1</f>
        <v>1</v>
      </c>
    </row>
    <row r="4143" spans="2:9" x14ac:dyDescent="0.25">
      <c r="B4143">
        <v>0</v>
      </c>
      <c r="C4143" s="16" t="s">
        <v>13402</v>
      </c>
      <c r="D4143" s="16"/>
      <c r="E4143">
        <v>6</v>
      </c>
      <c r="F4143" t="e">
        <f>-Fios utilizados para limpar os espaços interdentais  Fios dentais</f>
        <v>#NAME?</v>
      </c>
      <c r="G4143">
        <v>1</v>
      </c>
      <c r="H4143">
        <v>1</v>
      </c>
      <c r="I4143">
        <f>1</f>
        <v>1</v>
      </c>
    </row>
    <row r="4144" spans="2:9" x14ac:dyDescent="0.25">
      <c r="B4144">
        <v>0</v>
      </c>
      <c r="C4144" s="16" t="s">
        <v>13403</v>
      </c>
      <c r="D4144" s="16"/>
      <c r="E4144">
        <v>6</v>
      </c>
      <c r="F4144" t="e">
        <f>-Outras</f>
        <v>#NAME?</v>
      </c>
      <c r="G4144">
        <v>1</v>
      </c>
      <c r="H4144">
        <v>1</v>
      </c>
      <c r="I4144">
        <f>1</f>
        <v>1</v>
      </c>
    </row>
    <row r="4145" spans="2:9" x14ac:dyDescent="0.25">
      <c r="B4145">
        <v>0</v>
      </c>
      <c r="C4145" s="16" t="s">
        <v>13404</v>
      </c>
      <c r="D4145" s="16"/>
      <c r="E4145">
        <v>6</v>
      </c>
      <c r="F4145" t="s">
        <v>6730</v>
      </c>
      <c r="G4145">
        <v>1</v>
      </c>
      <c r="H4145">
        <v>1</v>
      </c>
      <c r="I4145">
        <f>1</f>
        <v>1</v>
      </c>
    </row>
    <row r="4146" spans="2:9" x14ac:dyDescent="0.25">
      <c r="B4146">
        <v>0</v>
      </c>
      <c r="C4146" s="16" t="s">
        <v>13405</v>
      </c>
      <c r="D4146" s="16"/>
      <c r="E4146">
        <v>6</v>
      </c>
      <c r="F4146" t="s">
        <v>6731</v>
      </c>
      <c r="G4146">
        <v>1</v>
      </c>
      <c r="H4146">
        <v>1</v>
      </c>
      <c r="I4146">
        <f>1</f>
        <v>1</v>
      </c>
    </row>
    <row r="4147" spans="2:9" x14ac:dyDescent="0.25">
      <c r="B4147">
        <v>0</v>
      </c>
      <c r="C4147" s="16" t="s">
        <v>13406</v>
      </c>
      <c r="D4147" s="16"/>
      <c r="E4147">
        <v>6</v>
      </c>
      <c r="F4147" t="s">
        <v>4680</v>
      </c>
      <c r="G4147">
        <v>1</v>
      </c>
      <c r="H4147">
        <v>1</v>
      </c>
      <c r="I4147">
        <f>1</f>
        <v>1</v>
      </c>
    </row>
    <row r="4148" spans="2:9" x14ac:dyDescent="0.25">
      <c r="B4148">
        <v>0</v>
      </c>
      <c r="C4148" s="16" t="s">
        <v>13407</v>
      </c>
      <c r="D4148" s="16"/>
      <c r="E4148">
        <v>6</v>
      </c>
      <c r="F4148" t="e">
        <f>-sais perfumados e Outras Preparações para banhos</f>
        <v>#NAME?</v>
      </c>
      <c r="G4148">
        <v>1</v>
      </c>
      <c r="H4148">
        <v>1</v>
      </c>
      <c r="I4148">
        <f>1</f>
        <v>1</v>
      </c>
    </row>
    <row r="4149" spans="2:9" x14ac:dyDescent="0.25">
      <c r="B4149">
        <v>0</v>
      </c>
      <c r="C4149" s="16" t="s">
        <v>13408</v>
      </c>
      <c r="D4149" s="16"/>
      <c r="E4149">
        <v>6</v>
      </c>
      <c r="F4149" t="e">
        <f>--Agarbate e Outras Preparações odoríferas que atuem por combustão</f>
        <v>#NAME?</v>
      </c>
      <c r="G4149">
        <v>1</v>
      </c>
      <c r="H4149">
        <v>1</v>
      </c>
      <c r="I4149">
        <f>1</f>
        <v>1</v>
      </c>
    </row>
    <row r="4150" spans="2:9" x14ac:dyDescent="0.25">
      <c r="B4150">
        <v>0</v>
      </c>
      <c r="C4150" s="16" t="s">
        <v>13409</v>
      </c>
      <c r="D4150" s="16"/>
      <c r="E4150">
        <v>6</v>
      </c>
      <c r="F4150" t="e">
        <f>--Outras</f>
        <v>#NAME?</v>
      </c>
      <c r="G4150">
        <v>1</v>
      </c>
      <c r="H4150">
        <v>1</v>
      </c>
      <c r="I4150">
        <f>1</f>
        <v>1</v>
      </c>
    </row>
    <row r="4151" spans="2:9" x14ac:dyDescent="0.25">
      <c r="B4151">
        <v>0</v>
      </c>
      <c r="C4151" s="16" t="s">
        <v>13410</v>
      </c>
      <c r="D4151" s="16"/>
      <c r="E4151">
        <v>6</v>
      </c>
      <c r="F4151" t="e">
        <f>-outros</f>
        <v>#NAME?</v>
      </c>
      <c r="G4151">
        <v>1</v>
      </c>
      <c r="H4151">
        <v>1</v>
      </c>
      <c r="I4151">
        <f>1</f>
        <v>1</v>
      </c>
    </row>
    <row r="4152" spans="2:9" x14ac:dyDescent="0.25">
      <c r="B4152">
        <v>0</v>
      </c>
      <c r="C4152" s="16" t="s">
        <v>13410</v>
      </c>
      <c r="D4152" s="16" t="s">
        <v>19430</v>
      </c>
      <c r="E4152">
        <v>6</v>
      </c>
      <c r="F4152" t="s">
        <v>6732</v>
      </c>
      <c r="G4152">
        <v>1</v>
      </c>
      <c r="H4152">
        <v>1</v>
      </c>
      <c r="I4152">
        <f>1</f>
        <v>1</v>
      </c>
    </row>
    <row r="4153" spans="2:9" x14ac:dyDescent="0.25">
      <c r="B4153">
        <v>0</v>
      </c>
      <c r="C4153" s="16" t="s">
        <v>13411</v>
      </c>
      <c r="D4153" s="16"/>
      <c r="E4153">
        <v>6</v>
      </c>
      <c r="F4153" t="s">
        <v>6733</v>
      </c>
      <c r="G4153">
        <v>1</v>
      </c>
      <c r="H4153">
        <v>1</v>
      </c>
      <c r="I4153">
        <f>1</f>
        <v>1</v>
      </c>
    </row>
    <row r="4154" spans="2:9" x14ac:dyDescent="0.25">
      <c r="B4154">
        <v>0</v>
      </c>
      <c r="C4154" s="16" t="s">
        <v>13412</v>
      </c>
      <c r="D4154" s="16"/>
      <c r="E4154">
        <v>6</v>
      </c>
      <c r="F4154" t="s">
        <v>4680</v>
      </c>
      <c r="G4154">
        <v>1</v>
      </c>
      <c r="H4154">
        <v>1</v>
      </c>
      <c r="I4154">
        <f>1</f>
        <v>1</v>
      </c>
    </row>
    <row r="4155" spans="2:9" x14ac:dyDescent="0.25">
      <c r="B4155">
        <v>0</v>
      </c>
      <c r="C4155" s="16" t="s">
        <v>13412</v>
      </c>
      <c r="D4155" s="16" t="s">
        <v>19430</v>
      </c>
      <c r="E4155">
        <v>6</v>
      </c>
      <c r="F4155" t="s">
        <v>6734</v>
      </c>
      <c r="G4155">
        <v>1</v>
      </c>
      <c r="H4155">
        <v>1</v>
      </c>
      <c r="I4155">
        <f>1</f>
        <v>1</v>
      </c>
    </row>
    <row r="4156" spans="2:9" x14ac:dyDescent="0.25">
      <c r="B4156">
        <v>0</v>
      </c>
      <c r="C4156" s="16" t="s">
        <v>13413</v>
      </c>
      <c r="D4156" s="16"/>
      <c r="E4156">
        <v>6</v>
      </c>
      <c r="F4156" t="e">
        <f>--outros</f>
        <v>#NAME?</v>
      </c>
      <c r="G4156">
        <v>1</v>
      </c>
      <c r="H4156">
        <v>1</v>
      </c>
      <c r="I4156">
        <f>1</f>
        <v>1</v>
      </c>
    </row>
    <row r="4157" spans="2:9" x14ac:dyDescent="0.25">
      <c r="B4157">
        <v>0</v>
      </c>
      <c r="C4157" s="16" t="s">
        <v>13413</v>
      </c>
      <c r="D4157" s="16" t="s">
        <v>19430</v>
      </c>
      <c r="E4157">
        <v>6</v>
      </c>
      <c r="F4157" t="s">
        <v>6735</v>
      </c>
      <c r="G4157">
        <v>1</v>
      </c>
      <c r="H4157">
        <v>1</v>
      </c>
      <c r="I4157">
        <f>1</f>
        <v>1</v>
      </c>
    </row>
    <row r="4158" spans="2:9" x14ac:dyDescent="0.25">
      <c r="B4158">
        <v>0</v>
      </c>
      <c r="C4158" s="16" t="s">
        <v>13413</v>
      </c>
      <c r="D4158" s="16" t="s">
        <v>19431</v>
      </c>
      <c r="E4158">
        <v>6</v>
      </c>
      <c r="F4158" t="s">
        <v>6736</v>
      </c>
      <c r="G4158">
        <v>1</v>
      </c>
      <c r="H4158">
        <v>1</v>
      </c>
      <c r="I4158">
        <f>1</f>
        <v>1</v>
      </c>
    </row>
    <row r="4159" spans="2:9" x14ac:dyDescent="0.25">
      <c r="B4159">
        <v>0</v>
      </c>
      <c r="C4159" s="16" t="s">
        <v>13413</v>
      </c>
      <c r="D4159" s="16" t="s">
        <v>19432</v>
      </c>
      <c r="E4159">
        <v>6</v>
      </c>
      <c r="F4159" t="s">
        <v>6737</v>
      </c>
      <c r="G4159">
        <v>1</v>
      </c>
      <c r="H4159">
        <v>1</v>
      </c>
      <c r="I4159">
        <f>1</f>
        <v>1</v>
      </c>
    </row>
    <row r="4160" spans="2:9" x14ac:dyDescent="0.25">
      <c r="B4160">
        <v>0</v>
      </c>
      <c r="C4160" s="16" t="s">
        <v>13414</v>
      </c>
      <c r="D4160" s="16"/>
      <c r="E4160">
        <v>6</v>
      </c>
      <c r="F4160" t="s">
        <v>6738</v>
      </c>
      <c r="G4160">
        <v>1</v>
      </c>
      <c r="H4160">
        <v>1</v>
      </c>
      <c r="I4160">
        <f>1</f>
        <v>1</v>
      </c>
    </row>
    <row r="4161" spans="2:9" x14ac:dyDescent="0.25">
      <c r="B4161">
        <v>0</v>
      </c>
      <c r="C4161" s="16" t="s">
        <v>13415</v>
      </c>
      <c r="D4161" s="16"/>
      <c r="E4161">
        <v>6</v>
      </c>
      <c r="F4161" t="s">
        <v>4680</v>
      </c>
      <c r="G4161">
        <v>1</v>
      </c>
      <c r="H4161">
        <v>1</v>
      </c>
      <c r="I4161">
        <f>1</f>
        <v>1</v>
      </c>
    </row>
    <row r="4162" spans="2:9" x14ac:dyDescent="0.25">
      <c r="B4162">
        <v>0</v>
      </c>
      <c r="C4162" s="16" t="s">
        <v>13416</v>
      </c>
      <c r="D4162" s="16"/>
      <c r="E4162">
        <v>6</v>
      </c>
      <c r="F4162" t="s">
        <v>6739</v>
      </c>
      <c r="G4162">
        <v>1</v>
      </c>
      <c r="H4162">
        <v>1</v>
      </c>
      <c r="I4162">
        <f>1</f>
        <v>1</v>
      </c>
    </row>
    <row r="4163" spans="2:9" x14ac:dyDescent="0.25">
      <c r="B4163">
        <v>0</v>
      </c>
      <c r="C4163" s="16" t="s">
        <v>13417</v>
      </c>
      <c r="D4163" s="16"/>
      <c r="E4163">
        <v>6</v>
      </c>
      <c r="F4163" t="s">
        <v>6740</v>
      </c>
      <c r="G4163">
        <v>1</v>
      </c>
      <c r="H4163">
        <v>1</v>
      </c>
      <c r="I4163">
        <f>1</f>
        <v>1</v>
      </c>
    </row>
    <row r="4164" spans="2:9" x14ac:dyDescent="0.25">
      <c r="B4164">
        <v>0</v>
      </c>
      <c r="C4164" s="16" t="s">
        <v>13418</v>
      </c>
      <c r="D4164" s="16"/>
      <c r="E4164">
        <v>6</v>
      </c>
      <c r="F4164" t="s">
        <v>6741</v>
      </c>
      <c r="G4164">
        <v>1</v>
      </c>
      <c r="H4164">
        <v>1</v>
      </c>
      <c r="I4164">
        <f>1</f>
        <v>1</v>
      </c>
    </row>
    <row r="4165" spans="2:9" x14ac:dyDescent="0.25">
      <c r="B4165">
        <v>0</v>
      </c>
      <c r="C4165" s="16" t="s">
        <v>13419</v>
      </c>
      <c r="D4165" s="16"/>
      <c r="E4165">
        <v>6</v>
      </c>
      <c r="F4165" t="s">
        <v>6742</v>
      </c>
      <c r="G4165">
        <v>1</v>
      </c>
      <c r="H4165">
        <v>1</v>
      </c>
      <c r="I4165">
        <f>1</f>
        <v>1</v>
      </c>
    </row>
    <row r="4166" spans="2:9" x14ac:dyDescent="0.25">
      <c r="B4166">
        <v>0</v>
      </c>
      <c r="C4166" s="16" t="s">
        <v>13420</v>
      </c>
      <c r="D4166" s="16"/>
      <c r="E4166">
        <v>6</v>
      </c>
      <c r="F4166" t="s">
        <v>6743</v>
      </c>
      <c r="G4166">
        <v>1</v>
      </c>
      <c r="H4166">
        <v>1</v>
      </c>
      <c r="I4166">
        <f>1</f>
        <v>1</v>
      </c>
    </row>
    <row r="4167" spans="2:9" x14ac:dyDescent="0.25">
      <c r="B4167">
        <v>0</v>
      </c>
      <c r="C4167" s="16" t="s">
        <v>13421</v>
      </c>
      <c r="D4167" s="16"/>
      <c r="E4167">
        <v>6</v>
      </c>
      <c r="F4167" t="s">
        <v>4680</v>
      </c>
      <c r="G4167">
        <v>1</v>
      </c>
      <c r="H4167">
        <v>1</v>
      </c>
      <c r="I4167">
        <f>1</f>
        <v>1</v>
      </c>
    </row>
    <row r="4168" spans="2:9" x14ac:dyDescent="0.25">
      <c r="B4168">
        <v>0</v>
      </c>
      <c r="C4168" s="16" t="s">
        <v>13422</v>
      </c>
      <c r="D4168" s="16"/>
      <c r="E4168">
        <v>6</v>
      </c>
      <c r="F4168" t="s">
        <v>6744</v>
      </c>
      <c r="G4168">
        <v>1</v>
      </c>
      <c r="H4168">
        <v>1</v>
      </c>
      <c r="I4168">
        <f>1</f>
        <v>1</v>
      </c>
    </row>
    <row r="4169" spans="2:9" x14ac:dyDescent="0.25">
      <c r="B4169">
        <v>0</v>
      </c>
      <c r="C4169" s="16" t="s">
        <v>13423</v>
      </c>
      <c r="D4169" s="16"/>
      <c r="E4169">
        <v>6</v>
      </c>
      <c r="F4169" t="s">
        <v>4680</v>
      </c>
      <c r="G4169">
        <v>1</v>
      </c>
      <c r="H4169">
        <v>1</v>
      </c>
      <c r="I4169">
        <f>1</f>
        <v>1</v>
      </c>
    </row>
    <row r="4170" spans="2:9" x14ac:dyDescent="0.25">
      <c r="B4170">
        <v>0</v>
      </c>
      <c r="C4170" s="16" t="s">
        <v>13424</v>
      </c>
      <c r="D4170" s="16"/>
      <c r="E4170">
        <v>6</v>
      </c>
      <c r="F4170" t="e">
        <f>--Não iônicos</f>
        <v>#NAME?</v>
      </c>
      <c r="G4170">
        <v>1</v>
      </c>
      <c r="H4170">
        <v>1</v>
      </c>
      <c r="I4170">
        <f>1</f>
        <v>1</v>
      </c>
    </row>
    <row r="4171" spans="2:9" x14ac:dyDescent="0.25">
      <c r="B4171">
        <v>0</v>
      </c>
      <c r="C4171" s="16" t="s">
        <v>13425</v>
      </c>
      <c r="D4171" s="16"/>
      <c r="E4171">
        <v>6</v>
      </c>
      <c r="F4171" t="e">
        <f>--outros</f>
        <v>#NAME?</v>
      </c>
      <c r="G4171">
        <v>1</v>
      </c>
      <c r="H4171">
        <v>1</v>
      </c>
      <c r="I4171">
        <f>1</f>
        <v>1</v>
      </c>
    </row>
    <row r="4172" spans="2:9" x14ac:dyDescent="0.25">
      <c r="B4172">
        <v>0</v>
      </c>
      <c r="C4172" s="16" t="s">
        <v>13426</v>
      </c>
      <c r="D4172" s="16"/>
      <c r="E4172">
        <v>6</v>
      </c>
      <c r="F4172" t="e">
        <f>-Preparações acondicionadas para venda a retalho</f>
        <v>#NAME?</v>
      </c>
      <c r="G4172">
        <v>1</v>
      </c>
      <c r="H4172">
        <v>1</v>
      </c>
      <c r="I4172">
        <f>1</f>
        <v>1</v>
      </c>
    </row>
    <row r="4173" spans="2:9" x14ac:dyDescent="0.25">
      <c r="B4173">
        <v>0</v>
      </c>
      <c r="C4173" s="16" t="s">
        <v>13427</v>
      </c>
      <c r="D4173" s="16"/>
      <c r="E4173">
        <v>6</v>
      </c>
      <c r="F4173" t="s">
        <v>6745</v>
      </c>
      <c r="G4173">
        <v>1</v>
      </c>
      <c r="H4173">
        <v>1</v>
      </c>
      <c r="I4173">
        <f>1</f>
        <v>1</v>
      </c>
    </row>
    <row r="4174" spans="2:9" x14ac:dyDescent="0.25">
      <c r="B4174">
        <v>0</v>
      </c>
      <c r="C4174" s="16" t="s">
        <v>13428</v>
      </c>
      <c r="D4174" s="16"/>
      <c r="E4174">
        <v>6</v>
      </c>
      <c r="F4174" t="s">
        <v>4690</v>
      </c>
      <c r="G4174">
        <v>1</v>
      </c>
      <c r="H4174">
        <v>1</v>
      </c>
      <c r="I4174">
        <f>1</f>
        <v>1</v>
      </c>
    </row>
    <row r="4175" spans="2:9" x14ac:dyDescent="0.25">
      <c r="B4175">
        <v>0</v>
      </c>
      <c r="C4175" s="16" t="s">
        <v>13429</v>
      </c>
      <c r="D4175" s="16"/>
      <c r="E4175">
        <v>6</v>
      </c>
      <c r="F4175" t="s">
        <v>6746</v>
      </c>
      <c r="G4175">
        <v>1</v>
      </c>
      <c r="H4175">
        <v>1</v>
      </c>
      <c r="I4175">
        <f>1</f>
        <v>1</v>
      </c>
    </row>
    <row r="4176" spans="2:9" x14ac:dyDescent="0.25">
      <c r="B4176">
        <v>0</v>
      </c>
      <c r="C4176" s="16" t="s">
        <v>13430</v>
      </c>
      <c r="D4176" s="16"/>
      <c r="E4176">
        <v>6</v>
      </c>
      <c r="F4176" t="s">
        <v>6747</v>
      </c>
      <c r="G4176">
        <v>1</v>
      </c>
      <c r="H4176">
        <v>1</v>
      </c>
      <c r="I4176">
        <f>1</f>
        <v>1</v>
      </c>
    </row>
    <row r="4177" spans="2:9" x14ac:dyDescent="0.25">
      <c r="B4177">
        <v>0</v>
      </c>
      <c r="C4177" s="16" t="s">
        <v>13431</v>
      </c>
      <c r="D4177" s="16"/>
      <c r="E4177">
        <v>6</v>
      </c>
      <c r="F4177" t="s">
        <v>6748</v>
      </c>
      <c r="G4177">
        <v>1</v>
      </c>
      <c r="H4177">
        <v>1</v>
      </c>
      <c r="I4177">
        <f>1</f>
        <v>1</v>
      </c>
    </row>
    <row r="4178" spans="2:9" x14ac:dyDescent="0.25">
      <c r="B4178">
        <v>0</v>
      </c>
      <c r="C4178" s="16" t="s">
        <v>13432</v>
      </c>
      <c r="D4178" s="16"/>
      <c r="E4178">
        <v>6</v>
      </c>
      <c r="F4178" t="s">
        <v>4690</v>
      </c>
      <c r="G4178">
        <v>1</v>
      </c>
      <c r="H4178">
        <v>1</v>
      </c>
      <c r="I4178">
        <f>1</f>
        <v>1</v>
      </c>
    </row>
    <row r="4179" spans="2:9" x14ac:dyDescent="0.25">
      <c r="B4179">
        <v>0</v>
      </c>
      <c r="C4179" s="16" t="s">
        <v>13433</v>
      </c>
      <c r="D4179" s="16"/>
      <c r="E4179">
        <v>6</v>
      </c>
      <c r="F4179" t="s">
        <v>6749</v>
      </c>
      <c r="G4179">
        <v>1</v>
      </c>
      <c r="H4179">
        <v>1</v>
      </c>
      <c r="I4179">
        <f>1</f>
        <v>1</v>
      </c>
    </row>
    <row r="4180" spans="2:9" x14ac:dyDescent="0.25">
      <c r="B4180">
        <v>0</v>
      </c>
      <c r="C4180" s="16" t="s">
        <v>13434</v>
      </c>
      <c r="D4180" s="16"/>
      <c r="E4180">
        <v>6</v>
      </c>
      <c r="F4180" t="s">
        <v>4690</v>
      </c>
      <c r="G4180">
        <v>1</v>
      </c>
      <c r="H4180">
        <v>1</v>
      </c>
      <c r="I4180">
        <f>1</f>
        <v>1</v>
      </c>
    </row>
    <row r="4181" spans="2:9" x14ac:dyDescent="0.25">
      <c r="B4181">
        <v>0</v>
      </c>
      <c r="C4181" s="16" t="s">
        <v>13435</v>
      </c>
      <c r="D4181" s="16"/>
      <c r="E4181">
        <v>6</v>
      </c>
      <c r="F4181" t="s">
        <v>4690</v>
      </c>
      <c r="G4181">
        <v>1</v>
      </c>
      <c r="H4181">
        <v>1</v>
      </c>
      <c r="I4181">
        <f>1</f>
        <v>1</v>
      </c>
    </row>
    <row r="4182" spans="2:9" x14ac:dyDescent="0.25">
      <c r="B4182">
        <v>0</v>
      </c>
      <c r="C4182" s="16" t="s">
        <v>13436</v>
      </c>
      <c r="D4182" s="16"/>
      <c r="E4182">
        <v>6</v>
      </c>
      <c r="F4182" t="s">
        <v>6750</v>
      </c>
      <c r="G4182">
        <v>1</v>
      </c>
      <c r="H4182">
        <v>1</v>
      </c>
      <c r="I4182">
        <f>1</f>
        <v>1</v>
      </c>
    </row>
    <row r="4183" spans="2:9" x14ac:dyDescent="0.25">
      <c r="B4183">
        <v>0</v>
      </c>
      <c r="C4183" s="16" t="s">
        <v>13437</v>
      </c>
      <c r="D4183" s="16"/>
      <c r="E4183">
        <v>6</v>
      </c>
      <c r="F4183" t="s">
        <v>6751</v>
      </c>
      <c r="G4183">
        <v>1</v>
      </c>
      <c r="H4183">
        <v>1</v>
      </c>
      <c r="I4183">
        <f>1</f>
        <v>1</v>
      </c>
    </row>
    <row r="4184" spans="2:9" x14ac:dyDescent="0.25">
      <c r="B4184">
        <v>0</v>
      </c>
      <c r="C4184" s="16" t="s">
        <v>13438</v>
      </c>
      <c r="D4184" s="16"/>
      <c r="E4184">
        <v>6</v>
      </c>
      <c r="F4184" t="s">
        <v>4690</v>
      </c>
      <c r="G4184">
        <v>1</v>
      </c>
      <c r="H4184">
        <v>1</v>
      </c>
      <c r="I4184">
        <f>1</f>
        <v>1</v>
      </c>
    </row>
    <row r="4185" spans="2:9" x14ac:dyDescent="0.25">
      <c r="B4185">
        <v>0</v>
      </c>
      <c r="C4185" s="16" t="s">
        <v>13439</v>
      </c>
      <c r="D4185" s="16"/>
      <c r="E4185">
        <v>6</v>
      </c>
      <c r="F4185" t="e">
        <f>--Outras</f>
        <v>#NAME?</v>
      </c>
      <c r="G4185">
        <v>1</v>
      </c>
      <c r="H4185">
        <v>1</v>
      </c>
      <c r="I4185">
        <f>1</f>
        <v>1</v>
      </c>
    </row>
    <row r="4186" spans="2:9" x14ac:dyDescent="0.25">
      <c r="B4186">
        <v>0</v>
      </c>
      <c r="C4186" s="16" t="s">
        <v>13440</v>
      </c>
      <c r="D4186" s="16"/>
      <c r="E4186">
        <v>6</v>
      </c>
      <c r="F4186" t="s">
        <v>6750</v>
      </c>
      <c r="G4186">
        <v>1</v>
      </c>
      <c r="H4186">
        <v>1</v>
      </c>
      <c r="I4186">
        <f>1</f>
        <v>1</v>
      </c>
    </row>
    <row r="4187" spans="2:9" x14ac:dyDescent="0.25">
      <c r="B4187">
        <v>0</v>
      </c>
      <c r="C4187" s="16" t="s">
        <v>13441</v>
      </c>
      <c r="D4187" s="16"/>
      <c r="E4187">
        <v>6</v>
      </c>
      <c r="F4187" t="s">
        <v>6751</v>
      </c>
      <c r="G4187">
        <v>1</v>
      </c>
      <c r="H4187">
        <v>1</v>
      </c>
      <c r="I4187">
        <f>1</f>
        <v>1</v>
      </c>
    </row>
    <row r="4188" spans="2:9" x14ac:dyDescent="0.25">
      <c r="B4188">
        <v>0</v>
      </c>
      <c r="C4188" s="16" t="s">
        <v>13442</v>
      </c>
      <c r="D4188" s="16"/>
      <c r="E4188">
        <v>6</v>
      </c>
      <c r="F4188" t="s">
        <v>4690</v>
      </c>
      <c r="G4188">
        <v>1</v>
      </c>
      <c r="H4188">
        <v>1</v>
      </c>
      <c r="I4188">
        <f>1</f>
        <v>1</v>
      </c>
    </row>
    <row r="4189" spans="2:9" x14ac:dyDescent="0.25">
      <c r="B4189">
        <v>0</v>
      </c>
      <c r="C4189" s="16" t="s">
        <v>13443</v>
      </c>
      <c r="D4189" s="16"/>
      <c r="E4189">
        <v>6</v>
      </c>
      <c r="F4189" t="e">
        <f>--Outras</f>
        <v>#NAME?</v>
      </c>
      <c r="G4189">
        <v>1</v>
      </c>
      <c r="H4189">
        <v>1</v>
      </c>
      <c r="I4189">
        <f>1</f>
        <v>1</v>
      </c>
    </row>
    <row r="4190" spans="2:9" x14ac:dyDescent="0.25">
      <c r="B4190">
        <v>0</v>
      </c>
      <c r="C4190" s="16" t="s">
        <v>13444</v>
      </c>
      <c r="D4190" s="16"/>
      <c r="E4190">
        <v>6</v>
      </c>
      <c r="F4190" t="s">
        <v>6752</v>
      </c>
      <c r="G4190">
        <v>1</v>
      </c>
      <c r="H4190">
        <v>1</v>
      </c>
      <c r="I4190">
        <f>1</f>
        <v>1</v>
      </c>
    </row>
    <row r="4191" spans="2:9" x14ac:dyDescent="0.25">
      <c r="B4191">
        <v>0</v>
      </c>
      <c r="C4191" s="16" t="s">
        <v>13445</v>
      </c>
      <c r="D4191" s="16"/>
      <c r="E4191">
        <v>6</v>
      </c>
      <c r="F4191" t="s">
        <v>6753</v>
      </c>
      <c r="G4191">
        <v>1</v>
      </c>
      <c r="H4191">
        <v>1</v>
      </c>
      <c r="I4191">
        <f>1</f>
        <v>1</v>
      </c>
    </row>
    <row r="4192" spans="2:9" x14ac:dyDescent="0.25">
      <c r="B4192">
        <v>0</v>
      </c>
      <c r="C4192" s="16" t="s">
        <v>13446</v>
      </c>
      <c r="D4192" s="16"/>
      <c r="E4192">
        <v>6</v>
      </c>
      <c r="F4192" t="s">
        <v>6754</v>
      </c>
      <c r="G4192">
        <v>1</v>
      </c>
      <c r="H4192">
        <v>1</v>
      </c>
      <c r="I4192">
        <f>1</f>
        <v>1</v>
      </c>
    </row>
    <row r="4193" spans="2:9" x14ac:dyDescent="0.25">
      <c r="B4193">
        <v>0</v>
      </c>
      <c r="C4193" s="16" t="s">
        <v>13447</v>
      </c>
      <c r="D4193" s="16"/>
      <c r="E4193">
        <v>6</v>
      </c>
      <c r="F4193" t="s">
        <v>6755</v>
      </c>
      <c r="G4193">
        <v>1</v>
      </c>
      <c r="H4193">
        <v>1</v>
      </c>
      <c r="I4193">
        <f>1</f>
        <v>1</v>
      </c>
    </row>
    <row r="4194" spans="2:9" x14ac:dyDescent="0.25">
      <c r="B4194">
        <v>0</v>
      </c>
      <c r="C4194" s="16" t="s">
        <v>13448</v>
      </c>
      <c r="D4194" s="16"/>
      <c r="E4194">
        <v>6</v>
      </c>
      <c r="F4194" t="s">
        <v>6756</v>
      </c>
      <c r="G4194">
        <v>1</v>
      </c>
      <c r="H4194">
        <v>1</v>
      </c>
      <c r="I4194">
        <f>1</f>
        <v>1</v>
      </c>
    </row>
    <row r="4195" spans="2:9" x14ac:dyDescent="0.25">
      <c r="B4195">
        <v>0</v>
      </c>
      <c r="C4195" s="16" t="s">
        <v>13449</v>
      </c>
      <c r="D4195" s="16"/>
      <c r="E4195">
        <v>6</v>
      </c>
      <c r="F4195" t="s">
        <v>6757</v>
      </c>
      <c r="G4195">
        <v>1</v>
      </c>
      <c r="H4195">
        <v>1</v>
      </c>
      <c r="I4195">
        <f>1</f>
        <v>1</v>
      </c>
    </row>
    <row r="4196" spans="2:9" x14ac:dyDescent="0.25">
      <c r="B4196">
        <v>0</v>
      </c>
      <c r="C4196" s="16" t="s">
        <v>13450</v>
      </c>
      <c r="D4196" s="16"/>
      <c r="E4196">
        <v>6</v>
      </c>
      <c r="F4196" t="s">
        <v>4690</v>
      </c>
      <c r="G4196">
        <v>1</v>
      </c>
      <c r="H4196">
        <v>1</v>
      </c>
      <c r="I4196">
        <f>1</f>
        <v>1</v>
      </c>
    </row>
    <row r="4197" spans="2:9" x14ac:dyDescent="0.25">
      <c r="B4197">
        <v>0</v>
      </c>
      <c r="C4197" s="16" t="s">
        <v>13451</v>
      </c>
      <c r="D4197" s="16"/>
      <c r="E4197">
        <v>6</v>
      </c>
      <c r="F4197" t="s">
        <v>6758</v>
      </c>
      <c r="G4197">
        <v>1</v>
      </c>
      <c r="H4197">
        <v>1</v>
      </c>
      <c r="I4197">
        <f>1</f>
        <v>1</v>
      </c>
    </row>
    <row r="4198" spans="2:9" x14ac:dyDescent="0.25">
      <c r="B4198">
        <v>0</v>
      </c>
      <c r="C4198" s="16" t="s">
        <v>13452</v>
      </c>
      <c r="D4198" s="16"/>
      <c r="E4198">
        <v>6</v>
      </c>
      <c r="F4198" t="s">
        <v>4690</v>
      </c>
      <c r="G4198">
        <v>1</v>
      </c>
      <c r="H4198">
        <v>1</v>
      </c>
      <c r="I4198">
        <f>1</f>
        <v>1</v>
      </c>
    </row>
    <row r="4199" spans="2:9" x14ac:dyDescent="0.25">
      <c r="B4199">
        <v>0</v>
      </c>
      <c r="C4199" s="16" t="s">
        <v>13453</v>
      </c>
      <c r="D4199" s="16"/>
      <c r="E4199">
        <v>6</v>
      </c>
      <c r="F4199" t="s">
        <v>6759</v>
      </c>
      <c r="G4199">
        <v>1</v>
      </c>
      <c r="H4199">
        <v>1</v>
      </c>
      <c r="I4199">
        <f>1</f>
        <v>1</v>
      </c>
    </row>
    <row r="4200" spans="2:9" x14ac:dyDescent="0.25">
      <c r="B4200">
        <v>0</v>
      </c>
      <c r="C4200" s="16" t="s">
        <v>13454</v>
      </c>
      <c r="D4200" s="16"/>
      <c r="E4200">
        <v>6</v>
      </c>
      <c r="F4200" t="s">
        <v>6760</v>
      </c>
      <c r="G4200">
        <v>1</v>
      </c>
      <c r="H4200">
        <v>1</v>
      </c>
      <c r="I4200">
        <f>1</f>
        <v>1</v>
      </c>
    </row>
    <row r="4201" spans="2:9" x14ac:dyDescent="0.25">
      <c r="B4201">
        <v>0</v>
      </c>
      <c r="C4201" s="16" t="s">
        <v>13455</v>
      </c>
      <c r="D4201" s="16"/>
      <c r="E4201">
        <v>6</v>
      </c>
      <c r="F4201" t="s">
        <v>6761</v>
      </c>
      <c r="G4201">
        <v>1</v>
      </c>
      <c r="H4201">
        <v>1</v>
      </c>
      <c r="I4201">
        <f>1</f>
        <v>1</v>
      </c>
    </row>
    <row r="4202" spans="2:9" x14ac:dyDescent="0.25">
      <c r="B4202">
        <v>0</v>
      </c>
      <c r="C4202" s="16" t="s">
        <v>13456</v>
      </c>
      <c r="D4202" s="16"/>
      <c r="E4202">
        <v>6</v>
      </c>
      <c r="F4202" t="s">
        <v>6762</v>
      </c>
      <c r="G4202">
        <v>1</v>
      </c>
      <c r="H4202">
        <v>1</v>
      </c>
      <c r="I4202">
        <f>1</f>
        <v>1</v>
      </c>
    </row>
    <row r="4203" spans="2:9" x14ac:dyDescent="0.25">
      <c r="B4203">
        <v>0</v>
      </c>
      <c r="C4203" s="16" t="s">
        <v>13457</v>
      </c>
      <c r="D4203" s="16"/>
      <c r="E4203">
        <v>6</v>
      </c>
      <c r="F4203" t="e">
        <f>-outros</f>
        <v>#NAME?</v>
      </c>
      <c r="G4203">
        <v>1</v>
      </c>
      <c r="H4203">
        <v>1</v>
      </c>
      <c r="I4203">
        <f>1</f>
        <v>1</v>
      </c>
    </row>
    <row r="4204" spans="2:9" x14ac:dyDescent="0.25">
      <c r="B4204">
        <v>0</v>
      </c>
      <c r="C4204" s="16" t="s">
        <v>13458</v>
      </c>
      <c r="D4204" s="16"/>
      <c r="E4204">
        <v>6</v>
      </c>
      <c r="F4204" t="s">
        <v>6763</v>
      </c>
      <c r="G4204">
        <v>1</v>
      </c>
      <c r="H4204">
        <v>1</v>
      </c>
      <c r="I4204">
        <f>1</f>
        <v>1</v>
      </c>
    </row>
    <row r="4205" spans="2:9" x14ac:dyDescent="0.25">
      <c r="B4205">
        <v>0</v>
      </c>
      <c r="C4205" s="16" t="s">
        <v>13459</v>
      </c>
      <c r="D4205" s="16"/>
      <c r="E4205">
        <v>6</v>
      </c>
      <c r="F4205" t="s">
        <v>6764</v>
      </c>
      <c r="G4205">
        <v>1</v>
      </c>
      <c r="H4205">
        <v>1</v>
      </c>
      <c r="I4205">
        <f>1</f>
        <v>1</v>
      </c>
    </row>
    <row r="4206" spans="2:9" x14ac:dyDescent="0.25">
      <c r="B4206">
        <v>0</v>
      </c>
      <c r="C4206" s="16" t="s">
        <v>13460</v>
      </c>
      <c r="D4206" s="16"/>
      <c r="E4206">
        <v>6</v>
      </c>
      <c r="F4206" t="s">
        <v>6765</v>
      </c>
      <c r="G4206">
        <v>1</v>
      </c>
      <c r="H4206">
        <v>1</v>
      </c>
      <c r="I4206">
        <f>1</f>
        <v>1</v>
      </c>
    </row>
    <row r="4207" spans="2:9" x14ac:dyDescent="0.25">
      <c r="B4207">
        <v>0</v>
      </c>
      <c r="C4207" s="16" t="s">
        <v>13461</v>
      </c>
      <c r="D4207" s="16"/>
      <c r="E4207">
        <v>6</v>
      </c>
      <c r="F4207" t="s">
        <v>4690</v>
      </c>
      <c r="G4207">
        <v>1</v>
      </c>
      <c r="H4207">
        <v>1</v>
      </c>
      <c r="I4207">
        <f>1</f>
        <v>1</v>
      </c>
    </row>
    <row r="4208" spans="2:9" x14ac:dyDescent="0.25">
      <c r="B4208">
        <v>0</v>
      </c>
      <c r="C4208" s="16" t="s">
        <v>13462</v>
      </c>
      <c r="D4208" s="16"/>
      <c r="E4208">
        <v>6</v>
      </c>
      <c r="F4208" t="e">
        <f>-Caseínas</f>
        <v>#NAME?</v>
      </c>
      <c r="G4208">
        <v>1</v>
      </c>
      <c r="H4208">
        <v>0</v>
      </c>
      <c r="I4208">
        <f>1</f>
        <v>1</v>
      </c>
    </row>
    <row r="4209" spans="2:9" x14ac:dyDescent="0.25">
      <c r="B4209">
        <v>0</v>
      </c>
      <c r="C4209" s="16" t="s">
        <v>13463</v>
      </c>
      <c r="D4209" s="16"/>
      <c r="E4209">
        <v>6</v>
      </c>
      <c r="F4209" t="s">
        <v>6766</v>
      </c>
      <c r="G4209">
        <v>1</v>
      </c>
      <c r="H4209">
        <v>0</v>
      </c>
      <c r="I4209">
        <f>1</f>
        <v>1</v>
      </c>
    </row>
    <row r="4210" spans="2:9" x14ac:dyDescent="0.25">
      <c r="B4210">
        <v>0</v>
      </c>
      <c r="C4210" s="16" t="s">
        <v>13464</v>
      </c>
      <c r="D4210" s="16"/>
      <c r="E4210">
        <v>6</v>
      </c>
      <c r="F4210" t="s">
        <v>4680</v>
      </c>
      <c r="G4210">
        <v>1</v>
      </c>
      <c r="H4210">
        <v>0</v>
      </c>
      <c r="I4210">
        <f>1</f>
        <v>1</v>
      </c>
    </row>
    <row r="4211" spans="2:9" x14ac:dyDescent="0.25">
      <c r="B4211">
        <v>0</v>
      </c>
      <c r="C4211" s="16" t="s">
        <v>13465</v>
      </c>
      <c r="D4211" s="16"/>
      <c r="E4211">
        <v>6</v>
      </c>
      <c r="F4211" t="s">
        <v>6767</v>
      </c>
      <c r="G4211">
        <v>1</v>
      </c>
      <c r="H4211">
        <v>0</v>
      </c>
      <c r="I4211">
        <f>1</f>
        <v>1</v>
      </c>
    </row>
    <row r="4212" spans="2:9" x14ac:dyDescent="0.25">
      <c r="B4212">
        <v>0</v>
      </c>
      <c r="C4212" s="16" t="s">
        <v>13466</v>
      </c>
      <c r="D4212" s="16"/>
      <c r="E4212">
        <v>6</v>
      </c>
      <c r="F4212" t="e">
        <f>--Seca</f>
        <v>#NAME?</v>
      </c>
      <c r="G4212">
        <v>1</v>
      </c>
      <c r="H4212">
        <v>0</v>
      </c>
      <c r="I4212">
        <f>1</f>
        <v>1</v>
      </c>
    </row>
    <row r="4213" spans="2:9" x14ac:dyDescent="0.25">
      <c r="B4213">
        <v>0</v>
      </c>
      <c r="C4213" s="16" t="s">
        <v>13467</v>
      </c>
      <c r="D4213" s="16"/>
      <c r="E4213">
        <v>6</v>
      </c>
      <c r="F4213" t="e">
        <f>--outra</f>
        <v>#NAME?</v>
      </c>
      <c r="G4213">
        <v>1</v>
      </c>
      <c r="H4213">
        <v>0</v>
      </c>
      <c r="I4213">
        <f>1</f>
        <v>1</v>
      </c>
    </row>
    <row r="4214" spans="2:9" x14ac:dyDescent="0.25">
      <c r="B4214">
        <v>0</v>
      </c>
      <c r="C4214" s="16" t="s">
        <v>13468</v>
      </c>
      <c r="D4214" s="16"/>
      <c r="E4214">
        <v>6</v>
      </c>
      <c r="F4214" t="s">
        <v>6768</v>
      </c>
      <c r="G4214">
        <v>1</v>
      </c>
      <c r="H4214">
        <v>0</v>
      </c>
      <c r="I4214">
        <f>1</f>
        <v>1</v>
      </c>
    </row>
    <row r="4215" spans="2:9" x14ac:dyDescent="0.25">
      <c r="B4215">
        <v>0</v>
      </c>
      <c r="C4215" s="16" t="s">
        <v>13469</v>
      </c>
      <c r="D4215" s="16"/>
      <c r="E4215">
        <v>6</v>
      </c>
      <c r="F4215" t="s">
        <v>6769</v>
      </c>
      <c r="G4215">
        <v>1</v>
      </c>
      <c r="H4215">
        <v>0</v>
      </c>
      <c r="I4215">
        <f>1</f>
        <v>1</v>
      </c>
    </row>
    <row r="4216" spans="2:9" x14ac:dyDescent="0.25">
      <c r="B4216">
        <v>0</v>
      </c>
      <c r="C4216" s="16" t="s">
        <v>13470</v>
      </c>
      <c r="D4216" s="16"/>
      <c r="E4216">
        <v>6</v>
      </c>
      <c r="F4216" t="s">
        <v>4680</v>
      </c>
      <c r="G4216">
        <v>1</v>
      </c>
      <c r="H4216">
        <v>0</v>
      </c>
      <c r="I4216">
        <f>1</f>
        <v>1</v>
      </c>
    </row>
    <row r="4217" spans="2:9" x14ac:dyDescent="0.25">
      <c r="B4217">
        <v>0</v>
      </c>
      <c r="C4217" s="16" t="s">
        <v>13471</v>
      </c>
      <c r="D4217" s="16"/>
      <c r="E4217">
        <v>6</v>
      </c>
      <c r="F4217" t="s">
        <v>6770</v>
      </c>
      <c r="G4217">
        <v>1</v>
      </c>
      <c r="H4217">
        <v>0</v>
      </c>
      <c r="I4217">
        <f>1</f>
        <v>1</v>
      </c>
    </row>
    <row r="4218" spans="2:9" x14ac:dyDescent="0.25">
      <c r="B4218">
        <v>0</v>
      </c>
      <c r="C4218" s="16" t="s">
        <v>13472</v>
      </c>
      <c r="D4218" s="16"/>
      <c r="E4218">
        <v>6</v>
      </c>
      <c r="F4218" t="s">
        <v>6771</v>
      </c>
      <c r="G4218">
        <v>1</v>
      </c>
      <c r="H4218">
        <v>0</v>
      </c>
      <c r="I4218">
        <f>1</f>
        <v>1</v>
      </c>
    </row>
    <row r="4219" spans="2:9" x14ac:dyDescent="0.25">
      <c r="B4219">
        <v>0</v>
      </c>
      <c r="C4219" s="16" t="s">
        <v>13473</v>
      </c>
      <c r="D4219" s="16"/>
      <c r="E4219">
        <v>6</v>
      </c>
      <c r="F4219" t="s">
        <v>4680</v>
      </c>
      <c r="G4219">
        <v>1</v>
      </c>
      <c r="H4219">
        <v>0</v>
      </c>
      <c r="I4219">
        <f>1</f>
        <v>1</v>
      </c>
    </row>
    <row r="4220" spans="2:9" x14ac:dyDescent="0.25">
      <c r="B4220">
        <v>0</v>
      </c>
      <c r="C4220" s="16" t="s">
        <v>13474</v>
      </c>
      <c r="D4220" s="16"/>
      <c r="E4220">
        <v>6</v>
      </c>
      <c r="F4220" t="s">
        <v>4690</v>
      </c>
      <c r="G4220">
        <v>1</v>
      </c>
      <c r="H4220">
        <v>0</v>
      </c>
      <c r="I4220">
        <f>1</f>
        <v>1</v>
      </c>
    </row>
    <row r="4221" spans="2:9" x14ac:dyDescent="0.25">
      <c r="B4221">
        <v>0</v>
      </c>
      <c r="C4221" s="16" t="s">
        <v>13475</v>
      </c>
      <c r="D4221" s="16"/>
      <c r="E4221">
        <v>6</v>
      </c>
      <c r="F4221" t="s">
        <v>6772</v>
      </c>
      <c r="G4221">
        <v>1</v>
      </c>
      <c r="H4221">
        <v>0</v>
      </c>
      <c r="I4221">
        <f>1</f>
        <v>1</v>
      </c>
    </row>
    <row r="4222" spans="2:9" x14ac:dyDescent="0.25">
      <c r="B4222">
        <v>0</v>
      </c>
      <c r="C4222" s="16" t="s">
        <v>13476</v>
      </c>
      <c r="D4222" s="16"/>
      <c r="E4222">
        <v>6</v>
      </c>
      <c r="F4222" t="s">
        <v>4680</v>
      </c>
      <c r="G4222">
        <v>1</v>
      </c>
      <c r="H4222">
        <v>0</v>
      </c>
      <c r="I4222">
        <f>1</f>
        <v>1</v>
      </c>
    </row>
    <row r="4223" spans="2:9" x14ac:dyDescent="0.25">
      <c r="B4223">
        <v>0</v>
      </c>
      <c r="C4223" s="16" t="s">
        <v>13477</v>
      </c>
      <c r="D4223" s="16"/>
      <c r="E4223">
        <v>6</v>
      </c>
      <c r="F4223" t="s">
        <v>6773</v>
      </c>
      <c r="G4223">
        <v>1</v>
      </c>
      <c r="H4223">
        <v>0</v>
      </c>
      <c r="I4223">
        <f>1</f>
        <v>1</v>
      </c>
    </row>
    <row r="4224" spans="2:9" x14ac:dyDescent="0.25">
      <c r="B4224">
        <v>0</v>
      </c>
      <c r="C4224" s="16" t="s">
        <v>13478</v>
      </c>
      <c r="D4224" s="16"/>
      <c r="E4224">
        <v>6</v>
      </c>
      <c r="F4224" t="s">
        <v>6774</v>
      </c>
      <c r="G4224">
        <v>1</v>
      </c>
      <c r="H4224">
        <v>0</v>
      </c>
      <c r="I4224">
        <f>1</f>
        <v>1</v>
      </c>
    </row>
    <row r="4225" spans="2:9" x14ac:dyDescent="0.25">
      <c r="B4225">
        <v>0</v>
      </c>
      <c r="C4225" s="16" t="s">
        <v>13479</v>
      </c>
      <c r="D4225" s="16"/>
      <c r="E4225">
        <v>6</v>
      </c>
      <c r="F4225" t="s">
        <v>4680</v>
      </c>
      <c r="G4225">
        <v>1</v>
      </c>
      <c r="H4225">
        <v>0</v>
      </c>
      <c r="I4225">
        <f>1</f>
        <v>1</v>
      </c>
    </row>
    <row r="4226" spans="2:9" x14ac:dyDescent="0.25">
      <c r="B4226">
        <v>0</v>
      </c>
      <c r="C4226" s="16" t="s">
        <v>13480</v>
      </c>
      <c r="D4226" s="16"/>
      <c r="E4226">
        <v>6</v>
      </c>
      <c r="F4226" t="e">
        <f>-Dextrina e outros amidos e féculas modificados</f>
        <v>#NAME?</v>
      </c>
      <c r="G4226">
        <v>1</v>
      </c>
      <c r="H4226">
        <v>0</v>
      </c>
      <c r="I4226">
        <f>1</f>
        <v>1</v>
      </c>
    </row>
    <row r="4227" spans="2:9" x14ac:dyDescent="0.25">
      <c r="B4227">
        <v>0</v>
      </c>
      <c r="C4227" s="16" t="s">
        <v>13481</v>
      </c>
      <c r="D4227" s="16"/>
      <c r="E4227">
        <v>6</v>
      </c>
      <c r="F4227" t="e">
        <f>-Colas</f>
        <v>#NAME?</v>
      </c>
      <c r="G4227">
        <v>1</v>
      </c>
      <c r="H4227">
        <v>0</v>
      </c>
      <c r="I4227">
        <f>1</f>
        <v>1</v>
      </c>
    </row>
    <row r="4228" spans="2:9" x14ac:dyDescent="0.25">
      <c r="B4228">
        <v>0</v>
      </c>
      <c r="C4228" s="16" t="s">
        <v>13482</v>
      </c>
      <c r="D4228" s="16"/>
      <c r="E4228">
        <v>6</v>
      </c>
      <c r="F4228" t="s">
        <v>6775</v>
      </c>
      <c r="G4228">
        <v>1</v>
      </c>
      <c r="H4228">
        <v>0</v>
      </c>
      <c r="I4228">
        <f>1</f>
        <v>1</v>
      </c>
    </row>
    <row r="4229" spans="2:9" x14ac:dyDescent="0.25">
      <c r="B4229">
        <v>0</v>
      </c>
      <c r="C4229" s="16" t="s">
        <v>13483</v>
      </c>
      <c r="D4229" s="16"/>
      <c r="E4229">
        <v>6</v>
      </c>
      <c r="F4229" t="s">
        <v>4680</v>
      </c>
      <c r="G4229">
        <v>1</v>
      </c>
      <c r="H4229">
        <v>0</v>
      </c>
      <c r="I4229">
        <f>1</f>
        <v>1</v>
      </c>
    </row>
    <row r="4230" spans="2:9" x14ac:dyDescent="0.25">
      <c r="B4230">
        <v>0</v>
      </c>
      <c r="C4230" s="16" t="s">
        <v>13484</v>
      </c>
      <c r="D4230" s="16"/>
      <c r="E4230">
        <v>6</v>
      </c>
      <c r="F4230" t="s">
        <v>6776</v>
      </c>
      <c r="G4230">
        <v>1</v>
      </c>
      <c r="H4230">
        <v>0</v>
      </c>
      <c r="I4230">
        <f>1</f>
        <v>1</v>
      </c>
    </row>
    <row r="4231" spans="2:9" x14ac:dyDescent="0.25">
      <c r="B4231">
        <v>0</v>
      </c>
      <c r="C4231" s="16" t="s">
        <v>13485</v>
      </c>
      <c r="D4231" s="16"/>
      <c r="E4231">
        <v>6</v>
      </c>
      <c r="F4231" t="s">
        <v>6777</v>
      </c>
      <c r="G4231">
        <v>1</v>
      </c>
      <c r="H4231">
        <v>0</v>
      </c>
      <c r="I4231">
        <f>1</f>
        <v>1</v>
      </c>
    </row>
    <row r="4232" spans="2:9" x14ac:dyDescent="0.25">
      <c r="B4232">
        <v>0</v>
      </c>
      <c r="C4232" s="16" t="s">
        <v>13486</v>
      </c>
      <c r="D4232" s="16"/>
      <c r="E4232">
        <v>6</v>
      </c>
      <c r="F4232" t="s">
        <v>4680</v>
      </c>
      <c r="G4232">
        <v>1</v>
      </c>
      <c r="H4232">
        <v>0</v>
      </c>
      <c r="I4232">
        <f>1</f>
        <v>1</v>
      </c>
    </row>
    <row r="4233" spans="2:9" x14ac:dyDescent="0.25">
      <c r="B4233">
        <v>0</v>
      </c>
      <c r="C4233" s="16" t="s">
        <v>13487</v>
      </c>
      <c r="D4233" s="16"/>
      <c r="E4233">
        <v>6</v>
      </c>
      <c r="F4233" t="e">
        <f>--outros</f>
        <v>#NAME?</v>
      </c>
      <c r="G4233">
        <v>1</v>
      </c>
      <c r="H4233">
        <v>0</v>
      </c>
      <c r="I4233">
        <f>1</f>
        <v>1</v>
      </c>
    </row>
    <row r="4234" spans="2:9" x14ac:dyDescent="0.25">
      <c r="B4234">
        <v>0</v>
      </c>
      <c r="C4234" s="16" t="s">
        <v>13488</v>
      </c>
      <c r="D4234" s="16"/>
      <c r="E4234">
        <v>6</v>
      </c>
      <c r="F4234" t="e">
        <f>-Coalho e seus Concentrados</f>
        <v>#NAME?</v>
      </c>
      <c r="G4234">
        <v>1</v>
      </c>
      <c r="H4234">
        <v>0</v>
      </c>
      <c r="I4234">
        <f>1</f>
        <v>1</v>
      </c>
    </row>
    <row r="4235" spans="2:9" x14ac:dyDescent="0.25">
      <c r="B4235">
        <v>0</v>
      </c>
      <c r="C4235" s="16" t="s">
        <v>13489</v>
      </c>
      <c r="D4235" s="16"/>
      <c r="E4235">
        <v>6</v>
      </c>
      <c r="F4235" t="s">
        <v>6778</v>
      </c>
      <c r="G4235">
        <v>1</v>
      </c>
      <c r="H4235">
        <v>0</v>
      </c>
      <c r="I4235">
        <f>1</f>
        <v>1</v>
      </c>
    </row>
    <row r="4236" spans="2:9" x14ac:dyDescent="0.25">
      <c r="B4236">
        <v>0</v>
      </c>
      <c r="C4236" s="16" t="s">
        <v>13490</v>
      </c>
      <c r="D4236" s="16"/>
      <c r="E4236">
        <v>6</v>
      </c>
      <c r="F4236" t="s">
        <v>4680</v>
      </c>
      <c r="G4236">
        <v>1</v>
      </c>
      <c r="H4236">
        <v>0</v>
      </c>
      <c r="I4236">
        <f>1</f>
        <v>1</v>
      </c>
    </row>
    <row r="4237" spans="2:9" x14ac:dyDescent="0.25">
      <c r="B4237">
        <v>0</v>
      </c>
      <c r="C4237" s="16" t="s">
        <v>13491</v>
      </c>
      <c r="D4237" s="16"/>
      <c r="E4237">
        <v>6</v>
      </c>
      <c r="F4237" t="s">
        <v>6779</v>
      </c>
      <c r="G4237">
        <v>1</v>
      </c>
      <c r="H4237">
        <v>0</v>
      </c>
      <c r="I4237">
        <f>1</f>
        <v>1</v>
      </c>
    </row>
    <row r="4238" spans="2:9" x14ac:dyDescent="0.25">
      <c r="B4238">
        <v>0</v>
      </c>
      <c r="C4238" s="16" t="s">
        <v>13492</v>
      </c>
      <c r="D4238" s="16"/>
      <c r="E4238">
        <v>6</v>
      </c>
      <c r="F4238" t="s">
        <v>6780</v>
      </c>
      <c r="G4238">
        <v>1</v>
      </c>
      <c r="H4238">
        <v>0</v>
      </c>
      <c r="I4238">
        <f>1</f>
        <v>1</v>
      </c>
    </row>
    <row r="4239" spans="2:9" x14ac:dyDescent="0.25">
      <c r="B4239">
        <v>0</v>
      </c>
      <c r="C4239" s="16" t="s">
        <v>13493</v>
      </c>
      <c r="D4239" s="16"/>
      <c r="E4239">
        <v>6</v>
      </c>
      <c r="F4239" t="s">
        <v>6545</v>
      </c>
      <c r="G4239">
        <v>1</v>
      </c>
      <c r="H4239">
        <v>0</v>
      </c>
      <c r="I4239">
        <f>1</f>
        <v>1</v>
      </c>
    </row>
    <row r="4240" spans="2:9" x14ac:dyDescent="0.25">
      <c r="B4240">
        <v>0</v>
      </c>
      <c r="C4240" s="16" t="s">
        <v>13494</v>
      </c>
      <c r="D4240" s="16"/>
      <c r="E4240">
        <v>6</v>
      </c>
      <c r="F4240" t="s">
        <v>6781</v>
      </c>
      <c r="G4240">
        <v>1</v>
      </c>
      <c r="H4240">
        <v>0</v>
      </c>
      <c r="I4240">
        <f>1</f>
        <v>1</v>
      </c>
    </row>
    <row r="4241" spans="2:9" x14ac:dyDescent="0.25">
      <c r="B4241">
        <v>0</v>
      </c>
      <c r="C4241" s="16" t="s">
        <v>13495</v>
      </c>
      <c r="D4241" s="16"/>
      <c r="E4241">
        <v>6</v>
      </c>
      <c r="F4241" t="s">
        <v>6782</v>
      </c>
      <c r="G4241">
        <v>1</v>
      </c>
      <c r="H4241">
        <v>0</v>
      </c>
      <c r="I4241">
        <f>1</f>
        <v>1</v>
      </c>
    </row>
    <row r="4242" spans="2:9" x14ac:dyDescent="0.25">
      <c r="B4242">
        <v>0</v>
      </c>
      <c r="C4242" s="16" t="s">
        <v>13496</v>
      </c>
      <c r="D4242" s="16"/>
      <c r="E4242">
        <v>6</v>
      </c>
      <c r="F4242" t="s">
        <v>6783</v>
      </c>
      <c r="G4242">
        <v>1</v>
      </c>
      <c r="H4242">
        <v>0</v>
      </c>
      <c r="I4242">
        <f>1</f>
        <v>1</v>
      </c>
    </row>
    <row r="4243" spans="2:9" x14ac:dyDescent="0.25">
      <c r="B4243">
        <v>0</v>
      </c>
      <c r="C4243" s="16" t="s">
        <v>13497</v>
      </c>
      <c r="D4243" s="16"/>
      <c r="E4243">
        <v>6</v>
      </c>
      <c r="F4243" t="s">
        <v>4680</v>
      </c>
      <c r="G4243">
        <v>1</v>
      </c>
      <c r="H4243">
        <v>0</v>
      </c>
      <c r="I4243">
        <f>1</f>
        <v>1</v>
      </c>
    </row>
    <row r="4244" spans="2:9" x14ac:dyDescent="0.25">
      <c r="B4244">
        <v>0</v>
      </c>
      <c r="C4244" s="16" t="s">
        <v>13498</v>
      </c>
      <c r="D4244" s="16"/>
      <c r="E4244">
        <v>6</v>
      </c>
      <c r="F4244" t="s">
        <v>6784</v>
      </c>
      <c r="G4244">
        <v>1</v>
      </c>
      <c r="H4244">
        <v>0</v>
      </c>
      <c r="I4244">
        <f>1</f>
        <v>1</v>
      </c>
    </row>
    <row r="4245" spans="2:9" x14ac:dyDescent="0.25">
      <c r="B4245">
        <v>0</v>
      </c>
      <c r="C4245" s="16" t="s">
        <v>13499</v>
      </c>
      <c r="D4245" s="16"/>
      <c r="E4245">
        <v>6</v>
      </c>
      <c r="F4245" t="s">
        <v>6546</v>
      </c>
      <c r="G4245">
        <v>1</v>
      </c>
      <c r="H4245">
        <v>0</v>
      </c>
      <c r="I4245">
        <f>1</f>
        <v>1</v>
      </c>
    </row>
    <row r="4246" spans="2:9" x14ac:dyDescent="0.25">
      <c r="B4246">
        <v>0</v>
      </c>
      <c r="C4246" s="16" t="s">
        <v>13500</v>
      </c>
      <c r="D4246" s="16"/>
      <c r="E4246">
        <v>6</v>
      </c>
      <c r="F4246" t="s">
        <v>4680</v>
      </c>
      <c r="G4246">
        <v>1</v>
      </c>
      <c r="H4246">
        <v>0</v>
      </c>
      <c r="I4246">
        <f>1</f>
        <v>1</v>
      </c>
    </row>
    <row r="4247" spans="2:9" x14ac:dyDescent="0.25">
      <c r="B4247">
        <v>0</v>
      </c>
      <c r="C4247" s="16" t="s">
        <v>13501</v>
      </c>
      <c r="D4247" s="16"/>
      <c r="E4247">
        <v>6</v>
      </c>
      <c r="F4247" t="s">
        <v>6785</v>
      </c>
      <c r="G4247">
        <v>1</v>
      </c>
      <c r="H4247">
        <v>0</v>
      </c>
      <c r="I4247">
        <f>1</f>
        <v>1</v>
      </c>
    </row>
    <row r="4248" spans="2:9" x14ac:dyDescent="0.25">
      <c r="B4248">
        <v>0</v>
      </c>
      <c r="C4248" s="16" t="s">
        <v>13502</v>
      </c>
      <c r="D4248" s="16"/>
      <c r="E4248">
        <v>6</v>
      </c>
      <c r="F4248" t="s">
        <v>6786</v>
      </c>
      <c r="G4248">
        <v>1</v>
      </c>
      <c r="H4248">
        <v>0</v>
      </c>
      <c r="I4248">
        <f>1</f>
        <v>1</v>
      </c>
    </row>
    <row r="4249" spans="2:9" x14ac:dyDescent="0.25">
      <c r="B4249">
        <v>0</v>
      </c>
      <c r="C4249" s="16" t="s">
        <v>13503</v>
      </c>
      <c r="D4249" s="16"/>
      <c r="E4249">
        <v>6</v>
      </c>
      <c r="F4249" t="s">
        <v>4690</v>
      </c>
      <c r="G4249">
        <v>1</v>
      </c>
      <c r="H4249">
        <v>0</v>
      </c>
      <c r="I4249">
        <f>1</f>
        <v>1</v>
      </c>
    </row>
    <row r="4250" spans="2:9" x14ac:dyDescent="0.25">
      <c r="B4250">
        <v>0</v>
      </c>
      <c r="C4250" s="16" t="s">
        <v>13504</v>
      </c>
      <c r="D4250" s="16"/>
      <c r="E4250">
        <v>6</v>
      </c>
      <c r="F4250" t="s">
        <v>6787</v>
      </c>
      <c r="G4250">
        <v>1</v>
      </c>
      <c r="H4250">
        <v>0</v>
      </c>
      <c r="I4250">
        <f>1</f>
        <v>1</v>
      </c>
    </row>
    <row r="4251" spans="2:9" x14ac:dyDescent="0.25">
      <c r="B4251">
        <v>0</v>
      </c>
      <c r="C4251" s="16" t="s">
        <v>13505</v>
      </c>
      <c r="D4251" s="16"/>
      <c r="E4251">
        <v>6</v>
      </c>
      <c r="F4251" t="s">
        <v>6788</v>
      </c>
      <c r="G4251">
        <v>1</v>
      </c>
      <c r="H4251">
        <v>0</v>
      </c>
      <c r="I4251">
        <f>1</f>
        <v>1</v>
      </c>
    </row>
    <row r="4252" spans="2:9" x14ac:dyDescent="0.25">
      <c r="B4252">
        <v>0</v>
      </c>
      <c r="C4252" s="16" t="s">
        <v>13505</v>
      </c>
      <c r="D4252" s="16" t="s">
        <v>19430</v>
      </c>
      <c r="E4252">
        <v>6</v>
      </c>
      <c r="F4252" t="s">
        <v>6789</v>
      </c>
      <c r="G4252">
        <v>1</v>
      </c>
      <c r="H4252">
        <v>0</v>
      </c>
      <c r="I4252">
        <f>1</f>
        <v>1</v>
      </c>
    </row>
    <row r="4253" spans="2:9" x14ac:dyDescent="0.25">
      <c r="B4253">
        <v>0</v>
      </c>
      <c r="C4253" s="16" t="s">
        <v>13506</v>
      </c>
      <c r="D4253" s="16"/>
      <c r="E4253">
        <v>6</v>
      </c>
      <c r="F4253" t="s">
        <v>6790</v>
      </c>
      <c r="G4253">
        <v>1</v>
      </c>
      <c r="H4253">
        <v>0</v>
      </c>
      <c r="I4253">
        <f>1</f>
        <v>1</v>
      </c>
    </row>
    <row r="4254" spans="2:9" x14ac:dyDescent="0.25">
      <c r="B4254">
        <v>0</v>
      </c>
      <c r="C4254" s="16" t="s">
        <v>13507</v>
      </c>
      <c r="D4254" s="16"/>
      <c r="E4254">
        <v>6</v>
      </c>
      <c r="F4254" t="e">
        <f>-Fogos De artifício</f>
        <v>#NAME?</v>
      </c>
      <c r="G4254">
        <v>1</v>
      </c>
      <c r="H4254">
        <v>0</v>
      </c>
      <c r="I4254">
        <f>1</f>
        <v>1</v>
      </c>
    </row>
    <row r="4255" spans="2:9" x14ac:dyDescent="0.25">
      <c r="B4255">
        <v>0</v>
      </c>
      <c r="C4255" s="16" t="s">
        <v>13508</v>
      </c>
      <c r="D4255" s="16"/>
      <c r="E4255">
        <v>6</v>
      </c>
      <c r="F4255" t="s">
        <v>6791</v>
      </c>
      <c r="G4255">
        <v>1</v>
      </c>
      <c r="H4255">
        <v>0</v>
      </c>
      <c r="I4255">
        <f>1</f>
        <v>1</v>
      </c>
    </row>
    <row r="4256" spans="2:9" x14ac:dyDescent="0.25">
      <c r="B4256">
        <v>0</v>
      </c>
      <c r="C4256" s="16" t="s">
        <v>13509</v>
      </c>
      <c r="D4256" s="16"/>
      <c r="E4256">
        <v>6</v>
      </c>
      <c r="F4256" t="s">
        <v>4680</v>
      </c>
      <c r="G4256">
        <v>1</v>
      </c>
      <c r="H4256">
        <v>0</v>
      </c>
      <c r="I4256">
        <f>1</f>
        <v>1</v>
      </c>
    </row>
    <row r="4257" spans="2:9" x14ac:dyDescent="0.25">
      <c r="B4257">
        <v>0</v>
      </c>
      <c r="C4257" s="16" t="s">
        <v>13509</v>
      </c>
      <c r="D4257" s="16" t="s">
        <v>19430</v>
      </c>
      <c r="E4257">
        <v>6</v>
      </c>
      <c r="F4257" t="s">
        <v>6792</v>
      </c>
      <c r="G4257">
        <v>1</v>
      </c>
      <c r="H4257">
        <v>0</v>
      </c>
      <c r="I4257">
        <f>1</f>
        <v>1</v>
      </c>
    </row>
    <row r="4258" spans="2:9" x14ac:dyDescent="0.25">
      <c r="B4258">
        <v>0</v>
      </c>
      <c r="C4258" s="16" t="s">
        <v>13510</v>
      </c>
      <c r="D4258" s="16"/>
      <c r="E4258">
        <v>6</v>
      </c>
      <c r="F4258" t="s">
        <v>6793</v>
      </c>
      <c r="G4258">
        <v>1</v>
      </c>
      <c r="H4258">
        <v>0</v>
      </c>
      <c r="I4258">
        <f>1</f>
        <v>1</v>
      </c>
    </row>
    <row r="4259" spans="2:9" x14ac:dyDescent="0.25">
      <c r="B4259">
        <v>0</v>
      </c>
      <c r="C4259" s="16" t="s">
        <v>13511</v>
      </c>
      <c r="D4259" s="16"/>
      <c r="E4259">
        <v>6</v>
      </c>
      <c r="F4259" t="s">
        <v>6794</v>
      </c>
      <c r="G4259">
        <v>1</v>
      </c>
      <c r="H4259">
        <v>0</v>
      </c>
      <c r="I4259">
        <f>1</f>
        <v>1</v>
      </c>
    </row>
    <row r="4260" spans="2:9" x14ac:dyDescent="0.25">
      <c r="B4260">
        <v>0</v>
      </c>
      <c r="C4260" s="16" t="s">
        <v>13512</v>
      </c>
      <c r="D4260" s="16"/>
      <c r="E4260">
        <v>6</v>
      </c>
      <c r="F4260" t="e">
        <f>-outros</f>
        <v>#NAME?</v>
      </c>
      <c r="G4260">
        <v>1</v>
      </c>
      <c r="H4260">
        <v>0</v>
      </c>
      <c r="I4260">
        <f>1</f>
        <v>1</v>
      </c>
    </row>
    <row r="4261" spans="2:9" x14ac:dyDescent="0.25">
      <c r="B4261">
        <v>0</v>
      </c>
      <c r="C4261" s="16" t="s">
        <v>13513</v>
      </c>
      <c r="D4261" s="16"/>
      <c r="E4261">
        <v>6</v>
      </c>
      <c r="F4261" t="s">
        <v>6795</v>
      </c>
      <c r="G4261">
        <v>1</v>
      </c>
      <c r="H4261">
        <v>1</v>
      </c>
      <c r="I4261">
        <f>1</f>
        <v>1</v>
      </c>
    </row>
    <row r="4262" spans="2:9" x14ac:dyDescent="0.25">
      <c r="B4262">
        <v>0</v>
      </c>
      <c r="C4262" s="16" t="s">
        <v>13514</v>
      </c>
      <c r="D4262" s="16"/>
      <c r="E4262">
        <v>6</v>
      </c>
      <c r="F4262" t="s">
        <v>6796</v>
      </c>
      <c r="G4262">
        <v>1</v>
      </c>
      <c r="H4262">
        <v>1</v>
      </c>
      <c r="I4262">
        <f>1</f>
        <v>1</v>
      </c>
    </row>
    <row r="4263" spans="2:9" x14ac:dyDescent="0.25">
      <c r="B4263">
        <v>0</v>
      </c>
      <c r="C4263" s="16" t="s">
        <v>13515</v>
      </c>
      <c r="D4263" s="16"/>
      <c r="E4263">
        <v>6</v>
      </c>
      <c r="F4263" t="s">
        <v>4680</v>
      </c>
      <c r="G4263">
        <v>1</v>
      </c>
      <c r="H4263">
        <v>1</v>
      </c>
      <c r="I4263">
        <f>1</f>
        <v>1</v>
      </c>
    </row>
    <row r="4264" spans="2:9" x14ac:dyDescent="0.25">
      <c r="B4264">
        <v>0</v>
      </c>
      <c r="C4264" s="16" t="s">
        <v>13516</v>
      </c>
      <c r="D4264" s="16"/>
      <c r="E4264">
        <v>6</v>
      </c>
      <c r="F4264" t="s">
        <v>6797</v>
      </c>
      <c r="G4264">
        <v>1</v>
      </c>
      <c r="H4264">
        <v>1</v>
      </c>
      <c r="I4264">
        <f>1</f>
        <v>1</v>
      </c>
    </row>
    <row r="4265" spans="2:9" x14ac:dyDescent="0.25">
      <c r="B4265">
        <v>0</v>
      </c>
      <c r="C4265" s="16" t="s">
        <v>13517</v>
      </c>
      <c r="D4265" s="16"/>
      <c r="E4265">
        <v>6</v>
      </c>
      <c r="F4265" t="s">
        <v>6798</v>
      </c>
      <c r="G4265">
        <v>1</v>
      </c>
      <c r="H4265">
        <v>1</v>
      </c>
      <c r="I4265">
        <f>1</f>
        <v>1</v>
      </c>
    </row>
    <row r="4266" spans="2:9" x14ac:dyDescent="0.25">
      <c r="B4266">
        <v>0</v>
      </c>
      <c r="C4266" s="16" t="s">
        <v>13518</v>
      </c>
      <c r="D4266" s="16"/>
      <c r="E4266">
        <v>6</v>
      </c>
      <c r="F4266" t="s">
        <v>6797</v>
      </c>
      <c r="G4266">
        <v>1</v>
      </c>
      <c r="H4266">
        <v>1</v>
      </c>
      <c r="I4266">
        <f>1</f>
        <v>1</v>
      </c>
    </row>
    <row r="4267" spans="2:9" x14ac:dyDescent="0.25">
      <c r="B4267">
        <v>0</v>
      </c>
      <c r="C4267" s="16" t="s">
        <v>13519</v>
      </c>
      <c r="D4267" s="16"/>
      <c r="E4267">
        <v>6</v>
      </c>
      <c r="F4267" t="s">
        <v>5314</v>
      </c>
      <c r="G4267">
        <v>1</v>
      </c>
      <c r="H4267">
        <v>1</v>
      </c>
      <c r="I4267">
        <f>1</f>
        <v>1</v>
      </c>
    </row>
    <row r="4268" spans="2:9" x14ac:dyDescent="0.25">
      <c r="B4268">
        <v>0</v>
      </c>
      <c r="C4268" s="16" t="s">
        <v>13520</v>
      </c>
      <c r="D4268" s="16"/>
      <c r="E4268">
        <v>6</v>
      </c>
      <c r="F4268" t="s">
        <v>6799</v>
      </c>
      <c r="G4268">
        <v>1</v>
      </c>
      <c r="H4268">
        <v>1</v>
      </c>
      <c r="I4268">
        <f>1</f>
        <v>1</v>
      </c>
    </row>
    <row r="4269" spans="2:9" x14ac:dyDescent="0.25">
      <c r="B4269">
        <v>0</v>
      </c>
      <c r="C4269" s="16" t="s">
        <v>13521</v>
      </c>
      <c r="D4269" s="16"/>
      <c r="E4269">
        <v>6</v>
      </c>
      <c r="F4269" t="s">
        <v>4690</v>
      </c>
      <c r="G4269">
        <v>1</v>
      </c>
      <c r="H4269">
        <v>1</v>
      </c>
      <c r="I4269">
        <f>1</f>
        <v>1</v>
      </c>
    </row>
    <row r="4270" spans="2:9" x14ac:dyDescent="0.25">
      <c r="B4270">
        <v>0</v>
      </c>
      <c r="C4270" s="16" t="s">
        <v>13522</v>
      </c>
      <c r="D4270" s="16"/>
      <c r="E4270">
        <v>6</v>
      </c>
      <c r="F4270" t="s">
        <v>5314</v>
      </c>
      <c r="G4270">
        <v>1</v>
      </c>
      <c r="H4270">
        <v>1</v>
      </c>
      <c r="I4270">
        <f>1</f>
        <v>1</v>
      </c>
    </row>
    <row r="4271" spans="2:9" x14ac:dyDescent="0.25">
      <c r="B4271">
        <v>0</v>
      </c>
      <c r="C4271" s="16" t="s">
        <v>13523</v>
      </c>
      <c r="D4271" s="16"/>
      <c r="E4271">
        <v>6</v>
      </c>
      <c r="F4271" t="s">
        <v>4690</v>
      </c>
      <c r="G4271">
        <v>1</v>
      </c>
      <c r="H4271">
        <v>1</v>
      </c>
      <c r="I4271">
        <f>1</f>
        <v>1</v>
      </c>
    </row>
    <row r="4272" spans="2:9" x14ac:dyDescent="0.25">
      <c r="B4272">
        <v>0</v>
      </c>
      <c r="C4272" s="16" t="s">
        <v>13524</v>
      </c>
      <c r="D4272" s="16"/>
      <c r="E4272">
        <v>6</v>
      </c>
      <c r="F4272" t="s">
        <v>6800</v>
      </c>
      <c r="G4272">
        <v>1</v>
      </c>
      <c r="H4272">
        <v>1</v>
      </c>
      <c r="I4272">
        <f>1</f>
        <v>1</v>
      </c>
    </row>
    <row r="4273" spans="2:9" x14ac:dyDescent="0.25">
      <c r="B4273">
        <v>0</v>
      </c>
      <c r="C4273" s="16" t="s">
        <v>13525</v>
      </c>
      <c r="D4273" s="16"/>
      <c r="E4273">
        <v>6</v>
      </c>
      <c r="F4273" t="s">
        <v>6801</v>
      </c>
      <c r="G4273">
        <v>1</v>
      </c>
      <c r="H4273">
        <v>1</v>
      </c>
      <c r="I4273">
        <f>1</f>
        <v>1</v>
      </c>
    </row>
    <row r="4274" spans="2:9" x14ac:dyDescent="0.25">
      <c r="B4274">
        <v>0</v>
      </c>
      <c r="C4274" s="16" t="s">
        <v>13526</v>
      </c>
      <c r="D4274" s="16"/>
      <c r="E4274">
        <v>6</v>
      </c>
      <c r="F4274" t="s">
        <v>4680</v>
      </c>
      <c r="G4274">
        <v>1</v>
      </c>
      <c r="H4274">
        <v>1</v>
      </c>
      <c r="I4274">
        <f>1</f>
        <v>1</v>
      </c>
    </row>
    <row r="4275" spans="2:9" x14ac:dyDescent="0.25">
      <c r="B4275">
        <v>0</v>
      </c>
      <c r="C4275" s="16" t="s">
        <v>13527</v>
      </c>
      <c r="D4275" s="16"/>
      <c r="E4275">
        <v>6</v>
      </c>
      <c r="F4275" t="e">
        <f>--para fotografia a Cores  policromo</f>
        <v>#NAME?</v>
      </c>
      <c r="G4275">
        <v>1</v>
      </c>
      <c r="H4275">
        <v>1</v>
      </c>
      <c r="I4275">
        <f>1</f>
        <v>1</v>
      </c>
    </row>
    <row r="4276" spans="2:9" x14ac:dyDescent="0.25">
      <c r="B4276">
        <v>0</v>
      </c>
      <c r="C4276" s="16" t="s">
        <v>13528</v>
      </c>
      <c r="D4276" s="16"/>
      <c r="E4276">
        <v>6</v>
      </c>
      <c r="F4276" t="e">
        <f>--outros</f>
        <v>#NAME?</v>
      </c>
      <c r="G4276">
        <v>1</v>
      </c>
      <c r="H4276">
        <v>1</v>
      </c>
      <c r="I4276">
        <f>1</f>
        <v>1</v>
      </c>
    </row>
    <row r="4277" spans="2:9" x14ac:dyDescent="0.25">
      <c r="B4277">
        <v>0</v>
      </c>
      <c r="C4277" s="16" t="s">
        <v>13529</v>
      </c>
      <c r="D4277" s="16"/>
      <c r="E4277">
        <v>6</v>
      </c>
      <c r="F4277" t="s">
        <v>6795</v>
      </c>
      <c r="G4277">
        <v>1</v>
      </c>
      <c r="H4277">
        <v>1</v>
      </c>
      <c r="I4277">
        <f>1</f>
        <v>1</v>
      </c>
    </row>
    <row r="4278" spans="2:9" x14ac:dyDescent="0.25">
      <c r="B4278">
        <v>0</v>
      </c>
      <c r="C4278" s="16" t="s">
        <v>13530</v>
      </c>
      <c r="D4278" s="16"/>
      <c r="E4278">
        <v>6</v>
      </c>
      <c r="F4278" t="s">
        <v>6802</v>
      </c>
      <c r="G4278">
        <v>1</v>
      </c>
      <c r="H4278">
        <v>1</v>
      </c>
      <c r="I4278">
        <f>1</f>
        <v>1</v>
      </c>
    </row>
    <row r="4279" spans="2:9" x14ac:dyDescent="0.25">
      <c r="B4279">
        <v>0</v>
      </c>
      <c r="C4279" s="16" t="s">
        <v>13531</v>
      </c>
      <c r="D4279" s="16"/>
      <c r="E4279">
        <v>6</v>
      </c>
      <c r="F4279" t="e">
        <f>--para fotografia a Cores  policromo</f>
        <v>#NAME?</v>
      </c>
      <c r="G4279">
        <v>1</v>
      </c>
      <c r="H4279">
        <v>1</v>
      </c>
      <c r="I4279">
        <f>1</f>
        <v>1</v>
      </c>
    </row>
    <row r="4280" spans="2:9" x14ac:dyDescent="0.25">
      <c r="B4280">
        <v>0</v>
      </c>
      <c r="C4280" s="16" t="s">
        <v>13532</v>
      </c>
      <c r="D4280" s="16"/>
      <c r="E4280">
        <v>6</v>
      </c>
      <c r="F4280" t="s">
        <v>6803</v>
      </c>
      <c r="G4280">
        <v>1</v>
      </c>
      <c r="H4280">
        <v>1</v>
      </c>
      <c r="I4280">
        <f>1</f>
        <v>1</v>
      </c>
    </row>
    <row r="4281" spans="2:9" x14ac:dyDescent="0.25">
      <c r="B4281">
        <v>0</v>
      </c>
      <c r="C4281" s="16" t="s">
        <v>13533</v>
      </c>
      <c r="D4281" s="16"/>
      <c r="E4281">
        <v>6</v>
      </c>
      <c r="F4281" t="e">
        <f>--outros</f>
        <v>#NAME?</v>
      </c>
      <c r="G4281">
        <v>1</v>
      </c>
      <c r="H4281">
        <v>1</v>
      </c>
      <c r="I4281">
        <f>1</f>
        <v>1</v>
      </c>
    </row>
    <row r="4282" spans="2:9" x14ac:dyDescent="0.25">
      <c r="B4282">
        <v>0</v>
      </c>
      <c r="C4282" s="16" t="s">
        <v>13534</v>
      </c>
      <c r="D4282" s="16"/>
      <c r="E4282">
        <v>6</v>
      </c>
      <c r="F4282" t="s">
        <v>6804</v>
      </c>
      <c r="G4282">
        <v>1</v>
      </c>
      <c r="H4282">
        <v>1</v>
      </c>
      <c r="I4282">
        <f>1</f>
        <v>1</v>
      </c>
    </row>
    <row r="4283" spans="2:9" x14ac:dyDescent="0.25">
      <c r="B4283">
        <v>0</v>
      </c>
      <c r="C4283" s="16" t="s">
        <v>13535</v>
      </c>
      <c r="D4283" s="16"/>
      <c r="E4283">
        <v>6</v>
      </c>
      <c r="F4283" t="s">
        <v>6805</v>
      </c>
      <c r="G4283">
        <v>1</v>
      </c>
      <c r="H4283">
        <v>1</v>
      </c>
      <c r="I4283">
        <f>1</f>
        <v>1</v>
      </c>
    </row>
    <row r="4284" spans="2:9" x14ac:dyDescent="0.25">
      <c r="B4284">
        <v>0</v>
      </c>
      <c r="C4284" s="16" t="s">
        <v>13536</v>
      </c>
      <c r="D4284" s="16"/>
      <c r="E4284">
        <v>6</v>
      </c>
      <c r="F4284" t="s">
        <v>4680</v>
      </c>
      <c r="G4284">
        <v>1</v>
      </c>
      <c r="H4284">
        <v>1</v>
      </c>
      <c r="I4284">
        <f>1</f>
        <v>1</v>
      </c>
    </row>
    <row r="4285" spans="2:9" x14ac:dyDescent="0.25">
      <c r="B4285">
        <v>0</v>
      </c>
      <c r="C4285" s="16" t="s">
        <v>13537</v>
      </c>
      <c r="D4285" s="16"/>
      <c r="E4285">
        <v>6</v>
      </c>
      <c r="F4285" t="s">
        <v>6805</v>
      </c>
      <c r="G4285">
        <v>1</v>
      </c>
      <c r="H4285">
        <v>1</v>
      </c>
      <c r="I4285">
        <f>1</f>
        <v>1</v>
      </c>
    </row>
    <row r="4286" spans="2:9" x14ac:dyDescent="0.25">
      <c r="B4286">
        <v>0</v>
      </c>
      <c r="C4286" s="16" t="s">
        <v>13538</v>
      </c>
      <c r="D4286" s="16"/>
      <c r="E4286">
        <v>6</v>
      </c>
      <c r="F4286" t="s">
        <v>6806</v>
      </c>
      <c r="G4286">
        <v>1</v>
      </c>
      <c r="H4286">
        <v>1</v>
      </c>
      <c r="I4286">
        <f>1</f>
        <v>1</v>
      </c>
    </row>
    <row r="4287" spans="2:9" x14ac:dyDescent="0.25">
      <c r="B4287">
        <v>0</v>
      </c>
      <c r="C4287" s="16" t="s">
        <v>13539</v>
      </c>
      <c r="D4287" s="16"/>
      <c r="E4287">
        <v>6</v>
      </c>
      <c r="F4287" t="s">
        <v>4680</v>
      </c>
      <c r="G4287">
        <v>1</v>
      </c>
      <c r="H4287">
        <v>1</v>
      </c>
      <c r="I4287">
        <f>1</f>
        <v>1</v>
      </c>
    </row>
    <row r="4288" spans="2:9" x14ac:dyDescent="0.25">
      <c r="B4288">
        <v>0</v>
      </c>
      <c r="C4288" s="16" t="s">
        <v>13540</v>
      </c>
      <c r="D4288" s="16"/>
      <c r="E4288">
        <v>6</v>
      </c>
      <c r="F4288" t="s">
        <v>6797</v>
      </c>
      <c r="G4288">
        <v>1</v>
      </c>
      <c r="H4288">
        <v>1</v>
      </c>
      <c r="I4288">
        <f>1</f>
        <v>1</v>
      </c>
    </row>
    <row r="4289" spans="2:9" x14ac:dyDescent="0.25">
      <c r="B4289">
        <v>0</v>
      </c>
      <c r="C4289" s="16" t="s">
        <v>13541</v>
      </c>
      <c r="D4289" s="16"/>
      <c r="E4289">
        <v>6</v>
      </c>
      <c r="F4289" t="s">
        <v>6805</v>
      </c>
      <c r="G4289">
        <v>1</v>
      </c>
      <c r="H4289">
        <v>1</v>
      </c>
      <c r="I4289">
        <f>1</f>
        <v>1</v>
      </c>
    </row>
    <row r="4290" spans="2:9" x14ac:dyDescent="0.25">
      <c r="B4290">
        <v>0</v>
      </c>
      <c r="C4290" s="16" t="s">
        <v>13542</v>
      </c>
      <c r="D4290" s="16"/>
      <c r="E4290">
        <v>6</v>
      </c>
      <c r="F4290" t="s">
        <v>6807</v>
      </c>
      <c r="G4290">
        <v>1</v>
      </c>
      <c r="H4290">
        <v>1</v>
      </c>
      <c r="I4290">
        <f>1</f>
        <v>1</v>
      </c>
    </row>
    <row r="4291" spans="2:9" x14ac:dyDescent="0.25">
      <c r="B4291">
        <v>0</v>
      </c>
      <c r="C4291" s="16" t="s">
        <v>13543</v>
      </c>
      <c r="D4291" s="16"/>
      <c r="E4291">
        <v>6</v>
      </c>
      <c r="F4291" t="s">
        <v>4680</v>
      </c>
      <c r="G4291">
        <v>1</v>
      </c>
      <c r="H4291">
        <v>1</v>
      </c>
      <c r="I4291">
        <f>1</f>
        <v>1</v>
      </c>
    </row>
    <row r="4292" spans="2:9" x14ac:dyDescent="0.25">
      <c r="B4292">
        <v>0</v>
      </c>
      <c r="C4292" s="16" t="s">
        <v>13544</v>
      </c>
      <c r="D4292" s="16"/>
      <c r="E4292">
        <v>6</v>
      </c>
      <c r="F4292" t="s">
        <v>6808</v>
      </c>
      <c r="G4292">
        <v>1</v>
      </c>
      <c r="H4292">
        <v>1</v>
      </c>
      <c r="I4292">
        <f>1</f>
        <v>1</v>
      </c>
    </row>
    <row r="4293" spans="2:9" x14ac:dyDescent="0.25">
      <c r="B4293">
        <v>0</v>
      </c>
      <c r="C4293" s="16" t="s">
        <v>13544</v>
      </c>
      <c r="D4293" s="16" t="s">
        <v>19430</v>
      </c>
      <c r="E4293">
        <v>6</v>
      </c>
      <c r="F4293" t="s">
        <v>6809</v>
      </c>
      <c r="G4293">
        <v>1</v>
      </c>
      <c r="H4293">
        <v>1</v>
      </c>
      <c r="I4293">
        <f>1</f>
        <v>1</v>
      </c>
    </row>
    <row r="4294" spans="2:9" x14ac:dyDescent="0.25">
      <c r="B4294">
        <v>0</v>
      </c>
      <c r="C4294" s="16" t="s">
        <v>13545</v>
      </c>
      <c r="D4294" s="16"/>
      <c r="E4294">
        <v>6</v>
      </c>
      <c r="F4294" t="s">
        <v>6810</v>
      </c>
      <c r="G4294">
        <v>1</v>
      </c>
      <c r="H4294">
        <v>1</v>
      </c>
      <c r="I4294">
        <f>1</f>
        <v>1</v>
      </c>
    </row>
    <row r="4295" spans="2:9" x14ac:dyDescent="0.25">
      <c r="B4295">
        <v>0</v>
      </c>
      <c r="C4295" s="16" t="s">
        <v>13546</v>
      </c>
      <c r="D4295" s="16"/>
      <c r="E4295">
        <v>6</v>
      </c>
      <c r="F4295" t="s">
        <v>6811</v>
      </c>
      <c r="G4295">
        <v>1</v>
      </c>
      <c r="H4295">
        <v>1</v>
      </c>
      <c r="I4295">
        <f>1</f>
        <v>1</v>
      </c>
    </row>
    <row r="4296" spans="2:9" x14ac:dyDescent="0.25">
      <c r="B4296">
        <v>0</v>
      </c>
      <c r="C4296" s="16" t="s">
        <v>13547</v>
      </c>
      <c r="D4296" s="16"/>
      <c r="E4296">
        <v>6</v>
      </c>
      <c r="F4296" t="s">
        <v>6812</v>
      </c>
      <c r="G4296">
        <v>1</v>
      </c>
      <c r="H4296">
        <v>1</v>
      </c>
      <c r="I4296">
        <f>1</f>
        <v>1</v>
      </c>
    </row>
    <row r="4297" spans="2:9" x14ac:dyDescent="0.25">
      <c r="B4297">
        <v>0</v>
      </c>
      <c r="C4297" s="16" t="s">
        <v>13548</v>
      </c>
      <c r="D4297" s="16"/>
      <c r="E4297">
        <v>6</v>
      </c>
      <c r="F4297" t="s">
        <v>4680</v>
      </c>
      <c r="G4297">
        <v>1</v>
      </c>
      <c r="H4297">
        <v>1</v>
      </c>
      <c r="I4297">
        <f>1</f>
        <v>1</v>
      </c>
    </row>
    <row r="4298" spans="2:9" x14ac:dyDescent="0.25">
      <c r="B4298">
        <v>0</v>
      </c>
      <c r="C4298" s="16" t="s">
        <v>13549</v>
      </c>
      <c r="D4298" s="16"/>
      <c r="E4298">
        <v>6</v>
      </c>
      <c r="F4298" t="s">
        <v>6811</v>
      </c>
      <c r="G4298">
        <v>1</v>
      </c>
      <c r="H4298">
        <v>1</v>
      </c>
      <c r="I4298">
        <f>1</f>
        <v>1</v>
      </c>
    </row>
    <row r="4299" spans="2:9" x14ac:dyDescent="0.25">
      <c r="B4299">
        <v>0</v>
      </c>
      <c r="C4299" s="16" t="s">
        <v>13550</v>
      </c>
      <c r="D4299" s="16"/>
      <c r="E4299">
        <v>6</v>
      </c>
      <c r="F4299" t="s">
        <v>4680</v>
      </c>
      <c r="G4299">
        <v>1</v>
      </c>
      <c r="H4299">
        <v>1</v>
      </c>
      <c r="I4299">
        <f>1</f>
        <v>1</v>
      </c>
    </row>
    <row r="4300" spans="2:9" x14ac:dyDescent="0.25">
      <c r="B4300">
        <v>0</v>
      </c>
      <c r="C4300" s="16" t="s">
        <v>13551</v>
      </c>
      <c r="D4300" s="16"/>
      <c r="E4300">
        <v>6</v>
      </c>
      <c r="F4300" t="s">
        <v>6813</v>
      </c>
      <c r="G4300">
        <v>1</v>
      </c>
      <c r="H4300">
        <v>1</v>
      </c>
      <c r="I4300">
        <f>1</f>
        <v>1</v>
      </c>
    </row>
    <row r="4301" spans="2:9" x14ac:dyDescent="0.25">
      <c r="B4301">
        <v>0</v>
      </c>
      <c r="C4301" s="16" t="s">
        <v>13552</v>
      </c>
      <c r="D4301" s="16"/>
      <c r="E4301">
        <v>6</v>
      </c>
      <c r="F4301" t="s">
        <v>4680</v>
      </c>
      <c r="G4301">
        <v>1</v>
      </c>
      <c r="H4301">
        <v>1</v>
      </c>
      <c r="I4301">
        <f>1</f>
        <v>1</v>
      </c>
    </row>
    <row r="4302" spans="2:9" x14ac:dyDescent="0.25">
      <c r="B4302">
        <v>0</v>
      </c>
      <c r="C4302" s="16" t="s">
        <v>13553</v>
      </c>
      <c r="D4302" s="16"/>
      <c r="E4302">
        <v>6</v>
      </c>
      <c r="F4302" t="s">
        <v>6814</v>
      </c>
      <c r="G4302">
        <v>1</v>
      </c>
      <c r="H4302">
        <v>1</v>
      </c>
      <c r="I4302">
        <f>1</f>
        <v>1</v>
      </c>
    </row>
    <row r="4303" spans="2:9" x14ac:dyDescent="0.25">
      <c r="B4303">
        <v>0</v>
      </c>
      <c r="C4303" s="16" t="s">
        <v>13554</v>
      </c>
      <c r="D4303" s="16"/>
      <c r="E4303">
        <v>6</v>
      </c>
      <c r="F4303" t="s">
        <v>6815</v>
      </c>
      <c r="G4303">
        <v>1</v>
      </c>
      <c r="H4303">
        <v>1</v>
      </c>
      <c r="I4303">
        <f>1</f>
        <v>1</v>
      </c>
    </row>
    <row r="4304" spans="2:9" x14ac:dyDescent="0.25">
      <c r="B4304">
        <v>0</v>
      </c>
      <c r="C4304" s="16" t="s">
        <v>13554</v>
      </c>
      <c r="D4304" s="16" t="s">
        <v>19430</v>
      </c>
      <c r="E4304">
        <v>6</v>
      </c>
      <c r="F4304" t="s">
        <v>6816</v>
      </c>
      <c r="G4304">
        <v>1</v>
      </c>
      <c r="H4304">
        <v>1</v>
      </c>
      <c r="I4304">
        <f>1</f>
        <v>1</v>
      </c>
    </row>
    <row r="4305" spans="2:9" x14ac:dyDescent="0.25">
      <c r="B4305">
        <v>0</v>
      </c>
      <c r="C4305" s="16" t="s">
        <v>13555</v>
      </c>
      <c r="D4305" s="16"/>
      <c r="E4305">
        <v>6</v>
      </c>
      <c r="F4305" t="s">
        <v>6817</v>
      </c>
      <c r="G4305">
        <v>1</v>
      </c>
      <c r="H4305">
        <v>1</v>
      </c>
      <c r="I4305">
        <f>1</f>
        <v>1</v>
      </c>
    </row>
    <row r="4306" spans="2:9" x14ac:dyDescent="0.25">
      <c r="B4306">
        <v>0</v>
      </c>
      <c r="C4306" s="16" t="s">
        <v>13555</v>
      </c>
      <c r="D4306" s="16" t="s">
        <v>19430</v>
      </c>
      <c r="E4306">
        <v>6</v>
      </c>
      <c r="F4306" t="s">
        <v>6818</v>
      </c>
      <c r="G4306">
        <v>1</v>
      </c>
      <c r="H4306">
        <v>1</v>
      </c>
      <c r="I4306">
        <f>1</f>
        <v>1</v>
      </c>
    </row>
    <row r="4307" spans="2:9" x14ac:dyDescent="0.25">
      <c r="B4307">
        <v>0</v>
      </c>
      <c r="C4307" s="16" t="s">
        <v>13556</v>
      </c>
      <c r="D4307" s="16"/>
      <c r="E4307">
        <v>6</v>
      </c>
      <c r="F4307" t="s">
        <v>6814</v>
      </c>
      <c r="G4307">
        <v>1</v>
      </c>
      <c r="H4307">
        <v>1</v>
      </c>
      <c r="I4307">
        <f>1</f>
        <v>1</v>
      </c>
    </row>
    <row r="4308" spans="2:9" x14ac:dyDescent="0.25">
      <c r="B4308">
        <v>0</v>
      </c>
      <c r="C4308" s="16" t="s">
        <v>13557</v>
      </c>
      <c r="D4308" s="16"/>
      <c r="E4308">
        <v>6</v>
      </c>
      <c r="F4308" t="s">
        <v>6797</v>
      </c>
      <c r="G4308">
        <v>1</v>
      </c>
      <c r="H4308">
        <v>1</v>
      </c>
      <c r="I4308">
        <f>1</f>
        <v>1</v>
      </c>
    </row>
    <row r="4309" spans="2:9" x14ac:dyDescent="0.25">
      <c r="B4309">
        <v>0</v>
      </c>
      <c r="C4309" s="16" t="s">
        <v>13558</v>
      </c>
      <c r="D4309" s="16"/>
      <c r="E4309">
        <v>6</v>
      </c>
      <c r="F4309" t="s">
        <v>6819</v>
      </c>
      <c r="G4309">
        <v>1</v>
      </c>
      <c r="H4309">
        <v>1</v>
      </c>
      <c r="I4309">
        <f>1</f>
        <v>1</v>
      </c>
    </row>
    <row r="4310" spans="2:9" x14ac:dyDescent="0.25">
      <c r="B4310">
        <v>0</v>
      </c>
      <c r="C4310" s="16" t="s">
        <v>13559</v>
      </c>
      <c r="D4310" s="16"/>
      <c r="E4310">
        <v>6</v>
      </c>
      <c r="F4310" t="s">
        <v>4680</v>
      </c>
      <c r="G4310">
        <v>1</v>
      </c>
      <c r="H4310">
        <v>1</v>
      </c>
      <c r="I4310">
        <f>1</f>
        <v>1</v>
      </c>
    </row>
    <row r="4311" spans="2:9" x14ac:dyDescent="0.25">
      <c r="B4311">
        <v>0</v>
      </c>
      <c r="C4311" s="16" t="s">
        <v>13560</v>
      </c>
      <c r="D4311" s="16"/>
      <c r="E4311">
        <v>6</v>
      </c>
      <c r="F4311" t="s">
        <v>6820</v>
      </c>
      <c r="G4311">
        <v>1</v>
      </c>
      <c r="H4311">
        <v>1</v>
      </c>
      <c r="I4311">
        <f>1</f>
        <v>1</v>
      </c>
    </row>
    <row r="4312" spans="2:9" x14ac:dyDescent="0.25">
      <c r="B4312">
        <v>0</v>
      </c>
      <c r="C4312" s="16" t="s">
        <v>13561</v>
      </c>
      <c r="D4312" s="16"/>
      <c r="E4312">
        <v>6</v>
      </c>
      <c r="F4312" t="s">
        <v>6821</v>
      </c>
      <c r="G4312">
        <v>1</v>
      </c>
      <c r="H4312">
        <v>1</v>
      </c>
      <c r="I4312">
        <f>1</f>
        <v>1</v>
      </c>
    </row>
    <row r="4313" spans="2:9" x14ac:dyDescent="0.25">
      <c r="B4313">
        <v>0</v>
      </c>
      <c r="C4313" s="16" t="s">
        <v>13562</v>
      </c>
      <c r="D4313" s="16"/>
      <c r="E4313">
        <v>6</v>
      </c>
      <c r="F4313" t="s">
        <v>4680</v>
      </c>
      <c r="G4313">
        <v>1</v>
      </c>
      <c r="H4313">
        <v>1</v>
      </c>
      <c r="I4313">
        <f>1</f>
        <v>1</v>
      </c>
    </row>
    <row r="4314" spans="2:9" x14ac:dyDescent="0.25">
      <c r="B4314">
        <v>0</v>
      </c>
      <c r="C4314" s="16" t="s">
        <v>13563</v>
      </c>
      <c r="D4314" s="16"/>
      <c r="E4314">
        <v>6</v>
      </c>
      <c r="F4314" t="s">
        <v>6822</v>
      </c>
      <c r="G4314">
        <v>1</v>
      </c>
      <c r="H4314">
        <v>1</v>
      </c>
      <c r="I4314">
        <f>1</f>
        <v>1</v>
      </c>
    </row>
    <row r="4315" spans="2:9" x14ac:dyDescent="0.25">
      <c r="B4315">
        <v>0</v>
      </c>
      <c r="C4315" s="16" t="s">
        <v>13563</v>
      </c>
      <c r="D4315" s="16" t="s">
        <v>19430</v>
      </c>
      <c r="E4315">
        <v>6</v>
      </c>
      <c r="F4315" t="s">
        <v>6823</v>
      </c>
      <c r="G4315">
        <v>1</v>
      </c>
      <c r="H4315">
        <v>1</v>
      </c>
      <c r="I4315">
        <f>1</f>
        <v>1</v>
      </c>
    </row>
    <row r="4316" spans="2:9" x14ac:dyDescent="0.25">
      <c r="B4316">
        <v>0</v>
      </c>
      <c r="C4316" s="16" t="s">
        <v>13564</v>
      </c>
      <c r="D4316" s="16"/>
      <c r="E4316">
        <v>6</v>
      </c>
      <c r="F4316" t="e">
        <f>-para reprodução ofsete</f>
        <v>#NAME?</v>
      </c>
      <c r="G4316">
        <v>1</v>
      </c>
      <c r="H4316">
        <v>1</v>
      </c>
      <c r="I4316">
        <f>1</f>
        <v>1</v>
      </c>
    </row>
    <row r="4317" spans="2:9" x14ac:dyDescent="0.25">
      <c r="B4317">
        <v>0</v>
      </c>
      <c r="C4317" s="16" t="s">
        <v>13565</v>
      </c>
      <c r="D4317" s="16"/>
      <c r="E4317">
        <v>6</v>
      </c>
      <c r="F4317" t="s">
        <v>6824</v>
      </c>
      <c r="G4317">
        <v>1</v>
      </c>
      <c r="H4317">
        <v>1</v>
      </c>
      <c r="I4317">
        <f>1</f>
        <v>1</v>
      </c>
    </row>
    <row r="4318" spans="2:9" x14ac:dyDescent="0.25">
      <c r="B4318">
        <v>0</v>
      </c>
      <c r="C4318" s="16" t="s">
        <v>13566</v>
      </c>
      <c r="D4318" s="16"/>
      <c r="E4318">
        <v>6</v>
      </c>
      <c r="F4318" t="s">
        <v>4680</v>
      </c>
      <c r="G4318">
        <v>1</v>
      </c>
      <c r="H4318">
        <v>1</v>
      </c>
      <c r="I4318">
        <f>1</f>
        <v>1</v>
      </c>
    </row>
    <row r="4319" spans="2:9" x14ac:dyDescent="0.25">
      <c r="B4319">
        <v>0</v>
      </c>
      <c r="C4319" s="16" t="s">
        <v>13567</v>
      </c>
      <c r="D4319" s="16"/>
      <c r="E4319">
        <v>6</v>
      </c>
      <c r="F4319" t="s">
        <v>6825</v>
      </c>
      <c r="G4319">
        <v>1</v>
      </c>
      <c r="H4319">
        <v>1</v>
      </c>
      <c r="I4319">
        <f>1</f>
        <v>1</v>
      </c>
    </row>
    <row r="4320" spans="2:9" x14ac:dyDescent="0.25">
      <c r="B4320">
        <v>0</v>
      </c>
      <c r="C4320" s="16" t="s">
        <v>13568</v>
      </c>
      <c r="D4320" s="16"/>
      <c r="E4320">
        <v>6</v>
      </c>
      <c r="F4320" t="e">
        <f>-outros</f>
        <v>#NAME?</v>
      </c>
      <c r="G4320">
        <v>1</v>
      </c>
      <c r="H4320">
        <v>1</v>
      </c>
      <c r="I4320">
        <f>1</f>
        <v>1</v>
      </c>
    </row>
    <row r="4321" spans="2:9" x14ac:dyDescent="0.25">
      <c r="B4321">
        <v>0</v>
      </c>
      <c r="C4321" s="16" t="s">
        <v>13569</v>
      </c>
      <c r="D4321" s="16"/>
      <c r="E4321">
        <v>6</v>
      </c>
      <c r="F4321" t="e">
        <f>-Emulsões para sensibilização De superfícies</f>
        <v>#NAME?</v>
      </c>
      <c r="G4321">
        <v>1</v>
      </c>
      <c r="H4321">
        <v>1</v>
      </c>
      <c r="I4321">
        <f>1</f>
        <v>1</v>
      </c>
    </row>
    <row r="4322" spans="2:9" x14ac:dyDescent="0.25">
      <c r="B4322">
        <v>0</v>
      </c>
      <c r="C4322" s="16" t="s">
        <v>13570</v>
      </c>
      <c r="D4322" s="16"/>
      <c r="E4322">
        <v>6</v>
      </c>
      <c r="F4322" t="s">
        <v>6826</v>
      </c>
      <c r="G4322">
        <v>1</v>
      </c>
      <c r="H4322">
        <v>1</v>
      </c>
      <c r="I4322">
        <f>1</f>
        <v>1</v>
      </c>
    </row>
    <row r="4323" spans="2:9" x14ac:dyDescent="0.25">
      <c r="B4323">
        <v>0</v>
      </c>
      <c r="C4323" s="16" t="s">
        <v>13571</v>
      </c>
      <c r="D4323" s="16"/>
      <c r="E4323">
        <v>6</v>
      </c>
      <c r="F4323" t="s">
        <v>6827</v>
      </c>
      <c r="G4323">
        <v>1</v>
      </c>
      <c r="H4323">
        <v>1</v>
      </c>
      <c r="I4323">
        <f>1</f>
        <v>1</v>
      </c>
    </row>
    <row r="4324" spans="2:9" x14ac:dyDescent="0.25">
      <c r="B4324">
        <v>0</v>
      </c>
      <c r="C4324" s="16" t="s">
        <v>13572</v>
      </c>
      <c r="D4324" s="16"/>
      <c r="E4324">
        <v>6</v>
      </c>
      <c r="F4324" t="s">
        <v>4680</v>
      </c>
      <c r="G4324">
        <v>1</v>
      </c>
      <c r="H4324">
        <v>1</v>
      </c>
      <c r="I4324">
        <f>1</f>
        <v>1</v>
      </c>
    </row>
    <row r="4325" spans="2:9" x14ac:dyDescent="0.25">
      <c r="B4325">
        <v>0</v>
      </c>
      <c r="C4325" s="16" t="s">
        <v>13573</v>
      </c>
      <c r="D4325" s="16"/>
      <c r="E4325">
        <v>6</v>
      </c>
      <c r="F4325" t="s">
        <v>6828</v>
      </c>
      <c r="G4325">
        <v>1</v>
      </c>
      <c r="H4325">
        <v>1</v>
      </c>
      <c r="I4325">
        <f>1</f>
        <v>1</v>
      </c>
    </row>
    <row r="4326" spans="2:9" x14ac:dyDescent="0.25">
      <c r="B4326">
        <v>0</v>
      </c>
      <c r="C4326" s="16" t="s">
        <v>13574</v>
      </c>
      <c r="D4326" s="16"/>
      <c r="E4326">
        <v>6</v>
      </c>
      <c r="F4326" t="s">
        <v>4680</v>
      </c>
      <c r="G4326">
        <v>1</v>
      </c>
      <c r="H4326">
        <v>1</v>
      </c>
      <c r="I4326">
        <f>1</f>
        <v>1</v>
      </c>
    </row>
    <row r="4327" spans="2:9" x14ac:dyDescent="0.25">
      <c r="B4327">
        <v>0</v>
      </c>
      <c r="C4327" s="16" t="s">
        <v>13575</v>
      </c>
      <c r="D4327" s="16"/>
      <c r="E4327">
        <v>6</v>
      </c>
      <c r="F4327" t="e">
        <f>-Grafita artificial</f>
        <v>#NAME?</v>
      </c>
      <c r="G4327">
        <v>1</v>
      </c>
      <c r="H4327">
        <v>0</v>
      </c>
      <c r="I4327">
        <f>1</f>
        <v>1</v>
      </c>
    </row>
    <row r="4328" spans="2:9" x14ac:dyDescent="0.25">
      <c r="B4328">
        <v>0</v>
      </c>
      <c r="C4328" s="16" t="s">
        <v>13576</v>
      </c>
      <c r="D4328" s="16"/>
      <c r="E4328">
        <v>6</v>
      </c>
      <c r="F4328" t="s">
        <v>6829</v>
      </c>
      <c r="G4328">
        <v>1</v>
      </c>
      <c r="H4328">
        <v>0</v>
      </c>
      <c r="I4328">
        <f>1</f>
        <v>1</v>
      </c>
    </row>
    <row r="4329" spans="2:9" x14ac:dyDescent="0.25">
      <c r="B4329">
        <v>0</v>
      </c>
      <c r="C4329" s="16" t="s">
        <v>13577</v>
      </c>
      <c r="D4329" s="16"/>
      <c r="E4329">
        <v>6</v>
      </c>
      <c r="F4329" t="s">
        <v>4680</v>
      </c>
      <c r="G4329">
        <v>1</v>
      </c>
      <c r="H4329">
        <v>0</v>
      </c>
      <c r="I4329">
        <f>1</f>
        <v>1</v>
      </c>
    </row>
    <row r="4330" spans="2:9" x14ac:dyDescent="0.25">
      <c r="B4330">
        <v>0</v>
      </c>
      <c r="C4330" s="16" t="s">
        <v>13578</v>
      </c>
      <c r="D4330" s="16"/>
      <c r="E4330">
        <v>6</v>
      </c>
      <c r="F4330" t="s">
        <v>6830</v>
      </c>
      <c r="G4330">
        <v>1</v>
      </c>
      <c r="H4330">
        <v>0</v>
      </c>
      <c r="I4330">
        <f>1</f>
        <v>1</v>
      </c>
    </row>
    <row r="4331" spans="2:9" x14ac:dyDescent="0.25">
      <c r="B4331">
        <v>0</v>
      </c>
      <c r="C4331" s="16" t="s">
        <v>13579</v>
      </c>
      <c r="D4331" s="16"/>
      <c r="E4331">
        <v>6</v>
      </c>
      <c r="F4331" t="s">
        <v>4690</v>
      </c>
      <c r="G4331">
        <v>1</v>
      </c>
      <c r="H4331">
        <v>0</v>
      </c>
      <c r="I4331">
        <f>1</f>
        <v>1</v>
      </c>
    </row>
    <row r="4332" spans="2:9" x14ac:dyDescent="0.25">
      <c r="B4332">
        <v>0</v>
      </c>
      <c r="C4332" s="16" t="s">
        <v>13580</v>
      </c>
      <c r="D4332" s="16"/>
      <c r="E4332">
        <v>6</v>
      </c>
      <c r="F4332" t="e">
        <f>-Outras</f>
        <v>#NAME?</v>
      </c>
      <c r="G4332">
        <v>1</v>
      </c>
      <c r="H4332">
        <v>0</v>
      </c>
      <c r="I4332">
        <f>1</f>
        <v>1</v>
      </c>
    </row>
    <row r="4333" spans="2:9" x14ac:dyDescent="0.25">
      <c r="B4333">
        <v>0</v>
      </c>
      <c r="C4333" s="16" t="s">
        <v>13581</v>
      </c>
      <c r="D4333" s="16"/>
      <c r="E4333">
        <v>6</v>
      </c>
      <c r="F4333" t="e">
        <f>-Carvões ativados</f>
        <v>#NAME?</v>
      </c>
      <c r="G4333">
        <v>1</v>
      </c>
      <c r="H4333">
        <v>0</v>
      </c>
      <c r="I4333">
        <f>1</f>
        <v>1</v>
      </c>
    </row>
    <row r="4334" spans="2:9" x14ac:dyDescent="0.25">
      <c r="B4334">
        <v>0</v>
      </c>
      <c r="C4334" s="16" t="s">
        <v>13582</v>
      </c>
      <c r="D4334" s="16"/>
      <c r="E4334">
        <v>6</v>
      </c>
      <c r="F4334" t="s">
        <v>6831</v>
      </c>
      <c r="G4334">
        <v>1</v>
      </c>
      <c r="H4334">
        <v>0</v>
      </c>
      <c r="I4334">
        <f>1</f>
        <v>1</v>
      </c>
    </row>
    <row r="4335" spans="2:9" x14ac:dyDescent="0.25">
      <c r="B4335">
        <v>0</v>
      </c>
      <c r="C4335" s="16" t="s">
        <v>13583</v>
      </c>
      <c r="D4335" s="16"/>
      <c r="E4335">
        <v>6</v>
      </c>
      <c r="F4335" t="s">
        <v>6832</v>
      </c>
      <c r="G4335">
        <v>1</v>
      </c>
      <c r="H4335">
        <v>0</v>
      </c>
      <c r="I4335">
        <f>1</f>
        <v>1</v>
      </c>
    </row>
    <row r="4336" spans="2:9" x14ac:dyDescent="0.25">
      <c r="B4336">
        <v>0</v>
      </c>
      <c r="C4336" s="16" t="s">
        <v>13584</v>
      </c>
      <c r="D4336" s="16"/>
      <c r="E4336">
        <v>6</v>
      </c>
      <c r="F4336" t="s">
        <v>6833</v>
      </c>
      <c r="G4336">
        <v>1</v>
      </c>
      <c r="H4336">
        <v>0</v>
      </c>
      <c r="I4336">
        <f>1</f>
        <v>1</v>
      </c>
    </row>
    <row r="4337" spans="2:9" x14ac:dyDescent="0.25">
      <c r="B4337">
        <v>0</v>
      </c>
      <c r="C4337" s="16" t="s">
        <v>13585</v>
      </c>
      <c r="D4337" s="16"/>
      <c r="E4337">
        <v>6</v>
      </c>
      <c r="F4337" t="s">
        <v>6834</v>
      </c>
      <c r="G4337">
        <v>1</v>
      </c>
      <c r="H4337">
        <v>0</v>
      </c>
      <c r="I4337">
        <f>1</f>
        <v>1</v>
      </c>
    </row>
    <row r="4338" spans="2:9" x14ac:dyDescent="0.25">
      <c r="B4338">
        <v>0</v>
      </c>
      <c r="C4338" s="16" t="s">
        <v>13586</v>
      </c>
      <c r="D4338" s="16"/>
      <c r="E4338">
        <v>6</v>
      </c>
      <c r="F4338" t="s">
        <v>6835</v>
      </c>
      <c r="G4338">
        <v>1</v>
      </c>
      <c r="H4338">
        <v>0</v>
      </c>
      <c r="I4338">
        <f>1</f>
        <v>1</v>
      </c>
    </row>
    <row r="4339" spans="2:9" x14ac:dyDescent="0.25">
      <c r="B4339">
        <v>0</v>
      </c>
      <c r="C4339" s="16" t="s">
        <v>13587</v>
      </c>
      <c r="D4339" s="16"/>
      <c r="E4339">
        <v>6</v>
      </c>
      <c r="F4339" t="s">
        <v>4680</v>
      </c>
      <c r="G4339">
        <v>1</v>
      </c>
      <c r="H4339">
        <v>0</v>
      </c>
      <c r="I4339">
        <f>1</f>
        <v>1</v>
      </c>
    </row>
    <row r="4340" spans="2:9" x14ac:dyDescent="0.25">
      <c r="B4340">
        <v>0</v>
      </c>
      <c r="C4340" s="16" t="s">
        <v>13588</v>
      </c>
      <c r="D4340" s="16"/>
      <c r="E4340">
        <v>6</v>
      </c>
      <c r="F4340" t="s">
        <v>6836</v>
      </c>
      <c r="G4340">
        <v>1</v>
      </c>
      <c r="H4340">
        <v>0</v>
      </c>
      <c r="I4340">
        <f>1</f>
        <v>1</v>
      </c>
    </row>
    <row r="4341" spans="2:9" x14ac:dyDescent="0.25">
      <c r="B4341">
        <v>0</v>
      </c>
      <c r="C4341" s="16" t="s">
        <v>13589</v>
      </c>
      <c r="D4341" s="16"/>
      <c r="E4341">
        <v>6</v>
      </c>
      <c r="F4341" t="s">
        <v>6837</v>
      </c>
      <c r="G4341">
        <v>1</v>
      </c>
      <c r="H4341">
        <v>0</v>
      </c>
      <c r="I4341">
        <f>1</f>
        <v>1</v>
      </c>
    </row>
    <row r="4342" spans="2:9" x14ac:dyDescent="0.25">
      <c r="B4342">
        <v>0</v>
      </c>
      <c r="C4342" s="16" t="s">
        <v>13590</v>
      </c>
      <c r="D4342" s="16"/>
      <c r="E4342">
        <v>6</v>
      </c>
      <c r="F4342" t="s">
        <v>6838</v>
      </c>
      <c r="G4342">
        <v>1</v>
      </c>
      <c r="H4342">
        <v>0</v>
      </c>
      <c r="I4342">
        <f>1</f>
        <v>1</v>
      </c>
    </row>
    <row r="4343" spans="2:9" x14ac:dyDescent="0.25">
      <c r="B4343">
        <v>0</v>
      </c>
      <c r="C4343" s="16" t="s">
        <v>13591</v>
      </c>
      <c r="D4343" s="16"/>
      <c r="E4343">
        <v>6</v>
      </c>
      <c r="F4343" t="s">
        <v>6839</v>
      </c>
      <c r="G4343">
        <v>1</v>
      </c>
      <c r="H4343">
        <v>0</v>
      </c>
      <c r="I4343">
        <f>1</f>
        <v>1</v>
      </c>
    </row>
    <row r="4344" spans="2:9" x14ac:dyDescent="0.25">
      <c r="B4344">
        <v>0</v>
      </c>
      <c r="C4344" s="16" t="s">
        <v>13592</v>
      </c>
      <c r="D4344" s="16"/>
      <c r="E4344">
        <v>6</v>
      </c>
      <c r="F4344" t="s">
        <v>6840</v>
      </c>
      <c r="G4344">
        <v>1</v>
      </c>
      <c r="H4344">
        <v>0</v>
      </c>
      <c r="I4344">
        <f>1</f>
        <v>1</v>
      </c>
    </row>
    <row r="4345" spans="2:9" x14ac:dyDescent="0.25">
      <c r="B4345">
        <v>0</v>
      </c>
      <c r="C4345" s="16" t="s">
        <v>13593</v>
      </c>
      <c r="D4345" s="16"/>
      <c r="E4345">
        <v>6</v>
      </c>
      <c r="F4345" t="s">
        <v>6841</v>
      </c>
      <c r="G4345">
        <v>1</v>
      </c>
      <c r="H4345">
        <v>0</v>
      </c>
      <c r="I4345">
        <f>1</f>
        <v>1</v>
      </c>
    </row>
    <row r="4346" spans="2:9" x14ac:dyDescent="0.25">
      <c r="B4346">
        <v>0</v>
      </c>
      <c r="C4346" s="16" t="s">
        <v>13594</v>
      </c>
      <c r="D4346" s="16"/>
      <c r="E4346">
        <v>6</v>
      </c>
      <c r="F4346" t="s">
        <v>4680</v>
      </c>
      <c r="G4346">
        <v>1</v>
      </c>
      <c r="H4346">
        <v>0</v>
      </c>
      <c r="I4346">
        <f>1</f>
        <v>1</v>
      </c>
    </row>
    <row r="4347" spans="2:9" x14ac:dyDescent="0.25">
      <c r="B4347">
        <v>0</v>
      </c>
      <c r="C4347" s="16" t="s">
        <v>13595</v>
      </c>
      <c r="D4347" s="16"/>
      <c r="E4347">
        <v>6</v>
      </c>
      <c r="F4347" t="e">
        <f>-Colofônias e Ácidos resínicos</f>
        <v>#NAME?</v>
      </c>
      <c r="G4347">
        <v>1</v>
      </c>
      <c r="H4347">
        <v>0</v>
      </c>
      <c r="I4347">
        <f>1</f>
        <v>1</v>
      </c>
    </row>
    <row r="4348" spans="2:9" x14ac:dyDescent="0.25">
      <c r="B4348">
        <v>0</v>
      </c>
      <c r="C4348" s="16" t="s">
        <v>13596</v>
      </c>
      <c r="D4348" s="16"/>
      <c r="E4348">
        <v>6</v>
      </c>
      <c r="F4348" t="s">
        <v>6842</v>
      </c>
      <c r="G4348">
        <v>1</v>
      </c>
      <c r="H4348">
        <v>0</v>
      </c>
      <c r="I4348">
        <f>1</f>
        <v>1</v>
      </c>
    </row>
    <row r="4349" spans="2:9" x14ac:dyDescent="0.25">
      <c r="B4349">
        <v>0</v>
      </c>
      <c r="C4349" s="16" t="s">
        <v>13597</v>
      </c>
      <c r="D4349" s="16"/>
      <c r="E4349">
        <v>6</v>
      </c>
      <c r="F4349" t="e">
        <f>-Gomas ésteres</f>
        <v>#NAME?</v>
      </c>
      <c r="G4349">
        <v>1</v>
      </c>
      <c r="H4349">
        <v>0</v>
      </c>
      <c r="I4349">
        <f>1</f>
        <v>1</v>
      </c>
    </row>
    <row r="4350" spans="2:9" x14ac:dyDescent="0.25">
      <c r="B4350">
        <v>0</v>
      </c>
      <c r="C4350" s="16" t="s">
        <v>13598</v>
      </c>
      <c r="D4350" s="16"/>
      <c r="E4350">
        <v>6</v>
      </c>
      <c r="F4350" t="s">
        <v>6843</v>
      </c>
      <c r="G4350">
        <v>1</v>
      </c>
      <c r="H4350">
        <v>0</v>
      </c>
      <c r="I4350">
        <f>1</f>
        <v>1</v>
      </c>
    </row>
    <row r="4351" spans="2:9" x14ac:dyDescent="0.25">
      <c r="B4351">
        <v>0</v>
      </c>
      <c r="C4351" s="16" t="s">
        <v>13599</v>
      </c>
      <c r="D4351" s="16"/>
      <c r="E4351">
        <v>6</v>
      </c>
      <c r="F4351" t="s">
        <v>6844</v>
      </c>
      <c r="G4351">
        <v>1</v>
      </c>
      <c r="H4351">
        <v>0</v>
      </c>
      <c r="I4351">
        <f>1</f>
        <v>1</v>
      </c>
    </row>
    <row r="4352" spans="2:9" x14ac:dyDescent="0.25">
      <c r="B4352">
        <v>0</v>
      </c>
      <c r="C4352" s="16" t="s">
        <v>13600</v>
      </c>
      <c r="D4352" s="16"/>
      <c r="E4352">
        <v>6</v>
      </c>
      <c r="F4352" t="s">
        <v>4680</v>
      </c>
      <c r="G4352">
        <v>1</v>
      </c>
      <c r="H4352">
        <v>0</v>
      </c>
      <c r="I4352">
        <f>1</f>
        <v>1</v>
      </c>
    </row>
    <row r="4353" spans="2:9" x14ac:dyDescent="0.25">
      <c r="B4353">
        <v>0</v>
      </c>
      <c r="C4353" s="16" t="s">
        <v>13601</v>
      </c>
      <c r="D4353" s="16"/>
      <c r="E4353">
        <v>6</v>
      </c>
      <c r="F4353" t="s">
        <v>4680</v>
      </c>
      <c r="G4353">
        <v>1</v>
      </c>
      <c r="H4353">
        <v>0</v>
      </c>
      <c r="I4353">
        <f>1</f>
        <v>1</v>
      </c>
    </row>
    <row r="4354" spans="2:9" x14ac:dyDescent="0.25">
      <c r="B4354">
        <v>0</v>
      </c>
      <c r="C4354" s="16" t="s">
        <v>13601</v>
      </c>
      <c r="D4354" s="16" t="s">
        <v>19430</v>
      </c>
      <c r="E4354">
        <v>6</v>
      </c>
      <c r="F4354" t="s">
        <v>6845</v>
      </c>
      <c r="G4354">
        <v>1</v>
      </c>
      <c r="H4354">
        <v>0</v>
      </c>
      <c r="I4354">
        <f>1</f>
        <v>1</v>
      </c>
    </row>
    <row r="4355" spans="2:9" x14ac:dyDescent="0.25">
      <c r="B4355">
        <v>0</v>
      </c>
      <c r="C4355" s="16" t="s">
        <v>13602</v>
      </c>
      <c r="D4355" s="16"/>
      <c r="E4355">
        <v>6</v>
      </c>
      <c r="F4355" t="s">
        <v>6846</v>
      </c>
      <c r="G4355">
        <v>1</v>
      </c>
      <c r="H4355">
        <v>0</v>
      </c>
      <c r="I4355">
        <f>1</f>
        <v>1</v>
      </c>
    </row>
    <row r="4356" spans="2:9" x14ac:dyDescent="0.25">
      <c r="B4356">
        <v>0</v>
      </c>
      <c r="C4356" s="16" t="s">
        <v>13602</v>
      </c>
      <c r="D4356" s="16" t="s">
        <v>19430</v>
      </c>
      <c r="E4356">
        <v>6</v>
      </c>
      <c r="F4356" t="s">
        <v>6847</v>
      </c>
      <c r="G4356">
        <v>1</v>
      </c>
      <c r="H4356">
        <v>0</v>
      </c>
      <c r="I4356">
        <f>1</f>
        <v>1</v>
      </c>
    </row>
    <row r="4357" spans="2:9" x14ac:dyDescent="0.25">
      <c r="B4357">
        <v>0</v>
      </c>
      <c r="C4357" s="16" t="s">
        <v>13603</v>
      </c>
      <c r="D4357" s="16"/>
      <c r="E4357">
        <v>6</v>
      </c>
      <c r="F4357" t="s">
        <v>6848</v>
      </c>
      <c r="G4357">
        <v>1</v>
      </c>
      <c r="H4357">
        <v>0</v>
      </c>
      <c r="I4357">
        <f>1</f>
        <v>1</v>
      </c>
    </row>
    <row r="4358" spans="2:9" x14ac:dyDescent="0.25">
      <c r="B4358">
        <v>0</v>
      </c>
      <c r="C4358" s="16" t="s">
        <v>13604</v>
      </c>
      <c r="D4358" s="16"/>
      <c r="E4358">
        <v>6</v>
      </c>
      <c r="F4358" t="s">
        <v>6849</v>
      </c>
      <c r="G4358">
        <v>1</v>
      </c>
      <c r="H4358">
        <v>0</v>
      </c>
      <c r="I4358">
        <f>1</f>
        <v>1</v>
      </c>
    </row>
    <row r="4359" spans="2:9" x14ac:dyDescent="0.25">
      <c r="B4359">
        <v>0</v>
      </c>
      <c r="C4359" s="16" t="s">
        <v>13605</v>
      </c>
      <c r="D4359" s="16"/>
      <c r="E4359">
        <v>6</v>
      </c>
      <c r="F4359" t="s">
        <v>4680</v>
      </c>
      <c r="G4359">
        <v>1</v>
      </c>
      <c r="H4359">
        <v>0</v>
      </c>
      <c r="I4359">
        <f>1</f>
        <v>1</v>
      </c>
    </row>
    <row r="4360" spans="2:9" x14ac:dyDescent="0.25">
      <c r="B4360">
        <v>0</v>
      </c>
      <c r="C4360" s="16" t="s">
        <v>13605</v>
      </c>
      <c r="D4360" s="16" t="s">
        <v>19430</v>
      </c>
      <c r="E4360">
        <v>6</v>
      </c>
      <c r="F4360" t="s">
        <v>6850</v>
      </c>
      <c r="G4360">
        <v>1</v>
      </c>
      <c r="H4360">
        <v>0</v>
      </c>
      <c r="I4360">
        <f>1</f>
        <v>1</v>
      </c>
    </row>
    <row r="4361" spans="2:9" x14ac:dyDescent="0.25">
      <c r="B4361">
        <v>0</v>
      </c>
      <c r="C4361" s="16" t="s">
        <v>13605</v>
      </c>
      <c r="D4361" s="16" t="s">
        <v>19431</v>
      </c>
      <c r="E4361">
        <v>6</v>
      </c>
      <c r="F4361" t="s">
        <v>6851</v>
      </c>
      <c r="G4361">
        <v>1</v>
      </c>
      <c r="H4361">
        <v>0</v>
      </c>
      <c r="I4361">
        <f>1</f>
        <v>1</v>
      </c>
    </row>
    <row r="4362" spans="2:9" x14ac:dyDescent="0.25">
      <c r="B4362">
        <v>0</v>
      </c>
      <c r="C4362" s="16" t="s">
        <v>13606</v>
      </c>
      <c r="D4362" s="16"/>
      <c r="E4362">
        <v>6</v>
      </c>
      <c r="F4362" t="s">
        <v>6852</v>
      </c>
      <c r="G4362">
        <v>1</v>
      </c>
      <c r="H4362">
        <v>0</v>
      </c>
      <c r="I4362">
        <f>1</f>
        <v>1</v>
      </c>
    </row>
    <row r="4363" spans="2:9" x14ac:dyDescent="0.25">
      <c r="B4363">
        <v>0</v>
      </c>
      <c r="C4363" s="16" t="s">
        <v>13607</v>
      </c>
      <c r="D4363" s="16"/>
      <c r="E4363">
        <v>6</v>
      </c>
      <c r="F4363" t="s">
        <v>4680</v>
      </c>
      <c r="G4363">
        <v>1</v>
      </c>
      <c r="H4363">
        <v>0</v>
      </c>
      <c r="I4363">
        <f>1</f>
        <v>1</v>
      </c>
    </row>
    <row r="4364" spans="2:9" x14ac:dyDescent="0.25">
      <c r="B4364">
        <v>0</v>
      </c>
      <c r="C4364" s="16" t="s">
        <v>13608</v>
      </c>
      <c r="D4364" s="16"/>
      <c r="E4364">
        <v>6</v>
      </c>
      <c r="F4364" t="s">
        <v>6853</v>
      </c>
      <c r="G4364">
        <v>1</v>
      </c>
      <c r="H4364">
        <v>0</v>
      </c>
      <c r="I4364">
        <f>1</f>
        <v>1</v>
      </c>
    </row>
    <row r="4365" spans="2:9" x14ac:dyDescent="0.25">
      <c r="B4365">
        <v>0</v>
      </c>
      <c r="C4365" s="16" t="s">
        <v>13609</v>
      </c>
      <c r="D4365" s="16"/>
      <c r="E4365">
        <v>6</v>
      </c>
      <c r="F4365" t="s">
        <v>6854</v>
      </c>
      <c r="G4365">
        <v>1</v>
      </c>
      <c r="H4365">
        <v>0</v>
      </c>
      <c r="I4365">
        <f>1</f>
        <v>1</v>
      </c>
    </row>
    <row r="4366" spans="2:9" x14ac:dyDescent="0.25">
      <c r="B4366">
        <v>0</v>
      </c>
      <c r="C4366" s="16" t="s">
        <v>13610</v>
      </c>
      <c r="D4366" s="16"/>
      <c r="E4366">
        <v>6</v>
      </c>
      <c r="F4366" t="s">
        <v>6855</v>
      </c>
      <c r="G4366">
        <v>1</v>
      </c>
      <c r="H4366">
        <v>0</v>
      </c>
      <c r="I4366">
        <f>1</f>
        <v>1</v>
      </c>
    </row>
    <row r="4367" spans="2:9" x14ac:dyDescent="0.25">
      <c r="B4367">
        <v>0</v>
      </c>
      <c r="C4367" s="16" t="s">
        <v>13611</v>
      </c>
      <c r="D4367" s="16"/>
      <c r="E4367">
        <v>6</v>
      </c>
      <c r="F4367" t="s">
        <v>6856</v>
      </c>
      <c r="G4367">
        <v>1</v>
      </c>
      <c r="H4367">
        <v>0</v>
      </c>
      <c r="I4367">
        <f>1</f>
        <v>1</v>
      </c>
    </row>
    <row r="4368" spans="2:9" x14ac:dyDescent="0.25">
      <c r="B4368">
        <v>0</v>
      </c>
      <c r="C4368" s="16" t="s">
        <v>13612</v>
      </c>
      <c r="D4368" s="16"/>
      <c r="E4368">
        <v>6</v>
      </c>
      <c r="F4368" t="s">
        <v>6857</v>
      </c>
      <c r="G4368">
        <v>1</v>
      </c>
      <c r="H4368">
        <v>0</v>
      </c>
      <c r="I4368">
        <f>1</f>
        <v>1</v>
      </c>
    </row>
    <row r="4369" spans="2:9" x14ac:dyDescent="0.25">
      <c r="B4369">
        <v>0</v>
      </c>
      <c r="C4369" s="16" t="s">
        <v>13613</v>
      </c>
      <c r="D4369" s="16"/>
      <c r="E4369">
        <v>6</v>
      </c>
      <c r="F4369" t="s">
        <v>6858</v>
      </c>
      <c r="G4369">
        <v>1</v>
      </c>
      <c r="H4369">
        <v>0</v>
      </c>
      <c r="I4369">
        <f>1</f>
        <v>1</v>
      </c>
    </row>
    <row r="4370" spans="2:9" x14ac:dyDescent="0.25">
      <c r="B4370">
        <v>0</v>
      </c>
      <c r="C4370" s="16" t="s">
        <v>13614</v>
      </c>
      <c r="D4370" s="16"/>
      <c r="E4370">
        <v>6</v>
      </c>
      <c r="F4370" t="s">
        <v>6859</v>
      </c>
      <c r="G4370">
        <v>1</v>
      </c>
      <c r="H4370">
        <v>0</v>
      </c>
      <c r="I4370">
        <f>1</f>
        <v>1</v>
      </c>
    </row>
    <row r="4371" spans="2:9" x14ac:dyDescent="0.25">
      <c r="B4371">
        <v>0</v>
      </c>
      <c r="C4371" s="16" t="s">
        <v>13615</v>
      </c>
      <c r="D4371" s="16"/>
      <c r="E4371">
        <v>6</v>
      </c>
      <c r="F4371" t="s">
        <v>6860</v>
      </c>
      <c r="G4371">
        <v>1</v>
      </c>
      <c r="H4371">
        <v>0</v>
      </c>
      <c r="I4371">
        <f>1</f>
        <v>1</v>
      </c>
    </row>
    <row r="4372" spans="2:9" x14ac:dyDescent="0.25">
      <c r="B4372">
        <v>0</v>
      </c>
      <c r="C4372" s="16" t="s">
        <v>13616</v>
      </c>
      <c r="D4372" s="16"/>
      <c r="E4372">
        <v>6</v>
      </c>
      <c r="F4372" t="s">
        <v>6861</v>
      </c>
      <c r="G4372">
        <v>1</v>
      </c>
      <c r="H4372">
        <v>0</v>
      </c>
      <c r="I4372">
        <f>1</f>
        <v>1</v>
      </c>
    </row>
    <row r="4373" spans="2:9" x14ac:dyDescent="0.25">
      <c r="B4373">
        <v>0</v>
      </c>
      <c r="C4373" s="16" t="s">
        <v>13617</v>
      </c>
      <c r="D4373" s="16"/>
      <c r="E4373">
        <v>6</v>
      </c>
      <c r="F4373" t="s">
        <v>4680</v>
      </c>
      <c r="G4373">
        <v>1</v>
      </c>
      <c r="H4373">
        <v>0</v>
      </c>
      <c r="I4373">
        <f>1</f>
        <v>1</v>
      </c>
    </row>
    <row r="4374" spans="2:9" x14ac:dyDescent="0.25">
      <c r="B4374">
        <v>0</v>
      </c>
      <c r="C4374" s="16" t="s">
        <v>13618</v>
      </c>
      <c r="D4374" s="16"/>
      <c r="E4374">
        <v>6</v>
      </c>
      <c r="F4374" t="s">
        <v>6852</v>
      </c>
      <c r="G4374">
        <v>1</v>
      </c>
      <c r="H4374">
        <v>0</v>
      </c>
      <c r="I4374">
        <f>1</f>
        <v>1</v>
      </c>
    </row>
    <row r="4375" spans="2:9" x14ac:dyDescent="0.25">
      <c r="B4375">
        <v>0</v>
      </c>
      <c r="C4375" s="16" t="s">
        <v>13619</v>
      </c>
      <c r="D4375" s="16"/>
      <c r="E4375">
        <v>6</v>
      </c>
      <c r="F4375" t="s">
        <v>4680</v>
      </c>
      <c r="G4375">
        <v>1</v>
      </c>
      <c r="H4375">
        <v>0</v>
      </c>
      <c r="I4375">
        <f>1</f>
        <v>1</v>
      </c>
    </row>
    <row r="4376" spans="2:9" x14ac:dyDescent="0.25">
      <c r="B4376">
        <v>0</v>
      </c>
      <c r="C4376" s="16" t="s">
        <v>13620</v>
      </c>
      <c r="D4376" s="16"/>
      <c r="E4376">
        <v>6</v>
      </c>
      <c r="F4376" t="s">
        <v>6853</v>
      </c>
      <c r="G4376">
        <v>1</v>
      </c>
      <c r="H4376">
        <v>0</v>
      </c>
      <c r="I4376">
        <f>1</f>
        <v>1</v>
      </c>
    </row>
    <row r="4377" spans="2:9" x14ac:dyDescent="0.25">
      <c r="B4377">
        <v>0</v>
      </c>
      <c r="C4377" s="16" t="s">
        <v>13621</v>
      </c>
      <c r="D4377" s="16"/>
      <c r="E4377">
        <v>6</v>
      </c>
      <c r="F4377" t="s">
        <v>4680</v>
      </c>
      <c r="G4377">
        <v>1</v>
      </c>
      <c r="H4377">
        <v>1</v>
      </c>
      <c r="I4377">
        <f>1</f>
        <v>1</v>
      </c>
    </row>
    <row r="4378" spans="2:9" x14ac:dyDescent="0.25">
      <c r="B4378">
        <v>0</v>
      </c>
      <c r="C4378" s="16" t="s">
        <v>13622</v>
      </c>
      <c r="D4378" s="16"/>
      <c r="E4378">
        <v>6</v>
      </c>
      <c r="F4378" t="s">
        <v>6862</v>
      </c>
      <c r="G4378">
        <v>1</v>
      </c>
      <c r="H4378">
        <v>0</v>
      </c>
      <c r="I4378">
        <f>1</f>
        <v>1</v>
      </c>
    </row>
    <row r="4379" spans="2:9" x14ac:dyDescent="0.25">
      <c r="B4379">
        <v>0</v>
      </c>
      <c r="C4379" s="16" t="s">
        <v>13623</v>
      </c>
      <c r="D4379" s="16"/>
      <c r="E4379">
        <v>6</v>
      </c>
      <c r="F4379" t="s">
        <v>6863</v>
      </c>
      <c r="G4379">
        <v>1</v>
      </c>
      <c r="H4379">
        <v>0</v>
      </c>
      <c r="I4379">
        <f>1</f>
        <v>1</v>
      </c>
    </row>
    <row r="4380" spans="2:9" x14ac:dyDescent="0.25">
      <c r="B4380">
        <v>0</v>
      </c>
      <c r="C4380" s="16" t="s">
        <v>13624</v>
      </c>
      <c r="D4380" s="16"/>
      <c r="E4380">
        <v>6</v>
      </c>
      <c r="F4380" t="s">
        <v>6864</v>
      </c>
      <c r="G4380">
        <v>1</v>
      </c>
      <c r="H4380">
        <v>0</v>
      </c>
      <c r="I4380">
        <f>1</f>
        <v>1</v>
      </c>
    </row>
    <row r="4381" spans="2:9" x14ac:dyDescent="0.25">
      <c r="B4381">
        <v>0</v>
      </c>
      <c r="C4381" s="16" t="s">
        <v>13625</v>
      </c>
      <c r="D4381" s="16"/>
      <c r="E4381">
        <v>6</v>
      </c>
      <c r="F4381" t="s">
        <v>6865</v>
      </c>
      <c r="G4381">
        <v>1</v>
      </c>
      <c r="H4381">
        <v>0</v>
      </c>
      <c r="I4381">
        <f>1</f>
        <v>1</v>
      </c>
    </row>
    <row r="4382" spans="2:9" x14ac:dyDescent="0.25">
      <c r="B4382">
        <v>0</v>
      </c>
      <c r="C4382" s="16" t="s">
        <v>13626</v>
      </c>
      <c r="D4382" s="16"/>
      <c r="E4382">
        <v>6</v>
      </c>
      <c r="F4382" t="s">
        <v>6866</v>
      </c>
      <c r="G4382">
        <v>1</v>
      </c>
      <c r="H4382">
        <v>0</v>
      </c>
      <c r="I4382">
        <f>1</f>
        <v>1</v>
      </c>
    </row>
    <row r="4383" spans="2:9" x14ac:dyDescent="0.25">
      <c r="B4383">
        <v>0</v>
      </c>
      <c r="C4383" s="16" t="s">
        <v>13627</v>
      </c>
      <c r="D4383" s="16"/>
      <c r="E4383">
        <v>6</v>
      </c>
      <c r="F4383" t="s">
        <v>6867</v>
      </c>
      <c r="G4383">
        <v>1</v>
      </c>
      <c r="H4383">
        <v>0</v>
      </c>
      <c r="I4383">
        <f>1</f>
        <v>1</v>
      </c>
    </row>
    <row r="4384" spans="2:9" x14ac:dyDescent="0.25">
      <c r="B4384">
        <v>0</v>
      </c>
      <c r="C4384" s="16" t="s">
        <v>13628</v>
      </c>
      <c r="D4384" s="16"/>
      <c r="E4384">
        <v>6</v>
      </c>
      <c r="F4384" t="s">
        <v>6868</v>
      </c>
      <c r="G4384">
        <v>1</v>
      </c>
      <c r="H4384">
        <v>0</v>
      </c>
      <c r="I4384">
        <f>1</f>
        <v>1</v>
      </c>
    </row>
    <row r="4385" spans="2:9" x14ac:dyDescent="0.25">
      <c r="B4385">
        <v>0</v>
      </c>
      <c r="C4385" s="16" t="s">
        <v>13629</v>
      </c>
      <c r="D4385" s="16"/>
      <c r="E4385">
        <v>6</v>
      </c>
      <c r="F4385" t="s">
        <v>4680</v>
      </c>
      <c r="G4385">
        <v>1</v>
      </c>
      <c r="H4385">
        <v>0</v>
      </c>
      <c r="I4385">
        <f>1</f>
        <v>1</v>
      </c>
    </row>
    <row r="4386" spans="2:9" x14ac:dyDescent="0.25">
      <c r="B4386">
        <v>0</v>
      </c>
      <c r="C4386" s="16" t="s">
        <v>13630</v>
      </c>
      <c r="D4386" s="16"/>
      <c r="E4386">
        <v>6</v>
      </c>
      <c r="F4386" t="s">
        <v>6852</v>
      </c>
      <c r="G4386">
        <v>1</v>
      </c>
      <c r="H4386">
        <v>0</v>
      </c>
      <c r="I4386">
        <f>1</f>
        <v>1</v>
      </c>
    </row>
    <row r="4387" spans="2:9" x14ac:dyDescent="0.25">
      <c r="B4387">
        <v>0</v>
      </c>
      <c r="C4387" s="16" t="s">
        <v>13631</v>
      </c>
      <c r="D4387" s="16"/>
      <c r="E4387">
        <v>6</v>
      </c>
      <c r="F4387" t="s">
        <v>4680</v>
      </c>
      <c r="G4387">
        <v>1</v>
      </c>
      <c r="H4387">
        <v>0</v>
      </c>
      <c r="I4387">
        <f>1</f>
        <v>1</v>
      </c>
    </row>
    <row r="4388" spans="2:9" x14ac:dyDescent="0.25">
      <c r="B4388">
        <v>0</v>
      </c>
      <c r="C4388" s="16" t="s">
        <v>13632</v>
      </c>
      <c r="D4388" s="16"/>
      <c r="E4388">
        <v>6</v>
      </c>
      <c r="F4388" t="s">
        <v>6852</v>
      </c>
      <c r="G4388">
        <v>1</v>
      </c>
      <c r="H4388">
        <v>0</v>
      </c>
      <c r="I4388">
        <f>1</f>
        <v>1</v>
      </c>
    </row>
    <row r="4389" spans="2:9" x14ac:dyDescent="0.25">
      <c r="B4389">
        <v>0</v>
      </c>
      <c r="C4389" s="16" t="s">
        <v>13633</v>
      </c>
      <c r="D4389" s="16"/>
      <c r="E4389">
        <v>6</v>
      </c>
      <c r="F4389" t="s">
        <v>6869</v>
      </c>
      <c r="G4389">
        <v>1</v>
      </c>
      <c r="H4389">
        <v>0</v>
      </c>
      <c r="I4389">
        <f>1</f>
        <v>1</v>
      </c>
    </row>
    <row r="4390" spans="2:9" x14ac:dyDescent="0.25">
      <c r="B4390">
        <v>0</v>
      </c>
      <c r="C4390" s="16" t="s">
        <v>13634</v>
      </c>
      <c r="D4390" s="16"/>
      <c r="E4390">
        <v>6</v>
      </c>
      <c r="F4390" t="s">
        <v>6870</v>
      </c>
      <c r="G4390">
        <v>1</v>
      </c>
      <c r="H4390">
        <v>0</v>
      </c>
      <c r="I4390">
        <f>1</f>
        <v>1</v>
      </c>
    </row>
    <row r="4391" spans="2:9" x14ac:dyDescent="0.25">
      <c r="B4391">
        <v>0</v>
      </c>
      <c r="C4391" s="16" t="s">
        <v>13635</v>
      </c>
      <c r="D4391" s="16"/>
      <c r="E4391">
        <v>6</v>
      </c>
      <c r="F4391" t="s">
        <v>6871</v>
      </c>
      <c r="G4391">
        <v>1</v>
      </c>
      <c r="H4391">
        <v>0</v>
      </c>
      <c r="I4391">
        <f>1</f>
        <v>1</v>
      </c>
    </row>
    <row r="4392" spans="2:9" x14ac:dyDescent="0.25">
      <c r="B4392">
        <v>0</v>
      </c>
      <c r="C4392" s="16" t="s">
        <v>13636</v>
      </c>
      <c r="D4392" s="16"/>
      <c r="E4392">
        <v>6</v>
      </c>
      <c r="F4392" t="s">
        <v>6872</v>
      </c>
      <c r="G4392">
        <v>1</v>
      </c>
      <c r="H4392">
        <v>0</v>
      </c>
      <c r="I4392">
        <f>1</f>
        <v>1</v>
      </c>
    </row>
    <row r="4393" spans="2:9" x14ac:dyDescent="0.25">
      <c r="B4393">
        <v>0</v>
      </c>
      <c r="C4393" s="16" t="s">
        <v>13637</v>
      </c>
      <c r="D4393" s="16"/>
      <c r="E4393">
        <v>6</v>
      </c>
      <c r="F4393" t="s">
        <v>6873</v>
      </c>
      <c r="G4393">
        <v>1</v>
      </c>
      <c r="H4393">
        <v>0</v>
      </c>
      <c r="I4393">
        <f>1</f>
        <v>1</v>
      </c>
    </row>
    <row r="4394" spans="2:9" x14ac:dyDescent="0.25">
      <c r="B4394">
        <v>0</v>
      </c>
      <c r="C4394" s="16" t="s">
        <v>13638</v>
      </c>
      <c r="D4394" s="16"/>
      <c r="E4394">
        <v>6</v>
      </c>
      <c r="F4394" t="s">
        <v>6874</v>
      </c>
      <c r="G4394">
        <v>1</v>
      </c>
      <c r="H4394">
        <v>0</v>
      </c>
      <c r="I4394">
        <f>1</f>
        <v>1</v>
      </c>
    </row>
    <row r="4395" spans="2:9" x14ac:dyDescent="0.25">
      <c r="B4395">
        <v>0</v>
      </c>
      <c r="C4395" s="16" t="s">
        <v>13639</v>
      </c>
      <c r="D4395" s="16"/>
      <c r="E4395">
        <v>6</v>
      </c>
      <c r="F4395" t="s">
        <v>4680</v>
      </c>
      <c r="G4395">
        <v>1</v>
      </c>
      <c r="H4395">
        <v>0</v>
      </c>
      <c r="I4395">
        <f>1</f>
        <v>1</v>
      </c>
    </row>
    <row r="4396" spans="2:9" x14ac:dyDescent="0.25">
      <c r="B4396">
        <v>0</v>
      </c>
      <c r="C4396" s="16" t="s">
        <v>13640</v>
      </c>
      <c r="D4396" s="16"/>
      <c r="E4396">
        <v>6</v>
      </c>
      <c r="F4396" t="s">
        <v>6852</v>
      </c>
      <c r="G4396">
        <v>1</v>
      </c>
      <c r="H4396">
        <v>0</v>
      </c>
      <c r="I4396">
        <f>1</f>
        <v>1</v>
      </c>
    </row>
    <row r="4397" spans="2:9" x14ac:dyDescent="0.25">
      <c r="B4397">
        <v>0</v>
      </c>
      <c r="C4397" s="16" t="s">
        <v>13641</v>
      </c>
      <c r="D4397" s="16"/>
      <c r="E4397">
        <v>6</v>
      </c>
      <c r="F4397" t="s">
        <v>6875</v>
      </c>
      <c r="G4397">
        <v>1</v>
      </c>
      <c r="H4397">
        <v>0</v>
      </c>
      <c r="I4397">
        <f>1</f>
        <v>1</v>
      </c>
    </row>
    <row r="4398" spans="2:9" x14ac:dyDescent="0.25">
      <c r="B4398">
        <v>0</v>
      </c>
      <c r="C4398" s="16" t="s">
        <v>13642</v>
      </c>
      <c r="D4398" s="16"/>
      <c r="E4398">
        <v>6</v>
      </c>
      <c r="F4398" t="s">
        <v>4680</v>
      </c>
      <c r="G4398">
        <v>1</v>
      </c>
      <c r="H4398">
        <v>0</v>
      </c>
      <c r="I4398">
        <f>1</f>
        <v>1</v>
      </c>
    </row>
    <row r="4399" spans="2:9" x14ac:dyDescent="0.25">
      <c r="B4399">
        <v>0</v>
      </c>
      <c r="C4399" s="16" t="s">
        <v>13643</v>
      </c>
      <c r="D4399" s="16"/>
      <c r="E4399">
        <v>6</v>
      </c>
      <c r="F4399" t="s">
        <v>6852</v>
      </c>
      <c r="G4399">
        <v>1</v>
      </c>
      <c r="H4399">
        <v>0</v>
      </c>
      <c r="I4399">
        <f>1</f>
        <v>1</v>
      </c>
    </row>
    <row r="4400" spans="2:9" x14ac:dyDescent="0.25">
      <c r="B4400">
        <v>0</v>
      </c>
      <c r="C4400" s="16" t="s">
        <v>13644</v>
      </c>
      <c r="D4400" s="16"/>
      <c r="E4400">
        <v>6</v>
      </c>
      <c r="F4400" t="s">
        <v>4680</v>
      </c>
      <c r="G4400">
        <v>1</v>
      </c>
      <c r="H4400">
        <v>0</v>
      </c>
      <c r="I4400">
        <f>1</f>
        <v>1</v>
      </c>
    </row>
    <row r="4401" spans="2:9" x14ac:dyDescent="0.25">
      <c r="B4401">
        <v>0</v>
      </c>
      <c r="C4401" s="16" t="s">
        <v>13645</v>
      </c>
      <c r="D4401" s="16"/>
      <c r="E4401">
        <v>6</v>
      </c>
      <c r="F4401" t="s">
        <v>6852</v>
      </c>
      <c r="G4401">
        <v>1</v>
      </c>
      <c r="H4401">
        <v>0</v>
      </c>
      <c r="I4401">
        <f>1</f>
        <v>1</v>
      </c>
    </row>
    <row r="4402" spans="2:9" x14ac:dyDescent="0.25">
      <c r="B4402">
        <v>0</v>
      </c>
      <c r="C4402" s="16" t="s">
        <v>13646</v>
      </c>
      <c r="D4402" s="16"/>
      <c r="E4402">
        <v>6</v>
      </c>
      <c r="F4402" t="s">
        <v>6876</v>
      </c>
      <c r="G4402">
        <v>1</v>
      </c>
      <c r="H4402">
        <v>0</v>
      </c>
      <c r="I4402">
        <f>1</f>
        <v>1</v>
      </c>
    </row>
    <row r="4403" spans="2:9" x14ac:dyDescent="0.25">
      <c r="B4403">
        <v>0</v>
      </c>
      <c r="C4403" s="16" t="s">
        <v>13647</v>
      </c>
      <c r="D4403" s="16"/>
      <c r="E4403">
        <v>6</v>
      </c>
      <c r="F4403" t="s">
        <v>4680</v>
      </c>
      <c r="G4403">
        <v>1</v>
      </c>
      <c r="H4403">
        <v>0</v>
      </c>
      <c r="I4403">
        <f>1</f>
        <v>1</v>
      </c>
    </row>
    <row r="4404" spans="2:9" x14ac:dyDescent="0.25">
      <c r="B4404">
        <v>0</v>
      </c>
      <c r="C4404" s="16" t="s">
        <v>13648</v>
      </c>
      <c r="D4404" s="16"/>
      <c r="E4404">
        <v>6</v>
      </c>
      <c r="F4404" t="s">
        <v>6852</v>
      </c>
      <c r="G4404">
        <v>1</v>
      </c>
      <c r="H4404">
        <v>0</v>
      </c>
      <c r="I4404">
        <f>1</f>
        <v>1</v>
      </c>
    </row>
    <row r="4405" spans="2:9" x14ac:dyDescent="0.25">
      <c r="B4405">
        <v>0</v>
      </c>
      <c r="C4405" s="16" t="s">
        <v>13648</v>
      </c>
      <c r="D4405" s="16" t="s">
        <v>19430</v>
      </c>
      <c r="E4405">
        <v>6</v>
      </c>
      <c r="F4405" t="s">
        <v>6877</v>
      </c>
      <c r="G4405">
        <v>1</v>
      </c>
      <c r="H4405">
        <v>0</v>
      </c>
      <c r="I4405">
        <f>1</f>
        <v>1</v>
      </c>
    </row>
    <row r="4406" spans="2:9" x14ac:dyDescent="0.25">
      <c r="B4406">
        <v>0</v>
      </c>
      <c r="C4406" s="16" t="s">
        <v>13649</v>
      </c>
      <c r="D4406" s="16"/>
      <c r="E4406">
        <v>6</v>
      </c>
      <c r="F4406" t="s">
        <v>4680</v>
      </c>
      <c r="G4406">
        <v>1</v>
      </c>
      <c r="H4406">
        <v>0</v>
      </c>
      <c r="I4406">
        <f>1</f>
        <v>1</v>
      </c>
    </row>
    <row r="4407" spans="2:9" x14ac:dyDescent="0.25">
      <c r="B4407">
        <v>0</v>
      </c>
      <c r="C4407" s="16" t="s">
        <v>13649</v>
      </c>
      <c r="D4407" s="16" t="s">
        <v>19430</v>
      </c>
      <c r="E4407">
        <v>6</v>
      </c>
      <c r="F4407" t="s">
        <v>6877</v>
      </c>
      <c r="G4407">
        <v>1</v>
      </c>
      <c r="H4407">
        <v>0</v>
      </c>
      <c r="I4407">
        <f>1</f>
        <v>1</v>
      </c>
    </row>
    <row r="4408" spans="2:9" x14ac:dyDescent="0.25">
      <c r="B4408">
        <v>0</v>
      </c>
      <c r="C4408" s="16" t="s">
        <v>13649</v>
      </c>
      <c r="D4408" s="16" t="s">
        <v>19431</v>
      </c>
      <c r="E4408">
        <v>6</v>
      </c>
      <c r="F4408" t="s">
        <v>6878</v>
      </c>
      <c r="G4408">
        <v>1</v>
      </c>
      <c r="H4408">
        <v>0</v>
      </c>
      <c r="I4408">
        <f>1</f>
        <v>1</v>
      </c>
    </row>
    <row r="4409" spans="2:9" x14ac:dyDescent="0.25">
      <c r="B4409">
        <v>0</v>
      </c>
      <c r="C4409" s="16" t="s">
        <v>13650</v>
      </c>
      <c r="D4409" s="16"/>
      <c r="E4409">
        <v>6</v>
      </c>
      <c r="F4409" t="s">
        <v>6852</v>
      </c>
      <c r="G4409">
        <v>1</v>
      </c>
      <c r="H4409">
        <v>0</v>
      </c>
      <c r="I4409">
        <f>1</f>
        <v>1</v>
      </c>
    </row>
    <row r="4410" spans="2:9" x14ac:dyDescent="0.25">
      <c r="B4410">
        <v>0</v>
      </c>
      <c r="C4410" s="16" t="s">
        <v>13650</v>
      </c>
      <c r="D4410" s="16" t="s">
        <v>19430</v>
      </c>
      <c r="E4410">
        <v>6</v>
      </c>
      <c r="F4410" t="s">
        <v>6879</v>
      </c>
      <c r="G4410">
        <v>1</v>
      </c>
      <c r="H4410">
        <v>0</v>
      </c>
      <c r="I4410">
        <f>1</f>
        <v>1</v>
      </c>
    </row>
    <row r="4411" spans="2:9" x14ac:dyDescent="0.25">
      <c r="B4411">
        <v>0</v>
      </c>
      <c r="C4411" s="16" t="s">
        <v>13651</v>
      </c>
      <c r="D4411" s="16"/>
      <c r="E4411">
        <v>6</v>
      </c>
      <c r="F4411" t="s">
        <v>6880</v>
      </c>
      <c r="G4411">
        <v>1</v>
      </c>
      <c r="H4411">
        <v>0</v>
      </c>
      <c r="I4411">
        <f>1</f>
        <v>1</v>
      </c>
    </row>
    <row r="4412" spans="2:9" x14ac:dyDescent="0.25">
      <c r="B4412">
        <v>0</v>
      </c>
      <c r="C4412" s="16" t="s">
        <v>13651</v>
      </c>
      <c r="D4412" s="16" t="s">
        <v>19430</v>
      </c>
      <c r="E4412">
        <v>6</v>
      </c>
      <c r="F4412" t="s">
        <v>6879</v>
      </c>
      <c r="G4412">
        <v>1</v>
      </c>
      <c r="H4412">
        <v>0</v>
      </c>
      <c r="I4412">
        <f>1</f>
        <v>1</v>
      </c>
    </row>
    <row r="4413" spans="2:9" x14ac:dyDescent="0.25">
      <c r="B4413">
        <v>0</v>
      </c>
      <c r="C4413" s="16" t="s">
        <v>13652</v>
      </c>
      <c r="D4413" s="16"/>
      <c r="E4413">
        <v>6</v>
      </c>
      <c r="F4413" t="s">
        <v>4680</v>
      </c>
      <c r="G4413">
        <v>1</v>
      </c>
      <c r="H4413">
        <v>0</v>
      </c>
      <c r="I4413">
        <f>1</f>
        <v>1</v>
      </c>
    </row>
    <row r="4414" spans="2:9" x14ac:dyDescent="0.25">
      <c r="B4414">
        <v>0</v>
      </c>
      <c r="C4414" s="16" t="s">
        <v>13652</v>
      </c>
      <c r="D4414" s="16" t="s">
        <v>19430</v>
      </c>
      <c r="E4414">
        <v>6</v>
      </c>
      <c r="F4414" t="s">
        <v>6879</v>
      </c>
      <c r="G4414">
        <v>1</v>
      </c>
      <c r="H4414">
        <v>0</v>
      </c>
      <c r="I4414">
        <f>1</f>
        <v>1</v>
      </c>
    </row>
    <row r="4415" spans="2:9" x14ac:dyDescent="0.25">
      <c r="B4415">
        <v>0</v>
      </c>
      <c r="C4415" s="16" t="s">
        <v>13652</v>
      </c>
      <c r="D4415" s="16" t="s">
        <v>19431</v>
      </c>
      <c r="E4415">
        <v>6</v>
      </c>
      <c r="F4415" t="s">
        <v>6878</v>
      </c>
      <c r="G4415">
        <v>1</v>
      </c>
      <c r="H4415">
        <v>0</v>
      </c>
      <c r="I4415">
        <f>1</f>
        <v>1</v>
      </c>
    </row>
    <row r="4416" spans="2:9" x14ac:dyDescent="0.25">
      <c r="B4416">
        <v>0</v>
      </c>
      <c r="C4416" s="16" t="s">
        <v>13653</v>
      </c>
      <c r="D4416" s="16"/>
      <c r="E4416">
        <v>6</v>
      </c>
      <c r="F4416" t="s">
        <v>6852</v>
      </c>
      <c r="G4416">
        <v>1</v>
      </c>
      <c r="H4416">
        <v>0</v>
      </c>
      <c r="I4416">
        <f>1</f>
        <v>1</v>
      </c>
    </row>
    <row r="4417" spans="2:9" x14ac:dyDescent="0.25">
      <c r="B4417">
        <v>0</v>
      </c>
      <c r="C4417" s="16" t="s">
        <v>13654</v>
      </c>
      <c r="D4417" s="16"/>
      <c r="E4417">
        <v>6</v>
      </c>
      <c r="F4417" t="s">
        <v>4680</v>
      </c>
      <c r="G4417">
        <v>1</v>
      </c>
      <c r="H4417">
        <v>0</v>
      </c>
      <c r="I4417">
        <f>1</f>
        <v>1</v>
      </c>
    </row>
    <row r="4418" spans="2:9" x14ac:dyDescent="0.25">
      <c r="B4418">
        <v>0</v>
      </c>
      <c r="C4418" s="16" t="s">
        <v>13655</v>
      </c>
      <c r="D4418" s="16"/>
      <c r="E4418">
        <v>6</v>
      </c>
      <c r="F4418" t="s">
        <v>6853</v>
      </c>
      <c r="G4418">
        <v>1</v>
      </c>
      <c r="H4418">
        <v>0</v>
      </c>
      <c r="I4418">
        <f>1</f>
        <v>1</v>
      </c>
    </row>
    <row r="4419" spans="2:9" x14ac:dyDescent="0.25">
      <c r="B4419">
        <v>0</v>
      </c>
      <c r="C4419" s="16" t="s">
        <v>13656</v>
      </c>
      <c r="D4419" s="16"/>
      <c r="E4419">
        <v>6</v>
      </c>
      <c r="F4419" t="s">
        <v>6881</v>
      </c>
      <c r="G4419">
        <v>1</v>
      </c>
      <c r="H4419">
        <v>0</v>
      </c>
      <c r="I4419">
        <f>1</f>
        <v>1</v>
      </c>
    </row>
    <row r="4420" spans="2:9" x14ac:dyDescent="0.25">
      <c r="B4420">
        <v>0</v>
      </c>
      <c r="C4420" s="16" t="s">
        <v>13657</v>
      </c>
      <c r="D4420" s="16"/>
      <c r="E4420">
        <v>6</v>
      </c>
      <c r="F4420" t="s">
        <v>6882</v>
      </c>
      <c r="G4420">
        <v>1</v>
      </c>
      <c r="H4420">
        <v>0</v>
      </c>
      <c r="I4420">
        <f>1</f>
        <v>1</v>
      </c>
    </row>
    <row r="4421" spans="2:9" x14ac:dyDescent="0.25">
      <c r="B4421">
        <v>0</v>
      </c>
      <c r="C4421" s="16" t="s">
        <v>13658</v>
      </c>
      <c r="D4421" s="16"/>
      <c r="E4421">
        <v>6</v>
      </c>
      <c r="F4421" t="s">
        <v>6883</v>
      </c>
      <c r="G4421">
        <v>1</v>
      </c>
      <c r="H4421">
        <v>0</v>
      </c>
      <c r="I4421">
        <f>1</f>
        <v>1</v>
      </c>
    </row>
    <row r="4422" spans="2:9" x14ac:dyDescent="0.25">
      <c r="B4422">
        <v>0</v>
      </c>
      <c r="C4422" s="16" t="s">
        <v>13659</v>
      </c>
      <c r="D4422" s="16"/>
      <c r="E4422">
        <v>6</v>
      </c>
      <c r="F4422" t="s">
        <v>6884</v>
      </c>
      <c r="G4422">
        <v>1</v>
      </c>
      <c r="H4422">
        <v>0</v>
      </c>
      <c r="I4422">
        <f>1</f>
        <v>1</v>
      </c>
    </row>
    <row r="4423" spans="2:9" x14ac:dyDescent="0.25">
      <c r="B4423">
        <v>0</v>
      </c>
      <c r="C4423" s="16" t="s">
        <v>13660</v>
      </c>
      <c r="D4423" s="16"/>
      <c r="E4423">
        <v>6</v>
      </c>
      <c r="F4423" t="s">
        <v>6885</v>
      </c>
      <c r="G4423">
        <v>1</v>
      </c>
      <c r="H4423">
        <v>0</v>
      </c>
      <c r="I4423">
        <f>1</f>
        <v>1</v>
      </c>
    </row>
    <row r="4424" spans="2:9" x14ac:dyDescent="0.25">
      <c r="B4424">
        <v>0</v>
      </c>
      <c r="C4424" s="16" t="s">
        <v>13661</v>
      </c>
      <c r="D4424" s="16"/>
      <c r="E4424">
        <v>6</v>
      </c>
      <c r="F4424" t="s">
        <v>6886</v>
      </c>
      <c r="G4424">
        <v>1</v>
      </c>
      <c r="H4424">
        <v>0</v>
      </c>
      <c r="I4424">
        <f>1</f>
        <v>1</v>
      </c>
    </row>
    <row r="4425" spans="2:9" x14ac:dyDescent="0.25">
      <c r="B4425">
        <v>0</v>
      </c>
      <c r="C4425" s="16" t="s">
        <v>13662</v>
      </c>
      <c r="D4425" s="16"/>
      <c r="E4425">
        <v>6</v>
      </c>
      <c r="F4425" t="s">
        <v>4680</v>
      </c>
      <c r="G4425">
        <v>1</v>
      </c>
      <c r="H4425">
        <v>0</v>
      </c>
      <c r="I4425">
        <f>1</f>
        <v>1</v>
      </c>
    </row>
    <row r="4426" spans="2:9" x14ac:dyDescent="0.25">
      <c r="B4426">
        <v>0</v>
      </c>
      <c r="C4426" s="16" t="s">
        <v>13663</v>
      </c>
      <c r="D4426" s="16"/>
      <c r="E4426">
        <v>6</v>
      </c>
      <c r="F4426" t="s">
        <v>6887</v>
      </c>
      <c r="G4426">
        <v>1</v>
      </c>
      <c r="H4426">
        <v>0</v>
      </c>
      <c r="I4426">
        <f>1</f>
        <v>1</v>
      </c>
    </row>
    <row r="4427" spans="2:9" x14ac:dyDescent="0.25">
      <c r="B4427">
        <v>0</v>
      </c>
      <c r="C4427" s="16" t="s">
        <v>13664</v>
      </c>
      <c r="D4427" s="16"/>
      <c r="E4427">
        <v>6</v>
      </c>
      <c r="F4427" t="s">
        <v>4680</v>
      </c>
      <c r="G4427">
        <v>1</v>
      </c>
      <c r="H4427">
        <v>0</v>
      </c>
      <c r="I4427">
        <f>1</f>
        <v>1</v>
      </c>
    </row>
    <row r="4428" spans="2:9" x14ac:dyDescent="0.25">
      <c r="B4428">
        <v>0</v>
      </c>
      <c r="C4428" s="16" t="s">
        <v>13665</v>
      </c>
      <c r="D4428" s="16"/>
      <c r="E4428">
        <v>6</v>
      </c>
      <c r="F4428" t="s">
        <v>6888</v>
      </c>
      <c r="G4428">
        <v>1</v>
      </c>
      <c r="H4428">
        <v>0</v>
      </c>
      <c r="I4428">
        <f>1</f>
        <v>1</v>
      </c>
    </row>
    <row r="4429" spans="2:9" x14ac:dyDescent="0.25">
      <c r="B4429">
        <v>0</v>
      </c>
      <c r="C4429" s="16" t="s">
        <v>13666</v>
      </c>
      <c r="D4429" s="16"/>
      <c r="E4429">
        <v>6</v>
      </c>
      <c r="F4429" t="s">
        <v>6889</v>
      </c>
      <c r="G4429">
        <v>1</v>
      </c>
      <c r="H4429">
        <v>0</v>
      </c>
      <c r="I4429">
        <f>1</f>
        <v>1</v>
      </c>
    </row>
    <row r="4430" spans="2:9" x14ac:dyDescent="0.25">
      <c r="B4430">
        <v>0</v>
      </c>
      <c r="C4430" s="16" t="s">
        <v>13667</v>
      </c>
      <c r="D4430" s="16"/>
      <c r="E4430">
        <v>6</v>
      </c>
      <c r="F4430" t="s">
        <v>6890</v>
      </c>
      <c r="G4430">
        <v>1</v>
      </c>
      <c r="H4430">
        <v>0</v>
      </c>
      <c r="I4430">
        <f>1</f>
        <v>1</v>
      </c>
    </row>
    <row r="4431" spans="2:9" x14ac:dyDescent="0.25">
      <c r="B4431">
        <v>0</v>
      </c>
      <c r="C4431" s="16" t="s">
        <v>13668</v>
      </c>
      <c r="D4431" s="16"/>
      <c r="E4431">
        <v>6</v>
      </c>
      <c r="F4431" t="s">
        <v>6891</v>
      </c>
      <c r="G4431">
        <v>1</v>
      </c>
      <c r="H4431">
        <v>0</v>
      </c>
      <c r="I4431">
        <f>1</f>
        <v>1</v>
      </c>
    </row>
    <row r="4432" spans="2:9" x14ac:dyDescent="0.25">
      <c r="B4432">
        <v>0</v>
      </c>
      <c r="C4432" s="16" t="s">
        <v>13669</v>
      </c>
      <c r="D4432" s="16"/>
      <c r="E4432">
        <v>6</v>
      </c>
      <c r="F4432" t="s">
        <v>4680</v>
      </c>
      <c r="G4432">
        <v>1</v>
      </c>
      <c r="H4432">
        <v>0</v>
      </c>
      <c r="I4432">
        <f>1</f>
        <v>1</v>
      </c>
    </row>
    <row r="4433" spans="2:9" x14ac:dyDescent="0.25">
      <c r="B4433">
        <v>0</v>
      </c>
      <c r="C4433" s="16" t="s">
        <v>13670</v>
      </c>
      <c r="D4433" s="16"/>
      <c r="E4433">
        <v>6</v>
      </c>
      <c r="F4433" t="s">
        <v>4680</v>
      </c>
      <c r="G4433">
        <v>1</v>
      </c>
      <c r="H4433">
        <v>0</v>
      </c>
      <c r="I4433">
        <f>1</f>
        <v>1</v>
      </c>
    </row>
    <row r="4434" spans="2:9" x14ac:dyDescent="0.25">
      <c r="B4434">
        <v>0</v>
      </c>
      <c r="C4434" s="16" t="s">
        <v>13671</v>
      </c>
      <c r="D4434" s="16"/>
      <c r="E4434">
        <v>6</v>
      </c>
      <c r="F4434" t="s">
        <v>6891</v>
      </c>
      <c r="G4434">
        <v>1</v>
      </c>
      <c r="H4434">
        <v>0</v>
      </c>
      <c r="I4434">
        <f>1</f>
        <v>1</v>
      </c>
    </row>
    <row r="4435" spans="2:9" x14ac:dyDescent="0.25">
      <c r="B4435">
        <v>0</v>
      </c>
      <c r="C4435" s="16" t="s">
        <v>13672</v>
      </c>
      <c r="D4435" s="16"/>
      <c r="E4435">
        <v>6</v>
      </c>
      <c r="F4435" t="s">
        <v>4680</v>
      </c>
      <c r="G4435">
        <v>1</v>
      </c>
      <c r="H4435">
        <v>0</v>
      </c>
      <c r="I4435">
        <f>1</f>
        <v>1</v>
      </c>
    </row>
    <row r="4436" spans="2:9" x14ac:dyDescent="0.25">
      <c r="B4436">
        <v>0</v>
      </c>
      <c r="C4436" s="16" t="s">
        <v>13673</v>
      </c>
      <c r="D4436" s="16"/>
      <c r="E4436">
        <v>6</v>
      </c>
      <c r="F4436" t="s">
        <v>4680</v>
      </c>
      <c r="G4436">
        <v>1</v>
      </c>
      <c r="H4436">
        <v>0</v>
      </c>
      <c r="I4436">
        <f>1</f>
        <v>1</v>
      </c>
    </row>
    <row r="4437" spans="2:9" x14ac:dyDescent="0.25">
      <c r="B4437">
        <v>0</v>
      </c>
      <c r="C4437" s="16" t="s">
        <v>13673</v>
      </c>
      <c r="D4437" s="16" t="s">
        <v>19430</v>
      </c>
      <c r="E4437">
        <v>6</v>
      </c>
      <c r="F4437" t="s">
        <v>6892</v>
      </c>
      <c r="G4437">
        <v>1</v>
      </c>
      <c r="H4437">
        <v>0</v>
      </c>
      <c r="I4437">
        <f>1</f>
        <v>1</v>
      </c>
    </row>
    <row r="4438" spans="2:9" x14ac:dyDescent="0.25">
      <c r="B4438">
        <v>0</v>
      </c>
      <c r="C4438" s="16" t="s">
        <v>13674</v>
      </c>
      <c r="D4438" s="16"/>
      <c r="E4438">
        <v>6</v>
      </c>
      <c r="F4438" t="s">
        <v>6891</v>
      </c>
      <c r="G4438">
        <v>1</v>
      </c>
      <c r="H4438">
        <v>0</v>
      </c>
      <c r="I4438">
        <f>1</f>
        <v>1</v>
      </c>
    </row>
    <row r="4439" spans="2:9" x14ac:dyDescent="0.25">
      <c r="B4439">
        <v>0</v>
      </c>
      <c r="C4439" s="16" t="s">
        <v>13675</v>
      </c>
      <c r="D4439" s="16"/>
      <c r="E4439">
        <v>6</v>
      </c>
      <c r="F4439" t="s">
        <v>4680</v>
      </c>
      <c r="G4439">
        <v>1</v>
      </c>
      <c r="H4439">
        <v>0</v>
      </c>
      <c r="I4439">
        <f>1</f>
        <v>1</v>
      </c>
    </row>
    <row r="4440" spans="2:9" x14ac:dyDescent="0.25">
      <c r="B4440">
        <v>0</v>
      </c>
      <c r="C4440" s="16" t="s">
        <v>13676</v>
      </c>
      <c r="D4440" s="16"/>
      <c r="E4440">
        <v>6</v>
      </c>
      <c r="F4440" t="s">
        <v>4680</v>
      </c>
      <c r="G4440">
        <v>1</v>
      </c>
      <c r="H4440">
        <v>0</v>
      </c>
      <c r="I4440">
        <f>1</f>
        <v>1</v>
      </c>
    </row>
    <row r="4441" spans="2:9" x14ac:dyDescent="0.25">
      <c r="B4441">
        <v>0</v>
      </c>
      <c r="C4441" s="16" t="s">
        <v>13676</v>
      </c>
      <c r="D4441" s="16" t="s">
        <v>19430</v>
      </c>
      <c r="E4441">
        <v>6</v>
      </c>
      <c r="F4441" t="s">
        <v>6892</v>
      </c>
      <c r="G4441">
        <v>1</v>
      </c>
      <c r="H4441">
        <v>0</v>
      </c>
      <c r="I4441">
        <f>1</f>
        <v>1</v>
      </c>
    </row>
    <row r="4442" spans="2:9" x14ac:dyDescent="0.25">
      <c r="B4442">
        <v>0</v>
      </c>
      <c r="C4442" s="16" t="s">
        <v>13677</v>
      </c>
      <c r="D4442" s="16"/>
      <c r="E4442">
        <v>6</v>
      </c>
      <c r="F4442" t="s">
        <v>6893</v>
      </c>
      <c r="G4442">
        <v>1</v>
      </c>
      <c r="H4442">
        <v>0</v>
      </c>
      <c r="I4442">
        <f>1</f>
        <v>1</v>
      </c>
    </row>
    <row r="4443" spans="2:9" x14ac:dyDescent="0.25">
      <c r="B4443">
        <v>0</v>
      </c>
      <c r="C4443" s="16" t="s">
        <v>13678</v>
      </c>
      <c r="D4443" s="16"/>
      <c r="E4443">
        <v>6</v>
      </c>
      <c r="F4443" t="s">
        <v>6894</v>
      </c>
      <c r="G4443">
        <v>1</v>
      </c>
      <c r="H4443">
        <v>0</v>
      </c>
      <c r="I4443">
        <f>1</f>
        <v>1</v>
      </c>
    </row>
    <row r="4444" spans="2:9" x14ac:dyDescent="0.25">
      <c r="B4444">
        <v>0</v>
      </c>
      <c r="C4444" s="16" t="s">
        <v>13679</v>
      </c>
      <c r="D4444" s="16"/>
      <c r="E4444">
        <v>6</v>
      </c>
      <c r="F4444" t="e">
        <f>-outros</f>
        <v>#NAME?</v>
      </c>
      <c r="G4444">
        <v>1</v>
      </c>
      <c r="H4444">
        <v>0</v>
      </c>
      <c r="I4444">
        <f>1</f>
        <v>1</v>
      </c>
    </row>
    <row r="4445" spans="2:9" x14ac:dyDescent="0.25">
      <c r="B4445">
        <v>0</v>
      </c>
      <c r="C4445" s="16" t="s">
        <v>13680</v>
      </c>
      <c r="D4445" s="16"/>
      <c r="E4445">
        <v>6</v>
      </c>
      <c r="F4445" t="e">
        <f>--à base De compostos De chumbo</f>
        <v>#NAME?</v>
      </c>
      <c r="G4445">
        <v>1</v>
      </c>
      <c r="H4445">
        <v>0</v>
      </c>
      <c r="I4445">
        <f>1</f>
        <v>1</v>
      </c>
    </row>
    <row r="4446" spans="2:9" x14ac:dyDescent="0.25">
      <c r="B4446">
        <v>0</v>
      </c>
      <c r="C4446" s="16" t="s">
        <v>13681</v>
      </c>
      <c r="D4446" s="16"/>
      <c r="E4446">
        <v>6</v>
      </c>
      <c r="F4446" t="e">
        <f>--Outras</f>
        <v>#NAME?</v>
      </c>
      <c r="G4446">
        <v>1</v>
      </c>
      <c r="H4446">
        <v>0</v>
      </c>
      <c r="I4446">
        <f>1</f>
        <v>1</v>
      </c>
    </row>
    <row r="4447" spans="2:9" x14ac:dyDescent="0.25">
      <c r="B4447">
        <v>0</v>
      </c>
      <c r="C4447" s="16" t="s">
        <v>13682</v>
      </c>
      <c r="D4447" s="16"/>
      <c r="E4447">
        <v>6</v>
      </c>
      <c r="F4447" t="s">
        <v>6895</v>
      </c>
      <c r="G4447">
        <v>1</v>
      </c>
      <c r="H4447">
        <v>0</v>
      </c>
      <c r="I4447">
        <f>1</f>
        <v>1</v>
      </c>
    </row>
    <row r="4448" spans="2:9" x14ac:dyDescent="0.25">
      <c r="B4448">
        <v>0</v>
      </c>
      <c r="C4448" s="16" t="s">
        <v>13683</v>
      </c>
      <c r="D4448" s="16"/>
      <c r="E4448">
        <v>6</v>
      </c>
      <c r="F4448" t="s">
        <v>6896</v>
      </c>
      <c r="G4448">
        <v>1</v>
      </c>
      <c r="H4448">
        <v>0</v>
      </c>
      <c r="I4448">
        <f>1</f>
        <v>1</v>
      </c>
    </row>
    <row r="4449" spans="2:9" x14ac:dyDescent="0.25">
      <c r="B4449">
        <v>0</v>
      </c>
      <c r="C4449" s="16" t="s">
        <v>13684</v>
      </c>
      <c r="D4449" s="16"/>
      <c r="E4449">
        <v>6</v>
      </c>
      <c r="F4449" t="s">
        <v>6897</v>
      </c>
      <c r="G4449">
        <v>1</v>
      </c>
      <c r="H4449">
        <v>0</v>
      </c>
      <c r="I4449">
        <f>1</f>
        <v>1</v>
      </c>
    </row>
    <row r="4450" spans="2:9" x14ac:dyDescent="0.25">
      <c r="B4450">
        <v>0</v>
      </c>
      <c r="C4450" s="16" t="s">
        <v>13685</v>
      </c>
      <c r="D4450" s="16"/>
      <c r="E4450">
        <v>6</v>
      </c>
      <c r="F4450" t="s">
        <v>6898</v>
      </c>
      <c r="G4450">
        <v>1</v>
      </c>
      <c r="H4450">
        <v>0</v>
      </c>
      <c r="I4450">
        <f>1</f>
        <v>1</v>
      </c>
    </row>
    <row r="4451" spans="2:9" x14ac:dyDescent="0.25">
      <c r="B4451">
        <v>0</v>
      </c>
      <c r="C4451" s="16" t="s">
        <v>13686</v>
      </c>
      <c r="D4451" s="16"/>
      <c r="E4451">
        <v>6</v>
      </c>
      <c r="F4451" t="s">
        <v>6899</v>
      </c>
      <c r="G4451">
        <v>1</v>
      </c>
      <c r="H4451">
        <v>0</v>
      </c>
      <c r="I4451">
        <f>1</f>
        <v>1</v>
      </c>
    </row>
    <row r="4452" spans="2:9" x14ac:dyDescent="0.25">
      <c r="B4452">
        <v>0</v>
      </c>
      <c r="C4452" s="16" t="s">
        <v>13687</v>
      </c>
      <c r="D4452" s="16"/>
      <c r="E4452">
        <v>6</v>
      </c>
      <c r="F4452" t="s">
        <v>4680</v>
      </c>
      <c r="G4452">
        <v>1</v>
      </c>
      <c r="H4452">
        <v>0</v>
      </c>
      <c r="I4452">
        <f>1</f>
        <v>1</v>
      </c>
    </row>
    <row r="4453" spans="2:9" x14ac:dyDescent="0.25">
      <c r="B4453">
        <v>0</v>
      </c>
      <c r="C4453" s="16" t="s">
        <v>13688</v>
      </c>
      <c r="D4453" s="16"/>
      <c r="E4453">
        <v>6</v>
      </c>
      <c r="F4453" t="s">
        <v>6897</v>
      </c>
      <c r="G4453">
        <v>1</v>
      </c>
      <c r="H4453">
        <v>0</v>
      </c>
      <c r="I4453">
        <f>1</f>
        <v>1</v>
      </c>
    </row>
    <row r="4454" spans="2:9" x14ac:dyDescent="0.25">
      <c r="B4454">
        <v>0</v>
      </c>
      <c r="C4454" s="16" t="s">
        <v>13689</v>
      </c>
      <c r="D4454" s="16"/>
      <c r="E4454">
        <v>6</v>
      </c>
      <c r="F4454" t="s">
        <v>6898</v>
      </c>
      <c r="G4454">
        <v>1</v>
      </c>
      <c r="H4454">
        <v>0</v>
      </c>
      <c r="I4454">
        <f>1</f>
        <v>1</v>
      </c>
    </row>
    <row r="4455" spans="2:9" x14ac:dyDescent="0.25">
      <c r="B4455">
        <v>0</v>
      </c>
      <c r="C4455" s="16" t="s">
        <v>13690</v>
      </c>
      <c r="D4455" s="16"/>
      <c r="E4455">
        <v>6</v>
      </c>
      <c r="F4455" t="s">
        <v>4680</v>
      </c>
      <c r="G4455">
        <v>1</v>
      </c>
      <c r="H4455">
        <v>0</v>
      </c>
      <c r="I4455">
        <f>1</f>
        <v>1</v>
      </c>
    </row>
    <row r="4456" spans="2:9" x14ac:dyDescent="0.25">
      <c r="B4456">
        <v>0</v>
      </c>
      <c r="C4456" s="16" t="s">
        <v>13691</v>
      </c>
      <c r="D4456" s="16"/>
      <c r="E4456">
        <v>6</v>
      </c>
      <c r="F4456" t="s">
        <v>6900</v>
      </c>
      <c r="G4456">
        <v>1</v>
      </c>
      <c r="H4456">
        <v>0</v>
      </c>
      <c r="I4456">
        <f>1</f>
        <v>1</v>
      </c>
    </row>
    <row r="4457" spans="2:9" x14ac:dyDescent="0.25">
      <c r="B4457">
        <v>0</v>
      </c>
      <c r="C4457" s="16" t="s">
        <v>13692</v>
      </c>
      <c r="D4457" s="16"/>
      <c r="E4457">
        <v>6</v>
      </c>
      <c r="F4457" t="s">
        <v>4680</v>
      </c>
      <c r="G4457">
        <v>1</v>
      </c>
      <c r="H4457">
        <v>0</v>
      </c>
      <c r="I4457">
        <f>1</f>
        <v>1</v>
      </c>
    </row>
    <row r="4458" spans="2:9" x14ac:dyDescent="0.25">
      <c r="B4458">
        <v>0</v>
      </c>
      <c r="C4458" s="16" t="s">
        <v>13693</v>
      </c>
      <c r="D4458" s="16"/>
      <c r="E4458">
        <v>6</v>
      </c>
      <c r="F4458" t="e">
        <f>-Preparações denominadas “aceleradores De vulcanização”</f>
        <v>#NAME?</v>
      </c>
      <c r="G4458">
        <v>1</v>
      </c>
      <c r="H4458">
        <v>0</v>
      </c>
      <c r="I4458">
        <f>1</f>
        <v>1</v>
      </c>
    </row>
    <row r="4459" spans="2:9" x14ac:dyDescent="0.25">
      <c r="B4459">
        <v>0</v>
      </c>
      <c r="C4459" s="16" t="s">
        <v>13694</v>
      </c>
      <c r="D4459" s="16"/>
      <c r="E4459">
        <v>6</v>
      </c>
      <c r="F4459" t="e">
        <f>-Plastificantes compostos para borracha ou plásticos</f>
        <v>#NAME?</v>
      </c>
      <c r="G4459">
        <v>1</v>
      </c>
      <c r="H4459">
        <v>0</v>
      </c>
      <c r="I4459">
        <f>1</f>
        <v>1</v>
      </c>
    </row>
    <row r="4460" spans="2:9" x14ac:dyDescent="0.25">
      <c r="B4460">
        <v>0</v>
      </c>
      <c r="C4460" s="16" t="s">
        <v>13695</v>
      </c>
      <c r="D4460" s="16"/>
      <c r="E4460">
        <v>6</v>
      </c>
      <c r="F4460" t="s">
        <v>6901</v>
      </c>
      <c r="G4460">
        <v>1</v>
      </c>
      <c r="H4460">
        <v>0</v>
      </c>
      <c r="I4460">
        <f>1</f>
        <v>1</v>
      </c>
    </row>
    <row r="4461" spans="2:9" x14ac:dyDescent="0.25">
      <c r="B4461">
        <v>0</v>
      </c>
      <c r="C4461" s="16" t="s">
        <v>13696</v>
      </c>
      <c r="D4461" s="16"/>
      <c r="E4461">
        <v>6</v>
      </c>
      <c r="F4461" t="s">
        <v>6902</v>
      </c>
      <c r="G4461">
        <v>1</v>
      </c>
      <c r="H4461">
        <v>0</v>
      </c>
      <c r="I4461">
        <f>1</f>
        <v>1</v>
      </c>
    </row>
    <row r="4462" spans="2:9" x14ac:dyDescent="0.25">
      <c r="B4462">
        <v>0</v>
      </c>
      <c r="C4462" s="16" t="s">
        <v>13697</v>
      </c>
      <c r="D4462" s="16"/>
      <c r="E4462">
        <v>6</v>
      </c>
      <c r="F4462" t="s">
        <v>6903</v>
      </c>
      <c r="G4462">
        <v>1</v>
      </c>
      <c r="H4462">
        <v>0</v>
      </c>
      <c r="I4462">
        <f>1</f>
        <v>1</v>
      </c>
    </row>
    <row r="4463" spans="2:9" x14ac:dyDescent="0.25">
      <c r="B4463">
        <v>0</v>
      </c>
      <c r="C4463" s="16" t="s">
        <v>13698</v>
      </c>
      <c r="D4463" s="16"/>
      <c r="E4463">
        <v>6</v>
      </c>
      <c r="F4463" t="s">
        <v>4680</v>
      </c>
      <c r="G4463">
        <v>1</v>
      </c>
      <c r="H4463">
        <v>0</v>
      </c>
      <c r="I4463">
        <f>1</f>
        <v>1</v>
      </c>
    </row>
    <row r="4464" spans="2:9" x14ac:dyDescent="0.25">
      <c r="B4464">
        <v>0</v>
      </c>
      <c r="C4464" s="16" t="s">
        <v>13699</v>
      </c>
      <c r="D4464" s="16"/>
      <c r="E4464">
        <v>6</v>
      </c>
      <c r="F4464" t="s">
        <v>6901</v>
      </c>
      <c r="G4464">
        <v>1</v>
      </c>
      <c r="H4464">
        <v>0</v>
      </c>
      <c r="I4464">
        <f>1</f>
        <v>1</v>
      </c>
    </row>
    <row r="4465" spans="2:9" x14ac:dyDescent="0.25">
      <c r="B4465">
        <v>0</v>
      </c>
      <c r="C4465" s="16" t="s">
        <v>13700</v>
      </c>
      <c r="D4465" s="16"/>
      <c r="E4465">
        <v>6</v>
      </c>
      <c r="F4465" t="s">
        <v>4680</v>
      </c>
      <c r="G4465">
        <v>1</v>
      </c>
      <c r="H4465">
        <v>0</v>
      </c>
      <c r="I4465">
        <f>1</f>
        <v>1</v>
      </c>
    </row>
    <row r="4466" spans="2:9" x14ac:dyDescent="0.25">
      <c r="B4466">
        <v>0</v>
      </c>
      <c r="C4466" s="16" t="s">
        <v>13701</v>
      </c>
      <c r="D4466" s="16"/>
      <c r="E4466">
        <v>6</v>
      </c>
      <c r="F4466" t="s">
        <v>6904</v>
      </c>
      <c r="G4466">
        <v>1</v>
      </c>
      <c r="H4466">
        <v>0</v>
      </c>
      <c r="I4466">
        <f>1</f>
        <v>1</v>
      </c>
    </row>
    <row r="4467" spans="2:9" x14ac:dyDescent="0.25">
      <c r="B4467">
        <v>0</v>
      </c>
      <c r="C4467" s="16" t="s">
        <v>13702</v>
      </c>
      <c r="D4467" s="16"/>
      <c r="E4467">
        <v>6</v>
      </c>
      <c r="F4467" t="s">
        <v>6905</v>
      </c>
      <c r="G4467">
        <v>1</v>
      </c>
      <c r="H4467">
        <v>0</v>
      </c>
      <c r="I4467">
        <f>1</f>
        <v>1</v>
      </c>
    </row>
    <row r="4468" spans="2:9" x14ac:dyDescent="0.25">
      <c r="B4468">
        <v>0</v>
      </c>
      <c r="C4468" s="16" t="s">
        <v>13703</v>
      </c>
      <c r="D4468" s="16"/>
      <c r="E4468">
        <v>6</v>
      </c>
      <c r="F4468" t="s">
        <v>6906</v>
      </c>
      <c r="G4468">
        <v>1</v>
      </c>
      <c r="H4468">
        <v>0</v>
      </c>
      <c r="I4468">
        <f>1</f>
        <v>1</v>
      </c>
    </row>
    <row r="4469" spans="2:9" x14ac:dyDescent="0.25">
      <c r="B4469">
        <v>0</v>
      </c>
      <c r="C4469" s="16" t="s">
        <v>13704</v>
      </c>
      <c r="D4469" s="16"/>
      <c r="E4469">
        <v>6</v>
      </c>
      <c r="F4469" t="s">
        <v>6907</v>
      </c>
      <c r="G4469">
        <v>1</v>
      </c>
      <c r="H4469">
        <v>0</v>
      </c>
      <c r="I4469">
        <f>1</f>
        <v>1</v>
      </c>
    </row>
    <row r="4470" spans="2:9" x14ac:dyDescent="0.25">
      <c r="B4470">
        <v>0</v>
      </c>
      <c r="C4470" s="16" t="s">
        <v>13705</v>
      </c>
      <c r="D4470" s="16"/>
      <c r="E4470">
        <v>6</v>
      </c>
      <c r="F4470" t="s">
        <v>4680</v>
      </c>
      <c r="G4470">
        <v>1</v>
      </c>
      <c r="H4470">
        <v>0</v>
      </c>
      <c r="I4470">
        <f>1</f>
        <v>1</v>
      </c>
    </row>
    <row r="4471" spans="2:9" x14ac:dyDescent="0.25">
      <c r="B4471">
        <v>0</v>
      </c>
      <c r="C4471" s="16" t="s">
        <v>13706</v>
      </c>
      <c r="D4471" s="16"/>
      <c r="E4471">
        <v>6</v>
      </c>
      <c r="F4471" t="s">
        <v>6908</v>
      </c>
      <c r="G4471">
        <v>1</v>
      </c>
      <c r="H4471">
        <v>0</v>
      </c>
      <c r="I4471">
        <f>1</f>
        <v>1</v>
      </c>
    </row>
    <row r="4472" spans="2:9" x14ac:dyDescent="0.25">
      <c r="B4472">
        <v>0</v>
      </c>
      <c r="C4472" s="16" t="s">
        <v>13707</v>
      </c>
      <c r="D4472" s="16"/>
      <c r="E4472">
        <v>6</v>
      </c>
      <c r="F4472" t="s">
        <v>6909</v>
      </c>
      <c r="G4472">
        <v>1</v>
      </c>
      <c r="H4472">
        <v>0</v>
      </c>
      <c r="I4472">
        <f>1</f>
        <v>1</v>
      </c>
    </row>
    <row r="4473" spans="2:9" x14ac:dyDescent="0.25">
      <c r="B4473">
        <v>0</v>
      </c>
      <c r="C4473" s="16" t="s">
        <v>13708</v>
      </c>
      <c r="D4473" s="16"/>
      <c r="E4473">
        <v>6</v>
      </c>
      <c r="F4473" t="s">
        <v>6910</v>
      </c>
      <c r="G4473">
        <v>1</v>
      </c>
      <c r="H4473">
        <v>0</v>
      </c>
      <c r="I4473">
        <f>1</f>
        <v>1</v>
      </c>
    </row>
    <row r="4474" spans="2:9" x14ac:dyDescent="0.25">
      <c r="B4474">
        <v>0</v>
      </c>
      <c r="C4474" s="16" t="s">
        <v>13709</v>
      </c>
      <c r="D4474" s="16"/>
      <c r="E4474">
        <v>6</v>
      </c>
      <c r="F4474" t="s">
        <v>4680</v>
      </c>
      <c r="G4474">
        <v>1</v>
      </c>
      <c r="H4474">
        <v>0</v>
      </c>
      <c r="I4474">
        <f>1</f>
        <v>1</v>
      </c>
    </row>
    <row r="4475" spans="2:9" x14ac:dyDescent="0.25">
      <c r="B4475">
        <v>0</v>
      </c>
      <c r="C4475" s="16" t="s">
        <v>13710</v>
      </c>
      <c r="D4475" s="16"/>
      <c r="E4475">
        <v>6</v>
      </c>
      <c r="F4475" t="e">
        <f>--Tendo como substância ativa o níquel ou um composto De níquel</f>
        <v>#NAME?</v>
      </c>
      <c r="G4475">
        <v>1</v>
      </c>
      <c r="H4475">
        <v>0</v>
      </c>
      <c r="I4475">
        <f>1</f>
        <v>1</v>
      </c>
    </row>
    <row r="4476" spans="2:9" x14ac:dyDescent="0.25">
      <c r="B4476">
        <v>0</v>
      </c>
      <c r="C4476" s="16" t="s">
        <v>13711</v>
      </c>
      <c r="D4476" s="16"/>
      <c r="E4476">
        <v>6</v>
      </c>
      <c r="F4476" t="s">
        <v>6911</v>
      </c>
      <c r="G4476">
        <v>1</v>
      </c>
      <c r="H4476">
        <v>0</v>
      </c>
      <c r="I4476">
        <f>1</f>
        <v>1</v>
      </c>
    </row>
    <row r="4477" spans="2:9" x14ac:dyDescent="0.25">
      <c r="B4477">
        <v>0</v>
      </c>
      <c r="C4477" s="16" t="s">
        <v>13712</v>
      </c>
      <c r="D4477" s="16"/>
      <c r="E4477">
        <v>6</v>
      </c>
      <c r="F4477" t="s">
        <v>6912</v>
      </c>
      <c r="G4477">
        <v>1</v>
      </c>
      <c r="H4477">
        <v>0</v>
      </c>
      <c r="I4477">
        <f>1</f>
        <v>1</v>
      </c>
    </row>
    <row r="4478" spans="2:9" x14ac:dyDescent="0.25">
      <c r="B4478">
        <v>0</v>
      </c>
      <c r="C4478" s="16" t="s">
        <v>13713</v>
      </c>
      <c r="D4478" s="16"/>
      <c r="E4478">
        <v>6</v>
      </c>
      <c r="F4478" t="s">
        <v>4680</v>
      </c>
      <c r="G4478">
        <v>1</v>
      </c>
      <c r="H4478">
        <v>0</v>
      </c>
      <c r="I4478">
        <f>1</f>
        <v>1</v>
      </c>
    </row>
    <row r="4479" spans="2:9" x14ac:dyDescent="0.25">
      <c r="B4479">
        <v>0</v>
      </c>
      <c r="C4479" s="16" t="s">
        <v>13714</v>
      </c>
      <c r="D4479" s="16"/>
      <c r="E4479">
        <v>6</v>
      </c>
      <c r="F4479" t="e">
        <f>--outros</f>
        <v>#NAME?</v>
      </c>
      <c r="G4479">
        <v>1</v>
      </c>
      <c r="H4479">
        <v>0</v>
      </c>
      <c r="I4479">
        <f>1</f>
        <v>1</v>
      </c>
    </row>
    <row r="4480" spans="2:9" x14ac:dyDescent="0.25">
      <c r="B4480">
        <v>0</v>
      </c>
      <c r="C4480" s="16" t="s">
        <v>13715</v>
      </c>
      <c r="D4480" s="16"/>
      <c r="E4480">
        <v>6</v>
      </c>
      <c r="F4480" t="s">
        <v>6913</v>
      </c>
      <c r="G4480">
        <v>1</v>
      </c>
      <c r="H4480">
        <v>0</v>
      </c>
      <c r="I4480">
        <f>1</f>
        <v>1</v>
      </c>
    </row>
    <row r="4481" spans="2:9" x14ac:dyDescent="0.25">
      <c r="B4481">
        <v>0</v>
      </c>
      <c r="C4481" s="16" t="s">
        <v>13716</v>
      </c>
      <c r="D4481" s="16"/>
      <c r="E4481">
        <v>6</v>
      </c>
      <c r="F4481" t="s">
        <v>6914</v>
      </c>
      <c r="G4481">
        <v>1</v>
      </c>
      <c r="H4481">
        <v>0</v>
      </c>
      <c r="I4481">
        <f>1</f>
        <v>1</v>
      </c>
    </row>
    <row r="4482" spans="2:9" x14ac:dyDescent="0.25">
      <c r="B4482">
        <v>0</v>
      </c>
      <c r="C4482" s="16" t="s">
        <v>13717</v>
      </c>
      <c r="D4482" s="16"/>
      <c r="E4482">
        <v>6</v>
      </c>
      <c r="F4482" t="s">
        <v>6915</v>
      </c>
      <c r="G4482">
        <v>1</v>
      </c>
      <c r="H4482">
        <v>0</v>
      </c>
      <c r="I4482">
        <f>1</f>
        <v>1</v>
      </c>
    </row>
    <row r="4483" spans="2:9" x14ac:dyDescent="0.25">
      <c r="B4483">
        <v>0</v>
      </c>
      <c r="C4483" s="16" t="s">
        <v>13718</v>
      </c>
      <c r="D4483" s="16"/>
      <c r="E4483">
        <v>6</v>
      </c>
      <c r="F4483" t="s">
        <v>4680</v>
      </c>
      <c r="G4483">
        <v>1</v>
      </c>
      <c r="H4483">
        <v>0</v>
      </c>
      <c r="I4483">
        <f>1</f>
        <v>1</v>
      </c>
    </row>
    <row r="4484" spans="2:9" x14ac:dyDescent="0.25">
      <c r="B4484">
        <v>0</v>
      </c>
      <c r="C4484" s="16" t="s">
        <v>13719</v>
      </c>
      <c r="D4484" s="16"/>
      <c r="E4484">
        <v>6</v>
      </c>
      <c r="F4484" t="s">
        <v>6916</v>
      </c>
      <c r="G4484">
        <v>1</v>
      </c>
      <c r="H4484">
        <v>0</v>
      </c>
      <c r="I4484">
        <f>1</f>
        <v>1</v>
      </c>
    </row>
    <row r="4485" spans="2:9" x14ac:dyDescent="0.25">
      <c r="B4485">
        <v>0</v>
      </c>
      <c r="C4485" s="16" t="s">
        <v>13720</v>
      </c>
      <c r="D4485" s="16"/>
      <c r="E4485">
        <v>6</v>
      </c>
      <c r="F4485" t="s">
        <v>6917</v>
      </c>
      <c r="G4485">
        <v>1</v>
      </c>
      <c r="H4485">
        <v>0</v>
      </c>
      <c r="I4485">
        <f>1</f>
        <v>1</v>
      </c>
    </row>
    <row r="4486" spans="2:9" x14ac:dyDescent="0.25">
      <c r="B4486">
        <v>0</v>
      </c>
      <c r="C4486" s="16" t="s">
        <v>13721</v>
      </c>
      <c r="D4486" s="16"/>
      <c r="E4486">
        <v>6</v>
      </c>
      <c r="F4486" t="s">
        <v>4680</v>
      </c>
      <c r="G4486">
        <v>1</v>
      </c>
      <c r="H4486">
        <v>0</v>
      </c>
      <c r="I4486">
        <f>1</f>
        <v>1</v>
      </c>
    </row>
    <row r="4487" spans="2:9" x14ac:dyDescent="0.25">
      <c r="B4487">
        <v>0</v>
      </c>
      <c r="C4487" s="16" t="s">
        <v>13722</v>
      </c>
      <c r="D4487" s="16"/>
      <c r="E4487">
        <v>6</v>
      </c>
      <c r="F4487" t="s">
        <v>6918</v>
      </c>
      <c r="G4487">
        <v>1</v>
      </c>
      <c r="H4487">
        <v>0</v>
      </c>
      <c r="I4487">
        <f>1</f>
        <v>1</v>
      </c>
    </row>
    <row r="4488" spans="2:9" x14ac:dyDescent="0.25">
      <c r="B4488">
        <v>0</v>
      </c>
      <c r="C4488" s="16" t="s">
        <v>13723</v>
      </c>
      <c r="D4488" s="16"/>
      <c r="E4488">
        <v>6</v>
      </c>
      <c r="F4488" t="s">
        <v>4690</v>
      </c>
      <c r="G4488">
        <v>1</v>
      </c>
      <c r="H4488">
        <v>0</v>
      </c>
      <c r="I4488">
        <f>1</f>
        <v>1</v>
      </c>
    </row>
    <row r="4489" spans="2:9" x14ac:dyDescent="0.25">
      <c r="B4489">
        <v>0</v>
      </c>
      <c r="C4489" s="16" t="s">
        <v>13724</v>
      </c>
      <c r="D4489" s="16"/>
      <c r="E4489">
        <v>6</v>
      </c>
      <c r="F4489" t="s">
        <v>4680</v>
      </c>
      <c r="G4489">
        <v>1</v>
      </c>
      <c r="H4489">
        <v>0</v>
      </c>
      <c r="I4489">
        <f>1</f>
        <v>1</v>
      </c>
    </row>
    <row r="4490" spans="2:9" x14ac:dyDescent="0.25">
      <c r="B4490">
        <v>0</v>
      </c>
      <c r="C4490" s="16" t="s">
        <v>13725</v>
      </c>
      <c r="D4490" s="16"/>
      <c r="E4490">
        <v>6</v>
      </c>
      <c r="F4490" t="s">
        <v>6919</v>
      </c>
      <c r="G4490">
        <v>1</v>
      </c>
      <c r="H4490">
        <v>0</v>
      </c>
      <c r="I4490">
        <f>1</f>
        <v>1</v>
      </c>
    </row>
    <row r="4491" spans="2:9" x14ac:dyDescent="0.25">
      <c r="B4491">
        <v>0</v>
      </c>
      <c r="C4491" s="16" t="s">
        <v>13726</v>
      </c>
      <c r="D4491" s="16"/>
      <c r="E4491">
        <v>6</v>
      </c>
      <c r="F4491" t="s">
        <v>6920</v>
      </c>
      <c r="G4491">
        <v>1</v>
      </c>
      <c r="H4491">
        <v>0</v>
      </c>
      <c r="I4491">
        <f>1</f>
        <v>1</v>
      </c>
    </row>
    <row r="4492" spans="2:9" x14ac:dyDescent="0.25">
      <c r="B4492">
        <v>0</v>
      </c>
      <c r="C4492" s="16" t="s">
        <v>13727</v>
      </c>
      <c r="D4492" s="16"/>
      <c r="E4492">
        <v>6</v>
      </c>
      <c r="F4492" t="s">
        <v>6921</v>
      </c>
      <c r="G4492">
        <v>1</v>
      </c>
      <c r="H4492">
        <v>0</v>
      </c>
      <c r="I4492">
        <f>1</f>
        <v>1</v>
      </c>
    </row>
    <row r="4493" spans="2:9" x14ac:dyDescent="0.25">
      <c r="B4493">
        <v>0</v>
      </c>
      <c r="C4493" s="16" t="s">
        <v>13728</v>
      </c>
      <c r="D4493" s="16"/>
      <c r="E4493">
        <v>6</v>
      </c>
      <c r="F4493" t="s">
        <v>4680</v>
      </c>
      <c r="G4493">
        <v>1</v>
      </c>
      <c r="H4493">
        <v>0</v>
      </c>
      <c r="I4493">
        <f>1</f>
        <v>1</v>
      </c>
    </row>
    <row r="4494" spans="2:9" x14ac:dyDescent="0.25">
      <c r="B4494">
        <v>0</v>
      </c>
      <c r="C4494" s="16" t="s">
        <v>13729</v>
      </c>
      <c r="D4494" s="16"/>
      <c r="E4494">
        <v>6</v>
      </c>
      <c r="F4494" t="s">
        <v>6922</v>
      </c>
      <c r="G4494">
        <v>1</v>
      </c>
      <c r="H4494">
        <v>0</v>
      </c>
      <c r="I4494">
        <f>1</f>
        <v>1</v>
      </c>
    </row>
    <row r="4495" spans="2:9" x14ac:dyDescent="0.25">
      <c r="B4495">
        <v>0</v>
      </c>
      <c r="C4495" s="16" t="s">
        <v>13730</v>
      </c>
      <c r="D4495" s="16"/>
      <c r="E4495">
        <v>6</v>
      </c>
      <c r="F4495" t="s">
        <v>6923</v>
      </c>
      <c r="G4495">
        <v>1</v>
      </c>
      <c r="H4495">
        <v>0</v>
      </c>
      <c r="I4495">
        <f>1</f>
        <v>1</v>
      </c>
    </row>
    <row r="4496" spans="2:9" x14ac:dyDescent="0.25">
      <c r="B4496">
        <v>0</v>
      </c>
      <c r="C4496" s="16" t="s">
        <v>13731</v>
      </c>
      <c r="D4496" s="16"/>
      <c r="E4496">
        <v>6</v>
      </c>
      <c r="F4496" t="s">
        <v>6924</v>
      </c>
      <c r="G4496">
        <v>1</v>
      </c>
      <c r="H4496">
        <v>0</v>
      </c>
      <c r="I4496">
        <f>1</f>
        <v>1</v>
      </c>
    </row>
    <row r="4497" spans="2:9" x14ac:dyDescent="0.25">
      <c r="B4497">
        <v>0</v>
      </c>
      <c r="C4497" s="16" t="s">
        <v>13732</v>
      </c>
      <c r="D4497" s="16"/>
      <c r="E4497">
        <v>6</v>
      </c>
      <c r="F4497" t="s">
        <v>6925</v>
      </c>
      <c r="G4497">
        <v>1</v>
      </c>
      <c r="H4497">
        <v>0</v>
      </c>
      <c r="I4497">
        <f>1</f>
        <v>1</v>
      </c>
    </row>
    <row r="4498" spans="2:9" x14ac:dyDescent="0.25">
      <c r="B4498">
        <v>0</v>
      </c>
      <c r="C4498" s="16" t="s">
        <v>13733</v>
      </c>
      <c r="D4498" s="16"/>
      <c r="E4498">
        <v>6</v>
      </c>
      <c r="F4498" t="s">
        <v>4680</v>
      </c>
      <c r="G4498">
        <v>1</v>
      </c>
      <c r="H4498">
        <v>0</v>
      </c>
      <c r="I4498">
        <f>1</f>
        <v>1</v>
      </c>
    </row>
    <row r="4499" spans="2:9" x14ac:dyDescent="0.25">
      <c r="B4499">
        <v>0</v>
      </c>
      <c r="C4499" s="16" t="s">
        <v>13734</v>
      </c>
      <c r="D4499" s="16"/>
      <c r="E4499">
        <v>6</v>
      </c>
      <c r="F4499" t="e">
        <f>--ácido esteárico</f>
        <v>#NAME?</v>
      </c>
      <c r="G4499">
        <v>1</v>
      </c>
      <c r="H4499">
        <v>0</v>
      </c>
      <c r="I4499">
        <f>1</f>
        <v>1</v>
      </c>
    </row>
    <row r="4500" spans="2:9" x14ac:dyDescent="0.25">
      <c r="B4500">
        <v>0</v>
      </c>
      <c r="C4500" s="16" t="s">
        <v>13735</v>
      </c>
      <c r="D4500" s="16"/>
      <c r="E4500">
        <v>6</v>
      </c>
      <c r="F4500" t="e">
        <f>--ácido oleico</f>
        <v>#NAME?</v>
      </c>
      <c r="G4500">
        <v>1</v>
      </c>
      <c r="H4500">
        <v>0</v>
      </c>
      <c r="I4500">
        <f>1</f>
        <v>1</v>
      </c>
    </row>
    <row r="4501" spans="2:9" x14ac:dyDescent="0.25">
      <c r="B4501">
        <v>0</v>
      </c>
      <c r="C4501" s="16" t="s">
        <v>13736</v>
      </c>
      <c r="D4501" s="16"/>
      <c r="E4501">
        <v>6</v>
      </c>
      <c r="F4501" t="e">
        <f>--Ácidos graxos do tall oil</f>
        <v>#NAME?</v>
      </c>
      <c r="G4501">
        <v>1</v>
      </c>
      <c r="H4501">
        <v>0</v>
      </c>
      <c r="I4501">
        <f>1</f>
        <v>1</v>
      </c>
    </row>
    <row r="4502" spans="2:9" x14ac:dyDescent="0.25">
      <c r="B4502">
        <v>0</v>
      </c>
      <c r="C4502" s="16" t="s">
        <v>13737</v>
      </c>
      <c r="D4502" s="16"/>
      <c r="E4502">
        <v>6</v>
      </c>
      <c r="F4502" t="e">
        <f>--outros</f>
        <v>#NAME?</v>
      </c>
      <c r="G4502">
        <v>1</v>
      </c>
      <c r="H4502">
        <v>0</v>
      </c>
      <c r="I4502">
        <f>1</f>
        <v>1</v>
      </c>
    </row>
    <row r="4503" spans="2:9" x14ac:dyDescent="0.25">
      <c r="B4503">
        <v>0</v>
      </c>
      <c r="C4503" s="16" t="s">
        <v>13738</v>
      </c>
      <c r="D4503" s="16"/>
      <c r="E4503">
        <v>6</v>
      </c>
      <c r="F4503" t="s">
        <v>6926</v>
      </c>
      <c r="G4503">
        <v>1</v>
      </c>
      <c r="H4503">
        <v>0</v>
      </c>
      <c r="I4503">
        <f>1</f>
        <v>1</v>
      </c>
    </row>
    <row r="4504" spans="2:9" x14ac:dyDescent="0.25">
      <c r="B4504">
        <v>0</v>
      </c>
      <c r="C4504" s="16" t="s">
        <v>13739</v>
      </c>
      <c r="D4504" s="16"/>
      <c r="E4504">
        <v>6</v>
      </c>
      <c r="F4504" t="s">
        <v>6927</v>
      </c>
      <c r="G4504">
        <v>1</v>
      </c>
      <c r="H4504">
        <v>0</v>
      </c>
      <c r="I4504">
        <f>1</f>
        <v>1</v>
      </c>
    </row>
    <row r="4505" spans="2:9" x14ac:dyDescent="0.25">
      <c r="B4505">
        <v>0</v>
      </c>
      <c r="C4505" s="16" t="s">
        <v>13740</v>
      </c>
      <c r="D4505" s="16"/>
      <c r="E4505">
        <v>6</v>
      </c>
      <c r="F4505" t="s">
        <v>6928</v>
      </c>
      <c r="G4505">
        <v>1</v>
      </c>
      <c r="H4505">
        <v>0</v>
      </c>
      <c r="I4505">
        <f>1</f>
        <v>1</v>
      </c>
    </row>
    <row r="4506" spans="2:9" x14ac:dyDescent="0.25">
      <c r="B4506">
        <v>0</v>
      </c>
      <c r="C4506" s="16" t="s">
        <v>13741</v>
      </c>
      <c r="D4506" s="16"/>
      <c r="E4506">
        <v>6</v>
      </c>
      <c r="F4506" t="s">
        <v>4680</v>
      </c>
      <c r="G4506">
        <v>1</v>
      </c>
      <c r="H4506">
        <v>0</v>
      </c>
      <c r="I4506">
        <f>1</f>
        <v>1</v>
      </c>
    </row>
    <row r="4507" spans="2:9" x14ac:dyDescent="0.25">
      <c r="B4507">
        <v>0</v>
      </c>
      <c r="C4507" s="16" t="s">
        <v>13741</v>
      </c>
      <c r="D4507" s="16" t="s">
        <v>19430</v>
      </c>
      <c r="E4507">
        <v>6</v>
      </c>
      <c r="F4507" t="s">
        <v>6929</v>
      </c>
      <c r="G4507">
        <v>1</v>
      </c>
      <c r="H4507">
        <v>0</v>
      </c>
      <c r="I4507">
        <f>1</f>
        <v>1</v>
      </c>
    </row>
    <row r="4508" spans="2:9" x14ac:dyDescent="0.25">
      <c r="B4508">
        <v>0</v>
      </c>
      <c r="C4508" s="16" t="s">
        <v>13742</v>
      </c>
      <c r="D4508" s="16"/>
      <c r="E4508">
        <v>6</v>
      </c>
      <c r="F4508" t="e">
        <f>-Aglutinantes preparados para moldes ou para núcleos De fundição</f>
        <v>#NAME?</v>
      </c>
      <c r="G4508">
        <v>1</v>
      </c>
      <c r="H4508">
        <v>0</v>
      </c>
      <c r="I4508">
        <f>1</f>
        <v>1</v>
      </c>
    </row>
    <row r="4509" spans="2:9" x14ac:dyDescent="0.25">
      <c r="B4509">
        <v>0</v>
      </c>
      <c r="C4509" s="16" t="s">
        <v>13743</v>
      </c>
      <c r="D4509" s="16"/>
      <c r="E4509">
        <v>6</v>
      </c>
      <c r="F4509" t="s">
        <v>6930</v>
      </c>
      <c r="G4509">
        <v>1</v>
      </c>
      <c r="H4509">
        <v>0</v>
      </c>
      <c r="I4509">
        <f>1</f>
        <v>1</v>
      </c>
    </row>
    <row r="4510" spans="2:9" x14ac:dyDescent="0.25">
      <c r="B4510">
        <v>0</v>
      </c>
      <c r="C4510" s="16" t="s">
        <v>13744</v>
      </c>
      <c r="D4510" s="16"/>
      <c r="E4510">
        <v>6</v>
      </c>
      <c r="F4510" t="s">
        <v>6931</v>
      </c>
      <c r="G4510">
        <v>1</v>
      </c>
      <c r="H4510">
        <v>0</v>
      </c>
      <c r="I4510">
        <f>1</f>
        <v>1</v>
      </c>
    </row>
    <row r="4511" spans="2:9" x14ac:dyDescent="0.25">
      <c r="B4511">
        <v>0</v>
      </c>
      <c r="C4511" s="16" t="s">
        <v>13745</v>
      </c>
      <c r="D4511" s="16"/>
      <c r="E4511">
        <v>6</v>
      </c>
      <c r="F4511" t="s">
        <v>6932</v>
      </c>
      <c r="G4511">
        <v>1</v>
      </c>
      <c r="H4511">
        <v>0</v>
      </c>
      <c r="I4511">
        <f>1</f>
        <v>1</v>
      </c>
    </row>
    <row r="4512" spans="2:9" x14ac:dyDescent="0.25">
      <c r="B4512">
        <v>0</v>
      </c>
      <c r="C4512" s="16" t="s">
        <v>13746</v>
      </c>
      <c r="D4512" s="16"/>
      <c r="E4512">
        <v>6</v>
      </c>
      <c r="F4512" t="s">
        <v>6933</v>
      </c>
      <c r="G4512">
        <v>1</v>
      </c>
      <c r="H4512">
        <v>0</v>
      </c>
      <c r="I4512">
        <f>1</f>
        <v>1</v>
      </c>
    </row>
    <row r="4513" spans="2:9" x14ac:dyDescent="0.25">
      <c r="B4513">
        <v>0</v>
      </c>
      <c r="C4513" s="16" t="s">
        <v>13747</v>
      </c>
      <c r="D4513" s="16"/>
      <c r="E4513">
        <v>6</v>
      </c>
      <c r="F4513" t="s">
        <v>6934</v>
      </c>
      <c r="G4513">
        <v>1</v>
      </c>
      <c r="H4513">
        <v>0</v>
      </c>
      <c r="I4513">
        <f>1</f>
        <v>1</v>
      </c>
    </row>
    <row r="4514" spans="2:9" x14ac:dyDescent="0.25">
      <c r="B4514">
        <v>0</v>
      </c>
      <c r="C4514" s="16" t="s">
        <v>13748</v>
      </c>
      <c r="D4514" s="16"/>
      <c r="E4514">
        <v>6</v>
      </c>
      <c r="F4514" t="s">
        <v>4690</v>
      </c>
      <c r="G4514">
        <v>1</v>
      </c>
      <c r="H4514">
        <v>0</v>
      </c>
      <c r="I4514">
        <f>1</f>
        <v>1</v>
      </c>
    </row>
    <row r="4515" spans="2:9" x14ac:dyDescent="0.25">
      <c r="B4515">
        <v>0</v>
      </c>
      <c r="C4515" s="16" t="s">
        <v>13749</v>
      </c>
      <c r="D4515" s="16"/>
      <c r="E4515">
        <v>6</v>
      </c>
      <c r="F4515" t="s">
        <v>6935</v>
      </c>
      <c r="G4515">
        <v>1</v>
      </c>
      <c r="H4515">
        <v>0</v>
      </c>
      <c r="I4515">
        <f>1</f>
        <v>1</v>
      </c>
    </row>
    <row r="4516" spans="2:9" x14ac:dyDescent="0.25">
      <c r="B4516">
        <v>0</v>
      </c>
      <c r="C4516" s="16" t="s">
        <v>13750</v>
      </c>
      <c r="D4516" s="16"/>
      <c r="E4516">
        <v>6</v>
      </c>
      <c r="F4516" t="e">
        <f>--que contenham hidrobromofluorcarbonetos  HBFC</f>
        <v>#NAME?</v>
      </c>
      <c r="G4516">
        <v>1</v>
      </c>
      <c r="H4516">
        <v>0</v>
      </c>
      <c r="I4516">
        <f>1</f>
        <v>1</v>
      </c>
    </row>
    <row r="4517" spans="2:9" x14ac:dyDescent="0.25">
      <c r="B4517">
        <v>0</v>
      </c>
      <c r="C4517" s="16" t="s">
        <v>13751</v>
      </c>
      <c r="D4517" s="16"/>
      <c r="E4517">
        <v>6</v>
      </c>
      <c r="F4517" t="s">
        <v>6936</v>
      </c>
      <c r="G4517">
        <v>1</v>
      </c>
      <c r="H4517">
        <v>0</v>
      </c>
      <c r="I4517">
        <f>1</f>
        <v>1</v>
      </c>
    </row>
    <row r="4518" spans="2:9" x14ac:dyDescent="0.25">
      <c r="B4518">
        <v>0</v>
      </c>
      <c r="C4518" s="16" t="s">
        <v>13752</v>
      </c>
      <c r="D4518" s="16"/>
      <c r="E4518">
        <v>6</v>
      </c>
      <c r="F4518" t="s">
        <v>6937</v>
      </c>
      <c r="G4518">
        <v>1</v>
      </c>
      <c r="H4518">
        <v>0</v>
      </c>
      <c r="I4518">
        <f>1</f>
        <v>1</v>
      </c>
    </row>
    <row r="4519" spans="2:9" x14ac:dyDescent="0.25">
      <c r="B4519">
        <v>0</v>
      </c>
      <c r="C4519" s="16" t="s">
        <v>13753</v>
      </c>
      <c r="D4519" s="16"/>
      <c r="E4519">
        <v>6</v>
      </c>
      <c r="F4519" t="s">
        <v>4690</v>
      </c>
      <c r="G4519">
        <v>1</v>
      </c>
      <c r="H4519">
        <v>0</v>
      </c>
      <c r="I4519">
        <f>1</f>
        <v>1</v>
      </c>
    </row>
    <row r="4520" spans="2:9" x14ac:dyDescent="0.25">
      <c r="B4520">
        <v>0</v>
      </c>
      <c r="C4520" s="16" t="s">
        <v>13754</v>
      </c>
      <c r="D4520" s="16"/>
      <c r="E4520">
        <v>6</v>
      </c>
      <c r="F4520" t="e">
        <f>--que contenham Tetracloreto De carbono</f>
        <v>#NAME?</v>
      </c>
      <c r="G4520">
        <v>1</v>
      </c>
      <c r="H4520">
        <v>0</v>
      </c>
      <c r="I4520">
        <f>1</f>
        <v>1</v>
      </c>
    </row>
    <row r="4521" spans="2:9" x14ac:dyDescent="0.25">
      <c r="B4521">
        <v>0</v>
      </c>
      <c r="C4521" s="16" t="s">
        <v>13755</v>
      </c>
      <c r="D4521" s="16"/>
      <c r="E4521">
        <v>6</v>
      </c>
      <c r="F4521" t="s">
        <v>6938</v>
      </c>
      <c r="G4521">
        <v>1</v>
      </c>
      <c r="H4521">
        <v>0</v>
      </c>
      <c r="I4521">
        <f>1</f>
        <v>1</v>
      </c>
    </row>
    <row r="4522" spans="2:9" x14ac:dyDescent="0.25">
      <c r="B4522">
        <v>0</v>
      </c>
      <c r="C4522" s="16" t="s">
        <v>13756</v>
      </c>
      <c r="D4522" s="16"/>
      <c r="E4522">
        <v>6</v>
      </c>
      <c r="F4522" t="e">
        <f>--que contenham bromometano  brometo De metila  ou bromoclorometano</f>
        <v>#NAME?</v>
      </c>
      <c r="G4522">
        <v>1</v>
      </c>
      <c r="H4522">
        <v>0</v>
      </c>
      <c r="I4522">
        <f>1</f>
        <v>1</v>
      </c>
    </row>
    <row r="4523" spans="2:9" x14ac:dyDescent="0.25">
      <c r="B4523">
        <v>0</v>
      </c>
      <c r="C4523" s="16" t="s">
        <v>13757</v>
      </c>
      <c r="D4523" s="16"/>
      <c r="E4523">
        <v>6</v>
      </c>
      <c r="F4523" t="s">
        <v>6939</v>
      </c>
      <c r="G4523">
        <v>1</v>
      </c>
      <c r="H4523">
        <v>0</v>
      </c>
      <c r="I4523">
        <f>1</f>
        <v>1</v>
      </c>
    </row>
    <row r="4524" spans="2:9" x14ac:dyDescent="0.25">
      <c r="B4524">
        <v>0</v>
      </c>
      <c r="C4524" s="16" t="s">
        <v>13758</v>
      </c>
      <c r="D4524" s="16"/>
      <c r="E4524">
        <v>6</v>
      </c>
      <c r="F4524" t="s">
        <v>4690</v>
      </c>
      <c r="G4524">
        <v>1</v>
      </c>
      <c r="H4524">
        <v>0</v>
      </c>
      <c r="I4524">
        <f>1</f>
        <v>1</v>
      </c>
    </row>
    <row r="4525" spans="2:9" x14ac:dyDescent="0.25">
      <c r="B4525">
        <v>0</v>
      </c>
      <c r="C4525" s="16" t="s">
        <v>13759</v>
      </c>
      <c r="D4525" s="16"/>
      <c r="E4525">
        <v>6</v>
      </c>
      <c r="F4525" t="e">
        <f>--Outras</f>
        <v>#NAME?</v>
      </c>
      <c r="G4525">
        <v>1</v>
      </c>
      <c r="H4525">
        <v>0</v>
      </c>
      <c r="I4525">
        <f>1</f>
        <v>1</v>
      </c>
    </row>
    <row r="4526" spans="2:9" x14ac:dyDescent="0.25">
      <c r="B4526">
        <v>0</v>
      </c>
      <c r="C4526" s="16" t="s">
        <v>13760</v>
      </c>
      <c r="D4526" s="16"/>
      <c r="E4526">
        <v>6</v>
      </c>
      <c r="F4526" t="s">
        <v>6940</v>
      </c>
      <c r="G4526">
        <v>1</v>
      </c>
      <c r="H4526">
        <v>0</v>
      </c>
      <c r="I4526">
        <f>1</f>
        <v>1</v>
      </c>
    </row>
    <row r="4527" spans="2:9" x14ac:dyDescent="0.25">
      <c r="B4527">
        <v>0</v>
      </c>
      <c r="C4527" s="16" t="s">
        <v>13761</v>
      </c>
      <c r="D4527" s="16"/>
      <c r="E4527">
        <v>6</v>
      </c>
      <c r="F4527" t="s">
        <v>4690</v>
      </c>
      <c r="G4527">
        <v>1</v>
      </c>
      <c r="H4527">
        <v>0</v>
      </c>
      <c r="I4527">
        <f>1</f>
        <v>1</v>
      </c>
    </row>
    <row r="4528" spans="2:9" x14ac:dyDescent="0.25">
      <c r="B4528">
        <v>0</v>
      </c>
      <c r="C4528" s="16" t="s">
        <v>13762</v>
      </c>
      <c r="D4528" s="16"/>
      <c r="E4528">
        <v>6</v>
      </c>
      <c r="F4528" t="s">
        <v>6941</v>
      </c>
      <c r="G4528">
        <v>1</v>
      </c>
      <c r="H4528">
        <v>0</v>
      </c>
      <c r="I4528">
        <f>1</f>
        <v>1</v>
      </c>
    </row>
    <row r="4529" spans="2:9" x14ac:dyDescent="0.25">
      <c r="B4529">
        <v>0</v>
      </c>
      <c r="C4529" s="16" t="s">
        <v>13763</v>
      </c>
      <c r="D4529" s="16"/>
      <c r="E4529">
        <v>6</v>
      </c>
      <c r="F4529" t="s">
        <v>6942</v>
      </c>
      <c r="G4529">
        <v>1</v>
      </c>
      <c r="H4529">
        <v>0</v>
      </c>
      <c r="I4529">
        <f>1</f>
        <v>1</v>
      </c>
    </row>
    <row r="4530" spans="2:9" x14ac:dyDescent="0.25">
      <c r="B4530">
        <v>0</v>
      </c>
      <c r="C4530" s="16" t="s">
        <v>13764</v>
      </c>
      <c r="D4530" s="16"/>
      <c r="E4530">
        <v>6</v>
      </c>
      <c r="F4530" t="s">
        <v>6943</v>
      </c>
      <c r="G4530">
        <v>1</v>
      </c>
      <c r="H4530">
        <v>0</v>
      </c>
      <c r="I4530">
        <f>1</f>
        <v>1</v>
      </c>
    </row>
    <row r="4531" spans="2:9" x14ac:dyDescent="0.25">
      <c r="B4531">
        <v>0</v>
      </c>
      <c r="C4531" s="16" t="s">
        <v>13765</v>
      </c>
      <c r="D4531" s="16"/>
      <c r="E4531">
        <v>6</v>
      </c>
      <c r="F4531" t="s">
        <v>6944</v>
      </c>
      <c r="G4531">
        <v>1</v>
      </c>
      <c r="H4531">
        <v>0</v>
      </c>
      <c r="I4531">
        <f>1</f>
        <v>1</v>
      </c>
    </row>
    <row r="4532" spans="2:9" x14ac:dyDescent="0.25">
      <c r="B4532">
        <v>0</v>
      </c>
      <c r="C4532" s="16" t="s">
        <v>13766</v>
      </c>
      <c r="D4532" s="16"/>
      <c r="E4532">
        <v>6</v>
      </c>
      <c r="F4532" t="s">
        <v>6945</v>
      </c>
      <c r="G4532">
        <v>1</v>
      </c>
      <c r="H4532">
        <v>0</v>
      </c>
      <c r="I4532">
        <f>1</f>
        <v>1</v>
      </c>
    </row>
    <row r="4533" spans="2:9" x14ac:dyDescent="0.25">
      <c r="B4533">
        <v>0</v>
      </c>
      <c r="C4533" s="16" t="s">
        <v>13767</v>
      </c>
      <c r="D4533" s="16"/>
      <c r="E4533">
        <v>6</v>
      </c>
      <c r="F4533" t="s">
        <v>6946</v>
      </c>
      <c r="G4533">
        <v>1</v>
      </c>
      <c r="H4533">
        <v>0</v>
      </c>
      <c r="I4533">
        <f>1</f>
        <v>1</v>
      </c>
    </row>
    <row r="4534" spans="2:9" x14ac:dyDescent="0.25">
      <c r="B4534">
        <v>0</v>
      </c>
      <c r="C4534" s="16" t="s">
        <v>13768</v>
      </c>
      <c r="D4534" s="16"/>
      <c r="E4534">
        <v>6</v>
      </c>
      <c r="F4534" t="s">
        <v>6947</v>
      </c>
      <c r="G4534">
        <v>1</v>
      </c>
      <c r="H4534">
        <v>0</v>
      </c>
      <c r="I4534">
        <f>1</f>
        <v>1</v>
      </c>
    </row>
    <row r="4535" spans="2:9" x14ac:dyDescent="0.25">
      <c r="B4535">
        <v>0</v>
      </c>
      <c r="C4535" s="16" t="s">
        <v>13769</v>
      </c>
      <c r="D4535" s="16"/>
      <c r="E4535">
        <v>6</v>
      </c>
      <c r="F4535" t="s">
        <v>4680</v>
      </c>
      <c r="G4535">
        <v>1</v>
      </c>
      <c r="H4535">
        <v>0</v>
      </c>
      <c r="I4535">
        <f>1</f>
        <v>1</v>
      </c>
    </row>
    <row r="4536" spans="2:9" x14ac:dyDescent="0.25">
      <c r="B4536">
        <v>0</v>
      </c>
      <c r="C4536" s="16" t="s">
        <v>13770</v>
      </c>
      <c r="D4536" s="16"/>
      <c r="E4536">
        <v>6</v>
      </c>
      <c r="F4536" t="s">
        <v>6948</v>
      </c>
      <c r="G4536">
        <v>1</v>
      </c>
      <c r="H4536">
        <v>0</v>
      </c>
      <c r="I4536">
        <f>1</f>
        <v>1</v>
      </c>
    </row>
    <row r="4537" spans="2:9" x14ac:dyDescent="0.25">
      <c r="B4537">
        <v>0</v>
      </c>
      <c r="C4537" s="16" t="s">
        <v>13771</v>
      </c>
      <c r="D4537" s="16"/>
      <c r="E4537">
        <v>6</v>
      </c>
      <c r="F4537" t="s">
        <v>6949</v>
      </c>
      <c r="G4537">
        <v>1</v>
      </c>
      <c r="H4537">
        <v>0</v>
      </c>
      <c r="I4537">
        <f>1</f>
        <v>1</v>
      </c>
    </row>
    <row r="4538" spans="2:9" x14ac:dyDescent="0.25">
      <c r="B4538">
        <v>0</v>
      </c>
      <c r="C4538" s="16" t="s">
        <v>13772</v>
      </c>
      <c r="D4538" s="16"/>
      <c r="E4538">
        <v>6</v>
      </c>
      <c r="F4538" t="s">
        <v>6950</v>
      </c>
      <c r="G4538">
        <v>1</v>
      </c>
      <c r="H4538">
        <v>0</v>
      </c>
      <c r="I4538">
        <f>1</f>
        <v>1</v>
      </c>
    </row>
    <row r="4539" spans="2:9" x14ac:dyDescent="0.25">
      <c r="B4539">
        <v>0</v>
      </c>
      <c r="C4539" s="16" t="s">
        <v>13773</v>
      </c>
      <c r="D4539" s="16"/>
      <c r="E4539">
        <v>6</v>
      </c>
      <c r="F4539" t="s">
        <v>6951</v>
      </c>
      <c r="G4539">
        <v>1</v>
      </c>
      <c r="H4539">
        <v>0</v>
      </c>
      <c r="I4539">
        <f>1</f>
        <v>1</v>
      </c>
    </row>
    <row r="4540" spans="2:9" x14ac:dyDescent="0.25">
      <c r="B4540">
        <v>0</v>
      </c>
      <c r="C4540" s="16" t="s">
        <v>13774</v>
      </c>
      <c r="D4540" s="16"/>
      <c r="E4540">
        <v>6</v>
      </c>
      <c r="F4540" t="s">
        <v>6952</v>
      </c>
      <c r="G4540">
        <v>1</v>
      </c>
      <c r="H4540">
        <v>0</v>
      </c>
      <c r="I4540">
        <f>1</f>
        <v>1</v>
      </c>
    </row>
    <row r="4541" spans="2:9" x14ac:dyDescent="0.25">
      <c r="B4541">
        <v>0</v>
      </c>
      <c r="C4541" s="16" t="s">
        <v>13775</v>
      </c>
      <c r="D4541" s="16"/>
      <c r="E4541">
        <v>6</v>
      </c>
      <c r="F4541" t="s">
        <v>4680</v>
      </c>
      <c r="G4541">
        <v>1</v>
      </c>
      <c r="H4541">
        <v>0</v>
      </c>
      <c r="I4541">
        <f>1</f>
        <v>1</v>
      </c>
    </row>
    <row r="4542" spans="2:9" x14ac:dyDescent="0.25">
      <c r="B4542">
        <v>0</v>
      </c>
      <c r="C4542" s="16" t="s">
        <v>13776</v>
      </c>
      <c r="D4542" s="16"/>
      <c r="E4542">
        <v>6</v>
      </c>
      <c r="F4542" t="s">
        <v>6953</v>
      </c>
      <c r="G4542">
        <v>1</v>
      </c>
      <c r="H4542">
        <v>0</v>
      </c>
      <c r="I4542">
        <f>1</f>
        <v>1</v>
      </c>
    </row>
    <row r="4543" spans="2:9" x14ac:dyDescent="0.25">
      <c r="B4543">
        <v>0</v>
      </c>
      <c r="C4543" s="16" t="s">
        <v>13777</v>
      </c>
      <c r="D4543" s="16"/>
      <c r="E4543">
        <v>6</v>
      </c>
      <c r="F4543" t="s">
        <v>6954</v>
      </c>
      <c r="G4543">
        <v>1</v>
      </c>
      <c r="H4543">
        <v>0</v>
      </c>
      <c r="I4543">
        <f>1</f>
        <v>1</v>
      </c>
    </row>
    <row r="4544" spans="2:9" x14ac:dyDescent="0.25">
      <c r="B4544">
        <v>0</v>
      </c>
      <c r="C4544" s="16" t="s">
        <v>13778</v>
      </c>
      <c r="D4544" s="16"/>
      <c r="E4544">
        <v>6</v>
      </c>
      <c r="F4544" t="s">
        <v>6955</v>
      </c>
      <c r="G4544">
        <v>1</v>
      </c>
      <c r="H4544">
        <v>0</v>
      </c>
      <c r="I4544">
        <f>1</f>
        <v>1</v>
      </c>
    </row>
    <row r="4545" spans="2:9" x14ac:dyDescent="0.25">
      <c r="B4545">
        <v>0</v>
      </c>
      <c r="C4545" s="16" t="s">
        <v>13779</v>
      </c>
      <c r="D4545" s="16"/>
      <c r="E4545">
        <v>6</v>
      </c>
      <c r="F4545" t="s">
        <v>6956</v>
      </c>
      <c r="G4545">
        <v>1</v>
      </c>
      <c r="H4545">
        <v>0</v>
      </c>
      <c r="I4545">
        <f>1</f>
        <v>1</v>
      </c>
    </row>
    <row r="4546" spans="2:9" x14ac:dyDescent="0.25">
      <c r="B4546">
        <v>0</v>
      </c>
      <c r="C4546" s="16" t="s">
        <v>13780</v>
      </c>
      <c r="D4546" s="16"/>
      <c r="E4546">
        <v>6</v>
      </c>
      <c r="F4546" t="s">
        <v>6957</v>
      </c>
      <c r="G4546">
        <v>1</v>
      </c>
      <c r="H4546">
        <v>0</v>
      </c>
      <c r="I4546">
        <f>1</f>
        <v>1</v>
      </c>
    </row>
    <row r="4547" spans="2:9" x14ac:dyDescent="0.25">
      <c r="B4547">
        <v>0</v>
      </c>
      <c r="C4547" s="16" t="s">
        <v>13781</v>
      </c>
      <c r="D4547" s="16"/>
      <c r="E4547">
        <v>6</v>
      </c>
      <c r="F4547" t="s">
        <v>6958</v>
      </c>
      <c r="G4547">
        <v>1</v>
      </c>
      <c r="H4547">
        <v>0</v>
      </c>
      <c r="I4547">
        <f>1</f>
        <v>1</v>
      </c>
    </row>
    <row r="4548" spans="2:9" x14ac:dyDescent="0.25">
      <c r="B4548">
        <v>0</v>
      </c>
      <c r="C4548" s="16" t="s">
        <v>13782</v>
      </c>
      <c r="D4548" s="16"/>
      <c r="E4548">
        <v>6</v>
      </c>
      <c r="F4548" t="s">
        <v>4690</v>
      </c>
      <c r="G4548">
        <v>1</v>
      </c>
      <c r="H4548">
        <v>0</v>
      </c>
      <c r="I4548">
        <f>1</f>
        <v>1</v>
      </c>
    </row>
    <row r="4549" spans="2:9" x14ac:dyDescent="0.25">
      <c r="B4549">
        <v>0</v>
      </c>
      <c r="C4549" s="16" t="s">
        <v>13783</v>
      </c>
      <c r="D4549" s="16"/>
      <c r="E4549">
        <v>6</v>
      </c>
      <c r="F4549" t="s">
        <v>6959</v>
      </c>
      <c r="G4549">
        <v>1</v>
      </c>
      <c r="H4549">
        <v>0</v>
      </c>
      <c r="I4549">
        <f>1</f>
        <v>1</v>
      </c>
    </row>
    <row r="4550" spans="2:9" x14ac:dyDescent="0.25">
      <c r="B4550">
        <v>0</v>
      </c>
      <c r="C4550" s="16" t="s">
        <v>13784</v>
      </c>
      <c r="D4550" s="16"/>
      <c r="E4550">
        <v>6</v>
      </c>
      <c r="F4550" t="s">
        <v>6960</v>
      </c>
      <c r="G4550">
        <v>1</v>
      </c>
      <c r="H4550">
        <v>0</v>
      </c>
      <c r="I4550">
        <f>1</f>
        <v>1</v>
      </c>
    </row>
    <row r="4551" spans="2:9" x14ac:dyDescent="0.25">
      <c r="B4551">
        <v>0</v>
      </c>
      <c r="C4551" s="16" t="s">
        <v>13785</v>
      </c>
      <c r="D4551" s="16"/>
      <c r="E4551">
        <v>6</v>
      </c>
      <c r="F4551" t="s">
        <v>6961</v>
      </c>
      <c r="G4551">
        <v>1</v>
      </c>
      <c r="H4551">
        <v>0</v>
      </c>
      <c r="I4551">
        <f>1</f>
        <v>1</v>
      </c>
    </row>
    <row r="4552" spans="2:9" x14ac:dyDescent="0.25">
      <c r="B4552">
        <v>0</v>
      </c>
      <c r="C4552" s="16" t="s">
        <v>13786</v>
      </c>
      <c r="D4552" s="16"/>
      <c r="E4552">
        <v>6</v>
      </c>
      <c r="F4552" t="s">
        <v>4680</v>
      </c>
      <c r="G4552">
        <v>1</v>
      </c>
      <c r="H4552">
        <v>0</v>
      </c>
      <c r="I4552">
        <f>1</f>
        <v>1</v>
      </c>
    </row>
    <row r="4553" spans="2:9" x14ac:dyDescent="0.25">
      <c r="B4553">
        <v>0</v>
      </c>
      <c r="C4553" s="16" t="s">
        <v>13787</v>
      </c>
      <c r="D4553" s="16"/>
      <c r="E4553">
        <v>6</v>
      </c>
      <c r="F4553" t="s">
        <v>6962</v>
      </c>
      <c r="G4553">
        <v>1</v>
      </c>
      <c r="H4553">
        <v>0</v>
      </c>
      <c r="I4553">
        <f>1</f>
        <v>1</v>
      </c>
    </row>
    <row r="4554" spans="2:9" x14ac:dyDescent="0.25">
      <c r="B4554">
        <v>0</v>
      </c>
      <c r="C4554" s="16" t="s">
        <v>13788</v>
      </c>
      <c r="D4554" s="16"/>
      <c r="E4554">
        <v>6</v>
      </c>
      <c r="F4554" t="s">
        <v>6963</v>
      </c>
      <c r="G4554">
        <v>1</v>
      </c>
      <c r="H4554">
        <v>0</v>
      </c>
      <c r="I4554">
        <f>1</f>
        <v>1</v>
      </c>
    </row>
    <row r="4555" spans="2:9" x14ac:dyDescent="0.25">
      <c r="B4555">
        <v>0</v>
      </c>
      <c r="C4555" s="16" t="s">
        <v>13789</v>
      </c>
      <c r="D4555" s="16"/>
      <c r="E4555">
        <v>6</v>
      </c>
      <c r="F4555" t="s">
        <v>6964</v>
      </c>
      <c r="G4555">
        <v>1</v>
      </c>
      <c r="H4555">
        <v>0</v>
      </c>
      <c r="I4555">
        <f>1</f>
        <v>1</v>
      </c>
    </row>
    <row r="4556" spans="2:9" x14ac:dyDescent="0.25">
      <c r="B4556">
        <v>0</v>
      </c>
      <c r="C4556" s="16" t="s">
        <v>13790</v>
      </c>
      <c r="D4556" s="16"/>
      <c r="E4556">
        <v>6</v>
      </c>
      <c r="F4556" t="s">
        <v>6965</v>
      </c>
      <c r="G4556">
        <v>1</v>
      </c>
      <c r="H4556">
        <v>0</v>
      </c>
      <c r="I4556">
        <f>1</f>
        <v>1</v>
      </c>
    </row>
    <row r="4557" spans="2:9" x14ac:dyDescent="0.25">
      <c r="B4557">
        <v>0</v>
      </c>
      <c r="C4557" s="16" t="s">
        <v>13791</v>
      </c>
      <c r="D4557" s="16"/>
      <c r="E4557">
        <v>6</v>
      </c>
      <c r="F4557" t="s">
        <v>4680</v>
      </c>
      <c r="G4557">
        <v>1</v>
      </c>
      <c r="H4557">
        <v>0</v>
      </c>
      <c r="I4557">
        <f>1</f>
        <v>1</v>
      </c>
    </row>
    <row r="4558" spans="2:9" x14ac:dyDescent="0.25">
      <c r="B4558">
        <v>0</v>
      </c>
      <c r="C4558" s="16" t="s">
        <v>13792</v>
      </c>
      <c r="D4558" s="16"/>
      <c r="E4558">
        <v>6</v>
      </c>
      <c r="F4558" t="s">
        <v>6966</v>
      </c>
      <c r="G4558">
        <v>1</v>
      </c>
      <c r="H4558">
        <v>0</v>
      </c>
      <c r="I4558">
        <f>1</f>
        <v>1</v>
      </c>
    </row>
    <row r="4559" spans="2:9" x14ac:dyDescent="0.25">
      <c r="B4559">
        <v>0</v>
      </c>
      <c r="C4559" s="16" t="s">
        <v>13793</v>
      </c>
      <c r="D4559" s="16"/>
      <c r="E4559">
        <v>6</v>
      </c>
      <c r="F4559" t="s">
        <v>6967</v>
      </c>
      <c r="G4559">
        <v>1</v>
      </c>
      <c r="H4559">
        <v>0</v>
      </c>
      <c r="I4559">
        <f>1</f>
        <v>1</v>
      </c>
    </row>
    <row r="4560" spans="2:9" x14ac:dyDescent="0.25">
      <c r="B4560">
        <v>0</v>
      </c>
      <c r="C4560" s="16" t="s">
        <v>13794</v>
      </c>
      <c r="D4560" s="16"/>
      <c r="E4560">
        <v>6</v>
      </c>
      <c r="F4560" t="s">
        <v>6968</v>
      </c>
      <c r="G4560">
        <v>1</v>
      </c>
      <c r="H4560">
        <v>0</v>
      </c>
      <c r="I4560">
        <f>1</f>
        <v>1</v>
      </c>
    </row>
    <row r="4561" spans="2:9" x14ac:dyDescent="0.25">
      <c r="B4561">
        <v>0</v>
      </c>
      <c r="C4561" s="16" t="s">
        <v>13795</v>
      </c>
      <c r="D4561" s="16"/>
      <c r="E4561">
        <v>6</v>
      </c>
      <c r="F4561" t="s">
        <v>6969</v>
      </c>
      <c r="G4561">
        <v>1</v>
      </c>
      <c r="H4561">
        <v>0</v>
      </c>
      <c r="I4561">
        <f>1</f>
        <v>1</v>
      </c>
    </row>
    <row r="4562" spans="2:9" x14ac:dyDescent="0.25">
      <c r="B4562">
        <v>0</v>
      </c>
      <c r="C4562" s="16" t="s">
        <v>13796</v>
      </c>
      <c r="D4562" s="16"/>
      <c r="E4562">
        <v>6</v>
      </c>
      <c r="F4562" t="s">
        <v>6970</v>
      </c>
      <c r="G4562">
        <v>1</v>
      </c>
      <c r="H4562">
        <v>0</v>
      </c>
      <c r="I4562">
        <f>1</f>
        <v>1</v>
      </c>
    </row>
    <row r="4563" spans="2:9" x14ac:dyDescent="0.25">
      <c r="B4563">
        <v>0</v>
      </c>
      <c r="C4563" s="16" t="s">
        <v>13797</v>
      </c>
      <c r="D4563" s="16"/>
      <c r="E4563">
        <v>6</v>
      </c>
      <c r="F4563" t="s">
        <v>6971</v>
      </c>
      <c r="G4563">
        <v>1</v>
      </c>
      <c r="H4563">
        <v>0</v>
      </c>
      <c r="I4563">
        <f>1</f>
        <v>1</v>
      </c>
    </row>
    <row r="4564" spans="2:9" x14ac:dyDescent="0.25">
      <c r="B4564">
        <v>0</v>
      </c>
      <c r="C4564" s="16" t="s">
        <v>13798</v>
      </c>
      <c r="D4564" s="16"/>
      <c r="E4564">
        <v>6</v>
      </c>
      <c r="F4564" t="s">
        <v>6972</v>
      </c>
      <c r="G4564">
        <v>1</v>
      </c>
      <c r="H4564">
        <v>0</v>
      </c>
      <c r="I4564">
        <f>1</f>
        <v>1</v>
      </c>
    </row>
    <row r="4565" spans="2:9" x14ac:dyDescent="0.25">
      <c r="B4565">
        <v>0</v>
      </c>
      <c r="C4565" s="16" t="s">
        <v>13799</v>
      </c>
      <c r="D4565" s="16"/>
      <c r="E4565">
        <v>6</v>
      </c>
      <c r="F4565" t="s">
        <v>6973</v>
      </c>
      <c r="G4565">
        <v>1</v>
      </c>
      <c r="H4565">
        <v>0</v>
      </c>
      <c r="I4565">
        <f>1</f>
        <v>1</v>
      </c>
    </row>
    <row r="4566" spans="2:9" x14ac:dyDescent="0.25">
      <c r="B4566">
        <v>0</v>
      </c>
      <c r="C4566" s="16" t="s">
        <v>13800</v>
      </c>
      <c r="D4566" s="16"/>
      <c r="E4566">
        <v>6</v>
      </c>
      <c r="F4566" t="s">
        <v>4680</v>
      </c>
      <c r="G4566">
        <v>1</v>
      </c>
      <c r="H4566">
        <v>0</v>
      </c>
      <c r="I4566">
        <f>1</f>
        <v>1</v>
      </c>
    </row>
    <row r="4567" spans="2:9" x14ac:dyDescent="0.25">
      <c r="B4567">
        <v>0</v>
      </c>
      <c r="C4567" s="16" t="s">
        <v>13800</v>
      </c>
      <c r="D4567" s="16" t="s">
        <v>19430</v>
      </c>
      <c r="E4567">
        <v>6</v>
      </c>
      <c r="F4567" t="s">
        <v>6974</v>
      </c>
      <c r="G4567">
        <v>1</v>
      </c>
      <c r="H4567">
        <v>0</v>
      </c>
      <c r="I4567">
        <f>1</f>
        <v>1</v>
      </c>
    </row>
    <row r="4568" spans="2:9" x14ac:dyDescent="0.25">
      <c r="B4568">
        <v>0</v>
      </c>
      <c r="C4568" s="16" t="s">
        <v>13801</v>
      </c>
      <c r="D4568" s="16"/>
      <c r="E4568">
        <v>6</v>
      </c>
      <c r="F4568" t="s">
        <v>6975</v>
      </c>
      <c r="G4568">
        <v>1</v>
      </c>
      <c r="H4568">
        <v>0</v>
      </c>
      <c r="I4568">
        <f>1</f>
        <v>1</v>
      </c>
    </row>
    <row r="4569" spans="2:9" x14ac:dyDescent="0.25">
      <c r="B4569">
        <v>0</v>
      </c>
      <c r="C4569" s="16" t="s">
        <v>13802</v>
      </c>
      <c r="D4569" s="16"/>
      <c r="E4569">
        <v>6</v>
      </c>
      <c r="F4569" t="s">
        <v>6976</v>
      </c>
      <c r="G4569">
        <v>1</v>
      </c>
      <c r="H4569">
        <v>0</v>
      </c>
      <c r="I4569">
        <f>1</f>
        <v>1</v>
      </c>
    </row>
    <row r="4570" spans="2:9" x14ac:dyDescent="0.25">
      <c r="B4570">
        <v>0</v>
      </c>
      <c r="C4570" s="16" t="s">
        <v>13803</v>
      </c>
      <c r="D4570" s="16"/>
      <c r="E4570">
        <v>6</v>
      </c>
      <c r="F4570" t="s">
        <v>6977</v>
      </c>
      <c r="G4570">
        <v>1</v>
      </c>
      <c r="H4570">
        <v>0</v>
      </c>
      <c r="I4570">
        <f>1</f>
        <v>1</v>
      </c>
    </row>
    <row r="4571" spans="2:9" x14ac:dyDescent="0.25">
      <c r="B4571">
        <v>0</v>
      </c>
      <c r="C4571" s="16" t="s">
        <v>13804</v>
      </c>
      <c r="D4571" s="16"/>
      <c r="E4571">
        <v>6</v>
      </c>
      <c r="F4571" t="s">
        <v>6978</v>
      </c>
      <c r="G4571">
        <v>1</v>
      </c>
      <c r="H4571">
        <v>0</v>
      </c>
      <c r="I4571">
        <f>1</f>
        <v>1</v>
      </c>
    </row>
    <row r="4572" spans="2:9" x14ac:dyDescent="0.25">
      <c r="B4572">
        <v>0</v>
      </c>
      <c r="C4572" s="16" t="s">
        <v>13805</v>
      </c>
      <c r="D4572" s="16"/>
      <c r="E4572">
        <v>6</v>
      </c>
      <c r="F4572" t="s">
        <v>6979</v>
      </c>
      <c r="G4572">
        <v>1</v>
      </c>
      <c r="H4572">
        <v>0</v>
      </c>
      <c r="I4572">
        <f>1</f>
        <v>1</v>
      </c>
    </row>
    <row r="4573" spans="2:9" x14ac:dyDescent="0.25">
      <c r="B4573">
        <v>0</v>
      </c>
      <c r="C4573" s="16" t="s">
        <v>13806</v>
      </c>
      <c r="D4573" s="16"/>
      <c r="E4573">
        <v>6</v>
      </c>
      <c r="F4573" t="s">
        <v>6980</v>
      </c>
      <c r="G4573">
        <v>1</v>
      </c>
      <c r="H4573">
        <v>0</v>
      </c>
      <c r="I4573">
        <f>1</f>
        <v>1</v>
      </c>
    </row>
    <row r="4574" spans="2:9" x14ac:dyDescent="0.25">
      <c r="B4574">
        <v>0</v>
      </c>
      <c r="C4574" s="16" t="s">
        <v>13807</v>
      </c>
      <c r="D4574" s="16"/>
      <c r="E4574">
        <v>6</v>
      </c>
      <c r="F4574" t="s">
        <v>6981</v>
      </c>
      <c r="G4574">
        <v>1</v>
      </c>
      <c r="H4574">
        <v>0</v>
      </c>
      <c r="I4574">
        <f>1</f>
        <v>1</v>
      </c>
    </row>
    <row r="4575" spans="2:9" x14ac:dyDescent="0.25">
      <c r="B4575">
        <v>0</v>
      </c>
      <c r="C4575" s="16" t="s">
        <v>13808</v>
      </c>
      <c r="D4575" s="16"/>
      <c r="E4575">
        <v>6</v>
      </c>
      <c r="F4575" t="s">
        <v>4680</v>
      </c>
      <c r="G4575">
        <v>1</v>
      </c>
      <c r="H4575">
        <v>0</v>
      </c>
      <c r="I4575">
        <f>1</f>
        <v>1</v>
      </c>
    </row>
    <row r="4576" spans="2:9" x14ac:dyDescent="0.25">
      <c r="B4576">
        <v>0</v>
      </c>
      <c r="C4576" s="16" t="s">
        <v>13809</v>
      </c>
      <c r="D4576" s="16"/>
      <c r="E4576">
        <v>6</v>
      </c>
      <c r="F4576" t="e">
        <f>-lixos municipais</f>
        <v>#NAME?</v>
      </c>
      <c r="G4576">
        <v>1</v>
      </c>
      <c r="H4576">
        <v>0</v>
      </c>
      <c r="I4576">
        <f>1</f>
        <v>1</v>
      </c>
    </row>
    <row r="4577" spans="2:9" x14ac:dyDescent="0.25">
      <c r="B4577">
        <v>0</v>
      </c>
      <c r="C4577" s="16" t="s">
        <v>13810</v>
      </c>
      <c r="D4577" s="16"/>
      <c r="E4577">
        <v>6</v>
      </c>
      <c r="F4577" t="e">
        <f>-Lamas De tratamento De esgotos</f>
        <v>#NAME?</v>
      </c>
      <c r="G4577">
        <v>1</v>
      </c>
      <c r="H4577">
        <v>0</v>
      </c>
      <c r="I4577">
        <f>1</f>
        <v>1</v>
      </c>
    </row>
    <row r="4578" spans="2:9" x14ac:dyDescent="0.25">
      <c r="B4578">
        <v>0</v>
      </c>
      <c r="C4578" s="16" t="s">
        <v>13811</v>
      </c>
      <c r="D4578" s="16"/>
      <c r="E4578">
        <v>6</v>
      </c>
      <c r="F4578" t="e">
        <f>-Resíduos clínicos</f>
        <v>#NAME?</v>
      </c>
      <c r="G4578">
        <v>1</v>
      </c>
      <c r="H4578">
        <v>0</v>
      </c>
      <c r="I4578">
        <f>1</f>
        <v>1</v>
      </c>
    </row>
    <row r="4579" spans="2:9" x14ac:dyDescent="0.25">
      <c r="B4579">
        <v>0</v>
      </c>
      <c r="C4579" s="16" t="s">
        <v>13812</v>
      </c>
      <c r="D4579" s="16"/>
      <c r="E4579">
        <v>6</v>
      </c>
      <c r="F4579" t="e">
        <f>--Halogenados</f>
        <v>#NAME?</v>
      </c>
      <c r="G4579">
        <v>1</v>
      </c>
      <c r="H4579">
        <v>0</v>
      </c>
      <c r="I4579">
        <f>1</f>
        <v>1</v>
      </c>
    </row>
    <row r="4580" spans="2:9" x14ac:dyDescent="0.25">
      <c r="B4580">
        <v>0</v>
      </c>
      <c r="C4580" s="16" t="s">
        <v>13813</v>
      </c>
      <c r="D4580" s="16"/>
      <c r="E4580">
        <v>6</v>
      </c>
      <c r="F4580" t="e">
        <f>--outros</f>
        <v>#NAME?</v>
      </c>
      <c r="G4580">
        <v>1</v>
      </c>
      <c r="H4580">
        <v>0</v>
      </c>
      <c r="I4580">
        <f>1</f>
        <v>1</v>
      </c>
    </row>
    <row r="4581" spans="2:9" x14ac:dyDescent="0.25">
      <c r="B4581">
        <v>0</v>
      </c>
      <c r="C4581" s="16" t="s">
        <v>13814</v>
      </c>
      <c r="D4581" s="16"/>
      <c r="E4581">
        <v>6</v>
      </c>
      <c r="F4581" t="s">
        <v>6982</v>
      </c>
      <c r="G4581">
        <v>1</v>
      </c>
      <c r="H4581">
        <v>0</v>
      </c>
      <c r="I4581">
        <f>1</f>
        <v>1</v>
      </c>
    </row>
    <row r="4582" spans="2:9" x14ac:dyDescent="0.25">
      <c r="B4582">
        <v>0</v>
      </c>
      <c r="C4582" s="16" t="s">
        <v>13815</v>
      </c>
      <c r="D4582" s="16"/>
      <c r="E4582">
        <v>6</v>
      </c>
      <c r="F4582" t="e">
        <f>--que contenham principalmente constituintes orgânicos</f>
        <v>#NAME?</v>
      </c>
      <c r="G4582">
        <v>1</v>
      </c>
      <c r="H4582">
        <v>0</v>
      </c>
      <c r="I4582">
        <f>1</f>
        <v>1</v>
      </c>
    </row>
    <row r="4583" spans="2:9" x14ac:dyDescent="0.25">
      <c r="B4583">
        <v>0</v>
      </c>
      <c r="C4583" s="16" t="s">
        <v>13816</v>
      </c>
      <c r="D4583" s="16"/>
      <c r="E4583">
        <v>6</v>
      </c>
      <c r="F4583" t="e">
        <f>--outros</f>
        <v>#NAME?</v>
      </c>
      <c r="G4583">
        <v>1</v>
      </c>
      <c r="H4583">
        <v>0</v>
      </c>
      <c r="I4583">
        <f>1</f>
        <v>1</v>
      </c>
    </row>
    <row r="4584" spans="2:9" x14ac:dyDescent="0.25">
      <c r="B4584">
        <v>0</v>
      </c>
      <c r="C4584" s="16" t="s">
        <v>13817</v>
      </c>
      <c r="D4584" s="16"/>
      <c r="E4584">
        <v>6</v>
      </c>
      <c r="F4584" t="e">
        <f>-outros</f>
        <v>#NAME?</v>
      </c>
      <c r="G4584">
        <v>1</v>
      </c>
      <c r="H4584">
        <v>0</v>
      </c>
      <c r="I4584">
        <f>1</f>
        <v>1</v>
      </c>
    </row>
    <row r="4585" spans="2:9" x14ac:dyDescent="0.25">
      <c r="B4585">
        <v>0</v>
      </c>
      <c r="C4585" s="16" t="s">
        <v>13818</v>
      </c>
      <c r="D4585" s="16"/>
      <c r="E4585">
        <v>6</v>
      </c>
      <c r="F4585" t="s">
        <v>6983</v>
      </c>
      <c r="G4585">
        <v>1</v>
      </c>
      <c r="H4585">
        <v>0</v>
      </c>
      <c r="I4585">
        <f>1</f>
        <v>1</v>
      </c>
    </row>
    <row r="4586" spans="2:9" x14ac:dyDescent="0.25">
      <c r="B4586">
        <v>0</v>
      </c>
      <c r="C4586" s="16" t="s">
        <v>13818</v>
      </c>
      <c r="D4586" s="16" t="s">
        <v>19430</v>
      </c>
      <c r="E4586">
        <v>6</v>
      </c>
      <c r="F4586" t="s">
        <v>6984</v>
      </c>
      <c r="G4586">
        <v>1</v>
      </c>
      <c r="H4586">
        <v>0</v>
      </c>
      <c r="I4586">
        <f>1</f>
        <v>1</v>
      </c>
    </row>
    <row r="4587" spans="2:9" x14ac:dyDescent="0.25">
      <c r="B4587">
        <v>0</v>
      </c>
      <c r="C4587" s="16" t="s">
        <v>13819</v>
      </c>
      <c r="D4587" s="16"/>
      <c r="E4587">
        <v>6</v>
      </c>
      <c r="F4587" t="s">
        <v>6985</v>
      </c>
      <c r="G4587">
        <v>1</v>
      </c>
      <c r="H4587">
        <v>1</v>
      </c>
      <c r="I4587">
        <f>1</f>
        <v>1</v>
      </c>
    </row>
    <row r="4588" spans="2:9" x14ac:dyDescent="0.25">
      <c r="B4588">
        <v>0</v>
      </c>
      <c r="C4588" s="16" t="s">
        <v>13820</v>
      </c>
      <c r="D4588" s="16"/>
      <c r="E4588">
        <v>6</v>
      </c>
      <c r="F4588" t="s">
        <v>6986</v>
      </c>
      <c r="G4588">
        <v>1</v>
      </c>
      <c r="H4588">
        <v>1</v>
      </c>
      <c r="I4588">
        <f>1</f>
        <v>1</v>
      </c>
    </row>
    <row r="4589" spans="2:9" x14ac:dyDescent="0.25">
      <c r="B4589">
        <v>0</v>
      </c>
      <c r="C4589" s="16" t="s">
        <v>13821</v>
      </c>
      <c r="D4589" s="16"/>
      <c r="E4589">
        <v>6</v>
      </c>
      <c r="F4589" t="s">
        <v>6987</v>
      </c>
      <c r="G4589">
        <v>1</v>
      </c>
      <c r="H4589">
        <v>1</v>
      </c>
      <c r="I4589">
        <f>1</f>
        <v>1</v>
      </c>
    </row>
    <row r="4590" spans="2:9" x14ac:dyDescent="0.25">
      <c r="B4590">
        <v>0</v>
      </c>
      <c r="C4590" s="16" t="s">
        <v>13822</v>
      </c>
      <c r="D4590" s="16"/>
      <c r="E4590">
        <v>6</v>
      </c>
      <c r="F4590" t="s">
        <v>6988</v>
      </c>
      <c r="G4590">
        <v>1</v>
      </c>
      <c r="H4590">
        <v>1</v>
      </c>
      <c r="I4590">
        <f>1</f>
        <v>1</v>
      </c>
    </row>
    <row r="4591" spans="2:9" x14ac:dyDescent="0.25">
      <c r="B4591">
        <v>0</v>
      </c>
      <c r="C4591" s="16" t="s">
        <v>13823</v>
      </c>
      <c r="D4591" s="16"/>
      <c r="E4591">
        <v>6</v>
      </c>
      <c r="F4591" t="s">
        <v>4680</v>
      </c>
      <c r="G4591">
        <v>1</v>
      </c>
      <c r="H4591">
        <v>1</v>
      </c>
      <c r="I4591">
        <f>1</f>
        <v>1</v>
      </c>
    </row>
    <row r="4592" spans="2:9" x14ac:dyDescent="0.25">
      <c r="B4592">
        <v>0</v>
      </c>
      <c r="C4592" s="16" t="s">
        <v>13824</v>
      </c>
      <c r="D4592" s="16"/>
      <c r="E4592">
        <v>6</v>
      </c>
      <c r="F4592" t="s">
        <v>6988</v>
      </c>
      <c r="G4592">
        <v>1</v>
      </c>
      <c r="H4592">
        <v>1</v>
      </c>
      <c r="I4592">
        <f>1</f>
        <v>1</v>
      </c>
    </row>
    <row r="4593" spans="2:9" x14ac:dyDescent="0.25">
      <c r="B4593">
        <v>0</v>
      </c>
      <c r="C4593" s="16" t="s">
        <v>13825</v>
      </c>
      <c r="D4593" s="16"/>
      <c r="E4593">
        <v>6</v>
      </c>
      <c r="F4593" t="s">
        <v>4680</v>
      </c>
      <c r="G4593">
        <v>1</v>
      </c>
      <c r="H4593">
        <v>1</v>
      </c>
      <c r="I4593">
        <f>1</f>
        <v>1</v>
      </c>
    </row>
    <row r="4594" spans="2:9" x14ac:dyDescent="0.25">
      <c r="B4594">
        <v>0</v>
      </c>
      <c r="C4594" s="16" t="s">
        <v>13826</v>
      </c>
      <c r="D4594" s="16"/>
      <c r="E4594">
        <v>6</v>
      </c>
      <c r="F4594" t="s">
        <v>6989</v>
      </c>
      <c r="G4594">
        <v>1</v>
      </c>
      <c r="H4594">
        <v>1</v>
      </c>
      <c r="I4594">
        <f>1</f>
        <v>1</v>
      </c>
    </row>
    <row r="4595" spans="2:9" x14ac:dyDescent="0.25">
      <c r="B4595">
        <v>0</v>
      </c>
      <c r="C4595" s="16" t="s">
        <v>13827</v>
      </c>
      <c r="D4595" s="16"/>
      <c r="E4595">
        <v>6</v>
      </c>
      <c r="F4595" t="s">
        <v>4680</v>
      </c>
      <c r="G4595">
        <v>1</v>
      </c>
      <c r="H4595">
        <v>1</v>
      </c>
      <c r="I4595">
        <f>1</f>
        <v>1</v>
      </c>
    </row>
    <row r="4596" spans="2:9" x14ac:dyDescent="0.25">
      <c r="B4596">
        <v>0</v>
      </c>
      <c r="C4596" s="16" t="s">
        <v>13828</v>
      </c>
      <c r="D4596" s="16"/>
      <c r="E4596">
        <v>6</v>
      </c>
      <c r="F4596" t="s">
        <v>6990</v>
      </c>
      <c r="G4596">
        <v>1</v>
      </c>
      <c r="H4596">
        <v>1</v>
      </c>
      <c r="I4596">
        <f>1</f>
        <v>1</v>
      </c>
    </row>
    <row r="4597" spans="2:9" x14ac:dyDescent="0.25">
      <c r="B4597">
        <v>0</v>
      </c>
      <c r="C4597" s="16" t="s">
        <v>13829</v>
      </c>
      <c r="D4597" s="16"/>
      <c r="E4597">
        <v>6</v>
      </c>
      <c r="F4597" t="s">
        <v>6991</v>
      </c>
      <c r="G4597">
        <v>1</v>
      </c>
      <c r="H4597">
        <v>1</v>
      </c>
      <c r="I4597">
        <f>1</f>
        <v>1</v>
      </c>
    </row>
    <row r="4598" spans="2:9" x14ac:dyDescent="0.25">
      <c r="B4598">
        <v>0</v>
      </c>
      <c r="C4598" s="16" t="s">
        <v>13830</v>
      </c>
      <c r="D4598" s="16"/>
      <c r="E4598">
        <v>6</v>
      </c>
      <c r="F4598" t="s">
        <v>6992</v>
      </c>
      <c r="G4598">
        <v>1</v>
      </c>
      <c r="H4598">
        <v>1</v>
      </c>
      <c r="I4598">
        <f>1</f>
        <v>1</v>
      </c>
    </row>
    <row r="4599" spans="2:9" x14ac:dyDescent="0.25">
      <c r="B4599">
        <v>0</v>
      </c>
      <c r="C4599" s="16" t="s">
        <v>13831</v>
      </c>
      <c r="D4599" s="16"/>
      <c r="E4599">
        <v>6</v>
      </c>
      <c r="F4599" t="s">
        <v>6993</v>
      </c>
      <c r="G4599">
        <v>1</v>
      </c>
      <c r="H4599">
        <v>1</v>
      </c>
      <c r="I4599">
        <f>1</f>
        <v>1</v>
      </c>
    </row>
    <row r="4600" spans="2:9" x14ac:dyDescent="0.25">
      <c r="B4600">
        <v>0</v>
      </c>
      <c r="C4600" s="16" t="s">
        <v>13832</v>
      </c>
      <c r="D4600" s="16"/>
      <c r="E4600">
        <v>6</v>
      </c>
      <c r="F4600" t="s">
        <v>6994</v>
      </c>
      <c r="G4600">
        <v>1</v>
      </c>
      <c r="H4600">
        <v>1</v>
      </c>
      <c r="I4600">
        <f>1</f>
        <v>1</v>
      </c>
    </row>
    <row r="4601" spans="2:9" x14ac:dyDescent="0.25">
      <c r="B4601">
        <v>0</v>
      </c>
      <c r="C4601" s="16" t="s">
        <v>13833</v>
      </c>
      <c r="D4601" s="16"/>
      <c r="E4601">
        <v>6</v>
      </c>
      <c r="F4601" t="s">
        <v>4680</v>
      </c>
      <c r="G4601">
        <v>1</v>
      </c>
      <c r="H4601">
        <v>1</v>
      </c>
      <c r="I4601">
        <f>1</f>
        <v>1</v>
      </c>
    </row>
    <row r="4602" spans="2:9" x14ac:dyDescent="0.25">
      <c r="B4602">
        <v>0</v>
      </c>
      <c r="C4602" s="16" t="s">
        <v>13834</v>
      </c>
      <c r="D4602" s="16"/>
      <c r="E4602">
        <v>6</v>
      </c>
      <c r="F4602" t="s">
        <v>6986</v>
      </c>
      <c r="G4602">
        <v>1</v>
      </c>
      <c r="H4602">
        <v>1</v>
      </c>
      <c r="I4602">
        <f>1</f>
        <v>1</v>
      </c>
    </row>
    <row r="4603" spans="2:9" x14ac:dyDescent="0.25">
      <c r="B4603">
        <v>0</v>
      </c>
      <c r="C4603" s="16" t="s">
        <v>13835</v>
      </c>
      <c r="D4603" s="16"/>
      <c r="E4603">
        <v>6</v>
      </c>
      <c r="F4603" t="s">
        <v>6987</v>
      </c>
      <c r="G4603">
        <v>1</v>
      </c>
      <c r="H4603">
        <v>1</v>
      </c>
      <c r="I4603">
        <f>1</f>
        <v>1</v>
      </c>
    </row>
    <row r="4604" spans="2:9" x14ac:dyDescent="0.25">
      <c r="B4604">
        <v>0</v>
      </c>
      <c r="C4604" s="16" t="s">
        <v>13836</v>
      </c>
      <c r="D4604" s="16"/>
      <c r="E4604">
        <v>6</v>
      </c>
      <c r="F4604" t="e">
        <f>-Poliisobutileno</f>
        <v>#NAME?</v>
      </c>
      <c r="G4604">
        <v>1</v>
      </c>
      <c r="H4604">
        <v>1</v>
      </c>
      <c r="I4604">
        <f>1</f>
        <v>1</v>
      </c>
    </row>
    <row r="4605" spans="2:9" x14ac:dyDescent="0.25">
      <c r="B4605">
        <v>0</v>
      </c>
      <c r="C4605" s="16" t="s">
        <v>13837</v>
      </c>
      <c r="D4605" s="16"/>
      <c r="E4605">
        <v>6</v>
      </c>
      <c r="F4605" t="e">
        <f>-Copolímeros De propileno</f>
        <v>#NAME?</v>
      </c>
      <c r="G4605">
        <v>1</v>
      </c>
      <c r="H4605">
        <v>1</v>
      </c>
      <c r="I4605">
        <f>1</f>
        <v>1</v>
      </c>
    </row>
    <row r="4606" spans="2:9" x14ac:dyDescent="0.25">
      <c r="B4606">
        <v>0</v>
      </c>
      <c r="C4606" s="16" t="s">
        <v>13838</v>
      </c>
      <c r="D4606" s="16"/>
      <c r="E4606">
        <v>6</v>
      </c>
      <c r="F4606" t="e">
        <f>-outros</f>
        <v>#NAME?</v>
      </c>
      <c r="G4606">
        <v>1</v>
      </c>
      <c r="H4606">
        <v>1</v>
      </c>
      <c r="I4606">
        <f>1</f>
        <v>1</v>
      </c>
    </row>
    <row r="4607" spans="2:9" x14ac:dyDescent="0.25">
      <c r="B4607">
        <v>0</v>
      </c>
      <c r="C4607" s="16" t="s">
        <v>13839</v>
      </c>
      <c r="D4607" s="16"/>
      <c r="E4607">
        <v>6</v>
      </c>
      <c r="F4607" t="s">
        <v>6986</v>
      </c>
      <c r="G4607">
        <v>1</v>
      </c>
      <c r="H4607">
        <v>1</v>
      </c>
      <c r="I4607">
        <f>1</f>
        <v>1</v>
      </c>
    </row>
    <row r="4608" spans="2:9" x14ac:dyDescent="0.25">
      <c r="B4608">
        <v>0</v>
      </c>
      <c r="C4608" s="16" t="s">
        <v>13840</v>
      </c>
      <c r="D4608" s="16"/>
      <c r="E4608">
        <v>6</v>
      </c>
      <c r="F4608" t="s">
        <v>6987</v>
      </c>
      <c r="G4608">
        <v>1</v>
      </c>
      <c r="H4608">
        <v>1</v>
      </c>
      <c r="I4608">
        <f>1</f>
        <v>1</v>
      </c>
    </row>
    <row r="4609" spans="2:9" x14ac:dyDescent="0.25">
      <c r="B4609">
        <v>0</v>
      </c>
      <c r="C4609" s="16" t="s">
        <v>13841</v>
      </c>
      <c r="D4609" s="16"/>
      <c r="E4609">
        <v>6</v>
      </c>
      <c r="F4609" t="e">
        <f>--outros</f>
        <v>#NAME?</v>
      </c>
      <c r="G4609">
        <v>1</v>
      </c>
      <c r="H4609">
        <v>1</v>
      </c>
      <c r="I4609">
        <f>1</f>
        <v>1</v>
      </c>
    </row>
    <row r="4610" spans="2:9" x14ac:dyDescent="0.25">
      <c r="B4610">
        <v>0</v>
      </c>
      <c r="C4610" s="16" t="s">
        <v>13842</v>
      </c>
      <c r="D4610" s="16"/>
      <c r="E4610">
        <v>6</v>
      </c>
      <c r="F4610" t="e">
        <f>-Copolímeros De Estireno-Acrilonitrila  SAN</f>
        <v>#NAME?</v>
      </c>
      <c r="G4610">
        <v>1</v>
      </c>
      <c r="H4610">
        <v>1</v>
      </c>
      <c r="I4610">
        <f>1</f>
        <v>1</v>
      </c>
    </row>
    <row r="4611" spans="2:9" x14ac:dyDescent="0.25">
      <c r="B4611">
        <v>0</v>
      </c>
      <c r="C4611" s="16" t="s">
        <v>13843</v>
      </c>
      <c r="D4611" s="16"/>
      <c r="E4611">
        <v>6</v>
      </c>
      <c r="F4611" t="s">
        <v>6986</v>
      </c>
      <c r="G4611">
        <v>1</v>
      </c>
      <c r="H4611">
        <v>1</v>
      </c>
      <c r="I4611">
        <f>1</f>
        <v>1</v>
      </c>
    </row>
    <row r="4612" spans="2:9" x14ac:dyDescent="0.25">
      <c r="B4612">
        <v>0</v>
      </c>
      <c r="C4612" s="16" t="s">
        <v>13844</v>
      </c>
      <c r="D4612" s="16"/>
      <c r="E4612">
        <v>6</v>
      </c>
      <c r="F4612" t="s">
        <v>6987</v>
      </c>
      <c r="G4612">
        <v>1</v>
      </c>
      <c r="H4612">
        <v>1</v>
      </c>
      <c r="I4612">
        <f>1</f>
        <v>1</v>
      </c>
    </row>
    <row r="4613" spans="2:9" x14ac:dyDescent="0.25">
      <c r="B4613">
        <v>0</v>
      </c>
      <c r="C4613" s="16" t="s">
        <v>13845</v>
      </c>
      <c r="D4613" s="16"/>
      <c r="E4613">
        <v>6</v>
      </c>
      <c r="F4613" t="s">
        <v>6995</v>
      </c>
      <c r="G4613">
        <v>1</v>
      </c>
      <c r="H4613">
        <v>1</v>
      </c>
      <c r="I4613">
        <f>1</f>
        <v>1</v>
      </c>
    </row>
    <row r="4614" spans="2:9" x14ac:dyDescent="0.25">
      <c r="B4614">
        <v>0</v>
      </c>
      <c r="C4614" s="16" t="s">
        <v>13846</v>
      </c>
      <c r="D4614" s="16"/>
      <c r="E4614">
        <v>6</v>
      </c>
      <c r="F4614" t="s">
        <v>6996</v>
      </c>
      <c r="G4614">
        <v>1</v>
      </c>
      <c r="H4614">
        <v>1</v>
      </c>
      <c r="I4614">
        <f>1</f>
        <v>1</v>
      </c>
    </row>
    <row r="4615" spans="2:9" x14ac:dyDescent="0.25">
      <c r="B4615">
        <v>0</v>
      </c>
      <c r="C4615" s="16" t="s">
        <v>13847</v>
      </c>
      <c r="D4615" s="16"/>
      <c r="E4615">
        <v>6</v>
      </c>
      <c r="F4615" t="s">
        <v>4680</v>
      </c>
      <c r="G4615">
        <v>1</v>
      </c>
      <c r="H4615">
        <v>1</v>
      </c>
      <c r="I4615">
        <f>1</f>
        <v>1</v>
      </c>
    </row>
    <row r="4616" spans="2:9" x14ac:dyDescent="0.25">
      <c r="B4616">
        <v>0</v>
      </c>
      <c r="C4616" s="16" t="s">
        <v>13848</v>
      </c>
      <c r="D4616" s="16"/>
      <c r="E4616">
        <v>6</v>
      </c>
      <c r="F4616" t="s">
        <v>6997</v>
      </c>
      <c r="G4616">
        <v>1</v>
      </c>
      <c r="H4616">
        <v>1</v>
      </c>
      <c r="I4616">
        <f>1</f>
        <v>1</v>
      </c>
    </row>
    <row r="4617" spans="2:9" x14ac:dyDescent="0.25">
      <c r="B4617">
        <v>0</v>
      </c>
      <c r="C4617" s="16" t="s">
        <v>13849</v>
      </c>
      <c r="D4617" s="16"/>
      <c r="E4617">
        <v>6</v>
      </c>
      <c r="F4617" t="s">
        <v>6998</v>
      </c>
      <c r="G4617">
        <v>1</v>
      </c>
      <c r="H4617">
        <v>1</v>
      </c>
      <c r="I4617">
        <f>1</f>
        <v>1</v>
      </c>
    </row>
    <row r="4618" spans="2:9" x14ac:dyDescent="0.25">
      <c r="B4618">
        <v>0</v>
      </c>
      <c r="C4618" s="16" t="s">
        <v>13850</v>
      </c>
      <c r="D4618" s="16"/>
      <c r="E4618">
        <v>6</v>
      </c>
      <c r="F4618" t="s">
        <v>4680</v>
      </c>
      <c r="G4618">
        <v>1</v>
      </c>
      <c r="H4618">
        <v>1</v>
      </c>
      <c r="I4618">
        <f>1</f>
        <v>1</v>
      </c>
    </row>
    <row r="4619" spans="2:9" x14ac:dyDescent="0.25">
      <c r="B4619">
        <v>0</v>
      </c>
      <c r="C4619" s="16" t="s">
        <v>13851</v>
      </c>
      <c r="D4619" s="16"/>
      <c r="E4619">
        <v>6</v>
      </c>
      <c r="F4619" t="e">
        <f>--Não plastificado</f>
        <v>#NAME?</v>
      </c>
      <c r="G4619">
        <v>1</v>
      </c>
      <c r="H4619">
        <v>1</v>
      </c>
      <c r="I4619">
        <f>1</f>
        <v>1</v>
      </c>
    </row>
    <row r="4620" spans="2:9" x14ac:dyDescent="0.25">
      <c r="B4620">
        <v>0</v>
      </c>
      <c r="C4620" s="16" t="s">
        <v>13852</v>
      </c>
      <c r="D4620" s="16"/>
      <c r="E4620">
        <v>6</v>
      </c>
      <c r="F4620" t="e">
        <f>--plastificado</f>
        <v>#NAME?</v>
      </c>
      <c r="G4620">
        <v>1</v>
      </c>
      <c r="H4620">
        <v>1</v>
      </c>
      <c r="I4620">
        <f>1</f>
        <v>1</v>
      </c>
    </row>
    <row r="4621" spans="2:9" x14ac:dyDescent="0.25">
      <c r="B4621">
        <v>0</v>
      </c>
      <c r="C4621" s="16" t="s">
        <v>13853</v>
      </c>
      <c r="D4621" s="16"/>
      <c r="E4621">
        <v>6</v>
      </c>
      <c r="F4621" t="e">
        <f>-Copolímeros De Cloreto De vinila e Acetato De vinila</f>
        <v>#NAME?</v>
      </c>
      <c r="G4621">
        <v>1</v>
      </c>
      <c r="H4621">
        <v>1</v>
      </c>
      <c r="I4621">
        <f>1</f>
        <v>1</v>
      </c>
    </row>
    <row r="4622" spans="2:9" x14ac:dyDescent="0.25">
      <c r="B4622">
        <v>0</v>
      </c>
      <c r="C4622" s="16" t="s">
        <v>13854</v>
      </c>
      <c r="D4622" s="16"/>
      <c r="E4622">
        <v>6</v>
      </c>
      <c r="F4622" t="s">
        <v>6999</v>
      </c>
      <c r="G4622">
        <v>1</v>
      </c>
      <c r="H4622">
        <v>1</v>
      </c>
      <c r="I4622">
        <f>1</f>
        <v>1</v>
      </c>
    </row>
    <row r="4623" spans="2:9" x14ac:dyDescent="0.25">
      <c r="B4623">
        <v>0</v>
      </c>
      <c r="C4623" s="16" t="s">
        <v>13855</v>
      </c>
      <c r="D4623" s="16"/>
      <c r="E4623">
        <v>6</v>
      </c>
      <c r="F4623" t="s">
        <v>4680</v>
      </c>
      <c r="G4623">
        <v>1</v>
      </c>
      <c r="H4623">
        <v>1</v>
      </c>
      <c r="I4623">
        <f>1</f>
        <v>1</v>
      </c>
    </row>
    <row r="4624" spans="2:9" x14ac:dyDescent="0.25">
      <c r="B4624">
        <v>0</v>
      </c>
      <c r="C4624" s="16" t="s">
        <v>13856</v>
      </c>
      <c r="D4624" s="16"/>
      <c r="E4624">
        <v>6</v>
      </c>
      <c r="F4624" t="s">
        <v>7000</v>
      </c>
      <c r="G4624">
        <v>1</v>
      </c>
      <c r="H4624">
        <v>1</v>
      </c>
      <c r="I4624">
        <f>1</f>
        <v>1</v>
      </c>
    </row>
    <row r="4625" spans="2:9" x14ac:dyDescent="0.25">
      <c r="B4625">
        <v>0</v>
      </c>
      <c r="C4625" s="16" t="s">
        <v>13857</v>
      </c>
      <c r="D4625" s="16"/>
      <c r="E4625">
        <v>6</v>
      </c>
      <c r="F4625" t="s">
        <v>4680</v>
      </c>
      <c r="G4625">
        <v>1</v>
      </c>
      <c r="H4625">
        <v>1</v>
      </c>
      <c r="I4625">
        <f>1</f>
        <v>1</v>
      </c>
    </row>
    <row r="4626" spans="2:9" x14ac:dyDescent="0.25">
      <c r="B4626">
        <v>0</v>
      </c>
      <c r="C4626" s="16" t="s">
        <v>13858</v>
      </c>
      <c r="D4626" s="16"/>
      <c r="E4626">
        <v>6</v>
      </c>
      <c r="F4626" t="s">
        <v>6989</v>
      </c>
      <c r="G4626">
        <v>1</v>
      </c>
      <c r="H4626">
        <v>1</v>
      </c>
      <c r="I4626">
        <f>1</f>
        <v>1</v>
      </c>
    </row>
    <row r="4627" spans="2:9" x14ac:dyDescent="0.25">
      <c r="B4627">
        <v>0</v>
      </c>
      <c r="C4627" s="16" t="s">
        <v>13859</v>
      </c>
      <c r="D4627" s="16"/>
      <c r="E4627">
        <v>6</v>
      </c>
      <c r="F4627" t="s">
        <v>4680</v>
      </c>
      <c r="G4627">
        <v>1</v>
      </c>
      <c r="H4627">
        <v>1</v>
      </c>
      <c r="I4627">
        <f>1</f>
        <v>1</v>
      </c>
    </row>
    <row r="4628" spans="2:9" x14ac:dyDescent="0.25">
      <c r="B4628">
        <v>0</v>
      </c>
      <c r="C4628" s="16" t="s">
        <v>13860</v>
      </c>
      <c r="D4628" s="16"/>
      <c r="E4628">
        <v>6</v>
      </c>
      <c r="F4628" t="s">
        <v>7001</v>
      </c>
      <c r="G4628">
        <v>1</v>
      </c>
      <c r="H4628">
        <v>1</v>
      </c>
      <c r="I4628">
        <f>1</f>
        <v>1</v>
      </c>
    </row>
    <row r="4629" spans="2:9" x14ac:dyDescent="0.25">
      <c r="B4629">
        <v>0</v>
      </c>
      <c r="C4629" s="16" t="s">
        <v>13861</v>
      </c>
      <c r="D4629" s="16"/>
      <c r="E4629">
        <v>6</v>
      </c>
      <c r="F4629" t="s">
        <v>4680</v>
      </c>
      <c r="G4629">
        <v>1</v>
      </c>
      <c r="H4629">
        <v>1</v>
      </c>
      <c r="I4629">
        <f>1</f>
        <v>1</v>
      </c>
    </row>
    <row r="4630" spans="2:9" x14ac:dyDescent="0.25">
      <c r="B4630">
        <v>0</v>
      </c>
      <c r="C4630" s="16" t="s">
        <v>13862</v>
      </c>
      <c r="D4630" s="16"/>
      <c r="E4630">
        <v>6</v>
      </c>
      <c r="F4630" t="e">
        <f>-outros</f>
        <v>#NAME?</v>
      </c>
      <c r="G4630">
        <v>1</v>
      </c>
      <c r="H4630">
        <v>1</v>
      </c>
      <c r="I4630">
        <f>1</f>
        <v>1</v>
      </c>
    </row>
    <row r="4631" spans="2:9" x14ac:dyDescent="0.25">
      <c r="B4631">
        <v>0</v>
      </c>
      <c r="C4631" s="16" t="s">
        <v>13863</v>
      </c>
      <c r="D4631" s="16"/>
      <c r="E4631">
        <v>6</v>
      </c>
      <c r="F4631" t="e">
        <f>--em dispersão aquosa</f>
        <v>#NAME?</v>
      </c>
      <c r="G4631">
        <v>1</v>
      </c>
      <c r="H4631">
        <v>1</v>
      </c>
      <c r="I4631">
        <f>1</f>
        <v>1</v>
      </c>
    </row>
    <row r="4632" spans="2:9" x14ac:dyDescent="0.25">
      <c r="B4632">
        <v>0</v>
      </c>
      <c r="C4632" s="16" t="s">
        <v>13864</v>
      </c>
      <c r="D4632" s="16"/>
      <c r="E4632">
        <v>6</v>
      </c>
      <c r="F4632" t="s">
        <v>7002</v>
      </c>
      <c r="G4632">
        <v>1</v>
      </c>
      <c r="H4632">
        <v>1</v>
      </c>
      <c r="I4632">
        <f>1</f>
        <v>1</v>
      </c>
    </row>
    <row r="4633" spans="2:9" x14ac:dyDescent="0.25">
      <c r="B4633">
        <v>0</v>
      </c>
      <c r="C4633" s="16" t="s">
        <v>13865</v>
      </c>
      <c r="D4633" s="16"/>
      <c r="E4633">
        <v>6</v>
      </c>
      <c r="F4633" t="s">
        <v>4680</v>
      </c>
      <c r="G4633">
        <v>1</v>
      </c>
      <c r="H4633">
        <v>1</v>
      </c>
      <c r="I4633">
        <f>1</f>
        <v>1</v>
      </c>
    </row>
    <row r="4634" spans="2:9" x14ac:dyDescent="0.25">
      <c r="B4634">
        <v>0</v>
      </c>
      <c r="C4634" s="16" t="s">
        <v>13866</v>
      </c>
      <c r="D4634" s="16"/>
      <c r="E4634">
        <v>6</v>
      </c>
      <c r="F4634" t="e">
        <f>--em dispersão aquosa</f>
        <v>#NAME?</v>
      </c>
      <c r="G4634">
        <v>1</v>
      </c>
      <c r="H4634">
        <v>1</v>
      </c>
      <c r="I4634">
        <f>1</f>
        <v>1</v>
      </c>
    </row>
    <row r="4635" spans="2:9" x14ac:dyDescent="0.25">
      <c r="B4635">
        <v>0</v>
      </c>
      <c r="C4635" s="16" t="s">
        <v>13867</v>
      </c>
      <c r="D4635" s="16"/>
      <c r="E4635">
        <v>6</v>
      </c>
      <c r="F4635" t="e">
        <f>--outros</f>
        <v>#NAME?</v>
      </c>
      <c r="G4635">
        <v>1</v>
      </c>
      <c r="H4635">
        <v>1</v>
      </c>
      <c r="I4635">
        <f>1</f>
        <v>1</v>
      </c>
    </row>
    <row r="4636" spans="2:9" x14ac:dyDescent="0.25">
      <c r="B4636">
        <v>0</v>
      </c>
      <c r="C4636" s="16" t="s">
        <v>13868</v>
      </c>
      <c r="D4636" s="16"/>
      <c r="E4636">
        <v>6</v>
      </c>
      <c r="F4636" t="s">
        <v>7003</v>
      </c>
      <c r="G4636">
        <v>1</v>
      </c>
      <c r="H4636">
        <v>1</v>
      </c>
      <c r="I4636">
        <f>1</f>
        <v>1</v>
      </c>
    </row>
    <row r="4637" spans="2:9" x14ac:dyDescent="0.25">
      <c r="B4637">
        <v>0</v>
      </c>
      <c r="C4637" s="16" t="s">
        <v>13869</v>
      </c>
      <c r="D4637" s="16"/>
      <c r="E4637">
        <v>6</v>
      </c>
      <c r="F4637" t="s">
        <v>7004</v>
      </c>
      <c r="G4637">
        <v>1</v>
      </c>
      <c r="H4637">
        <v>1</v>
      </c>
      <c r="I4637">
        <f>1</f>
        <v>1</v>
      </c>
    </row>
    <row r="4638" spans="2:9" x14ac:dyDescent="0.25">
      <c r="B4638">
        <v>0</v>
      </c>
      <c r="C4638" s="16" t="s">
        <v>13870</v>
      </c>
      <c r="D4638" s="16"/>
      <c r="E4638">
        <v>6</v>
      </c>
      <c r="F4638" t="s">
        <v>4680</v>
      </c>
      <c r="G4638">
        <v>1</v>
      </c>
      <c r="H4638">
        <v>1</v>
      </c>
      <c r="I4638">
        <f>1</f>
        <v>1</v>
      </c>
    </row>
    <row r="4639" spans="2:9" x14ac:dyDescent="0.25">
      <c r="B4639">
        <v>0</v>
      </c>
      <c r="C4639" s="16" t="s">
        <v>13871</v>
      </c>
      <c r="D4639" s="16"/>
      <c r="E4639">
        <v>6</v>
      </c>
      <c r="F4639" t="s">
        <v>7005</v>
      </c>
      <c r="G4639">
        <v>1</v>
      </c>
      <c r="H4639">
        <v>1</v>
      </c>
      <c r="I4639">
        <f>1</f>
        <v>1</v>
      </c>
    </row>
    <row r="4640" spans="2:9" x14ac:dyDescent="0.25">
      <c r="B4640">
        <v>0</v>
      </c>
      <c r="C4640" s="16" t="s">
        <v>13872</v>
      </c>
      <c r="D4640" s="16"/>
      <c r="E4640">
        <v>6</v>
      </c>
      <c r="F4640" t="s">
        <v>7006</v>
      </c>
      <c r="G4640">
        <v>1</v>
      </c>
      <c r="H4640">
        <v>1</v>
      </c>
      <c r="I4640">
        <f>1</f>
        <v>1</v>
      </c>
    </row>
    <row r="4641" spans="2:9" x14ac:dyDescent="0.25">
      <c r="B4641">
        <v>0</v>
      </c>
      <c r="C4641" s="16" t="s">
        <v>13873</v>
      </c>
      <c r="D4641" s="16"/>
      <c r="E4641">
        <v>6</v>
      </c>
      <c r="F4641" t="s">
        <v>7007</v>
      </c>
      <c r="G4641">
        <v>1</v>
      </c>
      <c r="H4641">
        <v>1</v>
      </c>
      <c r="I4641">
        <f>1</f>
        <v>1</v>
      </c>
    </row>
    <row r="4642" spans="2:9" x14ac:dyDescent="0.25">
      <c r="B4642">
        <v>0</v>
      </c>
      <c r="C4642" s="16" t="s">
        <v>13874</v>
      </c>
      <c r="D4642" s="16"/>
      <c r="E4642">
        <v>6</v>
      </c>
      <c r="F4642" t="s">
        <v>4680</v>
      </c>
      <c r="G4642">
        <v>1</v>
      </c>
      <c r="H4642">
        <v>1</v>
      </c>
      <c r="I4642">
        <f>1</f>
        <v>1</v>
      </c>
    </row>
    <row r="4643" spans="2:9" x14ac:dyDescent="0.25">
      <c r="B4643">
        <v>0</v>
      </c>
      <c r="C4643" s="16" t="s">
        <v>13875</v>
      </c>
      <c r="D4643" s="16"/>
      <c r="E4643">
        <v>6</v>
      </c>
      <c r="F4643" t="e">
        <f>-Poli metacrilato De metila</f>
        <v>#NAME?</v>
      </c>
      <c r="G4643">
        <v>1</v>
      </c>
      <c r="H4643">
        <v>1</v>
      </c>
      <c r="I4643">
        <f>1</f>
        <v>1</v>
      </c>
    </row>
    <row r="4644" spans="2:9" x14ac:dyDescent="0.25">
      <c r="B4644">
        <v>0</v>
      </c>
      <c r="C4644" s="16" t="s">
        <v>13875</v>
      </c>
      <c r="D4644" s="16" t="s">
        <v>19430</v>
      </c>
      <c r="E4644">
        <v>6</v>
      </c>
      <c r="F4644" t="s">
        <v>7008</v>
      </c>
      <c r="G4644">
        <v>1</v>
      </c>
      <c r="H4644">
        <v>1</v>
      </c>
      <c r="I4644">
        <f>1</f>
        <v>1</v>
      </c>
    </row>
    <row r="4645" spans="2:9" x14ac:dyDescent="0.25">
      <c r="B4645">
        <v>0</v>
      </c>
      <c r="C4645" s="16" t="s">
        <v>13876</v>
      </c>
      <c r="D4645" s="16"/>
      <c r="E4645">
        <v>6</v>
      </c>
      <c r="F4645" t="s">
        <v>7009</v>
      </c>
      <c r="G4645">
        <v>1</v>
      </c>
      <c r="H4645">
        <v>1</v>
      </c>
      <c r="I4645">
        <f>1</f>
        <v>1</v>
      </c>
    </row>
    <row r="4646" spans="2:9" x14ac:dyDescent="0.25">
      <c r="B4646">
        <v>0</v>
      </c>
      <c r="C4646" s="16" t="s">
        <v>13877</v>
      </c>
      <c r="D4646" s="16"/>
      <c r="E4646">
        <v>6</v>
      </c>
      <c r="F4646" t="s">
        <v>7010</v>
      </c>
      <c r="G4646">
        <v>1</v>
      </c>
      <c r="H4646">
        <v>1</v>
      </c>
      <c r="I4646">
        <f>1</f>
        <v>1</v>
      </c>
    </row>
    <row r="4647" spans="2:9" x14ac:dyDescent="0.25">
      <c r="B4647">
        <v>0</v>
      </c>
      <c r="C4647" s="16" t="s">
        <v>13878</v>
      </c>
      <c r="D4647" s="16"/>
      <c r="E4647">
        <v>6</v>
      </c>
      <c r="F4647" t="s">
        <v>4680</v>
      </c>
      <c r="G4647">
        <v>1</v>
      </c>
      <c r="H4647">
        <v>1</v>
      </c>
      <c r="I4647">
        <f>1</f>
        <v>1</v>
      </c>
    </row>
    <row r="4648" spans="2:9" x14ac:dyDescent="0.25">
      <c r="B4648">
        <v>0</v>
      </c>
      <c r="C4648" s="16" t="s">
        <v>13879</v>
      </c>
      <c r="D4648" s="16"/>
      <c r="E4648">
        <v>6</v>
      </c>
      <c r="F4648" t="s">
        <v>7009</v>
      </c>
      <c r="G4648">
        <v>1</v>
      </c>
      <c r="H4648">
        <v>1</v>
      </c>
      <c r="I4648">
        <f>1</f>
        <v>1</v>
      </c>
    </row>
    <row r="4649" spans="2:9" x14ac:dyDescent="0.25">
      <c r="B4649">
        <v>0</v>
      </c>
      <c r="C4649" s="16" t="s">
        <v>13880</v>
      </c>
      <c r="D4649" s="16"/>
      <c r="E4649">
        <v>6</v>
      </c>
      <c r="F4649" t="s">
        <v>7011</v>
      </c>
      <c r="G4649">
        <v>1</v>
      </c>
      <c r="H4649">
        <v>1</v>
      </c>
      <c r="I4649">
        <f>1</f>
        <v>1</v>
      </c>
    </row>
    <row r="4650" spans="2:9" x14ac:dyDescent="0.25">
      <c r="B4650">
        <v>0</v>
      </c>
      <c r="C4650" s="16" t="s">
        <v>13881</v>
      </c>
      <c r="D4650" s="16"/>
      <c r="E4650">
        <v>6</v>
      </c>
      <c r="F4650" t="s">
        <v>4680</v>
      </c>
      <c r="G4650">
        <v>1</v>
      </c>
      <c r="H4650">
        <v>1</v>
      </c>
      <c r="I4650">
        <f>1</f>
        <v>1</v>
      </c>
    </row>
    <row r="4651" spans="2:9" x14ac:dyDescent="0.25">
      <c r="B4651">
        <v>0</v>
      </c>
      <c r="C4651" s="16" t="s">
        <v>13882</v>
      </c>
      <c r="D4651" s="16"/>
      <c r="E4651">
        <v>6</v>
      </c>
      <c r="F4651" t="s">
        <v>7009</v>
      </c>
      <c r="G4651">
        <v>1</v>
      </c>
      <c r="H4651">
        <v>1</v>
      </c>
      <c r="I4651">
        <f>1</f>
        <v>1</v>
      </c>
    </row>
    <row r="4652" spans="2:9" x14ac:dyDescent="0.25">
      <c r="B4652">
        <v>0</v>
      </c>
      <c r="C4652" s="16" t="s">
        <v>13883</v>
      </c>
      <c r="D4652" s="16"/>
      <c r="E4652">
        <v>6</v>
      </c>
      <c r="F4652" t="s">
        <v>7010</v>
      </c>
      <c r="G4652">
        <v>1</v>
      </c>
      <c r="H4652">
        <v>1</v>
      </c>
      <c r="I4652">
        <f>1</f>
        <v>1</v>
      </c>
    </row>
    <row r="4653" spans="2:9" x14ac:dyDescent="0.25">
      <c r="B4653">
        <v>0</v>
      </c>
      <c r="C4653" s="16" t="s">
        <v>13884</v>
      </c>
      <c r="D4653" s="16"/>
      <c r="E4653">
        <v>6</v>
      </c>
      <c r="F4653" t="s">
        <v>4680</v>
      </c>
      <c r="G4653">
        <v>1</v>
      </c>
      <c r="H4653">
        <v>1</v>
      </c>
      <c r="I4653">
        <f>1</f>
        <v>1</v>
      </c>
    </row>
    <row r="4654" spans="2:9" x14ac:dyDescent="0.25">
      <c r="B4654">
        <v>0</v>
      </c>
      <c r="C4654" s="16" t="s">
        <v>13885</v>
      </c>
      <c r="D4654" s="16"/>
      <c r="E4654">
        <v>6</v>
      </c>
      <c r="F4654" t="s">
        <v>7009</v>
      </c>
      <c r="G4654">
        <v>1</v>
      </c>
      <c r="H4654">
        <v>1</v>
      </c>
      <c r="I4654">
        <f>1</f>
        <v>1</v>
      </c>
    </row>
    <row r="4655" spans="2:9" x14ac:dyDescent="0.25">
      <c r="B4655">
        <v>0</v>
      </c>
      <c r="C4655" s="16" t="s">
        <v>13885</v>
      </c>
      <c r="D4655" s="16" t="s">
        <v>19430</v>
      </c>
      <c r="E4655">
        <v>6</v>
      </c>
      <c r="F4655" t="s">
        <v>7012</v>
      </c>
      <c r="G4655">
        <v>1</v>
      </c>
      <c r="H4655">
        <v>1</v>
      </c>
      <c r="I4655">
        <f>1</f>
        <v>1</v>
      </c>
    </row>
    <row r="4656" spans="2:9" x14ac:dyDescent="0.25">
      <c r="B4656">
        <v>0</v>
      </c>
      <c r="C4656" s="16" t="s">
        <v>13886</v>
      </c>
      <c r="D4656" s="16"/>
      <c r="E4656">
        <v>6</v>
      </c>
      <c r="F4656" t="s">
        <v>7010</v>
      </c>
      <c r="G4656">
        <v>1</v>
      </c>
      <c r="H4656">
        <v>1</v>
      </c>
      <c r="I4656">
        <f>1</f>
        <v>1</v>
      </c>
    </row>
    <row r="4657" spans="2:9" x14ac:dyDescent="0.25">
      <c r="B4657">
        <v>0</v>
      </c>
      <c r="C4657" s="16" t="s">
        <v>13887</v>
      </c>
      <c r="D4657" s="16"/>
      <c r="E4657">
        <v>6</v>
      </c>
      <c r="F4657" t="s">
        <v>7013</v>
      </c>
      <c r="G4657">
        <v>1</v>
      </c>
      <c r="H4657">
        <v>1</v>
      </c>
      <c r="I4657">
        <f>1</f>
        <v>1</v>
      </c>
    </row>
    <row r="4658" spans="2:9" x14ac:dyDescent="0.25">
      <c r="B4658">
        <v>0</v>
      </c>
      <c r="C4658" s="16" t="s">
        <v>13888</v>
      </c>
      <c r="D4658" s="16"/>
      <c r="E4658">
        <v>6</v>
      </c>
      <c r="F4658" t="s">
        <v>7014</v>
      </c>
      <c r="G4658">
        <v>1</v>
      </c>
      <c r="H4658">
        <v>1</v>
      </c>
      <c r="I4658">
        <f>1</f>
        <v>1</v>
      </c>
    </row>
    <row r="4659" spans="2:9" x14ac:dyDescent="0.25">
      <c r="B4659">
        <v>0</v>
      </c>
      <c r="C4659" s="16" t="s">
        <v>13889</v>
      </c>
      <c r="D4659" s="16"/>
      <c r="E4659">
        <v>6</v>
      </c>
      <c r="F4659" t="s">
        <v>7015</v>
      </c>
      <c r="G4659">
        <v>1</v>
      </c>
      <c r="H4659">
        <v>1</v>
      </c>
      <c r="I4659">
        <f>1</f>
        <v>1</v>
      </c>
    </row>
    <row r="4660" spans="2:9" x14ac:dyDescent="0.25">
      <c r="B4660">
        <v>0</v>
      </c>
      <c r="C4660" s="16" t="s">
        <v>13890</v>
      </c>
      <c r="D4660" s="16"/>
      <c r="E4660">
        <v>6</v>
      </c>
      <c r="F4660" t="s">
        <v>7016</v>
      </c>
      <c r="G4660">
        <v>1</v>
      </c>
      <c r="H4660">
        <v>1</v>
      </c>
      <c r="I4660">
        <f>1</f>
        <v>1</v>
      </c>
    </row>
    <row r="4661" spans="2:9" x14ac:dyDescent="0.25">
      <c r="B4661">
        <v>0</v>
      </c>
      <c r="C4661" s="16" t="s">
        <v>13891</v>
      </c>
      <c r="D4661" s="16"/>
      <c r="E4661">
        <v>6</v>
      </c>
      <c r="F4661" t="s">
        <v>7017</v>
      </c>
      <c r="G4661">
        <v>1</v>
      </c>
      <c r="H4661">
        <v>1</v>
      </c>
      <c r="I4661">
        <f>1</f>
        <v>1</v>
      </c>
    </row>
    <row r="4662" spans="2:9" x14ac:dyDescent="0.25">
      <c r="B4662">
        <v>0</v>
      </c>
      <c r="C4662" s="16" t="s">
        <v>13892</v>
      </c>
      <c r="D4662" s="16"/>
      <c r="E4662">
        <v>6</v>
      </c>
      <c r="F4662" t="s">
        <v>4680</v>
      </c>
      <c r="G4662">
        <v>1</v>
      </c>
      <c r="H4662">
        <v>1</v>
      </c>
      <c r="I4662">
        <f>1</f>
        <v>1</v>
      </c>
    </row>
    <row r="4663" spans="2:9" x14ac:dyDescent="0.25">
      <c r="B4663">
        <v>0</v>
      </c>
      <c r="C4663" s="16" t="s">
        <v>13892</v>
      </c>
      <c r="D4663" s="16" t="s">
        <v>19430</v>
      </c>
      <c r="E4663">
        <v>6</v>
      </c>
      <c r="F4663" t="s">
        <v>7012</v>
      </c>
      <c r="G4663">
        <v>1</v>
      </c>
      <c r="H4663">
        <v>1</v>
      </c>
      <c r="I4663">
        <f>1</f>
        <v>1</v>
      </c>
    </row>
    <row r="4664" spans="2:9" x14ac:dyDescent="0.25">
      <c r="B4664">
        <v>0</v>
      </c>
      <c r="C4664" s="16" t="s">
        <v>13893</v>
      </c>
      <c r="D4664" s="16"/>
      <c r="E4664">
        <v>6</v>
      </c>
      <c r="F4664" t="s">
        <v>7018</v>
      </c>
      <c r="G4664">
        <v>1</v>
      </c>
      <c r="H4664">
        <v>1</v>
      </c>
      <c r="I4664">
        <f>1</f>
        <v>1</v>
      </c>
    </row>
    <row r="4665" spans="2:9" x14ac:dyDescent="0.25">
      <c r="B4665">
        <v>0</v>
      </c>
      <c r="C4665" s="16" t="s">
        <v>13894</v>
      </c>
      <c r="D4665" s="16"/>
      <c r="E4665">
        <v>6</v>
      </c>
      <c r="F4665" t="s">
        <v>7019</v>
      </c>
      <c r="G4665">
        <v>1</v>
      </c>
      <c r="H4665">
        <v>1</v>
      </c>
      <c r="I4665">
        <f>1</f>
        <v>1</v>
      </c>
    </row>
    <row r="4666" spans="2:9" x14ac:dyDescent="0.25">
      <c r="B4666">
        <v>0</v>
      </c>
      <c r="C4666" s="16" t="s">
        <v>13895</v>
      </c>
      <c r="D4666" s="16"/>
      <c r="E4666">
        <v>6</v>
      </c>
      <c r="F4666" t="s">
        <v>7020</v>
      </c>
      <c r="G4666">
        <v>1</v>
      </c>
      <c r="H4666">
        <v>1</v>
      </c>
      <c r="I4666">
        <f>1</f>
        <v>1</v>
      </c>
    </row>
    <row r="4667" spans="2:9" x14ac:dyDescent="0.25">
      <c r="B4667">
        <v>0</v>
      </c>
      <c r="C4667" s="16" t="s">
        <v>13896</v>
      </c>
      <c r="D4667" s="16"/>
      <c r="E4667">
        <v>6</v>
      </c>
      <c r="F4667" t="s">
        <v>4680</v>
      </c>
      <c r="G4667">
        <v>1</v>
      </c>
      <c r="H4667">
        <v>1</v>
      </c>
      <c r="I4667">
        <f>1</f>
        <v>1</v>
      </c>
    </row>
    <row r="4668" spans="2:9" x14ac:dyDescent="0.25">
      <c r="B4668">
        <v>0</v>
      </c>
      <c r="C4668" s="16" t="s">
        <v>13897</v>
      </c>
      <c r="D4668" s="16"/>
      <c r="E4668">
        <v>6</v>
      </c>
      <c r="F4668" t="s">
        <v>7020</v>
      </c>
      <c r="G4668">
        <v>1</v>
      </c>
      <c r="H4668">
        <v>1</v>
      </c>
      <c r="I4668">
        <f>1</f>
        <v>1</v>
      </c>
    </row>
    <row r="4669" spans="2:9" x14ac:dyDescent="0.25">
      <c r="B4669">
        <v>0</v>
      </c>
      <c r="C4669" s="16" t="s">
        <v>13898</v>
      </c>
      <c r="D4669" s="16"/>
      <c r="E4669">
        <v>6</v>
      </c>
      <c r="F4669" t="s">
        <v>7021</v>
      </c>
      <c r="G4669">
        <v>1</v>
      </c>
      <c r="H4669">
        <v>1</v>
      </c>
      <c r="I4669">
        <f>1</f>
        <v>1</v>
      </c>
    </row>
    <row r="4670" spans="2:9" x14ac:dyDescent="0.25">
      <c r="B4670">
        <v>0</v>
      </c>
      <c r="C4670" s="16" t="s">
        <v>13899</v>
      </c>
      <c r="D4670" s="16"/>
      <c r="E4670">
        <v>6</v>
      </c>
      <c r="F4670" t="s">
        <v>4680</v>
      </c>
      <c r="G4670">
        <v>1</v>
      </c>
      <c r="H4670">
        <v>1</v>
      </c>
      <c r="I4670">
        <f>1</f>
        <v>1</v>
      </c>
    </row>
    <row r="4671" spans="2:9" x14ac:dyDescent="0.25">
      <c r="B4671">
        <v>0</v>
      </c>
      <c r="C4671" s="16" t="s">
        <v>13900</v>
      </c>
      <c r="D4671" s="16"/>
      <c r="E4671">
        <v>6</v>
      </c>
      <c r="F4671" t="s">
        <v>7022</v>
      </c>
      <c r="G4671">
        <v>1</v>
      </c>
      <c r="H4671">
        <v>1</v>
      </c>
      <c r="I4671">
        <f>1</f>
        <v>1</v>
      </c>
    </row>
    <row r="4672" spans="2:9" x14ac:dyDescent="0.25">
      <c r="B4672">
        <v>0</v>
      </c>
      <c r="C4672" s="16" t="s">
        <v>13901</v>
      </c>
      <c r="D4672" s="16"/>
      <c r="E4672">
        <v>6</v>
      </c>
      <c r="F4672" t="s">
        <v>4680</v>
      </c>
      <c r="G4672">
        <v>1</v>
      </c>
      <c r="H4672">
        <v>1</v>
      </c>
      <c r="I4672">
        <f>1</f>
        <v>1</v>
      </c>
    </row>
    <row r="4673" spans="2:9" x14ac:dyDescent="0.25">
      <c r="B4673">
        <v>0</v>
      </c>
      <c r="C4673" s="16" t="s">
        <v>13902</v>
      </c>
      <c r="D4673" s="16"/>
      <c r="E4673">
        <v>6</v>
      </c>
      <c r="F4673" t="s">
        <v>6986</v>
      </c>
      <c r="G4673">
        <v>1</v>
      </c>
      <c r="H4673">
        <v>1</v>
      </c>
      <c r="I4673">
        <f>1</f>
        <v>1</v>
      </c>
    </row>
    <row r="4674" spans="2:9" x14ac:dyDescent="0.25">
      <c r="B4674">
        <v>0</v>
      </c>
      <c r="C4674" s="16" t="s">
        <v>13903</v>
      </c>
      <c r="D4674" s="16"/>
      <c r="E4674">
        <v>6</v>
      </c>
      <c r="F4674" t="s">
        <v>6987</v>
      </c>
      <c r="G4674">
        <v>1</v>
      </c>
      <c r="H4674">
        <v>1</v>
      </c>
      <c r="I4674">
        <f>1</f>
        <v>1</v>
      </c>
    </row>
    <row r="4675" spans="2:9" x14ac:dyDescent="0.25">
      <c r="B4675">
        <v>0</v>
      </c>
      <c r="C4675" s="16" t="s">
        <v>13904</v>
      </c>
      <c r="D4675" s="16"/>
      <c r="E4675">
        <v>6</v>
      </c>
      <c r="F4675" t="s">
        <v>7023</v>
      </c>
      <c r="G4675">
        <v>1</v>
      </c>
      <c r="H4675">
        <v>1</v>
      </c>
      <c r="I4675">
        <f>1</f>
        <v>1</v>
      </c>
    </row>
    <row r="4676" spans="2:9" x14ac:dyDescent="0.25">
      <c r="B4676">
        <v>0</v>
      </c>
      <c r="C4676" s="16" t="s">
        <v>13905</v>
      </c>
      <c r="D4676" s="16"/>
      <c r="E4676">
        <v>6</v>
      </c>
      <c r="F4676" t="s">
        <v>7024</v>
      </c>
      <c r="G4676">
        <v>1</v>
      </c>
      <c r="H4676">
        <v>1</v>
      </c>
      <c r="I4676">
        <f>1</f>
        <v>1</v>
      </c>
    </row>
    <row r="4677" spans="2:9" x14ac:dyDescent="0.25">
      <c r="B4677">
        <v>0</v>
      </c>
      <c r="C4677" s="16" t="s">
        <v>13906</v>
      </c>
      <c r="D4677" s="16"/>
      <c r="E4677">
        <v>6</v>
      </c>
      <c r="F4677" t="s">
        <v>4680</v>
      </c>
      <c r="G4677">
        <v>1</v>
      </c>
      <c r="H4677">
        <v>1</v>
      </c>
      <c r="I4677">
        <f>1</f>
        <v>1</v>
      </c>
    </row>
    <row r="4678" spans="2:9" x14ac:dyDescent="0.25">
      <c r="B4678">
        <v>0</v>
      </c>
      <c r="C4678" s="16" t="s">
        <v>13907</v>
      </c>
      <c r="D4678" s="16"/>
      <c r="E4678">
        <v>6</v>
      </c>
      <c r="F4678" t="s">
        <v>7025</v>
      </c>
      <c r="G4678">
        <v>1</v>
      </c>
      <c r="H4678">
        <v>1</v>
      </c>
      <c r="I4678">
        <f>1</f>
        <v>1</v>
      </c>
    </row>
    <row r="4679" spans="2:9" x14ac:dyDescent="0.25">
      <c r="B4679">
        <v>0</v>
      </c>
      <c r="C4679" s="16" t="s">
        <v>13908</v>
      </c>
      <c r="D4679" s="16"/>
      <c r="E4679">
        <v>6</v>
      </c>
      <c r="F4679" t="s">
        <v>7026</v>
      </c>
      <c r="G4679">
        <v>1</v>
      </c>
      <c r="H4679">
        <v>1</v>
      </c>
      <c r="I4679">
        <f>1</f>
        <v>1</v>
      </c>
    </row>
    <row r="4680" spans="2:9" x14ac:dyDescent="0.25">
      <c r="B4680">
        <v>0</v>
      </c>
      <c r="C4680" s="16" t="s">
        <v>13909</v>
      </c>
      <c r="D4680" s="16"/>
      <c r="E4680">
        <v>6</v>
      </c>
      <c r="F4680" t="s">
        <v>4680</v>
      </c>
      <c r="G4680">
        <v>1</v>
      </c>
      <c r="H4680">
        <v>1</v>
      </c>
      <c r="I4680">
        <f>1</f>
        <v>1</v>
      </c>
    </row>
    <row r="4681" spans="2:9" x14ac:dyDescent="0.25">
      <c r="B4681">
        <v>0</v>
      </c>
      <c r="C4681" s="16" t="s">
        <v>13910</v>
      </c>
      <c r="D4681" s="16"/>
      <c r="E4681">
        <v>6</v>
      </c>
      <c r="F4681" t="s">
        <v>4680</v>
      </c>
      <c r="G4681">
        <v>1</v>
      </c>
      <c r="H4681">
        <v>1</v>
      </c>
      <c r="I4681">
        <f>1</f>
        <v>1</v>
      </c>
    </row>
    <row r="4682" spans="2:9" x14ac:dyDescent="0.25">
      <c r="B4682">
        <v>0</v>
      </c>
      <c r="C4682" s="16" t="s">
        <v>13911</v>
      </c>
      <c r="D4682" s="16"/>
      <c r="E4682">
        <v>6</v>
      </c>
      <c r="F4682" t="s">
        <v>6989</v>
      </c>
      <c r="G4682">
        <v>1</v>
      </c>
      <c r="H4682">
        <v>1</v>
      </c>
      <c r="I4682">
        <f>1</f>
        <v>1</v>
      </c>
    </row>
    <row r="4683" spans="2:9" x14ac:dyDescent="0.25">
      <c r="B4683">
        <v>0</v>
      </c>
      <c r="C4683" s="16" t="s">
        <v>13912</v>
      </c>
      <c r="D4683" s="16"/>
      <c r="E4683">
        <v>6</v>
      </c>
      <c r="F4683" t="s">
        <v>4690</v>
      </c>
      <c r="G4683">
        <v>1</v>
      </c>
      <c r="H4683">
        <v>1</v>
      </c>
      <c r="I4683">
        <f>1</f>
        <v>1</v>
      </c>
    </row>
    <row r="4684" spans="2:9" x14ac:dyDescent="0.25">
      <c r="B4684">
        <v>0</v>
      </c>
      <c r="C4684" s="16" t="s">
        <v>13913</v>
      </c>
      <c r="D4684" s="16"/>
      <c r="E4684">
        <v>6</v>
      </c>
      <c r="F4684" t="s">
        <v>7027</v>
      </c>
      <c r="G4684">
        <v>1</v>
      </c>
      <c r="H4684">
        <v>1</v>
      </c>
      <c r="I4684">
        <f>1</f>
        <v>1</v>
      </c>
    </row>
    <row r="4685" spans="2:9" x14ac:dyDescent="0.25">
      <c r="B4685">
        <v>0</v>
      </c>
      <c r="C4685" s="16" t="s">
        <v>13914</v>
      </c>
      <c r="D4685" s="16"/>
      <c r="E4685">
        <v>6</v>
      </c>
      <c r="F4685" t="s">
        <v>7028</v>
      </c>
      <c r="G4685">
        <v>1</v>
      </c>
      <c r="H4685">
        <v>1</v>
      </c>
      <c r="I4685">
        <f>1</f>
        <v>1</v>
      </c>
    </row>
    <row r="4686" spans="2:9" x14ac:dyDescent="0.25">
      <c r="B4686">
        <v>0</v>
      </c>
      <c r="C4686" s="16" t="s">
        <v>13915</v>
      </c>
      <c r="D4686" s="16"/>
      <c r="E4686">
        <v>6</v>
      </c>
      <c r="F4686" t="s">
        <v>4690</v>
      </c>
      <c r="G4686">
        <v>1</v>
      </c>
      <c r="H4686">
        <v>1</v>
      </c>
      <c r="I4686">
        <f>1</f>
        <v>1</v>
      </c>
    </row>
    <row r="4687" spans="2:9" x14ac:dyDescent="0.25">
      <c r="B4687">
        <v>0</v>
      </c>
      <c r="C4687" s="16" t="s">
        <v>13916</v>
      </c>
      <c r="D4687" s="16"/>
      <c r="E4687">
        <v>6</v>
      </c>
      <c r="F4687" t="s">
        <v>4680</v>
      </c>
      <c r="G4687">
        <v>1</v>
      </c>
      <c r="H4687">
        <v>1</v>
      </c>
      <c r="I4687">
        <f>1</f>
        <v>1</v>
      </c>
    </row>
    <row r="4688" spans="2:9" x14ac:dyDescent="0.25">
      <c r="B4688">
        <v>0</v>
      </c>
      <c r="C4688" s="16" t="s">
        <v>13917</v>
      </c>
      <c r="D4688" s="16"/>
      <c r="E4688">
        <v>6</v>
      </c>
      <c r="F4688" t="s">
        <v>6989</v>
      </c>
      <c r="G4688">
        <v>1</v>
      </c>
      <c r="H4688">
        <v>1</v>
      </c>
      <c r="I4688">
        <f>1</f>
        <v>1</v>
      </c>
    </row>
    <row r="4689" spans="2:9" x14ac:dyDescent="0.25">
      <c r="B4689">
        <v>0</v>
      </c>
      <c r="C4689" s="16" t="s">
        <v>13918</v>
      </c>
      <c r="D4689" s="16"/>
      <c r="E4689">
        <v>6</v>
      </c>
      <c r="F4689" t="s">
        <v>4690</v>
      </c>
      <c r="G4689">
        <v>1</v>
      </c>
      <c r="H4689">
        <v>1</v>
      </c>
      <c r="I4689">
        <f>1</f>
        <v>1</v>
      </c>
    </row>
    <row r="4690" spans="2:9" x14ac:dyDescent="0.25">
      <c r="B4690">
        <v>0</v>
      </c>
      <c r="C4690" s="16" t="s">
        <v>13919</v>
      </c>
      <c r="D4690" s="16"/>
      <c r="E4690">
        <v>6</v>
      </c>
      <c r="F4690" t="s">
        <v>7029</v>
      </c>
      <c r="G4690">
        <v>1</v>
      </c>
      <c r="H4690">
        <v>1</v>
      </c>
      <c r="I4690">
        <f>1</f>
        <v>1</v>
      </c>
    </row>
    <row r="4691" spans="2:9" x14ac:dyDescent="0.25">
      <c r="B4691">
        <v>0</v>
      </c>
      <c r="C4691" s="16" t="s">
        <v>13920</v>
      </c>
      <c r="D4691" s="16"/>
      <c r="E4691">
        <v>6</v>
      </c>
      <c r="F4691" t="e">
        <f>-Poli Tereftalato De Etileno</f>
        <v>#NAME?</v>
      </c>
      <c r="G4691">
        <v>1</v>
      </c>
      <c r="H4691">
        <v>1</v>
      </c>
      <c r="I4691">
        <f>1</f>
        <v>1</v>
      </c>
    </row>
    <row r="4692" spans="2:9" x14ac:dyDescent="0.25">
      <c r="B4692">
        <v>0</v>
      </c>
      <c r="C4692" s="16" t="s">
        <v>13921</v>
      </c>
      <c r="D4692" s="16"/>
      <c r="E4692">
        <v>6</v>
      </c>
      <c r="F4692" t="e">
        <f>-Poli ácido láctico</f>
        <v>#NAME?</v>
      </c>
      <c r="G4692">
        <v>1</v>
      </c>
      <c r="H4692">
        <v>1</v>
      </c>
      <c r="I4692">
        <f>1</f>
        <v>1</v>
      </c>
    </row>
    <row r="4693" spans="2:9" x14ac:dyDescent="0.25">
      <c r="B4693">
        <v>0</v>
      </c>
      <c r="C4693" s="16" t="s">
        <v>13922</v>
      </c>
      <c r="D4693" s="16"/>
      <c r="E4693">
        <v>6</v>
      </c>
      <c r="F4693" t="e">
        <f>--Não Saturados</f>
        <v>#NAME?</v>
      </c>
      <c r="G4693">
        <v>1</v>
      </c>
      <c r="H4693">
        <v>1</v>
      </c>
      <c r="I4693">
        <f>1</f>
        <v>1</v>
      </c>
    </row>
    <row r="4694" spans="2:9" x14ac:dyDescent="0.25">
      <c r="B4694">
        <v>0</v>
      </c>
      <c r="C4694" s="16" t="s">
        <v>13923</v>
      </c>
      <c r="D4694" s="16"/>
      <c r="E4694">
        <v>6</v>
      </c>
      <c r="F4694" t="s">
        <v>7030</v>
      </c>
      <c r="G4694">
        <v>1</v>
      </c>
      <c r="H4694">
        <v>1</v>
      </c>
      <c r="I4694">
        <f>1</f>
        <v>1</v>
      </c>
    </row>
    <row r="4695" spans="2:9" x14ac:dyDescent="0.25">
      <c r="B4695">
        <v>0</v>
      </c>
      <c r="C4695" s="16" t="s">
        <v>13924</v>
      </c>
      <c r="D4695" s="16"/>
      <c r="E4695">
        <v>6</v>
      </c>
      <c r="F4695" t="s">
        <v>7031</v>
      </c>
      <c r="G4695">
        <v>1</v>
      </c>
      <c r="H4695">
        <v>1</v>
      </c>
      <c r="I4695">
        <f>1</f>
        <v>1</v>
      </c>
    </row>
    <row r="4696" spans="2:9" x14ac:dyDescent="0.25">
      <c r="B4696">
        <v>0</v>
      </c>
      <c r="C4696" s="16" t="s">
        <v>13925</v>
      </c>
      <c r="D4696" s="16"/>
      <c r="E4696">
        <v>6</v>
      </c>
      <c r="F4696" t="s">
        <v>4680</v>
      </c>
      <c r="G4696">
        <v>1</v>
      </c>
      <c r="H4696">
        <v>1</v>
      </c>
      <c r="I4696">
        <f>1</f>
        <v>1</v>
      </c>
    </row>
    <row r="4697" spans="2:9" x14ac:dyDescent="0.25">
      <c r="B4697">
        <v>0</v>
      </c>
      <c r="C4697" s="16" t="s">
        <v>13926</v>
      </c>
      <c r="D4697" s="16"/>
      <c r="E4697">
        <v>6</v>
      </c>
      <c r="F4697" t="s">
        <v>6989</v>
      </c>
      <c r="G4697">
        <v>1</v>
      </c>
      <c r="H4697">
        <v>1</v>
      </c>
      <c r="I4697">
        <f>1</f>
        <v>1</v>
      </c>
    </row>
    <row r="4698" spans="2:9" x14ac:dyDescent="0.25">
      <c r="B4698">
        <v>0</v>
      </c>
      <c r="C4698" s="16" t="s">
        <v>13927</v>
      </c>
      <c r="D4698" s="16"/>
      <c r="E4698">
        <v>6</v>
      </c>
      <c r="F4698" t="s">
        <v>7032</v>
      </c>
      <c r="G4698">
        <v>1</v>
      </c>
      <c r="H4698">
        <v>1</v>
      </c>
      <c r="I4698">
        <f>1</f>
        <v>1</v>
      </c>
    </row>
    <row r="4699" spans="2:9" x14ac:dyDescent="0.25">
      <c r="B4699">
        <v>0</v>
      </c>
      <c r="C4699" s="16" t="s">
        <v>13928</v>
      </c>
      <c r="D4699" s="16"/>
      <c r="E4699">
        <v>6</v>
      </c>
      <c r="F4699" t="s">
        <v>4680</v>
      </c>
      <c r="G4699">
        <v>1</v>
      </c>
      <c r="H4699">
        <v>1</v>
      </c>
      <c r="I4699">
        <f>1</f>
        <v>1</v>
      </c>
    </row>
    <row r="4700" spans="2:9" x14ac:dyDescent="0.25">
      <c r="B4700">
        <v>0</v>
      </c>
      <c r="C4700" s="16" t="s">
        <v>13929</v>
      </c>
      <c r="D4700" s="16"/>
      <c r="E4700">
        <v>6</v>
      </c>
      <c r="F4700" t="s">
        <v>7033</v>
      </c>
      <c r="G4700">
        <v>1</v>
      </c>
      <c r="H4700">
        <v>1</v>
      </c>
      <c r="I4700">
        <f>1</f>
        <v>1</v>
      </c>
    </row>
    <row r="4701" spans="2:9" x14ac:dyDescent="0.25">
      <c r="B4701">
        <v>0</v>
      </c>
      <c r="C4701" s="16" t="s">
        <v>13930</v>
      </c>
      <c r="D4701" s="16"/>
      <c r="E4701">
        <v>6</v>
      </c>
      <c r="F4701" t="s">
        <v>7034</v>
      </c>
      <c r="G4701">
        <v>1</v>
      </c>
      <c r="H4701">
        <v>1</v>
      </c>
      <c r="I4701">
        <f>1</f>
        <v>1</v>
      </c>
    </row>
    <row r="4702" spans="2:9" x14ac:dyDescent="0.25">
      <c r="B4702">
        <v>0</v>
      </c>
      <c r="C4702" s="16" t="s">
        <v>13931</v>
      </c>
      <c r="D4702" s="16"/>
      <c r="E4702">
        <v>6</v>
      </c>
      <c r="F4702" t="s">
        <v>7035</v>
      </c>
      <c r="G4702">
        <v>1</v>
      </c>
      <c r="H4702">
        <v>1</v>
      </c>
      <c r="I4702">
        <f>1</f>
        <v>1</v>
      </c>
    </row>
    <row r="4703" spans="2:9" x14ac:dyDescent="0.25">
      <c r="B4703">
        <v>0</v>
      </c>
      <c r="C4703" s="16" t="s">
        <v>13932</v>
      </c>
      <c r="D4703" s="16"/>
      <c r="E4703">
        <v>6</v>
      </c>
      <c r="F4703" t="s">
        <v>7036</v>
      </c>
      <c r="G4703">
        <v>1</v>
      </c>
      <c r="H4703">
        <v>1</v>
      </c>
      <c r="I4703">
        <f>1</f>
        <v>1</v>
      </c>
    </row>
    <row r="4704" spans="2:9" x14ac:dyDescent="0.25">
      <c r="B4704">
        <v>0</v>
      </c>
      <c r="C4704" s="16" t="s">
        <v>13933</v>
      </c>
      <c r="D4704" s="16"/>
      <c r="E4704">
        <v>6</v>
      </c>
      <c r="F4704" t="s">
        <v>4690</v>
      </c>
      <c r="G4704">
        <v>1</v>
      </c>
      <c r="H4704">
        <v>1</v>
      </c>
      <c r="I4704">
        <f>1</f>
        <v>1</v>
      </c>
    </row>
    <row r="4705" spans="2:9" x14ac:dyDescent="0.25">
      <c r="B4705">
        <v>0</v>
      </c>
      <c r="C4705" s="16" t="s">
        <v>13934</v>
      </c>
      <c r="D4705" s="16"/>
      <c r="E4705">
        <v>6</v>
      </c>
      <c r="F4705" t="s">
        <v>7033</v>
      </c>
      <c r="G4705">
        <v>1</v>
      </c>
      <c r="H4705">
        <v>1</v>
      </c>
      <c r="I4705">
        <f>1</f>
        <v>1</v>
      </c>
    </row>
    <row r="4706" spans="2:9" x14ac:dyDescent="0.25">
      <c r="B4706">
        <v>0</v>
      </c>
      <c r="C4706" s="16" t="s">
        <v>13935</v>
      </c>
      <c r="D4706" s="16"/>
      <c r="E4706">
        <v>6</v>
      </c>
      <c r="F4706" t="s">
        <v>7034</v>
      </c>
      <c r="G4706">
        <v>1</v>
      </c>
      <c r="H4706">
        <v>1</v>
      </c>
      <c r="I4706">
        <f>1</f>
        <v>1</v>
      </c>
    </row>
    <row r="4707" spans="2:9" x14ac:dyDescent="0.25">
      <c r="B4707">
        <v>0</v>
      </c>
      <c r="C4707" s="16" t="s">
        <v>13936</v>
      </c>
      <c r="D4707" s="16"/>
      <c r="E4707">
        <v>6</v>
      </c>
      <c r="F4707" t="s">
        <v>7035</v>
      </c>
      <c r="G4707">
        <v>1</v>
      </c>
      <c r="H4707">
        <v>1</v>
      </c>
      <c r="I4707">
        <f>1</f>
        <v>1</v>
      </c>
    </row>
    <row r="4708" spans="2:9" x14ac:dyDescent="0.25">
      <c r="B4708">
        <v>0</v>
      </c>
      <c r="C4708" s="16" t="s">
        <v>13937</v>
      </c>
      <c r="D4708" s="16"/>
      <c r="E4708">
        <v>6</v>
      </c>
      <c r="F4708" t="s">
        <v>7036</v>
      </c>
      <c r="G4708">
        <v>1</v>
      </c>
      <c r="H4708">
        <v>1</v>
      </c>
      <c r="I4708">
        <f>1</f>
        <v>1</v>
      </c>
    </row>
    <row r="4709" spans="2:9" x14ac:dyDescent="0.25">
      <c r="B4709">
        <v>0</v>
      </c>
      <c r="C4709" s="16" t="s">
        <v>13938</v>
      </c>
      <c r="D4709" s="16"/>
      <c r="E4709">
        <v>6</v>
      </c>
      <c r="F4709" t="s">
        <v>4690</v>
      </c>
      <c r="G4709">
        <v>1</v>
      </c>
      <c r="H4709">
        <v>1</v>
      </c>
      <c r="I4709">
        <f>1</f>
        <v>1</v>
      </c>
    </row>
    <row r="4710" spans="2:9" x14ac:dyDescent="0.25">
      <c r="B4710">
        <v>0</v>
      </c>
      <c r="C4710" s="16" t="s">
        <v>13939</v>
      </c>
      <c r="D4710" s="16"/>
      <c r="E4710">
        <v>6</v>
      </c>
      <c r="F4710" t="s">
        <v>7037</v>
      </c>
      <c r="G4710">
        <v>1</v>
      </c>
      <c r="H4710">
        <v>1</v>
      </c>
      <c r="I4710">
        <f>1</f>
        <v>1</v>
      </c>
    </row>
    <row r="4711" spans="2:9" x14ac:dyDescent="0.25">
      <c r="B4711">
        <v>0</v>
      </c>
      <c r="C4711" s="16" t="s">
        <v>13940</v>
      </c>
      <c r="D4711" s="16"/>
      <c r="E4711">
        <v>6</v>
      </c>
      <c r="F4711" t="s">
        <v>7038</v>
      </c>
      <c r="G4711">
        <v>1</v>
      </c>
      <c r="H4711">
        <v>1</v>
      </c>
      <c r="I4711">
        <f>1</f>
        <v>1</v>
      </c>
    </row>
    <row r="4712" spans="2:9" x14ac:dyDescent="0.25">
      <c r="B4712">
        <v>0</v>
      </c>
      <c r="C4712" s="16" t="s">
        <v>13941</v>
      </c>
      <c r="D4712" s="16"/>
      <c r="E4712">
        <v>6</v>
      </c>
      <c r="F4712" t="s">
        <v>4690</v>
      </c>
      <c r="G4712">
        <v>1</v>
      </c>
      <c r="H4712">
        <v>1</v>
      </c>
      <c r="I4712">
        <f>1</f>
        <v>1</v>
      </c>
    </row>
    <row r="4713" spans="2:9" x14ac:dyDescent="0.25">
      <c r="B4713">
        <v>0</v>
      </c>
      <c r="C4713" s="16" t="s">
        <v>13942</v>
      </c>
      <c r="D4713" s="16"/>
      <c r="E4713">
        <v>6</v>
      </c>
      <c r="F4713" t="s">
        <v>7039</v>
      </c>
      <c r="G4713">
        <v>1</v>
      </c>
      <c r="H4713">
        <v>1</v>
      </c>
      <c r="I4713">
        <f>1</f>
        <v>1</v>
      </c>
    </row>
    <row r="4714" spans="2:9" x14ac:dyDescent="0.25">
      <c r="B4714">
        <v>0</v>
      </c>
      <c r="C4714" s="16" t="s">
        <v>13943</v>
      </c>
      <c r="D4714" s="16"/>
      <c r="E4714">
        <v>6</v>
      </c>
      <c r="F4714" t="s">
        <v>7040</v>
      </c>
      <c r="G4714">
        <v>1</v>
      </c>
      <c r="H4714">
        <v>1</v>
      </c>
      <c r="I4714">
        <f>1</f>
        <v>1</v>
      </c>
    </row>
    <row r="4715" spans="2:9" x14ac:dyDescent="0.25">
      <c r="B4715">
        <v>0</v>
      </c>
      <c r="C4715" s="16" t="s">
        <v>13944</v>
      </c>
      <c r="D4715" s="16"/>
      <c r="E4715">
        <v>6</v>
      </c>
      <c r="F4715" t="s">
        <v>4690</v>
      </c>
      <c r="G4715">
        <v>1</v>
      </c>
      <c r="H4715">
        <v>1</v>
      </c>
      <c r="I4715">
        <f>1</f>
        <v>1</v>
      </c>
    </row>
    <row r="4716" spans="2:9" x14ac:dyDescent="0.25">
      <c r="B4716">
        <v>0</v>
      </c>
      <c r="C4716" s="16" t="s">
        <v>13945</v>
      </c>
      <c r="D4716" s="16"/>
      <c r="E4716">
        <v>6</v>
      </c>
      <c r="F4716" t="s">
        <v>7040</v>
      </c>
      <c r="G4716">
        <v>1</v>
      </c>
      <c r="H4716">
        <v>1</v>
      </c>
      <c r="I4716">
        <f>1</f>
        <v>1</v>
      </c>
    </row>
    <row r="4717" spans="2:9" x14ac:dyDescent="0.25">
      <c r="B4717">
        <v>0</v>
      </c>
      <c r="C4717" s="16" t="s">
        <v>13946</v>
      </c>
      <c r="D4717" s="16"/>
      <c r="E4717">
        <v>6</v>
      </c>
      <c r="F4717" t="s">
        <v>4690</v>
      </c>
      <c r="G4717">
        <v>1</v>
      </c>
      <c r="H4717">
        <v>1</v>
      </c>
      <c r="I4717">
        <f>1</f>
        <v>1</v>
      </c>
    </row>
    <row r="4718" spans="2:9" x14ac:dyDescent="0.25">
      <c r="B4718">
        <v>0</v>
      </c>
      <c r="C4718" s="16" t="s">
        <v>13947</v>
      </c>
      <c r="D4718" s="16"/>
      <c r="E4718">
        <v>6</v>
      </c>
      <c r="F4718" t="s">
        <v>6986</v>
      </c>
      <c r="G4718">
        <v>1</v>
      </c>
      <c r="H4718">
        <v>1</v>
      </c>
      <c r="I4718">
        <f>1</f>
        <v>1</v>
      </c>
    </row>
    <row r="4719" spans="2:9" x14ac:dyDescent="0.25">
      <c r="B4719">
        <v>0</v>
      </c>
      <c r="C4719" s="16" t="s">
        <v>13948</v>
      </c>
      <c r="D4719" s="16"/>
      <c r="E4719">
        <v>6</v>
      </c>
      <c r="F4719" t="s">
        <v>6987</v>
      </c>
      <c r="G4719">
        <v>1</v>
      </c>
      <c r="H4719">
        <v>1</v>
      </c>
      <c r="I4719">
        <f>1</f>
        <v>1</v>
      </c>
    </row>
    <row r="4720" spans="2:9" x14ac:dyDescent="0.25">
      <c r="B4720">
        <v>0</v>
      </c>
      <c r="C4720" s="16" t="s">
        <v>13949</v>
      </c>
      <c r="D4720" s="16"/>
      <c r="E4720">
        <v>6</v>
      </c>
      <c r="F4720" t="s">
        <v>7041</v>
      </c>
      <c r="G4720">
        <v>1</v>
      </c>
      <c r="H4720">
        <v>1</v>
      </c>
      <c r="I4720">
        <f>1</f>
        <v>1</v>
      </c>
    </row>
    <row r="4721" spans="2:9" x14ac:dyDescent="0.25">
      <c r="B4721">
        <v>0</v>
      </c>
      <c r="C4721" s="16" t="s">
        <v>13950</v>
      </c>
      <c r="D4721" s="16"/>
      <c r="E4721">
        <v>6</v>
      </c>
      <c r="F4721" t="s">
        <v>4690</v>
      </c>
      <c r="G4721">
        <v>1</v>
      </c>
      <c r="H4721">
        <v>1</v>
      </c>
      <c r="I4721">
        <f>1</f>
        <v>1</v>
      </c>
    </row>
    <row r="4722" spans="2:9" x14ac:dyDescent="0.25">
      <c r="B4722">
        <v>0</v>
      </c>
      <c r="C4722" s="16" t="s">
        <v>13951</v>
      </c>
      <c r="D4722" s="16"/>
      <c r="E4722">
        <v>6</v>
      </c>
      <c r="F4722" t="s">
        <v>7041</v>
      </c>
      <c r="G4722">
        <v>1</v>
      </c>
      <c r="H4722">
        <v>1</v>
      </c>
      <c r="I4722">
        <f>1</f>
        <v>1</v>
      </c>
    </row>
    <row r="4723" spans="2:9" x14ac:dyDescent="0.25">
      <c r="B4723">
        <v>0</v>
      </c>
      <c r="C4723" s="16" t="s">
        <v>13952</v>
      </c>
      <c r="D4723" s="16"/>
      <c r="E4723">
        <v>6</v>
      </c>
      <c r="F4723" t="s">
        <v>4690</v>
      </c>
      <c r="G4723">
        <v>1</v>
      </c>
      <c r="H4723">
        <v>1</v>
      </c>
      <c r="I4723">
        <f>1</f>
        <v>1</v>
      </c>
    </row>
    <row r="4724" spans="2:9" x14ac:dyDescent="0.25">
      <c r="B4724">
        <v>0</v>
      </c>
      <c r="C4724" s="16" t="s">
        <v>13953</v>
      </c>
      <c r="D4724" s="16"/>
      <c r="E4724">
        <v>6</v>
      </c>
      <c r="F4724" t="s">
        <v>7042</v>
      </c>
      <c r="G4724">
        <v>1</v>
      </c>
      <c r="H4724">
        <v>1</v>
      </c>
      <c r="I4724">
        <f>1</f>
        <v>1</v>
      </c>
    </row>
    <row r="4725" spans="2:9" x14ac:dyDescent="0.25">
      <c r="B4725">
        <v>0</v>
      </c>
      <c r="C4725" s="16" t="s">
        <v>13954</v>
      </c>
      <c r="D4725" s="16"/>
      <c r="E4725">
        <v>6</v>
      </c>
      <c r="F4725" t="s">
        <v>7043</v>
      </c>
      <c r="G4725">
        <v>1</v>
      </c>
      <c r="H4725">
        <v>1</v>
      </c>
      <c r="I4725">
        <f>1</f>
        <v>1</v>
      </c>
    </row>
    <row r="4726" spans="2:9" x14ac:dyDescent="0.25">
      <c r="B4726">
        <v>0</v>
      </c>
      <c r="C4726" s="16" t="s">
        <v>13955</v>
      </c>
      <c r="D4726" s="16"/>
      <c r="E4726">
        <v>6</v>
      </c>
      <c r="F4726" t="s">
        <v>4680</v>
      </c>
      <c r="G4726">
        <v>1</v>
      </c>
      <c r="H4726">
        <v>1</v>
      </c>
      <c r="I4726">
        <f>1</f>
        <v>1</v>
      </c>
    </row>
    <row r="4727" spans="2:9" x14ac:dyDescent="0.25">
      <c r="B4727">
        <v>0</v>
      </c>
      <c r="C4727" s="16" t="s">
        <v>13956</v>
      </c>
      <c r="D4727" s="16"/>
      <c r="E4727">
        <v>6</v>
      </c>
      <c r="F4727" t="s">
        <v>7044</v>
      </c>
      <c r="G4727">
        <v>1</v>
      </c>
      <c r="H4727">
        <v>1</v>
      </c>
      <c r="I4727">
        <f>1</f>
        <v>1</v>
      </c>
    </row>
    <row r="4728" spans="2:9" x14ac:dyDescent="0.25">
      <c r="B4728">
        <v>0</v>
      </c>
      <c r="C4728" s="16" t="s">
        <v>13957</v>
      </c>
      <c r="D4728" s="16"/>
      <c r="E4728">
        <v>6</v>
      </c>
      <c r="F4728" t="s">
        <v>4680</v>
      </c>
      <c r="G4728">
        <v>1</v>
      </c>
      <c r="H4728">
        <v>1</v>
      </c>
      <c r="I4728">
        <f>1</f>
        <v>1</v>
      </c>
    </row>
    <row r="4729" spans="2:9" x14ac:dyDescent="0.25">
      <c r="B4729">
        <v>0</v>
      </c>
      <c r="C4729" s="16" t="s">
        <v>13958</v>
      </c>
      <c r="D4729" s="16"/>
      <c r="E4729">
        <v>6</v>
      </c>
      <c r="F4729" t="s">
        <v>7045</v>
      </c>
      <c r="G4729">
        <v>1</v>
      </c>
      <c r="H4729">
        <v>1</v>
      </c>
      <c r="I4729">
        <f>1</f>
        <v>1</v>
      </c>
    </row>
    <row r="4730" spans="2:9" x14ac:dyDescent="0.25">
      <c r="B4730">
        <v>0</v>
      </c>
      <c r="C4730" s="16" t="s">
        <v>13959</v>
      </c>
      <c r="D4730" s="16"/>
      <c r="E4730">
        <v>6</v>
      </c>
      <c r="F4730" t="s">
        <v>7046</v>
      </c>
      <c r="G4730">
        <v>1</v>
      </c>
      <c r="H4730">
        <v>1</v>
      </c>
      <c r="I4730">
        <f>1</f>
        <v>1</v>
      </c>
    </row>
    <row r="4731" spans="2:9" x14ac:dyDescent="0.25">
      <c r="B4731">
        <v>0</v>
      </c>
      <c r="C4731" s="16" t="s">
        <v>13960</v>
      </c>
      <c r="D4731" s="16"/>
      <c r="E4731">
        <v>6</v>
      </c>
      <c r="F4731" t="s">
        <v>7047</v>
      </c>
      <c r="G4731">
        <v>1</v>
      </c>
      <c r="H4731">
        <v>1</v>
      </c>
      <c r="I4731">
        <f>1</f>
        <v>1</v>
      </c>
    </row>
    <row r="4732" spans="2:9" x14ac:dyDescent="0.25">
      <c r="B4732">
        <v>0</v>
      </c>
      <c r="C4732" s="16" t="s">
        <v>13961</v>
      </c>
      <c r="D4732" s="16"/>
      <c r="E4732">
        <v>6</v>
      </c>
      <c r="F4732" t="s">
        <v>4680</v>
      </c>
      <c r="G4732">
        <v>1</v>
      </c>
      <c r="H4732">
        <v>1</v>
      </c>
      <c r="I4732">
        <f>1</f>
        <v>1</v>
      </c>
    </row>
    <row r="4733" spans="2:9" x14ac:dyDescent="0.25">
      <c r="B4733">
        <v>0</v>
      </c>
      <c r="C4733" s="16" t="s">
        <v>13962</v>
      </c>
      <c r="D4733" s="16"/>
      <c r="E4733">
        <v>6</v>
      </c>
      <c r="F4733" t="s">
        <v>7048</v>
      </c>
      <c r="G4733">
        <v>1</v>
      </c>
      <c r="H4733">
        <v>1</v>
      </c>
      <c r="I4733">
        <f>1</f>
        <v>1</v>
      </c>
    </row>
    <row r="4734" spans="2:9" x14ac:dyDescent="0.25">
      <c r="B4734">
        <v>0</v>
      </c>
      <c r="C4734" s="16" t="s">
        <v>13963</v>
      </c>
      <c r="D4734" s="16"/>
      <c r="E4734">
        <v>6</v>
      </c>
      <c r="F4734" t="s">
        <v>4680</v>
      </c>
      <c r="G4734">
        <v>1</v>
      </c>
      <c r="H4734">
        <v>1</v>
      </c>
      <c r="I4734">
        <f>1</f>
        <v>1</v>
      </c>
    </row>
    <row r="4735" spans="2:9" x14ac:dyDescent="0.25">
      <c r="B4735">
        <v>0</v>
      </c>
      <c r="C4735" s="16" t="s">
        <v>13964</v>
      </c>
      <c r="D4735" s="16"/>
      <c r="E4735">
        <v>6</v>
      </c>
      <c r="F4735" t="s">
        <v>7049</v>
      </c>
      <c r="G4735">
        <v>1</v>
      </c>
      <c r="H4735">
        <v>1</v>
      </c>
      <c r="I4735">
        <f>1</f>
        <v>1</v>
      </c>
    </row>
    <row r="4736" spans="2:9" x14ac:dyDescent="0.25">
      <c r="B4736">
        <v>0</v>
      </c>
      <c r="C4736" s="16" t="s">
        <v>13965</v>
      </c>
      <c r="D4736" s="16"/>
      <c r="E4736">
        <v>6</v>
      </c>
      <c r="F4736" t="s">
        <v>4680</v>
      </c>
      <c r="G4736">
        <v>1</v>
      </c>
      <c r="H4736">
        <v>1</v>
      </c>
      <c r="I4736">
        <f>1</f>
        <v>1</v>
      </c>
    </row>
    <row r="4737" spans="2:9" x14ac:dyDescent="0.25">
      <c r="B4737">
        <v>0</v>
      </c>
      <c r="C4737" s="16" t="s">
        <v>13966</v>
      </c>
      <c r="D4737" s="16"/>
      <c r="E4737">
        <v>6</v>
      </c>
      <c r="F4737" t="s">
        <v>6986</v>
      </c>
      <c r="G4737">
        <v>1</v>
      </c>
      <c r="H4737">
        <v>1</v>
      </c>
      <c r="I4737">
        <f>1</f>
        <v>1</v>
      </c>
    </row>
    <row r="4738" spans="2:9" x14ac:dyDescent="0.25">
      <c r="B4738">
        <v>0</v>
      </c>
      <c r="C4738" s="16" t="s">
        <v>13967</v>
      </c>
      <c r="D4738" s="16"/>
      <c r="E4738">
        <v>6</v>
      </c>
      <c r="F4738" t="s">
        <v>7050</v>
      </c>
      <c r="G4738">
        <v>1</v>
      </c>
      <c r="H4738">
        <v>1</v>
      </c>
      <c r="I4738">
        <f>1</f>
        <v>1</v>
      </c>
    </row>
    <row r="4739" spans="2:9" x14ac:dyDescent="0.25">
      <c r="B4739">
        <v>0</v>
      </c>
      <c r="C4739" s="16" t="s">
        <v>13968</v>
      </c>
      <c r="D4739" s="16"/>
      <c r="E4739">
        <v>6</v>
      </c>
      <c r="F4739" t="s">
        <v>4680</v>
      </c>
      <c r="G4739">
        <v>1</v>
      </c>
      <c r="H4739">
        <v>1</v>
      </c>
      <c r="I4739">
        <f>1</f>
        <v>1</v>
      </c>
    </row>
    <row r="4740" spans="2:9" x14ac:dyDescent="0.25">
      <c r="B4740">
        <v>0</v>
      </c>
      <c r="C4740" s="16" t="s">
        <v>13969</v>
      </c>
      <c r="D4740" s="16"/>
      <c r="E4740">
        <v>6</v>
      </c>
      <c r="F4740" t="s">
        <v>7051</v>
      </c>
      <c r="G4740">
        <v>1</v>
      </c>
      <c r="H4740">
        <v>1</v>
      </c>
      <c r="I4740">
        <f>1</f>
        <v>1</v>
      </c>
    </row>
    <row r="4741" spans="2:9" x14ac:dyDescent="0.25">
      <c r="B4741">
        <v>0</v>
      </c>
      <c r="C4741" s="16" t="s">
        <v>13970</v>
      </c>
      <c r="D4741" s="16"/>
      <c r="E4741">
        <v>6</v>
      </c>
      <c r="F4741" t="s">
        <v>7052</v>
      </c>
      <c r="G4741">
        <v>1</v>
      </c>
      <c r="H4741">
        <v>1</v>
      </c>
      <c r="I4741">
        <f>1</f>
        <v>1</v>
      </c>
    </row>
    <row r="4742" spans="2:9" x14ac:dyDescent="0.25">
      <c r="B4742">
        <v>0</v>
      </c>
      <c r="C4742" s="16" t="s">
        <v>13971</v>
      </c>
      <c r="D4742" s="16"/>
      <c r="E4742">
        <v>6</v>
      </c>
      <c r="F4742" t="s">
        <v>7053</v>
      </c>
      <c r="G4742">
        <v>1</v>
      </c>
      <c r="H4742">
        <v>1</v>
      </c>
      <c r="I4742">
        <f>1</f>
        <v>1</v>
      </c>
    </row>
    <row r="4743" spans="2:9" x14ac:dyDescent="0.25">
      <c r="B4743">
        <v>0</v>
      </c>
      <c r="C4743" s="16" t="s">
        <v>13972</v>
      </c>
      <c r="D4743" s="16"/>
      <c r="E4743">
        <v>6</v>
      </c>
      <c r="F4743" t="s">
        <v>7054</v>
      </c>
      <c r="G4743">
        <v>1</v>
      </c>
      <c r="H4743">
        <v>1</v>
      </c>
      <c r="I4743">
        <f>1</f>
        <v>1</v>
      </c>
    </row>
    <row r="4744" spans="2:9" x14ac:dyDescent="0.25">
      <c r="B4744">
        <v>0</v>
      </c>
      <c r="C4744" s="16" t="s">
        <v>13973</v>
      </c>
      <c r="D4744" s="16"/>
      <c r="E4744">
        <v>6</v>
      </c>
      <c r="F4744" t="s">
        <v>4680</v>
      </c>
      <c r="G4744">
        <v>1</v>
      </c>
      <c r="H4744">
        <v>1</v>
      </c>
      <c r="I4744">
        <f>1</f>
        <v>1</v>
      </c>
    </row>
    <row r="4745" spans="2:9" x14ac:dyDescent="0.25">
      <c r="B4745">
        <v>0</v>
      </c>
      <c r="C4745" s="16" t="s">
        <v>13974</v>
      </c>
      <c r="D4745" s="16"/>
      <c r="E4745">
        <v>6</v>
      </c>
      <c r="F4745" t="s">
        <v>7051</v>
      </c>
      <c r="G4745">
        <v>1</v>
      </c>
      <c r="H4745">
        <v>1</v>
      </c>
      <c r="I4745">
        <f>1</f>
        <v>1</v>
      </c>
    </row>
    <row r="4746" spans="2:9" x14ac:dyDescent="0.25">
      <c r="B4746">
        <v>0</v>
      </c>
      <c r="C4746" s="16" t="s">
        <v>13975</v>
      </c>
      <c r="D4746" s="16"/>
      <c r="E4746">
        <v>6</v>
      </c>
      <c r="F4746" t="s">
        <v>7054</v>
      </c>
      <c r="G4746">
        <v>1</v>
      </c>
      <c r="H4746">
        <v>1</v>
      </c>
      <c r="I4746">
        <f>1</f>
        <v>1</v>
      </c>
    </row>
    <row r="4747" spans="2:9" x14ac:dyDescent="0.25">
      <c r="B4747">
        <v>0</v>
      </c>
      <c r="C4747" s="16" t="s">
        <v>13976</v>
      </c>
      <c r="D4747" s="16"/>
      <c r="E4747">
        <v>6</v>
      </c>
      <c r="F4747" t="s">
        <v>7055</v>
      </c>
      <c r="G4747">
        <v>1</v>
      </c>
      <c r="H4747">
        <v>1</v>
      </c>
      <c r="I4747">
        <f>1</f>
        <v>1</v>
      </c>
    </row>
    <row r="4748" spans="2:9" x14ac:dyDescent="0.25">
      <c r="B4748">
        <v>0</v>
      </c>
      <c r="C4748" s="16" t="s">
        <v>13977</v>
      </c>
      <c r="D4748" s="16"/>
      <c r="E4748">
        <v>6</v>
      </c>
      <c r="F4748" t="s">
        <v>7052</v>
      </c>
      <c r="G4748">
        <v>1</v>
      </c>
      <c r="H4748">
        <v>1</v>
      </c>
      <c r="I4748">
        <f>1</f>
        <v>1</v>
      </c>
    </row>
    <row r="4749" spans="2:9" x14ac:dyDescent="0.25">
      <c r="B4749">
        <v>0</v>
      </c>
      <c r="C4749" s="16" t="s">
        <v>13978</v>
      </c>
      <c r="D4749" s="16"/>
      <c r="E4749">
        <v>6</v>
      </c>
      <c r="F4749" t="s">
        <v>7053</v>
      </c>
      <c r="G4749">
        <v>1</v>
      </c>
      <c r="H4749">
        <v>1</v>
      </c>
      <c r="I4749">
        <f>1</f>
        <v>1</v>
      </c>
    </row>
    <row r="4750" spans="2:9" x14ac:dyDescent="0.25">
      <c r="B4750">
        <v>0</v>
      </c>
      <c r="C4750" s="16" t="s">
        <v>13979</v>
      </c>
      <c r="D4750" s="16"/>
      <c r="E4750">
        <v>6</v>
      </c>
      <c r="F4750" t="s">
        <v>7056</v>
      </c>
      <c r="G4750">
        <v>1</v>
      </c>
      <c r="H4750">
        <v>1</v>
      </c>
      <c r="I4750">
        <f>1</f>
        <v>1</v>
      </c>
    </row>
    <row r="4751" spans="2:9" x14ac:dyDescent="0.25">
      <c r="B4751">
        <v>0</v>
      </c>
      <c r="C4751" s="16" t="s">
        <v>13980</v>
      </c>
      <c r="D4751" s="16"/>
      <c r="E4751">
        <v>6</v>
      </c>
      <c r="F4751" t="s">
        <v>4680</v>
      </c>
      <c r="G4751">
        <v>1</v>
      </c>
      <c r="H4751">
        <v>1</v>
      </c>
      <c r="I4751">
        <f>1</f>
        <v>1</v>
      </c>
    </row>
    <row r="4752" spans="2:9" x14ac:dyDescent="0.25">
      <c r="B4752">
        <v>0</v>
      </c>
      <c r="C4752" s="16" t="s">
        <v>13981</v>
      </c>
      <c r="D4752" s="16"/>
      <c r="E4752">
        <v>6</v>
      </c>
      <c r="F4752" t="s">
        <v>6986</v>
      </c>
      <c r="G4752">
        <v>1</v>
      </c>
      <c r="H4752">
        <v>1</v>
      </c>
      <c r="I4752">
        <f>1</f>
        <v>1</v>
      </c>
    </row>
    <row r="4753" spans="2:9" x14ac:dyDescent="0.25">
      <c r="B4753">
        <v>0</v>
      </c>
      <c r="C4753" s="16" t="s">
        <v>13982</v>
      </c>
      <c r="D4753" s="16"/>
      <c r="E4753">
        <v>6</v>
      </c>
      <c r="F4753" t="s">
        <v>6987</v>
      </c>
      <c r="G4753">
        <v>1</v>
      </c>
      <c r="H4753">
        <v>1</v>
      </c>
      <c r="I4753">
        <f>1</f>
        <v>1</v>
      </c>
    </row>
    <row r="4754" spans="2:9" x14ac:dyDescent="0.25">
      <c r="B4754">
        <v>0</v>
      </c>
      <c r="C4754" s="16" t="s">
        <v>13983</v>
      </c>
      <c r="D4754" s="16"/>
      <c r="E4754">
        <v>6</v>
      </c>
      <c r="F4754" t="e">
        <f>--Plastificados</f>
        <v>#NAME?</v>
      </c>
      <c r="G4754">
        <v>1</v>
      </c>
      <c r="H4754">
        <v>1</v>
      </c>
      <c r="I4754">
        <f>1</f>
        <v>1</v>
      </c>
    </row>
    <row r="4755" spans="2:9" x14ac:dyDescent="0.25">
      <c r="B4755">
        <v>0</v>
      </c>
      <c r="C4755" s="16" t="s">
        <v>13984</v>
      </c>
      <c r="D4755" s="16"/>
      <c r="E4755">
        <v>6</v>
      </c>
      <c r="F4755" t="s">
        <v>6986</v>
      </c>
      <c r="G4755">
        <v>1</v>
      </c>
      <c r="H4755">
        <v>1</v>
      </c>
      <c r="I4755">
        <f>1</f>
        <v>1</v>
      </c>
    </row>
    <row r="4756" spans="2:9" x14ac:dyDescent="0.25">
      <c r="B4756">
        <v>0</v>
      </c>
      <c r="C4756" s="16" t="s">
        <v>13985</v>
      </c>
      <c r="D4756" s="16"/>
      <c r="E4756">
        <v>6</v>
      </c>
      <c r="F4756" t="s">
        <v>7057</v>
      </c>
      <c r="G4756">
        <v>1</v>
      </c>
      <c r="H4756">
        <v>1</v>
      </c>
      <c r="I4756">
        <f>1</f>
        <v>1</v>
      </c>
    </row>
    <row r="4757" spans="2:9" x14ac:dyDescent="0.25">
      <c r="B4757">
        <v>0</v>
      </c>
      <c r="C4757" s="16" t="s">
        <v>13986</v>
      </c>
      <c r="D4757" s="16"/>
      <c r="E4757">
        <v>6</v>
      </c>
      <c r="F4757" t="s">
        <v>4680</v>
      </c>
      <c r="G4757">
        <v>1</v>
      </c>
      <c r="H4757">
        <v>1</v>
      </c>
      <c r="I4757">
        <f>1</f>
        <v>1</v>
      </c>
    </row>
    <row r="4758" spans="2:9" x14ac:dyDescent="0.25">
      <c r="B4758">
        <v>0</v>
      </c>
      <c r="C4758" s="16" t="s">
        <v>13987</v>
      </c>
      <c r="D4758" s="16"/>
      <c r="E4758">
        <v>6</v>
      </c>
      <c r="F4758" t="s">
        <v>7058</v>
      </c>
      <c r="G4758">
        <v>1</v>
      </c>
      <c r="H4758">
        <v>1</v>
      </c>
      <c r="I4758">
        <f>1</f>
        <v>1</v>
      </c>
    </row>
    <row r="4759" spans="2:9" x14ac:dyDescent="0.25">
      <c r="B4759">
        <v>0</v>
      </c>
      <c r="C4759" s="16" t="s">
        <v>13988</v>
      </c>
      <c r="D4759" s="16"/>
      <c r="E4759">
        <v>6</v>
      </c>
      <c r="F4759" t="s">
        <v>4680</v>
      </c>
      <c r="G4759">
        <v>1</v>
      </c>
      <c r="H4759">
        <v>1</v>
      </c>
      <c r="I4759">
        <f>1</f>
        <v>1</v>
      </c>
    </row>
    <row r="4760" spans="2:9" x14ac:dyDescent="0.25">
      <c r="B4760">
        <v>0</v>
      </c>
      <c r="C4760" s="16" t="s">
        <v>13989</v>
      </c>
      <c r="D4760" s="16"/>
      <c r="E4760">
        <v>6</v>
      </c>
      <c r="F4760" t="s">
        <v>7059</v>
      </c>
      <c r="G4760">
        <v>1</v>
      </c>
      <c r="H4760">
        <v>1</v>
      </c>
      <c r="I4760">
        <f>1</f>
        <v>1</v>
      </c>
    </row>
    <row r="4761" spans="2:9" x14ac:dyDescent="0.25">
      <c r="B4761">
        <v>0</v>
      </c>
      <c r="C4761" s="16" t="s">
        <v>13990</v>
      </c>
      <c r="D4761" s="16"/>
      <c r="E4761">
        <v>6</v>
      </c>
      <c r="F4761" t="s">
        <v>4680</v>
      </c>
      <c r="G4761">
        <v>1</v>
      </c>
      <c r="H4761">
        <v>1</v>
      </c>
      <c r="I4761">
        <f>1</f>
        <v>1</v>
      </c>
    </row>
    <row r="4762" spans="2:9" x14ac:dyDescent="0.25">
      <c r="B4762">
        <v>0</v>
      </c>
      <c r="C4762" s="16" t="s">
        <v>13991</v>
      </c>
      <c r="D4762" s="16"/>
      <c r="E4762">
        <v>6</v>
      </c>
      <c r="F4762" t="s">
        <v>7060</v>
      </c>
      <c r="G4762">
        <v>1</v>
      </c>
      <c r="H4762">
        <v>1</v>
      </c>
      <c r="I4762">
        <f>1</f>
        <v>1</v>
      </c>
    </row>
    <row r="4763" spans="2:9" x14ac:dyDescent="0.25">
      <c r="B4763">
        <v>0</v>
      </c>
      <c r="C4763" s="16" t="s">
        <v>13992</v>
      </c>
      <c r="D4763" s="16"/>
      <c r="E4763">
        <v>6</v>
      </c>
      <c r="F4763" t="s">
        <v>7061</v>
      </c>
      <c r="G4763">
        <v>1</v>
      </c>
      <c r="H4763">
        <v>1</v>
      </c>
      <c r="I4763">
        <f>1</f>
        <v>1</v>
      </c>
    </row>
    <row r="4764" spans="2:9" x14ac:dyDescent="0.25">
      <c r="B4764">
        <v>0</v>
      </c>
      <c r="C4764" s="16" t="s">
        <v>13993</v>
      </c>
      <c r="D4764" s="16"/>
      <c r="E4764">
        <v>6</v>
      </c>
      <c r="F4764" t="s">
        <v>7062</v>
      </c>
      <c r="G4764">
        <v>1</v>
      </c>
      <c r="H4764">
        <v>1</v>
      </c>
      <c r="I4764">
        <f>1</f>
        <v>1</v>
      </c>
    </row>
    <row r="4765" spans="2:9" x14ac:dyDescent="0.25">
      <c r="B4765">
        <v>0</v>
      </c>
      <c r="C4765" s="16" t="s">
        <v>13994</v>
      </c>
      <c r="D4765" s="16"/>
      <c r="E4765">
        <v>6</v>
      </c>
      <c r="F4765" t="s">
        <v>4680</v>
      </c>
      <c r="G4765">
        <v>1</v>
      </c>
      <c r="H4765">
        <v>1</v>
      </c>
      <c r="I4765">
        <f>1</f>
        <v>1</v>
      </c>
    </row>
    <row r="4766" spans="2:9" x14ac:dyDescent="0.25">
      <c r="B4766">
        <v>0</v>
      </c>
      <c r="C4766" s="16" t="s">
        <v>13995</v>
      </c>
      <c r="D4766" s="16"/>
      <c r="E4766">
        <v>6</v>
      </c>
      <c r="F4766" t="s">
        <v>7063</v>
      </c>
      <c r="G4766">
        <v>1</v>
      </c>
      <c r="H4766">
        <v>1</v>
      </c>
      <c r="I4766">
        <f>1</f>
        <v>1</v>
      </c>
    </row>
    <row r="4767" spans="2:9" x14ac:dyDescent="0.25">
      <c r="B4767">
        <v>0</v>
      </c>
      <c r="C4767" s="16" t="s">
        <v>13996</v>
      </c>
      <c r="D4767" s="16"/>
      <c r="E4767">
        <v>6</v>
      </c>
      <c r="F4767" t="s">
        <v>7064</v>
      </c>
      <c r="G4767">
        <v>1</v>
      </c>
      <c r="H4767">
        <v>1</v>
      </c>
      <c r="I4767">
        <f>1</f>
        <v>1</v>
      </c>
    </row>
    <row r="4768" spans="2:9" x14ac:dyDescent="0.25">
      <c r="B4768">
        <v>0</v>
      </c>
      <c r="C4768" s="16" t="s">
        <v>13997</v>
      </c>
      <c r="D4768" s="16"/>
      <c r="E4768">
        <v>6</v>
      </c>
      <c r="F4768" t="s">
        <v>7065</v>
      </c>
      <c r="G4768">
        <v>1</v>
      </c>
      <c r="H4768">
        <v>1</v>
      </c>
      <c r="I4768">
        <f>1</f>
        <v>1</v>
      </c>
    </row>
    <row r="4769" spans="2:9" x14ac:dyDescent="0.25">
      <c r="B4769">
        <v>0</v>
      </c>
      <c r="C4769" s="16" t="s">
        <v>13998</v>
      </c>
      <c r="D4769" s="16"/>
      <c r="E4769">
        <v>6</v>
      </c>
      <c r="F4769" t="s">
        <v>4690</v>
      </c>
      <c r="G4769">
        <v>1</v>
      </c>
      <c r="H4769">
        <v>1</v>
      </c>
      <c r="I4769">
        <f>1</f>
        <v>1</v>
      </c>
    </row>
    <row r="4770" spans="2:9" x14ac:dyDescent="0.25">
      <c r="B4770">
        <v>0</v>
      </c>
      <c r="C4770" s="16" t="s">
        <v>13999</v>
      </c>
      <c r="D4770" s="16"/>
      <c r="E4770">
        <v>6</v>
      </c>
      <c r="F4770" t="s">
        <v>7066</v>
      </c>
      <c r="G4770">
        <v>1</v>
      </c>
      <c r="H4770">
        <v>1</v>
      </c>
      <c r="I4770">
        <f>1</f>
        <v>1</v>
      </c>
    </row>
    <row r="4771" spans="2:9" x14ac:dyDescent="0.25">
      <c r="B4771">
        <v>0</v>
      </c>
      <c r="C4771" s="16" t="s">
        <v>14000</v>
      </c>
      <c r="D4771" s="16"/>
      <c r="E4771">
        <v>6</v>
      </c>
      <c r="F4771" t="s">
        <v>4680</v>
      </c>
      <c r="G4771">
        <v>1</v>
      </c>
      <c r="H4771">
        <v>1</v>
      </c>
      <c r="I4771">
        <f>1</f>
        <v>1</v>
      </c>
    </row>
    <row r="4772" spans="2:9" x14ac:dyDescent="0.25">
      <c r="B4772">
        <v>0</v>
      </c>
      <c r="C4772" s="16" t="s">
        <v>14001</v>
      </c>
      <c r="D4772" s="16"/>
      <c r="E4772">
        <v>6</v>
      </c>
      <c r="F4772" t="s">
        <v>7067</v>
      </c>
      <c r="G4772">
        <v>1</v>
      </c>
      <c r="H4772">
        <v>1</v>
      </c>
      <c r="I4772">
        <f>1</f>
        <v>1</v>
      </c>
    </row>
    <row r="4773" spans="2:9" x14ac:dyDescent="0.25">
      <c r="B4773">
        <v>0</v>
      </c>
      <c r="C4773" s="16" t="s">
        <v>14002</v>
      </c>
      <c r="D4773" s="16"/>
      <c r="E4773">
        <v>6</v>
      </c>
      <c r="F4773" t="s">
        <v>7068</v>
      </c>
      <c r="G4773">
        <v>1</v>
      </c>
      <c r="H4773">
        <v>1</v>
      </c>
      <c r="I4773">
        <f>1</f>
        <v>1</v>
      </c>
    </row>
    <row r="4774" spans="2:9" x14ac:dyDescent="0.25">
      <c r="B4774">
        <v>0</v>
      </c>
      <c r="C4774" s="16" t="s">
        <v>14003</v>
      </c>
      <c r="D4774" s="16"/>
      <c r="E4774">
        <v>6</v>
      </c>
      <c r="F4774" t="s">
        <v>7069</v>
      </c>
      <c r="G4774">
        <v>1</v>
      </c>
      <c r="H4774">
        <v>1</v>
      </c>
      <c r="I4774">
        <f>1</f>
        <v>1</v>
      </c>
    </row>
    <row r="4775" spans="2:9" x14ac:dyDescent="0.25">
      <c r="B4775">
        <v>0</v>
      </c>
      <c r="C4775" s="16" t="s">
        <v>14004</v>
      </c>
      <c r="D4775" s="16"/>
      <c r="E4775">
        <v>6</v>
      </c>
      <c r="F4775" t="s">
        <v>4680</v>
      </c>
      <c r="G4775">
        <v>1</v>
      </c>
      <c r="H4775">
        <v>1</v>
      </c>
      <c r="I4775">
        <f>1</f>
        <v>1</v>
      </c>
    </row>
    <row r="4776" spans="2:9" x14ac:dyDescent="0.25">
      <c r="B4776">
        <v>0</v>
      </c>
      <c r="C4776" s="16" t="s">
        <v>14005</v>
      </c>
      <c r="D4776" s="16"/>
      <c r="E4776">
        <v>6</v>
      </c>
      <c r="F4776" t="s">
        <v>7070</v>
      </c>
      <c r="G4776">
        <v>1</v>
      </c>
      <c r="H4776">
        <v>1</v>
      </c>
      <c r="I4776">
        <f>1</f>
        <v>1</v>
      </c>
    </row>
    <row r="4777" spans="2:9" x14ac:dyDescent="0.25">
      <c r="B4777">
        <v>0</v>
      </c>
      <c r="C4777" s="16" t="s">
        <v>14006</v>
      </c>
      <c r="D4777" s="16"/>
      <c r="E4777">
        <v>6</v>
      </c>
      <c r="F4777" t="s">
        <v>7071</v>
      </c>
      <c r="G4777">
        <v>1</v>
      </c>
      <c r="H4777">
        <v>1</v>
      </c>
      <c r="I4777">
        <f>1</f>
        <v>1</v>
      </c>
    </row>
    <row r="4778" spans="2:9" x14ac:dyDescent="0.25">
      <c r="B4778">
        <v>0</v>
      </c>
      <c r="C4778" s="16" t="s">
        <v>14007</v>
      </c>
      <c r="D4778" s="16"/>
      <c r="E4778">
        <v>6</v>
      </c>
      <c r="F4778" t="s">
        <v>7072</v>
      </c>
      <c r="G4778">
        <v>1</v>
      </c>
      <c r="H4778">
        <v>1</v>
      </c>
      <c r="I4778">
        <f>1</f>
        <v>1</v>
      </c>
    </row>
    <row r="4779" spans="2:9" x14ac:dyDescent="0.25">
      <c r="B4779">
        <v>0</v>
      </c>
      <c r="C4779" s="16" t="s">
        <v>14008</v>
      </c>
      <c r="D4779" s="16"/>
      <c r="E4779">
        <v>6</v>
      </c>
      <c r="F4779" t="s">
        <v>7073</v>
      </c>
      <c r="G4779">
        <v>1</v>
      </c>
      <c r="H4779">
        <v>1</v>
      </c>
      <c r="I4779">
        <f>1</f>
        <v>1</v>
      </c>
    </row>
    <row r="4780" spans="2:9" x14ac:dyDescent="0.25">
      <c r="B4780">
        <v>0</v>
      </c>
      <c r="C4780" s="16" t="s">
        <v>14009</v>
      </c>
      <c r="D4780" s="16"/>
      <c r="E4780">
        <v>6</v>
      </c>
      <c r="F4780" t="s">
        <v>7074</v>
      </c>
      <c r="G4780">
        <v>1</v>
      </c>
      <c r="H4780">
        <v>1</v>
      </c>
      <c r="I4780">
        <f>1</f>
        <v>1</v>
      </c>
    </row>
    <row r="4781" spans="2:9" x14ac:dyDescent="0.25">
      <c r="B4781">
        <v>0</v>
      </c>
      <c r="C4781" s="16" t="s">
        <v>14010</v>
      </c>
      <c r="D4781" s="16"/>
      <c r="E4781">
        <v>6</v>
      </c>
      <c r="F4781" t="s">
        <v>4680</v>
      </c>
      <c r="G4781">
        <v>1</v>
      </c>
      <c r="H4781">
        <v>1</v>
      </c>
      <c r="I4781">
        <f>1</f>
        <v>1</v>
      </c>
    </row>
    <row r="4782" spans="2:9" x14ac:dyDescent="0.25">
      <c r="B4782">
        <v>0</v>
      </c>
      <c r="C4782" s="16" t="s">
        <v>14011</v>
      </c>
      <c r="D4782" s="16"/>
      <c r="E4782">
        <v>6</v>
      </c>
      <c r="F4782" t="s">
        <v>7075</v>
      </c>
      <c r="G4782">
        <v>1</v>
      </c>
      <c r="H4782">
        <v>1</v>
      </c>
      <c r="I4782">
        <f>1</f>
        <v>1</v>
      </c>
    </row>
    <row r="4783" spans="2:9" x14ac:dyDescent="0.25">
      <c r="B4783">
        <v>0</v>
      </c>
      <c r="C4783" s="16" t="s">
        <v>14012</v>
      </c>
      <c r="D4783" s="16"/>
      <c r="E4783">
        <v>6</v>
      </c>
      <c r="F4783" t="s">
        <v>4680</v>
      </c>
      <c r="G4783">
        <v>1</v>
      </c>
      <c r="H4783">
        <v>1</v>
      </c>
      <c r="I4783">
        <f>1</f>
        <v>1</v>
      </c>
    </row>
    <row r="4784" spans="2:9" x14ac:dyDescent="0.25">
      <c r="B4784">
        <v>0</v>
      </c>
      <c r="C4784" s="16" t="s">
        <v>14013</v>
      </c>
      <c r="D4784" s="16"/>
      <c r="E4784">
        <v>6</v>
      </c>
      <c r="F4784" t="s">
        <v>4680</v>
      </c>
      <c r="G4784">
        <v>1</v>
      </c>
      <c r="H4784">
        <v>1</v>
      </c>
      <c r="I4784">
        <f>1</f>
        <v>1</v>
      </c>
    </row>
    <row r="4785" spans="2:9" x14ac:dyDescent="0.25">
      <c r="B4785">
        <v>0</v>
      </c>
      <c r="C4785" s="16" t="s">
        <v>14014</v>
      </c>
      <c r="D4785" s="16"/>
      <c r="E4785">
        <v>6</v>
      </c>
      <c r="F4785" t="e">
        <f>-De Polímeros De Etileno</f>
        <v>#NAME?</v>
      </c>
      <c r="G4785">
        <v>1</v>
      </c>
      <c r="H4785">
        <v>1</v>
      </c>
      <c r="I4785">
        <f>1</f>
        <v>1</v>
      </c>
    </row>
    <row r="4786" spans="2:9" x14ac:dyDescent="0.25">
      <c r="B4786">
        <v>0</v>
      </c>
      <c r="C4786" s="16" t="s">
        <v>14015</v>
      </c>
      <c r="D4786" s="16"/>
      <c r="E4786">
        <v>6</v>
      </c>
      <c r="F4786" t="e">
        <f>-De Polímeros De Estireno</f>
        <v>#NAME?</v>
      </c>
      <c r="G4786">
        <v>1</v>
      </c>
      <c r="H4786">
        <v>1</v>
      </c>
      <c r="I4786">
        <f>1</f>
        <v>1</v>
      </c>
    </row>
    <row r="4787" spans="2:9" x14ac:dyDescent="0.25">
      <c r="B4787">
        <v>0</v>
      </c>
      <c r="C4787" s="16" t="s">
        <v>14016</v>
      </c>
      <c r="D4787" s="16"/>
      <c r="E4787">
        <v>6</v>
      </c>
      <c r="F4787" t="e">
        <f>-De Polímeros De Cloreto De vinila</f>
        <v>#NAME?</v>
      </c>
      <c r="G4787">
        <v>1</v>
      </c>
      <c r="H4787">
        <v>1</v>
      </c>
      <c r="I4787">
        <f>1</f>
        <v>1</v>
      </c>
    </row>
    <row r="4788" spans="2:9" x14ac:dyDescent="0.25">
      <c r="B4788">
        <v>0</v>
      </c>
      <c r="C4788" s="16" t="s">
        <v>14017</v>
      </c>
      <c r="D4788" s="16"/>
      <c r="E4788">
        <v>6</v>
      </c>
      <c r="F4788" t="e">
        <f>-De outros plásticos</f>
        <v>#NAME?</v>
      </c>
      <c r="G4788">
        <v>1</v>
      </c>
      <c r="H4788">
        <v>1</v>
      </c>
      <c r="I4788">
        <f>1</f>
        <v>1</v>
      </c>
    </row>
    <row r="4789" spans="2:9" x14ac:dyDescent="0.25">
      <c r="B4789">
        <v>0</v>
      </c>
      <c r="C4789" s="16" t="s">
        <v>14018</v>
      </c>
      <c r="D4789" s="16"/>
      <c r="E4789">
        <v>6</v>
      </c>
      <c r="F4789" t="e">
        <f>-De Polímeros De Etileno</f>
        <v>#NAME?</v>
      </c>
      <c r="G4789">
        <v>1</v>
      </c>
      <c r="H4789">
        <v>1</v>
      </c>
      <c r="I4789">
        <f>1</f>
        <v>1</v>
      </c>
    </row>
    <row r="4790" spans="2:9" x14ac:dyDescent="0.25">
      <c r="B4790">
        <v>0</v>
      </c>
      <c r="C4790" s="16" t="s">
        <v>14019</v>
      </c>
      <c r="D4790" s="16"/>
      <c r="E4790">
        <v>6</v>
      </c>
      <c r="F4790" t="e">
        <f>-De Polímeros De Cloreto De vinila</f>
        <v>#NAME?</v>
      </c>
      <c r="G4790">
        <v>1</v>
      </c>
      <c r="H4790">
        <v>1</v>
      </c>
      <c r="I4790">
        <f>1</f>
        <v>1</v>
      </c>
    </row>
    <row r="4791" spans="2:9" x14ac:dyDescent="0.25">
      <c r="B4791">
        <v>0</v>
      </c>
      <c r="C4791" s="16" t="s">
        <v>14019</v>
      </c>
      <c r="D4791" s="16" t="s">
        <v>19430</v>
      </c>
      <c r="E4791">
        <v>6</v>
      </c>
      <c r="F4791" t="s">
        <v>7076</v>
      </c>
      <c r="G4791">
        <v>1</v>
      </c>
      <c r="H4791">
        <v>1</v>
      </c>
      <c r="I4791">
        <f>1</f>
        <v>1</v>
      </c>
    </row>
    <row r="4792" spans="2:9" x14ac:dyDescent="0.25">
      <c r="B4792">
        <v>0</v>
      </c>
      <c r="C4792" s="16" t="s">
        <v>14020</v>
      </c>
      <c r="D4792" s="16"/>
      <c r="E4792">
        <v>6</v>
      </c>
      <c r="F4792" t="s">
        <v>7077</v>
      </c>
      <c r="G4792">
        <v>1</v>
      </c>
      <c r="H4792">
        <v>1</v>
      </c>
      <c r="I4792">
        <f>1</f>
        <v>1</v>
      </c>
    </row>
    <row r="4793" spans="2:9" x14ac:dyDescent="0.25">
      <c r="B4793">
        <v>0</v>
      </c>
      <c r="C4793" s="16" t="s">
        <v>14021</v>
      </c>
      <c r="D4793" s="16"/>
      <c r="E4793">
        <v>6</v>
      </c>
      <c r="F4793" t="s">
        <v>4680</v>
      </c>
      <c r="G4793">
        <v>1</v>
      </c>
      <c r="H4793">
        <v>1</v>
      </c>
      <c r="I4793">
        <f>1</f>
        <v>1</v>
      </c>
    </row>
    <row r="4794" spans="2:9" x14ac:dyDescent="0.25">
      <c r="B4794">
        <v>0</v>
      </c>
      <c r="C4794" s="16" t="s">
        <v>14022</v>
      </c>
      <c r="D4794" s="16"/>
      <c r="E4794">
        <v>6</v>
      </c>
      <c r="F4794" t="s">
        <v>7078</v>
      </c>
      <c r="G4794">
        <v>1</v>
      </c>
      <c r="H4794">
        <v>1</v>
      </c>
      <c r="I4794">
        <f>1</f>
        <v>1</v>
      </c>
    </row>
    <row r="4795" spans="2:9" x14ac:dyDescent="0.25">
      <c r="B4795">
        <v>0</v>
      </c>
      <c r="C4795" s="16" t="s">
        <v>14023</v>
      </c>
      <c r="D4795" s="16"/>
      <c r="E4795">
        <v>6</v>
      </c>
      <c r="F4795" t="s">
        <v>7079</v>
      </c>
      <c r="G4795">
        <v>1</v>
      </c>
      <c r="H4795">
        <v>1</v>
      </c>
      <c r="I4795">
        <f>1</f>
        <v>1</v>
      </c>
    </row>
    <row r="4796" spans="2:9" x14ac:dyDescent="0.25">
      <c r="B4796">
        <v>0</v>
      </c>
      <c r="C4796" s="16" t="s">
        <v>14024</v>
      </c>
      <c r="D4796" s="16"/>
      <c r="E4796">
        <v>6</v>
      </c>
      <c r="F4796" t="s">
        <v>4690</v>
      </c>
      <c r="G4796">
        <v>1</v>
      </c>
      <c r="H4796">
        <v>1</v>
      </c>
      <c r="I4796">
        <f>1</f>
        <v>1</v>
      </c>
    </row>
    <row r="4797" spans="2:9" x14ac:dyDescent="0.25">
      <c r="B4797">
        <v>0</v>
      </c>
      <c r="C4797" s="16" t="s">
        <v>14025</v>
      </c>
      <c r="D4797" s="16"/>
      <c r="E4797">
        <v>6</v>
      </c>
      <c r="F4797" t="e">
        <f>--De Polímeros De Etileno</f>
        <v>#NAME?</v>
      </c>
      <c r="G4797">
        <v>1</v>
      </c>
      <c r="H4797">
        <v>1</v>
      </c>
      <c r="I4797">
        <f>1</f>
        <v>1</v>
      </c>
    </row>
    <row r="4798" spans="2:9" x14ac:dyDescent="0.25">
      <c r="B4798">
        <v>0</v>
      </c>
      <c r="C4798" s="16" t="s">
        <v>14026</v>
      </c>
      <c r="D4798" s="16"/>
      <c r="E4798">
        <v>6</v>
      </c>
      <c r="F4798" t="e">
        <f>--De Polímeros De propileno</f>
        <v>#NAME?</v>
      </c>
      <c r="G4798">
        <v>1</v>
      </c>
      <c r="H4798">
        <v>1</v>
      </c>
      <c r="I4798">
        <f>1</f>
        <v>1</v>
      </c>
    </row>
    <row r="4799" spans="2:9" x14ac:dyDescent="0.25">
      <c r="B4799">
        <v>0</v>
      </c>
      <c r="C4799" s="16" t="s">
        <v>14027</v>
      </c>
      <c r="D4799" s="16"/>
      <c r="E4799">
        <v>6</v>
      </c>
      <c r="F4799" t="e">
        <f>--De Polímeros De Cloreto De vinila</f>
        <v>#NAME?</v>
      </c>
      <c r="G4799">
        <v>1</v>
      </c>
      <c r="H4799">
        <v>1</v>
      </c>
      <c r="I4799">
        <f>1</f>
        <v>1</v>
      </c>
    </row>
    <row r="4800" spans="2:9" x14ac:dyDescent="0.25">
      <c r="B4800">
        <v>0</v>
      </c>
      <c r="C4800" s="16" t="s">
        <v>14028</v>
      </c>
      <c r="D4800" s="16"/>
      <c r="E4800">
        <v>6</v>
      </c>
      <c r="F4800" t="e">
        <f>--De outros plásticos</f>
        <v>#NAME?</v>
      </c>
      <c r="G4800">
        <v>1</v>
      </c>
      <c r="H4800">
        <v>1</v>
      </c>
      <c r="I4800">
        <f>1</f>
        <v>1</v>
      </c>
    </row>
    <row r="4801" spans="2:9" x14ac:dyDescent="0.25">
      <c r="B4801">
        <v>0</v>
      </c>
      <c r="C4801" s="16" t="s">
        <v>14029</v>
      </c>
      <c r="D4801" s="16"/>
      <c r="E4801">
        <v>6</v>
      </c>
      <c r="F4801" t="s">
        <v>7080</v>
      </c>
      <c r="G4801">
        <v>1</v>
      </c>
      <c r="H4801">
        <v>1</v>
      </c>
      <c r="I4801">
        <f>1</f>
        <v>1</v>
      </c>
    </row>
    <row r="4802" spans="2:9" x14ac:dyDescent="0.25">
      <c r="B4802">
        <v>0</v>
      </c>
      <c r="C4802" s="16" t="s">
        <v>14030</v>
      </c>
      <c r="D4802" s="16"/>
      <c r="E4802">
        <v>6</v>
      </c>
      <c r="F4802" t="s">
        <v>7081</v>
      </c>
      <c r="G4802">
        <v>1</v>
      </c>
      <c r="H4802">
        <v>1</v>
      </c>
      <c r="I4802">
        <f>1</f>
        <v>1</v>
      </c>
    </row>
    <row r="4803" spans="2:9" x14ac:dyDescent="0.25">
      <c r="B4803">
        <v>0</v>
      </c>
      <c r="C4803" s="16" t="s">
        <v>14031</v>
      </c>
      <c r="D4803" s="16"/>
      <c r="E4803">
        <v>6</v>
      </c>
      <c r="F4803" t="s">
        <v>7082</v>
      </c>
      <c r="G4803">
        <v>1</v>
      </c>
      <c r="H4803">
        <v>1</v>
      </c>
      <c r="I4803">
        <f>1</f>
        <v>1</v>
      </c>
    </row>
    <row r="4804" spans="2:9" x14ac:dyDescent="0.25">
      <c r="B4804">
        <v>0</v>
      </c>
      <c r="C4804" s="16" t="s">
        <v>14032</v>
      </c>
      <c r="D4804" s="16"/>
      <c r="E4804">
        <v>6</v>
      </c>
      <c r="F4804" t="s">
        <v>4680</v>
      </c>
      <c r="G4804">
        <v>1</v>
      </c>
      <c r="H4804">
        <v>1</v>
      </c>
      <c r="I4804">
        <f>1</f>
        <v>1</v>
      </c>
    </row>
    <row r="4805" spans="2:9" x14ac:dyDescent="0.25">
      <c r="B4805">
        <v>0</v>
      </c>
      <c r="C4805" s="16" t="s">
        <v>14033</v>
      </c>
      <c r="D4805" s="16"/>
      <c r="E4805">
        <v>6</v>
      </c>
      <c r="F4805" t="s">
        <v>7083</v>
      </c>
      <c r="G4805">
        <v>1</v>
      </c>
      <c r="H4805">
        <v>1</v>
      </c>
      <c r="I4805">
        <f>1</f>
        <v>1</v>
      </c>
    </row>
    <row r="4806" spans="2:9" x14ac:dyDescent="0.25">
      <c r="B4806">
        <v>0</v>
      </c>
      <c r="C4806" s="16" t="s">
        <v>14034</v>
      </c>
      <c r="D4806" s="16"/>
      <c r="E4806">
        <v>6</v>
      </c>
      <c r="F4806" t="s">
        <v>6693</v>
      </c>
      <c r="G4806">
        <v>1</v>
      </c>
      <c r="H4806">
        <v>1</v>
      </c>
      <c r="I4806">
        <f>1</f>
        <v>1</v>
      </c>
    </row>
    <row r="4807" spans="2:9" x14ac:dyDescent="0.25">
      <c r="B4807">
        <v>0</v>
      </c>
      <c r="C4807" s="16" t="s">
        <v>14035</v>
      </c>
      <c r="D4807" s="16"/>
      <c r="E4807">
        <v>6</v>
      </c>
      <c r="F4807" t="s">
        <v>7084</v>
      </c>
      <c r="G4807">
        <v>1</v>
      </c>
      <c r="H4807">
        <v>1</v>
      </c>
      <c r="I4807">
        <f>1</f>
        <v>1</v>
      </c>
    </row>
    <row r="4808" spans="2:9" x14ac:dyDescent="0.25">
      <c r="B4808">
        <v>0</v>
      </c>
      <c r="C4808" s="16" t="s">
        <v>14036</v>
      </c>
      <c r="D4808" s="16"/>
      <c r="E4808">
        <v>6</v>
      </c>
      <c r="F4808" t="s">
        <v>4680</v>
      </c>
      <c r="G4808">
        <v>1</v>
      </c>
      <c r="H4808">
        <v>1</v>
      </c>
      <c r="I4808">
        <f>1</f>
        <v>1</v>
      </c>
    </row>
    <row r="4809" spans="2:9" x14ac:dyDescent="0.25">
      <c r="B4809">
        <v>0</v>
      </c>
      <c r="C4809" s="16" t="s">
        <v>14037</v>
      </c>
      <c r="D4809" s="16"/>
      <c r="E4809">
        <v>6</v>
      </c>
      <c r="F4809" t="s">
        <v>4680</v>
      </c>
      <c r="G4809">
        <v>1</v>
      </c>
      <c r="H4809">
        <v>1</v>
      </c>
      <c r="I4809">
        <f>1</f>
        <v>1</v>
      </c>
    </row>
    <row r="4810" spans="2:9" x14ac:dyDescent="0.25">
      <c r="B4810">
        <v>0</v>
      </c>
      <c r="C4810" s="16" t="s">
        <v>14038</v>
      </c>
      <c r="D4810" s="16"/>
      <c r="E4810">
        <v>6</v>
      </c>
      <c r="F4810" t="s">
        <v>7085</v>
      </c>
      <c r="G4810">
        <v>1</v>
      </c>
      <c r="H4810">
        <v>1</v>
      </c>
      <c r="I4810">
        <f>1</f>
        <v>1</v>
      </c>
    </row>
    <row r="4811" spans="2:9" x14ac:dyDescent="0.25">
      <c r="B4811">
        <v>0</v>
      </c>
      <c r="C4811" s="16" t="s">
        <v>14039</v>
      </c>
      <c r="D4811" s="16"/>
      <c r="E4811">
        <v>6</v>
      </c>
      <c r="F4811" t="e">
        <f>--outros</f>
        <v>#NAME?</v>
      </c>
      <c r="G4811">
        <v>1</v>
      </c>
      <c r="H4811">
        <v>1</v>
      </c>
      <c r="I4811">
        <f>1</f>
        <v>1</v>
      </c>
    </row>
    <row r="4812" spans="2:9" x14ac:dyDescent="0.25">
      <c r="B4812">
        <v>0</v>
      </c>
      <c r="C4812" s="16" t="s">
        <v>14040</v>
      </c>
      <c r="D4812" s="16"/>
      <c r="E4812">
        <v>6</v>
      </c>
      <c r="F4812" t="s">
        <v>7086</v>
      </c>
      <c r="G4812">
        <v>1</v>
      </c>
      <c r="H4812">
        <v>1</v>
      </c>
      <c r="I4812">
        <f>1</f>
        <v>1</v>
      </c>
    </row>
    <row r="4813" spans="2:9" x14ac:dyDescent="0.25">
      <c r="B4813">
        <v>0</v>
      </c>
      <c r="C4813" s="16" t="s">
        <v>14041</v>
      </c>
      <c r="D4813" s="16"/>
      <c r="E4813">
        <v>6</v>
      </c>
      <c r="F4813" t="s">
        <v>4680</v>
      </c>
      <c r="G4813">
        <v>1</v>
      </c>
      <c r="H4813">
        <v>1</v>
      </c>
      <c r="I4813">
        <f>1</f>
        <v>1</v>
      </c>
    </row>
    <row r="4814" spans="2:9" x14ac:dyDescent="0.25">
      <c r="B4814">
        <v>0</v>
      </c>
      <c r="C4814" s="16" t="s">
        <v>14042</v>
      </c>
      <c r="D4814" s="16"/>
      <c r="E4814">
        <v>6</v>
      </c>
      <c r="F4814" t="e">
        <f>-De Polímeros De Cloreto De vinila</f>
        <v>#NAME?</v>
      </c>
      <c r="G4814">
        <v>1</v>
      </c>
      <c r="H4814">
        <v>1</v>
      </c>
      <c r="I4814">
        <f>1</f>
        <v>1</v>
      </c>
    </row>
    <row r="4815" spans="2:9" x14ac:dyDescent="0.25">
      <c r="B4815">
        <v>0</v>
      </c>
      <c r="C4815" s="16" t="s">
        <v>14043</v>
      </c>
      <c r="D4815" s="16"/>
      <c r="E4815">
        <v>6</v>
      </c>
      <c r="F4815" t="e">
        <f>-De outros plásticos</f>
        <v>#NAME?</v>
      </c>
      <c r="G4815">
        <v>1</v>
      </c>
      <c r="H4815">
        <v>1</v>
      </c>
      <c r="I4815">
        <f>1</f>
        <v>1</v>
      </c>
    </row>
    <row r="4816" spans="2:9" x14ac:dyDescent="0.25">
      <c r="B4816">
        <v>0</v>
      </c>
      <c r="C4816" s="16" t="s">
        <v>14044</v>
      </c>
      <c r="D4816" s="16"/>
      <c r="E4816">
        <v>6</v>
      </c>
      <c r="F4816" t="s">
        <v>7087</v>
      </c>
      <c r="G4816">
        <v>1</v>
      </c>
      <c r="H4816">
        <v>1</v>
      </c>
      <c r="I4816">
        <f>1</f>
        <v>1</v>
      </c>
    </row>
    <row r="4817" spans="2:9" x14ac:dyDescent="0.25">
      <c r="B4817">
        <v>0</v>
      </c>
      <c r="C4817" s="16" t="s">
        <v>14045</v>
      </c>
      <c r="D4817" s="16"/>
      <c r="E4817">
        <v>6</v>
      </c>
      <c r="F4817" t="e">
        <f>-Outras</f>
        <v>#NAME?</v>
      </c>
      <c r="G4817">
        <v>1</v>
      </c>
      <c r="H4817">
        <v>1</v>
      </c>
      <c r="I4817">
        <f>1</f>
        <v>1</v>
      </c>
    </row>
    <row r="4818" spans="2:9" x14ac:dyDescent="0.25">
      <c r="B4818">
        <v>0</v>
      </c>
      <c r="C4818" s="16" t="s">
        <v>14046</v>
      </c>
      <c r="D4818" s="16"/>
      <c r="E4818">
        <v>6</v>
      </c>
      <c r="F4818" t="s">
        <v>7088</v>
      </c>
      <c r="G4818">
        <v>1</v>
      </c>
      <c r="H4818">
        <v>1</v>
      </c>
      <c r="I4818">
        <f>1</f>
        <v>1</v>
      </c>
    </row>
    <row r="4819" spans="2:9" x14ac:dyDescent="0.25">
      <c r="B4819">
        <v>0</v>
      </c>
      <c r="C4819" s="16" t="s">
        <v>14047</v>
      </c>
      <c r="D4819" s="16"/>
      <c r="E4819">
        <v>6</v>
      </c>
      <c r="F4819" t="s">
        <v>7089</v>
      </c>
      <c r="G4819">
        <v>1</v>
      </c>
      <c r="H4819">
        <v>1</v>
      </c>
      <c r="I4819">
        <f>1</f>
        <v>1</v>
      </c>
    </row>
    <row r="4820" spans="2:9" x14ac:dyDescent="0.25">
      <c r="B4820">
        <v>0</v>
      </c>
      <c r="C4820" s="16" t="s">
        <v>14048</v>
      </c>
      <c r="D4820" s="16"/>
      <c r="E4820">
        <v>6</v>
      </c>
      <c r="F4820" t="s">
        <v>4690</v>
      </c>
      <c r="G4820">
        <v>1</v>
      </c>
      <c r="H4820">
        <v>1</v>
      </c>
      <c r="I4820">
        <f>1</f>
        <v>1</v>
      </c>
    </row>
    <row r="4821" spans="2:9" x14ac:dyDescent="0.25">
      <c r="B4821">
        <v>0</v>
      </c>
      <c r="C4821" s="16" t="s">
        <v>14049</v>
      </c>
      <c r="D4821" s="16"/>
      <c r="E4821">
        <v>6</v>
      </c>
      <c r="F4821" t="s">
        <v>7090</v>
      </c>
      <c r="G4821">
        <v>1</v>
      </c>
      <c r="H4821">
        <v>1</v>
      </c>
      <c r="I4821">
        <f>1</f>
        <v>1</v>
      </c>
    </row>
    <row r="4822" spans="2:9" x14ac:dyDescent="0.25">
      <c r="B4822">
        <v>0</v>
      </c>
      <c r="C4822" s="16" t="s">
        <v>14050</v>
      </c>
      <c r="D4822" s="16"/>
      <c r="E4822">
        <v>6</v>
      </c>
      <c r="F4822" t="s">
        <v>7091</v>
      </c>
      <c r="G4822">
        <v>1</v>
      </c>
      <c r="H4822">
        <v>1</v>
      </c>
      <c r="I4822">
        <f>1</f>
        <v>1</v>
      </c>
    </row>
    <row r="4823" spans="2:9" x14ac:dyDescent="0.25">
      <c r="B4823">
        <v>0</v>
      </c>
      <c r="C4823" s="16" t="s">
        <v>14051</v>
      </c>
      <c r="D4823" s="16"/>
      <c r="E4823">
        <v>6</v>
      </c>
      <c r="F4823" t="s">
        <v>4690</v>
      </c>
      <c r="G4823">
        <v>1</v>
      </c>
      <c r="H4823">
        <v>1</v>
      </c>
      <c r="I4823">
        <f>1</f>
        <v>1</v>
      </c>
    </row>
    <row r="4824" spans="2:9" x14ac:dyDescent="0.25">
      <c r="B4824">
        <v>0</v>
      </c>
      <c r="C4824" s="16" t="s">
        <v>14051</v>
      </c>
      <c r="D4824" s="16" t="s">
        <v>19430</v>
      </c>
      <c r="E4824">
        <v>6</v>
      </c>
      <c r="F4824" t="s">
        <v>7092</v>
      </c>
      <c r="G4824">
        <v>1</v>
      </c>
      <c r="H4824">
        <v>1</v>
      </c>
      <c r="I4824">
        <f>1</f>
        <v>1</v>
      </c>
    </row>
    <row r="4825" spans="2:9" x14ac:dyDescent="0.25">
      <c r="B4825">
        <v>0</v>
      </c>
      <c r="C4825" s="16" t="s">
        <v>14052</v>
      </c>
      <c r="D4825" s="16"/>
      <c r="E4825">
        <v>6</v>
      </c>
      <c r="F4825" t="s">
        <v>4690</v>
      </c>
      <c r="G4825">
        <v>1</v>
      </c>
      <c r="H4825">
        <v>1</v>
      </c>
      <c r="I4825">
        <f>1</f>
        <v>1</v>
      </c>
    </row>
    <row r="4826" spans="2:9" x14ac:dyDescent="0.25">
      <c r="B4826">
        <v>0</v>
      </c>
      <c r="C4826" s="16" t="s">
        <v>14053</v>
      </c>
      <c r="D4826" s="16"/>
      <c r="E4826">
        <v>6</v>
      </c>
      <c r="F4826" t="e">
        <f>-De Polímeros De Estireno</f>
        <v>#NAME?</v>
      </c>
      <c r="G4826">
        <v>1</v>
      </c>
      <c r="H4826">
        <v>1</v>
      </c>
      <c r="I4826">
        <f>1</f>
        <v>1</v>
      </c>
    </row>
    <row r="4827" spans="2:9" x14ac:dyDescent="0.25">
      <c r="B4827">
        <v>0</v>
      </c>
      <c r="C4827" s="16" t="s">
        <v>14053</v>
      </c>
      <c r="D4827" s="16" t="s">
        <v>19430</v>
      </c>
      <c r="E4827">
        <v>6</v>
      </c>
      <c r="F4827" t="s">
        <v>7093</v>
      </c>
      <c r="G4827">
        <v>1</v>
      </c>
      <c r="H4827">
        <v>1</v>
      </c>
      <c r="I4827">
        <f>1</f>
        <v>1</v>
      </c>
    </row>
    <row r="4828" spans="2:9" x14ac:dyDescent="0.25">
      <c r="B4828">
        <v>0</v>
      </c>
      <c r="C4828" s="16" t="s">
        <v>14054</v>
      </c>
      <c r="D4828" s="16"/>
      <c r="E4828">
        <v>6</v>
      </c>
      <c r="F4828" t="s">
        <v>7094</v>
      </c>
      <c r="G4828">
        <v>1</v>
      </c>
      <c r="H4828">
        <v>1</v>
      </c>
      <c r="I4828">
        <f>1</f>
        <v>1</v>
      </c>
    </row>
    <row r="4829" spans="2:9" x14ac:dyDescent="0.25">
      <c r="B4829">
        <v>0</v>
      </c>
      <c r="C4829" s="16" t="s">
        <v>14055</v>
      </c>
      <c r="D4829" s="16"/>
      <c r="E4829">
        <v>6</v>
      </c>
      <c r="F4829" t="s">
        <v>4690</v>
      </c>
      <c r="G4829">
        <v>1</v>
      </c>
      <c r="H4829">
        <v>1</v>
      </c>
      <c r="I4829">
        <f>1</f>
        <v>1</v>
      </c>
    </row>
    <row r="4830" spans="2:9" x14ac:dyDescent="0.25">
      <c r="B4830">
        <v>0</v>
      </c>
      <c r="C4830" s="16" t="s">
        <v>14056</v>
      </c>
      <c r="D4830" s="16"/>
      <c r="E4830">
        <v>6</v>
      </c>
      <c r="F4830" t="e">
        <f>--Outras</f>
        <v>#NAME?</v>
      </c>
      <c r="G4830">
        <v>1</v>
      </c>
      <c r="H4830">
        <v>1</v>
      </c>
      <c r="I4830">
        <f>1</f>
        <v>1</v>
      </c>
    </row>
    <row r="4831" spans="2:9" x14ac:dyDescent="0.25">
      <c r="B4831">
        <v>0</v>
      </c>
      <c r="C4831" s="16" t="s">
        <v>14056</v>
      </c>
      <c r="D4831" s="16" t="s">
        <v>19430</v>
      </c>
      <c r="E4831">
        <v>6</v>
      </c>
      <c r="F4831" t="s">
        <v>7095</v>
      </c>
      <c r="G4831">
        <v>1</v>
      </c>
      <c r="H4831">
        <v>1</v>
      </c>
      <c r="I4831">
        <f>1</f>
        <v>1</v>
      </c>
    </row>
    <row r="4832" spans="2:9" x14ac:dyDescent="0.25">
      <c r="B4832">
        <v>0</v>
      </c>
      <c r="C4832" s="16" t="s">
        <v>14057</v>
      </c>
      <c r="D4832" s="16"/>
      <c r="E4832">
        <v>6</v>
      </c>
      <c r="F4832" t="e">
        <f>--De Poli metacrilato De metila</f>
        <v>#NAME?</v>
      </c>
      <c r="G4832">
        <v>1</v>
      </c>
      <c r="H4832">
        <v>1</v>
      </c>
      <c r="I4832">
        <f>1</f>
        <v>1</v>
      </c>
    </row>
    <row r="4833" spans="2:9" x14ac:dyDescent="0.25">
      <c r="B4833">
        <v>0</v>
      </c>
      <c r="C4833" s="16" t="s">
        <v>14058</v>
      </c>
      <c r="D4833" s="16"/>
      <c r="E4833">
        <v>6</v>
      </c>
      <c r="F4833" t="e">
        <f>--Outras</f>
        <v>#NAME?</v>
      </c>
      <c r="G4833">
        <v>1</v>
      </c>
      <c r="H4833">
        <v>1</v>
      </c>
      <c r="I4833">
        <f>1</f>
        <v>1</v>
      </c>
    </row>
    <row r="4834" spans="2:9" x14ac:dyDescent="0.25">
      <c r="B4834">
        <v>0</v>
      </c>
      <c r="C4834" s="16" t="s">
        <v>14059</v>
      </c>
      <c r="D4834" s="16"/>
      <c r="E4834">
        <v>6</v>
      </c>
      <c r="F4834" t="e">
        <f>--De policarbonatos</f>
        <v>#NAME?</v>
      </c>
      <c r="G4834">
        <v>1</v>
      </c>
      <c r="H4834">
        <v>1</v>
      </c>
      <c r="I4834">
        <f>1</f>
        <v>1</v>
      </c>
    </row>
    <row r="4835" spans="2:9" x14ac:dyDescent="0.25">
      <c r="B4835">
        <v>0</v>
      </c>
      <c r="C4835" s="16" t="s">
        <v>14060</v>
      </c>
      <c r="D4835" s="16"/>
      <c r="E4835">
        <v>6</v>
      </c>
      <c r="F4835" t="s">
        <v>7096</v>
      </c>
      <c r="G4835">
        <v>1</v>
      </c>
      <c r="H4835">
        <v>1</v>
      </c>
      <c r="I4835">
        <f>1</f>
        <v>1</v>
      </c>
    </row>
    <row r="4836" spans="2:9" x14ac:dyDescent="0.25">
      <c r="B4836">
        <v>0</v>
      </c>
      <c r="C4836" s="16" t="s">
        <v>14061</v>
      </c>
      <c r="D4836" s="16"/>
      <c r="E4836">
        <v>6</v>
      </c>
      <c r="F4836" t="s">
        <v>4690</v>
      </c>
      <c r="G4836">
        <v>1</v>
      </c>
      <c r="H4836">
        <v>1</v>
      </c>
      <c r="I4836">
        <f>1</f>
        <v>1</v>
      </c>
    </row>
    <row r="4837" spans="2:9" x14ac:dyDescent="0.25">
      <c r="B4837">
        <v>0</v>
      </c>
      <c r="C4837" s="16" t="s">
        <v>14062</v>
      </c>
      <c r="D4837" s="16"/>
      <c r="E4837">
        <v>6</v>
      </c>
      <c r="F4837" t="s">
        <v>7097</v>
      </c>
      <c r="G4837">
        <v>1</v>
      </c>
      <c r="H4837">
        <v>1</v>
      </c>
      <c r="I4837">
        <f>1</f>
        <v>1</v>
      </c>
    </row>
    <row r="4838" spans="2:9" x14ac:dyDescent="0.25">
      <c r="B4838">
        <v>0</v>
      </c>
      <c r="C4838" s="16" t="s">
        <v>14063</v>
      </c>
      <c r="D4838" s="16"/>
      <c r="E4838">
        <v>6</v>
      </c>
      <c r="F4838" t="s">
        <v>4690</v>
      </c>
      <c r="G4838">
        <v>1</v>
      </c>
      <c r="H4838">
        <v>1</v>
      </c>
      <c r="I4838">
        <f>1</f>
        <v>1</v>
      </c>
    </row>
    <row r="4839" spans="2:9" x14ac:dyDescent="0.25">
      <c r="B4839">
        <v>0</v>
      </c>
      <c r="C4839" s="16" t="s">
        <v>14063</v>
      </c>
      <c r="D4839" s="16" t="s">
        <v>19430</v>
      </c>
      <c r="E4839">
        <v>6</v>
      </c>
      <c r="F4839" t="s">
        <v>7098</v>
      </c>
      <c r="G4839">
        <v>1</v>
      </c>
      <c r="H4839">
        <v>1</v>
      </c>
      <c r="I4839">
        <f>1</f>
        <v>1</v>
      </c>
    </row>
    <row r="4840" spans="2:9" x14ac:dyDescent="0.25">
      <c r="B4840">
        <v>0</v>
      </c>
      <c r="C4840" s="16" t="s">
        <v>14064</v>
      </c>
      <c r="D4840" s="16"/>
      <c r="E4840">
        <v>6</v>
      </c>
      <c r="F4840" t="e">
        <f>--De poliésteres Não Saturados</f>
        <v>#NAME?</v>
      </c>
      <c r="G4840">
        <v>1</v>
      </c>
      <c r="H4840">
        <v>1</v>
      </c>
      <c r="I4840">
        <f>1</f>
        <v>1</v>
      </c>
    </row>
    <row r="4841" spans="2:9" x14ac:dyDescent="0.25">
      <c r="B4841">
        <v>0</v>
      </c>
      <c r="C4841" s="16" t="s">
        <v>14065</v>
      </c>
      <c r="D4841" s="16"/>
      <c r="E4841">
        <v>6</v>
      </c>
      <c r="F4841" t="e">
        <f>--De outros poliésteres</f>
        <v>#NAME?</v>
      </c>
      <c r="G4841">
        <v>1</v>
      </c>
      <c r="H4841">
        <v>1</v>
      </c>
      <c r="I4841">
        <f>1</f>
        <v>1</v>
      </c>
    </row>
    <row r="4842" spans="2:9" x14ac:dyDescent="0.25">
      <c r="B4842">
        <v>0</v>
      </c>
      <c r="C4842" s="16" t="s">
        <v>14066</v>
      </c>
      <c r="D4842" s="16"/>
      <c r="E4842">
        <v>6</v>
      </c>
      <c r="F4842" t="e">
        <f>--De celulose regenerada</f>
        <v>#NAME?</v>
      </c>
      <c r="G4842">
        <v>1</v>
      </c>
      <c r="H4842">
        <v>1</v>
      </c>
      <c r="I4842">
        <f>1</f>
        <v>1</v>
      </c>
    </row>
    <row r="4843" spans="2:9" x14ac:dyDescent="0.25">
      <c r="B4843">
        <v>0</v>
      </c>
      <c r="C4843" s="16" t="s">
        <v>14067</v>
      </c>
      <c r="D4843" s="16"/>
      <c r="E4843">
        <v>6</v>
      </c>
      <c r="F4843" t="s">
        <v>7099</v>
      </c>
      <c r="G4843">
        <v>1</v>
      </c>
      <c r="H4843">
        <v>1</v>
      </c>
      <c r="I4843">
        <f>1</f>
        <v>1</v>
      </c>
    </row>
    <row r="4844" spans="2:9" x14ac:dyDescent="0.25">
      <c r="B4844">
        <v>0</v>
      </c>
      <c r="C4844" s="16" t="s">
        <v>14068</v>
      </c>
      <c r="D4844" s="16"/>
      <c r="E4844">
        <v>6</v>
      </c>
      <c r="F4844" t="s">
        <v>4690</v>
      </c>
      <c r="G4844">
        <v>1</v>
      </c>
      <c r="H4844">
        <v>1</v>
      </c>
      <c r="I4844">
        <f>1</f>
        <v>1</v>
      </c>
    </row>
    <row r="4845" spans="2:9" x14ac:dyDescent="0.25">
      <c r="B4845">
        <v>0</v>
      </c>
      <c r="C4845" s="16" t="s">
        <v>14069</v>
      </c>
      <c r="D4845" s="16"/>
      <c r="E4845">
        <v>6</v>
      </c>
      <c r="F4845" t="s">
        <v>7100</v>
      </c>
      <c r="G4845">
        <v>1</v>
      </c>
      <c r="H4845">
        <v>1</v>
      </c>
      <c r="I4845">
        <f>1</f>
        <v>1</v>
      </c>
    </row>
    <row r="4846" spans="2:9" x14ac:dyDescent="0.25">
      <c r="B4846">
        <v>0</v>
      </c>
      <c r="C4846" s="16" t="s">
        <v>14070</v>
      </c>
      <c r="D4846" s="16"/>
      <c r="E4846">
        <v>6</v>
      </c>
      <c r="F4846" t="s">
        <v>4680</v>
      </c>
      <c r="G4846">
        <v>1</v>
      </c>
      <c r="H4846">
        <v>1</v>
      </c>
      <c r="I4846">
        <f>1</f>
        <v>1</v>
      </c>
    </row>
    <row r="4847" spans="2:9" x14ac:dyDescent="0.25">
      <c r="B4847">
        <v>0</v>
      </c>
      <c r="C4847" s="16" t="s">
        <v>14071</v>
      </c>
      <c r="D4847" s="16"/>
      <c r="E4847">
        <v>6</v>
      </c>
      <c r="F4847" t="e">
        <f>--De Poli butiral De vinila</f>
        <v>#NAME?</v>
      </c>
      <c r="G4847">
        <v>1</v>
      </c>
      <c r="H4847">
        <v>1</v>
      </c>
      <c r="I4847">
        <f>1</f>
        <v>1</v>
      </c>
    </row>
    <row r="4848" spans="2:9" x14ac:dyDescent="0.25">
      <c r="B4848">
        <v>0</v>
      </c>
      <c r="C4848" s="16" t="s">
        <v>14072</v>
      </c>
      <c r="D4848" s="16"/>
      <c r="E4848">
        <v>6</v>
      </c>
      <c r="F4848" t="e">
        <f>--De poliamidas</f>
        <v>#NAME?</v>
      </c>
      <c r="G4848">
        <v>1</v>
      </c>
      <c r="H4848">
        <v>1</v>
      </c>
      <c r="I4848">
        <f>1</f>
        <v>1</v>
      </c>
    </row>
    <row r="4849" spans="2:9" x14ac:dyDescent="0.25">
      <c r="B4849">
        <v>0</v>
      </c>
      <c r="C4849" s="16" t="s">
        <v>14073</v>
      </c>
      <c r="D4849" s="16"/>
      <c r="E4849">
        <v>6</v>
      </c>
      <c r="F4849" t="e">
        <f>--De Resinas amínicas</f>
        <v>#NAME?</v>
      </c>
      <c r="G4849">
        <v>1</v>
      </c>
      <c r="H4849">
        <v>1</v>
      </c>
      <c r="I4849">
        <f>1</f>
        <v>1</v>
      </c>
    </row>
    <row r="4850" spans="2:9" x14ac:dyDescent="0.25">
      <c r="B4850">
        <v>0</v>
      </c>
      <c r="C4850" s="16" t="s">
        <v>14074</v>
      </c>
      <c r="D4850" s="16"/>
      <c r="E4850">
        <v>6</v>
      </c>
      <c r="F4850" t="e">
        <f>--De Resinas fenólicas</f>
        <v>#NAME?</v>
      </c>
      <c r="G4850">
        <v>1</v>
      </c>
      <c r="H4850">
        <v>1</v>
      </c>
      <c r="I4850">
        <f>1</f>
        <v>1</v>
      </c>
    </row>
    <row r="4851" spans="2:9" x14ac:dyDescent="0.25">
      <c r="B4851">
        <v>0</v>
      </c>
      <c r="C4851" s="16" t="s">
        <v>14075</v>
      </c>
      <c r="D4851" s="16"/>
      <c r="E4851">
        <v>6</v>
      </c>
      <c r="F4851" t="s">
        <v>7101</v>
      </c>
      <c r="G4851">
        <v>1</v>
      </c>
      <c r="H4851">
        <v>1</v>
      </c>
      <c r="I4851">
        <f>1</f>
        <v>1</v>
      </c>
    </row>
    <row r="4852" spans="2:9" x14ac:dyDescent="0.25">
      <c r="B4852">
        <v>0</v>
      </c>
      <c r="C4852" s="16" t="s">
        <v>14076</v>
      </c>
      <c r="D4852" s="16"/>
      <c r="E4852">
        <v>6</v>
      </c>
      <c r="F4852" t="s">
        <v>7102</v>
      </c>
      <c r="G4852">
        <v>1</v>
      </c>
      <c r="H4852">
        <v>1</v>
      </c>
      <c r="I4852">
        <f>1</f>
        <v>1</v>
      </c>
    </row>
    <row r="4853" spans="2:9" x14ac:dyDescent="0.25">
      <c r="B4853">
        <v>0</v>
      </c>
      <c r="C4853" s="16" t="s">
        <v>14077</v>
      </c>
      <c r="D4853" s="16"/>
      <c r="E4853">
        <v>6</v>
      </c>
      <c r="F4853" t="s">
        <v>7103</v>
      </c>
      <c r="G4853">
        <v>1</v>
      </c>
      <c r="H4853">
        <v>1</v>
      </c>
      <c r="I4853">
        <f>1</f>
        <v>1</v>
      </c>
    </row>
    <row r="4854" spans="2:9" x14ac:dyDescent="0.25">
      <c r="B4854">
        <v>0</v>
      </c>
      <c r="C4854" s="16" t="s">
        <v>14078</v>
      </c>
      <c r="D4854" s="16"/>
      <c r="E4854">
        <v>6</v>
      </c>
      <c r="F4854" t="s">
        <v>7104</v>
      </c>
      <c r="G4854">
        <v>1</v>
      </c>
      <c r="H4854">
        <v>1</v>
      </c>
      <c r="I4854">
        <f>1</f>
        <v>1</v>
      </c>
    </row>
    <row r="4855" spans="2:9" x14ac:dyDescent="0.25">
      <c r="B4855">
        <v>0</v>
      </c>
      <c r="C4855" s="16" t="s">
        <v>14079</v>
      </c>
      <c r="D4855" s="16"/>
      <c r="E4855">
        <v>6</v>
      </c>
      <c r="F4855" t="s">
        <v>7105</v>
      </c>
      <c r="G4855">
        <v>1</v>
      </c>
      <c r="H4855">
        <v>1</v>
      </c>
      <c r="I4855">
        <f>1</f>
        <v>1</v>
      </c>
    </row>
    <row r="4856" spans="2:9" x14ac:dyDescent="0.25">
      <c r="B4856">
        <v>0</v>
      </c>
      <c r="C4856" s="16" t="s">
        <v>14080</v>
      </c>
      <c r="D4856" s="16"/>
      <c r="E4856">
        <v>6</v>
      </c>
      <c r="F4856" t="s">
        <v>4690</v>
      </c>
      <c r="G4856">
        <v>1</v>
      </c>
      <c r="H4856">
        <v>1</v>
      </c>
      <c r="I4856">
        <f>1</f>
        <v>1</v>
      </c>
    </row>
    <row r="4857" spans="2:9" x14ac:dyDescent="0.25">
      <c r="B4857">
        <v>0</v>
      </c>
      <c r="C4857" s="16" t="s">
        <v>14081</v>
      </c>
      <c r="D4857" s="16"/>
      <c r="E4857">
        <v>6</v>
      </c>
      <c r="F4857" t="e">
        <f>--De Polímeros De Estireno</f>
        <v>#NAME?</v>
      </c>
      <c r="G4857">
        <v>1</v>
      </c>
      <c r="H4857">
        <v>1</v>
      </c>
      <c r="I4857">
        <f>1</f>
        <v>1</v>
      </c>
    </row>
    <row r="4858" spans="2:9" x14ac:dyDescent="0.25">
      <c r="B4858">
        <v>0</v>
      </c>
      <c r="C4858" s="16" t="s">
        <v>14082</v>
      </c>
      <c r="D4858" s="16"/>
      <c r="E4858">
        <v>6</v>
      </c>
      <c r="F4858" t="e">
        <f>--De Polímeros De Cloreto De vinila</f>
        <v>#NAME?</v>
      </c>
      <c r="G4858">
        <v>1</v>
      </c>
      <c r="H4858">
        <v>1</v>
      </c>
      <c r="I4858">
        <f>1</f>
        <v>1</v>
      </c>
    </row>
    <row r="4859" spans="2:9" x14ac:dyDescent="0.25">
      <c r="B4859">
        <v>0</v>
      </c>
      <c r="C4859" s="16" t="s">
        <v>14083</v>
      </c>
      <c r="D4859" s="16"/>
      <c r="E4859">
        <v>6</v>
      </c>
      <c r="F4859" t="s">
        <v>7106</v>
      </c>
      <c r="G4859">
        <v>1</v>
      </c>
      <c r="H4859">
        <v>1</v>
      </c>
      <c r="I4859">
        <f>1</f>
        <v>1</v>
      </c>
    </row>
    <row r="4860" spans="2:9" x14ac:dyDescent="0.25">
      <c r="B4860">
        <v>0</v>
      </c>
      <c r="C4860" s="16" t="s">
        <v>14084</v>
      </c>
      <c r="D4860" s="16"/>
      <c r="E4860">
        <v>6</v>
      </c>
      <c r="F4860" t="s">
        <v>4690</v>
      </c>
      <c r="G4860">
        <v>1</v>
      </c>
      <c r="H4860">
        <v>1</v>
      </c>
      <c r="I4860">
        <f>1</f>
        <v>1</v>
      </c>
    </row>
    <row r="4861" spans="2:9" x14ac:dyDescent="0.25">
      <c r="B4861">
        <v>0</v>
      </c>
      <c r="C4861" s="16" t="s">
        <v>14085</v>
      </c>
      <c r="D4861" s="16"/>
      <c r="E4861">
        <v>6</v>
      </c>
      <c r="F4861" t="e">
        <f>--De celulose regenerada</f>
        <v>#NAME?</v>
      </c>
      <c r="G4861">
        <v>1</v>
      </c>
      <c r="H4861">
        <v>1</v>
      </c>
      <c r="I4861">
        <f>1</f>
        <v>1</v>
      </c>
    </row>
    <row r="4862" spans="2:9" x14ac:dyDescent="0.25">
      <c r="B4862">
        <v>0</v>
      </c>
      <c r="C4862" s="16" t="s">
        <v>14086</v>
      </c>
      <c r="D4862" s="16"/>
      <c r="E4862">
        <v>6</v>
      </c>
      <c r="F4862" t="e">
        <f>--De outros plásticos</f>
        <v>#NAME?</v>
      </c>
      <c r="G4862">
        <v>1</v>
      </c>
      <c r="H4862">
        <v>1</v>
      </c>
      <c r="I4862">
        <f>1</f>
        <v>1</v>
      </c>
    </row>
    <row r="4863" spans="2:9" x14ac:dyDescent="0.25">
      <c r="B4863">
        <v>0</v>
      </c>
      <c r="C4863" s="16" t="s">
        <v>14087</v>
      </c>
      <c r="D4863" s="16"/>
      <c r="E4863">
        <v>6</v>
      </c>
      <c r="F4863" t="s">
        <v>7107</v>
      </c>
      <c r="G4863">
        <v>1</v>
      </c>
      <c r="H4863">
        <v>1</v>
      </c>
      <c r="I4863">
        <f>1</f>
        <v>1</v>
      </c>
    </row>
    <row r="4864" spans="2:9" x14ac:dyDescent="0.25">
      <c r="B4864">
        <v>0</v>
      </c>
      <c r="C4864" s="16" t="s">
        <v>14088</v>
      </c>
      <c r="D4864" s="16"/>
      <c r="E4864">
        <v>6</v>
      </c>
      <c r="F4864" t="s">
        <v>7108</v>
      </c>
      <c r="G4864">
        <v>1</v>
      </c>
      <c r="H4864">
        <v>1</v>
      </c>
      <c r="I4864">
        <f>1</f>
        <v>1</v>
      </c>
    </row>
    <row r="4865" spans="2:9" x14ac:dyDescent="0.25">
      <c r="B4865">
        <v>0</v>
      </c>
      <c r="C4865" s="16" t="s">
        <v>14089</v>
      </c>
      <c r="D4865" s="16"/>
      <c r="E4865">
        <v>6</v>
      </c>
      <c r="F4865" t="s">
        <v>4690</v>
      </c>
      <c r="G4865">
        <v>1</v>
      </c>
      <c r="H4865">
        <v>1</v>
      </c>
      <c r="I4865">
        <f>1</f>
        <v>1</v>
      </c>
    </row>
    <row r="4866" spans="2:9" x14ac:dyDescent="0.25">
      <c r="B4866">
        <v>0</v>
      </c>
      <c r="C4866" s="16" t="s">
        <v>14090</v>
      </c>
      <c r="D4866" s="16"/>
      <c r="E4866">
        <v>6</v>
      </c>
      <c r="F4866" t="s">
        <v>7109</v>
      </c>
      <c r="G4866">
        <v>1</v>
      </c>
      <c r="H4866">
        <v>1</v>
      </c>
      <c r="I4866">
        <f>1</f>
        <v>1</v>
      </c>
    </row>
    <row r="4867" spans="2:9" x14ac:dyDescent="0.25">
      <c r="B4867">
        <v>0</v>
      </c>
      <c r="C4867" s="16" t="s">
        <v>14091</v>
      </c>
      <c r="D4867" s="16"/>
      <c r="E4867">
        <v>6</v>
      </c>
      <c r="F4867" t="s">
        <v>4690</v>
      </c>
      <c r="G4867">
        <v>1</v>
      </c>
      <c r="H4867">
        <v>1</v>
      </c>
      <c r="I4867">
        <f>1</f>
        <v>1</v>
      </c>
    </row>
    <row r="4868" spans="2:9" x14ac:dyDescent="0.25">
      <c r="B4868">
        <v>0</v>
      </c>
      <c r="C4868" s="16" t="s">
        <v>14092</v>
      </c>
      <c r="D4868" s="16"/>
      <c r="E4868">
        <v>6</v>
      </c>
      <c r="F4868" t="s">
        <v>7110</v>
      </c>
      <c r="G4868">
        <v>1</v>
      </c>
      <c r="H4868">
        <v>1</v>
      </c>
      <c r="I4868">
        <f>1</f>
        <v>1</v>
      </c>
    </row>
    <row r="4869" spans="2:9" x14ac:dyDescent="0.25">
      <c r="B4869">
        <v>0</v>
      </c>
      <c r="C4869" s="16" t="s">
        <v>14093</v>
      </c>
      <c r="D4869" s="16"/>
      <c r="E4869">
        <v>6</v>
      </c>
      <c r="F4869" t="s">
        <v>7111</v>
      </c>
      <c r="G4869">
        <v>1</v>
      </c>
      <c r="H4869">
        <v>1</v>
      </c>
      <c r="I4869">
        <f>1</f>
        <v>1</v>
      </c>
    </row>
    <row r="4870" spans="2:9" x14ac:dyDescent="0.25">
      <c r="B4870">
        <v>0</v>
      </c>
      <c r="C4870" s="16" t="s">
        <v>14094</v>
      </c>
      <c r="D4870" s="16"/>
      <c r="E4870">
        <v>6</v>
      </c>
      <c r="F4870" t="e">
        <f>-outros</f>
        <v>#NAME?</v>
      </c>
      <c r="G4870">
        <v>1</v>
      </c>
      <c r="H4870">
        <v>1</v>
      </c>
      <c r="I4870">
        <f>1</f>
        <v>1</v>
      </c>
    </row>
    <row r="4871" spans="2:9" x14ac:dyDescent="0.25">
      <c r="B4871">
        <v>0</v>
      </c>
      <c r="C4871" s="16" t="s">
        <v>14095</v>
      </c>
      <c r="D4871" s="16"/>
      <c r="E4871">
        <v>6</v>
      </c>
      <c r="F4871" t="s">
        <v>7112</v>
      </c>
      <c r="G4871">
        <v>1</v>
      </c>
      <c r="H4871">
        <v>1</v>
      </c>
      <c r="I4871">
        <f>1</f>
        <v>1</v>
      </c>
    </row>
    <row r="4872" spans="2:9" x14ac:dyDescent="0.25">
      <c r="B4872">
        <v>0</v>
      </c>
      <c r="C4872" s="16" t="s">
        <v>14096</v>
      </c>
      <c r="D4872" s="16"/>
      <c r="E4872">
        <v>6</v>
      </c>
      <c r="F4872" t="s">
        <v>4680</v>
      </c>
      <c r="G4872">
        <v>1</v>
      </c>
      <c r="H4872">
        <v>1</v>
      </c>
      <c r="I4872">
        <f>1</f>
        <v>1</v>
      </c>
    </row>
    <row r="4873" spans="2:9" x14ac:dyDescent="0.25">
      <c r="B4873">
        <v>0</v>
      </c>
      <c r="C4873" s="16" t="s">
        <v>14097</v>
      </c>
      <c r="D4873" s="16"/>
      <c r="E4873">
        <v>6</v>
      </c>
      <c r="F4873" t="s">
        <v>7113</v>
      </c>
      <c r="G4873">
        <v>1</v>
      </c>
      <c r="H4873">
        <v>1</v>
      </c>
      <c r="I4873">
        <f>1</f>
        <v>1</v>
      </c>
    </row>
    <row r="4874" spans="2:9" x14ac:dyDescent="0.25">
      <c r="B4874">
        <v>0</v>
      </c>
      <c r="C4874" s="16" t="s">
        <v>14098</v>
      </c>
      <c r="D4874" s="16"/>
      <c r="E4874">
        <v>6</v>
      </c>
      <c r="F4874" t="s">
        <v>4680</v>
      </c>
      <c r="G4874">
        <v>1</v>
      </c>
      <c r="H4874">
        <v>1</v>
      </c>
      <c r="I4874">
        <f>1</f>
        <v>1</v>
      </c>
    </row>
    <row r="4875" spans="2:9" x14ac:dyDescent="0.25">
      <c r="B4875">
        <v>0</v>
      </c>
      <c r="C4875" s="16" t="s">
        <v>14099</v>
      </c>
      <c r="D4875" s="16"/>
      <c r="E4875">
        <v>6</v>
      </c>
      <c r="F4875" t="s">
        <v>7113</v>
      </c>
      <c r="G4875">
        <v>1</v>
      </c>
      <c r="H4875">
        <v>1</v>
      </c>
      <c r="I4875">
        <f>1</f>
        <v>1</v>
      </c>
    </row>
    <row r="4876" spans="2:9" x14ac:dyDescent="0.25">
      <c r="B4876">
        <v>0</v>
      </c>
      <c r="C4876" s="16" t="s">
        <v>14100</v>
      </c>
      <c r="D4876" s="16"/>
      <c r="E4876">
        <v>6</v>
      </c>
      <c r="F4876" t="s">
        <v>4680</v>
      </c>
      <c r="G4876">
        <v>1</v>
      </c>
      <c r="H4876">
        <v>1</v>
      </c>
      <c r="I4876">
        <f>1</f>
        <v>1</v>
      </c>
    </row>
    <row r="4877" spans="2:9" x14ac:dyDescent="0.25">
      <c r="B4877">
        <v>0</v>
      </c>
      <c r="C4877" s="16" t="s">
        <v>14101</v>
      </c>
      <c r="D4877" s="16"/>
      <c r="E4877">
        <v>6</v>
      </c>
      <c r="F4877" t="s">
        <v>7114</v>
      </c>
      <c r="G4877">
        <v>1</v>
      </c>
      <c r="H4877">
        <v>1</v>
      </c>
      <c r="I4877">
        <f>1</f>
        <v>1</v>
      </c>
    </row>
    <row r="4878" spans="2:9" x14ac:dyDescent="0.25">
      <c r="B4878">
        <v>0</v>
      </c>
      <c r="C4878" s="16" t="s">
        <v>14101</v>
      </c>
      <c r="D4878" s="16" t="s">
        <v>19430</v>
      </c>
      <c r="E4878">
        <v>6</v>
      </c>
      <c r="F4878" t="s">
        <v>7115</v>
      </c>
      <c r="G4878">
        <v>1</v>
      </c>
      <c r="H4878">
        <v>1</v>
      </c>
      <c r="I4878">
        <f>1</f>
        <v>1</v>
      </c>
    </row>
    <row r="4879" spans="2:9" x14ac:dyDescent="0.25">
      <c r="B4879">
        <v>0</v>
      </c>
      <c r="C4879" s="16" t="s">
        <v>14102</v>
      </c>
      <c r="D4879" s="16"/>
      <c r="E4879">
        <v>6</v>
      </c>
      <c r="F4879" t="s">
        <v>7116</v>
      </c>
      <c r="G4879">
        <v>1</v>
      </c>
      <c r="H4879">
        <v>1</v>
      </c>
      <c r="I4879">
        <f>1</f>
        <v>1</v>
      </c>
    </row>
    <row r="4880" spans="2:9" x14ac:dyDescent="0.25">
      <c r="B4880">
        <v>0</v>
      </c>
      <c r="C4880" s="16" t="s">
        <v>14103</v>
      </c>
      <c r="D4880" s="16"/>
      <c r="E4880">
        <v>6</v>
      </c>
      <c r="F4880" t="s">
        <v>7117</v>
      </c>
      <c r="G4880">
        <v>1</v>
      </c>
      <c r="H4880">
        <v>1</v>
      </c>
      <c r="I4880">
        <f>1</f>
        <v>1</v>
      </c>
    </row>
    <row r="4881" spans="2:9" x14ac:dyDescent="0.25">
      <c r="B4881">
        <v>0</v>
      </c>
      <c r="C4881" s="16" t="s">
        <v>14104</v>
      </c>
      <c r="D4881" s="16"/>
      <c r="E4881">
        <v>6</v>
      </c>
      <c r="F4881" t="e">
        <f>-outros</f>
        <v>#NAME?</v>
      </c>
      <c r="G4881">
        <v>1</v>
      </c>
      <c r="H4881">
        <v>1</v>
      </c>
      <c r="I4881">
        <f>1</f>
        <v>1</v>
      </c>
    </row>
    <row r="4882" spans="2:9" x14ac:dyDescent="0.25">
      <c r="B4882">
        <v>0</v>
      </c>
      <c r="C4882" s="16" t="s">
        <v>14105</v>
      </c>
      <c r="D4882" s="16"/>
      <c r="E4882">
        <v>6</v>
      </c>
      <c r="F4882" t="e">
        <f>-Serviços De mesa e outros utensílios De mesa ou De cozinha</f>
        <v>#NAME?</v>
      </c>
      <c r="G4882">
        <v>1</v>
      </c>
      <c r="H4882">
        <v>1</v>
      </c>
      <c r="I4882">
        <f>1</f>
        <v>1</v>
      </c>
    </row>
    <row r="4883" spans="2:9" x14ac:dyDescent="0.25">
      <c r="B4883">
        <v>0</v>
      </c>
      <c r="C4883" s="16" t="s">
        <v>14106</v>
      </c>
      <c r="D4883" s="16"/>
      <c r="E4883">
        <v>6</v>
      </c>
      <c r="F4883" t="e">
        <f>-outros</f>
        <v>#NAME?</v>
      </c>
      <c r="G4883">
        <v>1</v>
      </c>
      <c r="H4883">
        <v>1</v>
      </c>
      <c r="I4883">
        <f>1</f>
        <v>1</v>
      </c>
    </row>
    <row r="4884" spans="2:9" x14ac:dyDescent="0.25">
      <c r="B4884">
        <v>0</v>
      </c>
      <c r="C4884" s="16" t="s">
        <v>14107</v>
      </c>
      <c r="D4884" s="16"/>
      <c r="E4884">
        <v>6</v>
      </c>
      <c r="F4884" t="s">
        <v>7118</v>
      </c>
      <c r="G4884">
        <v>1</v>
      </c>
      <c r="H4884">
        <v>1</v>
      </c>
      <c r="I4884">
        <f>1</f>
        <v>1</v>
      </c>
    </row>
    <row r="4885" spans="2:9" x14ac:dyDescent="0.25">
      <c r="B4885">
        <v>0</v>
      </c>
      <c r="C4885" s="16" t="s">
        <v>14108</v>
      </c>
      <c r="D4885" s="16"/>
      <c r="E4885">
        <v>6</v>
      </c>
      <c r="F4885" t="s">
        <v>7119</v>
      </c>
      <c r="G4885">
        <v>1</v>
      </c>
      <c r="H4885">
        <v>1</v>
      </c>
      <c r="I4885">
        <f>1</f>
        <v>1</v>
      </c>
    </row>
    <row r="4886" spans="2:9" x14ac:dyDescent="0.25">
      <c r="B4886">
        <v>0</v>
      </c>
      <c r="C4886" s="16" t="s">
        <v>14109</v>
      </c>
      <c r="D4886" s="16"/>
      <c r="E4886">
        <v>6</v>
      </c>
      <c r="F4886" t="s">
        <v>7120</v>
      </c>
      <c r="G4886">
        <v>1</v>
      </c>
      <c r="H4886">
        <v>1</v>
      </c>
      <c r="I4886">
        <f>1</f>
        <v>1</v>
      </c>
    </row>
    <row r="4887" spans="2:9" x14ac:dyDescent="0.25">
      <c r="B4887">
        <v>0</v>
      </c>
      <c r="C4887" s="16" t="s">
        <v>14110</v>
      </c>
      <c r="D4887" s="16"/>
      <c r="E4887">
        <v>6</v>
      </c>
      <c r="F4887" t="s">
        <v>7121</v>
      </c>
      <c r="G4887">
        <v>1</v>
      </c>
      <c r="H4887">
        <v>1</v>
      </c>
      <c r="I4887">
        <f>1</f>
        <v>1</v>
      </c>
    </row>
    <row r="4888" spans="2:9" x14ac:dyDescent="0.25">
      <c r="B4888">
        <v>0</v>
      </c>
      <c r="C4888" s="16" t="s">
        <v>14111</v>
      </c>
      <c r="D4888" s="16"/>
      <c r="E4888">
        <v>6</v>
      </c>
      <c r="F4888" t="s">
        <v>4680</v>
      </c>
      <c r="G4888">
        <v>1</v>
      </c>
      <c r="H4888">
        <v>1</v>
      </c>
      <c r="I4888">
        <f>1</f>
        <v>1</v>
      </c>
    </row>
    <row r="4889" spans="2:9" x14ac:dyDescent="0.25">
      <c r="B4889">
        <v>0</v>
      </c>
      <c r="C4889" s="16" t="s">
        <v>14112</v>
      </c>
      <c r="D4889" s="16"/>
      <c r="E4889">
        <v>6</v>
      </c>
      <c r="F4889" t="e">
        <f>-Artigos De escritório e Artigos escolares</f>
        <v>#NAME?</v>
      </c>
      <c r="G4889">
        <v>1</v>
      </c>
      <c r="H4889">
        <v>1</v>
      </c>
      <c r="I4889">
        <f>1</f>
        <v>1</v>
      </c>
    </row>
    <row r="4890" spans="2:9" x14ac:dyDescent="0.25">
      <c r="B4890">
        <v>0</v>
      </c>
      <c r="C4890" s="16" t="s">
        <v>14113</v>
      </c>
      <c r="D4890" s="16"/>
      <c r="E4890">
        <v>6</v>
      </c>
      <c r="F4890" t="s">
        <v>7122</v>
      </c>
      <c r="G4890">
        <v>1</v>
      </c>
      <c r="H4890">
        <v>1</v>
      </c>
      <c r="I4890">
        <f>1</f>
        <v>1</v>
      </c>
    </row>
    <row r="4891" spans="2:9" x14ac:dyDescent="0.25">
      <c r="B4891">
        <v>0</v>
      </c>
      <c r="C4891" s="16" t="s">
        <v>14113</v>
      </c>
      <c r="D4891" s="16" t="s">
        <v>19430</v>
      </c>
      <c r="E4891">
        <v>6</v>
      </c>
      <c r="F4891" t="s">
        <v>7123</v>
      </c>
      <c r="G4891">
        <v>1</v>
      </c>
      <c r="H4891">
        <v>1</v>
      </c>
      <c r="I4891">
        <f>1</f>
        <v>1</v>
      </c>
    </row>
    <row r="4892" spans="2:9" x14ac:dyDescent="0.25">
      <c r="B4892">
        <v>0</v>
      </c>
      <c r="C4892" s="16" t="s">
        <v>14114</v>
      </c>
      <c r="D4892" s="16"/>
      <c r="E4892">
        <v>6</v>
      </c>
      <c r="F4892" t="s">
        <v>7124</v>
      </c>
      <c r="G4892">
        <v>1</v>
      </c>
      <c r="H4892">
        <v>1</v>
      </c>
      <c r="I4892">
        <f>1</f>
        <v>1</v>
      </c>
    </row>
    <row r="4893" spans="2:9" x14ac:dyDescent="0.25">
      <c r="B4893">
        <v>0</v>
      </c>
      <c r="C4893" s="16" t="s">
        <v>14115</v>
      </c>
      <c r="D4893" s="16"/>
      <c r="E4893">
        <v>6</v>
      </c>
      <c r="F4893" t="e">
        <f>-Estatuetas e outros objetos De ornamentação</f>
        <v>#NAME?</v>
      </c>
      <c r="G4893">
        <v>1</v>
      </c>
      <c r="H4893">
        <v>1</v>
      </c>
      <c r="I4893">
        <f>1</f>
        <v>1</v>
      </c>
    </row>
    <row r="4894" spans="2:9" x14ac:dyDescent="0.25">
      <c r="B4894">
        <v>0</v>
      </c>
      <c r="C4894" s="16" t="s">
        <v>14116</v>
      </c>
      <c r="D4894" s="16"/>
      <c r="E4894">
        <v>6</v>
      </c>
      <c r="F4894" t="s">
        <v>7125</v>
      </c>
      <c r="G4894">
        <v>1</v>
      </c>
      <c r="H4894">
        <v>1</v>
      </c>
      <c r="I4894">
        <f>1</f>
        <v>1</v>
      </c>
    </row>
    <row r="4895" spans="2:9" x14ac:dyDescent="0.25">
      <c r="B4895">
        <v>0</v>
      </c>
      <c r="C4895" s="16" t="s">
        <v>14117</v>
      </c>
      <c r="D4895" s="16"/>
      <c r="E4895">
        <v>6</v>
      </c>
      <c r="F4895" t="s">
        <v>7126</v>
      </c>
      <c r="G4895">
        <v>1</v>
      </c>
      <c r="H4895">
        <v>1</v>
      </c>
      <c r="I4895">
        <f>1</f>
        <v>1</v>
      </c>
    </row>
    <row r="4896" spans="2:9" x14ac:dyDescent="0.25">
      <c r="B4896">
        <v>0</v>
      </c>
      <c r="C4896" s="16" t="s">
        <v>14118</v>
      </c>
      <c r="D4896" s="16"/>
      <c r="E4896">
        <v>6</v>
      </c>
      <c r="F4896" t="s">
        <v>7127</v>
      </c>
      <c r="G4896">
        <v>1</v>
      </c>
      <c r="H4896">
        <v>1</v>
      </c>
      <c r="I4896">
        <f>1</f>
        <v>1</v>
      </c>
    </row>
    <row r="4897" spans="2:9" x14ac:dyDescent="0.25">
      <c r="B4897">
        <v>0</v>
      </c>
      <c r="C4897" s="16" t="s">
        <v>14119</v>
      </c>
      <c r="D4897" s="16"/>
      <c r="E4897">
        <v>6</v>
      </c>
      <c r="F4897" t="s">
        <v>7128</v>
      </c>
      <c r="G4897">
        <v>1</v>
      </c>
      <c r="H4897">
        <v>1</v>
      </c>
      <c r="I4897">
        <f>1</f>
        <v>1</v>
      </c>
    </row>
    <row r="4898" spans="2:9" x14ac:dyDescent="0.25">
      <c r="B4898">
        <v>0</v>
      </c>
      <c r="C4898" s="16" t="s">
        <v>14120</v>
      </c>
      <c r="D4898" s="16"/>
      <c r="E4898">
        <v>6</v>
      </c>
      <c r="F4898" t="s">
        <v>7129</v>
      </c>
      <c r="G4898">
        <v>1</v>
      </c>
      <c r="H4898">
        <v>1</v>
      </c>
      <c r="I4898">
        <f>1</f>
        <v>1</v>
      </c>
    </row>
    <row r="4899" spans="2:9" x14ac:dyDescent="0.25">
      <c r="B4899">
        <v>0</v>
      </c>
      <c r="C4899" s="16" t="s">
        <v>14120</v>
      </c>
      <c r="D4899" s="16" t="s">
        <v>19430</v>
      </c>
      <c r="E4899">
        <v>6</v>
      </c>
      <c r="F4899" t="s">
        <v>7130</v>
      </c>
      <c r="G4899">
        <v>1</v>
      </c>
      <c r="H4899">
        <v>1</v>
      </c>
      <c r="I4899">
        <f>1</f>
        <v>1</v>
      </c>
    </row>
    <row r="4900" spans="2:9" x14ac:dyDescent="0.25">
      <c r="B4900">
        <v>0</v>
      </c>
      <c r="C4900" s="16" t="s">
        <v>14121</v>
      </c>
      <c r="D4900" s="16"/>
      <c r="E4900">
        <v>6</v>
      </c>
      <c r="F4900" t="s">
        <v>7131</v>
      </c>
      <c r="G4900">
        <v>1</v>
      </c>
      <c r="H4900">
        <v>1</v>
      </c>
      <c r="I4900">
        <f>1</f>
        <v>1</v>
      </c>
    </row>
    <row r="4901" spans="2:9" x14ac:dyDescent="0.25">
      <c r="B4901">
        <v>0</v>
      </c>
      <c r="C4901" s="16" t="s">
        <v>14122</v>
      </c>
      <c r="D4901" s="16"/>
      <c r="E4901">
        <v>6</v>
      </c>
      <c r="F4901" t="s">
        <v>7132</v>
      </c>
      <c r="G4901">
        <v>1</v>
      </c>
      <c r="H4901">
        <v>1</v>
      </c>
      <c r="I4901">
        <f>1</f>
        <v>1</v>
      </c>
    </row>
    <row r="4902" spans="2:9" x14ac:dyDescent="0.25">
      <c r="B4902">
        <v>0</v>
      </c>
      <c r="C4902" s="16" t="s">
        <v>14123</v>
      </c>
      <c r="D4902" s="16"/>
      <c r="E4902">
        <v>6</v>
      </c>
      <c r="F4902" t="s">
        <v>4680</v>
      </c>
      <c r="G4902">
        <v>1</v>
      </c>
      <c r="H4902">
        <v>1</v>
      </c>
      <c r="I4902">
        <f>1</f>
        <v>1</v>
      </c>
    </row>
    <row r="4903" spans="2:9" x14ac:dyDescent="0.25">
      <c r="B4903">
        <v>0</v>
      </c>
      <c r="C4903" s="16" t="s">
        <v>14124</v>
      </c>
      <c r="D4903" s="16"/>
      <c r="E4903">
        <v>6</v>
      </c>
      <c r="F4903" t="s">
        <v>4690</v>
      </c>
      <c r="G4903">
        <v>1</v>
      </c>
      <c r="H4903">
        <v>1</v>
      </c>
      <c r="I4903">
        <f>1</f>
        <v>1</v>
      </c>
    </row>
    <row r="4904" spans="2:9" x14ac:dyDescent="0.25">
      <c r="B4904">
        <v>0</v>
      </c>
      <c r="C4904" s="16" t="s">
        <v>14124</v>
      </c>
      <c r="D4904" s="16" t="s">
        <v>19430</v>
      </c>
      <c r="E4904">
        <v>6</v>
      </c>
      <c r="F4904" t="s">
        <v>7133</v>
      </c>
      <c r="G4904">
        <v>1</v>
      </c>
      <c r="H4904">
        <v>1</v>
      </c>
      <c r="I4904">
        <f>1</f>
        <v>1</v>
      </c>
    </row>
    <row r="4905" spans="2:9" x14ac:dyDescent="0.25">
      <c r="B4905">
        <v>0</v>
      </c>
      <c r="C4905" s="16" t="s">
        <v>14124</v>
      </c>
      <c r="D4905" s="16" t="s">
        <v>19431</v>
      </c>
      <c r="E4905">
        <v>6</v>
      </c>
      <c r="F4905" t="s">
        <v>7134</v>
      </c>
      <c r="G4905">
        <v>1</v>
      </c>
      <c r="H4905">
        <v>1</v>
      </c>
      <c r="I4905">
        <f>1</f>
        <v>1</v>
      </c>
    </row>
    <row r="4906" spans="2:9" x14ac:dyDescent="0.25">
      <c r="B4906">
        <v>0</v>
      </c>
      <c r="C4906" s="16" t="s">
        <v>14124</v>
      </c>
      <c r="D4906" s="16" t="s">
        <v>19432</v>
      </c>
      <c r="E4906">
        <v>6</v>
      </c>
      <c r="F4906" t="s">
        <v>7135</v>
      </c>
      <c r="G4906">
        <v>1</v>
      </c>
      <c r="H4906">
        <v>1</v>
      </c>
      <c r="I4906">
        <f>1</f>
        <v>1</v>
      </c>
    </row>
    <row r="4907" spans="2:9" x14ac:dyDescent="0.25">
      <c r="B4907">
        <v>0</v>
      </c>
      <c r="C4907" s="16" t="s">
        <v>14124</v>
      </c>
      <c r="D4907" s="16" t="s">
        <v>19433</v>
      </c>
      <c r="E4907">
        <v>6</v>
      </c>
      <c r="F4907" t="s">
        <v>7136</v>
      </c>
      <c r="G4907">
        <v>1</v>
      </c>
      <c r="H4907">
        <v>1</v>
      </c>
      <c r="I4907">
        <f>1</f>
        <v>1</v>
      </c>
    </row>
    <row r="4908" spans="2:9" x14ac:dyDescent="0.25">
      <c r="B4908">
        <v>0</v>
      </c>
      <c r="C4908" s="16" t="s">
        <v>14124</v>
      </c>
      <c r="D4908" s="16" t="s">
        <v>19434</v>
      </c>
      <c r="E4908">
        <v>6</v>
      </c>
      <c r="F4908" t="s">
        <v>7137</v>
      </c>
      <c r="G4908">
        <v>1</v>
      </c>
      <c r="H4908">
        <v>1</v>
      </c>
      <c r="I4908">
        <f>1</f>
        <v>1</v>
      </c>
    </row>
    <row r="4909" spans="2:9" x14ac:dyDescent="0.25">
      <c r="B4909">
        <v>0</v>
      </c>
      <c r="C4909" s="16" t="s">
        <v>14124</v>
      </c>
      <c r="D4909" s="16" t="s">
        <v>19435</v>
      </c>
      <c r="E4909">
        <v>6</v>
      </c>
      <c r="F4909" t="s">
        <v>7138</v>
      </c>
      <c r="G4909">
        <v>1</v>
      </c>
      <c r="H4909">
        <v>1</v>
      </c>
      <c r="I4909">
        <f>1</f>
        <v>1</v>
      </c>
    </row>
    <row r="4910" spans="2:9" x14ac:dyDescent="0.25">
      <c r="B4910">
        <v>0</v>
      </c>
      <c r="C4910" s="16" t="s">
        <v>14124</v>
      </c>
      <c r="D4910" s="16" t="s">
        <v>19436</v>
      </c>
      <c r="E4910">
        <v>6</v>
      </c>
      <c r="F4910" t="s">
        <v>7139</v>
      </c>
      <c r="G4910">
        <v>1</v>
      </c>
      <c r="H4910">
        <v>1</v>
      </c>
      <c r="I4910">
        <f>1</f>
        <v>1</v>
      </c>
    </row>
    <row r="4911" spans="2:9" x14ac:dyDescent="0.25">
      <c r="B4911">
        <v>0</v>
      </c>
      <c r="C4911" s="16" t="s">
        <v>14124</v>
      </c>
      <c r="D4911" s="16" t="s">
        <v>19437</v>
      </c>
      <c r="E4911">
        <v>6</v>
      </c>
      <c r="F4911" t="s">
        <v>7140</v>
      </c>
      <c r="G4911">
        <v>1</v>
      </c>
      <c r="H4911">
        <v>1</v>
      </c>
      <c r="I4911">
        <f>1</f>
        <v>1</v>
      </c>
    </row>
    <row r="4912" spans="2:9" x14ac:dyDescent="0.25">
      <c r="B4912">
        <v>0</v>
      </c>
      <c r="C4912" s="16" t="s">
        <v>14124</v>
      </c>
      <c r="D4912" s="16" t="s">
        <v>19438</v>
      </c>
      <c r="E4912">
        <v>6</v>
      </c>
      <c r="F4912" t="s">
        <v>7141</v>
      </c>
      <c r="G4912">
        <v>1</v>
      </c>
      <c r="H4912">
        <v>1</v>
      </c>
      <c r="I4912">
        <f>1</f>
        <v>1</v>
      </c>
    </row>
    <row r="4913" spans="2:9" x14ac:dyDescent="0.25">
      <c r="B4913">
        <v>0</v>
      </c>
      <c r="C4913" s="16" t="s">
        <v>14124</v>
      </c>
      <c r="D4913" s="16" t="s">
        <v>19439</v>
      </c>
      <c r="E4913">
        <v>6</v>
      </c>
      <c r="F4913" t="s">
        <v>7142</v>
      </c>
      <c r="G4913">
        <v>1</v>
      </c>
      <c r="H4913">
        <v>1</v>
      </c>
      <c r="I4913">
        <f>1</f>
        <v>1</v>
      </c>
    </row>
    <row r="4914" spans="2:9" x14ac:dyDescent="0.25">
      <c r="B4914">
        <v>0</v>
      </c>
      <c r="C4914" s="16" t="s">
        <v>14124</v>
      </c>
      <c r="D4914" s="16" t="s">
        <v>19440</v>
      </c>
      <c r="E4914">
        <v>6</v>
      </c>
      <c r="F4914" t="s">
        <v>7143</v>
      </c>
      <c r="G4914">
        <v>1</v>
      </c>
      <c r="H4914">
        <v>1</v>
      </c>
      <c r="I4914">
        <f>1</f>
        <v>1</v>
      </c>
    </row>
    <row r="4915" spans="2:9" x14ac:dyDescent="0.25">
      <c r="B4915">
        <v>0</v>
      </c>
      <c r="C4915" s="16" t="s">
        <v>14125</v>
      </c>
      <c r="D4915" s="16"/>
      <c r="E4915">
        <v>6</v>
      </c>
      <c r="F4915" t="s">
        <v>7144</v>
      </c>
      <c r="G4915">
        <v>1</v>
      </c>
      <c r="H4915">
        <v>1</v>
      </c>
      <c r="I4915">
        <f>1</f>
        <v>1</v>
      </c>
    </row>
    <row r="4916" spans="2:9" x14ac:dyDescent="0.25">
      <c r="B4916">
        <v>0</v>
      </c>
      <c r="C4916" s="16" t="s">
        <v>14126</v>
      </c>
      <c r="D4916" s="16"/>
      <c r="E4916">
        <v>6</v>
      </c>
      <c r="F4916" t="e">
        <f>--folhas fumadas</f>
        <v>#NAME?</v>
      </c>
      <c r="G4916">
        <v>1</v>
      </c>
      <c r="H4916">
        <v>1</v>
      </c>
      <c r="I4916">
        <f>1</f>
        <v>1</v>
      </c>
    </row>
    <row r="4917" spans="2:9" x14ac:dyDescent="0.25">
      <c r="B4917">
        <v>0</v>
      </c>
      <c r="C4917" s="16" t="s">
        <v>14127</v>
      </c>
      <c r="D4917" s="16"/>
      <c r="E4917">
        <v>6</v>
      </c>
      <c r="F4917" t="e">
        <f>--borracha natural tecnicamente especificada  TSNR</f>
        <v>#NAME?</v>
      </c>
      <c r="G4917">
        <v>1</v>
      </c>
      <c r="H4917">
        <v>1</v>
      </c>
      <c r="I4917">
        <f>1</f>
        <v>1</v>
      </c>
    </row>
    <row r="4918" spans="2:9" x14ac:dyDescent="0.25">
      <c r="B4918">
        <v>0</v>
      </c>
      <c r="C4918" s="16" t="s">
        <v>14128</v>
      </c>
      <c r="D4918" s="16"/>
      <c r="E4918">
        <v>6</v>
      </c>
      <c r="F4918" t="s">
        <v>7145</v>
      </c>
      <c r="G4918">
        <v>1</v>
      </c>
      <c r="H4918">
        <v>1</v>
      </c>
      <c r="I4918">
        <f>1</f>
        <v>1</v>
      </c>
    </row>
    <row r="4919" spans="2:9" x14ac:dyDescent="0.25">
      <c r="B4919">
        <v>0</v>
      </c>
      <c r="C4919" s="16" t="s">
        <v>14129</v>
      </c>
      <c r="D4919" s="16"/>
      <c r="E4919">
        <v>6</v>
      </c>
      <c r="F4919" t="s">
        <v>7146</v>
      </c>
      <c r="G4919">
        <v>1</v>
      </c>
      <c r="H4919">
        <v>1</v>
      </c>
      <c r="I4919">
        <f>1</f>
        <v>1</v>
      </c>
    </row>
    <row r="4920" spans="2:9" x14ac:dyDescent="0.25">
      <c r="B4920">
        <v>0</v>
      </c>
      <c r="C4920" s="16" t="s">
        <v>14130</v>
      </c>
      <c r="D4920" s="16"/>
      <c r="E4920">
        <v>6</v>
      </c>
      <c r="F4920" t="s">
        <v>4690</v>
      </c>
      <c r="G4920">
        <v>1</v>
      </c>
      <c r="H4920">
        <v>1</v>
      </c>
      <c r="I4920">
        <f>1</f>
        <v>1</v>
      </c>
    </row>
    <row r="4921" spans="2:9" x14ac:dyDescent="0.25">
      <c r="B4921">
        <v>0</v>
      </c>
      <c r="C4921" s="16" t="s">
        <v>14131</v>
      </c>
      <c r="D4921" s="16"/>
      <c r="E4921">
        <v>6</v>
      </c>
      <c r="F4921" t="s">
        <v>7147</v>
      </c>
      <c r="G4921">
        <v>1</v>
      </c>
      <c r="H4921">
        <v>1</v>
      </c>
      <c r="I4921">
        <f>1</f>
        <v>1</v>
      </c>
    </row>
    <row r="4922" spans="2:9" x14ac:dyDescent="0.25">
      <c r="B4922">
        <v>0</v>
      </c>
      <c r="C4922" s="16" t="s">
        <v>14132</v>
      </c>
      <c r="D4922" s="16"/>
      <c r="E4922">
        <v>6</v>
      </c>
      <c r="F4922" t="s">
        <v>7148</v>
      </c>
      <c r="G4922">
        <v>1</v>
      </c>
      <c r="H4922">
        <v>1</v>
      </c>
      <c r="I4922">
        <f>1</f>
        <v>1</v>
      </c>
    </row>
    <row r="4923" spans="2:9" x14ac:dyDescent="0.25">
      <c r="B4923">
        <v>0</v>
      </c>
      <c r="C4923" s="16" t="s">
        <v>14133</v>
      </c>
      <c r="D4923" s="16"/>
      <c r="E4923">
        <v>6</v>
      </c>
      <c r="F4923" t="s">
        <v>7149</v>
      </c>
      <c r="G4923">
        <v>1</v>
      </c>
      <c r="H4923">
        <v>1</v>
      </c>
      <c r="I4923">
        <f>1</f>
        <v>1</v>
      </c>
    </row>
    <row r="4924" spans="2:9" x14ac:dyDescent="0.25">
      <c r="B4924">
        <v>0</v>
      </c>
      <c r="C4924" s="16" t="s">
        <v>14134</v>
      </c>
      <c r="D4924" s="16"/>
      <c r="E4924">
        <v>6</v>
      </c>
      <c r="F4924" t="s">
        <v>7150</v>
      </c>
      <c r="G4924">
        <v>1</v>
      </c>
      <c r="H4924">
        <v>1</v>
      </c>
      <c r="I4924">
        <f>1</f>
        <v>1</v>
      </c>
    </row>
    <row r="4925" spans="2:9" x14ac:dyDescent="0.25">
      <c r="B4925">
        <v>0</v>
      </c>
      <c r="C4925" s="16" t="s">
        <v>14135</v>
      </c>
      <c r="D4925" s="16"/>
      <c r="E4925">
        <v>6</v>
      </c>
      <c r="F4925" t="s">
        <v>7151</v>
      </c>
      <c r="G4925">
        <v>1</v>
      </c>
      <c r="H4925">
        <v>1</v>
      </c>
      <c r="I4925">
        <f>1</f>
        <v>1</v>
      </c>
    </row>
    <row r="4926" spans="2:9" x14ac:dyDescent="0.25">
      <c r="B4926">
        <v>0</v>
      </c>
      <c r="C4926" s="16" t="s">
        <v>14136</v>
      </c>
      <c r="D4926" s="16"/>
      <c r="E4926">
        <v>6</v>
      </c>
      <c r="F4926" t="s">
        <v>4690</v>
      </c>
      <c r="G4926">
        <v>1</v>
      </c>
      <c r="H4926">
        <v>1</v>
      </c>
      <c r="I4926">
        <f>1</f>
        <v>1</v>
      </c>
    </row>
    <row r="4927" spans="2:9" x14ac:dyDescent="0.25">
      <c r="B4927">
        <v>0</v>
      </c>
      <c r="C4927" s="16" t="s">
        <v>14137</v>
      </c>
      <c r="D4927" s="16"/>
      <c r="E4927">
        <v>6</v>
      </c>
      <c r="F4927" t="s">
        <v>7149</v>
      </c>
      <c r="G4927">
        <v>1</v>
      </c>
      <c r="H4927">
        <v>1</v>
      </c>
      <c r="I4927">
        <f>1</f>
        <v>1</v>
      </c>
    </row>
    <row r="4928" spans="2:9" x14ac:dyDescent="0.25">
      <c r="B4928">
        <v>0</v>
      </c>
      <c r="C4928" s="16" t="s">
        <v>14138</v>
      </c>
      <c r="D4928" s="16"/>
      <c r="E4928">
        <v>6</v>
      </c>
      <c r="F4928" t="s">
        <v>7152</v>
      </c>
      <c r="G4928">
        <v>1</v>
      </c>
      <c r="H4928">
        <v>1</v>
      </c>
      <c r="I4928">
        <f>1</f>
        <v>1</v>
      </c>
    </row>
    <row r="4929" spans="2:9" x14ac:dyDescent="0.25">
      <c r="B4929">
        <v>0</v>
      </c>
      <c r="C4929" s="16" t="s">
        <v>14139</v>
      </c>
      <c r="D4929" s="16"/>
      <c r="E4929">
        <v>6</v>
      </c>
      <c r="F4929" t="s">
        <v>4690</v>
      </c>
      <c r="G4929">
        <v>1</v>
      </c>
      <c r="H4929">
        <v>1</v>
      </c>
      <c r="I4929">
        <f>1</f>
        <v>1</v>
      </c>
    </row>
    <row r="4930" spans="2:9" x14ac:dyDescent="0.25">
      <c r="B4930">
        <v>0</v>
      </c>
      <c r="C4930" s="16" t="s">
        <v>14140</v>
      </c>
      <c r="D4930" s="16"/>
      <c r="E4930">
        <v>6</v>
      </c>
      <c r="F4930" t="e">
        <f>--borracha De isobuteno-isopreno  butila   IIR</f>
        <v>#NAME?</v>
      </c>
      <c r="G4930">
        <v>1</v>
      </c>
      <c r="H4930">
        <v>1</v>
      </c>
      <c r="I4930">
        <f>1</f>
        <v>1</v>
      </c>
    </row>
    <row r="4931" spans="2:9" x14ac:dyDescent="0.25">
      <c r="B4931">
        <v>0</v>
      </c>
      <c r="C4931" s="16" t="s">
        <v>14141</v>
      </c>
      <c r="D4931" s="16"/>
      <c r="E4931">
        <v>6</v>
      </c>
      <c r="F4931" t="e">
        <f>--Outras</f>
        <v>#NAME?</v>
      </c>
      <c r="G4931">
        <v>1</v>
      </c>
      <c r="H4931">
        <v>1</v>
      </c>
      <c r="I4931">
        <f>1</f>
        <v>1</v>
      </c>
    </row>
    <row r="4932" spans="2:9" x14ac:dyDescent="0.25">
      <c r="B4932">
        <v>0</v>
      </c>
      <c r="C4932" s="16" t="s">
        <v>14142</v>
      </c>
      <c r="D4932" s="16"/>
      <c r="E4932">
        <v>6</v>
      </c>
      <c r="F4932" t="e">
        <f>--Látex</f>
        <v>#NAME?</v>
      </c>
      <c r="G4932">
        <v>1</v>
      </c>
      <c r="H4932">
        <v>1</v>
      </c>
      <c r="I4932">
        <f>1</f>
        <v>1</v>
      </c>
    </row>
    <row r="4933" spans="2:9" x14ac:dyDescent="0.25">
      <c r="B4933">
        <v>0</v>
      </c>
      <c r="C4933" s="16" t="s">
        <v>14143</v>
      </c>
      <c r="D4933" s="16"/>
      <c r="E4933">
        <v>6</v>
      </c>
      <c r="F4933" t="e">
        <f>--Outras</f>
        <v>#NAME?</v>
      </c>
      <c r="G4933">
        <v>1</v>
      </c>
      <c r="H4933">
        <v>1</v>
      </c>
      <c r="I4933">
        <f>1</f>
        <v>1</v>
      </c>
    </row>
    <row r="4934" spans="2:9" x14ac:dyDescent="0.25">
      <c r="B4934">
        <v>0</v>
      </c>
      <c r="C4934" s="16" t="s">
        <v>14144</v>
      </c>
      <c r="D4934" s="16"/>
      <c r="E4934">
        <v>6</v>
      </c>
      <c r="F4934" t="e">
        <f>--Látex</f>
        <v>#NAME?</v>
      </c>
      <c r="G4934">
        <v>1</v>
      </c>
      <c r="H4934">
        <v>1</v>
      </c>
      <c r="I4934">
        <f>1</f>
        <v>1</v>
      </c>
    </row>
    <row r="4935" spans="2:9" x14ac:dyDescent="0.25">
      <c r="B4935">
        <v>0</v>
      </c>
      <c r="C4935" s="16" t="s">
        <v>14145</v>
      </c>
      <c r="D4935" s="16"/>
      <c r="E4935">
        <v>6</v>
      </c>
      <c r="F4935" t="e">
        <f>--Outras</f>
        <v>#NAME?</v>
      </c>
      <c r="G4935">
        <v>1</v>
      </c>
      <c r="H4935">
        <v>1</v>
      </c>
      <c r="I4935">
        <f>1</f>
        <v>1</v>
      </c>
    </row>
    <row r="4936" spans="2:9" x14ac:dyDescent="0.25">
      <c r="B4936">
        <v>0</v>
      </c>
      <c r="C4936" s="16" t="s">
        <v>14146</v>
      </c>
      <c r="D4936" s="16"/>
      <c r="E4936">
        <v>6</v>
      </c>
      <c r="F4936" t="e">
        <f>-borracha De isopreno  IR</f>
        <v>#NAME?</v>
      </c>
      <c r="G4936">
        <v>1</v>
      </c>
      <c r="H4936">
        <v>1</v>
      </c>
      <c r="I4936">
        <f>1</f>
        <v>1</v>
      </c>
    </row>
    <row r="4937" spans="2:9" x14ac:dyDescent="0.25">
      <c r="B4937">
        <v>0</v>
      </c>
      <c r="C4937" s="16" t="s">
        <v>14147</v>
      </c>
      <c r="D4937" s="16"/>
      <c r="E4937">
        <v>6</v>
      </c>
      <c r="F4937" t="e">
        <f>-borracha De Etileno-propileno-dieno Não conjugada  EPDM</f>
        <v>#NAME?</v>
      </c>
      <c r="G4937">
        <v>1</v>
      </c>
      <c r="H4937">
        <v>1</v>
      </c>
      <c r="I4937">
        <f>1</f>
        <v>1</v>
      </c>
    </row>
    <row r="4938" spans="2:9" x14ac:dyDescent="0.25">
      <c r="B4938">
        <v>0</v>
      </c>
      <c r="C4938" s="16" t="s">
        <v>14148</v>
      </c>
      <c r="D4938" s="16"/>
      <c r="E4938">
        <v>6</v>
      </c>
      <c r="F4938" t="s">
        <v>7153</v>
      </c>
      <c r="G4938">
        <v>1</v>
      </c>
      <c r="H4938">
        <v>1</v>
      </c>
      <c r="I4938">
        <f>1</f>
        <v>1</v>
      </c>
    </row>
    <row r="4939" spans="2:9" x14ac:dyDescent="0.25">
      <c r="B4939">
        <v>0</v>
      </c>
      <c r="C4939" s="16" t="s">
        <v>14149</v>
      </c>
      <c r="D4939" s="16"/>
      <c r="E4939">
        <v>6</v>
      </c>
      <c r="F4939" t="e">
        <f>--Látex</f>
        <v>#NAME?</v>
      </c>
      <c r="G4939">
        <v>1</v>
      </c>
      <c r="H4939">
        <v>1</v>
      </c>
      <c r="I4939">
        <f>1</f>
        <v>1</v>
      </c>
    </row>
    <row r="4940" spans="2:9" x14ac:dyDescent="0.25">
      <c r="B4940">
        <v>0</v>
      </c>
      <c r="C4940" s="16" t="s">
        <v>14150</v>
      </c>
      <c r="D4940" s="16"/>
      <c r="E4940">
        <v>6</v>
      </c>
      <c r="F4940" t="s">
        <v>7154</v>
      </c>
      <c r="G4940">
        <v>1</v>
      </c>
      <c r="H4940">
        <v>1</v>
      </c>
      <c r="I4940">
        <f>1</f>
        <v>1</v>
      </c>
    </row>
    <row r="4941" spans="2:9" x14ac:dyDescent="0.25">
      <c r="B4941">
        <v>0</v>
      </c>
      <c r="C4941" s="16" t="s">
        <v>14151</v>
      </c>
      <c r="D4941" s="16"/>
      <c r="E4941">
        <v>6</v>
      </c>
      <c r="F4941" t="s">
        <v>7155</v>
      </c>
      <c r="G4941">
        <v>1</v>
      </c>
      <c r="H4941">
        <v>1</v>
      </c>
      <c r="I4941">
        <f>1</f>
        <v>1</v>
      </c>
    </row>
    <row r="4942" spans="2:9" x14ac:dyDescent="0.25">
      <c r="B4942">
        <v>0</v>
      </c>
      <c r="C4942" s="16" t="s">
        <v>14152</v>
      </c>
      <c r="D4942" s="16"/>
      <c r="E4942">
        <v>6</v>
      </c>
      <c r="F4942" t="s">
        <v>7156</v>
      </c>
      <c r="G4942">
        <v>1</v>
      </c>
      <c r="H4942">
        <v>1</v>
      </c>
      <c r="I4942">
        <f>1</f>
        <v>1</v>
      </c>
    </row>
    <row r="4943" spans="2:9" x14ac:dyDescent="0.25">
      <c r="B4943">
        <v>0</v>
      </c>
      <c r="C4943" s="16" t="s">
        <v>14153</v>
      </c>
      <c r="D4943" s="16"/>
      <c r="E4943">
        <v>6</v>
      </c>
      <c r="F4943" t="s">
        <v>4690</v>
      </c>
      <c r="G4943">
        <v>1</v>
      </c>
      <c r="H4943">
        <v>1</v>
      </c>
      <c r="I4943">
        <f>1</f>
        <v>1</v>
      </c>
    </row>
    <row r="4944" spans="2:9" x14ac:dyDescent="0.25">
      <c r="B4944">
        <v>0</v>
      </c>
      <c r="C4944" s="16" t="s">
        <v>14154</v>
      </c>
      <c r="D4944" s="16"/>
      <c r="E4944">
        <v>6</v>
      </c>
      <c r="F4944" t="s">
        <v>7157</v>
      </c>
      <c r="G4944">
        <v>1</v>
      </c>
      <c r="H4944">
        <v>1</v>
      </c>
      <c r="I4944">
        <f>1</f>
        <v>1</v>
      </c>
    </row>
    <row r="4945" spans="2:9" x14ac:dyDescent="0.25">
      <c r="B4945">
        <v>0</v>
      </c>
      <c r="C4945" s="16" t="s">
        <v>14155</v>
      </c>
      <c r="D4945" s="16"/>
      <c r="E4945">
        <v>6</v>
      </c>
      <c r="F4945" t="s">
        <v>7158</v>
      </c>
      <c r="G4945">
        <v>1</v>
      </c>
      <c r="H4945">
        <v>1</v>
      </c>
      <c r="I4945">
        <f>1</f>
        <v>1</v>
      </c>
    </row>
    <row r="4946" spans="2:9" x14ac:dyDescent="0.25">
      <c r="B4946">
        <v>0</v>
      </c>
      <c r="C4946" s="16" t="s">
        <v>14156</v>
      </c>
      <c r="D4946" s="16"/>
      <c r="E4946">
        <v>6</v>
      </c>
      <c r="F4946" t="s">
        <v>7159</v>
      </c>
      <c r="G4946">
        <v>1</v>
      </c>
      <c r="H4946">
        <v>1</v>
      </c>
      <c r="I4946">
        <f>1</f>
        <v>1</v>
      </c>
    </row>
    <row r="4947" spans="2:9" x14ac:dyDescent="0.25">
      <c r="B4947">
        <v>0</v>
      </c>
      <c r="C4947" s="16" t="s">
        <v>14157</v>
      </c>
      <c r="D4947" s="16"/>
      <c r="E4947">
        <v>6</v>
      </c>
      <c r="F4947" t="s">
        <v>4690</v>
      </c>
      <c r="G4947">
        <v>1</v>
      </c>
      <c r="H4947">
        <v>1</v>
      </c>
      <c r="I4947">
        <f>1</f>
        <v>1</v>
      </c>
    </row>
    <row r="4948" spans="2:9" x14ac:dyDescent="0.25">
      <c r="B4948">
        <v>0</v>
      </c>
      <c r="C4948" s="16" t="s">
        <v>14158</v>
      </c>
      <c r="D4948" s="16"/>
      <c r="E4948">
        <v>6</v>
      </c>
      <c r="F4948" t="s">
        <v>7160</v>
      </c>
      <c r="G4948">
        <v>1</v>
      </c>
      <c r="H4948">
        <v>1</v>
      </c>
      <c r="I4948">
        <f>1</f>
        <v>1</v>
      </c>
    </row>
    <row r="4949" spans="2:9" x14ac:dyDescent="0.25">
      <c r="B4949">
        <v>0</v>
      </c>
      <c r="C4949" s="16" t="s">
        <v>14159</v>
      </c>
      <c r="D4949" s="16"/>
      <c r="E4949">
        <v>6</v>
      </c>
      <c r="F4949" t="s">
        <v>7161</v>
      </c>
      <c r="G4949">
        <v>1</v>
      </c>
      <c r="H4949">
        <v>1</v>
      </c>
      <c r="I4949">
        <f>1</f>
        <v>1</v>
      </c>
    </row>
    <row r="4950" spans="2:9" x14ac:dyDescent="0.25">
      <c r="B4950">
        <v>0</v>
      </c>
      <c r="C4950" s="16" t="s">
        <v>14160</v>
      </c>
      <c r="D4950" s="16"/>
      <c r="E4950">
        <v>6</v>
      </c>
      <c r="F4950" t="s">
        <v>4690</v>
      </c>
      <c r="G4950">
        <v>1</v>
      </c>
      <c r="H4950">
        <v>1</v>
      </c>
      <c r="I4950">
        <f>1</f>
        <v>1</v>
      </c>
    </row>
    <row r="4951" spans="2:9" x14ac:dyDescent="0.25">
      <c r="B4951">
        <v>0</v>
      </c>
      <c r="C4951" s="16" t="s">
        <v>14161</v>
      </c>
      <c r="D4951" s="16"/>
      <c r="E4951">
        <v>6</v>
      </c>
      <c r="F4951" t="s">
        <v>7161</v>
      </c>
      <c r="G4951">
        <v>1</v>
      </c>
      <c r="H4951">
        <v>1</v>
      </c>
      <c r="I4951">
        <f>1</f>
        <v>1</v>
      </c>
    </row>
    <row r="4952" spans="2:9" x14ac:dyDescent="0.25">
      <c r="B4952">
        <v>0</v>
      </c>
      <c r="C4952" s="16" t="s">
        <v>14162</v>
      </c>
      <c r="D4952" s="16"/>
      <c r="E4952">
        <v>6</v>
      </c>
      <c r="F4952" t="s">
        <v>4690</v>
      </c>
      <c r="G4952">
        <v>1</v>
      </c>
      <c r="H4952">
        <v>1</v>
      </c>
      <c r="I4952">
        <f>1</f>
        <v>1</v>
      </c>
    </row>
    <row r="4953" spans="2:9" x14ac:dyDescent="0.25">
      <c r="B4953">
        <v>0</v>
      </c>
      <c r="C4953" s="16" t="s">
        <v>14163</v>
      </c>
      <c r="D4953" s="16"/>
      <c r="E4953">
        <v>6</v>
      </c>
      <c r="F4953" t="e">
        <f>-Perfis para recauchutagem</f>
        <v>#NAME?</v>
      </c>
      <c r="G4953">
        <v>1</v>
      </c>
      <c r="H4953">
        <v>1</v>
      </c>
      <c r="I4953">
        <f>1</f>
        <v>1</v>
      </c>
    </row>
    <row r="4954" spans="2:9" x14ac:dyDescent="0.25">
      <c r="B4954">
        <v>0</v>
      </c>
      <c r="C4954" s="16" t="s">
        <v>14164</v>
      </c>
      <c r="D4954" s="16"/>
      <c r="E4954">
        <v>6</v>
      </c>
      <c r="F4954" t="e">
        <f>-outros</f>
        <v>#NAME?</v>
      </c>
      <c r="G4954">
        <v>1</v>
      </c>
      <c r="H4954">
        <v>1</v>
      </c>
      <c r="I4954">
        <f>1</f>
        <v>1</v>
      </c>
    </row>
    <row r="4955" spans="2:9" x14ac:dyDescent="0.25">
      <c r="B4955">
        <v>0</v>
      </c>
      <c r="C4955" s="16" t="s">
        <v>14165</v>
      </c>
      <c r="D4955" s="16"/>
      <c r="E4955">
        <v>6</v>
      </c>
      <c r="F4955" t="s">
        <v>7162</v>
      </c>
      <c r="G4955">
        <v>1</v>
      </c>
      <c r="H4955">
        <v>1</v>
      </c>
      <c r="I4955">
        <f>1</f>
        <v>1</v>
      </c>
    </row>
    <row r="4956" spans="2:9" x14ac:dyDescent="0.25">
      <c r="B4956">
        <v>0</v>
      </c>
      <c r="C4956" s="16" t="s">
        <v>14166</v>
      </c>
      <c r="D4956" s="16"/>
      <c r="E4956">
        <v>6</v>
      </c>
      <c r="F4956" t="s">
        <v>4680</v>
      </c>
      <c r="G4956">
        <v>1</v>
      </c>
      <c r="H4956">
        <v>1</v>
      </c>
      <c r="I4956">
        <f>1</f>
        <v>1</v>
      </c>
    </row>
    <row r="4957" spans="2:9" x14ac:dyDescent="0.25">
      <c r="B4957">
        <v>0</v>
      </c>
      <c r="C4957" s="16" t="s">
        <v>14167</v>
      </c>
      <c r="D4957" s="16"/>
      <c r="E4957">
        <v>6</v>
      </c>
      <c r="F4957" t="s">
        <v>7163</v>
      </c>
      <c r="G4957">
        <v>1</v>
      </c>
      <c r="H4957">
        <v>1</v>
      </c>
      <c r="I4957">
        <f>1</f>
        <v>1</v>
      </c>
    </row>
    <row r="4958" spans="2:9" x14ac:dyDescent="0.25">
      <c r="B4958">
        <v>0</v>
      </c>
      <c r="C4958" s="16" t="s">
        <v>14168</v>
      </c>
      <c r="D4958" s="16"/>
      <c r="E4958">
        <v>6</v>
      </c>
      <c r="F4958" t="s">
        <v>7164</v>
      </c>
      <c r="G4958">
        <v>1</v>
      </c>
      <c r="H4958">
        <v>1</v>
      </c>
      <c r="I4958">
        <f>1</f>
        <v>1</v>
      </c>
    </row>
    <row r="4959" spans="2:9" x14ac:dyDescent="0.25">
      <c r="B4959">
        <v>0</v>
      </c>
      <c r="C4959" s="16" t="s">
        <v>14169</v>
      </c>
      <c r="D4959" s="16"/>
      <c r="E4959">
        <v>6</v>
      </c>
      <c r="F4959" t="e">
        <f>--outros</f>
        <v>#NAME?</v>
      </c>
      <c r="G4959">
        <v>1</v>
      </c>
      <c r="H4959">
        <v>1</v>
      </c>
      <c r="I4959">
        <f>1</f>
        <v>1</v>
      </c>
    </row>
    <row r="4960" spans="2:9" x14ac:dyDescent="0.25">
      <c r="B4960">
        <v>0</v>
      </c>
      <c r="C4960" s="16" t="s">
        <v>14170</v>
      </c>
      <c r="D4960" s="16"/>
      <c r="E4960">
        <v>6</v>
      </c>
      <c r="F4960" t="s">
        <v>7164</v>
      </c>
      <c r="G4960">
        <v>1</v>
      </c>
      <c r="H4960">
        <v>1</v>
      </c>
      <c r="I4960">
        <f>1</f>
        <v>1</v>
      </c>
    </row>
    <row r="4961" spans="2:9" x14ac:dyDescent="0.25">
      <c r="B4961">
        <v>0</v>
      </c>
      <c r="C4961" s="16" t="s">
        <v>14170</v>
      </c>
      <c r="D4961" s="16" t="s">
        <v>19430</v>
      </c>
      <c r="E4961">
        <v>6</v>
      </c>
      <c r="F4961" t="s">
        <v>7165</v>
      </c>
      <c r="G4961">
        <v>1</v>
      </c>
      <c r="H4961">
        <v>1</v>
      </c>
      <c r="I4961">
        <f>1</f>
        <v>1</v>
      </c>
    </row>
    <row r="4962" spans="2:9" x14ac:dyDescent="0.25">
      <c r="B4962">
        <v>0</v>
      </c>
      <c r="C4962" s="16" t="s">
        <v>14171</v>
      </c>
      <c r="D4962" s="16"/>
      <c r="E4962">
        <v>6</v>
      </c>
      <c r="F4962" t="e">
        <f>--outros</f>
        <v>#NAME?</v>
      </c>
      <c r="G4962">
        <v>1</v>
      </c>
      <c r="H4962">
        <v>1</v>
      </c>
      <c r="I4962">
        <f>1</f>
        <v>1</v>
      </c>
    </row>
    <row r="4963" spans="2:9" x14ac:dyDescent="0.25">
      <c r="B4963">
        <v>0</v>
      </c>
      <c r="C4963" s="16" t="s">
        <v>14172</v>
      </c>
      <c r="D4963" s="16"/>
      <c r="E4963">
        <v>6</v>
      </c>
      <c r="F4963" t="e">
        <f>--Sem acessórios</f>
        <v>#NAME?</v>
      </c>
      <c r="G4963">
        <v>1</v>
      </c>
      <c r="H4963">
        <v>1</v>
      </c>
      <c r="I4963">
        <f>1</f>
        <v>1</v>
      </c>
    </row>
    <row r="4964" spans="2:9" x14ac:dyDescent="0.25">
      <c r="B4964">
        <v>0</v>
      </c>
      <c r="C4964" s="16" t="s">
        <v>14173</v>
      </c>
      <c r="D4964" s="16"/>
      <c r="E4964">
        <v>6</v>
      </c>
      <c r="F4964" t="s">
        <v>7166</v>
      </c>
      <c r="G4964">
        <v>1</v>
      </c>
      <c r="H4964">
        <v>1</v>
      </c>
      <c r="I4964">
        <f>1</f>
        <v>1</v>
      </c>
    </row>
    <row r="4965" spans="2:9" x14ac:dyDescent="0.25">
      <c r="B4965">
        <v>0</v>
      </c>
      <c r="C4965" s="16" t="s">
        <v>14174</v>
      </c>
      <c r="D4965" s="16"/>
      <c r="E4965">
        <v>6</v>
      </c>
      <c r="F4965" t="s">
        <v>4680</v>
      </c>
      <c r="G4965">
        <v>1</v>
      </c>
      <c r="H4965">
        <v>1</v>
      </c>
      <c r="I4965">
        <f>1</f>
        <v>1</v>
      </c>
    </row>
    <row r="4966" spans="2:9" x14ac:dyDescent="0.25">
      <c r="B4966">
        <v>0</v>
      </c>
      <c r="C4966" s="16" t="s">
        <v>14175</v>
      </c>
      <c r="D4966" s="16"/>
      <c r="E4966">
        <v>6</v>
      </c>
      <c r="F4966" t="s">
        <v>7166</v>
      </c>
      <c r="G4966">
        <v>1</v>
      </c>
      <c r="H4966">
        <v>1</v>
      </c>
      <c r="I4966">
        <f>1</f>
        <v>1</v>
      </c>
    </row>
    <row r="4967" spans="2:9" x14ac:dyDescent="0.25">
      <c r="B4967">
        <v>0</v>
      </c>
      <c r="C4967" s="16" t="s">
        <v>14176</v>
      </c>
      <c r="D4967" s="16"/>
      <c r="E4967">
        <v>6</v>
      </c>
      <c r="F4967" t="s">
        <v>4680</v>
      </c>
      <c r="G4967">
        <v>1</v>
      </c>
      <c r="H4967">
        <v>1</v>
      </c>
      <c r="I4967">
        <f>1</f>
        <v>1</v>
      </c>
    </row>
    <row r="4968" spans="2:9" x14ac:dyDescent="0.25">
      <c r="B4968">
        <v>0</v>
      </c>
      <c r="C4968" s="16" t="s">
        <v>14177</v>
      </c>
      <c r="D4968" s="16"/>
      <c r="E4968">
        <v>6</v>
      </c>
      <c r="F4968" t="s">
        <v>7166</v>
      </c>
      <c r="G4968">
        <v>1</v>
      </c>
      <c r="H4968">
        <v>1</v>
      </c>
      <c r="I4968">
        <f>1</f>
        <v>1</v>
      </c>
    </row>
    <row r="4969" spans="2:9" x14ac:dyDescent="0.25">
      <c r="B4969">
        <v>0</v>
      </c>
      <c r="C4969" s="16" t="s">
        <v>14178</v>
      </c>
      <c r="D4969" s="16"/>
      <c r="E4969">
        <v>6</v>
      </c>
      <c r="F4969" t="s">
        <v>4680</v>
      </c>
      <c r="G4969">
        <v>1</v>
      </c>
      <c r="H4969">
        <v>1</v>
      </c>
      <c r="I4969">
        <f>1</f>
        <v>1</v>
      </c>
    </row>
    <row r="4970" spans="2:9" x14ac:dyDescent="0.25">
      <c r="B4970">
        <v>0</v>
      </c>
      <c r="C4970" s="16" t="s">
        <v>14179</v>
      </c>
      <c r="D4970" s="16"/>
      <c r="E4970">
        <v>6</v>
      </c>
      <c r="F4970" t="e">
        <f>--Sem acessórios</f>
        <v>#NAME?</v>
      </c>
      <c r="G4970">
        <v>1</v>
      </c>
      <c r="H4970">
        <v>1</v>
      </c>
      <c r="I4970">
        <f>1</f>
        <v>1</v>
      </c>
    </row>
    <row r="4971" spans="2:9" x14ac:dyDescent="0.25">
      <c r="B4971">
        <v>0</v>
      </c>
      <c r="C4971" s="16" t="s">
        <v>14180</v>
      </c>
      <c r="D4971" s="16"/>
      <c r="E4971">
        <v>6</v>
      </c>
      <c r="F4971" t="s">
        <v>7166</v>
      </c>
      <c r="G4971">
        <v>1</v>
      </c>
      <c r="H4971">
        <v>1</v>
      </c>
      <c r="I4971">
        <f>1</f>
        <v>1</v>
      </c>
    </row>
    <row r="4972" spans="2:9" x14ac:dyDescent="0.25">
      <c r="B4972">
        <v>0</v>
      </c>
      <c r="C4972" s="16" t="s">
        <v>14181</v>
      </c>
      <c r="D4972" s="16"/>
      <c r="E4972">
        <v>6</v>
      </c>
      <c r="F4972" t="s">
        <v>4680</v>
      </c>
      <c r="G4972">
        <v>1</v>
      </c>
      <c r="H4972">
        <v>1</v>
      </c>
      <c r="I4972">
        <f>1</f>
        <v>1</v>
      </c>
    </row>
    <row r="4973" spans="2:9" x14ac:dyDescent="0.25">
      <c r="B4973">
        <v>0</v>
      </c>
      <c r="C4973" s="16" t="s">
        <v>14182</v>
      </c>
      <c r="D4973" s="16"/>
      <c r="E4973">
        <v>6</v>
      </c>
      <c r="F4973" t="e">
        <f>--Sem acessórios</f>
        <v>#NAME?</v>
      </c>
      <c r="G4973">
        <v>1</v>
      </c>
      <c r="H4973">
        <v>1</v>
      </c>
      <c r="I4973">
        <f>1</f>
        <v>1</v>
      </c>
    </row>
    <row r="4974" spans="2:9" x14ac:dyDescent="0.25">
      <c r="B4974">
        <v>0</v>
      </c>
      <c r="C4974" s="16" t="s">
        <v>14183</v>
      </c>
      <c r="D4974" s="16"/>
      <c r="E4974">
        <v>6</v>
      </c>
      <c r="F4974" t="s">
        <v>7166</v>
      </c>
      <c r="G4974">
        <v>1</v>
      </c>
      <c r="H4974">
        <v>1</v>
      </c>
      <c r="I4974">
        <f>1</f>
        <v>1</v>
      </c>
    </row>
    <row r="4975" spans="2:9" x14ac:dyDescent="0.25">
      <c r="B4975">
        <v>0</v>
      </c>
      <c r="C4975" s="16" t="s">
        <v>14184</v>
      </c>
      <c r="D4975" s="16"/>
      <c r="E4975">
        <v>6</v>
      </c>
      <c r="F4975" t="s">
        <v>4680</v>
      </c>
      <c r="G4975">
        <v>1</v>
      </c>
      <c r="H4975">
        <v>1</v>
      </c>
      <c r="I4975">
        <f>1</f>
        <v>1</v>
      </c>
    </row>
    <row r="4976" spans="2:9" x14ac:dyDescent="0.25">
      <c r="B4976">
        <v>0</v>
      </c>
      <c r="C4976" s="16" t="s">
        <v>14185</v>
      </c>
      <c r="D4976" s="16"/>
      <c r="E4976">
        <v>6</v>
      </c>
      <c r="F4976" t="e">
        <f>--Reforçadas apenas Com metal</f>
        <v>#NAME?</v>
      </c>
      <c r="G4976">
        <v>1</v>
      </c>
      <c r="H4976">
        <v>1</v>
      </c>
      <c r="I4976">
        <f>1</f>
        <v>1</v>
      </c>
    </row>
    <row r="4977" spans="2:9" x14ac:dyDescent="0.25">
      <c r="B4977">
        <v>0</v>
      </c>
      <c r="C4977" s="16" t="s">
        <v>14186</v>
      </c>
      <c r="D4977" s="16"/>
      <c r="E4977">
        <v>6</v>
      </c>
      <c r="F4977" t="e">
        <f>--Reforçadas apenas Com matérias têxteis</f>
        <v>#NAME?</v>
      </c>
      <c r="G4977">
        <v>1</v>
      </c>
      <c r="H4977">
        <v>1</v>
      </c>
      <c r="I4977">
        <f>1</f>
        <v>1</v>
      </c>
    </row>
    <row r="4978" spans="2:9" x14ac:dyDescent="0.25">
      <c r="B4978">
        <v>0</v>
      </c>
      <c r="C4978" s="16" t="s">
        <v>14187</v>
      </c>
      <c r="D4978" s="16"/>
      <c r="E4978">
        <v>6</v>
      </c>
      <c r="F4978" t="e">
        <f>--Outras</f>
        <v>#NAME?</v>
      </c>
      <c r="G4978">
        <v>1</v>
      </c>
      <c r="H4978">
        <v>1</v>
      </c>
      <c r="I4978">
        <f>1</f>
        <v>1</v>
      </c>
    </row>
    <row r="4979" spans="2:9" x14ac:dyDescent="0.25">
      <c r="B4979">
        <v>0</v>
      </c>
      <c r="C4979" s="16" t="s">
        <v>14188</v>
      </c>
      <c r="D4979" s="16"/>
      <c r="E4979">
        <v>6</v>
      </c>
      <c r="F4979" t="s">
        <v>7167</v>
      </c>
      <c r="G4979">
        <v>1</v>
      </c>
      <c r="H4979">
        <v>1</v>
      </c>
      <c r="I4979">
        <f>1</f>
        <v>1</v>
      </c>
    </row>
    <row r="4980" spans="2:9" x14ac:dyDescent="0.25">
      <c r="B4980">
        <v>0</v>
      </c>
      <c r="C4980" s="16" t="s">
        <v>14189</v>
      </c>
      <c r="D4980" s="16"/>
      <c r="E4980">
        <v>6</v>
      </c>
      <c r="F4980" t="s">
        <v>7168</v>
      </c>
      <c r="G4980">
        <v>1</v>
      </c>
      <c r="H4980">
        <v>1</v>
      </c>
      <c r="I4980">
        <f>1</f>
        <v>1</v>
      </c>
    </row>
    <row r="4981" spans="2:9" x14ac:dyDescent="0.25">
      <c r="B4981">
        <v>0</v>
      </c>
      <c r="C4981" s="16" t="s">
        <v>14190</v>
      </c>
      <c r="D4981" s="16"/>
      <c r="E4981">
        <v>6</v>
      </c>
      <c r="F4981" t="s">
        <v>7169</v>
      </c>
      <c r="G4981">
        <v>1</v>
      </c>
      <c r="H4981">
        <v>1</v>
      </c>
      <c r="I4981">
        <f>1</f>
        <v>1</v>
      </c>
    </row>
    <row r="4982" spans="2:9" x14ac:dyDescent="0.25">
      <c r="B4982">
        <v>0</v>
      </c>
      <c r="C4982" s="16" t="s">
        <v>14191</v>
      </c>
      <c r="D4982" s="16"/>
      <c r="E4982">
        <v>6</v>
      </c>
      <c r="F4982" t="s">
        <v>7170</v>
      </c>
      <c r="G4982">
        <v>1</v>
      </c>
      <c r="H4982">
        <v>1</v>
      </c>
      <c r="I4982">
        <f>1</f>
        <v>1</v>
      </c>
    </row>
    <row r="4983" spans="2:9" x14ac:dyDescent="0.25">
      <c r="B4983">
        <v>0</v>
      </c>
      <c r="C4983" s="16" t="s">
        <v>14192</v>
      </c>
      <c r="D4983" s="16"/>
      <c r="E4983">
        <v>6</v>
      </c>
      <c r="F4983" t="s">
        <v>7171</v>
      </c>
      <c r="G4983">
        <v>1</v>
      </c>
      <c r="H4983">
        <v>1</v>
      </c>
      <c r="I4983">
        <f>1</f>
        <v>1</v>
      </c>
    </row>
    <row r="4984" spans="2:9" x14ac:dyDescent="0.25">
      <c r="B4984">
        <v>0</v>
      </c>
      <c r="C4984" s="16" t="s">
        <v>14193</v>
      </c>
      <c r="D4984" s="16"/>
      <c r="E4984">
        <v>6</v>
      </c>
      <c r="F4984" t="s">
        <v>7172</v>
      </c>
      <c r="G4984">
        <v>1</v>
      </c>
      <c r="H4984">
        <v>1</v>
      </c>
      <c r="I4984">
        <f>1</f>
        <v>1</v>
      </c>
    </row>
    <row r="4985" spans="2:9" x14ac:dyDescent="0.25">
      <c r="B4985">
        <v>0</v>
      </c>
      <c r="C4985" s="16" t="s">
        <v>14194</v>
      </c>
      <c r="D4985" s="16"/>
      <c r="E4985">
        <v>6</v>
      </c>
      <c r="F4985" t="e">
        <f>--Outras</f>
        <v>#NAME?</v>
      </c>
      <c r="G4985">
        <v>1</v>
      </c>
      <c r="H4985">
        <v>1</v>
      </c>
      <c r="I4985">
        <f>1</f>
        <v>1</v>
      </c>
    </row>
    <row r="4986" spans="2:9" x14ac:dyDescent="0.25">
      <c r="B4986">
        <v>0</v>
      </c>
      <c r="C4986" s="16" t="s">
        <v>14195</v>
      </c>
      <c r="D4986" s="16"/>
      <c r="E4986">
        <v>6</v>
      </c>
      <c r="F4986" t="e">
        <f>-dos tipos utilizados em automóveis De passageiros  incluindo os veículos De uso misto  station wagons  e os automóveis De corrida</f>
        <v>#NAME?</v>
      </c>
      <c r="G4986">
        <v>1</v>
      </c>
      <c r="H4986">
        <v>1</v>
      </c>
      <c r="I4986">
        <f>1</f>
        <v>1</v>
      </c>
    </row>
    <row r="4987" spans="2:9" x14ac:dyDescent="0.25">
      <c r="B4987">
        <v>0</v>
      </c>
      <c r="C4987" s="16" t="s">
        <v>14196</v>
      </c>
      <c r="D4987" s="16"/>
      <c r="E4987">
        <v>6</v>
      </c>
      <c r="F4987" t="s">
        <v>7173</v>
      </c>
      <c r="G4987">
        <v>1</v>
      </c>
      <c r="H4987">
        <v>1</v>
      </c>
      <c r="I4987">
        <f>1</f>
        <v>1</v>
      </c>
    </row>
    <row r="4988" spans="2:9" x14ac:dyDescent="0.25">
      <c r="B4988">
        <v>0</v>
      </c>
      <c r="C4988" s="16" t="s">
        <v>14197</v>
      </c>
      <c r="D4988" s="16"/>
      <c r="E4988">
        <v>6</v>
      </c>
      <c r="F4988" t="s">
        <v>4680</v>
      </c>
      <c r="G4988">
        <v>1</v>
      </c>
      <c r="H4988">
        <v>1</v>
      </c>
      <c r="I4988">
        <f>1</f>
        <v>1</v>
      </c>
    </row>
    <row r="4989" spans="2:9" x14ac:dyDescent="0.25">
      <c r="B4989">
        <v>0</v>
      </c>
      <c r="C4989" s="16" t="s">
        <v>14198</v>
      </c>
      <c r="D4989" s="16"/>
      <c r="E4989">
        <v>6</v>
      </c>
      <c r="F4989" t="e">
        <f>-dos tipos utilizados em veículos aéreos</f>
        <v>#NAME?</v>
      </c>
      <c r="G4989">
        <v>1</v>
      </c>
      <c r="H4989">
        <v>1</v>
      </c>
      <c r="I4989">
        <f>1</f>
        <v>1</v>
      </c>
    </row>
    <row r="4990" spans="2:9" x14ac:dyDescent="0.25">
      <c r="B4990">
        <v>0</v>
      </c>
      <c r="C4990" s="16" t="s">
        <v>14199</v>
      </c>
      <c r="D4990" s="16"/>
      <c r="E4990">
        <v>6</v>
      </c>
      <c r="F4990" t="e">
        <f>-dos tipos utilizados em motocicletas</f>
        <v>#NAME?</v>
      </c>
      <c r="G4990">
        <v>1</v>
      </c>
      <c r="H4990">
        <v>1</v>
      </c>
      <c r="I4990">
        <f>1</f>
        <v>1</v>
      </c>
    </row>
    <row r="4991" spans="2:9" x14ac:dyDescent="0.25">
      <c r="B4991">
        <v>0</v>
      </c>
      <c r="C4991" s="16" t="s">
        <v>14200</v>
      </c>
      <c r="D4991" s="16"/>
      <c r="E4991">
        <v>6</v>
      </c>
      <c r="F4991" t="e">
        <f>-dos tipos utilizados em bicicletas</f>
        <v>#NAME?</v>
      </c>
      <c r="G4991">
        <v>1</v>
      </c>
      <c r="H4991">
        <v>1</v>
      </c>
      <c r="I4991">
        <f>1</f>
        <v>1</v>
      </c>
    </row>
    <row r="4992" spans="2:9" x14ac:dyDescent="0.25">
      <c r="B4992">
        <v>0</v>
      </c>
      <c r="C4992" s="16" t="s">
        <v>14201</v>
      </c>
      <c r="D4992" s="16"/>
      <c r="E4992">
        <v>6</v>
      </c>
      <c r="F4992" t="e">
        <f>--dos tipos utilizados em veículos e máquinas agrícolas ou florestais</f>
        <v>#NAME?</v>
      </c>
      <c r="G4992">
        <v>1</v>
      </c>
      <c r="H4992">
        <v>1</v>
      </c>
      <c r="I4992">
        <f>1</f>
        <v>1</v>
      </c>
    </row>
    <row r="4993" spans="2:9" x14ac:dyDescent="0.25">
      <c r="B4993">
        <v>0</v>
      </c>
      <c r="C4993" s="16" t="s">
        <v>14201</v>
      </c>
      <c r="D4993" s="16" t="s">
        <v>19430</v>
      </c>
      <c r="E4993">
        <v>6</v>
      </c>
      <c r="F4993" t="s">
        <v>7174</v>
      </c>
      <c r="G4993">
        <v>1</v>
      </c>
      <c r="H4993">
        <v>1</v>
      </c>
      <c r="I4993">
        <f>1</f>
        <v>1</v>
      </c>
    </row>
    <row r="4994" spans="2:9" x14ac:dyDescent="0.25">
      <c r="B4994">
        <v>0</v>
      </c>
      <c r="C4994" s="16" t="s">
        <v>14202</v>
      </c>
      <c r="D4994" s="16"/>
      <c r="E4994">
        <v>6</v>
      </c>
      <c r="F4994" t="s">
        <v>7175</v>
      </c>
      <c r="G4994">
        <v>1</v>
      </c>
      <c r="H4994">
        <v>1</v>
      </c>
      <c r="I4994">
        <f>1</f>
        <v>1</v>
      </c>
    </row>
    <row r="4995" spans="2:9" x14ac:dyDescent="0.25">
      <c r="B4995">
        <v>0</v>
      </c>
      <c r="C4995" s="16" t="s">
        <v>14203</v>
      </c>
      <c r="D4995" s="16"/>
      <c r="E4995">
        <v>6</v>
      </c>
      <c r="F4995" t="s">
        <v>7176</v>
      </c>
      <c r="G4995">
        <v>1</v>
      </c>
      <c r="H4995">
        <v>1</v>
      </c>
      <c r="I4995">
        <f>1</f>
        <v>1</v>
      </c>
    </row>
    <row r="4996" spans="2:9" x14ac:dyDescent="0.25">
      <c r="B4996">
        <v>0</v>
      </c>
      <c r="C4996" s="16" t="s">
        <v>14204</v>
      </c>
      <c r="D4996" s="16"/>
      <c r="E4996">
        <v>6</v>
      </c>
      <c r="F4996" t="s">
        <v>7177</v>
      </c>
      <c r="G4996">
        <v>1</v>
      </c>
      <c r="H4996">
        <v>1</v>
      </c>
      <c r="I4996">
        <f>1</f>
        <v>1</v>
      </c>
    </row>
    <row r="4997" spans="2:9" x14ac:dyDescent="0.25">
      <c r="B4997">
        <v>0</v>
      </c>
      <c r="C4997" s="16" t="s">
        <v>14205</v>
      </c>
      <c r="D4997" s="16"/>
      <c r="E4997">
        <v>6</v>
      </c>
      <c r="F4997" t="s">
        <v>4680</v>
      </c>
      <c r="G4997">
        <v>1</v>
      </c>
      <c r="H4997">
        <v>1</v>
      </c>
      <c r="I4997">
        <f>1</f>
        <v>1</v>
      </c>
    </row>
    <row r="4998" spans="2:9" x14ac:dyDescent="0.25">
      <c r="B4998">
        <v>0</v>
      </c>
      <c r="C4998" s="16" t="s">
        <v>14206</v>
      </c>
      <c r="D4998" s="16"/>
      <c r="E4998">
        <v>6</v>
      </c>
      <c r="F4998" t="s">
        <v>7178</v>
      </c>
      <c r="G4998">
        <v>1</v>
      </c>
      <c r="H4998">
        <v>1</v>
      </c>
      <c r="I4998">
        <f>1</f>
        <v>1</v>
      </c>
    </row>
    <row r="4999" spans="2:9" x14ac:dyDescent="0.25">
      <c r="B4999">
        <v>0</v>
      </c>
      <c r="C4999" s="16" t="s">
        <v>14207</v>
      </c>
      <c r="D4999" s="16"/>
      <c r="E4999">
        <v>6</v>
      </c>
      <c r="F4999" t="s">
        <v>4680</v>
      </c>
      <c r="G4999">
        <v>1</v>
      </c>
      <c r="H4999">
        <v>1</v>
      </c>
      <c r="I4999">
        <f>1</f>
        <v>1</v>
      </c>
    </row>
    <row r="5000" spans="2:9" x14ac:dyDescent="0.25">
      <c r="B5000">
        <v>0</v>
      </c>
      <c r="C5000" s="16" t="s">
        <v>14208</v>
      </c>
      <c r="D5000" s="16"/>
      <c r="E5000">
        <v>6</v>
      </c>
      <c r="F5000" t="s">
        <v>7179</v>
      </c>
      <c r="G5000">
        <v>1</v>
      </c>
      <c r="H5000">
        <v>1</v>
      </c>
      <c r="I5000">
        <f>1</f>
        <v>1</v>
      </c>
    </row>
    <row r="5001" spans="2:9" x14ac:dyDescent="0.25">
      <c r="B5001">
        <v>0</v>
      </c>
      <c r="C5001" s="16" t="s">
        <v>14209</v>
      </c>
      <c r="D5001" s="16"/>
      <c r="E5001">
        <v>6</v>
      </c>
      <c r="F5001" t="s">
        <v>4680</v>
      </c>
      <c r="G5001">
        <v>1</v>
      </c>
      <c r="H5001">
        <v>1</v>
      </c>
      <c r="I5001">
        <f>1</f>
        <v>1</v>
      </c>
    </row>
    <row r="5002" spans="2:9" x14ac:dyDescent="0.25">
      <c r="B5002">
        <v>0</v>
      </c>
      <c r="C5002" s="16" t="s">
        <v>14210</v>
      </c>
      <c r="D5002" s="16"/>
      <c r="E5002">
        <v>6</v>
      </c>
      <c r="F5002" t="s">
        <v>7175</v>
      </c>
      <c r="G5002">
        <v>1</v>
      </c>
      <c r="H5002">
        <v>1</v>
      </c>
      <c r="I5002">
        <f>1</f>
        <v>1</v>
      </c>
    </row>
    <row r="5003" spans="2:9" x14ac:dyDescent="0.25">
      <c r="B5003">
        <v>0</v>
      </c>
      <c r="C5003" s="16" t="s">
        <v>14211</v>
      </c>
      <c r="D5003" s="16"/>
      <c r="E5003">
        <v>6</v>
      </c>
      <c r="F5003" t="s">
        <v>7176</v>
      </c>
      <c r="G5003">
        <v>1</v>
      </c>
      <c r="H5003">
        <v>1</v>
      </c>
      <c r="I5003">
        <f>1</f>
        <v>1</v>
      </c>
    </row>
    <row r="5004" spans="2:9" x14ac:dyDescent="0.25">
      <c r="B5004">
        <v>0</v>
      </c>
      <c r="C5004" s="16" t="s">
        <v>14212</v>
      </c>
      <c r="D5004" s="16"/>
      <c r="E5004">
        <v>6</v>
      </c>
      <c r="F5004" t="s">
        <v>7177</v>
      </c>
      <c r="G5004">
        <v>1</v>
      </c>
      <c r="H5004">
        <v>1</v>
      </c>
      <c r="I5004">
        <f>1</f>
        <v>1</v>
      </c>
    </row>
    <row r="5005" spans="2:9" x14ac:dyDescent="0.25">
      <c r="B5005">
        <v>0</v>
      </c>
      <c r="C5005" s="16" t="s">
        <v>14213</v>
      </c>
      <c r="D5005" s="16"/>
      <c r="E5005">
        <v>6</v>
      </c>
      <c r="F5005" t="s">
        <v>4680</v>
      </c>
      <c r="G5005">
        <v>1</v>
      </c>
      <c r="H5005">
        <v>1</v>
      </c>
      <c r="I5005">
        <f>1</f>
        <v>1</v>
      </c>
    </row>
    <row r="5006" spans="2:9" x14ac:dyDescent="0.25">
      <c r="B5006">
        <v>0</v>
      </c>
      <c r="C5006" s="16" t="s">
        <v>14214</v>
      </c>
      <c r="D5006" s="16"/>
      <c r="E5006">
        <v>6</v>
      </c>
      <c r="F5006" t="s">
        <v>7178</v>
      </c>
      <c r="G5006">
        <v>1</v>
      </c>
      <c r="H5006">
        <v>1</v>
      </c>
      <c r="I5006">
        <f>1</f>
        <v>1</v>
      </c>
    </row>
    <row r="5007" spans="2:9" x14ac:dyDescent="0.25">
      <c r="B5007">
        <v>0</v>
      </c>
      <c r="C5007" s="16" t="s">
        <v>14215</v>
      </c>
      <c r="D5007" s="16"/>
      <c r="E5007">
        <v>6</v>
      </c>
      <c r="F5007" t="s">
        <v>4680</v>
      </c>
      <c r="G5007">
        <v>1</v>
      </c>
      <c r="H5007">
        <v>1</v>
      </c>
      <c r="I5007">
        <f>1</f>
        <v>1</v>
      </c>
    </row>
    <row r="5008" spans="2:9" x14ac:dyDescent="0.25">
      <c r="B5008">
        <v>0</v>
      </c>
      <c r="C5008" s="16" t="s">
        <v>14216</v>
      </c>
      <c r="D5008" s="16"/>
      <c r="E5008">
        <v>6</v>
      </c>
      <c r="F5008" t="e">
        <f>--dos tipos utilizados em automóveis De passageiros  incluindo os veículos De uso misto  station wagons  e os automóveis De corrida</f>
        <v>#NAME?</v>
      </c>
      <c r="G5008">
        <v>1</v>
      </c>
      <c r="H5008">
        <v>1</v>
      </c>
      <c r="I5008">
        <f>1</f>
        <v>1</v>
      </c>
    </row>
    <row r="5009" spans="2:9" x14ac:dyDescent="0.25">
      <c r="B5009">
        <v>0</v>
      </c>
      <c r="C5009" s="16" t="s">
        <v>14216</v>
      </c>
      <c r="D5009" s="16" t="s">
        <v>19430</v>
      </c>
      <c r="E5009">
        <v>6</v>
      </c>
      <c r="F5009" t="s">
        <v>7180</v>
      </c>
      <c r="G5009">
        <v>1</v>
      </c>
      <c r="H5009">
        <v>1</v>
      </c>
      <c r="I5009">
        <f>1</f>
        <v>1</v>
      </c>
    </row>
    <row r="5010" spans="2:9" x14ac:dyDescent="0.25">
      <c r="B5010">
        <v>0</v>
      </c>
      <c r="C5010" s="16" t="s">
        <v>14217</v>
      </c>
      <c r="D5010" s="16"/>
      <c r="E5010">
        <v>6</v>
      </c>
      <c r="F5010" t="e">
        <f>--dos tipos utilizados em ônibus ou caminhões</f>
        <v>#NAME?</v>
      </c>
      <c r="G5010">
        <v>1</v>
      </c>
      <c r="H5010">
        <v>1</v>
      </c>
      <c r="I5010">
        <f>1</f>
        <v>1</v>
      </c>
    </row>
    <row r="5011" spans="2:9" x14ac:dyDescent="0.25">
      <c r="B5011">
        <v>0</v>
      </c>
      <c r="C5011" s="16" t="s">
        <v>14217</v>
      </c>
      <c r="D5011" s="16" t="s">
        <v>19430</v>
      </c>
      <c r="E5011">
        <v>6</v>
      </c>
      <c r="F5011" t="s">
        <v>7180</v>
      </c>
      <c r="G5011">
        <v>1</v>
      </c>
      <c r="H5011">
        <v>1</v>
      </c>
      <c r="I5011">
        <f>1</f>
        <v>1</v>
      </c>
    </row>
    <row r="5012" spans="2:9" x14ac:dyDescent="0.25">
      <c r="B5012">
        <v>0</v>
      </c>
      <c r="C5012" s="16" t="s">
        <v>14218</v>
      </c>
      <c r="D5012" s="16"/>
      <c r="E5012">
        <v>6</v>
      </c>
      <c r="F5012" t="e">
        <f>--dos tipos utilizados em veículos aéreos</f>
        <v>#NAME?</v>
      </c>
      <c r="G5012">
        <v>1</v>
      </c>
      <c r="H5012">
        <v>1</v>
      </c>
      <c r="I5012">
        <f>1</f>
        <v>1</v>
      </c>
    </row>
    <row r="5013" spans="2:9" x14ac:dyDescent="0.25">
      <c r="B5013">
        <v>0</v>
      </c>
      <c r="C5013" s="16" t="s">
        <v>14219</v>
      </c>
      <c r="D5013" s="16"/>
      <c r="E5013">
        <v>6</v>
      </c>
      <c r="F5013" t="e">
        <f>--outros</f>
        <v>#NAME?</v>
      </c>
      <c r="G5013">
        <v>1</v>
      </c>
      <c r="H5013">
        <v>1</v>
      </c>
      <c r="I5013">
        <f>1</f>
        <v>1</v>
      </c>
    </row>
    <row r="5014" spans="2:9" x14ac:dyDescent="0.25">
      <c r="B5014">
        <v>0</v>
      </c>
      <c r="C5014" s="16" t="s">
        <v>14219</v>
      </c>
      <c r="D5014" s="16" t="s">
        <v>19430</v>
      </c>
      <c r="E5014">
        <v>6</v>
      </c>
      <c r="F5014" t="s">
        <v>7181</v>
      </c>
      <c r="G5014">
        <v>1</v>
      </c>
      <c r="H5014">
        <v>1</v>
      </c>
      <c r="I5014">
        <f>1</f>
        <v>1</v>
      </c>
    </row>
    <row r="5015" spans="2:9" x14ac:dyDescent="0.25">
      <c r="B5015">
        <v>0</v>
      </c>
      <c r="C5015" s="16" t="s">
        <v>14219</v>
      </c>
      <c r="D5015" s="16" t="s">
        <v>19431</v>
      </c>
      <c r="E5015">
        <v>6</v>
      </c>
      <c r="F5015" t="s">
        <v>7182</v>
      </c>
      <c r="G5015">
        <v>1</v>
      </c>
      <c r="H5015">
        <v>1</v>
      </c>
      <c r="I5015">
        <f>1</f>
        <v>1</v>
      </c>
    </row>
    <row r="5016" spans="2:9" x14ac:dyDescent="0.25">
      <c r="B5016">
        <v>0</v>
      </c>
      <c r="C5016" s="16" t="s">
        <v>14220</v>
      </c>
      <c r="D5016" s="16"/>
      <c r="E5016">
        <v>6</v>
      </c>
      <c r="F5016" t="e">
        <f>-Pneumáticos usados</f>
        <v>#NAME?</v>
      </c>
      <c r="G5016">
        <v>1</v>
      </c>
      <c r="H5016">
        <v>1</v>
      </c>
      <c r="I5016">
        <f>1</f>
        <v>1</v>
      </c>
    </row>
    <row r="5017" spans="2:9" x14ac:dyDescent="0.25">
      <c r="B5017">
        <v>0</v>
      </c>
      <c r="C5017" s="16" t="s">
        <v>14221</v>
      </c>
      <c r="D5017" s="16"/>
      <c r="E5017">
        <v>6</v>
      </c>
      <c r="F5017" t="s">
        <v>7183</v>
      </c>
      <c r="G5017">
        <v>1</v>
      </c>
      <c r="H5017">
        <v>1</v>
      </c>
      <c r="I5017">
        <f>1</f>
        <v>1</v>
      </c>
    </row>
    <row r="5018" spans="2:9" x14ac:dyDescent="0.25">
      <c r="B5018">
        <v>0</v>
      </c>
      <c r="C5018" s="16" t="s">
        <v>14222</v>
      </c>
      <c r="D5018" s="16"/>
      <c r="E5018">
        <v>6</v>
      </c>
      <c r="F5018" t="s">
        <v>4680</v>
      </c>
      <c r="G5018">
        <v>1</v>
      </c>
      <c r="H5018">
        <v>1</v>
      </c>
      <c r="I5018">
        <f>1</f>
        <v>1</v>
      </c>
    </row>
    <row r="5019" spans="2:9" x14ac:dyDescent="0.25">
      <c r="B5019">
        <v>0</v>
      </c>
      <c r="C5019" s="16" t="s">
        <v>14223</v>
      </c>
      <c r="D5019" s="16"/>
      <c r="E5019">
        <v>6</v>
      </c>
      <c r="F5019" t="s">
        <v>7184</v>
      </c>
      <c r="G5019">
        <v>1</v>
      </c>
      <c r="H5019">
        <v>1</v>
      </c>
      <c r="I5019">
        <f>1</f>
        <v>1</v>
      </c>
    </row>
    <row r="5020" spans="2:9" x14ac:dyDescent="0.25">
      <c r="B5020">
        <v>0</v>
      </c>
      <c r="C5020" s="16" t="s">
        <v>14224</v>
      </c>
      <c r="D5020" s="16"/>
      <c r="E5020">
        <v>6</v>
      </c>
      <c r="F5020" t="s">
        <v>4690</v>
      </c>
      <c r="G5020">
        <v>1</v>
      </c>
      <c r="H5020">
        <v>1</v>
      </c>
      <c r="I5020">
        <f>1</f>
        <v>1</v>
      </c>
    </row>
    <row r="5021" spans="2:9" x14ac:dyDescent="0.25">
      <c r="B5021">
        <v>0</v>
      </c>
      <c r="C5021" s="16" t="s">
        <v>14224</v>
      </c>
      <c r="D5021" s="16" t="s">
        <v>19430</v>
      </c>
      <c r="E5021">
        <v>6</v>
      </c>
      <c r="F5021" t="s">
        <v>7185</v>
      </c>
      <c r="G5021">
        <v>1</v>
      </c>
      <c r="H5021">
        <v>1</v>
      </c>
      <c r="I5021">
        <f>1</f>
        <v>1</v>
      </c>
    </row>
    <row r="5022" spans="2:9" x14ac:dyDescent="0.25">
      <c r="B5022">
        <v>0</v>
      </c>
      <c r="C5022" s="16" t="s">
        <v>14225</v>
      </c>
      <c r="D5022" s="16"/>
      <c r="E5022">
        <v>6</v>
      </c>
      <c r="F5022" t="e">
        <f>-dos tipos utilizados em bicicletas</f>
        <v>#NAME?</v>
      </c>
      <c r="G5022">
        <v>1</v>
      </c>
      <c r="H5022">
        <v>1</v>
      </c>
      <c r="I5022">
        <f>1</f>
        <v>1</v>
      </c>
    </row>
    <row r="5023" spans="2:9" x14ac:dyDescent="0.25">
      <c r="B5023">
        <v>0</v>
      </c>
      <c r="C5023" s="16" t="s">
        <v>14226</v>
      </c>
      <c r="D5023" s="16"/>
      <c r="E5023">
        <v>6</v>
      </c>
      <c r="F5023" t="e">
        <f>-Outras</f>
        <v>#NAME?</v>
      </c>
      <c r="G5023">
        <v>1</v>
      </c>
      <c r="H5023">
        <v>1</v>
      </c>
      <c r="I5023">
        <f>1</f>
        <v>1</v>
      </c>
    </row>
    <row r="5024" spans="2:9" x14ac:dyDescent="0.25">
      <c r="B5024">
        <v>0</v>
      </c>
      <c r="C5024" s="16" t="s">
        <v>14226</v>
      </c>
      <c r="D5024" s="16" t="s">
        <v>19430</v>
      </c>
      <c r="E5024">
        <v>6</v>
      </c>
      <c r="F5024" t="s">
        <v>7186</v>
      </c>
      <c r="G5024">
        <v>1</v>
      </c>
      <c r="H5024">
        <v>1</v>
      </c>
      <c r="I5024">
        <f>1</f>
        <v>1</v>
      </c>
    </row>
    <row r="5025" spans="2:9" x14ac:dyDescent="0.25">
      <c r="B5025">
        <v>0</v>
      </c>
      <c r="C5025" s="16" t="s">
        <v>14227</v>
      </c>
      <c r="D5025" s="16"/>
      <c r="E5025">
        <v>6</v>
      </c>
      <c r="F5025" t="e">
        <f>-Preservativos</f>
        <v>#NAME?</v>
      </c>
      <c r="G5025">
        <v>1</v>
      </c>
      <c r="H5025">
        <v>1</v>
      </c>
      <c r="I5025">
        <f>1</f>
        <v>1</v>
      </c>
    </row>
    <row r="5026" spans="2:9" x14ac:dyDescent="0.25">
      <c r="B5026">
        <v>0</v>
      </c>
      <c r="C5026" s="16" t="s">
        <v>14228</v>
      </c>
      <c r="D5026" s="16"/>
      <c r="E5026">
        <v>6</v>
      </c>
      <c r="F5026" t="s">
        <v>7187</v>
      </c>
      <c r="G5026">
        <v>1</v>
      </c>
      <c r="H5026">
        <v>1</v>
      </c>
      <c r="I5026">
        <f>1</f>
        <v>1</v>
      </c>
    </row>
    <row r="5027" spans="2:9" x14ac:dyDescent="0.25">
      <c r="B5027">
        <v>0</v>
      </c>
      <c r="C5027" s="16" t="s">
        <v>14229</v>
      </c>
      <c r="D5027" s="16"/>
      <c r="E5027">
        <v>6</v>
      </c>
      <c r="F5027" t="s">
        <v>4680</v>
      </c>
      <c r="G5027">
        <v>1</v>
      </c>
      <c r="H5027">
        <v>1</v>
      </c>
      <c r="I5027">
        <f>1</f>
        <v>1</v>
      </c>
    </row>
    <row r="5028" spans="2:9" x14ac:dyDescent="0.25">
      <c r="B5028">
        <v>0</v>
      </c>
      <c r="C5028" s="16" t="s">
        <v>14230</v>
      </c>
      <c r="D5028" s="16"/>
      <c r="E5028">
        <v>6</v>
      </c>
      <c r="F5028" t="e">
        <f>--para cirurgia</f>
        <v>#NAME?</v>
      </c>
      <c r="G5028">
        <v>1</v>
      </c>
      <c r="H5028">
        <v>1</v>
      </c>
      <c r="I5028">
        <f>1</f>
        <v>1</v>
      </c>
    </row>
    <row r="5029" spans="2:9" x14ac:dyDescent="0.25">
      <c r="B5029">
        <v>0</v>
      </c>
      <c r="C5029" s="16" t="s">
        <v>14231</v>
      </c>
      <c r="D5029" s="16"/>
      <c r="E5029">
        <v>6</v>
      </c>
      <c r="F5029" t="e">
        <f>--Outras</f>
        <v>#NAME?</v>
      </c>
      <c r="G5029">
        <v>1</v>
      </c>
      <c r="H5029">
        <v>1</v>
      </c>
      <c r="I5029">
        <f>1</f>
        <v>1</v>
      </c>
    </row>
    <row r="5030" spans="2:9" x14ac:dyDescent="0.25">
      <c r="B5030">
        <v>0</v>
      </c>
      <c r="C5030" s="16" t="s">
        <v>14231</v>
      </c>
      <c r="D5030" s="16" t="s">
        <v>19430</v>
      </c>
      <c r="E5030">
        <v>6</v>
      </c>
      <c r="F5030" t="s">
        <v>7188</v>
      </c>
      <c r="G5030">
        <v>1</v>
      </c>
      <c r="H5030">
        <v>1</v>
      </c>
      <c r="I5030">
        <f>1</f>
        <v>1</v>
      </c>
    </row>
    <row r="5031" spans="2:9" x14ac:dyDescent="0.25">
      <c r="B5031">
        <v>0</v>
      </c>
      <c r="C5031" s="16" t="s">
        <v>14232</v>
      </c>
      <c r="D5031" s="16"/>
      <c r="E5031">
        <v>6</v>
      </c>
      <c r="F5031" t="e">
        <f>-outros</f>
        <v>#NAME?</v>
      </c>
      <c r="G5031">
        <v>1</v>
      </c>
      <c r="H5031">
        <v>1</v>
      </c>
      <c r="I5031">
        <f>1</f>
        <v>1</v>
      </c>
    </row>
    <row r="5032" spans="2:9" x14ac:dyDescent="0.25">
      <c r="B5032">
        <v>0</v>
      </c>
      <c r="C5032" s="16" t="s">
        <v>14232</v>
      </c>
      <c r="D5032" s="16" t="s">
        <v>19430</v>
      </c>
      <c r="E5032">
        <v>6</v>
      </c>
      <c r="F5032" t="s">
        <v>7189</v>
      </c>
      <c r="G5032">
        <v>1</v>
      </c>
      <c r="H5032">
        <v>1</v>
      </c>
      <c r="I5032">
        <f>1</f>
        <v>1</v>
      </c>
    </row>
    <row r="5033" spans="2:9" x14ac:dyDescent="0.25">
      <c r="B5033">
        <v>0</v>
      </c>
      <c r="C5033" s="16" t="s">
        <v>14233</v>
      </c>
      <c r="D5033" s="16"/>
      <c r="E5033">
        <v>6</v>
      </c>
      <c r="F5033" t="s">
        <v>7190</v>
      </c>
      <c r="G5033">
        <v>1</v>
      </c>
      <c r="H5033">
        <v>1</v>
      </c>
      <c r="I5033">
        <f>1</f>
        <v>1</v>
      </c>
    </row>
    <row r="5034" spans="2:9" x14ac:dyDescent="0.25">
      <c r="B5034">
        <v>0</v>
      </c>
      <c r="C5034" s="16" t="s">
        <v>14234</v>
      </c>
      <c r="D5034" s="16"/>
      <c r="E5034">
        <v>6</v>
      </c>
      <c r="F5034" t="s">
        <v>4690</v>
      </c>
      <c r="G5034">
        <v>1</v>
      </c>
      <c r="H5034">
        <v>1</v>
      </c>
      <c r="I5034">
        <f>1</f>
        <v>1</v>
      </c>
    </row>
    <row r="5035" spans="2:9" x14ac:dyDescent="0.25">
      <c r="B5035">
        <v>0</v>
      </c>
      <c r="C5035" s="16" t="s">
        <v>14235</v>
      </c>
      <c r="D5035" s="16"/>
      <c r="E5035">
        <v>6</v>
      </c>
      <c r="F5035" t="e">
        <f>--Revestimentos para pisos  pavimentos  e capachos</f>
        <v>#NAME?</v>
      </c>
      <c r="G5035">
        <v>1</v>
      </c>
      <c r="H5035">
        <v>1</v>
      </c>
      <c r="I5035">
        <f>1</f>
        <v>1</v>
      </c>
    </row>
    <row r="5036" spans="2:9" x14ac:dyDescent="0.25">
      <c r="B5036">
        <v>0</v>
      </c>
      <c r="C5036" s="16" t="s">
        <v>14236</v>
      </c>
      <c r="D5036" s="16"/>
      <c r="E5036">
        <v>6</v>
      </c>
      <c r="F5036" t="e">
        <f>--Borrachas De apagar</f>
        <v>#NAME?</v>
      </c>
      <c r="G5036">
        <v>1</v>
      </c>
      <c r="H5036">
        <v>1</v>
      </c>
      <c r="I5036">
        <f>1</f>
        <v>1</v>
      </c>
    </row>
    <row r="5037" spans="2:9" x14ac:dyDescent="0.25">
      <c r="B5037">
        <v>0</v>
      </c>
      <c r="C5037" s="16" t="s">
        <v>14237</v>
      </c>
      <c r="D5037" s="16"/>
      <c r="E5037">
        <v>6</v>
      </c>
      <c r="F5037" t="s">
        <v>7191</v>
      </c>
      <c r="G5037">
        <v>1</v>
      </c>
      <c r="H5037">
        <v>1</v>
      </c>
      <c r="I5037">
        <f>1</f>
        <v>1</v>
      </c>
    </row>
    <row r="5038" spans="2:9" x14ac:dyDescent="0.25">
      <c r="B5038">
        <v>0</v>
      </c>
      <c r="C5038" s="16" t="s">
        <v>14238</v>
      </c>
      <c r="D5038" s="16"/>
      <c r="E5038">
        <v>6</v>
      </c>
      <c r="F5038" t="s">
        <v>7192</v>
      </c>
      <c r="G5038">
        <v>1</v>
      </c>
      <c r="H5038">
        <v>1</v>
      </c>
      <c r="I5038">
        <f>1</f>
        <v>1</v>
      </c>
    </row>
    <row r="5039" spans="2:9" x14ac:dyDescent="0.25">
      <c r="B5039">
        <v>0</v>
      </c>
      <c r="C5039" s="16" t="s">
        <v>14239</v>
      </c>
      <c r="D5039" s="16"/>
      <c r="E5039">
        <v>6</v>
      </c>
      <c r="F5039" t="s">
        <v>7193</v>
      </c>
      <c r="G5039">
        <v>1</v>
      </c>
      <c r="H5039">
        <v>1</v>
      </c>
      <c r="I5039">
        <f>1</f>
        <v>1</v>
      </c>
    </row>
    <row r="5040" spans="2:9" x14ac:dyDescent="0.25">
      <c r="B5040">
        <v>0</v>
      </c>
      <c r="C5040" s="16" t="s">
        <v>14240</v>
      </c>
      <c r="D5040" s="16"/>
      <c r="E5040">
        <v>6</v>
      </c>
      <c r="F5040" t="s">
        <v>4680</v>
      </c>
      <c r="G5040">
        <v>1</v>
      </c>
      <c r="H5040">
        <v>1</v>
      </c>
      <c r="I5040">
        <f>1</f>
        <v>1</v>
      </c>
    </row>
    <row r="5041" spans="2:9" x14ac:dyDescent="0.25">
      <c r="B5041">
        <v>0</v>
      </c>
      <c r="C5041" s="16" t="s">
        <v>14241</v>
      </c>
      <c r="D5041" s="16"/>
      <c r="E5041">
        <v>6</v>
      </c>
      <c r="F5041" t="s">
        <v>7194</v>
      </c>
      <c r="G5041">
        <v>1</v>
      </c>
      <c r="H5041">
        <v>1</v>
      </c>
      <c r="I5041">
        <f>1</f>
        <v>1</v>
      </c>
    </row>
    <row r="5042" spans="2:9" x14ac:dyDescent="0.25">
      <c r="B5042">
        <v>0</v>
      </c>
      <c r="C5042" s="16" t="s">
        <v>14242</v>
      </c>
      <c r="D5042" s="16"/>
      <c r="E5042">
        <v>6</v>
      </c>
      <c r="F5042" t="s">
        <v>4690</v>
      </c>
      <c r="G5042">
        <v>1</v>
      </c>
      <c r="H5042">
        <v>1</v>
      </c>
      <c r="I5042">
        <f>1</f>
        <v>1</v>
      </c>
    </row>
    <row r="5043" spans="2:9" x14ac:dyDescent="0.25">
      <c r="B5043">
        <v>0</v>
      </c>
      <c r="C5043" s="16" t="s">
        <v>14242</v>
      </c>
      <c r="D5043" s="16" t="s">
        <v>19430</v>
      </c>
      <c r="E5043">
        <v>6</v>
      </c>
      <c r="F5043" t="s">
        <v>7195</v>
      </c>
      <c r="G5043">
        <v>1</v>
      </c>
      <c r="H5043">
        <v>1</v>
      </c>
      <c r="I5043">
        <f>1</f>
        <v>1</v>
      </c>
    </row>
    <row r="5044" spans="2:9" x14ac:dyDescent="0.25">
      <c r="B5044">
        <v>0</v>
      </c>
      <c r="C5044" s="16" t="s">
        <v>14242</v>
      </c>
      <c r="D5044" s="16" t="s">
        <v>19431</v>
      </c>
      <c r="E5044">
        <v>6</v>
      </c>
      <c r="F5044" t="s">
        <v>7196</v>
      </c>
      <c r="G5044">
        <v>1</v>
      </c>
      <c r="H5044">
        <v>1</v>
      </c>
      <c r="I5044">
        <f>1</f>
        <v>1</v>
      </c>
    </row>
    <row r="5045" spans="2:9" x14ac:dyDescent="0.25">
      <c r="B5045">
        <v>0</v>
      </c>
      <c r="C5045" s="16" t="s">
        <v>14242</v>
      </c>
      <c r="D5045" s="16" t="s">
        <v>19432</v>
      </c>
      <c r="E5045">
        <v>6</v>
      </c>
      <c r="F5045" t="s">
        <v>7197</v>
      </c>
      <c r="G5045">
        <v>1</v>
      </c>
      <c r="H5045">
        <v>1</v>
      </c>
      <c r="I5045">
        <f>1</f>
        <v>1</v>
      </c>
    </row>
    <row r="5046" spans="2:9" x14ac:dyDescent="0.25">
      <c r="B5046">
        <v>0</v>
      </c>
      <c r="C5046" s="16" t="s">
        <v>14242</v>
      </c>
      <c r="D5046" s="16" t="s">
        <v>19433</v>
      </c>
      <c r="E5046">
        <v>6</v>
      </c>
      <c r="F5046" t="s">
        <v>7198</v>
      </c>
      <c r="G5046">
        <v>1</v>
      </c>
      <c r="H5046">
        <v>1</v>
      </c>
      <c r="I5046">
        <f>1</f>
        <v>1</v>
      </c>
    </row>
    <row r="5047" spans="2:9" x14ac:dyDescent="0.25">
      <c r="B5047">
        <v>0</v>
      </c>
      <c r="C5047" s="16" t="s">
        <v>14242</v>
      </c>
      <c r="D5047" s="16" t="s">
        <v>19434</v>
      </c>
      <c r="E5047">
        <v>6</v>
      </c>
      <c r="F5047" t="s">
        <v>7199</v>
      </c>
      <c r="G5047">
        <v>1</v>
      </c>
      <c r="H5047">
        <v>1</v>
      </c>
      <c r="I5047">
        <f>1</f>
        <v>1</v>
      </c>
    </row>
    <row r="5048" spans="2:9" x14ac:dyDescent="0.25">
      <c r="B5048">
        <v>0</v>
      </c>
      <c r="C5048" s="16" t="s">
        <v>14243</v>
      </c>
      <c r="D5048" s="16"/>
      <c r="E5048">
        <v>6</v>
      </c>
      <c r="F5048" t="s">
        <v>7200</v>
      </c>
      <c r="G5048">
        <v>1</v>
      </c>
      <c r="H5048">
        <v>1</v>
      </c>
      <c r="I5048">
        <f>1</f>
        <v>1</v>
      </c>
    </row>
    <row r="5049" spans="2:9" x14ac:dyDescent="0.25">
      <c r="B5049">
        <v>0</v>
      </c>
      <c r="C5049" s="16" t="s">
        <v>14243</v>
      </c>
      <c r="D5049" s="16" t="s">
        <v>19430</v>
      </c>
      <c r="E5049">
        <v>6</v>
      </c>
      <c r="F5049" t="s">
        <v>7201</v>
      </c>
      <c r="G5049">
        <v>1</v>
      </c>
      <c r="H5049">
        <v>1</v>
      </c>
      <c r="I5049">
        <f>1</f>
        <v>1</v>
      </c>
    </row>
    <row r="5050" spans="2:9" x14ac:dyDescent="0.25">
      <c r="B5050">
        <v>0</v>
      </c>
      <c r="C5050" s="16" t="s">
        <v>14243</v>
      </c>
      <c r="D5050" s="16" t="s">
        <v>19431</v>
      </c>
      <c r="E5050">
        <v>6</v>
      </c>
      <c r="F5050" t="s">
        <v>7202</v>
      </c>
      <c r="G5050">
        <v>1</v>
      </c>
      <c r="H5050">
        <v>1</v>
      </c>
      <c r="I5050">
        <f>1</f>
        <v>1</v>
      </c>
    </row>
    <row r="5051" spans="2:9" x14ac:dyDescent="0.25">
      <c r="B5051">
        <v>0</v>
      </c>
      <c r="C5051" s="16" t="s">
        <v>14243</v>
      </c>
      <c r="D5051" s="16" t="s">
        <v>19432</v>
      </c>
      <c r="E5051">
        <v>6</v>
      </c>
      <c r="F5051" t="s">
        <v>7203</v>
      </c>
      <c r="G5051">
        <v>1</v>
      </c>
      <c r="H5051">
        <v>1</v>
      </c>
      <c r="I5051">
        <f>1</f>
        <v>1</v>
      </c>
    </row>
    <row r="5052" spans="2:9" x14ac:dyDescent="0.25">
      <c r="B5052">
        <v>0</v>
      </c>
      <c r="C5052" s="16" t="s">
        <v>14244</v>
      </c>
      <c r="D5052" s="16"/>
      <c r="E5052">
        <v>6</v>
      </c>
      <c r="F5052" t="s">
        <v>7204</v>
      </c>
      <c r="G5052">
        <v>1</v>
      </c>
      <c r="H5052">
        <v>1</v>
      </c>
      <c r="I5052">
        <f>1</f>
        <v>1</v>
      </c>
    </row>
    <row r="5053" spans="2:9" x14ac:dyDescent="0.25">
      <c r="B5053">
        <v>0</v>
      </c>
      <c r="C5053" s="16" t="s">
        <v>14245</v>
      </c>
      <c r="D5053" s="16"/>
      <c r="E5053">
        <v>6</v>
      </c>
      <c r="F5053" t="s">
        <v>7205</v>
      </c>
      <c r="G5053">
        <v>1</v>
      </c>
      <c r="H5053">
        <v>1</v>
      </c>
      <c r="I5053">
        <f>1</f>
        <v>1</v>
      </c>
    </row>
    <row r="5054" spans="2:9" x14ac:dyDescent="0.25">
      <c r="B5054">
        <v>0</v>
      </c>
      <c r="C5054" s="16" t="s">
        <v>14246</v>
      </c>
      <c r="D5054" s="16"/>
      <c r="E5054">
        <v>6</v>
      </c>
      <c r="F5054" t="s">
        <v>7206</v>
      </c>
      <c r="G5054">
        <v>1</v>
      </c>
      <c r="H5054">
        <v>1</v>
      </c>
      <c r="I5054">
        <f>1</f>
        <v>1</v>
      </c>
    </row>
    <row r="5055" spans="2:9" x14ac:dyDescent="0.25">
      <c r="B5055">
        <v>0</v>
      </c>
      <c r="C5055" s="16" t="s">
        <v>14247</v>
      </c>
      <c r="D5055" s="16"/>
      <c r="E5055">
        <v>6</v>
      </c>
      <c r="F5055" t="s">
        <v>7207</v>
      </c>
      <c r="G5055">
        <v>1</v>
      </c>
      <c r="H5055">
        <v>1</v>
      </c>
      <c r="I5055">
        <f>1</f>
        <v>1</v>
      </c>
    </row>
    <row r="5056" spans="2:9" x14ac:dyDescent="0.25">
      <c r="B5056">
        <v>0</v>
      </c>
      <c r="C5056" s="16" t="s">
        <v>14248</v>
      </c>
      <c r="D5056" s="16"/>
      <c r="E5056">
        <v>6</v>
      </c>
      <c r="F5056" t="s">
        <v>7205</v>
      </c>
      <c r="G5056">
        <v>1</v>
      </c>
      <c r="H5056">
        <v>1</v>
      </c>
      <c r="I5056">
        <f>1</f>
        <v>1</v>
      </c>
    </row>
    <row r="5057" spans="2:9" x14ac:dyDescent="0.25">
      <c r="B5057">
        <v>0</v>
      </c>
      <c r="C5057" s="16" t="s">
        <v>14249</v>
      </c>
      <c r="D5057" s="16"/>
      <c r="E5057">
        <v>6</v>
      </c>
      <c r="F5057" t="s">
        <v>7206</v>
      </c>
      <c r="G5057">
        <v>1</v>
      </c>
      <c r="H5057">
        <v>1</v>
      </c>
      <c r="I5057">
        <f>1</f>
        <v>1</v>
      </c>
    </row>
    <row r="5058" spans="2:9" x14ac:dyDescent="0.25">
      <c r="B5058">
        <v>0</v>
      </c>
      <c r="C5058" s="16" t="s">
        <v>14250</v>
      </c>
      <c r="D5058" s="16"/>
      <c r="E5058">
        <v>6</v>
      </c>
      <c r="F5058" t="s">
        <v>7207</v>
      </c>
      <c r="G5058">
        <v>1</v>
      </c>
      <c r="H5058">
        <v>1</v>
      </c>
      <c r="I5058">
        <f>1</f>
        <v>1</v>
      </c>
    </row>
    <row r="5059" spans="2:9" x14ac:dyDescent="0.25">
      <c r="B5059">
        <v>0</v>
      </c>
      <c r="C5059" s="16" t="s">
        <v>14251</v>
      </c>
      <c r="D5059" s="16"/>
      <c r="E5059">
        <v>6</v>
      </c>
      <c r="F5059" t="e">
        <f>-Com lã  Não depiladas</f>
        <v>#NAME?</v>
      </c>
      <c r="G5059">
        <v>1</v>
      </c>
      <c r="H5059">
        <v>1</v>
      </c>
      <c r="I5059">
        <f>1</f>
        <v>1</v>
      </c>
    </row>
    <row r="5060" spans="2:9" x14ac:dyDescent="0.25">
      <c r="B5060">
        <v>0</v>
      </c>
      <c r="C5060" s="16" t="s">
        <v>14252</v>
      </c>
      <c r="D5060" s="16"/>
      <c r="E5060">
        <v>6</v>
      </c>
      <c r="F5060" t="e">
        <f>--Piqueladas</f>
        <v>#NAME?</v>
      </c>
      <c r="G5060">
        <v>1</v>
      </c>
      <c r="H5060">
        <v>1</v>
      </c>
      <c r="I5060">
        <f>1</f>
        <v>1</v>
      </c>
    </row>
    <row r="5061" spans="2:9" x14ac:dyDescent="0.25">
      <c r="B5061">
        <v>0</v>
      </c>
      <c r="C5061" s="16" t="s">
        <v>14253</v>
      </c>
      <c r="D5061" s="16"/>
      <c r="E5061">
        <v>6</v>
      </c>
      <c r="F5061" t="e">
        <f>--Outras</f>
        <v>#NAME?</v>
      </c>
      <c r="G5061">
        <v>1</v>
      </c>
      <c r="H5061">
        <v>1</v>
      </c>
      <c r="I5061">
        <f>1</f>
        <v>1</v>
      </c>
    </row>
    <row r="5062" spans="2:9" x14ac:dyDescent="0.25">
      <c r="B5062">
        <v>0</v>
      </c>
      <c r="C5062" s="16" t="s">
        <v>14254</v>
      </c>
      <c r="D5062" s="16"/>
      <c r="E5062">
        <v>6</v>
      </c>
      <c r="F5062" t="e">
        <f>-De répteis</f>
        <v>#NAME?</v>
      </c>
      <c r="G5062">
        <v>1</v>
      </c>
      <c r="H5062">
        <v>1</v>
      </c>
      <c r="I5062">
        <f>1</f>
        <v>1</v>
      </c>
    </row>
    <row r="5063" spans="2:9" x14ac:dyDescent="0.25">
      <c r="B5063">
        <v>0</v>
      </c>
      <c r="C5063" s="16" t="s">
        <v>14255</v>
      </c>
      <c r="D5063" s="16"/>
      <c r="E5063">
        <v>6</v>
      </c>
      <c r="F5063" t="e">
        <f>-De suínos</f>
        <v>#NAME?</v>
      </c>
      <c r="G5063">
        <v>1</v>
      </c>
      <c r="H5063">
        <v>1</v>
      </c>
      <c r="I5063">
        <f>1</f>
        <v>1</v>
      </c>
    </row>
    <row r="5064" spans="2:9" x14ac:dyDescent="0.25">
      <c r="B5064">
        <v>0</v>
      </c>
      <c r="C5064" s="16" t="s">
        <v>14256</v>
      </c>
      <c r="D5064" s="16"/>
      <c r="E5064">
        <v>6</v>
      </c>
      <c r="F5064" t="e">
        <f>-outros</f>
        <v>#NAME?</v>
      </c>
      <c r="G5064">
        <v>1</v>
      </c>
      <c r="H5064">
        <v>1</v>
      </c>
      <c r="I5064">
        <f>1</f>
        <v>1</v>
      </c>
    </row>
    <row r="5065" spans="2:9" x14ac:dyDescent="0.25">
      <c r="B5065">
        <v>0</v>
      </c>
      <c r="C5065" s="16" t="s">
        <v>14257</v>
      </c>
      <c r="D5065" s="16"/>
      <c r="E5065">
        <v>6</v>
      </c>
      <c r="F5065" t="s">
        <v>7208</v>
      </c>
      <c r="G5065">
        <v>1</v>
      </c>
      <c r="H5065">
        <v>1</v>
      </c>
      <c r="I5065">
        <f>1</f>
        <v>1</v>
      </c>
    </row>
    <row r="5066" spans="2:9" x14ac:dyDescent="0.25">
      <c r="B5066">
        <v>0</v>
      </c>
      <c r="C5066" s="16" t="s">
        <v>14258</v>
      </c>
      <c r="D5066" s="16"/>
      <c r="E5066">
        <v>6</v>
      </c>
      <c r="F5066" t="s">
        <v>7209</v>
      </c>
      <c r="G5066">
        <v>1</v>
      </c>
      <c r="H5066">
        <v>1</v>
      </c>
      <c r="I5066">
        <f>1</f>
        <v>1</v>
      </c>
    </row>
    <row r="5067" spans="2:9" x14ac:dyDescent="0.25">
      <c r="B5067">
        <v>0</v>
      </c>
      <c r="C5067" s="16" t="s">
        <v>14259</v>
      </c>
      <c r="D5067" s="16"/>
      <c r="E5067">
        <v>6</v>
      </c>
      <c r="F5067" t="s">
        <v>7210</v>
      </c>
      <c r="G5067">
        <v>1</v>
      </c>
      <c r="H5067">
        <v>1</v>
      </c>
      <c r="I5067">
        <f>1</f>
        <v>1</v>
      </c>
    </row>
    <row r="5068" spans="2:9" x14ac:dyDescent="0.25">
      <c r="B5068">
        <v>0</v>
      </c>
      <c r="C5068" s="16" t="s">
        <v>14260</v>
      </c>
      <c r="D5068" s="16"/>
      <c r="E5068">
        <v>6</v>
      </c>
      <c r="F5068" t="s">
        <v>7211</v>
      </c>
      <c r="G5068">
        <v>1</v>
      </c>
      <c r="H5068">
        <v>1</v>
      </c>
      <c r="I5068">
        <f>1</f>
        <v>1</v>
      </c>
    </row>
    <row r="5069" spans="2:9" x14ac:dyDescent="0.25">
      <c r="B5069">
        <v>0</v>
      </c>
      <c r="C5069" s="16" t="s">
        <v>14261</v>
      </c>
      <c r="D5069" s="16"/>
      <c r="E5069">
        <v>6</v>
      </c>
      <c r="F5069" t="s">
        <v>4680</v>
      </c>
      <c r="G5069">
        <v>1</v>
      </c>
      <c r="H5069">
        <v>1</v>
      </c>
      <c r="I5069">
        <f>1</f>
        <v>1</v>
      </c>
    </row>
    <row r="5070" spans="2:9" x14ac:dyDescent="0.25">
      <c r="B5070">
        <v>0</v>
      </c>
      <c r="C5070" s="16" t="s">
        <v>14262</v>
      </c>
      <c r="D5070" s="16"/>
      <c r="E5070">
        <v>6</v>
      </c>
      <c r="F5070" t="s">
        <v>7208</v>
      </c>
      <c r="G5070">
        <v>1</v>
      </c>
      <c r="H5070">
        <v>1</v>
      </c>
      <c r="I5070">
        <f>1</f>
        <v>1</v>
      </c>
    </row>
    <row r="5071" spans="2:9" x14ac:dyDescent="0.25">
      <c r="B5071">
        <v>0</v>
      </c>
      <c r="C5071" s="16" t="s">
        <v>14263</v>
      </c>
      <c r="D5071" s="16"/>
      <c r="E5071">
        <v>6</v>
      </c>
      <c r="F5071" t="s">
        <v>7209</v>
      </c>
      <c r="G5071">
        <v>1</v>
      </c>
      <c r="H5071">
        <v>1</v>
      </c>
      <c r="I5071">
        <f>1</f>
        <v>1</v>
      </c>
    </row>
    <row r="5072" spans="2:9" x14ac:dyDescent="0.25">
      <c r="B5072">
        <v>0</v>
      </c>
      <c r="C5072" s="16" t="s">
        <v>14264</v>
      </c>
      <c r="D5072" s="16"/>
      <c r="E5072">
        <v>6</v>
      </c>
      <c r="F5072" t="s">
        <v>7210</v>
      </c>
      <c r="G5072">
        <v>1</v>
      </c>
      <c r="H5072">
        <v>1</v>
      </c>
      <c r="I5072">
        <f>1</f>
        <v>1</v>
      </c>
    </row>
    <row r="5073" spans="2:9" x14ac:dyDescent="0.25">
      <c r="B5073">
        <v>0</v>
      </c>
      <c r="C5073" s="16" t="s">
        <v>14265</v>
      </c>
      <c r="D5073" s="16"/>
      <c r="E5073">
        <v>6</v>
      </c>
      <c r="F5073" t="s">
        <v>7211</v>
      </c>
      <c r="G5073">
        <v>1</v>
      </c>
      <c r="H5073">
        <v>1</v>
      </c>
      <c r="I5073">
        <f>1</f>
        <v>1</v>
      </c>
    </row>
    <row r="5074" spans="2:9" x14ac:dyDescent="0.25">
      <c r="B5074">
        <v>0</v>
      </c>
      <c r="C5074" s="16" t="s">
        <v>14266</v>
      </c>
      <c r="D5074" s="16"/>
      <c r="E5074">
        <v>6</v>
      </c>
      <c r="F5074" t="s">
        <v>4680</v>
      </c>
      <c r="G5074">
        <v>1</v>
      </c>
      <c r="H5074">
        <v>1</v>
      </c>
      <c r="I5074">
        <f>1</f>
        <v>1</v>
      </c>
    </row>
    <row r="5075" spans="2:9" x14ac:dyDescent="0.25">
      <c r="B5075">
        <v>0</v>
      </c>
      <c r="C5075" s="16" t="s">
        <v>14267</v>
      </c>
      <c r="D5075" s="16"/>
      <c r="E5075">
        <v>6</v>
      </c>
      <c r="F5075" t="s">
        <v>7208</v>
      </c>
      <c r="G5075">
        <v>1</v>
      </c>
      <c r="H5075">
        <v>1</v>
      </c>
      <c r="I5075">
        <f>1</f>
        <v>1</v>
      </c>
    </row>
    <row r="5076" spans="2:9" x14ac:dyDescent="0.25">
      <c r="B5076">
        <v>0</v>
      </c>
      <c r="C5076" s="16" t="s">
        <v>14268</v>
      </c>
      <c r="D5076" s="16"/>
      <c r="E5076">
        <v>6</v>
      </c>
      <c r="F5076" t="s">
        <v>7209</v>
      </c>
      <c r="G5076">
        <v>1</v>
      </c>
      <c r="H5076">
        <v>1</v>
      </c>
      <c r="I5076">
        <f>1</f>
        <v>1</v>
      </c>
    </row>
    <row r="5077" spans="2:9" x14ac:dyDescent="0.25">
      <c r="B5077">
        <v>0</v>
      </c>
      <c r="C5077" s="16" t="s">
        <v>14269</v>
      </c>
      <c r="D5077" s="16"/>
      <c r="E5077">
        <v>6</v>
      </c>
      <c r="F5077" t="s">
        <v>7210</v>
      </c>
      <c r="G5077">
        <v>1</v>
      </c>
      <c r="H5077">
        <v>1</v>
      </c>
      <c r="I5077">
        <f>1</f>
        <v>1</v>
      </c>
    </row>
    <row r="5078" spans="2:9" x14ac:dyDescent="0.25">
      <c r="B5078">
        <v>0</v>
      </c>
      <c r="C5078" s="16" t="s">
        <v>14270</v>
      </c>
      <c r="D5078" s="16"/>
      <c r="E5078">
        <v>6</v>
      </c>
      <c r="F5078" t="s">
        <v>7211</v>
      </c>
      <c r="G5078">
        <v>1</v>
      </c>
      <c r="H5078">
        <v>1</v>
      </c>
      <c r="I5078">
        <f>1</f>
        <v>1</v>
      </c>
    </row>
    <row r="5079" spans="2:9" x14ac:dyDescent="0.25">
      <c r="B5079">
        <v>0</v>
      </c>
      <c r="C5079" s="16" t="s">
        <v>14271</v>
      </c>
      <c r="D5079" s="16"/>
      <c r="E5079">
        <v>6</v>
      </c>
      <c r="F5079" t="s">
        <v>4680</v>
      </c>
      <c r="G5079">
        <v>1</v>
      </c>
      <c r="H5079">
        <v>1</v>
      </c>
      <c r="I5079">
        <f>1</f>
        <v>1</v>
      </c>
    </row>
    <row r="5080" spans="2:9" x14ac:dyDescent="0.25">
      <c r="B5080">
        <v>0</v>
      </c>
      <c r="C5080" s="16" t="s">
        <v>14272</v>
      </c>
      <c r="D5080" s="16"/>
      <c r="E5080">
        <v>6</v>
      </c>
      <c r="F5080" t="s">
        <v>7212</v>
      </c>
      <c r="G5080">
        <v>1</v>
      </c>
      <c r="H5080">
        <v>1</v>
      </c>
      <c r="I5080">
        <f>1</f>
        <v>1</v>
      </c>
    </row>
    <row r="5081" spans="2:9" x14ac:dyDescent="0.25">
      <c r="B5081">
        <v>0</v>
      </c>
      <c r="C5081" s="16" t="s">
        <v>14273</v>
      </c>
      <c r="D5081" s="16"/>
      <c r="E5081">
        <v>6</v>
      </c>
      <c r="F5081" t="s">
        <v>7213</v>
      </c>
      <c r="G5081">
        <v>1</v>
      </c>
      <c r="H5081">
        <v>1</v>
      </c>
      <c r="I5081">
        <f>1</f>
        <v>1</v>
      </c>
    </row>
    <row r="5082" spans="2:9" x14ac:dyDescent="0.25">
      <c r="B5082">
        <v>0</v>
      </c>
      <c r="C5082" s="16" t="s">
        <v>14274</v>
      </c>
      <c r="D5082" s="16"/>
      <c r="E5082">
        <v>6</v>
      </c>
      <c r="F5082" t="s">
        <v>7211</v>
      </c>
      <c r="G5082">
        <v>1</v>
      </c>
      <c r="H5082">
        <v>1</v>
      </c>
      <c r="I5082">
        <f>1</f>
        <v>1</v>
      </c>
    </row>
    <row r="5083" spans="2:9" x14ac:dyDescent="0.25">
      <c r="B5083">
        <v>0</v>
      </c>
      <c r="C5083" s="16" t="s">
        <v>14275</v>
      </c>
      <c r="D5083" s="16"/>
      <c r="E5083">
        <v>6</v>
      </c>
      <c r="F5083" t="s">
        <v>4680</v>
      </c>
      <c r="G5083">
        <v>1</v>
      </c>
      <c r="H5083">
        <v>1</v>
      </c>
      <c r="I5083">
        <f>1</f>
        <v>1</v>
      </c>
    </row>
    <row r="5084" spans="2:9" x14ac:dyDescent="0.25">
      <c r="B5084">
        <v>0</v>
      </c>
      <c r="C5084" s="16" t="s">
        <v>14276</v>
      </c>
      <c r="D5084" s="16"/>
      <c r="E5084">
        <v>6</v>
      </c>
      <c r="F5084" t="s">
        <v>7212</v>
      </c>
      <c r="G5084">
        <v>1</v>
      </c>
      <c r="H5084">
        <v>1</v>
      </c>
      <c r="I5084">
        <f>1</f>
        <v>1</v>
      </c>
    </row>
    <row r="5085" spans="2:9" x14ac:dyDescent="0.25">
      <c r="B5085">
        <v>0</v>
      </c>
      <c r="C5085" s="16" t="s">
        <v>14277</v>
      </c>
      <c r="D5085" s="16"/>
      <c r="E5085">
        <v>6</v>
      </c>
      <c r="F5085" t="s">
        <v>7211</v>
      </c>
      <c r="G5085">
        <v>1</v>
      </c>
      <c r="H5085">
        <v>1</v>
      </c>
      <c r="I5085">
        <f>1</f>
        <v>1</v>
      </c>
    </row>
    <row r="5086" spans="2:9" x14ac:dyDescent="0.25">
      <c r="B5086">
        <v>0</v>
      </c>
      <c r="C5086" s="16" t="s">
        <v>14278</v>
      </c>
      <c r="D5086" s="16"/>
      <c r="E5086">
        <v>6</v>
      </c>
      <c r="F5086" t="s">
        <v>4680</v>
      </c>
      <c r="G5086">
        <v>1</v>
      </c>
      <c r="H5086">
        <v>1</v>
      </c>
      <c r="I5086">
        <f>1</f>
        <v>1</v>
      </c>
    </row>
    <row r="5087" spans="2:9" x14ac:dyDescent="0.25">
      <c r="B5087">
        <v>0</v>
      </c>
      <c r="C5087" s="16" t="s">
        <v>14279</v>
      </c>
      <c r="D5087" s="16"/>
      <c r="E5087">
        <v>6</v>
      </c>
      <c r="F5087" t="s">
        <v>7214</v>
      </c>
      <c r="G5087">
        <v>1</v>
      </c>
      <c r="H5087">
        <v>1</v>
      </c>
      <c r="I5087">
        <f>1</f>
        <v>1</v>
      </c>
    </row>
    <row r="5088" spans="2:9" x14ac:dyDescent="0.25">
      <c r="B5088">
        <v>0</v>
      </c>
      <c r="C5088" s="16" t="s">
        <v>14280</v>
      </c>
      <c r="D5088" s="16"/>
      <c r="E5088">
        <v>6</v>
      </c>
      <c r="F5088" t="s">
        <v>7215</v>
      </c>
      <c r="G5088">
        <v>1</v>
      </c>
      <c r="H5088">
        <v>1</v>
      </c>
      <c r="I5088">
        <f>1</f>
        <v>1</v>
      </c>
    </row>
    <row r="5089" spans="2:9" x14ac:dyDescent="0.25">
      <c r="B5089">
        <v>0</v>
      </c>
      <c r="C5089" s="16" t="s">
        <v>14281</v>
      </c>
      <c r="D5089" s="16"/>
      <c r="E5089">
        <v>6</v>
      </c>
      <c r="F5089" t="s">
        <v>4690</v>
      </c>
      <c r="G5089">
        <v>1</v>
      </c>
      <c r="H5089">
        <v>1</v>
      </c>
      <c r="I5089">
        <f>1</f>
        <v>1</v>
      </c>
    </row>
    <row r="5090" spans="2:9" x14ac:dyDescent="0.25">
      <c r="B5090">
        <v>0</v>
      </c>
      <c r="C5090" s="16" t="s">
        <v>14282</v>
      </c>
      <c r="D5090" s="16"/>
      <c r="E5090">
        <v>6</v>
      </c>
      <c r="F5090" t="s">
        <v>4690</v>
      </c>
      <c r="G5090">
        <v>1</v>
      </c>
      <c r="H5090">
        <v>1</v>
      </c>
      <c r="I5090">
        <f>1</f>
        <v>1</v>
      </c>
    </row>
    <row r="5091" spans="2:9" x14ac:dyDescent="0.25">
      <c r="B5091">
        <v>0</v>
      </c>
      <c r="C5091" s="16" t="s">
        <v>14283</v>
      </c>
      <c r="D5091" s="16"/>
      <c r="E5091">
        <v>6</v>
      </c>
      <c r="F5091" t="e">
        <f>-no estado seco  crust</f>
        <v>#NAME?</v>
      </c>
      <c r="G5091">
        <v>1</v>
      </c>
      <c r="H5091">
        <v>1</v>
      </c>
      <c r="I5091">
        <f>1</f>
        <v>1</v>
      </c>
    </row>
    <row r="5092" spans="2:9" x14ac:dyDescent="0.25">
      <c r="B5092">
        <v>0</v>
      </c>
      <c r="C5092" s="16" t="s">
        <v>14284</v>
      </c>
      <c r="D5092" s="16"/>
      <c r="E5092">
        <v>6</v>
      </c>
      <c r="F5092" t="s">
        <v>7214</v>
      </c>
      <c r="G5092">
        <v>1</v>
      </c>
      <c r="H5092">
        <v>1</v>
      </c>
      <c r="I5092">
        <f>1</f>
        <v>1</v>
      </c>
    </row>
    <row r="5093" spans="2:9" x14ac:dyDescent="0.25">
      <c r="B5093">
        <v>0</v>
      </c>
      <c r="C5093" s="16" t="s">
        <v>14285</v>
      </c>
      <c r="D5093" s="16"/>
      <c r="E5093">
        <v>6</v>
      </c>
      <c r="F5093" t="s">
        <v>7215</v>
      </c>
      <c r="G5093">
        <v>1</v>
      </c>
      <c r="H5093">
        <v>1</v>
      </c>
      <c r="I5093">
        <f>1</f>
        <v>1</v>
      </c>
    </row>
    <row r="5094" spans="2:9" x14ac:dyDescent="0.25">
      <c r="B5094">
        <v>0</v>
      </c>
      <c r="C5094" s="16" t="s">
        <v>14286</v>
      </c>
      <c r="D5094" s="16"/>
      <c r="E5094">
        <v>6</v>
      </c>
      <c r="F5094" t="s">
        <v>4680</v>
      </c>
      <c r="G5094">
        <v>1</v>
      </c>
      <c r="H5094">
        <v>1</v>
      </c>
      <c r="I5094">
        <f>1</f>
        <v>1</v>
      </c>
    </row>
    <row r="5095" spans="2:9" x14ac:dyDescent="0.25">
      <c r="B5095">
        <v>0</v>
      </c>
      <c r="C5095" s="16" t="s">
        <v>14287</v>
      </c>
      <c r="D5095" s="16"/>
      <c r="E5095">
        <v>6</v>
      </c>
      <c r="F5095" t="s">
        <v>4680</v>
      </c>
      <c r="G5095">
        <v>1</v>
      </c>
      <c r="H5095">
        <v>1</v>
      </c>
      <c r="I5095">
        <f>1</f>
        <v>1</v>
      </c>
    </row>
    <row r="5096" spans="2:9" x14ac:dyDescent="0.25">
      <c r="B5096">
        <v>0</v>
      </c>
      <c r="C5096" s="16" t="s">
        <v>14288</v>
      </c>
      <c r="D5096" s="16"/>
      <c r="E5096">
        <v>6</v>
      </c>
      <c r="F5096" t="e">
        <f>--no estado seco  crust</f>
        <v>#NAME?</v>
      </c>
      <c r="G5096">
        <v>1</v>
      </c>
      <c r="H5096">
        <v>1</v>
      </c>
      <c r="I5096">
        <f>1</f>
        <v>1</v>
      </c>
    </row>
    <row r="5097" spans="2:9" x14ac:dyDescent="0.25">
      <c r="B5097">
        <v>0</v>
      </c>
      <c r="C5097" s="16" t="s">
        <v>14289</v>
      </c>
      <c r="D5097" s="16"/>
      <c r="E5097">
        <v>6</v>
      </c>
      <c r="F5097" t="s">
        <v>7216</v>
      </c>
      <c r="G5097">
        <v>1</v>
      </c>
      <c r="H5097">
        <v>1</v>
      </c>
      <c r="I5097">
        <f>1</f>
        <v>1</v>
      </c>
    </row>
    <row r="5098" spans="2:9" x14ac:dyDescent="0.25">
      <c r="B5098">
        <v>0</v>
      </c>
      <c r="C5098" s="16" t="s">
        <v>14290</v>
      </c>
      <c r="D5098" s="16"/>
      <c r="E5098">
        <v>6</v>
      </c>
      <c r="F5098" t="s">
        <v>4680</v>
      </c>
      <c r="G5098">
        <v>1</v>
      </c>
      <c r="H5098">
        <v>1</v>
      </c>
      <c r="I5098">
        <f>1</f>
        <v>1</v>
      </c>
    </row>
    <row r="5099" spans="2:9" x14ac:dyDescent="0.25">
      <c r="B5099">
        <v>0</v>
      </c>
      <c r="C5099" s="16" t="s">
        <v>14291</v>
      </c>
      <c r="D5099" s="16"/>
      <c r="E5099">
        <v>6</v>
      </c>
      <c r="F5099" t="e">
        <f>--no estado seco  crust</f>
        <v>#NAME?</v>
      </c>
      <c r="G5099">
        <v>1</v>
      </c>
      <c r="H5099">
        <v>1</v>
      </c>
      <c r="I5099">
        <f>1</f>
        <v>1</v>
      </c>
    </row>
    <row r="5100" spans="2:9" x14ac:dyDescent="0.25">
      <c r="B5100">
        <v>0</v>
      </c>
      <c r="C5100" s="16" t="s">
        <v>14292</v>
      </c>
      <c r="D5100" s="16"/>
      <c r="E5100">
        <v>6</v>
      </c>
      <c r="F5100" t="e">
        <f>-De répteis</f>
        <v>#NAME?</v>
      </c>
      <c r="G5100">
        <v>1</v>
      </c>
      <c r="H5100">
        <v>1</v>
      </c>
      <c r="I5100">
        <f>1</f>
        <v>1</v>
      </c>
    </row>
    <row r="5101" spans="2:9" x14ac:dyDescent="0.25">
      <c r="B5101">
        <v>0</v>
      </c>
      <c r="C5101" s="16" t="s">
        <v>14293</v>
      </c>
      <c r="D5101" s="16"/>
      <c r="E5101">
        <v>6</v>
      </c>
      <c r="F5101" t="e">
        <f>--no estado úmido  incluindo wet-blue</f>
        <v>#NAME?</v>
      </c>
      <c r="G5101">
        <v>1</v>
      </c>
      <c r="H5101">
        <v>1</v>
      </c>
      <c r="I5101">
        <f>1</f>
        <v>1</v>
      </c>
    </row>
    <row r="5102" spans="2:9" x14ac:dyDescent="0.25">
      <c r="B5102">
        <v>0</v>
      </c>
      <c r="C5102" s="16" t="s">
        <v>14294</v>
      </c>
      <c r="D5102" s="16"/>
      <c r="E5102">
        <v>6</v>
      </c>
      <c r="F5102" t="e">
        <f>--no estado seco  crust</f>
        <v>#NAME?</v>
      </c>
      <c r="G5102">
        <v>1</v>
      </c>
      <c r="H5102">
        <v>1</v>
      </c>
      <c r="I5102">
        <f>1</f>
        <v>1</v>
      </c>
    </row>
    <row r="5103" spans="2:9" x14ac:dyDescent="0.25">
      <c r="B5103">
        <v>0</v>
      </c>
      <c r="C5103" s="16" t="s">
        <v>14295</v>
      </c>
      <c r="D5103" s="16"/>
      <c r="E5103">
        <v>6</v>
      </c>
      <c r="F5103" t="s">
        <v>7217</v>
      </c>
      <c r="G5103">
        <v>1</v>
      </c>
      <c r="H5103">
        <v>1</v>
      </c>
      <c r="I5103">
        <f>1</f>
        <v>1</v>
      </c>
    </row>
    <row r="5104" spans="2:9" x14ac:dyDescent="0.25">
      <c r="B5104">
        <v>0</v>
      </c>
      <c r="C5104" s="16" t="s">
        <v>14296</v>
      </c>
      <c r="D5104" s="16"/>
      <c r="E5104">
        <v>6</v>
      </c>
      <c r="F5104" t="s">
        <v>7211</v>
      </c>
      <c r="G5104">
        <v>1</v>
      </c>
      <c r="H5104">
        <v>1</v>
      </c>
      <c r="I5104">
        <f>1</f>
        <v>1</v>
      </c>
    </row>
    <row r="5105" spans="2:9" x14ac:dyDescent="0.25">
      <c r="B5105">
        <v>0</v>
      </c>
      <c r="C5105" s="16" t="s">
        <v>14297</v>
      </c>
      <c r="D5105" s="16"/>
      <c r="E5105">
        <v>6</v>
      </c>
      <c r="F5105" t="s">
        <v>4680</v>
      </c>
      <c r="G5105">
        <v>1</v>
      </c>
      <c r="H5105">
        <v>1</v>
      </c>
      <c r="I5105">
        <f>1</f>
        <v>1</v>
      </c>
    </row>
    <row r="5106" spans="2:9" x14ac:dyDescent="0.25">
      <c r="B5106">
        <v>0</v>
      </c>
      <c r="C5106" s="16" t="s">
        <v>14298</v>
      </c>
      <c r="D5106" s="16"/>
      <c r="E5106">
        <v>6</v>
      </c>
      <c r="F5106" t="s">
        <v>7217</v>
      </c>
      <c r="G5106">
        <v>1</v>
      </c>
      <c r="H5106">
        <v>1</v>
      </c>
      <c r="I5106">
        <f>1</f>
        <v>1</v>
      </c>
    </row>
    <row r="5107" spans="2:9" x14ac:dyDescent="0.25">
      <c r="B5107">
        <v>0</v>
      </c>
      <c r="C5107" s="16" t="s">
        <v>14299</v>
      </c>
      <c r="D5107" s="16"/>
      <c r="E5107">
        <v>6</v>
      </c>
      <c r="F5107" t="s">
        <v>7211</v>
      </c>
      <c r="G5107">
        <v>1</v>
      </c>
      <c r="H5107">
        <v>1</v>
      </c>
      <c r="I5107">
        <f>1</f>
        <v>1</v>
      </c>
    </row>
    <row r="5108" spans="2:9" x14ac:dyDescent="0.25">
      <c r="B5108">
        <v>0</v>
      </c>
      <c r="C5108" s="16" t="s">
        <v>14300</v>
      </c>
      <c r="D5108" s="16"/>
      <c r="E5108">
        <v>6</v>
      </c>
      <c r="F5108" t="s">
        <v>4680</v>
      </c>
      <c r="G5108">
        <v>1</v>
      </c>
      <c r="H5108">
        <v>1</v>
      </c>
      <c r="I5108">
        <f>1</f>
        <v>1</v>
      </c>
    </row>
    <row r="5109" spans="2:9" x14ac:dyDescent="0.25">
      <c r="B5109">
        <v>0</v>
      </c>
      <c r="C5109" s="16" t="s">
        <v>14301</v>
      </c>
      <c r="D5109" s="16"/>
      <c r="E5109">
        <v>6</v>
      </c>
      <c r="F5109" t="s">
        <v>7217</v>
      </c>
      <c r="G5109">
        <v>1</v>
      </c>
      <c r="H5109">
        <v>1</v>
      </c>
      <c r="I5109">
        <f>1</f>
        <v>1</v>
      </c>
    </row>
    <row r="5110" spans="2:9" x14ac:dyDescent="0.25">
      <c r="B5110">
        <v>0</v>
      </c>
      <c r="C5110" s="16" t="s">
        <v>14302</v>
      </c>
      <c r="D5110" s="16"/>
      <c r="E5110">
        <v>6</v>
      </c>
      <c r="F5110" t="s">
        <v>7211</v>
      </c>
      <c r="G5110">
        <v>1</v>
      </c>
      <c r="H5110">
        <v>1</v>
      </c>
      <c r="I5110">
        <f>1</f>
        <v>1</v>
      </c>
    </row>
    <row r="5111" spans="2:9" x14ac:dyDescent="0.25">
      <c r="B5111">
        <v>0</v>
      </c>
      <c r="C5111" s="16" t="s">
        <v>14303</v>
      </c>
      <c r="D5111" s="16"/>
      <c r="E5111">
        <v>6</v>
      </c>
      <c r="F5111" t="s">
        <v>4680</v>
      </c>
      <c r="G5111">
        <v>1</v>
      </c>
      <c r="H5111">
        <v>1</v>
      </c>
      <c r="I5111">
        <f>1</f>
        <v>1</v>
      </c>
    </row>
    <row r="5112" spans="2:9" x14ac:dyDescent="0.25">
      <c r="B5112">
        <v>0</v>
      </c>
      <c r="C5112" s="16" t="s">
        <v>14304</v>
      </c>
      <c r="D5112" s="16"/>
      <c r="E5112">
        <v>6</v>
      </c>
      <c r="F5112" t="s">
        <v>7218</v>
      </c>
      <c r="G5112">
        <v>1</v>
      </c>
      <c r="H5112">
        <v>1</v>
      </c>
      <c r="I5112">
        <f>1</f>
        <v>1</v>
      </c>
    </row>
    <row r="5113" spans="2:9" x14ac:dyDescent="0.25">
      <c r="B5113">
        <v>0</v>
      </c>
      <c r="C5113" s="16" t="s">
        <v>14305</v>
      </c>
      <c r="D5113" s="16"/>
      <c r="E5113">
        <v>6</v>
      </c>
      <c r="F5113" t="s">
        <v>4680</v>
      </c>
      <c r="G5113">
        <v>1</v>
      </c>
      <c r="H5113">
        <v>1</v>
      </c>
      <c r="I5113">
        <f>1</f>
        <v>1</v>
      </c>
    </row>
    <row r="5114" spans="2:9" x14ac:dyDescent="0.25">
      <c r="B5114">
        <v>0</v>
      </c>
      <c r="C5114" s="16" t="s">
        <v>14306</v>
      </c>
      <c r="D5114" s="16"/>
      <c r="E5114">
        <v>6</v>
      </c>
      <c r="F5114" t="s">
        <v>7218</v>
      </c>
      <c r="G5114">
        <v>1</v>
      </c>
      <c r="H5114">
        <v>1</v>
      </c>
      <c r="I5114">
        <f>1</f>
        <v>1</v>
      </c>
    </row>
    <row r="5115" spans="2:9" x14ac:dyDescent="0.25">
      <c r="B5115">
        <v>0</v>
      </c>
      <c r="C5115" s="16" t="s">
        <v>14307</v>
      </c>
      <c r="D5115" s="16"/>
      <c r="E5115">
        <v>6</v>
      </c>
      <c r="F5115" t="s">
        <v>4680</v>
      </c>
      <c r="G5115">
        <v>1</v>
      </c>
      <c r="H5115">
        <v>1</v>
      </c>
      <c r="I5115">
        <f>1</f>
        <v>1</v>
      </c>
    </row>
    <row r="5116" spans="2:9" x14ac:dyDescent="0.25">
      <c r="B5116">
        <v>0</v>
      </c>
      <c r="C5116" s="16" t="s">
        <v>14308</v>
      </c>
      <c r="D5116" s="16"/>
      <c r="E5116">
        <v>6</v>
      </c>
      <c r="F5116" t="s">
        <v>7218</v>
      </c>
      <c r="G5116">
        <v>1</v>
      </c>
      <c r="H5116">
        <v>1</v>
      </c>
      <c r="I5116">
        <f>1</f>
        <v>1</v>
      </c>
    </row>
    <row r="5117" spans="2:9" x14ac:dyDescent="0.25">
      <c r="B5117">
        <v>0</v>
      </c>
      <c r="C5117" s="16" t="s">
        <v>14309</v>
      </c>
      <c r="D5117" s="16"/>
      <c r="E5117">
        <v>6</v>
      </c>
      <c r="F5117" t="s">
        <v>4680</v>
      </c>
      <c r="G5117">
        <v>1</v>
      </c>
      <c r="H5117">
        <v>1</v>
      </c>
      <c r="I5117">
        <f>1</f>
        <v>1</v>
      </c>
    </row>
    <row r="5118" spans="2:9" x14ac:dyDescent="0.25">
      <c r="B5118">
        <v>0</v>
      </c>
      <c r="C5118" s="16" t="s">
        <v>14310</v>
      </c>
      <c r="D5118" s="16"/>
      <c r="E5118">
        <v>6</v>
      </c>
      <c r="F5118" t="s">
        <v>7219</v>
      </c>
      <c r="G5118">
        <v>1</v>
      </c>
      <c r="H5118">
        <v>1</v>
      </c>
      <c r="I5118">
        <f>1</f>
        <v>1</v>
      </c>
    </row>
    <row r="5119" spans="2:9" x14ac:dyDescent="0.25">
      <c r="B5119">
        <v>0</v>
      </c>
      <c r="C5119" s="16" t="s">
        <v>14311</v>
      </c>
      <c r="D5119" s="16"/>
      <c r="E5119">
        <v>6</v>
      </c>
      <c r="F5119" t="s">
        <v>7220</v>
      </c>
      <c r="G5119">
        <v>1</v>
      </c>
      <c r="H5119">
        <v>1</v>
      </c>
      <c r="I5119">
        <f>1</f>
        <v>1</v>
      </c>
    </row>
    <row r="5120" spans="2:9" x14ac:dyDescent="0.25">
      <c r="B5120">
        <v>0</v>
      </c>
      <c r="C5120" s="16" t="s">
        <v>14312</v>
      </c>
      <c r="D5120" s="16"/>
      <c r="E5120">
        <v>6</v>
      </c>
      <c r="F5120" t="s">
        <v>4680</v>
      </c>
      <c r="G5120">
        <v>1</v>
      </c>
      <c r="H5120">
        <v>1</v>
      </c>
      <c r="I5120">
        <f>1</f>
        <v>1</v>
      </c>
    </row>
    <row r="5121" spans="2:9" x14ac:dyDescent="0.25">
      <c r="B5121">
        <v>0</v>
      </c>
      <c r="C5121" s="16" t="s">
        <v>14313</v>
      </c>
      <c r="D5121" s="16"/>
      <c r="E5121">
        <v>6</v>
      </c>
      <c r="F5121" t="e">
        <f>-De suínos</f>
        <v>#NAME?</v>
      </c>
      <c r="G5121">
        <v>1</v>
      </c>
      <c r="H5121">
        <v>1</v>
      </c>
      <c r="I5121">
        <f>1</f>
        <v>1</v>
      </c>
    </row>
    <row r="5122" spans="2:9" x14ac:dyDescent="0.25">
      <c r="B5122">
        <v>0</v>
      </c>
      <c r="C5122" s="16" t="s">
        <v>14314</v>
      </c>
      <c r="D5122" s="16"/>
      <c r="E5122">
        <v>6</v>
      </c>
      <c r="F5122" t="e">
        <f>-De répteis</f>
        <v>#NAME?</v>
      </c>
      <c r="G5122">
        <v>1</v>
      </c>
      <c r="H5122">
        <v>1</v>
      </c>
      <c r="I5122">
        <f>1</f>
        <v>1</v>
      </c>
    </row>
    <row r="5123" spans="2:9" x14ac:dyDescent="0.25">
      <c r="B5123">
        <v>0</v>
      </c>
      <c r="C5123" s="16" t="s">
        <v>14315</v>
      </c>
      <c r="D5123" s="16"/>
      <c r="E5123">
        <v>6</v>
      </c>
      <c r="F5123" t="e">
        <f>-outros</f>
        <v>#NAME?</v>
      </c>
      <c r="G5123">
        <v>1</v>
      </c>
      <c r="H5123">
        <v>1</v>
      </c>
      <c r="I5123">
        <f>1</f>
        <v>1</v>
      </c>
    </row>
    <row r="5124" spans="2:9" x14ac:dyDescent="0.25">
      <c r="B5124">
        <v>0</v>
      </c>
      <c r="C5124" s="16" t="s">
        <v>14316</v>
      </c>
      <c r="D5124" s="16"/>
      <c r="E5124">
        <v>6</v>
      </c>
      <c r="F5124" t="e">
        <f>-Couros e peles acamurçados  incluindo a camurça combinada</f>
        <v>#NAME?</v>
      </c>
      <c r="G5124">
        <v>1</v>
      </c>
      <c r="H5124">
        <v>1</v>
      </c>
      <c r="I5124">
        <f>1</f>
        <v>1</v>
      </c>
    </row>
    <row r="5125" spans="2:9" x14ac:dyDescent="0.25">
      <c r="B5125">
        <v>0</v>
      </c>
      <c r="C5125" s="16" t="s">
        <v>14317</v>
      </c>
      <c r="D5125" s="16"/>
      <c r="E5125">
        <v>6</v>
      </c>
      <c r="F5125" t="s">
        <v>7221</v>
      </c>
      <c r="G5125">
        <v>1</v>
      </c>
      <c r="H5125">
        <v>1</v>
      </c>
      <c r="I5125">
        <f>1</f>
        <v>1</v>
      </c>
    </row>
    <row r="5126" spans="2:9" x14ac:dyDescent="0.25">
      <c r="B5126">
        <v>0</v>
      </c>
      <c r="C5126" s="16" t="s">
        <v>14318</v>
      </c>
      <c r="D5126" s="16"/>
      <c r="E5126">
        <v>6</v>
      </c>
      <c r="F5126" t="s">
        <v>7222</v>
      </c>
      <c r="G5126">
        <v>1</v>
      </c>
      <c r="H5126">
        <v>1</v>
      </c>
      <c r="I5126">
        <f>1</f>
        <v>1</v>
      </c>
    </row>
    <row r="5127" spans="2:9" x14ac:dyDescent="0.25">
      <c r="B5127">
        <v>0</v>
      </c>
      <c r="C5127" s="16" t="s">
        <v>14319</v>
      </c>
      <c r="D5127" s="16"/>
      <c r="E5127">
        <v>6</v>
      </c>
      <c r="F5127" t="s">
        <v>7223</v>
      </c>
      <c r="G5127">
        <v>1</v>
      </c>
      <c r="H5127">
        <v>1</v>
      </c>
      <c r="I5127">
        <f>1</f>
        <v>1</v>
      </c>
    </row>
    <row r="5128" spans="2:9" x14ac:dyDescent="0.25">
      <c r="B5128">
        <v>0</v>
      </c>
      <c r="C5128" s="16" t="s">
        <v>14320</v>
      </c>
      <c r="D5128" s="16"/>
      <c r="E5128">
        <v>6</v>
      </c>
      <c r="F5128" t="s">
        <v>7224</v>
      </c>
      <c r="G5128">
        <v>1</v>
      </c>
      <c r="H5128">
        <v>1</v>
      </c>
      <c r="I5128">
        <f>1</f>
        <v>1</v>
      </c>
    </row>
    <row r="5129" spans="2:9" x14ac:dyDescent="0.25">
      <c r="B5129">
        <v>0</v>
      </c>
      <c r="C5129" s="16" t="s">
        <v>14321</v>
      </c>
      <c r="D5129" s="16"/>
      <c r="E5129">
        <v>6</v>
      </c>
      <c r="F5129" t="s">
        <v>7225</v>
      </c>
      <c r="G5129">
        <v>1</v>
      </c>
      <c r="H5129">
        <v>1</v>
      </c>
      <c r="I5129">
        <f>1</f>
        <v>1</v>
      </c>
    </row>
    <row r="5130" spans="2:9" x14ac:dyDescent="0.25">
      <c r="B5130">
        <v>0</v>
      </c>
      <c r="C5130" s="16" t="s">
        <v>14322</v>
      </c>
      <c r="D5130" s="16"/>
      <c r="E5130">
        <v>6</v>
      </c>
      <c r="F5130" t="s">
        <v>4680</v>
      </c>
      <c r="G5130">
        <v>1</v>
      </c>
      <c r="H5130">
        <v>1</v>
      </c>
      <c r="I5130">
        <f>1</f>
        <v>1</v>
      </c>
    </row>
    <row r="5131" spans="2:9" x14ac:dyDescent="0.25">
      <c r="B5131">
        <v>0</v>
      </c>
      <c r="C5131" s="16" t="s">
        <v>14323</v>
      </c>
      <c r="D5131" s="16"/>
      <c r="E5131">
        <v>6</v>
      </c>
      <c r="F5131" t="e">
        <f>--Com a superfície exterior De Couro natural ou reconstituído</f>
        <v>#NAME?</v>
      </c>
      <c r="G5131">
        <v>1</v>
      </c>
      <c r="H5131">
        <v>1</v>
      </c>
      <c r="I5131">
        <f>1</f>
        <v>1</v>
      </c>
    </row>
    <row r="5132" spans="2:9" x14ac:dyDescent="0.25">
      <c r="B5132">
        <v>0</v>
      </c>
      <c r="C5132" s="16" t="s">
        <v>14324</v>
      </c>
      <c r="D5132" s="16"/>
      <c r="E5132">
        <v>6</v>
      </c>
      <c r="F5132" t="s">
        <v>7226</v>
      </c>
      <c r="G5132">
        <v>1</v>
      </c>
      <c r="H5132">
        <v>1</v>
      </c>
      <c r="I5132">
        <f>1</f>
        <v>1</v>
      </c>
    </row>
    <row r="5133" spans="2:9" x14ac:dyDescent="0.25">
      <c r="B5133">
        <v>0</v>
      </c>
      <c r="C5133" s="16" t="s">
        <v>14325</v>
      </c>
      <c r="D5133" s="16"/>
      <c r="E5133">
        <v>6</v>
      </c>
      <c r="F5133" t="s">
        <v>7227</v>
      </c>
      <c r="G5133">
        <v>1</v>
      </c>
      <c r="H5133">
        <v>1</v>
      </c>
      <c r="I5133">
        <f>1</f>
        <v>1</v>
      </c>
    </row>
    <row r="5134" spans="2:9" x14ac:dyDescent="0.25">
      <c r="B5134">
        <v>0</v>
      </c>
      <c r="C5134" s="16" t="s">
        <v>14326</v>
      </c>
      <c r="D5134" s="16"/>
      <c r="E5134">
        <v>6</v>
      </c>
      <c r="F5134" t="e">
        <f>--outros</f>
        <v>#NAME?</v>
      </c>
      <c r="G5134">
        <v>1</v>
      </c>
      <c r="H5134">
        <v>1</v>
      </c>
      <c r="I5134">
        <f>1</f>
        <v>1</v>
      </c>
    </row>
    <row r="5135" spans="2:9" x14ac:dyDescent="0.25">
      <c r="B5135">
        <v>0</v>
      </c>
      <c r="C5135" s="16" t="s">
        <v>14327</v>
      </c>
      <c r="D5135" s="16"/>
      <c r="E5135">
        <v>6</v>
      </c>
      <c r="F5135" t="e">
        <f>--Com a superfície exterior De Couro natural ou reconstituído</f>
        <v>#NAME?</v>
      </c>
      <c r="G5135">
        <v>1</v>
      </c>
      <c r="H5135">
        <v>1</v>
      </c>
      <c r="I5135">
        <f>1</f>
        <v>1</v>
      </c>
    </row>
    <row r="5136" spans="2:9" x14ac:dyDescent="0.25">
      <c r="B5136">
        <v>0</v>
      </c>
      <c r="C5136" s="16" t="s">
        <v>14328</v>
      </c>
      <c r="D5136" s="16"/>
      <c r="E5136">
        <v>6</v>
      </c>
      <c r="F5136" t="s">
        <v>7228</v>
      </c>
      <c r="G5136">
        <v>1</v>
      </c>
      <c r="H5136">
        <v>1</v>
      </c>
      <c r="I5136">
        <f>1</f>
        <v>1</v>
      </c>
    </row>
    <row r="5137" spans="2:9" x14ac:dyDescent="0.25">
      <c r="B5137">
        <v>0</v>
      </c>
      <c r="C5137" s="16" t="s">
        <v>14329</v>
      </c>
      <c r="D5137" s="16"/>
      <c r="E5137">
        <v>6</v>
      </c>
      <c r="F5137" t="s">
        <v>7227</v>
      </c>
      <c r="G5137">
        <v>1</v>
      </c>
      <c r="H5137">
        <v>1</v>
      </c>
      <c r="I5137">
        <f>1</f>
        <v>1</v>
      </c>
    </row>
    <row r="5138" spans="2:9" x14ac:dyDescent="0.25">
      <c r="B5138">
        <v>0</v>
      </c>
      <c r="C5138" s="16" t="s">
        <v>14330</v>
      </c>
      <c r="D5138" s="16"/>
      <c r="E5138">
        <v>6</v>
      </c>
      <c r="F5138" t="e">
        <f>--Outras</f>
        <v>#NAME?</v>
      </c>
      <c r="G5138">
        <v>1</v>
      </c>
      <c r="H5138">
        <v>1</v>
      </c>
      <c r="I5138">
        <f>1</f>
        <v>1</v>
      </c>
    </row>
    <row r="5139" spans="2:9" x14ac:dyDescent="0.25">
      <c r="B5139">
        <v>0</v>
      </c>
      <c r="C5139" s="16" t="s">
        <v>14331</v>
      </c>
      <c r="D5139" s="16"/>
      <c r="E5139">
        <v>6</v>
      </c>
      <c r="F5139" t="e">
        <f>--Com a superfície exterior De Couro natural ou reconstituído</f>
        <v>#NAME?</v>
      </c>
      <c r="G5139">
        <v>1</v>
      </c>
      <c r="H5139">
        <v>1</v>
      </c>
      <c r="I5139">
        <f>1</f>
        <v>1</v>
      </c>
    </row>
    <row r="5140" spans="2:9" x14ac:dyDescent="0.25">
      <c r="B5140">
        <v>0</v>
      </c>
      <c r="C5140" s="16" t="s">
        <v>14332</v>
      </c>
      <c r="D5140" s="16"/>
      <c r="E5140">
        <v>6</v>
      </c>
      <c r="F5140" t="e">
        <f>--Com a superfície exterior De folhas De plásticos ou De matérias têxteis</f>
        <v>#NAME?</v>
      </c>
      <c r="G5140">
        <v>1</v>
      </c>
      <c r="H5140">
        <v>1</v>
      </c>
      <c r="I5140">
        <f>1</f>
        <v>1</v>
      </c>
    </row>
    <row r="5141" spans="2:9" x14ac:dyDescent="0.25">
      <c r="B5141">
        <v>0</v>
      </c>
      <c r="C5141" s="16" t="s">
        <v>14333</v>
      </c>
      <c r="D5141" s="16"/>
      <c r="E5141">
        <v>6</v>
      </c>
      <c r="F5141" t="e">
        <f>--outros</f>
        <v>#NAME?</v>
      </c>
      <c r="G5141">
        <v>1</v>
      </c>
      <c r="H5141">
        <v>1</v>
      </c>
      <c r="I5141">
        <f>1</f>
        <v>1</v>
      </c>
    </row>
    <row r="5142" spans="2:9" x14ac:dyDescent="0.25">
      <c r="B5142">
        <v>0</v>
      </c>
      <c r="C5142" s="16" t="s">
        <v>14334</v>
      </c>
      <c r="D5142" s="16"/>
      <c r="E5142">
        <v>6</v>
      </c>
      <c r="F5142" t="e">
        <f>--Com a superfície exterior De Couro natural ou reconstituído</f>
        <v>#NAME?</v>
      </c>
      <c r="G5142">
        <v>1</v>
      </c>
      <c r="H5142">
        <v>1</v>
      </c>
      <c r="I5142">
        <f>1</f>
        <v>1</v>
      </c>
    </row>
    <row r="5143" spans="2:9" x14ac:dyDescent="0.25">
      <c r="B5143">
        <v>0</v>
      </c>
      <c r="C5143" s="16" t="s">
        <v>14335</v>
      </c>
      <c r="D5143" s="16"/>
      <c r="E5143">
        <v>6</v>
      </c>
      <c r="F5143" t="e">
        <f>--Com a superfície exterior De folhas De plásticos ou De matérias têxteis</f>
        <v>#NAME?</v>
      </c>
      <c r="G5143">
        <v>1</v>
      </c>
      <c r="H5143">
        <v>1</v>
      </c>
      <c r="I5143">
        <f>1</f>
        <v>1</v>
      </c>
    </row>
    <row r="5144" spans="2:9" x14ac:dyDescent="0.25">
      <c r="B5144">
        <v>0</v>
      </c>
      <c r="C5144" s="16" t="s">
        <v>14336</v>
      </c>
      <c r="D5144" s="16"/>
      <c r="E5144">
        <v>6</v>
      </c>
      <c r="F5144" t="e">
        <f>--outros</f>
        <v>#NAME?</v>
      </c>
      <c r="G5144">
        <v>1</v>
      </c>
      <c r="H5144">
        <v>1</v>
      </c>
      <c r="I5144">
        <f>1</f>
        <v>1</v>
      </c>
    </row>
    <row r="5145" spans="2:9" x14ac:dyDescent="0.25">
      <c r="B5145">
        <v>0</v>
      </c>
      <c r="C5145" s="16" t="s">
        <v>14337</v>
      </c>
      <c r="D5145" s="16"/>
      <c r="E5145">
        <v>6</v>
      </c>
      <c r="F5145" t="e">
        <f>-Vestuário</f>
        <v>#NAME?</v>
      </c>
      <c r="G5145">
        <v>1</v>
      </c>
      <c r="H5145">
        <v>1</v>
      </c>
      <c r="I5145">
        <f>1</f>
        <v>1</v>
      </c>
    </row>
    <row r="5146" spans="2:9" x14ac:dyDescent="0.25">
      <c r="B5146">
        <v>0</v>
      </c>
      <c r="C5146" s="16" t="s">
        <v>14338</v>
      </c>
      <c r="D5146" s="16"/>
      <c r="E5146">
        <v>6</v>
      </c>
      <c r="F5146" t="e">
        <f>--especialmente concebidas para a prática De esportes</f>
        <v>#NAME?</v>
      </c>
      <c r="G5146">
        <v>1</v>
      </c>
      <c r="H5146">
        <v>1</v>
      </c>
      <c r="I5146">
        <f>1</f>
        <v>1</v>
      </c>
    </row>
    <row r="5147" spans="2:9" x14ac:dyDescent="0.25">
      <c r="B5147">
        <v>0</v>
      </c>
      <c r="C5147" s="16" t="s">
        <v>14339</v>
      </c>
      <c r="D5147" s="16"/>
      <c r="E5147">
        <v>6</v>
      </c>
      <c r="F5147" t="e">
        <f>--Outras</f>
        <v>#NAME?</v>
      </c>
      <c r="G5147">
        <v>1</v>
      </c>
      <c r="H5147">
        <v>1</v>
      </c>
      <c r="I5147">
        <f>1</f>
        <v>1</v>
      </c>
    </row>
    <row r="5148" spans="2:9" x14ac:dyDescent="0.25">
      <c r="B5148">
        <v>0</v>
      </c>
      <c r="C5148" s="16" t="s">
        <v>14339</v>
      </c>
      <c r="D5148" s="16" t="s">
        <v>19430</v>
      </c>
      <c r="E5148">
        <v>6</v>
      </c>
      <c r="F5148" t="s">
        <v>7229</v>
      </c>
      <c r="G5148">
        <v>1</v>
      </c>
      <c r="H5148">
        <v>1</v>
      </c>
      <c r="I5148">
        <f>1</f>
        <v>1</v>
      </c>
    </row>
    <row r="5149" spans="2:9" x14ac:dyDescent="0.25">
      <c r="B5149">
        <v>0</v>
      </c>
      <c r="C5149" s="16" t="s">
        <v>14340</v>
      </c>
      <c r="D5149" s="16"/>
      <c r="E5149">
        <v>6</v>
      </c>
      <c r="F5149" t="s">
        <v>7230</v>
      </c>
      <c r="G5149">
        <v>1</v>
      </c>
      <c r="H5149">
        <v>1</v>
      </c>
      <c r="I5149">
        <f>1</f>
        <v>1</v>
      </c>
    </row>
    <row r="5150" spans="2:9" x14ac:dyDescent="0.25">
      <c r="B5150">
        <v>0</v>
      </c>
      <c r="C5150" s="16" t="s">
        <v>14341</v>
      </c>
      <c r="D5150" s="16"/>
      <c r="E5150">
        <v>6</v>
      </c>
      <c r="F5150" t="e">
        <f>-outros acessórios De Vestuário</f>
        <v>#NAME?</v>
      </c>
      <c r="G5150">
        <v>1</v>
      </c>
      <c r="H5150">
        <v>1</v>
      </c>
      <c r="I5150">
        <f>1</f>
        <v>1</v>
      </c>
    </row>
    <row r="5151" spans="2:9" x14ac:dyDescent="0.25">
      <c r="B5151">
        <v>0</v>
      </c>
      <c r="C5151" s="16" t="s">
        <v>14342</v>
      </c>
      <c r="D5151" s="16"/>
      <c r="E5151">
        <v>6</v>
      </c>
      <c r="F5151" t="s">
        <v>7231</v>
      </c>
      <c r="G5151">
        <v>1</v>
      </c>
      <c r="H5151">
        <v>1</v>
      </c>
      <c r="I5151">
        <f>1</f>
        <v>1</v>
      </c>
    </row>
    <row r="5152" spans="2:9" x14ac:dyDescent="0.25">
      <c r="B5152">
        <v>0</v>
      </c>
      <c r="C5152" s="16" t="s">
        <v>14343</v>
      </c>
      <c r="D5152" s="16"/>
      <c r="E5152">
        <v>6</v>
      </c>
      <c r="F5152" t="s">
        <v>7232</v>
      </c>
      <c r="G5152">
        <v>1</v>
      </c>
      <c r="H5152">
        <v>1</v>
      </c>
      <c r="I5152">
        <f>1</f>
        <v>1</v>
      </c>
    </row>
    <row r="5153" spans="2:9" x14ac:dyDescent="0.25">
      <c r="B5153">
        <v>0</v>
      </c>
      <c r="C5153" s="16" t="s">
        <v>14343</v>
      </c>
      <c r="D5153" s="16" t="s">
        <v>19430</v>
      </c>
      <c r="E5153">
        <v>6</v>
      </c>
      <c r="F5153" t="s">
        <v>7233</v>
      </c>
      <c r="G5153">
        <v>1</v>
      </c>
      <c r="H5153">
        <v>1</v>
      </c>
      <c r="I5153">
        <f>1</f>
        <v>1</v>
      </c>
    </row>
    <row r="5154" spans="2:9" x14ac:dyDescent="0.25">
      <c r="B5154">
        <v>0</v>
      </c>
      <c r="C5154" s="16" t="s">
        <v>14344</v>
      </c>
      <c r="D5154" s="16"/>
      <c r="E5154">
        <v>6</v>
      </c>
      <c r="F5154" t="s">
        <v>7234</v>
      </c>
      <c r="G5154">
        <v>1</v>
      </c>
      <c r="H5154">
        <v>0</v>
      </c>
      <c r="I5154">
        <f>1</f>
        <v>1</v>
      </c>
    </row>
    <row r="5155" spans="2:9" x14ac:dyDescent="0.25">
      <c r="B5155">
        <v>0</v>
      </c>
      <c r="C5155" s="16" t="s">
        <v>14345</v>
      </c>
      <c r="D5155" s="16"/>
      <c r="E5155">
        <v>6</v>
      </c>
      <c r="F5155" t="s">
        <v>7235</v>
      </c>
      <c r="G5155">
        <v>1</v>
      </c>
      <c r="H5155">
        <v>0</v>
      </c>
      <c r="I5155">
        <f>1</f>
        <v>1</v>
      </c>
    </row>
    <row r="5156" spans="2:9" x14ac:dyDescent="0.25">
      <c r="B5156">
        <v>0</v>
      </c>
      <c r="C5156" s="16" t="s">
        <v>14346</v>
      </c>
      <c r="D5156" s="16"/>
      <c r="E5156">
        <v>6</v>
      </c>
      <c r="F5156" t="s">
        <v>7236</v>
      </c>
      <c r="G5156">
        <v>1</v>
      </c>
      <c r="H5156">
        <v>0</v>
      </c>
      <c r="I5156">
        <f>1</f>
        <v>1</v>
      </c>
    </row>
    <row r="5157" spans="2:9" x14ac:dyDescent="0.25">
      <c r="B5157">
        <v>0</v>
      </c>
      <c r="C5157" s="16" t="s">
        <v>14347</v>
      </c>
      <c r="D5157" s="16"/>
      <c r="E5157">
        <v>6</v>
      </c>
      <c r="F5157" t="s">
        <v>7237</v>
      </c>
      <c r="G5157">
        <v>1</v>
      </c>
      <c r="H5157">
        <v>0</v>
      </c>
      <c r="I5157">
        <f>1</f>
        <v>1</v>
      </c>
    </row>
    <row r="5158" spans="2:9" x14ac:dyDescent="0.25">
      <c r="B5158">
        <v>0</v>
      </c>
      <c r="C5158" s="16" t="s">
        <v>14348</v>
      </c>
      <c r="D5158" s="16"/>
      <c r="E5158">
        <v>6</v>
      </c>
      <c r="F5158" t="s">
        <v>7238</v>
      </c>
      <c r="G5158">
        <v>1</v>
      </c>
      <c r="H5158">
        <v>0</v>
      </c>
      <c r="I5158">
        <f>1</f>
        <v>1</v>
      </c>
    </row>
    <row r="5159" spans="2:9" x14ac:dyDescent="0.25">
      <c r="B5159">
        <v>0</v>
      </c>
      <c r="C5159" s="16" t="s">
        <v>14349</v>
      </c>
      <c r="D5159" s="16"/>
      <c r="E5159">
        <v>6</v>
      </c>
      <c r="F5159" t="e">
        <f>--De visons</f>
        <v>#NAME?</v>
      </c>
      <c r="G5159">
        <v>1</v>
      </c>
      <c r="H5159">
        <v>0</v>
      </c>
      <c r="I5159">
        <f>1</f>
        <v>1</v>
      </c>
    </row>
    <row r="5160" spans="2:9" x14ac:dyDescent="0.25">
      <c r="B5160">
        <v>0</v>
      </c>
      <c r="C5160" s="16" t="s">
        <v>14350</v>
      </c>
      <c r="D5160" s="16"/>
      <c r="E5160">
        <v>6</v>
      </c>
      <c r="F5160" t="s">
        <v>4820</v>
      </c>
      <c r="G5160">
        <v>1</v>
      </c>
      <c r="H5160">
        <v>0</v>
      </c>
      <c r="I5160">
        <f>1</f>
        <v>1</v>
      </c>
    </row>
    <row r="5161" spans="2:9" x14ac:dyDescent="0.25">
      <c r="B5161">
        <v>0</v>
      </c>
      <c r="C5161" s="16" t="s">
        <v>14351</v>
      </c>
      <c r="D5161" s="16"/>
      <c r="E5161">
        <v>6</v>
      </c>
      <c r="F5161" t="s">
        <v>4690</v>
      </c>
      <c r="G5161">
        <v>1</v>
      </c>
      <c r="H5161">
        <v>0</v>
      </c>
      <c r="I5161">
        <f>1</f>
        <v>1</v>
      </c>
    </row>
    <row r="5162" spans="2:9" x14ac:dyDescent="0.25">
      <c r="B5162">
        <v>0</v>
      </c>
      <c r="C5162" s="16" t="s">
        <v>14352</v>
      </c>
      <c r="D5162" s="16" t="s">
        <v>19430</v>
      </c>
      <c r="E5162">
        <v>6</v>
      </c>
      <c r="F5162" t="s">
        <v>7239</v>
      </c>
      <c r="G5162">
        <v>1</v>
      </c>
      <c r="H5162">
        <v>0</v>
      </c>
      <c r="I5162">
        <f>1</f>
        <v>1</v>
      </c>
    </row>
    <row r="5163" spans="2:9" x14ac:dyDescent="0.25">
      <c r="B5163">
        <v>0</v>
      </c>
      <c r="C5163" s="16" t="s">
        <v>14353</v>
      </c>
      <c r="D5163" s="16"/>
      <c r="E5163">
        <v>6</v>
      </c>
      <c r="F5163" t="s">
        <v>7240</v>
      </c>
      <c r="G5163">
        <v>1</v>
      </c>
      <c r="H5163">
        <v>0</v>
      </c>
      <c r="I5163">
        <f>1</f>
        <v>1</v>
      </c>
    </row>
    <row r="5164" spans="2:9" x14ac:dyDescent="0.25">
      <c r="B5164">
        <v>0</v>
      </c>
      <c r="C5164" s="16" t="s">
        <v>14353</v>
      </c>
      <c r="D5164" s="16" t="s">
        <v>19430</v>
      </c>
      <c r="E5164">
        <v>6</v>
      </c>
      <c r="F5164" t="s">
        <v>7241</v>
      </c>
      <c r="G5164">
        <v>1</v>
      </c>
      <c r="H5164">
        <v>0</v>
      </c>
      <c r="I5164">
        <f>1</f>
        <v>1</v>
      </c>
    </row>
    <row r="5165" spans="2:9" x14ac:dyDescent="0.25">
      <c r="B5165">
        <v>0</v>
      </c>
      <c r="C5165" s="16" t="s">
        <v>14353</v>
      </c>
      <c r="D5165" s="16" t="s">
        <v>19431</v>
      </c>
      <c r="E5165">
        <v>6</v>
      </c>
      <c r="F5165" t="s">
        <v>7242</v>
      </c>
      <c r="G5165">
        <v>1</v>
      </c>
      <c r="H5165">
        <v>0</v>
      </c>
      <c r="I5165">
        <f>1</f>
        <v>1</v>
      </c>
    </row>
    <row r="5166" spans="2:9" x14ac:dyDescent="0.25">
      <c r="B5166">
        <v>0</v>
      </c>
      <c r="C5166" s="16" t="s">
        <v>14354</v>
      </c>
      <c r="D5166" s="16"/>
      <c r="E5166">
        <v>6</v>
      </c>
      <c r="F5166" t="s">
        <v>7243</v>
      </c>
      <c r="G5166">
        <v>1</v>
      </c>
      <c r="H5166">
        <v>0</v>
      </c>
      <c r="I5166">
        <f>1</f>
        <v>1</v>
      </c>
    </row>
    <row r="5167" spans="2:9" x14ac:dyDescent="0.25">
      <c r="B5167">
        <v>0</v>
      </c>
      <c r="C5167" s="16" t="s">
        <v>14354</v>
      </c>
      <c r="D5167" s="16" t="s">
        <v>19430</v>
      </c>
      <c r="E5167">
        <v>6</v>
      </c>
      <c r="F5167" t="s">
        <v>7244</v>
      </c>
      <c r="G5167">
        <v>1</v>
      </c>
      <c r="H5167">
        <v>0</v>
      </c>
      <c r="I5167">
        <f>1</f>
        <v>1</v>
      </c>
    </row>
    <row r="5168" spans="2:9" x14ac:dyDescent="0.25">
      <c r="B5168">
        <v>0</v>
      </c>
      <c r="C5168" s="16" t="s">
        <v>14354</v>
      </c>
      <c r="D5168" s="16" t="s">
        <v>19431</v>
      </c>
      <c r="E5168">
        <v>6</v>
      </c>
      <c r="F5168" t="s">
        <v>7245</v>
      </c>
      <c r="G5168">
        <v>1</v>
      </c>
      <c r="H5168">
        <v>0</v>
      </c>
      <c r="I5168">
        <f>1</f>
        <v>1</v>
      </c>
    </row>
    <row r="5169" spans="2:9" x14ac:dyDescent="0.25">
      <c r="B5169">
        <v>0</v>
      </c>
      <c r="C5169" s="16" t="s">
        <v>14355</v>
      </c>
      <c r="D5169" s="16"/>
      <c r="E5169">
        <v>6</v>
      </c>
      <c r="F5169" t="e">
        <f>-Vestuário e seus acessórios</f>
        <v>#NAME?</v>
      </c>
      <c r="G5169">
        <v>1</v>
      </c>
      <c r="H5169">
        <v>0</v>
      </c>
      <c r="I5169">
        <f>1</f>
        <v>1</v>
      </c>
    </row>
    <row r="5170" spans="2:9" x14ac:dyDescent="0.25">
      <c r="B5170">
        <v>0</v>
      </c>
      <c r="C5170" s="16" t="s">
        <v>14355</v>
      </c>
      <c r="D5170" s="16" t="s">
        <v>19430</v>
      </c>
      <c r="E5170">
        <v>6</v>
      </c>
      <c r="F5170" t="s">
        <v>7244</v>
      </c>
      <c r="G5170">
        <v>1</v>
      </c>
      <c r="H5170">
        <v>0</v>
      </c>
      <c r="I5170">
        <f>1</f>
        <v>1</v>
      </c>
    </row>
    <row r="5171" spans="2:9" x14ac:dyDescent="0.25">
      <c r="B5171">
        <v>0</v>
      </c>
      <c r="C5171" s="16" t="s">
        <v>14356</v>
      </c>
      <c r="D5171" s="16"/>
      <c r="E5171">
        <v>6</v>
      </c>
      <c r="F5171" t="e">
        <f>-outros</f>
        <v>#NAME?</v>
      </c>
      <c r="G5171">
        <v>1</v>
      </c>
      <c r="H5171">
        <v>0</v>
      </c>
      <c r="I5171">
        <f>1</f>
        <v>1</v>
      </c>
    </row>
    <row r="5172" spans="2:9" x14ac:dyDescent="0.25">
      <c r="B5172">
        <v>0</v>
      </c>
      <c r="C5172" s="16" t="s">
        <v>14356</v>
      </c>
      <c r="D5172" s="16" t="s">
        <v>19430</v>
      </c>
      <c r="E5172">
        <v>6</v>
      </c>
      <c r="F5172" t="s">
        <v>7244</v>
      </c>
      <c r="G5172">
        <v>1</v>
      </c>
      <c r="H5172">
        <v>0</v>
      </c>
      <c r="I5172">
        <f>1</f>
        <v>1</v>
      </c>
    </row>
    <row r="5173" spans="2:9" x14ac:dyDescent="0.25">
      <c r="B5173">
        <v>0</v>
      </c>
      <c r="C5173" s="16" t="s">
        <v>14357</v>
      </c>
      <c r="D5173" s="16"/>
      <c r="E5173">
        <v>6</v>
      </c>
      <c r="F5173" t="s">
        <v>7246</v>
      </c>
      <c r="G5173">
        <v>1</v>
      </c>
      <c r="H5173">
        <v>0</v>
      </c>
      <c r="I5173">
        <f>1</f>
        <v>1</v>
      </c>
    </row>
    <row r="5174" spans="2:9" x14ac:dyDescent="0.25">
      <c r="B5174">
        <v>0</v>
      </c>
      <c r="C5174" s="16" t="s">
        <v>14358</v>
      </c>
      <c r="D5174" s="16"/>
      <c r="E5174">
        <v>6</v>
      </c>
      <c r="F5174" t="e">
        <f>-Lenha em qualquer estado</f>
        <v>#NAME?</v>
      </c>
      <c r="G5174">
        <v>1</v>
      </c>
      <c r="H5174">
        <v>0</v>
      </c>
      <c r="I5174">
        <f>1</f>
        <v>1</v>
      </c>
    </row>
    <row r="5175" spans="2:9" x14ac:dyDescent="0.25">
      <c r="B5175">
        <v>0</v>
      </c>
      <c r="C5175" s="16" t="s">
        <v>14359</v>
      </c>
      <c r="D5175" s="16"/>
      <c r="E5175">
        <v>6</v>
      </c>
      <c r="F5175" t="e">
        <f>--De coníferas</f>
        <v>#NAME?</v>
      </c>
      <c r="G5175">
        <v>1</v>
      </c>
      <c r="H5175">
        <v>0</v>
      </c>
      <c r="I5175">
        <f>1</f>
        <v>1</v>
      </c>
    </row>
    <row r="5176" spans="2:9" x14ac:dyDescent="0.25">
      <c r="B5176">
        <v>0</v>
      </c>
      <c r="C5176" s="16" t="s">
        <v>14360</v>
      </c>
      <c r="D5176" s="16"/>
      <c r="E5176">
        <v>6</v>
      </c>
      <c r="F5176" t="e">
        <f>--De Não coníferas</f>
        <v>#NAME?</v>
      </c>
      <c r="G5176">
        <v>1</v>
      </c>
      <c r="H5176">
        <v>0</v>
      </c>
      <c r="I5176">
        <f>1</f>
        <v>1</v>
      </c>
    </row>
    <row r="5177" spans="2:9" x14ac:dyDescent="0.25">
      <c r="B5177">
        <v>0</v>
      </c>
      <c r="C5177" s="16" t="s">
        <v>14361</v>
      </c>
      <c r="D5177" s="16"/>
      <c r="E5177">
        <v>6</v>
      </c>
      <c r="F5177" t="e">
        <f>--Pellets De madeira</f>
        <v>#NAME?</v>
      </c>
      <c r="G5177">
        <v>1</v>
      </c>
      <c r="H5177">
        <v>0</v>
      </c>
      <c r="I5177">
        <f>1</f>
        <v>1</v>
      </c>
    </row>
    <row r="5178" spans="2:9" x14ac:dyDescent="0.25">
      <c r="B5178">
        <v>0</v>
      </c>
      <c r="C5178" s="16" t="s">
        <v>14362</v>
      </c>
      <c r="D5178" s="16"/>
      <c r="E5178">
        <v>6</v>
      </c>
      <c r="F5178" t="e">
        <f>--outros</f>
        <v>#NAME?</v>
      </c>
      <c r="G5178">
        <v>1</v>
      </c>
      <c r="H5178">
        <v>0</v>
      </c>
      <c r="I5178">
        <f>1</f>
        <v>1</v>
      </c>
    </row>
    <row r="5179" spans="2:9" x14ac:dyDescent="0.25">
      <c r="B5179">
        <v>0</v>
      </c>
      <c r="C5179" s="16" t="s">
        <v>14363</v>
      </c>
      <c r="D5179" s="16"/>
      <c r="E5179">
        <v>6</v>
      </c>
      <c r="F5179" t="e">
        <f>-De bambu</f>
        <v>#NAME?</v>
      </c>
      <c r="G5179">
        <v>1</v>
      </c>
      <c r="H5179">
        <v>0</v>
      </c>
      <c r="I5179">
        <f>1</f>
        <v>1</v>
      </c>
    </row>
    <row r="5180" spans="2:9" x14ac:dyDescent="0.25">
      <c r="B5180">
        <v>0</v>
      </c>
      <c r="C5180" s="16" t="s">
        <v>14364</v>
      </c>
      <c r="D5180" s="16"/>
      <c r="E5180">
        <v>6</v>
      </c>
      <c r="F5180" t="e">
        <f>-outros</f>
        <v>#NAME?</v>
      </c>
      <c r="G5180">
        <v>1</v>
      </c>
      <c r="H5180">
        <v>0</v>
      </c>
      <c r="I5180">
        <f>1</f>
        <v>1</v>
      </c>
    </row>
    <row r="5181" spans="2:9" x14ac:dyDescent="0.25">
      <c r="B5181">
        <v>0</v>
      </c>
      <c r="C5181" s="16" t="s">
        <v>14352</v>
      </c>
      <c r="D5181" s="16"/>
      <c r="E5181">
        <v>6</v>
      </c>
      <c r="F5181" t="s">
        <v>7247</v>
      </c>
      <c r="G5181">
        <v>1</v>
      </c>
      <c r="H5181">
        <v>0</v>
      </c>
      <c r="I5181">
        <f>1</f>
        <v>1</v>
      </c>
    </row>
    <row r="5182" spans="2:9" x14ac:dyDescent="0.25">
      <c r="B5182">
        <v>0</v>
      </c>
      <c r="C5182" s="16" t="s">
        <v>14365</v>
      </c>
      <c r="D5182" s="16"/>
      <c r="E5182">
        <v>6</v>
      </c>
      <c r="F5182" t="s">
        <v>7248</v>
      </c>
      <c r="G5182">
        <v>1</v>
      </c>
      <c r="H5182">
        <v>0</v>
      </c>
      <c r="I5182">
        <f>1</f>
        <v>1</v>
      </c>
    </row>
    <row r="5183" spans="2:9" x14ac:dyDescent="0.25">
      <c r="B5183">
        <v>0</v>
      </c>
      <c r="C5183" s="16" t="s">
        <v>14365</v>
      </c>
      <c r="D5183" s="16" t="s">
        <v>19430</v>
      </c>
      <c r="E5183">
        <v>6</v>
      </c>
      <c r="F5183" t="s">
        <v>7249</v>
      </c>
      <c r="G5183">
        <v>1</v>
      </c>
      <c r="H5183">
        <v>0</v>
      </c>
      <c r="I5183">
        <f>1</f>
        <v>1</v>
      </c>
    </row>
    <row r="5184" spans="2:9" x14ac:dyDescent="0.25">
      <c r="B5184">
        <v>0</v>
      </c>
      <c r="C5184" s="16" t="s">
        <v>14366</v>
      </c>
      <c r="D5184" s="16"/>
      <c r="E5184">
        <v>6</v>
      </c>
      <c r="F5184" t="s">
        <v>7250</v>
      </c>
      <c r="G5184">
        <v>1</v>
      </c>
      <c r="H5184">
        <v>0</v>
      </c>
      <c r="I5184">
        <f>1</f>
        <v>1</v>
      </c>
    </row>
    <row r="5185" spans="2:9" x14ac:dyDescent="0.25">
      <c r="B5185">
        <v>0</v>
      </c>
      <c r="C5185" s="16" t="s">
        <v>14366</v>
      </c>
      <c r="D5185" s="16" t="s">
        <v>19430</v>
      </c>
      <c r="E5185">
        <v>6</v>
      </c>
      <c r="F5185" t="s">
        <v>7249</v>
      </c>
      <c r="G5185">
        <v>1</v>
      </c>
      <c r="H5185">
        <v>0</v>
      </c>
      <c r="I5185">
        <f>1</f>
        <v>1</v>
      </c>
    </row>
    <row r="5186" spans="2:9" x14ac:dyDescent="0.25">
      <c r="B5186">
        <v>0</v>
      </c>
      <c r="C5186" s="16" t="s">
        <v>14367</v>
      </c>
      <c r="D5186" s="16"/>
      <c r="E5186">
        <v>6</v>
      </c>
      <c r="F5186" t="e">
        <f>--Outras</f>
        <v>#NAME?</v>
      </c>
      <c r="G5186">
        <v>1</v>
      </c>
      <c r="H5186">
        <v>0</v>
      </c>
      <c r="I5186">
        <f>1</f>
        <v>1</v>
      </c>
    </row>
    <row r="5187" spans="2:9" x14ac:dyDescent="0.25">
      <c r="B5187">
        <v>0</v>
      </c>
      <c r="C5187" s="16" t="s">
        <v>14367</v>
      </c>
      <c r="D5187" s="16" t="s">
        <v>19430</v>
      </c>
      <c r="E5187">
        <v>6</v>
      </c>
      <c r="F5187" t="s">
        <v>7249</v>
      </c>
      <c r="G5187">
        <v>1</v>
      </c>
      <c r="H5187">
        <v>0</v>
      </c>
      <c r="I5187">
        <f>1</f>
        <v>1</v>
      </c>
    </row>
    <row r="5188" spans="2:9" x14ac:dyDescent="0.25">
      <c r="B5188">
        <v>0</v>
      </c>
      <c r="C5188" s="16" t="s">
        <v>14368</v>
      </c>
      <c r="D5188" s="16"/>
      <c r="E5188">
        <v>6</v>
      </c>
      <c r="F5188" t="e">
        <f>--De carvalho  Quercus spp.</f>
        <v>#NAME?</v>
      </c>
      <c r="G5188">
        <v>1</v>
      </c>
      <c r="H5188">
        <v>0</v>
      </c>
      <c r="I5188">
        <f>1</f>
        <v>1</v>
      </c>
    </row>
    <row r="5189" spans="2:9" x14ac:dyDescent="0.25">
      <c r="B5189">
        <v>0</v>
      </c>
      <c r="C5189" s="16" t="s">
        <v>14368</v>
      </c>
      <c r="D5189" s="16" t="s">
        <v>19430</v>
      </c>
      <c r="E5189">
        <v>6</v>
      </c>
      <c r="F5189" t="s">
        <v>7239</v>
      </c>
      <c r="G5189">
        <v>1</v>
      </c>
      <c r="H5189">
        <v>0</v>
      </c>
      <c r="I5189">
        <f>1</f>
        <v>1</v>
      </c>
    </row>
    <row r="5190" spans="2:9" x14ac:dyDescent="0.25">
      <c r="B5190">
        <v>0</v>
      </c>
      <c r="C5190" s="16" t="s">
        <v>14369</v>
      </c>
      <c r="D5190" s="16"/>
      <c r="E5190">
        <v>6</v>
      </c>
      <c r="F5190" t="e">
        <f>--De faia  Fagus spp.</f>
        <v>#NAME?</v>
      </c>
      <c r="G5190">
        <v>1</v>
      </c>
      <c r="H5190">
        <v>0</v>
      </c>
      <c r="I5190">
        <f>1</f>
        <v>1</v>
      </c>
    </row>
    <row r="5191" spans="2:9" x14ac:dyDescent="0.25">
      <c r="B5191">
        <v>0</v>
      </c>
      <c r="C5191" s="16" t="s">
        <v>14369</v>
      </c>
      <c r="D5191" s="16" t="s">
        <v>19430</v>
      </c>
      <c r="E5191">
        <v>6</v>
      </c>
      <c r="F5191" t="s">
        <v>7239</v>
      </c>
      <c r="G5191">
        <v>1</v>
      </c>
      <c r="H5191">
        <v>0</v>
      </c>
      <c r="I5191">
        <f>1</f>
        <v>1</v>
      </c>
    </row>
    <row r="5192" spans="2:9" x14ac:dyDescent="0.25">
      <c r="B5192">
        <v>0</v>
      </c>
      <c r="C5192" s="16" t="s">
        <v>14370</v>
      </c>
      <c r="D5192" s="16"/>
      <c r="E5192">
        <v>6</v>
      </c>
      <c r="F5192" t="e">
        <f>--Outras</f>
        <v>#NAME?</v>
      </c>
      <c r="G5192">
        <v>1</v>
      </c>
      <c r="H5192">
        <v>0</v>
      </c>
      <c r="I5192">
        <f>1</f>
        <v>1</v>
      </c>
    </row>
    <row r="5193" spans="2:9" x14ac:dyDescent="0.25">
      <c r="B5193">
        <v>0</v>
      </c>
      <c r="C5193" s="16" t="s">
        <v>14370</v>
      </c>
      <c r="D5193" s="16" t="s">
        <v>19430</v>
      </c>
      <c r="E5193">
        <v>6</v>
      </c>
      <c r="F5193" t="s">
        <v>7249</v>
      </c>
      <c r="G5193">
        <v>1</v>
      </c>
      <c r="H5193">
        <v>0</v>
      </c>
      <c r="I5193">
        <f>1</f>
        <v>1</v>
      </c>
    </row>
    <row r="5194" spans="2:9" x14ac:dyDescent="0.25">
      <c r="B5194">
        <v>0</v>
      </c>
      <c r="C5194" s="16" t="s">
        <v>14371</v>
      </c>
      <c r="D5194" s="16"/>
      <c r="E5194">
        <v>6</v>
      </c>
      <c r="F5194" t="e">
        <f>-De coníferas</f>
        <v>#NAME?</v>
      </c>
      <c r="G5194">
        <v>1</v>
      </c>
      <c r="H5194">
        <v>0</v>
      </c>
      <c r="I5194">
        <f>1</f>
        <v>1</v>
      </c>
    </row>
    <row r="5195" spans="2:9" x14ac:dyDescent="0.25">
      <c r="B5195">
        <v>0</v>
      </c>
      <c r="C5195" s="16" t="s">
        <v>14372</v>
      </c>
      <c r="D5195" s="16"/>
      <c r="E5195">
        <v>6</v>
      </c>
      <c r="F5195" t="e">
        <f>-De Não coníferas</f>
        <v>#NAME?</v>
      </c>
      <c r="G5195">
        <v>1</v>
      </c>
      <c r="H5195">
        <v>0</v>
      </c>
      <c r="I5195">
        <f>1</f>
        <v>1</v>
      </c>
    </row>
    <row r="5196" spans="2:9" x14ac:dyDescent="0.25">
      <c r="B5196">
        <v>0</v>
      </c>
      <c r="C5196" s="16" t="s">
        <v>14373</v>
      </c>
      <c r="D5196" s="16"/>
      <c r="E5196">
        <v>6</v>
      </c>
      <c r="F5196" t="s">
        <v>7251</v>
      </c>
      <c r="G5196">
        <v>1</v>
      </c>
      <c r="H5196">
        <v>0</v>
      </c>
      <c r="I5196">
        <f>1</f>
        <v>1</v>
      </c>
    </row>
    <row r="5197" spans="2:9" x14ac:dyDescent="0.25">
      <c r="B5197">
        <v>0</v>
      </c>
      <c r="C5197" s="16" t="s">
        <v>14374</v>
      </c>
      <c r="D5197" s="16"/>
      <c r="E5197">
        <v>6</v>
      </c>
      <c r="F5197" t="e">
        <f>-Não impregnados</f>
        <v>#NAME?</v>
      </c>
      <c r="G5197">
        <v>1</v>
      </c>
      <c r="H5197">
        <v>0</v>
      </c>
      <c r="I5197">
        <f>1</f>
        <v>1</v>
      </c>
    </row>
    <row r="5198" spans="2:9" x14ac:dyDescent="0.25">
      <c r="B5198">
        <v>0</v>
      </c>
      <c r="C5198" s="16" t="s">
        <v>14375</v>
      </c>
      <c r="D5198" s="16"/>
      <c r="E5198">
        <v>6</v>
      </c>
      <c r="F5198" t="e">
        <f>-outros</f>
        <v>#NAME?</v>
      </c>
      <c r="G5198">
        <v>1</v>
      </c>
      <c r="H5198">
        <v>0</v>
      </c>
      <c r="I5198">
        <f>1</f>
        <v>1</v>
      </c>
    </row>
    <row r="5199" spans="2:9" x14ac:dyDescent="0.25">
      <c r="B5199">
        <v>0</v>
      </c>
      <c r="C5199" s="16" t="s">
        <v>14376</v>
      </c>
      <c r="D5199" s="16"/>
      <c r="E5199">
        <v>6</v>
      </c>
      <c r="F5199" t="e">
        <f>-De coníferas</f>
        <v>#NAME?</v>
      </c>
      <c r="G5199">
        <v>1</v>
      </c>
      <c r="H5199">
        <v>0</v>
      </c>
      <c r="I5199">
        <f>1</f>
        <v>1</v>
      </c>
    </row>
    <row r="5200" spans="2:9" x14ac:dyDescent="0.25">
      <c r="B5200">
        <v>0</v>
      </c>
      <c r="C5200" s="16" t="s">
        <v>14377</v>
      </c>
      <c r="D5200" s="16"/>
      <c r="E5200">
        <v>6</v>
      </c>
      <c r="F5200" t="e">
        <f>--Mahogany  Mogno   Swietenia spp.</f>
        <v>#NAME?</v>
      </c>
      <c r="G5200">
        <v>1</v>
      </c>
      <c r="H5200">
        <v>0</v>
      </c>
      <c r="I5200">
        <f>1</f>
        <v>1</v>
      </c>
    </row>
    <row r="5201" spans="2:9" x14ac:dyDescent="0.25">
      <c r="B5201">
        <v>0</v>
      </c>
      <c r="C5201" s="16" t="s">
        <v>14378</v>
      </c>
      <c r="D5201" s="16"/>
      <c r="E5201">
        <v>6</v>
      </c>
      <c r="F5201" t="s">
        <v>7252</v>
      </c>
      <c r="G5201">
        <v>1</v>
      </c>
      <c r="H5201">
        <v>0</v>
      </c>
      <c r="I5201">
        <f>1</f>
        <v>1</v>
      </c>
    </row>
    <row r="5202" spans="2:9" x14ac:dyDescent="0.25">
      <c r="B5202">
        <v>0</v>
      </c>
      <c r="C5202" s="16" t="s">
        <v>14379</v>
      </c>
      <c r="D5202" s="16"/>
      <c r="E5202">
        <v>6</v>
      </c>
      <c r="F5202" t="s">
        <v>7250</v>
      </c>
      <c r="G5202">
        <v>1</v>
      </c>
      <c r="H5202">
        <v>0</v>
      </c>
      <c r="I5202">
        <f>1</f>
        <v>1</v>
      </c>
    </row>
    <row r="5203" spans="2:9" x14ac:dyDescent="0.25">
      <c r="B5203">
        <v>0</v>
      </c>
      <c r="C5203" s="16" t="s">
        <v>14380</v>
      </c>
      <c r="D5203" s="16"/>
      <c r="E5203">
        <v>6</v>
      </c>
      <c r="F5203" t="s">
        <v>7253</v>
      </c>
      <c r="G5203">
        <v>1</v>
      </c>
      <c r="H5203">
        <v>0</v>
      </c>
      <c r="I5203">
        <f>1</f>
        <v>1</v>
      </c>
    </row>
    <row r="5204" spans="2:9" x14ac:dyDescent="0.25">
      <c r="B5204">
        <v>0</v>
      </c>
      <c r="C5204" s="16" t="s">
        <v>14381</v>
      </c>
      <c r="D5204" s="16"/>
      <c r="E5204">
        <v>6</v>
      </c>
      <c r="F5204" t="e">
        <f>--Sapelli</f>
        <v>#NAME?</v>
      </c>
      <c r="G5204">
        <v>1</v>
      </c>
      <c r="H5204">
        <v>0</v>
      </c>
      <c r="I5204">
        <f>1</f>
        <v>1</v>
      </c>
    </row>
    <row r="5205" spans="2:9" x14ac:dyDescent="0.25">
      <c r="B5205">
        <v>0</v>
      </c>
      <c r="C5205" s="16" t="s">
        <v>14382</v>
      </c>
      <c r="D5205" s="16"/>
      <c r="E5205">
        <v>6</v>
      </c>
      <c r="F5205" t="e">
        <f>--Iroko</f>
        <v>#NAME?</v>
      </c>
      <c r="G5205">
        <v>1</v>
      </c>
      <c r="H5205">
        <v>0</v>
      </c>
      <c r="I5205">
        <f>1</f>
        <v>1</v>
      </c>
    </row>
    <row r="5206" spans="2:9" x14ac:dyDescent="0.25">
      <c r="B5206">
        <v>0</v>
      </c>
      <c r="C5206" s="16" t="s">
        <v>14383</v>
      </c>
      <c r="D5206" s="16"/>
      <c r="E5206">
        <v>6</v>
      </c>
      <c r="F5206" t="s">
        <v>6705</v>
      </c>
      <c r="G5206">
        <v>1</v>
      </c>
      <c r="H5206">
        <v>0</v>
      </c>
      <c r="I5206">
        <f>1</f>
        <v>1</v>
      </c>
    </row>
    <row r="5207" spans="2:9" x14ac:dyDescent="0.25">
      <c r="B5207">
        <v>0</v>
      </c>
      <c r="C5207" s="16" t="s">
        <v>14384</v>
      </c>
      <c r="D5207" s="16"/>
      <c r="E5207">
        <v>6</v>
      </c>
      <c r="F5207" t="s">
        <v>7254</v>
      </c>
      <c r="G5207">
        <v>1</v>
      </c>
      <c r="H5207">
        <v>0</v>
      </c>
      <c r="I5207">
        <f>1</f>
        <v>1</v>
      </c>
    </row>
    <row r="5208" spans="2:9" x14ac:dyDescent="0.25">
      <c r="B5208">
        <v>0</v>
      </c>
      <c r="C5208" s="16" t="s">
        <v>14385</v>
      </c>
      <c r="D5208" s="16"/>
      <c r="E5208">
        <v>6</v>
      </c>
      <c r="F5208" t="s">
        <v>7255</v>
      </c>
      <c r="G5208">
        <v>1</v>
      </c>
      <c r="H5208">
        <v>0</v>
      </c>
      <c r="I5208">
        <f>1</f>
        <v>1</v>
      </c>
    </row>
    <row r="5209" spans="2:9" x14ac:dyDescent="0.25">
      <c r="B5209">
        <v>0</v>
      </c>
      <c r="C5209" s="16" t="s">
        <v>14386</v>
      </c>
      <c r="D5209" s="16"/>
      <c r="E5209">
        <v>6</v>
      </c>
      <c r="F5209" t="s">
        <v>7256</v>
      </c>
      <c r="G5209">
        <v>1</v>
      </c>
      <c r="H5209">
        <v>0</v>
      </c>
      <c r="I5209">
        <f>1</f>
        <v>1</v>
      </c>
    </row>
    <row r="5210" spans="2:9" x14ac:dyDescent="0.25">
      <c r="B5210">
        <v>0</v>
      </c>
      <c r="C5210" s="16" t="s">
        <v>14387</v>
      </c>
      <c r="D5210" s="16"/>
      <c r="E5210">
        <v>6</v>
      </c>
      <c r="F5210" t="s">
        <v>4690</v>
      </c>
      <c r="G5210">
        <v>1</v>
      </c>
      <c r="H5210">
        <v>0</v>
      </c>
      <c r="I5210">
        <f>1</f>
        <v>1</v>
      </c>
    </row>
    <row r="5211" spans="2:9" x14ac:dyDescent="0.25">
      <c r="B5211">
        <v>0</v>
      </c>
      <c r="C5211" s="16" t="s">
        <v>14388</v>
      </c>
      <c r="D5211" s="16"/>
      <c r="E5211">
        <v>6</v>
      </c>
      <c r="F5211" t="e">
        <f>--De carvalho  Quercus spp.</f>
        <v>#NAME?</v>
      </c>
      <c r="G5211">
        <v>1</v>
      </c>
      <c r="H5211">
        <v>0</v>
      </c>
      <c r="I5211">
        <f>1</f>
        <v>1</v>
      </c>
    </row>
    <row r="5212" spans="2:9" x14ac:dyDescent="0.25">
      <c r="B5212">
        <v>0</v>
      </c>
      <c r="C5212" s="16" t="s">
        <v>14389</v>
      </c>
      <c r="D5212" s="16"/>
      <c r="E5212">
        <v>6</v>
      </c>
      <c r="F5212" t="e">
        <f>--De faia  Fagus spp.</f>
        <v>#NAME?</v>
      </c>
      <c r="G5212">
        <v>1</v>
      </c>
      <c r="H5212">
        <v>0</v>
      </c>
      <c r="I5212">
        <f>1</f>
        <v>1</v>
      </c>
    </row>
    <row r="5213" spans="2:9" x14ac:dyDescent="0.25">
      <c r="B5213">
        <v>0</v>
      </c>
      <c r="C5213" s="16" t="s">
        <v>14390</v>
      </c>
      <c r="D5213" s="16"/>
      <c r="E5213">
        <v>6</v>
      </c>
      <c r="F5213" t="e">
        <f>--De ácer  Acer spp.</f>
        <v>#NAME?</v>
      </c>
      <c r="G5213">
        <v>1</v>
      </c>
      <c r="H5213">
        <v>0</v>
      </c>
      <c r="I5213">
        <f>1</f>
        <v>1</v>
      </c>
    </row>
    <row r="5214" spans="2:9" x14ac:dyDescent="0.25">
      <c r="B5214">
        <v>0</v>
      </c>
      <c r="C5214" s="16" t="s">
        <v>14391</v>
      </c>
      <c r="D5214" s="16"/>
      <c r="E5214">
        <v>6</v>
      </c>
      <c r="F5214" t="e">
        <f>--De cerejeira  Prunus spp.</f>
        <v>#NAME?</v>
      </c>
      <c r="G5214">
        <v>1</v>
      </c>
      <c r="H5214">
        <v>0</v>
      </c>
      <c r="I5214">
        <f>1</f>
        <v>1</v>
      </c>
    </row>
    <row r="5215" spans="2:9" x14ac:dyDescent="0.25">
      <c r="B5215">
        <v>0</v>
      </c>
      <c r="C5215" s="16" t="s">
        <v>14392</v>
      </c>
      <c r="D5215" s="16"/>
      <c r="E5215">
        <v>6</v>
      </c>
      <c r="F5215" t="e">
        <f>--De freixo  Fraxinus spp.</f>
        <v>#NAME?</v>
      </c>
      <c r="G5215">
        <v>1</v>
      </c>
      <c r="H5215">
        <v>0</v>
      </c>
      <c r="I5215">
        <f>1</f>
        <v>1</v>
      </c>
    </row>
    <row r="5216" spans="2:9" x14ac:dyDescent="0.25">
      <c r="B5216">
        <v>0</v>
      </c>
      <c r="C5216" s="16" t="s">
        <v>14393</v>
      </c>
      <c r="D5216" s="16"/>
      <c r="E5216">
        <v>6</v>
      </c>
      <c r="F5216" t="s">
        <v>7257</v>
      </c>
      <c r="G5216">
        <v>1</v>
      </c>
      <c r="H5216">
        <v>0</v>
      </c>
      <c r="I5216">
        <f>1</f>
        <v>1</v>
      </c>
    </row>
    <row r="5217" spans="2:9" x14ac:dyDescent="0.25">
      <c r="B5217">
        <v>0</v>
      </c>
      <c r="C5217" s="16" t="s">
        <v>14394</v>
      </c>
      <c r="D5217" s="16"/>
      <c r="E5217">
        <v>6</v>
      </c>
      <c r="F5217" t="s">
        <v>7258</v>
      </c>
      <c r="G5217">
        <v>1</v>
      </c>
      <c r="H5217">
        <v>0</v>
      </c>
      <c r="I5217">
        <f>1</f>
        <v>1</v>
      </c>
    </row>
    <row r="5218" spans="2:9" x14ac:dyDescent="0.25">
      <c r="B5218">
        <v>0</v>
      </c>
      <c r="C5218" s="16" t="s">
        <v>14395</v>
      </c>
      <c r="D5218" s="16"/>
      <c r="E5218">
        <v>6</v>
      </c>
      <c r="F5218" t="s">
        <v>7259</v>
      </c>
      <c r="G5218">
        <v>1</v>
      </c>
      <c r="H5218">
        <v>0</v>
      </c>
      <c r="I5218">
        <f>1</f>
        <v>1</v>
      </c>
    </row>
    <row r="5219" spans="2:9" x14ac:dyDescent="0.25">
      <c r="B5219">
        <v>0</v>
      </c>
      <c r="C5219" s="16" t="s">
        <v>14396</v>
      </c>
      <c r="D5219" s="16"/>
      <c r="E5219">
        <v>6</v>
      </c>
      <c r="F5219" t="s">
        <v>7260</v>
      </c>
      <c r="G5219">
        <v>1</v>
      </c>
      <c r="H5219">
        <v>0</v>
      </c>
      <c r="I5219">
        <f>1</f>
        <v>1</v>
      </c>
    </row>
    <row r="5220" spans="2:9" x14ac:dyDescent="0.25">
      <c r="B5220">
        <v>0</v>
      </c>
      <c r="C5220" s="16" t="s">
        <v>14397</v>
      </c>
      <c r="D5220" s="16"/>
      <c r="E5220">
        <v>6</v>
      </c>
      <c r="F5220" t="s">
        <v>7261</v>
      </c>
      <c r="G5220">
        <v>1</v>
      </c>
      <c r="H5220">
        <v>0</v>
      </c>
      <c r="I5220">
        <f>1</f>
        <v>1</v>
      </c>
    </row>
    <row r="5221" spans="2:9" x14ac:dyDescent="0.25">
      <c r="B5221">
        <v>0</v>
      </c>
      <c r="C5221" s="16" t="s">
        <v>14398</v>
      </c>
      <c r="D5221" s="16"/>
      <c r="E5221">
        <v>6</v>
      </c>
      <c r="F5221" t="s">
        <v>7262</v>
      </c>
      <c r="G5221">
        <v>1</v>
      </c>
      <c r="H5221">
        <v>0</v>
      </c>
      <c r="I5221">
        <f>1</f>
        <v>1</v>
      </c>
    </row>
    <row r="5222" spans="2:9" x14ac:dyDescent="0.25">
      <c r="B5222">
        <v>0</v>
      </c>
      <c r="C5222" s="16" t="s">
        <v>14399</v>
      </c>
      <c r="D5222" s="16"/>
      <c r="E5222">
        <v>6</v>
      </c>
      <c r="F5222" t="s">
        <v>7263</v>
      </c>
      <c r="G5222">
        <v>1</v>
      </c>
      <c r="H5222">
        <v>0</v>
      </c>
      <c r="I5222">
        <f>1</f>
        <v>1</v>
      </c>
    </row>
    <row r="5223" spans="2:9" x14ac:dyDescent="0.25">
      <c r="B5223">
        <v>0</v>
      </c>
      <c r="C5223" s="16" t="s">
        <v>14400</v>
      </c>
      <c r="D5223" s="16"/>
      <c r="E5223">
        <v>6</v>
      </c>
      <c r="F5223" t="s">
        <v>4690</v>
      </c>
      <c r="G5223">
        <v>1</v>
      </c>
      <c r="H5223">
        <v>0</v>
      </c>
      <c r="I5223">
        <f>1</f>
        <v>1</v>
      </c>
    </row>
    <row r="5224" spans="2:9" x14ac:dyDescent="0.25">
      <c r="B5224">
        <v>0</v>
      </c>
      <c r="C5224" s="16" t="s">
        <v>14401</v>
      </c>
      <c r="D5224" s="16"/>
      <c r="E5224">
        <v>6</v>
      </c>
      <c r="F5224" t="s">
        <v>7264</v>
      </c>
      <c r="G5224">
        <v>1</v>
      </c>
      <c r="H5224">
        <v>0</v>
      </c>
      <c r="I5224">
        <f>1</f>
        <v>1</v>
      </c>
    </row>
    <row r="5225" spans="2:9" x14ac:dyDescent="0.25">
      <c r="B5225">
        <v>0</v>
      </c>
      <c r="C5225" s="16" t="s">
        <v>14402</v>
      </c>
      <c r="D5225" s="16"/>
      <c r="E5225">
        <v>6</v>
      </c>
      <c r="F5225" t="s">
        <v>7265</v>
      </c>
      <c r="G5225">
        <v>1</v>
      </c>
      <c r="H5225">
        <v>0</v>
      </c>
      <c r="I5225">
        <f>1</f>
        <v>1</v>
      </c>
    </row>
    <row r="5226" spans="2:9" x14ac:dyDescent="0.25">
      <c r="B5226">
        <v>0</v>
      </c>
      <c r="C5226" s="16" t="s">
        <v>14403</v>
      </c>
      <c r="D5226" s="16"/>
      <c r="E5226">
        <v>6</v>
      </c>
      <c r="F5226" t="s">
        <v>4690</v>
      </c>
      <c r="G5226">
        <v>1</v>
      </c>
      <c r="H5226">
        <v>0</v>
      </c>
      <c r="I5226">
        <f>1</f>
        <v>1</v>
      </c>
    </row>
    <row r="5227" spans="2:9" x14ac:dyDescent="0.25">
      <c r="B5227">
        <v>0</v>
      </c>
      <c r="C5227" s="16" t="s">
        <v>14404</v>
      </c>
      <c r="D5227" s="16"/>
      <c r="E5227">
        <v>6</v>
      </c>
      <c r="F5227" t="s">
        <v>7264</v>
      </c>
      <c r="G5227">
        <v>1</v>
      </c>
      <c r="H5227">
        <v>0</v>
      </c>
      <c r="I5227">
        <f>1</f>
        <v>1</v>
      </c>
    </row>
    <row r="5228" spans="2:9" x14ac:dyDescent="0.25">
      <c r="B5228">
        <v>0</v>
      </c>
      <c r="C5228" s="16" t="s">
        <v>14405</v>
      </c>
      <c r="D5228" s="16"/>
      <c r="E5228">
        <v>6</v>
      </c>
      <c r="F5228" t="s">
        <v>4690</v>
      </c>
      <c r="G5228">
        <v>1</v>
      </c>
      <c r="H5228">
        <v>0</v>
      </c>
      <c r="I5228">
        <f>1</f>
        <v>1</v>
      </c>
    </row>
    <row r="5229" spans="2:9" x14ac:dyDescent="0.25">
      <c r="B5229">
        <v>0</v>
      </c>
      <c r="C5229" s="16" t="s">
        <v>14406</v>
      </c>
      <c r="D5229" s="16"/>
      <c r="E5229">
        <v>6</v>
      </c>
      <c r="F5229" t="s">
        <v>7264</v>
      </c>
      <c r="G5229">
        <v>1</v>
      </c>
      <c r="H5229">
        <v>0</v>
      </c>
      <c r="I5229">
        <f>1</f>
        <v>1</v>
      </c>
    </row>
    <row r="5230" spans="2:9" x14ac:dyDescent="0.25">
      <c r="B5230">
        <v>0</v>
      </c>
      <c r="C5230" s="16" t="s">
        <v>14407</v>
      </c>
      <c r="D5230" s="16"/>
      <c r="E5230">
        <v>6</v>
      </c>
      <c r="F5230" t="s">
        <v>6705</v>
      </c>
      <c r="G5230">
        <v>1</v>
      </c>
      <c r="H5230">
        <v>0</v>
      </c>
      <c r="I5230">
        <f>1</f>
        <v>1</v>
      </c>
    </row>
    <row r="5231" spans="2:9" x14ac:dyDescent="0.25">
      <c r="B5231">
        <v>0</v>
      </c>
      <c r="C5231" s="16" t="s">
        <v>14408</v>
      </c>
      <c r="D5231" s="16"/>
      <c r="E5231">
        <v>6</v>
      </c>
      <c r="F5231" t="s">
        <v>7255</v>
      </c>
      <c r="G5231">
        <v>1</v>
      </c>
      <c r="H5231">
        <v>0</v>
      </c>
      <c r="I5231">
        <f>1</f>
        <v>1</v>
      </c>
    </row>
    <row r="5232" spans="2:9" x14ac:dyDescent="0.25">
      <c r="B5232">
        <v>0</v>
      </c>
      <c r="C5232" s="16" t="s">
        <v>14409</v>
      </c>
      <c r="D5232" s="16"/>
      <c r="E5232">
        <v>6</v>
      </c>
      <c r="F5232" t="s">
        <v>4690</v>
      </c>
      <c r="G5232">
        <v>1</v>
      </c>
      <c r="H5232">
        <v>0</v>
      </c>
      <c r="I5232">
        <f>1</f>
        <v>1</v>
      </c>
    </row>
    <row r="5233" spans="2:9" x14ac:dyDescent="0.25">
      <c r="B5233">
        <v>0</v>
      </c>
      <c r="C5233" s="16" t="s">
        <v>14410</v>
      </c>
      <c r="D5233" s="16"/>
      <c r="E5233">
        <v>6</v>
      </c>
      <c r="F5233" t="s">
        <v>7264</v>
      </c>
      <c r="G5233">
        <v>1</v>
      </c>
      <c r="H5233">
        <v>0</v>
      </c>
      <c r="I5233">
        <f>1</f>
        <v>1</v>
      </c>
    </row>
    <row r="5234" spans="2:9" x14ac:dyDescent="0.25">
      <c r="B5234">
        <v>0</v>
      </c>
      <c r="C5234" s="16" t="s">
        <v>14411</v>
      </c>
      <c r="D5234" s="16"/>
      <c r="E5234">
        <v>6</v>
      </c>
      <c r="F5234" t="s">
        <v>4690</v>
      </c>
      <c r="G5234">
        <v>1</v>
      </c>
      <c r="H5234">
        <v>0</v>
      </c>
      <c r="I5234">
        <f>1</f>
        <v>1</v>
      </c>
    </row>
    <row r="5235" spans="2:9" x14ac:dyDescent="0.25">
      <c r="B5235">
        <v>0</v>
      </c>
      <c r="C5235" s="16" t="s">
        <v>14412</v>
      </c>
      <c r="D5235" s="16"/>
      <c r="E5235">
        <v>6</v>
      </c>
      <c r="F5235" t="e">
        <f>-De coníferas</f>
        <v>#NAME?</v>
      </c>
      <c r="G5235">
        <v>1</v>
      </c>
      <c r="H5235">
        <v>0</v>
      </c>
      <c r="I5235">
        <f>1</f>
        <v>1</v>
      </c>
    </row>
    <row r="5236" spans="2:9" x14ac:dyDescent="0.25">
      <c r="B5236">
        <v>0</v>
      </c>
      <c r="C5236" s="16" t="s">
        <v>14413</v>
      </c>
      <c r="D5236" s="16"/>
      <c r="E5236">
        <v>6</v>
      </c>
      <c r="F5236" t="e">
        <f>--De bambu</f>
        <v>#NAME?</v>
      </c>
      <c r="G5236">
        <v>1</v>
      </c>
      <c r="H5236">
        <v>0</v>
      </c>
      <c r="I5236">
        <f>1</f>
        <v>1</v>
      </c>
    </row>
    <row r="5237" spans="2:9" x14ac:dyDescent="0.25">
      <c r="B5237">
        <v>0</v>
      </c>
      <c r="C5237" s="16" t="s">
        <v>14414</v>
      </c>
      <c r="D5237" s="16"/>
      <c r="E5237">
        <v>6</v>
      </c>
      <c r="F5237" t="e">
        <f>--Outras</f>
        <v>#NAME?</v>
      </c>
      <c r="G5237">
        <v>1</v>
      </c>
      <c r="H5237">
        <v>0</v>
      </c>
      <c r="I5237">
        <f>1</f>
        <v>1</v>
      </c>
    </row>
    <row r="5238" spans="2:9" x14ac:dyDescent="0.25">
      <c r="B5238">
        <v>0</v>
      </c>
      <c r="C5238" s="16" t="s">
        <v>14415</v>
      </c>
      <c r="D5238" s="16"/>
      <c r="E5238">
        <v>6</v>
      </c>
      <c r="F5238" t="s">
        <v>7266</v>
      </c>
      <c r="G5238">
        <v>1</v>
      </c>
      <c r="H5238">
        <v>0</v>
      </c>
      <c r="I5238">
        <f>1</f>
        <v>1</v>
      </c>
    </row>
    <row r="5239" spans="2:9" x14ac:dyDescent="0.25">
      <c r="B5239">
        <v>0</v>
      </c>
      <c r="C5239" s="16" t="s">
        <v>14416</v>
      </c>
      <c r="D5239" s="16"/>
      <c r="E5239">
        <v>6</v>
      </c>
      <c r="F5239" t="s">
        <v>7267</v>
      </c>
      <c r="G5239">
        <v>1</v>
      </c>
      <c r="H5239">
        <v>0</v>
      </c>
      <c r="I5239">
        <f>1</f>
        <v>1</v>
      </c>
    </row>
    <row r="5240" spans="2:9" x14ac:dyDescent="0.25">
      <c r="B5240">
        <v>0</v>
      </c>
      <c r="C5240" s="16" t="s">
        <v>14417</v>
      </c>
      <c r="D5240" s="16"/>
      <c r="E5240">
        <v>6</v>
      </c>
      <c r="F5240" t="s">
        <v>4680</v>
      </c>
      <c r="G5240">
        <v>1</v>
      </c>
      <c r="H5240">
        <v>0</v>
      </c>
      <c r="I5240">
        <f>1</f>
        <v>1</v>
      </c>
    </row>
    <row r="5241" spans="2:9" x14ac:dyDescent="0.25">
      <c r="B5241">
        <v>0</v>
      </c>
      <c r="C5241" s="16" t="s">
        <v>14418</v>
      </c>
      <c r="D5241" s="16"/>
      <c r="E5241">
        <v>6</v>
      </c>
      <c r="F5241" t="s">
        <v>4680</v>
      </c>
      <c r="G5241">
        <v>1</v>
      </c>
      <c r="H5241">
        <v>0</v>
      </c>
      <c r="I5241">
        <f>1</f>
        <v>1</v>
      </c>
    </row>
    <row r="5242" spans="2:9" x14ac:dyDescent="0.25">
      <c r="B5242">
        <v>0</v>
      </c>
      <c r="C5242" s="16" t="s">
        <v>14419</v>
      </c>
      <c r="D5242" s="16"/>
      <c r="E5242">
        <v>6</v>
      </c>
      <c r="F5242" t="s">
        <v>7266</v>
      </c>
      <c r="G5242">
        <v>1</v>
      </c>
      <c r="H5242">
        <v>0</v>
      </c>
      <c r="I5242">
        <f>1</f>
        <v>1</v>
      </c>
    </row>
    <row r="5243" spans="2:9" x14ac:dyDescent="0.25">
      <c r="B5243">
        <v>0</v>
      </c>
      <c r="C5243" s="16" t="s">
        <v>14420</v>
      </c>
      <c r="D5243" s="16"/>
      <c r="E5243">
        <v>6</v>
      </c>
      <c r="F5243" t="s">
        <v>4680</v>
      </c>
      <c r="G5243">
        <v>1</v>
      </c>
      <c r="H5243">
        <v>0</v>
      </c>
      <c r="I5243">
        <f>1</f>
        <v>1</v>
      </c>
    </row>
    <row r="5244" spans="2:9" x14ac:dyDescent="0.25">
      <c r="B5244">
        <v>0</v>
      </c>
      <c r="C5244" s="16" t="s">
        <v>14421</v>
      </c>
      <c r="D5244" s="16"/>
      <c r="E5244">
        <v>6</v>
      </c>
      <c r="F5244" t="s">
        <v>7266</v>
      </c>
      <c r="G5244">
        <v>1</v>
      </c>
      <c r="H5244">
        <v>0</v>
      </c>
      <c r="I5244">
        <f>1</f>
        <v>1</v>
      </c>
    </row>
    <row r="5245" spans="2:9" x14ac:dyDescent="0.25">
      <c r="B5245">
        <v>0</v>
      </c>
      <c r="C5245" s="16" t="s">
        <v>14422</v>
      </c>
      <c r="D5245" s="16"/>
      <c r="E5245">
        <v>6</v>
      </c>
      <c r="F5245" t="s">
        <v>4680</v>
      </c>
      <c r="G5245">
        <v>1</v>
      </c>
      <c r="H5245">
        <v>0</v>
      </c>
      <c r="I5245">
        <f>1</f>
        <v>1</v>
      </c>
    </row>
    <row r="5246" spans="2:9" x14ac:dyDescent="0.25">
      <c r="B5246">
        <v>0</v>
      </c>
      <c r="C5246" s="16" t="s">
        <v>14423</v>
      </c>
      <c r="D5246" s="16"/>
      <c r="E5246">
        <v>6</v>
      </c>
      <c r="F5246" t="s">
        <v>7266</v>
      </c>
      <c r="G5246">
        <v>1</v>
      </c>
      <c r="H5246">
        <v>0</v>
      </c>
      <c r="I5246">
        <f>1</f>
        <v>1</v>
      </c>
    </row>
    <row r="5247" spans="2:9" x14ac:dyDescent="0.25">
      <c r="B5247">
        <v>0</v>
      </c>
      <c r="C5247" s="16" t="s">
        <v>14424</v>
      </c>
      <c r="D5247" s="16"/>
      <c r="E5247">
        <v>6</v>
      </c>
      <c r="F5247" t="s">
        <v>7268</v>
      </c>
      <c r="G5247">
        <v>1</v>
      </c>
      <c r="H5247">
        <v>0</v>
      </c>
      <c r="I5247">
        <f>1</f>
        <v>1</v>
      </c>
    </row>
    <row r="5248" spans="2:9" x14ac:dyDescent="0.25">
      <c r="B5248">
        <v>0</v>
      </c>
      <c r="C5248" s="16" t="s">
        <v>14425</v>
      </c>
      <c r="D5248" s="16"/>
      <c r="E5248">
        <v>6</v>
      </c>
      <c r="F5248" t="s">
        <v>4680</v>
      </c>
      <c r="G5248">
        <v>1</v>
      </c>
      <c r="H5248">
        <v>0</v>
      </c>
      <c r="I5248">
        <f>1</f>
        <v>1</v>
      </c>
    </row>
    <row r="5249" spans="2:9" x14ac:dyDescent="0.25">
      <c r="B5249">
        <v>0</v>
      </c>
      <c r="C5249" s="16" t="s">
        <v>14426</v>
      </c>
      <c r="D5249" s="16"/>
      <c r="E5249">
        <v>6</v>
      </c>
      <c r="F5249" t="e">
        <f>-outros</f>
        <v>#NAME?</v>
      </c>
      <c r="G5249">
        <v>1</v>
      </c>
      <c r="H5249">
        <v>0</v>
      </c>
      <c r="I5249">
        <f>1</f>
        <v>1</v>
      </c>
    </row>
    <row r="5250" spans="2:9" x14ac:dyDescent="0.25">
      <c r="B5250">
        <v>0</v>
      </c>
      <c r="C5250" s="16" t="s">
        <v>14427</v>
      </c>
      <c r="D5250" s="16"/>
      <c r="E5250">
        <v>6</v>
      </c>
      <c r="F5250" t="s">
        <v>7269</v>
      </c>
      <c r="G5250">
        <v>1</v>
      </c>
      <c r="H5250">
        <v>0</v>
      </c>
      <c r="I5250">
        <f>1</f>
        <v>1</v>
      </c>
    </row>
    <row r="5251" spans="2:9" x14ac:dyDescent="0.25">
      <c r="B5251">
        <v>0</v>
      </c>
      <c r="C5251" s="16" t="s">
        <v>14428</v>
      </c>
      <c r="D5251" s="16"/>
      <c r="E5251">
        <v>6</v>
      </c>
      <c r="F5251" t="s">
        <v>4680</v>
      </c>
      <c r="G5251">
        <v>1</v>
      </c>
      <c r="H5251">
        <v>0</v>
      </c>
      <c r="I5251">
        <f>1</f>
        <v>1</v>
      </c>
    </row>
    <row r="5252" spans="2:9" x14ac:dyDescent="0.25">
      <c r="B5252">
        <v>0</v>
      </c>
      <c r="C5252" s="16" t="s">
        <v>14429</v>
      </c>
      <c r="D5252" s="16"/>
      <c r="E5252">
        <v>6</v>
      </c>
      <c r="F5252" t="s">
        <v>7269</v>
      </c>
      <c r="G5252">
        <v>1</v>
      </c>
      <c r="H5252">
        <v>0</v>
      </c>
      <c r="I5252">
        <f>1</f>
        <v>1</v>
      </c>
    </row>
    <row r="5253" spans="2:9" x14ac:dyDescent="0.25">
      <c r="B5253">
        <v>0</v>
      </c>
      <c r="C5253" s="16" t="s">
        <v>14430</v>
      </c>
      <c r="D5253" s="16"/>
      <c r="E5253">
        <v>6</v>
      </c>
      <c r="F5253" t="s">
        <v>7270</v>
      </c>
      <c r="G5253">
        <v>1</v>
      </c>
      <c r="H5253">
        <v>0</v>
      </c>
      <c r="I5253">
        <f>1</f>
        <v>1</v>
      </c>
    </row>
    <row r="5254" spans="2:9" x14ac:dyDescent="0.25">
      <c r="B5254">
        <v>0</v>
      </c>
      <c r="C5254" s="16" t="s">
        <v>14431</v>
      </c>
      <c r="D5254" s="16"/>
      <c r="E5254">
        <v>6</v>
      </c>
      <c r="F5254" t="s">
        <v>4680</v>
      </c>
      <c r="G5254">
        <v>1</v>
      </c>
      <c r="H5254">
        <v>0</v>
      </c>
      <c r="I5254">
        <f>1</f>
        <v>1</v>
      </c>
    </row>
    <row r="5255" spans="2:9" x14ac:dyDescent="0.25">
      <c r="B5255">
        <v>0</v>
      </c>
      <c r="C5255" s="16" t="s">
        <v>14432</v>
      </c>
      <c r="D5255" s="16"/>
      <c r="E5255">
        <v>6</v>
      </c>
      <c r="F5255" t="s">
        <v>7269</v>
      </c>
      <c r="G5255">
        <v>1</v>
      </c>
      <c r="H5255">
        <v>0</v>
      </c>
      <c r="I5255">
        <f>1</f>
        <v>1</v>
      </c>
    </row>
    <row r="5256" spans="2:9" x14ac:dyDescent="0.25">
      <c r="B5256">
        <v>0</v>
      </c>
      <c r="C5256" s="16" t="s">
        <v>14433</v>
      </c>
      <c r="D5256" s="16"/>
      <c r="E5256">
        <v>6</v>
      </c>
      <c r="F5256" t="s">
        <v>4680</v>
      </c>
      <c r="G5256">
        <v>1</v>
      </c>
      <c r="H5256">
        <v>0</v>
      </c>
      <c r="I5256">
        <f>1</f>
        <v>1</v>
      </c>
    </row>
    <row r="5257" spans="2:9" x14ac:dyDescent="0.25">
      <c r="B5257">
        <v>0</v>
      </c>
      <c r="C5257" s="16" t="s">
        <v>14434</v>
      </c>
      <c r="D5257" s="16"/>
      <c r="E5257">
        <v>6</v>
      </c>
      <c r="F5257" t="s">
        <v>7269</v>
      </c>
      <c r="G5257">
        <v>1</v>
      </c>
      <c r="H5257">
        <v>0</v>
      </c>
      <c r="I5257">
        <f>1</f>
        <v>1</v>
      </c>
    </row>
    <row r="5258" spans="2:9" x14ac:dyDescent="0.25">
      <c r="B5258">
        <v>0</v>
      </c>
      <c r="C5258" s="16" t="s">
        <v>14435</v>
      </c>
      <c r="D5258" s="16"/>
      <c r="E5258">
        <v>6</v>
      </c>
      <c r="F5258" t="s">
        <v>4680</v>
      </c>
      <c r="G5258">
        <v>1</v>
      </c>
      <c r="H5258">
        <v>0</v>
      </c>
      <c r="I5258">
        <f>1</f>
        <v>1</v>
      </c>
    </row>
    <row r="5259" spans="2:9" x14ac:dyDescent="0.25">
      <c r="B5259">
        <v>0</v>
      </c>
      <c r="C5259" s="16" t="s">
        <v>14436</v>
      </c>
      <c r="D5259" s="16"/>
      <c r="E5259">
        <v>6</v>
      </c>
      <c r="F5259" t="s">
        <v>7269</v>
      </c>
      <c r="G5259">
        <v>1</v>
      </c>
      <c r="H5259">
        <v>0</v>
      </c>
      <c r="I5259">
        <f>1</f>
        <v>1</v>
      </c>
    </row>
    <row r="5260" spans="2:9" x14ac:dyDescent="0.25">
      <c r="B5260">
        <v>0</v>
      </c>
      <c r="C5260" s="16" t="s">
        <v>14437</v>
      </c>
      <c r="D5260" s="16"/>
      <c r="E5260">
        <v>6</v>
      </c>
      <c r="F5260" t="s">
        <v>4680</v>
      </c>
      <c r="G5260">
        <v>1</v>
      </c>
      <c r="H5260">
        <v>0</v>
      </c>
      <c r="I5260">
        <f>1</f>
        <v>1</v>
      </c>
    </row>
    <row r="5261" spans="2:9" x14ac:dyDescent="0.25">
      <c r="B5261">
        <v>0</v>
      </c>
      <c r="C5261" s="16" t="s">
        <v>14438</v>
      </c>
      <c r="D5261" s="16"/>
      <c r="E5261">
        <v>6</v>
      </c>
      <c r="F5261" t="s">
        <v>7269</v>
      </c>
      <c r="G5261">
        <v>1</v>
      </c>
      <c r="H5261">
        <v>0</v>
      </c>
      <c r="I5261">
        <f>1</f>
        <v>1</v>
      </c>
    </row>
    <row r="5262" spans="2:9" x14ac:dyDescent="0.25">
      <c r="B5262">
        <v>0</v>
      </c>
      <c r="C5262" s="16" t="s">
        <v>14439</v>
      </c>
      <c r="D5262" s="16"/>
      <c r="E5262">
        <v>6</v>
      </c>
      <c r="F5262" t="s">
        <v>4680</v>
      </c>
      <c r="G5262">
        <v>1</v>
      </c>
      <c r="H5262">
        <v>0</v>
      </c>
      <c r="I5262">
        <f>1</f>
        <v>1</v>
      </c>
    </row>
    <row r="5263" spans="2:9" x14ac:dyDescent="0.25">
      <c r="B5263">
        <v>0</v>
      </c>
      <c r="C5263" s="16" t="s">
        <v>14440</v>
      </c>
      <c r="D5263" s="16"/>
      <c r="E5263">
        <v>6</v>
      </c>
      <c r="F5263" t="e">
        <f>-De bambu</f>
        <v>#NAME?</v>
      </c>
      <c r="G5263">
        <v>1</v>
      </c>
      <c r="H5263">
        <v>0</v>
      </c>
      <c r="I5263">
        <f>1</f>
        <v>1</v>
      </c>
    </row>
    <row r="5264" spans="2:9" x14ac:dyDescent="0.25">
      <c r="B5264">
        <v>0</v>
      </c>
      <c r="C5264" s="16" t="s">
        <v>14441</v>
      </c>
      <c r="D5264" s="16"/>
      <c r="E5264">
        <v>6</v>
      </c>
      <c r="F5264" t="s">
        <v>7271</v>
      </c>
      <c r="G5264">
        <v>1</v>
      </c>
      <c r="H5264">
        <v>0</v>
      </c>
      <c r="I5264">
        <f>1</f>
        <v>1</v>
      </c>
    </row>
    <row r="5265" spans="2:9" x14ac:dyDescent="0.25">
      <c r="B5265">
        <v>0</v>
      </c>
      <c r="C5265" s="16" t="s">
        <v>14442</v>
      </c>
      <c r="D5265" s="16"/>
      <c r="E5265">
        <v>6</v>
      </c>
      <c r="F5265" t="s">
        <v>7272</v>
      </c>
      <c r="G5265">
        <v>1</v>
      </c>
      <c r="H5265">
        <v>0</v>
      </c>
      <c r="I5265">
        <f>1</f>
        <v>1</v>
      </c>
    </row>
    <row r="5266" spans="2:9" x14ac:dyDescent="0.25">
      <c r="B5266">
        <v>0</v>
      </c>
      <c r="C5266" s="16" t="s">
        <v>14443</v>
      </c>
      <c r="D5266" s="16"/>
      <c r="E5266">
        <v>6</v>
      </c>
      <c r="F5266" t="e">
        <f>--Outras</f>
        <v>#NAME?</v>
      </c>
      <c r="G5266">
        <v>1</v>
      </c>
      <c r="H5266">
        <v>0</v>
      </c>
      <c r="I5266">
        <f>1</f>
        <v>1</v>
      </c>
    </row>
    <row r="5267" spans="2:9" x14ac:dyDescent="0.25">
      <c r="B5267">
        <v>0</v>
      </c>
      <c r="C5267" s="16" t="s">
        <v>14444</v>
      </c>
      <c r="D5267" s="16"/>
      <c r="E5267">
        <v>6</v>
      </c>
      <c r="F5267" t="s">
        <v>7273</v>
      </c>
      <c r="G5267">
        <v>1</v>
      </c>
      <c r="H5267">
        <v>0</v>
      </c>
      <c r="I5267">
        <f>1</f>
        <v>1</v>
      </c>
    </row>
    <row r="5268" spans="2:9" x14ac:dyDescent="0.25">
      <c r="B5268">
        <v>0</v>
      </c>
      <c r="C5268" s="16" t="s">
        <v>14445</v>
      </c>
      <c r="D5268" s="16"/>
      <c r="E5268">
        <v>6</v>
      </c>
      <c r="F5268" t="e">
        <f>--Outras</f>
        <v>#NAME?</v>
      </c>
      <c r="G5268">
        <v>1</v>
      </c>
      <c r="H5268">
        <v>0</v>
      </c>
      <c r="I5268">
        <f>1</f>
        <v>1</v>
      </c>
    </row>
    <row r="5269" spans="2:9" x14ac:dyDescent="0.25">
      <c r="B5269">
        <v>0</v>
      </c>
      <c r="C5269" s="16" t="s">
        <v>14446</v>
      </c>
      <c r="D5269" s="16"/>
      <c r="E5269">
        <v>6</v>
      </c>
      <c r="F5269" t="s">
        <v>7274</v>
      </c>
      <c r="G5269">
        <v>1</v>
      </c>
      <c r="H5269">
        <v>0</v>
      </c>
      <c r="I5269">
        <f>1</f>
        <v>1</v>
      </c>
    </row>
    <row r="5270" spans="2:9" x14ac:dyDescent="0.25">
      <c r="B5270">
        <v>0</v>
      </c>
      <c r="C5270" s="16" t="s">
        <v>14447</v>
      </c>
      <c r="D5270" s="16"/>
      <c r="E5270">
        <v>6</v>
      </c>
      <c r="F5270" t="s">
        <v>7275</v>
      </c>
      <c r="G5270">
        <v>1</v>
      </c>
      <c r="H5270">
        <v>0</v>
      </c>
      <c r="I5270">
        <f>1</f>
        <v>1</v>
      </c>
    </row>
    <row r="5271" spans="2:9" x14ac:dyDescent="0.25">
      <c r="B5271">
        <v>0</v>
      </c>
      <c r="C5271" s="16" t="s">
        <v>14448</v>
      </c>
      <c r="D5271" s="16"/>
      <c r="E5271">
        <v>6</v>
      </c>
      <c r="F5271" t="s">
        <v>7276</v>
      </c>
      <c r="G5271">
        <v>1</v>
      </c>
      <c r="H5271">
        <v>0</v>
      </c>
      <c r="I5271">
        <f>1</f>
        <v>1</v>
      </c>
    </row>
    <row r="5272" spans="2:9" x14ac:dyDescent="0.25">
      <c r="B5272">
        <v>0</v>
      </c>
      <c r="C5272" s="16" t="s">
        <v>14449</v>
      </c>
      <c r="D5272" s="16"/>
      <c r="E5272">
        <v>6</v>
      </c>
      <c r="F5272" t="s">
        <v>7277</v>
      </c>
      <c r="G5272">
        <v>1</v>
      </c>
      <c r="H5272">
        <v>0</v>
      </c>
      <c r="I5272">
        <f>1</f>
        <v>1</v>
      </c>
    </row>
    <row r="5273" spans="2:9" x14ac:dyDescent="0.25">
      <c r="B5273">
        <v>0</v>
      </c>
      <c r="C5273" s="16" t="s">
        <v>14450</v>
      </c>
      <c r="D5273" s="16"/>
      <c r="E5273">
        <v>6</v>
      </c>
      <c r="F5273" t="s">
        <v>7278</v>
      </c>
      <c r="G5273">
        <v>1</v>
      </c>
      <c r="H5273">
        <v>0</v>
      </c>
      <c r="I5273">
        <f>1</f>
        <v>1</v>
      </c>
    </row>
    <row r="5274" spans="2:9" x14ac:dyDescent="0.25">
      <c r="B5274">
        <v>0</v>
      </c>
      <c r="C5274" s="16" t="s">
        <v>14451</v>
      </c>
      <c r="D5274" s="16"/>
      <c r="E5274">
        <v>6</v>
      </c>
      <c r="F5274" t="s">
        <v>4680</v>
      </c>
      <c r="G5274">
        <v>1</v>
      </c>
      <c r="H5274">
        <v>0</v>
      </c>
      <c r="I5274">
        <f>1</f>
        <v>1</v>
      </c>
    </row>
    <row r="5275" spans="2:9" x14ac:dyDescent="0.25">
      <c r="B5275">
        <v>0</v>
      </c>
      <c r="C5275" s="16" t="s">
        <v>14452</v>
      </c>
      <c r="D5275" s="16"/>
      <c r="E5275">
        <v>6</v>
      </c>
      <c r="F5275" t="s">
        <v>7279</v>
      </c>
      <c r="G5275">
        <v>1</v>
      </c>
      <c r="H5275">
        <v>0</v>
      </c>
      <c r="I5275">
        <f>1</f>
        <v>1</v>
      </c>
    </row>
    <row r="5276" spans="2:9" x14ac:dyDescent="0.25">
      <c r="B5276">
        <v>0</v>
      </c>
      <c r="C5276" s="16" t="s">
        <v>14453</v>
      </c>
      <c r="D5276" s="16"/>
      <c r="E5276">
        <v>6</v>
      </c>
      <c r="F5276" t="s">
        <v>7280</v>
      </c>
      <c r="G5276">
        <v>1</v>
      </c>
      <c r="H5276">
        <v>0</v>
      </c>
      <c r="I5276">
        <f>1</f>
        <v>1</v>
      </c>
    </row>
    <row r="5277" spans="2:9" x14ac:dyDescent="0.25">
      <c r="B5277">
        <v>0</v>
      </c>
      <c r="C5277" s="16" t="s">
        <v>14454</v>
      </c>
      <c r="D5277" s="16"/>
      <c r="E5277">
        <v>6</v>
      </c>
      <c r="F5277" t="s">
        <v>4680</v>
      </c>
      <c r="G5277">
        <v>1</v>
      </c>
      <c r="H5277">
        <v>0</v>
      </c>
      <c r="I5277">
        <f>1</f>
        <v>1</v>
      </c>
    </row>
    <row r="5278" spans="2:9" x14ac:dyDescent="0.25">
      <c r="B5278">
        <v>0</v>
      </c>
      <c r="C5278" s="16" t="s">
        <v>14455</v>
      </c>
      <c r="D5278" s="16"/>
      <c r="E5278">
        <v>6</v>
      </c>
      <c r="F5278" t="s">
        <v>7281</v>
      </c>
      <c r="G5278">
        <v>1</v>
      </c>
      <c r="H5278">
        <v>0</v>
      </c>
      <c r="I5278">
        <f>1</f>
        <v>1</v>
      </c>
    </row>
    <row r="5279" spans="2:9" x14ac:dyDescent="0.25">
      <c r="B5279">
        <v>0</v>
      </c>
      <c r="C5279" s="16" t="s">
        <v>14456</v>
      </c>
      <c r="D5279" s="16"/>
      <c r="E5279">
        <v>6</v>
      </c>
      <c r="F5279" t="s">
        <v>7282</v>
      </c>
      <c r="G5279">
        <v>1</v>
      </c>
      <c r="H5279">
        <v>0</v>
      </c>
      <c r="I5279">
        <f>1</f>
        <v>1</v>
      </c>
    </row>
    <row r="5280" spans="2:9" x14ac:dyDescent="0.25">
      <c r="B5280">
        <v>0</v>
      </c>
      <c r="C5280" s="16" t="s">
        <v>14457</v>
      </c>
      <c r="D5280" s="16"/>
      <c r="E5280">
        <v>6</v>
      </c>
      <c r="F5280" t="e">
        <f>-Armações para concreto</f>
        <v>#NAME?</v>
      </c>
      <c r="G5280">
        <v>1</v>
      </c>
      <c r="H5280">
        <v>0</v>
      </c>
      <c r="I5280">
        <f>1</f>
        <v>1</v>
      </c>
    </row>
    <row r="5281" spans="2:9" x14ac:dyDescent="0.25">
      <c r="B5281">
        <v>0</v>
      </c>
      <c r="C5281" s="16" t="s">
        <v>14458</v>
      </c>
      <c r="D5281" s="16"/>
      <c r="E5281">
        <v>6</v>
      </c>
      <c r="F5281" t="e">
        <f>-Fasquias para telhados  shingles e shakes</f>
        <v>#NAME?</v>
      </c>
      <c r="G5281">
        <v>1</v>
      </c>
      <c r="H5281">
        <v>0</v>
      </c>
      <c r="I5281">
        <f>1</f>
        <v>1</v>
      </c>
    </row>
    <row r="5282" spans="2:9" x14ac:dyDescent="0.25">
      <c r="B5282">
        <v>0</v>
      </c>
      <c r="C5282" s="16" t="s">
        <v>14459</v>
      </c>
      <c r="D5282" s="16"/>
      <c r="E5282">
        <v>6</v>
      </c>
      <c r="F5282" t="e">
        <f>-Postes e vigas</f>
        <v>#NAME?</v>
      </c>
      <c r="G5282">
        <v>1</v>
      </c>
      <c r="H5282">
        <v>0</v>
      </c>
      <c r="I5282">
        <f>1</f>
        <v>1</v>
      </c>
    </row>
    <row r="5283" spans="2:9" x14ac:dyDescent="0.25">
      <c r="B5283">
        <v>0</v>
      </c>
      <c r="C5283" s="16" t="s">
        <v>14460</v>
      </c>
      <c r="D5283" s="16"/>
      <c r="E5283">
        <v>6</v>
      </c>
      <c r="F5283" t="e">
        <f>--para pisos  pavimentos  em mosaico</f>
        <v>#NAME?</v>
      </c>
      <c r="G5283">
        <v>1</v>
      </c>
      <c r="H5283">
        <v>0</v>
      </c>
      <c r="I5283">
        <f>1</f>
        <v>1</v>
      </c>
    </row>
    <row r="5284" spans="2:9" x14ac:dyDescent="0.25">
      <c r="B5284">
        <v>0</v>
      </c>
      <c r="C5284" s="16" t="s">
        <v>14461</v>
      </c>
      <c r="D5284" s="16"/>
      <c r="E5284">
        <v>6</v>
      </c>
      <c r="F5284" t="s">
        <v>7283</v>
      </c>
      <c r="G5284">
        <v>1</v>
      </c>
      <c r="H5284">
        <v>0</v>
      </c>
      <c r="I5284">
        <f>1</f>
        <v>1</v>
      </c>
    </row>
    <row r="5285" spans="2:9" x14ac:dyDescent="0.25">
      <c r="B5285">
        <v>0</v>
      </c>
      <c r="C5285" s="16" t="s">
        <v>14462</v>
      </c>
      <c r="D5285" s="16"/>
      <c r="E5285">
        <v>6</v>
      </c>
      <c r="F5285" t="e">
        <f>--outros</f>
        <v>#NAME?</v>
      </c>
      <c r="G5285">
        <v>1</v>
      </c>
      <c r="H5285">
        <v>0</v>
      </c>
      <c r="I5285">
        <f>1</f>
        <v>1</v>
      </c>
    </row>
    <row r="5286" spans="2:9" x14ac:dyDescent="0.25">
      <c r="B5286">
        <v>0</v>
      </c>
      <c r="C5286" s="16" t="s">
        <v>14463</v>
      </c>
      <c r="D5286" s="16"/>
      <c r="E5286">
        <v>6</v>
      </c>
      <c r="F5286" t="e">
        <f>-Outras</f>
        <v>#NAME?</v>
      </c>
      <c r="G5286">
        <v>1</v>
      </c>
      <c r="H5286">
        <v>0</v>
      </c>
      <c r="I5286">
        <f>1</f>
        <v>1</v>
      </c>
    </row>
    <row r="5287" spans="2:9" x14ac:dyDescent="0.25">
      <c r="B5287">
        <v>0</v>
      </c>
      <c r="C5287" s="16" t="s">
        <v>14464</v>
      </c>
      <c r="D5287" s="16"/>
      <c r="E5287">
        <v>6</v>
      </c>
      <c r="F5287" t="s">
        <v>7284</v>
      </c>
      <c r="G5287">
        <v>1</v>
      </c>
      <c r="H5287">
        <v>0</v>
      </c>
      <c r="I5287">
        <f>1</f>
        <v>1</v>
      </c>
    </row>
    <row r="5288" spans="2:9" x14ac:dyDescent="0.25">
      <c r="B5288">
        <v>0</v>
      </c>
      <c r="C5288" s="16" t="s">
        <v>14465</v>
      </c>
      <c r="D5288" s="16"/>
      <c r="E5288">
        <v>6</v>
      </c>
      <c r="F5288" t="s">
        <v>7285</v>
      </c>
      <c r="G5288">
        <v>1</v>
      </c>
      <c r="H5288">
        <v>0</v>
      </c>
      <c r="I5288">
        <f>1</f>
        <v>1</v>
      </c>
    </row>
    <row r="5289" spans="2:9" x14ac:dyDescent="0.25">
      <c r="B5289">
        <v>0</v>
      </c>
      <c r="C5289" s="16" t="s">
        <v>14466</v>
      </c>
      <c r="D5289" s="16"/>
      <c r="E5289">
        <v>6</v>
      </c>
      <c r="F5289" t="e">
        <f>-outros</f>
        <v>#NAME?</v>
      </c>
      <c r="G5289">
        <v>1</v>
      </c>
      <c r="H5289">
        <v>0</v>
      </c>
      <c r="I5289">
        <f>1</f>
        <v>1</v>
      </c>
    </row>
    <row r="5290" spans="2:9" x14ac:dyDescent="0.25">
      <c r="B5290">
        <v>0</v>
      </c>
      <c r="C5290" s="16" t="s">
        <v>14467</v>
      </c>
      <c r="D5290" s="16"/>
      <c r="E5290">
        <v>6</v>
      </c>
      <c r="F5290" t="e">
        <f>-Cabides para Vestuário</f>
        <v>#NAME?</v>
      </c>
      <c r="G5290">
        <v>1</v>
      </c>
      <c r="H5290">
        <v>0</v>
      </c>
      <c r="I5290">
        <f>1</f>
        <v>1</v>
      </c>
    </row>
    <row r="5291" spans="2:9" x14ac:dyDescent="0.25">
      <c r="B5291">
        <v>0</v>
      </c>
      <c r="C5291" s="16" t="s">
        <v>14468</v>
      </c>
      <c r="D5291" s="16"/>
      <c r="E5291">
        <v>6</v>
      </c>
      <c r="F5291" t="e">
        <f>-Outras</f>
        <v>#NAME?</v>
      </c>
      <c r="G5291">
        <v>1</v>
      </c>
      <c r="H5291">
        <v>0</v>
      </c>
      <c r="I5291">
        <f>1</f>
        <v>1</v>
      </c>
    </row>
    <row r="5292" spans="2:9" x14ac:dyDescent="0.25">
      <c r="B5292">
        <v>0</v>
      </c>
      <c r="C5292" s="16" t="s">
        <v>14469</v>
      </c>
      <c r="D5292" s="16"/>
      <c r="E5292">
        <v>6</v>
      </c>
      <c r="F5292" t="s">
        <v>7286</v>
      </c>
      <c r="G5292">
        <v>1</v>
      </c>
      <c r="H5292">
        <v>0</v>
      </c>
      <c r="I5292">
        <f>1</f>
        <v>1</v>
      </c>
    </row>
    <row r="5293" spans="2:9" x14ac:dyDescent="0.25">
      <c r="B5293">
        <v>0</v>
      </c>
      <c r="C5293" s="16" t="s">
        <v>14470</v>
      </c>
      <c r="D5293" s="16"/>
      <c r="E5293">
        <v>6</v>
      </c>
      <c r="F5293" t="e">
        <f>-outros</f>
        <v>#NAME?</v>
      </c>
      <c r="G5293">
        <v>1</v>
      </c>
      <c r="H5293">
        <v>0</v>
      </c>
      <c r="I5293">
        <f>1</f>
        <v>1</v>
      </c>
    </row>
    <row r="5294" spans="2:9" x14ac:dyDescent="0.25">
      <c r="B5294">
        <v>0</v>
      </c>
      <c r="C5294" s="16" t="s">
        <v>14470</v>
      </c>
      <c r="D5294" s="16" t="s">
        <v>19430</v>
      </c>
      <c r="E5294">
        <v>6</v>
      </c>
      <c r="F5294" t="s">
        <v>7287</v>
      </c>
      <c r="G5294">
        <v>1</v>
      </c>
      <c r="H5294">
        <v>0</v>
      </c>
      <c r="I5294">
        <f>1</f>
        <v>1</v>
      </c>
    </row>
    <row r="5295" spans="2:9" x14ac:dyDescent="0.25">
      <c r="B5295">
        <v>0</v>
      </c>
      <c r="C5295" s="16" t="s">
        <v>14471</v>
      </c>
      <c r="D5295" s="16"/>
      <c r="E5295">
        <v>6</v>
      </c>
      <c r="F5295" t="s">
        <v>7288</v>
      </c>
      <c r="G5295">
        <v>1</v>
      </c>
      <c r="H5295">
        <v>0</v>
      </c>
      <c r="I5295">
        <f>1</f>
        <v>1</v>
      </c>
    </row>
    <row r="5296" spans="2:9" x14ac:dyDescent="0.25">
      <c r="B5296">
        <v>0</v>
      </c>
      <c r="C5296" s="16" t="s">
        <v>14472</v>
      </c>
      <c r="D5296" s="16"/>
      <c r="E5296">
        <v>6</v>
      </c>
      <c r="F5296" t="e">
        <f>-Rolhas</f>
        <v>#NAME?</v>
      </c>
      <c r="G5296">
        <v>1</v>
      </c>
      <c r="H5296">
        <v>0</v>
      </c>
      <c r="I5296">
        <f>1</f>
        <v>1</v>
      </c>
    </row>
    <row r="5297" spans="2:9" x14ac:dyDescent="0.25">
      <c r="B5297">
        <v>0</v>
      </c>
      <c r="C5297" s="16" t="s">
        <v>14473</v>
      </c>
      <c r="D5297" s="16"/>
      <c r="E5297">
        <v>6</v>
      </c>
      <c r="F5297" t="e">
        <f>-Outras</f>
        <v>#NAME?</v>
      </c>
      <c r="G5297">
        <v>1</v>
      </c>
      <c r="H5297">
        <v>0</v>
      </c>
      <c r="I5297">
        <f>1</f>
        <v>1</v>
      </c>
    </row>
    <row r="5298" spans="2:9" x14ac:dyDescent="0.25">
      <c r="B5298">
        <v>0</v>
      </c>
      <c r="C5298" s="16" t="s">
        <v>14474</v>
      </c>
      <c r="D5298" s="16"/>
      <c r="E5298">
        <v>6</v>
      </c>
      <c r="F5298" t="s">
        <v>7289</v>
      </c>
      <c r="G5298">
        <v>1</v>
      </c>
      <c r="H5298">
        <v>0</v>
      </c>
      <c r="I5298">
        <f>1</f>
        <v>1</v>
      </c>
    </row>
    <row r="5299" spans="2:9" x14ac:dyDescent="0.25">
      <c r="B5299">
        <v>0</v>
      </c>
      <c r="C5299" s="16" t="s">
        <v>14475</v>
      </c>
      <c r="D5299" s="16"/>
      <c r="E5299">
        <v>6</v>
      </c>
      <c r="F5299" t="e">
        <f>-Outras</f>
        <v>#NAME?</v>
      </c>
      <c r="G5299">
        <v>1</v>
      </c>
      <c r="H5299">
        <v>0</v>
      </c>
      <c r="I5299">
        <f>1</f>
        <v>1</v>
      </c>
    </row>
    <row r="5300" spans="2:9" x14ac:dyDescent="0.25">
      <c r="B5300">
        <v>0</v>
      </c>
      <c r="C5300" s="16" t="s">
        <v>14476</v>
      </c>
      <c r="D5300" s="16"/>
      <c r="E5300">
        <v>6</v>
      </c>
      <c r="F5300" t="e">
        <f>--De bambu</f>
        <v>#NAME?</v>
      </c>
      <c r="G5300">
        <v>1</v>
      </c>
      <c r="H5300">
        <v>0</v>
      </c>
      <c r="I5300">
        <f>1</f>
        <v>1</v>
      </c>
    </row>
    <row r="5301" spans="2:9" x14ac:dyDescent="0.25">
      <c r="B5301">
        <v>0</v>
      </c>
      <c r="C5301" s="16" t="s">
        <v>14477</v>
      </c>
      <c r="D5301" s="16"/>
      <c r="E5301">
        <v>6</v>
      </c>
      <c r="F5301" t="e">
        <f>--De rotim</f>
        <v>#NAME?</v>
      </c>
      <c r="G5301">
        <v>1</v>
      </c>
      <c r="H5301">
        <v>0</v>
      </c>
      <c r="I5301">
        <f>1</f>
        <v>1</v>
      </c>
    </row>
    <row r="5302" spans="2:9" x14ac:dyDescent="0.25">
      <c r="B5302">
        <v>0</v>
      </c>
      <c r="C5302" s="16" t="s">
        <v>14478</v>
      </c>
      <c r="D5302" s="16"/>
      <c r="E5302">
        <v>6</v>
      </c>
      <c r="F5302" t="e">
        <f>--Outras</f>
        <v>#NAME?</v>
      </c>
      <c r="G5302">
        <v>1</v>
      </c>
      <c r="H5302">
        <v>0</v>
      </c>
      <c r="I5302">
        <f>1</f>
        <v>1</v>
      </c>
    </row>
    <row r="5303" spans="2:9" x14ac:dyDescent="0.25">
      <c r="B5303">
        <v>0</v>
      </c>
      <c r="C5303" s="16" t="s">
        <v>14479</v>
      </c>
      <c r="D5303" s="16"/>
      <c r="E5303">
        <v>6</v>
      </c>
      <c r="F5303" t="e">
        <f>--De bambu</f>
        <v>#NAME?</v>
      </c>
      <c r="G5303">
        <v>1</v>
      </c>
      <c r="H5303">
        <v>0</v>
      </c>
      <c r="I5303">
        <f>1</f>
        <v>1</v>
      </c>
    </row>
    <row r="5304" spans="2:9" x14ac:dyDescent="0.25">
      <c r="B5304">
        <v>0</v>
      </c>
      <c r="C5304" s="16" t="s">
        <v>14480</v>
      </c>
      <c r="D5304" s="16"/>
      <c r="E5304">
        <v>6</v>
      </c>
      <c r="F5304" t="e">
        <f>--De rotim</f>
        <v>#NAME?</v>
      </c>
      <c r="G5304">
        <v>1</v>
      </c>
      <c r="H5304">
        <v>0</v>
      </c>
      <c r="I5304">
        <f>1</f>
        <v>1</v>
      </c>
    </row>
    <row r="5305" spans="2:9" x14ac:dyDescent="0.25">
      <c r="B5305">
        <v>0</v>
      </c>
      <c r="C5305" s="16" t="s">
        <v>14481</v>
      </c>
      <c r="D5305" s="16"/>
      <c r="E5305">
        <v>6</v>
      </c>
      <c r="F5305" t="e">
        <f>--De Outras matérias vegetais</f>
        <v>#NAME?</v>
      </c>
      <c r="G5305">
        <v>1</v>
      </c>
      <c r="H5305">
        <v>0</v>
      </c>
      <c r="I5305">
        <f>1</f>
        <v>1</v>
      </c>
    </row>
    <row r="5306" spans="2:9" x14ac:dyDescent="0.25">
      <c r="B5306">
        <v>0</v>
      </c>
      <c r="C5306" s="16" t="s">
        <v>14482</v>
      </c>
      <c r="D5306" s="16"/>
      <c r="E5306">
        <v>6</v>
      </c>
      <c r="F5306" t="e">
        <f>--Outras</f>
        <v>#NAME?</v>
      </c>
      <c r="G5306">
        <v>1</v>
      </c>
      <c r="H5306">
        <v>0</v>
      </c>
      <c r="I5306">
        <f>1</f>
        <v>1</v>
      </c>
    </row>
    <row r="5307" spans="2:9" x14ac:dyDescent="0.25">
      <c r="B5307">
        <v>0</v>
      </c>
      <c r="C5307" s="16" t="s">
        <v>14483</v>
      </c>
      <c r="D5307" s="16"/>
      <c r="E5307">
        <v>6</v>
      </c>
      <c r="F5307" t="e">
        <f>--De bambu</f>
        <v>#NAME?</v>
      </c>
      <c r="G5307">
        <v>1</v>
      </c>
      <c r="H5307">
        <v>0</v>
      </c>
      <c r="I5307">
        <f>1</f>
        <v>1</v>
      </c>
    </row>
    <row r="5308" spans="2:9" x14ac:dyDescent="0.25">
      <c r="B5308">
        <v>0</v>
      </c>
      <c r="C5308" s="16" t="s">
        <v>14484</v>
      </c>
      <c r="D5308" s="16"/>
      <c r="E5308">
        <v>6</v>
      </c>
      <c r="F5308" t="e">
        <f>--De rotim</f>
        <v>#NAME?</v>
      </c>
      <c r="G5308">
        <v>1</v>
      </c>
      <c r="H5308">
        <v>0</v>
      </c>
      <c r="I5308">
        <f>1</f>
        <v>1</v>
      </c>
    </row>
    <row r="5309" spans="2:9" x14ac:dyDescent="0.25">
      <c r="B5309">
        <v>0</v>
      </c>
      <c r="C5309" s="16" t="s">
        <v>14485</v>
      </c>
      <c r="D5309" s="16"/>
      <c r="E5309">
        <v>6</v>
      </c>
      <c r="F5309" t="e">
        <f>--Outras</f>
        <v>#NAME?</v>
      </c>
      <c r="G5309">
        <v>1</v>
      </c>
      <c r="H5309">
        <v>0</v>
      </c>
      <c r="I5309">
        <f>1</f>
        <v>1</v>
      </c>
    </row>
    <row r="5310" spans="2:9" x14ac:dyDescent="0.25">
      <c r="B5310">
        <v>0</v>
      </c>
      <c r="C5310" s="16" t="s">
        <v>14486</v>
      </c>
      <c r="D5310" s="16"/>
      <c r="E5310">
        <v>6</v>
      </c>
      <c r="F5310" t="e">
        <f>-Outras</f>
        <v>#NAME?</v>
      </c>
      <c r="G5310">
        <v>1</v>
      </c>
      <c r="H5310">
        <v>0</v>
      </c>
      <c r="I5310">
        <f>1</f>
        <v>1</v>
      </c>
    </row>
    <row r="5311" spans="2:9" x14ac:dyDescent="0.25">
      <c r="B5311">
        <v>0</v>
      </c>
      <c r="C5311" s="16" t="s">
        <v>14487</v>
      </c>
      <c r="D5311" s="16"/>
      <c r="E5311">
        <v>6</v>
      </c>
      <c r="F5311" t="s">
        <v>7290</v>
      </c>
      <c r="G5311">
        <v>1</v>
      </c>
      <c r="H5311">
        <v>1</v>
      </c>
      <c r="I5311">
        <f>1</f>
        <v>1</v>
      </c>
    </row>
    <row r="5312" spans="2:9" x14ac:dyDescent="0.25">
      <c r="B5312">
        <v>0</v>
      </c>
      <c r="C5312" s="16" t="s">
        <v>14488</v>
      </c>
      <c r="D5312" s="16"/>
      <c r="E5312">
        <v>6</v>
      </c>
      <c r="F5312" t="s">
        <v>7291</v>
      </c>
      <c r="G5312">
        <v>1</v>
      </c>
      <c r="H5312">
        <v>1</v>
      </c>
      <c r="I5312">
        <f>1</f>
        <v>1</v>
      </c>
    </row>
    <row r="5313" spans="2:9" x14ac:dyDescent="0.25">
      <c r="B5313">
        <v>0</v>
      </c>
      <c r="C5313" s="16" t="s">
        <v>14489</v>
      </c>
      <c r="D5313" s="16"/>
      <c r="E5313">
        <v>6</v>
      </c>
      <c r="F5313" t="e">
        <f>--De coníferas</f>
        <v>#NAME?</v>
      </c>
      <c r="G5313">
        <v>1</v>
      </c>
      <c r="H5313">
        <v>1</v>
      </c>
      <c r="I5313">
        <f>1</f>
        <v>1</v>
      </c>
    </row>
    <row r="5314" spans="2:9" x14ac:dyDescent="0.25">
      <c r="B5314">
        <v>0</v>
      </c>
      <c r="C5314" s="16" t="s">
        <v>14490</v>
      </c>
      <c r="D5314" s="16"/>
      <c r="E5314">
        <v>6</v>
      </c>
      <c r="F5314" t="e">
        <f>--De Não coníferas</f>
        <v>#NAME?</v>
      </c>
      <c r="G5314">
        <v>1</v>
      </c>
      <c r="H5314">
        <v>1</v>
      </c>
      <c r="I5314">
        <f>1</f>
        <v>1</v>
      </c>
    </row>
    <row r="5315" spans="2:9" x14ac:dyDescent="0.25">
      <c r="B5315">
        <v>0</v>
      </c>
      <c r="C5315" s="16" t="s">
        <v>14491</v>
      </c>
      <c r="D5315" s="16"/>
      <c r="E5315">
        <v>6</v>
      </c>
      <c r="F5315" t="e">
        <f>--De coníferas</f>
        <v>#NAME?</v>
      </c>
      <c r="G5315">
        <v>1</v>
      </c>
      <c r="H5315">
        <v>1</v>
      </c>
      <c r="I5315">
        <f>1</f>
        <v>1</v>
      </c>
    </row>
    <row r="5316" spans="2:9" x14ac:dyDescent="0.25">
      <c r="B5316">
        <v>0</v>
      </c>
      <c r="C5316" s="16" t="s">
        <v>14492</v>
      </c>
      <c r="D5316" s="16"/>
      <c r="E5316">
        <v>6</v>
      </c>
      <c r="F5316" t="e">
        <f>--De Não coníferas</f>
        <v>#NAME?</v>
      </c>
      <c r="G5316">
        <v>1</v>
      </c>
      <c r="H5316">
        <v>1</v>
      </c>
      <c r="I5316">
        <f>1</f>
        <v>1</v>
      </c>
    </row>
    <row r="5317" spans="2:9" x14ac:dyDescent="0.25">
      <c r="B5317">
        <v>0</v>
      </c>
      <c r="C5317" s="16" t="s">
        <v>14493</v>
      </c>
      <c r="D5317" s="16"/>
      <c r="E5317">
        <v>6</v>
      </c>
      <c r="F5317" t="e">
        <f>--De coníferas</f>
        <v>#NAME?</v>
      </c>
      <c r="G5317">
        <v>1</v>
      </c>
      <c r="H5317">
        <v>1</v>
      </c>
      <c r="I5317">
        <f>1</f>
        <v>1</v>
      </c>
    </row>
    <row r="5318" spans="2:9" x14ac:dyDescent="0.25">
      <c r="B5318">
        <v>0</v>
      </c>
      <c r="C5318" s="16" t="s">
        <v>14494</v>
      </c>
      <c r="D5318" s="16"/>
      <c r="E5318">
        <v>6</v>
      </c>
      <c r="F5318" t="e">
        <f>--De Não coníferas</f>
        <v>#NAME?</v>
      </c>
      <c r="G5318">
        <v>1</v>
      </c>
      <c r="H5318">
        <v>1</v>
      </c>
      <c r="I5318">
        <f>1</f>
        <v>1</v>
      </c>
    </row>
    <row r="5319" spans="2:9" x14ac:dyDescent="0.25">
      <c r="B5319">
        <v>0</v>
      </c>
      <c r="C5319" s="16" t="s">
        <v>14495</v>
      </c>
      <c r="D5319" s="16"/>
      <c r="E5319">
        <v>6</v>
      </c>
      <c r="F5319" t="e">
        <f>--De coníferas</f>
        <v>#NAME?</v>
      </c>
      <c r="G5319">
        <v>1</v>
      </c>
      <c r="H5319">
        <v>1</v>
      </c>
      <c r="I5319">
        <f>1</f>
        <v>1</v>
      </c>
    </row>
    <row r="5320" spans="2:9" x14ac:dyDescent="0.25">
      <c r="B5320">
        <v>0</v>
      </c>
      <c r="C5320" s="16" t="s">
        <v>14496</v>
      </c>
      <c r="D5320" s="16"/>
      <c r="E5320">
        <v>6</v>
      </c>
      <c r="F5320" t="e">
        <f>--De Não coníferas</f>
        <v>#NAME?</v>
      </c>
      <c r="G5320">
        <v>1</v>
      </c>
      <c r="H5320">
        <v>1</v>
      </c>
      <c r="I5320">
        <f>1</f>
        <v>1</v>
      </c>
    </row>
    <row r="5321" spans="2:9" x14ac:dyDescent="0.25">
      <c r="B5321">
        <v>0</v>
      </c>
      <c r="C5321" s="16" t="s">
        <v>14497</v>
      </c>
      <c r="D5321" s="16"/>
      <c r="E5321">
        <v>6</v>
      </c>
      <c r="F5321" t="s">
        <v>7292</v>
      </c>
      <c r="G5321">
        <v>1</v>
      </c>
      <c r="H5321">
        <v>1</v>
      </c>
      <c r="I5321">
        <f>1</f>
        <v>1</v>
      </c>
    </row>
    <row r="5322" spans="2:9" x14ac:dyDescent="0.25">
      <c r="B5322">
        <v>0</v>
      </c>
      <c r="C5322" s="16" t="s">
        <v>14498</v>
      </c>
      <c r="D5322" s="16"/>
      <c r="E5322">
        <v>6</v>
      </c>
      <c r="F5322" t="e">
        <f>-pastas De línteres De algodão</f>
        <v>#NAME?</v>
      </c>
      <c r="G5322">
        <v>1</v>
      </c>
      <c r="H5322">
        <v>1</v>
      </c>
      <c r="I5322">
        <f>1</f>
        <v>1</v>
      </c>
    </row>
    <row r="5323" spans="2:9" x14ac:dyDescent="0.25">
      <c r="B5323">
        <v>0</v>
      </c>
      <c r="C5323" s="16" t="s">
        <v>14499</v>
      </c>
      <c r="D5323" s="16"/>
      <c r="E5323">
        <v>6</v>
      </c>
      <c r="F5323" t="e">
        <f>-pastas De fibras obtidas a partir De papel ou De cartão reciclados  desperdícios e Aparas</f>
        <v>#NAME?</v>
      </c>
      <c r="G5323">
        <v>1</v>
      </c>
      <c r="H5323">
        <v>1</v>
      </c>
      <c r="I5323">
        <f>1</f>
        <v>1</v>
      </c>
    </row>
    <row r="5324" spans="2:9" x14ac:dyDescent="0.25">
      <c r="B5324">
        <v>0</v>
      </c>
      <c r="C5324" s="16" t="s">
        <v>14500</v>
      </c>
      <c r="D5324" s="16"/>
      <c r="E5324">
        <v>6</v>
      </c>
      <c r="F5324" t="s">
        <v>7293</v>
      </c>
      <c r="G5324">
        <v>1</v>
      </c>
      <c r="H5324">
        <v>1</v>
      </c>
      <c r="I5324">
        <f>1</f>
        <v>1</v>
      </c>
    </row>
    <row r="5325" spans="2:9" x14ac:dyDescent="0.25">
      <c r="B5325">
        <v>0</v>
      </c>
      <c r="C5325" s="16" t="s">
        <v>14501</v>
      </c>
      <c r="D5325" s="16"/>
      <c r="E5325">
        <v>6</v>
      </c>
      <c r="F5325" t="e">
        <f>--Mecânicas</f>
        <v>#NAME?</v>
      </c>
      <c r="G5325">
        <v>1</v>
      </c>
      <c r="H5325">
        <v>1</v>
      </c>
      <c r="I5325">
        <f>1</f>
        <v>1</v>
      </c>
    </row>
    <row r="5326" spans="2:9" x14ac:dyDescent="0.25">
      <c r="B5326">
        <v>0</v>
      </c>
      <c r="C5326" s="16" t="s">
        <v>14502</v>
      </c>
      <c r="D5326" s="16"/>
      <c r="E5326">
        <v>6</v>
      </c>
      <c r="F5326" t="e">
        <f>--químicas</f>
        <v>#NAME?</v>
      </c>
      <c r="G5326">
        <v>1</v>
      </c>
      <c r="H5326">
        <v>1</v>
      </c>
      <c r="I5326">
        <f>1</f>
        <v>1</v>
      </c>
    </row>
    <row r="5327" spans="2:9" x14ac:dyDescent="0.25">
      <c r="B5327">
        <v>0</v>
      </c>
      <c r="C5327" s="16" t="s">
        <v>14503</v>
      </c>
      <c r="D5327" s="16"/>
      <c r="E5327">
        <v>6</v>
      </c>
      <c r="F5327" t="e">
        <f>--obtidas por combinação De um tratamento mecânico Com um tratamento químico</f>
        <v>#NAME?</v>
      </c>
      <c r="G5327">
        <v>1</v>
      </c>
      <c r="H5327">
        <v>1</v>
      </c>
      <c r="I5327">
        <f>1</f>
        <v>1</v>
      </c>
    </row>
    <row r="5328" spans="2:9" x14ac:dyDescent="0.25">
      <c r="B5328">
        <v>0</v>
      </c>
      <c r="C5328" s="16" t="s">
        <v>14504</v>
      </c>
      <c r="D5328" s="16"/>
      <c r="E5328">
        <v>6</v>
      </c>
      <c r="F5328" t="s">
        <v>7294</v>
      </c>
      <c r="G5328">
        <v>1</v>
      </c>
      <c r="H5328">
        <v>1</v>
      </c>
      <c r="I5328">
        <f>1</f>
        <v>1</v>
      </c>
    </row>
    <row r="5329" spans="2:9" x14ac:dyDescent="0.25">
      <c r="B5329">
        <v>0</v>
      </c>
      <c r="C5329" s="16" t="s">
        <v>14505</v>
      </c>
      <c r="D5329" s="16"/>
      <c r="E5329">
        <v>6</v>
      </c>
      <c r="F5329" t="s">
        <v>7295</v>
      </c>
      <c r="G5329">
        <v>1</v>
      </c>
      <c r="H5329">
        <v>1</v>
      </c>
      <c r="I5329">
        <f>1</f>
        <v>1</v>
      </c>
    </row>
    <row r="5330" spans="2:9" x14ac:dyDescent="0.25">
      <c r="B5330">
        <v>0</v>
      </c>
      <c r="C5330" s="16" t="s">
        <v>14506</v>
      </c>
      <c r="D5330" s="16"/>
      <c r="E5330">
        <v>6</v>
      </c>
      <c r="F5330" t="s">
        <v>7296</v>
      </c>
      <c r="G5330">
        <v>1</v>
      </c>
      <c r="H5330">
        <v>1</v>
      </c>
      <c r="I5330">
        <f>1</f>
        <v>1</v>
      </c>
    </row>
    <row r="5331" spans="2:9" x14ac:dyDescent="0.25">
      <c r="B5331">
        <v>0</v>
      </c>
      <c r="C5331" s="16" t="s">
        <v>14507</v>
      </c>
      <c r="D5331" s="16"/>
      <c r="E5331">
        <v>6</v>
      </c>
      <c r="F5331" t="s">
        <v>7297</v>
      </c>
      <c r="G5331">
        <v>1</v>
      </c>
      <c r="H5331">
        <v>1</v>
      </c>
      <c r="I5331">
        <f>1</f>
        <v>1</v>
      </c>
    </row>
    <row r="5332" spans="2:9" x14ac:dyDescent="0.25">
      <c r="B5332">
        <v>0</v>
      </c>
      <c r="C5332" s="16" t="s">
        <v>14508</v>
      </c>
      <c r="D5332" s="16"/>
      <c r="E5332">
        <v>6</v>
      </c>
      <c r="F5332" t="s">
        <v>7298</v>
      </c>
      <c r="G5332">
        <v>1</v>
      </c>
      <c r="H5332">
        <v>1</v>
      </c>
      <c r="I5332">
        <f>1</f>
        <v>1</v>
      </c>
    </row>
    <row r="5333" spans="2:9" x14ac:dyDescent="0.25">
      <c r="B5333">
        <v>0</v>
      </c>
      <c r="C5333" s="16" t="s">
        <v>14509</v>
      </c>
      <c r="D5333" s="16"/>
      <c r="E5333">
        <v>6</v>
      </c>
      <c r="F5333" t="s">
        <v>4680</v>
      </c>
      <c r="G5333">
        <v>1</v>
      </c>
      <c r="H5333">
        <v>1</v>
      </c>
      <c r="I5333">
        <f>1</f>
        <v>1</v>
      </c>
    </row>
    <row r="5334" spans="2:9" x14ac:dyDescent="0.25">
      <c r="B5334">
        <v>0</v>
      </c>
      <c r="C5334" s="16" t="s">
        <v>14510</v>
      </c>
      <c r="D5334" s="16"/>
      <c r="E5334">
        <v>6</v>
      </c>
      <c r="F5334" t="e">
        <f>-papel e cartão feitos a mão  folha a folha</f>
        <v>#NAME?</v>
      </c>
      <c r="G5334">
        <v>1</v>
      </c>
      <c r="H5334">
        <v>1</v>
      </c>
      <c r="I5334">
        <f>1</f>
        <v>1</v>
      </c>
    </row>
    <row r="5335" spans="2:9" x14ac:dyDescent="0.25">
      <c r="B5335">
        <v>0</v>
      </c>
      <c r="C5335" s="16" t="s">
        <v>14511</v>
      </c>
      <c r="D5335" s="16"/>
      <c r="E5335">
        <v>6</v>
      </c>
      <c r="F5335" t="s">
        <v>7299</v>
      </c>
      <c r="G5335">
        <v>1</v>
      </c>
      <c r="H5335">
        <v>1</v>
      </c>
      <c r="I5335">
        <f>1</f>
        <v>1</v>
      </c>
    </row>
    <row r="5336" spans="2:9" x14ac:dyDescent="0.25">
      <c r="B5336">
        <v>0</v>
      </c>
      <c r="C5336" s="16" t="s">
        <v>14512</v>
      </c>
      <c r="D5336" s="16"/>
      <c r="E5336">
        <v>6</v>
      </c>
      <c r="F5336" t="s">
        <v>4680</v>
      </c>
      <c r="G5336">
        <v>1</v>
      </c>
      <c r="H5336">
        <v>1</v>
      </c>
      <c r="I5336">
        <f>1</f>
        <v>1</v>
      </c>
    </row>
    <row r="5337" spans="2:9" x14ac:dyDescent="0.25">
      <c r="B5337">
        <v>0</v>
      </c>
      <c r="C5337" s="16" t="s">
        <v>14513</v>
      </c>
      <c r="D5337" s="16"/>
      <c r="E5337">
        <v>6</v>
      </c>
      <c r="F5337" t="s">
        <v>7300</v>
      </c>
      <c r="G5337">
        <v>1</v>
      </c>
      <c r="H5337">
        <v>1</v>
      </c>
      <c r="I5337">
        <f>1</f>
        <v>1</v>
      </c>
    </row>
    <row r="5338" spans="2:9" x14ac:dyDescent="0.25">
      <c r="B5338">
        <v>0</v>
      </c>
      <c r="C5338" s="16" t="s">
        <v>14514</v>
      </c>
      <c r="D5338" s="16"/>
      <c r="E5338">
        <v>6</v>
      </c>
      <c r="F5338" t="s">
        <v>4680</v>
      </c>
      <c r="G5338">
        <v>1</v>
      </c>
      <c r="H5338">
        <v>1</v>
      </c>
      <c r="I5338">
        <f>1</f>
        <v>1</v>
      </c>
    </row>
    <row r="5339" spans="2:9" x14ac:dyDescent="0.25">
      <c r="B5339">
        <v>0</v>
      </c>
      <c r="C5339" s="16" t="s">
        <v>14515</v>
      </c>
      <c r="D5339" s="16"/>
      <c r="E5339">
        <v>6</v>
      </c>
      <c r="F5339" t="s">
        <v>7299</v>
      </c>
      <c r="G5339">
        <v>1</v>
      </c>
      <c r="H5339">
        <v>1</v>
      </c>
      <c r="I5339">
        <f>1</f>
        <v>1</v>
      </c>
    </row>
    <row r="5340" spans="2:9" x14ac:dyDescent="0.25">
      <c r="B5340">
        <v>0</v>
      </c>
      <c r="C5340" s="16" t="s">
        <v>14516</v>
      </c>
      <c r="D5340" s="16"/>
      <c r="E5340">
        <v>6</v>
      </c>
      <c r="F5340" t="s">
        <v>7301</v>
      </c>
      <c r="G5340">
        <v>1</v>
      </c>
      <c r="H5340">
        <v>1</v>
      </c>
      <c r="I5340">
        <f>1</f>
        <v>1</v>
      </c>
    </row>
    <row r="5341" spans="2:9" x14ac:dyDescent="0.25">
      <c r="B5341">
        <v>0</v>
      </c>
      <c r="C5341" s="16" t="s">
        <v>14517</v>
      </c>
      <c r="D5341" s="16"/>
      <c r="E5341">
        <v>6</v>
      </c>
      <c r="F5341" t="s">
        <v>4680</v>
      </c>
      <c r="G5341">
        <v>1</v>
      </c>
      <c r="H5341">
        <v>1</v>
      </c>
      <c r="I5341">
        <f>1</f>
        <v>1</v>
      </c>
    </row>
    <row r="5342" spans="2:9" x14ac:dyDescent="0.25">
      <c r="B5342">
        <v>0</v>
      </c>
      <c r="C5342" s="16" t="s">
        <v>14518</v>
      </c>
      <c r="D5342" s="16"/>
      <c r="E5342">
        <v>6</v>
      </c>
      <c r="F5342" t="s">
        <v>7302</v>
      </c>
      <c r="G5342">
        <v>1</v>
      </c>
      <c r="H5342">
        <v>1</v>
      </c>
      <c r="I5342">
        <f>1</f>
        <v>1</v>
      </c>
    </row>
    <row r="5343" spans="2:9" x14ac:dyDescent="0.25">
      <c r="B5343">
        <v>0</v>
      </c>
      <c r="C5343" s="16" t="s">
        <v>14519</v>
      </c>
      <c r="D5343" s="16"/>
      <c r="E5343">
        <v>6</v>
      </c>
      <c r="F5343" t="s">
        <v>7303</v>
      </c>
      <c r="G5343">
        <v>1</v>
      </c>
      <c r="H5343">
        <v>1</v>
      </c>
      <c r="I5343">
        <f>1</f>
        <v>1</v>
      </c>
    </row>
    <row r="5344" spans="2:9" x14ac:dyDescent="0.25">
      <c r="B5344">
        <v>0</v>
      </c>
      <c r="C5344" s="16" t="s">
        <v>14520</v>
      </c>
      <c r="D5344" s="16"/>
      <c r="E5344">
        <v>6</v>
      </c>
      <c r="F5344" t="s">
        <v>7304</v>
      </c>
      <c r="G5344">
        <v>1</v>
      </c>
      <c r="H5344">
        <v>1</v>
      </c>
      <c r="I5344">
        <f>1</f>
        <v>1</v>
      </c>
    </row>
    <row r="5345" spans="2:9" x14ac:dyDescent="0.25">
      <c r="B5345">
        <v>0</v>
      </c>
      <c r="C5345" s="16" t="s">
        <v>14521</v>
      </c>
      <c r="D5345" s="16"/>
      <c r="E5345">
        <v>6</v>
      </c>
      <c r="F5345" t="s">
        <v>4680</v>
      </c>
      <c r="G5345">
        <v>1</v>
      </c>
      <c r="H5345">
        <v>1</v>
      </c>
      <c r="I5345">
        <f>1</f>
        <v>1</v>
      </c>
    </row>
    <row r="5346" spans="2:9" x14ac:dyDescent="0.25">
      <c r="B5346">
        <v>0</v>
      </c>
      <c r="C5346" s="16" t="s">
        <v>14522</v>
      </c>
      <c r="D5346" s="16"/>
      <c r="E5346">
        <v>6</v>
      </c>
      <c r="F5346" t="s">
        <v>7305</v>
      </c>
      <c r="G5346">
        <v>1</v>
      </c>
      <c r="H5346">
        <v>1</v>
      </c>
      <c r="I5346">
        <f>1</f>
        <v>1</v>
      </c>
    </row>
    <row r="5347" spans="2:9" x14ac:dyDescent="0.25">
      <c r="B5347">
        <v>0</v>
      </c>
      <c r="C5347" s="16" t="s">
        <v>14523</v>
      </c>
      <c r="D5347" s="16"/>
      <c r="E5347">
        <v>6</v>
      </c>
      <c r="F5347" t="s">
        <v>7306</v>
      </c>
      <c r="G5347">
        <v>1</v>
      </c>
      <c r="H5347">
        <v>1</v>
      </c>
      <c r="I5347">
        <f>1</f>
        <v>1</v>
      </c>
    </row>
    <row r="5348" spans="2:9" x14ac:dyDescent="0.25">
      <c r="B5348">
        <v>0</v>
      </c>
      <c r="C5348" s="16" t="s">
        <v>14524</v>
      </c>
      <c r="D5348" s="16"/>
      <c r="E5348">
        <v>6</v>
      </c>
      <c r="F5348" t="s">
        <v>7303</v>
      </c>
      <c r="G5348">
        <v>1</v>
      </c>
      <c r="H5348">
        <v>1</v>
      </c>
      <c r="I5348">
        <f>1</f>
        <v>1</v>
      </c>
    </row>
    <row r="5349" spans="2:9" x14ac:dyDescent="0.25">
      <c r="B5349">
        <v>0</v>
      </c>
      <c r="C5349" s="16" t="s">
        <v>14525</v>
      </c>
      <c r="D5349" s="16"/>
      <c r="E5349">
        <v>6</v>
      </c>
      <c r="F5349" t="s">
        <v>7304</v>
      </c>
      <c r="G5349">
        <v>1</v>
      </c>
      <c r="H5349">
        <v>1</v>
      </c>
      <c r="I5349">
        <f>1</f>
        <v>1</v>
      </c>
    </row>
    <row r="5350" spans="2:9" x14ac:dyDescent="0.25">
      <c r="B5350">
        <v>0</v>
      </c>
      <c r="C5350" s="16" t="s">
        <v>14526</v>
      </c>
      <c r="D5350" s="16"/>
      <c r="E5350">
        <v>6</v>
      </c>
      <c r="F5350" t="s">
        <v>4680</v>
      </c>
      <c r="G5350">
        <v>1</v>
      </c>
      <c r="H5350">
        <v>1</v>
      </c>
      <c r="I5350">
        <f>1</f>
        <v>1</v>
      </c>
    </row>
    <row r="5351" spans="2:9" x14ac:dyDescent="0.25">
      <c r="B5351">
        <v>0</v>
      </c>
      <c r="C5351" s="16" t="s">
        <v>14527</v>
      </c>
      <c r="D5351" s="16"/>
      <c r="E5351">
        <v>6</v>
      </c>
      <c r="F5351" t="s">
        <v>7307</v>
      </c>
      <c r="G5351">
        <v>1</v>
      </c>
      <c r="H5351">
        <v>1</v>
      </c>
      <c r="I5351">
        <f>1</f>
        <v>1</v>
      </c>
    </row>
    <row r="5352" spans="2:9" x14ac:dyDescent="0.25">
      <c r="B5352">
        <v>0</v>
      </c>
      <c r="C5352" s="16" t="s">
        <v>14528</v>
      </c>
      <c r="D5352" s="16"/>
      <c r="E5352">
        <v>6</v>
      </c>
      <c r="F5352" t="s">
        <v>7306</v>
      </c>
      <c r="G5352">
        <v>1</v>
      </c>
      <c r="H5352">
        <v>1</v>
      </c>
      <c r="I5352">
        <f>1</f>
        <v>1</v>
      </c>
    </row>
    <row r="5353" spans="2:9" x14ac:dyDescent="0.25">
      <c r="B5353">
        <v>0</v>
      </c>
      <c r="C5353" s="16" t="s">
        <v>14529</v>
      </c>
      <c r="D5353" s="16"/>
      <c r="E5353">
        <v>6</v>
      </c>
      <c r="F5353" t="s">
        <v>7303</v>
      </c>
      <c r="G5353">
        <v>1</v>
      </c>
      <c r="H5353">
        <v>1</v>
      </c>
      <c r="I5353">
        <f>1</f>
        <v>1</v>
      </c>
    </row>
    <row r="5354" spans="2:9" x14ac:dyDescent="0.25">
      <c r="B5354">
        <v>0</v>
      </c>
      <c r="C5354" s="16" t="s">
        <v>14530</v>
      </c>
      <c r="D5354" s="16"/>
      <c r="E5354">
        <v>6</v>
      </c>
      <c r="F5354" t="s">
        <v>7304</v>
      </c>
      <c r="G5354">
        <v>1</v>
      </c>
      <c r="H5354">
        <v>1</v>
      </c>
      <c r="I5354">
        <f>1</f>
        <v>1</v>
      </c>
    </row>
    <row r="5355" spans="2:9" x14ac:dyDescent="0.25">
      <c r="B5355">
        <v>0</v>
      </c>
      <c r="C5355" s="16" t="s">
        <v>14531</v>
      </c>
      <c r="D5355" s="16"/>
      <c r="E5355">
        <v>6</v>
      </c>
      <c r="F5355" t="s">
        <v>4680</v>
      </c>
      <c r="G5355">
        <v>1</v>
      </c>
      <c r="H5355">
        <v>1</v>
      </c>
      <c r="I5355">
        <f>1</f>
        <v>1</v>
      </c>
    </row>
    <row r="5356" spans="2:9" x14ac:dyDescent="0.25">
      <c r="B5356">
        <v>0</v>
      </c>
      <c r="C5356" s="16" t="s">
        <v>14532</v>
      </c>
      <c r="D5356" s="16"/>
      <c r="E5356">
        <v>6</v>
      </c>
      <c r="F5356" t="s">
        <v>7299</v>
      </c>
      <c r="G5356">
        <v>1</v>
      </c>
      <c r="H5356">
        <v>1</v>
      </c>
      <c r="I5356">
        <f>1</f>
        <v>1</v>
      </c>
    </row>
    <row r="5357" spans="2:9" x14ac:dyDescent="0.25">
      <c r="B5357">
        <v>0</v>
      </c>
      <c r="C5357" s="16" t="s">
        <v>14533</v>
      </c>
      <c r="D5357" s="16"/>
      <c r="E5357">
        <v>6</v>
      </c>
      <c r="F5357" t="s">
        <v>7303</v>
      </c>
      <c r="G5357">
        <v>1</v>
      </c>
      <c r="H5357">
        <v>1</v>
      </c>
      <c r="I5357">
        <f>1</f>
        <v>1</v>
      </c>
    </row>
    <row r="5358" spans="2:9" x14ac:dyDescent="0.25">
      <c r="B5358">
        <v>0</v>
      </c>
      <c r="C5358" s="16" t="s">
        <v>14534</v>
      </c>
      <c r="D5358" s="16"/>
      <c r="E5358">
        <v>6</v>
      </c>
      <c r="F5358" t="s">
        <v>7304</v>
      </c>
      <c r="G5358">
        <v>1</v>
      </c>
      <c r="H5358">
        <v>1</v>
      </c>
      <c r="I5358">
        <f>1</f>
        <v>1</v>
      </c>
    </row>
    <row r="5359" spans="2:9" x14ac:dyDescent="0.25">
      <c r="B5359">
        <v>0</v>
      </c>
      <c r="C5359" s="16" t="s">
        <v>14535</v>
      </c>
      <c r="D5359" s="16"/>
      <c r="E5359">
        <v>6</v>
      </c>
      <c r="F5359" t="s">
        <v>4680</v>
      </c>
      <c r="G5359">
        <v>1</v>
      </c>
      <c r="H5359">
        <v>1</v>
      </c>
      <c r="I5359">
        <f>1</f>
        <v>1</v>
      </c>
    </row>
    <row r="5360" spans="2:9" x14ac:dyDescent="0.25">
      <c r="B5360">
        <v>0</v>
      </c>
      <c r="C5360" s="16" t="s">
        <v>14536</v>
      </c>
      <c r="D5360" s="16"/>
      <c r="E5360">
        <v>6</v>
      </c>
      <c r="F5360" t="s">
        <v>7302</v>
      </c>
      <c r="G5360">
        <v>1</v>
      </c>
      <c r="H5360">
        <v>1</v>
      </c>
      <c r="I5360">
        <f>1</f>
        <v>1</v>
      </c>
    </row>
    <row r="5361" spans="2:9" x14ac:dyDescent="0.25">
      <c r="B5361">
        <v>0</v>
      </c>
      <c r="C5361" s="16" t="s">
        <v>14537</v>
      </c>
      <c r="D5361" s="16"/>
      <c r="E5361">
        <v>6</v>
      </c>
      <c r="F5361" t="s">
        <v>7308</v>
      </c>
      <c r="G5361">
        <v>1</v>
      </c>
      <c r="H5361">
        <v>1</v>
      </c>
      <c r="I5361">
        <f>1</f>
        <v>1</v>
      </c>
    </row>
    <row r="5362" spans="2:9" x14ac:dyDescent="0.25">
      <c r="B5362">
        <v>0</v>
      </c>
      <c r="C5362" s="16" t="s">
        <v>14538</v>
      </c>
      <c r="D5362" s="16"/>
      <c r="E5362">
        <v>6</v>
      </c>
      <c r="F5362" t="s">
        <v>7304</v>
      </c>
      <c r="G5362">
        <v>1</v>
      </c>
      <c r="H5362">
        <v>1</v>
      </c>
      <c r="I5362">
        <f>1</f>
        <v>1</v>
      </c>
    </row>
    <row r="5363" spans="2:9" x14ac:dyDescent="0.25">
      <c r="B5363">
        <v>0</v>
      </c>
      <c r="C5363" s="16" t="s">
        <v>14539</v>
      </c>
      <c r="D5363" s="16"/>
      <c r="E5363">
        <v>6</v>
      </c>
      <c r="F5363" t="s">
        <v>4680</v>
      </c>
      <c r="G5363">
        <v>1</v>
      </c>
      <c r="H5363">
        <v>1</v>
      </c>
      <c r="I5363">
        <f>1</f>
        <v>1</v>
      </c>
    </row>
    <row r="5364" spans="2:9" x14ac:dyDescent="0.25">
      <c r="B5364">
        <v>0</v>
      </c>
      <c r="C5364" s="16" t="s">
        <v>14540</v>
      </c>
      <c r="D5364" s="16"/>
      <c r="E5364">
        <v>6</v>
      </c>
      <c r="F5364" t="s">
        <v>7305</v>
      </c>
      <c r="G5364">
        <v>1</v>
      </c>
      <c r="H5364">
        <v>1</v>
      </c>
      <c r="I5364">
        <f>1</f>
        <v>1</v>
      </c>
    </row>
    <row r="5365" spans="2:9" x14ac:dyDescent="0.25">
      <c r="B5365">
        <v>0</v>
      </c>
      <c r="C5365" s="16" t="s">
        <v>14541</v>
      </c>
      <c r="D5365" s="16"/>
      <c r="E5365">
        <v>6</v>
      </c>
      <c r="F5365" t="s">
        <v>7308</v>
      </c>
      <c r="G5365">
        <v>1</v>
      </c>
      <c r="H5365">
        <v>1</v>
      </c>
      <c r="I5365">
        <f>1</f>
        <v>1</v>
      </c>
    </row>
    <row r="5366" spans="2:9" x14ac:dyDescent="0.25">
      <c r="B5366">
        <v>0</v>
      </c>
      <c r="C5366" s="16" t="s">
        <v>14542</v>
      </c>
      <c r="D5366" s="16"/>
      <c r="E5366">
        <v>6</v>
      </c>
      <c r="F5366" t="s">
        <v>7304</v>
      </c>
      <c r="G5366">
        <v>1</v>
      </c>
      <c r="H5366">
        <v>1</v>
      </c>
      <c r="I5366">
        <f>1</f>
        <v>1</v>
      </c>
    </row>
    <row r="5367" spans="2:9" x14ac:dyDescent="0.25">
      <c r="B5367">
        <v>0</v>
      </c>
      <c r="C5367" s="16" t="s">
        <v>14543</v>
      </c>
      <c r="D5367" s="16"/>
      <c r="E5367">
        <v>6</v>
      </c>
      <c r="F5367" t="s">
        <v>4680</v>
      </c>
      <c r="G5367">
        <v>1</v>
      </c>
      <c r="H5367">
        <v>1</v>
      </c>
      <c r="I5367">
        <f>1</f>
        <v>1</v>
      </c>
    </row>
    <row r="5368" spans="2:9" x14ac:dyDescent="0.25">
      <c r="B5368">
        <v>0</v>
      </c>
      <c r="C5368" s="16" t="s">
        <v>14544</v>
      </c>
      <c r="D5368" s="16"/>
      <c r="E5368">
        <v>6</v>
      </c>
      <c r="F5368" t="s">
        <v>7307</v>
      </c>
      <c r="G5368">
        <v>1</v>
      </c>
      <c r="H5368">
        <v>1</v>
      </c>
      <c r="I5368">
        <f>1</f>
        <v>1</v>
      </c>
    </row>
    <row r="5369" spans="2:9" x14ac:dyDescent="0.25">
      <c r="B5369">
        <v>0</v>
      </c>
      <c r="C5369" s="16" t="s">
        <v>14545</v>
      </c>
      <c r="D5369" s="16"/>
      <c r="E5369">
        <v>6</v>
      </c>
      <c r="F5369" t="s">
        <v>7308</v>
      </c>
      <c r="G5369">
        <v>1</v>
      </c>
      <c r="H5369">
        <v>1</v>
      </c>
      <c r="I5369">
        <f>1</f>
        <v>1</v>
      </c>
    </row>
    <row r="5370" spans="2:9" x14ac:dyDescent="0.25">
      <c r="B5370">
        <v>0</v>
      </c>
      <c r="C5370" s="16" t="s">
        <v>14546</v>
      </c>
      <c r="D5370" s="16"/>
      <c r="E5370">
        <v>6</v>
      </c>
      <c r="F5370" t="s">
        <v>7304</v>
      </c>
      <c r="G5370">
        <v>1</v>
      </c>
      <c r="H5370">
        <v>1</v>
      </c>
      <c r="I5370">
        <f>1</f>
        <v>1</v>
      </c>
    </row>
    <row r="5371" spans="2:9" x14ac:dyDescent="0.25">
      <c r="B5371">
        <v>0</v>
      </c>
      <c r="C5371" s="16" t="s">
        <v>14547</v>
      </c>
      <c r="D5371" s="16"/>
      <c r="E5371">
        <v>6</v>
      </c>
      <c r="F5371" t="s">
        <v>4680</v>
      </c>
      <c r="G5371">
        <v>1</v>
      </c>
      <c r="H5371">
        <v>1</v>
      </c>
      <c r="I5371">
        <f>1</f>
        <v>1</v>
      </c>
    </row>
    <row r="5372" spans="2:9" x14ac:dyDescent="0.25">
      <c r="B5372">
        <v>0</v>
      </c>
      <c r="C5372" s="16" t="s">
        <v>14548</v>
      </c>
      <c r="D5372" s="16"/>
      <c r="E5372">
        <v>6</v>
      </c>
      <c r="F5372" t="s">
        <v>7309</v>
      </c>
      <c r="G5372">
        <v>1</v>
      </c>
      <c r="H5372">
        <v>1</v>
      </c>
      <c r="I5372">
        <f>1</f>
        <v>1</v>
      </c>
    </row>
    <row r="5373" spans="2:9" x14ac:dyDescent="0.25">
      <c r="B5373">
        <v>0</v>
      </c>
      <c r="C5373" s="16" t="s">
        <v>14549</v>
      </c>
      <c r="D5373" s="16"/>
      <c r="E5373">
        <v>6</v>
      </c>
      <c r="F5373" t="s">
        <v>4680</v>
      </c>
      <c r="G5373">
        <v>1</v>
      </c>
      <c r="H5373">
        <v>1</v>
      </c>
      <c r="I5373">
        <f>1</f>
        <v>1</v>
      </c>
    </row>
    <row r="5374" spans="2:9" x14ac:dyDescent="0.25">
      <c r="B5374">
        <v>0</v>
      </c>
      <c r="C5374" s="16" t="s">
        <v>14550</v>
      </c>
      <c r="D5374" s="16"/>
      <c r="E5374">
        <v>6</v>
      </c>
      <c r="F5374" t="e">
        <f>--Crus</f>
        <v>#NAME?</v>
      </c>
      <c r="G5374">
        <v>1</v>
      </c>
      <c r="H5374">
        <v>1</v>
      </c>
      <c r="I5374">
        <f>1</f>
        <v>1</v>
      </c>
    </row>
    <row r="5375" spans="2:9" x14ac:dyDescent="0.25">
      <c r="B5375">
        <v>0</v>
      </c>
      <c r="C5375" s="16" t="s">
        <v>14551</v>
      </c>
      <c r="D5375" s="16"/>
      <c r="E5375">
        <v>6</v>
      </c>
      <c r="F5375" t="e">
        <f>--outros</f>
        <v>#NAME?</v>
      </c>
      <c r="G5375">
        <v>1</v>
      </c>
      <c r="H5375">
        <v>1</v>
      </c>
      <c r="I5375">
        <f>1</f>
        <v>1</v>
      </c>
    </row>
    <row r="5376" spans="2:9" x14ac:dyDescent="0.25">
      <c r="B5376">
        <v>0</v>
      </c>
      <c r="C5376" s="16" t="s">
        <v>14552</v>
      </c>
      <c r="D5376" s="16"/>
      <c r="E5376">
        <v>6</v>
      </c>
      <c r="F5376" t="e">
        <f>--Crus</f>
        <v>#NAME?</v>
      </c>
      <c r="G5376">
        <v>1</v>
      </c>
      <c r="H5376">
        <v>1</v>
      </c>
      <c r="I5376">
        <f>1</f>
        <v>1</v>
      </c>
    </row>
    <row r="5377" spans="2:9" x14ac:dyDescent="0.25">
      <c r="B5377">
        <v>0</v>
      </c>
      <c r="C5377" s="16" t="s">
        <v>14553</v>
      </c>
      <c r="D5377" s="16"/>
      <c r="E5377">
        <v>6</v>
      </c>
      <c r="F5377" t="e">
        <f>--outros</f>
        <v>#NAME?</v>
      </c>
      <c r="G5377">
        <v>1</v>
      </c>
      <c r="H5377">
        <v>1</v>
      </c>
      <c r="I5377">
        <f>1</f>
        <v>1</v>
      </c>
    </row>
    <row r="5378" spans="2:9" x14ac:dyDescent="0.25">
      <c r="B5378">
        <v>0</v>
      </c>
      <c r="C5378" s="16" t="s">
        <v>14554</v>
      </c>
      <c r="D5378" s="16"/>
      <c r="E5378">
        <v>6</v>
      </c>
      <c r="F5378" t="s">
        <v>7310</v>
      </c>
      <c r="G5378">
        <v>1</v>
      </c>
      <c r="H5378">
        <v>1</v>
      </c>
      <c r="I5378">
        <f>1</f>
        <v>1</v>
      </c>
    </row>
    <row r="5379" spans="2:9" x14ac:dyDescent="0.25">
      <c r="B5379">
        <v>0</v>
      </c>
      <c r="C5379" s="16" t="s">
        <v>14555</v>
      </c>
      <c r="D5379" s="16"/>
      <c r="E5379">
        <v>6</v>
      </c>
      <c r="F5379" t="s">
        <v>4680</v>
      </c>
      <c r="G5379">
        <v>1</v>
      </c>
      <c r="H5379">
        <v>1</v>
      </c>
      <c r="I5379">
        <f>1</f>
        <v>1</v>
      </c>
    </row>
    <row r="5380" spans="2:9" x14ac:dyDescent="0.25">
      <c r="B5380">
        <v>0</v>
      </c>
      <c r="C5380" s="16" t="s">
        <v>14556</v>
      </c>
      <c r="D5380" s="16"/>
      <c r="E5380">
        <v>6</v>
      </c>
      <c r="F5380" t="s">
        <v>7310</v>
      </c>
      <c r="G5380">
        <v>1</v>
      </c>
      <c r="H5380">
        <v>1</v>
      </c>
      <c r="I5380">
        <f>1</f>
        <v>1</v>
      </c>
    </row>
    <row r="5381" spans="2:9" x14ac:dyDescent="0.25">
      <c r="B5381">
        <v>0</v>
      </c>
      <c r="C5381" s="16" t="s">
        <v>14557</v>
      </c>
      <c r="D5381" s="16"/>
      <c r="E5381">
        <v>6</v>
      </c>
      <c r="F5381" t="s">
        <v>4680</v>
      </c>
      <c r="G5381">
        <v>1</v>
      </c>
      <c r="H5381">
        <v>1</v>
      </c>
      <c r="I5381">
        <f>1</f>
        <v>1</v>
      </c>
    </row>
    <row r="5382" spans="2:9" x14ac:dyDescent="0.25">
      <c r="B5382">
        <v>0</v>
      </c>
      <c r="C5382" s="16" t="s">
        <v>14558</v>
      </c>
      <c r="D5382" s="16"/>
      <c r="E5382">
        <v>6</v>
      </c>
      <c r="F5382" t="e">
        <f>--Crus</f>
        <v>#NAME?</v>
      </c>
      <c r="G5382">
        <v>1</v>
      </c>
      <c r="H5382">
        <v>1</v>
      </c>
      <c r="I5382">
        <f>1</f>
        <v>1</v>
      </c>
    </row>
    <row r="5383" spans="2:9" x14ac:dyDescent="0.25">
      <c r="B5383">
        <v>0</v>
      </c>
      <c r="C5383" s="16" t="s">
        <v>14559</v>
      </c>
      <c r="D5383" s="16"/>
      <c r="E5383">
        <v>6</v>
      </c>
      <c r="F5383" t="s">
        <v>7311</v>
      </c>
      <c r="G5383">
        <v>1</v>
      </c>
      <c r="H5383">
        <v>1</v>
      </c>
      <c r="I5383">
        <f>1</f>
        <v>1</v>
      </c>
    </row>
    <row r="5384" spans="2:9" x14ac:dyDescent="0.25">
      <c r="B5384">
        <v>0</v>
      </c>
      <c r="C5384" s="16" t="s">
        <v>14560</v>
      </c>
      <c r="D5384" s="16"/>
      <c r="E5384">
        <v>6</v>
      </c>
      <c r="F5384" t="e">
        <f>--outros</f>
        <v>#NAME?</v>
      </c>
      <c r="G5384">
        <v>1</v>
      </c>
      <c r="H5384">
        <v>1</v>
      </c>
      <c r="I5384">
        <f>1</f>
        <v>1</v>
      </c>
    </row>
    <row r="5385" spans="2:9" x14ac:dyDescent="0.25">
      <c r="B5385">
        <v>0</v>
      </c>
      <c r="C5385" s="16" t="s">
        <v>14561</v>
      </c>
      <c r="D5385" s="16"/>
      <c r="E5385">
        <v>6</v>
      </c>
      <c r="F5385" t="e">
        <f>--Crus</f>
        <v>#NAME?</v>
      </c>
      <c r="G5385">
        <v>1</v>
      </c>
      <c r="H5385">
        <v>1</v>
      </c>
      <c r="I5385">
        <f>1</f>
        <v>1</v>
      </c>
    </row>
    <row r="5386" spans="2:9" x14ac:dyDescent="0.25">
      <c r="B5386">
        <v>0</v>
      </c>
      <c r="C5386" s="16" t="s">
        <v>14562</v>
      </c>
      <c r="D5386" s="16"/>
      <c r="E5386">
        <v>6</v>
      </c>
      <c r="F5386" t="s">
        <v>7311</v>
      </c>
      <c r="G5386">
        <v>1</v>
      </c>
      <c r="H5386">
        <v>1</v>
      </c>
      <c r="I5386">
        <f>1</f>
        <v>1</v>
      </c>
    </row>
    <row r="5387" spans="2:9" x14ac:dyDescent="0.25">
      <c r="B5387">
        <v>0</v>
      </c>
      <c r="C5387" s="16" t="s">
        <v>14563</v>
      </c>
      <c r="D5387" s="16"/>
      <c r="E5387">
        <v>6</v>
      </c>
      <c r="F5387" t="s">
        <v>7312</v>
      </c>
      <c r="G5387">
        <v>1</v>
      </c>
      <c r="H5387">
        <v>1</v>
      </c>
      <c r="I5387">
        <f>1</f>
        <v>1</v>
      </c>
    </row>
    <row r="5388" spans="2:9" x14ac:dyDescent="0.25">
      <c r="B5388">
        <v>0</v>
      </c>
      <c r="C5388" s="16" t="s">
        <v>14564</v>
      </c>
      <c r="D5388" s="16"/>
      <c r="E5388">
        <v>6</v>
      </c>
      <c r="F5388" t="s">
        <v>4680</v>
      </c>
      <c r="G5388">
        <v>1</v>
      </c>
      <c r="H5388">
        <v>1</v>
      </c>
      <c r="I5388">
        <f>1</f>
        <v>1</v>
      </c>
    </row>
    <row r="5389" spans="2:9" x14ac:dyDescent="0.25">
      <c r="B5389">
        <v>0</v>
      </c>
      <c r="C5389" s="16" t="s">
        <v>14565</v>
      </c>
      <c r="D5389" s="16"/>
      <c r="E5389">
        <v>6</v>
      </c>
      <c r="F5389" t="e">
        <f>--papel semiquímico para ondular</f>
        <v>#NAME?</v>
      </c>
      <c r="G5389">
        <v>1</v>
      </c>
      <c r="H5389">
        <v>1</v>
      </c>
      <c r="I5389">
        <f>1</f>
        <v>1</v>
      </c>
    </row>
    <row r="5390" spans="2:9" x14ac:dyDescent="0.25">
      <c r="B5390">
        <v>0</v>
      </c>
      <c r="C5390" s="16" t="s">
        <v>14566</v>
      </c>
      <c r="D5390" s="16"/>
      <c r="E5390">
        <v>6</v>
      </c>
      <c r="F5390" t="e">
        <f>--papel Palha para ondular</f>
        <v>#NAME?</v>
      </c>
      <c r="G5390">
        <v>1</v>
      </c>
      <c r="H5390">
        <v>1</v>
      </c>
      <c r="I5390">
        <f>1</f>
        <v>1</v>
      </c>
    </row>
    <row r="5391" spans="2:9" x14ac:dyDescent="0.25">
      <c r="B5391">
        <v>0</v>
      </c>
      <c r="C5391" s="16" t="s">
        <v>14567</v>
      </c>
      <c r="D5391" s="16"/>
      <c r="E5391">
        <v>6</v>
      </c>
      <c r="F5391" t="e">
        <f>--outros</f>
        <v>#NAME?</v>
      </c>
      <c r="G5391">
        <v>1</v>
      </c>
      <c r="H5391">
        <v>1</v>
      </c>
      <c r="I5391">
        <f>1</f>
        <v>1</v>
      </c>
    </row>
    <row r="5392" spans="2:9" x14ac:dyDescent="0.25">
      <c r="B5392">
        <v>0</v>
      </c>
      <c r="C5392" s="16" t="s">
        <v>14568</v>
      </c>
      <c r="D5392" s="16"/>
      <c r="E5392">
        <v>6</v>
      </c>
      <c r="F5392" t="s">
        <v>7313</v>
      </c>
      <c r="G5392">
        <v>1</v>
      </c>
      <c r="H5392">
        <v>1</v>
      </c>
      <c r="I5392">
        <f>1</f>
        <v>1</v>
      </c>
    </row>
    <row r="5393" spans="2:9" x14ac:dyDescent="0.25">
      <c r="B5393">
        <v>0</v>
      </c>
      <c r="C5393" s="16" t="s">
        <v>14569</v>
      </c>
      <c r="D5393" s="16"/>
      <c r="E5393">
        <v>6</v>
      </c>
      <c r="F5393" t="s">
        <v>7314</v>
      </c>
      <c r="G5393">
        <v>1</v>
      </c>
      <c r="H5393">
        <v>1</v>
      </c>
      <c r="I5393">
        <f>1</f>
        <v>1</v>
      </c>
    </row>
    <row r="5394" spans="2:9" x14ac:dyDescent="0.25">
      <c r="B5394">
        <v>0</v>
      </c>
      <c r="C5394" s="16" t="s">
        <v>14570</v>
      </c>
      <c r="D5394" s="16"/>
      <c r="E5394">
        <v>6</v>
      </c>
      <c r="F5394" t="e">
        <f>-papel sulfite De embalagem</f>
        <v>#NAME?</v>
      </c>
      <c r="G5394">
        <v>1</v>
      </c>
      <c r="H5394">
        <v>1</v>
      </c>
      <c r="I5394">
        <f>1</f>
        <v>1</v>
      </c>
    </row>
    <row r="5395" spans="2:9" x14ac:dyDescent="0.25">
      <c r="B5395">
        <v>0</v>
      </c>
      <c r="C5395" s="16" t="s">
        <v>14571</v>
      </c>
      <c r="D5395" s="16"/>
      <c r="E5395">
        <v>6</v>
      </c>
      <c r="F5395" t="s">
        <v>7315</v>
      </c>
      <c r="G5395">
        <v>1</v>
      </c>
      <c r="H5395">
        <v>1</v>
      </c>
      <c r="I5395">
        <f>1</f>
        <v>1</v>
      </c>
    </row>
    <row r="5396" spans="2:9" x14ac:dyDescent="0.25">
      <c r="B5396">
        <v>0</v>
      </c>
      <c r="C5396" s="16" t="s">
        <v>14572</v>
      </c>
      <c r="D5396" s="16"/>
      <c r="E5396">
        <v>6</v>
      </c>
      <c r="F5396" t="s">
        <v>4680</v>
      </c>
      <c r="G5396">
        <v>1</v>
      </c>
      <c r="H5396">
        <v>1</v>
      </c>
      <c r="I5396">
        <f>1</f>
        <v>1</v>
      </c>
    </row>
    <row r="5397" spans="2:9" x14ac:dyDescent="0.25">
      <c r="B5397">
        <v>0</v>
      </c>
      <c r="C5397" s="16" t="s">
        <v>14573</v>
      </c>
      <c r="D5397" s="16"/>
      <c r="E5397">
        <v>6</v>
      </c>
      <c r="F5397" t="s">
        <v>7316</v>
      </c>
      <c r="G5397">
        <v>1</v>
      </c>
      <c r="H5397">
        <v>1</v>
      </c>
      <c r="I5397">
        <f>1</f>
        <v>1</v>
      </c>
    </row>
    <row r="5398" spans="2:9" x14ac:dyDescent="0.25">
      <c r="B5398">
        <v>0</v>
      </c>
      <c r="C5398" s="16" t="s">
        <v>14574</v>
      </c>
      <c r="D5398" s="16"/>
      <c r="E5398">
        <v>6</v>
      </c>
      <c r="F5398" t="s">
        <v>7313</v>
      </c>
      <c r="G5398">
        <v>1</v>
      </c>
      <c r="H5398">
        <v>1</v>
      </c>
      <c r="I5398">
        <f>1</f>
        <v>1</v>
      </c>
    </row>
    <row r="5399" spans="2:9" x14ac:dyDescent="0.25">
      <c r="B5399">
        <v>0</v>
      </c>
      <c r="C5399" s="16" t="s">
        <v>14575</v>
      </c>
      <c r="D5399" s="16"/>
      <c r="E5399">
        <v>6</v>
      </c>
      <c r="F5399" t="s">
        <v>7317</v>
      </c>
      <c r="G5399">
        <v>1</v>
      </c>
      <c r="H5399">
        <v>1</v>
      </c>
      <c r="I5399">
        <f>1</f>
        <v>1</v>
      </c>
    </row>
    <row r="5400" spans="2:9" x14ac:dyDescent="0.25">
      <c r="B5400">
        <v>0</v>
      </c>
      <c r="C5400" s="16" t="s">
        <v>14576</v>
      </c>
      <c r="D5400" s="16"/>
      <c r="E5400">
        <v>6</v>
      </c>
      <c r="F5400" t="s">
        <v>4680</v>
      </c>
      <c r="G5400">
        <v>1</v>
      </c>
      <c r="H5400">
        <v>1</v>
      </c>
      <c r="I5400">
        <f>1</f>
        <v>1</v>
      </c>
    </row>
    <row r="5401" spans="2:9" x14ac:dyDescent="0.25">
      <c r="B5401">
        <v>0</v>
      </c>
      <c r="C5401" s="16" t="s">
        <v>14577</v>
      </c>
      <c r="D5401" s="16"/>
      <c r="E5401">
        <v>6</v>
      </c>
      <c r="F5401" t="s">
        <v>7318</v>
      </c>
      <c r="G5401">
        <v>1</v>
      </c>
      <c r="H5401">
        <v>1</v>
      </c>
      <c r="I5401">
        <f>1</f>
        <v>1</v>
      </c>
    </row>
    <row r="5402" spans="2:9" x14ac:dyDescent="0.25">
      <c r="B5402">
        <v>0</v>
      </c>
      <c r="C5402" s="16" t="s">
        <v>14578</v>
      </c>
      <c r="D5402" s="16"/>
      <c r="E5402">
        <v>6</v>
      </c>
      <c r="F5402" t="e">
        <f>-papel-pergaminho e cartão-pergaminho  sulfurizados</f>
        <v>#NAME?</v>
      </c>
      <c r="G5402">
        <v>1</v>
      </c>
      <c r="H5402">
        <v>1</v>
      </c>
      <c r="I5402">
        <f>1</f>
        <v>1</v>
      </c>
    </row>
    <row r="5403" spans="2:9" x14ac:dyDescent="0.25">
      <c r="B5403">
        <v>0</v>
      </c>
      <c r="C5403" s="16" t="s">
        <v>14579</v>
      </c>
      <c r="D5403" s="16"/>
      <c r="E5403">
        <v>6</v>
      </c>
      <c r="F5403" t="e">
        <f>-papel impermeável a gorduras</f>
        <v>#NAME?</v>
      </c>
      <c r="G5403">
        <v>1</v>
      </c>
      <c r="H5403">
        <v>1</v>
      </c>
      <c r="I5403">
        <f>1</f>
        <v>1</v>
      </c>
    </row>
    <row r="5404" spans="2:9" x14ac:dyDescent="0.25">
      <c r="B5404">
        <v>0</v>
      </c>
      <c r="C5404" s="16" t="s">
        <v>14580</v>
      </c>
      <c r="D5404" s="16"/>
      <c r="E5404">
        <v>6</v>
      </c>
      <c r="F5404" t="e">
        <f>-papel vegetal</f>
        <v>#NAME?</v>
      </c>
      <c r="G5404">
        <v>1</v>
      </c>
      <c r="H5404">
        <v>1</v>
      </c>
      <c r="I5404">
        <f>1</f>
        <v>1</v>
      </c>
    </row>
    <row r="5405" spans="2:9" x14ac:dyDescent="0.25">
      <c r="B5405">
        <v>0</v>
      </c>
      <c r="C5405" s="16" t="s">
        <v>14581</v>
      </c>
      <c r="D5405" s="16"/>
      <c r="E5405">
        <v>6</v>
      </c>
      <c r="F5405" t="e">
        <f>-papel cristal e outros Papéis calandrados transparentes ou translúcidos</f>
        <v>#NAME?</v>
      </c>
      <c r="G5405">
        <v>1</v>
      </c>
      <c r="H5405">
        <v>1</v>
      </c>
      <c r="I5405">
        <f>1</f>
        <v>1</v>
      </c>
    </row>
    <row r="5406" spans="2:9" x14ac:dyDescent="0.25">
      <c r="B5406">
        <v>0</v>
      </c>
      <c r="C5406" s="16" t="s">
        <v>14582</v>
      </c>
      <c r="D5406" s="16"/>
      <c r="E5406">
        <v>6</v>
      </c>
      <c r="F5406" t="s">
        <v>7319</v>
      </c>
      <c r="G5406">
        <v>1</v>
      </c>
      <c r="H5406">
        <v>1</v>
      </c>
      <c r="I5406">
        <f>1</f>
        <v>1</v>
      </c>
    </row>
    <row r="5407" spans="2:9" x14ac:dyDescent="0.25">
      <c r="B5407">
        <v>0</v>
      </c>
      <c r="C5407" s="16" t="s">
        <v>14583</v>
      </c>
      <c r="D5407" s="16"/>
      <c r="E5407">
        <v>6</v>
      </c>
      <c r="F5407" t="s">
        <v>7320</v>
      </c>
      <c r="G5407">
        <v>1</v>
      </c>
      <c r="H5407">
        <v>1</v>
      </c>
      <c r="I5407">
        <f>1</f>
        <v>1</v>
      </c>
    </row>
    <row r="5408" spans="2:9" x14ac:dyDescent="0.25">
      <c r="B5408">
        <v>0</v>
      </c>
      <c r="C5408" s="16" t="s">
        <v>14584</v>
      </c>
      <c r="D5408" s="16"/>
      <c r="E5408">
        <v>6</v>
      </c>
      <c r="F5408" t="s">
        <v>7321</v>
      </c>
      <c r="G5408">
        <v>1</v>
      </c>
      <c r="H5408">
        <v>1</v>
      </c>
      <c r="I5408">
        <f>1</f>
        <v>1</v>
      </c>
    </row>
    <row r="5409" spans="2:9" x14ac:dyDescent="0.25">
      <c r="B5409">
        <v>0</v>
      </c>
      <c r="C5409" s="16" t="s">
        <v>14585</v>
      </c>
      <c r="D5409" s="16"/>
      <c r="E5409">
        <v>6</v>
      </c>
      <c r="F5409" t="e">
        <f>-outros</f>
        <v>#NAME?</v>
      </c>
      <c r="G5409">
        <v>1</v>
      </c>
      <c r="H5409">
        <v>1</v>
      </c>
      <c r="I5409">
        <f>1</f>
        <v>1</v>
      </c>
    </row>
    <row r="5410" spans="2:9" x14ac:dyDescent="0.25">
      <c r="B5410">
        <v>0</v>
      </c>
      <c r="C5410" s="16" t="s">
        <v>14586</v>
      </c>
      <c r="D5410" s="16"/>
      <c r="E5410">
        <v>6</v>
      </c>
      <c r="F5410" t="e">
        <f>-papel autocopiativo</f>
        <v>#NAME?</v>
      </c>
      <c r="G5410">
        <v>1</v>
      </c>
      <c r="H5410">
        <v>1</v>
      </c>
      <c r="I5410">
        <f>1</f>
        <v>1</v>
      </c>
    </row>
    <row r="5411" spans="2:9" x14ac:dyDescent="0.25">
      <c r="B5411">
        <v>0</v>
      </c>
      <c r="C5411" s="16" t="s">
        <v>14587</v>
      </c>
      <c r="D5411" s="16"/>
      <c r="E5411">
        <v>6</v>
      </c>
      <c r="F5411" t="e">
        <f>-outros</f>
        <v>#NAME?</v>
      </c>
      <c r="G5411">
        <v>1</v>
      </c>
      <c r="H5411">
        <v>1</v>
      </c>
      <c r="I5411">
        <f>1</f>
        <v>1</v>
      </c>
    </row>
    <row r="5412" spans="2:9" x14ac:dyDescent="0.25">
      <c r="B5412">
        <v>0</v>
      </c>
      <c r="C5412" s="16" t="s">
        <v>14588</v>
      </c>
      <c r="D5412" s="16"/>
      <c r="E5412">
        <v>6</v>
      </c>
      <c r="F5412" t="s">
        <v>4680</v>
      </c>
      <c r="G5412">
        <v>1</v>
      </c>
      <c r="H5412">
        <v>1</v>
      </c>
      <c r="I5412">
        <f>1</f>
        <v>1</v>
      </c>
    </row>
    <row r="5413" spans="2:9" x14ac:dyDescent="0.25">
      <c r="B5413">
        <v>0</v>
      </c>
      <c r="C5413" s="16" t="s">
        <v>14589</v>
      </c>
      <c r="D5413" s="16"/>
      <c r="E5413">
        <v>6</v>
      </c>
      <c r="F5413" t="s">
        <v>7302</v>
      </c>
      <c r="G5413">
        <v>1</v>
      </c>
      <c r="H5413">
        <v>1</v>
      </c>
      <c r="I5413">
        <f>1</f>
        <v>1</v>
      </c>
    </row>
    <row r="5414" spans="2:9" x14ac:dyDescent="0.25">
      <c r="B5414">
        <v>0</v>
      </c>
      <c r="C5414" s="16" t="s">
        <v>14590</v>
      </c>
      <c r="D5414" s="16"/>
      <c r="E5414">
        <v>6</v>
      </c>
      <c r="F5414" t="s">
        <v>7222</v>
      </c>
      <c r="G5414">
        <v>1</v>
      </c>
      <c r="H5414">
        <v>1</v>
      </c>
      <c r="I5414">
        <f>1</f>
        <v>1</v>
      </c>
    </row>
    <row r="5415" spans="2:9" x14ac:dyDescent="0.25">
      <c r="B5415">
        <v>0</v>
      </c>
      <c r="C5415" s="16" t="s">
        <v>14591</v>
      </c>
      <c r="D5415" s="16"/>
      <c r="E5415">
        <v>6</v>
      </c>
      <c r="F5415" t="s">
        <v>7322</v>
      </c>
      <c r="G5415">
        <v>1</v>
      </c>
      <c r="H5415">
        <v>1</v>
      </c>
      <c r="I5415">
        <f>1</f>
        <v>1</v>
      </c>
    </row>
    <row r="5416" spans="2:9" x14ac:dyDescent="0.25">
      <c r="B5416">
        <v>0</v>
      </c>
      <c r="C5416" s="16" t="s">
        <v>14592</v>
      </c>
      <c r="D5416" s="16"/>
      <c r="E5416">
        <v>6</v>
      </c>
      <c r="F5416" t="s">
        <v>4680</v>
      </c>
      <c r="G5416">
        <v>1</v>
      </c>
      <c r="H5416">
        <v>1</v>
      </c>
      <c r="I5416">
        <f>1</f>
        <v>1</v>
      </c>
    </row>
    <row r="5417" spans="2:9" x14ac:dyDescent="0.25">
      <c r="B5417">
        <v>0</v>
      </c>
      <c r="C5417" s="16" t="s">
        <v>14593</v>
      </c>
      <c r="D5417" s="16"/>
      <c r="E5417">
        <v>6</v>
      </c>
      <c r="F5417" t="s">
        <v>4680</v>
      </c>
      <c r="G5417">
        <v>1</v>
      </c>
      <c r="H5417">
        <v>1</v>
      </c>
      <c r="I5417">
        <f>1</f>
        <v>1</v>
      </c>
    </row>
    <row r="5418" spans="2:9" x14ac:dyDescent="0.25">
      <c r="B5418">
        <v>0</v>
      </c>
      <c r="C5418" s="16" t="s">
        <v>14594</v>
      </c>
      <c r="D5418" s="16"/>
      <c r="E5418">
        <v>6</v>
      </c>
      <c r="F5418" t="s">
        <v>7305</v>
      </c>
      <c r="G5418">
        <v>1</v>
      </c>
      <c r="H5418">
        <v>1</v>
      </c>
      <c r="I5418">
        <f>1</f>
        <v>1</v>
      </c>
    </row>
    <row r="5419" spans="2:9" x14ac:dyDescent="0.25">
      <c r="B5419">
        <v>0</v>
      </c>
      <c r="C5419" s="16" t="s">
        <v>14595</v>
      </c>
      <c r="D5419" s="16"/>
      <c r="E5419">
        <v>6</v>
      </c>
      <c r="F5419" t="s">
        <v>7222</v>
      </c>
      <c r="G5419">
        <v>1</v>
      </c>
      <c r="H5419">
        <v>1</v>
      </c>
      <c r="I5419">
        <f>1</f>
        <v>1</v>
      </c>
    </row>
    <row r="5420" spans="2:9" x14ac:dyDescent="0.25">
      <c r="B5420">
        <v>0</v>
      </c>
      <c r="C5420" s="16" t="s">
        <v>14596</v>
      </c>
      <c r="D5420" s="16"/>
      <c r="E5420">
        <v>6</v>
      </c>
      <c r="F5420" t="s">
        <v>7322</v>
      </c>
      <c r="G5420">
        <v>1</v>
      </c>
      <c r="H5420">
        <v>1</v>
      </c>
      <c r="I5420">
        <f>1</f>
        <v>1</v>
      </c>
    </row>
    <row r="5421" spans="2:9" x14ac:dyDescent="0.25">
      <c r="B5421">
        <v>0</v>
      </c>
      <c r="C5421" s="16" t="s">
        <v>14597</v>
      </c>
      <c r="D5421" s="16"/>
      <c r="E5421">
        <v>6</v>
      </c>
      <c r="F5421" t="s">
        <v>4680</v>
      </c>
      <c r="G5421">
        <v>1</v>
      </c>
      <c r="H5421">
        <v>1</v>
      </c>
      <c r="I5421">
        <f>1</f>
        <v>1</v>
      </c>
    </row>
    <row r="5422" spans="2:9" x14ac:dyDescent="0.25">
      <c r="B5422">
        <v>0</v>
      </c>
      <c r="C5422" s="16" t="s">
        <v>14598</v>
      </c>
      <c r="D5422" s="16"/>
      <c r="E5422">
        <v>6</v>
      </c>
      <c r="F5422" t="s">
        <v>4680</v>
      </c>
      <c r="G5422">
        <v>1</v>
      </c>
      <c r="H5422">
        <v>1</v>
      </c>
      <c r="I5422">
        <f>1</f>
        <v>1</v>
      </c>
    </row>
    <row r="5423" spans="2:9" x14ac:dyDescent="0.25">
      <c r="B5423">
        <v>0</v>
      </c>
      <c r="C5423" s="16" t="s">
        <v>14599</v>
      </c>
      <c r="D5423" s="16"/>
      <c r="E5423">
        <v>6</v>
      </c>
      <c r="F5423" t="s">
        <v>7307</v>
      </c>
      <c r="G5423">
        <v>1</v>
      </c>
      <c r="H5423">
        <v>1</v>
      </c>
      <c r="I5423">
        <f>1</f>
        <v>1</v>
      </c>
    </row>
    <row r="5424" spans="2:9" x14ac:dyDescent="0.25">
      <c r="B5424">
        <v>0</v>
      </c>
      <c r="C5424" s="16" t="s">
        <v>14600</v>
      </c>
      <c r="D5424" s="16"/>
      <c r="E5424">
        <v>6</v>
      </c>
      <c r="F5424" t="s">
        <v>7222</v>
      </c>
      <c r="G5424">
        <v>1</v>
      </c>
      <c r="H5424">
        <v>1</v>
      </c>
      <c r="I5424">
        <f>1</f>
        <v>1</v>
      </c>
    </row>
    <row r="5425" spans="2:9" x14ac:dyDescent="0.25">
      <c r="B5425">
        <v>0</v>
      </c>
      <c r="C5425" s="16" t="s">
        <v>14601</v>
      </c>
      <c r="D5425" s="16"/>
      <c r="E5425">
        <v>6</v>
      </c>
      <c r="F5425" t="s">
        <v>7322</v>
      </c>
      <c r="G5425">
        <v>1</v>
      </c>
      <c r="H5425">
        <v>1</v>
      </c>
      <c r="I5425">
        <f>1</f>
        <v>1</v>
      </c>
    </row>
    <row r="5426" spans="2:9" x14ac:dyDescent="0.25">
      <c r="B5426">
        <v>0</v>
      </c>
      <c r="C5426" s="16" t="s">
        <v>14602</v>
      </c>
      <c r="D5426" s="16"/>
      <c r="E5426">
        <v>6</v>
      </c>
      <c r="F5426" t="s">
        <v>4680</v>
      </c>
      <c r="G5426">
        <v>1</v>
      </c>
      <c r="H5426">
        <v>1</v>
      </c>
      <c r="I5426">
        <f>1</f>
        <v>1</v>
      </c>
    </row>
    <row r="5427" spans="2:9" x14ac:dyDescent="0.25">
      <c r="B5427">
        <v>0</v>
      </c>
      <c r="C5427" s="16" t="s">
        <v>14603</v>
      </c>
      <c r="D5427" s="16"/>
      <c r="E5427">
        <v>6</v>
      </c>
      <c r="F5427" t="s">
        <v>4680</v>
      </c>
      <c r="G5427">
        <v>1</v>
      </c>
      <c r="H5427">
        <v>1</v>
      </c>
      <c r="I5427">
        <f>1</f>
        <v>1</v>
      </c>
    </row>
    <row r="5428" spans="2:9" x14ac:dyDescent="0.25">
      <c r="B5428">
        <v>0</v>
      </c>
      <c r="C5428" s="16" t="s">
        <v>14604</v>
      </c>
      <c r="D5428" s="16"/>
      <c r="E5428">
        <v>6</v>
      </c>
      <c r="F5428" t="s">
        <v>7299</v>
      </c>
      <c r="G5428">
        <v>1</v>
      </c>
      <c r="H5428">
        <v>1</v>
      </c>
      <c r="I5428">
        <f>1</f>
        <v>1</v>
      </c>
    </row>
    <row r="5429" spans="2:9" x14ac:dyDescent="0.25">
      <c r="B5429">
        <v>0</v>
      </c>
      <c r="C5429" s="16" t="s">
        <v>14605</v>
      </c>
      <c r="D5429" s="16"/>
      <c r="E5429">
        <v>6</v>
      </c>
      <c r="F5429" t="s">
        <v>4680</v>
      </c>
      <c r="G5429">
        <v>1</v>
      </c>
      <c r="H5429">
        <v>1</v>
      </c>
      <c r="I5429">
        <f>1</f>
        <v>1</v>
      </c>
    </row>
    <row r="5430" spans="2:9" x14ac:dyDescent="0.25">
      <c r="B5430">
        <v>0</v>
      </c>
      <c r="C5430" s="16" t="s">
        <v>14606</v>
      </c>
      <c r="D5430" s="16"/>
      <c r="E5430">
        <v>6</v>
      </c>
      <c r="F5430" t="s">
        <v>7299</v>
      </c>
      <c r="G5430">
        <v>1</v>
      </c>
      <c r="H5430">
        <v>1</v>
      </c>
      <c r="I5430">
        <f>1</f>
        <v>1</v>
      </c>
    </row>
    <row r="5431" spans="2:9" x14ac:dyDescent="0.25">
      <c r="B5431">
        <v>0</v>
      </c>
      <c r="C5431" s="16" t="s">
        <v>14607</v>
      </c>
      <c r="D5431" s="16"/>
      <c r="E5431">
        <v>6</v>
      </c>
      <c r="F5431" t="s">
        <v>7299</v>
      </c>
      <c r="G5431">
        <v>1</v>
      </c>
      <c r="H5431">
        <v>1</v>
      </c>
      <c r="I5431">
        <f>1</f>
        <v>1</v>
      </c>
    </row>
    <row r="5432" spans="2:9" x14ac:dyDescent="0.25">
      <c r="B5432">
        <v>0</v>
      </c>
      <c r="C5432" s="16" t="s">
        <v>14608</v>
      </c>
      <c r="D5432" s="16"/>
      <c r="E5432">
        <v>6</v>
      </c>
      <c r="F5432" t="s">
        <v>4680</v>
      </c>
      <c r="G5432">
        <v>1</v>
      </c>
      <c r="H5432">
        <v>1</v>
      </c>
      <c r="I5432">
        <f>1</f>
        <v>1</v>
      </c>
    </row>
    <row r="5433" spans="2:9" x14ac:dyDescent="0.25">
      <c r="B5433">
        <v>0</v>
      </c>
      <c r="C5433" s="16" t="s">
        <v>14609</v>
      </c>
      <c r="D5433" s="16"/>
      <c r="E5433">
        <v>6</v>
      </c>
      <c r="F5433" t="s">
        <v>7299</v>
      </c>
      <c r="G5433">
        <v>1</v>
      </c>
      <c r="H5433">
        <v>1</v>
      </c>
      <c r="I5433">
        <f>1</f>
        <v>1</v>
      </c>
    </row>
    <row r="5434" spans="2:9" x14ac:dyDescent="0.25">
      <c r="B5434">
        <v>0</v>
      </c>
      <c r="C5434" s="16" t="s">
        <v>14610</v>
      </c>
      <c r="D5434" s="16"/>
      <c r="E5434">
        <v>6</v>
      </c>
      <c r="F5434" t="s">
        <v>4680</v>
      </c>
      <c r="G5434">
        <v>1</v>
      </c>
      <c r="H5434">
        <v>1</v>
      </c>
      <c r="I5434">
        <f>1</f>
        <v>1</v>
      </c>
    </row>
    <row r="5435" spans="2:9" x14ac:dyDescent="0.25">
      <c r="B5435">
        <v>0</v>
      </c>
      <c r="C5435" s="16" t="s">
        <v>14611</v>
      </c>
      <c r="D5435" s="16"/>
      <c r="E5435">
        <v>6</v>
      </c>
      <c r="F5435" t="s">
        <v>7299</v>
      </c>
      <c r="G5435">
        <v>1</v>
      </c>
      <c r="H5435">
        <v>1</v>
      </c>
      <c r="I5435">
        <f>1</f>
        <v>1</v>
      </c>
    </row>
    <row r="5436" spans="2:9" x14ac:dyDescent="0.25">
      <c r="B5436">
        <v>0</v>
      </c>
      <c r="C5436" s="16" t="s">
        <v>14612</v>
      </c>
      <c r="D5436" s="16"/>
      <c r="E5436">
        <v>6</v>
      </c>
      <c r="F5436" t="s">
        <v>4680</v>
      </c>
      <c r="G5436">
        <v>1</v>
      </c>
      <c r="H5436">
        <v>1</v>
      </c>
      <c r="I5436">
        <f>1</f>
        <v>1</v>
      </c>
    </row>
    <row r="5437" spans="2:9" x14ac:dyDescent="0.25">
      <c r="B5437">
        <v>0</v>
      </c>
      <c r="C5437" s="16" t="s">
        <v>14613</v>
      </c>
      <c r="D5437" s="16"/>
      <c r="E5437">
        <v>6</v>
      </c>
      <c r="F5437" t="s">
        <v>7299</v>
      </c>
      <c r="G5437">
        <v>1</v>
      </c>
      <c r="H5437">
        <v>1</v>
      </c>
      <c r="I5437">
        <f>1</f>
        <v>1</v>
      </c>
    </row>
    <row r="5438" spans="2:9" x14ac:dyDescent="0.25">
      <c r="B5438">
        <v>0</v>
      </c>
      <c r="C5438" s="16" t="s">
        <v>14614</v>
      </c>
      <c r="D5438" s="16"/>
      <c r="E5438">
        <v>6</v>
      </c>
      <c r="F5438" t="s">
        <v>4680</v>
      </c>
      <c r="G5438">
        <v>1</v>
      </c>
      <c r="H5438">
        <v>1</v>
      </c>
      <c r="I5438">
        <f>1</f>
        <v>1</v>
      </c>
    </row>
    <row r="5439" spans="2:9" x14ac:dyDescent="0.25">
      <c r="B5439">
        <v>0</v>
      </c>
      <c r="C5439" s="16" t="s">
        <v>14615</v>
      </c>
      <c r="D5439" s="16"/>
      <c r="E5439">
        <v>6</v>
      </c>
      <c r="F5439" t="s">
        <v>7299</v>
      </c>
      <c r="G5439">
        <v>1</v>
      </c>
      <c r="H5439">
        <v>1</v>
      </c>
      <c r="I5439">
        <f>1</f>
        <v>1</v>
      </c>
    </row>
    <row r="5440" spans="2:9" x14ac:dyDescent="0.25">
      <c r="B5440">
        <v>0</v>
      </c>
      <c r="C5440" s="16" t="s">
        <v>14616</v>
      </c>
      <c r="D5440" s="16"/>
      <c r="E5440">
        <v>6</v>
      </c>
      <c r="F5440" t="s">
        <v>4680</v>
      </c>
      <c r="G5440">
        <v>1</v>
      </c>
      <c r="H5440">
        <v>1</v>
      </c>
      <c r="I5440">
        <f>1</f>
        <v>1</v>
      </c>
    </row>
    <row r="5441" spans="2:9" x14ac:dyDescent="0.25">
      <c r="B5441">
        <v>0</v>
      </c>
      <c r="C5441" s="16" t="s">
        <v>14617</v>
      </c>
      <c r="D5441" s="16"/>
      <c r="E5441">
        <v>6</v>
      </c>
      <c r="F5441" t="s">
        <v>7299</v>
      </c>
      <c r="G5441">
        <v>1</v>
      </c>
      <c r="H5441">
        <v>1</v>
      </c>
      <c r="I5441">
        <f>1</f>
        <v>1</v>
      </c>
    </row>
    <row r="5442" spans="2:9" x14ac:dyDescent="0.25">
      <c r="B5442">
        <v>0</v>
      </c>
      <c r="C5442" s="16" t="s">
        <v>14618</v>
      </c>
      <c r="D5442" s="16"/>
      <c r="E5442">
        <v>6</v>
      </c>
      <c r="F5442" t="s">
        <v>4680</v>
      </c>
      <c r="G5442">
        <v>1</v>
      </c>
      <c r="H5442">
        <v>1</v>
      </c>
      <c r="I5442">
        <f>1</f>
        <v>1</v>
      </c>
    </row>
    <row r="5443" spans="2:9" x14ac:dyDescent="0.25">
      <c r="B5443">
        <v>0</v>
      </c>
      <c r="C5443" s="16" t="s">
        <v>14619</v>
      </c>
      <c r="D5443" s="16"/>
      <c r="E5443">
        <v>6</v>
      </c>
      <c r="F5443" t="s">
        <v>7299</v>
      </c>
      <c r="G5443">
        <v>1</v>
      </c>
      <c r="H5443">
        <v>1</v>
      </c>
      <c r="I5443">
        <f>1</f>
        <v>1</v>
      </c>
    </row>
    <row r="5444" spans="2:9" x14ac:dyDescent="0.25">
      <c r="B5444">
        <v>0</v>
      </c>
      <c r="C5444" s="16" t="s">
        <v>14620</v>
      </c>
      <c r="D5444" s="16"/>
      <c r="E5444">
        <v>6</v>
      </c>
      <c r="F5444" t="s">
        <v>4680</v>
      </c>
      <c r="G5444">
        <v>1</v>
      </c>
      <c r="H5444">
        <v>1</v>
      </c>
      <c r="I5444">
        <f>1</f>
        <v>1</v>
      </c>
    </row>
    <row r="5445" spans="2:9" x14ac:dyDescent="0.25">
      <c r="B5445">
        <v>0</v>
      </c>
      <c r="C5445" s="16" t="s">
        <v>14621</v>
      </c>
      <c r="D5445" s="16"/>
      <c r="E5445">
        <v>6</v>
      </c>
      <c r="F5445" t="s">
        <v>7299</v>
      </c>
      <c r="G5445">
        <v>1</v>
      </c>
      <c r="H5445">
        <v>1</v>
      </c>
      <c r="I5445">
        <f>1</f>
        <v>1</v>
      </c>
    </row>
    <row r="5446" spans="2:9" x14ac:dyDescent="0.25">
      <c r="B5446">
        <v>0</v>
      </c>
      <c r="C5446" s="16" t="s">
        <v>14622</v>
      </c>
      <c r="D5446" s="16"/>
      <c r="E5446">
        <v>6</v>
      </c>
      <c r="F5446" t="s">
        <v>4680</v>
      </c>
      <c r="G5446">
        <v>1</v>
      </c>
      <c r="H5446">
        <v>1</v>
      </c>
      <c r="I5446">
        <f>1</f>
        <v>1</v>
      </c>
    </row>
    <row r="5447" spans="2:9" x14ac:dyDescent="0.25">
      <c r="B5447">
        <v>0</v>
      </c>
      <c r="C5447" s="16" t="s">
        <v>14623</v>
      </c>
      <c r="D5447" s="16"/>
      <c r="E5447">
        <v>6</v>
      </c>
      <c r="F5447" t="s">
        <v>7299</v>
      </c>
      <c r="G5447">
        <v>1</v>
      </c>
      <c r="H5447">
        <v>1</v>
      </c>
      <c r="I5447">
        <f>1</f>
        <v>1</v>
      </c>
    </row>
    <row r="5448" spans="2:9" x14ac:dyDescent="0.25">
      <c r="B5448">
        <v>0</v>
      </c>
      <c r="C5448" s="16" t="s">
        <v>14624</v>
      </c>
      <c r="D5448" s="16"/>
      <c r="E5448">
        <v>6</v>
      </c>
      <c r="F5448" t="s">
        <v>7323</v>
      </c>
      <c r="G5448">
        <v>1</v>
      </c>
      <c r="H5448">
        <v>1</v>
      </c>
      <c r="I5448">
        <f>1</f>
        <v>1</v>
      </c>
    </row>
    <row r="5449" spans="2:9" x14ac:dyDescent="0.25">
      <c r="B5449">
        <v>0</v>
      </c>
      <c r="C5449" s="16" t="s">
        <v>14625</v>
      </c>
      <c r="D5449" s="16"/>
      <c r="E5449">
        <v>6</v>
      </c>
      <c r="F5449" t="s">
        <v>7324</v>
      </c>
      <c r="G5449">
        <v>1</v>
      </c>
      <c r="H5449">
        <v>1</v>
      </c>
      <c r="I5449">
        <f>1</f>
        <v>1</v>
      </c>
    </row>
    <row r="5450" spans="2:9" x14ac:dyDescent="0.25">
      <c r="B5450">
        <v>0</v>
      </c>
      <c r="C5450" s="16" t="s">
        <v>14626</v>
      </c>
      <c r="D5450" s="16"/>
      <c r="E5450">
        <v>6</v>
      </c>
      <c r="F5450" t="s">
        <v>7325</v>
      </c>
      <c r="G5450">
        <v>1</v>
      </c>
      <c r="H5450">
        <v>1</v>
      </c>
      <c r="I5450">
        <f>1</f>
        <v>1</v>
      </c>
    </row>
    <row r="5451" spans="2:9" x14ac:dyDescent="0.25">
      <c r="B5451">
        <v>0</v>
      </c>
      <c r="C5451" s="16" t="s">
        <v>14627</v>
      </c>
      <c r="D5451" s="16"/>
      <c r="E5451">
        <v>6</v>
      </c>
      <c r="F5451" t="s">
        <v>7326</v>
      </c>
      <c r="G5451">
        <v>1</v>
      </c>
      <c r="H5451">
        <v>1</v>
      </c>
      <c r="I5451">
        <f>1</f>
        <v>1</v>
      </c>
    </row>
    <row r="5452" spans="2:9" x14ac:dyDescent="0.25">
      <c r="B5452">
        <v>0</v>
      </c>
      <c r="C5452" s="16" t="s">
        <v>14628</v>
      </c>
      <c r="D5452" s="16"/>
      <c r="E5452">
        <v>6</v>
      </c>
      <c r="F5452" t="s">
        <v>4680</v>
      </c>
      <c r="G5452">
        <v>1</v>
      </c>
      <c r="H5452">
        <v>1</v>
      </c>
      <c r="I5452">
        <f>1</f>
        <v>1</v>
      </c>
    </row>
    <row r="5453" spans="2:9" x14ac:dyDescent="0.25">
      <c r="B5453">
        <v>0</v>
      </c>
      <c r="C5453" s="16" t="s">
        <v>14629</v>
      </c>
      <c r="D5453" s="16"/>
      <c r="E5453">
        <v>6</v>
      </c>
      <c r="F5453" t="s">
        <v>7327</v>
      </c>
      <c r="G5453">
        <v>1</v>
      </c>
      <c r="H5453">
        <v>1</v>
      </c>
      <c r="I5453">
        <f>1</f>
        <v>1</v>
      </c>
    </row>
    <row r="5454" spans="2:9" x14ac:dyDescent="0.25">
      <c r="B5454">
        <v>0</v>
      </c>
      <c r="C5454" s="16" t="s">
        <v>14630</v>
      </c>
      <c r="D5454" s="16"/>
      <c r="E5454">
        <v>6</v>
      </c>
      <c r="F5454" t="s">
        <v>7299</v>
      </c>
      <c r="G5454">
        <v>1</v>
      </c>
      <c r="H5454">
        <v>1</v>
      </c>
      <c r="I5454">
        <f>1</f>
        <v>1</v>
      </c>
    </row>
    <row r="5455" spans="2:9" x14ac:dyDescent="0.25">
      <c r="B5455">
        <v>0</v>
      </c>
      <c r="C5455" s="16" t="s">
        <v>14631</v>
      </c>
      <c r="D5455" s="16"/>
      <c r="E5455">
        <v>6</v>
      </c>
      <c r="F5455" t="s">
        <v>7325</v>
      </c>
      <c r="G5455">
        <v>1</v>
      </c>
      <c r="H5455">
        <v>1</v>
      </c>
      <c r="I5455">
        <f>1</f>
        <v>1</v>
      </c>
    </row>
    <row r="5456" spans="2:9" x14ac:dyDescent="0.25">
      <c r="B5456">
        <v>0</v>
      </c>
      <c r="C5456" s="16" t="s">
        <v>14632</v>
      </c>
      <c r="D5456" s="16"/>
      <c r="E5456">
        <v>6</v>
      </c>
      <c r="F5456" t="s">
        <v>7101</v>
      </c>
      <c r="G5456">
        <v>1</v>
      </c>
      <c r="H5456">
        <v>1</v>
      </c>
      <c r="I5456">
        <f>1</f>
        <v>1</v>
      </c>
    </row>
    <row r="5457" spans="2:9" x14ac:dyDescent="0.25">
      <c r="B5457">
        <v>0</v>
      </c>
      <c r="C5457" s="16" t="s">
        <v>14633</v>
      </c>
      <c r="D5457" s="16"/>
      <c r="E5457">
        <v>6</v>
      </c>
      <c r="F5457" t="s">
        <v>7324</v>
      </c>
      <c r="G5457">
        <v>1</v>
      </c>
      <c r="H5457">
        <v>1</v>
      </c>
      <c r="I5457">
        <f>1</f>
        <v>1</v>
      </c>
    </row>
    <row r="5458" spans="2:9" x14ac:dyDescent="0.25">
      <c r="B5458">
        <v>0</v>
      </c>
      <c r="C5458" s="16" t="s">
        <v>14634</v>
      </c>
      <c r="D5458" s="16"/>
      <c r="E5458">
        <v>6</v>
      </c>
      <c r="F5458" t="s">
        <v>4680</v>
      </c>
      <c r="G5458">
        <v>1</v>
      </c>
      <c r="H5458">
        <v>1</v>
      </c>
      <c r="I5458">
        <f>1</f>
        <v>1</v>
      </c>
    </row>
    <row r="5459" spans="2:9" x14ac:dyDescent="0.25">
      <c r="B5459">
        <v>0</v>
      </c>
      <c r="C5459" s="16" t="s">
        <v>14635</v>
      </c>
      <c r="D5459" s="16"/>
      <c r="E5459">
        <v>6</v>
      </c>
      <c r="F5459" t="s">
        <v>7327</v>
      </c>
      <c r="G5459">
        <v>1</v>
      </c>
      <c r="H5459">
        <v>1</v>
      </c>
      <c r="I5459">
        <f>1</f>
        <v>1</v>
      </c>
    </row>
    <row r="5460" spans="2:9" x14ac:dyDescent="0.25">
      <c r="B5460">
        <v>0</v>
      </c>
      <c r="C5460" s="16" t="s">
        <v>14636</v>
      </c>
      <c r="D5460" s="16"/>
      <c r="E5460">
        <v>6</v>
      </c>
      <c r="F5460" t="s">
        <v>7299</v>
      </c>
      <c r="G5460">
        <v>1</v>
      </c>
      <c r="H5460">
        <v>1</v>
      </c>
      <c r="I5460">
        <f>1</f>
        <v>1</v>
      </c>
    </row>
    <row r="5461" spans="2:9" x14ac:dyDescent="0.25">
      <c r="B5461">
        <v>0</v>
      </c>
      <c r="C5461" s="16" t="s">
        <v>14637</v>
      </c>
      <c r="D5461" s="16"/>
      <c r="E5461">
        <v>6</v>
      </c>
      <c r="F5461" t="s">
        <v>4680</v>
      </c>
      <c r="G5461">
        <v>1</v>
      </c>
      <c r="H5461">
        <v>1</v>
      </c>
      <c r="I5461">
        <f>1</f>
        <v>1</v>
      </c>
    </row>
    <row r="5462" spans="2:9" x14ac:dyDescent="0.25">
      <c r="B5462">
        <v>0</v>
      </c>
      <c r="C5462" s="16" t="s">
        <v>14638</v>
      </c>
      <c r="D5462" s="16"/>
      <c r="E5462">
        <v>6</v>
      </c>
      <c r="F5462" t="s">
        <v>7299</v>
      </c>
      <c r="G5462">
        <v>1</v>
      </c>
      <c r="H5462">
        <v>1</v>
      </c>
      <c r="I5462">
        <f>1</f>
        <v>1</v>
      </c>
    </row>
    <row r="5463" spans="2:9" x14ac:dyDescent="0.25">
      <c r="B5463">
        <v>0</v>
      </c>
      <c r="C5463" s="16" t="s">
        <v>14639</v>
      </c>
      <c r="D5463" s="16"/>
      <c r="E5463">
        <v>6</v>
      </c>
      <c r="F5463" t="s">
        <v>4680</v>
      </c>
      <c r="G5463">
        <v>1</v>
      </c>
      <c r="H5463">
        <v>1</v>
      </c>
      <c r="I5463">
        <f>1</f>
        <v>1</v>
      </c>
    </row>
    <row r="5464" spans="2:9" x14ac:dyDescent="0.25">
      <c r="B5464">
        <v>0</v>
      </c>
      <c r="C5464" s="16" t="s">
        <v>14640</v>
      </c>
      <c r="D5464" s="16"/>
      <c r="E5464">
        <v>6</v>
      </c>
      <c r="F5464" t="s">
        <v>7328</v>
      </c>
      <c r="G5464">
        <v>1</v>
      </c>
      <c r="H5464">
        <v>1</v>
      </c>
      <c r="I5464">
        <f>1</f>
        <v>1</v>
      </c>
    </row>
    <row r="5465" spans="2:9" x14ac:dyDescent="0.25">
      <c r="B5465">
        <v>0</v>
      </c>
      <c r="C5465" s="16" t="s">
        <v>14641</v>
      </c>
      <c r="D5465" s="16"/>
      <c r="E5465">
        <v>6</v>
      </c>
      <c r="F5465" t="e">
        <f>-em cadernos ou em Tubos</f>
        <v>#NAME?</v>
      </c>
      <c r="G5465">
        <v>1</v>
      </c>
      <c r="H5465">
        <v>1</v>
      </c>
      <c r="I5465">
        <f>1</f>
        <v>1</v>
      </c>
    </row>
    <row r="5466" spans="2:9" x14ac:dyDescent="0.25">
      <c r="B5466">
        <v>0</v>
      </c>
      <c r="C5466" s="16" t="s">
        <v>14642</v>
      </c>
      <c r="D5466" s="16"/>
      <c r="E5466">
        <v>6</v>
      </c>
      <c r="F5466" t="s">
        <v>7329</v>
      </c>
      <c r="G5466">
        <v>1</v>
      </c>
      <c r="H5466">
        <v>1</v>
      </c>
      <c r="I5466">
        <f>1</f>
        <v>1</v>
      </c>
    </row>
    <row r="5467" spans="2:9" x14ac:dyDescent="0.25">
      <c r="B5467">
        <v>0</v>
      </c>
      <c r="C5467" s="16" t="s">
        <v>14643</v>
      </c>
      <c r="D5467" s="16"/>
      <c r="E5467">
        <v>6</v>
      </c>
      <c r="F5467" t="e">
        <f>-outros</f>
        <v>#NAME?</v>
      </c>
      <c r="G5467">
        <v>1</v>
      </c>
      <c r="H5467">
        <v>1</v>
      </c>
      <c r="I5467">
        <f>1</f>
        <v>1</v>
      </c>
    </row>
    <row r="5468" spans="2:9" x14ac:dyDescent="0.25">
      <c r="B5468">
        <v>0</v>
      </c>
      <c r="C5468" s="16" t="s">
        <v>14644</v>
      </c>
      <c r="D5468" s="16"/>
      <c r="E5468">
        <v>6</v>
      </c>
      <c r="F5468" t="s">
        <v>7330</v>
      </c>
      <c r="G5468">
        <v>1</v>
      </c>
      <c r="H5468">
        <v>1</v>
      </c>
      <c r="I5468">
        <f>1</f>
        <v>1</v>
      </c>
    </row>
    <row r="5469" spans="2:9" x14ac:dyDescent="0.25">
      <c r="B5469">
        <v>0</v>
      </c>
      <c r="C5469" s="16" t="s">
        <v>14645</v>
      </c>
      <c r="D5469" s="16"/>
      <c r="E5469">
        <v>6</v>
      </c>
      <c r="F5469" t="e">
        <f>-outros</f>
        <v>#NAME?</v>
      </c>
      <c r="G5469">
        <v>1</v>
      </c>
      <c r="H5469">
        <v>1</v>
      </c>
      <c r="I5469">
        <f>1</f>
        <v>1</v>
      </c>
    </row>
    <row r="5470" spans="2:9" x14ac:dyDescent="0.25">
      <c r="B5470">
        <v>0</v>
      </c>
      <c r="C5470" s="16" t="s">
        <v>14646</v>
      </c>
      <c r="D5470" s="16"/>
      <c r="E5470">
        <v>6</v>
      </c>
      <c r="F5470" t="e">
        <f>-papel autocopiativo</f>
        <v>#NAME?</v>
      </c>
      <c r="G5470">
        <v>1</v>
      </c>
      <c r="H5470">
        <v>1</v>
      </c>
      <c r="I5470">
        <f>1</f>
        <v>1</v>
      </c>
    </row>
    <row r="5471" spans="2:9" x14ac:dyDescent="0.25">
      <c r="B5471">
        <v>0</v>
      </c>
      <c r="C5471" s="16" t="s">
        <v>14647</v>
      </c>
      <c r="D5471" s="16"/>
      <c r="E5471">
        <v>6</v>
      </c>
      <c r="F5471" t="s">
        <v>7331</v>
      </c>
      <c r="G5471">
        <v>1</v>
      </c>
      <c r="H5471">
        <v>1</v>
      </c>
      <c r="I5471">
        <f>1</f>
        <v>1</v>
      </c>
    </row>
    <row r="5472" spans="2:9" x14ac:dyDescent="0.25">
      <c r="B5472">
        <v>0</v>
      </c>
      <c r="C5472" s="16" t="s">
        <v>14648</v>
      </c>
      <c r="D5472" s="16"/>
      <c r="E5472">
        <v>6</v>
      </c>
      <c r="F5472" t="s">
        <v>4680</v>
      </c>
      <c r="G5472">
        <v>1</v>
      </c>
      <c r="H5472">
        <v>1</v>
      </c>
      <c r="I5472">
        <f>1</f>
        <v>1</v>
      </c>
    </row>
    <row r="5473" spans="2:9" x14ac:dyDescent="0.25">
      <c r="B5473">
        <v>0</v>
      </c>
      <c r="C5473" s="16" t="s">
        <v>14649</v>
      </c>
      <c r="D5473" s="16"/>
      <c r="E5473">
        <v>6</v>
      </c>
      <c r="F5473" t="e">
        <f>-Envelopes</f>
        <v>#NAME?</v>
      </c>
      <c r="G5473">
        <v>1</v>
      </c>
      <c r="H5473">
        <v>1</v>
      </c>
      <c r="I5473">
        <f>1</f>
        <v>1</v>
      </c>
    </row>
    <row r="5474" spans="2:9" x14ac:dyDescent="0.25">
      <c r="B5474">
        <v>0</v>
      </c>
      <c r="C5474" s="16" t="s">
        <v>14650</v>
      </c>
      <c r="D5474" s="16"/>
      <c r="E5474">
        <v>6</v>
      </c>
      <c r="F5474" t="s">
        <v>7332</v>
      </c>
      <c r="G5474">
        <v>1</v>
      </c>
      <c r="H5474">
        <v>1</v>
      </c>
      <c r="I5474">
        <f>1</f>
        <v>1</v>
      </c>
    </row>
    <row r="5475" spans="2:9" x14ac:dyDescent="0.25">
      <c r="B5475">
        <v>0</v>
      </c>
      <c r="C5475" s="16" t="s">
        <v>14651</v>
      </c>
      <c r="D5475" s="16"/>
      <c r="E5475">
        <v>6</v>
      </c>
      <c r="F5475" t="s">
        <v>7333</v>
      </c>
      <c r="G5475">
        <v>1</v>
      </c>
      <c r="H5475">
        <v>1</v>
      </c>
      <c r="I5475">
        <f>1</f>
        <v>1</v>
      </c>
    </row>
    <row r="5476" spans="2:9" x14ac:dyDescent="0.25">
      <c r="B5476">
        <v>0</v>
      </c>
      <c r="C5476" s="16" t="s">
        <v>14652</v>
      </c>
      <c r="D5476" s="16"/>
      <c r="E5476">
        <v>6</v>
      </c>
      <c r="F5476" t="e">
        <f>-papel higiênico</f>
        <v>#NAME?</v>
      </c>
      <c r="G5476">
        <v>1</v>
      </c>
      <c r="H5476">
        <v>1</v>
      </c>
      <c r="I5476">
        <f>1</f>
        <v>1</v>
      </c>
    </row>
    <row r="5477" spans="2:9" x14ac:dyDescent="0.25">
      <c r="B5477">
        <v>0</v>
      </c>
      <c r="C5477" s="16" t="s">
        <v>14653</v>
      </c>
      <c r="D5477" s="16"/>
      <c r="E5477">
        <v>6</v>
      </c>
      <c r="F5477" t="s">
        <v>7334</v>
      </c>
      <c r="G5477">
        <v>1</v>
      </c>
      <c r="H5477">
        <v>1</v>
      </c>
      <c r="I5477">
        <f>1</f>
        <v>1</v>
      </c>
    </row>
    <row r="5478" spans="2:9" x14ac:dyDescent="0.25">
      <c r="B5478">
        <v>0</v>
      </c>
      <c r="C5478" s="16" t="s">
        <v>14654</v>
      </c>
      <c r="D5478" s="16"/>
      <c r="E5478">
        <v>6</v>
      </c>
      <c r="F5478" t="e">
        <f>-Toalhas De mesa e guardanapos</f>
        <v>#NAME?</v>
      </c>
      <c r="G5478">
        <v>1</v>
      </c>
      <c r="H5478">
        <v>1</v>
      </c>
      <c r="I5478">
        <f>1</f>
        <v>1</v>
      </c>
    </row>
    <row r="5479" spans="2:9" x14ac:dyDescent="0.25">
      <c r="B5479">
        <v>0</v>
      </c>
      <c r="C5479" s="16" t="s">
        <v>14655</v>
      </c>
      <c r="D5479" s="16"/>
      <c r="E5479">
        <v>6</v>
      </c>
      <c r="F5479" t="e">
        <f>-Vestuário e seus acessórios</f>
        <v>#NAME?</v>
      </c>
      <c r="G5479">
        <v>1</v>
      </c>
      <c r="H5479">
        <v>1</v>
      </c>
      <c r="I5479">
        <f>1</f>
        <v>1</v>
      </c>
    </row>
    <row r="5480" spans="2:9" x14ac:dyDescent="0.25">
      <c r="B5480">
        <v>0</v>
      </c>
      <c r="C5480" s="16" t="s">
        <v>14656</v>
      </c>
      <c r="D5480" s="16"/>
      <c r="E5480">
        <v>6</v>
      </c>
      <c r="F5480" t="s">
        <v>7335</v>
      </c>
      <c r="G5480">
        <v>1</v>
      </c>
      <c r="H5480">
        <v>1</v>
      </c>
      <c r="I5480">
        <f>1</f>
        <v>1</v>
      </c>
    </row>
    <row r="5481" spans="2:9" x14ac:dyDescent="0.25">
      <c r="B5481">
        <v>0</v>
      </c>
      <c r="C5481" s="16" t="s">
        <v>14657</v>
      </c>
      <c r="D5481" s="16"/>
      <c r="E5481">
        <v>6</v>
      </c>
      <c r="F5481" t="s">
        <v>4680</v>
      </c>
      <c r="G5481">
        <v>1</v>
      </c>
      <c r="H5481">
        <v>1</v>
      </c>
      <c r="I5481">
        <f>1</f>
        <v>1</v>
      </c>
    </row>
    <row r="5482" spans="2:9" x14ac:dyDescent="0.25">
      <c r="B5482">
        <v>0</v>
      </c>
      <c r="C5482" s="16" t="s">
        <v>14658</v>
      </c>
      <c r="D5482" s="16"/>
      <c r="E5482">
        <v>6</v>
      </c>
      <c r="F5482" t="s">
        <v>7336</v>
      </c>
      <c r="G5482">
        <v>1</v>
      </c>
      <c r="H5482">
        <v>1</v>
      </c>
      <c r="I5482">
        <f>1</f>
        <v>1</v>
      </c>
    </row>
    <row r="5483" spans="2:9" x14ac:dyDescent="0.25">
      <c r="B5483">
        <v>0</v>
      </c>
      <c r="C5483" s="16" t="s">
        <v>14659</v>
      </c>
      <c r="D5483" s="16"/>
      <c r="E5483">
        <v>6</v>
      </c>
      <c r="F5483" t="s">
        <v>7337</v>
      </c>
      <c r="G5483">
        <v>1</v>
      </c>
      <c r="H5483">
        <v>1</v>
      </c>
      <c r="I5483">
        <f>1</f>
        <v>1</v>
      </c>
    </row>
    <row r="5484" spans="2:9" x14ac:dyDescent="0.25">
      <c r="B5484">
        <v>0</v>
      </c>
      <c r="C5484" s="16" t="s">
        <v>14660</v>
      </c>
      <c r="D5484" s="16"/>
      <c r="E5484">
        <v>6</v>
      </c>
      <c r="F5484" t="s">
        <v>7338</v>
      </c>
      <c r="G5484">
        <v>1</v>
      </c>
      <c r="H5484">
        <v>1</v>
      </c>
      <c r="I5484">
        <f>1</f>
        <v>1</v>
      </c>
    </row>
    <row r="5485" spans="2:9" x14ac:dyDescent="0.25">
      <c r="B5485">
        <v>0</v>
      </c>
      <c r="C5485" s="16" t="s">
        <v>14661</v>
      </c>
      <c r="D5485" s="16"/>
      <c r="E5485">
        <v>6</v>
      </c>
      <c r="F5485" t="s">
        <v>7339</v>
      </c>
      <c r="G5485">
        <v>1</v>
      </c>
      <c r="H5485">
        <v>1</v>
      </c>
      <c r="I5485">
        <f>1</f>
        <v>1</v>
      </c>
    </row>
    <row r="5486" spans="2:9" x14ac:dyDescent="0.25">
      <c r="B5486">
        <v>0</v>
      </c>
      <c r="C5486" s="16" t="s">
        <v>14662</v>
      </c>
      <c r="D5486" s="16"/>
      <c r="E5486">
        <v>6</v>
      </c>
      <c r="F5486" t="s">
        <v>7340</v>
      </c>
      <c r="G5486">
        <v>1</v>
      </c>
      <c r="H5486">
        <v>1</v>
      </c>
      <c r="I5486">
        <f>1</f>
        <v>1</v>
      </c>
    </row>
    <row r="5487" spans="2:9" x14ac:dyDescent="0.25">
      <c r="B5487">
        <v>0</v>
      </c>
      <c r="C5487" s="16" t="s">
        <v>14663</v>
      </c>
      <c r="D5487" s="16"/>
      <c r="E5487">
        <v>6</v>
      </c>
      <c r="F5487" t="s">
        <v>7341</v>
      </c>
      <c r="G5487">
        <v>1</v>
      </c>
      <c r="H5487">
        <v>1</v>
      </c>
      <c r="I5487">
        <f>1</f>
        <v>1</v>
      </c>
    </row>
    <row r="5488" spans="2:9" x14ac:dyDescent="0.25">
      <c r="B5488">
        <v>0</v>
      </c>
      <c r="C5488" s="16" t="s">
        <v>14664</v>
      </c>
      <c r="D5488" s="16"/>
      <c r="E5488">
        <v>6</v>
      </c>
      <c r="F5488" t="s">
        <v>7342</v>
      </c>
      <c r="G5488">
        <v>1</v>
      </c>
      <c r="H5488">
        <v>1</v>
      </c>
      <c r="I5488">
        <f>1</f>
        <v>1</v>
      </c>
    </row>
    <row r="5489" spans="2:9" x14ac:dyDescent="0.25">
      <c r="B5489">
        <v>0</v>
      </c>
      <c r="C5489" s="16" t="s">
        <v>14665</v>
      </c>
      <c r="D5489" s="16"/>
      <c r="E5489">
        <v>6</v>
      </c>
      <c r="F5489" t="e">
        <f>-cadernos</f>
        <v>#NAME?</v>
      </c>
      <c r="G5489">
        <v>1</v>
      </c>
      <c r="H5489">
        <v>1</v>
      </c>
      <c r="I5489">
        <f>1</f>
        <v>1</v>
      </c>
    </row>
    <row r="5490" spans="2:9" x14ac:dyDescent="0.25">
      <c r="B5490">
        <v>0</v>
      </c>
      <c r="C5490" s="16" t="s">
        <v>14666</v>
      </c>
      <c r="D5490" s="16"/>
      <c r="E5490">
        <v>6</v>
      </c>
      <c r="F5490" t="s">
        <v>7343</v>
      </c>
      <c r="G5490">
        <v>1</v>
      </c>
      <c r="H5490">
        <v>1</v>
      </c>
      <c r="I5490">
        <f>1</f>
        <v>1</v>
      </c>
    </row>
    <row r="5491" spans="2:9" x14ac:dyDescent="0.25">
      <c r="B5491">
        <v>0</v>
      </c>
      <c r="C5491" s="16" t="s">
        <v>14667</v>
      </c>
      <c r="D5491" s="16"/>
      <c r="E5491">
        <v>6</v>
      </c>
      <c r="F5491" t="s">
        <v>7344</v>
      </c>
      <c r="G5491">
        <v>1</v>
      </c>
      <c r="H5491">
        <v>1</v>
      </c>
      <c r="I5491">
        <f>1</f>
        <v>1</v>
      </c>
    </row>
    <row r="5492" spans="2:9" x14ac:dyDescent="0.25">
      <c r="B5492">
        <v>0</v>
      </c>
      <c r="C5492" s="16" t="s">
        <v>14668</v>
      </c>
      <c r="D5492" s="16"/>
      <c r="E5492">
        <v>6</v>
      </c>
      <c r="F5492" t="e">
        <f>-Álbuns para amostras ou para coleções</f>
        <v>#NAME?</v>
      </c>
      <c r="G5492">
        <v>1</v>
      </c>
      <c r="H5492">
        <v>1</v>
      </c>
      <c r="I5492">
        <f>1</f>
        <v>1</v>
      </c>
    </row>
    <row r="5493" spans="2:9" x14ac:dyDescent="0.25">
      <c r="B5493">
        <v>0</v>
      </c>
      <c r="C5493" s="16" t="s">
        <v>14669</v>
      </c>
      <c r="D5493" s="16"/>
      <c r="E5493">
        <v>6</v>
      </c>
      <c r="F5493" t="e">
        <f>-outros</f>
        <v>#NAME?</v>
      </c>
      <c r="G5493">
        <v>1</v>
      </c>
      <c r="H5493">
        <v>1</v>
      </c>
      <c r="I5493">
        <f>1</f>
        <v>1</v>
      </c>
    </row>
    <row r="5494" spans="2:9" x14ac:dyDescent="0.25">
      <c r="B5494">
        <v>0</v>
      </c>
      <c r="C5494" s="16" t="s">
        <v>14670</v>
      </c>
      <c r="D5494" s="16"/>
      <c r="E5494">
        <v>6</v>
      </c>
      <c r="F5494" t="e">
        <f>-Impressas</f>
        <v>#NAME?</v>
      </c>
      <c r="G5494">
        <v>1</v>
      </c>
      <c r="H5494">
        <v>1</v>
      </c>
      <c r="I5494">
        <f>1</f>
        <v>1</v>
      </c>
    </row>
    <row r="5495" spans="2:9" x14ac:dyDescent="0.25">
      <c r="B5495">
        <v>0</v>
      </c>
      <c r="C5495" s="16" t="s">
        <v>14671</v>
      </c>
      <c r="D5495" s="16"/>
      <c r="E5495">
        <v>6</v>
      </c>
      <c r="F5495" t="e">
        <f>-Outras</f>
        <v>#NAME?</v>
      </c>
      <c r="G5495">
        <v>1</v>
      </c>
      <c r="H5495">
        <v>1</v>
      </c>
      <c r="I5495">
        <f>1</f>
        <v>1</v>
      </c>
    </row>
    <row r="5496" spans="2:9" x14ac:dyDescent="0.25">
      <c r="B5496">
        <v>0</v>
      </c>
      <c r="C5496" s="16" t="s">
        <v>14672</v>
      </c>
      <c r="D5496" s="16"/>
      <c r="E5496">
        <v>6</v>
      </c>
      <c r="F5496" t="e">
        <f>-dos tipos utilizados para enrolamento De Fios têxteis</f>
        <v>#NAME?</v>
      </c>
      <c r="G5496">
        <v>1</v>
      </c>
      <c r="H5496">
        <v>1</v>
      </c>
      <c r="I5496">
        <f>1</f>
        <v>1</v>
      </c>
    </row>
    <row r="5497" spans="2:9" x14ac:dyDescent="0.25">
      <c r="B5497">
        <v>0</v>
      </c>
      <c r="C5497" s="16" t="s">
        <v>14673</v>
      </c>
      <c r="D5497" s="16"/>
      <c r="E5497">
        <v>6</v>
      </c>
      <c r="F5497" t="e">
        <f>-outros</f>
        <v>#NAME?</v>
      </c>
      <c r="G5497">
        <v>1</v>
      </c>
      <c r="H5497">
        <v>1</v>
      </c>
      <c r="I5497">
        <f>1</f>
        <v>1</v>
      </c>
    </row>
    <row r="5498" spans="2:9" x14ac:dyDescent="0.25">
      <c r="B5498">
        <v>0</v>
      </c>
      <c r="C5498" s="16" t="s">
        <v>14674</v>
      </c>
      <c r="D5498" s="16"/>
      <c r="E5498">
        <v>6</v>
      </c>
      <c r="F5498" t="s">
        <v>7315</v>
      </c>
      <c r="G5498">
        <v>1</v>
      </c>
      <c r="H5498">
        <v>1</v>
      </c>
      <c r="I5498">
        <f>1</f>
        <v>1</v>
      </c>
    </row>
    <row r="5499" spans="2:9" x14ac:dyDescent="0.25">
      <c r="B5499">
        <v>0</v>
      </c>
      <c r="C5499" s="16" t="s">
        <v>14675</v>
      </c>
      <c r="D5499" s="16"/>
      <c r="E5499">
        <v>6</v>
      </c>
      <c r="F5499" t="s">
        <v>7345</v>
      </c>
      <c r="G5499">
        <v>1</v>
      </c>
      <c r="H5499">
        <v>1</v>
      </c>
      <c r="I5499">
        <f>1</f>
        <v>1</v>
      </c>
    </row>
    <row r="5500" spans="2:9" x14ac:dyDescent="0.25">
      <c r="B5500">
        <v>0</v>
      </c>
      <c r="C5500" s="16" t="s">
        <v>14676</v>
      </c>
      <c r="D5500" s="16"/>
      <c r="E5500">
        <v>6</v>
      </c>
      <c r="F5500" t="s">
        <v>4680</v>
      </c>
      <c r="G5500">
        <v>1</v>
      </c>
      <c r="H5500">
        <v>1</v>
      </c>
      <c r="I5500">
        <f>1</f>
        <v>1</v>
      </c>
    </row>
    <row r="5501" spans="2:9" x14ac:dyDescent="0.25">
      <c r="B5501">
        <v>0</v>
      </c>
      <c r="C5501" s="16" t="s">
        <v>14677</v>
      </c>
      <c r="D5501" s="16"/>
      <c r="E5501">
        <v>6</v>
      </c>
      <c r="F5501" t="s">
        <v>7346</v>
      </c>
      <c r="G5501">
        <v>1</v>
      </c>
      <c r="H5501">
        <v>1</v>
      </c>
      <c r="I5501">
        <f>1</f>
        <v>1</v>
      </c>
    </row>
    <row r="5502" spans="2:9" x14ac:dyDescent="0.25">
      <c r="B5502">
        <v>0</v>
      </c>
      <c r="C5502" s="16" t="s">
        <v>14678</v>
      </c>
      <c r="D5502" s="16"/>
      <c r="E5502">
        <v>6</v>
      </c>
      <c r="F5502" t="e">
        <f>--De bambu</f>
        <v>#NAME?</v>
      </c>
      <c r="G5502">
        <v>1</v>
      </c>
      <c r="H5502">
        <v>1</v>
      </c>
      <c r="I5502">
        <f>1</f>
        <v>1</v>
      </c>
    </row>
    <row r="5503" spans="2:9" x14ac:dyDescent="0.25">
      <c r="B5503">
        <v>0</v>
      </c>
      <c r="C5503" s="16" t="s">
        <v>14679</v>
      </c>
      <c r="D5503" s="16"/>
      <c r="E5503">
        <v>6</v>
      </c>
      <c r="F5503" t="e">
        <f>--outros</f>
        <v>#NAME?</v>
      </c>
      <c r="G5503">
        <v>1</v>
      </c>
      <c r="H5503">
        <v>1</v>
      </c>
      <c r="I5503">
        <f>1</f>
        <v>1</v>
      </c>
    </row>
    <row r="5504" spans="2:9" x14ac:dyDescent="0.25">
      <c r="B5504">
        <v>0</v>
      </c>
      <c r="C5504" s="16" t="s">
        <v>14680</v>
      </c>
      <c r="D5504" s="16"/>
      <c r="E5504">
        <v>6</v>
      </c>
      <c r="F5504" t="s">
        <v>7347</v>
      </c>
      <c r="G5504">
        <v>1</v>
      </c>
      <c r="H5504">
        <v>1</v>
      </c>
      <c r="I5504">
        <f>1</f>
        <v>1</v>
      </c>
    </row>
    <row r="5505" spans="2:9" x14ac:dyDescent="0.25">
      <c r="B5505">
        <v>0</v>
      </c>
      <c r="C5505" s="16" t="s">
        <v>14681</v>
      </c>
      <c r="D5505" s="16"/>
      <c r="E5505">
        <v>6</v>
      </c>
      <c r="F5505" t="s">
        <v>7348</v>
      </c>
      <c r="G5505">
        <v>1</v>
      </c>
      <c r="H5505">
        <v>1</v>
      </c>
      <c r="I5505">
        <f>1</f>
        <v>1</v>
      </c>
    </row>
    <row r="5506" spans="2:9" x14ac:dyDescent="0.25">
      <c r="B5506">
        <v>0</v>
      </c>
      <c r="C5506" s="16" t="s">
        <v>14682</v>
      </c>
      <c r="D5506" s="16"/>
      <c r="E5506">
        <v>6</v>
      </c>
      <c r="F5506" t="s">
        <v>7349</v>
      </c>
      <c r="G5506">
        <v>1</v>
      </c>
      <c r="H5506">
        <v>1</v>
      </c>
      <c r="I5506">
        <f>1</f>
        <v>1</v>
      </c>
    </row>
    <row r="5507" spans="2:9" x14ac:dyDescent="0.25">
      <c r="B5507">
        <v>0</v>
      </c>
      <c r="C5507" s="16" t="s">
        <v>14683</v>
      </c>
      <c r="D5507" s="16"/>
      <c r="E5507">
        <v>6</v>
      </c>
      <c r="F5507" t="s">
        <v>7345</v>
      </c>
      <c r="G5507">
        <v>1</v>
      </c>
      <c r="H5507">
        <v>1</v>
      </c>
      <c r="I5507">
        <f>1</f>
        <v>1</v>
      </c>
    </row>
    <row r="5508" spans="2:9" x14ac:dyDescent="0.25">
      <c r="B5508">
        <v>0</v>
      </c>
      <c r="C5508" s="16" t="s">
        <v>14684</v>
      </c>
      <c r="D5508" s="16"/>
      <c r="E5508">
        <v>6</v>
      </c>
      <c r="F5508" t="s">
        <v>4680</v>
      </c>
      <c r="G5508">
        <v>1</v>
      </c>
      <c r="H5508">
        <v>1</v>
      </c>
      <c r="I5508">
        <f>1</f>
        <v>1</v>
      </c>
    </row>
    <row r="5509" spans="2:9" x14ac:dyDescent="0.25">
      <c r="B5509">
        <v>0</v>
      </c>
      <c r="C5509" s="16" t="s">
        <v>14685</v>
      </c>
      <c r="D5509" s="16"/>
      <c r="E5509">
        <v>6</v>
      </c>
      <c r="F5509" t="s">
        <v>7350</v>
      </c>
      <c r="G5509">
        <v>1</v>
      </c>
      <c r="H5509">
        <v>1</v>
      </c>
      <c r="I5509">
        <f>1</f>
        <v>1</v>
      </c>
    </row>
    <row r="5510" spans="2:9" x14ac:dyDescent="0.25">
      <c r="B5510">
        <v>0</v>
      </c>
      <c r="C5510" s="16" t="s">
        <v>14686</v>
      </c>
      <c r="D5510" s="16"/>
      <c r="E5510">
        <v>6</v>
      </c>
      <c r="F5510" t="s">
        <v>7351</v>
      </c>
      <c r="G5510">
        <v>1</v>
      </c>
      <c r="H5510">
        <v>1</v>
      </c>
      <c r="I5510">
        <f>1</f>
        <v>1</v>
      </c>
    </row>
    <row r="5511" spans="2:9" x14ac:dyDescent="0.25">
      <c r="B5511">
        <v>0</v>
      </c>
      <c r="C5511" s="16" t="s">
        <v>14687</v>
      </c>
      <c r="D5511" s="16"/>
      <c r="E5511">
        <v>6</v>
      </c>
      <c r="F5511" t="e">
        <f>--outros</f>
        <v>#NAME?</v>
      </c>
      <c r="G5511">
        <v>1</v>
      </c>
      <c r="H5511">
        <v>1</v>
      </c>
      <c r="I5511">
        <f>1</f>
        <v>1</v>
      </c>
    </row>
    <row r="5512" spans="2:9" x14ac:dyDescent="0.25">
      <c r="B5512">
        <v>0</v>
      </c>
      <c r="C5512" s="16" t="s">
        <v>14688</v>
      </c>
      <c r="D5512" s="16"/>
      <c r="E5512">
        <v>6</v>
      </c>
      <c r="F5512" t="e">
        <f>-que se publiquem pelo menos quatro vezes por semana</f>
        <v>#NAME?</v>
      </c>
      <c r="G5512">
        <v>1</v>
      </c>
      <c r="H5512">
        <v>1</v>
      </c>
      <c r="I5512">
        <f>1</f>
        <v>1</v>
      </c>
    </row>
    <row r="5513" spans="2:9" x14ac:dyDescent="0.25">
      <c r="B5513">
        <v>0</v>
      </c>
      <c r="C5513" s="16" t="s">
        <v>14688</v>
      </c>
      <c r="D5513" s="16" t="s">
        <v>19430</v>
      </c>
      <c r="E5513">
        <v>6</v>
      </c>
      <c r="F5513" t="s">
        <v>7352</v>
      </c>
      <c r="G5513">
        <v>1</v>
      </c>
      <c r="H5513">
        <v>1</v>
      </c>
      <c r="I5513">
        <f>1</f>
        <v>1</v>
      </c>
    </row>
    <row r="5514" spans="2:9" x14ac:dyDescent="0.25">
      <c r="B5514">
        <v>0</v>
      </c>
      <c r="C5514" s="16" t="s">
        <v>14689</v>
      </c>
      <c r="D5514" s="16"/>
      <c r="E5514">
        <v>6</v>
      </c>
      <c r="F5514" t="e">
        <f>-outros</f>
        <v>#NAME?</v>
      </c>
      <c r="G5514">
        <v>1</v>
      </c>
      <c r="H5514">
        <v>1</v>
      </c>
      <c r="I5514">
        <f>1</f>
        <v>1</v>
      </c>
    </row>
    <row r="5515" spans="2:9" x14ac:dyDescent="0.25">
      <c r="B5515">
        <v>0</v>
      </c>
      <c r="C5515" s="16" t="s">
        <v>14689</v>
      </c>
      <c r="D5515" s="16" t="s">
        <v>19430</v>
      </c>
      <c r="E5515">
        <v>6</v>
      </c>
      <c r="F5515" t="s">
        <v>7352</v>
      </c>
      <c r="G5515">
        <v>1</v>
      </c>
      <c r="H5515">
        <v>1</v>
      </c>
      <c r="I5515">
        <f>1</f>
        <v>1</v>
      </c>
    </row>
    <row r="5516" spans="2:9" x14ac:dyDescent="0.25">
      <c r="B5516">
        <v>0</v>
      </c>
      <c r="C5516" s="16" t="s">
        <v>14690</v>
      </c>
      <c r="D5516" s="16"/>
      <c r="E5516">
        <v>6</v>
      </c>
      <c r="F5516" t="s">
        <v>7353</v>
      </c>
      <c r="G5516">
        <v>1</v>
      </c>
      <c r="H5516">
        <v>1</v>
      </c>
      <c r="I5516">
        <f>1</f>
        <v>1</v>
      </c>
    </row>
    <row r="5517" spans="2:9" x14ac:dyDescent="0.25">
      <c r="B5517">
        <v>0</v>
      </c>
      <c r="C5517" s="16" t="s">
        <v>14691</v>
      </c>
      <c r="D5517" s="16"/>
      <c r="E5517">
        <v>6</v>
      </c>
      <c r="F5517" t="s">
        <v>7354</v>
      </c>
      <c r="G5517">
        <v>1</v>
      </c>
      <c r="H5517">
        <v>1</v>
      </c>
      <c r="I5517">
        <f>1</f>
        <v>1</v>
      </c>
    </row>
    <row r="5518" spans="2:9" x14ac:dyDescent="0.25">
      <c r="B5518">
        <v>0</v>
      </c>
      <c r="C5518" s="16" t="s">
        <v>14692</v>
      </c>
      <c r="D5518" s="16"/>
      <c r="E5518">
        <v>6</v>
      </c>
      <c r="F5518" t="e">
        <f>-Globos</f>
        <v>#NAME?</v>
      </c>
      <c r="G5518">
        <v>1</v>
      </c>
      <c r="H5518">
        <v>1</v>
      </c>
      <c r="I5518">
        <f>1</f>
        <v>1</v>
      </c>
    </row>
    <row r="5519" spans="2:9" x14ac:dyDescent="0.25">
      <c r="B5519">
        <v>0</v>
      </c>
      <c r="C5519" s="16" t="s">
        <v>14693</v>
      </c>
      <c r="D5519" s="16"/>
      <c r="E5519">
        <v>6</v>
      </c>
      <c r="F5519" t="e">
        <f>--sob a forma De Livros ou brochuras</f>
        <v>#NAME?</v>
      </c>
      <c r="G5519">
        <v>1</v>
      </c>
      <c r="H5519">
        <v>1</v>
      </c>
      <c r="I5519">
        <f>1</f>
        <v>1</v>
      </c>
    </row>
    <row r="5520" spans="2:9" x14ac:dyDescent="0.25">
      <c r="B5520">
        <v>0</v>
      </c>
      <c r="C5520" s="16" t="s">
        <v>14694</v>
      </c>
      <c r="D5520" s="16"/>
      <c r="E5520">
        <v>6</v>
      </c>
      <c r="F5520" t="e">
        <f>--outros</f>
        <v>#NAME?</v>
      </c>
      <c r="G5520">
        <v>1</v>
      </c>
      <c r="H5520">
        <v>1</v>
      </c>
      <c r="I5520">
        <f>1</f>
        <v>1</v>
      </c>
    </row>
    <row r="5521" spans="2:9" x14ac:dyDescent="0.25">
      <c r="B5521">
        <v>0</v>
      </c>
      <c r="C5521" s="16" t="s">
        <v>14695</v>
      </c>
      <c r="D5521" s="16"/>
      <c r="E5521">
        <v>6</v>
      </c>
      <c r="F5521" t="s">
        <v>7355</v>
      </c>
      <c r="G5521">
        <v>1</v>
      </c>
      <c r="H5521">
        <v>1</v>
      </c>
      <c r="I5521">
        <f>1</f>
        <v>1</v>
      </c>
    </row>
    <row r="5522" spans="2:9" x14ac:dyDescent="0.25">
      <c r="B5522">
        <v>0</v>
      </c>
      <c r="C5522" s="16" t="s">
        <v>14696</v>
      </c>
      <c r="D5522" s="16"/>
      <c r="E5522">
        <v>6</v>
      </c>
      <c r="F5522" t="s">
        <v>7356</v>
      </c>
      <c r="G5522">
        <v>1</v>
      </c>
      <c r="H5522">
        <v>1</v>
      </c>
      <c r="I5522">
        <f>1</f>
        <v>1</v>
      </c>
    </row>
    <row r="5523" spans="2:9" x14ac:dyDescent="0.25">
      <c r="B5523">
        <v>0</v>
      </c>
      <c r="C5523" s="16" t="s">
        <v>14697</v>
      </c>
      <c r="D5523" s="16"/>
      <c r="E5523">
        <v>6</v>
      </c>
      <c r="F5523" t="s">
        <v>7357</v>
      </c>
      <c r="G5523">
        <v>1</v>
      </c>
      <c r="H5523">
        <v>1</v>
      </c>
      <c r="I5523">
        <f>1</f>
        <v>1</v>
      </c>
    </row>
    <row r="5524" spans="2:9" x14ac:dyDescent="0.25">
      <c r="B5524">
        <v>0</v>
      </c>
      <c r="C5524" s="16" t="s">
        <v>14698</v>
      </c>
      <c r="D5524" s="16"/>
      <c r="E5524">
        <v>6</v>
      </c>
      <c r="F5524" t="s">
        <v>7358</v>
      </c>
      <c r="G5524">
        <v>1</v>
      </c>
      <c r="H5524">
        <v>1</v>
      </c>
      <c r="I5524">
        <f>1</f>
        <v>1</v>
      </c>
    </row>
    <row r="5525" spans="2:9" x14ac:dyDescent="0.25">
      <c r="B5525">
        <v>0</v>
      </c>
      <c r="C5525" s="16" t="s">
        <v>14699</v>
      </c>
      <c r="D5525" s="16"/>
      <c r="E5525">
        <v>6</v>
      </c>
      <c r="F5525" t="s">
        <v>4680</v>
      </c>
      <c r="G5525">
        <v>1</v>
      </c>
      <c r="H5525">
        <v>1</v>
      </c>
      <c r="I5525">
        <f>1</f>
        <v>1</v>
      </c>
    </row>
    <row r="5526" spans="2:9" x14ac:dyDescent="0.25">
      <c r="B5526">
        <v>0</v>
      </c>
      <c r="C5526" s="16" t="s">
        <v>14700</v>
      </c>
      <c r="D5526" s="16"/>
      <c r="E5526">
        <v>6</v>
      </c>
      <c r="F5526" t="e">
        <f>-Decalcomanias vitrificáveis</f>
        <v>#NAME?</v>
      </c>
      <c r="G5526">
        <v>1</v>
      </c>
      <c r="H5526">
        <v>1</v>
      </c>
      <c r="I5526">
        <f>1</f>
        <v>1</v>
      </c>
    </row>
    <row r="5527" spans="2:9" x14ac:dyDescent="0.25">
      <c r="B5527">
        <v>0</v>
      </c>
      <c r="C5527" s="16" t="s">
        <v>14701</v>
      </c>
      <c r="D5527" s="16"/>
      <c r="E5527">
        <v>6</v>
      </c>
      <c r="F5527" t="e">
        <f>-Outras</f>
        <v>#NAME?</v>
      </c>
      <c r="G5527">
        <v>1</v>
      </c>
      <c r="H5527">
        <v>1</v>
      </c>
      <c r="I5527">
        <f>1</f>
        <v>1</v>
      </c>
    </row>
    <row r="5528" spans="2:9" x14ac:dyDescent="0.25">
      <c r="B5528">
        <v>0</v>
      </c>
      <c r="C5528" s="16" t="s">
        <v>14702</v>
      </c>
      <c r="D5528" s="16"/>
      <c r="E5528">
        <v>6</v>
      </c>
      <c r="F5528" t="s">
        <v>7359</v>
      </c>
      <c r="G5528">
        <v>1</v>
      </c>
      <c r="H5528">
        <v>1</v>
      </c>
      <c r="I5528">
        <f>1</f>
        <v>1</v>
      </c>
    </row>
    <row r="5529" spans="2:9" x14ac:dyDescent="0.25">
      <c r="B5529">
        <v>0</v>
      </c>
      <c r="C5529" s="16" t="s">
        <v>14703</v>
      </c>
      <c r="D5529" s="16"/>
      <c r="E5529">
        <v>6</v>
      </c>
      <c r="F5529" t="s">
        <v>7360</v>
      </c>
      <c r="G5529">
        <v>1</v>
      </c>
      <c r="H5529">
        <v>1</v>
      </c>
      <c r="I5529">
        <f>1</f>
        <v>1</v>
      </c>
    </row>
    <row r="5530" spans="2:9" x14ac:dyDescent="0.25">
      <c r="B5530">
        <v>0</v>
      </c>
      <c r="C5530" s="16" t="s">
        <v>14704</v>
      </c>
      <c r="D5530" s="16"/>
      <c r="E5530">
        <v>6</v>
      </c>
      <c r="F5530" t="s">
        <v>7361</v>
      </c>
      <c r="G5530">
        <v>1</v>
      </c>
      <c r="H5530">
        <v>1</v>
      </c>
      <c r="I5530">
        <f>1</f>
        <v>1</v>
      </c>
    </row>
    <row r="5531" spans="2:9" x14ac:dyDescent="0.25">
      <c r="B5531">
        <v>0</v>
      </c>
      <c r="C5531" s="16" t="s">
        <v>14705</v>
      </c>
      <c r="D5531" s="16"/>
      <c r="E5531">
        <v>6</v>
      </c>
      <c r="F5531" t="s">
        <v>4680</v>
      </c>
      <c r="G5531">
        <v>1</v>
      </c>
      <c r="H5531">
        <v>1</v>
      </c>
      <c r="I5531">
        <f>1</f>
        <v>1</v>
      </c>
    </row>
    <row r="5532" spans="2:9" x14ac:dyDescent="0.25">
      <c r="B5532">
        <v>0</v>
      </c>
      <c r="C5532" s="16" t="s">
        <v>14706</v>
      </c>
      <c r="D5532" s="16"/>
      <c r="E5532">
        <v>6</v>
      </c>
      <c r="F5532" t="s">
        <v>7362</v>
      </c>
      <c r="G5532">
        <v>1</v>
      </c>
      <c r="H5532">
        <v>1</v>
      </c>
      <c r="I5532">
        <f>1</f>
        <v>1</v>
      </c>
    </row>
    <row r="5533" spans="2:9" x14ac:dyDescent="0.25">
      <c r="B5533">
        <v>0</v>
      </c>
      <c r="C5533" s="16" t="s">
        <v>14706</v>
      </c>
      <c r="D5533" s="16" t="s">
        <v>19430</v>
      </c>
      <c r="E5533">
        <v>6</v>
      </c>
      <c r="F5533" t="s">
        <v>7363</v>
      </c>
      <c r="G5533">
        <v>1</v>
      </c>
      <c r="H5533">
        <v>1</v>
      </c>
      <c r="I5533">
        <f>1</f>
        <v>1</v>
      </c>
    </row>
    <row r="5534" spans="2:9" x14ac:dyDescent="0.25">
      <c r="B5534">
        <v>0</v>
      </c>
      <c r="C5534" s="16" t="s">
        <v>14707</v>
      </c>
      <c r="D5534" s="16"/>
      <c r="E5534">
        <v>6</v>
      </c>
      <c r="F5534" t="e">
        <f>--outros</f>
        <v>#NAME?</v>
      </c>
      <c r="G5534">
        <v>1</v>
      </c>
      <c r="H5534">
        <v>1</v>
      </c>
      <c r="I5534">
        <f>1</f>
        <v>1</v>
      </c>
    </row>
    <row r="5535" spans="2:9" x14ac:dyDescent="0.25">
      <c r="B5535">
        <v>0</v>
      </c>
      <c r="C5535" s="16" t="s">
        <v>14707</v>
      </c>
      <c r="D5535" s="16" t="s">
        <v>19430</v>
      </c>
      <c r="E5535">
        <v>6</v>
      </c>
      <c r="F5535" t="s">
        <v>7364</v>
      </c>
      <c r="G5535">
        <v>1</v>
      </c>
      <c r="H5535">
        <v>1</v>
      </c>
      <c r="I5535">
        <f>1</f>
        <v>1</v>
      </c>
    </row>
    <row r="5536" spans="2:9" x14ac:dyDescent="0.25">
      <c r="B5536">
        <v>0</v>
      </c>
      <c r="C5536" s="16" t="s">
        <v>14708</v>
      </c>
      <c r="D5536" s="16"/>
      <c r="E5536">
        <v>6</v>
      </c>
      <c r="F5536" t="s">
        <v>7365</v>
      </c>
      <c r="G5536">
        <v>1</v>
      </c>
      <c r="H5536">
        <v>0</v>
      </c>
      <c r="I5536">
        <f>1</f>
        <v>1</v>
      </c>
    </row>
    <row r="5537" spans="2:9" x14ac:dyDescent="0.25">
      <c r="B5537">
        <v>0</v>
      </c>
      <c r="C5537" s="16" t="s">
        <v>14709</v>
      </c>
      <c r="D5537" s="16"/>
      <c r="E5537">
        <v>6</v>
      </c>
      <c r="F5537" t="s">
        <v>7366</v>
      </c>
      <c r="G5537">
        <v>1</v>
      </c>
      <c r="H5537">
        <v>0</v>
      </c>
      <c r="I5537">
        <f>1</f>
        <v>1</v>
      </c>
    </row>
    <row r="5538" spans="2:9" x14ac:dyDescent="0.25">
      <c r="B5538">
        <v>0</v>
      </c>
      <c r="C5538" s="16" t="s">
        <v>14710</v>
      </c>
      <c r="D5538" s="16"/>
      <c r="E5538">
        <v>6</v>
      </c>
      <c r="F5538" t="s">
        <v>7367</v>
      </c>
      <c r="G5538">
        <v>1</v>
      </c>
      <c r="H5538">
        <v>0</v>
      </c>
      <c r="I5538">
        <f>1</f>
        <v>1</v>
      </c>
    </row>
    <row r="5539" spans="2:9" x14ac:dyDescent="0.25">
      <c r="B5539">
        <v>0</v>
      </c>
      <c r="C5539" s="16" t="s">
        <v>14711</v>
      </c>
      <c r="D5539" s="16"/>
      <c r="E5539">
        <v>6</v>
      </c>
      <c r="F5539" t="s">
        <v>4680</v>
      </c>
      <c r="G5539">
        <v>1</v>
      </c>
      <c r="H5539">
        <v>0</v>
      </c>
      <c r="I5539">
        <f>1</f>
        <v>1</v>
      </c>
    </row>
    <row r="5540" spans="2:9" x14ac:dyDescent="0.25">
      <c r="B5540">
        <v>0</v>
      </c>
      <c r="C5540" s="16" t="s">
        <v>14712</v>
      </c>
      <c r="D5540" s="16"/>
      <c r="E5540">
        <v>6</v>
      </c>
      <c r="F5540" t="s">
        <v>7368</v>
      </c>
      <c r="G5540">
        <v>1</v>
      </c>
      <c r="H5540">
        <v>0</v>
      </c>
      <c r="I5540">
        <f>1</f>
        <v>1</v>
      </c>
    </row>
    <row r="5541" spans="2:9" x14ac:dyDescent="0.25">
      <c r="B5541">
        <v>0</v>
      </c>
      <c r="C5541" s="16" t="s">
        <v>14713</v>
      </c>
      <c r="D5541" s="16"/>
      <c r="E5541">
        <v>6</v>
      </c>
      <c r="F5541" t="s">
        <v>7369</v>
      </c>
      <c r="G5541">
        <v>1</v>
      </c>
      <c r="H5541">
        <v>0</v>
      </c>
      <c r="I5541">
        <f>1</f>
        <v>1</v>
      </c>
    </row>
    <row r="5542" spans="2:9" x14ac:dyDescent="0.25">
      <c r="B5542">
        <v>0</v>
      </c>
      <c r="C5542" s="16" t="s">
        <v>14714</v>
      </c>
      <c r="D5542" s="16"/>
      <c r="E5542">
        <v>6</v>
      </c>
      <c r="F5542" t="s">
        <v>7370</v>
      </c>
      <c r="G5542">
        <v>1</v>
      </c>
      <c r="H5542">
        <v>0</v>
      </c>
      <c r="I5542">
        <f>1</f>
        <v>1</v>
      </c>
    </row>
    <row r="5543" spans="2:9" x14ac:dyDescent="0.25">
      <c r="B5543">
        <v>0</v>
      </c>
      <c r="C5543" s="16" t="s">
        <v>14715</v>
      </c>
      <c r="D5543" s="16"/>
      <c r="E5543">
        <v>6</v>
      </c>
      <c r="F5543" t="s">
        <v>7371</v>
      </c>
      <c r="G5543">
        <v>1</v>
      </c>
      <c r="H5543">
        <v>0</v>
      </c>
      <c r="I5543">
        <f>1</f>
        <v>1</v>
      </c>
    </row>
    <row r="5544" spans="2:9" x14ac:dyDescent="0.25">
      <c r="B5544">
        <v>0</v>
      </c>
      <c r="C5544" s="16" t="s">
        <v>14716</v>
      </c>
      <c r="D5544" s="16"/>
      <c r="E5544">
        <v>6</v>
      </c>
      <c r="F5544" t="s">
        <v>4680</v>
      </c>
      <c r="G5544">
        <v>1</v>
      </c>
      <c r="H5544">
        <v>0</v>
      </c>
      <c r="I5544">
        <f>1</f>
        <v>1</v>
      </c>
    </row>
    <row r="5545" spans="2:9" x14ac:dyDescent="0.25">
      <c r="B5545">
        <v>0</v>
      </c>
      <c r="C5545" s="16" t="s">
        <v>14717</v>
      </c>
      <c r="D5545" s="16"/>
      <c r="E5545">
        <v>6</v>
      </c>
      <c r="F5545" t="s">
        <v>7371</v>
      </c>
      <c r="G5545">
        <v>1</v>
      </c>
      <c r="H5545">
        <v>0</v>
      </c>
      <c r="I5545">
        <f>1</f>
        <v>1</v>
      </c>
    </row>
    <row r="5546" spans="2:9" x14ac:dyDescent="0.25">
      <c r="B5546">
        <v>0</v>
      </c>
      <c r="C5546" s="16" t="s">
        <v>14718</v>
      </c>
      <c r="D5546" s="16"/>
      <c r="E5546">
        <v>6</v>
      </c>
      <c r="F5546" t="s">
        <v>4680</v>
      </c>
      <c r="G5546">
        <v>1</v>
      </c>
      <c r="H5546">
        <v>0</v>
      </c>
      <c r="I5546">
        <f>1</f>
        <v>1</v>
      </c>
    </row>
    <row r="5547" spans="2:9" x14ac:dyDescent="0.25">
      <c r="B5547">
        <v>0</v>
      </c>
      <c r="C5547" s="16" t="s">
        <v>14719</v>
      </c>
      <c r="D5547" s="16"/>
      <c r="E5547">
        <v>6</v>
      </c>
      <c r="F5547" t="e">
        <f>-outros tecidos</f>
        <v>#NAME?</v>
      </c>
      <c r="G5547">
        <v>1</v>
      </c>
      <c r="H5547">
        <v>0</v>
      </c>
      <c r="I5547">
        <f>1</f>
        <v>1</v>
      </c>
    </row>
    <row r="5548" spans="2:9" x14ac:dyDescent="0.25">
      <c r="B5548">
        <v>0</v>
      </c>
      <c r="C5548" s="16" t="s">
        <v>14720</v>
      </c>
      <c r="D5548" s="16"/>
      <c r="E5548">
        <v>6</v>
      </c>
      <c r="F5548" t="s">
        <v>7372</v>
      </c>
      <c r="G5548">
        <v>1</v>
      </c>
      <c r="H5548">
        <v>0</v>
      </c>
      <c r="I5548">
        <f>1</f>
        <v>1</v>
      </c>
    </row>
    <row r="5549" spans="2:9" x14ac:dyDescent="0.25">
      <c r="B5549">
        <v>0</v>
      </c>
      <c r="C5549" s="16" t="s">
        <v>14721</v>
      </c>
      <c r="D5549" s="16"/>
      <c r="E5549">
        <v>6</v>
      </c>
      <c r="F5549" t="s">
        <v>4690</v>
      </c>
      <c r="G5549">
        <v>1</v>
      </c>
      <c r="H5549">
        <v>0</v>
      </c>
      <c r="I5549">
        <f>1</f>
        <v>1</v>
      </c>
    </row>
    <row r="5550" spans="2:9" x14ac:dyDescent="0.25">
      <c r="B5550">
        <v>0</v>
      </c>
      <c r="C5550" s="16" t="s">
        <v>14722</v>
      </c>
      <c r="D5550" s="16"/>
      <c r="E5550">
        <v>6</v>
      </c>
      <c r="F5550" t="e">
        <f>--Outras</f>
        <v>#NAME?</v>
      </c>
      <c r="G5550">
        <v>1</v>
      </c>
      <c r="H5550">
        <v>0</v>
      </c>
      <c r="I5550">
        <f>1</f>
        <v>1</v>
      </c>
    </row>
    <row r="5551" spans="2:9" x14ac:dyDescent="0.25">
      <c r="B5551">
        <v>0</v>
      </c>
      <c r="C5551" s="16" t="s">
        <v>14723</v>
      </c>
      <c r="D5551" s="16"/>
      <c r="E5551">
        <v>6</v>
      </c>
      <c r="F5551" t="e">
        <f>--lã De tosquia</f>
        <v>#NAME?</v>
      </c>
      <c r="G5551">
        <v>1</v>
      </c>
      <c r="H5551">
        <v>0</v>
      </c>
      <c r="I5551">
        <f>1</f>
        <v>1</v>
      </c>
    </row>
    <row r="5552" spans="2:9" x14ac:dyDescent="0.25">
      <c r="B5552">
        <v>0</v>
      </c>
      <c r="C5552" s="16" t="s">
        <v>14724</v>
      </c>
      <c r="D5552" s="16"/>
      <c r="E5552">
        <v>6</v>
      </c>
      <c r="F5552" t="e">
        <f>--Outras</f>
        <v>#NAME?</v>
      </c>
      <c r="G5552">
        <v>1</v>
      </c>
      <c r="H5552">
        <v>0</v>
      </c>
      <c r="I5552">
        <f>1</f>
        <v>1</v>
      </c>
    </row>
    <row r="5553" spans="2:9" x14ac:dyDescent="0.25">
      <c r="B5553">
        <v>0</v>
      </c>
      <c r="C5553" s="16" t="s">
        <v>14725</v>
      </c>
      <c r="D5553" s="16"/>
      <c r="E5553">
        <v>6</v>
      </c>
      <c r="F5553" t="e">
        <f>-Carbonizada</f>
        <v>#NAME?</v>
      </c>
      <c r="G5553">
        <v>1</v>
      </c>
      <c r="H5553">
        <v>0</v>
      </c>
      <c r="I5553">
        <f>1</f>
        <v>1</v>
      </c>
    </row>
    <row r="5554" spans="2:9" x14ac:dyDescent="0.25">
      <c r="B5554">
        <v>0</v>
      </c>
      <c r="C5554" s="16" t="s">
        <v>14726</v>
      </c>
      <c r="D5554" s="16"/>
      <c r="E5554">
        <v>6</v>
      </c>
      <c r="F5554" t="e">
        <f>--De cabra De Caxemira</f>
        <v>#NAME?</v>
      </c>
      <c r="G5554">
        <v>1</v>
      </c>
      <c r="H5554">
        <v>0</v>
      </c>
      <c r="I5554">
        <f>1</f>
        <v>1</v>
      </c>
    </row>
    <row r="5555" spans="2:9" x14ac:dyDescent="0.25">
      <c r="B5555">
        <v>0</v>
      </c>
      <c r="C5555" s="16" t="s">
        <v>14727</v>
      </c>
      <c r="D5555" s="16"/>
      <c r="E5555">
        <v>6</v>
      </c>
      <c r="F5555" t="e">
        <f>--outros</f>
        <v>#NAME?</v>
      </c>
      <c r="G5555">
        <v>1</v>
      </c>
      <c r="H5555">
        <v>0</v>
      </c>
      <c r="I5555">
        <f>1</f>
        <v>1</v>
      </c>
    </row>
    <row r="5556" spans="2:9" x14ac:dyDescent="0.25">
      <c r="B5556">
        <v>0</v>
      </c>
      <c r="C5556" s="16" t="s">
        <v>14728</v>
      </c>
      <c r="D5556" s="16"/>
      <c r="E5556">
        <v>6</v>
      </c>
      <c r="F5556" t="e">
        <f>-Pelos grosseiros</f>
        <v>#NAME?</v>
      </c>
      <c r="G5556">
        <v>1</v>
      </c>
      <c r="H5556">
        <v>0</v>
      </c>
      <c r="I5556">
        <f>1</f>
        <v>1</v>
      </c>
    </row>
    <row r="5557" spans="2:9" x14ac:dyDescent="0.25">
      <c r="B5557">
        <v>0</v>
      </c>
      <c r="C5557" s="16" t="s">
        <v>14729</v>
      </c>
      <c r="D5557" s="16"/>
      <c r="E5557">
        <v>6</v>
      </c>
      <c r="F5557" t="e">
        <f>-desperdícios da penteação De lã ou De Pelos finos</f>
        <v>#NAME?</v>
      </c>
      <c r="G5557">
        <v>1</v>
      </c>
      <c r="H5557">
        <v>0</v>
      </c>
      <c r="I5557">
        <f>1</f>
        <v>1</v>
      </c>
    </row>
    <row r="5558" spans="2:9" x14ac:dyDescent="0.25">
      <c r="B5558">
        <v>0</v>
      </c>
      <c r="C5558" s="16" t="s">
        <v>14730</v>
      </c>
      <c r="D5558" s="16"/>
      <c r="E5558">
        <v>6</v>
      </c>
      <c r="F5558" t="e">
        <f>-outros desperdícios De lã ou De Pelos finos</f>
        <v>#NAME?</v>
      </c>
      <c r="G5558">
        <v>1</v>
      </c>
      <c r="H5558">
        <v>0</v>
      </c>
      <c r="I5558">
        <f>1</f>
        <v>1</v>
      </c>
    </row>
    <row r="5559" spans="2:9" x14ac:dyDescent="0.25">
      <c r="B5559">
        <v>0</v>
      </c>
      <c r="C5559" s="16" t="s">
        <v>14731</v>
      </c>
      <c r="D5559" s="16"/>
      <c r="E5559">
        <v>6</v>
      </c>
      <c r="F5559" t="e">
        <f>-desperdícios De Pelos grosseiros</f>
        <v>#NAME?</v>
      </c>
      <c r="G5559">
        <v>1</v>
      </c>
      <c r="H5559">
        <v>0</v>
      </c>
      <c r="I5559">
        <f>1</f>
        <v>1</v>
      </c>
    </row>
    <row r="5560" spans="2:9" x14ac:dyDescent="0.25">
      <c r="B5560">
        <v>0</v>
      </c>
      <c r="C5560" s="16" t="s">
        <v>14732</v>
      </c>
      <c r="D5560" s="16"/>
      <c r="E5560">
        <v>6</v>
      </c>
      <c r="F5560" t="s">
        <v>7373</v>
      </c>
      <c r="G5560">
        <v>1</v>
      </c>
      <c r="H5560">
        <v>0</v>
      </c>
      <c r="I5560">
        <f>1</f>
        <v>1</v>
      </c>
    </row>
    <row r="5561" spans="2:9" x14ac:dyDescent="0.25">
      <c r="B5561">
        <v>0</v>
      </c>
      <c r="C5561" s="16" t="s">
        <v>14733</v>
      </c>
      <c r="D5561" s="16"/>
      <c r="E5561">
        <v>6</v>
      </c>
      <c r="F5561" t="e">
        <f>-lã cardada</f>
        <v>#NAME?</v>
      </c>
      <c r="G5561">
        <v>1</v>
      </c>
      <c r="H5561">
        <v>0</v>
      </c>
      <c r="I5561">
        <f>1</f>
        <v>1</v>
      </c>
    </row>
    <row r="5562" spans="2:9" x14ac:dyDescent="0.25">
      <c r="B5562">
        <v>0</v>
      </c>
      <c r="C5562" s="16" t="s">
        <v>14734</v>
      </c>
      <c r="D5562" s="16"/>
      <c r="E5562">
        <v>6</v>
      </c>
      <c r="F5562" t="e">
        <f>--“Lã penteada a granel”</f>
        <v>#NAME?</v>
      </c>
      <c r="G5562">
        <v>1</v>
      </c>
      <c r="H5562">
        <v>0</v>
      </c>
      <c r="I5562">
        <f>1</f>
        <v>1</v>
      </c>
    </row>
    <row r="5563" spans="2:9" x14ac:dyDescent="0.25">
      <c r="B5563">
        <v>0</v>
      </c>
      <c r="C5563" s="16" t="s">
        <v>14735</v>
      </c>
      <c r="D5563" s="16"/>
      <c r="E5563">
        <v>6</v>
      </c>
      <c r="F5563" t="s">
        <v>7374</v>
      </c>
      <c r="G5563">
        <v>1</v>
      </c>
      <c r="H5563">
        <v>0</v>
      </c>
      <c r="I5563">
        <f>1</f>
        <v>1</v>
      </c>
    </row>
    <row r="5564" spans="2:9" x14ac:dyDescent="0.25">
      <c r="B5564">
        <v>0</v>
      </c>
      <c r="C5564" s="16" t="s">
        <v>14736</v>
      </c>
      <c r="D5564" s="16"/>
      <c r="E5564">
        <v>6</v>
      </c>
      <c r="F5564" t="s">
        <v>7375</v>
      </c>
      <c r="G5564">
        <v>1</v>
      </c>
      <c r="H5564">
        <v>0</v>
      </c>
      <c r="I5564">
        <f>1</f>
        <v>1</v>
      </c>
    </row>
    <row r="5565" spans="2:9" x14ac:dyDescent="0.25">
      <c r="B5565">
        <v>0</v>
      </c>
      <c r="C5565" s="16" t="s">
        <v>14737</v>
      </c>
      <c r="D5565" s="16"/>
      <c r="E5565">
        <v>6</v>
      </c>
      <c r="F5565" t="s">
        <v>4690</v>
      </c>
      <c r="G5565">
        <v>1</v>
      </c>
      <c r="H5565">
        <v>0</v>
      </c>
      <c r="I5565">
        <f>1</f>
        <v>1</v>
      </c>
    </row>
    <row r="5566" spans="2:9" x14ac:dyDescent="0.25">
      <c r="B5566">
        <v>0</v>
      </c>
      <c r="C5566" s="16" t="s">
        <v>14738</v>
      </c>
      <c r="D5566" s="16"/>
      <c r="E5566">
        <v>6</v>
      </c>
      <c r="F5566" t="e">
        <f>--De cabra De Caxemira</f>
        <v>#NAME?</v>
      </c>
      <c r="G5566">
        <v>1</v>
      </c>
      <c r="H5566">
        <v>0</v>
      </c>
      <c r="I5566">
        <f>1</f>
        <v>1</v>
      </c>
    </row>
    <row r="5567" spans="2:9" x14ac:dyDescent="0.25">
      <c r="B5567">
        <v>0</v>
      </c>
      <c r="C5567" s="16" t="s">
        <v>14739</v>
      </c>
      <c r="D5567" s="16"/>
      <c r="E5567">
        <v>6</v>
      </c>
      <c r="F5567" t="e">
        <f>--outros</f>
        <v>#NAME?</v>
      </c>
      <c r="G5567">
        <v>1</v>
      </c>
      <c r="H5567">
        <v>0</v>
      </c>
      <c r="I5567">
        <f>1</f>
        <v>1</v>
      </c>
    </row>
    <row r="5568" spans="2:9" x14ac:dyDescent="0.25">
      <c r="B5568">
        <v>0</v>
      </c>
      <c r="C5568" s="16" t="s">
        <v>14740</v>
      </c>
      <c r="D5568" s="16"/>
      <c r="E5568">
        <v>6</v>
      </c>
      <c r="F5568" t="s">
        <v>7376</v>
      </c>
      <c r="G5568">
        <v>1</v>
      </c>
      <c r="H5568">
        <v>0</v>
      </c>
      <c r="I5568">
        <f>1</f>
        <v>1</v>
      </c>
    </row>
    <row r="5569" spans="2:9" x14ac:dyDescent="0.25">
      <c r="B5569">
        <v>0</v>
      </c>
      <c r="C5569" s="16" t="s">
        <v>14741</v>
      </c>
      <c r="D5569" s="16"/>
      <c r="E5569">
        <v>6</v>
      </c>
      <c r="F5569" t="s">
        <v>7377</v>
      </c>
      <c r="G5569">
        <v>1</v>
      </c>
      <c r="H5569">
        <v>0</v>
      </c>
      <c r="I5569">
        <f>1</f>
        <v>1</v>
      </c>
    </row>
    <row r="5570" spans="2:9" x14ac:dyDescent="0.25">
      <c r="B5570">
        <v>0</v>
      </c>
      <c r="C5570" s="16" t="s">
        <v>14742</v>
      </c>
      <c r="D5570" s="16"/>
      <c r="E5570">
        <v>6</v>
      </c>
      <c r="F5570" t="s">
        <v>7378</v>
      </c>
      <c r="G5570">
        <v>1</v>
      </c>
      <c r="H5570">
        <v>0</v>
      </c>
      <c r="I5570">
        <f>1</f>
        <v>1</v>
      </c>
    </row>
    <row r="5571" spans="2:9" x14ac:dyDescent="0.25">
      <c r="B5571">
        <v>0</v>
      </c>
      <c r="C5571" s="16" t="s">
        <v>14743</v>
      </c>
      <c r="D5571" s="16"/>
      <c r="E5571">
        <v>6</v>
      </c>
      <c r="F5571" t="s">
        <v>7379</v>
      </c>
      <c r="G5571">
        <v>1</v>
      </c>
      <c r="H5571">
        <v>0</v>
      </c>
      <c r="I5571">
        <f>1</f>
        <v>1</v>
      </c>
    </row>
    <row r="5572" spans="2:9" x14ac:dyDescent="0.25">
      <c r="B5572">
        <v>0</v>
      </c>
      <c r="C5572" s="16" t="s">
        <v>14744</v>
      </c>
      <c r="D5572" s="16"/>
      <c r="E5572">
        <v>6</v>
      </c>
      <c r="F5572" t="s">
        <v>4680</v>
      </c>
      <c r="G5572">
        <v>1</v>
      </c>
      <c r="H5572">
        <v>0</v>
      </c>
      <c r="I5572">
        <f>1</f>
        <v>1</v>
      </c>
    </row>
    <row r="5573" spans="2:9" x14ac:dyDescent="0.25">
      <c r="B5573">
        <v>0</v>
      </c>
      <c r="C5573" s="16" t="s">
        <v>14745</v>
      </c>
      <c r="D5573" s="16"/>
      <c r="E5573">
        <v>6</v>
      </c>
      <c r="F5573" t="s">
        <v>4680</v>
      </c>
      <c r="G5573">
        <v>1</v>
      </c>
      <c r="H5573">
        <v>0</v>
      </c>
      <c r="I5573">
        <f>1</f>
        <v>1</v>
      </c>
    </row>
    <row r="5574" spans="2:9" x14ac:dyDescent="0.25">
      <c r="B5574">
        <v>0</v>
      </c>
      <c r="C5574" s="16" t="s">
        <v>14746</v>
      </c>
      <c r="D5574" s="16"/>
      <c r="E5574">
        <v>6</v>
      </c>
      <c r="F5574" t="s">
        <v>7378</v>
      </c>
      <c r="G5574">
        <v>1</v>
      </c>
      <c r="H5574">
        <v>0</v>
      </c>
      <c r="I5574">
        <f>1</f>
        <v>1</v>
      </c>
    </row>
    <row r="5575" spans="2:9" x14ac:dyDescent="0.25">
      <c r="B5575">
        <v>0</v>
      </c>
      <c r="C5575" s="16" t="s">
        <v>14747</v>
      </c>
      <c r="D5575" s="16"/>
      <c r="E5575">
        <v>6</v>
      </c>
      <c r="F5575" t="e">
        <f>-Cardados</f>
        <v>#NAME?</v>
      </c>
      <c r="G5575">
        <v>1</v>
      </c>
      <c r="H5575">
        <v>0</v>
      </c>
      <c r="I5575">
        <f>1</f>
        <v>1</v>
      </c>
    </row>
    <row r="5576" spans="2:9" x14ac:dyDescent="0.25">
      <c r="B5576">
        <v>0</v>
      </c>
      <c r="C5576" s="16" t="s">
        <v>14748</v>
      </c>
      <c r="D5576" s="16"/>
      <c r="E5576">
        <v>6</v>
      </c>
      <c r="F5576" t="e">
        <f>-Penteados</f>
        <v>#NAME?</v>
      </c>
      <c r="G5576">
        <v>1</v>
      </c>
      <c r="H5576">
        <v>0</v>
      </c>
      <c r="I5576">
        <f>1</f>
        <v>1</v>
      </c>
    </row>
    <row r="5577" spans="2:9" x14ac:dyDescent="0.25">
      <c r="B5577">
        <v>0</v>
      </c>
      <c r="C5577" s="16" t="s">
        <v>14749</v>
      </c>
      <c r="D5577" s="16"/>
      <c r="E5577">
        <v>6</v>
      </c>
      <c r="F5577" t="s">
        <v>7380</v>
      </c>
      <c r="G5577">
        <v>1</v>
      </c>
      <c r="H5577">
        <v>0</v>
      </c>
      <c r="I5577">
        <f>1</f>
        <v>1</v>
      </c>
    </row>
    <row r="5578" spans="2:9" x14ac:dyDescent="0.25">
      <c r="B5578">
        <v>0</v>
      </c>
      <c r="C5578" s="16" t="s">
        <v>14750</v>
      </c>
      <c r="D5578" s="16"/>
      <c r="E5578">
        <v>6</v>
      </c>
      <c r="F5578" t="e">
        <f>-outros</f>
        <v>#NAME?</v>
      </c>
      <c r="G5578">
        <v>1</v>
      </c>
      <c r="H5578">
        <v>0</v>
      </c>
      <c r="I5578">
        <f>1</f>
        <v>1</v>
      </c>
    </row>
    <row r="5579" spans="2:9" x14ac:dyDescent="0.25">
      <c r="B5579">
        <v>0</v>
      </c>
      <c r="C5579" s="16" t="s">
        <v>14751</v>
      </c>
      <c r="D5579" s="16"/>
      <c r="E5579">
        <v>6</v>
      </c>
      <c r="F5579" t="s">
        <v>7381</v>
      </c>
      <c r="G5579">
        <v>1</v>
      </c>
      <c r="H5579">
        <v>0</v>
      </c>
      <c r="I5579">
        <f>1</f>
        <v>1</v>
      </c>
    </row>
    <row r="5580" spans="2:9" x14ac:dyDescent="0.25">
      <c r="B5580">
        <v>0</v>
      </c>
      <c r="C5580" s="16" t="s">
        <v>14752</v>
      </c>
      <c r="D5580" s="16"/>
      <c r="E5580">
        <v>6</v>
      </c>
      <c r="F5580" t="s">
        <v>7382</v>
      </c>
      <c r="G5580">
        <v>1</v>
      </c>
      <c r="H5580">
        <v>0</v>
      </c>
      <c r="I5580">
        <f>1</f>
        <v>1</v>
      </c>
    </row>
    <row r="5581" spans="2:9" x14ac:dyDescent="0.25">
      <c r="B5581">
        <v>0</v>
      </c>
      <c r="C5581" s="16" t="s">
        <v>14753</v>
      </c>
      <c r="D5581" s="16"/>
      <c r="E5581">
        <v>6</v>
      </c>
      <c r="F5581" t="s">
        <v>7383</v>
      </c>
      <c r="G5581">
        <v>1</v>
      </c>
      <c r="H5581">
        <v>0</v>
      </c>
      <c r="I5581">
        <f>1</f>
        <v>1</v>
      </c>
    </row>
    <row r="5582" spans="2:9" x14ac:dyDescent="0.25">
      <c r="B5582">
        <v>0</v>
      </c>
      <c r="C5582" s="16" t="s">
        <v>14754</v>
      </c>
      <c r="D5582" s="16"/>
      <c r="E5582">
        <v>6</v>
      </c>
      <c r="F5582" t="e">
        <f>--outros</f>
        <v>#NAME?</v>
      </c>
      <c r="G5582">
        <v>1</v>
      </c>
      <c r="H5582">
        <v>0</v>
      </c>
      <c r="I5582">
        <f>1</f>
        <v>1</v>
      </c>
    </row>
    <row r="5583" spans="2:9" x14ac:dyDescent="0.25">
      <c r="B5583">
        <v>0</v>
      </c>
      <c r="C5583" s="16" t="s">
        <v>14755</v>
      </c>
      <c r="D5583" s="16"/>
      <c r="E5583">
        <v>6</v>
      </c>
      <c r="F5583" t="s">
        <v>7384</v>
      </c>
      <c r="G5583">
        <v>1</v>
      </c>
      <c r="H5583">
        <v>0</v>
      </c>
      <c r="I5583">
        <f>1</f>
        <v>1</v>
      </c>
    </row>
    <row r="5584" spans="2:9" x14ac:dyDescent="0.25">
      <c r="B5584">
        <v>0</v>
      </c>
      <c r="C5584" s="16" t="s">
        <v>14756</v>
      </c>
      <c r="D5584" s="16"/>
      <c r="E5584">
        <v>6</v>
      </c>
      <c r="F5584" t="s">
        <v>7385</v>
      </c>
      <c r="G5584">
        <v>1</v>
      </c>
      <c r="H5584">
        <v>0</v>
      </c>
      <c r="I5584">
        <f>1</f>
        <v>1</v>
      </c>
    </row>
    <row r="5585" spans="2:9" x14ac:dyDescent="0.25">
      <c r="B5585">
        <v>0</v>
      </c>
      <c r="C5585" s="16" t="s">
        <v>14757</v>
      </c>
      <c r="D5585" s="16"/>
      <c r="E5585">
        <v>6</v>
      </c>
      <c r="F5585" t="s">
        <v>4680</v>
      </c>
      <c r="G5585">
        <v>1</v>
      </c>
      <c r="H5585">
        <v>0</v>
      </c>
      <c r="I5585">
        <f>1</f>
        <v>1</v>
      </c>
    </row>
    <row r="5586" spans="2:9" x14ac:dyDescent="0.25">
      <c r="B5586">
        <v>0</v>
      </c>
      <c r="C5586" s="16" t="s">
        <v>14758</v>
      </c>
      <c r="D5586" s="16"/>
      <c r="E5586">
        <v>6</v>
      </c>
      <c r="F5586" t="e">
        <f>-outros</f>
        <v>#NAME?</v>
      </c>
      <c r="G5586">
        <v>1</v>
      </c>
      <c r="H5586">
        <v>0</v>
      </c>
      <c r="I5586">
        <f>1</f>
        <v>1</v>
      </c>
    </row>
    <row r="5587" spans="2:9" x14ac:dyDescent="0.25">
      <c r="B5587">
        <v>0</v>
      </c>
      <c r="C5587" s="16" t="s">
        <v>14759</v>
      </c>
      <c r="D5587" s="16"/>
      <c r="E5587">
        <v>6</v>
      </c>
      <c r="F5587" t="s">
        <v>7386</v>
      </c>
      <c r="G5587">
        <v>1</v>
      </c>
      <c r="H5587">
        <v>0</v>
      </c>
      <c r="I5587">
        <f>1</f>
        <v>1</v>
      </c>
    </row>
    <row r="5588" spans="2:9" x14ac:dyDescent="0.25">
      <c r="B5588">
        <v>0</v>
      </c>
      <c r="C5588" s="16" t="s">
        <v>14760</v>
      </c>
      <c r="D5588" s="16"/>
      <c r="E5588">
        <v>6</v>
      </c>
      <c r="F5588" t="s">
        <v>7382</v>
      </c>
      <c r="G5588">
        <v>1</v>
      </c>
      <c r="H5588">
        <v>0</v>
      </c>
      <c r="I5588">
        <f>1</f>
        <v>1</v>
      </c>
    </row>
    <row r="5589" spans="2:9" x14ac:dyDescent="0.25">
      <c r="B5589">
        <v>0</v>
      </c>
      <c r="C5589" s="16" t="s">
        <v>14761</v>
      </c>
      <c r="D5589" s="16"/>
      <c r="E5589">
        <v>6</v>
      </c>
      <c r="F5589" t="s">
        <v>7383</v>
      </c>
      <c r="G5589">
        <v>1</v>
      </c>
      <c r="H5589">
        <v>0</v>
      </c>
      <c r="I5589">
        <f>1</f>
        <v>1</v>
      </c>
    </row>
    <row r="5590" spans="2:9" x14ac:dyDescent="0.25">
      <c r="B5590">
        <v>0</v>
      </c>
      <c r="C5590" s="16" t="s">
        <v>14762</v>
      </c>
      <c r="D5590" s="16"/>
      <c r="E5590">
        <v>6</v>
      </c>
      <c r="F5590" t="s">
        <v>7382</v>
      </c>
      <c r="G5590">
        <v>1</v>
      </c>
      <c r="H5590">
        <v>0</v>
      </c>
      <c r="I5590">
        <f>1</f>
        <v>1</v>
      </c>
    </row>
    <row r="5591" spans="2:9" x14ac:dyDescent="0.25">
      <c r="B5591">
        <v>0</v>
      </c>
      <c r="C5591" s="16" t="s">
        <v>14763</v>
      </c>
      <c r="D5591" s="16"/>
      <c r="E5591">
        <v>6</v>
      </c>
      <c r="F5591" t="s">
        <v>7383</v>
      </c>
      <c r="G5591">
        <v>1</v>
      </c>
      <c r="H5591">
        <v>0</v>
      </c>
      <c r="I5591">
        <f>1</f>
        <v>1</v>
      </c>
    </row>
    <row r="5592" spans="2:9" x14ac:dyDescent="0.25">
      <c r="B5592">
        <v>0</v>
      </c>
      <c r="C5592" s="16" t="s">
        <v>14764</v>
      </c>
      <c r="D5592" s="16"/>
      <c r="E5592">
        <v>6</v>
      </c>
      <c r="F5592" t="s">
        <v>7382</v>
      </c>
      <c r="G5592">
        <v>1</v>
      </c>
      <c r="H5592">
        <v>0</v>
      </c>
      <c r="I5592">
        <f>1</f>
        <v>1</v>
      </c>
    </row>
    <row r="5593" spans="2:9" x14ac:dyDescent="0.25">
      <c r="B5593">
        <v>0</v>
      </c>
      <c r="C5593" s="16" t="s">
        <v>14765</v>
      </c>
      <c r="D5593" s="16"/>
      <c r="E5593">
        <v>6</v>
      </c>
      <c r="F5593" t="s">
        <v>7383</v>
      </c>
      <c r="G5593">
        <v>1</v>
      </c>
      <c r="H5593">
        <v>0</v>
      </c>
      <c r="I5593">
        <f>1</f>
        <v>1</v>
      </c>
    </row>
    <row r="5594" spans="2:9" x14ac:dyDescent="0.25">
      <c r="B5594">
        <v>0</v>
      </c>
      <c r="C5594" s="16" t="s">
        <v>14766</v>
      </c>
      <c r="D5594" s="16"/>
      <c r="E5594">
        <v>6</v>
      </c>
      <c r="F5594" t="e">
        <f>-outros</f>
        <v>#NAME?</v>
      </c>
      <c r="G5594">
        <v>1</v>
      </c>
      <c r="H5594">
        <v>0</v>
      </c>
      <c r="I5594">
        <f>1</f>
        <v>1</v>
      </c>
    </row>
    <row r="5595" spans="2:9" x14ac:dyDescent="0.25">
      <c r="B5595">
        <v>0</v>
      </c>
      <c r="C5595" s="16" t="s">
        <v>14767</v>
      </c>
      <c r="D5595" s="16"/>
      <c r="E5595">
        <v>6</v>
      </c>
      <c r="F5595" t="s">
        <v>7387</v>
      </c>
      <c r="G5595">
        <v>1</v>
      </c>
      <c r="H5595">
        <v>0</v>
      </c>
      <c r="I5595">
        <f>1</f>
        <v>1</v>
      </c>
    </row>
    <row r="5596" spans="2:9" x14ac:dyDescent="0.25">
      <c r="B5596">
        <v>0</v>
      </c>
      <c r="C5596" s="16" t="s">
        <v>14768</v>
      </c>
      <c r="D5596" s="16"/>
      <c r="E5596">
        <v>6</v>
      </c>
      <c r="F5596" t="s">
        <v>7388</v>
      </c>
      <c r="G5596">
        <v>1</v>
      </c>
      <c r="H5596">
        <v>0</v>
      </c>
      <c r="I5596">
        <f>1</f>
        <v>1</v>
      </c>
    </row>
    <row r="5597" spans="2:9" x14ac:dyDescent="0.25">
      <c r="B5597">
        <v>0</v>
      </c>
      <c r="C5597" s="16" t="s">
        <v>14769</v>
      </c>
      <c r="D5597" s="16"/>
      <c r="E5597">
        <v>6</v>
      </c>
      <c r="F5597" t="s">
        <v>7389</v>
      </c>
      <c r="G5597">
        <v>1</v>
      </c>
      <c r="H5597">
        <v>0</v>
      </c>
      <c r="I5597">
        <f>1</f>
        <v>1</v>
      </c>
    </row>
    <row r="5598" spans="2:9" x14ac:dyDescent="0.25">
      <c r="B5598">
        <v>0</v>
      </c>
      <c r="C5598" s="16" t="s">
        <v>14770</v>
      </c>
      <c r="D5598" s="16"/>
      <c r="E5598">
        <v>6</v>
      </c>
      <c r="F5598" t="s">
        <v>7390</v>
      </c>
      <c r="G5598">
        <v>1</v>
      </c>
      <c r="H5598">
        <v>0</v>
      </c>
      <c r="I5598">
        <f>1</f>
        <v>1</v>
      </c>
    </row>
    <row r="5599" spans="2:9" x14ac:dyDescent="0.25">
      <c r="B5599">
        <v>0</v>
      </c>
      <c r="C5599" s="16" t="s">
        <v>14771</v>
      </c>
      <c r="D5599" s="16"/>
      <c r="E5599">
        <v>6</v>
      </c>
      <c r="F5599" t="s">
        <v>7391</v>
      </c>
      <c r="G5599">
        <v>1</v>
      </c>
      <c r="H5599">
        <v>0</v>
      </c>
      <c r="I5599">
        <f>1</f>
        <v>1</v>
      </c>
    </row>
    <row r="5600" spans="2:9" x14ac:dyDescent="0.25">
      <c r="B5600">
        <v>0</v>
      </c>
      <c r="C5600" s="16" t="s">
        <v>14772</v>
      </c>
      <c r="D5600" s="16"/>
      <c r="E5600">
        <v>6</v>
      </c>
      <c r="F5600" t="s">
        <v>7392</v>
      </c>
      <c r="G5600">
        <v>1</v>
      </c>
      <c r="H5600">
        <v>0</v>
      </c>
      <c r="I5600">
        <f>1</f>
        <v>1</v>
      </c>
    </row>
    <row r="5601" spans="2:9" x14ac:dyDescent="0.25">
      <c r="B5601">
        <v>0</v>
      </c>
      <c r="C5601" s="16" t="s">
        <v>14773</v>
      </c>
      <c r="D5601" s="16"/>
      <c r="E5601">
        <v>6</v>
      </c>
      <c r="F5601" t="s">
        <v>4680</v>
      </c>
      <c r="G5601">
        <v>1</v>
      </c>
      <c r="H5601">
        <v>0</v>
      </c>
      <c r="I5601">
        <f>1</f>
        <v>1</v>
      </c>
    </row>
    <row r="5602" spans="2:9" x14ac:dyDescent="0.25">
      <c r="B5602">
        <v>0</v>
      </c>
      <c r="C5602" s="16" t="s">
        <v>14774</v>
      </c>
      <c r="D5602" s="16"/>
      <c r="E5602">
        <v>6</v>
      </c>
      <c r="F5602" t="e">
        <f>-desperdícios De Fios</f>
        <v>#NAME?</v>
      </c>
      <c r="G5602">
        <v>1</v>
      </c>
      <c r="H5602">
        <v>0</v>
      </c>
      <c r="I5602">
        <f>1</f>
        <v>1</v>
      </c>
    </row>
    <row r="5603" spans="2:9" x14ac:dyDescent="0.25">
      <c r="B5603">
        <v>0</v>
      </c>
      <c r="C5603" s="16" t="s">
        <v>14775</v>
      </c>
      <c r="D5603" s="16"/>
      <c r="E5603">
        <v>6</v>
      </c>
      <c r="F5603" t="e">
        <f>--Fiapos</f>
        <v>#NAME?</v>
      </c>
      <c r="G5603">
        <v>1</v>
      </c>
      <c r="H5603">
        <v>0</v>
      </c>
      <c r="I5603">
        <f>1</f>
        <v>1</v>
      </c>
    </row>
    <row r="5604" spans="2:9" x14ac:dyDescent="0.25">
      <c r="B5604">
        <v>0</v>
      </c>
      <c r="C5604" s="16" t="s">
        <v>14776</v>
      </c>
      <c r="D5604" s="16"/>
      <c r="E5604">
        <v>6</v>
      </c>
      <c r="F5604" t="e">
        <f>--outros</f>
        <v>#NAME?</v>
      </c>
      <c r="G5604">
        <v>1</v>
      </c>
      <c r="H5604">
        <v>0</v>
      </c>
      <c r="I5604">
        <f>1</f>
        <v>1</v>
      </c>
    </row>
    <row r="5605" spans="2:9" x14ac:dyDescent="0.25">
      <c r="B5605">
        <v>0</v>
      </c>
      <c r="C5605" s="16" t="s">
        <v>14777</v>
      </c>
      <c r="D5605" s="16"/>
      <c r="E5605">
        <v>6</v>
      </c>
      <c r="F5605" t="s">
        <v>7393</v>
      </c>
      <c r="G5605">
        <v>1</v>
      </c>
      <c r="H5605">
        <v>0</v>
      </c>
      <c r="I5605">
        <f>1</f>
        <v>1</v>
      </c>
    </row>
    <row r="5606" spans="2:9" x14ac:dyDescent="0.25">
      <c r="B5606">
        <v>0</v>
      </c>
      <c r="C5606" s="16" t="s">
        <v>14778</v>
      </c>
      <c r="D5606" s="16"/>
      <c r="E5606">
        <v>6</v>
      </c>
      <c r="F5606" t="s">
        <v>7394</v>
      </c>
      <c r="G5606">
        <v>1</v>
      </c>
      <c r="H5606">
        <v>0</v>
      </c>
      <c r="I5606">
        <f>1</f>
        <v>1</v>
      </c>
    </row>
    <row r="5607" spans="2:9" x14ac:dyDescent="0.25">
      <c r="B5607">
        <v>0</v>
      </c>
      <c r="C5607" s="16" t="s">
        <v>14779</v>
      </c>
      <c r="D5607" s="16"/>
      <c r="E5607">
        <v>6</v>
      </c>
      <c r="F5607" t="s">
        <v>7395</v>
      </c>
      <c r="G5607">
        <v>1</v>
      </c>
      <c r="H5607">
        <v>0</v>
      </c>
      <c r="I5607">
        <f>1</f>
        <v>1</v>
      </c>
    </row>
    <row r="5608" spans="2:9" x14ac:dyDescent="0.25">
      <c r="B5608">
        <v>0</v>
      </c>
      <c r="C5608" s="16" t="s">
        <v>14780</v>
      </c>
      <c r="D5608" s="16"/>
      <c r="E5608">
        <v>6</v>
      </c>
      <c r="F5608" t="s">
        <v>7396</v>
      </c>
      <c r="G5608">
        <v>1</v>
      </c>
      <c r="H5608">
        <v>0</v>
      </c>
      <c r="I5608">
        <f>1</f>
        <v>1</v>
      </c>
    </row>
    <row r="5609" spans="2:9" x14ac:dyDescent="0.25">
      <c r="B5609">
        <v>0</v>
      </c>
      <c r="C5609" s="16" t="s">
        <v>14781</v>
      </c>
      <c r="D5609" s="16"/>
      <c r="E5609">
        <v>6</v>
      </c>
      <c r="F5609" t="s">
        <v>7394</v>
      </c>
      <c r="G5609">
        <v>1</v>
      </c>
      <c r="H5609">
        <v>0</v>
      </c>
      <c r="I5609">
        <f>1</f>
        <v>1</v>
      </c>
    </row>
    <row r="5610" spans="2:9" x14ac:dyDescent="0.25">
      <c r="B5610">
        <v>0</v>
      </c>
      <c r="C5610" s="16" t="s">
        <v>14782</v>
      </c>
      <c r="D5610" s="16"/>
      <c r="E5610">
        <v>6</v>
      </c>
      <c r="F5610" t="s">
        <v>7395</v>
      </c>
      <c r="G5610">
        <v>1</v>
      </c>
      <c r="H5610">
        <v>0</v>
      </c>
      <c r="I5610">
        <f>1</f>
        <v>1</v>
      </c>
    </row>
    <row r="5611" spans="2:9" x14ac:dyDescent="0.25">
      <c r="B5611">
        <v>0</v>
      </c>
      <c r="C5611" s="16" t="s">
        <v>14783</v>
      </c>
      <c r="D5611" s="16"/>
      <c r="E5611">
        <v>6</v>
      </c>
      <c r="F5611" t="s">
        <v>7397</v>
      </c>
      <c r="G5611">
        <v>1</v>
      </c>
      <c r="H5611">
        <v>0</v>
      </c>
      <c r="I5611">
        <f>1</f>
        <v>1</v>
      </c>
    </row>
    <row r="5612" spans="2:9" x14ac:dyDescent="0.25">
      <c r="B5612">
        <v>0</v>
      </c>
      <c r="C5612" s="16" t="s">
        <v>14784</v>
      </c>
      <c r="D5612" s="16"/>
      <c r="E5612">
        <v>6</v>
      </c>
      <c r="F5612" t="s">
        <v>7394</v>
      </c>
      <c r="G5612">
        <v>1</v>
      </c>
      <c r="H5612">
        <v>0</v>
      </c>
      <c r="I5612">
        <f>1</f>
        <v>1</v>
      </c>
    </row>
    <row r="5613" spans="2:9" x14ac:dyDescent="0.25">
      <c r="B5613">
        <v>0</v>
      </c>
      <c r="C5613" s="16" t="s">
        <v>14785</v>
      </c>
      <c r="D5613" s="16"/>
      <c r="E5613">
        <v>6</v>
      </c>
      <c r="F5613" t="s">
        <v>7395</v>
      </c>
      <c r="G5613">
        <v>1</v>
      </c>
      <c r="H5613">
        <v>0</v>
      </c>
      <c r="I5613">
        <f>1</f>
        <v>1</v>
      </c>
    </row>
    <row r="5614" spans="2:9" x14ac:dyDescent="0.25">
      <c r="B5614">
        <v>0</v>
      </c>
      <c r="C5614" s="16" t="s">
        <v>14786</v>
      </c>
      <c r="D5614" s="16"/>
      <c r="E5614">
        <v>6</v>
      </c>
      <c r="F5614" t="s">
        <v>7396</v>
      </c>
      <c r="G5614">
        <v>1</v>
      </c>
      <c r="H5614">
        <v>0</v>
      </c>
      <c r="I5614">
        <f>1</f>
        <v>1</v>
      </c>
    </row>
    <row r="5615" spans="2:9" x14ac:dyDescent="0.25">
      <c r="B5615">
        <v>0</v>
      </c>
      <c r="C5615" s="16" t="s">
        <v>14787</v>
      </c>
      <c r="D5615" s="16"/>
      <c r="E5615">
        <v>6</v>
      </c>
      <c r="F5615" t="s">
        <v>7394</v>
      </c>
      <c r="G5615">
        <v>1</v>
      </c>
      <c r="H5615">
        <v>0</v>
      </c>
      <c r="I5615">
        <f>1</f>
        <v>1</v>
      </c>
    </row>
    <row r="5616" spans="2:9" x14ac:dyDescent="0.25">
      <c r="B5616">
        <v>0</v>
      </c>
      <c r="C5616" s="16" t="s">
        <v>14788</v>
      </c>
      <c r="D5616" s="16"/>
      <c r="E5616">
        <v>6</v>
      </c>
      <c r="F5616" t="s">
        <v>7395</v>
      </c>
      <c r="G5616">
        <v>1</v>
      </c>
      <c r="H5616">
        <v>0</v>
      </c>
      <c r="I5616">
        <f>1</f>
        <v>1</v>
      </c>
    </row>
    <row r="5617" spans="2:9" x14ac:dyDescent="0.25">
      <c r="B5617">
        <v>0</v>
      </c>
      <c r="C5617" s="16" t="s">
        <v>14789</v>
      </c>
      <c r="D5617" s="16"/>
      <c r="E5617">
        <v>6</v>
      </c>
      <c r="F5617" t="s">
        <v>7397</v>
      </c>
      <c r="G5617">
        <v>1</v>
      </c>
      <c r="H5617">
        <v>0</v>
      </c>
      <c r="I5617">
        <f>1</f>
        <v>1</v>
      </c>
    </row>
    <row r="5618" spans="2:9" x14ac:dyDescent="0.25">
      <c r="B5618">
        <v>0</v>
      </c>
      <c r="C5618" s="16" t="s">
        <v>14790</v>
      </c>
      <c r="D5618" s="16"/>
      <c r="E5618">
        <v>6</v>
      </c>
      <c r="F5618" t="e">
        <f>-acondicionadas para venda a retalho</f>
        <v>#NAME?</v>
      </c>
      <c r="G5618">
        <v>1</v>
      </c>
      <c r="H5618">
        <v>0</v>
      </c>
      <c r="I5618">
        <f>1</f>
        <v>1</v>
      </c>
    </row>
    <row r="5619" spans="2:9" x14ac:dyDescent="0.25">
      <c r="B5619">
        <v>0</v>
      </c>
      <c r="C5619" s="16" t="s">
        <v>14791</v>
      </c>
      <c r="D5619" s="16"/>
      <c r="E5619">
        <v>6</v>
      </c>
      <c r="F5619" t="s">
        <v>7398</v>
      </c>
      <c r="G5619">
        <v>1</v>
      </c>
      <c r="H5619">
        <v>0</v>
      </c>
      <c r="I5619">
        <f>1</f>
        <v>1</v>
      </c>
    </row>
    <row r="5620" spans="2:9" x14ac:dyDescent="0.25">
      <c r="B5620">
        <v>0</v>
      </c>
      <c r="C5620" s="16" t="s">
        <v>14792</v>
      </c>
      <c r="D5620" s="16"/>
      <c r="E5620">
        <v>6</v>
      </c>
      <c r="F5620" t="s">
        <v>7399</v>
      </c>
      <c r="G5620">
        <v>1</v>
      </c>
      <c r="H5620">
        <v>0</v>
      </c>
      <c r="I5620">
        <f>1</f>
        <v>1</v>
      </c>
    </row>
    <row r="5621" spans="2:9" x14ac:dyDescent="0.25">
      <c r="B5621">
        <v>0</v>
      </c>
      <c r="C5621" s="16" t="s">
        <v>14793</v>
      </c>
      <c r="D5621" s="16"/>
      <c r="E5621">
        <v>6</v>
      </c>
      <c r="F5621" t="s">
        <v>7400</v>
      </c>
      <c r="G5621">
        <v>1</v>
      </c>
      <c r="H5621">
        <v>0</v>
      </c>
      <c r="I5621">
        <f>1</f>
        <v>1</v>
      </c>
    </row>
    <row r="5622" spans="2:9" x14ac:dyDescent="0.25">
      <c r="B5622">
        <v>0</v>
      </c>
      <c r="C5622" s="16" t="s">
        <v>14794</v>
      </c>
      <c r="D5622" s="16"/>
      <c r="E5622">
        <v>6</v>
      </c>
      <c r="F5622" t="s">
        <v>4680</v>
      </c>
      <c r="G5622">
        <v>1</v>
      </c>
      <c r="H5622">
        <v>0</v>
      </c>
      <c r="I5622">
        <f>1</f>
        <v>1</v>
      </c>
    </row>
    <row r="5623" spans="2:9" x14ac:dyDescent="0.25">
      <c r="B5623">
        <v>0</v>
      </c>
      <c r="C5623" s="16" t="s">
        <v>14795</v>
      </c>
      <c r="D5623" s="16"/>
      <c r="E5623">
        <v>6</v>
      </c>
      <c r="F5623" t="s">
        <v>7401</v>
      </c>
      <c r="G5623">
        <v>1</v>
      </c>
      <c r="H5623">
        <v>0</v>
      </c>
      <c r="I5623">
        <f>1</f>
        <v>1</v>
      </c>
    </row>
    <row r="5624" spans="2:9" x14ac:dyDescent="0.25">
      <c r="B5624">
        <v>0</v>
      </c>
      <c r="C5624" s="16" t="s">
        <v>14796</v>
      </c>
      <c r="D5624" s="16"/>
      <c r="E5624">
        <v>6</v>
      </c>
      <c r="F5624" t="s">
        <v>7402</v>
      </c>
      <c r="G5624">
        <v>1</v>
      </c>
      <c r="H5624">
        <v>0</v>
      </c>
      <c r="I5624">
        <f>1</f>
        <v>1</v>
      </c>
    </row>
    <row r="5625" spans="2:9" x14ac:dyDescent="0.25">
      <c r="B5625">
        <v>0</v>
      </c>
      <c r="C5625" s="16" t="s">
        <v>14797</v>
      </c>
      <c r="D5625" s="16"/>
      <c r="E5625">
        <v>6</v>
      </c>
      <c r="F5625" t="s">
        <v>7398</v>
      </c>
      <c r="G5625">
        <v>1</v>
      </c>
      <c r="H5625">
        <v>0</v>
      </c>
      <c r="I5625">
        <f>1</f>
        <v>1</v>
      </c>
    </row>
    <row r="5626" spans="2:9" x14ac:dyDescent="0.25">
      <c r="B5626">
        <v>0</v>
      </c>
      <c r="C5626" s="16" t="s">
        <v>14798</v>
      </c>
      <c r="D5626" s="16"/>
      <c r="E5626">
        <v>6</v>
      </c>
      <c r="F5626" t="s">
        <v>7399</v>
      </c>
      <c r="G5626">
        <v>1</v>
      </c>
      <c r="H5626">
        <v>0</v>
      </c>
      <c r="I5626">
        <f>1</f>
        <v>1</v>
      </c>
    </row>
    <row r="5627" spans="2:9" x14ac:dyDescent="0.25">
      <c r="B5627">
        <v>0</v>
      </c>
      <c r="C5627" s="16" t="s">
        <v>14799</v>
      </c>
      <c r="D5627" s="16"/>
      <c r="E5627">
        <v>6</v>
      </c>
      <c r="F5627" t="s">
        <v>7400</v>
      </c>
      <c r="G5627">
        <v>1</v>
      </c>
      <c r="H5627">
        <v>0</v>
      </c>
      <c r="I5627">
        <f>1</f>
        <v>1</v>
      </c>
    </row>
    <row r="5628" spans="2:9" x14ac:dyDescent="0.25">
      <c r="B5628">
        <v>0</v>
      </c>
      <c r="C5628" s="16" t="s">
        <v>14800</v>
      </c>
      <c r="D5628" s="16"/>
      <c r="E5628">
        <v>6</v>
      </c>
      <c r="F5628" t="s">
        <v>4680</v>
      </c>
      <c r="G5628">
        <v>1</v>
      </c>
      <c r="H5628">
        <v>0</v>
      </c>
      <c r="I5628">
        <f>1</f>
        <v>1</v>
      </c>
    </row>
    <row r="5629" spans="2:9" x14ac:dyDescent="0.25">
      <c r="B5629">
        <v>0</v>
      </c>
      <c r="C5629" s="16" t="s">
        <v>14801</v>
      </c>
      <c r="D5629" s="16"/>
      <c r="E5629">
        <v>6</v>
      </c>
      <c r="F5629" t="s">
        <v>7401</v>
      </c>
      <c r="G5629">
        <v>1</v>
      </c>
      <c r="H5629">
        <v>0</v>
      </c>
      <c r="I5629">
        <f>1</f>
        <v>1</v>
      </c>
    </row>
    <row r="5630" spans="2:9" x14ac:dyDescent="0.25">
      <c r="B5630">
        <v>0</v>
      </c>
      <c r="C5630" s="16" t="s">
        <v>14802</v>
      </c>
      <c r="D5630" s="16"/>
      <c r="E5630">
        <v>6</v>
      </c>
      <c r="F5630" t="s">
        <v>7403</v>
      </c>
      <c r="G5630">
        <v>1</v>
      </c>
      <c r="H5630">
        <v>0</v>
      </c>
      <c r="I5630">
        <f>1</f>
        <v>1</v>
      </c>
    </row>
    <row r="5631" spans="2:9" x14ac:dyDescent="0.25">
      <c r="B5631">
        <v>0</v>
      </c>
      <c r="C5631" s="16" t="s">
        <v>14803</v>
      </c>
      <c r="D5631" s="16"/>
      <c r="E5631">
        <v>6</v>
      </c>
      <c r="F5631" t="s">
        <v>7404</v>
      </c>
      <c r="G5631">
        <v>1</v>
      </c>
      <c r="H5631">
        <v>0</v>
      </c>
      <c r="I5631">
        <f>1</f>
        <v>1</v>
      </c>
    </row>
    <row r="5632" spans="2:9" x14ac:dyDescent="0.25">
      <c r="B5632">
        <v>0</v>
      </c>
      <c r="C5632" s="16" t="s">
        <v>14804</v>
      </c>
      <c r="D5632" s="16"/>
      <c r="E5632">
        <v>6</v>
      </c>
      <c r="F5632" t="s">
        <v>7405</v>
      </c>
      <c r="G5632">
        <v>1</v>
      </c>
      <c r="H5632">
        <v>0</v>
      </c>
      <c r="I5632">
        <f>1</f>
        <v>1</v>
      </c>
    </row>
    <row r="5633" spans="2:9" x14ac:dyDescent="0.25">
      <c r="B5633">
        <v>0</v>
      </c>
      <c r="C5633" s="16" t="s">
        <v>14805</v>
      </c>
      <c r="D5633" s="16"/>
      <c r="E5633">
        <v>6</v>
      </c>
      <c r="F5633" t="s">
        <v>7406</v>
      </c>
      <c r="G5633">
        <v>1</v>
      </c>
      <c r="H5633">
        <v>0</v>
      </c>
      <c r="I5633">
        <f>1</f>
        <v>1</v>
      </c>
    </row>
    <row r="5634" spans="2:9" x14ac:dyDescent="0.25">
      <c r="B5634">
        <v>0</v>
      </c>
      <c r="C5634" s="16" t="s">
        <v>14806</v>
      </c>
      <c r="D5634" s="16"/>
      <c r="E5634">
        <v>6</v>
      </c>
      <c r="F5634" t="s">
        <v>7407</v>
      </c>
      <c r="G5634">
        <v>1</v>
      </c>
      <c r="H5634">
        <v>0</v>
      </c>
      <c r="I5634">
        <f>1</f>
        <v>1</v>
      </c>
    </row>
    <row r="5635" spans="2:9" x14ac:dyDescent="0.25">
      <c r="B5635">
        <v>0</v>
      </c>
      <c r="C5635" s="16" t="s">
        <v>14807</v>
      </c>
      <c r="D5635" s="16"/>
      <c r="E5635">
        <v>6</v>
      </c>
      <c r="F5635" t="s">
        <v>7408</v>
      </c>
      <c r="G5635">
        <v>1</v>
      </c>
      <c r="H5635">
        <v>0</v>
      </c>
      <c r="I5635">
        <f>1</f>
        <v>1</v>
      </c>
    </row>
    <row r="5636" spans="2:9" x14ac:dyDescent="0.25">
      <c r="B5636">
        <v>0</v>
      </c>
      <c r="C5636" s="16" t="s">
        <v>14808</v>
      </c>
      <c r="D5636" s="16"/>
      <c r="E5636">
        <v>6</v>
      </c>
      <c r="F5636" t="s">
        <v>7409</v>
      </c>
      <c r="G5636">
        <v>1</v>
      </c>
      <c r="H5636">
        <v>0</v>
      </c>
      <c r="I5636">
        <f>1</f>
        <v>1</v>
      </c>
    </row>
    <row r="5637" spans="2:9" x14ac:dyDescent="0.25">
      <c r="B5637">
        <v>0</v>
      </c>
      <c r="C5637" s="16" t="s">
        <v>14809</v>
      </c>
      <c r="D5637" s="16"/>
      <c r="E5637">
        <v>6</v>
      </c>
      <c r="F5637" t="s">
        <v>7410</v>
      </c>
      <c r="G5637">
        <v>1</v>
      </c>
      <c r="H5637">
        <v>0</v>
      </c>
      <c r="I5637">
        <f>1</f>
        <v>1</v>
      </c>
    </row>
    <row r="5638" spans="2:9" x14ac:dyDescent="0.25">
      <c r="B5638">
        <v>0</v>
      </c>
      <c r="C5638" s="16" t="s">
        <v>14810</v>
      </c>
      <c r="D5638" s="16"/>
      <c r="E5638">
        <v>6</v>
      </c>
      <c r="F5638" t="s">
        <v>7406</v>
      </c>
      <c r="G5638">
        <v>1</v>
      </c>
      <c r="H5638">
        <v>0</v>
      </c>
      <c r="I5638">
        <f>1</f>
        <v>1</v>
      </c>
    </row>
    <row r="5639" spans="2:9" x14ac:dyDescent="0.25">
      <c r="B5639">
        <v>0</v>
      </c>
      <c r="C5639" s="16" t="s">
        <v>14811</v>
      </c>
      <c r="D5639" s="16"/>
      <c r="E5639">
        <v>6</v>
      </c>
      <c r="F5639" t="s">
        <v>7407</v>
      </c>
      <c r="G5639">
        <v>1</v>
      </c>
      <c r="H5639">
        <v>0</v>
      </c>
      <c r="I5639">
        <f>1</f>
        <v>1</v>
      </c>
    </row>
    <row r="5640" spans="2:9" x14ac:dyDescent="0.25">
      <c r="B5640">
        <v>0</v>
      </c>
      <c r="C5640" s="16" t="s">
        <v>14812</v>
      </c>
      <c r="D5640" s="16"/>
      <c r="E5640">
        <v>6</v>
      </c>
      <c r="F5640" t="s">
        <v>7408</v>
      </c>
      <c r="G5640">
        <v>1</v>
      </c>
      <c r="H5640">
        <v>0</v>
      </c>
      <c r="I5640">
        <f>1</f>
        <v>1</v>
      </c>
    </row>
    <row r="5641" spans="2:9" x14ac:dyDescent="0.25">
      <c r="B5641">
        <v>0</v>
      </c>
      <c r="C5641" s="16" t="s">
        <v>14813</v>
      </c>
      <c r="D5641" s="16"/>
      <c r="E5641">
        <v>6</v>
      </c>
      <c r="F5641" t="s">
        <v>7409</v>
      </c>
      <c r="G5641">
        <v>1</v>
      </c>
      <c r="H5641">
        <v>0</v>
      </c>
      <c r="I5641">
        <f>1</f>
        <v>1</v>
      </c>
    </row>
    <row r="5642" spans="2:9" x14ac:dyDescent="0.25">
      <c r="B5642">
        <v>0</v>
      </c>
      <c r="C5642" s="16" t="s">
        <v>14814</v>
      </c>
      <c r="D5642" s="16"/>
      <c r="E5642">
        <v>6</v>
      </c>
      <c r="F5642" t="s">
        <v>7411</v>
      </c>
      <c r="G5642">
        <v>1</v>
      </c>
      <c r="H5642">
        <v>0</v>
      </c>
      <c r="I5642">
        <f>1</f>
        <v>1</v>
      </c>
    </row>
    <row r="5643" spans="2:9" x14ac:dyDescent="0.25">
      <c r="B5643">
        <v>0</v>
      </c>
      <c r="C5643" s="16" t="s">
        <v>14815</v>
      </c>
      <c r="D5643" s="16"/>
      <c r="E5643">
        <v>6</v>
      </c>
      <c r="F5643" t="s">
        <v>7412</v>
      </c>
      <c r="G5643">
        <v>1</v>
      </c>
      <c r="H5643">
        <v>0</v>
      </c>
      <c r="I5643">
        <f>1</f>
        <v>1</v>
      </c>
    </row>
    <row r="5644" spans="2:9" x14ac:dyDescent="0.25">
      <c r="B5644">
        <v>0</v>
      </c>
      <c r="C5644" s="16" t="s">
        <v>14816</v>
      </c>
      <c r="D5644" s="16"/>
      <c r="E5644">
        <v>6</v>
      </c>
      <c r="F5644" t="s">
        <v>7413</v>
      </c>
      <c r="G5644">
        <v>1</v>
      </c>
      <c r="H5644">
        <v>0</v>
      </c>
      <c r="I5644">
        <f>1</f>
        <v>1</v>
      </c>
    </row>
    <row r="5645" spans="2:9" x14ac:dyDescent="0.25">
      <c r="B5645">
        <v>0</v>
      </c>
      <c r="C5645" s="16" t="s">
        <v>14817</v>
      </c>
      <c r="D5645" s="16"/>
      <c r="E5645">
        <v>6</v>
      </c>
      <c r="F5645" t="s">
        <v>7398</v>
      </c>
      <c r="G5645">
        <v>1</v>
      </c>
      <c r="H5645">
        <v>0</v>
      </c>
      <c r="I5645">
        <f>1</f>
        <v>1</v>
      </c>
    </row>
    <row r="5646" spans="2:9" x14ac:dyDescent="0.25">
      <c r="B5646">
        <v>0</v>
      </c>
      <c r="C5646" s="16" t="s">
        <v>14818</v>
      </c>
      <c r="D5646" s="16"/>
      <c r="E5646">
        <v>6</v>
      </c>
      <c r="F5646" t="s">
        <v>7399</v>
      </c>
      <c r="G5646">
        <v>1</v>
      </c>
      <c r="H5646">
        <v>0</v>
      </c>
      <c r="I5646">
        <f>1</f>
        <v>1</v>
      </c>
    </row>
    <row r="5647" spans="2:9" x14ac:dyDescent="0.25">
      <c r="B5647">
        <v>0</v>
      </c>
      <c r="C5647" s="16" t="s">
        <v>14819</v>
      </c>
      <c r="D5647" s="16"/>
      <c r="E5647">
        <v>6</v>
      </c>
      <c r="F5647" t="s">
        <v>7414</v>
      </c>
      <c r="G5647">
        <v>1</v>
      </c>
      <c r="H5647">
        <v>0</v>
      </c>
      <c r="I5647">
        <f>1</f>
        <v>1</v>
      </c>
    </row>
    <row r="5648" spans="2:9" x14ac:dyDescent="0.25">
      <c r="B5648">
        <v>0</v>
      </c>
      <c r="C5648" s="16" t="s">
        <v>14820</v>
      </c>
      <c r="D5648" s="16"/>
      <c r="E5648">
        <v>6</v>
      </c>
      <c r="F5648" t="s">
        <v>7401</v>
      </c>
      <c r="G5648">
        <v>1</v>
      </c>
      <c r="H5648">
        <v>0</v>
      </c>
      <c r="I5648">
        <f>1</f>
        <v>1</v>
      </c>
    </row>
    <row r="5649" spans="2:9" x14ac:dyDescent="0.25">
      <c r="B5649">
        <v>0</v>
      </c>
      <c r="C5649" s="16" t="s">
        <v>14821</v>
      </c>
      <c r="D5649" s="16"/>
      <c r="E5649">
        <v>6</v>
      </c>
      <c r="F5649" t="s">
        <v>7402</v>
      </c>
      <c r="G5649">
        <v>1</v>
      </c>
      <c r="H5649">
        <v>0</v>
      </c>
      <c r="I5649">
        <f>1</f>
        <v>1</v>
      </c>
    </row>
    <row r="5650" spans="2:9" x14ac:dyDescent="0.25">
      <c r="B5650">
        <v>0</v>
      </c>
      <c r="C5650" s="16" t="s">
        <v>14822</v>
      </c>
      <c r="D5650" s="16"/>
      <c r="E5650">
        <v>6</v>
      </c>
      <c r="F5650" t="s">
        <v>7398</v>
      </c>
      <c r="G5650">
        <v>1</v>
      </c>
      <c r="H5650">
        <v>0</v>
      </c>
      <c r="I5650">
        <f>1</f>
        <v>1</v>
      </c>
    </row>
    <row r="5651" spans="2:9" x14ac:dyDescent="0.25">
      <c r="B5651">
        <v>0</v>
      </c>
      <c r="C5651" s="16" t="s">
        <v>14823</v>
      </c>
      <c r="D5651" s="16"/>
      <c r="E5651">
        <v>6</v>
      </c>
      <c r="F5651" t="s">
        <v>7399</v>
      </c>
      <c r="G5651">
        <v>1</v>
      </c>
      <c r="H5651">
        <v>0</v>
      </c>
      <c r="I5651">
        <f>1</f>
        <v>1</v>
      </c>
    </row>
    <row r="5652" spans="2:9" x14ac:dyDescent="0.25">
      <c r="B5652">
        <v>0</v>
      </c>
      <c r="C5652" s="16" t="s">
        <v>14824</v>
      </c>
      <c r="D5652" s="16"/>
      <c r="E5652">
        <v>6</v>
      </c>
      <c r="F5652" t="s">
        <v>7414</v>
      </c>
      <c r="G5652">
        <v>1</v>
      </c>
      <c r="H5652">
        <v>0</v>
      </c>
      <c r="I5652">
        <f>1</f>
        <v>1</v>
      </c>
    </row>
    <row r="5653" spans="2:9" x14ac:dyDescent="0.25">
      <c r="B5653">
        <v>0</v>
      </c>
      <c r="C5653" s="16" t="s">
        <v>14825</v>
      </c>
      <c r="D5653" s="16"/>
      <c r="E5653">
        <v>6</v>
      </c>
      <c r="F5653" t="s">
        <v>7401</v>
      </c>
      <c r="G5653">
        <v>1</v>
      </c>
      <c r="H5653">
        <v>0</v>
      </c>
      <c r="I5653">
        <f>1</f>
        <v>1</v>
      </c>
    </row>
    <row r="5654" spans="2:9" x14ac:dyDescent="0.25">
      <c r="B5654">
        <v>0</v>
      </c>
      <c r="C5654" s="16" t="s">
        <v>14826</v>
      </c>
      <c r="D5654" s="16"/>
      <c r="E5654">
        <v>6</v>
      </c>
      <c r="F5654" t="s">
        <v>7402</v>
      </c>
      <c r="G5654">
        <v>1</v>
      </c>
      <c r="H5654">
        <v>0</v>
      </c>
      <c r="I5654">
        <f>1</f>
        <v>1</v>
      </c>
    </row>
    <row r="5655" spans="2:9" x14ac:dyDescent="0.25">
      <c r="B5655">
        <v>0</v>
      </c>
      <c r="C5655" s="16" t="s">
        <v>14827</v>
      </c>
      <c r="D5655" s="16"/>
      <c r="E5655">
        <v>6</v>
      </c>
      <c r="F5655" t="s">
        <v>7406</v>
      </c>
      <c r="G5655">
        <v>1</v>
      </c>
      <c r="H5655">
        <v>0</v>
      </c>
      <c r="I5655">
        <f>1</f>
        <v>1</v>
      </c>
    </row>
    <row r="5656" spans="2:9" x14ac:dyDescent="0.25">
      <c r="B5656">
        <v>0</v>
      </c>
      <c r="C5656" s="16" t="s">
        <v>14828</v>
      </c>
      <c r="D5656" s="16"/>
      <c r="E5656">
        <v>6</v>
      </c>
      <c r="F5656" t="s">
        <v>7407</v>
      </c>
      <c r="G5656">
        <v>1</v>
      </c>
      <c r="H5656">
        <v>0</v>
      </c>
      <c r="I5656">
        <f>1</f>
        <v>1</v>
      </c>
    </row>
    <row r="5657" spans="2:9" x14ac:dyDescent="0.25">
      <c r="B5657">
        <v>0</v>
      </c>
      <c r="C5657" s="16" t="s">
        <v>14829</v>
      </c>
      <c r="D5657" s="16"/>
      <c r="E5657">
        <v>6</v>
      </c>
      <c r="F5657" t="s">
        <v>7408</v>
      </c>
      <c r="G5657">
        <v>1</v>
      </c>
      <c r="H5657">
        <v>0</v>
      </c>
      <c r="I5657">
        <f>1</f>
        <v>1</v>
      </c>
    </row>
    <row r="5658" spans="2:9" x14ac:dyDescent="0.25">
      <c r="B5658">
        <v>0</v>
      </c>
      <c r="C5658" s="16" t="s">
        <v>14830</v>
      </c>
      <c r="D5658" s="16"/>
      <c r="E5658">
        <v>6</v>
      </c>
      <c r="F5658" t="s">
        <v>7409</v>
      </c>
      <c r="G5658">
        <v>1</v>
      </c>
      <c r="H5658">
        <v>0</v>
      </c>
      <c r="I5658">
        <f>1</f>
        <v>1</v>
      </c>
    </row>
    <row r="5659" spans="2:9" x14ac:dyDescent="0.25">
      <c r="B5659">
        <v>0</v>
      </c>
      <c r="C5659" s="16" t="s">
        <v>14831</v>
      </c>
      <c r="D5659" s="16"/>
      <c r="E5659">
        <v>6</v>
      </c>
      <c r="F5659" t="s">
        <v>7410</v>
      </c>
      <c r="G5659">
        <v>1</v>
      </c>
      <c r="H5659">
        <v>0</v>
      </c>
      <c r="I5659">
        <f>1</f>
        <v>1</v>
      </c>
    </row>
    <row r="5660" spans="2:9" x14ac:dyDescent="0.25">
      <c r="B5660">
        <v>0</v>
      </c>
      <c r="C5660" s="16" t="s">
        <v>14832</v>
      </c>
      <c r="D5660" s="16"/>
      <c r="E5660">
        <v>6</v>
      </c>
      <c r="F5660" t="s">
        <v>7406</v>
      </c>
      <c r="G5660">
        <v>1</v>
      </c>
      <c r="H5660">
        <v>0</v>
      </c>
      <c r="I5660">
        <f>1</f>
        <v>1</v>
      </c>
    </row>
    <row r="5661" spans="2:9" x14ac:dyDescent="0.25">
      <c r="B5661">
        <v>0</v>
      </c>
      <c r="C5661" s="16" t="s">
        <v>14833</v>
      </c>
      <c r="D5661" s="16"/>
      <c r="E5661">
        <v>6</v>
      </c>
      <c r="F5661" t="s">
        <v>7407</v>
      </c>
      <c r="G5661">
        <v>1</v>
      </c>
      <c r="H5661">
        <v>0</v>
      </c>
      <c r="I5661">
        <f>1</f>
        <v>1</v>
      </c>
    </row>
    <row r="5662" spans="2:9" x14ac:dyDescent="0.25">
      <c r="B5662">
        <v>0</v>
      </c>
      <c r="C5662" s="16" t="s">
        <v>14834</v>
      </c>
      <c r="D5662" s="16"/>
      <c r="E5662">
        <v>6</v>
      </c>
      <c r="F5662" t="s">
        <v>7408</v>
      </c>
      <c r="G5662">
        <v>1</v>
      </c>
      <c r="H5662">
        <v>0</v>
      </c>
      <c r="I5662">
        <f>1</f>
        <v>1</v>
      </c>
    </row>
    <row r="5663" spans="2:9" x14ac:dyDescent="0.25">
      <c r="B5663">
        <v>0</v>
      </c>
      <c r="C5663" s="16" t="s">
        <v>14835</v>
      </c>
      <c r="D5663" s="16"/>
      <c r="E5663">
        <v>6</v>
      </c>
      <c r="F5663" t="s">
        <v>7409</v>
      </c>
      <c r="G5663">
        <v>1</v>
      </c>
      <c r="H5663">
        <v>0</v>
      </c>
      <c r="I5663">
        <f>1</f>
        <v>1</v>
      </c>
    </row>
    <row r="5664" spans="2:9" x14ac:dyDescent="0.25">
      <c r="B5664">
        <v>0</v>
      </c>
      <c r="C5664" s="16" t="s">
        <v>14836</v>
      </c>
      <c r="D5664" s="16"/>
      <c r="E5664">
        <v>6</v>
      </c>
      <c r="F5664" t="s">
        <v>7410</v>
      </c>
      <c r="G5664">
        <v>1</v>
      </c>
      <c r="H5664">
        <v>0</v>
      </c>
      <c r="I5664">
        <f>1</f>
        <v>1</v>
      </c>
    </row>
    <row r="5665" spans="2:9" x14ac:dyDescent="0.25">
      <c r="B5665">
        <v>0</v>
      </c>
      <c r="C5665" s="16" t="s">
        <v>14837</v>
      </c>
      <c r="D5665" s="16"/>
      <c r="E5665">
        <v>6</v>
      </c>
      <c r="F5665" t="s">
        <v>7415</v>
      </c>
      <c r="G5665">
        <v>1</v>
      </c>
      <c r="H5665">
        <v>0</v>
      </c>
      <c r="I5665">
        <f>1</f>
        <v>1</v>
      </c>
    </row>
    <row r="5666" spans="2:9" x14ac:dyDescent="0.25">
      <c r="B5666">
        <v>0</v>
      </c>
      <c r="C5666" s="16" t="s">
        <v>14838</v>
      </c>
      <c r="D5666" s="16"/>
      <c r="E5666">
        <v>6</v>
      </c>
      <c r="F5666" t="e">
        <f>-outros</f>
        <v>#NAME?</v>
      </c>
      <c r="G5666">
        <v>1</v>
      </c>
      <c r="H5666">
        <v>0</v>
      </c>
      <c r="I5666">
        <f>1</f>
        <v>1</v>
      </c>
    </row>
    <row r="5667" spans="2:9" x14ac:dyDescent="0.25">
      <c r="B5667">
        <v>0</v>
      </c>
      <c r="C5667" s="16" t="s">
        <v>14839</v>
      </c>
      <c r="D5667" s="16"/>
      <c r="E5667">
        <v>6</v>
      </c>
      <c r="F5667" t="s">
        <v>7416</v>
      </c>
      <c r="G5667">
        <v>1</v>
      </c>
      <c r="H5667">
        <v>0</v>
      </c>
      <c r="I5667">
        <f>1</f>
        <v>1</v>
      </c>
    </row>
    <row r="5668" spans="2:9" x14ac:dyDescent="0.25">
      <c r="B5668">
        <v>0</v>
      </c>
      <c r="C5668" s="16" t="s">
        <v>14840</v>
      </c>
      <c r="D5668" s="16"/>
      <c r="E5668">
        <v>6</v>
      </c>
      <c r="F5668" t="s">
        <v>7417</v>
      </c>
      <c r="G5668">
        <v>1</v>
      </c>
      <c r="H5668">
        <v>0</v>
      </c>
      <c r="I5668">
        <f>1</f>
        <v>1</v>
      </c>
    </row>
    <row r="5669" spans="2:9" x14ac:dyDescent="0.25">
      <c r="B5669">
        <v>0</v>
      </c>
      <c r="C5669" s="16" t="s">
        <v>14841</v>
      </c>
      <c r="D5669" s="16"/>
      <c r="E5669">
        <v>6</v>
      </c>
      <c r="F5669" t="s">
        <v>7418</v>
      </c>
      <c r="G5669">
        <v>1</v>
      </c>
      <c r="H5669">
        <v>0</v>
      </c>
      <c r="I5669">
        <f>1</f>
        <v>1</v>
      </c>
    </row>
    <row r="5670" spans="2:9" x14ac:dyDescent="0.25">
      <c r="B5670">
        <v>0</v>
      </c>
      <c r="C5670" s="16" t="s">
        <v>14842</v>
      </c>
      <c r="D5670" s="16"/>
      <c r="E5670">
        <v>6</v>
      </c>
      <c r="F5670" t="e">
        <f>--outros tecidos</f>
        <v>#NAME?</v>
      </c>
      <c r="G5670">
        <v>1</v>
      </c>
      <c r="H5670">
        <v>0</v>
      </c>
      <c r="I5670">
        <f>1</f>
        <v>1</v>
      </c>
    </row>
    <row r="5671" spans="2:9" x14ac:dyDescent="0.25">
      <c r="B5671">
        <v>0</v>
      </c>
      <c r="C5671" s="16" t="s">
        <v>14843</v>
      </c>
      <c r="D5671" s="16"/>
      <c r="E5671">
        <v>6</v>
      </c>
      <c r="F5671" t="s">
        <v>7416</v>
      </c>
      <c r="G5671">
        <v>1</v>
      </c>
      <c r="H5671">
        <v>0</v>
      </c>
      <c r="I5671">
        <f>1</f>
        <v>1</v>
      </c>
    </row>
    <row r="5672" spans="2:9" x14ac:dyDescent="0.25">
      <c r="B5672">
        <v>0</v>
      </c>
      <c r="C5672" s="16" t="s">
        <v>14844</v>
      </c>
      <c r="D5672" s="16"/>
      <c r="E5672">
        <v>6</v>
      </c>
      <c r="F5672" t="s">
        <v>7417</v>
      </c>
      <c r="G5672">
        <v>1</v>
      </c>
      <c r="H5672">
        <v>0</v>
      </c>
      <c r="I5672">
        <f>1</f>
        <v>1</v>
      </c>
    </row>
    <row r="5673" spans="2:9" x14ac:dyDescent="0.25">
      <c r="B5673">
        <v>0</v>
      </c>
      <c r="C5673" s="16" t="s">
        <v>14845</v>
      </c>
      <c r="D5673" s="16"/>
      <c r="E5673">
        <v>6</v>
      </c>
      <c r="F5673" t="s">
        <v>7418</v>
      </c>
      <c r="G5673">
        <v>1</v>
      </c>
      <c r="H5673">
        <v>0</v>
      </c>
      <c r="I5673">
        <f>1</f>
        <v>1</v>
      </c>
    </row>
    <row r="5674" spans="2:9" x14ac:dyDescent="0.25">
      <c r="B5674">
        <v>0</v>
      </c>
      <c r="C5674" s="16" t="s">
        <v>14846</v>
      </c>
      <c r="D5674" s="16"/>
      <c r="E5674">
        <v>6</v>
      </c>
      <c r="F5674" t="e">
        <f>--outros tecidos</f>
        <v>#NAME?</v>
      </c>
      <c r="G5674">
        <v>1</v>
      </c>
      <c r="H5674">
        <v>0</v>
      </c>
      <c r="I5674">
        <f>1</f>
        <v>1</v>
      </c>
    </row>
    <row r="5675" spans="2:9" x14ac:dyDescent="0.25">
      <c r="B5675">
        <v>0</v>
      </c>
      <c r="C5675" s="16" t="s">
        <v>14847</v>
      </c>
      <c r="D5675" s="16"/>
      <c r="E5675">
        <v>6</v>
      </c>
      <c r="F5675" t="s">
        <v>7416</v>
      </c>
      <c r="G5675">
        <v>1</v>
      </c>
      <c r="H5675">
        <v>0</v>
      </c>
      <c r="I5675">
        <f>1</f>
        <v>1</v>
      </c>
    </row>
    <row r="5676" spans="2:9" x14ac:dyDescent="0.25">
      <c r="B5676">
        <v>0</v>
      </c>
      <c r="C5676" s="16" t="s">
        <v>14848</v>
      </c>
      <c r="D5676" s="16"/>
      <c r="E5676">
        <v>6</v>
      </c>
      <c r="F5676" t="s">
        <v>7417</v>
      </c>
      <c r="G5676">
        <v>1</v>
      </c>
      <c r="H5676">
        <v>0</v>
      </c>
      <c r="I5676">
        <f>1</f>
        <v>1</v>
      </c>
    </row>
    <row r="5677" spans="2:9" x14ac:dyDescent="0.25">
      <c r="B5677">
        <v>0</v>
      </c>
      <c r="C5677" s="16" t="s">
        <v>14849</v>
      </c>
      <c r="D5677" s="16"/>
      <c r="E5677">
        <v>6</v>
      </c>
      <c r="F5677" t="s">
        <v>7418</v>
      </c>
      <c r="G5677">
        <v>1</v>
      </c>
      <c r="H5677">
        <v>0</v>
      </c>
      <c r="I5677">
        <f>1</f>
        <v>1</v>
      </c>
    </row>
    <row r="5678" spans="2:9" x14ac:dyDescent="0.25">
      <c r="B5678">
        <v>0</v>
      </c>
      <c r="C5678" s="16" t="s">
        <v>14850</v>
      </c>
      <c r="D5678" s="16"/>
      <c r="E5678">
        <v>6</v>
      </c>
      <c r="F5678" t="e">
        <f>--outros tecidos</f>
        <v>#NAME?</v>
      </c>
      <c r="G5678">
        <v>1</v>
      </c>
      <c r="H5678">
        <v>0</v>
      </c>
      <c r="I5678">
        <f>1</f>
        <v>1</v>
      </c>
    </row>
    <row r="5679" spans="2:9" x14ac:dyDescent="0.25">
      <c r="B5679">
        <v>0</v>
      </c>
      <c r="C5679" s="16" t="s">
        <v>14851</v>
      </c>
      <c r="D5679" s="16"/>
      <c r="E5679">
        <v>6</v>
      </c>
      <c r="F5679" t="s">
        <v>7416</v>
      </c>
      <c r="G5679">
        <v>1</v>
      </c>
      <c r="H5679">
        <v>0</v>
      </c>
      <c r="I5679">
        <f>1</f>
        <v>1</v>
      </c>
    </row>
    <row r="5680" spans="2:9" x14ac:dyDescent="0.25">
      <c r="B5680">
        <v>0</v>
      </c>
      <c r="C5680" s="16" t="s">
        <v>14852</v>
      </c>
      <c r="D5680" s="16"/>
      <c r="E5680">
        <v>6</v>
      </c>
      <c r="F5680" t="s">
        <v>7417</v>
      </c>
      <c r="G5680">
        <v>1</v>
      </c>
      <c r="H5680">
        <v>0</v>
      </c>
      <c r="I5680">
        <f>1</f>
        <v>1</v>
      </c>
    </row>
    <row r="5681" spans="2:9" x14ac:dyDescent="0.25">
      <c r="B5681">
        <v>0</v>
      </c>
      <c r="C5681" s="16" t="s">
        <v>14853</v>
      </c>
      <c r="D5681" s="16"/>
      <c r="E5681">
        <v>6</v>
      </c>
      <c r="F5681" t="s">
        <v>7418</v>
      </c>
      <c r="G5681">
        <v>1</v>
      </c>
      <c r="H5681">
        <v>0</v>
      </c>
      <c r="I5681">
        <f>1</f>
        <v>1</v>
      </c>
    </row>
    <row r="5682" spans="2:9" x14ac:dyDescent="0.25">
      <c r="B5682">
        <v>0</v>
      </c>
      <c r="C5682" s="16" t="s">
        <v>14854</v>
      </c>
      <c r="D5682" s="16"/>
      <c r="E5682">
        <v>6</v>
      </c>
      <c r="F5682" t="e">
        <f>--outros tecidos</f>
        <v>#NAME?</v>
      </c>
      <c r="G5682">
        <v>1</v>
      </c>
      <c r="H5682">
        <v>0</v>
      </c>
      <c r="I5682">
        <f>1</f>
        <v>1</v>
      </c>
    </row>
    <row r="5683" spans="2:9" x14ac:dyDescent="0.25">
      <c r="B5683">
        <v>0</v>
      </c>
      <c r="C5683" s="16" t="s">
        <v>14855</v>
      </c>
      <c r="D5683" s="16"/>
      <c r="E5683">
        <v>6</v>
      </c>
      <c r="F5683" t="s">
        <v>7416</v>
      </c>
      <c r="G5683">
        <v>1</v>
      </c>
      <c r="H5683">
        <v>0</v>
      </c>
      <c r="I5683">
        <f>1</f>
        <v>1</v>
      </c>
    </row>
    <row r="5684" spans="2:9" x14ac:dyDescent="0.25">
      <c r="B5684">
        <v>0</v>
      </c>
      <c r="C5684" s="16" t="s">
        <v>14856</v>
      </c>
      <c r="D5684" s="16"/>
      <c r="E5684">
        <v>6</v>
      </c>
      <c r="F5684" t="s">
        <v>7417</v>
      </c>
      <c r="G5684">
        <v>1</v>
      </c>
      <c r="H5684">
        <v>0</v>
      </c>
      <c r="I5684">
        <f>1</f>
        <v>1</v>
      </c>
    </row>
    <row r="5685" spans="2:9" x14ac:dyDescent="0.25">
      <c r="B5685">
        <v>0</v>
      </c>
      <c r="C5685" s="16" t="s">
        <v>14857</v>
      </c>
      <c r="D5685" s="16"/>
      <c r="E5685">
        <v>6</v>
      </c>
      <c r="F5685" t="s">
        <v>7419</v>
      </c>
      <c r="G5685">
        <v>1</v>
      </c>
      <c r="H5685">
        <v>0</v>
      </c>
      <c r="I5685">
        <f>1</f>
        <v>1</v>
      </c>
    </row>
    <row r="5686" spans="2:9" x14ac:dyDescent="0.25">
      <c r="B5686">
        <v>0</v>
      </c>
      <c r="C5686" s="16" t="s">
        <v>14858</v>
      </c>
      <c r="D5686" s="16"/>
      <c r="E5686">
        <v>6</v>
      </c>
      <c r="F5686" t="s">
        <v>4680</v>
      </c>
      <c r="G5686">
        <v>1</v>
      </c>
      <c r="H5686">
        <v>0</v>
      </c>
      <c r="I5686">
        <f>1</f>
        <v>1</v>
      </c>
    </row>
    <row r="5687" spans="2:9" x14ac:dyDescent="0.25">
      <c r="B5687">
        <v>0</v>
      </c>
      <c r="C5687" s="16" t="s">
        <v>14859</v>
      </c>
      <c r="D5687" s="16"/>
      <c r="E5687">
        <v>6</v>
      </c>
      <c r="F5687" t="e">
        <f>--em ponto De tafetá</f>
        <v>#NAME?</v>
      </c>
      <c r="G5687">
        <v>1</v>
      </c>
      <c r="H5687">
        <v>0</v>
      </c>
      <c r="I5687">
        <f>1</f>
        <v>1</v>
      </c>
    </row>
    <row r="5688" spans="2:9" x14ac:dyDescent="0.25">
      <c r="B5688">
        <v>0</v>
      </c>
      <c r="C5688" s="16" t="s">
        <v>14860</v>
      </c>
      <c r="D5688" s="16"/>
      <c r="E5688">
        <v>6</v>
      </c>
      <c r="F5688" t="s">
        <v>7418</v>
      </c>
      <c r="G5688">
        <v>1</v>
      </c>
      <c r="H5688">
        <v>0</v>
      </c>
      <c r="I5688">
        <f>1</f>
        <v>1</v>
      </c>
    </row>
    <row r="5689" spans="2:9" x14ac:dyDescent="0.25">
      <c r="B5689">
        <v>0</v>
      </c>
      <c r="C5689" s="16" t="s">
        <v>14861</v>
      </c>
      <c r="D5689" s="16"/>
      <c r="E5689">
        <v>6</v>
      </c>
      <c r="F5689" t="e">
        <f>--outros tecidos</f>
        <v>#NAME?</v>
      </c>
      <c r="G5689">
        <v>1</v>
      </c>
      <c r="H5689">
        <v>0</v>
      </c>
      <c r="I5689">
        <f>1</f>
        <v>1</v>
      </c>
    </row>
    <row r="5690" spans="2:9" x14ac:dyDescent="0.25">
      <c r="B5690">
        <v>0</v>
      </c>
      <c r="C5690" s="16" t="s">
        <v>14862</v>
      </c>
      <c r="D5690" s="16"/>
      <c r="E5690">
        <v>6</v>
      </c>
      <c r="F5690" t="e">
        <f>--em ponto De tafetá</f>
        <v>#NAME?</v>
      </c>
      <c r="G5690">
        <v>1</v>
      </c>
      <c r="H5690">
        <v>0</v>
      </c>
      <c r="I5690">
        <f>1</f>
        <v>1</v>
      </c>
    </row>
    <row r="5691" spans="2:9" x14ac:dyDescent="0.25">
      <c r="B5691">
        <v>0</v>
      </c>
      <c r="C5691" s="16" t="s">
        <v>14863</v>
      </c>
      <c r="D5691" s="16"/>
      <c r="E5691">
        <v>6</v>
      </c>
      <c r="F5691" t="s">
        <v>7418</v>
      </c>
      <c r="G5691">
        <v>1</v>
      </c>
      <c r="H5691">
        <v>0</v>
      </c>
      <c r="I5691">
        <f>1</f>
        <v>1</v>
      </c>
    </row>
    <row r="5692" spans="2:9" x14ac:dyDescent="0.25">
      <c r="B5692">
        <v>0</v>
      </c>
      <c r="C5692" s="16" t="s">
        <v>14864</v>
      </c>
      <c r="D5692" s="16"/>
      <c r="E5692">
        <v>6</v>
      </c>
      <c r="F5692" t="e">
        <f>--outros tecidos</f>
        <v>#NAME?</v>
      </c>
      <c r="G5692">
        <v>1</v>
      </c>
      <c r="H5692">
        <v>0</v>
      </c>
      <c r="I5692">
        <f>1</f>
        <v>1</v>
      </c>
    </row>
    <row r="5693" spans="2:9" x14ac:dyDescent="0.25">
      <c r="B5693">
        <v>0</v>
      </c>
      <c r="C5693" s="16" t="s">
        <v>14865</v>
      </c>
      <c r="D5693" s="16"/>
      <c r="E5693">
        <v>6</v>
      </c>
      <c r="F5693" t="e">
        <f>--em ponto De tafetá</f>
        <v>#NAME?</v>
      </c>
      <c r="G5693">
        <v>1</v>
      </c>
      <c r="H5693">
        <v>0</v>
      </c>
      <c r="I5693">
        <f>1</f>
        <v>1</v>
      </c>
    </row>
    <row r="5694" spans="2:9" x14ac:dyDescent="0.25">
      <c r="B5694">
        <v>0</v>
      </c>
      <c r="C5694" s="16" t="s">
        <v>14866</v>
      </c>
      <c r="D5694" s="16"/>
      <c r="E5694">
        <v>6</v>
      </c>
      <c r="F5694" t="s">
        <v>7418</v>
      </c>
      <c r="G5694">
        <v>1</v>
      </c>
      <c r="H5694">
        <v>0</v>
      </c>
      <c r="I5694">
        <f>1</f>
        <v>1</v>
      </c>
    </row>
    <row r="5695" spans="2:9" x14ac:dyDescent="0.25">
      <c r="B5695">
        <v>0</v>
      </c>
      <c r="C5695" s="16" t="s">
        <v>14867</v>
      </c>
      <c r="D5695" s="16"/>
      <c r="E5695">
        <v>6</v>
      </c>
      <c r="F5695" t="e">
        <f>--outros tecidos</f>
        <v>#NAME?</v>
      </c>
      <c r="G5695">
        <v>1</v>
      </c>
      <c r="H5695">
        <v>0</v>
      </c>
      <c r="I5695">
        <f>1</f>
        <v>1</v>
      </c>
    </row>
    <row r="5696" spans="2:9" x14ac:dyDescent="0.25">
      <c r="B5696">
        <v>0</v>
      </c>
      <c r="C5696" s="16" t="s">
        <v>14868</v>
      </c>
      <c r="D5696" s="16"/>
      <c r="E5696">
        <v>6</v>
      </c>
      <c r="F5696" t="e">
        <f>--em ponto De tafetá</f>
        <v>#NAME?</v>
      </c>
      <c r="G5696">
        <v>1</v>
      </c>
      <c r="H5696">
        <v>0</v>
      </c>
      <c r="I5696">
        <f>1</f>
        <v>1</v>
      </c>
    </row>
    <row r="5697" spans="2:9" x14ac:dyDescent="0.25">
      <c r="B5697">
        <v>0</v>
      </c>
      <c r="C5697" s="16" t="s">
        <v>14869</v>
      </c>
      <c r="D5697" s="16"/>
      <c r="E5697">
        <v>6</v>
      </c>
      <c r="F5697" t="s">
        <v>7420</v>
      </c>
      <c r="G5697">
        <v>1</v>
      </c>
      <c r="H5697">
        <v>0</v>
      </c>
      <c r="I5697">
        <f>1</f>
        <v>1</v>
      </c>
    </row>
    <row r="5698" spans="2:9" x14ac:dyDescent="0.25">
      <c r="B5698">
        <v>0</v>
      </c>
      <c r="C5698" s="16" t="s">
        <v>14870</v>
      </c>
      <c r="D5698" s="16"/>
      <c r="E5698">
        <v>6</v>
      </c>
      <c r="F5698" t="s">
        <v>4680</v>
      </c>
      <c r="G5698">
        <v>1</v>
      </c>
      <c r="H5698">
        <v>0</v>
      </c>
      <c r="I5698">
        <f>1</f>
        <v>1</v>
      </c>
    </row>
    <row r="5699" spans="2:9" x14ac:dyDescent="0.25">
      <c r="B5699">
        <v>0</v>
      </c>
      <c r="C5699" s="16" t="s">
        <v>14871</v>
      </c>
      <c r="D5699" s="16"/>
      <c r="E5699">
        <v>6</v>
      </c>
      <c r="F5699" t="s">
        <v>7421</v>
      </c>
      <c r="G5699">
        <v>1</v>
      </c>
      <c r="H5699">
        <v>0</v>
      </c>
      <c r="I5699">
        <f>1</f>
        <v>1</v>
      </c>
    </row>
    <row r="5700" spans="2:9" x14ac:dyDescent="0.25">
      <c r="B5700">
        <v>0</v>
      </c>
      <c r="C5700" s="16" t="s">
        <v>14872</v>
      </c>
      <c r="D5700" s="16"/>
      <c r="E5700">
        <v>6</v>
      </c>
      <c r="F5700" t="e">
        <f>--outros tecidos</f>
        <v>#NAME?</v>
      </c>
      <c r="G5700">
        <v>1</v>
      </c>
      <c r="H5700">
        <v>0</v>
      </c>
      <c r="I5700">
        <f>1</f>
        <v>1</v>
      </c>
    </row>
    <row r="5701" spans="2:9" x14ac:dyDescent="0.25">
      <c r="B5701">
        <v>0</v>
      </c>
      <c r="C5701" s="16" t="s">
        <v>14873</v>
      </c>
      <c r="D5701" s="16"/>
      <c r="E5701">
        <v>6</v>
      </c>
      <c r="F5701" t="e">
        <f>--em ponto De tafetá</f>
        <v>#NAME?</v>
      </c>
      <c r="G5701">
        <v>1</v>
      </c>
      <c r="H5701">
        <v>0</v>
      </c>
      <c r="I5701">
        <f>1</f>
        <v>1</v>
      </c>
    </row>
    <row r="5702" spans="2:9" x14ac:dyDescent="0.25">
      <c r="B5702">
        <v>0</v>
      </c>
      <c r="C5702" s="16" t="s">
        <v>14874</v>
      </c>
      <c r="D5702" s="16"/>
      <c r="E5702">
        <v>6</v>
      </c>
      <c r="F5702" t="s">
        <v>7418</v>
      </c>
      <c r="G5702">
        <v>1</v>
      </c>
      <c r="H5702">
        <v>0</v>
      </c>
      <c r="I5702">
        <f>1</f>
        <v>1</v>
      </c>
    </row>
    <row r="5703" spans="2:9" x14ac:dyDescent="0.25">
      <c r="B5703">
        <v>0</v>
      </c>
      <c r="C5703" s="16" t="s">
        <v>14875</v>
      </c>
      <c r="D5703" s="16"/>
      <c r="E5703">
        <v>6</v>
      </c>
      <c r="F5703" t="e">
        <f>--outros tecidos</f>
        <v>#NAME?</v>
      </c>
      <c r="G5703">
        <v>1</v>
      </c>
      <c r="H5703">
        <v>0</v>
      </c>
      <c r="I5703">
        <f>1</f>
        <v>1</v>
      </c>
    </row>
    <row r="5704" spans="2:9" x14ac:dyDescent="0.25">
      <c r="B5704">
        <v>0</v>
      </c>
      <c r="C5704" s="16" t="s">
        <v>14876</v>
      </c>
      <c r="D5704" s="16"/>
      <c r="E5704">
        <v>6</v>
      </c>
      <c r="F5704" t="e">
        <f>--em ponto De tafetá</f>
        <v>#NAME?</v>
      </c>
      <c r="G5704">
        <v>1</v>
      </c>
      <c r="H5704">
        <v>0</v>
      </c>
      <c r="I5704">
        <f>1</f>
        <v>1</v>
      </c>
    </row>
    <row r="5705" spans="2:9" x14ac:dyDescent="0.25">
      <c r="B5705">
        <v>0</v>
      </c>
      <c r="C5705" s="16" t="s">
        <v>14877</v>
      </c>
      <c r="D5705" s="16"/>
      <c r="E5705">
        <v>6</v>
      </c>
      <c r="F5705" t="s">
        <v>7419</v>
      </c>
      <c r="G5705">
        <v>1</v>
      </c>
      <c r="H5705">
        <v>0</v>
      </c>
      <c r="I5705">
        <f>1</f>
        <v>1</v>
      </c>
    </row>
    <row r="5706" spans="2:9" x14ac:dyDescent="0.25">
      <c r="B5706">
        <v>0</v>
      </c>
      <c r="C5706" s="16" t="s">
        <v>14878</v>
      </c>
      <c r="D5706" s="16"/>
      <c r="E5706">
        <v>6</v>
      </c>
      <c r="F5706" t="s">
        <v>4680</v>
      </c>
      <c r="G5706">
        <v>1</v>
      </c>
      <c r="H5706">
        <v>0</v>
      </c>
      <c r="I5706">
        <f>1</f>
        <v>1</v>
      </c>
    </row>
    <row r="5707" spans="2:9" x14ac:dyDescent="0.25">
      <c r="B5707">
        <v>0</v>
      </c>
      <c r="C5707" s="16" t="s">
        <v>14879</v>
      </c>
      <c r="D5707" s="16"/>
      <c r="E5707">
        <v>6</v>
      </c>
      <c r="F5707" t="e">
        <f>--em ponto De tafetá</f>
        <v>#NAME?</v>
      </c>
      <c r="G5707">
        <v>1</v>
      </c>
      <c r="H5707">
        <v>0</v>
      </c>
      <c r="I5707">
        <f>1</f>
        <v>1</v>
      </c>
    </row>
    <row r="5708" spans="2:9" x14ac:dyDescent="0.25">
      <c r="B5708">
        <v>0</v>
      </c>
      <c r="C5708" s="16" t="s">
        <v>14880</v>
      </c>
      <c r="D5708" s="16"/>
      <c r="E5708">
        <v>6</v>
      </c>
      <c r="F5708" t="s">
        <v>7419</v>
      </c>
      <c r="G5708">
        <v>1</v>
      </c>
      <c r="H5708">
        <v>0</v>
      </c>
      <c r="I5708">
        <f>1</f>
        <v>1</v>
      </c>
    </row>
    <row r="5709" spans="2:9" x14ac:dyDescent="0.25">
      <c r="B5709">
        <v>0</v>
      </c>
      <c r="C5709" s="16" t="s">
        <v>14881</v>
      </c>
      <c r="D5709" s="16"/>
      <c r="E5709">
        <v>6</v>
      </c>
      <c r="F5709" t="s">
        <v>4680</v>
      </c>
      <c r="G5709">
        <v>1</v>
      </c>
      <c r="H5709">
        <v>0</v>
      </c>
      <c r="I5709">
        <f>1</f>
        <v>1</v>
      </c>
    </row>
    <row r="5710" spans="2:9" x14ac:dyDescent="0.25">
      <c r="B5710">
        <v>0</v>
      </c>
      <c r="C5710" s="16" t="s">
        <v>14882</v>
      </c>
      <c r="D5710" s="16"/>
      <c r="E5710">
        <v>6</v>
      </c>
      <c r="F5710" t="e">
        <f>--em ponto De tafetá</f>
        <v>#NAME?</v>
      </c>
      <c r="G5710">
        <v>1</v>
      </c>
      <c r="H5710">
        <v>0</v>
      </c>
      <c r="I5710">
        <f>1</f>
        <v>1</v>
      </c>
    </row>
    <row r="5711" spans="2:9" x14ac:dyDescent="0.25">
      <c r="B5711">
        <v>0</v>
      </c>
      <c r="C5711" s="16" t="s">
        <v>14883</v>
      </c>
      <c r="D5711" s="16"/>
      <c r="E5711">
        <v>6</v>
      </c>
      <c r="F5711" t="s">
        <v>7418</v>
      </c>
      <c r="G5711">
        <v>1</v>
      </c>
      <c r="H5711">
        <v>0</v>
      </c>
      <c r="I5711">
        <f>1</f>
        <v>1</v>
      </c>
    </row>
    <row r="5712" spans="2:9" x14ac:dyDescent="0.25">
      <c r="B5712">
        <v>0</v>
      </c>
      <c r="C5712" s="16" t="s">
        <v>14884</v>
      </c>
      <c r="D5712" s="16"/>
      <c r="E5712">
        <v>6</v>
      </c>
      <c r="F5712" t="e">
        <f>--outros tecidos</f>
        <v>#NAME?</v>
      </c>
      <c r="G5712">
        <v>1</v>
      </c>
      <c r="H5712">
        <v>0</v>
      </c>
      <c r="I5712">
        <f>1</f>
        <v>1</v>
      </c>
    </row>
    <row r="5713" spans="2:9" x14ac:dyDescent="0.25">
      <c r="B5713">
        <v>0</v>
      </c>
      <c r="C5713" s="16" t="s">
        <v>14885</v>
      </c>
      <c r="D5713" s="16"/>
      <c r="E5713">
        <v>6</v>
      </c>
      <c r="F5713" t="e">
        <f>--em ponto De tafetá</f>
        <v>#NAME?</v>
      </c>
      <c r="G5713">
        <v>1</v>
      </c>
      <c r="H5713">
        <v>0</v>
      </c>
      <c r="I5713">
        <f>1</f>
        <v>1</v>
      </c>
    </row>
    <row r="5714" spans="2:9" x14ac:dyDescent="0.25">
      <c r="B5714">
        <v>0</v>
      </c>
      <c r="C5714" s="16" t="s">
        <v>14886</v>
      </c>
      <c r="D5714" s="16"/>
      <c r="E5714">
        <v>6</v>
      </c>
      <c r="F5714" t="s">
        <v>7419</v>
      </c>
      <c r="G5714">
        <v>1</v>
      </c>
      <c r="H5714">
        <v>0</v>
      </c>
      <c r="I5714">
        <f>1</f>
        <v>1</v>
      </c>
    </row>
    <row r="5715" spans="2:9" x14ac:dyDescent="0.25">
      <c r="B5715">
        <v>0</v>
      </c>
      <c r="C5715" s="16" t="s">
        <v>14887</v>
      </c>
      <c r="D5715" s="16"/>
      <c r="E5715">
        <v>6</v>
      </c>
      <c r="F5715" t="s">
        <v>4680</v>
      </c>
      <c r="G5715">
        <v>1</v>
      </c>
      <c r="H5715">
        <v>0</v>
      </c>
      <c r="I5715">
        <f>1</f>
        <v>1</v>
      </c>
    </row>
    <row r="5716" spans="2:9" x14ac:dyDescent="0.25">
      <c r="B5716">
        <v>0</v>
      </c>
      <c r="C5716" s="16" t="s">
        <v>14888</v>
      </c>
      <c r="D5716" s="16"/>
      <c r="E5716">
        <v>6</v>
      </c>
      <c r="F5716" t="e">
        <f>--em ponto De tafetá</f>
        <v>#NAME?</v>
      </c>
      <c r="G5716">
        <v>1</v>
      </c>
      <c r="H5716">
        <v>0</v>
      </c>
      <c r="I5716">
        <f>1</f>
        <v>1</v>
      </c>
    </row>
    <row r="5717" spans="2:9" x14ac:dyDescent="0.25">
      <c r="B5717">
        <v>0</v>
      </c>
      <c r="C5717" s="16" t="s">
        <v>14889</v>
      </c>
      <c r="D5717" s="16"/>
      <c r="E5717">
        <v>6</v>
      </c>
      <c r="F5717" t="s">
        <v>7419</v>
      </c>
      <c r="G5717">
        <v>1</v>
      </c>
      <c r="H5717">
        <v>0</v>
      </c>
      <c r="I5717">
        <f>1</f>
        <v>1</v>
      </c>
    </row>
    <row r="5718" spans="2:9" x14ac:dyDescent="0.25">
      <c r="B5718">
        <v>0</v>
      </c>
      <c r="C5718" s="16" t="s">
        <v>14890</v>
      </c>
      <c r="D5718" s="16"/>
      <c r="E5718">
        <v>6</v>
      </c>
      <c r="F5718" t="s">
        <v>4680</v>
      </c>
      <c r="G5718">
        <v>1</v>
      </c>
      <c r="H5718">
        <v>0</v>
      </c>
      <c r="I5718">
        <f>1</f>
        <v>1</v>
      </c>
    </row>
    <row r="5719" spans="2:9" x14ac:dyDescent="0.25">
      <c r="B5719">
        <v>0</v>
      </c>
      <c r="C5719" s="16" t="s">
        <v>14891</v>
      </c>
      <c r="D5719" s="16"/>
      <c r="E5719">
        <v>6</v>
      </c>
      <c r="F5719" t="e">
        <f>--em ponto De tafetá</f>
        <v>#NAME?</v>
      </c>
      <c r="G5719">
        <v>1</v>
      </c>
      <c r="H5719">
        <v>0</v>
      </c>
      <c r="I5719">
        <f>1</f>
        <v>1</v>
      </c>
    </row>
    <row r="5720" spans="2:9" x14ac:dyDescent="0.25">
      <c r="B5720">
        <v>0</v>
      </c>
      <c r="C5720" s="16" t="s">
        <v>14892</v>
      </c>
      <c r="D5720" s="16"/>
      <c r="E5720">
        <v>6</v>
      </c>
      <c r="F5720" t="s">
        <v>7418</v>
      </c>
      <c r="G5720">
        <v>1</v>
      </c>
      <c r="H5720">
        <v>0</v>
      </c>
      <c r="I5720">
        <f>1</f>
        <v>1</v>
      </c>
    </row>
    <row r="5721" spans="2:9" x14ac:dyDescent="0.25">
      <c r="B5721">
        <v>0</v>
      </c>
      <c r="C5721" s="16" t="s">
        <v>14893</v>
      </c>
      <c r="D5721" s="16"/>
      <c r="E5721">
        <v>6</v>
      </c>
      <c r="F5721" t="e">
        <f>--outros tecidos</f>
        <v>#NAME?</v>
      </c>
      <c r="G5721">
        <v>1</v>
      </c>
      <c r="H5721">
        <v>0</v>
      </c>
      <c r="I5721">
        <f>1</f>
        <v>1</v>
      </c>
    </row>
    <row r="5722" spans="2:9" x14ac:dyDescent="0.25">
      <c r="B5722">
        <v>0</v>
      </c>
      <c r="C5722" s="16" t="s">
        <v>14894</v>
      </c>
      <c r="D5722" s="16"/>
      <c r="E5722">
        <v>6</v>
      </c>
      <c r="F5722" t="s">
        <v>7422</v>
      </c>
      <c r="G5722">
        <v>1</v>
      </c>
      <c r="H5722">
        <v>0</v>
      </c>
      <c r="I5722">
        <f>1</f>
        <v>1</v>
      </c>
    </row>
    <row r="5723" spans="2:9" x14ac:dyDescent="0.25">
      <c r="B5723">
        <v>0</v>
      </c>
      <c r="C5723" s="16" t="s">
        <v>14895</v>
      </c>
      <c r="D5723" s="16"/>
      <c r="E5723">
        <v>6</v>
      </c>
      <c r="F5723" t="s">
        <v>7419</v>
      </c>
      <c r="G5723">
        <v>1</v>
      </c>
      <c r="H5723">
        <v>0</v>
      </c>
      <c r="I5723">
        <f>1</f>
        <v>1</v>
      </c>
    </row>
    <row r="5724" spans="2:9" x14ac:dyDescent="0.25">
      <c r="B5724">
        <v>0</v>
      </c>
      <c r="C5724" s="16" t="s">
        <v>14896</v>
      </c>
      <c r="D5724" s="16"/>
      <c r="E5724">
        <v>6</v>
      </c>
      <c r="F5724" t="s">
        <v>4680</v>
      </c>
      <c r="G5724">
        <v>1</v>
      </c>
      <c r="H5724">
        <v>0</v>
      </c>
      <c r="I5724">
        <f>1</f>
        <v>1</v>
      </c>
    </row>
    <row r="5725" spans="2:9" x14ac:dyDescent="0.25">
      <c r="B5725">
        <v>0</v>
      </c>
      <c r="C5725" s="16" t="s">
        <v>14897</v>
      </c>
      <c r="D5725" s="16"/>
      <c r="E5725">
        <v>6</v>
      </c>
      <c r="F5725" t="e">
        <f>--em ponto De tafetá</f>
        <v>#NAME?</v>
      </c>
      <c r="G5725">
        <v>1</v>
      </c>
      <c r="H5725">
        <v>0</v>
      </c>
      <c r="I5725">
        <f>1</f>
        <v>1</v>
      </c>
    </row>
    <row r="5726" spans="2:9" x14ac:dyDescent="0.25">
      <c r="B5726">
        <v>0</v>
      </c>
      <c r="C5726" s="16" t="s">
        <v>14898</v>
      </c>
      <c r="D5726" s="16"/>
      <c r="E5726">
        <v>6</v>
      </c>
      <c r="F5726" t="s">
        <v>7418</v>
      </c>
      <c r="G5726">
        <v>1</v>
      </c>
      <c r="H5726">
        <v>0</v>
      </c>
      <c r="I5726">
        <f>1</f>
        <v>1</v>
      </c>
    </row>
    <row r="5727" spans="2:9" x14ac:dyDescent="0.25">
      <c r="B5727">
        <v>0</v>
      </c>
      <c r="C5727" s="16" t="s">
        <v>14899</v>
      </c>
      <c r="D5727" s="16"/>
      <c r="E5727">
        <v>6</v>
      </c>
      <c r="F5727" t="e">
        <f>--outros tecidos</f>
        <v>#NAME?</v>
      </c>
      <c r="G5727">
        <v>1</v>
      </c>
      <c r="H5727">
        <v>0</v>
      </c>
      <c r="I5727">
        <f>1</f>
        <v>1</v>
      </c>
    </row>
    <row r="5728" spans="2:9" x14ac:dyDescent="0.25">
      <c r="B5728">
        <v>0</v>
      </c>
      <c r="C5728" s="16" t="s">
        <v>14900</v>
      </c>
      <c r="D5728" s="16"/>
      <c r="E5728">
        <v>6</v>
      </c>
      <c r="F5728" t="e">
        <f>--em ponto De tafetá</f>
        <v>#NAME?</v>
      </c>
      <c r="G5728">
        <v>1</v>
      </c>
      <c r="H5728">
        <v>0</v>
      </c>
      <c r="I5728">
        <f>1</f>
        <v>1</v>
      </c>
    </row>
    <row r="5729" spans="2:9" x14ac:dyDescent="0.25">
      <c r="B5729">
        <v>0</v>
      </c>
      <c r="C5729" s="16" t="s">
        <v>14901</v>
      </c>
      <c r="D5729" s="16"/>
      <c r="E5729">
        <v>6</v>
      </c>
      <c r="F5729" t="s">
        <v>7420</v>
      </c>
      <c r="G5729">
        <v>1</v>
      </c>
      <c r="H5729">
        <v>0</v>
      </c>
      <c r="I5729">
        <f>1</f>
        <v>1</v>
      </c>
    </row>
    <row r="5730" spans="2:9" x14ac:dyDescent="0.25">
      <c r="B5730">
        <v>0</v>
      </c>
      <c r="C5730" s="16" t="s">
        <v>14902</v>
      </c>
      <c r="D5730" s="16"/>
      <c r="E5730">
        <v>6</v>
      </c>
      <c r="F5730" t="s">
        <v>4680</v>
      </c>
      <c r="G5730">
        <v>1</v>
      </c>
      <c r="H5730">
        <v>0</v>
      </c>
      <c r="I5730">
        <f>1</f>
        <v>1</v>
      </c>
    </row>
    <row r="5731" spans="2:9" x14ac:dyDescent="0.25">
      <c r="B5731">
        <v>0</v>
      </c>
      <c r="C5731" s="16" t="s">
        <v>14903</v>
      </c>
      <c r="D5731" s="16"/>
      <c r="E5731">
        <v>6</v>
      </c>
      <c r="F5731" t="s">
        <v>7421</v>
      </c>
      <c r="G5731">
        <v>1</v>
      </c>
      <c r="H5731">
        <v>0</v>
      </c>
      <c r="I5731">
        <f>1</f>
        <v>1</v>
      </c>
    </row>
    <row r="5732" spans="2:9" x14ac:dyDescent="0.25">
      <c r="B5732">
        <v>0</v>
      </c>
      <c r="C5732" s="16" t="s">
        <v>14904</v>
      </c>
      <c r="D5732" s="16"/>
      <c r="E5732">
        <v>6</v>
      </c>
      <c r="F5732" t="e">
        <f>--outros tecidos</f>
        <v>#NAME?</v>
      </c>
      <c r="G5732">
        <v>1</v>
      </c>
      <c r="H5732">
        <v>0</v>
      </c>
      <c r="I5732">
        <f>1</f>
        <v>1</v>
      </c>
    </row>
    <row r="5733" spans="2:9" x14ac:dyDescent="0.25">
      <c r="B5733">
        <v>0</v>
      </c>
      <c r="C5733" s="16" t="s">
        <v>14905</v>
      </c>
      <c r="D5733" s="16"/>
      <c r="E5733">
        <v>6</v>
      </c>
      <c r="F5733" t="e">
        <f>--em ponto De tafetá</f>
        <v>#NAME?</v>
      </c>
      <c r="G5733">
        <v>1</v>
      </c>
      <c r="H5733">
        <v>0</v>
      </c>
      <c r="I5733">
        <f>1</f>
        <v>1</v>
      </c>
    </row>
    <row r="5734" spans="2:9" x14ac:dyDescent="0.25">
      <c r="B5734">
        <v>0</v>
      </c>
      <c r="C5734" s="16" t="s">
        <v>14906</v>
      </c>
      <c r="D5734" s="16"/>
      <c r="E5734">
        <v>6</v>
      </c>
      <c r="F5734" t="s">
        <v>7418</v>
      </c>
      <c r="G5734">
        <v>1</v>
      </c>
      <c r="H5734">
        <v>0</v>
      </c>
      <c r="I5734">
        <f>1</f>
        <v>1</v>
      </c>
    </row>
    <row r="5735" spans="2:9" x14ac:dyDescent="0.25">
      <c r="B5735">
        <v>0</v>
      </c>
      <c r="C5735" s="16" t="s">
        <v>14907</v>
      </c>
      <c r="D5735" s="16"/>
      <c r="E5735">
        <v>6</v>
      </c>
      <c r="F5735" t="e">
        <f>--outros tecidos</f>
        <v>#NAME?</v>
      </c>
      <c r="G5735">
        <v>1</v>
      </c>
      <c r="H5735">
        <v>0</v>
      </c>
      <c r="I5735">
        <f>1</f>
        <v>1</v>
      </c>
    </row>
    <row r="5736" spans="2:9" x14ac:dyDescent="0.25">
      <c r="B5736">
        <v>0</v>
      </c>
      <c r="C5736" s="16" t="s">
        <v>14908</v>
      </c>
      <c r="D5736" s="16"/>
      <c r="E5736">
        <v>6</v>
      </c>
      <c r="F5736" t="e">
        <f>--Crus</f>
        <v>#NAME?</v>
      </c>
      <c r="G5736">
        <v>1</v>
      </c>
      <c r="H5736">
        <v>0</v>
      </c>
      <c r="I5736">
        <f>1</f>
        <v>1</v>
      </c>
    </row>
    <row r="5737" spans="2:9" x14ac:dyDescent="0.25">
      <c r="B5737">
        <v>0</v>
      </c>
      <c r="C5737" s="16" t="s">
        <v>14909</v>
      </c>
      <c r="D5737" s="16"/>
      <c r="E5737">
        <v>6</v>
      </c>
      <c r="F5737" t="e">
        <f>--Branqueados</f>
        <v>#NAME?</v>
      </c>
      <c r="G5737">
        <v>1</v>
      </c>
      <c r="H5737">
        <v>0</v>
      </c>
      <c r="I5737">
        <f>1</f>
        <v>1</v>
      </c>
    </row>
    <row r="5738" spans="2:9" x14ac:dyDescent="0.25">
      <c r="B5738">
        <v>0</v>
      </c>
      <c r="C5738" s="16" t="s">
        <v>14910</v>
      </c>
      <c r="D5738" s="16"/>
      <c r="E5738">
        <v>6</v>
      </c>
      <c r="F5738" t="e">
        <f>--Tintos</f>
        <v>#NAME?</v>
      </c>
      <c r="G5738">
        <v>1</v>
      </c>
      <c r="H5738">
        <v>0</v>
      </c>
      <c r="I5738">
        <f>1</f>
        <v>1</v>
      </c>
    </row>
    <row r="5739" spans="2:9" x14ac:dyDescent="0.25">
      <c r="B5739">
        <v>0</v>
      </c>
      <c r="C5739" s="16" t="s">
        <v>14911</v>
      </c>
      <c r="D5739" s="16"/>
      <c r="E5739">
        <v>6</v>
      </c>
      <c r="F5739" t="e">
        <f>--De Fios De diversas Cores</f>
        <v>#NAME?</v>
      </c>
      <c r="G5739">
        <v>1</v>
      </c>
      <c r="H5739">
        <v>0</v>
      </c>
      <c r="I5739">
        <f>1</f>
        <v>1</v>
      </c>
    </row>
    <row r="5740" spans="2:9" x14ac:dyDescent="0.25">
      <c r="B5740">
        <v>0</v>
      </c>
      <c r="C5740" s="16" t="s">
        <v>14912</v>
      </c>
      <c r="D5740" s="16"/>
      <c r="E5740">
        <v>6</v>
      </c>
      <c r="F5740" t="e">
        <f>--Estampados</f>
        <v>#NAME?</v>
      </c>
      <c r="G5740">
        <v>1</v>
      </c>
      <c r="H5740">
        <v>0</v>
      </c>
      <c r="I5740">
        <f>1</f>
        <v>1</v>
      </c>
    </row>
    <row r="5741" spans="2:9" x14ac:dyDescent="0.25">
      <c r="B5741">
        <v>0</v>
      </c>
      <c r="C5741" s="16" t="s">
        <v>14913</v>
      </c>
      <c r="D5741" s="16"/>
      <c r="E5741">
        <v>6</v>
      </c>
      <c r="F5741" t="e">
        <f>--Crus</f>
        <v>#NAME?</v>
      </c>
      <c r="G5741">
        <v>1</v>
      </c>
      <c r="H5741">
        <v>0</v>
      </c>
      <c r="I5741">
        <f>1</f>
        <v>1</v>
      </c>
    </row>
    <row r="5742" spans="2:9" x14ac:dyDescent="0.25">
      <c r="B5742">
        <v>0</v>
      </c>
      <c r="C5742" s="16" t="s">
        <v>14914</v>
      </c>
      <c r="D5742" s="16"/>
      <c r="E5742">
        <v>6</v>
      </c>
      <c r="F5742" t="e">
        <f>--Branqueados</f>
        <v>#NAME?</v>
      </c>
      <c r="G5742">
        <v>1</v>
      </c>
      <c r="H5742">
        <v>0</v>
      </c>
      <c r="I5742">
        <f>1</f>
        <v>1</v>
      </c>
    </row>
    <row r="5743" spans="2:9" x14ac:dyDescent="0.25">
      <c r="B5743">
        <v>0</v>
      </c>
      <c r="C5743" s="16" t="s">
        <v>14915</v>
      </c>
      <c r="D5743" s="16"/>
      <c r="E5743">
        <v>6</v>
      </c>
      <c r="F5743" t="e">
        <f>--Tintos</f>
        <v>#NAME?</v>
      </c>
      <c r="G5743">
        <v>1</v>
      </c>
      <c r="H5743">
        <v>0</v>
      </c>
      <c r="I5743">
        <f>1</f>
        <v>1</v>
      </c>
    </row>
    <row r="5744" spans="2:9" x14ac:dyDescent="0.25">
      <c r="B5744">
        <v>0</v>
      </c>
      <c r="C5744" s="16" t="s">
        <v>14916</v>
      </c>
      <c r="D5744" s="16"/>
      <c r="E5744">
        <v>6</v>
      </c>
      <c r="F5744" t="e">
        <f>--De Fios De diversas Cores</f>
        <v>#NAME?</v>
      </c>
      <c r="G5744">
        <v>1</v>
      </c>
      <c r="H5744">
        <v>0</v>
      </c>
      <c r="I5744">
        <f>1</f>
        <v>1</v>
      </c>
    </row>
    <row r="5745" spans="2:9" x14ac:dyDescent="0.25">
      <c r="B5745">
        <v>0</v>
      </c>
      <c r="C5745" s="16" t="s">
        <v>14917</v>
      </c>
      <c r="D5745" s="16"/>
      <c r="E5745">
        <v>6</v>
      </c>
      <c r="F5745" t="e">
        <f>--Estampados</f>
        <v>#NAME?</v>
      </c>
      <c r="G5745">
        <v>1</v>
      </c>
      <c r="H5745">
        <v>0</v>
      </c>
      <c r="I5745">
        <f>1</f>
        <v>1</v>
      </c>
    </row>
    <row r="5746" spans="2:9" x14ac:dyDescent="0.25">
      <c r="B5746">
        <v>0</v>
      </c>
      <c r="C5746" s="16" t="s">
        <v>14918</v>
      </c>
      <c r="D5746" s="16"/>
      <c r="E5746">
        <v>6</v>
      </c>
      <c r="F5746" t="e">
        <f>-linho em bruto ou macerado</f>
        <v>#NAME?</v>
      </c>
      <c r="G5746">
        <v>1</v>
      </c>
      <c r="H5746">
        <v>1</v>
      </c>
      <c r="I5746">
        <f>1</f>
        <v>1</v>
      </c>
    </row>
    <row r="5747" spans="2:9" x14ac:dyDescent="0.25">
      <c r="B5747">
        <v>0</v>
      </c>
      <c r="C5747" s="16" t="s">
        <v>14918</v>
      </c>
      <c r="D5747" s="16" t="s">
        <v>19430</v>
      </c>
      <c r="E5747">
        <v>6</v>
      </c>
      <c r="F5747" t="s">
        <v>7423</v>
      </c>
      <c r="G5747">
        <v>1</v>
      </c>
      <c r="H5747">
        <v>1</v>
      </c>
      <c r="I5747">
        <f>1</f>
        <v>1</v>
      </c>
    </row>
    <row r="5748" spans="2:9" x14ac:dyDescent="0.25">
      <c r="B5748">
        <v>0</v>
      </c>
      <c r="C5748" s="16" t="s">
        <v>14919</v>
      </c>
      <c r="D5748" s="16"/>
      <c r="E5748">
        <v>6</v>
      </c>
      <c r="F5748" t="s">
        <v>7424</v>
      </c>
      <c r="G5748">
        <v>1</v>
      </c>
      <c r="H5748">
        <v>1</v>
      </c>
      <c r="I5748">
        <f>1</f>
        <v>1</v>
      </c>
    </row>
    <row r="5749" spans="2:9" x14ac:dyDescent="0.25">
      <c r="B5749">
        <v>0</v>
      </c>
      <c r="C5749" s="16" t="s">
        <v>14920</v>
      </c>
      <c r="D5749" s="16"/>
      <c r="E5749">
        <v>6</v>
      </c>
      <c r="F5749" t="s">
        <v>7425</v>
      </c>
      <c r="G5749">
        <v>1</v>
      </c>
      <c r="H5749">
        <v>1</v>
      </c>
      <c r="I5749">
        <f>1</f>
        <v>1</v>
      </c>
    </row>
    <row r="5750" spans="2:9" x14ac:dyDescent="0.25">
      <c r="B5750">
        <v>0</v>
      </c>
      <c r="C5750" s="16" t="s">
        <v>14921</v>
      </c>
      <c r="D5750" s="16"/>
      <c r="E5750">
        <v>6</v>
      </c>
      <c r="F5750" t="s">
        <v>7426</v>
      </c>
      <c r="G5750">
        <v>1</v>
      </c>
      <c r="H5750">
        <v>1</v>
      </c>
      <c r="I5750">
        <f>1</f>
        <v>1</v>
      </c>
    </row>
    <row r="5751" spans="2:9" x14ac:dyDescent="0.25">
      <c r="B5751">
        <v>0</v>
      </c>
      <c r="C5751" s="16" t="s">
        <v>14922</v>
      </c>
      <c r="D5751" s="16"/>
      <c r="E5751">
        <v>6</v>
      </c>
      <c r="F5751" t="s">
        <v>6630</v>
      </c>
      <c r="G5751">
        <v>1</v>
      </c>
      <c r="H5751">
        <v>1</v>
      </c>
      <c r="I5751">
        <f>1</f>
        <v>1</v>
      </c>
    </row>
    <row r="5752" spans="2:9" x14ac:dyDescent="0.25">
      <c r="B5752">
        <v>0</v>
      </c>
      <c r="C5752" s="16" t="s">
        <v>14923</v>
      </c>
      <c r="D5752" s="16"/>
      <c r="E5752">
        <v>6</v>
      </c>
      <c r="F5752" t="e">
        <f>-Estopas e desperdícios De linho</f>
        <v>#NAME?</v>
      </c>
      <c r="G5752">
        <v>1</v>
      </c>
      <c r="H5752">
        <v>1</v>
      </c>
      <c r="I5752">
        <f>1</f>
        <v>1</v>
      </c>
    </row>
    <row r="5753" spans="2:9" x14ac:dyDescent="0.25">
      <c r="B5753">
        <v>0</v>
      </c>
      <c r="C5753" s="16" t="s">
        <v>14924</v>
      </c>
      <c r="D5753" s="16"/>
      <c r="E5753">
        <v>6</v>
      </c>
      <c r="F5753" t="e">
        <f>-Cânhamo em bruto ou macerado</f>
        <v>#NAME?</v>
      </c>
      <c r="G5753">
        <v>1</v>
      </c>
      <c r="H5753">
        <v>1</v>
      </c>
      <c r="I5753">
        <f>1</f>
        <v>1</v>
      </c>
    </row>
    <row r="5754" spans="2:9" x14ac:dyDescent="0.25">
      <c r="B5754">
        <v>0</v>
      </c>
      <c r="C5754" s="16" t="s">
        <v>14924</v>
      </c>
      <c r="D5754" s="16" t="s">
        <v>19430</v>
      </c>
      <c r="E5754">
        <v>6</v>
      </c>
      <c r="F5754" t="s">
        <v>7423</v>
      </c>
      <c r="G5754">
        <v>1</v>
      </c>
      <c r="H5754">
        <v>1</v>
      </c>
      <c r="I5754">
        <f>1</f>
        <v>1</v>
      </c>
    </row>
    <row r="5755" spans="2:9" x14ac:dyDescent="0.25">
      <c r="B5755">
        <v>0</v>
      </c>
      <c r="C5755" s="16" t="s">
        <v>14925</v>
      </c>
      <c r="D5755" s="16"/>
      <c r="E5755">
        <v>6</v>
      </c>
      <c r="F5755" t="e">
        <f>-outros</f>
        <v>#NAME?</v>
      </c>
      <c r="G5755">
        <v>1</v>
      </c>
      <c r="H5755">
        <v>1</v>
      </c>
      <c r="I5755">
        <f>1</f>
        <v>1</v>
      </c>
    </row>
    <row r="5756" spans="2:9" x14ac:dyDescent="0.25">
      <c r="B5756">
        <v>0</v>
      </c>
      <c r="C5756" s="16" t="s">
        <v>14926</v>
      </c>
      <c r="D5756" s="16"/>
      <c r="E5756">
        <v>6</v>
      </c>
      <c r="F5756" t="s">
        <v>7427</v>
      </c>
      <c r="G5756">
        <v>1</v>
      </c>
      <c r="H5756">
        <v>1</v>
      </c>
      <c r="I5756">
        <f>1</f>
        <v>1</v>
      </c>
    </row>
    <row r="5757" spans="2:9" x14ac:dyDescent="0.25">
      <c r="B5757">
        <v>0</v>
      </c>
      <c r="C5757" s="16" t="s">
        <v>14926</v>
      </c>
      <c r="D5757" s="16" t="s">
        <v>19430</v>
      </c>
      <c r="E5757">
        <v>6</v>
      </c>
      <c r="F5757" t="s">
        <v>7428</v>
      </c>
      <c r="G5757">
        <v>1</v>
      </c>
      <c r="H5757">
        <v>1</v>
      </c>
      <c r="I5757">
        <f>1</f>
        <v>1</v>
      </c>
    </row>
    <row r="5758" spans="2:9" x14ac:dyDescent="0.25">
      <c r="B5758">
        <v>0</v>
      </c>
      <c r="C5758" s="16" t="s">
        <v>14927</v>
      </c>
      <c r="D5758" s="16"/>
      <c r="E5758">
        <v>6</v>
      </c>
      <c r="F5758" t="s">
        <v>4690</v>
      </c>
      <c r="G5758">
        <v>1</v>
      </c>
      <c r="H5758">
        <v>1</v>
      </c>
      <c r="I5758">
        <f>1</f>
        <v>1</v>
      </c>
    </row>
    <row r="5759" spans="2:9" x14ac:dyDescent="0.25">
      <c r="B5759">
        <v>0</v>
      </c>
      <c r="C5759" s="16" t="s">
        <v>14927</v>
      </c>
      <c r="D5759" s="16" t="s">
        <v>19430</v>
      </c>
      <c r="E5759">
        <v>6</v>
      </c>
      <c r="F5759" t="s">
        <v>7423</v>
      </c>
      <c r="G5759">
        <v>1</v>
      </c>
      <c r="H5759">
        <v>1</v>
      </c>
      <c r="I5759">
        <f>1</f>
        <v>1</v>
      </c>
    </row>
    <row r="5760" spans="2:9" x14ac:dyDescent="0.25">
      <c r="B5760">
        <v>0</v>
      </c>
      <c r="C5760" s="16" t="s">
        <v>14928</v>
      </c>
      <c r="D5760" s="16"/>
      <c r="E5760">
        <v>6</v>
      </c>
      <c r="F5760" t="s">
        <v>7427</v>
      </c>
      <c r="G5760">
        <v>1</v>
      </c>
      <c r="H5760">
        <v>1</v>
      </c>
      <c r="I5760">
        <f>1</f>
        <v>1</v>
      </c>
    </row>
    <row r="5761" spans="2:9" x14ac:dyDescent="0.25">
      <c r="B5761">
        <v>0</v>
      </c>
      <c r="C5761" s="16" t="s">
        <v>14929</v>
      </c>
      <c r="D5761" s="16"/>
      <c r="E5761">
        <v>6</v>
      </c>
      <c r="F5761" t="s">
        <v>4680</v>
      </c>
      <c r="G5761">
        <v>1</v>
      </c>
      <c r="H5761">
        <v>1</v>
      </c>
      <c r="I5761">
        <f>1</f>
        <v>1</v>
      </c>
    </row>
    <row r="5762" spans="2:9" x14ac:dyDescent="0.25">
      <c r="B5762">
        <v>0</v>
      </c>
      <c r="C5762" s="16" t="s">
        <v>14930</v>
      </c>
      <c r="D5762" s="16"/>
      <c r="E5762">
        <v>6</v>
      </c>
      <c r="F5762" t="s">
        <v>7429</v>
      </c>
      <c r="G5762">
        <v>1</v>
      </c>
      <c r="H5762">
        <v>1</v>
      </c>
      <c r="I5762">
        <f>1</f>
        <v>1</v>
      </c>
    </row>
    <row r="5763" spans="2:9" x14ac:dyDescent="0.25">
      <c r="B5763">
        <v>0</v>
      </c>
      <c r="C5763" s="16" t="s">
        <v>14931</v>
      </c>
      <c r="D5763" s="16"/>
      <c r="E5763">
        <v>6</v>
      </c>
      <c r="F5763" t="s">
        <v>4680</v>
      </c>
      <c r="G5763">
        <v>1</v>
      </c>
      <c r="H5763">
        <v>1</v>
      </c>
      <c r="I5763">
        <f>1</f>
        <v>1</v>
      </c>
    </row>
    <row r="5764" spans="2:9" x14ac:dyDescent="0.25">
      <c r="B5764">
        <v>0</v>
      </c>
      <c r="C5764" s="16" t="s">
        <v>14931</v>
      </c>
      <c r="D5764" s="16" t="s">
        <v>19430</v>
      </c>
      <c r="E5764">
        <v>6</v>
      </c>
      <c r="F5764" t="s">
        <v>7430</v>
      </c>
      <c r="G5764">
        <v>1</v>
      </c>
      <c r="H5764">
        <v>1</v>
      </c>
      <c r="I5764">
        <f>1</f>
        <v>1</v>
      </c>
    </row>
    <row r="5765" spans="2:9" x14ac:dyDescent="0.25">
      <c r="B5765">
        <v>0</v>
      </c>
      <c r="C5765" s="16" t="s">
        <v>14931</v>
      </c>
      <c r="D5765" s="16" t="s">
        <v>19431</v>
      </c>
      <c r="E5765">
        <v>6</v>
      </c>
      <c r="F5765" t="s">
        <v>7431</v>
      </c>
      <c r="G5765">
        <v>1</v>
      </c>
      <c r="H5765">
        <v>1</v>
      </c>
      <c r="I5765">
        <f>1</f>
        <v>1</v>
      </c>
    </row>
    <row r="5766" spans="2:9" x14ac:dyDescent="0.25">
      <c r="B5766">
        <v>0</v>
      </c>
      <c r="C5766" s="16" t="s">
        <v>14932</v>
      </c>
      <c r="D5766" s="16"/>
      <c r="E5766">
        <v>6</v>
      </c>
      <c r="F5766" t="e">
        <f>-simples</f>
        <v>#NAME?</v>
      </c>
      <c r="G5766">
        <v>1</v>
      </c>
      <c r="H5766">
        <v>1</v>
      </c>
      <c r="I5766">
        <f>1</f>
        <v>1</v>
      </c>
    </row>
    <row r="5767" spans="2:9" x14ac:dyDescent="0.25">
      <c r="B5767">
        <v>0</v>
      </c>
      <c r="C5767" s="16" t="s">
        <v>14933</v>
      </c>
      <c r="D5767" s="16"/>
      <c r="E5767">
        <v>6</v>
      </c>
      <c r="F5767" t="e">
        <f>-Retorcidos ou Retorcidos múltiplos</f>
        <v>#NAME?</v>
      </c>
      <c r="G5767">
        <v>1</v>
      </c>
      <c r="H5767">
        <v>1</v>
      </c>
      <c r="I5767">
        <f>1</f>
        <v>1</v>
      </c>
    </row>
    <row r="5768" spans="2:9" x14ac:dyDescent="0.25">
      <c r="B5768">
        <v>0</v>
      </c>
      <c r="C5768" s="16" t="s">
        <v>14934</v>
      </c>
      <c r="D5768" s="16"/>
      <c r="E5768">
        <v>6</v>
      </c>
      <c r="F5768" t="s">
        <v>7432</v>
      </c>
      <c r="G5768">
        <v>1</v>
      </c>
      <c r="H5768">
        <v>1</v>
      </c>
      <c r="I5768">
        <f>1</f>
        <v>1</v>
      </c>
    </row>
    <row r="5769" spans="2:9" x14ac:dyDescent="0.25">
      <c r="B5769">
        <v>0</v>
      </c>
      <c r="C5769" s="16" t="s">
        <v>14935</v>
      </c>
      <c r="D5769" s="16"/>
      <c r="E5769">
        <v>6</v>
      </c>
      <c r="F5769" t="s">
        <v>4680</v>
      </c>
      <c r="G5769">
        <v>1</v>
      </c>
      <c r="H5769">
        <v>1</v>
      </c>
      <c r="I5769">
        <f>1</f>
        <v>1</v>
      </c>
    </row>
    <row r="5770" spans="2:9" x14ac:dyDescent="0.25">
      <c r="B5770">
        <v>0</v>
      </c>
      <c r="C5770" s="16" t="s">
        <v>14936</v>
      </c>
      <c r="D5770" s="16"/>
      <c r="E5770">
        <v>6</v>
      </c>
      <c r="F5770" t="s">
        <v>7432</v>
      </c>
      <c r="G5770">
        <v>1</v>
      </c>
      <c r="H5770">
        <v>1</v>
      </c>
      <c r="I5770">
        <f>1</f>
        <v>1</v>
      </c>
    </row>
    <row r="5771" spans="2:9" x14ac:dyDescent="0.25">
      <c r="B5771">
        <v>0</v>
      </c>
      <c r="C5771" s="16" t="s">
        <v>14937</v>
      </c>
      <c r="D5771" s="16"/>
      <c r="E5771">
        <v>6</v>
      </c>
      <c r="F5771" t="s">
        <v>4680</v>
      </c>
      <c r="G5771">
        <v>1</v>
      </c>
      <c r="H5771">
        <v>1</v>
      </c>
      <c r="I5771">
        <f>1</f>
        <v>1</v>
      </c>
    </row>
    <row r="5772" spans="2:9" x14ac:dyDescent="0.25">
      <c r="B5772">
        <v>0</v>
      </c>
      <c r="C5772" s="16" t="s">
        <v>14938</v>
      </c>
      <c r="D5772" s="16"/>
      <c r="E5772">
        <v>6</v>
      </c>
      <c r="F5772" t="e">
        <f>-Fios De cairo  Fios De fibras De coco</f>
        <v>#NAME?</v>
      </c>
      <c r="G5772">
        <v>1</v>
      </c>
      <c r="H5772">
        <v>1</v>
      </c>
      <c r="I5772">
        <f>1</f>
        <v>1</v>
      </c>
    </row>
    <row r="5773" spans="2:9" x14ac:dyDescent="0.25">
      <c r="B5773">
        <v>0</v>
      </c>
      <c r="C5773" s="16" t="s">
        <v>14939</v>
      </c>
      <c r="D5773" s="16"/>
      <c r="E5773">
        <v>6</v>
      </c>
      <c r="F5773" t="e">
        <f>-Fios De Cânhamo</f>
        <v>#NAME?</v>
      </c>
      <c r="G5773">
        <v>1</v>
      </c>
      <c r="H5773">
        <v>1</v>
      </c>
      <c r="I5773">
        <f>1</f>
        <v>1</v>
      </c>
    </row>
    <row r="5774" spans="2:9" x14ac:dyDescent="0.25">
      <c r="B5774">
        <v>0</v>
      </c>
      <c r="C5774" s="16" t="s">
        <v>14940</v>
      </c>
      <c r="D5774" s="16"/>
      <c r="E5774">
        <v>6</v>
      </c>
      <c r="F5774" t="e">
        <f>-outros</f>
        <v>#NAME?</v>
      </c>
      <c r="G5774">
        <v>1</v>
      </c>
      <c r="H5774">
        <v>1</v>
      </c>
      <c r="I5774">
        <f>1</f>
        <v>1</v>
      </c>
    </row>
    <row r="5775" spans="2:9" x14ac:dyDescent="0.25">
      <c r="B5775">
        <v>0</v>
      </c>
      <c r="C5775" s="16" t="s">
        <v>14941</v>
      </c>
      <c r="D5775" s="16"/>
      <c r="E5775">
        <v>6</v>
      </c>
      <c r="F5775" t="e">
        <f>--Crus ou Branqueados</f>
        <v>#NAME?</v>
      </c>
      <c r="G5775">
        <v>1</v>
      </c>
      <c r="H5775">
        <v>1</v>
      </c>
      <c r="I5775">
        <f>1</f>
        <v>1</v>
      </c>
    </row>
    <row r="5776" spans="2:9" x14ac:dyDescent="0.25">
      <c r="B5776">
        <v>0</v>
      </c>
      <c r="C5776" s="16" t="s">
        <v>14942</v>
      </c>
      <c r="D5776" s="16"/>
      <c r="E5776">
        <v>6</v>
      </c>
      <c r="F5776" t="e">
        <f>--outros</f>
        <v>#NAME?</v>
      </c>
      <c r="G5776">
        <v>1</v>
      </c>
      <c r="H5776">
        <v>1</v>
      </c>
      <c r="I5776">
        <f>1</f>
        <v>1</v>
      </c>
    </row>
    <row r="5777" spans="2:9" x14ac:dyDescent="0.25">
      <c r="B5777">
        <v>0</v>
      </c>
      <c r="C5777" s="16" t="s">
        <v>14943</v>
      </c>
      <c r="D5777" s="16"/>
      <c r="E5777">
        <v>6</v>
      </c>
      <c r="F5777" t="e">
        <f>--Crus ou Branqueados</f>
        <v>#NAME?</v>
      </c>
      <c r="G5777">
        <v>1</v>
      </c>
      <c r="H5777">
        <v>1</v>
      </c>
      <c r="I5777">
        <f>1</f>
        <v>1</v>
      </c>
    </row>
    <row r="5778" spans="2:9" x14ac:dyDescent="0.25">
      <c r="B5778">
        <v>0</v>
      </c>
      <c r="C5778" s="16" t="s">
        <v>14944</v>
      </c>
      <c r="D5778" s="16"/>
      <c r="E5778">
        <v>6</v>
      </c>
      <c r="F5778" t="e">
        <f>--outros</f>
        <v>#NAME?</v>
      </c>
      <c r="G5778">
        <v>1</v>
      </c>
      <c r="H5778">
        <v>1</v>
      </c>
      <c r="I5778">
        <f>1</f>
        <v>1</v>
      </c>
    </row>
    <row r="5779" spans="2:9" x14ac:dyDescent="0.25">
      <c r="B5779">
        <v>0</v>
      </c>
      <c r="C5779" s="16" t="s">
        <v>14945</v>
      </c>
      <c r="D5779" s="16"/>
      <c r="E5779">
        <v>6</v>
      </c>
      <c r="F5779" t="s">
        <v>7433</v>
      </c>
      <c r="G5779">
        <v>1</v>
      </c>
      <c r="H5779">
        <v>1</v>
      </c>
      <c r="I5779">
        <f>1</f>
        <v>1</v>
      </c>
    </row>
    <row r="5780" spans="2:9" x14ac:dyDescent="0.25">
      <c r="B5780">
        <v>0</v>
      </c>
      <c r="C5780" s="16" t="s">
        <v>14946</v>
      </c>
      <c r="D5780" s="16"/>
      <c r="E5780">
        <v>6</v>
      </c>
      <c r="F5780" t="s">
        <v>4680</v>
      </c>
      <c r="G5780">
        <v>1</v>
      </c>
      <c r="H5780">
        <v>1</v>
      </c>
      <c r="I5780">
        <f>1</f>
        <v>1</v>
      </c>
    </row>
    <row r="5781" spans="2:9" x14ac:dyDescent="0.25">
      <c r="B5781">
        <v>0</v>
      </c>
      <c r="C5781" s="16" t="s">
        <v>14947</v>
      </c>
      <c r="D5781" s="16"/>
      <c r="E5781">
        <v>6</v>
      </c>
      <c r="F5781" t="e">
        <f>-outros</f>
        <v>#NAME?</v>
      </c>
      <c r="G5781">
        <v>1</v>
      </c>
      <c r="H5781">
        <v>1</v>
      </c>
      <c r="I5781">
        <f>1</f>
        <v>1</v>
      </c>
    </row>
    <row r="5782" spans="2:9" x14ac:dyDescent="0.25">
      <c r="B5782">
        <v>0</v>
      </c>
      <c r="C5782" s="16" t="s">
        <v>14948</v>
      </c>
      <c r="D5782" s="16"/>
      <c r="E5782">
        <v>6</v>
      </c>
      <c r="F5782" t="s">
        <v>7434</v>
      </c>
      <c r="G5782">
        <v>1</v>
      </c>
      <c r="H5782">
        <v>1</v>
      </c>
      <c r="I5782">
        <f>1</f>
        <v>1</v>
      </c>
    </row>
    <row r="5783" spans="2:9" x14ac:dyDescent="0.25">
      <c r="B5783">
        <v>0</v>
      </c>
      <c r="C5783" s="16" t="s">
        <v>14949</v>
      </c>
      <c r="D5783" s="16"/>
      <c r="E5783">
        <v>6</v>
      </c>
      <c r="F5783" t="s">
        <v>7435</v>
      </c>
      <c r="G5783">
        <v>1</v>
      </c>
      <c r="H5783">
        <v>0</v>
      </c>
      <c r="I5783">
        <f>1</f>
        <v>1</v>
      </c>
    </row>
    <row r="5784" spans="2:9" x14ac:dyDescent="0.25">
      <c r="B5784">
        <v>0</v>
      </c>
      <c r="C5784" s="16" t="s">
        <v>14950</v>
      </c>
      <c r="D5784" s="16"/>
      <c r="E5784">
        <v>6</v>
      </c>
      <c r="F5784" t="s">
        <v>7436</v>
      </c>
      <c r="G5784">
        <v>1</v>
      </c>
      <c r="H5784">
        <v>0</v>
      </c>
      <c r="I5784">
        <f>1</f>
        <v>1</v>
      </c>
    </row>
    <row r="5785" spans="2:9" x14ac:dyDescent="0.25">
      <c r="B5785">
        <v>0</v>
      </c>
      <c r="C5785" s="16" t="s">
        <v>14951</v>
      </c>
      <c r="D5785" s="16"/>
      <c r="E5785">
        <v>6</v>
      </c>
      <c r="F5785" t="s">
        <v>4690</v>
      </c>
      <c r="G5785">
        <v>1</v>
      </c>
      <c r="H5785">
        <v>0</v>
      </c>
      <c r="I5785">
        <f>1</f>
        <v>1</v>
      </c>
    </row>
    <row r="5786" spans="2:9" x14ac:dyDescent="0.25">
      <c r="B5786">
        <v>0</v>
      </c>
      <c r="C5786" s="16" t="s">
        <v>14952</v>
      </c>
      <c r="D5786" s="16"/>
      <c r="E5786">
        <v>6</v>
      </c>
      <c r="F5786" t="s">
        <v>7435</v>
      </c>
      <c r="G5786">
        <v>1</v>
      </c>
      <c r="H5786">
        <v>0</v>
      </c>
      <c r="I5786">
        <f>1</f>
        <v>1</v>
      </c>
    </row>
    <row r="5787" spans="2:9" x14ac:dyDescent="0.25">
      <c r="B5787">
        <v>0</v>
      </c>
      <c r="C5787" s="16" t="s">
        <v>14953</v>
      </c>
      <c r="D5787" s="16"/>
      <c r="E5787">
        <v>6</v>
      </c>
      <c r="F5787" t="s">
        <v>7436</v>
      </c>
      <c r="G5787">
        <v>1</v>
      </c>
      <c r="H5787">
        <v>0</v>
      </c>
      <c r="I5787">
        <f>1</f>
        <v>1</v>
      </c>
    </row>
    <row r="5788" spans="2:9" x14ac:dyDescent="0.25">
      <c r="B5788">
        <v>0</v>
      </c>
      <c r="C5788" s="16" t="s">
        <v>14954</v>
      </c>
      <c r="D5788" s="16"/>
      <c r="E5788">
        <v>6</v>
      </c>
      <c r="F5788" t="s">
        <v>4690</v>
      </c>
      <c r="G5788">
        <v>1</v>
      </c>
      <c r="H5788">
        <v>0</v>
      </c>
      <c r="I5788">
        <f>1</f>
        <v>1</v>
      </c>
    </row>
    <row r="5789" spans="2:9" x14ac:dyDescent="0.25">
      <c r="B5789">
        <v>0</v>
      </c>
      <c r="C5789" s="16" t="s">
        <v>14955</v>
      </c>
      <c r="D5789" s="16"/>
      <c r="E5789">
        <v>6</v>
      </c>
      <c r="F5789" t="e">
        <f>--De aramidas</f>
        <v>#NAME?</v>
      </c>
      <c r="G5789">
        <v>1</v>
      </c>
      <c r="H5789">
        <v>0</v>
      </c>
      <c r="I5789">
        <f>1</f>
        <v>1</v>
      </c>
    </row>
    <row r="5790" spans="2:9" x14ac:dyDescent="0.25">
      <c r="B5790">
        <v>0</v>
      </c>
      <c r="C5790" s="16" t="s">
        <v>14956</v>
      </c>
      <c r="D5790" s="16"/>
      <c r="E5790">
        <v>6</v>
      </c>
      <c r="F5790" t="s">
        <v>7437</v>
      </c>
      <c r="G5790">
        <v>1</v>
      </c>
      <c r="H5790">
        <v>0</v>
      </c>
      <c r="I5790">
        <f>1</f>
        <v>1</v>
      </c>
    </row>
    <row r="5791" spans="2:9" x14ac:dyDescent="0.25">
      <c r="B5791">
        <v>0</v>
      </c>
      <c r="C5791" s="16" t="s">
        <v>14957</v>
      </c>
      <c r="D5791" s="16"/>
      <c r="E5791">
        <v>6</v>
      </c>
      <c r="F5791" t="s">
        <v>4680</v>
      </c>
      <c r="G5791">
        <v>1</v>
      </c>
      <c r="H5791">
        <v>0</v>
      </c>
      <c r="I5791">
        <f>1</f>
        <v>1</v>
      </c>
    </row>
    <row r="5792" spans="2:9" x14ac:dyDescent="0.25">
      <c r="B5792">
        <v>0</v>
      </c>
      <c r="C5792" s="16" t="s">
        <v>14958</v>
      </c>
      <c r="D5792" s="16"/>
      <c r="E5792">
        <v>6</v>
      </c>
      <c r="F5792" t="s">
        <v>7438</v>
      </c>
      <c r="G5792">
        <v>1</v>
      </c>
      <c r="H5792">
        <v>0</v>
      </c>
      <c r="I5792">
        <f>1</f>
        <v>1</v>
      </c>
    </row>
    <row r="5793" spans="2:9" x14ac:dyDescent="0.25">
      <c r="B5793">
        <v>0</v>
      </c>
      <c r="C5793" s="16" t="s">
        <v>14959</v>
      </c>
      <c r="D5793" s="16"/>
      <c r="E5793">
        <v>6</v>
      </c>
      <c r="F5793" t="s">
        <v>7439</v>
      </c>
      <c r="G5793">
        <v>1</v>
      </c>
      <c r="H5793">
        <v>0</v>
      </c>
      <c r="I5793">
        <f>1</f>
        <v>1</v>
      </c>
    </row>
    <row r="5794" spans="2:9" x14ac:dyDescent="0.25">
      <c r="B5794">
        <v>0</v>
      </c>
      <c r="C5794" s="16" t="s">
        <v>14960</v>
      </c>
      <c r="D5794" s="16"/>
      <c r="E5794">
        <v>6</v>
      </c>
      <c r="F5794" t="s">
        <v>4680</v>
      </c>
      <c r="G5794">
        <v>1</v>
      </c>
      <c r="H5794">
        <v>0</v>
      </c>
      <c r="I5794">
        <f>1</f>
        <v>1</v>
      </c>
    </row>
    <row r="5795" spans="2:9" x14ac:dyDescent="0.25">
      <c r="B5795">
        <v>0</v>
      </c>
      <c r="C5795" s="16" t="s">
        <v>14961</v>
      </c>
      <c r="D5795" s="16"/>
      <c r="E5795">
        <v>6</v>
      </c>
      <c r="F5795" t="s">
        <v>4680</v>
      </c>
      <c r="G5795">
        <v>1</v>
      </c>
      <c r="H5795">
        <v>0</v>
      </c>
      <c r="I5795">
        <f>1</f>
        <v>1</v>
      </c>
    </row>
    <row r="5796" spans="2:9" x14ac:dyDescent="0.25">
      <c r="B5796">
        <v>0</v>
      </c>
      <c r="C5796" s="16" t="s">
        <v>14962</v>
      </c>
      <c r="D5796" s="16"/>
      <c r="E5796">
        <v>6</v>
      </c>
      <c r="F5796" t="s">
        <v>7440</v>
      </c>
      <c r="G5796">
        <v>1</v>
      </c>
      <c r="H5796">
        <v>0</v>
      </c>
      <c r="I5796">
        <f>1</f>
        <v>1</v>
      </c>
    </row>
    <row r="5797" spans="2:9" x14ac:dyDescent="0.25">
      <c r="B5797">
        <v>0</v>
      </c>
      <c r="C5797" s="16" t="s">
        <v>14963</v>
      </c>
      <c r="D5797" s="16"/>
      <c r="E5797">
        <v>6</v>
      </c>
      <c r="F5797" t="s">
        <v>4680</v>
      </c>
      <c r="G5797">
        <v>1</v>
      </c>
      <c r="H5797">
        <v>0</v>
      </c>
      <c r="I5797">
        <f>1</f>
        <v>1</v>
      </c>
    </row>
    <row r="5798" spans="2:9" x14ac:dyDescent="0.25">
      <c r="B5798">
        <v>0</v>
      </c>
      <c r="C5798" s="16" t="s">
        <v>14964</v>
      </c>
      <c r="D5798" s="16"/>
      <c r="E5798">
        <v>6</v>
      </c>
      <c r="F5798" t="s">
        <v>4680</v>
      </c>
      <c r="G5798">
        <v>1</v>
      </c>
      <c r="H5798">
        <v>0</v>
      </c>
      <c r="I5798">
        <f>1</f>
        <v>1</v>
      </c>
    </row>
    <row r="5799" spans="2:9" x14ac:dyDescent="0.25">
      <c r="B5799">
        <v>0</v>
      </c>
      <c r="C5799" s="16" t="s">
        <v>14965</v>
      </c>
      <c r="D5799" s="16"/>
      <c r="E5799">
        <v>6</v>
      </c>
      <c r="F5799" t="s">
        <v>7441</v>
      </c>
      <c r="G5799">
        <v>1</v>
      </c>
      <c r="H5799">
        <v>0</v>
      </c>
      <c r="I5799">
        <f>1</f>
        <v>1</v>
      </c>
    </row>
    <row r="5800" spans="2:9" x14ac:dyDescent="0.25">
      <c r="B5800">
        <v>0</v>
      </c>
      <c r="C5800" s="16" t="s">
        <v>14966</v>
      </c>
      <c r="D5800" s="16"/>
      <c r="E5800">
        <v>6</v>
      </c>
      <c r="F5800" t="s">
        <v>7442</v>
      </c>
      <c r="G5800">
        <v>1</v>
      </c>
      <c r="H5800">
        <v>0</v>
      </c>
      <c r="I5800">
        <f>1</f>
        <v>1</v>
      </c>
    </row>
    <row r="5801" spans="2:9" x14ac:dyDescent="0.25">
      <c r="B5801">
        <v>0</v>
      </c>
      <c r="C5801" s="16" t="s">
        <v>14967</v>
      </c>
      <c r="D5801" s="16"/>
      <c r="E5801">
        <v>6</v>
      </c>
      <c r="F5801" t="s">
        <v>7443</v>
      </c>
      <c r="G5801">
        <v>1</v>
      </c>
      <c r="H5801">
        <v>0</v>
      </c>
      <c r="I5801">
        <f>1</f>
        <v>1</v>
      </c>
    </row>
    <row r="5802" spans="2:9" x14ac:dyDescent="0.25">
      <c r="B5802">
        <v>0</v>
      </c>
      <c r="C5802" s="16" t="s">
        <v>14968</v>
      </c>
      <c r="D5802" s="16"/>
      <c r="E5802">
        <v>6</v>
      </c>
      <c r="F5802" t="e">
        <f>--De polipropileno</f>
        <v>#NAME?</v>
      </c>
      <c r="G5802">
        <v>1</v>
      </c>
      <c r="H5802">
        <v>0</v>
      </c>
      <c r="I5802">
        <f>1</f>
        <v>1</v>
      </c>
    </row>
    <row r="5803" spans="2:9" x14ac:dyDescent="0.25">
      <c r="B5803">
        <v>0</v>
      </c>
      <c r="C5803" s="16" t="s">
        <v>14969</v>
      </c>
      <c r="D5803" s="16"/>
      <c r="E5803">
        <v>6</v>
      </c>
      <c r="F5803" t="e">
        <f>--outros</f>
        <v>#NAME?</v>
      </c>
      <c r="G5803">
        <v>1</v>
      </c>
      <c r="H5803">
        <v>0</v>
      </c>
      <c r="I5803">
        <f>1</f>
        <v>1</v>
      </c>
    </row>
    <row r="5804" spans="2:9" x14ac:dyDescent="0.25">
      <c r="B5804">
        <v>0</v>
      </c>
      <c r="C5804" s="16" t="s">
        <v>14970</v>
      </c>
      <c r="D5804" s="16"/>
      <c r="E5804">
        <v>6</v>
      </c>
      <c r="F5804" t="e">
        <f>--De elastômeros</f>
        <v>#NAME?</v>
      </c>
      <c r="G5804">
        <v>1</v>
      </c>
      <c r="H5804">
        <v>0</v>
      </c>
      <c r="I5804">
        <f>1</f>
        <v>1</v>
      </c>
    </row>
    <row r="5805" spans="2:9" x14ac:dyDescent="0.25">
      <c r="B5805">
        <v>0</v>
      </c>
      <c r="C5805" s="16" t="s">
        <v>14971</v>
      </c>
      <c r="D5805" s="16"/>
      <c r="E5805">
        <v>6</v>
      </c>
      <c r="F5805" t="s">
        <v>7444</v>
      </c>
      <c r="G5805">
        <v>1</v>
      </c>
      <c r="H5805">
        <v>0</v>
      </c>
      <c r="I5805">
        <f>1</f>
        <v>1</v>
      </c>
    </row>
    <row r="5806" spans="2:9" x14ac:dyDescent="0.25">
      <c r="B5806">
        <v>0</v>
      </c>
      <c r="C5806" s="16" t="s">
        <v>14972</v>
      </c>
      <c r="D5806" s="16"/>
      <c r="E5806">
        <v>6</v>
      </c>
      <c r="F5806" t="s">
        <v>7437</v>
      </c>
      <c r="G5806">
        <v>1</v>
      </c>
      <c r="H5806">
        <v>0</v>
      </c>
      <c r="I5806">
        <f>1</f>
        <v>1</v>
      </c>
    </row>
    <row r="5807" spans="2:9" x14ac:dyDescent="0.25">
      <c r="B5807">
        <v>0</v>
      </c>
      <c r="C5807" s="16" t="s">
        <v>14973</v>
      </c>
      <c r="D5807" s="16"/>
      <c r="E5807">
        <v>6</v>
      </c>
      <c r="F5807" t="s">
        <v>4680</v>
      </c>
      <c r="G5807">
        <v>1</v>
      </c>
      <c r="H5807">
        <v>0</v>
      </c>
      <c r="I5807">
        <f>1</f>
        <v>1</v>
      </c>
    </row>
    <row r="5808" spans="2:9" x14ac:dyDescent="0.25">
      <c r="B5808">
        <v>0</v>
      </c>
      <c r="C5808" s="16" t="s">
        <v>14974</v>
      </c>
      <c r="D5808" s="16"/>
      <c r="E5808">
        <v>6</v>
      </c>
      <c r="F5808" t="s">
        <v>7445</v>
      </c>
      <c r="G5808">
        <v>1</v>
      </c>
      <c r="H5808">
        <v>0</v>
      </c>
      <c r="I5808">
        <f>1</f>
        <v>1</v>
      </c>
    </row>
    <row r="5809" spans="2:9" x14ac:dyDescent="0.25">
      <c r="B5809">
        <v>0</v>
      </c>
      <c r="C5809" s="16" t="s">
        <v>14975</v>
      </c>
      <c r="D5809" s="16"/>
      <c r="E5809">
        <v>6</v>
      </c>
      <c r="F5809" t="s">
        <v>7446</v>
      </c>
      <c r="G5809">
        <v>1</v>
      </c>
      <c r="H5809">
        <v>0</v>
      </c>
      <c r="I5809">
        <f>1</f>
        <v>1</v>
      </c>
    </row>
    <row r="5810" spans="2:9" x14ac:dyDescent="0.25">
      <c r="B5810">
        <v>0</v>
      </c>
      <c r="C5810" s="16" t="s">
        <v>14976</v>
      </c>
      <c r="D5810" s="16"/>
      <c r="E5810">
        <v>6</v>
      </c>
      <c r="F5810" t="s">
        <v>7447</v>
      </c>
      <c r="G5810">
        <v>1</v>
      </c>
      <c r="H5810">
        <v>0</v>
      </c>
      <c r="I5810">
        <f>1</f>
        <v>1</v>
      </c>
    </row>
    <row r="5811" spans="2:9" x14ac:dyDescent="0.25">
      <c r="B5811">
        <v>0</v>
      </c>
      <c r="C5811" s="16" t="s">
        <v>14977</v>
      </c>
      <c r="D5811" s="16"/>
      <c r="E5811">
        <v>6</v>
      </c>
      <c r="F5811" t="s">
        <v>7448</v>
      </c>
      <c r="G5811">
        <v>1</v>
      </c>
      <c r="H5811">
        <v>0</v>
      </c>
      <c r="I5811">
        <f>1</f>
        <v>1</v>
      </c>
    </row>
    <row r="5812" spans="2:9" x14ac:dyDescent="0.25">
      <c r="B5812">
        <v>0</v>
      </c>
      <c r="C5812" s="16" t="s">
        <v>14978</v>
      </c>
      <c r="D5812" s="16"/>
      <c r="E5812">
        <v>6</v>
      </c>
      <c r="F5812" t="s">
        <v>4680</v>
      </c>
      <c r="G5812">
        <v>1</v>
      </c>
      <c r="H5812">
        <v>0</v>
      </c>
      <c r="I5812">
        <f>1</f>
        <v>1</v>
      </c>
    </row>
    <row r="5813" spans="2:9" x14ac:dyDescent="0.25">
      <c r="B5813">
        <v>0</v>
      </c>
      <c r="C5813" s="16" t="s">
        <v>14979</v>
      </c>
      <c r="D5813" s="16"/>
      <c r="E5813">
        <v>6</v>
      </c>
      <c r="F5813" t="s">
        <v>7444</v>
      </c>
      <c r="G5813">
        <v>1</v>
      </c>
      <c r="H5813">
        <v>0</v>
      </c>
      <c r="I5813">
        <f>1</f>
        <v>1</v>
      </c>
    </row>
    <row r="5814" spans="2:9" x14ac:dyDescent="0.25">
      <c r="B5814">
        <v>0</v>
      </c>
      <c r="C5814" s="16" t="s">
        <v>14980</v>
      </c>
      <c r="D5814" s="16"/>
      <c r="E5814">
        <v>6</v>
      </c>
      <c r="F5814" t="s">
        <v>4680</v>
      </c>
      <c r="G5814">
        <v>1</v>
      </c>
      <c r="H5814">
        <v>0</v>
      </c>
      <c r="I5814">
        <f>1</f>
        <v>1</v>
      </c>
    </row>
    <row r="5815" spans="2:9" x14ac:dyDescent="0.25">
      <c r="B5815">
        <v>0</v>
      </c>
      <c r="C5815" s="16" t="s">
        <v>14981</v>
      </c>
      <c r="D5815" s="16"/>
      <c r="E5815">
        <v>6</v>
      </c>
      <c r="F5815" t="e">
        <f>--De poliésteres</f>
        <v>#NAME?</v>
      </c>
      <c r="G5815">
        <v>1</v>
      </c>
      <c r="H5815">
        <v>0</v>
      </c>
      <c r="I5815">
        <f>1</f>
        <v>1</v>
      </c>
    </row>
    <row r="5816" spans="2:9" x14ac:dyDescent="0.25">
      <c r="B5816">
        <v>0</v>
      </c>
      <c r="C5816" s="16" t="s">
        <v>14982</v>
      </c>
      <c r="D5816" s="16"/>
      <c r="E5816">
        <v>6</v>
      </c>
      <c r="F5816" t="e">
        <f>--outros</f>
        <v>#NAME?</v>
      </c>
      <c r="G5816">
        <v>1</v>
      </c>
      <c r="H5816">
        <v>0</v>
      </c>
      <c r="I5816">
        <f>1</f>
        <v>1</v>
      </c>
    </row>
    <row r="5817" spans="2:9" x14ac:dyDescent="0.25">
      <c r="B5817">
        <v>0</v>
      </c>
      <c r="C5817" s="16" t="s">
        <v>14983</v>
      </c>
      <c r="D5817" s="16"/>
      <c r="E5817">
        <v>6</v>
      </c>
      <c r="F5817" t="s">
        <v>7444</v>
      </c>
      <c r="G5817">
        <v>1</v>
      </c>
      <c r="H5817">
        <v>0</v>
      </c>
      <c r="I5817">
        <f>1</f>
        <v>1</v>
      </c>
    </row>
    <row r="5818" spans="2:9" x14ac:dyDescent="0.25">
      <c r="B5818">
        <v>0</v>
      </c>
      <c r="C5818" s="16" t="s">
        <v>14984</v>
      </c>
      <c r="D5818" s="16"/>
      <c r="E5818">
        <v>6</v>
      </c>
      <c r="F5818" t="s">
        <v>4680</v>
      </c>
      <c r="G5818">
        <v>1</v>
      </c>
      <c r="H5818">
        <v>0</v>
      </c>
      <c r="I5818">
        <f>1</f>
        <v>1</v>
      </c>
    </row>
    <row r="5819" spans="2:9" x14ac:dyDescent="0.25">
      <c r="B5819">
        <v>0</v>
      </c>
      <c r="C5819" s="16" t="s">
        <v>14985</v>
      </c>
      <c r="D5819" s="16"/>
      <c r="E5819">
        <v>6</v>
      </c>
      <c r="F5819" t="e">
        <f>--De poliésteres</f>
        <v>#NAME?</v>
      </c>
      <c r="G5819">
        <v>1</v>
      </c>
      <c r="H5819">
        <v>0</v>
      </c>
      <c r="I5819">
        <f>1</f>
        <v>1</v>
      </c>
    </row>
    <row r="5820" spans="2:9" x14ac:dyDescent="0.25">
      <c r="B5820">
        <v>0</v>
      </c>
      <c r="C5820" s="16" t="s">
        <v>14986</v>
      </c>
      <c r="D5820" s="16"/>
      <c r="E5820">
        <v>6</v>
      </c>
      <c r="F5820" t="e">
        <f>--outros</f>
        <v>#NAME?</v>
      </c>
      <c r="G5820">
        <v>1</v>
      </c>
      <c r="H5820">
        <v>0</v>
      </c>
      <c r="I5820">
        <f>1</f>
        <v>1</v>
      </c>
    </row>
    <row r="5821" spans="2:9" x14ac:dyDescent="0.25">
      <c r="B5821">
        <v>0</v>
      </c>
      <c r="C5821" s="16" t="s">
        <v>14987</v>
      </c>
      <c r="D5821" s="16"/>
      <c r="E5821">
        <v>6</v>
      </c>
      <c r="F5821" t="s">
        <v>7449</v>
      </c>
      <c r="G5821">
        <v>1</v>
      </c>
      <c r="H5821">
        <v>0</v>
      </c>
      <c r="I5821">
        <f>1</f>
        <v>1</v>
      </c>
    </row>
    <row r="5822" spans="2:9" x14ac:dyDescent="0.25">
      <c r="B5822">
        <v>0</v>
      </c>
      <c r="C5822" s="16" t="s">
        <v>14988</v>
      </c>
      <c r="D5822" s="16"/>
      <c r="E5822">
        <v>6</v>
      </c>
      <c r="F5822" t="s">
        <v>7450</v>
      </c>
      <c r="G5822">
        <v>1</v>
      </c>
      <c r="H5822">
        <v>0</v>
      </c>
      <c r="I5822">
        <f>1</f>
        <v>1</v>
      </c>
    </row>
    <row r="5823" spans="2:9" x14ac:dyDescent="0.25">
      <c r="B5823">
        <v>0</v>
      </c>
      <c r="C5823" s="16" t="s">
        <v>14989</v>
      </c>
      <c r="D5823" s="16"/>
      <c r="E5823">
        <v>6</v>
      </c>
      <c r="F5823" t="s">
        <v>7451</v>
      </c>
      <c r="G5823">
        <v>1</v>
      </c>
      <c r="H5823">
        <v>0</v>
      </c>
      <c r="I5823">
        <f>1</f>
        <v>1</v>
      </c>
    </row>
    <row r="5824" spans="2:9" x14ac:dyDescent="0.25">
      <c r="B5824">
        <v>0</v>
      </c>
      <c r="C5824" s="16" t="s">
        <v>14990</v>
      </c>
      <c r="D5824" s="16"/>
      <c r="E5824">
        <v>6</v>
      </c>
      <c r="F5824" t="e">
        <f>--De Acetato De celulose</f>
        <v>#NAME?</v>
      </c>
      <c r="G5824">
        <v>1</v>
      </c>
      <c r="H5824">
        <v>0</v>
      </c>
      <c r="I5824">
        <f>1</f>
        <v>1</v>
      </c>
    </row>
    <row r="5825" spans="2:9" x14ac:dyDescent="0.25">
      <c r="B5825">
        <v>0</v>
      </c>
      <c r="C5825" s="16" t="s">
        <v>14991</v>
      </c>
      <c r="D5825" s="16"/>
      <c r="E5825">
        <v>6</v>
      </c>
      <c r="F5825" t="e">
        <f>--outros</f>
        <v>#NAME?</v>
      </c>
      <c r="G5825">
        <v>1</v>
      </c>
      <c r="H5825">
        <v>0</v>
      </c>
      <c r="I5825">
        <f>1</f>
        <v>1</v>
      </c>
    </row>
    <row r="5826" spans="2:9" x14ac:dyDescent="0.25">
      <c r="B5826">
        <v>0</v>
      </c>
      <c r="C5826" s="16" t="s">
        <v>14992</v>
      </c>
      <c r="D5826" s="16"/>
      <c r="E5826">
        <v>6</v>
      </c>
      <c r="F5826" t="e">
        <f>--De raiom viscose</f>
        <v>#NAME?</v>
      </c>
      <c r="G5826">
        <v>1</v>
      </c>
      <c r="H5826">
        <v>0</v>
      </c>
      <c r="I5826">
        <f>1</f>
        <v>1</v>
      </c>
    </row>
    <row r="5827" spans="2:9" x14ac:dyDescent="0.25">
      <c r="B5827">
        <v>0</v>
      </c>
      <c r="C5827" s="16" t="s">
        <v>14993</v>
      </c>
      <c r="D5827" s="16"/>
      <c r="E5827">
        <v>6</v>
      </c>
      <c r="F5827" t="e">
        <f>--De Acetato De celulose</f>
        <v>#NAME?</v>
      </c>
      <c r="G5827">
        <v>1</v>
      </c>
      <c r="H5827">
        <v>0</v>
      </c>
      <c r="I5827">
        <f>1</f>
        <v>1</v>
      </c>
    </row>
    <row r="5828" spans="2:9" x14ac:dyDescent="0.25">
      <c r="B5828">
        <v>0</v>
      </c>
      <c r="C5828" s="16" t="s">
        <v>14994</v>
      </c>
      <c r="D5828" s="16"/>
      <c r="E5828">
        <v>6</v>
      </c>
      <c r="F5828" t="e">
        <f>--outros</f>
        <v>#NAME?</v>
      </c>
      <c r="G5828">
        <v>1</v>
      </c>
      <c r="H5828">
        <v>0</v>
      </c>
      <c r="I5828">
        <f>1</f>
        <v>1</v>
      </c>
    </row>
    <row r="5829" spans="2:9" x14ac:dyDescent="0.25">
      <c r="B5829">
        <v>0</v>
      </c>
      <c r="C5829" s="16" t="s">
        <v>14995</v>
      </c>
      <c r="D5829" s="16"/>
      <c r="E5829">
        <v>6</v>
      </c>
      <c r="F5829" t="e">
        <f>--De elastômeros</f>
        <v>#NAME?</v>
      </c>
      <c r="G5829">
        <v>1</v>
      </c>
      <c r="H5829">
        <v>0</v>
      </c>
      <c r="I5829">
        <f>1</f>
        <v>1</v>
      </c>
    </row>
    <row r="5830" spans="2:9" x14ac:dyDescent="0.25">
      <c r="B5830">
        <v>0</v>
      </c>
      <c r="C5830" s="16" t="s">
        <v>14996</v>
      </c>
      <c r="D5830" s="16"/>
      <c r="E5830">
        <v>6</v>
      </c>
      <c r="F5830" t="s">
        <v>7447</v>
      </c>
      <c r="G5830">
        <v>1</v>
      </c>
      <c r="H5830">
        <v>0</v>
      </c>
      <c r="I5830">
        <f>1</f>
        <v>1</v>
      </c>
    </row>
    <row r="5831" spans="2:9" x14ac:dyDescent="0.25">
      <c r="B5831">
        <v>0</v>
      </c>
      <c r="C5831" s="16" t="s">
        <v>14997</v>
      </c>
      <c r="D5831" s="16"/>
      <c r="E5831">
        <v>6</v>
      </c>
      <c r="F5831" t="s">
        <v>7452</v>
      </c>
      <c r="G5831">
        <v>1</v>
      </c>
      <c r="H5831">
        <v>0</v>
      </c>
      <c r="I5831">
        <f>1</f>
        <v>1</v>
      </c>
    </row>
    <row r="5832" spans="2:9" x14ac:dyDescent="0.25">
      <c r="B5832">
        <v>0</v>
      </c>
      <c r="C5832" s="16" t="s">
        <v>14998</v>
      </c>
      <c r="D5832" s="16"/>
      <c r="E5832">
        <v>6</v>
      </c>
      <c r="F5832" t="s">
        <v>4680</v>
      </c>
      <c r="G5832">
        <v>1</v>
      </c>
      <c r="H5832">
        <v>0</v>
      </c>
      <c r="I5832">
        <f>1</f>
        <v>1</v>
      </c>
    </row>
    <row r="5833" spans="2:9" x14ac:dyDescent="0.25">
      <c r="B5833">
        <v>0</v>
      </c>
      <c r="C5833" s="16" t="s">
        <v>14999</v>
      </c>
      <c r="D5833" s="16"/>
      <c r="E5833">
        <v>6</v>
      </c>
      <c r="F5833" t="s">
        <v>4680</v>
      </c>
      <c r="G5833">
        <v>1</v>
      </c>
      <c r="H5833">
        <v>0</v>
      </c>
      <c r="I5833">
        <f>1</f>
        <v>1</v>
      </c>
    </row>
    <row r="5834" spans="2:9" x14ac:dyDescent="0.25">
      <c r="B5834">
        <v>0</v>
      </c>
      <c r="C5834" s="16" t="s">
        <v>15000</v>
      </c>
      <c r="D5834" s="16"/>
      <c r="E5834">
        <v>6</v>
      </c>
      <c r="F5834" t="e">
        <f>-Outras</f>
        <v>#NAME?</v>
      </c>
      <c r="G5834">
        <v>1</v>
      </c>
      <c r="H5834">
        <v>0</v>
      </c>
      <c r="I5834">
        <f>1</f>
        <v>1</v>
      </c>
    </row>
    <row r="5835" spans="2:9" x14ac:dyDescent="0.25">
      <c r="B5835">
        <v>0</v>
      </c>
      <c r="C5835" s="16" t="s">
        <v>15001</v>
      </c>
      <c r="D5835" s="16"/>
      <c r="E5835">
        <v>6</v>
      </c>
      <c r="F5835" t="s">
        <v>7453</v>
      </c>
      <c r="G5835">
        <v>1</v>
      </c>
      <c r="H5835">
        <v>0</v>
      </c>
      <c r="I5835">
        <f>1</f>
        <v>1</v>
      </c>
    </row>
    <row r="5836" spans="2:9" x14ac:dyDescent="0.25">
      <c r="B5836">
        <v>0</v>
      </c>
      <c r="C5836" s="16" t="s">
        <v>15002</v>
      </c>
      <c r="D5836" s="16"/>
      <c r="E5836">
        <v>6</v>
      </c>
      <c r="F5836" t="s">
        <v>7454</v>
      </c>
      <c r="G5836">
        <v>1</v>
      </c>
      <c r="H5836">
        <v>0</v>
      </c>
      <c r="I5836">
        <f>1</f>
        <v>1</v>
      </c>
    </row>
    <row r="5837" spans="2:9" x14ac:dyDescent="0.25">
      <c r="B5837">
        <v>0</v>
      </c>
      <c r="C5837" s="16" t="s">
        <v>15003</v>
      </c>
      <c r="D5837" s="16"/>
      <c r="E5837">
        <v>6</v>
      </c>
      <c r="F5837" t="s">
        <v>7455</v>
      </c>
      <c r="G5837">
        <v>1</v>
      </c>
      <c r="H5837">
        <v>0</v>
      </c>
      <c r="I5837">
        <f>1</f>
        <v>1</v>
      </c>
    </row>
    <row r="5838" spans="2:9" x14ac:dyDescent="0.25">
      <c r="B5838">
        <v>0</v>
      </c>
      <c r="C5838" s="16" t="s">
        <v>15004</v>
      </c>
      <c r="D5838" s="16"/>
      <c r="E5838">
        <v>6</v>
      </c>
      <c r="F5838" t="s">
        <v>7444</v>
      </c>
      <c r="G5838">
        <v>1</v>
      </c>
      <c r="H5838">
        <v>0</v>
      </c>
      <c r="I5838">
        <f>1</f>
        <v>1</v>
      </c>
    </row>
    <row r="5839" spans="2:9" x14ac:dyDescent="0.25">
      <c r="B5839">
        <v>0</v>
      </c>
      <c r="C5839" s="16" t="s">
        <v>15005</v>
      </c>
      <c r="D5839" s="16"/>
      <c r="E5839">
        <v>6</v>
      </c>
      <c r="F5839" t="s">
        <v>4680</v>
      </c>
      <c r="G5839">
        <v>1</v>
      </c>
      <c r="H5839">
        <v>0</v>
      </c>
      <c r="I5839">
        <f>1</f>
        <v>1</v>
      </c>
    </row>
    <row r="5840" spans="2:9" x14ac:dyDescent="0.25">
      <c r="B5840">
        <v>0</v>
      </c>
      <c r="C5840" s="16" t="s">
        <v>15006</v>
      </c>
      <c r="D5840" s="16"/>
      <c r="E5840">
        <v>6</v>
      </c>
      <c r="F5840" t="s">
        <v>7444</v>
      </c>
      <c r="G5840">
        <v>1</v>
      </c>
      <c r="H5840">
        <v>0</v>
      </c>
      <c r="I5840">
        <f>1</f>
        <v>1</v>
      </c>
    </row>
    <row r="5841" spans="2:9" x14ac:dyDescent="0.25">
      <c r="B5841">
        <v>0</v>
      </c>
      <c r="C5841" s="16" t="s">
        <v>15007</v>
      </c>
      <c r="D5841" s="16"/>
      <c r="E5841">
        <v>6</v>
      </c>
      <c r="F5841" t="s">
        <v>4680</v>
      </c>
      <c r="G5841">
        <v>1</v>
      </c>
      <c r="H5841">
        <v>0</v>
      </c>
      <c r="I5841">
        <f>1</f>
        <v>1</v>
      </c>
    </row>
    <row r="5842" spans="2:9" x14ac:dyDescent="0.25">
      <c r="B5842">
        <v>0</v>
      </c>
      <c r="C5842" s="16" t="s">
        <v>15008</v>
      </c>
      <c r="D5842" s="16"/>
      <c r="E5842">
        <v>6</v>
      </c>
      <c r="F5842" t="e">
        <f>-tecidos obtidos a partir De lâminas ou De formas semelhantes</f>
        <v>#NAME?</v>
      </c>
      <c r="G5842">
        <v>1</v>
      </c>
      <c r="H5842">
        <v>0</v>
      </c>
      <c r="I5842">
        <f>1</f>
        <v>1</v>
      </c>
    </row>
    <row r="5843" spans="2:9" x14ac:dyDescent="0.25">
      <c r="B5843">
        <v>0</v>
      </c>
      <c r="C5843" s="16" t="s">
        <v>15009</v>
      </c>
      <c r="D5843" s="16"/>
      <c r="E5843">
        <v>6</v>
      </c>
      <c r="F5843" t="s">
        <v>7456</v>
      </c>
      <c r="G5843">
        <v>1</v>
      </c>
      <c r="H5843">
        <v>0</v>
      </c>
      <c r="I5843">
        <f>1</f>
        <v>1</v>
      </c>
    </row>
    <row r="5844" spans="2:9" x14ac:dyDescent="0.25">
      <c r="B5844">
        <v>0</v>
      </c>
      <c r="C5844" s="16" t="s">
        <v>15010</v>
      </c>
      <c r="D5844" s="16"/>
      <c r="E5844">
        <v>6</v>
      </c>
      <c r="F5844" t="e">
        <f>--Crus ou Branqueados</f>
        <v>#NAME?</v>
      </c>
      <c r="G5844">
        <v>1</v>
      </c>
      <c r="H5844">
        <v>0</v>
      </c>
      <c r="I5844">
        <f>1</f>
        <v>1</v>
      </c>
    </row>
    <row r="5845" spans="2:9" x14ac:dyDescent="0.25">
      <c r="B5845">
        <v>0</v>
      </c>
      <c r="C5845" s="16" t="s">
        <v>15011</v>
      </c>
      <c r="D5845" s="16"/>
      <c r="E5845">
        <v>6</v>
      </c>
      <c r="F5845" t="e">
        <f>--Tintos</f>
        <v>#NAME?</v>
      </c>
      <c r="G5845">
        <v>1</v>
      </c>
      <c r="H5845">
        <v>0</v>
      </c>
      <c r="I5845">
        <f>1</f>
        <v>1</v>
      </c>
    </row>
    <row r="5846" spans="2:9" x14ac:dyDescent="0.25">
      <c r="B5846">
        <v>0</v>
      </c>
      <c r="C5846" s="16" t="s">
        <v>15012</v>
      </c>
      <c r="D5846" s="16"/>
      <c r="E5846">
        <v>6</v>
      </c>
      <c r="F5846" t="e">
        <f>--De Fios De diversas Cores</f>
        <v>#NAME?</v>
      </c>
      <c r="G5846">
        <v>1</v>
      </c>
      <c r="H5846">
        <v>0</v>
      </c>
      <c r="I5846">
        <f>1</f>
        <v>1</v>
      </c>
    </row>
    <row r="5847" spans="2:9" x14ac:dyDescent="0.25">
      <c r="B5847">
        <v>0</v>
      </c>
      <c r="C5847" s="16" t="s">
        <v>15013</v>
      </c>
      <c r="D5847" s="16"/>
      <c r="E5847">
        <v>6</v>
      </c>
      <c r="F5847" t="e">
        <f>--Estampados</f>
        <v>#NAME?</v>
      </c>
      <c r="G5847">
        <v>1</v>
      </c>
      <c r="H5847">
        <v>0</v>
      </c>
      <c r="I5847">
        <f>1</f>
        <v>1</v>
      </c>
    </row>
    <row r="5848" spans="2:9" x14ac:dyDescent="0.25">
      <c r="B5848">
        <v>0</v>
      </c>
      <c r="C5848" s="16" t="s">
        <v>15014</v>
      </c>
      <c r="D5848" s="16"/>
      <c r="E5848">
        <v>6</v>
      </c>
      <c r="F5848" t="e">
        <f>--Crus ou Branqueados</f>
        <v>#NAME?</v>
      </c>
      <c r="G5848">
        <v>1</v>
      </c>
      <c r="H5848">
        <v>0</v>
      </c>
      <c r="I5848">
        <f>1</f>
        <v>1</v>
      </c>
    </row>
    <row r="5849" spans="2:9" x14ac:dyDescent="0.25">
      <c r="B5849">
        <v>0</v>
      </c>
      <c r="C5849" s="16" t="s">
        <v>15015</v>
      </c>
      <c r="D5849" s="16"/>
      <c r="E5849">
        <v>6</v>
      </c>
      <c r="F5849" t="s">
        <v>7457</v>
      </c>
      <c r="G5849">
        <v>1</v>
      </c>
      <c r="H5849">
        <v>0</v>
      </c>
      <c r="I5849">
        <f>1</f>
        <v>1</v>
      </c>
    </row>
    <row r="5850" spans="2:9" x14ac:dyDescent="0.25">
      <c r="B5850">
        <v>0</v>
      </c>
      <c r="C5850" s="16" t="s">
        <v>15016</v>
      </c>
      <c r="D5850" s="16"/>
      <c r="E5850">
        <v>6</v>
      </c>
      <c r="F5850" t="s">
        <v>7458</v>
      </c>
      <c r="G5850">
        <v>1</v>
      </c>
      <c r="H5850">
        <v>0</v>
      </c>
      <c r="I5850">
        <f>1</f>
        <v>1</v>
      </c>
    </row>
    <row r="5851" spans="2:9" x14ac:dyDescent="0.25">
      <c r="B5851">
        <v>0</v>
      </c>
      <c r="C5851" s="16" t="s">
        <v>15017</v>
      </c>
      <c r="D5851" s="16"/>
      <c r="E5851">
        <v>6</v>
      </c>
      <c r="F5851" t="e">
        <f>--De Fios De diversas Cores</f>
        <v>#NAME?</v>
      </c>
      <c r="G5851">
        <v>1</v>
      </c>
      <c r="H5851">
        <v>0</v>
      </c>
      <c r="I5851">
        <f>1</f>
        <v>1</v>
      </c>
    </row>
    <row r="5852" spans="2:9" x14ac:dyDescent="0.25">
      <c r="B5852">
        <v>0</v>
      </c>
      <c r="C5852" s="16" t="s">
        <v>15018</v>
      </c>
      <c r="D5852" s="16"/>
      <c r="E5852">
        <v>6</v>
      </c>
      <c r="F5852" t="e">
        <f>--Estampados</f>
        <v>#NAME?</v>
      </c>
      <c r="G5852">
        <v>1</v>
      </c>
      <c r="H5852">
        <v>0</v>
      </c>
      <c r="I5852">
        <f>1</f>
        <v>1</v>
      </c>
    </row>
    <row r="5853" spans="2:9" x14ac:dyDescent="0.25">
      <c r="B5853">
        <v>0</v>
      </c>
      <c r="C5853" s="16" t="s">
        <v>15019</v>
      </c>
      <c r="D5853" s="16"/>
      <c r="E5853">
        <v>6</v>
      </c>
      <c r="F5853" t="s">
        <v>7459</v>
      </c>
      <c r="G5853">
        <v>1</v>
      </c>
      <c r="H5853">
        <v>0</v>
      </c>
      <c r="I5853">
        <f>1</f>
        <v>1</v>
      </c>
    </row>
    <row r="5854" spans="2:9" x14ac:dyDescent="0.25">
      <c r="B5854">
        <v>0</v>
      </c>
      <c r="C5854" s="16" t="s">
        <v>15020</v>
      </c>
      <c r="D5854" s="16"/>
      <c r="E5854">
        <v>6</v>
      </c>
      <c r="F5854" t="e">
        <f>--outros</f>
        <v>#NAME?</v>
      </c>
      <c r="G5854">
        <v>1</v>
      </c>
      <c r="H5854">
        <v>0</v>
      </c>
      <c r="I5854">
        <f>1</f>
        <v>1</v>
      </c>
    </row>
    <row r="5855" spans="2:9" x14ac:dyDescent="0.25">
      <c r="B5855">
        <v>0</v>
      </c>
      <c r="C5855" s="16" t="s">
        <v>15021</v>
      </c>
      <c r="D5855" s="16"/>
      <c r="E5855">
        <v>6</v>
      </c>
      <c r="F5855" t="e">
        <f>--Crus ou Branqueados</f>
        <v>#NAME?</v>
      </c>
      <c r="G5855">
        <v>1</v>
      </c>
      <c r="H5855">
        <v>0</v>
      </c>
      <c r="I5855">
        <f>1</f>
        <v>1</v>
      </c>
    </row>
    <row r="5856" spans="2:9" x14ac:dyDescent="0.25">
      <c r="B5856">
        <v>0</v>
      </c>
      <c r="C5856" s="16" t="s">
        <v>15022</v>
      </c>
      <c r="D5856" s="16"/>
      <c r="E5856">
        <v>6</v>
      </c>
      <c r="F5856" t="e">
        <f>--Tintos</f>
        <v>#NAME?</v>
      </c>
      <c r="G5856">
        <v>1</v>
      </c>
      <c r="H5856">
        <v>0</v>
      </c>
      <c r="I5856">
        <f>1</f>
        <v>1</v>
      </c>
    </row>
    <row r="5857" spans="2:9" x14ac:dyDescent="0.25">
      <c r="B5857">
        <v>0</v>
      </c>
      <c r="C5857" s="16" t="s">
        <v>15023</v>
      </c>
      <c r="D5857" s="16"/>
      <c r="E5857">
        <v>6</v>
      </c>
      <c r="F5857" t="e">
        <f>--De Fios De diversas Cores</f>
        <v>#NAME?</v>
      </c>
      <c r="G5857">
        <v>1</v>
      </c>
      <c r="H5857">
        <v>0</v>
      </c>
      <c r="I5857">
        <f>1</f>
        <v>1</v>
      </c>
    </row>
    <row r="5858" spans="2:9" x14ac:dyDescent="0.25">
      <c r="B5858">
        <v>0</v>
      </c>
      <c r="C5858" s="16" t="s">
        <v>15024</v>
      </c>
      <c r="D5858" s="16"/>
      <c r="E5858">
        <v>6</v>
      </c>
      <c r="F5858" t="e">
        <f>--Estampados</f>
        <v>#NAME?</v>
      </c>
      <c r="G5858">
        <v>1</v>
      </c>
      <c r="H5858">
        <v>0</v>
      </c>
      <c r="I5858">
        <f>1</f>
        <v>1</v>
      </c>
    </row>
    <row r="5859" spans="2:9" x14ac:dyDescent="0.25">
      <c r="B5859">
        <v>0</v>
      </c>
      <c r="C5859" s="16" t="s">
        <v>15025</v>
      </c>
      <c r="D5859" s="16"/>
      <c r="E5859">
        <v>6</v>
      </c>
      <c r="F5859" t="e">
        <f>--Crus ou Branqueados</f>
        <v>#NAME?</v>
      </c>
      <c r="G5859">
        <v>1</v>
      </c>
      <c r="H5859">
        <v>0</v>
      </c>
      <c r="I5859">
        <f>1</f>
        <v>1</v>
      </c>
    </row>
    <row r="5860" spans="2:9" x14ac:dyDescent="0.25">
      <c r="B5860">
        <v>0</v>
      </c>
      <c r="C5860" s="16" t="s">
        <v>15026</v>
      </c>
      <c r="D5860" s="16"/>
      <c r="E5860">
        <v>6</v>
      </c>
      <c r="F5860" t="e">
        <f>--Tintos</f>
        <v>#NAME?</v>
      </c>
      <c r="G5860">
        <v>1</v>
      </c>
      <c r="H5860">
        <v>0</v>
      </c>
      <c r="I5860">
        <f>1</f>
        <v>1</v>
      </c>
    </row>
    <row r="5861" spans="2:9" x14ac:dyDescent="0.25">
      <c r="B5861">
        <v>0</v>
      </c>
      <c r="C5861" s="16" t="s">
        <v>15027</v>
      </c>
      <c r="D5861" s="16"/>
      <c r="E5861">
        <v>6</v>
      </c>
      <c r="F5861" t="e">
        <f>--De Fios De diversas Cores</f>
        <v>#NAME?</v>
      </c>
      <c r="G5861">
        <v>1</v>
      </c>
      <c r="H5861">
        <v>0</v>
      </c>
      <c r="I5861">
        <f>1</f>
        <v>1</v>
      </c>
    </row>
    <row r="5862" spans="2:9" x14ac:dyDescent="0.25">
      <c r="B5862">
        <v>0</v>
      </c>
      <c r="C5862" s="16" t="s">
        <v>15028</v>
      </c>
      <c r="D5862" s="16"/>
      <c r="E5862">
        <v>6</v>
      </c>
      <c r="F5862" t="e">
        <f>--Estampados</f>
        <v>#NAME?</v>
      </c>
      <c r="G5862">
        <v>1</v>
      </c>
      <c r="H5862">
        <v>0</v>
      </c>
      <c r="I5862">
        <f>1</f>
        <v>1</v>
      </c>
    </row>
    <row r="5863" spans="2:9" x14ac:dyDescent="0.25">
      <c r="B5863">
        <v>0</v>
      </c>
      <c r="C5863" s="16" t="s">
        <v>15029</v>
      </c>
      <c r="D5863" s="16"/>
      <c r="E5863">
        <v>6</v>
      </c>
      <c r="F5863" t="e">
        <f>--Crus ou Branqueados</f>
        <v>#NAME?</v>
      </c>
      <c r="G5863">
        <v>1</v>
      </c>
      <c r="H5863">
        <v>0</v>
      </c>
      <c r="I5863">
        <f>1</f>
        <v>1</v>
      </c>
    </row>
    <row r="5864" spans="2:9" x14ac:dyDescent="0.25">
      <c r="B5864">
        <v>0</v>
      </c>
      <c r="C5864" s="16" t="s">
        <v>15030</v>
      </c>
      <c r="D5864" s="16"/>
      <c r="E5864">
        <v>6</v>
      </c>
      <c r="F5864" t="e">
        <f>--Tintos</f>
        <v>#NAME?</v>
      </c>
      <c r="G5864">
        <v>1</v>
      </c>
      <c r="H5864">
        <v>0</v>
      </c>
      <c r="I5864">
        <f>1</f>
        <v>1</v>
      </c>
    </row>
    <row r="5865" spans="2:9" x14ac:dyDescent="0.25">
      <c r="B5865">
        <v>0</v>
      </c>
      <c r="C5865" s="16" t="s">
        <v>15031</v>
      </c>
      <c r="D5865" s="16"/>
      <c r="E5865">
        <v>6</v>
      </c>
      <c r="F5865" t="e">
        <f>--De Fios De diversas Cores</f>
        <v>#NAME?</v>
      </c>
      <c r="G5865">
        <v>1</v>
      </c>
      <c r="H5865">
        <v>0</v>
      </c>
      <c r="I5865">
        <f>1</f>
        <v>1</v>
      </c>
    </row>
    <row r="5866" spans="2:9" x14ac:dyDescent="0.25">
      <c r="B5866">
        <v>0</v>
      </c>
      <c r="C5866" s="16" t="s">
        <v>15032</v>
      </c>
      <c r="D5866" s="16"/>
      <c r="E5866">
        <v>6</v>
      </c>
      <c r="F5866" t="e">
        <f>--Estampados</f>
        <v>#NAME?</v>
      </c>
      <c r="G5866">
        <v>1</v>
      </c>
      <c r="H5866">
        <v>0</v>
      </c>
      <c r="I5866">
        <f>1</f>
        <v>1</v>
      </c>
    </row>
    <row r="5867" spans="2:9" x14ac:dyDescent="0.25">
      <c r="B5867">
        <v>0</v>
      </c>
      <c r="C5867" s="16" t="s">
        <v>15033</v>
      </c>
      <c r="D5867" s="16"/>
      <c r="E5867">
        <v>6</v>
      </c>
      <c r="F5867" t="s">
        <v>7460</v>
      </c>
      <c r="G5867">
        <v>1</v>
      </c>
      <c r="H5867">
        <v>0</v>
      </c>
      <c r="I5867">
        <f>1</f>
        <v>1</v>
      </c>
    </row>
    <row r="5868" spans="2:9" x14ac:dyDescent="0.25">
      <c r="B5868">
        <v>0</v>
      </c>
      <c r="C5868" s="16" t="s">
        <v>15034</v>
      </c>
      <c r="D5868" s="16"/>
      <c r="E5868">
        <v>6</v>
      </c>
      <c r="F5868" t="e">
        <f>--Crus ou Branqueados</f>
        <v>#NAME?</v>
      </c>
      <c r="G5868">
        <v>1</v>
      </c>
      <c r="H5868">
        <v>0</v>
      </c>
      <c r="I5868">
        <f>1</f>
        <v>1</v>
      </c>
    </row>
    <row r="5869" spans="2:9" x14ac:dyDescent="0.25">
      <c r="B5869">
        <v>0</v>
      </c>
      <c r="C5869" s="16" t="s">
        <v>15035</v>
      </c>
      <c r="D5869" s="16"/>
      <c r="E5869">
        <v>6</v>
      </c>
      <c r="F5869" t="e">
        <f>--Tintos</f>
        <v>#NAME?</v>
      </c>
      <c r="G5869">
        <v>1</v>
      </c>
      <c r="H5869">
        <v>0</v>
      </c>
      <c r="I5869">
        <f>1</f>
        <v>1</v>
      </c>
    </row>
    <row r="5870" spans="2:9" x14ac:dyDescent="0.25">
      <c r="B5870">
        <v>0</v>
      </c>
      <c r="C5870" s="16" t="s">
        <v>15036</v>
      </c>
      <c r="D5870" s="16"/>
      <c r="E5870">
        <v>6</v>
      </c>
      <c r="F5870" t="e">
        <f>--De Fios De diversas Cores</f>
        <v>#NAME?</v>
      </c>
      <c r="G5870">
        <v>1</v>
      </c>
      <c r="H5870">
        <v>0</v>
      </c>
      <c r="I5870">
        <f>1</f>
        <v>1</v>
      </c>
    </row>
    <row r="5871" spans="2:9" x14ac:dyDescent="0.25">
      <c r="B5871">
        <v>0</v>
      </c>
      <c r="C5871" s="16" t="s">
        <v>15037</v>
      </c>
      <c r="D5871" s="16"/>
      <c r="E5871">
        <v>6</v>
      </c>
      <c r="F5871" t="e">
        <f>--Estampados</f>
        <v>#NAME?</v>
      </c>
      <c r="G5871">
        <v>1</v>
      </c>
      <c r="H5871">
        <v>0</v>
      </c>
      <c r="I5871">
        <f>1</f>
        <v>1</v>
      </c>
    </row>
    <row r="5872" spans="2:9" x14ac:dyDescent="0.25">
      <c r="B5872">
        <v>0</v>
      </c>
      <c r="C5872" s="16" t="s">
        <v>15038</v>
      </c>
      <c r="D5872" s="16"/>
      <c r="E5872">
        <v>6</v>
      </c>
      <c r="F5872" t="e">
        <f>--Crus ou Branqueados</f>
        <v>#NAME?</v>
      </c>
      <c r="G5872">
        <v>1</v>
      </c>
      <c r="H5872">
        <v>0</v>
      </c>
      <c r="I5872">
        <f>1</f>
        <v>1</v>
      </c>
    </row>
    <row r="5873" spans="2:9" x14ac:dyDescent="0.25">
      <c r="B5873">
        <v>0</v>
      </c>
      <c r="C5873" s="16" t="s">
        <v>15039</v>
      </c>
      <c r="D5873" s="16"/>
      <c r="E5873">
        <v>6</v>
      </c>
      <c r="F5873" t="e">
        <f>--Tintos</f>
        <v>#NAME?</v>
      </c>
      <c r="G5873">
        <v>1</v>
      </c>
      <c r="H5873">
        <v>0</v>
      </c>
      <c r="I5873">
        <f>1</f>
        <v>1</v>
      </c>
    </row>
    <row r="5874" spans="2:9" x14ac:dyDescent="0.25">
      <c r="B5874">
        <v>0</v>
      </c>
      <c r="C5874" s="16" t="s">
        <v>15040</v>
      </c>
      <c r="D5874" s="16"/>
      <c r="E5874">
        <v>6</v>
      </c>
      <c r="F5874" t="e">
        <f>--De Fios De diversas Cores</f>
        <v>#NAME?</v>
      </c>
      <c r="G5874">
        <v>1</v>
      </c>
      <c r="H5874">
        <v>0</v>
      </c>
      <c r="I5874">
        <f>1</f>
        <v>1</v>
      </c>
    </row>
    <row r="5875" spans="2:9" x14ac:dyDescent="0.25">
      <c r="B5875">
        <v>0</v>
      </c>
      <c r="C5875" s="16" t="s">
        <v>15041</v>
      </c>
      <c r="D5875" s="16"/>
      <c r="E5875">
        <v>6</v>
      </c>
      <c r="F5875" t="e">
        <f>--Estampados</f>
        <v>#NAME?</v>
      </c>
      <c r="G5875">
        <v>1</v>
      </c>
      <c r="H5875">
        <v>0</v>
      </c>
      <c r="I5875">
        <f>1</f>
        <v>1</v>
      </c>
    </row>
    <row r="5876" spans="2:9" x14ac:dyDescent="0.25">
      <c r="B5876">
        <v>0</v>
      </c>
      <c r="C5876" s="16" t="s">
        <v>15042</v>
      </c>
      <c r="D5876" s="16"/>
      <c r="E5876">
        <v>6</v>
      </c>
      <c r="F5876" t="e">
        <f>-De náilon ou De Outras poliamidas</f>
        <v>#NAME?</v>
      </c>
      <c r="G5876">
        <v>1</v>
      </c>
      <c r="H5876">
        <v>0</v>
      </c>
      <c r="I5876">
        <f>1</f>
        <v>1</v>
      </c>
    </row>
    <row r="5877" spans="2:9" x14ac:dyDescent="0.25">
      <c r="B5877">
        <v>0</v>
      </c>
      <c r="C5877" s="16" t="s">
        <v>15043</v>
      </c>
      <c r="D5877" s="16"/>
      <c r="E5877">
        <v>6</v>
      </c>
      <c r="F5877" t="e">
        <f>-De poliésteres</f>
        <v>#NAME?</v>
      </c>
      <c r="G5877">
        <v>1</v>
      </c>
      <c r="H5877">
        <v>0</v>
      </c>
      <c r="I5877">
        <f>1</f>
        <v>1</v>
      </c>
    </row>
    <row r="5878" spans="2:9" x14ac:dyDescent="0.25">
      <c r="B5878">
        <v>0</v>
      </c>
      <c r="C5878" s="16" t="s">
        <v>15044</v>
      </c>
      <c r="D5878" s="16"/>
      <c r="E5878">
        <v>6</v>
      </c>
      <c r="F5878" t="e">
        <f>-Acrílicos ou modacrílicos</f>
        <v>#NAME?</v>
      </c>
      <c r="G5878">
        <v>1</v>
      </c>
      <c r="H5878">
        <v>0</v>
      </c>
      <c r="I5878">
        <f>1</f>
        <v>1</v>
      </c>
    </row>
    <row r="5879" spans="2:9" x14ac:dyDescent="0.25">
      <c r="B5879">
        <v>0</v>
      </c>
      <c r="C5879" s="16" t="s">
        <v>15045</v>
      </c>
      <c r="D5879" s="16"/>
      <c r="E5879">
        <v>6</v>
      </c>
      <c r="F5879" t="e">
        <f>-De polipropileno</f>
        <v>#NAME?</v>
      </c>
      <c r="G5879">
        <v>1</v>
      </c>
      <c r="H5879">
        <v>0</v>
      </c>
      <c r="I5879">
        <f>1</f>
        <v>1</v>
      </c>
    </row>
    <row r="5880" spans="2:9" x14ac:dyDescent="0.25">
      <c r="B5880">
        <v>0</v>
      </c>
      <c r="C5880" s="16" t="s">
        <v>15046</v>
      </c>
      <c r="D5880" s="16"/>
      <c r="E5880">
        <v>6</v>
      </c>
      <c r="F5880" t="e">
        <f>-outros</f>
        <v>#NAME?</v>
      </c>
      <c r="G5880">
        <v>1</v>
      </c>
      <c r="H5880">
        <v>0</v>
      </c>
      <c r="I5880">
        <f>1</f>
        <v>1</v>
      </c>
    </row>
    <row r="5881" spans="2:9" x14ac:dyDescent="0.25">
      <c r="B5881">
        <v>0</v>
      </c>
      <c r="C5881" s="16" t="s">
        <v>15047</v>
      </c>
      <c r="D5881" s="16"/>
      <c r="E5881">
        <v>6</v>
      </c>
      <c r="F5881" t="s">
        <v>7461</v>
      </c>
      <c r="G5881">
        <v>1</v>
      </c>
      <c r="H5881">
        <v>0</v>
      </c>
      <c r="I5881">
        <f>1</f>
        <v>1</v>
      </c>
    </row>
    <row r="5882" spans="2:9" x14ac:dyDescent="0.25">
      <c r="B5882">
        <v>0</v>
      </c>
      <c r="C5882" s="16" t="s">
        <v>15048</v>
      </c>
      <c r="D5882" s="16"/>
      <c r="E5882">
        <v>6</v>
      </c>
      <c r="F5882" t="s">
        <v>7462</v>
      </c>
      <c r="G5882">
        <v>1</v>
      </c>
      <c r="H5882">
        <v>0</v>
      </c>
      <c r="I5882">
        <f>1</f>
        <v>1</v>
      </c>
    </row>
    <row r="5883" spans="2:9" x14ac:dyDescent="0.25">
      <c r="B5883">
        <v>0</v>
      </c>
      <c r="C5883" s="16" t="s">
        <v>15049</v>
      </c>
      <c r="D5883" s="16"/>
      <c r="E5883">
        <v>6</v>
      </c>
      <c r="F5883" t="s">
        <v>4680</v>
      </c>
      <c r="G5883">
        <v>1</v>
      </c>
      <c r="H5883">
        <v>0</v>
      </c>
      <c r="I5883">
        <f>1</f>
        <v>1</v>
      </c>
    </row>
    <row r="5884" spans="2:9" x14ac:dyDescent="0.25">
      <c r="B5884">
        <v>0</v>
      </c>
      <c r="C5884" s="16" t="s">
        <v>15050</v>
      </c>
      <c r="D5884" s="16"/>
      <c r="E5884">
        <v>6</v>
      </c>
      <c r="F5884" t="e">
        <f>--De aramidas</f>
        <v>#NAME?</v>
      </c>
      <c r="G5884">
        <v>1</v>
      </c>
      <c r="H5884">
        <v>0</v>
      </c>
      <c r="I5884">
        <f>1</f>
        <v>1</v>
      </c>
    </row>
    <row r="5885" spans="2:9" x14ac:dyDescent="0.25">
      <c r="B5885">
        <v>0</v>
      </c>
      <c r="C5885" s="16" t="s">
        <v>15051</v>
      </c>
      <c r="D5885" s="16"/>
      <c r="E5885">
        <v>6</v>
      </c>
      <c r="F5885" t="s">
        <v>7463</v>
      </c>
      <c r="G5885">
        <v>1</v>
      </c>
      <c r="H5885">
        <v>0</v>
      </c>
      <c r="I5885">
        <f>1</f>
        <v>1</v>
      </c>
    </row>
    <row r="5886" spans="2:9" x14ac:dyDescent="0.25">
      <c r="B5886">
        <v>0</v>
      </c>
      <c r="C5886" s="16" t="s">
        <v>15052</v>
      </c>
      <c r="D5886" s="16"/>
      <c r="E5886">
        <v>6</v>
      </c>
      <c r="F5886" t="s">
        <v>4690</v>
      </c>
      <c r="G5886">
        <v>1</v>
      </c>
      <c r="H5886">
        <v>0</v>
      </c>
      <c r="I5886">
        <f>1</f>
        <v>1</v>
      </c>
    </row>
    <row r="5887" spans="2:9" x14ac:dyDescent="0.25">
      <c r="B5887">
        <v>0</v>
      </c>
      <c r="C5887" s="16" t="s">
        <v>15053</v>
      </c>
      <c r="D5887" s="16"/>
      <c r="E5887">
        <v>6</v>
      </c>
      <c r="F5887" t="s">
        <v>7463</v>
      </c>
      <c r="G5887">
        <v>1</v>
      </c>
      <c r="H5887">
        <v>0</v>
      </c>
      <c r="I5887">
        <f>1</f>
        <v>1</v>
      </c>
    </row>
    <row r="5888" spans="2:9" x14ac:dyDescent="0.25">
      <c r="B5888">
        <v>0</v>
      </c>
      <c r="C5888" s="16" t="s">
        <v>15054</v>
      </c>
      <c r="D5888" s="16"/>
      <c r="E5888">
        <v>6</v>
      </c>
      <c r="F5888" t="s">
        <v>4690</v>
      </c>
      <c r="G5888">
        <v>1</v>
      </c>
      <c r="H5888">
        <v>0</v>
      </c>
      <c r="I5888">
        <f>1</f>
        <v>1</v>
      </c>
    </row>
    <row r="5889" spans="2:9" x14ac:dyDescent="0.25">
      <c r="B5889">
        <v>0</v>
      </c>
      <c r="C5889" s="16" t="s">
        <v>15055</v>
      </c>
      <c r="D5889" s="16"/>
      <c r="E5889">
        <v>6</v>
      </c>
      <c r="F5889" t="e">
        <f>-Acrílicas ou modacrílicas</f>
        <v>#NAME?</v>
      </c>
      <c r="G5889">
        <v>1</v>
      </c>
      <c r="H5889">
        <v>0</v>
      </c>
      <c r="I5889">
        <f>1</f>
        <v>1</v>
      </c>
    </row>
    <row r="5890" spans="2:9" x14ac:dyDescent="0.25">
      <c r="B5890">
        <v>0</v>
      </c>
      <c r="C5890" s="16" t="s">
        <v>15056</v>
      </c>
      <c r="D5890" s="16"/>
      <c r="E5890">
        <v>6</v>
      </c>
      <c r="F5890" t="e">
        <f>-De polipropileno</f>
        <v>#NAME?</v>
      </c>
      <c r="G5890">
        <v>1</v>
      </c>
      <c r="H5890">
        <v>0</v>
      </c>
      <c r="I5890">
        <f>1</f>
        <v>1</v>
      </c>
    </row>
    <row r="5891" spans="2:9" x14ac:dyDescent="0.25">
      <c r="B5891">
        <v>0</v>
      </c>
      <c r="C5891" s="16" t="s">
        <v>15057</v>
      </c>
      <c r="D5891" s="16"/>
      <c r="E5891">
        <v>6</v>
      </c>
      <c r="F5891" t="s">
        <v>7463</v>
      </c>
      <c r="G5891">
        <v>1</v>
      </c>
      <c r="H5891">
        <v>0</v>
      </c>
      <c r="I5891">
        <f>1</f>
        <v>1</v>
      </c>
    </row>
    <row r="5892" spans="2:9" x14ac:dyDescent="0.25">
      <c r="B5892">
        <v>0</v>
      </c>
      <c r="C5892" s="16" t="s">
        <v>15058</v>
      </c>
      <c r="D5892" s="16"/>
      <c r="E5892">
        <v>6</v>
      </c>
      <c r="F5892" t="s">
        <v>7102</v>
      </c>
      <c r="G5892">
        <v>1</v>
      </c>
      <c r="H5892">
        <v>0</v>
      </c>
      <c r="I5892">
        <f>1</f>
        <v>1</v>
      </c>
    </row>
    <row r="5893" spans="2:9" x14ac:dyDescent="0.25">
      <c r="B5893">
        <v>0</v>
      </c>
      <c r="C5893" s="16" t="s">
        <v>15059</v>
      </c>
      <c r="D5893" s="16"/>
      <c r="E5893">
        <v>6</v>
      </c>
      <c r="F5893" t="s">
        <v>4690</v>
      </c>
      <c r="G5893">
        <v>1</v>
      </c>
      <c r="H5893">
        <v>0</v>
      </c>
      <c r="I5893">
        <f>1</f>
        <v>1</v>
      </c>
    </row>
    <row r="5894" spans="2:9" x14ac:dyDescent="0.25">
      <c r="B5894">
        <v>0</v>
      </c>
      <c r="C5894" s="16" t="s">
        <v>15060</v>
      </c>
      <c r="D5894" s="16"/>
      <c r="E5894">
        <v>6</v>
      </c>
      <c r="F5894" t="e">
        <f>-De raiom viscose</f>
        <v>#NAME?</v>
      </c>
      <c r="G5894">
        <v>1</v>
      </c>
      <c r="H5894">
        <v>0</v>
      </c>
      <c r="I5894">
        <f>1</f>
        <v>1</v>
      </c>
    </row>
    <row r="5895" spans="2:9" x14ac:dyDescent="0.25">
      <c r="B5895">
        <v>0</v>
      </c>
      <c r="C5895" s="16" t="s">
        <v>15061</v>
      </c>
      <c r="D5895" s="16"/>
      <c r="E5895">
        <v>6</v>
      </c>
      <c r="F5895" t="s">
        <v>7464</v>
      </c>
      <c r="G5895">
        <v>1</v>
      </c>
      <c r="H5895">
        <v>0</v>
      </c>
      <c r="I5895">
        <f>1</f>
        <v>1</v>
      </c>
    </row>
    <row r="5896" spans="2:9" x14ac:dyDescent="0.25">
      <c r="B5896">
        <v>0</v>
      </c>
      <c r="C5896" s="16" t="s">
        <v>15062</v>
      </c>
      <c r="D5896" s="16"/>
      <c r="E5896">
        <v>6</v>
      </c>
      <c r="F5896" t="s">
        <v>4690</v>
      </c>
      <c r="G5896">
        <v>1</v>
      </c>
      <c r="H5896">
        <v>0</v>
      </c>
      <c r="I5896">
        <f>1</f>
        <v>1</v>
      </c>
    </row>
    <row r="5897" spans="2:9" x14ac:dyDescent="0.25">
      <c r="B5897">
        <v>0</v>
      </c>
      <c r="C5897" s="16" t="s">
        <v>15063</v>
      </c>
      <c r="D5897" s="16"/>
      <c r="E5897">
        <v>6</v>
      </c>
      <c r="F5897" t="e">
        <f>-De fibras sintéticas</f>
        <v>#NAME?</v>
      </c>
      <c r="G5897">
        <v>1</v>
      </c>
      <c r="H5897">
        <v>0</v>
      </c>
      <c r="I5897">
        <f>1</f>
        <v>1</v>
      </c>
    </row>
    <row r="5898" spans="2:9" x14ac:dyDescent="0.25">
      <c r="B5898">
        <v>0</v>
      </c>
      <c r="C5898" s="16" t="s">
        <v>15064</v>
      </c>
      <c r="D5898" s="16"/>
      <c r="E5898">
        <v>6</v>
      </c>
      <c r="F5898" t="e">
        <f>-De fibras artificiais</f>
        <v>#NAME?</v>
      </c>
      <c r="G5898">
        <v>1</v>
      </c>
      <c r="H5898">
        <v>0</v>
      </c>
      <c r="I5898">
        <f>1</f>
        <v>1</v>
      </c>
    </row>
    <row r="5899" spans="2:9" x14ac:dyDescent="0.25">
      <c r="B5899">
        <v>0</v>
      </c>
      <c r="C5899" s="16" t="s">
        <v>15065</v>
      </c>
      <c r="D5899" s="16"/>
      <c r="E5899">
        <v>6</v>
      </c>
      <c r="F5899" t="e">
        <f>-De náilon ou De Outras poliamidas</f>
        <v>#NAME?</v>
      </c>
      <c r="G5899">
        <v>1</v>
      </c>
      <c r="H5899">
        <v>0</v>
      </c>
      <c r="I5899">
        <f>1</f>
        <v>1</v>
      </c>
    </row>
    <row r="5900" spans="2:9" x14ac:dyDescent="0.25">
      <c r="B5900">
        <v>0</v>
      </c>
      <c r="C5900" s="16" t="s">
        <v>15066</v>
      </c>
      <c r="D5900" s="16"/>
      <c r="E5900">
        <v>6</v>
      </c>
      <c r="F5900" t="e">
        <f>-De poliésteres</f>
        <v>#NAME?</v>
      </c>
      <c r="G5900">
        <v>1</v>
      </c>
      <c r="H5900">
        <v>0</v>
      </c>
      <c r="I5900">
        <f>1</f>
        <v>1</v>
      </c>
    </row>
    <row r="5901" spans="2:9" x14ac:dyDescent="0.25">
      <c r="B5901">
        <v>0</v>
      </c>
      <c r="C5901" s="16" t="s">
        <v>15067</v>
      </c>
      <c r="D5901" s="16"/>
      <c r="E5901">
        <v>6</v>
      </c>
      <c r="F5901" t="e">
        <f>-Acrílicas ou modacrílicas</f>
        <v>#NAME?</v>
      </c>
      <c r="G5901">
        <v>1</v>
      </c>
      <c r="H5901">
        <v>0</v>
      </c>
      <c r="I5901">
        <f>1</f>
        <v>1</v>
      </c>
    </row>
    <row r="5902" spans="2:9" x14ac:dyDescent="0.25">
      <c r="B5902">
        <v>0</v>
      </c>
      <c r="C5902" s="16" t="s">
        <v>15068</v>
      </c>
      <c r="D5902" s="16"/>
      <c r="E5902">
        <v>6</v>
      </c>
      <c r="F5902" t="e">
        <f>-Outras</f>
        <v>#NAME?</v>
      </c>
      <c r="G5902">
        <v>1</v>
      </c>
      <c r="H5902">
        <v>0</v>
      </c>
      <c r="I5902">
        <f>1</f>
        <v>1</v>
      </c>
    </row>
    <row r="5903" spans="2:9" x14ac:dyDescent="0.25">
      <c r="B5903">
        <v>0</v>
      </c>
      <c r="C5903" s="16" t="s">
        <v>15069</v>
      </c>
      <c r="D5903" s="16"/>
      <c r="E5903">
        <v>6</v>
      </c>
      <c r="F5903" t="s">
        <v>7465</v>
      </c>
      <c r="G5903">
        <v>1</v>
      </c>
      <c r="H5903">
        <v>0</v>
      </c>
      <c r="I5903">
        <f>1</f>
        <v>1</v>
      </c>
    </row>
    <row r="5904" spans="2:9" x14ac:dyDescent="0.25">
      <c r="B5904">
        <v>0</v>
      </c>
      <c r="C5904" s="16" t="s">
        <v>15070</v>
      </c>
      <c r="D5904" s="16"/>
      <c r="E5904">
        <v>6</v>
      </c>
      <c r="F5904" t="e">
        <f>-De fibras sintéticas descontínuas</f>
        <v>#NAME?</v>
      </c>
      <c r="G5904">
        <v>1</v>
      </c>
      <c r="H5904">
        <v>0</v>
      </c>
      <c r="I5904">
        <f>1</f>
        <v>1</v>
      </c>
    </row>
    <row r="5905" spans="2:9" x14ac:dyDescent="0.25">
      <c r="B5905">
        <v>0</v>
      </c>
      <c r="C5905" s="16" t="s">
        <v>15071</v>
      </c>
      <c r="D5905" s="16"/>
      <c r="E5905">
        <v>6</v>
      </c>
      <c r="F5905" t="e">
        <f>-De fibras artificiais descontínuas</f>
        <v>#NAME?</v>
      </c>
      <c r="G5905">
        <v>1</v>
      </c>
      <c r="H5905">
        <v>0</v>
      </c>
      <c r="I5905">
        <f>1</f>
        <v>1</v>
      </c>
    </row>
    <row r="5906" spans="2:9" x14ac:dyDescent="0.25">
      <c r="B5906">
        <v>0</v>
      </c>
      <c r="C5906" s="16" t="s">
        <v>15072</v>
      </c>
      <c r="D5906" s="16"/>
      <c r="E5906">
        <v>6</v>
      </c>
      <c r="F5906" t="e">
        <f>--simples</f>
        <v>#NAME?</v>
      </c>
      <c r="G5906">
        <v>1</v>
      </c>
      <c r="H5906">
        <v>0</v>
      </c>
      <c r="I5906">
        <f>1</f>
        <v>1</v>
      </c>
    </row>
    <row r="5907" spans="2:9" x14ac:dyDescent="0.25">
      <c r="B5907">
        <v>0</v>
      </c>
      <c r="C5907" s="16" t="s">
        <v>15073</v>
      </c>
      <c r="D5907" s="16"/>
      <c r="E5907">
        <v>6</v>
      </c>
      <c r="F5907" t="s">
        <v>7444</v>
      </c>
      <c r="G5907">
        <v>1</v>
      </c>
      <c r="H5907">
        <v>0</v>
      </c>
      <c r="I5907">
        <f>1</f>
        <v>1</v>
      </c>
    </row>
    <row r="5908" spans="2:9" x14ac:dyDescent="0.25">
      <c r="B5908">
        <v>0</v>
      </c>
      <c r="C5908" s="16" t="s">
        <v>15074</v>
      </c>
      <c r="D5908" s="16"/>
      <c r="E5908">
        <v>6</v>
      </c>
      <c r="F5908" t="s">
        <v>4680</v>
      </c>
      <c r="G5908">
        <v>1</v>
      </c>
      <c r="H5908">
        <v>0</v>
      </c>
      <c r="I5908">
        <f>1</f>
        <v>1</v>
      </c>
    </row>
    <row r="5909" spans="2:9" x14ac:dyDescent="0.25">
      <c r="B5909">
        <v>0</v>
      </c>
      <c r="C5909" s="16" t="s">
        <v>15075</v>
      </c>
      <c r="D5909" s="16"/>
      <c r="E5909">
        <v>6</v>
      </c>
      <c r="F5909" t="e">
        <f>--simples</f>
        <v>#NAME?</v>
      </c>
      <c r="G5909">
        <v>1</v>
      </c>
      <c r="H5909">
        <v>0</v>
      </c>
      <c r="I5909">
        <f>1</f>
        <v>1</v>
      </c>
    </row>
    <row r="5910" spans="2:9" x14ac:dyDescent="0.25">
      <c r="B5910">
        <v>0</v>
      </c>
      <c r="C5910" s="16" t="s">
        <v>15076</v>
      </c>
      <c r="D5910" s="16"/>
      <c r="E5910">
        <v>6</v>
      </c>
      <c r="F5910" t="e">
        <f>--Retorcidos ou Retorcidos múltiplos</f>
        <v>#NAME?</v>
      </c>
      <c r="G5910">
        <v>1</v>
      </c>
      <c r="H5910">
        <v>0</v>
      </c>
      <c r="I5910">
        <f>1</f>
        <v>1</v>
      </c>
    </row>
    <row r="5911" spans="2:9" x14ac:dyDescent="0.25">
      <c r="B5911">
        <v>0</v>
      </c>
      <c r="C5911" s="16" t="s">
        <v>15077</v>
      </c>
      <c r="D5911" s="16"/>
      <c r="E5911">
        <v>6</v>
      </c>
      <c r="F5911" t="e">
        <f>--simples</f>
        <v>#NAME?</v>
      </c>
      <c r="G5911">
        <v>1</v>
      </c>
      <c r="H5911">
        <v>0</v>
      </c>
      <c r="I5911">
        <f>1</f>
        <v>1</v>
      </c>
    </row>
    <row r="5912" spans="2:9" x14ac:dyDescent="0.25">
      <c r="B5912">
        <v>0</v>
      </c>
      <c r="C5912" s="16" t="s">
        <v>15078</v>
      </c>
      <c r="D5912" s="16"/>
      <c r="E5912">
        <v>6</v>
      </c>
      <c r="F5912" t="e">
        <f>--Retorcidos ou Retorcidos múltiplos</f>
        <v>#NAME?</v>
      </c>
      <c r="G5912">
        <v>1</v>
      </c>
      <c r="H5912">
        <v>0</v>
      </c>
      <c r="I5912">
        <f>1</f>
        <v>1</v>
      </c>
    </row>
    <row r="5913" spans="2:9" x14ac:dyDescent="0.25">
      <c r="B5913">
        <v>0</v>
      </c>
      <c r="C5913" s="16" t="s">
        <v>15079</v>
      </c>
      <c r="D5913" s="16"/>
      <c r="E5913">
        <v>6</v>
      </c>
      <c r="F5913" t="e">
        <f>--simples</f>
        <v>#NAME?</v>
      </c>
      <c r="G5913">
        <v>1</v>
      </c>
      <c r="H5913">
        <v>0</v>
      </c>
      <c r="I5913">
        <f>1</f>
        <v>1</v>
      </c>
    </row>
    <row r="5914" spans="2:9" x14ac:dyDescent="0.25">
      <c r="B5914">
        <v>0</v>
      </c>
      <c r="C5914" s="16" t="s">
        <v>15080</v>
      </c>
      <c r="D5914" s="16"/>
      <c r="E5914">
        <v>6</v>
      </c>
      <c r="F5914" t="e">
        <f>--Retorcidos ou Retorcidos múltiplos</f>
        <v>#NAME?</v>
      </c>
      <c r="G5914">
        <v>1</v>
      </c>
      <c r="H5914">
        <v>0</v>
      </c>
      <c r="I5914">
        <f>1</f>
        <v>1</v>
      </c>
    </row>
    <row r="5915" spans="2:9" x14ac:dyDescent="0.25">
      <c r="B5915">
        <v>0</v>
      </c>
      <c r="C5915" s="16" t="s">
        <v>15081</v>
      </c>
      <c r="D5915" s="16"/>
      <c r="E5915">
        <v>6</v>
      </c>
      <c r="F5915" t="s">
        <v>7466</v>
      </c>
      <c r="G5915">
        <v>1</v>
      </c>
      <c r="H5915">
        <v>0</v>
      </c>
      <c r="I5915">
        <f>1</f>
        <v>1</v>
      </c>
    </row>
    <row r="5916" spans="2:9" x14ac:dyDescent="0.25">
      <c r="B5916">
        <v>0</v>
      </c>
      <c r="C5916" s="16" t="s">
        <v>15082</v>
      </c>
      <c r="D5916" s="16"/>
      <c r="E5916">
        <v>6</v>
      </c>
      <c r="F5916" t="s">
        <v>7467</v>
      </c>
      <c r="G5916">
        <v>1</v>
      </c>
      <c r="H5916">
        <v>0</v>
      </c>
      <c r="I5916">
        <f>1</f>
        <v>1</v>
      </c>
    </row>
    <row r="5917" spans="2:9" x14ac:dyDescent="0.25">
      <c r="B5917">
        <v>0</v>
      </c>
      <c r="C5917" s="16" t="s">
        <v>15083</v>
      </c>
      <c r="D5917" s="16"/>
      <c r="E5917">
        <v>6</v>
      </c>
      <c r="F5917" t="s">
        <v>7468</v>
      </c>
      <c r="G5917">
        <v>1</v>
      </c>
      <c r="H5917">
        <v>0</v>
      </c>
      <c r="I5917">
        <f>1</f>
        <v>1</v>
      </c>
    </row>
    <row r="5918" spans="2:9" x14ac:dyDescent="0.25">
      <c r="B5918">
        <v>0</v>
      </c>
      <c r="C5918" s="16" t="s">
        <v>15084</v>
      </c>
      <c r="D5918" s="16"/>
      <c r="E5918">
        <v>6</v>
      </c>
      <c r="F5918" t="e">
        <f>--outros</f>
        <v>#NAME?</v>
      </c>
      <c r="G5918">
        <v>1</v>
      </c>
      <c r="H5918">
        <v>0</v>
      </c>
      <c r="I5918">
        <f>1</f>
        <v>1</v>
      </c>
    </row>
    <row r="5919" spans="2:9" x14ac:dyDescent="0.25">
      <c r="B5919">
        <v>0</v>
      </c>
      <c r="C5919" s="16" t="s">
        <v>15085</v>
      </c>
      <c r="D5919" s="16"/>
      <c r="E5919">
        <v>6</v>
      </c>
      <c r="F5919" t="s">
        <v>7467</v>
      </c>
      <c r="G5919">
        <v>1</v>
      </c>
      <c r="H5919">
        <v>0</v>
      </c>
      <c r="I5919">
        <f>1</f>
        <v>1</v>
      </c>
    </row>
    <row r="5920" spans="2:9" x14ac:dyDescent="0.25">
      <c r="B5920">
        <v>0</v>
      </c>
      <c r="C5920" s="16" t="s">
        <v>15086</v>
      </c>
      <c r="D5920" s="16"/>
      <c r="E5920">
        <v>6</v>
      </c>
      <c r="F5920" t="s">
        <v>7468</v>
      </c>
      <c r="G5920">
        <v>1</v>
      </c>
      <c r="H5920">
        <v>0</v>
      </c>
      <c r="I5920">
        <f>1</f>
        <v>1</v>
      </c>
    </row>
    <row r="5921" spans="2:9" x14ac:dyDescent="0.25">
      <c r="B5921">
        <v>0</v>
      </c>
      <c r="C5921" s="16" t="s">
        <v>15087</v>
      </c>
      <c r="D5921" s="16"/>
      <c r="E5921">
        <v>6</v>
      </c>
      <c r="F5921" t="e">
        <f>--outros</f>
        <v>#NAME?</v>
      </c>
      <c r="G5921">
        <v>1</v>
      </c>
      <c r="H5921">
        <v>0</v>
      </c>
      <c r="I5921">
        <f>1</f>
        <v>1</v>
      </c>
    </row>
    <row r="5922" spans="2:9" x14ac:dyDescent="0.25">
      <c r="B5922">
        <v>0</v>
      </c>
      <c r="C5922" s="16" t="s">
        <v>15088</v>
      </c>
      <c r="D5922" s="16"/>
      <c r="E5922">
        <v>6</v>
      </c>
      <c r="F5922" t="s">
        <v>7469</v>
      </c>
      <c r="G5922">
        <v>1</v>
      </c>
      <c r="H5922">
        <v>0</v>
      </c>
      <c r="I5922">
        <f>1</f>
        <v>1</v>
      </c>
    </row>
    <row r="5923" spans="2:9" x14ac:dyDescent="0.25">
      <c r="B5923">
        <v>0</v>
      </c>
      <c r="C5923" s="16" t="s">
        <v>15089</v>
      </c>
      <c r="D5923" s="16"/>
      <c r="E5923">
        <v>6</v>
      </c>
      <c r="F5923" t="s">
        <v>7470</v>
      </c>
      <c r="G5923">
        <v>1</v>
      </c>
      <c r="H5923">
        <v>0</v>
      </c>
      <c r="I5923">
        <f>1</f>
        <v>1</v>
      </c>
    </row>
    <row r="5924" spans="2:9" x14ac:dyDescent="0.25">
      <c r="B5924">
        <v>0</v>
      </c>
      <c r="C5924" s="16" t="s">
        <v>15090</v>
      </c>
      <c r="D5924" s="16"/>
      <c r="E5924">
        <v>6</v>
      </c>
      <c r="F5924" t="e">
        <f>--outros</f>
        <v>#NAME?</v>
      </c>
      <c r="G5924">
        <v>1</v>
      </c>
      <c r="H5924">
        <v>0</v>
      </c>
      <c r="I5924">
        <f>1</f>
        <v>1</v>
      </c>
    </row>
    <row r="5925" spans="2:9" x14ac:dyDescent="0.25">
      <c r="B5925">
        <v>0</v>
      </c>
      <c r="C5925" s="16" t="s">
        <v>15091</v>
      </c>
      <c r="D5925" s="16"/>
      <c r="E5925">
        <v>6</v>
      </c>
      <c r="F5925" t="e">
        <f>--simples</f>
        <v>#NAME?</v>
      </c>
      <c r="G5925">
        <v>1</v>
      </c>
      <c r="H5925">
        <v>0</v>
      </c>
      <c r="I5925">
        <f>1</f>
        <v>1</v>
      </c>
    </row>
    <row r="5926" spans="2:9" x14ac:dyDescent="0.25">
      <c r="B5926">
        <v>0</v>
      </c>
      <c r="C5926" s="16" t="s">
        <v>15092</v>
      </c>
      <c r="D5926" s="16"/>
      <c r="E5926">
        <v>6</v>
      </c>
      <c r="F5926" t="e">
        <f>--Retorcidos ou Retorcidos múltiplos</f>
        <v>#NAME?</v>
      </c>
      <c r="G5926">
        <v>1</v>
      </c>
      <c r="H5926">
        <v>0</v>
      </c>
      <c r="I5926">
        <f>1</f>
        <v>1</v>
      </c>
    </row>
    <row r="5927" spans="2:9" x14ac:dyDescent="0.25">
      <c r="B5927">
        <v>0</v>
      </c>
      <c r="C5927" s="16" t="s">
        <v>15093</v>
      </c>
      <c r="D5927" s="16"/>
      <c r="E5927">
        <v>6</v>
      </c>
      <c r="F5927" t="s">
        <v>7471</v>
      </c>
      <c r="G5927">
        <v>1</v>
      </c>
      <c r="H5927">
        <v>0</v>
      </c>
      <c r="I5927">
        <f>1</f>
        <v>1</v>
      </c>
    </row>
    <row r="5928" spans="2:9" x14ac:dyDescent="0.25">
      <c r="B5928">
        <v>0</v>
      </c>
      <c r="C5928" s="16" t="s">
        <v>15094</v>
      </c>
      <c r="D5928" s="16"/>
      <c r="E5928">
        <v>6</v>
      </c>
      <c r="F5928" t="s">
        <v>7472</v>
      </c>
      <c r="G5928">
        <v>1</v>
      </c>
      <c r="H5928">
        <v>0</v>
      </c>
      <c r="I5928">
        <f>1</f>
        <v>1</v>
      </c>
    </row>
    <row r="5929" spans="2:9" x14ac:dyDescent="0.25">
      <c r="B5929">
        <v>0</v>
      </c>
      <c r="C5929" s="16" t="s">
        <v>15095</v>
      </c>
      <c r="D5929" s="16"/>
      <c r="E5929">
        <v>6</v>
      </c>
      <c r="F5929" t="e">
        <f>-outros Fios</f>
        <v>#NAME?</v>
      </c>
      <c r="G5929">
        <v>1</v>
      </c>
      <c r="H5929">
        <v>0</v>
      </c>
      <c r="I5929">
        <f>1</f>
        <v>1</v>
      </c>
    </row>
    <row r="5930" spans="2:9" x14ac:dyDescent="0.25">
      <c r="B5930">
        <v>0</v>
      </c>
      <c r="C5930" s="16" t="s">
        <v>15096</v>
      </c>
      <c r="D5930" s="16"/>
      <c r="E5930">
        <v>6</v>
      </c>
      <c r="F5930" t="s">
        <v>7473</v>
      </c>
      <c r="G5930">
        <v>1</v>
      </c>
      <c r="H5930">
        <v>0</v>
      </c>
      <c r="I5930">
        <f>1</f>
        <v>1</v>
      </c>
    </row>
    <row r="5931" spans="2:9" x14ac:dyDescent="0.25">
      <c r="B5931">
        <v>0</v>
      </c>
      <c r="C5931" s="16" t="s">
        <v>15097</v>
      </c>
      <c r="D5931" s="16"/>
      <c r="E5931">
        <v>6</v>
      </c>
      <c r="F5931" t="s">
        <v>7474</v>
      </c>
      <c r="G5931">
        <v>1</v>
      </c>
      <c r="H5931">
        <v>0</v>
      </c>
      <c r="I5931">
        <f>1</f>
        <v>1</v>
      </c>
    </row>
    <row r="5932" spans="2:9" x14ac:dyDescent="0.25">
      <c r="B5932">
        <v>0</v>
      </c>
      <c r="C5932" s="16" t="s">
        <v>15098</v>
      </c>
      <c r="D5932" s="16"/>
      <c r="E5932">
        <v>6</v>
      </c>
      <c r="F5932" t="e">
        <f>-De fibras artificiais descontínuas</f>
        <v>#NAME?</v>
      </c>
      <c r="G5932">
        <v>1</v>
      </c>
      <c r="H5932">
        <v>0</v>
      </c>
      <c r="I5932">
        <f>1</f>
        <v>1</v>
      </c>
    </row>
    <row r="5933" spans="2:9" x14ac:dyDescent="0.25">
      <c r="B5933">
        <v>0</v>
      </c>
      <c r="C5933" s="16" t="s">
        <v>15099</v>
      </c>
      <c r="D5933" s="16"/>
      <c r="E5933">
        <v>6</v>
      </c>
      <c r="F5933" t="e">
        <f>--Crus ou Branqueados</f>
        <v>#NAME?</v>
      </c>
      <c r="G5933">
        <v>1</v>
      </c>
      <c r="H5933">
        <v>0</v>
      </c>
      <c r="I5933">
        <f>1</f>
        <v>1</v>
      </c>
    </row>
    <row r="5934" spans="2:9" x14ac:dyDescent="0.25">
      <c r="B5934">
        <v>0</v>
      </c>
      <c r="C5934" s="16" t="s">
        <v>15100</v>
      </c>
      <c r="D5934" s="16"/>
      <c r="E5934">
        <v>6</v>
      </c>
      <c r="F5934" t="e">
        <f>--outros</f>
        <v>#NAME?</v>
      </c>
      <c r="G5934">
        <v>1</v>
      </c>
      <c r="H5934">
        <v>0</v>
      </c>
      <c r="I5934">
        <f>1</f>
        <v>1</v>
      </c>
    </row>
    <row r="5935" spans="2:9" x14ac:dyDescent="0.25">
      <c r="B5935">
        <v>0</v>
      </c>
      <c r="C5935" s="16" t="s">
        <v>15101</v>
      </c>
      <c r="D5935" s="16"/>
      <c r="E5935">
        <v>6</v>
      </c>
      <c r="F5935" t="e">
        <f>--Crus ou Branqueados</f>
        <v>#NAME?</v>
      </c>
      <c r="G5935">
        <v>1</v>
      </c>
      <c r="H5935">
        <v>0</v>
      </c>
      <c r="I5935">
        <f>1</f>
        <v>1</v>
      </c>
    </row>
    <row r="5936" spans="2:9" x14ac:dyDescent="0.25">
      <c r="B5936">
        <v>0</v>
      </c>
      <c r="C5936" s="16" t="s">
        <v>15102</v>
      </c>
      <c r="D5936" s="16"/>
      <c r="E5936">
        <v>6</v>
      </c>
      <c r="F5936" t="e">
        <f>--outros</f>
        <v>#NAME?</v>
      </c>
      <c r="G5936">
        <v>1</v>
      </c>
      <c r="H5936">
        <v>0</v>
      </c>
      <c r="I5936">
        <f>1</f>
        <v>1</v>
      </c>
    </row>
    <row r="5937" spans="2:9" x14ac:dyDescent="0.25">
      <c r="B5937">
        <v>0</v>
      </c>
      <c r="C5937" s="16" t="s">
        <v>15103</v>
      </c>
      <c r="D5937" s="16"/>
      <c r="E5937">
        <v>6</v>
      </c>
      <c r="F5937" t="s">
        <v>7444</v>
      </c>
      <c r="G5937">
        <v>1</v>
      </c>
      <c r="H5937">
        <v>0</v>
      </c>
      <c r="I5937">
        <f>1</f>
        <v>1</v>
      </c>
    </row>
    <row r="5938" spans="2:9" x14ac:dyDescent="0.25">
      <c r="B5938">
        <v>0</v>
      </c>
      <c r="C5938" s="16" t="s">
        <v>15104</v>
      </c>
      <c r="D5938" s="16"/>
      <c r="E5938">
        <v>6</v>
      </c>
      <c r="F5938" t="s">
        <v>4680</v>
      </c>
      <c r="G5938">
        <v>1</v>
      </c>
      <c r="H5938">
        <v>0</v>
      </c>
      <c r="I5938">
        <f>1</f>
        <v>1</v>
      </c>
    </row>
    <row r="5939" spans="2:9" x14ac:dyDescent="0.25">
      <c r="B5939">
        <v>0</v>
      </c>
      <c r="C5939" s="16" t="s">
        <v>15105</v>
      </c>
      <c r="D5939" s="16"/>
      <c r="E5939">
        <v>6</v>
      </c>
      <c r="F5939" t="s">
        <v>7444</v>
      </c>
      <c r="G5939">
        <v>1</v>
      </c>
      <c r="H5939">
        <v>0</v>
      </c>
      <c r="I5939">
        <f>1</f>
        <v>1</v>
      </c>
    </row>
    <row r="5940" spans="2:9" x14ac:dyDescent="0.25">
      <c r="B5940">
        <v>0</v>
      </c>
      <c r="C5940" s="16" t="s">
        <v>15106</v>
      </c>
      <c r="D5940" s="16"/>
      <c r="E5940">
        <v>6</v>
      </c>
      <c r="F5940" t="s">
        <v>4680</v>
      </c>
      <c r="G5940">
        <v>1</v>
      </c>
      <c r="H5940">
        <v>0</v>
      </c>
      <c r="I5940">
        <f>1</f>
        <v>1</v>
      </c>
    </row>
    <row r="5941" spans="2:9" x14ac:dyDescent="0.25">
      <c r="B5941">
        <v>0</v>
      </c>
      <c r="C5941" s="16" t="s">
        <v>15107</v>
      </c>
      <c r="D5941" s="16"/>
      <c r="E5941">
        <v>6</v>
      </c>
      <c r="F5941" t="s">
        <v>7475</v>
      </c>
      <c r="G5941">
        <v>1</v>
      </c>
      <c r="H5941">
        <v>0</v>
      </c>
      <c r="I5941">
        <f>1</f>
        <v>1</v>
      </c>
    </row>
    <row r="5942" spans="2:9" x14ac:dyDescent="0.25">
      <c r="B5942">
        <v>0</v>
      </c>
      <c r="C5942" s="16" t="s">
        <v>15108</v>
      </c>
      <c r="D5942" s="16"/>
      <c r="E5942">
        <v>6</v>
      </c>
      <c r="F5942" t="s">
        <v>7476</v>
      </c>
      <c r="G5942">
        <v>1</v>
      </c>
      <c r="H5942">
        <v>0</v>
      </c>
      <c r="I5942">
        <f>1</f>
        <v>1</v>
      </c>
    </row>
    <row r="5943" spans="2:9" x14ac:dyDescent="0.25">
      <c r="B5943">
        <v>0</v>
      </c>
      <c r="C5943" s="16" t="s">
        <v>15109</v>
      </c>
      <c r="D5943" s="16"/>
      <c r="E5943">
        <v>6</v>
      </c>
      <c r="F5943" t="e">
        <f>--outros tecidos De fibras descontínuas De poliéster</f>
        <v>#NAME?</v>
      </c>
      <c r="G5943">
        <v>1</v>
      </c>
      <c r="H5943">
        <v>0</v>
      </c>
      <c r="I5943">
        <f>1</f>
        <v>1</v>
      </c>
    </row>
    <row r="5944" spans="2:9" x14ac:dyDescent="0.25">
      <c r="B5944">
        <v>0</v>
      </c>
      <c r="C5944" s="16" t="s">
        <v>15110</v>
      </c>
      <c r="D5944" s="16"/>
      <c r="E5944">
        <v>6</v>
      </c>
      <c r="F5944" t="e">
        <f>--outros tecidos</f>
        <v>#NAME?</v>
      </c>
      <c r="G5944">
        <v>1</v>
      </c>
      <c r="H5944">
        <v>0</v>
      </c>
      <c r="I5944">
        <f>1</f>
        <v>1</v>
      </c>
    </row>
    <row r="5945" spans="2:9" x14ac:dyDescent="0.25">
      <c r="B5945">
        <v>0</v>
      </c>
      <c r="C5945" s="16" t="s">
        <v>15111</v>
      </c>
      <c r="D5945" s="16"/>
      <c r="E5945">
        <v>6</v>
      </c>
      <c r="F5945" t="s">
        <v>7475</v>
      </c>
      <c r="G5945">
        <v>1</v>
      </c>
      <c r="H5945">
        <v>0</v>
      </c>
      <c r="I5945">
        <f>1</f>
        <v>1</v>
      </c>
    </row>
    <row r="5946" spans="2:9" x14ac:dyDescent="0.25">
      <c r="B5946">
        <v>0</v>
      </c>
      <c r="C5946" s="16" t="s">
        <v>15112</v>
      </c>
      <c r="D5946" s="16"/>
      <c r="E5946">
        <v>6</v>
      </c>
      <c r="F5946" t="s">
        <v>7419</v>
      </c>
      <c r="G5946">
        <v>1</v>
      </c>
      <c r="H5946">
        <v>0</v>
      </c>
      <c r="I5946">
        <f>1</f>
        <v>1</v>
      </c>
    </row>
    <row r="5947" spans="2:9" x14ac:dyDescent="0.25">
      <c r="B5947">
        <v>0</v>
      </c>
      <c r="C5947" s="16" t="s">
        <v>15113</v>
      </c>
      <c r="D5947" s="16"/>
      <c r="E5947">
        <v>6</v>
      </c>
      <c r="F5947" t="s">
        <v>4680</v>
      </c>
      <c r="G5947">
        <v>1</v>
      </c>
      <c r="H5947">
        <v>0</v>
      </c>
      <c r="I5947">
        <f>1</f>
        <v>1</v>
      </c>
    </row>
    <row r="5948" spans="2:9" x14ac:dyDescent="0.25">
      <c r="B5948">
        <v>0</v>
      </c>
      <c r="C5948" s="16" t="s">
        <v>15114</v>
      </c>
      <c r="D5948" s="16"/>
      <c r="E5948">
        <v>6</v>
      </c>
      <c r="F5948" t="e">
        <f>--outros tecidos</f>
        <v>#NAME?</v>
      </c>
      <c r="G5948">
        <v>1</v>
      </c>
      <c r="H5948">
        <v>0</v>
      </c>
      <c r="I5948">
        <f>1</f>
        <v>1</v>
      </c>
    </row>
    <row r="5949" spans="2:9" x14ac:dyDescent="0.25">
      <c r="B5949">
        <v>0</v>
      </c>
      <c r="C5949" s="16" t="s">
        <v>15115</v>
      </c>
      <c r="D5949" s="16"/>
      <c r="E5949">
        <v>6</v>
      </c>
      <c r="F5949" t="s">
        <v>7475</v>
      </c>
      <c r="G5949">
        <v>1</v>
      </c>
      <c r="H5949">
        <v>0</v>
      </c>
      <c r="I5949">
        <f>1</f>
        <v>1</v>
      </c>
    </row>
    <row r="5950" spans="2:9" x14ac:dyDescent="0.25">
      <c r="B5950">
        <v>0</v>
      </c>
      <c r="C5950" s="16" t="s">
        <v>15116</v>
      </c>
      <c r="D5950" s="16"/>
      <c r="E5950">
        <v>6</v>
      </c>
      <c r="F5950" t="s">
        <v>7419</v>
      </c>
      <c r="G5950">
        <v>1</v>
      </c>
      <c r="H5950">
        <v>0</v>
      </c>
      <c r="I5950">
        <f>1</f>
        <v>1</v>
      </c>
    </row>
    <row r="5951" spans="2:9" x14ac:dyDescent="0.25">
      <c r="B5951">
        <v>0</v>
      </c>
      <c r="C5951" s="16" t="s">
        <v>15117</v>
      </c>
      <c r="D5951" s="16"/>
      <c r="E5951">
        <v>6</v>
      </c>
      <c r="F5951" t="s">
        <v>4680</v>
      </c>
      <c r="G5951">
        <v>1</v>
      </c>
      <c r="H5951">
        <v>0</v>
      </c>
      <c r="I5951">
        <f>1</f>
        <v>1</v>
      </c>
    </row>
    <row r="5952" spans="2:9" x14ac:dyDescent="0.25">
      <c r="B5952">
        <v>0</v>
      </c>
      <c r="C5952" s="16" t="s">
        <v>15118</v>
      </c>
      <c r="D5952" s="16"/>
      <c r="E5952">
        <v>6</v>
      </c>
      <c r="F5952" t="s">
        <v>4680</v>
      </c>
      <c r="G5952">
        <v>1</v>
      </c>
      <c r="H5952">
        <v>0</v>
      </c>
      <c r="I5952">
        <f>1</f>
        <v>1</v>
      </c>
    </row>
    <row r="5953" spans="2:9" x14ac:dyDescent="0.25">
      <c r="B5953">
        <v>0</v>
      </c>
      <c r="C5953" s="16" t="s">
        <v>15119</v>
      </c>
      <c r="D5953" s="16"/>
      <c r="E5953">
        <v>6</v>
      </c>
      <c r="F5953" t="s">
        <v>7475</v>
      </c>
      <c r="G5953">
        <v>1</v>
      </c>
      <c r="H5953">
        <v>0</v>
      </c>
      <c r="I5953">
        <f>1</f>
        <v>1</v>
      </c>
    </row>
    <row r="5954" spans="2:9" x14ac:dyDescent="0.25">
      <c r="B5954">
        <v>0</v>
      </c>
      <c r="C5954" s="16" t="s">
        <v>15120</v>
      </c>
      <c r="D5954" s="16"/>
      <c r="E5954">
        <v>6</v>
      </c>
      <c r="F5954" t="s">
        <v>7419</v>
      </c>
      <c r="G5954">
        <v>1</v>
      </c>
      <c r="H5954">
        <v>0</v>
      </c>
      <c r="I5954">
        <f>1</f>
        <v>1</v>
      </c>
    </row>
    <row r="5955" spans="2:9" x14ac:dyDescent="0.25">
      <c r="B5955">
        <v>0</v>
      </c>
      <c r="C5955" s="16" t="s">
        <v>15121</v>
      </c>
      <c r="D5955" s="16"/>
      <c r="E5955">
        <v>6</v>
      </c>
      <c r="F5955" t="s">
        <v>4680</v>
      </c>
      <c r="G5955">
        <v>1</v>
      </c>
      <c r="H5955">
        <v>0</v>
      </c>
      <c r="I5955">
        <f>1</f>
        <v>1</v>
      </c>
    </row>
    <row r="5956" spans="2:9" x14ac:dyDescent="0.25">
      <c r="B5956">
        <v>0</v>
      </c>
      <c r="C5956" s="16" t="s">
        <v>15122</v>
      </c>
      <c r="D5956" s="16"/>
      <c r="E5956">
        <v>6</v>
      </c>
      <c r="F5956" t="s">
        <v>4680</v>
      </c>
      <c r="G5956">
        <v>1</v>
      </c>
      <c r="H5956">
        <v>0</v>
      </c>
      <c r="I5956">
        <f>1</f>
        <v>1</v>
      </c>
    </row>
    <row r="5957" spans="2:9" x14ac:dyDescent="0.25">
      <c r="B5957">
        <v>0</v>
      </c>
      <c r="C5957" s="16" t="s">
        <v>15123</v>
      </c>
      <c r="D5957" s="16"/>
      <c r="E5957">
        <v>6</v>
      </c>
      <c r="F5957" t="s">
        <v>7475</v>
      </c>
      <c r="G5957">
        <v>1</v>
      </c>
      <c r="H5957">
        <v>0</v>
      </c>
      <c r="I5957">
        <f>1</f>
        <v>1</v>
      </c>
    </row>
    <row r="5958" spans="2:9" x14ac:dyDescent="0.25">
      <c r="B5958">
        <v>0</v>
      </c>
      <c r="C5958" s="16" t="s">
        <v>15124</v>
      </c>
      <c r="D5958" s="16"/>
      <c r="E5958">
        <v>6</v>
      </c>
      <c r="F5958" t="s">
        <v>7476</v>
      </c>
      <c r="G5958">
        <v>1</v>
      </c>
      <c r="H5958">
        <v>0</v>
      </c>
      <c r="I5958">
        <f>1</f>
        <v>1</v>
      </c>
    </row>
    <row r="5959" spans="2:9" x14ac:dyDescent="0.25">
      <c r="B5959">
        <v>0</v>
      </c>
      <c r="C5959" s="16" t="s">
        <v>15125</v>
      </c>
      <c r="D5959" s="16"/>
      <c r="E5959">
        <v>6</v>
      </c>
      <c r="F5959" t="s">
        <v>7477</v>
      </c>
      <c r="G5959">
        <v>1</v>
      </c>
      <c r="H5959">
        <v>0</v>
      </c>
      <c r="I5959">
        <f>1</f>
        <v>1</v>
      </c>
    </row>
    <row r="5960" spans="2:9" x14ac:dyDescent="0.25">
      <c r="B5960">
        <v>0</v>
      </c>
      <c r="C5960" s="16" t="s">
        <v>15126</v>
      </c>
      <c r="D5960" s="16"/>
      <c r="E5960">
        <v>6</v>
      </c>
      <c r="F5960" t="s">
        <v>4680</v>
      </c>
      <c r="G5960">
        <v>1</v>
      </c>
      <c r="H5960">
        <v>0</v>
      </c>
      <c r="I5960">
        <f>1</f>
        <v>1</v>
      </c>
    </row>
    <row r="5961" spans="2:9" x14ac:dyDescent="0.25">
      <c r="B5961">
        <v>0</v>
      </c>
      <c r="C5961" s="16" t="s">
        <v>15127</v>
      </c>
      <c r="D5961" s="16"/>
      <c r="E5961">
        <v>6</v>
      </c>
      <c r="F5961" t="s">
        <v>7475</v>
      </c>
      <c r="G5961">
        <v>1</v>
      </c>
      <c r="H5961">
        <v>0</v>
      </c>
      <c r="I5961">
        <f>1</f>
        <v>1</v>
      </c>
    </row>
    <row r="5962" spans="2:9" x14ac:dyDescent="0.25">
      <c r="B5962">
        <v>0</v>
      </c>
      <c r="C5962" s="16" t="s">
        <v>15128</v>
      </c>
      <c r="D5962" s="16"/>
      <c r="E5962">
        <v>6</v>
      </c>
      <c r="F5962" t="s">
        <v>7476</v>
      </c>
      <c r="G5962">
        <v>1</v>
      </c>
      <c r="H5962">
        <v>0</v>
      </c>
      <c r="I5962">
        <f>1</f>
        <v>1</v>
      </c>
    </row>
    <row r="5963" spans="2:9" x14ac:dyDescent="0.25">
      <c r="B5963">
        <v>0</v>
      </c>
      <c r="C5963" s="16" t="s">
        <v>15129</v>
      </c>
      <c r="D5963" s="16"/>
      <c r="E5963">
        <v>6</v>
      </c>
      <c r="F5963" t="e">
        <f>--outros tecidos De fibras descontínuas De poliéster</f>
        <v>#NAME?</v>
      </c>
      <c r="G5963">
        <v>1</v>
      </c>
      <c r="H5963">
        <v>0</v>
      </c>
      <c r="I5963">
        <f>1</f>
        <v>1</v>
      </c>
    </row>
    <row r="5964" spans="2:9" x14ac:dyDescent="0.25">
      <c r="B5964">
        <v>0</v>
      </c>
      <c r="C5964" s="16" t="s">
        <v>15130</v>
      </c>
      <c r="D5964" s="16"/>
      <c r="E5964">
        <v>6</v>
      </c>
      <c r="F5964" t="e">
        <f>--outros tecidos</f>
        <v>#NAME?</v>
      </c>
      <c r="G5964">
        <v>1</v>
      </c>
      <c r="H5964">
        <v>0</v>
      </c>
      <c r="I5964">
        <f>1</f>
        <v>1</v>
      </c>
    </row>
    <row r="5965" spans="2:9" x14ac:dyDescent="0.25">
      <c r="B5965">
        <v>0</v>
      </c>
      <c r="C5965" s="16" t="s">
        <v>15131</v>
      </c>
      <c r="D5965" s="16"/>
      <c r="E5965">
        <v>6</v>
      </c>
      <c r="F5965" t="s">
        <v>7422</v>
      </c>
      <c r="G5965">
        <v>1</v>
      </c>
      <c r="H5965">
        <v>0</v>
      </c>
      <c r="I5965">
        <f>1</f>
        <v>1</v>
      </c>
    </row>
    <row r="5966" spans="2:9" x14ac:dyDescent="0.25">
      <c r="B5966">
        <v>0</v>
      </c>
      <c r="C5966" s="16" t="s">
        <v>15132</v>
      </c>
      <c r="D5966" s="16"/>
      <c r="E5966">
        <v>6</v>
      </c>
      <c r="F5966" t="s">
        <v>7419</v>
      </c>
      <c r="G5966">
        <v>1</v>
      </c>
      <c r="H5966">
        <v>0</v>
      </c>
      <c r="I5966">
        <f>1</f>
        <v>1</v>
      </c>
    </row>
    <row r="5967" spans="2:9" x14ac:dyDescent="0.25">
      <c r="B5967">
        <v>0</v>
      </c>
      <c r="C5967" s="16" t="s">
        <v>15133</v>
      </c>
      <c r="D5967" s="16"/>
      <c r="E5967">
        <v>6</v>
      </c>
      <c r="F5967" t="s">
        <v>4680</v>
      </c>
      <c r="G5967">
        <v>1</v>
      </c>
      <c r="H5967">
        <v>0</v>
      </c>
      <c r="I5967">
        <f>1</f>
        <v>1</v>
      </c>
    </row>
    <row r="5968" spans="2:9" x14ac:dyDescent="0.25">
      <c r="B5968">
        <v>0</v>
      </c>
      <c r="C5968" s="16" t="s">
        <v>15134</v>
      </c>
      <c r="D5968" s="16"/>
      <c r="E5968">
        <v>6</v>
      </c>
      <c r="F5968" t="s">
        <v>4680</v>
      </c>
      <c r="G5968">
        <v>1</v>
      </c>
      <c r="H5968">
        <v>0</v>
      </c>
      <c r="I5968">
        <f>1</f>
        <v>1</v>
      </c>
    </row>
    <row r="5969" spans="2:9" x14ac:dyDescent="0.25">
      <c r="B5969">
        <v>0</v>
      </c>
      <c r="C5969" s="16" t="s">
        <v>15135</v>
      </c>
      <c r="D5969" s="16"/>
      <c r="E5969">
        <v>6</v>
      </c>
      <c r="F5969" t="s">
        <v>7475</v>
      </c>
      <c r="G5969">
        <v>1</v>
      </c>
      <c r="H5969">
        <v>0</v>
      </c>
      <c r="I5969">
        <f>1</f>
        <v>1</v>
      </c>
    </row>
    <row r="5970" spans="2:9" x14ac:dyDescent="0.25">
      <c r="B5970">
        <v>0</v>
      </c>
      <c r="C5970" s="16" t="s">
        <v>15136</v>
      </c>
      <c r="D5970" s="16"/>
      <c r="E5970">
        <v>6</v>
      </c>
      <c r="F5970" t="s">
        <v>7476</v>
      </c>
      <c r="G5970">
        <v>1</v>
      </c>
      <c r="H5970">
        <v>0</v>
      </c>
      <c r="I5970">
        <f>1</f>
        <v>1</v>
      </c>
    </row>
    <row r="5971" spans="2:9" x14ac:dyDescent="0.25">
      <c r="B5971">
        <v>0</v>
      </c>
      <c r="C5971" s="16" t="s">
        <v>15137</v>
      </c>
      <c r="D5971" s="16"/>
      <c r="E5971">
        <v>6</v>
      </c>
      <c r="F5971" t="e">
        <f>--outros tecidos De fibras descontínuas De poliéster</f>
        <v>#NAME?</v>
      </c>
      <c r="G5971">
        <v>1</v>
      </c>
      <c r="H5971">
        <v>0</v>
      </c>
      <c r="I5971">
        <f>1</f>
        <v>1</v>
      </c>
    </row>
    <row r="5972" spans="2:9" x14ac:dyDescent="0.25">
      <c r="B5972">
        <v>0</v>
      </c>
      <c r="C5972" s="16" t="s">
        <v>15138</v>
      </c>
      <c r="D5972" s="16"/>
      <c r="E5972">
        <v>6</v>
      </c>
      <c r="F5972" t="e">
        <f>--outros tecidos</f>
        <v>#NAME?</v>
      </c>
      <c r="G5972">
        <v>1</v>
      </c>
      <c r="H5972">
        <v>0</v>
      </c>
      <c r="I5972">
        <f>1</f>
        <v>1</v>
      </c>
    </row>
    <row r="5973" spans="2:9" x14ac:dyDescent="0.25">
      <c r="B5973">
        <v>0</v>
      </c>
      <c r="C5973" s="16" t="s">
        <v>15139</v>
      </c>
      <c r="D5973" s="16"/>
      <c r="E5973">
        <v>6</v>
      </c>
      <c r="F5973" t="s">
        <v>7478</v>
      </c>
      <c r="G5973">
        <v>1</v>
      </c>
      <c r="H5973">
        <v>0</v>
      </c>
      <c r="I5973">
        <f>1</f>
        <v>1</v>
      </c>
    </row>
    <row r="5974" spans="2:9" x14ac:dyDescent="0.25">
      <c r="B5974">
        <v>0</v>
      </c>
      <c r="C5974" s="16" t="s">
        <v>15140</v>
      </c>
      <c r="D5974" s="16"/>
      <c r="E5974">
        <v>6</v>
      </c>
      <c r="F5974" t="s">
        <v>7479</v>
      </c>
      <c r="G5974">
        <v>1</v>
      </c>
      <c r="H5974">
        <v>0</v>
      </c>
      <c r="I5974">
        <f>1</f>
        <v>1</v>
      </c>
    </row>
    <row r="5975" spans="2:9" x14ac:dyDescent="0.25">
      <c r="B5975">
        <v>0</v>
      </c>
      <c r="C5975" s="16" t="s">
        <v>15141</v>
      </c>
      <c r="D5975" s="16"/>
      <c r="E5975">
        <v>6</v>
      </c>
      <c r="F5975" t="s">
        <v>7467</v>
      </c>
      <c r="G5975">
        <v>1</v>
      </c>
      <c r="H5975">
        <v>0</v>
      </c>
      <c r="I5975">
        <f>1</f>
        <v>1</v>
      </c>
    </row>
    <row r="5976" spans="2:9" x14ac:dyDescent="0.25">
      <c r="B5976">
        <v>0</v>
      </c>
      <c r="C5976" s="16" t="s">
        <v>15142</v>
      </c>
      <c r="D5976" s="16"/>
      <c r="E5976">
        <v>6</v>
      </c>
      <c r="F5976" t="e">
        <f>--outros</f>
        <v>#NAME?</v>
      </c>
      <c r="G5976">
        <v>1</v>
      </c>
      <c r="H5976">
        <v>0</v>
      </c>
      <c r="I5976">
        <f>1</f>
        <v>1</v>
      </c>
    </row>
    <row r="5977" spans="2:9" x14ac:dyDescent="0.25">
      <c r="B5977">
        <v>0</v>
      </c>
      <c r="C5977" s="16" t="s">
        <v>15143</v>
      </c>
      <c r="D5977" s="16"/>
      <c r="E5977">
        <v>6</v>
      </c>
      <c r="F5977" t="s">
        <v>7479</v>
      </c>
      <c r="G5977">
        <v>1</v>
      </c>
      <c r="H5977">
        <v>0</v>
      </c>
      <c r="I5977">
        <f>1</f>
        <v>1</v>
      </c>
    </row>
    <row r="5978" spans="2:9" x14ac:dyDescent="0.25">
      <c r="B5978">
        <v>0</v>
      </c>
      <c r="C5978" s="16" t="s">
        <v>15144</v>
      </c>
      <c r="D5978" s="16"/>
      <c r="E5978">
        <v>6</v>
      </c>
      <c r="F5978" t="s">
        <v>7467</v>
      </c>
      <c r="G5978">
        <v>1</v>
      </c>
      <c r="H5978">
        <v>0</v>
      </c>
      <c r="I5978">
        <f>1</f>
        <v>1</v>
      </c>
    </row>
    <row r="5979" spans="2:9" x14ac:dyDescent="0.25">
      <c r="B5979">
        <v>0</v>
      </c>
      <c r="C5979" s="16" t="s">
        <v>15145</v>
      </c>
      <c r="D5979" s="16"/>
      <c r="E5979">
        <v>6</v>
      </c>
      <c r="F5979" t="e">
        <f>--outros</f>
        <v>#NAME?</v>
      </c>
      <c r="G5979">
        <v>1</v>
      </c>
      <c r="H5979">
        <v>0</v>
      </c>
      <c r="I5979">
        <f>1</f>
        <v>1</v>
      </c>
    </row>
    <row r="5980" spans="2:9" x14ac:dyDescent="0.25">
      <c r="B5980">
        <v>0</v>
      </c>
      <c r="C5980" s="16" t="s">
        <v>15146</v>
      </c>
      <c r="D5980" s="16"/>
      <c r="E5980">
        <v>6</v>
      </c>
      <c r="F5980" t="s">
        <v>7480</v>
      </c>
      <c r="G5980">
        <v>1</v>
      </c>
      <c r="H5980">
        <v>0</v>
      </c>
      <c r="I5980">
        <f>1</f>
        <v>1</v>
      </c>
    </row>
    <row r="5981" spans="2:9" x14ac:dyDescent="0.25">
      <c r="B5981">
        <v>0</v>
      </c>
      <c r="C5981" s="16" t="s">
        <v>15147</v>
      </c>
      <c r="D5981" s="16"/>
      <c r="E5981">
        <v>6</v>
      </c>
      <c r="F5981" t="s">
        <v>7481</v>
      </c>
      <c r="G5981">
        <v>1</v>
      </c>
      <c r="H5981">
        <v>0</v>
      </c>
      <c r="I5981">
        <f>1</f>
        <v>1</v>
      </c>
    </row>
    <row r="5982" spans="2:9" x14ac:dyDescent="0.25">
      <c r="B5982">
        <v>0</v>
      </c>
      <c r="C5982" s="16" t="s">
        <v>15148</v>
      </c>
      <c r="D5982" s="16"/>
      <c r="E5982">
        <v>6</v>
      </c>
      <c r="F5982" t="s">
        <v>4680</v>
      </c>
      <c r="G5982">
        <v>1</v>
      </c>
      <c r="H5982">
        <v>0</v>
      </c>
      <c r="I5982">
        <f>1</f>
        <v>1</v>
      </c>
    </row>
    <row r="5983" spans="2:9" x14ac:dyDescent="0.25">
      <c r="B5983">
        <v>0</v>
      </c>
      <c r="C5983" s="16" t="s">
        <v>15149</v>
      </c>
      <c r="D5983" s="16"/>
      <c r="E5983">
        <v>6</v>
      </c>
      <c r="F5983" t="e">
        <f>--Crus ou Branqueados</f>
        <v>#NAME?</v>
      </c>
      <c r="G5983">
        <v>1</v>
      </c>
      <c r="H5983">
        <v>0</v>
      </c>
      <c r="I5983">
        <f>1</f>
        <v>1</v>
      </c>
    </row>
    <row r="5984" spans="2:9" x14ac:dyDescent="0.25">
      <c r="B5984">
        <v>0</v>
      </c>
      <c r="C5984" s="16" t="s">
        <v>15150</v>
      </c>
      <c r="D5984" s="16"/>
      <c r="E5984">
        <v>6</v>
      </c>
      <c r="F5984" t="e">
        <f>--Tintos</f>
        <v>#NAME?</v>
      </c>
      <c r="G5984">
        <v>1</v>
      </c>
      <c r="H5984">
        <v>0</v>
      </c>
      <c r="I5984">
        <f>1</f>
        <v>1</v>
      </c>
    </row>
    <row r="5985" spans="2:9" x14ac:dyDescent="0.25">
      <c r="B5985">
        <v>0</v>
      </c>
      <c r="C5985" s="16" t="s">
        <v>15151</v>
      </c>
      <c r="D5985" s="16"/>
      <c r="E5985">
        <v>6</v>
      </c>
      <c r="F5985" t="e">
        <f>--De Fios De diversas Cores</f>
        <v>#NAME?</v>
      </c>
      <c r="G5985">
        <v>1</v>
      </c>
      <c r="H5985">
        <v>0</v>
      </c>
      <c r="I5985">
        <f>1</f>
        <v>1</v>
      </c>
    </row>
    <row r="5986" spans="2:9" x14ac:dyDescent="0.25">
      <c r="B5986">
        <v>0</v>
      </c>
      <c r="C5986" s="16" t="s">
        <v>15152</v>
      </c>
      <c r="D5986" s="16"/>
      <c r="E5986">
        <v>6</v>
      </c>
      <c r="F5986" t="e">
        <f>--Estampados</f>
        <v>#NAME?</v>
      </c>
      <c r="G5986">
        <v>1</v>
      </c>
      <c r="H5986">
        <v>0</v>
      </c>
      <c r="I5986">
        <f>1</f>
        <v>1</v>
      </c>
    </row>
    <row r="5987" spans="2:9" x14ac:dyDescent="0.25">
      <c r="B5987">
        <v>0</v>
      </c>
      <c r="C5987" s="16" t="s">
        <v>15153</v>
      </c>
      <c r="D5987" s="16"/>
      <c r="E5987">
        <v>6</v>
      </c>
      <c r="F5987" t="e">
        <f>--Crus ou Branqueados</f>
        <v>#NAME?</v>
      </c>
      <c r="G5987">
        <v>1</v>
      </c>
      <c r="H5987">
        <v>0</v>
      </c>
      <c r="I5987">
        <f>1</f>
        <v>1</v>
      </c>
    </row>
    <row r="5988" spans="2:9" x14ac:dyDescent="0.25">
      <c r="B5988">
        <v>0</v>
      </c>
      <c r="C5988" s="16" t="s">
        <v>15154</v>
      </c>
      <c r="D5988" s="16"/>
      <c r="E5988">
        <v>6</v>
      </c>
      <c r="F5988" t="e">
        <f>--Tintos</f>
        <v>#NAME?</v>
      </c>
      <c r="G5988">
        <v>1</v>
      </c>
      <c r="H5988">
        <v>0</v>
      </c>
      <c r="I5988">
        <f>1</f>
        <v>1</v>
      </c>
    </row>
    <row r="5989" spans="2:9" x14ac:dyDescent="0.25">
      <c r="B5989">
        <v>0</v>
      </c>
      <c r="C5989" s="16" t="s">
        <v>15155</v>
      </c>
      <c r="D5989" s="16"/>
      <c r="E5989">
        <v>6</v>
      </c>
      <c r="F5989" t="e">
        <f>--De Fios De diversas Cores</f>
        <v>#NAME?</v>
      </c>
      <c r="G5989">
        <v>1</v>
      </c>
      <c r="H5989">
        <v>0</v>
      </c>
      <c r="I5989">
        <f>1</f>
        <v>1</v>
      </c>
    </row>
    <row r="5990" spans="2:9" x14ac:dyDescent="0.25">
      <c r="B5990">
        <v>0</v>
      </c>
      <c r="C5990" s="16" t="s">
        <v>15156</v>
      </c>
      <c r="D5990" s="16"/>
      <c r="E5990">
        <v>6</v>
      </c>
      <c r="F5990" t="e">
        <f>--Estampados</f>
        <v>#NAME?</v>
      </c>
      <c r="G5990">
        <v>1</v>
      </c>
      <c r="H5990">
        <v>0</v>
      </c>
      <c r="I5990">
        <f>1</f>
        <v>1</v>
      </c>
    </row>
    <row r="5991" spans="2:9" x14ac:dyDescent="0.25">
      <c r="B5991">
        <v>0</v>
      </c>
      <c r="C5991" s="16" t="s">
        <v>15157</v>
      </c>
      <c r="D5991" s="16"/>
      <c r="E5991">
        <v>6</v>
      </c>
      <c r="F5991" t="e">
        <f>--Crus ou Branqueados</f>
        <v>#NAME?</v>
      </c>
      <c r="G5991">
        <v>1</v>
      </c>
      <c r="H5991">
        <v>0</v>
      </c>
      <c r="I5991">
        <f>1</f>
        <v>1</v>
      </c>
    </row>
    <row r="5992" spans="2:9" x14ac:dyDescent="0.25">
      <c r="B5992">
        <v>0</v>
      </c>
      <c r="C5992" s="16" t="s">
        <v>15158</v>
      </c>
      <c r="D5992" s="16"/>
      <c r="E5992">
        <v>6</v>
      </c>
      <c r="F5992" t="e">
        <f>--Tintos</f>
        <v>#NAME?</v>
      </c>
      <c r="G5992">
        <v>1</v>
      </c>
      <c r="H5992">
        <v>0</v>
      </c>
      <c r="I5992">
        <f>1</f>
        <v>1</v>
      </c>
    </row>
    <row r="5993" spans="2:9" x14ac:dyDescent="0.25">
      <c r="B5993">
        <v>0</v>
      </c>
      <c r="C5993" s="16" t="s">
        <v>15159</v>
      </c>
      <c r="D5993" s="16"/>
      <c r="E5993">
        <v>6</v>
      </c>
      <c r="F5993" t="e">
        <f>--De Fios De diversas Cores</f>
        <v>#NAME?</v>
      </c>
      <c r="G5993">
        <v>1</v>
      </c>
      <c r="H5993">
        <v>0</v>
      </c>
      <c r="I5993">
        <f>1</f>
        <v>1</v>
      </c>
    </row>
    <row r="5994" spans="2:9" x14ac:dyDescent="0.25">
      <c r="B5994">
        <v>0</v>
      </c>
      <c r="C5994" s="16" t="s">
        <v>15160</v>
      </c>
      <c r="D5994" s="16"/>
      <c r="E5994">
        <v>6</v>
      </c>
      <c r="F5994" t="e">
        <f>--Estampados</f>
        <v>#NAME?</v>
      </c>
      <c r="G5994">
        <v>1</v>
      </c>
      <c r="H5994">
        <v>0</v>
      </c>
      <c r="I5994">
        <f>1</f>
        <v>1</v>
      </c>
    </row>
    <row r="5995" spans="2:9" x14ac:dyDescent="0.25">
      <c r="B5995">
        <v>0</v>
      </c>
      <c r="C5995" s="16" t="s">
        <v>15161</v>
      </c>
      <c r="D5995" s="16"/>
      <c r="E5995">
        <v>6</v>
      </c>
      <c r="F5995" t="e">
        <f>--Crus ou Branqueados</f>
        <v>#NAME?</v>
      </c>
      <c r="G5995">
        <v>1</v>
      </c>
      <c r="H5995">
        <v>0</v>
      </c>
      <c r="I5995">
        <f>1</f>
        <v>1</v>
      </c>
    </row>
    <row r="5996" spans="2:9" x14ac:dyDescent="0.25">
      <c r="B5996">
        <v>0</v>
      </c>
      <c r="C5996" s="16" t="s">
        <v>15162</v>
      </c>
      <c r="D5996" s="16"/>
      <c r="E5996">
        <v>6</v>
      </c>
      <c r="F5996" t="e">
        <f>--Tintos</f>
        <v>#NAME?</v>
      </c>
      <c r="G5996">
        <v>1</v>
      </c>
      <c r="H5996">
        <v>0</v>
      </c>
      <c r="I5996">
        <f>1</f>
        <v>1</v>
      </c>
    </row>
    <row r="5997" spans="2:9" x14ac:dyDescent="0.25">
      <c r="B5997">
        <v>0</v>
      </c>
      <c r="C5997" s="16" t="s">
        <v>15163</v>
      </c>
      <c r="D5997" s="16"/>
      <c r="E5997">
        <v>6</v>
      </c>
      <c r="F5997" t="e">
        <f>--De Fios De diversas Cores</f>
        <v>#NAME?</v>
      </c>
      <c r="G5997">
        <v>1</v>
      </c>
      <c r="H5997">
        <v>0</v>
      </c>
      <c r="I5997">
        <f>1</f>
        <v>1</v>
      </c>
    </row>
    <row r="5998" spans="2:9" x14ac:dyDescent="0.25">
      <c r="B5998">
        <v>0</v>
      </c>
      <c r="C5998" s="16" t="s">
        <v>15164</v>
      </c>
      <c r="D5998" s="16"/>
      <c r="E5998">
        <v>6</v>
      </c>
      <c r="F5998" t="e">
        <f>--Estampados</f>
        <v>#NAME?</v>
      </c>
      <c r="G5998">
        <v>1</v>
      </c>
      <c r="H5998">
        <v>0</v>
      </c>
      <c r="I5998">
        <f>1</f>
        <v>1</v>
      </c>
    </row>
    <row r="5999" spans="2:9" x14ac:dyDescent="0.25">
      <c r="B5999">
        <v>0</v>
      </c>
      <c r="C5999" s="16" t="s">
        <v>15165</v>
      </c>
      <c r="D5999" s="16"/>
      <c r="E5999">
        <v>6</v>
      </c>
      <c r="F5999" t="e">
        <f>--Crus ou Branqueados</f>
        <v>#NAME?</v>
      </c>
      <c r="G5999">
        <v>1</v>
      </c>
      <c r="H5999">
        <v>0</v>
      </c>
      <c r="I5999">
        <f>1</f>
        <v>1</v>
      </c>
    </row>
    <row r="6000" spans="2:9" x14ac:dyDescent="0.25">
      <c r="B6000">
        <v>0</v>
      </c>
      <c r="C6000" s="16" t="s">
        <v>15166</v>
      </c>
      <c r="D6000" s="16"/>
      <c r="E6000">
        <v>6</v>
      </c>
      <c r="F6000" t="e">
        <f>--Tintos</f>
        <v>#NAME?</v>
      </c>
      <c r="G6000">
        <v>1</v>
      </c>
      <c r="H6000">
        <v>0</v>
      </c>
      <c r="I6000">
        <f>1</f>
        <v>1</v>
      </c>
    </row>
    <row r="6001" spans="2:9" x14ac:dyDescent="0.25">
      <c r="B6001">
        <v>0</v>
      </c>
      <c r="C6001" s="16" t="s">
        <v>15167</v>
      </c>
      <c r="D6001" s="16"/>
      <c r="E6001">
        <v>6</v>
      </c>
      <c r="F6001" t="e">
        <f>--De Fios De diversas Cores</f>
        <v>#NAME?</v>
      </c>
      <c r="G6001">
        <v>1</v>
      </c>
      <c r="H6001">
        <v>0</v>
      </c>
      <c r="I6001">
        <f>1</f>
        <v>1</v>
      </c>
    </row>
    <row r="6002" spans="2:9" x14ac:dyDescent="0.25">
      <c r="B6002">
        <v>0</v>
      </c>
      <c r="C6002" s="16" t="s">
        <v>15168</v>
      </c>
      <c r="D6002" s="16"/>
      <c r="E6002">
        <v>6</v>
      </c>
      <c r="F6002" t="e">
        <f>--Estampados</f>
        <v>#NAME?</v>
      </c>
      <c r="G6002">
        <v>1</v>
      </c>
      <c r="H6002">
        <v>0</v>
      </c>
      <c r="I6002">
        <f>1</f>
        <v>1</v>
      </c>
    </row>
    <row r="6003" spans="2:9" x14ac:dyDescent="0.25">
      <c r="B6003">
        <v>0</v>
      </c>
      <c r="C6003" s="16" t="s">
        <v>15169</v>
      </c>
      <c r="D6003" s="16"/>
      <c r="E6003">
        <v>6</v>
      </c>
      <c r="F6003" t="s">
        <v>7482</v>
      </c>
      <c r="G6003">
        <v>1</v>
      </c>
      <c r="H6003">
        <v>0</v>
      </c>
      <c r="I6003">
        <f>1</f>
        <v>1</v>
      </c>
    </row>
    <row r="6004" spans="2:9" x14ac:dyDescent="0.25">
      <c r="B6004">
        <v>0</v>
      </c>
      <c r="C6004" s="16" t="s">
        <v>15170</v>
      </c>
      <c r="D6004" s="16"/>
      <c r="E6004">
        <v>6</v>
      </c>
      <c r="F6004" t="s">
        <v>7483</v>
      </c>
      <c r="G6004">
        <v>1</v>
      </c>
      <c r="H6004">
        <v>0</v>
      </c>
      <c r="I6004">
        <f>1</f>
        <v>1</v>
      </c>
    </row>
    <row r="6005" spans="2:9" x14ac:dyDescent="0.25">
      <c r="B6005">
        <v>0</v>
      </c>
      <c r="C6005" s="16" t="s">
        <v>15171</v>
      </c>
      <c r="D6005" s="16"/>
      <c r="E6005">
        <v>6</v>
      </c>
      <c r="F6005" t="s">
        <v>7444</v>
      </c>
      <c r="G6005">
        <v>1</v>
      </c>
      <c r="H6005">
        <v>0</v>
      </c>
      <c r="I6005">
        <f>1</f>
        <v>1</v>
      </c>
    </row>
    <row r="6006" spans="2:9" x14ac:dyDescent="0.25">
      <c r="B6006">
        <v>0</v>
      </c>
      <c r="C6006" s="16" t="s">
        <v>15172</v>
      </c>
      <c r="D6006" s="16"/>
      <c r="E6006">
        <v>6</v>
      </c>
      <c r="F6006" t="s">
        <v>4690</v>
      </c>
      <c r="G6006">
        <v>1</v>
      </c>
      <c r="H6006">
        <v>0</v>
      </c>
      <c r="I6006">
        <f>1</f>
        <v>1</v>
      </c>
    </row>
    <row r="6007" spans="2:9" x14ac:dyDescent="0.25">
      <c r="B6007">
        <v>0</v>
      </c>
      <c r="C6007" s="16" t="s">
        <v>15173</v>
      </c>
      <c r="D6007" s="16"/>
      <c r="E6007">
        <v>6</v>
      </c>
      <c r="F6007" t="s">
        <v>7484</v>
      </c>
      <c r="G6007">
        <v>1</v>
      </c>
      <c r="H6007">
        <v>0</v>
      </c>
      <c r="I6007">
        <f>1</f>
        <v>1</v>
      </c>
    </row>
    <row r="6008" spans="2:9" x14ac:dyDescent="0.25">
      <c r="B6008">
        <v>0</v>
      </c>
      <c r="C6008" s="16" t="s">
        <v>15174</v>
      </c>
      <c r="D6008" s="16"/>
      <c r="E6008">
        <v>6</v>
      </c>
      <c r="F6008" t="s">
        <v>4680</v>
      </c>
      <c r="G6008">
        <v>1</v>
      </c>
      <c r="H6008">
        <v>0</v>
      </c>
      <c r="I6008">
        <f>1</f>
        <v>1</v>
      </c>
    </row>
    <row r="6009" spans="2:9" x14ac:dyDescent="0.25">
      <c r="B6009">
        <v>0</v>
      </c>
      <c r="C6009" s="16" t="s">
        <v>15175</v>
      </c>
      <c r="D6009" s="16"/>
      <c r="E6009">
        <v>6</v>
      </c>
      <c r="F6009" t="e">
        <f>--outros</f>
        <v>#NAME?</v>
      </c>
      <c r="G6009">
        <v>1</v>
      </c>
      <c r="H6009">
        <v>0</v>
      </c>
      <c r="I6009">
        <f>1</f>
        <v>1</v>
      </c>
    </row>
    <row r="6010" spans="2:9" x14ac:dyDescent="0.25">
      <c r="B6010">
        <v>0</v>
      </c>
      <c r="C6010" s="16" t="s">
        <v>15176</v>
      </c>
      <c r="D6010" s="16"/>
      <c r="E6010">
        <v>6</v>
      </c>
      <c r="F6010" t="s">
        <v>7444</v>
      </c>
      <c r="G6010">
        <v>1</v>
      </c>
      <c r="H6010">
        <v>0</v>
      </c>
      <c r="I6010">
        <f>1</f>
        <v>1</v>
      </c>
    </row>
    <row r="6011" spans="2:9" x14ac:dyDescent="0.25">
      <c r="B6011">
        <v>0</v>
      </c>
      <c r="C6011" s="16" t="s">
        <v>15177</v>
      </c>
      <c r="D6011" s="16"/>
      <c r="E6011">
        <v>6</v>
      </c>
      <c r="F6011" t="s">
        <v>4680</v>
      </c>
      <c r="G6011">
        <v>1</v>
      </c>
      <c r="H6011">
        <v>0</v>
      </c>
      <c r="I6011">
        <f>1</f>
        <v>1</v>
      </c>
    </row>
    <row r="6012" spans="2:9" x14ac:dyDescent="0.25">
      <c r="B6012">
        <v>0</v>
      </c>
      <c r="C6012" s="16" t="s">
        <v>15178</v>
      </c>
      <c r="D6012" s="16"/>
      <c r="E6012">
        <v>6</v>
      </c>
      <c r="F6012" t="e">
        <f>-Feltros agulhados e artefatos obtidos por costura por entrelaçamento  cousus-tricotés</f>
        <v>#NAME?</v>
      </c>
      <c r="G6012">
        <v>1</v>
      </c>
      <c r="H6012">
        <v>0</v>
      </c>
      <c r="I6012">
        <f>1</f>
        <v>1</v>
      </c>
    </row>
    <row r="6013" spans="2:9" x14ac:dyDescent="0.25">
      <c r="B6013">
        <v>0</v>
      </c>
      <c r="C6013" s="16" t="s">
        <v>15179</v>
      </c>
      <c r="D6013" s="16"/>
      <c r="E6013">
        <v>6</v>
      </c>
      <c r="F6013" t="e">
        <f>--De lã ou De Pelos finos</f>
        <v>#NAME?</v>
      </c>
      <c r="G6013">
        <v>1</v>
      </c>
      <c r="H6013">
        <v>0</v>
      </c>
      <c r="I6013">
        <f>1</f>
        <v>1</v>
      </c>
    </row>
    <row r="6014" spans="2:9" x14ac:dyDescent="0.25">
      <c r="B6014">
        <v>0</v>
      </c>
      <c r="C6014" s="16" t="s">
        <v>15180</v>
      </c>
      <c r="D6014" s="16"/>
      <c r="E6014">
        <v>6</v>
      </c>
      <c r="F6014" t="e">
        <f>--De Outras matérias têxteis</f>
        <v>#NAME?</v>
      </c>
      <c r="G6014">
        <v>1</v>
      </c>
      <c r="H6014">
        <v>0</v>
      </c>
      <c r="I6014">
        <f>1</f>
        <v>1</v>
      </c>
    </row>
    <row r="6015" spans="2:9" x14ac:dyDescent="0.25">
      <c r="B6015">
        <v>0</v>
      </c>
      <c r="C6015" s="16" t="s">
        <v>15181</v>
      </c>
      <c r="D6015" s="16"/>
      <c r="E6015">
        <v>6</v>
      </c>
      <c r="F6015" t="e">
        <f>-outros</f>
        <v>#NAME?</v>
      </c>
      <c r="G6015">
        <v>1</v>
      </c>
      <c r="H6015">
        <v>0</v>
      </c>
      <c r="I6015">
        <f>1</f>
        <v>1</v>
      </c>
    </row>
    <row r="6016" spans="2:9" x14ac:dyDescent="0.25">
      <c r="B6016">
        <v>0</v>
      </c>
      <c r="C6016" s="16" t="s">
        <v>15182</v>
      </c>
      <c r="D6016" s="16"/>
      <c r="E6016">
        <v>6</v>
      </c>
      <c r="F6016" t="s">
        <v>7444</v>
      </c>
      <c r="G6016">
        <v>1</v>
      </c>
      <c r="H6016">
        <v>0</v>
      </c>
      <c r="I6016">
        <f>1</f>
        <v>1</v>
      </c>
    </row>
    <row r="6017" spans="2:9" x14ac:dyDescent="0.25">
      <c r="B6017">
        <v>0</v>
      </c>
      <c r="C6017" s="16" t="s">
        <v>15183</v>
      </c>
      <c r="D6017" s="16"/>
      <c r="E6017">
        <v>6</v>
      </c>
      <c r="F6017" t="s">
        <v>6799</v>
      </c>
      <c r="G6017">
        <v>1</v>
      </c>
      <c r="H6017">
        <v>0</v>
      </c>
      <c r="I6017">
        <f>1</f>
        <v>1</v>
      </c>
    </row>
    <row r="6018" spans="2:9" x14ac:dyDescent="0.25">
      <c r="B6018">
        <v>0</v>
      </c>
      <c r="C6018" s="16" t="s">
        <v>15184</v>
      </c>
      <c r="D6018" s="16"/>
      <c r="E6018">
        <v>6</v>
      </c>
      <c r="F6018" t="s">
        <v>7485</v>
      </c>
      <c r="G6018">
        <v>1</v>
      </c>
      <c r="H6018">
        <v>0</v>
      </c>
      <c r="I6018">
        <f>1</f>
        <v>1</v>
      </c>
    </row>
    <row r="6019" spans="2:9" x14ac:dyDescent="0.25">
      <c r="B6019">
        <v>0</v>
      </c>
      <c r="C6019" s="16" t="s">
        <v>15185</v>
      </c>
      <c r="D6019" s="16"/>
      <c r="E6019">
        <v>6</v>
      </c>
      <c r="F6019" t="s">
        <v>7462</v>
      </c>
      <c r="G6019">
        <v>1</v>
      </c>
      <c r="H6019">
        <v>0</v>
      </c>
      <c r="I6019">
        <f>1</f>
        <v>1</v>
      </c>
    </row>
    <row r="6020" spans="2:9" x14ac:dyDescent="0.25">
      <c r="B6020">
        <v>0</v>
      </c>
      <c r="C6020" s="16" t="s">
        <v>15186</v>
      </c>
      <c r="D6020" s="16"/>
      <c r="E6020">
        <v>6</v>
      </c>
      <c r="F6020" t="s">
        <v>4680</v>
      </c>
      <c r="G6020">
        <v>1</v>
      </c>
      <c r="H6020">
        <v>0</v>
      </c>
      <c r="I6020">
        <f>1</f>
        <v>1</v>
      </c>
    </row>
    <row r="6021" spans="2:9" x14ac:dyDescent="0.25">
      <c r="B6021">
        <v>0</v>
      </c>
      <c r="C6021" s="16" t="s">
        <v>15187</v>
      </c>
      <c r="D6021" s="16"/>
      <c r="E6021">
        <v>6</v>
      </c>
      <c r="F6021" t="s">
        <v>7486</v>
      </c>
      <c r="G6021">
        <v>1</v>
      </c>
      <c r="H6021">
        <v>0</v>
      </c>
      <c r="I6021">
        <f>1</f>
        <v>1</v>
      </c>
    </row>
    <row r="6022" spans="2:9" x14ac:dyDescent="0.25">
      <c r="B6022">
        <v>0</v>
      </c>
      <c r="C6022" s="16" t="s">
        <v>15188</v>
      </c>
      <c r="D6022" s="16"/>
      <c r="E6022">
        <v>6</v>
      </c>
      <c r="F6022" t="s">
        <v>7444</v>
      </c>
      <c r="G6022">
        <v>1</v>
      </c>
      <c r="H6022">
        <v>0</v>
      </c>
      <c r="I6022">
        <f>1</f>
        <v>1</v>
      </c>
    </row>
    <row r="6023" spans="2:9" x14ac:dyDescent="0.25">
      <c r="B6023">
        <v>0</v>
      </c>
      <c r="C6023" s="16" t="s">
        <v>15189</v>
      </c>
      <c r="D6023" s="16"/>
      <c r="E6023">
        <v>6</v>
      </c>
      <c r="F6023" t="s">
        <v>6799</v>
      </c>
      <c r="G6023">
        <v>1</v>
      </c>
      <c r="H6023">
        <v>0</v>
      </c>
      <c r="I6023">
        <f>1</f>
        <v>1</v>
      </c>
    </row>
    <row r="6024" spans="2:9" x14ac:dyDescent="0.25">
      <c r="B6024">
        <v>0</v>
      </c>
      <c r="C6024" s="16" t="s">
        <v>15190</v>
      </c>
      <c r="D6024" s="16"/>
      <c r="E6024">
        <v>6</v>
      </c>
      <c r="F6024" t="s">
        <v>7485</v>
      </c>
      <c r="G6024">
        <v>1</v>
      </c>
      <c r="H6024">
        <v>0</v>
      </c>
      <c r="I6024">
        <f>1</f>
        <v>1</v>
      </c>
    </row>
    <row r="6025" spans="2:9" x14ac:dyDescent="0.25">
      <c r="B6025">
        <v>0</v>
      </c>
      <c r="C6025" s="16" t="s">
        <v>15191</v>
      </c>
      <c r="D6025" s="16"/>
      <c r="E6025">
        <v>6</v>
      </c>
      <c r="F6025" t="s">
        <v>7462</v>
      </c>
      <c r="G6025">
        <v>1</v>
      </c>
      <c r="H6025">
        <v>0</v>
      </c>
      <c r="I6025">
        <f>1</f>
        <v>1</v>
      </c>
    </row>
    <row r="6026" spans="2:9" x14ac:dyDescent="0.25">
      <c r="B6026">
        <v>0</v>
      </c>
      <c r="C6026" s="16" t="s">
        <v>15192</v>
      </c>
      <c r="D6026" s="16"/>
      <c r="E6026">
        <v>6</v>
      </c>
      <c r="F6026" t="s">
        <v>4680</v>
      </c>
      <c r="G6026">
        <v>1</v>
      </c>
      <c r="H6026">
        <v>0</v>
      </c>
      <c r="I6026">
        <f>1</f>
        <v>1</v>
      </c>
    </row>
    <row r="6027" spans="2:9" x14ac:dyDescent="0.25">
      <c r="B6027">
        <v>0</v>
      </c>
      <c r="C6027" s="16" t="s">
        <v>15193</v>
      </c>
      <c r="D6027" s="16"/>
      <c r="E6027">
        <v>6</v>
      </c>
      <c r="F6027" t="s">
        <v>7486</v>
      </c>
      <c r="G6027">
        <v>1</v>
      </c>
      <c r="H6027">
        <v>0</v>
      </c>
      <c r="I6027">
        <f>1</f>
        <v>1</v>
      </c>
    </row>
    <row r="6028" spans="2:9" x14ac:dyDescent="0.25">
      <c r="B6028">
        <v>0</v>
      </c>
      <c r="C6028" s="16" t="s">
        <v>15194</v>
      </c>
      <c r="D6028" s="16"/>
      <c r="E6028">
        <v>6</v>
      </c>
      <c r="F6028" t="s">
        <v>7444</v>
      </c>
      <c r="G6028">
        <v>1</v>
      </c>
      <c r="H6028">
        <v>0</v>
      </c>
      <c r="I6028">
        <f>1</f>
        <v>1</v>
      </c>
    </row>
    <row r="6029" spans="2:9" x14ac:dyDescent="0.25">
      <c r="B6029">
        <v>0</v>
      </c>
      <c r="C6029" s="16" t="s">
        <v>15195</v>
      </c>
      <c r="D6029" s="16"/>
      <c r="E6029">
        <v>6</v>
      </c>
      <c r="F6029" t="s">
        <v>6799</v>
      </c>
      <c r="G6029">
        <v>1</v>
      </c>
      <c r="H6029">
        <v>0</v>
      </c>
      <c r="I6029">
        <f>1</f>
        <v>1</v>
      </c>
    </row>
    <row r="6030" spans="2:9" x14ac:dyDescent="0.25">
      <c r="B6030">
        <v>0</v>
      </c>
      <c r="C6030" s="16" t="s">
        <v>15196</v>
      </c>
      <c r="D6030" s="16"/>
      <c r="E6030">
        <v>6</v>
      </c>
      <c r="F6030" t="s">
        <v>7485</v>
      </c>
      <c r="G6030">
        <v>1</v>
      </c>
      <c r="H6030">
        <v>0</v>
      </c>
      <c r="I6030">
        <f>1</f>
        <v>1</v>
      </c>
    </row>
    <row r="6031" spans="2:9" x14ac:dyDescent="0.25">
      <c r="B6031">
        <v>0</v>
      </c>
      <c r="C6031" s="16" t="s">
        <v>15197</v>
      </c>
      <c r="D6031" s="16"/>
      <c r="E6031">
        <v>6</v>
      </c>
      <c r="F6031" t="s">
        <v>7462</v>
      </c>
      <c r="G6031">
        <v>1</v>
      </c>
      <c r="H6031">
        <v>0</v>
      </c>
      <c r="I6031">
        <f>1</f>
        <v>1</v>
      </c>
    </row>
    <row r="6032" spans="2:9" x14ac:dyDescent="0.25">
      <c r="B6032">
        <v>0</v>
      </c>
      <c r="C6032" s="16" t="s">
        <v>15198</v>
      </c>
      <c r="D6032" s="16"/>
      <c r="E6032">
        <v>6</v>
      </c>
      <c r="F6032" t="s">
        <v>4680</v>
      </c>
      <c r="G6032">
        <v>1</v>
      </c>
      <c r="H6032">
        <v>0</v>
      </c>
      <c r="I6032">
        <f>1</f>
        <v>1</v>
      </c>
    </row>
    <row r="6033" spans="2:9" x14ac:dyDescent="0.25">
      <c r="B6033">
        <v>0</v>
      </c>
      <c r="C6033" s="16" t="s">
        <v>15199</v>
      </c>
      <c r="D6033" s="16"/>
      <c r="E6033">
        <v>6</v>
      </c>
      <c r="F6033" t="s">
        <v>7444</v>
      </c>
      <c r="G6033">
        <v>1</v>
      </c>
      <c r="H6033">
        <v>0</v>
      </c>
      <c r="I6033">
        <f>1</f>
        <v>1</v>
      </c>
    </row>
    <row r="6034" spans="2:9" x14ac:dyDescent="0.25">
      <c r="B6034">
        <v>0</v>
      </c>
      <c r="C6034" s="16" t="s">
        <v>15200</v>
      </c>
      <c r="D6034" s="16"/>
      <c r="E6034">
        <v>6</v>
      </c>
      <c r="F6034" t="s">
        <v>6799</v>
      </c>
      <c r="G6034">
        <v>1</v>
      </c>
      <c r="H6034">
        <v>0</v>
      </c>
      <c r="I6034">
        <f>1</f>
        <v>1</v>
      </c>
    </row>
    <row r="6035" spans="2:9" x14ac:dyDescent="0.25">
      <c r="B6035">
        <v>0</v>
      </c>
      <c r="C6035" s="16" t="s">
        <v>15201</v>
      </c>
      <c r="D6035" s="16"/>
      <c r="E6035">
        <v>6</v>
      </c>
      <c r="F6035" t="s">
        <v>7485</v>
      </c>
      <c r="G6035">
        <v>1</v>
      </c>
      <c r="H6035">
        <v>0</v>
      </c>
      <c r="I6035">
        <f>1</f>
        <v>1</v>
      </c>
    </row>
    <row r="6036" spans="2:9" x14ac:dyDescent="0.25">
      <c r="B6036">
        <v>0</v>
      </c>
      <c r="C6036" s="16" t="s">
        <v>15202</v>
      </c>
      <c r="D6036" s="16"/>
      <c r="E6036">
        <v>6</v>
      </c>
      <c r="F6036" t="s">
        <v>7462</v>
      </c>
      <c r="G6036">
        <v>1</v>
      </c>
      <c r="H6036">
        <v>0</v>
      </c>
      <c r="I6036">
        <f>1</f>
        <v>1</v>
      </c>
    </row>
    <row r="6037" spans="2:9" x14ac:dyDescent="0.25">
      <c r="B6037">
        <v>0</v>
      </c>
      <c r="C6037" s="16" t="s">
        <v>15203</v>
      </c>
      <c r="D6037" s="16"/>
      <c r="E6037">
        <v>6</v>
      </c>
      <c r="F6037" t="s">
        <v>4680</v>
      </c>
      <c r="G6037">
        <v>1</v>
      </c>
      <c r="H6037">
        <v>0</v>
      </c>
      <c r="I6037">
        <f>1</f>
        <v>1</v>
      </c>
    </row>
    <row r="6038" spans="2:9" x14ac:dyDescent="0.25">
      <c r="B6038">
        <v>0</v>
      </c>
      <c r="C6038" s="16" t="s">
        <v>15204</v>
      </c>
      <c r="D6038" s="16"/>
      <c r="E6038">
        <v>6</v>
      </c>
      <c r="F6038" t="s">
        <v>6799</v>
      </c>
      <c r="G6038">
        <v>1</v>
      </c>
      <c r="H6038">
        <v>0</v>
      </c>
      <c r="I6038">
        <f>1</f>
        <v>1</v>
      </c>
    </row>
    <row r="6039" spans="2:9" x14ac:dyDescent="0.25">
      <c r="B6039">
        <v>0</v>
      </c>
      <c r="C6039" s="16" t="s">
        <v>15205</v>
      </c>
      <c r="D6039" s="16"/>
      <c r="E6039">
        <v>6</v>
      </c>
      <c r="F6039" t="s">
        <v>7485</v>
      </c>
      <c r="G6039">
        <v>1</v>
      </c>
      <c r="H6039">
        <v>0</v>
      </c>
      <c r="I6039">
        <f>1</f>
        <v>1</v>
      </c>
    </row>
    <row r="6040" spans="2:9" x14ac:dyDescent="0.25">
      <c r="B6040">
        <v>0</v>
      </c>
      <c r="C6040" s="16" t="s">
        <v>15206</v>
      </c>
      <c r="D6040" s="16"/>
      <c r="E6040">
        <v>6</v>
      </c>
      <c r="F6040" t="s">
        <v>7462</v>
      </c>
      <c r="G6040">
        <v>1</v>
      </c>
      <c r="H6040">
        <v>0</v>
      </c>
      <c r="I6040">
        <f>1</f>
        <v>1</v>
      </c>
    </row>
    <row r="6041" spans="2:9" x14ac:dyDescent="0.25">
      <c r="B6041">
        <v>0</v>
      </c>
      <c r="C6041" s="16" t="s">
        <v>15207</v>
      </c>
      <c r="D6041" s="16"/>
      <c r="E6041">
        <v>6</v>
      </c>
      <c r="F6041" t="s">
        <v>4680</v>
      </c>
      <c r="G6041">
        <v>1</v>
      </c>
      <c r="H6041">
        <v>0</v>
      </c>
      <c r="I6041">
        <f>1</f>
        <v>1</v>
      </c>
    </row>
    <row r="6042" spans="2:9" x14ac:dyDescent="0.25">
      <c r="B6042">
        <v>0</v>
      </c>
      <c r="C6042" s="16" t="s">
        <v>15208</v>
      </c>
      <c r="D6042" s="16"/>
      <c r="E6042">
        <v>6</v>
      </c>
      <c r="F6042" t="s">
        <v>7486</v>
      </c>
      <c r="G6042">
        <v>1</v>
      </c>
      <c r="H6042">
        <v>0</v>
      </c>
      <c r="I6042">
        <f>1</f>
        <v>1</v>
      </c>
    </row>
    <row r="6043" spans="2:9" x14ac:dyDescent="0.25">
      <c r="B6043">
        <v>0</v>
      </c>
      <c r="C6043" s="16" t="s">
        <v>15209</v>
      </c>
      <c r="D6043" s="16"/>
      <c r="E6043">
        <v>6</v>
      </c>
      <c r="F6043" t="s">
        <v>6799</v>
      </c>
      <c r="G6043">
        <v>1</v>
      </c>
      <c r="H6043">
        <v>0</v>
      </c>
      <c r="I6043">
        <f>1</f>
        <v>1</v>
      </c>
    </row>
    <row r="6044" spans="2:9" x14ac:dyDescent="0.25">
      <c r="B6044">
        <v>0</v>
      </c>
      <c r="C6044" s="16" t="s">
        <v>15210</v>
      </c>
      <c r="D6044" s="16"/>
      <c r="E6044">
        <v>6</v>
      </c>
      <c r="F6044" t="s">
        <v>7485</v>
      </c>
      <c r="G6044">
        <v>1</v>
      </c>
      <c r="H6044">
        <v>0</v>
      </c>
      <c r="I6044">
        <f>1</f>
        <v>1</v>
      </c>
    </row>
    <row r="6045" spans="2:9" x14ac:dyDescent="0.25">
      <c r="B6045">
        <v>0</v>
      </c>
      <c r="C6045" s="16" t="s">
        <v>15211</v>
      </c>
      <c r="D6045" s="16"/>
      <c r="E6045">
        <v>6</v>
      </c>
      <c r="F6045" t="s">
        <v>7462</v>
      </c>
      <c r="G6045">
        <v>1</v>
      </c>
      <c r="H6045">
        <v>0</v>
      </c>
      <c r="I6045">
        <f>1</f>
        <v>1</v>
      </c>
    </row>
    <row r="6046" spans="2:9" x14ac:dyDescent="0.25">
      <c r="B6046">
        <v>0</v>
      </c>
      <c r="C6046" s="16" t="s">
        <v>15212</v>
      </c>
      <c r="D6046" s="16"/>
      <c r="E6046">
        <v>6</v>
      </c>
      <c r="F6046" t="s">
        <v>4680</v>
      </c>
      <c r="G6046">
        <v>1</v>
      </c>
      <c r="H6046">
        <v>0</v>
      </c>
      <c r="I6046">
        <f>1</f>
        <v>1</v>
      </c>
    </row>
    <row r="6047" spans="2:9" x14ac:dyDescent="0.25">
      <c r="B6047">
        <v>0</v>
      </c>
      <c r="C6047" s="16" t="s">
        <v>15213</v>
      </c>
      <c r="D6047" s="16"/>
      <c r="E6047">
        <v>6</v>
      </c>
      <c r="F6047" t="s">
        <v>7486</v>
      </c>
      <c r="G6047">
        <v>1</v>
      </c>
      <c r="H6047">
        <v>0</v>
      </c>
      <c r="I6047">
        <f>1</f>
        <v>1</v>
      </c>
    </row>
    <row r="6048" spans="2:9" x14ac:dyDescent="0.25">
      <c r="B6048">
        <v>0</v>
      </c>
      <c r="C6048" s="16" t="s">
        <v>15214</v>
      </c>
      <c r="D6048" s="16"/>
      <c r="E6048">
        <v>6</v>
      </c>
      <c r="F6048" t="s">
        <v>6799</v>
      </c>
      <c r="G6048">
        <v>1</v>
      </c>
      <c r="H6048">
        <v>0</v>
      </c>
      <c r="I6048">
        <f>1</f>
        <v>1</v>
      </c>
    </row>
    <row r="6049" spans="2:9" x14ac:dyDescent="0.25">
      <c r="B6049">
        <v>0</v>
      </c>
      <c r="C6049" s="16" t="s">
        <v>15215</v>
      </c>
      <c r="D6049" s="16"/>
      <c r="E6049">
        <v>6</v>
      </c>
      <c r="F6049" t="s">
        <v>7485</v>
      </c>
      <c r="G6049">
        <v>1</v>
      </c>
      <c r="H6049">
        <v>0</v>
      </c>
      <c r="I6049">
        <f>1</f>
        <v>1</v>
      </c>
    </row>
    <row r="6050" spans="2:9" x14ac:dyDescent="0.25">
      <c r="B6050">
        <v>0</v>
      </c>
      <c r="C6050" s="16" t="s">
        <v>15216</v>
      </c>
      <c r="D6050" s="16"/>
      <c r="E6050">
        <v>6</v>
      </c>
      <c r="F6050" t="s">
        <v>7462</v>
      </c>
      <c r="G6050">
        <v>1</v>
      </c>
      <c r="H6050">
        <v>0</v>
      </c>
      <c r="I6050">
        <f>1</f>
        <v>1</v>
      </c>
    </row>
    <row r="6051" spans="2:9" x14ac:dyDescent="0.25">
      <c r="B6051">
        <v>0</v>
      </c>
      <c r="C6051" s="16" t="s">
        <v>15217</v>
      </c>
      <c r="D6051" s="16"/>
      <c r="E6051">
        <v>6</v>
      </c>
      <c r="F6051" t="s">
        <v>4680</v>
      </c>
      <c r="G6051">
        <v>1</v>
      </c>
      <c r="H6051">
        <v>0</v>
      </c>
      <c r="I6051">
        <f>1</f>
        <v>1</v>
      </c>
    </row>
    <row r="6052" spans="2:9" x14ac:dyDescent="0.25">
      <c r="B6052">
        <v>0</v>
      </c>
      <c r="C6052" s="16" t="s">
        <v>15218</v>
      </c>
      <c r="D6052" s="16"/>
      <c r="E6052">
        <v>6</v>
      </c>
      <c r="F6052" t="s">
        <v>6799</v>
      </c>
      <c r="G6052">
        <v>1</v>
      </c>
      <c r="H6052">
        <v>0</v>
      </c>
      <c r="I6052">
        <f>1</f>
        <v>1</v>
      </c>
    </row>
    <row r="6053" spans="2:9" x14ac:dyDescent="0.25">
      <c r="B6053">
        <v>0</v>
      </c>
      <c r="C6053" s="16" t="s">
        <v>15219</v>
      </c>
      <c r="D6053" s="16"/>
      <c r="E6053">
        <v>6</v>
      </c>
      <c r="F6053" t="s">
        <v>7485</v>
      </c>
      <c r="G6053">
        <v>1</v>
      </c>
      <c r="H6053">
        <v>0</v>
      </c>
      <c r="I6053">
        <f>1</f>
        <v>1</v>
      </c>
    </row>
    <row r="6054" spans="2:9" x14ac:dyDescent="0.25">
      <c r="B6054">
        <v>0</v>
      </c>
      <c r="C6054" s="16" t="s">
        <v>15220</v>
      </c>
      <c r="D6054" s="16"/>
      <c r="E6054">
        <v>6</v>
      </c>
      <c r="F6054" t="s">
        <v>7462</v>
      </c>
      <c r="G6054">
        <v>1</v>
      </c>
      <c r="H6054">
        <v>0</v>
      </c>
      <c r="I6054">
        <f>1</f>
        <v>1</v>
      </c>
    </row>
    <row r="6055" spans="2:9" x14ac:dyDescent="0.25">
      <c r="B6055">
        <v>0</v>
      </c>
      <c r="C6055" s="16" t="s">
        <v>15221</v>
      </c>
      <c r="D6055" s="16"/>
      <c r="E6055">
        <v>6</v>
      </c>
      <c r="F6055" t="s">
        <v>4680</v>
      </c>
      <c r="G6055">
        <v>1</v>
      </c>
      <c r="H6055">
        <v>0</v>
      </c>
      <c r="I6055">
        <f>1</f>
        <v>1</v>
      </c>
    </row>
    <row r="6056" spans="2:9" x14ac:dyDescent="0.25">
      <c r="B6056">
        <v>0</v>
      </c>
      <c r="C6056" s="16" t="s">
        <v>15222</v>
      </c>
      <c r="D6056" s="16"/>
      <c r="E6056">
        <v>6</v>
      </c>
      <c r="F6056" t="s">
        <v>7487</v>
      </c>
      <c r="G6056">
        <v>1</v>
      </c>
      <c r="H6056">
        <v>0</v>
      </c>
      <c r="I6056">
        <f>1</f>
        <v>1</v>
      </c>
    </row>
    <row r="6057" spans="2:9" x14ac:dyDescent="0.25">
      <c r="B6057">
        <v>0</v>
      </c>
      <c r="C6057" s="16" t="s">
        <v>15223</v>
      </c>
      <c r="D6057" s="16"/>
      <c r="E6057">
        <v>6</v>
      </c>
      <c r="F6057" t="s">
        <v>7488</v>
      </c>
      <c r="G6057">
        <v>1</v>
      </c>
      <c r="H6057">
        <v>0</v>
      </c>
      <c r="I6057">
        <f>1</f>
        <v>1</v>
      </c>
    </row>
    <row r="6058" spans="2:9" x14ac:dyDescent="0.25">
      <c r="B6058">
        <v>0</v>
      </c>
      <c r="C6058" s="16" t="s">
        <v>15224</v>
      </c>
      <c r="D6058" s="16"/>
      <c r="E6058">
        <v>6</v>
      </c>
      <c r="F6058" t="s">
        <v>7489</v>
      </c>
      <c r="G6058">
        <v>1</v>
      </c>
      <c r="H6058">
        <v>0</v>
      </c>
      <c r="I6058">
        <f>1</f>
        <v>1</v>
      </c>
    </row>
    <row r="6059" spans="2:9" x14ac:dyDescent="0.25">
      <c r="B6059">
        <v>0</v>
      </c>
      <c r="C6059" s="16" t="s">
        <v>15225</v>
      </c>
      <c r="D6059" s="16"/>
      <c r="E6059">
        <v>6</v>
      </c>
      <c r="F6059" t="s">
        <v>7490</v>
      </c>
      <c r="G6059">
        <v>1</v>
      </c>
      <c r="H6059">
        <v>0</v>
      </c>
      <c r="I6059">
        <f>1</f>
        <v>1</v>
      </c>
    </row>
    <row r="6060" spans="2:9" x14ac:dyDescent="0.25">
      <c r="B6060">
        <v>0</v>
      </c>
      <c r="C6060" s="16" t="s">
        <v>15226</v>
      </c>
      <c r="D6060" s="16"/>
      <c r="E6060">
        <v>6</v>
      </c>
      <c r="F6060" t="s">
        <v>4680</v>
      </c>
      <c r="G6060">
        <v>1</v>
      </c>
      <c r="H6060">
        <v>0</v>
      </c>
      <c r="I6060">
        <f>1</f>
        <v>1</v>
      </c>
    </row>
    <row r="6061" spans="2:9" x14ac:dyDescent="0.25">
      <c r="B6061">
        <v>0</v>
      </c>
      <c r="C6061" s="16" t="s">
        <v>15227</v>
      </c>
      <c r="D6061" s="16"/>
      <c r="E6061">
        <v>6</v>
      </c>
      <c r="F6061" t="s">
        <v>7491</v>
      </c>
      <c r="G6061">
        <v>1</v>
      </c>
      <c r="H6061">
        <v>0</v>
      </c>
      <c r="I6061">
        <f>1</f>
        <v>1</v>
      </c>
    </row>
    <row r="6062" spans="2:9" x14ac:dyDescent="0.25">
      <c r="B6062">
        <v>0</v>
      </c>
      <c r="C6062" s="16" t="s">
        <v>15228</v>
      </c>
      <c r="D6062" s="16"/>
      <c r="E6062">
        <v>6</v>
      </c>
      <c r="F6062" t="s">
        <v>7492</v>
      </c>
      <c r="G6062">
        <v>1</v>
      </c>
      <c r="H6062">
        <v>0</v>
      </c>
      <c r="I6062">
        <f>1</f>
        <v>1</v>
      </c>
    </row>
    <row r="6063" spans="2:9" x14ac:dyDescent="0.25">
      <c r="B6063">
        <v>0</v>
      </c>
      <c r="C6063" s="16" t="s">
        <v>15229</v>
      </c>
      <c r="D6063" s="16"/>
      <c r="E6063">
        <v>6</v>
      </c>
      <c r="F6063" t="s">
        <v>4680</v>
      </c>
      <c r="G6063">
        <v>1</v>
      </c>
      <c r="H6063">
        <v>0</v>
      </c>
      <c r="I6063">
        <f>1</f>
        <v>1</v>
      </c>
    </row>
    <row r="6064" spans="2:9" x14ac:dyDescent="0.25">
      <c r="B6064">
        <v>0</v>
      </c>
      <c r="C6064" s="16" t="s">
        <v>15230</v>
      </c>
      <c r="D6064" s="16"/>
      <c r="E6064">
        <v>6</v>
      </c>
      <c r="F6064" t="s">
        <v>7493</v>
      </c>
      <c r="G6064">
        <v>1</v>
      </c>
      <c r="H6064">
        <v>0</v>
      </c>
      <c r="I6064">
        <f>1</f>
        <v>1</v>
      </c>
    </row>
    <row r="6065" spans="2:9" x14ac:dyDescent="0.25">
      <c r="B6065">
        <v>0</v>
      </c>
      <c r="C6065" s="16" t="s">
        <v>15231</v>
      </c>
      <c r="D6065" s="16"/>
      <c r="E6065">
        <v>6</v>
      </c>
      <c r="F6065" t="e">
        <f>--Cordéis para atadeiras ou enfardadeiras</f>
        <v>#NAME?</v>
      </c>
      <c r="G6065">
        <v>1</v>
      </c>
      <c r="H6065">
        <v>0</v>
      </c>
      <c r="I6065">
        <f>1</f>
        <v>1</v>
      </c>
    </row>
    <row r="6066" spans="2:9" x14ac:dyDescent="0.25">
      <c r="B6066">
        <v>0</v>
      </c>
      <c r="C6066" s="16" t="s">
        <v>15232</v>
      </c>
      <c r="D6066" s="16"/>
      <c r="E6066">
        <v>6</v>
      </c>
      <c r="F6066" t="e">
        <f>--outros</f>
        <v>#NAME?</v>
      </c>
      <c r="G6066">
        <v>1</v>
      </c>
      <c r="H6066">
        <v>0</v>
      </c>
      <c r="I6066">
        <f>1</f>
        <v>1</v>
      </c>
    </row>
    <row r="6067" spans="2:9" x14ac:dyDescent="0.25">
      <c r="B6067">
        <v>0</v>
      </c>
      <c r="C6067" s="16" t="s">
        <v>15233</v>
      </c>
      <c r="D6067" s="16"/>
      <c r="E6067">
        <v>6</v>
      </c>
      <c r="F6067" t="e">
        <f>--Cordéis para atadeiras ou enfardadeiras</f>
        <v>#NAME?</v>
      </c>
      <c r="G6067">
        <v>1</v>
      </c>
      <c r="H6067">
        <v>0</v>
      </c>
      <c r="I6067">
        <f>1</f>
        <v>1</v>
      </c>
    </row>
    <row r="6068" spans="2:9" x14ac:dyDescent="0.25">
      <c r="B6068">
        <v>0</v>
      </c>
      <c r="C6068" s="16" t="s">
        <v>15234</v>
      </c>
      <c r="D6068" s="16"/>
      <c r="E6068">
        <v>6</v>
      </c>
      <c r="F6068" t="e">
        <f>--outros</f>
        <v>#NAME?</v>
      </c>
      <c r="G6068">
        <v>1</v>
      </c>
      <c r="H6068">
        <v>0</v>
      </c>
      <c r="I6068">
        <f>1</f>
        <v>1</v>
      </c>
    </row>
    <row r="6069" spans="2:9" x14ac:dyDescent="0.25">
      <c r="B6069">
        <v>0</v>
      </c>
      <c r="C6069" s="16" t="s">
        <v>15235</v>
      </c>
      <c r="D6069" s="16"/>
      <c r="E6069">
        <v>6</v>
      </c>
      <c r="F6069" t="s">
        <v>7437</v>
      </c>
      <c r="G6069">
        <v>1</v>
      </c>
      <c r="H6069">
        <v>0</v>
      </c>
      <c r="I6069">
        <f>1</f>
        <v>1</v>
      </c>
    </row>
    <row r="6070" spans="2:9" x14ac:dyDescent="0.25">
      <c r="B6070">
        <v>0</v>
      </c>
      <c r="C6070" s="16" t="s">
        <v>15236</v>
      </c>
      <c r="D6070" s="16"/>
      <c r="E6070">
        <v>6</v>
      </c>
      <c r="F6070" t="s">
        <v>4680</v>
      </c>
      <c r="G6070">
        <v>1</v>
      </c>
      <c r="H6070">
        <v>0</v>
      </c>
      <c r="I6070">
        <f>1</f>
        <v>1</v>
      </c>
    </row>
    <row r="6071" spans="2:9" x14ac:dyDescent="0.25">
      <c r="B6071">
        <v>0</v>
      </c>
      <c r="C6071" s="16" t="s">
        <v>15237</v>
      </c>
      <c r="D6071" s="16"/>
      <c r="E6071">
        <v>6</v>
      </c>
      <c r="F6071" t="s">
        <v>4680</v>
      </c>
      <c r="G6071">
        <v>1</v>
      </c>
      <c r="H6071">
        <v>0</v>
      </c>
      <c r="I6071">
        <f>1</f>
        <v>1</v>
      </c>
    </row>
    <row r="6072" spans="2:9" x14ac:dyDescent="0.25">
      <c r="B6072">
        <v>0</v>
      </c>
      <c r="C6072" s="16" t="s">
        <v>15238</v>
      </c>
      <c r="D6072" s="16"/>
      <c r="E6072">
        <v>6</v>
      </c>
      <c r="F6072" t="s">
        <v>7494</v>
      </c>
      <c r="G6072">
        <v>1</v>
      </c>
      <c r="H6072">
        <v>0</v>
      </c>
      <c r="I6072">
        <f>1</f>
        <v>1</v>
      </c>
    </row>
    <row r="6073" spans="2:9" x14ac:dyDescent="0.25">
      <c r="B6073">
        <v>0</v>
      </c>
      <c r="C6073" s="16" t="s">
        <v>15239</v>
      </c>
      <c r="D6073" s="16"/>
      <c r="E6073">
        <v>6</v>
      </c>
      <c r="F6073" t="s">
        <v>7495</v>
      </c>
      <c r="G6073">
        <v>1</v>
      </c>
      <c r="H6073">
        <v>0</v>
      </c>
      <c r="I6073">
        <f>1</f>
        <v>1</v>
      </c>
    </row>
    <row r="6074" spans="2:9" x14ac:dyDescent="0.25">
      <c r="B6074">
        <v>0</v>
      </c>
      <c r="C6074" s="16" t="s">
        <v>15240</v>
      </c>
      <c r="D6074" s="16"/>
      <c r="E6074">
        <v>6</v>
      </c>
      <c r="F6074" t="s">
        <v>4680</v>
      </c>
      <c r="G6074">
        <v>1</v>
      </c>
      <c r="H6074">
        <v>0</v>
      </c>
      <c r="I6074">
        <f>1</f>
        <v>1</v>
      </c>
    </row>
    <row r="6075" spans="2:9" x14ac:dyDescent="0.25">
      <c r="B6075">
        <v>0</v>
      </c>
      <c r="C6075" s="16" t="s">
        <v>15241</v>
      </c>
      <c r="D6075" s="16"/>
      <c r="E6075">
        <v>6</v>
      </c>
      <c r="F6075" t="e">
        <f>--Redes confeccionadas para a pesca</f>
        <v>#NAME?</v>
      </c>
      <c r="G6075">
        <v>1</v>
      </c>
      <c r="H6075">
        <v>0</v>
      </c>
      <c r="I6075">
        <f>1</f>
        <v>1</v>
      </c>
    </row>
    <row r="6076" spans="2:9" x14ac:dyDescent="0.25">
      <c r="B6076">
        <v>0</v>
      </c>
      <c r="C6076" s="16" t="s">
        <v>15242</v>
      </c>
      <c r="D6076" s="16"/>
      <c r="E6076">
        <v>6</v>
      </c>
      <c r="F6076" t="e">
        <f>--Outras</f>
        <v>#NAME?</v>
      </c>
      <c r="G6076">
        <v>1</v>
      </c>
      <c r="H6076">
        <v>0</v>
      </c>
      <c r="I6076">
        <f>1</f>
        <v>1</v>
      </c>
    </row>
    <row r="6077" spans="2:9" x14ac:dyDescent="0.25">
      <c r="B6077">
        <v>0</v>
      </c>
      <c r="C6077" s="16" t="s">
        <v>15243</v>
      </c>
      <c r="D6077" s="16"/>
      <c r="E6077">
        <v>6</v>
      </c>
      <c r="F6077" t="e">
        <f>-Outras</f>
        <v>#NAME?</v>
      </c>
      <c r="G6077">
        <v>1</v>
      </c>
      <c r="H6077">
        <v>0</v>
      </c>
      <c r="I6077">
        <f>1</f>
        <v>1</v>
      </c>
    </row>
    <row r="6078" spans="2:9" x14ac:dyDescent="0.25">
      <c r="B6078">
        <v>0</v>
      </c>
      <c r="C6078" s="16" t="s">
        <v>15244</v>
      </c>
      <c r="D6078" s="16"/>
      <c r="E6078">
        <v>6</v>
      </c>
      <c r="F6078" t="s">
        <v>7494</v>
      </c>
      <c r="G6078">
        <v>1</v>
      </c>
      <c r="H6078">
        <v>0</v>
      </c>
      <c r="I6078">
        <f>1</f>
        <v>1</v>
      </c>
    </row>
    <row r="6079" spans="2:9" x14ac:dyDescent="0.25">
      <c r="B6079">
        <v>0</v>
      </c>
      <c r="C6079" s="16" t="s">
        <v>15245</v>
      </c>
      <c r="D6079" s="16"/>
      <c r="E6079">
        <v>6</v>
      </c>
      <c r="F6079" t="s">
        <v>4680</v>
      </c>
      <c r="G6079">
        <v>1</v>
      </c>
      <c r="H6079">
        <v>0</v>
      </c>
      <c r="I6079">
        <f>1</f>
        <v>1</v>
      </c>
    </row>
    <row r="6080" spans="2:9" x14ac:dyDescent="0.25">
      <c r="B6080">
        <v>0</v>
      </c>
      <c r="C6080" s="16" t="s">
        <v>15246</v>
      </c>
      <c r="D6080" s="16"/>
      <c r="E6080">
        <v>6</v>
      </c>
      <c r="F6080" t="s">
        <v>7496</v>
      </c>
      <c r="G6080">
        <v>1</v>
      </c>
      <c r="H6080">
        <v>0</v>
      </c>
      <c r="I6080">
        <f>1</f>
        <v>1</v>
      </c>
    </row>
    <row r="6081" spans="2:9" x14ac:dyDescent="0.25">
      <c r="B6081">
        <v>0</v>
      </c>
      <c r="C6081" s="16" t="s">
        <v>15247</v>
      </c>
      <c r="D6081" s="16"/>
      <c r="E6081">
        <v>6</v>
      </c>
      <c r="F6081" t="s">
        <v>7497</v>
      </c>
      <c r="G6081">
        <v>1</v>
      </c>
      <c r="H6081">
        <v>0</v>
      </c>
      <c r="I6081">
        <f>1</f>
        <v>1</v>
      </c>
    </row>
    <row r="6082" spans="2:9" x14ac:dyDescent="0.25">
      <c r="B6082">
        <v>0</v>
      </c>
      <c r="C6082" s="16" t="s">
        <v>15248</v>
      </c>
      <c r="D6082" s="16"/>
      <c r="E6082">
        <v>6</v>
      </c>
      <c r="F6082" t="s">
        <v>7383</v>
      </c>
      <c r="G6082">
        <v>1</v>
      </c>
      <c r="H6082">
        <v>0</v>
      </c>
      <c r="I6082">
        <f>1</f>
        <v>1</v>
      </c>
    </row>
    <row r="6083" spans="2:9" x14ac:dyDescent="0.25">
      <c r="B6083">
        <v>0</v>
      </c>
      <c r="C6083" s="16" t="s">
        <v>15249</v>
      </c>
      <c r="D6083" s="16"/>
      <c r="E6083">
        <v>6</v>
      </c>
      <c r="F6083" t="e">
        <f>-De Outras matérias têxteis</f>
        <v>#NAME?</v>
      </c>
      <c r="G6083">
        <v>1</v>
      </c>
      <c r="H6083">
        <v>0</v>
      </c>
      <c r="I6083">
        <f>1</f>
        <v>1</v>
      </c>
    </row>
    <row r="6084" spans="2:9" x14ac:dyDescent="0.25">
      <c r="B6084">
        <v>0</v>
      </c>
      <c r="C6084" s="16" t="s">
        <v>15250</v>
      </c>
      <c r="D6084" s="16"/>
      <c r="E6084">
        <v>6</v>
      </c>
      <c r="F6084" t="s">
        <v>7498</v>
      </c>
      <c r="G6084">
        <v>1</v>
      </c>
      <c r="H6084">
        <v>0</v>
      </c>
      <c r="I6084">
        <f>1</f>
        <v>1</v>
      </c>
    </row>
    <row r="6085" spans="2:9" x14ac:dyDescent="0.25">
      <c r="B6085">
        <v>0</v>
      </c>
      <c r="C6085" s="16" t="s">
        <v>15251</v>
      </c>
      <c r="D6085" s="16"/>
      <c r="E6085">
        <v>6</v>
      </c>
      <c r="F6085" t="s">
        <v>7499</v>
      </c>
      <c r="G6085">
        <v>1</v>
      </c>
      <c r="H6085">
        <v>0</v>
      </c>
      <c r="I6085">
        <f>1</f>
        <v>1</v>
      </c>
    </row>
    <row r="6086" spans="2:9" x14ac:dyDescent="0.25">
      <c r="B6086">
        <v>0</v>
      </c>
      <c r="C6086" s="16" t="s">
        <v>15252</v>
      </c>
      <c r="D6086" s="16"/>
      <c r="E6086">
        <v>6</v>
      </c>
      <c r="F6086" t="e">
        <f>--De lã ou De Pelos finos</f>
        <v>#NAME?</v>
      </c>
      <c r="G6086">
        <v>1</v>
      </c>
      <c r="H6086">
        <v>0</v>
      </c>
      <c r="I6086">
        <f>1</f>
        <v>1</v>
      </c>
    </row>
    <row r="6087" spans="2:9" x14ac:dyDescent="0.25">
      <c r="B6087">
        <v>0</v>
      </c>
      <c r="C6087" s="16" t="s">
        <v>15253</v>
      </c>
      <c r="D6087" s="16"/>
      <c r="E6087">
        <v>6</v>
      </c>
      <c r="F6087" t="e">
        <f>--De matérias têxteis sintéticas ou artificiais</f>
        <v>#NAME?</v>
      </c>
      <c r="G6087">
        <v>1</v>
      </c>
      <c r="H6087">
        <v>0</v>
      </c>
      <c r="I6087">
        <f>1</f>
        <v>1</v>
      </c>
    </row>
    <row r="6088" spans="2:9" x14ac:dyDescent="0.25">
      <c r="B6088">
        <v>0</v>
      </c>
      <c r="C6088" s="16" t="s">
        <v>15254</v>
      </c>
      <c r="D6088" s="16"/>
      <c r="E6088">
        <v>6</v>
      </c>
      <c r="F6088" t="e">
        <f>--De Outras matérias têxteis</f>
        <v>#NAME?</v>
      </c>
      <c r="G6088">
        <v>1</v>
      </c>
      <c r="H6088">
        <v>0</v>
      </c>
      <c r="I6088">
        <f>1</f>
        <v>1</v>
      </c>
    </row>
    <row r="6089" spans="2:9" x14ac:dyDescent="0.25">
      <c r="B6089">
        <v>0</v>
      </c>
      <c r="C6089" s="16" t="s">
        <v>15255</v>
      </c>
      <c r="D6089" s="16"/>
      <c r="E6089">
        <v>6</v>
      </c>
      <c r="F6089" t="e">
        <f>--De lã ou De Pelos finos</f>
        <v>#NAME?</v>
      </c>
      <c r="G6089">
        <v>1</v>
      </c>
      <c r="H6089">
        <v>0</v>
      </c>
      <c r="I6089">
        <f>1</f>
        <v>1</v>
      </c>
    </row>
    <row r="6090" spans="2:9" x14ac:dyDescent="0.25">
      <c r="B6090">
        <v>0</v>
      </c>
      <c r="C6090" s="16" t="s">
        <v>15256</v>
      </c>
      <c r="D6090" s="16"/>
      <c r="E6090">
        <v>6</v>
      </c>
      <c r="F6090" t="e">
        <f>--De matérias têxteis sintéticas ou artificiais</f>
        <v>#NAME?</v>
      </c>
      <c r="G6090">
        <v>1</v>
      </c>
      <c r="H6090">
        <v>0</v>
      </c>
      <c r="I6090">
        <f>1</f>
        <v>1</v>
      </c>
    </row>
    <row r="6091" spans="2:9" x14ac:dyDescent="0.25">
      <c r="B6091">
        <v>0</v>
      </c>
      <c r="C6091" s="16" t="s">
        <v>15257</v>
      </c>
      <c r="D6091" s="16"/>
      <c r="E6091">
        <v>6</v>
      </c>
      <c r="F6091" t="e">
        <f>--De Outras matérias têxteis</f>
        <v>#NAME?</v>
      </c>
      <c r="G6091">
        <v>1</v>
      </c>
      <c r="H6091">
        <v>0</v>
      </c>
      <c r="I6091">
        <f>1</f>
        <v>1</v>
      </c>
    </row>
    <row r="6092" spans="2:9" x14ac:dyDescent="0.25">
      <c r="B6092">
        <v>0</v>
      </c>
      <c r="C6092" s="16" t="s">
        <v>15258</v>
      </c>
      <c r="D6092" s="16"/>
      <c r="E6092">
        <v>6</v>
      </c>
      <c r="F6092" t="s">
        <v>7500</v>
      </c>
      <c r="G6092">
        <v>1</v>
      </c>
      <c r="H6092">
        <v>0</v>
      </c>
      <c r="I6092">
        <f>1</f>
        <v>1</v>
      </c>
    </row>
    <row r="6093" spans="2:9" x14ac:dyDescent="0.25">
      <c r="B6093">
        <v>0</v>
      </c>
      <c r="C6093" s="16" t="s">
        <v>15259</v>
      </c>
      <c r="D6093" s="16"/>
      <c r="E6093">
        <v>6</v>
      </c>
      <c r="F6093" t="s">
        <v>7501</v>
      </c>
      <c r="G6093">
        <v>1</v>
      </c>
      <c r="H6093">
        <v>0</v>
      </c>
      <c r="I6093">
        <f>1</f>
        <v>1</v>
      </c>
    </row>
    <row r="6094" spans="2:9" x14ac:dyDescent="0.25">
      <c r="B6094">
        <v>0</v>
      </c>
      <c r="C6094" s="16" t="s">
        <v>15260</v>
      </c>
      <c r="D6094" s="16"/>
      <c r="E6094">
        <v>6</v>
      </c>
      <c r="F6094" t="s">
        <v>4680</v>
      </c>
      <c r="G6094">
        <v>1</v>
      </c>
      <c r="H6094">
        <v>0</v>
      </c>
      <c r="I6094">
        <f>1</f>
        <v>1</v>
      </c>
    </row>
    <row r="6095" spans="2:9" x14ac:dyDescent="0.25">
      <c r="B6095">
        <v>0</v>
      </c>
      <c r="C6095" s="16" t="s">
        <v>15261</v>
      </c>
      <c r="D6095" s="16"/>
      <c r="E6095">
        <v>6</v>
      </c>
      <c r="F6095" t="e">
        <f>--De lã ou De Pelos finos</f>
        <v>#NAME?</v>
      </c>
      <c r="G6095">
        <v>1</v>
      </c>
      <c r="H6095">
        <v>0</v>
      </c>
      <c r="I6095">
        <f>1</f>
        <v>1</v>
      </c>
    </row>
    <row r="6096" spans="2:9" x14ac:dyDescent="0.25">
      <c r="B6096">
        <v>0</v>
      </c>
      <c r="C6096" s="16" t="s">
        <v>15262</v>
      </c>
      <c r="D6096" s="16"/>
      <c r="E6096">
        <v>6</v>
      </c>
      <c r="F6096" t="e">
        <f>--De matérias têxteis sintéticas ou artificiais</f>
        <v>#NAME?</v>
      </c>
      <c r="G6096">
        <v>1</v>
      </c>
      <c r="H6096">
        <v>0</v>
      </c>
      <c r="I6096">
        <f>1</f>
        <v>1</v>
      </c>
    </row>
    <row r="6097" spans="2:9" x14ac:dyDescent="0.25">
      <c r="B6097">
        <v>0</v>
      </c>
      <c r="C6097" s="16" t="s">
        <v>15263</v>
      </c>
      <c r="D6097" s="16"/>
      <c r="E6097">
        <v>6</v>
      </c>
      <c r="F6097" t="e">
        <f>--De Outras matérias têxteis</f>
        <v>#NAME?</v>
      </c>
      <c r="G6097">
        <v>1</v>
      </c>
      <c r="H6097">
        <v>0</v>
      </c>
      <c r="I6097">
        <f>1</f>
        <v>1</v>
      </c>
    </row>
    <row r="6098" spans="2:9" x14ac:dyDescent="0.25">
      <c r="B6098">
        <v>0</v>
      </c>
      <c r="C6098" s="16" t="s">
        <v>15264</v>
      </c>
      <c r="D6098" s="16"/>
      <c r="E6098">
        <v>6</v>
      </c>
      <c r="F6098" t="e">
        <f>-De lã ou De Pelos finos</f>
        <v>#NAME?</v>
      </c>
      <c r="G6098">
        <v>1</v>
      </c>
      <c r="H6098">
        <v>0</v>
      </c>
      <c r="I6098">
        <f>1</f>
        <v>1</v>
      </c>
    </row>
    <row r="6099" spans="2:9" x14ac:dyDescent="0.25">
      <c r="B6099">
        <v>0</v>
      </c>
      <c r="C6099" s="16" t="s">
        <v>15265</v>
      </c>
      <c r="D6099" s="16"/>
      <c r="E6099">
        <v>6</v>
      </c>
      <c r="F6099" t="e">
        <f>-De náilon ou De Outras poliamidas</f>
        <v>#NAME?</v>
      </c>
      <c r="G6099">
        <v>1</v>
      </c>
      <c r="H6099">
        <v>0</v>
      </c>
      <c r="I6099">
        <f>1</f>
        <v>1</v>
      </c>
    </row>
    <row r="6100" spans="2:9" x14ac:dyDescent="0.25">
      <c r="B6100">
        <v>0</v>
      </c>
      <c r="C6100" s="16" t="s">
        <v>15266</v>
      </c>
      <c r="D6100" s="16"/>
      <c r="E6100">
        <v>6</v>
      </c>
      <c r="F6100" t="e">
        <f>-De Outras matérias têxteis sintéticas ou De matérias têxteis artificiais</f>
        <v>#NAME?</v>
      </c>
      <c r="G6100">
        <v>1</v>
      </c>
      <c r="H6100">
        <v>0</v>
      </c>
      <c r="I6100">
        <f>1</f>
        <v>1</v>
      </c>
    </row>
    <row r="6101" spans="2:9" x14ac:dyDescent="0.25">
      <c r="B6101">
        <v>0</v>
      </c>
      <c r="C6101" s="16" t="s">
        <v>15267</v>
      </c>
      <c r="D6101" s="16"/>
      <c r="E6101">
        <v>6</v>
      </c>
      <c r="F6101" t="e">
        <f>-De Outras matérias têxteis</f>
        <v>#NAME?</v>
      </c>
      <c r="G6101">
        <v>1</v>
      </c>
      <c r="H6101">
        <v>0</v>
      </c>
      <c r="I6101">
        <f>1</f>
        <v>1</v>
      </c>
    </row>
    <row r="6102" spans="2:9" x14ac:dyDescent="0.25">
      <c r="B6102">
        <v>0</v>
      </c>
      <c r="C6102" s="16" t="s">
        <v>15268</v>
      </c>
      <c r="D6102" s="16"/>
      <c r="E6102">
        <v>6</v>
      </c>
      <c r="F6102" t="s">
        <v>7502</v>
      </c>
      <c r="G6102">
        <v>1</v>
      </c>
      <c r="H6102">
        <v>0</v>
      </c>
      <c r="I6102">
        <f>1</f>
        <v>1</v>
      </c>
    </row>
    <row r="6103" spans="2:9" x14ac:dyDescent="0.25">
      <c r="B6103">
        <v>0</v>
      </c>
      <c r="C6103" s="16" t="s">
        <v>15269</v>
      </c>
      <c r="D6103" s="16"/>
      <c r="E6103">
        <v>6</v>
      </c>
      <c r="F6103" t="e">
        <f>-outros</f>
        <v>#NAME?</v>
      </c>
      <c r="G6103">
        <v>1</v>
      </c>
      <c r="H6103">
        <v>0</v>
      </c>
      <c r="I6103">
        <f>1</f>
        <v>1</v>
      </c>
    </row>
    <row r="6104" spans="2:9" x14ac:dyDescent="0.25">
      <c r="B6104">
        <v>0</v>
      </c>
      <c r="C6104" s="16" t="s">
        <v>15270</v>
      </c>
      <c r="D6104" s="16"/>
      <c r="E6104">
        <v>6</v>
      </c>
      <c r="F6104" t="s">
        <v>7503</v>
      </c>
      <c r="G6104">
        <v>1</v>
      </c>
      <c r="H6104">
        <v>0</v>
      </c>
      <c r="I6104">
        <f>1</f>
        <v>1</v>
      </c>
    </row>
    <row r="6105" spans="2:9" x14ac:dyDescent="0.25">
      <c r="B6105">
        <v>0</v>
      </c>
      <c r="C6105" s="16" t="s">
        <v>15271</v>
      </c>
      <c r="D6105" s="16"/>
      <c r="E6105">
        <v>6</v>
      </c>
      <c r="F6105" t="e">
        <f>-De lã ou De Pelos finos</f>
        <v>#NAME?</v>
      </c>
      <c r="G6105">
        <v>1</v>
      </c>
      <c r="H6105">
        <v>1</v>
      </c>
      <c r="I6105">
        <f>1</f>
        <v>1</v>
      </c>
    </row>
    <row r="6106" spans="2:9" x14ac:dyDescent="0.25">
      <c r="B6106">
        <v>0</v>
      </c>
      <c r="C6106" s="16" t="s">
        <v>15272</v>
      </c>
      <c r="D6106" s="16"/>
      <c r="E6106">
        <v>6</v>
      </c>
      <c r="F6106" t="s">
        <v>7504</v>
      </c>
      <c r="G6106">
        <v>1</v>
      </c>
      <c r="H6106">
        <v>1</v>
      </c>
      <c r="I6106">
        <f>1</f>
        <v>1</v>
      </c>
    </row>
    <row r="6107" spans="2:9" x14ac:dyDescent="0.25">
      <c r="B6107">
        <v>0</v>
      </c>
      <c r="C6107" s="16" t="s">
        <v>15273</v>
      </c>
      <c r="D6107" s="16"/>
      <c r="E6107">
        <v>6</v>
      </c>
      <c r="F6107" t="s">
        <v>7505</v>
      </c>
      <c r="G6107">
        <v>1</v>
      </c>
      <c r="H6107">
        <v>1</v>
      </c>
      <c r="I6107">
        <f>1</f>
        <v>1</v>
      </c>
    </row>
    <row r="6108" spans="2:9" x14ac:dyDescent="0.25">
      <c r="B6108">
        <v>0</v>
      </c>
      <c r="C6108" s="16" t="s">
        <v>15274</v>
      </c>
      <c r="D6108" s="16"/>
      <c r="E6108">
        <v>6</v>
      </c>
      <c r="F6108" t="e">
        <f>--outros Veludos e pelúcias obtidos por trama</f>
        <v>#NAME?</v>
      </c>
      <c r="G6108">
        <v>1</v>
      </c>
      <c r="H6108">
        <v>1</v>
      </c>
      <c r="I6108">
        <f>1</f>
        <v>1</v>
      </c>
    </row>
    <row r="6109" spans="2:9" x14ac:dyDescent="0.25">
      <c r="B6109">
        <v>0</v>
      </c>
      <c r="C6109" s="16" t="s">
        <v>15275</v>
      </c>
      <c r="D6109" s="16"/>
      <c r="E6109">
        <v>6</v>
      </c>
      <c r="F6109" t="e">
        <f>--tecidos De froco  chenille</f>
        <v>#NAME?</v>
      </c>
      <c r="G6109">
        <v>1</v>
      </c>
      <c r="H6109">
        <v>1</v>
      </c>
      <c r="I6109">
        <f>1</f>
        <v>1</v>
      </c>
    </row>
    <row r="6110" spans="2:9" x14ac:dyDescent="0.25">
      <c r="B6110">
        <v>0</v>
      </c>
      <c r="C6110" s="16" t="s">
        <v>15276</v>
      </c>
      <c r="D6110" s="16"/>
      <c r="E6110">
        <v>6</v>
      </c>
      <c r="F6110" t="e">
        <f>--Veludos e pelúcias obtidos por urdidura</f>
        <v>#NAME?</v>
      </c>
      <c r="G6110">
        <v>1</v>
      </c>
      <c r="H6110">
        <v>1</v>
      </c>
      <c r="I6110">
        <f>1</f>
        <v>1</v>
      </c>
    </row>
    <row r="6111" spans="2:9" x14ac:dyDescent="0.25">
      <c r="B6111">
        <v>0</v>
      </c>
      <c r="C6111" s="16" t="s">
        <v>15277</v>
      </c>
      <c r="D6111" s="16"/>
      <c r="E6111">
        <v>6</v>
      </c>
      <c r="F6111" t="s">
        <v>7504</v>
      </c>
      <c r="G6111">
        <v>1</v>
      </c>
      <c r="H6111">
        <v>1</v>
      </c>
      <c r="I6111">
        <f>1</f>
        <v>1</v>
      </c>
    </row>
    <row r="6112" spans="2:9" x14ac:dyDescent="0.25">
      <c r="B6112">
        <v>0</v>
      </c>
      <c r="C6112" s="16" t="s">
        <v>15278</v>
      </c>
      <c r="D6112" s="16"/>
      <c r="E6112">
        <v>6</v>
      </c>
      <c r="F6112" t="s">
        <v>7505</v>
      </c>
      <c r="G6112">
        <v>1</v>
      </c>
      <c r="H6112">
        <v>1</v>
      </c>
      <c r="I6112">
        <f>1</f>
        <v>1</v>
      </c>
    </row>
    <row r="6113" spans="2:9" x14ac:dyDescent="0.25">
      <c r="B6113">
        <v>0</v>
      </c>
      <c r="C6113" s="16" t="s">
        <v>15279</v>
      </c>
      <c r="D6113" s="16"/>
      <c r="E6113">
        <v>6</v>
      </c>
      <c r="F6113" t="e">
        <f>--outros Veludos e pelúcias obtidos por trama</f>
        <v>#NAME?</v>
      </c>
      <c r="G6113">
        <v>1</v>
      </c>
      <c r="H6113">
        <v>1</v>
      </c>
      <c r="I6113">
        <f>1</f>
        <v>1</v>
      </c>
    </row>
    <row r="6114" spans="2:9" x14ac:dyDescent="0.25">
      <c r="B6114">
        <v>0</v>
      </c>
      <c r="C6114" s="16" t="s">
        <v>15280</v>
      </c>
      <c r="D6114" s="16"/>
      <c r="E6114">
        <v>6</v>
      </c>
      <c r="F6114" t="e">
        <f>--tecidos De froco  chenille</f>
        <v>#NAME?</v>
      </c>
      <c r="G6114">
        <v>1</v>
      </c>
      <c r="H6114">
        <v>1</v>
      </c>
      <c r="I6114">
        <f>1</f>
        <v>1</v>
      </c>
    </row>
    <row r="6115" spans="2:9" x14ac:dyDescent="0.25">
      <c r="B6115">
        <v>0</v>
      </c>
      <c r="C6115" s="16" t="s">
        <v>15281</v>
      </c>
      <c r="D6115" s="16"/>
      <c r="E6115">
        <v>6</v>
      </c>
      <c r="F6115" t="e">
        <f>--Veludos e pelúcias obtidos por urdidura</f>
        <v>#NAME?</v>
      </c>
      <c r="G6115">
        <v>1</v>
      </c>
      <c r="H6115">
        <v>1</v>
      </c>
      <c r="I6115">
        <f>1</f>
        <v>1</v>
      </c>
    </row>
    <row r="6116" spans="2:9" x14ac:dyDescent="0.25">
      <c r="B6116">
        <v>0</v>
      </c>
      <c r="C6116" s="16" t="s">
        <v>15282</v>
      </c>
      <c r="D6116" s="16"/>
      <c r="E6116">
        <v>6</v>
      </c>
      <c r="F6116" t="e">
        <f>-De Outras matérias têxteis</f>
        <v>#NAME?</v>
      </c>
      <c r="G6116">
        <v>1</v>
      </c>
      <c r="H6116">
        <v>1</v>
      </c>
      <c r="I6116">
        <f>1</f>
        <v>1</v>
      </c>
    </row>
    <row r="6117" spans="2:9" x14ac:dyDescent="0.25">
      <c r="B6117">
        <v>0</v>
      </c>
      <c r="C6117" s="16" t="s">
        <v>15283</v>
      </c>
      <c r="D6117" s="16"/>
      <c r="E6117">
        <v>6</v>
      </c>
      <c r="F6117" t="e">
        <f>--Crus</f>
        <v>#NAME?</v>
      </c>
      <c r="G6117">
        <v>1</v>
      </c>
      <c r="H6117">
        <v>1</v>
      </c>
      <c r="I6117">
        <f>1</f>
        <v>1</v>
      </c>
    </row>
    <row r="6118" spans="2:9" x14ac:dyDescent="0.25">
      <c r="B6118">
        <v>0</v>
      </c>
      <c r="C6118" s="16" t="s">
        <v>15284</v>
      </c>
      <c r="D6118" s="16"/>
      <c r="E6118">
        <v>6</v>
      </c>
      <c r="F6118" t="e">
        <f>--outros</f>
        <v>#NAME?</v>
      </c>
      <c r="G6118">
        <v>1</v>
      </c>
      <c r="H6118">
        <v>1</v>
      </c>
      <c r="I6118">
        <f>1</f>
        <v>1</v>
      </c>
    </row>
    <row r="6119" spans="2:9" x14ac:dyDescent="0.25">
      <c r="B6119">
        <v>0</v>
      </c>
      <c r="C6119" s="16" t="s">
        <v>15285</v>
      </c>
      <c r="D6119" s="16"/>
      <c r="E6119">
        <v>6</v>
      </c>
      <c r="F6119" t="s">
        <v>7506</v>
      </c>
      <c r="G6119">
        <v>1</v>
      </c>
      <c r="H6119">
        <v>1</v>
      </c>
      <c r="I6119">
        <f>1</f>
        <v>1</v>
      </c>
    </row>
    <row r="6120" spans="2:9" x14ac:dyDescent="0.25">
      <c r="B6120">
        <v>0</v>
      </c>
      <c r="C6120" s="16" t="s">
        <v>15286</v>
      </c>
      <c r="D6120" s="16"/>
      <c r="E6120">
        <v>6</v>
      </c>
      <c r="F6120" t="e">
        <f>-tecidos tufados</f>
        <v>#NAME?</v>
      </c>
      <c r="G6120">
        <v>1</v>
      </c>
      <c r="H6120">
        <v>1</v>
      </c>
      <c r="I6120">
        <f>1</f>
        <v>1</v>
      </c>
    </row>
    <row r="6121" spans="2:9" x14ac:dyDescent="0.25">
      <c r="B6121">
        <v>0</v>
      </c>
      <c r="C6121" s="16" t="s">
        <v>15287</v>
      </c>
      <c r="D6121" s="16"/>
      <c r="E6121">
        <v>6</v>
      </c>
      <c r="F6121" t="s">
        <v>7494</v>
      </c>
      <c r="G6121">
        <v>1</v>
      </c>
      <c r="H6121">
        <v>1</v>
      </c>
      <c r="I6121">
        <f>1</f>
        <v>1</v>
      </c>
    </row>
    <row r="6122" spans="2:9" x14ac:dyDescent="0.25">
      <c r="B6122">
        <v>0</v>
      </c>
      <c r="C6122" s="16" t="s">
        <v>15288</v>
      </c>
      <c r="D6122" s="16"/>
      <c r="E6122">
        <v>6</v>
      </c>
      <c r="F6122" t="s">
        <v>4680</v>
      </c>
      <c r="G6122">
        <v>1</v>
      </c>
      <c r="H6122">
        <v>1</v>
      </c>
      <c r="I6122">
        <f>1</f>
        <v>1</v>
      </c>
    </row>
    <row r="6123" spans="2:9" x14ac:dyDescent="0.25">
      <c r="B6123">
        <v>0</v>
      </c>
      <c r="C6123" s="16" t="s">
        <v>15289</v>
      </c>
      <c r="D6123" s="16"/>
      <c r="E6123">
        <v>6</v>
      </c>
      <c r="F6123" t="s">
        <v>7494</v>
      </c>
      <c r="G6123">
        <v>1</v>
      </c>
      <c r="H6123">
        <v>1</v>
      </c>
      <c r="I6123">
        <f>1</f>
        <v>1</v>
      </c>
    </row>
    <row r="6124" spans="2:9" x14ac:dyDescent="0.25">
      <c r="B6124">
        <v>0</v>
      </c>
      <c r="C6124" s="16" t="s">
        <v>15290</v>
      </c>
      <c r="D6124" s="16"/>
      <c r="E6124">
        <v>6</v>
      </c>
      <c r="F6124" t="s">
        <v>4680</v>
      </c>
      <c r="G6124">
        <v>1</v>
      </c>
      <c r="H6124">
        <v>1</v>
      </c>
      <c r="I6124">
        <f>1</f>
        <v>1</v>
      </c>
    </row>
    <row r="6125" spans="2:9" x14ac:dyDescent="0.25">
      <c r="B6125">
        <v>0</v>
      </c>
      <c r="C6125" s="16" t="s">
        <v>15291</v>
      </c>
      <c r="D6125" s="16"/>
      <c r="E6125">
        <v>6</v>
      </c>
      <c r="F6125" t="e">
        <f>--De fibras sintéticas ou artificiais</f>
        <v>#NAME?</v>
      </c>
      <c r="G6125">
        <v>1</v>
      </c>
      <c r="H6125">
        <v>1</v>
      </c>
      <c r="I6125">
        <f>1</f>
        <v>1</v>
      </c>
    </row>
    <row r="6126" spans="2:9" x14ac:dyDescent="0.25">
      <c r="B6126">
        <v>0</v>
      </c>
      <c r="C6126" s="16" t="s">
        <v>15292</v>
      </c>
      <c r="D6126" s="16"/>
      <c r="E6126">
        <v>6</v>
      </c>
      <c r="F6126" t="s">
        <v>7494</v>
      </c>
      <c r="G6126">
        <v>1</v>
      </c>
      <c r="H6126">
        <v>1</v>
      </c>
      <c r="I6126">
        <f>1</f>
        <v>1</v>
      </c>
    </row>
    <row r="6127" spans="2:9" x14ac:dyDescent="0.25">
      <c r="B6127">
        <v>0</v>
      </c>
      <c r="C6127" s="16" t="s">
        <v>15293</v>
      </c>
      <c r="D6127" s="16"/>
      <c r="E6127">
        <v>6</v>
      </c>
      <c r="F6127" t="s">
        <v>4690</v>
      </c>
      <c r="G6127">
        <v>1</v>
      </c>
      <c r="H6127">
        <v>1</v>
      </c>
      <c r="I6127">
        <f>1</f>
        <v>1</v>
      </c>
    </row>
    <row r="6128" spans="2:9" x14ac:dyDescent="0.25">
      <c r="B6128">
        <v>0</v>
      </c>
      <c r="C6128" s="16" t="s">
        <v>15294</v>
      </c>
      <c r="D6128" s="16"/>
      <c r="E6128">
        <v>6</v>
      </c>
      <c r="F6128" t="s">
        <v>7494</v>
      </c>
      <c r="G6128">
        <v>1</v>
      </c>
      <c r="H6128">
        <v>1</v>
      </c>
      <c r="I6128">
        <f>1</f>
        <v>1</v>
      </c>
    </row>
    <row r="6129" spans="2:9" x14ac:dyDescent="0.25">
      <c r="B6129">
        <v>0</v>
      </c>
      <c r="C6129" s="16" t="s">
        <v>15295</v>
      </c>
      <c r="D6129" s="16"/>
      <c r="E6129">
        <v>6</v>
      </c>
      <c r="F6129" t="s">
        <v>4690</v>
      </c>
      <c r="G6129">
        <v>1</v>
      </c>
      <c r="H6129">
        <v>1</v>
      </c>
      <c r="I6129">
        <f>1</f>
        <v>1</v>
      </c>
    </row>
    <row r="6130" spans="2:9" x14ac:dyDescent="0.25">
      <c r="B6130">
        <v>0</v>
      </c>
      <c r="C6130" s="16" t="s">
        <v>15296</v>
      </c>
      <c r="D6130" s="16"/>
      <c r="E6130">
        <v>6</v>
      </c>
      <c r="F6130" t="s">
        <v>7494</v>
      </c>
      <c r="G6130">
        <v>1</v>
      </c>
      <c r="H6130">
        <v>1</v>
      </c>
      <c r="I6130">
        <f>1</f>
        <v>1</v>
      </c>
    </row>
    <row r="6131" spans="2:9" x14ac:dyDescent="0.25">
      <c r="B6131">
        <v>0</v>
      </c>
      <c r="C6131" s="16" t="s">
        <v>15297</v>
      </c>
      <c r="D6131" s="16"/>
      <c r="E6131">
        <v>6</v>
      </c>
      <c r="F6131" t="s">
        <v>7507</v>
      </c>
      <c r="G6131">
        <v>1</v>
      </c>
      <c r="H6131">
        <v>1</v>
      </c>
      <c r="I6131">
        <f>1</f>
        <v>1</v>
      </c>
    </row>
    <row r="6132" spans="2:9" x14ac:dyDescent="0.25">
      <c r="B6132">
        <v>0</v>
      </c>
      <c r="C6132" s="16" t="s">
        <v>15298</v>
      </c>
      <c r="D6132" s="16"/>
      <c r="E6132">
        <v>6</v>
      </c>
      <c r="F6132" t="s">
        <v>7508</v>
      </c>
      <c r="G6132">
        <v>1</v>
      </c>
      <c r="H6132">
        <v>1</v>
      </c>
      <c r="I6132">
        <f>1</f>
        <v>1</v>
      </c>
    </row>
    <row r="6133" spans="2:9" x14ac:dyDescent="0.25">
      <c r="B6133">
        <v>0</v>
      </c>
      <c r="C6133" s="16" t="s">
        <v>15299</v>
      </c>
      <c r="D6133" s="16"/>
      <c r="E6133">
        <v>6</v>
      </c>
      <c r="F6133" t="s">
        <v>7509</v>
      </c>
      <c r="G6133">
        <v>1</v>
      </c>
      <c r="H6133">
        <v>1</v>
      </c>
      <c r="I6133">
        <f>1</f>
        <v>1</v>
      </c>
    </row>
    <row r="6134" spans="2:9" x14ac:dyDescent="0.25">
      <c r="B6134">
        <v>0</v>
      </c>
      <c r="C6134" s="16" t="s">
        <v>15300</v>
      </c>
      <c r="D6134" s="16"/>
      <c r="E6134">
        <v>6</v>
      </c>
      <c r="F6134" t="s">
        <v>7510</v>
      </c>
      <c r="G6134">
        <v>1</v>
      </c>
      <c r="H6134">
        <v>1</v>
      </c>
      <c r="I6134">
        <f>1</f>
        <v>1</v>
      </c>
    </row>
    <row r="6135" spans="2:9" x14ac:dyDescent="0.25">
      <c r="B6135">
        <v>0</v>
      </c>
      <c r="C6135" s="16" t="s">
        <v>15301</v>
      </c>
      <c r="D6135" s="16"/>
      <c r="E6135">
        <v>6</v>
      </c>
      <c r="F6135" t="e">
        <f>--De algodão</f>
        <v>#NAME?</v>
      </c>
      <c r="G6135">
        <v>1</v>
      </c>
      <c r="H6135">
        <v>1</v>
      </c>
      <c r="I6135">
        <f>1</f>
        <v>1</v>
      </c>
    </row>
    <row r="6136" spans="2:9" x14ac:dyDescent="0.25">
      <c r="B6136">
        <v>0</v>
      </c>
      <c r="C6136" s="16" t="s">
        <v>15302</v>
      </c>
      <c r="D6136" s="16"/>
      <c r="E6136">
        <v>6</v>
      </c>
      <c r="F6136" t="e">
        <f>--De fibras sintéticas ou artificiais</f>
        <v>#NAME?</v>
      </c>
      <c r="G6136">
        <v>1</v>
      </c>
      <c r="H6136">
        <v>1</v>
      </c>
      <c r="I6136">
        <f>1</f>
        <v>1</v>
      </c>
    </row>
    <row r="6137" spans="2:9" x14ac:dyDescent="0.25">
      <c r="B6137">
        <v>0</v>
      </c>
      <c r="C6137" s="16" t="s">
        <v>15303</v>
      </c>
      <c r="D6137" s="16"/>
      <c r="E6137">
        <v>6</v>
      </c>
      <c r="F6137" t="e">
        <f>--De Outras matérias têxteis</f>
        <v>#NAME?</v>
      </c>
      <c r="G6137">
        <v>1</v>
      </c>
      <c r="H6137">
        <v>1</v>
      </c>
      <c r="I6137">
        <f>1</f>
        <v>1</v>
      </c>
    </row>
    <row r="6138" spans="2:9" x14ac:dyDescent="0.25">
      <c r="B6138">
        <v>0</v>
      </c>
      <c r="C6138" s="16" t="s">
        <v>15304</v>
      </c>
      <c r="D6138" s="16"/>
      <c r="E6138">
        <v>6</v>
      </c>
      <c r="F6138" t="s">
        <v>7511</v>
      </c>
      <c r="G6138">
        <v>1</v>
      </c>
      <c r="H6138">
        <v>1</v>
      </c>
      <c r="I6138">
        <f>1</f>
        <v>1</v>
      </c>
    </row>
    <row r="6139" spans="2:9" x14ac:dyDescent="0.25">
      <c r="B6139">
        <v>0</v>
      </c>
      <c r="C6139" s="16" t="s">
        <v>15305</v>
      </c>
      <c r="D6139" s="16"/>
      <c r="E6139">
        <v>6</v>
      </c>
      <c r="F6139" t="e">
        <f>-tecidos</f>
        <v>#NAME?</v>
      </c>
      <c r="G6139">
        <v>1</v>
      </c>
      <c r="H6139">
        <v>1</v>
      </c>
      <c r="I6139">
        <f>1</f>
        <v>1</v>
      </c>
    </row>
    <row r="6140" spans="2:9" x14ac:dyDescent="0.25">
      <c r="B6140">
        <v>0</v>
      </c>
      <c r="C6140" s="16" t="s">
        <v>15306</v>
      </c>
      <c r="D6140" s="16"/>
      <c r="E6140">
        <v>6</v>
      </c>
      <c r="F6140" t="e">
        <f>-outros</f>
        <v>#NAME?</v>
      </c>
      <c r="G6140">
        <v>1</v>
      </c>
      <c r="H6140">
        <v>1</v>
      </c>
      <c r="I6140">
        <f>1</f>
        <v>1</v>
      </c>
    </row>
    <row r="6141" spans="2:9" x14ac:dyDescent="0.25">
      <c r="B6141">
        <v>0</v>
      </c>
      <c r="C6141" s="16" t="s">
        <v>15307</v>
      </c>
      <c r="D6141" s="16"/>
      <c r="E6141">
        <v>6</v>
      </c>
      <c r="F6141" t="e">
        <f>-Tranças em peça</f>
        <v>#NAME?</v>
      </c>
      <c r="G6141">
        <v>1</v>
      </c>
      <c r="H6141">
        <v>1</v>
      </c>
      <c r="I6141">
        <f>1</f>
        <v>1</v>
      </c>
    </row>
    <row r="6142" spans="2:9" x14ac:dyDescent="0.25">
      <c r="B6142">
        <v>0</v>
      </c>
      <c r="C6142" s="16" t="s">
        <v>15308</v>
      </c>
      <c r="D6142" s="16"/>
      <c r="E6142">
        <v>6</v>
      </c>
      <c r="F6142" t="e">
        <f>-outros</f>
        <v>#NAME?</v>
      </c>
      <c r="G6142">
        <v>1</v>
      </c>
      <c r="H6142">
        <v>1</v>
      </c>
      <c r="I6142">
        <f>1</f>
        <v>1</v>
      </c>
    </row>
    <row r="6143" spans="2:9" x14ac:dyDescent="0.25">
      <c r="B6143">
        <v>0</v>
      </c>
      <c r="C6143" s="16" t="s">
        <v>15309</v>
      </c>
      <c r="D6143" s="16"/>
      <c r="E6143">
        <v>6</v>
      </c>
      <c r="F6143" t="s">
        <v>7512</v>
      </c>
      <c r="G6143">
        <v>1</v>
      </c>
      <c r="H6143">
        <v>1</v>
      </c>
      <c r="I6143">
        <f>1</f>
        <v>1</v>
      </c>
    </row>
    <row r="6144" spans="2:9" x14ac:dyDescent="0.25">
      <c r="B6144">
        <v>0</v>
      </c>
      <c r="C6144" s="16" t="s">
        <v>15310</v>
      </c>
      <c r="D6144" s="16"/>
      <c r="E6144">
        <v>6</v>
      </c>
      <c r="F6144" t="e">
        <f>-Bordados químicos ou aéreos e Bordados Com fundo recortado</f>
        <v>#NAME?</v>
      </c>
      <c r="G6144">
        <v>1</v>
      </c>
      <c r="H6144">
        <v>1</v>
      </c>
      <c r="I6144">
        <f>1</f>
        <v>1</v>
      </c>
    </row>
    <row r="6145" spans="2:9" x14ac:dyDescent="0.25">
      <c r="B6145">
        <v>0</v>
      </c>
      <c r="C6145" s="16" t="s">
        <v>15311</v>
      </c>
      <c r="D6145" s="16"/>
      <c r="E6145">
        <v>6</v>
      </c>
      <c r="F6145" t="e">
        <f>--De algodão</f>
        <v>#NAME?</v>
      </c>
      <c r="G6145">
        <v>1</v>
      </c>
      <c r="H6145">
        <v>1</v>
      </c>
      <c r="I6145">
        <f>1</f>
        <v>1</v>
      </c>
    </row>
    <row r="6146" spans="2:9" x14ac:dyDescent="0.25">
      <c r="B6146">
        <v>0</v>
      </c>
      <c r="C6146" s="16" t="s">
        <v>15312</v>
      </c>
      <c r="D6146" s="16"/>
      <c r="E6146">
        <v>6</v>
      </c>
      <c r="F6146" t="e">
        <f>--De fibras sintéticas ou artificiais</f>
        <v>#NAME?</v>
      </c>
      <c r="G6146">
        <v>1</v>
      </c>
      <c r="H6146">
        <v>1</v>
      </c>
      <c r="I6146">
        <f>1</f>
        <v>1</v>
      </c>
    </row>
    <row r="6147" spans="2:9" x14ac:dyDescent="0.25">
      <c r="B6147">
        <v>0</v>
      </c>
      <c r="C6147" s="16" t="s">
        <v>15313</v>
      </c>
      <c r="D6147" s="16"/>
      <c r="E6147">
        <v>6</v>
      </c>
      <c r="F6147" t="e">
        <f>--De Outras matérias têxteis</f>
        <v>#NAME?</v>
      </c>
      <c r="G6147">
        <v>1</v>
      </c>
      <c r="H6147">
        <v>1</v>
      </c>
      <c r="I6147">
        <f>1</f>
        <v>1</v>
      </c>
    </row>
    <row r="6148" spans="2:9" x14ac:dyDescent="0.25">
      <c r="B6148">
        <v>0</v>
      </c>
      <c r="C6148" s="16" t="s">
        <v>15314</v>
      </c>
      <c r="D6148" s="16"/>
      <c r="E6148">
        <v>6</v>
      </c>
      <c r="F6148" t="s">
        <v>7513</v>
      </c>
      <c r="G6148">
        <v>1</v>
      </c>
      <c r="H6148">
        <v>1</v>
      </c>
      <c r="I6148">
        <f>1</f>
        <v>1</v>
      </c>
    </row>
    <row r="6149" spans="2:9" x14ac:dyDescent="0.25">
      <c r="B6149">
        <v>0</v>
      </c>
      <c r="C6149" s="16" t="s">
        <v>15315</v>
      </c>
      <c r="D6149" s="16"/>
      <c r="E6149">
        <v>6</v>
      </c>
      <c r="F6149" t="s">
        <v>7514</v>
      </c>
      <c r="G6149">
        <v>1</v>
      </c>
      <c r="H6149">
        <v>1</v>
      </c>
      <c r="I6149">
        <f>1</f>
        <v>1</v>
      </c>
    </row>
    <row r="6150" spans="2:9" x14ac:dyDescent="0.25">
      <c r="B6150">
        <v>0</v>
      </c>
      <c r="C6150" s="16" t="s">
        <v>15316</v>
      </c>
      <c r="D6150" s="16"/>
      <c r="E6150">
        <v>6</v>
      </c>
      <c r="F6150" t="e">
        <f>-outros</f>
        <v>#NAME?</v>
      </c>
      <c r="G6150">
        <v>1</v>
      </c>
      <c r="H6150">
        <v>1</v>
      </c>
      <c r="I6150">
        <f>1</f>
        <v>1</v>
      </c>
    </row>
    <row r="6151" spans="2:9" x14ac:dyDescent="0.25">
      <c r="B6151">
        <v>0</v>
      </c>
      <c r="C6151" s="16" t="s">
        <v>15317</v>
      </c>
      <c r="D6151" s="16"/>
      <c r="E6151">
        <v>6</v>
      </c>
      <c r="F6151" t="s">
        <v>7515</v>
      </c>
      <c r="G6151">
        <v>1</v>
      </c>
      <c r="H6151">
        <v>1</v>
      </c>
      <c r="I6151">
        <f>1</f>
        <v>1</v>
      </c>
    </row>
    <row r="6152" spans="2:9" x14ac:dyDescent="0.25">
      <c r="B6152">
        <v>0</v>
      </c>
      <c r="C6152" s="16" t="s">
        <v>15318</v>
      </c>
      <c r="D6152" s="16"/>
      <c r="E6152">
        <v>6</v>
      </c>
      <c r="F6152" t="s">
        <v>4690</v>
      </c>
      <c r="G6152">
        <v>1</v>
      </c>
      <c r="H6152">
        <v>1</v>
      </c>
      <c r="I6152">
        <f>1</f>
        <v>1</v>
      </c>
    </row>
    <row r="6153" spans="2:9" x14ac:dyDescent="0.25">
      <c r="B6153">
        <v>0</v>
      </c>
      <c r="C6153" s="16" t="s">
        <v>15319</v>
      </c>
      <c r="D6153" s="16"/>
      <c r="E6153">
        <v>6</v>
      </c>
      <c r="F6153" t="e">
        <f>-De poliésteres</f>
        <v>#NAME?</v>
      </c>
      <c r="G6153">
        <v>1</v>
      </c>
      <c r="H6153">
        <v>1</v>
      </c>
      <c r="I6153">
        <f>1</f>
        <v>1</v>
      </c>
    </row>
    <row r="6154" spans="2:9" x14ac:dyDescent="0.25">
      <c r="B6154">
        <v>0</v>
      </c>
      <c r="C6154" s="16" t="s">
        <v>15320</v>
      </c>
      <c r="D6154" s="16"/>
      <c r="E6154">
        <v>6</v>
      </c>
      <c r="F6154" t="e">
        <f>-Outras</f>
        <v>#NAME?</v>
      </c>
      <c r="G6154">
        <v>1</v>
      </c>
      <c r="H6154">
        <v>1</v>
      </c>
      <c r="I6154">
        <f>1</f>
        <v>1</v>
      </c>
    </row>
    <row r="6155" spans="2:9" x14ac:dyDescent="0.25">
      <c r="B6155">
        <v>0</v>
      </c>
      <c r="C6155" s="16" t="s">
        <v>15321</v>
      </c>
      <c r="D6155" s="16"/>
      <c r="E6155">
        <v>6</v>
      </c>
      <c r="F6155" t="e">
        <f>-Com Poli Cloreto De vinila</f>
        <v>#NAME?</v>
      </c>
      <c r="G6155">
        <v>1</v>
      </c>
      <c r="H6155">
        <v>1</v>
      </c>
      <c r="I6155">
        <f>1</f>
        <v>1</v>
      </c>
    </row>
    <row r="6156" spans="2:9" x14ac:dyDescent="0.25">
      <c r="B6156">
        <v>0</v>
      </c>
      <c r="C6156" s="16" t="s">
        <v>15322</v>
      </c>
      <c r="D6156" s="16"/>
      <c r="E6156">
        <v>6</v>
      </c>
      <c r="F6156" t="e">
        <f>-Com poliuretano</f>
        <v>#NAME?</v>
      </c>
      <c r="G6156">
        <v>1</v>
      </c>
      <c r="H6156">
        <v>1</v>
      </c>
      <c r="I6156">
        <f>1</f>
        <v>1</v>
      </c>
    </row>
    <row r="6157" spans="2:9" x14ac:dyDescent="0.25">
      <c r="B6157">
        <v>0</v>
      </c>
      <c r="C6157" s="16" t="s">
        <v>15323</v>
      </c>
      <c r="D6157" s="16"/>
      <c r="E6157">
        <v>6</v>
      </c>
      <c r="F6157" t="e">
        <f>-outros</f>
        <v>#NAME?</v>
      </c>
      <c r="G6157">
        <v>1</v>
      </c>
      <c r="H6157">
        <v>1</v>
      </c>
      <c r="I6157">
        <f>1</f>
        <v>1</v>
      </c>
    </row>
    <row r="6158" spans="2:9" x14ac:dyDescent="0.25">
      <c r="B6158">
        <v>0</v>
      </c>
      <c r="C6158" s="16" t="s">
        <v>15324</v>
      </c>
      <c r="D6158" s="16"/>
      <c r="E6158">
        <v>6</v>
      </c>
      <c r="F6158" t="e">
        <f>-Linóleos</f>
        <v>#NAME?</v>
      </c>
      <c r="G6158">
        <v>1</v>
      </c>
      <c r="H6158">
        <v>1</v>
      </c>
      <c r="I6158">
        <f>1</f>
        <v>1</v>
      </c>
    </row>
    <row r="6159" spans="2:9" x14ac:dyDescent="0.25">
      <c r="B6159">
        <v>0</v>
      </c>
      <c r="C6159" s="16" t="s">
        <v>15325</v>
      </c>
      <c r="D6159" s="16"/>
      <c r="E6159">
        <v>6</v>
      </c>
      <c r="F6159" t="e">
        <f>-outros</f>
        <v>#NAME?</v>
      </c>
      <c r="G6159">
        <v>1</v>
      </c>
      <c r="H6159">
        <v>1</v>
      </c>
      <c r="I6159">
        <f>1</f>
        <v>1</v>
      </c>
    </row>
    <row r="6160" spans="2:9" x14ac:dyDescent="0.25">
      <c r="B6160">
        <v>0</v>
      </c>
      <c r="C6160" s="16" t="s">
        <v>15326</v>
      </c>
      <c r="D6160" s="16"/>
      <c r="E6160">
        <v>6</v>
      </c>
      <c r="F6160" t="s">
        <v>7516</v>
      </c>
      <c r="G6160">
        <v>1</v>
      </c>
      <c r="H6160">
        <v>1</v>
      </c>
      <c r="I6160">
        <f>1</f>
        <v>1</v>
      </c>
    </row>
    <row r="6161" spans="2:9" x14ac:dyDescent="0.25">
      <c r="B6161">
        <v>0</v>
      </c>
      <c r="C6161" s="16" t="s">
        <v>15327</v>
      </c>
      <c r="D6161" s="16"/>
      <c r="E6161">
        <v>6</v>
      </c>
      <c r="F6161" t="s">
        <v>7517</v>
      </c>
      <c r="G6161">
        <v>1</v>
      </c>
      <c r="H6161">
        <v>1</v>
      </c>
      <c r="I6161">
        <f>1</f>
        <v>1</v>
      </c>
    </row>
    <row r="6162" spans="2:9" x14ac:dyDescent="0.25">
      <c r="B6162">
        <v>0</v>
      </c>
      <c r="C6162" s="16" t="s">
        <v>15328</v>
      </c>
      <c r="D6162" s="16"/>
      <c r="E6162">
        <v>6</v>
      </c>
      <c r="F6162" t="e">
        <f>--De malha</f>
        <v>#NAME?</v>
      </c>
      <c r="G6162">
        <v>1</v>
      </c>
      <c r="H6162">
        <v>1</v>
      </c>
      <c r="I6162">
        <f>1</f>
        <v>1</v>
      </c>
    </row>
    <row r="6163" spans="2:9" x14ac:dyDescent="0.25">
      <c r="B6163">
        <v>0</v>
      </c>
      <c r="C6163" s="16" t="s">
        <v>15329</v>
      </c>
      <c r="D6163" s="16"/>
      <c r="E6163">
        <v>6</v>
      </c>
      <c r="F6163" t="e">
        <f>--outros</f>
        <v>#NAME?</v>
      </c>
      <c r="G6163">
        <v>1</v>
      </c>
      <c r="H6163">
        <v>1</v>
      </c>
      <c r="I6163">
        <f>1</f>
        <v>1</v>
      </c>
    </row>
    <row r="6164" spans="2:9" x14ac:dyDescent="0.25">
      <c r="B6164">
        <v>0</v>
      </c>
      <c r="C6164" s="16" t="s">
        <v>15330</v>
      </c>
      <c r="D6164" s="16"/>
      <c r="E6164">
        <v>6</v>
      </c>
      <c r="F6164" t="s">
        <v>7518</v>
      </c>
      <c r="G6164">
        <v>1</v>
      </c>
      <c r="H6164">
        <v>1</v>
      </c>
      <c r="I6164">
        <f>1</f>
        <v>1</v>
      </c>
    </row>
    <row r="6165" spans="2:9" x14ac:dyDescent="0.25">
      <c r="B6165">
        <v>0</v>
      </c>
      <c r="C6165" s="16" t="s">
        <v>15331</v>
      </c>
      <c r="D6165" s="16"/>
      <c r="E6165">
        <v>6</v>
      </c>
      <c r="F6165" t="s">
        <v>7519</v>
      </c>
      <c r="G6165">
        <v>1</v>
      </c>
      <c r="H6165">
        <v>1</v>
      </c>
      <c r="I6165">
        <f>1</f>
        <v>1</v>
      </c>
    </row>
    <row r="6166" spans="2:9" x14ac:dyDescent="0.25">
      <c r="B6166">
        <v>0</v>
      </c>
      <c r="C6166" s="16" t="s">
        <v>15332</v>
      </c>
      <c r="D6166" s="16"/>
      <c r="E6166">
        <v>6</v>
      </c>
      <c r="F6166" t="s">
        <v>7520</v>
      </c>
      <c r="G6166">
        <v>1</v>
      </c>
      <c r="H6166">
        <v>1</v>
      </c>
      <c r="I6166">
        <f>1</f>
        <v>1</v>
      </c>
    </row>
    <row r="6167" spans="2:9" x14ac:dyDescent="0.25">
      <c r="B6167">
        <v>0</v>
      </c>
      <c r="C6167" s="16" t="s">
        <v>15333</v>
      </c>
      <c r="D6167" s="16"/>
      <c r="E6167">
        <v>6</v>
      </c>
      <c r="F6167" t="s">
        <v>7521</v>
      </c>
      <c r="G6167">
        <v>1</v>
      </c>
      <c r="H6167">
        <v>1</v>
      </c>
      <c r="I6167">
        <f>1</f>
        <v>1</v>
      </c>
    </row>
    <row r="6168" spans="2:9" x14ac:dyDescent="0.25">
      <c r="B6168">
        <v>0</v>
      </c>
      <c r="C6168" s="16" t="s">
        <v>15334</v>
      </c>
      <c r="D6168" s="16"/>
      <c r="E6168">
        <v>6</v>
      </c>
      <c r="F6168" t="s">
        <v>7522</v>
      </c>
      <c r="G6168">
        <v>1</v>
      </c>
      <c r="H6168">
        <v>1</v>
      </c>
      <c r="I6168">
        <f>1</f>
        <v>1</v>
      </c>
    </row>
    <row r="6169" spans="2:9" x14ac:dyDescent="0.25">
      <c r="B6169">
        <v>0</v>
      </c>
      <c r="C6169" s="16" t="s">
        <v>15335</v>
      </c>
      <c r="D6169" s="16"/>
      <c r="E6169">
        <v>6</v>
      </c>
      <c r="F6169" t="s">
        <v>7523</v>
      </c>
      <c r="G6169">
        <v>1</v>
      </c>
      <c r="H6169">
        <v>1</v>
      </c>
      <c r="I6169">
        <f>1</f>
        <v>1</v>
      </c>
    </row>
    <row r="6170" spans="2:9" x14ac:dyDescent="0.25">
      <c r="B6170">
        <v>0</v>
      </c>
      <c r="C6170" s="16" t="s">
        <v>15336</v>
      </c>
      <c r="D6170" s="16"/>
      <c r="E6170">
        <v>6</v>
      </c>
      <c r="F6170" t="s">
        <v>4690</v>
      </c>
      <c r="G6170">
        <v>1</v>
      </c>
      <c r="H6170">
        <v>1</v>
      </c>
      <c r="I6170">
        <f>1</f>
        <v>1</v>
      </c>
    </row>
    <row r="6171" spans="2:9" x14ac:dyDescent="0.25">
      <c r="B6171">
        <v>0</v>
      </c>
      <c r="C6171" s="16" t="s">
        <v>15337</v>
      </c>
      <c r="D6171" s="16"/>
      <c r="E6171">
        <v>6</v>
      </c>
      <c r="F6171" t="s">
        <v>7524</v>
      </c>
      <c r="G6171">
        <v>1</v>
      </c>
      <c r="H6171">
        <v>1</v>
      </c>
      <c r="I6171">
        <f>1</f>
        <v>1</v>
      </c>
    </row>
    <row r="6172" spans="2:9" x14ac:dyDescent="0.25">
      <c r="B6172">
        <v>0</v>
      </c>
      <c r="C6172" s="16" t="s">
        <v>15338</v>
      </c>
      <c r="D6172" s="16"/>
      <c r="E6172">
        <v>6</v>
      </c>
      <c r="F6172" t="s">
        <v>7525</v>
      </c>
      <c r="G6172">
        <v>1</v>
      </c>
      <c r="H6172">
        <v>1</v>
      </c>
      <c r="I6172">
        <f>1</f>
        <v>1</v>
      </c>
    </row>
    <row r="6173" spans="2:9" x14ac:dyDescent="0.25">
      <c r="B6173">
        <v>0</v>
      </c>
      <c r="C6173" s="16" t="s">
        <v>15339</v>
      </c>
      <c r="D6173" s="16"/>
      <c r="E6173">
        <v>6</v>
      </c>
      <c r="F6173" t="s">
        <v>7526</v>
      </c>
      <c r="G6173">
        <v>1</v>
      </c>
      <c r="H6173">
        <v>1</v>
      </c>
      <c r="I6173">
        <f>1</f>
        <v>1</v>
      </c>
    </row>
    <row r="6174" spans="2:9" x14ac:dyDescent="0.25">
      <c r="B6174">
        <v>0</v>
      </c>
      <c r="C6174" s="16" t="s">
        <v>15340</v>
      </c>
      <c r="D6174" s="16"/>
      <c r="E6174">
        <v>6</v>
      </c>
      <c r="F6174" t="e">
        <f>-outros</f>
        <v>#NAME?</v>
      </c>
      <c r="G6174">
        <v>1</v>
      </c>
      <c r="H6174">
        <v>1</v>
      </c>
      <c r="I6174">
        <f>1</f>
        <v>1</v>
      </c>
    </row>
    <row r="6175" spans="2:9" x14ac:dyDescent="0.25">
      <c r="B6175">
        <v>0</v>
      </c>
      <c r="C6175" s="16" t="s">
        <v>15341</v>
      </c>
      <c r="D6175" s="16"/>
      <c r="E6175">
        <v>6</v>
      </c>
      <c r="F6175" t="s">
        <v>7494</v>
      </c>
      <c r="G6175">
        <v>1</v>
      </c>
      <c r="H6175">
        <v>1</v>
      </c>
      <c r="I6175">
        <f>1</f>
        <v>1</v>
      </c>
    </row>
    <row r="6176" spans="2:9" x14ac:dyDescent="0.25">
      <c r="B6176">
        <v>0</v>
      </c>
      <c r="C6176" s="16" t="s">
        <v>15342</v>
      </c>
      <c r="D6176" s="16"/>
      <c r="E6176">
        <v>6</v>
      </c>
      <c r="F6176" t="s">
        <v>7507</v>
      </c>
      <c r="G6176">
        <v>1</v>
      </c>
      <c r="H6176">
        <v>1</v>
      </c>
      <c r="I6176">
        <f>1</f>
        <v>1</v>
      </c>
    </row>
    <row r="6177" spans="2:9" x14ac:dyDescent="0.25">
      <c r="B6177">
        <v>0</v>
      </c>
      <c r="C6177" s="16" t="s">
        <v>15343</v>
      </c>
      <c r="D6177" s="16"/>
      <c r="E6177">
        <v>6</v>
      </c>
      <c r="F6177" t="s">
        <v>7508</v>
      </c>
      <c r="G6177">
        <v>1</v>
      </c>
      <c r="H6177">
        <v>1</v>
      </c>
      <c r="I6177">
        <f>1</f>
        <v>1</v>
      </c>
    </row>
    <row r="6178" spans="2:9" x14ac:dyDescent="0.25">
      <c r="B6178">
        <v>0</v>
      </c>
      <c r="C6178" s="16" t="s">
        <v>15344</v>
      </c>
      <c r="D6178" s="16"/>
      <c r="E6178">
        <v>6</v>
      </c>
      <c r="F6178" t="e">
        <f>--De algodão</f>
        <v>#NAME?</v>
      </c>
      <c r="G6178">
        <v>1</v>
      </c>
      <c r="H6178">
        <v>1</v>
      </c>
      <c r="I6178">
        <f>1</f>
        <v>1</v>
      </c>
    </row>
    <row r="6179" spans="2:9" x14ac:dyDescent="0.25">
      <c r="B6179">
        <v>0</v>
      </c>
      <c r="C6179" s="16" t="s">
        <v>15345</v>
      </c>
      <c r="D6179" s="16"/>
      <c r="E6179">
        <v>6</v>
      </c>
      <c r="F6179" t="e">
        <f>--De fibras sintéticas ou artificiais</f>
        <v>#NAME?</v>
      </c>
      <c r="G6179">
        <v>1</v>
      </c>
      <c r="H6179">
        <v>1</v>
      </c>
      <c r="I6179">
        <f>1</f>
        <v>1</v>
      </c>
    </row>
    <row r="6180" spans="2:9" x14ac:dyDescent="0.25">
      <c r="B6180">
        <v>0</v>
      </c>
      <c r="C6180" s="16" t="s">
        <v>15346</v>
      </c>
      <c r="D6180" s="16"/>
      <c r="E6180">
        <v>6</v>
      </c>
      <c r="F6180" t="e">
        <f>--De Outras matérias têxteis</f>
        <v>#NAME?</v>
      </c>
      <c r="G6180">
        <v>1</v>
      </c>
      <c r="H6180">
        <v>1</v>
      </c>
      <c r="I6180">
        <f>1</f>
        <v>1</v>
      </c>
    </row>
    <row r="6181" spans="2:9" x14ac:dyDescent="0.25">
      <c r="B6181">
        <v>0</v>
      </c>
      <c r="C6181" s="16" t="s">
        <v>15347</v>
      </c>
      <c r="D6181" s="16"/>
      <c r="E6181">
        <v>6</v>
      </c>
      <c r="F6181" t="e">
        <f>--De algodão</f>
        <v>#NAME?</v>
      </c>
      <c r="G6181">
        <v>1</v>
      </c>
      <c r="H6181">
        <v>1</v>
      </c>
      <c r="I6181">
        <f>1</f>
        <v>1</v>
      </c>
    </row>
    <row r="6182" spans="2:9" x14ac:dyDescent="0.25">
      <c r="B6182">
        <v>0</v>
      </c>
      <c r="C6182" s="16" t="s">
        <v>15348</v>
      </c>
      <c r="D6182" s="16"/>
      <c r="E6182">
        <v>6</v>
      </c>
      <c r="F6182" t="e">
        <f>--De fibras sintéticas ou artificiais</f>
        <v>#NAME?</v>
      </c>
      <c r="G6182">
        <v>1</v>
      </c>
      <c r="H6182">
        <v>1</v>
      </c>
      <c r="I6182">
        <f>1</f>
        <v>1</v>
      </c>
    </row>
    <row r="6183" spans="2:9" x14ac:dyDescent="0.25">
      <c r="B6183">
        <v>0</v>
      </c>
      <c r="C6183" s="16" t="s">
        <v>15349</v>
      </c>
      <c r="D6183" s="16"/>
      <c r="E6183">
        <v>6</v>
      </c>
      <c r="F6183" t="e">
        <f>--De Outras matérias têxteis</f>
        <v>#NAME?</v>
      </c>
      <c r="G6183">
        <v>1</v>
      </c>
      <c r="H6183">
        <v>1</v>
      </c>
      <c r="I6183">
        <f>1</f>
        <v>1</v>
      </c>
    </row>
    <row r="6184" spans="2:9" x14ac:dyDescent="0.25">
      <c r="B6184">
        <v>0</v>
      </c>
      <c r="C6184" s="16" t="s">
        <v>15350</v>
      </c>
      <c r="D6184" s="16"/>
      <c r="E6184">
        <v>6</v>
      </c>
      <c r="F6184" t="s">
        <v>7494</v>
      </c>
      <c r="G6184">
        <v>1</v>
      </c>
      <c r="H6184">
        <v>1</v>
      </c>
      <c r="I6184">
        <f>1</f>
        <v>1</v>
      </c>
    </row>
    <row r="6185" spans="2:9" x14ac:dyDescent="0.25">
      <c r="B6185">
        <v>0</v>
      </c>
      <c r="C6185" s="16" t="s">
        <v>15351</v>
      </c>
      <c r="D6185" s="16"/>
      <c r="E6185">
        <v>6</v>
      </c>
      <c r="F6185" t="s">
        <v>7507</v>
      </c>
      <c r="G6185">
        <v>1</v>
      </c>
      <c r="H6185">
        <v>1</v>
      </c>
      <c r="I6185">
        <f>1</f>
        <v>1</v>
      </c>
    </row>
    <row r="6186" spans="2:9" x14ac:dyDescent="0.25">
      <c r="B6186">
        <v>0</v>
      </c>
      <c r="C6186" s="16" t="s">
        <v>15352</v>
      </c>
      <c r="D6186" s="16"/>
      <c r="E6186">
        <v>6</v>
      </c>
      <c r="F6186" t="s">
        <v>7508</v>
      </c>
      <c r="G6186">
        <v>1</v>
      </c>
      <c r="H6186">
        <v>1</v>
      </c>
      <c r="I6186">
        <f>1</f>
        <v>1</v>
      </c>
    </row>
    <row r="6187" spans="2:9" x14ac:dyDescent="0.25">
      <c r="B6187">
        <v>0</v>
      </c>
      <c r="C6187" s="16" t="s">
        <v>15353</v>
      </c>
      <c r="D6187" s="16"/>
      <c r="E6187">
        <v>6</v>
      </c>
      <c r="F6187" t="s">
        <v>7494</v>
      </c>
      <c r="G6187">
        <v>1</v>
      </c>
      <c r="H6187">
        <v>1</v>
      </c>
      <c r="I6187">
        <f>1</f>
        <v>1</v>
      </c>
    </row>
    <row r="6188" spans="2:9" x14ac:dyDescent="0.25">
      <c r="B6188">
        <v>0</v>
      </c>
      <c r="C6188" s="16" t="s">
        <v>15354</v>
      </c>
      <c r="D6188" s="16"/>
      <c r="E6188">
        <v>6</v>
      </c>
      <c r="F6188" t="s">
        <v>7507</v>
      </c>
      <c r="G6188">
        <v>1</v>
      </c>
      <c r="H6188">
        <v>1</v>
      </c>
      <c r="I6188">
        <f>1</f>
        <v>1</v>
      </c>
    </row>
    <row r="6189" spans="2:9" x14ac:dyDescent="0.25">
      <c r="B6189">
        <v>0</v>
      </c>
      <c r="C6189" s="16" t="s">
        <v>15355</v>
      </c>
      <c r="D6189" s="16"/>
      <c r="E6189">
        <v>6</v>
      </c>
      <c r="F6189" t="s">
        <v>7508</v>
      </c>
      <c r="G6189">
        <v>1</v>
      </c>
      <c r="H6189">
        <v>1</v>
      </c>
      <c r="I6189">
        <f>1</f>
        <v>1</v>
      </c>
    </row>
    <row r="6190" spans="2:9" x14ac:dyDescent="0.25">
      <c r="B6190">
        <v>0</v>
      </c>
      <c r="C6190" s="16" t="s">
        <v>15356</v>
      </c>
      <c r="D6190" s="16"/>
      <c r="E6190">
        <v>6</v>
      </c>
      <c r="F6190" t="e">
        <f>-De lã ou De Pelos finos</f>
        <v>#NAME?</v>
      </c>
      <c r="G6190">
        <v>1</v>
      </c>
      <c r="H6190">
        <v>1</v>
      </c>
      <c r="I6190">
        <f>1</f>
        <v>1</v>
      </c>
    </row>
    <row r="6191" spans="2:9" x14ac:dyDescent="0.25">
      <c r="B6191">
        <v>0</v>
      </c>
      <c r="C6191" s="16" t="s">
        <v>15357</v>
      </c>
      <c r="D6191" s="16"/>
      <c r="E6191">
        <v>6</v>
      </c>
      <c r="F6191" t="e">
        <f>-De algodão</f>
        <v>#NAME?</v>
      </c>
      <c r="G6191">
        <v>1</v>
      </c>
      <c r="H6191">
        <v>1</v>
      </c>
      <c r="I6191">
        <f>1</f>
        <v>1</v>
      </c>
    </row>
    <row r="6192" spans="2:9" x14ac:dyDescent="0.25">
      <c r="B6192">
        <v>0</v>
      </c>
      <c r="C6192" s="16" t="s">
        <v>15358</v>
      </c>
      <c r="D6192" s="16"/>
      <c r="E6192">
        <v>6</v>
      </c>
      <c r="F6192" t="e">
        <f>-De fibras sintéticas</f>
        <v>#NAME?</v>
      </c>
      <c r="G6192">
        <v>1</v>
      </c>
      <c r="H6192">
        <v>1</v>
      </c>
      <c r="I6192">
        <f>1</f>
        <v>1</v>
      </c>
    </row>
    <row r="6193" spans="2:9" x14ac:dyDescent="0.25">
      <c r="B6193">
        <v>0</v>
      </c>
      <c r="C6193" s="16" t="s">
        <v>15359</v>
      </c>
      <c r="D6193" s="16"/>
      <c r="E6193">
        <v>6</v>
      </c>
      <c r="F6193" t="e">
        <f>-De fibras artificiais</f>
        <v>#NAME?</v>
      </c>
      <c r="G6193">
        <v>1</v>
      </c>
      <c r="H6193">
        <v>1</v>
      </c>
      <c r="I6193">
        <f>1</f>
        <v>1</v>
      </c>
    </row>
    <row r="6194" spans="2:9" x14ac:dyDescent="0.25">
      <c r="B6194">
        <v>0</v>
      </c>
      <c r="C6194" s="16" t="s">
        <v>15360</v>
      </c>
      <c r="D6194" s="16"/>
      <c r="E6194">
        <v>6</v>
      </c>
      <c r="F6194" t="e">
        <f>-outros</f>
        <v>#NAME?</v>
      </c>
      <c r="G6194">
        <v>1</v>
      </c>
      <c r="H6194">
        <v>1</v>
      </c>
      <c r="I6194">
        <f>1</f>
        <v>1</v>
      </c>
    </row>
    <row r="6195" spans="2:9" x14ac:dyDescent="0.25">
      <c r="B6195">
        <v>0</v>
      </c>
      <c r="C6195" s="16" t="s">
        <v>15361</v>
      </c>
      <c r="D6195" s="16"/>
      <c r="E6195">
        <v>6</v>
      </c>
      <c r="F6195" t="s">
        <v>7527</v>
      </c>
      <c r="G6195">
        <v>1</v>
      </c>
      <c r="H6195">
        <v>1</v>
      </c>
      <c r="I6195">
        <f>1</f>
        <v>1</v>
      </c>
    </row>
    <row r="6196" spans="2:9" x14ac:dyDescent="0.25">
      <c r="B6196">
        <v>0</v>
      </c>
      <c r="C6196" s="16" t="s">
        <v>15362</v>
      </c>
      <c r="D6196" s="16"/>
      <c r="E6196">
        <v>6</v>
      </c>
      <c r="F6196" t="s">
        <v>7439</v>
      </c>
      <c r="G6196">
        <v>1</v>
      </c>
      <c r="H6196">
        <v>1</v>
      </c>
      <c r="I6196">
        <f>1</f>
        <v>1</v>
      </c>
    </row>
    <row r="6197" spans="2:9" x14ac:dyDescent="0.25">
      <c r="B6197">
        <v>0</v>
      </c>
      <c r="C6197" s="16" t="s">
        <v>15363</v>
      </c>
      <c r="D6197" s="16"/>
      <c r="E6197">
        <v>6</v>
      </c>
      <c r="F6197" t="s">
        <v>7528</v>
      </c>
      <c r="G6197">
        <v>1</v>
      </c>
      <c r="H6197">
        <v>1</v>
      </c>
      <c r="I6197">
        <f>1</f>
        <v>1</v>
      </c>
    </row>
    <row r="6198" spans="2:9" x14ac:dyDescent="0.25">
      <c r="B6198">
        <v>0</v>
      </c>
      <c r="C6198" s="16" t="s">
        <v>15364</v>
      </c>
      <c r="D6198" s="16"/>
      <c r="E6198">
        <v>6</v>
      </c>
      <c r="F6198" t="s">
        <v>7529</v>
      </c>
      <c r="G6198">
        <v>1</v>
      </c>
      <c r="H6198">
        <v>1</v>
      </c>
      <c r="I6198">
        <f>1</f>
        <v>1</v>
      </c>
    </row>
    <row r="6199" spans="2:9" x14ac:dyDescent="0.25">
      <c r="B6199">
        <v>0</v>
      </c>
      <c r="C6199" s="16" t="s">
        <v>15365</v>
      </c>
      <c r="D6199" s="16"/>
      <c r="E6199">
        <v>6</v>
      </c>
      <c r="F6199" t="s">
        <v>7527</v>
      </c>
      <c r="G6199">
        <v>1</v>
      </c>
      <c r="H6199">
        <v>1</v>
      </c>
      <c r="I6199">
        <f>1</f>
        <v>1</v>
      </c>
    </row>
    <row r="6200" spans="2:9" x14ac:dyDescent="0.25">
      <c r="B6200">
        <v>0</v>
      </c>
      <c r="C6200" s="16" t="s">
        <v>15366</v>
      </c>
      <c r="D6200" s="16"/>
      <c r="E6200">
        <v>6</v>
      </c>
      <c r="F6200" t="s">
        <v>7439</v>
      </c>
      <c r="G6200">
        <v>1</v>
      </c>
      <c r="H6200">
        <v>1</v>
      </c>
      <c r="I6200">
        <f>1</f>
        <v>1</v>
      </c>
    </row>
    <row r="6201" spans="2:9" x14ac:dyDescent="0.25">
      <c r="B6201">
        <v>0</v>
      </c>
      <c r="C6201" s="16" t="s">
        <v>15367</v>
      </c>
      <c r="D6201" s="16"/>
      <c r="E6201">
        <v>6</v>
      </c>
      <c r="F6201" t="s">
        <v>7528</v>
      </c>
      <c r="G6201">
        <v>1</v>
      </c>
      <c r="H6201">
        <v>1</v>
      </c>
      <c r="I6201">
        <f>1</f>
        <v>1</v>
      </c>
    </row>
    <row r="6202" spans="2:9" x14ac:dyDescent="0.25">
      <c r="B6202">
        <v>0</v>
      </c>
      <c r="C6202" s="16" t="s">
        <v>15368</v>
      </c>
      <c r="D6202" s="16"/>
      <c r="E6202">
        <v>6</v>
      </c>
      <c r="F6202" t="s">
        <v>7529</v>
      </c>
      <c r="G6202">
        <v>1</v>
      </c>
      <c r="H6202">
        <v>1</v>
      </c>
      <c r="I6202">
        <f>1</f>
        <v>1</v>
      </c>
    </row>
    <row r="6203" spans="2:9" x14ac:dyDescent="0.25">
      <c r="B6203">
        <v>0</v>
      </c>
      <c r="C6203" s="16" t="s">
        <v>15369</v>
      </c>
      <c r="D6203" s="16"/>
      <c r="E6203">
        <v>6</v>
      </c>
      <c r="F6203" t="s">
        <v>7527</v>
      </c>
      <c r="G6203">
        <v>1</v>
      </c>
      <c r="H6203">
        <v>1</v>
      </c>
      <c r="I6203">
        <f>1</f>
        <v>1</v>
      </c>
    </row>
    <row r="6204" spans="2:9" x14ac:dyDescent="0.25">
      <c r="B6204">
        <v>0</v>
      </c>
      <c r="C6204" s="16" t="s">
        <v>15370</v>
      </c>
      <c r="D6204" s="16"/>
      <c r="E6204">
        <v>6</v>
      </c>
      <c r="F6204" t="s">
        <v>7439</v>
      </c>
      <c r="G6204">
        <v>1</v>
      </c>
      <c r="H6204">
        <v>1</v>
      </c>
      <c r="I6204">
        <f>1</f>
        <v>1</v>
      </c>
    </row>
    <row r="6205" spans="2:9" x14ac:dyDescent="0.25">
      <c r="B6205">
        <v>0</v>
      </c>
      <c r="C6205" s="16" t="s">
        <v>15371</v>
      </c>
      <c r="D6205" s="16"/>
      <c r="E6205">
        <v>6</v>
      </c>
      <c r="F6205" t="s">
        <v>7528</v>
      </c>
      <c r="G6205">
        <v>1</v>
      </c>
      <c r="H6205">
        <v>1</v>
      </c>
      <c r="I6205">
        <f>1</f>
        <v>1</v>
      </c>
    </row>
    <row r="6206" spans="2:9" x14ac:dyDescent="0.25">
      <c r="B6206">
        <v>0</v>
      </c>
      <c r="C6206" s="16" t="s">
        <v>15372</v>
      </c>
      <c r="D6206" s="16"/>
      <c r="E6206">
        <v>6</v>
      </c>
      <c r="F6206" t="s">
        <v>7529</v>
      </c>
      <c r="G6206">
        <v>1</v>
      </c>
      <c r="H6206">
        <v>1</v>
      </c>
      <c r="I6206">
        <f>1</f>
        <v>1</v>
      </c>
    </row>
    <row r="6207" spans="2:9" x14ac:dyDescent="0.25">
      <c r="B6207">
        <v>0</v>
      </c>
      <c r="C6207" s="16" t="s">
        <v>15373</v>
      </c>
      <c r="D6207" s="16"/>
      <c r="E6207">
        <v>6</v>
      </c>
      <c r="F6207" t="s">
        <v>7527</v>
      </c>
      <c r="G6207">
        <v>1</v>
      </c>
      <c r="H6207">
        <v>1</v>
      </c>
      <c r="I6207">
        <f>1</f>
        <v>1</v>
      </c>
    </row>
    <row r="6208" spans="2:9" x14ac:dyDescent="0.25">
      <c r="B6208">
        <v>0</v>
      </c>
      <c r="C6208" s="16" t="s">
        <v>15374</v>
      </c>
      <c r="D6208" s="16"/>
      <c r="E6208">
        <v>6</v>
      </c>
      <c r="F6208" t="s">
        <v>7439</v>
      </c>
      <c r="G6208">
        <v>1</v>
      </c>
      <c r="H6208">
        <v>1</v>
      </c>
      <c r="I6208">
        <f>1</f>
        <v>1</v>
      </c>
    </row>
    <row r="6209" spans="2:9" x14ac:dyDescent="0.25">
      <c r="B6209">
        <v>0</v>
      </c>
      <c r="C6209" s="16" t="s">
        <v>15375</v>
      </c>
      <c r="D6209" s="16"/>
      <c r="E6209">
        <v>6</v>
      </c>
      <c r="F6209" t="s">
        <v>7528</v>
      </c>
      <c r="G6209">
        <v>1</v>
      </c>
      <c r="H6209">
        <v>1</v>
      </c>
      <c r="I6209">
        <f>1</f>
        <v>1</v>
      </c>
    </row>
    <row r="6210" spans="2:9" x14ac:dyDescent="0.25">
      <c r="B6210">
        <v>0</v>
      </c>
      <c r="C6210" s="16" t="s">
        <v>15376</v>
      </c>
      <c r="D6210" s="16"/>
      <c r="E6210">
        <v>6</v>
      </c>
      <c r="F6210" t="s">
        <v>7529</v>
      </c>
      <c r="G6210">
        <v>1</v>
      </c>
      <c r="H6210">
        <v>1</v>
      </c>
      <c r="I6210">
        <f>1</f>
        <v>1</v>
      </c>
    </row>
    <row r="6211" spans="2:9" x14ac:dyDescent="0.25">
      <c r="B6211">
        <v>0</v>
      </c>
      <c r="C6211" s="16" t="s">
        <v>15377</v>
      </c>
      <c r="D6211" s="16"/>
      <c r="E6211">
        <v>6</v>
      </c>
      <c r="F6211" t="s">
        <v>7494</v>
      </c>
      <c r="G6211">
        <v>1</v>
      </c>
      <c r="H6211">
        <v>1</v>
      </c>
      <c r="I6211">
        <f>1</f>
        <v>1</v>
      </c>
    </row>
    <row r="6212" spans="2:9" x14ac:dyDescent="0.25">
      <c r="B6212">
        <v>0</v>
      </c>
      <c r="C6212" s="16" t="s">
        <v>15378</v>
      </c>
      <c r="D6212" s="16"/>
      <c r="E6212">
        <v>6</v>
      </c>
      <c r="F6212" t="s">
        <v>7530</v>
      </c>
      <c r="G6212">
        <v>1</v>
      </c>
      <c r="H6212">
        <v>1</v>
      </c>
      <c r="I6212">
        <f>1</f>
        <v>1</v>
      </c>
    </row>
    <row r="6213" spans="2:9" x14ac:dyDescent="0.25">
      <c r="B6213">
        <v>0</v>
      </c>
      <c r="C6213" s="16" t="s">
        <v>15379</v>
      </c>
      <c r="D6213" s="16"/>
      <c r="E6213">
        <v>6</v>
      </c>
      <c r="F6213" t="s">
        <v>7531</v>
      </c>
      <c r="G6213">
        <v>1</v>
      </c>
      <c r="H6213">
        <v>1</v>
      </c>
      <c r="I6213">
        <f>1</f>
        <v>1</v>
      </c>
    </row>
    <row r="6214" spans="2:9" x14ac:dyDescent="0.25">
      <c r="B6214">
        <v>0</v>
      </c>
      <c r="C6214" s="16" t="s">
        <v>15380</v>
      </c>
      <c r="D6214" s="16"/>
      <c r="E6214">
        <v>6</v>
      </c>
      <c r="F6214" t="s">
        <v>7508</v>
      </c>
      <c r="G6214">
        <v>1</v>
      </c>
      <c r="H6214">
        <v>1</v>
      </c>
      <c r="I6214">
        <f>1</f>
        <v>1</v>
      </c>
    </row>
    <row r="6215" spans="2:9" x14ac:dyDescent="0.25">
      <c r="B6215">
        <v>0</v>
      </c>
      <c r="C6215" s="16" t="s">
        <v>15381</v>
      </c>
      <c r="D6215" s="16"/>
      <c r="E6215">
        <v>6</v>
      </c>
      <c r="F6215" t="e">
        <f>--Crus ou Branqueados</f>
        <v>#NAME?</v>
      </c>
      <c r="G6215">
        <v>1</v>
      </c>
      <c r="H6215">
        <v>1</v>
      </c>
      <c r="I6215">
        <f>1</f>
        <v>1</v>
      </c>
    </row>
    <row r="6216" spans="2:9" x14ac:dyDescent="0.25">
      <c r="B6216">
        <v>0</v>
      </c>
      <c r="C6216" s="16" t="s">
        <v>15382</v>
      </c>
      <c r="D6216" s="16"/>
      <c r="E6216">
        <v>6</v>
      </c>
      <c r="F6216" t="e">
        <f>--Tintos</f>
        <v>#NAME?</v>
      </c>
      <c r="G6216">
        <v>1</v>
      </c>
      <c r="H6216">
        <v>1</v>
      </c>
      <c r="I6216">
        <f>1</f>
        <v>1</v>
      </c>
    </row>
    <row r="6217" spans="2:9" x14ac:dyDescent="0.25">
      <c r="B6217">
        <v>0</v>
      </c>
      <c r="C6217" s="16" t="s">
        <v>15383</v>
      </c>
      <c r="D6217" s="16"/>
      <c r="E6217">
        <v>6</v>
      </c>
      <c r="F6217" t="e">
        <f>--De Fios De diversas Cores</f>
        <v>#NAME?</v>
      </c>
      <c r="G6217">
        <v>1</v>
      </c>
      <c r="H6217">
        <v>1</v>
      </c>
      <c r="I6217">
        <f>1</f>
        <v>1</v>
      </c>
    </row>
    <row r="6218" spans="2:9" x14ac:dyDescent="0.25">
      <c r="B6218">
        <v>0</v>
      </c>
      <c r="C6218" s="16" t="s">
        <v>15384</v>
      </c>
      <c r="D6218" s="16"/>
      <c r="E6218">
        <v>6</v>
      </c>
      <c r="F6218" t="e">
        <f>--Estampados</f>
        <v>#NAME?</v>
      </c>
      <c r="G6218">
        <v>1</v>
      </c>
      <c r="H6218">
        <v>1</v>
      </c>
      <c r="I6218">
        <f>1</f>
        <v>1</v>
      </c>
    </row>
    <row r="6219" spans="2:9" x14ac:dyDescent="0.25">
      <c r="B6219">
        <v>0</v>
      </c>
      <c r="C6219" s="16" t="s">
        <v>15385</v>
      </c>
      <c r="D6219" s="16"/>
      <c r="E6219">
        <v>6</v>
      </c>
      <c r="F6219" t="e">
        <f>--Crus ou Branqueados</f>
        <v>#NAME?</v>
      </c>
      <c r="G6219">
        <v>1</v>
      </c>
      <c r="H6219">
        <v>1</v>
      </c>
      <c r="I6219">
        <f>1</f>
        <v>1</v>
      </c>
    </row>
    <row r="6220" spans="2:9" x14ac:dyDescent="0.25">
      <c r="B6220">
        <v>0</v>
      </c>
      <c r="C6220" s="16" t="s">
        <v>15386</v>
      </c>
      <c r="D6220" s="16"/>
      <c r="E6220">
        <v>6</v>
      </c>
      <c r="F6220" t="e">
        <f>--Tintos</f>
        <v>#NAME?</v>
      </c>
      <c r="G6220">
        <v>1</v>
      </c>
      <c r="H6220">
        <v>1</v>
      </c>
      <c r="I6220">
        <f>1</f>
        <v>1</v>
      </c>
    </row>
    <row r="6221" spans="2:9" x14ac:dyDescent="0.25">
      <c r="B6221">
        <v>0</v>
      </c>
      <c r="C6221" s="16" t="s">
        <v>15387</v>
      </c>
      <c r="D6221" s="16"/>
      <c r="E6221">
        <v>6</v>
      </c>
      <c r="F6221" t="e">
        <f>--De Fios De diversas Cores</f>
        <v>#NAME?</v>
      </c>
      <c r="G6221">
        <v>1</v>
      </c>
      <c r="H6221">
        <v>1</v>
      </c>
      <c r="I6221">
        <f>1</f>
        <v>1</v>
      </c>
    </row>
    <row r="6222" spans="2:9" x14ac:dyDescent="0.25">
      <c r="B6222">
        <v>0</v>
      </c>
      <c r="C6222" s="16" t="s">
        <v>15388</v>
      </c>
      <c r="D6222" s="16"/>
      <c r="E6222">
        <v>6</v>
      </c>
      <c r="F6222" t="e">
        <f>--Estampados</f>
        <v>#NAME?</v>
      </c>
      <c r="G6222">
        <v>1</v>
      </c>
      <c r="H6222">
        <v>1</v>
      </c>
      <c r="I6222">
        <f>1</f>
        <v>1</v>
      </c>
    </row>
    <row r="6223" spans="2:9" x14ac:dyDescent="0.25">
      <c r="B6223">
        <v>0</v>
      </c>
      <c r="C6223" s="16" t="s">
        <v>15389</v>
      </c>
      <c r="D6223" s="16"/>
      <c r="E6223">
        <v>6</v>
      </c>
      <c r="F6223" t="e">
        <f>--Crus ou Branqueados</f>
        <v>#NAME?</v>
      </c>
      <c r="G6223">
        <v>1</v>
      </c>
      <c r="H6223">
        <v>1</v>
      </c>
      <c r="I6223">
        <f>1</f>
        <v>1</v>
      </c>
    </row>
    <row r="6224" spans="2:9" x14ac:dyDescent="0.25">
      <c r="B6224">
        <v>0</v>
      </c>
      <c r="C6224" s="16" t="s">
        <v>15390</v>
      </c>
      <c r="D6224" s="16"/>
      <c r="E6224">
        <v>6</v>
      </c>
      <c r="F6224" t="e">
        <f>--Tintos</f>
        <v>#NAME?</v>
      </c>
      <c r="G6224">
        <v>1</v>
      </c>
      <c r="H6224">
        <v>1</v>
      </c>
      <c r="I6224">
        <f>1</f>
        <v>1</v>
      </c>
    </row>
    <row r="6225" spans="2:9" x14ac:dyDescent="0.25">
      <c r="B6225">
        <v>0</v>
      </c>
      <c r="C6225" s="16" t="s">
        <v>15391</v>
      </c>
      <c r="D6225" s="16"/>
      <c r="E6225">
        <v>6</v>
      </c>
      <c r="F6225" t="e">
        <f>--De Fios De diversas Cores</f>
        <v>#NAME?</v>
      </c>
      <c r="G6225">
        <v>1</v>
      </c>
      <c r="H6225">
        <v>1</v>
      </c>
      <c r="I6225">
        <f>1</f>
        <v>1</v>
      </c>
    </row>
    <row r="6226" spans="2:9" x14ac:dyDescent="0.25">
      <c r="B6226">
        <v>0</v>
      </c>
      <c r="C6226" s="16" t="s">
        <v>15392</v>
      </c>
      <c r="D6226" s="16"/>
      <c r="E6226">
        <v>6</v>
      </c>
      <c r="F6226" t="e">
        <f>--Estampados</f>
        <v>#NAME?</v>
      </c>
      <c r="G6226">
        <v>1</v>
      </c>
      <c r="H6226">
        <v>1</v>
      </c>
      <c r="I6226">
        <f>1</f>
        <v>1</v>
      </c>
    </row>
    <row r="6227" spans="2:9" x14ac:dyDescent="0.25">
      <c r="B6227">
        <v>0</v>
      </c>
      <c r="C6227" s="16" t="s">
        <v>15393</v>
      </c>
      <c r="D6227" s="16"/>
      <c r="E6227">
        <v>6</v>
      </c>
      <c r="F6227" t="s">
        <v>7500</v>
      </c>
      <c r="G6227">
        <v>1</v>
      </c>
      <c r="H6227">
        <v>1</v>
      </c>
      <c r="I6227">
        <f>1</f>
        <v>1</v>
      </c>
    </row>
    <row r="6228" spans="2:9" x14ac:dyDescent="0.25">
      <c r="B6228">
        <v>0</v>
      </c>
      <c r="C6228" s="16" t="s">
        <v>15394</v>
      </c>
      <c r="D6228" s="16"/>
      <c r="E6228">
        <v>6</v>
      </c>
      <c r="F6228" t="s">
        <v>4680</v>
      </c>
      <c r="G6228">
        <v>1</v>
      </c>
      <c r="H6228">
        <v>1</v>
      </c>
      <c r="I6228">
        <f>1</f>
        <v>1</v>
      </c>
    </row>
    <row r="6229" spans="2:9" x14ac:dyDescent="0.25">
      <c r="B6229">
        <v>0</v>
      </c>
      <c r="C6229" s="16" t="s">
        <v>15395</v>
      </c>
      <c r="D6229" s="16"/>
      <c r="E6229">
        <v>6</v>
      </c>
      <c r="F6229" t="e">
        <f>-De lã ou De Pelos finos</f>
        <v>#NAME?</v>
      </c>
      <c r="G6229">
        <v>1</v>
      </c>
      <c r="H6229">
        <v>1</v>
      </c>
      <c r="I6229">
        <f>1</f>
        <v>1</v>
      </c>
    </row>
    <row r="6230" spans="2:9" x14ac:dyDescent="0.25">
      <c r="B6230">
        <v>0</v>
      </c>
      <c r="C6230" s="16" t="s">
        <v>15396</v>
      </c>
      <c r="D6230" s="16"/>
      <c r="E6230">
        <v>6</v>
      </c>
      <c r="F6230" t="e">
        <f>--Crus ou Branqueados</f>
        <v>#NAME?</v>
      </c>
      <c r="G6230">
        <v>1</v>
      </c>
      <c r="H6230">
        <v>1</v>
      </c>
      <c r="I6230">
        <f>1</f>
        <v>1</v>
      </c>
    </row>
    <row r="6231" spans="2:9" x14ac:dyDescent="0.25">
      <c r="B6231">
        <v>0</v>
      </c>
      <c r="C6231" s="16" t="s">
        <v>15397</v>
      </c>
      <c r="D6231" s="16"/>
      <c r="E6231">
        <v>6</v>
      </c>
      <c r="F6231" t="e">
        <f>--Tintos</f>
        <v>#NAME?</v>
      </c>
      <c r="G6231">
        <v>1</v>
      </c>
      <c r="H6231">
        <v>1</v>
      </c>
      <c r="I6231">
        <f>1</f>
        <v>1</v>
      </c>
    </row>
    <row r="6232" spans="2:9" x14ac:dyDescent="0.25">
      <c r="B6232">
        <v>0</v>
      </c>
      <c r="C6232" s="16" t="s">
        <v>15398</v>
      </c>
      <c r="D6232" s="16"/>
      <c r="E6232">
        <v>6</v>
      </c>
      <c r="F6232" t="e">
        <f>--De Fios De diversas Cores</f>
        <v>#NAME?</v>
      </c>
      <c r="G6232">
        <v>1</v>
      </c>
      <c r="H6232">
        <v>1</v>
      </c>
      <c r="I6232">
        <f>1</f>
        <v>1</v>
      </c>
    </row>
    <row r="6233" spans="2:9" x14ac:dyDescent="0.25">
      <c r="B6233">
        <v>0</v>
      </c>
      <c r="C6233" s="16" t="s">
        <v>15399</v>
      </c>
      <c r="D6233" s="16"/>
      <c r="E6233">
        <v>6</v>
      </c>
      <c r="F6233" t="e">
        <f>--Estampados</f>
        <v>#NAME?</v>
      </c>
      <c r="G6233">
        <v>1</v>
      </c>
      <c r="H6233">
        <v>1</v>
      </c>
      <c r="I6233">
        <f>1</f>
        <v>1</v>
      </c>
    </row>
    <row r="6234" spans="2:9" x14ac:dyDescent="0.25">
      <c r="B6234">
        <v>0</v>
      </c>
      <c r="C6234" s="16" t="s">
        <v>15400</v>
      </c>
      <c r="D6234" s="16"/>
      <c r="E6234">
        <v>6</v>
      </c>
      <c r="F6234" t="e">
        <f>--Crus ou Branqueados</f>
        <v>#NAME?</v>
      </c>
      <c r="G6234">
        <v>1</v>
      </c>
      <c r="H6234">
        <v>1</v>
      </c>
      <c r="I6234">
        <f>1</f>
        <v>1</v>
      </c>
    </row>
    <row r="6235" spans="2:9" x14ac:dyDescent="0.25">
      <c r="B6235">
        <v>0</v>
      </c>
      <c r="C6235" s="16" t="s">
        <v>15401</v>
      </c>
      <c r="D6235" s="16"/>
      <c r="E6235">
        <v>6</v>
      </c>
      <c r="F6235" t="e">
        <f>--Tintos</f>
        <v>#NAME?</v>
      </c>
      <c r="G6235">
        <v>1</v>
      </c>
      <c r="H6235">
        <v>1</v>
      </c>
      <c r="I6235">
        <f>1</f>
        <v>1</v>
      </c>
    </row>
    <row r="6236" spans="2:9" x14ac:dyDescent="0.25">
      <c r="B6236">
        <v>0</v>
      </c>
      <c r="C6236" s="16" t="s">
        <v>15402</v>
      </c>
      <c r="D6236" s="16"/>
      <c r="E6236">
        <v>6</v>
      </c>
      <c r="F6236" t="e">
        <f>--De Fios De diversas Cores</f>
        <v>#NAME?</v>
      </c>
      <c r="G6236">
        <v>1</v>
      </c>
      <c r="H6236">
        <v>1</v>
      </c>
      <c r="I6236">
        <f>1</f>
        <v>1</v>
      </c>
    </row>
    <row r="6237" spans="2:9" x14ac:dyDescent="0.25">
      <c r="B6237">
        <v>0</v>
      </c>
      <c r="C6237" s="16" t="s">
        <v>15403</v>
      </c>
      <c r="D6237" s="16"/>
      <c r="E6237">
        <v>6</v>
      </c>
      <c r="F6237" t="e">
        <f>--Estampados</f>
        <v>#NAME?</v>
      </c>
      <c r="G6237">
        <v>1</v>
      </c>
      <c r="H6237">
        <v>1</v>
      </c>
      <c r="I6237">
        <f>1</f>
        <v>1</v>
      </c>
    </row>
    <row r="6238" spans="2:9" x14ac:dyDescent="0.25">
      <c r="B6238">
        <v>0</v>
      </c>
      <c r="C6238" s="16" t="s">
        <v>15404</v>
      </c>
      <c r="D6238" s="16"/>
      <c r="E6238">
        <v>6</v>
      </c>
      <c r="F6238" t="e">
        <f>--Crus ou Branqueados</f>
        <v>#NAME?</v>
      </c>
      <c r="G6238">
        <v>1</v>
      </c>
      <c r="H6238">
        <v>1</v>
      </c>
      <c r="I6238">
        <f>1</f>
        <v>1</v>
      </c>
    </row>
    <row r="6239" spans="2:9" x14ac:dyDescent="0.25">
      <c r="B6239">
        <v>0</v>
      </c>
      <c r="C6239" s="16" t="s">
        <v>15405</v>
      </c>
      <c r="D6239" s="16"/>
      <c r="E6239">
        <v>6</v>
      </c>
      <c r="F6239" t="e">
        <f>--Tintos</f>
        <v>#NAME?</v>
      </c>
      <c r="G6239">
        <v>1</v>
      </c>
      <c r="H6239">
        <v>1</v>
      </c>
      <c r="I6239">
        <f>1</f>
        <v>1</v>
      </c>
    </row>
    <row r="6240" spans="2:9" x14ac:dyDescent="0.25">
      <c r="B6240">
        <v>0</v>
      </c>
      <c r="C6240" s="16" t="s">
        <v>15406</v>
      </c>
      <c r="D6240" s="16"/>
      <c r="E6240">
        <v>6</v>
      </c>
      <c r="F6240" t="e">
        <f>--De Fios De diversas Cores</f>
        <v>#NAME?</v>
      </c>
      <c r="G6240">
        <v>1</v>
      </c>
      <c r="H6240">
        <v>1</v>
      </c>
      <c r="I6240">
        <f>1</f>
        <v>1</v>
      </c>
    </row>
    <row r="6241" spans="2:9" x14ac:dyDescent="0.25">
      <c r="B6241">
        <v>0</v>
      </c>
      <c r="C6241" s="16" t="s">
        <v>15407</v>
      </c>
      <c r="D6241" s="16"/>
      <c r="E6241">
        <v>6</v>
      </c>
      <c r="F6241" t="e">
        <f>--Estampados</f>
        <v>#NAME?</v>
      </c>
      <c r="G6241">
        <v>1</v>
      </c>
      <c r="H6241">
        <v>1</v>
      </c>
      <c r="I6241">
        <f>1</f>
        <v>1</v>
      </c>
    </row>
    <row r="6242" spans="2:9" x14ac:dyDescent="0.25">
      <c r="B6242">
        <v>0</v>
      </c>
      <c r="C6242" s="16" t="s">
        <v>15408</v>
      </c>
      <c r="D6242" s="16"/>
      <c r="E6242">
        <v>6</v>
      </c>
      <c r="F6242" t="e">
        <f>-outros</f>
        <v>#NAME?</v>
      </c>
      <c r="G6242">
        <v>1</v>
      </c>
      <c r="H6242">
        <v>1</v>
      </c>
      <c r="I6242">
        <f>1</f>
        <v>1</v>
      </c>
    </row>
    <row r="6243" spans="2:9" x14ac:dyDescent="0.25">
      <c r="B6243">
        <v>0</v>
      </c>
      <c r="C6243" s="16" t="s">
        <v>15409</v>
      </c>
      <c r="D6243" s="16"/>
      <c r="E6243">
        <v>6</v>
      </c>
      <c r="F6243" t="e">
        <f>-De algodão</f>
        <v>#NAME?</v>
      </c>
      <c r="G6243">
        <v>1</v>
      </c>
      <c r="H6243">
        <v>1</v>
      </c>
      <c r="I6243">
        <f>1</f>
        <v>1</v>
      </c>
    </row>
    <row r="6244" spans="2:9" x14ac:dyDescent="0.25">
      <c r="B6244">
        <v>0</v>
      </c>
      <c r="C6244" s="16" t="s">
        <v>15410</v>
      </c>
      <c r="D6244" s="16"/>
      <c r="E6244">
        <v>6</v>
      </c>
      <c r="F6244" t="e">
        <f>-De fibras sintéticas ou artificiais</f>
        <v>#NAME?</v>
      </c>
      <c r="G6244">
        <v>1</v>
      </c>
      <c r="H6244">
        <v>1</v>
      </c>
      <c r="I6244">
        <f>1</f>
        <v>1</v>
      </c>
    </row>
    <row r="6245" spans="2:9" x14ac:dyDescent="0.25">
      <c r="B6245">
        <v>0</v>
      </c>
      <c r="C6245" s="16" t="s">
        <v>15411</v>
      </c>
      <c r="D6245" s="16"/>
      <c r="E6245">
        <v>6</v>
      </c>
      <c r="F6245" t="s">
        <v>7500</v>
      </c>
      <c r="G6245">
        <v>1</v>
      </c>
      <c r="H6245">
        <v>1</v>
      </c>
      <c r="I6245">
        <f>1</f>
        <v>1</v>
      </c>
    </row>
    <row r="6246" spans="2:9" x14ac:dyDescent="0.25">
      <c r="B6246">
        <v>0</v>
      </c>
      <c r="C6246" s="16" t="s">
        <v>15412</v>
      </c>
      <c r="D6246" s="16"/>
      <c r="E6246">
        <v>6</v>
      </c>
      <c r="F6246" t="s">
        <v>4680</v>
      </c>
      <c r="G6246">
        <v>1</v>
      </c>
      <c r="H6246">
        <v>1</v>
      </c>
      <c r="I6246">
        <f>1</f>
        <v>1</v>
      </c>
    </row>
    <row r="6247" spans="2:9" x14ac:dyDescent="0.25">
      <c r="B6247">
        <v>0</v>
      </c>
      <c r="C6247" s="16" t="s">
        <v>15413</v>
      </c>
      <c r="D6247" s="16"/>
      <c r="E6247">
        <v>6</v>
      </c>
      <c r="F6247" t="e">
        <f>-De lã ou De Pelos finos</f>
        <v>#NAME?</v>
      </c>
      <c r="G6247">
        <v>1</v>
      </c>
      <c r="H6247">
        <v>1</v>
      </c>
      <c r="I6247">
        <f>1</f>
        <v>1</v>
      </c>
    </row>
    <row r="6248" spans="2:9" x14ac:dyDescent="0.25">
      <c r="B6248">
        <v>0</v>
      </c>
      <c r="C6248" s="16" t="s">
        <v>15414</v>
      </c>
      <c r="D6248" s="16"/>
      <c r="E6248">
        <v>6</v>
      </c>
      <c r="F6248" t="e">
        <f>-De algodão</f>
        <v>#NAME?</v>
      </c>
      <c r="G6248">
        <v>1</v>
      </c>
      <c r="H6248">
        <v>1</v>
      </c>
      <c r="I6248">
        <f>1</f>
        <v>1</v>
      </c>
    </row>
    <row r="6249" spans="2:9" x14ac:dyDescent="0.25">
      <c r="B6249">
        <v>0</v>
      </c>
      <c r="C6249" s="16" t="s">
        <v>15415</v>
      </c>
      <c r="D6249" s="16"/>
      <c r="E6249">
        <v>6</v>
      </c>
      <c r="F6249" t="e">
        <f>-De fibras sintéticas ou artificiais</f>
        <v>#NAME?</v>
      </c>
      <c r="G6249">
        <v>1</v>
      </c>
      <c r="H6249">
        <v>1</v>
      </c>
      <c r="I6249">
        <f>1</f>
        <v>1</v>
      </c>
    </row>
    <row r="6250" spans="2:9" x14ac:dyDescent="0.25">
      <c r="B6250">
        <v>0</v>
      </c>
      <c r="C6250" s="16" t="s">
        <v>15416</v>
      </c>
      <c r="D6250" s="16"/>
      <c r="E6250">
        <v>6</v>
      </c>
      <c r="F6250" t="e">
        <f>-De Outras matérias têxteis</f>
        <v>#NAME?</v>
      </c>
      <c r="G6250">
        <v>1</v>
      </c>
      <c r="H6250">
        <v>1</v>
      </c>
      <c r="I6250">
        <f>1</f>
        <v>1</v>
      </c>
    </row>
    <row r="6251" spans="2:9" x14ac:dyDescent="0.25">
      <c r="B6251">
        <v>0</v>
      </c>
      <c r="C6251" s="16" t="s">
        <v>15417</v>
      </c>
      <c r="D6251" s="16"/>
      <c r="E6251">
        <v>6</v>
      </c>
      <c r="F6251" t="s">
        <v>7500</v>
      </c>
      <c r="G6251">
        <v>1</v>
      </c>
      <c r="H6251">
        <v>1</v>
      </c>
      <c r="I6251">
        <f>1</f>
        <v>1</v>
      </c>
    </row>
    <row r="6252" spans="2:9" x14ac:dyDescent="0.25">
      <c r="B6252">
        <v>0</v>
      </c>
      <c r="C6252" s="16" t="s">
        <v>15418</v>
      </c>
      <c r="D6252" s="16"/>
      <c r="E6252">
        <v>6</v>
      </c>
      <c r="F6252" t="s">
        <v>7530</v>
      </c>
      <c r="G6252">
        <v>1</v>
      </c>
      <c r="H6252">
        <v>1</v>
      </c>
      <c r="I6252">
        <f>1</f>
        <v>1</v>
      </c>
    </row>
    <row r="6253" spans="2:9" x14ac:dyDescent="0.25">
      <c r="B6253">
        <v>0</v>
      </c>
      <c r="C6253" s="16" t="s">
        <v>15419</v>
      </c>
      <c r="D6253" s="16"/>
      <c r="E6253">
        <v>6</v>
      </c>
      <c r="F6253" t="s">
        <v>7508</v>
      </c>
      <c r="G6253">
        <v>1</v>
      </c>
      <c r="H6253">
        <v>1</v>
      </c>
      <c r="I6253">
        <f>1</f>
        <v>1</v>
      </c>
    </row>
    <row r="6254" spans="2:9" x14ac:dyDescent="0.25">
      <c r="B6254">
        <v>0</v>
      </c>
      <c r="C6254" s="16" t="s">
        <v>15420</v>
      </c>
      <c r="D6254" s="16"/>
      <c r="E6254">
        <v>6</v>
      </c>
      <c r="F6254" t="e">
        <f>--De algodão</f>
        <v>#NAME?</v>
      </c>
      <c r="G6254">
        <v>1</v>
      </c>
      <c r="H6254">
        <v>1</v>
      </c>
      <c r="I6254">
        <f>1</f>
        <v>1</v>
      </c>
    </row>
    <row r="6255" spans="2:9" x14ac:dyDescent="0.25">
      <c r="B6255">
        <v>0</v>
      </c>
      <c r="C6255" s="16" t="s">
        <v>15421</v>
      </c>
      <c r="D6255" s="16"/>
      <c r="E6255">
        <v>6</v>
      </c>
      <c r="F6255" t="e">
        <f>--De fibras sintéticas</f>
        <v>#NAME?</v>
      </c>
      <c r="G6255">
        <v>1</v>
      </c>
      <c r="H6255">
        <v>1</v>
      </c>
      <c r="I6255">
        <f>1</f>
        <v>1</v>
      </c>
    </row>
    <row r="6256" spans="2:9" x14ac:dyDescent="0.25">
      <c r="B6256">
        <v>0</v>
      </c>
      <c r="C6256" s="16" t="s">
        <v>15422</v>
      </c>
      <c r="D6256" s="16"/>
      <c r="E6256">
        <v>6</v>
      </c>
      <c r="F6256" t="s">
        <v>7500</v>
      </c>
      <c r="G6256">
        <v>1</v>
      </c>
      <c r="H6256">
        <v>1</v>
      </c>
      <c r="I6256">
        <f>1</f>
        <v>1</v>
      </c>
    </row>
    <row r="6257" spans="2:9" x14ac:dyDescent="0.25">
      <c r="B6257">
        <v>0</v>
      </c>
      <c r="C6257" s="16" t="s">
        <v>15423</v>
      </c>
      <c r="D6257" s="16"/>
      <c r="E6257">
        <v>6</v>
      </c>
      <c r="F6257" t="s">
        <v>4680</v>
      </c>
      <c r="G6257">
        <v>1</v>
      </c>
      <c r="H6257">
        <v>1</v>
      </c>
      <c r="I6257">
        <f>1</f>
        <v>1</v>
      </c>
    </row>
    <row r="6258" spans="2:9" x14ac:dyDescent="0.25">
      <c r="B6258">
        <v>0</v>
      </c>
      <c r="C6258" s="16" t="s">
        <v>15424</v>
      </c>
      <c r="D6258" s="16"/>
      <c r="E6258">
        <v>6</v>
      </c>
      <c r="F6258" t="e">
        <f>--De lã ou De Pelos finos</f>
        <v>#NAME?</v>
      </c>
      <c r="G6258">
        <v>1</v>
      </c>
      <c r="H6258">
        <v>1</v>
      </c>
      <c r="I6258">
        <f>1</f>
        <v>1</v>
      </c>
    </row>
    <row r="6259" spans="2:9" x14ac:dyDescent="0.25">
      <c r="B6259">
        <v>0</v>
      </c>
      <c r="C6259" s="16" t="s">
        <v>15425</v>
      </c>
      <c r="D6259" s="16"/>
      <c r="E6259">
        <v>6</v>
      </c>
      <c r="F6259" t="e">
        <f>--De algodão</f>
        <v>#NAME?</v>
      </c>
      <c r="G6259">
        <v>1</v>
      </c>
      <c r="H6259">
        <v>1</v>
      </c>
      <c r="I6259">
        <f>1</f>
        <v>1</v>
      </c>
    </row>
    <row r="6260" spans="2:9" x14ac:dyDescent="0.25">
      <c r="B6260">
        <v>0</v>
      </c>
      <c r="C6260" s="16" t="s">
        <v>15426</v>
      </c>
      <c r="D6260" s="16"/>
      <c r="E6260">
        <v>6</v>
      </c>
      <c r="F6260" t="e">
        <f>--De fibras sintéticas</f>
        <v>#NAME?</v>
      </c>
      <c r="G6260">
        <v>1</v>
      </c>
      <c r="H6260">
        <v>1</v>
      </c>
      <c r="I6260">
        <f>1</f>
        <v>1</v>
      </c>
    </row>
    <row r="6261" spans="2:9" x14ac:dyDescent="0.25">
      <c r="B6261">
        <v>0</v>
      </c>
      <c r="C6261" s="16" t="s">
        <v>15427</v>
      </c>
      <c r="D6261" s="16"/>
      <c r="E6261">
        <v>6</v>
      </c>
      <c r="F6261" t="e">
        <f>--De Outras matérias têxteis</f>
        <v>#NAME?</v>
      </c>
      <c r="G6261">
        <v>1</v>
      </c>
      <c r="H6261">
        <v>1</v>
      </c>
      <c r="I6261">
        <f>1</f>
        <v>1</v>
      </c>
    </row>
    <row r="6262" spans="2:9" x14ac:dyDescent="0.25">
      <c r="B6262">
        <v>0</v>
      </c>
      <c r="C6262" s="16" t="s">
        <v>15428</v>
      </c>
      <c r="D6262" s="16"/>
      <c r="E6262">
        <v>6</v>
      </c>
      <c r="F6262" t="e">
        <f>--De lã ou De Pelos finos</f>
        <v>#NAME?</v>
      </c>
      <c r="G6262">
        <v>1</v>
      </c>
      <c r="H6262">
        <v>1</v>
      </c>
      <c r="I6262">
        <f>1</f>
        <v>1</v>
      </c>
    </row>
    <row r="6263" spans="2:9" x14ac:dyDescent="0.25">
      <c r="B6263">
        <v>0</v>
      </c>
      <c r="C6263" s="16" t="s">
        <v>15429</v>
      </c>
      <c r="D6263" s="16"/>
      <c r="E6263">
        <v>6</v>
      </c>
      <c r="F6263" t="e">
        <f>--De algodão</f>
        <v>#NAME?</v>
      </c>
      <c r="G6263">
        <v>1</v>
      </c>
      <c r="H6263">
        <v>1</v>
      </c>
      <c r="I6263">
        <f>1</f>
        <v>1</v>
      </c>
    </row>
    <row r="6264" spans="2:9" x14ac:dyDescent="0.25">
      <c r="B6264">
        <v>0</v>
      </c>
      <c r="C6264" s="16" t="s">
        <v>15430</v>
      </c>
      <c r="D6264" s="16"/>
      <c r="E6264">
        <v>6</v>
      </c>
      <c r="F6264" t="e">
        <f>--De fibras sintéticas</f>
        <v>#NAME?</v>
      </c>
      <c r="G6264">
        <v>1</v>
      </c>
      <c r="H6264">
        <v>1</v>
      </c>
      <c r="I6264">
        <f>1</f>
        <v>1</v>
      </c>
    </row>
    <row r="6265" spans="2:9" x14ac:dyDescent="0.25">
      <c r="B6265">
        <v>0</v>
      </c>
      <c r="C6265" s="16" t="s">
        <v>15431</v>
      </c>
      <c r="D6265" s="16"/>
      <c r="E6265">
        <v>6</v>
      </c>
      <c r="F6265" t="e">
        <f>--De Outras matérias têxteis</f>
        <v>#NAME?</v>
      </c>
      <c r="G6265">
        <v>1</v>
      </c>
      <c r="H6265">
        <v>1</v>
      </c>
      <c r="I6265">
        <f>1</f>
        <v>1</v>
      </c>
    </row>
    <row r="6266" spans="2:9" x14ac:dyDescent="0.25">
      <c r="B6266">
        <v>0</v>
      </c>
      <c r="C6266" s="16" t="s">
        <v>15432</v>
      </c>
      <c r="D6266" s="16"/>
      <c r="E6266">
        <v>6</v>
      </c>
      <c r="F6266" t="e">
        <f>--De fibras sintéticas</f>
        <v>#NAME?</v>
      </c>
      <c r="G6266">
        <v>1</v>
      </c>
      <c r="H6266">
        <v>1</v>
      </c>
      <c r="I6266">
        <f>1</f>
        <v>1</v>
      </c>
    </row>
    <row r="6267" spans="2:9" x14ac:dyDescent="0.25">
      <c r="B6267">
        <v>0</v>
      </c>
      <c r="C6267" s="16" t="s">
        <v>15433</v>
      </c>
      <c r="D6267" s="16"/>
      <c r="E6267">
        <v>6</v>
      </c>
      <c r="F6267" t="s">
        <v>7500</v>
      </c>
      <c r="G6267">
        <v>1</v>
      </c>
      <c r="H6267">
        <v>1</v>
      </c>
      <c r="I6267">
        <f>1</f>
        <v>1</v>
      </c>
    </row>
    <row r="6268" spans="2:9" x14ac:dyDescent="0.25">
      <c r="B6268">
        <v>0</v>
      </c>
      <c r="C6268" s="16" t="s">
        <v>15434</v>
      </c>
      <c r="D6268" s="16"/>
      <c r="E6268">
        <v>6</v>
      </c>
      <c r="F6268" t="s">
        <v>7494</v>
      </c>
      <c r="G6268">
        <v>1</v>
      </c>
      <c r="H6268">
        <v>1</v>
      </c>
      <c r="I6268">
        <f>1</f>
        <v>1</v>
      </c>
    </row>
    <row r="6269" spans="2:9" x14ac:dyDescent="0.25">
      <c r="B6269">
        <v>0</v>
      </c>
      <c r="C6269" s="16" t="s">
        <v>15435</v>
      </c>
      <c r="D6269" s="16"/>
      <c r="E6269">
        <v>6</v>
      </c>
      <c r="F6269" t="s">
        <v>7508</v>
      </c>
      <c r="G6269">
        <v>1</v>
      </c>
      <c r="H6269">
        <v>1</v>
      </c>
      <c r="I6269">
        <f>1</f>
        <v>1</v>
      </c>
    </row>
    <row r="6270" spans="2:9" x14ac:dyDescent="0.25">
      <c r="B6270">
        <v>0</v>
      </c>
      <c r="C6270" s="16" t="s">
        <v>15436</v>
      </c>
      <c r="D6270" s="16"/>
      <c r="E6270">
        <v>6</v>
      </c>
      <c r="F6270" t="e">
        <f>--De algodão</f>
        <v>#NAME?</v>
      </c>
      <c r="G6270">
        <v>1</v>
      </c>
      <c r="H6270">
        <v>1</v>
      </c>
      <c r="I6270">
        <f>1</f>
        <v>1</v>
      </c>
    </row>
    <row r="6271" spans="2:9" x14ac:dyDescent="0.25">
      <c r="B6271">
        <v>0</v>
      </c>
      <c r="C6271" s="16" t="s">
        <v>15437</v>
      </c>
      <c r="D6271" s="16"/>
      <c r="E6271">
        <v>6</v>
      </c>
      <c r="F6271" t="e">
        <f>--De fibras sintéticas</f>
        <v>#NAME?</v>
      </c>
      <c r="G6271">
        <v>1</v>
      </c>
      <c r="H6271">
        <v>1</v>
      </c>
      <c r="I6271">
        <f>1</f>
        <v>1</v>
      </c>
    </row>
    <row r="6272" spans="2:9" x14ac:dyDescent="0.25">
      <c r="B6272">
        <v>0</v>
      </c>
      <c r="C6272" s="16" t="s">
        <v>15438</v>
      </c>
      <c r="D6272" s="16"/>
      <c r="E6272">
        <v>6</v>
      </c>
      <c r="F6272" t="s">
        <v>7500</v>
      </c>
      <c r="G6272">
        <v>1</v>
      </c>
      <c r="H6272">
        <v>1</v>
      </c>
      <c r="I6272">
        <f>1</f>
        <v>1</v>
      </c>
    </row>
    <row r="6273" spans="2:9" x14ac:dyDescent="0.25">
      <c r="B6273">
        <v>0</v>
      </c>
      <c r="C6273" s="16" t="s">
        <v>15439</v>
      </c>
      <c r="D6273" s="16"/>
      <c r="E6273">
        <v>6</v>
      </c>
      <c r="F6273" t="s">
        <v>4680</v>
      </c>
      <c r="G6273">
        <v>1</v>
      </c>
      <c r="H6273">
        <v>1</v>
      </c>
      <c r="I6273">
        <f>1</f>
        <v>1</v>
      </c>
    </row>
    <row r="6274" spans="2:9" x14ac:dyDescent="0.25">
      <c r="B6274">
        <v>0</v>
      </c>
      <c r="C6274" s="16" t="s">
        <v>15440</v>
      </c>
      <c r="D6274" s="16"/>
      <c r="E6274">
        <v>6</v>
      </c>
      <c r="F6274" t="e">
        <f>--De lã ou De Pelos finos</f>
        <v>#NAME?</v>
      </c>
      <c r="G6274">
        <v>1</v>
      </c>
      <c r="H6274">
        <v>1</v>
      </c>
      <c r="I6274">
        <f>1</f>
        <v>1</v>
      </c>
    </row>
    <row r="6275" spans="2:9" x14ac:dyDescent="0.25">
      <c r="B6275">
        <v>0</v>
      </c>
      <c r="C6275" s="16" t="s">
        <v>15441</v>
      </c>
      <c r="D6275" s="16"/>
      <c r="E6275">
        <v>6</v>
      </c>
      <c r="F6275" t="e">
        <f>--De algodão</f>
        <v>#NAME?</v>
      </c>
      <c r="G6275">
        <v>1</v>
      </c>
      <c r="H6275">
        <v>1</v>
      </c>
      <c r="I6275">
        <f>1</f>
        <v>1</v>
      </c>
    </row>
    <row r="6276" spans="2:9" x14ac:dyDescent="0.25">
      <c r="B6276">
        <v>0</v>
      </c>
      <c r="C6276" s="16" t="s">
        <v>15442</v>
      </c>
      <c r="D6276" s="16"/>
      <c r="E6276">
        <v>6</v>
      </c>
      <c r="F6276" t="e">
        <f>--De fibras sintéticas</f>
        <v>#NAME?</v>
      </c>
      <c r="G6276">
        <v>1</v>
      </c>
      <c r="H6276">
        <v>1</v>
      </c>
      <c r="I6276">
        <f>1</f>
        <v>1</v>
      </c>
    </row>
    <row r="6277" spans="2:9" x14ac:dyDescent="0.25">
      <c r="B6277">
        <v>0</v>
      </c>
      <c r="C6277" s="16" t="s">
        <v>15443</v>
      </c>
      <c r="D6277" s="16"/>
      <c r="E6277">
        <v>6</v>
      </c>
      <c r="F6277" t="e">
        <f>--De Outras matérias têxteis</f>
        <v>#NAME?</v>
      </c>
      <c r="G6277">
        <v>1</v>
      </c>
      <c r="H6277">
        <v>1</v>
      </c>
      <c r="I6277">
        <f>1</f>
        <v>1</v>
      </c>
    </row>
    <row r="6278" spans="2:9" x14ac:dyDescent="0.25">
      <c r="B6278">
        <v>0</v>
      </c>
      <c r="C6278" s="16" t="s">
        <v>15444</v>
      </c>
      <c r="D6278" s="16"/>
      <c r="E6278">
        <v>6</v>
      </c>
      <c r="F6278" t="e">
        <f>--De lã ou De Pelos finos</f>
        <v>#NAME?</v>
      </c>
      <c r="G6278">
        <v>1</v>
      </c>
      <c r="H6278">
        <v>1</v>
      </c>
      <c r="I6278">
        <f>1</f>
        <v>1</v>
      </c>
    </row>
    <row r="6279" spans="2:9" x14ac:dyDescent="0.25">
      <c r="B6279">
        <v>0</v>
      </c>
      <c r="C6279" s="16" t="s">
        <v>15445</v>
      </c>
      <c r="D6279" s="16"/>
      <c r="E6279">
        <v>6</v>
      </c>
      <c r="F6279" t="e">
        <f>--De algodão</f>
        <v>#NAME?</v>
      </c>
      <c r="G6279">
        <v>1</v>
      </c>
      <c r="H6279">
        <v>1</v>
      </c>
      <c r="I6279">
        <f>1</f>
        <v>1</v>
      </c>
    </row>
    <row r="6280" spans="2:9" x14ac:dyDescent="0.25">
      <c r="B6280">
        <v>0</v>
      </c>
      <c r="C6280" s="16" t="s">
        <v>15446</v>
      </c>
      <c r="D6280" s="16"/>
      <c r="E6280">
        <v>6</v>
      </c>
      <c r="F6280" t="e">
        <f>--De fibras sintéticas</f>
        <v>#NAME?</v>
      </c>
      <c r="G6280">
        <v>1</v>
      </c>
      <c r="H6280">
        <v>1</v>
      </c>
      <c r="I6280">
        <f>1</f>
        <v>1</v>
      </c>
    </row>
    <row r="6281" spans="2:9" x14ac:dyDescent="0.25">
      <c r="B6281">
        <v>0</v>
      </c>
      <c r="C6281" s="16" t="s">
        <v>15447</v>
      </c>
      <c r="D6281" s="16"/>
      <c r="E6281">
        <v>6</v>
      </c>
      <c r="F6281" t="e">
        <f>--De fibras artificiais</f>
        <v>#NAME?</v>
      </c>
      <c r="G6281">
        <v>1</v>
      </c>
      <c r="H6281">
        <v>1</v>
      </c>
      <c r="I6281">
        <f>1</f>
        <v>1</v>
      </c>
    </row>
    <row r="6282" spans="2:9" x14ac:dyDescent="0.25">
      <c r="B6282">
        <v>0</v>
      </c>
      <c r="C6282" s="16" t="s">
        <v>15448</v>
      </c>
      <c r="D6282" s="16"/>
      <c r="E6282">
        <v>6</v>
      </c>
      <c r="F6282" t="e">
        <f>--De Outras matérias têxteis</f>
        <v>#NAME?</v>
      </c>
      <c r="G6282">
        <v>1</v>
      </c>
      <c r="H6282">
        <v>1</v>
      </c>
      <c r="I6282">
        <f>1</f>
        <v>1</v>
      </c>
    </row>
    <row r="6283" spans="2:9" x14ac:dyDescent="0.25">
      <c r="B6283">
        <v>0</v>
      </c>
      <c r="C6283" s="16" t="s">
        <v>15449</v>
      </c>
      <c r="D6283" s="16"/>
      <c r="E6283">
        <v>6</v>
      </c>
      <c r="F6283" t="e">
        <f>--De lã ou De Pelos finos</f>
        <v>#NAME?</v>
      </c>
      <c r="G6283">
        <v>1</v>
      </c>
      <c r="H6283">
        <v>1</v>
      </c>
      <c r="I6283">
        <f>1</f>
        <v>1</v>
      </c>
    </row>
    <row r="6284" spans="2:9" x14ac:dyDescent="0.25">
      <c r="B6284">
        <v>0</v>
      </c>
      <c r="C6284" s="16" t="s">
        <v>15450</v>
      </c>
      <c r="D6284" s="16"/>
      <c r="E6284">
        <v>6</v>
      </c>
      <c r="F6284" t="e">
        <f>--De algodão</f>
        <v>#NAME?</v>
      </c>
      <c r="G6284">
        <v>1</v>
      </c>
      <c r="H6284">
        <v>1</v>
      </c>
      <c r="I6284">
        <f>1</f>
        <v>1</v>
      </c>
    </row>
    <row r="6285" spans="2:9" x14ac:dyDescent="0.25">
      <c r="B6285">
        <v>0</v>
      </c>
      <c r="C6285" s="16" t="s">
        <v>15451</v>
      </c>
      <c r="D6285" s="16"/>
      <c r="E6285">
        <v>6</v>
      </c>
      <c r="F6285" t="e">
        <f>--De fibras sintéticas</f>
        <v>#NAME?</v>
      </c>
      <c r="G6285">
        <v>1</v>
      </c>
      <c r="H6285">
        <v>1</v>
      </c>
      <c r="I6285">
        <f>1</f>
        <v>1</v>
      </c>
    </row>
    <row r="6286" spans="2:9" x14ac:dyDescent="0.25">
      <c r="B6286">
        <v>0</v>
      </c>
      <c r="C6286" s="16" t="s">
        <v>15452</v>
      </c>
      <c r="D6286" s="16"/>
      <c r="E6286">
        <v>6</v>
      </c>
      <c r="F6286" t="e">
        <f>--De Outras matérias têxteis</f>
        <v>#NAME?</v>
      </c>
      <c r="G6286">
        <v>1</v>
      </c>
      <c r="H6286">
        <v>1</v>
      </c>
      <c r="I6286">
        <f>1</f>
        <v>1</v>
      </c>
    </row>
    <row r="6287" spans="2:9" x14ac:dyDescent="0.25">
      <c r="B6287">
        <v>0</v>
      </c>
      <c r="C6287" s="16" t="s">
        <v>15453</v>
      </c>
      <c r="D6287" s="16"/>
      <c r="E6287">
        <v>6</v>
      </c>
      <c r="F6287" t="e">
        <f>--De lã ou De Pelos finos</f>
        <v>#NAME?</v>
      </c>
      <c r="G6287">
        <v>1</v>
      </c>
      <c r="H6287">
        <v>1</v>
      </c>
      <c r="I6287">
        <f>1</f>
        <v>1</v>
      </c>
    </row>
    <row r="6288" spans="2:9" x14ac:dyDescent="0.25">
      <c r="B6288">
        <v>0</v>
      </c>
      <c r="C6288" s="16" t="s">
        <v>15454</v>
      </c>
      <c r="D6288" s="16"/>
      <c r="E6288">
        <v>6</v>
      </c>
      <c r="F6288" t="e">
        <f>--De algodão</f>
        <v>#NAME?</v>
      </c>
      <c r="G6288">
        <v>1</v>
      </c>
      <c r="H6288">
        <v>1</v>
      </c>
      <c r="I6288">
        <f>1</f>
        <v>1</v>
      </c>
    </row>
    <row r="6289" spans="2:9" x14ac:dyDescent="0.25">
      <c r="B6289">
        <v>0</v>
      </c>
      <c r="C6289" s="16" t="s">
        <v>15455</v>
      </c>
      <c r="D6289" s="16"/>
      <c r="E6289">
        <v>6</v>
      </c>
      <c r="F6289" t="e">
        <f>--De fibras sintéticas</f>
        <v>#NAME?</v>
      </c>
      <c r="G6289">
        <v>1</v>
      </c>
      <c r="H6289">
        <v>1</v>
      </c>
      <c r="I6289">
        <f>1</f>
        <v>1</v>
      </c>
    </row>
    <row r="6290" spans="2:9" x14ac:dyDescent="0.25">
      <c r="B6290">
        <v>0</v>
      </c>
      <c r="C6290" s="16" t="s">
        <v>15456</v>
      </c>
      <c r="D6290" s="16"/>
      <c r="E6290">
        <v>6</v>
      </c>
      <c r="F6290" t="e">
        <f>--De Outras matérias têxteis</f>
        <v>#NAME?</v>
      </c>
      <c r="G6290">
        <v>1</v>
      </c>
      <c r="H6290">
        <v>1</v>
      </c>
      <c r="I6290">
        <f>1</f>
        <v>1</v>
      </c>
    </row>
    <row r="6291" spans="2:9" x14ac:dyDescent="0.25">
      <c r="B6291">
        <v>0</v>
      </c>
      <c r="C6291" s="16" t="s">
        <v>15457</v>
      </c>
      <c r="D6291" s="16"/>
      <c r="E6291">
        <v>6</v>
      </c>
      <c r="F6291" t="e">
        <f>-De algodão</f>
        <v>#NAME?</v>
      </c>
      <c r="G6291">
        <v>1</v>
      </c>
      <c r="H6291">
        <v>1</v>
      </c>
      <c r="I6291">
        <f>1</f>
        <v>1</v>
      </c>
    </row>
    <row r="6292" spans="2:9" x14ac:dyDescent="0.25">
      <c r="B6292">
        <v>0</v>
      </c>
      <c r="C6292" s="16" t="s">
        <v>15458</v>
      </c>
      <c r="D6292" s="16"/>
      <c r="E6292">
        <v>6</v>
      </c>
      <c r="F6292" t="e">
        <f>-De fibras sintéticas ou artificiais</f>
        <v>#NAME?</v>
      </c>
      <c r="G6292">
        <v>1</v>
      </c>
      <c r="H6292">
        <v>1</v>
      </c>
      <c r="I6292">
        <f>1</f>
        <v>1</v>
      </c>
    </row>
    <row r="6293" spans="2:9" x14ac:dyDescent="0.25">
      <c r="B6293">
        <v>0</v>
      </c>
      <c r="C6293" s="16" t="s">
        <v>15459</v>
      </c>
      <c r="D6293" s="16"/>
      <c r="E6293">
        <v>6</v>
      </c>
      <c r="F6293" t="e">
        <f>-De Outras matérias têxteis</f>
        <v>#NAME?</v>
      </c>
      <c r="G6293">
        <v>1</v>
      </c>
      <c r="H6293">
        <v>1</v>
      </c>
      <c r="I6293">
        <f>1</f>
        <v>1</v>
      </c>
    </row>
    <row r="6294" spans="2:9" x14ac:dyDescent="0.25">
      <c r="B6294">
        <v>0</v>
      </c>
      <c r="C6294" s="16" t="s">
        <v>15460</v>
      </c>
      <c r="D6294" s="16"/>
      <c r="E6294">
        <v>6</v>
      </c>
      <c r="F6294" t="e">
        <f>-De algodão</f>
        <v>#NAME?</v>
      </c>
      <c r="G6294">
        <v>1</v>
      </c>
      <c r="H6294">
        <v>1</v>
      </c>
      <c r="I6294">
        <f>1</f>
        <v>1</v>
      </c>
    </row>
    <row r="6295" spans="2:9" x14ac:dyDescent="0.25">
      <c r="B6295">
        <v>0</v>
      </c>
      <c r="C6295" s="16" t="s">
        <v>15461</v>
      </c>
      <c r="D6295" s="16"/>
      <c r="E6295">
        <v>6</v>
      </c>
      <c r="F6295" t="e">
        <f>-De fibras sintéticas ou artificiais</f>
        <v>#NAME?</v>
      </c>
      <c r="G6295">
        <v>1</v>
      </c>
      <c r="H6295">
        <v>1</v>
      </c>
      <c r="I6295">
        <f>1</f>
        <v>1</v>
      </c>
    </row>
    <row r="6296" spans="2:9" x14ac:dyDescent="0.25">
      <c r="B6296">
        <v>0</v>
      </c>
      <c r="C6296" s="16" t="s">
        <v>15462</v>
      </c>
      <c r="D6296" s="16"/>
      <c r="E6296">
        <v>6</v>
      </c>
      <c r="F6296" t="e">
        <f>-De Outras matérias têxteis</f>
        <v>#NAME?</v>
      </c>
      <c r="G6296">
        <v>1</v>
      </c>
      <c r="H6296">
        <v>1</v>
      </c>
      <c r="I6296">
        <f>1</f>
        <v>1</v>
      </c>
    </row>
    <row r="6297" spans="2:9" x14ac:dyDescent="0.25">
      <c r="B6297">
        <v>0</v>
      </c>
      <c r="C6297" s="16" t="s">
        <v>15463</v>
      </c>
      <c r="D6297" s="16"/>
      <c r="E6297">
        <v>6</v>
      </c>
      <c r="F6297" t="e">
        <f>--De algodão</f>
        <v>#NAME?</v>
      </c>
      <c r="G6297">
        <v>1</v>
      </c>
      <c r="H6297">
        <v>1</v>
      </c>
      <c r="I6297">
        <f>1</f>
        <v>1</v>
      </c>
    </row>
    <row r="6298" spans="2:9" x14ac:dyDescent="0.25">
      <c r="B6298">
        <v>0</v>
      </c>
      <c r="C6298" s="16" t="s">
        <v>15464</v>
      </c>
      <c r="D6298" s="16"/>
      <c r="E6298">
        <v>6</v>
      </c>
      <c r="F6298" t="e">
        <f>--De fibras sintéticas ou artificiais</f>
        <v>#NAME?</v>
      </c>
      <c r="G6298">
        <v>1</v>
      </c>
      <c r="H6298">
        <v>1</v>
      </c>
      <c r="I6298">
        <f>1</f>
        <v>1</v>
      </c>
    </row>
    <row r="6299" spans="2:9" x14ac:dyDescent="0.25">
      <c r="B6299">
        <v>0</v>
      </c>
      <c r="C6299" s="16" t="s">
        <v>15465</v>
      </c>
      <c r="D6299" s="16"/>
      <c r="E6299">
        <v>6</v>
      </c>
      <c r="F6299" t="e">
        <f>--De Outras matérias têxteis</f>
        <v>#NAME?</v>
      </c>
      <c r="G6299">
        <v>1</v>
      </c>
      <c r="H6299">
        <v>1</v>
      </c>
      <c r="I6299">
        <f>1</f>
        <v>1</v>
      </c>
    </row>
    <row r="6300" spans="2:9" x14ac:dyDescent="0.25">
      <c r="B6300">
        <v>0</v>
      </c>
      <c r="C6300" s="16" t="s">
        <v>15466</v>
      </c>
      <c r="D6300" s="16"/>
      <c r="E6300">
        <v>6</v>
      </c>
      <c r="F6300" t="e">
        <f>--De algodão</f>
        <v>#NAME?</v>
      </c>
      <c r="G6300">
        <v>1</v>
      </c>
      <c r="H6300">
        <v>1</v>
      </c>
      <c r="I6300">
        <f>1</f>
        <v>1</v>
      </c>
    </row>
    <row r="6301" spans="2:9" x14ac:dyDescent="0.25">
      <c r="B6301">
        <v>0</v>
      </c>
      <c r="C6301" s="16" t="s">
        <v>15467</v>
      </c>
      <c r="D6301" s="16"/>
      <c r="E6301">
        <v>6</v>
      </c>
      <c r="F6301" t="e">
        <f>--De fibras sintéticas ou artificiais</f>
        <v>#NAME?</v>
      </c>
      <c r="G6301">
        <v>1</v>
      </c>
      <c r="H6301">
        <v>1</v>
      </c>
      <c r="I6301">
        <f>1</f>
        <v>1</v>
      </c>
    </row>
    <row r="6302" spans="2:9" x14ac:dyDescent="0.25">
      <c r="B6302">
        <v>0</v>
      </c>
      <c r="C6302" s="16" t="s">
        <v>15468</v>
      </c>
      <c r="D6302" s="16"/>
      <c r="E6302">
        <v>6</v>
      </c>
      <c r="F6302" t="e">
        <f>--De Outras matérias têxteis</f>
        <v>#NAME?</v>
      </c>
      <c r="G6302">
        <v>1</v>
      </c>
      <c r="H6302">
        <v>1</v>
      </c>
      <c r="I6302">
        <f>1</f>
        <v>1</v>
      </c>
    </row>
    <row r="6303" spans="2:9" x14ac:dyDescent="0.25">
      <c r="B6303">
        <v>0</v>
      </c>
      <c r="C6303" s="16" t="s">
        <v>15469</v>
      </c>
      <c r="D6303" s="16"/>
      <c r="E6303">
        <v>6</v>
      </c>
      <c r="F6303" t="e">
        <f>--De algodão</f>
        <v>#NAME?</v>
      </c>
      <c r="G6303">
        <v>1</v>
      </c>
      <c r="H6303">
        <v>1</v>
      </c>
      <c r="I6303">
        <f>1</f>
        <v>1</v>
      </c>
    </row>
    <row r="6304" spans="2:9" x14ac:dyDescent="0.25">
      <c r="B6304">
        <v>0</v>
      </c>
      <c r="C6304" s="16" t="s">
        <v>15470</v>
      </c>
      <c r="D6304" s="16"/>
      <c r="E6304">
        <v>6</v>
      </c>
      <c r="F6304" t="s">
        <v>7507</v>
      </c>
      <c r="G6304">
        <v>1</v>
      </c>
      <c r="H6304">
        <v>1</v>
      </c>
      <c r="I6304">
        <f>1</f>
        <v>1</v>
      </c>
    </row>
    <row r="6305" spans="2:9" x14ac:dyDescent="0.25">
      <c r="B6305">
        <v>0</v>
      </c>
      <c r="C6305" s="16" t="s">
        <v>15471</v>
      </c>
      <c r="D6305" s="16"/>
      <c r="E6305">
        <v>6</v>
      </c>
      <c r="F6305" t="s">
        <v>4680</v>
      </c>
      <c r="G6305">
        <v>1</v>
      </c>
      <c r="H6305">
        <v>1</v>
      </c>
      <c r="I6305">
        <f>1</f>
        <v>1</v>
      </c>
    </row>
    <row r="6306" spans="2:9" x14ac:dyDescent="0.25">
      <c r="B6306">
        <v>0</v>
      </c>
      <c r="C6306" s="16" t="s">
        <v>15472</v>
      </c>
      <c r="D6306" s="16"/>
      <c r="E6306">
        <v>6</v>
      </c>
      <c r="F6306" t="e">
        <f>--De fibras sintéticas ou artificiais</f>
        <v>#NAME?</v>
      </c>
      <c r="G6306">
        <v>1</v>
      </c>
      <c r="H6306">
        <v>1</v>
      </c>
      <c r="I6306">
        <f>1</f>
        <v>1</v>
      </c>
    </row>
    <row r="6307" spans="2:9" x14ac:dyDescent="0.25">
      <c r="B6307">
        <v>0</v>
      </c>
      <c r="C6307" s="16" t="s">
        <v>15473</v>
      </c>
      <c r="D6307" s="16"/>
      <c r="E6307">
        <v>6</v>
      </c>
      <c r="F6307" t="e">
        <f>--De Outras matérias têxteis</f>
        <v>#NAME?</v>
      </c>
      <c r="G6307">
        <v>1</v>
      </c>
      <c r="H6307">
        <v>1</v>
      </c>
      <c r="I6307">
        <f>1</f>
        <v>1</v>
      </c>
    </row>
    <row r="6308" spans="2:9" x14ac:dyDescent="0.25">
      <c r="B6308">
        <v>0</v>
      </c>
      <c r="C6308" s="16" t="s">
        <v>15474</v>
      </c>
      <c r="D6308" s="16"/>
      <c r="E6308">
        <v>6</v>
      </c>
      <c r="F6308" t="e">
        <f>--De algodão</f>
        <v>#NAME?</v>
      </c>
      <c r="G6308">
        <v>1</v>
      </c>
      <c r="H6308">
        <v>1</v>
      </c>
      <c r="I6308">
        <f>1</f>
        <v>1</v>
      </c>
    </row>
    <row r="6309" spans="2:9" x14ac:dyDescent="0.25">
      <c r="B6309">
        <v>0</v>
      </c>
      <c r="C6309" s="16" t="s">
        <v>15475</v>
      </c>
      <c r="D6309" s="16"/>
      <c r="E6309">
        <v>6</v>
      </c>
      <c r="F6309" t="e">
        <f>--De fibras sintéticas ou artificiais</f>
        <v>#NAME?</v>
      </c>
      <c r="G6309">
        <v>1</v>
      </c>
      <c r="H6309">
        <v>1</v>
      </c>
      <c r="I6309">
        <f>1</f>
        <v>1</v>
      </c>
    </row>
    <row r="6310" spans="2:9" x14ac:dyDescent="0.25">
      <c r="B6310">
        <v>0</v>
      </c>
      <c r="C6310" s="16" t="s">
        <v>15476</v>
      </c>
      <c r="D6310" s="16"/>
      <c r="E6310">
        <v>6</v>
      </c>
      <c r="F6310" t="e">
        <f>--De Outras matérias têxteis</f>
        <v>#NAME?</v>
      </c>
      <c r="G6310">
        <v>1</v>
      </c>
      <c r="H6310">
        <v>1</v>
      </c>
      <c r="I6310">
        <f>1</f>
        <v>1</v>
      </c>
    </row>
    <row r="6311" spans="2:9" x14ac:dyDescent="0.25">
      <c r="B6311">
        <v>0</v>
      </c>
      <c r="C6311" s="16" t="s">
        <v>15477</v>
      </c>
      <c r="D6311" s="16"/>
      <c r="E6311">
        <v>6</v>
      </c>
      <c r="F6311" t="e">
        <f>--De algodão</f>
        <v>#NAME?</v>
      </c>
      <c r="G6311">
        <v>1</v>
      </c>
      <c r="H6311">
        <v>1</v>
      </c>
      <c r="I6311">
        <f>1</f>
        <v>1</v>
      </c>
    </row>
    <row r="6312" spans="2:9" x14ac:dyDescent="0.25">
      <c r="B6312">
        <v>0</v>
      </c>
      <c r="C6312" s="16" t="s">
        <v>15478</v>
      </c>
      <c r="D6312" s="16"/>
      <c r="E6312">
        <v>6</v>
      </c>
      <c r="F6312" t="e">
        <f>--De fibras sintéticas ou artificiais</f>
        <v>#NAME?</v>
      </c>
      <c r="G6312">
        <v>1</v>
      </c>
      <c r="H6312">
        <v>1</v>
      </c>
      <c r="I6312">
        <f>1</f>
        <v>1</v>
      </c>
    </row>
    <row r="6313" spans="2:9" x14ac:dyDescent="0.25">
      <c r="B6313">
        <v>0</v>
      </c>
      <c r="C6313" s="16" t="s">
        <v>15479</v>
      </c>
      <c r="D6313" s="16"/>
      <c r="E6313">
        <v>6</v>
      </c>
      <c r="F6313" t="e">
        <f>--De Outras matérias têxteis</f>
        <v>#NAME?</v>
      </c>
      <c r="G6313">
        <v>1</v>
      </c>
      <c r="H6313">
        <v>1</v>
      </c>
      <c r="I6313">
        <f>1</f>
        <v>1</v>
      </c>
    </row>
    <row r="6314" spans="2:9" x14ac:dyDescent="0.25">
      <c r="B6314">
        <v>0</v>
      </c>
      <c r="C6314" s="16" t="s">
        <v>15480</v>
      </c>
      <c r="D6314" s="16"/>
      <c r="E6314">
        <v>6</v>
      </c>
      <c r="F6314" t="e">
        <f>--De algodão</f>
        <v>#NAME?</v>
      </c>
      <c r="G6314">
        <v>1</v>
      </c>
      <c r="H6314">
        <v>1</v>
      </c>
      <c r="I6314">
        <f>1</f>
        <v>1</v>
      </c>
    </row>
    <row r="6315" spans="2:9" x14ac:dyDescent="0.25">
      <c r="B6315">
        <v>0</v>
      </c>
      <c r="C6315" s="16" t="s">
        <v>15481</v>
      </c>
      <c r="D6315" s="16"/>
      <c r="E6315">
        <v>6</v>
      </c>
      <c r="F6315" t="e">
        <f>--De fibras sintéticas ou artificiais</f>
        <v>#NAME?</v>
      </c>
      <c r="G6315">
        <v>1</v>
      </c>
      <c r="H6315">
        <v>1</v>
      </c>
      <c r="I6315">
        <f>1</f>
        <v>1</v>
      </c>
    </row>
    <row r="6316" spans="2:9" x14ac:dyDescent="0.25">
      <c r="B6316">
        <v>0</v>
      </c>
      <c r="C6316" s="16" t="s">
        <v>15482</v>
      </c>
      <c r="D6316" s="16"/>
      <c r="E6316">
        <v>6</v>
      </c>
      <c r="F6316" t="e">
        <f>--De Outras matérias têxteis</f>
        <v>#NAME?</v>
      </c>
      <c r="G6316">
        <v>1</v>
      </c>
      <c r="H6316">
        <v>1</v>
      </c>
      <c r="I6316">
        <f>1</f>
        <v>1</v>
      </c>
    </row>
    <row r="6317" spans="2:9" x14ac:dyDescent="0.25">
      <c r="B6317">
        <v>0</v>
      </c>
      <c r="C6317" s="16" t="s">
        <v>15483</v>
      </c>
      <c r="D6317" s="16"/>
      <c r="E6317">
        <v>6</v>
      </c>
      <c r="F6317" t="e">
        <f>-De algodão</f>
        <v>#NAME?</v>
      </c>
      <c r="G6317">
        <v>1</v>
      </c>
      <c r="H6317">
        <v>1</v>
      </c>
      <c r="I6317">
        <f>1</f>
        <v>1</v>
      </c>
    </row>
    <row r="6318" spans="2:9" x14ac:dyDescent="0.25">
      <c r="B6318">
        <v>0</v>
      </c>
      <c r="C6318" s="16" t="s">
        <v>15484</v>
      </c>
      <c r="D6318" s="16"/>
      <c r="E6318">
        <v>6</v>
      </c>
      <c r="F6318" t="e">
        <f>-De Outras matérias têxteis</f>
        <v>#NAME?</v>
      </c>
      <c r="G6318">
        <v>1</v>
      </c>
      <c r="H6318">
        <v>1</v>
      </c>
      <c r="I6318">
        <f>1</f>
        <v>1</v>
      </c>
    </row>
    <row r="6319" spans="2:9" x14ac:dyDescent="0.25">
      <c r="B6319">
        <v>0</v>
      </c>
      <c r="C6319" s="16" t="s">
        <v>15485</v>
      </c>
      <c r="D6319" s="16"/>
      <c r="E6319">
        <v>6</v>
      </c>
      <c r="F6319" t="e">
        <f>--De lã</f>
        <v>#NAME?</v>
      </c>
      <c r="G6319">
        <v>1</v>
      </c>
      <c r="H6319">
        <v>1</v>
      </c>
      <c r="I6319">
        <f>1</f>
        <v>1</v>
      </c>
    </row>
    <row r="6320" spans="2:9" x14ac:dyDescent="0.25">
      <c r="B6320">
        <v>0</v>
      </c>
      <c r="C6320" s="16" t="s">
        <v>15486</v>
      </c>
      <c r="D6320" s="16"/>
      <c r="E6320">
        <v>6</v>
      </c>
      <c r="F6320" t="e">
        <f>--De cabra De Caxemira</f>
        <v>#NAME?</v>
      </c>
      <c r="G6320">
        <v>1</v>
      </c>
      <c r="H6320">
        <v>1</v>
      </c>
      <c r="I6320">
        <f>1</f>
        <v>1</v>
      </c>
    </row>
    <row r="6321" spans="2:9" x14ac:dyDescent="0.25">
      <c r="B6321">
        <v>0</v>
      </c>
      <c r="C6321" s="16" t="s">
        <v>15487</v>
      </c>
      <c r="D6321" s="16"/>
      <c r="E6321">
        <v>6</v>
      </c>
      <c r="F6321" t="e">
        <f>--outros</f>
        <v>#NAME?</v>
      </c>
      <c r="G6321">
        <v>1</v>
      </c>
      <c r="H6321">
        <v>1</v>
      </c>
      <c r="I6321">
        <f>1</f>
        <v>1</v>
      </c>
    </row>
    <row r="6322" spans="2:9" x14ac:dyDescent="0.25">
      <c r="B6322">
        <v>0</v>
      </c>
      <c r="C6322" s="16" t="s">
        <v>15488</v>
      </c>
      <c r="D6322" s="16"/>
      <c r="E6322">
        <v>6</v>
      </c>
      <c r="F6322" t="e">
        <f>-De algodão</f>
        <v>#NAME?</v>
      </c>
      <c r="G6322">
        <v>1</v>
      </c>
      <c r="H6322">
        <v>1</v>
      </c>
      <c r="I6322">
        <f>1</f>
        <v>1</v>
      </c>
    </row>
    <row r="6323" spans="2:9" x14ac:dyDescent="0.25">
      <c r="B6323">
        <v>0</v>
      </c>
      <c r="C6323" s="16" t="s">
        <v>15489</v>
      </c>
      <c r="D6323" s="16"/>
      <c r="E6323">
        <v>6</v>
      </c>
      <c r="F6323" t="e">
        <f>-De fibras sintéticas ou artificiais</f>
        <v>#NAME?</v>
      </c>
      <c r="G6323">
        <v>1</v>
      </c>
      <c r="H6323">
        <v>1</v>
      </c>
      <c r="I6323">
        <f>1</f>
        <v>1</v>
      </c>
    </row>
    <row r="6324" spans="2:9" x14ac:dyDescent="0.25">
      <c r="B6324">
        <v>0</v>
      </c>
      <c r="C6324" s="16" t="s">
        <v>15490</v>
      </c>
      <c r="D6324" s="16"/>
      <c r="E6324">
        <v>6</v>
      </c>
      <c r="F6324" t="e">
        <f>-De Outras matérias têxteis</f>
        <v>#NAME?</v>
      </c>
      <c r="G6324">
        <v>1</v>
      </c>
      <c r="H6324">
        <v>1</v>
      </c>
      <c r="I6324">
        <f>1</f>
        <v>1</v>
      </c>
    </row>
    <row r="6325" spans="2:9" x14ac:dyDescent="0.25">
      <c r="B6325">
        <v>0</v>
      </c>
      <c r="C6325" s="16" t="s">
        <v>15491</v>
      </c>
      <c r="D6325" s="16"/>
      <c r="E6325">
        <v>6</v>
      </c>
      <c r="F6325" t="e">
        <f>-De algodão</f>
        <v>#NAME?</v>
      </c>
      <c r="G6325">
        <v>1</v>
      </c>
      <c r="H6325">
        <v>1</v>
      </c>
      <c r="I6325">
        <f>1</f>
        <v>1</v>
      </c>
    </row>
    <row r="6326" spans="2:9" x14ac:dyDescent="0.25">
      <c r="B6326">
        <v>0</v>
      </c>
      <c r="C6326" s="16" t="s">
        <v>15492</v>
      </c>
      <c r="D6326" s="16"/>
      <c r="E6326">
        <v>6</v>
      </c>
      <c r="F6326" t="e">
        <f>-De fibras sintéticas</f>
        <v>#NAME?</v>
      </c>
      <c r="G6326">
        <v>1</v>
      </c>
      <c r="H6326">
        <v>1</v>
      </c>
      <c r="I6326">
        <f>1</f>
        <v>1</v>
      </c>
    </row>
    <row r="6327" spans="2:9" x14ac:dyDescent="0.25">
      <c r="B6327">
        <v>0</v>
      </c>
      <c r="C6327" s="16" t="s">
        <v>15493</v>
      </c>
      <c r="D6327" s="16"/>
      <c r="E6327">
        <v>6</v>
      </c>
      <c r="F6327" t="s">
        <v>7500</v>
      </c>
      <c r="G6327">
        <v>1</v>
      </c>
      <c r="H6327">
        <v>1</v>
      </c>
      <c r="I6327">
        <f>1</f>
        <v>1</v>
      </c>
    </row>
    <row r="6328" spans="2:9" x14ac:dyDescent="0.25">
      <c r="B6328">
        <v>0</v>
      </c>
      <c r="C6328" s="16" t="s">
        <v>15494</v>
      </c>
      <c r="D6328" s="16"/>
      <c r="E6328">
        <v>6</v>
      </c>
      <c r="F6328" t="s">
        <v>4680</v>
      </c>
      <c r="G6328">
        <v>1</v>
      </c>
      <c r="H6328">
        <v>1</v>
      </c>
      <c r="I6328">
        <f>1</f>
        <v>1</v>
      </c>
    </row>
    <row r="6329" spans="2:9" x14ac:dyDescent="0.25">
      <c r="B6329">
        <v>0</v>
      </c>
      <c r="C6329" s="16" t="s">
        <v>15495</v>
      </c>
      <c r="D6329" s="16"/>
      <c r="E6329">
        <v>6</v>
      </c>
      <c r="F6329" t="e">
        <f>--De algodão</f>
        <v>#NAME?</v>
      </c>
      <c r="G6329">
        <v>1</v>
      </c>
      <c r="H6329">
        <v>1</v>
      </c>
      <c r="I6329">
        <f>1</f>
        <v>1</v>
      </c>
    </row>
    <row r="6330" spans="2:9" x14ac:dyDescent="0.25">
      <c r="B6330">
        <v>0</v>
      </c>
      <c r="C6330" s="16" t="s">
        <v>15496</v>
      </c>
      <c r="D6330" s="16"/>
      <c r="E6330">
        <v>6</v>
      </c>
      <c r="F6330" t="e">
        <f>--De fibras sintéticas</f>
        <v>#NAME?</v>
      </c>
      <c r="G6330">
        <v>1</v>
      </c>
      <c r="H6330">
        <v>1</v>
      </c>
      <c r="I6330">
        <f>1</f>
        <v>1</v>
      </c>
    </row>
    <row r="6331" spans="2:9" x14ac:dyDescent="0.25">
      <c r="B6331">
        <v>0</v>
      </c>
      <c r="C6331" s="16" t="s">
        <v>15497</v>
      </c>
      <c r="D6331" s="16"/>
      <c r="E6331">
        <v>6</v>
      </c>
      <c r="F6331" t="e">
        <f>--De Outras matérias têxteis</f>
        <v>#NAME?</v>
      </c>
      <c r="G6331">
        <v>1</v>
      </c>
      <c r="H6331">
        <v>1</v>
      </c>
      <c r="I6331">
        <f>1</f>
        <v>1</v>
      </c>
    </row>
    <row r="6332" spans="2:9" x14ac:dyDescent="0.25">
      <c r="B6332">
        <v>0</v>
      </c>
      <c r="C6332" s="16" t="s">
        <v>15498</v>
      </c>
      <c r="D6332" s="16"/>
      <c r="E6332">
        <v>6</v>
      </c>
      <c r="F6332" t="e">
        <f>-Macacões e conjuntos De esqui</f>
        <v>#NAME?</v>
      </c>
      <c r="G6332">
        <v>1</v>
      </c>
      <c r="H6332">
        <v>1</v>
      </c>
      <c r="I6332">
        <f>1</f>
        <v>1</v>
      </c>
    </row>
    <row r="6333" spans="2:9" x14ac:dyDescent="0.25">
      <c r="B6333">
        <v>0</v>
      </c>
      <c r="C6333" s="16" t="s">
        <v>15499</v>
      </c>
      <c r="D6333" s="16"/>
      <c r="E6333">
        <v>6</v>
      </c>
      <c r="F6333" t="e">
        <f>--De fibras sintéticas</f>
        <v>#NAME?</v>
      </c>
      <c r="G6333">
        <v>1</v>
      </c>
      <c r="H6333">
        <v>1</v>
      </c>
      <c r="I6333">
        <f>1</f>
        <v>1</v>
      </c>
    </row>
    <row r="6334" spans="2:9" x14ac:dyDescent="0.25">
      <c r="B6334">
        <v>0</v>
      </c>
      <c r="C6334" s="16" t="s">
        <v>15500</v>
      </c>
      <c r="D6334" s="16"/>
      <c r="E6334">
        <v>6</v>
      </c>
      <c r="F6334" t="e">
        <f>--De Outras matérias têxteis</f>
        <v>#NAME?</v>
      </c>
      <c r="G6334">
        <v>1</v>
      </c>
      <c r="H6334">
        <v>1</v>
      </c>
      <c r="I6334">
        <f>1</f>
        <v>1</v>
      </c>
    </row>
    <row r="6335" spans="2:9" x14ac:dyDescent="0.25">
      <c r="B6335">
        <v>0</v>
      </c>
      <c r="C6335" s="16" t="s">
        <v>15501</v>
      </c>
      <c r="D6335" s="16"/>
      <c r="E6335">
        <v>6</v>
      </c>
      <c r="F6335" t="e">
        <f>--De fibras sintéticas</f>
        <v>#NAME?</v>
      </c>
      <c r="G6335">
        <v>1</v>
      </c>
      <c r="H6335">
        <v>1</v>
      </c>
      <c r="I6335">
        <f>1</f>
        <v>1</v>
      </c>
    </row>
    <row r="6336" spans="2:9" x14ac:dyDescent="0.25">
      <c r="B6336">
        <v>0</v>
      </c>
      <c r="C6336" s="16" t="s">
        <v>15502</v>
      </c>
      <c r="D6336" s="16"/>
      <c r="E6336">
        <v>6</v>
      </c>
      <c r="F6336" t="e">
        <f>--De Outras matérias têxteis</f>
        <v>#NAME?</v>
      </c>
      <c r="G6336">
        <v>1</v>
      </c>
      <c r="H6336">
        <v>1</v>
      </c>
      <c r="I6336">
        <f>1</f>
        <v>1</v>
      </c>
    </row>
    <row r="6337" spans="2:9" x14ac:dyDescent="0.25">
      <c r="B6337">
        <v>0</v>
      </c>
      <c r="C6337" s="16" t="s">
        <v>15503</v>
      </c>
      <c r="D6337" s="16"/>
      <c r="E6337">
        <v>6</v>
      </c>
      <c r="F6337" t="s">
        <v>7532</v>
      </c>
      <c r="G6337">
        <v>1</v>
      </c>
      <c r="H6337">
        <v>1</v>
      </c>
      <c r="I6337">
        <f>1</f>
        <v>1</v>
      </c>
    </row>
    <row r="6338" spans="2:9" x14ac:dyDescent="0.25">
      <c r="B6338">
        <v>0</v>
      </c>
      <c r="C6338" s="16" t="s">
        <v>15504</v>
      </c>
      <c r="D6338" s="16"/>
      <c r="E6338">
        <v>6</v>
      </c>
      <c r="F6338" t="e">
        <f>-De algodão</f>
        <v>#NAME?</v>
      </c>
      <c r="G6338">
        <v>1</v>
      </c>
      <c r="H6338">
        <v>1</v>
      </c>
      <c r="I6338">
        <f>1</f>
        <v>1</v>
      </c>
    </row>
    <row r="6339" spans="2:9" x14ac:dyDescent="0.25">
      <c r="B6339">
        <v>0</v>
      </c>
      <c r="C6339" s="16" t="s">
        <v>15505</v>
      </c>
      <c r="D6339" s="16"/>
      <c r="E6339">
        <v>6</v>
      </c>
      <c r="F6339" t="e">
        <f>-De fibras sintéticas ou artificiais</f>
        <v>#NAME?</v>
      </c>
      <c r="G6339">
        <v>1</v>
      </c>
      <c r="H6339">
        <v>1</v>
      </c>
      <c r="I6339">
        <f>1</f>
        <v>1</v>
      </c>
    </row>
    <row r="6340" spans="2:9" x14ac:dyDescent="0.25">
      <c r="B6340">
        <v>0</v>
      </c>
      <c r="C6340" s="16" t="s">
        <v>15506</v>
      </c>
      <c r="D6340" s="16"/>
      <c r="E6340">
        <v>6</v>
      </c>
      <c r="F6340" t="s">
        <v>7500</v>
      </c>
      <c r="G6340">
        <v>1</v>
      </c>
      <c r="H6340">
        <v>1</v>
      </c>
      <c r="I6340">
        <f>1</f>
        <v>1</v>
      </c>
    </row>
    <row r="6341" spans="2:9" x14ac:dyDescent="0.25">
      <c r="B6341">
        <v>0</v>
      </c>
      <c r="C6341" s="16" t="s">
        <v>15507</v>
      </c>
      <c r="D6341" s="16"/>
      <c r="E6341">
        <v>6</v>
      </c>
      <c r="F6341" t="s">
        <v>4680</v>
      </c>
      <c r="G6341">
        <v>1</v>
      </c>
      <c r="H6341">
        <v>1</v>
      </c>
      <c r="I6341">
        <f>1</f>
        <v>1</v>
      </c>
    </row>
    <row r="6342" spans="2:9" x14ac:dyDescent="0.25">
      <c r="B6342">
        <v>0</v>
      </c>
      <c r="C6342" s="16" t="s">
        <v>15508</v>
      </c>
      <c r="D6342" s="16"/>
      <c r="E6342">
        <v>6</v>
      </c>
      <c r="F6342" t="s">
        <v>7533</v>
      </c>
      <c r="G6342">
        <v>1</v>
      </c>
      <c r="H6342">
        <v>1</v>
      </c>
      <c r="I6342">
        <f>1</f>
        <v>1</v>
      </c>
    </row>
    <row r="6343" spans="2:9" x14ac:dyDescent="0.25">
      <c r="B6343">
        <v>0</v>
      </c>
      <c r="C6343" s="16" t="s">
        <v>15509</v>
      </c>
      <c r="D6343" s="16"/>
      <c r="E6343">
        <v>6</v>
      </c>
      <c r="F6343" t="s">
        <v>7534</v>
      </c>
      <c r="G6343">
        <v>1</v>
      </c>
      <c r="H6343">
        <v>1</v>
      </c>
      <c r="I6343">
        <f>1</f>
        <v>1</v>
      </c>
    </row>
    <row r="6344" spans="2:9" x14ac:dyDescent="0.25">
      <c r="B6344">
        <v>0</v>
      </c>
      <c r="C6344" s="16" t="s">
        <v>15510</v>
      </c>
      <c r="D6344" s="16"/>
      <c r="E6344">
        <v>6</v>
      </c>
      <c r="F6344" t="s">
        <v>7500</v>
      </c>
      <c r="G6344">
        <v>1</v>
      </c>
      <c r="H6344">
        <v>1</v>
      </c>
      <c r="I6344">
        <f>1</f>
        <v>1</v>
      </c>
    </row>
    <row r="6345" spans="2:9" x14ac:dyDescent="0.25">
      <c r="B6345">
        <v>0</v>
      </c>
      <c r="C6345" s="16" t="s">
        <v>15511</v>
      </c>
      <c r="D6345" s="16"/>
      <c r="E6345">
        <v>6</v>
      </c>
      <c r="F6345" t="s">
        <v>7494</v>
      </c>
      <c r="G6345">
        <v>1</v>
      </c>
      <c r="H6345">
        <v>1</v>
      </c>
      <c r="I6345">
        <f>1</f>
        <v>1</v>
      </c>
    </row>
    <row r="6346" spans="2:9" x14ac:dyDescent="0.25">
      <c r="B6346">
        <v>0</v>
      </c>
      <c r="C6346" s="16" t="s">
        <v>15512</v>
      </c>
      <c r="D6346" s="16"/>
      <c r="E6346">
        <v>6</v>
      </c>
      <c r="F6346" t="s">
        <v>7508</v>
      </c>
      <c r="G6346">
        <v>1</v>
      </c>
      <c r="H6346">
        <v>1</v>
      </c>
      <c r="I6346">
        <f>1</f>
        <v>1</v>
      </c>
    </row>
    <row r="6347" spans="2:9" x14ac:dyDescent="0.25">
      <c r="B6347">
        <v>0</v>
      </c>
      <c r="C6347" s="16" t="s">
        <v>15513</v>
      </c>
      <c r="D6347" s="16"/>
      <c r="E6347">
        <v>6</v>
      </c>
      <c r="F6347" t="s">
        <v>7507</v>
      </c>
      <c r="G6347">
        <v>1</v>
      </c>
      <c r="H6347">
        <v>1</v>
      </c>
      <c r="I6347">
        <f>1</f>
        <v>1</v>
      </c>
    </row>
    <row r="6348" spans="2:9" x14ac:dyDescent="0.25">
      <c r="B6348">
        <v>0</v>
      </c>
      <c r="C6348" s="16" t="s">
        <v>15514</v>
      </c>
      <c r="D6348" s="16"/>
      <c r="E6348">
        <v>6</v>
      </c>
      <c r="F6348" t="s">
        <v>7494</v>
      </c>
      <c r="G6348">
        <v>1</v>
      </c>
      <c r="H6348">
        <v>1</v>
      </c>
      <c r="I6348">
        <f>1</f>
        <v>1</v>
      </c>
    </row>
    <row r="6349" spans="2:9" x14ac:dyDescent="0.25">
      <c r="B6349">
        <v>0</v>
      </c>
      <c r="C6349" s="16" t="s">
        <v>15515</v>
      </c>
      <c r="D6349" s="16"/>
      <c r="E6349">
        <v>6</v>
      </c>
      <c r="F6349" t="s">
        <v>7508</v>
      </c>
      <c r="G6349">
        <v>1</v>
      </c>
      <c r="H6349">
        <v>1</v>
      </c>
      <c r="I6349">
        <f>1</f>
        <v>1</v>
      </c>
    </row>
    <row r="6350" spans="2:9" x14ac:dyDescent="0.25">
      <c r="B6350">
        <v>0</v>
      </c>
      <c r="C6350" s="16" t="s">
        <v>15516</v>
      </c>
      <c r="D6350" s="16"/>
      <c r="E6350">
        <v>6</v>
      </c>
      <c r="F6350" t="s">
        <v>7500</v>
      </c>
      <c r="G6350">
        <v>1</v>
      </c>
      <c r="H6350">
        <v>1</v>
      </c>
      <c r="I6350">
        <f>1</f>
        <v>1</v>
      </c>
    </row>
    <row r="6351" spans="2:9" x14ac:dyDescent="0.25">
      <c r="B6351">
        <v>0</v>
      </c>
      <c r="C6351" s="16" t="s">
        <v>15517</v>
      </c>
      <c r="D6351" s="16"/>
      <c r="E6351">
        <v>6</v>
      </c>
      <c r="F6351" t="s">
        <v>7494</v>
      </c>
      <c r="G6351">
        <v>1</v>
      </c>
      <c r="H6351">
        <v>1</v>
      </c>
      <c r="I6351">
        <f>1</f>
        <v>1</v>
      </c>
    </row>
    <row r="6352" spans="2:9" x14ac:dyDescent="0.25">
      <c r="B6352">
        <v>0</v>
      </c>
      <c r="C6352" s="16" t="s">
        <v>15518</v>
      </c>
      <c r="D6352" s="16"/>
      <c r="E6352">
        <v>6</v>
      </c>
      <c r="F6352" t="s">
        <v>7530</v>
      </c>
      <c r="G6352">
        <v>1</v>
      </c>
      <c r="H6352">
        <v>1</v>
      </c>
      <c r="I6352">
        <f>1</f>
        <v>1</v>
      </c>
    </row>
    <row r="6353" spans="2:9" x14ac:dyDescent="0.25">
      <c r="B6353">
        <v>0</v>
      </c>
      <c r="C6353" s="16" t="s">
        <v>15519</v>
      </c>
      <c r="D6353" s="16"/>
      <c r="E6353">
        <v>6</v>
      </c>
      <c r="F6353" t="s">
        <v>7508</v>
      </c>
      <c r="G6353">
        <v>1</v>
      </c>
      <c r="H6353">
        <v>1</v>
      </c>
      <c r="I6353">
        <f>1</f>
        <v>1</v>
      </c>
    </row>
    <row r="6354" spans="2:9" x14ac:dyDescent="0.25">
      <c r="B6354">
        <v>0</v>
      </c>
      <c r="C6354" s="16" t="s">
        <v>15520</v>
      </c>
      <c r="D6354" s="16"/>
      <c r="E6354">
        <v>6</v>
      </c>
      <c r="F6354" t="s">
        <v>7535</v>
      </c>
      <c r="G6354">
        <v>1</v>
      </c>
      <c r="H6354">
        <v>1</v>
      </c>
      <c r="I6354">
        <f>1</f>
        <v>1</v>
      </c>
    </row>
    <row r="6355" spans="2:9" x14ac:dyDescent="0.25">
      <c r="B6355">
        <v>0</v>
      </c>
      <c r="C6355" s="16" t="s">
        <v>15521</v>
      </c>
      <c r="D6355" s="16"/>
      <c r="E6355">
        <v>6</v>
      </c>
      <c r="F6355" t="s">
        <v>7536</v>
      </c>
      <c r="G6355">
        <v>1</v>
      </c>
      <c r="H6355">
        <v>1</v>
      </c>
      <c r="I6355">
        <f>1</f>
        <v>1</v>
      </c>
    </row>
    <row r="6356" spans="2:9" x14ac:dyDescent="0.25">
      <c r="B6356">
        <v>0</v>
      </c>
      <c r="C6356" s="16" t="s">
        <v>15522</v>
      </c>
      <c r="D6356" s="16"/>
      <c r="E6356">
        <v>6</v>
      </c>
      <c r="F6356" t="s">
        <v>7500</v>
      </c>
      <c r="G6356">
        <v>1</v>
      </c>
      <c r="H6356">
        <v>1</v>
      </c>
      <c r="I6356">
        <f>1</f>
        <v>1</v>
      </c>
    </row>
    <row r="6357" spans="2:9" x14ac:dyDescent="0.25">
      <c r="B6357">
        <v>0</v>
      </c>
      <c r="C6357" s="16" t="s">
        <v>15523</v>
      </c>
      <c r="D6357" s="16"/>
      <c r="E6357">
        <v>6</v>
      </c>
      <c r="F6357" t="s">
        <v>7494</v>
      </c>
      <c r="G6357">
        <v>1</v>
      </c>
      <c r="H6357">
        <v>1</v>
      </c>
      <c r="I6357">
        <f>1</f>
        <v>1</v>
      </c>
    </row>
    <row r="6358" spans="2:9" x14ac:dyDescent="0.25">
      <c r="B6358">
        <v>0</v>
      </c>
      <c r="C6358" s="16" t="s">
        <v>15524</v>
      </c>
      <c r="D6358" s="16"/>
      <c r="E6358">
        <v>6</v>
      </c>
      <c r="F6358" t="s">
        <v>4690</v>
      </c>
      <c r="G6358">
        <v>1</v>
      </c>
      <c r="H6358">
        <v>1</v>
      </c>
      <c r="I6358">
        <f>1</f>
        <v>1</v>
      </c>
    </row>
    <row r="6359" spans="2:9" x14ac:dyDescent="0.25">
      <c r="B6359">
        <v>0</v>
      </c>
      <c r="C6359" s="16" t="s">
        <v>15525</v>
      </c>
      <c r="D6359" s="16"/>
      <c r="E6359">
        <v>6</v>
      </c>
      <c r="F6359" t="s">
        <v>7507</v>
      </c>
      <c r="G6359">
        <v>1</v>
      </c>
      <c r="H6359">
        <v>1</v>
      </c>
      <c r="I6359">
        <f>1</f>
        <v>1</v>
      </c>
    </row>
    <row r="6360" spans="2:9" x14ac:dyDescent="0.25">
      <c r="B6360">
        <v>0</v>
      </c>
      <c r="C6360" s="16" t="s">
        <v>15526</v>
      </c>
      <c r="D6360" s="16"/>
      <c r="E6360">
        <v>6</v>
      </c>
      <c r="F6360" t="s">
        <v>7494</v>
      </c>
      <c r="G6360">
        <v>1</v>
      </c>
      <c r="H6360">
        <v>1</v>
      </c>
      <c r="I6360">
        <f>1</f>
        <v>1</v>
      </c>
    </row>
    <row r="6361" spans="2:9" x14ac:dyDescent="0.25">
      <c r="B6361">
        <v>0</v>
      </c>
      <c r="C6361" s="16" t="s">
        <v>15527</v>
      </c>
      <c r="D6361" s="16"/>
      <c r="E6361">
        <v>6</v>
      </c>
      <c r="F6361" t="s">
        <v>7508</v>
      </c>
      <c r="G6361">
        <v>1</v>
      </c>
      <c r="H6361">
        <v>1</v>
      </c>
      <c r="I6361">
        <f>1</f>
        <v>1</v>
      </c>
    </row>
    <row r="6362" spans="2:9" x14ac:dyDescent="0.25">
      <c r="B6362">
        <v>0</v>
      </c>
      <c r="C6362" s="16" t="s">
        <v>15528</v>
      </c>
      <c r="D6362" s="16"/>
      <c r="E6362">
        <v>6</v>
      </c>
      <c r="F6362" t="e">
        <f>--De lã ou De Pelos finos</f>
        <v>#NAME?</v>
      </c>
      <c r="G6362">
        <v>1</v>
      </c>
      <c r="H6362">
        <v>1</v>
      </c>
      <c r="I6362">
        <f>1</f>
        <v>1</v>
      </c>
    </row>
    <row r="6363" spans="2:9" x14ac:dyDescent="0.25">
      <c r="B6363">
        <v>0</v>
      </c>
      <c r="C6363" s="16" t="s">
        <v>15529</v>
      </c>
      <c r="D6363" s="16"/>
      <c r="E6363">
        <v>6</v>
      </c>
      <c r="F6363" t="e">
        <f>--De algodão</f>
        <v>#NAME?</v>
      </c>
      <c r="G6363">
        <v>1</v>
      </c>
      <c r="H6363">
        <v>1</v>
      </c>
      <c r="I6363">
        <f>1</f>
        <v>1</v>
      </c>
    </row>
    <row r="6364" spans="2:9" x14ac:dyDescent="0.25">
      <c r="B6364">
        <v>0</v>
      </c>
      <c r="C6364" s="16" t="s">
        <v>15530</v>
      </c>
      <c r="D6364" s="16"/>
      <c r="E6364">
        <v>6</v>
      </c>
      <c r="F6364" t="e">
        <f>--De fibras sintéticas</f>
        <v>#NAME?</v>
      </c>
      <c r="G6364">
        <v>1</v>
      </c>
      <c r="H6364">
        <v>1</v>
      </c>
      <c r="I6364">
        <f>1</f>
        <v>1</v>
      </c>
    </row>
    <row r="6365" spans="2:9" x14ac:dyDescent="0.25">
      <c r="B6365">
        <v>0</v>
      </c>
      <c r="C6365" s="16" t="s">
        <v>15531</v>
      </c>
      <c r="D6365" s="16"/>
      <c r="E6365">
        <v>6</v>
      </c>
      <c r="F6365" t="e">
        <f>--De Outras matérias têxteis</f>
        <v>#NAME?</v>
      </c>
      <c r="G6365">
        <v>1</v>
      </c>
      <c r="H6365">
        <v>1</v>
      </c>
      <c r="I6365">
        <f>1</f>
        <v>1</v>
      </c>
    </row>
    <row r="6366" spans="2:9" x14ac:dyDescent="0.25">
      <c r="B6366">
        <v>0</v>
      </c>
      <c r="C6366" s="16" t="s">
        <v>15532</v>
      </c>
      <c r="D6366" s="16"/>
      <c r="E6366">
        <v>6</v>
      </c>
      <c r="F6366" t="s">
        <v>7537</v>
      </c>
      <c r="G6366">
        <v>1</v>
      </c>
      <c r="H6366">
        <v>1</v>
      </c>
      <c r="I6366">
        <f>1</f>
        <v>1</v>
      </c>
    </row>
    <row r="6367" spans="2:9" x14ac:dyDescent="0.25">
      <c r="B6367">
        <v>0</v>
      </c>
      <c r="C6367" s="16" t="s">
        <v>15533</v>
      </c>
      <c r="D6367" s="16"/>
      <c r="E6367">
        <v>6</v>
      </c>
      <c r="F6367" t="e">
        <f>--De lã ou De Pelos finos</f>
        <v>#NAME?</v>
      </c>
      <c r="G6367">
        <v>1</v>
      </c>
      <c r="H6367">
        <v>1</v>
      </c>
      <c r="I6367">
        <f>1</f>
        <v>1</v>
      </c>
    </row>
    <row r="6368" spans="2:9" x14ac:dyDescent="0.25">
      <c r="B6368">
        <v>0</v>
      </c>
      <c r="C6368" s="16" t="s">
        <v>15534</v>
      </c>
      <c r="D6368" s="16"/>
      <c r="E6368">
        <v>6</v>
      </c>
      <c r="F6368" t="e">
        <f>--De algodão</f>
        <v>#NAME?</v>
      </c>
      <c r="G6368">
        <v>1</v>
      </c>
      <c r="H6368">
        <v>1</v>
      </c>
      <c r="I6368">
        <f>1</f>
        <v>1</v>
      </c>
    </row>
    <row r="6369" spans="2:9" x14ac:dyDescent="0.25">
      <c r="B6369">
        <v>0</v>
      </c>
      <c r="C6369" s="16" t="s">
        <v>15535</v>
      </c>
      <c r="D6369" s="16"/>
      <c r="E6369">
        <v>6</v>
      </c>
      <c r="F6369" t="e">
        <f>--De fibras sintéticas</f>
        <v>#NAME?</v>
      </c>
      <c r="G6369">
        <v>1</v>
      </c>
      <c r="H6369">
        <v>1</v>
      </c>
      <c r="I6369">
        <f>1</f>
        <v>1</v>
      </c>
    </row>
    <row r="6370" spans="2:9" x14ac:dyDescent="0.25">
      <c r="B6370">
        <v>0</v>
      </c>
      <c r="C6370" s="16" t="s">
        <v>15536</v>
      </c>
      <c r="D6370" s="16"/>
      <c r="E6370">
        <v>6</v>
      </c>
      <c r="F6370" t="e">
        <f>--De Outras matérias têxteis</f>
        <v>#NAME?</v>
      </c>
      <c r="G6370">
        <v>1</v>
      </c>
      <c r="H6370">
        <v>1</v>
      </c>
      <c r="I6370">
        <f>1</f>
        <v>1</v>
      </c>
    </row>
    <row r="6371" spans="2:9" x14ac:dyDescent="0.25">
      <c r="B6371">
        <v>0</v>
      </c>
      <c r="C6371" s="16" t="s">
        <v>15537</v>
      </c>
      <c r="D6371" s="16"/>
      <c r="E6371">
        <v>6</v>
      </c>
      <c r="F6371" t="s">
        <v>7538</v>
      </c>
      <c r="G6371">
        <v>1</v>
      </c>
      <c r="H6371">
        <v>1</v>
      </c>
      <c r="I6371">
        <f>1</f>
        <v>1</v>
      </c>
    </row>
    <row r="6372" spans="2:9" x14ac:dyDescent="0.25">
      <c r="B6372">
        <v>0</v>
      </c>
      <c r="C6372" s="16" t="s">
        <v>15538</v>
      </c>
      <c r="D6372" s="16"/>
      <c r="E6372">
        <v>6</v>
      </c>
      <c r="F6372" t="s">
        <v>7539</v>
      </c>
      <c r="G6372">
        <v>1</v>
      </c>
      <c r="H6372">
        <v>1</v>
      </c>
      <c r="I6372">
        <f>1</f>
        <v>1</v>
      </c>
    </row>
    <row r="6373" spans="2:9" x14ac:dyDescent="0.25">
      <c r="B6373">
        <v>0</v>
      </c>
      <c r="C6373" s="16" t="s">
        <v>15539</v>
      </c>
      <c r="D6373" s="16"/>
      <c r="E6373">
        <v>6</v>
      </c>
      <c r="F6373" t="s">
        <v>4680</v>
      </c>
      <c r="G6373">
        <v>1</v>
      </c>
      <c r="H6373">
        <v>1</v>
      </c>
      <c r="I6373">
        <f>1</f>
        <v>1</v>
      </c>
    </row>
    <row r="6374" spans="2:9" x14ac:dyDescent="0.25">
      <c r="B6374">
        <v>0</v>
      </c>
      <c r="C6374" s="16" t="s">
        <v>15540</v>
      </c>
      <c r="D6374" s="16"/>
      <c r="E6374">
        <v>6</v>
      </c>
      <c r="F6374" t="e">
        <f>-Partes</f>
        <v>#NAME?</v>
      </c>
      <c r="G6374">
        <v>1</v>
      </c>
      <c r="H6374">
        <v>1</v>
      </c>
      <c r="I6374">
        <f>1</f>
        <v>1</v>
      </c>
    </row>
    <row r="6375" spans="2:9" x14ac:dyDescent="0.25">
      <c r="B6375">
        <v>0</v>
      </c>
      <c r="C6375" s="16" t="s">
        <v>15541</v>
      </c>
      <c r="D6375" s="16"/>
      <c r="E6375">
        <v>6</v>
      </c>
      <c r="F6375" t="e">
        <f>--De lã ou De Pelos finos</f>
        <v>#NAME?</v>
      </c>
      <c r="G6375">
        <v>1</v>
      </c>
      <c r="H6375">
        <v>1</v>
      </c>
      <c r="I6375">
        <f>1</f>
        <v>1</v>
      </c>
    </row>
    <row r="6376" spans="2:9" x14ac:dyDescent="0.25">
      <c r="B6376">
        <v>0</v>
      </c>
      <c r="C6376" s="16" t="s">
        <v>15542</v>
      </c>
      <c r="D6376" s="16"/>
      <c r="E6376">
        <v>6</v>
      </c>
      <c r="F6376" t="e">
        <f>--De algodão</f>
        <v>#NAME?</v>
      </c>
      <c r="G6376">
        <v>1</v>
      </c>
      <c r="H6376">
        <v>1</v>
      </c>
      <c r="I6376">
        <f>1</f>
        <v>1</v>
      </c>
    </row>
    <row r="6377" spans="2:9" x14ac:dyDescent="0.25">
      <c r="B6377">
        <v>0</v>
      </c>
      <c r="C6377" s="16" t="s">
        <v>15543</v>
      </c>
      <c r="D6377" s="16"/>
      <c r="E6377">
        <v>6</v>
      </c>
      <c r="F6377" t="e">
        <f>--De fibras sintéticas ou artificiais</f>
        <v>#NAME?</v>
      </c>
      <c r="G6377">
        <v>1</v>
      </c>
      <c r="H6377">
        <v>1</v>
      </c>
      <c r="I6377">
        <f>1</f>
        <v>1</v>
      </c>
    </row>
    <row r="6378" spans="2:9" x14ac:dyDescent="0.25">
      <c r="B6378">
        <v>0</v>
      </c>
      <c r="C6378" s="16" t="s">
        <v>15544</v>
      </c>
      <c r="D6378" s="16"/>
      <c r="E6378">
        <v>6</v>
      </c>
      <c r="F6378" t="e">
        <f>--De Outras matérias têxteis</f>
        <v>#NAME?</v>
      </c>
      <c r="G6378">
        <v>1</v>
      </c>
      <c r="H6378">
        <v>1</v>
      </c>
      <c r="I6378">
        <f>1</f>
        <v>1</v>
      </c>
    </row>
    <row r="6379" spans="2:9" x14ac:dyDescent="0.25">
      <c r="B6379">
        <v>0</v>
      </c>
      <c r="C6379" s="16" t="s">
        <v>15545</v>
      </c>
      <c r="D6379" s="16"/>
      <c r="E6379">
        <v>6</v>
      </c>
      <c r="F6379" t="e">
        <f>--De lã ou De Pelos finos</f>
        <v>#NAME?</v>
      </c>
      <c r="G6379">
        <v>1</v>
      </c>
      <c r="H6379">
        <v>1</v>
      </c>
      <c r="I6379">
        <f>1</f>
        <v>1</v>
      </c>
    </row>
    <row r="6380" spans="2:9" x14ac:dyDescent="0.25">
      <c r="B6380">
        <v>0</v>
      </c>
      <c r="C6380" s="16" t="s">
        <v>15546</v>
      </c>
      <c r="D6380" s="16"/>
      <c r="E6380">
        <v>6</v>
      </c>
      <c r="F6380" t="e">
        <f>--De algodão</f>
        <v>#NAME?</v>
      </c>
      <c r="G6380">
        <v>1</v>
      </c>
      <c r="H6380">
        <v>1</v>
      </c>
      <c r="I6380">
        <f>1</f>
        <v>1</v>
      </c>
    </row>
    <row r="6381" spans="2:9" x14ac:dyDescent="0.25">
      <c r="B6381">
        <v>0</v>
      </c>
      <c r="C6381" s="16" t="s">
        <v>15547</v>
      </c>
      <c r="D6381" s="16"/>
      <c r="E6381">
        <v>6</v>
      </c>
      <c r="F6381" t="e">
        <f>--De fibras sintéticas ou artificiais</f>
        <v>#NAME?</v>
      </c>
      <c r="G6381">
        <v>1</v>
      </c>
      <c r="H6381">
        <v>1</v>
      </c>
      <c r="I6381">
        <f>1</f>
        <v>1</v>
      </c>
    </row>
    <row r="6382" spans="2:9" x14ac:dyDescent="0.25">
      <c r="B6382">
        <v>0</v>
      </c>
      <c r="C6382" s="16" t="s">
        <v>15548</v>
      </c>
      <c r="D6382" s="16"/>
      <c r="E6382">
        <v>6</v>
      </c>
      <c r="F6382" t="e">
        <f>--De Outras matérias têxteis</f>
        <v>#NAME?</v>
      </c>
      <c r="G6382">
        <v>1</v>
      </c>
      <c r="H6382">
        <v>1</v>
      </c>
      <c r="I6382">
        <f>1</f>
        <v>1</v>
      </c>
    </row>
    <row r="6383" spans="2:9" x14ac:dyDescent="0.25">
      <c r="B6383">
        <v>0</v>
      </c>
      <c r="C6383" s="16" t="s">
        <v>15549</v>
      </c>
      <c r="D6383" s="16"/>
      <c r="E6383">
        <v>6</v>
      </c>
      <c r="F6383" t="e">
        <f>--De lã ou De Pelos finos</f>
        <v>#NAME?</v>
      </c>
      <c r="G6383">
        <v>1</v>
      </c>
      <c r="H6383">
        <v>1</v>
      </c>
      <c r="I6383">
        <f>1</f>
        <v>1</v>
      </c>
    </row>
    <row r="6384" spans="2:9" x14ac:dyDescent="0.25">
      <c r="B6384">
        <v>0</v>
      </c>
      <c r="C6384" s="16" t="s">
        <v>15550</v>
      </c>
      <c r="D6384" s="16"/>
      <c r="E6384">
        <v>6</v>
      </c>
      <c r="F6384" t="e">
        <f>--De algodão</f>
        <v>#NAME?</v>
      </c>
      <c r="G6384">
        <v>1</v>
      </c>
      <c r="H6384">
        <v>1</v>
      </c>
      <c r="I6384">
        <f>1</f>
        <v>1</v>
      </c>
    </row>
    <row r="6385" spans="2:9" x14ac:dyDescent="0.25">
      <c r="B6385">
        <v>0</v>
      </c>
      <c r="C6385" s="16" t="s">
        <v>15551</v>
      </c>
      <c r="D6385" s="16"/>
      <c r="E6385">
        <v>6</v>
      </c>
      <c r="F6385" t="e">
        <f>--De fibras sintéticas ou artificiais</f>
        <v>#NAME?</v>
      </c>
      <c r="G6385">
        <v>1</v>
      </c>
      <c r="H6385">
        <v>1</v>
      </c>
      <c r="I6385">
        <f>1</f>
        <v>1</v>
      </c>
    </row>
    <row r="6386" spans="2:9" x14ac:dyDescent="0.25">
      <c r="B6386">
        <v>0</v>
      </c>
      <c r="C6386" s="16" t="s">
        <v>15552</v>
      </c>
      <c r="D6386" s="16"/>
      <c r="E6386">
        <v>6</v>
      </c>
      <c r="F6386" t="e">
        <f>--De Outras matérias têxteis</f>
        <v>#NAME?</v>
      </c>
      <c r="G6386">
        <v>1</v>
      </c>
      <c r="H6386">
        <v>1</v>
      </c>
      <c r="I6386">
        <f>1</f>
        <v>1</v>
      </c>
    </row>
    <row r="6387" spans="2:9" x14ac:dyDescent="0.25">
      <c r="B6387">
        <v>0</v>
      </c>
      <c r="C6387" s="16" t="s">
        <v>15553</v>
      </c>
      <c r="D6387" s="16"/>
      <c r="E6387">
        <v>6</v>
      </c>
      <c r="F6387" t="e">
        <f>--De lã ou De Pelos finos</f>
        <v>#NAME?</v>
      </c>
      <c r="G6387">
        <v>1</v>
      </c>
      <c r="H6387">
        <v>1</v>
      </c>
      <c r="I6387">
        <f>1</f>
        <v>1</v>
      </c>
    </row>
    <row r="6388" spans="2:9" x14ac:dyDescent="0.25">
      <c r="B6388">
        <v>0</v>
      </c>
      <c r="C6388" s="16" t="s">
        <v>15554</v>
      </c>
      <c r="D6388" s="16"/>
      <c r="E6388">
        <v>6</v>
      </c>
      <c r="F6388" t="e">
        <f>--De algodão</f>
        <v>#NAME?</v>
      </c>
      <c r="G6388">
        <v>1</v>
      </c>
      <c r="H6388">
        <v>1</v>
      </c>
      <c r="I6388">
        <f>1</f>
        <v>1</v>
      </c>
    </row>
    <row r="6389" spans="2:9" x14ac:dyDescent="0.25">
      <c r="B6389">
        <v>0</v>
      </c>
      <c r="C6389" s="16" t="s">
        <v>15555</v>
      </c>
      <c r="D6389" s="16"/>
      <c r="E6389">
        <v>6</v>
      </c>
      <c r="F6389" t="e">
        <f>--De fibras sintéticas ou artificiais</f>
        <v>#NAME?</v>
      </c>
      <c r="G6389">
        <v>1</v>
      </c>
      <c r="H6389">
        <v>1</v>
      </c>
      <c r="I6389">
        <f>1</f>
        <v>1</v>
      </c>
    </row>
    <row r="6390" spans="2:9" x14ac:dyDescent="0.25">
      <c r="B6390">
        <v>0</v>
      </c>
      <c r="C6390" s="16" t="s">
        <v>15556</v>
      </c>
      <c r="D6390" s="16"/>
      <c r="E6390">
        <v>6</v>
      </c>
      <c r="F6390" t="e">
        <f>--De Outras matérias têxteis</f>
        <v>#NAME?</v>
      </c>
      <c r="G6390">
        <v>1</v>
      </c>
      <c r="H6390">
        <v>1</v>
      </c>
      <c r="I6390">
        <f>1</f>
        <v>1</v>
      </c>
    </row>
    <row r="6391" spans="2:9" x14ac:dyDescent="0.25">
      <c r="B6391">
        <v>0</v>
      </c>
      <c r="C6391" s="16" t="s">
        <v>15557</v>
      </c>
      <c r="D6391" s="16"/>
      <c r="E6391">
        <v>6</v>
      </c>
      <c r="F6391" t="e">
        <f>--De lã ou De Pelos finos</f>
        <v>#NAME?</v>
      </c>
      <c r="G6391">
        <v>1</v>
      </c>
      <c r="H6391">
        <v>1</v>
      </c>
      <c r="I6391">
        <f>1</f>
        <v>1</v>
      </c>
    </row>
    <row r="6392" spans="2:9" x14ac:dyDescent="0.25">
      <c r="B6392">
        <v>0</v>
      </c>
      <c r="C6392" s="16" t="s">
        <v>15558</v>
      </c>
      <c r="D6392" s="16"/>
      <c r="E6392">
        <v>6</v>
      </c>
      <c r="F6392" t="e">
        <f>--De fibras sintéticas</f>
        <v>#NAME?</v>
      </c>
      <c r="G6392">
        <v>1</v>
      </c>
      <c r="H6392">
        <v>1</v>
      </c>
      <c r="I6392">
        <f>1</f>
        <v>1</v>
      </c>
    </row>
    <row r="6393" spans="2:9" x14ac:dyDescent="0.25">
      <c r="B6393">
        <v>0</v>
      </c>
      <c r="C6393" s="16" t="s">
        <v>15559</v>
      </c>
      <c r="D6393" s="16"/>
      <c r="E6393">
        <v>6</v>
      </c>
      <c r="F6393" t="e">
        <f>--De Outras matérias têxteis</f>
        <v>#NAME?</v>
      </c>
      <c r="G6393">
        <v>1</v>
      </c>
      <c r="H6393">
        <v>1</v>
      </c>
      <c r="I6393">
        <f>1</f>
        <v>1</v>
      </c>
    </row>
    <row r="6394" spans="2:9" x14ac:dyDescent="0.25">
      <c r="B6394">
        <v>0</v>
      </c>
      <c r="C6394" s="16" t="s">
        <v>15560</v>
      </c>
      <c r="D6394" s="16"/>
      <c r="E6394">
        <v>6</v>
      </c>
      <c r="F6394" t="e">
        <f>--De algodão</f>
        <v>#NAME?</v>
      </c>
      <c r="G6394">
        <v>1</v>
      </c>
      <c r="H6394">
        <v>1</v>
      </c>
      <c r="I6394">
        <f>1</f>
        <v>1</v>
      </c>
    </row>
    <row r="6395" spans="2:9" x14ac:dyDescent="0.25">
      <c r="B6395">
        <v>0</v>
      </c>
      <c r="C6395" s="16" t="s">
        <v>15561</v>
      </c>
      <c r="D6395" s="16"/>
      <c r="E6395">
        <v>6</v>
      </c>
      <c r="F6395" t="e">
        <f>--De fibras sintéticas</f>
        <v>#NAME?</v>
      </c>
      <c r="G6395">
        <v>1</v>
      </c>
      <c r="H6395">
        <v>1</v>
      </c>
      <c r="I6395">
        <f>1</f>
        <v>1</v>
      </c>
    </row>
    <row r="6396" spans="2:9" x14ac:dyDescent="0.25">
      <c r="B6396">
        <v>0</v>
      </c>
      <c r="C6396" s="16" t="s">
        <v>15562</v>
      </c>
      <c r="D6396" s="16"/>
      <c r="E6396">
        <v>6</v>
      </c>
      <c r="F6396" t="s">
        <v>7500</v>
      </c>
      <c r="G6396">
        <v>1</v>
      </c>
      <c r="H6396">
        <v>1</v>
      </c>
      <c r="I6396">
        <f>1</f>
        <v>1</v>
      </c>
    </row>
    <row r="6397" spans="2:9" x14ac:dyDescent="0.25">
      <c r="B6397">
        <v>0</v>
      </c>
      <c r="C6397" s="16" t="s">
        <v>15563</v>
      </c>
      <c r="D6397" s="16"/>
      <c r="E6397">
        <v>6</v>
      </c>
      <c r="F6397" t="s">
        <v>4680</v>
      </c>
      <c r="G6397">
        <v>1</v>
      </c>
      <c r="H6397">
        <v>1</v>
      </c>
      <c r="I6397">
        <f>1</f>
        <v>1</v>
      </c>
    </row>
    <row r="6398" spans="2:9" x14ac:dyDescent="0.25">
      <c r="B6398">
        <v>0</v>
      </c>
      <c r="C6398" s="16" t="s">
        <v>15564</v>
      </c>
      <c r="D6398" s="16"/>
      <c r="E6398">
        <v>6</v>
      </c>
      <c r="F6398" t="e">
        <f>--De lã ou De Pelos finos</f>
        <v>#NAME?</v>
      </c>
      <c r="G6398">
        <v>1</v>
      </c>
      <c r="H6398">
        <v>1</v>
      </c>
      <c r="I6398">
        <f>1</f>
        <v>1</v>
      </c>
    </row>
    <row r="6399" spans="2:9" x14ac:dyDescent="0.25">
      <c r="B6399">
        <v>0</v>
      </c>
      <c r="C6399" s="16" t="s">
        <v>15565</v>
      </c>
      <c r="D6399" s="16"/>
      <c r="E6399">
        <v>6</v>
      </c>
      <c r="F6399" t="e">
        <f>--De algodão</f>
        <v>#NAME?</v>
      </c>
      <c r="G6399">
        <v>1</v>
      </c>
      <c r="H6399">
        <v>1</v>
      </c>
      <c r="I6399">
        <f>1</f>
        <v>1</v>
      </c>
    </row>
    <row r="6400" spans="2:9" x14ac:dyDescent="0.25">
      <c r="B6400">
        <v>0</v>
      </c>
      <c r="C6400" s="16" t="s">
        <v>15566</v>
      </c>
      <c r="D6400" s="16"/>
      <c r="E6400">
        <v>6</v>
      </c>
      <c r="F6400" t="e">
        <f>--De fibras sintéticas</f>
        <v>#NAME?</v>
      </c>
      <c r="G6400">
        <v>1</v>
      </c>
      <c r="H6400">
        <v>1</v>
      </c>
      <c r="I6400">
        <f>1</f>
        <v>1</v>
      </c>
    </row>
    <row r="6401" spans="2:9" x14ac:dyDescent="0.25">
      <c r="B6401">
        <v>0</v>
      </c>
      <c r="C6401" s="16" t="s">
        <v>15567</v>
      </c>
      <c r="D6401" s="16"/>
      <c r="E6401">
        <v>6</v>
      </c>
      <c r="F6401" t="e">
        <f>--De Outras matérias têxteis</f>
        <v>#NAME?</v>
      </c>
      <c r="G6401">
        <v>1</v>
      </c>
      <c r="H6401">
        <v>1</v>
      </c>
      <c r="I6401">
        <f>1</f>
        <v>1</v>
      </c>
    </row>
    <row r="6402" spans="2:9" x14ac:dyDescent="0.25">
      <c r="B6402">
        <v>0</v>
      </c>
      <c r="C6402" s="16" t="s">
        <v>15568</v>
      </c>
      <c r="D6402" s="16"/>
      <c r="E6402">
        <v>6</v>
      </c>
      <c r="F6402" t="e">
        <f>--De lã ou De Pelos finos</f>
        <v>#NAME?</v>
      </c>
      <c r="G6402">
        <v>1</v>
      </c>
      <c r="H6402">
        <v>1</v>
      </c>
      <c r="I6402">
        <f>1</f>
        <v>1</v>
      </c>
    </row>
    <row r="6403" spans="2:9" x14ac:dyDescent="0.25">
      <c r="B6403">
        <v>0</v>
      </c>
      <c r="C6403" s="16" t="s">
        <v>15569</v>
      </c>
      <c r="D6403" s="16"/>
      <c r="E6403">
        <v>6</v>
      </c>
      <c r="F6403" t="e">
        <f>--De algodão</f>
        <v>#NAME?</v>
      </c>
      <c r="G6403">
        <v>1</v>
      </c>
      <c r="H6403">
        <v>1</v>
      </c>
      <c r="I6403">
        <f>1</f>
        <v>1</v>
      </c>
    </row>
    <row r="6404" spans="2:9" x14ac:dyDescent="0.25">
      <c r="B6404">
        <v>0</v>
      </c>
      <c r="C6404" s="16" t="s">
        <v>15570</v>
      </c>
      <c r="D6404" s="16"/>
      <c r="E6404">
        <v>6</v>
      </c>
      <c r="F6404" t="e">
        <f>--De fibras sintéticas</f>
        <v>#NAME?</v>
      </c>
      <c r="G6404">
        <v>1</v>
      </c>
      <c r="H6404">
        <v>1</v>
      </c>
      <c r="I6404">
        <f>1</f>
        <v>1</v>
      </c>
    </row>
    <row r="6405" spans="2:9" x14ac:dyDescent="0.25">
      <c r="B6405">
        <v>0</v>
      </c>
      <c r="C6405" s="16" t="s">
        <v>15571</v>
      </c>
      <c r="D6405" s="16"/>
      <c r="E6405">
        <v>6</v>
      </c>
      <c r="F6405" t="e">
        <f>--De Outras matérias têxteis</f>
        <v>#NAME?</v>
      </c>
      <c r="G6405">
        <v>1</v>
      </c>
      <c r="H6405">
        <v>1</v>
      </c>
      <c r="I6405">
        <f>1</f>
        <v>1</v>
      </c>
    </row>
    <row r="6406" spans="2:9" x14ac:dyDescent="0.25">
      <c r="B6406">
        <v>0</v>
      </c>
      <c r="C6406" s="16" t="s">
        <v>15572</v>
      </c>
      <c r="D6406" s="16"/>
      <c r="E6406">
        <v>6</v>
      </c>
      <c r="F6406" t="e">
        <f>--De lã ou De Pelos finos</f>
        <v>#NAME?</v>
      </c>
      <c r="G6406">
        <v>1</v>
      </c>
      <c r="H6406">
        <v>1</v>
      </c>
      <c r="I6406">
        <f>1</f>
        <v>1</v>
      </c>
    </row>
    <row r="6407" spans="2:9" x14ac:dyDescent="0.25">
      <c r="B6407">
        <v>0</v>
      </c>
      <c r="C6407" s="16" t="s">
        <v>15573</v>
      </c>
      <c r="D6407" s="16"/>
      <c r="E6407">
        <v>6</v>
      </c>
      <c r="F6407" t="e">
        <f>--De algodão</f>
        <v>#NAME?</v>
      </c>
      <c r="G6407">
        <v>1</v>
      </c>
      <c r="H6407">
        <v>1</v>
      </c>
      <c r="I6407">
        <f>1</f>
        <v>1</v>
      </c>
    </row>
    <row r="6408" spans="2:9" x14ac:dyDescent="0.25">
      <c r="B6408">
        <v>0</v>
      </c>
      <c r="C6408" s="16" t="s">
        <v>15574</v>
      </c>
      <c r="D6408" s="16"/>
      <c r="E6408">
        <v>6</v>
      </c>
      <c r="F6408" t="e">
        <f>--De fibras sintéticas</f>
        <v>#NAME?</v>
      </c>
      <c r="G6408">
        <v>1</v>
      </c>
      <c r="H6408">
        <v>1</v>
      </c>
      <c r="I6408">
        <f>1</f>
        <v>1</v>
      </c>
    </row>
    <row r="6409" spans="2:9" x14ac:dyDescent="0.25">
      <c r="B6409">
        <v>0</v>
      </c>
      <c r="C6409" s="16" t="s">
        <v>15575</v>
      </c>
      <c r="D6409" s="16"/>
      <c r="E6409">
        <v>6</v>
      </c>
      <c r="F6409" t="e">
        <f>--De Outras matérias têxteis</f>
        <v>#NAME?</v>
      </c>
      <c r="G6409">
        <v>1</v>
      </c>
      <c r="H6409">
        <v>1</v>
      </c>
      <c r="I6409">
        <f>1</f>
        <v>1</v>
      </c>
    </row>
    <row r="6410" spans="2:9" x14ac:dyDescent="0.25">
      <c r="B6410">
        <v>0</v>
      </c>
      <c r="C6410" s="16" t="s">
        <v>15576</v>
      </c>
      <c r="D6410" s="16"/>
      <c r="E6410">
        <v>6</v>
      </c>
      <c r="F6410" t="e">
        <f>--De lã ou De Pelos finos</f>
        <v>#NAME?</v>
      </c>
      <c r="G6410">
        <v>1</v>
      </c>
      <c r="H6410">
        <v>1</v>
      </c>
      <c r="I6410">
        <f>1</f>
        <v>1</v>
      </c>
    </row>
    <row r="6411" spans="2:9" x14ac:dyDescent="0.25">
      <c r="B6411">
        <v>0</v>
      </c>
      <c r="C6411" s="16" t="s">
        <v>15577</v>
      </c>
      <c r="D6411" s="16"/>
      <c r="E6411">
        <v>6</v>
      </c>
      <c r="F6411" t="e">
        <f>--De algodão</f>
        <v>#NAME?</v>
      </c>
      <c r="G6411">
        <v>1</v>
      </c>
      <c r="H6411">
        <v>1</v>
      </c>
      <c r="I6411">
        <f>1</f>
        <v>1</v>
      </c>
    </row>
    <row r="6412" spans="2:9" x14ac:dyDescent="0.25">
      <c r="B6412">
        <v>0</v>
      </c>
      <c r="C6412" s="16" t="s">
        <v>15578</v>
      </c>
      <c r="D6412" s="16"/>
      <c r="E6412">
        <v>6</v>
      </c>
      <c r="F6412" t="e">
        <f>--De fibras sintéticas</f>
        <v>#NAME?</v>
      </c>
      <c r="G6412">
        <v>1</v>
      </c>
      <c r="H6412">
        <v>1</v>
      </c>
      <c r="I6412">
        <f>1</f>
        <v>1</v>
      </c>
    </row>
    <row r="6413" spans="2:9" x14ac:dyDescent="0.25">
      <c r="B6413">
        <v>0</v>
      </c>
      <c r="C6413" s="16" t="s">
        <v>15579</v>
      </c>
      <c r="D6413" s="16"/>
      <c r="E6413">
        <v>6</v>
      </c>
      <c r="F6413" t="e">
        <f>--De Outras matérias têxteis</f>
        <v>#NAME?</v>
      </c>
      <c r="G6413">
        <v>1</v>
      </c>
      <c r="H6413">
        <v>1</v>
      </c>
      <c r="I6413">
        <f>1</f>
        <v>1</v>
      </c>
    </row>
    <row r="6414" spans="2:9" x14ac:dyDescent="0.25">
      <c r="B6414">
        <v>0</v>
      </c>
      <c r="C6414" s="16" t="s">
        <v>15580</v>
      </c>
      <c r="D6414" s="16"/>
      <c r="E6414">
        <v>6</v>
      </c>
      <c r="F6414" t="e">
        <f>--De lã ou De Pelos finos</f>
        <v>#NAME?</v>
      </c>
      <c r="G6414">
        <v>1</v>
      </c>
      <c r="H6414">
        <v>1</v>
      </c>
      <c r="I6414">
        <f>1</f>
        <v>1</v>
      </c>
    </row>
    <row r="6415" spans="2:9" x14ac:dyDescent="0.25">
      <c r="B6415">
        <v>0</v>
      </c>
      <c r="C6415" s="16" t="s">
        <v>15581</v>
      </c>
      <c r="D6415" s="16"/>
      <c r="E6415">
        <v>6</v>
      </c>
      <c r="F6415" t="e">
        <f>--De algodão</f>
        <v>#NAME?</v>
      </c>
      <c r="G6415">
        <v>1</v>
      </c>
      <c r="H6415">
        <v>1</v>
      </c>
      <c r="I6415">
        <f>1</f>
        <v>1</v>
      </c>
    </row>
    <row r="6416" spans="2:9" x14ac:dyDescent="0.25">
      <c r="B6416">
        <v>0</v>
      </c>
      <c r="C6416" s="16" t="s">
        <v>15582</v>
      </c>
      <c r="D6416" s="16"/>
      <c r="E6416">
        <v>6</v>
      </c>
      <c r="F6416" t="e">
        <f>--De fibras sintéticas</f>
        <v>#NAME?</v>
      </c>
      <c r="G6416">
        <v>1</v>
      </c>
      <c r="H6416">
        <v>1</v>
      </c>
      <c r="I6416">
        <f>1</f>
        <v>1</v>
      </c>
    </row>
    <row r="6417" spans="2:9" x14ac:dyDescent="0.25">
      <c r="B6417">
        <v>0</v>
      </c>
      <c r="C6417" s="16" t="s">
        <v>15583</v>
      </c>
      <c r="D6417" s="16"/>
      <c r="E6417">
        <v>6</v>
      </c>
      <c r="F6417" t="e">
        <f>--De Outras matérias têxteis</f>
        <v>#NAME?</v>
      </c>
      <c r="G6417">
        <v>1</v>
      </c>
      <c r="H6417">
        <v>1</v>
      </c>
      <c r="I6417">
        <f>1</f>
        <v>1</v>
      </c>
    </row>
    <row r="6418" spans="2:9" x14ac:dyDescent="0.25">
      <c r="B6418">
        <v>0</v>
      </c>
      <c r="C6418" s="16" t="s">
        <v>15584</v>
      </c>
      <c r="D6418" s="16"/>
      <c r="E6418">
        <v>6</v>
      </c>
      <c r="F6418" t="e">
        <f>--De lã ou De Pelos finos</f>
        <v>#NAME?</v>
      </c>
      <c r="G6418">
        <v>1</v>
      </c>
      <c r="H6418">
        <v>1</v>
      </c>
      <c r="I6418">
        <f>1</f>
        <v>1</v>
      </c>
    </row>
    <row r="6419" spans="2:9" x14ac:dyDescent="0.25">
      <c r="B6419">
        <v>0</v>
      </c>
      <c r="C6419" s="16" t="s">
        <v>15585</v>
      </c>
      <c r="D6419" s="16"/>
      <c r="E6419">
        <v>6</v>
      </c>
      <c r="F6419" t="e">
        <f>--De algodão</f>
        <v>#NAME?</v>
      </c>
      <c r="G6419">
        <v>1</v>
      </c>
      <c r="H6419">
        <v>1</v>
      </c>
      <c r="I6419">
        <f>1</f>
        <v>1</v>
      </c>
    </row>
    <row r="6420" spans="2:9" x14ac:dyDescent="0.25">
      <c r="B6420">
        <v>0</v>
      </c>
      <c r="C6420" s="16" t="s">
        <v>15586</v>
      </c>
      <c r="D6420" s="16"/>
      <c r="E6420">
        <v>6</v>
      </c>
      <c r="F6420" t="e">
        <f>--De fibras sintéticas</f>
        <v>#NAME?</v>
      </c>
      <c r="G6420">
        <v>1</v>
      </c>
      <c r="H6420">
        <v>1</v>
      </c>
      <c r="I6420">
        <f>1</f>
        <v>1</v>
      </c>
    </row>
    <row r="6421" spans="2:9" x14ac:dyDescent="0.25">
      <c r="B6421">
        <v>0</v>
      </c>
      <c r="C6421" s="16" t="s">
        <v>15587</v>
      </c>
      <c r="D6421" s="16"/>
      <c r="E6421">
        <v>6</v>
      </c>
      <c r="F6421" t="e">
        <f>--De fibras artificiais</f>
        <v>#NAME?</v>
      </c>
      <c r="G6421">
        <v>1</v>
      </c>
      <c r="H6421">
        <v>1</v>
      </c>
      <c r="I6421">
        <f>1</f>
        <v>1</v>
      </c>
    </row>
    <row r="6422" spans="2:9" x14ac:dyDescent="0.25">
      <c r="B6422">
        <v>0</v>
      </c>
      <c r="C6422" s="16" t="s">
        <v>15588</v>
      </c>
      <c r="D6422" s="16"/>
      <c r="E6422">
        <v>6</v>
      </c>
      <c r="F6422" t="e">
        <f>--De Outras matérias têxteis</f>
        <v>#NAME?</v>
      </c>
      <c r="G6422">
        <v>1</v>
      </c>
      <c r="H6422">
        <v>1</v>
      </c>
      <c r="I6422">
        <f>1</f>
        <v>1</v>
      </c>
    </row>
    <row r="6423" spans="2:9" x14ac:dyDescent="0.25">
      <c r="B6423">
        <v>0</v>
      </c>
      <c r="C6423" s="16" t="s">
        <v>15589</v>
      </c>
      <c r="D6423" s="16"/>
      <c r="E6423">
        <v>6</v>
      </c>
      <c r="F6423" t="e">
        <f>--De lã ou De Pelos finos</f>
        <v>#NAME?</v>
      </c>
      <c r="G6423">
        <v>1</v>
      </c>
      <c r="H6423">
        <v>1</v>
      </c>
      <c r="I6423">
        <f>1</f>
        <v>1</v>
      </c>
    </row>
    <row r="6424" spans="2:9" x14ac:dyDescent="0.25">
      <c r="B6424">
        <v>0</v>
      </c>
      <c r="C6424" s="16" t="s">
        <v>15590</v>
      </c>
      <c r="D6424" s="16"/>
      <c r="E6424">
        <v>6</v>
      </c>
      <c r="F6424" t="e">
        <f>--De algodão</f>
        <v>#NAME?</v>
      </c>
      <c r="G6424">
        <v>1</v>
      </c>
      <c r="H6424">
        <v>1</v>
      </c>
      <c r="I6424">
        <f>1</f>
        <v>1</v>
      </c>
    </row>
    <row r="6425" spans="2:9" x14ac:dyDescent="0.25">
      <c r="B6425">
        <v>0</v>
      </c>
      <c r="C6425" s="16" t="s">
        <v>15591</v>
      </c>
      <c r="D6425" s="16"/>
      <c r="E6425">
        <v>6</v>
      </c>
      <c r="F6425" t="e">
        <f>--De fibras sintéticas</f>
        <v>#NAME?</v>
      </c>
      <c r="G6425">
        <v>1</v>
      </c>
      <c r="H6425">
        <v>1</v>
      </c>
      <c r="I6425">
        <f>1</f>
        <v>1</v>
      </c>
    </row>
    <row r="6426" spans="2:9" x14ac:dyDescent="0.25">
      <c r="B6426">
        <v>0</v>
      </c>
      <c r="C6426" s="16" t="s">
        <v>15592</v>
      </c>
      <c r="D6426" s="16"/>
      <c r="E6426">
        <v>6</v>
      </c>
      <c r="F6426" t="e">
        <f>--De Outras matérias têxteis</f>
        <v>#NAME?</v>
      </c>
      <c r="G6426">
        <v>1</v>
      </c>
      <c r="H6426">
        <v>1</v>
      </c>
      <c r="I6426">
        <f>1</f>
        <v>1</v>
      </c>
    </row>
    <row r="6427" spans="2:9" x14ac:dyDescent="0.25">
      <c r="B6427">
        <v>0</v>
      </c>
      <c r="C6427" s="16" t="s">
        <v>15593</v>
      </c>
      <c r="D6427" s="16"/>
      <c r="E6427">
        <v>6</v>
      </c>
      <c r="F6427" t="e">
        <f>--De lã ou De Pelos finos</f>
        <v>#NAME?</v>
      </c>
      <c r="G6427">
        <v>1</v>
      </c>
      <c r="H6427">
        <v>1</v>
      </c>
      <c r="I6427">
        <f>1</f>
        <v>1</v>
      </c>
    </row>
    <row r="6428" spans="2:9" x14ac:dyDescent="0.25">
      <c r="B6428">
        <v>0</v>
      </c>
      <c r="C6428" s="16" t="s">
        <v>15594</v>
      </c>
      <c r="D6428" s="16"/>
      <c r="E6428">
        <v>6</v>
      </c>
      <c r="F6428" t="e">
        <f>--De algodão</f>
        <v>#NAME?</v>
      </c>
      <c r="G6428">
        <v>1</v>
      </c>
      <c r="H6428">
        <v>1</v>
      </c>
      <c r="I6428">
        <f>1</f>
        <v>1</v>
      </c>
    </row>
    <row r="6429" spans="2:9" x14ac:dyDescent="0.25">
      <c r="B6429">
        <v>0</v>
      </c>
      <c r="C6429" s="16" t="s">
        <v>15595</v>
      </c>
      <c r="D6429" s="16"/>
      <c r="E6429">
        <v>6</v>
      </c>
      <c r="F6429" t="e">
        <f>--De fibras sintéticas</f>
        <v>#NAME?</v>
      </c>
      <c r="G6429">
        <v>1</v>
      </c>
      <c r="H6429">
        <v>1</v>
      </c>
      <c r="I6429">
        <f>1</f>
        <v>1</v>
      </c>
    </row>
    <row r="6430" spans="2:9" x14ac:dyDescent="0.25">
      <c r="B6430">
        <v>0</v>
      </c>
      <c r="C6430" s="16" t="s">
        <v>15596</v>
      </c>
      <c r="D6430" s="16"/>
      <c r="E6430">
        <v>6</v>
      </c>
      <c r="F6430" t="e">
        <f>--De Outras matérias têxteis</f>
        <v>#NAME?</v>
      </c>
      <c r="G6430">
        <v>1</v>
      </c>
      <c r="H6430">
        <v>1</v>
      </c>
      <c r="I6430">
        <f>1</f>
        <v>1</v>
      </c>
    </row>
    <row r="6431" spans="2:9" x14ac:dyDescent="0.25">
      <c r="B6431">
        <v>0</v>
      </c>
      <c r="C6431" s="16" t="s">
        <v>15597</v>
      </c>
      <c r="D6431" s="16"/>
      <c r="E6431">
        <v>6</v>
      </c>
      <c r="F6431" t="e">
        <f>-De algodão</f>
        <v>#NAME?</v>
      </c>
      <c r="G6431">
        <v>1</v>
      </c>
      <c r="H6431">
        <v>1</v>
      </c>
      <c r="I6431">
        <f>1</f>
        <v>1</v>
      </c>
    </row>
    <row r="6432" spans="2:9" x14ac:dyDescent="0.25">
      <c r="B6432">
        <v>0</v>
      </c>
      <c r="C6432" s="16" t="s">
        <v>15598</v>
      </c>
      <c r="D6432" s="16"/>
      <c r="E6432">
        <v>6</v>
      </c>
      <c r="F6432" t="e">
        <f>-De fibras sintéticas ou artificiais</f>
        <v>#NAME?</v>
      </c>
      <c r="G6432">
        <v>1</v>
      </c>
      <c r="H6432">
        <v>1</v>
      </c>
      <c r="I6432">
        <f>1</f>
        <v>1</v>
      </c>
    </row>
    <row r="6433" spans="2:9" x14ac:dyDescent="0.25">
      <c r="B6433">
        <v>0</v>
      </c>
      <c r="C6433" s="16" t="s">
        <v>15599</v>
      </c>
      <c r="D6433" s="16"/>
      <c r="E6433">
        <v>6</v>
      </c>
      <c r="F6433" t="s">
        <v>7500</v>
      </c>
      <c r="G6433">
        <v>1</v>
      </c>
      <c r="H6433">
        <v>1</v>
      </c>
      <c r="I6433">
        <f>1</f>
        <v>1</v>
      </c>
    </row>
    <row r="6434" spans="2:9" x14ac:dyDescent="0.25">
      <c r="B6434">
        <v>0</v>
      </c>
      <c r="C6434" s="16" t="s">
        <v>15600</v>
      </c>
      <c r="D6434" s="16"/>
      <c r="E6434">
        <v>6</v>
      </c>
      <c r="F6434" t="s">
        <v>4690</v>
      </c>
      <c r="G6434">
        <v>1</v>
      </c>
      <c r="H6434">
        <v>1</v>
      </c>
      <c r="I6434">
        <f>1</f>
        <v>1</v>
      </c>
    </row>
    <row r="6435" spans="2:9" x14ac:dyDescent="0.25">
      <c r="B6435">
        <v>0</v>
      </c>
      <c r="C6435" s="16" t="s">
        <v>15601</v>
      </c>
      <c r="D6435" s="16"/>
      <c r="E6435">
        <v>6</v>
      </c>
      <c r="F6435" t="e">
        <f>-De seda ou De desperdícios De seda</f>
        <v>#NAME?</v>
      </c>
      <c r="G6435">
        <v>1</v>
      </c>
      <c r="H6435">
        <v>1</v>
      </c>
      <c r="I6435">
        <f>1</f>
        <v>1</v>
      </c>
    </row>
    <row r="6436" spans="2:9" x14ac:dyDescent="0.25">
      <c r="B6436">
        <v>0</v>
      </c>
      <c r="C6436" s="16" t="s">
        <v>15602</v>
      </c>
      <c r="D6436" s="16"/>
      <c r="E6436">
        <v>6</v>
      </c>
      <c r="F6436" t="e">
        <f>-De lã ou De Pelos finos</f>
        <v>#NAME?</v>
      </c>
      <c r="G6436">
        <v>1</v>
      </c>
      <c r="H6436">
        <v>1</v>
      </c>
      <c r="I6436">
        <f>1</f>
        <v>1</v>
      </c>
    </row>
    <row r="6437" spans="2:9" x14ac:dyDescent="0.25">
      <c r="B6437">
        <v>0</v>
      </c>
      <c r="C6437" s="16" t="s">
        <v>15603</v>
      </c>
      <c r="D6437" s="16"/>
      <c r="E6437">
        <v>6</v>
      </c>
      <c r="F6437" t="e">
        <f>-De algodão</f>
        <v>#NAME?</v>
      </c>
      <c r="G6437">
        <v>1</v>
      </c>
      <c r="H6437">
        <v>1</v>
      </c>
      <c r="I6437">
        <f>1</f>
        <v>1</v>
      </c>
    </row>
    <row r="6438" spans="2:9" x14ac:dyDescent="0.25">
      <c r="B6438">
        <v>0</v>
      </c>
      <c r="C6438" s="16" t="s">
        <v>15604</v>
      </c>
      <c r="D6438" s="16"/>
      <c r="E6438">
        <v>6</v>
      </c>
      <c r="F6438" t="e">
        <f>-De fibras sintéticas ou artificiais</f>
        <v>#NAME?</v>
      </c>
      <c r="G6438">
        <v>1</v>
      </c>
      <c r="H6438">
        <v>1</v>
      </c>
      <c r="I6438">
        <f>1</f>
        <v>1</v>
      </c>
    </row>
    <row r="6439" spans="2:9" x14ac:dyDescent="0.25">
      <c r="B6439">
        <v>0</v>
      </c>
      <c r="C6439" s="16" t="s">
        <v>15605</v>
      </c>
      <c r="D6439" s="16"/>
      <c r="E6439">
        <v>6</v>
      </c>
      <c r="F6439" t="e">
        <f>-De Outras matérias têxteis</f>
        <v>#NAME?</v>
      </c>
      <c r="G6439">
        <v>1</v>
      </c>
      <c r="H6439">
        <v>1</v>
      </c>
      <c r="I6439">
        <f>1</f>
        <v>1</v>
      </c>
    </row>
    <row r="6440" spans="2:9" x14ac:dyDescent="0.25">
      <c r="B6440">
        <v>0</v>
      </c>
      <c r="C6440" s="16" t="s">
        <v>15606</v>
      </c>
      <c r="D6440" s="16"/>
      <c r="E6440">
        <v>6</v>
      </c>
      <c r="F6440" t="e">
        <f>--De algodão</f>
        <v>#NAME?</v>
      </c>
      <c r="G6440">
        <v>1</v>
      </c>
      <c r="H6440">
        <v>1</v>
      </c>
      <c r="I6440">
        <f>1</f>
        <v>1</v>
      </c>
    </row>
    <row r="6441" spans="2:9" x14ac:dyDescent="0.25">
      <c r="B6441">
        <v>0</v>
      </c>
      <c r="C6441" s="16" t="s">
        <v>15607</v>
      </c>
      <c r="D6441" s="16"/>
      <c r="E6441">
        <v>6</v>
      </c>
      <c r="F6441" t="e">
        <f>--De Outras matérias têxteis</f>
        <v>#NAME?</v>
      </c>
      <c r="G6441">
        <v>1</v>
      </c>
      <c r="H6441">
        <v>1</v>
      </c>
      <c r="I6441">
        <f>1</f>
        <v>1</v>
      </c>
    </row>
    <row r="6442" spans="2:9" x14ac:dyDescent="0.25">
      <c r="B6442">
        <v>0</v>
      </c>
      <c r="C6442" s="16" t="s">
        <v>15608</v>
      </c>
      <c r="D6442" s="16"/>
      <c r="E6442">
        <v>6</v>
      </c>
      <c r="F6442" t="e">
        <f>--De algodão</f>
        <v>#NAME?</v>
      </c>
      <c r="G6442">
        <v>1</v>
      </c>
      <c r="H6442">
        <v>1</v>
      </c>
      <c r="I6442">
        <f>1</f>
        <v>1</v>
      </c>
    </row>
    <row r="6443" spans="2:9" x14ac:dyDescent="0.25">
      <c r="B6443">
        <v>0</v>
      </c>
      <c r="C6443" s="16" t="s">
        <v>15609</v>
      </c>
      <c r="D6443" s="16"/>
      <c r="E6443">
        <v>6</v>
      </c>
      <c r="F6443" t="e">
        <f>--De fibras sintéticas ou artificiais</f>
        <v>#NAME?</v>
      </c>
      <c r="G6443">
        <v>1</v>
      </c>
      <c r="H6443">
        <v>1</v>
      </c>
      <c r="I6443">
        <f>1</f>
        <v>1</v>
      </c>
    </row>
    <row r="6444" spans="2:9" x14ac:dyDescent="0.25">
      <c r="B6444">
        <v>0</v>
      </c>
      <c r="C6444" s="16" t="s">
        <v>15610</v>
      </c>
      <c r="D6444" s="16"/>
      <c r="E6444">
        <v>6</v>
      </c>
      <c r="F6444" t="e">
        <f>--De Outras matérias têxteis</f>
        <v>#NAME?</v>
      </c>
      <c r="G6444">
        <v>1</v>
      </c>
      <c r="H6444">
        <v>1</v>
      </c>
      <c r="I6444">
        <f>1</f>
        <v>1</v>
      </c>
    </row>
    <row r="6445" spans="2:9" x14ac:dyDescent="0.25">
      <c r="B6445">
        <v>0</v>
      </c>
      <c r="C6445" s="16" t="s">
        <v>15611</v>
      </c>
      <c r="D6445" s="16"/>
      <c r="E6445">
        <v>6</v>
      </c>
      <c r="F6445" t="e">
        <f>--De algodão</f>
        <v>#NAME?</v>
      </c>
      <c r="G6445">
        <v>1</v>
      </c>
      <c r="H6445">
        <v>1</v>
      </c>
      <c r="I6445">
        <f>1</f>
        <v>1</v>
      </c>
    </row>
    <row r="6446" spans="2:9" x14ac:dyDescent="0.25">
      <c r="B6446">
        <v>0</v>
      </c>
      <c r="C6446" s="16" t="s">
        <v>15612</v>
      </c>
      <c r="D6446" s="16"/>
      <c r="E6446">
        <v>6</v>
      </c>
      <c r="F6446" t="s">
        <v>7507</v>
      </c>
      <c r="G6446">
        <v>1</v>
      </c>
      <c r="H6446">
        <v>1</v>
      </c>
      <c r="I6446">
        <f>1</f>
        <v>1</v>
      </c>
    </row>
    <row r="6447" spans="2:9" x14ac:dyDescent="0.25">
      <c r="B6447">
        <v>0</v>
      </c>
      <c r="C6447" s="16" t="s">
        <v>15613</v>
      </c>
      <c r="D6447" s="16"/>
      <c r="E6447">
        <v>6</v>
      </c>
      <c r="F6447" t="s">
        <v>4680</v>
      </c>
      <c r="G6447">
        <v>1</v>
      </c>
      <c r="H6447">
        <v>1</v>
      </c>
      <c r="I6447">
        <f>1</f>
        <v>1</v>
      </c>
    </row>
    <row r="6448" spans="2:9" x14ac:dyDescent="0.25">
      <c r="B6448">
        <v>0</v>
      </c>
      <c r="C6448" s="16" t="s">
        <v>15614</v>
      </c>
      <c r="D6448" s="16"/>
      <c r="E6448">
        <v>6</v>
      </c>
      <c r="F6448" t="e">
        <f>--De fibras sintéticas ou artificiais</f>
        <v>#NAME?</v>
      </c>
      <c r="G6448">
        <v>1</v>
      </c>
      <c r="H6448">
        <v>1</v>
      </c>
      <c r="I6448">
        <f>1</f>
        <v>1</v>
      </c>
    </row>
    <row r="6449" spans="2:9" x14ac:dyDescent="0.25">
      <c r="B6449">
        <v>0</v>
      </c>
      <c r="C6449" s="16" t="s">
        <v>15615</v>
      </c>
      <c r="D6449" s="16"/>
      <c r="E6449">
        <v>6</v>
      </c>
      <c r="F6449" t="e">
        <f>--De Outras matérias têxteis</f>
        <v>#NAME?</v>
      </c>
      <c r="G6449">
        <v>1</v>
      </c>
      <c r="H6449">
        <v>1</v>
      </c>
      <c r="I6449">
        <f>1</f>
        <v>1</v>
      </c>
    </row>
    <row r="6450" spans="2:9" x14ac:dyDescent="0.25">
      <c r="B6450">
        <v>0</v>
      </c>
      <c r="C6450" s="16" t="s">
        <v>15616</v>
      </c>
      <c r="D6450" s="16"/>
      <c r="E6450">
        <v>6</v>
      </c>
      <c r="F6450" t="e">
        <f>--De algodão</f>
        <v>#NAME?</v>
      </c>
      <c r="G6450">
        <v>1</v>
      </c>
      <c r="H6450">
        <v>1</v>
      </c>
      <c r="I6450">
        <f>1</f>
        <v>1</v>
      </c>
    </row>
    <row r="6451" spans="2:9" x14ac:dyDescent="0.25">
      <c r="B6451">
        <v>0</v>
      </c>
      <c r="C6451" s="16" t="s">
        <v>15617</v>
      </c>
      <c r="D6451" s="16"/>
      <c r="E6451">
        <v>6</v>
      </c>
      <c r="F6451" t="e">
        <f>--De fibras sintéticas ou artificiais</f>
        <v>#NAME?</v>
      </c>
      <c r="G6451">
        <v>1</v>
      </c>
      <c r="H6451">
        <v>1</v>
      </c>
      <c r="I6451">
        <f>1</f>
        <v>1</v>
      </c>
    </row>
    <row r="6452" spans="2:9" x14ac:dyDescent="0.25">
      <c r="B6452">
        <v>0</v>
      </c>
      <c r="C6452" s="16" t="s">
        <v>15618</v>
      </c>
      <c r="D6452" s="16"/>
      <c r="E6452">
        <v>6</v>
      </c>
      <c r="F6452" t="e">
        <f>--De Outras matérias têxteis</f>
        <v>#NAME?</v>
      </c>
      <c r="G6452">
        <v>1</v>
      </c>
      <c r="H6452">
        <v>1</v>
      </c>
      <c r="I6452">
        <f>1</f>
        <v>1</v>
      </c>
    </row>
    <row r="6453" spans="2:9" x14ac:dyDescent="0.25">
      <c r="B6453">
        <v>0</v>
      </c>
      <c r="C6453" s="16" t="s">
        <v>15619</v>
      </c>
      <c r="D6453" s="16"/>
      <c r="E6453">
        <v>6</v>
      </c>
      <c r="F6453" t="e">
        <f>--De algodão</f>
        <v>#NAME?</v>
      </c>
      <c r="G6453">
        <v>1</v>
      </c>
      <c r="H6453">
        <v>1</v>
      </c>
      <c r="I6453">
        <f>1</f>
        <v>1</v>
      </c>
    </row>
    <row r="6454" spans="2:9" x14ac:dyDescent="0.25">
      <c r="B6454">
        <v>0</v>
      </c>
      <c r="C6454" s="16" t="s">
        <v>15620</v>
      </c>
      <c r="D6454" s="16"/>
      <c r="E6454">
        <v>6</v>
      </c>
      <c r="F6454" t="e">
        <f>--De fibras sintéticas ou artificiais</f>
        <v>#NAME?</v>
      </c>
      <c r="G6454">
        <v>1</v>
      </c>
      <c r="H6454">
        <v>1</v>
      </c>
      <c r="I6454">
        <f>1</f>
        <v>1</v>
      </c>
    </row>
    <row r="6455" spans="2:9" x14ac:dyDescent="0.25">
      <c r="B6455">
        <v>0</v>
      </c>
      <c r="C6455" s="16" t="s">
        <v>15621</v>
      </c>
      <c r="D6455" s="16"/>
      <c r="E6455">
        <v>6</v>
      </c>
      <c r="F6455" t="e">
        <f>--De Outras matérias têxteis</f>
        <v>#NAME?</v>
      </c>
      <c r="G6455">
        <v>1</v>
      </c>
      <c r="H6455">
        <v>1</v>
      </c>
      <c r="I6455">
        <f>1</f>
        <v>1</v>
      </c>
    </row>
    <row r="6456" spans="2:9" x14ac:dyDescent="0.25">
      <c r="B6456">
        <v>0</v>
      </c>
      <c r="C6456" s="16" t="s">
        <v>15622</v>
      </c>
      <c r="D6456" s="16"/>
      <c r="E6456">
        <v>6</v>
      </c>
      <c r="F6456" t="e">
        <f>-De algodão</f>
        <v>#NAME?</v>
      </c>
      <c r="G6456">
        <v>1</v>
      </c>
      <c r="H6456">
        <v>1</v>
      </c>
      <c r="I6456">
        <f>1</f>
        <v>1</v>
      </c>
    </row>
    <row r="6457" spans="2:9" x14ac:dyDescent="0.25">
      <c r="B6457">
        <v>0</v>
      </c>
      <c r="C6457" s="16" t="s">
        <v>15623</v>
      </c>
      <c r="D6457" s="16"/>
      <c r="E6457">
        <v>6</v>
      </c>
      <c r="F6457" t="e">
        <f>-De fibras sintéticas</f>
        <v>#NAME?</v>
      </c>
      <c r="G6457">
        <v>1</v>
      </c>
      <c r="H6457">
        <v>1</v>
      </c>
      <c r="I6457">
        <f>1</f>
        <v>1</v>
      </c>
    </row>
    <row r="6458" spans="2:9" x14ac:dyDescent="0.25">
      <c r="B6458">
        <v>0</v>
      </c>
      <c r="C6458" s="16" t="s">
        <v>15624</v>
      </c>
      <c r="D6458" s="16"/>
      <c r="E6458">
        <v>6</v>
      </c>
      <c r="F6458" t="s">
        <v>7500</v>
      </c>
      <c r="G6458">
        <v>1</v>
      </c>
      <c r="H6458">
        <v>1</v>
      </c>
      <c r="I6458">
        <f>1</f>
        <v>1</v>
      </c>
    </row>
    <row r="6459" spans="2:9" x14ac:dyDescent="0.25">
      <c r="B6459">
        <v>0</v>
      </c>
      <c r="C6459" s="16" t="s">
        <v>15625</v>
      </c>
      <c r="D6459" s="16"/>
      <c r="E6459">
        <v>6</v>
      </c>
      <c r="F6459" t="s">
        <v>4690</v>
      </c>
      <c r="G6459">
        <v>1</v>
      </c>
      <c r="H6459">
        <v>1</v>
      </c>
      <c r="I6459">
        <f>1</f>
        <v>1</v>
      </c>
    </row>
    <row r="6460" spans="2:9" x14ac:dyDescent="0.25">
      <c r="B6460">
        <v>0</v>
      </c>
      <c r="C6460" s="16" t="s">
        <v>15626</v>
      </c>
      <c r="D6460" s="16"/>
      <c r="E6460">
        <v>6</v>
      </c>
      <c r="F6460" t="s">
        <v>7540</v>
      </c>
      <c r="G6460">
        <v>1</v>
      </c>
      <c r="H6460">
        <v>1</v>
      </c>
      <c r="I6460">
        <f>1</f>
        <v>1</v>
      </c>
    </row>
    <row r="6461" spans="2:9" x14ac:dyDescent="0.25">
      <c r="B6461">
        <v>0</v>
      </c>
      <c r="C6461" s="16" t="s">
        <v>15627</v>
      </c>
      <c r="D6461" s="16"/>
      <c r="E6461">
        <v>6</v>
      </c>
      <c r="F6461" t="s">
        <v>7541</v>
      </c>
      <c r="G6461">
        <v>1</v>
      </c>
      <c r="H6461">
        <v>1</v>
      </c>
      <c r="I6461">
        <f>1</f>
        <v>1</v>
      </c>
    </row>
    <row r="6462" spans="2:9" x14ac:dyDescent="0.25">
      <c r="B6462">
        <v>0</v>
      </c>
      <c r="C6462" s="16" t="s">
        <v>15628</v>
      </c>
      <c r="D6462" s="16"/>
      <c r="E6462">
        <v>6</v>
      </c>
      <c r="F6462" t="s">
        <v>7542</v>
      </c>
      <c r="G6462">
        <v>1</v>
      </c>
      <c r="H6462">
        <v>1</v>
      </c>
      <c r="I6462">
        <f>1</f>
        <v>1</v>
      </c>
    </row>
    <row r="6463" spans="2:9" x14ac:dyDescent="0.25">
      <c r="B6463">
        <v>0</v>
      </c>
      <c r="C6463" s="16" t="s">
        <v>15629</v>
      </c>
      <c r="D6463" s="16"/>
      <c r="E6463">
        <v>6</v>
      </c>
      <c r="F6463" t="e">
        <f>-outro Vestuário De uso masculino</f>
        <v>#NAME?</v>
      </c>
      <c r="G6463">
        <v>1</v>
      </c>
      <c r="H6463">
        <v>1</v>
      </c>
      <c r="I6463">
        <f>1</f>
        <v>1</v>
      </c>
    </row>
    <row r="6464" spans="2:9" x14ac:dyDescent="0.25">
      <c r="B6464">
        <v>0</v>
      </c>
      <c r="C6464" s="16" t="s">
        <v>15630</v>
      </c>
      <c r="D6464" s="16"/>
      <c r="E6464">
        <v>6</v>
      </c>
      <c r="F6464" t="e">
        <f>-outro Vestuário De uso feminino</f>
        <v>#NAME?</v>
      </c>
      <c r="G6464">
        <v>1</v>
      </c>
      <c r="H6464">
        <v>1</v>
      </c>
      <c r="I6464">
        <f>1</f>
        <v>1</v>
      </c>
    </row>
    <row r="6465" spans="2:9" x14ac:dyDescent="0.25">
      <c r="B6465">
        <v>0</v>
      </c>
      <c r="C6465" s="16" t="s">
        <v>15631</v>
      </c>
      <c r="D6465" s="16"/>
      <c r="E6465">
        <v>6</v>
      </c>
      <c r="F6465" t="e">
        <f>--De uso masculino</f>
        <v>#NAME?</v>
      </c>
      <c r="G6465">
        <v>1</v>
      </c>
      <c r="H6465">
        <v>1</v>
      </c>
      <c r="I6465">
        <f>1</f>
        <v>1</v>
      </c>
    </row>
    <row r="6466" spans="2:9" x14ac:dyDescent="0.25">
      <c r="B6466">
        <v>0</v>
      </c>
      <c r="C6466" s="16" t="s">
        <v>15632</v>
      </c>
      <c r="D6466" s="16"/>
      <c r="E6466">
        <v>6</v>
      </c>
      <c r="F6466" t="e">
        <f>--De uso feminino</f>
        <v>#NAME?</v>
      </c>
      <c r="G6466">
        <v>1</v>
      </c>
      <c r="H6466">
        <v>1</v>
      </c>
      <c r="I6466">
        <f>1</f>
        <v>1</v>
      </c>
    </row>
    <row r="6467" spans="2:9" x14ac:dyDescent="0.25">
      <c r="B6467">
        <v>0</v>
      </c>
      <c r="C6467" s="16" t="s">
        <v>15633</v>
      </c>
      <c r="D6467" s="16"/>
      <c r="E6467">
        <v>6</v>
      </c>
      <c r="F6467" t="e">
        <f>-Macacões e conjuntos De esqui</f>
        <v>#NAME?</v>
      </c>
      <c r="G6467">
        <v>1</v>
      </c>
      <c r="H6467">
        <v>1</v>
      </c>
      <c r="I6467">
        <f>1</f>
        <v>1</v>
      </c>
    </row>
    <row r="6468" spans="2:9" x14ac:dyDescent="0.25">
      <c r="B6468">
        <v>0</v>
      </c>
      <c r="C6468" s="16" t="s">
        <v>15634</v>
      </c>
      <c r="D6468" s="16"/>
      <c r="E6468">
        <v>6</v>
      </c>
      <c r="F6468" t="e">
        <f>--De algodão</f>
        <v>#NAME?</v>
      </c>
      <c r="G6468">
        <v>1</v>
      </c>
      <c r="H6468">
        <v>1</v>
      </c>
      <c r="I6468">
        <f>1</f>
        <v>1</v>
      </c>
    </row>
    <row r="6469" spans="2:9" x14ac:dyDescent="0.25">
      <c r="B6469">
        <v>0</v>
      </c>
      <c r="C6469" s="16" t="s">
        <v>15635</v>
      </c>
      <c r="D6469" s="16"/>
      <c r="E6469">
        <v>6</v>
      </c>
      <c r="F6469" t="e">
        <f>--De fibras sintéticas ou artificiais</f>
        <v>#NAME?</v>
      </c>
      <c r="G6469">
        <v>1</v>
      </c>
      <c r="H6469">
        <v>1</v>
      </c>
      <c r="I6469">
        <f>1</f>
        <v>1</v>
      </c>
    </row>
    <row r="6470" spans="2:9" x14ac:dyDescent="0.25">
      <c r="B6470">
        <v>0</v>
      </c>
      <c r="C6470" s="16" t="s">
        <v>15636</v>
      </c>
      <c r="D6470" s="16"/>
      <c r="E6470">
        <v>6</v>
      </c>
      <c r="F6470" t="s">
        <v>7500</v>
      </c>
      <c r="G6470">
        <v>1</v>
      </c>
      <c r="H6470">
        <v>1</v>
      </c>
      <c r="I6470">
        <f>1</f>
        <v>1</v>
      </c>
    </row>
    <row r="6471" spans="2:9" x14ac:dyDescent="0.25">
      <c r="B6471">
        <v>0</v>
      </c>
      <c r="C6471" s="16" t="s">
        <v>15637</v>
      </c>
      <c r="D6471" s="16"/>
      <c r="E6471">
        <v>6</v>
      </c>
      <c r="F6471" t="s">
        <v>4690</v>
      </c>
      <c r="G6471">
        <v>1</v>
      </c>
      <c r="H6471">
        <v>1</v>
      </c>
      <c r="I6471">
        <f>1</f>
        <v>1</v>
      </c>
    </row>
    <row r="6472" spans="2:9" x14ac:dyDescent="0.25">
      <c r="B6472">
        <v>0</v>
      </c>
      <c r="C6472" s="16" t="s">
        <v>15638</v>
      </c>
      <c r="D6472" s="16"/>
      <c r="E6472">
        <v>6</v>
      </c>
      <c r="F6472" t="e">
        <f>--De algodão</f>
        <v>#NAME?</v>
      </c>
      <c r="G6472">
        <v>1</v>
      </c>
      <c r="H6472">
        <v>1</v>
      </c>
      <c r="I6472">
        <f>1</f>
        <v>1</v>
      </c>
    </row>
    <row r="6473" spans="2:9" x14ac:dyDescent="0.25">
      <c r="B6473">
        <v>0</v>
      </c>
      <c r="C6473" s="16" t="s">
        <v>15639</v>
      </c>
      <c r="D6473" s="16"/>
      <c r="E6473">
        <v>6</v>
      </c>
      <c r="F6473" t="e">
        <f>--De fibras sintéticas ou artificiais</f>
        <v>#NAME?</v>
      </c>
      <c r="G6473">
        <v>1</v>
      </c>
      <c r="H6473">
        <v>1</v>
      </c>
      <c r="I6473">
        <f>1</f>
        <v>1</v>
      </c>
    </row>
    <row r="6474" spans="2:9" x14ac:dyDescent="0.25">
      <c r="B6474">
        <v>0</v>
      </c>
      <c r="C6474" s="16" t="s">
        <v>15640</v>
      </c>
      <c r="D6474" s="16"/>
      <c r="E6474">
        <v>6</v>
      </c>
      <c r="F6474" t="e">
        <f>--De Outras matérias têxteis</f>
        <v>#NAME?</v>
      </c>
      <c r="G6474">
        <v>1</v>
      </c>
      <c r="H6474">
        <v>1</v>
      </c>
      <c r="I6474">
        <f>1</f>
        <v>1</v>
      </c>
    </row>
    <row r="6475" spans="2:9" x14ac:dyDescent="0.25">
      <c r="B6475">
        <v>0</v>
      </c>
      <c r="C6475" s="16" t="s">
        <v>15641</v>
      </c>
      <c r="D6475" s="16"/>
      <c r="E6475">
        <v>6</v>
      </c>
      <c r="F6475" t="e">
        <f>-Sutiãs e bustiês</f>
        <v>#NAME?</v>
      </c>
      <c r="G6475">
        <v>1</v>
      </c>
      <c r="H6475">
        <v>1</v>
      </c>
      <c r="I6475">
        <f>1</f>
        <v>1</v>
      </c>
    </row>
    <row r="6476" spans="2:9" x14ac:dyDescent="0.25">
      <c r="B6476">
        <v>0</v>
      </c>
      <c r="C6476" s="16" t="s">
        <v>15642</v>
      </c>
      <c r="D6476" s="16"/>
      <c r="E6476">
        <v>6</v>
      </c>
      <c r="F6476" t="e">
        <f>-Cintas e Cintas-calças</f>
        <v>#NAME?</v>
      </c>
      <c r="G6476">
        <v>1</v>
      </c>
      <c r="H6476">
        <v>1</v>
      </c>
      <c r="I6476">
        <f>1</f>
        <v>1</v>
      </c>
    </row>
    <row r="6477" spans="2:9" x14ac:dyDescent="0.25">
      <c r="B6477">
        <v>0</v>
      </c>
      <c r="C6477" s="16" t="s">
        <v>15643</v>
      </c>
      <c r="D6477" s="16"/>
      <c r="E6477">
        <v>6</v>
      </c>
      <c r="F6477" t="e">
        <f>-Modeladores De torso inteiro</f>
        <v>#NAME?</v>
      </c>
      <c r="G6477">
        <v>1</v>
      </c>
      <c r="H6477">
        <v>1</v>
      </c>
      <c r="I6477">
        <f>1</f>
        <v>1</v>
      </c>
    </row>
    <row r="6478" spans="2:9" x14ac:dyDescent="0.25">
      <c r="B6478">
        <v>0</v>
      </c>
      <c r="C6478" s="16" t="s">
        <v>15644</v>
      </c>
      <c r="D6478" s="16"/>
      <c r="E6478">
        <v>6</v>
      </c>
      <c r="F6478" t="e">
        <f>-outros</f>
        <v>#NAME?</v>
      </c>
      <c r="G6478">
        <v>1</v>
      </c>
      <c r="H6478">
        <v>1</v>
      </c>
      <c r="I6478">
        <f>1</f>
        <v>1</v>
      </c>
    </row>
    <row r="6479" spans="2:9" x14ac:dyDescent="0.25">
      <c r="B6479">
        <v>0</v>
      </c>
      <c r="C6479" s="16" t="s">
        <v>15645</v>
      </c>
      <c r="D6479" s="16"/>
      <c r="E6479">
        <v>6</v>
      </c>
      <c r="F6479" t="e">
        <f>-De algodão</f>
        <v>#NAME?</v>
      </c>
      <c r="G6479">
        <v>1</v>
      </c>
      <c r="H6479">
        <v>1</v>
      </c>
      <c r="I6479">
        <f>1</f>
        <v>1</v>
      </c>
    </row>
    <row r="6480" spans="2:9" x14ac:dyDescent="0.25">
      <c r="B6480">
        <v>0</v>
      </c>
      <c r="C6480" s="16" t="s">
        <v>15646</v>
      </c>
      <c r="D6480" s="16"/>
      <c r="E6480">
        <v>6</v>
      </c>
      <c r="F6480" t="s">
        <v>7543</v>
      </c>
      <c r="G6480">
        <v>1</v>
      </c>
      <c r="H6480">
        <v>1</v>
      </c>
      <c r="I6480">
        <f>1</f>
        <v>1</v>
      </c>
    </row>
    <row r="6481" spans="2:9" x14ac:dyDescent="0.25">
      <c r="B6481">
        <v>0</v>
      </c>
      <c r="C6481" s="16" t="s">
        <v>15647</v>
      </c>
      <c r="D6481" s="16"/>
      <c r="E6481">
        <v>6</v>
      </c>
      <c r="F6481" t="s">
        <v>4680</v>
      </c>
      <c r="G6481">
        <v>1</v>
      </c>
      <c r="H6481">
        <v>1</v>
      </c>
      <c r="I6481">
        <f>1</f>
        <v>1</v>
      </c>
    </row>
    <row r="6482" spans="2:9" x14ac:dyDescent="0.25">
      <c r="B6482">
        <v>0</v>
      </c>
      <c r="C6482" s="16" t="s">
        <v>15648</v>
      </c>
      <c r="D6482" s="16"/>
      <c r="E6482">
        <v>6</v>
      </c>
      <c r="F6482" t="e">
        <f>-De seda ou De desperdícios De seda</f>
        <v>#NAME?</v>
      </c>
      <c r="G6482">
        <v>1</v>
      </c>
      <c r="H6482">
        <v>1</v>
      </c>
      <c r="I6482">
        <f>1</f>
        <v>1</v>
      </c>
    </row>
    <row r="6483" spans="2:9" x14ac:dyDescent="0.25">
      <c r="B6483">
        <v>0</v>
      </c>
      <c r="C6483" s="16" t="s">
        <v>15649</v>
      </c>
      <c r="D6483" s="16"/>
      <c r="E6483">
        <v>6</v>
      </c>
      <c r="F6483" t="e">
        <f>-De lã ou De Pelos finos</f>
        <v>#NAME?</v>
      </c>
      <c r="G6483">
        <v>1</v>
      </c>
      <c r="H6483">
        <v>1</v>
      </c>
      <c r="I6483">
        <f>1</f>
        <v>1</v>
      </c>
    </row>
    <row r="6484" spans="2:9" x14ac:dyDescent="0.25">
      <c r="B6484">
        <v>0</v>
      </c>
      <c r="C6484" s="16" t="s">
        <v>15650</v>
      </c>
      <c r="D6484" s="16"/>
      <c r="E6484">
        <v>6</v>
      </c>
      <c r="F6484" t="e">
        <f>-De fibras sintéticas</f>
        <v>#NAME?</v>
      </c>
      <c r="G6484">
        <v>1</v>
      </c>
      <c r="H6484">
        <v>1</v>
      </c>
      <c r="I6484">
        <f>1</f>
        <v>1</v>
      </c>
    </row>
    <row r="6485" spans="2:9" x14ac:dyDescent="0.25">
      <c r="B6485">
        <v>0</v>
      </c>
      <c r="C6485" s="16" t="s">
        <v>15651</v>
      </c>
      <c r="D6485" s="16"/>
      <c r="E6485">
        <v>6</v>
      </c>
      <c r="F6485" t="e">
        <f>-De fibras artificiais</f>
        <v>#NAME?</v>
      </c>
      <c r="G6485">
        <v>1</v>
      </c>
      <c r="H6485">
        <v>1</v>
      </c>
      <c r="I6485">
        <f>1</f>
        <v>1</v>
      </c>
    </row>
    <row r="6486" spans="2:9" x14ac:dyDescent="0.25">
      <c r="B6486">
        <v>0</v>
      </c>
      <c r="C6486" s="16" t="s">
        <v>15652</v>
      </c>
      <c r="D6486" s="16"/>
      <c r="E6486">
        <v>6</v>
      </c>
      <c r="F6486" t="s">
        <v>7494</v>
      </c>
      <c r="G6486">
        <v>1</v>
      </c>
      <c r="H6486">
        <v>1</v>
      </c>
      <c r="I6486">
        <f>1</f>
        <v>1</v>
      </c>
    </row>
    <row r="6487" spans="2:9" x14ac:dyDescent="0.25">
      <c r="B6487">
        <v>0</v>
      </c>
      <c r="C6487" s="16" t="s">
        <v>15653</v>
      </c>
      <c r="D6487" s="16"/>
      <c r="E6487">
        <v>6</v>
      </c>
      <c r="F6487" t="s">
        <v>4680</v>
      </c>
      <c r="G6487">
        <v>1</v>
      </c>
      <c r="H6487">
        <v>1</v>
      </c>
      <c r="I6487">
        <f>1</f>
        <v>1</v>
      </c>
    </row>
    <row r="6488" spans="2:9" x14ac:dyDescent="0.25">
      <c r="B6488">
        <v>0</v>
      </c>
      <c r="C6488" s="16" t="s">
        <v>15654</v>
      </c>
      <c r="D6488" s="16"/>
      <c r="E6488">
        <v>6</v>
      </c>
      <c r="F6488" t="e">
        <f>-De seda ou De desperdícios De seda</f>
        <v>#NAME?</v>
      </c>
      <c r="G6488">
        <v>1</v>
      </c>
      <c r="H6488">
        <v>1</v>
      </c>
      <c r="I6488">
        <f>1</f>
        <v>1</v>
      </c>
    </row>
    <row r="6489" spans="2:9" x14ac:dyDescent="0.25">
      <c r="B6489">
        <v>0</v>
      </c>
      <c r="C6489" s="16" t="s">
        <v>15655</v>
      </c>
      <c r="D6489" s="16"/>
      <c r="E6489">
        <v>6</v>
      </c>
      <c r="F6489" t="e">
        <f>-De fibras sintéticas ou artificiais</f>
        <v>#NAME?</v>
      </c>
      <c r="G6489">
        <v>1</v>
      </c>
      <c r="H6489">
        <v>1</v>
      </c>
      <c r="I6489">
        <f>1</f>
        <v>1</v>
      </c>
    </row>
    <row r="6490" spans="2:9" x14ac:dyDescent="0.25">
      <c r="B6490">
        <v>0</v>
      </c>
      <c r="C6490" s="16" t="s">
        <v>15656</v>
      </c>
      <c r="D6490" s="16"/>
      <c r="E6490">
        <v>6</v>
      </c>
      <c r="F6490" t="e">
        <f>-De Outras matérias têxteis</f>
        <v>#NAME?</v>
      </c>
      <c r="G6490">
        <v>1</v>
      </c>
      <c r="H6490">
        <v>1</v>
      </c>
      <c r="I6490">
        <f>1</f>
        <v>1</v>
      </c>
    </row>
    <row r="6491" spans="2:9" x14ac:dyDescent="0.25">
      <c r="B6491">
        <v>0</v>
      </c>
      <c r="C6491" s="16" t="s">
        <v>15657</v>
      </c>
      <c r="D6491" s="16"/>
      <c r="E6491">
        <v>6</v>
      </c>
      <c r="F6491" t="s">
        <v>7544</v>
      </c>
      <c r="G6491">
        <v>1</v>
      </c>
      <c r="H6491">
        <v>1</v>
      </c>
      <c r="I6491">
        <f>1</f>
        <v>1</v>
      </c>
    </row>
    <row r="6492" spans="2:9" x14ac:dyDescent="0.25">
      <c r="B6492">
        <v>0</v>
      </c>
      <c r="C6492" s="16" t="s">
        <v>15658</v>
      </c>
      <c r="D6492" s="16"/>
      <c r="E6492">
        <v>6</v>
      </c>
      <c r="F6492" t="e">
        <f>-acessórios</f>
        <v>#NAME?</v>
      </c>
      <c r="G6492">
        <v>1</v>
      </c>
      <c r="H6492">
        <v>1</v>
      </c>
      <c r="I6492">
        <f>1</f>
        <v>1</v>
      </c>
    </row>
    <row r="6493" spans="2:9" x14ac:dyDescent="0.25">
      <c r="B6493">
        <v>0</v>
      </c>
      <c r="C6493" s="16" t="s">
        <v>15659</v>
      </c>
      <c r="D6493" s="16"/>
      <c r="E6493">
        <v>6</v>
      </c>
      <c r="F6493" t="e">
        <f>-Partes</f>
        <v>#NAME?</v>
      </c>
      <c r="G6493">
        <v>1</v>
      </c>
      <c r="H6493">
        <v>1</v>
      </c>
      <c r="I6493">
        <f>1</f>
        <v>1</v>
      </c>
    </row>
    <row r="6494" spans="2:9" x14ac:dyDescent="0.25">
      <c r="B6494">
        <v>0</v>
      </c>
      <c r="C6494" s="16" t="s">
        <v>15660</v>
      </c>
      <c r="D6494" s="16"/>
      <c r="E6494">
        <v>6</v>
      </c>
      <c r="F6494" t="s">
        <v>7545</v>
      </c>
      <c r="G6494">
        <v>1</v>
      </c>
      <c r="H6494">
        <v>1</v>
      </c>
      <c r="I6494">
        <f>1</f>
        <v>1</v>
      </c>
    </row>
    <row r="6495" spans="2:9" x14ac:dyDescent="0.25">
      <c r="B6495">
        <v>0</v>
      </c>
      <c r="C6495" s="16" t="s">
        <v>15661</v>
      </c>
      <c r="D6495" s="16"/>
      <c r="E6495">
        <v>6</v>
      </c>
      <c r="F6495" t="s">
        <v>7546</v>
      </c>
      <c r="G6495">
        <v>1</v>
      </c>
      <c r="H6495">
        <v>1</v>
      </c>
      <c r="I6495">
        <f>1</f>
        <v>1</v>
      </c>
    </row>
    <row r="6496" spans="2:9" x14ac:dyDescent="0.25">
      <c r="B6496">
        <v>0</v>
      </c>
      <c r="C6496" s="16" t="s">
        <v>15662</v>
      </c>
      <c r="D6496" s="16"/>
      <c r="E6496">
        <v>6</v>
      </c>
      <c r="F6496" t="s">
        <v>7547</v>
      </c>
      <c r="G6496">
        <v>1</v>
      </c>
      <c r="H6496">
        <v>1</v>
      </c>
      <c r="I6496">
        <f>1</f>
        <v>1</v>
      </c>
    </row>
    <row r="6497" spans="2:9" x14ac:dyDescent="0.25">
      <c r="B6497">
        <v>0</v>
      </c>
      <c r="C6497" s="16" t="s">
        <v>15663</v>
      </c>
      <c r="D6497" s="16"/>
      <c r="E6497">
        <v>6</v>
      </c>
      <c r="F6497" t="s">
        <v>7548</v>
      </c>
      <c r="G6497">
        <v>1</v>
      </c>
      <c r="H6497">
        <v>1</v>
      </c>
      <c r="I6497">
        <f>1</f>
        <v>1</v>
      </c>
    </row>
    <row r="6498" spans="2:9" x14ac:dyDescent="0.25">
      <c r="B6498">
        <v>0</v>
      </c>
      <c r="C6498" s="16" t="s">
        <v>15664</v>
      </c>
      <c r="D6498" s="16"/>
      <c r="E6498">
        <v>6</v>
      </c>
      <c r="F6498" t="e">
        <f>-outros Cobertores e mantas</f>
        <v>#NAME?</v>
      </c>
      <c r="G6498">
        <v>1</v>
      </c>
      <c r="H6498">
        <v>1</v>
      </c>
      <c r="I6498">
        <f>1</f>
        <v>1</v>
      </c>
    </row>
    <row r="6499" spans="2:9" x14ac:dyDescent="0.25">
      <c r="B6499">
        <v>0</v>
      </c>
      <c r="C6499" s="16" t="s">
        <v>15665</v>
      </c>
      <c r="D6499" s="16"/>
      <c r="E6499">
        <v>6</v>
      </c>
      <c r="F6499" t="s">
        <v>7549</v>
      </c>
      <c r="G6499">
        <v>1</v>
      </c>
      <c r="H6499">
        <v>1</v>
      </c>
      <c r="I6499">
        <f>1</f>
        <v>1</v>
      </c>
    </row>
    <row r="6500" spans="2:9" x14ac:dyDescent="0.25">
      <c r="B6500">
        <v>0</v>
      </c>
      <c r="C6500" s="16" t="s">
        <v>15666</v>
      </c>
      <c r="D6500" s="16"/>
      <c r="E6500">
        <v>6</v>
      </c>
      <c r="F6500" t="e">
        <f>--De algodão</f>
        <v>#NAME?</v>
      </c>
      <c r="G6500">
        <v>1</v>
      </c>
      <c r="H6500">
        <v>1</v>
      </c>
      <c r="I6500">
        <f>1</f>
        <v>1</v>
      </c>
    </row>
    <row r="6501" spans="2:9" x14ac:dyDescent="0.25">
      <c r="B6501">
        <v>0</v>
      </c>
      <c r="C6501" s="16" t="s">
        <v>15667</v>
      </c>
      <c r="D6501" s="16"/>
      <c r="E6501">
        <v>6</v>
      </c>
      <c r="F6501" t="e">
        <f>--De fibras sintéticas ou artificiais</f>
        <v>#NAME?</v>
      </c>
      <c r="G6501">
        <v>1</v>
      </c>
      <c r="H6501">
        <v>1</v>
      </c>
      <c r="I6501">
        <f>1</f>
        <v>1</v>
      </c>
    </row>
    <row r="6502" spans="2:9" x14ac:dyDescent="0.25">
      <c r="B6502">
        <v>0</v>
      </c>
      <c r="C6502" s="16" t="s">
        <v>15668</v>
      </c>
      <c r="D6502" s="16"/>
      <c r="E6502">
        <v>6</v>
      </c>
      <c r="F6502" t="e">
        <f>--De Outras matérias têxteis</f>
        <v>#NAME?</v>
      </c>
      <c r="G6502">
        <v>1</v>
      </c>
      <c r="H6502">
        <v>1</v>
      </c>
      <c r="I6502">
        <f>1</f>
        <v>1</v>
      </c>
    </row>
    <row r="6503" spans="2:9" x14ac:dyDescent="0.25">
      <c r="B6503">
        <v>0</v>
      </c>
      <c r="C6503" s="16" t="s">
        <v>15669</v>
      </c>
      <c r="D6503" s="16"/>
      <c r="E6503">
        <v>6</v>
      </c>
      <c r="F6503" t="e">
        <f>--De algodão</f>
        <v>#NAME?</v>
      </c>
      <c r="G6503">
        <v>1</v>
      </c>
      <c r="H6503">
        <v>1</v>
      </c>
      <c r="I6503">
        <f>1</f>
        <v>1</v>
      </c>
    </row>
    <row r="6504" spans="2:9" x14ac:dyDescent="0.25">
      <c r="B6504">
        <v>0</v>
      </c>
      <c r="C6504" s="16" t="s">
        <v>15670</v>
      </c>
      <c r="D6504" s="16"/>
      <c r="E6504">
        <v>6</v>
      </c>
      <c r="F6504" t="e">
        <f>--De fibras sintéticas ou artificiais</f>
        <v>#NAME?</v>
      </c>
      <c r="G6504">
        <v>1</v>
      </c>
      <c r="H6504">
        <v>1</v>
      </c>
      <c r="I6504">
        <f>1</f>
        <v>1</v>
      </c>
    </row>
    <row r="6505" spans="2:9" x14ac:dyDescent="0.25">
      <c r="B6505">
        <v>0</v>
      </c>
      <c r="C6505" s="16" t="s">
        <v>15671</v>
      </c>
      <c r="D6505" s="16"/>
      <c r="E6505">
        <v>6</v>
      </c>
      <c r="F6505" t="e">
        <f>--De Outras matérias têxteis</f>
        <v>#NAME?</v>
      </c>
      <c r="G6505">
        <v>1</v>
      </c>
      <c r="H6505">
        <v>1</v>
      </c>
      <c r="I6505">
        <f>1</f>
        <v>1</v>
      </c>
    </row>
    <row r="6506" spans="2:9" x14ac:dyDescent="0.25">
      <c r="B6506">
        <v>0</v>
      </c>
      <c r="C6506" s="16" t="s">
        <v>15672</v>
      </c>
      <c r="D6506" s="16"/>
      <c r="E6506">
        <v>6</v>
      </c>
      <c r="F6506" t="s">
        <v>7550</v>
      </c>
      <c r="G6506">
        <v>1</v>
      </c>
      <c r="H6506">
        <v>1</v>
      </c>
      <c r="I6506">
        <f>1</f>
        <v>1</v>
      </c>
    </row>
    <row r="6507" spans="2:9" x14ac:dyDescent="0.25">
      <c r="B6507">
        <v>0</v>
      </c>
      <c r="C6507" s="16" t="s">
        <v>15673</v>
      </c>
      <c r="D6507" s="16"/>
      <c r="E6507">
        <v>6</v>
      </c>
      <c r="F6507" t="e">
        <f>--De algodão</f>
        <v>#NAME?</v>
      </c>
      <c r="G6507">
        <v>1</v>
      </c>
      <c r="H6507">
        <v>1</v>
      </c>
      <c r="I6507">
        <f>1</f>
        <v>1</v>
      </c>
    </row>
    <row r="6508" spans="2:9" x14ac:dyDescent="0.25">
      <c r="B6508">
        <v>0</v>
      </c>
      <c r="C6508" s="16" t="s">
        <v>15674</v>
      </c>
      <c r="D6508" s="16"/>
      <c r="E6508">
        <v>6</v>
      </c>
      <c r="F6508" t="e">
        <f>--De fibras sintéticas ou artificiais</f>
        <v>#NAME?</v>
      </c>
      <c r="G6508">
        <v>1</v>
      </c>
      <c r="H6508">
        <v>1</v>
      </c>
      <c r="I6508">
        <f>1</f>
        <v>1</v>
      </c>
    </row>
    <row r="6509" spans="2:9" x14ac:dyDescent="0.25">
      <c r="B6509">
        <v>0</v>
      </c>
      <c r="C6509" s="16" t="s">
        <v>15675</v>
      </c>
      <c r="D6509" s="16"/>
      <c r="E6509">
        <v>6</v>
      </c>
      <c r="F6509" t="s">
        <v>7551</v>
      </c>
      <c r="G6509">
        <v>1</v>
      </c>
      <c r="H6509">
        <v>1</v>
      </c>
      <c r="I6509">
        <f>1</f>
        <v>1</v>
      </c>
    </row>
    <row r="6510" spans="2:9" x14ac:dyDescent="0.25">
      <c r="B6510">
        <v>0</v>
      </c>
      <c r="C6510" s="16" t="s">
        <v>15676</v>
      </c>
      <c r="D6510" s="16"/>
      <c r="E6510">
        <v>6</v>
      </c>
      <c r="F6510" t="s">
        <v>4690</v>
      </c>
      <c r="G6510">
        <v>1</v>
      </c>
      <c r="H6510">
        <v>1</v>
      </c>
      <c r="I6510">
        <f>1</f>
        <v>1</v>
      </c>
    </row>
    <row r="6511" spans="2:9" x14ac:dyDescent="0.25">
      <c r="B6511">
        <v>0</v>
      </c>
      <c r="C6511" s="16" t="s">
        <v>15677</v>
      </c>
      <c r="D6511" s="16"/>
      <c r="E6511">
        <v>6</v>
      </c>
      <c r="F6511" t="s">
        <v>7552</v>
      </c>
      <c r="G6511">
        <v>1</v>
      </c>
      <c r="H6511">
        <v>1</v>
      </c>
      <c r="I6511">
        <f>1</f>
        <v>1</v>
      </c>
    </row>
    <row r="6512" spans="2:9" x14ac:dyDescent="0.25">
      <c r="B6512">
        <v>0</v>
      </c>
      <c r="C6512" s="16" t="s">
        <v>15678</v>
      </c>
      <c r="D6512" s="16"/>
      <c r="E6512">
        <v>6</v>
      </c>
      <c r="F6512" t="e">
        <f>--De algodão</f>
        <v>#NAME?</v>
      </c>
      <c r="G6512">
        <v>1</v>
      </c>
      <c r="H6512">
        <v>1</v>
      </c>
      <c r="I6512">
        <f>1</f>
        <v>1</v>
      </c>
    </row>
    <row r="6513" spans="2:9" x14ac:dyDescent="0.25">
      <c r="B6513">
        <v>0</v>
      </c>
      <c r="C6513" s="16" t="s">
        <v>15679</v>
      </c>
      <c r="D6513" s="16"/>
      <c r="E6513">
        <v>6</v>
      </c>
      <c r="F6513" t="e">
        <f>--De fibras sintéticas ou artificiais</f>
        <v>#NAME?</v>
      </c>
      <c r="G6513">
        <v>1</v>
      </c>
      <c r="H6513">
        <v>1</v>
      </c>
      <c r="I6513">
        <f>1</f>
        <v>1</v>
      </c>
    </row>
    <row r="6514" spans="2:9" x14ac:dyDescent="0.25">
      <c r="B6514">
        <v>0</v>
      </c>
      <c r="C6514" s="16" t="s">
        <v>15680</v>
      </c>
      <c r="D6514" s="16"/>
      <c r="E6514">
        <v>6</v>
      </c>
      <c r="F6514" t="s">
        <v>7551</v>
      </c>
      <c r="G6514">
        <v>1</v>
      </c>
      <c r="H6514">
        <v>1</v>
      </c>
      <c r="I6514">
        <f>1</f>
        <v>1</v>
      </c>
    </row>
    <row r="6515" spans="2:9" x14ac:dyDescent="0.25">
      <c r="B6515">
        <v>0</v>
      </c>
      <c r="C6515" s="16" t="s">
        <v>15681</v>
      </c>
      <c r="D6515" s="16"/>
      <c r="E6515">
        <v>6</v>
      </c>
      <c r="F6515" t="s">
        <v>4690</v>
      </c>
      <c r="G6515">
        <v>1</v>
      </c>
      <c r="H6515">
        <v>1</v>
      </c>
      <c r="I6515">
        <f>1</f>
        <v>1</v>
      </c>
    </row>
    <row r="6516" spans="2:9" x14ac:dyDescent="0.25">
      <c r="B6516">
        <v>0</v>
      </c>
      <c r="C6516" s="16" t="s">
        <v>15682</v>
      </c>
      <c r="D6516" s="16"/>
      <c r="E6516">
        <v>6</v>
      </c>
      <c r="F6516" t="e">
        <f>--De fibras sintéticas</f>
        <v>#NAME?</v>
      </c>
      <c r="G6516">
        <v>1</v>
      </c>
      <c r="H6516">
        <v>1</v>
      </c>
      <c r="I6516">
        <f>1</f>
        <v>1</v>
      </c>
    </row>
    <row r="6517" spans="2:9" x14ac:dyDescent="0.25">
      <c r="B6517">
        <v>0</v>
      </c>
      <c r="C6517" s="16" t="s">
        <v>15683</v>
      </c>
      <c r="D6517" s="16"/>
      <c r="E6517">
        <v>6</v>
      </c>
      <c r="F6517" t="s">
        <v>7494</v>
      </c>
      <c r="G6517">
        <v>1</v>
      </c>
      <c r="H6517">
        <v>1</v>
      </c>
      <c r="I6517">
        <f>1</f>
        <v>1</v>
      </c>
    </row>
    <row r="6518" spans="2:9" x14ac:dyDescent="0.25">
      <c r="B6518">
        <v>0</v>
      </c>
      <c r="C6518" s="16" t="s">
        <v>15684</v>
      </c>
      <c r="D6518" s="16"/>
      <c r="E6518">
        <v>6</v>
      </c>
      <c r="F6518" t="s">
        <v>4680</v>
      </c>
      <c r="G6518">
        <v>1</v>
      </c>
      <c r="H6518">
        <v>1</v>
      </c>
      <c r="I6518">
        <f>1</f>
        <v>1</v>
      </c>
    </row>
    <row r="6519" spans="2:9" x14ac:dyDescent="0.25">
      <c r="B6519">
        <v>0</v>
      </c>
      <c r="C6519" s="16" t="s">
        <v>15685</v>
      </c>
      <c r="D6519" s="16"/>
      <c r="E6519">
        <v>6</v>
      </c>
      <c r="F6519" t="e">
        <f>--De algodão</f>
        <v>#NAME?</v>
      </c>
      <c r="G6519">
        <v>1</v>
      </c>
      <c r="H6519">
        <v>1</v>
      </c>
      <c r="I6519">
        <f>1</f>
        <v>1</v>
      </c>
    </row>
    <row r="6520" spans="2:9" x14ac:dyDescent="0.25">
      <c r="B6520">
        <v>0</v>
      </c>
      <c r="C6520" s="16" t="s">
        <v>15686</v>
      </c>
      <c r="D6520" s="16"/>
      <c r="E6520">
        <v>6</v>
      </c>
      <c r="F6520" t="e">
        <f>--De fibras sintéticas</f>
        <v>#NAME?</v>
      </c>
      <c r="G6520">
        <v>1</v>
      </c>
      <c r="H6520">
        <v>1</v>
      </c>
      <c r="I6520">
        <f>1</f>
        <v>1</v>
      </c>
    </row>
    <row r="6521" spans="2:9" x14ac:dyDescent="0.25">
      <c r="B6521">
        <v>0</v>
      </c>
      <c r="C6521" s="16" t="s">
        <v>15687</v>
      </c>
      <c r="D6521" s="16"/>
      <c r="E6521">
        <v>6</v>
      </c>
      <c r="F6521" t="e">
        <f>--De Outras matérias têxteis</f>
        <v>#NAME?</v>
      </c>
      <c r="G6521">
        <v>1</v>
      </c>
      <c r="H6521">
        <v>1</v>
      </c>
      <c r="I6521">
        <f>1</f>
        <v>1</v>
      </c>
    </row>
    <row r="6522" spans="2:9" x14ac:dyDescent="0.25">
      <c r="B6522">
        <v>0</v>
      </c>
      <c r="C6522" s="16" t="s">
        <v>15688</v>
      </c>
      <c r="D6522" s="16"/>
      <c r="E6522">
        <v>6</v>
      </c>
      <c r="F6522" t="e">
        <f>--De malha</f>
        <v>#NAME?</v>
      </c>
      <c r="G6522">
        <v>1</v>
      </c>
      <c r="H6522">
        <v>1</v>
      </c>
      <c r="I6522">
        <f>1</f>
        <v>1</v>
      </c>
    </row>
    <row r="6523" spans="2:9" x14ac:dyDescent="0.25">
      <c r="B6523">
        <v>0</v>
      </c>
      <c r="C6523" s="16" t="s">
        <v>15689</v>
      </c>
      <c r="D6523" s="16"/>
      <c r="E6523">
        <v>6</v>
      </c>
      <c r="F6523" t="s">
        <v>7494</v>
      </c>
      <c r="G6523">
        <v>1</v>
      </c>
      <c r="H6523">
        <v>1</v>
      </c>
      <c r="I6523">
        <f>1</f>
        <v>1</v>
      </c>
    </row>
    <row r="6524" spans="2:9" x14ac:dyDescent="0.25">
      <c r="B6524">
        <v>0</v>
      </c>
      <c r="C6524" s="16" t="s">
        <v>15690</v>
      </c>
      <c r="D6524" s="16"/>
      <c r="E6524">
        <v>6</v>
      </c>
      <c r="F6524" t="s">
        <v>7508</v>
      </c>
      <c r="G6524">
        <v>1</v>
      </c>
      <c r="H6524">
        <v>1</v>
      </c>
      <c r="I6524">
        <f>1</f>
        <v>1</v>
      </c>
    </row>
    <row r="6525" spans="2:9" x14ac:dyDescent="0.25">
      <c r="B6525">
        <v>0</v>
      </c>
      <c r="C6525" s="16" t="s">
        <v>15691</v>
      </c>
      <c r="D6525" s="16"/>
      <c r="E6525">
        <v>6</v>
      </c>
      <c r="F6525" t="e">
        <f>--De malha</f>
        <v>#NAME?</v>
      </c>
      <c r="G6525">
        <v>1</v>
      </c>
      <c r="H6525">
        <v>1</v>
      </c>
      <c r="I6525">
        <f>1</f>
        <v>1</v>
      </c>
    </row>
    <row r="6526" spans="2:9" x14ac:dyDescent="0.25">
      <c r="B6526">
        <v>0</v>
      </c>
      <c r="C6526" s="16" t="s">
        <v>15692</v>
      </c>
      <c r="D6526" s="16"/>
      <c r="E6526">
        <v>6</v>
      </c>
      <c r="F6526" t="s">
        <v>7553</v>
      </c>
      <c r="G6526">
        <v>1</v>
      </c>
      <c r="H6526">
        <v>1</v>
      </c>
      <c r="I6526">
        <f>1</f>
        <v>1</v>
      </c>
    </row>
    <row r="6527" spans="2:9" x14ac:dyDescent="0.25">
      <c r="B6527">
        <v>0</v>
      </c>
      <c r="C6527" s="16" t="s">
        <v>15693</v>
      </c>
      <c r="D6527" s="16"/>
      <c r="E6527">
        <v>6</v>
      </c>
      <c r="F6527" t="s">
        <v>7554</v>
      </c>
      <c r="G6527">
        <v>1</v>
      </c>
      <c r="H6527">
        <v>1</v>
      </c>
      <c r="I6527">
        <f>1</f>
        <v>1</v>
      </c>
    </row>
    <row r="6528" spans="2:9" x14ac:dyDescent="0.25">
      <c r="B6528">
        <v>0</v>
      </c>
      <c r="C6528" s="16" t="s">
        <v>15694</v>
      </c>
      <c r="D6528" s="16"/>
      <c r="E6528">
        <v>6</v>
      </c>
      <c r="F6528" t="s">
        <v>7555</v>
      </c>
      <c r="G6528">
        <v>1</v>
      </c>
      <c r="H6528">
        <v>1</v>
      </c>
      <c r="I6528">
        <f>1</f>
        <v>1</v>
      </c>
    </row>
    <row r="6529" spans="2:9" x14ac:dyDescent="0.25">
      <c r="B6529">
        <v>0</v>
      </c>
      <c r="C6529" s="16" t="s">
        <v>15695</v>
      </c>
      <c r="D6529" s="16"/>
      <c r="E6529">
        <v>6</v>
      </c>
      <c r="F6529" t="s">
        <v>7556</v>
      </c>
      <c r="G6529">
        <v>1</v>
      </c>
      <c r="H6529">
        <v>1</v>
      </c>
      <c r="I6529">
        <f>1</f>
        <v>1</v>
      </c>
    </row>
    <row r="6530" spans="2:9" x14ac:dyDescent="0.25">
      <c r="B6530">
        <v>0</v>
      </c>
      <c r="C6530" s="16" t="s">
        <v>15696</v>
      </c>
      <c r="D6530" s="16"/>
      <c r="E6530">
        <v>6</v>
      </c>
      <c r="F6530" t="e">
        <f>-De algodão</f>
        <v>#NAME?</v>
      </c>
      <c r="G6530">
        <v>1</v>
      </c>
      <c r="H6530">
        <v>1</v>
      </c>
      <c r="I6530">
        <f>1</f>
        <v>1</v>
      </c>
    </row>
    <row r="6531" spans="2:9" x14ac:dyDescent="0.25">
      <c r="B6531">
        <v>0</v>
      </c>
      <c r="C6531" s="16" t="s">
        <v>15697</v>
      </c>
      <c r="D6531" s="16"/>
      <c r="E6531">
        <v>6</v>
      </c>
      <c r="F6531" t="e">
        <f>--recipientes flexíveis para produtos a granel</f>
        <v>#NAME?</v>
      </c>
      <c r="G6531">
        <v>1</v>
      </c>
      <c r="H6531">
        <v>1</v>
      </c>
      <c r="I6531">
        <f>1</f>
        <v>1</v>
      </c>
    </row>
    <row r="6532" spans="2:9" x14ac:dyDescent="0.25">
      <c r="B6532">
        <v>0</v>
      </c>
      <c r="C6532" s="16" t="s">
        <v>15698</v>
      </c>
      <c r="D6532" s="16"/>
      <c r="E6532">
        <v>6</v>
      </c>
      <c r="F6532" t="s">
        <v>7557</v>
      </c>
      <c r="G6532">
        <v>1</v>
      </c>
      <c r="H6532">
        <v>1</v>
      </c>
      <c r="I6532">
        <f>1</f>
        <v>1</v>
      </c>
    </row>
    <row r="6533" spans="2:9" x14ac:dyDescent="0.25">
      <c r="B6533">
        <v>0</v>
      </c>
      <c r="C6533" s="16" t="s">
        <v>15699</v>
      </c>
      <c r="D6533" s="16"/>
      <c r="E6533">
        <v>6</v>
      </c>
      <c r="F6533" t="s">
        <v>4680</v>
      </c>
      <c r="G6533">
        <v>1</v>
      </c>
      <c r="H6533">
        <v>1</v>
      </c>
      <c r="I6533">
        <f>1</f>
        <v>1</v>
      </c>
    </row>
    <row r="6534" spans="2:9" x14ac:dyDescent="0.25">
      <c r="B6534">
        <v>0</v>
      </c>
      <c r="C6534" s="16" t="s">
        <v>15700</v>
      </c>
      <c r="D6534" s="16"/>
      <c r="E6534">
        <v>6</v>
      </c>
      <c r="F6534" t="e">
        <f>--outros</f>
        <v>#NAME?</v>
      </c>
      <c r="G6534">
        <v>1</v>
      </c>
      <c r="H6534">
        <v>1</v>
      </c>
      <c r="I6534">
        <f>1</f>
        <v>1</v>
      </c>
    </row>
    <row r="6535" spans="2:9" x14ac:dyDescent="0.25">
      <c r="B6535">
        <v>0</v>
      </c>
      <c r="C6535" s="16" t="s">
        <v>15701</v>
      </c>
      <c r="D6535" s="16"/>
      <c r="E6535">
        <v>6</v>
      </c>
      <c r="F6535" t="e">
        <f>-De Outras matérias têxteis</f>
        <v>#NAME?</v>
      </c>
      <c r="G6535">
        <v>1</v>
      </c>
      <c r="H6535">
        <v>1</v>
      </c>
      <c r="I6535">
        <f>1</f>
        <v>1</v>
      </c>
    </row>
    <row r="6536" spans="2:9" x14ac:dyDescent="0.25">
      <c r="B6536">
        <v>0</v>
      </c>
      <c r="C6536" s="16" t="s">
        <v>15702</v>
      </c>
      <c r="D6536" s="16"/>
      <c r="E6536">
        <v>6</v>
      </c>
      <c r="F6536" t="e">
        <f>--De fibras sintéticas</f>
        <v>#NAME?</v>
      </c>
      <c r="G6536">
        <v>1</v>
      </c>
      <c r="H6536">
        <v>1</v>
      </c>
      <c r="I6536">
        <f>1</f>
        <v>1</v>
      </c>
    </row>
    <row r="6537" spans="2:9" x14ac:dyDescent="0.25">
      <c r="B6537">
        <v>0</v>
      </c>
      <c r="C6537" s="16" t="s">
        <v>15703</v>
      </c>
      <c r="D6537" s="16"/>
      <c r="E6537">
        <v>6</v>
      </c>
      <c r="F6537" t="s">
        <v>7494</v>
      </c>
      <c r="G6537">
        <v>1</v>
      </c>
      <c r="H6537">
        <v>1</v>
      </c>
      <c r="I6537">
        <f>1</f>
        <v>1</v>
      </c>
    </row>
    <row r="6538" spans="2:9" x14ac:dyDescent="0.25">
      <c r="B6538">
        <v>0</v>
      </c>
      <c r="C6538" s="16" t="s">
        <v>15704</v>
      </c>
      <c r="D6538" s="16"/>
      <c r="E6538">
        <v>6</v>
      </c>
      <c r="F6538" t="s">
        <v>4680</v>
      </c>
      <c r="G6538">
        <v>1</v>
      </c>
      <c r="H6538">
        <v>1</v>
      </c>
      <c r="I6538">
        <f>1</f>
        <v>1</v>
      </c>
    </row>
    <row r="6539" spans="2:9" x14ac:dyDescent="0.25">
      <c r="B6539">
        <v>0</v>
      </c>
      <c r="C6539" s="16" t="s">
        <v>15705</v>
      </c>
      <c r="D6539" s="16"/>
      <c r="E6539">
        <v>6</v>
      </c>
      <c r="F6539" t="e">
        <f>--De fibras sintéticas</f>
        <v>#NAME?</v>
      </c>
      <c r="G6539">
        <v>1</v>
      </c>
      <c r="H6539">
        <v>1</v>
      </c>
      <c r="I6539">
        <f>1</f>
        <v>1</v>
      </c>
    </row>
    <row r="6540" spans="2:9" x14ac:dyDescent="0.25">
      <c r="B6540">
        <v>0</v>
      </c>
      <c r="C6540" s="16" t="s">
        <v>15706</v>
      </c>
      <c r="D6540" s="16"/>
      <c r="E6540">
        <v>6</v>
      </c>
      <c r="F6540" t="s">
        <v>7494</v>
      </c>
      <c r="G6540">
        <v>1</v>
      </c>
      <c r="H6540">
        <v>1</v>
      </c>
      <c r="I6540">
        <f>1</f>
        <v>1</v>
      </c>
    </row>
    <row r="6541" spans="2:9" x14ac:dyDescent="0.25">
      <c r="B6541">
        <v>0</v>
      </c>
      <c r="C6541" s="16" t="s">
        <v>15707</v>
      </c>
      <c r="D6541" s="16"/>
      <c r="E6541">
        <v>6</v>
      </c>
      <c r="F6541" t="s">
        <v>4680</v>
      </c>
      <c r="G6541">
        <v>1</v>
      </c>
      <c r="H6541">
        <v>1</v>
      </c>
      <c r="I6541">
        <f>1</f>
        <v>1</v>
      </c>
    </row>
    <row r="6542" spans="2:9" x14ac:dyDescent="0.25">
      <c r="B6542">
        <v>0</v>
      </c>
      <c r="C6542" s="16" t="s">
        <v>15708</v>
      </c>
      <c r="D6542" s="16"/>
      <c r="E6542">
        <v>6</v>
      </c>
      <c r="F6542" t="s">
        <v>7530</v>
      </c>
      <c r="G6542">
        <v>1</v>
      </c>
      <c r="H6542">
        <v>1</v>
      </c>
      <c r="I6542">
        <f>1</f>
        <v>1</v>
      </c>
    </row>
    <row r="6543" spans="2:9" x14ac:dyDescent="0.25">
      <c r="B6543">
        <v>0</v>
      </c>
      <c r="C6543" s="16" t="s">
        <v>15709</v>
      </c>
      <c r="D6543" s="16"/>
      <c r="E6543">
        <v>6</v>
      </c>
      <c r="F6543" t="s">
        <v>7508</v>
      </c>
      <c r="G6543">
        <v>1</v>
      </c>
      <c r="H6543">
        <v>1</v>
      </c>
      <c r="I6543">
        <f>1</f>
        <v>1</v>
      </c>
    </row>
    <row r="6544" spans="2:9" x14ac:dyDescent="0.25">
      <c r="B6544">
        <v>0</v>
      </c>
      <c r="C6544" s="16" t="s">
        <v>15710</v>
      </c>
      <c r="D6544" s="16"/>
      <c r="E6544">
        <v>6</v>
      </c>
      <c r="F6544" t="s">
        <v>7494</v>
      </c>
      <c r="G6544">
        <v>1</v>
      </c>
      <c r="H6544">
        <v>1</v>
      </c>
      <c r="I6544">
        <f>1</f>
        <v>1</v>
      </c>
    </row>
    <row r="6545" spans="2:9" x14ac:dyDescent="0.25">
      <c r="B6545">
        <v>0</v>
      </c>
      <c r="C6545" s="16" t="s">
        <v>15711</v>
      </c>
      <c r="D6545" s="16"/>
      <c r="E6545">
        <v>6</v>
      </c>
      <c r="F6545" t="s">
        <v>7508</v>
      </c>
      <c r="G6545">
        <v>1</v>
      </c>
      <c r="H6545">
        <v>1</v>
      </c>
      <c r="I6545">
        <f>1</f>
        <v>1</v>
      </c>
    </row>
    <row r="6546" spans="2:9" x14ac:dyDescent="0.25">
      <c r="B6546">
        <v>0</v>
      </c>
      <c r="C6546" s="16" t="s">
        <v>15712</v>
      </c>
      <c r="D6546" s="16"/>
      <c r="E6546">
        <v>6</v>
      </c>
      <c r="F6546" t="e">
        <f>-outros</f>
        <v>#NAME?</v>
      </c>
      <c r="G6546">
        <v>1</v>
      </c>
      <c r="H6546">
        <v>1</v>
      </c>
      <c r="I6546">
        <f>1</f>
        <v>1</v>
      </c>
    </row>
    <row r="6547" spans="2:9" x14ac:dyDescent="0.25">
      <c r="B6547">
        <v>0</v>
      </c>
      <c r="C6547" s="16" t="s">
        <v>15713</v>
      </c>
      <c r="D6547" s="16"/>
      <c r="E6547">
        <v>6</v>
      </c>
      <c r="F6547" t="s">
        <v>7558</v>
      </c>
      <c r="G6547">
        <v>1</v>
      </c>
      <c r="H6547">
        <v>1</v>
      </c>
      <c r="I6547">
        <f>1</f>
        <v>1</v>
      </c>
    </row>
    <row r="6548" spans="2:9" x14ac:dyDescent="0.25">
      <c r="B6548">
        <v>0</v>
      </c>
      <c r="C6548" s="16" t="s">
        <v>15714</v>
      </c>
      <c r="D6548" s="16"/>
      <c r="E6548">
        <v>6</v>
      </c>
      <c r="F6548" t="e">
        <f>-Cintos e coletes salva-vidas</f>
        <v>#NAME?</v>
      </c>
      <c r="G6548">
        <v>1</v>
      </c>
      <c r="H6548">
        <v>1</v>
      </c>
      <c r="I6548">
        <f>1</f>
        <v>1</v>
      </c>
    </row>
    <row r="6549" spans="2:9" x14ac:dyDescent="0.25">
      <c r="B6549">
        <v>0</v>
      </c>
      <c r="C6549" s="16" t="s">
        <v>15715</v>
      </c>
      <c r="D6549" s="16"/>
      <c r="E6549">
        <v>6</v>
      </c>
      <c r="F6549" t="s">
        <v>7559</v>
      </c>
      <c r="G6549">
        <v>1</v>
      </c>
      <c r="H6549">
        <v>1</v>
      </c>
      <c r="I6549">
        <f>1</f>
        <v>1</v>
      </c>
    </row>
    <row r="6550" spans="2:9" x14ac:dyDescent="0.25">
      <c r="B6550">
        <v>0</v>
      </c>
      <c r="C6550" s="16" t="s">
        <v>15716</v>
      </c>
      <c r="D6550" s="16"/>
      <c r="E6550">
        <v>6</v>
      </c>
      <c r="F6550" t="s">
        <v>7560</v>
      </c>
      <c r="G6550">
        <v>1</v>
      </c>
      <c r="H6550">
        <v>1</v>
      </c>
      <c r="I6550">
        <f>1</f>
        <v>1</v>
      </c>
    </row>
    <row r="6551" spans="2:9" x14ac:dyDescent="0.25">
      <c r="B6551">
        <v>0</v>
      </c>
      <c r="C6551" s="16" t="s">
        <v>15717</v>
      </c>
      <c r="D6551" s="16"/>
      <c r="E6551">
        <v>6</v>
      </c>
      <c r="F6551" t="s">
        <v>4680</v>
      </c>
      <c r="G6551">
        <v>1</v>
      </c>
      <c r="H6551">
        <v>1</v>
      </c>
      <c r="I6551">
        <f>1</f>
        <v>1</v>
      </c>
    </row>
    <row r="6552" spans="2:9" x14ac:dyDescent="0.25">
      <c r="B6552">
        <v>0</v>
      </c>
      <c r="C6552" s="16" t="s">
        <v>15718</v>
      </c>
      <c r="D6552" s="16"/>
      <c r="E6552">
        <v>6</v>
      </c>
      <c r="F6552" t="s">
        <v>7561</v>
      </c>
      <c r="G6552">
        <v>1</v>
      </c>
      <c r="H6552">
        <v>1</v>
      </c>
      <c r="I6552">
        <f>1</f>
        <v>1</v>
      </c>
    </row>
    <row r="6553" spans="2:9" x14ac:dyDescent="0.25">
      <c r="B6553">
        <v>0</v>
      </c>
      <c r="C6553" s="16" t="s">
        <v>15719</v>
      </c>
      <c r="D6553" s="16"/>
      <c r="E6553">
        <v>6</v>
      </c>
      <c r="F6553" t="s">
        <v>7562</v>
      </c>
      <c r="G6553">
        <v>1</v>
      </c>
      <c r="H6553">
        <v>1</v>
      </c>
      <c r="I6553">
        <f>1</f>
        <v>1</v>
      </c>
    </row>
    <row r="6554" spans="2:9" x14ac:dyDescent="0.25">
      <c r="B6554">
        <v>0</v>
      </c>
      <c r="C6554" s="16" t="s">
        <v>15720</v>
      </c>
      <c r="D6554" s="16"/>
      <c r="E6554">
        <v>6</v>
      </c>
      <c r="F6554" t="s">
        <v>4680</v>
      </c>
      <c r="G6554">
        <v>1</v>
      </c>
      <c r="H6554">
        <v>1</v>
      </c>
      <c r="I6554">
        <f>1</f>
        <v>1</v>
      </c>
    </row>
    <row r="6555" spans="2:9" x14ac:dyDescent="0.25">
      <c r="B6555">
        <v>0</v>
      </c>
      <c r="C6555" s="16" t="s">
        <v>15721</v>
      </c>
      <c r="D6555" s="16"/>
      <c r="E6555">
        <v>6</v>
      </c>
      <c r="F6555" t="e">
        <f>-Escolhidos</f>
        <v>#NAME?</v>
      </c>
      <c r="G6555">
        <v>1</v>
      </c>
      <c r="H6555">
        <v>1</v>
      </c>
      <c r="I6555">
        <f>1</f>
        <v>1</v>
      </c>
    </row>
    <row r="6556" spans="2:9" x14ac:dyDescent="0.25">
      <c r="B6556">
        <v>0</v>
      </c>
      <c r="C6556" s="16" t="s">
        <v>15722</v>
      </c>
      <c r="D6556" s="16"/>
      <c r="E6556">
        <v>6</v>
      </c>
      <c r="F6556" t="e">
        <f>-outros</f>
        <v>#NAME?</v>
      </c>
      <c r="G6556">
        <v>1</v>
      </c>
      <c r="H6556">
        <v>1</v>
      </c>
      <c r="I6556">
        <f>1</f>
        <v>1</v>
      </c>
    </row>
    <row r="6557" spans="2:9" x14ac:dyDescent="0.25">
      <c r="B6557">
        <v>0</v>
      </c>
      <c r="C6557" s="16" t="s">
        <v>15723</v>
      </c>
      <c r="D6557" s="16"/>
      <c r="E6557">
        <v>6</v>
      </c>
      <c r="F6557" t="e">
        <f>-Calçados Com biqueira protetora De metal</f>
        <v>#NAME?</v>
      </c>
      <c r="G6557">
        <v>1</v>
      </c>
      <c r="H6557">
        <v>1</v>
      </c>
      <c r="I6557">
        <f>1</f>
        <v>1</v>
      </c>
    </row>
    <row r="6558" spans="2:9" x14ac:dyDescent="0.25">
      <c r="B6558">
        <v>0</v>
      </c>
      <c r="C6558" s="16" t="s">
        <v>15724</v>
      </c>
      <c r="D6558" s="16"/>
      <c r="E6558">
        <v>6</v>
      </c>
      <c r="F6558" t="s">
        <v>7563</v>
      </c>
      <c r="G6558">
        <v>1</v>
      </c>
      <c r="H6558">
        <v>1</v>
      </c>
      <c r="I6558">
        <f>1</f>
        <v>1</v>
      </c>
    </row>
    <row r="6559" spans="2:9" x14ac:dyDescent="0.25">
      <c r="B6559">
        <v>0</v>
      </c>
      <c r="C6559" s="16" t="s">
        <v>15725</v>
      </c>
      <c r="D6559" s="16"/>
      <c r="E6559">
        <v>6</v>
      </c>
      <c r="F6559" t="s">
        <v>7564</v>
      </c>
      <c r="G6559">
        <v>1</v>
      </c>
      <c r="H6559">
        <v>1</v>
      </c>
      <c r="I6559">
        <f>1</f>
        <v>1</v>
      </c>
    </row>
    <row r="6560" spans="2:9" x14ac:dyDescent="0.25">
      <c r="B6560">
        <v>0</v>
      </c>
      <c r="C6560" s="16" t="s">
        <v>15726</v>
      </c>
      <c r="D6560" s="16"/>
      <c r="E6560">
        <v>6</v>
      </c>
      <c r="F6560" t="s">
        <v>4680</v>
      </c>
      <c r="G6560">
        <v>1</v>
      </c>
      <c r="H6560">
        <v>1</v>
      </c>
      <c r="I6560">
        <f>1</f>
        <v>1</v>
      </c>
    </row>
    <row r="6561" spans="2:9" x14ac:dyDescent="0.25">
      <c r="B6561">
        <v>0</v>
      </c>
      <c r="C6561" s="16" t="s">
        <v>15727</v>
      </c>
      <c r="D6561" s="16"/>
      <c r="E6561">
        <v>6</v>
      </c>
      <c r="F6561" t="e">
        <f>--Calçados para esqui e para surfe De neve</f>
        <v>#NAME?</v>
      </c>
      <c r="G6561">
        <v>1</v>
      </c>
      <c r="H6561">
        <v>1</v>
      </c>
      <c r="I6561">
        <f>1</f>
        <v>1</v>
      </c>
    </row>
    <row r="6562" spans="2:9" x14ac:dyDescent="0.25">
      <c r="B6562">
        <v>0</v>
      </c>
      <c r="C6562" s="16" t="s">
        <v>15728</v>
      </c>
      <c r="D6562" s="16"/>
      <c r="E6562">
        <v>6</v>
      </c>
      <c r="F6562" t="e">
        <f>--outros</f>
        <v>#NAME?</v>
      </c>
      <c r="G6562">
        <v>1</v>
      </c>
      <c r="H6562">
        <v>1</v>
      </c>
      <c r="I6562">
        <f>1</f>
        <v>1</v>
      </c>
    </row>
    <row r="6563" spans="2:9" x14ac:dyDescent="0.25">
      <c r="B6563">
        <v>0</v>
      </c>
      <c r="C6563" s="16" t="s">
        <v>15729</v>
      </c>
      <c r="D6563" s="16"/>
      <c r="E6563">
        <v>6</v>
      </c>
      <c r="F6563" t="s">
        <v>7565</v>
      </c>
      <c r="G6563">
        <v>1</v>
      </c>
      <c r="H6563">
        <v>1</v>
      </c>
      <c r="I6563">
        <f>1</f>
        <v>1</v>
      </c>
    </row>
    <row r="6564" spans="2:9" x14ac:dyDescent="0.25">
      <c r="B6564">
        <v>0</v>
      </c>
      <c r="C6564" s="16" t="s">
        <v>15730</v>
      </c>
      <c r="D6564" s="16"/>
      <c r="E6564">
        <v>6</v>
      </c>
      <c r="F6564" t="s">
        <v>7566</v>
      </c>
      <c r="G6564">
        <v>1</v>
      </c>
      <c r="H6564">
        <v>1</v>
      </c>
      <c r="I6564">
        <f>1</f>
        <v>1</v>
      </c>
    </row>
    <row r="6565" spans="2:9" x14ac:dyDescent="0.25">
      <c r="B6565">
        <v>0</v>
      </c>
      <c r="C6565" s="16" t="s">
        <v>15731</v>
      </c>
      <c r="D6565" s="16"/>
      <c r="E6565">
        <v>6</v>
      </c>
      <c r="F6565" t="s">
        <v>4680</v>
      </c>
      <c r="G6565">
        <v>1</v>
      </c>
      <c r="H6565">
        <v>1</v>
      </c>
      <c r="I6565">
        <f>1</f>
        <v>1</v>
      </c>
    </row>
    <row r="6566" spans="2:9" x14ac:dyDescent="0.25">
      <c r="B6566">
        <v>0</v>
      </c>
      <c r="C6566" s="16" t="s">
        <v>15732</v>
      </c>
      <c r="D6566" s="16"/>
      <c r="E6566">
        <v>6</v>
      </c>
      <c r="F6566" t="s">
        <v>7566</v>
      </c>
      <c r="G6566">
        <v>1</v>
      </c>
      <c r="H6566">
        <v>1</v>
      </c>
      <c r="I6566">
        <f>1</f>
        <v>1</v>
      </c>
    </row>
    <row r="6567" spans="2:9" x14ac:dyDescent="0.25">
      <c r="B6567">
        <v>0</v>
      </c>
      <c r="C6567" s="16" t="s">
        <v>15733</v>
      </c>
      <c r="D6567" s="16"/>
      <c r="E6567">
        <v>6</v>
      </c>
      <c r="F6567" t="s">
        <v>4680</v>
      </c>
      <c r="G6567">
        <v>1</v>
      </c>
      <c r="H6567">
        <v>1</v>
      </c>
      <c r="I6567">
        <f>1</f>
        <v>1</v>
      </c>
    </row>
    <row r="6568" spans="2:9" x14ac:dyDescent="0.25">
      <c r="B6568">
        <v>0</v>
      </c>
      <c r="C6568" s="16" t="s">
        <v>15734</v>
      </c>
      <c r="D6568" s="16"/>
      <c r="E6568">
        <v>6</v>
      </c>
      <c r="F6568" t="e">
        <f>--Calçados para esqui e para surfe De neve</f>
        <v>#NAME?</v>
      </c>
      <c r="G6568">
        <v>1</v>
      </c>
      <c r="H6568">
        <v>1</v>
      </c>
      <c r="I6568">
        <f>1</f>
        <v>1</v>
      </c>
    </row>
    <row r="6569" spans="2:9" x14ac:dyDescent="0.25">
      <c r="B6569">
        <v>0</v>
      </c>
      <c r="C6569" s="16" t="s">
        <v>15735</v>
      </c>
      <c r="D6569" s="16"/>
      <c r="E6569">
        <v>6</v>
      </c>
      <c r="F6569" t="e">
        <f>--outros</f>
        <v>#NAME?</v>
      </c>
      <c r="G6569">
        <v>1</v>
      </c>
      <c r="H6569">
        <v>1</v>
      </c>
      <c r="I6569">
        <f>1</f>
        <v>1</v>
      </c>
    </row>
    <row r="6570" spans="2:9" x14ac:dyDescent="0.25">
      <c r="B6570">
        <v>0</v>
      </c>
      <c r="C6570" s="16" t="s">
        <v>15736</v>
      </c>
      <c r="D6570" s="16"/>
      <c r="E6570">
        <v>6</v>
      </c>
      <c r="F6570" t="e">
        <f>-Calçados Com sola exterior De Couro natural e parte superior constituída por tiras De Couro natural passando pelo peito do pé e envolvendo o dedo grande</f>
        <v>#NAME?</v>
      </c>
      <c r="G6570">
        <v>1</v>
      </c>
      <c r="H6570">
        <v>1</v>
      </c>
      <c r="I6570">
        <f>1</f>
        <v>1</v>
      </c>
    </row>
    <row r="6571" spans="2:9" x14ac:dyDescent="0.25">
      <c r="B6571">
        <v>0</v>
      </c>
      <c r="C6571" s="16" t="s">
        <v>15737</v>
      </c>
      <c r="D6571" s="16"/>
      <c r="E6571">
        <v>6</v>
      </c>
      <c r="F6571" t="s">
        <v>7567</v>
      </c>
      <c r="G6571">
        <v>1</v>
      </c>
      <c r="H6571">
        <v>1</v>
      </c>
      <c r="I6571">
        <f>1</f>
        <v>1</v>
      </c>
    </row>
    <row r="6572" spans="2:9" x14ac:dyDescent="0.25">
      <c r="B6572">
        <v>0</v>
      </c>
      <c r="C6572" s="16" t="s">
        <v>15738</v>
      </c>
      <c r="D6572" s="16"/>
      <c r="E6572">
        <v>6</v>
      </c>
      <c r="F6572" t="s">
        <v>7568</v>
      </c>
      <c r="G6572">
        <v>1</v>
      </c>
      <c r="H6572">
        <v>1</v>
      </c>
      <c r="I6572">
        <f>1</f>
        <v>1</v>
      </c>
    </row>
    <row r="6573" spans="2:9" x14ac:dyDescent="0.25">
      <c r="B6573">
        <v>0</v>
      </c>
      <c r="C6573" s="16" t="s">
        <v>15739</v>
      </c>
      <c r="D6573" s="16"/>
      <c r="E6573">
        <v>6</v>
      </c>
      <c r="F6573" t="s">
        <v>4680</v>
      </c>
      <c r="G6573">
        <v>1</v>
      </c>
      <c r="H6573">
        <v>1</v>
      </c>
      <c r="I6573">
        <f>1</f>
        <v>1</v>
      </c>
    </row>
    <row r="6574" spans="2:9" x14ac:dyDescent="0.25">
      <c r="B6574">
        <v>0</v>
      </c>
      <c r="C6574" s="16" t="s">
        <v>15740</v>
      </c>
      <c r="D6574" s="16"/>
      <c r="E6574">
        <v>6</v>
      </c>
      <c r="F6574" t="s">
        <v>7568</v>
      </c>
      <c r="G6574">
        <v>1</v>
      </c>
      <c r="H6574">
        <v>1</v>
      </c>
      <c r="I6574">
        <f>1</f>
        <v>1</v>
      </c>
    </row>
    <row r="6575" spans="2:9" x14ac:dyDescent="0.25">
      <c r="B6575">
        <v>0</v>
      </c>
      <c r="C6575" s="16" t="s">
        <v>15741</v>
      </c>
      <c r="D6575" s="16"/>
      <c r="E6575">
        <v>6</v>
      </c>
      <c r="F6575" t="s">
        <v>4680</v>
      </c>
      <c r="G6575">
        <v>1</v>
      </c>
      <c r="H6575">
        <v>1</v>
      </c>
      <c r="I6575">
        <f>1</f>
        <v>1</v>
      </c>
    </row>
    <row r="6576" spans="2:9" x14ac:dyDescent="0.25">
      <c r="B6576">
        <v>0</v>
      </c>
      <c r="C6576" s="16" t="s">
        <v>15742</v>
      </c>
      <c r="D6576" s="16"/>
      <c r="E6576">
        <v>6</v>
      </c>
      <c r="F6576" t="s">
        <v>7568</v>
      </c>
      <c r="G6576">
        <v>1</v>
      </c>
      <c r="H6576">
        <v>1</v>
      </c>
      <c r="I6576">
        <f>1</f>
        <v>1</v>
      </c>
    </row>
    <row r="6577" spans="2:9" x14ac:dyDescent="0.25">
      <c r="B6577">
        <v>0</v>
      </c>
      <c r="C6577" s="16" t="s">
        <v>15743</v>
      </c>
      <c r="D6577" s="16"/>
      <c r="E6577">
        <v>6</v>
      </c>
      <c r="F6577" t="s">
        <v>4680</v>
      </c>
      <c r="G6577">
        <v>1</v>
      </c>
      <c r="H6577">
        <v>1</v>
      </c>
      <c r="I6577">
        <f>1</f>
        <v>1</v>
      </c>
    </row>
    <row r="6578" spans="2:9" x14ac:dyDescent="0.25">
      <c r="B6578">
        <v>0</v>
      </c>
      <c r="C6578" s="16" t="s">
        <v>15744</v>
      </c>
      <c r="D6578" s="16"/>
      <c r="E6578">
        <v>6</v>
      </c>
      <c r="F6578" t="s">
        <v>7568</v>
      </c>
      <c r="G6578">
        <v>1</v>
      </c>
      <c r="H6578">
        <v>1</v>
      </c>
      <c r="I6578">
        <f>1</f>
        <v>1</v>
      </c>
    </row>
    <row r="6579" spans="2:9" x14ac:dyDescent="0.25">
      <c r="B6579">
        <v>0</v>
      </c>
      <c r="C6579" s="16" t="s">
        <v>15745</v>
      </c>
      <c r="D6579" s="16"/>
      <c r="E6579">
        <v>6</v>
      </c>
      <c r="F6579" t="s">
        <v>4680</v>
      </c>
      <c r="G6579">
        <v>1</v>
      </c>
      <c r="H6579">
        <v>1</v>
      </c>
      <c r="I6579">
        <f>1</f>
        <v>1</v>
      </c>
    </row>
    <row r="6580" spans="2:9" x14ac:dyDescent="0.25">
      <c r="B6580">
        <v>0</v>
      </c>
      <c r="C6580" s="16" t="s">
        <v>15746</v>
      </c>
      <c r="D6580" s="16"/>
      <c r="E6580">
        <v>6</v>
      </c>
      <c r="F6580" t="s">
        <v>7569</v>
      </c>
      <c r="G6580">
        <v>1</v>
      </c>
      <c r="H6580">
        <v>1</v>
      </c>
      <c r="I6580">
        <f>1</f>
        <v>1</v>
      </c>
    </row>
    <row r="6581" spans="2:9" x14ac:dyDescent="0.25">
      <c r="B6581">
        <v>0</v>
      </c>
      <c r="C6581" s="16" t="s">
        <v>15747</v>
      </c>
      <c r="D6581" s="16"/>
      <c r="E6581">
        <v>6</v>
      </c>
      <c r="F6581" t="e">
        <f>--outros</f>
        <v>#NAME?</v>
      </c>
      <c r="G6581">
        <v>1</v>
      </c>
      <c r="H6581">
        <v>1</v>
      </c>
      <c r="I6581">
        <f>1</f>
        <v>1</v>
      </c>
    </row>
    <row r="6582" spans="2:9" x14ac:dyDescent="0.25">
      <c r="B6582">
        <v>0</v>
      </c>
      <c r="C6582" s="16" t="s">
        <v>15748</v>
      </c>
      <c r="D6582" s="16"/>
      <c r="E6582">
        <v>6</v>
      </c>
      <c r="F6582" t="e">
        <f>-Calçados Com sola exterior De Couro natural ou reconstituído</f>
        <v>#NAME?</v>
      </c>
      <c r="G6582">
        <v>1</v>
      </c>
      <c r="H6582">
        <v>1</v>
      </c>
      <c r="I6582">
        <f>1</f>
        <v>1</v>
      </c>
    </row>
    <row r="6583" spans="2:9" x14ac:dyDescent="0.25">
      <c r="B6583">
        <v>0</v>
      </c>
      <c r="C6583" s="16" t="s">
        <v>15749</v>
      </c>
      <c r="D6583" s="16"/>
      <c r="E6583">
        <v>6</v>
      </c>
      <c r="F6583" t="s">
        <v>7570</v>
      </c>
      <c r="G6583">
        <v>1</v>
      </c>
      <c r="H6583">
        <v>1</v>
      </c>
      <c r="I6583">
        <f>1</f>
        <v>1</v>
      </c>
    </row>
    <row r="6584" spans="2:9" x14ac:dyDescent="0.25">
      <c r="B6584">
        <v>0</v>
      </c>
      <c r="C6584" s="16" t="s">
        <v>15750</v>
      </c>
      <c r="D6584" s="16"/>
      <c r="E6584">
        <v>6</v>
      </c>
      <c r="F6584" t="s">
        <v>7571</v>
      </c>
      <c r="G6584">
        <v>1</v>
      </c>
      <c r="H6584">
        <v>1</v>
      </c>
      <c r="I6584">
        <f>1</f>
        <v>1</v>
      </c>
    </row>
    <row r="6585" spans="2:9" x14ac:dyDescent="0.25">
      <c r="B6585">
        <v>0</v>
      </c>
      <c r="C6585" s="16" t="s">
        <v>15751</v>
      </c>
      <c r="D6585" s="16"/>
      <c r="E6585">
        <v>6</v>
      </c>
      <c r="F6585" t="s">
        <v>4680</v>
      </c>
      <c r="G6585">
        <v>1</v>
      </c>
      <c r="H6585">
        <v>1</v>
      </c>
      <c r="I6585">
        <f>1</f>
        <v>1</v>
      </c>
    </row>
    <row r="6586" spans="2:9" x14ac:dyDescent="0.25">
      <c r="B6586">
        <v>0</v>
      </c>
      <c r="C6586" s="16" t="s">
        <v>15752</v>
      </c>
      <c r="D6586" s="16"/>
      <c r="E6586">
        <v>6</v>
      </c>
      <c r="F6586" t="e">
        <f>-Com parte superior De matérias têxteis</f>
        <v>#NAME?</v>
      </c>
      <c r="G6586">
        <v>1</v>
      </c>
      <c r="H6586">
        <v>1</v>
      </c>
      <c r="I6586">
        <f>1</f>
        <v>1</v>
      </c>
    </row>
    <row r="6587" spans="2:9" x14ac:dyDescent="0.25">
      <c r="B6587">
        <v>0</v>
      </c>
      <c r="C6587" s="16" t="s">
        <v>15753</v>
      </c>
      <c r="D6587" s="16"/>
      <c r="E6587">
        <v>6</v>
      </c>
      <c r="F6587" t="e">
        <f>-outros</f>
        <v>#NAME?</v>
      </c>
      <c r="G6587">
        <v>1</v>
      </c>
      <c r="H6587">
        <v>1</v>
      </c>
      <c r="I6587">
        <f>1</f>
        <v>1</v>
      </c>
    </row>
    <row r="6588" spans="2:9" x14ac:dyDescent="0.25">
      <c r="B6588">
        <v>0</v>
      </c>
      <c r="C6588" s="16" t="s">
        <v>15754</v>
      </c>
      <c r="D6588" s="16"/>
      <c r="E6588">
        <v>6</v>
      </c>
      <c r="F6588" t="s">
        <v>7572</v>
      </c>
      <c r="G6588">
        <v>1</v>
      </c>
      <c r="H6588">
        <v>1</v>
      </c>
      <c r="I6588">
        <f>1</f>
        <v>1</v>
      </c>
    </row>
    <row r="6589" spans="2:9" x14ac:dyDescent="0.25">
      <c r="B6589">
        <v>0</v>
      </c>
      <c r="C6589" s="16" t="s">
        <v>15755</v>
      </c>
      <c r="D6589" s="16"/>
      <c r="E6589">
        <v>6</v>
      </c>
      <c r="F6589" t="s">
        <v>7573</v>
      </c>
      <c r="G6589">
        <v>1</v>
      </c>
      <c r="H6589">
        <v>1</v>
      </c>
      <c r="I6589">
        <f>1</f>
        <v>1</v>
      </c>
    </row>
    <row r="6590" spans="2:9" x14ac:dyDescent="0.25">
      <c r="B6590">
        <v>0</v>
      </c>
      <c r="C6590" s="16" t="s">
        <v>15756</v>
      </c>
      <c r="D6590" s="16"/>
      <c r="E6590">
        <v>6</v>
      </c>
      <c r="F6590" t="s">
        <v>7574</v>
      </c>
      <c r="G6590">
        <v>1</v>
      </c>
      <c r="H6590">
        <v>1</v>
      </c>
      <c r="I6590">
        <f>1</f>
        <v>1</v>
      </c>
    </row>
    <row r="6591" spans="2:9" x14ac:dyDescent="0.25">
      <c r="B6591">
        <v>0</v>
      </c>
      <c r="C6591" s="16" t="s">
        <v>15757</v>
      </c>
      <c r="D6591" s="16"/>
      <c r="E6591">
        <v>6</v>
      </c>
      <c r="F6591" t="s">
        <v>7575</v>
      </c>
      <c r="G6591">
        <v>1</v>
      </c>
      <c r="H6591">
        <v>1</v>
      </c>
      <c r="I6591">
        <f>1</f>
        <v>1</v>
      </c>
    </row>
    <row r="6592" spans="2:9" x14ac:dyDescent="0.25">
      <c r="B6592">
        <v>0</v>
      </c>
      <c r="C6592" s="16" t="s">
        <v>15758</v>
      </c>
      <c r="D6592" s="16"/>
      <c r="E6592">
        <v>6</v>
      </c>
      <c r="F6592" t="s">
        <v>4690</v>
      </c>
      <c r="G6592">
        <v>1</v>
      </c>
      <c r="H6592">
        <v>1</v>
      </c>
      <c r="I6592">
        <f>1</f>
        <v>1</v>
      </c>
    </row>
    <row r="6593" spans="2:9" x14ac:dyDescent="0.25">
      <c r="B6593">
        <v>0</v>
      </c>
      <c r="C6593" s="16" t="s">
        <v>15759</v>
      </c>
      <c r="D6593" s="16"/>
      <c r="E6593">
        <v>6</v>
      </c>
      <c r="F6593" t="s">
        <v>7576</v>
      </c>
      <c r="G6593">
        <v>1</v>
      </c>
      <c r="H6593">
        <v>1</v>
      </c>
      <c r="I6593">
        <f>1</f>
        <v>1</v>
      </c>
    </row>
    <row r="6594" spans="2:9" x14ac:dyDescent="0.25">
      <c r="B6594">
        <v>0</v>
      </c>
      <c r="C6594" s="16" t="s">
        <v>15760</v>
      </c>
      <c r="D6594" s="16"/>
      <c r="E6594">
        <v>6</v>
      </c>
      <c r="F6594" t="s">
        <v>7577</v>
      </c>
      <c r="G6594">
        <v>1</v>
      </c>
      <c r="H6594">
        <v>1</v>
      </c>
      <c r="I6594">
        <f>1</f>
        <v>1</v>
      </c>
    </row>
    <row r="6595" spans="2:9" x14ac:dyDescent="0.25">
      <c r="B6595">
        <v>0</v>
      </c>
      <c r="C6595" s="16" t="s">
        <v>15761</v>
      </c>
      <c r="D6595" s="16"/>
      <c r="E6595">
        <v>6</v>
      </c>
      <c r="F6595" t="s">
        <v>4680</v>
      </c>
      <c r="G6595">
        <v>1</v>
      </c>
      <c r="H6595">
        <v>1</v>
      </c>
      <c r="I6595">
        <f>1</f>
        <v>1</v>
      </c>
    </row>
    <row r="6596" spans="2:9" x14ac:dyDescent="0.25">
      <c r="B6596">
        <v>0</v>
      </c>
      <c r="C6596" s="16" t="s">
        <v>15762</v>
      </c>
      <c r="D6596" s="16"/>
      <c r="E6596">
        <v>6</v>
      </c>
      <c r="F6596" t="s">
        <v>7577</v>
      </c>
      <c r="G6596">
        <v>1</v>
      </c>
      <c r="H6596">
        <v>1</v>
      </c>
      <c r="I6596">
        <f>1</f>
        <v>1</v>
      </c>
    </row>
    <row r="6597" spans="2:9" x14ac:dyDescent="0.25">
      <c r="B6597">
        <v>0</v>
      </c>
      <c r="C6597" s="16" t="s">
        <v>15763</v>
      </c>
      <c r="D6597" s="16"/>
      <c r="E6597">
        <v>6</v>
      </c>
      <c r="F6597" t="s">
        <v>4680</v>
      </c>
      <c r="G6597">
        <v>1</v>
      </c>
      <c r="H6597">
        <v>1</v>
      </c>
      <c r="I6597">
        <f>1</f>
        <v>1</v>
      </c>
    </row>
    <row r="6598" spans="2:9" x14ac:dyDescent="0.25">
      <c r="B6598">
        <v>0</v>
      </c>
      <c r="C6598" s="16" t="s">
        <v>15764</v>
      </c>
      <c r="D6598" s="16"/>
      <c r="E6598">
        <v>6</v>
      </c>
      <c r="F6598" t="s">
        <v>7494</v>
      </c>
      <c r="G6598">
        <v>1</v>
      </c>
      <c r="H6598">
        <v>1</v>
      </c>
      <c r="I6598">
        <f>1</f>
        <v>1</v>
      </c>
    </row>
    <row r="6599" spans="2:9" x14ac:dyDescent="0.25">
      <c r="B6599">
        <v>0</v>
      </c>
      <c r="C6599" s="16" t="s">
        <v>15765</v>
      </c>
      <c r="D6599" s="16"/>
      <c r="E6599">
        <v>6</v>
      </c>
      <c r="F6599" t="s">
        <v>7507</v>
      </c>
      <c r="G6599">
        <v>1</v>
      </c>
      <c r="H6599">
        <v>1</v>
      </c>
      <c r="I6599">
        <f>1</f>
        <v>1</v>
      </c>
    </row>
    <row r="6600" spans="2:9" x14ac:dyDescent="0.25">
      <c r="B6600">
        <v>0</v>
      </c>
      <c r="C6600" s="16" t="s">
        <v>15766</v>
      </c>
      <c r="D6600" s="16"/>
      <c r="E6600">
        <v>6</v>
      </c>
      <c r="F6600" t="s">
        <v>7508</v>
      </c>
      <c r="G6600">
        <v>1</v>
      </c>
      <c r="H6600">
        <v>1</v>
      </c>
      <c r="I6600">
        <f>1</f>
        <v>1</v>
      </c>
    </row>
    <row r="6601" spans="2:9" x14ac:dyDescent="0.25">
      <c r="B6601">
        <v>0</v>
      </c>
      <c r="C6601" s="16" t="s">
        <v>15767</v>
      </c>
      <c r="D6601" s="16"/>
      <c r="E6601">
        <v>6</v>
      </c>
      <c r="F6601" t="s">
        <v>7494</v>
      </c>
      <c r="G6601">
        <v>1</v>
      </c>
      <c r="H6601">
        <v>1</v>
      </c>
      <c r="I6601">
        <f>1</f>
        <v>1</v>
      </c>
    </row>
    <row r="6602" spans="2:9" x14ac:dyDescent="0.25">
      <c r="B6602">
        <v>0</v>
      </c>
      <c r="C6602" s="16" t="s">
        <v>15768</v>
      </c>
      <c r="D6602" s="16"/>
      <c r="E6602">
        <v>6</v>
      </c>
      <c r="F6602" t="s">
        <v>7507</v>
      </c>
      <c r="G6602">
        <v>1</v>
      </c>
      <c r="H6602">
        <v>1</v>
      </c>
      <c r="I6602">
        <f>1</f>
        <v>1</v>
      </c>
    </row>
    <row r="6603" spans="2:9" x14ac:dyDescent="0.25">
      <c r="B6603">
        <v>0</v>
      </c>
      <c r="C6603" s="16" t="s">
        <v>15769</v>
      </c>
      <c r="D6603" s="16"/>
      <c r="E6603">
        <v>6</v>
      </c>
      <c r="F6603" t="s">
        <v>7508</v>
      </c>
      <c r="G6603">
        <v>1</v>
      </c>
      <c r="H6603">
        <v>1</v>
      </c>
      <c r="I6603">
        <f>1</f>
        <v>1</v>
      </c>
    </row>
    <row r="6604" spans="2:9" x14ac:dyDescent="0.25">
      <c r="B6604">
        <v>0</v>
      </c>
      <c r="C6604" s="16" t="s">
        <v>15770</v>
      </c>
      <c r="D6604" s="16"/>
      <c r="E6604">
        <v>6</v>
      </c>
      <c r="F6604" t="s">
        <v>7494</v>
      </c>
      <c r="G6604">
        <v>1</v>
      </c>
      <c r="H6604">
        <v>1</v>
      </c>
      <c r="I6604">
        <f>1</f>
        <v>1</v>
      </c>
    </row>
    <row r="6605" spans="2:9" x14ac:dyDescent="0.25">
      <c r="B6605">
        <v>0</v>
      </c>
      <c r="C6605" s="16" t="s">
        <v>15771</v>
      </c>
      <c r="D6605" s="16"/>
      <c r="E6605">
        <v>6</v>
      </c>
      <c r="F6605" t="s">
        <v>7507</v>
      </c>
      <c r="G6605">
        <v>1</v>
      </c>
      <c r="H6605">
        <v>1</v>
      </c>
      <c r="I6605">
        <f>1</f>
        <v>1</v>
      </c>
    </row>
    <row r="6606" spans="2:9" x14ac:dyDescent="0.25">
      <c r="B6606">
        <v>0</v>
      </c>
      <c r="C6606" s="16" t="s">
        <v>15772</v>
      </c>
      <c r="D6606" s="16"/>
      <c r="E6606">
        <v>6</v>
      </c>
      <c r="F6606" t="s">
        <v>7508</v>
      </c>
      <c r="G6606">
        <v>1</v>
      </c>
      <c r="H6606">
        <v>1</v>
      </c>
      <c r="I6606">
        <f>1</f>
        <v>1</v>
      </c>
    </row>
    <row r="6607" spans="2:9" x14ac:dyDescent="0.25">
      <c r="B6607">
        <v>0</v>
      </c>
      <c r="C6607" s="16" t="s">
        <v>15773</v>
      </c>
      <c r="D6607" s="16"/>
      <c r="E6607">
        <v>6</v>
      </c>
      <c r="F6607" t="s">
        <v>4680</v>
      </c>
      <c r="G6607">
        <v>1</v>
      </c>
      <c r="H6607">
        <v>1</v>
      </c>
      <c r="I6607">
        <f>1</f>
        <v>1</v>
      </c>
    </row>
    <row r="6608" spans="2:9" x14ac:dyDescent="0.25">
      <c r="B6608">
        <v>0</v>
      </c>
      <c r="C6608" s="16" t="s">
        <v>15774</v>
      </c>
      <c r="D6608" s="16"/>
      <c r="E6608">
        <v>6</v>
      </c>
      <c r="F6608" t="s">
        <v>7578</v>
      </c>
      <c r="G6608">
        <v>1</v>
      </c>
      <c r="H6608">
        <v>1</v>
      </c>
      <c r="I6608">
        <f>1</f>
        <v>1</v>
      </c>
    </row>
    <row r="6609" spans="2:9" x14ac:dyDescent="0.25">
      <c r="B6609">
        <v>0</v>
      </c>
      <c r="C6609" s="16" t="s">
        <v>15775</v>
      </c>
      <c r="D6609" s="16"/>
      <c r="E6609">
        <v>6</v>
      </c>
      <c r="F6609" t="e">
        <f>--De borracha ou De plástico</f>
        <v>#NAME?</v>
      </c>
      <c r="G6609">
        <v>1</v>
      </c>
      <c r="H6609">
        <v>1</v>
      </c>
      <c r="I6609">
        <f>1</f>
        <v>1</v>
      </c>
    </row>
    <row r="6610" spans="2:9" x14ac:dyDescent="0.25">
      <c r="B6610">
        <v>0</v>
      </c>
      <c r="C6610" s="16" t="s">
        <v>15776</v>
      </c>
      <c r="D6610" s="16"/>
      <c r="E6610">
        <v>6</v>
      </c>
      <c r="F6610" t="e">
        <f>--De Outras matérias</f>
        <v>#NAME?</v>
      </c>
      <c r="G6610">
        <v>1</v>
      </c>
      <c r="H6610">
        <v>1</v>
      </c>
      <c r="I6610">
        <f>1</f>
        <v>1</v>
      </c>
    </row>
    <row r="6611" spans="2:9" x14ac:dyDescent="0.25">
      <c r="B6611">
        <v>0</v>
      </c>
      <c r="C6611" s="16" t="s">
        <v>15777</v>
      </c>
      <c r="D6611" s="16"/>
      <c r="E6611">
        <v>6</v>
      </c>
      <c r="F6611" t="s">
        <v>7579</v>
      </c>
      <c r="G6611">
        <v>1</v>
      </c>
      <c r="H6611">
        <v>1</v>
      </c>
      <c r="I6611">
        <f>1</f>
        <v>1</v>
      </c>
    </row>
    <row r="6612" spans="2:9" x14ac:dyDescent="0.25">
      <c r="B6612">
        <v>0</v>
      </c>
      <c r="C6612" s="16" t="s">
        <v>15778</v>
      </c>
      <c r="D6612" s="16"/>
      <c r="E6612">
        <v>6</v>
      </c>
      <c r="F6612" t="e">
        <f>-Guarda-sóis De jardim e artefatos semelhantes</f>
        <v>#NAME?</v>
      </c>
      <c r="G6612">
        <v>1</v>
      </c>
      <c r="H6612">
        <v>1</v>
      </c>
      <c r="I6612">
        <f>1</f>
        <v>1</v>
      </c>
    </row>
    <row r="6613" spans="2:9" x14ac:dyDescent="0.25">
      <c r="B6613">
        <v>0</v>
      </c>
      <c r="C6613" s="16" t="s">
        <v>15779</v>
      </c>
      <c r="D6613" s="16"/>
      <c r="E6613">
        <v>6</v>
      </c>
      <c r="F6613" t="s">
        <v>7580</v>
      </c>
      <c r="G6613">
        <v>1</v>
      </c>
      <c r="H6613">
        <v>1</v>
      </c>
      <c r="I6613">
        <f>1</f>
        <v>1</v>
      </c>
    </row>
    <row r="6614" spans="2:9" x14ac:dyDescent="0.25">
      <c r="B6614">
        <v>0</v>
      </c>
      <c r="C6614" s="16" t="s">
        <v>15780</v>
      </c>
      <c r="D6614" s="16"/>
      <c r="E6614">
        <v>6</v>
      </c>
      <c r="F6614" t="s">
        <v>4680</v>
      </c>
      <c r="G6614">
        <v>1</v>
      </c>
      <c r="H6614">
        <v>1</v>
      </c>
      <c r="I6614">
        <f>1</f>
        <v>1</v>
      </c>
    </row>
    <row r="6615" spans="2:9" x14ac:dyDescent="0.25">
      <c r="B6615">
        <v>0</v>
      </c>
      <c r="C6615" s="16" t="s">
        <v>15781</v>
      </c>
      <c r="D6615" s="16"/>
      <c r="E6615">
        <v>6</v>
      </c>
      <c r="F6615" t="e">
        <f>--outros</f>
        <v>#NAME?</v>
      </c>
      <c r="G6615">
        <v>1</v>
      </c>
      <c r="H6615">
        <v>1</v>
      </c>
      <c r="I6615">
        <f>1</f>
        <v>1</v>
      </c>
    </row>
    <row r="6616" spans="2:9" x14ac:dyDescent="0.25">
      <c r="B6616">
        <v>0</v>
      </c>
      <c r="C6616" s="16" t="s">
        <v>15782</v>
      </c>
      <c r="D6616" s="16"/>
      <c r="E6616">
        <v>6</v>
      </c>
      <c r="F6616" t="s">
        <v>7581</v>
      </c>
      <c r="G6616">
        <v>1</v>
      </c>
      <c r="H6616">
        <v>1</v>
      </c>
      <c r="I6616">
        <f>1</f>
        <v>1</v>
      </c>
    </row>
    <row r="6617" spans="2:9" x14ac:dyDescent="0.25">
      <c r="B6617">
        <v>0</v>
      </c>
      <c r="C6617" s="16" t="s">
        <v>15783</v>
      </c>
      <c r="D6617" s="16"/>
      <c r="E6617">
        <v>6</v>
      </c>
      <c r="F6617" t="s">
        <v>7582</v>
      </c>
      <c r="G6617">
        <v>1</v>
      </c>
      <c r="H6617">
        <v>1</v>
      </c>
      <c r="I6617">
        <f>1</f>
        <v>1</v>
      </c>
    </row>
    <row r="6618" spans="2:9" x14ac:dyDescent="0.25">
      <c r="B6618">
        <v>0</v>
      </c>
      <c r="C6618" s="16" t="s">
        <v>15784</v>
      </c>
      <c r="D6618" s="16"/>
      <c r="E6618">
        <v>6</v>
      </c>
      <c r="F6618" t="e">
        <f>-outros</f>
        <v>#NAME?</v>
      </c>
      <c r="G6618">
        <v>1</v>
      </c>
      <c r="H6618">
        <v>1</v>
      </c>
      <c r="I6618">
        <f>1</f>
        <v>1</v>
      </c>
    </row>
    <row r="6619" spans="2:9" x14ac:dyDescent="0.25">
      <c r="B6619">
        <v>0</v>
      </c>
      <c r="C6619" s="16" t="s">
        <v>15785</v>
      </c>
      <c r="D6619" s="16"/>
      <c r="E6619">
        <v>6</v>
      </c>
      <c r="F6619" t="s">
        <v>7583</v>
      </c>
      <c r="G6619">
        <v>1</v>
      </c>
      <c r="H6619">
        <v>1</v>
      </c>
      <c r="I6619">
        <f>1</f>
        <v>1</v>
      </c>
    </row>
    <row r="6620" spans="2:9" x14ac:dyDescent="0.25">
      <c r="B6620">
        <v>0</v>
      </c>
      <c r="C6620" s="16" t="s">
        <v>15785</v>
      </c>
      <c r="D6620" s="16" t="s">
        <v>19430</v>
      </c>
      <c r="E6620">
        <v>6</v>
      </c>
      <c r="F6620" t="s">
        <v>7584</v>
      </c>
      <c r="G6620">
        <v>1</v>
      </c>
      <c r="H6620">
        <v>1</v>
      </c>
      <c r="I6620">
        <f>1</f>
        <v>1</v>
      </c>
    </row>
    <row r="6621" spans="2:9" x14ac:dyDescent="0.25">
      <c r="B6621">
        <v>0</v>
      </c>
      <c r="C6621" s="16" t="s">
        <v>15785</v>
      </c>
      <c r="D6621" s="16" t="s">
        <v>19431</v>
      </c>
      <c r="E6621">
        <v>6</v>
      </c>
      <c r="F6621" t="s">
        <v>7585</v>
      </c>
      <c r="G6621">
        <v>1</v>
      </c>
      <c r="H6621">
        <v>1</v>
      </c>
      <c r="I6621">
        <f>1</f>
        <v>1</v>
      </c>
    </row>
    <row r="6622" spans="2:9" x14ac:dyDescent="0.25">
      <c r="B6622">
        <v>0</v>
      </c>
      <c r="C6622" s="16" t="s">
        <v>15785</v>
      </c>
      <c r="D6622" s="16" t="s">
        <v>19432</v>
      </c>
      <c r="E6622">
        <v>6</v>
      </c>
      <c r="F6622" t="s">
        <v>7586</v>
      </c>
      <c r="G6622">
        <v>1</v>
      </c>
      <c r="H6622">
        <v>1</v>
      </c>
      <c r="I6622">
        <f>1</f>
        <v>1</v>
      </c>
    </row>
    <row r="6623" spans="2:9" x14ac:dyDescent="0.25">
      <c r="B6623">
        <v>0</v>
      </c>
      <c r="C6623" s="16" t="s">
        <v>15786</v>
      </c>
      <c r="D6623" s="16"/>
      <c r="E6623">
        <v>6</v>
      </c>
      <c r="F6623" t="e">
        <f>-De plásticos</f>
        <v>#NAME?</v>
      </c>
      <c r="G6623">
        <v>1</v>
      </c>
      <c r="H6623">
        <v>1</v>
      </c>
      <c r="I6623">
        <f>1</f>
        <v>1</v>
      </c>
    </row>
    <row r="6624" spans="2:9" x14ac:dyDescent="0.25">
      <c r="B6624">
        <v>0</v>
      </c>
      <c r="C6624" s="16" t="s">
        <v>15787</v>
      </c>
      <c r="D6624" s="16"/>
      <c r="E6624">
        <v>6</v>
      </c>
      <c r="F6624" t="e">
        <f>-De Outras matérias</f>
        <v>#NAME?</v>
      </c>
      <c r="G6624">
        <v>1</v>
      </c>
      <c r="H6624">
        <v>1</v>
      </c>
      <c r="I6624">
        <f>1</f>
        <v>1</v>
      </c>
    </row>
    <row r="6625" spans="2:9" x14ac:dyDescent="0.25">
      <c r="B6625">
        <v>0</v>
      </c>
      <c r="C6625" s="16" t="s">
        <v>15788</v>
      </c>
      <c r="D6625" s="16"/>
      <c r="E6625">
        <v>6</v>
      </c>
      <c r="F6625" t="s">
        <v>7587</v>
      </c>
      <c r="G6625">
        <v>1</v>
      </c>
      <c r="H6625">
        <v>1</v>
      </c>
      <c r="I6625">
        <f>1</f>
        <v>1</v>
      </c>
    </row>
    <row r="6626" spans="2:9" x14ac:dyDescent="0.25">
      <c r="B6626">
        <v>0</v>
      </c>
      <c r="C6626" s="16" t="s">
        <v>15789</v>
      </c>
      <c r="D6626" s="16"/>
      <c r="E6626">
        <v>6</v>
      </c>
      <c r="F6626" t="e">
        <f>--Perucas completas</f>
        <v>#NAME?</v>
      </c>
      <c r="G6626">
        <v>1</v>
      </c>
      <c r="H6626">
        <v>1</v>
      </c>
      <c r="I6626">
        <f>1</f>
        <v>1</v>
      </c>
    </row>
    <row r="6627" spans="2:9" x14ac:dyDescent="0.25">
      <c r="B6627">
        <v>0</v>
      </c>
      <c r="C6627" s="16" t="s">
        <v>15790</v>
      </c>
      <c r="D6627" s="16"/>
      <c r="E6627">
        <v>6</v>
      </c>
      <c r="F6627" t="e">
        <f>--outros</f>
        <v>#NAME?</v>
      </c>
      <c r="G6627">
        <v>1</v>
      </c>
      <c r="H6627">
        <v>1</v>
      </c>
      <c r="I6627">
        <f>1</f>
        <v>1</v>
      </c>
    </row>
    <row r="6628" spans="2:9" x14ac:dyDescent="0.25">
      <c r="B6628">
        <v>0</v>
      </c>
      <c r="C6628" s="16" t="s">
        <v>15791</v>
      </c>
      <c r="D6628" s="16"/>
      <c r="E6628">
        <v>6</v>
      </c>
      <c r="F6628" t="e">
        <f>-De cabelo</f>
        <v>#NAME?</v>
      </c>
      <c r="G6628">
        <v>1</v>
      </c>
      <c r="H6628">
        <v>1</v>
      </c>
      <c r="I6628">
        <f>1</f>
        <v>1</v>
      </c>
    </row>
    <row r="6629" spans="2:9" x14ac:dyDescent="0.25">
      <c r="B6629">
        <v>0</v>
      </c>
      <c r="C6629" s="16" t="s">
        <v>15792</v>
      </c>
      <c r="D6629" s="16"/>
      <c r="E6629">
        <v>6</v>
      </c>
      <c r="F6629" t="e">
        <f>-De Outras matérias</f>
        <v>#NAME?</v>
      </c>
      <c r="G6629">
        <v>1</v>
      </c>
      <c r="H6629">
        <v>1</v>
      </c>
      <c r="I6629">
        <f>1</f>
        <v>1</v>
      </c>
    </row>
    <row r="6630" spans="2:9" x14ac:dyDescent="0.25">
      <c r="B6630">
        <v>0</v>
      </c>
      <c r="C6630" s="16" t="s">
        <v>15793</v>
      </c>
      <c r="D6630" s="16"/>
      <c r="E6630">
        <v>6</v>
      </c>
      <c r="F6630" t="s">
        <v>7588</v>
      </c>
      <c r="G6630">
        <v>1</v>
      </c>
      <c r="H6630">
        <v>1</v>
      </c>
      <c r="I6630">
        <f>1</f>
        <v>1</v>
      </c>
    </row>
    <row r="6631" spans="2:9" x14ac:dyDescent="0.25">
      <c r="B6631">
        <v>0</v>
      </c>
      <c r="C6631" s="16" t="s">
        <v>15794</v>
      </c>
      <c r="D6631" s="16"/>
      <c r="E6631">
        <v>6</v>
      </c>
      <c r="F6631" t="s">
        <v>7589</v>
      </c>
      <c r="G6631">
        <v>1</v>
      </c>
      <c r="H6631">
        <v>1</v>
      </c>
      <c r="I6631">
        <f>1</f>
        <v>1</v>
      </c>
    </row>
    <row r="6632" spans="2:9" x14ac:dyDescent="0.25">
      <c r="B6632">
        <v>0</v>
      </c>
      <c r="C6632" s="16" t="s">
        <v>15795</v>
      </c>
      <c r="D6632" s="16"/>
      <c r="E6632">
        <v>6</v>
      </c>
      <c r="F6632" t="s">
        <v>7590</v>
      </c>
      <c r="G6632">
        <v>1</v>
      </c>
      <c r="H6632">
        <v>1</v>
      </c>
      <c r="I6632">
        <f>1</f>
        <v>1</v>
      </c>
    </row>
    <row r="6633" spans="2:9" x14ac:dyDescent="0.25">
      <c r="B6633">
        <v>0</v>
      </c>
      <c r="C6633" s="16" t="s">
        <v>15796</v>
      </c>
      <c r="D6633" s="16"/>
      <c r="E6633">
        <v>6</v>
      </c>
      <c r="F6633" t="e">
        <f>--Granito</f>
        <v>#NAME?</v>
      </c>
      <c r="G6633">
        <v>1</v>
      </c>
      <c r="H6633">
        <v>1</v>
      </c>
      <c r="I6633">
        <f>1</f>
        <v>1</v>
      </c>
    </row>
    <row r="6634" spans="2:9" x14ac:dyDescent="0.25">
      <c r="B6634">
        <v>0</v>
      </c>
      <c r="C6634" s="16" t="s">
        <v>15797</v>
      </c>
      <c r="D6634" s="16"/>
      <c r="E6634">
        <v>6</v>
      </c>
      <c r="F6634" t="e">
        <f>--Outras pedras</f>
        <v>#NAME?</v>
      </c>
      <c r="G6634">
        <v>1</v>
      </c>
      <c r="H6634">
        <v>1</v>
      </c>
      <c r="I6634">
        <f>1</f>
        <v>1</v>
      </c>
    </row>
    <row r="6635" spans="2:9" x14ac:dyDescent="0.25">
      <c r="B6635">
        <v>0</v>
      </c>
      <c r="C6635" s="16" t="s">
        <v>15798</v>
      </c>
      <c r="D6635" s="16"/>
      <c r="E6635">
        <v>6</v>
      </c>
      <c r="F6635" t="s">
        <v>7590</v>
      </c>
      <c r="G6635">
        <v>1</v>
      </c>
      <c r="H6635">
        <v>1</v>
      </c>
      <c r="I6635">
        <f>1</f>
        <v>1</v>
      </c>
    </row>
    <row r="6636" spans="2:9" x14ac:dyDescent="0.25">
      <c r="B6636">
        <v>0</v>
      </c>
      <c r="C6636" s="16" t="s">
        <v>15799</v>
      </c>
      <c r="D6636" s="16"/>
      <c r="E6636">
        <v>6</v>
      </c>
      <c r="F6636" t="e">
        <f>--Outras pedras calcárias</f>
        <v>#NAME?</v>
      </c>
      <c r="G6636">
        <v>1</v>
      </c>
      <c r="H6636">
        <v>1</v>
      </c>
      <c r="I6636">
        <f>1</f>
        <v>1</v>
      </c>
    </row>
    <row r="6637" spans="2:9" x14ac:dyDescent="0.25">
      <c r="B6637">
        <v>0</v>
      </c>
      <c r="C6637" s="16" t="s">
        <v>15800</v>
      </c>
      <c r="D6637" s="16"/>
      <c r="E6637">
        <v>6</v>
      </c>
      <c r="F6637" t="s">
        <v>7591</v>
      </c>
      <c r="G6637">
        <v>1</v>
      </c>
      <c r="H6637">
        <v>1</v>
      </c>
      <c r="I6637">
        <f>1</f>
        <v>1</v>
      </c>
    </row>
    <row r="6638" spans="2:9" x14ac:dyDescent="0.25">
      <c r="B6638">
        <v>0</v>
      </c>
      <c r="C6638" s="16" t="s">
        <v>15801</v>
      </c>
      <c r="D6638" s="16"/>
      <c r="E6638">
        <v>6</v>
      </c>
      <c r="F6638" t="s">
        <v>4680</v>
      </c>
      <c r="G6638">
        <v>1</v>
      </c>
      <c r="H6638">
        <v>1</v>
      </c>
      <c r="I6638">
        <f>1</f>
        <v>1</v>
      </c>
    </row>
    <row r="6639" spans="2:9" x14ac:dyDescent="0.25">
      <c r="B6639">
        <v>0</v>
      </c>
      <c r="C6639" s="16" t="s">
        <v>15802</v>
      </c>
      <c r="D6639" s="16"/>
      <c r="E6639">
        <v>6</v>
      </c>
      <c r="F6639" t="s">
        <v>7591</v>
      </c>
      <c r="G6639">
        <v>1</v>
      </c>
      <c r="H6639">
        <v>1</v>
      </c>
      <c r="I6639">
        <f>1</f>
        <v>1</v>
      </c>
    </row>
    <row r="6640" spans="2:9" x14ac:dyDescent="0.25">
      <c r="B6640">
        <v>0</v>
      </c>
      <c r="C6640" s="16" t="s">
        <v>15803</v>
      </c>
      <c r="D6640" s="16"/>
      <c r="E6640">
        <v>6</v>
      </c>
      <c r="F6640" t="s">
        <v>4690</v>
      </c>
      <c r="G6640">
        <v>1</v>
      </c>
      <c r="H6640">
        <v>1</v>
      </c>
      <c r="I6640">
        <f>1</f>
        <v>1</v>
      </c>
    </row>
    <row r="6641" spans="2:9" x14ac:dyDescent="0.25">
      <c r="B6641">
        <v>0</v>
      </c>
      <c r="C6641" s="16" t="s">
        <v>15804</v>
      </c>
      <c r="D6641" s="16"/>
      <c r="E6641">
        <v>6</v>
      </c>
      <c r="F6641" t="s">
        <v>7592</v>
      </c>
      <c r="G6641">
        <v>1</v>
      </c>
      <c r="H6641">
        <v>1</v>
      </c>
      <c r="I6641">
        <f>1</f>
        <v>1</v>
      </c>
    </row>
    <row r="6642" spans="2:9" x14ac:dyDescent="0.25">
      <c r="B6642">
        <v>0</v>
      </c>
      <c r="C6642" s="16" t="s">
        <v>15805</v>
      </c>
      <c r="D6642" s="16"/>
      <c r="E6642">
        <v>6</v>
      </c>
      <c r="F6642" t="e">
        <f>-Mós para moer ou desfibrar</f>
        <v>#NAME?</v>
      </c>
      <c r="G6642">
        <v>1</v>
      </c>
      <c r="H6642">
        <v>1</v>
      </c>
      <c r="I6642">
        <f>1</f>
        <v>1</v>
      </c>
    </row>
    <row r="6643" spans="2:9" x14ac:dyDescent="0.25">
      <c r="B6643">
        <v>0</v>
      </c>
      <c r="C6643" s="16" t="s">
        <v>15806</v>
      </c>
      <c r="D6643" s="16"/>
      <c r="E6643">
        <v>6</v>
      </c>
      <c r="F6643" t="s">
        <v>7593</v>
      </c>
      <c r="G6643">
        <v>1</v>
      </c>
      <c r="H6643">
        <v>1</v>
      </c>
      <c r="I6643">
        <f>1</f>
        <v>1</v>
      </c>
    </row>
    <row r="6644" spans="2:9" x14ac:dyDescent="0.25">
      <c r="B6644">
        <v>0</v>
      </c>
      <c r="C6644" s="16" t="s">
        <v>15807</v>
      </c>
      <c r="D6644" s="16"/>
      <c r="E6644">
        <v>6</v>
      </c>
      <c r="F6644" t="s">
        <v>4680</v>
      </c>
      <c r="G6644">
        <v>1</v>
      </c>
      <c r="H6644">
        <v>1</v>
      </c>
      <c r="I6644">
        <f>1</f>
        <v>1</v>
      </c>
    </row>
    <row r="6645" spans="2:9" x14ac:dyDescent="0.25">
      <c r="B6645">
        <v>0</v>
      </c>
      <c r="C6645" s="16" t="s">
        <v>15808</v>
      </c>
      <c r="D6645" s="16"/>
      <c r="E6645">
        <v>6</v>
      </c>
      <c r="F6645" t="s">
        <v>4680</v>
      </c>
      <c r="G6645">
        <v>1</v>
      </c>
      <c r="H6645">
        <v>1</v>
      </c>
      <c r="I6645">
        <f>1</f>
        <v>1</v>
      </c>
    </row>
    <row r="6646" spans="2:9" x14ac:dyDescent="0.25">
      <c r="B6646">
        <v>0</v>
      </c>
      <c r="C6646" s="16" t="s">
        <v>15809</v>
      </c>
      <c r="D6646" s="16"/>
      <c r="E6646">
        <v>6</v>
      </c>
      <c r="F6646" t="s">
        <v>7593</v>
      </c>
      <c r="G6646">
        <v>1</v>
      </c>
      <c r="H6646">
        <v>1</v>
      </c>
      <c r="I6646">
        <f>1</f>
        <v>1</v>
      </c>
    </row>
    <row r="6647" spans="2:9" x14ac:dyDescent="0.25">
      <c r="B6647">
        <v>0</v>
      </c>
      <c r="C6647" s="16" t="s">
        <v>15810</v>
      </c>
      <c r="D6647" s="16"/>
      <c r="E6647">
        <v>6</v>
      </c>
      <c r="F6647" t="s">
        <v>4680</v>
      </c>
      <c r="G6647">
        <v>1</v>
      </c>
      <c r="H6647">
        <v>1</v>
      </c>
      <c r="I6647">
        <f>1</f>
        <v>1</v>
      </c>
    </row>
    <row r="6648" spans="2:9" x14ac:dyDescent="0.25">
      <c r="B6648">
        <v>0</v>
      </c>
      <c r="C6648" s="16" t="s">
        <v>15811</v>
      </c>
      <c r="D6648" s="16"/>
      <c r="E6648">
        <v>6</v>
      </c>
      <c r="F6648" t="s">
        <v>4680</v>
      </c>
      <c r="G6648">
        <v>1</v>
      </c>
      <c r="H6648">
        <v>1</v>
      </c>
      <c r="I6648">
        <f>1</f>
        <v>1</v>
      </c>
    </row>
    <row r="6649" spans="2:9" x14ac:dyDescent="0.25">
      <c r="B6649">
        <v>0</v>
      </c>
      <c r="C6649" s="16" t="s">
        <v>15812</v>
      </c>
      <c r="D6649" s="16"/>
      <c r="E6649">
        <v>6</v>
      </c>
      <c r="F6649" t="e">
        <f>--De pedras naturais</f>
        <v>#NAME?</v>
      </c>
      <c r="G6649">
        <v>1</v>
      </c>
      <c r="H6649">
        <v>1</v>
      </c>
      <c r="I6649">
        <f>1</f>
        <v>1</v>
      </c>
    </row>
    <row r="6650" spans="2:9" x14ac:dyDescent="0.25">
      <c r="B6650">
        <v>0</v>
      </c>
      <c r="C6650" s="16" t="s">
        <v>15813</v>
      </c>
      <c r="D6650" s="16"/>
      <c r="E6650">
        <v>6</v>
      </c>
      <c r="F6650" t="s">
        <v>7594</v>
      </c>
      <c r="G6650">
        <v>1</v>
      </c>
      <c r="H6650">
        <v>1</v>
      </c>
      <c r="I6650">
        <f>1</f>
        <v>1</v>
      </c>
    </row>
    <row r="6651" spans="2:9" x14ac:dyDescent="0.25">
      <c r="B6651">
        <v>0</v>
      </c>
      <c r="C6651" s="16" t="s">
        <v>15814</v>
      </c>
      <c r="D6651" s="16"/>
      <c r="E6651">
        <v>6</v>
      </c>
      <c r="F6651" t="e">
        <f>-Aplicados apenas sobre tecidos De matérias têxteis</f>
        <v>#NAME?</v>
      </c>
      <c r="G6651">
        <v>1</v>
      </c>
      <c r="H6651">
        <v>1</v>
      </c>
      <c r="I6651">
        <f>1</f>
        <v>1</v>
      </c>
    </row>
    <row r="6652" spans="2:9" x14ac:dyDescent="0.25">
      <c r="B6652">
        <v>0</v>
      </c>
      <c r="C6652" s="16" t="s">
        <v>15815</v>
      </c>
      <c r="D6652" s="16"/>
      <c r="E6652">
        <v>6</v>
      </c>
      <c r="F6652" t="e">
        <f>-Aplicados apenas sobre papel ou cartão</f>
        <v>#NAME?</v>
      </c>
      <c r="G6652">
        <v>1</v>
      </c>
      <c r="H6652">
        <v>1</v>
      </c>
      <c r="I6652">
        <f>1</f>
        <v>1</v>
      </c>
    </row>
    <row r="6653" spans="2:9" x14ac:dyDescent="0.25">
      <c r="B6653">
        <v>0</v>
      </c>
      <c r="C6653" s="16" t="s">
        <v>15816</v>
      </c>
      <c r="D6653" s="16"/>
      <c r="E6653">
        <v>6</v>
      </c>
      <c r="F6653" t="s">
        <v>7595</v>
      </c>
      <c r="G6653">
        <v>1</v>
      </c>
      <c r="H6653">
        <v>1</v>
      </c>
      <c r="I6653">
        <f>1</f>
        <v>1</v>
      </c>
    </row>
    <row r="6654" spans="2:9" x14ac:dyDescent="0.25">
      <c r="B6654">
        <v>0</v>
      </c>
      <c r="C6654" s="16" t="s">
        <v>15817</v>
      </c>
      <c r="D6654" s="16"/>
      <c r="E6654">
        <v>6</v>
      </c>
      <c r="F6654" t="s">
        <v>7596</v>
      </c>
      <c r="G6654">
        <v>1</v>
      </c>
      <c r="H6654">
        <v>1</v>
      </c>
      <c r="I6654">
        <f>1</f>
        <v>1</v>
      </c>
    </row>
    <row r="6655" spans="2:9" x14ac:dyDescent="0.25">
      <c r="B6655">
        <v>0</v>
      </c>
      <c r="C6655" s="16" t="s">
        <v>15818</v>
      </c>
      <c r="D6655" s="16"/>
      <c r="E6655">
        <v>6</v>
      </c>
      <c r="F6655" t="s">
        <v>4680</v>
      </c>
      <c r="G6655">
        <v>1</v>
      </c>
      <c r="H6655">
        <v>1</v>
      </c>
      <c r="I6655">
        <f>1</f>
        <v>1</v>
      </c>
    </row>
    <row r="6656" spans="2:9" x14ac:dyDescent="0.25">
      <c r="B6656">
        <v>0</v>
      </c>
      <c r="C6656" s="16" t="s">
        <v>15819</v>
      </c>
      <c r="D6656" s="16"/>
      <c r="E6656">
        <v>6</v>
      </c>
      <c r="F6656" t="s">
        <v>7597</v>
      </c>
      <c r="G6656">
        <v>1</v>
      </c>
      <c r="H6656">
        <v>1</v>
      </c>
      <c r="I6656">
        <f>1</f>
        <v>1</v>
      </c>
    </row>
    <row r="6657" spans="2:9" x14ac:dyDescent="0.25">
      <c r="B6657">
        <v>0</v>
      </c>
      <c r="C6657" s="16" t="s">
        <v>15819</v>
      </c>
      <c r="D6657" s="16" t="s">
        <v>19430</v>
      </c>
      <c r="E6657">
        <v>6</v>
      </c>
      <c r="F6657" t="s">
        <v>7598</v>
      </c>
      <c r="G6657">
        <v>1</v>
      </c>
      <c r="H6657">
        <v>1</v>
      </c>
      <c r="I6657">
        <f>1</f>
        <v>1</v>
      </c>
    </row>
    <row r="6658" spans="2:9" x14ac:dyDescent="0.25">
      <c r="B6658">
        <v>0</v>
      </c>
      <c r="C6658" s="16" t="s">
        <v>15820</v>
      </c>
      <c r="D6658" s="16"/>
      <c r="E6658">
        <v>6</v>
      </c>
      <c r="F6658" t="s">
        <v>7599</v>
      </c>
      <c r="G6658">
        <v>1</v>
      </c>
      <c r="H6658">
        <v>1</v>
      </c>
      <c r="I6658">
        <f>1</f>
        <v>1</v>
      </c>
    </row>
    <row r="6659" spans="2:9" x14ac:dyDescent="0.25">
      <c r="B6659">
        <v>0</v>
      </c>
      <c r="C6659" s="16" t="s">
        <v>15821</v>
      </c>
      <c r="D6659" s="16"/>
      <c r="E6659">
        <v>6</v>
      </c>
      <c r="F6659" t="s">
        <v>7600</v>
      </c>
      <c r="G6659">
        <v>1</v>
      </c>
      <c r="H6659">
        <v>1</v>
      </c>
      <c r="I6659">
        <f>1</f>
        <v>1</v>
      </c>
    </row>
    <row r="6660" spans="2:9" x14ac:dyDescent="0.25">
      <c r="B6660">
        <v>0</v>
      </c>
      <c r="C6660" s="16" t="s">
        <v>15822</v>
      </c>
      <c r="D6660" s="16"/>
      <c r="E6660">
        <v>6</v>
      </c>
      <c r="F6660" t="s">
        <v>4680</v>
      </c>
      <c r="G6660">
        <v>1</v>
      </c>
      <c r="H6660">
        <v>1</v>
      </c>
      <c r="I6660">
        <f>1</f>
        <v>1</v>
      </c>
    </row>
    <row r="6661" spans="2:9" x14ac:dyDescent="0.25">
      <c r="B6661">
        <v>0</v>
      </c>
      <c r="C6661" s="16" t="s">
        <v>15822</v>
      </c>
      <c r="D6661" s="16" t="s">
        <v>19430</v>
      </c>
      <c r="E6661">
        <v>6</v>
      </c>
      <c r="F6661" t="s">
        <v>7601</v>
      </c>
      <c r="G6661">
        <v>1</v>
      </c>
      <c r="H6661">
        <v>1</v>
      </c>
      <c r="I6661">
        <f>1</f>
        <v>1</v>
      </c>
    </row>
    <row r="6662" spans="2:9" x14ac:dyDescent="0.25">
      <c r="B6662">
        <v>0</v>
      </c>
      <c r="C6662" s="16" t="s">
        <v>15823</v>
      </c>
      <c r="D6662" s="16"/>
      <c r="E6662">
        <v>6</v>
      </c>
      <c r="F6662" t="e">
        <f>-em rolos</f>
        <v>#NAME?</v>
      </c>
      <c r="G6662">
        <v>1</v>
      </c>
      <c r="H6662">
        <v>1</v>
      </c>
      <c r="I6662">
        <f>1</f>
        <v>1</v>
      </c>
    </row>
    <row r="6663" spans="2:9" x14ac:dyDescent="0.25">
      <c r="B6663">
        <v>0</v>
      </c>
      <c r="C6663" s="16" t="s">
        <v>15824</v>
      </c>
      <c r="D6663" s="16"/>
      <c r="E6663">
        <v>6</v>
      </c>
      <c r="F6663" t="e">
        <f>-Outras</f>
        <v>#NAME?</v>
      </c>
      <c r="G6663">
        <v>1</v>
      </c>
      <c r="H6663">
        <v>1</v>
      </c>
      <c r="I6663">
        <f>1</f>
        <v>1</v>
      </c>
    </row>
    <row r="6664" spans="2:9" x14ac:dyDescent="0.25">
      <c r="B6664">
        <v>0</v>
      </c>
      <c r="C6664" s="16" t="s">
        <v>15824</v>
      </c>
      <c r="D6664" s="16" t="s">
        <v>19430</v>
      </c>
      <c r="E6664">
        <v>6</v>
      </c>
      <c r="F6664" t="s">
        <v>7602</v>
      </c>
      <c r="G6664">
        <v>1</v>
      </c>
      <c r="H6664">
        <v>1</v>
      </c>
      <c r="I6664">
        <f>1</f>
        <v>1</v>
      </c>
    </row>
    <row r="6665" spans="2:9" x14ac:dyDescent="0.25">
      <c r="B6665">
        <v>0</v>
      </c>
      <c r="C6665" s="16" t="s">
        <v>15825</v>
      </c>
      <c r="D6665" s="16"/>
      <c r="E6665">
        <v>6</v>
      </c>
      <c r="F6665" t="s">
        <v>7603</v>
      </c>
      <c r="G6665">
        <v>1</v>
      </c>
      <c r="H6665">
        <v>1</v>
      </c>
      <c r="I6665">
        <f>1</f>
        <v>1</v>
      </c>
    </row>
    <row r="6666" spans="2:9" x14ac:dyDescent="0.25">
      <c r="B6666">
        <v>0</v>
      </c>
      <c r="C6666" s="16" t="s">
        <v>15826</v>
      </c>
      <c r="D6666" s="16"/>
      <c r="E6666">
        <v>6</v>
      </c>
      <c r="F6666" t="e">
        <f>--revestidos ou reforçados exclusivamente Com papel ou cartão</f>
        <v>#NAME?</v>
      </c>
      <c r="G6666">
        <v>1</v>
      </c>
      <c r="H6666">
        <v>1</v>
      </c>
      <c r="I6666">
        <f>1</f>
        <v>1</v>
      </c>
    </row>
    <row r="6667" spans="2:9" x14ac:dyDescent="0.25">
      <c r="B6667">
        <v>0</v>
      </c>
      <c r="C6667" s="16" t="s">
        <v>15827</v>
      </c>
      <c r="D6667" s="16"/>
      <c r="E6667">
        <v>6</v>
      </c>
      <c r="F6667" t="e">
        <f>--outros</f>
        <v>#NAME?</v>
      </c>
      <c r="G6667">
        <v>1</v>
      </c>
      <c r="H6667">
        <v>1</v>
      </c>
      <c r="I6667">
        <f>1</f>
        <v>1</v>
      </c>
    </row>
    <row r="6668" spans="2:9" x14ac:dyDescent="0.25">
      <c r="B6668">
        <v>0</v>
      </c>
      <c r="C6668" s="16" t="s">
        <v>15828</v>
      </c>
      <c r="D6668" s="16"/>
      <c r="E6668">
        <v>6</v>
      </c>
      <c r="F6668" t="e">
        <f>-Outras obras</f>
        <v>#NAME?</v>
      </c>
      <c r="G6668">
        <v>1</v>
      </c>
      <c r="H6668">
        <v>1</v>
      </c>
      <c r="I6668">
        <f>1</f>
        <v>1</v>
      </c>
    </row>
    <row r="6669" spans="2:9" x14ac:dyDescent="0.25">
      <c r="B6669">
        <v>0</v>
      </c>
      <c r="C6669" s="16" t="s">
        <v>15829</v>
      </c>
      <c r="D6669" s="16"/>
      <c r="E6669">
        <v>6</v>
      </c>
      <c r="F6669" t="e">
        <f>--blocos e tijolos para a construção</f>
        <v>#NAME?</v>
      </c>
      <c r="G6669">
        <v>1</v>
      </c>
      <c r="H6669">
        <v>1</v>
      </c>
      <c r="I6669">
        <f>1</f>
        <v>1</v>
      </c>
    </row>
    <row r="6670" spans="2:9" x14ac:dyDescent="0.25">
      <c r="B6670">
        <v>0</v>
      </c>
      <c r="C6670" s="16" t="s">
        <v>15830</v>
      </c>
      <c r="D6670" s="16"/>
      <c r="E6670">
        <v>6</v>
      </c>
      <c r="F6670" t="e">
        <f>--outros</f>
        <v>#NAME?</v>
      </c>
      <c r="G6670">
        <v>1</v>
      </c>
      <c r="H6670">
        <v>1</v>
      </c>
      <c r="I6670">
        <f>1</f>
        <v>1</v>
      </c>
    </row>
    <row r="6671" spans="2:9" x14ac:dyDescent="0.25">
      <c r="B6671">
        <v>0</v>
      </c>
      <c r="C6671" s="16" t="s">
        <v>15831</v>
      </c>
      <c r="D6671" s="16"/>
      <c r="E6671">
        <v>6</v>
      </c>
      <c r="F6671" t="e">
        <f>--Elementos pré-fabricados para a construção ou engenharia civil</f>
        <v>#NAME?</v>
      </c>
      <c r="G6671">
        <v>1</v>
      </c>
      <c r="H6671">
        <v>1</v>
      </c>
      <c r="I6671">
        <f>1</f>
        <v>1</v>
      </c>
    </row>
    <row r="6672" spans="2:9" x14ac:dyDescent="0.25">
      <c r="B6672">
        <v>0</v>
      </c>
      <c r="C6672" s="16" t="s">
        <v>15832</v>
      </c>
      <c r="D6672" s="16"/>
      <c r="E6672">
        <v>6</v>
      </c>
      <c r="F6672" t="e">
        <f>--Outras</f>
        <v>#NAME?</v>
      </c>
      <c r="G6672">
        <v>1</v>
      </c>
      <c r="H6672">
        <v>1</v>
      </c>
      <c r="I6672">
        <f>1</f>
        <v>1</v>
      </c>
    </row>
    <row r="6673" spans="2:9" x14ac:dyDescent="0.25">
      <c r="B6673">
        <v>0</v>
      </c>
      <c r="C6673" s="16" t="s">
        <v>15833</v>
      </c>
      <c r="D6673" s="16"/>
      <c r="E6673">
        <v>6</v>
      </c>
      <c r="F6673" t="e">
        <f>-que contenham amianto</f>
        <v>#NAME?</v>
      </c>
      <c r="G6673">
        <v>1</v>
      </c>
      <c r="H6673">
        <v>1</v>
      </c>
      <c r="I6673">
        <f>1</f>
        <v>1</v>
      </c>
    </row>
    <row r="6674" spans="2:9" x14ac:dyDescent="0.25">
      <c r="B6674">
        <v>0</v>
      </c>
      <c r="C6674" s="16" t="s">
        <v>15834</v>
      </c>
      <c r="D6674" s="16"/>
      <c r="E6674">
        <v>6</v>
      </c>
      <c r="F6674" t="e">
        <f>--Chapas onduladas</f>
        <v>#NAME?</v>
      </c>
      <c r="G6674">
        <v>1</v>
      </c>
      <c r="H6674">
        <v>1</v>
      </c>
      <c r="I6674">
        <f>1</f>
        <v>1</v>
      </c>
    </row>
    <row r="6675" spans="2:9" x14ac:dyDescent="0.25">
      <c r="B6675">
        <v>0</v>
      </c>
      <c r="C6675" s="16" t="s">
        <v>15835</v>
      </c>
      <c r="D6675" s="16"/>
      <c r="E6675">
        <v>6</v>
      </c>
      <c r="F6675" t="s">
        <v>7604</v>
      </c>
      <c r="G6675">
        <v>1</v>
      </c>
      <c r="H6675">
        <v>1</v>
      </c>
      <c r="I6675">
        <f>1</f>
        <v>1</v>
      </c>
    </row>
    <row r="6676" spans="2:9" x14ac:dyDescent="0.25">
      <c r="B6676">
        <v>0</v>
      </c>
      <c r="C6676" s="16" t="s">
        <v>15836</v>
      </c>
      <c r="D6676" s="16"/>
      <c r="E6676">
        <v>6</v>
      </c>
      <c r="F6676" t="e">
        <f>--Outras obras</f>
        <v>#NAME?</v>
      </c>
      <c r="G6676">
        <v>1</v>
      </c>
      <c r="H6676">
        <v>1</v>
      </c>
      <c r="I6676">
        <f>1</f>
        <v>1</v>
      </c>
    </row>
    <row r="6677" spans="2:9" x14ac:dyDescent="0.25">
      <c r="B6677">
        <v>0</v>
      </c>
      <c r="C6677" s="16" t="s">
        <v>15837</v>
      </c>
      <c r="D6677" s="16"/>
      <c r="E6677">
        <v>6</v>
      </c>
      <c r="F6677" t="e">
        <f>-De Crocidolita</f>
        <v>#NAME?</v>
      </c>
      <c r="G6677">
        <v>1</v>
      </c>
      <c r="H6677">
        <v>1</v>
      </c>
      <c r="I6677">
        <f>1</f>
        <v>1</v>
      </c>
    </row>
    <row r="6678" spans="2:9" x14ac:dyDescent="0.25">
      <c r="B6678">
        <v>0</v>
      </c>
      <c r="C6678" s="16" t="s">
        <v>15838</v>
      </c>
      <c r="D6678" s="16"/>
      <c r="E6678">
        <v>6</v>
      </c>
      <c r="F6678" t="s">
        <v>7605</v>
      </c>
      <c r="G6678">
        <v>1</v>
      </c>
      <c r="H6678">
        <v>1</v>
      </c>
      <c r="I6678">
        <f>1</f>
        <v>1</v>
      </c>
    </row>
    <row r="6679" spans="2:9" x14ac:dyDescent="0.25">
      <c r="B6679">
        <v>0</v>
      </c>
      <c r="C6679" s="16" t="s">
        <v>15839</v>
      </c>
      <c r="D6679" s="16"/>
      <c r="E6679">
        <v>6</v>
      </c>
      <c r="F6679" t="s">
        <v>7606</v>
      </c>
      <c r="G6679">
        <v>1</v>
      </c>
      <c r="H6679">
        <v>1</v>
      </c>
      <c r="I6679">
        <f>1</f>
        <v>1</v>
      </c>
    </row>
    <row r="6680" spans="2:9" x14ac:dyDescent="0.25">
      <c r="B6680">
        <v>0</v>
      </c>
      <c r="C6680" s="16" t="s">
        <v>15840</v>
      </c>
      <c r="D6680" s="16"/>
      <c r="E6680">
        <v>6</v>
      </c>
      <c r="F6680" t="s">
        <v>7607</v>
      </c>
      <c r="G6680">
        <v>1</v>
      </c>
      <c r="H6680">
        <v>1</v>
      </c>
      <c r="I6680">
        <f>1</f>
        <v>1</v>
      </c>
    </row>
    <row r="6681" spans="2:9" x14ac:dyDescent="0.25">
      <c r="B6681">
        <v>0</v>
      </c>
      <c r="C6681" s="16" t="s">
        <v>15841</v>
      </c>
      <c r="D6681" s="16"/>
      <c r="E6681">
        <v>6</v>
      </c>
      <c r="F6681" t="s">
        <v>7608</v>
      </c>
      <c r="G6681">
        <v>1</v>
      </c>
      <c r="H6681">
        <v>1</v>
      </c>
      <c r="I6681">
        <f>1</f>
        <v>1</v>
      </c>
    </row>
    <row r="6682" spans="2:9" x14ac:dyDescent="0.25">
      <c r="B6682">
        <v>0</v>
      </c>
      <c r="C6682" s="16" t="s">
        <v>15842</v>
      </c>
      <c r="D6682" s="16"/>
      <c r="E6682">
        <v>6</v>
      </c>
      <c r="F6682" t="s">
        <v>7609</v>
      </c>
      <c r="G6682">
        <v>1</v>
      </c>
      <c r="H6682">
        <v>1</v>
      </c>
      <c r="I6682">
        <f>1</f>
        <v>1</v>
      </c>
    </row>
    <row r="6683" spans="2:9" x14ac:dyDescent="0.25">
      <c r="B6683">
        <v>0</v>
      </c>
      <c r="C6683" s="16" t="s">
        <v>15843</v>
      </c>
      <c r="D6683" s="16"/>
      <c r="E6683">
        <v>6</v>
      </c>
      <c r="F6683" t="s">
        <v>7610</v>
      </c>
      <c r="G6683">
        <v>1</v>
      </c>
      <c r="H6683">
        <v>1</v>
      </c>
      <c r="I6683">
        <f>1</f>
        <v>1</v>
      </c>
    </row>
    <row r="6684" spans="2:9" x14ac:dyDescent="0.25">
      <c r="B6684">
        <v>0</v>
      </c>
      <c r="C6684" s="16" t="s">
        <v>15844</v>
      </c>
      <c r="D6684" s="16"/>
      <c r="E6684">
        <v>6</v>
      </c>
      <c r="F6684" t="s">
        <v>4690</v>
      </c>
      <c r="G6684">
        <v>1</v>
      </c>
      <c r="H6684">
        <v>1</v>
      </c>
      <c r="I6684">
        <f>1</f>
        <v>1</v>
      </c>
    </row>
    <row r="6685" spans="2:9" x14ac:dyDescent="0.25">
      <c r="B6685">
        <v>0</v>
      </c>
      <c r="C6685" s="16" t="s">
        <v>15845</v>
      </c>
      <c r="D6685" s="16"/>
      <c r="E6685">
        <v>6</v>
      </c>
      <c r="F6685" t="e">
        <f>-que contenham amianto</f>
        <v>#NAME?</v>
      </c>
      <c r="G6685">
        <v>1</v>
      </c>
      <c r="H6685">
        <v>1</v>
      </c>
      <c r="I6685">
        <f>1</f>
        <v>1</v>
      </c>
    </row>
    <row r="6686" spans="2:9" x14ac:dyDescent="0.25">
      <c r="B6686">
        <v>0</v>
      </c>
      <c r="C6686" s="16" t="s">
        <v>15845</v>
      </c>
      <c r="D6686" s="16" t="s">
        <v>19430</v>
      </c>
      <c r="E6686">
        <v>6</v>
      </c>
      <c r="F6686" t="s">
        <v>7611</v>
      </c>
      <c r="G6686">
        <v>1</v>
      </c>
      <c r="H6686">
        <v>1</v>
      </c>
      <c r="I6686">
        <f>1</f>
        <v>1</v>
      </c>
    </row>
    <row r="6687" spans="2:9" x14ac:dyDescent="0.25">
      <c r="B6687">
        <v>0</v>
      </c>
      <c r="C6687" s="16" t="s">
        <v>15846</v>
      </c>
      <c r="D6687" s="16"/>
      <c r="E6687">
        <v>6</v>
      </c>
      <c r="F6687" t="s">
        <v>7612</v>
      </c>
      <c r="G6687">
        <v>1</v>
      </c>
      <c r="H6687">
        <v>1</v>
      </c>
      <c r="I6687">
        <f>1</f>
        <v>1</v>
      </c>
    </row>
    <row r="6688" spans="2:9" x14ac:dyDescent="0.25">
      <c r="B6688">
        <v>0</v>
      </c>
      <c r="C6688" s="16" t="s">
        <v>15847</v>
      </c>
      <c r="D6688" s="16"/>
      <c r="E6688">
        <v>6</v>
      </c>
      <c r="F6688" t="s">
        <v>4690</v>
      </c>
      <c r="G6688">
        <v>1</v>
      </c>
      <c r="H6688">
        <v>1</v>
      </c>
      <c r="I6688">
        <f>1</f>
        <v>1</v>
      </c>
    </row>
    <row r="6689" spans="2:9" x14ac:dyDescent="0.25">
      <c r="B6689">
        <v>0</v>
      </c>
      <c r="C6689" s="16" t="s">
        <v>15848</v>
      </c>
      <c r="D6689" s="16"/>
      <c r="E6689">
        <v>6</v>
      </c>
      <c r="F6689" t="s">
        <v>7613</v>
      </c>
      <c r="G6689">
        <v>1</v>
      </c>
      <c r="H6689">
        <v>1</v>
      </c>
      <c r="I6689">
        <f>1</f>
        <v>1</v>
      </c>
    </row>
    <row r="6690" spans="2:9" x14ac:dyDescent="0.25">
      <c r="B6690">
        <v>0</v>
      </c>
      <c r="C6690" s="16" t="s">
        <v>15849</v>
      </c>
      <c r="D6690" s="16"/>
      <c r="E6690">
        <v>6</v>
      </c>
      <c r="F6690" t="s">
        <v>4690</v>
      </c>
      <c r="G6690">
        <v>1</v>
      </c>
      <c r="H6690">
        <v>1</v>
      </c>
      <c r="I6690">
        <f>1</f>
        <v>1</v>
      </c>
    </row>
    <row r="6691" spans="2:9" x14ac:dyDescent="0.25">
      <c r="B6691">
        <v>0</v>
      </c>
      <c r="C6691" s="16" t="s">
        <v>15850</v>
      </c>
      <c r="D6691" s="16"/>
      <c r="E6691">
        <v>6</v>
      </c>
      <c r="F6691" t="s">
        <v>7614</v>
      </c>
      <c r="G6691">
        <v>1</v>
      </c>
      <c r="H6691">
        <v>1</v>
      </c>
      <c r="I6691">
        <f>1</f>
        <v>1</v>
      </c>
    </row>
    <row r="6692" spans="2:9" x14ac:dyDescent="0.25">
      <c r="B6692">
        <v>0</v>
      </c>
      <c r="C6692" s="16" t="s">
        <v>15851</v>
      </c>
      <c r="D6692" s="16"/>
      <c r="E6692">
        <v>6</v>
      </c>
      <c r="F6692" t="e">
        <f>-Outras</f>
        <v>#NAME?</v>
      </c>
      <c r="G6692">
        <v>1</v>
      </c>
      <c r="H6692">
        <v>1</v>
      </c>
      <c r="I6692">
        <f>1</f>
        <v>1</v>
      </c>
    </row>
    <row r="6693" spans="2:9" x14ac:dyDescent="0.25">
      <c r="B6693">
        <v>0</v>
      </c>
      <c r="C6693" s="16" t="s">
        <v>15852</v>
      </c>
      <c r="D6693" s="16"/>
      <c r="E6693">
        <v>6</v>
      </c>
      <c r="F6693" t="s">
        <v>7615</v>
      </c>
      <c r="G6693">
        <v>1</v>
      </c>
      <c r="H6693">
        <v>1</v>
      </c>
      <c r="I6693">
        <f>1</f>
        <v>1</v>
      </c>
    </row>
    <row r="6694" spans="2:9" x14ac:dyDescent="0.25">
      <c r="B6694">
        <v>0</v>
      </c>
      <c r="C6694" s="16" t="s">
        <v>15853</v>
      </c>
      <c r="D6694" s="16"/>
      <c r="E6694">
        <v>6</v>
      </c>
      <c r="F6694" t="s">
        <v>7616</v>
      </c>
      <c r="G6694">
        <v>1</v>
      </c>
      <c r="H6694">
        <v>1</v>
      </c>
      <c r="I6694">
        <f>1</f>
        <v>1</v>
      </c>
    </row>
    <row r="6695" spans="2:9" x14ac:dyDescent="0.25">
      <c r="B6695">
        <v>0</v>
      </c>
      <c r="C6695" s="16" t="s">
        <v>15854</v>
      </c>
      <c r="D6695" s="16"/>
      <c r="E6695">
        <v>6</v>
      </c>
      <c r="F6695" t="s">
        <v>4690</v>
      </c>
      <c r="G6695">
        <v>1</v>
      </c>
      <c r="H6695">
        <v>1</v>
      </c>
      <c r="I6695">
        <f>1</f>
        <v>1</v>
      </c>
    </row>
    <row r="6696" spans="2:9" x14ac:dyDescent="0.25">
      <c r="B6696">
        <v>0</v>
      </c>
      <c r="C6696" s="16" t="s">
        <v>15855</v>
      </c>
      <c r="D6696" s="16"/>
      <c r="E6696">
        <v>6</v>
      </c>
      <c r="F6696" t="e">
        <f>-obras De turfa</f>
        <v>#NAME?</v>
      </c>
      <c r="G6696">
        <v>1</v>
      </c>
      <c r="H6696">
        <v>1</v>
      </c>
      <c r="I6696">
        <f>1</f>
        <v>1</v>
      </c>
    </row>
    <row r="6697" spans="2:9" x14ac:dyDescent="0.25">
      <c r="B6697">
        <v>0</v>
      </c>
      <c r="C6697" s="16" t="s">
        <v>15856</v>
      </c>
      <c r="D6697" s="16"/>
      <c r="E6697">
        <v>6</v>
      </c>
      <c r="F6697" t="s">
        <v>7617</v>
      </c>
      <c r="G6697">
        <v>1</v>
      </c>
      <c r="H6697">
        <v>1</v>
      </c>
      <c r="I6697">
        <f>1</f>
        <v>1</v>
      </c>
    </row>
    <row r="6698" spans="2:9" x14ac:dyDescent="0.25">
      <c r="B6698">
        <v>0</v>
      </c>
      <c r="C6698" s="16" t="s">
        <v>15857</v>
      </c>
      <c r="D6698" s="16"/>
      <c r="E6698">
        <v>6</v>
      </c>
      <c r="F6698" t="s">
        <v>4690</v>
      </c>
      <c r="G6698">
        <v>1</v>
      </c>
      <c r="H6698">
        <v>1</v>
      </c>
      <c r="I6698">
        <f>1</f>
        <v>1</v>
      </c>
    </row>
    <row r="6699" spans="2:9" x14ac:dyDescent="0.25">
      <c r="B6699">
        <v>0</v>
      </c>
      <c r="C6699" s="16" t="s">
        <v>15858</v>
      </c>
      <c r="D6699" s="16"/>
      <c r="E6699">
        <v>6</v>
      </c>
      <c r="F6699" t="s">
        <v>7618</v>
      </c>
      <c r="G6699">
        <v>1</v>
      </c>
      <c r="H6699">
        <v>1</v>
      </c>
      <c r="I6699">
        <f>1</f>
        <v>1</v>
      </c>
    </row>
    <row r="6700" spans="2:9" x14ac:dyDescent="0.25">
      <c r="B6700">
        <v>0</v>
      </c>
      <c r="C6700" s="16" t="s">
        <v>15859</v>
      </c>
      <c r="D6700" s="16"/>
      <c r="E6700">
        <v>6</v>
      </c>
      <c r="F6700" t="s">
        <v>7619</v>
      </c>
      <c r="G6700">
        <v>1</v>
      </c>
      <c r="H6700">
        <v>1</v>
      </c>
      <c r="I6700">
        <f>1</f>
        <v>1</v>
      </c>
    </row>
    <row r="6701" spans="2:9" x14ac:dyDescent="0.25">
      <c r="B6701">
        <v>0</v>
      </c>
      <c r="C6701" s="16" t="s">
        <v>15860</v>
      </c>
      <c r="D6701" s="16"/>
      <c r="E6701">
        <v>6</v>
      </c>
      <c r="F6701" t="s">
        <v>7620</v>
      </c>
      <c r="G6701">
        <v>1</v>
      </c>
      <c r="H6701">
        <v>1</v>
      </c>
      <c r="I6701">
        <f>1</f>
        <v>1</v>
      </c>
    </row>
    <row r="6702" spans="2:9" x14ac:dyDescent="0.25">
      <c r="B6702">
        <v>0</v>
      </c>
      <c r="C6702" s="16" t="s">
        <v>15861</v>
      </c>
      <c r="D6702" s="16"/>
      <c r="E6702">
        <v>6</v>
      </c>
      <c r="F6702" t="s">
        <v>7621</v>
      </c>
      <c r="G6702">
        <v>1</v>
      </c>
      <c r="H6702">
        <v>1</v>
      </c>
      <c r="I6702">
        <f>1</f>
        <v>1</v>
      </c>
    </row>
    <row r="6703" spans="2:9" x14ac:dyDescent="0.25">
      <c r="B6703">
        <v>0</v>
      </c>
      <c r="C6703" s="16" t="s">
        <v>15862</v>
      </c>
      <c r="D6703" s="16"/>
      <c r="E6703">
        <v>6</v>
      </c>
      <c r="F6703" t="s">
        <v>4690</v>
      </c>
      <c r="G6703">
        <v>1</v>
      </c>
      <c r="H6703">
        <v>1</v>
      </c>
      <c r="I6703">
        <f>1</f>
        <v>1</v>
      </c>
    </row>
    <row r="6704" spans="2:9" x14ac:dyDescent="0.25">
      <c r="B6704">
        <v>0</v>
      </c>
      <c r="C6704" s="16" t="s">
        <v>15863</v>
      </c>
      <c r="D6704" s="16"/>
      <c r="E6704">
        <v>6</v>
      </c>
      <c r="F6704" t="s">
        <v>4690</v>
      </c>
      <c r="G6704">
        <v>1</v>
      </c>
      <c r="H6704">
        <v>1</v>
      </c>
      <c r="I6704">
        <f>1</f>
        <v>1</v>
      </c>
    </row>
    <row r="6705" spans="2:9" x14ac:dyDescent="0.25">
      <c r="B6705">
        <v>0</v>
      </c>
      <c r="C6705" s="16" t="s">
        <v>15864</v>
      </c>
      <c r="D6705" s="16"/>
      <c r="E6705">
        <v>6</v>
      </c>
      <c r="F6705" t="s">
        <v>7622</v>
      </c>
      <c r="G6705">
        <v>1</v>
      </c>
      <c r="H6705">
        <v>1</v>
      </c>
      <c r="I6705">
        <f>1</f>
        <v>1</v>
      </c>
    </row>
    <row r="6706" spans="2:9" x14ac:dyDescent="0.25">
      <c r="B6706">
        <v>0</v>
      </c>
      <c r="C6706" s="16" t="s">
        <v>15865</v>
      </c>
      <c r="D6706" s="16"/>
      <c r="E6706">
        <v>6</v>
      </c>
      <c r="F6706" t="s">
        <v>7623</v>
      </c>
      <c r="G6706">
        <v>1</v>
      </c>
      <c r="H6706">
        <v>1</v>
      </c>
      <c r="I6706">
        <f>1</f>
        <v>1</v>
      </c>
    </row>
    <row r="6707" spans="2:9" x14ac:dyDescent="0.25">
      <c r="B6707">
        <v>0</v>
      </c>
      <c r="C6707" s="16" t="s">
        <v>15866</v>
      </c>
      <c r="D6707" s="16"/>
      <c r="E6707">
        <v>6</v>
      </c>
      <c r="F6707" t="s">
        <v>7624</v>
      </c>
      <c r="G6707">
        <v>1</v>
      </c>
      <c r="H6707">
        <v>1</v>
      </c>
      <c r="I6707">
        <f>1</f>
        <v>1</v>
      </c>
    </row>
    <row r="6708" spans="2:9" x14ac:dyDescent="0.25">
      <c r="B6708">
        <v>0</v>
      </c>
      <c r="C6708" s="16" t="s">
        <v>15867</v>
      </c>
      <c r="D6708" s="16"/>
      <c r="E6708">
        <v>6</v>
      </c>
      <c r="F6708" t="s">
        <v>4680</v>
      </c>
      <c r="G6708">
        <v>1</v>
      </c>
      <c r="H6708">
        <v>1</v>
      </c>
      <c r="I6708">
        <f>1</f>
        <v>1</v>
      </c>
    </row>
    <row r="6709" spans="2:9" x14ac:dyDescent="0.25">
      <c r="B6709">
        <v>0</v>
      </c>
      <c r="C6709" s="16" t="s">
        <v>15868</v>
      </c>
      <c r="D6709" s="16"/>
      <c r="E6709">
        <v>6</v>
      </c>
      <c r="F6709" t="s">
        <v>4680</v>
      </c>
      <c r="G6709">
        <v>1</v>
      </c>
      <c r="H6709">
        <v>1</v>
      </c>
      <c r="I6709">
        <f>1</f>
        <v>1</v>
      </c>
    </row>
    <row r="6710" spans="2:9" x14ac:dyDescent="0.25">
      <c r="B6710">
        <v>0</v>
      </c>
      <c r="C6710" s="16" t="s">
        <v>15869</v>
      </c>
      <c r="D6710" s="16"/>
      <c r="E6710">
        <v>6</v>
      </c>
      <c r="F6710" t="s">
        <v>7625</v>
      </c>
      <c r="G6710">
        <v>1</v>
      </c>
      <c r="H6710">
        <v>1</v>
      </c>
      <c r="I6710">
        <f>1</f>
        <v>1</v>
      </c>
    </row>
    <row r="6711" spans="2:9" x14ac:dyDescent="0.25">
      <c r="B6711">
        <v>0</v>
      </c>
      <c r="C6711" s="16" t="s">
        <v>15870</v>
      </c>
      <c r="D6711" s="16"/>
      <c r="E6711">
        <v>6</v>
      </c>
      <c r="F6711" t="s">
        <v>7626</v>
      </c>
      <c r="G6711">
        <v>1</v>
      </c>
      <c r="H6711">
        <v>1</v>
      </c>
      <c r="I6711">
        <f>1</f>
        <v>1</v>
      </c>
    </row>
    <row r="6712" spans="2:9" x14ac:dyDescent="0.25">
      <c r="B6712">
        <v>0</v>
      </c>
      <c r="C6712" s="16" t="s">
        <v>15871</v>
      </c>
      <c r="D6712" s="16"/>
      <c r="E6712">
        <v>6</v>
      </c>
      <c r="F6712" t="s">
        <v>7627</v>
      </c>
      <c r="G6712">
        <v>1</v>
      </c>
      <c r="H6712">
        <v>1</v>
      </c>
      <c r="I6712">
        <f>1</f>
        <v>1</v>
      </c>
    </row>
    <row r="6713" spans="2:9" x14ac:dyDescent="0.25">
      <c r="B6713">
        <v>0</v>
      </c>
      <c r="C6713" s="16" t="s">
        <v>15872</v>
      </c>
      <c r="D6713" s="16"/>
      <c r="E6713">
        <v>6</v>
      </c>
      <c r="F6713" t="s">
        <v>7628</v>
      </c>
      <c r="G6713">
        <v>1</v>
      </c>
      <c r="H6713">
        <v>1</v>
      </c>
      <c r="I6713">
        <f>1</f>
        <v>1</v>
      </c>
    </row>
    <row r="6714" spans="2:9" x14ac:dyDescent="0.25">
      <c r="B6714">
        <v>0</v>
      </c>
      <c r="C6714" s="16" t="s">
        <v>15873</v>
      </c>
      <c r="D6714" s="16"/>
      <c r="E6714">
        <v>6</v>
      </c>
      <c r="F6714" t="s">
        <v>4680</v>
      </c>
      <c r="G6714">
        <v>1</v>
      </c>
      <c r="H6714">
        <v>1</v>
      </c>
      <c r="I6714">
        <f>1</f>
        <v>1</v>
      </c>
    </row>
    <row r="6715" spans="2:9" x14ac:dyDescent="0.25">
      <c r="B6715">
        <v>0</v>
      </c>
      <c r="C6715" s="16" t="s">
        <v>15874</v>
      </c>
      <c r="D6715" s="16"/>
      <c r="E6715">
        <v>6</v>
      </c>
      <c r="F6715" t="s">
        <v>7629</v>
      </c>
      <c r="G6715">
        <v>1</v>
      </c>
      <c r="H6715">
        <v>1</v>
      </c>
      <c r="I6715">
        <f>1</f>
        <v>1</v>
      </c>
    </row>
    <row r="6716" spans="2:9" x14ac:dyDescent="0.25">
      <c r="B6716">
        <v>0</v>
      </c>
      <c r="C6716" s="16" t="s">
        <v>15875</v>
      </c>
      <c r="D6716" s="16"/>
      <c r="E6716">
        <v>6</v>
      </c>
      <c r="F6716" t="s">
        <v>7630</v>
      </c>
      <c r="G6716">
        <v>1</v>
      </c>
      <c r="H6716">
        <v>1</v>
      </c>
      <c r="I6716">
        <f>1</f>
        <v>1</v>
      </c>
    </row>
    <row r="6717" spans="2:9" x14ac:dyDescent="0.25">
      <c r="B6717">
        <v>0</v>
      </c>
      <c r="C6717" s="16" t="s">
        <v>15876</v>
      </c>
      <c r="D6717" s="16"/>
      <c r="E6717">
        <v>6</v>
      </c>
      <c r="F6717" t="s">
        <v>7631</v>
      </c>
      <c r="G6717">
        <v>1</v>
      </c>
      <c r="H6717">
        <v>1</v>
      </c>
      <c r="I6717">
        <f>1</f>
        <v>1</v>
      </c>
    </row>
    <row r="6718" spans="2:9" x14ac:dyDescent="0.25">
      <c r="B6718">
        <v>0</v>
      </c>
      <c r="C6718" s="16" t="s">
        <v>15877</v>
      </c>
      <c r="D6718" s="16"/>
      <c r="E6718">
        <v>6</v>
      </c>
      <c r="F6718" t="s">
        <v>7632</v>
      </c>
      <c r="G6718">
        <v>1</v>
      </c>
      <c r="H6718">
        <v>1</v>
      </c>
      <c r="I6718">
        <f>1</f>
        <v>1</v>
      </c>
    </row>
    <row r="6719" spans="2:9" x14ac:dyDescent="0.25">
      <c r="B6719">
        <v>0</v>
      </c>
      <c r="C6719" s="16" t="s">
        <v>15878</v>
      </c>
      <c r="D6719" s="16"/>
      <c r="E6719">
        <v>6</v>
      </c>
      <c r="F6719" t="s">
        <v>4680</v>
      </c>
      <c r="G6719">
        <v>1</v>
      </c>
      <c r="H6719">
        <v>1</v>
      </c>
      <c r="I6719">
        <f>1</f>
        <v>1</v>
      </c>
    </row>
    <row r="6720" spans="2:9" x14ac:dyDescent="0.25">
      <c r="B6720">
        <v>0</v>
      </c>
      <c r="C6720" s="16" t="s">
        <v>15879</v>
      </c>
      <c r="D6720" s="16"/>
      <c r="E6720">
        <v>6</v>
      </c>
      <c r="F6720" t="s">
        <v>7633</v>
      </c>
      <c r="G6720">
        <v>1</v>
      </c>
      <c r="H6720">
        <v>1</v>
      </c>
      <c r="I6720">
        <f>1</f>
        <v>1</v>
      </c>
    </row>
    <row r="6721" spans="2:9" x14ac:dyDescent="0.25">
      <c r="B6721">
        <v>0</v>
      </c>
      <c r="C6721" s="16" t="s">
        <v>15880</v>
      </c>
      <c r="D6721" s="16"/>
      <c r="E6721">
        <v>6</v>
      </c>
      <c r="F6721" t="s">
        <v>7634</v>
      </c>
      <c r="G6721">
        <v>1</v>
      </c>
      <c r="H6721">
        <v>1</v>
      </c>
      <c r="I6721">
        <f>1</f>
        <v>1</v>
      </c>
    </row>
    <row r="6722" spans="2:9" x14ac:dyDescent="0.25">
      <c r="B6722">
        <v>0</v>
      </c>
      <c r="C6722" s="16" t="s">
        <v>15881</v>
      </c>
      <c r="D6722" s="16"/>
      <c r="E6722">
        <v>6</v>
      </c>
      <c r="F6722" t="s">
        <v>4680</v>
      </c>
      <c r="G6722">
        <v>1</v>
      </c>
      <c r="H6722">
        <v>1</v>
      </c>
      <c r="I6722">
        <f>1</f>
        <v>1</v>
      </c>
    </row>
    <row r="6723" spans="2:9" x14ac:dyDescent="0.25">
      <c r="B6723">
        <v>0</v>
      </c>
      <c r="C6723" s="16" t="s">
        <v>15882</v>
      </c>
      <c r="D6723" s="16"/>
      <c r="E6723">
        <v>6</v>
      </c>
      <c r="F6723" t="s">
        <v>7635</v>
      </c>
      <c r="G6723">
        <v>1</v>
      </c>
      <c r="H6723">
        <v>1</v>
      </c>
      <c r="I6723">
        <f>1</f>
        <v>1</v>
      </c>
    </row>
    <row r="6724" spans="2:9" x14ac:dyDescent="0.25">
      <c r="B6724">
        <v>0</v>
      </c>
      <c r="C6724" s="16" t="s">
        <v>15883</v>
      </c>
      <c r="D6724" s="16"/>
      <c r="E6724">
        <v>6</v>
      </c>
      <c r="F6724" t="s">
        <v>7636</v>
      </c>
      <c r="G6724">
        <v>1</v>
      </c>
      <c r="H6724">
        <v>1</v>
      </c>
      <c r="I6724">
        <f>1</f>
        <v>1</v>
      </c>
    </row>
    <row r="6725" spans="2:9" x14ac:dyDescent="0.25">
      <c r="B6725">
        <v>0</v>
      </c>
      <c r="C6725" s="16" t="s">
        <v>15884</v>
      </c>
      <c r="D6725" s="16"/>
      <c r="E6725">
        <v>6</v>
      </c>
      <c r="F6725" t="s">
        <v>7637</v>
      </c>
      <c r="G6725">
        <v>1</v>
      </c>
      <c r="H6725">
        <v>1</v>
      </c>
      <c r="I6725">
        <f>1</f>
        <v>1</v>
      </c>
    </row>
    <row r="6726" spans="2:9" x14ac:dyDescent="0.25">
      <c r="B6726">
        <v>0</v>
      </c>
      <c r="C6726" s="16" t="s">
        <v>15885</v>
      </c>
      <c r="D6726" s="16"/>
      <c r="E6726">
        <v>6</v>
      </c>
      <c r="F6726" t="s">
        <v>4680</v>
      </c>
      <c r="G6726">
        <v>1</v>
      </c>
      <c r="H6726">
        <v>1</v>
      </c>
      <c r="I6726">
        <f>1</f>
        <v>1</v>
      </c>
    </row>
    <row r="6727" spans="2:9" x14ac:dyDescent="0.25">
      <c r="B6727">
        <v>0</v>
      </c>
      <c r="C6727" s="16" t="s">
        <v>15886</v>
      </c>
      <c r="D6727" s="16"/>
      <c r="E6727">
        <v>6</v>
      </c>
      <c r="F6727" t="s">
        <v>7638</v>
      </c>
      <c r="G6727">
        <v>1</v>
      </c>
      <c r="H6727">
        <v>1</v>
      </c>
      <c r="I6727">
        <f>1</f>
        <v>1</v>
      </c>
    </row>
    <row r="6728" spans="2:9" x14ac:dyDescent="0.25">
      <c r="B6728">
        <v>0</v>
      </c>
      <c r="C6728" s="16" t="s">
        <v>15887</v>
      </c>
      <c r="D6728" s="16"/>
      <c r="E6728">
        <v>6</v>
      </c>
      <c r="F6728" t="s">
        <v>7636</v>
      </c>
      <c r="G6728">
        <v>1</v>
      </c>
      <c r="H6728">
        <v>1</v>
      </c>
      <c r="I6728">
        <f>1</f>
        <v>1</v>
      </c>
    </row>
    <row r="6729" spans="2:9" x14ac:dyDescent="0.25">
      <c r="B6729">
        <v>0</v>
      </c>
      <c r="C6729" s="16" t="s">
        <v>15888</v>
      </c>
      <c r="D6729" s="16"/>
      <c r="E6729">
        <v>6</v>
      </c>
      <c r="F6729" t="s">
        <v>7637</v>
      </c>
      <c r="G6729">
        <v>1</v>
      </c>
      <c r="H6729">
        <v>1</v>
      </c>
      <c r="I6729">
        <f>1</f>
        <v>1</v>
      </c>
    </row>
    <row r="6730" spans="2:9" x14ac:dyDescent="0.25">
      <c r="B6730">
        <v>0</v>
      </c>
      <c r="C6730" s="16" t="s">
        <v>15889</v>
      </c>
      <c r="D6730" s="16"/>
      <c r="E6730">
        <v>6</v>
      </c>
      <c r="F6730" t="s">
        <v>4680</v>
      </c>
      <c r="G6730">
        <v>1</v>
      </c>
      <c r="H6730">
        <v>1</v>
      </c>
      <c r="I6730">
        <f>1</f>
        <v>1</v>
      </c>
    </row>
    <row r="6731" spans="2:9" x14ac:dyDescent="0.25">
      <c r="B6731">
        <v>0</v>
      </c>
      <c r="C6731" s="16" t="s">
        <v>15890</v>
      </c>
      <c r="D6731" s="16"/>
      <c r="E6731">
        <v>6</v>
      </c>
      <c r="F6731" t="s">
        <v>7632</v>
      </c>
      <c r="G6731">
        <v>1</v>
      </c>
      <c r="H6731">
        <v>1</v>
      </c>
      <c r="I6731">
        <f>1</f>
        <v>1</v>
      </c>
    </row>
    <row r="6732" spans="2:9" x14ac:dyDescent="0.25">
      <c r="B6732">
        <v>0</v>
      </c>
      <c r="C6732" s="16" t="s">
        <v>15891</v>
      </c>
      <c r="D6732" s="16"/>
      <c r="E6732">
        <v>6</v>
      </c>
      <c r="F6732" t="s">
        <v>7639</v>
      </c>
      <c r="G6732">
        <v>1</v>
      </c>
      <c r="H6732">
        <v>1</v>
      </c>
      <c r="I6732">
        <f>1</f>
        <v>1</v>
      </c>
    </row>
    <row r="6733" spans="2:9" x14ac:dyDescent="0.25">
      <c r="B6733">
        <v>0</v>
      </c>
      <c r="C6733" s="16" t="s">
        <v>15892</v>
      </c>
      <c r="D6733" s="16"/>
      <c r="E6733">
        <v>6</v>
      </c>
      <c r="F6733" t="s">
        <v>4680</v>
      </c>
      <c r="G6733">
        <v>1</v>
      </c>
      <c r="H6733">
        <v>1</v>
      </c>
      <c r="I6733">
        <f>1</f>
        <v>1</v>
      </c>
    </row>
    <row r="6734" spans="2:9" x14ac:dyDescent="0.25">
      <c r="B6734">
        <v>0</v>
      </c>
      <c r="C6734" s="16" t="s">
        <v>15893</v>
      </c>
      <c r="D6734" s="16"/>
      <c r="E6734">
        <v>6</v>
      </c>
      <c r="F6734" t="s">
        <v>7632</v>
      </c>
      <c r="G6734">
        <v>1</v>
      </c>
      <c r="H6734">
        <v>1</v>
      </c>
      <c r="I6734">
        <f>1</f>
        <v>1</v>
      </c>
    </row>
    <row r="6735" spans="2:9" x14ac:dyDescent="0.25">
      <c r="B6735">
        <v>0</v>
      </c>
      <c r="C6735" s="16" t="s">
        <v>15894</v>
      </c>
      <c r="D6735" s="16"/>
      <c r="E6735">
        <v>6</v>
      </c>
      <c r="F6735" t="s">
        <v>7639</v>
      </c>
      <c r="G6735">
        <v>1</v>
      </c>
      <c r="H6735">
        <v>1</v>
      </c>
      <c r="I6735">
        <f>1</f>
        <v>1</v>
      </c>
    </row>
    <row r="6736" spans="2:9" x14ac:dyDescent="0.25">
      <c r="B6736">
        <v>0</v>
      </c>
      <c r="C6736" s="16" t="s">
        <v>15895</v>
      </c>
      <c r="D6736" s="16"/>
      <c r="E6736">
        <v>6</v>
      </c>
      <c r="F6736" t="s">
        <v>4680</v>
      </c>
      <c r="G6736">
        <v>1</v>
      </c>
      <c r="H6736">
        <v>1</v>
      </c>
      <c r="I6736">
        <f>1</f>
        <v>1</v>
      </c>
    </row>
    <row r="6737" spans="2:9" x14ac:dyDescent="0.25">
      <c r="B6737">
        <v>0</v>
      </c>
      <c r="C6737" s="16" t="s">
        <v>15896</v>
      </c>
      <c r="D6737" s="16"/>
      <c r="E6737">
        <v>6</v>
      </c>
      <c r="F6737" t="e">
        <f>-tijolos para construção</f>
        <v>#NAME?</v>
      </c>
      <c r="G6737">
        <v>1</v>
      </c>
      <c r="H6737">
        <v>1</v>
      </c>
      <c r="I6737">
        <f>1</f>
        <v>1</v>
      </c>
    </row>
    <row r="6738" spans="2:9" x14ac:dyDescent="0.25">
      <c r="B6738">
        <v>0</v>
      </c>
      <c r="C6738" s="16" t="s">
        <v>15897</v>
      </c>
      <c r="D6738" s="16"/>
      <c r="E6738">
        <v>6</v>
      </c>
      <c r="F6738" t="e">
        <f>-outros</f>
        <v>#NAME?</v>
      </c>
      <c r="G6738">
        <v>1</v>
      </c>
      <c r="H6738">
        <v>1</v>
      </c>
      <c r="I6738">
        <f>1</f>
        <v>1</v>
      </c>
    </row>
    <row r="6739" spans="2:9" x14ac:dyDescent="0.25">
      <c r="B6739">
        <v>0</v>
      </c>
      <c r="C6739" s="16" t="s">
        <v>15898</v>
      </c>
      <c r="D6739" s="16"/>
      <c r="E6739">
        <v>6</v>
      </c>
      <c r="F6739" t="e">
        <f>-Telhas</f>
        <v>#NAME?</v>
      </c>
      <c r="G6739">
        <v>1</v>
      </c>
      <c r="H6739">
        <v>1</v>
      </c>
      <c r="I6739">
        <f>1</f>
        <v>1</v>
      </c>
    </row>
    <row r="6740" spans="2:9" x14ac:dyDescent="0.25">
      <c r="B6740">
        <v>0</v>
      </c>
      <c r="C6740" s="16" t="s">
        <v>15899</v>
      </c>
      <c r="D6740" s="16"/>
      <c r="E6740">
        <v>6</v>
      </c>
      <c r="F6740" t="e">
        <f>-outros</f>
        <v>#NAME?</v>
      </c>
      <c r="G6740">
        <v>1</v>
      </c>
      <c r="H6740">
        <v>1</v>
      </c>
      <c r="I6740">
        <f>1</f>
        <v>1</v>
      </c>
    </row>
    <row r="6741" spans="2:9" x14ac:dyDescent="0.25">
      <c r="B6741">
        <v>0</v>
      </c>
      <c r="C6741" s="16" t="s">
        <v>15900</v>
      </c>
      <c r="D6741" s="16"/>
      <c r="E6741">
        <v>6</v>
      </c>
      <c r="F6741" t="s">
        <v>7640</v>
      </c>
      <c r="G6741">
        <v>1</v>
      </c>
      <c r="H6741">
        <v>1</v>
      </c>
      <c r="I6741">
        <f>1</f>
        <v>1</v>
      </c>
    </row>
    <row r="6742" spans="2:9" x14ac:dyDescent="0.25">
      <c r="B6742">
        <v>0</v>
      </c>
      <c r="C6742" s="16" t="s">
        <v>15901</v>
      </c>
      <c r="D6742" s="16"/>
      <c r="E6742">
        <v>6</v>
      </c>
      <c r="F6742" t="s">
        <v>7641</v>
      </c>
      <c r="G6742">
        <v>1</v>
      </c>
      <c r="H6742">
        <v>1</v>
      </c>
      <c r="I6742">
        <f>1</f>
        <v>1</v>
      </c>
    </row>
    <row r="6743" spans="2:9" x14ac:dyDescent="0.25">
      <c r="B6743">
        <v>0</v>
      </c>
      <c r="C6743" s="16" t="s">
        <v>15902</v>
      </c>
      <c r="D6743" s="16"/>
      <c r="E6743">
        <v>6</v>
      </c>
      <c r="F6743" t="e">
        <f>-outros</f>
        <v>#NAME?</v>
      </c>
      <c r="G6743">
        <v>1</v>
      </c>
      <c r="H6743">
        <v>1</v>
      </c>
      <c r="I6743">
        <f>1</f>
        <v>1</v>
      </c>
    </row>
    <row r="6744" spans="2:9" x14ac:dyDescent="0.25">
      <c r="B6744">
        <v>0</v>
      </c>
      <c r="C6744" s="16" t="s">
        <v>15903</v>
      </c>
      <c r="D6744" s="16"/>
      <c r="E6744">
        <v>6</v>
      </c>
      <c r="F6744" t="s">
        <v>7641</v>
      </c>
      <c r="G6744">
        <v>1</v>
      </c>
      <c r="H6744">
        <v>1</v>
      </c>
      <c r="I6744">
        <f>1</f>
        <v>1</v>
      </c>
    </row>
    <row r="6745" spans="2:9" x14ac:dyDescent="0.25">
      <c r="B6745">
        <v>0</v>
      </c>
      <c r="C6745" s="16" t="s">
        <v>15904</v>
      </c>
      <c r="D6745" s="16"/>
      <c r="E6745">
        <v>6</v>
      </c>
      <c r="F6745" t="e">
        <f>-outros</f>
        <v>#NAME?</v>
      </c>
      <c r="G6745">
        <v>1</v>
      </c>
      <c r="H6745">
        <v>1</v>
      </c>
      <c r="I6745">
        <f>1</f>
        <v>1</v>
      </c>
    </row>
    <row r="6746" spans="2:9" x14ac:dyDescent="0.25">
      <c r="B6746">
        <v>0</v>
      </c>
      <c r="C6746" s="16" t="s">
        <v>15905</v>
      </c>
      <c r="D6746" s="16"/>
      <c r="E6746">
        <v>6</v>
      </c>
      <c r="F6746" t="e">
        <f>--De porcelana</f>
        <v>#NAME?</v>
      </c>
      <c r="G6746">
        <v>1</v>
      </c>
      <c r="H6746">
        <v>1</v>
      </c>
      <c r="I6746">
        <f>1</f>
        <v>1</v>
      </c>
    </row>
    <row r="6747" spans="2:9" x14ac:dyDescent="0.25">
      <c r="B6747">
        <v>0</v>
      </c>
      <c r="C6747" s="16" t="s">
        <v>15906</v>
      </c>
      <c r="D6747" s="16"/>
      <c r="E6747">
        <v>6</v>
      </c>
      <c r="F6747" t="s">
        <v>7642</v>
      </c>
      <c r="G6747">
        <v>1</v>
      </c>
      <c r="H6747">
        <v>1</v>
      </c>
      <c r="I6747">
        <f>1</f>
        <v>1</v>
      </c>
    </row>
    <row r="6748" spans="2:9" x14ac:dyDescent="0.25">
      <c r="B6748">
        <v>0</v>
      </c>
      <c r="C6748" s="16" t="s">
        <v>15907</v>
      </c>
      <c r="D6748" s="16"/>
      <c r="E6748">
        <v>6</v>
      </c>
      <c r="F6748" t="s">
        <v>7643</v>
      </c>
      <c r="G6748">
        <v>1</v>
      </c>
      <c r="H6748">
        <v>1</v>
      </c>
      <c r="I6748">
        <f>1</f>
        <v>1</v>
      </c>
    </row>
    <row r="6749" spans="2:9" x14ac:dyDescent="0.25">
      <c r="B6749">
        <v>0</v>
      </c>
      <c r="C6749" s="16" t="s">
        <v>15908</v>
      </c>
      <c r="D6749" s="16"/>
      <c r="E6749">
        <v>6</v>
      </c>
      <c r="F6749" t="s">
        <v>7644</v>
      </c>
      <c r="G6749">
        <v>1</v>
      </c>
      <c r="H6749">
        <v>1</v>
      </c>
      <c r="I6749">
        <f>1</f>
        <v>1</v>
      </c>
    </row>
    <row r="6750" spans="2:9" x14ac:dyDescent="0.25">
      <c r="B6750">
        <v>0</v>
      </c>
      <c r="C6750" s="16" t="s">
        <v>15909</v>
      </c>
      <c r="D6750" s="16"/>
      <c r="E6750">
        <v>6</v>
      </c>
      <c r="F6750" t="s">
        <v>4680</v>
      </c>
      <c r="G6750">
        <v>1</v>
      </c>
      <c r="H6750">
        <v>1</v>
      </c>
      <c r="I6750">
        <f>1</f>
        <v>1</v>
      </c>
    </row>
    <row r="6751" spans="2:9" x14ac:dyDescent="0.25">
      <c r="B6751">
        <v>0</v>
      </c>
      <c r="C6751" s="16" t="s">
        <v>15910</v>
      </c>
      <c r="D6751" s="16"/>
      <c r="E6751">
        <v>6</v>
      </c>
      <c r="F6751" t="s">
        <v>7642</v>
      </c>
      <c r="G6751">
        <v>1</v>
      </c>
      <c r="H6751">
        <v>1</v>
      </c>
      <c r="I6751">
        <f>1</f>
        <v>1</v>
      </c>
    </row>
    <row r="6752" spans="2:9" x14ac:dyDescent="0.25">
      <c r="B6752">
        <v>0</v>
      </c>
      <c r="C6752" s="16" t="s">
        <v>15911</v>
      </c>
      <c r="D6752" s="16"/>
      <c r="E6752">
        <v>6</v>
      </c>
      <c r="F6752" t="s">
        <v>7643</v>
      </c>
      <c r="G6752">
        <v>1</v>
      </c>
      <c r="H6752">
        <v>1</v>
      </c>
      <c r="I6752">
        <f>1</f>
        <v>1</v>
      </c>
    </row>
    <row r="6753" spans="2:9" x14ac:dyDescent="0.25">
      <c r="B6753">
        <v>0</v>
      </c>
      <c r="C6753" s="16" t="s">
        <v>15912</v>
      </c>
      <c r="D6753" s="16"/>
      <c r="E6753">
        <v>6</v>
      </c>
      <c r="F6753" t="s">
        <v>7645</v>
      </c>
      <c r="G6753">
        <v>1</v>
      </c>
      <c r="H6753">
        <v>1</v>
      </c>
      <c r="I6753">
        <f>1</f>
        <v>1</v>
      </c>
    </row>
    <row r="6754" spans="2:9" x14ac:dyDescent="0.25">
      <c r="B6754">
        <v>0</v>
      </c>
      <c r="C6754" s="16" t="s">
        <v>15913</v>
      </c>
      <c r="D6754" s="16"/>
      <c r="E6754">
        <v>6</v>
      </c>
      <c r="F6754" t="s">
        <v>4680</v>
      </c>
      <c r="G6754">
        <v>1</v>
      </c>
      <c r="H6754">
        <v>1</v>
      </c>
      <c r="I6754">
        <f>1</f>
        <v>1</v>
      </c>
    </row>
    <row r="6755" spans="2:9" x14ac:dyDescent="0.25">
      <c r="B6755">
        <v>0</v>
      </c>
      <c r="C6755" s="16" t="s">
        <v>15914</v>
      </c>
      <c r="D6755" s="16"/>
      <c r="E6755">
        <v>6</v>
      </c>
      <c r="F6755" t="e">
        <f>-outros</f>
        <v>#NAME?</v>
      </c>
      <c r="G6755">
        <v>1</v>
      </c>
      <c r="H6755">
        <v>1</v>
      </c>
      <c r="I6755">
        <f>1</f>
        <v>1</v>
      </c>
    </row>
    <row r="6756" spans="2:9" x14ac:dyDescent="0.25">
      <c r="B6756">
        <v>0</v>
      </c>
      <c r="C6756" s="16" t="s">
        <v>15915</v>
      </c>
      <c r="D6756" s="16"/>
      <c r="E6756">
        <v>6</v>
      </c>
      <c r="F6756" t="e">
        <f>-De porcelana</f>
        <v>#NAME?</v>
      </c>
      <c r="G6756">
        <v>1</v>
      </c>
      <c r="H6756">
        <v>1</v>
      </c>
      <c r="I6756">
        <f>1</f>
        <v>1</v>
      </c>
    </row>
    <row r="6757" spans="2:9" x14ac:dyDescent="0.25">
      <c r="B6757">
        <v>0</v>
      </c>
      <c r="C6757" s="16" t="s">
        <v>15916</v>
      </c>
      <c r="D6757" s="16"/>
      <c r="E6757">
        <v>6</v>
      </c>
      <c r="F6757" t="e">
        <f>-outros</f>
        <v>#NAME?</v>
      </c>
      <c r="G6757">
        <v>1</v>
      </c>
      <c r="H6757">
        <v>1</v>
      </c>
      <c r="I6757">
        <f>1</f>
        <v>1</v>
      </c>
    </row>
    <row r="6758" spans="2:9" x14ac:dyDescent="0.25">
      <c r="B6758">
        <v>0</v>
      </c>
      <c r="C6758" s="16" t="s">
        <v>15917</v>
      </c>
      <c r="D6758" s="16"/>
      <c r="E6758">
        <v>6</v>
      </c>
      <c r="F6758" t="s">
        <v>7646</v>
      </c>
      <c r="G6758">
        <v>1</v>
      </c>
      <c r="H6758">
        <v>1</v>
      </c>
      <c r="I6758">
        <f>1</f>
        <v>1</v>
      </c>
    </row>
    <row r="6759" spans="2:9" x14ac:dyDescent="0.25">
      <c r="B6759">
        <v>0</v>
      </c>
      <c r="C6759" s="16" t="s">
        <v>15918</v>
      </c>
      <c r="D6759" s="16"/>
      <c r="E6759">
        <v>6</v>
      </c>
      <c r="F6759" t="s">
        <v>4680</v>
      </c>
      <c r="G6759">
        <v>1</v>
      </c>
      <c r="H6759">
        <v>1</v>
      </c>
      <c r="I6759">
        <f>1</f>
        <v>1</v>
      </c>
    </row>
    <row r="6760" spans="2:9" x14ac:dyDescent="0.25">
      <c r="B6760">
        <v>0</v>
      </c>
      <c r="C6760" s="16" t="s">
        <v>15919</v>
      </c>
      <c r="D6760" s="16"/>
      <c r="E6760">
        <v>6</v>
      </c>
      <c r="F6760" t="e">
        <f>-outros</f>
        <v>#NAME?</v>
      </c>
      <c r="G6760">
        <v>1</v>
      </c>
      <c r="H6760">
        <v>1</v>
      </c>
      <c r="I6760">
        <f>1</f>
        <v>1</v>
      </c>
    </row>
    <row r="6761" spans="2:9" x14ac:dyDescent="0.25">
      <c r="B6761">
        <v>0</v>
      </c>
      <c r="C6761" s="16" t="s">
        <v>15920</v>
      </c>
      <c r="D6761" s="16"/>
      <c r="E6761">
        <v>6</v>
      </c>
      <c r="F6761" t="s">
        <v>7647</v>
      </c>
      <c r="G6761">
        <v>1</v>
      </c>
      <c r="H6761">
        <v>1</v>
      </c>
      <c r="I6761">
        <f>1</f>
        <v>1</v>
      </c>
    </row>
    <row r="6762" spans="2:9" x14ac:dyDescent="0.25">
      <c r="B6762">
        <v>0</v>
      </c>
      <c r="C6762" s="16" t="s">
        <v>15921</v>
      </c>
      <c r="D6762" s="16"/>
      <c r="E6762">
        <v>6</v>
      </c>
      <c r="F6762" t="e">
        <f>-De porcelana</f>
        <v>#NAME?</v>
      </c>
      <c r="G6762">
        <v>1</v>
      </c>
      <c r="H6762">
        <v>1</v>
      </c>
      <c r="I6762">
        <f>1</f>
        <v>1</v>
      </c>
    </row>
    <row r="6763" spans="2:9" x14ac:dyDescent="0.25">
      <c r="B6763">
        <v>0</v>
      </c>
      <c r="C6763" s="16" t="s">
        <v>15922</v>
      </c>
      <c r="D6763" s="16"/>
      <c r="E6763">
        <v>6</v>
      </c>
      <c r="F6763" t="e">
        <f>-outros</f>
        <v>#NAME?</v>
      </c>
      <c r="G6763">
        <v>1</v>
      </c>
      <c r="H6763">
        <v>1</v>
      </c>
      <c r="I6763">
        <f>1</f>
        <v>1</v>
      </c>
    </row>
    <row r="6764" spans="2:9" x14ac:dyDescent="0.25">
      <c r="B6764">
        <v>0</v>
      </c>
      <c r="C6764" s="16" t="s">
        <v>15923</v>
      </c>
      <c r="D6764" s="16"/>
      <c r="E6764">
        <v>6</v>
      </c>
      <c r="F6764" t="e">
        <f>-De porcelana</f>
        <v>#NAME?</v>
      </c>
      <c r="G6764">
        <v>1</v>
      </c>
      <c r="H6764">
        <v>1</v>
      </c>
      <c r="I6764">
        <f>1</f>
        <v>1</v>
      </c>
    </row>
    <row r="6765" spans="2:9" x14ac:dyDescent="0.25">
      <c r="B6765">
        <v>0</v>
      </c>
      <c r="C6765" s="16" t="s">
        <v>15924</v>
      </c>
      <c r="D6765" s="16"/>
      <c r="E6765">
        <v>6</v>
      </c>
      <c r="F6765" t="e">
        <f>-Outras</f>
        <v>#NAME?</v>
      </c>
      <c r="G6765">
        <v>1</v>
      </c>
      <c r="H6765">
        <v>1</v>
      </c>
      <c r="I6765">
        <f>1</f>
        <v>1</v>
      </c>
    </row>
    <row r="6766" spans="2:9" x14ac:dyDescent="0.25">
      <c r="B6766">
        <v>0</v>
      </c>
      <c r="C6766" s="16" t="s">
        <v>15925</v>
      </c>
      <c r="D6766" s="16"/>
      <c r="E6766">
        <v>6</v>
      </c>
      <c r="F6766" t="s">
        <v>7648</v>
      </c>
      <c r="G6766">
        <v>1</v>
      </c>
      <c r="H6766">
        <v>1</v>
      </c>
      <c r="I6766">
        <f>1</f>
        <v>1</v>
      </c>
    </row>
    <row r="6767" spans="2:9" x14ac:dyDescent="0.25">
      <c r="B6767">
        <v>0</v>
      </c>
      <c r="C6767" s="16" t="s">
        <v>15925</v>
      </c>
      <c r="D6767" s="16" t="s">
        <v>19430</v>
      </c>
      <c r="E6767">
        <v>6</v>
      </c>
      <c r="F6767" t="s">
        <v>7649</v>
      </c>
      <c r="G6767">
        <v>1</v>
      </c>
      <c r="H6767">
        <v>1</v>
      </c>
      <c r="I6767">
        <f>1</f>
        <v>1</v>
      </c>
    </row>
    <row r="6768" spans="2:9" x14ac:dyDescent="0.25">
      <c r="B6768">
        <v>0</v>
      </c>
      <c r="C6768" s="16" t="s">
        <v>15925</v>
      </c>
      <c r="D6768" s="16" t="s">
        <v>19431</v>
      </c>
      <c r="E6768">
        <v>6</v>
      </c>
      <c r="F6768" t="s">
        <v>7650</v>
      </c>
      <c r="G6768">
        <v>1</v>
      </c>
      <c r="H6768">
        <v>1</v>
      </c>
      <c r="I6768">
        <f>1</f>
        <v>1</v>
      </c>
    </row>
    <row r="6769" spans="2:9" x14ac:dyDescent="0.25">
      <c r="B6769">
        <v>0</v>
      </c>
      <c r="C6769" s="16" t="s">
        <v>15926</v>
      </c>
      <c r="D6769" s="16"/>
      <c r="E6769">
        <v>6</v>
      </c>
      <c r="F6769" t="e">
        <f>-Esferas</f>
        <v>#NAME?</v>
      </c>
      <c r="G6769">
        <v>1</v>
      </c>
      <c r="H6769">
        <v>1</v>
      </c>
      <c r="I6769">
        <f>1</f>
        <v>1</v>
      </c>
    </row>
    <row r="6770" spans="2:9" x14ac:dyDescent="0.25">
      <c r="B6770">
        <v>0</v>
      </c>
      <c r="C6770" s="16" t="s">
        <v>15926</v>
      </c>
      <c r="D6770" s="16" t="s">
        <v>19430</v>
      </c>
      <c r="E6770">
        <v>6</v>
      </c>
      <c r="F6770" t="s">
        <v>7651</v>
      </c>
      <c r="G6770">
        <v>1</v>
      </c>
      <c r="H6770">
        <v>1</v>
      </c>
      <c r="I6770">
        <f>1</f>
        <v>1</v>
      </c>
    </row>
    <row r="6771" spans="2:9" x14ac:dyDescent="0.25">
      <c r="B6771">
        <v>0</v>
      </c>
      <c r="C6771" s="16" t="s">
        <v>15927</v>
      </c>
      <c r="D6771" s="16"/>
      <c r="E6771">
        <v>6</v>
      </c>
      <c r="F6771" t="e">
        <f>-barras ou varetas</f>
        <v>#NAME?</v>
      </c>
      <c r="G6771">
        <v>1</v>
      </c>
      <c r="H6771">
        <v>1</v>
      </c>
      <c r="I6771">
        <f>1</f>
        <v>1</v>
      </c>
    </row>
    <row r="6772" spans="2:9" x14ac:dyDescent="0.25">
      <c r="B6772">
        <v>0</v>
      </c>
      <c r="C6772" s="16" t="s">
        <v>15927</v>
      </c>
      <c r="D6772" s="16" t="s">
        <v>19430</v>
      </c>
      <c r="E6772">
        <v>6</v>
      </c>
      <c r="F6772" t="s">
        <v>7651</v>
      </c>
      <c r="G6772">
        <v>1</v>
      </c>
      <c r="H6772">
        <v>1</v>
      </c>
      <c r="I6772">
        <f>1</f>
        <v>1</v>
      </c>
    </row>
    <row r="6773" spans="2:9" x14ac:dyDescent="0.25">
      <c r="B6773">
        <v>0</v>
      </c>
      <c r="C6773" s="16" t="s">
        <v>15928</v>
      </c>
      <c r="D6773" s="16"/>
      <c r="E6773">
        <v>6</v>
      </c>
      <c r="F6773" t="e">
        <f>--De Quartzo ou De Outras sílicas fundidos</f>
        <v>#NAME?</v>
      </c>
      <c r="G6773">
        <v>1</v>
      </c>
      <c r="H6773">
        <v>1</v>
      </c>
      <c r="I6773">
        <f>1</f>
        <v>1</v>
      </c>
    </row>
    <row r="6774" spans="2:9" x14ac:dyDescent="0.25">
      <c r="B6774">
        <v>0</v>
      </c>
      <c r="C6774" s="16" t="s">
        <v>15928</v>
      </c>
      <c r="D6774" s="16" t="s">
        <v>19430</v>
      </c>
      <c r="E6774">
        <v>6</v>
      </c>
      <c r="F6774" t="s">
        <v>7651</v>
      </c>
      <c r="G6774">
        <v>1</v>
      </c>
      <c r="H6774">
        <v>1</v>
      </c>
      <c r="I6774">
        <f>1</f>
        <v>1</v>
      </c>
    </row>
    <row r="6775" spans="2:9" x14ac:dyDescent="0.25">
      <c r="B6775">
        <v>0</v>
      </c>
      <c r="C6775" s="16" t="s">
        <v>15929</v>
      </c>
      <c r="D6775" s="16"/>
      <c r="E6775">
        <v>6</v>
      </c>
      <c r="F6775" t="s">
        <v>7652</v>
      </c>
      <c r="G6775">
        <v>1</v>
      </c>
      <c r="H6775">
        <v>1</v>
      </c>
      <c r="I6775">
        <f>1</f>
        <v>1</v>
      </c>
    </row>
    <row r="6776" spans="2:9" x14ac:dyDescent="0.25">
      <c r="B6776">
        <v>0</v>
      </c>
      <c r="C6776" s="16" t="s">
        <v>15929</v>
      </c>
      <c r="D6776" s="16" t="s">
        <v>19430</v>
      </c>
      <c r="E6776">
        <v>6</v>
      </c>
      <c r="F6776" t="s">
        <v>7651</v>
      </c>
      <c r="G6776">
        <v>1</v>
      </c>
      <c r="H6776">
        <v>1</v>
      </c>
      <c r="I6776">
        <f>1</f>
        <v>1</v>
      </c>
    </row>
    <row r="6777" spans="2:9" x14ac:dyDescent="0.25">
      <c r="B6777">
        <v>0</v>
      </c>
      <c r="C6777" s="16" t="s">
        <v>15930</v>
      </c>
      <c r="D6777" s="16"/>
      <c r="E6777">
        <v>6</v>
      </c>
      <c r="F6777" t="e">
        <f>--outros</f>
        <v>#NAME?</v>
      </c>
      <c r="G6777">
        <v>1</v>
      </c>
      <c r="H6777">
        <v>1</v>
      </c>
      <c r="I6777">
        <f>1</f>
        <v>1</v>
      </c>
    </row>
    <row r="6778" spans="2:9" x14ac:dyDescent="0.25">
      <c r="B6778">
        <v>0</v>
      </c>
      <c r="C6778" s="16" t="s">
        <v>15930</v>
      </c>
      <c r="D6778" s="16" t="s">
        <v>19430</v>
      </c>
      <c r="E6778">
        <v>6</v>
      </c>
      <c r="F6778" t="s">
        <v>7651</v>
      </c>
      <c r="G6778">
        <v>1</v>
      </c>
      <c r="H6778">
        <v>1</v>
      </c>
      <c r="I6778">
        <f>1</f>
        <v>1</v>
      </c>
    </row>
    <row r="6779" spans="2:9" x14ac:dyDescent="0.25">
      <c r="B6779">
        <v>0</v>
      </c>
      <c r="C6779" s="16" t="s">
        <v>15931</v>
      </c>
      <c r="D6779" s="16"/>
      <c r="E6779">
        <v>6</v>
      </c>
      <c r="F6779" t="s">
        <v>7653</v>
      </c>
      <c r="G6779">
        <v>1</v>
      </c>
      <c r="H6779">
        <v>1</v>
      </c>
      <c r="I6779">
        <f>1</f>
        <v>1</v>
      </c>
    </row>
    <row r="6780" spans="2:9" x14ac:dyDescent="0.25">
      <c r="B6780">
        <v>0</v>
      </c>
      <c r="C6780" s="16" t="s">
        <v>15931</v>
      </c>
      <c r="D6780" s="16" t="s">
        <v>19430</v>
      </c>
      <c r="E6780">
        <v>6</v>
      </c>
      <c r="F6780" t="s">
        <v>7651</v>
      </c>
      <c r="G6780">
        <v>1</v>
      </c>
      <c r="H6780">
        <v>1</v>
      </c>
      <c r="I6780">
        <f>1</f>
        <v>1</v>
      </c>
    </row>
    <row r="6781" spans="2:9" x14ac:dyDescent="0.25">
      <c r="B6781">
        <v>0</v>
      </c>
      <c r="C6781" s="16" t="s">
        <v>15932</v>
      </c>
      <c r="D6781" s="16"/>
      <c r="E6781">
        <v>6</v>
      </c>
      <c r="F6781" t="e">
        <f>--Outras</f>
        <v>#NAME?</v>
      </c>
      <c r="G6781">
        <v>1</v>
      </c>
      <c r="H6781">
        <v>1</v>
      </c>
      <c r="I6781">
        <f>1</f>
        <v>1</v>
      </c>
    </row>
    <row r="6782" spans="2:9" x14ac:dyDescent="0.25">
      <c r="B6782">
        <v>0</v>
      </c>
      <c r="C6782" s="16" t="s">
        <v>15932</v>
      </c>
      <c r="D6782" s="16" t="s">
        <v>19430</v>
      </c>
      <c r="E6782">
        <v>6</v>
      </c>
      <c r="F6782" t="s">
        <v>7651</v>
      </c>
      <c r="G6782">
        <v>1</v>
      </c>
      <c r="H6782">
        <v>1</v>
      </c>
      <c r="I6782">
        <f>1</f>
        <v>1</v>
      </c>
    </row>
    <row r="6783" spans="2:9" x14ac:dyDescent="0.25">
      <c r="B6783">
        <v>0</v>
      </c>
      <c r="C6783" s="16" t="s">
        <v>15933</v>
      </c>
      <c r="D6783" s="16"/>
      <c r="E6783">
        <v>6</v>
      </c>
      <c r="F6783" t="s">
        <v>7654</v>
      </c>
      <c r="G6783">
        <v>1</v>
      </c>
      <c r="H6783">
        <v>1</v>
      </c>
      <c r="I6783">
        <f>1</f>
        <v>1</v>
      </c>
    </row>
    <row r="6784" spans="2:9" x14ac:dyDescent="0.25">
      <c r="B6784">
        <v>0</v>
      </c>
      <c r="C6784" s="16" t="s">
        <v>15934</v>
      </c>
      <c r="D6784" s="16"/>
      <c r="E6784">
        <v>6</v>
      </c>
      <c r="F6784" t="e">
        <f>-Perfis</f>
        <v>#NAME?</v>
      </c>
      <c r="G6784">
        <v>1</v>
      </c>
      <c r="H6784">
        <v>1</v>
      </c>
      <c r="I6784">
        <f>1</f>
        <v>1</v>
      </c>
    </row>
    <row r="6785" spans="2:9" x14ac:dyDescent="0.25">
      <c r="B6785">
        <v>0</v>
      </c>
      <c r="C6785" s="16" t="s">
        <v>15935</v>
      </c>
      <c r="D6785" s="16"/>
      <c r="E6785">
        <v>6</v>
      </c>
      <c r="F6785" t="s">
        <v>7655</v>
      </c>
      <c r="G6785">
        <v>1</v>
      </c>
      <c r="H6785">
        <v>1</v>
      </c>
      <c r="I6785">
        <f>1</f>
        <v>1</v>
      </c>
    </row>
    <row r="6786" spans="2:9" x14ac:dyDescent="0.25">
      <c r="B6786">
        <v>0</v>
      </c>
      <c r="C6786" s="16" t="s">
        <v>15935</v>
      </c>
      <c r="D6786" s="16" t="s">
        <v>19430</v>
      </c>
      <c r="E6786">
        <v>6</v>
      </c>
      <c r="F6786" t="s">
        <v>7651</v>
      </c>
      <c r="G6786">
        <v>1</v>
      </c>
      <c r="H6786">
        <v>1</v>
      </c>
      <c r="I6786">
        <f>1</f>
        <v>1</v>
      </c>
    </row>
    <row r="6787" spans="2:9" x14ac:dyDescent="0.25">
      <c r="B6787">
        <v>0</v>
      </c>
      <c r="C6787" s="16" t="s">
        <v>15936</v>
      </c>
      <c r="D6787" s="16"/>
      <c r="E6787">
        <v>6</v>
      </c>
      <c r="F6787" t="e">
        <f>-outro vidro</f>
        <v>#NAME?</v>
      </c>
      <c r="G6787">
        <v>1</v>
      </c>
      <c r="H6787">
        <v>1</v>
      </c>
      <c r="I6787">
        <f>1</f>
        <v>1</v>
      </c>
    </row>
    <row r="6788" spans="2:9" x14ac:dyDescent="0.25">
      <c r="B6788">
        <v>0</v>
      </c>
      <c r="C6788" s="16" t="s">
        <v>15936</v>
      </c>
      <c r="D6788" s="16" t="s">
        <v>19430</v>
      </c>
      <c r="E6788">
        <v>6</v>
      </c>
      <c r="F6788" t="s">
        <v>7651</v>
      </c>
      <c r="G6788">
        <v>1</v>
      </c>
      <c r="H6788">
        <v>1</v>
      </c>
      <c r="I6788">
        <f>1</f>
        <v>1</v>
      </c>
    </row>
    <row r="6789" spans="2:9" x14ac:dyDescent="0.25">
      <c r="B6789">
        <v>0</v>
      </c>
      <c r="C6789" s="16" t="s">
        <v>15937</v>
      </c>
      <c r="D6789" s="16"/>
      <c r="E6789">
        <v>6</v>
      </c>
      <c r="F6789" t="s">
        <v>7656</v>
      </c>
      <c r="G6789">
        <v>1</v>
      </c>
      <c r="H6789">
        <v>1</v>
      </c>
      <c r="I6789">
        <f>1</f>
        <v>1</v>
      </c>
    </row>
    <row r="6790" spans="2:9" x14ac:dyDescent="0.25">
      <c r="B6790">
        <v>0</v>
      </c>
      <c r="C6790" s="16" t="s">
        <v>15937</v>
      </c>
      <c r="D6790" s="16" t="s">
        <v>19430</v>
      </c>
      <c r="E6790">
        <v>6</v>
      </c>
      <c r="F6790" t="s">
        <v>7651</v>
      </c>
      <c r="G6790">
        <v>1</v>
      </c>
      <c r="H6790">
        <v>1</v>
      </c>
      <c r="I6790">
        <f>1</f>
        <v>1</v>
      </c>
    </row>
    <row r="6791" spans="2:9" x14ac:dyDescent="0.25">
      <c r="B6791">
        <v>0</v>
      </c>
      <c r="C6791" s="16" t="s">
        <v>15938</v>
      </c>
      <c r="D6791" s="16"/>
      <c r="E6791">
        <v>6</v>
      </c>
      <c r="F6791" t="s">
        <v>7657</v>
      </c>
      <c r="G6791">
        <v>1</v>
      </c>
      <c r="H6791">
        <v>1</v>
      </c>
      <c r="I6791">
        <f>1</f>
        <v>1</v>
      </c>
    </row>
    <row r="6792" spans="2:9" x14ac:dyDescent="0.25">
      <c r="B6792">
        <v>0</v>
      </c>
      <c r="C6792" s="16" t="s">
        <v>15938</v>
      </c>
      <c r="D6792" s="16" t="s">
        <v>19430</v>
      </c>
      <c r="E6792">
        <v>6</v>
      </c>
      <c r="F6792" t="s">
        <v>7651</v>
      </c>
      <c r="G6792">
        <v>1</v>
      </c>
      <c r="H6792">
        <v>1</v>
      </c>
      <c r="I6792">
        <f>1</f>
        <v>1</v>
      </c>
    </row>
    <row r="6793" spans="2:9" x14ac:dyDescent="0.25">
      <c r="B6793">
        <v>0</v>
      </c>
      <c r="C6793" s="16" t="s">
        <v>15939</v>
      </c>
      <c r="D6793" s="16"/>
      <c r="E6793">
        <v>6</v>
      </c>
      <c r="F6793" t="e">
        <f>--outro</f>
        <v>#NAME?</v>
      </c>
      <c r="G6793">
        <v>1</v>
      </c>
      <c r="H6793">
        <v>1</v>
      </c>
      <c r="I6793">
        <f>1</f>
        <v>1</v>
      </c>
    </row>
    <row r="6794" spans="2:9" x14ac:dyDescent="0.25">
      <c r="B6794">
        <v>0</v>
      </c>
      <c r="C6794" s="16" t="s">
        <v>15939</v>
      </c>
      <c r="D6794" s="16" t="s">
        <v>19430</v>
      </c>
      <c r="E6794">
        <v>6</v>
      </c>
      <c r="F6794" t="s">
        <v>7651</v>
      </c>
      <c r="G6794">
        <v>1</v>
      </c>
      <c r="H6794">
        <v>1</v>
      </c>
      <c r="I6794">
        <f>1</f>
        <v>1</v>
      </c>
    </row>
    <row r="6795" spans="2:9" x14ac:dyDescent="0.25">
      <c r="B6795">
        <v>0</v>
      </c>
      <c r="C6795" s="16" t="s">
        <v>15940</v>
      </c>
      <c r="D6795" s="16"/>
      <c r="E6795">
        <v>6</v>
      </c>
      <c r="F6795" t="e">
        <f>-vidro armado</f>
        <v>#NAME?</v>
      </c>
      <c r="G6795">
        <v>1</v>
      </c>
      <c r="H6795">
        <v>1</v>
      </c>
      <c r="I6795">
        <f>1</f>
        <v>1</v>
      </c>
    </row>
    <row r="6796" spans="2:9" x14ac:dyDescent="0.25">
      <c r="B6796">
        <v>0</v>
      </c>
      <c r="C6796" s="16" t="s">
        <v>15941</v>
      </c>
      <c r="D6796" s="16"/>
      <c r="E6796">
        <v>6</v>
      </c>
      <c r="F6796" t="s">
        <v>7658</v>
      </c>
      <c r="G6796">
        <v>1</v>
      </c>
      <c r="H6796">
        <v>1</v>
      </c>
      <c r="I6796">
        <f>1</f>
        <v>1</v>
      </c>
    </row>
    <row r="6797" spans="2:9" x14ac:dyDescent="0.25">
      <c r="B6797">
        <v>0</v>
      </c>
      <c r="C6797" s="16" t="s">
        <v>15941</v>
      </c>
      <c r="D6797" s="16" t="s">
        <v>19430</v>
      </c>
      <c r="E6797">
        <v>6</v>
      </c>
      <c r="F6797" t="s">
        <v>7651</v>
      </c>
      <c r="G6797">
        <v>1</v>
      </c>
      <c r="H6797">
        <v>1</v>
      </c>
      <c r="I6797">
        <f>1</f>
        <v>1</v>
      </c>
    </row>
    <row r="6798" spans="2:9" x14ac:dyDescent="0.25">
      <c r="B6798">
        <v>0</v>
      </c>
      <c r="C6798" s="16" t="s">
        <v>15942</v>
      </c>
      <c r="D6798" s="16"/>
      <c r="E6798">
        <v>6</v>
      </c>
      <c r="F6798" t="s">
        <v>7659</v>
      </c>
      <c r="G6798">
        <v>1</v>
      </c>
      <c r="H6798">
        <v>1</v>
      </c>
      <c r="I6798">
        <f>1</f>
        <v>1</v>
      </c>
    </row>
    <row r="6799" spans="2:9" x14ac:dyDescent="0.25">
      <c r="B6799">
        <v>0</v>
      </c>
      <c r="C6799" s="16" t="s">
        <v>15942</v>
      </c>
      <c r="D6799" s="16" t="s">
        <v>19430</v>
      </c>
      <c r="E6799">
        <v>6</v>
      </c>
      <c r="F6799" t="s">
        <v>7660</v>
      </c>
      <c r="G6799">
        <v>1</v>
      </c>
      <c r="H6799">
        <v>1</v>
      </c>
      <c r="I6799">
        <f>1</f>
        <v>1</v>
      </c>
    </row>
    <row r="6800" spans="2:9" x14ac:dyDescent="0.25">
      <c r="B6800">
        <v>0</v>
      </c>
      <c r="C6800" s="16" t="s">
        <v>15943</v>
      </c>
      <c r="D6800" s="16"/>
      <c r="E6800">
        <v>6</v>
      </c>
      <c r="F6800" t="e">
        <f>--outros</f>
        <v>#NAME?</v>
      </c>
      <c r="G6800">
        <v>1</v>
      </c>
      <c r="H6800">
        <v>1</v>
      </c>
      <c r="I6800">
        <f>1</f>
        <v>1</v>
      </c>
    </row>
    <row r="6801" spans="2:9" x14ac:dyDescent="0.25">
      <c r="B6801">
        <v>0</v>
      </c>
      <c r="C6801" s="16" t="s">
        <v>15944</v>
      </c>
      <c r="D6801" s="16"/>
      <c r="E6801">
        <v>6</v>
      </c>
      <c r="F6801" t="s">
        <v>7659</v>
      </c>
      <c r="G6801">
        <v>1</v>
      </c>
      <c r="H6801">
        <v>1</v>
      </c>
      <c r="I6801">
        <f>1</f>
        <v>1</v>
      </c>
    </row>
    <row r="6802" spans="2:9" x14ac:dyDescent="0.25">
      <c r="B6802">
        <v>0</v>
      </c>
      <c r="C6802" s="16" t="s">
        <v>15944</v>
      </c>
      <c r="D6802" s="16" t="s">
        <v>19430</v>
      </c>
      <c r="E6802">
        <v>6</v>
      </c>
      <c r="F6802" t="s">
        <v>7661</v>
      </c>
      <c r="G6802">
        <v>1</v>
      </c>
      <c r="H6802">
        <v>1</v>
      </c>
      <c r="I6802">
        <f>1</f>
        <v>1</v>
      </c>
    </row>
    <row r="6803" spans="2:9" x14ac:dyDescent="0.25">
      <c r="B6803">
        <v>0</v>
      </c>
      <c r="C6803" s="16" t="s">
        <v>15945</v>
      </c>
      <c r="D6803" s="16"/>
      <c r="E6803">
        <v>6</v>
      </c>
      <c r="F6803" t="e">
        <f>--outros</f>
        <v>#NAME?</v>
      </c>
      <c r="G6803">
        <v>1</v>
      </c>
      <c r="H6803">
        <v>1</v>
      </c>
      <c r="I6803">
        <f>1</f>
        <v>1</v>
      </c>
    </row>
    <row r="6804" spans="2:9" x14ac:dyDescent="0.25">
      <c r="B6804">
        <v>0</v>
      </c>
      <c r="C6804" s="16" t="s">
        <v>15946</v>
      </c>
      <c r="D6804" s="16"/>
      <c r="E6804">
        <v>6</v>
      </c>
      <c r="F6804" t="s">
        <v>7662</v>
      </c>
      <c r="G6804">
        <v>1</v>
      </c>
      <c r="H6804">
        <v>1</v>
      </c>
      <c r="I6804">
        <f>1</f>
        <v>1</v>
      </c>
    </row>
    <row r="6805" spans="2:9" x14ac:dyDescent="0.25">
      <c r="B6805">
        <v>0</v>
      </c>
      <c r="C6805" s="16" t="s">
        <v>15947</v>
      </c>
      <c r="D6805" s="16"/>
      <c r="E6805">
        <v>6</v>
      </c>
      <c r="F6805" t="e">
        <f>-Espelhos retrovisores para veículos</f>
        <v>#NAME?</v>
      </c>
      <c r="G6805">
        <v>1</v>
      </c>
      <c r="H6805">
        <v>1</v>
      </c>
      <c r="I6805">
        <f>1</f>
        <v>1</v>
      </c>
    </row>
    <row r="6806" spans="2:9" x14ac:dyDescent="0.25">
      <c r="B6806">
        <v>0</v>
      </c>
      <c r="C6806" s="16" t="s">
        <v>15947</v>
      </c>
      <c r="D6806" s="16" t="s">
        <v>19430</v>
      </c>
      <c r="E6806">
        <v>6</v>
      </c>
      <c r="F6806" t="s">
        <v>7663</v>
      </c>
      <c r="G6806">
        <v>1</v>
      </c>
      <c r="H6806">
        <v>1</v>
      </c>
      <c r="I6806">
        <f>1</f>
        <v>1</v>
      </c>
    </row>
    <row r="6807" spans="2:9" x14ac:dyDescent="0.25">
      <c r="B6807">
        <v>0</v>
      </c>
      <c r="C6807" s="16" t="s">
        <v>15948</v>
      </c>
      <c r="D6807" s="16"/>
      <c r="E6807">
        <v>6</v>
      </c>
      <c r="F6807" t="e">
        <f>--Não emoldurados</f>
        <v>#NAME?</v>
      </c>
      <c r="G6807">
        <v>1</v>
      </c>
      <c r="H6807">
        <v>1</v>
      </c>
      <c r="I6807">
        <f>1</f>
        <v>1</v>
      </c>
    </row>
    <row r="6808" spans="2:9" x14ac:dyDescent="0.25">
      <c r="B6808">
        <v>0</v>
      </c>
      <c r="C6808" s="16" t="s">
        <v>15949</v>
      </c>
      <c r="D6808" s="16"/>
      <c r="E6808">
        <v>6</v>
      </c>
      <c r="F6808" t="e">
        <f>--emoldurados</f>
        <v>#NAME?</v>
      </c>
      <c r="G6808">
        <v>1</v>
      </c>
      <c r="H6808">
        <v>1</v>
      </c>
      <c r="I6808">
        <f>1</f>
        <v>1</v>
      </c>
    </row>
    <row r="6809" spans="2:9" x14ac:dyDescent="0.25">
      <c r="B6809">
        <v>0</v>
      </c>
      <c r="C6809" s="16" t="s">
        <v>15950</v>
      </c>
      <c r="D6809" s="16"/>
      <c r="E6809">
        <v>6</v>
      </c>
      <c r="F6809" t="e">
        <f>-Ampolas</f>
        <v>#NAME?</v>
      </c>
      <c r="G6809">
        <v>1</v>
      </c>
      <c r="H6809">
        <v>1</v>
      </c>
      <c r="I6809">
        <f>1</f>
        <v>1</v>
      </c>
    </row>
    <row r="6810" spans="2:9" x14ac:dyDescent="0.25">
      <c r="B6810">
        <v>0</v>
      </c>
      <c r="C6810" s="16" t="s">
        <v>15951</v>
      </c>
      <c r="D6810" s="16"/>
      <c r="E6810">
        <v>6</v>
      </c>
      <c r="F6810" t="s">
        <v>7664</v>
      </c>
      <c r="G6810">
        <v>1</v>
      </c>
      <c r="H6810">
        <v>1</v>
      </c>
      <c r="I6810">
        <f>1</f>
        <v>1</v>
      </c>
    </row>
    <row r="6811" spans="2:9" x14ac:dyDescent="0.25">
      <c r="B6811">
        <v>0</v>
      </c>
      <c r="C6811" s="16" t="s">
        <v>15952</v>
      </c>
      <c r="D6811" s="16"/>
      <c r="E6811">
        <v>6</v>
      </c>
      <c r="F6811" t="s">
        <v>7665</v>
      </c>
      <c r="G6811">
        <v>1</v>
      </c>
      <c r="H6811">
        <v>1</v>
      </c>
      <c r="I6811">
        <f>1</f>
        <v>1</v>
      </c>
    </row>
    <row r="6812" spans="2:9" x14ac:dyDescent="0.25">
      <c r="B6812">
        <v>0</v>
      </c>
      <c r="C6812" s="16" t="s">
        <v>15953</v>
      </c>
      <c r="D6812" s="16"/>
      <c r="E6812">
        <v>6</v>
      </c>
      <c r="F6812" t="s">
        <v>7666</v>
      </c>
      <c r="G6812">
        <v>1</v>
      </c>
      <c r="H6812">
        <v>1</v>
      </c>
      <c r="I6812">
        <f>1</f>
        <v>1</v>
      </c>
    </row>
    <row r="6813" spans="2:9" x14ac:dyDescent="0.25">
      <c r="B6813">
        <v>0</v>
      </c>
      <c r="C6813" s="16" t="s">
        <v>15954</v>
      </c>
      <c r="D6813" s="16"/>
      <c r="E6813">
        <v>6</v>
      </c>
      <c r="F6813" t="s">
        <v>7665</v>
      </c>
      <c r="G6813">
        <v>1</v>
      </c>
      <c r="H6813">
        <v>1</v>
      </c>
      <c r="I6813">
        <f>1</f>
        <v>1</v>
      </c>
    </row>
    <row r="6814" spans="2:9" x14ac:dyDescent="0.25">
      <c r="B6814">
        <v>0</v>
      </c>
      <c r="C6814" s="16" t="s">
        <v>15955</v>
      </c>
      <c r="D6814" s="16"/>
      <c r="E6814">
        <v>6</v>
      </c>
      <c r="F6814" t="s">
        <v>7666</v>
      </c>
      <c r="G6814">
        <v>1</v>
      </c>
      <c r="H6814">
        <v>1</v>
      </c>
      <c r="I6814">
        <f>1</f>
        <v>1</v>
      </c>
    </row>
    <row r="6815" spans="2:9" x14ac:dyDescent="0.25">
      <c r="B6815">
        <v>0</v>
      </c>
      <c r="C6815" s="16" t="s">
        <v>15956</v>
      </c>
      <c r="D6815" s="16"/>
      <c r="E6815">
        <v>6</v>
      </c>
      <c r="F6815" t="s">
        <v>4680</v>
      </c>
      <c r="G6815">
        <v>1</v>
      </c>
      <c r="H6815">
        <v>1</v>
      </c>
      <c r="I6815">
        <f>1</f>
        <v>1</v>
      </c>
    </row>
    <row r="6816" spans="2:9" x14ac:dyDescent="0.25">
      <c r="B6816">
        <v>0</v>
      </c>
      <c r="C6816" s="16" t="s">
        <v>15957</v>
      </c>
      <c r="D6816" s="16"/>
      <c r="E6816">
        <v>6</v>
      </c>
      <c r="F6816" t="s">
        <v>7667</v>
      </c>
      <c r="G6816">
        <v>1</v>
      </c>
      <c r="H6816">
        <v>1</v>
      </c>
      <c r="I6816">
        <f>1</f>
        <v>1</v>
      </c>
    </row>
    <row r="6817" spans="2:9" x14ac:dyDescent="0.25">
      <c r="B6817">
        <v>0</v>
      </c>
      <c r="C6817" s="16" t="s">
        <v>15958</v>
      </c>
      <c r="D6817" s="16"/>
      <c r="E6817">
        <v>6</v>
      </c>
      <c r="F6817" t="s">
        <v>7668</v>
      </c>
      <c r="G6817">
        <v>1</v>
      </c>
      <c r="H6817">
        <v>1</v>
      </c>
      <c r="I6817">
        <f>1</f>
        <v>1</v>
      </c>
    </row>
    <row r="6818" spans="2:9" x14ac:dyDescent="0.25">
      <c r="B6818">
        <v>0</v>
      </c>
      <c r="C6818" s="16" t="s">
        <v>15959</v>
      </c>
      <c r="D6818" s="16"/>
      <c r="E6818">
        <v>6</v>
      </c>
      <c r="F6818" t="s">
        <v>4680</v>
      </c>
      <c r="G6818">
        <v>1</v>
      </c>
      <c r="H6818">
        <v>1</v>
      </c>
      <c r="I6818">
        <f>1</f>
        <v>1</v>
      </c>
    </row>
    <row r="6819" spans="2:9" x14ac:dyDescent="0.25">
      <c r="B6819">
        <v>0</v>
      </c>
      <c r="C6819" s="16" t="s">
        <v>15960</v>
      </c>
      <c r="D6819" s="16"/>
      <c r="E6819">
        <v>6</v>
      </c>
      <c r="F6819" t="s">
        <v>4680</v>
      </c>
      <c r="G6819">
        <v>1</v>
      </c>
      <c r="H6819">
        <v>1</v>
      </c>
      <c r="I6819">
        <f>1</f>
        <v>1</v>
      </c>
    </row>
    <row r="6820" spans="2:9" x14ac:dyDescent="0.25">
      <c r="B6820">
        <v>0</v>
      </c>
      <c r="C6820" s="16" t="s">
        <v>15961</v>
      </c>
      <c r="D6820" s="16"/>
      <c r="E6820">
        <v>6</v>
      </c>
      <c r="F6820" t="e">
        <f>-para Tubos catódicos</f>
        <v>#NAME?</v>
      </c>
      <c r="G6820">
        <v>1</v>
      </c>
      <c r="H6820">
        <v>1</v>
      </c>
      <c r="I6820">
        <f>1</f>
        <v>1</v>
      </c>
    </row>
    <row r="6821" spans="2:9" x14ac:dyDescent="0.25">
      <c r="B6821">
        <v>0</v>
      </c>
      <c r="C6821" s="16" t="s">
        <v>15962</v>
      </c>
      <c r="D6821" s="16"/>
      <c r="E6821">
        <v>6</v>
      </c>
      <c r="F6821" t="e">
        <f>-outros</f>
        <v>#NAME?</v>
      </c>
      <c r="G6821">
        <v>1</v>
      </c>
      <c r="H6821">
        <v>1</v>
      </c>
      <c r="I6821">
        <f>1</f>
        <v>1</v>
      </c>
    </row>
    <row r="6822" spans="2:9" x14ac:dyDescent="0.25">
      <c r="B6822">
        <v>0</v>
      </c>
      <c r="C6822" s="16" t="s">
        <v>15963</v>
      </c>
      <c r="D6822" s="16"/>
      <c r="E6822">
        <v>6</v>
      </c>
      <c r="F6822" t="e">
        <f>-objetos De vitrocerâmica</f>
        <v>#NAME?</v>
      </c>
      <c r="G6822">
        <v>1</v>
      </c>
      <c r="H6822">
        <v>1</v>
      </c>
      <c r="I6822">
        <f>1</f>
        <v>1</v>
      </c>
    </row>
    <row r="6823" spans="2:9" x14ac:dyDescent="0.25">
      <c r="B6823">
        <v>0</v>
      </c>
      <c r="C6823" s="16" t="s">
        <v>15964</v>
      </c>
      <c r="D6823" s="16"/>
      <c r="E6823">
        <v>6</v>
      </c>
      <c r="F6823" t="e">
        <f>--De cristal De chumbo</f>
        <v>#NAME?</v>
      </c>
      <c r="G6823">
        <v>1</v>
      </c>
      <c r="H6823">
        <v>1</v>
      </c>
      <c r="I6823">
        <f>1</f>
        <v>1</v>
      </c>
    </row>
    <row r="6824" spans="2:9" x14ac:dyDescent="0.25">
      <c r="B6824">
        <v>0</v>
      </c>
      <c r="C6824" s="16" t="s">
        <v>15965</v>
      </c>
      <c r="D6824" s="16"/>
      <c r="E6824">
        <v>6</v>
      </c>
      <c r="F6824" t="e">
        <f>--outros</f>
        <v>#NAME?</v>
      </c>
      <c r="G6824">
        <v>1</v>
      </c>
      <c r="H6824">
        <v>1</v>
      </c>
      <c r="I6824">
        <f>1</f>
        <v>1</v>
      </c>
    </row>
    <row r="6825" spans="2:9" x14ac:dyDescent="0.25">
      <c r="B6825">
        <v>0</v>
      </c>
      <c r="C6825" s="16" t="s">
        <v>15966</v>
      </c>
      <c r="D6825" s="16"/>
      <c r="E6825">
        <v>6</v>
      </c>
      <c r="F6825" t="e">
        <f>--De cristal De chumbo</f>
        <v>#NAME?</v>
      </c>
      <c r="G6825">
        <v>1</v>
      </c>
      <c r="H6825">
        <v>1</v>
      </c>
      <c r="I6825">
        <f>1</f>
        <v>1</v>
      </c>
    </row>
    <row r="6826" spans="2:9" x14ac:dyDescent="0.25">
      <c r="B6826">
        <v>0</v>
      </c>
      <c r="C6826" s="16" t="s">
        <v>15967</v>
      </c>
      <c r="D6826" s="16"/>
      <c r="E6826">
        <v>6</v>
      </c>
      <c r="F6826" t="e">
        <f>--outros</f>
        <v>#NAME?</v>
      </c>
      <c r="G6826">
        <v>1</v>
      </c>
      <c r="H6826">
        <v>1</v>
      </c>
      <c r="I6826">
        <f>1</f>
        <v>1</v>
      </c>
    </row>
    <row r="6827" spans="2:9" x14ac:dyDescent="0.25">
      <c r="B6827">
        <v>0</v>
      </c>
      <c r="C6827" s="16" t="s">
        <v>15968</v>
      </c>
      <c r="D6827" s="16"/>
      <c r="E6827">
        <v>6</v>
      </c>
      <c r="F6827" t="e">
        <f>--De cristal De chumbo</f>
        <v>#NAME?</v>
      </c>
      <c r="G6827">
        <v>1</v>
      </c>
      <c r="H6827">
        <v>1</v>
      </c>
      <c r="I6827">
        <f>1</f>
        <v>1</v>
      </c>
    </row>
    <row r="6828" spans="2:9" x14ac:dyDescent="0.25">
      <c r="B6828">
        <v>0</v>
      </c>
      <c r="C6828" s="16" t="s">
        <v>15969</v>
      </c>
      <c r="D6828" s="16"/>
      <c r="E6828">
        <v>6</v>
      </c>
      <c r="F6828" t="s">
        <v>7669</v>
      </c>
      <c r="G6828">
        <v>1</v>
      </c>
      <c r="H6828">
        <v>1</v>
      </c>
      <c r="I6828">
        <f>1</f>
        <v>1</v>
      </c>
    </row>
    <row r="6829" spans="2:9" x14ac:dyDescent="0.25">
      <c r="B6829">
        <v>0</v>
      </c>
      <c r="C6829" s="16" t="s">
        <v>15970</v>
      </c>
      <c r="D6829" s="16"/>
      <c r="E6829">
        <v>6</v>
      </c>
      <c r="F6829" t="s">
        <v>4680</v>
      </c>
      <c r="G6829">
        <v>1</v>
      </c>
      <c r="H6829">
        <v>1</v>
      </c>
      <c r="I6829">
        <f>1</f>
        <v>1</v>
      </c>
    </row>
    <row r="6830" spans="2:9" x14ac:dyDescent="0.25">
      <c r="B6830">
        <v>0</v>
      </c>
      <c r="C6830" s="16" t="s">
        <v>15970</v>
      </c>
      <c r="D6830" s="16" t="s">
        <v>19430</v>
      </c>
      <c r="E6830">
        <v>6</v>
      </c>
      <c r="F6830" t="s">
        <v>7670</v>
      </c>
      <c r="G6830">
        <v>1</v>
      </c>
      <c r="H6830">
        <v>1</v>
      </c>
      <c r="I6830">
        <f>1</f>
        <v>1</v>
      </c>
    </row>
    <row r="6831" spans="2:9" x14ac:dyDescent="0.25">
      <c r="B6831">
        <v>0</v>
      </c>
      <c r="C6831" s="16" t="s">
        <v>15971</v>
      </c>
      <c r="D6831" s="16"/>
      <c r="E6831">
        <v>6</v>
      </c>
      <c r="F6831" t="e">
        <f>--outros</f>
        <v>#NAME?</v>
      </c>
      <c r="G6831">
        <v>1</v>
      </c>
      <c r="H6831">
        <v>1</v>
      </c>
      <c r="I6831">
        <f>1</f>
        <v>1</v>
      </c>
    </row>
    <row r="6832" spans="2:9" x14ac:dyDescent="0.25">
      <c r="B6832">
        <v>0</v>
      </c>
      <c r="C6832" s="16" t="s">
        <v>15971</v>
      </c>
      <c r="D6832" s="16" t="s">
        <v>19430</v>
      </c>
      <c r="E6832">
        <v>6</v>
      </c>
      <c r="F6832" t="s">
        <v>7670</v>
      </c>
      <c r="G6832">
        <v>1</v>
      </c>
      <c r="H6832">
        <v>1</v>
      </c>
      <c r="I6832">
        <f>1</f>
        <v>1</v>
      </c>
    </row>
    <row r="6833" spans="2:9" x14ac:dyDescent="0.25">
      <c r="B6833">
        <v>0</v>
      </c>
      <c r="C6833" s="16" t="s">
        <v>15972</v>
      </c>
      <c r="D6833" s="16"/>
      <c r="E6833">
        <v>6</v>
      </c>
      <c r="F6833" t="s">
        <v>7671</v>
      </c>
      <c r="G6833">
        <v>1</v>
      </c>
      <c r="H6833">
        <v>1</v>
      </c>
      <c r="I6833">
        <f>1</f>
        <v>1</v>
      </c>
    </row>
    <row r="6834" spans="2:9" x14ac:dyDescent="0.25">
      <c r="B6834">
        <v>0</v>
      </c>
      <c r="C6834" s="16" t="s">
        <v>15973</v>
      </c>
      <c r="D6834" s="16"/>
      <c r="E6834">
        <v>6</v>
      </c>
      <c r="F6834" t="s">
        <v>4680</v>
      </c>
      <c r="G6834">
        <v>1</v>
      </c>
      <c r="H6834">
        <v>1</v>
      </c>
      <c r="I6834">
        <f>1</f>
        <v>1</v>
      </c>
    </row>
    <row r="6835" spans="2:9" x14ac:dyDescent="0.25">
      <c r="B6835">
        <v>0</v>
      </c>
      <c r="C6835" s="16" t="s">
        <v>15974</v>
      </c>
      <c r="D6835" s="16"/>
      <c r="E6835">
        <v>6</v>
      </c>
      <c r="F6835" t="e">
        <f>--outros</f>
        <v>#NAME?</v>
      </c>
      <c r="G6835">
        <v>1</v>
      </c>
      <c r="H6835">
        <v>1</v>
      </c>
      <c r="I6835">
        <f>1</f>
        <v>1</v>
      </c>
    </row>
    <row r="6836" spans="2:9" x14ac:dyDescent="0.25">
      <c r="B6836">
        <v>0</v>
      </c>
      <c r="C6836" s="16" t="s">
        <v>15975</v>
      </c>
      <c r="D6836" s="16"/>
      <c r="E6836">
        <v>6</v>
      </c>
      <c r="F6836" t="s">
        <v>7672</v>
      </c>
      <c r="G6836">
        <v>1</v>
      </c>
      <c r="H6836">
        <v>1</v>
      </c>
      <c r="I6836">
        <f>1</f>
        <v>1</v>
      </c>
    </row>
    <row r="6837" spans="2:9" x14ac:dyDescent="0.25">
      <c r="B6837">
        <v>0</v>
      </c>
      <c r="C6837" s="16" t="s">
        <v>15975</v>
      </c>
      <c r="D6837" s="16" t="s">
        <v>19430</v>
      </c>
      <c r="E6837">
        <v>6</v>
      </c>
      <c r="F6837" t="s">
        <v>7651</v>
      </c>
      <c r="G6837">
        <v>1</v>
      </c>
      <c r="H6837">
        <v>1</v>
      </c>
      <c r="I6837">
        <f>1</f>
        <v>1</v>
      </c>
    </row>
    <row r="6838" spans="2:9" x14ac:dyDescent="0.25">
      <c r="B6838">
        <v>0</v>
      </c>
      <c r="C6838" s="16" t="s">
        <v>15976</v>
      </c>
      <c r="D6838" s="16"/>
      <c r="E6838">
        <v>6</v>
      </c>
      <c r="F6838" t="s">
        <v>7673</v>
      </c>
      <c r="G6838">
        <v>1</v>
      </c>
      <c r="H6838">
        <v>1</v>
      </c>
      <c r="I6838">
        <f>1</f>
        <v>1</v>
      </c>
    </row>
    <row r="6839" spans="2:9" x14ac:dyDescent="0.25">
      <c r="B6839">
        <v>0</v>
      </c>
      <c r="C6839" s="16" t="s">
        <v>15977</v>
      </c>
      <c r="D6839" s="16"/>
      <c r="E6839">
        <v>6</v>
      </c>
      <c r="F6839" t="s">
        <v>7674</v>
      </c>
      <c r="G6839">
        <v>1</v>
      </c>
      <c r="H6839">
        <v>1</v>
      </c>
      <c r="I6839">
        <f>1</f>
        <v>1</v>
      </c>
    </row>
    <row r="6840" spans="2:9" x14ac:dyDescent="0.25">
      <c r="B6840">
        <v>0</v>
      </c>
      <c r="C6840" s="16" t="s">
        <v>15978</v>
      </c>
      <c r="D6840" s="16"/>
      <c r="E6840">
        <v>6</v>
      </c>
      <c r="F6840" t="s">
        <v>7675</v>
      </c>
      <c r="G6840">
        <v>1</v>
      </c>
      <c r="H6840">
        <v>1</v>
      </c>
      <c r="I6840">
        <f>1</f>
        <v>1</v>
      </c>
    </row>
    <row r="6841" spans="2:9" x14ac:dyDescent="0.25">
      <c r="B6841">
        <v>0</v>
      </c>
      <c r="C6841" s="16" t="s">
        <v>15979</v>
      </c>
      <c r="D6841" s="16"/>
      <c r="E6841">
        <v>6</v>
      </c>
      <c r="F6841" t="s">
        <v>7676</v>
      </c>
      <c r="G6841">
        <v>1</v>
      </c>
      <c r="H6841">
        <v>1</v>
      </c>
      <c r="I6841">
        <f>1</f>
        <v>1</v>
      </c>
    </row>
    <row r="6842" spans="2:9" x14ac:dyDescent="0.25">
      <c r="B6842">
        <v>0</v>
      </c>
      <c r="C6842" s="16" t="s">
        <v>15980</v>
      </c>
      <c r="D6842" s="16"/>
      <c r="E6842">
        <v>6</v>
      </c>
      <c r="F6842" t="s">
        <v>7677</v>
      </c>
      <c r="G6842">
        <v>1</v>
      </c>
      <c r="H6842">
        <v>1</v>
      </c>
      <c r="I6842">
        <f>1</f>
        <v>1</v>
      </c>
    </row>
    <row r="6843" spans="2:9" x14ac:dyDescent="0.25">
      <c r="B6843">
        <v>0</v>
      </c>
      <c r="C6843" s="16" t="s">
        <v>15981</v>
      </c>
      <c r="D6843" s="16"/>
      <c r="E6843">
        <v>6</v>
      </c>
      <c r="F6843" t="s">
        <v>7678</v>
      </c>
      <c r="G6843">
        <v>1</v>
      </c>
      <c r="H6843">
        <v>1</v>
      </c>
      <c r="I6843">
        <f>1</f>
        <v>1</v>
      </c>
    </row>
    <row r="6844" spans="2:9" x14ac:dyDescent="0.25">
      <c r="B6844">
        <v>0</v>
      </c>
      <c r="C6844" s="16" t="s">
        <v>15982</v>
      </c>
      <c r="D6844" s="16"/>
      <c r="E6844">
        <v>6</v>
      </c>
      <c r="F6844" t="s">
        <v>4680</v>
      </c>
      <c r="G6844">
        <v>1</v>
      </c>
      <c r="H6844">
        <v>1</v>
      </c>
      <c r="I6844">
        <f>1</f>
        <v>1</v>
      </c>
    </row>
    <row r="6845" spans="2:9" x14ac:dyDescent="0.25">
      <c r="B6845">
        <v>0</v>
      </c>
      <c r="C6845" s="16" t="s">
        <v>15983</v>
      </c>
      <c r="D6845" s="16"/>
      <c r="E6845">
        <v>6</v>
      </c>
      <c r="F6845" t="s">
        <v>7679</v>
      </c>
      <c r="G6845">
        <v>1</v>
      </c>
      <c r="H6845">
        <v>1</v>
      </c>
      <c r="I6845">
        <f>1</f>
        <v>1</v>
      </c>
    </row>
    <row r="6846" spans="2:9" x14ac:dyDescent="0.25">
      <c r="B6846">
        <v>0</v>
      </c>
      <c r="C6846" s="16" t="s">
        <v>15984</v>
      </c>
      <c r="D6846" s="16"/>
      <c r="E6846">
        <v>6</v>
      </c>
      <c r="F6846" t="e">
        <f>-outros</f>
        <v>#NAME?</v>
      </c>
      <c r="G6846">
        <v>1</v>
      </c>
      <c r="H6846">
        <v>1</v>
      </c>
      <c r="I6846">
        <f>1</f>
        <v>1</v>
      </c>
    </row>
    <row r="6847" spans="2:9" x14ac:dyDescent="0.25">
      <c r="B6847">
        <v>0</v>
      </c>
      <c r="C6847" s="16" t="s">
        <v>15985</v>
      </c>
      <c r="D6847" s="16"/>
      <c r="E6847">
        <v>6</v>
      </c>
      <c r="F6847" t="s">
        <v>7680</v>
      </c>
      <c r="G6847">
        <v>1</v>
      </c>
      <c r="H6847">
        <v>1</v>
      </c>
      <c r="I6847">
        <f>1</f>
        <v>1</v>
      </c>
    </row>
    <row r="6848" spans="2:9" x14ac:dyDescent="0.25">
      <c r="B6848">
        <v>0</v>
      </c>
      <c r="C6848" s="16" t="s">
        <v>15986</v>
      </c>
      <c r="D6848" s="16"/>
      <c r="E6848">
        <v>6</v>
      </c>
      <c r="F6848" t="s">
        <v>7681</v>
      </c>
      <c r="G6848">
        <v>1</v>
      </c>
      <c r="H6848">
        <v>1</v>
      </c>
      <c r="I6848">
        <f>1</f>
        <v>1</v>
      </c>
    </row>
    <row r="6849" spans="2:9" x14ac:dyDescent="0.25">
      <c r="B6849">
        <v>0</v>
      </c>
      <c r="C6849" s="16" t="s">
        <v>15987</v>
      </c>
      <c r="D6849" s="16"/>
      <c r="E6849">
        <v>6</v>
      </c>
      <c r="F6849" t="e">
        <f>-outros</f>
        <v>#NAME?</v>
      </c>
      <c r="G6849">
        <v>1</v>
      </c>
      <c r="H6849">
        <v>1</v>
      </c>
      <c r="I6849">
        <f>1</f>
        <v>1</v>
      </c>
    </row>
    <row r="6850" spans="2:9" x14ac:dyDescent="0.25">
      <c r="B6850">
        <v>0</v>
      </c>
      <c r="C6850" s="16" t="s">
        <v>15988</v>
      </c>
      <c r="D6850" s="16"/>
      <c r="E6850">
        <v>6</v>
      </c>
      <c r="F6850" t="s">
        <v>7682</v>
      </c>
      <c r="G6850">
        <v>1</v>
      </c>
      <c r="H6850">
        <v>1</v>
      </c>
      <c r="I6850">
        <f>1</f>
        <v>1</v>
      </c>
    </row>
    <row r="6851" spans="2:9" x14ac:dyDescent="0.25">
      <c r="B6851">
        <v>0</v>
      </c>
      <c r="C6851" s="16" t="s">
        <v>15989</v>
      </c>
      <c r="D6851" s="16"/>
      <c r="E6851">
        <v>6</v>
      </c>
      <c r="F6851" t="s">
        <v>7683</v>
      </c>
      <c r="G6851">
        <v>1</v>
      </c>
      <c r="H6851">
        <v>1</v>
      </c>
      <c r="I6851">
        <f>1</f>
        <v>1</v>
      </c>
    </row>
    <row r="6852" spans="2:9" x14ac:dyDescent="0.25">
      <c r="B6852">
        <v>0</v>
      </c>
      <c r="C6852" s="16" t="s">
        <v>15990</v>
      </c>
      <c r="D6852" s="16"/>
      <c r="E6852">
        <v>6</v>
      </c>
      <c r="F6852" t="s">
        <v>4680</v>
      </c>
      <c r="G6852">
        <v>1</v>
      </c>
      <c r="H6852">
        <v>1</v>
      </c>
      <c r="I6852">
        <f>1</f>
        <v>1</v>
      </c>
    </row>
    <row r="6853" spans="2:9" x14ac:dyDescent="0.25">
      <c r="B6853">
        <v>0</v>
      </c>
      <c r="C6853" s="16" t="s">
        <v>15991</v>
      </c>
      <c r="D6853" s="16"/>
      <c r="E6853">
        <v>6</v>
      </c>
      <c r="F6853" t="s">
        <v>7684</v>
      </c>
      <c r="G6853">
        <v>1</v>
      </c>
      <c r="H6853">
        <v>1</v>
      </c>
      <c r="I6853">
        <f>1</f>
        <v>1</v>
      </c>
    </row>
    <row r="6854" spans="2:9" x14ac:dyDescent="0.25">
      <c r="B6854">
        <v>0</v>
      </c>
      <c r="C6854" s="16" t="s">
        <v>15992</v>
      </c>
      <c r="D6854" s="16"/>
      <c r="E6854">
        <v>6</v>
      </c>
      <c r="F6854" t="e">
        <f>-outros</f>
        <v>#NAME?</v>
      </c>
      <c r="G6854">
        <v>1</v>
      </c>
      <c r="H6854">
        <v>1</v>
      </c>
      <c r="I6854">
        <f>1</f>
        <v>1</v>
      </c>
    </row>
    <row r="6855" spans="2:9" x14ac:dyDescent="0.25">
      <c r="B6855">
        <v>0</v>
      </c>
      <c r="C6855" s="16" t="s">
        <v>15993</v>
      </c>
      <c r="D6855" s="16"/>
      <c r="E6855">
        <v>6</v>
      </c>
      <c r="F6855" t="s">
        <v>7685</v>
      </c>
      <c r="G6855">
        <v>1</v>
      </c>
      <c r="H6855">
        <v>1</v>
      </c>
      <c r="I6855">
        <f>1</f>
        <v>1</v>
      </c>
    </row>
    <row r="6856" spans="2:9" x14ac:dyDescent="0.25">
      <c r="B6856">
        <v>0</v>
      </c>
      <c r="C6856" s="16" t="s">
        <v>15994</v>
      </c>
      <c r="D6856" s="16"/>
      <c r="E6856">
        <v>6</v>
      </c>
      <c r="F6856" t="s">
        <v>7686</v>
      </c>
      <c r="G6856">
        <v>1</v>
      </c>
      <c r="H6856">
        <v>1</v>
      </c>
      <c r="I6856">
        <f>1</f>
        <v>1</v>
      </c>
    </row>
    <row r="6857" spans="2:9" x14ac:dyDescent="0.25">
      <c r="B6857">
        <v>0</v>
      </c>
      <c r="C6857" s="16" t="s">
        <v>15995</v>
      </c>
      <c r="D6857" s="16"/>
      <c r="E6857">
        <v>6</v>
      </c>
      <c r="F6857" t="s">
        <v>4690</v>
      </c>
      <c r="G6857">
        <v>1</v>
      </c>
      <c r="H6857">
        <v>1</v>
      </c>
      <c r="I6857">
        <f>1</f>
        <v>1</v>
      </c>
    </row>
    <row r="6858" spans="2:9" x14ac:dyDescent="0.25">
      <c r="B6858">
        <v>0</v>
      </c>
      <c r="C6858" s="16" t="s">
        <v>15996</v>
      </c>
      <c r="D6858" s="16"/>
      <c r="E6858">
        <v>6</v>
      </c>
      <c r="F6858" t="e">
        <f>--outros</f>
        <v>#NAME?</v>
      </c>
      <c r="G6858">
        <v>1</v>
      </c>
      <c r="H6858">
        <v>1</v>
      </c>
      <c r="I6858">
        <f>1</f>
        <v>1</v>
      </c>
    </row>
    <row r="6859" spans="2:9" x14ac:dyDescent="0.25">
      <c r="B6859">
        <v>0</v>
      </c>
      <c r="C6859" s="16" t="s">
        <v>15997</v>
      </c>
      <c r="D6859" s="16"/>
      <c r="E6859">
        <v>6</v>
      </c>
      <c r="F6859" t="e">
        <f>--Esteiras  mats</f>
        <v>#NAME?</v>
      </c>
      <c r="G6859">
        <v>1</v>
      </c>
      <c r="H6859">
        <v>1</v>
      </c>
      <c r="I6859">
        <f>1</f>
        <v>1</v>
      </c>
    </row>
    <row r="6860" spans="2:9" x14ac:dyDescent="0.25">
      <c r="B6860">
        <v>0</v>
      </c>
      <c r="C6860" s="16" t="s">
        <v>15998</v>
      </c>
      <c r="D6860" s="16"/>
      <c r="E6860">
        <v>6</v>
      </c>
      <c r="F6860" t="e">
        <f>--Véus</f>
        <v>#NAME?</v>
      </c>
      <c r="G6860">
        <v>1</v>
      </c>
      <c r="H6860">
        <v>1</v>
      </c>
      <c r="I6860">
        <f>1</f>
        <v>1</v>
      </c>
    </row>
    <row r="6861" spans="2:9" x14ac:dyDescent="0.25">
      <c r="B6861">
        <v>0</v>
      </c>
      <c r="C6861" s="16" t="s">
        <v>15999</v>
      </c>
      <c r="D6861" s="16"/>
      <c r="E6861">
        <v>6</v>
      </c>
      <c r="F6861" t="e">
        <f>--outros</f>
        <v>#NAME?</v>
      </c>
      <c r="G6861">
        <v>1</v>
      </c>
      <c r="H6861">
        <v>1</v>
      </c>
      <c r="I6861">
        <f>1</f>
        <v>1</v>
      </c>
    </row>
    <row r="6862" spans="2:9" x14ac:dyDescent="0.25">
      <c r="B6862">
        <v>0</v>
      </c>
      <c r="C6862" s="16" t="s">
        <v>16000</v>
      </c>
      <c r="D6862" s="16"/>
      <c r="E6862">
        <v>6</v>
      </c>
      <c r="F6862" t="e">
        <f>-tecidos De mechas ligeiramente torcidas  rovings</f>
        <v>#NAME?</v>
      </c>
      <c r="G6862">
        <v>1</v>
      </c>
      <c r="H6862">
        <v>1</v>
      </c>
      <c r="I6862">
        <f>1</f>
        <v>1</v>
      </c>
    </row>
    <row r="6863" spans="2:9" x14ac:dyDescent="0.25">
      <c r="B6863">
        <v>0</v>
      </c>
      <c r="C6863" s="16" t="s">
        <v>16001</v>
      </c>
      <c r="D6863" s="16"/>
      <c r="E6863">
        <v>6</v>
      </c>
      <c r="F6863" t="s">
        <v>7687</v>
      </c>
      <c r="G6863">
        <v>1</v>
      </c>
      <c r="H6863">
        <v>1</v>
      </c>
      <c r="I6863">
        <f>1</f>
        <v>1</v>
      </c>
    </row>
    <row r="6864" spans="2:9" x14ac:dyDescent="0.25">
      <c r="B6864">
        <v>0</v>
      </c>
      <c r="C6864" s="16" t="s">
        <v>16002</v>
      </c>
      <c r="D6864" s="16"/>
      <c r="E6864">
        <v>6</v>
      </c>
      <c r="F6864" t="s">
        <v>7688</v>
      </c>
      <c r="G6864">
        <v>1</v>
      </c>
      <c r="H6864">
        <v>1</v>
      </c>
      <c r="I6864">
        <f>1</f>
        <v>1</v>
      </c>
    </row>
    <row r="6865" spans="2:9" x14ac:dyDescent="0.25">
      <c r="B6865">
        <v>0</v>
      </c>
      <c r="C6865" s="16" t="s">
        <v>16003</v>
      </c>
      <c r="D6865" s="16"/>
      <c r="E6865">
        <v>6</v>
      </c>
      <c r="F6865" t="s">
        <v>4680</v>
      </c>
      <c r="G6865">
        <v>1</v>
      </c>
      <c r="H6865">
        <v>1</v>
      </c>
      <c r="I6865">
        <f>1</f>
        <v>1</v>
      </c>
    </row>
    <row r="6866" spans="2:9" x14ac:dyDescent="0.25">
      <c r="B6866">
        <v>0</v>
      </c>
      <c r="C6866" s="16" t="s">
        <v>16004</v>
      </c>
      <c r="D6866" s="16"/>
      <c r="E6866">
        <v>6</v>
      </c>
      <c r="F6866" t="e">
        <f>--outros</f>
        <v>#NAME?</v>
      </c>
      <c r="G6866">
        <v>1</v>
      </c>
      <c r="H6866">
        <v>1</v>
      </c>
      <c r="I6866">
        <f>1</f>
        <v>1</v>
      </c>
    </row>
    <row r="6867" spans="2:9" x14ac:dyDescent="0.25">
      <c r="B6867">
        <v>0</v>
      </c>
      <c r="C6867" s="16" t="s">
        <v>16005</v>
      </c>
      <c r="D6867" s="16"/>
      <c r="E6867">
        <v>6</v>
      </c>
      <c r="F6867" t="s">
        <v>7689</v>
      </c>
      <c r="G6867">
        <v>1</v>
      </c>
      <c r="H6867">
        <v>1</v>
      </c>
      <c r="I6867">
        <f>1</f>
        <v>1</v>
      </c>
    </row>
    <row r="6868" spans="2:9" x14ac:dyDescent="0.25">
      <c r="B6868">
        <v>0</v>
      </c>
      <c r="C6868" s="16" t="s">
        <v>16006</v>
      </c>
      <c r="D6868" s="16"/>
      <c r="E6868">
        <v>6</v>
      </c>
      <c r="F6868" t="s">
        <v>4690</v>
      </c>
      <c r="G6868">
        <v>1</v>
      </c>
      <c r="H6868">
        <v>1</v>
      </c>
      <c r="I6868">
        <f>1</f>
        <v>1</v>
      </c>
    </row>
    <row r="6869" spans="2:9" x14ac:dyDescent="0.25">
      <c r="B6869">
        <v>0</v>
      </c>
      <c r="C6869" s="16" t="s">
        <v>16007</v>
      </c>
      <c r="D6869" s="16"/>
      <c r="E6869">
        <v>6</v>
      </c>
      <c r="F6869" t="s">
        <v>7690</v>
      </c>
      <c r="G6869">
        <v>1</v>
      </c>
      <c r="H6869">
        <v>1</v>
      </c>
      <c r="I6869">
        <f>1</f>
        <v>1</v>
      </c>
    </row>
    <row r="6870" spans="2:9" x14ac:dyDescent="0.25">
      <c r="B6870">
        <v>0</v>
      </c>
      <c r="C6870" s="16" t="s">
        <v>16008</v>
      </c>
      <c r="D6870" s="16"/>
      <c r="E6870">
        <v>6</v>
      </c>
      <c r="F6870" t="s">
        <v>4690</v>
      </c>
      <c r="G6870">
        <v>1</v>
      </c>
      <c r="H6870">
        <v>1</v>
      </c>
      <c r="I6870">
        <f>1</f>
        <v>1</v>
      </c>
    </row>
    <row r="6871" spans="2:9" x14ac:dyDescent="0.25">
      <c r="B6871">
        <v>0</v>
      </c>
      <c r="C6871" s="16" t="s">
        <v>16009</v>
      </c>
      <c r="D6871" s="16"/>
      <c r="E6871">
        <v>6</v>
      </c>
      <c r="F6871" t="e">
        <f>-Pérolas naturais</f>
        <v>#NAME?</v>
      </c>
      <c r="G6871">
        <v>1</v>
      </c>
      <c r="H6871">
        <v>0</v>
      </c>
      <c r="I6871">
        <f>1</f>
        <v>1</v>
      </c>
    </row>
    <row r="6872" spans="2:9" x14ac:dyDescent="0.25">
      <c r="B6872">
        <v>0</v>
      </c>
      <c r="C6872" s="16" t="s">
        <v>16010</v>
      </c>
      <c r="D6872" s="16"/>
      <c r="E6872">
        <v>6</v>
      </c>
      <c r="F6872" t="e">
        <f>--em bruto</f>
        <v>#NAME?</v>
      </c>
      <c r="G6872">
        <v>1</v>
      </c>
      <c r="H6872">
        <v>0</v>
      </c>
      <c r="I6872">
        <f>1</f>
        <v>1</v>
      </c>
    </row>
    <row r="6873" spans="2:9" x14ac:dyDescent="0.25">
      <c r="B6873">
        <v>0</v>
      </c>
      <c r="C6873" s="16" t="s">
        <v>16011</v>
      </c>
      <c r="D6873" s="16"/>
      <c r="E6873">
        <v>6</v>
      </c>
      <c r="F6873" t="e">
        <f>--Trabalhadas</f>
        <v>#NAME?</v>
      </c>
      <c r="G6873">
        <v>1</v>
      </c>
      <c r="H6873">
        <v>0</v>
      </c>
      <c r="I6873">
        <f>1</f>
        <v>1</v>
      </c>
    </row>
    <row r="6874" spans="2:9" x14ac:dyDescent="0.25">
      <c r="B6874">
        <v>0</v>
      </c>
      <c r="C6874" s="16" t="s">
        <v>16012</v>
      </c>
      <c r="D6874" s="16"/>
      <c r="E6874">
        <v>6</v>
      </c>
      <c r="F6874" t="e">
        <f>-Não selecionados</f>
        <v>#NAME?</v>
      </c>
      <c r="G6874">
        <v>1</v>
      </c>
      <c r="H6874">
        <v>0</v>
      </c>
      <c r="I6874">
        <f>1</f>
        <v>1</v>
      </c>
    </row>
    <row r="6875" spans="2:9" x14ac:dyDescent="0.25">
      <c r="B6875">
        <v>0</v>
      </c>
      <c r="C6875" s="16" t="s">
        <v>16012</v>
      </c>
      <c r="D6875" s="16" t="s">
        <v>19430</v>
      </c>
      <c r="E6875">
        <v>6</v>
      </c>
      <c r="F6875" t="s">
        <v>7423</v>
      </c>
      <c r="G6875">
        <v>1</v>
      </c>
      <c r="H6875">
        <v>0</v>
      </c>
      <c r="I6875">
        <f>1</f>
        <v>1</v>
      </c>
    </row>
    <row r="6876" spans="2:9" x14ac:dyDescent="0.25">
      <c r="B6876">
        <v>0</v>
      </c>
      <c r="C6876" s="16" t="s">
        <v>16013</v>
      </c>
      <c r="D6876" s="16"/>
      <c r="E6876">
        <v>6</v>
      </c>
      <c r="F6876" t="s">
        <v>7691</v>
      </c>
      <c r="G6876">
        <v>1</v>
      </c>
      <c r="H6876">
        <v>0</v>
      </c>
      <c r="I6876">
        <f>1</f>
        <v>1</v>
      </c>
    </row>
    <row r="6877" spans="2:9" x14ac:dyDescent="0.25">
      <c r="B6877">
        <v>0</v>
      </c>
      <c r="C6877" s="16" t="s">
        <v>16014</v>
      </c>
      <c r="D6877" s="16"/>
      <c r="E6877">
        <v>6</v>
      </c>
      <c r="F6877" t="e">
        <f>--outros</f>
        <v>#NAME?</v>
      </c>
      <c r="G6877">
        <v>1</v>
      </c>
      <c r="H6877">
        <v>0</v>
      </c>
      <c r="I6877">
        <f>1</f>
        <v>1</v>
      </c>
    </row>
    <row r="6878" spans="2:9" x14ac:dyDescent="0.25">
      <c r="B6878">
        <v>0</v>
      </c>
      <c r="C6878" s="16" t="s">
        <v>16015</v>
      </c>
      <c r="D6878" s="16"/>
      <c r="E6878">
        <v>6</v>
      </c>
      <c r="F6878" t="s">
        <v>7691</v>
      </c>
      <c r="G6878">
        <v>1</v>
      </c>
      <c r="H6878">
        <v>0</v>
      </c>
      <c r="I6878">
        <f>1</f>
        <v>1</v>
      </c>
    </row>
    <row r="6879" spans="2:9" x14ac:dyDescent="0.25">
      <c r="B6879">
        <v>0</v>
      </c>
      <c r="C6879" s="16" t="s">
        <v>16015</v>
      </c>
      <c r="D6879" s="16" t="s">
        <v>19430</v>
      </c>
      <c r="E6879">
        <v>6</v>
      </c>
      <c r="F6879" t="s">
        <v>7423</v>
      </c>
      <c r="G6879">
        <v>1</v>
      </c>
      <c r="H6879">
        <v>0</v>
      </c>
      <c r="I6879">
        <f>1</f>
        <v>1</v>
      </c>
    </row>
    <row r="6880" spans="2:9" x14ac:dyDescent="0.25">
      <c r="B6880">
        <v>0</v>
      </c>
      <c r="C6880" s="16" t="s">
        <v>16016</v>
      </c>
      <c r="D6880" s="16"/>
      <c r="E6880">
        <v>6</v>
      </c>
      <c r="F6880" t="e">
        <f>--outros</f>
        <v>#NAME?</v>
      </c>
      <c r="G6880">
        <v>1</v>
      </c>
      <c r="H6880">
        <v>0</v>
      </c>
      <c r="I6880">
        <f>1</f>
        <v>1</v>
      </c>
    </row>
    <row r="6881" spans="2:9" x14ac:dyDescent="0.25">
      <c r="B6881">
        <v>0</v>
      </c>
      <c r="C6881" s="16" t="s">
        <v>16017</v>
      </c>
      <c r="D6881" s="16"/>
      <c r="E6881">
        <v>6</v>
      </c>
      <c r="F6881" t="e">
        <f>-em bruto ou Simplesmente serradas ou desbastadas</f>
        <v>#NAME?</v>
      </c>
      <c r="G6881">
        <v>1</v>
      </c>
      <c r="H6881">
        <v>0</v>
      </c>
      <c r="I6881">
        <f>1</f>
        <v>1</v>
      </c>
    </row>
    <row r="6882" spans="2:9" x14ac:dyDescent="0.25">
      <c r="B6882">
        <v>0</v>
      </c>
      <c r="C6882" s="16" t="s">
        <v>16018</v>
      </c>
      <c r="D6882" s="16"/>
      <c r="E6882">
        <v>6</v>
      </c>
      <c r="F6882" t="s">
        <v>7692</v>
      </c>
      <c r="G6882">
        <v>1</v>
      </c>
      <c r="H6882">
        <v>0</v>
      </c>
      <c r="I6882">
        <f>1</f>
        <v>1</v>
      </c>
    </row>
    <row r="6883" spans="2:9" x14ac:dyDescent="0.25">
      <c r="B6883">
        <v>0</v>
      </c>
      <c r="C6883" s="16" t="s">
        <v>16019</v>
      </c>
      <c r="D6883" s="16"/>
      <c r="E6883">
        <v>6</v>
      </c>
      <c r="F6883" t="e">
        <f>--Outras</f>
        <v>#NAME?</v>
      </c>
      <c r="G6883">
        <v>1</v>
      </c>
      <c r="H6883">
        <v>0</v>
      </c>
      <c r="I6883">
        <f>1</f>
        <v>1</v>
      </c>
    </row>
    <row r="6884" spans="2:9" x14ac:dyDescent="0.25">
      <c r="B6884">
        <v>0</v>
      </c>
      <c r="C6884" s="16" t="s">
        <v>16020</v>
      </c>
      <c r="D6884" s="16"/>
      <c r="E6884">
        <v>6</v>
      </c>
      <c r="F6884" t="e">
        <f>-Quartzo piezelétrico</f>
        <v>#NAME?</v>
      </c>
      <c r="G6884">
        <v>1</v>
      </c>
      <c r="H6884">
        <v>0</v>
      </c>
      <c r="I6884">
        <f>1</f>
        <v>1</v>
      </c>
    </row>
    <row r="6885" spans="2:9" x14ac:dyDescent="0.25">
      <c r="B6885">
        <v>0</v>
      </c>
      <c r="C6885" s="16" t="s">
        <v>16021</v>
      </c>
      <c r="D6885" s="16"/>
      <c r="E6885">
        <v>6</v>
      </c>
      <c r="F6885" t="s">
        <v>7693</v>
      </c>
      <c r="G6885">
        <v>1</v>
      </c>
      <c r="H6885">
        <v>0</v>
      </c>
      <c r="I6885">
        <f>1</f>
        <v>1</v>
      </c>
    </row>
    <row r="6886" spans="2:9" x14ac:dyDescent="0.25">
      <c r="B6886">
        <v>0</v>
      </c>
      <c r="C6886" s="16" t="s">
        <v>16022</v>
      </c>
      <c r="D6886" s="16"/>
      <c r="E6886">
        <v>6</v>
      </c>
      <c r="F6886" t="s">
        <v>4690</v>
      </c>
      <c r="G6886">
        <v>1</v>
      </c>
      <c r="H6886">
        <v>0</v>
      </c>
      <c r="I6886">
        <f>1</f>
        <v>1</v>
      </c>
    </row>
    <row r="6887" spans="2:9" x14ac:dyDescent="0.25">
      <c r="B6887">
        <v>0</v>
      </c>
      <c r="C6887" s="16" t="s">
        <v>16023</v>
      </c>
      <c r="D6887" s="16"/>
      <c r="E6887">
        <v>6</v>
      </c>
      <c r="F6887" t="e">
        <f>-Outras</f>
        <v>#NAME?</v>
      </c>
      <c r="G6887">
        <v>1</v>
      </c>
      <c r="H6887">
        <v>0</v>
      </c>
      <c r="I6887">
        <f>1</f>
        <v>1</v>
      </c>
    </row>
    <row r="6888" spans="2:9" x14ac:dyDescent="0.25">
      <c r="B6888">
        <v>0</v>
      </c>
      <c r="C6888" s="16" t="s">
        <v>16024</v>
      </c>
      <c r="D6888" s="16"/>
      <c r="E6888">
        <v>6</v>
      </c>
      <c r="F6888" t="e">
        <f>-De diamantes</f>
        <v>#NAME?</v>
      </c>
      <c r="G6888">
        <v>1</v>
      </c>
      <c r="H6888">
        <v>0</v>
      </c>
      <c r="I6888">
        <f>1</f>
        <v>1</v>
      </c>
    </row>
    <row r="6889" spans="2:9" x14ac:dyDescent="0.25">
      <c r="B6889">
        <v>0</v>
      </c>
      <c r="C6889" s="16" t="s">
        <v>16025</v>
      </c>
      <c r="D6889" s="16"/>
      <c r="E6889">
        <v>6</v>
      </c>
      <c r="F6889" t="e">
        <f>-outros</f>
        <v>#NAME?</v>
      </c>
      <c r="G6889">
        <v>1</v>
      </c>
      <c r="H6889">
        <v>0</v>
      </c>
      <c r="I6889">
        <f>1</f>
        <v>1</v>
      </c>
    </row>
    <row r="6890" spans="2:9" x14ac:dyDescent="0.25">
      <c r="B6890">
        <v>0</v>
      </c>
      <c r="C6890" s="16" t="s">
        <v>16026</v>
      </c>
      <c r="D6890" s="16"/>
      <c r="E6890">
        <v>6</v>
      </c>
      <c r="F6890" t="e">
        <f>-Pós</f>
        <v>#NAME?</v>
      </c>
      <c r="G6890">
        <v>1</v>
      </c>
      <c r="H6890">
        <v>0</v>
      </c>
      <c r="I6890">
        <f>1</f>
        <v>1</v>
      </c>
    </row>
    <row r="6891" spans="2:9" x14ac:dyDescent="0.25">
      <c r="B6891">
        <v>0</v>
      </c>
      <c r="C6891" s="16" t="s">
        <v>16027</v>
      </c>
      <c r="D6891" s="16"/>
      <c r="E6891">
        <v>6</v>
      </c>
      <c r="F6891" t="e">
        <f>--em formas brutas</f>
        <v>#NAME?</v>
      </c>
      <c r="G6891">
        <v>1</v>
      </c>
      <c r="H6891">
        <v>0</v>
      </c>
      <c r="I6891">
        <f>1</f>
        <v>1</v>
      </c>
    </row>
    <row r="6892" spans="2:9" x14ac:dyDescent="0.25">
      <c r="B6892">
        <v>0</v>
      </c>
      <c r="C6892" s="16" t="s">
        <v>16028</v>
      </c>
      <c r="D6892" s="16"/>
      <c r="E6892">
        <v>6</v>
      </c>
      <c r="F6892" t="s">
        <v>7694</v>
      </c>
      <c r="G6892">
        <v>1</v>
      </c>
      <c r="H6892">
        <v>0</v>
      </c>
      <c r="I6892">
        <f>1</f>
        <v>1</v>
      </c>
    </row>
    <row r="6893" spans="2:9" x14ac:dyDescent="0.25">
      <c r="B6893">
        <v>0</v>
      </c>
      <c r="C6893" s="16" t="s">
        <v>16029</v>
      </c>
      <c r="D6893" s="16"/>
      <c r="E6893">
        <v>6</v>
      </c>
      <c r="F6893" t="s">
        <v>7695</v>
      </c>
      <c r="G6893">
        <v>1</v>
      </c>
      <c r="H6893">
        <v>0</v>
      </c>
      <c r="I6893">
        <f>1</f>
        <v>1</v>
      </c>
    </row>
    <row r="6894" spans="2:9" x14ac:dyDescent="0.25">
      <c r="B6894">
        <v>0</v>
      </c>
      <c r="C6894" s="16" t="s">
        <v>16030</v>
      </c>
      <c r="D6894" s="16"/>
      <c r="E6894">
        <v>6</v>
      </c>
      <c r="F6894" t="s">
        <v>4690</v>
      </c>
      <c r="G6894">
        <v>1</v>
      </c>
      <c r="H6894">
        <v>0</v>
      </c>
      <c r="I6894">
        <f>1</f>
        <v>1</v>
      </c>
    </row>
    <row r="6895" spans="2:9" x14ac:dyDescent="0.25">
      <c r="B6895">
        <v>0</v>
      </c>
      <c r="C6895" s="16" t="s">
        <v>16031</v>
      </c>
      <c r="D6895" s="16"/>
      <c r="E6895">
        <v>6</v>
      </c>
      <c r="F6895" t="s">
        <v>7696</v>
      </c>
      <c r="G6895">
        <v>1</v>
      </c>
      <c r="H6895">
        <v>0</v>
      </c>
      <c r="I6895">
        <f>1</f>
        <v>1</v>
      </c>
    </row>
    <row r="6896" spans="2:9" x14ac:dyDescent="0.25">
      <c r="B6896">
        <v>0</v>
      </c>
      <c r="C6896" s="16" t="s">
        <v>16032</v>
      </c>
      <c r="D6896" s="16"/>
      <c r="E6896">
        <v>6</v>
      </c>
      <c r="F6896" t="e">
        <f>--Pós</f>
        <v>#NAME?</v>
      </c>
      <c r="G6896">
        <v>1</v>
      </c>
      <c r="H6896">
        <v>0</v>
      </c>
      <c r="I6896">
        <f>1</f>
        <v>1</v>
      </c>
    </row>
    <row r="6897" spans="2:9" x14ac:dyDescent="0.25">
      <c r="B6897">
        <v>0</v>
      </c>
      <c r="C6897" s="16" t="s">
        <v>16033</v>
      </c>
      <c r="D6897" s="16"/>
      <c r="E6897">
        <v>6</v>
      </c>
      <c r="F6897" t="s">
        <v>7697</v>
      </c>
      <c r="G6897">
        <v>1</v>
      </c>
      <c r="H6897">
        <v>0</v>
      </c>
      <c r="I6897">
        <f>1</f>
        <v>1</v>
      </c>
    </row>
    <row r="6898" spans="2:9" x14ac:dyDescent="0.25">
      <c r="B6898">
        <v>0</v>
      </c>
      <c r="C6898" s="16" t="s">
        <v>16034</v>
      </c>
      <c r="D6898" s="16"/>
      <c r="E6898">
        <v>6</v>
      </c>
      <c r="F6898" t="s">
        <v>4690</v>
      </c>
      <c r="G6898">
        <v>1</v>
      </c>
      <c r="H6898">
        <v>0</v>
      </c>
      <c r="I6898">
        <f>1</f>
        <v>1</v>
      </c>
    </row>
    <row r="6899" spans="2:9" x14ac:dyDescent="0.25">
      <c r="B6899">
        <v>0</v>
      </c>
      <c r="C6899" s="16" t="s">
        <v>16035</v>
      </c>
      <c r="D6899" s="16"/>
      <c r="E6899">
        <v>6</v>
      </c>
      <c r="F6899" t="s">
        <v>7694</v>
      </c>
      <c r="G6899">
        <v>1</v>
      </c>
      <c r="H6899">
        <v>0</v>
      </c>
      <c r="I6899">
        <f>1</f>
        <v>1</v>
      </c>
    </row>
    <row r="6900" spans="2:9" x14ac:dyDescent="0.25">
      <c r="B6900">
        <v>0</v>
      </c>
      <c r="C6900" s="16" t="s">
        <v>16036</v>
      </c>
      <c r="D6900" s="16"/>
      <c r="E6900">
        <v>6</v>
      </c>
      <c r="F6900" t="s">
        <v>4680</v>
      </c>
      <c r="G6900">
        <v>1</v>
      </c>
      <c r="H6900">
        <v>0</v>
      </c>
      <c r="I6900">
        <f>1</f>
        <v>1</v>
      </c>
    </row>
    <row r="6901" spans="2:9" x14ac:dyDescent="0.25">
      <c r="B6901">
        <v>0</v>
      </c>
      <c r="C6901" s="16" t="s">
        <v>16037</v>
      </c>
      <c r="D6901" s="16"/>
      <c r="E6901">
        <v>6</v>
      </c>
      <c r="F6901" t="e">
        <f>-para uso monetário</f>
        <v>#NAME?</v>
      </c>
      <c r="G6901">
        <v>1</v>
      </c>
      <c r="H6901">
        <v>0</v>
      </c>
      <c r="I6901">
        <f>1</f>
        <v>1</v>
      </c>
    </row>
    <row r="6902" spans="2:9" x14ac:dyDescent="0.25">
      <c r="B6902">
        <v>0</v>
      </c>
      <c r="C6902" s="16" t="s">
        <v>16038</v>
      </c>
      <c r="D6902" s="16"/>
      <c r="E6902">
        <v>6</v>
      </c>
      <c r="F6902" t="s">
        <v>7698</v>
      </c>
      <c r="G6902">
        <v>1</v>
      </c>
      <c r="H6902">
        <v>0</v>
      </c>
      <c r="I6902">
        <f>1</f>
        <v>1</v>
      </c>
    </row>
    <row r="6903" spans="2:9" x14ac:dyDescent="0.25">
      <c r="B6903">
        <v>0</v>
      </c>
      <c r="C6903" s="16" t="s">
        <v>16039</v>
      </c>
      <c r="D6903" s="16"/>
      <c r="E6903">
        <v>6</v>
      </c>
      <c r="F6903" t="e">
        <f>--em formas brutas ou em pó</f>
        <v>#NAME?</v>
      </c>
      <c r="G6903">
        <v>1</v>
      </c>
      <c r="H6903">
        <v>0</v>
      </c>
      <c r="I6903">
        <f>1</f>
        <v>1</v>
      </c>
    </row>
    <row r="6904" spans="2:9" x14ac:dyDescent="0.25">
      <c r="B6904">
        <v>0</v>
      </c>
      <c r="C6904" s="16" t="s">
        <v>16040</v>
      </c>
      <c r="D6904" s="16"/>
      <c r="E6904">
        <v>6</v>
      </c>
      <c r="F6904" t="s">
        <v>7694</v>
      </c>
      <c r="G6904">
        <v>1</v>
      </c>
      <c r="H6904">
        <v>0</v>
      </c>
      <c r="I6904">
        <f>1</f>
        <v>1</v>
      </c>
    </row>
    <row r="6905" spans="2:9" x14ac:dyDescent="0.25">
      <c r="B6905">
        <v>0</v>
      </c>
      <c r="C6905" s="16" t="s">
        <v>16041</v>
      </c>
      <c r="D6905" s="16"/>
      <c r="E6905">
        <v>6</v>
      </c>
      <c r="F6905" t="s">
        <v>4690</v>
      </c>
      <c r="G6905">
        <v>1</v>
      </c>
      <c r="H6905">
        <v>0</v>
      </c>
      <c r="I6905">
        <f>1</f>
        <v>1</v>
      </c>
    </row>
    <row r="6906" spans="2:9" x14ac:dyDescent="0.25">
      <c r="B6906">
        <v>0</v>
      </c>
      <c r="C6906" s="16" t="s">
        <v>16042</v>
      </c>
      <c r="D6906" s="16"/>
      <c r="E6906">
        <v>6</v>
      </c>
      <c r="F6906" t="e">
        <f>--em formas brutas ou em pó</f>
        <v>#NAME?</v>
      </c>
      <c r="G6906">
        <v>1</v>
      </c>
      <c r="H6906">
        <v>0</v>
      </c>
      <c r="I6906">
        <f>1</f>
        <v>1</v>
      </c>
    </row>
    <row r="6907" spans="2:9" x14ac:dyDescent="0.25">
      <c r="B6907">
        <v>0</v>
      </c>
      <c r="C6907" s="16" t="s">
        <v>16043</v>
      </c>
      <c r="D6907" s="16"/>
      <c r="E6907">
        <v>6</v>
      </c>
      <c r="F6907" t="e">
        <f>--Outras</f>
        <v>#NAME?</v>
      </c>
      <c r="G6907">
        <v>1</v>
      </c>
      <c r="H6907">
        <v>0</v>
      </c>
      <c r="I6907">
        <f>1</f>
        <v>1</v>
      </c>
    </row>
    <row r="6908" spans="2:9" x14ac:dyDescent="0.25">
      <c r="B6908">
        <v>0</v>
      </c>
      <c r="C6908" s="16" t="s">
        <v>16044</v>
      </c>
      <c r="D6908" s="16"/>
      <c r="E6908">
        <v>6</v>
      </c>
      <c r="F6908" t="e">
        <f>--em formas brutas ou em pó</f>
        <v>#NAME?</v>
      </c>
      <c r="G6908">
        <v>1</v>
      </c>
      <c r="H6908">
        <v>0</v>
      </c>
      <c r="I6908">
        <f>1</f>
        <v>1</v>
      </c>
    </row>
    <row r="6909" spans="2:9" x14ac:dyDescent="0.25">
      <c r="B6909">
        <v>0</v>
      </c>
      <c r="C6909" s="16" t="s">
        <v>16045</v>
      </c>
      <c r="D6909" s="16"/>
      <c r="E6909">
        <v>6</v>
      </c>
      <c r="F6909" t="e">
        <f>--Outras</f>
        <v>#NAME?</v>
      </c>
      <c r="G6909">
        <v>1</v>
      </c>
      <c r="H6909">
        <v>0</v>
      </c>
      <c r="I6909">
        <f>1</f>
        <v>1</v>
      </c>
    </row>
    <row r="6910" spans="2:9" x14ac:dyDescent="0.25">
      <c r="B6910">
        <v>0</v>
      </c>
      <c r="C6910" s="16" t="s">
        <v>16046</v>
      </c>
      <c r="D6910" s="16"/>
      <c r="E6910">
        <v>6</v>
      </c>
      <c r="F6910" t="e">
        <f>--em formas brutas ou em pó</f>
        <v>#NAME?</v>
      </c>
      <c r="G6910">
        <v>1</v>
      </c>
      <c r="H6910">
        <v>0</v>
      </c>
      <c r="I6910">
        <f>1</f>
        <v>1</v>
      </c>
    </row>
    <row r="6911" spans="2:9" x14ac:dyDescent="0.25">
      <c r="B6911">
        <v>0</v>
      </c>
      <c r="C6911" s="16" t="s">
        <v>16047</v>
      </c>
      <c r="D6911" s="16"/>
      <c r="E6911">
        <v>6</v>
      </c>
      <c r="F6911" t="e">
        <f>--Outras</f>
        <v>#NAME?</v>
      </c>
      <c r="G6911">
        <v>1</v>
      </c>
      <c r="H6911">
        <v>0</v>
      </c>
      <c r="I6911">
        <f>1</f>
        <v>1</v>
      </c>
    </row>
    <row r="6912" spans="2:9" x14ac:dyDescent="0.25">
      <c r="B6912">
        <v>0</v>
      </c>
      <c r="C6912" s="16" t="s">
        <v>16048</v>
      </c>
      <c r="D6912" s="16"/>
      <c r="E6912">
        <v>6</v>
      </c>
      <c r="F6912" t="s">
        <v>7699</v>
      </c>
      <c r="G6912">
        <v>1</v>
      </c>
      <c r="H6912">
        <v>0</v>
      </c>
      <c r="I6912">
        <f>1</f>
        <v>1</v>
      </c>
    </row>
    <row r="6913" spans="2:9" x14ac:dyDescent="0.25">
      <c r="B6913">
        <v>0</v>
      </c>
      <c r="C6913" s="16" t="s">
        <v>16049</v>
      </c>
      <c r="D6913" s="16"/>
      <c r="E6913">
        <v>6</v>
      </c>
      <c r="F6913" t="s">
        <v>7700</v>
      </c>
      <c r="G6913">
        <v>1</v>
      </c>
      <c r="H6913">
        <v>0</v>
      </c>
      <c r="I6913">
        <f>1</f>
        <v>1</v>
      </c>
    </row>
    <row r="6914" spans="2:9" x14ac:dyDescent="0.25">
      <c r="B6914">
        <v>0</v>
      </c>
      <c r="C6914" s="16" t="s">
        <v>16049</v>
      </c>
      <c r="D6914" s="16" t="s">
        <v>19430</v>
      </c>
      <c r="E6914">
        <v>6</v>
      </c>
      <c r="F6914" t="s">
        <v>7701</v>
      </c>
      <c r="G6914">
        <v>1</v>
      </c>
      <c r="H6914">
        <v>0</v>
      </c>
      <c r="I6914">
        <f>1</f>
        <v>1</v>
      </c>
    </row>
    <row r="6915" spans="2:9" x14ac:dyDescent="0.25">
      <c r="B6915">
        <v>0</v>
      </c>
      <c r="C6915" s="16" t="s">
        <v>16050</v>
      </c>
      <c r="D6915" s="16"/>
      <c r="E6915">
        <v>6</v>
      </c>
      <c r="F6915" t="s">
        <v>7702</v>
      </c>
      <c r="G6915">
        <v>1</v>
      </c>
      <c r="H6915">
        <v>0</v>
      </c>
      <c r="I6915">
        <f>1</f>
        <v>1</v>
      </c>
    </row>
    <row r="6916" spans="2:9" x14ac:dyDescent="0.25">
      <c r="B6916">
        <v>0</v>
      </c>
      <c r="C6916" s="16" t="s">
        <v>16050</v>
      </c>
      <c r="D6916" s="16" t="s">
        <v>19430</v>
      </c>
      <c r="E6916">
        <v>6</v>
      </c>
      <c r="F6916" t="s">
        <v>7701</v>
      </c>
      <c r="G6916">
        <v>1</v>
      </c>
      <c r="H6916">
        <v>0</v>
      </c>
      <c r="I6916">
        <f>1</f>
        <v>1</v>
      </c>
    </row>
    <row r="6917" spans="2:9" x14ac:dyDescent="0.25">
      <c r="B6917">
        <v>0</v>
      </c>
      <c r="C6917" s="16" t="s">
        <v>16051</v>
      </c>
      <c r="D6917" s="16"/>
      <c r="E6917">
        <v>6</v>
      </c>
      <c r="F6917" t="s">
        <v>4680</v>
      </c>
      <c r="G6917">
        <v>1</v>
      </c>
      <c r="H6917">
        <v>0</v>
      </c>
      <c r="I6917">
        <f>1</f>
        <v>1</v>
      </c>
    </row>
    <row r="6918" spans="2:9" x14ac:dyDescent="0.25">
      <c r="B6918">
        <v>0</v>
      </c>
      <c r="C6918" s="16" t="s">
        <v>16051</v>
      </c>
      <c r="D6918" s="16" t="s">
        <v>19430</v>
      </c>
      <c r="E6918">
        <v>6</v>
      </c>
      <c r="F6918" t="s">
        <v>7701</v>
      </c>
      <c r="G6918">
        <v>1</v>
      </c>
      <c r="H6918">
        <v>0</v>
      </c>
      <c r="I6918">
        <f>1</f>
        <v>1</v>
      </c>
    </row>
    <row r="6919" spans="2:9" x14ac:dyDescent="0.25">
      <c r="B6919">
        <v>0</v>
      </c>
      <c r="C6919" s="16" t="s">
        <v>16052</v>
      </c>
      <c r="D6919" s="16"/>
      <c r="E6919">
        <v>6</v>
      </c>
      <c r="F6919" t="s">
        <v>7703</v>
      </c>
      <c r="G6919">
        <v>1</v>
      </c>
      <c r="H6919">
        <v>0</v>
      </c>
      <c r="I6919">
        <f>1</f>
        <v>1</v>
      </c>
    </row>
    <row r="6920" spans="2:9" x14ac:dyDescent="0.25">
      <c r="B6920">
        <v>0</v>
      </c>
      <c r="C6920" s="16" t="s">
        <v>16052</v>
      </c>
      <c r="D6920" s="16" t="s">
        <v>19430</v>
      </c>
      <c r="E6920">
        <v>6</v>
      </c>
      <c r="F6920" t="s">
        <v>7704</v>
      </c>
      <c r="G6920">
        <v>1</v>
      </c>
      <c r="H6920">
        <v>0</v>
      </c>
      <c r="I6920">
        <f>1</f>
        <v>1</v>
      </c>
    </row>
    <row r="6921" spans="2:9" x14ac:dyDescent="0.25">
      <c r="B6921">
        <v>0</v>
      </c>
      <c r="C6921" s="16" t="s">
        <v>16053</v>
      </c>
      <c r="D6921" s="16"/>
      <c r="E6921">
        <v>6</v>
      </c>
      <c r="F6921" t="s">
        <v>7705</v>
      </c>
      <c r="G6921">
        <v>1</v>
      </c>
      <c r="H6921">
        <v>0</v>
      </c>
      <c r="I6921">
        <f>1</f>
        <v>1</v>
      </c>
    </row>
    <row r="6922" spans="2:9" x14ac:dyDescent="0.25">
      <c r="B6922">
        <v>0</v>
      </c>
      <c r="C6922" s="16" t="s">
        <v>16053</v>
      </c>
      <c r="D6922" s="16" t="s">
        <v>19430</v>
      </c>
      <c r="E6922">
        <v>6</v>
      </c>
      <c r="F6922" t="s">
        <v>7704</v>
      </c>
      <c r="G6922">
        <v>1</v>
      </c>
      <c r="H6922">
        <v>0</v>
      </c>
      <c r="I6922">
        <f>1</f>
        <v>1</v>
      </c>
    </row>
    <row r="6923" spans="2:9" x14ac:dyDescent="0.25">
      <c r="B6923">
        <v>0</v>
      </c>
      <c r="C6923" s="16" t="s">
        <v>16054</v>
      </c>
      <c r="D6923" s="16"/>
      <c r="E6923">
        <v>6</v>
      </c>
      <c r="F6923" t="e">
        <f>--outros</f>
        <v>#NAME?</v>
      </c>
      <c r="G6923">
        <v>1</v>
      </c>
      <c r="H6923">
        <v>0</v>
      </c>
      <c r="I6923">
        <f>1</f>
        <v>1</v>
      </c>
    </row>
    <row r="6924" spans="2:9" x14ac:dyDescent="0.25">
      <c r="B6924">
        <v>0</v>
      </c>
      <c r="C6924" s="16" t="s">
        <v>16054</v>
      </c>
      <c r="D6924" s="16" t="s">
        <v>19430</v>
      </c>
      <c r="E6924">
        <v>6</v>
      </c>
      <c r="F6924" t="s">
        <v>7706</v>
      </c>
      <c r="G6924">
        <v>1</v>
      </c>
      <c r="H6924">
        <v>0</v>
      </c>
      <c r="I6924">
        <f>1</f>
        <v>1</v>
      </c>
    </row>
    <row r="6925" spans="2:9" x14ac:dyDescent="0.25">
      <c r="B6925">
        <v>0</v>
      </c>
      <c r="C6925" s="16" t="s">
        <v>16055</v>
      </c>
      <c r="D6925" s="16"/>
      <c r="E6925">
        <v>6</v>
      </c>
      <c r="F6925" t="s">
        <v>7707</v>
      </c>
      <c r="G6925">
        <v>1</v>
      </c>
      <c r="H6925">
        <v>0</v>
      </c>
      <c r="I6925">
        <f>1</f>
        <v>1</v>
      </c>
    </row>
    <row r="6926" spans="2:9" x14ac:dyDescent="0.25">
      <c r="B6926">
        <v>0</v>
      </c>
      <c r="C6926" s="16" t="s">
        <v>16056</v>
      </c>
      <c r="D6926" s="16"/>
      <c r="E6926">
        <v>6</v>
      </c>
      <c r="F6926" t="s">
        <v>7708</v>
      </c>
      <c r="G6926">
        <v>1</v>
      </c>
      <c r="H6926">
        <v>0</v>
      </c>
      <c r="I6926">
        <f>1</f>
        <v>1</v>
      </c>
    </row>
    <row r="6927" spans="2:9" x14ac:dyDescent="0.25">
      <c r="B6927">
        <v>0</v>
      </c>
      <c r="C6927" s="16" t="s">
        <v>16057</v>
      </c>
      <c r="D6927" s="16"/>
      <c r="E6927">
        <v>6</v>
      </c>
      <c r="F6927" t="e">
        <f>-De Metais comuns folheados ou chapeados De Metais preciosos  plaquê</f>
        <v>#NAME?</v>
      </c>
      <c r="G6927">
        <v>1</v>
      </c>
      <c r="H6927">
        <v>0</v>
      </c>
      <c r="I6927">
        <f>1</f>
        <v>1</v>
      </c>
    </row>
    <row r="6928" spans="2:9" x14ac:dyDescent="0.25">
      <c r="B6928">
        <v>0</v>
      </c>
      <c r="C6928" s="16" t="s">
        <v>16058</v>
      </c>
      <c r="D6928" s="16"/>
      <c r="E6928">
        <v>6</v>
      </c>
      <c r="F6928" t="s">
        <v>7707</v>
      </c>
      <c r="G6928">
        <v>1</v>
      </c>
      <c r="H6928">
        <v>0</v>
      </c>
      <c r="I6928">
        <f>1</f>
        <v>1</v>
      </c>
    </row>
    <row r="6929" spans="2:9" x14ac:dyDescent="0.25">
      <c r="B6929">
        <v>0</v>
      </c>
      <c r="C6929" s="16" t="s">
        <v>16059</v>
      </c>
      <c r="D6929" s="16"/>
      <c r="E6929">
        <v>6</v>
      </c>
      <c r="F6929" t="s">
        <v>7708</v>
      </c>
      <c r="G6929">
        <v>1</v>
      </c>
      <c r="H6929">
        <v>0</v>
      </c>
      <c r="I6929">
        <f>1</f>
        <v>1</v>
      </c>
    </row>
    <row r="6930" spans="2:9" x14ac:dyDescent="0.25">
      <c r="B6930">
        <v>0</v>
      </c>
      <c r="C6930" s="16" t="s">
        <v>16060</v>
      </c>
      <c r="D6930" s="16"/>
      <c r="E6930">
        <v>6</v>
      </c>
      <c r="F6930" t="e">
        <f>-De Metais comuns folheados ou chapeados De Metais preciosos  plaquê</f>
        <v>#NAME?</v>
      </c>
      <c r="G6930">
        <v>1</v>
      </c>
      <c r="H6930">
        <v>0</v>
      </c>
      <c r="I6930">
        <f>1</f>
        <v>1</v>
      </c>
    </row>
    <row r="6931" spans="2:9" x14ac:dyDescent="0.25">
      <c r="B6931">
        <v>0</v>
      </c>
      <c r="C6931" s="16" t="s">
        <v>16061</v>
      </c>
      <c r="D6931" s="16"/>
      <c r="E6931">
        <v>6</v>
      </c>
      <c r="F6931" t="s">
        <v>7709</v>
      </c>
      <c r="G6931">
        <v>1</v>
      </c>
      <c r="H6931">
        <v>0</v>
      </c>
      <c r="I6931">
        <f>1</f>
        <v>1</v>
      </c>
    </row>
    <row r="6932" spans="2:9" x14ac:dyDescent="0.25">
      <c r="B6932">
        <v>0</v>
      </c>
      <c r="C6932" s="16" t="s">
        <v>16062</v>
      </c>
      <c r="D6932" s="16"/>
      <c r="E6932">
        <v>6</v>
      </c>
      <c r="F6932" t="e">
        <f>-Outras</f>
        <v>#NAME?</v>
      </c>
      <c r="G6932">
        <v>1</v>
      </c>
      <c r="H6932">
        <v>0</v>
      </c>
      <c r="I6932">
        <f>1</f>
        <v>1</v>
      </c>
    </row>
    <row r="6933" spans="2:9" x14ac:dyDescent="0.25">
      <c r="B6933">
        <v>0</v>
      </c>
      <c r="C6933" s="16" t="s">
        <v>16063</v>
      </c>
      <c r="D6933" s="16"/>
      <c r="E6933">
        <v>6</v>
      </c>
      <c r="F6933" t="e">
        <f>-De Pérolas naturais ou cultivadas</f>
        <v>#NAME?</v>
      </c>
      <c r="G6933">
        <v>1</v>
      </c>
      <c r="H6933">
        <v>0</v>
      </c>
      <c r="I6933">
        <f>1</f>
        <v>1</v>
      </c>
    </row>
    <row r="6934" spans="2:9" x14ac:dyDescent="0.25">
      <c r="B6934">
        <v>0</v>
      </c>
      <c r="C6934" s="16" t="s">
        <v>16064</v>
      </c>
      <c r="D6934" s="16"/>
      <c r="E6934">
        <v>6</v>
      </c>
      <c r="F6934" t="s">
        <v>7710</v>
      </c>
      <c r="G6934">
        <v>1</v>
      </c>
      <c r="H6934">
        <v>0</v>
      </c>
      <c r="I6934">
        <f>1</f>
        <v>1</v>
      </c>
    </row>
    <row r="6935" spans="2:9" x14ac:dyDescent="0.25">
      <c r="B6935">
        <v>0</v>
      </c>
      <c r="C6935" s="16" t="s">
        <v>16065</v>
      </c>
      <c r="D6935" s="16"/>
      <c r="E6935">
        <v>6</v>
      </c>
      <c r="F6935" t="s">
        <v>7711</v>
      </c>
      <c r="G6935">
        <v>1</v>
      </c>
      <c r="H6935">
        <v>0</v>
      </c>
      <c r="I6935">
        <f>1</f>
        <v>1</v>
      </c>
    </row>
    <row r="6936" spans="2:9" x14ac:dyDescent="0.25">
      <c r="B6936">
        <v>0</v>
      </c>
      <c r="C6936" s="16" t="s">
        <v>16066</v>
      </c>
      <c r="D6936" s="16"/>
      <c r="E6936">
        <v>6</v>
      </c>
      <c r="F6936" t="s">
        <v>4690</v>
      </c>
      <c r="G6936">
        <v>1</v>
      </c>
      <c r="H6936">
        <v>0</v>
      </c>
      <c r="I6936">
        <f>1</f>
        <v>1</v>
      </c>
    </row>
    <row r="6937" spans="2:9" x14ac:dyDescent="0.25">
      <c r="B6937">
        <v>0</v>
      </c>
      <c r="C6937" s="16" t="s">
        <v>16067</v>
      </c>
      <c r="D6937" s="16"/>
      <c r="E6937">
        <v>6</v>
      </c>
      <c r="F6937" t="e">
        <f>--Abotoaduras e artefatos semelhantes</f>
        <v>#NAME?</v>
      </c>
      <c r="G6937">
        <v>1</v>
      </c>
      <c r="H6937">
        <v>0</v>
      </c>
      <c r="I6937">
        <f>1</f>
        <v>1</v>
      </c>
    </row>
    <row r="6938" spans="2:9" x14ac:dyDescent="0.25">
      <c r="B6938">
        <v>0</v>
      </c>
      <c r="C6938" s="16" t="s">
        <v>16068</v>
      </c>
      <c r="D6938" s="16"/>
      <c r="E6938">
        <v>6</v>
      </c>
      <c r="F6938" t="e">
        <f>--Outras</f>
        <v>#NAME?</v>
      </c>
      <c r="G6938">
        <v>1</v>
      </c>
      <c r="H6938">
        <v>0</v>
      </c>
      <c r="I6938">
        <f>1</f>
        <v>1</v>
      </c>
    </row>
    <row r="6939" spans="2:9" x14ac:dyDescent="0.25">
      <c r="B6939">
        <v>0</v>
      </c>
      <c r="C6939" s="16" t="s">
        <v>16069</v>
      </c>
      <c r="D6939" s="16"/>
      <c r="E6939">
        <v>6</v>
      </c>
      <c r="F6939" t="e">
        <f>-Outras</f>
        <v>#NAME?</v>
      </c>
      <c r="G6939">
        <v>1</v>
      </c>
      <c r="H6939">
        <v>0</v>
      </c>
      <c r="I6939">
        <f>1</f>
        <v>1</v>
      </c>
    </row>
    <row r="6940" spans="2:9" x14ac:dyDescent="0.25">
      <c r="B6940">
        <v>0</v>
      </c>
      <c r="C6940" s="16" t="s">
        <v>16070</v>
      </c>
      <c r="D6940" s="16"/>
      <c r="E6940">
        <v>6</v>
      </c>
      <c r="F6940" t="s">
        <v>7712</v>
      </c>
      <c r="G6940">
        <v>1</v>
      </c>
      <c r="H6940">
        <v>0</v>
      </c>
      <c r="I6940">
        <f>1</f>
        <v>1</v>
      </c>
    </row>
    <row r="6941" spans="2:9" x14ac:dyDescent="0.25">
      <c r="B6941">
        <v>0</v>
      </c>
      <c r="C6941" s="16" t="s">
        <v>16071</v>
      </c>
      <c r="D6941" s="16"/>
      <c r="E6941">
        <v>6</v>
      </c>
      <c r="F6941" t="s">
        <v>4690</v>
      </c>
      <c r="G6941">
        <v>1</v>
      </c>
      <c r="H6941">
        <v>0</v>
      </c>
      <c r="I6941">
        <f>1</f>
        <v>1</v>
      </c>
    </row>
    <row r="6942" spans="2:9" x14ac:dyDescent="0.25">
      <c r="B6942">
        <v>0</v>
      </c>
      <c r="C6942" s="16" t="s">
        <v>16072</v>
      </c>
      <c r="D6942" s="16"/>
      <c r="E6942">
        <v>6</v>
      </c>
      <c r="F6942" t="e">
        <f>-Outras</f>
        <v>#NAME?</v>
      </c>
      <c r="G6942">
        <v>1</v>
      </c>
      <c r="H6942">
        <v>0</v>
      </c>
      <c r="I6942">
        <f>1</f>
        <v>1</v>
      </c>
    </row>
    <row r="6943" spans="2:9" x14ac:dyDescent="0.25">
      <c r="B6943">
        <v>0</v>
      </c>
      <c r="C6943" s="16" t="s">
        <v>16073</v>
      </c>
      <c r="D6943" s="16"/>
      <c r="E6943">
        <v>6</v>
      </c>
      <c r="F6943" t="s">
        <v>7713</v>
      </c>
      <c r="G6943">
        <v>1</v>
      </c>
      <c r="H6943">
        <v>0</v>
      </c>
      <c r="I6943">
        <f>1</f>
        <v>1</v>
      </c>
    </row>
    <row r="6944" spans="2:9" x14ac:dyDescent="0.25">
      <c r="B6944">
        <v>0</v>
      </c>
      <c r="C6944" s="16" t="s">
        <v>16074</v>
      </c>
      <c r="D6944" s="16"/>
      <c r="E6944">
        <v>6</v>
      </c>
      <c r="F6944" t="s">
        <v>7714</v>
      </c>
      <c r="G6944">
        <v>1</v>
      </c>
      <c r="H6944">
        <v>0</v>
      </c>
      <c r="I6944">
        <f>1</f>
        <v>1</v>
      </c>
    </row>
    <row r="6945" spans="2:9" x14ac:dyDescent="0.25">
      <c r="B6945">
        <v>0</v>
      </c>
      <c r="C6945" s="16" t="s">
        <v>16075</v>
      </c>
      <c r="D6945" s="16"/>
      <c r="E6945">
        <v>6</v>
      </c>
      <c r="F6945" t="s">
        <v>7715</v>
      </c>
      <c r="G6945">
        <v>1</v>
      </c>
      <c r="H6945">
        <v>0</v>
      </c>
      <c r="I6945">
        <f>1</f>
        <v>1</v>
      </c>
    </row>
    <row r="6946" spans="2:9" x14ac:dyDescent="0.25">
      <c r="B6946">
        <v>0</v>
      </c>
      <c r="C6946" s="16" t="s">
        <v>16076</v>
      </c>
      <c r="D6946" s="16"/>
      <c r="E6946">
        <v>6</v>
      </c>
      <c r="F6946" t="s">
        <v>7716</v>
      </c>
      <c r="G6946">
        <v>1</v>
      </c>
      <c r="H6946">
        <v>0</v>
      </c>
      <c r="I6946">
        <f>1</f>
        <v>1</v>
      </c>
    </row>
    <row r="6947" spans="2:9" x14ac:dyDescent="0.25">
      <c r="B6947">
        <v>0</v>
      </c>
      <c r="C6947" s="16" t="s">
        <v>16077</v>
      </c>
      <c r="D6947" s="16"/>
      <c r="E6947">
        <v>6</v>
      </c>
      <c r="F6947" t="e">
        <f>--Outras</f>
        <v>#NAME?</v>
      </c>
      <c r="G6947">
        <v>1</v>
      </c>
      <c r="H6947">
        <v>0</v>
      </c>
      <c r="I6947">
        <f>1</f>
        <v>1</v>
      </c>
    </row>
    <row r="6948" spans="2:9" x14ac:dyDescent="0.25">
      <c r="B6948">
        <v>0</v>
      </c>
      <c r="C6948" s="16" t="s">
        <v>16078</v>
      </c>
      <c r="D6948" s="16"/>
      <c r="E6948">
        <v>6</v>
      </c>
      <c r="F6948" t="s">
        <v>7717</v>
      </c>
      <c r="G6948">
        <v>1</v>
      </c>
      <c r="H6948">
        <v>0</v>
      </c>
      <c r="I6948">
        <f>1</f>
        <v>1</v>
      </c>
    </row>
    <row r="6949" spans="2:9" x14ac:dyDescent="0.25">
      <c r="B6949">
        <v>0</v>
      </c>
      <c r="C6949" s="16" t="s">
        <v>16079</v>
      </c>
      <c r="D6949" s="16"/>
      <c r="E6949">
        <v>6</v>
      </c>
      <c r="F6949" t="e">
        <f>--Outras</f>
        <v>#NAME?</v>
      </c>
      <c r="G6949">
        <v>1</v>
      </c>
      <c r="H6949">
        <v>0</v>
      </c>
      <c r="I6949">
        <f>1</f>
        <v>1</v>
      </c>
    </row>
    <row r="6950" spans="2:9" x14ac:dyDescent="0.25">
      <c r="B6950">
        <v>0</v>
      </c>
      <c r="C6950" s="16" t="s">
        <v>16080</v>
      </c>
      <c r="D6950" s="16"/>
      <c r="E6950">
        <v>6</v>
      </c>
      <c r="F6950" t="e">
        <f>-ferro-silício-manganês</f>
        <v>#NAME?</v>
      </c>
      <c r="G6950">
        <v>1</v>
      </c>
      <c r="H6950">
        <v>0</v>
      </c>
      <c r="I6950">
        <f>1</f>
        <v>1</v>
      </c>
    </row>
    <row r="6951" spans="2:9" x14ac:dyDescent="0.25">
      <c r="B6951">
        <v>0</v>
      </c>
      <c r="C6951" s="16" t="s">
        <v>16081</v>
      </c>
      <c r="D6951" s="16"/>
      <c r="E6951">
        <v>6</v>
      </c>
      <c r="F6951" t="s">
        <v>7718</v>
      </c>
      <c r="G6951">
        <v>1</v>
      </c>
      <c r="H6951">
        <v>0</v>
      </c>
      <c r="I6951">
        <f>1</f>
        <v>1</v>
      </c>
    </row>
    <row r="6952" spans="2:9" x14ac:dyDescent="0.25">
      <c r="B6952">
        <v>0</v>
      </c>
      <c r="C6952" s="16" t="s">
        <v>16082</v>
      </c>
      <c r="D6952" s="16"/>
      <c r="E6952">
        <v>6</v>
      </c>
      <c r="F6952" t="e">
        <f>--Outras</f>
        <v>#NAME?</v>
      </c>
      <c r="G6952">
        <v>1</v>
      </c>
      <c r="H6952">
        <v>0</v>
      </c>
      <c r="I6952">
        <f>1</f>
        <v>1</v>
      </c>
    </row>
    <row r="6953" spans="2:9" x14ac:dyDescent="0.25">
      <c r="B6953">
        <v>0</v>
      </c>
      <c r="C6953" s="16" t="s">
        <v>16083</v>
      </c>
      <c r="D6953" s="16"/>
      <c r="E6953">
        <v>6</v>
      </c>
      <c r="F6953" t="e">
        <f>-ferro-silício-cromo</f>
        <v>#NAME?</v>
      </c>
      <c r="G6953">
        <v>1</v>
      </c>
      <c r="H6953">
        <v>0</v>
      </c>
      <c r="I6953">
        <f>1</f>
        <v>1</v>
      </c>
    </row>
    <row r="6954" spans="2:9" x14ac:dyDescent="0.25">
      <c r="B6954">
        <v>0</v>
      </c>
      <c r="C6954" s="16" t="s">
        <v>16084</v>
      </c>
      <c r="D6954" s="16"/>
      <c r="E6954">
        <v>6</v>
      </c>
      <c r="F6954" t="e">
        <f>-ferro-níquel</f>
        <v>#NAME?</v>
      </c>
      <c r="G6954">
        <v>1</v>
      </c>
      <c r="H6954">
        <v>0</v>
      </c>
      <c r="I6954">
        <f>1</f>
        <v>1</v>
      </c>
    </row>
    <row r="6955" spans="2:9" x14ac:dyDescent="0.25">
      <c r="B6955">
        <v>0</v>
      </c>
      <c r="C6955" s="16" t="s">
        <v>16085</v>
      </c>
      <c r="D6955" s="16"/>
      <c r="E6955">
        <v>6</v>
      </c>
      <c r="F6955" t="e">
        <f>-ferro-molibdênio</f>
        <v>#NAME?</v>
      </c>
      <c r="G6955">
        <v>1</v>
      </c>
      <c r="H6955">
        <v>0</v>
      </c>
      <c r="I6955">
        <f>1</f>
        <v>1</v>
      </c>
    </row>
    <row r="6956" spans="2:9" x14ac:dyDescent="0.25">
      <c r="B6956">
        <v>0</v>
      </c>
      <c r="C6956" s="16" t="s">
        <v>16086</v>
      </c>
      <c r="D6956" s="16"/>
      <c r="E6956">
        <v>6</v>
      </c>
      <c r="F6956" t="e">
        <f>-ferro-tungstênio  ferro-volfrâmio  e ferro-silício-tungstênio  ferro-silício-volfrâmio</f>
        <v>#NAME?</v>
      </c>
      <c r="G6956">
        <v>1</v>
      </c>
      <c r="H6956">
        <v>0</v>
      </c>
      <c r="I6956">
        <f>1</f>
        <v>1</v>
      </c>
    </row>
    <row r="6957" spans="2:9" x14ac:dyDescent="0.25">
      <c r="B6957">
        <v>0</v>
      </c>
      <c r="C6957" s="16" t="s">
        <v>16087</v>
      </c>
      <c r="D6957" s="16"/>
      <c r="E6957">
        <v>6</v>
      </c>
      <c r="F6957" t="e">
        <f>--ferro-titânio e ferro-silício-titânio</f>
        <v>#NAME?</v>
      </c>
      <c r="G6957">
        <v>1</v>
      </c>
      <c r="H6957">
        <v>0</v>
      </c>
      <c r="I6957">
        <f>1</f>
        <v>1</v>
      </c>
    </row>
    <row r="6958" spans="2:9" x14ac:dyDescent="0.25">
      <c r="B6958">
        <v>0</v>
      </c>
      <c r="C6958" s="16" t="s">
        <v>16088</v>
      </c>
      <c r="D6958" s="16"/>
      <c r="E6958">
        <v>6</v>
      </c>
      <c r="F6958" t="e">
        <f>--ferro-vanádio</f>
        <v>#NAME?</v>
      </c>
      <c r="G6958">
        <v>1</v>
      </c>
      <c r="H6958">
        <v>0</v>
      </c>
      <c r="I6958">
        <f>1</f>
        <v>1</v>
      </c>
    </row>
    <row r="6959" spans="2:9" x14ac:dyDescent="0.25">
      <c r="B6959">
        <v>0</v>
      </c>
      <c r="C6959" s="16" t="s">
        <v>16089</v>
      </c>
      <c r="D6959" s="16"/>
      <c r="E6959">
        <v>6</v>
      </c>
      <c r="F6959" t="e">
        <f>--ferro-nióbio</f>
        <v>#NAME?</v>
      </c>
      <c r="G6959">
        <v>1</v>
      </c>
      <c r="H6959">
        <v>0</v>
      </c>
      <c r="I6959">
        <f>1</f>
        <v>1</v>
      </c>
    </row>
    <row r="6960" spans="2:9" x14ac:dyDescent="0.25">
      <c r="B6960">
        <v>0</v>
      </c>
      <c r="C6960" s="16" t="s">
        <v>16090</v>
      </c>
      <c r="D6960" s="16"/>
      <c r="E6960">
        <v>6</v>
      </c>
      <c r="F6960" t="s">
        <v>7719</v>
      </c>
      <c r="G6960">
        <v>1</v>
      </c>
      <c r="H6960">
        <v>0</v>
      </c>
      <c r="I6960">
        <f>1</f>
        <v>1</v>
      </c>
    </row>
    <row r="6961" spans="2:9" x14ac:dyDescent="0.25">
      <c r="B6961">
        <v>0</v>
      </c>
      <c r="C6961" s="16" t="s">
        <v>16091</v>
      </c>
      <c r="D6961" s="16"/>
      <c r="E6961">
        <v>6</v>
      </c>
      <c r="F6961" t="s">
        <v>4690</v>
      </c>
      <c r="G6961">
        <v>1</v>
      </c>
      <c r="H6961">
        <v>0</v>
      </c>
      <c r="I6961">
        <f>1</f>
        <v>1</v>
      </c>
    </row>
    <row r="6962" spans="2:9" x14ac:dyDescent="0.25">
      <c r="B6962">
        <v>0</v>
      </c>
      <c r="C6962" s="16" t="s">
        <v>16092</v>
      </c>
      <c r="D6962" s="16"/>
      <c r="E6962">
        <v>6</v>
      </c>
      <c r="F6962" t="e">
        <f>-produtos ferrosos obtidos por redução direta dos Minérios De ferro</f>
        <v>#NAME?</v>
      </c>
      <c r="G6962">
        <v>1</v>
      </c>
      <c r="H6962">
        <v>0</v>
      </c>
      <c r="I6962">
        <f>1</f>
        <v>1</v>
      </c>
    </row>
    <row r="6963" spans="2:9" x14ac:dyDescent="0.25">
      <c r="B6963">
        <v>0</v>
      </c>
      <c r="C6963" s="16" t="s">
        <v>16093</v>
      </c>
      <c r="D6963" s="16"/>
      <c r="E6963">
        <v>6</v>
      </c>
      <c r="F6963" t="e">
        <f>-outros</f>
        <v>#NAME?</v>
      </c>
      <c r="G6963">
        <v>1</v>
      </c>
      <c r="H6963">
        <v>0</v>
      </c>
      <c r="I6963">
        <f>1</f>
        <v>1</v>
      </c>
    </row>
    <row r="6964" spans="2:9" x14ac:dyDescent="0.25">
      <c r="B6964">
        <v>0</v>
      </c>
      <c r="C6964" s="16" t="s">
        <v>16094</v>
      </c>
      <c r="D6964" s="16"/>
      <c r="E6964">
        <v>6</v>
      </c>
      <c r="F6964" t="e">
        <f>-desperdícios e Resíduos De ferro fundido</f>
        <v>#NAME?</v>
      </c>
      <c r="G6964">
        <v>1</v>
      </c>
      <c r="H6964">
        <v>0</v>
      </c>
      <c r="I6964">
        <f>1</f>
        <v>1</v>
      </c>
    </row>
    <row r="6965" spans="2:9" x14ac:dyDescent="0.25">
      <c r="B6965">
        <v>0</v>
      </c>
      <c r="C6965" s="16" t="s">
        <v>16095</v>
      </c>
      <c r="D6965" s="16"/>
      <c r="E6965">
        <v>6</v>
      </c>
      <c r="F6965" t="e">
        <f>--De aços inoxidáveis</f>
        <v>#NAME?</v>
      </c>
      <c r="G6965">
        <v>1</v>
      </c>
      <c r="H6965">
        <v>0</v>
      </c>
      <c r="I6965">
        <f>1</f>
        <v>1</v>
      </c>
    </row>
    <row r="6966" spans="2:9" x14ac:dyDescent="0.25">
      <c r="B6966">
        <v>0</v>
      </c>
      <c r="C6966" s="16" t="s">
        <v>16096</v>
      </c>
      <c r="D6966" s="16"/>
      <c r="E6966">
        <v>6</v>
      </c>
      <c r="F6966" t="e">
        <f>--outros</f>
        <v>#NAME?</v>
      </c>
      <c r="G6966">
        <v>1</v>
      </c>
      <c r="H6966">
        <v>0</v>
      </c>
      <c r="I6966">
        <f>1</f>
        <v>1</v>
      </c>
    </row>
    <row r="6967" spans="2:9" x14ac:dyDescent="0.25">
      <c r="B6967">
        <v>0</v>
      </c>
      <c r="C6967" s="16" t="s">
        <v>16097</v>
      </c>
      <c r="D6967" s="16"/>
      <c r="E6967">
        <v>6</v>
      </c>
      <c r="F6967" t="s">
        <v>7720</v>
      </c>
      <c r="G6967">
        <v>1</v>
      </c>
      <c r="H6967">
        <v>0</v>
      </c>
      <c r="I6967">
        <f>1</f>
        <v>1</v>
      </c>
    </row>
    <row r="6968" spans="2:9" x14ac:dyDescent="0.25">
      <c r="B6968">
        <v>0</v>
      </c>
      <c r="C6968" s="16" t="s">
        <v>16098</v>
      </c>
      <c r="D6968" s="16"/>
      <c r="E6968">
        <v>6</v>
      </c>
      <c r="F6968" t="s">
        <v>7721</v>
      </c>
      <c r="G6968">
        <v>1</v>
      </c>
      <c r="H6968">
        <v>0</v>
      </c>
      <c r="I6968">
        <f>1</f>
        <v>1</v>
      </c>
    </row>
    <row r="6969" spans="2:9" x14ac:dyDescent="0.25">
      <c r="B6969">
        <v>0</v>
      </c>
      <c r="C6969" s="16" t="s">
        <v>16099</v>
      </c>
      <c r="D6969" s="16"/>
      <c r="E6969">
        <v>6</v>
      </c>
      <c r="F6969" t="e">
        <f>--outros</f>
        <v>#NAME?</v>
      </c>
      <c r="G6969">
        <v>1</v>
      </c>
      <c r="H6969">
        <v>0</v>
      </c>
      <c r="I6969">
        <f>1</f>
        <v>1</v>
      </c>
    </row>
    <row r="6970" spans="2:9" x14ac:dyDescent="0.25">
      <c r="B6970">
        <v>0</v>
      </c>
      <c r="C6970" s="16" t="s">
        <v>16100</v>
      </c>
      <c r="D6970" s="16"/>
      <c r="E6970">
        <v>6</v>
      </c>
      <c r="F6970" t="e">
        <f>-desperdícios em lingotes</f>
        <v>#NAME?</v>
      </c>
      <c r="G6970">
        <v>1</v>
      </c>
      <c r="H6970">
        <v>0</v>
      </c>
      <c r="I6970">
        <f>1</f>
        <v>1</v>
      </c>
    </row>
    <row r="6971" spans="2:9" x14ac:dyDescent="0.25">
      <c r="B6971">
        <v>0</v>
      </c>
      <c r="C6971" s="16" t="s">
        <v>16101</v>
      </c>
      <c r="D6971" s="16"/>
      <c r="E6971">
        <v>6</v>
      </c>
      <c r="F6971" t="e">
        <f>-Granalhas</f>
        <v>#NAME?</v>
      </c>
      <c r="G6971">
        <v>1</v>
      </c>
      <c r="H6971">
        <v>0</v>
      </c>
      <c r="I6971">
        <f>1</f>
        <v>1</v>
      </c>
    </row>
    <row r="6972" spans="2:9" x14ac:dyDescent="0.25">
      <c r="B6972">
        <v>0</v>
      </c>
      <c r="C6972" s="16" t="s">
        <v>16102</v>
      </c>
      <c r="D6972" s="16"/>
      <c r="E6972">
        <v>6</v>
      </c>
      <c r="F6972" t="e">
        <f>--De Ligas De aço</f>
        <v>#NAME?</v>
      </c>
      <c r="G6972">
        <v>1</v>
      </c>
      <c r="H6972">
        <v>0</v>
      </c>
      <c r="I6972">
        <f>1</f>
        <v>1</v>
      </c>
    </row>
    <row r="6973" spans="2:9" x14ac:dyDescent="0.25">
      <c r="B6973">
        <v>0</v>
      </c>
      <c r="C6973" s="16" t="s">
        <v>16103</v>
      </c>
      <c r="D6973" s="16"/>
      <c r="E6973">
        <v>6</v>
      </c>
      <c r="F6973" t="s">
        <v>7722</v>
      </c>
      <c r="G6973">
        <v>1</v>
      </c>
      <c r="H6973">
        <v>0</v>
      </c>
      <c r="I6973">
        <f>1</f>
        <v>1</v>
      </c>
    </row>
    <row r="6974" spans="2:9" x14ac:dyDescent="0.25">
      <c r="B6974">
        <v>0</v>
      </c>
      <c r="C6974" s="16" t="s">
        <v>16104</v>
      </c>
      <c r="D6974" s="16"/>
      <c r="E6974">
        <v>6</v>
      </c>
      <c r="F6974" t="s">
        <v>7723</v>
      </c>
      <c r="G6974">
        <v>1</v>
      </c>
      <c r="H6974">
        <v>0</v>
      </c>
      <c r="I6974">
        <f>1</f>
        <v>1</v>
      </c>
    </row>
    <row r="6975" spans="2:9" x14ac:dyDescent="0.25">
      <c r="B6975">
        <v>0</v>
      </c>
      <c r="C6975" s="16" t="s">
        <v>16105</v>
      </c>
      <c r="D6975" s="16"/>
      <c r="E6975">
        <v>6</v>
      </c>
      <c r="F6975" t="s">
        <v>4680</v>
      </c>
      <c r="G6975">
        <v>1</v>
      </c>
      <c r="H6975">
        <v>0</v>
      </c>
      <c r="I6975">
        <f>1</f>
        <v>1</v>
      </c>
    </row>
    <row r="6976" spans="2:9" x14ac:dyDescent="0.25">
      <c r="B6976">
        <v>0</v>
      </c>
      <c r="C6976" s="16" t="s">
        <v>16106</v>
      </c>
      <c r="D6976" s="16"/>
      <c r="E6976">
        <v>6</v>
      </c>
      <c r="F6976" t="e">
        <f>-lingotes</f>
        <v>#NAME?</v>
      </c>
      <c r="G6976">
        <v>1</v>
      </c>
      <c r="H6976">
        <v>0</v>
      </c>
      <c r="I6976">
        <f>1</f>
        <v>1</v>
      </c>
    </row>
    <row r="6977" spans="2:9" x14ac:dyDescent="0.25">
      <c r="B6977">
        <v>0</v>
      </c>
      <c r="C6977" s="16" t="s">
        <v>16107</v>
      </c>
      <c r="D6977" s="16"/>
      <c r="E6977">
        <v>6</v>
      </c>
      <c r="F6977" t="e">
        <f>-outros</f>
        <v>#NAME?</v>
      </c>
      <c r="G6977">
        <v>1</v>
      </c>
      <c r="H6977">
        <v>0</v>
      </c>
      <c r="I6977">
        <f>1</f>
        <v>1</v>
      </c>
    </row>
    <row r="6978" spans="2:9" x14ac:dyDescent="0.25">
      <c r="B6978">
        <v>0</v>
      </c>
      <c r="C6978" s="16" t="s">
        <v>16108</v>
      </c>
      <c r="D6978" s="16"/>
      <c r="E6978">
        <v>6</v>
      </c>
      <c r="F6978" t="s">
        <v>7724</v>
      </c>
      <c r="G6978">
        <v>1</v>
      </c>
      <c r="H6978">
        <v>0</v>
      </c>
      <c r="I6978">
        <f>1</f>
        <v>1</v>
      </c>
    </row>
    <row r="6979" spans="2:9" x14ac:dyDescent="0.25">
      <c r="B6979">
        <v>0</v>
      </c>
      <c r="C6979" s="16" t="s">
        <v>16109</v>
      </c>
      <c r="D6979" s="16"/>
      <c r="E6979">
        <v>6</v>
      </c>
      <c r="F6979" t="s">
        <v>4680</v>
      </c>
      <c r="G6979">
        <v>1</v>
      </c>
      <c r="H6979">
        <v>0</v>
      </c>
      <c r="I6979">
        <f>1</f>
        <v>1</v>
      </c>
    </row>
    <row r="6980" spans="2:9" x14ac:dyDescent="0.25">
      <c r="B6980">
        <v>0</v>
      </c>
      <c r="C6980" s="16" t="s">
        <v>16110</v>
      </c>
      <c r="D6980" s="16"/>
      <c r="E6980">
        <v>6</v>
      </c>
      <c r="F6980" t="s">
        <v>7725</v>
      </c>
      <c r="G6980">
        <v>1</v>
      </c>
      <c r="H6980">
        <v>0</v>
      </c>
      <c r="I6980">
        <f>1</f>
        <v>1</v>
      </c>
    </row>
    <row r="6981" spans="2:9" x14ac:dyDescent="0.25">
      <c r="B6981">
        <v>0</v>
      </c>
      <c r="C6981" s="16" t="s">
        <v>16111</v>
      </c>
      <c r="D6981" s="16"/>
      <c r="E6981">
        <v>6</v>
      </c>
      <c r="F6981" t="e">
        <f>--outros</f>
        <v>#NAME?</v>
      </c>
      <c r="G6981">
        <v>1</v>
      </c>
      <c r="H6981">
        <v>0</v>
      </c>
      <c r="I6981">
        <f>1</f>
        <v>1</v>
      </c>
    </row>
    <row r="6982" spans="2:9" x14ac:dyDescent="0.25">
      <c r="B6982">
        <v>0</v>
      </c>
      <c r="C6982" s="16" t="s">
        <v>16112</v>
      </c>
      <c r="D6982" s="16"/>
      <c r="E6982">
        <v>6</v>
      </c>
      <c r="F6982" t="s">
        <v>7726</v>
      </c>
      <c r="G6982">
        <v>1</v>
      </c>
      <c r="H6982">
        <v>0</v>
      </c>
      <c r="I6982">
        <f>1</f>
        <v>1</v>
      </c>
    </row>
    <row r="6983" spans="2:9" x14ac:dyDescent="0.25">
      <c r="B6983">
        <v>0</v>
      </c>
      <c r="C6983" s="16" t="s">
        <v>16113</v>
      </c>
      <c r="D6983" s="16"/>
      <c r="E6983">
        <v>6</v>
      </c>
      <c r="F6983" t="s">
        <v>7727</v>
      </c>
      <c r="G6983">
        <v>1</v>
      </c>
      <c r="H6983">
        <v>0</v>
      </c>
      <c r="I6983">
        <f>1</f>
        <v>1</v>
      </c>
    </row>
    <row r="6984" spans="2:9" x14ac:dyDescent="0.25">
      <c r="B6984">
        <v>0</v>
      </c>
      <c r="C6984" s="16" t="s">
        <v>16114</v>
      </c>
      <c r="D6984" s="16"/>
      <c r="E6984">
        <v>6</v>
      </c>
      <c r="F6984" t="s">
        <v>7728</v>
      </c>
      <c r="G6984">
        <v>1</v>
      </c>
      <c r="H6984">
        <v>0</v>
      </c>
      <c r="I6984">
        <f>1</f>
        <v>1</v>
      </c>
    </row>
    <row r="6985" spans="2:9" x14ac:dyDescent="0.25">
      <c r="B6985">
        <v>0</v>
      </c>
      <c r="C6985" s="16" t="s">
        <v>16115</v>
      </c>
      <c r="D6985" s="16"/>
      <c r="E6985">
        <v>6</v>
      </c>
      <c r="F6985" t="s">
        <v>7729</v>
      </c>
      <c r="G6985">
        <v>1</v>
      </c>
      <c r="H6985">
        <v>0</v>
      </c>
      <c r="I6985">
        <f>1</f>
        <v>1</v>
      </c>
    </row>
    <row r="6986" spans="2:9" x14ac:dyDescent="0.25">
      <c r="B6986">
        <v>0</v>
      </c>
      <c r="C6986" s="16" t="s">
        <v>16116</v>
      </c>
      <c r="D6986" s="16"/>
      <c r="E6986">
        <v>6</v>
      </c>
      <c r="F6986" t="s">
        <v>4680</v>
      </c>
      <c r="G6986">
        <v>1</v>
      </c>
      <c r="H6986">
        <v>0</v>
      </c>
      <c r="I6986">
        <f>1</f>
        <v>1</v>
      </c>
    </row>
    <row r="6987" spans="2:9" x14ac:dyDescent="0.25">
      <c r="B6987">
        <v>0</v>
      </c>
      <c r="C6987" s="16" t="s">
        <v>16117</v>
      </c>
      <c r="D6987" s="16"/>
      <c r="E6987">
        <v>6</v>
      </c>
      <c r="F6987" t="s">
        <v>7730</v>
      </c>
      <c r="G6987">
        <v>1</v>
      </c>
      <c r="H6987">
        <v>0</v>
      </c>
      <c r="I6987">
        <f>1</f>
        <v>1</v>
      </c>
    </row>
    <row r="6988" spans="2:9" x14ac:dyDescent="0.25">
      <c r="B6988">
        <v>0</v>
      </c>
      <c r="C6988" s="16" t="s">
        <v>16118</v>
      </c>
      <c r="D6988" s="16"/>
      <c r="E6988">
        <v>6</v>
      </c>
      <c r="F6988" t="s">
        <v>4680</v>
      </c>
      <c r="G6988">
        <v>1</v>
      </c>
      <c r="H6988">
        <v>0</v>
      </c>
      <c r="I6988">
        <f>1</f>
        <v>1</v>
      </c>
    </row>
    <row r="6989" spans="2:9" x14ac:dyDescent="0.25">
      <c r="B6989">
        <v>0</v>
      </c>
      <c r="C6989" s="16" t="s">
        <v>16119</v>
      </c>
      <c r="D6989" s="16"/>
      <c r="E6989">
        <v>6</v>
      </c>
      <c r="F6989" t="s">
        <v>7729</v>
      </c>
      <c r="G6989">
        <v>1</v>
      </c>
      <c r="H6989">
        <v>0</v>
      </c>
      <c r="I6989">
        <f>1</f>
        <v>1</v>
      </c>
    </row>
    <row r="6990" spans="2:9" x14ac:dyDescent="0.25">
      <c r="B6990">
        <v>0</v>
      </c>
      <c r="C6990" s="16" t="s">
        <v>16120</v>
      </c>
      <c r="D6990" s="16"/>
      <c r="E6990">
        <v>6</v>
      </c>
      <c r="F6990" t="s">
        <v>4680</v>
      </c>
      <c r="G6990">
        <v>1</v>
      </c>
      <c r="H6990">
        <v>0</v>
      </c>
      <c r="I6990">
        <f>1</f>
        <v>1</v>
      </c>
    </row>
    <row r="6991" spans="2:9" x14ac:dyDescent="0.25">
      <c r="B6991">
        <v>0</v>
      </c>
      <c r="C6991" s="16" t="s">
        <v>16121</v>
      </c>
      <c r="D6991" s="16"/>
      <c r="E6991">
        <v>6</v>
      </c>
      <c r="F6991" t="s">
        <v>7731</v>
      </c>
      <c r="G6991">
        <v>1</v>
      </c>
      <c r="H6991">
        <v>0</v>
      </c>
      <c r="I6991">
        <f>1</f>
        <v>1</v>
      </c>
    </row>
    <row r="6992" spans="2:9" x14ac:dyDescent="0.25">
      <c r="B6992">
        <v>0</v>
      </c>
      <c r="C6992" s="16" t="s">
        <v>16122</v>
      </c>
      <c r="D6992" s="16"/>
      <c r="E6992">
        <v>6</v>
      </c>
      <c r="F6992" t="s">
        <v>7729</v>
      </c>
      <c r="G6992">
        <v>1</v>
      </c>
      <c r="H6992">
        <v>0</v>
      </c>
      <c r="I6992">
        <f>1</f>
        <v>1</v>
      </c>
    </row>
    <row r="6993" spans="2:9" x14ac:dyDescent="0.25">
      <c r="B6993">
        <v>0</v>
      </c>
      <c r="C6993" s="16" t="s">
        <v>16123</v>
      </c>
      <c r="D6993" s="16"/>
      <c r="E6993">
        <v>6</v>
      </c>
      <c r="F6993" t="s">
        <v>4680</v>
      </c>
      <c r="G6993">
        <v>1</v>
      </c>
      <c r="H6993">
        <v>0</v>
      </c>
      <c r="I6993">
        <f>1</f>
        <v>1</v>
      </c>
    </row>
    <row r="6994" spans="2:9" x14ac:dyDescent="0.25">
      <c r="B6994">
        <v>0</v>
      </c>
      <c r="C6994" s="16" t="s">
        <v>16124</v>
      </c>
      <c r="D6994" s="16"/>
      <c r="E6994">
        <v>6</v>
      </c>
      <c r="F6994" t="s">
        <v>7730</v>
      </c>
      <c r="G6994">
        <v>1</v>
      </c>
      <c r="H6994">
        <v>0</v>
      </c>
      <c r="I6994">
        <f>1</f>
        <v>1</v>
      </c>
    </row>
    <row r="6995" spans="2:9" x14ac:dyDescent="0.25">
      <c r="B6995">
        <v>0</v>
      </c>
      <c r="C6995" s="16" t="s">
        <v>16125</v>
      </c>
      <c r="D6995" s="16"/>
      <c r="E6995">
        <v>6</v>
      </c>
      <c r="F6995" t="s">
        <v>4680</v>
      </c>
      <c r="G6995">
        <v>1</v>
      </c>
      <c r="H6995">
        <v>0</v>
      </c>
      <c r="I6995">
        <f>1</f>
        <v>1</v>
      </c>
    </row>
    <row r="6996" spans="2:9" x14ac:dyDescent="0.25">
      <c r="B6996">
        <v>0</v>
      </c>
      <c r="C6996" s="16" t="s">
        <v>16126</v>
      </c>
      <c r="D6996" s="16"/>
      <c r="E6996">
        <v>6</v>
      </c>
      <c r="F6996" t="s">
        <v>7732</v>
      </c>
      <c r="G6996">
        <v>1</v>
      </c>
      <c r="H6996">
        <v>0</v>
      </c>
      <c r="I6996">
        <f>1</f>
        <v>1</v>
      </c>
    </row>
    <row r="6997" spans="2:9" x14ac:dyDescent="0.25">
      <c r="B6997">
        <v>0</v>
      </c>
      <c r="C6997" s="16" t="s">
        <v>16127</v>
      </c>
      <c r="D6997" s="16"/>
      <c r="E6997">
        <v>6</v>
      </c>
      <c r="F6997" t="s">
        <v>7733</v>
      </c>
      <c r="G6997">
        <v>1</v>
      </c>
      <c r="H6997">
        <v>0</v>
      </c>
      <c r="I6997">
        <f>1</f>
        <v>1</v>
      </c>
    </row>
    <row r="6998" spans="2:9" x14ac:dyDescent="0.25">
      <c r="B6998">
        <v>0</v>
      </c>
      <c r="C6998" s="16" t="s">
        <v>16128</v>
      </c>
      <c r="D6998" s="16"/>
      <c r="E6998">
        <v>6</v>
      </c>
      <c r="F6998" t="s">
        <v>7731</v>
      </c>
      <c r="G6998">
        <v>1</v>
      </c>
      <c r="H6998">
        <v>0</v>
      </c>
      <c r="I6998">
        <f>1</f>
        <v>1</v>
      </c>
    </row>
    <row r="6999" spans="2:9" x14ac:dyDescent="0.25">
      <c r="B6999">
        <v>0</v>
      </c>
      <c r="C6999" s="16" t="s">
        <v>16129</v>
      </c>
      <c r="D6999" s="16"/>
      <c r="E6999">
        <v>6</v>
      </c>
      <c r="F6999" t="s">
        <v>7734</v>
      </c>
      <c r="G6999">
        <v>1</v>
      </c>
      <c r="H6999">
        <v>0</v>
      </c>
      <c r="I6999">
        <f>1</f>
        <v>1</v>
      </c>
    </row>
    <row r="7000" spans="2:9" x14ac:dyDescent="0.25">
      <c r="B7000">
        <v>0</v>
      </c>
      <c r="C7000" s="16" t="s">
        <v>16130</v>
      </c>
      <c r="D7000" s="16"/>
      <c r="E7000">
        <v>6</v>
      </c>
      <c r="F7000" t="s">
        <v>7735</v>
      </c>
      <c r="G7000">
        <v>1</v>
      </c>
      <c r="H7000">
        <v>0</v>
      </c>
      <c r="I7000">
        <f>1</f>
        <v>1</v>
      </c>
    </row>
    <row r="7001" spans="2:9" x14ac:dyDescent="0.25">
      <c r="B7001">
        <v>0</v>
      </c>
      <c r="C7001" s="16" t="s">
        <v>16131</v>
      </c>
      <c r="D7001" s="16"/>
      <c r="E7001">
        <v>6</v>
      </c>
      <c r="F7001" t="e">
        <f>-outros</f>
        <v>#NAME?</v>
      </c>
      <c r="G7001">
        <v>1</v>
      </c>
      <c r="H7001">
        <v>0</v>
      </c>
      <c r="I7001">
        <f>1</f>
        <v>1</v>
      </c>
    </row>
    <row r="7002" spans="2:9" x14ac:dyDescent="0.25">
      <c r="B7002">
        <v>0</v>
      </c>
      <c r="C7002" s="16" t="s">
        <v>16132</v>
      </c>
      <c r="D7002" s="16"/>
      <c r="E7002">
        <v>6</v>
      </c>
      <c r="F7002" t="s">
        <v>7736</v>
      </c>
      <c r="G7002">
        <v>1</v>
      </c>
      <c r="H7002">
        <v>0</v>
      </c>
      <c r="I7002">
        <f>1</f>
        <v>1</v>
      </c>
    </row>
    <row r="7003" spans="2:9" x14ac:dyDescent="0.25">
      <c r="B7003">
        <v>0</v>
      </c>
      <c r="C7003" s="16" t="s">
        <v>16133</v>
      </c>
      <c r="D7003" s="16"/>
      <c r="E7003">
        <v>6</v>
      </c>
      <c r="F7003" t="s">
        <v>7737</v>
      </c>
      <c r="G7003">
        <v>1</v>
      </c>
      <c r="H7003">
        <v>0</v>
      </c>
      <c r="I7003">
        <f>1</f>
        <v>1</v>
      </c>
    </row>
    <row r="7004" spans="2:9" x14ac:dyDescent="0.25">
      <c r="B7004">
        <v>0</v>
      </c>
      <c r="C7004" s="16" t="s">
        <v>16134</v>
      </c>
      <c r="D7004" s="16"/>
      <c r="E7004">
        <v>6</v>
      </c>
      <c r="F7004" t="s">
        <v>7738</v>
      </c>
      <c r="G7004">
        <v>1</v>
      </c>
      <c r="H7004">
        <v>0</v>
      </c>
      <c r="I7004">
        <f>1</f>
        <v>1</v>
      </c>
    </row>
    <row r="7005" spans="2:9" x14ac:dyDescent="0.25">
      <c r="B7005">
        <v>0</v>
      </c>
      <c r="C7005" s="16" t="s">
        <v>16135</v>
      </c>
      <c r="D7005" s="16"/>
      <c r="E7005">
        <v>6</v>
      </c>
      <c r="F7005" t="s">
        <v>7739</v>
      </c>
      <c r="G7005">
        <v>1</v>
      </c>
      <c r="H7005">
        <v>0</v>
      </c>
      <c r="I7005">
        <f>1</f>
        <v>1</v>
      </c>
    </row>
    <row r="7006" spans="2:9" x14ac:dyDescent="0.25">
      <c r="B7006">
        <v>0</v>
      </c>
      <c r="C7006" s="16" t="s">
        <v>16136</v>
      </c>
      <c r="D7006" s="16"/>
      <c r="E7006">
        <v>6</v>
      </c>
      <c r="F7006" t="s">
        <v>7736</v>
      </c>
      <c r="G7006">
        <v>1</v>
      </c>
      <c r="H7006">
        <v>0</v>
      </c>
      <c r="I7006">
        <f>1</f>
        <v>1</v>
      </c>
    </row>
    <row r="7007" spans="2:9" x14ac:dyDescent="0.25">
      <c r="B7007">
        <v>0</v>
      </c>
      <c r="C7007" s="16" t="s">
        <v>16137</v>
      </c>
      <c r="D7007" s="16"/>
      <c r="E7007">
        <v>6</v>
      </c>
      <c r="F7007" t="s">
        <v>7737</v>
      </c>
      <c r="G7007">
        <v>1</v>
      </c>
      <c r="H7007">
        <v>0</v>
      </c>
      <c r="I7007">
        <f>1</f>
        <v>1</v>
      </c>
    </row>
    <row r="7008" spans="2:9" x14ac:dyDescent="0.25">
      <c r="B7008">
        <v>0</v>
      </c>
      <c r="C7008" s="16" t="s">
        <v>16138</v>
      </c>
      <c r="D7008" s="16"/>
      <c r="E7008">
        <v>6</v>
      </c>
      <c r="F7008" t="s">
        <v>7738</v>
      </c>
      <c r="G7008">
        <v>1</v>
      </c>
      <c r="H7008">
        <v>0</v>
      </c>
      <c r="I7008">
        <f>1</f>
        <v>1</v>
      </c>
    </row>
    <row r="7009" spans="2:9" x14ac:dyDescent="0.25">
      <c r="B7009">
        <v>0</v>
      </c>
      <c r="C7009" s="16" t="s">
        <v>16139</v>
      </c>
      <c r="D7009" s="16"/>
      <c r="E7009">
        <v>6</v>
      </c>
      <c r="F7009" t="s">
        <v>7739</v>
      </c>
      <c r="G7009">
        <v>1</v>
      </c>
      <c r="H7009">
        <v>0</v>
      </c>
      <c r="I7009">
        <f>1</f>
        <v>1</v>
      </c>
    </row>
    <row r="7010" spans="2:9" x14ac:dyDescent="0.25">
      <c r="B7010">
        <v>0</v>
      </c>
      <c r="C7010" s="16" t="s">
        <v>16140</v>
      </c>
      <c r="D7010" s="16"/>
      <c r="E7010">
        <v>6</v>
      </c>
      <c r="F7010" t="e">
        <f>-outros</f>
        <v>#NAME?</v>
      </c>
      <c r="G7010">
        <v>1</v>
      </c>
      <c r="H7010">
        <v>0</v>
      </c>
      <c r="I7010">
        <f>1</f>
        <v>1</v>
      </c>
    </row>
    <row r="7011" spans="2:9" x14ac:dyDescent="0.25">
      <c r="B7011">
        <v>0</v>
      </c>
      <c r="C7011" s="16" t="s">
        <v>16141</v>
      </c>
      <c r="D7011" s="16"/>
      <c r="E7011">
        <v>6</v>
      </c>
      <c r="F7011" t="s">
        <v>7740</v>
      </c>
      <c r="G7011">
        <v>1</v>
      </c>
      <c r="H7011">
        <v>0</v>
      </c>
      <c r="I7011">
        <f>1</f>
        <v>1</v>
      </c>
    </row>
    <row r="7012" spans="2:9" x14ac:dyDescent="0.25">
      <c r="B7012">
        <v>0</v>
      </c>
      <c r="C7012" s="16" t="s">
        <v>16142</v>
      </c>
      <c r="D7012" s="16"/>
      <c r="E7012">
        <v>6</v>
      </c>
      <c r="F7012" t="s">
        <v>7739</v>
      </c>
      <c r="G7012">
        <v>1</v>
      </c>
      <c r="H7012">
        <v>0</v>
      </c>
      <c r="I7012">
        <f>1</f>
        <v>1</v>
      </c>
    </row>
    <row r="7013" spans="2:9" x14ac:dyDescent="0.25">
      <c r="B7013">
        <v>0</v>
      </c>
      <c r="C7013" s="16" t="s">
        <v>16143</v>
      </c>
      <c r="D7013" s="16"/>
      <c r="E7013">
        <v>6</v>
      </c>
      <c r="F7013" t="s">
        <v>7741</v>
      </c>
      <c r="G7013">
        <v>1</v>
      </c>
      <c r="H7013">
        <v>0</v>
      </c>
      <c r="I7013">
        <f>1</f>
        <v>1</v>
      </c>
    </row>
    <row r="7014" spans="2:9" x14ac:dyDescent="0.25">
      <c r="B7014">
        <v>0</v>
      </c>
      <c r="C7014" s="16" t="s">
        <v>16144</v>
      </c>
      <c r="D7014" s="16"/>
      <c r="E7014">
        <v>6</v>
      </c>
      <c r="F7014" t="s">
        <v>7742</v>
      </c>
      <c r="G7014">
        <v>1</v>
      </c>
      <c r="H7014">
        <v>0</v>
      </c>
      <c r="I7014">
        <f>1</f>
        <v>1</v>
      </c>
    </row>
    <row r="7015" spans="2:9" x14ac:dyDescent="0.25">
      <c r="B7015">
        <v>0</v>
      </c>
      <c r="C7015" s="16" t="s">
        <v>16145</v>
      </c>
      <c r="D7015" s="16"/>
      <c r="E7015">
        <v>6</v>
      </c>
      <c r="F7015" t="s">
        <v>4680</v>
      </c>
      <c r="G7015">
        <v>1</v>
      </c>
      <c r="H7015">
        <v>0</v>
      </c>
      <c r="I7015">
        <f>1</f>
        <v>1</v>
      </c>
    </row>
    <row r="7016" spans="2:9" x14ac:dyDescent="0.25">
      <c r="B7016">
        <v>0</v>
      </c>
      <c r="C7016" s="16" t="s">
        <v>16146</v>
      </c>
      <c r="D7016" s="16"/>
      <c r="E7016">
        <v>6</v>
      </c>
      <c r="F7016" t="s">
        <v>7742</v>
      </c>
      <c r="G7016">
        <v>1</v>
      </c>
      <c r="H7016">
        <v>0</v>
      </c>
      <c r="I7016">
        <f>1</f>
        <v>1</v>
      </c>
    </row>
    <row r="7017" spans="2:9" x14ac:dyDescent="0.25">
      <c r="B7017">
        <v>0</v>
      </c>
      <c r="C7017" s="16" t="s">
        <v>16147</v>
      </c>
      <c r="D7017" s="16"/>
      <c r="E7017">
        <v>6</v>
      </c>
      <c r="F7017" t="s">
        <v>4680</v>
      </c>
      <c r="G7017">
        <v>1</v>
      </c>
      <c r="H7017">
        <v>0</v>
      </c>
      <c r="I7017">
        <f>1</f>
        <v>1</v>
      </c>
    </row>
    <row r="7018" spans="2:9" x14ac:dyDescent="0.25">
      <c r="B7018">
        <v>0</v>
      </c>
      <c r="C7018" s="16" t="s">
        <v>16148</v>
      </c>
      <c r="D7018" s="16"/>
      <c r="E7018">
        <v>6</v>
      </c>
      <c r="F7018" t="s">
        <v>7742</v>
      </c>
      <c r="G7018">
        <v>1</v>
      </c>
      <c r="H7018">
        <v>0</v>
      </c>
      <c r="I7018">
        <f>1</f>
        <v>1</v>
      </c>
    </row>
    <row r="7019" spans="2:9" x14ac:dyDescent="0.25">
      <c r="B7019">
        <v>0</v>
      </c>
      <c r="C7019" s="16" t="s">
        <v>16149</v>
      </c>
      <c r="D7019" s="16"/>
      <c r="E7019">
        <v>6</v>
      </c>
      <c r="F7019" t="s">
        <v>4680</v>
      </c>
      <c r="G7019">
        <v>1</v>
      </c>
      <c r="H7019">
        <v>0</v>
      </c>
      <c r="I7019">
        <f>1</f>
        <v>1</v>
      </c>
    </row>
    <row r="7020" spans="2:9" x14ac:dyDescent="0.25">
      <c r="B7020">
        <v>0</v>
      </c>
      <c r="C7020" s="16" t="s">
        <v>16150</v>
      </c>
      <c r="D7020" s="16"/>
      <c r="E7020">
        <v>6</v>
      </c>
      <c r="F7020" t="e">
        <f>-revestidos De óxidos De cromo ou De cromo e óxidos De cromo</f>
        <v>#NAME?</v>
      </c>
      <c r="G7020">
        <v>1</v>
      </c>
      <c r="H7020">
        <v>0</v>
      </c>
      <c r="I7020">
        <f>1</f>
        <v>1</v>
      </c>
    </row>
    <row r="7021" spans="2:9" x14ac:dyDescent="0.25">
      <c r="B7021">
        <v>0</v>
      </c>
      <c r="C7021" s="16" t="s">
        <v>16151</v>
      </c>
      <c r="D7021" s="16"/>
      <c r="E7021">
        <v>6</v>
      </c>
      <c r="F7021" t="e">
        <f>--revestidos De Ligas De alumínio-zinco</f>
        <v>#NAME?</v>
      </c>
      <c r="G7021">
        <v>1</v>
      </c>
      <c r="H7021">
        <v>0</v>
      </c>
      <c r="I7021">
        <f>1</f>
        <v>1</v>
      </c>
    </row>
    <row r="7022" spans="2:9" x14ac:dyDescent="0.25">
      <c r="B7022">
        <v>0</v>
      </c>
      <c r="C7022" s="16" t="s">
        <v>16152</v>
      </c>
      <c r="D7022" s="16"/>
      <c r="E7022">
        <v>6</v>
      </c>
      <c r="F7022" t="s">
        <v>7743</v>
      </c>
      <c r="G7022">
        <v>1</v>
      </c>
      <c r="H7022">
        <v>0</v>
      </c>
      <c r="I7022">
        <f>1</f>
        <v>1</v>
      </c>
    </row>
    <row r="7023" spans="2:9" x14ac:dyDescent="0.25">
      <c r="B7023">
        <v>0</v>
      </c>
      <c r="C7023" s="16" t="s">
        <v>16153</v>
      </c>
      <c r="D7023" s="16"/>
      <c r="E7023">
        <v>6</v>
      </c>
      <c r="F7023" t="s">
        <v>4680</v>
      </c>
      <c r="G7023">
        <v>1</v>
      </c>
      <c r="H7023">
        <v>0</v>
      </c>
      <c r="I7023">
        <f>1</f>
        <v>1</v>
      </c>
    </row>
    <row r="7024" spans="2:9" x14ac:dyDescent="0.25">
      <c r="B7024">
        <v>0</v>
      </c>
      <c r="C7024" s="16" t="s">
        <v>16154</v>
      </c>
      <c r="D7024" s="16"/>
      <c r="E7024">
        <v>6</v>
      </c>
      <c r="F7024" t="s">
        <v>4680</v>
      </c>
      <c r="G7024">
        <v>1</v>
      </c>
      <c r="H7024">
        <v>0</v>
      </c>
      <c r="I7024">
        <f>1</f>
        <v>1</v>
      </c>
    </row>
    <row r="7025" spans="2:9" x14ac:dyDescent="0.25">
      <c r="B7025">
        <v>0</v>
      </c>
      <c r="C7025" s="16" t="s">
        <v>16155</v>
      </c>
      <c r="D7025" s="16"/>
      <c r="E7025">
        <v>6</v>
      </c>
      <c r="F7025" t="s">
        <v>7744</v>
      </c>
      <c r="G7025">
        <v>1</v>
      </c>
      <c r="H7025">
        <v>0</v>
      </c>
      <c r="I7025">
        <f>1</f>
        <v>1</v>
      </c>
    </row>
    <row r="7026" spans="2:9" x14ac:dyDescent="0.25">
      <c r="B7026">
        <v>0</v>
      </c>
      <c r="C7026" s="16" t="s">
        <v>16156</v>
      </c>
      <c r="D7026" s="16"/>
      <c r="E7026">
        <v>6</v>
      </c>
      <c r="F7026" t="s">
        <v>7745</v>
      </c>
      <c r="G7026">
        <v>1</v>
      </c>
      <c r="H7026">
        <v>0</v>
      </c>
      <c r="I7026">
        <f>1</f>
        <v>1</v>
      </c>
    </row>
    <row r="7027" spans="2:9" x14ac:dyDescent="0.25">
      <c r="B7027">
        <v>0</v>
      </c>
      <c r="C7027" s="16" t="s">
        <v>16157</v>
      </c>
      <c r="D7027" s="16"/>
      <c r="E7027">
        <v>6</v>
      </c>
      <c r="F7027" t="e">
        <f>-outros</f>
        <v>#NAME?</v>
      </c>
      <c r="G7027">
        <v>1</v>
      </c>
      <c r="H7027">
        <v>0</v>
      </c>
      <c r="I7027">
        <f>1</f>
        <v>1</v>
      </c>
    </row>
    <row r="7028" spans="2:9" x14ac:dyDescent="0.25">
      <c r="B7028">
        <v>0</v>
      </c>
      <c r="C7028" s="16" t="s">
        <v>16158</v>
      </c>
      <c r="D7028" s="16"/>
      <c r="E7028">
        <v>6</v>
      </c>
      <c r="F7028" t="s">
        <v>7746</v>
      </c>
      <c r="G7028">
        <v>1</v>
      </c>
      <c r="H7028">
        <v>0</v>
      </c>
      <c r="I7028">
        <f>1</f>
        <v>1</v>
      </c>
    </row>
    <row r="7029" spans="2:9" x14ac:dyDescent="0.25">
      <c r="B7029">
        <v>0</v>
      </c>
      <c r="C7029" s="16" t="s">
        <v>16159</v>
      </c>
      <c r="D7029" s="16"/>
      <c r="E7029">
        <v>6</v>
      </c>
      <c r="F7029" t="s">
        <v>7747</v>
      </c>
      <c r="G7029">
        <v>1</v>
      </c>
      <c r="H7029">
        <v>0</v>
      </c>
      <c r="I7029">
        <f>1</f>
        <v>1</v>
      </c>
    </row>
    <row r="7030" spans="2:9" x14ac:dyDescent="0.25">
      <c r="B7030">
        <v>0</v>
      </c>
      <c r="C7030" s="16" t="s">
        <v>16160</v>
      </c>
      <c r="D7030" s="16"/>
      <c r="E7030">
        <v>6</v>
      </c>
      <c r="F7030" t="e">
        <f>--outros</f>
        <v>#NAME?</v>
      </c>
      <c r="G7030">
        <v>1</v>
      </c>
      <c r="H7030">
        <v>0</v>
      </c>
      <c r="I7030">
        <f>1</f>
        <v>1</v>
      </c>
    </row>
    <row r="7031" spans="2:9" x14ac:dyDescent="0.25">
      <c r="B7031">
        <v>0</v>
      </c>
      <c r="C7031" s="16" t="s">
        <v>16161</v>
      </c>
      <c r="D7031" s="16"/>
      <c r="E7031">
        <v>6</v>
      </c>
      <c r="F7031" t="s">
        <v>7748</v>
      </c>
      <c r="G7031">
        <v>1</v>
      </c>
      <c r="H7031">
        <v>0</v>
      </c>
      <c r="I7031">
        <f>1</f>
        <v>1</v>
      </c>
    </row>
    <row r="7032" spans="2:9" x14ac:dyDescent="0.25">
      <c r="B7032">
        <v>0</v>
      </c>
      <c r="C7032" s="16" t="s">
        <v>16162</v>
      </c>
      <c r="D7032" s="16"/>
      <c r="E7032">
        <v>6</v>
      </c>
      <c r="F7032" t="s">
        <v>7749</v>
      </c>
      <c r="G7032">
        <v>1</v>
      </c>
      <c r="H7032">
        <v>0</v>
      </c>
      <c r="I7032">
        <f>1</f>
        <v>1</v>
      </c>
    </row>
    <row r="7033" spans="2:9" x14ac:dyDescent="0.25">
      <c r="B7033">
        <v>0</v>
      </c>
      <c r="C7033" s="16" t="s">
        <v>16163</v>
      </c>
      <c r="D7033" s="16"/>
      <c r="E7033">
        <v>6</v>
      </c>
      <c r="F7033" t="s">
        <v>7750</v>
      </c>
      <c r="G7033">
        <v>1</v>
      </c>
      <c r="H7033">
        <v>0</v>
      </c>
      <c r="I7033">
        <f>1</f>
        <v>1</v>
      </c>
    </row>
    <row r="7034" spans="2:9" x14ac:dyDescent="0.25">
      <c r="B7034">
        <v>0</v>
      </c>
      <c r="C7034" s="16" t="s">
        <v>16164</v>
      </c>
      <c r="D7034" s="16"/>
      <c r="E7034">
        <v>6</v>
      </c>
      <c r="F7034" t="s">
        <v>7750</v>
      </c>
      <c r="G7034">
        <v>1</v>
      </c>
      <c r="H7034">
        <v>0</v>
      </c>
      <c r="I7034">
        <f>1</f>
        <v>1</v>
      </c>
    </row>
    <row r="7035" spans="2:9" x14ac:dyDescent="0.25">
      <c r="B7035">
        <v>0</v>
      </c>
      <c r="C7035" s="16" t="s">
        <v>16165</v>
      </c>
      <c r="D7035" s="16"/>
      <c r="E7035">
        <v>6</v>
      </c>
      <c r="F7035" t="s">
        <v>4680</v>
      </c>
      <c r="G7035">
        <v>1</v>
      </c>
      <c r="H7035">
        <v>0</v>
      </c>
      <c r="I7035">
        <f>1</f>
        <v>1</v>
      </c>
    </row>
    <row r="7036" spans="2:9" x14ac:dyDescent="0.25">
      <c r="B7036">
        <v>0</v>
      </c>
      <c r="C7036" s="16" t="s">
        <v>16166</v>
      </c>
      <c r="D7036" s="16"/>
      <c r="E7036">
        <v>6</v>
      </c>
      <c r="F7036" t="e">
        <f>-Estanhados</f>
        <v>#NAME?</v>
      </c>
      <c r="G7036">
        <v>1</v>
      </c>
      <c r="H7036">
        <v>0</v>
      </c>
      <c r="I7036">
        <f>1</f>
        <v>1</v>
      </c>
    </row>
    <row r="7037" spans="2:9" x14ac:dyDescent="0.25">
      <c r="B7037">
        <v>0</v>
      </c>
      <c r="C7037" s="16" t="s">
        <v>16167</v>
      </c>
      <c r="D7037" s="16"/>
      <c r="E7037">
        <v>6</v>
      </c>
      <c r="F7037" t="s">
        <v>7742</v>
      </c>
      <c r="G7037">
        <v>1</v>
      </c>
      <c r="H7037">
        <v>0</v>
      </c>
      <c r="I7037">
        <f>1</f>
        <v>1</v>
      </c>
    </row>
    <row r="7038" spans="2:9" x14ac:dyDescent="0.25">
      <c r="B7038">
        <v>0</v>
      </c>
      <c r="C7038" s="16" t="s">
        <v>16168</v>
      </c>
      <c r="D7038" s="16"/>
      <c r="E7038">
        <v>6</v>
      </c>
      <c r="F7038" t="s">
        <v>4680</v>
      </c>
      <c r="G7038">
        <v>1</v>
      </c>
      <c r="H7038">
        <v>0</v>
      </c>
      <c r="I7038">
        <f>1</f>
        <v>1</v>
      </c>
    </row>
    <row r="7039" spans="2:9" x14ac:dyDescent="0.25">
      <c r="B7039">
        <v>0</v>
      </c>
      <c r="C7039" s="16" t="s">
        <v>16169</v>
      </c>
      <c r="D7039" s="16"/>
      <c r="E7039">
        <v>6</v>
      </c>
      <c r="F7039" t="e">
        <f>-Galvanizados por outro processo</f>
        <v>#NAME?</v>
      </c>
      <c r="G7039">
        <v>1</v>
      </c>
      <c r="H7039">
        <v>0</v>
      </c>
      <c r="I7039">
        <f>1</f>
        <v>1</v>
      </c>
    </row>
    <row r="7040" spans="2:9" x14ac:dyDescent="0.25">
      <c r="B7040">
        <v>0</v>
      </c>
      <c r="C7040" s="16" t="s">
        <v>16170</v>
      </c>
      <c r="D7040" s="16"/>
      <c r="E7040">
        <v>6</v>
      </c>
      <c r="F7040" t="s">
        <v>7744</v>
      </c>
      <c r="G7040">
        <v>1</v>
      </c>
      <c r="H7040">
        <v>0</v>
      </c>
      <c r="I7040">
        <f>1</f>
        <v>1</v>
      </c>
    </row>
    <row r="7041" spans="2:9" x14ac:dyDescent="0.25">
      <c r="B7041">
        <v>0</v>
      </c>
      <c r="C7041" s="16" t="s">
        <v>16171</v>
      </c>
      <c r="D7041" s="16"/>
      <c r="E7041">
        <v>6</v>
      </c>
      <c r="F7041" t="s">
        <v>7751</v>
      </c>
      <c r="G7041">
        <v>1</v>
      </c>
      <c r="H7041">
        <v>0</v>
      </c>
      <c r="I7041">
        <f>1</f>
        <v>1</v>
      </c>
    </row>
    <row r="7042" spans="2:9" x14ac:dyDescent="0.25">
      <c r="B7042">
        <v>0</v>
      </c>
      <c r="C7042" s="16" t="s">
        <v>16172</v>
      </c>
      <c r="D7042" s="16"/>
      <c r="E7042">
        <v>6</v>
      </c>
      <c r="F7042" t="s">
        <v>4680</v>
      </c>
      <c r="G7042">
        <v>1</v>
      </c>
      <c r="H7042">
        <v>0</v>
      </c>
      <c r="I7042">
        <f>1</f>
        <v>1</v>
      </c>
    </row>
    <row r="7043" spans="2:9" x14ac:dyDescent="0.25">
      <c r="B7043">
        <v>0</v>
      </c>
      <c r="C7043" s="16" t="s">
        <v>16173</v>
      </c>
      <c r="D7043" s="16"/>
      <c r="E7043">
        <v>6</v>
      </c>
      <c r="F7043" t="s">
        <v>7752</v>
      </c>
      <c r="G7043">
        <v>1</v>
      </c>
      <c r="H7043">
        <v>0</v>
      </c>
      <c r="I7043">
        <f>1</f>
        <v>1</v>
      </c>
    </row>
    <row r="7044" spans="2:9" x14ac:dyDescent="0.25">
      <c r="B7044">
        <v>0</v>
      </c>
      <c r="C7044" s="16" t="s">
        <v>16174</v>
      </c>
      <c r="D7044" s="16"/>
      <c r="E7044">
        <v>6</v>
      </c>
      <c r="F7044" t="s">
        <v>4680</v>
      </c>
      <c r="G7044">
        <v>1</v>
      </c>
      <c r="H7044">
        <v>0</v>
      </c>
      <c r="I7044">
        <f>1</f>
        <v>1</v>
      </c>
    </row>
    <row r="7045" spans="2:9" x14ac:dyDescent="0.25">
      <c r="B7045">
        <v>0</v>
      </c>
      <c r="C7045" s="16" t="s">
        <v>16175</v>
      </c>
      <c r="D7045" s="16"/>
      <c r="E7045">
        <v>6</v>
      </c>
      <c r="F7045" t="e">
        <f>-folheados ou chapeados</f>
        <v>#NAME?</v>
      </c>
      <c r="G7045">
        <v>1</v>
      </c>
      <c r="H7045">
        <v>0</v>
      </c>
      <c r="I7045">
        <f>1</f>
        <v>1</v>
      </c>
    </row>
    <row r="7046" spans="2:9" x14ac:dyDescent="0.25">
      <c r="B7046">
        <v>0</v>
      </c>
      <c r="C7046" s="16" t="s">
        <v>16176</v>
      </c>
      <c r="D7046" s="16"/>
      <c r="E7046">
        <v>6</v>
      </c>
      <c r="F7046" t="s">
        <v>7753</v>
      </c>
      <c r="G7046">
        <v>1</v>
      </c>
      <c r="H7046">
        <v>0</v>
      </c>
      <c r="I7046">
        <f>1</f>
        <v>1</v>
      </c>
    </row>
    <row r="7047" spans="2:9" x14ac:dyDescent="0.25">
      <c r="B7047">
        <v>0</v>
      </c>
      <c r="C7047" s="16" t="s">
        <v>16177</v>
      </c>
      <c r="D7047" s="16"/>
      <c r="E7047">
        <v>6</v>
      </c>
      <c r="F7047" t="s">
        <v>7754</v>
      </c>
      <c r="G7047">
        <v>1</v>
      </c>
      <c r="H7047">
        <v>0</v>
      </c>
      <c r="I7047">
        <f>1</f>
        <v>1</v>
      </c>
    </row>
    <row r="7048" spans="2:9" x14ac:dyDescent="0.25">
      <c r="B7048">
        <v>0</v>
      </c>
      <c r="C7048" s="16" t="s">
        <v>16178</v>
      </c>
      <c r="D7048" s="16"/>
      <c r="E7048">
        <v>6</v>
      </c>
      <c r="F7048" t="s">
        <v>7750</v>
      </c>
      <c r="G7048">
        <v>1</v>
      </c>
      <c r="H7048">
        <v>0</v>
      </c>
      <c r="I7048">
        <f>1</f>
        <v>1</v>
      </c>
    </row>
    <row r="7049" spans="2:9" x14ac:dyDescent="0.25">
      <c r="B7049">
        <v>0</v>
      </c>
      <c r="C7049" s="16" t="s">
        <v>16179</v>
      </c>
      <c r="D7049" s="16"/>
      <c r="E7049">
        <v>6</v>
      </c>
      <c r="F7049" t="s">
        <v>4680</v>
      </c>
      <c r="G7049">
        <v>1</v>
      </c>
      <c r="H7049">
        <v>0</v>
      </c>
      <c r="I7049">
        <f>1</f>
        <v>1</v>
      </c>
    </row>
    <row r="7050" spans="2:9" x14ac:dyDescent="0.25">
      <c r="B7050">
        <v>0</v>
      </c>
      <c r="C7050" s="16" t="s">
        <v>16180</v>
      </c>
      <c r="D7050" s="16"/>
      <c r="E7050">
        <v>6</v>
      </c>
      <c r="F7050" t="s">
        <v>7750</v>
      </c>
      <c r="G7050">
        <v>1</v>
      </c>
      <c r="H7050">
        <v>0</v>
      </c>
      <c r="I7050">
        <f>1</f>
        <v>1</v>
      </c>
    </row>
    <row r="7051" spans="2:9" x14ac:dyDescent="0.25">
      <c r="B7051">
        <v>0</v>
      </c>
      <c r="C7051" s="16" t="s">
        <v>16181</v>
      </c>
      <c r="D7051" s="16"/>
      <c r="E7051">
        <v>6</v>
      </c>
      <c r="F7051" t="s">
        <v>4680</v>
      </c>
      <c r="G7051">
        <v>1</v>
      </c>
      <c r="H7051">
        <v>0</v>
      </c>
      <c r="I7051">
        <f>1</f>
        <v>1</v>
      </c>
    </row>
    <row r="7052" spans="2:9" x14ac:dyDescent="0.25">
      <c r="B7052">
        <v>0</v>
      </c>
      <c r="C7052" s="16" t="s">
        <v>16182</v>
      </c>
      <c r="D7052" s="16"/>
      <c r="E7052">
        <v>6</v>
      </c>
      <c r="F7052" t="s">
        <v>7755</v>
      </c>
      <c r="G7052">
        <v>1</v>
      </c>
      <c r="H7052">
        <v>0</v>
      </c>
      <c r="I7052">
        <f>1</f>
        <v>1</v>
      </c>
    </row>
    <row r="7053" spans="2:9" x14ac:dyDescent="0.25">
      <c r="B7053">
        <v>0</v>
      </c>
      <c r="C7053" s="16" t="s">
        <v>16183</v>
      </c>
      <c r="D7053" s="16"/>
      <c r="E7053">
        <v>6</v>
      </c>
      <c r="F7053" t="s">
        <v>4690</v>
      </c>
      <c r="G7053">
        <v>1</v>
      </c>
      <c r="H7053">
        <v>0</v>
      </c>
      <c r="I7053">
        <f>1</f>
        <v>1</v>
      </c>
    </row>
    <row r="7054" spans="2:9" x14ac:dyDescent="0.25">
      <c r="B7054">
        <v>0</v>
      </c>
      <c r="C7054" s="16" t="s">
        <v>16184</v>
      </c>
      <c r="D7054" s="16"/>
      <c r="E7054">
        <v>6</v>
      </c>
      <c r="F7054" t="s">
        <v>7756</v>
      </c>
      <c r="G7054">
        <v>1</v>
      </c>
      <c r="H7054">
        <v>0</v>
      </c>
      <c r="I7054">
        <f>1</f>
        <v>1</v>
      </c>
    </row>
    <row r="7055" spans="2:9" x14ac:dyDescent="0.25">
      <c r="B7055">
        <v>0</v>
      </c>
      <c r="C7055" s="16" t="s">
        <v>16185</v>
      </c>
      <c r="D7055" s="16"/>
      <c r="E7055">
        <v>6</v>
      </c>
      <c r="F7055" t="s">
        <v>7757</v>
      </c>
      <c r="G7055">
        <v>1</v>
      </c>
      <c r="H7055">
        <v>0</v>
      </c>
      <c r="I7055">
        <f>1</f>
        <v>1</v>
      </c>
    </row>
    <row r="7056" spans="2:9" x14ac:dyDescent="0.25">
      <c r="B7056">
        <v>0</v>
      </c>
      <c r="C7056" s="16" t="s">
        <v>16186</v>
      </c>
      <c r="D7056" s="16"/>
      <c r="E7056">
        <v>6</v>
      </c>
      <c r="F7056" t="e">
        <f>--De seção transversal retangular</f>
        <v>#NAME?</v>
      </c>
      <c r="G7056">
        <v>1</v>
      </c>
      <c r="H7056">
        <v>0</v>
      </c>
      <c r="I7056">
        <f>1</f>
        <v>1</v>
      </c>
    </row>
    <row r="7057" spans="2:9" x14ac:dyDescent="0.25">
      <c r="B7057">
        <v>0</v>
      </c>
      <c r="C7057" s="16" t="s">
        <v>16187</v>
      </c>
      <c r="D7057" s="16"/>
      <c r="E7057">
        <v>6</v>
      </c>
      <c r="F7057" t="s">
        <v>7758</v>
      </c>
      <c r="G7057">
        <v>1</v>
      </c>
      <c r="H7057">
        <v>0</v>
      </c>
      <c r="I7057">
        <f>1</f>
        <v>1</v>
      </c>
    </row>
    <row r="7058" spans="2:9" x14ac:dyDescent="0.25">
      <c r="B7058">
        <v>0</v>
      </c>
      <c r="C7058" s="16" t="s">
        <v>16188</v>
      </c>
      <c r="D7058" s="16"/>
      <c r="E7058">
        <v>6</v>
      </c>
      <c r="F7058" t="s">
        <v>4690</v>
      </c>
      <c r="G7058">
        <v>1</v>
      </c>
      <c r="H7058">
        <v>0</v>
      </c>
      <c r="I7058">
        <f>1</f>
        <v>1</v>
      </c>
    </row>
    <row r="7059" spans="2:9" x14ac:dyDescent="0.25">
      <c r="B7059">
        <v>0</v>
      </c>
      <c r="C7059" s="16" t="s">
        <v>16189</v>
      </c>
      <c r="D7059" s="16"/>
      <c r="E7059">
        <v>6</v>
      </c>
      <c r="F7059" t="s">
        <v>7759</v>
      </c>
      <c r="G7059">
        <v>1</v>
      </c>
      <c r="H7059">
        <v>0</v>
      </c>
      <c r="I7059">
        <f>1</f>
        <v>1</v>
      </c>
    </row>
    <row r="7060" spans="2:9" x14ac:dyDescent="0.25">
      <c r="B7060">
        <v>0</v>
      </c>
      <c r="C7060" s="16" t="s">
        <v>16190</v>
      </c>
      <c r="D7060" s="16"/>
      <c r="E7060">
        <v>6</v>
      </c>
      <c r="F7060" t="s">
        <v>7760</v>
      </c>
      <c r="G7060">
        <v>1</v>
      </c>
      <c r="H7060">
        <v>0</v>
      </c>
      <c r="I7060">
        <f>1</f>
        <v>1</v>
      </c>
    </row>
    <row r="7061" spans="2:9" x14ac:dyDescent="0.25">
      <c r="B7061">
        <v>0</v>
      </c>
      <c r="C7061" s="16" t="s">
        <v>16191</v>
      </c>
      <c r="D7061" s="16"/>
      <c r="E7061">
        <v>6</v>
      </c>
      <c r="F7061" t="s">
        <v>7755</v>
      </c>
      <c r="G7061">
        <v>1</v>
      </c>
      <c r="H7061">
        <v>0</v>
      </c>
      <c r="I7061">
        <f>1</f>
        <v>1</v>
      </c>
    </row>
    <row r="7062" spans="2:9" x14ac:dyDescent="0.25">
      <c r="B7062">
        <v>0</v>
      </c>
      <c r="C7062" s="16" t="s">
        <v>16192</v>
      </c>
      <c r="D7062" s="16"/>
      <c r="E7062">
        <v>6</v>
      </c>
      <c r="F7062" t="s">
        <v>4690</v>
      </c>
      <c r="G7062">
        <v>1</v>
      </c>
      <c r="H7062">
        <v>0</v>
      </c>
      <c r="I7062">
        <f>1</f>
        <v>1</v>
      </c>
    </row>
    <row r="7063" spans="2:9" x14ac:dyDescent="0.25">
      <c r="B7063">
        <v>0</v>
      </c>
      <c r="C7063" s="16" t="s">
        <v>16193</v>
      </c>
      <c r="D7063" s="16"/>
      <c r="E7063">
        <v>6</v>
      </c>
      <c r="F7063" t="s">
        <v>7761</v>
      </c>
      <c r="G7063">
        <v>1</v>
      </c>
      <c r="H7063">
        <v>0</v>
      </c>
      <c r="I7063">
        <f>1</f>
        <v>1</v>
      </c>
    </row>
    <row r="7064" spans="2:9" x14ac:dyDescent="0.25">
      <c r="B7064">
        <v>0</v>
      </c>
      <c r="C7064" s="16" t="s">
        <v>16194</v>
      </c>
      <c r="D7064" s="16"/>
      <c r="E7064">
        <v>6</v>
      </c>
      <c r="F7064" t="s">
        <v>7762</v>
      </c>
      <c r="G7064">
        <v>1</v>
      </c>
      <c r="H7064">
        <v>0</v>
      </c>
      <c r="I7064">
        <f>1</f>
        <v>1</v>
      </c>
    </row>
    <row r="7065" spans="2:9" x14ac:dyDescent="0.25">
      <c r="B7065">
        <v>0</v>
      </c>
      <c r="C7065" s="16" t="s">
        <v>16195</v>
      </c>
      <c r="D7065" s="16"/>
      <c r="E7065">
        <v>6</v>
      </c>
      <c r="F7065" t="e">
        <f>--Perfis em T</f>
        <v>#NAME?</v>
      </c>
      <c r="G7065">
        <v>1</v>
      </c>
      <c r="H7065">
        <v>0</v>
      </c>
      <c r="I7065">
        <f>1</f>
        <v>1</v>
      </c>
    </row>
    <row r="7066" spans="2:9" x14ac:dyDescent="0.25">
      <c r="B7066">
        <v>0</v>
      </c>
      <c r="C7066" s="16" t="s">
        <v>16196</v>
      </c>
      <c r="D7066" s="16"/>
      <c r="E7066">
        <v>6</v>
      </c>
      <c r="F7066" t="e">
        <f>--Perfis em U</f>
        <v>#NAME?</v>
      </c>
      <c r="G7066">
        <v>1</v>
      </c>
      <c r="H7066">
        <v>0</v>
      </c>
      <c r="I7066">
        <f>1</f>
        <v>1</v>
      </c>
    </row>
    <row r="7067" spans="2:9" x14ac:dyDescent="0.25">
      <c r="B7067">
        <v>0</v>
      </c>
      <c r="C7067" s="16" t="s">
        <v>16197</v>
      </c>
      <c r="D7067" s="16"/>
      <c r="E7067">
        <v>6</v>
      </c>
      <c r="F7067" t="e">
        <f>--Perfis em I</f>
        <v>#NAME?</v>
      </c>
      <c r="G7067">
        <v>1</v>
      </c>
      <c r="H7067">
        <v>0</v>
      </c>
      <c r="I7067">
        <f>1</f>
        <v>1</v>
      </c>
    </row>
    <row r="7068" spans="2:9" x14ac:dyDescent="0.25">
      <c r="B7068">
        <v>0</v>
      </c>
      <c r="C7068" s="16" t="s">
        <v>16198</v>
      </c>
      <c r="D7068" s="16"/>
      <c r="E7068">
        <v>6</v>
      </c>
      <c r="F7068" t="e">
        <f>--Perfis em H</f>
        <v>#NAME?</v>
      </c>
      <c r="G7068">
        <v>1</v>
      </c>
      <c r="H7068">
        <v>0</v>
      </c>
      <c r="I7068">
        <f>1</f>
        <v>1</v>
      </c>
    </row>
    <row r="7069" spans="2:9" x14ac:dyDescent="0.25">
      <c r="B7069">
        <v>0</v>
      </c>
      <c r="C7069" s="16" t="s">
        <v>16199</v>
      </c>
      <c r="D7069" s="16"/>
      <c r="E7069">
        <v>6</v>
      </c>
      <c r="F7069" t="s">
        <v>7763</v>
      </c>
      <c r="G7069">
        <v>1</v>
      </c>
      <c r="H7069">
        <v>0</v>
      </c>
      <c r="I7069">
        <f>1</f>
        <v>1</v>
      </c>
    </row>
    <row r="7070" spans="2:9" x14ac:dyDescent="0.25">
      <c r="B7070">
        <v>0</v>
      </c>
      <c r="C7070" s="16" t="s">
        <v>16200</v>
      </c>
      <c r="D7070" s="16"/>
      <c r="E7070">
        <v>6</v>
      </c>
      <c r="F7070" t="s">
        <v>4680</v>
      </c>
      <c r="G7070">
        <v>1</v>
      </c>
      <c r="H7070">
        <v>0</v>
      </c>
      <c r="I7070">
        <f>1</f>
        <v>1</v>
      </c>
    </row>
    <row r="7071" spans="2:9" x14ac:dyDescent="0.25">
      <c r="B7071">
        <v>0</v>
      </c>
      <c r="C7071" s="16" t="s">
        <v>16201</v>
      </c>
      <c r="D7071" s="16"/>
      <c r="E7071">
        <v>6</v>
      </c>
      <c r="F7071" t="s">
        <v>7764</v>
      </c>
      <c r="G7071">
        <v>1</v>
      </c>
      <c r="H7071">
        <v>0</v>
      </c>
      <c r="I7071">
        <f>1</f>
        <v>1</v>
      </c>
    </row>
    <row r="7072" spans="2:9" x14ac:dyDescent="0.25">
      <c r="B7072">
        <v>0</v>
      </c>
      <c r="C7072" s="16" t="s">
        <v>16202</v>
      </c>
      <c r="D7072" s="16"/>
      <c r="E7072">
        <v>6</v>
      </c>
      <c r="F7072" t="s">
        <v>7765</v>
      </c>
      <c r="G7072">
        <v>1</v>
      </c>
      <c r="H7072">
        <v>0</v>
      </c>
      <c r="I7072">
        <f>1</f>
        <v>1</v>
      </c>
    </row>
    <row r="7073" spans="2:9" x14ac:dyDescent="0.25">
      <c r="B7073">
        <v>0</v>
      </c>
      <c r="C7073" s="16" t="s">
        <v>16203</v>
      </c>
      <c r="D7073" s="16"/>
      <c r="E7073">
        <v>6</v>
      </c>
      <c r="F7073" t="s">
        <v>4680</v>
      </c>
      <c r="G7073">
        <v>1</v>
      </c>
      <c r="H7073">
        <v>0</v>
      </c>
      <c r="I7073">
        <f>1</f>
        <v>1</v>
      </c>
    </row>
    <row r="7074" spans="2:9" x14ac:dyDescent="0.25">
      <c r="B7074">
        <v>0</v>
      </c>
      <c r="C7074" s="16" t="s">
        <v>16204</v>
      </c>
      <c r="D7074" s="16"/>
      <c r="E7074">
        <v>6</v>
      </c>
      <c r="F7074" t="s">
        <v>7765</v>
      </c>
      <c r="G7074">
        <v>1</v>
      </c>
      <c r="H7074">
        <v>0</v>
      </c>
      <c r="I7074">
        <f>1</f>
        <v>1</v>
      </c>
    </row>
    <row r="7075" spans="2:9" x14ac:dyDescent="0.25">
      <c r="B7075">
        <v>0</v>
      </c>
      <c r="C7075" s="16" t="s">
        <v>16205</v>
      </c>
      <c r="D7075" s="16"/>
      <c r="E7075">
        <v>6</v>
      </c>
      <c r="F7075" t="s">
        <v>4680</v>
      </c>
      <c r="G7075">
        <v>1</v>
      </c>
      <c r="H7075">
        <v>0</v>
      </c>
      <c r="I7075">
        <f>1</f>
        <v>1</v>
      </c>
    </row>
    <row r="7076" spans="2:9" x14ac:dyDescent="0.25">
      <c r="B7076">
        <v>0</v>
      </c>
      <c r="C7076" s="16" t="s">
        <v>16206</v>
      </c>
      <c r="D7076" s="16"/>
      <c r="E7076">
        <v>6</v>
      </c>
      <c r="F7076" t="e">
        <f>--obtidos ou acabados a frio a partir De produtos Laminados planos</f>
        <v>#NAME?</v>
      </c>
      <c r="G7076">
        <v>1</v>
      </c>
      <c r="H7076">
        <v>0</v>
      </c>
      <c r="I7076">
        <f>1</f>
        <v>1</v>
      </c>
    </row>
    <row r="7077" spans="2:9" x14ac:dyDescent="0.25">
      <c r="B7077">
        <v>0</v>
      </c>
      <c r="C7077" s="16" t="s">
        <v>16207</v>
      </c>
      <c r="D7077" s="16"/>
      <c r="E7077">
        <v>6</v>
      </c>
      <c r="F7077" t="e">
        <f>--outros</f>
        <v>#NAME?</v>
      </c>
      <c r="G7077">
        <v>1</v>
      </c>
      <c r="H7077">
        <v>0</v>
      </c>
      <c r="I7077">
        <f>1</f>
        <v>1</v>
      </c>
    </row>
    <row r="7078" spans="2:9" x14ac:dyDescent="0.25">
      <c r="B7078">
        <v>0</v>
      </c>
      <c r="C7078" s="16" t="s">
        <v>16208</v>
      </c>
      <c r="D7078" s="16"/>
      <c r="E7078">
        <v>6</v>
      </c>
      <c r="F7078" t="s">
        <v>7766</v>
      </c>
      <c r="G7078">
        <v>1</v>
      </c>
      <c r="H7078">
        <v>0</v>
      </c>
      <c r="I7078">
        <f>1</f>
        <v>1</v>
      </c>
    </row>
    <row r="7079" spans="2:9" x14ac:dyDescent="0.25">
      <c r="B7079">
        <v>0</v>
      </c>
      <c r="C7079" s="16" t="s">
        <v>16209</v>
      </c>
      <c r="D7079" s="16"/>
      <c r="E7079">
        <v>6</v>
      </c>
      <c r="F7079" t="s">
        <v>4680</v>
      </c>
      <c r="G7079">
        <v>1</v>
      </c>
      <c r="H7079">
        <v>0</v>
      </c>
      <c r="I7079">
        <f>1</f>
        <v>1</v>
      </c>
    </row>
    <row r="7080" spans="2:9" x14ac:dyDescent="0.25">
      <c r="B7080">
        <v>0</v>
      </c>
      <c r="C7080" s="16" t="s">
        <v>16210</v>
      </c>
      <c r="D7080" s="16"/>
      <c r="E7080">
        <v>6</v>
      </c>
      <c r="F7080" t="s">
        <v>4680</v>
      </c>
      <c r="G7080">
        <v>1</v>
      </c>
      <c r="H7080">
        <v>0</v>
      </c>
      <c r="I7080">
        <f>1</f>
        <v>1</v>
      </c>
    </row>
    <row r="7081" spans="2:9" x14ac:dyDescent="0.25">
      <c r="B7081">
        <v>0</v>
      </c>
      <c r="C7081" s="16" t="s">
        <v>16211</v>
      </c>
      <c r="D7081" s="16"/>
      <c r="E7081">
        <v>6</v>
      </c>
      <c r="F7081" t="s">
        <v>7750</v>
      </c>
      <c r="G7081">
        <v>1</v>
      </c>
      <c r="H7081">
        <v>0</v>
      </c>
      <c r="I7081">
        <f>1</f>
        <v>1</v>
      </c>
    </row>
    <row r="7082" spans="2:9" x14ac:dyDescent="0.25">
      <c r="B7082">
        <v>0</v>
      </c>
      <c r="C7082" s="16" t="s">
        <v>16212</v>
      </c>
      <c r="D7082" s="16"/>
      <c r="E7082">
        <v>6</v>
      </c>
      <c r="F7082" t="s">
        <v>4680</v>
      </c>
      <c r="G7082">
        <v>1</v>
      </c>
      <c r="H7082">
        <v>0</v>
      </c>
      <c r="I7082">
        <f>1</f>
        <v>1</v>
      </c>
    </row>
    <row r="7083" spans="2:9" x14ac:dyDescent="0.25">
      <c r="B7083">
        <v>0</v>
      </c>
      <c r="C7083" s="16" t="s">
        <v>16213</v>
      </c>
      <c r="D7083" s="16"/>
      <c r="E7083">
        <v>6</v>
      </c>
      <c r="F7083" t="s">
        <v>7750</v>
      </c>
      <c r="G7083">
        <v>1</v>
      </c>
      <c r="H7083">
        <v>0</v>
      </c>
      <c r="I7083">
        <f>1</f>
        <v>1</v>
      </c>
    </row>
    <row r="7084" spans="2:9" x14ac:dyDescent="0.25">
      <c r="B7084">
        <v>0</v>
      </c>
      <c r="C7084" s="16" t="s">
        <v>16214</v>
      </c>
      <c r="D7084" s="16"/>
      <c r="E7084">
        <v>6</v>
      </c>
      <c r="F7084" t="s">
        <v>4680</v>
      </c>
      <c r="G7084">
        <v>1</v>
      </c>
      <c r="H7084">
        <v>0</v>
      </c>
      <c r="I7084">
        <f>1</f>
        <v>1</v>
      </c>
    </row>
    <row r="7085" spans="2:9" x14ac:dyDescent="0.25">
      <c r="B7085">
        <v>0</v>
      </c>
      <c r="C7085" s="16" t="s">
        <v>16215</v>
      </c>
      <c r="D7085" s="16"/>
      <c r="E7085">
        <v>6</v>
      </c>
      <c r="F7085" t="e">
        <f>-outros</f>
        <v>#NAME?</v>
      </c>
      <c r="G7085">
        <v>1</v>
      </c>
      <c r="H7085">
        <v>0</v>
      </c>
      <c r="I7085">
        <f>1</f>
        <v>1</v>
      </c>
    </row>
    <row r="7086" spans="2:9" x14ac:dyDescent="0.25">
      <c r="B7086">
        <v>0</v>
      </c>
      <c r="C7086" s="16" t="s">
        <v>16216</v>
      </c>
      <c r="D7086" s="16"/>
      <c r="E7086">
        <v>6</v>
      </c>
      <c r="F7086" t="e">
        <f>-lingotes e Outras formas primárias</f>
        <v>#NAME?</v>
      </c>
      <c r="G7086">
        <v>1</v>
      </c>
      <c r="H7086">
        <v>0</v>
      </c>
      <c r="I7086">
        <f>1</f>
        <v>1</v>
      </c>
    </row>
    <row r="7087" spans="2:9" x14ac:dyDescent="0.25">
      <c r="B7087">
        <v>0</v>
      </c>
      <c r="C7087" s="16" t="s">
        <v>16217</v>
      </c>
      <c r="D7087" s="16"/>
      <c r="E7087">
        <v>6</v>
      </c>
      <c r="F7087" t="e">
        <f>--De seção transversal retangular</f>
        <v>#NAME?</v>
      </c>
      <c r="G7087">
        <v>1</v>
      </c>
      <c r="H7087">
        <v>0</v>
      </c>
      <c r="I7087">
        <f>1</f>
        <v>1</v>
      </c>
    </row>
    <row r="7088" spans="2:9" x14ac:dyDescent="0.25">
      <c r="B7088">
        <v>0</v>
      </c>
      <c r="C7088" s="16" t="s">
        <v>16218</v>
      </c>
      <c r="D7088" s="16"/>
      <c r="E7088">
        <v>6</v>
      </c>
      <c r="F7088" t="e">
        <f>--outros</f>
        <v>#NAME?</v>
      </c>
      <c r="G7088">
        <v>1</v>
      </c>
      <c r="H7088">
        <v>0</v>
      </c>
      <c r="I7088">
        <f>1</f>
        <v>1</v>
      </c>
    </row>
    <row r="7089" spans="2:9" x14ac:dyDescent="0.25">
      <c r="B7089">
        <v>0</v>
      </c>
      <c r="C7089" s="16" t="s">
        <v>16219</v>
      </c>
      <c r="D7089" s="16"/>
      <c r="E7089">
        <v>6</v>
      </c>
      <c r="F7089" t="s">
        <v>7733</v>
      </c>
      <c r="G7089">
        <v>1</v>
      </c>
      <c r="H7089">
        <v>0</v>
      </c>
      <c r="I7089">
        <f>1</f>
        <v>1</v>
      </c>
    </row>
    <row r="7090" spans="2:9" x14ac:dyDescent="0.25">
      <c r="B7090">
        <v>0</v>
      </c>
      <c r="C7090" s="16" t="s">
        <v>16220</v>
      </c>
      <c r="D7090" s="16"/>
      <c r="E7090">
        <v>6</v>
      </c>
      <c r="F7090" t="s">
        <v>7731</v>
      </c>
      <c r="G7090">
        <v>1</v>
      </c>
      <c r="H7090">
        <v>0</v>
      </c>
      <c r="I7090">
        <f>1</f>
        <v>1</v>
      </c>
    </row>
    <row r="7091" spans="2:9" x14ac:dyDescent="0.25">
      <c r="B7091">
        <v>0</v>
      </c>
      <c r="C7091" s="16" t="s">
        <v>16221</v>
      </c>
      <c r="D7091" s="16"/>
      <c r="E7091">
        <v>6</v>
      </c>
      <c r="F7091" t="s">
        <v>7734</v>
      </c>
      <c r="G7091">
        <v>1</v>
      </c>
      <c r="H7091">
        <v>0</v>
      </c>
      <c r="I7091">
        <f>1</f>
        <v>1</v>
      </c>
    </row>
    <row r="7092" spans="2:9" x14ac:dyDescent="0.25">
      <c r="B7092">
        <v>0</v>
      </c>
      <c r="C7092" s="16" t="s">
        <v>16222</v>
      </c>
      <c r="D7092" s="16"/>
      <c r="E7092">
        <v>6</v>
      </c>
      <c r="F7092" t="s">
        <v>7735</v>
      </c>
      <c r="G7092">
        <v>1</v>
      </c>
      <c r="H7092">
        <v>0</v>
      </c>
      <c r="I7092">
        <f>1</f>
        <v>1</v>
      </c>
    </row>
    <row r="7093" spans="2:9" x14ac:dyDescent="0.25">
      <c r="B7093">
        <v>0</v>
      </c>
      <c r="C7093" s="16" t="s">
        <v>16223</v>
      </c>
      <c r="D7093" s="16"/>
      <c r="E7093">
        <v>6</v>
      </c>
      <c r="F7093" t="s">
        <v>7733</v>
      </c>
      <c r="G7093">
        <v>1</v>
      </c>
      <c r="H7093">
        <v>0</v>
      </c>
      <c r="I7093">
        <f>1</f>
        <v>1</v>
      </c>
    </row>
    <row r="7094" spans="2:9" x14ac:dyDescent="0.25">
      <c r="B7094">
        <v>0</v>
      </c>
      <c r="C7094" s="16" t="s">
        <v>16224</v>
      </c>
      <c r="D7094" s="16"/>
      <c r="E7094">
        <v>6</v>
      </c>
      <c r="F7094" t="s">
        <v>7731</v>
      </c>
      <c r="G7094">
        <v>1</v>
      </c>
      <c r="H7094">
        <v>0</v>
      </c>
      <c r="I7094">
        <f>1</f>
        <v>1</v>
      </c>
    </row>
    <row r="7095" spans="2:9" x14ac:dyDescent="0.25">
      <c r="B7095">
        <v>0</v>
      </c>
      <c r="C7095" s="16" t="s">
        <v>16225</v>
      </c>
      <c r="D7095" s="16"/>
      <c r="E7095">
        <v>6</v>
      </c>
      <c r="F7095" t="s">
        <v>7734</v>
      </c>
      <c r="G7095">
        <v>1</v>
      </c>
      <c r="H7095">
        <v>0</v>
      </c>
      <c r="I7095">
        <f>1</f>
        <v>1</v>
      </c>
    </row>
    <row r="7096" spans="2:9" x14ac:dyDescent="0.25">
      <c r="B7096">
        <v>0</v>
      </c>
      <c r="C7096" s="16" t="s">
        <v>16226</v>
      </c>
      <c r="D7096" s="16"/>
      <c r="E7096">
        <v>6</v>
      </c>
      <c r="F7096" t="s">
        <v>7735</v>
      </c>
      <c r="G7096">
        <v>1</v>
      </c>
      <c r="H7096">
        <v>0</v>
      </c>
      <c r="I7096">
        <f>1</f>
        <v>1</v>
      </c>
    </row>
    <row r="7097" spans="2:9" x14ac:dyDescent="0.25">
      <c r="B7097">
        <v>0</v>
      </c>
      <c r="C7097" s="16" t="s">
        <v>16227</v>
      </c>
      <c r="D7097" s="16"/>
      <c r="E7097">
        <v>6</v>
      </c>
      <c r="F7097" t="s">
        <v>7728</v>
      </c>
      <c r="G7097">
        <v>1</v>
      </c>
      <c r="H7097">
        <v>0</v>
      </c>
      <c r="I7097">
        <f>1</f>
        <v>1</v>
      </c>
    </row>
    <row r="7098" spans="2:9" x14ac:dyDescent="0.25">
      <c r="B7098">
        <v>0</v>
      </c>
      <c r="C7098" s="16" t="s">
        <v>16228</v>
      </c>
      <c r="D7098" s="16"/>
      <c r="E7098">
        <v>6</v>
      </c>
      <c r="F7098" t="s">
        <v>7734</v>
      </c>
      <c r="G7098">
        <v>1</v>
      </c>
      <c r="H7098">
        <v>0</v>
      </c>
      <c r="I7098">
        <f>1</f>
        <v>1</v>
      </c>
    </row>
    <row r="7099" spans="2:9" x14ac:dyDescent="0.25">
      <c r="B7099">
        <v>0</v>
      </c>
      <c r="C7099" s="16" t="s">
        <v>16229</v>
      </c>
      <c r="D7099" s="16"/>
      <c r="E7099">
        <v>6</v>
      </c>
      <c r="F7099" t="s">
        <v>7737</v>
      </c>
      <c r="G7099">
        <v>1</v>
      </c>
      <c r="H7099">
        <v>0</v>
      </c>
      <c r="I7099">
        <f>1</f>
        <v>1</v>
      </c>
    </row>
    <row r="7100" spans="2:9" x14ac:dyDescent="0.25">
      <c r="B7100">
        <v>0</v>
      </c>
      <c r="C7100" s="16" t="s">
        <v>16230</v>
      </c>
      <c r="D7100" s="16"/>
      <c r="E7100">
        <v>6</v>
      </c>
      <c r="F7100" t="s">
        <v>7738</v>
      </c>
      <c r="G7100">
        <v>1</v>
      </c>
      <c r="H7100">
        <v>0</v>
      </c>
      <c r="I7100">
        <f>1</f>
        <v>1</v>
      </c>
    </row>
    <row r="7101" spans="2:9" x14ac:dyDescent="0.25">
      <c r="B7101">
        <v>0</v>
      </c>
      <c r="C7101" s="16" t="s">
        <v>16231</v>
      </c>
      <c r="D7101" s="16"/>
      <c r="E7101">
        <v>6</v>
      </c>
      <c r="F7101" t="s">
        <v>7739</v>
      </c>
      <c r="G7101">
        <v>1</v>
      </c>
      <c r="H7101">
        <v>0</v>
      </c>
      <c r="I7101">
        <f>1</f>
        <v>1</v>
      </c>
    </row>
    <row r="7102" spans="2:9" x14ac:dyDescent="0.25">
      <c r="B7102">
        <v>0</v>
      </c>
      <c r="C7102" s="16" t="s">
        <v>16232</v>
      </c>
      <c r="D7102" s="16"/>
      <c r="E7102">
        <v>6</v>
      </c>
      <c r="F7102" t="s">
        <v>7767</v>
      </c>
      <c r="G7102">
        <v>1</v>
      </c>
      <c r="H7102">
        <v>0</v>
      </c>
      <c r="I7102">
        <f>1</f>
        <v>1</v>
      </c>
    </row>
    <row r="7103" spans="2:9" x14ac:dyDescent="0.25">
      <c r="B7103">
        <v>0</v>
      </c>
      <c r="C7103" s="16" t="s">
        <v>16233</v>
      </c>
      <c r="D7103" s="16"/>
      <c r="E7103">
        <v>6</v>
      </c>
      <c r="F7103" t="s">
        <v>4680</v>
      </c>
      <c r="G7103">
        <v>1</v>
      </c>
      <c r="H7103">
        <v>0</v>
      </c>
      <c r="I7103">
        <f>1</f>
        <v>1</v>
      </c>
    </row>
    <row r="7104" spans="2:9" x14ac:dyDescent="0.25">
      <c r="B7104">
        <v>0</v>
      </c>
      <c r="C7104" s="16" t="s">
        <v>16234</v>
      </c>
      <c r="D7104" s="16"/>
      <c r="E7104">
        <v>6</v>
      </c>
      <c r="F7104" t="s">
        <v>7728</v>
      </c>
      <c r="G7104">
        <v>1</v>
      </c>
      <c r="H7104">
        <v>0</v>
      </c>
      <c r="I7104">
        <f>1</f>
        <v>1</v>
      </c>
    </row>
    <row r="7105" spans="2:9" x14ac:dyDescent="0.25">
      <c r="B7105">
        <v>0</v>
      </c>
      <c r="C7105" s="16" t="s">
        <v>16235</v>
      </c>
      <c r="D7105" s="16"/>
      <c r="E7105">
        <v>6</v>
      </c>
      <c r="F7105" t="s">
        <v>7768</v>
      </c>
      <c r="G7105">
        <v>1</v>
      </c>
      <c r="H7105">
        <v>0</v>
      </c>
      <c r="I7105">
        <f>1</f>
        <v>1</v>
      </c>
    </row>
    <row r="7106" spans="2:9" x14ac:dyDescent="0.25">
      <c r="B7106">
        <v>0</v>
      </c>
      <c r="C7106" s="16" t="s">
        <v>16236</v>
      </c>
      <c r="D7106" s="16"/>
      <c r="E7106">
        <v>6</v>
      </c>
      <c r="F7106" t="s">
        <v>7769</v>
      </c>
      <c r="G7106">
        <v>1</v>
      </c>
      <c r="H7106">
        <v>0</v>
      </c>
      <c r="I7106">
        <f>1</f>
        <v>1</v>
      </c>
    </row>
    <row r="7107" spans="2:9" x14ac:dyDescent="0.25">
      <c r="B7107">
        <v>0</v>
      </c>
      <c r="C7107" s="16" t="s">
        <v>16237</v>
      </c>
      <c r="D7107" s="16"/>
      <c r="E7107">
        <v>6</v>
      </c>
      <c r="F7107" t="s">
        <v>4680</v>
      </c>
      <c r="G7107">
        <v>1</v>
      </c>
      <c r="H7107">
        <v>0</v>
      </c>
      <c r="I7107">
        <f>1</f>
        <v>1</v>
      </c>
    </row>
    <row r="7108" spans="2:9" x14ac:dyDescent="0.25">
      <c r="B7108">
        <v>0</v>
      </c>
      <c r="C7108" s="16" t="s">
        <v>16238</v>
      </c>
      <c r="D7108" s="16"/>
      <c r="E7108">
        <v>6</v>
      </c>
      <c r="F7108" t="s">
        <v>7770</v>
      </c>
      <c r="G7108">
        <v>1</v>
      </c>
      <c r="H7108">
        <v>0</v>
      </c>
      <c r="I7108">
        <f>1</f>
        <v>1</v>
      </c>
    </row>
    <row r="7109" spans="2:9" x14ac:dyDescent="0.25">
      <c r="B7109">
        <v>0</v>
      </c>
      <c r="C7109" s="16" t="s">
        <v>16239</v>
      </c>
      <c r="D7109" s="16"/>
      <c r="E7109">
        <v>6</v>
      </c>
      <c r="F7109" t="s">
        <v>4680</v>
      </c>
      <c r="G7109">
        <v>1</v>
      </c>
      <c r="H7109">
        <v>0</v>
      </c>
      <c r="I7109">
        <f>1</f>
        <v>1</v>
      </c>
    </row>
    <row r="7110" spans="2:9" x14ac:dyDescent="0.25">
      <c r="B7110">
        <v>0</v>
      </c>
      <c r="C7110" s="16" t="s">
        <v>16240</v>
      </c>
      <c r="D7110" s="16"/>
      <c r="E7110">
        <v>6</v>
      </c>
      <c r="F7110" t="e">
        <f>-outros</f>
        <v>#NAME?</v>
      </c>
      <c r="G7110">
        <v>1</v>
      </c>
      <c r="H7110">
        <v>0</v>
      </c>
      <c r="I7110">
        <f>1</f>
        <v>1</v>
      </c>
    </row>
    <row r="7111" spans="2:9" x14ac:dyDescent="0.25">
      <c r="B7111">
        <v>0</v>
      </c>
      <c r="C7111" s="16" t="s">
        <v>16241</v>
      </c>
      <c r="D7111" s="16"/>
      <c r="E7111">
        <v>6</v>
      </c>
      <c r="F7111" t="s">
        <v>7771</v>
      </c>
      <c r="G7111">
        <v>1</v>
      </c>
      <c r="H7111">
        <v>0</v>
      </c>
      <c r="I7111">
        <f>1</f>
        <v>1</v>
      </c>
    </row>
    <row r="7112" spans="2:9" x14ac:dyDescent="0.25">
      <c r="B7112">
        <v>0</v>
      </c>
      <c r="C7112" s="16" t="s">
        <v>16242</v>
      </c>
      <c r="D7112" s="16"/>
      <c r="E7112">
        <v>6</v>
      </c>
      <c r="F7112" t="e">
        <f>--De seção circular</f>
        <v>#NAME?</v>
      </c>
      <c r="G7112">
        <v>1</v>
      </c>
      <c r="H7112">
        <v>0</v>
      </c>
      <c r="I7112">
        <f>1</f>
        <v>1</v>
      </c>
    </row>
    <row r="7113" spans="2:9" x14ac:dyDescent="0.25">
      <c r="B7113">
        <v>0</v>
      </c>
      <c r="C7113" s="16" t="s">
        <v>16243</v>
      </c>
      <c r="D7113" s="16"/>
      <c r="E7113">
        <v>6</v>
      </c>
      <c r="F7113" t="s">
        <v>7772</v>
      </c>
      <c r="G7113">
        <v>1</v>
      </c>
      <c r="H7113">
        <v>0</v>
      </c>
      <c r="I7113">
        <f>1</f>
        <v>1</v>
      </c>
    </row>
    <row r="7114" spans="2:9" x14ac:dyDescent="0.25">
      <c r="B7114">
        <v>0</v>
      </c>
      <c r="C7114" s="16" t="s">
        <v>16244</v>
      </c>
      <c r="D7114" s="16"/>
      <c r="E7114">
        <v>6</v>
      </c>
      <c r="F7114" t="s">
        <v>4690</v>
      </c>
      <c r="G7114">
        <v>1</v>
      </c>
      <c r="H7114">
        <v>0</v>
      </c>
      <c r="I7114">
        <f>1</f>
        <v>1</v>
      </c>
    </row>
    <row r="7115" spans="2:9" x14ac:dyDescent="0.25">
      <c r="B7115">
        <v>0</v>
      </c>
      <c r="C7115" s="16" t="s">
        <v>16245</v>
      </c>
      <c r="D7115" s="16"/>
      <c r="E7115">
        <v>6</v>
      </c>
      <c r="F7115" t="e">
        <f>-barras Simplesmente obtidas ou completamente acabadas a frio</f>
        <v>#NAME?</v>
      </c>
      <c r="G7115">
        <v>1</v>
      </c>
      <c r="H7115">
        <v>0</v>
      </c>
      <c r="I7115">
        <f>1</f>
        <v>1</v>
      </c>
    </row>
    <row r="7116" spans="2:9" x14ac:dyDescent="0.25">
      <c r="B7116">
        <v>0</v>
      </c>
      <c r="C7116" s="16" t="s">
        <v>16246</v>
      </c>
      <c r="D7116" s="16"/>
      <c r="E7116">
        <v>6</v>
      </c>
      <c r="F7116" t="e">
        <f>-Outras barras</f>
        <v>#NAME?</v>
      </c>
      <c r="G7116">
        <v>1</v>
      </c>
      <c r="H7116">
        <v>0</v>
      </c>
      <c r="I7116">
        <f>1</f>
        <v>1</v>
      </c>
    </row>
    <row r="7117" spans="2:9" x14ac:dyDescent="0.25">
      <c r="B7117">
        <v>0</v>
      </c>
      <c r="C7117" s="16" t="s">
        <v>16247</v>
      </c>
      <c r="D7117" s="16"/>
      <c r="E7117">
        <v>6</v>
      </c>
      <c r="F7117" t="s">
        <v>7773</v>
      </c>
      <c r="G7117">
        <v>1</v>
      </c>
      <c r="H7117">
        <v>0</v>
      </c>
      <c r="I7117">
        <f>1</f>
        <v>1</v>
      </c>
    </row>
    <row r="7118" spans="2:9" x14ac:dyDescent="0.25">
      <c r="B7118">
        <v>0</v>
      </c>
      <c r="C7118" s="16" t="s">
        <v>16248</v>
      </c>
      <c r="D7118" s="16"/>
      <c r="E7118">
        <v>6</v>
      </c>
      <c r="F7118" t="s">
        <v>4680</v>
      </c>
      <c r="G7118">
        <v>1</v>
      </c>
      <c r="H7118">
        <v>0</v>
      </c>
      <c r="I7118">
        <f>1</f>
        <v>1</v>
      </c>
    </row>
    <row r="7119" spans="2:9" x14ac:dyDescent="0.25">
      <c r="B7119">
        <v>0</v>
      </c>
      <c r="C7119" s="16" t="s">
        <v>16249</v>
      </c>
      <c r="D7119" s="16"/>
      <c r="E7119">
        <v>6</v>
      </c>
      <c r="F7119" t="s">
        <v>7774</v>
      </c>
      <c r="G7119">
        <v>1</v>
      </c>
      <c r="H7119">
        <v>0</v>
      </c>
      <c r="I7119">
        <f>1</f>
        <v>1</v>
      </c>
    </row>
    <row r="7120" spans="2:9" x14ac:dyDescent="0.25">
      <c r="B7120">
        <v>0</v>
      </c>
      <c r="C7120" s="16" t="s">
        <v>16250</v>
      </c>
      <c r="D7120" s="16"/>
      <c r="E7120">
        <v>6</v>
      </c>
      <c r="F7120" t="e">
        <f>-lingotes e Outras formas primárias</f>
        <v>#NAME?</v>
      </c>
      <c r="G7120">
        <v>1</v>
      </c>
      <c r="H7120">
        <v>0</v>
      </c>
      <c r="I7120">
        <f>1</f>
        <v>1</v>
      </c>
    </row>
    <row r="7121" spans="2:9" x14ac:dyDescent="0.25">
      <c r="B7121">
        <v>0</v>
      </c>
      <c r="C7121" s="16" t="s">
        <v>16251</v>
      </c>
      <c r="D7121" s="16"/>
      <c r="E7121">
        <v>6</v>
      </c>
      <c r="F7121" t="e">
        <f>-outros</f>
        <v>#NAME?</v>
      </c>
      <c r="G7121">
        <v>1</v>
      </c>
      <c r="H7121">
        <v>0</v>
      </c>
      <c r="I7121">
        <f>1</f>
        <v>1</v>
      </c>
    </row>
    <row r="7122" spans="2:9" x14ac:dyDescent="0.25">
      <c r="B7122">
        <v>0</v>
      </c>
      <c r="C7122" s="16" t="s">
        <v>16252</v>
      </c>
      <c r="D7122" s="16"/>
      <c r="E7122">
        <v>6</v>
      </c>
      <c r="F7122" t="e">
        <f>--De grãos orientados</f>
        <v>#NAME?</v>
      </c>
      <c r="G7122">
        <v>1</v>
      </c>
      <c r="H7122">
        <v>0</v>
      </c>
      <c r="I7122">
        <f>1</f>
        <v>1</v>
      </c>
    </row>
    <row r="7123" spans="2:9" x14ac:dyDescent="0.25">
      <c r="B7123">
        <v>0</v>
      </c>
      <c r="C7123" s="16" t="s">
        <v>16253</v>
      </c>
      <c r="D7123" s="16"/>
      <c r="E7123">
        <v>6</v>
      </c>
      <c r="F7123" t="e">
        <f>--outros</f>
        <v>#NAME?</v>
      </c>
      <c r="G7123">
        <v>1</v>
      </c>
      <c r="H7123">
        <v>0</v>
      </c>
      <c r="I7123">
        <f>1</f>
        <v>1</v>
      </c>
    </row>
    <row r="7124" spans="2:9" x14ac:dyDescent="0.25">
      <c r="B7124">
        <v>0</v>
      </c>
      <c r="C7124" s="16" t="s">
        <v>16254</v>
      </c>
      <c r="D7124" s="16"/>
      <c r="E7124">
        <v>6</v>
      </c>
      <c r="F7124" t="s">
        <v>7775</v>
      </c>
      <c r="G7124">
        <v>1</v>
      </c>
      <c r="H7124">
        <v>0</v>
      </c>
      <c r="I7124">
        <f>1</f>
        <v>1</v>
      </c>
    </row>
    <row r="7125" spans="2:9" x14ac:dyDescent="0.25">
      <c r="B7125">
        <v>0</v>
      </c>
      <c r="C7125" s="16" t="s">
        <v>16255</v>
      </c>
      <c r="D7125" s="16"/>
      <c r="E7125">
        <v>6</v>
      </c>
      <c r="F7125" t="s">
        <v>7776</v>
      </c>
      <c r="G7125">
        <v>1</v>
      </c>
      <c r="H7125">
        <v>0</v>
      </c>
      <c r="I7125">
        <f>1</f>
        <v>1</v>
      </c>
    </row>
    <row r="7126" spans="2:9" x14ac:dyDescent="0.25">
      <c r="B7126">
        <v>0</v>
      </c>
      <c r="C7126" s="16" t="s">
        <v>16256</v>
      </c>
      <c r="D7126" s="16"/>
      <c r="E7126">
        <v>6</v>
      </c>
      <c r="F7126" t="s">
        <v>7777</v>
      </c>
      <c r="G7126">
        <v>1</v>
      </c>
      <c r="H7126">
        <v>0</v>
      </c>
      <c r="I7126">
        <f>1</f>
        <v>1</v>
      </c>
    </row>
    <row r="7127" spans="2:9" x14ac:dyDescent="0.25">
      <c r="B7127">
        <v>0</v>
      </c>
      <c r="C7127" s="16" t="s">
        <v>16257</v>
      </c>
      <c r="D7127" s="16"/>
      <c r="E7127">
        <v>6</v>
      </c>
      <c r="F7127" t="s">
        <v>4680</v>
      </c>
      <c r="G7127">
        <v>1</v>
      </c>
      <c r="H7127">
        <v>0</v>
      </c>
      <c r="I7127">
        <f>1</f>
        <v>1</v>
      </c>
    </row>
    <row r="7128" spans="2:9" x14ac:dyDescent="0.25">
      <c r="B7128">
        <v>0</v>
      </c>
      <c r="C7128" s="16" t="s">
        <v>16258</v>
      </c>
      <c r="D7128" s="16"/>
      <c r="E7128">
        <v>6</v>
      </c>
      <c r="F7128" t="s">
        <v>7777</v>
      </c>
      <c r="G7128">
        <v>1</v>
      </c>
      <c r="H7128">
        <v>0</v>
      </c>
      <c r="I7128">
        <f>1</f>
        <v>1</v>
      </c>
    </row>
    <row r="7129" spans="2:9" x14ac:dyDescent="0.25">
      <c r="B7129">
        <v>0</v>
      </c>
      <c r="C7129" s="16" t="s">
        <v>16259</v>
      </c>
      <c r="D7129" s="16"/>
      <c r="E7129">
        <v>6</v>
      </c>
      <c r="F7129" t="s">
        <v>4680</v>
      </c>
      <c r="G7129">
        <v>1</v>
      </c>
      <c r="H7129">
        <v>0</v>
      </c>
      <c r="I7129">
        <f>1</f>
        <v>1</v>
      </c>
    </row>
    <row r="7130" spans="2:9" x14ac:dyDescent="0.25">
      <c r="B7130">
        <v>0</v>
      </c>
      <c r="C7130" s="16" t="s">
        <v>16260</v>
      </c>
      <c r="D7130" s="16"/>
      <c r="E7130">
        <v>6</v>
      </c>
      <c r="F7130" t="e">
        <f>--Galvanizados eletroliticamente</f>
        <v>#NAME?</v>
      </c>
      <c r="G7130">
        <v>1</v>
      </c>
      <c r="H7130">
        <v>0</v>
      </c>
      <c r="I7130">
        <f>1</f>
        <v>1</v>
      </c>
    </row>
    <row r="7131" spans="2:9" x14ac:dyDescent="0.25">
      <c r="B7131">
        <v>0</v>
      </c>
      <c r="C7131" s="16" t="s">
        <v>16261</v>
      </c>
      <c r="D7131" s="16"/>
      <c r="E7131">
        <v>6</v>
      </c>
      <c r="F7131" t="e">
        <f>--Galvanizados por outro processo</f>
        <v>#NAME?</v>
      </c>
      <c r="G7131">
        <v>1</v>
      </c>
      <c r="H7131">
        <v>0</v>
      </c>
      <c r="I7131">
        <f>1</f>
        <v>1</v>
      </c>
    </row>
    <row r="7132" spans="2:9" x14ac:dyDescent="0.25">
      <c r="B7132">
        <v>0</v>
      </c>
      <c r="C7132" s="16" t="s">
        <v>16262</v>
      </c>
      <c r="D7132" s="16"/>
      <c r="E7132">
        <v>6</v>
      </c>
      <c r="F7132" t="s">
        <v>7777</v>
      </c>
      <c r="G7132">
        <v>1</v>
      </c>
      <c r="H7132">
        <v>0</v>
      </c>
      <c r="I7132">
        <f>1</f>
        <v>1</v>
      </c>
    </row>
    <row r="7133" spans="2:9" x14ac:dyDescent="0.25">
      <c r="B7133">
        <v>0</v>
      </c>
      <c r="C7133" s="16" t="s">
        <v>16263</v>
      </c>
      <c r="D7133" s="16"/>
      <c r="E7133">
        <v>6</v>
      </c>
      <c r="F7133" t="s">
        <v>4680</v>
      </c>
      <c r="G7133">
        <v>1</v>
      </c>
      <c r="H7133">
        <v>0</v>
      </c>
      <c r="I7133">
        <f>1</f>
        <v>1</v>
      </c>
    </row>
    <row r="7134" spans="2:9" x14ac:dyDescent="0.25">
      <c r="B7134">
        <v>0</v>
      </c>
      <c r="C7134" s="16" t="s">
        <v>16264</v>
      </c>
      <c r="D7134" s="16"/>
      <c r="E7134">
        <v>6</v>
      </c>
      <c r="F7134" t="e">
        <f>--De grãos orientados</f>
        <v>#NAME?</v>
      </c>
      <c r="G7134">
        <v>1</v>
      </c>
      <c r="H7134">
        <v>0</v>
      </c>
      <c r="I7134">
        <f>1</f>
        <v>1</v>
      </c>
    </row>
    <row r="7135" spans="2:9" x14ac:dyDescent="0.25">
      <c r="B7135">
        <v>0</v>
      </c>
      <c r="C7135" s="16" t="s">
        <v>16265</v>
      </c>
      <c r="D7135" s="16"/>
      <c r="E7135">
        <v>6</v>
      </c>
      <c r="F7135" t="e">
        <f>--outros</f>
        <v>#NAME?</v>
      </c>
      <c r="G7135">
        <v>1</v>
      </c>
      <c r="H7135">
        <v>0</v>
      </c>
      <c r="I7135">
        <f>1</f>
        <v>1</v>
      </c>
    </row>
    <row r="7136" spans="2:9" x14ac:dyDescent="0.25">
      <c r="B7136">
        <v>0</v>
      </c>
      <c r="C7136" s="16" t="s">
        <v>16266</v>
      </c>
      <c r="D7136" s="16"/>
      <c r="E7136">
        <v>6</v>
      </c>
      <c r="F7136" t="s">
        <v>7778</v>
      </c>
      <c r="G7136">
        <v>1</v>
      </c>
      <c r="H7136">
        <v>0</v>
      </c>
      <c r="I7136">
        <f>1</f>
        <v>1</v>
      </c>
    </row>
    <row r="7137" spans="2:9" x14ac:dyDescent="0.25">
      <c r="B7137">
        <v>0</v>
      </c>
      <c r="C7137" s="16" t="s">
        <v>16267</v>
      </c>
      <c r="D7137" s="16"/>
      <c r="E7137">
        <v>6</v>
      </c>
      <c r="F7137" t="s">
        <v>4680</v>
      </c>
      <c r="G7137">
        <v>1</v>
      </c>
      <c r="H7137">
        <v>0</v>
      </c>
      <c r="I7137">
        <f>1</f>
        <v>1</v>
      </c>
    </row>
    <row r="7138" spans="2:9" x14ac:dyDescent="0.25">
      <c r="B7138">
        <v>0</v>
      </c>
      <c r="C7138" s="16" t="s">
        <v>16268</v>
      </c>
      <c r="D7138" s="16"/>
      <c r="E7138">
        <v>6</v>
      </c>
      <c r="F7138" t="e">
        <f>--Simplesmente Laminados a quente</f>
        <v>#NAME?</v>
      </c>
      <c r="G7138">
        <v>1</v>
      </c>
      <c r="H7138">
        <v>0</v>
      </c>
      <c r="I7138">
        <f>1</f>
        <v>1</v>
      </c>
    </row>
    <row r="7139" spans="2:9" x14ac:dyDescent="0.25">
      <c r="B7139">
        <v>0</v>
      </c>
      <c r="C7139" s="16" t="s">
        <v>16269</v>
      </c>
      <c r="D7139" s="16"/>
      <c r="E7139">
        <v>6</v>
      </c>
      <c r="F7139" t="e">
        <f>--Simplesmente Laminados a frio</f>
        <v>#NAME?</v>
      </c>
      <c r="G7139">
        <v>1</v>
      </c>
      <c r="H7139">
        <v>0</v>
      </c>
      <c r="I7139">
        <f>1</f>
        <v>1</v>
      </c>
    </row>
    <row r="7140" spans="2:9" x14ac:dyDescent="0.25">
      <c r="B7140">
        <v>0</v>
      </c>
      <c r="C7140" s="16" t="s">
        <v>16270</v>
      </c>
      <c r="D7140" s="16"/>
      <c r="E7140">
        <v>6</v>
      </c>
      <c r="F7140" t="e">
        <f>--outros</f>
        <v>#NAME?</v>
      </c>
      <c r="G7140">
        <v>1</v>
      </c>
      <c r="H7140">
        <v>0</v>
      </c>
      <c r="I7140">
        <f>1</f>
        <v>1</v>
      </c>
    </row>
    <row r="7141" spans="2:9" x14ac:dyDescent="0.25">
      <c r="B7141">
        <v>0</v>
      </c>
      <c r="C7141" s="16" t="s">
        <v>16271</v>
      </c>
      <c r="D7141" s="16"/>
      <c r="E7141">
        <v>6</v>
      </c>
      <c r="F7141" t="e">
        <f>-De aços De corte rápido</f>
        <v>#NAME?</v>
      </c>
      <c r="G7141">
        <v>1</v>
      </c>
      <c r="H7141">
        <v>0</v>
      </c>
      <c r="I7141">
        <f>1</f>
        <v>1</v>
      </c>
    </row>
    <row r="7142" spans="2:9" x14ac:dyDescent="0.25">
      <c r="B7142">
        <v>0</v>
      </c>
      <c r="C7142" s="16" t="s">
        <v>16272</v>
      </c>
      <c r="D7142" s="16"/>
      <c r="E7142">
        <v>6</v>
      </c>
      <c r="F7142" t="e">
        <f>-De aços silício-manganês</f>
        <v>#NAME?</v>
      </c>
      <c r="G7142">
        <v>1</v>
      </c>
      <c r="H7142">
        <v>0</v>
      </c>
      <c r="I7142">
        <f>1</f>
        <v>1</v>
      </c>
    </row>
    <row r="7143" spans="2:9" x14ac:dyDescent="0.25">
      <c r="B7143">
        <v>0</v>
      </c>
      <c r="C7143" s="16" t="s">
        <v>16273</v>
      </c>
      <c r="D7143" s="16"/>
      <c r="E7143">
        <v>6</v>
      </c>
      <c r="F7143" t="e">
        <f>-outros</f>
        <v>#NAME?</v>
      </c>
      <c r="G7143">
        <v>1</v>
      </c>
      <c r="H7143">
        <v>0</v>
      </c>
      <c r="I7143">
        <f>1</f>
        <v>1</v>
      </c>
    </row>
    <row r="7144" spans="2:9" x14ac:dyDescent="0.25">
      <c r="B7144">
        <v>0</v>
      </c>
      <c r="C7144" s="16" t="s">
        <v>16274</v>
      </c>
      <c r="D7144" s="16"/>
      <c r="E7144">
        <v>6</v>
      </c>
      <c r="F7144" t="s">
        <v>7779</v>
      </c>
      <c r="G7144">
        <v>1</v>
      </c>
      <c r="H7144">
        <v>0</v>
      </c>
      <c r="I7144">
        <f>1</f>
        <v>1</v>
      </c>
    </row>
    <row r="7145" spans="2:9" x14ac:dyDescent="0.25">
      <c r="B7145">
        <v>0</v>
      </c>
      <c r="C7145" s="16" t="s">
        <v>16275</v>
      </c>
      <c r="D7145" s="16"/>
      <c r="E7145">
        <v>6</v>
      </c>
      <c r="F7145" t="s">
        <v>4690</v>
      </c>
      <c r="G7145">
        <v>1</v>
      </c>
      <c r="H7145">
        <v>0</v>
      </c>
      <c r="I7145">
        <f>1</f>
        <v>1</v>
      </c>
    </row>
    <row r="7146" spans="2:9" x14ac:dyDescent="0.25">
      <c r="B7146">
        <v>0</v>
      </c>
      <c r="C7146" s="16" t="s">
        <v>16276</v>
      </c>
      <c r="D7146" s="16"/>
      <c r="E7146">
        <v>6</v>
      </c>
      <c r="F7146" t="e">
        <f>-barras De aços silício-manganês</f>
        <v>#NAME?</v>
      </c>
      <c r="G7146">
        <v>1</v>
      </c>
      <c r="H7146">
        <v>0</v>
      </c>
      <c r="I7146">
        <f>1</f>
        <v>1</v>
      </c>
    </row>
    <row r="7147" spans="2:9" x14ac:dyDescent="0.25">
      <c r="B7147">
        <v>0</v>
      </c>
      <c r="C7147" s="16" t="s">
        <v>16277</v>
      </c>
      <c r="D7147" s="16"/>
      <c r="E7147">
        <v>6</v>
      </c>
      <c r="F7147" t="s">
        <v>7780</v>
      </c>
      <c r="G7147">
        <v>1</v>
      </c>
      <c r="H7147">
        <v>0</v>
      </c>
      <c r="I7147">
        <f>1</f>
        <v>1</v>
      </c>
    </row>
    <row r="7148" spans="2:9" x14ac:dyDescent="0.25">
      <c r="B7148">
        <v>0</v>
      </c>
      <c r="C7148" s="16" t="s">
        <v>16278</v>
      </c>
      <c r="D7148" s="16"/>
      <c r="E7148">
        <v>6</v>
      </c>
      <c r="F7148" t="s">
        <v>7781</v>
      </c>
      <c r="G7148">
        <v>1</v>
      </c>
      <c r="H7148">
        <v>0</v>
      </c>
      <c r="I7148">
        <f>1</f>
        <v>1</v>
      </c>
    </row>
    <row r="7149" spans="2:9" x14ac:dyDescent="0.25">
      <c r="B7149">
        <v>0</v>
      </c>
      <c r="C7149" s="16" t="s">
        <v>16279</v>
      </c>
      <c r="D7149" s="16"/>
      <c r="E7149">
        <v>6</v>
      </c>
      <c r="F7149" t="s">
        <v>7782</v>
      </c>
      <c r="G7149">
        <v>1</v>
      </c>
      <c r="H7149">
        <v>0</v>
      </c>
      <c r="I7149">
        <f>1</f>
        <v>1</v>
      </c>
    </row>
    <row r="7150" spans="2:9" x14ac:dyDescent="0.25">
      <c r="B7150">
        <v>0</v>
      </c>
      <c r="C7150" s="16" t="s">
        <v>16280</v>
      </c>
      <c r="D7150" s="16"/>
      <c r="E7150">
        <v>6</v>
      </c>
      <c r="F7150" t="e">
        <f>-Outras barras</f>
        <v>#NAME?</v>
      </c>
      <c r="G7150">
        <v>1</v>
      </c>
      <c r="H7150">
        <v>0</v>
      </c>
      <c r="I7150">
        <f>1</f>
        <v>1</v>
      </c>
    </row>
    <row r="7151" spans="2:9" x14ac:dyDescent="0.25">
      <c r="B7151">
        <v>0</v>
      </c>
      <c r="C7151" s="16" t="s">
        <v>16281</v>
      </c>
      <c r="D7151" s="16"/>
      <c r="E7151">
        <v>6</v>
      </c>
      <c r="F7151" t="e">
        <f>-Perfis</f>
        <v>#NAME?</v>
      </c>
      <c r="G7151">
        <v>1</v>
      </c>
      <c r="H7151">
        <v>0</v>
      </c>
      <c r="I7151">
        <f>1</f>
        <v>1</v>
      </c>
    </row>
    <row r="7152" spans="2:9" x14ac:dyDescent="0.25">
      <c r="B7152">
        <v>0</v>
      </c>
      <c r="C7152" s="16" t="s">
        <v>16282</v>
      </c>
      <c r="D7152" s="16"/>
      <c r="E7152">
        <v>6</v>
      </c>
      <c r="F7152" t="e">
        <f>-barras ocas para perfuração</f>
        <v>#NAME?</v>
      </c>
      <c r="G7152">
        <v>1</v>
      </c>
      <c r="H7152">
        <v>0</v>
      </c>
      <c r="I7152">
        <f>1</f>
        <v>1</v>
      </c>
    </row>
    <row r="7153" spans="2:9" x14ac:dyDescent="0.25">
      <c r="B7153">
        <v>0</v>
      </c>
      <c r="C7153" s="16" t="s">
        <v>16283</v>
      </c>
      <c r="D7153" s="16"/>
      <c r="E7153">
        <v>6</v>
      </c>
      <c r="F7153" t="e">
        <f>-De aços silício-manganês</f>
        <v>#NAME?</v>
      </c>
      <c r="G7153">
        <v>1</v>
      </c>
      <c r="H7153">
        <v>0</v>
      </c>
      <c r="I7153">
        <f>1</f>
        <v>1</v>
      </c>
    </row>
    <row r="7154" spans="2:9" x14ac:dyDescent="0.25">
      <c r="B7154">
        <v>0</v>
      </c>
      <c r="C7154" s="16" t="s">
        <v>16284</v>
      </c>
      <c r="D7154" s="16"/>
      <c r="E7154">
        <v>6</v>
      </c>
      <c r="F7154" t="e">
        <f>-outros</f>
        <v>#NAME?</v>
      </c>
      <c r="G7154">
        <v>1</v>
      </c>
      <c r="H7154">
        <v>0</v>
      </c>
      <c r="I7154">
        <f>1</f>
        <v>1</v>
      </c>
    </row>
    <row r="7155" spans="2:9" x14ac:dyDescent="0.25">
      <c r="B7155">
        <v>0</v>
      </c>
      <c r="C7155" s="16" t="s">
        <v>16285</v>
      </c>
      <c r="D7155" s="16"/>
      <c r="E7155">
        <v>6</v>
      </c>
      <c r="F7155" t="e">
        <f>-Estacas-pranchas</f>
        <v>#NAME?</v>
      </c>
      <c r="G7155">
        <v>1</v>
      </c>
      <c r="H7155">
        <v>0</v>
      </c>
      <c r="I7155">
        <f>1</f>
        <v>1</v>
      </c>
    </row>
    <row r="7156" spans="2:9" x14ac:dyDescent="0.25">
      <c r="B7156">
        <v>0</v>
      </c>
      <c r="C7156" s="16" t="s">
        <v>16286</v>
      </c>
      <c r="D7156" s="16"/>
      <c r="E7156">
        <v>6</v>
      </c>
      <c r="F7156" t="e">
        <f>-Perfis</f>
        <v>#NAME?</v>
      </c>
      <c r="G7156">
        <v>1</v>
      </c>
      <c r="H7156">
        <v>0</v>
      </c>
      <c r="I7156">
        <f>1</f>
        <v>1</v>
      </c>
    </row>
    <row r="7157" spans="2:9" x14ac:dyDescent="0.25">
      <c r="B7157">
        <v>0</v>
      </c>
      <c r="C7157" s="16" t="s">
        <v>16287</v>
      </c>
      <c r="D7157" s="16"/>
      <c r="E7157">
        <v>6</v>
      </c>
      <c r="F7157" t="s">
        <v>7783</v>
      </c>
      <c r="G7157">
        <v>1</v>
      </c>
      <c r="H7157">
        <v>0</v>
      </c>
      <c r="I7157">
        <f>1</f>
        <v>1</v>
      </c>
    </row>
    <row r="7158" spans="2:9" x14ac:dyDescent="0.25">
      <c r="B7158">
        <v>0</v>
      </c>
      <c r="C7158" s="16" t="s">
        <v>16288</v>
      </c>
      <c r="D7158" s="16"/>
      <c r="E7158">
        <v>6</v>
      </c>
      <c r="F7158" t="s">
        <v>4680</v>
      </c>
      <c r="G7158">
        <v>1</v>
      </c>
      <c r="H7158">
        <v>0</v>
      </c>
      <c r="I7158">
        <f>1</f>
        <v>1</v>
      </c>
    </row>
    <row r="7159" spans="2:9" x14ac:dyDescent="0.25">
      <c r="B7159">
        <v>0</v>
      </c>
      <c r="C7159" s="16" t="s">
        <v>16289</v>
      </c>
      <c r="D7159" s="16"/>
      <c r="E7159">
        <v>6</v>
      </c>
      <c r="F7159" t="s">
        <v>7784</v>
      </c>
      <c r="G7159">
        <v>1</v>
      </c>
      <c r="H7159">
        <v>0</v>
      </c>
      <c r="I7159">
        <f>1</f>
        <v>1</v>
      </c>
    </row>
    <row r="7160" spans="2:9" x14ac:dyDescent="0.25">
      <c r="B7160">
        <v>0</v>
      </c>
      <c r="C7160" s="16" t="s">
        <v>16290</v>
      </c>
      <c r="D7160" s="16"/>
      <c r="E7160">
        <v>6</v>
      </c>
      <c r="F7160" t="e">
        <f>-Talas De junção e Placas De apoio ou assentamento</f>
        <v>#NAME?</v>
      </c>
      <c r="G7160">
        <v>1</v>
      </c>
      <c r="H7160">
        <v>0</v>
      </c>
      <c r="I7160">
        <f>1</f>
        <v>1</v>
      </c>
    </row>
    <row r="7161" spans="2:9" x14ac:dyDescent="0.25">
      <c r="B7161">
        <v>0</v>
      </c>
      <c r="C7161" s="16" t="s">
        <v>16291</v>
      </c>
      <c r="D7161" s="16"/>
      <c r="E7161">
        <v>6</v>
      </c>
      <c r="F7161" t="e">
        <f>-outros</f>
        <v>#NAME?</v>
      </c>
      <c r="G7161">
        <v>1</v>
      </c>
      <c r="H7161">
        <v>0</v>
      </c>
      <c r="I7161">
        <f>1</f>
        <v>1</v>
      </c>
    </row>
    <row r="7162" spans="2:9" x14ac:dyDescent="0.25">
      <c r="B7162">
        <v>0</v>
      </c>
      <c r="C7162" s="16" t="s">
        <v>16292</v>
      </c>
      <c r="D7162" s="16"/>
      <c r="E7162">
        <v>6</v>
      </c>
      <c r="F7162" t="s">
        <v>7785</v>
      </c>
      <c r="G7162">
        <v>1</v>
      </c>
      <c r="H7162">
        <v>0</v>
      </c>
      <c r="I7162">
        <f>1</f>
        <v>1</v>
      </c>
    </row>
    <row r="7163" spans="2:9" x14ac:dyDescent="0.25">
      <c r="B7163">
        <v>0</v>
      </c>
      <c r="C7163" s="16" t="s">
        <v>16293</v>
      </c>
      <c r="D7163" s="16"/>
      <c r="E7163">
        <v>6</v>
      </c>
      <c r="F7163" t="e">
        <f>--De aço inoxidável</f>
        <v>#NAME?</v>
      </c>
      <c r="G7163">
        <v>1</v>
      </c>
      <c r="H7163">
        <v>0</v>
      </c>
      <c r="I7163">
        <f>1</f>
        <v>1</v>
      </c>
    </row>
    <row r="7164" spans="2:9" x14ac:dyDescent="0.25">
      <c r="B7164">
        <v>0</v>
      </c>
      <c r="C7164" s="16" t="s">
        <v>16294</v>
      </c>
      <c r="D7164" s="16"/>
      <c r="E7164">
        <v>6</v>
      </c>
      <c r="F7164" t="e">
        <f>--outros</f>
        <v>#NAME?</v>
      </c>
      <c r="G7164">
        <v>1</v>
      </c>
      <c r="H7164">
        <v>0</v>
      </c>
      <c r="I7164">
        <f>1</f>
        <v>1</v>
      </c>
    </row>
    <row r="7165" spans="2:9" x14ac:dyDescent="0.25">
      <c r="B7165">
        <v>0</v>
      </c>
      <c r="C7165" s="16" t="s">
        <v>16295</v>
      </c>
      <c r="D7165" s="16"/>
      <c r="E7165">
        <v>6</v>
      </c>
      <c r="F7165" t="e">
        <f>--Hastes De perfuração De aço inoxidável</f>
        <v>#NAME?</v>
      </c>
      <c r="G7165">
        <v>1</v>
      </c>
      <c r="H7165">
        <v>0</v>
      </c>
      <c r="I7165">
        <f>1</f>
        <v>1</v>
      </c>
    </row>
    <row r="7166" spans="2:9" x14ac:dyDescent="0.25">
      <c r="B7166">
        <v>0</v>
      </c>
      <c r="C7166" s="16" t="s">
        <v>16296</v>
      </c>
      <c r="D7166" s="16"/>
      <c r="E7166">
        <v>6</v>
      </c>
      <c r="F7166" t="s">
        <v>7786</v>
      </c>
      <c r="G7166">
        <v>1</v>
      </c>
      <c r="H7166">
        <v>0</v>
      </c>
      <c r="I7166">
        <f>1</f>
        <v>1</v>
      </c>
    </row>
    <row r="7167" spans="2:9" x14ac:dyDescent="0.25">
      <c r="B7167">
        <v>0</v>
      </c>
      <c r="C7167" s="16" t="s">
        <v>16297</v>
      </c>
      <c r="D7167" s="16"/>
      <c r="E7167">
        <v>6</v>
      </c>
      <c r="F7167" t="s">
        <v>4680</v>
      </c>
      <c r="G7167">
        <v>1</v>
      </c>
      <c r="H7167">
        <v>0</v>
      </c>
      <c r="I7167">
        <f>1</f>
        <v>1</v>
      </c>
    </row>
    <row r="7168" spans="2:9" x14ac:dyDescent="0.25">
      <c r="B7168">
        <v>0</v>
      </c>
      <c r="C7168" s="16" t="s">
        <v>16298</v>
      </c>
      <c r="D7168" s="16"/>
      <c r="E7168">
        <v>6</v>
      </c>
      <c r="F7168" t="s">
        <v>7787</v>
      </c>
      <c r="G7168">
        <v>1</v>
      </c>
      <c r="H7168">
        <v>0</v>
      </c>
      <c r="I7168">
        <f>1</f>
        <v>1</v>
      </c>
    </row>
    <row r="7169" spans="2:9" x14ac:dyDescent="0.25">
      <c r="B7169">
        <v>0</v>
      </c>
      <c r="C7169" s="16" t="s">
        <v>16299</v>
      </c>
      <c r="D7169" s="16"/>
      <c r="E7169">
        <v>6</v>
      </c>
      <c r="F7169" t="s">
        <v>7786</v>
      </c>
      <c r="G7169">
        <v>1</v>
      </c>
      <c r="H7169">
        <v>0</v>
      </c>
      <c r="I7169">
        <f>1</f>
        <v>1</v>
      </c>
    </row>
    <row r="7170" spans="2:9" x14ac:dyDescent="0.25">
      <c r="B7170">
        <v>0</v>
      </c>
      <c r="C7170" s="16" t="s">
        <v>16300</v>
      </c>
      <c r="D7170" s="16"/>
      <c r="E7170">
        <v>6</v>
      </c>
      <c r="F7170" t="s">
        <v>7788</v>
      </c>
      <c r="G7170">
        <v>1</v>
      </c>
      <c r="H7170">
        <v>0</v>
      </c>
      <c r="I7170">
        <f>1</f>
        <v>1</v>
      </c>
    </row>
    <row r="7171" spans="2:9" x14ac:dyDescent="0.25">
      <c r="B7171">
        <v>0</v>
      </c>
      <c r="C7171" s="16" t="s">
        <v>16301</v>
      </c>
      <c r="D7171" s="16"/>
      <c r="E7171">
        <v>6</v>
      </c>
      <c r="F7171" t="s">
        <v>4680</v>
      </c>
      <c r="G7171">
        <v>1</v>
      </c>
      <c r="H7171">
        <v>0</v>
      </c>
      <c r="I7171">
        <f>1</f>
        <v>1</v>
      </c>
    </row>
    <row r="7172" spans="2:9" x14ac:dyDescent="0.25">
      <c r="B7172">
        <v>0</v>
      </c>
      <c r="C7172" s="16" t="s">
        <v>16302</v>
      </c>
      <c r="D7172" s="16"/>
      <c r="E7172">
        <v>6</v>
      </c>
      <c r="F7172" t="s">
        <v>4680</v>
      </c>
      <c r="G7172">
        <v>1</v>
      </c>
      <c r="H7172">
        <v>0</v>
      </c>
      <c r="I7172">
        <f>1</f>
        <v>1</v>
      </c>
    </row>
    <row r="7173" spans="2:9" x14ac:dyDescent="0.25">
      <c r="B7173">
        <v>0</v>
      </c>
      <c r="C7173" s="16" t="s">
        <v>16303</v>
      </c>
      <c r="D7173" s="16"/>
      <c r="E7173">
        <v>6</v>
      </c>
      <c r="F7173" t="s">
        <v>7789</v>
      </c>
      <c r="G7173">
        <v>1</v>
      </c>
      <c r="H7173">
        <v>0</v>
      </c>
      <c r="I7173">
        <f>1</f>
        <v>1</v>
      </c>
    </row>
    <row r="7174" spans="2:9" x14ac:dyDescent="0.25">
      <c r="B7174">
        <v>0</v>
      </c>
      <c r="C7174" s="16" t="s">
        <v>16304</v>
      </c>
      <c r="D7174" s="16"/>
      <c r="E7174">
        <v>6</v>
      </c>
      <c r="F7174" t="s">
        <v>4680</v>
      </c>
      <c r="G7174">
        <v>1</v>
      </c>
      <c r="H7174">
        <v>0</v>
      </c>
      <c r="I7174">
        <f>1</f>
        <v>1</v>
      </c>
    </row>
    <row r="7175" spans="2:9" x14ac:dyDescent="0.25">
      <c r="B7175">
        <v>0</v>
      </c>
      <c r="C7175" s="16" t="s">
        <v>16305</v>
      </c>
      <c r="D7175" s="16"/>
      <c r="E7175">
        <v>6</v>
      </c>
      <c r="F7175" t="s">
        <v>7790</v>
      </c>
      <c r="G7175">
        <v>1</v>
      </c>
      <c r="H7175">
        <v>0</v>
      </c>
      <c r="I7175">
        <f>1</f>
        <v>1</v>
      </c>
    </row>
    <row r="7176" spans="2:9" x14ac:dyDescent="0.25">
      <c r="B7176">
        <v>0</v>
      </c>
      <c r="C7176" s="16" t="s">
        <v>16306</v>
      </c>
      <c r="D7176" s="16"/>
      <c r="E7176">
        <v>6</v>
      </c>
      <c r="F7176" t="s">
        <v>7791</v>
      </c>
      <c r="G7176">
        <v>1</v>
      </c>
      <c r="H7176">
        <v>0</v>
      </c>
      <c r="I7176">
        <f>1</f>
        <v>1</v>
      </c>
    </row>
    <row r="7177" spans="2:9" x14ac:dyDescent="0.25">
      <c r="B7177">
        <v>0</v>
      </c>
      <c r="C7177" s="16" t="s">
        <v>16307</v>
      </c>
      <c r="D7177" s="16"/>
      <c r="E7177">
        <v>6</v>
      </c>
      <c r="F7177" t="s">
        <v>4680</v>
      </c>
      <c r="G7177">
        <v>1</v>
      </c>
      <c r="H7177">
        <v>0</v>
      </c>
      <c r="I7177">
        <f>1</f>
        <v>1</v>
      </c>
    </row>
    <row r="7178" spans="2:9" x14ac:dyDescent="0.25">
      <c r="B7178">
        <v>0</v>
      </c>
      <c r="C7178" s="16" t="s">
        <v>16308</v>
      </c>
      <c r="D7178" s="16"/>
      <c r="E7178">
        <v>6</v>
      </c>
      <c r="F7178" t="s">
        <v>7792</v>
      </c>
      <c r="G7178">
        <v>1</v>
      </c>
      <c r="H7178">
        <v>0</v>
      </c>
      <c r="I7178">
        <f>1</f>
        <v>1</v>
      </c>
    </row>
    <row r="7179" spans="2:9" x14ac:dyDescent="0.25">
      <c r="B7179">
        <v>0</v>
      </c>
      <c r="C7179" s="16" t="s">
        <v>16309</v>
      </c>
      <c r="D7179" s="16"/>
      <c r="E7179">
        <v>6</v>
      </c>
      <c r="F7179" t="s">
        <v>4680</v>
      </c>
      <c r="G7179">
        <v>1</v>
      </c>
      <c r="H7179">
        <v>0</v>
      </c>
      <c r="I7179">
        <f>1</f>
        <v>1</v>
      </c>
    </row>
    <row r="7180" spans="2:9" x14ac:dyDescent="0.25">
      <c r="B7180">
        <v>0</v>
      </c>
      <c r="C7180" s="16" t="s">
        <v>16310</v>
      </c>
      <c r="D7180" s="16"/>
      <c r="E7180">
        <v>6</v>
      </c>
      <c r="F7180" t="e">
        <f>--outros</f>
        <v>#NAME?</v>
      </c>
      <c r="G7180">
        <v>1</v>
      </c>
      <c r="H7180">
        <v>0</v>
      </c>
      <c r="I7180">
        <f>1</f>
        <v>1</v>
      </c>
    </row>
    <row r="7181" spans="2:9" x14ac:dyDescent="0.25">
      <c r="B7181">
        <v>0</v>
      </c>
      <c r="C7181" s="16" t="s">
        <v>16311</v>
      </c>
      <c r="D7181" s="16"/>
      <c r="E7181">
        <v>6</v>
      </c>
      <c r="F7181" t="s">
        <v>7792</v>
      </c>
      <c r="G7181">
        <v>1</v>
      </c>
      <c r="H7181">
        <v>0</v>
      </c>
      <c r="I7181">
        <f>1</f>
        <v>1</v>
      </c>
    </row>
    <row r="7182" spans="2:9" x14ac:dyDescent="0.25">
      <c r="B7182">
        <v>0</v>
      </c>
      <c r="C7182" s="16" t="s">
        <v>16312</v>
      </c>
      <c r="D7182" s="16"/>
      <c r="E7182">
        <v>6</v>
      </c>
      <c r="F7182" t="s">
        <v>4680</v>
      </c>
      <c r="G7182">
        <v>1</v>
      </c>
      <c r="H7182">
        <v>0</v>
      </c>
      <c r="I7182">
        <f>1</f>
        <v>1</v>
      </c>
    </row>
    <row r="7183" spans="2:9" x14ac:dyDescent="0.25">
      <c r="B7183">
        <v>0</v>
      </c>
      <c r="C7183" s="16" t="s">
        <v>16313</v>
      </c>
      <c r="D7183" s="16"/>
      <c r="E7183">
        <v>6</v>
      </c>
      <c r="F7183" t="s">
        <v>4680</v>
      </c>
      <c r="G7183">
        <v>1</v>
      </c>
      <c r="H7183">
        <v>0</v>
      </c>
      <c r="I7183">
        <f>1</f>
        <v>1</v>
      </c>
    </row>
    <row r="7184" spans="2:9" x14ac:dyDescent="0.25">
      <c r="B7184">
        <v>0</v>
      </c>
      <c r="C7184" s="16" t="s">
        <v>16314</v>
      </c>
      <c r="D7184" s="16"/>
      <c r="E7184">
        <v>6</v>
      </c>
      <c r="F7184" t="s">
        <v>7793</v>
      </c>
      <c r="G7184">
        <v>1</v>
      </c>
      <c r="H7184">
        <v>0</v>
      </c>
      <c r="I7184">
        <f>1</f>
        <v>1</v>
      </c>
    </row>
    <row r="7185" spans="2:9" x14ac:dyDescent="0.25">
      <c r="B7185">
        <v>0</v>
      </c>
      <c r="C7185" s="16" t="s">
        <v>16315</v>
      </c>
      <c r="D7185" s="16"/>
      <c r="E7185">
        <v>6</v>
      </c>
      <c r="F7185" t="s">
        <v>4680</v>
      </c>
      <c r="G7185">
        <v>1</v>
      </c>
      <c r="H7185">
        <v>0</v>
      </c>
      <c r="I7185">
        <f>1</f>
        <v>1</v>
      </c>
    </row>
    <row r="7186" spans="2:9" x14ac:dyDescent="0.25">
      <c r="B7186">
        <v>0</v>
      </c>
      <c r="C7186" s="16" t="s">
        <v>16316</v>
      </c>
      <c r="D7186" s="16"/>
      <c r="E7186">
        <v>6</v>
      </c>
      <c r="F7186" t="s">
        <v>4680</v>
      </c>
      <c r="G7186">
        <v>1</v>
      </c>
      <c r="H7186">
        <v>0</v>
      </c>
      <c r="I7186">
        <f>1</f>
        <v>1</v>
      </c>
    </row>
    <row r="7187" spans="2:9" x14ac:dyDescent="0.25">
      <c r="B7187">
        <v>0</v>
      </c>
      <c r="C7187" s="16" t="s">
        <v>16317</v>
      </c>
      <c r="D7187" s="16"/>
      <c r="E7187">
        <v>6</v>
      </c>
      <c r="F7187" t="s">
        <v>7794</v>
      </c>
      <c r="G7187">
        <v>1</v>
      </c>
      <c r="H7187">
        <v>0</v>
      </c>
      <c r="I7187">
        <f>1</f>
        <v>1</v>
      </c>
    </row>
    <row r="7188" spans="2:9" x14ac:dyDescent="0.25">
      <c r="B7188">
        <v>0</v>
      </c>
      <c r="C7188" s="16" t="s">
        <v>16318</v>
      </c>
      <c r="D7188" s="16"/>
      <c r="E7188">
        <v>6</v>
      </c>
      <c r="F7188" t="s">
        <v>4680</v>
      </c>
      <c r="G7188">
        <v>1</v>
      </c>
      <c r="H7188">
        <v>0</v>
      </c>
      <c r="I7188">
        <f>1</f>
        <v>1</v>
      </c>
    </row>
    <row r="7189" spans="2:9" x14ac:dyDescent="0.25">
      <c r="B7189">
        <v>0</v>
      </c>
      <c r="C7189" s="16" t="s">
        <v>16319</v>
      </c>
      <c r="D7189" s="16"/>
      <c r="E7189">
        <v>6</v>
      </c>
      <c r="F7189" t="s">
        <v>4680</v>
      </c>
      <c r="G7189">
        <v>1</v>
      </c>
      <c r="H7189">
        <v>0</v>
      </c>
      <c r="I7189">
        <f>1</f>
        <v>1</v>
      </c>
    </row>
    <row r="7190" spans="2:9" x14ac:dyDescent="0.25">
      <c r="B7190">
        <v>0</v>
      </c>
      <c r="C7190" s="16" t="s">
        <v>16320</v>
      </c>
      <c r="D7190" s="16"/>
      <c r="E7190">
        <v>6</v>
      </c>
      <c r="F7190" t="e">
        <f>--Soldados longitudinalmente por arco imerso</f>
        <v>#NAME?</v>
      </c>
      <c r="G7190">
        <v>1</v>
      </c>
      <c r="H7190">
        <v>0</v>
      </c>
      <c r="I7190">
        <f>1</f>
        <v>1</v>
      </c>
    </row>
    <row r="7191" spans="2:9" x14ac:dyDescent="0.25">
      <c r="B7191">
        <v>0</v>
      </c>
      <c r="C7191" s="16" t="s">
        <v>16321</v>
      </c>
      <c r="D7191" s="16"/>
      <c r="E7191">
        <v>6</v>
      </c>
      <c r="F7191" t="s">
        <v>7795</v>
      </c>
      <c r="G7191">
        <v>1</v>
      </c>
      <c r="H7191">
        <v>0</v>
      </c>
      <c r="I7191">
        <f>1</f>
        <v>1</v>
      </c>
    </row>
    <row r="7192" spans="2:9" x14ac:dyDescent="0.25">
      <c r="B7192">
        <v>0</v>
      </c>
      <c r="C7192" s="16" t="s">
        <v>16322</v>
      </c>
      <c r="D7192" s="16"/>
      <c r="E7192">
        <v>6</v>
      </c>
      <c r="F7192" t="e">
        <f>--outros</f>
        <v>#NAME?</v>
      </c>
      <c r="G7192">
        <v>1</v>
      </c>
      <c r="H7192">
        <v>0</v>
      </c>
      <c r="I7192">
        <f>1</f>
        <v>1</v>
      </c>
    </row>
    <row r="7193" spans="2:9" x14ac:dyDescent="0.25">
      <c r="B7193">
        <v>0</v>
      </c>
      <c r="C7193" s="16" t="s">
        <v>16323</v>
      </c>
      <c r="D7193" s="16"/>
      <c r="E7193">
        <v>6</v>
      </c>
      <c r="F7193" t="s">
        <v>7796</v>
      </c>
      <c r="G7193">
        <v>1</v>
      </c>
      <c r="H7193">
        <v>0</v>
      </c>
      <c r="I7193">
        <f>1</f>
        <v>1</v>
      </c>
    </row>
    <row r="7194" spans="2:9" x14ac:dyDescent="0.25">
      <c r="B7194">
        <v>0</v>
      </c>
      <c r="C7194" s="16" t="s">
        <v>16324</v>
      </c>
      <c r="D7194" s="16"/>
      <c r="E7194">
        <v>6</v>
      </c>
      <c r="F7194" t="e">
        <f>--Soldados longitudinalmente</f>
        <v>#NAME?</v>
      </c>
      <c r="G7194">
        <v>1</v>
      </c>
      <c r="H7194">
        <v>0</v>
      </c>
      <c r="I7194">
        <f>1</f>
        <v>1</v>
      </c>
    </row>
    <row r="7195" spans="2:9" x14ac:dyDescent="0.25">
      <c r="B7195">
        <v>0</v>
      </c>
      <c r="C7195" s="16" t="s">
        <v>16325</v>
      </c>
      <c r="D7195" s="16"/>
      <c r="E7195">
        <v>6</v>
      </c>
      <c r="F7195" t="e">
        <f>--outros</f>
        <v>#NAME?</v>
      </c>
      <c r="G7195">
        <v>1</v>
      </c>
      <c r="H7195">
        <v>0</v>
      </c>
      <c r="I7195">
        <f>1</f>
        <v>1</v>
      </c>
    </row>
    <row r="7196" spans="2:9" x14ac:dyDescent="0.25">
      <c r="B7196">
        <v>0</v>
      </c>
      <c r="C7196" s="16" t="s">
        <v>16326</v>
      </c>
      <c r="D7196" s="16"/>
      <c r="E7196">
        <v>6</v>
      </c>
      <c r="F7196" t="e">
        <f>-outros</f>
        <v>#NAME?</v>
      </c>
      <c r="G7196">
        <v>1</v>
      </c>
      <c r="H7196">
        <v>0</v>
      </c>
      <c r="I7196">
        <f>1</f>
        <v>1</v>
      </c>
    </row>
    <row r="7197" spans="2:9" x14ac:dyDescent="0.25">
      <c r="B7197">
        <v>0</v>
      </c>
      <c r="C7197" s="16" t="s">
        <v>16327</v>
      </c>
      <c r="D7197" s="16"/>
      <c r="E7197">
        <v>6</v>
      </c>
      <c r="F7197" t="s">
        <v>7797</v>
      </c>
      <c r="G7197">
        <v>1</v>
      </c>
      <c r="H7197">
        <v>0</v>
      </c>
      <c r="I7197">
        <f>1</f>
        <v>1</v>
      </c>
    </row>
    <row r="7198" spans="2:9" x14ac:dyDescent="0.25">
      <c r="B7198">
        <v>0</v>
      </c>
      <c r="C7198" s="16" t="s">
        <v>16328</v>
      </c>
      <c r="D7198" s="16"/>
      <c r="E7198">
        <v>6</v>
      </c>
      <c r="F7198" t="e">
        <f>--outros</f>
        <v>#NAME?</v>
      </c>
      <c r="G7198">
        <v>1</v>
      </c>
      <c r="H7198">
        <v>0</v>
      </c>
      <c r="I7198">
        <f>1</f>
        <v>1</v>
      </c>
    </row>
    <row r="7199" spans="2:9" x14ac:dyDescent="0.25">
      <c r="B7199">
        <v>0</v>
      </c>
      <c r="C7199" s="16" t="s">
        <v>16329</v>
      </c>
      <c r="D7199" s="16"/>
      <c r="E7199">
        <v>6</v>
      </c>
      <c r="F7199" t="s">
        <v>7797</v>
      </c>
      <c r="G7199">
        <v>1</v>
      </c>
      <c r="H7199">
        <v>0</v>
      </c>
      <c r="I7199">
        <f>1</f>
        <v>1</v>
      </c>
    </row>
    <row r="7200" spans="2:9" x14ac:dyDescent="0.25">
      <c r="B7200">
        <v>0</v>
      </c>
      <c r="C7200" s="16" t="s">
        <v>16330</v>
      </c>
      <c r="D7200" s="16"/>
      <c r="E7200">
        <v>6</v>
      </c>
      <c r="F7200" t="e">
        <f>--outros</f>
        <v>#NAME?</v>
      </c>
      <c r="G7200">
        <v>1</v>
      </c>
      <c r="H7200">
        <v>0</v>
      </c>
      <c r="I7200">
        <f>1</f>
        <v>1</v>
      </c>
    </row>
    <row r="7201" spans="2:9" x14ac:dyDescent="0.25">
      <c r="B7201">
        <v>0</v>
      </c>
      <c r="C7201" s="16" t="s">
        <v>16331</v>
      </c>
      <c r="D7201" s="16"/>
      <c r="E7201">
        <v>6</v>
      </c>
      <c r="F7201" t="s">
        <v>7798</v>
      </c>
      <c r="G7201">
        <v>1</v>
      </c>
      <c r="H7201">
        <v>0</v>
      </c>
      <c r="I7201">
        <f>1</f>
        <v>1</v>
      </c>
    </row>
    <row r="7202" spans="2:9" x14ac:dyDescent="0.25">
      <c r="B7202">
        <v>0</v>
      </c>
      <c r="C7202" s="16" t="s">
        <v>16332</v>
      </c>
      <c r="D7202" s="16"/>
      <c r="E7202">
        <v>6</v>
      </c>
      <c r="F7202" t="s">
        <v>7799</v>
      </c>
      <c r="G7202">
        <v>1</v>
      </c>
      <c r="H7202">
        <v>0</v>
      </c>
      <c r="I7202">
        <f>1</f>
        <v>1</v>
      </c>
    </row>
    <row r="7203" spans="2:9" x14ac:dyDescent="0.25">
      <c r="B7203">
        <v>0</v>
      </c>
      <c r="C7203" s="16" t="s">
        <v>16333</v>
      </c>
      <c r="D7203" s="16"/>
      <c r="E7203">
        <v>6</v>
      </c>
      <c r="F7203" t="s">
        <v>7800</v>
      </c>
      <c r="G7203">
        <v>1</v>
      </c>
      <c r="H7203">
        <v>0</v>
      </c>
      <c r="I7203">
        <f>1</f>
        <v>1</v>
      </c>
    </row>
    <row r="7204" spans="2:9" x14ac:dyDescent="0.25">
      <c r="B7204">
        <v>0</v>
      </c>
      <c r="C7204" s="16" t="s">
        <v>16334</v>
      </c>
      <c r="D7204" s="16"/>
      <c r="E7204">
        <v>6</v>
      </c>
      <c r="F7204" t="e">
        <f>--De seção quadrada ou retangular</f>
        <v>#NAME?</v>
      </c>
      <c r="G7204">
        <v>1</v>
      </c>
      <c r="H7204">
        <v>0</v>
      </c>
      <c r="I7204">
        <f>1</f>
        <v>1</v>
      </c>
    </row>
    <row r="7205" spans="2:9" x14ac:dyDescent="0.25">
      <c r="B7205">
        <v>0</v>
      </c>
      <c r="C7205" s="16" t="s">
        <v>16335</v>
      </c>
      <c r="D7205" s="16"/>
      <c r="E7205">
        <v>6</v>
      </c>
      <c r="F7205" t="e">
        <f>--De Outras seções</f>
        <v>#NAME?</v>
      </c>
      <c r="G7205">
        <v>1</v>
      </c>
      <c r="H7205">
        <v>0</v>
      </c>
      <c r="I7205">
        <f>1</f>
        <v>1</v>
      </c>
    </row>
    <row r="7206" spans="2:9" x14ac:dyDescent="0.25">
      <c r="B7206">
        <v>0</v>
      </c>
      <c r="C7206" s="16" t="s">
        <v>16336</v>
      </c>
      <c r="D7206" s="16"/>
      <c r="E7206">
        <v>6</v>
      </c>
      <c r="F7206" t="s">
        <v>7801</v>
      </c>
      <c r="G7206">
        <v>1</v>
      </c>
      <c r="H7206">
        <v>0</v>
      </c>
      <c r="I7206">
        <f>1</f>
        <v>1</v>
      </c>
    </row>
    <row r="7207" spans="2:9" x14ac:dyDescent="0.25">
      <c r="B7207">
        <v>0</v>
      </c>
      <c r="C7207" s="16" t="s">
        <v>16337</v>
      </c>
      <c r="D7207" s="16"/>
      <c r="E7207">
        <v>6</v>
      </c>
      <c r="F7207" t="s">
        <v>7794</v>
      </c>
      <c r="G7207">
        <v>1</v>
      </c>
      <c r="H7207">
        <v>0</v>
      </c>
      <c r="I7207">
        <f>1</f>
        <v>1</v>
      </c>
    </row>
    <row r="7208" spans="2:9" x14ac:dyDescent="0.25">
      <c r="B7208">
        <v>0</v>
      </c>
      <c r="C7208" s="16" t="s">
        <v>16338</v>
      </c>
      <c r="D7208" s="16"/>
      <c r="E7208">
        <v>6</v>
      </c>
      <c r="F7208" t="s">
        <v>4680</v>
      </c>
      <c r="G7208">
        <v>1</v>
      </c>
      <c r="H7208">
        <v>0</v>
      </c>
      <c r="I7208">
        <f>1</f>
        <v>1</v>
      </c>
    </row>
    <row r="7209" spans="2:9" x14ac:dyDescent="0.25">
      <c r="B7209">
        <v>0</v>
      </c>
      <c r="C7209" s="16" t="s">
        <v>16339</v>
      </c>
      <c r="D7209" s="16"/>
      <c r="E7209">
        <v>6</v>
      </c>
      <c r="F7209" t="e">
        <f>--De ferro fundido Não maleável</f>
        <v>#NAME?</v>
      </c>
      <c r="G7209">
        <v>1</v>
      </c>
      <c r="H7209">
        <v>0</v>
      </c>
      <c r="I7209">
        <f>1</f>
        <v>1</v>
      </c>
    </row>
    <row r="7210" spans="2:9" x14ac:dyDescent="0.25">
      <c r="B7210">
        <v>0</v>
      </c>
      <c r="C7210" s="16" t="s">
        <v>16340</v>
      </c>
      <c r="D7210" s="16"/>
      <c r="E7210">
        <v>6</v>
      </c>
      <c r="F7210" t="s">
        <v>7802</v>
      </c>
      <c r="G7210">
        <v>1</v>
      </c>
      <c r="H7210">
        <v>0</v>
      </c>
      <c r="I7210">
        <f>1</f>
        <v>1</v>
      </c>
    </row>
    <row r="7211" spans="2:9" x14ac:dyDescent="0.25">
      <c r="B7211">
        <v>0</v>
      </c>
      <c r="C7211" s="16" t="s">
        <v>16341</v>
      </c>
      <c r="D7211" s="16"/>
      <c r="E7211">
        <v>6</v>
      </c>
      <c r="F7211" t="s">
        <v>7803</v>
      </c>
      <c r="G7211">
        <v>1</v>
      </c>
      <c r="H7211">
        <v>0</v>
      </c>
      <c r="I7211">
        <f>1</f>
        <v>1</v>
      </c>
    </row>
    <row r="7212" spans="2:9" x14ac:dyDescent="0.25">
      <c r="B7212">
        <v>0</v>
      </c>
      <c r="C7212" s="16" t="s">
        <v>16342</v>
      </c>
      <c r="D7212" s="16"/>
      <c r="E7212">
        <v>6</v>
      </c>
      <c r="F7212" t="s">
        <v>4680</v>
      </c>
      <c r="G7212">
        <v>1</v>
      </c>
      <c r="H7212">
        <v>0</v>
      </c>
      <c r="I7212">
        <f>1</f>
        <v>1</v>
      </c>
    </row>
    <row r="7213" spans="2:9" x14ac:dyDescent="0.25">
      <c r="B7213">
        <v>0</v>
      </c>
      <c r="C7213" s="16" t="s">
        <v>16343</v>
      </c>
      <c r="D7213" s="16"/>
      <c r="E7213">
        <v>6</v>
      </c>
      <c r="F7213" t="e">
        <f>--Flanges</f>
        <v>#NAME?</v>
      </c>
      <c r="G7213">
        <v>1</v>
      </c>
      <c r="H7213">
        <v>0</v>
      </c>
      <c r="I7213">
        <f>1</f>
        <v>1</v>
      </c>
    </row>
    <row r="7214" spans="2:9" x14ac:dyDescent="0.25">
      <c r="B7214">
        <v>0</v>
      </c>
      <c r="C7214" s="16" t="s">
        <v>16344</v>
      </c>
      <c r="D7214" s="16"/>
      <c r="E7214">
        <v>6</v>
      </c>
      <c r="F7214" t="s">
        <v>7804</v>
      </c>
      <c r="G7214">
        <v>1</v>
      </c>
      <c r="H7214">
        <v>0</v>
      </c>
      <c r="I7214">
        <f>1</f>
        <v>1</v>
      </c>
    </row>
    <row r="7215" spans="2:9" x14ac:dyDescent="0.25">
      <c r="B7215">
        <v>0</v>
      </c>
      <c r="C7215" s="16" t="s">
        <v>16345</v>
      </c>
      <c r="D7215" s="16"/>
      <c r="E7215">
        <v>6</v>
      </c>
      <c r="F7215" t="e">
        <f>--acessórios para soldar topo a topo</f>
        <v>#NAME?</v>
      </c>
      <c r="G7215">
        <v>1</v>
      </c>
      <c r="H7215">
        <v>0</v>
      </c>
      <c r="I7215">
        <f>1</f>
        <v>1</v>
      </c>
    </row>
    <row r="7216" spans="2:9" x14ac:dyDescent="0.25">
      <c r="B7216">
        <v>0</v>
      </c>
      <c r="C7216" s="16" t="s">
        <v>16346</v>
      </c>
      <c r="D7216" s="16"/>
      <c r="E7216">
        <v>6</v>
      </c>
      <c r="F7216" t="e">
        <f>--outros</f>
        <v>#NAME?</v>
      </c>
      <c r="G7216">
        <v>1</v>
      </c>
      <c r="H7216">
        <v>0</v>
      </c>
      <c r="I7216">
        <f>1</f>
        <v>1</v>
      </c>
    </row>
    <row r="7217" spans="2:9" x14ac:dyDescent="0.25">
      <c r="B7217">
        <v>0</v>
      </c>
      <c r="C7217" s="16" t="s">
        <v>16347</v>
      </c>
      <c r="D7217" s="16"/>
      <c r="E7217">
        <v>6</v>
      </c>
      <c r="F7217" t="e">
        <f>--Flanges</f>
        <v>#NAME?</v>
      </c>
      <c r="G7217">
        <v>1</v>
      </c>
      <c r="H7217">
        <v>0</v>
      </c>
      <c r="I7217">
        <f>1</f>
        <v>1</v>
      </c>
    </row>
    <row r="7218" spans="2:9" x14ac:dyDescent="0.25">
      <c r="B7218">
        <v>0</v>
      </c>
      <c r="C7218" s="16" t="s">
        <v>16348</v>
      </c>
      <c r="D7218" s="16"/>
      <c r="E7218">
        <v>6</v>
      </c>
      <c r="F7218" t="s">
        <v>7804</v>
      </c>
      <c r="G7218">
        <v>1</v>
      </c>
      <c r="H7218">
        <v>0</v>
      </c>
      <c r="I7218">
        <f>1</f>
        <v>1</v>
      </c>
    </row>
    <row r="7219" spans="2:9" x14ac:dyDescent="0.25">
      <c r="B7219">
        <v>0</v>
      </c>
      <c r="C7219" s="16" t="s">
        <v>16349</v>
      </c>
      <c r="D7219" s="16"/>
      <c r="E7219">
        <v>6</v>
      </c>
      <c r="F7219" t="e">
        <f>--acessórios para soldar topo a topo</f>
        <v>#NAME?</v>
      </c>
      <c r="G7219">
        <v>1</v>
      </c>
      <c r="H7219">
        <v>0</v>
      </c>
      <c r="I7219">
        <f>1</f>
        <v>1</v>
      </c>
    </row>
    <row r="7220" spans="2:9" x14ac:dyDescent="0.25">
      <c r="B7220">
        <v>0</v>
      </c>
      <c r="C7220" s="16" t="s">
        <v>16350</v>
      </c>
      <c r="D7220" s="16"/>
      <c r="E7220">
        <v>6</v>
      </c>
      <c r="F7220" t="e">
        <f>--outros</f>
        <v>#NAME?</v>
      </c>
      <c r="G7220">
        <v>1</v>
      </c>
      <c r="H7220">
        <v>0</v>
      </c>
      <c r="I7220">
        <f>1</f>
        <v>1</v>
      </c>
    </row>
    <row r="7221" spans="2:9" x14ac:dyDescent="0.25">
      <c r="B7221">
        <v>0</v>
      </c>
      <c r="C7221" s="16" t="s">
        <v>16351</v>
      </c>
      <c r="D7221" s="16"/>
      <c r="E7221">
        <v>6</v>
      </c>
      <c r="F7221" t="e">
        <f>-Pontes e Elementos De Pontes</f>
        <v>#NAME?</v>
      </c>
      <c r="G7221">
        <v>1</v>
      </c>
      <c r="H7221">
        <v>0</v>
      </c>
      <c r="I7221">
        <f>1</f>
        <v>1</v>
      </c>
    </row>
    <row r="7222" spans="2:9" x14ac:dyDescent="0.25">
      <c r="B7222">
        <v>0</v>
      </c>
      <c r="C7222" s="16" t="s">
        <v>16352</v>
      </c>
      <c r="D7222" s="16"/>
      <c r="E7222">
        <v>6</v>
      </c>
      <c r="F7222" t="e">
        <f>-Torres e pórticos</f>
        <v>#NAME?</v>
      </c>
      <c r="G7222">
        <v>1</v>
      </c>
      <c r="H7222">
        <v>0</v>
      </c>
      <c r="I7222">
        <f>1</f>
        <v>1</v>
      </c>
    </row>
    <row r="7223" spans="2:9" x14ac:dyDescent="0.25">
      <c r="B7223">
        <v>0</v>
      </c>
      <c r="C7223" s="16" t="s">
        <v>16353</v>
      </c>
      <c r="D7223" s="16"/>
      <c r="E7223">
        <v>6</v>
      </c>
      <c r="F7223" t="s">
        <v>7805</v>
      </c>
      <c r="G7223">
        <v>1</v>
      </c>
      <c r="H7223">
        <v>0</v>
      </c>
      <c r="I7223">
        <f>1</f>
        <v>1</v>
      </c>
    </row>
    <row r="7224" spans="2:9" x14ac:dyDescent="0.25">
      <c r="B7224">
        <v>0</v>
      </c>
      <c r="C7224" s="16" t="s">
        <v>16354</v>
      </c>
      <c r="D7224" s="16"/>
      <c r="E7224">
        <v>6</v>
      </c>
      <c r="F7224" t="s">
        <v>7806</v>
      </c>
      <c r="G7224">
        <v>1</v>
      </c>
      <c r="H7224">
        <v>0</v>
      </c>
      <c r="I7224">
        <f>1</f>
        <v>1</v>
      </c>
    </row>
    <row r="7225" spans="2:9" x14ac:dyDescent="0.25">
      <c r="B7225">
        <v>0</v>
      </c>
      <c r="C7225" s="16" t="s">
        <v>16355</v>
      </c>
      <c r="D7225" s="16"/>
      <c r="E7225">
        <v>6</v>
      </c>
      <c r="F7225" t="s">
        <v>7807</v>
      </c>
      <c r="G7225">
        <v>1</v>
      </c>
      <c r="H7225">
        <v>0</v>
      </c>
      <c r="I7225">
        <f>1</f>
        <v>1</v>
      </c>
    </row>
    <row r="7226" spans="2:9" x14ac:dyDescent="0.25">
      <c r="B7226">
        <v>0</v>
      </c>
      <c r="C7226" s="16" t="s">
        <v>16356</v>
      </c>
      <c r="D7226" s="16"/>
      <c r="E7226">
        <v>6</v>
      </c>
      <c r="F7226" t="s">
        <v>4680</v>
      </c>
      <c r="G7226">
        <v>1</v>
      </c>
      <c r="H7226">
        <v>0</v>
      </c>
      <c r="I7226">
        <f>1</f>
        <v>1</v>
      </c>
    </row>
    <row r="7227" spans="2:9" x14ac:dyDescent="0.25">
      <c r="B7227">
        <v>0</v>
      </c>
      <c r="C7227" s="16" t="s">
        <v>16356</v>
      </c>
      <c r="D7227" s="16" t="s">
        <v>19430</v>
      </c>
      <c r="E7227">
        <v>6</v>
      </c>
      <c r="F7227" t="s">
        <v>7808</v>
      </c>
      <c r="G7227">
        <v>1</v>
      </c>
      <c r="H7227">
        <v>0</v>
      </c>
      <c r="I7227">
        <f>1</f>
        <v>1</v>
      </c>
    </row>
    <row r="7228" spans="2:9" x14ac:dyDescent="0.25">
      <c r="B7228">
        <v>0</v>
      </c>
      <c r="C7228" s="16" t="s">
        <v>16357</v>
      </c>
      <c r="D7228" s="16"/>
      <c r="E7228">
        <v>6</v>
      </c>
      <c r="F7228" t="s">
        <v>7809</v>
      </c>
      <c r="G7228">
        <v>1</v>
      </c>
      <c r="H7228">
        <v>0</v>
      </c>
      <c r="I7228">
        <f>1</f>
        <v>1</v>
      </c>
    </row>
    <row r="7229" spans="2:9" x14ac:dyDescent="0.25">
      <c r="B7229">
        <v>0</v>
      </c>
      <c r="C7229" s="16" t="s">
        <v>16357</v>
      </c>
      <c r="D7229" s="16" t="s">
        <v>19430</v>
      </c>
      <c r="E7229">
        <v>6</v>
      </c>
      <c r="F7229" t="s">
        <v>7810</v>
      </c>
      <c r="G7229">
        <v>1</v>
      </c>
      <c r="H7229">
        <v>0</v>
      </c>
      <c r="I7229">
        <f>1</f>
        <v>1</v>
      </c>
    </row>
    <row r="7230" spans="2:9" x14ac:dyDescent="0.25">
      <c r="B7230">
        <v>0</v>
      </c>
      <c r="C7230" s="16" t="s">
        <v>16358</v>
      </c>
      <c r="D7230" s="16"/>
      <c r="E7230">
        <v>6</v>
      </c>
      <c r="F7230" t="s">
        <v>7811</v>
      </c>
      <c r="G7230">
        <v>1</v>
      </c>
      <c r="H7230">
        <v>0</v>
      </c>
      <c r="I7230">
        <f>1</f>
        <v>1</v>
      </c>
    </row>
    <row r="7231" spans="2:9" x14ac:dyDescent="0.25">
      <c r="B7231">
        <v>0</v>
      </c>
      <c r="C7231" s="16" t="s">
        <v>16359</v>
      </c>
      <c r="D7231" s="16"/>
      <c r="E7231">
        <v>6</v>
      </c>
      <c r="F7231" t="s">
        <v>4680</v>
      </c>
      <c r="G7231">
        <v>1</v>
      </c>
      <c r="H7231">
        <v>0</v>
      </c>
      <c r="I7231">
        <f>1</f>
        <v>1</v>
      </c>
    </row>
    <row r="7232" spans="2:9" x14ac:dyDescent="0.25">
      <c r="B7232">
        <v>0</v>
      </c>
      <c r="C7232" s="16" t="s">
        <v>16360</v>
      </c>
      <c r="D7232" s="16"/>
      <c r="E7232">
        <v>6</v>
      </c>
      <c r="F7232" t="s">
        <v>7811</v>
      </c>
      <c r="G7232">
        <v>1</v>
      </c>
      <c r="H7232">
        <v>0</v>
      </c>
      <c r="I7232">
        <f>1</f>
        <v>1</v>
      </c>
    </row>
    <row r="7233" spans="2:9" x14ac:dyDescent="0.25">
      <c r="B7233">
        <v>0</v>
      </c>
      <c r="C7233" s="16" t="s">
        <v>16361</v>
      </c>
      <c r="D7233" s="16"/>
      <c r="E7233">
        <v>6</v>
      </c>
      <c r="F7233" t="s">
        <v>4680</v>
      </c>
      <c r="G7233">
        <v>1</v>
      </c>
      <c r="H7233">
        <v>0</v>
      </c>
      <c r="I7233">
        <f>1</f>
        <v>1</v>
      </c>
    </row>
    <row r="7234" spans="2:9" x14ac:dyDescent="0.25">
      <c r="B7234">
        <v>0</v>
      </c>
      <c r="C7234" s="16" t="s">
        <v>16362</v>
      </c>
      <c r="D7234" s="16"/>
      <c r="E7234">
        <v>6</v>
      </c>
      <c r="F7234" t="s">
        <v>7812</v>
      </c>
      <c r="G7234">
        <v>1</v>
      </c>
      <c r="H7234">
        <v>0</v>
      </c>
      <c r="I7234">
        <f>1</f>
        <v>1</v>
      </c>
    </row>
    <row r="7235" spans="2:9" x14ac:dyDescent="0.25">
      <c r="B7235">
        <v>0</v>
      </c>
      <c r="C7235" s="16" t="s">
        <v>16363</v>
      </c>
      <c r="D7235" s="16"/>
      <c r="E7235">
        <v>6</v>
      </c>
      <c r="F7235" t="s">
        <v>4680</v>
      </c>
      <c r="G7235">
        <v>1</v>
      </c>
      <c r="H7235">
        <v>0</v>
      </c>
      <c r="I7235">
        <f>1</f>
        <v>1</v>
      </c>
    </row>
    <row r="7236" spans="2:9" x14ac:dyDescent="0.25">
      <c r="B7236">
        <v>0</v>
      </c>
      <c r="C7236" s="16" t="s">
        <v>16364</v>
      </c>
      <c r="D7236" s="16"/>
      <c r="E7236">
        <v>6</v>
      </c>
      <c r="F7236" t="s">
        <v>7813</v>
      </c>
      <c r="G7236">
        <v>1</v>
      </c>
      <c r="H7236">
        <v>0</v>
      </c>
      <c r="I7236">
        <f>1</f>
        <v>1</v>
      </c>
    </row>
    <row r="7237" spans="2:9" x14ac:dyDescent="0.25">
      <c r="B7237">
        <v>0</v>
      </c>
      <c r="C7237" s="16" t="s">
        <v>16365</v>
      </c>
      <c r="D7237" s="16"/>
      <c r="E7237">
        <v>6</v>
      </c>
      <c r="F7237" t="s">
        <v>7811</v>
      </c>
      <c r="G7237">
        <v>1</v>
      </c>
      <c r="H7237">
        <v>0</v>
      </c>
      <c r="I7237">
        <f>1</f>
        <v>1</v>
      </c>
    </row>
    <row r="7238" spans="2:9" x14ac:dyDescent="0.25">
      <c r="B7238">
        <v>0</v>
      </c>
      <c r="C7238" s="16" t="s">
        <v>16366</v>
      </c>
      <c r="D7238" s="16"/>
      <c r="E7238">
        <v>6</v>
      </c>
      <c r="F7238" t="s">
        <v>4680</v>
      </c>
      <c r="G7238">
        <v>1</v>
      </c>
      <c r="H7238">
        <v>0</v>
      </c>
      <c r="I7238">
        <f>1</f>
        <v>1</v>
      </c>
    </row>
    <row r="7239" spans="2:9" x14ac:dyDescent="0.25">
      <c r="B7239">
        <v>0</v>
      </c>
      <c r="C7239" s="16" t="s">
        <v>16367</v>
      </c>
      <c r="D7239" s="16"/>
      <c r="E7239">
        <v>6</v>
      </c>
      <c r="F7239" t="s">
        <v>7814</v>
      </c>
      <c r="G7239">
        <v>1</v>
      </c>
      <c r="H7239">
        <v>0</v>
      </c>
      <c r="I7239">
        <f>1</f>
        <v>1</v>
      </c>
    </row>
    <row r="7240" spans="2:9" x14ac:dyDescent="0.25">
      <c r="B7240">
        <v>0</v>
      </c>
      <c r="C7240" s="16" t="s">
        <v>16368</v>
      </c>
      <c r="D7240" s="16"/>
      <c r="E7240">
        <v>6</v>
      </c>
      <c r="F7240" t="s">
        <v>7815</v>
      </c>
      <c r="G7240">
        <v>1</v>
      </c>
      <c r="H7240">
        <v>0</v>
      </c>
      <c r="I7240">
        <f>1</f>
        <v>1</v>
      </c>
    </row>
    <row r="7241" spans="2:9" x14ac:dyDescent="0.25">
      <c r="B7241">
        <v>0</v>
      </c>
      <c r="C7241" s="16" t="s">
        <v>16369</v>
      </c>
      <c r="D7241" s="16"/>
      <c r="E7241">
        <v>6</v>
      </c>
      <c r="F7241" t="s">
        <v>4680</v>
      </c>
      <c r="G7241">
        <v>1</v>
      </c>
      <c r="H7241">
        <v>0</v>
      </c>
      <c r="I7241">
        <f>1</f>
        <v>1</v>
      </c>
    </row>
    <row r="7242" spans="2:9" x14ac:dyDescent="0.25">
      <c r="B7242">
        <v>0</v>
      </c>
      <c r="C7242" s="16" t="s">
        <v>16369</v>
      </c>
      <c r="D7242" s="16" t="s">
        <v>19430</v>
      </c>
      <c r="E7242">
        <v>6</v>
      </c>
      <c r="F7242" t="s">
        <v>7816</v>
      </c>
      <c r="G7242">
        <v>1</v>
      </c>
      <c r="H7242">
        <v>0</v>
      </c>
      <c r="I7242">
        <f>1</f>
        <v>1</v>
      </c>
    </row>
    <row r="7243" spans="2:9" x14ac:dyDescent="0.25">
      <c r="B7243">
        <v>0</v>
      </c>
      <c r="C7243" s="16" t="s">
        <v>16370</v>
      </c>
      <c r="D7243" s="16"/>
      <c r="E7243">
        <v>6</v>
      </c>
      <c r="F7243" t="e">
        <f>-outros</f>
        <v>#NAME?</v>
      </c>
      <c r="G7243">
        <v>1</v>
      </c>
      <c r="H7243">
        <v>0</v>
      </c>
      <c r="I7243">
        <f>1</f>
        <v>1</v>
      </c>
    </row>
    <row r="7244" spans="2:9" x14ac:dyDescent="0.25">
      <c r="B7244">
        <v>0</v>
      </c>
      <c r="C7244" s="16" t="s">
        <v>16371</v>
      </c>
      <c r="D7244" s="16"/>
      <c r="E7244">
        <v>6</v>
      </c>
      <c r="F7244" t="s">
        <v>7817</v>
      </c>
      <c r="G7244">
        <v>1</v>
      </c>
      <c r="H7244">
        <v>0</v>
      </c>
      <c r="I7244">
        <f>1</f>
        <v>1</v>
      </c>
    </row>
    <row r="7245" spans="2:9" x14ac:dyDescent="0.25">
      <c r="B7245">
        <v>0</v>
      </c>
      <c r="C7245" s="16" t="s">
        <v>16372</v>
      </c>
      <c r="D7245" s="16"/>
      <c r="E7245">
        <v>6</v>
      </c>
      <c r="F7245" t="s">
        <v>7818</v>
      </c>
      <c r="G7245">
        <v>1</v>
      </c>
      <c r="H7245">
        <v>0</v>
      </c>
      <c r="I7245">
        <f>1</f>
        <v>1</v>
      </c>
    </row>
    <row r="7246" spans="2:9" x14ac:dyDescent="0.25">
      <c r="B7246">
        <v>0</v>
      </c>
      <c r="C7246" s="16" t="s">
        <v>16373</v>
      </c>
      <c r="D7246" s="16"/>
      <c r="E7246">
        <v>6</v>
      </c>
      <c r="F7246" t="s">
        <v>7819</v>
      </c>
      <c r="G7246">
        <v>1</v>
      </c>
      <c r="H7246">
        <v>0</v>
      </c>
      <c r="I7246">
        <f>1</f>
        <v>1</v>
      </c>
    </row>
    <row r="7247" spans="2:9" x14ac:dyDescent="0.25">
      <c r="B7247">
        <v>0</v>
      </c>
      <c r="C7247" s="16" t="s">
        <v>16374</v>
      </c>
      <c r="D7247" s="16"/>
      <c r="E7247">
        <v>6</v>
      </c>
      <c r="F7247" t="e">
        <f>--Outras</f>
        <v>#NAME?</v>
      </c>
      <c r="G7247">
        <v>1</v>
      </c>
      <c r="H7247">
        <v>0</v>
      </c>
      <c r="I7247">
        <f>1</f>
        <v>1</v>
      </c>
    </row>
    <row r="7248" spans="2:9" x14ac:dyDescent="0.25">
      <c r="B7248">
        <v>0</v>
      </c>
      <c r="C7248" s="16" t="s">
        <v>16375</v>
      </c>
      <c r="D7248" s="16"/>
      <c r="E7248">
        <v>6</v>
      </c>
      <c r="F7248" t="s">
        <v>7820</v>
      </c>
      <c r="G7248">
        <v>1</v>
      </c>
      <c r="H7248">
        <v>0</v>
      </c>
      <c r="I7248">
        <f>1</f>
        <v>1</v>
      </c>
    </row>
    <row r="7249" spans="2:9" x14ac:dyDescent="0.25">
      <c r="B7249">
        <v>0</v>
      </c>
      <c r="C7249" s="16" t="s">
        <v>16375</v>
      </c>
      <c r="D7249" s="16" t="s">
        <v>19430</v>
      </c>
      <c r="E7249">
        <v>6</v>
      </c>
      <c r="F7249" t="s">
        <v>7821</v>
      </c>
      <c r="G7249">
        <v>1</v>
      </c>
      <c r="H7249">
        <v>0</v>
      </c>
      <c r="I7249">
        <f>1</f>
        <v>1</v>
      </c>
    </row>
    <row r="7250" spans="2:9" x14ac:dyDescent="0.25">
      <c r="B7250">
        <v>0</v>
      </c>
      <c r="C7250" s="16" t="s">
        <v>16376</v>
      </c>
      <c r="D7250" s="16"/>
      <c r="E7250">
        <v>6</v>
      </c>
      <c r="F7250" t="e">
        <f>--Galvanizadas</f>
        <v>#NAME?</v>
      </c>
      <c r="G7250">
        <v>1</v>
      </c>
      <c r="H7250">
        <v>0</v>
      </c>
      <c r="I7250">
        <f>1</f>
        <v>1</v>
      </c>
    </row>
    <row r="7251" spans="2:9" x14ac:dyDescent="0.25">
      <c r="B7251">
        <v>0</v>
      </c>
      <c r="C7251" s="16" t="s">
        <v>16377</v>
      </c>
      <c r="D7251" s="16"/>
      <c r="E7251">
        <v>6</v>
      </c>
      <c r="F7251" t="e">
        <f>--Outras</f>
        <v>#NAME?</v>
      </c>
      <c r="G7251">
        <v>1</v>
      </c>
      <c r="H7251">
        <v>0</v>
      </c>
      <c r="I7251">
        <f>1</f>
        <v>1</v>
      </c>
    </row>
    <row r="7252" spans="2:9" x14ac:dyDescent="0.25">
      <c r="B7252">
        <v>0</v>
      </c>
      <c r="C7252" s="16" t="s">
        <v>16377</v>
      </c>
      <c r="D7252" s="16" t="s">
        <v>19430</v>
      </c>
      <c r="E7252">
        <v>6</v>
      </c>
      <c r="F7252" t="s">
        <v>7821</v>
      </c>
      <c r="G7252">
        <v>1</v>
      </c>
      <c r="H7252">
        <v>0</v>
      </c>
      <c r="I7252">
        <f>1</f>
        <v>1</v>
      </c>
    </row>
    <row r="7253" spans="2:9" x14ac:dyDescent="0.25">
      <c r="B7253">
        <v>0</v>
      </c>
      <c r="C7253" s="16" t="s">
        <v>16378</v>
      </c>
      <c r="D7253" s="16"/>
      <c r="E7253">
        <v>6</v>
      </c>
      <c r="F7253" t="e">
        <f>--Galvanizadas</f>
        <v>#NAME?</v>
      </c>
      <c r="G7253">
        <v>1</v>
      </c>
      <c r="H7253">
        <v>0</v>
      </c>
      <c r="I7253">
        <f>1</f>
        <v>1</v>
      </c>
    </row>
    <row r="7254" spans="2:9" x14ac:dyDescent="0.25">
      <c r="B7254">
        <v>0</v>
      </c>
      <c r="C7254" s="16" t="s">
        <v>16379</v>
      </c>
      <c r="D7254" s="16"/>
      <c r="E7254">
        <v>6</v>
      </c>
      <c r="F7254" t="e">
        <f>--Revestidas De plásticos</f>
        <v>#NAME?</v>
      </c>
      <c r="G7254">
        <v>1</v>
      </c>
      <c r="H7254">
        <v>0</v>
      </c>
      <c r="I7254">
        <f>1</f>
        <v>1</v>
      </c>
    </row>
    <row r="7255" spans="2:9" x14ac:dyDescent="0.25">
      <c r="B7255">
        <v>0</v>
      </c>
      <c r="C7255" s="16" t="s">
        <v>16380</v>
      </c>
      <c r="D7255" s="16"/>
      <c r="E7255">
        <v>6</v>
      </c>
      <c r="F7255" t="e">
        <f>--Outras</f>
        <v>#NAME?</v>
      </c>
      <c r="G7255">
        <v>1</v>
      </c>
      <c r="H7255">
        <v>0</v>
      </c>
      <c r="I7255">
        <f>1</f>
        <v>1</v>
      </c>
    </row>
    <row r="7256" spans="2:9" x14ac:dyDescent="0.25">
      <c r="B7256">
        <v>0</v>
      </c>
      <c r="C7256" s="16" t="s">
        <v>16381</v>
      </c>
      <c r="D7256" s="16"/>
      <c r="E7256">
        <v>6</v>
      </c>
      <c r="F7256" t="s">
        <v>7822</v>
      </c>
      <c r="G7256">
        <v>1</v>
      </c>
      <c r="H7256">
        <v>0</v>
      </c>
      <c r="I7256">
        <f>1</f>
        <v>1</v>
      </c>
    </row>
    <row r="7257" spans="2:9" x14ac:dyDescent="0.25">
      <c r="B7257">
        <v>0</v>
      </c>
      <c r="C7257" s="16" t="s">
        <v>16382</v>
      </c>
      <c r="D7257" s="16"/>
      <c r="E7257">
        <v>6</v>
      </c>
      <c r="F7257" t="e">
        <f>--Correntes De rolos</f>
        <v>#NAME?</v>
      </c>
      <c r="G7257">
        <v>1</v>
      </c>
      <c r="H7257">
        <v>0</v>
      </c>
      <c r="I7257">
        <f>1</f>
        <v>1</v>
      </c>
    </row>
    <row r="7258" spans="2:9" x14ac:dyDescent="0.25">
      <c r="B7258">
        <v>0</v>
      </c>
      <c r="C7258" s="16" t="s">
        <v>16383</v>
      </c>
      <c r="D7258" s="16"/>
      <c r="E7258">
        <v>6</v>
      </c>
      <c r="F7258" t="s">
        <v>7126</v>
      </c>
      <c r="G7258">
        <v>1</v>
      </c>
      <c r="H7258">
        <v>0</v>
      </c>
      <c r="I7258">
        <f>1</f>
        <v>1</v>
      </c>
    </row>
    <row r="7259" spans="2:9" x14ac:dyDescent="0.25">
      <c r="B7259">
        <v>0</v>
      </c>
      <c r="C7259" s="16" t="s">
        <v>16384</v>
      </c>
      <c r="D7259" s="16"/>
      <c r="E7259">
        <v>6</v>
      </c>
      <c r="F7259" t="s">
        <v>4690</v>
      </c>
      <c r="G7259">
        <v>1</v>
      </c>
      <c r="H7259">
        <v>0</v>
      </c>
      <c r="I7259">
        <f>1</f>
        <v>1</v>
      </c>
    </row>
    <row r="7260" spans="2:9" x14ac:dyDescent="0.25">
      <c r="B7260">
        <v>0</v>
      </c>
      <c r="C7260" s="16" t="s">
        <v>16385</v>
      </c>
      <c r="D7260" s="16"/>
      <c r="E7260">
        <v>6</v>
      </c>
      <c r="F7260" t="e">
        <f>--Partes</f>
        <v>#NAME?</v>
      </c>
      <c r="G7260">
        <v>1</v>
      </c>
      <c r="H7260">
        <v>0</v>
      </c>
      <c r="I7260">
        <f>1</f>
        <v>1</v>
      </c>
    </row>
    <row r="7261" spans="2:9" x14ac:dyDescent="0.25">
      <c r="B7261">
        <v>0</v>
      </c>
      <c r="C7261" s="16" t="s">
        <v>16386</v>
      </c>
      <c r="D7261" s="16"/>
      <c r="E7261">
        <v>6</v>
      </c>
      <c r="F7261" t="e">
        <f>-Correntes antiderrapantes</f>
        <v>#NAME?</v>
      </c>
      <c r="G7261">
        <v>1</v>
      </c>
      <c r="H7261">
        <v>0</v>
      </c>
      <c r="I7261">
        <f>1</f>
        <v>1</v>
      </c>
    </row>
    <row r="7262" spans="2:9" x14ac:dyDescent="0.25">
      <c r="B7262">
        <v>0</v>
      </c>
      <c r="C7262" s="16" t="s">
        <v>16387</v>
      </c>
      <c r="D7262" s="16"/>
      <c r="E7262">
        <v>6</v>
      </c>
      <c r="F7262" t="e">
        <f>--Correntes De elos Com suporte</f>
        <v>#NAME?</v>
      </c>
      <c r="G7262">
        <v>1</v>
      </c>
      <c r="H7262">
        <v>0</v>
      </c>
      <c r="I7262">
        <f>1</f>
        <v>1</v>
      </c>
    </row>
    <row r="7263" spans="2:9" x14ac:dyDescent="0.25">
      <c r="B7263">
        <v>0</v>
      </c>
      <c r="C7263" s="16" t="s">
        <v>16388</v>
      </c>
      <c r="D7263" s="16"/>
      <c r="E7263">
        <v>6</v>
      </c>
      <c r="F7263" t="s">
        <v>7823</v>
      </c>
      <c r="G7263">
        <v>1</v>
      </c>
      <c r="H7263">
        <v>0</v>
      </c>
      <c r="I7263">
        <f>1</f>
        <v>1</v>
      </c>
    </row>
    <row r="7264" spans="2:9" x14ac:dyDescent="0.25">
      <c r="B7264">
        <v>0</v>
      </c>
      <c r="C7264" s="16" t="s">
        <v>16389</v>
      </c>
      <c r="D7264" s="16"/>
      <c r="E7264">
        <v>6</v>
      </c>
      <c r="F7264" t="e">
        <f>--Outras</f>
        <v>#NAME?</v>
      </c>
      <c r="G7264">
        <v>1</v>
      </c>
      <c r="H7264">
        <v>0</v>
      </c>
      <c r="I7264">
        <f>1</f>
        <v>1</v>
      </c>
    </row>
    <row r="7265" spans="2:9" x14ac:dyDescent="0.25">
      <c r="B7265">
        <v>0</v>
      </c>
      <c r="C7265" s="16" t="s">
        <v>16390</v>
      </c>
      <c r="D7265" s="16"/>
      <c r="E7265">
        <v>6</v>
      </c>
      <c r="F7265" t="e">
        <f>-Outras Partes</f>
        <v>#NAME?</v>
      </c>
      <c r="G7265">
        <v>1</v>
      </c>
      <c r="H7265">
        <v>0</v>
      </c>
      <c r="I7265">
        <f>1</f>
        <v>1</v>
      </c>
    </row>
    <row r="7266" spans="2:9" x14ac:dyDescent="0.25">
      <c r="B7266">
        <v>0</v>
      </c>
      <c r="C7266" s="16" t="s">
        <v>16391</v>
      </c>
      <c r="D7266" s="16"/>
      <c r="E7266">
        <v>6</v>
      </c>
      <c r="F7266" t="s">
        <v>7824</v>
      </c>
      <c r="G7266">
        <v>1</v>
      </c>
      <c r="H7266">
        <v>0</v>
      </c>
      <c r="I7266">
        <f>1</f>
        <v>1</v>
      </c>
    </row>
    <row r="7267" spans="2:9" x14ac:dyDescent="0.25">
      <c r="B7267">
        <v>0</v>
      </c>
      <c r="C7267" s="16" t="s">
        <v>16392</v>
      </c>
      <c r="D7267" s="16"/>
      <c r="E7267">
        <v>6</v>
      </c>
      <c r="F7267" t="s">
        <v>7825</v>
      </c>
      <c r="G7267">
        <v>1</v>
      </c>
      <c r="H7267">
        <v>0</v>
      </c>
      <c r="I7267">
        <f>1</f>
        <v>1</v>
      </c>
    </row>
    <row r="7268" spans="2:9" x14ac:dyDescent="0.25">
      <c r="B7268">
        <v>0</v>
      </c>
      <c r="C7268" s="16" t="s">
        <v>16393</v>
      </c>
      <c r="D7268" s="16"/>
      <c r="E7268">
        <v>6</v>
      </c>
      <c r="F7268" t="s">
        <v>7826</v>
      </c>
      <c r="G7268">
        <v>1</v>
      </c>
      <c r="H7268">
        <v>0</v>
      </c>
      <c r="I7268">
        <f>1</f>
        <v>1</v>
      </c>
    </row>
    <row r="7269" spans="2:9" x14ac:dyDescent="0.25">
      <c r="B7269">
        <v>0</v>
      </c>
      <c r="C7269" s="16" t="s">
        <v>16394</v>
      </c>
      <c r="D7269" s="16"/>
      <c r="E7269">
        <v>6</v>
      </c>
      <c r="F7269" t="s">
        <v>7827</v>
      </c>
      <c r="G7269">
        <v>1</v>
      </c>
      <c r="H7269">
        <v>0</v>
      </c>
      <c r="I7269">
        <f>1</f>
        <v>1</v>
      </c>
    </row>
    <row r="7270" spans="2:9" x14ac:dyDescent="0.25">
      <c r="B7270">
        <v>0</v>
      </c>
      <c r="C7270" s="16" t="s">
        <v>16395</v>
      </c>
      <c r="D7270" s="16"/>
      <c r="E7270">
        <v>6</v>
      </c>
      <c r="F7270" t="s">
        <v>4680</v>
      </c>
      <c r="G7270">
        <v>1</v>
      </c>
      <c r="H7270">
        <v>0</v>
      </c>
      <c r="I7270">
        <f>1</f>
        <v>1</v>
      </c>
    </row>
    <row r="7271" spans="2:9" x14ac:dyDescent="0.25">
      <c r="B7271">
        <v>0</v>
      </c>
      <c r="C7271" s="16" t="s">
        <v>16396</v>
      </c>
      <c r="D7271" s="16"/>
      <c r="E7271">
        <v>6</v>
      </c>
      <c r="F7271" t="e">
        <f>--Tira-fundos</f>
        <v>#NAME?</v>
      </c>
      <c r="G7271">
        <v>1</v>
      </c>
      <c r="H7271">
        <v>0</v>
      </c>
      <c r="I7271">
        <f>1</f>
        <v>1</v>
      </c>
    </row>
    <row r="7272" spans="2:9" x14ac:dyDescent="0.25">
      <c r="B7272">
        <v>0</v>
      </c>
      <c r="C7272" s="16" t="s">
        <v>16397</v>
      </c>
      <c r="D7272" s="16"/>
      <c r="E7272">
        <v>6</v>
      </c>
      <c r="F7272" t="e">
        <f>--outros parafusos para madeira</f>
        <v>#NAME?</v>
      </c>
      <c r="G7272">
        <v>1</v>
      </c>
      <c r="H7272">
        <v>0</v>
      </c>
      <c r="I7272">
        <f>1</f>
        <v>1</v>
      </c>
    </row>
    <row r="7273" spans="2:9" x14ac:dyDescent="0.25">
      <c r="B7273">
        <v>0</v>
      </c>
      <c r="C7273" s="16" t="s">
        <v>16398</v>
      </c>
      <c r="D7273" s="16"/>
      <c r="E7273">
        <v>6</v>
      </c>
      <c r="F7273" t="e">
        <f>--Ganchos e armelas</f>
        <v>#NAME?</v>
      </c>
      <c r="G7273">
        <v>1</v>
      </c>
      <c r="H7273">
        <v>0</v>
      </c>
      <c r="I7273">
        <f>1</f>
        <v>1</v>
      </c>
    </row>
    <row r="7274" spans="2:9" x14ac:dyDescent="0.25">
      <c r="B7274">
        <v>0</v>
      </c>
      <c r="C7274" s="16" t="s">
        <v>16399</v>
      </c>
      <c r="D7274" s="16"/>
      <c r="E7274">
        <v>6</v>
      </c>
      <c r="F7274" t="e">
        <f>--parafusos perfurantes</f>
        <v>#NAME?</v>
      </c>
      <c r="G7274">
        <v>1</v>
      </c>
      <c r="H7274">
        <v>0</v>
      </c>
      <c r="I7274">
        <f>1</f>
        <v>1</v>
      </c>
    </row>
    <row r="7275" spans="2:9" x14ac:dyDescent="0.25">
      <c r="B7275">
        <v>0</v>
      </c>
      <c r="C7275" s="16" t="s">
        <v>16400</v>
      </c>
      <c r="D7275" s="16"/>
      <c r="E7275">
        <v>6</v>
      </c>
      <c r="F7275" t="s">
        <v>7828</v>
      </c>
      <c r="G7275">
        <v>1</v>
      </c>
      <c r="H7275">
        <v>0</v>
      </c>
      <c r="I7275">
        <f>1</f>
        <v>1</v>
      </c>
    </row>
    <row r="7276" spans="2:9" x14ac:dyDescent="0.25">
      <c r="B7276">
        <v>0</v>
      </c>
      <c r="C7276" s="16" t="s">
        <v>16401</v>
      </c>
      <c r="D7276" s="16"/>
      <c r="E7276">
        <v>6</v>
      </c>
      <c r="F7276" t="e">
        <f>--Porcas</f>
        <v>#NAME?</v>
      </c>
      <c r="G7276">
        <v>1</v>
      </c>
      <c r="H7276">
        <v>0</v>
      </c>
      <c r="I7276">
        <f>1</f>
        <v>1</v>
      </c>
    </row>
    <row r="7277" spans="2:9" x14ac:dyDescent="0.25">
      <c r="B7277">
        <v>0</v>
      </c>
      <c r="C7277" s="16" t="s">
        <v>16402</v>
      </c>
      <c r="D7277" s="16"/>
      <c r="E7277">
        <v>6</v>
      </c>
      <c r="F7277" t="e">
        <f>--outros</f>
        <v>#NAME?</v>
      </c>
      <c r="G7277">
        <v>1</v>
      </c>
      <c r="H7277">
        <v>0</v>
      </c>
      <c r="I7277">
        <f>1</f>
        <v>1</v>
      </c>
    </row>
    <row r="7278" spans="2:9" x14ac:dyDescent="0.25">
      <c r="B7278">
        <v>0</v>
      </c>
      <c r="C7278" s="16" t="s">
        <v>16403</v>
      </c>
      <c r="D7278" s="16"/>
      <c r="E7278">
        <v>6</v>
      </c>
      <c r="F7278" t="e">
        <f>--Arruelas De pressão e Outras Arruelas De segurança</f>
        <v>#NAME?</v>
      </c>
      <c r="G7278">
        <v>1</v>
      </c>
      <c r="H7278">
        <v>0</v>
      </c>
      <c r="I7278">
        <f>1</f>
        <v>1</v>
      </c>
    </row>
    <row r="7279" spans="2:9" x14ac:dyDescent="0.25">
      <c r="B7279">
        <v>0</v>
      </c>
      <c r="C7279" s="16" t="s">
        <v>16404</v>
      </c>
      <c r="D7279" s="16"/>
      <c r="E7279">
        <v>6</v>
      </c>
      <c r="F7279" t="e">
        <f>--Outras Arruelas</f>
        <v>#NAME?</v>
      </c>
      <c r="G7279">
        <v>1</v>
      </c>
      <c r="H7279">
        <v>0</v>
      </c>
      <c r="I7279">
        <f>1</f>
        <v>1</v>
      </c>
    </row>
    <row r="7280" spans="2:9" x14ac:dyDescent="0.25">
      <c r="B7280">
        <v>0</v>
      </c>
      <c r="C7280" s="16" t="s">
        <v>16405</v>
      </c>
      <c r="D7280" s="16"/>
      <c r="E7280">
        <v>6</v>
      </c>
      <c r="F7280" t="e">
        <f>--Rebites</f>
        <v>#NAME?</v>
      </c>
      <c r="G7280">
        <v>1</v>
      </c>
      <c r="H7280">
        <v>0</v>
      </c>
      <c r="I7280">
        <f>1</f>
        <v>1</v>
      </c>
    </row>
    <row r="7281" spans="2:9" x14ac:dyDescent="0.25">
      <c r="B7281">
        <v>0</v>
      </c>
      <c r="C7281" s="16" t="s">
        <v>16406</v>
      </c>
      <c r="D7281" s="16"/>
      <c r="E7281">
        <v>6</v>
      </c>
      <c r="F7281" t="s">
        <v>7829</v>
      </c>
      <c r="G7281">
        <v>1</v>
      </c>
      <c r="H7281">
        <v>0</v>
      </c>
      <c r="I7281">
        <f>1</f>
        <v>1</v>
      </c>
    </row>
    <row r="7282" spans="2:9" x14ac:dyDescent="0.25">
      <c r="B7282">
        <v>0</v>
      </c>
      <c r="C7282" s="16" t="s">
        <v>16407</v>
      </c>
      <c r="D7282" s="16"/>
      <c r="E7282">
        <v>6</v>
      </c>
      <c r="F7282" t="e">
        <f>--outros</f>
        <v>#NAME?</v>
      </c>
      <c r="G7282">
        <v>1</v>
      </c>
      <c r="H7282">
        <v>0</v>
      </c>
      <c r="I7282">
        <f>1</f>
        <v>1</v>
      </c>
    </row>
    <row r="7283" spans="2:9" x14ac:dyDescent="0.25">
      <c r="B7283">
        <v>0</v>
      </c>
      <c r="C7283" s="16" t="s">
        <v>16408</v>
      </c>
      <c r="D7283" s="16"/>
      <c r="E7283">
        <v>6</v>
      </c>
      <c r="F7283" t="e">
        <f>-Alfinetes De segurança e outros Alfinetes</f>
        <v>#NAME?</v>
      </c>
      <c r="G7283">
        <v>1</v>
      </c>
      <c r="H7283">
        <v>0</v>
      </c>
      <c r="I7283">
        <f>1</f>
        <v>1</v>
      </c>
    </row>
    <row r="7284" spans="2:9" x14ac:dyDescent="0.25">
      <c r="B7284">
        <v>0</v>
      </c>
      <c r="C7284" s="16" t="s">
        <v>16409</v>
      </c>
      <c r="D7284" s="16"/>
      <c r="E7284">
        <v>6</v>
      </c>
      <c r="F7284" t="e">
        <f>-outros</f>
        <v>#NAME?</v>
      </c>
      <c r="G7284">
        <v>1</v>
      </c>
      <c r="H7284">
        <v>0</v>
      </c>
      <c r="I7284">
        <f>1</f>
        <v>1</v>
      </c>
    </row>
    <row r="7285" spans="2:9" x14ac:dyDescent="0.25">
      <c r="B7285">
        <v>0</v>
      </c>
      <c r="C7285" s="16" t="s">
        <v>16410</v>
      </c>
      <c r="D7285" s="16"/>
      <c r="E7285">
        <v>6</v>
      </c>
      <c r="F7285" t="e">
        <f>-Molas De folhas e suas folhas</f>
        <v>#NAME?</v>
      </c>
      <c r="G7285">
        <v>1</v>
      </c>
      <c r="H7285">
        <v>0</v>
      </c>
      <c r="I7285">
        <f>1</f>
        <v>1</v>
      </c>
    </row>
    <row r="7286" spans="2:9" x14ac:dyDescent="0.25">
      <c r="B7286">
        <v>0</v>
      </c>
      <c r="C7286" s="16" t="s">
        <v>16410</v>
      </c>
      <c r="D7286" s="16" t="s">
        <v>19430</v>
      </c>
      <c r="E7286">
        <v>6</v>
      </c>
      <c r="F7286" t="s">
        <v>7830</v>
      </c>
      <c r="G7286">
        <v>1</v>
      </c>
      <c r="H7286">
        <v>0</v>
      </c>
      <c r="I7286">
        <f>1</f>
        <v>1</v>
      </c>
    </row>
    <row r="7287" spans="2:9" x14ac:dyDescent="0.25">
      <c r="B7287">
        <v>0</v>
      </c>
      <c r="C7287" s="16" t="s">
        <v>16411</v>
      </c>
      <c r="D7287" s="16"/>
      <c r="E7287">
        <v>6</v>
      </c>
      <c r="F7287" t="s">
        <v>7831</v>
      </c>
      <c r="G7287">
        <v>1</v>
      </c>
      <c r="H7287">
        <v>0</v>
      </c>
      <c r="I7287">
        <f>1</f>
        <v>1</v>
      </c>
    </row>
    <row r="7288" spans="2:9" x14ac:dyDescent="0.25">
      <c r="B7288">
        <v>0</v>
      </c>
      <c r="C7288" s="16" t="s">
        <v>16412</v>
      </c>
      <c r="D7288" s="16"/>
      <c r="E7288">
        <v>6</v>
      </c>
      <c r="F7288" t="s">
        <v>4690</v>
      </c>
      <c r="G7288">
        <v>1</v>
      </c>
      <c r="H7288">
        <v>0</v>
      </c>
      <c r="I7288">
        <f>1</f>
        <v>1</v>
      </c>
    </row>
    <row r="7289" spans="2:9" x14ac:dyDescent="0.25">
      <c r="B7289">
        <v>0</v>
      </c>
      <c r="C7289" s="16" t="s">
        <v>16413</v>
      </c>
      <c r="D7289" s="16"/>
      <c r="E7289">
        <v>6</v>
      </c>
      <c r="F7289" t="e">
        <f>-Outras</f>
        <v>#NAME?</v>
      </c>
      <c r="G7289">
        <v>1</v>
      </c>
      <c r="H7289">
        <v>0</v>
      </c>
      <c r="I7289">
        <f>1</f>
        <v>1</v>
      </c>
    </row>
    <row r="7290" spans="2:9" x14ac:dyDescent="0.25">
      <c r="B7290">
        <v>0</v>
      </c>
      <c r="C7290" s="16" t="s">
        <v>16414</v>
      </c>
      <c r="D7290" s="16"/>
      <c r="E7290">
        <v>6</v>
      </c>
      <c r="F7290" t="s">
        <v>7832</v>
      </c>
      <c r="G7290">
        <v>1</v>
      </c>
      <c r="H7290">
        <v>0</v>
      </c>
      <c r="I7290">
        <f>1</f>
        <v>1</v>
      </c>
    </row>
    <row r="7291" spans="2:9" x14ac:dyDescent="0.25">
      <c r="B7291">
        <v>0</v>
      </c>
      <c r="C7291" s="16" t="s">
        <v>16414</v>
      </c>
      <c r="D7291" s="16" t="s">
        <v>19430</v>
      </c>
      <c r="E7291">
        <v>6</v>
      </c>
      <c r="F7291" t="s">
        <v>7833</v>
      </c>
      <c r="G7291">
        <v>1</v>
      </c>
      <c r="H7291">
        <v>0</v>
      </c>
      <c r="I7291">
        <f>1</f>
        <v>1</v>
      </c>
    </row>
    <row r="7292" spans="2:9" x14ac:dyDescent="0.25">
      <c r="B7292">
        <v>0</v>
      </c>
      <c r="C7292" s="16" t="s">
        <v>16415</v>
      </c>
      <c r="D7292" s="16"/>
      <c r="E7292">
        <v>6</v>
      </c>
      <c r="F7292" t="e">
        <f>--a combustíveis líquidos</f>
        <v>#NAME?</v>
      </c>
      <c r="G7292">
        <v>1</v>
      </c>
      <c r="H7292">
        <v>0</v>
      </c>
      <c r="I7292">
        <f>1</f>
        <v>1</v>
      </c>
    </row>
    <row r="7293" spans="2:9" x14ac:dyDescent="0.25">
      <c r="B7293">
        <v>0</v>
      </c>
      <c r="C7293" s="16" t="s">
        <v>16415</v>
      </c>
      <c r="D7293" s="16" t="s">
        <v>19430</v>
      </c>
      <c r="E7293">
        <v>6</v>
      </c>
      <c r="F7293" t="s">
        <v>7833</v>
      </c>
      <c r="G7293">
        <v>1</v>
      </c>
      <c r="H7293">
        <v>0</v>
      </c>
      <c r="I7293">
        <f>1</f>
        <v>1</v>
      </c>
    </row>
    <row r="7294" spans="2:9" x14ac:dyDescent="0.25">
      <c r="B7294">
        <v>0</v>
      </c>
      <c r="C7294" s="16" t="s">
        <v>16416</v>
      </c>
      <c r="D7294" s="16"/>
      <c r="E7294">
        <v>6</v>
      </c>
      <c r="F7294" t="s">
        <v>7834</v>
      </c>
      <c r="G7294">
        <v>1</v>
      </c>
      <c r="H7294">
        <v>0</v>
      </c>
      <c r="I7294">
        <f>1</f>
        <v>1</v>
      </c>
    </row>
    <row r="7295" spans="2:9" x14ac:dyDescent="0.25">
      <c r="B7295">
        <v>0</v>
      </c>
      <c r="C7295" s="16" t="s">
        <v>16416</v>
      </c>
      <c r="D7295" s="16" t="s">
        <v>19430</v>
      </c>
      <c r="E7295">
        <v>6</v>
      </c>
      <c r="F7295" t="s">
        <v>7833</v>
      </c>
      <c r="G7295">
        <v>1</v>
      </c>
      <c r="H7295">
        <v>0</v>
      </c>
      <c r="I7295">
        <f>1</f>
        <v>1</v>
      </c>
    </row>
    <row r="7296" spans="2:9" x14ac:dyDescent="0.25">
      <c r="B7296">
        <v>0</v>
      </c>
      <c r="C7296" s="16" t="s">
        <v>16417</v>
      </c>
      <c r="D7296" s="16"/>
      <c r="E7296">
        <v>6</v>
      </c>
      <c r="F7296" t="s">
        <v>7832</v>
      </c>
      <c r="G7296">
        <v>1</v>
      </c>
      <c r="H7296">
        <v>0</v>
      </c>
      <c r="I7296">
        <f>1</f>
        <v>1</v>
      </c>
    </row>
    <row r="7297" spans="2:9" x14ac:dyDescent="0.25">
      <c r="B7297">
        <v>0</v>
      </c>
      <c r="C7297" s="16" t="s">
        <v>16418</v>
      </c>
      <c r="D7297" s="16"/>
      <c r="E7297">
        <v>6</v>
      </c>
      <c r="F7297" t="e">
        <f>--a combustíveis líquidos</f>
        <v>#NAME?</v>
      </c>
      <c r="G7297">
        <v>1</v>
      </c>
      <c r="H7297">
        <v>0</v>
      </c>
      <c r="I7297">
        <f>1</f>
        <v>1</v>
      </c>
    </row>
    <row r="7298" spans="2:9" x14ac:dyDescent="0.25">
      <c r="B7298">
        <v>0</v>
      </c>
      <c r="C7298" s="16" t="s">
        <v>16419</v>
      </c>
      <c r="D7298" s="16"/>
      <c r="E7298">
        <v>6</v>
      </c>
      <c r="F7298" t="s">
        <v>7834</v>
      </c>
      <c r="G7298">
        <v>1</v>
      </c>
      <c r="H7298">
        <v>0</v>
      </c>
      <c r="I7298">
        <f>1</f>
        <v>1</v>
      </c>
    </row>
    <row r="7299" spans="2:9" x14ac:dyDescent="0.25">
      <c r="B7299">
        <v>0</v>
      </c>
      <c r="C7299" s="16" t="s">
        <v>16420</v>
      </c>
      <c r="D7299" s="16"/>
      <c r="E7299">
        <v>6</v>
      </c>
      <c r="F7299" t="e">
        <f>-Partes</f>
        <v>#NAME?</v>
      </c>
      <c r="G7299">
        <v>1</v>
      </c>
      <c r="H7299">
        <v>0</v>
      </c>
      <c r="I7299">
        <f>1</f>
        <v>1</v>
      </c>
    </row>
    <row r="7300" spans="2:9" x14ac:dyDescent="0.25">
      <c r="B7300">
        <v>0</v>
      </c>
      <c r="C7300" s="16" t="s">
        <v>16420</v>
      </c>
      <c r="D7300" s="16" t="s">
        <v>19430</v>
      </c>
      <c r="E7300">
        <v>6</v>
      </c>
      <c r="F7300" t="s">
        <v>7835</v>
      </c>
      <c r="G7300">
        <v>1</v>
      </c>
      <c r="H7300">
        <v>0</v>
      </c>
      <c r="I7300">
        <f>1</f>
        <v>1</v>
      </c>
    </row>
    <row r="7301" spans="2:9" x14ac:dyDescent="0.25">
      <c r="B7301">
        <v>0</v>
      </c>
      <c r="C7301" s="16" t="s">
        <v>16421</v>
      </c>
      <c r="D7301" s="16"/>
      <c r="E7301">
        <v>6</v>
      </c>
      <c r="F7301" t="e">
        <f>--De ferro fundido</f>
        <v>#NAME?</v>
      </c>
      <c r="G7301">
        <v>1</v>
      </c>
      <c r="H7301">
        <v>0</v>
      </c>
      <c r="I7301">
        <f>1</f>
        <v>1</v>
      </c>
    </row>
    <row r="7302" spans="2:9" x14ac:dyDescent="0.25">
      <c r="B7302">
        <v>0</v>
      </c>
      <c r="C7302" s="16" t="s">
        <v>16422</v>
      </c>
      <c r="D7302" s="16"/>
      <c r="E7302">
        <v>6</v>
      </c>
      <c r="F7302" t="e">
        <f>--outros</f>
        <v>#NAME?</v>
      </c>
      <c r="G7302">
        <v>1</v>
      </c>
      <c r="H7302">
        <v>0</v>
      </c>
      <c r="I7302">
        <f>1</f>
        <v>1</v>
      </c>
    </row>
    <row r="7303" spans="2:9" x14ac:dyDescent="0.25">
      <c r="B7303">
        <v>0</v>
      </c>
      <c r="C7303" s="16" t="s">
        <v>16423</v>
      </c>
      <c r="D7303" s="16"/>
      <c r="E7303">
        <v>6</v>
      </c>
      <c r="F7303" t="s">
        <v>7836</v>
      </c>
      <c r="G7303">
        <v>1</v>
      </c>
      <c r="H7303">
        <v>0</v>
      </c>
      <c r="I7303">
        <f>1</f>
        <v>1</v>
      </c>
    </row>
    <row r="7304" spans="2:9" x14ac:dyDescent="0.25">
      <c r="B7304">
        <v>0</v>
      </c>
      <c r="C7304" s="16" t="s">
        <v>16424</v>
      </c>
      <c r="D7304" s="16"/>
      <c r="E7304">
        <v>6</v>
      </c>
      <c r="F7304" t="s">
        <v>4680</v>
      </c>
      <c r="G7304">
        <v>1</v>
      </c>
      <c r="H7304">
        <v>0</v>
      </c>
      <c r="I7304">
        <f>1</f>
        <v>1</v>
      </c>
    </row>
    <row r="7305" spans="2:9" x14ac:dyDescent="0.25">
      <c r="B7305">
        <v>0</v>
      </c>
      <c r="C7305" s="16" t="s">
        <v>16425</v>
      </c>
      <c r="D7305" s="16"/>
      <c r="E7305">
        <v>6</v>
      </c>
      <c r="F7305" t="s">
        <v>7837</v>
      </c>
      <c r="G7305">
        <v>1</v>
      </c>
      <c r="H7305">
        <v>0</v>
      </c>
      <c r="I7305">
        <f>1</f>
        <v>1</v>
      </c>
    </row>
    <row r="7306" spans="2:9" x14ac:dyDescent="0.25">
      <c r="B7306">
        <v>0</v>
      </c>
      <c r="C7306" s="16" t="s">
        <v>16425</v>
      </c>
      <c r="D7306" s="16" t="s">
        <v>19430</v>
      </c>
      <c r="E7306">
        <v>6</v>
      </c>
      <c r="F7306" t="s">
        <v>7838</v>
      </c>
      <c r="G7306">
        <v>1</v>
      </c>
      <c r="H7306">
        <v>0</v>
      </c>
      <c r="I7306">
        <f>1</f>
        <v>1</v>
      </c>
    </row>
    <row r="7307" spans="2:9" x14ac:dyDescent="0.25">
      <c r="B7307">
        <v>0</v>
      </c>
      <c r="C7307" s="16" t="s">
        <v>16426</v>
      </c>
      <c r="D7307" s="16"/>
      <c r="E7307">
        <v>6</v>
      </c>
      <c r="F7307" t="s">
        <v>7839</v>
      </c>
      <c r="G7307">
        <v>1</v>
      </c>
      <c r="H7307">
        <v>0</v>
      </c>
      <c r="I7307">
        <f>1</f>
        <v>1</v>
      </c>
    </row>
    <row r="7308" spans="2:9" x14ac:dyDescent="0.25">
      <c r="B7308">
        <v>0</v>
      </c>
      <c r="C7308" s="16" t="s">
        <v>16427</v>
      </c>
      <c r="D7308" s="16"/>
      <c r="E7308">
        <v>6</v>
      </c>
      <c r="F7308" t="s">
        <v>7840</v>
      </c>
      <c r="G7308">
        <v>1</v>
      </c>
      <c r="H7308">
        <v>0</v>
      </c>
      <c r="I7308">
        <f>1</f>
        <v>1</v>
      </c>
    </row>
    <row r="7309" spans="2:9" x14ac:dyDescent="0.25">
      <c r="B7309">
        <v>0</v>
      </c>
      <c r="C7309" s="16" t="s">
        <v>16428</v>
      </c>
      <c r="D7309" s="16"/>
      <c r="E7309">
        <v>6</v>
      </c>
      <c r="F7309" t="e">
        <f>--De aço inoxidável</f>
        <v>#NAME?</v>
      </c>
      <c r="G7309">
        <v>1</v>
      </c>
      <c r="H7309">
        <v>0</v>
      </c>
      <c r="I7309">
        <f>1</f>
        <v>1</v>
      </c>
    </row>
    <row r="7310" spans="2:9" x14ac:dyDescent="0.25">
      <c r="B7310">
        <v>0</v>
      </c>
      <c r="C7310" s="16" t="s">
        <v>16429</v>
      </c>
      <c r="D7310" s="16"/>
      <c r="E7310">
        <v>6</v>
      </c>
      <c r="F7310" t="s">
        <v>7841</v>
      </c>
      <c r="G7310">
        <v>1</v>
      </c>
      <c r="H7310">
        <v>0</v>
      </c>
      <c r="I7310">
        <f>1</f>
        <v>1</v>
      </c>
    </row>
    <row r="7311" spans="2:9" x14ac:dyDescent="0.25">
      <c r="B7311">
        <v>0</v>
      </c>
      <c r="C7311" s="16" t="s">
        <v>16430</v>
      </c>
      <c r="D7311" s="16"/>
      <c r="E7311">
        <v>6</v>
      </c>
      <c r="F7311" t="e">
        <f>--outros</f>
        <v>#NAME?</v>
      </c>
      <c r="G7311">
        <v>1</v>
      </c>
      <c r="H7311">
        <v>0</v>
      </c>
      <c r="I7311">
        <f>1</f>
        <v>1</v>
      </c>
    </row>
    <row r="7312" spans="2:9" x14ac:dyDescent="0.25">
      <c r="B7312">
        <v>0</v>
      </c>
      <c r="C7312" s="16" t="s">
        <v>16431</v>
      </c>
      <c r="D7312" s="16"/>
      <c r="E7312">
        <v>6</v>
      </c>
      <c r="F7312" t="s">
        <v>7842</v>
      </c>
      <c r="G7312">
        <v>1</v>
      </c>
      <c r="H7312">
        <v>0</v>
      </c>
      <c r="I7312">
        <f>1</f>
        <v>1</v>
      </c>
    </row>
    <row r="7313" spans="2:9" x14ac:dyDescent="0.25">
      <c r="B7313">
        <v>0</v>
      </c>
      <c r="C7313" s="16" t="s">
        <v>16432</v>
      </c>
      <c r="D7313" s="16"/>
      <c r="E7313">
        <v>6</v>
      </c>
      <c r="F7313" t="s">
        <v>7843</v>
      </c>
      <c r="G7313">
        <v>1</v>
      </c>
      <c r="H7313">
        <v>0</v>
      </c>
      <c r="I7313">
        <f>1</f>
        <v>1</v>
      </c>
    </row>
    <row r="7314" spans="2:9" x14ac:dyDescent="0.25">
      <c r="B7314">
        <v>0</v>
      </c>
      <c r="C7314" s="16" t="s">
        <v>16433</v>
      </c>
      <c r="D7314" s="16"/>
      <c r="E7314">
        <v>6</v>
      </c>
      <c r="F7314" t="e">
        <f>--Outras</f>
        <v>#NAME?</v>
      </c>
      <c r="G7314">
        <v>1</v>
      </c>
      <c r="H7314">
        <v>0</v>
      </c>
      <c r="I7314">
        <f>1</f>
        <v>1</v>
      </c>
    </row>
    <row r="7315" spans="2:9" x14ac:dyDescent="0.25">
      <c r="B7315">
        <v>0</v>
      </c>
      <c r="C7315" s="16" t="s">
        <v>16434</v>
      </c>
      <c r="D7315" s="16"/>
      <c r="E7315">
        <v>6</v>
      </c>
      <c r="F7315" t="s">
        <v>7844</v>
      </c>
      <c r="G7315">
        <v>1</v>
      </c>
      <c r="H7315">
        <v>0</v>
      </c>
      <c r="I7315">
        <f>1</f>
        <v>1</v>
      </c>
    </row>
    <row r="7316" spans="2:9" x14ac:dyDescent="0.25">
      <c r="B7316">
        <v>0</v>
      </c>
      <c r="C7316" s="16" t="s">
        <v>16435</v>
      </c>
      <c r="D7316" s="16"/>
      <c r="E7316">
        <v>6</v>
      </c>
      <c r="F7316" t="s">
        <v>7845</v>
      </c>
      <c r="G7316">
        <v>1</v>
      </c>
      <c r="H7316">
        <v>0</v>
      </c>
      <c r="I7316">
        <f>1</f>
        <v>1</v>
      </c>
    </row>
    <row r="7317" spans="2:9" x14ac:dyDescent="0.25">
      <c r="B7317">
        <v>0</v>
      </c>
      <c r="C7317" s="16" t="s">
        <v>16436</v>
      </c>
      <c r="D7317" s="16"/>
      <c r="E7317">
        <v>6</v>
      </c>
      <c r="F7317" t="s">
        <v>7846</v>
      </c>
      <c r="G7317">
        <v>1</v>
      </c>
      <c r="H7317">
        <v>0</v>
      </c>
      <c r="I7317">
        <f>1</f>
        <v>1</v>
      </c>
    </row>
    <row r="7318" spans="2:9" x14ac:dyDescent="0.25">
      <c r="B7318">
        <v>0</v>
      </c>
      <c r="C7318" s="16" t="s">
        <v>16437</v>
      </c>
      <c r="D7318" s="16"/>
      <c r="E7318">
        <v>6</v>
      </c>
      <c r="F7318" t="s">
        <v>7803</v>
      </c>
      <c r="G7318">
        <v>1</v>
      </c>
      <c r="H7318">
        <v>0</v>
      </c>
      <c r="I7318">
        <f>1</f>
        <v>1</v>
      </c>
    </row>
    <row r="7319" spans="2:9" x14ac:dyDescent="0.25">
      <c r="B7319">
        <v>0</v>
      </c>
      <c r="C7319" s="16" t="s">
        <v>16438</v>
      </c>
      <c r="D7319" s="16"/>
      <c r="E7319">
        <v>6</v>
      </c>
      <c r="F7319" t="s">
        <v>4690</v>
      </c>
      <c r="G7319">
        <v>1</v>
      </c>
      <c r="H7319">
        <v>0</v>
      </c>
      <c r="I7319">
        <f>1</f>
        <v>1</v>
      </c>
    </row>
    <row r="7320" spans="2:9" x14ac:dyDescent="0.25">
      <c r="B7320">
        <v>0</v>
      </c>
      <c r="C7320" s="16" t="s">
        <v>16439</v>
      </c>
      <c r="D7320" s="16"/>
      <c r="E7320">
        <v>6</v>
      </c>
      <c r="F7320" t="s">
        <v>7846</v>
      </c>
      <c r="G7320">
        <v>1</v>
      </c>
      <c r="H7320">
        <v>0</v>
      </c>
      <c r="I7320">
        <f>1</f>
        <v>1</v>
      </c>
    </row>
    <row r="7321" spans="2:9" x14ac:dyDescent="0.25">
      <c r="B7321">
        <v>0</v>
      </c>
      <c r="C7321" s="16" t="s">
        <v>16440</v>
      </c>
      <c r="D7321" s="16"/>
      <c r="E7321">
        <v>6</v>
      </c>
      <c r="F7321" t="e">
        <f>--Outras</f>
        <v>#NAME?</v>
      </c>
      <c r="G7321">
        <v>1</v>
      </c>
      <c r="H7321">
        <v>0</v>
      </c>
      <c r="I7321">
        <f>1</f>
        <v>1</v>
      </c>
    </row>
    <row r="7322" spans="2:9" x14ac:dyDescent="0.25">
      <c r="B7322">
        <v>0</v>
      </c>
      <c r="C7322" s="16" t="s">
        <v>16441</v>
      </c>
      <c r="D7322" s="16"/>
      <c r="E7322">
        <v>6</v>
      </c>
      <c r="F7322" t="e">
        <f>-obras De fio De ferro ou aço</f>
        <v>#NAME?</v>
      </c>
      <c r="G7322">
        <v>1</v>
      </c>
      <c r="H7322">
        <v>0</v>
      </c>
      <c r="I7322">
        <f>1</f>
        <v>1</v>
      </c>
    </row>
    <row r="7323" spans="2:9" x14ac:dyDescent="0.25">
      <c r="B7323">
        <v>0</v>
      </c>
      <c r="C7323" s="16" t="s">
        <v>16442</v>
      </c>
      <c r="D7323" s="16"/>
      <c r="E7323">
        <v>6</v>
      </c>
      <c r="F7323" t="s">
        <v>7847</v>
      </c>
      <c r="G7323">
        <v>1</v>
      </c>
      <c r="H7323">
        <v>0</v>
      </c>
      <c r="I7323">
        <f>1</f>
        <v>1</v>
      </c>
    </row>
    <row r="7324" spans="2:9" x14ac:dyDescent="0.25">
      <c r="B7324">
        <v>0</v>
      </c>
      <c r="C7324" s="16" t="s">
        <v>16443</v>
      </c>
      <c r="D7324" s="16"/>
      <c r="E7324">
        <v>6</v>
      </c>
      <c r="F7324" t="s">
        <v>4690</v>
      </c>
      <c r="G7324">
        <v>1</v>
      </c>
      <c r="H7324">
        <v>0</v>
      </c>
      <c r="I7324">
        <f>1</f>
        <v>1</v>
      </c>
    </row>
    <row r="7325" spans="2:9" x14ac:dyDescent="0.25">
      <c r="B7325">
        <v>0</v>
      </c>
      <c r="C7325" s="16" t="s">
        <v>16444</v>
      </c>
      <c r="D7325" s="16"/>
      <c r="E7325">
        <v>6</v>
      </c>
      <c r="F7325" t="s">
        <v>7848</v>
      </c>
      <c r="G7325">
        <v>1</v>
      </c>
      <c r="H7325">
        <v>0</v>
      </c>
      <c r="I7325">
        <f>1</f>
        <v>1</v>
      </c>
    </row>
    <row r="7326" spans="2:9" x14ac:dyDescent="0.25">
      <c r="B7326">
        <v>0</v>
      </c>
      <c r="C7326" s="16" t="s">
        <v>16445</v>
      </c>
      <c r="D7326" s="16"/>
      <c r="E7326">
        <v>6</v>
      </c>
      <c r="F7326" t="s">
        <v>7849</v>
      </c>
      <c r="G7326">
        <v>1</v>
      </c>
      <c r="H7326">
        <v>0</v>
      </c>
      <c r="I7326">
        <f>1</f>
        <v>1</v>
      </c>
    </row>
    <row r="7327" spans="2:9" x14ac:dyDescent="0.25">
      <c r="B7327">
        <v>0</v>
      </c>
      <c r="C7327" s="16" t="s">
        <v>16446</v>
      </c>
      <c r="D7327" s="16"/>
      <c r="E7327">
        <v>6</v>
      </c>
      <c r="F7327" t="e">
        <f>--Cátodos e seus Elementos</f>
        <v>#NAME?</v>
      </c>
      <c r="G7327">
        <v>1</v>
      </c>
      <c r="H7327">
        <v>0</v>
      </c>
      <c r="I7327">
        <f>1</f>
        <v>1</v>
      </c>
    </row>
    <row r="7328" spans="2:9" x14ac:dyDescent="0.25">
      <c r="B7328">
        <v>0</v>
      </c>
      <c r="C7328" s="16" t="s">
        <v>16447</v>
      </c>
      <c r="D7328" s="16"/>
      <c r="E7328">
        <v>6</v>
      </c>
      <c r="F7328" t="e">
        <f>--barras para obtenção De Fios  wire-bars</f>
        <v>#NAME?</v>
      </c>
      <c r="G7328">
        <v>1</v>
      </c>
      <c r="H7328">
        <v>0</v>
      </c>
      <c r="I7328">
        <f>1</f>
        <v>1</v>
      </c>
    </row>
    <row r="7329" spans="2:9" x14ac:dyDescent="0.25">
      <c r="B7329">
        <v>0</v>
      </c>
      <c r="C7329" s="16" t="s">
        <v>16448</v>
      </c>
      <c r="D7329" s="16"/>
      <c r="E7329">
        <v>6</v>
      </c>
      <c r="F7329" t="e">
        <f>--Palanquilhas  billets</f>
        <v>#NAME?</v>
      </c>
      <c r="G7329">
        <v>1</v>
      </c>
      <c r="H7329">
        <v>0</v>
      </c>
      <c r="I7329">
        <f>1</f>
        <v>1</v>
      </c>
    </row>
    <row r="7330" spans="2:9" x14ac:dyDescent="0.25">
      <c r="B7330">
        <v>0</v>
      </c>
      <c r="C7330" s="16" t="s">
        <v>16449</v>
      </c>
      <c r="D7330" s="16"/>
      <c r="E7330">
        <v>6</v>
      </c>
      <c r="F7330" t="e">
        <f>--outros</f>
        <v>#NAME?</v>
      </c>
      <c r="G7330">
        <v>1</v>
      </c>
      <c r="H7330">
        <v>0</v>
      </c>
      <c r="I7330">
        <f>1</f>
        <v>1</v>
      </c>
    </row>
    <row r="7331" spans="2:9" x14ac:dyDescent="0.25">
      <c r="B7331">
        <v>0</v>
      </c>
      <c r="C7331" s="16" t="s">
        <v>16450</v>
      </c>
      <c r="D7331" s="16"/>
      <c r="E7331">
        <v>6</v>
      </c>
      <c r="F7331" t="e">
        <f>--à base De cobre-zinco  latão</f>
        <v>#NAME?</v>
      </c>
      <c r="G7331">
        <v>1</v>
      </c>
      <c r="H7331">
        <v>0</v>
      </c>
      <c r="I7331">
        <f>1</f>
        <v>1</v>
      </c>
    </row>
    <row r="7332" spans="2:9" x14ac:dyDescent="0.25">
      <c r="B7332">
        <v>0</v>
      </c>
      <c r="C7332" s="16" t="s">
        <v>16451</v>
      </c>
      <c r="D7332" s="16"/>
      <c r="E7332">
        <v>6</v>
      </c>
      <c r="F7332" t="e">
        <f>--à base De cobre-estanho  bronze</f>
        <v>#NAME?</v>
      </c>
      <c r="G7332">
        <v>1</v>
      </c>
      <c r="H7332">
        <v>0</v>
      </c>
      <c r="I7332">
        <f>1</f>
        <v>1</v>
      </c>
    </row>
    <row r="7333" spans="2:9" x14ac:dyDescent="0.25">
      <c r="B7333">
        <v>0</v>
      </c>
      <c r="C7333" s="16" t="s">
        <v>16452</v>
      </c>
      <c r="D7333" s="16"/>
      <c r="E7333">
        <v>6</v>
      </c>
      <c r="F7333" t="s">
        <v>7850</v>
      </c>
      <c r="G7333">
        <v>1</v>
      </c>
      <c r="H7333">
        <v>0</v>
      </c>
      <c r="I7333">
        <f>1</f>
        <v>1</v>
      </c>
    </row>
    <row r="7334" spans="2:9" x14ac:dyDescent="0.25">
      <c r="B7334">
        <v>0</v>
      </c>
      <c r="C7334" s="16" t="s">
        <v>16453</v>
      </c>
      <c r="D7334" s="16"/>
      <c r="E7334">
        <v>6</v>
      </c>
      <c r="F7334" t="s">
        <v>7851</v>
      </c>
      <c r="G7334">
        <v>1</v>
      </c>
      <c r="H7334">
        <v>0</v>
      </c>
      <c r="I7334">
        <f>1</f>
        <v>1</v>
      </c>
    </row>
    <row r="7335" spans="2:9" x14ac:dyDescent="0.25">
      <c r="B7335">
        <v>0</v>
      </c>
      <c r="C7335" s="16" t="s">
        <v>16454</v>
      </c>
      <c r="D7335" s="16"/>
      <c r="E7335">
        <v>6</v>
      </c>
      <c r="F7335" t="s">
        <v>7852</v>
      </c>
      <c r="G7335">
        <v>1</v>
      </c>
      <c r="H7335">
        <v>0</v>
      </c>
      <c r="I7335">
        <f>1</f>
        <v>1</v>
      </c>
    </row>
    <row r="7336" spans="2:9" x14ac:dyDescent="0.25">
      <c r="B7336">
        <v>0</v>
      </c>
      <c r="C7336" s="16" t="s">
        <v>16455</v>
      </c>
      <c r="D7336" s="16"/>
      <c r="E7336">
        <v>6</v>
      </c>
      <c r="F7336" t="e">
        <f>-Pós De estrutura Não lamelar</f>
        <v>#NAME?</v>
      </c>
      <c r="G7336">
        <v>1</v>
      </c>
      <c r="H7336">
        <v>0</v>
      </c>
      <c r="I7336">
        <f>1</f>
        <v>1</v>
      </c>
    </row>
    <row r="7337" spans="2:9" x14ac:dyDescent="0.25">
      <c r="B7337">
        <v>0</v>
      </c>
      <c r="C7337" s="16" t="s">
        <v>16456</v>
      </c>
      <c r="D7337" s="16"/>
      <c r="E7337">
        <v>6</v>
      </c>
      <c r="F7337" t="s">
        <v>7853</v>
      </c>
      <c r="G7337">
        <v>1</v>
      </c>
      <c r="H7337">
        <v>0</v>
      </c>
      <c r="I7337">
        <f>1</f>
        <v>1</v>
      </c>
    </row>
    <row r="7338" spans="2:9" x14ac:dyDescent="0.25">
      <c r="B7338">
        <v>0</v>
      </c>
      <c r="C7338" s="16" t="s">
        <v>16457</v>
      </c>
      <c r="D7338" s="16"/>
      <c r="E7338">
        <v>6</v>
      </c>
      <c r="F7338" t="s">
        <v>7854</v>
      </c>
      <c r="G7338">
        <v>1</v>
      </c>
      <c r="H7338">
        <v>0</v>
      </c>
      <c r="I7338">
        <f>1</f>
        <v>1</v>
      </c>
    </row>
    <row r="7339" spans="2:9" x14ac:dyDescent="0.25">
      <c r="B7339">
        <v>0</v>
      </c>
      <c r="C7339" s="16" t="s">
        <v>16458</v>
      </c>
      <c r="D7339" s="16"/>
      <c r="E7339">
        <v>6</v>
      </c>
      <c r="F7339" t="s">
        <v>7855</v>
      </c>
      <c r="G7339">
        <v>1</v>
      </c>
      <c r="H7339">
        <v>0</v>
      </c>
      <c r="I7339">
        <f>1</f>
        <v>1</v>
      </c>
    </row>
    <row r="7340" spans="2:9" x14ac:dyDescent="0.25">
      <c r="B7340">
        <v>0</v>
      </c>
      <c r="C7340" s="16" t="s">
        <v>16459</v>
      </c>
      <c r="D7340" s="16"/>
      <c r="E7340">
        <v>6</v>
      </c>
      <c r="F7340" t="s">
        <v>4680</v>
      </c>
      <c r="G7340">
        <v>1</v>
      </c>
      <c r="H7340">
        <v>0</v>
      </c>
      <c r="I7340">
        <f>1</f>
        <v>1</v>
      </c>
    </row>
    <row r="7341" spans="2:9" x14ac:dyDescent="0.25">
      <c r="B7341">
        <v>0</v>
      </c>
      <c r="C7341" s="16" t="s">
        <v>16460</v>
      </c>
      <c r="D7341" s="16"/>
      <c r="E7341">
        <v>6</v>
      </c>
      <c r="F7341" t="s">
        <v>7854</v>
      </c>
      <c r="G7341">
        <v>1</v>
      </c>
      <c r="H7341">
        <v>0</v>
      </c>
      <c r="I7341">
        <f>1</f>
        <v>1</v>
      </c>
    </row>
    <row r="7342" spans="2:9" x14ac:dyDescent="0.25">
      <c r="B7342">
        <v>0</v>
      </c>
      <c r="C7342" s="16" t="s">
        <v>16461</v>
      </c>
      <c r="D7342" s="16"/>
      <c r="E7342">
        <v>6</v>
      </c>
      <c r="F7342" t="s">
        <v>7856</v>
      </c>
      <c r="G7342">
        <v>1</v>
      </c>
      <c r="H7342">
        <v>0</v>
      </c>
      <c r="I7342">
        <f>1</f>
        <v>1</v>
      </c>
    </row>
    <row r="7343" spans="2:9" x14ac:dyDescent="0.25">
      <c r="B7343">
        <v>0</v>
      </c>
      <c r="C7343" s="16" t="s">
        <v>16462</v>
      </c>
      <c r="D7343" s="16"/>
      <c r="E7343">
        <v>6</v>
      </c>
      <c r="F7343" t="s">
        <v>7854</v>
      </c>
      <c r="G7343">
        <v>1</v>
      </c>
      <c r="H7343">
        <v>0</v>
      </c>
      <c r="I7343">
        <f>1</f>
        <v>1</v>
      </c>
    </row>
    <row r="7344" spans="2:9" x14ac:dyDescent="0.25">
      <c r="B7344">
        <v>0</v>
      </c>
      <c r="C7344" s="16" t="s">
        <v>16463</v>
      </c>
      <c r="D7344" s="16"/>
      <c r="E7344">
        <v>6</v>
      </c>
      <c r="F7344" t="s">
        <v>7855</v>
      </c>
      <c r="G7344">
        <v>1</v>
      </c>
      <c r="H7344">
        <v>0</v>
      </c>
      <c r="I7344">
        <f>1</f>
        <v>1</v>
      </c>
    </row>
    <row r="7345" spans="2:9" x14ac:dyDescent="0.25">
      <c r="B7345">
        <v>0</v>
      </c>
      <c r="C7345" s="16" t="s">
        <v>16464</v>
      </c>
      <c r="D7345" s="16"/>
      <c r="E7345">
        <v>6</v>
      </c>
      <c r="F7345" t="s">
        <v>4680</v>
      </c>
      <c r="G7345">
        <v>1</v>
      </c>
      <c r="H7345">
        <v>0</v>
      </c>
      <c r="I7345">
        <f>1</f>
        <v>1</v>
      </c>
    </row>
    <row r="7346" spans="2:9" x14ac:dyDescent="0.25">
      <c r="B7346">
        <v>0</v>
      </c>
      <c r="C7346" s="16" t="s">
        <v>16465</v>
      </c>
      <c r="D7346" s="16"/>
      <c r="E7346">
        <v>6</v>
      </c>
      <c r="F7346" t="s">
        <v>7857</v>
      </c>
      <c r="G7346">
        <v>1</v>
      </c>
      <c r="H7346">
        <v>0</v>
      </c>
      <c r="I7346">
        <f>1</f>
        <v>1</v>
      </c>
    </row>
    <row r="7347" spans="2:9" x14ac:dyDescent="0.25">
      <c r="B7347">
        <v>0</v>
      </c>
      <c r="C7347" s="16" t="s">
        <v>16466</v>
      </c>
      <c r="D7347" s="16"/>
      <c r="E7347">
        <v>6</v>
      </c>
      <c r="F7347" t="e">
        <f>--outros</f>
        <v>#NAME?</v>
      </c>
      <c r="G7347">
        <v>1</v>
      </c>
      <c r="H7347">
        <v>0</v>
      </c>
      <c r="I7347">
        <f>1</f>
        <v>1</v>
      </c>
    </row>
    <row r="7348" spans="2:9" x14ac:dyDescent="0.25">
      <c r="B7348">
        <v>0</v>
      </c>
      <c r="C7348" s="16" t="s">
        <v>16467</v>
      </c>
      <c r="D7348" s="16"/>
      <c r="E7348">
        <v>6</v>
      </c>
      <c r="F7348" t="e">
        <f>--à base De cobre-zinco  latão</f>
        <v>#NAME?</v>
      </c>
      <c r="G7348">
        <v>1</v>
      </c>
      <c r="H7348">
        <v>0</v>
      </c>
      <c r="I7348">
        <f>1</f>
        <v>1</v>
      </c>
    </row>
    <row r="7349" spans="2:9" x14ac:dyDescent="0.25">
      <c r="B7349">
        <v>0</v>
      </c>
      <c r="C7349" s="16" t="s">
        <v>16468</v>
      </c>
      <c r="D7349" s="16"/>
      <c r="E7349">
        <v>6</v>
      </c>
      <c r="F7349" t="e">
        <f>--à base De cobre-níquel  cuproníquel  ou De cobre-níquel-zinco  maillechort</f>
        <v>#NAME?</v>
      </c>
      <c r="G7349">
        <v>1</v>
      </c>
      <c r="H7349">
        <v>0</v>
      </c>
      <c r="I7349">
        <f>1</f>
        <v>1</v>
      </c>
    </row>
    <row r="7350" spans="2:9" x14ac:dyDescent="0.25">
      <c r="B7350">
        <v>0</v>
      </c>
      <c r="C7350" s="16" t="s">
        <v>16469</v>
      </c>
      <c r="D7350" s="16"/>
      <c r="E7350">
        <v>6</v>
      </c>
      <c r="F7350" t="s">
        <v>7858</v>
      </c>
      <c r="G7350">
        <v>1</v>
      </c>
      <c r="H7350">
        <v>0</v>
      </c>
      <c r="I7350">
        <f>1</f>
        <v>1</v>
      </c>
    </row>
    <row r="7351" spans="2:9" x14ac:dyDescent="0.25">
      <c r="B7351">
        <v>0</v>
      </c>
      <c r="C7351" s="16" t="s">
        <v>16470</v>
      </c>
      <c r="D7351" s="16"/>
      <c r="E7351">
        <v>6</v>
      </c>
      <c r="F7351" t="s">
        <v>4680</v>
      </c>
      <c r="G7351">
        <v>1</v>
      </c>
      <c r="H7351">
        <v>0</v>
      </c>
      <c r="I7351">
        <f>1</f>
        <v>1</v>
      </c>
    </row>
    <row r="7352" spans="2:9" x14ac:dyDescent="0.25">
      <c r="B7352">
        <v>0</v>
      </c>
      <c r="C7352" s="16" t="s">
        <v>16471</v>
      </c>
      <c r="D7352" s="16"/>
      <c r="E7352">
        <v>6</v>
      </c>
      <c r="F7352" t="s">
        <v>4680</v>
      </c>
      <c r="G7352">
        <v>1</v>
      </c>
      <c r="H7352">
        <v>0</v>
      </c>
      <c r="I7352">
        <f>1</f>
        <v>1</v>
      </c>
    </row>
    <row r="7353" spans="2:9" x14ac:dyDescent="0.25">
      <c r="B7353">
        <v>0</v>
      </c>
      <c r="C7353" s="16" t="s">
        <v>16472</v>
      </c>
      <c r="D7353" s="16"/>
      <c r="E7353">
        <v>6</v>
      </c>
      <c r="F7353" t="e">
        <f>--em rolos</f>
        <v>#NAME?</v>
      </c>
      <c r="G7353">
        <v>1</v>
      </c>
      <c r="H7353">
        <v>0</v>
      </c>
      <c r="I7353">
        <f>1</f>
        <v>1</v>
      </c>
    </row>
    <row r="7354" spans="2:9" x14ac:dyDescent="0.25">
      <c r="B7354">
        <v>0</v>
      </c>
      <c r="C7354" s="16" t="s">
        <v>16473</v>
      </c>
      <c r="D7354" s="16"/>
      <c r="E7354">
        <v>6</v>
      </c>
      <c r="F7354" t="e">
        <f>--Outras</f>
        <v>#NAME?</v>
      </c>
      <c r="G7354">
        <v>1</v>
      </c>
      <c r="H7354">
        <v>0</v>
      </c>
      <c r="I7354">
        <f>1</f>
        <v>1</v>
      </c>
    </row>
    <row r="7355" spans="2:9" x14ac:dyDescent="0.25">
      <c r="B7355">
        <v>0</v>
      </c>
      <c r="C7355" s="16" t="s">
        <v>16474</v>
      </c>
      <c r="D7355" s="16"/>
      <c r="E7355">
        <v>6</v>
      </c>
      <c r="F7355" t="e">
        <f>--em rolos</f>
        <v>#NAME?</v>
      </c>
      <c r="G7355">
        <v>1</v>
      </c>
      <c r="H7355">
        <v>0</v>
      </c>
      <c r="I7355">
        <f>1</f>
        <v>1</v>
      </c>
    </row>
    <row r="7356" spans="2:9" x14ac:dyDescent="0.25">
      <c r="B7356">
        <v>0</v>
      </c>
      <c r="C7356" s="16" t="s">
        <v>16475</v>
      </c>
      <c r="D7356" s="16"/>
      <c r="E7356">
        <v>6</v>
      </c>
      <c r="F7356" t="e">
        <f>--Outras</f>
        <v>#NAME?</v>
      </c>
      <c r="G7356">
        <v>1</v>
      </c>
      <c r="H7356">
        <v>0</v>
      </c>
      <c r="I7356">
        <f>1</f>
        <v>1</v>
      </c>
    </row>
    <row r="7357" spans="2:9" x14ac:dyDescent="0.25">
      <c r="B7357">
        <v>0</v>
      </c>
      <c r="C7357" s="16" t="s">
        <v>16476</v>
      </c>
      <c r="D7357" s="16"/>
      <c r="E7357">
        <v>6</v>
      </c>
      <c r="F7357" t="s">
        <v>7859</v>
      </c>
      <c r="G7357">
        <v>1</v>
      </c>
      <c r="H7357">
        <v>0</v>
      </c>
      <c r="I7357">
        <f>1</f>
        <v>1</v>
      </c>
    </row>
    <row r="7358" spans="2:9" x14ac:dyDescent="0.25">
      <c r="B7358">
        <v>0</v>
      </c>
      <c r="C7358" s="16" t="s">
        <v>16477</v>
      </c>
      <c r="D7358" s="16"/>
      <c r="E7358">
        <v>6</v>
      </c>
      <c r="F7358" t="s">
        <v>4690</v>
      </c>
      <c r="G7358">
        <v>1</v>
      </c>
      <c r="H7358">
        <v>0</v>
      </c>
      <c r="I7358">
        <f>1</f>
        <v>1</v>
      </c>
    </row>
    <row r="7359" spans="2:9" x14ac:dyDescent="0.25">
      <c r="B7359">
        <v>0</v>
      </c>
      <c r="C7359" s="16" t="s">
        <v>16478</v>
      </c>
      <c r="D7359" s="16"/>
      <c r="E7359">
        <v>6</v>
      </c>
      <c r="F7359" t="s">
        <v>4690</v>
      </c>
      <c r="G7359">
        <v>1</v>
      </c>
      <c r="H7359">
        <v>0</v>
      </c>
      <c r="I7359">
        <f>1</f>
        <v>1</v>
      </c>
    </row>
    <row r="7360" spans="2:9" x14ac:dyDescent="0.25">
      <c r="B7360">
        <v>0</v>
      </c>
      <c r="C7360" s="16" t="s">
        <v>16479</v>
      </c>
      <c r="D7360" s="16"/>
      <c r="E7360">
        <v>6</v>
      </c>
      <c r="F7360" t="e">
        <f>--Outras</f>
        <v>#NAME?</v>
      </c>
      <c r="G7360">
        <v>1</v>
      </c>
      <c r="H7360">
        <v>0</v>
      </c>
      <c r="I7360">
        <f>1</f>
        <v>1</v>
      </c>
    </row>
    <row r="7361" spans="2:9" x14ac:dyDescent="0.25">
      <c r="B7361">
        <v>0</v>
      </c>
      <c r="C7361" s="16" t="s">
        <v>16480</v>
      </c>
      <c r="D7361" s="16"/>
      <c r="E7361">
        <v>6</v>
      </c>
      <c r="F7361" t="s">
        <v>7860</v>
      </c>
      <c r="G7361">
        <v>1</v>
      </c>
      <c r="H7361">
        <v>0</v>
      </c>
      <c r="I7361">
        <f>1</f>
        <v>1</v>
      </c>
    </row>
    <row r="7362" spans="2:9" x14ac:dyDescent="0.25">
      <c r="B7362">
        <v>0</v>
      </c>
      <c r="C7362" s="16" t="s">
        <v>16481</v>
      </c>
      <c r="D7362" s="16"/>
      <c r="E7362">
        <v>6</v>
      </c>
      <c r="F7362" t="s">
        <v>4680</v>
      </c>
      <c r="G7362">
        <v>1</v>
      </c>
      <c r="H7362">
        <v>0</v>
      </c>
      <c r="I7362">
        <f>1</f>
        <v>1</v>
      </c>
    </row>
    <row r="7363" spans="2:9" x14ac:dyDescent="0.25">
      <c r="B7363">
        <v>0</v>
      </c>
      <c r="C7363" s="16" t="s">
        <v>16482</v>
      </c>
      <c r="D7363" s="16"/>
      <c r="E7363">
        <v>6</v>
      </c>
      <c r="F7363" t="e">
        <f>-De Outras Ligas De cobre</f>
        <v>#NAME?</v>
      </c>
      <c r="G7363">
        <v>1</v>
      </c>
      <c r="H7363">
        <v>0</v>
      </c>
      <c r="I7363">
        <f>1</f>
        <v>1</v>
      </c>
    </row>
    <row r="7364" spans="2:9" x14ac:dyDescent="0.25">
      <c r="B7364">
        <v>0</v>
      </c>
      <c r="C7364" s="16" t="s">
        <v>16483</v>
      </c>
      <c r="D7364" s="16"/>
      <c r="E7364">
        <v>6</v>
      </c>
      <c r="F7364" t="s">
        <v>7861</v>
      </c>
      <c r="G7364">
        <v>1</v>
      </c>
      <c r="H7364">
        <v>0</v>
      </c>
      <c r="I7364">
        <f>1</f>
        <v>1</v>
      </c>
    </row>
    <row r="7365" spans="2:9" x14ac:dyDescent="0.25">
      <c r="B7365">
        <v>0</v>
      </c>
      <c r="C7365" s="16" t="s">
        <v>16484</v>
      </c>
      <c r="D7365" s="16"/>
      <c r="E7365">
        <v>6</v>
      </c>
      <c r="F7365" t="s">
        <v>7862</v>
      </c>
      <c r="G7365">
        <v>1</v>
      </c>
      <c r="H7365">
        <v>0</v>
      </c>
      <c r="I7365">
        <f>1</f>
        <v>1</v>
      </c>
    </row>
    <row r="7366" spans="2:9" x14ac:dyDescent="0.25">
      <c r="B7366">
        <v>0</v>
      </c>
      <c r="C7366" s="16" t="s">
        <v>16485</v>
      </c>
      <c r="D7366" s="16"/>
      <c r="E7366">
        <v>6</v>
      </c>
      <c r="F7366" t="s">
        <v>4690</v>
      </c>
      <c r="G7366">
        <v>1</v>
      </c>
      <c r="H7366">
        <v>0</v>
      </c>
      <c r="I7366">
        <f>1</f>
        <v>1</v>
      </c>
    </row>
    <row r="7367" spans="2:9" x14ac:dyDescent="0.25">
      <c r="B7367">
        <v>0</v>
      </c>
      <c r="C7367" s="16" t="s">
        <v>16486</v>
      </c>
      <c r="D7367" s="16"/>
      <c r="E7367">
        <v>6</v>
      </c>
      <c r="F7367" t="s">
        <v>4690</v>
      </c>
      <c r="G7367">
        <v>1</v>
      </c>
      <c r="H7367">
        <v>0</v>
      </c>
      <c r="I7367">
        <f>1</f>
        <v>1</v>
      </c>
    </row>
    <row r="7368" spans="2:9" x14ac:dyDescent="0.25">
      <c r="B7368">
        <v>0</v>
      </c>
      <c r="C7368" s="16" t="s">
        <v>16487</v>
      </c>
      <c r="D7368" s="16"/>
      <c r="E7368">
        <v>6</v>
      </c>
      <c r="F7368" t="e">
        <f>--De Ligas De cobre</f>
        <v>#NAME?</v>
      </c>
      <c r="G7368">
        <v>1</v>
      </c>
      <c r="H7368">
        <v>0</v>
      </c>
      <c r="I7368">
        <f>1</f>
        <v>1</v>
      </c>
    </row>
    <row r="7369" spans="2:9" x14ac:dyDescent="0.25">
      <c r="B7369">
        <v>0</v>
      </c>
      <c r="C7369" s="16" t="s">
        <v>16488</v>
      </c>
      <c r="D7369" s="16"/>
      <c r="E7369">
        <v>6</v>
      </c>
      <c r="F7369" t="s">
        <v>7863</v>
      </c>
      <c r="G7369">
        <v>1</v>
      </c>
      <c r="H7369">
        <v>0</v>
      </c>
      <c r="I7369">
        <f>1</f>
        <v>1</v>
      </c>
    </row>
    <row r="7370" spans="2:9" x14ac:dyDescent="0.25">
      <c r="B7370">
        <v>0</v>
      </c>
      <c r="C7370" s="16" t="s">
        <v>16489</v>
      </c>
      <c r="D7370" s="16"/>
      <c r="E7370">
        <v>6</v>
      </c>
      <c r="F7370" t="s">
        <v>7864</v>
      </c>
      <c r="G7370">
        <v>1</v>
      </c>
      <c r="H7370">
        <v>0</v>
      </c>
      <c r="I7370">
        <f>1</f>
        <v>1</v>
      </c>
    </row>
    <row r="7371" spans="2:9" x14ac:dyDescent="0.25">
      <c r="B7371">
        <v>0</v>
      </c>
      <c r="C7371" s="16" t="s">
        <v>16490</v>
      </c>
      <c r="D7371" s="16"/>
      <c r="E7371">
        <v>6</v>
      </c>
      <c r="F7371" t="s">
        <v>7865</v>
      </c>
      <c r="G7371">
        <v>1</v>
      </c>
      <c r="H7371">
        <v>0</v>
      </c>
      <c r="I7371">
        <f>1</f>
        <v>1</v>
      </c>
    </row>
    <row r="7372" spans="2:9" x14ac:dyDescent="0.25">
      <c r="B7372">
        <v>0</v>
      </c>
      <c r="C7372" s="16" t="s">
        <v>16491</v>
      </c>
      <c r="D7372" s="16"/>
      <c r="E7372">
        <v>6</v>
      </c>
      <c r="F7372" t="s">
        <v>4690</v>
      </c>
      <c r="G7372">
        <v>1</v>
      </c>
      <c r="H7372">
        <v>0</v>
      </c>
      <c r="I7372">
        <f>1</f>
        <v>1</v>
      </c>
    </row>
    <row r="7373" spans="2:9" x14ac:dyDescent="0.25">
      <c r="B7373">
        <v>0</v>
      </c>
      <c r="C7373" s="16" t="s">
        <v>16492</v>
      </c>
      <c r="D7373" s="16"/>
      <c r="E7373">
        <v>6</v>
      </c>
      <c r="F7373" t="e">
        <f>--De Ligas De cobre</f>
        <v>#NAME?</v>
      </c>
      <c r="G7373">
        <v>1</v>
      </c>
      <c r="H7373">
        <v>0</v>
      </c>
      <c r="I7373">
        <f>1</f>
        <v>1</v>
      </c>
    </row>
    <row r="7374" spans="2:9" x14ac:dyDescent="0.25">
      <c r="B7374">
        <v>0</v>
      </c>
      <c r="C7374" s="16" t="s">
        <v>16493</v>
      </c>
      <c r="D7374" s="16"/>
      <c r="E7374">
        <v>6</v>
      </c>
      <c r="F7374" t="s">
        <v>7866</v>
      </c>
      <c r="G7374">
        <v>1</v>
      </c>
      <c r="H7374">
        <v>0</v>
      </c>
      <c r="I7374">
        <f>1</f>
        <v>1</v>
      </c>
    </row>
    <row r="7375" spans="2:9" x14ac:dyDescent="0.25">
      <c r="B7375">
        <v>0</v>
      </c>
      <c r="C7375" s="16" t="s">
        <v>16494</v>
      </c>
      <c r="D7375" s="16"/>
      <c r="E7375">
        <v>6</v>
      </c>
      <c r="F7375" t="s">
        <v>4680</v>
      </c>
      <c r="G7375">
        <v>1</v>
      </c>
      <c r="H7375">
        <v>0</v>
      </c>
      <c r="I7375">
        <f>1</f>
        <v>1</v>
      </c>
    </row>
    <row r="7376" spans="2:9" x14ac:dyDescent="0.25">
      <c r="B7376">
        <v>0</v>
      </c>
      <c r="C7376" s="16" t="s">
        <v>16495</v>
      </c>
      <c r="D7376" s="16"/>
      <c r="E7376">
        <v>6</v>
      </c>
      <c r="F7376" t="s">
        <v>7866</v>
      </c>
      <c r="G7376">
        <v>1</v>
      </c>
      <c r="H7376">
        <v>0</v>
      </c>
      <c r="I7376">
        <f>1</f>
        <v>1</v>
      </c>
    </row>
    <row r="7377" spans="2:9" x14ac:dyDescent="0.25">
      <c r="B7377">
        <v>0</v>
      </c>
      <c r="C7377" s="16" t="s">
        <v>16496</v>
      </c>
      <c r="D7377" s="16"/>
      <c r="E7377">
        <v>6</v>
      </c>
      <c r="F7377" t="s">
        <v>4680</v>
      </c>
      <c r="G7377">
        <v>1</v>
      </c>
      <c r="H7377">
        <v>0</v>
      </c>
      <c r="I7377">
        <f>1</f>
        <v>1</v>
      </c>
    </row>
    <row r="7378" spans="2:9" x14ac:dyDescent="0.25">
      <c r="B7378">
        <v>0</v>
      </c>
      <c r="C7378" s="16" t="s">
        <v>16497</v>
      </c>
      <c r="D7378" s="16"/>
      <c r="E7378">
        <v>6</v>
      </c>
      <c r="F7378" t="s">
        <v>7866</v>
      </c>
      <c r="G7378">
        <v>1</v>
      </c>
      <c r="H7378">
        <v>0</v>
      </c>
      <c r="I7378">
        <f>1</f>
        <v>1</v>
      </c>
    </row>
    <row r="7379" spans="2:9" x14ac:dyDescent="0.25">
      <c r="B7379">
        <v>0</v>
      </c>
      <c r="C7379" s="16" t="s">
        <v>16498</v>
      </c>
      <c r="D7379" s="16"/>
      <c r="E7379">
        <v>6</v>
      </c>
      <c r="F7379" t="s">
        <v>4680</v>
      </c>
      <c r="G7379">
        <v>1</v>
      </c>
      <c r="H7379">
        <v>0</v>
      </c>
      <c r="I7379">
        <f>1</f>
        <v>1</v>
      </c>
    </row>
    <row r="7380" spans="2:9" x14ac:dyDescent="0.25">
      <c r="B7380">
        <v>0</v>
      </c>
      <c r="C7380" s="16" t="s">
        <v>16499</v>
      </c>
      <c r="D7380" s="16"/>
      <c r="E7380">
        <v>6</v>
      </c>
      <c r="F7380" t="s">
        <v>7866</v>
      </c>
      <c r="G7380">
        <v>1</v>
      </c>
      <c r="H7380">
        <v>0</v>
      </c>
      <c r="I7380">
        <f>1</f>
        <v>1</v>
      </c>
    </row>
    <row r="7381" spans="2:9" x14ac:dyDescent="0.25">
      <c r="B7381">
        <v>0</v>
      </c>
      <c r="C7381" s="16" t="s">
        <v>16500</v>
      </c>
      <c r="D7381" s="16"/>
      <c r="E7381">
        <v>6</v>
      </c>
      <c r="F7381" t="s">
        <v>4680</v>
      </c>
      <c r="G7381">
        <v>1</v>
      </c>
      <c r="H7381">
        <v>0</v>
      </c>
      <c r="I7381">
        <f>1</f>
        <v>1</v>
      </c>
    </row>
    <row r="7382" spans="2:9" x14ac:dyDescent="0.25">
      <c r="B7382">
        <v>0</v>
      </c>
      <c r="C7382" s="16" t="s">
        <v>16501</v>
      </c>
      <c r="D7382" s="16"/>
      <c r="E7382">
        <v>6</v>
      </c>
      <c r="F7382" t="e">
        <f>-De cobre refinado</f>
        <v>#NAME?</v>
      </c>
      <c r="G7382">
        <v>1</v>
      </c>
      <c r="H7382">
        <v>0</v>
      </c>
      <c r="I7382">
        <f>1</f>
        <v>1</v>
      </c>
    </row>
    <row r="7383" spans="2:9" x14ac:dyDescent="0.25">
      <c r="B7383">
        <v>0</v>
      </c>
      <c r="C7383" s="16" t="s">
        <v>16502</v>
      </c>
      <c r="D7383" s="16"/>
      <c r="E7383">
        <v>6</v>
      </c>
      <c r="F7383" t="e">
        <f>-De Ligas De cobre</f>
        <v>#NAME?</v>
      </c>
      <c r="G7383">
        <v>1</v>
      </c>
      <c r="H7383">
        <v>0</v>
      </c>
      <c r="I7383">
        <f>1</f>
        <v>1</v>
      </c>
    </row>
    <row r="7384" spans="2:9" x14ac:dyDescent="0.25">
      <c r="B7384">
        <v>0</v>
      </c>
      <c r="C7384" s="16" t="s">
        <v>16503</v>
      </c>
      <c r="D7384" s="16"/>
      <c r="E7384">
        <v>6</v>
      </c>
      <c r="F7384" t="s">
        <v>7867</v>
      </c>
      <c r="G7384">
        <v>1</v>
      </c>
      <c r="H7384">
        <v>0</v>
      </c>
      <c r="I7384">
        <f>1</f>
        <v>1</v>
      </c>
    </row>
    <row r="7385" spans="2:9" x14ac:dyDescent="0.25">
      <c r="B7385">
        <v>0</v>
      </c>
      <c r="C7385" s="16" t="s">
        <v>16504</v>
      </c>
      <c r="D7385" s="16"/>
      <c r="E7385">
        <v>6</v>
      </c>
      <c r="F7385" t="s">
        <v>7868</v>
      </c>
      <c r="G7385">
        <v>1</v>
      </c>
      <c r="H7385">
        <v>0</v>
      </c>
      <c r="I7385">
        <f>1</f>
        <v>1</v>
      </c>
    </row>
    <row r="7386" spans="2:9" x14ac:dyDescent="0.25">
      <c r="B7386">
        <v>0</v>
      </c>
      <c r="C7386" s="16" t="s">
        <v>16505</v>
      </c>
      <c r="D7386" s="16"/>
      <c r="E7386">
        <v>6</v>
      </c>
      <c r="F7386" t="e">
        <f>--Arruelas  incluindo as De pressão</f>
        <v>#NAME?</v>
      </c>
      <c r="G7386">
        <v>1</v>
      </c>
      <c r="H7386">
        <v>0</v>
      </c>
      <c r="I7386">
        <f>1</f>
        <v>1</v>
      </c>
    </row>
    <row r="7387" spans="2:9" x14ac:dyDescent="0.25">
      <c r="B7387">
        <v>0</v>
      </c>
      <c r="C7387" s="16" t="s">
        <v>16506</v>
      </c>
      <c r="D7387" s="16"/>
      <c r="E7387">
        <v>6</v>
      </c>
      <c r="F7387" t="e">
        <f>--outros</f>
        <v>#NAME?</v>
      </c>
      <c r="G7387">
        <v>1</v>
      </c>
      <c r="H7387">
        <v>0</v>
      </c>
      <c r="I7387">
        <f>1</f>
        <v>1</v>
      </c>
    </row>
    <row r="7388" spans="2:9" x14ac:dyDescent="0.25">
      <c r="B7388">
        <v>0</v>
      </c>
      <c r="C7388" s="16" t="s">
        <v>16507</v>
      </c>
      <c r="D7388" s="16"/>
      <c r="E7388">
        <v>6</v>
      </c>
      <c r="F7388" t="s">
        <v>7869</v>
      </c>
      <c r="G7388">
        <v>1</v>
      </c>
      <c r="H7388">
        <v>0</v>
      </c>
      <c r="I7388">
        <f>1</f>
        <v>1</v>
      </c>
    </row>
    <row r="7389" spans="2:9" x14ac:dyDescent="0.25">
      <c r="B7389">
        <v>0</v>
      </c>
      <c r="C7389" s="16" t="s">
        <v>16508</v>
      </c>
      <c r="D7389" s="16"/>
      <c r="E7389">
        <v>6</v>
      </c>
      <c r="F7389" t="e">
        <f>--outros</f>
        <v>#NAME?</v>
      </c>
      <c r="G7389">
        <v>1</v>
      </c>
      <c r="H7389">
        <v>0</v>
      </c>
      <c r="I7389">
        <f>1</f>
        <v>1</v>
      </c>
    </row>
    <row r="7390" spans="2:9" x14ac:dyDescent="0.25">
      <c r="B7390">
        <v>0</v>
      </c>
      <c r="C7390" s="16" t="s">
        <v>16509</v>
      </c>
      <c r="D7390" s="16"/>
      <c r="E7390">
        <v>6</v>
      </c>
      <c r="F7390" t="s">
        <v>7870</v>
      </c>
      <c r="G7390">
        <v>1</v>
      </c>
      <c r="H7390">
        <v>0</v>
      </c>
      <c r="I7390">
        <f>1</f>
        <v>1</v>
      </c>
    </row>
    <row r="7391" spans="2:9" x14ac:dyDescent="0.25">
      <c r="B7391">
        <v>0</v>
      </c>
      <c r="C7391" s="16" t="s">
        <v>16510</v>
      </c>
      <c r="D7391" s="16"/>
      <c r="E7391">
        <v>6</v>
      </c>
      <c r="F7391" t="s">
        <v>7871</v>
      </c>
      <c r="G7391">
        <v>1</v>
      </c>
      <c r="H7391">
        <v>0</v>
      </c>
      <c r="I7391">
        <f>1</f>
        <v>1</v>
      </c>
    </row>
    <row r="7392" spans="2:9" x14ac:dyDescent="0.25">
      <c r="B7392">
        <v>0</v>
      </c>
      <c r="C7392" s="16" t="s">
        <v>16511</v>
      </c>
      <c r="D7392" s="16"/>
      <c r="E7392">
        <v>6</v>
      </c>
      <c r="F7392" t="s">
        <v>7872</v>
      </c>
      <c r="G7392">
        <v>1</v>
      </c>
      <c r="H7392">
        <v>0</v>
      </c>
      <c r="I7392">
        <f>1</f>
        <v>1</v>
      </c>
    </row>
    <row r="7393" spans="2:9" x14ac:dyDescent="0.25">
      <c r="B7393">
        <v>0</v>
      </c>
      <c r="C7393" s="16" t="s">
        <v>16512</v>
      </c>
      <c r="D7393" s="16"/>
      <c r="E7393">
        <v>6</v>
      </c>
      <c r="F7393" t="s">
        <v>7873</v>
      </c>
      <c r="G7393">
        <v>1</v>
      </c>
      <c r="H7393">
        <v>0</v>
      </c>
      <c r="I7393">
        <f>1</f>
        <v>1</v>
      </c>
    </row>
    <row r="7394" spans="2:9" x14ac:dyDescent="0.25">
      <c r="B7394">
        <v>0</v>
      </c>
      <c r="C7394" s="16" t="s">
        <v>16513</v>
      </c>
      <c r="D7394" s="16"/>
      <c r="E7394">
        <v>6</v>
      </c>
      <c r="F7394" t="s">
        <v>7874</v>
      </c>
      <c r="G7394">
        <v>1</v>
      </c>
      <c r="H7394">
        <v>0</v>
      </c>
      <c r="I7394">
        <f>1</f>
        <v>1</v>
      </c>
    </row>
    <row r="7395" spans="2:9" x14ac:dyDescent="0.25">
      <c r="B7395">
        <v>0</v>
      </c>
      <c r="C7395" s="16" t="s">
        <v>16514</v>
      </c>
      <c r="D7395" s="16"/>
      <c r="E7395">
        <v>6</v>
      </c>
      <c r="F7395" t="s">
        <v>7875</v>
      </c>
      <c r="G7395">
        <v>1</v>
      </c>
      <c r="H7395">
        <v>0</v>
      </c>
      <c r="I7395">
        <f>1</f>
        <v>1</v>
      </c>
    </row>
    <row r="7396" spans="2:9" x14ac:dyDescent="0.25">
      <c r="B7396">
        <v>0</v>
      </c>
      <c r="C7396" s="16" t="s">
        <v>16515</v>
      </c>
      <c r="D7396" s="16"/>
      <c r="E7396">
        <v>6</v>
      </c>
      <c r="F7396" t="s">
        <v>7876</v>
      </c>
      <c r="G7396">
        <v>1</v>
      </c>
      <c r="H7396">
        <v>0</v>
      </c>
      <c r="I7396">
        <f>1</f>
        <v>1</v>
      </c>
    </row>
    <row r="7397" spans="2:9" x14ac:dyDescent="0.25">
      <c r="B7397">
        <v>0</v>
      </c>
      <c r="C7397" s="16" t="s">
        <v>16516</v>
      </c>
      <c r="D7397" s="16"/>
      <c r="E7397">
        <v>6</v>
      </c>
      <c r="F7397" t="s">
        <v>4690</v>
      </c>
      <c r="G7397">
        <v>1</v>
      </c>
      <c r="H7397">
        <v>0</v>
      </c>
      <c r="I7397">
        <f>1</f>
        <v>1</v>
      </c>
    </row>
    <row r="7398" spans="2:9" x14ac:dyDescent="0.25">
      <c r="B7398">
        <v>0</v>
      </c>
      <c r="C7398" s="16" t="s">
        <v>16516</v>
      </c>
      <c r="D7398" s="16" t="s">
        <v>19430</v>
      </c>
      <c r="E7398">
        <v>6</v>
      </c>
      <c r="F7398" t="s">
        <v>7877</v>
      </c>
      <c r="G7398">
        <v>1</v>
      </c>
      <c r="H7398">
        <v>0</v>
      </c>
      <c r="I7398">
        <f>1</f>
        <v>1</v>
      </c>
    </row>
    <row r="7399" spans="2:9" x14ac:dyDescent="0.25">
      <c r="B7399">
        <v>0</v>
      </c>
      <c r="C7399" s="16" t="s">
        <v>16517</v>
      </c>
      <c r="D7399" s="16"/>
      <c r="E7399">
        <v>6</v>
      </c>
      <c r="F7399" t="e">
        <f>-Mates De níquel</f>
        <v>#NAME?</v>
      </c>
      <c r="G7399">
        <v>1</v>
      </c>
      <c r="H7399">
        <v>0</v>
      </c>
      <c r="I7399">
        <f>1</f>
        <v>1</v>
      </c>
    </row>
    <row r="7400" spans="2:9" x14ac:dyDescent="0.25">
      <c r="B7400">
        <v>0</v>
      </c>
      <c r="C7400" s="16" t="s">
        <v>16518</v>
      </c>
      <c r="D7400" s="16"/>
      <c r="E7400">
        <v>6</v>
      </c>
      <c r="F7400" t="e">
        <f>-Sinters De óxidos De níquel e outros produtos intermediários da metalurgia do níquel</f>
        <v>#NAME?</v>
      </c>
      <c r="G7400">
        <v>1</v>
      </c>
      <c r="H7400">
        <v>0</v>
      </c>
      <c r="I7400">
        <f>1</f>
        <v>1</v>
      </c>
    </row>
    <row r="7401" spans="2:9" x14ac:dyDescent="0.25">
      <c r="B7401">
        <v>0</v>
      </c>
      <c r="C7401" s="16" t="s">
        <v>16519</v>
      </c>
      <c r="D7401" s="16"/>
      <c r="E7401">
        <v>6</v>
      </c>
      <c r="F7401" t="s">
        <v>7878</v>
      </c>
      <c r="G7401">
        <v>1</v>
      </c>
      <c r="H7401">
        <v>0</v>
      </c>
      <c r="I7401">
        <f>1</f>
        <v>1</v>
      </c>
    </row>
    <row r="7402" spans="2:9" x14ac:dyDescent="0.25">
      <c r="B7402">
        <v>0</v>
      </c>
      <c r="C7402" s="16" t="s">
        <v>16520</v>
      </c>
      <c r="D7402" s="16"/>
      <c r="E7402">
        <v>6</v>
      </c>
      <c r="F7402" t="s">
        <v>4680</v>
      </c>
      <c r="G7402">
        <v>1</v>
      </c>
      <c r="H7402">
        <v>0</v>
      </c>
      <c r="I7402">
        <f>1</f>
        <v>1</v>
      </c>
    </row>
    <row r="7403" spans="2:9" x14ac:dyDescent="0.25">
      <c r="B7403">
        <v>0</v>
      </c>
      <c r="C7403" s="16" t="s">
        <v>16521</v>
      </c>
      <c r="D7403" s="16"/>
      <c r="E7403">
        <v>6</v>
      </c>
      <c r="F7403" t="e">
        <f>-Ligas De níquel</f>
        <v>#NAME?</v>
      </c>
      <c r="G7403">
        <v>1</v>
      </c>
      <c r="H7403">
        <v>0</v>
      </c>
      <c r="I7403">
        <f>1</f>
        <v>1</v>
      </c>
    </row>
    <row r="7404" spans="2:9" x14ac:dyDescent="0.25">
      <c r="B7404">
        <v>0</v>
      </c>
      <c r="C7404" s="16" t="s">
        <v>16522</v>
      </c>
      <c r="D7404" s="16"/>
      <c r="E7404">
        <v>6</v>
      </c>
      <c r="F7404" t="s">
        <v>7879</v>
      </c>
      <c r="G7404">
        <v>1</v>
      </c>
      <c r="H7404">
        <v>0</v>
      </c>
      <c r="I7404">
        <f>1</f>
        <v>1</v>
      </c>
    </row>
    <row r="7405" spans="2:9" x14ac:dyDescent="0.25">
      <c r="B7405">
        <v>0</v>
      </c>
      <c r="C7405" s="16" t="s">
        <v>16523</v>
      </c>
      <c r="D7405" s="16"/>
      <c r="E7405">
        <v>6</v>
      </c>
      <c r="F7405" t="s">
        <v>7880</v>
      </c>
      <c r="G7405">
        <v>1</v>
      </c>
      <c r="H7405">
        <v>0</v>
      </c>
      <c r="I7405">
        <f>1</f>
        <v>1</v>
      </c>
    </row>
    <row r="7406" spans="2:9" x14ac:dyDescent="0.25">
      <c r="B7406">
        <v>0</v>
      </c>
      <c r="C7406" s="16" t="s">
        <v>16524</v>
      </c>
      <c r="D7406" s="16"/>
      <c r="E7406">
        <v>6</v>
      </c>
      <c r="F7406" t="s">
        <v>4680</v>
      </c>
      <c r="G7406">
        <v>1</v>
      </c>
      <c r="H7406">
        <v>0</v>
      </c>
      <c r="I7406">
        <f>1</f>
        <v>1</v>
      </c>
    </row>
    <row r="7407" spans="2:9" x14ac:dyDescent="0.25">
      <c r="B7407">
        <v>0</v>
      </c>
      <c r="C7407" s="16" t="s">
        <v>16525</v>
      </c>
      <c r="D7407" s="16"/>
      <c r="E7407">
        <v>6</v>
      </c>
      <c r="F7407" t="s">
        <v>7854</v>
      </c>
      <c r="G7407">
        <v>1</v>
      </c>
      <c r="H7407">
        <v>0</v>
      </c>
      <c r="I7407">
        <f>1</f>
        <v>1</v>
      </c>
    </row>
    <row r="7408" spans="2:9" x14ac:dyDescent="0.25">
      <c r="B7408">
        <v>0</v>
      </c>
      <c r="C7408" s="16" t="s">
        <v>16526</v>
      </c>
      <c r="D7408" s="16"/>
      <c r="E7408">
        <v>6</v>
      </c>
      <c r="F7408" t="s">
        <v>7855</v>
      </c>
      <c r="G7408">
        <v>1</v>
      </c>
      <c r="H7408">
        <v>0</v>
      </c>
      <c r="I7408">
        <f>1</f>
        <v>1</v>
      </c>
    </row>
    <row r="7409" spans="2:9" x14ac:dyDescent="0.25">
      <c r="B7409">
        <v>0</v>
      </c>
      <c r="C7409" s="16" t="s">
        <v>16527</v>
      </c>
      <c r="D7409" s="16"/>
      <c r="E7409">
        <v>6</v>
      </c>
      <c r="F7409" t="s">
        <v>4680</v>
      </c>
      <c r="G7409">
        <v>1</v>
      </c>
      <c r="H7409">
        <v>0</v>
      </c>
      <c r="I7409">
        <f>1</f>
        <v>1</v>
      </c>
    </row>
    <row r="7410" spans="2:9" x14ac:dyDescent="0.25">
      <c r="B7410">
        <v>0</v>
      </c>
      <c r="C7410" s="16" t="s">
        <v>16528</v>
      </c>
      <c r="D7410" s="16"/>
      <c r="E7410">
        <v>6</v>
      </c>
      <c r="F7410" t="s">
        <v>7854</v>
      </c>
      <c r="G7410">
        <v>1</v>
      </c>
      <c r="H7410">
        <v>0</v>
      </c>
      <c r="I7410">
        <f>1</f>
        <v>1</v>
      </c>
    </row>
    <row r="7411" spans="2:9" x14ac:dyDescent="0.25">
      <c r="B7411">
        <v>0</v>
      </c>
      <c r="C7411" s="16" t="s">
        <v>16529</v>
      </c>
      <c r="D7411" s="16"/>
      <c r="E7411">
        <v>6</v>
      </c>
      <c r="F7411" t="s">
        <v>7855</v>
      </c>
      <c r="G7411">
        <v>1</v>
      </c>
      <c r="H7411">
        <v>0</v>
      </c>
      <c r="I7411">
        <f>1</f>
        <v>1</v>
      </c>
    </row>
    <row r="7412" spans="2:9" x14ac:dyDescent="0.25">
      <c r="B7412">
        <v>0</v>
      </c>
      <c r="C7412" s="16" t="s">
        <v>16530</v>
      </c>
      <c r="D7412" s="16"/>
      <c r="E7412">
        <v>6</v>
      </c>
      <c r="F7412" t="s">
        <v>4680</v>
      </c>
      <c r="G7412">
        <v>1</v>
      </c>
      <c r="H7412">
        <v>0</v>
      </c>
      <c r="I7412">
        <f>1</f>
        <v>1</v>
      </c>
    </row>
    <row r="7413" spans="2:9" x14ac:dyDescent="0.25">
      <c r="B7413">
        <v>0</v>
      </c>
      <c r="C7413" s="16" t="s">
        <v>16531</v>
      </c>
      <c r="D7413" s="16"/>
      <c r="E7413">
        <v>6</v>
      </c>
      <c r="F7413" t="e">
        <f>--De níquel Não ligado</f>
        <v>#NAME?</v>
      </c>
      <c r="G7413">
        <v>1</v>
      </c>
      <c r="H7413">
        <v>0</v>
      </c>
      <c r="I7413">
        <f>1</f>
        <v>1</v>
      </c>
    </row>
    <row r="7414" spans="2:9" x14ac:dyDescent="0.25">
      <c r="B7414">
        <v>0</v>
      </c>
      <c r="C7414" s="16" t="s">
        <v>16532</v>
      </c>
      <c r="D7414" s="16"/>
      <c r="E7414">
        <v>6</v>
      </c>
      <c r="F7414" t="e">
        <f>--De Ligas De níquel</f>
        <v>#NAME?</v>
      </c>
      <c r="G7414">
        <v>1</v>
      </c>
      <c r="H7414">
        <v>0</v>
      </c>
      <c r="I7414">
        <f>1</f>
        <v>1</v>
      </c>
    </row>
    <row r="7415" spans="2:9" x14ac:dyDescent="0.25">
      <c r="B7415">
        <v>0</v>
      </c>
      <c r="C7415" s="16" t="s">
        <v>16533</v>
      </c>
      <c r="D7415" s="16"/>
      <c r="E7415">
        <v>6</v>
      </c>
      <c r="F7415" t="e">
        <f>-De níquel Não ligado</f>
        <v>#NAME?</v>
      </c>
      <c r="G7415">
        <v>1</v>
      </c>
      <c r="H7415">
        <v>0</v>
      </c>
      <c r="I7415">
        <f>1</f>
        <v>1</v>
      </c>
    </row>
    <row r="7416" spans="2:9" x14ac:dyDescent="0.25">
      <c r="B7416">
        <v>0</v>
      </c>
      <c r="C7416" s="16" t="s">
        <v>16534</v>
      </c>
      <c r="D7416" s="16"/>
      <c r="E7416">
        <v>6</v>
      </c>
      <c r="F7416" t="e">
        <f>-De Ligas De níquel</f>
        <v>#NAME?</v>
      </c>
      <c r="G7416">
        <v>1</v>
      </c>
      <c r="H7416">
        <v>0</v>
      </c>
      <c r="I7416">
        <f>1</f>
        <v>1</v>
      </c>
    </row>
    <row r="7417" spans="2:9" x14ac:dyDescent="0.25">
      <c r="B7417">
        <v>0</v>
      </c>
      <c r="C7417" s="16" t="s">
        <v>16535</v>
      </c>
      <c r="D7417" s="16"/>
      <c r="E7417">
        <v>6</v>
      </c>
      <c r="F7417" t="e">
        <f>--De níquel Não ligado</f>
        <v>#NAME?</v>
      </c>
      <c r="G7417">
        <v>1</v>
      </c>
      <c r="H7417">
        <v>0</v>
      </c>
      <c r="I7417">
        <f>1</f>
        <v>1</v>
      </c>
    </row>
    <row r="7418" spans="2:9" x14ac:dyDescent="0.25">
      <c r="B7418">
        <v>0</v>
      </c>
      <c r="C7418" s="16" t="s">
        <v>16536</v>
      </c>
      <c r="D7418" s="16"/>
      <c r="E7418">
        <v>6</v>
      </c>
      <c r="F7418" t="e">
        <f>--De Ligas De níquel</f>
        <v>#NAME?</v>
      </c>
      <c r="G7418">
        <v>1</v>
      </c>
      <c r="H7418">
        <v>0</v>
      </c>
      <c r="I7418">
        <f>1</f>
        <v>1</v>
      </c>
    </row>
    <row r="7419" spans="2:9" x14ac:dyDescent="0.25">
      <c r="B7419">
        <v>0</v>
      </c>
      <c r="C7419" s="16" t="s">
        <v>16537</v>
      </c>
      <c r="D7419" s="16"/>
      <c r="E7419">
        <v>6</v>
      </c>
      <c r="F7419" t="e">
        <f>-acessórios para Tubos</f>
        <v>#NAME?</v>
      </c>
      <c r="G7419">
        <v>1</v>
      </c>
      <c r="H7419">
        <v>0</v>
      </c>
      <c r="I7419">
        <f>1</f>
        <v>1</v>
      </c>
    </row>
    <row r="7420" spans="2:9" x14ac:dyDescent="0.25">
      <c r="B7420">
        <v>0</v>
      </c>
      <c r="C7420" s="16" t="s">
        <v>16538</v>
      </c>
      <c r="D7420" s="16"/>
      <c r="E7420">
        <v>6</v>
      </c>
      <c r="F7420" t="s">
        <v>7881</v>
      </c>
      <c r="G7420">
        <v>1</v>
      </c>
      <c r="H7420">
        <v>0</v>
      </c>
      <c r="I7420">
        <f>1</f>
        <v>1</v>
      </c>
    </row>
    <row r="7421" spans="2:9" x14ac:dyDescent="0.25">
      <c r="B7421">
        <v>0</v>
      </c>
      <c r="C7421" s="16" t="s">
        <v>16539</v>
      </c>
      <c r="D7421" s="16"/>
      <c r="E7421">
        <v>6</v>
      </c>
      <c r="F7421" t="s">
        <v>7882</v>
      </c>
      <c r="G7421">
        <v>1</v>
      </c>
      <c r="H7421">
        <v>0</v>
      </c>
      <c r="I7421">
        <f>1</f>
        <v>1</v>
      </c>
    </row>
    <row r="7422" spans="2:9" x14ac:dyDescent="0.25">
      <c r="B7422">
        <v>0</v>
      </c>
      <c r="C7422" s="16" t="s">
        <v>16540</v>
      </c>
      <c r="D7422" s="16"/>
      <c r="E7422">
        <v>6</v>
      </c>
      <c r="F7422" t="s">
        <v>4690</v>
      </c>
      <c r="G7422">
        <v>1</v>
      </c>
      <c r="H7422">
        <v>0</v>
      </c>
      <c r="I7422">
        <f>1</f>
        <v>1</v>
      </c>
    </row>
    <row r="7423" spans="2:9" x14ac:dyDescent="0.25">
      <c r="B7423">
        <v>0</v>
      </c>
      <c r="C7423" s="16" t="s">
        <v>16541</v>
      </c>
      <c r="D7423" s="16"/>
      <c r="E7423">
        <v>6</v>
      </c>
      <c r="F7423" t="e">
        <f>-alumínio Não ligado</f>
        <v>#NAME?</v>
      </c>
      <c r="G7423">
        <v>1</v>
      </c>
      <c r="H7423">
        <v>0</v>
      </c>
      <c r="I7423">
        <f>1</f>
        <v>1</v>
      </c>
    </row>
    <row r="7424" spans="2:9" x14ac:dyDescent="0.25">
      <c r="B7424">
        <v>0</v>
      </c>
      <c r="C7424" s="16" t="s">
        <v>16542</v>
      </c>
      <c r="D7424" s="16"/>
      <c r="E7424">
        <v>6</v>
      </c>
      <c r="F7424" t="e">
        <f>-Ligas De alumínio</f>
        <v>#NAME?</v>
      </c>
      <c r="G7424">
        <v>1</v>
      </c>
      <c r="H7424">
        <v>0</v>
      </c>
      <c r="I7424">
        <f>1</f>
        <v>1</v>
      </c>
    </row>
    <row r="7425" spans="2:9" x14ac:dyDescent="0.25">
      <c r="B7425">
        <v>0</v>
      </c>
      <c r="C7425" s="16" t="s">
        <v>16543</v>
      </c>
      <c r="D7425" s="16"/>
      <c r="E7425">
        <v>6</v>
      </c>
      <c r="F7425" t="s">
        <v>7883</v>
      </c>
      <c r="G7425">
        <v>1</v>
      </c>
      <c r="H7425">
        <v>0</v>
      </c>
      <c r="I7425">
        <f>1</f>
        <v>1</v>
      </c>
    </row>
    <row r="7426" spans="2:9" x14ac:dyDescent="0.25">
      <c r="B7426">
        <v>0</v>
      </c>
      <c r="C7426" s="16" t="s">
        <v>16544</v>
      </c>
      <c r="D7426" s="16"/>
      <c r="E7426">
        <v>6</v>
      </c>
      <c r="F7426" t="e">
        <f>-Pós De estrutura Não lamelar</f>
        <v>#NAME?</v>
      </c>
      <c r="G7426">
        <v>1</v>
      </c>
      <c r="H7426">
        <v>0</v>
      </c>
      <c r="I7426">
        <f>1</f>
        <v>1</v>
      </c>
    </row>
    <row r="7427" spans="2:9" x14ac:dyDescent="0.25">
      <c r="B7427">
        <v>0</v>
      </c>
      <c r="C7427" s="16" t="s">
        <v>16545</v>
      </c>
      <c r="D7427" s="16"/>
      <c r="E7427">
        <v>6</v>
      </c>
      <c r="F7427" t="s">
        <v>7853</v>
      </c>
      <c r="G7427">
        <v>1</v>
      </c>
      <c r="H7427">
        <v>0</v>
      </c>
      <c r="I7427">
        <f>1</f>
        <v>1</v>
      </c>
    </row>
    <row r="7428" spans="2:9" x14ac:dyDescent="0.25">
      <c r="B7428">
        <v>0</v>
      </c>
      <c r="C7428" s="16" t="s">
        <v>16546</v>
      </c>
      <c r="D7428" s="16"/>
      <c r="E7428">
        <v>6</v>
      </c>
      <c r="F7428" t="s">
        <v>7854</v>
      </c>
      <c r="G7428">
        <v>1</v>
      </c>
      <c r="H7428">
        <v>0</v>
      </c>
      <c r="I7428">
        <f>1</f>
        <v>1</v>
      </c>
    </row>
    <row r="7429" spans="2:9" x14ac:dyDescent="0.25">
      <c r="B7429">
        <v>0</v>
      </c>
      <c r="C7429" s="16" t="s">
        <v>16547</v>
      </c>
      <c r="D7429" s="16"/>
      <c r="E7429">
        <v>6</v>
      </c>
      <c r="F7429" t="s">
        <v>7855</v>
      </c>
      <c r="G7429">
        <v>1</v>
      </c>
      <c r="H7429">
        <v>0</v>
      </c>
      <c r="I7429">
        <f>1</f>
        <v>1</v>
      </c>
    </row>
    <row r="7430" spans="2:9" x14ac:dyDescent="0.25">
      <c r="B7430">
        <v>0</v>
      </c>
      <c r="C7430" s="16" t="s">
        <v>16548</v>
      </c>
      <c r="D7430" s="16"/>
      <c r="E7430">
        <v>6</v>
      </c>
      <c r="F7430" t="s">
        <v>4680</v>
      </c>
      <c r="G7430">
        <v>1</v>
      </c>
      <c r="H7430">
        <v>0</v>
      </c>
      <c r="I7430">
        <f>1</f>
        <v>1</v>
      </c>
    </row>
    <row r="7431" spans="2:9" x14ac:dyDescent="0.25">
      <c r="B7431">
        <v>0</v>
      </c>
      <c r="C7431" s="16" t="s">
        <v>16549</v>
      </c>
      <c r="D7431" s="16"/>
      <c r="E7431">
        <v>6</v>
      </c>
      <c r="F7431" t="e">
        <f>--Perfis ocos</f>
        <v>#NAME?</v>
      </c>
      <c r="G7431">
        <v>1</v>
      </c>
      <c r="H7431">
        <v>0</v>
      </c>
      <c r="I7431">
        <f>1</f>
        <v>1</v>
      </c>
    </row>
    <row r="7432" spans="2:9" x14ac:dyDescent="0.25">
      <c r="B7432">
        <v>0</v>
      </c>
      <c r="C7432" s="16" t="s">
        <v>16550</v>
      </c>
      <c r="D7432" s="16"/>
      <c r="E7432">
        <v>6</v>
      </c>
      <c r="F7432" t="s">
        <v>7884</v>
      </c>
      <c r="G7432">
        <v>1</v>
      </c>
      <c r="H7432">
        <v>0</v>
      </c>
      <c r="I7432">
        <f>1</f>
        <v>1</v>
      </c>
    </row>
    <row r="7433" spans="2:9" x14ac:dyDescent="0.25">
      <c r="B7433">
        <v>0</v>
      </c>
      <c r="C7433" s="16" t="s">
        <v>16551</v>
      </c>
      <c r="D7433" s="16"/>
      <c r="E7433">
        <v>6</v>
      </c>
      <c r="F7433" t="s">
        <v>4690</v>
      </c>
      <c r="G7433">
        <v>1</v>
      </c>
      <c r="H7433">
        <v>0</v>
      </c>
      <c r="I7433">
        <f>1</f>
        <v>1</v>
      </c>
    </row>
    <row r="7434" spans="2:9" x14ac:dyDescent="0.25">
      <c r="B7434">
        <v>0</v>
      </c>
      <c r="C7434" s="16" t="s">
        <v>16552</v>
      </c>
      <c r="D7434" s="16"/>
      <c r="E7434">
        <v>6</v>
      </c>
      <c r="F7434" t="s">
        <v>7856</v>
      </c>
      <c r="G7434">
        <v>1</v>
      </c>
      <c r="H7434">
        <v>0</v>
      </c>
      <c r="I7434">
        <f>1</f>
        <v>1</v>
      </c>
    </row>
    <row r="7435" spans="2:9" x14ac:dyDescent="0.25">
      <c r="B7435">
        <v>0</v>
      </c>
      <c r="C7435" s="16" t="s">
        <v>16553</v>
      </c>
      <c r="D7435" s="16"/>
      <c r="E7435">
        <v>6</v>
      </c>
      <c r="F7435" t="s">
        <v>7885</v>
      </c>
      <c r="G7435">
        <v>1</v>
      </c>
      <c r="H7435">
        <v>0</v>
      </c>
      <c r="I7435">
        <f>1</f>
        <v>1</v>
      </c>
    </row>
    <row r="7436" spans="2:9" x14ac:dyDescent="0.25">
      <c r="B7436">
        <v>0</v>
      </c>
      <c r="C7436" s="16" t="s">
        <v>16554</v>
      </c>
      <c r="D7436" s="16"/>
      <c r="E7436">
        <v>6</v>
      </c>
      <c r="F7436" t="s">
        <v>4680</v>
      </c>
      <c r="G7436">
        <v>1</v>
      </c>
      <c r="H7436">
        <v>0</v>
      </c>
      <c r="I7436">
        <f>1</f>
        <v>1</v>
      </c>
    </row>
    <row r="7437" spans="2:9" x14ac:dyDescent="0.25">
      <c r="B7437">
        <v>0</v>
      </c>
      <c r="C7437" s="16" t="s">
        <v>16555</v>
      </c>
      <c r="D7437" s="16"/>
      <c r="E7437">
        <v>6</v>
      </c>
      <c r="F7437" t="s">
        <v>7885</v>
      </c>
      <c r="G7437">
        <v>1</v>
      </c>
      <c r="H7437">
        <v>0</v>
      </c>
      <c r="I7437">
        <f>1</f>
        <v>1</v>
      </c>
    </row>
    <row r="7438" spans="2:9" x14ac:dyDescent="0.25">
      <c r="B7438">
        <v>0</v>
      </c>
      <c r="C7438" s="16" t="s">
        <v>16556</v>
      </c>
      <c r="D7438" s="16"/>
      <c r="E7438">
        <v>6</v>
      </c>
      <c r="F7438" t="s">
        <v>4680</v>
      </c>
      <c r="G7438">
        <v>1</v>
      </c>
      <c r="H7438">
        <v>0</v>
      </c>
      <c r="I7438">
        <f>1</f>
        <v>1</v>
      </c>
    </row>
    <row r="7439" spans="2:9" x14ac:dyDescent="0.25">
      <c r="B7439">
        <v>0</v>
      </c>
      <c r="C7439" s="16" t="s">
        <v>16557</v>
      </c>
      <c r="D7439" s="16"/>
      <c r="E7439">
        <v>6</v>
      </c>
      <c r="F7439" t="s">
        <v>7886</v>
      </c>
      <c r="G7439">
        <v>1</v>
      </c>
      <c r="H7439">
        <v>0</v>
      </c>
      <c r="I7439">
        <f>1</f>
        <v>1</v>
      </c>
    </row>
    <row r="7440" spans="2:9" x14ac:dyDescent="0.25">
      <c r="B7440">
        <v>0</v>
      </c>
      <c r="C7440" s="16" t="s">
        <v>16558</v>
      </c>
      <c r="D7440" s="16"/>
      <c r="E7440">
        <v>6</v>
      </c>
      <c r="F7440" t="s">
        <v>4680</v>
      </c>
      <c r="G7440">
        <v>1</v>
      </c>
      <c r="H7440">
        <v>0</v>
      </c>
      <c r="I7440">
        <f>1</f>
        <v>1</v>
      </c>
    </row>
    <row r="7441" spans="2:9" x14ac:dyDescent="0.25">
      <c r="B7441">
        <v>0</v>
      </c>
      <c r="C7441" s="16" t="s">
        <v>16559</v>
      </c>
      <c r="D7441" s="16"/>
      <c r="E7441">
        <v>6</v>
      </c>
      <c r="F7441" t="s">
        <v>7886</v>
      </c>
      <c r="G7441">
        <v>1</v>
      </c>
      <c r="H7441">
        <v>0</v>
      </c>
      <c r="I7441">
        <f>1</f>
        <v>1</v>
      </c>
    </row>
    <row r="7442" spans="2:9" x14ac:dyDescent="0.25">
      <c r="B7442">
        <v>0</v>
      </c>
      <c r="C7442" s="16" t="s">
        <v>16560</v>
      </c>
      <c r="D7442" s="16"/>
      <c r="E7442">
        <v>6</v>
      </c>
      <c r="F7442" t="s">
        <v>4680</v>
      </c>
      <c r="G7442">
        <v>1</v>
      </c>
      <c r="H7442">
        <v>0</v>
      </c>
      <c r="I7442">
        <f>1</f>
        <v>1</v>
      </c>
    </row>
    <row r="7443" spans="2:9" x14ac:dyDescent="0.25">
      <c r="B7443">
        <v>0</v>
      </c>
      <c r="C7443" s="16" t="s">
        <v>16561</v>
      </c>
      <c r="D7443" s="16"/>
      <c r="E7443">
        <v>6</v>
      </c>
      <c r="F7443" t="s">
        <v>7887</v>
      </c>
      <c r="G7443">
        <v>1</v>
      </c>
      <c r="H7443">
        <v>0</v>
      </c>
      <c r="I7443">
        <f>1</f>
        <v>1</v>
      </c>
    </row>
    <row r="7444" spans="2:9" x14ac:dyDescent="0.25">
      <c r="B7444">
        <v>0</v>
      </c>
      <c r="C7444" s="16" t="s">
        <v>16562</v>
      </c>
      <c r="D7444" s="16"/>
      <c r="E7444">
        <v>6</v>
      </c>
      <c r="F7444" t="s">
        <v>4690</v>
      </c>
      <c r="G7444">
        <v>1</v>
      </c>
      <c r="H7444">
        <v>0</v>
      </c>
      <c r="I7444">
        <f>1</f>
        <v>1</v>
      </c>
    </row>
    <row r="7445" spans="2:9" x14ac:dyDescent="0.25">
      <c r="B7445">
        <v>0</v>
      </c>
      <c r="C7445" s="16" t="s">
        <v>16563</v>
      </c>
      <c r="D7445" s="16"/>
      <c r="E7445">
        <v>6</v>
      </c>
      <c r="F7445" t="s">
        <v>7888</v>
      </c>
      <c r="G7445">
        <v>1</v>
      </c>
      <c r="H7445">
        <v>0</v>
      </c>
      <c r="I7445">
        <f>1</f>
        <v>1</v>
      </c>
    </row>
    <row r="7446" spans="2:9" x14ac:dyDescent="0.25">
      <c r="B7446">
        <v>0</v>
      </c>
      <c r="C7446" s="16" t="s">
        <v>16564</v>
      </c>
      <c r="D7446" s="16"/>
      <c r="E7446">
        <v>6</v>
      </c>
      <c r="F7446" t="s">
        <v>7889</v>
      </c>
      <c r="G7446">
        <v>1</v>
      </c>
      <c r="H7446">
        <v>0</v>
      </c>
      <c r="I7446">
        <f>1</f>
        <v>1</v>
      </c>
    </row>
    <row r="7447" spans="2:9" x14ac:dyDescent="0.25">
      <c r="B7447">
        <v>0</v>
      </c>
      <c r="C7447" s="16" t="s">
        <v>16565</v>
      </c>
      <c r="D7447" s="16"/>
      <c r="E7447">
        <v>6</v>
      </c>
      <c r="F7447" t="s">
        <v>4690</v>
      </c>
      <c r="G7447">
        <v>1</v>
      </c>
      <c r="H7447">
        <v>0</v>
      </c>
      <c r="I7447">
        <f>1</f>
        <v>1</v>
      </c>
    </row>
    <row r="7448" spans="2:9" x14ac:dyDescent="0.25">
      <c r="B7448">
        <v>0</v>
      </c>
      <c r="C7448" s="16" t="s">
        <v>16566</v>
      </c>
      <c r="D7448" s="16"/>
      <c r="E7448">
        <v>6</v>
      </c>
      <c r="F7448" t="e">
        <f>--De alumínio Não ligado</f>
        <v>#NAME?</v>
      </c>
      <c r="G7448">
        <v>1</v>
      </c>
      <c r="H7448">
        <v>0</v>
      </c>
      <c r="I7448">
        <f>1</f>
        <v>1</v>
      </c>
    </row>
    <row r="7449" spans="2:9" x14ac:dyDescent="0.25">
      <c r="B7449">
        <v>0</v>
      </c>
      <c r="C7449" s="16" t="s">
        <v>16567</v>
      </c>
      <c r="D7449" s="16"/>
      <c r="E7449">
        <v>6</v>
      </c>
      <c r="F7449" t="e">
        <f>--De Ligas De alumínio</f>
        <v>#NAME?</v>
      </c>
      <c r="G7449">
        <v>1</v>
      </c>
      <c r="H7449">
        <v>0</v>
      </c>
      <c r="I7449">
        <f>1</f>
        <v>1</v>
      </c>
    </row>
    <row r="7450" spans="2:9" x14ac:dyDescent="0.25">
      <c r="B7450">
        <v>0</v>
      </c>
      <c r="C7450" s="16" t="s">
        <v>16568</v>
      </c>
      <c r="D7450" s="16"/>
      <c r="E7450">
        <v>6</v>
      </c>
      <c r="F7450" t="s">
        <v>7887</v>
      </c>
      <c r="G7450">
        <v>1</v>
      </c>
      <c r="H7450">
        <v>0</v>
      </c>
      <c r="I7450">
        <f>1</f>
        <v>1</v>
      </c>
    </row>
    <row r="7451" spans="2:9" x14ac:dyDescent="0.25">
      <c r="B7451">
        <v>0</v>
      </c>
      <c r="C7451" s="16" t="s">
        <v>16569</v>
      </c>
      <c r="D7451" s="16"/>
      <c r="E7451">
        <v>6</v>
      </c>
      <c r="F7451" t="s">
        <v>4690</v>
      </c>
      <c r="G7451">
        <v>1</v>
      </c>
      <c r="H7451">
        <v>0</v>
      </c>
      <c r="I7451">
        <f>1</f>
        <v>1</v>
      </c>
    </row>
    <row r="7452" spans="2:9" x14ac:dyDescent="0.25">
      <c r="B7452">
        <v>0</v>
      </c>
      <c r="C7452" s="16" t="s">
        <v>16570</v>
      </c>
      <c r="D7452" s="16"/>
      <c r="E7452">
        <v>6</v>
      </c>
      <c r="F7452" t="s">
        <v>7890</v>
      </c>
      <c r="G7452">
        <v>1</v>
      </c>
      <c r="H7452">
        <v>0</v>
      </c>
      <c r="I7452">
        <f>1</f>
        <v>1</v>
      </c>
    </row>
    <row r="7453" spans="2:9" x14ac:dyDescent="0.25">
      <c r="B7453">
        <v>0</v>
      </c>
      <c r="C7453" s="16" t="s">
        <v>16571</v>
      </c>
      <c r="D7453" s="16"/>
      <c r="E7453">
        <v>6</v>
      </c>
      <c r="F7453" t="s">
        <v>4690</v>
      </c>
      <c r="G7453">
        <v>1</v>
      </c>
      <c r="H7453">
        <v>0</v>
      </c>
      <c r="I7453">
        <f>1</f>
        <v>1</v>
      </c>
    </row>
    <row r="7454" spans="2:9" x14ac:dyDescent="0.25">
      <c r="B7454">
        <v>0</v>
      </c>
      <c r="C7454" s="16" t="s">
        <v>16572</v>
      </c>
      <c r="D7454" s="16"/>
      <c r="E7454">
        <v>6</v>
      </c>
      <c r="F7454" t="e">
        <f>-Com suporte</f>
        <v>#NAME?</v>
      </c>
      <c r="G7454">
        <v>1</v>
      </c>
      <c r="H7454">
        <v>0</v>
      </c>
      <c r="I7454">
        <f>1</f>
        <v>1</v>
      </c>
    </row>
    <row r="7455" spans="2:9" x14ac:dyDescent="0.25">
      <c r="B7455">
        <v>0</v>
      </c>
      <c r="C7455" s="16" t="s">
        <v>16573</v>
      </c>
      <c r="D7455" s="16"/>
      <c r="E7455">
        <v>6</v>
      </c>
      <c r="F7455" t="e">
        <f>-De alumínio Não ligado</f>
        <v>#NAME?</v>
      </c>
      <c r="G7455">
        <v>1</v>
      </c>
      <c r="H7455">
        <v>0</v>
      </c>
      <c r="I7455">
        <f>1</f>
        <v>1</v>
      </c>
    </row>
    <row r="7456" spans="2:9" x14ac:dyDescent="0.25">
      <c r="B7456">
        <v>0</v>
      </c>
      <c r="C7456" s="16" t="s">
        <v>16574</v>
      </c>
      <c r="D7456" s="16"/>
      <c r="E7456">
        <v>6</v>
      </c>
      <c r="F7456" t="s">
        <v>7891</v>
      </c>
      <c r="G7456">
        <v>1</v>
      </c>
      <c r="H7456">
        <v>0</v>
      </c>
      <c r="I7456">
        <f>1</f>
        <v>1</v>
      </c>
    </row>
    <row r="7457" spans="2:9" x14ac:dyDescent="0.25">
      <c r="B7457">
        <v>0</v>
      </c>
      <c r="C7457" s="16" t="s">
        <v>16575</v>
      </c>
      <c r="D7457" s="16"/>
      <c r="E7457">
        <v>6</v>
      </c>
      <c r="F7457" t="s">
        <v>4680</v>
      </c>
      <c r="G7457">
        <v>1</v>
      </c>
      <c r="H7457">
        <v>0</v>
      </c>
      <c r="I7457">
        <f>1</f>
        <v>1</v>
      </c>
    </row>
    <row r="7458" spans="2:9" x14ac:dyDescent="0.25">
      <c r="B7458">
        <v>0</v>
      </c>
      <c r="C7458" s="16" t="s">
        <v>16576</v>
      </c>
      <c r="D7458" s="16"/>
      <c r="E7458">
        <v>6</v>
      </c>
      <c r="F7458" t="s">
        <v>7892</v>
      </c>
      <c r="G7458">
        <v>1</v>
      </c>
      <c r="H7458">
        <v>0</v>
      </c>
      <c r="I7458">
        <f>1</f>
        <v>1</v>
      </c>
    </row>
    <row r="7459" spans="2:9" x14ac:dyDescent="0.25">
      <c r="B7459">
        <v>0</v>
      </c>
      <c r="C7459" s="16" t="s">
        <v>16577</v>
      </c>
      <c r="D7459" s="16"/>
      <c r="E7459">
        <v>6</v>
      </c>
      <c r="F7459" t="s">
        <v>7805</v>
      </c>
      <c r="G7459">
        <v>1</v>
      </c>
      <c r="H7459">
        <v>0</v>
      </c>
      <c r="I7459">
        <f>1</f>
        <v>1</v>
      </c>
    </row>
    <row r="7460" spans="2:9" x14ac:dyDescent="0.25">
      <c r="B7460">
        <v>0</v>
      </c>
      <c r="C7460" s="16" t="s">
        <v>16578</v>
      </c>
      <c r="D7460" s="16"/>
      <c r="E7460">
        <v>6</v>
      </c>
      <c r="F7460" t="e">
        <f>-outros</f>
        <v>#NAME?</v>
      </c>
      <c r="G7460">
        <v>1</v>
      </c>
      <c r="H7460">
        <v>0</v>
      </c>
      <c r="I7460">
        <f>1</f>
        <v>1</v>
      </c>
    </row>
    <row r="7461" spans="2:9" x14ac:dyDescent="0.25">
      <c r="B7461">
        <v>0</v>
      </c>
      <c r="C7461" s="16" t="s">
        <v>16579</v>
      </c>
      <c r="D7461" s="16"/>
      <c r="E7461">
        <v>6</v>
      </c>
      <c r="F7461" t="s">
        <v>7893</v>
      </c>
      <c r="G7461">
        <v>1</v>
      </c>
      <c r="H7461">
        <v>0</v>
      </c>
      <c r="I7461">
        <f>1</f>
        <v>1</v>
      </c>
    </row>
    <row r="7462" spans="2:9" x14ac:dyDescent="0.25">
      <c r="B7462">
        <v>0</v>
      </c>
      <c r="C7462" s="16" t="s">
        <v>16580</v>
      </c>
      <c r="D7462" s="16"/>
      <c r="E7462">
        <v>6</v>
      </c>
      <c r="F7462" t="s">
        <v>7894</v>
      </c>
      <c r="G7462">
        <v>1</v>
      </c>
      <c r="H7462">
        <v>0</v>
      </c>
      <c r="I7462">
        <f>1</f>
        <v>1</v>
      </c>
    </row>
    <row r="7463" spans="2:9" x14ac:dyDescent="0.25">
      <c r="B7463">
        <v>0</v>
      </c>
      <c r="C7463" s="16" t="s">
        <v>16581</v>
      </c>
      <c r="D7463" s="16"/>
      <c r="E7463">
        <v>6</v>
      </c>
      <c r="F7463" t="s">
        <v>7895</v>
      </c>
      <c r="G7463">
        <v>1</v>
      </c>
      <c r="H7463">
        <v>0</v>
      </c>
      <c r="I7463">
        <f>1</f>
        <v>1</v>
      </c>
    </row>
    <row r="7464" spans="2:9" x14ac:dyDescent="0.25">
      <c r="B7464">
        <v>0</v>
      </c>
      <c r="C7464" s="16" t="s">
        <v>16582</v>
      </c>
      <c r="D7464" s="16"/>
      <c r="E7464">
        <v>6</v>
      </c>
      <c r="F7464" t="s">
        <v>7896</v>
      </c>
      <c r="G7464">
        <v>1</v>
      </c>
      <c r="H7464">
        <v>0</v>
      </c>
      <c r="I7464">
        <f>1</f>
        <v>1</v>
      </c>
    </row>
    <row r="7465" spans="2:9" x14ac:dyDescent="0.25">
      <c r="B7465">
        <v>0</v>
      </c>
      <c r="C7465" s="16" t="s">
        <v>16583</v>
      </c>
      <c r="D7465" s="16"/>
      <c r="E7465">
        <v>6</v>
      </c>
      <c r="F7465" t="s">
        <v>4680</v>
      </c>
      <c r="G7465">
        <v>1</v>
      </c>
      <c r="H7465">
        <v>0</v>
      </c>
      <c r="I7465">
        <f>1</f>
        <v>1</v>
      </c>
    </row>
    <row r="7466" spans="2:9" x14ac:dyDescent="0.25">
      <c r="B7466">
        <v>0</v>
      </c>
      <c r="C7466" s="16" t="s">
        <v>16584</v>
      </c>
      <c r="D7466" s="16"/>
      <c r="E7466">
        <v>6</v>
      </c>
      <c r="F7466" t="s">
        <v>4680</v>
      </c>
      <c r="G7466">
        <v>1</v>
      </c>
      <c r="H7466">
        <v>0</v>
      </c>
      <c r="I7466">
        <f>1</f>
        <v>1</v>
      </c>
    </row>
    <row r="7467" spans="2:9" x14ac:dyDescent="0.25">
      <c r="B7467">
        <v>0</v>
      </c>
      <c r="C7467" s="16" t="s">
        <v>16585</v>
      </c>
      <c r="D7467" s="16"/>
      <c r="E7467">
        <v>6</v>
      </c>
      <c r="F7467" t="s">
        <v>7897</v>
      </c>
      <c r="G7467">
        <v>1</v>
      </c>
      <c r="H7467">
        <v>0</v>
      </c>
      <c r="I7467">
        <f>1</f>
        <v>1</v>
      </c>
    </row>
    <row r="7468" spans="2:9" x14ac:dyDescent="0.25">
      <c r="B7468">
        <v>0</v>
      </c>
      <c r="C7468" s="16" t="s">
        <v>16586</v>
      </c>
      <c r="D7468" s="16"/>
      <c r="E7468">
        <v>6</v>
      </c>
      <c r="F7468" t="s">
        <v>7898</v>
      </c>
      <c r="G7468">
        <v>1</v>
      </c>
      <c r="H7468">
        <v>0</v>
      </c>
      <c r="I7468">
        <f>1</f>
        <v>1</v>
      </c>
    </row>
    <row r="7469" spans="2:9" x14ac:dyDescent="0.25">
      <c r="B7469">
        <v>0</v>
      </c>
      <c r="C7469" s="16" t="s">
        <v>16587</v>
      </c>
      <c r="D7469" s="16"/>
      <c r="E7469">
        <v>6</v>
      </c>
      <c r="F7469" t="s">
        <v>4680</v>
      </c>
      <c r="G7469">
        <v>1</v>
      </c>
      <c r="H7469">
        <v>0</v>
      </c>
      <c r="I7469">
        <f>1</f>
        <v>1</v>
      </c>
    </row>
    <row r="7470" spans="2:9" x14ac:dyDescent="0.25">
      <c r="B7470">
        <v>0</v>
      </c>
      <c r="C7470" s="16" t="s">
        <v>16588</v>
      </c>
      <c r="D7470" s="16"/>
      <c r="E7470">
        <v>6</v>
      </c>
      <c r="F7470" t="s">
        <v>7899</v>
      </c>
      <c r="G7470">
        <v>1</v>
      </c>
      <c r="H7470">
        <v>0</v>
      </c>
      <c r="I7470">
        <f>1</f>
        <v>1</v>
      </c>
    </row>
    <row r="7471" spans="2:9" x14ac:dyDescent="0.25">
      <c r="B7471">
        <v>0</v>
      </c>
      <c r="C7471" s="16" t="s">
        <v>16589</v>
      </c>
      <c r="D7471" s="16"/>
      <c r="E7471">
        <v>6</v>
      </c>
      <c r="F7471" t="s">
        <v>4680</v>
      </c>
      <c r="G7471">
        <v>1</v>
      </c>
      <c r="H7471">
        <v>0</v>
      </c>
      <c r="I7471">
        <f>1</f>
        <v>1</v>
      </c>
    </row>
    <row r="7472" spans="2:9" x14ac:dyDescent="0.25">
      <c r="B7472">
        <v>0</v>
      </c>
      <c r="C7472" s="16" t="s">
        <v>16590</v>
      </c>
      <c r="D7472" s="16"/>
      <c r="E7472">
        <v>6</v>
      </c>
      <c r="F7472" t="s">
        <v>7870</v>
      </c>
      <c r="G7472">
        <v>1</v>
      </c>
      <c r="H7472">
        <v>0</v>
      </c>
      <c r="I7472">
        <f>1</f>
        <v>1</v>
      </c>
    </row>
    <row r="7473" spans="2:9" x14ac:dyDescent="0.25">
      <c r="B7473">
        <v>0</v>
      </c>
      <c r="C7473" s="16" t="s">
        <v>16591</v>
      </c>
      <c r="D7473" s="16"/>
      <c r="E7473">
        <v>6</v>
      </c>
      <c r="F7473" t="s">
        <v>7871</v>
      </c>
      <c r="G7473">
        <v>1</v>
      </c>
      <c r="H7473">
        <v>0</v>
      </c>
      <c r="I7473">
        <f>1</f>
        <v>1</v>
      </c>
    </row>
    <row r="7474" spans="2:9" x14ac:dyDescent="0.25">
      <c r="B7474">
        <v>0</v>
      </c>
      <c r="C7474" s="16" t="s">
        <v>16592</v>
      </c>
      <c r="D7474" s="16"/>
      <c r="E7474">
        <v>6</v>
      </c>
      <c r="F7474" t="s">
        <v>7900</v>
      </c>
      <c r="G7474">
        <v>1</v>
      </c>
      <c r="H7474">
        <v>0</v>
      </c>
      <c r="I7474">
        <f>1</f>
        <v>1</v>
      </c>
    </row>
    <row r="7475" spans="2:9" x14ac:dyDescent="0.25">
      <c r="B7475">
        <v>0</v>
      </c>
      <c r="C7475" s="16" t="s">
        <v>16593</v>
      </c>
      <c r="D7475" s="16"/>
      <c r="E7475">
        <v>6</v>
      </c>
      <c r="F7475" t="s">
        <v>7901</v>
      </c>
      <c r="G7475">
        <v>1</v>
      </c>
      <c r="H7475">
        <v>0</v>
      </c>
      <c r="I7475">
        <f>1</f>
        <v>1</v>
      </c>
    </row>
    <row r="7476" spans="2:9" x14ac:dyDescent="0.25">
      <c r="B7476">
        <v>0</v>
      </c>
      <c r="C7476" s="16" t="s">
        <v>16594</v>
      </c>
      <c r="D7476" s="16"/>
      <c r="E7476">
        <v>6</v>
      </c>
      <c r="F7476" t="e">
        <f>--Outras</f>
        <v>#NAME?</v>
      </c>
      <c r="G7476">
        <v>1</v>
      </c>
      <c r="H7476">
        <v>0</v>
      </c>
      <c r="I7476">
        <f>1</f>
        <v>1</v>
      </c>
    </row>
    <row r="7477" spans="2:9" x14ac:dyDescent="0.25">
      <c r="B7477">
        <v>0</v>
      </c>
      <c r="C7477" s="16" t="s">
        <v>16595</v>
      </c>
      <c r="D7477" s="16"/>
      <c r="E7477">
        <v>6</v>
      </c>
      <c r="F7477" t="s">
        <v>7902</v>
      </c>
      <c r="G7477">
        <v>1</v>
      </c>
      <c r="H7477">
        <v>0</v>
      </c>
      <c r="I7477">
        <f>1</f>
        <v>1</v>
      </c>
    </row>
    <row r="7478" spans="2:9" x14ac:dyDescent="0.25">
      <c r="B7478">
        <v>0</v>
      </c>
      <c r="C7478" s="16" t="s">
        <v>16596</v>
      </c>
      <c r="D7478" s="16"/>
      <c r="E7478">
        <v>6</v>
      </c>
      <c r="F7478" t="s">
        <v>4680</v>
      </c>
      <c r="G7478">
        <v>1</v>
      </c>
      <c r="H7478">
        <v>0</v>
      </c>
      <c r="I7478">
        <f>1</f>
        <v>1</v>
      </c>
    </row>
    <row r="7479" spans="2:9" x14ac:dyDescent="0.25">
      <c r="B7479">
        <v>0</v>
      </c>
      <c r="C7479" s="16" t="s">
        <v>16597</v>
      </c>
      <c r="D7479" s="16"/>
      <c r="E7479">
        <v>6</v>
      </c>
      <c r="F7479" t="s">
        <v>4680</v>
      </c>
      <c r="G7479">
        <v>1</v>
      </c>
      <c r="H7479">
        <v>0</v>
      </c>
      <c r="I7479">
        <f>1</f>
        <v>1</v>
      </c>
    </row>
    <row r="7480" spans="2:9" x14ac:dyDescent="0.25">
      <c r="B7480">
        <v>0</v>
      </c>
      <c r="C7480" s="16" t="s">
        <v>16598</v>
      </c>
      <c r="D7480" s="16"/>
      <c r="E7480">
        <v>6</v>
      </c>
      <c r="F7480" t="e">
        <f>--que contenham antimônio como segundo elemento predominante em peso</f>
        <v>#NAME?</v>
      </c>
      <c r="G7480">
        <v>1</v>
      </c>
      <c r="H7480">
        <v>0</v>
      </c>
      <c r="I7480">
        <f>1</f>
        <v>1</v>
      </c>
    </row>
    <row r="7481" spans="2:9" x14ac:dyDescent="0.25">
      <c r="B7481">
        <v>0</v>
      </c>
      <c r="C7481" s="16" t="s">
        <v>16599</v>
      </c>
      <c r="D7481" s="16"/>
      <c r="E7481">
        <v>6</v>
      </c>
      <c r="F7481" t="e">
        <f>--outros</f>
        <v>#NAME?</v>
      </c>
      <c r="G7481">
        <v>1</v>
      </c>
      <c r="H7481">
        <v>0</v>
      </c>
      <c r="I7481">
        <f>1</f>
        <v>1</v>
      </c>
    </row>
    <row r="7482" spans="2:9" x14ac:dyDescent="0.25">
      <c r="B7482">
        <v>0</v>
      </c>
      <c r="C7482" s="16" t="s">
        <v>16600</v>
      </c>
      <c r="D7482" s="16"/>
      <c r="E7482">
        <v>6</v>
      </c>
      <c r="F7482" t="s">
        <v>7903</v>
      </c>
      <c r="G7482">
        <v>1</v>
      </c>
      <c r="H7482">
        <v>0</v>
      </c>
      <c r="I7482">
        <f>1</f>
        <v>1</v>
      </c>
    </row>
    <row r="7483" spans="2:9" x14ac:dyDescent="0.25">
      <c r="B7483">
        <v>0</v>
      </c>
      <c r="C7483" s="16" t="s">
        <v>16601</v>
      </c>
      <c r="D7483" s="16"/>
      <c r="E7483">
        <v>6</v>
      </c>
      <c r="F7483" t="s">
        <v>7904</v>
      </c>
      <c r="G7483">
        <v>1</v>
      </c>
      <c r="H7483">
        <v>0</v>
      </c>
      <c r="I7483">
        <f>1</f>
        <v>1</v>
      </c>
    </row>
    <row r="7484" spans="2:9" x14ac:dyDescent="0.25">
      <c r="B7484">
        <v>0</v>
      </c>
      <c r="C7484" s="16" t="s">
        <v>16602</v>
      </c>
      <c r="D7484" s="16"/>
      <c r="E7484">
        <v>6</v>
      </c>
      <c r="F7484" t="e">
        <f>--Outras</f>
        <v>#NAME?</v>
      </c>
      <c r="G7484">
        <v>1</v>
      </c>
      <c r="H7484">
        <v>0</v>
      </c>
      <c r="I7484">
        <f>1</f>
        <v>1</v>
      </c>
    </row>
    <row r="7485" spans="2:9" x14ac:dyDescent="0.25">
      <c r="B7485">
        <v>0</v>
      </c>
      <c r="C7485" s="16" t="s">
        <v>16603</v>
      </c>
      <c r="D7485" s="16"/>
      <c r="E7485">
        <v>6</v>
      </c>
      <c r="F7485" t="e">
        <f>-Pós e escamas</f>
        <v>#NAME?</v>
      </c>
      <c r="G7485">
        <v>1</v>
      </c>
      <c r="H7485">
        <v>0</v>
      </c>
      <c r="I7485">
        <f>1</f>
        <v>1</v>
      </c>
    </row>
    <row r="7486" spans="2:9" x14ac:dyDescent="0.25">
      <c r="B7486">
        <v>0</v>
      </c>
      <c r="C7486" s="16" t="s">
        <v>16604</v>
      </c>
      <c r="D7486" s="16"/>
      <c r="E7486">
        <v>6</v>
      </c>
      <c r="F7486" t="s">
        <v>7905</v>
      </c>
      <c r="G7486">
        <v>1</v>
      </c>
      <c r="H7486">
        <v>0</v>
      </c>
      <c r="I7486">
        <f>1</f>
        <v>1</v>
      </c>
    </row>
    <row r="7487" spans="2:9" x14ac:dyDescent="0.25">
      <c r="B7487">
        <v>0</v>
      </c>
      <c r="C7487" s="16" t="s">
        <v>16605</v>
      </c>
      <c r="D7487" s="16"/>
      <c r="E7487">
        <v>6</v>
      </c>
      <c r="F7487" t="s">
        <v>7906</v>
      </c>
      <c r="G7487">
        <v>1</v>
      </c>
      <c r="H7487">
        <v>0</v>
      </c>
      <c r="I7487">
        <f>1</f>
        <v>1</v>
      </c>
    </row>
    <row r="7488" spans="2:9" x14ac:dyDescent="0.25">
      <c r="B7488">
        <v>0</v>
      </c>
      <c r="C7488" s="16" t="s">
        <v>16606</v>
      </c>
      <c r="D7488" s="16"/>
      <c r="E7488">
        <v>6</v>
      </c>
      <c r="F7488" t="s">
        <v>4690</v>
      </c>
      <c r="G7488">
        <v>1</v>
      </c>
      <c r="H7488">
        <v>0</v>
      </c>
      <c r="I7488">
        <f>1</f>
        <v>1</v>
      </c>
    </row>
    <row r="7489" spans="2:9" x14ac:dyDescent="0.25">
      <c r="B7489">
        <v>0</v>
      </c>
      <c r="C7489" s="16" t="s">
        <v>16607</v>
      </c>
      <c r="D7489" s="16"/>
      <c r="E7489">
        <v>6</v>
      </c>
      <c r="F7489" t="s">
        <v>7902</v>
      </c>
      <c r="G7489">
        <v>1</v>
      </c>
      <c r="H7489">
        <v>0</v>
      </c>
      <c r="I7489">
        <f>1</f>
        <v>1</v>
      </c>
    </row>
    <row r="7490" spans="2:9" x14ac:dyDescent="0.25">
      <c r="B7490">
        <v>0</v>
      </c>
      <c r="C7490" s="16" t="s">
        <v>16608</v>
      </c>
      <c r="D7490" s="16"/>
      <c r="E7490">
        <v>6</v>
      </c>
      <c r="F7490" t="s">
        <v>4680</v>
      </c>
      <c r="G7490">
        <v>1</v>
      </c>
      <c r="H7490">
        <v>0</v>
      </c>
      <c r="I7490">
        <f>1</f>
        <v>1</v>
      </c>
    </row>
    <row r="7491" spans="2:9" x14ac:dyDescent="0.25">
      <c r="B7491">
        <v>0</v>
      </c>
      <c r="C7491" s="16" t="s">
        <v>16609</v>
      </c>
      <c r="D7491" s="16"/>
      <c r="E7491">
        <v>6</v>
      </c>
      <c r="F7491" t="s">
        <v>7902</v>
      </c>
      <c r="G7491">
        <v>1</v>
      </c>
      <c r="H7491">
        <v>0</v>
      </c>
      <c r="I7491">
        <f>1</f>
        <v>1</v>
      </c>
    </row>
    <row r="7492" spans="2:9" x14ac:dyDescent="0.25">
      <c r="B7492">
        <v>0</v>
      </c>
      <c r="C7492" s="16" t="s">
        <v>16610</v>
      </c>
      <c r="D7492" s="16"/>
      <c r="E7492">
        <v>6</v>
      </c>
      <c r="F7492" t="s">
        <v>4680</v>
      </c>
      <c r="G7492">
        <v>1</v>
      </c>
      <c r="H7492">
        <v>0</v>
      </c>
      <c r="I7492">
        <f>1</f>
        <v>1</v>
      </c>
    </row>
    <row r="7493" spans="2:9" x14ac:dyDescent="0.25">
      <c r="B7493">
        <v>0</v>
      </c>
      <c r="C7493" s="16" t="s">
        <v>16611</v>
      </c>
      <c r="D7493" s="16"/>
      <c r="E7493">
        <v>6</v>
      </c>
      <c r="F7493" t="s">
        <v>7902</v>
      </c>
      <c r="G7493">
        <v>1</v>
      </c>
      <c r="H7493">
        <v>0</v>
      </c>
      <c r="I7493">
        <f>1</f>
        <v>1</v>
      </c>
    </row>
    <row r="7494" spans="2:9" x14ac:dyDescent="0.25">
      <c r="B7494">
        <v>0</v>
      </c>
      <c r="C7494" s="16" t="s">
        <v>16612</v>
      </c>
      <c r="D7494" s="16"/>
      <c r="E7494">
        <v>6</v>
      </c>
      <c r="F7494" t="s">
        <v>4680</v>
      </c>
      <c r="G7494">
        <v>1</v>
      </c>
      <c r="H7494">
        <v>0</v>
      </c>
      <c r="I7494">
        <f>1</f>
        <v>1</v>
      </c>
    </row>
    <row r="7495" spans="2:9" x14ac:dyDescent="0.25">
      <c r="B7495">
        <v>0</v>
      </c>
      <c r="C7495" s="16" t="s">
        <v>16613</v>
      </c>
      <c r="D7495" s="16"/>
      <c r="E7495">
        <v>6</v>
      </c>
      <c r="F7495" t="s">
        <v>7902</v>
      </c>
      <c r="G7495">
        <v>1</v>
      </c>
      <c r="H7495">
        <v>0</v>
      </c>
      <c r="I7495">
        <f>1</f>
        <v>1</v>
      </c>
    </row>
    <row r="7496" spans="2:9" x14ac:dyDescent="0.25">
      <c r="B7496">
        <v>0</v>
      </c>
      <c r="C7496" s="16" t="s">
        <v>16614</v>
      </c>
      <c r="D7496" s="16"/>
      <c r="E7496">
        <v>6</v>
      </c>
      <c r="F7496" t="s">
        <v>4680</v>
      </c>
      <c r="G7496">
        <v>1</v>
      </c>
      <c r="H7496">
        <v>0</v>
      </c>
      <c r="I7496">
        <f>1</f>
        <v>1</v>
      </c>
    </row>
    <row r="7497" spans="2:9" x14ac:dyDescent="0.25">
      <c r="B7497">
        <v>0</v>
      </c>
      <c r="C7497" s="16" t="s">
        <v>16615</v>
      </c>
      <c r="D7497" s="16"/>
      <c r="E7497">
        <v>6</v>
      </c>
      <c r="F7497" t="s">
        <v>7907</v>
      </c>
      <c r="G7497">
        <v>1</v>
      </c>
      <c r="H7497">
        <v>0</v>
      </c>
      <c r="I7497">
        <f>1</f>
        <v>1</v>
      </c>
    </row>
    <row r="7498" spans="2:9" x14ac:dyDescent="0.25">
      <c r="B7498">
        <v>0</v>
      </c>
      <c r="C7498" s="16" t="s">
        <v>16616</v>
      </c>
      <c r="D7498" s="16"/>
      <c r="E7498">
        <v>6</v>
      </c>
      <c r="F7498" t="e">
        <f>-Poeiras De zinco</f>
        <v>#NAME?</v>
      </c>
      <c r="G7498">
        <v>1</v>
      </c>
      <c r="H7498">
        <v>0</v>
      </c>
      <c r="I7498">
        <f>1</f>
        <v>1</v>
      </c>
    </row>
    <row r="7499" spans="2:9" x14ac:dyDescent="0.25">
      <c r="B7499">
        <v>0</v>
      </c>
      <c r="C7499" s="16" t="s">
        <v>16617</v>
      </c>
      <c r="D7499" s="16"/>
      <c r="E7499">
        <v>6</v>
      </c>
      <c r="F7499" t="e">
        <f>-outros</f>
        <v>#NAME?</v>
      </c>
      <c r="G7499">
        <v>1</v>
      </c>
      <c r="H7499">
        <v>0</v>
      </c>
      <c r="I7499">
        <f>1</f>
        <v>1</v>
      </c>
    </row>
    <row r="7500" spans="2:9" x14ac:dyDescent="0.25">
      <c r="B7500">
        <v>0</v>
      </c>
      <c r="C7500" s="16" t="s">
        <v>16618</v>
      </c>
      <c r="D7500" s="16"/>
      <c r="E7500">
        <v>6</v>
      </c>
      <c r="F7500" t="s">
        <v>7908</v>
      </c>
      <c r="G7500">
        <v>1</v>
      </c>
      <c r="H7500">
        <v>0</v>
      </c>
      <c r="I7500">
        <f>1</f>
        <v>1</v>
      </c>
    </row>
    <row r="7501" spans="2:9" x14ac:dyDescent="0.25">
      <c r="B7501">
        <v>0</v>
      </c>
      <c r="C7501" s="16" t="s">
        <v>16619</v>
      </c>
      <c r="D7501" s="16"/>
      <c r="E7501">
        <v>6</v>
      </c>
      <c r="F7501" t="s">
        <v>7909</v>
      </c>
      <c r="G7501">
        <v>1</v>
      </c>
      <c r="H7501">
        <v>0</v>
      </c>
      <c r="I7501">
        <f>1</f>
        <v>1</v>
      </c>
    </row>
    <row r="7502" spans="2:9" x14ac:dyDescent="0.25">
      <c r="B7502">
        <v>0</v>
      </c>
      <c r="C7502" s="16" t="s">
        <v>16620</v>
      </c>
      <c r="D7502" s="16"/>
      <c r="E7502">
        <v>6</v>
      </c>
      <c r="F7502" t="s">
        <v>7906</v>
      </c>
      <c r="G7502">
        <v>1</v>
      </c>
      <c r="H7502">
        <v>0</v>
      </c>
      <c r="I7502">
        <f>1</f>
        <v>1</v>
      </c>
    </row>
    <row r="7503" spans="2:9" x14ac:dyDescent="0.25">
      <c r="B7503">
        <v>0</v>
      </c>
      <c r="C7503" s="16" t="s">
        <v>16621</v>
      </c>
      <c r="D7503" s="16"/>
      <c r="E7503">
        <v>6</v>
      </c>
      <c r="F7503" t="s">
        <v>4690</v>
      </c>
      <c r="G7503">
        <v>1</v>
      </c>
      <c r="H7503">
        <v>0</v>
      </c>
      <c r="I7503">
        <f>1</f>
        <v>1</v>
      </c>
    </row>
    <row r="7504" spans="2:9" x14ac:dyDescent="0.25">
      <c r="B7504">
        <v>0</v>
      </c>
      <c r="C7504" s="16" t="s">
        <v>16622</v>
      </c>
      <c r="D7504" s="16"/>
      <c r="E7504">
        <v>6</v>
      </c>
      <c r="F7504" t="e">
        <f>-estanho Não ligado</f>
        <v>#NAME?</v>
      </c>
      <c r="G7504">
        <v>1</v>
      </c>
      <c r="H7504">
        <v>0</v>
      </c>
      <c r="I7504">
        <f>1</f>
        <v>1</v>
      </c>
    </row>
    <row r="7505" spans="2:9" x14ac:dyDescent="0.25">
      <c r="B7505">
        <v>0</v>
      </c>
      <c r="C7505" s="16" t="s">
        <v>16623</v>
      </c>
      <c r="D7505" s="16"/>
      <c r="E7505">
        <v>6</v>
      </c>
      <c r="F7505" t="e">
        <f>-Ligas De estanho</f>
        <v>#NAME?</v>
      </c>
      <c r="G7505">
        <v>1</v>
      </c>
      <c r="H7505">
        <v>0</v>
      </c>
      <c r="I7505">
        <f>1</f>
        <v>1</v>
      </c>
    </row>
    <row r="7506" spans="2:9" x14ac:dyDescent="0.25">
      <c r="B7506">
        <v>0</v>
      </c>
      <c r="C7506" s="16" t="s">
        <v>16624</v>
      </c>
      <c r="D7506" s="16"/>
      <c r="E7506">
        <v>6</v>
      </c>
      <c r="F7506" t="s">
        <v>7910</v>
      </c>
      <c r="G7506">
        <v>1</v>
      </c>
      <c r="H7506">
        <v>0</v>
      </c>
      <c r="I7506">
        <f>1</f>
        <v>1</v>
      </c>
    </row>
    <row r="7507" spans="2:9" x14ac:dyDescent="0.25">
      <c r="B7507">
        <v>0</v>
      </c>
      <c r="C7507" s="16" t="s">
        <v>16625</v>
      </c>
      <c r="D7507" s="16"/>
      <c r="E7507">
        <v>6</v>
      </c>
      <c r="F7507" t="s">
        <v>7911</v>
      </c>
      <c r="G7507">
        <v>1</v>
      </c>
      <c r="H7507">
        <v>0</v>
      </c>
      <c r="I7507">
        <f>1</f>
        <v>1</v>
      </c>
    </row>
    <row r="7508" spans="2:9" x14ac:dyDescent="0.25">
      <c r="B7508">
        <v>0</v>
      </c>
      <c r="C7508" s="16" t="s">
        <v>16626</v>
      </c>
      <c r="D7508" s="16"/>
      <c r="E7508">
        <v>6</v>
      </c>
      <c r="F7508" t="s">
        <v>7912</v>
      </c>
      <c r="G7508">
        <v>1</v>
      </c>
      <c r="H7508">
        <v>0</v>
      </c>
      <c r="I7508">
        <f>1</f>
        <v>1</v>
      </c>
    </row>
    <row r="7509" spans="2:9" x14ac:dyDescent="0.25">
      <c r="B7509">
        <v>0</v>
      </c>
      <c r="C7509" s="16" t="s">
        <v>16627</v>
      </c>
      <c r="D7509" s="16"/>
      <c r="E7509">
        <v>6</v>
      </c>
      <c r="F7509" t="s">
        <v>7913</v>
      </c>
      <c r="G7509">
        <v>1</v>
      </c>
      <c r="H7509">
        <v>0</v>
      </c>
      <c r="I7509">
        <f>1</f>
        <v>1</v>
      </c>
    </row>
    <row r="7510" spans="2:9" x14ac:dyDescent="0.25">
      <c r="B7510">
        <v>0</v>
      </c>
      <c r="C7510" s="16" t="s">
        <v>16628</v>
      </c>
      <c r="D7510" s="16"/>
      <c r="E7510">
        <v>6</v>
      </c>
      <c r="F7510" t="s">
        <v>7906</v>
      </c>
      <c r="G7510">
        <v>1</v>
      </c>
      <c r="H7510">
        <v>0</v>
      </c>
      <c r="I7510">
        <f>1</f>
        <v>1</v>
      </c>
    </row>
    <row r="7511" spans="2:9" x14ac:dyDescent="0.25">
      <c r="B7511">
        <v>0</v>
      </c>
      <c r="C7511" s="16" t="s">
        <v>16629</v>
      </c>
      <c r="D7511" s="16"/>
      <c r="E7511">
        <v>6</v>
      </c>
      <c r="F7511" t="s">
        <v>4690</v>
      </c>
      <c r="G7511">
        <v>1</v>
      </c>
      <c r="H7511">
        <v>0</v>
      </c>
      <c r="I7511">
        <f>1</f>
        <v>1</v>
      </c>
    </row>
    <row r="7512" spans="2:9" x14ac:dyDescent="0.25">
      <c r="B7512">
        <v>0</v>
      </c>
      <c r="C7512" s="16" t="s">
        <v>16630</v>
      </c>
      <c r="D7512" s="16"/>
      <c r="E7512">
        <v>6</v>
      </c>
      <c r="F7512" t="e">
        <f>-Pós</f>
        <v>#NAME?</v>
      </c>
      <c r="G7512">
        <v>1</v>
      </c>
      <c r="H7512">
        <v>0</v>
      </c>
      <c r="I7512">
        <f>1</f>
        <v>1</v>
      </c>
    </row>
    <row r="7513" spans="2:9" x14ac:dyDescent="0.25">
      <c r="B7513">
        <v>0</v>
      </c>
      <c r="C7513" s="16" t="s">
        <v>16631</v>
      </c>
      <c r="D7513" s="16"/>
      <c r="E7513">
        <v>6</v>
      </c>
      <c r="F7513" t="s">
        <v>7914</v>
      </c>
      <c r="G7513">
        <v>1</v>
      </c>
      <c r="H7513">
        <v>0</v>
      </c>
      <c r="I7513">
        <f>1</f>
        <v>1</v>
      </c>
    </row>
    <row r="7514" spans="2:9" x14ac:dyDescent="0.25">
      <c r="B7514">
        <v>0</v>
      </c>
      <c r="C7514" s="16" t="s">
        <v>16632</v>
      </c>
      <c r="D7514" s="16"/>
      <c r="E7514">
        <v>6</v>
      </c>
      <c r="F7514" t="e">
        <f>--Fios</f>
        <v>#NAME?</v>
      </c>
      <c r="G7514">
        <v>1</v>
      </c>
      <c r="H7514">
        <v>0</v>
      </c>
      <c r="I7514">
        <f>1</f>
        <v>1</v>
      </c>
    </row>
    <row r="7515" spans="2:9" x14ac:dyDescent="0.25">
      <c r="B7515">
        <v>0</v>
      </c>
      <c r="C7515" s="16" t="s">
        <v>16633</v>
      </c>
      <c r="D7515" s="16"/>
      <c r="E7515">
        <v>6</v>
      </c>
      <c r="F7515" t="e">
        <f>--desperdícios e Resíduos</f>
        <v>#NAME?</v>
      </c>
      <c r="G7515">
        <v>1</v>
      </c>
      <c r="H7515">
        <v>0</v>
      </c>
      <c r="I7515">
        <f>1</f>
        <v>1</v>
      </c>
    </row>
    <row r="7516" spans="2:9" x14ac:dyDescent="0.25">
      <c r="B7516">
        <v>0</v>
      </c>
      <c r="C7516" s="16" t="s">
        <v>16634</v>
      </c>
      <c r="D7516" s="16"/>
      <c r="E7516">
        <v>6</v>
      </c>
      <c r="F7516" t="s">
        <v>7915</v>
      </c>
      <c r="G7516">
        <v>1</v>
      </c>
      <c r="H7516">
        <v>0</v>
      </c>
      <c r="I7516">
        <f>1</f>
        <v>1</v>
      </c>
    </row>
    <row r="7517" spans="2:9" x14ac:dyDescent="0.25">
      <c r="B7517">
        <v>0</v>
      </c>
      <c r="C7517" s="16" t="s">
        <v>16635</v>
      </c>
      <c r="D7517" s="16"/>
      <c r="E7517">
        <v>6</v>
      </c>
      <c r="F7517" t="s">
        <v>4680</v>
      </c>
      <c r="G7517">
        <v>1</v>
      </c>
      <c r="H7517">
        <v>0</v>
      </c>
      <c r="I7517">
        <f>1</f>
        <v>1</v>
      </c>
    </row>
    <row r="7518" spans="2:9" x14ac:dyDescent="0.25">
      <c r="B7518">
        <v>0</v>
      </c>
      <c r="C7518" s="16" t="s">
        <v>16636</v>
      </c>
      <c r="D7518" s="16"/>
      <c r="E7518">
        <v>6</v>
      </c>
      <c r="F7518" t="e">
        <f>-Pós</f>
        <v>#NAME?</v>
      </c>
      <c r="G7518">
        <v>1</v>
      </c>
      <c r="H7518">
        <v>0</v>
      </c>
      <c r="I7518">
        <f>1</f>
        <v>1</v>
      </c>
    </row>
    <row r="7519" spans="2:9" x14ac:dyDescent="0.25">
      <c r="B7519">
        <v>0</v>
      </c>
      <c r="C7519" s="16" t="s">
        <v>16637</v>
      </c>
      <c r="D7519" s="16"/>
      <c r="E7519">
        <v>6</v>
      </c>
      <c r="F7519" t="s">
        <v>7916</v>
      </c>
      <c r="G7519">
        <v>1</v>
      </c>
      <c r="H7519">
        <v>0</v>
      </c>
      <c r="I7519">
        <f>1</f>
        <v>1</v>
      </c>
    </row>
    <row r="7520" spans="2:9" x14ac:dyDescent="0.25">
      <c r="B7520">
        <v>0</v>
      </c>
      <c r="C7520" s="16" t="s">
        <v>16638</v>
      </c>
      <c r="D7520" s="16"/>
      <c r="E7520">
        <v>6</v>
      </c>
      <c r="F7520" t="s">
        <v>7917</v>
      </c>
      <c r="G7520">
        <v>1</v>
      </c>
      <c r="H7520">
        <v>0</v>
      </c>
      <c r="I7520">
        <f>1</f>
        <v>1</v>
      </c>
    </row>
    <row r="7521" spans="2:9" x14ac:dyDescent="0.25">
      <c r="B7521">
        <v>0</v>
      </c>
      <c r="C7521" s="16" t="s">
        <v>16639</v>
      </c>
      <c r="D7521" s="16"/>
      <c r="E7521">
        <v>6</v>
      </c>
      <c r="F7521" t="e">
        <f>--Fios</f>
        <v>#NAME?</v>
      </c>
      <c r="G7521">
        <v>1</v>
      </c>
      <c r="H7521">
        <v>0</v>
      </c>
      <c r="I7521">
        <f>1</f>
        <v>1</v>
      </c>
    </row>
    <row r="7522" spans="2:9" x14ac:dyDescent="0.25">
      <c r="B7522">
        <v>0</v>
      </c>
      <c r="C7522" s="16" t="s">
        <v>16640</v>
      </c>
      <c r="D7522" s="16"/>
      <c r="E7522">
        <v>6</v>
      </c>
      <c r="F7522" t="e">
        <f>--desperdícios e Resíduos</f>
        <v>#NAME?</v>
      </c>
      <c r="G7522">
        <v>1</v>
      </c>
      <c r="H7522">
        <v>0</v>
      </c>
      <c r="I7522">
        <f>1</f>
        <v>1</v>
      </c>
    </row>
    <row r="7523" spans="2:9" x14ac:dyDescent="0.25">
      <c r="B7523">
        <v>0</v>
      </c>
      <c r="C7523" s="16" t="s">
        <v>16641</v>
      </c>
      <c r="D7523" s="16"/>
      <c r="E7523">
        <v>6</v>
      </c>
      <c r="F7523" t="e">
        <f>--outros</f>
        <v>#NAME?</v>
      </c>
      <c r="G7523">
        <v>1</v>
      </c>
      <c r="H7523">
        <v>0</v>
      </c>
      <c r="I7523">
        <f>1</f>
        <v>1</v>
      </c>
    </row>
    <row r="7524" spans="2:9" x14ac:dyDescent="0.25">
      <c r="B7524">
        <v>0</v>
      </c>
      <c r="C7524" s="16" t="s">
        <v>16642</v>
      </c>
      <c r="D7524" s="16"/>
      <c r="E7524">
        <v>6</v>
      </c>
      <c r="F7524" t="s">
        <v>7918</v>
      </c>
      <c r="G7524">
        <v>1</v>
      </c>
      <c r="H7524">
        <v>0</v>
      </c>
      <c r="I7524">
        <f>1</f>
        <v>1</v>
      </c>
    </row>
    <row r="7525" spans="2:9" x14ac:dyDescent="0.25">
      <c r="B7525">
        <v>0</v>
      </c>
      <c r="C7525" s="16" t="s">
        <v>16643</v>
      </c>
      <c r="D7525" s="16"/>
      <c r="E7525">
        <v>6</v>
      </c>
      <c r="F7525" t="e">
        <f>-desperdícios e Resíduos</f>
        <v>#NAME?</v>
      </c>
      <c r="G7525">
        <v>1</v>
      </c>
      <c r="H7525">
        <v>0</v>
      </c>
      <c r="I7525">
        <f>1</f>
        <v>1</v>
      </c>
    </row>
    <row r="7526" spans="2:9" x14ac:dyDescent="0.25">
      <c r="B7526">
        <v>0</v>
      </c>
      <c r="C7526" s="16" t="s">
        <v>16644</v>
      </c>
      <c r="D7526" s="16"/>
      <c r="E7526">
        <v>6</v>
      </c>
      <c r="F7526" t="e">
        <f>-outros</f>
        <v>#NAME?</v>
      </c>
      <c r="G7526">
        <v>1</v>
      </c>
      <c r="H7526">
        <v>0</v>
      </c>
      <c r="I7526">
        <f>1</f>
        <v>1</v>
      </c>
    </row>
    <row r="7527" spans="2:9" x14ac:dyDescent="0.25">
      <c r="B7527">
        <v>0</v>
      </c>
      <c r="C7527" s="16" t="s">
        <v>16645</v>
      </c>
      <c r="D7527" s="16"/>
      <c r="E7527">
        <v>6</v>
      </c>
      <c r="F7527" t="s">
        <v>7919</v>
      </c>
      <c r="G7527">
        <v>1</v>
      </c>
      <c r="H7527">
        <v>0</v>
      </c>
      <c r="I7527">
        <f>1</f>
        <v>1</v>
      </c>
    </row>
    <row r="7528" spans="2:9" x14ac:dyDescent="0.25">
      <c r="B7528">
        <v>0</v>
      </c>
      <c r="C7528" s="16" t="s">
        <v>16646</v>
      </c>
      <c r="D7528" s="16"/>
      <c r="E7528">
        <v>6</v>
      </c>
      <c r="F7528" t="e">
        <f>--outros</f>
        <v>#NAME?</v>
      </c>
      <c r="G7528">
        <v>1</v>
      </c>
      <c r="H7528">
        <v>0</v>
      </c>
      <c r="I7528">
        <f>1</f>
        <v>1</v>
      </c>
    </row>
    <row r="7529" spans="2:9" x14ac:dyDescent="0.25">
      <c r="B7529">
        <v>0</v>
      </c>
      <c r="C7529" s="16" t="s">
        <v>16647</v>
      </c>
      <c r="D7529" s="16"/>
      <c r="E7529">
        <v>6</v>
      </c>
      <c r="F7529" t="e">
        <f>-desperdícios e Resíduos</f>
        <v>#NAME?</v>
      </c>
      <c r="G7529">
        <v>1</v>
      </c>
      <c r="H7529">
        <v>0</v>
      </c>
      <c r="I7529">
        <f>1</f>
        <v>1</v>
      </c>
    </row>
    <row r="7530" spans="2:9" x14ac:dyDescent="0.25">
      <c r="B7530">
        <v>0</v>
      </c>
      <c r="C7530" s="16" t="s">
        <v>16648</v>
      </c>
      <c r="D7530" s="16"/>
      <c r="E7530">
        <v>6</v>
      </c>
      <c r="F7530" t="s">
        <v>7920</v>
      </c>
      <c r="G7530">
        <v>1</v>
      </c>
      <c r="H7530">
        <v>0</v>
      </c>
      <c r="I7530">
        <f>1</f>
        <v>1</v>
      </c>
    </row>
    <row r="7531" spans="2:9" x14ac:dyDescent="0.25">
      <c r="B7531">
        <v>0</v>
      </c>
      <c r="C7531" s="16" t="s">
        <v>16649</v>
      </c>
      <c r="D7531" s="16"/>
      <c r="E7531">
        <v>6</v>
      </c>
      <c r="F7531" t="e">
        <f>-outros</f>
        <v>#NAME?</v>
      </c>
      <c r="G7531">
        <v>1</v>
      </c>
      <c r="H7531">
        <v>0</v>
      </c>
      <c r="I7531">
        <f>1</f>
        <v>1</v>
      </c>
    </row>
    <row r="7532" spans="2:9" x14ac:dyDescent="0.25">
      <c r="B7532">
        <v>0</v>
      </c>
      <c r="C7532" s="16" t="s">
        <v>16650</v>
      </c>
      <c r="D7532" s="16"/>
      <c r="E7532">
        <v>6</v>
      </c>
      <c r="F7532" t="s">
        <v>7921</v>
      </c>
      <c r="G7532">
        <v>1</v>
      </c>
      <c r="H7532">
        <v>0</v>
      </c>
      <c r="I7532">
        <f>1</f>
        <v>1</v>
      </c>
    </row>
    <row r="7533" spans="2:9" x14ac:dyDescent="0.25">
      <c r="B7533">
        <v>0</v>
      </c>
      <c r="C7533" s="16" t="s">
        <v>16651</v>
      </c>
      <c r="D7533" s="16"/>
      <c r="E7533">
        <v>6</v>
      </c>
      <c r="F7533" t="s">
        <v>7922</v>
      </c>
      <c r="G7533">
        <v>1</v>
      </c>
      <c r="H7533">
        <v>0</v>
      </c>
      <c r="I7533">
        <f>1</f>
        <v>1</v>
      </c>
    </row>
    <row r="7534" spans="2:9" x14ac:dyDescent="0.25">
      <c r="B7534">
        <v>0</v>
      </c>
      <c r="C7534" s="16" t="s">
        <v>16652</v>
      </c>
      <c r="D7534" s="16"/>
      <c r="E7534">
        <v>6</v>
      </c>
      <c r="F7534" t="s">
        <v>4680</v>
      </c>
      <c r="G7534">
        <v>1</v>
      </c>
      <c r="H7534">
        <v>0</v>
      </c>
      <c r="I7534">
        <f>1</f>
        <v>1</v>
      </c>
    </row>
    <row r="7535" spans="2:9" x14ac:dyDescent="0.25">
      <c r="B7535">
        <v>0</v>
      </c>
      <c r="C7535" s="16" t="s">
        <v>16653</v>
      </c>
      <c r="D7535" s="16"/>
      <c r="E7535">
        <v>6</v>
      </c>
      <c r="F7535" t="s">
        <v>4680</v>
      </c>
      <c r="G7535">
        <v>1</v>
      </c>
      <c r="H7535">
        <v>0</v>
      </c>
      <c r="I7535">
        <f>1</f>
        <v>1</v>
      </c>
    </row>
    <row r="7536" spans="2:9" x14ac:dyDescent="0.25">
      <c r="B7536">
        <v>0</v>
      </c>
      <c r="C7536" s="16" t="s">
        <v>16654</v>
      </c>
      <c r="D7536" s="16"/>
      <c r="E7536">
        <v>6</v>
      </c>
      <c r="F7536" t="e">
        <f>-desperdícios e Resíduos</f>
        <v>#NAME?</v>
      </c>
      <c r="G7536">
        <v>1</v>
      </c>
      <c r="H7536">
        <v>0</v>
      </c>
      <c r="I7536">
        <f>1</f>
        <v>1</v>
      </c>
    </row>
    <row r="7537" spans="2:9" x14ac:dyDescent="0.25">
      <c r="B7537">
        <v>0</v>
      </c>
      <c r="C7537" s="16" t="s">
        <v>16655</v>
      </c>
      <c r="D7537" s="16"/>
      <c r="E7537">
        <v>6</v>
      </c>
      <c r="F7537" t="s">
        <v>7923</v>
      </c>
      <c r="G7537">
        <v>1</v>
      </c>
      <c r="H7537">
        <v>0</v>
      </c>
      <c r="I7537">
        <f>1</f>
        <v>1</v>
      </c>
    </row>
    <row r="7538" spans="2:9" x14ac:dyDescent="0.25">
      <c r="B7538">
        <v>0</v>
      </c>
      <c r="C7538" s="16" t="s">
        <v>16656</v>
      </c>
      <c r="D7538" s="16"/>
      <c r="E7538">
        <v>6</v>
      </c>
      <c r="F7538" t="s">
        <v>4680</v>
      </c>
      <c r="G7538">
        <v>1</v>
      </c>
      <c r="H7538">
        <v>0</v>
      </c>
      <c r="I7538">
        <f>1</f>
        <v>1</v>
      </c>
    </row>
    <row r="7539" spans="2:9" x14ac:dyDescent="0.25">
      <c r="B7539">
        <v>0</v>
      </c>
      <c r="C7539" s="16" t="s">
        <v>16657</v>
      </c>
      <c r="D7539" s="16"/>
      <c r="E7539">
        <v>6</v>
      </c>
      <c r="F7539" t="s">
        <v>7921</v>
      </c>
      <c r="G7539">
        <v>1</v>
      </c>
      <c r="H7539">
        <v>0</v>
      </c>
      <c r="I7539">
        <f>1</f>
        <v>1</v>
      </c>
    </row>
    <row r="7540" spans="2:9" x14ac:dyDescent="0.25">
      <c r="B7540">
        <v>0</v>
      </c>
      <c r="C7540" s="16" t="s">
        <v>16658</v>
      </c>
      <c r="D7540" s="16"/>
      <c r="E7540">
        <v>6</v>
      </c>
      <c r="F7540" t="s">
        <v>4680</v>
      </c>
      <c r="G7540">
        <v>1</v>
      </c>
      <c r="H7540">
        <v>0</v>
      </c>
      <c r="I7540">
        <f>1</f>
        <v>1</v>
      </c>
    </row>
    <row r="7541" spans="2:9" x14ac:dyDescent="0.25">
      <c r="B7541">
        <v>0</v>
      </c>
      <c r="C7541" s="16" t="s">
        <v>16659</v>
      </c>
      <c r="D7541" s="16"/>
      <c r="E7541">
        <v>6</v>
      </c>
      <c r="F7541" t="s">
        <v>7921</v>
      </c>
      <c r="G7541">
        <v>1</v>
      </c>
      <c r="H7541">
        <v>0</v>
      </c>
      <c r="I7541">
        <f>1</f>
        <v>1</v>
      </c>
    </row>
    <row r="7542" spans="2:9" x14ac:dyDescent="0.25">
      <c r="B7542">
        <v>0</v>
      </c>
      <c r="C7542" s="16" t="s">
        <v>16660</v>
      </c>
      <c r="D7542" s="16"/>
      <c r="E7542">
        <v>6</v>
      </c>
      <c r="F7542" t="s">
        <v>7924</v>
      </c>
      <c r="G7542">
        <v>1</v>
      </c>
      <c r="H7542">
        <v>0</v>
      </c>
      <c r="I7542">
        <f>1</f>
        <v>1</v>
      </c>
    </row>
    <row r="7543" spans="2:9" x14ac:dyDescent="0.25">
      <c r="B7543">
        <v>0</v>
      </c>
      <c r="C7543" s="16" t="s">
        <v>16661</v>
      </c>
      <c r="D7543" s="16"/>
      <c r="E7543">
        <v>6</v>
      </c>
      <c r="F7543" t="e">
        <f>-desperdícios e Resíduos</f>
        <v>#NAME?</v>
      </c>
      <c r="G7543">
        <v>1</v>
      </c>
      <c r="H7543">
        <v>0</v>
      </c>
      <c r="I7543">
        <f>1</f>
        <v>1</v>
      </c>
    </row>
    <row r="7544" spans="2:9" x14ac:dyDescent="0.25">
      <c r="B7544">
        <v>0</v>
      </c>
      <c r="C7544" s="16" t="s">
        <v>16662</v>
      </c>
      <c r="D7544" s="16"/>
      <c r="E7544">
        <v>6</v>
      </c>
      <c r="F7544" t="e">
        <f>-outros</f>
        <v>#NAME?</v>
      </c>
      <c r="G7544">
        <v>1</v>
      </c>
      <c r="H7544">
        <v>0</v>
      </c>
      <c r="I7544">
        <f>1</f>
        <v>1</v>
      </c>
    </row>
    <row r="7545" spans="2:9" x14ac:dyDescent="0.25">
      <c r="B7545">
        <v>0</v>
      </c>
      <c r="C7545" s="16" t="s">
        <v>16663</v>
      </c>
      <c r="D7545" s="16"/>
      <c r="E7545">
        <v>6</v>
      </c>
      <c r="F7545" t="s">
        <v>7925</v>
      </c>
      <c r="G7545">
        <v>1</v>
      </c>
      <c r="H7545">
        <v>0</v>
      </c>
      <c r="I7545">
        <f>1</f>
        <v>1</v>
      </c>
    </row>
    <row r="7546" spans="2:9" x14ac:dyDescent="0.25">
      <c r="B7546">
        <v>0</v>
      </c>
      <c r="C7546" s="16" t="s">
        <v>16664</v>
      </c>
      <c r="D7546" s="16"/>
      <c r="E7546">
        <v>6</v>
      </c>
      <c r="F7546" t="e">
        <f>-desperdícios e Resíduos</f>
        <v>#NAME?</v>
      </c>
      <c r="G7546">
        <v>1</v>
      </c>
      <c r="H7546">
        <v>0</v>
      </c>
      <c r="I7546">
        <f>1</f>
        <v>1</v>
      </c>
    </row>
    <row r="7547" spans="2:9" x14ac:dyDescent="0.25">
      <c r="B7547">
        <v>0</v>
      </c>
      <c r="C7547" s="16" t="s">
        <v>16665</v>
      </c>
      <c r="D7547" s="16"/>
      <c r="E7547">
        <v>6</v>
      </c>
      <c r="F7547" t="e">
        <f>-outros</f>
        <v>#NAME?</v>
      </c>
      <c r="G7547">
        <v>1</v>
      </c>
      <c r="H7547">
        <v>0</v>
      </c>
      <c r="I7547">
        <f>1</f>
        <v>1</v>
      </c>
    </row>
    <row r="7548" spans="2:9" x14ac:dyDescent="0.25">
      <c r="B7548">
        <v>0</v>
      </c>
      <c r="C7548" s="16" t="s">
        <v>16666</v>
      </c>
      <c r="D7548" s="16"/>
      <c r="E7548">
        <v>6</v>
      </c>
      <c r="F7548" t="s">
        <v>7926</v>
      </c>
      <c r="G7548">
        <v>1</v>
      </c>
      <c r="H7548">
        <v>0</v>
      </c>
      <c r="I7548">
        <f>1</f>
        <v>1</v>
      </c>
    </row>
    <row r="7549" spans="2:9" x14ac:dyDescent="0.25">
      <c r="B7549">
        <v>0</v>
      </c>
      <c r="C7549" s="16" t="s">
        <v>16667</v>
      </c>
      <c r="D7549" s="16"/>
      <c r="E7549">
        <v>6</v>
      </c>
      <c r="F7549" t="e">
        <f>-desperdícios e Resíduos</f>
        <v>#NAME?</v>
      </c>
      <c r="G7549">
        <v>1</v>
      </c>
      <c r="H7549">
        <v>0</v>
      </c>
      <c r="I7549">
        <f>1</f>
        <v>1</v>
      </c>
    </row>
    <row r="7550" spans="2:9" x14ac:dyDescent="0.25">
      <c r="B7550">
        <v>0</v>
      </c>
      <c r="C7550" s="16" t="s">
        <v>16668</v>
      </c>
      <c r="D7550" s="16"/>
      <c r="E7550">
        <v>6</v>
      </c>
      <c r="F7550" t="e">
        <f>-outros</f>
        <v>#NAME?</v>
      </c>
      <c r="G7550">
        <v>1</v>
      </c>
      <c r="H7550">
        <v>0</v>
      </c>
      <c r="I7550">
        <f>1</f>
        <v>1</v>
      </c>
    </row>
    <row r="7551" spans="2:9" x14ac:dyDescent="0.25">
      <c r="B7551">
        <v>0</v>
      </c>
      <c r="C7551" s="16" t="s">
        <v>16669</v>
      </c>
      <c r="D7551" s="16"/>
      <c r="E7551">
        <v>6</v>
      </c>
      <c r="F7551" t="s">
        <v>7921</v>
      </c>
      <c r="G7551">
        <v>1</v>
      </c>
      <c r="H7551">
        <v>0</v>
      </c>
      <c r="I7551">
        <f>1</f>
        <v>1</v>
      </c>
    </row>
    <row r="7552" spans="2:9" x14ac:dyDescent="0.25">
      <c r="B7552">
        <v>0</v>
      </c>
      <c r="C7552" s="16" t="s">
        <v>16670</v>
      </c>
      <c r="D7552" s="16"/>
      <c r="E7552">
        <v>6</v>
      </c>
      <c r="F7552" t="s">
        <v>7924</v>
      </c>
      <c r="G7552">
        <v>1</v>
      </c>
      <c r="H7552">
        <v>0</v>
      </c>
      <c r="I7552">
        <f>1</f>
        <v>1</v>
      </c>
    </row>
    <row r="7553" spans="2:9" x14ac:dyDescent="0.25">
      <c r="B7553">
        <v>0</v>
      </c>
      <c r="C7553" s="16" t="s">
        <v>16671</v>
      </c>
      <c r="D7553" s="16"/>
      <c r="E7553">
        <v>6</v>
      </c>
      <c r="F7553" t="e">
        <f>-desperdícios e Resíduos</f>
        <v>#NAME?</v>
      </c>
      <c r="G7553">
        <v>1</v>
      </c>
      <c r="H7553">
        <v>0</v>
      </c>
      <c r="I7553">
        <f>1</f>
        <v>1</v>
      </c>
    </row>
    <row r="7554" spans="2:9" x14ac:dyDescent="0.25">
      <c r="B7554">
        <v>0</v>
      </c>
      <c r="C7554" s="16" t="s">
        <v>16672</v>
      </c>
      <c r="D7554" s="16"/>
      <c r="E7554">
        <v>6</v>
      </c>
      <c r="F7554" t="e">
        <f>-outros</f>
        <v>#NAME?</v>
      </c>
      <c r="G7554">
        <v>1</v>
      </c>
      <c r="H7554">
        <v>0</v>
      </c>
      <c r="I7554">
        <f>1</f>
        <v>1</v>
      </c>
    </row>
    <row r="7555" spans="2:9" x14ac:dyDescent="0.25">
      <c r="B7555">
        <v>0</v>
      </c>
      <c r="C7555" s="16" t="s">
        <v>16673</v>
      </c>
      <c r="D7555" s="16"/>
      <c r="E7555">
        <v>6</v>
      </c>
      <c r="F7555" t="s">
        <v>7921</v>
      </c>
      <c r="G7555">
        <v>1</v>
      </c>
      <c r="H7555">
        <v>0</v>
      </c>
      <c r="I7555">
        <f>1</f>
        <v>1</v>
      </c>
    </row>
    <row r="7556" spans="2:9" x14ac:dyDescent="0.25">
      <c r="B7556">
        <v>0</v>
      </c>
      <c r="C7556" s="16" t="s">
        <v>16674</v>
      </c>
      <c r="D7556" s="16"/>
      <c r="E7556">
        <v>6</v>
      </c>
      <c r="F7556" t="s">
        <v>7923</v>
      </c>
      <c r="G7556">
        <v>1</v>
      </c>
      <c r="H7556">
        <v>0</v>
      </c>
      <c r="I7556">
        <f>1</f>
        <v>1</v>
      </c>
    </row>
    <row r="7557" spans="2:9" x14ac:dyDescent="0.25">
      <c r="B7557">
        <v>0</v>
      </c>
      <c r="C7557" s="16" t="s">
        <v>16675</v>
      </c>
      <c r="D7557" s="16"/>
      <c r="E7557">
        <v>6</v>
      </c>
      <c r="F7557" t="s">
        <v>4680</v>
      </c>
      <c r="G7557">
        <v>1</v>
      </c>
      <c r="H7557">
        <v>0</v>
      </c>
      <c r="I7557">
        <f>1</f>
        <v>1</v>
      </c>
    </row>
    <row r="7558" spans="2:9" x14ac:dyDescent="0.25">
      <c r="B7558">
        <v>0</v>
      </c>
      <c r="C7558" s="16" t="s">
        <v>16676</v>
      </c>
      <c r="D7558" s="16"/>
      <c r="E7558">
        <v>6</v>
      </c>
      <c r="F7558" t="s">
        <v>7927</v>
      </c>
      <c r="G7558">
        <v>1</v>
      </c>
      <c r="H7558">
        <v>0</v>
      </c>
      <c r="I7558">
        <f>1</f>
        <v>1</v>
      </c>
    </row>
    <row r="7559" spans="2:9" x14ac:dyDescent="0.25">
      <c r="B7559">
        <v>0</v>
      </c>
      <c r="C7559" s="16" t="s">
        <v>16677</v>
      </c>
      <c r="D7559" s="16"/>
      <c r="E7559">
        <v>6</v>
      </c>
      <c r="F7559" t="e">
        <f>--desperdícios e Resíduos</f>
        <v>#NAME?</v>
      </c>
      <c r="G7559">
        <v>1</v>
      </c>
      <c r="H7559">
        <v>0</v>
      </c>
      <c r="I7559">
        <f>1</f>
        <v>1</v>
      </c>
    </row>
    <row r="7560" spans="2:9" x14ac:dyDescent="0.25">
      <c r="B7560">
        <v>0</v>
      </c>
      <c r="C7560" s="16" t="s">
        <v>16678</v>
      </c>
      <c r="D7560" s="16"/>
      <c r="E7560">
        <v>6</v>
      </c>
      <c r="F7560" t="e">
        <f>--outros</f>
        <v>#NAME?</v>
      </c>
      <c r="G7560">
        <v>1</v>
      </c>
      <c r="H7560">
        <v>0</v>
      </c>
      <c r="I7560">
        <f>1</f>
        <v>1</v>
      </c>
    </row>
    <row r="7561" spans="2:9" x14ac:dyDescent="0.25">
      <c r="B7561">
        <v>0</v>
      </c>
      <c r="C7561" s="16" t="s">
        <v>16679</v>
      </c>
      <c r="D7561" s="16"/>
      <c r="E7561">
        <v>6</v>
      </c>
      <c r="F7561" t="s">
        <v>7921</v>
      </c>
      <c r="G7561">
        <v>1</v>
      </c>
      <c r="H7561">
        <v>0</v>
      </c>
      <c r="I7561">
        <f>1</f>
        <v>1</v>
      </c>
    </row>
    <row r="7562" spans="2:9" x14ac:dyDescent="0.25">
      <c r="B7562">
        <v>0</v>
      </c>
      <c r="C7562" s="16" t="s">
        <v>16680</v>
      </c>
      <c r="D7562" s="16"/>
      <c r="E7562">
        <v>6</v>
      </c>
      <c r="F7562" t="s">
        <v>7924</v>
      </c>
      <c r="G7562">
        <v>1</v>
      </c>
      <c r="H7562">
        <v>0</v>
      </c>
      <c r="I7562">
        <f>1</f>
        <v>1</v>
      </c>
    </row>
    <row r="7563" spans="2:9" x14ac:dyDescent="0.25">
      <c r="B7563">
        <v>0</v>
      </c>
      <c r="C7563" s="16" t="s">
        <v>16681</v>
      </c>
      <c r="D7563" s="16"/>
      <c r="E7563">
        <v>6</v>
      </c>
      <c r="F7563" t="e">
        <f>--desperdícios e Resíduos</f>
        <v>#NAME?</v>
      </c>
      <c r="G7563">
        <v>1</v>
      </c>
      <c r="H7563">
        <v>0</v>
      </c>
      <c r="I7563">
        <f>1</f>
        <v>1</v>
      </c>
    </row>
    <row r="7564" spans="2:9" x14ac:dyDescent="0.25">
      <c r="B7564">
        <v>0</v>
      </c>
      <c r="C7564" s="16" t="s">
        <v>16682</v>
      </c>
      <c r="D7564" s="16"/>
      <c r="E7564">
        <v>6</v>
      </c>
      <c r="F7564" t="e">
        <f>--outros</f>
        <v>#NAME?</v>
      </c>
      <c r="G7564">
        <v>1</v>
      </c>
      <c r="H7564">
        <v>0</v>
      </c>
      <c r="I7564">
        <f>1</f>
        <v>1</v>
      </c>
    </row>
    <row r="7565" spans="2:9" x14ac:dyDescent="0.25">
      <c r="B7565">
        <v>0</v>
      </c>
      <c r="C7565" s="16" t="s">
        <v>16683</v>
      </c>
      <c r="D7565" s="16"/>
      <c r="E7565">
        <v>6</v>
      </c>
      <c r="F7565" t="s">
        <v>7927</v>
      </c>
      <c r="G7565">
        <v>1</v>
      </c>
      <c r="H7565">
        <v>0</v>
      </c>
      <c r="I7565">
        <f>1</f>
        <v>1</v>
      </c>
    </row>
    <row r="7566" spans="2:9" x14ac:dyDescent="0.25">
      <c r="B7566">
        <v>0</v>
      </c>
      <c r="C7566" s="16" t="s">
        <v>16684</v>
      </c>
      <c r="D7566" s="16"/>
      <c r="E7566">
        <v>6</v>
      </c>
      <c r="F7566" t="e">
        <f>--desperdícios e Resíduos</f>
        <v>#NAME?</v>
      </c>
      <c r="G7566">
        <v>1</v>
      </c>
      <c r="H7566">
        <v>0</v>
      </c>
      <c r="I7566">
        <f>1</f>
        <v>1</v>
      </c>
    </row>
    <row r="7567" spans="2:9" x14ac:dyDescent="0.25">
      <c r="B7567">
        <v>0</v>
      </c>
      <c r="C7567" s="16" t="s">
        <v>16685</v>
      </c>
      <c r="D7567" s="16"/>
      <c r="E7567">
        <v>6</v>
      </c>
      <c r="F7567" t="e">
        <f>--outros</f>
        <v>#NAME?</v>
      </c>
      <c r="G7567">
        <v>1</v>
      </c>
      <c r="H7567">
        <v>0</v>
      </c>
      <c r="I7567">
        <f>1</f>
        <v>1</v>
      </c>
    </row>
    <row r="7568" spans="2:9" x14ac:dyDescent="0.25">
      <c r="B7568">
        <v>0</v>
      </c>
      <c r="C7568" s="16" t="s">
        <v>16686</v>
      </c>
      <c r="D7568" s="16"/>
      <c r="E7568">
        <v>6</v>
      </c>
      <c r="F7568" t="s">
        <v>7928</v>
      </c>
      <c r="G7568">
        <v>1</v>
      </c>
      <c r="H7568">
        <v>0</v>
      </c>
      <c r="I7568">
        <f>1</f>
        <v>1</v>
      </c>
    </row>
    <row r="7569" spans="2:9" x14ac:dyDescent="0.25">
      <c r="B7569">
        <v>0</v>
      </c>
      <c r="C7569" s="16" t="s">
        <v>16687</v>
      </c>
      <c r="D7569" s="16"/>
      <c r="E7569">
        <v>6</v>
      </c>
      <c r="F7569" t="e">
        <f>--outros</f>
        <v>#NAME?</v>
      </c>
      <c r="G7569">
        <v>1</v>
      </c>
      <c r="H7569">
        <v>0</v>
      </c>
      <c r="I7569">
        <f>1</f>
        <v>1</v>
      </c>
    </row>
    <row r="7570" spans="2:9" x14ac:dyDescent="0.25">
      <c r="B7570">
        <v>0</v>
      </c>
      <c r="C7570" s="16" t="s">
        <v>16688</v>
      </c>
      <c r="D7570" s="16"/>
      <c r="E7570">
        <v>6</v>
      </c>
      <c r="F7570" t="s">
        <v>7923</v>
      </c>
      <c r="G7570">
        <v>1</v>
      </c>
      <c r="H7570">
        <v>0</v>
      </c>
      <c r="I7570">
        <f>1</f>
        <v>1</v>
      </c>
    </row>
    <row r="7571" spans="2:9" x14ac:dyDescent="0.25">
      <c r="B7571">
        <v>0</v>
      </c>
      <c r="C7571" s="16" t="s">
        <v>16689</v>
      </c>
      <c r="D7571" s="16"/>
      <c r="E7571">
        <v>6</v>
      </c>
      <c r="F7571" t="s">
        <v>4680</v>
      </c>
      <c r="G7571">
        <v>1</v>
      </c>
      <c r="H7571">
        <v>0</v>
      </c>
      <c r="I7571">
        <f>1</f>
        <v>1</v>
      </c>
    </row>
    <row r="7572" spans="2:9" x14ac:dyDescent="0.25">
      <c r="B7572">
        <v>0</v>
      </c>
      <c r="C7572" s="16" t="s">
        <v>16690</v>
      </c>
      <c r="D7572" s="16"/>
      <c r="E7572">
        <v>6</v>
      </c>
      <c r="F7572" t="e">
        <f>-Pás</f>
        <v>#NAME?</v>
      </c>
      <c r="G7572">
        <v>1</v>
      </c>
      <c r="H7572">
        <v>1</v>
      </c>
      <c r="I7572">
        <f>1</f>
        <v>1</v>
      </c>
    </row>
    <row r="7573" spans="2:9" x14ac:dyDescent="0.25">
      <c r="B7573">
        <v>0</v>
      </c>
      <c r="C7573" s="16" t="s">
        <v>16691</v>
      </c>
      <c r="D7573" s="16"/>
      <c r="E7573">
        <v>6</v>
      </c>
      <c r="F7573" t="s">
        <v>7929</v>
      </c>
      <c r="G7573">
        <v>1</v>
      </c>
      <c r="H7573">
        <v>1</v>
      </c>
      <c r="I7573">
        <f>1</f>
        <v>1</v>
      </c>
    </row>
    <row r="7574" spans="2:9" x14ac:dyDescent="0.25">
      <c r="B7574">
        <v>0</v>
      </c>
      <c r="C7574" s="16" t="s">
        <v>16692</v>
      </c>
      <c r="D7574" s="16"/>
      <c r="E7574">
        <v>6</v>
      </c>
      <c r="F7574" t="s">
        <v>7930</v>
      </c>
      <c r="G7574">
        <v>1</v>
      </c>
      <c r="H7574">
        <v>1</v>
      </c>
      <c r="I7574">
        <f>1</f>
        <v>1</v>
      </c>
    </row>
    <row r="7575" spans="2:9" x14ac:dyDescent="0.25">
      <c r="B7575">
        <v>0</v>
      </c>
      <c r="C7575" s="16" t="s">
        <v>16693</v>
      </c>
      <c r="D7575" s="16"/>
      <c r="E7575">
        <v>6</v>
      </c>
      <c r="F7575" t="e">
        <f>-Tesouras De podar  incluindo as Tesouras para Aves  manipuladas Com uma das mãos</f>
        <v>#NAME?</v>
      </c>
      <c r="G7575">
        <v>1</v>
      </c>
      <c r="H7575">
        <v>1</v>
      </c>
      <c r="I7575">
        <f>1</f>
        <v>1</v>
      </c>
    </row>
    <row r="7576" spans="2:9" x14ac:dyDescent="0.25">
      <c r="B7576">
        <v>0</v>
      </c>
      <c r="C7576" s="16" t="s">
        <v>16694</v>
      </c>
      <c r="D7576" s="16"/>
      <c r="E7576">
        <v>6</v>
      </c>
      <c r="F7576" t="s">
        <v>7931</v>
      </c>
      <c r="G7576">
        <v>1</v>
      </c>
      <c r="H7576">
        <v>1</v>
      </c>
      <c r="I7576">
        <f>1</f>
        <v>1</v>
      </c>
    </row>
    <row r="7577" spans="2:9" x14ac:dyDescent="0.25">
      <c r="B7577">
        <v>0</v>
      </c>
      <c r="C7577" s="16" t="s">
        <v>16695</v>
      </c>
      <c r="D7577" s="16"/>
      <c r="E7577">
        <v>6</v>
      </c>
      <c r="F7577" t="s">
        <v>7932</v>
      </c>
      <c r="G7577">
        <v>1</v>
      </c>
      <c r="H7577">
        <v>1</v>
      </c>
      <c r="I7577">
        <f>1</f>
        <v>1</v>
      </c>
    </row>
    <row r="7578" spans="2:9" x14ac:dyDescent="0.25">
      <c r="B7578">
        <v>0</v>
      </c>
      <c r="C7578" s="16" t="s">
        <v>16696</v>
      </c>
      <c r="D7578" s="16"/>
      <c r="E7578">
        <v>6</v>
      </c>
      <c r="F7578" t="e">
        <f>-Serras manuais</f>
        <v>#NAME?</v>
      </c>
      <c r="G7578">
        <v>1</v>
      </c>
      <c r="H7578">
        <v>1</v>
      </c>
      <c r="I7578">
        <f>1</f>
        <v>1</v>
      </c>
    </row>
    <row r="7579" spans="2:9" x14ac:dyDescent="0.25">
      <c r="B7579">
        <v>0</v>
      </c>
      <c r="C7579" s="16" t="s">
        <v>16697</v>
      </c>
      <c r="D7579" s="16"/>
      <c r="E7579">
        <v>6</v>
      </c>
      <c r="F7579" t="e">
        <f>-folhas De Serras De fita</f>
        <v>#NAME?</v>
      </c>
      <c r="G7579">
        <v>1</v>
      </c>
      <c r="H7579">
        <v>1</v>
      </c>
      <c r="I7579">
        <f>1</f>
        <v>1</v>
      </c>
    </row>
    <row r="7580" spans="2:9" x14ac:dyDescent="0.25">
      <c r="B7580">
        <v>0</v>
      </c>
      <c r="C7580" s="16" t="s">
        <v>16698</v>
      </c>
      <c r="D7580" s="16"/>
      <c r="E7580">
        <v>6</v>
      </c>
      <c r="F7580" t="e">
        <f>--Com parte operante De aço</f>
        <v>#NAME?</v>
      </c>
      <c r="G7580">
        <v>1</v>
      </c>
      <c r="H7580">
        <v>1</v>
      </c>
      <c r="I7580">
        <f>1</f>
        <v>1</v>
      </c>
    </row>
    <row r="7581" spans="2:9" x14ac:dyDescent="0.25">
      <c r="B7581">
        <v>0</v>
      </c>
      <c r="C7581" s="16" t="s">
        <v>16699</v>
      </c>
      <c r="D7581" s="16"/>
      <c r="E7581">
        <v>6</v>
      </c>
      <c r="F7581" t="s">
        <v>7933</v>
      </c>
      <c r="G7581">
        <v>1</v>
      </c>
      <c r="H7581">
        <v>1</v>
      </c>
      <c r="I7581">
        <f>1</f>
        <v>1</v>
      </c>
    </row>
    <row r="7582" spans="2:9" x14ac:dyDescent="0.25">
      <c r="B7582">
        <v>0</v>
      </c>
      <c r="C7582" s="16" t="s">
        <v>16700</v>
      </c>
      <c r="D7582" s="16"/>
      <c r="E7582">
        <v>6</v>
      </c>
      <c r="F7582" t="e">
        <f>-Correntes cortantes De Serras</f>
        <v>#NAME?</v>
      </c>
      <c r="G7582">
        <v>1</v>
      </c>
      <c r="H7582">
        <v>1</v>
      </c>
      <c r="I7582">
        <f>1</f>
        <v>1</v>
      </c>
    </row>
    <row r="7583" spans="2:9" x14ac:dyDescent="0.25">
      <c r="B7583">
        <v>0</v>
      </c>
      <c r="C7583" s="16" t="s">
        <v>16701</v>
      </c>
      <c r="D7583" s="16"/>
      <c r="E7583">
        <v>6</v>
      </c>
      <c r="F7583" t="s">
        <v>7934</v>
      </c>
      <c r="G7583">
        <v>1</v>
      </c>
      <c r="H7583">
        <v>1</v>
      </c>
      <c r="I7583">
        <f>1</f>
        <v>1</v>
      </c>
    </row>
    <row r="7584" spans="2:9" x14ac:dyDescent="0.25">
      <c r="B7584">
        <v>0</v>
      </c>
      <c r="C7584" s="16" t="s">
        <v>16702</v>
      </c>
      <c r="D7584" s="16"/>
      <c r="E7584">
        <v>6</v>
      </c>
      <c r="F7584" t="s">
        <v>7935</v>
      </c>
      <c r="G7584">
        <v>1</v>
      </c>
      <c r="H7584">
        <v>1</v>
      </c>
      <c r="I7584">
        <f>1</f>
        <v>1</v>
      </c>
    </row>
    <row r="7585" spans="2:9" x14ac:dyDescent="0.25">
      <c r="B7585">
        <v>0</v>
      </c>
      <c r="C7585" s="16" t="s">
        <v>16703</v>
      </c>
      <c r="D7585" s="16"/>
      <c r="E7585">
        <v>6</v>
      </c>
      <c r="F7585" t="s">
        <v>4690</v>
      </c>
      <c r="G7585">
        <v>1</v>
      </c>
      <c r="H7585">
        <v>1</v>
      </c>
      <c r="I7585">
        <f>1</f>
        <v>1</v>
      </c>
    </row>
    <row r="7586" spans="2:9" x14ac:dyDescent="0.25">
      <c r="B7586">
        <v>0</v>
      </c>
      <c r="C7586" s="16" t="s">
        <v>16704</v>
      </c>
      <c r="D7586" s="16"/>
      <c r="E7586">
        <v>6</v>
      </c>
      <c r="F7586" t="s">
        <v>7936</v>
      </c>
      <c r="G7586">
        <v>1</v>
      </c>
      <c r="H7586">
        <v>1</v>
      </c>
      <c r="I7586">
        <f>1</f>
        <v>1</v>
      </c>
    </row>
    <row r="7587" spans="2:9" x14ac:dyDescent="0.25">
      <c r="B7587">
        <v>0</v>
      </c>
      <c r="C7587" s="16" t="s">
        <v>16705</v>
      </c>
      <c r="D7587" s="16"/>
      <c r="E7587">
        <v>6</v>
      </c>
      <c r="F7587" t="s">
        <v>4690</v>
      </c>
      <c r="G7587">
        <v>1</v>
      </c>
      <c r="H7587">
        <v>1</v>
      </c>
      <c r="I7587">
        <f>1</f>
        <v>1</v>
      </c>
    </row>
    <row r="7588" spans="2:9" x14ac:dyDescent="0.25">
      <c r="B7588">
        <v>0</v>
      </c>
      <c r="C7588" s="16" t="s">
        <v>16706</v>
      </c>
      <c r="D7588" s="16"/>
      <c r="E7588">
        <v>6</v>
      </c>
      <c r="F7588" t="s">
        <v>7937</v>
      </c>
      <c r="G7588">
        <v>1</v>
      </c>
      <c r="H7588">
        <v>1</v>
      </c>
      <c r="I7588">
        <f>1</f>
        <v>1</v>
      </c>
    </row>
    <row r="7589" spans="2:9" x14ac:dyDescent="0.25">
      <c r="B7589">
        <v>0</v>
      </c>
      <c r="C7589" s="16" t="s">
        <v>16707</v>
      </c>
      <c r="D7589" s="16"/>
      <c r="E7589">
        <v>6</v>
      </c>
      <c r="F7589" t="s">
        <v>4690</v>
      </c>
      <c r="G7589">
        <v>1</v>
      </c>
      <c r="H7589">
        <v>1</v>
      </c>
      <c r="I7589">
        <f>1</f>
        <v>1</v>
      </c>
    </row>
    <row r="7590" spans="2:9" x14ac:dyDescent="0.25">
      <c r="B7590">
        <v>0</v>
      </c>
      <c r="C7590" s="16" t="s">
        <v>16708</v>
      </c>
      <c r="D7590" s="16"/>
      <c r="E7590">
        <v>6</v>
      </c>
      <c r="F7590" t="e">
        <f>-Cisalhas para Metais e ferramentas semelhantes</f>
        <v>#NAME?</v>
      </c>
      <c r="G7590">
        <v>1</v>
      </c>
      <c r="H7590">
        <v>1</v>
      </c>
      <c r="I7590">
        <f>1</f>
        <v>1</v>
      </c>
    </row>
    <row r="7591" spans="2:9" x14ac:dyDescent="0.25">
      <c r="B7591">
        <v>0</v>
      </c>
      <c r="C7591" s="16" t="s">
        <v>16709</v>
      </c>
      <c r="D7591" s="16"/>
      <c r="E7591">
        <v>6</v>
      </c>
      <c r="F7591" t="s">
        <v>7938</v>
      </c>
      <c r="G7591">
        <v>1</v>
      </c>
      <c r="H7591">
        <v>1</v>
      </c>
      <c r="I7591">
        <f>1</f>
        <v>1</v>
      </c>
    </row>
    <row r="7592" spans="2:9" x14ac:dyDescent="0.25">
      <c r="B7592">
        <v>0</v>
      </c>
      <c r="C7592" s="16" t="s">
        <v>16710</v>
      </c>
      <c r="D7592" s="16"/>
      <c r="E7592">
        <v>6</v>
      </c>
      <c r="F7592" t="e">
        <f>--De abertura fixa</f>
        <v>#NAME?</v>
      </c>
      <c r="G7592">
        <v>1</v>
      </c>
      <c r="H7592">
        <v>1</v>
      </c>
      <c r="I7592">
        <f>1</f>
        <v>1</v>
      </c>
    </row>
    <row r="7593" spans="2:9" x14ac:dyDescent="0.25">
      <c r="B7593">
        <v>0</v>
      </c>
      <c r="C7593" s="16" t="s">
        <v>16711</v>
      </c>
      <c r="D7593" s="16"/>
      <c r="E7593">
        <v>6</v>
      </c>
      <c r="F7593" t="e">
        <f>--De abertura variável</f>
        <v>#NAME?</v>
      </c>
      <c r="G7593">
        <v>1</v>
      </c>
      <c r="H7593">
        <v>1</v>
      </c>
      <c r="I7593">
        <f>1</f>
        <v>1</v>
      </c>
    </row>
    <row r="7594" spans="2:9" x14ac:dyDescent="0.25">
      <c r="B7594">
        <v>0</v>
      </c>
      <c r="C7594" s="16" t="s">
        <v>16712</v>
      </c>
      <c r="D7594" s="16"/>
      <c r="E7594">
        <v>6</v>
      </c>
      <c r="F7594" t="s">
        <v>7939</v>
      </c>
      <c r="G7594">
        <v>1</v>
      </c>
      <c r="H7594">
        <v>1</v>
      </c>
      <c r="I7594">
        <f>1</f>
        <v>1</v>
      </c>
    </row>
    <row r="7595" spans="2:9" x14ac:dyDescent="0.25">
      <c r="B7595">
        <v>0</v>
      </c>
      <c r="C7595" s="16" t="s">
        <v>16713</v>
      </c>
      <c r="D7595" s="16"/>
      <c r="E7595">
        <v>6</v>
      </c>
      <c r="F7595" t="e">
        <f>-ferramentas De furar ou De roscar</f>
        <v>#NAME?</v>
      </c>
      <c r="G7595">
        <v>1</v>
      </c>
      <c r="H7595">
        <v>1</v>
      </c>
      <c r="I7595">
        <f>1</f>
        <v>1</v>
      </c>
    </row>
    <row r="7596" spans="2:9" x14ac:dyDescent="0.25">
      <c r="B7596">
        <v>0</v>
      </c>
      <c r="C7596" s="16" t="s">
        <v>16714</v>
      </c>
      <c r="D7596" s="16"/>
      <c r="E7596">
        <v>6</v>
      </c>
      <c r="F7596" t="e">
        <f>-Martelos e marretas</f>
        <v>#NAME?</v>
      </c>
      <c r="G7596">
        <v>1</v>
      </c>
      <c r="H7596">
        <v>1</v>
      </c>
      <c r="I7596">
        <f>1</f>
        <v>1</v>
      </c>
    </row>
    <row r="7597" spans="2:9" x14ac:dyDescent="0.25">
      <c r="B7597">
        <v>0</v>
      </c>
      <c r="C7597" s="16" t="s">
        <v>16715</v>
      </c>
      <c r="D7597" s="16"/>
      <c r="E7597">
        <v>6</v>
      </c>
      <c r="F7597" t="s">
        <v>7940</v>
      </c>
      <c r="G7597">
        <v>1</v>
      </c>
      <c r="H7597">
        <v>1</v>
      </c>
      <c r="I7597">
        <f>1</f>
        <v>1</v>
      </c>
    </row>
    <row r="7598" spans="2:9" x14ac:dyDescent="0.25">
      <c r="B7598">
        <v>0</v>
      </c>
      <c r="C7598" s="16" t="s">
        <v>16716</v>
      </c>
      <c r="D7598" s="16"/>
      <c r="E7598">
        <v>6</v>
      </c>
      <c r="F7598" t="e">
        <f>-Chaves De fenda</f>
        <v>#NAME?</v>
      </c>
      <c r="G7598">
        <v>1</v>
      </c>
      <c r="H7598">
        <v>1</v>
      </c>
      <c r="I7598">
        <f>1</f>
        <v>1</v>
      </c>
    </row>
    <row r="7599" spans="2:9" x14ac:dyDescent="0.25">
      <c r="B7599">
        <v>0</v>
      </c>
      <c r="C7599" s="16" t="s">
        <v>16717</v>
      </c>
      <c r="D7599" s="16"/>
      <c r="E7599">
        <v>6</v>
      </c>
      <c r="F7599" t="e">
        <f>--De uso doméstico</f>
        <v>#NAME?</v>
      </c>
      <c r="G7599">
        <v>1</v>
      </c>
      <c r="H7599">
        <v>1</v>
      </c>
      <c r="I7599">
        <f>1</f>
        <v>1</v>
      </c>
    </row>
    <row r="7600" spans="2:9" x14ac:dyDescent="0.25">
      <c r="B7600">
        <v>0</v>
      </c>
      <c r="C7600" s="16" t="s">
        <v>16718</v>
      </c>
      <c r="D7600" s="16"/>
      <c r="E7600">
        <v>6</v>
      </c>
      <c r="F7600" t="e">
        <f>--Outras</f>
        <v>#NAME?</v>
      </c>
      <c r="G7600">
        <v>1</v>
      </c>
      <c r="H7600">
        <v>1</v>
      </c>
      <c r="I7600">
        <f>1</f>
        <v>1</v>
      </c>
    </row>
    <row r="7601" spans="2:9" x14ac:dyDescent="0.25">
      <c r="B7601">
        <v>0</v>
      </c>
      <c r="C7601" s="16" t="s">
        <v>16719</v>
      </c>
      <c r="D7601" s="16"/>
      <c r="E7601">
        <v>6</v>
      </c>
      <c r="F7601" t="s">
        <v>7941</v>
      </c>
      <c r="G7601">
        <v>1</v>
      </c>
      <c r="H7601">
        <v>1</v>
      </c>
      <c r="I7601">
        <f>1</f>
        <v>1</v>
      </c>
    </row>
    <row r="7602" spans="2:9" x14ac:dyDescent="0.25">
      <c r="B7602">
        <v>0</v>
      </c>
      <c r="C7602" s="16" t="s">
        <v>16720</v>
      </c>
      <c r="D7602" s="16"/>
      <c r="E7602">
        <v>6</v>
      </c>
      <c r="F7602" t="s">
        <v>7942</v>
      </c>
      <c r="G7602">
        <v>1</v>
      </c>
      <c r="H7602">
        <v>1</v>
      </c>
      <c r="I7602">
        <f>1</f>
        <v>1</v>
      </c>
    </row>
    <row r="7603" spans="2:9" x14ac:dyDescent="0.25">
      <c r="B7603">
        <v>0</v>
      </c>
      <c r="C7603" s="16" t="s">
        <v>16721</v>
      </c>
      <c r="D7603" s="16"/>
      <c r="E7603">
        <v>6</v>
      </c>
      <c r="F7603" t="s">
        <v>7943</v>
      </c>
      <c r="G7603">
        <v>1</v>
      </c>
      <c r="H7603">
        <v>1</v>
      </c>
      <c r="I7603">
        <f>1</f>
        <v>1</v>
      </c>
    </row>
    <row r="7604" spans="2:9" x14ac:dyDescent="0.25">
      <c r="B7604">
        <v>0</v>
      </c>
      <c r="C7604" s="16" t="s">
        <v>16722</v>
      </c>
      <c r="D7604" s="16"/>
      <c r="E7604">
        <v>6</v>
      </c>
      <c r="F7604" t="s">
        <v>7944</v>
      </c>
      <c r="G7604">
        <v>1</v>
      </c>
      <c r="H7604">
        <v>1</v>
      </c>
      <c r="I7604">
        <f>1</f>
        <v>1</v>
      </c>
    </row>
    <row r="7605" spans="2:9" x14ac:dyDescent="0.25">
      <c r="B7605">
        <v>0</v>
      </c>
      <c r="C7605" s="16" t="s">
        <v>16723</v>
      </c>
      <c r="D7605" s="16"/>
      <c r="E7605">
        <v>6</v>
      </c>
      <c r="F7605" t="e">
        <f>--Com parte operante De ceramais  cermets</f>
        <v>#NAME?</v>
      </c>
      <c r="G7605">
        <v>1</v>
      </c>
      <c r="H7605">
        <v>1</v>
      </c>
      <c r="I7605">
        <f>1</f>
        <v>1</v>
      </c>
    </row>
    <row r="7606" spans="2:9" x14ac:dyDescent="0.25">
      <c r="B7606">
        <v>0</v>
      </c>
      <c r="C7606" s="16" t="s">
        <v>16724</v>
      </c>
      <c r="D7606" s="16"/>
      <c r="E7606">
        <v>6</v>
      </c>
      <c r="F7606" t="s">
        <v>7933</v>
      </c>
      <c r="G7606">
        <v>1</v>
      </c>
      <c r="H7606">
        <v>1</v>
      </c>
      <c r="I7606">
        <f>1</f>
        <v>1</v>
      </c>
    </row>
    <row r="7607" spans="2:9" x14ac:dyDescent="0.25">
      <c r="B7607">
        <v>0</v>
      </c>
      <c r="C7607" s="16" t="s">
        <v>16725</v>
      </c>
      <c r="D7607" s="16"/>
      <c r="E7607">
        <v>6</v>
      </c>
      <c r="F7607" t="s">
        <v>7945</v>
      </c>
      <c r="G7607">
        <v>1</v>
      </c>
      <c r="H7607">
        <v>1</v>
      </c>
      <c r="I7607">
        <f>1</f>
        <v>1</v>
      </c>
    </row>
    <row r="7608" spans="2:9" x14ac:dyDescent="0.25">
      <c r="B7608">
        <v>0</v>
      </c>
      <c r="C7608" s="16" t="s">
        <v>16726</v>
      </c>
      <c r="D7608" s="16"/>
      <c r="E7608">
        <v>6</v>
      </c>
      <c r="F7608" t="s">
        <v>7946</v>
      </c>
      <c r="G7608">
        <v>1</v>
      </c>
      <c r="H7608">
        <v>1</v>
      </c>
      <c r="I7608">
        <f>1</f>
        <v>1</v>
      </c>
    </row>
    <row r="7609" spans="2:9" x14ac:dyDescent="0.25">
      <c r="B7609">
        <v>0</v>
      </c>
      <c r="C7609" s="16" t="s">
        <v>16727</v>
      </c>
      <c r="D7609" s="16"/>
      <c r="E7609">
        <v>6</v>
      </c>
      <c r="F7609" t="s">
        <v>7947</v>
      </c>
      <c r="G7609">
        <v>1</v>
      </c>
      <c r="H7609">
        <v>1</v>
      </c>
      <c r="I7609">
        <f>1</f>
        <v>1</v>
      </c>
    </row>
    <row r="7610" spans="2:9" x14ac:dyDescent="0.25">
      <c r="B7610">
        <v>0</v>
      </c>
      <c r="C7610" s="16" t="s">
        <v>16728</v>
      </c>
      <c r="D7610" s="16"/>
      <c r="E7610">
        <v>6</v>
      </c>
      <c r="F7610" t="s">
        <v>7948</v>
      </c>
      <c r="G7610">
        <v>1</v>
      </c>
      <c r="H7610">
        <v>1</v>
      </c>
      <c r="I7610">
        <f>1</f>
        <v>1</v>
      </c>
    </row>
    <row r="7611" spans="2:9" x14ac:dyDescent="0.25">
      <c r="B7611">
        <v>0</v>
      </c>
      <c r="C7611" s="16" t="s">
        <v>16729</v>
      </c>
      <c r="D7611" s="16"/>
      <c r="E7611">
        <v>6</v>
      </c>
      <c r="F7611" t="s">
        <v>7949</v>
      </c>
      <c r="G7611">
        <v>1</v>
      </c>
      <c r="H7611">
        <v>1</v>
      </c>
      <c r="I7611">
        <f>1</f>
        <v>1</v>
      </c>
    </row>
    <row r="7612" spans="2:9" x14ac:dyDescent="0.25">
      <c r="B7612">
        <v>0</v>
      </c>
      <c r="C7612" s="16" t="s">
        <v>16730</v>
      </c>
      <c r="D7612" s="16"/>
      <c r="E7612">
        <v>6</v>
      </c>
      <c r="F7612" t="s">
        <v>4690</v>
      </c>
      <c r="G7612">
        <v>1</v>
      </c>
      <c r="H7612">
        <v>1</v>
      </c>
      <c r="I7612">
        <f>1</f>
        <v>1</v>
      </c>
    </row>
    <row r="7613" spans="2:9" x14ac:dyDescent="0.25">
      <c r="B7613">
        <v>0</v>
      </c>
      <c r="C7613" s="16" t="s">
        <v>16731</v>
      </c>
      <c r="D7613" s="16"/>
      <c r="E7613">
        <v>6</v>
      </c>
      <c r="F7613" t="s">
        <v>4690</v>
      </c>
      <c r="G7613">
        <v>1</v>
      </c>
      <c r="H7613">
        <v>1</v>
      </c>
      <c r="I7613">
        <f>1</f>
        <v>1</v>
      </c>
    </row>
    <row r="7614" spans="2:9" x14ac:dyDescent="0.25">
      <c r="B7614">
        <v>0</v>
      </c>
      <c r="C7614" s="16" t="s">
        <v>16732</v>
      </c>
      <c r="D7614" s="16"/>
      <c r="E7614">
        <v>6</v>
      </c>
      <c r="F7614" t="e">
        <f>-ferramentas De mandrilar ou De brochar</f>
        <v>#NAME?</v>
      </c>
      <c r="G7614">
        <v>1</v>
      </c>
      <c r="H7614">
        <v>1</v>
      </c>
      <c r="I7614">
        <f>1</f>
        <v>1</v>
      </c>
    </row>
    <row r="7615" spans="2:9" x14ac:dyDescent="0.25">
      <c r="B7615">
        <v>0</v>
      </c>
      <c r="C7615" s="16" t="s">
        <v>16733</v>
      </c>
      <c r="D7615" s="16"/>
      <c r="E7615">
        <v>6</v>
      </c>
      <c r="F7615" t="s">
        <v>7950</v>
      </c>
      <c r="G7615">
        <v>1</v>
      </c>
      <c r="H7615">
        <v>1</v>
      </c>
      <c r="I7615">
        <f>1</f>
        <v>1</v>
      </c>
    </row>
    <row r="7616" spans="2:9" x14ac:dyDescent="0.25">
      <c r="B7616">
        <v>0</v>
      </c>
      <c r="C7616" s="16" t="s">
        <v>16734</v>
      </c>
      <c r="D7616" s="16"/>
      <c r="E7616">
        <v>6</v>
      </c>
      <c r="F7616" t="s">
        <v>7951</v>
      </c>
      <c r="G7616">
        <v>1</v>
      </c>
      <c r="H7616">
        <v>1</v>
      </c>
      <c r="I7616">
        <f>1</f>
        <v>1</v>
      </c>
    </row>
    <row r="7617" spans="2:9" x14ac:dyDescent="0.25">
      <c r="B7617">
        <v>0</v>
      </c>
      <c r="C7617" s="16" t="s">
        <v>16735</v>
      </c>
      <c r="D7617" s="16"/>
      <c r="E7617">
        <v>6</v>
      </c>
      <c r="F7617" t="s">
        <v>4680</v>
      </c>
      <c r="G7617">
        <v>1</v>
      </c>
      <c r="H7617">
        <v>1</v>
      </c>
      <c r="I7617">
        <f>1</f>
        <v>1</v>
      </c>
    </row>
    <row r="7618" spans="2:9" x14ac:dyDescent="0.25">
      <c r="B7618">
        <v>0</v>
      </c>
      <c r="C7618" s="16" t="s">
        <v>16736</v>
      </c>
      <c r="D7618" s="16"/>
      <c r="E7618">
        <v>6</v>
      </c>
      <c r="F7618" t="e">
        <f>-ferramentas De tornear</f>
        <v>#NAME?</v>
      </c>
      <c r="G7618">
        <v>1</v>
      </c>
      <c r="H7618">
        <v>1</v>
      </c>
      <c r="I7618">
        <f>1</f>
        <v>1</v>
      </c>
    </row>
    <row r="7619" spans="2:9" x14ac:dyDescent="0.25">
      <c r="B7619">
        <v>0</v>
      </c>
      <c r="C7619" s="16" t="s">
        <v>16737</v>
      </c>
      <c r="D7619" s="16"/>
      <c r="E7619">
        <v>6</v>
      </c>
      <c r="F7619" t="e">
        <f>-Outras ferramentas intercambiáveis</f>
        <v>#NAME?</v>
      </c>
      <c r="G7619">
        <v>1</v>
      </c>
      <c r="H7619">
        <v>1</v>
      </c>
      <c r="I7619">
        <f>1</f>
        <v>1</v>
      </c>
    </row>
    <row r="7620" spans="2:9" x14ac:dyDescent="0.25">
      <c r="B7620">
        <v>0</v>
      </c>
      <c r="C7620" s="16" t="s">
        <v>16738</v>
      </c>
      <c r="D7620" s="16"/>
      <c r="E7620">
        <v>6</v>
      </c>
      <c r="F7620" t="e">
        <f>-para trabalhar Metais</f>
        <v>#NAME?</v>
      </c>
      <c r="G7620">
        <v>1</v>
      </c>
      <c r="H7620">
        <v>1</v>
      </c>
      <c r="I7620">
        <f>1</f>
        <v>1</v>
      </c>
    </row>
    <row r="7621" spans="2:9" x14ac:dyDescent="0.25">
      <c r="B7621">
        <v>0</v>
      </c>
      <c r="C7621" s="16" t="s">
        <v>16739</v>
      </c>
      <c r="D7621" s="16"/>
      <c r="E7621">
        <v>6</v>
      </c>
      <c r="F7621" t="e">
        <f>-para trabalhar madeira</f>
        <v>#NAME?</v>
      </c>
      <c r="G7621">
        <v>1</v>
      </c>
      <c r="H7621">
        <v>1</v>
      </c>
      <c r="I7621">
        <f>1</f>
        <v>1</v>
      </c>
    </row>
    <row r="7622" spans="2:9" x14ac:dyDescent="0.25">
      <c r="B7622">
        <v>0</v>
      </c>
      <c r="C7622" s="16" t="s">
        <v>16740</v>
      </c>
      <c r="D7622" s="16"/>
      <c r="E7622">
        <v>6</v>
      </c>
      <c r="F7622" t="e">
        <f>-para aparelhos De cozinha ou para máquinas das indústrias alimentares</f>
        <v>#NAME?</v>
      </c>
      <c r="G7622">
        <v>1</v>
      </c>
      <c r="H7622">
        <v>1</v>
      </c>
      <c r="I7622">
        <f>1</f>
        <v>1</v>
      </c>
    </row>
    <row r="7623" spans="2:9" x14ac:dyDescent="0.25">
      <c r="B7623">
        <v>0</v>
      </c>
      <c r="C7623" s="16" t="s">
        <v>16741</v>
      </c>
      <c r="D7623" s="16"/>
      <c r="E7623">
        <v>6</v>
      </c>
      <c r="F7623" t="s">
        <v>7952</v>
      </c>
      <c r="G7623">
        <v>1</v>
      </c>
      <c r="H7623">
        <v>1</v>
      </c>
      <c r="I7623">
        <f>1</f>
        <v>1</v>
      </c>
    </row>
    <row r="7624" spans="2:9" x14ac:dyDescent="0.25">
      <c r="B7624">
        <v>0</v>
      </c>
      <c r="C7624" s="16" t="s">
        <v>16741</v>
      </c>
      <c r="D7624" s="16" t="s">
        <v>19430</v>
      </c>
      <c r="E7624">
        <v>6</v>
      </c>
      <c r="F7624" t="s">
        <v>7953</v>
      </c>
      <c r="G7624">
        <v>1</v>
      </c>
      <c r="H7624">
        <v>1</v>
      </c>
      <c r="I7624">
        <f>1</f>
        <v>1</v>
      </c>
    </row>
    <row r="7625" spans="2:9" x14ac:dyDescent="0.25">
      <c r="B7625">
        <v>0</v>
      </c>
      <c r="C7625" s="16" t="s">
        <v>16742</v>
      </c>
      <c r="D7625" s="16"/>
      <c r="E7625">
        <v>6</v>
      </c>
      <c r="F7625" t="e">
        <f>-Outras</f>
        <v>#NAME?</v>
      </c>
      <c r="G7625">
        <v>1</v>
      </c>
      <c r="H7625">
        <v>1</v>
      </c>
      <c r="I7625">
        <f>1</f>
        <v>1</v>
      </c>
    </row>
    <row r="7626" spans="2:9" x14ac:dyDescent="0.25">
      <c r="B7626">
        <v>0</v>
      </c>
      <c r="C7626" s="16" t="s">
        <v>16743</v>
      </c>
      <c r="D7626" s="16"/>
      <c r="E7626">
        <v>6</v>
      </c>
      <c r="F7626" t="s">
        <v>7954</v>
      </c>
      <c r="G7626">
        <v>1</v>
      </c>
      <c r="H7626">
        <v>1</v>
      </c>
      <c r="I7626">
        <f>1</f>
        <v>1</v>
      </c>
    </row>
    <row r="7627" spans="2:9" x14ac:dyDescent="0.25">
      <c r="B7627">
        <v>0</v>
      </c>
      <c r="C7627" s="16" t="s">
        <v>16744</v>
      </c>
      <c r="D7627" s="16"/>
      <c r="E7627">
        <v>6</v>
      </c>
      <c r="F7627" t="s">
        <v>4690</v>
      </c>
      <c r="G7627">
        <v>1</v>
      </c>
      <c r="H7627">
        <v>1</v>
      </c>
      <c r="I7627">
        <f>1</f>
        <v>1</v>
      </c>
    </row>
    <row r="7628" spans="2:9" x14ac:dyDescent="0.25">
      <c r="B7628">
        <v>0</v>
      </c>
      <c r="C7628" s="16" t="s">
        <v>16745</v>
      </c>
      <c r="D7628" s="16"/>
      <c r="E7628">
        <v>6</v>
      </c>
      <c r="F7628" t="s">
        <v>4680</v>
      </c>
      <c r="G7628">
        <v>1</v>
      </c>
      <c r="H7628">
        <v>1</v>
      </c>
      <c r="I7628">
        <f>1</f>
        <v>1</v>
      </c>
    </row>
    <row r="7629" spans="2:9" x14ac:dyDescent="0.25">
      <c r="B7629">
        <v>0</v>
      </c>
      <c r="C7629" s="16" t="s">
        <v>16746</v>
      </c>
      <c r="D7629" s="16"/>
      <c r="E7629">
        <v>6</v>
      </c>
      <c r="F7629" t="s">
        <v>7955</v>
      </c>
      <c r="G7629">
        <v>1</v>
      </c>
      <c r="H7629">
        <v>1</v>
      </c>
      <c r="I7629">
        <f>1</f>
        <v>1</v>
      </c>
    </row>
    <row r="7630" spans="2:9" x14ac:dyDescent="0.25">
      <c r="B7630">
        <v>0</v>
      </c>
      <c r="C7630" s="16" t="s">
        <v>16747</v>
      </c>
      <c r="D7630" s="16"/>
      <c r="E7630">
        <v>6</v>
      </c>
      <c r="F7630" t="s">
        <v>4680</v>
      </c>
      <c r="G7630">
        <v>1</v>
      </c>
      <c r="H7630">
        <v>1</v>
      </c>
      <c r="I7630">
        <f>1</f>
        <v>1</v>
      </c>
    </row>
    <row r="7631" spans="2:9" x14ac:dyDescent="0.25">
      <c r="B7631">
        <v>0</v>
      </c>
      <c r="C7631" s="16" t="s">
        <v>16748</v>
      </c>
      <c r="D7631" s="16"/>
      <c r="E7631">
        <v>6</v>
      </c>
      <c r="F7631" t="e">
        <f>-sortidos</f>
        <v>#NAME?</v>
      </c>
      <c r="G7631">
        <v>1</v>
      </c>
      <c r="H7631">
        <v>1</v>
      </c>
      <c r="I7631">
        <f>1</f>
        <v>1</v>
      </c>
    </row>
    <row r="7632" spans="2:9" x14ac:dyDescent="0.25">
      <c r="B7632">
        <v>0</v>
      </c>
      <c r="C7632" s="16" t="s">
        <v>16749</v>
      </c>
      <c r="D7632" s="16"/>
      <c r="E7632">
        <v>6</v>
      </c>
      <c r="F7632" t="s">
        <v>7956</v>
      </c>
      <c r="G7632">
        <v>1</v>
      </c>
      <c r="H7632">
        <v>1</v>
      </c>
      <c r="I7632">
        <f>1</f>
        <v>1</v>
      </c>
    </row>
    <row r="7633" spans="2:9" x14ac:dyDescent="0.25">
      <c r="B7633">
        <v>0</v>
      </c>
      <c r="C7633" s="16" t="s">
        <v>16750</v>
      </c>
      <c r="D7633" s="16"/>
      <c r="E7633">
        <v>6</v>
      </c>
      <c r="F7633" t="s">
        <v>7957</v>
      </c>
      <c r="G7633">
        <v>1</v>
      </c>
      <c r="H7633">
        <v>1</v>
      </c>
      <c r="I7633">
        <f>1</f>
        <v>1</v>
      </c>
    </row>
    <row r="7634" spans="2:9" x14ac:dyDescent="0.25">
      <c r="B7634">
        <v>0</v>
      </c>
      <c r="C7634" s="16" t="s">
        <v>16751</v>
      </c>
      <c r="D7634" s="16"/>
      <c r="E7634">
        <v>6</v>
      </c>
      <c r="F7634" t="s">
        <v>7958</v>
      </c>
      <c r="G7634">
        <v>1</v>
      </c>
      <c r="H7634">
        <v>1</v>
      </c>
      <c r="I7634">
        <f>1</f>
        <v>1</v>
      </c>
    </row>
    <row r="7635" spans="2:9" x14ac:dyDescent="0.25">
      <c r="B7635">
        <v>0</v>
      </c>
      <c r="C7635" s="16" t="s">
        <v>16752</v>
      </c>
      <c r="D7635" s="16"/>
      <c r="E7635">
        <v>6</v>
      </c>
      <c r="F7635" t="s">
        <v>4690</v>
      </c>
      <c r="G7635">
        <v>1</v>
      </c>
      <c r="H7635">
        <v>1</v>
      </c>
      <c r="I7635">
        <f>1</f>
        <v>1</v>
      </c>
    </row>
    <row r="7636" spans="2:9" x14ac:dyDescent="0.25">
      <c r="B7636">
        <v>0</v>
      </c>
      <c r="C7636" s="16" t="s">
        <v>16753</v>
      </c>
      <c r="D7636" s="16"/>
      <c r="E7636">
        <v>6</v>
      </c>
      <c r="F7636" t="s">
        <v>7959</v>
      </c>
      <c r="G7636">
        <v>1</v>
      </c>
      <c r="H7636">
        <v>1</v>
      </c>
      <c r="I7636">
        <f>1</f>
        <v>1</v>
      </c>
    </row>
    <row r="7637" spans="2:9" x14ac:dyDescent="0.25">
      <c r="B7637">
        <v>0</v>
      </c>
      <c r="C7637" s="16" t="s">
        <v>16754</v>
      </c>
      <c r="D7637" s="16"/>
      <c r="E7637">
        <v>6</v>
      </c>
      <c r="F7637" t="s">
        <v>7960</v>
      </c>
      <c r="G7637">
        <v>1</v>
      </c>
      <c r="H7637">
        <v>1</v>
      </c>
      <c r="I7637">
        <f>1</f>
        <v>1</v>
      </c>
    </row>
    <row r="7638" spans="2:9" x14ac:dyDescent="0.25">
      <c r="B7638">
        <v>0</v>
      </c>
      <c r="C7638" s="16" t="s">
        <v>16755</v>
      </c>
      <c r="D7638" s="16"/>
      <c r="E7638">
        <v>6</v>
      </c>
      <c r="F7638" t="s">
        <v>4690</v>
      </c>
      <c r="G7638">
        <v>1</v>
      </c>
      <c r="H7638">
        <v>1</v>
      </c>
      <c r="I7638">
        <f>1</f>
        <v>1</v>
      </c>
    </row>
    <row r="7639" spans="2:9" x14ac:dyDescent="0.25">
      <c r="B7639">
        <v>0</v>
      </c>
      <c r="C7639" s="16" t="s">
        <v>16756</v>
      </c>
      <c r="D7639" s="16"/>
      <c r="E7639">
        <v>6</v>
      </c>
      <c r="F7639" t="e">
        <f>--lâminas</f>
        <v>#NAME?</v>
      </c>
      <c r="G7639">
        <v>1</v>
      </c>
      <c r="H7639">
        <v>1</v>
      </c>
      <c r="I7639">
        <f>1</f>
        <v>1</v>
      </c>
    </row>
    <row r="7640" spans="2:9" x14ac:dyDescent="0.25">
      <c r="B7640">
        <v>0</v>
      </c>
      <c r="C7640" s="16" t="s">
        <v>16757</v>
      </c>
      <c r="D7640" s="16"/>
      <c r="E7640">
        <v>6</v>
      </c>
      <c r="F7640" t="e">
        <f>--Cabos De Metais comuns</f>
        <v>#NAME?</v>
      </c>
      <c r="G7640">
        <v>1</v>
      </c>
      <c r="H7640">
        <v>1</v>
      </c>
      <c r="I7640">
        <f>1</f>
        <v>1</v>
      </c>
    </row>
    <row r="7641" spans="2:9" x14ac:dyDescent="0.25">
      <c r="B7641">
        <v>0</v>
      </c>
      <c r="C7641" s="16" t="s">
        <v>16758</v>
      </c>
      <c r="D7641" s="16"/>
      <c r="E7641">
        <v>6</v>
      </c>
      <c r="F7641" t="s">
        <v>7961</v>
      </c>
      <c r="G7641">
        <v>1</v>
      </c>
      <c r="H7641">
        <v>1</v>
      </c>
      <c r="I7641">
        <f>1</f>
        <v>1</v>
      </c>
    </row>
    <row r="7642" spans="2:9" x14ac:dyDescent="0.25">
      <c r="B7642">
        <v>0</v>
      </c>
      <c r="C7642" s="16" t="s">
        <v>16759</v>
      </c>
      <c r="D7642" s="16"/>
      <c r="E7642">
        <v>6</v>
      </c>
      <c r="F7642" t="s">
        <v>7962</v>
      </c>
      <c r="G7642">
        <v>1</v>
      </c>
      <c r="H7642">
        <v>1</v>
      </c>
      <c r="I7642">
        <f>1</f>
        <v>1</v>
      </c>
    </row>
    <row r="7643" spans="2:9" x14ac:dyDescent="0.25">
      <c r="B7643">
        <v>0</v>
      </c>
      <c r="C7643" s="16" t="s">
        <v>16760</v>
      </c>
      <c r="D7643" s="16"/>
      <c r="E7643">
        <v>6</v>
      </c>
      <c r="F7643" t="s">
        <v>7963</v>
      </c>
      <c r="G7643">
        <v>1</v>
      </c>
      <c r="H7643">
        <v>1</v>
      </c>
      <c r="I7643">
        <f>1</f>
        <v>1</v>
      </c>
    </row>
    <row r="7644" spans="2:9" x14ac:dyDescent="0.25">
      <c r="B7644">
        <v>0</v>
      </c>
      <c r="C7644" s="16" t="s">
        <v>16761</v>
      </c>
      <c r="D7644" s="16"/>
      <c r="E7644">
        <v>6</v>
      </c>
      <c r="F7644" t="s">
        <v>7964</v>
      </c>
      <c r="G7644">
        <v>1</v>
      </c>
      <c r="H7644">
        <v>1</v>
      </c>
      <c r="I7644">
        <f>1</f>
        <v>1</v>
      </c>
    </row>
    <row r="7645" spans="2:9" x14ac:dyDescent="0.25">
      <c r="B7645">
        <v>0</v>
      </c>
      <c r="C7645" s="16" t="s">
        <v>16762</v>
      </c>
      <c r="D7645" s="16"/>
      <c r="E7645">
        <v>6</v>
      </c>
      <c r="F7645" t="e">
        <f>-Outras Partes</f>
        <v>#NAME?</v>
      </c>
      <c r="G7645">
        <v>1</v>
      </c>
      <c r="H7645">
        <v>1</v>
      </c>
      <c r="I7645">
        <f>1</f>
        <v>1</v>
      </c>
    </row>
    <row r="7646" spans="2:9" x14ac:dyDescent="0.25">
      <c r="B7646">
        <v>0</v>
      </c>
      <c r="C7646" s="16" t="s">
        <v>16763</v>
      </c>
      <c r="D7646" s="16"/>
      <c r="E7646">
        <v>6</v>
      </c>
      <c r="F7646" t="s">
        <v>7965</v>
      </c>
      <c r="G7646">
        <v>1</v>
      </c>
      <c r="H7646">
        <v>1</v>
      </c>
      <c r="I7646">
        <f>1</f>
        <v>1</v>
      </c>
    </row>
    <row r="7647" spans="2:9" x14ac:dyDescent="0.25">
      <c r="B7647">
        <v>0</v>
      </c>
      <c r="C7647" s="16" t="s">
        <v>16764</v>
      </c>
      <c r="D7647" s="16"/>
      <c r="E7647">
        <v>6</v>
      </c>
      <c r="F7647" t="s">
        <v>7966</v>
      </c>
      <c r="G7647">
        <v>1</v>
      </c>
      <c r="H7647">
        <v>1</v>
      </c>
      <c r="I7647">
        <f>1</f>
        <v>1</v>
      </c>
    </row>
    <row r="7648" spans="2:9" x14ac:dyDescent="0.25">
      <c r="B7648">
        <v>0</v>
      </c>
      <c r="C7648" s="16" t="s">
        <v>16765</v>
      </c>
      <c r="D7648" s="16"/>
      <c r="E7648">
        <v>6</v>
      </c>
      <c r="F7648" t="e">
        <f>-utensílios e sortidos De utensílios De manicuros ou De pedicuros  incluindo as limas para unhas</f>
        <v>#NAME?</v>
      </c>
      <c r="G7648">
        <v>1</v>
      </c>
      <c r="H7648">
        <v>1</v>
      </c>
      <c r="I7648">
        <f>1</f>
        <v>1</v>
      </c>
    </row>
    <row r="7649" spans="2:9" x14ac:dyDescent="0.25">
      <c r="B7649">
        <v>0</v>
      </c>
      <c r="C7649" s="16" t="s">
        <v>16766</v>
      </c>
      <c r="D7649" s="16"/>
      <c r="E7649">
        <v>6</v>
      </c>
      <c r="F7649" t="s">
        <v>7967</v>
      </c>
      <c r="G7649">
        <v>1</v>
      </c>
      <c r="H7649">
        <v>1</v>
      </c>
      <c r="I7649">
        <f>1</f>
        <v>1</v>
      </c>
    </row>
    <row r="7650" spans="2:9" x14ac:dyDescent="0.25">
      <c r="B7650">
        <v>0</v>
      </c>
      <c r="C7650" s="16" t="s">
        <v>16767</v>
      </c>
      <c r="D7650" s="16"/>
      <c r="E7650">
        <v>6</v>
      </c>
      <c r="F7650" t="s">
        <v>4680</v>
      </c>
      <c r="G7650">
        <v>1</v>
      </c>
      <c r="H7650">
        <v>1</v>
      </c>
      <c r="I7650">
        <f>1</f>
        <v>1</v>
      </c>
    </row>
    <row r="7651" spans="2:9" x14ac:dyDescent="0.25">
      <c r="B7651">
        <v>0</v>
      </c>
      <c r="C7651" s="16" t="s">
        <v>16768</v>
      </c>
      <c r="D7651" s="16"/>
      <c r="E7651">
        <v>6</v>
      </c>
      <c r="F7651" t="s">
        <v>7968</v>
      </c>
      <c r="G7651">
        <v>1</v>
      </c>
      <c r="H7651">
        <v>1</v>
      </c>
      <c r="I7651">
        <f>1</f>
        <v>1</v>
      </c>
    </row>
    <row r="7652" spans="2:9" x14ac:dyDescent="0.25">
      <c r="B7652">
        <v>0</v>
      </c>
      <c r="C7652" s="16" t="s">
        <v>16769</v>
      </c>
      <c r="D7652" s="16"/>
      <c r="E7652">
        <v>6</v>
      </c>
      <c r="F7652" t="e">
        <f>-outros sortidos</f>
        <v>#NAME?</v>
      </c>
      <c r="G7652">
        <v>1</v>
      </c>
      <c r="H7652">
        <v>1</v>
      </c>
      <c r="I7652">
        <f>1</f>
        <v>1</v>
      </c>
    </row>
    <row r="7653" spans="2:9" x14ac:dyDescent="0.25">
      <c r="B7653">
        <v>0</v>
      </c>
      <c r="C7653" s="16" t="s">
        <v>16770</v>
      </c>
      <c r="D7653" s="16"/>
      <c r="E7653">
        <v>6</v>
      </c>
      <c r="F7653" t="s">
        <v>7969</v>
      </c>
      <c r="G7653">
        <v>1</v>
      </c>
      <c r="H7653">
        <v>1</v>
      </c>
      <c r="I7653">
        <f>1</f>
        <v>1</v>
      </c>
    </row>
    <row r="7654" spans="2:9" x14ac:dyDescent="0.25">
      <c r="B7654">
        <v>0</v>
      </c>
      <c r="C7654" s="16" t="s">
        <v>16771</v>
      </c>
      <c r="D7654" s="16"/>
      <c r="E7654">
        <v>6</v>
      </c>
      <c r="F7654" t="s">
        <v>7794</v>
      </c>
      <c r="G7654">
        <v>1</v>
      </c>
      <c r="H7654">
        <v>1</v>
      </c>
      <c r="I7654">
        <f>1</f>
        <v>1</v>
      </c>
    </row>
    <row r="7655" spans="2:9" x14ac:dyDescent="0.25">
      <c r="B7655">
        <v>0</v>
      </c>
      <c r="C7655" s="16" t="s">
        <v>16772</v>
      </c>
      <c r="D7655" s="16"/>
      <c r="E7655">
        <v>6</v>
      </c>
      <c r="F7655" t="s">
        <v>4680</v>
      </c>
      <c r="G7655">
        <v>1</v>
      </c>
      <c r="H7655">
        <v>1</v>
      </c>
      <c r="I7655">
        <f>1</f>
        <v>1</v>
      </c>
    </row>
    <row r="7656" spans="2:9" x14ac:dyDescent="0.25">
      <c r="B7656">
        <v>0</v>
      </c>
      <c r="C7656" s="16" t="s">
        <v>16773</v>
      </c>
      <c r="D7656" s="16"/>
      <c r="E7656">
        <v>6</v>
      </c>
      <c r="F7656" t="e">
        <f>-Cadeados</f>
        <v>#NAME?</v>
      </c>
      <c r="G7656">
        <v>1</v>
      </c>
      <c r="H7656">
        <v>1</v>
      </c>
      <c r="I7656">
        <f>1</f>
        <v>1</v>
      </c>
    </row>
    <row r="7657" spans="2:9" x14ac:dyDescent="0.25">
      <c r="B7657">
        <v>0</v>
      </c>
      <c r="C7657" s="16" t="s">
        <v>16774</v>
      </c>
      <c r="D7657" s="16"/>
      <c r="E7657">
        <v>6</v>
      </c>
      <c r="F7657" t="e">
        <f>-Fechaduras dos tipos utilizados em veículos automóveis</f>
        <v>#NAME?</v>
      </c>
      <c r="G7657">
        <v>1</v>
      </c>
      <c r="H7657">
        <v>1</v>
      </c>
      <c r="I7657">
        <f>1</f>
        <v>1</v>
      </c>
    </row>
    <row r="7658" spans="2:9" x14ac:dyDescent="0.25">
      <c r="B7658">
        <v>0</v>
      </c>
      <c r="C7658" s="16" t="s">
        <v>16775</v>
      </c>
      <c r="D7658" s="16"/>
      <c r="E7658">
        <v>6</v>
      </c>
      <c r="F7658" t="e">
        <f>-Fechaduras dos tipos utilizados em móveis</f>
        <v>#NAME?</v>
      </c>
      <c r="G7658">
        <v>1</v>
      </c>
      <c r="H7658">
        <v>1</v>
      </c>
      <c r="I7658">
        <f>1</f>
        <v>1</v>
      </c>
    </row>
    <row r="7659" spans="2:9" x14ac:dyDescent="0.25">
      <c r="B7659">
        <v>0</v>
      </c>
      <c r="C7659" s="16" t="s">
        <v>16776</v>
      </c>
      <c r="D7659" s="16"/>
      <c r="E7659">
        <v>6</v>
      </c>
      <c r="F7659" t="s">
        <v>7970</v>
      </c>
      <c r="G7659">
        <v>1</v>
      </c>
      <c r="H7659">
        <v>1</v>
      </c>
      <c r="I7659">
        <f>1</f>
        <v>1</v>
      </c>
    </row>
    <row r="7660" spans="2:9" x14ac:dyDescent="0.25">
      <c r="B7660">
        <v>0</v>
      </c>
      <c r="C7660" s="16" t="s">
        <v>16777</v>
      </c>
      <c r="D7660" s="16"/>
      <c r="E7660">
        <v>6</v>
      </c>
      <c r="F7660" t="s">
        <v>7971</v>
      </c>
      <c r="G7660">
        <v>1</v>
      </c>
      <c r="H7660">
        <v>1</v>
      </c>
      <c r="I7660">
        <f>1</f>
        <v>1</v>
      </c>
    </row>
    <row r="7661" spans="2:9" x14ac:dyDescent="0.25">
      <c r="B7661">
        <v>0</v>
      </c>
      <c r="C7661" s="16" t="s">
        <v>16778</v>
      </c>
      <c r="D7661" s="16"/>
      <c r="E7661">
        <v>6</v>
      </c>
      <c r="F7661" t="e">
        <f>-Partes</f>
        <v>#NAME?</v>
      </c>
      <c r="G7661">
        <v>1</v>
      </c>
      <c r="H7661">
        <v>1</v>
      </c>
      <c r="I7661">
        <f>1</f>
        <v>1</v>
      </c>
    </row>
    <row r="7662" spans="2:9" x14ac:dyDescent="0.25">
      <c r="B7662">
        <v>0</v>
      </c>
      <c r="C7662" s="16" t="s">
        <v>16779</v>
      </c>
      <c r="D7662" s="16"/>
      <c r="E7662">
        <v>6</v>
      </c>
      <c r="F7662" t="e">
        <f>-Chaves apresentadas isoladamente</f>
        <v>#NAME?</v>
      </c>
      <c r="G7662">
        <v>1</v>
      </c>
      <c r="H7662">
        <v>1</v>
      </c>
      <c r="I7662">
        <f>1</f>
        <v>1</v>
      </c>
    </row>
    <row r="7663" spans="2:9" x14ac:dyDescent="0.25">
      <c r="B7663">
        <v>0</v>
      </c>
      <c r="C7663" s="16" t="s">
        <v>16780</v>
      </c>
      <c r="D7663" s="16"/>
      <c r="E7663">
        <v>6</v>
      </c>
      <c r="F7663" t="e">
        <f>-Dobradiças De qualquer tipo  incluindo os gonzos e as charneiras</f>
        <v>#NAME?</v>
      </c>
      <c r="G7663">
        <v>1</v>
      </c>
      <c r="H7663">
        <v>1</v>
      </c>
      <c r="I7663">
        <f>1</f>
        <v>1</v>
      </c>
    </row>
    <row r="7664" spans="2:9" x14ac:dyDescent="0.25">
      <c r="B7664">
        <v>0</v>
      </c>
      <c r="C7664" s="16" t="s">
        <v>16781</v>
      </c>
      <c r="D7664" s="16"/>
      <c r="E7664">
        <v>6</v>
      </c>
      <c r="F7664" t="e">
        <f>-Rodízios</f>
        <v>#NAME?</v>
      </c>
      <c r="G7664">
        <v>1</v>
      </c>
      <c r="H7664">
        <v>1</v>
      </c>
      <c r="I7664">
        <f>1</f>
        <v>1</v>
      </c>
    </row>
    <row r="7665" spans="2:9" x14ac:dyDescent="0.25">
      <c r="B7665">
        <v>0</v>
      </c>
      <c r="C7665" s="16" t="s">
        <v>16782</v>
      </c>
      <c r="D7665" s="16"/>
      <c r="E7665">
        <v>6</v>
      </c>
      <c r="F7665" t="s">
        <v>7972</v>
      </c>
      <c r="G7665">
        <v>1</v>
      </c>
      <c r="H7665">
        <v>1</v>
      </c>
      <c r="I7665">
        <f>1</f>
        <v>1</v>
      </c>
    </row>
    <row r="7666" spans="2:9" x14ac:dyDescent="0.25">
      <c r="B7666">
        <v>0</v>
      </c>
      <c r="C7666" s="16" t="s">
        <v>16783</v>
      </c>
      <c r="D7666" s="16"/>
      <c r="E7666">
        <v>6</v>
      </c>
      <c r="F7666" t="e">
        <f>--para construções</f>
        <v>#NAME?</v>
      </c>
      <c r="G7666">
        <v>1</v>
      </c>
      <c r="H7666">
        <v>1</v>
      </c>
      <c r="I7666">
        <f>1</f>
        <v>1</v>
      </c>
    </row>
    <row r="7667" spans="2:9" x14ac:dyDescent="0.25">
      <c r="B7667">
        <v>0</v>
      </c>
      <c r="C7667" s="16" t="s">
        <v>16784</v>
      </c>
      <c r="D7667" s="16"/>
      <c r="E7667">
        <v>6</v>
      </c>
      <c r="F7667" t="s">
        <v>7973</v>
      </c>
      <c r="G7667">
        <v>1</v>
      </c>
      <c r="H7667">
        <v>1</v>
      </c>
      <c r="I7667">
        <f>1</f>
        <v>1</v>
      </c>
    </row>
    <row r="7668" spans="2:9" x14ac:dyDescent="0.25">
      <c r="B7668">
        <v>0</v>
      </c>
      <c r="C7668" s="16" t="s">
        <v>16785</v>
      </c>
      <c r="D7668" s="16"/>
      <c r="E7668">
        <v>6</v>
      </c>
      <c r="F7668" t="e">
        <f>--outros</f>
        <v>#NAME?</v>
      </c>
      <c r="G7668">
        <v>1</v>
      </c>
      <c r="H7668">
        <v>1</v>
      </c>
      <c r="I7668">
        <f>1</f>
        <v>1</v>
      </c>
    </row>
    <row r="7669" spans="2:9" x14ac:dyDescent="0.25">
      <c r="B7669">
        <v>0</v>
      </c>
      <c r="C7669" s="16" t="s">
        <v>16786</v>
      </c>
      <c r="D7669" s="16"/>
      <c r="E7669">
        <v>6</v>
      </c>
      <c r="F7669" t="s">
        <v>7974</v>
      </c>
      <c r="G7669">
        <v>1</v>
      </c>
      <c r="H7669">
        <v>1</v>
      </c>
      <c r="I7669">
        <f>1</f>
        <v>1</v>
      </c>
    </row>
    <row r="7670" spans="2:9" x14ac:dyDescent="0.25">
      <c r="B7670">
        <v>0</v>
      </c>
      <c r="C7670" s="16" t="s">
        <v>16787</v>
      </c>
      <c r="D7670" s="16"/>
      <c r="E7670">
        <v>6</v>
      </c>
      <c r="F7670" t="e">
        <f>-Fechos automáticos para Portas</f>
        <v>#NAME?</v>
      </c>
      <c r="G7670">
        <v>1</v>
      </c>
      <c r="H7670">
        <v>1</v>
      </c>
      <c r="I7670">
        <f>1</f>
        <v>1</v>
      </c>
    </row>
    <row r="7671" spans="2:9" x14ac:dyDescent="0.25">
      <c r="B7671">
        <v>0</v>
      </c>
      <c r="C7671" s="16" t="s">
        <v>16788</v>
      </c>
      <c r="D7671" s="16"/>
      <c r="E7671">
        <v>6</v>
      </c>
      <c r="F7671" t="s">
        <v>7975</v>
      </c>
      <c r="G7671">
        <v>1</v>
      </c>
      <c r="H7671">
        <v>1</v>
      </c>
      <c r="I7671">
        <f>1</f>
        <v>1</v>
      </c>
    </row>
    <row r="7672" spans="2:9" x14ac:dyDescent="0.25">
      <c r="B7672">
        <v>0</v>
      </c>
      <c r="C7672" s="16" t="s">
        <v>16789</v>
      </c>
      <c r="D7672" s="16"/>
      <c r="E7672">
        <v>6</v>
      </c>
      <c r="F7672" t="s">
        <v>7976</v>
      </c>
      <c r="G7672">
        <v>1</v>
      </c>
      <c r="H7672">
        <v>1</v>
      </c>
      <c r="I7672">
        <f>1</f>
        <v>1</v>
      </c>
    </row>
    <row r="7673" spans="2:9" x14ac:dyDescent="0.25">
      <c r="B7673">
        <v>0</v>
      </c>
      <c r="C7673" s="16" t="s">
        <v>16790</v>
      </c>
      <c r="D7673" s="16"/>
      <c r="E7673">
        <v>6</v>
      </c>
      <c r="F7673" t="e">
        <f>-Ferragens para encadernação De folhas móveis ou para Classificadores</f>
        <v>#NAME?</v>
      </c>
      <c r="G7673">
        <v>1</v>
      </c>
      <c r="H7673">
        <v>1</v>
      </c>
      <c r="I7673">
        <f>1</f>
        <v>1</v>
      </c>
    </row>
    <row r="7674" spans="2:9" x14ac:dyDescent="0.25">
      <c r="B7674">
        <v>0</v>
      </c>
      <c r="C7674" s="16" t="s">
        <v>16791</v>
      </c>
      <c r="D7674" s="16"/>
      <c r="E7674">
        <v>6</v>
      </c>
      <c r="F7674" t="e">
        <f>-Grampos apresentados em barretas</f>
        <v>#NAME?</v>
      </c>
      <c r="G7674">
        <v>1</v>
      </c>
      <c r="H7674">
        <v>1</v>
      </c>
      <c r="I7674">
        <f>1</f>
        <v>1</v>
      </c>
    </row>
    <row r="7675" spans="2:9" x14ac:dyDescent="0.25">
      <c r="B7675">
        <v>0</v>
      </c>
      <c r="C7675" s="16" t="s">
        <v>16792</v>
      </c>
      <c r="D7675" s="16"/>
      <c r="E7675">
        <v>6</v>
      </c>
      <c r="F7675" t="s">
        <v>7844</v>
      </c>
      <c r="G7675">
        <v>1</v>
      </c>
      <c r="H7675">
        <v>1</v>
      </c>
      <c r="I7675">
        <f>1</f>
        <v>1</v>
      </c>
    </row>
    <row r="7676" spans="2:9" x14ac:dyDescent="0.25">
      <c r="B7676">
        <v>0</v>
      </c>
      <c r="C7676" s="16" t="s">
        <v>16793</v>
      </c>
      <c r="D7676" s="16"/>
      <c r="E7676">
        <v>6</v>
      </c>
      <c r="F7676" t="s">
        <v>7977</v>
      </c>
      <c r="G7676">
        <v>1</v>
      </c>
      <c r="H7676">
        <v>1</v>
      </c>
      <c r="I7676">
        <f>1</f>
        <v>1</v>
      </c>
    </row>
    <row r="7677" spans="2:9" x14ac:dyDescent="0.25">
      <c r="B7677">
        <v>0</v>
      </c>
      <c r="C7677" s="16" t="s">
        <v>16793</v>
      </c>
      <c r="D7677" s="16" t="s">
        <v>19430</v>
      </c>
      <c r="E7677">
        <v>6</v>
      </c>
      <c r="F7677" t="s">
        <v>7978</v>
      </c>
      <c r="G7677">
        <v>1</v>
      </c>
      <c r="H7677">
        <v>1</v>
      </c>
      <c r="I7677">
        <f>1</f>
        <v>1</v>
      </c>
    </row>
    <row r="7678" spans="2:9" x14ac:dyDescent="0.25">
      <c r="B7678">
        <v>0</v>
      </c>
      <c r="C7678" s="16" t="s">
        <v>16794</v>
      </c>
      <c r="D7678" s="16"/>
      <c r="E7678">
        <v>6</v>
      </c>
      <c r="F7678" t="s">
        <v>7969</v>
      </c>
      <c r="G7678">
        <v>1</v>
      </c>
      <c r="H7678">
        <v>1</v>
      </c>
      <c r="I7678">
        <f>1</f>
        <v>1</v>
      </c>
    </row>
    <row r="7679" spans="2:9" x14ac:dyDescent="0.25">
      <c r="B7679">
        <v>0</v>
      </c>
      <c r="C7679" s="16" t="s">
        <v>16795</v>
      </c>
      <c r="D7679" s="16"/>
      <c r="E7679">
        <v>6</v>
      </c>
      <c r="F7679" t="e">
        <f>--outros</f>
        <v>#NAME?</v>
      </c>
      <c r="G7679">
        <v>1</v>
      </c>
      <c r="H7679">
        <v>1</v>
      </c>
      <c r="I7679">
        <f>1</f>
        <v>1</v>
      </c>
    </row>
    <row r="7680" spans="2:9" x14ac:dyDescent="0.25">
      <c r="B7680">
        <v>0</v>
      </c>
      <c r="C7680" s="16" t="s">
        <v>16796</v>
      </c>
      <c r="D7680" s="16"/>
      <c r="E7680">
        <v>6</v>
      </c>
      <c r="F7680" t="s">
        <v>7979</v>
      </c>
      <c r="G7680">
        <v>1</v>
      </c>
      <c r="H7680">
        <v>1</v>
      </c>
      <c r="I7680">
        <f>1</f>
        <v>1</v>
      </c>
    </row>
    <row r="7681" spans="2:9" x14ac:dyDescent="0.25">
      <c r="B7681">
        <v>0</v>
      </c>
      <c r="C7681" s="16" t="s">
        <v>16797</v>
      </c>
      <c r="D7681" s="16"/>
      <c r="E7681">
        <v>6</v>
      </c>
      <c r="F7681" t="s">
        <v>7980</v>
      </c>
      <c r="G7681">
        <v>1</v>
      </c>
      <c r="H7681">
        <v>1</v>
      </c>
      <c r="I7681">
        <f>1</f>
        <v>1</v>
      </c>
    </row>
    <row r="7682" spans="2:9" x14ac:dyDescent="0.25">
      <c r="B7682">
        <v>0</v>
      </c>
      <c r="C7682" s="16" t="s">
        <v>16798</v>
      </c>
      <c r="D7682" s="16"/>
      <c r="E7682">
        <v>6</v>
      </c>
      <c r="F7682" t="s">
        <v>4680</v>
      </c>
      <c r="G7682">
        <v>1</v>
      </c>
      <c r="H7682">
        <v>1</v>
      </c>
      <c r="I7682">
        <f>1</f>
        <v>1</v>
      </c>
    </row>
    <row r="7683" spans="2:9" x14ac:dyDescent="0.25">
      <c r="B7683">
        <v>0</v>
      </c>
      <c r="C7683" s="16" t="s">
        <v>16799</v>
      </c>
      <c r="D7683" s="16"/>
      <c r="E7683">
        <v>6</v>
      </c>
      <c r="F7683" t="e">
        <f>-De outros Metais comuns</f>
        <v>#NAME?</v>
      </c>
      <c r="G7683">
        <v>1</v>
      </c>
      <c r="H7683">
        <v>1</v>
      </c>
      <c r="I7683">
        <f>1</f>
        <v>1</v>
      </c>
    </row>
    <row r="7684" spans="2:9" x14ac:dyDescent="0.25">
      <c r="B7684">
        <v>0</v>
      </c>
      <c r="C7684" s="16" t="s">
        <v>16800</v>
      </c>
      <c r="D7684" s="16"/>
      <c r="E7684">
        <v>6</v>
      </c>
      <c r="F7684" t="s">
        <v>7981</v>
      </c>
      <c r="G7684">
        <v>1</v>
      </c>
      <c r="H7684">
        <v>1</v>
      </c>
      <c r="I7684">
        <f>1</f>
        <v>1</v>
      </c>
    </row>
    <row r="7685" spans="2:9" x14ac:dyDescent="0.25">
      <c r="B7685">
        <v>0</v>
      </c>
      <c r="C7685" s="16" t="s">
        <v>16801</v>
      </c>
      <c r="D7685" s="16"/>
      <c r="E7685">
        <v>6</v>
      </c>
      <c r="F7685" t="e">
        <f>-Rebites tubulares ou De haste fendida</f>
        <v>#NAME?</v>
      </c>
      <c r="G7685">
        <v>1</v>
      </c>
      <c r="H7685">
        <v>1</v>
      </c>
      <c r="I7685">
        <f>1</f>
        <v>1</v>
      </c>
    </row>
    <row r="7686" spans="2:9" x14ac:dyDescent="0.25">
      <c r="B7686">
        <v>0</v>
      </c>
      <c r="C7686" s="16" t="s">
        <v>16802</v>
      </c>
      <c r="D7686" s="16"/>
      <c r="E7686">
        <v>6</v>
      </c>
      <c r="F7686" t="s">
        <v>7982</v>
      </c>
      <c r="G7686">
        <v>1</v>
      </c>
      <c r="H7686">
        <v>1</v>
      </c>
      <c r="I7686">
        <f>1</f>
        <v>1</v>
      </c>
    </row>
    <row r="7687" spans="2:9" x14ac:dyDescent="0.25">
      <c r="B7687">
        <v>0</v>
      </c>
      <c r="C7687" s="16" t="s">
        <v>16803</v>
      </c>
      <c r="D7687" s="16"/>
      <c r="E7687">
        <v>6</v>
      </c>
      <c r="F7687" t="s">
        <v>7983</v>
      </c>
      <c r="G7687">
        <v>1</v>
      </c>
      <c r="H7687">
        <v>1</v>
      </c>
      <c r="I7687">
        <f>1</f>
        <v>1</v>
      </c>
    </row>
    <row r="7688" spans="2:9" x14ac:dyDescent="0.25">
      <c r="B7688">
        <v>0</v>
      </c>
      <c r="C7688" s="16" t="s">
        <v>16804</v>
      </c>
      <c r="D7688" s="16"/>
      <c r="E7688">
        <v>6</v>
      </c>
      <c r="F7688" t="s">
        <v>4680</v>
      </c>
      <c r="G7688">
        <v>1</v>
      </c>
      <c r="H7688">
        <v>1</v>
      </c>
      <c r="I7688">
        <f>1</f>
        <v>1</v>
      </c>
    </row>
    <row r="7689" spans="2:9" x14ac:dyDescent="0.25">
      <c r="B7689">
        <v>0</v>
      </c>
      <c r="C7689" s="16" t="s">
        <v>16804</v>
      </c>
      <c r="D7689" s="16" t="s">
        <v>19430</v>
      </c>
      <c r="E7689">
        <v>6</v>
      </c>
      <c r="F7689" t="s">
        <v>7984</v>
      </c>
      <c r="G7689">
        <v>1</v>
      </c>
      <c r="H7689">
        <v>1</v>
      </c>
      <c r="I7689">
        <f>1</f>
        <v>1</v>
      </c>
    </row>
    <row r="7690" spans="2:9" x14ac:dyDescent="0.25">
      <c r="B7690">
        <v>0</v>
      </c>
      <c r="C7690" s="16" t="s">
        <v>16805</v>
      </c>
      <c r="D7690" s="16"/>
      <c r="E7690">
        <v>6</v>
      </c>
      <c r="F7690" t="e">
        <f>-Cápsulas De coroa</f>
        <v>#NAME?</v>
      </c>
      <c r="G7690">
        <v>1</v>
      </c>
      <c r="H7690">
        <v>1</v>
      </c>
      <c r="I7690">
        <f>1</f>
        <v>1</v>
      </c>
    </row>
    <row r="7691" spans="2:9" x14ac:dyDescent="0.25">
      <c r="B7691">
        <v>0</v>
      </c>
      <c r="C7691" s="16" t="s">
        <v>16806</v>
      </c>
      <c r="D7691" s="16"/>
      <c r="E7691">
        <v>6</v>
      </c>
      <c r="F7691" t="e">
        <f>-outros</f>
        <v>#NAME?</v>
      </c>
      <c r="G7691">
        <v>1</v>
      </c>
      <c r="H7691">
        <v>1</v>
      </c>
      <c r="I7691">
        <f>1</f>
        <v>1</v>
      </c>
    </row>
    <row r="7692" spans="2:9" x14ac:dyDescent="0.25">
      <c r="B7692">
        <v>0</v>
      </c>
      <c r="C7692" s="16" t="s">
        <v>16807</v>
      </c>
      <c r="D7692" s="16"/>
      <c r="E7692">
        <v>6</v>
      </c>
      <c r="F7692" t="s">
        <v>7985</v>
      </c>
      <c r="G7692">
        <v>1</v>
      </c>
      <c r="H7692">
        <v>1</v>
      </c>
      <c r="I7692">
        <f>1</f>
        <v>1</v>
      </c>
    </row>
    <row r="7693" spans="2:9" x14ac:dyDescent="0.25">
      <c r="B7693">
        <v>0</v>
      </c>
      <c r="C7693" s="16" t="s">
        <v>16807</v>
      </c>
      <c r="D7693" s="16" t="s">
        <v>19430</v>
      </c>
      <c r="E7693">
        <v>6</v>
      </c>
      <c r="F7693" t="s">
        <v>7986</v>
      </c>
      <c r="G7693">
        <v>1</v>
      </c>
      <c r="H7693">
        <v>1</v>
      </c>
      <c r="I7693">
        <f>1</f>
        <v>1</v>
      </c>
    </row>
    <row r="7694" spans="2:9" x14ac:dyDescent="0.25">
      <c r="B7694">
        <v>0</v>
      </c>
      <c r="C7694" s="16" t="s">
        <v>16808</v>
      </c>
      <c r="D7694" s="16"/>
      <c r="E7694">
        <v>6</v>
      </c>
      <c r="F7694" t="s">
        <v>7987</v>
      </c>
      <c r="G7694">
        <v>1</v>
      </c>
      <c r="H7694">
        <v>1</v>
      </c>
      <c r="I7694">
        <f>1</f>
        <v>1</v>
      </c>
    </row>
    <row r="7695" spans="2:9" x14ac:dyDescent="0.25">
      <c r="B7695">
        <v>0</v>
      </c>
      <c r="C7695" s="16" t="s">
        <v>16809</v>
      </c>
      <c r="D7695" s="16"/>
      <c r="E7695">
        <v>6</v>
      </c>
      <c r="F7695" t="s">
        <v>4690</v>
      </c>
      <c r="G7695">
        <v>1</v>
      </c>
      <c r="H7695">
        <v>1</v>
      </c>
      <c r="I7695">
        <f>1</f>
        <v>1</v>
      </c>
    </row>
    <row r="7696" spans="2:9" x14ac:dyDescent="0.25">
      <c r="B7696">
        <v>0</v>
      </c>
      <c r="C7696" s="16" t="s">
        <v>16810</v>
      </c>
      <c r="D7696" s="16"/>
      <c r="E7696">
        <v>6</v>
      </c>
      <c r="F7696" t="s">
        <v>7988</v>
      </c>
      <c r="G7696">
        <v>1</v>
      </c>
      <c r="H7696">
        <v>1</v>
      </c>
      <c r="I7696">
        <f>1</f>
        <v>1</v>
      </c>
    </row>
    <row r="7697" spans="2:9" x14ac:dyDescent="0.25">
      <c r="B7697">
        <v>0</v>
      </c>
      <c r="C7697" s="16" t="s">
        <v>16811</v>
      </c>
      <c r="D7697" s="16"/>
      <c r="E7697">
        <v>6</v>
      </c>
      <c r="F7697" t="s">
        <v>7989</v>
      </c>
      <c r="G7697">
        <v>1</v>
      </c>
      <c r="H7697">
        <v>1</v>
      </c>
      <c r="I7697">
        <f>1</f>
        <v>1</v>
      </c>
    </row>
    <row r="7698" spans="2:9" x14ac:dyDescent="0.25">
      <c r="B7698">
        <v>0</v>
      </c>
      <c r="C7698" s="16" t="s">
        <v>16812</v>
      </c>
      <c r="D7698" s="16"/>
      <c r="E7698">
        <v>6</v>
      </c>
      <c r="F7698" t="s">
        <v>7990</v>
      </c>
      <c r="G7698">
        <v>1</v>
      </c>
      <c r="H7698">
        <v>1</v>
      </c>
      <c r="I7698">
        <f>1</f>
        <v>1</v>
      </c>
    </row>
    <row r="7699" spans="2:9" x14ac:dyDescent="0.25">
      <c r="B7699">
        <v>0</v>
      </c>
      <c r="C7699" s="16" t="s">
        <v>16813</v>
      </c>
      <c r="D7699" s="16"/>
      <c r="E7699">
        <v>6</v>
      </c>
      <c r="F7699" t="s">
        <v>7991</v>
      </c>
      <c r="G7699">
        <v>1</v>
      </c>
      <c r="H7699">
        <v>1</v>
      </c>
      <c r="I7699">
        <f>1</f>
        <v>1</v>
      </c>
    </row>
    <row r="7700" spans="2:9" x14ac:dyDescent="0.25">
      <c r="B7700">
        <v>0</v>
      </c>
      <c r="C7700" s="16" t="s">
        <v>16814</v>
      </c>
      <c r="D7700" s="16"/>
      <c r="E7700">
        <v>6</v>
      </c>
      <c r="F7700" t="e">
        <f>-outros</f>
        <v>#NAME?</v>
      </c>
      <c r="G7700">
        <v>1</v>
      </c>
      <c r="H7700">
        <v>1</v>
      </c>
      <c r="I7700">
        <f>1</f>
        <v>1</v>
      </c>
    </row>
    <row r="7701" spans="2:9" x14ac:dyDescent="0.25">
      <c r="B7701">
        <v>0</v>
      </c>
      <c r="C7701" s="16" t="s">
        <v>16815</v>
      </c>
      <c r="D7701" s="16"/>
      <c r="E7701">
        <v>6</v>
      </c>
      <c r="F7701" t="e">
        <f>-reatores nucleares</f>
        <v>#NAME?</v>
      </c>
      <c r="G7701">
        <v>1</v>
      </c>
      <c r="H7701">
        <v>1</v>
      </c>
      <c r="I7701">
        <f>1</f>
        <v>1</v>
      </c>
    </row>
    <row r="7702" spans="2:9" x14ac:dyDescent="0.25">
      <c r="B7702">
        <v>0</v>
      </c>
      <c r="C7702" s="16" t="s">
        <v>16816</v>
      </c>
      <c r="D7702" s="16"/>
      <c r="E7702">
        <v>6</v>
      </c>
      <c r="F7702" t="s">
        <v>7992</v>
      </c>
      <c r="G7702">
        <v>1</v>
      </c>
      <c r="H7702">
        <v>1</v>
      </c>
      <c r="I7702">
        <f>1</f>
        <v>1</v>
      </c>
    </row>
    <row r="7703" spans="2:9" x14ac:dyDescent="0.25">
      <c r="B7703">
        <v>0</v>
      </c>
      <c r="C7703" s="16" t="s">
        <v>16817</v>
      </c>
      <c r="D7703" s="16"/>
      <c r="E7703">
        <v>6</v>
      </c>
      <c r="F7703" t="e">
        <f>-Elementos combustíveis  cartuchos  Não irradiados</f>
        <v>#NAME?</v>
      </c>
      <c r="G7703">
        <v>1</v>
      </c>
      <c r="H7703">
        <v>1</v>
      </c>
      <c r="I7703">
        <f>1</f>
        <v>1</v>
      </c>
    </row>
    <row r="7704" spans="2:9" x14ac:dyDescent="0.25">
      <c r="B7704">
        <v>0</v>
      </c>
      <c r="C7704" s="16" t="s">
        <v>16818</v>
      </c>
      <c r="D7704" s="16"/>
      <c r="E7704">
        <v>6</v>
      </c>
      <c r="F7704" t="e">
        <f>-Partes De reatores nucleares</f>
        <v>#NAME?</v>
      </c>
      <c r="G7704">
        <v>1</v>
      </c>
      <c r="H7704">
        <v>1</v>
      </c>
      <c r="I7704">
        <f>1</f>
        <v>1</v>
      </c>
    </row>
    <row r="7705" spans="2:9" x14ac:dyDescent="0.25">
      <c r="B7705">
        <v>0</v>
      </c>
      <c r="C7705" s="16" t="s">
        <v>16819</v>
      </c>
      <c r="D7705" s="16"/>
      <c r="E7705">
        <v>6</v>
      </c>
      <c r="F7705" t="s">
        <v>7993</v>
      </c>
      <c r="G7705">
        <v>1</v>
      </c>
      <c r="H7705">
        <v>1</v>
      </c>
      <c r="I7705">
        <f>1</f>
        <v>1</v>
      </c>
    </row>
    <row r="7706" spans="2:9" x14ac:dyDescent="0.25">
      <c r="B7706">
        <v>0</v>
      </c>
      <c r="C7706" s="16" t="s">
        <v>16820</v>
      </c>
      <c r="D7706" s="16"/>
      <c r="E7706">
        <v>6</v>
      </c>
      <c r="F7706" t="s">
        <v>7994</v>
      </c>
      <c r="G7706">
        <v>1</v>
      </c>
      <c r="H7706">
        <v>1</v>
      </c>
      <c r="I7706">
        <f>1</f>
        <v>1</v>
      </c>
    </row>
    <row r="7707" spans="2:9" x14ac:dyDescent="0.25">
      <c r="B7707">
        <v>0</v>
      </c>
      <c r="C7707" s="16" t="s">
        <v>16821</v>
      </c>
      <c r="D7707" s="16"/>
      <c r="E7707">
        <v>6</v>
      </c>
      <c r="F7707" t="s">
        <v>7995</v>
      </c>
      <c r="G7707">
        <v>1</v>
      </c>
      <c r="H7707">
        <v>1</v>
      </c>
      <c r="I7707">
        <f>1</f>
        <v>1</v>
      </c>
    </row>
    <row r="7708" spans="2:9" x14ac:dyDescent="0.25">
      <c r="B7708">
        <v>0</v>
      </c>
      <c r="C7708" s="16" t="s">
        <v>16822</v>
      </c>
      <c r="D7708" s="16"/>
      <c r="E7708">
        <v>6</v>
      </c>
      <c r="F7708" t="e">
        <f>-Caldeiras denominadas “de água superaquecida”</f>
        <v>#NAME?</v>
      </c>
      <c r="G7708">
        <v>1</v>
      </c>
      <c r="H7708">
        <v>1</v>
      </c>
      <c r="I7708">
        <f>1</f>
        <v>1</v>
      </c>
    </row>
    <row r="7709" spans="2:9" x14ac:dyDescent="0.25">
      <c r="B7709">
        <v>0</v>
      </c>
      <c r="C7709" s="16" t="s">
        <v>16823</v>
      </c>
      <c r="D7709" s="16"/>
      <c r="E7709">
        <v>6</v>
      </c>
      <c r="F7709" t="e">
        <f>-Partes</f>
        <v>#NAME?</v>
      </c>
      <c r="G7709">
        <v>1</v>
      </c>
      <c r="H7709">
        <v>1</v>
      </c>
      <c r="I7709">
        <f>1</f>
        <v>1</v>
      </c>
    </row>
    <row r="7710" spans="2:9" x14ac:dyDescent="0.25">
      <c r="B7710">
        <v>0</v>
      </c>
      <c r="C7710" s="16" t="s">
        <v>16824</v>
      </c>
      <c r="D7710" s="16"/>
      <c r="E7710">
        <v>6</v>
      </c>
      <c r="F7710" t="s">
        <v>7996</v>
      </c>
      <c r="G7710">
        <v>1</v>
      </c>
      <c r="H7710">
        <v>1</v>
      </c>
      <c r="I7710">
        <f>1</f>
        <v>1</v>
      </c>
    </row>
    <row r="7711" spans="2:9" x14ac:dyDescent="0.25">
      <c r="B7711">
        <v>0</v>
      </c>
      <c r="C7711" s="16" t="s">
        <v>16825</v>
      </c>
      <c r="D7711" s="16"/>
      <c r="E7711">
        <v>6</v>
      </c>
      <c r="F7711" t="s">
        <v>4690</v>
      </c>
      <c r="G7711">
        <v>1</v>
      </c>
      <c r="H7711">
        <v>1</v>
      </c>
      <c r="I7711">
        <f>1</f>
        <v>1</v>
      </c>
    </row>
    <row r="7712" spans="2:9" x14ac:dyDescent="0.25">
      <c r="B7712">
        <v>0</v>
      </c>
      <c r="C7712" s="16" t="s">
        <v>16826</v>
      </c>
      <c r="D7712" s="16"/>
      <c r="E7712">
        <v>6</v>
      </c>
      <c r="F7712" t="e">
        <f>-Partes</f>
        <v>#NAME?</v>
      </c>
      <c r="G7712">
        <v>1</v>
      </c>
      <c r="H7712">
        <v>1</v>
      </c>
      <c r="I7712">
        <f>1</f>
        <v>1</v>
      </c>
    </row>
    <row r="7713" spans="2:9" x14ac:dyDescent="0.25">
      <c r="B7713">
        <v>0</v>
      </c>
      <c r="C7713" s="16" t="s">
        <v>16827</v>
      </c>
      <c r="D7713" s="16"/>
      <c r="E7713">
        <v>6</v>
      </c>
      <c r="F7713" t="s">
        <v>7997</v>
      </c>
      <c r="G7713">
        <v>1</v>
      </c>
      <c r="H7713">
        <v>1</v>
      </c>
      <c r="I7713">
        <f>1</f>
        <v>1</v>
      </c>
    </row>
    <row r="7714" spans="2:9" x14ac:dyDescent="0.25">
      <c r="B7714">
        <v>0</v>
      </c>
      <c r="C7714" s="16" t="s">
        <v>16828</v>
      </c>
      <c r="D7714" s="16"/>
      <c r="E7714">
        <v>6</v>
      </c>
      <c r="F7714" t="s">
        <v>7998</v>
      </c>
      <c r="G7714">
        <v>1</v>
      </c>
      <c r="H7714">
        <v>1</v>
      </c>
      <c r="I7714">
        <f>1</f>
        <v>1</v>
      </c>
    </row>
    <row r="7715" spans="2:9" x14ac:dyDescent="0.25">
      <c r="B7715">
        <v>0</v>
      </c>
      <c r="C7715" s="16" t="s">
        <v>16829</v>
      </c>
      <c r="D7715" s="16"/>
      <c r="E7715">
        <v>6</v>
      </c>
      <c r="F7715" t="e">
        <f>-Condensadores para máquinas a vapor</f>
        <v>#NAME?</v>
      </c>
      <c r="G7715">
        <v>1</v>
      </c>
      <c r="H7715">
        <v>1</v>
      </c>
      <c r="I7715">
        <f>1</f>
        <v>1</v>
      </c>
    </row>
    <row r="7716" spans="2:9" x14ac:dyDescent="0.25">
      <c r="B7716">
        <v>0</v>
      </c>
      <c r="C7716" s="16" t="s">
        <v>16830</v>
      </c>
      <c r="D7716" s="16"/>
      <c r="E7716">
        <v>6</v>
      </c>
      <c r="F7716" t="e">
        <f>-Partes</f>
        <v>#NAME?</v>
      </c>
      <c r="G7716">
        <v>1</v>
      </c>
      <c r="H7716">
        <v>1</v>
      </c>
      <c r="I7716">
        <f>1</f>
        <v>1</v>
      </c>
    </row>
    <row r="7717" spans="2:9" x14ac:dyDescent="0.25">
      <c r="B7717">
        <v>0</v>
      </c>
      <c r="C7717" s="16" t="s">
        <v>16831</v>
      </c>
      <c r="D7717" s="16"/>
      <c r="E7717">
        <v>6</v>
      </c>
      <c r="F7717" t="e">
        <f>-Turbinas para propulsão De embarcações</f>
        <v>#NAME?</v>
      </c>
      <c r="G7717">
        <v>1</v>
      </c>
      <c r="H7717">
        <v>1</v>
      </c>
      <c r="I7717">
        <f>1</f>
        <v>1</v>
      </c>
    </row>
    <row r="7718" spans="2:9" x14ac:dyDescent="0.25">
      <c r="B7718">
        <v>0</v>
      </c>
      <c r="C7718" s="16" t="s">
        <v>16832</v>
      </c>
      <c r="D7718" s="16"/>
      <c r="E7718">
        <v>6</v>
      </c>
      <c r="F7718" t="s">
        <v>7999</v>
      </c>
      <c r="G7718">
        <v>1</v>
      </c>
      <c r="H7718">
        <v>1</v>
      </c>
      <c r="I7718">
        <f>1</f>
        <v>1</v>
      </c>
    </row>
    <row r="7719" spans="2:9" x14ac:dyDescent="0.25">
      <c r="B7719">
        <v>0</v>
      </c>
      <c r="C7719" s="16" t="s">
        <v>16833</v>
      </c>
      <c r="D7719" s="16"/>
      <c r="E7719">
        <v>6</v>
      </c>
      <c r="F7719" t="s">
        <v>8000</v>
      </c>
      <c r="G7719">
        <v>1</v>
      </c>
      <c r="H7719">
        <v>1</v>
      </c>
      <c r="I7719">
        <f>1</f>
        <v>1</v>
      </c>
    </row>
    <row r="7720" spans="2:9" x14ac:dyDescent="0.25">
      <c r="B7720">
        <v>0</v>
      </c>
      <c r="C7720" s="16" t="s">
        <v>16834</v>
      </c>
      <c r="D7720" s="16"/>
      <c r="E7720">
        <v>6</v>
      </c>
      <c r="F7720" t="s">
        <v>8001</v>
      </c>
      <c r="G7720">
        <v>1</v>
      </c>
      <c r="H7720">
        <v>1</v>
      </c>
      <c r="I7720">
        <f>1</f>
        <v>1</v>
      </c>
    </row>
    <row r="7721" spans="2:9" x14ac:dyDescent="0.25">
      <c r="B7721">
        <v>0</v>
      </c>
      <c r="C7721" s="16" t="s">
        <v>16835</v>
      </c>
      <c r="D7721" s="16"/>
      <c r="E7721">
        <v>6</v>
      </c>
      <c r="F7721" t="s">
        <v>4690</v>
      </c>
      <c r="G7721">
        <v>1</v>
      </c>
      <c r="H7721">
        <v>1</v>
      </c>
      <c r="I7721">
        <f>1</f>
        <v>1</v>
      </c>
    </row>
    <row r="7722" spans="2:9" x14ac:dyDescent="0.25">
      <c r="B7722">
        <v>0</v>
      </c>
      <c r="C7722" s="16" t="s">
        <v>16836</v>
      </c>
      <c r="D7722" s="16"/>
      <c r="E7722">
        <v>6</v>
      </c>
      <c r="F7722" t="s">
        <v>8002</v>
      </c>
      <c r="G7722">
        <v>1</v>
      </c>
      <c r="H7722">
        <v>1</v>
      </c>
      <c r="I7722">
        <f>1</f>
        <v>1</v>
      </c>
    </row>
    <row r="7723" spans="2:9" x14ac:dyDescent="0.25">
      <c r="B7723">
        <v>0</v>
      </c>
      <c r="C7723" s="16" t="s">
        <v>16837</v>
      </c>
      <c r="D7723" s="16"/>
      <c r="E7723">
        <v>6</v>
      </c>
      <c r="F7723" t="s">
        <v>4690</v>
      </c>
      <c r="G7723">
        <v>1</v>
      </c>
      <c r="H7723">
        <v>1</v>
      </c>
      <c r="I7723">
        <f>1</f>
        <v>1</v>
      </c>
    </row>
    <row r="7724" spans="2:9" x14ac:dyDescent="0.25">
      <c r="B7724">
        <v>0</v>
      </c>
      <c r="C7724" s="16" t="s">
        <v>16838</v>
      </c>
      <c r="D7724" s="16"/>
      <c r="E7724">
        <v>6</v>
      </c>
      <c r="F7724" t="s">
        <v>4690</v>
      </c>
      <c r="G7724">
        <v>1</v>
      </c>
      <c r="H7724">
        <v>1</v>
      </c>
      <c r="I7724">
        <f>1</f>
        <v>1</v>
      </c>
    </row>
    <row r="7725" spans="2:9" x14ac:dyDescent="0.25">
      <c r="B7725">
        <v>0</v>
      </c>
      <c r="C7725" s="16" t="s">
        <v>16839</v>
      </c>
      <c r="D7725" s="16"/>
      <c r="E7725">
        <v>6</v>
      </c>
      <c r="F7725" t="e">
        <f>-Motores para aviação</f>
        <v>#NAME?</v>
      </c>
      <c r="G7725">
        <v>1</v>
      </c>
      <c r="H7725">
        <v>1</v>
      </c>
      <c r="I7725">
        <f>1</f>
        <v>1</v>
      </c>
    </row>
    <row r="7726" spans="2:9" x14ac:dyDescent="0.25">
      <c r="B7726">
        <v>0</v>
      </c>
      <c r="C7726" s="16" t="s">
        <v>16840</v>
      </c>
      <c r="D7726" s="16"/>
      <c r="E7726">
        <v>6</v>
      </c>
      <c r="F7726" t="s">
        <v>8003</v>
      </c>
      <c r="G7726">
        <v>1</v>
      </c>
      <c r="H7726">
        <v>1</v>
      </c>
      <c r="I7726">
        <f>1</f>
        <v>1</v>
      </c>
    </row>
    <row r="7727" spans="2:9" x14ac:dyDescent="0.25">
      <c r="B7727">
        <v>0</v>
      </c>
      <c r="C7727" s="16" t="s">
        <v>16841</v>
      </c>
      <c r="D7727" s="16"/>
      <c r="E7727">
        <v>6</v>
      </c>
      <c r="F7727" t="s">
        <v>4680</v>
      </c>
      <c r="G7727">
        <v>1</v>
      </c>
      <c r="H7727">
        <v>1</v>
      </c>
      <c r="I7727">
        <f>1</f>
        <v>1</v>
      </c>
    </row>
    <row r="7728" spans="2:9" x14ac:dyDescent="0.25">
      <c r="B7728">
        <v>0</v>
      </c>
      <c r="C7728" s="16" t="s">
        <v>16842</v>
      </c>
      <c r="D7728" s="16"/>
      <c r="E7728">
        <v>6</v>
      </c>
      <c r="F7728" t="s">
        <v>8003</v>
      </c>
      <c r="G7728">
        <v>1</v>
      </c>
      <c r="H7728">
        <v>1</v>
      </c>
      <c r="I7728">
        <f>1</f>
        <v>1</v>
      </c>
    </row>
    <row r="7729" spans="2:9" x14ac:dyDescent="0.25">
      <c r="B7729">
        <v>0</v>
      </c>
      <c r="C7729" s="16" t="s">
        <v>16843</v>
      </c>
      <c r="D7729" s="16"/>
      <c r="E7729">
        <v>6</v>
      </c>
      <c r="F7729" t="s">
        <v>4680</v>
      </c>
      <c r="G7729">
        <v>1</v>
      </c>
      <c r="H7729">
        <v>1</v>
      </c>
      <c r="I7729">
        <f>1</f>
        <v>1</v>
      </c>
    </row>
    <row r="7730" spans="2:9" x14ac:dyDescent="0.25">
      <c r="B7730">
        <v>0</v>
      </c>
      <c r="C7730" s="16" t="s">
        <v>16844</v>
      </c>
      <c r="D7730" s="16"/>
      <c r="E7730">
        <v>6</v>
      </c>
      <c r="F7730" t="s">
        <v>8003</v>
      </c>
      <c r="G7730">
        <v>1</v>
      </c>
      <c r="H7730">
        <v>1</v>
      </c>
      <c r="I7730">
        <f>1</f>
        <v>1</v>
      </c>
    </row>
    <row r="7731" spans="2:9" x14ac:dyDescent="0.25">
      <c r="B7731">
        <v>0</v>
      </c>
      <c r="C7731" s="16" t="s">
        <v>16845</v>
      </c>
      <c r="D7731" s="16"/>
      <c r="E7731">
        <v>6</v>
      </c>
      <c r="F7731" t="s">
        <v>4680</v>
      </c>
      <c r="G7731">
        <v>1</v>
      </c>
      <c r="H7731">
        <v>1</v>
      </c>
      <c r="I7731">
        <f>1</f>
        <v>1</v>
      </c>
    </row>
    <row r="7732" spans="2:9" x14ac:dyDescent="0.25">
      <c r="B7732">
        <v>0</v>
      </c>
      <c r="C7732" s="16" t="s">
        <v>16846</v>
      </c>
      <c r="D7732" s="16"/>
      <c r="E7732">
        <v>6</v>
      </c>
      <c r="F7732" t="s">
        <v>8004</v>
      </c>
      <c r="G7732">
        <v>1</v>
      </c>
      <c r="H7732">
        <v>1</v>
      </c>
      <c r="I7732">
        <f>1</f>
        <v>1</v>
      </c>
    </row>
    <row r="7733" spans="2:9" x14ac:dyDescent="0.25">
      <c r="B7733">
        <v>0</v>
      </c>
      <c r="C7733" s="16" t="s">
        <v>16847</v>
      </c>
      <c r="D7733" s="16"/>
      <c r="E7733">
        <v>6</v>
      </c>
      <c r="F7733" t="s">
        <v>8003</v>
      </c>
      <c r="G7733">
        <v>1</v>
      </c>
      <c r="H7733">
        <v>1</v>
      </c>
      <c r="I7733">
        <f>1</f>
        <v>1</v>
      </c>
    </row>
    <row r="7734" spans="2:9" x14ac:dyDescent="0.25">
      <c r="B7734">
        <v>0</v>
      </c>
      <c r="C7734" s="16" t="s">
        <v>16848</v>
      </c>
      <c r="D7734" s="16"/>
      <c r="E7734">
        <v>6</v>
      </c>
      <c r="F7734" t="s">
        <v>4680</v>
      </c>
      <c r="G7734">
        <v>1</v>
      </c>
      <c r="H7734">
        <v>1</v>
      </c>
      <c r="I7734">
        <f>1</f>
        <v>1</v>
      </c>
    </row>
    <row r="7735" spans="2:9" x14ac:dyDescent="0.25">
      <c r="B7735">
        <v>0</v>
      </c>
      <c r="C7735" s="16" t="s">
        <v>16849</v>
      </c>
      <c r="D7735" s="16"/>
      <c r="E7735">
        <v>6</v>
      </c>
      <c r="F7735" t="s">
        <v>8003</v>
      </c>
      <c r="G7735">
        <v>1</v>
      </c>
      <c r="H7735">
        <v>1</v>
      </c>
      <c r="I7735">
        <f>1</f>
        <v>1</v>
      </c>
    </row>
    <row r="7736" spans="2:9" x14ac:dyDescent="0.25">
      <c r="B7736">
        <v>0</v>
      </c>
      <c r="C7736" s="16" t="s">
        <v>16850</v>
      </c>
      <c r="D7736" s="16"/>
      <c r="E7736">
        <v>6</v>
      </c>
      <c r="F7736" t="s">
        <v>4680</v>
      </c>
      <c r="G7736">
        <v>1</v>
      </c>
      <c r="H7736">
        <v>1</v>
      </c>
      <c r="I7736">
        <f>1</f>
        <v>1</v>
      </c>
    </row>
    <row r="7737" spans="2:9" x14ac:dyDescent="0.25">
      <c r="B7737">
        <v>0</v>
      </c>
      <c r="C7737" s="16" t="s">
        <v>16851</v>
      </c>
      <c r="D7737" s="16"/>
      <c r="E7737">
        <v>6</v>
      </c>
      <c r="F7737" t="e">
        <f>-outros Motores</f>
        <v>#NAME?</v>
      </c>
      <c r="G7737">
        <v>1</v>
      </c>
      <c r="H7737">
        <v>1</v>
      </c>
      <c r="I7737">
        <f>1</f>
        <v>1</v>
      </c>
    </row>
    <row r="7738" spans="2:9" x14ac:dyDescent="0.25">
      <c r="B7738">
        <v>0</v>
      </c>
      <c r="C7738" s="16" t="s">
        <v>16852</v>
      </c>
      <c r="D7738" s="16"/>
      <c r="E7738">
        <v>6</v>
      </c>
      <c r="F7738" t="s">
        <v>8005</v>
      </c>
      <c r="G7738">
        <v>1</v>
      </c>
      <c r="H7738">
        <v>1</v>
      </c>
      <c r="I7738">
        <f>1</f>
        <v>1</v>
      </c>
    </row>
    <row r="7739" spans="2:9" x14ac:dyDescent="0.25">
      <c r="B7739">
        <v>0</v>
      </c>
      <c r="C7739" s="16" t="s">
        <v>16853</v>
      </c>
      <c r="D7739" s="16"/>
      <c r="E7739">
        <v>6</v>
      </c>
      <c r="F7739" t="s">
        <v>4680</v>
      </c>
      <c r="G7739">
        <v>1</v>
      </c>
      <c r="H7739">
        <v>1</v>
      </c>
      <c r="I7739">
        <f>1</f>
        <v>1</v>
      </c>
    </row>
    <row r="7740" spans="2:9" x14ac:dyDescent="0.25">
      <c r="B7740">
        <v>0</v>
      </c>
      <c r="C7740" s="16" t="s">
        <v>16854</v>
      </c>
      <c r="D7740" s="16"/>
      <c r="E7740">
        <v>6</v>
      </c>
      <c r="F7740" t="s">
        <v>8006</v>
      </c>
      <c r="G7740">
        <v>1</v>
      </c>
      <c r="H7740">
        <v>1</v>
      </c>
      <c r="I7740">
        <f>1</f>
        <v>1</v>
      </c>
    </row>
    <row r="7741" spans="2:9" x14ac:dyDescent="0.25">
      <c r="B7741">
        <v>0</v>
      </c>
      <c r="C7741" s="16" t="s">
        <v>16855</v>
      </c>
      <c r="D7741" s="16"/>
      <c r="E7741">
        <v>6</v>
      </c>
      <c r="F7741" t="s">
        <v>8007</v>
      </c>
      <c r="G7741">
        <v>1</v>
      </c>
      <c r="H7741">
        <v>1</v>
      </c>
      <c r="I7741">
        <f>1</f>
        <v>1</v>
      </c>
    </row>
    <row r="7742" spans="2:9" x14ac:dyDescent="0.25">
      <c r="B7742">
        <v>0</v>
      </c>
      <c r="C7742" s="16" t="s">
        <v>16855</v>
      </c>
      <c r="D7742" s="16" t="s">
        <v>19430</v>
      </c>
      <c r="E7742">
        <v>6</v>
      </c>
      <c r="F7742" t="s">
        <v>8008</v>
      </c>
      <c r="G7742">
        <v>1</v>
      </c>
      <c r="H7742">
        <v>1</v>
      </c>
      <c r="I7742">
        <f>1</f>
        <v>1</v>
      </c>
    </row>
    <row r="7743" spans="2:9" x14ac:dyDescent="0.25">
      <c r="B7743">
        <v>0</v>
      </c>
      <c r="C7743" s="16" t="s">
        <v>16855</v>
      </c>
      <c r="D7743" s="16" t="s">
        <v>19431</v>
      </c>
      <c r="E7743">
        <v>6</v>
      </c>
      <c r="F7743" t="s">
        <v>8009</v>
      </c>
      <c r="G7743">
        <v>1</v>
      </c>
      <c r="H7743">
        <v>1</v>
      </c>
      <c r="I7743">
        <f>1</f>
        <v>1</v>
      </c>
    </row>
    <row r="7744" spans="2:9" x14ac:dyDescent="0.25">
      <c r="B7744">
        <v>0</v>
      </c>
      <c r="C7744" s="16" t="s">
        <v>16856</v>
      </c>
      <c r="D7744" s="16"/>
      <c r="E7744">
        <v>6</v>
      </c>
      <c r="F7744" t="s">
        <v>8010</v>
      </c>
      <c r="G7744">
        <v>1</v>
      </c>
      <c r="H7744">
        <v>1</v>
      </c>
      <c r="I7744">
        <f>1</f>
        <v>1</v>
      </c>
    </row>
    <row r="7745" spans="2:9" x14ac:dyDescent="0.25">
      <c r="B7745">
        <v>0</v>
      </c>
      <c r="C7745" s="16" t="s">
        <v>16856</v>
      </c>
      <c r="D7745" s="16" t="s">
        <v>19430</v>
      </c>
      <c r="E7745">
        <v>6</v>
      </c>
      <c r="F7745" t="s">
        <v>8008</v>
      </c>
      <c r="G7745">
        <v>1</v>
      </c>
      <c r="H7745">
        <v>1</v>
      </c>
      <c r="I7745">
        <f>1</f>
        <v>1</v>
      </c>
    </row>
    <row r="7746" spans="2:9" x14ac:dyDescent="0.25">
      <c r="B7746">
        <v>0</v>
      </c>
      <c r="C7746" s="16" t="s">
        <v>16856</v>
      </c>
      <c r="D7746" s="16" t="s">
        <v>19431</v>
      </c>
      <c r="E7746">
        <v>6</v>
      </c>
      <c r="F7746" t="s">
        <v>8009</v>
      </c>
      <c r="G7746">
        <v>1</v>
      </c>
      <c r="H7746">
        <v>1</v>
      </c>
      <c r="I7746">
        <f>1</f>
        <v>1</v>
      </c>
    </row>
    <row r="7747" spans="2:9" x14ac:dyDescent="0.25">
      <c r="B7747">
        <v>0</v>
      </c>
      <c r="C7747" s="16" t="s">
        <v>16857</v>
      </c>
      <c r="D7747" s="16"/>
      <c r="E7747">
        <v>6</v>
      </c>
      <c r="F7747" t="s">
        <v>4680</v>
      </c>
      <c r="G7747">
        <v>1</v>
      </c>
      <c r="H7747">
        <v>1</v>
      </c>
      <c r="I7747">
        <f>1</f>
        <v>1</v>
      </c>
    </row>
    <row r="7748" spans="2:9" x14ac:dyDescent="0.25">
      <c r="B7748">
        <v>0</v>
      </c>
      <c r="C7748" s="16" t="s">
        <v>16857</v>
      </c>
      <c r="D7748" s="16" t="s">
        <v>19430</v>
      </c>
      <c r="E7748">
        <v>6</v>
      </c>
      <c r="F7748" t="s">
        <v>8008</v>
      </c>
      <c r="G7748">
        <v>1</v>
      </c>
      <c r="H7748">
        <v>1</v>
      </c>
      <c r="I7748">
        <f>1</f>
        <v>1</v>
      </c>
    </row>
    <row r="7749" spans="2:9" x14ac:dyDescent="0.25">
      <c r="B7749">
        <v>0</v>
      </c>
      <c r="C7749" s="16" t="s">
        <v>16857</v>
      </c>
      <c r="D7749" s="16" t="s">
        <v>19431</v>
      </c>
      <c r="E7749">
        <v>6</v>
      </c>
      <c r="F7749" t="s">
        <v>8009</v>
      </c>
      <c r="G7749">
        <v>1</v>
      </c>
      <c r="H7749">
        <v>1</v>
      </c>
      <c r="I7749">
        <f>1</f>
        <v>1</v>
      </c>
    </row>
    <row r="7750" spans="2:9" x14ac:dyDescent="0.25">
      <c r="B7750">
        <v>0</v>
      </c>
      <c r="C7750" s="16" t="s">
        <v>16858</v>
      </c>
      <c r="D7750" s="16"/>
      <c r="E7750">
        <v>6</v>
      </c>
      <c r="F7750" t="s">
        <v>8011</v>
      </c>
      <c r="G7750">
        <v>1</v>
      </c>
      <c r="H7750">
        <v>1</v>
      </c>
      <c r="I7750">
        <f>1</f>
        <v>1</v>
      </c>
    </row>
    <row r="7751" spans="2:9" x14ac:dyDescent="0.25">
      <c r="B7751">
        <v>0</v>
      </c>
      <c r="C7751" s="16" t="s">
        <v>16859</v>
      </c>
      <c r="D7751" s="16"/>
      <c r="E7751">
        <v>6</v>
      </c>
      <c r="F7751" t="s">
        <v>4680</v>
      </c>
      <c r="G7751">
        <v>1</v>
      </c>
      <c r="H7751">
        <v>1</v>
      </c>
      <c r="I7751">
        <f>1</f>
        <v>1</v>
      </c>
    </row>
    <row r="7752" spans="2:9" x14ac:dyDescent="0.25">
      <c r="B7752">
        <v>0</v>
      </c>
      <c r="C7752" s="16" t="s">
        <v>16860</v>
      </c>
      <c r="D7752" s="16"/>
      <c r="E7752">
        <v>6</v>
      </c>
      <c r="F7752" t="e">
        <f>-De Motores para aviação</f>
        <v>#NAME?</v>
      </c>
      <c r="G7752">
        <v>1</v>
      </c>
      <c r="H7752">
        <v>1</v>
      </c>
      <c r="I7752">
        <f>1</f>
        <v>1</v>
      </c>
    </row>
    <row r="7753" spans="2:9" x14ac:dyDescent="0.25">
      <c r="B7753">
        <v>0</v>
      </c>
      <c r="C7753" s="16" t="s">
        <v>16861</v>
      </c>
      <c r="D7753" s="16"/>
      <c r="E7753">
        <v>6</v>
      </c>
      <c r="F7753" t="s">
        <v>8012</v>
      </c>
      <c r="G7753">
        <v>1</v>
      </c>
      <c r="H7753">
        <v>1</v>
      </c>
      <c r="I7753">
        <f>1</f>
        <v>1</v>
      </c>
    </row>
    <row r="7754" spans="2:9" x14ac:dyDescent="0.25">
      <c r="B7754">
        <v>0</v>
      </c>
      <c r="C7754" s="16" t="s">
        <v>16862</v>
      </c>
      <c r="D7754" s="16"/>
      <c r="E7754">
        <v>6</v>
      </c>
      <c r="F7754" t="s">
        <v>8013</v>
      </c>
      <c r="G7754">
        <v>1</v>
      </c>
      <c r="H7754">
        <v>1</v>
      </c>
      <c r="I7754">
        <f>1</f>
        <v>1</v>
      </c>
    </row>
    <row r="7755" spans="2:9" x14ac:dyDescent="0.25">
      <c r="B7755">
        <v>0</v>
      </c>
      <c r="C7755" s="16" t="s">
        <v>16863</v>
      </c>
      <c r="D7755" s="16"/>
      <c r="E7755">
        <v>6</v>
      </c>
      <c r="F7755" t="s">
        <v>8014</v>
      </c>
      <c r="G7755">
        <v>1</v>
      </c>
      <c r="H7755">
        <v>1</v>
      </c>
      <c r="I7755">
        <f>1</f>
        <v>1</v>
      </c>
    </row>
    <row r="7756" spans="2:9" x14ac:dyDescent="0.25">
      <c r="B7756">
        <v>0</v>
      </c>
      <c r="C7756" s="16" t="s">
        <v>16864</v>
      </c>
      <c r="D7756" s="16"/>
      <c r="E7756">
        <v>6</v>
      </c>
      <c r="F7756" t="s">
        <v>8015</v>
      </c>
      <c r="G7756">
        <v>1</v>
      </c>
      <c r="H7756">
        <v>1</v>
      </c>
      <c r="I7756">
        <f>1</f>
        <v>1</v>
      </c>
    </row>
    <row r="7757" spans="2:9" x14ac:dyDescent="0.25">
      <c r="B7757">
        <v>0</v>
      </c>
      <c r="C7757" s="16" t="s">
        <v>16865</v>
      </c>
      <c r="D7757" s="16"/>
      <c r="E7757">
        <v>6</v>
      </c>
      <c r="F7757" t="s">
        <v>8016</v>
      </c>
      <c r="G7757">
        <v>1</v>
      </c>
      <c r="H7757">
        <v>1</v>
      </c>
      <c r="I7757">
        <f>1</f>
        <v>1</v>
      </c>
    </row>
    <row r="7758" spans="2:9" x14ac:dyDescent="0.25">
      <c r="B7758">
        <v>0</v>
      </c>
      <c r="C7758" s="16" t="s">
        <v>16866</v>
      </c>
      <c r="D7758" s="16"/>
      <c r="E7758">
        <v>6</v>
      </c>
      <c r="F7758" t="s">
        <v>8017</v>
      </c>
      <c r="G7758">
        <v>1</v>
      </c>
      <c r="H7758">
        <v>1</v>
      </c>
      <c r="I7758">
        <f>1</f>
        <v>1</v>
      </c>
    </row>
    <row r="7759" spans="2:9" x14ac:dyDescent="0.25">
      <c r="B7759">
        <v>0</v>
      </c>
      <c r="C7759" s="16" t="s">
        <v>16867</v>
      </c>
      <c r="D7759" s="16"/>
      <c r="E7759">
        <v>6</v>
      </c>
      <c r="F7759" t="s">
        <v>8018</v>
      </c>
      <c r="G7759">
        <v>1</v>
      </c>
      <c r="H7759">
        <v>1</v>
      </c>
      <c r="I7759">
        <f>1</f>
        <v>1</v>
      </c>
    </row>
    <row r="7760" spans="2:9" x14ac:dyDescent="0.25">
      <c r="B7760">
        <v>0</v>
      </c>
      <c r="C7760" s="16" t="s">
        <v>16868</v>
      </c>
      <c r="D7760" s="16"/>
      <c r="E7760">
        <v>6</v>
      </c>
      <c r="F7760" t="s">
        <v>8019</v>
      </c>
      <c r="G7760">
        <v>1</v>
      </c>
      <c r="H7760">
        <v>1</v>
      </c>
      <c r="I7760">
        <f>1</f>
        <v>1</v>
      </c>
    </row>
    <row r="7761" spans="2:9" x14ac:dyDescent="0.25">
      <c r="B7761">
        <v>0</v>
      </c>
      <c r="C7761" s="16" t="s">
        <v>16869</v>
      </c>
      <c r="D7761" s="16"/>
      <c r="E7761">
        <v>6</v>
      </c>
      <c r="F7761" t="s">
        <v>8020</v>
      </c>
      <c r="G7761">
        <v>1</v>
      </c>
      <c r="H7761">
        <v>1</v>
      </c>
      <c r="I7761">
        <f>1</f>
        <v>1</v>
      </c>
    </row>
    <row r="7762" spans="2:9" x14ac:dyDescent="0.25">
      <c r="B7762">
        <v>0</v>
      </c>
      <c r="C7762" s="16" t="s">
        <v>16870</v>
      </c>
      <c r="D7762" s="16"/>
      <c r="E7762">
        <v>6</v>
      </c>
      <c r="F7762" t="s">
        <v>8021</v>
      </c>
      <c r="G7762">
        <v>1</v>
      </c>
      <c r="H7762">
        <v>1</v>
      </c>
      <c r="I7762">
        <f>1</f>
        <v>1</v>
      </c>
    </row>
    <row r="7763" spans="2:9" x14ac:dyDescent="0.25">
      <c r="B7763">
        <v>0</v>
      </c>
      <c r="C7763" s="16" t="s">
        <v>16871</v>
      </c>
      <c r="D7763" s="16"/>
      <c r="E7763">
        <v>6</v>
      </c>
      <c r="F7763" t="s">
        <v>8022</v>
      </c>
      <c r="G7763">
        <v>1</v>
      </c>
      <c r="H7763">
        <v>1</v>
      </c>
      <c r="I7763">
        <f>1</f>
        <v>1</v>
      </c>
    </row>
    <row r="7764" spans="2:9" x14ac:dyDescent="0.25">
      <c r="B7764">
        <v>0</v>
      </c>
      <c r="C7764" s="16" t="s">
        <v>16872</v>
      </c>
      <c r="D7764" s="16"/>
      <c r="E7764">
        <v>6</v>
      </c>
      <c r="F7764" t="s">
        <v>4690</v>
      </c>
      <c r="G7764">
        <v>1</v>
      </c>
      <c r="H7764">
        <v>1</v>
      </c>
      <c r="I7764">
        <f>1</f>
        <v>1</v>
      </c>
    </row>
    <row r="7765" spans="2:9" x14ac:dyDescent="0.25">
      <c r="B7765">
        <v>0</v>
      </c>
      <c r="C7765" s="16" t="s">
        <v>16873</v>
      </c>
      <c r="D7765" s="16"/>
      <c r="E7765">
        <v>6</v>
      </c>
      <c r="F7765" t="s">
        <v>8023</v>
      </c>
      <c r="G7765">
        <v>1</v>
      </c>
      <c r="H7765">
        <v>1</v>
      </c>
      <c r="I7765">
        <f>1</f>
        <v>1</v>
      </c>
    </row>
    <row r="7766" spans="2:9" x14ac:dyDescent="0.25">
      <c r="B7766">
        <v>0</v>
      </c>
      <c r="C7766" s="16" t="s">
        <v>16873</v>
      </c>
      <c r="D7766" s="16" t="s">
        <v>19430</v>
      </c>
      <c r="E7766">
        <v>6</v>
      </c>
      <c r="F7766" t="s">
        <v>8024</v>
      </c>
      <c r="G7766">
        <v>1</v>
      </c>
      <c r="H7766">
        <v>1</v>
      </c>
      <c r="I7766">
        <f>1</f>
        <v>1</v>
      </c>
    </row>
    <row r="7767" spans="2:9" x14ac:dyDescent="0.25">
      <c r="B7767">
        <v>0</v>
      </c>
      <c r="C7767" s="16" t="s">
        <v>16874</v>
      </c>
      <c r="D7767" s="16"/>
      <c r="E7767">
        <v>6</v>
      </c>
      <c r="F7767" t="s">
        <v>8015</v>
      </c>
      <c r="G7767">
        <v>1</v>
      </c>
      <c r="H7767">
        <v>1</v>
      </c>
      <c r="I7767">
        <f>1</f>
        <v>1</v>
      </c>
    </row>
    <row r="7768" spans="2:9" x14ac:dyDescent="0.25">
      <c r="B7768">
        <v>0</v>
      </c>
      <c r="C7768" s="16" t="s">
        <v>16875</v>
      </c>
      <c r="D7768" s="16"/>
      <c r="E7768">
        <v>6</v>
      </c>
      <c r="F7768" t="s">
        <v>8016</v>
      </c>
      <c r="G7768">
        <v>1</v>
      </c>
      <c r="H7768">
        <v>1</v>
      </c>
      <c r="I7768">
        <f>1</f>
        <v>1</v>
      </c>
    </row>
    <row r="7769" spans="2:9" x14ac:dyDescent="0.25">
      <c r="B7769">
        <v>0</v>
      </c>
      <c r="C7769" s="16" t="s">
        <v>16876</v>
      </c>
      <c r="D7769" s="16"/>
      <c r="E7769">
        <v>6</v>
      </c>
      <c r="F7769" t="s">
        <v>8018</v>
      </c>
      <c r="G7769">
        <v>1</v>
      </c>
      <c r="H7769">
        <v>1</v>
      </c>
      <c r="I7769">
        <f>1</f>
        <v>1</v>
      </c>
    </row>
    <row r="7770" spans="2:9" x14ac:dyDescent="0.25">
      <c r="B7770">
        <v>0</v>
      </c>
      <c r="C7770" s="16" t="s">
        <v>16877</v>
      </c>
      <c r="D7770" s="16"/>
      <c r="E7770">
        <v>6</v>
      </c>
      <c r="F7770" t="s">
        <v>8025</v>
      </c>
      <c r="G7770">
        <v>1</v>
      </c>
      <c r="H7770">
        <v>1</v>
      </c>
      <c r="I7770">
        <f>1</f>
        <v>1</v>
      </c>
    </row>
    <row r="7771" spans="2:9" x14ac:dyDescent="0.25">
      <c r="B7771">
        <v>0</v>
      </c>
      <c r="C7771" s="16" t="s">
        <v>16878</v>
      </c>
      <c r="D7771" s="16"/>
      <c r="E7771">
        <v>6</v>
      </c>
      <c r="F7771" t="s">
        <v>4680</v>
      </c>
      <c r="G7771">
        <v>1</v>
      </c>
      <c r="H7771">
        <v>1</v>
      </c>
      <c r="I7771">
        <f>1</f>
        <v>1</v>
      </c>
    </row>
    <row r="7772" spans="2:9" x14ac:dyDescent="0.25">
      <c r="B7772">
        <v>0</v>
      </c>
      <c r="C7772" s="16" t="s">
        <v>16879</v>
      </c>
      <c r="D7772" s="16"/>
      <c r="E7772">
        <v>6</v>
      </c>
      <c r="F7772" t="s">
        <v>8021</v>
      </c>
      <c r="G7772">
        <v>1</v>
      </c>
      <c r="H7772">
        <v>1</v>
      </c>
      <c r="I7772">
        <f>1</f>
        <v>1</v>
      </c>
    </row>
    <row r="7773" spans="2:9" x14ac:dyDescent="0.25">
      <c r="B7773">
        <v>0</v>
      </c>
      <c r="C7773" s="16" t="s">
        <v>16880</v>
      </c>
      <c r="D7773" s="16"/>
      <c r="E7773">
        <v>6</v>
      </c>
      <c r="F7773" t="s">
        <v>8026</v>
      </c>
      <c r="G7773">
        <v>1</v>
      </c>
      <c r="H7773">
        <v>1</v>
      </c>
      <c r="I7773">
        <f>1</f>
        <v>1</v>
      </c>
    </row>
    <row r="7774" spans="2:9" x14ac:dyDescent="0.25">
      <c r="B7774">
        <v>0</v>
      </c>
      <c r="C7774" s="16" t="s">
        <v>16880</v>
      </c>
      <c r="D7774" s="16" t="s">
        <v>19430</v>
      </c>
      <c r="E7774">
        <v>6</v>
      </c>
      <c r="F7774" t="s">
        <v>8024</v>
      </c>
      <c r="G7774">
        <v>1</v>
      </c>
      <c r="H7774">
        <v>1</v>
      </c>
      <c r="I7774">
        <f>1</f>
        <v>1</v>
      </c>
    </row>
    <row r="7775" spans="2:9" x14ac:dyDescent="0.25">
      <c r="B7775">
        <v>0</v>
      </c>
      <c r="C7775" s="16" t="s">
        <v>16881</v>
      </c>
      <c r="D7775" s="16"/>
      <c r="E7775">
        <v>6</v>
      </c>
      <c r="F7775" t="s">
        <v>4690</v>
      </c>
      <c r="G7775">
        <v>1</v>
      </c>
      <c r="H7775">
        <v>1</v>
      </c>
      <c r="I7775">
        <f>1</f>
        <v>1</v>
      </c>
    </row>
    <row r="7776" spans="2:9" x14ac:dyDescent="0.25">
      <c r="B7776">
        <v>0</v>
      </c>
      <c r="C7776" s="16" t="s">
        <v>16881</v>
      </c>
      <c r="D7776" s="16" t="s">
        <v>19430</v>
      </c>
      <c r="E7776">
        <v>6</v>
      </c>
      <c r="F7776" t="s">
        <v>8024</v>
      </c>
      <c r="G7776">
        <v>1</v>
      </c>
      <c r="H7776">
        <v>1</v>
      </c>
      <c r="I7776">
        <f>1</f>
        <v>1</v>
      </c>
    </row>
    <row r="7777" spans="2:9" x14ac:dyDescent="0.25">
      <c r="B7777">
        <v>0</v>
      </c>
      <c r="C7777" s="16" t="s">
        <v>16882</v>
      </c>
      <c r="D7777" s="16"/>
      <c r="E7777">
        <v>6</v>
      </c>
      <c r="F7777" t="s">
        <v>8025</v>
      </c>
      <c r="G7777">
        <v>1</v>
      </c>
      <c r="H7777">
        <v>1</v>
      </c>
      <c r="I7777">
        <f>1</f>
        <v>1</v>
      </c>
    </row>
    <row r="7778" spans="2:9" x14ac:dyDescent="0.25">
      <c r="B7778">
        <v>0</v>
      </c>
      <c r="C7778" s="16" t="s">
        <v>16882</v>
      </c>
      <c r="D7778" s="16" t="s">
        <v>19430</v>
      </c>
      <c r="E7778">
        <v>6</v>
      </c>
      <c r="F7778" t="s">
        <v>8024</v>
      </c>
      <c r="G7778">
        <v>1</v>
      </c>
      <c r="H7778">
        <v>1</v>
      </c>
      <c r="I7778">
        <f>1</f>
        <v>1</v>
      </c>
    </row>
    <row r="7779" spans="2:9" x14ac:dyDescent="0.25">
      <c r="B7779">
        <v>0</v>
      </c>
      <c r="C7779" s="16" t="s">
        <v>16883</v>
      </c>
      <c r="D7779" s="16"/>
      <c r="E7779">
        <v>6</v>
      </c>
      <c r="F7779" t="s">
        <v>4680</v>
      </c>
      <c r="G7779">
        <v>1</v>
      </c>
      <c r="H7779">
        <v>1</v>
      </c>
      <c r="I7779">
        <f>1</f>
        <v>1</v>
      </c>
    </row>
    <row r="7780" spans="2:9" x14ac:dyDescent="0.25">
      <c r="B7780">
        <v>0</v>
      </c>
      <c r="C7780" s="16" t="s">
        <v>16883</v>
      </c>
      <c r="D7780" s="16" t="s">
        <v>19430</v>
      </c>
      <c r="E7780">
        <v>6</v>
      </c>
      <c r="F7780" t="s">
        <v>8024</v>
      </c>
      <c r="G7780">
        <v>1</v>
      </c>
      <c r="H7780">
        <v>1</v>
      </c>
      <c r="I7780">
        <f>1</f>
        <v>1</v>
      </c>
    </row>
    <row r="7781" spans="2:9" x14ac:dyDescent="0.25">
      <c r="B7781">
        <v>0</v>
      </c>
      <c r="C7781" s="16" t="s">
        <v>16884</v>
      </c>
      <c r="D7781" s="16"/>
      <c r="E7781">
        <v>6</v>
      </c>
      <c r="F7781" t="s">
        <v>8027</v>
      </c>
      <c r="G7781">
        <v>1</v>
      </c>
      <c r="H7781">
        <v>1</v>
      </c>
      <c r="I7781">
        <f>1</f>
        <v>1</v>
      </c>
    </row>
    <row r="7782" spans="2:9" x14ac:dyDescent="0.25">
      <c r="B7782">
        <v>0</v>
      </c>
      <c r="C7782" s="16" t="s">
        <v>16885</v>
      </c>
      <c r="D7782" s="16"/>
      <c r="E7782">
        <v>6</v>
      </c>
      <c r="F7782" t="s">
        <v>4680</v>
      </c>
      <c r="G7782">
        <v>1</v>
      </c>
      <c r="H7782">
        <v>1</v>
      </c>
      <c r="I7782">
        <f>1</f>
        <v>1</v>
      </c>
    </row>
    <row r="7783" spans="2:9" x14ac:dyDescent="0.25">
      <c r="B7783">
        <v>0</v>
      </c>
      <c r="C7783" s="16" t="s">
        <v>16886</v>
      </c>
      <c r="D7783" s="16"/>
      <c r="E7783">
        <v>6</v>
      </c>
      <c r="F7783" t="s">
        <v>8025</v>
      </c>
      <c r="G7783">
        <v>1</v>
      </c>
      <c r="H7783">
        <v>1</v>
      </c>
      <c r="I7783">
        <f>1</f>
        <v>1</v>
      </c>
    </row>
    <row r="7784" spans="2:9" x14ac:dyDescent="0.25">
      <c r="B7784">
        <v>0</v>
      </c>
      <c r="C7784" s="16" t="s">
        <v>16887</v>
      </c>
      <c r="D7784" s="16"/>
      <c r="E7784">
        <v>6</v>
      </c>
      <c r="F7784" t="s">
        <v>4680</v>
      </c>
      <c r="G7784">
        <v>1</v>
      </c>
      <c r="H7784">
        <v>1</v>
      </c>
      <c r="I7784">
        <f>1</f>
        <v>1</v>
      </c>
    </row>
    <row r="7785" spans="2:9" x14ac:dyDescent="0.25">
      <c r="B7785">
        <v>0</v>
      </c>
      <c r="C7785" s="16" t="s">
        <v>16888</v>
      </c>
      <c r="D7785" s="16"/>
      <c r="E7785">
        <v>6</v>
      </c>
      <c r="F7785" t="s">
        <v>8028</v>
      </c>
      <c r="G7785">
        <v>1</v>
      </c>
      <c r="H7785">
        <v>1</v>
      </c>
      <c r="I7785">
        <f>1</f>
        <v>1</v>
      </c>
    </row>
    <row r="7786" spans="2:9" x14ac:dyDescent="0.25">
      <c r="B7786">
        <v>0</v>
      </c>
      <c r="C7786" s="16" t="s">
        <v>16889</v>
      </c>
      <c r="D7786" s="16"/>
      <c r="E7786">
        <v>6</v>
      </c>
      <c r="F7786" t="s">
        <v>4690</v>
      </c>
      <c r="G7786">
        <v>1</v>
      </c>
      <c r="H7786">
        <v>1</v>
      </c>
      <c r="I7786">
        <f>1</f>
        <v>1</v>
      </c>
    </row>
    <row r="7787" spans="2:9" x14ac:dyDescent="0.25">
      <c r="B7787">
        <v>0</v>
      </c>
      <c r="C7787" s="16" t="s">
        <v>16889</v>
      </c>
      <c r="D7787" s="16" t="s">
        <v>19430</v>
      </c>
      <c r="E7787">
        <v>6</v>
      </c>
      <c r="F7787" t="s">
        <v>8029</v>
      </c>
      <c r="G7787">
        <v>1</v>
      </c>
      <c r="H7787">
        <v>1</v>
      </c>
      <c r="I7787">
        <f>1</f>
        <v>1</v>
      </c>
    </row>
    <row r="7788" spans="2:9" x14ac:dyDescent="0.25">
      <c r="B7788">
        <v>0</v>
      </c>
      <c r="C7788" s="16" t="s">
        <v>16890</v>
      </c>
      <c r="D7788" s="16"/>
      <c r="E7788">
        <v>6</v>
      </c>
      <c r="F7788" t="s">
        <v>8030</v>
      </c>
      <c r="G7788">
        <v>1</v>
      </c>
      <c r="H7788">
        <v>1</v>
      </c>
      <c r="I7788">
        <f>1</f>
        <v>1</v>
      </c>
    </row>
    <row r="7789" spans="2:9" x14ac:dyDescent="0.25">
      <c r="B7789">
        <v>0</v>
      </c>
      <c r="C7789" s="16" t="s">
        <v>16891</v>
      </c>
      <c r="D7789" s="16"/>
      <c r="E7789">
        <v>6</v>
      </c>
      <c r="F7789" t="s">
        <v>8031</v>
      </c>
      <c r="G7789">
        <v>1</v>
      </c>
      <c r="H7789">
        <v>1</v>
      </c>
      <c r="I7789">
        <f>1</f>
        <v>1</v>
      </c>
    </row>
    <row r="7790" spans="2:9" x14ac:dyDescent="0.25">
      <c r="B7790">
        <v>0</v>
      </c>
      <c r="C7790" s="16" t="s">
        <v>16892</v>
      </c>
      <c r="D7790" s="16"/>
      <c r="E7790">
        <v>6</v>
      </c>
      <c r="F7790" t="s">
        <v>8032</v>
      </c>
      <c r="G7790">
        <v>1</v>
      </c>
      <c r="H7790">
        <v>1</v>
      </c>
      <c r="I7790">
        <f>1</f>
        <v>1</v>
      </c>
    </row>
    <row r="7791" spans="2:9" x14ac:dyDescent="0.25">
      <c r="B7791">
        <v>0</v>
      </c>
      <c r="C7791" s="16" t="s">
        <v>16893</v>
      </c>
      <c r="D7791" s="16"/>
      <c r="E7791">
        <v>6</v>
      </c>
      <c r="F7791" t="s">
        <v>8033</v>
      </c>
      <c r="G7791">
        <v>1</v>
      </c>
      <c r="H7791">
        <v>1</v>
      </c>
      <c r="I7791">
        <f>1</f>
        <v>1</v>
      </c>
    </row>
    <row r="7792" spans="2:9" x14ac:dyDescent="0.25">
      <c r="B7792">
        <v>0</v>
      </c>
      <c r="C7792" s="16" t="s">
        <v>16894</v>
      </c>
      <c r="D7792" s="16"/>
      <c r="E7792">
        <v>6</v>
      </c>
      <c r="F7792" t="s">
        <v>8034</v>
      </c>
      <c r="G7792">
        <v>1</v>
      </c>
      <c r="H7792">
        <v>1</v>
      </c>
      <c r="I7792">
        <f>1</f>
        <v>1</v>
      </c>
    </row>
    <row r="7793" spans="2:9" x14ac:dyDescent="0.25">
      <c r="B7793">
        <v>0</v>
      </c>
      <c r="C7793" s="16" t="s">
        <v>16895</v>
      </c>
      <c r="D7793" s="16"/>
      <c r="E7793">
        <v>6</v>
      </c>
      <c r="F7793" t="s">
        <v>8035</v>
      </c>
      <c r="G7793">
        <v>1</v>
      </c>
      <c r="H7793">
        <v>1</v>
      </c>
      <c r="I7793">
        <f>1</f>
        <v>1</v>
      </c>
    </row>
    <row r="7794" spans="2:9" x14ac:dyDescent="0.25">
      <c r="B7794">
        <v>0</v>
      </c>
      <c r="C7794" s="16" t="s">
        <v>16896</v>
      </c>
      <c r="D7794" s="16"/>
      <c r="E7794">
        <v>6</v>
      </c>
      <c r="F7794" t="s">
        <v>8036</v>
      </c>
      <c r="G7794">
        <v>1</v>
      </c>
      <c r="H7794">
        <v>1</v>
      </c>
      <c r="I7794">
        <f>1</f>
        <v>1</v>
      </c>
    </row>
    <row r="7795" spans="2:9" x14ac:dyDescent="0.25">
      <c r="B7795">
        <v>0</v>
      </c>
      <c r="C7795" s="16" t="s">
        <v>16897</v>
      </c>
      <c r="D7795" s="16"/>
      <c r="E7795">
        <v>6</v>
      </c>
      <c r="F7795" t="s">
        <v>8037</v>
      </c>
      <c r="G7795">
        <v>1</v>
      </c>
      <c r="H7795">
        <v>1</v>
      </c>
      <c r="I7795">
        <f>1</f>
        <v>1</v>
      </c>
    </row>
    <row r="7796" spans="2:9" x14ac:dyDescent="0.25">
      <c r="B7796">
        <v>0</v>
      </c>
      <c r="C7796" s="16" t="s">
        <v>16898</v>
      </c>
      <c r="D7796" s="16"/>
      <c r="E7796">
        <v>6</v>
      </c>
      <c r="F7796" t="s">
        <v>8038</v>
      </c>
      <c r="G7796">
        <v>1</v>
      </c>
      <c r="H7796">
        <v>1</v>
      </c>
      <c r="I7796">
        <f>1</f>
        <v>1</v>
      </c>
    </row>
    <row r="7797" spans="2:9" x14ac:dyDescent="0.25">
      <c r="B7797">
        <v>0</v>
      </c>
      <c r="C7797" s="16" t="s">
        <v>16899</v>
      </c>
      <c r="D7797" s="16"/>
      <c r="E7797">
        <v>6</v>
      </c>
      <c r="F7797" t="s">
        <v>8039</v>
      </c>
      <c r="G7797">
        <v>1</v>
      </c>
      <c r="H7797">
        <v>1</v>
      </c>
      <c r="I7797">
        <f>1</f>
        <v>1</v>
      </c>
    </row>
    <row r="7798" spans="2:9" x14ac:dyDescent="0.25">
      <c r="B7798">
        <v>0</v>
      </c>
      <c r="C7798" s="16" t="s">
        <v>16900</v>
      </c>
      <c r="D7798" s="16"/>
      <c r="E7798">
        <v>6</v>
      </c>
      <c r="F7798" t="e">
        <f>--De turborreatores ou De turbopropulsores</f>
        <v>#NAME?</v>
      </c>
      <c r="G7798">
        <v>1</v>
      </c>
      <c r="H7798">
        <v>1</v>
      </c>
      <c r="I7798">
        <f>1</f>
        <v>1</v>
      </c>
    </row>
    <row r="7799" spans="2:9" x14ac:dyDescent="0.25">
      <c r="B7799">
        <v>0</v>
      </c>
      <c r="C7799" s="16" t="s">
        <v>16901</v>
      </c>
      <c r="D7799" s="16"/>
      <c r="E7799">
        <v>6</v>
      </c>
      <c r="F7799" t="e">
        <f>--Outras</f>
        <v>#NAME?</v>
      </c>
      <c r="G7799">
        <v>1</v>
      </c>
      <c r="H7799">
        <v>1</v>
      </c>
      <c r="I7799">
        <f>1</f>
        <v>1</v>
      </c>
    </row>
    <row r="7800" spans="2:9" x14ac:dyDescent="0.25">
      <c r="B7800">
        <v>0</v>
      </c>
      <c r="C7800" s="16" t="s">
        <v>16902</v>
      </c>
      <c r="D7800" s="16"/>
      <c r="E7800">
        <v>6</v>
      </c>
      <c r="F7800" t="s">
        <v>8040</v>
      </c>
      <c r="G7800">
        <v>1</v>
      </c>
      <c r="H7800">
        <v>1</v>
      </c>
      <c r="I7800">
        <f>1</f>
        <v>1</v>
      </c>
    </row>
    <row r="7801" spans="2:9" x14ac:dyDescent="0.25">
      <c r="B7801">
        <v>0</v>
      </c>
      <c r="C7801" s="16" t="s">
        <v>16903</v>
      </c>
      <c r="D7801" s="16"/>
      <c r="E7801">
        <v>6</v>
      </c>
      <c r="F7801" t="s">
        <v>8041</v>
      </c>
      <c r="G7801">
        <v>1</v>
      </c>
      <c r="H7801">
        <v>1</v>
      </c>
      <c r="I7801">
        <f>1</f>
        <v>1</v>
      </c>
    </row>
    <row r="7802" spans="2:9" x14ac:dyDescent="0.25">
      <c r="B7802">
        <v>0</v>
      </c>
      <c r="C7802" s="16" t="s">
        <v>16904</v>
      </c>
      <c r="D7802" s="16"/>
      <c r="E7802">
        <v>6</v>
      </c>
      <c r="F7802" t="s">
        <v>4680</v>
      </c>
      <c r="G7802">
        <v>1</v>
      </c>
      <c r="H7802">
        <v>1</v>
      </c>
      <c r="I7802">
        <f>1</f>
        <v>1</v>
      </c>
    </row>
    <row r="7803" spans="2:9" x14ac:dyDescent="0.25">
      <c r="B7803">
        <v>0</v>
      </c>
      <c r="C7803" s="16" t="s">
        <v>16905</v>
      </c>
      <c r="D7803" s="16"/>
      <c r="E7803">
        <v>6</v>
      </c>
      <c r="F7803" t="e">
        <f>--outros</f>
        <v>#NAME?</v>
      </c>
      <c r="G7803">
        <v>1</v>
      </c>
      <c r="H7803">
        <v>1</v>
      </c>
      <c r="I7803">
        <f>1</f>
        <v>1</v>
      </c>
    </row>
    <row r="7804" spans="2:9" x14ac:dyDescent="0.25">
      <c r="B7804">
        <v>0</v>
      </c>
      <c r="C7804" s="16" t="s">
        <v>16906</v>
      </c>
      <c r="D7804" s="16"/>
      <c r="E7804">
        <v>6</v>
      </c>
      <c r="F7804" t="s">
        <v>8042</v>
      </c>
      <c r="G7804">
        <v>1</v>
      </c>
      <c r="H7804">
        <v>1</v>
      </c>
      <c r="I7804">
        <f>1</f>
        <v>1</v>
      </c>
    </row>
    <row r="7805" spans="2:9" x14ac:dyDescent="0.25">
      <c r="B7805">
        <v>0</v>
      </c>
      <c r="C7805" s="16" t="s">
        <v>16907</v>
      </c>
      <c r="D7805" s="16"/>
      <c r="E7805">
        <v>6</v>
      </c>
      <c r="F7805" t="s">
        <v>4680</v>
      </c>
      <c r="G7805">
        <v>1</v>
      </c>
      <c r="H7805">
        <v>1</v>
      </c>
      <c r="I7805">
        <f>1</f>
        <v>1</v>
      </c>
    </row>
    <row r="7806" spans="2:9" x14ac:dyDescent="0.25">
      <c r="B7806">
        <v>0</v>
      </c>
      <c r="C7806" s="16" t="s">
        <v>16908</v>
      </c>
      <c r="D7806" s="16"/>
      <c r="E7806">
        <v>6</v>
      </c>
      <c r="F7806" t="e">
        <f>--outros</f>
        <v>#NAME?</v>
      </c>
      <c r="G7806">
        <v>1</v>
      </c>
      <c r="H7806">
        <v>1</v>
      </c>
      <c r="I7806">
        <f>1</f>
        <v>1</v>
      </c>
    </row>
    <row r="7807" spans="2:9" x14ac:dyDescent="0.25">
      <c r="B7807">
        <v>0</v>
      </c>
      <c r="C7807" s="16" t="s">
        <v>16909</v>
      </c>
      <c r="D7807" s="16"/>
      <c r="E7807">
        <v>6</v>
      </c>
      <c r="F7807" t="e">
        <f>-outros</f>
        <v>#NAME?</v>
      </c>
      <c r="G7807">
        <v>1</v>
      </c>
      <c r="H7807">
        <v>1</v>
      </c>
      <c r="I7807">
        <f>1</f>
        <v>1</v>
      </c>
    </row>
    <row r="7808" spans="2:9" x14ac:dyDescent="0.25">
      <c r="B7808">
        <v>0</v>
      </c>
      <c r="C7808" s="16" t="s">
        <v>16910</v>
      </c>
      <c r="D7808" s="16"/>
      <c r="E7808">
        <v>6</v>
      </c>
      <c r="F7808" t="s">
        <v>8043</v>
      </c>
      <c r="G7808">
        <v>1</v>
      </c>
      <c r="H7808">
        <v>1</v>
      </c>
      <c r="I7808">
        <f>1</f>
        <v>1</v>
      </c>
    </row>
    <row r="7809" spans="2:9" x14ac:dyDescent="0.25">
      <c r="B7809">
        <v>0</v>
      </c>
      <c r="C7809" s="16" t="s">
        <v>16911</v>
      </c>
      <c r="D7809" s="16"/>
      <c r="E7809">
        <v>6</v>
      </c>
      <c r="F7809" t="s">
        <v>8044</v>
      </c>
      <c r="G7809">
        <v>1</v>
      </c>
      <c r="H7809">
        <v>1</v>
      </c>
      <c r="I7809">
        <f>1</f>
        <v>1</v>
      </c>
    </row>
    <row r="7810" spans="2:9" x14ac:dyDescent="0.25">
      <c r="B7810">
        <v>0</v>
      </c>
      <c r="C7810" s="16" t="s">
        <v>16912</v>
      </c>
      <c r="D7810" s="16"/>
      <c r="E7810">
        <v>6</v>
      </c>
      <c r="F7810" t="s">
        <v>8045</v>
      </c>
      <c r="G7810">
        <v>1</v>
      </c>
      <c r="H7810">
        <v>1</v>
      </c>
      <c r="I7810">
        <f>1</f>
        <v>1</v>
      </c>
    </row>
    <row r="7811" spans="2:9" x14ac:dyDescent="0.25">
      <c r="B7811">
        <v>0</v>
      </c>
      <c r="C7811" s="16" t="s">
        <v>16913</v>
      </c>
      <c r="D7811" s="16"/>
      <c r="E7811">
        <v>6</v>
      </c>
      <c r="F7811" t="s">
        <v>4690</v>
      </c>
      <c r="G7811">
        <v>1</v>
      </c>
      <c r="H7811">
        <v>1</v>
      </c>
      <c r="I7811">
        <f>1</f>
        <v>1</v>
      </c>
    </row>
    <row r="7812" spans="2:9" x14ac:dyDescent="0.25">
      <c r="B7812">
        <v>0</v>
      </c>
      <c r="C7812" s="16" t="s">
        <v>16914</v>
      </c>
      <c r="D7812" s="16"/>
      <c r="E7812">
        <v>6</v>
      </c>
      <c r="F7812" t="s">
        <v>8046</v>
      </c>
      <c r="G7812">
        <v>1</v>
      </c>
      <c r="H7812">
        <v>1</v>
      </c>
      <c r="I7812">
        <f>1</f>
        <v>1</v>
      </c>
    </row>
    <row r="7813" spans="2:9" x14ac:dyDescent="0.25">
      <c r="B7813">
        <v>0</v>
      </c>
      <c r="C7813" s="16" t="s">
        <v>16915</v>
      </c>
      <c r="D7813" s="16"/>
      <c r="E7813">
        <v>6</v>
      </c>
      <c r="F7813" t="e">
        <f>--Outras</f>
        <v>#NAME?</v>
      </c>
      <c r="G7813">
        <v>1</v>
      </c>
      <c r="H7813">
        <v>1</v>
      </c>
      <c r="I7813">
        <f>1</f>
        <v>1</v>
      </c>
    </row>
    <row r="7814" spans="2:9" x14ac:dyDescent="0.25">
      <c r="B7814">
        <v>0</v>
      </c>
      <c r="C7814" s="16" t="s">
        <v>16916</v>
      </c>
      <c r="D7814" s="16"/>
      <c r="E7814">
        <v>6</v>
      </c>
      <c r="F7814" t="s">
        <v>8047</v>
      </c>
      <c r="G7814">
        <v>1</v>
      </c>
      <c r="H7814">
        <v>1</v>
      </c>
      <c r="I7814">
        <f>1</f>
        <v>1</v>
      </c>
    </row>
    <row r="7815" spans="2:9" x14ac:dyDescent="0.25">
      <c r="B7815">
        <v>0</v>
      </c>
      <c r="C7815" s="16" t="s">
        <v>16917</v>
      </c>
      <c r="D7815" s="16"/>
      <c r="E7815">
        <v>6</v>
      </c>
      <c r="F7815" t="s">
        <v>8048</v>
      </c>
      <c r="G7815">
        <v>1</v>
      </c>
      <c r="H7815">
        <v>1</v>
      </c>
      <c r="I7815">
        <f>1</f>
        <v>1</v>
      </c>
    </row>
    <row r="7816" spans="2:9" x14ac:dyDescent="0.25">
      <c r="B7816">
        <v>0</v>
      </c>
      <c r="C7816" s="16" t="s">
        <v>16918</v>
      </c>
      <c r="D7816" s="16"/>
      <c r="E7816">
        <v>6</v>
      </c>
      <c r="F7816" t="s">
        <v>8049</v>
      </c>
      <c r="G7816">
        <v>1</v>
      </c>
      <c r="H7816">
        <v>1</v>
      </c>
      <c r="I7816">
        <f>1</f>
        <v>1</v>
      </c>
    </row>
    <row r="7817" spans="2:9" x14ac:dyDescent="0.25">
      <c r="B7817">
        <v>0</v>
      </c>
      <c r="C7817" s="16" t="s">
        <v>16918</v>
      </c>
      <c r="D7817" s="16" t="s">
        <v>19430</v>
      </c>
      <c r="E7817">
        <v>6</v>
      </c>
      <c r="F7817" t="s">
        <v>8050</v>
      </c>
      <c r="G7817">
        <v>1</v>
      </c>
      <c r="H7817">
        <v>1</v>
      </c>
      <c r="I7817">
        <f>1</f>
        <v>1</v>
      </c>
    </row>
    <row r="7818" spans="2:9" x14ac:dyDescent="0.25">
      <c r="B7818">
        <v>0</v>
      </c>
      <c r="C7818" s="16" t="s">
        <v>16919</v>
      </c>
      <c r="D7818" s="16"/>
      <c r="E7818">
        <v>6</v>
      </c>
      <c r="F7818" t="s">
        <v>8051</v>
      </c>
      <c r="G7818">
        <v>1</v>
      </c>
      <c r="H7818">
        <v>1</v>
      </c>
      <c r="I7818">
        <f>1</f>
        <v>1</v>
      </c>
    </row>
    <row r="7819" spans="2:9" x14ac:dyDescent="0.25">
      <c r="B7819">
        <v>0</v>
      </c>
      <c r="C7819" s="16" t="s">
        <v>16920</v>
      </c>
      <c r="D7819" s="16"/>
      <c r="E7819">
        <v>6</v>
      </c>
      <c r="F7819" t="s">
        <v>4690</v>
      </c>
      <c r="G7819">
        <v>1</v>
      </c>
      <c r="H7819">
        <v>1</v>
      </c>
      <c r="I7819">
        <f>1</f>
        <v>1</v>
      </c>
    </row>
    <row r="7820" spans="2:9" x14ac:dyDescent="0.25">
      <c r="B7820">
        <v>0</v>
      </c>
      <c r="C7820" s="16" t="s">
        <v>16921</v>
      </c>
      <c r="D7820" s="16"/>
      <c r="E7820">
        <v>6</v>
      </c>
      <c r="F7820" t="e">
        <f>-Bombas para concreto</f>
        <v>#NAME?</v>
      </c>
      <c r="G7820">
        <v>1</v>
      </c>
      <c r="H7820">
        <v>1</v>
      </c>
      <c r="I7820">
        <f>1</f>
        <v>1</v>
      </c>
    </row>
    <row r="7821" spans="2:9" x14ac:dyDescent="0.25">
      <c r="B7821">
        <v>0</v>
      </c>
      <c r="C7821" s="16" t="s">
        <v>16922</v>
      </c>
      <c r="D7821" s="16"/>
      <c r="E7821">
        <v>6</v>
      </c>
      <c r="F7821" t="s">
        <v>8052</v>
      </c>
      <c r="G7821">
        <v>1</v>
      </c>
      <c r="H7821">
        <v>1</v>
      </c>
      <c r="I7821">
        <f>1</f>
        <v>1</v>
      </c>
    </row>
    <row r="7822" spans="2:9" x14ac:dyDescent="0.25">
      <c r="B7822">
        <v>0</v>
      </c>
      <c r="C7822" s="16" t="s">
        <v>16923</v>
      </c>
      <c r="D7822" s="16"/>
      <c r="E7822">
        <v>6</v>
      </c>
      <c r="F7822" t="s">
        <v>4690</v>
      </c>
      <c r="G7822">
        <v>1</v>
      </c>
      <c r="H7822">
        <v>1</v>
      </c>
      <c r="I7822">
        <f>1</f>
        <v>1</v>
      </c>
    </row>
    <row r="7823" spans="2:9" x14ac:dyDescent="0.25">
      <c r="B7823">
        <v>0</v>
      </c>
      <c r="C7823" s="16" t="s">
        <v>16924</v>
      </c>
      <c r="D7823" s="16"/>
      <c r="E7823">
        <v>6</v>
      </c>
      <c r="F7823" t="s">
        <v>8053</v>
      </c>
      <c r="G7823">
        <v>1</v>
      </c>
      <c r="H7823">
        <v>1</v>
      </c>
      <c r="I7823">
        <f>1</f>
        <v>1</v>
      </c>
    </row>
    <row r="7824" spans="2:9" x14ac:dyDescent="0.25">
      <c r="B7824">
        <v>0</v>
      </c>
      <c r="C7824" s="16" t="s">
        <v>16925</v>
      </c>
      <c r="D7824" s="16"/>
      <c r="E7824">
        <v>6</v>
      </c>
      <c r="F7824" t="s">
        <v>4690</v>
      </c>
      <c r="G7824">
        <v>1</v>
      </c>
      <c r="H7824">
        <v>1</v>
      </c>
      <c r="I7824">
        <f>1</f>
        <v>1</v>
      </c>
    </row>
    <row r="7825" spans="2:9" x14ac:dyDescent="0.25">
      <c r="B7825">
        <v>0</v>
      </c>
      <c r="C7825" s="16" t="s">
        <v>16926</v>
      </c>
      <c r="D7825" s="16"/>
      <c r="E7825">
        <v>6</v>
      </c>
      <c r="F7825" t="s">
        <v>4690</v>
      </c>
      <c r="G7825">
        <v>1</v>
      </c>
      <c r="H7825">
        <v>1</v>
      </c>
      <c r="I7825">
        <f>1</f>
        <v>1</v>
      </c>
    </row>
    <row r="7826" spans="2:9" x14ac:dyDescent="0.25">
      <c r="B7826">
        <v>0</v>
      </c>
      <c r="C7826" s="16" t="s">
        <v>16927</v>
      </c>
      <c r="D7826" s="16"/>
      <c r="E7826">
        <v>6</v>
      </c>
      <c r="F7826" t="s">
        <v>8054</v>
      </c>
      <c r="G7826">
        <v>1</v>
      </c>
      <c r="H7826">
        <v>1</v>
      </c>
      <c r="I7826">
        <f>1</f>
        <v>1</v>
      </c>
    </row>
    <row r="7827" spans="2:9" x14ac:dyDescent="0.25">
      <c r="B7827">
        <v>0</v>
      </c>
      <c r="C7827" s="16" t="s">
        <v>16928</v>
      </c>
      <c r="D7827" s="16"/>
      <c r="E7827">
        <v>6</v>
      </c>
      <c r="F7827" t="s">
        <v>8055</v>
      </c>
      <c r="G7827">
        <v>1</v>
      </c>
      <c r="H7827">
        <v>1</v>
      </c>
      <c r="I7827">
        <f>1</f>
        <v>1</v>
      </c>
    </row>
    <row r="7828" spans="2:9" x14ac:dyDescent="0.25">
      <c r="B7828">
        <v>0</v>
      </c>
      <c r="C7828" s="16" t="s">
        <v>16929</v>
      </c>
      <c r="D7828" s="16"/>
      <c r="E7828">
        <v>6</v>
      </c>
      <c r="F7828" t="s">
        <v>4690</v>
      </c>
      <c r="G7828">
        <v>1</v>
      </c>
      <c r="H7828">
        <v>1</v>
      </c>
      <c r="I7828">
        <f>1</f>
        <v>1</v>
      </c>
    </row>
    <row r="7829" spans="2:9" x14ac:dyDescent="0.25">
      <c r="B7829">
        <v>0</v>
      </c>
      <c r="C7829" s="16" t="s">
        <v>16930</v>
      </c>
      <c r="D7829" s="16"/>
      <c r="E7829">
        <v>6</v>
      </c>
      <c r="F7829" t="e">
        <f>--Bombas</f>
        <v>#NAME?</v>
      </c>
      <c r="G7829">
        <v>1</v>
      </c>
      <c r="H7829">
        <v>1</v>
      </c>
      <c r="I7829">
        <f>1</f>
        <v>1</v>
      </c>
    </row>
    <row r="7830" spans="2:9" x14ac:dyDescent="0.25">
      <c r="B7830">
        <v>0</v>
      </c>
      <c r="C7830" s="16" t="s">
        <v>16931</v>
      </c>
      <c r="D7830" s="16"/>
      <c r="E7830">
        <v>6</v>
      </c>
      <c r="F7830" t="e">
        <f>--Elevadores De líquidos</f>
        <v>#NAME?</v>
      </c>
      <c r="G7830">
        <v>1</v>
      </c>
      <c r="H7830">
        <v>1</v>
      </c>
      <c r="I7830">
        <f>1</f>
        <v>1</v>
      </c>
    </row>
    <row r="7831" spans="2:9" x14ac:dyDescent="0.25">
      <c r="B7831">
        <v>0</v>
      </c>
      <c r="C7831" s="16" t="s">
        <v>16932</v>
      </c>
      <c r="D7831" s="16"/>
      <c r="E7831">
        <v>6</v>
      </c>
      <c r="F7831" t="s">
        <v>8056</v>
      </c>
      <c r="G7831">
        <v>1</v>
      </c>
      <c r="H7831">
        <v>1</v>
      </c>
      <c r="I7831">
        <f>1</f>
        <v>1</v>
      </c>
    </row>
    <row r="7832" spans="2:9" x14ac:dyDescent="0.25">
      <c r="B7832">
        <v>0</v>
      </c>
      <c r="C7832" s="16" t="s">
        <v>16933</v>
      </c>
      <c r="D7832" s="16"/>
      <c r="E7832">
        <v>6</v>
      </c>
      <c r="F7832" t="s">
        <v>4690</v>
      </c>
      <c r="G7832">
        <v>1</v>
      </c>
      <c r="H7832">
        <v>1</v>
      </c>
      <c r="I7832">
        <f>1</f>
        <v>1</v>
      </c>
    </row>
    <row r="7833" spans="2:9" x14ac:dyDescent="0.25">
      <c r="B7833">
        <v>0</v>
      </c>
      <c r="C7833" s="16" t="s">
        <v>16933</v>
      </c>
      <c r="D7833" s="16" t="s">
        <v>19430</v>
      </c>
      <c r="E7833">
        <v>6</v>
      </c>
      <c r="F7833" t="s">
        <v>8057</v>
      </c>
      <c r="G7833">
        <v>1</v>
      </c>
      <c r="H7833">
        <v>1</v>
      </c>
      <c r="I7833">
        <f>1</f>
        <v>1</v>
      </c>
    </row>
    <row r="7834" spans="2:9" x14ac:dyDescent="0.25">
      <c r="B7834">
        <v>0</v>
      </c>
      <c r="C7834" s="16" t="s">
        <v>16934</v>
      </c>
      <c r="D7834" s="16"/>
      <c r="E7834">
        <v>6</v>
      </c>
      <c r="F7834" t="e">
        <f>--De Elevadores De líquidos</f>
        <v>#NAME?</v>
      </c>
      <c r="G7834">
        <v>1</v>
      </c>
      <c r="H7834">
        <v>1</v>
      </c>
      <c r="I7834">
        <f>1</f>
        <v>1</v>
      </c>
    </row>
    <row r="7835" spans="2:9" x14ac:dyDescent="0.25">
      <c r="B7835">
        <v>0</v>
      </c>
      <c r="C7835" s="16" t="s">
        <v>16935</v>
      </c>
      <c r="D7835" s="16"/>
      <c r="E7835">
        <v>6</v>
      </c>
      <c r="F7835" t="e">
        <f>-Bombas De vácuo</f>
        <v>#NAME?</v>
      </c>
      <c r="G7835">
        <v>1</v>
      </c>
      <c r="H7835">
        <v>1</v>
      </c>
      <c r="I7835">
        <f>1</f>
        <v>1</v>
      </c>
    </row>
    <row r="7836" spans="2:9" x14ac:dyDescent="0.25">
      <c r="B7836">
        <v>0</v>
      </c>
      <c r="C7836" s="16" t="s">
        <v>16936</v>
      </c>
      <c r="D7836" s="16"/>
      <c r="E7836">
        <v>6</v>
      </c>
      <c r="F7836" t="s">
        <v>8058</v>
      </c>
      <c r="G7836">
        <v>1</v>
      </c>
      <c r="H7836">
        <v>1</v>
      </c>
      <c r="I7836">
        <f>1</f>
        <v>1</v>
      </c>
    </row>
    <row r="7837" spans="2:9" x14ac:dyDescent="0.25">
      <c r="B7837">
        <v>0</v>
      </c>
      <c r="C7837" s="16" t="s">
        <v>16937</v>
      </c>
      <c r="D7837" s="16"/>
      <c r="E7837">
        <v>6</v>
      </c>
      <c r="F7837" t="s">
        <v>8059</v>
      </c>
      <c r="G7837">
        <v>1</v>
      </c>
      <c r="H7837">
        <v>1</v>
      </c>
      <c r="I7837">
        <f>1</f>
        <v>1</v>
      </c>
    </row>
    <row r="7838" spans="2:9" x14ac:dyDescent="0.25">
      <c r="B7838">
        <v>0</v>
      </c>
      <c r="C7838" s="16" t="s">
        <v>16938</v>
      </c>
      <c r="D7838" s="16"/>
      <c r="E7838">
        <v>6</v>
      </c>
      <c r="F7838" t="s">
        <v>4680</v>
      </c>
      <c r="G7838">
        <v>1</v>
      </c>
      <c r="H7838">
        <v>1</v>
      </c>
      <c r="I7838">
        <f>1</f>
        <v>1</v>
      </c>
    </row>
    <row r="7839" spans="2:9" x14ac:dyDescent="0.25">
      <c r="B7839">
        <v>0</v>
      </c>
      <c r="C7839" s="16" t="s">
        <v>16939</v>
      </c>
      <c r="D7839" s="16"/>
      <c r="E7839">
        <v>6</v>
      </c>
      <c r="F7839" t="s">
        <v>8060</v>
      </c>
      <c r="G7839">
        <v>1</v>
      </c>
      <c r="H7839">
        <v>1</v>
      </c>
      <c r="I7839">
        <f>1</f>
        <v>1</v>
      </c>
    </row>
    <row r="7840" spans="2:9" x14ac:dyDescent="0.25">
      <c r="B7840">
        <v>0</v>
      </c>
      <c r="C7840" s="16" t="s">
        <v>16940</v>
      </c>
      <c r="D7840" s="16"/>
      <c r="E7840">
        <v>6</v>
      </c>
      <c r="F7840" t="s">
        <v>4680</v>
      </c>
      <c r="G7840">
        <v>1</v>
      </c>
      <c r="H7840">
        <v>1</v>
      </c>
      <c r="I7840">
        <f>1</f>
        <v>1</v>
      </c>
    </row>
    <row r="7841" spans="2:9" x14ac:dyDescent="0.25">
      <c r="B7841">
        <v>0</v>
      </c>
      <c r="C7841" s="16" t="s">
        <v>16941</v>
      </c>
      <c r="D7841" s="16"/>
      <c r="E7841">
        <v>6</v>
      </c>
      <c r="F7841" t="s">
        <v>8061</v>
      </c>
      <c r="G7841">
        <v>1</v>
      </c>
      <c r="H7841">
        <v>1</v>
      </c>
      <c r="I7841">
        <f>1</f>
        <v>1</v>
      </c>
    </row>
    <row r="7842" spans="2:9" x14ac:dyDescent="0.25">
      <c r="B7842">
        <v>0</v>
      </c>
      <c r="C7842" s="16" t="s">
        <v>16942</v>
      </c>
      <c r="D7842" s="16"/>
      <c r="E7842">
        <v>6</v>
      </c>
      <c r="F7842" t="s">
        <v>8062</v>
      </c>
      <c r="G7842">
        <v>1</v>
      </c>
      <c r="H7842">
        <v>1</v>
      </c>
      <c r="I7842">
        <f>1</f>
        <v>1</v>
      </c>
    </row>
    <row r="7843" spans="2:9" x14ac:dyDescent="0.25">
      <c r="B7843">
        <v>0</v>
      </c>
      <c r="C7843" s="16" t="s">
        <v>16943</v>
      </c>
      <c r="D7843" s="16"/>
      <c r="E7843">
        <v>6</v>
      </c>
      <c r="F7843" t="s">
        <v>4680</v>
      </c>
      <c r="G7843">
        <v>1</v>
      </c>
      <c r="H7843">
        <v>1</v>
      </c>
      <c r="I7843">
        <f>1</f>
        <v>1</v>
      </c>
    </row>
    <row r="7844" spans="2:9" x14ac:dyDescent="0.25">
      <c r="B7844">
        <v>0</v>
      </c>
      <c r="C7844" s="16" t="s">
        <v>16944</v>
      </c>
      <c r="D7844" s="16"/>
      <c r="E7844">
        <v>6</v>
      </c>
      <c r="F7844" t="s">
        <v>8063</v>
      </c>
      <c r="G7844">
        <v>1</v>
      </c>
      <c r="H7844">
        <v>1</v>
      </c>
      <c r="I7844">
        <f>1</f>
        <v>1</v>
      </c>
    </row>
    <row r="7845" spans="2:9" x14ac:dyDescent="0.25">
      <c r="B7845">
        <v>0</v>
      </c>
      <c r="C7845" s="16" t="s">
        <v>16945</v>
      </c>
      <c r="D7845" s="16"/>
      <c r="E7845">
        <v>6</v>
      </c>
      <c r="F7845" t="s">
        <v>8064</v>
      </c>
      <c r="G7845">
        <v>1</v>
      </c>
      <c r="H7845">
        <v>1</v>
      </c>
      <c r="I7845">
        <f>1</f>
        <v>1</v>
      </c>
    </row>
    <row r="7846" spans="2:9" x14ac:dyDescent="0.25">
      <c r="B7846">
        <v>0</v>
      </c>
      <c r="C7846" s="16" t="s">
        <v>16946</v>
      </c>
      <c r="D7846" s="16"/>
      <c r="E7846">
        <v>6</v>
      </c>
      <c r="F7846" t="s">
        <v>4680</v>
      </c>
      <c r="G7846">
        <v>1</v>
      </c>
      <c r="H7846">
        <v>1</v>
      </c>
      <c r="I7846">
        <f>1</f>
        <v>1</v>
      </c>
    </row>
    <row r="7847" spans="2:9" x14ac:dyDescent="0.25">
      <c r="B7847">
        <v>0</v>
      </c>
      <c r="C7847" s="16" t="s">
        <v>16947</v>
      </c>
      <c r="D7847" s="16"/>
      <c r="E7847">
        <v>6</v>
      </c>
      <c r="F7847" t="s">
        <v>8065</v>
      </c>
      <c r="G7847">
        <v>1</v>
      </c>
      <c r="H7847">
        <v>1</v>
      </c>
      <c r="I7847">
        <f>1</f>
        <v>1</v>
      </c>
    </row>
    <row r="7848" spans="2:9" x14ac:dyDescent="0.25">
      <c r="B7848">
        <v>0</v>
      </c>
      <c r="C7848" s="16" t="s">
        <v>16948</v>
      </c>
      <c r="D7848" s="16"/>
      <c r="E7848">
        <v>6</v>
      </c>
      <c r="F7848" t="s">
        <v>4680</v>
      </c>
      <c r="G7848">
        <v>1</v>
      </c>
      <c r="H7848">
        <v>1</v>
      </c>
      <c r="I7848">
        <f>1</f>
        <v>1</v>
      </c>
    </row>
    <row r="7849" spans="2:9" x14ac:dyDescent="0.25">
      <c r="B7849">
        <v>0</v>
      </c>
      <c r="C7849" s="16" t="s">
        <v>16949</v>
      </c>
      <c r="D7849" s="16"/>
      <c r="E7849">
        <v>6</v>
      </c>
      <c r="F7849" t="s">
        <v>8066</v>
      </c>
      <c r="G7849">
        <v>1</v>
      </c>
      <c r="H7849">
        <v>1</v>
      </c>
      <c r="I7849">
        <f>1</f>
        <v>1</v>
      </c>
    </row>
    <row r="7850" spans="2:9" x14ac:dyDescent="0.25">
      <c r="B7850">
        <v>0</v>
      </c>
      <c r="C7850" s="16" t="s">
        <v>16949</v>
      </c>
      <c r="D7850" s="16" t="s">
        <v>19430</v>
      </c>
      <c r="E7850">
        <v>6</v>
      </c>
      <c r="F7850" t="s">
        <v>8067</v>
      </c>
      <c r="G7850">
        <v>1</v>
      </c>
      <c r="H7850">
        <v>1</v>
      </c>
      <c r="I7850">
        <f>1</f>
        <v>1</v>
      </c>
    </row>
    <row r="7851" spans="2:9" x14ac:dyDescent="0.25">
      <c r="B7851">
        <v>0</v>
      </c>
      <c r="C7851" s="16" t="s">
        <v>16950</v>
      </c>
      <c r="D7851" s="16"/>
      <c r="E7851">
        <v>6</v>
      </c>
      <c r="F7851" t="s">
        <v>8068</v>
      </c>
      <c r="G7851">
        <v>1</v>
      </c>
      <c r="H7851">
        <v>1</v>
      </c>
      <c r="I7851">
        <f>1</f>
        <v>1</v>
      </c>
    </row>
    <row r="7852" spans="2:9" x14ac:dyDescent="0.25">
      <c r="B7852">
        <v>0</v>
      </c>
      <c r="C7852" s="16" t="s">
        <v>16951</v>
      </c>
      <c r="D7852" s="16"/>
      <c r="E7852">
        <v>6</v>
      </c>
      <c r="F7852" t="s">
        <v>8062</v>
      </c>
      <c r="G7852">
        <v>1</v>
      </c>
      <c r="H7852">
        <v>1</v>
      </c>
      <c r="I7852">
        <f>1</f>
        <v>1</v>
      </c>
    </row>
    <row r="7853" spans="2:9" x14ac:dyDescent="0.25">
      <c r="B7853">
        <v>0</v>
      </c>
      <c r="C7853" s="16" t="s">
        <v>16952</v>
      </c>
      <c r="D7853" s="16"/>
      <c r="E7853">
        <v>6</v>
      </c>
      <c r="F7853" t="s">
        <v>8069</v>
      </c>
      <c r="G7853">
        <v>1</v>
      </c>
      <c r="H7853">
        <v>1</v>
      </c>
      <c r="I7853">
        <f>1</f>
        <v>1</v>
      </c>
    </row>
    <row r="7854" spans="2:9" x14ac:dyDescent="0.25">
      <c r="B7854">
        <v>0</v>
      </c>
      <c r="C7854" s="16" t="s">
        <v>16953</v>
      </c>
      <c r="D7854" s="16"/>
      <c r="E7854">
        <v>6</v>
      </c>
      <c r="F7854" t="s">
        <v>4680</v>
      </c>
      <c r="G7854">
        <v>1</v>
      </c>
      <c r="H7854">
        <v>1</v>
      </c>
      <c r="I7854">
        <f>1</f>
        <v>1</v>
      </c>
    </row>
    <row r="7855" spans="2:9" x14ac:dyDescent="0.25">
      <c r="B7855">
        <v>0</v>
      </c>
      <c r="C7855" s="16" t="s">
        <v>16954</v>
      </c>
      <c r="D7855" s="16"/>
      <c r="E7855">
        <v>6</v>
      </c>
      <c r="F7855" t="s">
        <v>8070</v>
      </c>
      <c r="G7855">
        <v>1</v>
      </c>
      <c r="H7855">
        <v>1</v>
      </c>
      <c r="I7855">
        <f>1</f>
        <v>1</v>
      </c>
    </row>
    <row r="7856" spans="2:9" x14ac:dyDescent="0.25">
      <c r="B7856">
        <v>0</v>
      </c>
      <c r="C7856" s="16" t="s">
        <v>16955</v>
      </c>
      <c r="D7856" s="16"/>
      <c r="E7856">
        <v>6</v>
      </c>
      <c r="F7856" t="s">
        <v>8071</v>
      </c>
      <c r="G7856">
        <v>1</v>
      </c>
      <c r="H7856">
        <v>1</v>
      </c>
      <c r="I7856">
        <f>1</f>
        <v>1</v>
      </c>
    </row>
    <row r="7857" spans="2:9" x14ac:dyDescent="0.25">
      <c r="B7857">
        <v>0</v>
      </c>
      <c r="C7857" s="16" t="s">
        <v>16956</v>
      </c>
      <c r="D7857" s="16"/>
      <c r="E7857">
        <v>6</v>
      </c>
      <c r="F7857" t="s">
        <v>4680</v>
      </c>
      <c r="G7857">
        <v>1</v>
      </c>
      <c r="H7857">
        <v>1</v>
      </c>
      <c r="I7857">
        <f>1</f>
        <v>1</v>
      </c>
    </row>
    <row r="7858" spans="2:9" x14ac:dyDescent="0.25">
      <c r="B7858">
        <v>0</v>
      </c>
      <c r="C7858" s="16" t="s">
        <v>16957</v>
      </c>
      <c r="D7858" s="16"/>
      <c r="E7858">
        <v>6</v>
      </c>
      <c r="F7858" t="s">
        <v>8072</v>
      </c>
      <c r="G7858">
        <v>1</v>
      </c>
      <c r="H7858">
        <v>1</v>
      </c>
      <c r="I7858">
        <f>1</f>
        <v>1</v>
      </c>
    </row>
    <row r="7859" spans="2:9" x14ac:dyDescent="0.25">
      <c r="B7859">
        <v>0</v>
      </c>
      <c r="C7859" s="16" t="s">
        <v>16958</v>
      </c>
      <c r="D7859" s="16"/>
      <c r="E7859">
        <v>6</v>
      </c>
      <c r="F7859" t="s">
        <v>8062</v>
      </c>
      <c r="G7859">
        <v>1</v>
      </c>
      <c r="H7859">
        <v>1</v>
      </c>
      <c r="I7859">
        <f>1</f>
        <v>1</v>
      </c>
    </row>
    <row r="7860" spans="2:9" x14ac:dyDescent="0.25">
      <c r="B7860">
        <v>0</v>
      </c>
      <c r="C7860" s="16" t="s">
        <v>16959</v>
      </c>
      <c r="D7860" s="16"/>
      <c r="E7860">
        <v>6</v>
      </c>
      <c r="F7860" t="s">
        <v>8073</v>
      </c>
      <c r="G7860">
        <v>1</v>
      </c>
      <c r="H7860">
        <v>1</v>
      </c>
      <c r="I7860">
        <f>1</f>
        <v>1</v>
      </c>
    </row>
    <row r="7861" spans="2:9" x14ac:dyDescent="0.25">
      <c r="B7861">
        <v>0</v>
      </c>
      <c r="C7861" s="16" t="s">
        <v>16960</v>
      </c>
      <c r="D7861" s="16"/>
      <c r="E7861">
        <v>6</v>
      </c>
      <c r="F7861" t="s">
        <v>8074</v>
      </c>
      <c r="G7861">
        <v>1</v>
      </c>
      <c r="H7861">
        <v>1</v>
      </c>
      <c r="I7861">
        <f>1</f>
        <v>1</v>
      </c>
    </row>
    <row r="7862" spans="2:9" x14ac:dyDescent="0.25">
      <c r="B7862">
        <v>0</v>
      </c>
      <c r="C7862" s="16" t="s">
        <v>16961</v>
      </c>
      <c r="D7862" s="16"/>
      <c r="E7862">
        <v>6</v>
      </c>
      <c r="F7862" t="s">
        <v>4680</v>
      </c>
      <c r="G7862">
        <v>1</v>
      </c>
      <c r="H7862">
        <v>1</v>
      </c>
      <c r="I7862">
        <f>1</f>
        <v>1</v>
      </c>
    </row>
    <row r="7863" spans="2:9" x14ac:dyDescent="0.25">
      <c r="B7863">
        <v>0</v>
      </c>
      <c r="C7863" s="16" t="s">
        <v>16962</v>
      </c>
      <c r="D7863" s="16"/>
      <c r="E7863">
        <v>6</v>
      </c>
      <c r="F7863" t="s">
        <v>4680</v>
      </c>
      <c r="G7863">
        <v>1</v>
      </c>
      <c r="H7863">
        <v>1</v>
      </c>
      <c r="I7863">
        <f>1</f>
        <v>1</v>
      </c>
    </row>
    <row r="7864" spans="2:9" x14ac:dyDescent="0.25">
      <c r="B7864">
        <v>0</v>
      </c>
      <c r="C7864" s="16" t="s">
        <v>16963</v>
      </c>
      <c r="D7864" s="16"/>
      <c r="E7864">
        <v>6</v>
      </c>
      <c r="F7864" t="s">
        <v>8075</v>
      </c>
      <c r="G7864">
        <v>1</v>
      </c>
      <c r="H7864">
        <v>1</v>
      </c>
      <c r="I7864">
        <f>1</f>
        <v>1</v>
      </c>
    </row>
    <row r="7865" spans="2:9" x14ac:dyDescent="0.25">
      <c r="B7865">
        <v>0</v>
      </c>
      <c r="C7865" s="16" t="s">
        <v>16964</v>
      </c>
      <c r="D7865" s="16"/>
      <c r="E7865">
        <v>6</v>
      </c>
      <c r="F7865" t="s">
        <v>8076</v>
      </c>
      <c r="G7865">
        <v>1</v>
      </c>
      <c r="H7865">
        <v>1</v>
      </c>
      <c r="I7865">
        <f>1</f>
        <v>1</v>
      </c>
    </row>
    <row r="7866" spans="2:9" x14ac:dyDescent="0.25">
      <c r="B7866">
        <v>0</v>
      </c>
      <c r="C7866" s="16" t="s">
        <v>16965</v>
      </c>
      <c r="D7866" s="16"/>
      <c r="E7866">
        <v>6</v>
      </c>
      <c r="F7866" t="s">
        <v>8020</v>
      </c>
      <c r="G7866">
        <v>1</v>
      </c>
      <c r="H7866">
        <v>1</v>
      </c>
      <c r="I7866">
        <f>1</f>
        <v>1</v>
      </c>
    </row>
    <row r="7867" spans="2:9" x14ac:dyDescent="0.25">
      <c r="B7867">
        <v>0</v>
      </c>
      <c r="C7867" s="16" t="s">
        <v>16966</v>
      </c>
      <c r="D7867" s="16"/>
      <c r="E7867">
        <v>6</v>
      </c>
      <c r="F7867" t="s">
        <v>8017</v>
      </c>
      <c r="G7867">
        <v>1</v>
      </c>
      <c r="H7867">
        <v>1</v>
      </c>
      <c r="I7867">
        <f>1</f>
        <v>1</v>
      </c>
    </row>
    <row r="7868" spans="2:9" x14ac:dyDescent="0.25">
      <c r="B7868">
        <v>0</v>
      </c>
      <c r="C7868" s="16" t="s">
        <v>16967</v>
      </c>
      <c r="D7868" s="16"/>
      <c r="E7868">
        <v>6</v>
      </c>
      <c r="F7868" t="s">
        <v>8013</v>
      </c>
      <c r="G7868">
        <v>1</v>
      </c>
      <c r="H7868">
        <v>1</v>
      </c>
      <c r="I7868">
        <f>1</f>
        <v>1</v>
      </c>
    </row>
    <row r="7869" spans="2:9" x14ac:dyDescent="0.25">
      <c r="B7869">
        <v>0</v>
      </c>
      <c r="C7869" s="16" t="s">
        <v>16968</v>
      </c>
      <c r="D7869" s="16"/>
      <c r="E7869">
        <v>6</v>
      </c>
      <c r="F7869" t="s">
        <v>8077</v>
      </c>
      <c r="G7869">
        <v>1</v>
      </c>
      <c r="H7869">
        <v>1</v>
      </c>
      <c r="I7869">
        <f>1</f>
        <v>1</v>
      </c>
    </row>
    <row r="7870" spans="2:9" x14ac:dyDescent="0.25">
      <c r="B7870">
        <v>0</v>
      </c>
      <c r="C7870" s="16" t="s">
        <v>16969</v>
      </c>
      <c r="D7870" s="16"/>
      <c r="E7870">
        <v>6</v>
      </c>
      <c r="F7870" t="s">
        <v>4690</v>
      </c>
      <c r="G7870">
        <v>1</v>
      </c>
      <c r="H7870">
        <v>1</v>
      </c>
      <c r="I7870">
        <f>1</f>
        <v>1</v>
      </c>
    </row>
    <row r="7871" spans="2:9" x14ac:dyDescent="0.25">
      <c r="B7871">
        <v>0</v>
      </c>
      <c r="C7871" s="16" t="s">
        <v>16970</v>
      </c>
      <c r="D7871" s="16"/>
      <c r="E7871">
        <v>6</v>
      </c>
      <c r="F7871" t="s">
        <v>8078</v>
      </c>
      <c r="G7871">
        <v>1</v>
      </c>
      <c r="H7871">
        <v>1</v>
      </c>
      <c r="I7871">
        <f>1</f>
        <v>1</v>
      </c>
    </row>
    <row r="7872" spans="2:9" x14ac:dyDescent="0.25">
      <c r="B7872">
        <v>0</v>
      </c>
      <c r="C7872" s="16" t="s">
        <v>16970</v>
      </c>
      <c r="D7872" s="16" t="s">
        <v>19430</v>
      </c>
      <c r="E7872">
        <v>6</v>
      </c>
      <c r="F7872" t="s">
        <v>8079</v>
      </c>
      <c r="G7872">
        <v>1</v>
      </c>
      <c r="H7872">
        <v>1</v>
      </c>
      <c r="I7872">
        <f>1</f>
        <v>1</v>
      </c>
    </row>
    <row r="7873" spans="2:9" x14ac:dyDescent="0.25">
      <c r="B7873">
        <v>0</v>
      </c>
      <c r="C7873" s="16" t="s">
        <v>16971</v>
      </c>
      <c r="D7873" s="16"/>
      <c r="E7873">
        <v>6</v>
      </c>
      <c r="F7873" t="s">
        <v>4680</v>
      </c>
      <c r="G7873">
        <v>1</v>
      </c>
      <c r="H7873">
        <v>1</v>
      </c>
      <c r="I7873">
        <f>1</f>
        <v>1</v>
      </c>
    </row>
    <row r="7874" spans="2:9" x14ac:dyDescent="0.25">
      <c r="B7874">
        <v>0</v>
      </c>
      <c r="C7874" s="16" t="s">
        <v>16972</v>
      </c>
      <c r="D7874" s="16"/>
      <c r="E7874">
        <v>6</v>
      </c>
      <c r="F7874" t="s">
        <v>4680</v>
      </c>
      <c r="G7874">
        <v>1</v>
      </c>
      <c r="H7874">
        <v>1</v>
      </c>
      <c r="I7874">
        <f>1</f>
        <v>1</v>
      </c>
    </row>
    <row r="7875" spans="2:9" x14ac:dyDescent="0.25">
      <c r="B7875">
        <v>0</v>
      </c>
      <c r="C7875" s="16" t="s">
        <v>16973</v>
      </c>
      <c r="D7875" s="16"/>
      <c r="E7875">
        <v>6</v>
      </c>
      <c r="F7875" t="s">
        <v>8080</v>
      </c>
      <c r="G7875">
        <v>1</v>
      </c>
      <c r="H7875">
        <v>1</v>
      </c>
      <c r="I7875">
        <f>1</f>
        <v>1</v>
      </c>
    </row>
    <row r="7876" spans="2:9" x14ac:dyDescent="0.25">
      <c r="B7876">
        <v>0</v>
      </c>
      <c r="C7876" s="16" t="s">
        <v>16974</v>
      </c>
      <c r="D7876" s="16"/>
      <c r="E7876">
        <v>6</v>
      </c>
      <c r="F7876" t="s">
        <v>4680</v>
      </c>
      <c r="G7876">
        <v>1</v>
      </c>
      <c r="H7876">
        <v>1</v>
      </c>
      <c r="I7876">
        <f>1</f>
        <v>1</v>
      </c>
    </row>
    <row r="7877" spans="2:9" x14ac:dyDescent="0.25">
      <c r="B7877">
        <v>0</v>
      </c>
      <c r="C7877" s="16" t="s">
        <v>16975</v>
      </c>
      <c r="D7877" s="16"/>
      <c r="E7877">
        <v>6</v>
      </c>
      <c r="F7877" t="s">
        <v>8080</v>
      </c>
      <c r="G7877">
        <v>1</v>
      </c>
      <c r="H7877">
        <v>1</v>
      </c>
      <c r="I7877">
        <f>1</f>
        <v>1</v>
      </c>
    </row>
    <row r="7878" spans="2:9" x14ac:dyDescent="0.25">
      <c r="B7878">
        <v>0</v>
      </c>
      <c r="C7878" s="16" t="s">
        <v>16976</v>
      </c>
      <c r="D7878" s="16"/>
      <c r="E7878">
        <v>6</v>
      </c>
      <c r="F7878" t="s">
        <v>4680</v>
      </c>
      <c r="G7878">
        <v>1</v>
      </c>
      <c r="H7878">
        <v>1</v>
      </c>
      <c r="I7878">
        <f>1</f>
        <v>1</v>
      </c>
    </row>
    <row r="7879" spans="2:9" x14ac:dyDescent="0.25">
      <c r="B7879">
        <v>0</v>
      </c>
      <c r="C7879" s="16" t="s">
        <v>16977</v>
      </c>
      <c r="D7879" s="16"/>
      <c r="E7879">
        <v>6</v>
      </c>
      <c r="F7879" t="s">
        <v>8080</v>
      </c>
      <c r="G7879">
        <v>1</v>
      </c>
      <c r="H7879">
        <v>1</v>
      </c>
      <c r="I7879">
        <f>1</f>
        <v>1</v>
      </c>
    </row>
    <row r="7880" spans="2:9" x14ac:dyDescent="0.25">
      <c r="B7880">
        <v>0</v>
      </c>
      <c r="C7880" s="16" t="s">
        <v>16978</v>
      </c>
      <c r="D7880" s="16"/>
      <c r="E7880">
        <v>6</v>
      </c>
      <c r="F7880" t="s">
        <v>4680</v>
      </c>
      <c r="G7880">
        <v>1</v>
      </c>
      <c r="H7880">
        <v>1</v>
      </c>
      <c r="I7880">
        <f>1</f>
        <v>1</v>
      </c>
    </row>
    <row r="7881" spans="2:9" x14ac:dyDescent="0.25">
      <c r="B7881">
        <v>0</v>
      </c>
      <c r="C7881" s="16" t="s">
        <v>16979</v>
      </c>
      <c r="D7881" s="16"/>
      <c r="E7881">
        <v>6</v>
      </c>
      <c r="F7881" t="e">
        <f>--Sem dispositivo De refrigeração</f>
        <v>#NAME?</v>
      </c>
      <c r="G7881">
        <v>1</v>
      </c>
      <c r="H7881">
        <v>1</v>
      </c>
      <c r="I7881">
        <f>1</f>
        <v>1</v>
      </c>
    </row>
    <row r="7882" spans="2:9" x14ac:dyDescent="0.25">
      <c r="B7882">
        <v>0</v>
      </c>
      <c r="C7882" s="16" t="s">
        <v>16980</v>
      </c>
      <c r="D7882" s="16"/>
      <c r="E7882">
        <v>6</v>
      </c>
      <c r="F7882" t="s">
        <v>8081</v>
      </c>
      <c r="G7882">
        <v>1</v>
      </c>
      <c r="H7882">
        <v>1</v>
      </c>
      <c r="I7882">
        <f>1</f>
        <v>1</v>
      </c>
    </row>
    <row r="7883" spans="2:9" x14ac:dyDescent="0.25">
      <c r="B7883">
        <v>0</v>
      </c>
      <c r="C7883" s="16" t="s">
        <v>16980</v>
      </c>
      <c r="D7883" s="16" t="s">
        <v>19430</v>
      </c>
      <c r="E7883">
        <v>6</v>
      </c>
      <c r="F7883" t="s">
        <v>8079</v>
      </c>
      <c r="G7883">
        <v>1</v>
      </c>
      <c r="H7883">
        <v>1</v>
      </c>
      <c r="I7883">
        <f>1</f>
        <v>1</v>
      </c>
    </row>
    <row r="7884" spans="2:9" x14ac:dyDescent="0.25">
      <c r="B7884">
        <v>0</v>
      </c>
      <c r="C7884" s="16" t="s">
        <v>16981</v>
      </c>
      <c r="D7884" s="16"/>
      <c r="E7884">
        <v>6</v>
      </c>
      <c r="F7884" t="s">
        <v>8082</v>
      </c>
      <c r="G7884">
        <v>1</v>
      </c>
      <c r="H7884">
        <v>1</v>
      </c>
      <c r="I7884">
        <f>1</f>
        <v>1</v>
      </c>
    </row>
    <row r="7885" spans="2:9" x14ac:dyDescent="0.25">
      <c r="B7885">
        <v>0</v>
      </c>
      <c r="C7885" s="16" t="s">
        <v>16981</v>
      </c>
      <c r="D7885" s="16" t="s">
        <v>19430</v>
      </c>
      <c r="E7885">
        <v>6</v>
      </c>
      <c r="F7885" t="s">
        <v>8079</v>
      </c>
      <c r="G7885">
        <v>1</v>
      </c>
      <c r="H7885">
        <v>1</v>
      </c>
      <c r="I7885">
        <f>1</f>
        <v>1</v>
      </c>
    </row>
    <row r="7886" spans="2:9" x14ac:dyDescent="0.25">
      <c r="B7886">
        <v>0</v>
      </c>
      <c r="C7886" s="16" t="s">
        <v>16982</v>
      </c>
      <c r="D7886" s="16"/>
      <c r="E7886">
        <v>6</v>
      </c>
      <c r="F7886" t="s">
        <v>4690</v>
      </c>
      <c r="G7886">
        <v>1</v>
      </c>
      <c r="H7886">
        <v>1</v>
      </c>
      <c r="I7886">
        <f>1</f>
        <v>1</v>
      </c>
    </row>
    <row r="7887" spans="2:9" x14ac:dyDescent="0.25">
      <c r="B7887">
        <v>0</v>
      </c>
      <c r="C7887" s="16" t="s">
        <v>16983</v>
      </c>
      <c r="D7887" s="16"/>
      <c r="E7887">
        <v>6</v>
      </c>
      <c r="F7887" t="e">
        <f>-Queimadores De combustíveis líquidos</f>
        <v>#NAME?</v>
      </c>
      <c r="G7887">
        <v>1</v>
      </c>
      <c r="H7887">
        <v>1</v>
      </c>
      <c r="I7887">
        <f>1</f>
        <v>1</v>
      </c>
    </row>
    <row r="7888" spans="2:9" x14ac:dyDescent="0.25">
      <c r="B7888">
        <v>0</v>
      </c>
      <c r="C7888" s="16" t="s">
        <v>16984</v>
      </c>
      <c r="D7888" s="16"/>
      <c r="E7888">
        <v>6</v>
      </c>
      <c r="F7888" t="s">
        <v>8083</v>
      </c>
      <c r="G7888">
        <v>1</v>
      </c>
      <c r="H7888">
        <v>1</v>
      </c>
      <c r="I7888">
        <f>1</f>
        <v>1</v>
      </c>
    </row>
    <row r="7889" spans="2:9" x14ac:dyDescent="0.25">
      <c r="B7889">
        <v>0</v>
      </c>
      <c r="C7889" s="16" t="s">
        <v>16985</v>
      </c>
      <c r="D7889" s="16"/>
      <c r="E7889">
        <v>6</v>
      </c>
      <c r="F7889" t="s">
        <v>4680</v>
      </c>
      <c r="G7889">
        <v>1</v>
      </c>
      <c r="H7889">
        <v>1</v>
      </c>
      <c r="I7889">
        <f>1</f>
        <v>1</v>
      </c>
    </row>
    <row r="7890" spans="2:9" x14ac:dyDescent="0.25">
      <c r="B7890">
        <v>0</v>
      </c>
      <c r="C7890" s="16" t="s">
        <v>16986</v>
      </c>
      <c r="D7890" s="16"/>
      <c r="E7890">
        <v>6</v>
      </c>
      <c r="F7890" t="s">
        <v>8084</v>
      </c>
      <c r="G7890">
        <v>1</v>
      </c>
      <c r="H7890">
        <v>1</v>
      </c>
      <c r="I7890">
        <f>1</f>
        <v>1</v>
      </c>
    </row>
    <row r="7891" spans="2:9" x14ac:dyDescent="0.25">
      <c r="B7891">
        <v>0</v>
      </c>
      <c r="C7891" s="16" t="s">
        <v>16987</v>
      </c>
      <c r="D7891" s="16"/>
      <c r="E7891">
        <v>6</v>
      </c>
      <c r="F7891" t="e">
        <f>-Partes</f>
        <v>#NAME?</v>
      </c>
      <c r="G7891">
        <v>1</v>
      </c>
      <c r="H7891">
        <v>1</v>
      </c>
      <c r="I7891">
        <f>1</f>
        <v>1</v>
      </c>
    </row>
    <row r="7892" spans="2:9" x14ac:dyDescent="0.25">
      <c r="B7892">
        <v>0</v>
      </c>
      <c r="C7892" s="16" t="s">
        <v>16988</v>
      </c>
      <c r="D7892" s="16"/>
      <c r="E7892">
        <v>6</v>
      </c>
      <c r="F7892" t="s">
        <v>8085</v>
      </c>
      <c r="G7892">
        <v>1</v>
      </c>
      <c r="H7892">
        <v>1</v>
      </c>
      <c r="I7892">
        <f>1</f>
        <v>1</v>
      </c>
    </row>
    <row r="7893" spans="2:9" x14ac:dyDescent="0.25">
      <c r="B7893">
        <v>0</v>
      </c>
      <c r="C7893" s="16" t="s">
        <v>16989</v>
      </c>
      <c r="D7893" s="16"/>
      <c r="E7893">
        <v>6</v>
      </c>
      <c r="F7893" t="s">
        <v>8086</v>
      </c>
      <c r="G7893">
        <v>1</v>
      </c>
      <c r="H7893">
        <v>1</v>
      </c>
      <c r="I7893">
        <f>1</f>
        <v>1</v>
      </c>
    </row>
    <row r="7894" spans="2:9" x14ac:dyDescent="0.25">
      <c r="B7894">
        <v>0</v>
      </c>
      <c r="C7894" s="16" t="s">
        <v>16990</v>
      </c>
      <c r="D7894" s="16"/>
      <c r="E7894">
        <v>6</v>
      </c>
      <c r="F7894" t="s">
        <v>4680</v>
      </c>
      <c r="G7894">
        <v>1</v>
      </c>
      <c r="H7894">
        <v>1</v>
      </c>
      <c r="I7894">
        <f>1</f>
        <v>1</v>
      </c>
    </row>
    <row r="7895" spans="2:9" x14ac:dyDescent="0.25">
      <c r="B7895">
        <v>0</v>
      </c>
      <c r="C7895" s="16" t="s">
        <v>16991</v>
      </c>
      <c r="D7895" s="16"/>
      <c r="E7895">
        <v>6</v>
      </c>
      <c r="F7895" t="s">
        <v>8087</v>
      </c>
      <c r="G7895">
        <v>1</v>
      </c>
      <c r="H7895">
        <v>1</v>
      </c>
      <c r="I7895">
        <f>1</f>
        <v>1</v>
      </c>
    </row>
    <row r="7896" spans="2:9" x14ac:dyDescent="0.25">
      <c r="B7896">
        <v>0</v>
      </c>
      <c r="C7896" s="16" t="s">
        <v>16992</v>
      </c>
      <c r="D7896" s="16"/>
      <c r="E7896">
        <v>6</v>
      </c>
      <c r="F7896" t="s">
        <v>8088</v>
      </c>
      <c r="G7896">
        <v>1</v>
      </c>
      <c r="H7896">
        <v>1</v>
      </c>
      <c r="I7896">
        <f>1</f>
        <v>1</v>
      </c>
    </row>
    <row r="7897" spans="2:9" x14ac:dyDescent="0.25">
      <c r="B7897">
        <v>0</v>
      </c>
      <c r="C7897" s="16" t="s">
        <v>16993</v>
      </c>
      <c r="D7897" s="16"/>
      <c r="E7897">
        <v>6</v>
      </c>
      <c r="F7897" t="s">
        <v>8089</v>
      </c>
      <c r="G7897">
        <v>1</v>
      </c>
      <c r="H7897">
        <v>1</v>
      </c>
      <c r="I7897">
        <f>1</f>
        <v>1</v>
      </c>
    </row>
    <row r="7898" spans="2:9" x14ac:dyDescent="0.25">
      <c r="B7898">
        <v>0</v>
      </c>
      <c r="C7898" s="16" t="s">
        <v>16994</v>
      </c>
      <c r="D7898" s="16"/>
      <c r="E7898">
        <v>6</v>
      </c>
      <c r="F7898" t="s">
        <v>4680</v>
      </c>
      <c r="G7898">
        <v>1</v>
      </c>
      <c r="H7898">
        <v>1</v>
      </c>
      <c r="I7898">
        <f>1</f>
        <v>1</v>
      </c>
    </row>
    <row r="7899" spans="2:9" x14ac:dyDescent="0.25">
      <c r="B7899">
        <v>0</v>
      </c>
      <c r="C7899" s="16" t="s">
        <v>16995</v>
      </c>
      <c r="D7899" s="16"/>
      <c r="E7899">
        <v>6</v>
      </c>
      <c r="F7899" t="e">
        <f>-Partes</f>
        <v>#NAME?</v>
      </c>
      <c r="G7899">
        <v>1</v>
      </c>
      <c r="H7899">
        <v>1</v>
      </c>
      <c r="I7899">
        <f>1</f>
        <v>1</v>
      </c>
    </row>
    <row r="7900" spans="2:9" x14ac:dyDescent="0.25">
      <c r="B7900">
        <v>0</v>
      </c>
      <c r="C7900" s="16" t="s">
        <v>16996</v>
      </c>
      <c r="D7900" s="16"/>
      <c r="E7900">
        <v>6</v>
      </c>
      <c r="F7900" t="s">
        <v>8090</v>
      </c>
      <c r="G7900">
        <v>1</v>
      </c>
      <c r="H7900">
        <v>1</v>
      </c>
      <c r="I7900">
        <f>1</f>
        <v>1</v>
      </c>
    </row>
    <row r="7901" spans="2:9" x14ac:dyDescent="0.25">
      <c r="B7901">
        <v>0</v>
      </c>
      <c r="C7901" s="16" t="s">
        <v>16996</v>
      </c>
      <c r="D7901" s="16" t="s">
        <v>19430</v>
      </c>
      <c r="E7901">
        <v>6</v>
      </c>
      <c r="F7901" t="s">
        <v>8091</v>
      </c>
      <c r="G7901">
        <v>1</v>
      </c>
      <c r="H7901">
        <v>1</v>
      </c>
      <c r="I7901">
        <f>1</f>
        <v>1</v>
      </c>
    </row>
    <row r="7902" spans="2:9" x14ac:dyDescent="0.25">
      <c r="B7902">
        <v>0</v>
      </c>
      <c r="C7902" s="16" t="s">
        <v>16997</v>
      </c>
      <c r="D7902" s="16"/>
      <c r="E7902">
        <v>6</v>
      </c>
      <c r="F7902" t="e">
        <f>--De compressão</f>
        <v>#NAME?</v>
      </c>
      <c r="G7902">
        <v>1</v>
      </c>
      <c r="H7902">
        <v>1</v>
      </c>
      <c r="I7902">
        <f>1</f>
        <v>1</v>
      </c>
    </row>
    <row r="7903" spans="2:9" x14ac:dyDescent="0.25">
      <c r="B7903">
        <v>0</v>
      </c>
      <c r="C7903" s="16" t="s">
        <v>16998</v>
      </c>
      <c r="D7903" s="16"/>
      <c r="E7903">
        <v>6</v>
      </c>
      <c r="F7903" t="e">
        <f>--outros</f>
        <v>#NAME?</v>
      </c>
      <c r="G7903">
        <v>1</v>
      </c>
      <c r="H7903">
        <v>1</v>
      </c>
      <c r="I7903">
        <f>1</f>
        <v>1</v>
      </c>
    </row>
    <row r="7904" spans="2:9" x14ac:dyDescent="0.25">
      <c r="B7904">
        <v>0</v>
      </c>
      <c r="C7904" s="16" t="s">
        <v>16999</v>
      </c>
      <c r="D7904" s="16"/>
      <c r="E7904">
        <v>6</v>
      </c>
      <c r="F7904" t="s">
        <v>8092</v>
      </c>
      <c r="G7904">
        <v>1</v>
      </c>
      <c r="H7904">
        <v>1</v>
      </c>
      <c r="I7904">
        <f>1</f>
        <v>1</v>
      </c>
    </row>
    <row r="7905" spans="2:9" x14ac:dyDescent="0.25">
      <c r="B7905">
        <v>0</v>
      </c>
      <c r="C7905" s="16" t="s">
        <v>16999</v>
      </c>
      <c r="D7905" s="16" t="s">
        <v>19430</v>
      </c>
      <c r="E7905">
        <v>6</v>
      </c>
      <c r="F7905" t="s">
        <v>8093</v>
      </c>
      <c r="G7905">
        <v>1</v>
      </c>
      <c r="H7905">
        <v>1</v>
      </c>
      <c r="I7905">
        <f>1</f>
        <v>1</v>
      </c>
    </row>
    <row r="7906" spans="2:9" x14ac:dyDescent="0.25">
      <c r="B7906">
        <v>0</v>
      </c>
      <c r="C7906" s="16" t="s">
        <v>17000</v>
      </c>
      <c r="D7906" s="16"/>
      <c r="E7906">
        <v>6</v>
      </c>
      <c r="F7906" t="s">
        <v>8094</v>
      </c>
      <c r="G7906">
        <v>1</v>
      </c>
      <c r="H7906">
        <v>1</v>
      </c>
      <c r="I7906">
        <f>1</f>
        <v>1</v>
      </c>
    </row>
    <row r="7907" spans="2:9" x14ac:dyDescent="0.25">
      <c r="B7907">
        <v>0</v>
      </c>
      <c r="C7907" s="16" t="s">
        <v>17000</v>
      </c>
      <c r="D7907" s="16" t="s">
        <v>19430</v>
      </c>
      <c r="E7907">
        <v>6</v>
      </c>
      <c r="F7907" t="s">
        <v>8093</v>
      </c>
      <c r="G7907">
        <v>1</v>
      </c>
      <c r="H7907">
        <v>1</v>
      </c>
      <c r="I7907">
        <f>1</f>
        <v>1</v>
      </c>
    </row>
    <row r="7908" spans="2:9" x14ac:dyDescent="0.25">
      <c r="B7908">
        <v>0</v>
      </c>
      <c r="C7908" s="16" t="s">
        <v>17001</v>
      </c>
      <c r="D7908" s="16"/>
      <c r="E7908">
        <v>6</v>
      </c>
      <c r="F7908" t="s">
        <v>8095</v>
      </c>
      <c r="G7908">
        <v>1</v>
      </c>
      <c r="H7908">
        <v>1</v>
      </c>
      <c r="I7908">
        <f>1</f>
        <v>1</v>
      </c>
    </row>
    <row r="7909" spans="2:9" x14ac:dyDescent="0.25">
      <c r="B7909">
        <v>0</v>
      </c>
      <c r="C7909" s="16" t="s">
        <v>17002</v>
      </c>
      <c r="D7909" s="16"/>
      <c r="E7909">
        <v>6</v>
      </c>
      <c r="F7909" t="s">
        <v>4680</v>
      </c>
      <c r="G7909">
        <v>1</v>
      </c>
      <c r="H7909">
        <v>1</v>
      </c>
      <c r="I7909">
        <f>1</f>
        <v>1</v>
      </c>
    </row>
    <row r="7910" spans="2:9" x14ac:dyDescent="0.25">
      <c r="B7910">
        <v>0</v>
      </c>
      <c r="C7910" s="16" t="s">
        <v>17002</v>
      </c>
      <c r="D7910" s="16" t="s">
        <v>19430</v>
      </c>
      <c r="E7910">
        <v>6</v>
      </c>
      <c r="F7910" t="s">
        <v>8096</v>
      </c>
      <c r="G7910">
        <v>1</v>
      </c>
      <c r="H7910">
        <v>1</v>
      </c>
      <c r="I7910">
        <f>1</f>
        <v>1</v>
      </c>
    </row>
    <row r="7911" spans="2:9" x14ac:dyDescent="0.25">
      <c r="B7911">
        <v>0</v>
      </c>
      <c r="C7911" s="16" t="s">
        <v>17003</v>
      </c>
      <c r="D7911" s="16"/>
      <c r="E7911">
        <v>6</v>
      </c>
      <c r="F7911" t="s">
        <v>8097</v>
      </c>
      <c r="G7911">
        <v>1</v>
      </c>
      <c r="H7911">
        <v>1</v>
      </c>
      <c r="I7911">
        <f>1</f>
        <v>1</v>
      </c>
    </row>
    <row r="7912" spans="2:9" x14ac:dyDescent="0.25">
      <c r="B7912">
        <v>0</v>
      </c>
      <c r="C7912" s="16" t="s">
        <v>17004</v>
      </c>
      <c r="D7912" s="16"/>
      <c r="E7912">
        <v>6</v>
      </c>
      <c r="F7912" t="s">
        <v>8098</v>
      </c>
      <c r="G7912">
        <v>1</v>
      </c>
      <c r="H7912">
        <v>1</v>
      </c>
      <c r="I7912">
        <f>1</f>
        <v>1</v>
      </c>
    </row>
    <row r="7913" spans="2:9" x14ac:dyDescent="0.25">
      <c r="B7913">
        <v>0</v>
      </c>
      <c r="C7913" s="16" t="s">
        <v>17005</v>
      </c>
      <c r="D7913" s="16"/>
      <c r="E7913">
        <v>6</v>
      </c>
      <c r="F7913" t="s">
        <v>8099</v>
      </c>
      <c r="G7913">
        <v>1</v>
      </c>
      <c r="H7913">
        <v>1</v>
      </c>
      <c r="I7913">
        <f>1</f>
        <v>1</v>
      </c>
    </row>
    <row r="7914" spans="2:9" x14ac:dyDescent="0.25">
      <c r="B7914">
        <v>0</v>
      </c>
      <c r="C7914" s="16" t="s">
        <v>17006</v>
      </c>
      <c r="D7914" s="16"/>
      <c r="E7914">
        <v>6</v>
      </c>
      <c r="F7914" t="s">
        <v>8100</v>
      </c>
      <c r="G7914">
        <v>1</v>
      </c>
      <c r="H7914">
        <v>1</v>
      </c>
      <c r="I7914">
        <f>1</f>
        <v>1</v>
      </c>
    </row>
    <row r="7915" spans="2:9" x14ac:dyDescent="0.25">
      <c r="B7915">
        <v>0</v>
      </c>
      <c r="C7915" s="16" t="s">
        <v>17006</v>
      </c>
      <c r="D7915" s="16" t="s">
        <v>19430</v>
      </c>
      <c r="E7915">
        <v>6</v>
      </c>
      <c r="F7915" t="s">
        <v>8101</v>
      </c>
      <c r="G7915">
        <v>1</v>
      </c>
      <c r="H7915">
        <v>1</v>
      </c>
      <c r="I7915">
        <f>1</f>
        <v>1</v>
      </c>
    </row>
    <row r="7916" spans="2:9" x14ac:dyDescent="0.25">
      <c r="B7916">
        <v>0</v>
      </c>
      <c r="C7916" s="16" t="s">
        <v>17007</v>
      </c>
      <c r="D7916" s="16"/>
      <c r="E7916">
        <v>6</v>
      </c>
      <c r="F7916" t="s">
        <v>8102</v>
      </c>
      <c r="G7916">
        <v>1</v>
      </c>
      <c r="H7916">
        <v>1</v>
      </c>
      <c r="I7916">
        <f>1</f>
        <v>1</v>
      </c>
    </row>
    <row r="7917" spans="2:9" x14ac:dyDescent="0.25">
      <c r="B7917">
        <v>0</v>
      </c>
      <c r="C7917" s="16" t="s">
        <v>17008</v>
      </c>
      <c r="D7917" s="16"/>
      <c r="E7917">
        <v>6</v>
      </c>
      <c r="F7917" t="s">
        <v>8103</v>
      </c>
      <c r="G7917">
        <v>1</v>
      </c>
      <c r="H7917">
        <v>1</v>
      </c>
      <c r="I7917">
        <f>1</f>
        <v>1</v>
      </c>
    </row>
    <row r="7918" spans="2:9" x14ac:dyDescent="0.25">
      <c r="B7918">
        <v>0</v>
      </c>
      <c r="C7918" s="16" t="s">
        <v>17008</v>
      </c>
      <c r="D7918" s="16" t="s">
        <v>19430</v>
      </c>
      <c r="E7918">
        <v>6</v>
      </c>
      <c r="F7918" t="s">
        <v>8104</v>
      </c>
      <c r="G7918">
        <v>1</v>
      </c>
      <c r="H7918">
        <v>1</v>
      </c>
      <c r="I7918">
        <f>1</f>
        <v>1</v>
      </c>
    </row>
    <row r="7919" spans="2:9" x14ac:dyDescent="0.25">
      <c r="B7919">
        <v>0</v>
      </c>
      <c r="C7919" s="16" t="s">
        <v>17009</v>
      </c>
      <c r="D7919" s="16"/>
      <c r="E7919">
        <v>6</v>
      </c>
      <c r="F7919" t="s">
        <v>8105</v>
      </c>
      <c r="G7919">
        <v>1</v>
      </c>
      <c r="H7919">
        <v>1</v>
      </c>
      <c r="I7919">
        <f>1</f>
        <v>1</v>
      </c>
    </row>
    <row r="7920" spans="2:9" x14ac:dyDescent="0.25">
      <c r="B7920">
        <v>0</v>
      </c>
      <c r="C7920" s="16" t="s">
        <v>17010</v>
      </c>
      <c r="D7920" s="16"/>
      <c r="E7920">
        <v>6</v>
      </c>
      <c r="F7920" t="s">
        <v>4680</v>
      </c>
      <c r="G7920">
        <v>1</v>
      </c>
      <c r="H7920">
        <v>1</v>
      </c>
      <c r="I7920">
        <f>1</f>
        <v>1</v>
      </c>
    </row>
    <row r="7921" spans="2:9" x14ac:dyDescent="0.25">
      <c r="B7921">
        <v>0</v>
      </c>
      <c r="C7921" s="16" t="s">
        <v>17010</v>
      </c>
      <c r="D7921" s="16" t="s">
        <v>19430</v>
      </c>
      <c r="E7921">
        <v>6</v>
      </c>
      <c r="F7921" t="s">
        <v>8106</v>
      </c>
      <c r="G7921">
        <v>1</v>
      </c>
      <c r="H7921">
        <v>1</v>
      </c>
      <c r="I7921">
        <f>1</f>
        <v>1</v>
      </c>
    </row>
    <row r="7922" spans="2:9" x14ac:dyDescent="0.25">
      <c r="B7922">
        <v>0</v>
      </c>
      <c r="C7922" s="16" t="s">
        <v>17010</v>
      </c>
      <c r="D7922" s="16" t="s">
        <v>19431</v>
      </c>
      <c r="E7922">
        <v>6</v>
      </c>
      <c r="F7922" t="s">
        <v>8107</v>
      </c>
      <c r="G7922">
        <v>1</v>
      </c>
      <c r="H7922">
        <v>1</v>
      </c>
      <c r="I7922">
        <f>1</f>
        <v>1</v>
      </c>
    </row>
    <row r="7923" spans="2:9" x14ac:dyDescent="0.25">
      <c r="B7923">
        <v>0</v>
      </c>
      <c r="C7923" s="16" t="s">
        <v>17010</v>
      </c>
      <c r="D7923" s="16" t="s">
        <v>19432</v>
      </c>
      <c r="E7923">
        <v>6</v>
      </c>
      <c r="F7923" t="s">
        <v>8108</v>
      </c>
      <c r="G7923">
        <v>1</v>
      </c>
      <c r="H7923">
        <v>1</v>
      </c>
      <c r="I7923">
        <f>1</f>
        <v>1</v>
      </c>
    </row>
    <row r="7924" spans="2:9" x14ac:dyDescent="0.25">
      <c r="B7924">
        <v>0</v>
      </c>
      <c r="C7924" s="16" t="s">
        <v>17010</v>
      </c>
      <c r="D7924" s="16" t="s">
        <v>19433</v>
      </c>
      <c r="E7924">
        <v>6</v>
      </c>
      <c r="F7924" t="s">
        <v>8109</v>
      </c>
      <c r="G7924">
        <v>1</v>
      </c>
      <c r="H7924">
        <v>1</v>
      </c>
      <c r="I7924">
        <f>1</f>
        <v>1</v>
      </c>
    </row>
    <row r="7925" spans="2:9" x14ac:dyDescent="0.25">
      <c r="B7925">
        <v>0</v>
      </c>
      <c r="C7925" s="16" t="s">
        <v>17011</v>
      </c>
      <c r="D7925" s="16"/>
      <c r="E7925">
        <v>6</v>
      </c>
      <c r="F7925" t="e">
        <f>--móveis concebidos para receber um equipamento para a produção De frio</f>
        <v>#NAME?</v>
      </c>
      <c r="G7925">
        <v>1</v>
      </c>
      <c r="H7925">
        <v>1</v>
      </c>
      <c r="I7925">
        <f>1</f>
        <v>1</v>
      </c>
    </row>
    <row r="7926" spans="2:9" x14ac:dyDescent="0.25">
      <c r="B7926">
        <v>0</v>
      </c>
      <c r="C7926" s="16" t="s">
        <v>17012</v>
      </c>
      <c r="D7926" s="16"/>
      <c r="E7926">
        <v>6</v>
      </c>
      <c r="F7926" t="e">
        <f>--Outras</f>
        <v>#NAME?</v>
      </c>
      <c r="G7926">
        <v>1</v>
      </c>
      <c r="H7926">
        <v>1</v>
      </c>
      <c r="I7926">
        <f>1</f>
        <v>1</v>
      </c>
    </row>
    <row r="7927" spans="2:9" x14ac:dyDescent="0.25">
      <c r="B7927">
        <v>0</v>
      </c>
      <c r="C7927" s="16" t="s">
        <v>17012</v>
      </c>
      <c r="D7927" s="16" t="s">
        <v>19430</v>
      </c>
      <c r="E7927">
        <v>6</v>
      </c>
      <c r="F7927" t="s">
        <v>8110</v>
      </c>
      <c r="G7927">
        <v>1</v>
      </c>
      <c r="H7927">
        <v>1</v>
      </c>
      <c r="I7927">
        <f>1</f>
        <v>1</v>
      </c>
    </row>
    <row r="7928" spans="2:9" x14ac:dyDescent="0.25">
      <c r="B7928">
        <v>0</v>
      </c>
      <c r="C7928" s="16" t="s">
        <v>17013</v>
      </c>
      <c r="D7928" s="16"/>
      <c r="E7928">
        <v>6</v>
      </c>
      <c r="F7928" t="s">
        <v>8111</v>
      </c>
      <c r="G7928">
        <v>1</v>
      </c>
      <c r="H7928">
        <v>1</v>
      </c>
      <c r="I7928">
        <f>1</f>
        <v>1</v>
      </c>
    </row>
    <row r="7929" spans="2:9" x14ac:dyDescent="0.25">
      <c r="B7929">
        <v>0</v>
      </c>
      <c r="C7929" s="16" t="s">
        <v>17013</v>
      </c>
      <c r="D7929" s="16" t="s">
        <v>19430</v>
      </c>
      <c r="E7929">
        <v>6</v>
      </c>
      <c r="F7929" t="s">
        <v>8112</v>
      </c>
      <c r="G7929">
        <v>1</v>
      </c>
      <c r="H7929">
        <v>1</v>
      </c>
      <c r="I7929">
        <f>1</f>
        <v>1</v>
      </c>
    </row>
    <row r="7930" spans="2:9" x14ac:dyDescent="0.25">
      <c r="B7930">
        <v>0</v>
      </c>
      <c r="C7930" s="16" t="s">
        <v>17014</v>
      </c>
      <c r="D7930" s="16"/>
      <c r="E7930">
        <v>6</v>
      </c>
      <c r="F7930" t="s">
        <v>8113</v>
      </c>
      <c r="G7930">
        <v>1</v>
      </c>
      <c r="H7930">
        <v>1</v>
      </c>
      <c r="I7930">
        <f>1</f>
        <v>1</v>
      </c>
    </row>
    <row r="7931" spans="2:9" x14ac:dyDescent="0.25">
      <c r="B7931">
        <v>0</v>
      </c>
      <c r="C7931" s="16" t="s">
        <v>17015</v>
      </c>
      <c r="D7931" s="16"/>
      <c r="E7931">
        <v>6</v>
      </c>
      <c r="F7931" t="s">
        <v>4680</v>
      </c>
      <c r="G7931">
        <v>1</v>
      </c>
      <c r="H7931">
        <v>1</v>
      </c>
      <c r="I7931">
        <f>1</f>
        <v>1</v>
      </c>
    </row>
    <row r="7932" spans="2:9" x14ac:dyDescent="0.25">
      <c r="B7932">
        <v>0</v>
      </c>
      <c r="C7932" s="16" t="s">
        <v>17016</v>
      </c>
      <c r="D7932" s="16"/>
      <c r="E7932">
        <v>6</v>
      </c>
      <c r="F7932" t="e">
        <f>-Esterilizadores médico-cirúrgicos ou De laboratório</f>
        <v>#NAME?</v>
      </c>
      <c r="G7932">
        <v>1</v>
      </c>
      <c r="H7932">
        <v>1</v>
      </c>
      <c r="I7932">
        <f>1</f>
        <v>1</v>
      </c>
    </row>
    <row r="7933" spans="2:9" x14ac:dyDescent="0.25">
      <c r="B7933">
        <v>0</v>
      </c>
      <c r="C7933" s="16" t="s">
        <v>17017</v>
      </c>
      <c r="D7933" s="16"/>
      <c r="E7933">
        <v>6</v>
      </c>
      <c r="F7933" t="e">
        <f>--para produtos agrícolas</f>
        <v>#NAME?</v>
      </c>
      <c r="G7933">
        <v>1</v>
      </c>
      <c r="H7933">
        <v>1</v>
      </c>
      <c r="I7933">
        <f>1</f>
        <v>1</v>
      </c>
    </row>
    <row r="7934" spans="2:9" x14ac:dyDescent="0.25">
      <c r="B7934">
        <v>0</v>
      </c>
      <c r="C7934" s="16" t="s">
        <v>17018</v>
      </c>
      <c r="D7934" s="16"/>
      <c r="E7934">
        <v>6</v>
      </c>
      <c r="F7934" t="s">
        <v>8114</v>
      </c>
      <c r="G7934">
        <v>1</v>
      </c>
      <c r="H7934">
        <v>1</v>
      </c>
      <c r="I7934">
        <f>1</f>
        <v>1</v>
      </c>
    </row>
    <row r="7935" spans="2:9" x14ac:dyDescent="0.25">
      <c r="B7935">
        <v>0</v>
      </c>
      <c r="C7935" s="16" t="s">
        <v>17019</v>
      </c>
      <c r="D7935" s="16"/>
      <c r="E7935">
        <v>6</v>
      </c>
      <c r="F7935" t="e">
        <f>--outros</f>
        <v>#NAME?</v>
      </c>
      <c r="G7935">
        <v>1</v>
      </c>
      <c r="H7935">
        <v>1</v>
      </c>
      <c r="I7935">
        <f>1</f>
        <v>1</v>
      </c>
    </row>
    <row r="7936" spans="2:9" x14ac:dyDescent="0.25">
      <c r="B7936">
        <v>0</v>
      </c>
      <c r="C7936" s="16" t="s">
        <v>17020</v>
      </c>
      <c r="D7936" s="16"/>
      <c r="E7936">
        <v>6</v>
      </c>
      <c r="F7936" t="s">
        <v>8115</v>
      </c>
      <c r="G7936">
        <v>1</v>
      </c>
      <c r="H7936">
        <v>1</v>
      </c>
      <c r="I7936">
        <f>1</f>
        <v>1</v>
      </c>
    </row>
    <row r="7937" spans="2:9" x14ac:dyDescent="0.25">
      <c r="B7937">
        <v>0</v>
      </c>
      <c r="C7937" s="16" t="s">
        <v>17021</v>
      </c>
      <c r="D7937" s="16"/>
      <c r="E7937">
        <v>6</v>
      </c>
      <c r="F7937" t="s">
        <v>8116</v>
      </c>
      <c r="G7937">
        <v>1</v>
      </c>
      <c r="H7937">
        <v>1</v>
      </c>
      <c r="I7937">
        <f>1</f>
        <v>1</v>
      </c>
    </row>
    <row r="7938" spans="2:9" x14ac:dyDescent="0.25">
      <c r="B7938">
        <v>0</v>
      </c>
      <c r="C7938" s="16" t="s">
        <v>17022</v>
      </c>
      <c r="D7938" s="16"/>
      <c r="E7938">
        <v>6</v>
      </c>
      <c r="F7938" t="s">
        <v>4680</v>
      </c>
      <c r="G7938">
        <v>1</v>
      </c>
      <c r="H7938">
        <v>1</v>
      </c>
      <c r="I7938">
        <f>1</f>
        <v>1</v>
      </c>
    </row>
    <row r="7939" spans="2:9" x14ac:dyDescent="0.25">
      <c r="B7939">
        <v>0</v>
      </c>
      <c r="C7939" s="16" t="s">
        <v>17023</v>
      </c>
      <c r="D7939" s="16"/>
      <c r="E7939">
        <v>6</v>
      </c>
      <c r="F7939" t="s">
        <v>8117</v>
      </c>
      <c r="G7939">
        <v>1</v>
      </c>
      <c r="H7939">
        <v>1</v>
      </c>
      <c r="I7939">
        <f>1</f>
        <v>1</v>
      </c>
    </row>
    <row r="7940" spans="2:9" x14ac:dyDescent="0.25">
      <c r="B7940">
        <v>0</v>
      </c>
      <c r="C7940" s="16" t="s">
        <v>17024</v>
      </c>
      <c r="D7940" s="16"/>
      <c r="E7940">
        <v>6</v>
      </c>
      <c r="F7940" t="s">
        <v>8118</v>
      </c>
      <c r="G7940">
        <v>1</v>
      </c>
      <c r="H7940">
        <v>1</v>
      </c>
      <c r="I7940">
        <f>1</f>
        <v>1</v>
      </c>
    </row>
    <row r="7941" spans="2:9" x14ac:dyDescent="0.25">
      <c r="B7941">
        <v>0</v>
      </c>
      <c r="C7941" s="16" t="s">
        <v>17025</v>
      </c>
      <c r="D7941" s="16"/>
      <c r="E7941">
        <v>6</v>
      </c>
      <c r="F7941" t="s">
        <v>7629</v>
      </c>
      <c r="G7941">
        <v>1</v>
      </c>
      <c r="H7941">
        <v>1</v>
      </c>
      <c r="I7941">
        <f>1</f>
        <v>1</v>
      </c>
    </row>
    <row r="7942" spans="2:9" x14ac:dyDescent="0.25">
      <c r="B7942">
        <v>0</v>
      </c>
      <c r="C7942" s="16" t="s">
        <v>17026</v>
      </c>
      <c r="D7942" s="16"/>
      <c r="E7942">
        <v>6</v>
      </c>
      <c r="F7942" t="s">
        <v>4680</v>
      </c>
      <c r="G7942">
        <v>1</v>
      </c>
      <c r="H7942">
        <v>1</v>
      </c>
      <c r="I7942">
        <f>1</f>
        <v>1</v>
      </c>
    </row>
    <row r="7943" spans="2:9" x14ac:dyDescent="0.25">
      <c r="B7943">
        <v>0</v>
      </c>
      <c r="C7943" s="16" t="s">
        <v>17027</v>
      </c>
      <c r="D7943" s="16"/>
      <c r="E7943">
        <v>6</v>
      </c>
      <c r="F7943" t="s">
        <v>4680</v>
      </c>
      <c r="G7943">
        <v>1</v>
      </c>
      <c r="H7943">
        <v>1</v>
      </c>
      <c r="I7943">
        <f>1</f>
        <v>1</v>
      </c>
    </row>
    <row r="7944" spans="2:9" x14ac:dyDescent="0.25">
      <c r="B7944">
        <v>0</v>
      </c>
      <c r="C7944" s="16" t="s">
        <v>17028</v>
      </c>
      <c r="D7944" s="16"/>
      <c r="E7944">
        <v>6</v>
      </c>
      <c r="F7944" t="e">
        <f>-aparelhos e dispositivos para liquefação do ar ou De outros gases</f>
        <v>#NAME?</v>
      </c>
      <c r="G7944">
        <v>1</v>
      </c>
      <c r="H7944">
        <v>1</v>
      </c>
      <c r="I7944">
        <f>1</f>
        <v>1</v>
      </c>
    </row>
    <row r="7945" spans="2:9" x14ac:dyDescent="0.25">
      <c r="B7945">
        <v>0</v>
      </c>
      <c r="C7945" s="16" t="s">
        <v>17029</v>
      </c>
      <c r="D7945" s="16"/>
      <c r="E7945">
        <v>6</v>
      </c>
      <c r="F7945" t="s">
        <v>8119</v>
      </c>
      <c r="G7945">
        <v>1</v>
      </c>
      <c r="H7945">
        <v>1</v>
      </c>
      <c r="I7945">
        <f>1</f>
        <v>1</v>
      </c>
    </row>
    <row r="7946" spans="2:9" x14ac:dyDescent="0.25">
      <c r="B7946">
        <v>0</v>
      </c>
      <c r="C7946" s="16" t="s">
        <v>17030</v>
      </c>
      <c r="D7946" s="16"/>
      <c r="E7946">
        <v>6</v>
      </c>
      <c r="F7946" t="s">
        <v>4680</v>
      </c>
      <c r="G7946">
        <v>1</v>
      </c>
      <c r="H7946">
        <v>1</v>
      </c>
      <c r="I7946">
        <f>1</f>
        <v>1</v>
      </c>
    </row>
    <row r="7947" spans="2:9" x14ac:dyDescent="0.25">
      <c r="B7947">
        <v>0</v>
      </c>
      <c r="C7947" s="16" t="s">
        <v>17031</v>
      </c>
      <c r="D7947" s="16"/>
      <c r="E7947">
        <v>6</v>
      </c>
      <c r="F7947" t="s">
        <v>8120</v>
      </c>
      <c r="G7947">
        <v>1</v>
      </c>
      <c r="H7947">
        <v>1</v>
      </c>
      <c r="I7947">
        <f>1</f>
        <v>1</v>
      </c>
    </row>
    <row r="7948" spans="2:9" x14ac:dyDescent="0.25">
      <c r="B7948">
        <v>0</v>
      </c>
      <c r="C7948" s="16" t="s">
        <v>17032</v>
      </c>
      <c r="D7948" s="16"/>
      <c r="E7948">
        <v>6</v>
      </c>
      <c r="F7948" t="s">
        <v>4680</v>
      </c>
      <c r="G7948">
        <v>1</v>
      </c>
      <c r="H7948">
        <v>1</v>
      </c>
      <c r="I7948">
        <f>1</f>
        <v>1</v>
      </c>
    </row>
    <row r="7949" spans="2:9" x14ac:dyDescent="0.25">
      <c r="B7949">
        <v>0</v>
      </c>
      <c r="C7949" s="16" t="s">
        <v>17032</v>
      </c>
      <c r="D7949" s="16" t="s">
        <v>19430</v>
      </c>
      <c r="E7949">
        <v>6</v>
      </c>
      <c r="F7949" t="s">
        <v>8121</v>
      </c>
      <c r="G7949">
        <v>1</v>
      </c>
      <c r="H7949">
        <v>1</v>
      </c>
      <c r="I7949">
        <f>1</f>
        <v>1</v>
      </c>
    </row>
    <row r="7950" spans="2:9" x14ac:dyDescent="0.25">
      <c r="B7950">
        <v>0</v>
      </c>
      <c r="C7950" s="16" t="s">
        <v>17033</v>
      </c>
      <c r="D7950" s="16"/>
      <c r="E7950">
        <v>6</v>
      </c>
      <c r="F7950" t="s">
        <v>8122</v>
      </c>
      <c r="G7950">
        <v>1</v>
      </c>
      <c r="H7950">
        <v>1</v>
      </c>
      <c r="I7950">
        <f>1</f>
        <v>1</v>
      </c>
    </row>
    <row r="7951" spans="2:9" x14ac:dyDescent="0.25">
      <c r="B7951">
        <v>0</v>
      </c>
      <c r="C7951" s="16" t="s">
        <v>17034</v>
      </c>
      <c r="D7951" s="16"/>
      <c r="E7951">
        <v>6</v>
      </c>
      <c r="F7951" t="s">
        <v>8123</v>
      </c>
      <c r="G7951">
        <v>1</v>
      </c>
      <c r="H7951">
        <v>1</v>
      </c>
      <c r="I7951">
        <f>1</f>
        <v>1</v>
      </c>
    </row>
    <row r="7952" spans="2:9" x14ac:dyDescent="0.25">
      <c r="B7952">
        <v>0</v>
      </c>
      <c r="C7952" s="16" t="s">
        <v>17035</v>
      </c>
      <c r="D7952" s="16"/>
      <c r="E7952">
        <v>6</v>
      </c>
      <c r="F7952" t="s">
        <v>8124</v>
      </c>
      <c r="G7952">
        <v>1</v>
      </c>
      <c r="H7952">
        <v>1</v>
      </c>
      <c r="I7952">
        <f>1</f>
        <v>1</v>
      </c>
    </row>
    <row r="7953" spans="2:9" x14ac:dyDescent="0.25">
      <c r="B7953">
        <v>0</v>
      </c>
      <c r="C7953" s="16" t="s">
        <v>17036</v>
      </c>
      <c r="D7953" s="16"/>
      <c r="E7953">
        <v>6</v>
      </c>
      <c r="F7953" t="s">
        <v>8125</v>
      </c>
      <c r="G7953">
        <v>1</v>
      </c>
      <c r="H7953">
        <v>1</v>
      </c>
      <c r="I7953">
        <f>1</f>
        <v>1</v>
      </c>
    </row>
    <row r="7954" spans="2:9" x14ac:dyDescent="0.25">
      <c r="B7954">
        <v>0</v>
      </c>
      <c r="C7954" s="16" t="s">
        <v>17037</v>
      </c>
      <c r="D7954" s="16"/>
      <c r="E7954">
        <v>6</v>
      </c>
      <c r="F7954" t="s">
        <v>4680</v>
      </c>
      <c r="G7954">
        <v>1</v>
      </c>
      <c r="H7954">
        <v>1</v>
      </c>
      <c r="I7954">
        <f>1</f>
        <v>1</v>
      </c>
    </row>
    <row r="7955" spans="2:9" x14ac:dyDescent="0.25">
      <c r="B7955">
        <v>0</v>
      </c>
      <c r="C7955" s="16" t="s">
        <v>17037</v>
      </c>
      <c r="D7955" s="16" t="s">
        <v>19430</v>
      </c>
      <c r="E7955">
        <v>6</v>
      </c>
      <c r="F7955" t="s">
        <v>8126</v>
      </c>
      <c r="G7955">
        <v>1</v>
      </c>
      <c r="H7955">
        <v>1</v>
      </c>
      <c r="I7955">
        <f>1</f>
        <v>1</v>
      </c>
    </row>
    <row r="7956" spans="2:9" x14ac:dyDescent="0.25">
      <c r="B7956">
        <v>0</v>
      </c>
      <c r="C7956" s="16" t="s">
        <v>17038</v>
      </c>
      <c r="D7956" s="16"/>
      <c r="E7956">
        <v>6</v>
      </c>
      <c r="F7956" t="s">
        <v>8127</v>
      </c>
      <c r="G7956">
        <v>1</v>
      </c>
      <c r="H7956">
        <v>1</v>
      </c>
      <c r="I7956">
        <f>1</f>
        <v>1</v>
      </c>
    </row>
    <row r="7957" spans="2:9" x14ac:dyDescent="0.25">
      <c r="B7957">
        <v>0</v>
      </c>
      <c r="C7957" s="16" t="s">
        <v>17039</v>
      </c>
      <c r="D7957" s="16"/>
      <c r="E7957">
        <v>6</v>
      </c>
      <c r="F7957" t="s">
        <v>8128</v>
      </c>
      <c r="G7957">
        <v>1</v>
      </c>
      <c r="H7957">
        <v>1</v>
      </c>
      <c r="I7957">
        <f>1</f>
        <v>1</v>
      </c>
    </row>
    <row r="7958" spans="2:9" x14ac:dyDescent="0.25">
      <c r="B7958">
        <v>0</v>
      </c>
      <c r="C7958" s="16" t="s">
        <v>17040</v>
      </c>
      <c r="D7958" s="16"/>
      <c r="E7958">
        <v>6</v>
      </c>
      <c r="F7958" t="s">
        <v>8129</v>
      </c>
      <c r="G7958">
        <v>1</v>
      </c>
      <c r="H7958">
        <v>1</v>
      </c>
      <c r="I7958">
        <f>1</f>
        <v>1</v>
      </c>
    </row>
    <row r="7959" spans="2:9" x14ac:dyDescent="0.25">
      <c r="B7959">
        <v>0</v>
      </c>
      <c r="C7959" s="16" t="s">
        <v>17041</v>
      </c>
      <c r="D7959" s="16"/>
      <c r="E7959">
        <v>6</v>
      </c>
      <c r="F7959" t="s">
        <v>4690</v>
      </c>
      <c r="G7959">
        <v>1</v>
      </c>
      <c r="H7959">
        <v>1</v>
      </c>
      <c r="I7959">
        <f>1</f>
        <v>1</v>
      </c>
    </row>
    <row r="7960" spans="2:9" x14ac:dyDescent="0.25">
      <c r="B7960">
        <v>0</v>
      </c>
      <c r="C7960" s="16" t="s">
        <v>17042</v>
      </c>
      <c r="D7960" s="16"/>
      <c r="E7960">
        <v>6</v>
      </c>
      <c r="F7960" t="s">
        <v>8130</v>
      </c>
      <c r="G7960">
        <v>1</v>
      </c>
      <c r="H7960">
        <v>1</v>
      </c>
      <c r="I7960">
        <f>1</f>
        <v>1</v>
      </c>
    </row>
    <row r="7961" spans="2:9" x14ac:dyDescent="0.25">
      <c r="B7961">
        <v>0</v>
      </c>
      <c r="C7961" s="16" t="s">
        <v>17043</v>
      </c>
      <c r="D7961" s="16"/>
      <c r="E7961">
        <v>6</v>
      </c>
      <c r="F7961" t="s">
        <v>4690</v>
      </c>
      <c r="G7961">
        <v>1</v>
      </c>
      <c r="H7961">
        <v>1</v>
      </c>
      <c r="I7961">
        <f>1</f>
        <v>1</v>
      </c>
    </row>
    <row r="7962" spans="2:9" x14ac:dyDescent="0.25">
      <c r="B7962">
        <v>0</v>
      </c>
      <c r="C7962" s="16" t="s">
        <v>17044</v>
      </c>
      <c r="D7962" s="16"/>
      <c r="E7962">
        <v>6</v>
      </c>
      <c r="F7962" t="s">
        <v>8131</v>
      </c>
      <c r="G7962">
        <v>1</v>
      </c>
      <c r="H7962">
        <v>1</v>
      </c>
      <c r="I7962">
        <f>1</f>
        <v>1</v>
      </c>
    </row>
    <row r="7963" spans="2:9" x14ac:dyDescent="0.25">
      <c r="B7963">
        <v>0</v>
      </c>
      <c r="C7963" s="16" t="s">
        <v>17045</v>
      </c>
      <c r="D7963" s="16"/>
      <c r="E7963">
        <v>6</v>
      </c>
      <c r="F7963" t="s">
        <v>4680</v>
      </c>
      <c r="G7963">
        <v>1</v>
      </c>
      <c r="H7963">
        <v>1</v>
      </c>
      <c r="I7963">
        <f>1</f>
        <v>1</v>
      </c>
    </row>
    <row r="7964" spans="2:9" x14ac:dyDescent="0.25">
      <c r="B7964">
        <v>0</v>
      </c>
      <c r="C7964" s="16" t="s">
        <v>17046</v>
      </c>
      <c r="D7964" s="16"/>
      <c r="E7964">
        <v>6</v>
      </c>
      <c r="F7964" t="e">
        <f>--Cilindros</f>
        <v>#NAME?</v>
      </c>
      <c r="G7964">
        <v>1</v>
      </c>
      <c r="H7964">
        <v>1</v>
      </c>
      <c r="I7964">
        <f>1</f>
        <v>1</v>
      </c>
    </row>
    <row r="7965" spans="2:9" x14ac:dyDescent="0.25">
      <c r="B7965">
        <v>0</v>
      </c>
      <c r="C7965" s="16" t="s">
        <v>17047</v>
      </c>
      <c r="D7965" s="16"/>
      <c r="E7965">
        <v>6</v>
      </c>
      <c r="F7965" t="e">
        <f>--Outras</f>
        <v>#NAME?</v>
      </c>
      <c r="G7965">
        <v>1</v>
      </c>
      <c r="H7965">
        <v>1</v>
      </c>
      <c r="I7965">
        <f>1</f>
        <v>1</v>
      </c>
    </row>
    <row r="7966" spans="2:9" x14ac:dyDescent="0.25">
      <c r="B7966">
        <v>0</v>
      </c>
      <c r="C7966" s="16" t="s">
        <v>17048</v>
      </c>
      <c r="D7966" s="16"/>
      <c r="E7966">
        <v>6</v>
      </c>
      <c r="F7966" t="s">
        <v>8132</v>
      </c>
      <c r="G7966">
        <v>1</v>
      </c>
      <c r="H7966">
        <v>1</v>
      </c>
      <c r="I7966">
        <f>1</f>
        <v>1</v>
      </c>
    </row>
    <row r="7967" spans="2:9" x14ac:dyDescent="0.25">
      <c r="B7967">
        <v>0</v>
      </c>
      <c r="C7967" s="16" t="s">
        <v>17049</v>
      </c>
      <c r="D7967" s="16"/>
      <c r="E7967">
        <v>6</v>
      </c>
      <c r="F7967" t="s">
        <v>4690</v>
      </c>
      <c r="G7967">
        <v>1</v>
      </c>
      <c r="H7967">
        <v>1</v>
      </c>
      <c r="I7967">
        <f>1</f>
        <v>1</v>
      </c>
    </row>
    <row r="7968" spans="2:9" x14ac:dyDescent="0.25">
      <c r="B7968">
        <v>0</v>
      </c>
      <c r="C7968" s="16" t="s">
        <v>17050</v>
      </c>
      <c r="D7968" s="16"/>
      <c r="E7968">
        <v>6</v>
      </c>
      <c r="F7968" t="s">
        <v>8133</v>
      </c>
      <c r="G7968">
        <v>1</v>
      </c>
      <c r="H7968">
        <v>1</v>
      </c>
      <c r="I7968">
        <f>1</f>
        <v>1</v>
      </c>
    </row>
    <row r="7969" spans="2:9" x14ac:dyDescent="0.25">
      <c r="B7969">
        <v>0</v>
      </c>
      <c r="C7969" s="16" t="s">
        <v>17051</v>
      </c>
      <c r="D7969" s="16"/>
      <c r="E7969">
        <v>6</v>
      </c>
      <c r="F7969" t="s">
        <v>4680</v>
      </c>
      <c r="G7969">
        <v>1</v>
      </c>
      <c r="H7969">
        <v>1</v>
      </c>
      <c r="I7969">
        <f>1</f>
        <v>1</v>
      </c>
    </row>
    <row r="7970" spans="2:9" x14ac:dyDescent="0.25">
      <c r="B7970">
        <v>0</v>
      </c>
      <c r="C7970" s="16" t="s">
        <v>17052</v>
      </c>
      <c r="D7970" s="16"/>
      <c r="E7970">
        <v>6</v>
      </c>
      <c r="F7970" t="s">
        <v>8134</v>
      </c>
      <c r="G7970">
        <v>1</v>
      </c>
      <c r="H7970">
        <v>1</v>
      </c>
      <c r="I7970">
        <f>1</f>
        <v>1</v>
      </c>
    </row>
    <row r="7971" spans="2:9" x14ac:dyDescent="0.25">
      <c r="B7971">
        <v>0</v>
      </c>
      <c r="C7971" s="16" t="s">
        <v>17053</v>
      </c>
      <c r="D7971" s="16"/>
      <c r="E7971">
        <v>6</v>
      </c>
      <c r="F7971" t="s">
        <v>4680</v>
      </c>
      <c r="G7971">
        <v>1</v>
      </c>
      <c r="H7971">
        <v>1</v>
      </c>
      <c r="I7971">
        <f>1</f>
        <v>1</v>
      </c>
    </row>
    <row r="7972" spans="2:9" x14ac:dyDescent="0.25">
      <c r="B7972">
        <v>0</v>
      </c>
      <c r="C7972" s="16" t="s">
        <v>17053</v>
      </c>
      <c r="D7972" s="16" t="s">
        <v>19430</v>
      </c>
      <c r="E7972">
        <v>6</v>
      </c>
      <c r="F7972" t="s">
        <v>8135</v>
      </c>
      <c r="G7972">
        <v>1</v>
      </c>
      <c r="H7972">
        <v>1</v>
      </c>
      <c r="I7972">
        <f>1</f>
        <v>1</v>
      </c>
    </row>
    <row r="7973" spans="2:9" x14ac:dyDescent="0.25">
      <c r="B7973">
        <v>0</v>
      </c>
      <c r="C7973" s="16" t="s">
        <v>17054</v>
      </c>
      <c r="D7973" s="16"/>
      <c r="E7973">
        <v>6</v>
      </c>
      <c r="F7973" t="e">
        <f>--para filtrar ou depurar água</f>
        <v>#NAME?</v>
      </c>
      <c r="G7973">
        <v>1</v>
      </c>
      <c r="H7973">
        <v>1</v>
      </c>
      <c r="I7973">
        <f>1</f>
        <v>1</v>
      </c>
    </row>
    <row r="7974" spans="2:9" x14ac:dyDescent="0.25">
      <c r="B7974">
        <v>0</v>
      </c>
      <c r="C7974" s="16" t="s">
        <v>17055</v>
      </c>
      <c r="D7974" s="16"/>
      <c r="E7974">
        <v>6</v>
      </c>
      <c r="F7974" t="s">
        <v>8136</v>
      </c>
      <c r="G7974">
        <v>1</v>
      </c>
      <c r="H7974">
        <v>1</v>
      </c>
      <c r="I7974">
        <f>1</f>
        <v>1</v>
      </c>
    </row>
    <row r="7975" spans="2:9" x14ac:dyDescent="0.25">
      <c r="B7975">
        <v>0</v>
      </c>
      <c r="C7975" s="16" t="s">
        <v>17056</v>
      </c>
      <c r="D7975" s="16"/>
      <c r="E7975">
        <v>6</v>
      </c>
      <c r="F7975" t="e">
        <f>--para filtrar óleos minerais nos Motores De ignição por centelha ou por compressão</f>
        <v>#NAME?</v>
      </c>
      <c r="G7975">
        <v>1</v>
      </c>
      <c r="H7975">
        <v>1</v>
      </c>
      <c r="I7975">
        <f>1</f>
        <v>1</v>
      </c>
    </row>
    <row r="7976" spans="2:9" x14ac:dyDescent="0.25">
      <c r="B7976">
        <v>0</v>
      </c>
      <c r="C7976" s="16" t="s">
        <v>17056</v>
      </c>
      <c r="D7976" s="16" t="s">
        <v>19430</v>
      </c>
      <c r="E7976">
        <v>6</v>
      </c>
      <c r="F7976" t="s">
        <v>8137</v>
      </c>
      <c r="G7976">
        <v>1</v>
      </c>
      <c r="H7976">
        <v>1</v>
      </c>
      <c r="I7976">
        <f>1</f>
        <v>1</v>
      </c>
    </row>
    <row r="7977" spans="2:9" x14ac:dyDescent="0.25">
      <c r="B7977">
        <v>0</v>
      </c>
      <c r="C7977" s="16" t="s">
        <v>17056</v>
      </c>
      <c r="D7977" s="16" t="s">
        <v>19431</v>
      </c>
      <c r="E7977">
        <v>6</v>
      </c>
      <c r="F7977" t="s">
        <v>8138</v>
      </c>
      <c r="G7977">
        <v>1</v>
      </c>
      <c r="H7977">
        <v>1</v>
      </c>
      <c r="I7977">
        <f>1</f>
        <v>1</v>
      </c>
    </row>
    <row r="7978" spans="2:9" x14ac:dyDescent="0.25">
      <c r="B7978">
        <v>0</v>
      </c>
      <c r="C7978" s="16" t="s">
        <v>17057</v>
      </c>
      <c r="D7978" s="16"/>
      <c r="E7978">
        <v>6</v>
      </c>
      <c r="F7978" t="s">
        <v>8139</v>
      </c>
      <c r="G7978">
        <v>1</v>
      </c>
      <c r="H7978">
        <v>1</v>
      </c>
      <c r="I7978">
        <f>1</f>
        <v>1</v>
      </c>
    </row>
    <row r="7979" spans="2:9" x14ac:dyDescent="0.25">
      <c r="B7979">
        <v>0</v>
      </c>
      <c r="C7979" s="16" t="s">
        <v>17058</v>
      </c>
      <c r="D7979" s="16"/>
      <c r="E7979">
        <v>6</v>
      </c>
      <c r="F7979" t="s">
        <v>4680</v>
      </c>
      <c r="G7979">
        <v>1</v>
      </c>
      <c r="H7979">
        <v>1</v>
      </c>
      <c r="I7979">
        <f>1</f>
        <v>1</v>
      </c>
    </row>
    <row r="7980" spans="2:9" x14ac:dyDescent="0.25">
      <c r="B7980">
        <v>0</v>
      </c>
      <c r="C7980" s="16" t="s">
        <v>17059</v>
      </c>
      <c r="D7980" s="16"/>
      <c r="E7980">
        <v>6</v>
      </c>
      <c r="F7980" t="s">
        <v>8140</v>
      </c>
      <c r="G7980">
        <v>1</v>
      </c>
      <c r="H7980">
        <v>1</v>
      </c>
      <c r="I7980">
        <f>1</f>
        <v>1</v>
      </c>
    </row>
    <row r="7981" spans="2:9" x14ac:dyDescent="0.25">
      <c r="B7981">
        <v>0</v>
      </c>
      <c r="C7981" s="16" t="s">
        <v>17060</v>
      </c>
      <c r="D7981" s="16"/>
      <c r="E7981">
        <v>6</v>
      </c>
      <c r="F7981" t="s">
        <v>8141</v>
      </c>
      <c r="G7981">
        <v>1</v>
      </c>
      <c r="H7981">
        <v>1</v>
      </c>
      <c r="I7981">
        <f>1</f>
        <v>1</v>
      </c>
    </row>
    <row r="7982" spans="2:9" x14ac:dyDescent="0.25">
      <c r="B7982">
        <v>0</v>
      </c>
      <c r="C7982" s="16" t="s">
        <v>17061</v>
      </c>
      <c r="D7982" s="16"/>
      <c r="E7982">
        <v>6</v>
      </c>
      <c r="F7982" t="s">
        <v>4680</v>
      </c>
      <c r="G7982">
        <v>1</v>
      </c>
      <c r="H7982">
        <v>1</v>
      </c>
      <c r="I7982">
        <f>1</f>
        <v>1</v>
      </c>
    </row>
    <row r="7983" spans="2:9" x14ac:dyDescent="0.25">
      <c r="B7983">
        <v>0</v>
      </c>
      <c r="C7983" s="16" t="s">
        <v>17062</v>
      </c>
      <c r="D7983" s="16"/>
      <c r="E7983">
        <v>6</v>
      </c>
      <c r="F7983" t="e">
        <f>--Filtros De entrada De ar para Motores De ignição por centelha ou por compressão</f>
        <v>#NAME?</v>
      </c>
      <c r="G7983">
        <v>1</v>
      </c>
      <c r="H7983">
        <v>1</v>
      </c>
      <c r="I7983">
        <f>1</f>
        <v>1</v>
      </c>
    </row>
    <row r="7984" spans="2:9" x14ac:dyDescent="0.25">
      <c r="B7984">
        <v>0</v>
      </c>
      <c r="C7984" s="16" t="s">
        <v>17063</v>
      </c>
      <c r="D7984" s="16"/>
      <c r="E7984">
        <v>6</v>
      </c>
      <c r="F7984" t="s">
        <v>8142</v>
      </c>
      <c r="G7984">
        <v>1</v>
      </c>
      <c r="H7984">
        <v>1</v>
      </c>
      <c r="I7984">
        <f>1</f>
        <v>1</v>
      </c>
    </row>
    <row r="7985" spans="2:9" x14ac:dyDescent="0.25">
      <c r="B7985">
        <v>0</v>
      </c>
      <c r="C7985" s="16" t="s">
        <v>17064</v>
      </c>
      <c r="D7985" s="16"/>
      <c r="E7985">
        <v>6</v>
      </c>
      <c r="F7985" t="s">
        <v>8143</v>
      </c>
      <c r="G7985">
        <v>1</v>
      </c>
      <c r="H7985">
        <v>1</v>
      </c>
      <c r="I7985">
        <f>1</f>
        <v>1</v>
      </c>
    </row>
    <row r="7986" spans="2:9" x14ac:dyDescent="0.25">
      <c r="B7986">
        <v>0</v>
      </c>
      <c r="C7986" s="16" t="s">
        <v>17065</v>
      </c>
      <c r="D7986" s="16"/>
      <c r="E7986">
        <v>6</v>
      </c>
      <c r="F7986" t="s">
        <v>8144</v>
      </c>
      <c r="G7986">
        <v>1</v>
      </c>
      <c r="H7986">
        <v>1</v>
      </c>
      <c r="I7986">
        <f>1</f>
        <v>1</v>
      </c>
    </row>
    <row r="7987" spans="2:9" x14ac:dyDescent="0.25">
      <c r="B7987">
        <v>0</v>
      </c>
      <c r="C7987" s="16" t="s">
        <v>17066</v>
      </c>
      <c r="D7987" s="16"/>
      <c r="E7987">
        <v>6</v>
      </c>
      <c r="F7987" t="s">
        <v>4680</v>
      </c>
      <c r="G7987">
        <v>1</v>
      </c>
      <c r="H7987">
        <v>1</v>
      </c>
      <c r="I7987">
        <f>1</f>
        <v>1</v>
      </c>
    </row>
    <row r="7988" spans="2:9" x14ac:dyDescent="0.25">
      <c r="B7988">
        <v>0</v>
      </c>
      <c r="C7988" s="16" t="s">
        <v>17067</v>
      </c>
      <c r="D7988" s="16"/>
      <c r="E7988">
        <v>6</v>
      </c>
      <c r="F7988" t="s">
        <v>8145</v>
      </c>
      <c r="G7988">
        <v>1</v>
      </c>
      <c r="H7988">
        <v>1</v>
      </c>
      <c r="I7988">
        <f>1</f>
        <v>1</v>
      </c>
    </row>
    <row r="7989" spans="2:9" x14ac:dyDescent="0.25">
      <c r="B7989">
        <v>0</v>
      </c>
      <c r="C7989" s="16" t="s">
        <v>17068</v>
      </c>
      <c r="D7989" s="16"/>
      <c r="E7989">
        <v>6</v>
      </c>
      <c r="F7989" t="s">
        <v>8146</v>
      </c>
      <c r="G7989">
        <v>1</v>
      </c>
      <c r="H7989">
        <v>1</v>
      </c>
      <c r="I7989">
        <f>1</f>
        <v>1</v>
      </c>
    </row>
    <row r="7990" spans="2:9" x14ac:dyDescent="0.25">
      <c r="B7990">
        <v>0</v>
      </c>
      <c r="C7990" s="16" t="s">
        <v>17069</v>
      </c>
      <c r="D7990" s="16"/>
      <c r="E7990">
        <v>6</v>
      </c>
      <c r="F7990" t="s">
        <v>4690</v>
      </c>
      <c r="G7990">
        <v>1</v>
      </c>
      <c r="H7990">
        <v>1</v>
      </c>
      <c r="I7990">
        <f>1</f>
        <v>1</v>
      </c>
    </row>
    <row r="7991" spans="2:9" x14ac:dyDescent="0.25">
      <c r="B7991">
        <v>0</v>
      </c>
      <c r="C7991" s="16" t="s">
        <v>17070</v>
      </c>
      <c r="D7991" s="16"/>
      <c r="E7991">
        <v>6</v>
      </c>
      <c r="F7991" t="s">
        <v>8147</v>
      </c>
      <c r="G7991">
        <v>1</v>
      </c>
      <c r="H7991">
        <v>1</v>
      </c>
      <c r="I7991">
        <f>1</f>
        <v>1</v>
      </c>
    </row>
    <row r="7992" spans="2:9" x14ac:dyDescent="0.25">
      <c r="B7992">
        <v>0</v>
      </c>
      <c r="C7992" s="16" t="s">
        <v>17071</v>
      </c>
      <c r="D7992" s="16"/>
      <c r="E7992">
        <v>6</v>
      </c>
      <c r="F7992" t="s">
        <v>7086</v>
      </c>
      <c r="G7992">
        <v>1</v>
      </c>
      <c r="H7992">
        <v>1</v>
      </c>
      <c r="I7992">
        <f>1</f>
        <v>1</v>
      </c>
    </row>
    <row r="7993" spans="2:9" x14ac:dyDescent="0.25">
      <c r="B7993">
        <v>0</v>
      </c>
      <c r="C7993" s="16" t="s">
        <v>17072</v>
      </c>
      <c r="D7993" s="16"/>
      <c r="E7993">
        <v>6</v>
      </c>
      <c r="F7993" t="s">
        <v>8148</v>
      </c>
      <c r="G7993">
        <v>1</v>
      </c>
      <c r="H7993">
        <v>1</v>
      </c>
      <c r="I7993">
        <f>1</f>
        <v>1</v>
      </c>
    </row>
    <row r="7994" spans="2:9" x14ac:dyDescent="0.25">
      <c r="B7994">
        <v>0</v>
      </c>
      <c r="C7994" s="16" t="s">
        <v>17073</v>
      </c>
      <c r="D7994" s="16"/>
      <c r="E7994">
        <v>6</v>
      </c>
      <c r="F7994" t="s">
        <v>4690</v>
      </c>
      <c r="G7994">
        <v>1</v>
      </c>
      <c r="H7994">
        <v>1</v>
      </c>
      <c r="I7994">
        <f>1</f>
        <v>1</v>
      </c>
    </row>
    <row r="7995" spans="2:9" x14ac:dyDescent="0.25">
      <c r="B7995">
        <v>0</v>
      </c>
      <c r="C7995" s="16" t="s">
        <v>17074</v>
      </c>
      <c r="D7995" s="16"/>
      <c r="E7995">
        <v>6</v>
      </c>
      <c r="F7995" t="e">
        <f>--do tipo doméstico</f>
        <v>#NAME?</v>
      </c>
      <c r="G7995">
        <v>1</v>
      </c>
      <c r="H7995">
        <v>1</v>
      </c>
      <c r="I7995">
        <f>1</f>
        <v>1</v>
      </c>
    </row>
    <row r="7996" spans="2:9" x14ac:dyDescent="0.25">
      <c r="B7996">
        <v>0</v>
      </c>
      <c r="C7996" s="16" t="s">
        <v>17075</v>
      </c>
      <c r="D7996" s="16"/>
      <c r="E7996">
        <v>6</v>
      </c>
      <c r="F7996" t="e">
        <f>--Outras</f>
        <v>#NAME?</v>
      </c>
      <c r="G7996">
        <v>1</v>
      </c>
      <c r="H7996">
        <v>1</v>
      </c>
      <c r="I7996">
        <f>1</f>
        <v>1</v>
      </c>
    </row>
    <row r="7997" spans="2:9" x14ac:dyDescent="0.25">
      <c r="B7997">
        <v>0</v>
      </c>
      <c r="C7997" s="16" t="s">
        <v>17075</v>
      </c>
      <c r="D7997" s="16" t="s">
        <v>19430</v>
      </c>
      <c r="E7997">
        <v>6</v>
      </c>
      <c r="F7997" t="s">
        <v>8149</v>
      </c>
      <c r="G7997">
        <v>1</v>
      </c>
      <c r="H7997">
        <v>1</v>
      </c>
      <c r="I7997">
        <f>1</f>
        <v>1</v>
      </c>
    </row>
    <row r="7998" spans="2:9" x14ac:dyDescent="0.25">
      <c r="B7998">
        <v>0</v>
      </c>
      <c r="C7998" s="16" t="s">
        <v>17076</v>
      </c>
      <c r="D7998" s="16"/>
      <c r="E7998">
        <v>6</v>
      </c>
      <c r="F7998" t="e">
        <f>-máquinas e aparelhos para limpar ou secar garrafas ou outros recipientes</f>
        <v>#NAME?</v>
      </c>
      <c r="G7998">
        <v>1</v>
      </c>
      <c r="H7998">
        <v>1</v>
      </c>
      <c r="I7998">
        <f>1</f>
        <v>1</v>
      </c>
    </row>
    <row r="7999" spans="2:9" x14ac:dyDescent="0.25">
      <c r="B7999">
        <v>0</v>
      </c>
      <c r="C7999" s="16" t="s">
        <v>17077</v>
      </c>
      <c r="D7999" s="16"/>
      <c r="E7999">
        <v>6</v>
      </c>
      <c r="F7999" t="s">
        <v>8150</v>
      </c>
      <c r="G7999">
        <v>1</v>
      </c>
      <c r="H7999">
        <v>1</v>
      </c>
      <c r="I7999">
        <f>1</f>
        <v>1</v>
      </c>
    </row>
    <row r="8000" spans="2:9" x14ac:dyDescent="0.25">
      <c r="B8000">
        <v>0</v>
      </c>
      <c r="C8000" s="16" t="s">
        <v>17078</v>
      </c>
      <c r="D8000" s="16"/>
      <c r="E8000">
        <v>6</v>
      </c>
      <c r="F8000" t="s">
        <v>8151</v>
      </c>
      <c r="G8000">
        <v>1</v>
      </c>
      <c r="H8000">
        <v>1</v>
      </c>
      <c r="I8000">
        <f>1</f>
        <v>1</v>
      </c>
    </row>
    <row r="8001" spans="2:9" x14ac:dyDescent="0.25">
      <c r="B8001">
        <v>0</v>
      </c>
      <c r="C8001" s="16" t="s">
        <v>17079</v>
      </c>
      <c r="D8001" s="16"/>
      <c r="E8001">
        <v>6</v>
      </c>
      <c r="F8001" t="s">
        <v>8152</v>
      </c>
      <c r="G8001">
        <v>1</v>
      </c>
      <c r="H8001">
        <v>1</v>
      </c>
      <c r="I8001">
        <f>1</f>
        <v>1</v>
      </c>
    </row>
    <row r="8002" spans="2:9" x14ac:dyDescent="0.25">
      <c r="B8002">
        <v>0</v>
      </c>
      <c r="C8002" s="16" t="s">
        <v>17080</v>
      </c>
      <c r="D8002" s="16"/>
      <c r="E8002">
        <v>6</v>
      </c>
      <c r="F8002" t="s">
        <v>8153</v>
      </c>
      <c r="G8002">
        <v>1</v>
      </c>
      <c r="H8002">
        <v>1</v>
      </c>
      <c r="I8002">
        <f>1</f>
        <v>1</v>
      </c>
    </row>
    <row r="8003" spans="2:9" x14ac:dyDescent="0.25">
      <c r="B8003">
        <v>0</v>
      </c>
      <c r="C8003" s="16" t="s">
        <v>17081</v>
      </c>
      <c r="D8003" s="16"/>
      <c r="E8003">
        <v>6</v>
      </c>
      <c r="F8003" t="s">
        <v>4680</v>
      </c>
      <c r="G8003">
        <v>1</v>
      </c>
      <c r="H8003">
        <v>1</v>
      </c>
      <c r="I8003">
        <f>1</f>
        <v>1</v>
      </c>
    </row>
    <row r="8004" spans="2:9" x14ac:dyDescent="0.25">
      <c r="B8004">
        <v>0</v>
      </c>
      <c r="C8004" s="16" t="s">
        <v>17082</v>
      </c>
      <c r="D8004" s="16"/>
      <c r="E8004">
        <v>6</v>
      </c>
      <c r="F8004" t="s">
        <v>8154</v>
      </c>
      <c r="G8004">
        <v>1</v>
      </c>
      <c r="H8004">
        <v>1</v>
      </c>
      <c r="I8004">
        <f>1</f>
        <v>1</v>
      </c>
    </row>
    <row r="8005" spans="2:9" x14ac:dyDescent="0.25">
      <c r="B8005">
        <v>0</v>
      </c>
      <c r="C8005" s="16" t="s">
        <v>17083</v>
      </c>
      <c r="D8005" s="16"/>
      <c r="E8005">
        <v>6</v>
      </c>
      <c r="F8005" t="s">
        <v>8155</v>
      </c>
      <c r="G8005">
        <v>1</v>
      </c>
      <c r="H8005">
        <v>1</v>
      </c>
      <c r="I8005">
        <f>1</f>
        <v>1</v>
      </c>
    </row>
    <row r="8006" spans="2:9" x14ac:dyDescent="0.25">
      <c r="B8006">
        <v>0</v>
      </c>
      <c r="C8006" s="16" t="s">
        <v>17084</v>
      </c>
      <c r="D8006" s="16"/>
      <c r="E8006">
        <v>6</v>
      </c>
      <c r="F8006" t="s">
        <v>8156</v>
      </c>
      <c r="G8006">
        <v>1</v>
      </c>
      <c r="H8006">
        <v>1</v>
      </c>
      <c r="I8006">
        <f>1</f>
        <v>1</v>
      </c>
    </row>
    <row r="8007" spans="2:9" x14ac:dyDescent="0.25">
      <c r="B8007">
        <v>0</v>
      </c>
      <c r="C8007" s="16" t="s">
        <v>17085</v>
      </c>
      <c r="D8007" s="16"/>
      <c r="E8007">
        <v>6</v>
      </c>
      <c r="F8007" t="s">
        <v>4680</v>
      </c>
      <c r="G8007">
        <v>1</v>
      </c>
      <c r="H8007">
        <v>1</v>
      </c>
      <c r="I8007">
        <f>1</f>
        <v>1</v>
      </c>
    </row>
    <row r="8008" spans="2:9" x14ac:dyDescent="0.25">
      <c r="B8008">
        <v>0</v>
      </c>
      <c r="C8008" s="16" t="s">
        <v>17086</v>
      </c>
      <c r="D8008" s="16"/>
      <c r="E8008">
        <v>6</v>
      </c>
      <c r="F8008" t="s">
        <v>8157</v>
      </c>
      <c r="G8008">
        <v>1</v>
      </c>
      <c r="H8008">
        <v>1</v>
      </c>
      <c r="I8008">
        <f>1</f>
        <v>1</v>
      </c>
    </row>
    <row r="8009" spans="2:9" x14ac:dyDescent="0.25">
      <c r="B8009">
        <v>0</v>
      </c>
      <c r="C8009" s="16" t="s">
        <v>17087</v>
      </c>
      <c r="D8009" s="16"/>
      <c r="E8009">
        <v>6</v>
      </c>
      <c r="F8009" t="s">
        <v>8158</v>
      </c>
      <c r="G8009">
        <v>1</v>
      </c>
      <c r="H8009">
        <v>1</v>
      </c>
      <c r="I8009">
        <f>1</f>
        <v>1</v>
      </c>
    </row>
    <row r="8010" spans="2:9" x14ac:dyDescent="0.25">
      <c r="B8010">
        <v>0</v>
      </c>
      <c r="C8010" s="16" t="s">
        <v>17088</v>
      </c>
      <c r="D8010" s="16"/>
      <c r="E8010">
        <v>6</v>
      </c>
      <c r="F8010" t="s">
        <v>4690</v>
      </c>
      <c r="G8010">
        <v>1</v>
      </c>
      <c r="H8010">
        <v>1</v>
      </c>
      <c r="I8010">
        <f>1</f>
        <v>1</v>
      </c>
    </row>
    <row r="8011" spans="2:9" x14ac:dyDescent="0.25">
      <c r="B8011">
        <v>0</v>
      </c>
      <c r="C8011" s="16" t="s">
        <v>17089</v>
      </c>
      <c r="D8011" s="16"/>
      <c r="E8011">
        <v>6</v>
      </c>
      <c r="F8011" t="s">
        <v>8159</v>
      </c>
      <c r="G8011">
        <v>1</v>
      </c>
      <c r="H8011">
        <v>1</v>
      </c>
      <c r="I8011">
        <f>1</f>
        <v>1</v>
      </c>
    </row>
    <row r="8012" spans="2:9" x14ac:dyDescent="0.25">
      <c r="B8012">
        <v>0</v>
      </c>
      <c r="C8012" s="16" t="s">
        <v>17089</v>
      </c>
      <c r="D8012" s="16" t="s">
        <v>19430</v>
      </c>
      <c r="E8012">
        <v>6</v>
      </c>
      <c r="F8012" t="s">
        <v>8160</v>
      </c>
      <c r="G8012">
        <v>1</v>
      </c>
      <c r="H8012">
        <v>1</v>
      </c>
      <c r="I8012">
        <f>1</f>
        <v>1</v>
      </c>
    </row>
    <row r="8013" spans="2:9" x14ac:dyDescent="0.25">
      <c r="B8013">
        <v>0</v>
      </c>
      <c r="C8013" s="16" t="s">
        <v>17090</v>
      </c>
      <c r="D8013" s="16"/>
      <c r="E8013">
        <v>6</v>
      </c>
      <c r="F8013" t="e">
        <f>-Básculas De pesagem contínua em transportadores</f>
        <v>#NAME?</v>
      </c>
      <c r="G8013">
        <v>1</v>
      </c>
      <c r="H8013">
        <v>1</v>
      </c>
      <c r="I8013">
        <f>1</f>
        <v>1</v>
      </c>
    </row>
    <row r="8014" spans="2:9" x14ac:dyDescent="0.25">
      <c r="B8014">
        <v>0</v>
      </c>
      <c r="C8014" s="16" t="s">
        <v>17091</v>
      </c>
      <c r="D8014" s="16"/>
      <c r="E8014">
        <v>6</v>
      </c>
      <c r="F8014" t="s">
        <v>8161</v>
      </c>
      <c r="G8014">
        <v>1</v>
      </c>
      <c r="H8014">
        <v>1</v>
      </c>
      <c r="I8014">
        <f>1</f>
        <v>1</v>
      </c>
    </row>
    <row r="8015" spans="2:9" x14ac:dyDescent="0.25">
      <c r="B8015">
        <v>0</v>
      </c>
      <c r="C8015" s="16" t="s">
        <v>17092</v>
      </c>
      <c r="D8015" s="16"/>
      <c r="E8015">
        <v>6</v>
      </c>
      <c r="F8015" t="s">
        <v>4690</v>
      </c>
      <c r="G8015">
        <v>1</v>
      </c>
      <c r="H8015">
        <v>1</v>
      </c>
      <c r="I8015">
        <f>1</f>
        <v>1</v>
      </c>
    </row>
    <row r="8016" spans="2:9" x14ac:dyDescent="0.25">
      <c r="B8016">
        <v>0</v>
      </c>
      <c r="C8016" s="16" t="s">
        <v>17093</v>
      </c>
      <c r="D8016" s="16"/>
      <c r="E8016">
        <v>6</v>
      </c>
      <c r="F8016" t="s">
        <v>4690</v>
      </c>
      <c r="G8016">
        <v>1</v>
      </c>
      <c r="H8016">
        <v>1</v>
      </c>
      <c r="I8016">
        <f>1</f>
        <v>1</v>
      </c>
    </row>
    <row r="8017" spans="2:9" x14ac:dyDescent="0.25">
      <c r="B8017">
        <v>0</v>
      </c>
      <c r="C8017" s="16" t="s">
        <v>17094</v>
      </c>
      <c r="D8017" s="16"/>
      <c r="E8017">
        <v>6</v>
      </c>
      <c r="F8017" t="s">
        <v>8162</v>
      </c>
      <c r="G8017">
        <v>1</v>
      </c>
      <c r="H8017">
        <v>1</v>
      </c>
      <c r="I8017">
        <f>1</f>
        <v>1</v>
      </c>
    </row>
    <row r="8018" spans="2:9" x14ac:dyDescent="0.25">
      <c r="B8018">
        <v>0</v>
      </c>
      <c r="C8018" s="16" t="s">
        <v>17095</v>
      </c>
      <c r="D8018" s="16"/>
      <c r="E8018">
        <v>6</v>
      </c>
      <c r="F8018" t="s">
        <v>4680</v>
      </c>
      <c r="G8018">
        <v>1</v>
      </c>
      <c r="H8018">
        <v>1</v>
      </c>
      <c r="I8018">
        <f>1</f>
        <v>1</v>
      </c>
    </row>
    <row r="8019" spans="2:9" x14ac:dyDescent="0.25">
      <c r="B8019">
        <v>0</v>
      </c>
      <c r="C8019" s="16" t="s">
        <v>17096</v>
      </c>
      <c r="D8019" s="16"/>
      <c r="E8019">
        <v>6</v>
      </c>
      <c r="F8019" t="s">
        <v>8163</v>
      </c>
      <c r="G8019">
        <v>1</v>
      </c>
      <c r="H8019">
        <v>1</v>
      </c>
      <c r="I8019">
        <f>1</f>
        <v>1</v>
      </c>
    </row>
    <row r="8020" spans="2:9" x14ac:dyDescent="0.25">
      <c r="B8020">
        <v>0</v>
      </c>
      <c r="C8020" s="16" t="s">
        <v>17097</v>
      </c>
      <c r="D8020" s="16"/>
      <c r="E8020">
        <v>6</v>
      </c>
      <c r="F8020" t="e">
        <f>--outros</f>
        <v>#NAME?</v>
      </c>
      <c r="G8020">
        <v>1</v>
      </c>
      <c r="H8020">
        <v>1</v>
      </c>
      <c r="I8020">
        <f>1</f>
        <v>1</v>
      </c>
    </row>
    <row r="8021" spans="2:9" x14ac:dyDescent="0.25">
      <c r="B8021">
        <v>0</v>
      </c>
      <c r="C8021" s="16" t="s">
        <v>17098</v>
      </c>
      <c r="D8021" s="16"/>
      <c r="E8021">
        <v>6</v>
      </c>
      <c r="F8021" t="s">
        <v>8164</v>
      </c>
      <c r="G8021">
        <v>1</v>
      </c>
      <c r="H8021">
        <v>1</v>
      </c>
      <c r="I8021">
        <f>1</f>
        <v>1</v>
      </c>
    </row>
    <row r="8022" spans="2:9" x14ac:dyDescent="0.25">
      <c r="B8022">
        <v>0</v>
      </c>
      <c r="C8022" s="16" t="s">
        <v>17099</v>
      </c>
      <c r="D8022" s="16"/>
      <c r="E8022">
        <v>6</v>
      </c>
      <c r="F8022" t="s">
        <v>8165</v>
      </c>
      <c r="G8022">
        <v>1</v>
      </c>
      <c r="H8022">
        <v>1</v>
      </c>
      <c r="I8022">
        <f>1</f>
        <v>1</v>
      </c>
    </row>
    <row r="8023" spans="2:9" x14ac:dyDescent="0.25">
      <c r="B8023">
        <v>0</v>
      </c>
      <c r="C8023" s="16" t="s">
        <v>17100</v>
      </c>
      <c r="D8023" s="16"/>
      <c r="E8023">
        <v>6</v>
      </c>
      <c r="F8023" t="s">
        <v>4690</v>
      </c>
      <c r="G8023">
        <v>1</v>
      </c>
      <c r="H8023">
        <v>1</v>
      </c>
      <c r="I8023">
        <f>1</f>
        <v>1</v>
      </c>
    </row>
    <row r="8024" spans="2:9" x14ac:dyDescent="0.25">
      <c r="B8024">
        <v>0</v>
      </c>
      <c r="C8024" s="16" t="s">
        <v>17101</v>
      </c>
      <c r="D8024" s="16"/>
      <c r="E8024">
        <v>6</v>
      </c>
      <c r="F8024" t="s">
        <v>8166</v>
      </c>
      <c r="G8024">
        <v>1</v>
      </c>
      <c r="H8024">
        <v>1</v>
      </c>
      <c r="I8024">
        <f>1</f>
        <v>1</v>
      </c>
    </row>
    <row r="8025" spans="2:9" x14ac:dyDescent="0.25">
      <c r="B8025">
        <v>0</v>
      </c>
      <c r="C8025" s="16" t="s">
        <v>17102</v>
      </c>
      <c r="D8025" s="16"/>
      <c r="E8025">
        <v>6</v>
      </c>
      <c r="F8025" t="e">
        <f>-Pistolas aerográficas e aparelhos semelhantes</f>
        <v>#NAME?</v>
      </c>
      <c r="G8025">
        <v>1</v>
      </c>
      <c r="H8025">
        <v>1</v>
      </c>
      <c r="I8025">
        <f>1</f>
        <v>1</v>
      </c>
    </row>
    <row r="8026" spans="2:9" x14ac:dyDescent="0.25">
      <c r="B8026">
        <v>0</v>
      </c>
      <c r="C8026" s="16" t="s">
        <v>17103</v>
      </c>
      <c r="D8026" s="16"/>
      <c r="E8026">
        <v>6</v>
      </c>
      <c r="F8026" t="s">
        <v>8167</v>
      </c>
      <c r="G8026">
        <v>1</v>
      </c>
      <c r="H8026">
        <v>1</v>
      </c>
      <c r="I8026">
        <f>1</f>
        <v>1</v>
      </c>
    </row>
    <row r="8027" spans="2:9" x14ac:dyDescent="0.25">
      <c r="B8027">
        <v>0</v>
      </c>
      <c r="C8027" s="16" t="s">
        <v>17104</v>
      </c>
      <c r="D8027" s="16"/>
      <c r="E8027">
        <v>6</v>
      </c>
      <c r="F8027" t="s">
        <v>8168</v>
      </c>
      <c r="G8027">
        <v>1</v>
      </c>
      <c r="H8027">
        <v>1</v>
      </c>
      <c r="I8027">
        <f>1</f>
        <v>1</v>
      </c>
    </row>
    <row r="8028" spans="2:9" x14ac:dyDescent="0.25">
      <c r="B8028">
        <v>0</v>
      </c>
      <c r="C8028" s="16" t="s">
        <v>17105</v>
      </c>
      <c r="D8028" s="16"/>
      <c r="E8028">
        <v>6</v>
      </c>
      <c r="F8028" t="s">
        <v>8169</v>
      </c>
      <c r="G8028">
        <v>1</v>
      </c>
      <c r="H8028">
        <v>1</v>
      </c>
      <c r="I8028">
        <f>1</f>
        <v>1</v>
      </c>
    </row>
    <row r="8029" spans="2:9" x14ac:dyDescent="0.25">
      <c r="B8029">
        <v>0</v>
      </c>
      <c r="C8029" s="16" t="s">
        <v>17106</v>
      </c>
      <c r="D8029" s="16"/>
      <c r="E8029">
        <v>6</v>
      </c>
      <c r="F8029" t="s">
        <v>4680</v>
      </c>
      <c r="G8029">
        <v>1</v>
      </c>
      <c r="H8029">
        <v>1</v>
      </c>
      <c r="I8029">
        <f>1</f>
        <v>1</v>
      </c>
    </row>
    <row r="8030" spans="2:9" x14ac:dyDescent="0.25">
      <c r="B8030">
        <v>0</v>
      </c>
      <c r="C8030" s="16" t="s">
        <v>17107</v>
      </c>
      <c r="D8030" s="16"/>
      <c r="E8030">
        <v>6</v>
      </c>
      <c r="F8030" t="s">
        <v>8170</v>
      </c>
      <c r="G8030">
        <v>1</v>
      </c>
      <c r="H8030">
        <v>1</v>
      </c>
      <c r="I8030">
        <f>1</f>
        <v>1</v>
      </c>
    </row>
    <row r="8031" spans="2:9" x14ac:dyDescent="0.25">
      <c r="B8031">
        <v>0</v>
      </c>
      <c r="C8031" s="16" t="s">
        <v>17108</v>
      </c>
      <c r="D8031" s="16"/>
      <c r="E8031">
        <v>6</v>
      </c>
      <c r="F8031" t="s">
        <v>4680</v>
      </c>
      <c r="G8031">
        <v>1</v>
      </c>
      <c r="H8031">
        <v>1</v>
      </c>
      <c r="I8031">
        <f>1</f>
        <v>1</v>
      </c>
    </row>
    <row r="8032" spans="2:9" x14ac:dyDescent="0.25">
      <c r="B8032">
        <v>0</v>
      </c>
      <c r="C8032" s="16" t="s">
        <v>17109</v>
      </c>
      <c r="D8032" s="16"/>
      <c r="E8032">
        <v>6</v>
      </c>
      <c r="F8032" t="s">
        <v>8171</v>
      </c>
      <c r="G8032">
        <v>1</v>
      </c>
      <c r="H8032">
        <v>1</v>
      </c>
      <c r="I8032">
        <f>1</f>
        <v>1</v>
      </c>
    </row>
    <row r="8033" spans="2:9" x14ac:dyDescent="0.25">
      <c r="B8033">
        <v>0</v>
      </c>
      <c r="C8033" s="16" t="s">
        <v>17110</v>
      </c>
      <c r="D8033" s="16"/>
      <c r="E8033">
        <v>6</v>
      </c>
      <c r="F8033" t="s">
        <v>4680</v>
      </c>
      <c r="G8033">
        <v>1</v>
      </c>
      <c r="H8033">
        <v>1</v>
      </c>
      <c r="I8033">
        <f>1</f>
        <v>1</v>
      </c>
    </row>
    <row r="8034" spans="2:9" x14ac:dyDescent="0.25">
      <c r="B8034">
        <v>0</v>
      </c>
      <c r="C8034" s="16" t="s">
        <v>17111</v>
      </c>
      <c r="D8034" s="16"/>
      <c r="E8034">
        <v>6</v>
      </c>
      <c r="F8034" t="s">
        <v>4680</v>
      </c>
      <c r="G8034">
        <v>1</v>
      </c>
      <c r="H8034">
        <v>1</v>
      </c>
      <c r="I8034">
        <f>1</f>
        <v>1</v>
      </c>
    </row>
    <row r="8035" spans="2:9" x14ac:dyDescent="0.25">
      <c r="B8035">
        <v>0</v>
      </c>
      <c r="C8035" s="16" t="s">
        <v>17112</v>
      </c>
      <c r="D8035" s="16"/>
      <c r="E8035">
        <v>6</v>
      </c>
      <c r="F8035" t="s">
        <v>8172</v>
      </c>
      <c r="G8035">
        <v>1</v>
      </c>
      <c r="H8035">
        <v>1</v>
      </c>
      <c r="I8035">
        <f>1</f>
        <v>1</v>
      </c>
    </row>
    <row r="8036" spans="2:9" x14ac:dyDescent="0.25">
      <c r="B8036">
        <v>0</v>
      </c>
      <c r="C8036" s="16" t="s">
        <v>17113</v>
      </c>
      <c r="D8036" s="16"/>
      <c r="E8036">
        <v>6</v>
      </c>
      <c r="F8036" t="s">
        <v>8173</v>
      </c>
      <c r="G8036">
        <v>1</v>
      </c>
      <c r="H8036">
        <v>1</v>
      </c>
      <c r="I8036">
        <f>1</f>
        <v>1</v>
      </c>
    </row>
    <row r="8037" spans="2:9" x14ac:dyDescent="0.25">
      <c r="B8037">
        <v>0</v>
      </c>
      <c r="C8037" s="16" t="s">
        <v>17114</v>
      </c>
      <c r="D8037" s="16"/>
      <c r="E8037">
        <v>6</v>
      </c>
      <c r="F8037" t="s">
        <v>4680</v>
      </c>
      <c r="G8037">
        <v>1</v>
      </c>
      <c r="H8037">
        <v>1</v>
      </c>
      <c r="I8037">
        <f>1</f>
        <v>1</v>
      </c>
    </row>
    <row r="8038" spans="2:9" x14ac:dyDescent="0.25">
      <c r="B8038">
        <v>0</v>
      </c>
      <c r="C8038" s="16" t="s">
        <v>17115</v>
      </c>
      <c r="D8038" s="16"/>
      <c r="E8038">
        <v>6</v>
      </c>
      <c r="F8038" t="s">
        <v>8174</v>
      </c>
      <c r="G8038">
        <v>1</v>
      </c>
      <c r="H8038">
        <v>1</v>
      </c>
      <c r="I8038">
        <f>1</f>
        <v>1</v>
      </c>
    </row>
    <row r="8039" spans="2:9" x14ac:dyDescent="0.25">
      <c r="B8039">
        <v>0</v>
      </c>
      <c r="C8039" s="16" t="s">
        <v>17116</v>
      </c>
      <c r="D8039" s="16"/>
      <c r="E8039">
        <v>6</v>
      </c>
      <c r="F8039" t="s">
        <v>4690</v>
      </c>
      <c r="G8039">
        <v>1</v>
      </c>
      <c r="H8039">
        <v>1</v>
      </c>
      <c r="I8039">
        <f>1</f>
        <v>1</v>
      </c>
    </row>
    <row r="8040" spans="2:9" x14ac:dyDescent="0.25">
      <c r="B8040">
        <v>0</v>
      </c>
      <c r="C8040" s="16" t="s">
        <v>17117</v>
      </c>
      <c r="D8040" s="16"/>
      <c r="E8040">
        <v>6</v>
      </c>
      <c r="F8040" t="e">
        <f>--De motor elétrico</f>
        <v>#NAME?</v>
      </c>
      <c r="G8040">
        <v>1</v>
      </c>
      <c r="H8040">
        <v>1</v>
      </c>
      <c r="I8040">
        <f>1</f>
        <v>1</v>
      </c>
    </row>
    <row r="8041" spans="2:9" x14ac:dyDescent="0.25">
      <c r="B8041">
        <v>0</v>
      </c>
      <c r="C8041" s="16" t="s">
        <v>17118</v>
      </c>
      <c r="D8041" s="16"/>
      <c r="E8041">
        <v>6</v>
      </c>
      <c r="F8041" t="s">
        <v>8175</v>
      </c>
      <c r="G8041">
        <v>1</v>
      </c>
      <c r="H8041">
        <v>1</v>
      </c>
      <c r="I8041">
        <f>1</f>
        <v>1</v>
      </c>
    </row>
    <row r="8042" spans="2:9" x14ac:dyDescent="0.25">
      <c r="B8042">
        <v>0</v>
      </c>
      <c r="C8042" s="16" t="s">
        <v>17119</v>
      </c>
      <c r="D8042" s="16"/>
      <c r="E8042">
        <v>6</v>
      </c>
      <c r="F8042" t="s">
        <v>4680</v>
      </c>
      <c r="G8042">
        <v>1</v>
      </c>
      <c r="H8042">
        <v>1</v>
      </c>
      <c r="I8042">
        <f>1</f>
        <v>1</v>
      </c>
    </row>
    <row r="8043" spans="2:9" x14ac:dyDescent="0.25">
      <c r="B8043">
        <v>0</v>
      </c>
      <c r="C8043" s="16" t="s">
        <v>17120</v>
      </c>
      <c r="D8043" s="16"/>
      <c r="E8043">
        <v>6</v>
      </c>
      <c r="F8043" t="s">
        <v>8176</v>
      </c>
      <c r="G8043">
        <v>1</v>
      </c>
      <c r="H8043">
        <v>1</v>
      </c>
      <c r="I8043">
        <f>1</f>
        <v>1</v>
      </c>
    </row>
    <row r="8044" spans="2:9" x14ac:dyDescent="0.25">
      <c r="B8044">
        <v>0</v>
      </c>
      <c r="C8044" s="16" t="s">
        <v>17121</v>
      </c>
      <c r="D8044" s="16"/>
      <c r="E8044">
        <v>6</v>
      </c>
      <c r="F8044" t="s">
        <v>4680</v>
      </c>
      <c r="G8044">
        <v>1</v>
      </c>
      <c r="H8044">
        <v>1</v>
      </c>
      <c r="I8044">
        <f>1</f>
        <v>1</v>
      </c>
    </row>
    <row r="8045" spans="2:9" x14ac:dyDescent="0.25">
      <c r="B8045">
        <v>0</v>
      </c>
      <c r="C8045" s="16" t="s">
        <v>17122</v>
      </c>
      <c r="D8045" s="16"/>
      <c r="E8045">
        <v>6</v>
      </c>
      <c r="F8045" t="s">
        <v>8176</v>
      </c>
      <c r="G8045">
        <v>1</v>
      </c>
      <c r="H8045">
        <v>1</v>
      </c>
      <c r="I8045">
        <f>1</f>
        <v>1</v>
      </c>
    </row>
    <row r="8046" spans="2:9" x14ac:dyDescent="0.25">
      <c r="B8046">
        <v>0</v>
      </c>
      <c r="C8046" s="16" t="s">
        <v>17123</v>
      </c>
      <c r="D8046" s="16"/>
      <c r="E8046">
        <v>6</v>
      </c>
      <c r="F8046" t="s">
        <v>4680</v>
      </c>
      <c r="G8046">
        <v>1</v>
      </c>
      <c r="H8046">
        <v>1</v>
      </c>
      <c r="I8046">
        <f>1</f>
        <v>1</v>
      </c>
    </row>
    <row r="8047" spans="2:9" x14ac:dyDescent="0.25">
      <c r="B8047">
        <v>0</v>
      </c>
      <c r="C8047" s="16" t="s">
        <v>17124</v>
      </c>
      <c r="D8047" s="16"/>
      <c r="E8047">
        <v>6</v>
      </c>
      <c r="F8047" t="s">
        <v>8177</v>
      </c>
      <c r="G8047">
        <v>1</v>
      </c>
      <c r="H8047">
        <v>1</v>
      </c>
      <c r="I8047">
        <f>1</f>
        <v>1</v>
      </c>
    </row>
    <row r="8048" spans="2:9" x14ac:dyDescent="0.25">
      <c r="B8048">
        <v>0</v>
      </c>
      <c r="C8048" s="16" t="s">
        <v>17125</v>
      </c>
      <c r="D8048" s="16"/>
      <c r="E8048">
        <v>6</v>
      </c>
      <c r="F8048" t="s">
        <v>8178</v>
      </c>
      <c r="G8048">
        <v>1</v>
      </c>
      <c r="H8048">
        <v>1</v>
      </c>
      <c r="I8048">
        <f>1</f>
        <v>1</v>
      </c>
    </row>
    <row r="8049" spans="2:9" x14ac:dyDescent="0.25">
      <c r="B8049">
        <v>0</v>
      </c>
      <c r="C8049" s="16" t="s">
        <v>17126</v>
      </c>
      <c r="D8049" s="16"/>
      <c r="E8049">
        <v>6</v>
      </c>
      <c r="F8049" t="s">
        <v>8179</v>
      </c>
      <c r="G8049">
        <v>1</v>
      </c>
      <c r="H8049">
        <v>1</v>
      </c>
      <c r="I8049">
        <f>1</f>
        <v>1</v>
      </c>
    </row>
    <row r="8050" spans="2:9" x14ac:dyDescent="0.25">
      <c r="B8050">
        <v>0</v>
      </c>
      <c r="C8050" s="16" t="s">
        <v>17127</v>
      </c>
      <c r="D8050" s="16"/>
      <c r="E8050">
        <v>6</v>
      </c>
      <c r="F8050" t="s">
        <v>4680</v>
      </c>
      <c r="G8050">
        <v>1</v>
      </c>
      <c r="H8050">
        <v>1</v>
      </c>
      <c r="I8050">
        <f>1</f>
        <v>1</v>
      </c>
    </row>
    <row r="8051" spans="2:9" x14ac:dyDescent="0.25">
      <c r="B8051">
        <v>0</v>
      </c>
      <c r="C8051" s="16" t="s">
        <v>17128</v>
      </c>
      <c r="D8051" s="16"/>
      <c r="E8051">
        <v>6</v>
      </c>
      <c r="F8051" t="s">
        <v>8180</v>
      </c>
      <c r="G8051">
        <v>1</v>
      </c>
      <c r="H8051">
        <v>1</v>
      </c>
      <c r="I8051">
        <f>1</f>
        <v>1</v>
      </c>
    </row>
    <row r="8052" spans="2:9" x14ac:dyDescent="0.25">
      <c r="B8052">
        <v>0</v>
      </c>
      <c r="C8052" s="16" t="s">
        <v>17129</v>
      </c>
      <c r="D8052" s="16"/>
      <c r="E8052">
        <v>6</v>
      </c>
      <c r="F8052" t="e">
        <f>--pórticos móveis De Pneumáticos e carros-pórticos</f>
        <v>#NAME?</v>
      </c>
      <c r="G8052">
        <v>1</v>
      </c>
      <c r="H8052">
        <v>1</v>
      </c>
      <c r="I8052">
        <f>1</f>
        <v>1</v>
      </c>
    </row>
    <row r="8053" spans="2:9" x14ac:dyDescent="0.25">
      <c r="B8053">
        <v>0</v>
      </c>
      <c r="C8053" s="16" t="s">
        <v>17130</v>
      </c>
      <c r="D8053" s="16"/>
      <c r="E8053">
        <v>6</v>
      </c>
      <c r="F8053" t="e">
        <f>--outros</f>
        <v>#NAME?</v>
      </c>
      <c r="G8053">
        <v>1</v>
      </c>
      <c r="H8053">
        <v>1</v>
      </c>
      <c r="I8053">
        <f>1</f>
        <v>1</v>
      </c>
    </row>
    <row r="8054" spans="2:9" x14ac:dyDescent="0.25">
      <c r="B8054">
        <v>0</v>
      </c>
      <c r="C8054" s="16" t="s">
        <v>17131</v>
      </c>
      <c r="D8054" s="16"/>
      <c r="E8054">
        <v>6</v>
      </c>
      <c r="F8054" t="e">
        <f>-Guindastes De torre</f>
        <v>#NAME?</v>
      </c>
      <c r="G8054">
        <v>1</v>
      </c>
      <c r="H8054">
        <v>1</v>
      </c>
      <c r="I8054">
        <f>1</f>
        <v>1</v>
      </c>
    </row>
    <row r="8055" spans="2:9" x14ac:dyDescent="0.25">
      <c r="B8055">
        <v>0</v>
      </c>
      <c r="C8055" s="16" t="s">
        <v>17132</v>
      </c>
      <c r="D8055" s="16"/>
      <c r="E8055">
        <v>6</v>
      </c>
      <c r="F8055" t="e">
        <f>-Guindastes De pórtico</f>
        <v>#NAME?</v>
      </c>
      <c r="G8055">
        <v>1</v>
      </c>
      <c r="H8055">
        <v>1</v>
      </c>
      <c r="I8055">
        <f>1</f>
        <v>1</v>
      </c>
    </row>
    <row r="8056" spans="2:9" x14ac:dyDescent="0.25">
      <c r="B8056">
        <v>0</v>
      </c>
      <c r="C8056" s="16" t="s">
        <v>17133</v>
      </c>
      <c r="D8056" s="16"/>
      <c r="E8056">
        <v>6</v>
      </c>
      <c r="F8056" t="s">
        <v>8181</v>
      </c>
      <c r="G8056">
        <v>1</v>
      </c>
      <c r="H8056">
        <v>1</v>
      </c>
      <c r="I8056">
        <f>1</f>
        <v>1</v>
      </c>
    </row>
    <row r="8057" spans="2:9" x14ac:dyDescent="0.25">
      <c r="B8057">
        <v>0</v>
      </c>
      <c r="C8057" s="16" t="s">
        <v>17134</v>
      </c>
      <c r="D8057" s="16"/>
      <c r="E8057">
        <v>6</v>
      </c>
      <c r="F8057" t="s">
        <v>4680</v>
      </c>
      <c r="G8057">
        <v>1</v>
      </c>
      <c r="H8057">
        <v>1</v>
      </c>
      <c r="I8057">
        <f>1</f>
        <v>1</v>
      </c>
    </row>
    <row r="8058" spans="2:9" x14ac:dyDescent="0.25">
      <c r="B8058">
        <v>0</v>
      </c>
      <c r="C8058" s="16" t="s">
        <v>17135</v>
      </c>
      <c r="D8058" s="16"/>
      <c r="E8058">
        <v>6</v>
      </c>
      <c r="F8058" t="s">
        <v>8182</v>
      </c>
      <c r="G8058">
        <v>1</v>
      </c>
      <c r="H8058">
        <v>1</v>
      </c>
      <c r="I8058">
        <f>1</f>
        <v>1</v>
      </c>
    </row>
    <row r="8059" spans="2:9" x14ac:dyDescent="0.25">
      <c r="B8059">
        <v>0</v>
      </c>
      <c r="C8059" s="16" t="s">
        <v>17136</v>
      </c>
      <c r="D8059" s="16"/>
      <c r="E8059">
        <v>6</v>
      </c>
      <c r="F8059" t="s">
        <v>4680</v>
      </c>
      <c r="G8059">
        <v>1</v>
      </c>
      <c r="H8059">
        <v>1</v>
      </c>
      <c r="I8059">
        <f>1</f>
        <v>1</v>
      </c>
    </row>
    <row r="8060" spans="2:9" x14ac:dyDescent="0.25">
      <c r="B8060">
        <v>0</v>
      </c>
      <c r="C8060" s="16" t="s">
        <v>17137</v>
      </c>
      <c r="D8060" s="16"/>
      <c r="E8060">
        <v>6</v>
      </c>
      <c r="F8060" t="e">
        <f>--Próprios para serem montados em veículos rodoviários</f>
        <v>#NAME?</v>
      </c>
      <c r="G8060">
        <v>1</v>
      </c>
      <c r="H8060">
        <v>1</v>
      </c>
      <c r="I8060">
        <f>1</f>
        <v>1</v>
      </c>
    </row>
    <row r="8061" spans="2:9" x14ac:dyDescent="0.25">
      <c r="B8061">
        <v>0</v>
      </c>
      <c r="C8061" s="16" t="s">
        <v>17138</v>
      </c>
      <c r="D8061" s="16"/>
      <c r="E8061">
        <v>6</v>
      </c>
      <c r="F8061" t="e">
        <f>--outros</f>
        <v>#NAME?</v>
      </c>
      <c r="G8061">
        <v>1</v>
      </c>
      <c r="H8061">
        <v>1</v>
      </c>
      <c r="I8061">
        <f>1</f>
        <v>1</v>
      </c>
    </row>
    <row r="8062" spans="2:9" x14ac:dyDescent="0.25">
      <c r="B8062">
        <v>0</v>
      </c>
      <c r="C8062" s="16" t="s">
        <v>17139</v>
      </c>
      <c r="D8062" s="16"/>
      <c r="E8062">
        <v>6</v>
      </c>
      <c r="F8062" t="s">
        <v>8183</v>
      </c>
      <c r="G8062">
        <v>1</v>
      </c>
      <c r="H8062">
        <v>1</v>
      </c>
      <c r="I8062">
        <f>1</f>
        <v>1</v>
      </c>
    </row>
    <row r="8063" spans="2:9" x14ac:dyDescent="0.25">
      <c r="B8063">
        <v>0</v>
      </c>
      <c r="C8063" s="16" t="s">
        <v>17140</v>
      </c>
      <c r="D8063" s="16"/>
      <c r="E8063">
        <v>6</v>
      </c>
      <c r="F8063" t="s">
        <v>4690</v>
      </c>
      <c r="G8063">
        <v>1</v>
      </c>
      <c r="H8063">
        <v>1</v>
      </c>
      <c r="I8063">
        <f>1</f>
        <v>1</v>
      </c>
    </row>
    <row r="8064" spans="2:9" x14ac:dyDescent="0.25">
      <c r="B8064">
        <v>0</v>
      </c>
      <c r="C8064" s="16" t="s">
        <v>17141</v>
      </c>
      <c r="D8064" s="16"/>
      <c r="E8064">
        <v>6</v>
      </c>
      <c r="F8064" t="s">
        <v>4680</v>
      </c>
      <c r="G8064">
        <v>1</v>
      </c>
      <c r="H8064">
        <v>1</v>
      </c>
      <c r="I8064">
        <f>1</f>
        <v>1</v>
      </c>
    </row>
    <row r="8065" spans="2:9" x14ac:dyDescent="0.25">
      <c r="B8065">
        <v>0</v>
      </c>
      <c r="C8065" s="16" t="s">
        <v>17142</v>
      </c>
      <c r="D8065" s="16"/>
      <c r="E8065">
        <v>6</v>
      </c>
      <c r="F8065" t="s">
        <v>8184</v>
      </c>
      <c r="G8065">
        <v>1</v>
      </c>
      <c r="H8065">
        <v>1</v>
      </c>
      <c r="I8065">
        <f>1</f>
        <v>1</v>
      </c>
    </row>
    <row r="8066" spans="2:9" x14ac:dyDescent="0.25">
      <c r="B8066">
        <v>0</v>
      </c>
      <c r="C8066" s="16" t="s">
        <v>17143</v>
      </c>
      <c r="D8066" s="16"/>
      <c r="E8066">
        <v>6</v>
      </c>
      <c r="F8066" t="s">
        <v>4680</v>
      </c>
      <c r="G8066">
        <v>1</v>
      </c>
      <c r="H8066">
        <v>1</v>
      </c>
      <c r="I8066">
        <f>1</f>
        <v>1</v>
      </c>
    </row>
    <row r="8067" spans="2:9" x14ac:dyDescent="0.25">
      <c r="B8067">
        <v>0</v>
      </c>
      <c r="C8067" s="16" t="s">
        <v>17144</v>
      </c>
      <c r="D8067" s="16"/>
      <c r="E8067">
        <v>6</v>
      </c>
      <c r="F8067" t="e">
        <f>-outros</f>
        <v>#NAME?</v>
      </c>
      <c r="G8067">
        <v>1</v>
      </c>
      <c r="H8067">
        <v>1</v>
      </c>
      <c r="I8067">
        <f>1</f>
        <v>1</v>
      </c>
    </row>
    <row r="8068" spans="2:9" x14ac:dyDescent="0.25">
      <c r="B8068">
        <v>0</v>
      </c>
      <c r="C8068" s="16" t="s">
        <v>17145</v>
      </c>
      <c r="D8068" s="16"/>
      <c r="E8068">
        <v>6</v>
      </c>
      <c r="F8068" t="e">
        <f>-Elevadores e monta-cargas</f>
        <v>#NAME?</v>
      </c>
      <c r="G8068">
        <v>1</v>
      </c>
      <c r="H8068">
        <v>1</v>
      </c>
      <c r="I8068">
        <f>1</f>
        <v>1</v>
      </c>
    </row>
    <row r="8069" spans="2:9" x14ac:dyDescent="0.25">
      <c r="B8069">
        <v>0</v>
      </c>
      <c r="C8069" s="16" t="s">
        <v>17146</v>
      </c>
      <c r="D8069" s="16"/>
      <c r="E8069">
        <v>6</v>
      </c>
      <c r="F8069" t="s">
        <v>8185</v>
      </c>
      <c r="G8069">
        <v>1</v>
      </c>
      <c r="H8069">
        <v>1</v>
      </c>
      <c r="I8069">
        <f>1</f>
        <v>1</v>
      </c>
    </row>
    <row r="8070" spans="2:9" x14ac:dyDescent="0.25">
      <c r="B8070">
        <v>0</v>
      </c>
      <c r="C8070" s="16" t="s">
        <v>17147</v>
      </c>
      <c r="D8070" s="16"/>
      <c r="E8070">
        <v>6</v>
      </c>
      <c r="F8070" t="s">
        <v>4680</v>
      </c>
      <c r="G8070">
        <v>1</v>
      </c>
      <c r="H8070">
        <v>1</v>
      </c>
      <c r="I8070">
        <f>1</f>
        <v>1</v>
      </c>
    </row>
    <row r="8071" spans="2:9" x14ac:dyDescent="0.25">
      <c r="B8071">
        <v>0</v>
      </c>
      <c r="C8071" s="16" t="s">
        <v>17148</v>
      </c>
      <c r="D8071" s="16"/>
      <c r="E8071">
        <v>6</v>
      </c>
      <c r="F8071" t="e">
        <f>--especialmente concebidos para uso subterrâneo</f>
        <v>#NAME?</v>
      </c>
      <c r="G8071">
        <v>1</v>
      </c>
      <c r="H8071">
        <v>1</v>
      </c>
      <c r="I8071">
        <f>1</f>
        <v>1</v>
      </c>
    </row>
    <row r="8072" spans="2:9" x14ac:dyDescent="0.25">
      <c r="B8072">
        <v>0</v>
      </c>
      <c r="C8072" s="16" t="s">
        <v>17149</v>
      </c>
      <c r="D8072" s="16"/>
      <c r="E8072">
        <v>6</v>
      </c>
      <c r="F8072" t="s">
        <v>8186</v>
      </c>
      <c r="G8072">
        <v>1</v>
      </c>
      <c r="H8072">
        <v>1</v>
      </c>
      <c r="I8072">
        <f>1</f>
        <v>1</v>
      </c>
    </row>
    <row r="8073" spans="2:9" x14ac:dyDescent="0.25">
      <c r="B8073">
        <v>0</v>
      </c>
      <c r="C8073" s="16" t="s">
        <v>17150</v>
      </c>
      <c r="D8073" s="16"/>
      <c r="E8073">
        <v>6</v>
      </c>
      <c r="F8073" t="s">
        <v>8187</v>
      </c>
      <c r="G8073">
        <v>1</v>
      </c>
      <c r="H8073">
        <v>1</v>
      </c>
      <c r="I8073">
        <f>1</f>
        <v>1</v>
      </c>
    </row>
    <row r="8074" spans="2:9" x14ac:dyDescent="0.25">
      <c r="B8074">
        <v>0</v>
      </c>
      <c r="C8074" s="16" t="s">
        <v>17151</v>
      </c>
      <c r="D8074" s="16"/>
      <c r="E8074">
        <v>6</v>
      </c>
      <c r="F8074" t="s">
        <v>8188</v>
      </c>
      <c r="G8074">
        <v>1</v>
      </c>
      <c r="H8074">
        <v>1</v>
      </c>
      <c r="I8074">
        <f>1</f>
        <v>1</v>
      </c>
    </row>
    <row r="8075" spans="2:9" x14ac:dyDescent="0.25">
      <c r="B8075">
        <v>0</v>
      </c>
      <c r="C8075" s="16" t="s">
        <v>17152</v>
      </c>
      <c r="D8075" s="16"/>
      <c r="E8075">
        <v>6</v>
      </c>
      <c r="F8075" t="s">
        <v>8189</v>
      </c>
      <c r="G8075">
        <v>1</v>
      </c>
      <c r="H8075">
        <v>1</v>
      </c>
      <c r="I8075">
        <f>1</f>
        <v>1</v>
      </c>
    </row>
    <row r="8076" spans="2:9" x14ac:dyDescent="0.25">
      <c r="B8076">
        <v>0</v>
      </c>
      <c r="C8076" s="16" t="s">
        <v>17153</v>
      </c>
      <c r="D8076" s="16"/>
      <c r="E8076">
        <v>6</v>
      </c>
      <c r="F8076" t="s">
        <v>8190</v>
      </c>
      <c r="G8076">
        <v>1</v>
      </c>
      <c r="H8076">
        <v>1</v>
      </c>
      <c r="I8076">
        <f>1</f>
        <v>1</v>
      </c>
    </row>
    <row r="8077" spans="2:9" x14ac:dyDescent="0.25">
      <c r="B8077">
        <v>0</v>
      </c>
      <c r="C8077" s="16" t="s">
        <v>17154</v>
      </c>
      <c r="D8077" s="16"/>
      <c r="E8077">
        <v>6</v>
      </c>
      <c r="F8077" t="s">
        <v>4680</v>
      </c>
      <c r="G8077">
        <v>1</v>
      </c>
      <c r="H8077">
        <v>1</v>
      </c>
      <c r="I8077">
        <f>1</f>
        <v>1</v>
      </c>
    </row>
    <row r="8078" spans="2:9" x14ac:dyDescent="0.25">
      <c r="B8078">
        <v>0</v>
      </c>
      <c r="C8078" s="16" t="s">
        <v>17155</v>
      </c>
      <c r="D8078" s="16"/>
      <c r="E8078">
        <v>6</v>
      </c>
      <c r="F8078" t="s">
        <v>8191</v>
      </c>
      <c r="G8078">
        <v>1</v>
      </c>
      <c r="H8078">
        <v>1</v>
      </c>
      <c r="I8078">
        <f>1</f>
        <v>1</v>
      </c>
    </row>
    <row r="8079" spans="2:9" x14ac:dyDescent="0.25">
      <c r="B8079">
        <v>0</v>
      </c>
      <c r="C8079" s="16" t="s">
        <v>17156</v>
      </c>
      <c r="D8079" s="16"/>
      <c r="E8079">
        <v>6</v>
      </c>
      <c r="F8079" t="s">
        <v>8192</v>
      </c>
      <c r="G8079">
        <v>1</v>
      </c>
      <c r="H8079">
        <v>1</v>
      </c>
      <c r="I8079">
        <f>1</f>
        <v>1</v>
      </c>
    </row>
    <row r="8080" spans="2:9" x14ac:dyDescent="0.25">
      <c r="B8080">
        <v>0</v>
      </c>
      <c r="C8080" s="16" t="s">
        <v>17156</v>
      </c>
      <c r="D8080" s="16" t="s">
        <v>19430</v>
      </c>
      <c r="E8080">
        <v>6</v>
      </c>
      <c r="F8080" t="s">
        <v>8193</v>
      </c>
      <c r="G8080">
        <v>1</v>
      </c>
      <c r="H8080">
        <v>1</v>
      </c>
      <c r="I8080">
        <f>1</f>
        <v>1</v>
      </c>
    </row>
    <row r="8081" spans="2:9" x14ac:dyDescent="0.25">
      <c r="B8081">
        <v>0</v>
      </c>
      <c r="C8081" s="16" t="s">
        <v>17157</v>
      </c>
      <c r="D8081" s="16"/>
      <c r="E8081">
        <v>6</v>
      </c>
      <c r="F8081" t="s">
        <v>8194</v>
      </c>
      <c r="G8081">
        <v>1</v>
      </c>
      <c r="H8081">
        <v>1</v>
      </c>
      <c r="I8081">
        <f>1</f>
        <v>1</v>
      </c>
    </row>
    <row r="8082" spans="2:9" x14ac:dyDescent="0.25">
      <c r="B8082">
        <v>0</v>
      </c>
      <c r="C8082" s="16" t="s">
        <v>17158</v>
      </c>
      <c r="D8082" s="16"/>
      <c r="E8082">
        <v>6</v>
      </c>
      <c r="F8082" t="s">
        <v>8195</v>
      </c>
      <c r="G8082">
        <v>1</v>
      </c>
      <c r="H8082">
        <v>1</v>
      </c>
      <c r="I8082">
        <f>1</f>
        <v>1</v>
      </c>
    </row>
    <row r="8083" spans="2:9" x14ac:dyDescent="0.25">
      <c r="B8083">
        <v>0</v>
      </c>
      <c r="C8083" s="16" t="s">
        <v>17159</v>
      </c>
      <c r="D8083" s="16"/>
      <c r="E8083">
        <v>6</v>
      </c>
      <c r="F8083" t="s">
        <v>8196</v>
      </c>
      <c r="G8083">
        <v>1</v>
      </c>
      <c r="H8083">
        <v>1</v>
      </c>
      <c r="I8083">
        <f>1</f>
        <v>1</v>
      </c>
    </row>
    <row r="8084" spans="2:9" x14ac:dyDescent="0.25">
      <c r="B8084">
        <v>0</v>
      </c>
      <c r="C8084" s="16" t="s">
        <v>17160</v>
      </c>
      <c r="D8084" s="16"/>
      <c r="E8084">
        <v>6</v>
      </c>
      <c r="F8084" t="s">
        <v>4680</v>
      </c>
      <c r="G8084">
        <v>1</v>
      </c>
      <c r="H8084">
        <v>1</v>
      </c>
      <c r="I8084">
        <f>1</f>
        <v>1</v>
      </c>
    </row>
    <row r="8085" spans="2:9" x14ac:dyDescent="0.25">
      <c r="B8085">
        <v>0</v>
      </c>
      <c r="C8085" s="16" t="s">
        <v>17161</v>
      </c>
      <c r="D8085" s="16"/>
      <c r="E8085">
        <v>6</v>
      </c>
      <c r="F8085" t="s">
        <v>8197</v>
      </c>
      <c r="G8085">
        <v>1</v>
      </c>
      <c r="H8085">
        <v>1</v>
      </c>
      <c r="I8085">
        <f>1</f>
        <v>1</v>
      </c>
    </row>
    <row r="8086" spans="2:9" x14ac:dyDescent="0.25">
      <c r="B8086">
        <v>0</v>
      </c>
      <c r="C8086" s="16" t="s">
        <v>17162</v>
      </c>
      <c r="D8086" s="16"/>
      <c r="E8086">
        <v>6</v>
      </c>
      <c r="F8086" t="s">
        <v>4680</v>
      </c>
      <c r="G8086">
        <v>1</v>
      </c>
      <c r="H8086">
        <v>1</v>
      </c>
      <c r="I8086">
        <f>1</f>
        <v>1</v>
      </c>
    </row>
    <row r="8087" spans="2:9" x14ac:dyDescent="0.25">
      <c r="B8087">
        <v>0</v>
      </c>
      <c r="C8087" s="16" t="s">
        <v>17163</v>
      </c>
      <c r="D8087" s="16"/>
      <c r="E8087">
        <v>6</v>
      </c>
      <c r="F8087" t="s">
        <v>8198</v>
      </c>
      <c r="G8087">
        <v>1</v>
      </c>
      <c r="H8087">
        <v>1</v>
      </c>
      <c r="I8087">
        <f>1</f>
        <v>1</v>
      </c>
    </row>
    <row r="8088" spans="2:9" x14ac:dyDescent="0.25">
      <c r="B8088">
        <v>0</v>
      </c>
      <c r="C8088" s="16" t="s">
        <v>17164</v>
      </c>
      <c r="D8088" s="16"/>
      <c r="E8088">
        <v>6</v>
      </c>
      <c r="F8088" t="s">
        <v>4680</v>
      </c>
      <c r="G8088">
        <v>1</v>
      </c>
      <c r="H8088">
        <v>1</v>
      </c>
      <c r="I8088">
        <f>1</f>
        <v>1</v>
      </c>
    </row>
    <row r="8089" spans="2:9" x14ac:dyDescent="0.25">
      <c r="B8089">
        <v>0</v>
      </c>
      <c r="C8089" s="16" t="s">
        <v>17165</v>
      </c>
      <c r="D8089" s="16"/>
      <c r="E8089">
        <v>6</v>
      </c>
      <c r="F8089" t="s">
        <v>8199</v>
      </c>
      <c r="G8089">
        <v>1</v>
      </c>
      <c r="H8089">
        <v>1</v>
      </c>
      <c r="I8089">
        <f>1</f>
        <v>1</v>
      </c>
    </row>
    <row r="8090" spans="2:9" x14ac:dyDescent="0.25">
      <c r="B8090">
        <v>0</v>
      </c>
      <c r="C8090" s="16" t="s">
        <v>17166</v>
      </c>
      <c r="D8090" s="16"/>
      <c r="E8090">
        <v>6</v>
      </c>
      <c r="F8090" t="s">
        <v>4680</v>
      </c>
      <c r="G8090">
        <v>1</v>
      </c>
      <c r="H8090">
        <v>1</v>
      </c>
      <c r="I8090">
        <f>1</f>
        <v>1</v>
      </c>
    </row>
    <row r="8091" spans="2:9" x14ac:dyDescent="0.25">
      <c r="B8091">
        <v>0</v>
      </c>
      <c r="C8091" s="16" t="s">
        <v>17167</v>
      </c>
      <c r="D8091" s="16"/>
      <c r="E8091">
        <v>6</v>
      </c>
      <c r="F8091" t="e">
        <f>-Raspo-transportadores  scrapers</f>
        <v>#NAME?</v>
      </c>
      <c r="G8091">
        <v>1</v>
      </c>
      <c r="H8091">
        <v>1</v>
      </c>
      <c r="I8091">
        <f>1</f>
        <v>1</v>
      </c>
    </row>
    <row r="8092" spans="2:9" x14ac:dyDescent="0.25">
      <c r="B8092">
        <v>0</v>
      </c>
      <c r="C8092" s="16" t="s">
        <v>17168</v>
      </c>
      <c r="D8092" s="16"/>
      <c r="E8092">
        <v>6</v>
      </c>
      <c r="F8092" t="e">
        <f>-Compactadores e rolos ou Cilindros compressores</f>
        <v>#NAME?</v>
      </c>
      <c r="G8092">
        <v>1</v>
      </c>
      <c r="H8092">
        <v>1</v>
      </c>
      <c r="I8092">
        <f>1</f>
        <v>1</v>
      </c>
    </row>
    <row r="8093" spans="2:9" x14ac:dyDescent="0.25">
      <c r="B8093">
        <v>0</v>
      </c>
      <c r="C8093" s="16" t="s">
        <v>17169</v>
      </c>
      <c r="D8093" s="16"/>
      <c r="E8093">
        <v>6</v>
      </c>
      <c r="F8093" t="s">
        <v>8200</v>
      </c>
      <c r="G8093">
        <v>1</v>
      </c>
      <c r="H8093">
        <v>1</v>
      </c>
      <c r="I8093">
        <f>1</f>
        <v>1</v>
      </c>
    </row>
    <row r="8094" spans="2:9" x14ac:dyDescent="0.25">
      <c r="B8094">
        <v>0</v>
      </c>
      <c r="C8094" s="16" t="s">
        <v>17170</v>
      </c>
      <c r="D8094" s="16"/>
      <c r="E8094">
        <v>6</v>
      </c>
      <c r="F8094" t="s">
        <v>4690</v>
      </c>
      <c r="G8094">
        <v>1</v>
      </c>
      <c r="H8094">
        <v>1</v>
      </c>
      <c r="I8094">
        <f>1</f>
        <v>1</v>
      </c>
    </row>
    <row r="8095" spans="2:9" x14ac:dyDescent="0.25">
      <c r="B8095">
        <v>0</v>
      </c>
      <c r="C8095" s="16" t="s">
        <v>17171</v>
      </c>
      <c r="D8095" s="16"/>
      <c r="E8095">
        <v>6</v>
      </c>
      <c r="F8095" t="s">
        <v>8201</v>
      </c>
      <c r="G8095">
        <v>1</v>
      </c>
      <c r="H8095">
        <v>1</v>
      </c>
      <c r="I8095">
        <f>1</f>
        <v>1</v>
      </c>
    </row>
    <row r="8096" spans="2:9" x14ac:dyDescent="0.25">
      <c r="B8096">
        <v>0</v>
      </c>
      <c r="C8096" s="16" t="s">
        <v>17172</v>
      </c>
      <c r="D8096" s="16"/>
      <c r="E8096">
        <v>6</v>
      </c>
      <c r="F8096" t="s">
        <v>4690</v>
      </c>
      <c r="G8096">
        <v>1</v>
      </c>
      <c r="H8096">
        <v>1</v>
      </c>
      <c r="I8096">
        <f>1</f>
        <v>1</v>
      </c>
    </row>
    <row r="8097" spans="2:9" x14ac:dyDescent="0.25">
      <c r="B8097">
        <v>0</v>
      </c>
      <c r="C8097" s="16" t="s">
        <v>17173</v>
      </c>
      <c r="D8097" s="16"/>
      <c r="E8097">
        <v>6</v>
      </c>
      <c r="F8097" t="s">
        <v>8202</v>
      </c>
      <c r="G8097">
        <v>1</v>
      </c>
      <c r="H8097">
        <v>1</v>
      </c>
      <c r="I8097">
        <f>1</f>
        <v>1</v>
      </c>
    </row>
    <row r="8098" spans="2:9" x14ac:dyDescent="0.25">
      <c r="B8098">
        <v>0</v>
      </c>
      <c r="C8098" s="16" t="s">
        <v>17174</v>
      </c>
      <c r="D8098" s="16"/>
      <c r="E8098">
        <v>6</v>
      </c>
      <c r="F8098" t="s">
        <v>8203</v>
      </c>
      <c r="G8098">
        <v>1</v>
      </c>
      <c r="H8098">
        <v>1</v>
      </c>
      <c r="I8098">
        <f>1</f>
        <v>1</v>
      </c>
    </row>
    <row r="8099" spans="2:9" x14ac:dyDescent="0.25">
      <c r="B8099">
        <v>0</v>
      </c>
      <c r="C8099" s="16" t="s">
        <v>17175</v>
      </c>
      <c r="D8099" s="16"/>
      <c r="E8099">
        <v>6</v>
      </c>
      <c r="F8099" t="s">
        <v>4690</v>
      </c>
      <c r="G8099">
        <v>1</v>
      </c>
      <c r="H8099">
        <v>1</v>
      </c>
      <c r="I8099">
        <f>1</f>
        <v>1</v>
      </c>
    </row>
    <row r="8100" spans="2:9" x14ac:dyDescent="0.25">
      <c r="B8100">
        <v>0</v>
      </c>
      <c r="C8100" s="16" t="s">
        <v>17176</v>
      </c>
      <c r="D8100" s="16"/>
      <c r="E8100">
        <v>6</v>
      </c>
      <c r="F8100" t="s">
        <v>8204</v>
      </c>
      <c r="G8100">
        <v>1</v>
      </c>
      <c r="H8100">
        <v>1</v>
      </c>
      <c r="I8100">
        <f>1</f>
        <v>1</v>
      </c>
    </row>
    <row r="8101" spans="2:9" x14ac:dyDescent="0.25">
      <c r="B8101">
        <v>0</v>
      </c>
      <c r="C8101" s="16" t="s">
        <v>17177</v>
      </c>
      <c r="D8101" s="16"/>
      <c r="E8101">
        <v>6</v>
      </c>
      <c r="F8101" t="s">
        <v>8205</v>
      </c>
      <c r="G8101">
        <v>1</v>
      </c>
      <c r="H8101">
        <v>1</v>
      </c>
      <c r="I8101">
        <f>1</f>
        <v>1</v>
      </c>
    </row>
    <row r="8102" spans="2:9" x14ac:dyDescent="0.25">
      <c r="B8102">
        <v>0</v>
      </c>
      <c r="C8102" s="16" t="s">
        <v>17178</v>
      </c>
      <c r="D8102" s="16"/>
      <c r="E8102">
        <v>6</v>
      </c>
      <c r="F8102" t="s">
        <v>4690</v>
      </c>
      <c r="G8102">
        <v>1</v>
      </c>
      <c r="H8102">
        <v>1</v>
      </c>
      <c r="I8102">
        <f>1</f>
        <v>1</v>
      </c>
    </row>
    <row r="8103" spans="2:9" x14ac:dyDescent="0.25">
      <c r="B8103">
        <v>0</v>
      </c>
      <c r="C8103" s="16" t="s">
        <v>17179</v>
      </c>
      <c r="D8103" s="16"/>
      <c r="E8103">
        <v>6</v>
      </c>
      <c r="F8103" t="s">
        <v>8206</v>
      </c>
      <c r="G8103">
        <v>1</v>
      </c>
      <c r="H8103">
        <v>1</v>
      </c>
      <c r="I8103">
        <f>1</f>
        <v>1</v>
      </c>
    </row>
    <row r="8104" spans="2:9" x14ac:dyDescent="0.25">
      <c r="B8104">
        <v>0</v>
      </c>
      <c r="C8104" s="16" t="s">
        <v>17180</v>
      </c>
      <c r="D8104" s="16"/>
      <c r="E8104">
        <v>6</v>
      </c>
      <c r="F8104" t="s">
        <v>4690</v>
      </c>
      <c r="G8104">
        <v>1</v>
      </c>
      <c r="H8104">
        <v>1</v>
      </c>
      <c r="I8104">
        <f>1</f>
        <v>1</v>
      </c>
    </row>
    <row r="8105" spans="2:9" x14ac:dyDescent="0.25">
      <c r="B8105">
        <v>0</v>
      </c>
      <c r="C8105" s="16" t="s">
        <v>17181</v>
      </c>
      <c r="D8105" s="16"/>
      <c r="E8105">
        <v>6</v>
      </c>
      <c r="F8105" t="e">
        <f>--outros</f>
        <v>#NAME?</v>
      </c>
      <c r="G8105">
        <v>1</v>
      </c>
      <c r="H8105">
        <v>1</v>
      </c>
      <c r="I8105">
        <f>1</f>
        <v>1</v>
      </c>
    </row>
    <row r="8106" spans="2:9" x14ac:dyDescent="0.25">
      <c r="B8106">
        <v>0</v>
      </c>
      <c r="C8106" s="16" t="s">
        <v>17182</v>
      </c>
      <c r="D8106" s="16"/>
      <c r="E8106">
        <v>6</v>
      </c>
      <c r="F8106" t="e">
        <f>-Bate-Estacas e arranca-Estacas</f>
        <v>#NAME?</v>
      </c>
      <c r="G8106">
        <v>1</v>
      </c>
      <c r="H8106">
        <v>1</v>
      </c>
      <c r="I8106">
        <f>1</f>
        <v>1</v>
      </c>
    </row>
    <row r="8107" spans="2:9" x14ac:dyDescent="0.25">
      <c r="B8107">
        <v>0</v>
      </c>
      <c r="C8107" s="16" t="s">
        <v>17183</v>
      </c>
      <c r="D8107" s="16"/>
      <c r="E8107">
        <v>6</v>
      </c>
      <c r="F8107" t="e">
        <f>-Limpa-neves</f>
        <v>#NAME?</v>
      </c>
      <c r="G8107">
        <v>1</v>
      </c>
      <c r="H8107">
        <v>1</v>
      </c>
      <c r="I8107">
        <f>1</f>
        <v>1</v>
      </c>
    </row>
    <row r="8108" spans="2:9" x14ac:dyDescent="0.25">
      <c r="B8108">
        <v>0</v>
      </c>
      <c r="C8108" s="16" t="s">
        <v>17184</v>
      </c>
      <c r="D8108" s="16"/>
      <c r="E8108">
        <v>6</v>
      </c>
      <c r="F8108" t="s">
        <v>8207</v>
      </c>
      <c r="G8108">
        <v>1</v>
      </c>
      <c r="H8108">
        <v>1</v>
      </c>
      <c r="I8108">
        <f>1</f>
        <v>1</v>
      </c>
    </row>
    <row r="8109" spans="2:9" x14ac:dyDescent="0.25">
      <c r="B8109">
        <v>0</v>
      </c>
      <c r="C8109" s="16" t="s">
        <v>17185</v>
      </c>
      <c r="D8109" s="16"/>
      <c r="E8109">
        <v>6</v>
      </c>
      <c r="F8109" t="s">
        <v>4680</v>
      </c>
      <c r="G8109">
        <v>1</v>
      </c>
      <c r="H8109">
        <v>1</v>
      </c>
      <c r="I8109">
        <f>1</f>
        <v>1</v>
      </c>
    </row>
    <row r="8110" spans="2:9" x14ac:dyDescent="0.25">
      <c r="B8110">
        <v>0</v>
      </c>
      <c r="C8110" s="16" t="s">
        <v>17186</v>
      </c>
      <c r="D8110" s="16"/>
      <c r="E8110">
        <v>6</v>
      </c>
      <c r="F8110" t="s">
        <v>8207</v>
      </c>
      <c r="G8110">
        <v>1</v>
      </c>
      <c r="H8110">
        <v>1</v>
      </c>
      <c r="I8110">
        <f>1</f>
        <v>1</v>
      </c>
    </row>
    <row r="8111" spans="2:9" x14ac:dyDescent="0.25">
      <c r="B8111">
        <v>0</v>
      </c>
      <c r="C8111" s="16" t="s">
        <v>17187</v>
      </c>
      <c r="D8111" s="16"/>
      <c r="E8111">
        <v>6</v>
      </c>
      <c r="F8111" t="s">
        <v>4690</v>
      </c>
      <c r="G8111">
        <v>1</v>
      </c>
      <c r="H8111">
        <v>1</v>
      </c>
      <c r="I8111">
        <f>1</f>
        <v>1</v>
      </c>
    </row>
    <row r="8112" spans="2:9" x14ac:dyDescent="0.25">
      <c r="B8112">
        <v>0</v>
      </c>
      <c r="C8112" s="16" t="s">
        <v>17188</v>
      </c>
      <c r="D8112" s="16"/>
      <c r="E8112">
        <v>6</v>
      </c>
      <c r="F8112" t="s">
        <v>8208</v>
      </c>
      <c r="G8112">
        <v>1</v>
      </c>
      <c r="H8112">
        <v>1</v>
      </c>
      <c r="I8112">
        <f>1</f>
        <v>1</v>
      </c>
    </row>
    <row r="8113" spans="2:9" x14ac:dyDescent="0.25">
      <c r="B8113">
        <v>0</v>
      </c>
      <c r="C8113" s="16" t="s">
        <v>17189</v>
      </c>
      <c r="D8113" s="16"/>
      <c r="E8113">
        <v>6</v>
      </c>
      <c r="F8113" t="s">
        <v>8209</v>
      </c>
      <c r="G8113">
        <v>1</v>
      </c>
      <c r="H8113">
        <v>1</v>
      </c>
      <c r="I8113">
        <f>1</f>
        <v>1</v>
      </c>
    </row>
    <row r="8114" spans="2:9" x14ac:dyDescent="0.25">
      <c r="B8114">
        <v>0</v>
      </c>
      <c r="C8114" s="16" t="s">
        <v>17190</v>
      </c>
      <c r="D8114" s="16"/>
      <c r="E8114">
        <v>6</v>
      </c>
      <c r="F8114" t="s">
        <v>8210</v>
      </c>
      <c r="G8114">
        <v>1</v>
      </c>
      <c r="H8114">
        <v>1</v>
      </c>
      <c r="I8114">
        <f>1</f>
        <v>1</v>
      </c>
    </row>
    <row r="8115" spans="2:9" x14ac:dyDescent="0.25">
      <c r="B8115">
        <v>0</v>
      </c>
      <c r="C8115" s="16" t="s">
        <v>17191</v>
      </c>
      <c r="D8115" s="16"/>
      <c r="E8115">
        <v>6</v>
      </c>
      <c r="F8115" t="s">
        <v>4690</v>
      </c>
      <c r="G8115">
        <v>1</v>
      </c>
      <c r="H8115">
        <v>1</v>
      </c>
      <c r="I8115">
        <f>1</f>
        <v>1</v>
      </c>
    </row>
    <row r="8116" spans="2:9" x14ac:dyDescent="0.25">
      <c r="B8116">
        <v>0</v>
      </c>
      <c r="C8116" s="16" t="s">
        <v>17192</v>
      </c>
      <c r="D8116" s="16"/>
      <c r="E8116">
        <v>6</v>
      </c>
      <c r="F8116" t="s">
        <v>8208</v>
      </c>
      <c r="G8116">
        <v>1</v>
      </c>
      <c r="H8116">
        <v>1</v>
      </c>
      <c r="I8116">
        <f>1</f>
        <v>1</v>
      </c>
    </row>
    <row r="8117" spans="2:9" x14ac:dyDescent="0.25">
      <c r="B8117">
        <v>0</v>
      </c>
      <c r="C8117" s="16" t="s">
        <v>17193</v>
      </c>
      <c r="D8117" s="16"/>
      <c r="E8117">
        <v>6</v>
      </c>
      <c r="F8117" t="s">
        <v>8210</v>
      </c>
      <c r="G8117">
        <v>1</v>
      </c>
      <c r="H8117">
        <v>1</v>
      </c>
      <c r="I8117">
        <f>1</f>
        <v>1</v>
      </c>
    </row>
    <row r="8118" spans="2:9" x14ac:dyDescent="0.25">
      <c r="B8118">
        <v>0</v>
      </c>
      <c r="C8118" s="16" t="s">
        <v>17194</v>
      </c>
      <c r="D8118" s="16"/>
      <c r="E8118">
        <v>6</v>
      </c>
      <c r="F8118" t="s">
        <v>4690</v>
      </c>
      <c r="G8118">
        <v>1</v>
      </c>
      <c r="H8118">
        <v>1</v>
      </c>
      <c r="I8118">
        <f>1</f>
        <v>1</v>
      </c>
    </row>
    <row r="8119" spans="2:9" x14ac:dyDescent="0.25">
      <c r="B8119">
        <v>0</v>
      </c>
      <c r="C8119" s="16" t="s">
        <v>17195</v>
      </c>
      <c r="D8119" s="16"/>
      <c r="E8119">
        <v>6</v>
      </c>
      <c r="F8119" t="s">
        <v>8211</v>
      </c>
      <c r="G8119">
        <v>1</v>
      </c>
      <c r="H8119">
        <v>1</v>
      </c>
      <c r="I8119">
        <f>1</f>
        <v>1</v>
      </c>
    </row>
    <row r="8120" spans="2:9" x14ac:dyDescent="0.25">
      <c r="B8120">
        <v>0</v>
      </c>
      <c r="C8120" s="16" t="s">
        <v>17196</v>
      </c>
      <c r="D8120" s="16"/>
      <c r="E8120">
        <v>6</v>
      </c>
      <c r="F8120" t="e">
        <f>--máquinas De comprimir ou De compactar</f>
        <v>#NAME?</v>
      </c>
      <c r="G8120">
        <v>1</v>
      </c>
      <c r="H8120">
        <v>1</v>
      </c>
      <c r="I8120">
        <f>1</f>
        <v>1</v>
      </c>
    </row>
    <row r="8121" spans="2:9" x14ac:dyDescent="0.25">
      <c r="B8121">
        <v>0</v>
      </c>
      <c r="C8121" s="16" t="s">
        <v>17197</v>
      </c>
      <c r="D8121" s="16"/>
      <c r="E8121">
        <v>6</v>
      </c>
      <c r="F8121" t="s">
        <v>8212</v>
      </c>
      <c r="G8121">
        <v>1</v>
      </c>
      <c r="H8121">
        <v>1</v>
      </c>
      <c r="I8121">
        <f>1</f>
        <v>1</v>
      </c>
    </row>
    <row r="8122" spans="2:9" x14ac:dyDescent="0.25">
      <c r="B8122">
        <v>0</v>
      </c>
      <c r="C8122" s="16" t="s">
        <v>17198</v>
      </c>
      <c r="D8122" s="16"/>
      <c r="E8122">
        <v>6</v>
      </c>
      <c r="F8122" t="s">
        <v>4680</v>
      </c>
      <c r="G8122">
        <v>1</v>
      </c>
      <c r="H8122">
        <v>1</v>
      </c>
      <c r="I8122">
        <f>1</f>
        <v>1</v>
      </c>
    </row>
    <row r="8123" spans="2:9" x14ac:dyDescent="0.25">
      <c r="B8123">
        <v>0</v>
      </c>
      <c r="C8123" s="16" t="s">
        <v>17199</v>
      </c>
      <c r="D8123" s="16"/>
      <c r="E8123">
        <v>6</v>
      </c>
      <c r="F8123" t="s">
        <v>4680</v>
      </c>
      <c r="G8123">
        <v>1</v>
      </c>
      <c r="H8123">
        <v>1</v>
      </c>
      <c r="I8123">
        <f>1</f>
        <v>1</v>
      </c>
    </row>
    <row r="8124" spans="2:9" x14ac:dyDescent="0.25">
      <c r="B8124">
        <v>0</v>
      </c>
      <c r="C8124" s="16" t="s">
        <v>17200</v>
      </c>
      <c r="D8124" s="16"/>
      <c r="E8124">
        <v>6</v>
      </c>
      <c r="F8124" t="s">
        <v>8213</v>
      </c>
      <c r="G8124">
        <v>1</v>
      </c>
      <c r="H8124">
        <v>1</v>
      </c>
      <c r="I8124">
        <f>1</f>
        <v>1</v>
      </c>
    </row>
    <row r="8125" spans="2:9" x14ac:dyDescent="0.25">
      <c r="B8125">
        <v>0</v>
      </c>
      <c r="C8125" s="16" t="s">
        <v>17201</v>
      </c>
      <c r="D8125" s="16"/>
      <c r="E8125">
        <v>6</v>
      </c>
      <c r="F8125" t="s">
        <v>4690</v>
      </c>
      <c r="G8125">
        <v>1</v>
      </c>
      <c r="H8125">
        <v>1</v>
      </c>
      <c r="I8125">
        <f>1</f>
        <v>1</v>
      </c>
    </row>
    <row r="8126" spans="2:9" x14ac:dyDescent="0.25">
      <c r="B8126">
        <v>0</v>
      </c>
      <c r="C8126" s="16" t="s">
        <v>17202</v>
      </c>
      <c r="D8126" s="16"/>
      <c r="E8126">
        <v>6</v>
      </c>
      <c r="F8126" t="s">
        <v>8214</v>
      </c>
      <c r="G8126">
        <v>1</v>
      </c>
      <c r="H8126">
        <v>1</v>
      </c>
      <c r="I8126">
        <f>1</f>
        <v>1</v>
      </c>
    </row>
    <row r="8127" spans="2:9" x14ac:dyDescent="0.25">
      <c r="B8127">
        <v>0</v>
      </c>
      <c r="C8127" s="16" t="s">
        <v>17203</v>
      </c>
      <c r="D8127" s="16"/>
      <c r="E8127">
        <v>6</v>
      </c>
      <c r="F8127" t="s">
        <v>8215</v>
      </c>
      <c r="G8127">
        <v>1</v>
      </c>
      <c r="H8127">
        <v>1</v>
      </c>
      <c r="I8127">
        <f>1</f>
        <v>1</v>
      </c>
    </row>
    <row r="8128" spans="2:9" x14ac:dyDescent="0.25">
      <c r="B8128">
        <v>0</v>
      </c>
      <c r="C8128" s="16" t="s">
        <v>17204</v>
      </c>
      <c r="D8128" s="16"/>
      <c r="E8128">
        <v>6</v>
      </c>
      <c r="F8128" t="s">
        <v>4690</v>
      </c>
      <c r="G8128">
        <v>1</v>
      </c>
      <c r="H8128">
        <v>1</v>
      </c>
      <c r="I8128">
        <f>1</f>
        <v>1</v>
      </c>
    </row>
    <row r="8129" spans="2:9" x14ac:dyDescent="0.25">
      <c r="B8129">
        <v>0</v>
      </c>
      <c r="C8129" s="16" t="s">
        <v>17205</v>
      </c>
      <c r="D8129" s="16"/>
      <c r="E8129">
        <v>6</v>
      </c>
      <c r="F8129" t="s">
        <v>8216</v>
      </c>
      <c r="G8129">
        <v>1</v>
      </c>
      <c r="H8129">
        <v>1</v>
      </c>
      <c r="I8129">
        <f>1</f>
        <v>1</v>
      </c>
    </row>
    <row r="8130" spans="2:9" x14ac:dyDescent="0.25">
      <c r="B8130">
        <v>0</v>
      </c>
      <c r="C8130" s="16" t="s">
        <v>17206</v>
      </c>
      <c r="D8130" s="16"/>
      <c r="E8130">
        <v>6</v>
      </c>
      <c r="F8130" t="s">
        <v>4690</v>
      </c>
      <c r="G8130">
        <v>1</v>
      </c>
      <c r="H8130">
        <v>1</v>
      </c>
      <c r="I8130">
        <f>1</f>
        <v>1</v>
      </c>
    </row>
    <row r="8131" spans="2:9" x14ac:dyDescent="0.25">
      <c r="B8131">
        <v>0</v>
      </c>
      <c r="C8131" s="16" t="s">
        <v>17207</v>
      </c>
      <c r="D8131" s="16"/>
      <c r="E8131">
        <v>6</v>
      </c>
      <c r="F8131" t="e">
        <f>--Outras</f>
        <v>#NAME?</v>
      </c>
      <c r="G8131">
        <v>1</v>
      </c>
      <c r="H8131">
        <v>1</v>
      </c>
      <c r="I8131">
        <f>1</f>
        <v>1</v>
      </c>
    </row>
    <row r="8132" spans="2:9" x14ac:dyDescent="0.25">
      <c r="B8132">
        <v>0</v>
      </c>
      <c r="C8132" s="16" t="s">
        <v>17208</v>
      </c>
      <c r="D8132" s="16"/>
      <c r="E8132">
        <v>6</v>
      </c>
      <c r="F8132" t="s">
        <v>8217</v>
      </c>
      <c r="G8132">
        <v>1</v>
      </c>
      <c r="H8132">
        <v>1</v>
      </c>
      <c r="I8132">
        <f>1</f>
        <v>1</v>
      </c>
    </row>
    <row r="8133" spans="2:9" x14ac:dyDescent="0.25">
      <c r="B8133">
        <v>0</v>
      </c>
      <c r="C8133" s="16" t="s">
        <v>17209</v>
      </c>
      <c r="D8133" s="16"/>
      <c r="E8133">
        <v>6</v>
      </c>
      <c r="F8133" t="e">
        <f>--lâminas para bulldozers ou angledozers</f>
        <v>#NAME?</v>
      </c>
      <c r="G8133">
        <v>1</v>
      </c>
      <c r="H8133">
        <v>1</v>
      </c>
      <c r="I8133">
        <f>1</f>
        <v>1</v>
      </c>
    </row>
    <row r="8134" spans="2:9" x14ac:dyDescent="0.25">
      <c r="B8134">
        <v>0</v>
      </c>
      <c r="C8134" s="16" t="s">
        <v>17210</v>
      </c>
      <c r="D8134" s="16"/>
      <c r="E8134">
        <v>6</v>
      </c>
      <c r="F8134" t="s">
        <v>8218</v>
      </c>
      <c r="G8134">
        <v>1</v>
      </c>
      <c r="H8134">
        <v>1</v>
      </c>
      <c r="I8134">
        <f>1</f>
        <v>1</v>
      </c>
    </row>
    <row r="8135" spans="2:9" x14ac:dyDescent="0.25">
      <c r="B8135">
        <v>0</v>
      </c>
      <c r="C8135" s="16" t="s">
        <v>17211</v>
      </c>
      <c r="D8135" s="16"/>
      <c r="E8135">
        <v>6</v>
      </c>
      <c r="F8135" t="s">
        <v>4690</v>
      </c>
      <c r="G8135">
        <v>1</v>
      </c>
      <c r="H8135">
        <v>1</v>
      </c>
      <c r="I8135">
        <f>1</f>
        <v>1</v>
      </c>
    </row>
    <row r="8136" spans="2:9" x14ac:dyDescent="0.25">
      <c r="B8136">
        <v>0</v>
      </c>
      <c r="C8136" s="16" t="s">
        <v>17212</v>
      </c>
      <c r="D8136" s="16"/>
      <c r="E8136">
        <v>6</v>
      </c>
      <c r="F8136" t="s">
        <v>8219</v>
      </c>
      <c r="G8136">
        <v>1</v>
      </c>
      <c r="H8136">
        <v>1</v>
      </c>
      <c r="I8136">
        <f>1</f>
        <v>1</v>
      </c>
    </row>
    <row r="8137" spans="2:9" x14ac:dyDescent="0.25">
      <c r="B8137">
        <v>0</v>
      </c>
      <c r="C8137" s="16" t="s">
        <v>17213</v>
      </c>
      <c r="D8137" s="16"/>
      <c r="E8137">
        <v>6</v>
      </c>
      <c r="F8137" t="s">
        <v>8220</v>
      </c>
      <c r="G8137">
        <v>1</v>
      </c>
      <c r="H8137">
        <v>1</v>
      </c>
      <c r="I8137">
        <f>1</f>
        <v>1</v>
      </c>
    </row>
    <row r="8138" spans="2:9" x14ac:dyDescent="0.25">
      <c r="B8138">
        <v>0</v>
      </c>
      <c r="C8138" s="16" t="s">
        <v>17214</v>
      </c>
      <c r="D8138" s="16"/>
      <c r="E8138">
        <v>6</v>
      </c>
      <c r="F8138" t="s">
        <v>8221</v>
      </c>
      <c r="G8138">
        <v>1</v>
      </c>
      <c r="H8138">
        <v>1</v>
      </c>
      <c r="I8138">
        <f>1</f>
        <v>1</v>
      </c>
    </row>
    <row r="8139" spans="2:9" x14ac:dyDescent="0.25">
      <c r="B8139">
        <v>0</v>
      </c>
      <c r="C8139" s="16" t="s">
        <v>17215</v>
      </c>
      <c r="D8139" s="16"/>
      <c r="E8139">
        <v>6</v>
      </c>
      <c r="F8139" t="s">
        <v>8222</v>
      </c>
      <c r="G8139">
        <v>1</v>
      </c>
      <c r="H8139">
        <v>1</v>
      </c>
      <c r="I8139">
        <f>1</f>
        <v>1</v>
      </c>
    </row>
    <row r="8140" spans="2:9" x14ac:dyDescent="0.25">
      <c r="B8140">
        <v>0</v>
      </c>
      <c r="C8140" s="16" t="s">
        <v>17216</v>
      </c>
      <c r="D8140" s="16"/>
      <c r="E8140">
        <v>6</v>
      </c>
      <c r="F8140" t="s">
        <v>4690</v>
      </c>
      <c r="G8140">
        <v>1</v>
      </c>
      <c r="H8140">
        <v>1</v>
      </c>
      <c r="I8140">
        <f>1</f>
        <v>1</v>
      </c>
    </row>
    <row r="8141" spans="2:9" x14ac:dyDescent="0.25">
      <c r="B8141">
        <v>0</v>
      </c>
      <c r="C8141" s="16" t="s">
        <v>17217</v>
      </c>
      <c r="D8141" s="16"/>
      <c r="E8141">
        <v>6</v>
      </c>
      <c r="F8141" t="e">
        <f>-Arados e charruas</f>
        <v>#NAME?</v>
      </c>
      <c r="G8141">
        <v>1</v>
      </c>
      <c r="H8141">
        <v>1</v>
      </c>
      <c r="I8141">
        <f>1</f>
        <v>1</v>
      </c>
    </row>
    <row r="8142" spans="2:9" x14ac:dyDescent="0.25">
      <c r="B8142">
        <v>0</v>
      </c>
      <c r="C8142" s="16" t="s">
        <v>17218</v>
      </c>
      <c r="D8142" s="16"/>
      <c r="E8142">
        <v>6</v>
      </c>
      <c r="F8142" t="e">
        <f>--grades De discos</f>
        <v>#NAME?</v>
      </c>
      <c r="G8142">
        <v>1</v>
      </c>
      <c r="H8142">
        <v>1</v>
      </c>
      <c r="I8142">
        <f>1</f>
        <v>1</v>
      </c>
    </row>
    <row r="8143" spans="2:9" x14ac:dyDescent="0.25">
      <c r="B8143">
        <v>0</v>
      </c>
      <c r="C8143" s="16" t="s">
        <v>17219</v>
      </c>
      <c r="D8143" s="16"/>
      <c r="E8143">
        <v>6</v>
      </c>
      <c r="F8143" t="e">
        <f>--outros</f>
        <v>#NAME?</v>
      </c>
      <c r="G8143">
        <v>1</v>
      </c>
      <c r="H8143">
        <v>1</v>
      </c>
      <c r="I8143">
        <f>1</f>
        <v>1</v>
      </c>
    </row>
    <row r="8144" spans="2:9" x14ac:dyDescent="0.25">
      <c r="B8144">
        <v>0</v>
      </c>
      <c r="C8144" s="16" t="s">
        <v>17220</v>
      </c>
      <c r="D8144" s="16"/>
      <c r="E8144">
        <v>6</v>
      </c>
      <c r="F8144" t="s">
        <v>8223</v>
      </c>
      <c r="G8144">
        <v>1</v>
      </c>
      <c r="H8144">
        <v>1</v>
      </c>
      <c r="I8144">
        <f>1</f>
        <v>1</v>
      </c>
    </row>
    <row r="8145" spans="2:9" x14ac:dyDescent="0.25">
      <c r="B8145">
        <v>0</v>
      </c>
      <c r="C8145" s="16" t="s">
        <v>17221</v>
      </c>
      <c r="D8145" s="16"/>
      <c r="E8145">
        <v>6</v>
      </c>
      <c r="F8145" t="s">
        <v>4680</v>
      </c>
      <c r="G8145">
        <v>1</v>
      </c>
      <c r="H8145">
        <v>1</v>
      </c>
      <c r="I8145">
        <f>1</f>
        <v>1</v>
      </c>
    </row>
    <row r="8146" spans="2:9" x14ac:dyDescent="0.25">
      <c r="B8146">
        <v>0</v>
      </c>
      <c r="C8146" s="16" t="s">
        <v>17222</v>
      </c>
      <c r="D8146" s="16"/>
      <c r="E8146">
        <v>6</v>
      </c>
      <c r="F8146" t="e">
        <f>-Espalhadores De estrume e distribuidores De Adubos  fertilizantes</f>
        <v>#NAME?</v>
      </c>
      <c r="G8146">
        <v>1</v>
      </c>
      <c r="H8146">
        <v>1</v>
      </c>
      <c r="I8146">
        <f>1</f>
        <v>1</v>
      </c>
    </row>
    <row r="8147" spans="2:9" x14ac:dyDescent="0.25">
      <c r="B8147">
        <v>0</v>
      </c>
      <c r="C8147" s="16" t="s">
        <v>17223</v>
      </c>
      <c r="D8147" s="16"/>
      <c r="E8147">
        <v>6</v>
      </c>
      <c r="F8147" t="e">
        <f>-Outras máquinas e aparelhos</f>
        <v>#NAME?</v>
      </c>
      <c r="G8147">
        <v>1</v>
      </c>
      <c r="H8147">
        <v>1</v>
      </c>
      <c r="I8147">
        <f>1</f>
        <v>1</v>
      </c>
    </row>
    <row r="8148" spans="2:9" x14ac:dyDescent="0.25">
      <c r="B8148">
        <v>0</v>
      </c>
      <c r="C8148" s="16" t="s">
        <v>17223</v>
      </c>
      <c r="D8148" s="16" t="s">
        <v>19430</v>
      </c>
      <c r="E8148">
        <v>6</v>
      </c>
      <c r="F8148" t="s">
        <v>8224</v>
      </c>
      <c r="G8148">
        <v>1</v>
      </c>
      <c r="H8148">
        <v>1</v>
      </c>
      <c r="I8148">
        <f>1</f>
        <v>1</v>
      </c>
    </row>
    <row r="8149" spans="2:9" x14ac:dyDescent="0.25">
      <c r="B8149">
        <v>0</v>
      </c>
      <c r="C8149" s="16" t="s">
        <v>17224</v>
      </c>
      <c r="D8149" s="16"/>
      <c r="E8149">
        <v>6</v>
      </c>
      <c r="F8149" t="e">
        <f>-Partes</f>
        <v>#NAME?</v>
      </c>
      <c r="G8149">
        <v>1</v>
      </c>
      <c r="H8149">
        <v>1</v>
      </c>
      <c r="I8149">
        <f>1</f>
        <v>1</v>
      </c>
    </row>
    <row r="8150" spans="2:9" x14ac:dyDescent="0.25">
      <c r="B8150">
        <v>0</v>
      </c>
      <c r="C8150" s="16" t="s">
        <v>17225</v>
      </c>
      <c r="D8150" s="16"/>
      <c r="E8150">
        <v>6</v>
      </c>
      <c r="F8150" t="s">
        <v>8225</v>
      </c>
      <c r="G8150">
        <v>1</v>
      </c>
      <c r="H8150">
        <v>1</v>
      </c>
      <c r="I8150">
        <f>1</f>
        <v>1</v>
      </c>
    </row>
    <row r="8151" spans="2:9" x14ac:dyDescent="0.25">
      <c r="B8151">
        <v>0</v>
      </c>
      <c r="C8151" s="16" t="s">
        <v>17226</v>
      </c>
      <c r="D8151" s="16"/>
      <c r="E8151">
        <v>6</v>
      </c>
      <c r="F8151" t="e">
        <f>--outros</f>
        <v>#NAME?</v>
      </c>
      <c r="G8151">
        <v>1</v>
      </c>
      <c r="H8151">
        <v>1</v>
      </c>
      <c r="I8151">
        <f>1</f>
        <v>1</v>
      </c>
    </row>
    <row r="8152" spans="2:9" x14ac:dyDescent="0.25">
      <c r="B8152">
        <v>0</v>
      </c>
      <c r="C8152" s="16" t="s">
        <v>17227</v>
      </c>
      <c r="D8152" s="16"/>
      <c r="E8152">
        <v>6</v>
      </c>
      <c r="F8152" t="s">
        <v>8226</v>
      </c>
      <c r="G8152">
        <v>1</v>
      </c>
      <c r="H8152">
        <v>1</v>
      </c>
      <c r="I8152">
        <f>1</f>
        <v>1</v>
      </c>
    </row>
    <row r="8153" spans="2:9" x14ac:dyDescent="0.25">
      <c r="B8153">
        <v>0</v>
      </c>
      <c r="C8153" s="16" t="s">
        <v>17228</v>
      </c>
      <c r="D8153" s="16"/>
      <c r="E8153">
        <v>6</v>
      </c>
      <c r="F8153" t="s">
        <v>4690</v>
      </c>
      <c r="G8153">
        <v>1</v>
      </c>
      <c r="H8153">
        <v>1</v>
      </c>
      <c r="I8153">
        <f>1</f>
        <v>1</v>
      </c>
    </row>
    <row r="8154" spans="2:9" x14ac:dyDescent="0.25">
      <c r="B8154">
        <v>0</v>
      </c>
      <c r="C8154" s="16" t="s">
        <v>17229</v>
      </c>
      <c r="D8154" s="16"/>
      <c r="E8154">
        <v>6</v>
      </c>
      <c r="F8154" t="e">
        <f>-Outras máquinas e aparelhos para colher e dispor o feno</f>
        <v>#NAME?</v>
      </c>
      <c r="G8154">
        <v>1</v>
      </c>
      <c r="H8154">
        <v>1</v>
      </c>
      <c r="I8154">
        <f>1</f>
        <v>1</v>
      </c>
    </row>
    <row r="8155" spans="2:9" x14ac:dyDescent="0.25">
      <c r="B8155">
        <v>0</v>
      </c>
      <c r="C8155" s="16" t="s">
        <v>17230</v>
      </c>
      <c r="D8155" s="16"/>
      <c r="E8155">
        <v>6</v>
      </c>
      <c r="F8155" t="s">
        <v>8227</v>
      </c>
      <c r="G8155">
        <v>1</v>
      </c>
      <c r="H8155">
        <v>1</v>
      </c>
      <c r="I8155">
        <f>1</f>
        <v>1</v>
      </c>
    </row>
    <row r="8156" spans="2:9" x14ac:dyDescent="0.25">
      <c r="B8156">
        <v>0</v>
      </c>
      <c r="C8156" s="16" t="s">
        <v>17231</v>
      </c>
      <c r="D8156" s="16"/>
      <c r="E8156">
        <v>6</v>
      </c>
      <c r="F8156" t="e">
        <f>--Colheitadeiras Combinadas Com debulhadoras</f>
        <v>#NAME?</v>
      </c>
      <c r="G8156">
        <v>1</v>
      </c>
      <c r="H8156">
        <v>1</v>
      </c>
      <c r="I8156">
        <f>1</f>
        <v>1</v>
      </c>
    </row>
    <row r="8157" spans="2:9" x14ac:dyDescent="0.25">
      <c r="B8157">
        <v>0</v>
      </c>
      <c r="C8157" s="16" t="s">
        <v>17232</v>
      </c>
      <c r="D8157" s="16"/>
      <c r="E8157">
        <v>6</v>
      </c>
      <c r="F8157" t="e">
        <f>--Outras máquinas e aparelhos para debulha</f>
        <v>#NAME?</v>
      </c>
      <c r="G8157">
        <v>1</v>
      </c>
      <c r="H8157">
        <v>1</v>
      </c>
      <c r="I8157">
        <f>1</f>
        <v>1</v>
      </c>
    </row>
    <row r="8158" spans="2:9" x14ac:dyDescent="0.25">
      <c r="B8158">
        <v>0</v>
      </c>
      <c r="C8158" s="16" t="s">
        <v>17233</v>
      </c>
      <c r="D8158" s="16"/>
      <c r="E8158">
        <v>6</v>
      </c>
      <c r="F8158" t="e">
        <f>--máquinas para colheita De Raízes ou tubérculos</f>
        <v>#NAME?</v>
      </c>
      <c r="G8158">
        <v>1</v>
      </c>
      <c r="H8158">
        <v>1</v>
      </c>
      <c r="I8158">
        <f>1</f>
        <v>1</v>
      </c>
    </row>
    <row r="8159" spans="2:9" x14ac:dyDescent="0.25">
      <c r="B8159">
        <v>0</v>
      </c>
      <c r="C8159" s="16" t="s">
        <v>17234</v>
      </c>
      <c r="D8159" s="16"/>
      <c r="E8159">
        <v>6</v>
      </c>
      <c r="F8159" t="s">
        <v>8228</v>
      </c>
      <c r="G8159">
        <v>1</v>
      </c>
      <c r="H8159">
        <v>1</v>
      </c>
      <c r="I8159">
        <f>1</f>
        <v>1</v>
      </c>
    </row>
    <row r="8160" spans="2:9" x14ac:dyDescent="0.25">
      <c r="B8160">
        <v>0</v>
      </c>
      <c r="C8160" s="16" t="s">
        <v>17235</v>
      </c>
      <c r="D8160" s="16"/>
      <c r="E8160">
        <v>6</v>
      </c>
      <c r="F8160" t="s">
        <v>4690</v>
      </c>
      <c r="G8160">
        <v>1</v>
      </c>
      <c r="H8160">
        <v>1</v>
      </c>
      <c r="I8160">
        <f>1</f>
        <v>1</v>
      </c>
    </row>
    <row r="8161" spans="2:9" x14ac:dyDescent="0.25">
      <c r="B8161">
        <v>0</v>
      </c>
      <c r="C8161" s="16" t="s">
        <v>17236</v>
      </c>
      <c r="D8161" s="16"/>
      <c r="E8161">
        <v>6</v>
      </c>
      <c r="F8161" t="s">
        <v>4680</v>
      </c>
      <c r="G8161">
        <v>1</v>
      </c>
      <c r="H8161">
        <v>1</v>
      </c>
      <c r="I8161">
        <f>1</f>
        <v>1</v>
      </c>
    </row>
    <row r="8162" spans="2:9" x14ac:dyDescent="0.25">
      <c r="B8162">
        <v>0</v>
      </c>
      <c r="C8162" s="16" t="s">
        <v>17237</v>
      </c>
      <c r="D8162" s="16"/>
      <c r="E8162">
        <v>6</v>
      </c>
      <c r="F8162" t="s">
        <v>8229</v>
      </c>
      <c r="G8162">
        <v>1</v>
      </c>
      <c r="H8162">
        <v>1</v>
      </c>
      <c r="I8162">
        <f>1</f>
        <v>1</v>
      </c>
    </row>
    <row r="8163" spans="2:9" x14ac:dyDescent="0.25">
      <c r="B8163">
        <v>0</v>
      </c>
      <c r="C8163" s="16" t="s">
        <v>17238</v>
      </c>
      <c r="D8163" s="16"/>
      <c r="E8163">
        <v>6</v>
      </c>
      <c r="F8163" t="s">
        <v>8230</v>
      </c>
      <c r="G8163">
        <v>1</v>
      </c>
      <c r="H8163">
        <v>1</v>
      </c>
      <c r="I8163">
        <f>1</f>
        <v>1</v>
      </c>
    </row>
    <row r="8164" spans="2:9" x14ac:dyDescent="0.25">
      <c r="B8164">
        <v>0</v>
      </c>
      <c r="C8164" s="16" t="s">
        <v>17239</v>
      </c>
      <c r="D8164" s="16"/>
      <c r="E8164">
        <v>6</v>
      </c>
      <c r="F8164" t="s">
        <v>4690</v>
      </c>
      <c r="G8164">
        <v>1</v>
      </c>
      <c r="H8164">
        <v>1</v>
      </c>
      <c r="I8164">
        <f>1</f>
        <v>1</v>
      </c>
    </row>
    <row r="8165" spans="2:9" x14ac:dyDescent="0.25">
      <c r="B8165">
        <v>0</v>
      </c>
      <c r="C8165" s="16" t="s">
        <v>17240</v>
      </c>
      <c r="D8165" s="16"/>
      <c r="E8165">
        <v>6</v>
      </c>
      <c r="F8165" t="s">
        <v>4690</v>
      </c>
      <c r="G8165">
        <v>1</v>
      </c>
      <c r="H8165">
        <v>1</v>
      </c>
      <c r="I8165">
        <f>1</f>
        <v>1</v>
      </c>
    </row>
    <row r="8166" spans="2:9" x14ac:dyDescent="0.25">
      <c r="B8166">
        <v>0</v>
      </c>
      <c r="C8166" s="16" t="s">
        <v>17241</v>
      </c>
      <c r="D8166" s="16"/>
      <c r="E8166">
        <v>6</v>
      </c>
      <c r="F8166" t="s">
        <v>8231</v>
      </c>
      <c r="G8166">
        <v>1</v>
      </c>
      <c r="H8166">
        <v>1</v>
      </c>
      <c r="I8166">
        <f>1</f>
        <v>1</v>
      </c>
    </row>
    <row r="8167" spans="2:9" x14ac:dyDescent="0.25">
      <c r="B8167">
        <v>0</v>
      </c>
      <c r="C8167" s="16" t="s">
        <v>17242</v>
      </c>
      <c r="D8167" s="16"/>
      <c r="E8167">
        <v>6</v>
      </c>
      <c r="F8167" t="s">
        <v>4690</v>
      </c>
      <c r="G8167">
        <v>1</v>
      </c>
      <c r="H8167">
        <v>1</v>
      </c>
      <c r="I8167">
        <f>1</f>
        <v>1</v>
      </c>
    </row>
    <row r="8168" spans="2:9" x14ac:dyDescent="0.25">
      <c r="B8168">
        <v>0</v>
      </c>
      <c r="C8168" s="16" t="s">
        <v>17242</v>
      </c>
      <c r="D8168" s="16" t="s">
        <v>19430</v>
      </c>
      <c r="E8168">
        <v>6</v>
      </c>
      <c r="F8168" t="s">
        <v>8232</v>
      </c>
      <c r="G8168">
        <v>1</v>
      </c>
      <c r="H8168">
        <v>1</v>
      </c>
      <c r="I8168">
        <f>1</f>
        <v>1</v>
      </c>
    </row>
    <row r="8169" spans="2:9" x14ac:dyDescent="0.25">
      <c r="B8169">
        <v>0</v>
      </c>
      <c r="C8169" s="16" t="s">
        <v>17243</v>
      </c>
      <c r="D8169" s="16"/>
      <c r="E8169">
        <v>6</v>
      </c>
      <c r="F8169" t="e">
        <f>-máquinas De ordenhar</f>
        <v>#NAME?</v>
      </c>
      <c r="G8169">
        <v>1</v>
      </c>
      <c r="H8169">
        <v>1</v>
      </c>
      <c r="I8169">
        <f>1</f>
        <v>1</v>
      </c>
    </row>
    <row r="8170" spans="2:9" x14ac:dyDescent="0.25">
      <c r="B8170">
        <v>0</v>
      </c>
      <c r="C8170" s="16" t="s">
        <v>17244</v>
      </c>
      <c r="D8170" s="16"/>
      <c r="E8170">
        <v>6</v>
      </c>
      <c r="F8170" t="s">
        <v>8233</v>
      </c>
      <c r="G8170">
        <v>1</v>
      </c>
      <c r="H8170">
        <v>1</v>
      </c>
      <c r="I8170">
        <f>1</f>
        <v>1</v>
      </c>
    </row>
    <row r="8171" spans="2:9" x14ac:dyDescent="0.25">
      <c r="B8171">
        <v>0</v>
      </c>
      <c r="C8171" s="16" t="s">
        <v>17245</v>
      </c>
      <c r="D8171" s="16"/>
      <c r="E8171">
        <v>6</v>
      </c>
      <c r="F8171" t="s">
        <v>4680</v>
      </c>
      <c r="G8171">
        <v>1</v>
      </c>
      <c r="H8171">
        <v>1</v>
      </c>
      <c r="I8171">
        <f>1</f>
        <v>1</v>
      </c>
    </row>
    <row r="8172" spans="2:9" x14ac:dyDescent="0.25">
      <c r="B8172">
        <v>0</v>
      </c>
      <c r="C8172" s="16" t="s">
        <v>17246</v>
      </c>
      <c r="D8172" s="16"/>
      <c r="E8172">
        <v>6</v>
      </c>
      <c r="F8172" t="e">
        <f>-Partes</f>
        <v>#NAME?</v>
      </c>
      <c r="G8172">
        <v>1</v>
      </c>
      <c r="H8172">
        <v>1</v>
      </c>
      <c r="I8172">
        <f>1</f>
        <v>1</v>
      </c>
    </row>
    <row r="8173" spans="2:9" x14ac:dyDescent="0.25">
      <c r="B8173">
        <v>0</v>
      </c>
      <c r="C8173" s="16" t="s">
        <v>17247</v>
      </c>
      <c r="D8173" s="16"/>
      <c r="E8173">
        <v>6</v>
      </c>
      <c r="F8173" t="e">
        <f>-máquinas e aparelhos</f>
        <v>#NAME?</v>
      </c>
      <c r="G8173">
        <v>1</v>
      </c>
      <c r="H8173">
        <v>1</v>
      </c>
      <c r="I8173">
        <f>1</f>
        <v>1</v>
      </c>
    </row>
    <row r="8174" spans="2:9" x14ac:dyDescent="0.25">
      <c r="B8174">
        <v>0</v>
      </c>
      <c r="C8174" s="16" t="s">
        <v>17248</v>
      </c>
      <c r="D8174" s="16"/>
      <c r="E8174">
        <v>6</v>
      </c>
      <c r="F8174" t="e">
        <f>-Partes</f>
        <v>#NAME?</v>
      </c>
      <c r="G8174">
        <v>1</v>
      </c>
      <c r="H8174">
        <v>1</v>
      </c>
      <c r="I8174">
        <f>1</f>
        <v>1</v>
      </c>
    </row>
    <row r="8175" spans="2:9" x14ac:dyDescent="0.25">
      <c r="B8175">
        <v>0</v>
      </c>
      <c r="C8175" s="16" t="s">
        <v>17249</v>
      </c>
      <c r="D8175" s="16"/>
      <c r="E8175">
        <v>6</v>
      </c>
      <c r="F8175" t="e">
        <f>-máquinas e aparelhos para preparação De Alimentos ou rações para animais</f>
        <v>#NAME?</v>
      </c>
      <c r="G8175">
        <v>1</v>
      </c>
      <c r="H8175">
        <v>1</v>
      </c>
      <c r="I8175">
        <f>1</f>
        <v>1</v>
      </c>
    </row>
    <row r="8176" spans="2:9" x14ac:dyDescent="0.25">
      <c r="B8176">
        <v>0</v>
      </c>
      <c r="C8176" s="16" t="s">
        <v>17250</v>
      </c>
      <c r="D8176" s="16"/>
      <c r="E8176">
        <v>6</v>
      </c>
      <c r="F8176" t="e">
        <f>--Chocadeiras e criadeiras</f>
        <v>#NAME?</v>
      </c>
      <c r="G8176">
        <v>1</v>
      </c>
      <c r="H8176">
        <v>1</v>
      </c>
      <c r="I8176">
        <f>1</f>
        <v>1</v>
      </c>
    </row>
    <row r="8177" spans="2:9" x14ac:dyDescent="0.25">
      <c r="B8177">
        <v>0</v>
      </c>
      <c r="C8177" s="16" t="s">
        <v>17251</v>
      </c>
      <c r="D8177" s="16"/>
      <c r="E8177">
        <v>6</v>
      </c>
      <c r="F8177" t="e">
        <f>--outros</f>
        <v>#NAME?</v>
      </c>
      <c r="G8177">
        <v>1</v>
      </c>
      <c r="H8177">
        <v>1</v>
      </c>
      <c r="I8177">
        <f>1</f>
        <v>1</v>
      </c>
    </row>
    <row r="8178" spans="2:9" x14ac:dyDescent="0.25">
      <c r="B8178">
        <v>0</v>
      </c>
      <c r="C8178" s="16" t="s">
        <v>17252</v>
      </c>
      <c r="D8178" s="16"/>
      <c r="E8178">
        <v>6</v>
      </c>
      <c r="F8178" t="e">
        <f>-Outras máquinas e aparelhos</f>
        <v>#NAME?</v>
      </c>
      <c r="G8178">
        <v>1</v>
      </c>
      <c r="H8178">
        <v>1</v>
      </c>
      <c r="I8178">
        <f>1</f>
        <v>1</v>
      </c>
    </row>
    <row r="8179" spans="2:9" x14ac:dyDescent="0.25">
      <c r="B8179">
        <v>0</v>
      </c>
      <c r="C8179" s="16" t="s">
        <v>17253</v>
      </c>
      <c r="D8179" s="16"/>
      <c r="E8179">
        <v>6</v>
      </c>
      <c r="F8179" t="e">
        <f>--De máquinas ou aparelhos para avicultura</f>
        <v>#NAME?</v>
      </c>
      <c r="G8179">
        <v>1</v>
      </c>
      <c r="H8179">
        <v>1</v>
      </c>
      <c r="I8179">
        <f>1</f>
        <v>1</v>
      </c>
    </row>
    <row r="8180" spans="2:9" x14ac:dyDescent="0.25">
      <c r="B8180">
        <v>0</v>
      </c>
      <c r="C8180" s="16" t="s">
        <v>17254</v>
      </c>
      <c r="D8180" s="16"/>
      <c r="E8180">
        <v>6</v>
      </c>
      <c r="F8180" t="e">
        <f>--Outras</f>
        <v>#NAME?</v>
      </c>
      <c r="G8180">
        <v>1</v>
      </c>
      <c r="H8180">
        <v>1</v>
      </c>
      <c r="I8180">
        <f>1</f>
        <v>1</v>
      </c>
    </row>
    <row r="8181" spans="2:9" x14ac:dyDescent="0.25">
      <c r="B8181">
        <v>0</v>
      </c>
      <c r="C8181" s="16" t="s">
        <v>17255</v>
      </c>
      <c r="D8181" s="16"/>
      <c r="E8181">
        <v>6</v>
      </c>
      <c r="F8181" t="s">
        <v>8234</v>
      </c>
      <c r="G8181">
        <v>1</v>
      </c>
      <c r="H8181">
        <v>1</v>
      </c>
      <c r="I8181">
        <f>1</f>
        <v>1</v>
      </c>
    </row>
    <row r="8182" spans="2:9" x14ac:dyDescent="0.25">
      <c r="B8182">
        <v>0</v>
      </c>
      <c r="C8182" s="16" t="s">
        <v>17256</v>
      </c>
      <c r="D8182" s="16"/>
      <c r="E8182">
        <v>6</v>
      </c>
      <c r="F8182" t="s">
        <v>8235</v>
      </c>
      <c r="G8182">
        <v>1</v>
      </c>
      <c r="H8182">
        <v>1</v>
      </c>
      <c r="I8182">
        <f>1</f>
        <v>1</v>
      </c>
    </row>
    <row r="8183" spans="2:9" x14ac:dyDescent="0.25">
      <c r="B8183">
        <v>0</v>
      </c>
      <c r="C8183" s="16" t="s">
        <v>17257</v>
      </c>
      <c r="D8183" s="16"/>
      <c r="E8183">
        <v>6</v>
      </c>
      <c r="F8183" t="s">
        <v>4680</v>
      </c>
      <c r="G8183">
        <v>1</v>
      </c>
      <c r="H8183">
        <v>1</v>
      </c>
      <c r="I8183">
        <f>1</f>
        <v>1</v>
      </c>
    </row>
    <row r="8184" spans="2:9" x14ac:dyDescent="0.25">
      <c r="B8184">
        <v>0</v>
      </c>
      <c r="C8184" s="16" t="s">
        <v>17258</v>
      </c>
      <c r="D8184" s="16"/>
      <c r="E8184">
        <v>6</v>
      </c>
      <c r="F8184" t="e">
        <f>-Partes</f>
        <v>#NAME?</v>
      </c>
      <c r="G8184">
        <v>1</v>
      </c>
      <c r="H8184">
        <v>1</v>
      </c>
      <c r="I8184">
        <f>1</f>
        <v>1</v>
      </c>
    </row>
    <row r="8185" spans="2:9" x14ac:dyDescent="0.25">
      <c r="B8185">
        <v>0</v>
      </c>
      <c r="C8185" s="16" t="s">
        <v>17259</v>
      </c>
      <c r="D8185" s="16"/>
      <c r="E8185">
        <v>6</v>
      </c>
      <c r="F8185" t="s">
        <v>8236</v>
      </c>
      <c r="G8185">
        <v>1</v>
      </c>
      <c r="H8185">
        <v>1</v>
      </c>
      <c r="I8185">
        <f>1</f>
        <v>1</v>
      </c>
    </row>
    <row r="8186" spans="2:9" x14ac:dyDescent="0.25">
      <c r="B8186">
        <v>0</v>
      </c>
      <c r="C8186" s="16" t="s">
        <v>17260</v>
      </c>
      <c r="D8186" s="16"/>
      <c r="E8186">
        <v>6</v>
      </c>
      <c r="F8186" t="s">
        <v>8237</v>
      </c>
      <c r="G8186">
        <v>1</v>
      </c>
      <c r="H8186">
        <v>1</v>
      </c>
      <c r="I8186">
        <f>1</f>
        <v>1</v>
      </c>
    </row>
    <row r="8187" spans="2:9" x14ac:dyDescent="0.25">
      <c r="B8187">
        <v>0</v>
      </c>
      <c r="C8187" s="16" t="s">
        <v>17261</v>
      </c>
      <c r="D8187" s="16"/>
      <c r="E8187">
        <v>6</v>
      </c>
      <c r="F8187" t="s">
        <v>4680</v>
      </c>
      <c r="G8187">
        <v>1</v>
      </c>
      <c r="H8187">
        <v>1</v>
      </c>
      <c r="I8187">
        <f>1</f>
        <v>1</v>
      </c>
    </row>
    <row r="8188" spans="2:9" x14ac:dyDescent="0.25">
      <c r="B8188">
        <v>0</v>
      </c>
      <c r="C8188" s="16" t="s">
        <v>17262</v>
      </c>
      <c r="D8188" s="16"/>
      <c r="E8188">
        <v>6</v>
      </c>
      <c r="F8188" t="s">
        <v>4680</v>
      </c>
      <c r="G8188">
        <v>1</v>
      </c>
      <c r="H8188">
        <v>1</v>
      </c>
      <c r="I8188">
        <f>1</f>
        <v>1</v>
      </c>
    </row>
    <row r="8189" spans="2:9" x14ac:dyDescent="0.25">
      <c r="B8189">
        <v>0</v>
      </c>
      <c r="C8189" s="16" t="s">
        <v>17263</v>
      </c>
      <c r="D8189" s="16"/>
      <c r="E8189">
        <v>6</v>
      </c>
      <c r="F8189" t="e">
        <f>-máquinas e aparelhos para a indústria De açúcar</f>
        <v>#NAME?</v>
      </c>
      <c r="G8189">
        <v>1</v>
      </c>
      <c r="H8189">
        <v>1</v>
      </c>
      <c r="I8189">
        <f>1</f>
        <v>1</v>
      </c>
    </row>
    <row r="8190" spans="2:9" x14ac:dyDescent="0.25">
      <c r="B8190">
        <v>0</v>
      </c>
      <c r="C8190" s="16" t="s">
        <v>17264</v>
      </c>
      <c r="D8190" s="16"/>
      <c r="E8190">
        <v>6</v>
      </c>
      <c r="F8190" t="e">
        <f>-máquinas e aparelhos para a indústria cervejeira</f>
        <v>#NAME?</v>
      </c>
      <c r="G8190">
        <v>1</v>
      </c>
      <c r="H8190">
        <v>1</v>
      </c>
      <c r="I8190">
        <f>1</f>
        <v>1</v>
      </c>
    </row>
    <row r="8191" spans="2:9" x14ac:dyDescent="0.25">
      <c r="B8191">
        <v>0</v>
      </c>
      <c r="C8191" s="16" t="s">
        <v>17265</v>
      </c>
      <c r="D8191" s="16"/>
      <c r="E8191">
        <v>6</v>
      </c>
      <c r="F8191" t="e">
        <f>-máquinas e aparelhos para preparação De Carnes</f>
        <v>#NAME?</v>
      </c>
      <c r="G8191">
        <v>1</v>
      </c>
      <c r="H8191">
        <v>1</v>
      </c>
      <c r="I8191">
        <f>1</f>
        <v>1</v>
      </c>
    </row>
    <row r="8192" spans="2:9" x14ac:dyDescent="0.25">
      <c r="B8192">
        <v>0</v>
      </c>
      <c r="C8192" s="16" t="s">
        <v>17266</v>
      </c>
      <c r="D8192" s="16"/>
      <c r="E8192">
        <v>6</v>
      </c>
      <c r="F8192" t="e">
        <f>-máquinas e aparelhos para preparação De frutas ou De produtos hortícolas</f>
        <v>#NAME?</v>
      </c>
      <c r="G8192">
        <v>1</v>
      </c>
      <c r="H8192">
        <v>1</v>
      </c>
      <c r="I8192">
        <f>1</f>
        <v>1</v>
      </c>
    </row>
    <row r="8193" spans="2:9" x14ac:dyDescent="0.25">
      <c r="B8193">
        <v>0</v>
      </c>
      <c r="C8193" s="16" t="s">
        <v>17267</v>
      </c>
      <c r="D8193" s="16"/>
      <c r="E8193">
        <v>6</v>
      </c>
      <c r="F8193" t="s">
        <v>8238</v>
      </c>
      <c r="G8193">
        <v>1</v>
      </c>
      <c r="H8193">
        <v>1</v>
      </c>
      <c r="I8193">
        <f>1</f>
        <v>1</v>
      </c>
    </row>
    <row r="8194" spans="2:9" x14ac:dyDescent="0.25">
      <c r="B8194">
        <v>0</v>
      </c>
      <c r="C8194" s="16" t="s">
        <v>17268</v>
      </c>
      <c r="D8194" s="16"/>
      <c r="E8194">
        <v>6</v>
      </c>
      <c r="F8194" t="s">
        <v>8239</v>
      </c>
      <c r="G8194">
        <v>1</v>
      </c>
      <c r="H8194">
        <v>1</v>
      </c>
      <c r="I8194">
        <f>1</f>
        <v>1</v>
      </c>
    </row>
    <row r="8195" spans="2:9" x14ac:dyDescent="0.25">
      <c r="B8195">
        <v>0</v>
      </c>
      <c r="C8195" s="16" t="s">
        <v>17269</v>
      </c>
      <c r="D8195" s="16"/>
      <c r="E8195">
        <v>6</v>
      </c>
      <c r="F8195" t="s">
        <v>4680</v>
      </c>
      <c r="G8195">
        <v>1</v>
      </c>
      <c r="H8195">
        <v>1</v>
      </c>
      <c r="I8195">
        <f>1</f>
        <v>1</v>
      </c>
    </row>
    <row r="8196" spans="2:9" x14ac:dyDescent="0.25">
      <c r="B8196">
        <v>0</v>
      </c>
      <c r="C8196" s="16" t="s">
        <v>17270</v>
      </c>
      <c r="D8196" s="16"/>
      <c r="E8196">
        <v>6</v>
      </c>
      <c r="F8196" t="e">
        <f>-Partes</f>
        <v>#NAME?</v>
      </c>
      <c r="G8196">
        <v>1</v>
      </c>
      <c r="H8196">
        <v>1</v>
      </c>
      <c r="I8196">
        <f>1</f>
        <v>1</v>
      </c>
    </row>
    <row r="8197" spans="2:9" x14ac:dyDescent="0.25">
      <c r="B8197">
        <v>0</v>
      </c>
      <c r="C8197" s="16" t="s">
        <v>17271</v>
      </c>
      <c r="D8197" s="16"/>
      <c r="E8197">
        <v>6</v>
      </c>
      <c r="F8197" t="s">
        <v>8240</v>
      </c>
      <c r="G8197">
        <v>1</v>
      </c>
      <c r="H8197">
        <v>1</v>
      </c>
      <c r="I8197">
        <f>1</f>
        <v>1</v>
      </c>
    </row>
    <row r="8198" spans="2:9" x14ac:dyDescent="0.25">
      <c r="B8198">
        <v>0</v>
      </c>
      <c r="C8198" s="16" t="s">
        <v>17272</v>
      </c>
      <c r="D8198" s="16"/>
      <c r="E8198">
        <v>6</v>
      </c>
      <c r="F8198" t="s">
        <v>8241</v>
      </c>
      <c r="G8198">
        <v>1</v>
      </c>
      <c r="H8198">
        <v>1</v>
      </c>
      <c r="I8198">
        <f>1</f>
        <v>1</v>
      </c>
    </row>
    <row r="8199" spans="2:9" x14ac:dyDescent="0.25">
      <c r="B8199">
        <v>0</v>
      </c>
      <c r="C8199" s="16" t="s">
        <v>17273</v>
      </c>
      <c r="D8199" s="16"/>
      <c r="E8199">
        <v>6</v>
      </c>
      <c r="F8199" t="s">
        <v>8242</v>
      </c>
      <c r="G8199">
        <v>1</v>
      </c>
      <c r="H8199">
        <v>1</v>
      </c>
      <c r="I8199">
        <f>1</f>
        <v>1</v>
      </c>
    </row>
    <row r="8200" spans="2:9" x14ac:dyDescent="0.25">
      <c r="B8200">
        <v>0</v>
      </c>
      <c r="C8200" s="16" t="s">
        <v>17274</v>
      </c>
      <c r="D8200" s="16"/>
      <c r="E8200">
        <v>6</v>
      </c>
      <c r="F8200" t="s">
        <v>4680</v>
      </c>
      <c r="G8200">
        <v>1</v>
      </c>
      <c r="H8200">
        <v>1</v>
      </c>
      <c r="I8200">
        <f>1</f>
        <v>1</v>
      </c>
    </row>
    <row r="8201" spans="2:9" x14ac:dyDescent="0.25">
      <c r="B8201">
        <v>0</v>
      </c>
      <c r="C8201" s="16" t="s">
        <v>17275</v>
      </c>
      <c r="D8201" s="16"/>
      <c r="E8201">
        <v>6</v>
      </c>
      <c r="F8201" t="e">
        <f>-máquinas e aparelhos para fabricação De papel ou cartão</f>
        <v>#NAME?</v>
      </c>
      <c r="G8201">
        <v>1</v>
      </c>
      <c r="H8201">
        <v>1</v>
      </c>
      <c r="I8201">
        <f>1</f>
        <v>1</v>
      </c>
    </row>
    <row r="8202" spans="2:9" x14ac:dyDescent="0.25">
      <c r="B8202">
        <v>0</v>
      </c>
      <c r="C8202" s="16" t="s">
        <v>17276</v>
      </c>
      <c r="D8202" s="16"/>
      <c r="E8202">
        <v>6</v>
      </c>
      <c r="F8202" t="s">
        <v>8243</v>
      </c>
      <c r="G8202">
        <v>1</v>
      </c>
      <c r="H8202">
        <v>1</v>
      </c>
      <c r="I8202">
        <f>1</f>
        <v>1</v>
      </c>
    </row>
    <row r="8203" spans="2:9" x14ac:dyDescent="0.25">
      <c r="B8203">
        <v>0</v>
      </c>
      <c r="C8203" s="16" t="s">
        <v>17277</v>
      </c>
      <c r="D8203" s="16"/>
      <c r="E8203">
        <v>6</v>
      </c>
      <c r="F8203" t="s">
        <v>8244</v>
      </c>
      <c r="G8203">
        <v>1</v>
      </c>
      <c r="H8203">
        <v>1</v>
      </c>
      <c r="I8203">
        <f>1</f>
        <v>1</v>
      </c>
    </row>
    <row r="8204" spans="2:9" x14ac:dyDescent="0.25">
      <c r="B8204">
        <v>0</v>
      </c>
      <c r="C8204" s="16" t="s">
        <v>17278</v>
      </c>
      <c r="D8204" s="16"/>
      <c r="E8204">
        <v>6</v>
      </c>
      <c r="F8204" t="s">
        <v>8245</v>
      </c>
      <c r="G8204">
        <v>1</v>
      </c>
      <c r="H8204">
        <v>1</v>
      </c>
      <c r="I8204">
        <f>1</f>
        <v>1</v>
      </c>
    </row>
    <row r="8205" spans="2:9" x14ac:dyDescent="0.25">
      <c r="B8205">
        <v>0</v>
      </c>
      <c r="C8205" s="16" t="s">
        <v>17279</v>
      </c>
      <c r="D8205" s="16"/>
      <c r="E8205">
        <v>6</v>
      </c>
      <c r="F8205" t="s">
        <v>4680</v>
      </c>
      <c r="G8205">
        <v>1</v>
      </c>
      <c r="H8205">
        <v>1</v>
      </c>
      <c r="I8205">
        <f>1</f>
        <v>1</v>
      </c>
    </row>
    <row r="8206" spans="2:9" x14ac:dyDescent="0.25">
      <c r="B8206">
        <v>0</v>
      </c>
      <c r="C8206" s="16" t="s">
        <v>17280</v>
      </c>
      <c r="D8206" s="16"/>
      <c r="E8206">
        <v>6</v>
      </c>
      <c r="F8206" t="e">
        <f>--De máquinas ou aparelhos para fabricação De Pasta De matérias fibrosas celulósicas</f>
        <v>#NAME?</v>
      </c>
      <c r="G8206">
        <v>1</v>
      </c>
      <c r="H8206">
        <v>1</v>
      </c>
      <c r="I8206">
        <f>1</f>
        <v>1</v>
      </c>
    </row>
    <row r="8207" spans="2:9" x14ac:dyDescent="0.25">
      <c r="B8207">
        <v>0</v>
      </c>
      <c r="C8207" s="16" t="s">
        <v>17281</v>
      </c>
      <c r="D8207" s="16"/>
      <c r="E8207">
        <v>6</v>
      </c>
      <c r="F8207" t="s">
        <v>8246</v>
      </c>
      <c r="G8207">
        <v>1</v>
      </c>
      <c r="H8207">
        <v>1</v>
      </c>
      <c r="I8207">
        <f>1</f>
        <v>1</v>
      </c>
    </row>
    <row r="8208" spans="2:9" x14ac:dyDescent="0.25">
      <c r="B8208">
        <v>0</v>
      </c>
      <c r="C8208" s="16" t="s">
        <v>17282</v>
      </c>
      <c r="D8208" s="16"/>
      <c r="E8208">
        <v>6</v>
      </c>
      <c r="F8208" t="s">
        <v>4690</v>
      </c>
      <c r="G8208">
        <v>1</v>
      </c>
      <c r="H8208">
        <v>1</v>
      </c>
      <c r="I8208">
        <f>1</f>
        <v>1</v>
      </c>
    </row>
    <row r="8209" spans="2:9" x14ac:dyDescent="0.25">
      <c r="B8209">
        <v>0</v>
      </c>
      <c r="C8209" s="16" t="s">
        <v>17283</v>
      </c>
      <c r="D8209" s="16"/>
      <c r="E8209">
        <v>6</v>
      </c>
      <c r="F8209" t="s">
        <v>8247</v>
      </c>
      <c r="G8209">
        <v>1</v>
      </c>
      <c r="H8209">
        <v>1</v>
      </c>
      <c r="I8209">
        <f>1</f>
        <v>1</v>
      </c>
    </row>
    <row r="8210" spans="2:9" x14ac:dyDescent="0.25">
      <c r="B8210">
        <v>0</v>
      </c>
      <c r="C8210" s="16" t="s">
        <v>17284</v>
      </c>
      <c r="D8210" s="16"/>
      <c r="E8210">
        <v>6</v>
      </c>
      <c r="F8210" t="s">
        <v>4680</v>
      </c>
      <c r="G8210">
        <v>1</v>
      </c>
      <c r="H8210">
        <v>1</v>
      </c>
      <c r="I8210">
        <f>1</f>
        <v>1</v>
      </c>
    </row>
    <row r="8211" spans="2:9" x14ac:dyDescent="0.25">
      <c r="B8211">
        <v>0</v>
      </c>
      <c r="C8211" s="16" t="s">
        <v>17285</v>
      </c>
      <c r="D8211" s="16"/>
      <c r="E8211">
        <v>6</v>
      </c>
      <c r="F8211" t="s">
        <v>8248</v>
      </c>
      <c r="G8211">
        <v>1</v>
      </c>
      <c r="H8211">
        <v>1</v>
      </c>
      <c r="I8211">
        <f>1</f>
        <v>1</v>
      </c>
    </row>
    <row r="8212" spans="2:9" x14ac:dyDescent="0.25">
      <c r="B8212">
        <v>0</v>
      </c>
      <c r="C8212" s="16" t="s">
        <v>17286</v>
      </c>
      <c r="D8212" s="16"/>
      <c r="E8212">
        <v>6</v>
      </c>
      <c r="F8212" t="s">
        <v>4680</v>
      </c>
      <c r="G8212">
        <v>1</v>
      </c>
      <c r="H8212">
        <v>1</v>
      </c>
      <c r="I8212">
        <f>1</f>
        <v>1</v>
      </c>
    </row>
    <row r="8213" spans="2:9" x14ac:dyDescent="0.25">
      <c r="B8213">
        <v>0</v>
      </c>
      <c r="C8213" s="16" t="s">
        <v>17287</v>
      </c>
      <c r="D8213" s="16"/>
      <c r="E8213">
        <v>6</v>
      </c>
      <c r="F8213" t="e">
        <f>-Partes</f>
        <v>#NAME?</v>
      </c>
      <c r="G8213">
        <v>1</v>
      </c>
      <c r="H8213">
        <v>1</v>
      </c>
      <c r="I8213">
        <f>1</f>
        <v>1</v>
      </c>
    </row>
    <row r="8214" spans="2:9" x14ac:dyDescent="0.25">
      <c r="B8214">
        <v>0</v>
      </c>
      <c r="C8214" s="16" t="s">
        <v>17288</v>
      </c>
      <c r="D8214" s="16"/>
      <c r="E8214">
        <v>6</v>
      </c>
      <c r="F8214" t="s">
        <v>8249</v>
      </c>
      <c r="G8214">
        <v>1</v>
      </c>
      <c r="H8214">
        <v>1</v>
      </c>
      <c r="I8214">
        <f>1</f>
        <v>1</v>
      </c>
    </row>
    <row r="8215" spans="2:9" x14ac:dyDescent="0.25">
      <c r="B8215">
        <v>0</v>
      </c>
      <c r="C8215" s="16" t="s">
        <v>17289</v>
      </c>
      <c r="D8215" s="16"/>
      <c r="E8215">
        <v>6</v>
      </c>
      <c r="F8215" t="s">
        <v>4690</v>
      </c>
      <c r="G8215">
        <v>1</v>
      </c>
      <c r="H8215">
        <v>1</v>
      </c>
      <c r="I8215">
        <f>1</f>
        <v>1</v>
      </c>
    </row>
    <row r="8216" spans="2:9" x14ac:dyDescent="0.25">
      <c r="B8216">
        <v>0</v>
      </c>
      <c r="C8216" s="16" t="s">
        <v>17290</v>
      </c>
      <c r="D8216" s="16"/>
      <c r="E8216">
        <v>6</v>
      </c>
      <c r="F8216" t="e">
        <f>-máquinas para fabricação De Sacos De quaisquer dimensões ou De Envelopes</f>
        <v>#NAME?</v>
      </c>
      <c r="G8216">
        <v>1</v>
      </c>
      <c r="H8216">
        <v>1</v>
      </c>
      <c r="I8216">
        <f>1</f>
        <v>1</v>
      </c>
    </row>
    <row r="8217" spans="2:9" x14ac:dyDescent="0.25">
      <c r="B8217">
        <v>0</v>
      </c>
      <c r="C8217" s="16" t="s">
        <v>17291</v>
      </c>
      <c r="D8217" s="16"/>
      <c r="E8217">
        <v>6</v>
      </c>
      <c r="F8217" t="s">
        <v>8250</v>
      </c>
      <c r="G8217">
        <v>1</v>
      </c>
      <c r="H8217">
        <v>1</v>
      </c>
      <c r="I8217">
        <f>1</f>
        <v>1</v>
      </c>
    </row>
    <row r="8218" spans="2:9" x14ac:dyDescent="0.25">
      <c r="B8218">
        <v>0</v>
      </c>
      <c r="C8218" s="16" t="s">
        <v>17292</v>
      </c>
      <c r="D8218" s="16"/>
      <c r="E8218">
        <v>6</v>
      </c>
      <c r="F8218" t="s">
        <v>4690</v>
      </c>
      <c r="G8218">
        <v>1</v>
      </c>
      <c r="H8218">
        <v>1</v>
      </c>
      <c r="I8218">
        <f>1</f>
        <v>1</v>
      </c>
    </row>
    <row r="8219" spans="2:9" x14ac:dyDescent="0.25">
      <c r="B8219">
        <v>0</v>
      </c>
      <c r="C8219" s="16" t="s">
        <v>17293</v>
      </c>
      <c r="D8219" s="16"/>
      <c r="E8219">
        <v>6</v>
      </c>
      <c r="F8219" t="s">
        <v>8251</v>
      </c>
      <c r="G8219">
        <v>1</v>
      </c>
      <c r="H8219">
        <v>1</v>
      </c>
      <c r="I8219">
        <f>1</f>
        <v>1</v>
      </c>
    </row>
    <row r="8220" spans="2:9" x14ac:dyDescent="0.25">
      <c r="B8220">
        <v>0</v>
      </c>
      <c r="C8220" s="16" t="s">
        <v>17294</v>
      </c>
      <c r="D8220" s="16"/>
      <c r="E8220">
        <v>6</v>
      </c>
      <c r="F8220" t="e">
        <f>-Outras máquinas e aparelhos</f>
        <v>#NAME?</v>
      </c>
      <c r="G8220">
        <v>1</v>
      </c>
      <c r="H8220">
        <v>1</v>
      </c>
      <c r="I8220">
        <f>1</f>
        <v>1</v>
      </c>
    </row>
    <row r="8221" spans="2:9" x14ac:dyDescent="0.25">
      <c r="B8221">
        <v>0</v>
      </c>
      <c r="C8221" s="16" t="s">
        <v>17295</v>
      </c>
      <c r="D8221" s="16"/>
      <c r="E8221">
        <v>6</v>
      </c>
      <c r="F8221" t="e">
        <f>-Partes</f>
        <v>#NAME?</v>
      </c>
      <c r="G8221">
        <v>1</v>
      </c>
      <c r="H8221">
        <v>1</v>
      </c>
      <c r="I8221">
        <f>1</f>
        <v>1</v>
      </c>
    </row>
    <row r="8222" spans="2:9" x14ac:dyDescent="0.25">
      <c r="B8222">
        <v>0</v>
      </c>
      <c r="C8222" s="16" t="s">
        <v>17296</v>
      </c>
      <c r="D8222" s="16"/>
      <c r="E8222">
        <v>6</v>
      </c>
      <c r="F8222" t="s">
        <v>8252</v>
      </c>
      <c r="G8222">
        <v>1</v>
      </c>
      <c r="H8222">
        <v>1</v>
      </c>
      <c r="I8222">
        <f>1</f>
        <v>1</v>
      </c>
    </row>
    <row r="8223" spans="2:9" x14ac:dyDescent="0.25">
      <c r="B8223">
        <v>0</v>
      </c>
      <c r="C8223" s="16" t="s">
        <v>17297</v>
      </c>
      <c r="D8223" s="16"/>
      <c r="E8223">
        <v>6</v>
      </c>
      <c r="F8223" t="s">
        <v>8253</v>
      </c>
      <c r="G8223">
        <v>1</v>
      </c>
      <c r="H8223">
        <v>1</v>
      </c>
      <c r="I8223">
        <f>1</f>
        <v>1</v>
      </c>
    </row>
    <row r="8224" spans="2:9" x14ac:dyDescent="0.25">
      <c r="B8224">
        <v>0</v>
      </c>
      <c r="C8224" s="16" t="s">
        <v>17298</v>
      </c>
      <c r="D8224" s="16"/>
      <c r="E8224">
        <v>6</v>
      </c>
      <c r="F8224" t="s">
        <v>4680</v>
      </c>
      <c r="G8224">
        <v>1</v>
      </c>
      <c r="H8224">
        <v>1</v>
      </c>
      <c r="I8224">
        <f>1</f>
        <v>1</v>
      </c>
    </row>
    <row r="8225" spans="2:9" x14ac:dyDescent="0.25">
      <c r="B8225">
        <v>0</v>
      </c>
      <c r="C8225" s="16" t="s">
        <v>17299</v>
      </c>
      <c r="D8225" s="16"/>
      <c r="E8225">
        <v>6</v>
      </c>
      <c r="F8225" t="s">
        <v>8254</v>
      </c>
      <c r="G8225">
        <v>1</v>
      </c>
      <c r="H8225">
        <v>1</v>
      </c>
      <c r="I8225">
        <f>1</f>
        <v>1</v>
      </c>
    </row>
    <row r="8226" spans="2:9" x14ac:dyDescent="0.25">
      <c r="B8226">
        <v>0</v>
      </c>
      <c r="C8226" s="16" t="s">
        <v>17300</v>
      </c>
      <c r="D8226" s="16"/>
      <c r="E8226">
        <v>6</v>
      </c>
      <c r="F8226" t="s">
        <v>8255</v>
      </c>
      <c r="G8226">
        <v>1</v>
      </c>
      <c r="H8226">
        <v>1</v>
      </c>
      <c r="I8226">
        <f>1</f>
        <v>1</v>
      </c>
    </row>
    <row r="8227" spans="2:9" x14ac:dyDescent="0.25">
      <c r="B8227">
        <v>0</v>
      </c>
      <c r="C8227" s="16" t="s">
        <v>17301</v>
      </c>
      <c r="D8227" s="16"/>
      <c r="E8227">
        <v>6</v>
      </c>
      <c r="F8227" t="s">
        <v>4690</v>
      </c>
      <c r="G8227">
        <v>1</v>
      </c>
      <c r="H8227">
        <v>1</v>
      </c>
      <c r="I8227">
        <f>1</f>
        <v>1</v>
      </c>
    </row>
    <row r="8228" spans="2:9" x14ac:dyDescent="0.25">
      <c r="B8228">
        <v>0</v>
      </c>
      <c r="C8228" s="16" t="s">
        <v>17302</v>
      </c>
      <c r="D8228" s="16"/>
      <c r="E8228">
        <v>6</v>
      </c>
      <c r="F8228" t="s">
        <v>8256</v>
      </c>
      <c r="G8228">
        <v>1</v>
      </c>
      <c r="H8228">
        <v>1</v>
      </c>
      <c r="I8228">
        <f>1</f>
        <v>1</v>
      </c>
    </row>
    <row r="8229" spans="2:9" x14ac:dyDescent="0.25">
      <c r="B8229">
        <v>0</v>
      </c>
      <c r="C8229" s="16" t="s">
        <v>17303</v>
      </c>
      <c r="D8229" s="16"/>
      <c r="E8229">
        <v>6</v>
      </c>
      <c r="F8229" t="s">
        <v>8257</v>
      </c>
      <c r="G8229">
        <v>1</v>
      </c>
      <c r="H8229">
        <v>1</v>
      </c>
      <c r="I8229">
        <f>1</f>
        <v>1</v>
      </c>
    </row>
    <row r="8230" spans="2:9" x14ac:dyDescent="0.25">
      <c r="B8230">
        <v>0</v>
      </c>
      <c r="C8230" s="16" t="s">
        <v>17304</v>
      </c>
      <c r="D8230" s="16"/>
      <c r="E8230">
        <v>6</v>
      </c>
      <c r="F8230" t="s">
        <v>4680</v>
      </c>
      <c r="G8230">
        <v>1</v>
      </c>
      <c r="H8230">
        <v>1</v>
      </c>
      <c r="I8230">
        <f>1</f>
        <v>1</v>
      </c>
    </row>
    <row r="8231" spans="2:9" x14ac:dyDescent="0.25">
      <c r="B8231">
        <v>0</v>
      </c>
      <c r="C8231" s="16" t="s">
        <v>17305</v>
      </c>
      <c r="D8231" s="16"/>
      <c r="E8231">
        <v>6</v>
      </c>
      <c r="F8231" t="s">
        <v>8258</v>
      </c>
      <c r="G8231">
        <v>1</v>
      </c>
      <c r="H8231">
        <v>1</v>
      </c>
      <c r="I8231">
        <f>1</f>
        <v>1</v>
      </c>
    </row>
    <row r="8232" spans="2:9" x14ac:dyDescent="0.25">
      <c r="B8232">
        <v>0</v>
      </c>
      <c r="C8232" s="16" t="s">
        <v>17306</v>
      </c>
      <c r="D8232" s="16"/>
      <c r="E8232">
        <v>6</v>
      </c>
      <c r="F8232" t="s">
        <v>8259</v>
      </c>
      <c r="G8232">
        <v>1</v>
      </c>
      <c r="H8232">
        <v>1</v>
      </c>
      <c r="I8232">
        <f>1</f>
        <v>1</v>
      </c>
    </row>
    <row r="8233" spans="2:9" x14ac:dyDescent="0.25">
      <c r="B8233">
        <v>0</v>
      </c>
      <c r="C8233" s="16" t="s">
        <v>17307</v>
      </c>
      <c r="D8233" s="16"/>
      <c r="E8233">
        <v>6</v>
      </c>
      <c r="F8233" t="s">
        <v>8260</v>
      </c>
      <c r="G8233">
        <v>1</v>
      </c>
      <c r="H8233">
        <v>1</v>
      </c>
      <c r="I8233">
        <f>1</f>
        <v>1</v>
      </c>
    </row>
    <row r="8234" spans="2:9" x14ac:dyDescent="0.25">
      <c r="B8234">
        <v>0</v>
      </c>
      <c r="C8234" s="16" t="s">
        <v>17308</v>
      </c>
      <c r="D8234" s="16"/>
      <c r="E8234">
        <v>6</v>
      </c>
      <c r="F8234" t="s">
        <v>4680</v>
      </c>
      <c r="G8234">
        <v>1</v>
      </c>
      <c r="H8234">
        <v>1</v>
      </c>
      <c r="I8234">
        <f>1</f>
        <v>1</v>
      </c>
    </row>
    <row r="8235" spans="2:9" x14ac:dyDescent="0.25">
      <c r="B8235">
        <v>0</v>
      </c>
      <c r="C8235" s="16" t="s">
        <v>17309</v>
      </c>
      <c r="D8235" s="16"/>
      <c r="E8235">
        <v>6</v>
      </c>
      <c r="F8235" t="s">
        <v>4680</v>
      </c>
      <c r="G8235">
        <v>1</v>
      </c>
      <c r="H8235">
        <v>1</v>
      </c>
      <c r="I8235">
        <f>1</f>
        <v>1</v>
      </c>
    </row>
    <row r="8236" spans="2:9" x14ac:dyDescent="0.25">
      <c r="B8236">
        <v>0</v>
      </c>
      <c r="C8236" s="16" t="s">
        <v>17310</v>
      </c>
      <c r="D8236" s="16"/>
      <c r="E8236">
        <v>6</v>
      </c>
      <c r="F8236" t="s">
        <v>8261</v>
      </c>
      <c r="G8236">
        <v>1</v>
      </c>
      <c r="H8236">
        <v>1</v>
      </c>
      <c r="I8236">
        <f>1</f>
        <v>1</v>
      </c>
    </row>
    <row r="8237" spans="2:9" x14ac:dyDescent="0.25">
      <c r="B8237">
        <v>0</v>
      </c>
      <c r="C8237" s="16" t="s">
        <v>17311</v>
      </c>
      <c r="D8237" s="16"/>
      <c r="E8237">
        <v>6</v>
      </c>
      <c r="F8237" t="s">
        <v>8262</v>
      </c>
      <c r="G8237">
        <v>1</v>
      </c>
      <c r="H8237">
        <v>1</v>
      </c>
      <c r="I8237">
        <f>1</f>
        <v>1</v>
      </c>
    </row>
    <row r="8238" spans="2:9" x14ac:dyDescent="0.25">
      <c r="B8238">
        <v>0</v>
      </c>
      <c r="C8238" s="16" t="s">
        <v>17312</v>
      </c>
      <c r="D8238" s="16"/>
      <c r="E8238">
        <v>6</v>
      </c>
      <c r="F8238" t="s">
        <v>8263</v>
      </c>
      <c r="G8238">
        <v>1</v>
      </c>
      <c r="H8238">
        <v>1</v>
      </c>
      <c r="I8238">
        <f>1</f>
        <v>1</v>
      </c>
    </row>
    <row r="8239" spans="2:9" x14ac:dyDescent="0.25">
      <c r="B8239">
        <v>0</v>
      </c>
      <c r="C8239" s="16" t="s">
        <v>17313</v>
      </c>
      <c r="D8239" s="16"/>
      <c r="E8239">
        <v>6</v>
      </c>
      <c r="F8239" t="s">
        <v>8264</v>
      </c>
      <c r="G8239">
        <v>1</v>
      </c>
      <c r="H8239">
        <v>1</v>
      </c>
      <c r="I8239">
        <f>1</f>
        <v>1</v>
      </c>
    </row>
    <row r="8240" spans="2:9" x14ac:dyDescent="0.25">
      <c r="B8240">
        <v>0</v>
      </c>
      <c r="C8240" s="16" t="s">
        <v>17314</v>
      </c>
      <c r="D8240" s="16"/>
      <c r="E8240">
        <v>6</v>
      </c>
      <c r="F8240" t="s">
        <v>4680</v>
      </c>
      <c r="G8240">
        <v>1</v>
      </c>
      <c r="H8240">
        <v>1</v>
      </c>
      <c r="I8240">
        <f>1</f>
        <v>1</v>
      </c>
    </row>
    <row r="8241" spans="2:9" x14ac:dyDescent="0.25">
      <c r="B8241">
        <v>0</v>
      </c>
      <c r="C8241" s="16" t="s">
        <v>17315</v>
      </c>
      <c r="D8241" s="16"/>
      <c r="E8241">
        <v>6</v>
      </c>
      <c r="F8241" t="s">
        <v>8265</v>
      </c>
      <c r="G8241">
        <v>1</v>
      </c>
      <c r="H8241">
        <v>1</v>
      </c>
      <c r="I8241">
        <f>1</f>
        <v>1</v>
      </c>
    </row>
    <row r="8242" spans="2:9" x14ac:dyDescent="0.25">
      <c r="B8242">
        <v>0</v>
      </c>
      <c r="C8242" s="16" t="s">
        <v>17316</v>
      </c>
      <c r="D8242" s="16"/>
      <c r="E8242">
        <v>6</v>
      </c>
      <c r="F8242" t="s">
        <v>4680</v>
      </c>
      <c r="G8242">
        <v>1</v>
      </c>
      <c r="H8242">
        <v>1</v>
      </c>
      <c r="I8242">
        <f>1</f>
        <v>1</v>
      </c>
    </row>
    <row r="8243" spans="2:9" x14ac:dyDescent="0.25">
      <c r="B8243">
        <v>0</v>
      </c>
      <c r="C8243" s="16" t="s">
        <v>17317</v>
      </c>
      <c r="D8243" s="16"/>
      <c r="E8243">
        <v>6</v>
      </c>
      <c r="F8243" t="s">
        <v>8266</v>
      </c>
      <c r="G8243">
        <v>1</v>
      </c>
      <c r="H8243">
        <v>1</v>
      </c>
      <c r="I8243">
        <f>1</f>
        <v>1</v>
      </c>
    </row>
    <row r="8244" spans="2:9" x14ac:dyDescent="0.25">
      <c r="B8244">
        <v>0</v>
      </c>
      <c r="C8244" s="16" t="s">
        <v>17318</v>
      </c>
      <c r="D8244" s="16"/>
      <c r="E8244">
        <v>6</v>
      </c>
      <c r="F8244" t="s">
        <v>8267</v>
      </c>
      <c r="G8244">
        <v>1</v>
      </c>
      <c r="H8244">
        <v>1</v>
      </c>
      <c r="I8244">
        <f>1</f>
        <v>1</v>
      </c>
    </row>
    <row r="8245" spans="2:9" x14ac:dyDescent="0.25">
      <c r="B8245">
        <v>0</v>
      </c>
      <c r="C8245" s="16" t="s">
        <v>17319</v>
      </c>
      <c r="D8245" s="16"/>
      <c r="E8245">
        <v>6</v>
      </c>
      <c r="F8245" t="s">
        <v>8268</v>
      </c>
      <c r="G8245">
        <v>1</v>
      </c>
      <c r="H8245">
        <v>1</v>
      </c>
      <c r="I8245">
        <f>1</f>
        <v>1</v>
      </c>
    </row>
    <row r="8246" spans="2:9" x14ac:dyDescent="0.25">
      <c r="B8246">
        <v>0</v>
      </c>
      <c r="C8246" s="16" t="s">
        <v>17320</v>
      </c>
      <c r="D8246" s="16"/>
      <c r="E8246">
        <v>6</v>
      </c>
      <c r="F8246" t="s">
        <v>8269</v>
      </c>
      <c r="G8246">
        <v>1</v>
      </c>
      <c r="H8246">
        <v>1</v>
      </c>
      <c r="I8246">
        <f>1</f>
        <v>1</v>
      </c>
    </row>
    <row r="8247" spans="2:9" x14ac:dyDescent="0.25">
      <c r="B8247">
        <v>0</v>
      </c>
      <c r="C8247" s="16" t="s">
        <v>17321</v>
      </c>
      <c r="D8247" s="16"/>
      <c r="E8247">
        <v>6</v>
      </c>
      <c r="F8247" t="s">
        <v>8270</v>
      </c>
      <c r="G8247">
        <v>1</v>
      </c>
      <c r="H8247">
        <v>1</v>
      </c>
      <c r="I8247">
        <f>1</f>
        <v>1</v>
      </c>
    </row>
    <row r="8248" spans="2:9" x14ac:dyDescent="0.25">
      <c r="B8248">
        <v>0</v>
      </c>
      <c r="C8248" s="16" t="s">
        <v>17322</v>
      </c>
      <c r="D8248" s="16"/>
      <c r="E8248">
        <v>6</v>
      </c>
      <c r="F8248" t="s">
        <v>8271</v>
      </c>
      <c r="G8248">
        <v>1</v>
      </c>
      <c r="H8248">
        <v>1</v>
      </c>
      <c r="I8248">
        <f>1</f>
        <v>1</v>
      </c>
    </row>
    <row r="8249" spans="2:9" x14ac:dyDescent="0.25">
      <c r="B8249">
        <v>0</v>
      </c>
      <c r="C8249" s="16" t="s">
        <v>17323</v>
      </c>
      <c r="D8249" s="16"/>
      <c r="E8249">
        <v>6</v>
      </c>
      <c r="F8249" t="s">
        <v>4690</v>
      </c>
      <c r="G8249">
        <v>1</v>
      </c>
      <c r="H8249">
        <v>1</v>
      </c>
      <c r="I8249">
        <f>1</f>
        <v>1</v>
      </c>
    </row>
    <row r="8250" spans="2:9" x14ac:dyDescent="0.25">
      <c r="B8250">
        <v>0</v>
      </c>
      <c r="C8250" s="16" t="s">
        <v>17324</v>
      </c>
      <c r="D8250" s="16"/>
      <c r="E8250">
        <v>6</v>
      </c>
      <c r="F8250" t="s">
        <v>8272</v>
      </c>
      <c r="G8250">
        <v>1</v>
      </c>
      <c r="H8250">
        <v>1</v>
      </c>
      <c r="I8250">
        <f>1</f>
        <v>1</v>
      </c>
    </row>
    <row r="8251" spans="2:9" x14ac:dyDescent="0.25">
      <c r="B8251">
        <v>0</v>
      </c>
      <c r="C8251" s="16" t="s">
        <v>17325</v>
      </c>
      <c r="D8251" s="16"/>
      <c r="E8251">
        <v>6</v>
      </c>
      <c r="F8251" t="s">
        <v>4690</v>
      </c>
      <c r="G8251">
        <v>1</v>
      </c>
      <c r="H8251">
        <v>1</v>
      </c>
      <c r="I8251">
        <f>1</f>
        <v>1</v>
      </c>
    </row>
    <row r="8252" spans="2:9" x14ac:dyDescent="0.25">
      <c r="B8252">
        <v>0</v>
      </c>
      <c r="C8252" s="16" t="s">
        <v>17326</v>
      </c>
      <c r="D8252" s="16"/>
      <c r="E8252">
        <v>6</v>
      </c>
      <c r="F8252" t="s">
        <v>8273</v>
      </c>
      <c r="G8252">
        <v>1</v>
      </c>
      <c r="H8252">
        <v>1</v>
      </c>
      <c r="I8252">
        <f>1</f>
        <v>1</v>
      </c>
    </row>
    <row r="8253" spans="2:9" x14ac:dyDescent="0.25">
      <c r="B8253">
        <v>0</v>
      </c>
      <c r="C8253" s="16" t="s">
        <v>17327</v>
      </c>
      <c r="D8253" s="16"/>
      <c r="E8253">
        <v>6</v>
      </c>
      <c r="F8253" t="s">
        <v>8274</v>
      </c>
      <c r="G8253">
        <v>1</v>
      </c>
      <c r="H8253">
        <v>1</v>
      </c>
      <c r="I8253">
        <f>1</f>
        <v>1</v>
      </c>
    </row>
    <row r="8254" spans="2:9" x14ac:dyDescent="0.25">
      <c r="B8254">
        <v>0</v>
      </c>
      <c r="C8254" s="16" t="s">
        <v>17328</v>
      </c>
      <c r="D8254" s="16"/>
      <c r="E8254">
        <v>6</v>
      </c>
      <c r="F8254" t="s">
        <v>8275</v>
      </c>
      <c r="G8254">
        <v>1</v>
      </c>
      <c r="H8254">
        <v>1</v>
      </c>
      <c r="I8254">
        <f>1</f>
        <v>1</v>
      </c>
    </row>
    <row r="8255" spans="2:9" x14ac:dyDescent="0.25">
      <c r="B8255">
        <v>0</v>
      </c>
      <c r="C8255" s="16" t="s">
        <v>17329</v>
      </c>
      <c r="D8255" s="16"/>
      <c r="E8255">
        <v>6</v>
      </c>
      <c r="F8255" t="s">
        <v>4690</v>
      </c>
      <c r="G8255">
        <v>1</v>
      </c>
      <c r="H8255">
        <v>1</v>
      </c>
      <c r="I8255">
        <f>1</f>
        <v>1</v>
      </c>
    </row>
    <row r="8256" spans="2:9" x14ac:dyDescent="0.25">
      <c r="B8256">
        <v>0</v>
      </c>
      <c r="C8256" s="16" t="s">
        <v>17330</v>
      </c>
      <c r="D8256" s="16"/>
      <c r="E8256">
        <v>6</v>
      </c>
      <c r="F8256" t="s">
        <v>8266</v>
      </c>
      <c r="G8256">
        <v>1</v>
      </c>
      <c r="H8256">
        <v>1</v>
      </c>
      <c r="I8256">
        <f>1</f>
        <v>1</v>
      </c>
    </row>
    <row r="8257" spans="2:9" x14ac:dyDescent="0.25">
      <c r="B8257">
        <v>0</v>
      </c>
      <c r="C8257" s="16" t="s">
        <v>17331</v>
      </c>
      <c r="D8257" s="16"/>
      <c r="E8257">
        <v>6</v>
      </c>
      <c r="F8257" t="s">
        <v>8267</v>
      </c>
      <c r="G8257">
        <v>1</v>
      </c>
      <c r="H8257">
        <v>1</v>
      </c>
      <c r="I8257">
        <f>1</f>
        <v>1</v>
      </c>
    </row>
    <row r="8258" spans="2:9" x14ac:dyDescent="0.25">
      <c r="B8258">
        <v>0</v>
      </c>
      <c r="C8258" s="16" t="s">
        <v>17332</v>
      </c>
      <c r="D8258" s="16"/>
      <c r="E8258">
        <v>6</v>
      </c>
      <c r="F8258" t="s">
        <v>8268</v>
      </c>
      <c r="G8258">
        <v>1</v>
      </c>
      <c r="H8258">
        <v>1</v>
      </c>
      <c r="I8258">
        <f>1</f>
        <v>1</v>
      </c>
    </row>
    <row r="8259" spans="2:9" x14ac:dyDescent="0.25">
      <c r="B8259">
        <v>0</v>
      </c>
      <c r="C8259" s="16" t="s">
        <v>17333</v>
      </c>
      <c r="D8259" s="16"/>
      <c r="E8259">
        <v>6</v>
      </c>
      <c r="F8259" t="s">
        <v>8269</v>
      </c>
      <c r="G8259">
        <v>1</v>
      </c>
      <c r="H8259">
        <v>1</v>
      </c>
      <c r="I8259">
        <f>1</f>
        <v>1</v>
      </c>
    </row>
    <row r="8260" spans="2:9" x14ac:dyDescent="0.25">
      <c r="B8260">
        <v>0</v>
      </c>
      <c r="C8260" s="16" t="s">
        <v>17334</v>
      </c>
      <c r="D8260" s="16"/>
      <c r="E8260">
        <v>6</v>
      </c>
      <c r="F8260" t="s">
        <v>8276</v>
      </c>
      <c r="G8260">
        <v>1</v>
      </c>
      <c r="H8260">
        <v>1</v>
      </c>
      <c r="I8260">
        <f>1</f>
        <v>1</v>
      </c>
    </row>
    <row r="8261" spans="2:9" x14ac:dyDescent="0.25">
      <c r="B8261">
        <v>0</v>
      </c>
      <c r="C8261" s="16" t="s">
        <v>17335</v>
      </c>
      <c r="D8261" s="16"/>
      <c r="E8261">
        <v>6</v>
      </c>
      <c r="F8261" t="s">
        <v>8277</v>
      </c>
      <c r="G8261">
        <v>1</v>
      </c>
      <c r="H8261">
        <v>1</v>
      </c>
      <c r="I8261">
        <f>1</f>
        <v>1</v>
      </c>
    </row>
    <row r="8262" spans="2:9" x14ac:dyDescent="0.25">
      <c r="B8262">
        <v>0</v>
      </c>
      <c r="C8262" s="16" t="s">
        <v>17336</v>
      </c>
      <c r="D8262" s="16"/>
      <c r="E8262">
        <v>6</v>
      </c>
      <c r="F8262" t="s">
        <v>8278</v>
      </c>
      <c r="G8262">
        <v>1</v>
      </c>
      <c r="H8262">
        <v>1</v>
      </c>
      <c r="I8262">
        <f>1</f>
        <v>1</v>
      </c>
    </row>
    <row r="8263" spans="2:9" x14ac:dyDescent="0.25">
      <c r="B8263">
        <v>0</v>
      </c>
      <c r="C8263" s="16" t="s">
        <v>17337</v>
      </c>
      <c r="D8263" s="16"/>
      <c r="E8263">
        <v>6</v>
      </c>
      <c r="F8263" t="s">
        <v>8271</v>
      </c>
      <c r="G8263">
        <v>1</v>
      </c>
      <c r="H8263">
        <v>1</v>
      </c>
      <c r="I8263">
        <f>1</f>
        <v>1</v>
      </c>
    </row>
    <row r="8264" spans="2:9" x14ac:dyDescent="0.25">
      <c r="B8264">
        <v>0</v>
      </c>
      <c r="C8264" s="16" t="s">
        <v>17338</v>
      </c>
      <c r="D8264" s="16"/>
      <c r="E8264">
        <v>6</v>
      </c>
      <c r="F8264" t="s">
        <v>4690</v>
      </c>
      <c r="G8264">
        <v>1</v>
      </c>
      <c r="H8264">
        <v>1</v>
      </c>
      <c r="I8264">
        <f>1</f>
        <v>1</v>
      </c>
    </row>
    <row r="8265" spans="2:9" x14ac:dyDescent="0.25">
      <c r="B8265">
        <v>0</v>
      </c>
      <c r="C8265" s="16" t="s">
        <v>17339</v>
      </c>
      <c r="D8265" s="16"/>
      <c r="E8265">
        <v>6</v>
      </c>
      <c r="F8265" t="s">
        <v>8279</v>
      </c>
      <c r="G8265">
        <v>1</v>
      </c>
      <c r="H8265">
        <v>1</v>
      </c>
      <c r="I8265">
        <f>1</f>
        <v>1</v>
      </c>
    </row>
    <row r="8266" spans="2:9" x14ac:dyDescent="0.25">
      <c r="B8266">
        <v>0</v>
      </c>
      <c r="C8266" s="16" t="s">
        <v>17340</v>
      </c>
      <c r="D8266" s="16"/>
      <c r="E8266">
        <v>6</v>
      </c>
      <c r="F8266" t="s">
        <v>8280</v>
      </c>
      <c r="G8266">
        <v>1</v>
      </c>
      <c r="H8266">
        <v>1</v>
      </c>
      <c r="I8266">
        <f>1</f>
        <v>1</v>
      </c>
    </row>
    <row r="8267" spans="2:9" x14ac:dyDescent="0.25">
      <c r="B8267">
        <v>0</v>
      </c>
      <c r="C8267" s="16" t="s">
        <v>17341</v>
      </c>
      <c r="D8267" s="16"/>
      <c r="E8267">
        <v>6</v>
      </c>
      <c r="F8267" t="s">
        <v>8281</v>
      </c>
      <c r="G8267">
        <v>1</v>
      </c>
      <c r="H8267">
        <v>1</v>
      </c>
      <c r="I8267">
        <f>1</f>
        <v>1</v>
      </c>
    </row>
    <row r="8268" spans="2:9" x14ac:dyDescent="0.25">
      <c r="B8268">
        <v>0</v>
      </c>
      <c r="C8268" s="16" t="s">
        <v>17342</v>
      </c>
      <c r="D8268" s="16"/>
      <c r="E8268">
        <v>6</v>
      </c>
      <c r="F8268" t="s">
        <v>4680</v>
      </c>
      <c r="G8268">
        <v>1</v>
      </c>
      <c r="H8268">
        <v>1</v>
      </c>
      <c r="I8268">
        <f>1</f>
        <v>1</v>
      </c>
    </row>
    <row r="8269" spans="2:9" x14ac:dyDescent="0.25">
      <c r="B8269">
        <v>0</v>
      </c>
      <c r="C8269" s="16" t="s">
        <v>17343</v>
      </c>
      <c r="D8269" s="16"/>
      <c r="E8269">
        <v>6</v>
      </c>
      <c r="F8269" t="s">
        <v>8282</v>
      </c>
      <c r="G8269">
        <v>1</v>
      </c>
      <c r="H8269">
        <v>1</v>
      </c>
      <c r="I8269">
        <f>1</f>
        <v>1</v>
      </c>
    </row>
    <row r="8270" spans="2:9" x14ac:dyDescent="0.25">
      <c r="B8270">
        <v>0</v>
      </c>
      <c r="C8270" s="16" t="s">
        <v>17344</v>
      </c>
      <c r="D8270" s="16"/>
      <c r="E8270">
        <v>6</v>
      </c>
      <c r="F8270" t="s">
        <v>4690</v>
      </c>
      <c r="G8270">
        <v>1</v>
      </c>
      <c r="H8270">
        <v>1</v>
      </c>
      <c r="I8270">
        <f>1</f>
        <v>1</v>
      </c>
    </row>
    <row r="8271" spans="2:9" x14ac:dyDescent="0.25">
      <c r="B8271">
        <v>0</v>
      </c>
      <c r="C8271" s="16" t="s">
        <v>17345</v>
      </c>
      <c r="D8271" s="16"/>
      <c r="E8271">
        <v>6</v>
      </c>
      <c r="F8271" t="s">
        <v>8283</v>
      </c>
      <c r="G8271">
        <v>1</v>
      </c>
      <c r="H8271">
        <v>1</v>
      </c>
      <c r="I8271">
        <f>1</f>
        <v>1</v>
      </c>
    </row>
    <row r="8272" spans="2:9" x14ac:dyDescent="0.25">
      <c r="B8272">
        <v>0</v>
      </c>
      <c r="C8272" s="16" t="s">
        <v>17346</v>
      </c>
      <c r="D8272" s="16"/>
      <c r="E8272">
        <v>6</v>
      </c>
      <c r="F8272" t="s">
        <v>8284</v>
      </c>
      <c r="G8272">
        <v>1</v>
      </c>
      <c r="H8272">
        <v>1</v>
      </c>
      <c r="I8272">
        <f>1</f>
        <v>1</v>
      </c>
    </row>
    <row r="8273" spans="2:9" x14ac:dyDescent="0.25">
      <c r="B8273">
        <v>0</v>
      </c>
      <c r="C8273" s="16" t="s">
        <v>17347</v>
      </c>
      <c r="D8273" s="16"/>
      <c r="E8273">
        <v>6</v>
      </c>
      <c r="F8273" t="s">
        <v>8285</v>
      </c>
      <c r="G8273">
        <v>1</v>
      </c>
      <c r="H8273">
        <v>1</v>
      </c>
      <c r="I8273">
        <f>1</f>
        <v>1</v>
      </c>
    </row>
    <row r="8274" spans="2:9" x14ac:dyDescent="0.25">
      <c r="B8274">
        <v>0</v>
      </c>
      <c r="C8274" s="16" t="s">
        <v>17348</v>
      </c>
      <c r="D8274" s="16"/>
      <c r="E8274">
        <v>6</v>
      </c>
      <c r="F8274" t="s">
        <v>4690</v>
      </c>
      <c r="G8274">
        <v>1</v>
      </c>
      <c r="H8274">
        <v>1</v>
      </c>
      <c r="I8274">
        <f>1</f>
        <v>1</v>
      </c>
    </row>
    <row r="8275" spans="2:9" x14ac:dyDescent="0.25">
      <c r="B8275">
        <v>0</v>
      </c>
      <c r="C8275" s="16" t="s">
        <v>17349</v>
      </c>
      <c r="D8275" s="16"/>
      <c r="E8275">
        <v>6</v>
      </c>
      <c r="F8275" t="s">
        <v>8286</v>
      </c>
      <c r="G8275">
        <v>1</v>
      </c>
      <c r="H8275">
        <v>1</v>
      </c>
      <c r="I8275">
        <f>1</f>
        <v>1</v>
      </c>
    </row>
    <row r="8276" spans="2:9" x14ac:dyDescent="0.25">
      <c r="B8276">
        <v>0</v>
      </c>
      <c r="C8276" s="16" t="s">
        <v>17350</v>
      </c>
      <c r="D8276" s="16"/>
      <c r="E8276">
        <v>6</v>
      </c>
      <c r="F8276" t="s">
        <v>4680</v>
      </c>
      <c r="G8276">
        <v>1</v>
      </c>
      <c r="H8276">
        <v>1</v>
      </c>
      <c r="I8276">
        <f>1</f>
        <v>1</v>
      </c>
    </row>
    <row r="8277" spans="2:9" x14ac:dyDescent="0.25">
      <c r="B8277">
        <v>0</v>
      </c>
      <c r="C8277" s="16" t="s">
        <v>17351</v>
      </c>
      <c r="D8277" s="16"/>
      <c r="E8277">
        <v>6</v>
      </c>
      <c r="F8277" t="s">
        <v>8287</v>
      </c>
      <c r="G8277">
        <v>1</v>
      </c>
      <c r="H8277">
        <v>1</v>
      </c>
      <c r="I8277">
        <f>1</f>
        <v>1</v>
      </c>
    </row>
    <row r="8278" spans="2:9" x14ac:dyDescent="0.25">
      <c r="B8278">
        <v>0</v>
      </c>
      <c r="C8278" s="16" t="s">
        <v>17352</v>
      </c>
      <c r="D8278" s="16"/>
      <c r="E8278">
        <v>6</v>
      </c>
      <c r="F8278" t="s">
        <v>8288</v>
      </c>
      <c r="G8278">
        <v>1</v>
      </c>
      <c r="H8278">
        <v>1</v>
      </c>
      <c r="I8278">
        <f>1</f>
        <v>1</v>
      </c>
    </row>
    <row r="8279" spans="2:9" x14ac:dyDescent="0.25">
      <c r="B8279">
        <v>0</v>
      </c>
      <c r="C8279" s="16" t="s">
        <v>17353</v>
      </c>
      <c r="D8279" s="16"/>
      <c r="E8279">
        <v>6</v>
      </c>
      <c r="F8279" t="s">
        <v>8289</v>
      </c>
      <c r="G8279">
        <v>1</v>
      </c>
      <c r="H8279">
        <v>1</v>
      </c>
      <c r="I8279">
        <f>1</f>
        <v>1</v>
      </c>
    </row>
    <row r="8280" spans="2:9" x14ac:dyDescent="0.25">
      <c r="B8280">
        <v>0</v>
      </c>
      <c r="C8280" s="16" t="s">
        <v>17354</v>
      </c>
      <c r="D8280" s="16"/>
      <c r="E8280">
        <v>6</v>
      </c>
      <c r="F8280" t="s">
        <v>4680</v>
      </c>
      <c r="G8280">
        <v>1</v>
      </c>
      <c r="H8280">
        <v>1</v>
      </c>
      <c r="I8280">
        <f>1</f>
        <v>1</v>
      </c>
    </row>
    <row r="8281" spans="2:9" x14ac:dyDescent="0.25">
      <c r="B8281">
        <v>0</v>
      </c>
      <c r="C8281" s="16" t="s">
        <v>17355</v>
      </c>
      <c r="D8281" s="16"/>
      <c r="E8281">
        <v>6</v>
      </c>
      <c r="F8281" t="s">
        <v>8290</v>
      </c>
      <c r="G8281">
        <v>1</v>
      </c>
      <c r="H8281">
        <v>1</v>
      </c>
      <c r="I8281">
        <f>1</f>
        <v>1</v>
      </c>
    </row>
    <row r="8282" spans="2:9" x14ac:dyDescent="0.25">
      <c r="B8282">
        <v>0</v>
      </c>
      <c r="C8282" s="16" t="s">
        <v>17356</v>
      </c>
      <c r="D8282" s="16"/>
      <c r="E8282">
        <v>6</v>
      </c>
      <c r="F8282" t="s">
        <v>8291</v>
      </c>
      <c r="G8282">
        <v>1</v>
      </c>
      <c r="H8282">
        <v>1</v>
      </c>
      <c r="I8282">
        <f>1</f>
        <v>1</v>
      </c>
    </row>
    <row r="8283" spans="2:9" x14ac:dyDescent="0.25">
      <c r="B8283">
        <v>0</v>
      </c>
      <c r="C8283" s="16" t="s">
        <v>17357</v>
      </c>
      <c r="D8283" s="16"/>
      <c r="E8283">
        <v>6</v>
      </c>
      <c r="F8283" t="s">
        <v>4680</v>
      </c>
      <c r="G8283">
        <v>1</v>
      </c>
      <c r="H8283">
        <v>1</v>
      </c>
      <c r="I8283">
        <f>1</f>
        <v>1</v>
      </c>
    </row>
    <row r="8284" spans="2:9" x14ac:dyDescent="0.25">
      <c r="B8284">
        <v>0</v>
      </c>
      <c r="C8284" s="16" t="s">
        <v>17358</v>
      </c>
      <c r="D8284" s="16"/>
      <c r="E8284">
        <v>6</v>
      </c>
      <c r="F8284" t="s">
        <v>8290</v>
      </c>
      <c r="G8284">
        <v>1</v>
      </c>
      <c r="H8284">
        <v>1</v>
      </c>
      <c r="I8284">
        <f>1</f>
        <v>1</v>
      </c>
    </row>
    <row r="8285" spans="2:9" x14ac:dyDescent="0.25">
      <c r="B8285">
        <v>0</v>
      </c>
      <c r="C8285" s="16" t="s">
        <v>17359</v>
      </c>
      <c r="D8285" s="16"/>
      <c r="E8285">
        <v>6</v>
      </c>
      <c r="F8285" t="s">
        <v>8291</v>
      </c>
      <c r="G8285">
        <v>1</v>
      </c>
      <c r="H8285">
        <v>1</v>
      </c>
      <c r="I8285">
        <f>1</f>
        <v>1</v>
      </c>
    </row>
    <row r="8286" spans="2:9" x14ac:dyDescent="0.25">
      <c r="B8286">
        <v>0</v>
      </c>
      <c r="C8286" s="16" t="s">
        <v>17360</v>
      </c>
      <c r="D8286" s="16"/>
      <c r="E8286">
        <v>6</v>
      </c>
      <c r="F8286" t="s">
        <v>8292</v>
      </c>
      <c r="G8286">
        <v>1</v>
      </c>
      <c r="H8286">
        <v>1</v>
      </c>
      <c r="I8286">
        <f>1</f>
        <v>1</v>
      </c>
    </row>
    <row r="8287" spans="2:9" x14ac:dyDescent="0.25">
      <c r="B8287">
        <v>0</v>
      </c>
      <c r="C8287" s="16" t="s">
        <v>17361</v>
      </c>
      <c r="D8287" s="16"/>
      <c r="E8287">
        <v>6</v>
      </c>
      <c r="F8287" t="s">
        <v>4680</v>
      </c>
      <c r="G8287">
        <v>1</v>
      </c>
      <c r="H8287">
        <v>1</v>
      </c>
      <c r="I8287">
        <f>1</f>
        <v>1</v>
      </c>
    </row>
    <row r="8288" spans="2:9" x14ac:dyDescent="0.25">
      <c r="B8288">
        <v>0</v>
      </c>
      <c r="C8288" s="16" t="s">
        <v>17362</v>
      </c>
      <c r="D8288" s="16"/>
      <c r="E8288">
        <v>6</v>
      </c>
      <c r="F8288" t="s">
        <v>8293</v>
      </c>
      <c r="G8288">
        <v>1</v>
      </c>
      <c r="H8288">
        <v>1</v>
      </c>
      <c r="I8288">
        <f>1</f>
        <v>1</v>
      </c>
    </row>
    <row r="8289" spans="2:9" x14ac:dyDescent="0.25">
      <c r="B8289">
        <v>0</v>
      </c>
      <c r="C8289" s="16" t="s">
        <v>17363</v>
      </c>
      <c r="D8289" s="16"/>
      <c r="E8289">
        <v>6</v>
      </c>
      <c r="F8289" t="s">
        <v>8294</v>
      </c>
      <c r="G8289">
        <v>1</v>
      </c>
      <c r="H8289">
        <v>1</v>
      </c>
      <c r="I8289">
        <f>1</f>
        <v>1</v>
      </c>
    </row>
    <row r="8290" spans="2:9" x14ac:dyDescent="0.25">
      <c r="B8290">
        <v>0</v>
      </c>
      <c r="C8290" s="16" t="s">
        <v>17364</v>
      </c>
      <c r="D8290" s="16"/>
      <c r="E8290">
        <v>6</v>
      </c>
      <c r="F8290" t="s">
        <v>8295</v>
      </c>
      <c r="G8290">
        <v>1</v>
      </c>
      <c r="H8290">
        <v>1</v>
      </c>
      <c r="I8290">
        <f>1</f>
        <v>1</v>
      </c>
    </row>
    <row r="8291" spans="2:9" x14ac:dyDescent="0.25">
      <c r="B8291">
        <v>0</v>
      </c>
      <c r="C8291" s="16" t="s">
        <v>17365</v>
      </c>
      <c r="D8291" s="16"/>
      <c r="E8291">
        <v>6</v>
      </c>
      <c r="F8291" t="s">
        <v>4680</v>
      </c>
      <c r="G8291">
        <v>1</v>
      </c>
      <c r="H8291">
        <v>1</v>
      </c>
      <c r="I8291">
        <f>1</f>
        <v>1</v>
      </c>
    </row>
    <row r="8292" spans="2:9" x14ac:dyDescent="0.25">
      <c r="B8292">
        <v>0</v>
      </c>
      <c r="C8292" s="16" t="s">
        <v>17366</v>
      </c>
      <c r="D8292" s="16"/>
      <c r="E8292">
        <v>6</v>
      </c>
      <c r="F8292" t="s">
        <v>8290</v>
      </c>
      <c r="G8292">
        <v>1</v>
      </c>
      <c r="H8292">
        <v>1</v>
      </c>
      <c r="I8292">
        <f>1</f>
        <v>1</v>
      </c>
    </row>
    <row r="8293" spans="2:9" x14ac:dyDescent="0.25">
      <c r="B8293">
        <v>0</v>
      </c>
      <c r="C8293" s="16" t="s">
        <v>17367</v>
      </c>
      <c r="D8293" s="16"/>
      <c r="E8293">
        <v>6</v>
      </c>
      <c r="F8293" t="s">
        <v>8291</v>
      </c>
      <c r="G8293">
        <v>1</v>
      </c>
      <c r="H8293">
        <v>1</v>
      </c>
      <c r="I8293">
        <f>1</f>
        <v>1</v>
      </c>
    </row>
    <row r="8294" spans="2:9" x14ac:dyDescent="0.25">
      <c r="B8294">
        <v>0</v>
      </c>
      <c r="C8294" s="16" t="s">
        <v>17368</v>
      </c>
      <c r="D8294" s="16"/>
      <c r="E8294">
        <v>6</v>
      </c>
      <c r="F8294" t="s">
        <v>4680</v>
      </c>
      <c r="G8294">
        <v>1</v>
      </c>
      <c r="H8294">
        <v>1</v>
      </c>
      <c r="I8294">
        <f>1</f>
        <v>1</v>
      </c>
    </row>
    <row r="8295" spans="2:9" x14ac:dyDescent="0.25">
      <c r="B8295">
        <v>0</v>
      </c>
      <c r="C8295" s="16" t="s">
        <v>17369</v>
      </c>
      <c r="D8295" s="16"/>
      <c r="E8295">
        <v>6</v>
      </c>
      <c r="F8295" t="s">
        <v>8296</v>
      </c>
      <c r="G8295">
        <v>1</v>
      </c>
      <c r="H8295">
        <v>1</v>
      </c>
      <c r="I8295">
        <f>1</f>
        <v>1</v>
      </c>
    </row>
    <row r="8296" spans="2:9" x14ac:dyDescent="0.25">
      <c r="B8296">
        <v>0</v>
      </c>
      <c r="C8296" s="16" t="s">
        <v>17370</v>
      </c>
      <c r="D8296" s="16"/>
      <c r="E8296">
        <v>6</v>
      </c>
      <c r="F8296" t="s">
        <v>8297</v>
      </c>
      <c r="G8296">
        <v>1</v>
      </c>
      <c r="H8296">
        <v>1</v>
      </c>
      <c r="I8296">
        <f>1</f>
        <v>1</v>
      </c>
    </row>
    <row r="8297" spans="2:9" x14ac:dyDescent="0.25">
      <c r="B8297">
        <v>0</v>
      </c>
      <c r="C8297" s="16" t="s">
        <v>17371</v>
      </c>
      <c r="D8297" s="16"/>
      <c r="E8297">
        <v>6</v>
      </c>
      <c r="F8297" t="s">
        <v>8298</v>
      </c>
      <c r="G8297">
        <v>1</v>
      </c>
      <c r="H8297">
        <v>1</v>
      </c>
      <c r="I8297">
        <f>1</f>
        <v>1</v>
      </c>
    </row>
    <row r="8298" spans="2:9" x14ac:dyDescent="0.25">
      <c r="B8298">
        <v>0</v>
      </c>
      <c r="C8298" s="16" t="s">
        <v>17372</v>
      </c>
      <c r="D8298" s="16"/>
      <c r="E8298">
        <v>6</v>
      </c>
      <c r="F8298" t="s">
        <v>8299</v>
      </c>
      <c r="G8298">
        <v>1</v>
      </c>
      <c r="H8298">
        <v>1</v>
      </c>
      <c r="I8298">
        <f>1</f>
        <v>1</v>
      </c>
    </row>
    <row r="8299" spans="2:9" x14ac:dyDescent="0.25">
      <c r="B8299">
        <v>0</v>
      </c>
      <c r="C8299" s="16" t="s">
        <v>17373</v>
      </c>
      <c r="D8299" s="16"/>
      <c r="E8299">
        <v>6</v>
      </c>
      <c r="F8299" t="s">
        <v>4680</v>
      </c>
      <c r="G8299">
        <v>1</v>
      </c>
      <c r="H8299">
        <v>1</v>
      </c>
      <c r="I8299">
        <f>1</f>
        <v>1</v>
      </c>
    </row>
    <row r="8300" spans="2:9" x14ac:dyDescent="0.25">
      <c r="B8300">
        <v>0</v>
      </c>
      <c r="C8300" s="16" t="s">
        <v>17374</v>
      </c>
      <c r="D8300" s="16"/>
      <c r="E8300">
        <v>6</v>
      </c>
      <c r="F8300" t="s">
        <v>8300</v>
      </c>
      <c r="G8300">
        <v>1</v>
      </c>
      <c r="H8300">
        <v>1</v>
      </c>
      <c r="I8300">
        <f>1</f>
        <v>1</v>
      </c>
    </row>
    <row r="8301" spans="2:9" x14ac:dyDescent="0.25">
      <c r="B8301">
        <v>0</v>
      </c>
      <c r="C8301" s="16" t="s">
        <v>17375</v>
      </c>
      <c r="D8301" s="16"/>
      <c r="E8301">
        <v>6</v>
      </c>
      <c r="F8301" t="s">
        <v>8301</v>
      </c>
      <c r="G8301">
        <v>1</v>
      </c>
      <c r="H8301">
        <v>1</v>
      </c>
      <c r="I8301">
        <f>1</f>
        <v>1</v>
      </c>
    </row>
    <row r="8302" spans="2:9" x14ac:dyDescent="0.25">
      <c r="B8302">
        <v>0</v>
      </c>
      <c r="C8302" s="16" t="s">
        <v>17376</v>
      </c>
      <c r="D8302" s="16"/>
      <c r="E8302">
        <v>6</v>
      </c>
      <c r="F8302" t="s">
        <v>4690</v>
      </c>
      <c r="G8302">
        <v>1</v>
      </c>
      <c r="H8302">
        <v>1</v>
      </c>
      <c r="I8302">
        <f>1</f>
        <v>1</v>
      </c>
    </row>
    <row r="8303" spans="2:9" x14ac:dyDescent="0.25">
      <c r="B8303">
        <v>0</v>
      </c>
      <c r="C8303" s="16" t="s">
        <v>17377</v>
      </c>
      <c r="D8303" s="16"/>
      <c r="E8303">
        <v>6</v>
      </c>
      <c r="F8303" t="s">
        <v>8302</v>
      </c>
      <c r="G8303">
        <v>1</v>
      </c>
      <c r="H8303">
        <v>1</v>
      </c>
      <c r="I8303">
        <f>1</f>
        <v>1</v>
      </c>
    </row>
    <row r="8304" spans="2:9" x14ac:dyDescent="0.25">
      <c r="B8304">
        <v>0</v>
      </c>
      <c r="C8304" s="16" t="s">
        <v>17378</v>
      </c>
      <c r="D8304" s="16"/>
      <c r="E8304">
        <v>6</v>
      </c>
      <c r="F8304" t="s">
        <v>8303</v>
      </c>
      <c r="G8304">
        <v>1</v>
      </c>
      <c r="H8304">
        <v>1</v>
      </c>
      <c r="I8304">
        <f>1</f>
        <v>1</v>
      </c>
    </row>
    <row r="8305" spans="2:9" x14ac:dyDescent="0.25">
      <c r="B8305">
        <v>0</v>
      </c>
      <c r="C8305" s="16" t="s">
        <v>17379</v>
      </c>
      <c r="D8305" s="16"/>
      <c r="E8305">
        <v>6</v>
      </c>
      <c r="F8305" t="s">
        <v>4690</v>
      </c>
      <c r="G8305">
        <v>1</v>
      </c>
      <c r="H8305">
        <v>1</v>
      </c>
      <c r="I8305">
        <f>1</f>
        <v>1</v>
      </c>
    </row>
    <row r="8306" spans="2:9" x14ac:dyDescent="0.25">
      <c r="B8306">
        <v>0</v>
      </c>
      <c r="C8306" s="16" t="s">
        <v>17380</v>
      </c>
      <c r="D8306" s="16"/>
      <c r="E8306">
        <v>6</v>
      </c>
      <c r="F8306" t="e">
        <f>--Penteadoras</f>
        <v>#NAME?</v>
      </c>
      <c r="G8306">
        <v>1</v>
      </c>
      <c r="H8306">
        <v>1</v>
      </c>
      <c r="I8306">
        <f>1</f>
        <v>1</v>
      </c>
    </row>
    <row r="8307" spans="2:9" x14ac:dyDescent="0.25">
      <c r="B8307">
        <v>0</v>
      </c>
      <c r="C8307" s="16" t="s">
        <v>17381</v>
      </c>
      <c r="D8307" s="16"/>
      <c r="E8307">
        <v>6</v>
      </c>
      <c r="F8307" t="e">
        <f>--Bancas De estiramento  Bancas De fusos</f>
        <v>#NAME?</v>
      </c>
      <c r="G8307">
        <v>1</v>
      </c>
      <c r="H8307">
        <v>1</v>
      </c>
      <c r="I8307">
        <f>1</f>
        <v>1</v>
      </c>
    </row>
    <row r="8308" spans="2:9" x14ac:dyDescent="0.25">
      <c r="B8308">
        <v>0</v>
      </c>
      <c r="C8308" s="16" t="s">
        <v>17382</v>
      </c>
      <c r="D8308" s="16"/>
      <c r="E8308">
        <v>6</v>
      </c>
      <c r="F8308" t="s">
        <v>8304</v>
      </c>
      <c r="G8308">
        <v>1</v>
      </c>
      <c r="H8308">
        <v>1</v>
      </c>
      <c r="I8308">
        <f>1</f>
        <v>1</v>
      </c>
    </row>
    <row r="8309" spans="2:9" x14ac:dyDescent="0.25">
      <c r="B8309">
        <v>0</v>
      </c>
      <c r="C8309" s="16" t="s">
        <v>17383</v>
      </c>
      <c r="D8309" s="16"/>
      <c r="E8309">
        <v>6</v>
      </c>
      <c r="F8309" t="s">
        <v>8305</v>
      </c>
      <c r="G8309">
        <v>1</v>
      </c>
      <c r="H8309">
        <v>1</v>
      </c>
      <c r="I8309">
        <f>1</f>
        <v>1</v>
      </c>
    </row>
    <row r="8310" spans="2:9" x14ac:dyDescent="0.25">
      <c r="B8310">
        <v>0</v>
      </c>
      <c r="C8310" s="16" t="s">
        <v>17384</v>
      </c>
      <c r="D8310" s="16"/>
      <c r="E8310">
        <v>6</v>
      </c>
      <c r="F8310" t="s">
        <v>8306</v>
      </c>
      <c r="G8310">
        <v>1</v>
      </c>
      <c r="H8310">
        <v>1</v>
      </c>
      <c r="I8310">
        <f>1</f>
        <v>1</v>
      </c>
    </row>
    <row r="8311" spans="2:9" x14ac:dyDescent="0.25">
      <c r="B8311">
        <v>0</v>
      </c>
      <c r="C8311" s="16" t="s">
        <v>17385</v>
      </c>
      <c r="D8311" s="16"/>
      <c r="E8311">
        <v>6</v>
      </c>
      <c r="F8311" t="s">
        <v>8307</v>
      </c>
      <c r="G8311">
        <v>1</v>
      </c>
      <c r="H8311">
        <v>1</v>
      </c>
      <c r="I8311">
        <f>1</f>
        <v>1</v>
      </c>
    </row>
    <row r="8312" spans="2:9" x14ac:dyDescent="0.25">
      <c r="B8312">
        <v>0</v>
      </c>
      <c r="C8312" s="16" t="s">
        <v>17386</v>
      </c>
      <c r="D8312" s="16"/>
      <c r="E8312">
        <v>6</v>
      </c>
      <c r="F8312" t="s">
        <v>8308</v>
      </c>
      <c r="G8312">
        <v>1</v>
      </c>
      <c r="H8312">
        <v>1</v>
      </c>
      <c r="I8312">
        <f>1</f>
        <v>1</v>
      </c>
    </row>
    <row r="8313" spans="2:9" x14ac:dyDescent="0.25">
      <c r="B8313">
        <v>0</v>
      </c>
      <c r="C8313" s="16" t="s">
        <v>17387</v>
      </c>
      <c r="D8313" s="16"/>
      <c r="E8313">
        <v>6</v>
      </c>
      <c r="F8313" t="s">
        <v>8309</v>
      </c>
      <c r="G8313">
        <v>1</v>
      </c>
      <c r="H8313">
        <v>1</v>
      </c>
      <c r="I8313">
        <f>1</f>
        <v>1</v>
      </c>
    </row>
    <row r="8314" spans="2:9" x14ac:dyDescent="0.25">
      <c r="B8314">
        <v>0</v>
      </c>
      <c r="C8314" s="16" t="s">
        <v>17388</v>
      </c>
      <c r="D8314" s="16"/>
      <c r="E8314">
        <v>6</v>
      </c>
      <c r="F8314" t="s">
        <v>8310</v>
      </c>
      <c r="G8314">
        <v>1</v>
      </c>
      <c r="H8314">
        <v>1</v>
      </c>
      <c r="I8314">
        <f>1</f>
        <v>1</v>
      </c>
    </row>
    <row r="8315" spans="2:9" x14ac:dyDescent="0.25">
      <c r="B8315">
        <v>0</v>
      </c>
      <c r="C8315" s="16" t="s">
        <v>17389</v>
      </c>
      <c r="D8315" s="16"/>
      <c r="E8315">
        <v>6</v>
      </c>
      <c r="F8315" t="s">
        <v>8311</v>
      </c>
      <c r="G8315">
        <v>1</v>
      </c>
      <c r="H8315">
        <v>1</v>
      </c>
      <c r="I8315">
        <f>1</f>
        <v>1</v>
      </c>
    </row>
    <row r="8316" spans="2:9" x14ac:dyDescent="0.25">
      <c r="B8316">
        <v>0</v>
      </c>
      <c r="C8316" s="16" t="s">
        <v>17390</v>
      </c>
      <c r="D8316" s="16"/>
      <c r="E8316">
        <v>6</v>
      </c>
      <c r="F8316" t="s">
        <v>4690</v>
      </c>
      <c r="G8316">
        <v>1</v>
      </c>
      <c r="H8316">
        <v>1</v>
      </c>
      <c r="I8316">
        <f>1</f>
        <v>1</v>
      </c>
    </row>
    <row r="8317" spans="2:9" x14ac:dyDescent="0.25">
      <c r="B8317">
        <v>0</v>
      </c>
      <c r="C8317" s="16" t="s">
        <v>17391</v>
      </c>
      <c r="D8317" s="16"/>
      <c r="E8317">
        <v>6</v>
      </c>
      <c r="F8317" t="e">
        <f>-máquinas para fiação De matérias têxteis</f>
        <v>#NAME?</v>
      </c>
      <c r="G8317">
        <v>1</v>
      </c>
      <c r="H8317">
        <v>1</v>
      </c>
      <c r="I8317">
        <f>1</f>
        <v>1</v>
      </c>
    </row>
    <row r="8318" spans="2:9" x14ac:dyDescent="0.25">
      <c r="B8318">
        <v>0</v>
      </c>
      <c r="C8318" s="16" t="s">
        <v>17392</v>
      </c>
      <c r="D8318" s="16"/>
      <c r="E8318">
        <v>6</v>
      </c>
      <c r="F8318" t="s">
        <v>8312</v>
      </c>
      <c r="G8318">
        <v>1</v>
      </c>
      <c r="H8318">
        <v>1</v>
      </c>
      <c r="I8318">
        <f>1</f>
        <v>1</v>
      </c>
    </row>
    <row r="8319" spans="2:9" x14ac:dyDescent="0.25">
      <c r="B8319">
        <v>0</v>
      </c>
      <c r="C8319" s="16" t="s">
        <v>17393</v>
      </c>
      <c r="D8319" s="16"/>
      <c r="E8319">
        <v>6</v>
      </c>
      <c r="F8319" t="s">
        <v>4690</v>
      </c>
      <c r="G8319">
        <v>1</v>
      </c>
      <c r="H8319">
        <v>1</v>
      </c>
      <c r="I8319">
        <f>1</f>
        <v>1</v>
      </c>
    </row>
    <row r="8320" spans="2:9" x14ac:dyDescent="0.25">
      <c r="B8320">
        <v>0</v>
      </c>
      <c r="C8320" s="16" t="s">
        <v>17394</v>
      </c>
      <c r="D8320" s="16"/>
      <c r="E8320">
        <v>6</v>
      </c>
      <c r="F8320" t="s">
        <v>8313</v>
      </c>
      <c r="G8320">
        <v>1</v>
      </c>
      <c r="H8320">
        <v>1</v>
      </c>
      <c r="I8320">
        <f>1</f>
        <v>1</v>
      </c>
    </row>
    <row r="8321" spans="2:9" x14ac:dyDescent="0.25">
      <c r="B8321">
        <v>0</v>
      </c>
      <c r="C8321" s="16" t="s">
        <v>17395</v>
      </c>
      <c r="D8321" s="16"/>
      <c r="E8321">
        <v>6</v>
      </c>
      <c r="F8321" t="s">
        <v>8314</v>
      </c>
      <c r="G8321">
        <v>1</v>
      </c>
      <c r="H8321">
        <v>1</v>
      </c>
      <c r="I8321">
        <f>1</f>
        <v>1</v>
      </c>
    </row>
    <row r="8322" spans="2:9" x14ac:dyDescent="0.25">
      <c r="B8322">
        <v>0</v>
      </c>
      <c r="C8322" s="16" t="s">
        <v>17396</v>
      </c>
      <c r="D8322" s="16"/>
      <c r="E8322">
        <v>6</v>
      </c>
      <c r="F8322" t="s">
        <v>8315</v>
      </c>
      <c r="G8322">
        <v>1</v>
      </c>
      <c r="H8322">
        <v>1</v>
      </c>
      <c r="I8322">
        <f>1</f>
        <v>1</v>
      </c>
    </row>
    <row r="8323" spans="2:9" x14ac:dyDescent="0.25">
      <c r="B8323">
        <v>0</v>
      </c>
      <c r="C8323" s="16" t="s">
        <v>17397</v>
      </c>
      <c r="D8323" s="16"/>
      <c r="E8323">
        <v>6</v>
      </c>
      <c r="F8323" t="s">
        <v>4690</v>
      </c>
      <c r="G8323">
        <v>1</v>
      </c>
      <c r="H8323">
        <v>1</v>
      </c>
      <c r="I8323">
        <f>1</f>
        <v>1</v>
      </c>
    </row>
    <row r="8324" spans="2:9" x14ac:dyDescent="0.25">
      <c r="B8324">
        <v>0</v>
      </c>
      <c r="C8324" s="16" t="s">
        <v>17398</v>
      </c>
      <c r="D8324" s="16"/>
      <c r="E8324">
        <v>6</v>
      </c>
      <c r="F8324" t="s">
        <v>8316</v>
      </c>
      <c r="G8324">
        <v>1</v>
      </c>
      <c r="H8324">
        <v>1</v>
      </c>
      <c r="I8324">
        <f>1</f>
        <v>1</v>
      </c>
    </row>
    <row r="8325" spans="2:9" x14ac:dyDescent="0.25">
      <c r="B8325">
        <v>0</v>
      </c>
      <c r="C8325" s="16" t="s">
        <v>17399</v>
      </c>
      <c r="D8325" s="16"/>
      <c r="E8325">
        <v>6</v>
      </c>
      <c r="F8325" t="s">
        <v>4690</v>
      </c>
      <c r="G8325">
        <v>1</v>
      </c>
      <c r="H8325">
        <v>1</v>
      </c>
      <c r="I8325">
        <f>1</f>
        <v>1</v>
      </c>
    </row>
    <row r="8326" spans="2:9" x14ac:dyDescent="0.25">
      <c r="B8326">
        <v>0</v>
      </c>
      <c r="C8326" s="16" t="s">
        <v>17400</v>
      </c>
      <c r="D8326" s="16"/>
      <c r="E8326">
        <v>6</v>
      </c>
      <c r="F8326" t="s">
        <v>8317</v>
      </c>
      <c r="G8326">
        <v>1</v>
      </c>
      <c r="H8326">
        <v>1</v>
      </c>
      <c r="I8326">
        <f>1</f>
        <v>1</v>
      </c>
    </row>
    <row r="8327" spans="2:9" x14ac:dyDescent="0.25">
      <c r="B8327">
        <v>0</v>
      </c>
      <c r="C8327" s="16" t="s">
        <v>17401</v>
      </c>
      <c r="D8327" s="16"/>
      <c r="E8327">
        <v>6</v>
      </c>
      <c r="F8327" t="s">
        <v>4690</v>
      </c>
      <c r="G8327">
        <v>1</v>
      </c>
      <c r="H8327">
        <v>1</v>
      </c>
      <c r="I8327">
        <f>1</f>
        <v>1</v>
      </c>
    </row>
    <row r="8328" spans="2:9" x14ac:dyDescent="0.25">
      <c r="B8328">
        <v>0</v>
      </c>
      <c r="C8328" s="16" t="s">
        <v>17402</v>
      </c>
      <c r="D8328" s="16"/>
      <c r="E8328">
        <v>6</v>
      </c>
      <c r="F8328" t="s">
        <v>8318</v>
      </c>
      <c r="G8328">
        <v>1</v>
      </c>
      <c r="H8328">
        <v>1</v>
      </c>
      <c r="I8328">
        <f>1</f>
        <v>1</v>
      </c>
    </row>
    <row r="8329" spans="2:9" x14ac:dyDescent="0.25">
      <c r="B8329">
        <v>0</v>
      </c>
      <c r="C8329" s="16" t="s">
        <v>17403</v>
      </c>
      <c r="D8329" s="16"/>
      <c r="E8329">
        <v>6</v>
      </c>
      <c r="F8329" t="s">
        <v>4690</v>
      </c>
      <c r="G8329">
        <v>1</v>
      </c>
      <c r="H8329">
        <v>1</v>
      </c>
      <c r="I8329">
        <f>1</f>
        <v>1</v>
      </c>
    </row>
    <row r="8330" spans="2:9" x14ac:dyDescent="0.25">
      <c r="B8330">
        <v>0</v>
      </c>
      <c r="C8330" s="16" t="s">
        <v>17404</v>
      </c>
      <c r="D8330" s="16"/>
      <c r="E8330">
        <v>6</v>
      </c>
      <c r="F8330" t="s">
        <v>8319</v>
      </c>
      <c r="G8330">
        <v>1</v>
      </c>
      <c r="H8330">
        <v>1</v>
      </c>
      <c r="I8330">
        <f>1</f>
        <v>1</v>
      </c>
    </row>
    <row r="8331" spans="2:9" x14ac:dyDescent="0.25">
      <c r="B8331">
        <v>0</v>
      </c>
      <c r="C8331" s="16" t="s">
        <v>17405</v>
      </c>
      <c r="D8331" s="16"/>
      <c r="E8331">
        <v>6</v>
      </c>
      <c r="F8331" t="s">
        <v>8320</v>
      </c>
      <c r="G8331">
        <v>1</v>
      </c>
      <c r="H8331">
        <v>1</v>
      </c>
      <c r="I8331">
        <f>1</f>
        <v>1</v>
      </c>
    </row>
    <row r="8332" spans="2:9" x14ac:dyDescent="0.25">
      <c r="B8332">
        <v>0</v>
      </c>
      <c r="C8332" s="16" t="s">
        <v>17406</v>
      </c>
      <c r="D8332" s="16"/>
      <c r="E8332">
        <v>6</v>
      </c>
      <c r="F8332" t="s">
        <v>8321</v>
      </c>
      <c r="G8332">
        <v>1</v>
      </c>
      <c r="H8332">
        <v>1</v>
      </c>
      <c r="I8332">
        <f>1</f>
        <v>1</v>
      </c>
    </row>
    <row r="8333" spans="2:9" x14ac:dyDescent="0.25">
      <c r="B8333">
        <v>0</v>
      </c>
      <c r="C8333" s="16" t="s">
        <v>17407</v>
      </c>
      <c r="D8333" s="16"/>
      <c r="E8333">
        <v>6</v>
      </c>
      <c r="F8333" t="s">
        <v>8322</v>
      </c>
      <c r="G8333">
        <v>1</v>
      </c>
      <c r="H8333">
        <v>1</v>
      </c>
      <c r="I8333">
        <f>1</f>
        <v>1</v>
      </c>
    </row>
    <row r="8334" spans="2:9" x14ac:dyDescent="0.25">
      <c r="B8334">
        <v>0</v>
      </c>
      <c r="C8334" s="16" t="s">
        <v>17408</v>
      </c>
      <c r="D8334" s="16"/>
      <c r="E8334">
        <v>6</v>
      </c>
      <c r="F8334" t="s">
        <v>4690</v>
      </c>
      <c r="G8334">
        <v>1</v>
      </c>
      <c r="H8334">
        <v>1</v>
      </c>
      <c r="I8334">
        <f>1</f>
        <v>1</v>
      </c>
    </row>
    <row r="8335" spans="2:9" x14ac:dyDescent="0.25">
      <c r="B8335">
        <v>0</v>
      </c>
      <c r="C8335" s="16" t="s">
        <v>17409</v>
      </c>
      <c r="D8335" s="16"/>
      <c r="E8335">
        <v>6</v>
      </c>
      <c r="F8335" t="s">
        <v>8323</v>
      </c>
      <c r="G8335">
        <v>1</v>
      </c>
      <c r="H8335">
        <v>1</v>
      </c>
      <c r="I8335">
        <f>1</f>
        <v>1</v>
      </c>
    </row>
    <row r="8336" spans="2:9" x14ac:dyDescent="0.25">
      <c r="B8336">
        <v>0</v>
      </c>
      <c r="C8336" s="16" t="s">
        <v>17410</v>
      </c>
      <c r="D8336" s="16"/>
      <c r="E8336">
        <v>6</v>
      </c>
      <c r="F8336" t="s">
        <v>4680</v>
      </c>
      <c r="G8336">
        <v>1</v>
      </c>
      <c r="H8336">
        <v>1</v>
      </c>
      <c r="I8336">
        <f>1</f>
        <v>1</v>
      </c>
    </row>
    <row r="8337" spans="2:9" x14ac:dyDescent="0.25">
      <c r="B8337">
        <v>0</v>
      </c>
      <c r="C8337" s="16" t="s">
        <v>17411</v>
      </c>
      <c r="D8337" s="16"/>
      <c r="E8337">
        <v>6</v>
      </c>
      <c r="F8337" t="e">
        <f>--a motor</f>
        <v>#NAME?</v>
      </c>
      <c r="G8337">
        <v>1</v>
      </c>
      <c r="H8337">
        <v>1</v>
      </c>
      <c r="I8337">
        <f>1</f>
        <v>1</v>
      </c>
    </row>
    <row r="8338" spans="2:9" x14ac:dyDescent="0.25">
      <c r="B8338">
        <v>0</v>
      </c>
      <c r="C8338" s="16" t="s">
        <v>17412</v>
      </c>
      <c r="D8338" s="16"/>
      <c r="E8338">
        <v>6</v>
      </c>
      <c r="F8338" t="e">
        <f>--outros</f>
        <v>#NAME?</v>
      </c>
      <c r="G8338">
        <v>1</v>
      </c>
      <c r="H8338">
        <v>1</v>
      </c>
      <c r="I8338">
        <f>1</f>
        <v>1</v>
      </c>
    </row>
    <row r="8339" spans="2:9" x14ac:dyDescent="0.25">
      <c r="B8339">
        <v>0</v>
      </c>
      <c r="C8339" s="16" t="s">
        <v>17413</v>
      </c>
      <c r="D8339" s="16"/>
      <c r="E8339">
        <v>6</v>
      </c>
      <c r="F8339" t="s">
        <v>8324</v>
      </c>
      <c r="G8339">
        <v>1</v>
      </c>
      <c r="H8339">
        <v>1</v>
      </c>
      <c r="I8339">
        <f>1</f>
        <v>1</v>
      </c>
    </row>
    <row r="8340" spans="2:9" x14ac:dyDescent="0.25">
      <c r="B8340">
        <v>0</v>
      </c>
      <c r="C8340" s="16" t="s">
        <v>17414</v>
      </c>
      <c r="D8340" s="16"/>
      <c r="E8340">
        <v>6</v>
      </c>
      <c r="F8340" t="s">
        <v>8325</v>
      </c>
      <c r="G8340">
        <v>1</v>
      </c>
      <c r="H8340">
        <v>1</v>
      </c>
      <c r="I8340">
        <f>1</f>
        <v>1</v>
      </c>
    </row>
    <row r="8341" spans="2:9" x14ac:dyDescent="0.25">
      <c r="B8341">
        <v>0</v>
      </c>
      <c r="C8341" s="16" t="s">
        <v>17415</v>
      </c>
      <c r="D8341" s="16"/>
      <c r="E8341">
        <v>6</v>
      </c>
      <c r="F8341" t="s">
        <v>8326</v>
      </c>
      <c r="G8341">
        <v>1</v>
      </c>
      <c r="H8341">
        <v>1</v>
      </c>
      <c r="I8341">
        <f>1</f>
        <v>1</v>
      </c>
    </row>
    <row r="8342" spans="2:9" x14ac:dyDescent="0.25">
      <c r="B8342">
        <v>0</v>
      </c>
      <c r="C8342" s="16" t="s">
        <v>17416</v>
      </c>
      <c r="D8342" s="16"/>
      <c r="E8342">
        <v>6</v>
      </c>
      <c r="F8342" t="s">
        <v>8327</v>
      </c>
      <c r="G8342">
        <v>1</v>
      </c>
      <c r="H8342">
        <v>1</v>
      </c>
      <c r="I8342">
        <f>1</f>
        <v>1</v>
      </c>
    </row>
    <row r="8343" spans="2:9" x14ac:dyDescent="0.25">
      <c r="B8343">
        <v>0</v>
      </c>
      <c r="C8343" s="16" t="s">
        <v>17417</v>
      </c>
      <c r="D8343" s="16"/>
      <c r="E8343">
        <v>6</v>
      </c>
      <c r="F8343" t="s">
        <v>4680</v>
      </c>
      <c r="G8343">
        <v>1</v>
      </c>
      <c r="H8343">
        <v>1</v>
      </c>
      <c r="I8343">
        <f>1</f>
        <v>1</v>
      </c>
    </row>
    <row r="8344" spans="2:9" x14ac:dyDescent="0.25">
      <c r="B8344">
        <v>0</v>
      </c>
      <c r="C8344" s="16" t="s">
        <v>17418</v>
      </c>
      <c r="D8344" s="16"/>
      <c r="E8344">
        <v>6</v>
      </c>
      <c r="F8344" t="s">
        <v>8328</v>
      </c>
      <c r="G8344">
        <v>1</v>
      </c>
      <c r="H8344">
        <v>1</v>
      </c>
      <c r="I8344">
        <f>1</f>
        <v>1</v>
      </c>
    </row>
    <row r="8345" spans="2:9" x14ac:dyDescent="0.25">
      <c r="B8345">
        <v>0</v>
      </c>
      <c r="C8345" s="16" t="s">
        <v>17419</v>
      </c>
      <c r="D8345" s="16"/>
      <c r="E8345">
        <v>6</v>
      </c>
      <c r="F8345" t="s">
        <v>8329</v>
      </c>
      <c r="G8345">
        <v>1</v>
      </c>
      <c r="H8345">
        <v>1</v>
      </c>
      <c r="I8345">
        <f>1</f>
        <v>1</v>
      </c>
    </row>
    <row r="8346" spans="2:9" x14ac:dyDescent="0.25">
      <c r="B8346">
        <v>0</v>
      </c>
      <c r="C8346" s="16" t="s">
        <v>17420</v>
      </c>
      <c r="D8346" s="16"/>
      <c r="E8346">
        <v>6</v>
      </c>
      <c r="F8346" t="s">
        <v>8330</v>
      </c>
      <c r="G8346">
        <v>1</v>
      </c>
      <c r="H8346">
        <v>1</v>
      </c>
      <c r="I8346">
        <f>1</f>
        <v>1</v>
      </c>
    </row>
    <row r="8347" spans="2:9" x14ac:dyDescent="0.25">
      <c r="B8347">
        <v>0</v>
      </c>
      <c r="C8347" s="16" t="s">
        <v>17421</v>
      </c>
      <c r="D8347" s="16"/>
      <c r="E8347">
        <v>6</v>
      </c>
      <c r="F8347" t="s">
        <v>8331</v>
      </c>
      <c r="G8347">
        <v>1</v>
      </c>
      <c r="H8347">
        <v>1</v>
      </c>
      <c r="I8347">
        <f>1</f>
        <v>1</v>
      </c>
    </row>
    <row r="8348" spans="2:9" x14ac:dyDescent="0.25">
      <c r="B8348">
        <v>0</v>
      </c>
      <c r="C8348" s="16" t="s">
        <v>17422</v>
      </c>
      <c r="D8348" s="16"/>
      <c r="E8348">
        <v>6</v>
      </c>
      <c r="F8348" t="s">
        <v>4680</v>
      </c>
      <c r="G8348">
        <v>1</v>
      </c>
      <c r="H8348">
        <v>1</v>
      </c>
      <c r="I8348">
        <f>1</f>
        <v>1</v>
      </c>
    </row>
    <row r="8349" spans="2:9" x14ac:dyDescent="0.25">
      <c r="B8349">
        <v>0</v>
      </c>
      <c r="C8349" s="16" t="s">
        <v>17423</v>
      </c>
      <c r="D8349" s="16"/>
      <c r="E8349">
        <v>6</v>
      </c>
      <c r="F8349" t="s">
        <v>8332</v>
      </c>
      <c r="G8349">
        <v>1</v>
      </c>
      <c r="H8349">
        <v>1</v>
      </c>
      <c r="I8349">
        <f>1</f>
        <v>1</v>
      </c>
    </row>
    <row r="8350" spans="2:9" x14ac:dyDescent="0.25">
      <c r="B8350">
        <v>0</v>
      </c>
      <c r="C8350" s="16" t="s">
        <v>17424</v>
      </c>
      <c r="D8350" s="16"/>
      <c r="E8350">
        <v>6</v>
      </c>
      <c r="F8350" t="s">
        <v>8333</v>
      </c>
      <c r="G8350">
        <v>1</v>
      </c>
      <c r="H8350">
        <v>1</v>
      </c>
      <c r="I8350">
        <f>1</f>
        <v>1</v>
      </c>
    </row>
    <row r="8351" spans="2:9" x14ac:dyDescent="0.25">
      <c r="B8351">
        <v>0</v>
      </c>
      <c r="C8351" s="16" t="s">
        <v>17425</v>
      </c>
      <c r="D8351" s="16"/>
      <c r="E8351">
        <v>6</v>
      </c>
      <c r="F8351" t="s">
        <v>8334</v>
      </c>
      <c r="G8351">
        <v>1</v>
      </c>
      <c r="H8351">
        <v>1</v>
      </c>
      <c r="I8351">
        <f>1</f>
        <v>1</v>
      </c>
    </row>
    <row r="8352" spans="2:9" x14ac:dyDescent="0.25">
      <c r="B8352">
        <v>0</v>
      </c>
      <c r="C8352" s="16" t="s">
        <v>17426</v>
      </c>
      <c r="D8352" s="16"/>
      <c r="E8352">
        <v>6</v>
      </c>
      <c r="F8352" t="s">
        <v>4690</v>
      </c>
      <c r="G8352">
        <v>1</v>
      </c>
      <c r="H8352">
        <v>1</v>
      </c>
      <c r="I8352">
        <f>1</f>
        <v>1</v>
      </c>
    </row>
    <row r="8353" spans="2:9" x14ac:dyDescent="0.25">
      <c r="B8353">
        <v>0</v>
      </c>
      <c r="C8353" s="16" t="s">
        <v>17427</v>
      </c>
      <c r="D8353" s="16"/>
      <c r="E8353">
        <v>6</v>
      </c>
      <c r="F8353" t="s">
        <v>8335</v>
      </c>
      <c r="G8353">
        <v>1</v>
      </c>
      <c r="H8353">
        <v>1</v>
      </c>
      <c r="I8353">
        <f>1</f>
        <v>1</v>
      </c>
    </row>
    <row r="8354" spans="2:9" x14ac:dyDescent="0.25">
      <c r="B8354">
        <v>0</v>
      </c>
      <c r="C8354" s="16" t="s">
        <v>17428</v>
      </c>
      <c r="D8354" s="16"/>
      <c r="E8354">
        <v>6</v>
      </c>
      <c r="F8354" t="s">
        <v>8336</v>
      </c>
      <c r="G8354">
        <v>1</v>
      </c>
      <c r="H8354">
        <v>1</v>
      </c>
      <c r="I8354">
        <f>1</f>
        <v>1</v>
      </c>
    </row>
    <row r="8355" spans="2:9" x14ac:dyDescent="0.25">
      <c r="B8355">
        <v>0</v>
      </c>
      <c r="C8355" s="16" t="s">
        <v>17429</v>
      </c>
      <c r="D8355" s="16"/>
      <c r="E8355">
        <v>6</v>
      </c>
      <c r="F8355" t="s">
        <v>4680</v>
      </c>
      <c r="G8355">
        <v>1</v>
      </c>
      <c r="H8355">
        <v>1</v>
      </c>
      <c r="I8355">
        <f>1</f>
        <v>1</v>
      </c>
    </row>
    <row r="8356" spans="2:9" x14ac:dyDescent="0.25">
      <c r="B8356">
        <v>0</v>
      </c>
      <c r="C8356" s="16" t="s">
        <v>17430</v>
      </c>
      <c r="D8356" s="16"/>
      <c r="E8356">
        <v>6</v>
      </c>
      <c r="F8356" t="e">
        <f>--outros</f>
        <v>#NAME?</v>
      </c>
      <c r="G8356">
        <v>1</v>
      </c>
      <c r="H8356">
        <v>1</v>
      </c>
      <c r="I8356">
        <f>1</f>
        <v>1</v>
      </c>
    </row>
    <row r="8357" spans="2:9" x14ac:dyDescent="0.25">
      <c r="B8357">
        <v>0</v>
      </c>
      <c r="C8357" s="16" t="s">
        <v>17431</v>
      </c>
      <c r="D8357" s="16"/>
      <c r="E8357">
        <v>6</v>
      </c>
      <c r="F8357" t="s">
        <v>8337</v>
      </c>
      <c r="G8357">
        <v>1</v>
      </c>
      <c r="H8357">
        <v>1</v>
      </c>
      <c r="I8357">
        <f>1</f>
        <v>1</v>
      </c>
    </row>
    <row r="8358" spans="2:9" x14ac:dyDescent="0.25">
      <c r="B8358">
        <v>0</v>
      </c>
      <c r="C8358" s="16" t="s">
        <v>17432</v>
      </c>
      <c r="D8358" s="16"/>
      <c r="E8358">
        <v>6</v>
      </c>
      <c r="F8358" t="s">
        <v>8338</v>
      </c>
      <c r="G8358">
        <v>1</v>
      </c>
      <c r="H8358">
        <v>1</v>
      </c>
      <c r="I8358">
        <f>1</f>
        <v>1</v>
      </c>
    </row>
    <row r="8359" spans="2:9" x14ac:dyDescent="0.25">
      <c r="B8359">
        <v>0</v>
      </c>
      <c r="C8359" s="16" t="s">
        <v>17433</v>
      </c>
      <c r="D8359" s="16"/>
      <c r="E8359">
        <v>6</v>
      </c>
      <c r="F8359" t="s">
        <v>8339</v>
      </c>
      <c r="G8359">
        <v>1</v>
      </c>
      <c r="H8359">
        <v>1</v>
      </c>
      <c r="I8359">
        <f>1</f>
        <v>1</v>
      </c>
    </row>
    <row r="8360" spans="2:9" x14ac:dyDescent="0.25">
      <c r="B8360">
        <v>0</v>
      </c>
      <c r="C8360" s="16" t="s">
        <v>17434</v>
      </c>
      <c r="D8360" s="16"/>
      <c r="E8360">
        <v>6</v>
      </c>
      <c r="F8360" t="s">
        <v>4690</v>
      </c>
      <c r="G8360">
        <v>1</v>
      </c>
      <c r="H8360">
        <v>1</v>
      </c>
      <c r="I8360">
        <f>1</f>
        <v>1</v>
      </c>
    </row>
    <row r="8361" spans="2:9" x14ac:dyDescent="0.25">
      <c r="B8361">
        <v>0</v>
      </c>
      <c r="C8361" s="16" t="s">
        <v>17435</v>
      </c>
      <c r="D8361" s="16"/>
      <c r="E8361">
        <v>6</v>
      </c>
      <c r="F8361" t="e">
        <f>--Guarnições De cardas</f>
        <v>#NAME?</v>
      </c>
      <c r="G8361">
        <v>1</v>
      </c>
      <c r="H8361">
        <v>1</v>
      </c>
      <c r="I8361">
        <f>1</f>
        <v>1</v>
      </c>
    </row>
    <row r="8362" spans="2:9" x14ac:dyDescent="0.25">
      <c r="B8362">
        <v>0</v>
      </c>
      <c r="C8362" s="16" t="s">
        <v>17436</v>
      </c>
      <c r="D8362" s="16"/>
      <c r="E8362">
        <v>6</v>
      </c>
      <c r="F8362" t="s">
        <v>8340</v>
      </c>
      <c r="G8362">
        <v>1</v>
      </c>
      <c r="H8362">
        <v>1</v>
      </c>
      <c r="I8362">
        <f>1</f>
        <v>1</v>
      </c>
    </row>
    <row r="8363" spans="2:9" x14ac:dyDescent="0.25">
      <c r="B8363">
        <v>0</v>
      </c>
      <c r="C8363" s="16" t="s">
        <v>17437</v>
      </c>
      <c r="D8363" s="16"/>
      <c r="E8363">
        <v>6</v>
      </c>
      <c r="F8363" t="s">
        <v>4690</v>
      </c>
      <c r="G8363">
        <v>1</v>
      </c>
      <c r="H8363">
        <v>1</v>
      </c>
      <c r="I8363">
        <f>1</f>
        <v>1</v>
      </c>
    </row>
    <row r="8364" spans="2:9" x14ac:dyDescent="0.25">
      <c r="B8364">
        <v>0</v>
      </c>
      <c r="C8364" s="16" t="s">
        <v>17438</v>
      </c>
      <c r="D8364" s="16"/>
      <c r="E8364">
        <v>6</v>
      </c>
      <c r="F8364" t="s">
        <v>8341</v>
      </c>
      <c r="G8364">
        <v>1</v>
      </c>
      <c r="H8364">
        <v>1</v>
      </c>
      <c r="I8364">
        <f>1</f>
        <v>1</v>
      </c>
    </row>
    <row r="8365" spans="2:9" x14ac:dyDescent="0.25">
      <c r="B8365">
        <v>0</v>
      </c>
      <c r="C8365" s="16" t="s">
        <v>17439</v>
      </c>
      <c r="D8365" s="16"/>
      <c r="E8365">
        <v>6</v>
      </c>
      <c r="F8365" t="s">
        <v>8342</v>
      </c>
      <c r="G8365">
        <v>1</v>
      </c>
      <c r="H8365">
        <v>1</v>
      </c>
      <c r="I8365">
        <f>1</f>
        <v>1</v>
      </c>
    </row>
    <row r="8366" spans="2:9" x14ac:dyDescent="0.25">
      <c r="B8366">
        <v>0</v>
      </c>
      <c r="C8366" s="16" t="s">
        <v>17440</v>
      </c>
      <c r="D8366" s="16"/>
      <c r="E8366">
        <v>6</v>
      </c>
      <c r="F8366" t="s">
        <v>8343</v>
      </c>
      <c r="G8366">
        <v>1</v>
      </c>
      <c r="H8366">
        <v>1</v>
      </c>
      <c r="I8366">
        <f>1</f>
        <v>1</v>
      </c>
    </row>
    <row r="8367" spans="2:9" x14ac:dyDescent="0.25">
      <c r="B8367">
        <v>0</v>
      </c>
      <c r="C8367" s="16" t="s">
        <v>17441</v>
      </c>
      <c r="D8367" s="16"/>
      <c r="E8367">
        <v>6</v>
      </c>
      <c r="F8367" t="s">
        <v>8344</v>
      </c>
      <c r="G8367">
        <v>1</v>
      </c>
      <c r="H8367">
        <v>1</v>
      </c>
      <c r="I8367">
        <f>1</f>
        <v>1</v>
      </c>
    </row>
    <row r="8368" spans="2:9" x14ac:dyDescent="0.25">
      <c r="B8368">
        <v>0</v>
      </c>
      <c r="C8368" s="16" t="s">
        <v>17442</v>
      </c>
      <c r="D8368" s="16"/>
      <c r="E8368">
        <v>6</v>
      </c>
      <c r="F8368" t="s">
        <v>4680</v>
      </c>
      <c r="G8368">
        <v>1</v>
      </c>
      <c r="H8368">
        <v>1</v>
      </c>
      <c r="I8368">
        <f>1</f>
        <v>1</v>
      </c>
    </row>
    <row r="8369" spans="2:9" x14ac:dyDescent="0.25">
      <c r="B8369">
        <v>0</v>
      </c>
      <c r="C8369" s="16" t="s">
        <v>17443</v>
      </c>
      <c r="D8369" s="16"/>
      <c r="E8369">
        <v>6</v>
      </c>
      <c r="F8369" t="s">
        <v>8345</v>
      </c>
      <c r="G8369">
        <v>1</v>
      </c>
      <c r="H8369">
        <v>1</v>
      </c>
      <c r="I8369">
        <f>1</f>
        <v>1</v>
      </c>
    </row>
    <row r="8370" spans="2:9" x14ac:dyDescent="0.25">
      <c r="B8370">
        <v>0</v>
      </c>
      <c r="C8370" s="16" t="s">
        <v>17444</v>
      </c>
      <c r="D8370" s="16"/>
      <c r="E8370">
        <v>6</v>
      </c>
      <c r="F8370" t="s">
        <v>4680</v>
      </c>
      <c r="G8370">
        <v>1</v>
      </c>
      <c r="H8370">
        <v>1</v>
      </c>
      <c r="I8370">
        <f>1</f>
        <v>1</v>
      </c>
    </row>
    <row r="8371" spans="2:9" x14ac:dyDescent="0.25">
      <c r="B8371">
        <v>0</v>
      </c>
      <c r="C8371" s="16" t="s">
        <v>17445</v>
      </c>
      <c r="D8371" s="16"/>
      <c r="E8371">
        <v>6</v>
      </c>
      <c r="F8371" t="s">
        <v>8346</v>
      </c>
      <c r="G8371">
        <v>1</v>
      </c>
      <c r="H8371">
        <v>1</v>
      </c>
      <c r="I8371">
        <f>1</f>
        <v>1</v>
      </c>
    </row>
    <row r="8372" spans="2:9" x14ac:dyDescent="0.25">
      <c r="B8372">
        <v>0</v>
      </c>
      <c r="C8372" s="16" t="s">
        <v>17446</v>
      </c>
      <c r="D8372" s="16"/>
      <c r="E8372">
        <v>6</v>
      </c>
      <c r="F8372" t="s">
        <v>8347</v>
      </c>
      <c r="G8372">
        <v>1</v>
      </c>
      <c r="H8372">
        <v>1</v>
      </c>
      <c r="I8372">
        <f>1</f>
        <v>1</v>
      </c>
    </row>
    <row r="8373" spans="2:9" x14ac:dyDescent="0.25">
      <c r="B8373">
        <v>0</v>
      </c>
      <c r="C8373" s="16" t="s">
        <v>17447</v>
      </c>
      <c r="D8373" s="16"/>
      <c r="E8373">
        <v>6</v>
      </c>
      <c r="F8373" t="s">
        <v>8348</v>
      </c>
      <c r="G8373">
        <v>1</v>
      </c>
      <c r="H8373">
        <v>1</v>
      </c>
      <c r="I8373">
        <f>1</f>
        <v>1</v>
      </c>
    </row>
    <row r="8374" spans="2:9" x14ac:dyDescent="0.25">
      <c r="B8374">
        <v>0</v>
      </c>
      <c r="C8374" s="16" t="s">
        <v>17448</v>
      </c>
      <c r="D8374" s="16"/>
      <c r="E8374">
        <v>6</v>
      </c>
      <c r="F8374" t="s">
        <v>4690</v>
      </c>
      <c r="G8374">
        <v>1</v>
      </c>
      <c r="H8374">
        <v>1</v>
      </c>
      <c r="I8374">
        <f>1</f>
        <v>1</v>
      </c>
    </row>
    <row r="8375" spans="2:9" x14ac:dyDescent="0.25">
      <c r="B8375">
        <v>0</v>
      </c>
      <c r="C8375" s="16" t="s">
        <v>17449</v>
      </c>
      <c r="D8375" s="16"/>
      <c r="E8375">
        <v>6</v>
      </c>
      <c r="F8375" t="s">
        <v>8349</v>
      </c>
      <c r="G8375">
        <v>1</v>
      </c>
      <c r="H8375">
        <v>1</v>
      </c>
      <c r="I8375">
        <f>1</f>
        <v>1</v>
      </c>
    </row>
    <row r="8376" spans="2:9" x14ac:dyDescent="0.25">
      <c r="B8376">
        <v>0</v>
      </c>
      <c r="C8376" s="16" t="s">
        <v>17450</v>
      </c>
      <c r="D8376" s="16"/>
      <c r="E8376">
        <v>6</v>
      </c>
      <c r="F8376" t="s">
        <v>8350</v>
      </c>
      <c r="G8376">
        <v>1</v>
      </c>
      <c r="H8376">
        <v>1</v>
      </c>
      <c r="I8376">
        <f>1</f>
        <v>1</v>
      </c>
    </row>
    <row r="8377" spans="2:9" x14ac:dyDescent="0.25">
      <c r="B8377">
        <v>0</v>
      </c>
      <c r="C8377" s="16" t="s">
        <v>17451</v>
      </c>
      <c r="D8377" s="16"/>
      <c r="E8377">
        <v>6</v>
      </c>
      <c r="F8377" t="s">
        <v>8351</v>
      </c>
      <c r="G8377">
        <v>1</v>
      </c>
      <c r="H8377">
        <v>1</v>
      </c>
      <c r="I8377">
        <f>1</f>
        <v>1</v>
      </c>
    </row>
    <row r="8378" spans="2:9" x14ac:dyDescent="0.25">
      <c r="B8378">
        <v>0</v>
      </c>
      <c r="C8378" s="16" t="s">
        <v>17452</v>
      </c>
      <c r="D8378" s="16"/>
      <c r="E8378">
        <v>6</v>
      </c>
      <c r="F8378" t="s">
        <v>4690</v>
      </c>
      <c r="G8378">
        <v>1</v>
      </c>
      <c r="H8378">
        <v>1</v>
      </c>
      <c r="I8378">
        <f>1</f>
        <v>1</v>
      </c>
    </row>
    <row r="8379" spans="2:9" x14ac:dyDescent="0.25">
      <c r="B8379">
        <v>0</v>
      </c>
      <c r="C8379" s="16" t="s">
        <v>17453</v>
      </c>
      <c r="D8379" s="16"/>
      <c r="E8379">
        <v>6</v>
      </c>
      <c r="F8379" t="s">
        <v>8352</v>
      </c>
      <c r="G8379">
        <v>1</v>
      </c>
      <c r="H8379">
        <v>1</v>
      </c>
      <c r="I8379">
        <f>1</f>
        <v>1</v>
      </c>
    </row>
    <row r="8380" spans="2:9" x14ac:dyDescent="0.25">
      <c r="B8380">
        <v>0</v>
      </c>
      <c r="C8380" s="16" t="s">
        <v>17454</v>
      </c>
      <c r="D8380" s="16"/>
      <c r="E8380">
        <v>6</v>
      </c>
      <c r="F8380" t="s">
        <v>8353</v>
      </c>
      <c r="G8380">
        <v>1</v>
      </c>
      <c r="H8380">
        <v>1</v>
      </c>
      <c r="I8380">
        <f>1</f>
        <v>1</v>
      </c>
    </row>
    <row r="8381" spans="2:9" x14ac:dyDescent="0.25">
      <c r="B8381">
        <v>0</v>
      </c>
      <c r="C8381" s="16" t="s">
        <v>17455</v>
      </c>
      <c r="D8381" s="16"/>
      <c r="E8381">
        <v>6</v>
      </c>
      <c r="F8381" t="s">
        <v>4690</v>
      </c>
      <c r="G8381">
        <v>1</v>
      </c>
      <c r="H8381">
        <v>1</v>
      </c>
      <c r="I8381">
        <f>1</f>
        <v>1</v>
      </c>
    </row>
    <row r="8382" spans="2:9" x14ac:dyDescent="0.25">
      <c r="B8382">
        <v>0</v>
      </c>
      <c r="C8382" s="16" t="s">
        <v>17456</v>
      </c>
      <c r="D8382" s="16"/>
      <c r="E8382">
        <v>6</v>
      </c>
      <c r="F8382" t="s">
        <v>8354</v>
      </c>
      <c r="G8382">
        <v>1</v>
      </c>
      <c r="H8382">
        <v>1</v>
      </c>
      <c r="I8382">
        <f>1</f>
        <v>1</v>
      </c>
    </row>
    <row r="8383" spans="2:9" x14ac:dyDescent="0.25">
      <c r="B8383">
        <v>0</v>
      </c>
      <c r="C8383" s="16" t="s">
        <v>17457</v>
      </c>
      <c r="D8383" s="16"/>
      <c r="E8383">
        <v>6</v>
      </c>
      <c r="F8383" t="s">
        <v>8355</v>
      </c>
      <c r="G8383">
        <v>1</v>
      </c>
      <c r="H8383">
        <v>1</v>
      </c>
      <c r="I8383">
        <f>1</f>
        <v>1</v>
      </c>
    </row>
    <row r="8384" spans="2:9" x14ac:dyDescent="0.25">
      <c r="B8384">
        <v>0</v>
      </c>
      <c r="C8384" s="16" t="s">
        <v>17458</v>
      </c>
      <c r="D8384" s="16"/>
      <c r="E8384">
        <v>6</v>
      </c>
      <c r="F8384" t="s">
        <v>8356</v>
      </c>
      <c r="G8384">
        <v>1</v>
      </c>
      <c r="H8384">
        <v>1</v>
      </c>
      <c r="I8384">
        <f>1</f>
        <v>1</v>
      </c>
    </row>
    <row r="8385" spans="2:9" x14ac:dyDescent="0.25">
      <c r="B8385">
        <v>0</v>
      </c>
      <c r="C8385" s="16" t="s">
        <v>17459</v>
      </c>
      <c r="D8385" s="16"/>
      <c r="E8385">
        <v>6</v>
      </c>
      <c r="F8385" t="s">
        <v>4690</v>
      </c>
      <c r="G8385">
        <v>1</v>
      </c>
      <c r="H8385">
        <v>1</v>
      </c>
      <c r="I8385">
        <f>1</f>
        <v>1</v>
      </c>
    </row>
    <row r="8386" spans="2:9" x14ac:dyDescent="0.25">
      <c r="B8386">
        <v>0</v>
      </c>
      <c r="C8386" s="16" t="s">
        <v>17460</v>
      </c>
      <c r="D8386" s="16"/>
      <c r="E8386">
        <v>6</v>
      </c>
      <c r="F8386" t="s">
        <v>8357</v>
      </c>
      <c r="G8386">
        <v>1</v>
      </c>
      <c r="H8386">
        <v>1</v>
      </c>
      <c r="I8386">
        <f>1</f>
        <v>1</v>
      </c>
    </row>
    <row r="8387" spans="2:9" x14ac:dyDescent="0.25">
      <c r="B8387">
        <v>0</v>
      </c>
      <c r="C8387" s="16" t="s">
        <v>17461</v>
      </c>
      <c r="D8387" s="16"/>
      <c r="E8387">
        <v>6</v>
      </c>
      <c r="F8387" t="s">
        <v>8358</v>
      </c>
      <c r="G8387">
        <v>1</v>
      </c>
      <c r="H8387">
        <v>1</v>
      </c>
      <c r="I8387">
        <f>1</f>
        <v>1</v>
      </c>
    </row>
    <row r="8388" spans="2:9" x14ac:dyDescent="0.25">
      <c r="B8388">
        <v>0</v>
      </c>
      <c r="C8388" s="16" t="s">
        <v>17462</v>
      </c>
      <c r="D8388" s="16"/>
      <c r="E8388">
        <v>6</v>
      </c>
      <c r="F8388" t="s">
        <v>8179</v>
      </c>
      <c r="G8388">
        <v>1</v>
      </c>
      <c r="H8388">
        <v>1</v>
      </c>
      <c r="I8388">
        <f>1</f>
        <v>1</v>
      </c>
    </row>
    <row r="8389" spans="2:9" x14ac:dyDescent="0.25">
      <c r="B8389">
        <v>0</v>
      </c>
      <c r="C8389" s="16" t="s">
        <v>17463</v>
      </c>
      <c r="D8389" s="16"/>
      <c r="E8389">
        <v>6</v>
      </c>
      <c r="F8389" t="s">
        <v>8331</v>
      </c>
      <c r="G8389">
        <v>1</v>
      </c>
      <c r="H8389">
        <v>1</v>
      </c>
      <c r="I8389">
        <f>1</f>
        <v>1</v>
      </c>
    </row>
    <row r="8390" spans="2:9" x14ac:dyDescent="0.25">
      <c r="B8390">
        <v>0</v>
      </c>
      <c r="C8390" s="16" t="s">
        <v>17464</v>
      </c>
      <c r="D8390" s="16"/>
      <c r="E8390">
        <v>6</v>
      </c>
      <c r="F8390" t="s">
        <v>4690</v>
      </c>
      <c r="G8390">
        <v>1</v>
      </c>
      <c r="H8390">
        <v>1</v>
      </c>
      <c r="I8390">
        <f>1</f>
        <v>1</v>
      </c>
    </row>
    <row r="8391" spans="2:9" x14ac:dyDescent="0.25">
      <c r="B8391">
        <v>0</v>
      </c>
      <c r="C8391" s="16" t="s">
        <v>17465</v>
      </c>
      <c r="D8391" s="16"/>
      <c r="E8391">
        <v>6</v>
      </c>
      <c r="F8391" t="s">
        <v>8359</v>
      </c>
      <c r="G8391">
        <v>1</v>
      </c>
      <c r="H8391">
        <v>1</v>
      </c>
      <c r="I8391">
        <f>1</f>
        <v>1</v>
      </c>
    </row>
    <row r="8392" spans="2:9" x14ac:dyDescent="0.25">
      <c r="B8392">
        <v>0</v>
      </c>
      <c r="C8392" s="16" t="s">
        <v>17466</v>
      </c>
      <c r="D8392" s="16"/>
      <c r="E8392">
        <v>6</v>
      </c>
      <c r="F8392" t="s">
        <v>8360</v>
      </c>
      <c r="G8392">
        <v>1</v>
      </c>
      <c r="H8392">
        <v>1</v>
      </c>
      <c r="I8392">
        <f>1</f>
        <v>1</v>
      </c>
    </row>
    <row r="8393" spans="2:9" x14ac:dyDescent="0.25">
      <c r="B8393">
        <v>0</v>
      </c>
      <c r="C8393" s="16" t="s">
        <v>17467</v>
      </c>
      <c r="D8393" s="16"/>
      <c r="E8393">
        <v>6</v>
      </c>
      <c r="F8393" t="s">
        <v>4690</v>
      </c>
      <c r="G8393">
        <v>1</v>
      </c>
      <c r="H8393">
        <v>1</v>
      </c>
      <c r="I8393">
        <f>1</f>
        <v>1</v>
      </c>
    </row>
    <row r="8394" spans="2:9" x14ac:dyDescent="0.25">
      <c r="B8394">
        <v>0</v>
      </c>
      <c r="C8394" s="16" t="s">
        <v>17468</v>
      </c>
      <c r="D8394" s="16"/>
      <c r="E8394">
        <v>6</v>
      </c>
      <c r="F8394" t="s">
        <v>8361</v>
      </c>
      <c r="G8394">
        <v>1</v>
      </c>
      <c r="H8394">
        <v>1</v>
      </c>
      <c r="I8394">
        <f>1</f>
        <v>1</v>
      </c>
    </row>
    <row r="8395" spans="2:9" x14ac:dyDescent="0.25">
      <c r="B8395">
        <v>0</v>
      </c>
      <c r="C8395" s="16" t="s">
        <v>17469</v>
      </c>
      <c r="D8395" s="16"/>
      <c r="E8395">
        <v>6</v>
      </c>
      <c r="F8395" t="s">
        <v>8362</v>
      </c>
      <c r="G8395">
        <v>1</v>
      </c>
      <c r="H8395">
        <v>1</v>
      </c>
      <c r="I8395">
        <f>1</f>
        <v>1</v>
      </c>
    </row>
    <row r="8396" spans="2:9" x14ac:dyDescent="0.25">
      <c r="B8396">
        <v>0</v>
      </c>
      <c r="C8396" s="16" t="s">
        <v>17470</v>
      </c>
      <c r="D8396" s="16"/>
      <c r="E8396">
        <v>6</v>
      </c>
      <c r="F8396" t="s">
        <v>4680</v>
      </c>
      <c r="G8396">
        <v>1</v>
      </c>
      <c r="H8396">
        <v>1</v>
      </c>
      <c r="I8396">
        <f>1</f>
        <v>1</v>
      </c>
    </row>
    <row r="8397" spans="2:9" x14ac:dyDescent="0.25">
      <c r="B8397">
        <v>0</v>
      </c>
      <c r="C8397" s="16" t="s">
        <v>17471</v>
      </c>
      <c r="D8397" s="16"/>
      <c r="E8397">
        <v>6</v>
      </c>
      <c r="F8397" t="s">
        <v>8363</v>
      </c>
      <c r="G8397">
        <v>1</v>
      </c>
      <c r="H8397">
        <v>1</v>
      </c>
      <c r="I8397">
        <f>1</f>
        <v>1</v>
      </c>
    </row>
    <row r="8398" spans="2:9" x14ac:dyDescent="0.25">
      <c r="B8398">
        <v>0</v>
      </c>
      <c r="C8398" s="16" t="s">
        <v>17472</v>
      </c>
      <c r="D8398" s="16"/>
      <c r="E8398">
        <v>6</v>
      </c>
      <c r="F8398" t="s">
        <v>4690</v>
      </c>
      <c r="G8398">
        <v>1</v>
      </c>
      <c r="H8398">
        <v>1</v>
      </c>
      <c r="I8398">
        <f>1</f>
        <v>1</v>
      </c>
    </row>
    <row r="8399" spans="2:9" x14ac:dyDescent="0.25">
      <c r="B8399">
        <v>0</v>
      </c>
      <c r="C8399" s="16" t="s">
        <v>17473</v>
      </c>
      <c r="D8399" s="16"/>
      <c r="E8399">
        <v>6</v>
      </c>
      <c r="F8399" t="e">
        <f>--máquinas inteiramente automáticas</f>
        <v>#NAME?</v>
      </c>
      <c r="G8399">
        <v>1</v>
      </c>
      <c r="H8399">
        <v>1</v>
      </c>
      <c r="I8399">
        <f>1</f>
        <v>1</v>
      </c>
    </row>
    <row r="8400" spans="2:9" x14ac:dyDescent="0.25">
      <c r="B8400">
        <v>0</v>
      </c>
      <c r="C8400" s="16" t="s">
        <v>17473</v>
      </c>
      <c r="D8400" s="16" t="s">
        <v>19430</v>
      </c>
      <c r="E8400">
        <v>6</v>
      </c>
      <c r="F8400" t="s">
        <v>8160</v>
      </c>
      <c r="G8400">
        <v>1</v>
      </c>
      <c r="H8400">
        <v>1</v>
      </c>
      <c r="I8400">
        <f>1</f>
        <v>1</v>
      </c>
    </row>
    <row r="8401" spans="2:9" x14ac:dyDescent="0.25">
      <c r="B8401">
        <v>0</v>
      </c>
      <c r="C8401" s="16" t="s">
        <v>17474</v>
      </c>
      <c r="D8401" s="16"/>
      <c r="E8401">
        <v>6</v>
      </c>
      <c r="F8401" t="s">
        <v>8364</v>
      </c>
      <c r="G8401">
        <v>1</v>
      </c>
      <c r="H8401">
        <v>1</v>
      </c>
      <c r="I8401">
        <f>1</f>
        <v>1</v>
      </c>
    </row>
    <row r="8402" spans="2:9" x14ac:dyDescent="0.25">
      <c r="B8402">
        <v>0</v>
      </c>
      <c r="C8402" s="16" t="s">
        <v>17474</v>
      </c>
      <c r="D8402" s="16" t="s">
        <v>19430</v>
      </c>
      <c r="E8402">
        <v>6</v>
      </c>
      <c r="F8402" t="s">
        <v>8160</v>
      </c>
      <c r="G8402">
        <v>1</v>
      </c>
      <c r="H8402">
        <v>1</v>
      </c>
      <c r="I8402">
        <f>1</f>
        <v>1</v>
      </c>
    </row>
    <row r="8403" spans="2:9" x14ac:dyDescent="0.25">
      <c r="B8403">
        <v>0</v>
      </c>
      <c r="C8403" s="16" t="s">
        <v>17475</v>
      </c>
      <c r="D8403" s="16"/>
      <c r="E8403">
        <v>6</v>
      </c>
      <c r="F8403" t="e">
        <f>--Outras</f>
        <v>#NAME?</v>
      </c>
      <c r="G8403">
        <v>1</v>
      </c>
      <c r="H8403">
        <v>1</v>
      </c>
      <c r="I8403">
        <f>1</f>
        <v>1</v>
      </c>
    </row>
    <row r="8404" spans="2:9" x14ac:dyDescent="0.25">
      <c r="B8404">
        <v>0</v>
      </c>
      <c r="C8404" s="16" t="s">
        <v>17475</v>
      </c>
      <c r="D8404" s="16" t="s">
        <v>19430</v>
      </c>
      <c r="E8404">
        <v>6</v>
      </c>
      <c r="F8404" t="s">
        <v>8160</v>
      </c>
      <c r="G8404">
        <v>1</v>
      </c>
      <c r="H8404">
        <v>1</v>
      </c>
      <c r="I8404">
        <f>1</f>
        <v>1</v>
      </c>
    </row>
    <row r="8405" spans="2:9" x14ac:dyDescent="0.25">
      <c r="B8405">
        <v>0</v>
      </c>
      <c r="C8405" s="16" t="s">
        <v>17476</v>
      </c>
      <c r="D8405" s="16"/>
      <c r="E8405">
        <v>6</v>
      </c>
      <c r="F8405" t="s">
        <v>8365</v>
      </c>
      <c r="G8405">
        <v>1</v>
      </c>
      <c r="H8405">
        <v>1</v>
      </c>
      <c r="I8405">
        <f>1</f>
        <v>1</v>
      </c>
    </row>
    <row r="8406" spans="2:9" x14ac:dyDescent="0.25">
      <c r="B8406">
        <v>0</v>
      </c>
      <c r="C8406" s="16" t="s">
        <v>17477</v>
      </c>
      <c r="D8406" s="16"/>
      <c r="E8406">
        <v>6</v>
      </c>
      <c r="F8406" t="s">
        <v>4690</v>
      </c>
      <c r="G8406">
        <v>1</v>
      </c>
      <c r="H8406">
        <v>1</v>
      </c>
      <c r="I8406">
        <f>1</f>
        <v>1</v>
      </c>
    </row>
    <row r="8407" spans="2:9" x14ac:dyDescent="0.25">
      <c r="B8407">
        <v>0</v>
      </c>
      <c r="C8407" s="16" t="s">
        <v>17477</v>
      </c>
      <c r="D8407" s="16" t="s">
        <v>19430</v>
      </c>
      <c r="E8407">
        <v>6</v>
      </c>
      <c r="F8407" t="s">
        <v>8366</v>
      </c>
      <c r="G8407">
        <v>1</v>
      </c>
      <c r="H8407">
        <v>1</v>
      </c>
      <c r="I8407">
        <f>1</f>
        <v>1</v>
      </c>
    </row>
    <row r="8408" spans="2:9" x14ac:dyDescent="0.25">
      <c r="B8408">
        <v>0</v>
      </c>
      <c r="C8408" s="16" t="s">
        <v>17478</v>
      </c>
      <c r="D8408" s="16"/>
      <c r="E8408">
        <v>6</v>
      </c>
      <c r="F8408" t="s">
        <v>8367</v>
      </c>
      <c r="G8408">
        <v>1</v>
      </c>
      <c r="H8408">
        <v>1</v>
      </c>
      <c r="I8408">
        <f>1</f>
        <v>1</v>
      </c>
    </row>
    <row r="8409" spans="2:9" x14ac:dyDescent="0.25">
      <c r="B8409">
        <v>0</v>
      </c>
      <c r="C8409" s="16" t="s">
        <v>17479</v>
      </c>
      <c r="D8409" s="16"/>
      <c r="E8409">
        <v>6</v>
      </c>
      <c r="F8409" t="s">
        <v>4690</v>
      </c>
      <c r="G8409">
        <v>1</v>
      </c>
      <c r="H8409">
        <v>1</v>
      </c>
      <c r="I8409">
        <f>1</f>
        <v>1</v>
      </c>
    </row>
    <row r="8410" spans="2:9" x14ac:dyDescent="0.25">
      <c r="B8410">
        <v>0</v>
      </c>
      <c r="C8410" s="16" t="s">
        <v>17480</v>
      </c>
      <c r="D8410" s="16"/>
      <c r="E8410">
        <v>6</v>
      </c>
      <c r="F8410" t="e">
        <f>-máquinas para lavar a seco</f>
        <v>#NAME?</v>
      </c>
      <c r="G8410">
        <v>1</v>
      </c>
      <c r="H8410">
        <v>1</v>
      </c>
      <c r="I8410">
        <f>1</f>
        <v>1</v>
      </c>
    </row>
    <row r="8411" spans="2:9" x14ac:dyDescent="0.25">
      <c r="B8411">
        <v>0</v>
      </c>
      <c r="C8411" s="16" t="s">
        <v>17481</v>
      </c>
      <c r="D8411" s="16"/>
      <c r="E8411">
        <v>6</v>
      </c>
      <c r="F8411" t="s">
        <v>8368</v>
      </c>
      <c r="G8411">
        <v>1</v>
      </c>
      <c r="H8411">
        <v>1</v>
      </c>
      <c r="I8411">
        <f>1</f>
        <v>1</v>
      </c>
    </row>
    <row r="8412" spans="2:9" x14ac:dyDescent="0.25">
      <c r="B8412">
        <v>0</v>
      </c>
      <c r="C8412" s="16" t="s">
        <v>17481</v>
      </c>
      <c r="D8412" s="16" t="s">
        <v>19430</v>
      </c>
      <c r="E8412">
        <v>6</v>
      </c>
      <c r="F8412" t="s">
        <v>8160</v>
      </c>
      <c r="G8412">
        <v>1</v>
      </c>
      <c r="H8412">
        <v>1</v>
      </c>
      <c r="I8412">
        <f>1</f>
        <v>1</v>
      </c>
    </row>
    <row r="8413" spans="2:9" x14ac:dyDescent="0.25">
      <c r="B8413">
        <v>0</v>
      </c>
      <c r="C8413" s="16" t="s">
        <v>17482</v>
      </c>
      <c r="D8413" s="16"/>
      <c r="E8413">
        <v>6</v>
      </c>
      <c r="F8413" t="s">
        <v>8369</v>
      </c>
      <c r="G8413">
        <v>1</v>
      </c>
      <c r="H8413">
        <v>1</v>
      </c>
      <c r="I8413">
        <f>1</f>
        <v>1</v>
      </c>
    </row>
    <row r="8414" spans="2:9" x14ac:dyDescent="0.25">
      <c r="B8414">
        <v>0</v>
      </c>
      <c r="C8414" s="16" t="s">
        <v>17483</v>
      </c>
      <c r="D8414" s="16"/>
      <c r="E8414">
        <v>6</v>
      </c>
      <c r="F8414" t="s">
        <v>4690</v>
      </c>
      <c r="G8414">
        <v>1</v>
      </c>
      <c r="H8414">
        <v>1</v>
      </c>
      <c r="I8414">
        <f>1</f>
        <v>1</v>
      </c>
    </row>
    <row r="8415" spans="2:9" x14ac:dyDescent="0.25">
      <c r="B8415">
        <v>0</v>
      </c>
      <c r="C8415" s="16" t="s">
        <v>17484</v>
      </c>
      <c r="D8415" s="16"/>
      <c r="E8415">
        <v>6</v>
      </c>
      <c r="F8415" t="s">
        <v>8370</v>
      </c>
      <c r="G8415">
        <v>1</v>
      </c>
      <c r="H8415">
        <v>1</v>
      </c>
      <c r="I8415">
        <f>1</f>
        <v>1</v>
      </c>
    </row>
    <row r="8416" spans="2:9" x14ac:dyDescent="0.25">
      <c r="B8416">
        <v>0</v>
      </c>
      <c r="C8416" s="16" t="s">
        <v>17485</v>
      </c>
      <c r="D8416" s="16"/>
      <c r="E8416">
        <v>6</v>
      </c>
      <c r="F8416" t="s">
        <v>8371</v>
      </c>
      <c r="G8416">
        <v>1</v>
      </c>
      <c r="H8416">
        <v>1</v>
      </c>
      <c r="I8416">
        <f>1</f>
        <v>1</v>
      </c>
    </row>
    <row r="8417" spans="2:9" x14ac:dyDescent="0.25">
      <c r="B8417">
        <v>0</v>
      </c>
      <c r="C8417" s="16" t="s">
        <v>17486</v>
      </c>
      <c r="D8417" s="16"/>
      <c r="E8417">
        <v>6</v>
      </c>
      <c r="F8417" t="s">
        <v>4690</v>
      </c>
      <c r="G8417">
        <v>1</v>
      </c>
      <c r="H8417">
        <v>1</v>
      </c>
      <c r="I8417">
        <f>1</f>
        <v>1</v>
      </c>
    </row>
    <row r="8418" spans="2:9" x14ac:dyDescent="0.25">
      <c r="B8418">
        <v>0</v>
      </c>
      <c r="C8418" s="16" t="s">
        <v>17487</v>
      </c>
      <c r="D8418" s="16"/>
      <c r="E8418">
        <v>6</v>
      </c>
      <c r="F8418" t="s">
        <v>8372</v>
      </c>
      <c r="G8418">
        <v>1</v>
      </c>
      <c r="H8418">
        <v>1</v>
      </c>
      <c r="I8418">
        <f>1</f>
        <v>1</v>
      </c>
    </row>
    <row r="8419" spans="2:9" x14ac:dyDescent="0.25">
      <c r="B8419">
        <v>0</v>
      </c>
      <c r="C8419" s="16" t="s">
        <v>17488</v>
      </c>
      <c r="D8419" s="16"/>
      <c r="E8419">
        <v>6</v>
      </c>
      <c r="F8419" t="s">
        <v>8373</v>
      </c>
      <c r="G8419">
        <v>1</v>
      </c>
      <c r="H8419">
        <v>1</v>
      </c>
      <c r="I8419">
        <f>1</f>
        <v>1</v>
      </c>
    </row>
    <row r="8420" spans="2:9" x14ac:dyDescent="0.25">
      <c r="B8420">
        <v>0</v>
      </c>
      <c r="C8420" s="16" t="s">
        <v>17489</v>
      </c>
      <c r="D8420" s="16"/>
      <c r="E8420">
        <v>6</v>
      </c>
      <c r="F8420" t="s">
        <v>4690</v>
      </c>
      <c r="G8420">
        <v>1</v>
      </c>
      <c r="H8420">
        <v>1</v>
      </c>
      <c r="I8420">
        <f>1</f>
        <v>1</v>
      </c>
    </row>
    <row r="8421" spans="2:9" x14ac:dyDescent="0.25">
      <c r="B8421">
        <v>0</v>
      </c>
      <c r="C8421" s="16" t="s">
        <v>17490</v>
      </c>
      <c r="D8421" s="16"/>
      <c r="E8421">
        <v>6</v>
      </c>
      <c r="F8421" t="s">
        <v>4690</v>
      </c>
      <c r="G8421">
        <v>1</v>
      </c>
      <c r="H8421">
        <v>1</v>
      </c>
      <c r="I8421">
        <f>1</f>
        <v>1</v>
      </c>
    </row>
    <row r="8422" spans="2:9" x14ac:dyDescent="0.25">
      <c r="B8422">
        <v>0</v>
      </c>
      <c r="C8422" s="16" t="s">
        <v>17491</v>
      </c>
      <c r="D8422" s="16"/>
      <c r="E8422">
        <v>6</v>
      </c>
      <c r="F8422" t="s">
        <v>8374</v>
      </c>
      <c r="G8422">
        <v>1</v>
      </c>
      <c r="H8422">
        <v>1</v>
      </c>
      <c r="I8422">
        <f>1</f>
        <v>1</v>
      </c>
    </row>
    <row r="8423" spans="2:9" x14ac:dyDescent="0.25">
      <c r="B8423">
        <v>0</v>
      </c>
      <c r="C8423" s="16" t="s">
        <v>17492</v>
      </c>
      <c r="D8423" s="16"/>
      <c r="E8423">
        <v>6</v>
      </c>
      <c r="F8423" t="s">
        <v>8375</v>
      </c>
      <c r="G8423">
        <v>1</v>
      </c>
      <c r="H8423">
        <v>1</v>
      </c>
      <c r="I8423">
        <f>1</f>
        <v>1</v>
      </c>
    </row>
    <row r="8424" spans="2:9" x14ac:dyDescent="0.25">
      <c r="B8424">
        <v>0</v>
      </c>
      <c r="C8424" s="16" t="s">
        <v>17493</v>
      </c>
      <c r="D8424" s="16"/>
      <c r="E8424">
        <v>6</v>
      </c>
      <c r="F8424" t="s">
        <v>4690</v>
      </c>
      <c r="G8424">
        <v>1</v>
      </c>
      <c r="H8424">
        <v>1</v>
      </c>
      <c r="I8424">
        <f>1</f>
        <v>1</v>
      </c>
    </row>
    <row r="8425" spans="2:9" x14ac:dyDescent="0.25">
      <c r="B8425">
        <v>0</v>
      </c>
      <c r="C8425" s="16" t="s">
        <v>17494</v>
      </c>
      <c r="D8425" s="16"/>
      <c r="E8425">
        <v>6</v>
      </c>
      <c r="F8425" t="e">
        <f>-Outras máquinas e aparelhos</f>
        <v>#NAME?</v>
      </c>
      <c r="G8425">
        <v>1</v>
      </c>
      <c r="H8425">
        <v>1</v>
      </c>
      <c r="I8425">
        <f>1</f>
        <v>1</v>
      </c>
    </row>
    <row r="8426" spans="2:9" x14ac:dyDescent="0.25">
      <c r="B8426">
        <v>0</v>
      </c>
      <c r="C8426" s="16" t="s">
        <v>17494</v>
      </c>
      <c r="D8426" s="16" t="s">
        <v>19430</v>
      </c>
      <c r="E8426">
        <v>6</v>
      </c>
      <c r="F8426" t="s">
        <v>8160</v>
      </c>
      <c r="G8426">
        <v>1</v>
      </c>
      <c r="H8426">
        <v>1</v>
      </c>
      <c r="I8426">
        <f>1</f>
        <v>1</v>
      </c>
    </row>
    <row r="8427" spans="2:9" x14ac:dyDescent="0.25">
      <c r="B8427">
        <v>0</v>
      </c>
      <c r="C8427" s="16" t="s">
        <v>17495</v>
      </c>
      <c r="D8427" s="16"/>
      <c r="E8427">
        <v>6</v>
      </c>
      <c r="F8427" t="s">
        <v>8376</v>
      </c>
      <c r="G8427">
        <v>1</v>
      </c>
      <c r="H8427">
        <v>1</v>
      </c>
      <c r="I8427">
        <f>1</f>
        <v>1</v>
      </c>
    </row>
    <row r="8428" spans="2:9" x14ac:dyDescent="0.25">
      <c r="B8428">
        <v>0</v>
      </c>
      <c r="C8428" s="16" t="s">
        <v>17496</v>
      </c>
      <c r="D8428" s="16"/>
      <c r="E8428">
        <v>6</v>
      </c>
      <c r="F8428" t="s">
        <v>4690</v>
      </c>
      <c r="G8428">
        <v>1</v>
      </c>
      <c r="H8428">
        <v>1</v>
      </c>
      <c r="I8428">
        <f>1</f>
        <v>1</v>
      </c>
    </row>
    <row r="8429" spans="2:9" x14ac:dyDescent="0.25">
      <c r="B8429">
        <v>0</v>
      </c>
      <c r="C8429" s="16" t="s">
        <v>17497</v>
      </c>
      <c r="D8429" s="16"/>
      <c r="E8429">
        <v>6</v>
      </c>
      <c r="F8429" t="e">
        <f>-máquinas De costura De uso doméstico</f>
        <v>#NAME?</v>
      </c>
      <c r="G8429">
        <v>1</v>
      </c>
      <c r="H8429">
        <v>1</v>
      </c>
      <c r="I8429">
        <f>1</f>
        <v>1</v>
      </c>
    </row>
    <row r="8430" spans="2:9" x14ac:dyDescent="0.25">
      <c r="B8430">
        <v>0</v>
      </c>
      <c r="C8430" s="16" t="s">
        <v>17498</v>
      </c>
      <c r="D8430" s="16"/>
      <c r="E8430">
        <v>6</v>
      </c>
      <c r="F8430" t="s">
        <v>8377</v>
      </c>
      <c r="G8430">
        <v>1</v>
      </c>
      <c r="H8430">
        <v>1</v>
      </c>
      <c r="I8430">
        <f>1</f>
        <v>1</v>
      </c>
    </row>
    <row r="8431" spans="2:9" x14ac:dyDescent="0.25">
      <c r="B8431">
        <v>0</v>
      </c>
      <c r="C8431" s="16" t="s">
        <v>17499</v>
      </c>
      <c r="D8431" s="16"/>
      <c r="E8431">
        <v>6</v>
      </c>
      <c r="F8431" t="s">
        <v>8378</v>
      </c>
      <c r="G8431">
        <v>1</v>
      </c>
      <c r="H8431">
        <v>1</v>
      </c>
      <c r="I8431">
        <f>1</f>
        <v>1</v>
      </c>
    </row>
    <row r="8432" spans="2:9" x14ac:dyDescent="0.25">
      <c r="B8432">
        <v>0</v>
      </c>
      <c r="C8432" s="16" t="s">
        <v>17500</v>
      </c>
      <c r="D8432" s="16"/>
      <c r="E8432">
        <v>6</v>
      </c>
      <c r="F8432" t="s">
        <v>4690</v>
      </c>
      <c r="G8432">
        <v>1</v>
      </c>
      <c r="H8432">
        <v>1</v>
      </c>
      <c r="I8432">
        <f>1</f>
        <v>1</v>
      </c>
    </row>
    <row r="8433" spans="2:9" x14ac:dyDescent="0.25">
      <c r="B8433">
        <v>0</v>
      </c>
      <c r="C8433" s="16" t="s">
        <v>17501</v>
      </c>
      <c r="D8433" s="16"/>
      <c r="E8433">
        <v>6</v>
      </c>
      <c r="F8433" t="s">
        <v>8377</v>
      </c>
      <c r="G8433">
        <v>1</v>
      </c>
      <c r="H8433">
        <v>1</v>
      </c>
      <c r="I8433">
        <f>1</f>
        <v>1</v>
      </c>
    </row>
    <row r="8434" spans="2:9" x14ac:dyDescent="0.25">
      <c r="B8434">
        <v>0</v>
      </c>
      <c r="C8434" s="16" t="s">
        <v>17502</v>
      </c>
      <c r="D8434" s="16"/>
      <c r="E8434">
        <v>6</v>
      </c>
      <c r="F8434" t="s">
        <v>8379</v>
      </c>
      <c r="G8434">
        <v>1</v>
      </c>
      <c r="H8434">
        <v>1</v>
      </c>
      <c r="I8434">
        <f>1</f>
        <v>1</v>
      </c>
    </row>
    <row r="8435" spans="2:9" x14ac:dyDescent="0.25">
      <c r="B8435">
        <v>0</v>
      </c>
      <c r="C8435" s="16" t="s">
        <v>17503</v>
      </c>
      <c r="D8435" s="16"/>
      <c r="E8435">
        <v>6</v>
      </c>
      <c r="F8435" t="s">
        <v>8380</v>
      </c>
      <c r="G8435">
        <v>1</v>
      </c>
      <c r="H8435">
        <v>1</v>
      </c>
      <c r="I8435">
        <f>1</f>
        <v>1</v>
      </c>
    </row>
    <row r="8436" spans="2:9" x14ac:dyDescent="0.25">
      <c r="B8436">
        <v>0</v>
      </c>
      <c r="C8436" s="16" t="s">
        <v>17504</v>
      </c>
      <c r="D8436" s="16"/>
      <c r="E8436">
        <v>6</v>
      </c>
      <c r="F8436" t="s">
        <v>8381</v>
      </c>
      <c r="G8436">
        <v>1</v>
      </c>
      <c r="H8436">
        <v>1</v>
      </c>
      <c r="I8436">
        <f>1</f>
        <v>1</v>
      </c>
    </row>
    <row r="8437" spans="2:9" x14ac:dyDescent="0.25">
      <c r="B8437">
        <v>0</v>
      </c>
      <c r="C8437" s="16" t="s">
        <v>17505</v>
      </c>
      <c r="D8437" s="16"/>
      <c r="E8437">
        <v>6</v>
      </c>
      <c r="F8437" t="s">
        <v>8382</v>
      </c>
      <c r="G8437">
        <v>1</v>
      </c>
      <c r="H8437">
        <v>1</v>
      </c>
      <c r="I8437">
        <f>1</f>
        <v>1</v>
      </c>
    </row>
    <row r="8438" spans="2:9" x14ac:dyDescent="0.25">
      <c r="B8438">
        <v>0</v>
      </c>
      <c r="C8438" s="16" t="s">
        <v>17506</v>
      </c>
      <c r="D8438" s="16"/>
      <c r="E8438">
        <v>6</v>
      </c>
      <c r="F8438" t="s">
        <v>8383</v>
      </c>
      <c r="G8438">
        <v>1</v>
      </c>
      <c r="H8438">
        <v>1</v>
      </c>
      <c r="I8438">
        <f>1</f>
        <v>1</v>
      </c>
    </row>
    <row r="8439" spans="2:9" x14ac:dyDescent="0.25">
      <c r="B8439">
        <v>0</v>
      </c>
      <c r="C8439" s="16" t="s">
        <v>17507</v>
      </c>
      <c r="D8439" s="16"/>
      <c r="E8439">
        <v>6</v>
      </c>
      <c r="F8439" t="s">
        <v>4690</v>
      </c>
      <c r="G8439">
        <v>1</v>
      </c>
      <c r="H8439">
        <v>1</v>
      </c>
      <c r="I8439">
        <f>1</f>
        <v>1</v>
      </c>
    </row>
    <row r="8440" spans="2:9" x14ac:dyDescent="0.25">
      <c r="B8440">
        <v>0</v>
      </c>
      <c r="C8440" s="16" t="s">
        <v>17508</v>
      </c>
      <c r="D8440" s="16"/>
      <c r="E8440">
        <v>6</v>
      </c>
      <c r="F8440" t="s">
        <v>4690</v>
      </c>
      <c r="G8440">
        <v>1</v>
      </c>
      <c r="H8440">
        <v>1</v>
      </c>
      <c r="I8440">
        <f>1</f>
        <v>1</v>
      </c>
    </row>
    <row r="8441" spans="2:9" x14ac:dyDescent="0.25">
      <c r="B8441">
        <v>0</v>
      </c>
      <c r="C8441" s="16" t="s">
        <v>17509</v>
      </c>
      <c r="D8441" s="16"/>
      <c r="E8441">
        <v>6</v>
      </c>
      <c r="F8441" t="e">
        <f>-Agulhas para máquinas De costura</f>
        <v>#NAME?</v>
      </c>
      <c r="G8441">
        <v>1</v>
      </c>
      <c r="H8441">
        <v>1</v>
      </c>
      <c r="I8441">
        <f>1</f>
        <v>1</v>
      </c>
    </row>
    <row r="8442" spans="2:9" x14ac:dyDescent="0.25">
      <c r="B8442">
        <v>0</v>
      </c>
      <c r="C8442" s="16" t="s">
        <v>17510</v>
      </c>
      <c r="D8442" s="16"/>
      <c r="E8442">
        <v>6</v>
      </c>
      <c r="F8442" t="s">
        <v>8384</v>
      </c>
      <c r="G8442">
        <v>1</v>
      </c>
      <c r="H8442">
        <v>1</v>
      </c>
      <c r="I8442">
        <f>1</f>
        <v>1</v>
      </c>
    </row>
    <row r="8443" spans="2:9" x14ac:dyDescent="0.25">
      <c r="B8443">
        <v>0</v>
      </c>
      <c r="C8443" s="16" t="s">
        <v>17510</v>
      </c>
      <c r="D8443" s="16" t="s">
        <v>19430</v>
      </c>
      <c r="E8443">
        <v>6</v>
      </c>
      <c r="F8443" t="s">
        <v>8385</v>
      </c>
      <c r="G8443">
        <v>1</v>
      </c>
      <c r="H8443">
        <v>1</v>
      </c>
      <c r="I8443">
        <f>1</f>
        <v>1</v>
      </c>
    </row>
    <row r="8444" spans="2:9" x14ac:dyDescent="0.25">
      <c r="B8444">
        <v>0</v>
      </c>
      <c r="C8444" s="16" t="s">
        <v>17511</v>
      </c>
      <c r="D8444" s="16"/>
      <c r="E8444">
        <v>6</v>
      </c>
      <c r="F8444" t="s">
        <v>8386</v>
      </c>
      <c r="G8444">
        <v>1</v>
      </c>
      <c r="H8444">
        <v>1</v>
      </c>
      <c r="I8444">
        <f>1</f>
        <v>1</v>
      </c>
    </row>
    <row r="8445" spans="2:9" x14ac:dyDescent="0.25">
      <c r="B8445">
        <v>0</v>
      </c>
      <c r="C8445" s="16" t="s">
        <v>17512</v>
      </c>
      <c r="D8445" s="16"/>
      <c r="E8445">
        <v>6</v>
      </c>
      <c r="F8445" t="s">
        <v>4690</v>
      </c>
      <c r="G8445">
        <v>1</v>
      </c>
      <c r="H8445">
        <v>1</v>
      </c>
      <c r="I8445">
        <f>1</f>
        <v>1</v>
      </c>
    </row>
    <row r="8446" spans="2:9" x14ac:dyDescent="0.25">
      <c r="B8446">
        <v>0</v>
      </c>
      <c r="C8446" s="16" t="s">
        <v>17513</v>
      </c>
      <c r="D8446" s="16"/>
      <c r="E8446">
        <v>6</v>
      </c>
      <c r="F8446" t="s">
        <v>8387</v>
      </c>
      <c r="G8446">
        <v>1</v>
      </c>
      <c r="H8446">
        <v>1</v>
      </c>
      <c r="I8446">
        <f>1</f>
        <v>1</v>
      </c>
    </row>
    <row r="8447" spans="2:9" x14ac:dyDescent="0.25">
      <c r="B8447">
        <v>0</v>
      </c>
      <c r="C8447" s="16" t="s">
        <v>17514</v>
      </c>
      <c r="D8447" s="16"/>
      <c r="E8447">
        <v>6</v>
      </c>
      <c r="F8447" t="s">
        <v>8388</v>
      </c>
      <c r="G8447">
        <v>1</v>
      </c>
      <c r="H8447">
        <v>1</v>
      </c>
      <c r="I8447">
        <f>1</f>
        <v>1</v>
      </c>
    </row>
    <row r="8448" spans="2:9" x14ac:dyDescent="0.25">
      <c r="B8448">
        <v>0</v>
      </c>
      <c r="C8448" s="16" t="s">
        <v>17515</v>
      </c>
      <c r="D8448" s="16"/>
      <c r="E8448">
        <v>6</v>
      </c>
      <c r="F8448" t="s">
        <v>8389</v>
      </c>
      <c r="G8448">
        <v>1</v>
      </c>
      <c r="H8448">
        <v>1</v>
      </c>
      <c r="I8448">
        <f>1</f>
        <v>1</v>
      </c>
    </row>
    <row r="8449" spans="2:9" x14ac:dyDescent="0.25">
      <c r="B8449">
        <v>0</v>
      </c>
      <c r="C8449" s="16" t="s">
        <v>17516</v>
      </c>
      <c r="D8449" s="16"/>
      <c r="E8449">
        <v>6</v>
      </c>
      <c r="F8449" t="s">
        <v>8390</v>
      </c>
      <c r="G8449">
        <v>1</v>
      </c>
      <c r="H8449">
        <v>1</v>
      </c>
      <c r="I8449">
        <f>1</f>
        <v>1</v>
      </c>
    </row>
    <row r="8450" spans="2:9" x14ac:dyDescent="0.25">
      <c r="B8450">
        <v>0</v>
      </c>
      <c r="C8450" s="16" t="s">
        <v>17517</v>
      </c>
      <c r="D8450" s="16"/>
      <c r="E8450">
        <v>6</v>
      </c>
      <c r="F8450" t="s">
        <v>4690</v>
      </c>
      <c r="G8450">
        <v>1</v>
      </c>
      <c r="H8450">
        <v>1</v>
      </c>
      <c r="I8450">
        <f>1</f>
        <v>1</v>
      </c>
    </row>
    <row r="8451" spans="2:9" x14ac:dyDescent="0.25">
      <c r="B8451">
        <v>0</v>
      </c>
      <c r="C8451" s="16" t="s">
        <v>17518</v>
      </c>
      <c r="D8451" s="16"/>
      <c r="E8451">
        <v>6</v>
      </c>
      <c r="F8451" t="s">
        <v>8391</v>
      </c>
      <c r="G8451">
        <v>1</v>
      </c>
      <c r="H8451">
        <v>1</v>
      </c>
      <c r="I8451">
        <f>1</f>
        <v>1</v>
      </c>
    </row>
    <row r="8452" spans="2:9" x14ac:dyDescent="0.25">
      <c r="B8452">
        <v>0</v>
      </c>
      <c r="C8452" s="16" t="s">
        <v>17519</v>
      </c>
      <c r="D8452" s="16"/>
      <c r="E8452">
        <v>6</v>
      </c>
      <c r="F8452" t="s">
        <v>4680</v>
      </c>
      <c r="G8452">
        <v>1</v>
      </c>
      <c r="H8452">
        <v>1</v>
      </c>
      <c r="I8452">
        <f>1</f>
        <v>1</v>
      </c>
    </row>
    <row r="8453" spans="2:9" x14ac:dyDescent="0.25">
      <c r="B8453">
        <v>0</v>
      </c>
      <c r="C8453" s="16" t="s">
        <v>17520</v>
      </c>
      <c r="D8453" s="16"/>
      <c r="E8453">
        <v>6</v>
      </c>
      <c r="F8453" t="e">
        <f>-máquinas e aparelhos para fabricar ou consertar Calçados</f>
        <v>#NAME?</v>
      </c>
      <c r="G8453">
        <v>1</v>
      </c>
      <c r="H8453">
        <v>1</v>
      </c>
      <c r="I8453">
        <f>1</f>
        <v>1</v>
      </c>
    </row>
    <row r="8454" spans="2:9" x14ac:dyDescent="0.25">
      <c r="B8454">
        <v>0</v>
      </c>
      <c r="C8454" s="16" t="s">
        <v>17521</v>
      </c>
      <c r="D8454" s="16"/>
      <c r="E8454">
        <v>6</v>
      </c>
      <c r="F8454" t="e">
        <f>-Outras máquinas e aparelhos</f>
        <v>#NAME?</v>
      </c>
      <c r="G8454">
        <v>1</v>
      </c>
      <c r="H8454">
        <v>1</v>
      </c>
      <c r="I8454">
        <f>1</f>
        <v>1</v>
      </c>
    </row>
    <row r="8455" spans="2:9" x14ac:dyDescent="0.25">
      <c r="B8455">
        <v>0</v>
      </c>
      <c r="C8455" s="16" t="s">
        <v>17522</v>
      </c>
      <c r="D8455" s="16"/>
      <c r="E8455">
        <v>6</v>
      </c>
      <c r="F8455" t="e">
        <f>-Partes</f>
        <v>#NAME?</v>
      </c>
      <c r="G8455">
        <v>1</v>
      </c>
      <c r="H8455">
        <v>1</v>
      </c>
      <c r="I8455">
        <f>1</f>
        <v>1</v>
      </c>
    </row>
    <row r="8456" spans="2:9" x14ac:dyDescent="0.25">
      <c r="B8456">
        <v>0</v>
      </c>
      <c r="C8456" s="16" t="s">
        <v>17523</v>
      </c>
      <c r="D8456" s="16"/>
      <c r="E8456">
        <v>6</v>
      </c>
      <c r="F8456" t="e">
        <f>-Conversores</f>
        <v>#NAME?</v>
      </c>
      <c r="G8456">
        <v>1</v>
      </c>
      <c r="H8456">
        <v>1</v>
      </c>
      <c r="I8456">
        <f>1</f>
        <v>1</v>
      </c>
    </row>
    <row r="8457" spans="2:9" x14ac:dyDescent="0.25">
      <c r="B8457">
        <v>0</v>
      </c>
      <c r="C8457" s="16" t="s">
        <v>17524</v>
      </c>
      <c r="D8457" s="16"/>
      <c r="E8457">
        <v>6</v>
      </c>
      <c r="F8457" t="s">
        <v>8392</v>
      </c>
      <c r="G8457">
        <v>1</v>
      </c>
      <c r="H8457">
        <v>1</v>
      </c>
      <c r="I8457">
        <f>1</f>
        <v>1</v>
      </c>
    </row>
    <row r="8458" spans="2:9" x14ac:dyDescent="0.25">
      <c r="B8458">
        <v>0</v>
      </c>
      <c r="C8458" s="16" t="s">
        <v>17525</v>
      </c>
      <c r="D8458" s="16"/>
      <c r="E8458">
        <v>6</v>
      </c>
      <c r="F8458" t="s">
        <v>4690</v>
      </c>
      <c r="G8458">
        <v>1</v>
      </c>
      <c r="H8458">
        <v>1</v>
      </c>
      <c r="I8458">
        <f>1</f>
        <v>1</v>
      </c>
    </row>
    <row r="8459" spans="2:9" x14ac:dyDescent="0.25">
      <c r="B8459">
        <v>0</v>
      </c>
      <c r="C8459" s="16" t="s">
        <v>17526</v>
      </c>
      <c r="D8459" s="16"/>
      <c r="E8459">
        <v>6</v>
      </c>
      <c r="F8459" t="s">
        <v>8393</v>
      </c>
      <c r="G8459">
        <v>1</v>
      </c>
      <c r="H8459">
        <v>1</v>
      </c>
      <c r="I8459">
        <f>1</f>
        <v>1</v>
      </c>
    </row>
    <row r="8460" spans="2:9" x14ac:dyDescent="0.25">
      <c r="B8460">
        <v>0</v>
      </c>
      <c r="C8460" s="16" t="s">
        <v>17527</v>
      </c>
      <c r="D8460" s="16"/>
      <c r="E8460">
        <v>6</v>
      </c>
      <c r="F8460" t="s">
        <v>8394</v>
      </c>
      <c r="G8460">
        <v>1</v>
      </c>
      <c r="H8460">
        <v>1</v>
      </c>
      <c r="I8460">
        <f>1</f>
        <v>1</v>
      </c>
    </row>
    <row r="8461" spans="2:9" x14ac:dyDescent="0.25">
      <c r="B8461">
        <v>0</v>
      </c>
      <c r="C8461" s="16" t="s">
        <v>17528</v>
      </c>
      <c r="D8461" s="16"/>
      <c r="E8461">
        <v>6</v>
      </c>
      <c r="F8461" t="s">
        <v>4690</v>
      </c>
      <c r="G8461">
        <v>1</v>
      </c>
      <c r="H8461">
        <v>1</v>
      </c>
      <c r="I8461">
        <f>1</f>
        <v>1</v>
      </c>
    </row>
    <row r="8462" spans="2:9" x14ac:dyDescent="0.25">
      <c r="B8462">
        <v>0</v>
      </c>
      <c r="C8462" s="16" t="s">
        <v>17529</v>
      </c>
      <c r="D8462" s="16"/>
      <c r="E8462">
        <v>6</v>
      </c>
      <c r="F8462" t="s">
        <v>8395</v>
      </c>
      <c r="G8462">
        <v>1</v>
      </c>
      <c r="H8462">
        <v>1</v>
      </c>
      <c r="I8462">
        <f>1</f>
        <v>1</v>
      </c>
    </row>
    <row r="8463" spans="2:9" x14ac:dyDescent="0.25">
      <c r="B8463">
        <v>0</v>
      </c>
      <c r="C8463" s="16" t="s">
        <v>17530</v>
      </c>
      <c r="D8463" s="16"/>
      <c r="E8463">
        <v>6</v>
      </c>
      <c r="F8463" t="s">
        <v>4690</v>
      </c>
      <c r="G8463">
        <v>1</v>
      </c>
      <c r="H8463">
        <v>1</v>
      </c>
      <c r="I8463">
        <f>1</f>
        <v>1</v>
      </c>
    </row>
    <row r="8464" spans="2:9" x14ac:dyDescent="0.25">
      <c r="B8464">
        <v>0</v>
      </c>
      <c r="C8464" s="16" t="s">
        <v>17531</v>
      </c>
      <c r="D8464" s="16"/>
      <c r="E8464">
        <v>6</v>
      </c>
      <c r="F8464" t="e">
        <f>-Laminadores De Tubos</f>
        <v>#NAME?</v>
      </c>
      <c r="G8464">
        <v>1</v>
      </c>
      <c r="H8464">
        <v>1</v>
      </c>
      <c r="I8464">
        <f>1</f>
        <v>1</v>
      </c>
    </row>
    <row r="8465" spans="2:9" x14ac:dyDescent="0.25">
      <c r="B8465">
        <v>0</v>
      </c>
      <c r="C8465" s="16" t="s">
        <v>17532</v>
      </c>
      <c r="D8465" s="16"/>
      <c r="E8465">
        <v>6</v>
      </c>
      <c r="F8465" t="s">
        <v>8396</v>
      </c>
      <c r="G8465">
        <v>1</v>
      </c>
      <c r="H8465">
        <v>1</v>
      </c>
      <c r="I8465">
        <f>1</f>
        <v>1</v>
      </c>
    </row>
    <row r="8466" spans="2:9" x14ac:dyDescent="0.25">
      <c r="B8466">
        <v>0</v>
      </c>
      <c r="C8466" s="16" t="s">
        <v>17533</v>
      </c>
      <c r="D8466" s="16"/>
      <c r="E8466">
        <v>6</v>
      </c>
      <c r="F8466" t="s">
        <v>4680</v>
      </c>
      <c r="G8466">
        <v>1</v>
      </c>
      <c r="H8466">
        <v>1</v>
      </c>
      <c r="I8466">
        <f>1</f>
        <v>1</v>
      </c>
    </row>
    <row r="8467" spans="2:9" x14ac:dyDescent="0.25">
      <c r="B8467">
        <v>0</v>
      </c>
      <c r="C8467" s="16" t="s">
        <v>17534</v>
      </c>
      <c r="D8467" s="16"/>
      <c r="E8467">
        <v>6</v>
      </c>
      <c r="F8467" t="s">
        <v>8396</v>
      </c>
      <c r="G8467">
        <v>1</v>
      </c>
      <c r="H8467">
        <v>1</v>
      </c>
      <c r="I8467">
        <f>1</f>
        <v>1</v>
      </c>
    </row>
    <row r="8468" spans="2:9" x14ac:dyDescent="0.25">
      <c r="B8468">
        <v>0</v>
      </c>
      <c r="C8468" s="16" t="s">
        <v>17535</v>
      </c>
      <c r="D8468" s="16"/>
      <c r="E8468">
        <v>6</v>
      </c>
      <c r="F8468" t="s">
        <v>4680</v>
      </c>
      <c r="G8468">
        <v>1</v>
      </c>
      <c r="H8468">
        <v>1</v>
      </c>
      <c r="I8468">
        <f>1</f>
        <v>1</v>
      </c>
    </row>
    <row r="8469" spans="2:9" x14ac:dyDescent="0.25">
      <c r="B8469">
        <v>0</v>
      </c>
      <c r="C8469" s="16" t="s">
        <v>17536</v>
      </c>
      <c r="D8469" s="16"/>
      <c r="E8469">
        <v>6</v>
      </c>
      <c r="F8469" t="s">
        <v>8397</v>
      </c>
      <c r="G8469">
        <v>1</v>
      </c>
      <c r="H8469">
        <v>1</v>
      </c>
      <c r="I8469">
        <f>1</f>
        <v>1</v>
      </c>
    </row>
    <row r="8470" spans="2:9" x14ac:dyDescent="0.25">
      <c r="B8470">
        <v>0</v>
      </c>
      <c r="C8470" s="16" t="s">
        <v>17537</v>
      </c>
      <c r="D8470" s="16"/>
      <c r="E8470">
        <v>6</v>
      </c>
      <c r="F8470" t="s">
        <v>8398</v>
      </c>
      <c r="G8470">
        <v>1</v>
      </c>
      <c r="H8470">
        <v>1</v>
      </c>
      <c r="I8470">
        <f>1</f>
        <v>1</v>
      </c>
    </row>
    <row r="8471" spans="2:9" x14ac:dyDescent="0.25">
      <c r="B8471">
        <v>0</v>
      </c>
      <c r="C8471" s="16" t="s">
        <v>17538</v>
      </c>
      <c r="D8471" s="16"/>
      <c r="E8471">
        <v>6</v>
      </c>
      <c r="F8471" t="s">
        <v>4680</v>
      </c>
      <c r="G8471">
        <v>1</v>
      </c>
      <c r="H8471">
        <v>1</v>
      </c>
      <c r="I8471">
        <f>1</f>
        <v>1</v>
      </c>
    </row>
    <row r="8472" spans="2:9" x14ac:dyDescent="0.25">
      <c r="B8472">
        <v>0</v>
      </c>
      <c r="C8472" s="16" t="s">
        <v>17539</v>
      </c>
      <c r="D8472" s="16"/>
      <c r="E8472">
        <v>6</v>
      </c>
      <c r="F8472" t="e">
        <f>-Outras Partes</f>
        <v>#NAME?</v>
      </c>
      <c r="G8472">
        <v>1</v>
      </c>
      <c r="H8472">
        <v>1</v>
      </c>
      <c r="I8472">
        <f>1</f>
        <v>1</v>
      </c>
    </row>
    <row r="8473" spans="2:9" x14ac:dyDescent="0.25">
      <c r="B8473">
        <v>0</v>
      </c>
      <c r="C8473" s="16" t="s">
        <v>17540</v>
      </c>
      <c r="D8473" s="16"/>
      <c r="E8473">
        <v>6</v>
      </c>
      <c r="F8473" t="s">
        <v>8399</v>
      </c>
      <c r="G8473">
        <v>1</v>
      </c>
      <c r="H8473">
        <v>1</v>
      </c>
      <c r="I8473">
        <f>1</f>
        <v>1</v>
      </c>
    </row>
    <row r="8474" spans="2:9" x14ac:dyDescent="0.25">
      <c r="B8474">
        <v>0</v>
      </c>
      <c r="C8474" s="16" t="s">
        <v>17541</v>
      </c>
      <c r="D8474" s="16"/>
      <c r="E8474">
        <v>6</v>
      </c>
      <c r="F8474" t="s">
        <v>4690</v>
      </c>
      <c r="G8474">
        <v>1</v>
      </c>
      <c r="H8474">
        <v>1</v>
      </c>
      <c r="I8474">
        <f>1</f>
        <v>1</v>
      </c>
    </row>
    <row r="8475" spans="2:9" x14ac:dyDescent="0.25">
      <c r="B8475">
        <v>0</v>
      </c>
      <c r="C8475" s="16" t="s">
        <v>17542</v>
      </c>
      <c r="D8475" s="16"/>
      <c r="E8475">
        <v>6</v>
      </c>
      <c r="F8475" t="s">
        <v>4690</v>
      </c>
      <c r="G8475">
        <v>1</v>
      </c>
      <c r="H8475">
        <v>1</v>
      </c>
      <c r="I8475">
        <f>1</f>
        <v>1</v>
      </c>
    </row>
    <row r="8476" spans="2:9" x14ac:dyDescent="0.25">
      <c r="B8476">
        <v>0</v>
      </c>
      <c r="C8476" s="16" t="s">
        <v>17543</v>
      </c>
      <c r="D8476" s="16"/>
      <c r="E8476">
        <v>6</v>
      </c>
      <c r="F8476" t="s">
        <v>8400</v>
      </c>
      <c r="G8476">
        <v>1</v>
      </c>
      <c r="H8476">
        <v>1</v>
      </c>
      <c r="I8476">
        <f>1</f>
        <v>1</v>
      </c>
    </row>
    <row r="8477" spans="2:9" x14ac:dyDescent="0.25">
      <c r="B8477">
        <v>0</v>
      </c>
      <c r="C8477" s="16" t="s">
        <v>17544</v>
      </c>
      <c r="D8477" s="16"/>
      <c r="E8477">
        <v>6</v>
      </c>
      <c r="F8477" t="s">
        <v>4690</v>
      </c>
      <c r="G8477">
        <v>1</v>
      </c>
      <c r="H8477">
        <v>1</v>
      </c>
      <c r="I8477">
        <f>1</f>
        <v>1</v>
      </c>
    </row>
    <row r="8478" spans="2:9" x14ac:dyDescent="0.25">
      <c r="B8478">
        <v>0</v>
      </c>
      <c r="C8478" s="16" t="s">
        <v>17545</v>
      </c>
      <c r="D8478" s="16"/>
      <c r="E8478">
        <v>6</v>
      </c>
      <c r="F8478" t="s">
        <v>8401</v>
      </c>
      <c r="G8478">
        <v>1</v>
      </c>
      <c r="H8478">
        <v>1</v>
      </c>
      <c r="I8478">
        <f>1</f>
        <v>1</v>
      </c>
    </row>
    <row r="8479" spans="2:9" x14ac:dyDescent="0.25">
      <c r="B8479">
        <v>0</v>
      </c>
      <c r="C8479" s="16" t="s">
        <v>17546</v>
      </c>
      <c r="D8479" s="16"/>
      <c r="E8479">
        <v>6</v>
      </c>
      <c r="F8479" t="s">
        <v>4690</v>
      </c>
      <c r="G8479">
        <v>1</v>
      </c>
      <c r="H8479">
        <v>1</v>
      </c>
      <c r="I8479">
        <f>1</f>
        <v>1</v>
      </c>
    </row>
    <row r="8480" spans="2:9" x14ac:dyDescent="0.25">
      <c r="B8480">
        <v>0</v>
      </c>
      <c r="C8480" s="16" t="s">
        <v>17547</v>
      </c>
      <c r="D8480" s="16"/>
      <c r="E8480">
        <v>6</v>
      </c>
      <c r="F8480" t="s">
        <v>4690</v>
      </c>
      <c r="G8480">
        <v>1</v>
      </c>
      <c r="H8480">
        <v>1</v>
      </c>
      <c r="I8480">
        <f>1</f>
        <v>1</v>
      </c>
    </row>
    <row r="8481" spans="2:9" x14ac:dyDescent="0.25">
      <c r="B8481">
        <v>0</v>
      </c>
      <c r="C8481" s="16" t="s">
        <v>17548</v>
      </c>
      <c r="D8481" s="16"/>
      <c r="E8481">
        <v>6</v>
      </c>
      <c r="F8481" t="e">
        <f>-Outras</f>
        <v>#NAME?</v>
      </c>
      <c r="G8481">
        <v>1</v>
      </c>
      <c r="H8481">
        <v>1</v>
      </c>
      <c r="I8481">
        <f>1</f>
        <v>1</v>
      </c>
    </row>
    <row r="8482" spans="2:9" x14ac:dyDescent="0.25">
      <c r="B8482">
        <v>0</v>
      </c>
      <c r="C8482" s="16" t="s">
        <v>17549</v>
      </c>
      <c r="D8482" s="16"/>
      <c r="E8482">
        <v>6</v>
      </c>
      <c r="F8482" t="e">
        <f>-Centros De usinagem</f>
        <v>#NAME?</v>
      </c>
      <c r="G8482">
        <v>1</v>
      </c>
      <c r="H8482">
        <v>1</v>
      </c>
      <c r="I8482">
        <f>1</f>
        <v>1</v>
      </c>
    </row>
    <row r="8483" spans="2:9" x14ac:dyDescent="0.25">
      <c r="B8483">
        <v>0</v>
      </c>
      <c r="C8483" s="16" t="s">
        <v>17550</v>
      </c>
      <c r="D8483" s="16"/>
      <c r="E8483">
        <v>6</v>
      </c>
      <c r="F8483" t="s">
        <v>8400</v>
      </c>
      <c r="G8483">
        <v>1</v>
      </c>
      <c r="H8483">
        <v>1</v>
      </c>
      <c r="I8483">
        <f>1</f>
        <v>1</v>
      </c>
    </row>
    <row r="8484" spans="2:9" x14ac:dyDescent="0.25">
      <c r="B8484">
        <v>0</v>
      </c>
      <c r="C8484" s="16" t="s">
        <v>17551</v>
      </c>
      <c r="D8484" s="16"/>
      <c r="E8484">
        <v>6</v>
      </c>
      <c r="F8484" t="s">
        <v>4690</v>
      </c>
      <c r="G8484">
        <v>1</v>
      </c>
      <c r="H8484">
        <v>1</v>
      </c>
      <c r="I8484">
        <f>1</f>
        <v>1</v>
      </c>
    </row>
    <row r="8485" spans="2:9" x14ac:dyDescent="0.25">
      <c r="B8485">
        <v>0</v>
      </c>
      <c r="C8485" s="16" t="s">
        <v>17552</v>
      </c>
      <c r="D8485" s="16"/>
      <c r="E8485">
        <v>6</v>
      </c>
      <c r="F8485" t="s">
        <v>8400</v>
      </c>
      <c r="G8485">
        <v>1</v>
      </c>
      <c r="H8485">
        <v>1</v>
      </c>
      <c r="I8485">
        <f>1</f>
        <v>1</v>
      </c>
    </row>
    <row r="8486" spans="2:9" x14ac:dyDescent="0.25">
      <c r="B8486">
        <v>0</v>
      </c>
      <c r="C8486" s="16" t="s">
        <v>17553</v>
      </c>
      <c r="D8486" s="16"/>
      <c r="E8486">
        <v>6</v>
      </c>
      <c r="F8486" t="s">
        <v>4690</v>
      </c>
      <c r="G8486">
        <v>1</v>
      </c>
      <c r="H8486">
        <v>1</v>
      </c>
      <c r="I8486">
        <f>1</f>
        <v>1</v>
      </c>
    </row>
    <row r="8487" spans="2:9" x14ac:dyDescent="0.25">
      <c r="B8487">
        <v>0</v>
      </c>
      <c r="C8487" s="16" t="s">
        <v>17554</v>
      </c>
      <c r="D8487" s="16"/>
      <c r="E8487">
        <v>6</v>
      </c>
      <c r="F8487" t="s">
        <v>8402</v>
      </c>
      <c r="G8487">
        <v>1</v>
      </c>
      <c r="H8487">
        <v>1</v>
      </c>
      <c r="I8487">
        <f>1</f>
        <v>1</v>
      </c>
    </row>
    <row r="8488" spans="2:9" x14ac:dyDescent="0.25">
      <c r="B8488">
        <v>0</v>
      </c>
      <c r="C8488" s="16" t="s">
        <v>17555</v>
      </c>
      <c r="D8488" s="16"/>
      <c r="E8488">
        <v>6</v>
      </c>
      <c r="F8488" t="s">
        <v>8403</v>
      </c>
      <c r="G8488">
        <v>1</v>
      </c>
      <c r="H8488">
        <v>1</v>
      </c>
      <c r="I8488">
        <f>1</f>
        <v>1</v>
      </c>
    </row>
    <row r="8489" spans="2:9" x14ac:dyDescent="0.25">
      <c r="B8489">
        <v>0</v>
      </c>
      <c r="C8489" s="16" t="s">
        <v>17556</v>
      </c>
      <c r="D8489" s="16"/>
      <c r="E8489">
        <v>6</v>
      </c>
      <c r="F8489" t="s">
        <v>4680</v>
      </c>
      <c r="G8489">
        <v>1</v>
      </c>
      <c r="H8489">
        <v>1</v>
      </c>
      <c r="I8489">
        <f>1</f>
        <v>1</v>
      </c>
    </row>
    <row r="8490" spans="2:9" x14ac:dyDescent="0.25">
      <c r="B8490">
        <v>0</v>
      </c>
      <c r="C8490" s="16" t="s">
        <v>17557</v>
      </c>
      <c r="D8490" s="16"/>
      <c r="E8490">
        <v>6</v>
      </c>
      <c r="F8490" t="s">
        <v>8402</v>
      </c>
      <c r="G8490">
        <v>1</v>
      </c>
      <c r="H8490">
        <v>1</v>
      </c>
      <c r="I8490">
        <f>1</f>
        <v>1</v>
      </c>
    </row>
    <row r="8491" spans="2:9" x14ac:dyDescent="0.25">
      <c r="B8491">
        <v>0</v>
      </c>
      <c r="C8491" s="16" t="s">
        <v>17558</v>
      </c>
      <c r="D8491" s="16"/>
      <c r="E8491">
        <v>6</v>
      </c>
      <c r="F8491" t="s">
        <v>4680</v>
      </c>
      <c r="G8491">
        <v>1</v>
      </c>
      <c r="H8491">
        <v>1</v>
      </c>
      <c r="I8491">
        <f>1</f>
        <v>1</v>
      </c>
    </row>
    <row r="8492" spans="2:9" x14ac:dyDescent="0.25">
      <c r="B8492">
        <v>0</v>
      </c>
      <c r="C8492" s="16" t="s">
        <v>17559</v>
      </c>
      <c r="D8492" s="16"/>
      <c r="E8492">
        <v>6</v>
      </c>
      <c r="F8492" t="e">
        <f>--De comando numérico</f>
        <v>#NAME?</v>
      </c>
      <c r="G8492">
        <v>1</v>
      </c>
      <c r="H8492">
        <v>1</v>
      </c>
      <c r="I8492">
        <f>1</f>
        <v>1</v>
      </c>
    </row>
    <row r="8493" spans="2:9" x14ac:dyDescent="0.25">
      <c r="B8493">
        <v>0</v>
      </c>
      <c r="C8493" s="16" t="s">
        <v>17560</v>
      </c>
      <c r="D8493" s="16"/>
      <c r="E8493">
        <v>6</v>
      </c>
      <c r="F8493" t="e">
        <f>--outros</f>
        <v>#NAME?</v>
      </c>
      <c r="G8493">
        <v>1</v>
      </c>
      <c r="H8493">
        <v>1</v>
      </c>
      <c r="I8493">
        <f>1</f>
        <v>1</v>
      </c>
    </row>
    <row r="8494" spans="2:9" x14ac:dyDescent="0.25">
      <c r="B8494">
        <v>0</v>
      </c>
      <c r="C8494" s="16" t="s">
        <v>17561</v>
      </c>
      <c r="D8494" s="16"/>
      <c r="E8494">
        <v>6</v>
      </c>
      <c r="F8494" t="e">
        <f>-Unidades Com cabeça deslizante</f>
        <v>#NAME?</v>
      </c>
      <c r="G8494">
        <v>1</v>
      </c>
      <c r="H8494">
        <v>1</v>
      </c>
      <c r="I8494">
        <f>1</f>
        <v>1</v>
      </c>
    </row>
    <row r="8495" spans="2:9" x14ac:dyDescent="0.25">
      <c r="B8495">
        <v>0</v>
      </c>
      <c r="C8495" s="16" t="s">
        <v>17562</v>
      </c>
      <c r="D8495" s="16"/>
      <c r="E8495">
        <v>6</v>
      </c>
      <c r="F8495" t="s">
        <v>8404</v>
      </c>
      <c r="G8495">
        <v>1</v>
      </c>
      <c r="H8495">
        <v>1</v>
      </c>
      <c r="I8495">
        <f>1</f>
        <v>1</v>
      </c>
    </row>
    <row r="8496" spans="2:9" x14ac:dyDescent="0.25">
      <c r="B8496">
        <v>0</v>
      </c>
      <c r="C8496" s="16" t="s">
        <v>17563</v>
      </c>
      <c r="D8496" s="16"/>
      <c r="E8496">
        <v>6</v>
      </c>
      <c r="F8496" t="s">
        <v>8405</v>
      </c>
      <c r="G8496">
        <v>1</v>
      </c>
      <c r="H8496">
        <v>1</v>
      </c>
      <c r="I8496">
        <f>1</f>
        <v>1</v>
      </c>
    </row>
    <row r="8497" spans="2:9" x14ac:dyDescent="0.25">
      <c r="B8497">
        <v>0</v>
      </c>
      <c r="C8497" s="16" t="s">
        <v>17564</v>
      </c>
      <c r="D8497" s="16"/>
      <c r="E8497">
        <v>6</v>
      </c>
      <c r="F8497" t="s">
        <v>4690</v>
      </c>
      <c r="G8497">
        <v>1</v>
      </c>
      <c r="H8497">
        <v>1</v>
      </c>
      <c r="I8497">
        <f>1</f>
        <v>1</v>
      </c>
    </row>
    <row r="8498" spans="2:9" x14ac:dyDescent="0.25">
      <c r="B8498">
        <v>0</v>
      </c>
      <c r="C8498" s="16" t="s">
        <v>17565</v>
      </c>
      <c r="D8498" s="16"/>
      <c r="E8498">
        <v>6</v>
      </c>
      <c r="F8498" t="e">
        <f>--Outras</f>
        <v>#NAME?</v>
      </c>
      <c r="G8498">
        <v>1</v>
      </c>
      <c r="H8498">
        <v>1</v>
      </c>
      <c r="I8498">
        <f>1</f>
        <v>1</v>
      </c>
    </row>
    <row r="8499" spans="2:9" x14ac:dyDescent="0.25">
      <c r="B8499">
        <v>0</v>
      </c>
      <c r="C8499" s="16" t="s">
        <v>17566</v>
      </c>
      <c r="D8499" s="16"/>
      <c r="E8499">
        <v>6</v>
      </c>
      <c r="F8499" t="e">
        <f>--De comando numérico</f>
        <v>#NAME?</v>
      </c>
      <c r="G8499">
        <v>1</v>
      </c>
      <c r="H8499">
        <v>1</v>
      </c>
      <c r="I8499">
        <f>1</f>
        <v>1</v>
      </c>
    </row>
    <row r="8500" spans="2:9" x14ac:dyDescent="0.25">
      <c r="B8500">
        <v>0</v>
      </c>
      <c r="C8500" s="16" t="s">
        <v>17567</v>
      </c>
      <c r="D8500" s="16"/>
      <c r="E8500">
        <v>6</v>
      </c>
      <c r="F8500" t="e">
        <f>--Outras</f>
        <v>#NAME?</v>
      </c>
      <c r="G8500">
        <v>1</v>
      </c>
      <c r="H8500">
        <v>1</v>
      </c>
      <c r="I8500">
        <f>1</f>
        <v>1</v>
      </c>
    </row>
    <row r="8501" spans="2:9" x14ac:dyDescent="0.25">
      <c r="B8501">
        <v>0</v>
      </c>
      <c r="C8501" s="16" t="s">
        <v>17568</v>
      </c>
      <c r="D8501" s="16"/>
      <c r="E8501">
        <v>6</v>
      </c>
      <c r="F8501" t="e">
        <f>-Outras máquinas para mandrilar</f>
        <v>#NAME?</v>
      </c>
      <c r="G8501">
        <v>1</v>
      </c>
      <c r="H8501">
        <v>1</v>
      </c>
      <c r="I8501">
        <f>1</f>
        <v>1</v>
      </c>
    </row>
    <row r="8502" spans="2:9" x14ac:dyDescent="0.25">
      <c r="B8502">
        <v>0</v>
      </c>
      <c r="C8502" s="16" t="s">
        <v>17569</v>
      </c>
      <c r="D8502" s="16"/>
      <c r="E8502">
        <v>6</v>
      </c>
      <c r="F8502" t="e">
        <f>--De comando numérico</f>
        <v>#NAME?</v>
      </c>
      <c r="G8502">
        <v>1</v>
      </c>
      <c r="H8502">
        <v>1</v>
      </c>
      <c r="I8502">
        <f>1</f>
        <v>1</v>
      </c>
    </row>
    <row r="8503" spans="2:9" x14ac:dyDescent="0.25">
      <c r="B8503">
        <v>0</v>
      </c>
      <c r="C8503" s="16" t="s">
        <v>17570</v>
      </c>
      <c r="D8503" s="16"/>
      <c r="E8503">
        <v>6</v>
      </c>
      <c r="F8503" t="e">
        <f>--Outras</f>
        <v>#NAME?</v>
      </c>
      <c r="G8503">
        <v>1</v>
      </c>
      <c r="H8503">
        <v>1</v>
      </c>
      <c r="I8503">
        <f>1</f>
        <v>1</v>
      </c>
    </row>
    <row r="8504" spans="2:9" x14ac:dyDescent="0.25">
      <c r="B8504">
        <v>0</v>
      </c>
      <c r="C8504" s="16" t="s">
        <v>17571</v>
      </c>
      <c r="D8504" s="16"/>
      <c r="E8504">
        <v>6</v>
      </c>
      <c r="F8504" t="e">
        <f>--De comando numérico</f>
        <v>#NAME?</v>
      </c>
      <c r="G8504">
        <v>1</v>
      </c>
      <c r="H8504">
        <v>1</v>
      </c>
      <c r="I8504">
        <f>1</f>
        <v>1</v>
      </c>
    </row>
    <row r="8505" spans="2:9" x14ac:dyDescent="0.25">
      <c r="B8505">
        <v>0</v>
      </c>
      <c r="C8505" s="16" t="s">
        <v>17572</v>
      </c>
      <c r="D8505" s="16"/>
      <c r="E8505">
        <v>6</v>
      </c>
      <c r="F8505" t="e">
        <f>--Outras</f>
        <v>#NAME?</v>
      </c>
      <c r="G8505">
        <v>1</v>
      </c>
      <c r="H8505">
        <v>1</v>
      </c>
      <c r="I8505">
        <f>1</f>
        <v>1</v>
      </c>
    </row>
    <row r="8506" spans="2:9" x14ac:dyDescent="0.25">
      <c r="B8506">
        <v>0</v>
      </c>
      <c r="C8506" s="16" t="s">
        <v>17573</v>
      </c>
      <c r="D8506" s="16"/>
      <c r="E8506">
        <v>6</v>
      </c>
      <c r="F8506" t="e">
        <f>-Outras máquinas para roscar interior ou exteriormente</f>
        <v>#NAME?</v>
      </c>
      <c r="G8506">
        <v>1</v>
      </c>
      <c r="H8506">
        <v>1</v>
      </c>
      <c r="I8506">
        <f>1</f>
        <v>1</v>
      </c>
    </row>
    <row r="8507" spans="2:9" x14ac:dyDescent="0.25">
      <c r="B8507">
        <v>0</v>
      </c>
      <c r="C8507" s="16" t="s">
        <v>17574</v>
      </c>
      <c r="D8507" s="16"/>
      <c r="E8507">
        <v>6</v>
      </c>
      <c r="F8507" t="e">
        <f>--De comando numérico</f>
        <v>#NAME?</v>
      </c>
      <c r="G8507">
        <v>1</v>
      </c>
      <c r="H8507">
        <v>1</v>
      </c>
      <c r="I8507">
        <f>1</f>
        <v>1</v>
      </c>
    </row>
    <row r="8508" spans="2:9" x14ac:dyDescent="0.25">
      <c r="B8508">
        <v>0</v>
      </c>
      <c r="C8508" s="16" t="s">
        <v>17575</v>
      </c>
      <c r="D8508" s="16"/>
      <c r="E8508">
        <v>6</v>
      </c>
      <c r="F8508" t="e">
        <f>--Outras</f>
        <v>#NAME?</v>
      </c>
      <c r="G8508">
        <v>1</v>
      </c>
      <c r="H8508">
        <v>1</v>
      </c>
      <c r="I8508">
        <f>1</f>
        <v>1</v>
      </c>
    </row>
    <row r="8509" spans="2:9" x14ac:dyDescent="0.25">
      <c r="B8509">
        <v>0</v>
      </c>
      <c r="C8509" s="16" t="s">
        <v>17576</v>
      </c>
      <c r="D8509" s="16"/>
      <c r="E8509">
        <v>6</v>
      </c>
      <c r="F8509" t="e">
        <f>--De comando numérico</f>
        <v>#NAME?</v>
      </c>
      <c r="G8509">
        <v>1</v>
      </c>
      <c r="H8509">
        <v>1</v>
      </c>
      <c r="I8509">
        <f>1</f>
        <v>1</v>
      </c>
    </row>
    <row r="8510" spans="2:9" x14ac:dyDescent="0.25">
      <c r="B8510">
        <v>0</v>
      </c>
      <c r="C8510" s="16" t="s">
        <v>17577</v>
      </c>
      <c r="D8510" s="16"/>
      <c r="E8510">
        <v>6</v>
      </c>
      <c r="F8510" t="e">
        <f>--Outras</f>
        <v>#NAME?</v>
      </c>
      <c r="G8510">
        <v>1</v>
      </c>
      <c r="H8510">
        <v>1</v>
      </c>
      <c r="I8510">
        <f>1</f>
        <v>1</v>
      </c>
    </row>
    <row r="8511" spans="2:9" x14ac:dyDescent="0.25">
      <c r="B8511">
        <v>0</v>
      </c>
      <c r="C8511" s="16" t="s">
        <v>17578</v>
      </c>
      <c r="D8511" s="16"/>
      <c r="E8511">
        <v>6</v>
      </c>
      <c r="F8511" t="e">
        <f>--De comando numérico</f>
        <v>#NAME?</v>
      </c>
      <c r="G8511">
        <v>1</v>
      </c>
      <c r="H8511">
        <v>1</v>
      </c>
      <c r="I8511">
        <f>1</f>
        <v>1</v>
      </c>
    </row>
    <row r="8512" spans="2:9" x14ac:dyDescent="0.25">
      <c r="B8512">
        <v>0</v>
      </c>
      <c r="C8512" s="16" t="s">
        <v>17579</v>
      </c>
      <c r="D8512" s="16"/>
      <c r="E8512">
        <v>6</v>
      </c>
      <c r="F8512" t="e">
        <f>--Outras</f>
        <v>#NAME?</v>
      </c>
      <c r="G8512">
        <v>1</v>
      </c>
      <c r="H8512">
        <v>1</v>
      </c>
      <c r="I8512">
        <f>1</f>
        <v>1</v>
      </c>
    </row>
    <row r="8513" spans="2:9" x14ac:dyDescent="0.25">
      <c r="B8513">
        <v>0</v>
      </c>
      <c r="C8513" s="16" t="s">
        <v>17580</v>
      </c>
      <c r="D8513" s="16"/>
      <c r="E8513">
        <v>6</v>
      </c>
      <c r="F8513" t="s">
        <v>8406</v>
      </c>
      <c r="G8513">
        <v>1</v>
      </c>
      <c r="H8513">
        <v>1</v>
      </c>
      <c r="I8513">
        <f>1</f>
        <v>1</v>
      </c>
    </row>
    <row r="8514" spans="2:9" x14ac:dyDescent="0.25">
      <c r="B8514">
        <v>0</v>
      </c>
      <c r="C8514" s="16" t="s">
        <v>17581</v>
      </c>
      <c r="D8514" s="16"/>
      <c r="E8514">
        <v>6</v>
      </c>
      <c r="F8514" t="s">
        <v>4690</v>
      </c>
      <c r="G8514">
        <v>1</v>
      </c>
      <c r="H8514">
        <v>1</v>
      </c>
      <c r="I8514">
        <f>1</f>
        <v>1</v>
      </c>
    </row>
    <row r="8515" spans="2:9" x14ac:dyDescent="0.25">
      <c r="B8515">
        <v>0</v>
      </c>
      <c r="C8515" s="16" t="s">
        <v>17582</v>
      </c>
      <c r="D8515" s="16"/>
      <c r="E8515">
        <v>6</v>
      </c>
      <c r="F8515" t="s">
        <v>8406</v>
      </c>
      <c r="G8515">
        <v>1</v>
      </c>
      <c r="H8515">
        <v>1</v>
      </c>
      <c r="I8515">
        <f>1</f>
        <v>1</v>
      </c>
    </row>
    <row r="8516" spans="2:9" x14ac:dyDescent="0.25">
      <c r="B8516">
        <v>0</v>
      </c>
      <c r="C8516" s="16" t="s">
        <v>17583</v>
      </c>
      <c r="D8516" s="16"/>
      <c r="E8516">
        <v>6</v>
      </c>
      <c r="F8516" t="s">
        <v>4690</v>
      </c>
      <c r="G8516">
        <v>1</v>
      </c>
      <c r="H8516">
        <v>1</v>
      </c>
      <c r="I8516">
        <f>1</f>
        <v>1</v>
      </c>
    </row>
    <row r="8517" spans="2:9" x14ac:dyDescent="0.25">
      <c r="B8517">
        <v>0</v>
      </c>
      <c r="C8517" s="16" t="s">
        <v>17584</v>
      </c>
      <c r="D8517" s="16"/>
      <c r="E8517">
        <v>6</v>
      </c>
      <c r="F8517" t="s">
        <v>8407</v>
      </c>
      <c r="G8517">
        <v>1</v>
      </c>
      <c r="H8517">
        <v>1</v>
      </c>
      <c r="I8517">
        <f>1</f>
        <v>1</v>
      </c>
    </row>
    <row r="8518" spans="2:9" x14ac:dyDescent="0.25">
      <c r="B8518">
        <v>0</v>
      </c>
      <c r="C8518" s="16" t="s">
        <v>17585</v>
      </c>
      <c r="D8518" s="16"/>
      <c r="E8518">
        <v>6</v>
      </c>
      <c r="F8518" t="s">
        <v>8408</v>
      </c>
      <c r="G8518">
        <v>1</v>
      </c>
      <c r="H8518">
        <v>1</v>
      </c>
      <c r="I8518">
        <f>1</f>
        <v>1</v>
      </c>
    </row>
    <row r="8519" spans="2:9" x14ac:dyDescent="0.25">
      <c r="B8519">
        <v>0</v>
      </c>
      <c r="C8519" s="16" t="s">
        <v>17586</v>
      </c>
      <c r="D8519" s="16"/>
      <c r="E8519">
        <v>6</v>
      </c>
      <c r="F8519" t="s">
        <v>4690</v>
      </c>
      <c r="G8519">
        <v>1</v>
      </c>
      <c r="H8519">
        <v>1</v>
      </c>
      <c r="I8519">
        <f>1</f>
        <v>1</v>
      </c>
    </row>
    <row r="8520" spans="2:9" x14ac:dyDescent="0.25">
      <c r="B8520">
        <v>0</v>
      </c>
      <c r="C8520" s="16" t="s">
        <v>17587</v>
      </c>
      <c r="D8520" s="16"/>
      <c r="E8520">
        <v>6</v>
      </c>
      <c r="F8520" t="s">
        <v>4690</v>
      </c>
      <c r="G8520">
        <v>1</v>
      </c>
      <c r="H8520">
        <v>1</v>
      </c>
      <c r="I8520">
        <f>1</f>
        <v>1</v>
      </c>
    </row>
    <row r="8521" spans="2:9" x14ac:dyDescent="0.25">
      <c r="B8521">
        <v>0</v>
      </c>
      <c r="C8521" s="16" t="s">
        <v>17588</v>
      </c>
      <c r="D8521" s="16"/>
      <c r="E8521">
        <v>6</v>
      </c>
      <c r="F8521" t="s">
        <v>8409</v>
      </c>
      <c r="G8521">
        <v>1</v>
      </c>
      <c r="H8521">
        <v>1</v>
      </c>
      <c r="I8521">
        <f>1</f>
        <v>1</v>
      </c>
    </row>
    <row r="8522" spans="2:9" x14ac:dyDescent="0.25">
      <c r="B8522">
        <v>0</v>
      </c>
      <c r="C8522" s="16" t="s">
        <v>17589</v>
      </c>
      <c r="D8522" s="16"/>
      <c r="E8522">
        <v>6</v>
      </c>
      <c r="F8522" t="s">
        <v>4690</v>
      </c>
      <c r="G8522">
        <v>1</v>
      </c>
      <c r="H8522">
        <v>1</v>
      </c>
      <c r="I8522">
        <f>1</f>
        <v>1</v>
      </c>
    </row>
    <row r="8523" spans="2:9" x14ac:dyDescent="0.25">
      <c r="B8523">
        <v>0</v>
      </c>
      <c r="C8523" s="16" t="s">
        <v>17590</v>
      </c>
      <c r="D8523" s="16"/>
      <c r="E8523">
        <v>6</v>
      </c>
      <c r="F8523" t="s">
        <v>8400</v>
      </c>
      <c r="G8523">
        <v>1</v>
      </c>
      <c r="H8523">
        <v>1</v>
      </c>
      <c r="I8523">
        <f>1</f>
        <v>1</v>
      </c>
    </row>
    <row r="8524" spans="2:9" x14ac:dyDescent="0.25">
      <c r="B8524">
        <v>0</v>
      </c>
      <c r="C8524" s="16" t="s">
        <v>17591</v>
      </c>
      <c r="D8524" s="16"/>
      <c r="E8524">
        <v>6</v>
      </c>
      <c r="F8524" t="s">
        <v>4690</v>
      </c>
      <c r="G8524">
        <v>1</v>
      </c>
      <c r="H8524">
        <v>1</v>
      </c>
      <c r="I8524">
        <f>1</f>
        <v>1</v>
      </c>
    </row>
    <row r="8525" spans="2:9" x14ac:dyDescent="0.25">
      <c r="B8525">
        <v>0</v>
      </c>
      <c r="C8525" s="16" t="s">
        <v>17592</v>
      </c>
      <c r="D8525" s="16"/>
      <c r="E8525">
        <v>6</v>
      </c>
      <c r="F8525" t="s">
        <v>8400</v>
      </c>
      <c r="G8525">
        <v>1</v>
      </c>
      <c r="H8525">
        <v>1</v>
      </c>
      <c r="I8525">
        <f>1</f>
        <v>1</v>
      </c>
    </row>
    <row r="8526" spans="2:9" x14ac:dyDescent="0.25">
      <c r="B8526">
        <v>0</v>
      </c>
      <c r="C8526" s="16" t="s">
        <v>17593</v>
      </c>
      <c r="D8526" s="16"/>
      <c r="E8526">
        <v>6</v>
      </c>
      <c r="F8526" t="s">
        <v>8410</v>
      </c>
      <c r="G8526">
        <v>1</v>
      </c>
      <c r="H8526">
        <v>1</v>
      </c>
      <c r="I8526">
        <f>1</f>
        <v>1</v>
      </c>
    </row>
    <row r="8527" spans="2:9" x14ac:dyDescent="0.25">
      <c r="B8527">
        <v>0</v>
      </c>
      <c r="C8527" s="16" t="s">
        <v>17594</v>
      </c>
      <c r="D8527" s="16"/>
      <c r="E8527">
        <v>6</v>
      </c>
      <c r="F8527" t="s">
        <v>4690</v>
      </c>
      <c r="G8527">
        <v>1</v>
      </c>
      <c r="H8527">
        <v>1</v>
      </c>
      <c r="I8527">
        <f>1</f>
        <v>1</v>
      </c>
    </row>
    <row r="8528" spans="2:9" x14ac:dyDescent="0.25">
      <c r="B8528">
        <v>0</v>
      </c>
      <c r="C8528" s="16" t="s">
        <v>17595</v>
      </c>
      <c r="D8528" s="16"/>
      <c r="E8528">
        <v>6</v>
      </c>
      <c r="F8528" t="s">
        <v>8411</v>
      </c>
      <c r="G8528">
        <v>1</v>
      </c>
      <c r="H8528">
        <v>1</v>
      </c>
      <c r="I8528">
        <f>1</f>
        <v>1</v>
      </c>
    </row>
    <row r="8529" spans="2:9" x14ac:dyDescent="0.25">
      <c r="B8529">
        <v>0</v>
      </c>
      <c r="C8529" s="16" t="s">
        <v>17596</v>
      </c>
      <c r="D8529" s="16"/>
      <c r="E8529">
        <v>6</v>
      </c>
      <c r="F8529" t="s">
        <v>8412</v>
      </c>
      <c r="G8529">
        <v>1</v>
      </c>
      <c r="H8529">
        <v>1</v>
      </c>
      <c r="I8529">
        <f>1</f>
        <v>1</v>
      </c>
    </row>
    <row r="8530" spans="2:9" x14ac:dyDescent="0.25">
      <c r="B8530">
        <v>0</v>
      </c>
      <c r="C8530" s="16" t="s">
        <v>17597</v>
      </c>
      <c r="D8530" s="16"/>
      <c r="E8530">
        <v>6</v>
      </c>
      <c r="F8530" t="s">
        <v>4690</v>
      </c>
      <c r="G8530">
        <v>1</v>
      </c>
      <c r="H8530">
        <v>1</v>
      </c>
      <c r="I8530">
        <f>1</f>
        <v>1</v>
      </c>
    </row>
    <row r="8531" spans="2:9" x14ac:dyDescent="0.25">
      <c r="B8531">
        <v>0</v>
      </c>
      <c r="C8531" s="16" t="s">
        <v>17598</v>
      </c>
      <c r="D8531" s="16"/>
      <c r="E8531">
        <v>6</v>
      </c>
      <c r="F8531" t="s">
        <v>8400</v>
      </c>
      <c r="G8531">
        <v>1</v>
      </c>
      <c r="H8531">
        <v>1</v>
      </c>
      <c r="I8531">
        <f>1</f>
        <v>1</v>
      </c>
    </row>
    <row r="8532" spans="2:9" x14ac:dyDescent="0.25">
      <c r="B8532">
        <v>0</v>
      </c>
      <c r="C8532" s="16" t="s">
        <v>17599</v>
      </c>
      <c r="D8532" s="16"/>
      <c r="E8532">
        <v>6</v>
      </c>
      <c r="F8532" t="s">
        <v>4690</v>
      </c>
      <c r="G8532">
        <v>1</v>
      </c>
      <c r="H8532">
        <v>1</v>
      </c>
      <c r="I8532">
        <f>1</f>
        <v>1</v>
      </c>
    </row>
    <row r="8533" spans="2:9" x14ac:dyDescent="0.25">
      <c r="B8533">
        <v>0</v>
      </c>
      <c r="C8533" s="16" t="s">
        <v>17600</v>
      </c>
      <c r="D8533" s="16"/>
      <c r="E8533">
        <v>6</v>
      </c>
      <c r="F8533" t="s">
        <v>8413</v>
      </c>
      <c r="G8533">
        <v>1</v>
      </c>
      <c r="H8533">
        <v>1</v>
      </c>
      <c r="I8533">
        <f>1</f>
        <v>1</v>
      </c>
    </row>
    <row r="8534" spans="2:9" x14ac:dyDescent="0.25">
      <c r="B8534">
        <v>0</v>
      </c>
      <c r="C8534" s="16" t="s">
        <v>17601</v>
      </c>
      <c r="D8534" s="16"/>
      <c r="E8534">
        <v>6</v>
      </c>
      <c r="F8534" t="s">
        <v>4690</v>
      </c>
      <c r="G8534">
        <v>1</v>
      </c>
      <c r="H8534">
        <v>1</v>
      </c>
      <c r="I8534">
        <f>1</f>
        <v>1</v>
      </c>
    </row>
    <row r="8535" spans="2:9" x14ac:dyDescent="0.25">
      <c r="B8535">
        <v>0</v>
      </c>
      <c r="C8535" s="16" t="s">
        <v>17602</v>
      </c>
      <c r="D8535" s="16"/>
      <c r="E8535">
        <v>6</v>
      </c>
      <c r="F8535" t="s">
        <v>4690</v>
      </c>
      <c r="G8535">
        <v>1</v>
      </c>
      <c r="H8535">
        <v>1</v>
      </c>
      <c r="I8535">
        <f>1</f>
        <v>1</v>
      </c>
    </row>
    <row r="8536" spans="2:9" x14ac:dyDescent="0.25">
      <c r="B8536">
        <v>0</v>
      </c>
      <c r="C8536" s="16" t="s">
        <v>17603</v>
      </c>
      <c r="D8536" s="16"/>
      <c r="E8536">
        <v>6</v>
      </c>
      <c r="F8536" t="e">
        <f>--De comando numérico</f>
        <v>#NAME?</v>
      </c>
      <c r="G8536">
        <v>1</v>
      </c>
      <c r="H8536">
        <v>1</v>
      </c>
      <c r="I8536">
        <f>1</f>
        <v>1</v>
      </c>
    </row>
    <row r="8537" spans="2:9" x14ac:dyDescent="0.25">
      <c r="B8537">
        <v>0</v>
      </c>
      <c r="C8537" s="16" t="s">
        <v>17604</v>
      </c>
      <c r="D8537" s="16"/>
      <c r="E8537">
        <v>6</v>
      </c>
      <c r="F8537" t="e">
        <f>--Outras</f>
        <v>#NAME?</v>
      </c>
      <c r="G8537">
        <v>1</v>
      </c>
      <c r="H8537">
        <v>1</v>
      </c>
      <c r="I8537">
        <f>1</f>
        <v>1</v>
      </c>
    </row>
    <row r="8538" spans="2:9" x14ac:dyDescent="0.25">
      <c r="B8538">
        <v>0</v>
      </c>
      <c r="C8538" s="16" t="s">
        <v>17605</v>
      </c>
      <c r="D8538" s="16"/>
      <c r="E8538">
        <v>6</v>
      </c>
      <c r="F8538" t="e">
        <f>--De comando numérico</f>
        <v>#NAME?</v>
      </c>
      <c r="G8538">
        <v>1</v>
      </c>
      <c r="H8538">
        <v>1</v>
      </c>
      <c r="I8538">
        <f>1</f>
        <v>1</v>
      </c>
    </row>
    <row r="8539" spans="2:9" x14ac:dyDescent="0.25">
      <c r="B8539">
        <v>0</v>
      </c>
      <c r="C8539" s="16" t="s">
        <v>17606</v>
      </c>
      <c r="D8539" s="16"/>
      <c r="E8539">
        <v>6</v>
      </c>
      <c r="F8539" t="s">
        <v>8414</v>
      </c>
      <c r="G8539">
        <v>1</v>
      </c>
      <c r="H8539">
        <v>1</v>
      </c>
      <c r="I8539">
        <f>1</f>
        <v>1</v>
      </c>
    </row>
    <row r="8540" spans="2:9" x14ac:dyDescent="0.25">
      <c r="B8540">
        <v>0</v>
      </c>
      <c r="C8540" s="16" t="s">
        <v>17607</v>
      </c>
      <c r="D8540" s="16"/>
      <c r="E8540">
        <v>6</v>
      </c>
      <c r="F8540" t="s">
        <v>4690</v>
      </c>
      <c r="G8540">
        <v>1</v>
      </c>
      <c r="H8540">
        <v>1</v>
      </c>
      <c r="I8540">
        <f>1</f>
        <v>1</v>
      </c>
    </row>
    <row r="8541" spans="2:9" x14ac:dyDescent="0.25">
      <c r="B8541">
        <v>0</v>
      </c>
      <c r="C8541" s="16" t="s">
        <v>17608</v>
      </c>
      <c r="D8541" s="16"/>
      <c r="E8541">
        <v>6</v>
      </c>
      <c r="F8541" t="e">
        <f>--De comando numérico</f>
        <v>#NAME?</v>
      </c>
      <c r="G8541">
        <v>1</v>
      </c>
      <c r="H8541">
        <v>1</v>
      </c>
      <c r="I8541">
        <f>1</f>
        <v>1</v>
      </c>
    </row>
    <row r="8542" spans="2:9" x14ac:dyDescent="0.25">
      <c r="B8542">
        <v>0</v>
      </c>
      <c r="C8542" s="16" t="s">
        <v>17609</v>
      </c>
      <c r="D8542" s="16"/>
      <c r="E8542">
        <v>6</v>
      </c>
      <c r="F8542" t="e">
        <f>--Outras</f>
        <v>#NAME?</v>
      </c>
      <c r="G8542">
        <v>1</v>
      </c>
      <c r="H8542">
        <v>1</v>
      </c>
      <c r="I8542">
        <f>1</f>
        <v>1</v>
      </c>
    </row>
    <row r="8543" spans="2:9" x14ac:dyDescent="0.25">
      <c r="B8543">
        <v>0</v>
      </c>
      <c r="C8543" s="16" t="s">
        <v>17610</v>
      </c>
      <c r="D8543" s="16"/>
      <c r="E8543">
        <v>6</v>
      </c>
      <c r="F8543" t="s">
        <v>8415</v>
      </c>
      <c r="G8543">
        <v>1</v>
      </c>
      <c r="H8543">
        <v>1</v>
      </c>
      <c r="I8543">
        <f>1</f>
        <v>1</v>
      </c>
    </row>
    <row r="8544" spans="2:9" x14ac:dyDescent="0.25">
      <c r="B8544">
        <v>0</v>
      </c>
      <c r="C8544" s="16" t="s">
        <v>17611</v>
      </c>
      <c r="D8544" s="16"/>
      <c r="E8544">
        <v>6</v>
      </c>
      <c r="F8544" t="s">
        <v>4690</v>
      </c>
      <c r="G8544">
        <v>1</v>
      </c>
      <c r="H8544">
        <v>1</v>
      </c>
      <c r="I8544">
        <f>1</f>
        <v>1</v>
      </c>
    </row>
    <row r="8545" spans="2:9" x14ac:dyDescent="0.25">
      <c r="B8545">
        <v>0</v>
      </c>
      <c r="C8545" s="16" t="s">
        <v>17612</v>
      </c>
      <c r="D8545" s="16"/>
      <c r="E8545">
        <v>6</v>
      </c>
      <c r="F8545" t="s">
        <v>8415</v>
      </c>
      <c r="G8545">
        <v>1</v>
      </c>
      <c r="H8545">
        <v>1</v>
      </c>
      <c r="I8545">
        <f>1</f>
        <v>1</v>
      </c>
    </row>
    <row r="8546" spans="2:9" x14ac:dyDescent="0.25">
      <c r="B8546">
        <v>0</v>
      </c>
      <c r="C8546" s="16" t="s">
        <v>17613</v>
      </c>
      <c r="D8546" s="16"/>
      <c r="E8546">
        <v>6</v>
      </c>
      <c r="F8546" t="s">
        <v>4680</v>
      </c>
      <c r="G8546">
        <v>1</v>
      </c>
      <c r="H8546">
        <v>1</v>
      </c>
      <c r="I8546">
        <f>1</f>
        <v>1</v>
      </c>
    </row>
    <row r="8547" spans="2:9" x14ac:dyDescent="0.25">
      <c r="B8547">
        <v>0</v>
      </c>
      <c r="C8547" s="16" t="s">
        <v>17614</v>
      </c>
      <c r="D8547" s="16"/>
      <c r="E8547">
        <v>6</v>
      </c>
      <c r="F8547" t="s">
        <v>8416</v>
      </c>
      <c r="G8547">
        <v>1</v>
      </c>
      <c r="H8547">
        <v>1</v>
      </c>
      <c r="I8547">
        <f>1</f>
        <v>1</v>
      </c>
    </row>
    <row r="8548" spans="2:9" x14ac:dyDescent="0.25">
      <c r="B8548">
        <v>0</v>
      </c>
      <c r="C8548" s="16" t="s">
        <v>17615</v>
      </c>
      <c r="D8548" s="16"/>
      <c r="E8548">
        <v>6</v>
      </c>
      <c r="F8548" t="s">
        <v>8417</v>
      </c>
      <c r="G8548">
        <v>1</v>
      </c>
      <c r="H8548">
        <v>1</v>
      </c>
      <c r="I8548">
        <f>1</f>
        <v>1</v>
      </c>
    </row>
    <row r="8549" spans="2:9" x14ac:dyDescent="0.25">
      <c r="B8549">
        <v>0</v>
      </c>
      <c r="C8549" s="16" t="s">
        <v>17616</v>
      </c>
      <c r="D8549" s="16"/>
      <c r="E8549">
        <v>6</v>
      </c>
      <c r="F8549" t="s">
        <v>4690</v>
      </c>
      <c r="G8549">
        <v>1</v>
      </c>
      <c r="H8549">
        <v>1</v>
      </c>
      <c r="I8549">
        <f>1</f>
        <v>1</v>
      </c>
    </row>
    <row r="8550" spans="2:9" x14ac:dyDescent="0.25">
      <c r="B8550">
        <v>0</v>
      </c>
      <c r="C8550" s="16" t="s">
        <v>17617</v>
      </c>
      <c r="D8550" s="16"/>
      <c r="E8550">
        <v>6</v>
      </c>
      <c r="F8550" t="s">
        <v>8418</v>
      </c>
      <c r="G8550">
        <v>1</v>
      </c>
      <c r="H8550">
        <v>1</v>
      </c>
      <c r="I8550">
        <f>1</f>
        <v>1</v>
      </c>
    </row>
    <row r="8551" spans="2:9" x14ac:dyDescent="0.25">
      <c r="B8551">
        <v>0</v>
      </c>
      <c r="C8551" s="16" t="s">
        <v>17618</v>
      </c>
      <c r="D8551" s="16"/>
      <c r="E8551">
        <v>6</v>
      </c>
      <c r="F8551" t="s">
        <v>4680</v>
      </c>
      <c r="G8551">
        <v>1</v>
      </c>
      <c r="H8551">
        <v>1</v>
      </c>
      <c r="I8551">
        <f>1</f>
        <v>1</v>
      </c>
    </row>
    <row r="8552" spans="2:9" x14ac:dyDescent="0.25">
      <c r="B8552">
        <v>0</v>
      </c>
      <c r="C8552" s="16" t="s">
        <v>17619</v>
      </c>
      <c r="D8552" s="16"/>
      <c r="E8552">
        <v>6</v>
      </c>
      <c r="F8552" t="s">
        <v>8400</v>
      </c>
      <c r="G8552">
        <v>1</v>
      </c>
      <c r="H8552">
        <v>1</v>
      </c>
      <c r="I8552">
        <f>1</f>
        <v>1</v>
      </c>
    </row>
    <row r="8553" spans="2:9" x14ac:dyDescent="0.25">
      <c r="B8553">
        <v>0</v>
      </c>
      <c r="C8553" s="16" t="s">
        <v>17620</v>
      </c>
      <c r="D8553" s="16"/>
      <c r="E8553">
        <v>6</v>
      </c>
      <c r="F8553" t="s">
        <v>8419</v>
      </c>
      <c r="G8553">
        <v>1</v>
      </c>
      <c r="H8553">
        <v>1</v>
      </c>
      <c r="I8553">
        <f>1</f>
        <v>1</v>
      </c>
    </row>
    <row r="8554" spans="2:9" x14ac:dyDescent="0.25">
      <c r="B8554">
        <v>0</v>
      </c>
      <c r="C8554" s="16" t="s">
        <v>17621</v>
      </c>
      <c r="D8554" s="16"/>
      <c r="E8554">
        <v>6</v>
      </c>
      <c r="F8554" t="s">
        <v>4690</v>
      </c>
      <c r="G8554">
        <v>1</v>
      </c>
      <c r="H8554">
        <v>1</v>
      </c>
      <c r="I8554">
        <f>1</f>
        <v>1</v>
      </c>
    </row>
    <row r="8555" spans="2:9" x14ac:dyDescent="0.25">
      <c r="B8555">
        <v>0</v>
      </c>
      <c r="C8555" s="16" t="s">
        <v>17622</v>
      </c>
      <c r="D8555" s="16"/>
      <c r="E8555">
        <v>6</v>
      </c>
      <c r="F8555" t="e">
        <f>-máquinas para trabalhar arames e Fios De metal</f>
        <v>#NAME?</v>
      </c>
      <c r="G8555">
        <v>1</v>
      </c>
      <c r="H8555">
        <v>1</v>
      </c>
      <c r="I8555">
        <f>1</f>
        <v>1</v>
      </c>
    </row>
    <row r="8556" spans="2:9" x14ac:dyDescent="0.25">
      <c r="B8556">
        <v>0</v>
      </c>
      <c r="C8556" s="16" t="s">
        <v>17623</v>
      </c>
      <c r="D8556" s="16"/>
      <c r="E8556">
        <v>6</v>
      </c>
      <c r="F8556" t="s">
        <v>8400</v>
      </c>
      <c r="G8556">
        <v>1</v>
      </c>
      <c r="H8556">
        <v>1</v>
      </c>
      <c r="I8556">
        <f>1</f>
        <v>1</v>
      </c>
    </row>
    <row r="8557" spans="2:9" x14ac:dyDescent="0.25">
      <c r="B8557">
        <v>0</v>
      </c>
      <c r="C8557" s="16" t="s">
        <v>17624</v>
      </c>
      <c r="D8557" s="16"/>
      <c r="E8557">
        <v>6</v>
      </c>
      <c r="F8557" t="s">
        <v>4690</v>
      </c>
      <c r="G8557">
        <v>1</v>
      </c>
      <c r="H8557">
        <v>1</v>
      </c>
      <c r="I8557">
        <f>1</f>
        <v>1</v>
      </c>
    </row>
    <row r="8558" spans="2:9" x14ac:dyDescent="0.25">
      <c r="B8558">
        <v>0</v>
      </c>
      <c r="C8558" s="16" t="s">
        <v>17625</v>
      </c>
      <c r="D8558" s="16"/>
      <c r="E8558">
        <v>6</v>
      </c>
      <c r="F8558" t="e">
        <f>-máquinas para serrar</f>
        <v>#NAME?</v>
      </c>
      <c r="G8558">
        <v>1</v>
      </c>
      <c r="H8558">
        <v>1</v>
      </c>
      <c r="I8558">
        <f>1</f>
        <v>1</v>
      </c>
    </row>
    <row r="8559" spans="2:9" x14ac:dyDescent="0.25">
      <c r="B8559">
        <v>0</v>
      </c>
      <c r="C8559" s="16" t="s">
        <v>17626</v>
      </c>
      <c r="D8559" s="16"/>
      <c r="E8559">
        <v>6</v>
      </c>
      <c r="F8559" t="s">
        <v>8420</v>
      </c>
      <c r="G8559">
        <v>1</v>
      </c>
      <c r="H8559">
        <v>1</v>
      </c>
      <c r="I8559">
        <f>1</f>
        <v>1</v>
      </c>
    </row>
    <row r="8560" spans="2:9" x14ac:dyDescent="0.25">
      <c r="B8560">
        <v>0</v>
      </c>
      <c r="C8560" s="16" t="s">
        <v>17627</v>
      </c>
      <c r="D8560" s="16"/>
      <c r="E8560">
        <v>6</v>
      </c>
      <c r="F8560" t="s">
        <v>8421</v>
      </c>
      <c r="G8560">
        <v>1</v>
      </c>
      <c r="H8560">
        <v>1</v>
      </c>
      <c r="I8560">
        <f>1</f>
        <v>1</v>
      </c>
    </row>
    <row r="8561" spans="2:9" x14ac:dyDescent="0.25">
      <c r="B8561">
        <v>0</v>
      </c>
      <c r="C8561" s="16" t="s">
        <v>17628</v>
      </c>
      <c r="D8561" s="16"/>
      <c r="E8561">
        <v>6</v>
      </c>
      <c r="F8561" t="s">
        <v>4690</v>
      </c>
      <c r="G8561">
        <v>1</v>
      </c>
      <c r="H8561">
        <v>1</v>
      </c>
      <c r="I8561">
        <f>1</f>
        <v>1</v>
      </c>
    </row>
    <row r="8562" spans="2:9" x14ac:dyDescent="0.25">
      <c r="B8562">
        <v>0</v>
      </c>
      <c r="C8562" s="16" t="s">
        <v>17629</v>
      </c>
      <c r="D8562" s="16"/>
      <c r="E8562">
        <v>6</v>
      </c>
      <c r="F8562" t="s">
        <v>4690</v>
      </c>
      <c r="G8562">
        <v>1</v>
      </c>
      <c r="H8562">
        <v>1</v>
      </c>
      <c r="I8562">
        <f>1</f>
        <v>1</v>
      </c>
    </row>
    <row r="8563" spans="2:9" x14ac:dyDescent="0.25">
      <c r="B8563">
        <v>0</v>
      </c>
      <c r="C8563" s="16" t="s">
        <v>17630</v>
      </c>
      <c r="D8563" s="16"/>
      <c r="E8563">
        <v>6</v>
      </c>
      <c r="F8563" t="s">
        <v>8422</v>
      </c>
      <c r="G8563">
        <v>1</v>
      </c>
      <c r="H8563">
        <v>1</v>
      </c>
      <c r="I8563">
        <f>1</f>
        <v>1</v>
      </c>
    </row>
    <row r="8564" spans="2:9" x14ac:dyDescent="0.25">
      <c r="B8564">
        <v>0</v>
      </c>
      <c r="C8564" s="16" t="s">
        <v>17631</v>
      </c>
      <c r="D8564" s="16"/>
      <c r="E8564">
        <v>6</v>
      </c>
      <c r="F8564" t="s">
        <v>4690</v>
      </c>
      <c r="G8564">
        <v>1</v>
      </c>
      <c r="H8564">
        <v>1</v>
      </c>
      <c r="I8564">
        <f>1</f>
        <v>1</v>
      </c>
    </row>
    <row r="8565" spans="2:9" x14ac:dyDescent="0.25">
      <c r="B8565">
        <v>0</v>
      </c>
      <c r="C8565" s="16" t="s">
        <v>17632</v>
      </c>
      <c r="D8565" s="16"/>
      <c r="E8565">
        <v>6</v>
      </c>
      <c r="F8565" t="s">
        <v>4690</v>
      </c>
      <c r="G8565">
        <v>1</v>
      </c>
      <c r="H8565">
        <v>1</v>
      </c>
      <c r="I8565">
        <f>1</f>
        <v>1</v>
      </c>
    </row>
    <row r="8566" spans="2:9" x14ac:dyDescent="0.25">
      <c r="B8566">
        <v>0</v>
      </c>
      <c r="C8566" s="16" t="s">
        <v>17633</v>
      </c>
      <c r="D8566" s="16"/>
      <c r="E8566">
        <v>6</v>
      </c>
      <c r="F8566" t="e">
        <f>-máquinas-ferramentas capazes De efetuar diferentes tipos De operações Sem troca De ferramentas</f>
        <v>#NAME?</v>
      </c>
      <c r="G8566">
        <v>1</v>
      </c>
      <c r="H8566">
        <v>1</v>
      </c>
      <c r="I8566">
        <f>1</f>
        <v>1</v>
      </c>
    </row>
    <row r="8567" spans="2:9" x14ac:dyDescent="0.25">
      <c r="B8567">
        <v>0</v>
      </c>
      <c r="C8567" s="16" t="s">
        <v>17634</v>
      </c>
      <c r="D8567" s="16"/>
      <c r="E8567">
        <v>6</v>
      </c>
      <c r="F8567" t="s">
        <v>8423</v>
      </c>
      <c r="G8567">
        <v>1</v>
      </c>
      <c r="H8567">
        <v>1</v>
      </c>
      <c r="I8567">
        <f>1</f>
        <v>1</v>
      </c>
    </row>
    <row r="8568" spans="2:9" x14ac:dyDescent="0.25">
      <c r="B8568">
        <v>0</v>
      </c>
      <c r="C8568" s="16" t="s">
        <v>17635</v>
      </c>
      <c r="D8568" s="16"/>
      <c r="E8568">
        <v>6</v>
      </c>
      <c r="F8568" t="s">
        <v>8412</v>
      </c>
      <c r="G8568">
        <v>1</v>
      </c>
      <c r="H8568">
        <v>1</v>
      </c>
      <c r="I8568">
        <f>1</f>
        <v>1</v>
      </c>
    </row>
    <row r="8569" spans="2:9" x14ac:dyDescent="0.25">
      <c r="B8569">
        <v>0</v>
      </c>
      <c r="C8569" s="16" t="s">
        <v>17636</v>
      </c>
      <c r="D8569" s="16"/>
      <c r="E8569">
        <v>6</v>
      </c>
      <c r="F8569" t="s">
        <v>4690</v>
      </c>
      <c r="G8569">
        <v>1</v>
      </c>
      <c r="H8569">
        <v>1</v>
      </c>
      <c r="I8569">
        <f>1</f>
        <v>1</v>
      </c>
    </row>
    <row r="8570" spans="2:9" x14ac:dyDescent="0.25">
      <c r="B8570">
        <v>0</v>
      </c>
      <c r="C8570" s="16" t="s">
        <v>17637</v>
      </c>
      <c r="D8570" s="16"/>
      <c r="E8570">
        <v>6</v>
      </c>
      <c r="F8570" t="s">
        <v>8424</v>
      </c>
      <c r="G8570">
        <v>1</v>
      </c>
      <c r="H8570">
        <v>1</v>
      </c>
      <c r="I8570">
        <f>1</f>
        <v>1</v>
      </c>
    </row>
    <row r="8571" spans="2:9" x14ac:dyDescent="0.25">
      <c r="B8571">
        <v>0</v>
      </c>
      <c r="C8571" s="16" t="s">
        <v>17638</v>
      </c>
      <c r="D8571" s="16"/>
      <c r="E8571">
        <v>6</v>
      </c>
      <c r="F8571" t="s">
        <v>4690</v>
      </c>
      <c r="G8571">
        <v>1</v>
      </c>
      <c r="H8571">
        <v>1</v>
      </c>
      <c r="I8571">
        <f>1</f>
        <v>1</v>
      </c>
    </row>
    <row r="8572" spans="2:9" x14ac:dyDescent="0.25">
      <c r="B8572">
        <v>0</v>
      </c>
      <c r="C8572" s="16" t="s">
        <v>17639</v>
      </c>
      <c r="D8572" s="16"/>
      <c r="E8572">
        <v>6</v>
      </c>
      <c r="F8572" t="s">
        <v>4690</v>
      </c>
      <c r="G8572">
        <v>1</v>
      </c>
      <c r="H8572">
        <v>1</v>
      </c>
      <c r="I8572">
        <f>1</f>
        <v>1</v>
      </c>
    </row>
    <row r="8573" spans="2:9" x14ac:dyDescent="0.25">
      <c r="B8573">
        <v>0</v>
      </c>
      <c r="C8573" s="16" t="s">
        <v>17640</v>
      </c>
      <c r="D8573" s="16"/>
      <c r="E8573">
        <v>6</v>
      </c>
      <c r="F8573" t="s">
        <v>8425</v>
      </c>
      <c r="G8573">
        <v>1</v>
      </c>
      <c r="H8573">
        <v>1</v>
      </c>
      <c r="I8573">
        <f>1</f>
        <v>1</v>
      </c>
    </row>
    <row r="8574" spans="2:9" x14ac:dyDescent="0.25">
      <c r="B8574">
        <v>0</v>
      </c>
      <c r="C8574" s="16" t="s">
        <v>17641</v>
      </c>
      <c r="D8574" s="16"/>
      <c r="E8574">
        <v>6</v>
      </c>
      <c r="F8574" t="s">
        <v>4690</v>
      </c>
      <c r="G8574">
        <v>1</v>
      </c>
      <c r="H8574">
        <v>1</v>
      </c>
      <c r="I8574">
        <f>1</f>
        <v>1</v>
      </c>
    </row>
    <row r="8575" spans="2:9" x14ac:dyDescent="0.25">
      <c r="B8575">
        <v>0</v>
      </c>
      <c r="C8575" s="16" t="s">
        <v>17642</v>
      </c>
      <c r="D8575" s="16"/>
      <c r="E8575">
        <v>6</v>
      </c>
      <c r="F8575" t="e">
        <f>--máquinas para arquear ou reunir</f>
        <v>#NAME?</v>
      </c>
      <c r="G8575">
        <v>1</v>
      </c>
      <c r="H8575">
        <v>1</v>
      </c>
      <c r="I8575">
        <f>1</f>
        <v>1</v>
      </c>
    </row>
    <row r="8576" spans="2:9" x14ac:dyDescent="0.25">
      <c r="B8576">
        <v>0</v>
      </c>
      <c r="C8576" s="16" t="s">
        <v>17643</v>
      </c>
      <c r="D8576" s="16"/>
      <c r="E8576">
        <v>6</v>
      </c>
      <c r="F8576" t="s">
        <v>8426</v>
      </c>
      <c r="G8576">
        <v>1</v>
      </c>
      <c r="H8576">
        <v>1</v>
      </c>
      <c r="I8576">
        <f>1</f>
        <v>1</v>
      </c>
    </row>
    <row r="8577" spans="2:9" x14ac:dyDescent="0.25">
      <c r="B8577">
        <v>0</v>
      </c>
      <c r="C8577" s="16" t="s">
        <v>17644</v>
      </c>
      <c r="D8577" s="16"/>
      <c r="E8577">
        <v>6</v>
      </c>
      <c r="F8577" t="s">
        <v>8409</v>
      </c>
      <c r="G8577">
        <v>1</v>
      </c>
      <c r="H8577">
        <v>1</v>
      </c>
      <c r="I8577">
        <f>1</f>
        <v>1</v>
      </c>
    </row>
    <row r="8578" spans="2:9" x14ac:dyDescent="0.25">
      <c r="B8578">
        <v>0</v>
      </c>
      <c r="C8578" s="16" t="s">
        <v>17645</v>
      </c>
      <c r="D8578" s="16"/>
      <c r="E8578">
        <v>6</v>
      </c>
      <c r="F8578" t="s">
        <v>8426</v>
      </c>
      <c r="G8578">
        <v>1</v>
      </c>
      <c r="H8578">
        <v>1</v>
      </c>
      <c r="I8578">
        <f>1</f>
        <v>1</v>
      </c>
    </row>
    <row r="8579" spans="2:9" x14ac:dyDescent="0.25">
      <c r="B8579">
        <v>0</v>
      </c>
      <c r="C8579" s="16" t="s">
        <v>17646</v>
      </c>
      <c r="D8579" s="16"/>
      <c r="E8579">
        <v>6</v>
      </c>
      <c r="F8579" t="s">
        <v>8409</v>
      </c>
      <c r="G8579">
        <v>1</v>
      </c>
      <c r="H8579">
        <v>1</v>
      </c>
      <c r="I8579">
        <f>1</f>
        <v>1</v>
      </c>
    </row>
    <row r="8580" spans="2:9" x14ac:dyDescent="0.25">
      <c r="B8580">
        <v>0</v>
      </c>
      <c r="C8580" s="16" t="s">
        <v>17647</v>
      </c>
      <c r="D8580" s="16"/>
      <c r="E8580">
        <v>6</v>
      </c>
      <c r="F8580" t="s">
        <v>8427</v>
      </c>
      <c r="G8580">
        <v>1</v>
      </c>
      <c r="H8580">
        <v>1</v>
      </c>
      <c r="I8580">
        <f>1</f>
        <v>1</v>
      </c>
    </row>
    <row r="8581" spans="2:9" x14ac:dyDescent="0.25">
      <c r="B8581">
        <v>0</v>
      </c>
      <c r="C8581" s="16" t="s">
        <v>17648</v>
      </c>
      <c r="D8581" s="16"/>
      <c r="E8581">
        <v>6</v>
      </c>
      <c r="F8581" t="e">
        <f>--Outras</f>
        <v>#NAME?</v>
      </c>
      <c r="G8581">
        <v>1</v>
      </c>
      <c r="H8581">
        <v>1</v>
      </c>
      <c r="I8581">
        <f>1</f>
        <v>1</v>
      </c>
    </row>
    <row r="8582" spans="2:9" x14ac:dyDescent="0.25">
      <c r="B8582">
        <v>0</v>
      </c>
      <c r="C8582" s="16" t="s">
        <v>17649</v>
      </c>
      <c r="D8582" s="16"/>
      <c r="E8582">
        <v>6</v>
      </c>
      <c r="F8582" t="e">
        <f>-Porta-ferramentas e Fieiras De abertura automática</f>
        <v>#NAME?</v>
      </c>
      <c r="G8582">
        <v>1</v>
      </c>
      <c r="H8582">
        <v>1</v>
      </c>
      <c r="I8582">
        <f>1</f>
        <v>1</v>
      </c>
    </row>
    <row r="8583" spans="2:9" x14ac:dyDescent="0.25">
      <c r="B8583">
        <v>0</v>
      </c>
      <c r="C8583" s="16" t="s">
        <v>17650</v>
      </c>
      <c r="D8583" s="16"/>
      <c r="E8583">
        <v>6</v>
      </c>
      <c r="F8583" t="s">
        <v>8428</v>
      </c>
      <c r="G8583">
        <v>1</v>
      </c>
      <c r="H8583">
        <v>1</v>
      </c>
      <c r="I8583">
        <f>1</f>
        <v>1</v>
      </c>
    </row>
    <row r="8584" spans="2:9" x14ac:dyDescent="0.25">
      <c r="B8584">
        <v>0</v>
      </c>
      <c r="C8584" s="16" t="s">
        <v>17651</v>
      </c>
      <c r="D8584" s="16"/>
      <c r="E8584">
        <v>6</v>
      </c>
      <c r="F8584" t="s">
        <v>4680</v>
      </c>
      <c r="G8584">
        <v>1</v>
      </c>
      <c r="H8584">
        <v>1</v>
      </c>
      <c r="I8584">
        <f>1</f>
        <v>1</v>
      </c>
    </row>
    <row r="8585" spans="2:9" x14ac:dyDescent="0.25">
      <c r="B8585">
        <v>0</v>
      </c>
      <c r="C8585" s="16" t="s">
        <v>17652</v>
      </c>
      <c r="D8585" s="16"/>
      <c r="E8585">
        <v>6</v>
      </c>
      <c r="F8585" t="s">
        <v>8429</v>
      </c>
      <c r="G8585">
        <v>1</v>
      </c>
      <c r="H8585">
        <v>1</v>
      </c>
      <c r="I8585">
        <f>1</f>
        <v>1</v>
      </c>
    </row>
    <row r="8586" spans="2:9" x14ac:dyDescent="0.25">
      <c r="B8586">
        <v>0</v>
      </c>
      <c r="C8586" s="16" t="s">
        <v>17653</v>
      </c>
      <c r="D8586" s="16"/>
      <c r="E8586">
        <v>6</v>
      </c>
      <c r="F8586" t="s">
        <v>8430</v>
      </c>
      <c r="G8586">
        <v>1</v>
      </c>
      <c r="H8586">
        <v>1</v>
      </c>
      <c r="I8586">
        <f>1</f>
        <v>1</v>
      </c>
    </row>
    <row r="8587" spans="2:9" x14ac:dyDescent="0.25">
      <c r="B8587">
        <v>0</v>
      </c>
      <c r="C8587" s="16" t="s">
        <v>17654</v>
      </c>
      <c r="D8587" s="16"/>
      <c r="E8587">
        <v>6</v>
      </c>
      <c r="F8587" t="s">
        <v>8431</v>
      </c>
      <c r="G8587">
        <v>1</v>
      </c>
      <c r="H8587">
        <v>1</v>
      </c>
      <c r="I8587">
        <f>1</f>
        <v>1</v>
      </c>
    </row>
    <row r="8588" spans="2:9" x14ac:dyDescent="0.25">
      <c r="B8588">
        <v>0</v>
      </c>
      <c r="C8588" s="16" t="s">
        <v>17655</v>
      </c>
      <c r="D8588" s="16"/>
      <c r="E8588">
        <v>6</v>
      </c>
      <c r="F8588" t="s">
        <v>8432</v>
      </c>
      <c r="G8588">
        <v>1</v>
      </c>
      <c r="H8588">
        <v>1</v>
      </c>
      <c r="I8588">
        <f>1</f>
        <v>1</v>
      </c>
    </row>
    <row r="8589" spans="2:9" x14ac:dyDescent="0.25">
      <c r="B8589">
        <v>0</v>
      </c>
      <c r="C8589" s="16" t="s">
        <v>17656</v>
      </c>
      <c r="D8589" s="16"/>
      <c r="E8589">
        <v>6</v>
      </c>
      <c r="F8589" t="s">
        <v>4690</v>
      </c>
      <c r="G8589">
        <v>1</v>
      </c>
      <c r="H8589">
        <v>1</v>
      </c>
      <c r="I8589">
        <f>1</f>
        <v>1</v>
      </c>
    </row>
    <row r="8590" spans="2:9" x14ac:dyDescent="0.25">
      <c r="B8590">
        <v>0</v>
      </c>
      <c r="C8590" s="16" t="s">
        <v>17657</v>
      </c>
      <c r="D8590" s="16"/>
      <c r="E8590">
        <v>6</v>
      </c>
      <c r="F8590" t="s">
        <v>8433</v>
      </c>
      <c r="G8590">
        <v>1</v>
      </c>
      <c r="H8590">
        <v>1</v>
      </c>
      <c r="I8590">
        <f>1</f>
        <v>1</v>
      </c>
    </row>
    <row r="8591" spans="2:9" x14ac:dyDescent="0.25">
      <c r="B8591">
        <v>0</v>
      </c>
      <c r="C8591" s="16" t="s">
        <v>17658</v>
      </c>
      <c r="D8591" s="16"/>
      <c r="E8591">
        <v>6</v>
      </c>
      <c r="F8591" t="s">
        <v>8434</v>
      </c>
      <c r="G8591">
        <v>1</v>
      </c>
      <c r="H8591">
        <v>1</v>
      </c>
      <c r="I8591">
        <f>1</f>
        <v>1</v>
      </c>
    </row>
    <row r="8592" spans="2:9" x14ac:dyDescent="0.25">
      <c r="B8592">
        <v>0</v>
      </c>
      <c r="C8592" s="16" t="s">
        <v>17659</v>
      </c>
      <c r="D8592" s="16"/>
      <c r="E8592">
        <v>6</v>
      </c>
      <c r="F8592" t="s">
        <v>8435</v>
      </c>
      <c r="G8592">
        <v>1</v>
      </c>
      <c r="H8592">
        <v>1</v>
      </c>
      <c r="I8592">
        <f>1</f>
        <v>1</v>
      </c>
    </row>
    <row r="8593" spans="2:9" x14ac:dyDescent="0.25">
      <c r="B8593">
        <v>0</v>
      </c>
      <c r="C8593" s="16" t="s">
        <v>17660</v>
      </c>
      <c r="D8593" s="16"/>
      <c r="E8593">
        <v>6</v>
      </c>
      <c r="F8593" t="s">
        <v>8436</v>
      </c>
      <c r="G8593">
        <v>1</v>
      </c>
      <c r="H8593">
        <v>1</v>
      </c>
      <c r="I8593">
        <f>1</f>
        <v>1</v>
      </c>
    </row>
    <row r="8594" spans="2:9" x14ac:dyDescent="0.25">
      <c r="B8594">
        <v>0</v>
      </c>
      <c r="C8594" s="16" t="s">
        <v>17661</v>
      </c>
      <c r="D8594" s="16"/>
      <c r="E8594">
        <v>6</v>
      </c>
      <c r="F8594" t="s">
        <v>8437</v>
      </c>
      <c r="G8594">
        <v>1</v>
      </c>
      <c r="H8594">
        <v>1</v>
      </c>
      <c r="I8594">
        <f>1</f>
        <v>1</v>
      </c>
    </row>
    <row r="8595" spans="2:9" x14ac:dyDescent="0.25">
      <c r="B8595">
        <v>0</v>
      </c>
      <c r="C8595" s="16" t="s">
        <v>17662</v>
      </c>
      <c r="D8595" s="16"/>
      <c r="E8595">
        <v>6</v>
      </c>
      <c r="F8595" t="s">
        <v>8438</v>
      </c>
      <c r="G8595">
        <v>1</v>
      </c>
      <c r="H8595">
        <v>1</v>
      </c>
      <c r="I8595">
        <f>1</f>
        <v>1</v>
      </c>
    </row>
    <row r="8596" spans="2:9" x14ac:dyDescent="0.25">
      <c r="B8596">
        <v>0</v>
      </c>
      <c r="C8596" s="16" t="s">
        <v>17663</v>
      </c>
      <c r="D8596" s="16"/>
      <c r="E8596">
        <v>6</v>
      </c>
      <c r="F8596" t="s">
        <v>8439</v>
      </c>
      <c r="G8596">
        <v>1</v>
      </c>
      <c r="H8596">
        <v>1</v>
      </c>
      <c r="I8596">
        <f>1</f>
        <v>1</v>
      </c>
    </row>
    <row r="8597" spans="2:9" x14ac:dyDescent="0.25">
      <c r="B8597">
        <v>0</v>
      </c>
      <c r="C8597" s="16" t="s">
        <v>17664</v>
      </c>
      <c r="D8597" s="16"/>
      <c r="E8597">
        <v>6</v>
      </c>
      <c r="F8597" t="s">
        <v>8440</v>
      </c>
      <c r="G8597">
        <v>1</v>
      </c>
      <c r="H8597">
        <v>1</v>
      </c>
      <c r="I8597">
        <f>1</f>
        <v>1</v>
      </c>
    </row>
    <row r="8598" spans="2:9" x14ac:dyDescent="0.25">
      <c r="B8598">
        <v>0</v>
      </c>
      <c r="C8598" s="16" t="s">
        <v>17665</v>
      </c>
      <c r="D8598" s="16"/>
      <c r="E8598">
        <v>6</v>
      </c>
      <c r="F8598" t="s">
        <v>4690</v>
      </c>
      <c r="G8598">
        <v>1</v>
      </c>
      <c r="H8598">
        <v>1</v>
      </c>
      <c r="I8598">
        <f>1</f>
        <v>1</v>
      </c>
    </row>
    <row r="8599" spans="2:9" x14ac:dyDescent="0.25">
      <c r="B8599">
        <v>0</v>
      </c>
      <c r="C8599" s="16" t="s">
        <v>17666</v>
      </c>
      <c r="D8599" s="16"/>
      <c r="E8599">
        <v>6</v>
      </c>
      <c r="F8599" t="s">
        <v>8441</v>
      </c>
      <c r="G8599">
        <v>1</v>
      </c>
      <c r="H8599">
        <v>1</v>
      </c>
      <c r="I8599">
        <f>1</f>
        <v>1</v>
      </c>
    </row>
    <row r="8600" spans="2:9" x14ac:dyDescent="0.25">
      <c r="B8600">
        <v>0</v>
      </c>
      <c r="C8600" s="16" t="s">
        <v>17667</v>
      </c>
      <c r="D8600" s="16"/>
      <c r="E8600">
        <v>6</v>
      </c>
      <c r="F8600" t="s">
        <v>4690</v>
      </c>
      <c r="G8600">
        <v>1</v>
      </c>
      <c r="H8600">
        <v>1</v>
      </c>
      <c r="I8600">
        <f>1</f>
        <v>1</v>
      </c>
    </row>
    <row r="8601" spans="2:9" x14ac:dyDescent="0.25">
      <c r="B8601">
        <v>0</v>
      </c>
      <c r="C8601" s="16" t="s">
        <v>17668</v>
      </c>
      <c r="D8601" s="16"/>
      <c r="E8601">
        <v>6</v>
      </c>
      <c r="F8601" t="e">
        <f>--Outras</f>
        <v>#NAME?</v>
      </c>
      <c r="G8601">
        <v>1</v>
      </c>
      <c r="H8601">
        <v>1</v>
      </c>
      <c r="I8601">
        <f>1</f>
        <v>1</v>
      </c>
    </row>
    <row r="8602" spans="2:9" x14ac:dyDescent="0.25">
      <c r="B8602">
        <v>0</v>
      </c>
      <c r="C8602" s="16" t="s">
        <v>17669</v>
      </c>
      <c r="D8602" s="16"/>
      <c r="E8602">
        <v>6</v>
      </c>
      <c r="F8602" t="s">
        <v>8442</v>
      </c>
      <c r="G8602">
        <v>1</v>
      </c>
      <c r="H8602">
        <v>1</v>
      </c>
      <c r="I8602">
        <f>1</f>
        <v>1</v>
      </c>
    </row>
    <row r="8603" spans="2:9" x14ac:dyDescent="0.25">
      <c r="B8603">
        <v>0</v>
      </c>
      <c r="C8603" s="16" t="s">
        <v>17670</v>
      </c>
      <c r="D8603" s="16"/>
      <c r="E8603">
        <v>6</v>
      </c>
      <c r="F8603" t="e">
        <f>--Serras</f>
        <v>#NAME?</v>
      </c>
      <c r="G8603">
        <v>1</v>
      </c>
      <c r="H8603">
        <v>1</v>
      </c>
      <c r="I8603">
        <f>1</f>
        <v>1</v>
      </c>
    </row>
    <row r="8604" spans="2:9" x14ac:dyDescent="0.25">
      <c r="B8604">
        <v>0</v>
      </c>
      <c r="C8604" s="16" t="s">
        <v>17671</v>
      </c>
      <c r="D8604" s="16"/>
      <c r="E8604">
        <v>6</v>
      </c>
      <c r="F8604" t="s">
        <v>8443</v>
      </c>
      <c r="G8604">
        <v>1</v>
      </c>
      <c r="H8604">
        <v>1</v>
      </c>
      <c r="I8604">
        <f>1</f>
        <v>1</v>
      </c>
    </row>
    <row r="8605" spans="2:9" x14ac:dyDescent="0.25">
      <c r="B8605">
        <v>0</v>
      </c>
      <c r="C8605" s="16" t="s">
        <v>17672</v>
      </c>
      <c r="D8605" s="16"/>
      <c r="E8605">
        <v>6</v>
      </c>
      <c r="F8605" t="s">
        <v>8444</v>
      </c>
      <c r="G8605">
        <v>1</v>
      </c>
      <c r="H8605">
        <v>1</v>
      </c>
      <c r="I8605">
        <f>1</f>
        <v>1</v>
      </c>
    </row>
    <row r="8606" spans="2:9" x14ac:dyDescent="0.25">
      <c r="B8606">
        <v>0</v>
      </c>
      <c r="C8606" s="16" t="s">
        <v>17673</v>
      </c>
      <c r="D8606" s="16"/>
      <c r="E8606">
        <v>6</v>
      </c>
      <c r="F8606" t="s">
        <v>8445</v>
      </c>
      <c r="G8606">
        <v>1</v>
      </c>
      <c r="H8606">
        <v>1</v>
      </c>
      <c r="I8606">
        <f>1</f>
        <v>1</v>
      </c>
    </row>
    <row r="8607" spans="2:9" x14ac:dyDescent="0.25">
      <c r="B8607">
        <v>0</v>
      </c>
      <c r="C8607" s="16" t="s">
        <v>17674</v>
      </c>
      <c r="D8607" s="16"/>
      <c r="E8607">
        <v>6</v>
      </c>
      <c r="F8607" t="s">
        <v>8446</v>
      </c>
      <c r="G8607">
        <v>1</v>
      </c>
      <c r="H8607">
        <v>1</v>
      </c>
      <c r="I8607">
        <f>1</f>
        <v>1</v>
      </c>
    </row>
    <row r="8608" spans="2:9" x14ac:dyDescent="0.25">
      <c r="B8608">
        <v>0</v>
      </c>
      <c r="C8608" s="16" t="s">
        <v>17675</v>
      </c>
      <c r="D8608" s="16"/>
      <c r="E8608">
        <v>6</v>
      </c>
      <c r="F8608" t="s">
        <v>4690</v>
      </c>
      <c r="G8608">
        <v>1</v>
      </c>
      <c r="H8608">
        <v>1</v>
      </c>
      <c r="I8608">
        <f>1</f>
        <v>1</v>
      </c>
    </row>
    <row r="8609" spans="2:9" x14ac:dyDescent="0.25">
      <c r="B8609">
        <v>0</v>
      </c>
      <c r="C8609" s="16" t="s">
        <v>17676</v>
      </c>
      <c r="D8609" s="16"/>
      <c r="E8609">
        <v>6</v>
      </c>
      <c r="F8609" t="e">
        <f>--Serras De corrente</f>
        <v>#NAME?</v>
      </c>
      <c r="G8609">
        <v>1</v>
      </c>
      <c r="H8609">
        <v>1</v>
      </c>
      <c r="I8609">
        <f>1</f>
        <v>1</v>
      </c>
    </row>
    <row r="8610" spans="2:9" x14ac:dyDescent="0.25">
      <c r="B8610">
        <v>0</v>
      </c>
      <c r="C8610" s="16" t="s">
        <v>17677</v>
      </c>
      <c r="D8610" s="16"/>
      <c r="E8610">
        <v>6</v>
      </c>
      <c r="F8610" t="e">
        <f>--Outras</f>
        <v>#NAME?</v>
      </c>
      <c r="G8610">
        <v>1</v>
      </c>
      <c r="H8610">
        <v>1</v>
      </c>
      <c r="I8610">
        <f>1</f>
        <v>1</v>
      </c>
    </row>
    <row r="8611" spans="2:9" x14ac:dyDescent="0.25">
      <c r="B8611">
        <v>0</v>
      </c>
      <c r="C8611" s="16" t="s">
        <v>17678</v>
      </c>
      <c r="D8611" s="16"/>
      <c r="E8611">
        <v>6</v>
      </c>
      <c r="F8611" t="e">
        <f>--De Serras De corrente</f>
        <v>#NAME?</v>
      </c>
      <c r="G8611">
        <v>1</v>
      </c>
      <c r="H8611">
        <v>1</v>
      </c>
      <c r="I8611">
        <f>1</f>
        <v>1</v>
      </c>
    </row>
    <row r="8612" spans="2:9" x14ac:dyDescent="0.25">
      <c r="B8612">
        <v>0</v>
      </c>
      <c r="C8612" s="16" t="s">
        <v>17679</v>
      </c>
      <c r="D8612" s="16"/>
      <c r="E8612">
        <v>6</v>
      </c>
      <c r="F8612" t="e">
        <f>--De ferramentas pneumáticas</f>
        <v>#NAME?</v>
      </c>
      <c r="G8612">
        <v>1</v>
      </c>
      <c r="H8612">
        <v>1</v>
      </c>
      <c r="I8612">
        <f>1</f>
        <v>1</v>
      </c>
    </row>
    <row r="8613" spans="2:9" x14ac:dyDescent="0.25">
      <c r="B8613">
        <v>0</v>
      </c>
      <c r="C8613" s="16" t="s">
        <v>17680</v>
      </c>
      <c r="D8613" s="16"/>
      <c r="E8613">
        <v>6</v>
      </c>
      <c r="F8613" t="e">
        <f>--Outras</f>
        <v>#NAME?</v>
      </c>
      <c r="G8613">
        <v>1</v>
      </c>
      <c r="H8613">
        <v>1</v>
      </c>
      <c r="I8613">
        <f>1</f>
        <v>1</v>
      </c>
    </row>
    <row r="8614" spans="2:9" x14ac:dyDescent="0.25">
      <c r="B8614">
        <v>0</v>
      </c>
      <c r="C8614" s="16" t="s">
        <v>17681</v>
      </c>
      <c r="D8614" s="16"/>
      <c r="E8614">
        <v>6</v>
      </c>
      <c r="F8614" t="e">
        <f>-Maçaricos De uso manual</f>
        <v>#NAME?</v>
      </c>
      <c r="G8614">
        <v>1</v>
      </c>
      <c r="H8614">
        <v>1</v>
      </c>
      <c r="I8614">
        <f>1</f>
        <v>1</v>
      </c>
    </row>
    <row r="8615" spans="2:9" x14ac:dyDescent="0.25">
      <c r="B8615">
        <v>0</v>
      </c>
      <c r="C8615" s="16" t="s">
        <v>17682</v>
      </c>
      <c r="D8615" s="16"/>
      <c r="E8615">
        <v>6</v>
      </c>
      <c r="F8615" t="e">
        <f>-Outras máquinas e aparelhos a Gás</f>
        <v>#NAME?</v>
      </c>
      <c r="G8615">
        <v>1</v>
      </c>
      <c r="H8615">
        <v>1</v>
      </c>
      <c r="I8615">
        <f>1</f>
        <v>1</v>
      </c>
    </row>
    <row r="8616" spans="2:9" x14ac:dyDescent="0.25">
      <c r="B8616">
        <v>0</v>
      </c>
      <c r="C8616" s="16" t="s">
        <v>17683</v>
      </c>
      <c r="D8616" s="16"/>
      <c r="E8616">
        <v>6</v>
      </c>
      <c r="F8616" t="s">
        <v>8447</v>
      </c>
      <c r="G8616">
        <v>1</v>
      </c>
      <c r="H8616">
        <v>1</v>
      </c>
      <c r="I8616">
        <f>1</f>
        <v>1</v>
      </c>
    </row>
    <row r="8617" spans="2:9" x14ac:dyDescent="0.25">
      <c r="B8617">
        <v>0</v>
      </c>
      <c r="C8617" s="16" t="s">
        <v>17684</v>
      </c>
      <c r="D8617" s="16"/>
      <c r="E8617">
        <v>6</v>
      </c>
      <c r="F8617" t="s">
        <v>4690</v>
      </c>
      <c r="G8617">
        <v>1</v>
      </c>
      <c r="H8617">
        <v>1</v>
      </c>
      <c r="I8617">
        <f>1</f>
        <v>1</v>
      </c>
    </row>
    <row r="8618" spans="2:9" x14ac:dyDescent="0.25">
      <c r="B8618">
        <v>0</v>
      </c>
      <c r="C8618" s="16" t="s">
        <v>17685</v>
      </c>
      <c r="D8618" s="16"/>
      <c r="E8618">
        <v>6</v>
      </c>
      <c r="F8618" t="s">
        <v>8448</v>
      </c>
      <c r="G8618">
        <v>1</v>
      </c>
      <c r="H8618">
        <v>1</v>
      </c>
      <c r="I8618">
        <f>1</f>
        <v>1</v>
      </c>
    </row>
    <row r="8619" spans="2:9" x14ac:dyDescent="0.25">
      <c r="B8619">
        <v>0</v>
      </c>
      <c r="C8619" s="16" t="s">
        <v>17686</v>
      </c>
      <c r="D8619" s="16"/>
      <c r="E8619">
        <v>6</v>
      </c>
      <c r="F8619" t="s">
        <v>8449</v>
      </c>
      <c r="G8619">
        <v>1</v>
      </c>
      <c r="H8619">
        <v>1</v>
      </c>
      <c r="I8619">
        <f>1</f>
        <v>1</v>
      </c>
    </row>
    <row r="8620" spans="2:9" x14ac:dyDescent="0.25">
      <c r="B8620">
        <v>0</v>
      </c>
      <c r="C8620" s="16" t="s">
        <v>17687</v>
      </c>
      <c r="D8620" s="16"/>
      <c r="E8620">
        <v>6</v>
      </c>
      <c r="F8620" t="s">
        <v>4690</v>
      </c>
      <c r="G8620">
        <v>1</v>
      </c>
      <c r="H8620">
        <v>1</v>
      </c>
      <c r="I8620">
        <f>1</f>
        <v>1</v>
      </c>
    </row>
    <row r="8621" spans="2:9" x14ac:dyDescent="0.25">
      <c r="B8621">
        <v>0</v>
      </c>
      <c r="C8621" s="16" t="s">
        <v>17688</v>
      </c>
      <c r="D8621" s="16"/>
      <c r="E8621">
        <v>6</v>
      </c>
      <c r="F8621" t="s">
        <v>8450</v>
      </c>
      <c r="G8621">
        <v>1</v>
      </c>
      <c r="H8621">
        <v>1</v>
      </c>
      <c r="I8621">
        <f>1</f>
        <v>1</v>
      </c>
    </row>
    <row r="8622" spans="2:9" x14ac:dyDescent="0.25">
      <c r="B8622">
        <v>0</v>
      </c>
      <c r="C8622" s="16" t="s">
        <v>17689</v>
      </c>
      <c r="D8622" s="16"/>
      <c r="E8622">
        <v>6</v>
      </c>
      <c r="F8622" t="s">
        <v>8451</v>
      </c>
      <c r="G8622">
        <v>1</v>
      </c>
      <c r="H8622">
        <v>1</v>
      </c>
      <c r="I8622">
        <f>1</f>
        <v>1</v>
      </c>
    </row>
    <row r="8623" spans="2:9" x14ac:dyDescent="0.25">
      <c r="B8623">
        <v>0</v>
      </c>
      <c r="C8623" s="16" t="s">
        <v>17690</v>
      </c>
      <c r="D8623" s="16"/>
      <c r="E8623">
        <v>6</v>
      </c>
      <c r="F8623" t="s">
        <v>4690</v>
      </c>
      <c r="G8623">
        <v>1</v>
      </c>
      <c r="H8623">
        <v>1</v>
      </c>
      <c r="I8623">
        <f>1</f>
        <v>1</v>
      </c>
    </row>
    <row r="8624" spans="2:9" x14ac:dyDescent="0.25">
      <c r="B8624">
        <v>0</v>
      </c>
      <c r="C8624" s="16" t="s">
        <v>17691</v>
      </c>
      <c r="D8624" s="16"/>
      <c r="E8624">
        <v>6</v>
      </c>
      <c r="F8624" t="s">
        <v>8452</v>
      </c>
      <c r="G8624">
        <v>1</v>
      </c>
      <c r="H8624">
        <v>1</v>
      </c>
      <c r="I8624">
        <f>1</f>
        <v>1</v>
      </c>
    </row>
    <row r="8625" spans="2:9" x14ac:dyDescent="0.25">
      <c r="B8625">
        <v>0</v>
      </c>
      <c r="C8625" s="16" t="s">
        <v>17692</v>
      </c>
      <c r="D8625" s="16"/>
      <c r="E8625">
        <v>6</v>
      </c>
      <c r="F8625" t="s">
        <v>4690</v>
      </c>
      <c r="G8625">
        <v>1</v>
      </c>
      <c r="H8625">
        <v>1</v>
      </c>
      <c r="I8625">
        <f>1</f>
        <v>1</v>
      </c>
    </row>
    <row r="8626" spans="2:9" x14ac:dyDescent="0.25">
      <c r="B8626">
        <v>0</v>
      </c>
      <c r="C8626" s="16" t="s">
        <v>17692</v>
      </c>
      <c r="D8626" s="16" t="s">
        <v>19430</v>
      </c>
      <c r="E8626">
        <v>6</v>
      </c>
      <c r="F8626" t="s">
        <v>8453</v>
      </c>
      <c r="G8626">
        <v>1</v>
      </c>
      <c r="H8626">
        <v>1</v>
      </c>
      <c r="I8626">
        <f>1</f>
        <v>1</v>
      </c>
    </row>
    <row r="8627" spans="2:9" x14ac:dyDescent="0.25">
      <c r="B8627">
        <v>0</v>
      </c>
      <c r="C8627" s="16" t="s">
        <v>17693</v>
      </c>
      <c r="D8627" s="16"/>
      <c r="E8627">
        <v>6</v>
      </c>
      <c r="F8627" t="s">
        <v>8454</v>
      </c>
      <c r="G8627">
        <v>1</v>
      </c>
      <c r="H8627">
        <v>1</v>
      </c>
      <c r="I8627">
        <f>1</f>
        <v>1</v>
      </c>
    </row>
    <row r="8628" spans="2:9" x14ac:dyDescent="0.25">
      <c r="B8628">
        <v>0</v>
      </c>
      <c r="C8628" s="16" t="s">
        <v>17693</v>
      </c>
      <c r="D8628" s="16" t="s">
        <v>19430</v>
      </c>
      <c r="E8628">
        <v>6</v>
      </c>
      <c r="F8628" t="s">
        <v>8455</v>
      </c>
      <c r="G8628">
        <v>1</v>
      </c>
      <c r="H8628">
        <v>1</v>
      </c>
      <c r="I8628">
        <f>1</f>
        <v>1</v>
      </c>
    </row>
    <row r="8629" spans="2:9" x14ac:dyDescent="0.25">
      <c r="B8629">
        <v>0</v>
      </c>
      <c r="C8629" s="16" t="s">
        <v>17694</v>
      </c>
      <c r="D8629" s="16"/>
      <c r="E8629">
        <v>6</v>
      </c>
      <c r="F8629" t="e">
        <f>--Com dispositivo impressor incorporado</f>
        <v>#NAME?</v>
      </c>
      <c r="G8629">
        <v>1</v>
      </c>
      <c r="H8629">
        <v>1</v>
      </c>
      <c r="I8629">
        <f>1</f>
        <v>1</v>
      </c>
    </row>
    <row r="8630" spans="2:9" x14ac:dyDescent="0.25">
      <c r="B8630">
        <v>0</v>
      </c>
      <c r="C8630" s="16" t="s">
        <v>17695</v>
      </c>
      <c r="D8630" s="16"/>
      <c r="E8630">
        <v>6</v>
      </c>
      <c r="F8630" t="e">
        <f>--Outras</f>
        <v>#NAME?</v>
      </c>
      <c r="G8630">
        <v>1</v>
      </c>
      <c r="H8630">
        <v>1</v>
      </c>
      <c r="I8630">
        <f>1</f>
        <v>1</v>
      </c>
    </row>
    <row r="8631" spans="2:9" x14ac:dyDescent="0.25">
      <c r="B8631">
        <v>0</v>
      </c>
      <c r="C8631" s="16" t="s">
        <v>17696</v>
      </c>
      <c r="D8631" s="16"/>
      <c r="E8631">
        <v>6</v>
      </c>
      <c r="F8631" t="e">
        <f>-Outras máquinas De calcular</f>
        <v>#NAME?</v>
      </c>
      <c r="G8631">
        <v>1</v>
      </c>
      <c r="H8631">
        <v>1</v>
      </c>
      <c r="I8631">
        <f>1</f>
        <v>1</v>
      </c>
    </row>
    <row r="8632" spans="2:9" x14ac:dyDescent="0.25">
      <c r="B8632">
        <v>0</v>
      </c>
      <c r="C8632" s="16" t="s">
        <v>17697</v>
      </c>
      <c r="D8632" s="16"/>
      <c r="E8632">
        <v>6</v>
      </c>
      <c r="F8632" t="s">
        <v>8456</v>
      </c>
      <c r="G8632">
        <v>1</v>
      </c>
      <c r="H8632">
        <v>1</v>
      </c>
      <c r="I8632">
        <f>1</f>
        <v>1</v>
      </c>
    </row>
    <row r="8633" spans="2:9" x14ac:dyDescent="0.25">
      <c r="B8633">
        <v>0</v>
      </c>
      <c r="C8633" s="16" t="s">
        <v>17698</v>
      </c>
      <c r="D8633" s="16"/>
      <c r="E8633">
        <v>6</v>
      </c>
      <c r="F8633" t="s">
        <v>4690</v>
      </c>
      <c r="G8633">
        <v>1</v>
      </c>
      <c r="H8633">
        <v>1</v>
      </c>
      <c r="I8633">
        <f>1</f>
        <v>1</v>
      </c>
    </row>
    <row r="8634" spans="2:9" x14ac:dyDescent="0.25">
      <c r="B8634">
        <v>0</v>
      </c>
      <c r="C8634" s="16" t="s">
        <v>17699</v>
      </c>
      <c r="D8634" s="16"/>
      <c r="E8634">
        <v>6</v>
      </c>
      <c r="F8634" t="s">
        <v>4690</v>
      </c>
      <c r="G8634">
        <v>1</v>
      </c>
      <c r="H8634">
        <v>1</v>
      </c>
      <c r="I8634">
        <f>1</f>
        <v>1</v>
      </c>
    </row>
    <row r="8635" spans="2:9" x14ac:dyDescent="0.25">
      <c r="B8635">
        <v>0</v>
      </c>
      <c r="C8635" s="16" t="s">
        <v>17700</v>
      </c>
      <c r="D8635" s="16"/>
      <c r="E8635">
        <v>6</v>
      </c>
      <c r="F8635" t="s">
        <v>8457</v>
      </c>
      <c r="G8635">
        <v>1</v>
      </c>
      <c r="H8635">
        <v>1</v>
      </c>
      <c r="I8635">
        <f>1</f>
        <v>1</v>
      </c>
    </row>
    <row r="8636" spans="2:9" x14ac:dyDescent="0.25">
      <c r="B8636">
        <v>0</v>
      </c>
      <c r="C8636" s="16" t="s">
        <v>17701</v>
      </c>
      <c r="D8636" s="16"/>
      <c r="E8636">
        <v>6</v>
      </c>
      <c r="F8636" t="s">
        <v>4690</v>
      </c>
      <c r="G8636">
        <v>1</v>
      </c>
      <c r="H8636">
        <v>1</v>
      </c>
      <c r="I8636">
        <f>1</f>
        <v>1</v>
      </c>
    </row>
    <row r="8637" spans="2:9" x14ac:dyDescent="0.25">
      <c r="B8637">
        <v>0</v>
      </c>
      <c r="C8637" s="16" t="s">
        <v>17702</v>
      </c>
      <c r="D8637" s="16"/>
      <c r="E8637">
        <v>6</v>
      </c>
      <c r="F8637" t="s">
        <v>8458</v>
      </c>
      <c r="G8637">
        <v>1</v>
      </c>
      <c r="H8637">
        <v>1</v>
      </c>
      <c r="I8637">
        <f>1</f>
        <v>1</v>
      </c>
    </row>
    <row r="8638" spans="2:9" x14ac:dyDescent="0.25">
      <c r="B8638">
        <v>0</v>
      </c>
      <c r="C8638" s="16" t="s">
        <v>17703</v>
      </c>
      <c r="D8638" s="16"/>
      <c r="E8638">
        <v>6</v>
      </c>
      <c r="F8638" t="s">
        <v>8459</v>
      </c>
      <c r="G8638">
        <v>1</v>
      </c>
      <c r="H8638">
        <v>1</v>
      </c>
      <c r="I8638">
        <f>1</f>
        <v>1</v>
      </c>
    </row>
    <row r="8639" spans="2:9" x14ac:dyDescent="0.25">
      <c r="B8639">
        <v>0</v>
      </c>
      <c r="C8639" s="16" t="s">
        <v>17704</v>
      </c>
      <c r="D8639" s="16"/>
      <c r="E8639">
        <v>6</v>
      </c>
      <c r="F8639" t="s">
        <v>4690</v>
      </c>
      <c r="G8639">
        <v>1</v>
      </c>
      <c r="H8639">
        <v>1</v>
      </c>
      <c r="I8639">
        <f>1</f>
        <v>1</v>
      </c>
    </row>
    <row r="8640" spans="2:9" x14ac:dyDescent="0.25">
      <c r="B8640">
        <v>0</v>
      </c>
      <c r="C8640" s="16" t="s">
        <v>17705</v>
      </c>
      <c r="D8640" s="16"/>
      <c r="E8640">
        <v>6</v>
      </c>
      <c r="F8640" t="s">
        <v>4690</v>
      </c>
      <c r="G8640">
        <v>1</v>
      </c>
      <c r="H8640">
        <v>1</v>
      </c>
      <c r="I8640">
        <f>1</f>
        <v>1</v>
      </c>
    </row>
    <row r="8641" spans="2:9" x14ac:dyDescent="0.25">
      <c r="B8641">
        <v>0</v>
      </c>
      <c r="C8641" s="16" t="s">
        <v>17706</v>
      </c>
      <c r="D8641" s="16"/>
      <c r="E8641">
        <v>6</v>
      </c>
      <c r="F8641" t="s">
        <v>8460</v>
      </c>
      <c r="G8641">
        <v>1</v>
      </c>
      <c r="H8641">
        <v>1</v>
      </c>
      <c r="I8641">
        <f>1</f>
        <v>1</v>
      </c>
    </row>
    <row r="8642" spans="2:9" x14ac:dyDescent="0.25">
      <c r="B8642">
        <v>0</v>
      </c>
      <c r="C8642" s="16" t="s">
        <v>17707</v>
      </c>
      <c r="D8642" s="16"/>
      <c r="E8642">
        <v>6</v>
      </c>
      <c r="F8642" t="s">
        <v>4690</v>
      </c>
      <c r="G8642">
        <v>1</v>
      </c>
      <c r="H8642">
        <v>1</v>
      </c>
      <c r="I8642">
        <f>1</f>
        <v>1</v>
      </c>
    </row>
    <row r="8643" spans="2:9" x14ac:dyDescent="0.25">
      <c r="B8643">
        <v>0</v>
      </c>
      <c r="C8643" s="16" t="s">
        <v>17708</v>
      </c>
      <c r="D8643" s="16"/>
      <c r="E8643">
        <v>6</v>
      </c>
      <c r="F8643" t="s">
        <v>8461</v>
      </c>
      <c r="G8643">
        <v>1</v>
      </c>
      <c r="H8643">
        <v>1</v>
      </c>
      <c r="I8643">
        <f>1</f>
        <v>1</v>
      </c>
    </row>
    <row r="8644" spans="2:9" x14ac:dyDescent="0.25">
      <c r="B8644">
        <v>0</v>
      </c>
      <c r="C8644" s="16" t="s">
        <v>17709</v>
      </c>
      <c r="D8644" s="16"/>
      <c r="E8644">
        <v>6</v>
      </c>
      <c r="F8644" t="s">
        <v>8462</v>
      </c>
      <c r="G8644">
        <v>1</v>
      </c>
      <c r="H8644">
        <v>1</v>
      </c>
      <c r="I8644">
        <f>1</f>
        <v>1</v>
      </c>
    </row>
    <row r="8645" spans="2:9" x14ac:dyDescent="0.25">
      <c r="B8645">
        <v>0</v>
      </c>
      <c r="C8645" s="16" t="s">
        <v>17710</v>
      </c>
      <c r="D8645" s="16"/>
      <c r="E8645">
        <v>6</v>
      </c>
      <c r="F8645" t="s">
        <v>8463</v>
      </c>
      <c r="G8645">
        <v>1</v>
      </c>
      <c r="H8645">
        <v>1</v>
      </c>
      <c r="I8645">
        <f>1</f>
        <v>1</v>
      </c>
    </row>
    <row r="8646" spans="2:9" x14ac:dyDescent="0.25">
      <c r="B8646">
        <v>0</v>
      </c>
      <c r="C8646" s="16" t="s">
        <v>17711</v>
      </c>
      <c r="D8646" s="16"/>
      <c r="E8646">
        <v>6</v>
      </c>
      <c r="F8646" t="s">
        <v>8464</v>
      </c>
      <c r="G8646">
        <v>1</v>
      </c>
      <c r="H8646">
        <v>1</v>
      </c>
      <c r="I8646">
        <f>1</f>
        <v>1</v>
      </c>
    </row>
    <row r="8647" spans="2:9" x14ac:dyDescent="0.25">
      <c r="B8647">
        <v>0</v>
      </c>
      <c r="C8647" s="16" t="s">
        <v>17712</v>
      </c>
      <c r="D8647" s="16"/>
      <c r="E8647">
        <v>6</v>
      </c>
      <c r="F8647" t="s">
        <v>8465</v>
      </c>
      <c r="G8647">
        <v>1</v>
      </c>
      <c r="H8647">
        <v>1</v>
      </c>
      <c r="I8647">
        <f>1</f>
        <v>1</v>
      </c>
    </row>
    <row r="8648" spans="2:9" x14ac:dyDescent="0.25">
      <c r="B8648">
        <v>0</v>
      </c>
      <c r="C8648" s="16" t="s">
        <v>17713</v>
      </c>
      <c r="D8648" s="16"/>
      <c r="E8648">
        <v>6</v>
      </c>
      <c r="F8648" t="s">
        <v>4690</v>
      </c>
      <c r="G8648">
        <v>1</v>
      </c>
      <c r="H8648">
        <v>1</v>
      </c>
      <c r="I8648">
        <f>1</f>
        <v>1</v>
      </c>
    </row>
    <row r="8649" spans="2:9" x14ac:dyDescent="0.25">
      <c r="B8649">
        <v>0</v>
      </c>
      <c r="C8649" s="16" t="s">
        <v>17714</v>
      </c>
      <c r="D8649" s="16"/>
      <c r="E8649">
        <v>6</v>
      </c>
      <c r="F8649" t="s">
        <v>8466</v>
      </c>
      <c r="G8649">
        <v>1</v>
      </c>
      <c r="H8649">
        <v>1</v>
      </c>
      <c r="I8649">
        <f>1</f>
        <v>1</v>
      </c>
    </row>
    <row r="8650" spans="2:9" x14ac:dyDescent="0.25">
      <c r="B8650">
        <v>0</v>
      </c>
      <c r="C8650" s="16" t="s">
        <v>17714</v>
      </c>
      <c r="D8650" s="16" t="s">
        <v>19430</v>
      </c>
      <c r="E8650">
        <v>6</v>
      </c>
      <c r="F8650" t="s">
        <v>8467</v>
      </c>
      <c r="G8650">
        <v>1</v>
      </c>
      <c r="H8650">
        <v>1</v>
      </c>
      <c r="I8650">
        <f>1</f>
        <v>1</v>
      </c>
    </row>
    <row r="8651" spans="2:9" x14ac:dyDescent="0.25">
      <c r="B8651">
        <v>0</v>
      </c>
      <c r="C8651" s="16" t="s">
        <v>17715</v>
      </c>
      <c r="D8651" s="16"/>
      <c r="E8651">
        <v>6</v>
      </c>
      <c r="F8651" t="s">
        <v>8468</v>
      </c>
      <c r="G8651">
        <v>1</v>
      </c>
      <c r="H8651">
        <v>1</v>
      </c>
      <c r="I8651">
        <f>1</f>
        <v>1</v>
      </c>
    </row>
    <row r="8652" spans="2:9" x14ac:dyDescent="0.25">
      <c r="B8652">
        <v>0</v>
      </c>
      <c r="C8652" s="16" t="s">
        <v>17715</v>
      </c>
      <c r="D8652" s="16" t="s">
        <v>19430</v>
      </c>
      <c r="E8652">
        <v>6</v>
      </c>
      <c r="F8652" t="s">
        <v>8469</v>
      </c>
      <c r="G8652">
        <v>1</v>
      </c>
      <c r="H8652">
        <v>1</v>
      </c>
      <c r="I8652">
        <f>1</f>
        <v>1</v>
      </c>
    </row>
    <row r="8653" spans="2:9" x14ac:dyDescent="0.25">
      <c r="B8653">
        <v>0</v>
      </c>
      <c r="C8653" s="16" t="s">
        <v>17715</v>
      </c>
      <c r="D8653" s="16" t="s">
        <v>19431</v>
      </c>
      <c r="E8653">
        <v>6</v>
      </c>
      <c r="F8653" t="s">
        <v>8470</v>
      </c>
      <c r="G8653">
        <v>1</v>
      </c>
      <c r="H8653">
        <v>1</v>
      </c>
      <c r="I8653">
        <f>1</f>
        <v>1</v>
      </c>
    </row>
    <row r="8654" spans="2:9" x14ac:dyDescent="0.25">
      <c r="B8654">
        <v>0</v>
      </c>
      <c r="C8654" s="16" t="s">
        <v>17716</v>
      </c>
      <c r="D8654" s="16"/>
      <c r="E8654">
        <v>6</v>
      </c>
      <c r="F8654" t="s">
        <v>8471</v>
      </c>
      <c r="G8654">
        <v>1</v>
      </c>
      <c r="H8654">
        <v>1</v>
      </c>
      <c r="I8654">
        <f>1</f>
        <v>1</v>
      </c>
    </row>
    <row r="8655" spans="2:9" x14ac:dyDescent="0.25">
      <c r="B8655">
        <v>0</v>
      </c>
      <c r="C8655" s="16" t="s">
        <v>17717</v>
      </c>
      <c r="D8655" s="16"/>
      <c r="E8655">
        <v>6</v>
      </c>
      <c r="F8655" t="s">
        <v>4690</v>
      </c>
      <c r="G8655">
        <v>1</v>
      </c>
      <c r="H8655">
        <v>1</v>
      </c>
      <c r="I8655">
        <f>1</f>
        <v>1</v>
      </c>
    </row>
    <row r="8656" spans="2:9" x14ac:dyDescent="0.25">
      <c r="B8656">
        <v>0</v>
      </c>
      <c r="C8656" s="16" t="s">
        <v>17718</v>
      </c>
      <c r="D8656" s="16"/>
      <c r="E8656">
        <v>6</v>
      </c>
      <c r="F8656" t="s">
        <v>8472</v>
      </c>
      <c r="G8656">
        <v>1</v>
      </c>
      <c r="H8656">
        <v>1</v>
      </c>
      <c r="I8656">
        <f>1</f>
        <v>1</v>
      </c>
    </row>
    <row r="8657" spans="2:9" x14ac:dyDescent="0.25">
      <c r="B8657">
        <v>0</v>
      </c>
      <c r="C8657" s="16" t="s">
        <v>17719</v>
      </c>
      <c r="D8657" s="16"/>
      <c r="E8657">
        <v>6</v>
      </c>
      <c r="F8657" t="s">
        <v>8473</v>
      </c>
      <c r="G8657">
        <v>1</v>
      </c>
      <c r="H8657">
        <v>1</v>
      </c>
      <c r="I8657">
        <f>1</f>
        <v>1</v>
      </c>
    </row>
    <row r="8658" spans="2:9" x14ac:dyDescent="0.25">
      <c r="B8658">
        <v>0</v>
      </c>
      <c r="C8658" s="16" t="s">
        <v>17720</v>
      </c>
      <c r="D8658" s="16"/>
      <c r="E8658">
        <v>6</v>
      </c>
      <c r="F8658" t="s">
        <v>8474</v>
      </c>
      <c r="G8658">
        <v>1</v>
      </c>
      <c r="H8658">
        <v>1</v>
      </c>
      <c r="I8658">
        <f>1</f>
        <v>1</v>
      </c>
    </row>
    <row r="8659" spans="2:9" x14ac:dyDescent="0.25">
      <c r="B8659">
        <v>0</v>
      </c>
      <c r="C8659" s="16" t="s">
        <v>17721</v>
      </c>
      <c r="D8659" s="16"/>
      <c r="E8659">
        <v>6</v>
      </c>
      <c r="F8659" t="s">
        <v>4690</v>
      </c>
      <c r="G8659">
        <v>1</v>
      </c>
      <c r="H8659">
        <v>1</v>
      </c>
      <c r="I8659">
        <f>1</f>
        <v>1</v>
      </c>
    </row>
    <row r="8660" spans="2:9" x14ac:dyDescent="0.25">
      <c r="B8660">
        <v>0</v>
      </c>
      <c r="C8660" s="16" t="s">
        <v>17721</v>
      </c>
      <c r="D8660" s="16" t="s">
        <v>19430</v>
      </c>
      <c r="E8660">
        <v>6</v>
      </c>
      <c r="F8660" t="s">
        <v>8475</v>
      </c>
      <c r="G8660">
        <v>1</v>
      </c>
      <c r="H8660">
        <v>1</v>
      </c>
      <c r="I8660">
        <f>1</f>
        <v>1</v>
      </c>
    </row>
    <row r="8661" spans="2:9" x14ac:dyDescent="0.25">
      <c r="B8661">
        <v>0</v>
      </c>
      <c r="C8661" s="16" t="s">
        <v>17722</v>
      </c>
      <c r="D8661" s="16"/>
      <c r="E8661">
        <v>6</v>
      </c>
      <c r="F8661" t="s">
        <v>8476</v>
      </c>
      <c r="G8661">
        <v>1</v>
      </c>
      <c r="H8661">
        <v>1</v>
      </c>
      <c r="I8661">
        <f>1</f>
        <v>1</v>
      </c>
    </row>
    <row r="8662" spans="2:9" x14ac:dyDescent="0.25">
      <c r="B8662">
        <v>0</v>
      </c>
      <c r="C8662" s="16" t="s">
        <v>17723</v>
      </c>
      <c r="D8662" s="16"/>
      <c r="E8662">
        <v>6</v>
      </c>
      <c r="F8662" t="s">
        <v>8477</v>
      </c>
      <c r="G8662">
        <v>1</v>
      </c>
      <c r="H8662">
        <v>1</v>
      </c>
      <c r="I8662">
        <f>1</f>
        <v>1</v>
      </c>
    </row>
    <row r="8663" spans="2:9" x14ac:dyDescent="0.25">
      <c r="B8663">
        <v>0</v>
      </c>
      <c r="C8663" s="16" t="s">
        <v>17724</v>
      </c>
      <c r="D8663" s="16"/>
      <c r="E8663">
        <v>6</v>
      </c>
      <c r="F8663" t="s">
        <v>4690</v>
      </c>
      <c r="G8663">
        <v>1</v>
      </c>
      <c r="H8663">
        <v>1</v>
      </c>
      <c r="I8663">
        <f>1</f>
        <v>1</v>
      </c>
    </row>
    <row r="8664" spans="2:9" x14ac:dyDescent="0.25">
      <c r="B8664">
        <v>0</v>
      </c>
      <c r="C8664" s="16" t="s">
        <v>17725</v>
      </c>
      <c r="D8664" s="16"/>
      <c r="E8664">
        <v>6</v>
      </c>
      <c r="F8664" t="s">
        <v>8478</v>
      </c>
      <c r="G8664">
        <v>1</v>
      </c>
      <c r="H8664">
        <v>1</v>
      </c>
      <c r="I8664">
        <f>1</f>
        <v>1</v>
      </c>
    </row>
    <row r="8665" spans="2:9" x14ac:dyDescent="0.25">
      <c r="B8665">
        <v>0</v>
      </c>
      <c r="C8665" s="16" t="s">
        <v>17726</v>
      </c>
      <c r="D8665" s="16"/>
      <c r="E8665">
        <v>6</v>
      </c>
      <c r="F8665" t="s">
        <v>4690</v>
      </c>
      <c r="G8665">
        <v>1</v>
      </c>
      <c r="H8665">
        <v>1</v>
      </c>
      <c r="I8665">
        <f>1</f>
        <v>1</v>
      </c>
    </row>
    <row r="8666" spans="2:9" x14ac:dyDescent="0.25">
      <c r="B8666">
        <v>0</v>
      </c>
      <c r="C8666" s="16" t="s">
        <v>17727</v>
      </c>
      <c r="D8666" s="16"/>
      <c r="E8666">
        <v>6</v>
      </c>
      <c r="F8666" t="s">
        <v>8479</v>
      </c>
      <c r="G8666">
        <v>1</v>
      </c>
      <c r="H8666">
        <v>1</v>
      </c>
      <c r="I8666">
        <f>1</f>
        <v>1</v>
      </c>
    </row>
    <row r="8667" spans="2:9" x14ac:dyDescent="0.25">
      <c r="B8667">
        <v>0</v>
      </c>
      <c r="C8667" s="16" t="s">
        <v>17728</v>
      </c>
      <c r="D8667" s="16"/>
      <c r="E8667">
        <v>6</v>
      </c>
      <c r="F8667" t="s">
        <v>8480</v>
      </c>
      <c r="G8667">
        <v>1</v>
      </c>
      <c r="H8667">
        <v>1</v>
      </c>
      <c r="I8667">
        <f>1</f>
        <v>1</v>
      </c>
    </row>
    <row r="8668" spans="2:9" x14ac:dyDescent="0.25">
      <c r="B8668">
        <v>0</v>
      </c>
      <c r="C8668" s="16" t="s">
        <v>17729</v>
      </c>
      <c r="D8668" s="16"/>
      <c r="E8668">
        <v>6</v>
      </c>
      <c r="F8668" t="s">
        <v>4690</v>
      </c>
      <c r="G8668">
        <v>1</v>
      </c>
      <c r="H8668">
        <v>1</v>
      </c>
      <c r="I8668">
        <f>1</f>
        <v>1</v>
      </c>
    </row>
    <row r="8669" spans="2:9" x14ac:dyDescent="0.25">
      <c r="B8669">
        <v>0</v>
      </c>
      <c r="C8669" s="16" t="s">
        <v>17730</v>
      </c>
      <c r="D8669" s="16"/>
      <c r="E8669">
        <v>6</v>
      </c>
      <c r="F8669" t="s">
        <v>4690</v>
      </c>
      <c r="G8669">
        <v>1</v>
      </c>
      <c r="H8669">
        <v>1</v>
      </c>
      <c r="I8669">
        <f>1</f>
        <v>1</v>
      </c>
    </row>
    <row r="8670" spans="2:9" x14ac:dyDescent="0.25">
      <c r="B8670">
        <v>0</v>
      </c>
      <c r="C8670" s="16" t="s">
        <v>17731</v>
      </c>
      <c r="D8670" s="16"/>
      <c r="E8670">
        <v>6</v>
      </c>
      <c r="F8670" t="e">
        <f>-Outras Unidades De máquinas automáticas para processamento De dados</f>
        <v>#NAME?</v>
      </c>
      <c r="G8670">
        <v>1</v>
      </c>
      <c r="H8670">
        <v>1</v>
      </c>
      <c r="I8670">
        <f>1</f>
        <v>1</v>
      </c>
    </row>
    <row r="8671" spans="2:9" x14ac:dyDescent="0.25">
      <c r="B8671">
        <v>0</v>
      </c>
      <c r="C8671" s="16" t="s">
        <v>17732</v>
      </c>
      <c r="D8671" s="16"/>
      <c r="E8671">
        <v>6</v>
      </c>
      <c r="F8671" t="s">
        <v>8481</v>
      </c>
      <c r="G8671">
        <v>1</v>
      </c>
      <c r="H8671">
        <v>1</v>
      </c>
      <c r="I8671">
        <f>1</f>
        <v>1</v>
      </c>
    </row>
    <row r="8672" spans="2:9" x14ac:dyDescent="0.25">
      <c r="B8672">
        <v>0</v>
      </c>
      <c r="C8672" s="16" t="s">
        <v>17733</v>
      </c>
      <c r="D8672" s="16"/>
      <c r="E8672">
        <v>6</v>
      </c>
      <c r="F8672" t="s">
        <v>8482</v>
      </c>
      <c r="G8672">
        <v>1</v>
      </c>
      <c r="H8672">
        <v>1</v>
      </c>
      <c r="I8672">
        <f>1</f>
        <v>1</v>
      </c>
    </row>
    <row r="8673" spans="2:9" x14ac:dyDescent="0.25">
      <c r="B8673">
        <v>0</v>
      </c>
      <c r="C8673" s="16" t="s">
        <v>17734</v>
      </c>
      <c r="D8673" s="16"/>
      <c r="E8673">
        <v>6</v>
      </c>
      <c r="F8673" t="s">
        <v>8483</v>
      </c>
      <c r="G8673">
        <v>1</v>
      </c>
      <c r="H8673">
        <v>1</v>
      </c>
      <c r="I8673">
        <f>1</f>
        <v>1</v>
      </c>
    </row>
    <row r="8674" spans="2:9" x14ac:dyDescent="0.25">
      <c r="B8674">
        <v>0</v>
      </c>
      <c r="C8674" s="16" t="s">
        <v>17735</v>
      </c>
      <c r="D8674" s="16"/>
      <c r="E8674">
        <v>6</v>
      </c>
      <c r="F8674" t="s">
        <v>8484</v>
      </c>
      <c r="G8674">
        <v>1</v>
      </c>
      <c r="H8674">
        <v>1</v>
      </c>
      <c r="I8674">
        <f>1</f>
        <v>1</v>
      </c>
    </row>
    <row r="8675" spans="2:9" x14ac:dyDescent="0.25">
      <c r="B8675">
        <v>0</v>
      </c>
      <c r="C8675" s="16" t="s">
        <v>17735</v>
      </c>
      <c r="D8675" s="16" t="s">
        <v>19430</v>
      </c>
      <c r="E8675">
        <v>6</v>
      </c>
      <c r="F8675" t="s">
        <v>8485</v>
      </c>
      <c r="G8675">
        <v>1</v>
      </c>
      <c r="H8675">
        <v>1</v>
      </c>
      <c r="I8675">
        <f>1</f>
        <v>1</v>
      </c>
    </row>
    <row r="8676" spans="2:9" x14ac:dyDescent="0.25">
      <c r="B8676">
        <v>0</v>
      </c>
      <c r="C8676" s="16" t="s">
        <v>17736</v>
      </c>
      <c r="D8676" s="16"/>
      <c r="E8676">
        <v>6</v>
      </c>
      <c r="F8676" t="s">
        <v>4680</v>
      </c>
      <c r="G8676">
        <v>1</v>
      </c>
      <c r="H8676">
        <v>1</v>
      </c>
      <c r="I8676">
        <f>1</f>
        <v>1</v>
      </c>
    </row>
    <row r="8677" spans="2:9" x14ac:dyDescent="0.25">
      <c r="B8677">
        <v>0</v>
      </c>
      <c r="C8677" s="16" t="s">
        <v>17737</v>
      </c>
      <c r="D8677" s="16"/>
      <c r="E8677">
        <v>6</v>
      </c>
      <c r="F8677" t="s">
        <v>4680</v>
      </c>
      <c r="G8677">
        <v>1</v>
      </c>
      <c r="H8677">
        <v>1</v>
      </c>
      <c r="I8677">
        <f>1</f>
        <v>1</v>
      </c>
    </row>
    <row r="8678" spans="2:9" x14ac:dyDescent="0.25">
      <c r="B8678">
        <v>0</v>
      </c>
      <c r="C8678" s="16" t="s">
        <v>17738</v>
      </c>
      <c r="D8678" s="16"/>
      <c r="E8678">
        <v>6</v>
      </c>
      <c r="F8678" t="e">
        <f>-Duplicadores</f>
        <v>#NAME?</v>
      </c>
      <c r="G8678">
        <v>1</v>
      </c>
      <c r="H8678">
        <v>1</v>
      </c>
      <c r="I8678">
        <f>1</f>
        <v>1</v>
      </c>
    </row>
    <row r="8679" spans="2:9" x14ac:dyDescent="0.25">
      <c r="B8679">
        <v>0</v>
      </c>
      <c r="C8679" s="16" t="s">
        <v>17738</v>
      </c>
      <c r="D8679" s="16" t="s">
        <v>19430</v>
      </c>
      <c r="E8679">
        <v>6</v>
      </c>
      <c r="F8679" t="s">
        <v>8486</v>
      </c>
      <c r="G8679">
        <v>1</v>
      </c>
      <c r="H8679">
        <v>1</v>
      </c>
      <c r="I8679">
        <f>1</f>
        <v>1</v>
      </c>
    </row>
    <row r="8680" spans="2:9" x14ac:dyDescent="0.25">
      <c r="B8680">
        <v>0</v>
      </c>
      <c r="C8680" s="16" t="s">
        <v>17739</v>
      </c>
      <c r="D8680" s="16"/>
      <c r="E8680">
        <v>6</v>
      </c>
      <c r="F8680" t="s">
        <v>8487</v>
      </c>
      <c r="G8680">
        <v>1</v>
      </c>
      <c r="H8680">
        <v>1</v>
      </c>
      <c r="I8680">
        <f>1</f>
        <v>1</v>
      </c>
    </row>
    <row r="8681" spans="2:9" x14ac:dyDescent="0.25">
      <c r="B8681">
        <v>0</v>
      </c>
      <c r="C8681" s="16" t="s">
        <v>17740</v>
      </c>
      <c r="D8681" s="16"/>
      <c r="E8681">
        <v>6</v>
      </c>
      <c r="F8681" t="s">
        <v>8488</v>
      </c>
      <c r="G8681">
        <v>1</v>
      </c>
      <c r="H8681">
        <v>1</v>
      </c>
      <c r="I8681">
        <f>1</f>
        <v>1</v>
      </c>
    </row>
    <row r="8682" spans="2:9" x14ac:dyDescent="0.25">
      <c r="B8682">
        <v>0</v>
      </c>
      <c r="C8682" s="16" t="s">
        <v>17741</v>
      </c>
      <c r="D8682" s="16"/>
      <c r="E8682">
        <v>6</v>
      </c>
      <c r="F8682" t="s">
        <v>8489</v>
      </c>
      <c r="G8682">
        <v>1</v>
      </c>
      <c r="H8682">
        <v>1</v>
      </c>
      <c r="I8682">
        <f>1</f>
        <v>1</v>
      </c>
    </row>
    <row r="8683" spans="2:9" x14ac:dyDescent="0.25">
      <c r="B8683">
        <v>0</v>
      </c>
      <c r="C8683" s="16" t="s">
        <v>17742</v>
      </c>
      <c r="D8683" s="16"/>
      <c r="E8683">
        <v>6</v>
      </c>
      <c r="F8683" t="s">
        <v>4690</v>
      </c>
      <c r="G8683">
        <v>1</v>
      </c>
      <c r="H8683">
        <v>1</v>
      </c>
      <c r="I8683">
        <f>1</f>
        <v>1</v>
      </c>
    </row>
    <row r="8684" spans="2:9" x14ac:dyDescent="0.25">
      <c r="B8684">
        <v>0</v>
      </c>
      <c r="C8684" s="16" t="s">
        <v>17743</v>
      </c>
      <c r="D8684" s="16"/>
      <c r="E8684">
        <v>6</v>
      </c>
      <c r="F8684" t="s">
        <v>8490</v>
      </c>
      <c r="G8684">
        <v>1</v>
      </c>
      <c r="H8684">
        <v>1</v>
      </c>
      <c r="I8684">
        <f>1</f>
        <v>1</v>
      </c>
    </row>
    <row r="8685" spans="2:9" x14ac:dyDescent="0.25">
      <c r="B8685">
        <v>0</v>
      </c>
      <c r="C8685" s="16" t="s">
        <v>17744</v>
      </c>
      <c r="D8685" s="16"/>
      <c r="E8685">
        <v>6</v>
      </c>
      <c r="F8685" t="s">
        <v>8491</v>
      </c>
      <c r="G8685">
        <v>1</v>
      </c>
      <c r="H8685">
        <v>1</v>
      </c>
      <c r="I8685">
        <f>1</f>
        <v>1</v>
      </c>
    </row>
    <row r="8686" spans="2:9" x14ac:dyDescent="0.25">
      <c r="B8686">
        <v>0</v>
      </c>
      <c r="C8686" s="16" t="s">
        <v>17745</v>
      </c>
      <c r="D8686" s="16"/>
      <c r="E8686">
        <v>6</v>
      </c>
      <c r="F8686" t="s">
        <v>4690</v>
      </c>
      <c r="G8686">
        <v>1</v>
      </c>
      <c r="H8686">
        <v>1</v>
      </c>
      <c r="I8686">
        <f>1</f>
        <v>1</v>
      </c>
    </row>
    <row r="8687" spans="2:9" x14ac:dyDescent="0.25">
      <c r="B8687">
        <v>0</v>
      </c>
      <c r="C8687" s="16" t="s">
        <v>17746</v>
      </c>
      <c r="D8687" s="16"/>
      <c r="E8687">
        <v>6</v>
      </c>
      <c r="F8687" t="s">
        <v>8492</v>
      </c>
      <c r="G8687">
        <v>1</v>
      </c>
      <c r="H8687">
        <v>1</v>
      </c>
      <c r="I8687">
        <f>1</f>
        <v>1</v>
      </c>
    </row>
    <row r="8688" spans="2:9" x14ac:dyDescent="0.25">
      <c r="B8688">
        <v>0</v>
      </c>
      <c r="C8688" s="16" t="s">
        <v>17747</v>
      </c>
      <c r="D8688" s="16"/>
      <c r="E8688">
        <v>6</v>
      </c>
      <c r="F8688" t="s">
        <v>8493</v>
      </c>
      <c r="G8688">
        <v>1</v>
      </c>
      <c r="H8688">
        <v>1</v>
      </c>
      <c r="I8688">
        <f>1</f>
        <v>1</v>
      </c>
    </row>
    <row r="8689" spans="2:9" x14ac:dyDescent="0.25">
      <c r="B8689">
        <v>0</v>
      </c>
      <c r="C8689" s="16" t="s">
        <v>17748</v>
      </c>
      <c r="D8689" s="16"/>
      <c r="E8689">
        <v>6</v>
      </c>
      <c r="F8689" t="s">
        <v>8494</v>
      </c>
      <c r="G8689">
        <v>1</v>
      </c>
      <c r="H8689">
        <v>1</v>
      </c>
      <c r="I8689">
        <f>1</f>
        <v>1</v>
      </c>
    </row>
    <row r="8690" spans="2:9" x14ac:dyDescent="0.25">
      <c r="B8690">
        <v>0</v>
      </c>
      <c r="C8690" s="16" t="s">
        <v>17749</v>
      </c>
      <c r="D8690" s="16"/>
      <c r="E8690">
        <v>6</v>
      </c>
      <c r="F8690" t="s">
        <v>4690</v>
      </c>
      <c r="G8690">
        <v>1</v>
      </c>
      <c r="H8690">
        <v>1</v>
      </c>
      <c r="I8690">
        <f>1</f>
        <v>1</v>
      </c>
    </row>
    <row r="8691" spans="2:9" x14ac:dyDescent="0.25">
      <c r="B8691">
        <v>0</v>
      </c>
      <c r="C8691" s="16" t="s">
        <v>17750</v>
      </c>
      <c r="D8691" s="16"/>
      <c r="E8691">
        <v>6</v>
      </c>
      <c r="F8691" t="s">
        <v>8495</v>
      </c>
      <c r="G8691">
        <v>1</v>
      </c>
      <c r="H8691">
        <v>1</v>
      </c>
      <c r="I8691">
        <f>1</f>
        <v>1</v>
      </c>
    </row>
    <row r="8692" spans="2:9" x14ac:dyDescent="0.25">
      <c r="B8692">
        <v>0</v>
      </c>
      <c r="C8692" s="16" t="s">
        <v>17751</v>
      </c>
      <c r="D8692" s="16"/>
      <c r="E8692">
        <v>6</v>
      </c>
      <c r="F8692" t="s">
        <v>4680</v>
      </c>
      <c r="G8692">
        <v>1</v>
      </c>
      <c r="H8692">
        <v>1</v>
      </c>
      <c r="I8692">
        <f>1</f>
        <v>1</v>
      </c>
    </row>
    <row r="8693" spans="2:9" x14ac:dyDescent="0.25">
      <c r="B8693">
        <v>0</v>
      </c>
      <c r="C8693" s="16" t="s">
        <v>17752</v>
      </c>
      <c r="D8693" s="16"/>
      <c r="E8693">
        <v>6</v>
      </c>
      <c r="F8693" t="s">
        <v>8496</v>
      </c>
      <c r="G8693">
        <v>1</v>
      </c>
      <c r="H8693">
        <v>1</v>
      </c>
      <c r="I8693">
        <f>1</f>
        <v>1</v>
      </c>
    </row>
    <row r="8694" spans="2:9" x14ac:dyDescent="0.25">
      <c r="B8694">
        <v>0</v>
      </c>
      <c r="C8694" s="16" t="s">
        <v>17753</v>
      </c>
      <c r="D8694" s="16"/>
      <c r="E8694">
        <v>6</v>
      </c>
      <c r="F8694" t="s">
        <v>4680</v>
      </c>
      <c r="G8694">
        <v>1</v>
      </c>
      <c r="H8694">
        <v>1</v>
      </c>
      <c r="I8694">
        <f>1</f>
        <v>1</v>
      </c>
    </row>
    <row r="8695" spans="2:9" x14ac:dyDescent="0.25">
      <c r="B8695">
        <v>0</v>
      </c>
      <c r="C8695" s="16" t="s">
        <v>17754</v>
      </c>
      <c r="D8695" s="16"/>
      <c r="E8695">
        <v>6</v>
      </c>
      <c r="F8695" t="s">
        <v>8497</v>
      </c>
      <c r="G8695">
        <v>1</v>
      </c>
      <c r="H8695">
        <v>1</v>
      </c>
      <c r="I8695">
        <f>1</f>
        <v>1</v>
      </c>
    </row>
    <row r="8696" spans="2:9" x14ac:dyDescent="0.25">
      <c r="B8696">
        <v>0</v>
      </c>
      <c r="C8696" s="16" t="s">
        <v>17755</v>
      </c>
      <c r="D8696" s="16"/>
      <c r="E8696">
        <v>6</v>
      </c>
      <c r="F8696" t="s">
        <v>8498</v>
      </c>
      <c r="G8696">
        <v>1</v>
      </c>
      <c r="H8696">
        <v>1</v>
      </c>
      <c r="I8696">
        <f>1</f>
        <v>1</v>
      </c>
    </row>
    <row r="8697" spans="2:9" x14ac:dyDescent="0.25">
      <c r="B8697">
        <v>0</v>
      </c>
      <c r="C8697" s="16" t="s">
        <v>17756</v>
      </c>
      <c r="D8697" s="16"/>
      <c r="E8697">
        <v>6</v>
      </c>
      <c r="F8697" t="s">
        <v>8499</v>
      </c>
      <c r="G8697">
        <v>1</v>
      </c>
      <c r="H8697">
        <v>1</v>
      </c>
      <c r="I8697">
        <f>1</f>
        <v>1</v>
      </c>
    </row>
    <row r="8698" spans="2:9" x14ac:dyDescent="0.25">
      <c r="B8698">
        <v>0</v>
      </c>
      <c r="C8698" s="16" t="s">
        <v>17757</v>
      </c>
      <c r="D8698" s="16"/>
      <c r="E8698">
        <v>6</v>
      </c>
      <c r="F8698" t="s">
        <v>4680</v>
      </c>
      <c r="G8698">
        <v>1</v>
      </c>
      <c r="H8698">
        <v>1</v>
      </c>
      <c r="I8698">
        <f>1</f>
        <v>1</v>
      </c>
    </row>
    <row r="8699" spans="2:9" x14ac:dyDescent="0.25">
      <c r="B8699">
        <v>0</v>
      </c>
      <c r="C8699" s="16" t="s">
        <v>17758</v>
      </c>
      <c r="D8699" s="16"/>
      <c r="E8699">
        <v>6</v>
      </c>
      <c r="F8699" t="s">
        <v>8500</v>
      </c>
      <c r="G8699">
        <v>1</v>
      </c>
      <c r="H8699">
        <v>1</v>
      </c>
      <c r="I8699">
        <f>1</f>
        <v>1</v>
      </c>
    </row>
    <row r="8700" spans="2:9" x14ac:dyDescent="0.25">
      <c r="B8700">
        <v>0</v>
      </c>
      <c r="C8700" s="16" t="s">
        <v>17759</v>
      </c>
      <c r="D8700" s="16"/>
      <c r="E8700">
        <v>6</v>
      </c>
      <c r="F8700" t="s">
        <v>4680</v>
      </c>
      <c r="G8700">
        <v>1</v>
      </c>
      <c r="H8700">
        <v>1</v>
      </c>
      <c r="I8700">
        <f>1</f>
        <v>1</v>
      </c>
    </row>
    <row r="8701" spans="2:9" x14ac:dyDescent="0.25">
      <c r="B8701">
        <v>0</v>
      </c>
      <c r="C8701" s="16" t="s">
        <v>17760</v>
      </c>
      <c r="D8701" s="16"/>
      <c r="E8701">
        <v>6</v>
      </c>
      <c r="F8701" t="s">
        <v>8501</v>
      </c>
      <c r="G8701">
        <v>1</v>
      </c>
      <c r="H8701">
        <v>1</v>
      </c>
      <c r="I8701">
        <f>1</f>
        <v>1</v>
      </c>
    </row>
    <row r="8702" spans="2:9" x14ac:dyDescent="0.25">
      <c r="B8702">
        <v>0</v>
      </c>
      <c r="C8702" s="16" t="s">
        <v>17761</v>
      </c>
      <c r="D8702" s="16"/>
      <c r="E8702">
        <v>6</v>
      </c>
      <c r="F8702" t="s">
        <v>8502</v>
      </c>
      <c r="G8702">
        <v>1</v>
      </c>
      <c r="H8702">
        <v>1</v>
      </c>
      <c r="I8702">
        <f>1</f>
        <v>1</v>
      </c>
    </row>
    <row r="8703" spans="2:9" x14ac:dyDescent="0.25">
      <c r="B8703">
        <v>0</v>
      </c>
      <c r="C8703" s="16" t="s">
        <v>17762</v>
      </c>
      <c r="D8703" s="16"/>
      <c r="E8703">
        <v>6</v>
      </c>
      <c r="F8703" t="s">
        <v>8503</v>
      </c>
      <c r="G8703">
        <v>1</v>
      </c>
      <c r="H8703">
        <v>1</v>
      </c>
      <c r="I8703">
        <f>1</f>
        <v>1</v>
      </c>
    </row>
    <row r="8704" spans="2:9" x14ac:dyDescent="0.25">
      <c r="B8704">
        <v>0</v>
      </c>
      <c r="C8704" s="16" t="s">
        <v>17763</v>
      </c>
      <c r="D8704" s="16"/>
      <c r="E8704">
        <v>6</v>
      </c>
      <c r="F8704" t="s">
        <v>8504</v>
      </c>
      <c r="G8704">
        <v>1</v>
      </c>
      <c r="H8704">
        <v>1</v>
      </c>
      <c r="I8704">
        <f>1</f>
        <v>1</v>
      </c>
    </row>
    <row r="8705" spans="2:9" x14ac:dyDescent="0.25">
      <c r="B8705">
        <v>0</v>
      </c>
      <c r="C8705" s="16" t="s">
        <v>17764</v>
      </c>
      <c r="D8705" s="16"/>
      <c r="E8705">
        <v>6</v>
      </c>
      <c r="F8705" t="s">
        <v>4690</v>
      </c>
      <c r="G8705">
        <v>1</v>
      </c>
      <c r="H8705">
        <v>1</v>
      </c>
      <c r="I8705">
        <f>1</f>
        <v>1</v>
      </c>
    </row>
    <row r="8706" spans="2:9" x14ac:dyDescent="0.25">
      <c r="B8706">
        <v>0</v>
      </c>
      <c r="C8706" s="16" t="s">
        <v>17765</v>
      </c>
      <c r="D8706" s="16"/>
      <c r="E8706">
        <v>6</v>
      </c>
      <c r="F8706" t="s">
        <v>8505</v>
      </c>
      <c r="G8706">
        <v>1</v>
      </c>
      <c r="H8706">
        <v>1</v>
      </c>
      <c r="I8706">
        <f>1</f>
        <v>1</v>
      </c>
    </row>
    <row r="8707" spans="2:9" x14ac:dyDescent="0.25">
      <c r="B8707">
        <v>0</v>
      </c>
      <c r="C8707" s="16" t="s">
        <v>17766</v>
      </c>
      <c r="D8707" s="16"/>
      <c r="E8707">
        <v>6</v>
      </c>
      <c r="F8707" t="s">
        <v>8506</v>
      </c>
      <c r="G8707">
        <v>1</v>
      </c>
      <c r="H8707">
        <v>1</v>
      </c>
      <c r="I8707">
        <f>1</f>
        <v>1</v>
      </c>
    </row>
    <row r="8708" spans="2:9" x14ac:dyDescent="0.25">
      <c r="B8708">
        <v>0</v>
      </c>
      <c r="C8708" s="16" t="s">
        <v>17767</v>
      </c>
      <c r="D8708" s="16"/>
      <c r="E8708">
        <v>6</v>
      </c>
      <c r="F8708" t="s">
        <v>8507</v>
      </c>
      <c r="G8708">
        <v>1</v>
      </c>
      <c r="H8708">
        <v>1</v>
      </c>
      <c r="I8708">
        <f>1</f>
        <v>1</v>
      </c>
    </row>
    <row r="8709" spans="2:9" x14ac:dyDescent="0.25">
      <c r="B8709">
        <v>0</v>
      </c>
      <c r="C8709" s="16" t="s">
        <v>17768</v>
      </c>
      <c r="D8709" s="16"/>
      <c r="E8709">
        <v>6</v>
      </c>
      <c r="F8709" t="s">
        <v>4680</v>
      </c>
      <c r="G8709">
        <v>1</v>
      </c>
      <c r="H8709">
        <v>1</v>
      </c>
      <c r="I8709">
        <f>1</f>
        <v>1</v>
      </c>
    </row>
    <row r="8710" spans="2:9" x14ac:dyDescent="0.25">
      <c r="B8710">
        <v>0</v>
      </c>
      <c r="C8710" s="16" t="s">
        <v>17769</v>
      </c>
      <c r="D8710" s="16"/>
      <c r="E8710">
        <v>6</v>
      </c>
      <c r="F8710" t="s">
        <v>8508</v>
      </c>
      <c r="G8710">
        <v>1</v>
      </c>
      <c r="H8710">
        <v>1</v>
      </c>
      <c r="I8710">
        <f>1</f>
        <v>1</v>
      </c>
    </row>
    <row r="8711" spans="2:9" x14ac:dyDescent="0.25">
      <c r="B8711">
        <v>0</v>
      </c>
      <c r="C8711" s="16" t="s">
        <v>17770</v>
      </c>
      <c r="D8711" s="16"/>
      <c r="E8711">
        <v>6</v>
      </c>
      <c r="F8711" t="s">
        <v>4680</v>
      </c>
      <c r="G8711">
        <v>1</v>
      </c>
      <c r="H8711">
        <v>1</v>
      </c>
      <c r="I8711">
        <f>1</f>
        <v>1</v>
      </c>
    </row>
    <row r="8712" spans="2:9" x14ac:dyDescent="0.25">
      <c r="B8712">
        <v>0</v>
      </c>
      <c r="C8712" s="16" t="s">
        <v>17771</v>
      </c>
      <c r="D8712" s="16"/>
      <c r="E8712">
        <v>6</v>
      </c>
      <c r="F8712" t="s">
        <v>8297</v>
      </c>
      <c r="G8712">
        <v>1</v>
      </c>
      <c r="H8712">
        <v>1</v>
      </c>
      <c r="I8712">
        <f>1</f>
        <v>1</v>
      </c>
    </row>
    <row r="8713" spans="2:9" x14ac:dyDescent="0.25">
      <c r="B8713">
        <v>0</v>
      </c>
      <c r="C8713" s="16" t="s">
        <v>17772</v>
      </c>
      <c r="D8713" s="16"/>
      <c r="E8713">
        <v>6</v>
      </c>
      <c r="F8713" t="s">
        <v>8509</v>
      </c>
      <c r="G8713">
        <v>1</v>
      </c>
      <c r="H8713">
        <v>1</v>
      </c>
      <c r="I8713">
        <f>1</f>
        <v>1</v>
      </c>
    </row>
    <row r="8714" spans="2:9" x14ac:dyDescent="0.25">
      <c r="B8714">
        <v>0</v>
      </c>
      <c r="C8714" s="16" t="s">
        <v>17773</v>
      </c>
      <c r="D8714" s="16"/>
      <c r="E8714">
        <v>6</v>
      </c>
      <c r="F8714" t="s">
        <v>4680</v>
      </c>
      <c r="G8714">
        <v>1</v>
      </c>
      <c r="H8714">
        <v>1</v>
      </c>
      <c r="I8714">
        <f>1</f>
        <v>1</v>
      </c>
    </row>
    <row r="8715" spans="2:9" x14ac:dyDescent="0.25">
      <c r="B8715">
        <v>0</v>
      </c>
      <c r="C8715" s="16" t="s">
        <v>17774</v>
      </c>
      <c r="D8715" s="16"/>
      <c r="E8715">
        <v>6</v>
      </c>
      <c r="F8715" t="s">
        <v>8297</v>
      </c>
      <c r="G8715">
        <v>1</v>
      </c>
      <c r="H8715">
        <v>1</v>
      </c>
      <c r="I8715">
        <f>1</f>
        <v>1</v>
      </c>
    </row>
    <row r="8716" spans="2:9" x14ac:dyDescent="0.25">
      <c r="B8716">
        <v>0</v>
      </c>
      <c r="C8716" s="16" t="s">
        <v>17775</v>
      </c>
      <c r="D8716" s="16"/>
      <c r="E8716">
        <v>6</v>
      </c>
      <c r="F8716" t="s">
        <v>8503</v>
      </c>
      <c r="G8716">
        <v>1</v>
      </c>
      <c r="H8716">
        <v>1</v>
      </c>
      <c r="I8716">
        <f>1</f>
        <v>1</v>
      </c>
    </row>
    <row r="8717" spans="2:9" x14ac:dyDescent="0.25">
      <c r="B8717">
        <v>0</v>
      </c>
      <c r="C8717" s="16" t="s">
        <v>17776</v>
      </c>
      <c r="D8717" s="16"/>
      <c r="E8717">
        <v>6</v>
      </c>
      <c r="F8717" t="s">
        <v>8506</v>
      </c>
      <c r="G8717">
        <v>1</v>
      </c>
      <c r="H8717">
        <v>1</v>
      </c>
      <c r="I8717">
        <f>1</f>
        <v>1</v>
      </c>
    </row>
    <row r="8718" spans="2:9" x14ac:dyDescent="0.25">
      <c r="B8718">
        <v>0</v>
      </c>
      <c r="C8718" s="16" t="s">
        <v>17777</v>
      </c>
      <c r="D8718" s="16"/>
      <c r="E8718">
        <v>6</v>
      </c>
      <c r="F8718" t="s">
        <v>4680</v>
      </c>
      <c r="G8718">
        <v>1</v>
      </c>
      <c r="H8718">
        <v>1</v>
      </c>
      <c r="I8718">
        <f>1</f>
        <v>1</v>
      </c>
    </row>
    <row r="8719" spans="2:9" x14ac:dyDescent="0.25">
      <c r="B8719">
        <v>0</v>
      </c>
      <c r="C8719" s="16" t="s">
        <v>17778</v>
      </c>
      <c r="D8719" s="16"/>
      <c r="E8719">
        <v>6</v>
      </c>
      <c r="F8719" t="s">
        <v>8510</v>
      </c>
      <c r="G8719">
        <v>1</v>
      </c>
      <c r="H8719">
        <v>1</v>
      </c>
      <c r="I8719">
        <f>1</f>
        <v>1</v>
      </c>
    </row>
    <row r="8720" spans="2:9" x14ac:dyDescent="0.25">
      <c r="B8720">
        <v>0</v>
      </c>
      <c r="C8720" s="16" t="s">
        <v>17779</v>
      </c>
      <c r="D8720" s="16"/>
      <c r="E8720">
        <v>6</v>
      </c>
      <c r="F8720" t="s">
        <v>8511</v>
      </c>
      <c r="G8720">
        <v>1</v>
      </c>
      <c r="H8720">
        <v>1</v>
      </c>
      <c r="I8720">
        <f>1</f>
        <v>1</v>
      </c>
    </row>
    <row r="8721" spans="2:9" x14ac:dyDescent="0.25">
      <c r="B8721">
        <v>0</v>
      </c>
      <c r="C8721" s="16" t="s">
        <v>17780</v>
      </c>
      <c r="D8721" s="16"/>
      <c r="E8721">
        <v>6</v>
      </c>
      <c r="F8721" t="s">
        <v>4680</v>
      </c>
      <c r="G8721">
        <v>1</v>
      </c>
      <c r="H8721">
        <v>1</v>
      </c>
      <c r="I8721">
        <f>1</f>
        <v>1</v>
      </c>
    </row>
    <row r="8722" spans="2:9" x14ac:dyDescent="0.25">
      <c r="B8722">
        <v>0</v>
      </c>
      <c r="C8722" s="16" t="s">
        <v>17781</v>
      </c>
      <c r="D8722" s="16"/>
      <c r="E8722">
        <v>6</v>
      </c>
      <c r="F8722" t="e">
        <f>--Betoneiras e aparelhos para amassar cimento</f>
        <v>#NAME?</v>
      </c>
      <c r="G8722">
        <v>1</v>
      </c>
      <c r="H8722">
        <v>1</v>
      </c>
      <c r="I8722">
        <f>1</f>
        <v>1</v>
      </c>
    </row>
    <row r="8723" spans="2:9" x14ac:dyDescent="0.25">
      <c r="B8723">
        <v>0</v>
      </c>
      <c r="C8723" s="16" t="s">
        <v>17782</v>
      </c>
      <c r="D8723" s="16"/>
      <c r="E8723">
        <v>6</v>
      </c>
      <c r="F8723" t="e">
        <f>--máquinas para misturar matérias minerais Com Betume</f>
        <v>#NAME?</v>
      </c>
      <c r="G8723">
        <v>1</v>
      </c>
      <c r="H8723">
        <v>1</v>
      </c>
      <c r="I8723">
        <f>1</f>
        <v>1</v>
      </c>
    </row>
    <row r="8724" spans="2:9" x14ac:dyDescent="0.25">
      <c r="B8724">
        <v>0</v>
      </c>
      <c r="C8724" s="16" t="s">
        <v>17783</v>
      </c>
      <c r="D8724" s="16"/>
      <c r="E8724">
        <v>6</v>
      </c>
      <c r="F8724" t="e">
        <f>--outros</f>
        <v>#NAME?</v>
      </c>
      <c r="G8724">
        <v>1</v>
      </c>
      <c r="H8724">
        <v>1</v>
      </c>
      <c r="I8724">
        <f>1</f>
        <v>1</v>
      </c>
    </row>
    <row r="8725" spans="2:9" x14ac:dyDescent="0.25">
      <c r="B8725">
        <v>0</v>
      </c>
      <c r="C8725" s="16" t="s">
        <v>17784</v>
      </c>
      <c r="D8725" s="16"/>
      <c r="E8725">
        <v>6</v>
      </c>
      <c r="F8725" t="s">
        <v>8512</v>
      </c>
      <c r="G8725">
        <v>1</v>
      </c>
      <c r="H8725">
        <v>1</v>
      </c>
      <c r="I8725">
        <f>1</f>
        <v>1</v>
      </c>
    </row>
    <row r="8726" spans="2:9" x14ac:dyDescent="0.25">
      <c r="B8726">
        <v>0</v>
      </c>
      <c r="C8726" s="16" t="s">
        <v>17785</v>
      </c>
      <c r="D8726" s="16"/>
      <c r="E8726">
        <v>6</v>
      </c>
      <c r="F8726" t="s">
        <v>4690</v>
      </c>
      <c r="G8726">
        <v>1</v>
      </c>
      <c r="H8726">
        <v>1</v>
      </c>
      <c r="I8726">
        <f>1</f>
        <v>1</v>
      </c>
    </row>
    <row r="8727" spans="2:9" x14ac:dyDescent="0.25">
      <c r="B8727">
        <v>0</v>
      </c>
      <c r="C8727" s="16" t="s">
        <v>17786</v>
      </c>
      <c r="D8727" s="16"/>
      <c r="E8727">
        <v>6</v>
      </c>
      <c r="F8727" t="e">
        <f>-Partes</f>
        <v>#NAME?</v>
      </c>
      <c r="G8727">
        <v>1</v>
      </c>
      <c r="H8727">
        <v>1</v>
      </c>
      <c r="I8727">
        <f>1</f>
        <v>1</v>
      </c>
    </row>
    <row r="8728" spans="2:9" x14ac:dyDescent="0.25">
      <c r="B8728">
        <v>0</v>
      </c>
      <c r="C8728" s="16" t="s">
        <v>17787</v>
      </c>
      <c r="D8728" s="16"/>
      <c r="E8728">
        <v>6</v>
      </c>
      <c r="F8728" t="s">
        <v>8513</v>
      </c>
      <c r="G8728">
        <v>1</v>
      </c>
      <c r="H8728">
        <v>1</v>
      </c>
      <c r="I8728">
        <f>1</f>
        <v>1</v>
      </c>
    </row>
    <row r="8729" spans="2:9" x14ac:dyDescent="0.25">
      <c r="B8729">
        <v>0</v>
      </c>
      <c r="C8729" s="16" t="s">
        <v>17788</v>
      </c>
      <c r="D8729" s="16"/>
      <c r="E8729">
        <v>6</v>
      </c>
      <c r="F8729" t="e">
        <f>--máquinas para fabricação De fibras ópticas e De seus esboços</f>
        <v>#NAME?</v>
      </c>
      <c r="G8729">
        <v>1</v>
      </c>
      <c r="H8729">
        <v>1</v>
      </c>
      <c r="I8729">
        <f>1</f>
        <v>1</v>
      </c>
    </row>
    <row r="8730" spans="2:9" x14ac:dyDescent="0.25">
      <c r="B8730">
        <v>0</v>
      </c>
      <c r="C8730" s="16" t="s">
        <v>17789</v>
      </c>
      <c r="D8730" s="16"/>
      <c r="E8730">
        <v>6</v>
      </c>
      <c r="F8730" t="s">
        <v>8514</v>
      </c>
      <c r="G8730">
        <v>1</v>
      </c>
      <c r="H8730">
        <v>1</v>
      </c>
      <c r="I8730">
        <f>1</f>
        <v>1</v>
      </c>
    </row>
    <row r="8731" spans="2:9" x14ac:dyDescent="0.25">
      <c r="B8731">
        <v>0</v>
      </c>
      <c r="C8731" s="16" t="s">
        <v>17790</v>
      </c>
      <c r="D8731" s="16"/>
      <c r="E8731">
        <v>6</v>
      </c>
      <c r="F8731" t="s">
        <v>4690</v>
      </c>
      <c r="G8731">
        <v>1</v>
      </c>
      <c r="H8731">
        <v>1</v>
      </c>
      <c r="I8731">
        <f>1</f>
        <v>1</v>
      </c>
    </row>
    <row r="8732" spans="2:9" x14ac:dyDescent="0.25">
      <c r="B8732">
        <v>0</v>
      </c>
      <c r="C8732" s="16" t="s">
        <v>17791</v>
      </c>
      <c r="D8732" s="16"/>
      <c r="E8732">
        <v>6</v>
      </c>
      <c r="F8732" t="e">
        <f>-Partes</f>
        <v>#NAME?</v>
      </c>
      <c r="G8732">
        <v>1</v>
      </c>
      <c r="H8732">
        <v>1</v>
      </c>
      <c r="I8732">
        <f>1</f>
        <v>1</v>
      </c>
    </row>
    <row r="8733" spans="2:9" x14ac:dyDescent="0.25">
      <c r="B8733">
        <v>0</v>
      </c>
      <c r="C8733" s="16" t="s">
        <v>17792</v>
      </c>
      <c r="D8733" s="16"/>
      <c r="E8733">
        <v>6</v>
      </c>
      <c r="F8733" t="e">
        <f>--Com dispositivo De aquecimento ou De refrigeração incorporado</f>
        <v>#NAME?</v>
      </c>
      <c r="G8733">
        <v>1</v>
      </c>
      <c r="H8733">
        <v>1</v>
      </c>
      <c r="I8733">
        <f>1</f>
        <v>1</v>
      </c>
    </row>
    <row r="8734" spans="2:9" x14ac:dyDescent="0.25">
      <c r="B8734">
        <v>0</v>
      </c>
      <c r="C8734" s="16" t="s">
        <v>17793</v>
      </c>
      <c r="D8734" s="16"/>
      <c r="E8734">
        <v>6</v>
      </c>
      <c r="F8734" t="e">
        <f>--Outras</f>
        <v>#NAME?</v>
      </c>
      <c r="G8734">
        <v>1</v>
      </c>
      <c r="H8734">
        <v>1</v>
      </c>
      <c r="I8734">
        <f>1</f>
        <v>1</v>
      </c>
    </row>
    <row r="8735" spans="2:9" x14ac:dyDescent="0.25">
      <c r="B8735">
        <v>0</v>
      </c>
      <c r="C8735" s="16" t="s">
        <v>17794</v>
      </c>
      <c r="D8735" s="16"/>
      <c r="E8735">
        <v>6</v>
      </c>
      <c r="F8735" t="e">
        <f>--Com dispositivo De aquecimento ou De refrigeração incorporado</f>
        <v>#NAME?</v>
      </c>
      <c r="G8735">
        <v>1</v>
      </c>
      <c r="H8735">
        <v>1</v>
      </c>
      <c r="I8735">
        <f>1</f>
        <v>1</v>
      </c>
    </row>
    <row r="8736" spans="2:9" x14ac:dyDescent="0.25">
      <c r="B8736">
        <v>0</v>
      </c>
      <c r="C8736" s="16" t="s">
        <v>17795</v>
      </c>
      <c r="D8736" s="16"/>
      <c r="E8736">
        <v>6</v>
      </c>
      <c r="F8736" t="s">
        <v>8515</v>
      </c>
      <c r="G8736">
        <v>1</v>
      </c>
      <c r="H8736">
        <v>1</v>
      </c>
      <c r="I8736">
        <f>1</f>
        <v>1</v>
      </c>
    </row>
    <row r="8737" spans="2:9" x14ac:dyDescent="0.25">
      <c r="B8737">
        <v>0</v>
      </c>
      <c r="C8737" s="16" t="s">
        <v>17796</v>
      </c>
      <c r="D8737" s="16"/>
      <c r="E8737">
        <v>6</v>
      </c>
      <c r="F8737" t="s">
        <v>4690</v>
      </c>
      <c r="G8737">
        <v>1</v>
      </c>
      <c r="H8737">
        <v>1</v>
      </c>
      <c r="I8737">
        <f>1</f>
        <v>1</v>
      </c>
    </row>
    <row r="8738" spans="2:9" x14ac:dyDescent="0.25">
      <c r="B8738">
        <v>0</v>
      </c>
      <c r="C8738" s="16" t="s">
        <v>17797</v>
      </c>
      <c r="D8738" s="16"/>
      <c r="E8738">
        <v>6</v>
      </c>
      <c r="F8738" t="e">
        <f>-Partes</f>
        <v>#NAME?</v>
      </c>
      <c r="G8738">
        <v>1</v>
      </c>
      <c r="H8738">
        <v>1</v>
      </c>
      <c r="I8738">
        <f>1</f>
        <v>1</v>
      </c>
    </row>
    <row r="8739" spans="2:9" x14ac:dyDescent="0.25">
      <c r="B8739">
        <v>0</v>
      </c>
      <c r="C8739" s="16" t="s">
        <v>17798</v>
      </c>
      <c r="D8739" s="16"/>
      <c r="E8739">
        <v>6</v>
      </c>
      <c r="F8739" t="s">
        <v>8516</v>
      </c>
      <c r="G8739">
        <v>1</v>
      </c>
      <c r="H8739">
        <v>1</v>
      </c>
      <c r="I8739">
        <f>1</f>
        <v>1</v>
      </c>
    </row>
    <row r="8740" spans="2:9" x14ac:dyDescent="0.25">
      <c r="B8740">
        <v>0</v>
      </c>
      <c r="C8740" s="16" t="s">
        <v>17799</v>
      </c>
      <c r="D8740" s="16"/>
      <c r="E8740">
        <v>6</v>
      </c>
      <c r="F8740" t="s">
        <v>4690</v>
      </c>
      <c r="G8740">
        <v>1</v>
      </c>
      <c r="H8740">
        <v>1</v>
      </c>
      <c r="I8740">
        <f>1</f>
        <v>1</v>
      </c>
    </row>
    <row r="8741" spans="2:9" x14ac:dyDescent="0.25">
      <c r="B8741">
        <v>0</v>
      </c>
      <c r="C8741" s="16" t="s">
        <v>17800</v>
      </c>
      <c r="D8741" s="16"/>
      <c r="E8741">
        <v>6</v>
      </c>
      <c r="F8741" t="s">
        <v>8516</v>
      </c>
      <c r="G8741">
        <v>1</v>
      </c>
      <c r="H8741">
        <v>1</v>
      </c>
      <c r="I8741">
        <f>1</f>
        <v>1</v>
      </c>
    </row>
    <row r="8742" spans="2:9" x14ac:dyDescent="0.25">
      <c r="B8742">
        <v>0</v>
      </c>
      <c r="C8742" s="16" t="s">
        <v>17801</v>
      </c>
      <c r="D8742" s="16"/>
      <c r="E8742">
        <v>6</v>
      </c>
      <c r="F8742" t="s">
        <v>4690</v>
      </c>
      <c r="G8742">
        <v>1</v>
      </c>
      <c r="H8742">
        <v>1</v>
      </c>
      <c r="I8742">
        <f>1</f>
        <v>1</v>
      </c>
    </row>
    <row r="8743" spans="2:9" x14ac:dyDescent="0.25">
      <c r="B8743">
        <v>0</v>
      </c>
      <c r="C8743" s="16" t="s">
        <v>17802</v>
      </c>
      <c r="D8743" s="16"/>
      <c r="E8743">
        <v>6</v>
      </c>
      <c r="F8743" t="s">
        <v>8400</v>
      </c>
      <c r="G8743">
        <v>1</v>
      </c>
      <c r="H8743">
        <v>1</v>
      </c>
      <c r="I8743">
        <f>1</f>
        <v>1</v>
      </c>
    </row>
    <row r="8744" spans="2:9" x14ac:dyDescent="0.25">
      <c r="B8744">
        <v>0</v>
      </c>
      <c r="C8744" s="16" t="s">
        <v>17803</v>
      </c>
      <c r="D8744" s="16"/>
      <c r="E8744">
        <v>6</v>
      </c>
      <c r="F8744" t="s">
        <v>4690</v>
      </c>
      <c r="G8744">
        <v>1</v>
      </c>
      <c r="H8744">
        <v>1</v>
      </c>
      <c r="I8744">
        <f>1</f>
        <v>1</v>
      </c>
    </row>
    <row r="8745" spans="2:9" x14ac:dyDescent="0.25">
      <c r="B8745">
        <v>0</v>
      </c>
      <c r="C8745" s="16" t="s">
        <v>17804</v>
      </c>
      <c r="D8745" s="16"/>
      <c r="E8745">
        <v>6</v>
      </c>
      <c r="F8745" t="s">
        <v>8517</v>
      </c>
      <c r="G8745">
        <v>1</v>
      </c>
      <c r="H8745">
        <v>1</v>
      </c>
      <c r="I8745">
        <f>1</f>
        <v>1</v>
      </c>
    </row>
    <row r="8746" spans="2:9" x14ac:dyDescent="0.25">
      <c r="B8746">
        <v>0</v>
      </c>
      <c r="C8746" s="16" t="s">
        <v>17805</v>
      </c>
      <c r="D8746" s="16"/>
      <c r="E8746">
        <v>6</v>
      </c>
      <c r="F8746" t="s">
        <v>4690</v>
      </c>
      <c r="G8746">
        <v>1</v>
      </c>
      <c r="H8746">
        <v>1</v>
      </c>
      <c r="I8746">
        <f>1</f>
        <v>1</v>
      </c>
    </row>
    <row r="8747" spans="2:9" x14ac:dyDescent="0.25">
      <c r="B8747">
        <v>0</v>
      </c>
      <c r="C8747" s="16" t="s">
        <v>17806</v>
      </c>
      <c r="D8747" s="16"/>
      <c r="E8747">
        <v>6</v>
      </c>
      <c r="F8747" t="s">
        <v>8518</v>
      </c>
      <c r="G8747">
        <v>1</v>
      </c>
      <c r="H8747">
        <v>1</v>
      </c>
      <c r="I8747">
        <f>1</f>
        <v>1</v>
      </c>
    </row>
    <row r="8748" spans="2:9" x14ac:dyDescent="0.25">
      <c r="B8748">
        <v>0</v>
      </c>
      <c r="C8748" s="16" t="s">
        <v>17807</v>
      </c>
      <c r="D8748" s="16"/>
      <c r="E8748">
        <v>6</v>
      </c>
      <c r="F8748" t="s">
        <v>4690</v>
      </c>
      <c r="G8748">
        <v>1</v>
      </c>
      <c r="H8748">
        <v>1</v>
      </c>
      <c r="I8748">
        <f>1</f>
        <v>1</v>
      </c>
    </row>
    <row r="8749" spans="2:9" x14ac:dyDescent="0.25">
      <c r="B8749">
        <v>0</v>
      </c>
      <c r="C8749" s="16" t="s">
        <v>17808</v>
      </c>
      <c r="D8749" s="16"/>
      <c r="E8749">
        <v>6</v>
      </c>
      <c r="F8749" t="s">
        <v>8519</v>
      </c>
      <c r="G8749">
        <v>1</v>
      </c>
      <c r="H8749">
        <v>1</v>
      </c>
      <c r="I8749">
        <f>1</f>
        <v>1</v>
      </c>
    </row>
    <row r="8750" spans="2:9" x14ac:dyDescent="0.25">
      <c r="B8750">
        <v>0</v>
      </c>
      <c r="C8750" s="16" t="s">
        <v>17809</v>
      </c>
      <c r="D8750" s="16"/>
      <c r="E8750">
        <v>6</v>
      </c>
      <c r="F8750" t="s">
        <v>4690</v>
      </c>
      <c r="G8750">
        <v>1</v>
      </c>
      <c r="H8750">
        <v>1</v>
      </c>
      <c r="I8750">
        <f>1</f>
        <v>1</v>
      </c>
    </row>
    <row r="8751" spans="2:9" x14ac:dyDescent="0.25">
      <c r="B8751">
        <v>0</v>
      </c>
      <c r="C8751" s="16" t="s">
        <v>17810</v>
      </c>
      <c r="D8751" s="16"/>
      <c r="E8751">
        <v>6</v>
      </c>
      <c r="F8751" t="e">
        <f>--para moldar ou recauchutar Pneumáticos ou para moldar ou dar forma a câmaras De ar</f>
        <v>#NAME?</v>
      </c>
      <c r="G8751">
        <v>1</v>
      </c>
      <c r="H8751">
        <v>1</v>
      </c>
      <c r="I8751">
        <f>1</f>
        <v>1</v>
      </c>
    </row>
    <row r="8752" spans="2:9" x14ac:dyDescent="0.25">
      <c r="B8752">
        <v>0</v>
      </c>
      <c r="C8752" s="16" t="s">
        <v>17811</v>
      </c>
      <c r="D8752" s="16"/>
      <c r="E8752">
        <v>6</v>
      </c>
      <c r="F8752" t="s">
        <v>8520</v>
      </c>
      <c r="G8752">
        <v>1</v>
      </c>
      <c r="H8752">
        <v>1</v>
      </c>
      <c r="I8752">
        <f>1</f>
        <v>1</v>
      </c>
    </row>
    <row r="8753" spans="2:9" x14ac:dyDescent="0.25">
      <c r="B8753">
        <v>0</v>
      </c>
      <c r="C8753" s="16" t="s">
        <v>17812</v>
      </c>
      <c r="D8753" s="16"/>
      <c r="E8753">
        <v>6</v>
      </c>
      <c r="F8753" t="s">
        <v>4690</v>
      </c>
      <c r="G8753">
        <v>1</v>
      </c>
      <c r="H8753">
        <v>1</v>
      </c>
      <c r="I8753">
        <f>1</f>
        <v>1</v>
      </c>
    </row>
    <row r="8754" spans="2:9" x14ac:dyDescent="0.25">
      <c r="B8754">
        <v>0</v>
      </c>
      <c r="C8754" s="16" t="s">
        <v>17813</v>
      </c>
      <c r="D8754" s="16"/>
      <c r="E8754">
        <v>6</v>
      </c>
      <c r="F8754" t="s">
        <v>4690</v>
      </c>
      <c r="G8754">
        <v>1</v>
      </c>
      <c r="H8754">
        <v>1</v>
      </c>
      <c r="I8754">
        <f>1</f>
        <v>1</v>
      </c>
    </row>
    <row r="8755" spans="2:9" x14ac:dyDescent="0.25">
      <c r="B8755">
        <v>0</v>
      </c>
      <c r="C8755" s="16" t="s">
        <v>17814</v>
      </c>
      <c r="D8755" s="16"/>
      <c r="E8755">
        <v>6</v>
      </c>
      <c r="F8755" t="s">
        <v>8521</v>
      </c>
      <c r="G8755">
        <v>1</v>
      </c>
      <c r="H8755">
        <v>1</v>
      </c>
      <c r="I8755">
        <f>1</f>
        <v>1</v>
      </c>
    </row>
    <row r="8756" spans="2:9" x14ac:dyDescent="0.25">
      <c r="B8756">
        <v>0</v>
      </c>
      <c r="C8756" s="16" t="s">
        <v>17815</v>
      </c>
      <c r="D8756" s="16"/>
      <c r="E8756">
        <v>6</v>
      </c>
      <c r="F8756" t="s">
        <v>4690</v>
      </c>
      <c r="G8756">
        <v>1</v>
      </c>
      <c r="H8756">
        <v>1</v>
      </c>
      <c r="I8756">
        <f>1</f>
        <v>1</v>
      </c>
    </row>
    <row r="8757" spans="2:9" x14ac:dyDescent="0.25">
      <c r="B8757">
        <v>0</v>
      </c>
      <c r="C8757" s="16" t="s">
        <v>17816</v>
      </c>
      <c r="D8757" s="16"/>
      <c r="E8757">
        <v>6</v>
      </c>
      <c r="F8757" t="e">
        <f>-Partes</f>
        <v>#NAME?</v>
      </c>
      <c r="G8757">
        <v>1</v>
      </c>
      <c r="H8757">
        <v>1</v>
      </c>
      <c r="I8757">
        <f>1</f>
        <v>1</v>
      </c>
    </row>
    <row r="8758" spans="2:9" x14ac:dyDescent="0.25">
      <c r="B8758">
        <v>0</v>
      </c>
      <c r="C8758" s="16" t="s">
        <v>17817</v>
      </c>
      <c r="D8758" s="16"/>
      <c r="E8758">
        <v>6</v>
      </c>
      <c r="F8758" t="s">
        <v>8522</v>
      </c>
      <c r="G8758">
        <v>1</v>
      </c>
      <c r="H8758">
        <v>1</v>
      </c>
      <c r="I8758">
        <f>1</f>
        <v>1</v>
      </c>
    </row>
    <row r="8759" spans="2:9" x14ac:dyDescent="0.25">
      <c r="B8759">
        <v>0</v>
      </c>
      <c r="C8759" s="16" t="s">
        <v>17818</v>
      </c>
      <c r="D8759" s="16"/>
      <c r="E8759">
        <v>6</v>
      </c>
      <c r="F8759" t="s">
        <v>4680</v>
      </c>
      <c r="G8759">
        <v>1</v>
      </c>
      <c r="H8759">
        <v>1</v>
      </c>
      <c r="I8759">
        <f>1</f>
        <v>1</v>
      </c>
    </row>
    <row r="8760" spans="2:9" x14ac:dyDescent="0.25">
      <c r="B8760">
        <v>0</v>
      </c>
      <c r="C8760" s="16" t="s">
        <v>17819</v>
      </c>
      <c r="D8760" s="16"/>
      <c r="E8760">
        <v>6</v>
      </c>
      <c r="F8760" t="e">
        <f>-Partes</f>
        <v>#NAME?</v>
      </c>
      <c r="G8760">
        <v>1</v>
      </c>
      <c r="H8760">
        <v>1</v>
      </c>
      <c r="I8760">
        <f>1</f>
        <v>1</v>
      </c>
    </row>
    <row r="8761" spans="2:9" x14ac:dyDescent="0.25">
      <c r="B8761">
        <v>0</v>
      </c>
      <c r="C8761" s="16" t="s">
        <v>17820</v>
      </c>
      <c r="D8761" s="16"/>
      <c r="E8761">
        <v>6</v>
      </c>
      <c r="F8761" t="s">
        <v>8523</v>
      </c>
      <c r="G8761">
        <v>1</v>
      </c>
      <c r="H8761">
        <v>1</v>
      </c>
      <c r="I8761">
        <f>1</f>
        <v>1</v>
      </c>
    </row>
    <row r="8762" spans="2:9" x14ac:dyDescent="0.25">
      <c r="B8762">
        <v>0</v>
      </c>
      <c r="C8762" s="16" t="s">
        <v>17821</v>
      </c>
      <c r="D8762" s="16"/>
      <c r="E8762">
        <v>6</v>
      </c>
      <c r="F8762" t="s">
        <v>4680</v>
      </c>
      <c r="G8762">
        <v>1</v>
      </c>
      <c r="H8762">
        <v>1</v>
      </c>
      <c r="I8762">
        <f>1</f>
        <v>1</v>
      </c>
    </row>
    <row r="8763" spans="2:9" x14ac:dyDescent="0.25">
      <c r="B8763">
        <v>0</v>
      </c>
      <c r="C8763" s="16" t="s">
        <v>17822</v>
      </c>
      <c r="D8763" s="16"/>
      <c r="E8763">
        <v>6</v>
      </c>
      <c r="F8763" t="e">
        <f>-máquinas e aparelhos para extração ou preparação De óleos ou gorduras vegetais fixos ou De óleos ou gorduras animais</f>
        <v>#NAME?</v>
      </c>
      <c r="G8763">
        <v>1</v>
      </c>
      <c r="H8763">
        <v>1</v>
      </c>
      <c r="I8763">
        <f>1</f>
        <v>1</v>
      </c>
    </row>
    <row r="8764" spans="2:9" x14ac:dyDescent="0.25">
      <c r="B8764">
        <v>0</v>
      </c>
      <c r="C8764" s="16" t="s">
        <v>17823</v>
      </c>
      <c r="D8764" s="16"/>
      <c r="E8764">
        <v>6</v>
      </c>
      <c r="F8764" t="s">
        <v>8524</v>
      </c>
      <c r="G8764">
        <v>1</v>
      </c>
      <c r="H8764">
        <v>1</v>
      </c>
      <c r="I8764">
        <f>1</f>
        <v>1</v>
      </c>
    </row>
    <row r="8765" spans="2:9" x14ac:dyDescent="0.25">
      <c r="B8765">
        <v>0</v>
      </c>
      <c r="C8765" s="16" t="s">
        <v>17824</v>
      </c>
      <c r="D8765" s="16"/>
      <c r="E8765">
        <v>6</v>
      </c>
      <c r="F8765" t="e">
        <f>-máquinas para fabricação De cordas ou Cabos</f>
        <v>#NAME?</v>
      </c>
      <c r="G8765">
        <v>1</v>
      </c>
      <c r="H8765">
        <v>1</v>
      </c>
      <c r="I8765">
        <f>1</f>
        <v>1</v>
      </c>
    </row>
    <row r="8766" spans="2:9" x14ac:dyDescent="0.25">
      <c r="B8766">
        <v>0</v>
      </c>
      <c r="C8766" s="16" t="s">
        <v>17825</v>
      </c>
      <c r="D8766" s="16"/>
      <c r="E8766">
        <v>6</v>
      </c>
      <c r="F8766" t="s">
        <v>8525</v>
      </c>
      <c r="G8766">
        <v>1</v>
      </c>
      <c r="H8766">
        <v>1</v>
      </c>
      <c r="I8766">
        <f>1</f>
        <v>1</v>
      </c>
    </row>
    <row r="8767" spans="2:9" x14ac:dyDescent="0.25">
      <c r="B8767">
        <v>0</v>
      </c>
      <c r="C8767" s="16" t="s">
        <v>17826</v>
      </c>
      <c r="D8767" s="16"/>
      <c r="E8767">
        <v>6</v>
      </c>
      <c r="F8767" t="e">
        <f>-aparelhos De evaporação para arrefecimento do ar</f>
        <v>#NAME?</v>
      </c>
      <c r="G8767">
        <v>1</v>
      </c>
      <c r="H8767">
        <v>1</v>
      </c>
      <c r="I8767">
        <f>1</f>
        <v>1</v>
      </c>
    </row>
    <row r="8768" spans="2:9" x14ac:dyDescent="0.25">
      <c r="B8768">
        <v>0</v>
      </c>
      <c r="C8768" s="16" t="s">
        <v>17827</v>
      </c>
      <c r="D8768" s="16"/>
      <c r="E8768">
        <v>6</v>
      </c>
      <c r="F8768" t="e">
        <f>--dos tipos utilizados em aeroportos</f>
        <v>#NAME?</v>
      </c>
      <c r="G8768">
        <v>1</v>
      </c>
      <c r="H8768">
        <v>1</v>
      </c>
      <c r="I8768">
        <f>1</f>
        <v>1</v>
      </c>
    </row>
    <row r="8769" spans="2:9" x14ac:dyDescent="0.25">
      <c r="B8769">
        <v>0</v>
      </c>
      <c r="C8769" s="16" t="s">
        <v>17828</v>
      </c>
      <c r="D8769" s="16"/>
      <c r="E8769">
        <v>6</v>
      </c>
      <c r="F8769" t="e">
        <f>--Outras</f>
        <v>#NAME?</v>
      </c>
      <c r="G8769">
        <v>1</v>
      </c>
      <c r="H8769">
        <v>1</v>
      </c>
      <c r="I8769">
        <f>1</f>
        <v>1</v>
      </c>
    </row>
    <row r="8770" spans="2:9" x14ac:dyDescent="0.25">
      <c r="B8770">
        <v>0</v>
      </c>
      <c r="C8770" s="16" t="s">
        <v>17829</v>
      </c>
      <c r="D8770" s="16"/>
      <c r="E8770">
        <v>6</v>
      </c>
      <c r="F8770" t="s">
        <v>8526</v>
      </c>
      <c r="G8770">
        <v>1</v>
      </c>
      <c r="H8770">
        <v>1</v>
      </c>
      <c r="I8770">
        <f>1</f>
        <v>1</v>
      </c>
    </row>
    <row r="8771" spans="2:9" x14ac:dyDescent="0.25">
      <c r="B8771">
        <v>0</v>
      </c>
      <c r="C8771" s="16" t="s">
        <v>17830</v>
      </c>
      <c r="D8771" s="16"/>
      <c r="E8771">
        <v>6</v>
      </c>
      <c r="F8771" t="s">
        <v>4680</v>
      </c>
      <c r="G8771">
        <v>1</v>
      </c>
      <c r="H8771">
        <v>1</v>
      </c>
      <c r="I8771">
        <f>1</f>
        <v>1</v>
      </c>
    </row>
    <row r="8772" spans="2:9" x14ac:dyDescent="0.25">
      <c r="B8772">
        <v>0</v>
      </c>
      <c r="C8772" s="16" t="s">
        <v>17831</v>
      </c>
      <c r="D8772" s="16"/>
      <c r="E8772">
        <v>6</v>
      </c>
      <c r="F8772" t="s">
        <v>8527</v>
      </c>
      <c r="G8772">
        <v>1</v>
      </c>
      <c r="H8772">
        <v>1</v>
      </c>
      <c r="I8772">
        <f>1</f>
        <v>1</v>
      </c>
    </row>
    <row r="8773" spans="2:9" x14ac:dyDescent="0.25">
      <c r="B8773">
        <v>0</v>
      </c>
      <c r="C8773" s="16" t="s">
        <v>17832</v>
      </c>
      <c r="D8773" s="16"/>
      <c r="E8773">
        <v>6</v>
      </c>
      <c r="F8773" t="s">
        <v>4690</v>
      </c>
      <c r="G8773">
        <v>1</v>
      </c>
      <c r="H8773">
        <v>1</v>
      </c>
      <c r="I8773">
        <f>1</f>
        <v>1</v>
      </c>
    </row>
    <row r="8774" spans="2:9" x14ac:dyDescent="0.25">
      <c r="B8774">
        <v>0</v>
      </c>
      <c r="C8774" s="16" t="s">
        <v>17833</v>
      </c>
      <c r="D8774" s="16"/>
      <c r="E8774">
        <v>6</v>
      </c>
      <c r="F8774" t="s">
        <v>8528</v>
      </c>
      <c r="G8774">
        <v>1</v>
      </c>
      <c r="H8774">
        <v>1</v>
      </c>
      <c r="I8774">
        <f>1</f>
        <v>1</v>
      </c>
    </row>
    <row r="8775" spans="2:9" x14ac:dyDescent="0.25">
      <c r="B8775">
        <v>0</v>
      </c>
      <c r="C8775" s="16" t="s">
        <v>17834</v>
      </c>
      <c r="D8775" s="16"/>
      <c r="E8775">
        <v>6</v>
      </c>
      <c r="F8775" t="s">
        <v>8529</v>
      </c>
      <c r="G8775">
        <v>1</v>
      </c>
      <c r="H8775">
        <v>1</v>
      </c>
      <c r="I8775">
        <f>1</f>
        <v>1</v>
      </c>
    </row>
    <row r="8776" spans="2:9" x14ac:dyDescent="0.25">
      <c r="B8776">
        <v>0</v>
      </c>
      <c r="C8776" s="16" t="s">
        <v>17835</v>
      </c>
      <c r="D8776" s="16"/>
      <c r="E8776">
        <v>6</v>
      </c>
      <c r="F8776" t="s">
        <v>8530</v>
      </c>
      <c r="G8776">
        <v>1</v>
      </c>
      <c r="H8776">
        <v>1</v>
      </c>
      <c r="I8776">
        <f>1</f>
        <v>1</v>
      </c>
    </row>
    <row r="8777" spans="2:9" x14ac:dyDescent="0.25">
      <c r="B8777">
        <v>0</v>
      </c>
      <c r="C8777" s="16" t="s">
        <v>17836</v>
      </c>
      <c r="D8777" s="16"/>
      <c r="E8777">
        <v>6</v>
      </c>
      <c r="F8777" t="s">
        <v>8531</v>
      </c>
      <c r="G8777">
        <v>1</v>
      </c>
      <c r="H8777">
        <v>1</v>
      </c>
      <c r="I8777">
        <f>1</f>
        <v>1</v>
      </c>
    </row>
    <row r="8778" spans="2:9" x14ac:dyDescent="0.25">
      <c r="B8778">
        <v>0</v>
      </c>
      <c r="C8778" s="16" t="s">
        <v>17837</v>
      </c>
      <c r="D8778" s="16"/>
      <c r="E8778">
        <v>6</v>
      </c>
      <c r="F8778" t="s">
        <v>8532</v>
      </c>
      <c r="G8778">
        <v>1</v>
      </c>
      <c r="H8778">
        <v>1</v>
      </c>
      <c r="I8778">
        <f>1</f>
        <v>1</v>
      </c>
    </row>
    <row r="8779" spans="2:9" x14ac:dyDescent="0.25">
      <c r="B8779">
        <v>0</v>
      </c>
      <c r="C8779" s="16" t="s">
        <v>17838</v>
      </c>
      <c r="D8779" s="16"/>
      <c r="E8779">
        <v>6</v>
      </c>
      <c r="F8779" t="s">
        <v>8533</v>
      </c>
      <c r="G8779">
        <v>1</v>
      </c>
      <c r="H8779">
        <v>1</v>
      </c>
      <c r="I8779">
        <f>1</f>
        <v>1</v>
      </c>
    </row>
    <row r="8780" spans="2:9" x14ac:dyDescent="0.25">
      <c r="B8780">
        <v>0</v>
      </c>
      <c r="C8780" s="16" t="s">
        <v>17839</v>
      </c>
      <c r="D8780" s="16"/>
      <c r="E8780">
        <v>6</v>
      </c>
      <c r="F8780" t="s">
        <v>8534</v>
      </c>
      <c r="G8780">
        <v>1</v>
      </c>
      <c r="H8780">
        <v>1</v>
      </c>
      <c r="I8780">
        <f>1</f>
        <v>1</v>
      </c>
    </row>
    <row r="8781" spans="2:9" x14ac:dyDescent="0.25">
      <c r="B8781">
        <v>0</v>
      </c>
      <c r="C8781" s="16" t="s">
        <v>17840</v>
      </c>
      <c r="D8781" s="16"/>
      <c r="E8781">
        <v>6</v>
      </c>
      <c r="F8781" t="s">
        <v>8535</v>
      </c>
      <c r="G8781">
        <v>1</v>
      </c>
      <c r="H8781">
        <v>1</v>
      </c>
      <c r="I8781">
        <f>1</f>
        <v>1</v>
      </c>
    </row>
    <row r="8782" spans="2:9" x14ac:dyDescent="0.25">
      <c r="B8782">
        <v>0</v>
      </c>
      <c r="C8782" s="16" t="s">
        <v>17841</v>
      </c>
      <c r="D8782" s="16"/>
      <c r="E8782">
        <v>6</v>
      </c>
      <c r="F8782" t="s">
        <v>8536</v>
      </c>
      <c r="G8782">
        <v>1</v>
      </c>
      <c r="H8782">
        <v>1</v>
      </c>
      <c r="I8782">
        <f>1</f>
        <v>1</v>
      </c>
    </row>
    <row r="8783" spans="2:9" x14ac:dyDescent="0.25">
      <c r="B8783">
        <v>0</v>
      </c>
      <c r="C8783" s="16" t="s">
        <v>17842</v>
      </c>
      <c r="D8783" s="16"/>
      <c r="E8783">
        <v>6</v>
      </c>
      <c r="F8783" t="s">
        <v>4680</v>
      </c>
      <c r="G8783">
        <v>1</v>
      </c>
      <c r="H8783">
        <v>1</v>
      </c>
      <c r="I8783">
        <f>1</f>
        <v>1</v>
      </c>
    </row>
    <row r="8784" spans="2:9" x14ac:dyDescent="0.25">
      <c r="B8784">
        <v>0</v>
      </c>
      <c r="C8784" s="16" t="s">
        <v>17843</v>
      </c>
      <c r="D8784" s="16"/>
      <c r="E8784">
        <v>6</v>
      </c>
      <c r="F8784" t="s">
        <v>8537</v>
      </c>
      <c r="G8784">
        <v>1</v>
      </c>
      <c r="H8784">
        <v>1</v>
      </c>
      <c r="I8784">
        <f>1</f>
        <v>1</v>
      </c>
    </row>
    <row r="8785" spans="2:9" x14ac:dyDescent="0.25">
      <c r="B8785">
        <v>0</v>
      </c>
      <c r="C8785" s="16" t="s">
        <v>17844</v>
      </c>
      <c r="D8785" s="16"/>
      <c r="E8785">
        <v>6</v>
      </c>
      <c r="F8785" t="s">
        <v>4690</v>
      </c>
      <c r="G8785">
        <v>1</v>
      </c>
      <c r="H8785">
        <v>1</v>
      </c>
      <c r="I8785">
        <f>1</f>
        <v>1</v>
      </c>
    </row>
    <row r="8786" spans="2:9" x14ac:dyDescent="0.25">
      <c r="B8786">
        <v>0</v>
      </c>
      <c r="C8786" s="16" t="s">
        <v>17845</v>
      </c>
      <c r="D8786" s="16"/>
      <c r="E8786">
        <v>6</v>
      </c>
      <c r="F8786" t="e">
        <f>-caixas De fundição</f>
        <v>#NAME?</v>
      </c>
      <c r="G8786">
        <v>1</v>
      </c>
      <c r="H8786">
        <v>1</v>
      </c>
      <c r="I8786">
        <f>1</f>
        <v>1</v>
      </c>
    </row>
    <row r="8787" spans="2:9" x14ac:dyDescent="0.25">
      <c r="B8787">
        <v>0</v>
      </c>
      <c r="C8787" s="16" t="s">
        <v>17846</v>
      </c>
      <c r="D8787" s="16"/>
      <c r="E8787">
        <v>6</v>
      </c>
      <c r="F8787" t="e">
        <f>-Placas De fundo para moldes</f>
        <v>#NAME?</v>
      </c>
      <c r="G8787">
        <v>1</v>
      </c>
      <c r="H8787">
        <v>1</v>
      </c>
      <c r="I8787">
        <f>1</f>
        <v>1</v>
      </c>
    </row>
    <row r="8788" spans="2:9" x14ac:dyDescent="0.25">
      <c r="B8788">
        <v>0</v>
      </c>
      <c r="C8788" s="16" t="s">
        <v>17847</v>
      </c>
      <c r="D8788" s="16"/>
      <c r="E8788">
        <v>6</v>
      </c>
      <c r="F8788" t="e">
        <f>-Modelos para moldes</f>
        <v>#NAME?</v>
      </c>
      <c r="G8788">
        <v>1</v>
      </c>
      <c r="H8788">
        <v>1</v>
      </c>
      <c r="I8788">
        <f>1</f>
        <v>1</v>
      </c>
    </row>
    <row r="8789" spans="2:9" x14ac:dyDescent="0.25">
      <c r="B8789">
        <v>0</v>
      </c>
      <c r="C8789" s="16" t="s">
        <v>17848</v>
      </c>
      <c r="D8789" s="16"/>
      <c r="E8789">
        <v>6</v>
      </c>
      <c r="F8789" t="e">
        <f>--para moldagem por injeção ou por compressão</f>
        <v>#NAME?</v>
      </c>
      <c r="G8789">
        <v>1</v>
      </c>
      <c r="H8789">
        <v>1</v>
      </c>
      <c r="I8789">
        <f>1</f>
        <v>1</v>
      </c>
    </row>
    <row r="8790" spans="2:9" x14ac:dyDescent="0.25">
      <c r="B8790">
        <v>0</v>
      </c>
      <c r="C8790" s="16" t="s">
        <v>17849</v>
      </c>
      <c r="D8790" s="16"/>
      <c r="E8790">
        <v>6</v>
      </c>
      <c r="F8790" t="s">
        <v>8538</v>
      </c>
      <c r="G8790">
        <v>1</v>
      </c>
      <c r="H8790">
        <v>1</v>
      </c>
      <c r="I8790">
        <f>1</f>
        <v>1</v>
      </c>
    </row>
    <row r="8791" spans="2:9" x14ac:dyDescent="0.25">
      <c r="B8791">
        <v>0</v>
      </c>
      <c r="C8791" s="16" t="s">
        <v>17850</v>
      </c>
      <c r="D8791" s="16"/>
      <c r="E8791">
        <v>6</v>
      </c>
      <c r="F8791" t="s">
        <v>4680</v>
      </c>
      <c r="G8791">
        <v>1</v>
      </c>
      <c r="H8791">
        <v>1</v>
      </c>
      <c r="I8791">
        <f>1</f>
        <v>1</v>
      </c>
    </row>
    <row r="8792" spans="2:9" x14ac:dyDescent="0.25">
      <c r="B8792">
        <v>0</v>
      </c>
      <c r="C8792" s="16" t="s">
        <v>17851</v>
      </c>
      <c r="D8792" s="16"/>
      <c r="E8792">
        <v>6</v>
      </c>
      <c r="F8792" t="e">
        <f>-moldes para vidro</f>
        <v>#NAME?</v>
      </c>
      <c r="G8792">
        <v>1</v>
      </c>
      <c r="H8792">
        <v>1</v>
      </c>
      <c r="I8792">
        <f>1</f>
        <v>1</v>
      </c>
    </row>
    <row r="8793" spans="2:9" x14ac:dyDescent="0.25">
      <c r="B8793">
        <v>0</v>
      </c>
      <c r="C8793" s="16" t="s">
        <v>17852</v>
      </c>
      <c r="D8793" s="16"/>
      <c r="E8793">
        <v>6</v>
      </c>
      <c r="F8793" t="e">
        <f>-moldes para matérias minerais</f>
        <v>#NAME?</v>
      </c>
      <c r="G8793">
        <v>1</v>
      </c>
      <c r="H8793">
        <v>1</v>
      </c>
      <c r="I8793">
        <f>1</f>
        <v>1</v>
      </c>
    </row>
    <row r="8794" spans="2:9" x14ac:dyDescent="0.25">
      <c r="B8794">
        <v>0</v>
      </c>
      <c r="C8794" s="16" t="s">
        <v>17853</v>
      </c>
      <c r="D8794" s="16"/>
      <c r="E8794">
        <v>6</v>
      </c>
      <c r="F8794" t="e">
        <f>--para moldagem por injeção ou por compressão</f>
        <v>#NAME?</v>
      </c>
      <c r="G8794">
        <v>1</v>
      </c>
      <c r="H8794">
        <v>1</v>
      </c>
      <c r="I8794">
        <f>1</f>
        <v>1</v>
      </c>
    </row>
    <row r="8795" spans="2:9" x14ac:dyDescent="0.25">
      <c r="B8795">
        <v>0</v>
      </c>
      <c r="C8795" s="16" t="s">
        <v>17854</v>
      </c>
      <c r="D8795" s="16"/>
      <c r="E8795">
        <v>6</v>
      </c>
      <c r="F8795" t="e">
        <f>--outros</f>
        <v>#NAME?</v>
      </c>
      <c r="G8795">
        <v>1</v>
      </c>
      <c r="H8795">
        <v>1</v>
      </c>
      <c r="I8795">
        <f>1</f>
        <v>1</v>
      </c>
    </row>
    <row r="8796" spans="2:9" x14ac:dyDescent="0.25">
      <c r="B8796">
        <v>0</v>
      </c>
      <c r="C8796" s="16" t="s">
        <v>17855</v>
      </c>
      <c r="D8796" s="16"/>
      <c r="E8796">
        <v>6</v>
      </c>
      <c r="F8796" t="e">
        <f>-Válvulas redutoras De pressão</f>
        <v>#NAME?</v>
      </c>
      <c r="G8796">
        <v>1</v>
      </c>
      <c r="H8796">
        <v>1</v>
      </c>
      <c r="I8796">
        <f>1</f>
        <v>1</v>
      </c>
    </row>
    <row r="8797" spans="2:9" x14ac:dyDescent="0.25">
      <c r="B8797">
        <v>0</v>
      </c>
      <c r="C8797" s="16" t="s">
        <v>17856</v>
      </c>
      <c r="D8797" s="16"/>
      <c r="E8797">
        <v>6</v>
      </c>
      <c r="F8797" t="s">
        <v>8539</v>
      </c>
      <c r="G8797">
        <v>1</v>
      </c>
      <c r="H8797">
        <v>1</v>
      </c>
      <c r="I8797">
        <f>1</f>
        <v>1</v>
      </c>
    </row>
    <row r="8798" spans="2:9" x14ac:dyDescent="0.25">
      <c r="B8798">
        <v>0</v>
      </c>
      <c r="C8798" s="16" t="s">
        <v>17857</v>
      </c>
      <c r="D8798" s="16"/>
      <c r="E8798">
        <v>6</v>
      </c>
      <c r="F8798" t="s">
        <v>4690</v>
      </c>
      <c r="G8798">
        <v>1</v>
      </c>
      <c r="H8798">
        <v>1</v>
      </c>
      <c r="I8798">
        <f>1</f>
        <v>1</v>
      </c>
    </row>
    <row r="8799" spans="2:9" x14ac:dyDescent="0.25">
      <c r="B8799">
        <v>0</v>
      </c>
      <c r="C8799" s="16" t="s">
        <v>17858</v>
      </c>
      <c r="D8799" s="16"/>
      <c r="E8799">
        <v>6</v>
      </c>
      <c r="F8799" t="s">
        <v>4690</v>
      </c>
      <c r="G8799">
        <v>1</v>
      </c>
      <c r="H8799">
        <v>1</v>
      </c>
      <c r="I8799">
        <f>1</f>
        <v>1</v>
      </c>
    </row>
    <row r="8800" spans="2:9" x14ac:dyDescent="0.25">
      <c r="B8800">
        <v>0</v>
      </c>
      <c r="C8800" s="16" t="s">
        <v>17859</v>
      </c>
      <c r="D8800" s="16"/>
      <c r="E8800">
        <v>6</v>
      </c>
      <c r="F8800" t="e">
        <f>-Válvulas De retenção</f>
        <v>#NAME?</v>
      </c>
      <c r="G8800">
        <v>1</v>
      </c>
      <c r="H8800">
        <v>1</v>
      </c>
      <c r="I8800">
        <f>1</f>
        <v>1</v>
      </c>
    </row>
    <row r="8801" spans="2:9" x14ac:dyDescent="0.25">
      <c r="B8801">
        <v>0</v>
      </c>
      <c r="C8801" s="16" t="s">
        <v>17860</v>
      </c>
      <c r="D8801" s="16"/>
      <c r="E8801">
        <v>6</v>
      </c>
      <c r="F8801" t="e">
        <f>-Válvulas De segurança ou De alívio</f>
        <v>#NAME?</v>
      </c>
      <c r="G8801">
        <v>1</v>
      </c>
      <c r="H8801">
        <v>1</v>
      </c>
      <c r="I8801">
        <f>1</f>
        <v>1</v>
      </c>
    </row>
    <row r="8802" spans="2:9" x14ac:dyDescent="0.25">
      <c r="B8802">
        <v>0</v>
      </c>
      <c r="C8802" s="16" t="s">
        <v>17861</v>
      </c>
      <c r="D8802" s="16"/>
      <c r="E8802">
        <v>6</v>
      </c>
      <c r="F8802" t="s">
        <v>8540</v>
      </c>
      <c r="G8802">
        <v>1</v>
      </c>
      <c r="H8802">
        <v>1</v>
      </c>
      <c r="I8802">
        <f>1</f>
        <v>1</v>
      </c>
    </row>
    <row r="8803" spans="2:9" x14ac:dyDescent="0.25">
      <c r="B8803">
        <v>0</v>
      </c>
      <c r="C8803" s="16" t="s">
        <v>17862</v>
      </c>
      <c r="D8803" s="16"/>
      <c r="E8803">
        <v>6</v>
      </c>
      <c r="F8803" t="s">
        <v>4680</v>
      </c>
      <c r="G8803">
        <v>1</v>
      </c>
      <c r="H8803">
        <v>1</v>
      </c>
      <c r="I8803">
        <f>1</f>
        <v>1</v>
      </c>
    </row>
    <row r="8804" spans="2:9" x14ac:dyDescent="0.25">
      <c r="B8804">
        <v>0</v>
      </c>
      <c r="C8804" s="16" t="s">
        <v>17863</v>
      </c>
      <c r="D8804" s="16"/>
      <c r="E8804">
        <v>6</v>
      </c>
      <c r="F8804" t="s">
        <v>8541</v>
      </c>
      <c r="G8804">
        <v>1</v>
      </c>
      <c r="H8804">
        <v>1</v>
      </c>
      <c r="I8804">
        <f>1</f>
        <v>1</v>
      </c>
    </row>
    <row r="8805" spans="2:9" x14ac:dyDescent="0.25">
      <c r="B8805">
        <v>0</v>
      </c>
      <c r="C8805" s="16" t="s">
        <v>17864</v>
      </c>
      <c r="D8805" s="16"/>
      <c r="E8805">
        <v>6</v>
      </c>
      <c r="F8805" t="s">
        <v>4680</v>
      </c>
      <c r="G8805">
        <v>1</v>
      </c>
      <c r="H8805">
        <v>1</v>
      </c>
      <c r="I8805">
        <f>1</f>
        <v>1</v>
      </c>
    </row>
    <row r="8806" spans="2:9" x14ac:dyDescent="0.25">
      <c r="B8806">
        <v>0</v>
      </c>
      <c r="C8806" s="16" t="s">
        <v>17864</v>
      </c>
      <c r="D8806" s="16" t="s">
        <v>19430</v>
      </c>
      <c r="E8806">
        <v>6</v>
      </c>
      <c r="F8806" t="s">
        <v>8542</v>
      </c>
      <c r="G8806">
        <v>1</v>
      </c>
      <c r="H8806">
        <v>1</v>
      </c>
      <c r="I8806">
        <f>1</f>
        <v>1</v>
      </c>
    </row>
    <row r="8807" spans="2:9" x14ac:dyDescent="0.25">
      <c r="B8807">
        <v>0</v>
      </c>
      <c r="C8807" s="16" t="s">
        <v>17865</v>
      </c>
      <c r="D8807" s="16"/>
      <c r="E8807">
        <v>6</v>
      </c>
      <c r="F8807" t="s">
        <v>8543</v>
      </c>
      <c r="G8807">
        <v>1</v>
      </c>
      <c r="H8807">
        <v>1</v>
      </c>
      <c r="I8807">
        <f>1</f>
        <v>1</v>
      </c>
    </row>
    <row r="8808" spans="2:9" x14ac:dyDescent="0.25">
      <c r="B8808">
        <v>0</v>
      </c>
      <c r="C8808" s="16" t="s">
        <v>17866</v>
      </c>
      <c r="D8808" s="16"/>
      <c r="E8808">
        <v>6</v>
      </c>
      <c r="F8808" t="s">
        <v>4680</v>
      </c>
      <c r="G8808">
        <v>1</v>
      </c>
      <c r="H8808">
        <v>1</v>
      </c>
      <c r="I8808">
        <f>1</f>
        <v>1</v>
      </c>
    </row>
    <row r="8809" spans="2:9" x14ac:dyDescent="0.25">
      <c r="B8809">
        <v>0</v>
      </c>
      <c r="C8809" s="16" t="s">
        <v>17867</v>
      </c>
      <c r="D8809" s="16"/>
      <c r="E8809">
        <v>6</v>
      </c>
      <c r="F8809" t="s">
        <v>8544</v>
      </c>
      <c r="G8809">
        <v>1</v>
      </c>
      <c r="H8809">
        <v>1</v>
      </c>
      <c r="I8809">
        <f>1</f>
        <v>1</v>
      </c>
    </row>
    <row r="8810" spans="2:9" x14ac:dyDescent="0.25">
      <c r="B8810">
        <v>0</v>
      </c>
      <c r="C8810" s="16" t="s">
        <v>17868</v>
      </c>
      <c r="D8810" s="16"/>
      <c r="E8810">
        <v>6</v>
      </c>
      <c r="F8810" t="s">
        <v>8545</v>
      </c>
      <c r="G8810">
        <v>1</v>
      </c>
      <c r="H8810">
        <v>1</v>
      </c>
      <c r="I8810">
        <f>1</f>
        <v>1</v>
      </c>
    </row>
    <row r="8811" spans="2:9" x14ac:dyDescent="0.25">
      <c r="B8811">
        <v>0</v>
      </c>
      <c r="C8811" s="16" t="s">
        <v>17869</v>
      </c>
      <c r="D8811" s="16"/>
      <c r="E8811">
        <v>6</v>
      </c>
      <c r="F8811" t="s">
        <v>8546</v>
      </c>
      <c r="G8811">
        <v>1</v>
      </c>
      <c r="H8811">
        <v>1</v>
      </c>
      <c r="I8811">
        <f>1</f>
        <v>1</v>
      </c>
    </row>
    <row r="8812" spans="2:9" x14ac:dyDescent="0.25">
      <c r="B8812">
        <v>0</v>
      </c>
      <c r="C8812" s="16" t="s">
        <v>17870</v>
      </c>
      <c r="D8812" s="16"/>
      <c r="E8812">
        <v>6</v>
      </c>
      <c r="F8812" t="s">
        <v>8547</v>
      </c>
      <c r="G8812">
        <v>1</v>
      </c>
      <c r="H8812">
        <v>1</v>
      </c>
      <c r="I8812">
        <f>1</f>
        <v>1</v>
      </c>
    </row>
    <row r="8813" spans="2:9" x14ac:dyDescent="0.25">
      <c r="B8813">
        <v>0</v>
      </c>
      <c r="C8813" s="16" t="s">
        <v>17871</v>
      </c>
      <c r="D8813" s="16"/>
      <c r="E8813">
        <v>6</v>
      </c>
      <c r="F8813" t="s">
        <v>8548</v>
      </c>
      <c r="G8813">
        <v>1</v>
      </c>
      <c r="H8813">
        <v>1</v>
      </c>
      <c r="I8813">
        <f>1</f>
        <v>1</v>
      </c>
    </row>
    <row r="8814" spans="2:9" x14ac:dyDescent="0.25">
      <c r="B8814">
        <v>0</v>
      </c>
      <c r="C8814" s="16" t="s">
        <v>17872</v>
      </c>
      <c r="D8814" s="16"/>
      <c r="E8814">
        <v>6</v>
      </c>
      <c r="F8814" t="s">
        <v>8549</v>
      </c>
      <c r="G8814">
        <v>1</v>
      </c>
      <c r="H8814">
        <v>1</v>
      </c>
      <c r="I8814">
        <f>1</f>
        <v>1</v>
      </c>
    </row>
    <row r="8815" spans="2:9" x14ac:dyDescent="0.25">
      <c r="B8815">
        <v>0</v>
      </c>
      <c r="C8815" s="16" t="s">
        <v>17873</v>
      </c>
      <c r="D8815" s="16"/>
      <c r="E8815">
        <v>6</v>
      </c>
      <c r="F8815" t="s">
        <v>8550</v>
      </c>
      <c r="G8815">
        <v>1</v>
      </c>
      <c r="H8815">
        <v>1</v>
      </c>
      <c r="I8815">
        <f>1</f>
        <v>1</v>
      </c>
    </row>
    <row r="8816" spans="2:9" x14ac:dyDescent="0.25">
      <c r="B8816">
        <v>0</v>
      </c>
      <c r="C8816" s="16" t="s">
        <v>17874</v>
      </c>
      <c r="D8816" s="16"/>
      <c r="E8816">
        <v>6</v>
      </c>
      <c r="F8816" t="s">
        <v>4680</v>
      </c>
      <c r="G8816">
        <v>1</v>
      </c>
      <c r="H8816">
        <v>1</v>
      </c>
      <c r="I8816">
        <f>1</f>
        <v>1</v>
      </c>
    </row>
    <row r="8817" spans="2:9" x14ac:dyDescent="0.25">
      <c r="B8817">
        <v>0</v>
      </c>
      <c r="C8817" s="16" t="s">
        <v>17875</v>
      </c>
      <c r="D8817" s="16"/>
      <c r="E8817">
        <v>6</v>
      </c>
      <c r="F8817" t="s">
        <v>8551</v>
      </c>
      <c r="G8817">
        <v>1</v>
      </c>
      <c r="H8817">
        <v>1</v>
      </c>
      <c r="I8817">
        <f>1</f>
        <v>1</v>
      </c>
    </row>
    <row r="8818" spans="2:9" x14ac:dyDescent="0.25">
      <c r="B8818">
        <v>0</v>
      </c>
      <c r="C8818" s="16" t="s">
        <v>17875</v>
      </c>
      <c r="D8818" s="16" t="s">
        <v>19430</v>
      </c>
      <c r="E8818">
        <v>6</v>
      </c>
      <c r="F8818" t="s">
        <v>8552</v>
      </c>
      <c r="G8818">
        <v>1</v>
      </c>
      <c r="H8818">
        <v>1</v>
      </c>
      <c r="I8818">
        <f>1</f>
        <v>1</v>
      </c>
    </row>
    <row r="8819" spans="2:9" x14ac:dyDescent="0.25">
      <c r="B8819">
        <v>0</v>
      </c>
      <c r="C8819" s="16" t="s">
        <v>17876</v>
      </c>
      <c r="D8819" s="16"/>
      <c r="E8819">
        <v>6</v>
      </c>
      <c r="F8819" t="s">
        <v>4690</v>
      </c>
      <c r="G8819">
        <v>1</v>
      </c>
      <c r="H8819">
        <v>1</v>
      </c>
      <c r="I8819">
        <f>1</f>
        <v>1</v>
      </c>
    </row>
    <row r="8820" spans="2:9" x14ac:dyDescent="0.25">
      <c r="B8820">
        <v>0</v>
      </c>
      <c r="C8820" s="16" t="s">
        <v>17877</v>
      </c>
      <c r="D8820" s="16"/>
      <c r="E8820">
        <v>6</v>
      </c>
      <c r="F8820" t="s">
        <v>8553</v>
      </c>
      <c r="G8820">
        <v>1</v>
      </c>
      <c r="H8820">
        <v>1</v>
      </c>
      <c r="I8820">
        <f>1</f>
        <v>1</v>
      </c>
    </row>
    <row r="8821" spans="2:9" x14ac:dyDescent="0.25">
      <c r="B8821">
        <v>0</v>
      </c>
      <c r="C8821" s="16" t="s">
        <v>17878</v>
      </c>
      <c r="D8821" s="16"/>
      <c r="E8821">
        <v>6</v>
      </c>
      <c r="F8821" t="s">
        <v>4680</v>
      </c>
      <c r="G8821">
        <v>1</v>
      </c>
      <c r="H8821">
        <v>1</v>
      </c>
      <c r="I8821">
        <f>1</f>
        <v>1</v>
      </c>
    </row>
    <row r="8822" spans="2:9" x14ac:dyDescent="0.25">
      <c r="B8822">
        <v>0</v>
      </c>
      <c r="C8822" s="16" t="s">
        <v>17879</v>
      </c>
      <c r="D8822" s="16"/>
      <c r="E8822">
        <v>6</v>
      </c>
      <c r="F8822" t="s">
        <v>8553</v>
      </c>
      <c r="G8822">
        <v>1</v>
      </c>
      <c r="H8822">
        <v>1</v>
      </c>
      <c r="I8822">
        <f>1</f>
        <v>1</v>
      </c>
    </row>
    <row r="8823" spans="2:9" x14ac:dyDescent="0.25">
      <c r="B8823">
        <v>0</v>
      </c>
      <c r="C8823" s="16" t="s">
        <v>17880</v>
      </c>
      <c r="D8823" s="16"/>
      <c r="E8823">
        <v>6</v>
      </c>
      <c r="F8823" t="s">
        <v>4680</v>
      </c>
      <c r="G8823">
        <v>1</v>
      </c>
      <c r="H8823">
        <v>1</v>
      </c>
      <c r="I8823">
        <f>1</f>
        <v>1</v>
      </c>
    </row>
    <row r="8824" spans="2:9" x14ac:dyDescent="0.25">
      <c r="B8824">
        <v>0</v>
      </c>
      <c r="C8824" s="16" t="s">
        <v>17881</v>
      </c>
      <c r="D8824" s="16"/>
      <c r="E8824">
        <v>6</v>
      </c>
      <c r="F8824" t="e">
        <f>-Rolamentos De roletes em forma De tonel</f>
        <v>#NAME?</v>
      </c>
      <c r="G8824">
        <v>1</v>
      </c>
      <c r="H8824">
        <v>1</v>
      </c>
      <c r="I8824">
        <f>1</f>
        <v>1</v>
      </c>
    </row>
    <row r="8825" spans="2:9" x14ac:dyDescent="0.25">
      <c r="B8825">
        <v>0</v>
      </c>
      <c r="C8825" s="16" t="s">
        <v>17882</v>
      </c>
      <c r="D8825" s="16"/>
      <c r="E8825">
        <v>6</v>
      </c>
      <c r="F8825" t="e">
        <f>-Rolamentos De Agulhas</f>
        <v>#NAME?</v>
      </c>
      <c r="G8825">
        <v>1</v>
      </c>
      <c r="H8825">
        <v>1</v>
      </c>
      <c r="I8825">
        <f>1</f>
        <v>1</v>
      </c>
    </row>
    <row r="8826" spans="2:9" x14ac:dyDescent="0.25">
      <c r="B8826">
        <v>0</v>
      </c>
      <c r="C8826" s="16" t="s">
        <v>17883</v>
      </c>
      <c r="D8826" s="16"/>
      <c r="E8826">
        <v>6</v>
      </c>
      <c r="F8826" t="s">
        <v>8553</v>
      </c>
      <c r="G8826">
        <v>1</v>
      </c>
      <c r="H8826">
        <v>1</v>
      </c>
      <c r="I8826">
        <f>1</f>
        <v>1</v>
      </c>
    </row>
    <row r="8827" spans="2:9" x14ac:dyDescent="0.25">
      <c r="B8827">
        <v>0</v>
      </c>
      <c r="C8827" s="16" t="s">
        <v>17884</v>
      </c>
      <c r="D8827" s="16"/>
      <c r="E8827">
        <v>6</v>
      </c>
      <c r="F8827" t="s">
        <v>4680</v>
      </c>
      <c r="G8827">
        <v>1</v>
      </c>
      <c r="H8827">
        <v>1</v>
      </c>
      <c r="I8827">
        <f>1</f>
        <v>1</v>
      </c>
    </row>
    <row r="8828" spans="2:9" x14ac:dyDescent="0.25">
      <c r="B8828">
        <v>0</v>
      </c>
      <c r="C8828" s="16" t="s">
        <v>17885</v>
      </c>
      <c r="D8828" s="16"/>
      <c r="E8828">
        <v>6</v>
      </c>
      <c r="F8828" t="s">
        <v>8554</v>
      </c>
      <c r="G8828">
        <v>1</v>
      </c>
      <c r="H8828">
        <v>1</v>
      </c>
      <c r="I8828">
        <f>1</f>
        <v>1</v>
      </c>
    </row>
    <row r="8829" spans="2:9" x14ac:dyDescent="0.25">
      <c r="B8829">
        <v>0</v>
      </c>
      <c r="C8829" s="16" t="s">
        <v>17886</v>
      </c>
      <c r="D8829" s="16"/>
      <c r="E8829">
        <v>6</v>
      </c>
      <c r="F8829" t="s">
        <v>8555</v>
      </c>
      <c r="G8829">
        <v>1</v>
      </c>
      <c r="H8829">
        <v>1</v>
      </c>
      <c r="I8829">
        <f>1</f>
        <v>1</v>
      </c>
    </row>
    <row r="8830" spans="2:9" x14ac:dyDescent="0.25">
      <c r="B8830">
        <v>0</v>
      </c>
      <c r="C8830" s="16" t="s">
        <v>17887</v>
      </c>
      <c r="D8830" s="16"/>
      <c r="E8830">
        <v>6</v>
      </c>
      <c r="F8830" t="s">
        <v>4690</v>
      </c>
      <c r="G8830">
        <v>1</v>
      </c>
      <c r="H8830">
        <v>1</v>
      </c>
      <c r="I8830">
        <f>1</f>
        <v>1</v>
      </c>
    </row>
    <row r="8831" spans="2:9" x14ac:dyDescent="0.25">
      <c r="B8831">
        <v>0</v>
      </c>
      <c r="C8831" s="16" t="s">
        <v>17888</v>
      </c>
      <c r="D8831" s="16"/>
      <c r="E8831">
        <v>6</v>
      </c>
      <c r="F8831" t="s">
        <v>8556</v>
      </c>
      <c r="G8831">
        <v>1</v>
      </c>
      <c r="H8831">
        <v>1</v>
      </c>
      <c r="I8831">
        <f>1</f>
        <v>1</v>
      </c>
    </row>
    <row r="8832" spans="2:9" x14ac:dyDescent="0.25">
      <c r="B8832">
        <v>0</v>
      </c>
      <c r="C8832" s="16" t="s">
        <v>17889</v>
      </c>
      <c r="D8832" s="16"/>
      <c r="E8832">
        <v>6</v>
      </c>
      <c r="F8832" t="s">
        <v>8557</v>
      </c>
      <c r="G8832">
        <v>1</v>
      </c>
      <c r="H8832">
        <v>1</v>
      </c>
      <c r="I8832">
        <f>1</f>
        <v>1</v>
      </c>
    </row>
    <row r="8833" spans="2:9" x14ac:dyDescent="0.25">
      <c r="B8833">
        <v>0</v>
      </c>
      <c r="C8833" s="16" t="s">
        <v>17890</v>
      </c>
      <c r="D8833" s="16"/>
      <c r="E8833">
        <v>6</v>
      </c>
      <c r="F8833" t="s">
        <v>4680</v>
      </c>
      <c r="G8833">
        <v>1</v>
      </c>
      <c r="H8833">
        <v>1</v>
      </c>
      <c r="I8833">
        <f>1</f>
        <v>1</v>
      </c>
    </row>
    <row r="8834" spans="2:9" x14ac:dyDescent="0.25">
      <c r="B8834">
        <v>0</v>
      </c>
      <c r="C8834" s="16" t="s">
        <v>17891</v>
      </c>
      <c r="D8834" s="16"/>
      <c r="E8834">
        <v>6</v>
      </c>
      <c r="F8834" t="s">
        <v>8558</v>
      </c>
      <c r="G8834">
        <v>1</v>
      </c>
      <c r="H8834">
        <v>1</v>
      </c>
      <c r="I8834">
        <f>1</f>
        <v>1</v>
      </c>
    </row>
    <row r="8835" spans="2:9" x14ac:dyDescent="0.25">
      <c r="B8835">
        <v>0</v>
      </c>
      <c r="C8835" s="16" t="s">
        <v>17892</v>
      </c>
      <c r="D8835" s="16"/>
      <c r="E8835">
        <v>6</v>
      </c>
      <c r="F8835" t="s">
        <v>4690</v>
      </c>
      <c r="G8835">
        <v>1</v>
      </c>
      <c r="H8835">
        <v>1</v>
      </c>
      <c r="I8835">
        <f>1</f>
        <v>1</v>
      </c>
    </row>
    <row r="8836" spans="2:9" x14ac:dyDescent="0.25">
      <c r="B8836">
        <v>0</v>
      </c>
      <c r="C8836" s="16" t="s">
        <v>17893</v>
      </c>
      <c r="D8836" s="16"/>
      <c r="E8836">
        <v>6</v>
      </c>
      <c r="F8836" t="s">
        <v>8559</v>
      </c>
      <c r="G8836">
        <v>1</v>
      </c>
      <c r="H8836">
        <v>1</v>
      </c>
      <c r="I8836">
        <f>1</f>
        <v>1</v>
      </c>
    </row>
    <row r="8837" spans="2:9" x14ac:dyDescent="0.25">
      <c r="B8837">
        <v>0</v>
      </c>
      <c r="C8837" s="16" t="s">
        <v>17893</v>
      </c>
      <c r="D8837" s="16" t="s">
        <v>19430</v>
      </c>
      <c r="E8837">
        <v>6</v>
      </c>
      <c r="F8837" t="s">
        <v>8560</v>
      </c>
      <c r="G8837">
        <v>1</v>
      </c>
      <c r="H8837">
        <v>1</v>
      </c>
      <c r="I8837">
        <f>1</f>
        <v>1</v>
      </c>
    </row>
    <row r="8838" spans="2:9" x14ac:dyDescent="0.25">
      <c r="B8838">
        <v>0</v>
      </c>
      <c r="C8838" s="16" t="s">
        <v>17894</v>
      </c>
      <c r="D8838" s="16"/>
      <c r="E8838">
        <v>6</v>
      </c>
      <c r="F8838" t="s">
        <v>4680</v>
      </c>
      <c r="G8838">
        <v>1</v>
      </c>
      <c r="H8838">
        <v>1</v>
      </c>
      <c r="I8838">
        <f>1</f>
        <v>1</v>
      </c>
    </row>
    <row r="8839" spans="2:9" x14ac:dyDescent="0.25">
      <c r="B8839">
        <v>0</v>
      </c>
      <c r="C8839" s="16" t="s">
        <v>17894</v>
      </c>
      <c r="D8839" s="16" t="s">
        <v>19430</v>
      </c>
      <c r="E8839">
        <v>6</v>
      </c>
      <c r="F8839" t="s">
        <v>8560</v>
      </c>
      <c r="G8839">
        <v>1</v>
      </c>
      <c r="H8839">
        <v>1</v>
      </c>
      <c r="I8839">
        <f>1</f>
        <v>1</v>
      </c>
    </row>
    <row r="8840" spans="2:9" x14ac:dyDescent="0.25">
      <c r="B8840">
        <v>0</v>
      </c>
      <c r="C8840" s="16" t="s">
        <v>17895</v>
      </c>
      <c r="D8840" s="16"/>
      <c r="E8840">
        <v>6</v>
      </c>
      <c r="F8840" t="s">
        <v>8561</v>
      </c>
      <c r="G8840">
        <v>1</v>
      </c>
      <c r="H8840">
        <v>1</v>
      </c>
      <c r="I8840">
        <f>1</f>
        <v>1</v>
      </c>
    </row>
    <row r="8841" spans="2:9" x14ac:dyDescent="0.25">
      <c r="B8841">
        <v>0</v>
      </c>
      <c r="C8841" s="16" t="s">
        <v>17896</v>
      </c>
      <c r="D8841" s="16"/>
      <c r="E8841">
        <v>6</v>
      </c>
      <c r="F8841" t="s">
        <v>8562</v>
      </c>
      <c r="G8841">
        <v>1</v>
      </c>
      <c r="H8841">
        <v>1</v>
      </c>
      <c r="I8841">
        <f>1</f>
        <v>1</v>
      </c>
    </row>
    <row r="8842" spans="2:9" x14ac:dyDescent="0.25">
      <c r="B8842">
        <v>0</v>
      </c>
      <c r="C8842" s="16" t="s">
        <v>17897</v>
      </c>
      <c r="D8842" s="16"/>
      <c r="E8842">
        <v>6</v>
      </c>
      <c r="F8842" t="s">
        <v>8563</v>
      </c>
      <c r="G8842">
        <v>1</v>
      </c>
      <c r="H8842">
        <v>1</v>
      </c>
      <c r="I8842">
        <f>1</f>
        <v>1</v>
      </c>
    </row>
    <row r="8843" spans="2:9" x14ac:dyDescent="0.25">
      <c r="B8843">
        <v>0</v>
      </c>
      <c r="C8843" s="16" t="s">
        <v>17898</v>
      </c>
      <c r="D8843" s="16"/>
      <c r="E8843">
        <v>6</v>
      </c>
      <c r="F8843" t="s">
        <v>4680</v>
      </c>
      <c r="G8843">
        <v>1</v>
      </c>
      <c r="H8843">
        <v>1</v>
      </c>
      <c r="I8843">
        <f>1</f>
        <v>1</v>
      </c>
    </row>
    <row r="8844" spans="2:9" x14ac:dyDescent="0.25">
      <c r="B8844">
        <v>0</v>
      </c>
      <c r="C8844" s="16" t="s">
        <v>17899</v>
      </c>
      <c r="D8844" s="16"/>
      <c r="E8844">
        <v>6</v>
      </c>
      <c r="F8844" t="e">
        <f>-Mancais  chumaceiras  Com Rolamentos incorporados</f>
        <v>#NAME?</v>
      </c>
      <c r="G8844">
        <v>1</v>
      </c>
      <c r="H8844">
        <v>1</v>
      </c>
      <c r="I8844">
        <f>1</f>
        <v>1</v>
      </c>
    </row>
    <row r="8845" spans="2:9" x14ac:dyDescent="0.25">
      <c r="B8845">
        <v>0</v>
      </c>
      <c r="C8845" s="16" t="s">
        <v>17900</v>
      </c>
      <c r="D8845" s="16"/>
      <c r="E8845">
        <v>6</v>
      </c>
      <c r="F8845" t="s">
        <v>8564</v>
      </c>
      <c r="G8845">
        <v>1</v>
      </c>
      <c r="H8845">
        <v>1</v>
      </c>
      <c r="I8845">
        <f>1</f>
        <v>1</v>
      </c>
    </row>
    <row r="8846" spans="2:9" x14ac:dyDescent="0.25">
      <c r="B8846">
        <v>0</v>
      </c>
      <c r="C8846" s="16" t="s">
        <v>17901</v>
      </c>
      <c r="D8846" s="16"/>
      <c r="E8846">
        <v>6</v>
      </c>
      <c r="F8846" t="s">
        <v>8565</v>
      </c>
      <c r="G8846">
        <v>1</v>
      </c>
      <c r="H8846">
        <v>1</v>
      </c>
      <c r="I8846">
        <f>1</f>
        <v>1</v>
      </c>
    </row>
    <row r="8847" spans="2:9" x14ac:dyDescent="0.25">
      <c r="B8847">
        <v>0</v>
      </c>
      <c r="C8847" s="16" t="s">
        <v>17902</v>
      </c>
      <c r="D8847" s="16"/>
      <c r="E8847">
        <v>6</v>
      </c>
      <c r="F8847" t="s">
        <v>8566</v>
      </c>
      <c r="G8847">
        <v>1</v>
      </c>
      <c r="H8847">
        <v>1</v>
      </c>
      <c r="I8847">
        <f>1</f>
        <v>1</v>
      </c>
    </row>
    <row r="8848" spans="2:9" x14ac:dyDescent="0.25">
      <c r="B8848">
        <v>0</v>
      </c>
      <c r="C8848" s="16" t="s">
        <v>17903</v>
      </c>
      <c r="D8848" s="16"/>
      <c r="E8848">
        <v>6</v>
      </c>
      <c r="F8848" t="s">
        <v>4680</v>
      </c>
      <c r="G8848">
        <v>1</v>
      </c>
      <c r="H8848">
        <v>1</v>
      </c>
      <c r="I8848">
        <f>1</f>
        <v>1</v>
      </c>
    </row>
    <row r="8849" spans="2:9" x14ac:dyDescent="0.25">
      <c r="B8849">
        <v>0</v>
      </c>
      <c r="C8849" s="16" t="s">
        <v>17904</v>
      </c>
      <c r="D8849" s="16"/>
      <c r="E8849">
        <v>6</v>
      </c>
      <c r="F8849" t="s">
        <v>4680</v>
      </c>
      <c r="G8849">
        <v>1</v>
      </c>
      <c r="H8849">
        <v>1</v>
      </c>
      <c r="I8849">
        <f>1</f>
        <v>1</v>
      </c>
    </row>
    <row r="8850" spans="2:9" x14ac:dyDescent="0.25">
      <c r="B8850">
        <v>0</v>
      </c>
      <c r="C8850" s="16" t="s">
        <v>17905</v>
      </c>
      <c r="D8850" s="16"/>
      <c r="E8850">
        <v>6</v>
      </c>
      <c r="F8850" t="s">
        <v>8567</v>
      </c>
      <c r="G8850">
        <v>1</v>
      </c>
      <c r="H8850">
        <v>1</v>
      </c>
      <c r="I8850">
        <f>1</f>
        <v>1</v>
      </c>
    </row>
    <row r="8851" spans="2:9" x14ac:dyDescent="0.25">
      <c r="B8851">
        <v>0</v>
      </c>
      <c r="C8851" s="16" t="s">
        <v>17906</v>
      </c>
      <c r="D8851" s="16"/>
      <c r="E8851">
        <v>6</v>
      </c>
      <c r="F8851" t="s">
        <v>4680</v>
      </c>
      <c r="G8851">
        <v>1</v>
      </c>
      <c r="H8851">
        <v>1</v>
      </c>
      <c r="I8851">
        <f>1</f>
        <v>1</v>
      </c>
    </row>
    <row r="8852" spans="2:9" x14ac:dyDescent="0.25">
      <c r="B8852">
        <v>0</v>
      </c>
      <c r="C8852" s="16" t="s">
        <v>17907</v>
      </c>
      <c r="D8852" s="16"/>
      <c r="E8852">
        <v>6</v>
      </c>
      <c r="F8852" t="s">
        <v>8568</v>
      </c>
      <c r="G8852">
        <v>1</v>
      </c>
      <c r="H8852">
        <v>1</v>
      </c>
      <c r="I8852">
        <f>1</f>
        <v>1</v>
      </c>
    </row>
    <row r="8853" spans="2:9" x14ac:dyDescent="0.25">
      <c r="B8853">
        <v>0</v>
      </c>
      <c r="C8853" s="16" t="s">
        <v>17908</v>
      </c>
      <c r="D8853" s="16"/>
      <c r="E8853">
        <v>6</v>
      </c>
      <c r="F8853" t="s">
        <v>4690</v>
      </c>
      <c r="G8853">
        <v>1</v>
      </c>
      <c r="H8853">
        <v>1</v>
      </c>
      <c r="I8853">
        <f>1</f>
        <v>1</v>
      </c>
    </row>
    <row r="8854" spans="2:9" x14ac:dyDescent="0.25">
      <c r="B8854">
        <v>0</v>
      </c>
      <c r="C8854" s="16" t="s">
        <v>17909</v>
      </c>
      <c r="D8854" s="16"/>
      <c r="E8854">
        <v>6</v>
      </c>
      <c r="F8854" t="s">
        <v>8569</v>
      </c>
      <c r="G8854">
        <v>1</v>
      </c>
      <c r="H8854">
        <v>1</v>
      </c>
      <c r="I8854">
        <f>1</f>
        <v>1</v>
      </c>
    </row>
    <row r="8855" spans="2:9" x14ac:dyDescent="0.25">
      <c r="B8855">
        <v>0</v>
      </c>
      <c r="C8855" s="16" t="s">
        <v>17910</v>
      </c>
      <c r="D8855" s="16"/>
      <c r="E8855">
        <v>6</v>
      </c>
      <c r="F8855" t="s">
        <v>4690</v>
      </c>
      <c r="G8855">
        <v>1</v>
      </c>
      <c r="H8855">
        <v>1</v>
      </c>
      <c r="I8855">
        <f>1</f>
        <v>1</v>
      </c>
    </row>
    <row r="8856" spans="2:9" x14ac:dyDescent="0.25">
      <c r="B8856">
        <v>0</v>
      </c>
      <c r="C8856" s="16" t="s">
        <v>17911</v>
      </c>
      <c r="D8856" s="16"/>
      <c r="E8856">
        <v>6</v>
      </c>
      <c r="F8856" t="s">
        <v>4680</v>
      </c>
      <c r="G8856">
        <v>1</v>
      </c>
      <c r="H8856">
        <v>1</v>
      </c>
      <c r="I8856">
        <f>1</f>
        <v>1</v>
      </c>
    </row>
    <row r="8857" spans="2:9" x14ac:dyDescent="0.25">
      <c r="B8857">
        <v>0</v>
      </c>
      <c r="C8857" s="16" t="s">
        <v>17912</v>
      </c>
      <c r="D8857" s="16"/>
      <c r="E8857">
        <v>6</v>
      </c>
      <c r="F8857" t="s">
        <v>8570</v>
      </c>
      <c r="G8857">
        <v>1</v>
      </c>
      <c r="H8857">
        <v>1</v>
      </c>
      <c r="I8857">
        <f>1</f>
        <v>1</v>
      </c>
    </row>
    <row r="8858" spans="2:9" x14ac:dyDescent="0.25">
      <c r="B8858">
        <v>0</v>
      </c>
      <c r="C8858" s="16" t="s">
        <v>17913</v>
      </c>
      <c r="D8858" s="16"/>
      <c r="E8858">
        <v>6</v>
      </c>
      <c r="F8858" t="e">
        <f>-Juntas metaloplásticas</f>
        <v>#NAME?</v>
      </c>
      <c r="G8858">
        <v>1</v>
      </c>
      <c r="H8858">
        <v>1</v>
      </c>
      <c r="I8858">
        <f>1</f>
        <v>1</v>
      </c>
    </row>
    <row r="8859" spans="2:9" x14ac:dyDescent="0.25">
      <c r="B8859">
        <v>0</v>
      </c>
      <c r="C8859" s="16" t="s">
        <v>17914</v>
      </c>
      <c r="D8859" s="16"/>
      <c r="E8859">
        <v>6</v>
      </c>
      <c r="F8859" t="e">
        <f>-Juntas De vedação Mecânicas</f>
        <v>#NAME?</v>
      </c>
      <c r="G8859">
        <v>1</v>
      </c>
      <c r="H8859">
        <v>1</v>
      </c>
      <c r="I8859">
        <f>1</f>
        <v>1</v>
      </c>
    </row>
    <row r="8860" spans="2:9" x14ac:dyDescent="0.25">
      <c r="B8860">
        <v>0</v>
      </c>
      <c r="C8860" s="16" t="s">
        <v>17915</v>
      </c>
      <c r="D8860" s="16"/>
      <c r="E8860">
        <v>6</v>
      </c>
      <c r="F8860" t="e">
        <f>-outros</f>
        <v>#NAME?</v>
      </c>
      <c r="G8860">
        <v>1</v>
      </c>
      <c r="H8860">
        <v>1</v>
      </c>
      <c r="I8860">
        <f>1</f>
        <v>1</v>
      </c>
    </row>
    <row r="8861" spans="2:9" x14ac:dyDescent="0.25">
      <c r="B8861">
        <v>0</v>
      </c>
      <c r="C8861" s="16" t="s">
        <v>17916</v>
      </c>
      <c r="D8861" s="16"/>
      <c r="E8861">
        <v>6</v>
      </c>
      <c r="F8861" t="e">
        <f>-máquinas e aparelhos para a fabricação De “esferas”  boules  ou De plaquetas  wafers</f>
        <v>#NAME?</v>
      </c>
      <c r="G8861">
        <v>1</v>
      </c>
      <c r="H8861">
        <v>1</v>
      </c>
      <c r="I8861">
        <f>1</f>
        <v>1</v>
      </c>
    </row>
    <row r="8862" spans="2:9" x14ac:dyDescent="0.25">
      <c r="B8862">
        <v>0</v>
      </c>
      <c r="C8862" s="16" t="s">
        <v>17917</v>
      </c>
      <c r="D8862" s="16"/>
      <c r="E8862">
        <v>6</v>
      </c>
      <c r="F8862" t="e">
        <f>-máquinas e aparelhos para a fabricação De dispositivos semicondutores ou De circuitos integrados eletrônicos</f>
        <v>#NAME?</v>
      </c>
      <c r="G8862">
        <v>1</v>
      </c>
      <c r="H8862">
        <v>1</v>
      </c>
      <c r="I8862">
        <f>1</f>
        <v>1</v>
      </c>
    </row>
    <row r="8863" spans="2:9" x14ac:dyDescent="0.25">
      <c r="B8863">
        <v>0</v>
      </c>
      <c r="C8863" s="16" t="s">
        <v>17918</v>
      </c>
      <c r="D8863" s="16"/>
      <c r="E8863">
        <v>6</v>
      </c>
      <c r="F8863" t="e">
        <f>-máquinas e aparelhos para a fabricação De dispositivos De visualização De tela plana</f>
        <v>#NAME?</v>
      </c>
      <c r="G8863">
        <v>1</v>
      </c>
      <c r="H8863">
        <v>1</v>
      </c>
      <c r="I8863">
        <f>1</f>
        <v>1</v>
      </c>
    </row>
    <row r="8864" spans="2:9" x14ac:dyDescent="0.25">
      <c r="B8864">
        <v>0</v>
      </c>
      <c r="C8864" s="16" t="s">
        <v>17919</v>
      </c>
      <c r="D8864" s="16"/>
      <c r="E8864">
        <v>6</v>
      </c>
      <c r="F8864" t="s">
        <v>8571</v>
      </c>
      <c r="G8864">
        <v>1</v>
      </c>
      <c r="H8864">
        <v>1</v>
      </c>
      <c r="I8864">
        <f>1</f>
        <v>1</v>
      </c>
    </row>
    <row r="8865" spans="2:9" x14ac:dyDescent="0.25">
      <c r="B8865">
        <v>0</v>
      </c>
      <c r="C8865" s="16" t="s">
        <v>17920</v>
      </c>
      <c r="D8865" s="16"/>
      <c r="E8865">
        <v>6</v>
      </c>
      <c r="F8865" t="e">
        <f>-Partes e acessórios</f>
        <v>#NAME?</v>
      </c>
      <c r="G8865">
        <v>1</v>
      </c>
      <c r="H8865">
        <v>1</v>
      </c>
      <c r="I8865">
        <f>1</f>
        <v>1</v>
      </c>
    </row>
    <row r="8866" spans="2:9" x14ac:dyDescent="0.25">
      <c r="B8866">
        <v>0</v>
      </c>
      <c r="C8866" s="16" t="s">
        <v>17921</v>
      </c>
      <c r="D8866" s="16"/>
      <c r="E8866">
        <v>6</v>
      </c>
      <c r="F8866" t="e">
        <f>-Hélices para embarcações e suas Pás</f>
        <v>#NAME?</v>
      </c>
      <c r="G8866">
        <v>1</v>
      </c>
      <c r="H8866">
        <v>1</v>
      </c>
      <c r="I8866">
        <f>1</f>
        <v>1</v>
      </c>
    </row>
    <row r="8867" spans="2:9" x14ac:dyDescent="0.25">
      <c r="B8867">
        <v>0</v>
      </c>
      <c r="C8867" s="16" t="s">
        <v>17922</v>
      </c>
      <c r="D8867" s="16"/>
      <c r="E8867">
        <v>6</v>
      </c>
      <c r="F8867" t="e">
        <f>-Outras</f>
        <v>#NAME?</v>
      </c>
      <c r="G8867">
        <v>1</v>
      </c>
      <c r="H8867">
        <v>1</v>
      </c>
      <c r="I8867">
        <f>1</f>
        <v>1</v>
      </c>
    </row>
    <row r="8868" spans="2:9" x14ac:dyDescent="0.25">
      <c r="B8868">
        <v>0</v>
      </c>
      <c r="C8868" s="16" t="s">
        <v>17923</v>
      </c>
      <c r="D8868" s="16"/>
      <c r="E8868">
        <v>6</v>
      </c>
      <c r="F8868" t="s">
        <v>8572</v>
      </c>
      <c r="G8868">
        <v>1</v>
      </c>
      <c r="H8868">
        <v>1</v>
      </c>
      <c r="I8868">
        <f>1</f>
        <v>1</v>
      </c>
    </row>
    <row r="8869" spans="2:9" x14ac:dyDescent="0.25">
      <c r="B8869">
        <v>0</v>
      </c>
      <c r="C8869" s="16" t="s">
        <v>17923</v>
      </c>
      <c r="D8869" s="16" t="s">
        <v>19430</v>
      </c>
      <c r="E8869">
        <v>6</v>
      </c>
      <c r="F8869" t="s">
        <v>8573</v>
      </c>
      <c r="G8869">
        <v>1</v>
      </c>
      <c r="H8869">
        <v>1</v>
      </c>
      <c r="I8869">
        <f>1</f>
        <v>1</v>
      </c>
    </row>
    <row r="8870" spans="2:9" x14ac:dyDescent="0.25">
      <c r="B8870">
        <v>0</v>
      </c>
      <c r="C8870" s="16" t="s">
        <v>17924</v>
      </c>
      <c r="D8870" s="16"/>
      <c r="E8870">
        <v>6</v>
      </c>
      <c r="F8870" t="s">
        <v>4680</v>
      </c>
      <c r="G8870">
        <v>1</v>
      </c>
      <c r="H8870">
        <v>1</v>
      </c>
      <c r="I8870">
        <f>1</f>
        <v>1</v>
      </c>
    </row>
    <row r="8871" spans="2:9" x14ac:dyDescent="0.25">
      <c r="B8871">
        <v>0</v>
      </c>
      <c r="C8871" s="16" t="s">
        <v>17925</v>
      </c>
      <c r="D8871" s="16"/>
      <c r="E8871">
        <v>6</v>
      </c>
      <c r="F8871" t="s">
        <v>8574</v>
      </c>
      <c r="G8871">
        <v>1</v>
      </c>
      <c r="H8871">
        <v>1</v>
      </c>
      <c r="I8871">
        <f>1</f>
        <v>1</v>
      </c>
    </row>
    <row r="8872" spans="2:9" x14ac:dyDescent="0.25">
      <c r="B8872">
        <v>0</v>
      </c>
      <c r="C8872" s="16" t="s">
        <v>17926</v>
      </c>
      <c r="D8872" s="16"/>
      <c r="E8872">
        <v>6</v>
      </c>
      <c r="F8872" t="s">
        <v>4680</v>
      </c>
      <c r="G8872">
        <v>1</v>
      </c>
      <c r="H8872">
        <v>1</v>
      </c>
      <c r="I8872">
        <f>1</f>
        <v>1</v>
      </c>
    </row>
    <row r="8873" spans="2:9" x14ac:dyDescent="0.25">
      <c r="B8873">
        <v>0</v>
      </c>
      <c r="C8873" s="16" t="s">
        <v>17927</v>
      </c>
      <c r="D8873" s="16"/>
      <c r="E8873">
        <v>6</v>
      </c>
      <c r="F8873" t="s">
        <v>8575</v>
      </c>
      <c r="G8873">
        <v>1</v>
      </c>
      <c r="H8873">
        <v>1</v>
      </c>
      <c r="I8873">
        <f>1</f>
        <v>1</v>
      </c>
    </row>
    <row r="8874" spans="2:9" x14ac:dyDescent="0.25">
      <c r="B8874">
        <v>0</v>
      </c>
      <c r="C8874" s="16" t="s">
        <v>17928</v>
      </c>
      <c r="D8874" s="16"/>
      <c r="E8874">
        <v>6</v>
      </c>
      <c r="F8874" t="s">
        <v>8576</v>
      </c>
      <c r="G8874">
        <v>1</v>
      </c>
      <c r="H8874">
        <v>1</v>
      </c>
      <c r="I8874">
        <f>1</f>
        <v>1</v>
      </c>
    </row>
    <row r="8875" spans="2:9" x14ac:dyDescent="0.25">
      <c r="B8875">
        <v>0</v>
      </c>
      <c r="C8875" s="16" t="s">
        <v>17929</v>
      </c>
      <c r="D8875" s="16"/>
      <c r="E8875">
        <v>6</v>
      </c>
      <c r="F8875" t="s">
        <v>8577</v>
      </c>
      <c r="G8875">
        <v>1</v>
      </c>
      <c r="H8875">
        <v>1</v>
      </c>
      <c r="I8875">
        <f>1</f>
        <v>1</v>
      </c>
    </row>
    <row r="8876" spans="2:9" x14ac:dyDescent="0.25">
      <c r="B8876">
        <v>0</v>
      </c>
      <c r="C8876" s="16" t="s">
        <v>17930</v>
      </c>
      <c r="D8876" s="16"/>
      <c r="E8876">
        <v>6</v>
      </c>
      <c r="F8876" t="s">
        <v>8578</v>
      </c>
      <c r="G8876">
        <v>1</v>
      </c>
      <c r="H8876">
        <v>1</v>
      </c>
      <c r="I8876">
        <f>1</f>
        <v>1</v>
      </c>
    </row>
    <row r="8877" spans="2:9" x14ac:dyDescent="0.25">
      <c r="B8877">
        <v>0</v>
      </c>
      <c r="C8877" s="16" t="s">
        <v>17931</v>
      </c>
      <c r="D8877" s="16"/>
      <c r="E8877">
        <v>6</v>
      </c>
      <c r="F8877" t="s">
        <v>8577</v>
      </c>
      <c r="G8877">
        <v>1</v>
      </c>
      <c r="H8877">
        <v>1</v>
      </c>
      <c r="I8877">
        <f>1</f>
        <v>1</v>
      </c>
    </row>
    <row r="8878" spans="2:9" x14ac:dyDescent="0.25">
      <c r="B8878">
        <v>0</v>
      </c>
      <c r="C8878" s="16" t="s">
        <v>17932</v>
      </c>
      <c r="D8878" s="16"/>
      <c r="E8878">
        <v>6</v>
      </c>
      <c r="F8878" t="s">
        <v>8578</v>
      </c>
      <c r="G8878">
        <v>1</v>
      </c>
      <c r="H8878">
        <v>1</v>
      </c>
      <c r="I8878">
        <f>1</f>
        <v>1</v>
      </c>
    </row>
    <row r="8879" spans="2:9" x14ac:dyDescent="0.25">
      <c r="B8879">
        <v>0</v>
      </c>
      <c r="C8879" s="16" t="s">
        <v>17933</v>
      </c>
      <c r="D8879" s="16"/>
      <c r="E8879">
        <v>6</v>
      </c>
      <c r="F8879" t="s">
        <v>8577</v>
      </c>
      <c r="G8879">
        <v>1</v>
      </c>
      <c r="H8879">
        <v>1</v>
      </c>
      <c r="I8879">
        <f>1</f>
        <v>1</v>
      </c>
    </row>
    <row r="8880" spans="2:9" x14ac:dyDescent="0.25">
      <c r="B8880">
        <v>0</v>
      </c>
      <c r="C8880" s="16" t="s">
        <v>17934</v>
      </c>
      <c r="D8880" s="16"/>
      <c r="E8880">
        <v>6</v>
      </c>
      <c r="F8880" t="s">
        <v>8578</v>
      </c>
      <c r="G8880">
        <v>1</v>
      </c>
      <c r="H8880">
        <v>1</v>
      </c>
      <c r="I8880">
        <f>1</f>
        <v>1</v>
      </c>
    </row>
    <row r="8881" spans="2:9" x14ac:dyDescent="0.25">
      <c r="B8881">
        <v>0</v>
      </c>
      <c r="C8881" s="16" t="s">
        <v>17935</v>
      </c>
      <c r="D8881" s="16"/>
      <c r="E8881">
        <v>6</v>
      </c>
      <c r="F8881" t="s">
        <v>8579</v>
      </c>
      <c r="G8881">
        <v>1</v>
      </c>
      <c r="H8881">
        <v>1</v>
      </c>
      <c r="I8881">
        <f>1</f>
        <v>1</v>
      </c>
    </row>
    <row r="8882" spans="2:9" x14ac:dyDescent="0.25">
      <c r="B8882">
        <v>0</v>
      </c>
      <c r="C8882" s="16" t="s">
        <v>17936</v>
      </c>
      <c r="D8882" s="16"/>
      <c r="E8882">
        <v>6</v>
      </c>
      <c r="F8882" t="s">
        <v>4680</v>
      </c>
      <c r="G8882">
        <v>1</v>
      </c>
      <c r="H8882">
        <v>1</v>
      </c>
      <c r="I8882">
        <f>1</f>
        <v>1</v>
      </c>
    </row>
    <row r="8883" spans="2:9" x14ac:dyDescent="0.25">
      <c r="B8883">
        <v>0</v>
      </c>
      <c r="C8883" s="16" t="s">
        <v>17937</v>
      </c>
      <c r="D8883" s="16"/>
      <c r="E8883">
        <v>6</v>
      </c>
      <c r="F8883" t="s">
        <v>8578</v>
      </c>
      <c r="G8883">
        <v>1</v>
      </c>
      <c r="H8883">
        <v>1</v>
      </c>
      <c r="I8883">
        <f>1</f>
        <v>1</v>
      </c>
    </row>
    <row r="8884" spans="2:9" x14ac:dyDescent="0.25">
      <c r="B8884">
        <v>0</v>
      </c>
      <c r="C8884" s="16" t="s">
        <v>17938</v>
      </c>
      <c r="D8884" s="16"/>
      <c r="E8884">
        <v>6</v>
      </c>
      <c r="F8884" t="s">
        <v>8574</v>
      </c>
      <c r="G8884">
        <v>1</v>
      </c>
      <c r="H8884">
        <v>1</v>
      </c>
      <c r="I8884">
        <f>1</f>
        <v>1</v>
      </c>
    </row>
    <row r="8885" spans="2:9" x14ac:dyDescent="0.25">
      <c r="B8885">
        <v>0</v>
      </c>
      <c r="C8885" s="16" t="s">
        <v>17939</v>
      </c>
      <c r="D8885" s="16"/>
      <c r="E8885">
        <v>6</v>
      </c>
      <c r="F8885" t="s">
        <v>4680</v>
      </c>
      <c r="G8885">
        <v>1</v>
      </c>
      <c r="H8885">
        <v>1</v>
      </c>
      <c r="I8885">
        <f>1</f>
        <v>1</v>
      </c>
    </row>
    <row r="8886" spans="2:9" x14ac:dyDescent="0.25">
      <c r="B8886">
        <v>0</v>
      </c>
      <c r="C8886" s="16" t="s">
        <v>17940</v>
      </c>
      <c r="D8886" s="16"/>
      <c r="E8886">
        <v>6</v>
      </c>
      <c r="F8886" t="s">
        <v>8574</v>
      </c>
      <c r="G8886">
        <v>1</v>
      </c>
      <c r="H8886">
        <v>1</v>
      </c>
      <c r="I8886">
        <f>1</f>
        <v>1</v>
      </c>
    </row>
    <row r="8887" spans="2:9" x14ac:dyDescent="0.25">
      <c r="B8887">
        <v>0</v>
      </c>
      <c r="C8887" s="16" t="s">
        <v>17941</v>
      </c>
      <c r="D8887" s="16"/>
      <c r="E8887">
        <v>6</v>
      </c>
      <c r="F8887" t="s">
        <v>4680</v>
      </c>
      <c r="G8887">
        <v>1</v>
      </c>
      <c r="H8887">
        <v>1</v>
      </c>
      <c r="I8887">
        <f>1</f>
        <v>1</v>
      </c>
    </row>
    <row r="8888" spans="2:9" x14ac:dyDescent="0.25">
      <c r="B8888">
        <v>0</v>
      </c>
      <c r="C8888" s="16" t="s">
        <v>17942</v>
      </c>
      <c r="D8888" s="16"/>
      <c r="E8888">
        <v>6</v>
      </c>
      <c r="F8888" t="s">
        <v>8580</v>
      </c>
      <c r="G8888">
        <v>1</v>
      </c>
      <c r="H8888">
        <v>1</v>
      </c>
      <c r="I8888">
        <f>1</f>
        <v>1</v>
      </c>
    </row>
    <row r="8889" spans="2:9" x14ac:dyDescent="0.25">
      <c r="B8889">
        <v>0</v>
      </c>
      <c r="C8889" s="16" t="s">
        <v>17942</v>
      </c>
      <c r="D8889" s="16" t="s">
        <v>19430</v>
      </c>
      <c r="E8889">
        <v>6</v>
      </c>
      <c r="F8889" t="s">
        <v>8581</v>
      </c>
      <c r="G8889">
        <v>1</v>
      </c>
      <c r="H8889">
        <v>1</v>
      </c>
      <c r="I8889">
        <f>1</f>
        <v>1</v>
      </c>
    </row>
    <row r="8890" spans="2:9" x14ac:dyDescent="0.25">
      <c r="B8890">
        <v>0</v>
      </c>
      <c r="C8890" s="16" t="s">
        <v>17943</v>
      </c>
      <c r="D8890" s="16"/>
      <c r="E8890">
        <v>6</v>
      </c>
      <c r="F8890" t="s">
        <v>8582</v>
      </c>
      <c r="G8890">
        <v>1</v>
      </c>
      <c r="H8890">
        <v>1</v>
      </c>
      <c r="I8890">
        <f>1</f>
        <v>1</v>
      </c>
    </row>
    <row r="8891" spans="2:9" x14ac:dyDescent="0.25">
      <c r="B8891">
        <v>0</v>
      </c>
      <c r="C8891" s="16" t="s">
        <v>17944</v>
      </c>
      <c r="D8891" s="16"/>
      <c r="E8891">
        <v>6</v>
      </c>
      <c r="F8891" t="s">
        <v>4680</v>
      </c>
      <c r="G8891">
        <v>1</v>
      </c>
      <c r="H8891">
        <v>1</v>
      </c>
      <c r="I8891">
        <f>1</f>
        <v>1</v>
      </c>
    </row>
    <row r="8892" spans="2:9" x14ac:dyDescent="0.25">
      <c r="B8892">
        <v>0</v>
      </c>
      <c r="C8892" s="16" t="s">
        <v>17945</v>
      </c>
      <c r="D8892" s="16"/>
      <c r="E8892">
        <v>6</v>
      </c>
      <c r="F8892" t="s">
        <v>8580</v>
      </c>
      <c r="G8892">
        <v>1</v>
      </c>
      <c r="H8892">
        <v>1</v>
      </c>
      <c r="I8892">
        <f>1</f>
        <v>1</v>
      </c>
    </row>
    <row r="8893" spans="2:9" x14ac:dyDescent="0.25">
      <c r="B8893">
        <v>0</v>
      </c>
      <c r="C8893" s="16" t="s">
        <v>17946</v>
      </c>
      <c r="D8893" s="16"/>
      <c r="E8893">
        <v>6</v>
      </c>
      <c r="F8893" t="s">
        <v>8582</v>
      </c>
      <c r="G8893">
        <v>1</v>
      </c>
      <c r="H8893">
        <v>1</v>
      </c>
      <c r="I8893">
        <f>1</f>
        <v>1</v>
      </c>
    </row>
    <row r="8894" spans="2:9" x14ac:dyDescent="0.25">
      <c r="B8894">
        <v>0</v>
      </c>
      <c r="C8894" s="16" t="s">
        <v>17947</v>
      </c>
      <c r="D8894" s="16"/>
      <c r="E8894">
        <v>6</v>
      </c>
      <c r="F8894" t="s">
        <v>4680</v>
      </c>
      <c r="G8894">
        <v>1</v>
      </c>
      <c r="H8894">
        <v>1</v>
      </c>
      <c r="I8894">
        <f>1</f>
        <v>1</v>
      </c>
    </row>
    <row r="8895" spans="2:9" x14ac:dyDescent="0.25">
      <c r="B8895">
        <v>0</v>
      </c>
      <c r="C8895" s="16" t="s">
        <v>17948</v>
      </c>
      <c r="D8895" s="16"/>
      <c r="E8895">
        <v>6</v>
      </c>
      <c r="F8895" t="s">
        <v>8583</v>
      </c>
      <c r="G8895">
        <v>1</v>
      </c>
      <c r="H8895">
        <v>1</v>
      </c>
      <c r="I8895">
        <f>1</f>
        <v>1</v>
      </c>
    </row>
    <row r="8896" spans="2:9" x14ac:dyDescent="0.25">
      <c r="B8896">
        <v>0</v>
      </c>
      <c r="C8896" s="16" t="s">
        <v>17949</v>
      </c>
      <c r="D8896" s="16"/>
      <c r="E8896">
        <v>6</v>
      </c>
      <c r="F8896" t="s">
        <v>8584</v>
      </c>
      <c r="G8896">
        <v>1</v>
      </c>
      <c r="H8896">
        <v>1</v>
      </c>
      <c r="I8896">
        <f>1</f>
        <v>1</v>
      </c>
    </row>
    <row r="8897" spans="2:9" x14ac:dyDescent="0.25">
      <c r="B8897">
        <v>0</v>
      </c>
      <c r="C8897" s="16" t="s">
        <v>17950</v>
      </c>
      <c r="D8897" s="16"/>
      <c r="E8897">
        <v>6</v>
      </c>
      <c r="F8897" t="s">
        <v>8585</v>
      </c>
      <c r="G8897">
        <v>1</v>
      </c>
      <c r="H8897">
        <v>1</v>
      </c>
      <c r="I8897">
        <f>1</f>
        <v>1</v>
      </c>
    </row>
    <row r="8898" spans="2:9" x14ac:dyDescent="0.25">
      <c r="B8898">
        <v>0</v>
      </c>
      <c r="C8898" s="16" t="s">
        <v>17951</v>
      </c>
      <c r="D8898" s="16"/>
      <c r="E8898">
        <v>6</v>
      </c>
      <c r="F8898" t="s">
        <v>4680</v>
      </c>
      <c r="G8898">
        <v>1</v>
      </c>
      <c r="H8898">
        <v>1</v>
      </c>
      <c r="I8898">
        <f>1</f>
        <v>1</v>
      </c>
    </row>
    <row r="8899" spans="2:9" x14ac:dyDescent="0.25">
      <c r="B8899">
        <v>0</v>
      </c>
      <c r="C8899" s="16" t="s">
        <v>17952</v>
      </c>
      <c r="D8899" s="16"/>
      <c r="E8899">
        <v>6</v>
      </c>
      <c r="F8899" t="s">
        <v>8586</v>
      </c>
      <c r="G8899">
        <v>1</v>
      </c>
      <c r="H8899">
        <v>1</v>
      </c>
      <c r="I8899">
        <f>1</f>
        <v>1</v>
      </c>
    </row>
    <row r="8900" spans="2:9" x14ac:dyDescent="0.25">
      <c r="B8900">
        <v>0</v>
      </c>
      <c r="C8900" s="16" t="s">
        <v>17953</v>
      </c>
      <c r="D8900" s="16"/>
      <c r="E8900">
        <v>6</v>
      </c>
      <c r="F8900" t="s">
        <v>8587</v>
      </c>
      <c r="G8900">
        <v>1</v>
      </c>
      <c r="H8900">
        <v>1</v>
      </c>
      <c r="I8900">
        <f>1</f>
        <v>1</v>
      </c>
    </row>
    <row r="8901" spans="2:9" x14ac:dyDescent="0.25">
      <c r="B8901">
        <v>0</v>
      </c>
      <c r="C8901" s="16" t="s">
        <v>17954</v>
      </c>
      <c r="D8901" s="16"/>
      <c r="E8901">
        <v>6</v>
      </c>
      <c r="F8901" t="s">
        <v>8588</v>
      </c>
      <c r="G8901">
        <v>1</v>
      </c>
      <c r="H8901">
        <v>1</v>
      </c>
      <c r="I8901">
        <f>1</f>
        <v>1</v>
      </c>
    </row>
    <row r="8902" spans="2:9" x14ac:dyDescent="0.25">
      <c r="B8902">
        <v>0</v>
      </c>
      <c r="C8902" s="16" t="s">
        <v>17955</v>
      </c>
      <c r="D8902" s="16"/>
      <c r="E8902">
        <v>6</v>
      </c>
      <c r="F8902" t="s">
        <v>8589</v>
      </c>
      <c r="G8902">
        <v>1</v>
      </c>
      <c r="H8902">
        <v>1</v>
      </c>
      <c r="I8902">
        <f>1</f>
        <v>1</v>
      </c>
    </row>
    <row r="8903" spans="2:9" x14ac:dyDescent="0.25">
      <c r="B8903">
        <v>0</v>
      </c>
      <c r="C8903" s="16" t="s">
        <v>17956</v>
      </c>
      <c r="D8903" s="16"/>
      <c r="E8903">
        <v>6</v>
      </c>
      <c r="F8903" t="s">
        <v>8590</v>
      </c>
      <c r="G8903">
        <v>1</v>
      </c>
      <c r="H8903">
        <v>1</v>
      </c>
      <c r="I8903">
        <f>1</f>
        <v>1</v>
      </c>
    </row>
    <row r="8904" spans="2:9" x14ac:dyDescent="0.25">
      <c r="B8904">
        <v>0</v>
      </c>
      <c r="C8904" s="16" t="s">
        <v>17957</v>
      </c>
      <c r="D8904" s="16"/>
      <c r="E8904">
        <v>6</v>
      </c>
      <c r="F8904" t="s">
        <v>4680</v>
      </c>
      <c r="G8904">
        <v>1</v>
      </c>
      <c r="H8904">
        <v>1</v>
      </c>
      <c r="I8904">
        <f>1</f>
        <v>1</v>
      </c>
    </row>
    <row r="8905" spans="2:9" x14ac:dyDescent="0.25">
      <c r="B8905">
        <v>0</v>
      </c>
      <c r="C8905" s="16" t="s">
        <v>17958</v>
      </c>
      <c r="D8905" s="16"/>
      <c r="E8905">
        <v>6</v>
      </c>
      <c r="F8905" t="s">
        <v>8590</v>
      </c>
      <c r="G8905">
        <v>1</v>
      </c>
      <c r="H8905">
        <v>1</v>
      </c>
      <c r="I8905">
        <f>1</f>
        <v>1</v>
      </c>
    </row>
    <row r="8906" spans="2:9" x14ac:dyDescent="0.25">
      <c r="B8906">
        <v>0</v>
      </c>
      <c r="C8906" s="16" t="s">
        <v>17959</v>
      </c>
      <c r="D8906" s="16"/>
      <c r="E8906">
        <v>6</v>
      </c>
      <c r="F8906" t="s">
        <v>4680</v>
      </c>
      <c r="G8906">
        <v>1</v>
      </c>
      <c r="H8906">
        <v>1</v>
      </c>
      <c r="I8906">
        <f>1</f>
        <v>1</v>
      </c>
    </row>
    <row r="8907" spans="2:9" x14ac:dyDescent="0.25">
      <c r="B8907">
        <v>0</v>
      </c>
      <c r="C8907" s="16" t="s">
        <v>17960</v>
      </c>
      <c r="D8907" s="16"/>
      <c r="E8907">
        <v>6</v>
      </c>
      <c r="F8907" t="s">
        <v>8591</v>
      </c>
      <c r="G8907">
        <v>1</v>
      </c>
      <c r="H8907">
        <v>1</v>
      </c>
      <c r="I8907">
        <f>1</f>
        <v>1</v>
      </c>
    </row>
    <row r="8908" spans="2:9" x14ac:dyDescent="0.25">
      <c r="B8908">
        <v>0</v>
      </c>
      <c r="C8908" s="16" t="s">
        <v>17961</v>
      </c>
      <c r="D8908" s="16"/>
      <c r="E8908">
        <v>6</v>
      </c>
      <c r="F8908" t="s">
        <v>4680</v>
      </c>
      <c r="G8908">
        <v>1</v>
      </c>
      <c r="H8908">
        <v>1</v>
      </c>
      <c r="I8908">
        <f>1</f>
        <v>1</v>
      </c>
    </row>
    <row r="8909" spans="2:9" x14ac:dyDescent="0.25">
      <c r="B8909">
        <v>0</v>
      </c>
      <c r="C8909" s="16" t="s">
        <v>17962</v>
      </c>
      <c r="D8909" s="16"/>
      <c r="E8909">
        <v>6</v>
      </c>
      <c r="F8909" t="s">
        <v>4680</v>
      </c>
      <c r="G8909">
        <v>1</v>
      </c>
      <c r="H8909">
        <v>1</v>
      </c>
      <c r="I8909">
        <f>1</f>
        <v>1</v>
      </c>
    </row>
    <row r="8910" spans="2:9" x14ac:dyDescent="0.25">
      <c r="B8910">
        <v>0</v>
      </c>
      <c r="C8910" s="16" t="s">
        <v>17963</v>
      </c>
      <c r="D8910" s="16"/>
      <c r="E8910">
        <v>6</v>
      </c>
      <c r="F8910" t="s">
        <v>8592</v>
      </c>
      <c r="G8910">
        <v>1</v>
      </c>
      <c r="H8910">
        <v>1</v>
      </c>
      <c r="I8910">
        <f>1</f>
        <v>1</v>
      </c>
    </row>
    <row r="8911" spans="2:9" x14ac:dyDescent="0.25">
      <c r="B8911">
        <v>0</v>
      </c>
      <c r="C8911" s="16" t="s">
        <v>17964</v>
      </c>
      <c r="D8911" s="16"/>
      <c r="E8911">
        <v>6</v>
      </c>
      <c r="F8911" t="s">
        <v>4680</v>
      </c>
      <c r="G8911">
        <v>1</v>
      </c>
      <c r="H8911">
        <v>1</v>
      </c>
      <c r="I8911">
        <f>1</f>
        <v>1</v>
      </c>
    </row>
    <row r="8912" spans="2:9" x14ac:dyDescent="0.25">
      <c r="B8912">
        <v>0</v>
      </c>
      <c r="C8912" s="16" t="s">
        <v>17965</v>
      </c>
      <c r="D8912" s="16"/>
      <c r="E8912">
        <v>6</v>
      </c>
      <c r="F8912" t="s">
        <v>4680</v>
      </c>
      <c r="G8912">
        <v>1</v>
      </c>
      <c r="H8912">
        <v>1</v>
      </c>
      <c r="I8912">
        <f>1</f>
        <v>1</v>
      </c>
    </row>
    <row r="8913" spans="2:9" x14ac:dyDescent="0.25">
      <c r="B8913">
        <v>0</v>
      </c>
      <c r="C8913" s="16" t="s">
        <v>17966</v>
      </c>
      <c r="D8913" s="16"/>
      <c r="E8913">
        <v>6</v>
      </c>
      <c r="F8913" t="e">
        <f>--De energia eólica</f>
        <v>#NAME?</v>
      </c>
      <c r="G8913">
        <v>1</v>
      </c>
      <c r="H8913">
        <v>1</v>
      </c>
      <c r="I8913">
        <f>1</f>
        <v>1</v>
      </c>
    </row>
    <row r="8914" spans="2:9" x14ac:dyDescent="0.25">
      <c r="B8914">
        <v>0</v>
      </c>
      <c r="C8914" s="16" t="s">
        <v>17967</v>
      </c>
      <c r="D8914" s="16"/>
      <c r="E8914">
        <v>6</v>
      </c>
      <c r="F8914" t="e">
        <f>--outros</f>
        <v>#NAME?</v>
      </c>
      <c r="G8914">
        <v>1</v>
      </c>
      <c r="H8914">
        <v>1</v>
      </c>
      <c r="I8914">
        <f>1</f>
        <v>1</v>
      </c>
    </row>
    <row r="8915" spans="2:9" x14ac:dyDescent="0.25">
      <c r="B8915">
        <v>0</v>
      </c>
      <c r="C8915" s="16" t="s">
        <v>17968</v>
      </c>
      <c r="D8915" s="16"/>
      <c r="E8915">
        <v>6</v>
      </c>
      <c r="F8915" t="s">
        <v>8593</v>
      </c>
      <c r="G8915">
        <v>1</v>
      </c>
      <c r="H8915">
        <v>1</v>
      </c>
      <c r="I8915">
        <f>1</f>
        <v>1</v>
      </c>
    </row>
    <row r="8916" spans="2:9" x14ac:dyDescent="0.25">
      <c r="B8916">
        <v>0</v>
      </c>
      <c r="C8916" s="16" t="s">
        <v>17969</v>
      </c>
      <c r="D8916" s="16"/>
      <c r="E8916">
        <v>6</v>
      </c>
      <c r="F8916" t="s">
        <v>4680</v>
      </c>
      <c r="G8916">
        <v>1</v>
      </c>
      <c r="H8916">
        <v>1</v>
      </c>
      <c r="I8916">
        <f>1</f>
        <v>1</v>
      </c>
    </row>
    <row r="8917" spans="2:9" x14ac:dyDescent="0.25">
      <c r="B8917">
        <v>0</v>
      </c>
      <c r="C8917" s="16" t="s">
        <v>17970</v>
      </c>
      <c r="D8917" s="16"/>
      <c r="E8917">
        <v>6</v>
      </c>
      <c r="F8917" t="s">
        <v>8594</v>
      </c>
      <c r="G8917">
        <v>1</v>
      </c>
      <c r="H8917">
        <v>1</v>
      </c>
      <c r="I8917">
        <f>1</f>
        <v>1</v>
      </c>
    </row>
    <row r="8918" spans="2:9" x14ac:dyDescent="0.25">
      <c r="B8918">
        <v>0</v>
      </c>
      <c r="C8918" s="16" t="s">
        <v>17971</v>
      </c>
      <c r="D8918" s="16"/>
      <c r="E8918">
        <v>6</v>
      </c>
      <c r="F8918" t="s">
        <v>4690</v>
      </c>
      <c r="G8918">
        <v>1</v>
      </c>
      <c r="H8918">
        <v>1</v>
      </c>
      <c r="I8918">
        <f>1</f>
        <v>1</v>
      </c>
    </row>
    <row r="8919" spans="2:9" x14ac:dyDescent="0.25">
      <c r="B8919">
        <v>0</v>
      </c>
      <c r="C8919" s="16" t="s">
        <v>17971</v>
      </c>
      <c r="D8919" s="16" t="s">
        <v>19430</v>
      </c>
      <c r="E8919">
        <v>6</v>
      </c>
      <c r="F8919" t="s">
        <v>8595</v>
      </c>
      <c r="G8919">
        <v>1</v>
      </c>
      <c r="H8919">
        <v>1</v>
      </c>
      <c r="I8919">
        <f>1</f>
        <v>1</v>
      </c>
    </row>
    <row r="8920" spans="2:9" x14ac:dyDescent="0.25">
      <c r="B8920">
        <v>0</v>
      </c>
      <c r="C8920" s="16" t="s">
        <v>17972</v>
      </c>
      <c r="D8920" s="16"/>
      <c r="E8920">
        <v>6</v>
      </c>
      <c r="F8920" t="e">
        <f>-reatores para Lâmpadas ou Tubos De descarga</f>
        <v>#NAME?</v>
      </c>
      <c r="G8920">
        <v>1</v>
      </c>
      <c r="H8920">
        <v>1</v>
      </c>
      <c r="I8920">
        <f>1</f>
        <v>1</v>
      </c>
    </row>
    <row r="8921" spans="2:9" x14ac:dyDescent="0.25">
      <c r="B8921">
        <v>0</v>
      </c>
      <c r="C8921" s="16" t="s">
        <v>17973</v>
      </c>
      <c r="D8921" s="16"/>
      <c r="E8921">
        <v>6</v>
      </c>
      <c r="F8921" t="s">
        <v>8596</v>
      </c>
      <c r="G8921">
        <v>1</v>
      </c>
      <c r="H8921">
        <v>1</v>
      </c>
      <c r="I8921">
        <f>1</f>
        <v>1</v>
      </c>
    </row>
    <row r="8922" spans="2:9" x14ac:dyDescent="0.25">
      <c r="B8922">
        <v>0</v>
      </c>
      <c r="C8922" s="16" t="s">
        <v>17974</v>
      </c>
      <c r="D8922" s="16"/>
      <c r="E8922">
        <v>6</v>
      </c>
      <c r="F8922" t="s">
        <v>8597</v>
      </c>
      <c r="G8922">
        <v>1</v>
      </c>
      <c r="H8922">
        <v>1</v>
      </c>
      <c r="I8922">
        <f>1</f>
        <v>1</v>
      </c>
    </row>
    <row r="8923" spans="2:9" x14ac:dyDescent="0.25">
      <c r="B8923">
        <v>0</v>
      </c>
      <c r="C8923" s="16" t="s">
        <v>17975</v>
      </c>
      <c r="D8923" s="16"/>
      <c r="E8923">
        <v>6</v>
      </c>
      <c r="F8923" t="s">
        <v>8598</v>
      </c>
      <c r="G8923">
        <v>1</v>
      </c>
      <c r="H8923">
        <v>1</v>
      </c>
      <c r="I8923">
        <f>1</f>
        <v>1</v>
      </c>
    </row>
    <row r="8924" spans="2:9" x14ac:dyDescent="0.25">
      <c r="B8924">
        <v>0</v>
      </c>
      <c r="C8924" s="16" t="s">
        <v>17976</v>
      </c>
      <c r="D8924" s="16"/>
      <c r="E8924">
        <v>6</v>
      </c>
      <c r="F8924" t="s">
        <v>8599</v>
      </c>
      <c r="G8924">
        <v>1</v>
      </c>
      <c r="H8924">
        <v>1</v>
      </c>
      <c r="I8924">
        <f>1</f>
        <v>1</v>
      </c>
    </row>
    <row r="8925" spans="2:9" x14ac:dyDescent="0.25">
      <c r="B8925">
        <v>0</v>
      </c>
      <c r="C8925" s="16" t="s">
        <v>17977</v>
      </c>
      <c r="D8925" s="16"/>
      <c r="E8925">
        <v>6</v>
      </c>
      <c r="F8925" t="s">
        <v>4680</v>
      </c>
      <c r="G8925">
        <v>1</v>
      </c>
      <c r="H8925">
        <v>1</v>
      </c>
      <c r="I8925">
        <f>1</f>
        <v>1</v>
      </c>
    </row>
    <row r="8926" spans="2:9" x14ac:dyDescent="0.25">
      <c r="B8926">
        <v>0</v>
      </c>
      <c r="C8926" s="16" t="s">
        <v>17978</v>
      </c>
      <c r="D8926" s="16"/>
      <c r="E8926">
        <v>6</v>
      </c>
      <c r="F8926" t="s">
        <v>8600</v>
      </c>
      <c r="G8926">
        <v>1</v>
      </c>
      <c r="H8926">
        <v>1</v>
      </c>
      <c r="I8926">
        <f>1</f>
        <v>1</v>
      </c>
    </row>
    <row r="8927" spans="2:9" x14ac:dyDescent="0.25">
      <c r="B8927">
        <v>0</v>
      </c>
      <c r="C8927" s="16" t="s">
        <v>17979</v>
      </c>
      <c r="D8927" s="16"/>
      <c r="E8927">
        <v>6</v>
      </c>
      <c r="F8927" t="s">
        <v>8601</v>
      </c>
      <c r="G8927">
        <v>1</v>
      </c>
      <c r="H8927">
        <v>1</v>
      </c>
      <c r="I8927">
        <f>1</f>
        <v>1</v>
      </c>
    </row>
    <row r="8928" spans="2:9" x14ac:dyDescent="0.25">
      <c r="B8928">
        <v>0</v>
      </c>
      <c r="C8928" s="16" t="s">
        <v>17980</v>
      </c>
      <c r="D8928" s="16"/>
      <c r="E8928">
        <v>6</v>
      </c>
      <c r="F8928" t="s">
        <v>4680</v>
      </c>
      <c r="G8928">
        <v>1</v>
      </c>
      <c r="H8928">
        <v>1</v>
      </c>
      <c r="I8928">
        <f>1</f>
        <v>1</v>
      </c>
    </row>
    <row r="8929" spans="2:9" x14ac:dyDescent="0.25">
      <c r="B8929">
        <v>0</v>
      </c>
      <c r="C8929" s="16" t="s">
        <v>17980</v>
      </c>
      <c r="D8929" s="16" t="s">
        <v>19430</v>
      </c>
      <c r="E8929">
        <v>6</v>
      </c>
      <c r="F8929" t="s">
        <v>8602</v>
      </c>
      <c r="G8929">
        <v>1</v>
      </c>
      <c r="H8929">
        <v>1</v>
      </c>
      <c r="I8929">
        <f>1</f>
        <v>1</v>
      </c>
    </row>
    <row r="8930" spans="2:9" x14ac:dyDescent="0.25">
      <c r="B8930">
        <v>0</v>
      </c>
      <c r="C8930" s="16" t="s">
        <v>17981</v>
      </c>
      <c r="D8930" s="16"/>
      <c r="E8930">
        <v>6</v>
      </c>
      <c r="F8930" t="s">
        <v>8603</v>
      </c>
      <c r="G8930">
        <v>1</v>
      </c>
      <c r="H8930">
        <v>1</v>
      </c>
      <c r="I8930">
        <f>1</f>
        <v>1</v>
      </c>
    </row>
    <row r="8931" spans="2:9" x14ac:dyDescent="0.25">
      <c r="B8931">
        <v>0</v>
      </c>
      <c r="C8931" s="16" t="s">
        <v>17982</v>
      </c>
      <c r="D8931" s="16"/>
      <c r="E8931">
        <v>6</v>
      </c>
      <c r="F8931" t="s">
        <v>4680</v>
      </c>
      <c r="G8931">
        <v>1</v>
      </c>
      <c r="H8931">
        <v>1</v>
      </c>
      <c r="I8931">
        <f>1</f>
        <v>1</v>
      </c>
    </row>
    <row r="8932" spans="2:9" x14ac:dyDescent="0.25">
      <c r="B8932">
        <v>0</v>
      </c>
      <c r="C8932" s="16" t="s">
        <v>17983</v>
      </c>
      <c r="D8932" s="16"/>
      <c r="E8932">
        <v>6</v>
      </c>
      <c r="F8932" t="s">
        <v>8603</v>
      </c>
      <c r="G8932">
        <v>1</v>
      </c>
      <c r="H8932">
        <v>1</v>
      </c>
      <c r="I8932">
        <f>1</f>
        <v>1</v>
      </c>
    </row>
    <row r="8933" spans="2:9" x14ac:dyDescent="0.25">
      <c r="B8933">
        <v>0</v>
      </c>
      <c r="C8933" s="16" t="s">
        <v>17984</v>
      </c>
      <c r="D8933" s="16"/>
      <c r="E8933">
        <v>6</v>
      </c>
      <c r="F8933" t="s">
        <v>4680</v>
      </c>
      <c r="G8933">
        <v>1</v>
      </c>
      <c r="H8933">
        <v>1</v>
      </c>
      <c r="I8933">
        <f>1</f>
        <v>1</v>
      </c>
    </row>
    <row r="8934" spans="2:9" x14ac:dyDescent="0.25">
      <c r="B8934">
        <v>0</v>
      </c>
      <c r="C8934" s="16" t="s">
        <v>17985</v>
      </c>
      <c r="D8934" s="16"/>
      <c r="E8934">
        <v>6</v>
      </c>
      <c r="F8934" t="s">
        <v>8604</v>
      </c>
      <c r="G8934">
        <v>1</v>
      </c>
      <c r="H8934">
        <v>1</v>
      </c>
      <c r="I8934">
        <f>1</f>
        <v>1</v>
      </c>
    </row>
    <row r="8935" spans="2:9" x14ac:dyDescent="0.25">
      <c r="B8935">
        <v>0</v>
      </c>
      <c r="C8935" s="16" t="s">
        <v>17986</v>
      </c>
      <c r="D8935" s="16"/>
      <c r="E8935">
        <v>6</v>
      </c>
      <c r="F8935" t="s">
        <v>8605</v>
      </c>
      <c r="G8935">
        <v>1</v>
      </c>
      <c r="H8935">
        <v>1</v>
      </c>
      <c r="I8935">
        <f>1</f>
        <v>1</v>
      </c>
    </row>
    <row r="8936" spans="2:9" x14ac:dyDescent="0.25">
      <c r="B8936">
        <v>0</v>
      </c>
      <c r="C8936" s="16" t="s">
        <v>17987</v>
      </c>
      <c r="D8936" s="16"/>
      <c r="E8936">
        <v>6</v>
      </c>
      <c r="F8936" t="s">
        <v>8606</v>
      </c>
      <c r="G8936">
        <v>1</v>
      </c>
      <c r="H8936">
        <v>1</v>
      </c>
      <c r="I8936">
        <f>1</f>
        <v>1</v>
      </c>
    </row>
    <row r="8937" spans="2:9" x14ac:dyDescent="0.25">
      <c r="B8937">
        <v>0</v>
      </c>
      <c r="C8937" s="16" t="s">
        <v>17988</v>
      </c>
      <c r="D8937" s="16"/>
      <c r="E8937">
        <v>6</v>
      </c>
      <c r="F8937" t="s">
        <v>8607</v>
      </c>
      <c r="G8937">
        <v>1</v>
      </c>
      <c r="H8937">
        <v>1</v>
      </c>
      <c r="I8937">
        <f>1</f>
        <v>1</v>
      </c>
    </row>
    <row r="8938" spans="2:9" x14ac:dyDescent="0.25">
      <c r="B8938">
        <v>0</v>
      </c>
      <c r="C8938" s="16" t="s">
        <v>17989</v>
      </c>
      <c r="D8938" s="16"/>
      <c r="E8938">
        <v>6</v>
      </c>
      <c r="F8938" t="s">
        <v>8608</v>
      </c>
      <c r="G8938">
        <v>1</v>
      </c>
      <c r="H8938">
        <v>1</v>
      </c>
      <c r="I8938">
        <f>1</f>
        <v>1</v>
      </c>
    </row>
    <row r="8939" spans="2:9" x14ac:dyDescent="0.25">
      <c r="B8939">
        <v>0</v>
      </c>
      <c r="C8939" s="16" t="s">
        <v>17990</v>
      </c>
      <c r="D8939" s="16"/>
      <c r="E8939">
        <v>6</v>
      </c>
      <c r="F8939" t="s">
        <v>4680</v>
      </c>
      <c r="G8939">
        <v>1</v>
      </c>
      <c r="H8939">
        <v>1</v>
      </c>
      <c r="I8939">
        <f>1</f>
        <v>1</v>
      </c>
    </row>
    <row r="8940" spans="2:9" x14ac:dyDescent="0.25">
      <c r="B8940">
        <v>0</v>
      </c>
      <c r="C8940" s="16" t="s">
        <v>17991</v>
      </c>
      <c r="D8940" s="16"/>
      <c r="E8940">
        <v>6</v>
      </c>
      <c r="F8940" t="s">
        <v>8609</v>
      </c>
      <c r="G8940">
        <v>1</v>
      </c>
      <c r="H8940">
        <v>1</v>
      </c>
      <c r="I8940">
        <f>1</f>
        <v>1</v>
      </c>
    </row>
    <row r="8941" spans="2:9" x14ac:dyDescent="0.25">
      <c r="B8941">
        <v>0</v>
      </c>
      <c r="C8941" s="16" t="s">
        <v>17992</v>
      </c>
      <c r="D8941" s="16"/>
      <c r="E8941">
        <v>6</v>
      </c>
      <c r="F8941" t="s">
        <v>8610</v>
      </c>
      <c r="G8941">
        <v>1</v>
      </c>
      <c r="H8941">
        <v>1</v>
      </c>
      <c r="I8941">
        <f>1</f>
        <v>1</v>
      </c>
    </row>
    <row r="8942" spans="2:9" x14ac:dyDescent="0.25">
      <c r="B8942">
        <v>0</v>
      </c>
      <c r="C8942" s="16" t="s">
        <v>17993</v>
      </c>
      <c r="D8942" s="16"/>
      <c r="E8942">
        <v>6</v>
      </c>
      <c r="F8942" t="s">
        <v>8611</v>
      </c>
      <c r="G8942">
        <v>1</v>
      </c>
      <c r="H8942">
        <v>1</v>
      </c>
      <c r="I8942">
        <f>1</f>
        <v>1</v>
      </c>
    </row>
    <row r="8943" spans="2:9" x14ac:dyDescent="0.25">
      <c r="B8943">
        <v>0</v>
      </c>
      <c r="C8943" s="16" t="s">
        <v>17994</v>
      </c>
      <c r="D8943" s="16"/>
      <c r="E8943">
        <v>6</v>
      </c>
      <c r="F8943" t="s">
        <v>8612</v>
      </c>
      <c r="G8943">
        <v>1</v>
      </c>
      <c r="H8943">
        <v>1</v>
      </c>
      <c r="I8943">
        <f>1</f>
        <v>1</v>
      </c>
    </row>
    <row r="8944" spans="2:9" x14ac:dyDescent="0.25">
      <c r="B8944">
        <v>0</v>
      </c>
      <c r="C8944" s="16" t="s">
        <v>17995</v>
      </c>
      <c r="D8944" s="16"/>
      <c r="E8944">
        <v>6</v>
      </c>
      <c r="F8944" t="s">
        <v>4680</v>
      </c>
      <c r="G8944">
        <v>1</v>
      </c>
      <c r="H8944">
        <v>1</v>
      </c>
      <c r="I8944">
        <f>1</f>
        <v>1</v>
      </c>
    </row>
    <row r="8945" spans="2:9" x14ac:dyDescent="0.25">
      <c r="B8945">
        <v>0</v>
      </c>
      <c r="C8945" s="16" t="s">
        <v>17996</v>
      </c>
      <c r="D8945" s="16"/>
      <c r="E8945">
        <v>6</v>
      </c>
      <c r="F8945" t="e">
        <f>-Outras Bobinas De reatância e De auto-indução</f>
        <v>#NAME?</v>
      </c>
      <c r="G8945">
        <v>1</v>
      </c>
      <c r="H8945">
        <v>1</v>
      </c>
      <c r="I8945">
        <f>1</f>
        <v>1</v>
      </c>
    </row>
    <row r="8946" spans="2:9" x14ac:dyDescent="0.25">
      <c r="B8946">
        <v>0</v>
      </c>
      <c r="C8946" s="16" t="s">
        <v>17997</v>
      </c>
      <c r="D8946" s="16"/>
      <c r="E8946">
        <v>6</v>
      </c>
      <c r="F8946" t="s">
        <v>8613</v>
      </c>
      <c r="G8946">
        <v>1</v>
      </c>
      <c r="H8946">
        <v>1</v>
      </c>
      <c r="I8946">
        <f>1</f>
        <v>1</v>
      </c>
    </row>
    <row r="8947" spans="2:9" x14ac:dyDescent="0.25">
      <c r="B8947">
        <v>0</v>
      </c>
      <c r="C8947" s="16" t="s">
        <v>17998</v>
      </c>
      <c r="D8947" s="16"/>
      <c r="E8947">
        <v>6</v>
      </c>
      <c r="F8947" t="s">
        <v>8614</v>
      </c>
      <c r="G8947">
        <v>1</v>
      </c>
      <c r="H8947">
        <v>1</v>
      </c>
      <c r="I8947">
        <f>1</f>
        <v>1</v>
      </c>
    </row>
    <row r="8948" spans="2:9" x14ac:dyDescent="0.25">
      <c r="B8948">
        <v>0</v>
      </c>
      <c r="C8948" s="16" t="s">
        <v>17999</v>
      </c>
      <c r="D8948" s="16"/>
      <c r="E8948">
        <v>6</v>
      </c>
      <c r="F8948" t="s">
        <v>8615</v>
      </c>
      <c r="G8948">
        <v>1</v>
      </c>
      <c r="H8948">
        <v>1</v>
      </c>
      <c r="I8948">
        <f>1</f>
        <v>1</v>
      </c>
    </row>
    <row r="8949" spans="2:9" x14ac:dyDescent="0.25">
      <c r="B8949">
        <v>0</v>
      </c>
      <c r="C8949" s="16" t="s">
        <v>18000</v>
      </c>
      <c r="D8949" s="16"/>
      <c r="E8949">
        <v>6</v>
      </c>
      <c r="F8949" t="s">
        <v>8616</v>
      </c>
      <c r="G8949">
        <v>1</v>
      </c>
      <c r="H8949">
        <v>1</v>
      </c>
      <c r="I8949">
        <f>1</f>
        <v>1</v>
      </c>
    </row>
    <row r="8950" spans="2:9" x14ac:dyDescent="0.25">
      <c r="B8950">
        <v>0</v>
      </c>
      <c r="C8950" s="16" t="s">
        <v>18001</v>
      </c>
      <c r="D8950" s="16"/>
      <c r="E8950">
        <v>6</v>
      </c>
      <c r="F8950" t="s">
        <v>4690</v>
      </c>
      <c r="G8950">
        <v>1</v>
      </c>
      <c r="H8950">
        <v>1</v>
      </c>
      <c r="I8950">
        <f>1</f>
        <v>1</v>
      </c>
    </row>
    <row r="8951" spans="2:9" x14ac:dyDescent="0.25">
      <c r="B8951">
        <v>0</v>
      </c>
      <c r="C8951" s="16" t="s">
        <v>18002</v>
      </c>
      <c r="D8951" s="16"/>
      <c r="E8951">
        <v>6</v>
      </c>
      <c r="F8951" t="e">
        <f>--De metal</f>
        <v>#NAME?</v>
      </c>
      <c r="G8951">
        <v>1</v>
      </c>
      <c r="H8951">
        <v>1</v>
      </c>
      <c r="I8951">
        <f>1</f>
        <v>1</v>
      </c>
    </row>
    <row r="8952" spans="2:9" x14ac:dyDescent="0.25">
      <c r="B8952">
        <v>0</v>
      </c>
      <c r="C8952" s="16" t="s">
        <v>18003</v>
      </c>
      <c r="D8952" s="16"/>
      <c r="E8952">
        <v>6</v>
      </c>
      <c r="F8952" t="s">
        <v>8617</v>
      </c>
      <c r="G8952">
        <v>1</v>
      </c>
      <c r="H8952">
        <v>1</v>
      </c>
      <c r="I8952">
        <f>1</f>
        <v>1</v>
      </c>
    </row>
    <row r="8953" spans="2:9" x14ac:dyDescent="0.25">
      <c r="B8953">
        <v>0</v>
      </c>
      <c r="C8953" s="16" t="s">
        <v>18004</v>
      </c>
      <c r="D8953" s="16"/>
      <c r="E8953">
        <v>6</v>
      </c>
      <c r="F8953" t="s">
        <v>4680</v>
      </c>
      <c r="G8953">
        <v>1</v>
      </c>
      <c r="H8953">
        <v>1</v>
      </c>
      <c r="I8953">
        <f>1</f>
        <v>1</v>
      </c>
    </row>
    <row r="8954" spans="2:9" x14ac:dyDescent="0.25">
      <c r="B8954">
        <v>0</v>
      </c>
      <c r="C8954" s="16" t="s">
        <v>18005</v>
      </c>
      <c r="D8954" s="16"/>
      <c r="E8954">
        <v>6</v>
      </c>
      <c r="F8954" t="s">
        <v>8618</v>
      </c>
      <c r="G8954">
        <v>1</v>
      </c>
      <c r="H8954">
        <v>1</v>
      </c>
      <c r="I8954">
        <f>1</f>
        <v>1</v>
      </c>
    </row>
    <row r="8955" spans="2:9" x14ac:dyDescent="0.25">
      <c r="B8955">
        <v>0</v>
      </c>
      <c r="C8955" s="16" t="s">
        <v>18006</v>
      </c>
      <c r="D8955" s="16"/>
      <c r="E8955">
        <v>6</v>
      </c>
      <c r="F8955" t="s">
        <v>4680</v>
      </c>
      <c r="G8955">
        <v>1</v>
      </c>
      <c r="H8955">
        <v>1</v>
      </c>
      <c r="I8955">
        <f>1</f>
        <v>1</v>
      </c>
    </row>
    <row r="8956" spans="2:9" x14ac:dyDescent="0.25">
      <c r="B8956">
        <v>0</v>
      </c>
      <c r="C8956" s="16" t="s">
        <v>18006</v>
      </c>
      <c r="D8956" s="16" t="s">
        <v>19430</v>
      </c>
      <c r="E8956">
        <v>6</v>
      </c>
      <c r="F8956" t="s">
        <v>8619</v>
      </c>
      <c r="G8956">
        <v>1</v>
      </c>
      <c r="H8956">
        <v>1</v>
      </c>
      <c r="I8956">
        <f>1</f>
        <v>1</v>
      </c>
    </row>
    <row r="8957" spans="2:9" x14ac:dyDescent="0.25">
      <c r="B8957">
        <v>0</v>
      </c>
      <c r="C8957" s="16" t="s">
        <v>18007</v>
      </c>
      <c r="D8957" s="16"/>
      <c r="E8957">
        <v>6</v>
      </c>
      <c r="F8957" t="s">
        <v>8620</v>
      </c>
      <c r="G8957">
        <v>1</v>
      </c>
      <c r="H8957">
        <v>1</v>
      </c>
      <c r="I8957">
        <f>1</f>
        <v>1</v>
      </c>
    </row>
    <row r="8958" spans="2:9" x14ac:dyDescent="0.25">
      <c r="B8958">
        <v>0</v>
      </c>
      <c r="C8958" s="16" t="s">
        <v>18008</v>
      </c>
      <c r="D8958" s="16"/>
      <c r="E8958">
        <v>6</v>
      </c>
      <c r="F8958" t="s">
        <v>4680</v>
      </c>
      <c r="G8958">
        <v>1</v>
      </c>
      <c r="H8958">
        <v>1</v>
      </c>
      <c r="I8958">
        <f>1</f>
        <v>1</v>
      </c>
    </row>
    <row r="8959" spans="2:9" x14ac:dyDescent="0.25">
      <c r="B8959">
        <v>0</v>
      </c>
      <c r="C8959" s="16" t="s">
        <v>18009</v>
      </c>
      <c r="D8959" s="16"/>
      <c r="E8959">
        <v>6</v>
      </c>
      <c r="F8959" t="s">
        <v>8621</v>
      </c>
      <c r="G8959">
        <v>1</v>
      </c>
      <c r="H8959">
        <v>1</v>
      </c>
      <c r="I8959">
        <f>1</f>
        <v>1</v>
      </c>
    </row>
    <row r="8960" spans="2:9" x14ac:dyDescent="0.25">
      <c r="B8960">
        <v>0</v>
      </c>
      <c r="C8960" s="16" t="s">
        <v>18010</v>
      </c>
      <c r="D8960" s="16"/>
      <c r="E8960">
        <v>6</v>
      </c>
      <c r="F8960" t="s">
        <v>8622</v>
      </c>
      <c r="G8960">
        <v>1</v>
      </c>
      <c r="H8960">
        <v>1</v>
      </c>
      <c r="I8960">
        <f>1</f>
        <v>1</v>
      </c>
    </row>
    <row r="8961" spans="2:9" x14ac:dyDescent="0.25">
      <c r="B8961">
        <v>0</v>
      </c>
      <c r="C8961" s="16" t="s">
        <v>18011</v>
      </c>
      <c r="D8961" s="16"/>
      <c r="E8961">
        <v>6</v>
      </c>
      <c r="F8961" t="s">
        <v>8623</v>
      </c>
      <c r="G8961">
        <v>1</v>
      </c>
      <c r="H8961">
        <v>1</v>
      </c>
      <c r="I8961">
        <f>1</f>
        <v>1</v>
      </c>
    </row>
    <row r="8962" spans="2:9" x14ac:dyDescent="0.25">
      <c r="B8962">
        <v>0</v>
      </c>
      <c r="C8962" s="16" t="s">
        <v>18012</v>
      </c>
      <c r="D8962" s="16"/>
      <c r="E8962">
        <v>6</v>
      </c>
      <c r="F8962" t="s">
        <v>8624</v>
      </c>
      <c r="G8962">
        <v>1</v>
      </c>
      <c r="H8962">
        <v>1</v>
      </c>
      <c r="I8962">
        <f>1</f>
        <v>1</v>
      </c>
    </row>
    <row r="8963" spans="2:9" x14ac:dyDescent="0.25">
      <c r="B8963">
        <v>0</v>
      </c>
      <c r="C8963" s="16" t="s">
        <v>18013</v>
      </c>
      <c r="D8963" s="16"/>
      <c r="E8963">
        <v>6</v>
      </c>
      <c r="F8963" t="s">
        <v>8625</v>
      </c>
      <c r="G8963">
        <v>1</v>
      </c>
      <c r="H8963">
        <v>1</v>
      </c>
      <c r="I8963">
        <f>1</f>
        <v>1</v>
      </c>
    </row>
    <row r="8964" spans="2:9" x14ac:dyDescent="0.25">
      <c r="B8964">
        <v>0</v>
      </c>
      <c r="C8964" s="16" t="s">
        <v>18014</v>
      </c>
      <c r="D8964" s="16"/>
      <c r="E8964">
        <v>6</v>
      </c>
      <c r="F8964" t="s">
        <v>4690</v>
      </c>
      <c r="G8964">
        <v>1</v>
      </c>
      <c r="H8964">
        <v>1</v>
      </c>
      <c r="I8964">
        <f>1</f>
        <v>1</v>
      </c>
    </row>
    <row r="8965" spans="2:9" x14ac:dyDescent="0.25">
      <c r="B8965">
        <v>0</v>
      </c>
      <c r="C8965" s="16" t="s">
        <v>18015</v>
      </c>
      <c r="D8965" s="16"/>
      <c r="E8965">
        <v>6</v>
      </c>
      <c r="F8965" t="s">
        <v>8625</v>
      </c>
      <c r="G8965">
        <v>1</v>
      </c>
      <c r="H8965">
        <v>1</v>
      </c>
      <c r="I8965">
        <f>1</f>
        <v>1</v>
      </c>
    </row>
    <row r="8966" spans="2:9" x14ac:dyDescent="0.25">
      <c r="B8966">
        <v>0</v>
      </c>
      <c r="C8966" s="16" t="s">
        <v>18016</v>
      </c>
      <c r="D8966" s="16"/>
      <c r="E8966">
        <v>6</v>
      </c>
      <c r="F8966" t="s">
        <v>4690</v>
      </c>
      <c r="G8966">
        <v>1</v>
      </c>
      <c r="H8966">
        <v>1</v>
      </c>
      <c r="I8966">
        <f>1</f>
        <v>1</v>
      </c>
    </row>
    <row r="8967" spans="2:9" x14ac:dyDescent="0.25">
      <c r="B8967">
        <v>0</v>
      </c>
      <c r="C8967" s="16" t="s">
        <v>18017</v>
      </c>
      <c r="D8967" s="16"/>
      <c r="E8967">
        <v>6</v>
      </c>
      <c r="F8967" t="s">
        <v>8625</v>
      </c>
      <c r="G8967">
        <v>1</v>
      </c>
      <c r="H8967">
        <v>1</v>
      </c>
      <c r="I8967">
        <f>1</f>
        <v>1</v>
      </c>
    </row>
    <row r="8968" spans="2:9" x14ac:dyDescent="0.25">
      <c r="B8968">
        <v>0</v>
      </c>
      <c r="C8968" s="16" t="s">
        <v>18018</v>
      </c>
      <c r="D8968" s="16"/>
      <c r="E8968">
        <v>6</v>
      </c>
      <c r="F8968" t="s">
        <v>4690</v>
      </c>
      <c r="G8968">
        <v>1</v>
      </c>
      <c r="H8968">
        <v>1</v>
      </c>
      <c r="I8968">
        <f>1</f>
        <v>1</v>
      </c>
    </row>
    <row r="8969" spans="2:9" x14ac:dyDescent="0.25">
      <c r="B8969">
        <v>0</v>
      </c>
      <c r="C8969" s="16" t="s">
        <v>18019</v>
      </c>
      <c r="D8969" s="16"/>
      <c r="E8969">
        <v>6</v>
      </c>
      <c r="F8969" t="s">
        <v>8625</v>
      </c>
      <c r="G8969">
        <v>1</v>
      </c>
      <c r="H8969">
        <v>1</v>
      </c>
      <c r="I8969">
        <f>1</f>
        <v>1</v>
      </c>
    </row>
    <row r="8970" spans="2:9" x14ac:dyDescent="0.25">
      <c r="B8970">
        <v>0</v>
      </c>
      <c r="C8970" s="16" t="s">
        <v>18020</v>
      </c>
      <c r="D8970" s="16"/>
      <c r="E8970">
        <v>6</v>
      </c>
      <c r="F8970" t="s">
        <v>4690</v>
      </c>
      <c r="G8970">
        <v>1</v>
      </c>
      <c r="H8970">
        <v>1</v>
      </c>
      <c r="I8970">
        <f>1</f>
        <v>1</v>
      </c>
    </row>
    <row r="8971" spans="2:9" x14ac:dyDescent="0.25">
      <c r="B8971">
        <v>0</v>
      </c>
      <c r="C8971" s="16" t="s">
        <v>18021</v>
      </c>
      <c r="D8971" s="16"/>
      <c r="E8971">
        <v>6</v>
      </c>
      <c r="F8971" t="s">
        <v>8625</v>
      </c>
      <c r="G8971">
        <v>1</v>
      </c>
      <c r="H8971">
        <v>1</v>
      </c>
      <c r="I8971">
        <f>1</f>
        <v>1</v>
      </c>
    </row>
    <row r="8972" spans="2:9" x14ac:dyDescent="0.25">
      <c r="B8972">
        <v>0</v>
      </c>
      <c r="C8972" s="16" t="s">
        <v>18022</v>
      </c>
      <c r="D8972" s="16"/>
      <c r="E8972">
        <v>6</v>
      </c>
      <c r="F8972" t="s">
        <v>4690</v>
      </c>
      <c r="G8972">
        <v>1</v>
      </c>
      <c r="H8972">
        <v>1</v>
      </c>
      <c r="I8972">
        <f>1</f>
        <v>1</v>
      </c>
    </row>
    <row r="8973" spans="2:9" x14ac:dyDescent="0.25">
      <c r="B8973">
        <v>0</v>
      </c>
      <c r="C8973" s="16" t="s">
        <v>18023</v>
      </c>
      <c r="D8973" s="16"/>
      <c r="E8973">
        <v>6</v>
      </c>
      <c r="F8973" t="e">
        <f>-Partes</f>
        <v>#NAME?</v>
      </c>
      <c r="G8973">
        <v>1</v>
      </c>
      <c r="H8973">
        <v>1</v>
      </c>
      <c r="I8973">
        <f>1</f>
        <v>1</v>
      </c>
    </row>
    <row r="8974" spans="2:9" x14ac:dyDescent="0.25">
      <c r="B8974">
        <v>0</v>
      </c>
      <c r="C8974" s="16" t="s">
        <v>18024</v>
      </c>
      <c r="D8974" s="16"/>
      <c r="E8974">
        <v>6</v>
      </c>
      <c r="F8974" t="s">
        <v>8626</v>
      </c>
      <c r="G8974">
        <v>1</v>
      </c>
      <c r="H8974">
        <v>1</v>
      </c>
      <c r="I8974">
        <f>1</f>
        <v>1</v>
      </c>
    </row>
    <row r="8975" spans="2:9" x14ac:dyDescent="0.25">
      <c r="B8975">
        <v>0</v>
      </c>
      <c r="C8975" s="16" t="s">
        <v>18025</v>
      </c>
      <c r="D8975" s="16"/>
      <c r="E8975">
        <v>6</v>
      </c>
      <c r="F8975" t="s">
        <v>4680</v>
      </c>
      <c r="G8975">
        <v>1</v>
      </c>
      <c r="H8975">
        <v>1</v>
      </c>
      <c r="I8975">
        <f>1</f>
        <v>1</v>
      </c>
    </row>
    <row r="8976" spans="2:9" x14ac:dyDescent="0.25">
      <c r="B8976">
        <v>0</v>
      </c>
      <c r="C8976" s="16" t="s">
        <v>18025</v>
      </c>
      <c r="D8976" s="16" t="s">
        <v>19430</v>
      </c>
      <c r="E8976">
        <v>6</v>
      </c>
      <c r="F8976" t="s">
        <v>8627</v>
      </c>
      <c r="G8976">
        <v>1</v>
      </c>
      <c r="H8976">
        <v>1</v>
      </c>
      <c r="I8976">
        <f>1</f>
        <v>1</v>
      </c>
    </row>
    <row r="8977" spans="2:9" x14ac:dyDescent="0.25">
      <c r="B8977">
        <v>0</v>
      </c>
      <c r="C8977" s="16" t="s">
        <v>18026</v>
      </c>
      <c r="D8977" s="16"/>
      <c r="E8977">
        <v>6</v>
      </c>
      <c r="F8977" t="s">
        <v>8628</v>
      </c>
      <c r="G8977">
        <v>1</v>
      </c>
      <c r="H8977">
        <v>1</v>
      </c>
      <c r="I8977">
        <f>1</f>
        <v>1</v>
      </c>
    </row>
    <row r="8978" spans="2:9" x14ac:dyDescent="0.25">
      <c r="B8978">
        <v>0</v>
      </c>
      <c r="C8978" s="16" t="s">
        <v>18027</v>
      </c>
      <c r="D8978" s="16"/>
      <c r="E8978">
        <v>6</v>
      </c>
      <c r="F8978" t="s">
        <v>4680</v>
      </c>
      <c r="G8978">
        <v>1</v>
      </c>
      <c r="H8978">
        <v>1</v>
      </c>
      <c r="I8978">
        <f>1</f>
        <v>1</v>
      </c>
    </row>
    <row r="8979" spans="2:9" x14ac:dyDescent="0.25">
      <c r="B8979">
        <v>0</v>
      </c>
      <c r="C8979" s="16" t="s">
        <v>18028</v>
      </c>
      <c r="D8979" s="16"/>
      <c r="E8979">
        <v>6</v>
      </c>
      <c r="F8979" t="s">
        <v>8629</v>
      </c>
      <c r="G8979">
        <v>1</v>
      </c>
      <c r="H8979">
        <v>1</v>
      </c>
      <c r="I8979">
        <f>1</f>
        <v>1</v>
      </c>
    </row>
    <row r="8980" spans="2:9" x14ac:dyDescent="0.25">
      <c r="B8980">
        <v>0</v>
      </c>
      <c r="C8980" s="16" t="s">
        <v>18029</v>
      </c>
      <c r="D8980" s="16"/>
      <c r="E8980">
        <v>6</v>
      </c>
      <c r="F8980" t="s">
        <v>4680</v>
      </c>
      <c r="G8980">
        <v>1</v>
      </c>
      <c r="H8980">
        <v>1</v>
      </c>
      <c r="I8980">
        <f>1</f>
        <v>1</v>
      </c>
    </row>
    <row r="8981" spans="2:9" x14ac:dyDescent="0.25">
      <c r="B8981">
        <v>0</v>
      </c>
      <c r="C8981" s="16" t="s">
        <v>18030</v>
      </c>
      <c r="D8981" s="16"/>
      <c r="E8981">
        <v>6</v>
      </c>
      <c r="F8981" t="s">
        <v>4680</v>
      </c>
      <c r="G8981">
        <v>1</v>
      </c>
      <c r="H8981">
        <v>1</v>
      </c>
      <c r="I8981">
        <f>1</f>
        <v>1</v>
      </c>
    </row>
    <row r="8982" spans="2:9" x14ac:dyDescent="0.25">
      <c r="B8982">
        <v>0</v>
      </c>
      <c r="C8982" s="16" t="s">
        <v>18031</v>
      </c>
      <c r="D8982" s="16"/>
      <c r="E8982">
        <v>6</v>
      </c>
      <c r="F8982" t="e">
        <f>-De níquel-ferro</f>
        <v>#NAME?</v>
      </c>
      <c r="G8982">
        <v>1</v>
      </c>
      <c r="H8982">
        <v>1</v>
      </c>
      <c r="I8982">
        <f>1</f>
        <v>1</v>
      </c>
    </row>
    <row r="8983" spans="2:9" x14ac:dyDescent="0.25">
      <c r="B8983">
        <v>0</v>
      </c>
      <c r="C8983" s="16" t="s">
        <v>18032</v>
      </c>
      <c r="D8983" s="16"/>
      <c r="E8983">
        <v>6</v>
      </c>
      <c r="F8983" t="e">
        <f>-De níquel-hidreto metálico</f>
        <v>#NAME?</v>
      </c>
      <c r="G8983">
        <v>1</v>
      </c>
      <c r="H8983">
        <v>1</v>
      </c>
      <c r="I8983">
        <f>1</f>
        <v>1</v>
      </c>
    </row>
    <row r="8984" spans="2:9" x14ac:dyDescent="0.25">
      <c r="B8984">
        <v>0</v>
      </c>
      <c r="C8984" s="16" t="s">
        <v>18033</v>
      </c>
      <c r="D8984" s="16"/>
      <c r="E8984">
        <v>6</v>
      </c>
      <c r="F8984" t="e">
        <f>-De íon De lítio</f>
        <v>#NAME?</v>
      </c>
      <c r="G8984">
        <v>1</v>
      </c>
      <c r="H8984">
        <v>1</v>
      </c>
      <c r="I8984">
        <f>1</f>
        <v>1</v>
      </c>
    </row>
    <row r="8985" spans="2:9" x14ac:dyDescent="0.25">
      <c r="B8985">
        <v>0</v>
      </c>
      <c r="C8985" s="16" t="s">
        <v>18034</v>
      </c>
      <c r="D8985" s="16"/>
      <c r="E8985">
        <v>6</v>
      </c>
      <c r="F8985" t="e">
        <f>-outros acumuladores</f>
        <v>#NAME?</v>
      </c>
      <c r="G8985">
        <v>1</v>
      </c>
      <c r="H8985">
        <v>1</v>
      </c>
      <c r="I8985">
        <f>1</f>
        <v>1</v>
      </c>
    </row>
    <row r="8986" spans="2:9" x14ac:dyDescent="0.25">
      <c r="B8986">
        <v>0</v>
      </c>
      <c r="C8986" s="16" t="s">
        <v>18035</v>
      </c>
      <c r="D8986" s="16"/>
      <c r="E8986">
        <v>6</v>
      </c>
      <c r="F8986" t="s">
        <v>8630</v>
      </c>
      <c r="G8986">
        <v>1</v>
      </c>
      <c r="H8986">
        <v>1</v>
      </c>
      <c r="I8986">
        <f>1</f>
        <v>1</v>
      </c>
    </row>
    <row r="8987" spans="2:9" x14ac:dyDescent="0.25">
      <c r="B8987">
        <v>0</v>
      </c>
      <c r="C8987" s="16" t="s">
        <v>18036</v>
      </c>
      <c r="D8987" s="16"/>
      <c r="E8987">
        <v>6</v>
      </c>
      <c r="F8987" t="s">
        <v>8631</v>
      </c>
      <c r="G8987">
        <v>1</v>
      </c>
      <c r="H8987">
        <v>1</v>
      </c>
      <c r="I8987">
        <f>1</f>
        <v>1</v>
      </c>
    </row>
    <row r="8988" spans="2:9" x14ac:dyDescent="0.25">
      <c r="B8988">
        <v>0</v>
      </c>
      <c r="C8988" s="16" t="s">
        <v>18037</v>
      </c>
      <c r="D8988" s="16"/>
      <c r="E8988">
        <v>6</v>
      </c>
      <c r="F8988" t="s">
        <v>4690</v>
      </c>
      <c r="G8988">
        <v>1</v>
      </c>
      <c r="H8988">
        <v>1</v>
      </c>
      <c r="I8988">
        <f>1</f>
        <v>1</v>
      </c>
    </row>
    <row r="8989" spans="2:9" x14ac:dyDescent="0.25">
      <c r="B8989">
        <v>0</v>
      </c>
      <c r="C8989" s="16" t="s">
        <v>18038</v>
      </c>
      <c r="D8989" s="16"/>
      <c r="E8989">
        <v>6</v>
      </c>
      <c r="F8989" t="s">
        <v>8632</v>
      </c>
      <c r="G8989">
        <v>1</v>
      </c>
      <c r="H8989">
        <v>1</v>
      </c>
      <c r="I8989">
        <f>1</f>
        <v>1</v>
      </c>
    </row>
    <row r="8990" spans="2:9" x14ac:dyDescent="0.25">
      <c r="B8990">
        <v>0</v>
      </c>
      <c r="C8990" s="16" t="s">
        <v>18039</v>
      </c>
      <c r="D8990" s="16"/>
      <c r="E8990">
        <v>6</v>
      </c>
      <c r="F8990" t="e">
        <f>--outros</f>
        <v>#NAME?</v>
      </c>
      <c r="G8990">
        <v>1</v>
      </c>
      <c r="H8990">
        <v>1</v>
      </c>
      <c r="I8990">
        <f>1</f>
        <v>1</v>
      </c>
    </row>
    <row r="8991" spans="2:9" x14ac:dyDescent="0.25">
      <c r="B8991">
        <v>0</v>
      </c>
      <c r="C8991" s="16" t="s">
        <v>18040</v>
      </c>
      <c r="D8991" s="16"/>
      <c r="E8991">
        <v>6</v>
      </c>
      <c r="F8991" t="e">
        <f>-outros aspiradores</f>
        <v>#NAME?</v>
      </c>
      <c r="G8991">
        <v>1</v>
      </c>
      <c r="H8991">
        <v>1</v>
      </c>
      <c r="I8991">
        <f>1</f>
        <v>1</v>
      </c>
    </row>
    <row r="8992" spans="2:9" x14ac:dyDescent="0.25">
      <c r="B8992">
        <v>0</v>
      </c>
      <c r="C8992" s="16" t="s">
        <v>18041</v>
      </c>
      <c r="D8992" s="16"/>
      <c r="E8992">
        <v>6</v>
      </c>
      <c r="F8992" t="e">
        <f>-Partes</f>
        <v>#NAME?</v>
      </c>
      <c r="G8992">
        <v>1</v>
      </c>
      <c r="H8992">
        <v>1</v>
      </c>
      <c r="I8992">
        <f>1</f>
        <v>1</v>
      </c>
    </row>
    <row r="8993" spans="2:9" x14ac:dyDescent="0.25">
      <c r="B8993">
        <v>0</v>
      </c>
      <c r="C8993" s="16" t="s">
        <v>18042</v>
      </c>
      <c r="D8993" s="16"/>
      <c r="E8993">
        <v>6</v>
      </c>
      <c r="F8993" t="s">
        <v>8633</v>
      </c>
      <c r="G8993">
        <v>1</v>
      </c>
      <c r="H8993">
        <v>1</v>
      </c>
      <c r="I8993">
        <f>1</f>
        <v>1</v>
      </c>
    </row>
    <row r="8994" spans="2:9" x14ac:dyDescent="0.25">
      <c r="B8994">
        <v>0</v>
      </c>
      <c r="C8994" s="16" t="s">
        <v>18043</v>
      </c>
      <c r="D8994" s="16"/>
      <c r="E8994">
        <v>6</v>
      </c>
      <c r="F8994" t="s">
        <v>8634</v>
      </c>
      <c r="G8994">
        <v>1</v>
      </c>
      <c r="H8994">
        <v>1</v>
      </c>
      <c r="I8994">
        <f>1</f>
        <v>1</v>
      </c>
    </row>
    <row r="8995" spans="2:9" x14ac:dyDescent="0.25">
      <c r="B8995">
        <v>0</v>
      </c>
      <c r="C8995" s="16" t="s">
        <v>18044</v>
      </c>
      <c r="D8995" s="16"/>
      <c r="E8995">
        <v>6</v>
      </c>
      <c r="F8995" t="s">
        <v>8635</v>
      </c>
      <c r="G8995">
        <v>1</v>
      </c>
      <c r="H8995">
        <v>1</v>
      </c>
      <c r="I8995">
        <f>1</f>
        <v>1</v>
      </c>
    </row>
    <row r="8996" spans="2:9" x14ac:dyDescent="0.25">
      <c r="B8996">
        <v>0</v>
      </c>
      <c r="C8996" s="16" t="s">
        <v>18045</v>
      </c>
      <c r="D8996" s="16"/>
      <c r="E8996">
        <v>6</v>
      </c>
      <c r="F8996" t="s">
        <v>8636</v>
      </c>
      <c r="G8996">
        <v>1</v>
      </c>
      <c r="H8996">
        <v>1</v>
      </c>
      <c r="I8996">
        <f>1</f>
        <v>1</v>
      </c>
    </row>
    <row r="8997" spans="2:9" x14ac:dyDescent="0.25">
      <c r="B8997">
        <v>0</v>
      </c>
      <c r="C8997" s="16" t="s">
        <v>18046</v>
      </c>
      <c r="D8997" s="16"/>
      <c r="E8997">
        <v>6</v>
      </c>
      <c r="F8997" t="s">
        <v>8637</v>
      </c>
      <c r="G8997">
        <v>1</v>
      </c>
      <c r="H8997">
        <v>1</v>
      </c>
      <c r="I8997">
        <f>1</f>
        <v>1</v>
      </c>
    </row>
    <row r="8998" spans="2:9" x14ac:dyDescent="0.25">
      <c r="B8998">
        <v>0</v>
      </c>
      <c r="C8998" s="16" t="s">
        <v>18047</v>
      </c>
      <c r="D8998" s="16"/>
      <c r="E8998">
        <v>6</v>
      </c>
      <c r="F8998" t="s">
        <v>4680</v>
      </c>
      <c r="G8998">
        <v>1</v>
      </c>
      <c r="H8998">
        <v>1</v>
      </c>
      <c r="I8998">
        <f>1</f>
        <v>1</v>
      </c>
    </row>
    <row r="8999" spans="2:9" x14ac:dyDescent="0.25">
      <c r="B8999">
        <v>0</v>
      </c>
      <c r="C8999" s="16" t="s">
        <v>18048</v>
      </c>
      <c r="D8999" s="16"/>
      <c r="E8999">
        <v>6</v>
      </c>
      <c r="F8999" t="s">
        <v>8638</v>
      </c>
      <c r="G8999">
        <v>1</v>
      </c>
      <c r="H8999">
        <v>1</v>
      </c>
      <c r="I8999">
        <f>1</f>
        <v>1</v>
      </c>
    </row>
    <row r="9000" spans="2:9" x14ac:dyDescent="0.25">
      <c r="B9000">
        <v>0</v>
      </c>
      <c r="C9000" s="16" t="s">
        <v>18049</v>
      </c>
      <c r="D9000" s="16"/>
      <c r="E9000">
        <v>6</v>
      </c>
      <c r="F9000" t="s">
        <v>4680</v>
      </c>
      <c r="G9000">
        <v>1</v>
      </c>
      <c r="H9000">
        <v>1</v>
      </c>
      <c r="I9000">
        <f>1</f>
        <v>1</v>
      </c>
    </row>
    <row r="9001" spans="2:9" x14ac:dyDescent="0.25">
      <c r="B9001">
        <v>0</v>
      </c>
      <c r="C9001" s="16" t="s">
        <v>18050</v>
      </c>
      <c r="D9001" s="16"/>
      <c r="E9001">
        <v>6</v>
      </c>
      <c r="F9001" t="e">
        <f>-Partes</f>
        <v>#NAME?</v>
      </c>
      <c r="G9001">
        <v>1</v>
      </c>
      <c r="H9001">
        <v>1</v>
      </c>
      <c r="I9001">
        <f>1</f>
        <v>1</v>
      </c>
    </row>
    <row r="9002" spans="2:9" x14ac:dyDescent="0.25">
      <c r="B9002">
        <v>0</v>
      </c>
      <c r="C9002" s="16" t="s">
        <v>18051</v>
      </c>
      <c r="D9002" s="16"/>
      <c r="E9002">
        <v>6</v>
      </c>
      <c r="F9002" t="e">
        <f>-aparelhos ou máquinas De barbear</f>
        <v>#NAME?</v>
      </c>
      <c r="G9002">
        <v>1</v>
      </c>
      <c r="H9002">
        <v>1</v>
      </c>
      <c r="I9002">
        <f>1</f>
        <v>1</v>
      </c>
    </row>
    <row r="9003" spans="2:9" x14ac:dyDescent="0.25">
      <c r="B9003">
        <v>0</v>
      </c>
      <c r="C9003" s="16" t="s">
        <v>18052</v>
      </c>
      <c r="D9003" s="16"/>
      <c r="E9003">
        <v>6</v>
      </c>
      <c r="F9003" t="e">
        <f>-máquinas De cortar o cabelo ou De tosquiar</f>
        <v>#NAME?</v>
      </c>
      <c r="G9003">
        <v>1</v>
      </c>
      <c r="H9003">
        <v>1</v>
      </c>
      <c r="I9003">
        <f>1</f>
        <v>1</v>
      </c>
    </row>
    <row r="9004" spans="2:9" x14ac:dyDescent="0.25">
      <c r="B9004">
        <v>0</v>
      </c>
      <c r="C9004" s="16" t="s">
        <v>18053</v>
      </c>
      <c r="D9004" s="16"/>
      <c r="E9004">
        <v>6</v>
      </c>
      <c r="F9004" t="e">
        <f>-aparelhos De depilar</f>
        <v>#NAME?</v>
      </c>
      <c r="G9004">
        <v>1</v>
      </c>
      <c r="H9004">
        <v>1</v>
      </c>
      <c r="I9004">
        <f>1</f>
        <v>1</v>
      </c>
    </row>
    <row r="9005" spans="2:9" x14ac:dyDescent="0.25">
      <c r="B9005">
        <v>0</v>
      </c>
      <c r="C9005" s="16" t="s">
        <v>18054</v>
      </c>
      <c r="D9005" s="16"/>
      <c r="E9005">
        <v>6</v>
      </c>
      <c r="F9005" t="s">
        <v>7963</v>
      </c>
      <c r="G9005">
        <v>1</v>
      </c>
      <c r="H9005">
        <v>1</v>
      </c>
      <c r="I9005">
        <f>1</f>
        <v>1</v>
      </c>
    </row>
    <row r="9006" spans="2:9" x14ac:dyDescent="0.25">
      <c r="B9006">
        <v>0</v>
      </c>
      <c r="C9006" s="16" t="s">
        <v>18055</v>
      </c>
      <c r="D9006" s="16"/>
      <c r="E9006">
        <v>6</v>
      </c>
      <c r="F9006" t="s">
        <v>4690</v>
      </c>
      <c r="G9006">
        <v>1</v>
      </c>
      <c r="H9006">
        <v>1</v>
      </c>
      <c r="I9006">
        <f>1</f>
        <v>1</v>
      </c>
    </row>
    <row r="9007" spans="2:9" x14ac:dyDescent="0.25">
      <c r="B9007">
        <v>0</v>
      </c>
      <c r="C9007" s="16" t="s">
        <v>18056</v>
      </c>
      <c r="D9007" s="16"/>
      <c r="E9007">
        <v>6</v>
      </c>
      <c r="F9007" t="s">
        <v>8639</v>
      </c>
      <c r="G9007">
        <v>1</v>
      </c>
      <c r="H9007">
        <v>1</v>
      </c>
      <c r="I9007">
        <f>1</f>
        <v>1</v>
      </c>
    </row>
    <row r="9008" spans="2:9" x14ac:dyDescent="0.25">
      <c r="B9008">
        <v>0</v>
      </c>
      <c r="C9008" s="16" t="s">
        <v>18057</v>
      </c>
      <c r="D9008" s="16"/>
      <c r="E9008">
        <v>6</v>
      </c>
      <c r="F9008" t="s">
        <v>4690</v>
      </c>
      <c r="G9008">
        <v>1</v>
      </c>
      <c r="H9008">
        <v>1</v>
      </c>
      <c r="I9008">
        <f>1</f>
        <v>1</v>
      </c>
    </row>
    <row r="9009" spans="2:9" x14ac:dyDescent="0.25">
      <c r="B9009">
        <v>0</v>
      </c>
      <c r="C9009" s="16" t="s">
        <v>18058</v>
      </c>
      <c r="D9009" s="16"/>
      <c r="E9009">
        <v>6</v>
      </c>
      <c r="F9009" t="e">
        <f>-Velas De ignição</f>
        <v>#NAME?</v>
      </c>
      <c r="G9009">
        <v>1</v>
      </c>
      <c r="H9009">
        <v>1</v>
      </c>
      <c r="I9009">
        <f>1</f>
        <v>1</v>
      </c>
    </row>
    <row r="9010" spans="2:9" x14ac:dyDescent="0.25">
      <c r="B9010">
        <v>0</v>
      </c>
      <c r="C9010" s="16" t="s">
        <v>18059</v>
      </c>
      <c r="D9010" s="16"/>
      <c r="E9010">
        <v>6</v>
      </c>
      <c r="F9010" t="s">
        <v>8640</v>
      </c>
      <c r="G9010">
        <v>1</v>
      </c>
      <c r="H9010">
        <v>1</v>
      </c>
      <c r="I9010">
        <f>1</f>
        <v>1</v>
      </c>
    </row>
    <row r="9011" spans="2:9" x14ac:dyDescent="0.25">
      <c r="B9011">
        <v>0</v>
      </c>
      <c r="C9011" s="16" t="s">
        <v>18060</v>
      </c>
      <c r="D9011" s="16"/>
      <c r="E9011">
        <v>6</v>
      </c>
      <c r="F9011" t="s">
        <v>4680</v>
      </c>
      <c r="G9011">
        <v>1</v>
      </c>
      <c r="H9011">
        <v>1</v>
      </c>
      <c r="I9011">
        <f>1</f>
        <v>1</v>
      </c>
    </row>
    <row r="9012" spans="2:9" x14ac:dyDescent="0.25">
      <c r="B9012">
        <v>0</v>
      </c>
      <c r="C9012" s="16" t="s">
        <v>18061</v>
      </c>
      <c r="D9012" s="16"/>
      <c r="E9012">
        <v>6</v>
      </c>
      <c r="F9012" t="s">
        <v>8641</v>
      </c>
      <c r="G9012">
        <v>1</v>
      </c>
      <c r="H9012">
        <v>1</v>
      </c>
      <c r="I9012">
        <f>1</f>
        <v>1</v>
      </c>
    </row>
    <row r="9013" spans="2:9" x14ac:dyDescent="0.25">
      <c r="B9013">
        <v>0</v>
      </c>
      <c r="C9013" s="16" t="s">
        <v>18062</v>
      </c>
      <c r="D9013" s="16"/>
      <c r="E9013">
        <v>6</v>
      </c>
      <c r="F9013" t="s">
        <v>8642</v>
      </c>
      <c r="G9013">
        <v>1</v>
      </c>
      <c r="H9013">
        <v>1</v>
      </c>
      <c r="I9013">
        <f>1</f>
        <v>1</v>
      </c>
    </row>
    <row r="9014" spans="2:9" x14ac:dyDescent="0.25">
      <c r="B9014">
        <v>0</v>
      </c>
      <c r="C9014" s="16" t="s">
        <v>18063</v>
      </c>
      <c r="D9014" s="16"/>
      <c r="E9014">
        <v>6</v>
      </c>
      <c r="F9014" t="s">
        <v>8643</v>
      </c>
      <c r="G9014">
        <v>1</v>
      </c>
      <c r="H9014">
        <v>1</v>
      </c>
      <c r="I9014">
        <f>1</f>
        <v>1</v>
      </c>
    </row>
    <row r="9015" spans="2:9" x14ac:dyDescent="0.25">
      <c r="B9015">
        <v>0</v>
      </c>
      <c r="C9015" s="16" t="s">
        <v>18063</v>
      </c>
      <c r="D9015" s="16" t="s">
        <v>19430</v>
      </c>
      <c r="E9015">
        <v>6</v>
      </c>
      <c r="F9015" t="s">
        <v>8644</v>
      </c>
      <c r="G9015">
        <v>1</v>
      </c>
      <c r="H9015">
        <v>1</v>
      </c>
      <c r="I9015">
        <f>1</f>
        <v>1</v>
      </c>
    </row>
    <row r="9016" spans="2:9" x14ac:dyDescent="0.25">
      <c r="B9016">
        <v>0</v>
      </c>
      <c r="C9016" s="16" t="s">
        <v>18064</v>
      </c>
      <c r="D9016" s="16"/>
      <c r="E9016">
        <v>6</v>
      </c>
      <c r="F9016" t="s">
        <v>8645</v>
      </c>
      <c r="G9016">
        <v>1</v>
      </c>
      <c r="H9016">
        <v>1</v>
      </c>
      <c r="I9016">
        <f>1</f>
        <v>1</v>
      </c>
    </row>
    <row r="9017" spans="2:9" x14ac:dyDescent="0.25">
      <c r="B9017">
        <v>0</v>
      </c>
      <c r="C9017" s="16" t="s">
        <v>18064</v>
      </c>
      <c r="D9017" s="16" t="s">
        <v>19430</v>
      </c>
      <c r="E9017">
        <v>6</v>
      </c>
      <c r="F9017" t="s">
        <v>8646</v>
      </c>
      <c r="G9017">
        <v>1</v>
      </c>
      <c r="H9017">
        <v>1</v>
      </c>
      <c r="I9017">
        <f>1</f>
        <v>1</v>
      </c>
    </row>
    <row r="9018" spans="2:9" x14ac:dyDescent="0.25">
      <c r="B9018">
        <v>0</v>
      </c>
      <c r="C9018" s="16" t="s">
        <v>18065</v>
      </c>
      <c r="D9018" s="16"/>
      <c r="E9018">
        <v>6</v>
      </c>
      <c r="F9018" t="s">
        <v>4680</v>
      </c>
      <c r="G9018">
        <v>1</v>
      </c>
      <c r="H9018">
        <v>1</v>
      </c>
      <c r="I9018">
        <f>1</f>
        <v>1</v>
      </c>
    </row>
    <row r="9019" spans="2:9" x14ac:dyDescent="0.25">
      <c r="B9019">
        <v>0</v>
      </c>
      <c r="C9019" s="16" t="s">
        <v>18066</v>
      </c>
      <c r="D9019" s="16"/>
      <c r="E9019">
        <v>6</v>
      </c>
      <c r="F9019" t="s">
        <v>8647</v>
      </c>
      <c r="G9019">
        <v>1</v>
      </c>
      <c r="H9019">
        <v>1</v>
      </c>
      <c r="I9019">
        <f>1</f>
        <v>1</v>
      </c>
    </row>
    <row r="9020" spans="2:9" x14ac:dyDescent="0.25">
      <c r="B9020">
        <v>0</v>
      </c>
      <c r="C9020" s="16" t="s">
        <v>18067</v>
      </c>
      <c r="D9020" s="16"/>
      <c r="E9020">
        <v>6</v>
      </c>
      <c r="F9020" t="s">
        <v>8648</v>
      </c>
      <c r="G9020">
        <v>1</v>
      </c>
      <c r="H9020">
        <v>1</v>
      </c>
      <c r="I9020">
        <f>1</f>
        <v>1</v>
      </c>
    </row>
    <row r="9021" spans="2:9" x14ac:dyDescent="0.25">
      <c r="B9021">
        <v>0</v>
      </c>
      <c r="C9021" s="16" t="s">
        <v>18068</v>
      </c>
      <c r="D9021" s="16"/>
      <c r="E9021">
        <v>6</v>
      </c>
      <c r="F9021" t="s">
        <v>8649</v>
      </c>
      <c r="G9021">
        <v>1</v>
      </c>
      <c r="H9021">
        <v>1</v>
      </c>
      <c r="I9021">
        <f>1</f>
        <v>1</v>
      </c>
    </row>
    <row r="9022" spans="2:9" x14ac:dyDescent="0.25">
      <c r="B9022">
        <v>0</v>
      </c>
      <c r="C9022" s="16" t="s">
        <v>18069</v>
      </c>
      <c r="D9022" s="16"/>
      <c r="E9022">
        <v>6</v>
      </c>
      <c r="F9022" t="s">
        <v>4680</v>
      </c>
      <c r="G9022">
        <v>1</v>
      </c>
      <c r="H9022">
        <v>1</v>
      </c>
      <c r="I9022">
        <f>1</f>
        <v>1</v>
      </c>
    </row>
    <row r="9023" spans="2:9" x14ac:dyDescent="0.25">
      <c r="B9023">
        <v>0</v>
      </c>
      <c r="C9023" s="16" t="s">
        <v>18070</v>
      </c>
      <c r="D9023" s="16"/>
      <c r="E9023">
        <v>6</v>
      </c>
      <c r="F9023" t="e">
        <f>-Partes</f>
        <v>#NAME?</v>
      </c>
      <c r="G9023">
        <v>1</v>
      </c>
      <c r="H9023">
        <v>1</v>
      </c>
      <c r="I9023">
        <f>1</f>
        <v>1</v>
      </c>
    </row>
    <row r="9024" spans="2:9" x14ac:dyDescent="0.25">
      <c r="B9024">
        <v>0</v>
      </c>
      <c r="C9024" s="16" t="s">
        <v>18071</v>
      </c>
      <c r="D9024" s="16"/>
      <c r="E9024">
        <v>6</v>
      </c>
      <c r="F9024" t="e">
        <f>-aparelhos De iluminação ou De sinalização visual dos tipos utilizados em bicicletas</f>
        <v>#NAME?</v>
      </c>
      <c r="G9024">
        <v>1</v>
      </c>
      <c r="H9024">
        <v>1</v>
      </c>
      <c r="I9024">
        <f>1</f>
        <v>1</v>
      </c>
    </row>
    <row r="9025" spans="2:9" x14ac:dyDescent="0.25">
      <c r="B9025">
        <v>0</v>
      </c>
      <c r="C9025" s="16" t="s">
        <v>18072</v>
      </c>
      <c r="D9025" s="16"/>
      <c r="E9025">
        <v>6</v>
      </c>
      <c r="F9025" t="s">
        <v>8650</v>
      </c>
      <c r="G9025">
        <v>1</v>
      </c>
      <c r="H9025">
        <v>1</v>
      </c>
      <c r="I9025">
        <f>1</f>
        <v>1</v>
      </c>
    </row>
    <row r="9026" spans="2:9" x14ac:dyDescent="0.25">
      <c r="B9026">
        <v>0</v>
      </c>
      <c r="C9026" s="16" t="s">
        <v>18072</v>
      </c>
      <c r="D9026" s="16" t="s">
        <v>19430</v>
      </c>
      <c r="E9026">
        <v>6</v>
      </c>
      <c r="F9026" t="s">
        <v>8651</v>
      </c>
      <c r="G9026">
        <v>1</v>
      </c>
      <c r="H9026">
        <v>1</v>
      </c>
      <c r="I9026">
        <f>1</f>
        <v>1</v>
      </c>
    </row>
    <row r="9027" spans="2:9" x14ac:dyDescent="0.25">
      <c r="B9027">
        <v>0</v>
      </c>
      <c r="C9027" s="16" t="s">
        <v>18073</v>
      </c>
      <c r="D9027" s="16"/>
      <c r="E9027">
        <v>6</v>
      </c>
      <c r="F9027" t="s">
        <v>4680</v>
      </c>
      <c r="G9027">
        <v>1</v>
      </c>
      <c r="H9027">
        <v>1</v>
      </c>
      <c r="I9027">
        <f>1</f>
        <v>1</v>
      </c>
    </row>
    <row r="9028" spans="2:9" x14ac:dyDescent="0.25">
      <c r="B9028">
        <v>0</v>
      </c>
      <c r="C9028" s="16" t="s">
        <v>18074</v>
      </c>
      <c r="D9028" s="16"/>
      <c r="E9028">
        <v>6</v>
      </c>
      <c r="F9028" t="s">
        <v>8652</v>
      </c>
      <c r="G9028">
        <v>1</v>
      </c>
      <c r="H9028">
        <v>1</v>
      </c>
      <c r="I9028">
        <f>1</f>
        <v>1</v>
      </c>
    </row>
    <row r="9029" spans="2:9" x14ac:dyDescent="0.25">
      <c r="B9029">
        <v>0</v>
      </c>
      <c r="C9029" s="16" t="s">
        <v>18074</v>
      </c>
      <c r="D9029" s="16" t="s">
        <v>19430</v>
      </c>
      <c r="E9029">
        <v>6</v>
      </c>
      <c r="F9029" t="s">
        <v>8653</v>
      </c>
      <c r="G9029">
        <v>1</v>
      </c>
      <c r="H9029">
        <v>1</v>
      </c>
      <c r="I9029">
        <f>1</f>
        <v>1</v>
      </c>
    </row>
    <row r="9030" spans="2:9" x14ac:dyDescent="0.25">
      <c r="B9030">
        <v>0</v>
      </c>
      <c r="C9030" s="16" t="s">
        <v>18075</v>
      </c>
      <c r="D9030" s="16"/>
      <c r="E9030">
        <v>6</v>
      </c>
      <c r="F9030" t="s">
        <v>8654</v>
      </c>
      <c r="G9030">
        <v>1</v>
      </c>
      <c r="H9030">
        <v>1</v>
      </c>
      <c r="I9030">
        <f>1</f>
        <v>1</v>
      </c>
    </row>
    <row r="9031" spans="2:9" x14ac:dyDescent="0.25">
      <c r="B9031">
        <v>0</v>
      </c>
      <c r="C9031" s="16" t="s">
        <v>18076</v>
      </c>
      <c r="D9031" s="16"/>
      <c r="E9031">
        <v>6</v>
      </c>
      <c r="F9031" t="s">
        <v>8655</v>
      </c>
      <c r="G9031">
        <v>1</v>
      </c>
      <c r="H9031">
        <v>1</v>
      </c>
      <c r="I9031">
        <f>1</f>
        <v>1</v>
      </c>
    </row>
    <row r="9032" spans="2:9" x14ac:dyDescent="0.25">
      <c r="B9032">
        <v>0</v>
      </c>
      <c r="C9032" s="16" t="s">
        <v>18077</v>
      </c>
      <c r="D9032" s="16"/>
      <c r="E9032">
        <v>6</v>
      </c>
      <c r="F9032" t="s">
        <v>4680</v>
      </c>
      <c r="G9032">
        <v>1</v>
      </c>
      <c r="H9032">
        <v>1</v>
      </c>
      <c r="I9032">
        <f>1</f>
        <v>1</v>
      </c>
    </row>
    <row r="9033" spans="2:9" x14ac:dyDescent="0.25">
      <c r="B9033">
        <v>0</v>
      </c>
      <c r="C9033" s="16" t="s">
        <v>18078</v>
      </c>
      <c r="D9033" s="16"/>
      <c r="E9033">
        <v>6</v>
      </c>
      <c r="F9033" t="e">
        <f>-aparelhos De sinalização acústica</f>
        <v>#NAME?</v>
      </c>
      <c r="G9033">
        <v>1</v>
      </c>
      <c r="H9033">
        <v>1</v>
      </c>
      <c r="I9033">
        <f>1</f>
        <v>1</v>
      </c>
    </row>
    <row r="9034" spans="2:9" x14ac:dyDescent="0.25">
      <c r="B9034">
        <v>0</v>
      </c>
      <c r="C9034" s="16" t="s">
        <v>18079</v>
      </c>
      <c r="D9034" s="16"/>
      <c r="E9034">
        <v>6</v>
      </c>
      <c r="F9034" t="s">
        <v>8532</v>
      </c>
      <c r="G9034">
        <v>1</v>
      </c>
      <c r="H9034">
        <v>1</v>
      </c>
      <c r="I9034">
        <f>1</f>
        <v>1</v>
      </c>
    </row>
    <row r="9035" spans="2:9" x14ac:dyDescent="0.25">
      <c r="B9035">
        <v>0</v>
      </c>
      <c r="C9035" s="16" t="s">
        <v>18080</v>
      </c>
      <c r="D9035" s="16"/>
      <c r="E9035">
        <v>6</v>
      </c>
      <c r="F9035" t="s">
        <v>8656</v>
      </c>
      <c r="G9035">
        <v>1</v>
      </c>
      <c r="H9035">
        <v>1</v>
      </c>
      <c r="I9035">
        <f>1</f>
        <v>1</v>
      </c>
    </row>
    <row r="9036" spans="2:9" x14ac:dyDescent="0.25">
      <c r="B9036">
        <v>0</v>
      </c>
      <c r="C9036" s="16" t="s">
        <v>18081</v>
      </c>
      <c r="D9036" s="16"/>
      <c r="E9036">
        <v>6</v>
      </c>
      <c r="F9036" t="e">
        <f>-Partes</f>
        <v>#NAME?</v>
      </c>
      <c r="G9036">
        <v>1</v>
      </c>
      <c r="H9036">
        <v>1</v>
      </c>
      <c r="I9036">
        <f>1</f>
        <v>1</v>
      </c>
    </row>
    <row r="9037" spans="2:9" x14ac:dyDescent="0.25">
      <c r="B9037">
        <v>0</v>
      </c>
      <c r="C9037" s="16" t="s">
        <v>18082</v>
      </c>
      <c r="D9037" s="16"/>
      <c r="E9037">
        <v>6</v>
      </c>
      <c r="F9037" t="s">
        <v>8179</v>
      </c>
      <c r="G9037">
        <v>1</v>
      </c>
      <c r="H9037">
        <v>1</v>
      </c>
      <c r="I9037">
        <f>1</f>
        <v>1</v>
      </c>
    </row>
    <row r="9038" spans="2:9" x14ac:dyDescent="0.25">
      <c r="B9038">
        <v>0</v>
      </c>
      <c r="C9038" s="16" t="s">
        <v>18083</v>
      </c>
      <c r="D9038" s="16"/>
      <c r="E9038">
        <v>6</v>
      </c>
      <c r="F9038" t="s">
        <v>4690</v>
      </c>
      <c r="G9038">
        <v>1</v>
      </c>
      <c r="H9038">
        <v>1</v>
      </c>
      <c r="I9038">
        <f>1</f>
        <v>1</v>
      </c>
    </row>
    <row r="9039" spans="2:9" x14ac:dyDescent="0.25">
      <c r="B9039">
        <v>0</v>
      </c>
      <c r="C9039" s="16" t="s">
        <v>18084</v>
      </c>
      <c r="D9039" s="16"/>
      <c r="E9039">
        <v>6</v>
      </c>
      <c r="F9039" t="e">
        <f>-Partes</f>
        <v>#NAME?</v>
      </c>
      <c r="G9039">
        <v>1</v>
      </c>
      <c r="H9039">
        <v>1</v>
      </c>
      <c r="I9039">
        <f>1</f>
        <v>1</v>
      </c>
    </row>
    <row r="9040" spans="2:9" x14ac:dyDescent="0.25">
      <c r="B9040">
        <v>0</v>
      </c>
      <c r="C9040" s="16" t="s">
        <v>18085</v>
      </c>
      <c r="D9040" s="16"/>
      <c r="E9040">
        <v>6</v>
      </c>
      <c r="F9040" t="s">
        <v>8657</v>
      </c>
      <c r="G9040">
        <v>1</v>
      </c>
      <c r="H9040">
        <v>1</v>
      </c>
      <c r="I9040">
        <f>1</f>
        <v>1</v>
      </c>
    </row>
    <row r="9041" spans="2:9" x14ac:dyDescent="0.25">
      <c r="B9041">
        <v>0</v>
      </c>
      <c r="C9041" s="16" t="s">
        <v>18086</v>
      </c>
      <c r="D9041" s="16"/>
      <c r="E9041">
        <v>6</v>
      </c>
      <c r="F9041" t="s">
        <v>4680</v>
      </c>
      <c r="G9041">
        <v>1</v>
      </c>
      <c r="H9041">
        <v>1</v>
      </c>
      <c r="I9041">
        <f>1</f>
        <v>1</v>
      </c>
    </row>
    <row r="9042" spans="2:9" x14ac:dyDescent="0.25">
      <c r="B9042">
        <v>0</v>
      </c>
      <c r="C9042" s="16" t="s">
        <v>18087</v>
      </c>
      <c r="D9042" s="16"/>
      <c r="E9042">
        <v>6</v>
      </c>
      <c r="F9042" t="s">
        <v>8657</v>
      </c>
      <c r="G9042">
        <v>1</v>
      </c>
      <c r="H9042">
        <v>1</v>
      </c>
      <c r="I9042">
        <f>1</f>
        <v>1</v>
      </c>
    </row>
    <row r="9043" spans="2:9" x14ac:dyDescent="0.25">
      <c r="B9043">
        <v>0</v>
      </c>
      <c r="C9043" s="16" t="s">
        <v>18088</v>
      </c>
      <c r="D9043" s="16"/>
      <c r="E9043">
        <v>6</v>
      </c>
      <c r="F9043" t="s">
        <v>4680</v>
      </c>
      <c r="G9043">
        <v>1</v>
      </c>
      <c r="H9043">
        <v>1</v>
      </c>
      <c r="I9043">
        <f>1</f>
        <v>1</v>
      </c>
    </row>
    <row r="9044" spans="2:9" x14ac:dyDescent="0.25">
      <c r="B9044">
        <v>0</v>
      </c>
      <c r="C9044" s="16" t="s">
        <v>18089</v>
      </c>
      <c r="D9044" s="16"/>
      <c r="E9044">
        <v>6</v>
      </c>
      <c r="F9044" t="s">
        <v>8658</v>
      </c>
      <c r="G9044">
        <v>1</v>
      </c>
      <c r="H9044">
        <v>1</v>
      </c>
      <c r="I9044">
        <f>1</f>
        <v>1</v>
      </c>
    </row>
    <row r="9045" spans="2:9" x14ac:dyDescent="0.25">
      <c r="B9045">
        <v>0</v>
      </c>
      <c r="C9045" s="16" t="s">
        <v>18089</v>
      </c>
      <c r="D9045" s="16" t="s">
        <v>19430</v>
      </c>
      <c r="E9045">
        <v>6</v>
      </c>
      <c r="F9045" t="s">
        <v>8659</v>
      </c>
      <c r="G9045">
        <v>1</v>
      </c>
      <c r="H9045">
        <v>1</v>
      </c>
      <c r="I9045">
        <f>1</f>
        <v>1</v>
      </c>
    </row>
    <row r="9046" spans="2:9" x14ac:dyDescent="0.25">
      <c r="B9046">
        <v>0</v>
      </c>
      <c r="C9046" s="16" t="s">
        <v>18090</v>
      </c>
      <c r="D9046" s="16"/>
      <c r="E9046">
        <v>6</v>
      </c>
      <c r="F9046" t="s">
        <v>8657</v>
      </c>
      <c r="G9046">
        <v>1</v>
      </c>
      <c r="H9046">
        <v>1</v>
      </c>
      <c r="I9046">
        <f>1</f>
        <v>1</v>
      </c>
    </row>
    <row r="9047" spans="2:9" x14ac:dyDescent="0.25">
      <c r="B9047">
        <v>0</v>
      </c>
      <c r="C9047" s="16" t="s">
        <v>18091</v>
      </c>
      <c r="D9047" s="16"/>
      <c r="E9047">
        <v>6</v>
      </c>
      <c r="F9047" t="s">
        <v>4680</v>
      </c>
      <c r="G9047">
        <v>1</v>
      </c>
      <c r="H9047">
        <v>1</v>
      </c>
      <c r="I9047">
        <f>1</f>
        <v>1</v>
      </c>
    </row>
    <row r="9048" spans="2:9" x14ac:dyDescent="0.25">
      <c r="B9048">
        <v>0</v>
      </c>
      <c r="C9048" s="16" t="s">
        <v>18092</v>
      </c>
      <c r="D9048" s="16"/>
      <c r="E9048">
        <v>6</v>
      </c>
      <c r="F9048" t="s">
        <v>8657</v>
      </c>
      <c r="G9048">
        <v>1</v>
      </c>
      <c r="H9048">
        <v>1</v>
      </c>
      <c r="I9048">
        <f>1</f>
        <v>1</v>
      </c>
    </row>
    <row r="9049" spans="2:9" x14ac:dyDescent="0.25">
      <c r="B9049">
        <v>0</v>
      </c>
      <c r="C9049" s="16" t="s">
        <v>18093</v>
      </c>
      <c r="D9049" s="16"/>
      <c r="E9049">
        <v>6</v>
      </c>
      <c r="F9049" t="s">
        <v>4680</v>
      </c>
      <c r="G9049">
        <v>1</v>
      </c>
      <c r="H9049">
        <v>1</v>
      </c>
      <c r="I9049">
        <f>1</f>
        <v>1</v>
      </c>
    </row>
    <row r="9050" spans="2:9" x14ac:dyDescent="0.25">
      <c r="B9050">
        <v>0</v>
      </c>
      <c r="C9050" s="16" t="s">
        <v>18094</v>
      </c>
      <c r="D9050" s="16"/>
      <c r="E9050">
        <v>6</v>
      </c>
      <c r="F9050" t="s">
        <v>4680</v>
      </c>
      <c r="G9050">
        <v>1</v>
      </c>
      <c r="H9050">
        <v>1</v>
      </c>
      <c r="I9050">
        <f>1</f>
        <v>1</v>
      </c>
    </row>
    <row r="9051" spans="2:9" x14ac:dyDescent="0.25">
      <c r="B9051">
        <v>0</v>
      </c>
      <c r="C9051" s="16" t="s">
        <v>18095</v>
      </c>
      <c r="D9051" s="16"/>
      <c r="E9051">
        <v>6</v>
      </c>
      <c r="F9051" t="e">
        <f>-outros aparelhos para tratamento térmico De matérias por indução ou por perdas dielétricas</f>
        <v>#NAME?</v>
      </c>
      <c r="G9051">
        <v>1</v>
      </c>
      <c r="H9051">
        <v>1</v>
      </c>
      <c r="I9051">
        <f>1</f>
        <v>1</v>
      </c>
    </row>
    <row r="9052" spans="2:9" x14ac:dyDescent="0.25">
      <c r="B9052">
        <v>0</v>
      </c>
      <c r="C9052" s="16" t="s">
        <v>18096</v>
      </c>
      <c r="D9052" s="16"/>
      <c r="E9052">
        <v>6</v>
      </c>
      <c r="F9052" t="e">
        <f>-Partes</f>
        <v>#NAME?</v>
      </c>
      <c r="G9052">
        <v>1</v>
      </c>
      <c r="H9052">
        <v>1</v>
      </c>
      <c r="I9052">
        <f>1</f>
        <v>1</v>
      </c>
    </row>
    <row r="9053" spans="2:9" x14ac:dyDescent="0.25">
      <c r="B9053">
        <v>0</v>
      </c>
      <c r="C9053" s="16" t="s">
        <v>18097</v>
      </c>
      <c r="D9053" s="16"/>
      <c r="E9053">
        <v>6</v>
      </c>
      <c r="F9053" t="e">
        <f>--Ferros e Pistolas</f>
        <v>#NAME?</v>
      </c>
      <c r="G9053">
        <v>1</v>
      </c>
      <c r="H9053">
        <v>1</v>
      </c>
      <c r="I9053">
        <f>1</f>
        <v>1</v>
      </c>
    </row>
    <row r="9054" spans="2:9" x14ac:dyDescent="0.25">
      <c r="B9054">
        <v>0</v>
      </c>
      <c r="C9054" s="16" t="s">
        <v>18098</v>
      </c>
      <c r="D9054" s="16"/>
      <c r="E9054">
        <v>6</v>
      </c>
      <c r="F9054" t="e">
        <f>--outros</f>
        <v>#NAME?</v>
      </c>
      <c r="G9054">
        <v>1</v>
      </c>
      <c r="H9054">
        <v>1</v>
      </c>
      <c r="I9054">
        <f>1</f>
        <v>1</v>
      </c>
    </row>
    <row r="9055" spans="2:9" x14ac:dyDescent="0.25">
      <c r="B9055">
        <v>0</v>
      </c>
      <c r="C9055" s="16" t="s">
        <v>18099</v>
      </c>
      <c r="D9055" s="16"/>
      <c r="E9055">
        <v>6</v>
      </c>
      <c r="F9055" t="e">
        <f>--Inteira ou parcialmente automáticos</f>
        <v>#NAME?</v>
      </c>
      <c r="G9055">
        <v>1</v>
      </c>
      <c r="H9055">
        <v>1</v>
      </c>
      <c r="I9055">
        <f>1</f>
        <v>1</v>
      </c>
    </row>
    <row r="9056" spans="2:9" x14ac:dyDescent="0.25">
      <c r="B9056">
        <v>0</v>
      </c>
      <c r="C9056" s="16" t="s">
        <v>18100</v>
      </c>
      <c r="D9056" s="16"/>
      <c r="E9056">
        <v>6</v>
      </c>
      <c r="F9056" t="e">
        <f>--outros</f>
        <v>#NAME?</v>
      </c>
      <c r="G9056">
        <v>1</v>
      </c>
      <c r="H9056">
        <v>1</v>
      </c>
      <c r="I9056">
        <f>1</f>
        <v>1</v>
      </c>
    </row>
    <row r="9057" spans="2:9" x14ac:dyDescent="0.25">
      <c r="B9057">
        <v>0</v>
      </c>
      <c r="C9057" s="16" t="s">
        <v>18101</v>
      </c>
      <c r="D9057" s="16"/>
      <c r="E9057">
        <v>6</v>
      </c>
      <c r="F9057" t="s">
        <v>8660</v>
      </c>
      <c r="G9057">
        <v>1</v>
      </c>
      <c r="H9057">
        <v>1</v>
      </c>
      <c r="I9057">
        <f>1</f>
        <v>1</v>
      </c>
    </row>
    <row r="9058" spans="2:9" x14ac:dyDescent="0.25">
      <c r="B9058">
        <v>0</v>
      </c>
      <c r="C9058" s="16" t="s">
        <v>18102</v>
      </c>
      <c r="D9058" s="16"/>
      <c r="E9058">
        <v>6</v>
      </c>
      <c r="F9058" t="s">
        <v>4680</v>
      </c>
      <c r="G9058">
        <v>1</v>
      </c>
      <c r="H9058">
        <v>1</v>
      </c>
      <c r="I9058">
        <f>1</f>
        <v>1</v>
      </c>
    </row>
    <row r="9059" spans="2:9" x14ac:dyDescent="0.25">
      <c r="B9059">
        <v>0</v>
      </c>
      <c r="C9059" s="16" t="s">
        <v>18103</v>
      </c>
      <c r="D9059" s="16"/>
      <c r="E9059">
        <v>6</v>
      </c>
      <c r="F9059" t="e">
        <f>--outros</f>
        <v>#NAME?</v>
      </c>
      <c r="G9059">
        <v>1</v>
      </c>
      <c r="H9059">
        <v>1</v>
      </c>
      <c r="I9059">
        <f>1</f>
        <v>1</v>
      </c>
    </row>
    <row r="9060" spans="2:9" x14ac:dyDescent="0.25">
      <c r="B9060">
        <v>0</v>
      </c>
      <c r="C9060" s="16" t="s">
        <v>18104</v>
      </c>
      <c r="D9060" s="16"/>
      <c r="E9060">
        <v>6</v>
      </c>
      <c r="F9060" t="s">
        <v>8661</v>
      </c>
      <c r="G9060">
        <v>1</v>
      </c>
      <c r="H9060">
        <v>1</v>
      </c>
      <c r="I9060">
        <f>1</f>
        <v>1</v>
      </c>
    </row>
    <row r="9061" spans="2:9" x14ac:dyDescent="0.25">
      <c r="B9061">
        <v>0</v>
      </c>
      <c r="C9061" s="16" t="s">
        <v>18105</v>
      </c>
      <c r="D9061" s="16"/>
      <c r="E9061">
        <v>6</v>
      </c>
      <c r="F9061" t="s">
        <v>4680</v>
      </c>
      <c r="G9061">
        <v>1</v>
      </c>
      <c r="H9061">
        <v>1</v>
      </c>
      <c r="I9061">
        <f>1</f>
        <v>1</v>
      </c>
    </row>
    <row r="9062" spans="2:9" x14ac:dyDescent="0.25">
      <c r="B9062">
        <v>0</v>
      </c>
      <c r="C9062" s="16" t="s">
        <v>18106</v>
      </c>
      <c r="D9062" s="16"/>
      <c r="E9062">
        <v>6</v>
      </c>
      <c r="F9062" t="e">
        <f>-Partes</f>
        <v>#NAME?</v>
      </c>
      <c r="G9062">
        <v>1</v>
      </c>
      <c r="H9062">
        <v>1</v>
      </c>
      <c r="I9062">
        <f>1</f>
        <v>1</v>
      </c>
    </row>
    <row r="9063" spans="2:9" x14ac:dyDescent="0.25">
      <c r="B9063">
        <v>0</v>
      </c>
      <c r="C9063" s="16" t="s">
        <v>18107</v>
      </c>
      <c r="D9063" s="16"/>
      <c r="E9063">
        <v>6</v>
      </c>
      <c r="F9063" t="s">
        <v>8662</v>
      </c>
      <c r="G9063">
        <v>1</v>
      </c>
      <c r="H9063">
        <v>1</v>
      </c>
      <c r="I9063">
        <f>1</f>
        <v>1</v>
      </c>
    </row>
    <row r="9064" spans="2:9" x14ac:dyDescent="0.25">
      <c r="B9064">
        <v>0</v>
      </c>
      <c r="C9064" s="16" t="s">
        <v>18107</v>
      </c>
      <c r="D9064" s="16" t="s">
        <v>19430</v>
      </c>
      <c r="E9064">
        <v>6</v>
      </c>
      <c r="F9064" t="s">
        <v>8663</v>
      </c>
      <c r="G9064">
        <v>1</v>
      </c>
      <c r="H9064">
        <v>1</v>
      </c>
      <c r="I9064">
        <f>1</f>
        <v>1</v>
      </c>
    </row>
    <row r="9065" spans="2:9" x14ac:dyDescent="0.25">
      <c r="B9065">
        <v>0</v>
      </c>
      <c r="C9065" s="16" t="s">
        <v>18108</v>
      </c>
      <c r="D9065" s="16"/>
      <c r="E9065">
        <v>6</v>
      </c>
      <c r="F9065" t="e">
        <f>--Radiadores De acumulação</f>
        <v>#NAME?</v>
      </c>
      <c r="G9065">
        <v>1</v>
      </c>
      <c r="H9065">
        <v>1</v>
      </c>
      <c r="I9065">
        <f>1</f>
        <v>1</v>
      </c>
    </row>
    <row r="9066" spans="2:9" x14ac:dyDescent="0.25">
      <c r="B9066">
        <v>0</v>
      </c>
      <c r="C9066" s="16" t="s">
        <v>18109</v>
      </c>
      <c r="D9066" s="16"/>
      <c r="E9066">
        <v>6</v>
      </c>
      <c r="F9066" t="e">
        <f>--outros</f>
        <v>#NAME?</v>
      </c>
      <c r="G9066">
        <v>1</v>
      </c>
      <c r="H9066">
        <v>1</v>
      </c>
      <c r="I9066">
        <f>1</f>
        <v>1</v>
      </c>
    </row>
    <row r="9067" spans="2:9" x14ac:dyDescent="0.25">
      <c r="B9067">
        <v>0</v>
      </c>
      <c r="C9067" s="16" t="s">
        <v>18110</v>
      </c>
      <c r="D9067" s="16"/>
      <c r="E9067">
        <v>6</v>
      </c>
      <c r="F9067" t="e">
        <f>--Secadores De cabelo</f>
        <v>#NAME?</v>
      </c>
      <c r="G9067">
        <v>1</v>
      </c>
      <c r="H9067">
        <v>1</v>
      </c>
      <c r="I9067">
        <f>1</f>
        <v>1</v>
      </c>
    </row>
    <row r="9068" spans="2:9" x14ac:dyDescent="0.25">
      <c r="B9068">
        <v>0</v>
      </c>
      <c r="C9068" s="16" t="s">
        <v>18111</v>
      </c>
      <c r="D9068" s="16"/>
      <c r="E9068">
        <v>6</v>
      </c>
      <c r="F9068" t="e">
        <f>--outros aparelhos para arranjos do cabelo</f>
        <v>#NAME?</v>
      </c>
      <c r="G9068">
        <v>1</v>
      </c>
      <c r="H9068">
        <v>1</v>
      </c>
      <c r="I9068">
        <f>1</f>
        <v>1</v>
      </c>
    </row>
    <row r="9069" spans="2:9" x14ac:dyDescent="0.25">
      <c r="B9069">
        <v>0</v>
      </c>
      <c r="C9069" s="16" t="s">
        <v>18112</v>
      </c>
      <c r="D9069" s="16"/>
      <c r="E9069">
        <v>6</v>
      </c>
      <c r="F9069" t="e">
        <f>--aparelhos para secar as mãos</f>
        <v>#NAME?</v>
      </c>
      <c r="G9069">
        <v>1</v>
      </c>
      <c r="H9069">
        <v>1</v>
      </c>
      <c r="I9069">
        <f>1</f>
        <v>1</v>
      </c>
    </row>
    <row r="9070" spans="2:9" x14ac:dyDescent="0.25">
      <c r="B9070">
        <v>0</v>
      </c>
      <c r="C9070" s="16" t="s">
        <v>18113</v>
      </c>
      <c r="D9070" s="16"/>
      <c r="E9070">
        <v>6</v>
      </c>
      <c r="F9070" t="e">
        <f>-Ferros elétricos De passar</f>
        <v>#NAME?</v>
      </c>
      <c r="G9070">
        <v>1</v>
      </c>
      <c r="H9070">
        <v>1</v>
      </c>
      <c r="I9070">
        <f>1</f>
        <v>1</v>
      </c>
    </row>
    <row r="9071" spans="2:9" x14ac:dyDescent="0.25">
      <c r="B9071">
        <v>0</v>
      </c>
      <c r="C9071" s="16" t="s">
        <v>18114</v>
      </c>
      <c r="D9071" s="16"/>
      <c r="E9071">
        <v>6</v>
      </c>
      <c r="F9071" t="e">
        <f>-fornos De micro-ondas</f>
        <v>#NAME?</v>
      </c>
      <c r="G9071">
        <v>1</v>
      </c>
      <c r="H9071">
        <v>1</v>
      </c>
      <c r="I9071">
        <f>1</f>
        <v>1</v>
      </c>
    </row>
    <row r="9072" spans="2:9" x14ac:dyDescent="0.25">
      <c r="B9072">
        <v>0</v>
      </c>
      <c r="C9072" s="16" t="s">
        <v>18115</v>
      </c>
      <c r="D9072" s="16"/>
      <c r="E9072">
        <v>6</v>
      </c>
      <c r="F9072" t="s">
        <v>8664</v>
      </c>
      <c r="G9072">
        <v>1</v>
      </c>
      <c r="H9072">
        <v>1</v>
      </c>
      <c r="I9072">
        <f>1</f>
        <v>1</v>
      </c>
    </row>
    <row r="9073" spans="2:9" x14ac:dyDescent="0.25">
      <c r="B9073">
        <v>0</v>
      </c>
      <c r="C9073" s="16" t="s">
        <v>18115</v>
      </c>
      <c r="D9073" s="16" t="s">
        <v>19430</v>
      </c>
      <c r="E9073">
        <v>6</v>
      </c>
      <c r="F9073" t="s">
        <v>7833</v>
      </c>
      <c r="G9073">
        <v>1</v>
      </c>
      <c r="H9073">
        <v>1</v>
      </c>
      <c r="I9073">
        <f>1</f>
        <v>1</v>
      </c>
    </row>
    <row r="9074" spans="2:9" x14ac:dyDescent="0.25">
      <c r="B9074">
        <v>0</v>
      </c>
      <c r="C9074" s="16" t="s">
        <v>18116</v>
      </c>
      <c r="D9074" s="16"/>
      <c r="E9074">
        <v>6</v>
      </c>
      <c r="F9074" t="e">
        <f>--aparelhos para preparação De café ou De Chá</f>
        <v>#NAME?</v>
      </c>
      <c r="G9074">
        <v>1</v>
      </c>
      <c r="H9074">
        <v>1</v>
      </c>
      <c r="I9074">
        <f>1</f>
        <v>1</v>
      </c>
    </row>
    <row r="9075" spans="2:9" x14ac:dyDescent="0.25">
      <c r="B9075">
        <v>0</v>
      </c>
      <c r="C9075" s="16" t="s">
        <v>18117</v>
      </c>
      <c r="D9075" s="16"/>
      <c r="E9075">
        <v>6</v>
      </c>
      <c r="F9075" t="e">
        <f>--Torradeiras De Pão</f>
        <v>#NAME?</v>
      </c>
      <c r="G9075">
        <v>1</v>
      </c>
      <c r="H9075">
        <v>1</v>
      </c>
      <c r="I9075">
        <f>1</f>
        <v>1</v>
      </c>
    </row>
    <row r="9076" spans="2:9" x14ac:dyDescent="0.25">
      <c r="B9076">
        <v>0</v>
      </c>
      <c r="C9076" s="16" t="s">
        <v>18118</v>
      </c>
      <c r="D9076" s="16"/>
      <c r="E9076">
        <v>6</v>
      </c>
      <c r="F9076" t="s">
        <v>8665</v>
      </c>
      <c r="G9076">
        <v>1</v>
      </c>
      <c r="H9076">
        <v>1</v>
      </c>
      <c r="I9076">
        <f>1</f>
        <v>1</v>
      </c>
    </row>
    <row r="9077" spans="2:9" x14ac:dyDescent="0.25">
      <c r="B9077">
        <v>0</v>
      </c>
      <c r="C9077" s="16" t="s">
        <v>18119</v>
      </c>
      <c r="D9077" s="16"/>
      <c r="E9077">
        <v>6</v>
      </c>
      <c r="F9077" t="s">
        <v>8666</v>
      </c>
      <c r="G9077">
        <v>1</v>
      </c>
      <c r="H9077">
        <v>1</v>
      </c>
      <c r="I9077">
        <f>1</f>
        <v>1</v>
      </c>
    </row>
    <row r="9078" spans="2:9" x14ac:dyDescent="0.25">
      <c r="B9078">
        <v>0</v>
      </c>
      <c r="C9078" s="16" t="s">
        <v>18120</v>
      </c>
      <c r="D9078" s="16"/>
      <c r="E9078">
        <v>6</v>
      </c>
      <c r="F9078" t="s">
        <v>4680</v>
      </c>
      <c r="G9078">
        <v>1</v>
      </c>
      <c r="H9078">
        <v>1</v>
      </c>
      <c r="I9078">
        <f>1</f>
        <v>1</v>
      </c>
    </row>
    <row r="9079" spans="2:9" x14ac:dyDescent="0.25">
      <c r="B9079">
        <v>0</v>
      </c>
      <c r="C9079" s="16" t="s">
        <v>18121</v>
      </c>
      <c r="D9079" s="16"/>
      <c r="E9079">
        <v>6</v>
      </c>
      <c r="F9079" t="s">
        <v>8667</v>
      </c>
      <c r="G9079">
        <v>1</v>
      </c>
      <c r="H9079">
        <v>1</v>
      </c>
      <c r="I9079">
        <f>1</f>
        <v>1</v>
      </c>
    </row>
    <row r="9080" spans="2:9" x14ac:dyDescent="0.25">
      <c r="B9080">
        <v>0</v>
      </c>
      <c r="C9080" s="16" t="s">
        <v>18122</v>
      </c>
      <c r="D9080" s="16"/>
      <c r="E9080">
        <v>6</v>
      </c>
      <c r="F9080" t="s">
        <v>4690</v>
      </c>
      <c r="G9080">
        <v>1</v>
      </c>
      <c r="H9080">
        <v>1</v>
      </c>
      <c r="I9080">
        <f>1</f>
        <v>1</v>
      </c>
    </row>
    <row r="9081" spans="2:9" x14ac:dyDescent="0.25">
      <c r="B9081">
        <v>0</v>
      </c>
      <c r="C9081" s="16" t="s">
        <v>18123</v>
      </c>
      <c r="D9081" s="16"/>
      <c r="E9081">
        <v>6</v>
      </c>
      <c r="F9081" t="e">
        <f>-Partes</f>
        <v>#NAME?</v>
      </c>
      <c r="G9081">
        <v>1</v>
      </c>
      <c r="H9081">
        <v>1</v>
      </c>
      <c r="I9081">
        <f>1</f>
        <v>1</v>
      </c>
    </row>
    <row r="9082" spans="2:9" x14ac:dyDescent="0.25">
      <c r="B9082">
        <v>0</v>
      </c>
      <c r="C9082" s="16" t="s">
        <v>18123</v>
      </c>
      <c r="D9082" s="16" t="s">
        <v>19430</v>
      </c>
      <c r="E9082">
        <v>6</v>
      </c>
      <c r="F9082" t="s">
        <v>8668</v>
      </c>
      <c r="G9082">
        <v>1</v>
      </c>
      <c r="H9082">
        <v>1</v>
      </c>
      <c r="I9082">
        <f>1</f>
        <v>1</v>
      </c>
    </row>
    <row r="9083" spans="2:9" x14ac:dyDescent="0.25">
      <c r="B9083">
        <v>0</v>
      </c>
      <c r="C9083" s="16" t="s">
        <v>18124</v>
      </c>
      <c r="D9083" s="16"/>
      <c r="E9083">
        <v>6</v>
      </c>
      <c r="F9083" t="e">
        <f>--aparelhos telefônicos por fio Com unidade auscultador-microfone Sem fio</f>
        <v>#NAME?</v>
      </c>
      <c r="G9083">
        <v>1</v>
      </c>
      <c r="H9083">
        <v>1</v>
      </c>
      <c r="I9083">
        <f>1</f>
        <v>1</v>
      </c>
    </row>
    <row r="9084" spans="2:9" x14ac:dyDescent="0.25">
      <c r="B9084">
        <v>0</v>
      </c>
      <c r="C9084" s="16" t="s">
        <v>18125</v>
      </c>
      <c r="D9084" s="16"/>
      <c r="E9084">
        <v>6</v>
      </c>
      <c r="F9084" t="s">
        <v>8669</v>
      </c>
      <c r="G9084">
        <v>1</v>
      </c>
      <c r="H9084">
        <v>1</v>
      </c>
      <c r="I9084">
        <f>1</f>
        <v>1</v>
      </c>
    </row>
    <row r="9085" spans="2:9" x14ac:dyDescent="0.25">
      <c r="B9085">
        <v>0</v>
      </c>
      <c r="C9085" s="16" t="s">
        <v>18126</v>
      </c>
      <c r="D9085" s="16"/>
      <c r="E9085">
        <v>6</v>
      </c>
      <c r="F9085" t="s">
        <v>8670</v>
      </c>
      <c r="G9085">
        <v>1</v>
      </c>
      <c r="H9085">
        <v>1</v>
      </c>
      <c r="I9085">
        <f>1</f>
        <v>1</v>
      </c>
    </row>
    <row r="9086" spans="2:9" x14ac:dyDescent="0.25">
      <c r="B9086">
        <v>0</v>
      </c>
      <c r="C9086" s="16" t="s">
        <v>18127</v>
      </c>
      <c r="D9086" s="16"/>
      <c r="E9086">
        <v>6</v>
      </c>
      <c r="F9086" t="s">
        <v>8671</v>
      </c>
      <c r="G9086">
        <v>1</v>
      </c>
      <c r="H9086">
        <v>1</v>
      </c>
      <c r="I9086">
        <f>1</f>
        <v>1</v>
      </c>
    </row>
    <row r="9087" spans="2:9" x14ac:dyDescent="0.25">
      <c r="B9087">
        <v>0</v>
      </c>
      <c r="C9087" s="16" t="s">
        <v>18128</v>
      </c>
      <c r="D9087" s="16"/>
      <c r="E9087">
        <v>6</v>
      </c>
      <c r="F9087" t="s">
        <v>4680</v>
      </c>
      <c r="G9087">
        <v>1</v>
      </c>
      <c r="H9087">
        <v>1</v>
      </c>
      <c r="I9087">
        <f>1</f>
        <v>1</v>
      </c>
    </row>
    <row r="9088" spans="2:9" x14ac:dyDescent="0.25">
      <c r="B9088">
        <v>0</v>
      </c>
      <c r="C9088" s="16" t="s">
        <v>18129</v>
      </c>
      <c r="D9088" s="16"/>
      <c r="E9088">
        <v>6</v>
      </c>
      <c r="F9088" t="s">
        <v>8672</v>
      </c>
      <c r="G9088">
        <v>1</v>
      </c>
      <c r="H9088">
        <v>1</v>
      </c>
      <c r="I9088">
        <f>1</f>
        <v>1</v>
      </c>
    </row>
    <row r="9089" spans="2:9" x14ac:dyDescent="0.25">
      <c r="B9089">
        <v>0</v>
      </c>
      <c r="C9089" s="16" t="s">
        <v>18130</v>
      </c>
      <c r="D9089" s="16"/>
      <c r="E9089">
        <v>6</v>
      </c>
      <c r="F9089" t="s">
        <v>8673</v>
      </c>
      <c r="G9089">
        <v>1</v>
      </c>
      <c r="H9089">
        <v>1</v>
      </c>
      <c r="I9089">
        <f>1</f>
        <v>1</v>
      </c>
    </row>
    <row r="9090" spans="2:9" x14ac:dyDescent="0.25">
      <c r="B9090">
        <v>0</v>
      </c>
      <c r="C9090" s="16" t="s">
        <v>18131</v>
      </c>
      <c r="D9090" s="16"/>
      <c r="E9090">
        <v>6</v>
      </c>
      <c r="F9090" t="s">
        <v>8674</v>
      </c>
      <c r="G9090">
        <v>1</v>
      </c>
      <c r="H9090">
        <v>1</v>
      </c>
      <c r="I9090">
        <f>1</f>
        <v>1</v>
      </c>
    </row>
    <row r="9091" spans="2:9" x14ac:dyDescent="0.25">
      <c r="B9091">
        <v>0</v>
      </c>
      <c r="C9091" s="16" t="s">
        <v>18132</v>
      </c>
      <c r="D9091" s="16"/>
      <c r="E9091">
        <v>6</v>
      </c>
      <c r="F9091" t="s">
        <v>4680</v>
      </c>
      <c r="G9091">
        <v>1</v>
      </c>
      <c r="H9091">
        <v>1</v>
      </c>
      <c r="I9091">
        <f>1</f>
        <v>1</v>
      </c>
    </row>
    <row r="9092" spans="2:9" x14ac:dyDescent="0.25">
      <c r="B9092">
        <v>0</v>
      </c>
      <c r="C9092" s="16" t="s">
        <v>18133</v>
      </c>
      <c r="D9092" s="16"/>
      <c r="E9092">
        <v>6</v>
      </c>
      <c r="F9092" t="s">
        <v>8672</v>
      </c>
      <c r="G9092">
        <v>1</v>
      </c>
      <c r="H9092">
        <v>1</v>
      </c>
      <c r="I9092">
        <f>1</f>
        <v>1</v>
      </c>
    </row>
    <row r="9093" spans="2:9" x14ac:dyDescent="0.25">
      <c r="B9093">
        <v>0</v>
      </c>
      <c r="C9093" s="16" t="s">
        <v>18134</v>
      </c>
      <c r="D9093" s="16"/>
      <c r="E9093">
        <v>6</v>
      </c>
      <c r="F9093" t="s">
        <v>8673</v>
      </c>
      <c r="G9093">
        <v>1</v>
      </c>
      <c r="H9093">
        <v>1</v>
      </c>
      <c r="I9093">
        <f>1</f>
        <v>1</v>
      </c>
    </row>
    <row r="9094" spans="2:9" x14ac:dyDescent="0.25">
      <c r="B9094">
        <v>0</v>
      </c>
      <c r="C9094" s="16" t="s">
        <v>18135</v>
      </c>
      <c r="D9094" s="16"/>
      <c r="E9094">
        <v>6</v>
      </c>
      <c r="F9094" t="s">
        <v>8674</v>
      </c>
      <c r="G9094">
        <v>1</v>
      </c>
      <c r="H9094">
        <v>1</v>
      </c>
      <c r="I9094">
        <f>1</f>
        <v>1</v>
      </c>
    </row>
    <row r="9095" spans="2:9" x14ac:dyDescent="0.25">
      <c r="B9095">
        <v>0</v>
      </c>
      <c r="C9095" s="16" t="s">
        <v>18136</v>
      </c>
      <c r="D9095" s="16"/>
      <c r="E9095">
        <v>6</v>
      </c>
      <c r="F9095" t="s">
        <v>4680</v>
      </c>
      <c r="G9095">
        <v>1</v>
      </c>
      <c r="H9095">
        <v>1</v>
      </c>
      <c r="I9095">
        <f>1</f>
        <v>1</v>
      </c>
    </row>
    <row r="9096" spans="2:9" x14ac:dyDescent="0.25">
      <c r="B9096">
        <v>0</v>
      </c>
      <c r="C9096" s="16" t="s">
        <v>18137</v>
      </c>
      <c r="D9096" s="16"/>
      <c r="E9096">
        <v>6</v>
      </c>
      <c r="F9096" t="s">
        <v>8675</v>
      </c>
      <c r="G9096">
        <v>1</v>
      </c>
      <c r="H9096">
        <v>1</v>
      </c>
      <c r="I9096">
        <f>1</f>
        <v>1</v>
      </c>
    </row>
    <row r="9097" spans="2:9" x14ac:dyDescent="0.25">
      <c r="B9097">
        <v>0</v>
      </c>
      <c r="C9097" s="16" t="s">
        <v>18138</v>
      </c>
      <c r="D9097" s="16"/>
      <c r="E9097">
        <v>6</v>
      </c>
      <c r="F9097" t="s">
        <v>4680</v>
      </c>
      <c r="G9097">
        <v>1</v>
      </c>
      <c r="H9097">
        <v>1</v>
      </c>
      <c r="I9097">
        <f>1</f>
        <v>1</v>
      </c>
    </row>
    <row r="9098" spans="2:9" x14ac:dyDescent="0.25">
      <c r="B9098">
        <v>0</v>
      </c>
      <c r="C9098" s="16" t="s">
        <v>18139</v>
      </c>
      <c r="D9098" s="16"/>
      <c r="E9098">
        <v>6</v>
      </c>
      <c r="F9098" t="s">
        <v>4680</v>
      </c>
      <c r="G9098">
        <v>1</v>
      </c>
      <c r="H9098">
        <v>1</v>
      </c>
      <c r="I9098">
        <f>1</f>
        <v>1</v>
      </c>
    </row>
    <row r="9099" spans="2:9" x14ac:dyDescent="0.25">
      <c r="B9099">
        <v>0</v>
      </c>
      <c r="C9099" s="16" t="s">
        <v>18140</v>
      </c>
      <c r="D9099" s="16"/>
      <c r="E9099">
        <v>6</v>
      </c>
      <c r="F9099" t="s">
        <v>8676</v>
      </c>
      <c r="G9099">
        <v>1</v>
      </c>
      <c r="H9099">
        <v>1</v>
      </c>
      <c r="I9099">
        <f>1</f>
        <v>1</v>
      </c>
    </row>
    <row r="9100" spans="2:9" x14ac:dyDescent="0.25">
      <c r="B9100">
        <v>0</v>
      </c>
      <c r="C9100" s="16" t="s">
        <v>18141</v>
      </c>
      <c r="D9100" s="16"/>
      <c r="E9100">
        <v>6</v>
      </c>
      <c r="F9100" t="s">
        <v>8677</v>
      </c>
      <c r="G9100">
        <v>1</v>
      </c>
      <c r="H9100">
        <v>1</v>
      </c>
      <c r="I9100">
        <f>1</f>
        <v>1</v>
      </c>
    </row>
    <row r="9101" spans="2:9" x14ac:dyDescent="0.25">
      <c r="B9101">
        <v>0</v>
      </c>
      <c r="C9101" s="16" t="s">
        <v>18142</v>
      </c>
      <c r="D9101" s="16"/>
      <c r="E9101">
        <v>6</v>
      </c>
      <c r="F9101" t="s">
        <v>8678</v>
      </c>
      <c r="G9101">
        <v>1</v>
      </c>
      <c r="H9101">
        <v>1</v>
      </c>
      <c r="I9101">
        <f>1</f>
        <v>1</v>
      </c>
    </row>
    <row r="9102" spans="2:9" x14ac:dyDescent="0.25">
      <c r="B9102">
        <v>0</v>
      </c>
      <c r="C9102" s="16" t="s">
        <v>18143</v>
      </c>
      <c r="D9102" s="16"/>
      <c r="E9102">
        <v>6</v>
      </c>
      <c r="F9102" t="s">
        <v>4680</v>
      </c>
      <c r="G9102">
        <v>1</v>
      </c>
      <c r="H9102">
        <v>1</v>
      </c>
      <c r="I9102">
        <f>1</f>
        <v>1</v>
      </c>
    </row>
    <row r="9103" spans="2:9" x14ac:dyDescent="0.25">
      <c r="B9103">
        <v>0</v>
      </c>
      <c r="C9103" s="16" t="s">
        <v>18144</v>
      </c>
      <c r="D9103" s="16"/>
      <c r="E9103">
        <v>6</v>
      </c>
      <c r="F9103" t="s">
        <v>8679</v>
      </c>
      <c r="G9103">
        <v>1</v>
      </c>
      <c r="H9103">
        <v>1</v>
      </c>
      <c r="I9103">
        <f>1</f>
        <v>1</v>
      </c>
    </row>
    <row r="9104" spans="2:9" x14ac:dyDescent="0.25">
      <c r="B9104">
        <v>0</v>
      </c>
      <c r="C9104" s="16" t="s">
        <v>18145</v>
      </c>
      <c r="D9104" s="16"/>
      <c r="E9104">
        <v>6</v>
      </c>
      <c r="F9104" t="s">
        <v>4690</v>
      </c>
      <c r="G9104">
        <v>1</v>
      </c>
      <c r="H9104">
        <v>1</v>
      </c>
      <c r="I9104">
        <f>1</f>
        <v>1</v>
      </c>
    </row>
    <row r="9105" spans="2:9" x14ac:dyDescent="0.25">
      <c r="B9105">
        <v>0</v>
      </c>
      <c r="C9105" s="16" t="s">
        <v>18146</v>
      </c>
      <c r="D9105" s="16"/>
      <c r="E9105">
        <v>6</v>
      </c>
      <c r="F9105" t="s">
        <v>8680</v>
      </c>
      <c r="G9105">
        <v>1</v>
      </c>
      <c r="H9105">
        <v>1</v>
      </c>
      <c r="I9105">
        <f>1</f>
        <v>1</v>
      </c>
    </row>
    <row r="9106" spans="2:9" x14ac:dyDescent="0.25">
      <c r="B9106">
        <v>0</v>
      </c>
      <c r="C9106" s="16" t="s">
        <v>18147</v>
      </c>
      <c r="D9106" s="16"/>
      <c r="E9106">
        <v>6</v>
      </c>
      <c r="F9106" t="s">
        <v>8681</v>
      </c>
      <c r="G9106">
        <v>1</v>
      </c>
      <c r="H9106">
        <v>1</v>
      </c>
      <c r="I9106">
        <f>1</f>
        <v>1</v>
      </c>
    </row>
    <row r="9107" spans="2:9" x14ac:dyDescent="0.25">
      <c r="B9107">
        <v>0</v>
      </c>
      <c r="C9107" s="16" t="s">
        <v>18148</v>
      </c>
      <c r="D9107" s="16"/>
      <c r="E9107">
        <v>6</v>
      </c>
      <c r="F9107" t="s">
        <v>8682</v>
      </c>
      <c r="G9107">
        <v>1</v>
      </c>
      <c r="H9107">
        <v>1</v>
      </c>
      <c r="I9107">
        <f>1</f>
        <v>1</v>
      </c>
    </row>
    <row r="9108" spans="2:9" x14ac:dyDescent="0.25">
      <c r="B9108">
        <v>0</v>
      </c>
      <c r="C9108" s="16" t="s">
        <v>18149</v>
      </c>
      <c r="D9108" s="16"/>
      <c r="E9108">
        <v>6</v>
      </c>
      <c r="F9108" t="s">
        <v>8683</v>
      </c>
      <c r="G9108">
        <v>1</v>
      </c>
      <c r="H9108">
        <v>1</v>
      </c>
      <c r="I9108">
        <f>1</f>
        <v>1</v>
      </c>
    </row>
    <row r="9109" spans="2:9" x14ac:dyDescent="0.25">
      <c r="B9109">
        <v>0</v>
      </c>
      <c r="C9109" s="16" t="s">
        <v>18150</v>
      </c>
      <c r="D9109" s="16"/>
      <c r="E9109">
        <v>6</v>
      </c>
      <c r="F9109" t="s">
        <v>8675</v>
      </c>
      <c r="G9109">
        <v>1</v>
      </c>
      <c r="H9109">
        <v>1</v>
      </c>
      <c r="I9109">
        <f>1</f>
        <v>1</v>
      </c>
    </row>
    <row r="9110" spans="2:9" x14ac:dyDescent="0.25">
      <c r="B9110">
        <v>0</v>
      </c>
      <c r="C9110" s="16" t="s">
        <v>18151</v>
      </c>
      <c r="D9110" s="16"/>
      <c r="E9110">
        <v>6</v>
      </c>
      <c r="F9110" t="s">
        <v>4690</v>
      </c>
      <c r="G9110">
        <v>1</v>
      </c>
      <c r="H9110">
        <v>1</v>
      </c>
      <c r="I9110">
        <f>1</f>
        <v>1</v>
      </c>
    </row>
    <row r="9111" spans="2:9" x14ac:dyDescent="0.25">
      <c r="B9111">
        <v>0</v>
      </c>
      <c r="C9111" s="16" t="s">
        <v>18152</v>
      </c>
      <c r="D9111" s="16"/>
      <c r="E9111">
        <v>6</v>
      </c>
      <c r="F9111" t="s">
        <v>8684</v>
      </c>
      <c r="G9111">
        <v>1</v>
      </c>
      <c r="H9111">
        <v>1</v>
      </c>
      <c r="I9111">
        <f>1</f>
        <v>1</v>
      </c>
    </row>
    <row r="9112" spans="2:9" x14ac:dyDescent="0.25">
      <c r="B9112">
        <v>0</v>
      </c>
      <c r="C9112" s="16" t="s">
        <v>18153</v>
      </c>
      <c r="D9112" s="16"/>
      <c r="E9112">
        <v>6</v>
      </c>
      <c r="F9112" t="s">
        <v>8685</v>
      </c>
      <c r="G9112">
        <v>1</v>
      </c>
      <c r="H9112">
        <v>1</v>
      </c>
      <c r="I9112">
        <f>1</f>
        <v>1</v>
      </c>
    </row>
    <row r="9113" spans="2:9" x14ac:dyDescent="0.25">
      <c r="B9113">
        <v>0</v>
      </c>
      <c r="C9113" s="16" t="s">
        <v>18154</v>
      </c>
      <c r="D9113" s="16"/>
      <c r="E9113">
        <v>6</v>
      </c>
      <c r="F9113" t="s">
        <v>4690</v>
      </c>
      <c r="G9113">
        <v>1</v>
      </c>
      <c r="H9113">
        <v>1</v>
      </c>
      <c r="I9113">
        <f>1</f>
        <v>1</v>
      </c>
    </row>
    <row r="9114" spans="2:9" x14ac:dyDescent="0.25">
      <c r="B9114">
        <v>0</v>
      </c>
      <c r="C9114" s="16" t="s">
        <v>18155</v>
      </c>
      <c r="D9114" s="16"/>
      <c r="E9114">
        <v>6</v>
      </c>
      <c r="F9114" t="s">
        <v>8686</v>
      </c>
      <c r="G9114">
        <v>1</v>
      </c>
      <c r="H9114">
        <v>1</v>
      </c>
      <c r="I9114">
        <f>1</f>
        <v>1</v>
      </c>
    </row>
    <row r="9115" spans="2:9" x14ac:dyDescent="0.25">
      <c r="B9115">
        <v>0</v>
      </c>
      <c r="C9115" s="16" t="s">
        <v>18156</v>
      </c>
      <c r="D9115" s="16"/>
      <c r="E9115">
        <v>6</v>
      </c>
      <c r="F9115" t="s">
        <v>8687</v>
      </c>
      <c r="G9115">
        <v>1</v>
      </c>
      <c r="H9115">
        <v>1</v>
      </c>
      <c r="I9115">
        <f>1</f>
        <v>1</v>
      </c>
    </row>
    <row r="9116" spans="2:9" x14ac:dyDescent="0.25">
      <c r="B9116">
        <v>0</v>
      </c>
      <c r="C9116" s="16" t="s">
        <v>18157</v>
      </c>
      <c r="D9116" s="16"/>
      <c r="E9116">
        <v>6</v>
      </c>
      <c r="F9116" t="s">
        <v>8688</v>
      </c>
      <c r="G9116">
        <v>1</v>
      </c>
      <c r="H9116">
        <v>1</v>
      </c>
      <c r="I9116">
        <f>1</f>
        <v>1</v>
      </c>
    </row>
    <row r="9117" spans="2:9" x14ac:dyDescent="0.25">
      <c r="B9117">
        <v>0</v>
      </c>
      <c r="C9117" s="16" t="s">
        <v>18157</v>
      </c>
      <c r="D9117" s="16" t="s">
        <v>19430</v>
      </c>
      <c r="E9117">
        <v>6</v>
      </c>
      <c r="F9117" t="s">
        <v>8689</v>
      </c>
      <c r="G9117">
        <v>1</v>
      </c>
      <c r="H9117">
        <v>1</v>
      </c>
      <c r="I9117">
        <f>1</f>
        <v>1</v>
      </c>
    </row>
    <row r="9118" spans="2:9" x14ac:dyDescent="0.25">
      <c r="B9118">
        <v>0</v>
      </c>
      <c r="C9118" s="16" t="s">
        <v>18157</v>
      </c>
      <c r="D9118" s="16" t="s">
        <v>19431</v>
      </c>
      <c r="E9118">
        <v>6</v>
      </c>
      <c r="F9118" t="s">
        <v>8690</v>
      </c>
      <c r="G9118">
        <v>1</v>
      </c>
      <c r="H9118">
        <v>1</v>
      </c>
      <c r="I9118">
        <f>1</f>
        <v>1</v>
      </c>
    </row>
    <row r="9119" spans="2:9" x14ac:dyDescent="0.25">
      <c r="B9119">
        <v>0</v>
      </c>
      <c r="C9119" s="16" t="s">
        <v>18158</v>
      </c>
      <c r="D9119" s="16"/>
      <c r="E9119">
        <v>6</v>
      </c>
      <c r="F9119" t="s">
        <v>8691</v>
      </c>
      <c r="G9119">
        <v>1</v>
      </c>
      <c r="H9119">
        <v>1</v>
      </c>
      <c r="I9119">
        <f>1</f>
        <v>1</v>
      </c>
    </row>
    <row r="9120" spans="2:9" x14ac:dyDescent="0.25">
      <c r="B9120">
        <v>0</v>
      </c>
      <c r="C9120" s="16" t="s">
        <v>18159</v>
      </c>
      <c r="D9120" s="16"/>
      <c r="E9120">
        <v>6</v>
      </c>
      <c r="F9120" t="s">
        <v>4680</v>
      </c>
      <c r="G9120">
        <v>1</v>
      </c>
      <c r="H9120">
        <v>1</v>
      </c>
      <c r="I9120">
        <f>1</f>
        <v>1</v>
      </c>
    </row>
    <row r="9121" spans="2:9" x14ac:dyDescent="0.25">
      <c r="B9121">
        <v>0</v>
      </c>
      <c r="C9121" s="16" t="s">
        <v>18160</v>
      </c>
      <c r="D9121" s="16"/>
      <c r="E9121">
        <v>6</v>
      </c>
      <c r="F9121" t="s">
        <v>8692</v>
      </c>
      <c r="G9121">
        <v>1</v>
      </c>
      <c r="H9121">
        <v>1</v>
      </c>
      <c r="I9121">
        <f>1</f>
        <v>1</v>
      </c>
    </row>
    <row r="9122" spans="2:9" x14ac:dyDescent="0.25">
      <c r="B9122">
        <v>0</v>
      </c>
      <c r="C9122" s="16" t="s">
        <v>18161</v>
      </c>
      <c r="D9122" s="16"/>
      <c r="E9122">
        <v>6</v>
      </c>
      <c r="F9122" t="s">
        <v>8693</v>
      </c>
      <c r="G9122">
        <v>1</v>
      </c>
      <c r="H9122">
        <v>1</v>
      </c>
      <c r="I9122">
        <f>1</f>
        <v>1</v>
      </c>
    </row>
    <row r="9123" spans="2:9" x14ac:dyDescent="0.25">
      <c r="B9123">
        <v>0</v>
      </c>
      <c r="C9123" s="16" t="s">
        <v>18162</v>
      </c>
      <c r="D9123" s="16"/>
      <c r="E9123">
        <v>6</v>
      </c>
      <c r="F9123" t="s">
        <v>8694</v>
      </c>
      <c r="G9123">
        <v>1</v>
      </c>
      <c r="H9123">
        <v>1</v>
      </c>
      <c r="I9123">
        <f>1</f>
        <v>1</v>
      </c>
    </row>
    <row r="9124" spans="2:9" x14ac:dyDescent="0.25">
      <c r="B9124">
        <v>0</v>
      </c>
      <c r="C9124" s="16" t="s">
        <v>18163</v>
      </c>
      <c r="D9124" s="16"/>
      <c r="E9124">
        <v>6</v>
      </c>
      <c r="F9124" t="s">
        <v>8695</v>
      </c>
      <c r="G9124">
        <v>1</v>
      </c>
      <c r="H9124">
        <v>1</v>
      </c>
      <c r="I9124">
        <f>1</f>
        <v>1</v>
      </c>
    </row>
    <row r="9125" spans="2:9" x14ac:dyDescent="0.25">
      <c r="B9125">
        <v>0</v>
      </c>
      <c r="C9125" s="16" t="s">
        <v>18164</v>
      </c>
      <c r="D9125" s="16"/>
      <c r="E9125">
        <v>6</v>
      </c>
      <c r="F9125" t="s">
        <v>4680</v>
      </c>
      <c r="G9125">
        <v>1</v>
      </c>
      <c r="H9125">
        <v>1</v>
      </c>
      <c r="I9125">
        <f>1</f>
        <v>1</v>
      </c>
    </row>
    <row r="9126" spans="2:9" x14ac:dyDescent="0.25">
      <c r="B9126">
        <v>0</v>
      </c>
      <c r="C9126" s="16" t="s">
        <v>18165</v>
      </c>
      <c r="D9126" s="16"/>
      <c r="E9126">
        <v>6</v>
      </c>
      <c r="F9126" t="s">
        <v>8696</v>
      </c>
      <c r="G9126">
        <v>1</v>
      </c>
      <c r="H9126">
        <v>1</v>
      </c>
      <c r="I9126">
        <f>1</f>
        <v>1</v>
      </c>
    </row>
    <row r="9127" spans="2:9" x14ac:dyDescent="0.25">
      <c r="B9127">
        <v>0</v>
      </c>
      <c r="C9127" s="16" t="s">
        <v>18166</v>
      </c>
      <c r="D9127" s="16"/>
      <c r="E9127">
        <v>6</v>
      </c>
      <c r="F9127" t="s">
        <v>8697</v>
      </c>
      <c r="G9127">
        <v>1</v>
      </c>
      <c r="H9127">
        <v>1</v>
      </c>
      <c r="I9127">
        <f>1</f>
        <v>1</v>
      </c>
    </row>
    <row r="9128" spans="2:9" x14ac:dyDescent="0.25">
      <c r="B9128">
        <v>0</v>
      </c>
      <c r="C9128" s="16" t="s">
        <v>18167</v>
      </c>
      <c r="D9128" s="16"/>
      <c r="E9128">
        <v>6</v>
      </c>
      <c r="F9128" t="s">
        <v>8698</v>
      </c>
      <c r="G9128">
        <v>1</v>
      </c>
      <c r="H9128">
        <v>1</v>
      </c>
      <c r="I9128">
        <f>1</f>
        <v>1</v>
      </c>
    </row>
    <row r="9129" spans="2:9" x14ac:dyDescent="0.25">
      <c r="B9129">
        <v>0</v>
      </c>
      <c r="C9129" s="16" t="s">
        <v>18168</v>
      </c>
      <c r="D9129" s="16"/>
      <c r="E9129">
        <v>6</v>
      </c>
      <c r="F9129" t="s">
        <v>4680</v>
      </c>
      <c r="G9129">
        <v>1</v>
      </c>
      <c r="H9129">
        <v>1</v>
      </c>
      <c r="I9129">
        <f>1</f>
        <v>1</v>
      </c>
    </row>
    <row r="9130" spans="2:9" x14ac:dyDescent="0.25">
      <c r="B9130">
        <v>0</v>
      </c>
      <c r="C9130" s="16" t="s">
        <v>18169</v>
      </c>
      <c r="D9130" s="16"/>
      <c r="E9130">
        <v>6</v>
      </c>
      <c r="F9130" t="s">
        <v>8699</v>
      </c>
      <c r="G9130">
        <v>1</v>
      </c>
      <c r="H9130">
        <v>1</v>
      </c>
      <c r="I9130">
        <f>1</f>
        <v>1</v>
      </c>
    </row>
    <row r="9131" spans="2:9" x14ac:dyDescent="0.25">
      <c r="B9131">
        <v>0</v>
      </c>
      <c r="C9131" s="16" t="s">
        <v>18170</v>
      </c>
      <c r="D9131" s="16"/>
      <c r="E9131">
        <v>6</v>
      </c>
      <c r="F9131" t="s">
        <v>8700</v>
      </c>
      <c r="G9131">
        <v>1</v>
      </c>
      <c r="H9131">
        <v>1</v>
      </c>
      <c r="I9131">
        <f>1</f>
        <v>1</v>
      </c>
    </row>
    <row r="9132" spans="2:9" x14ac:dyDescent="0.25">
      <c r="B9132">
        <v>0</v>
      </c>
      <c r="C9132" s="16" t="s">
        <v>18171</v>
      </c>
      <c r="D9132" s="16"/>
      <c r="E9132">
        <v>6</v>
      </c>
      <c r="F9132" t="s">
        <v>4680</v>
      </c>
      <c r="G9132">
        <v>1</v>
      </c>
      <c r="H9132">
        <v>1</v>
      </c>
      <c r="I9132">
        <f>1</f>
        <v>1</v>
      </c>
    </row>
    <row r="9133" spans="2:9" x14ac:dyDescent="0.25">
      <c r="B9133">
        <v>0</v>
      </c>
      <c r="C9133" s="16" t="s">
        <v>18172</v>
      </c>
      <c r="D9133" s="16"/>
      <c r="E9133">
        <v>6</v>
      </c>
      <c r="F9133" t="s">
        <v>8701</v>
      </c>
      <c r="G9133">
        <v>1</v>
      </c>
      <c r="H9133">
        <v>1</v>
      </c>
      <c r="I9133">
        <f>1</f>
        <v>1</v>
      </c>
    </row>
    <row r="9134" spans="2:9" x14ac:dyDescent="0.25">
      <c r="B9134">
        <v>0</v>
      </c>
      <c r="C9134" s="16" t="s">
        <v>18173</v>
      </c>
      <c r="D9134" s="16"/>
      <c r="E9134">
        <v>6</v>
      </c>
      <c r="F9134" t="s">
        <v>8702</v>
      </c>
      <c r="G9134">
        <v>1</v>
      </c>
      <c r="H9134">
        <v>1</v>
      </c>
      <c r="I9134">
        <f>1</f>
        <v>1</v>
      </c>
    </row>
    <row r="9135" spans="2:9" x14ac:dyDescent="0.25">
      <c r="B9135">
        <v>0</v>
      </c>
      <c r="C9135" s="16" t="s">
        <v>18174</v>
      </c>
      <c r="D9135" s="16"/>
      <c r="E9135">
        <v>6</v>
      </c>
      <c r="F9135" t="s">
        <v>8703</v>
      </c>
      <c r="G9135">
        <v>1</v>
      </c>
      <c r="H9135">
        <v>1</v>
      </c>
      <c r="I9135">
        <f>1</f>
        <v>1</v>
      </c>
    </row>
    <row r="9136" spans="2:9" x14ac:dyDescent="0.25">
      <c r="B9136">
        <v>0</v>
      </c>
      <c r="C9136" s="16" t="s">
        <v>18175</v>
      </c>
      <c r="D9136" s="16"/>
      <c r="E9136">
        <v>6</v>
      </c>
      <c r="F9136" t="s">
        <v>8704</v>
      </c>
      <c r="G9136">
        <v>1</v>
      </c>
      <c r="H9136">
        <v>1</v>
      </c>
      <c r="I9136">
        <f>1</f>
        <v>1</v>
      </c>
    </row>
    <row r="9137" spans="2:9" x14ac:dyDescent="0.25">
      <c r="B9137">
        <v>0</v>
      </c>
      <c r="C9137" s="16" t="s">
        <v>18176</v>
      </c>
      <c r="D9137" s="16"/>
      <c r="E9137">
        <v>6</v>
      </c>
      <c r="F9137" t="s">
        <v>8705</v>
      </c>
      <c r="G9137">
        <v>1</v>
      </c>
      <c r="H9137">
        <v>1</v>
      </c>
      <c r="I9137">
        <f>1</f>
        <v>1</v>
      </c>
    </row>
    <row r="9138" spans="2:9" x14ac:dyDescent="0.25">
      <c r="B9138">
        <v>0</v>
      </c>
      <c r="C9138" s="16" t="s">
        <v>18177</v>
      </c>
      <c r="D9138" s="16"/>
      <c r="E9138">
        <v>6</v>
      </c>
      <c r="F9138" t="s">
        <v>4680</v>
      </c>
      <c r="G9138">
        <v>1</v>
      </c>
      <c r="H9138">
        <v>1</v>
      </c>
      <c r="I9138">
        <f>1</f>
        <v>1</v>
      </c>
    </row>
    <row r="9139" spans="2:9" x14ac:dyDescent="0.25">
      <c r="B9139">
        <v>0</v>
      </c>
      <c r="C9139" s="16" t="s">
        <v>18178</v>
      </c>
      <c r="D9139" s="16"/>
      <c r="E9139">
        <v>6</v>
      </c>
      <c r="F9139" t="s">
        <v>8680</v>
      </c>
      <c r="G9139">
        <v>1</v>
      </c>
      <c r="H9139">
        <v>1</v>
      </c>
      <c r="I9139">
        <f>1</f>
        <v>1</v>
      </c>
    </row>
    <row r="9140" spans="2:9" x14ac:dyDescent="0.25">
      <c r="B9140">
        <v>0</v>
      </c>
      <c r="C9140" s="16" t="s">
        <v>18179</v>
      </c>
      <c r="D9140" s="16"/>
      <c r="E9140">
        <v>6</v>
      </c>
      <c r="F9140" t="s">
        <v>8706</v>
      </c>
      <c r="G9140">
        <v>1</v>
      </c>
      <c r="H9140">
        <v>1</v>
      </c>
      <c r="I9140">
        <f>1</f>
        <v>1</v>
      </c>
    </row>
    <row r="9141" spans="2:9" x14ac:dyDescent="0.25">
      <c r="B9141">
        <v>0</v>
      </c>
      <c r="C9141" s="16" t="s">
        <v>18180</v>
      </c>
      <c r="D9141" s="16"/>
      <c r="E9141">
        <v>6</v>
      </c>
      <c r="F9141" t="s">
        <v>8707</v>
      </c>
      <c r="G9141">
        <v>1</v>
      </c>
      <c r="H9141">
        <v>1</v>
      </c>
      <c r="I9141">
        <f>1</f>
        <v>1</v>
      </c>
    </row>
    <row r="9142" spans="2:9" x14ac:dyDescent="0.25">
      <c r="B9142">
        <v>0</v>
      </c>
      <c r="C9142" s="16" t="s">
        <v>18181</v>
      </c>
      <c r="D9142" s="16"/>
      <c r="E9142">
        <v>6</v>
      </c>
      <c r="F9142" t="s">
        <v>8708</v>
      </c>
      <c r="G9142">
        <v>1</v>
      </c>
      <c r="H9142">
        <v>1</v>
      </c>
      <c r="I9142">
        <f>1</f>
        <v>1</v>
      </c>
    </row>
    <row r="9143" spans="2:9" x14ac:dyDescent="0.25">
      <c r="B9143">
        <v>0</v>
      </c>
      <c r="C9143" s="16" t="s">
        <v>18182</v>
      </c>
      <c r="D9143" s="16"/>
      <c r="E9143">
        <v>6</v>
      </c>
      <c r="F9143" t="s">
        <v>8709</v>
      </c>
      <c r="G9143">
        <v>1</v>
      </c>
      <c r="H9143">
        <v>1</v>
      </c>
      <c r="I9143">
        <f>1</f>
        <v>1</v>
      </c>
    </row>
    <row r="9144" spans="2:9" x14ac:dyDescent="0.25">
      <c r="B9144">
        <v>0</v>
      </c>
      <c r="C9144" s="16" t="s">
        <v>18183</v>
      </c>
      <c r="D9144" s="16"/>
      <c r="E9144">
        <v>6</v>
      </c>
      <c r="F9144" t="s">
        <v>8710</v>
      </c>
      <c r="G9144">
        <v>1</v>
      </c>
      <c r="H9144">
        <v>1</v>
      </c>
      <c r="I9144">
        <f>1</f>
        <v>1</v>
      </c>
    </row>
    <row r="9145" spans="2:9" x14ac:dyDescent="0.25">
      <c r="B9145">
        <v>0</v>
      </c>
      <c r="C9145" s="16" t="s">
        <v>18184</v>
      </c>
      <c r="D9145" s="16"/>
      <c r="E9145">
        <v>6</v>
      </c>
      <c r="F9145" t="s">
        <v>8711</v>
      </c>
      <c r="G9145">
        <v>1</v>
      </c>
      <c r="H9145">
        <v>1</v>
      </c>
      <c r="I9145">
        <f>1</f>
        <v>1</v>
      </c>
    </row>
    <row r="9146" spans="2:9" x14ac:dyDescent="0.25">
      <c r="B9146">
        <v>0</v>
      </c>
      <c r="C9146" s="16" t="s">
        <v>18185</v>
      </c>
      <c r="D9146" s="16"/>
      <c r="E9146">
        <v>6</v>
      </c>
      <c r="F9146" t="s">
        <v>8712</v>
      </c>
      <c r="G9146">
        <v>1</v>
      </c>
      <c r="H9146">
        <v>1</v>
      </c>
      <c r="I9146">
        <f>1</f>
        <v>1</v>
      </c>
    </row>
    <row r="9147" spans="2:9" x14ac:dyDescent="0.25">
      <c r="B9147">
        <v>0</v>
      </c>
      <c r="C9147" s="16" t="s">
        <v>18186</v>
      </c>
      <c r="D9147" s="16"/>
      <c r="E9147">
        <v>6</v>
      </c>
      <c r="F9147" t="s">
        <v>4680</v>
      </c>
      <c r="G9147">
        <v>1</v>
      </c>
      <c r="H9147">
        <v>1</v>
      </c>
      <c r="I9147">
        <f>1</f>
        <v>1</v>
      </c>
    </row>
    <row r="9148" spans="2:9" x14ac:dyDescent="0.25">
      <c r="B9148">
        <v>0</v>
      </c>
      <c r="C9148" s="16" t="s">
        <v>18187</v>
      </c>
      <c r="D9148" s="16"/>
      <c r="E9148">
        <v>6</v>
      </c>
      <c r="F9148" t="s">
        <v>8713</v>
      </c>
      <c r="G9148">
        <v>1</v>
      </c>
      <c r="H9148">
        <v>1</v>
      </c>
      <c r="I9148">
        <f>1</f>
        <v>1</v>
      </c>
    </row>
    <row r="9149" spans="2:9" x14ac:dyDescent="0.25">
      <c r="B9149">
        <v>0</v>
      </c>
      <c r="C9149" s="16" t="s">
        <v>18188</v>
      </c>
      <c r="D9149" s="16"/>
      <c r="E9149">
        <v>6</v>
      </c>
      <c r="F9149" t="s">
        <v>8714</v>
      </c>
      <c r="G9149">
        <v>1</v>
      </c>
      <c r="H9149">
        <v>1</v>
      </c>
      <c r="I9149">
        <f>1</f>
        <v>1</v>
      </c>
    </row>
    <row r="9150" spans="2:9" x14ac:dyDescent="0.25">
      <c r="B9150">
        <v>0</v>
      </c>
      <c r="C9150" s="16" t="s">
        <v>18189</v>
      </c>
      <c r="D9150" s="16"/>
      <c r="E9150">
        <v>6</v>
      </c>
      <c r="F9150" t="s">
        <v>8715</v>
      </c>
      <c r="G9150">
        <v>1</v>
      </c>
      <c r="H9150">
        <v>1</v>
      </c>
      <c r="I9150">
        <f>1</f>
        <v>1</v>
      </c>
    </row>
    <row r="9151" spans="2:9" x14ac:dyDescent="0.25">
      <c r="B9151">
        <v>0</v>
      </c>
      <c r="C9151" s="16" t="s">
        <v>18190</v>
      </c>
      <c r="D9151" s="16"/>
      <c r="E9151">
        <v>6</v>
      </c>
      <c r="F9151" t="s">
        <v>8716</v>
      </c>
      <c r="G9151">
        <v>1</v>
      </c>
      <c r="H9151">
        <v>1</v>
      </c>
      <c r="I9151">
        <f>1</f>
        <v>1</v>
      </c>
    </row>
    <row r="9152" spans="2:9" x14ac:dyDescent="0.25">
      <c r="B9152">
        <v>0</v>
      </c>
      <c r="C9152" s="16" t="s">
        <v>18191</v>
      </c>
      <c r="D9152" s="16"/>
      <c r="E9152">
        <v>6</v>
      </c>
      <c r="F9152" t="s">
        <v>8717</v>
      </c>
      <c r="G9152">
        <v>1</v>
      </c>
      <c r="H9152">
        <v>1</v>
      </c>
      <c r="I9152">
        <f>1</f>
        <v>1</v>
      </c>
    </row>
    <row r="9153" spans="2:9" x14ac:dyDescent="0.25">
      <c r="B9153">
        <v>0</v>
      </c>
      <c r="C9153" s="16" t="s">
        <v>18192</v>
      </c>
      <c r="D9153" s="16"/>
      <c r="E9153">
        <v>6</v>
      </c>
      <c r="F9153" t="s">
        <v>8718</v>
      </c>
      <c r="G9153">
        <v>1</v>
      </c>
      <c r="H9153">
        <v>1</v>
      </c>
      <c r="I9153">
        <f>1</f>
        <v>1</v>
      </c>
    </row>
    <row r="9154" spans="2:9" x14ac:dyDescent="0.25">
      <c r="B9154">
        <v>0</v>
      </c>
      <c r="C9154" s="16" t="s">
        <v>18193</v>
      </c>
      <c r="D9154" s="16"/>
      <c r="E9154">
        <v>6</v>
      </c>
      <c r="F9154" t="s">
        <v>4680</v>
      </c>
      <c r="G9154">
        <v>1</v>
      </c>
      <c r="H9154">
        <v>1</v>
      </c>
      <c r="I9154">
        <f>1</f>
        <v>1</v>
      </c>
    </row>
    <row r="9155" spans="2:9" x14ac:dyDescent="0.25">
      <c r="B9155">
        <v>0</v>
      </c>
      <c r="C9155" s="16" t="s">
        <v>18194</v>
      </c>
      <c r="D9155" s="16"/>
      <c r="E9155">
        <v>6</v>
      </c>
      <c r="F9155" t="e">
        <f>--outros</f>
        <v>#NAME?</v>
      </c>
      <c r="G9155">
        <v>1</v>
      </c>
      <c r="H9155">
        <v>1</v>
      </c>
      <c r="I9155">
        <f>1</f>
        <v>1</v>
      </c>
    </row>
    <row r="9156" spans="2:9" x14ac:dyDescent="0.25">
      <c r="B9156">
        <v>0</v>
      </c>
      <c r="C9156" s="16" t="s">
        <v>18195</v>
      </c>
      <c r="D9156" s="16"/>
      <c r="E9156">
        <v>6</v>
      </c>
      <c r="F9156" t="s">
        <v>8297</v>
      </c>
      <c r="G9156">
        <v>1</v>
      </c>
      <c r="H9156">
        <v>1</v>
      </c>
      <c r="I9156">
        <f>1</f>
        <v>1</v>
      </c>
    </row>
    <row r="9157" spans="2:9" x14ac:dyDescent="0.25">
      <c r="B9157">
        <v>0</v>
      </c>
      <c r="C9157" s="16" t="s">
        <v>18196</v>
      </c>
      <c r="D9157" s="16"/>
      <c r="E9157">
        <v>6</v>
      </c>
      <c r="F9157" t="s">
        <v>8719</v>
      </c>
      <c r="G9157">
        <v>1</v>
      </c>
      <c r="H9157">
        <v>1</v>
      </c>
      <c r="I9157">
        <f>1</f>
        <v>1</v>
      </c>
    </row>
    <row r="9158" spans="2:9" x14ac:dyDescent="0.25">
      <c r="B9158">
        <v>0</v>
      </c>
      <c r="C9158" s="16" t="s">
        <v>18197</v>
      </c>
      <c r="D9158" s="16"/>
      <c r="E9158">
        <v>6</v>
      </c>
      <c r="F9158" t="s">
        <v>4690</v>
      </c>
      <c r="G9158">
        <v>1</v>
      </c>
      <c r="H9158">
        <v>1</v>
      </c>
      <c r="I9158">
        <f>1</f>
        <v>1</v>
      </c>
    </row>
    <row r="9159" spans="2:9" x14ac:dyDescent="0.25">
      <c r="B9159">
        <v>0</v>
      </c>
      <c r="C9159" s="16" t="s">
        <v>18198</v>
      </c>
      <c r="D9159" s="16"/>
      <c r="E9159">
        <v>6</v>
      </c>
      <c r="F9159" t="s">
        <v>8720</v>
      </c>
      <c r="G9159">
        <v>1</v>
      </c>
      <c r="H9159">
        <v>1</v>
      </c>
      <c r="I9159">
        <f>1</f>
        <v>1</v>
      </c>
    </row>
    <row r="9160" spans="2:9" x14ac:dyDescent="0.25">
      <c r="B9160">
        <v>0</v>
      </c>
      <c r="C9160" s="16" t="s">
        <v>18199</v>
      </c>
      <c r="D9160" s="16"/>
      <c r="E9160">
        <v>6</v>
      </c>
      <c r="F9160" t="s">
        <v>8721</v>
      </c>
      <c r="G9160">
        <v>1</v>
      </c>
      <c r="H9160">
        <v>1</v>
      </c>
      <c r="I9160">
        <f>1</f>
        <v>1</v>
      </c>
    </row>
    <row r="9161" spans="2:9" x14ac:dyDescent="0.25">
      <c r="B9161">
        <v>0</v>
      </c>
      <c r="C9161" s="16" t="s">
        <v>18200</v>
      </c>
      <c r="D9161" s="16"/>
      <c r="E9161">
        <v>6</v>
      </c>
      <c r="F9161" t="s">
        <v>4690</v>
      </c>
      <c r="G9161">
        <v>1</v>
      </c>
      <c r="H9161">
        <v>1</v>
      </c>
      <c r="I9161">
        <f>1</f>
        <v>1</v>
      </c>
    </row>
    <row r="9162" spans="2:9" x14ac:dyDescent="0.25">
      <c r="B9162">
        <v>0</v>
      </c>
      <c r="C9162" s="16" t="s">
        <v>18201</v>
      </c>
      <c r="D9162" s="16"/>
      <c r="E9162">
        <v>6</v>
      </c>
      <c r="F9162" t="s">
        <v>8722</v>
      </c>
      <c r="G9162">
        <v>1</v>
      </c>
      <c r="H9162">
        <v>1</v>
      </c>
      <c r="I9162">
        <f>1</f>
        <v>1</v>
      </c>
    </row>
    <row r="9163" spans="2:9" x14ac:dyDescent="0.25">
      <c r="B9163">
        <v>0</v>
      </c>
      <c r="C9163" s="16" t="s">
        <v>18202</v>
      </c>
      <c r="D9163" s="16"/>
      <c r="E9163">
        <v>6</v>
      </c>
      <c r="F9163" t="s">
        <v>4680</v>
      </c>
      <c r="G9163">
        <v>1</v>
      </c>
      <c r="H9163">
        <v>1</v>
      </c>
      <c r="I9163">
        <f>1</f>
        <v>1</v>
      </c>
    </row>
    <row r="9164" spans="2:9" x14ac:dyDescent="0.25">
      <c r="B9164">
        <v>0</v>
      </c>
      <c r="C9164" s="16" t="s">
        <v>18203</v>
      </c>
      <c r="D9164" s="16"/>
      <c r="E9164">
        <v>6</v>
      </c>
      <c r="F9164" t="e">
        <f>--Alto-falante  altifalante  único montado no seu receptáculo</f>
        <v>#NAME?</v>
      </c>
      <c r="G9164">
        <v>1</v>
      </c>
      <c r="H9164">
        <v>1</v>
      </c>
      <c r="I9164">
        <f>1</f>
        <v>1</v>
      </c>
    </row>
    <row r="9165" spans="2:9" x14ac:dyDescent="0.25">
      <c r="B9165">
        <v>0</v>
      </c>
      <c r="C9165" s="16" t="s">
        <v>18204</v>
      </c>
      <c r="D9165" s="16"/>
      <c r="E9165">
        <v>6</v>
      </c>
      <c r="F9165" t="e">
        <f>--Alto-falantes  altifalantes  múltiplos montados no mesmo receptáculo</f>
        <v>#NAME?</v>
      </c>
      <c r="G9165">
        <v>1</v>
      </c>
      <c r="H9165">
        <v>1</v>
      </c>
      <c r="I9165">
        <f>1</f>
        <v>1</v>
      </c>
    </row>
    <row r="9166" spans="2:9" x14ac:dyDescent="0.25">
      <c r="B9166">
        <v>0</v>
      </c>
      <c r="C9166" s="16" t="s">
        <v>18205</v>
      </c>
      <c r="D9166" s="16"/>
      <c r="E9166">
        <v>6</v>
      </c>
      <c r="F9166" t="s">
        <v>8722</v>
      </c>
      <c r="G9166">
        <v>1</v>
      </c>
      <c r="H9166">
        <v>1</v>
      </c>
      <c r="I9166">
        <f>1</f>
        <v>1</v>
      </c>
    </row>
    <row r="9167" spans="2:9" x14ac:dyDescent="0.25">
      <c r="B9167">
        <v>0</v>
      </c>
      <c r="C9167" s="16" t="s">
        <v>18206</v>
      </c>
      <c r="D9167" s="16"/>
      <c r="E9167">
        <v>6</v>
      </c>
      <c r="F9167" t="s">
        <v>4680</v>
      </c>
      <c r="G9167">
        <v>1</v>
      </c>
      <c r="H9167">
        <v>1</v>
      </c>
      <c r="I9167">
        <f>1</f>
        <v>1</v>
      </c>
    </row>
    <row r="9168" spans="2:9" x14ac:dyDescent="0.25">
      <c r="B9168">
        <v>0</v>
      </c>
      <c r="C9168" s="16" t="s">
        <v>18207</v>
      </c>
      <c r="D9168" s="16"/>
      <c r="E9168">
        <v>6</v>
      </c>
      <c r="F9168" t="s">
        <v>8723</v>
      </c>
      <c r="G9168">
        <v>1</v>
      </c>
      <c r="H9168">
        <v>1</v>
      </c>
      <c r="I9168">
        <f>1</f>
        <v>1</v>
      </c>
    </row>
    <row r="9169" spans="2:9" x14ac:dyDescent="0.25">
      <c r="B9169">
        <v>0</v>
      </c>
      <c r="C9169" s="16" t="s">
        <v>18208</v>
      </c>
      <c r="D9169" s="16"/>
      <c r="E9169">
        <v>6</v>
      </c>
      <c r="F9169" t="e">
        <f>-Amplificadores elétricos De audiofrequência</f>
        <v>#NAME?</v>
      </c>
      <c r="G9169">
        <v>1</v>
      </c>
      <c r="H9169">
        <v>1</v>
      </c>
      <c r="I9169">
        <f>1</f>
        <v>1</v>
      </c>
    </row>
    <row r="9170" spans="2:9" x14ac:dyDescent="0.25">
      <c r="B9170">
        <v>0</v>
      </c>
      <c r="C9170" s="16" t="s">
        <v>18209</v>
      </c>
      <c r="D9170" s="16"/>
      <c r="E9170">
        <v>6</v>
      </c>
      <c r="F9170" t="e">
        <f>-aparelhos elétricos De amplificação De som</f>
        <v>#NAME?</v>
      </c>
      <c r="G9170">
        <v>1</v>
      </c>
      <c r="H9170">
        <v>1</v>
      </c>
      <c r="I9170">
        <f>1</f>
        <v>1</v>
      </c>
    </row>
    <row r="9171" spans="2:9" x14ac:dyDescent="0.25">
      <c r="B9171">
        <v>0</v>
      </c>
      <c r="C9171" s="16" t="s">
        <v>18210</v>
      </c>
      <c r="D9171" s="16"/>
      <c r="E9171">
        <v>6</v>
      </c>
      <c r="F9171" t="s">
        <v>8724</v>
      </c>
      <c r="G9171">
        <v>1</v>
      </c>
      <c r="H9171">
        <v>1</v>
      </c>
      <c r="I9171">
        <f>1</f>
        <v>1</v>
      </c>
    </row>
    <row r="9172" spans="2:9" x14ac:dyDescent="0.25">
      <c r="B9172">
        <v>0</v>
      </c>
      <c r="C9172" s="16" t="s">
        <v>18211</v>
      </c>
      <c r="D9172" s="16"/>
      <c r="E9172">
        <v>6</v>
      </c>
      <c r="F9172" t="s">
        <v>4690</v>
      </c>
      <c r="G9172">
        <v>1</v>
      </c>
      <c r="H9172">
        <v>1</v>
      </c>
      <c r="I9172">
        <f>1</f>
        <v>1</v>
      </c>
    </row>
    <row r="9173" spans="2:9" x14ac:dyDescent="0.25">
      <c r="B9173">
        <v>0</v>
      </c>
      <c r="C9173" s="16" t="s">
        <v>18212</v>
      </c>
      <c r="D9173" s="16"/>
      <c r="E9173">
        <v>6</v>
      </c>
      <c r="F9173" t="s">
        <v>8725</v>
      </c>
      <c r="G9173">
        <v>1</v>
      </c>
      <c r="H9173">
        <v>1</v>
      </c>
      <c r="I9173">
        <f>1</f>
        <v>1</v>
      </c>
    </row>
    <row r="9174" spans="2:9" x14ac:dyDescent="0.25">
      <c r="B9174">
        <v>0</v>
      </c>
      <c r="C9174" s="16" t="s">
        <v>18213</v>
      </c>
      <c r="D9174" s="16"/>
      <c r="E9174">
        <v>6</v>
      </c>
      <c r="F9174" t="e">
        <f>-Toca-discos Sem dispositivos De amplificação De som</f>
        <v>#NAME?</v>
      </c>
      <c r="G9174">
        <v>1</v>
      </c>
      <c r="H9174">
        <v>1</v>
      </c>
      <c r="I9174">
        <f>1</f>
        <v>1</v>
      </c>
    </row>
    <row r="9175" spans="2:9" x14ac:dyDescent="0.25">
      <c r="B9175">
        <v>0</v>
      </c>
      <c r="C9175" s="16" t="s">
        <v>18214</v>
      </c>
      <c r="D9175" s="16"/>
      <c r="E9175">
        <v>6</v>
      </c>
      <c r="F9175" t="e">
        <f>-Secretárias eletrônicas</f>
        <v>#NAME?</v>
      </c>
      <c r="G9175">
        <v>1</v>
      </c>
      <c r="H9175">
        <v>1</v>
      </c>
      <c r="I9175">
        <f>1</f>
        <v>1</v>
      </c>
    </row>
    <row r="9176" spans="2:9" x14ac:dyDescent="0.25">
      <c r="B9176">
        <v>0</v>
      </c>
      <c r="C9176" s="16" t="s">
        <v>18215</v>
      </c>
      <c r="D9176" s="16"/>
      <c r="E9176">
        <v>6</v>
      </c>
      <c r="F9176" t="s">
        <v>8726</v>
      </c>
      <c r="G9176">
        <v>1</v>
      </c>
      <c r="H9176">
        <v>1</v>
      </c>
      <c r="I9176">
        <f>1</f>
        <v>1</v>
      </c>
    </row>
    <row r="9177" spans="2:9" x14ac:dyDescent="0.25">
      <c r="B9177">
        <v>0</v>
      </c>
      <c r="C9177" s="16" t="s">
        <v>18216</v>
      </c>
      <c r="D9177" s="16"/>
      <c r="E9177">
        <v>6</v>
      </c>
      <c r="F9177" t="s">
        <v>8727</v>
      </c>
      <c r="G9177">
        <v>1</v>
      </c>
      <c r="H9177">
        <v>1</v>
      </c>
      <c r="I9177">
        <f>1</f>
        <v>1</v>
      </c>
    </row>
    <row r="9178" spans="2:9" x14ac:dyDescent="0.25">
      <c r="B9178">
        <v>0</v>
      </c>
      <c r="C9178" s="16" t="s">
        <v>18217</v>
      </c>
      <c r="D9178" s="16"/>
      <c r="E9178">
        <v>6</v>
      </c>
      <c r="F9178" t="s">
        <v>4680</v>
      </c>
      <c r="G9178">
        <v>1</v>
      </c>
      <c r="H9178">
        <v>1</v>
      </c>
      <c r="I9178">
        <f>1</f>
        <v>1</v>
      </c>
    </row>
    <row r="9179" spans="2:9" x14ac:dyDescent="0.25">
      <c r="B9179">
        <v>0</v>
      </c>
      <c r="C9179" s="16" t="s">
        <v>18218</v>
      </c>
      <c r="D9179" s="16"/>
      <c r="E9179">
        <v>6</v>
      </c>
      <c r="F9179" t="s">
        <v>8728</v>
      </c>
      <c r="G9179">
        <v>1</v>
      </c>
      <c r="H9179">
        <v>1</v>
      </c>
      <c r="I9179">
        <f>1</f>
        <v>1</v>
      </c>
    </row>
    <row r="9180" spans="2:9" x14ac:dyDescent="0.25">
      <c r="B9180">
        <v>0</v>
      </c>
      <c r="C9180" s="16" t="s">
        <v>18219</v>
      </c>
      <c r="D9180" s="16"/>
      <c r="E9180">
        <v>6</v>
      </c>
      <c r="F9180" t="s">
        <v>8729</v>
      </c>
      <c r="G9180">
        <v>1</v>
      </c>
      <c r="H9180">
        <v>1</v>
      </c>
      <c r="I9180">
        <f>1</f>
        <v>1</v>
      </c>
    </row>
    <row r="9181" spans="2:9" x14ac:dyDescent="0.25">
      <c r="B9181">
        <v>0</v>
      </c>
      <c r="C9181" s="16" t="s">
        <v>18220</v>
      </c>
      <c r="D9181" s="16"/>
      <c r="E9181">
        <v>6</v>
      </c>
      <c r="F9181" t="s">
        <v>4680</v>
      </c>
      <c r="G9181">
        <v>1</v>
      </c>
      <c r="H9181">
        <v>1</v>
      </c>
      <c r="I9181">
        <f>1</f>
        <v>1</v>
      </c>
    </row>
    <row r="9182" spans="2:9" x14ac:dyDescent="0.25">
      <c r="B9182">
        <v>0</v>
      </c>
      <c r="C9182" s="16" t="s">
        <v>18217</v>
      </c>
      <c r="D9182" s="16" t="s">
        <v>19430</v>
      </c>
      <c r="E9182">
        <v>6</v>
      </c>
      <c r="F9182" t="s">
        <v>8730</v>
      </c>
      <c r="G9182">
        <v>1</v>
      </c>
      <c r="H9182">
        <v>1</v>
      </c>
      <c r="I9182">
        <f>1</f>
        <v>1</v>
      </c>
    </row>
    <row r="9183" spans="2:9" x14ac:dyDescent="0.25">
      <c r="B9183">
        <v>0</v>
      </c>
      <c r="C9183" s="16" t="s">
        <v>18217</v>
      </c>
      <c r="D9183" s="16" t="s">
        <v>19431</v>
      </c>
      <c r="E9183">
        <v>6</v>
      </c>
      <c r="F9183" t="s">
        <v>8731</v>
      </c>
      <c r="G9183">
        <v>1</v>
      </c>
      <c r="H9183">
        <v>1</v>
      </c>
      <c r="I9183">
        <f>1</f>
        <v>1</v>
      </c>
    </row>
    <row r="9184" spans="2:9" x14ac:dyDescent="0.25">
      <c r="B9184">
        <v>0</v>
      </c>
      <c r="C9184" s="16" t="s">
        <v>18217</v>
      </c>
      <c r="D9184" s="16" t="s">
        <v>19432</v>
      </c>
      <c r="E9184">
        <v>6</v>
      </c>
      <c r="F9184" t="s">
        <v>8732</v>
      </c>
      <c r="G9184">
        <v>1</v>
      </c>
      <c r="H9184">
        <v>1</v>
      </c>
      <c r="I9184">
        <f>1</f>
        <v>1</v>
      </c>
    </row>
    <row r="9185" spans="2:9" x14ac:dyDescent="0.25">
      <c r="B9185">
        <v>0</v>
      </c>
      <c r="C9185" s="16" t="s">
        <v>18221</v>
      </c>
      <c r="D9185" s="16"/>
      <c r="E9185">
        <v>6</v>
      </c>
      <c r="F9185" t="e">
        <f>--outros</f>
        <v>#NAME?</v>
      </c>
      <c r="G9185">
        <v>1</v>
      </c>
      <c r="H9185">
        <v>1</v>
      </c>
      <c r="I9185">
        <f>1</f>
        <v>1</v>
      </c>
    </row>
    <row r="9186" spans="2:9" x14ac:dyDescent="0.25">
      <c r="B9186">
        <v>0</v>
      </c>
      <c r="C9186" s="16" t="s">
        <v>18221</v>
      </c>
      <c r="D9186" s="16" t="s">
        <v>19430</v>
      </c>
      <c r="E9186">
        <v>6</v>
      </c>
      <c r="F9186" t="s">
        <v>8733</v>
      </c>
      <c r="G9186">
        <v>1</v>
      </c>
      <c r="H9186">
        <v>1</v>
      </c>
      <c r="I9186">
        <f>1</f>
        <v>1</v>
      </c>
    </row>
    <row r="9187" spans="2:9" x14ac:dyDescent="0.25">
      <c r="B9187">
        <v>0</v>
      </c>
      <c r="C9187" s="16" t="s">
        <v>18222</v>
      </c>
      <c r="D9187" s="16"/>
      <c r="E9187">
        <v>6</v>
      </c>
      <c r="F9187" t="s">
        <v>8734</v>
      </c>
      <c r="G9187">
        <v>1</v>
      </c>
      <c r="H9187">
        <v>1</v>
      </c>
      <c r="I9187">
        <f>1</f>
        <v>1</v>
      </c>
    </row>
    <row r="9188" spans="2:9" x14ac:dyDescent="0.25">
      <c r="B9188">
        <v>0</v>
      </c>
      <c r="C9188" s="16" t="s">
        <v>18223</v>
      </c>
      <c r="D9188" s="16"/>
      <c r="E9188">
        <v>6</v>
      </c>
      <c r="F9188" t="s">
        <v>8735</v>
      </c>
      <c r="G9188">
        <v>1</v>
      </c>
      <c r="H9188">
        <v>1</v>
      </c>
      <c r="I9188">
        <f>1</f>
        <v>1</v>
      </c>
    </row>
    <row r="9189" spans="2:9" x14ac:dyDescent="0.25">
      <c r="B9189">
        <v>0</v>
      </c>
      <c r="C9189" s="16" t="s">
        <v>18224</v>
      </c>
      <c r="D9189" s="16"/>
      <c r="E9189">
        <v>6</v>
      </c>
      <c r="F9189" t="s">
        <v>4680</v>
      </c>
      <c r="G9189">
        <v>1</v>
      </c>
      <c r="H9189">
        <v>1</v>
      </c>
      <c r="I9189">
        <f>1</f>
        <v>1</v>
      </c>
    </row>
    <row r="9190" spans="2:9" x14ac:dyDescent="0.25">
      <c r="B9190">
        <v>0</v>
      </c>
      <c r="C9190" s="16" t="s">
        <v>18225</v>
      </c>
      <c r="D9190" s="16"/>
      <c r="E9190">
        <v>6</v>
      </c>
      <c r="F9190" t="s">
        <v>8736</v>
      </c>
      <c r="G9190">
        <v>1</v>
      </c>
      <c r="H9190">
        <v>1</v>
      </c>
      <c r="I9190">
        <f>1</f>
        <v>1</v>
      </c>
    </row>
    <row r="9191" spans="2:9" x14ac:dyDescent="0.25">
      <c r="B9191">
        <v>0</v>
      </c>
      <c r="C9191" s="16" t="s">
        <v>18226</v>
      </c>
      <c r="D9191" s="16"/>
      <c r="E9191">
        <v>6</v>
      </c>
      <c r="F9191" t="s">
        <v>8737</v>
      </c>
      <c r="G9191">
        <v>1</v>
      </c>
      <c r="H9191">
        <v>1</v>
      </c>
      <c r="I9191">
        <f>1</f>
        <v>1</v>
      </c>
    </row>
    <row r="9192" spans="2:9" x14ac:dyDescent="0.25">
      <c r="B9192">
        <v>0</v>
      </c>
      <c r="C9192" s="16" t="s">
        <v>18227</v>
      </c>
      <c r="D9192" s="16"/>
      <c r="E9192">
        <v>6</v>
      </c>
      <c r="F9192" t="s">
        <v>4680</v>
      </c>
      <c r="G9192">
        <v>1</v>
      </c>
      <c r="H9192">
        <v>1</v>
      </c>
      <c r="I9192">
        <f>1</f>
        <v>1</v>
      </c>
    </row>
    <row r="9193" spans="2:9" x14ac:dyDescent="0.25">
      <c r="B9193">
        <v>0</v>
      </c>
      <c r="C9193" s="16" t="s">
        <v>18227</v>
      </c>
      <c r="D9193" s="16" t="s">
        <v>19430</v>
      </c>
      <c r="E9193">
        <v>6</v>
      </c>
      <c r="F9193" t="s">
        <v>8738</v>
      </c>
      <c r="G9193">
        <v>1</v>
      </c>
      <c r="H9193">
        <v>1</v>
      </c>
      <c r="I9193">
        <f>1</f>
        <v>1</v>
      </c>
    </row>
    <row r="9194" spans="2:9" x14ac:dyDescent="0.25">
      <c r="B9194">
        <v>0</v>
      </c>
      <c r="C9194" s="16" t="s">
        <v>18227</v>
      </c>
      <c r="D9194" s="16" t="s">
        <v>19431</v>
      </c>
      <c r="E9194">
        <v>6</v>
      </c>
      <c r="F9194" t="s">
        <v>8739</v>
      </c>
      <c r="G9194">
        <v>1</v>
      </c>
      <c r="H9194">
        <v>1</v>
      </c>
      <c r="I9194">
        <f>1</f>
        <v>1</v>
      </c>
    </row>
    <row r="9195" spans="2:9" x14ac:dyDescent="0.25">
      <c r="B9195">
        <v>0</v>
      </c>
      <c r="C9195" s="16" t="s">
        <v>18228</v>
      </c>
      <c r="D9195" s="16"/>
      <c r="E9195">
        <v>6</v>
      </c>
      <c r="F9195" t="e">
        <f>-Fonocaptores</f>
        <v>#NAME?</v>
      </c>
      <c r="G9195">
        <v>1</v>
      </c>
      <c r="H9195">
        <v>1</v>
      </c>
      <c r="I9195">
        <f>1</f>
        <v>1</v>
      </c>
    </row>
    <row r="9196" spans="2:9" x14ac:dyDescent="0.25">
      <c r="B9196">
        <v>0</v>
      </c>
      <c r="C9196" s="16" t="s">
        <v>18229</v>
      </c>
      <c r="D9196" s="16"/>
      <c r="E9196">
        <v>6</v>
      </c>
      <c r="F9196" t="s">
        <v>8740</v>
      </c>
      <c r="G9196">
        <v>1</v>
      </c>
      <c r="H9196">
        <v>1</v>
      </c>
      <c r="I9196">
        <f>1</f>
        <v>1</v>
      </c>
    </row>
    <row r="9197" spans="2:9" x14ac:dyDescent="0.25">
      <c r="B9197">
        <v>0</v>
      </c>
      <c r="C9197" s="16" t="s">
        <v>18230</v>
      </c>
      <c r="D9197" s="16"/>
      <c r="E9197">
        <v>6</v>
      </c>
      <c r="F9197" t="s">
        <v>8741</v>
      </c>
      <c r="G9197">
        <v>1</v>
      </c>
      <c r="H9197">
        <v>1</v>
      </c>
      <c r="I9197">
        <f>1</f>
        <v>1</v>
      </c>
    </row>
    <row r="9198" spans="2:9" x14ac:dyDescent="0.25">
      <c r="B9198">
        <v>0</v>
      </c>
      <c r="C9198" s="16" t="s">
        <v>18231</v>
      </c>
      <c r="D9198" s="16"/>
      <c r="E9198">
        <v>6</v>
      </c>
      <c r="F9198" t="s">
        <v>8742</v>
      </c>
      <c r="G9198">
        <v>1</v>
      </c>
      <c r="H9198">
        <v>1</v>
      </c>
      <c r="I9198">
        <f>1</f>
        <v>1</v>
      </c>
    </row>
    <row r="9199" spans="2:9" x14ac:dyDescent="0.25">
      <c r="B9199">
        <v>0</v>
      </c>
      <c r="C9199" s="16" t="s">
        <v>18232</v>
      </c>
      <c r="D9199" s="16"/>
      <c r="E9199">
        <v>6</v>
      </c>
      <c r="F9199" t="s">
        <v>8743</v>
      </c>
      <c r="G9199">
        <v>1</v>
      </c>
      <c r="H9199">
        <v>1</v>
      </c>
      <c r="I9199">
        <f>1</f>
        <v>1</v>
      </c>
    </row>
    <row r="9200" spans="2:9" x14ac:dyDescent="0.25">
      <c r="B9200">
        <v>0</v>
      </c>
      <c r="C9200" s="16" t="s">
        <v>18233</v>
      </c>
      <c r="D9200" s="16"/>
      <c r="E9200">
        <v>6</v>
      </c>
      <c r="F9200" t="s">
        <v>8744</v>
      </c>
      <c r="G9200">
        <v>1</v>
      </c>
      <c r="H9200">
        <v>1</v>
      </c>
      <c r="I9200">
        <f>1</f>
        <v>1</v>
      </c>
    </row>
    <row r="9201" spans="2:9" x14ac:dyDescent="0.25">
      <c r="B9201">
        <v>0</v>
      </c>
      <c r="C9201" s="16" t="s">
        <v>18234</v>
      </c>
      <c r="D9201" s="16"/>
      <c r="E9201">
        <v>6</v>
      </c>
      <c r="F9201" t="s">
        <v>4680</v>
      </c>
      <c r="G9201">
        <v>1</v>
      </c>
      <c r="H9201">
        <v>1</v>
      </c>
      <c r="I9201">
        <f>1</f>
        <v>1</v>
      </c>
    </row>
    <row r="9202" spans="2:9" x14ac:dyDescent="0.25">
      <c r="B9202">
        <v>0</v>
      </c>
      <c r="C9202" s="16" t="s">
        <v>18235</v>
      </c>
      <c r="D9202" s="16"/>
      <c r="E9202">
        <v>6</v>
      </c>
      <c r="F9202" t="s">
        <v>8745</v>
      </c>
      <c r="G9202">
        <v>1</v>
      </c>
      <c r="H9202">
        <v>1</v>
      </c>
      <c r="I9202">
        <f>1</f>
        <v>1</v>
      </c>
    </row>
    <row r="9203" spans="2:9" x14ac:dyDescent="0.25">
      <c r="B9203">
        <v>0</v>
      </c>
      <c r="C9203" s="16" t="s">
        <v>18236</v>
      </c>
      <c r="D9203" s="16"/>
      <c r="E9203">
        <v>6</v>
      </c>
      <c r="F9203" t="s">
        <v>8746</v>
      </c>
      <c r="G9203">
        <v>1</v>
      </c>
      <c r="H9203">
        <v>1</v>
      </c>
      <c r="I9203">
        <f>1</f>
        <v>1</v>
      </c>
    </row>
    <row r="9204" spans="2:9" x14ac:dyDescent="0.25">
      <c r="B9204">
        <v>0</v>
      </c>
      <c r="C9204" s="16" t="s">
        <v>18237</v>
      </c>
      <c r="D9204" s="16"/>
      <c r="E9204">
        <v>6</v>
      </c>
      <c r="F9204" t="s">
        <v>8747</v>
      </c>
      <c r="G9204">
        <v>1</v>
      </c>
      <c r="H9204">
        <v>1</v>
      </c>
      <c r="I9204">
        <f>1</f>
        <v>1</v>
      </c>
    </row>
    <row r="9205" spans="2:9" x14ac:dyDescent="0.25">
      <c r="B9205">
        <v>0</v>
      </c>
      <c r="C9205" s="16" t="s">
        <v>18238</v>
      </c>
      <c r="D9205" s="16"/>
      <c r="E9205">
        <v>6</v>
      </c>
      <c r="F9205" t="s">
        <v>8748</v>
      </c>
      <c r="G9205">
        <v>1</v>
      </c>
      <c r="H9205">
        <v>1</v>
      </c>
      <c r="I9205">
        <f>1</f>
        <v>1</v>
      </c>
    </row>
    <row r="9206" spans="2:9" x14ac:dyDescent="0.25">
      <c r="B9206">
        <v>0</v>
      </c>
      <c r="C9206" s="16" t="s">
        <v>18239</v>
      </c>
      <c r="D9206" s="16"/>
      <c r="E9206">
        <v>6</v>
      </c>
      <c r="F9206" t="s">
        <v>8749</v>
      </c>
      <c r="G9206">
        <v>1</v>
      </c>
      <c r="H9206">
        <v>1</v>
      </c>
      <c r="I9206">
        <f>1</f>
        <v>1</v>
      </c>
    </row>
    <row r="9207" spans="2:9" x14ac:dyDescent="0.25">
      <c r="B9207">
        <v>0</v>
      </c>
      <c r="C9207" s="16" t="s">
        <v>18240</v>
      </c>
      <c r="D9207" s="16"/>
      <c r="E9207">
        <v>6</v>
      </c>
      <c r="F9207" t="s">
        <v>4690</v>
      </c>
      <c r="G9207">
        <v>1</v>
      </c>
      <c r="H9207">
        <v>1</v>
      </c>
      <c r="I9207">
        <f>1</f>
        <v>1</v>
      </c>
    </row>
    <row r="9208" spans="2:9" x14ac:dyDescent="0.25">
      <c r="B9208">
        <v>0</v>
      </c>
      <c r="C9208" s="16" t="s">
        <v>18241</v>
      </c>
      <c r="D9208" s="16"/>
      <c r="E9208">
        <v>6</v>
      </c>
      <c r="F9208" t="s">
        <v>8750</v>
      </c>
      <c r="G9208">
        <v>1</v>
      </c>
      <c r="H9208">
        <v>1</v>
      </c>
      <c r="I9208">
        <f>1</f>
        <v>1</v>
      </c>
    </row>
    <row r="9209" spans="2:9" x14ac:dyDescent="0.25">
      <c r="B9209">
        <v>0</v>
      </c>
      <c r="C9209" s="16" t="s">
        <v>18242</v>
      </c>
      <c r="D9209" s="16"/>
      <c r="E9209">
        <v>6</v>
      </c>
      <c r="F9209" t="s">
        <v>8751</v>
      </c>
      <c r="G9209">
        <v>1</v>
      </c>
      <c r="H9209">
        <v>1</v>
      </c>
      <c r="I9209">
        <f>1</f>
        <v>1</v>
      </c>
    </row>
    <row r="9210" spans="2:9" x14ac:dyDescent="0.25">
      <c r="B9210">
        <v>0</v>
      </c>
      <c r="C9210" s="16" t="s">
        <v>18242</v>
      </c>
      <c r="D9210" s="16" t="s">
        <v>19430</v>
      </c>
      <c r="E9210">
        <v>6</v>
      </c>
      <c r="F9210" t="s">
        <v>8752</v>
      </c>
      <c r="G9210">
        <v>1</v>
      </c>
      <c r="H9210">
        <v>1</v>
      </c>
      <c r="I9210">
        <f>1</f>
        <v>1</v>
      </c>
    </row>
    <row r="9211" spans="2:9" x14ac:dyDescent="0.25">
      <c r="B9211">
        <v>0</v>
      </c>
      <c r="C9211" s="16" t="s">
        <v>18242</v>
      </c>
      <c r="D9211" s="16" t="s">
        <v>19431</v>
      </c>
      <c r="E9211">
        <v>6</v>
      </c>
      <c r="F9211" t="s">
        <v>8753</v>
      </c>
      <c r="G9211">
        <v>1</v>
      </c>
      <c r="H9211">
        <v>1</v>
      </c>
      <c r="I9211">
        <f>1</f>
        <v>1</v>
      </c>
    </row>
    <row r="9212" spans="2:9" x14ac:dyDescent="0.25">
      <c r="B9212">
        <v>0</v>
      </c>
      <c r="C9212" s="16" t="s">
        <v>18243</v>
      </c>
      <c r="D9212" s="16"/>
      <c r="E9212">
        <v>6</v>
      </c>
      <c r="F9212" t="s">
        <v>8754</v>
      </c>
      <c r="G9212">
        <v>1</v>
      </c>
      <c r="H9212">
        <v>1</v>
      </c>
      <c r="I9212">
        <f>1</f>
        <v>1</v>
      </c>
    </row>
    <row r="9213" spans="2:9" x14ac:dyDescent="0.25">
      <c r="B9213">
        <v>0</v>
      </c>
      <c r="C9213" s="16" t="s">
        <v>18243</v>
      </c>
      <c r="D9213" s="16" t="s">
        <v>19430</v>
      </c>
      <c r="E9213">
        <v>6</v>
      </c>
      <c r="F9213" t="s">
        <v>8755</v>
      </c>
      <c r="G9213">
        <v>1</v>
      </c>
      <c r="H9213">
        <v>1</v>
      </c>
      <c r="I9213">
        <f>1</f>
        <v>1</v>
      </c>
    </row>
    <row r="9214" spans="2:9" x14ac:dyDescent="0.25">
      <c r="B9214">
        <v>0</v>
      </c>
      <c r="C9214" s="16" t="s">
        <v>18243</v>
      </c>
      <c r="D9214" s="16" t="s">
        <v>19431</v>
      </c>
      <c r="E9214">
        <v>6</v>
      </c>
      <c r="F9214" t="s">
        <v>8756</v>
      </c>
      <c r="G9214">
        <v>1</v>
      </c>
      <c r="H9214">
        <v>1</v>
      </c>
      <c r="I9214">
        <f>1</f>
        <v>1</v>
      </c>
    </row>
    <row r="9215" spans="2:9" x14ac:dyDescent="0.25">
      <c r="B9215">
        <v>0</v>
      </c>
      <c r="C9215" s="16" t="s">
        <v>18244</v>
      </c>
      <c r="D9215" s="16"/>
      <c r="E9215">
        <v>6</v>
      </c>
      <c r="F9215" t="s">
        <v>4690</v>
      </c>
      <c r="G9215">
        <v>1</v>
      </c>
      <c r="H9215">
        <v>1</v>
      </c>
      <c r="I9215">
        <f>1</f>
        <v>1</v>
      </c>
    </row>
    <row r="9216" spans="2:9" x14ac:dyDescent="0.25">
      <c r="B9216">
        <v>0</v>
      </c>
      <c r="C9216" s="16" t="s">
        <v>18244</v>
      </c>
      <c r="D9216" s="16" t="s">
        <v>19430</v>
      </c>
      <c r="E9216">
        <v>6</v>
      </c>
      <c r="F9216" t="s">
        <v>8757</v>
      </c>
      <c r="G9216">
        <v>1</v>
      </c>
      <c r="H9216">
        <v>1</v>
      </c>
      <c r="I9216">
        <f>1</f>
        <v>1</v>
      </c>
    </row>
    <row r="9217" spans="2:9" x14ac:dyDescent="0.25">
      <c r="B9217">
        <v>0</v>
      </c>
      <c r="C9217" s="16" t="s">
        <v>18244</v>
      </c>
      <c r="D9217" s="16" t="s">
        <v>19431</v>
      </c>
      <c r="E9217">
        <v>6</v>
      </c>
      <c r="F9217" t="s">
        <v>8758</v>
      </c>
      <c r="G9217">
        <v>1</v>
      </c>
      <c r="H9217">
        <v>1</v>
      </c>
      <c r="I9217">
        <f>1</f>
        <v>1</v>
      </c>
    </row>
    <row r="9218" spans="2:9" x14ac:dyDescent="0.25">
      <c r="B9218">
        <v>0</v>
      </c>
      <c r="C9218" s="16" t="s">
        <v>18244</v>
      </c>
      <c r="D9218" s="16" t="s">
        <v>19432</v>
      </c>
      <c r="E9218">
        <v>6</v>
      </c>
      <c r="F9218" t="s">
        <v>8759</v>
      </c>
      <c r="G9218">
        <v>1</v>
      </c>
      <c r="H9218">
        <v>1</v>
      </c>
      <c r="I9218">
        <f>1</f>
        <v>1</v>
      </c>
    </row>
    <row r="9219" spans="2:9" x14ac:dyDescent="0.25">
      <c r="B9219">
        <v>0</v>
      </c>
      <c r="C9219" s="16" t="s">
        <v>18245</v>
      </c>
      <c r="D9219" s="16"/>
      <c r="E9219">
        <v>6</v>
      </c>
      <c r="F9219" t="s">
        <v>4680</v>
      </c>
      <c r="G9219">
        <v>1</v>
      </c>
      <c r="H9219">
        <v>1</v>
      </c>
      <c r="I9219">
        <f>1</f>
        <v>1</v>
      </c>
    </row>
    <row r="9220" spans="2:9" x14ac:dyDescent="0.25">
      <c r="B9220">
        <v>0</v>
      </c>
      <c r="C9220" s="16" t="s">
        <v>18246</v>
      </c>
      <c r="D9220" s="16"/>
      <c r="E9220">
        <v>6</v>
      </c>
      <c r="F9220" t="s">
        <v>8760</v>
      </c>
      <c r="G9220">
        <v>1</v>
      </c>
      <c r="H9220">
        <v>1</v>
      </c>
      <c r="I9220">
        <f>1</f>
        <v>1</v>
      </c>
    </row>
    <row r="9221" spans="2:9" x14ac:dyDescent="0.25">
      <c r="B9221">
        <v>0</v>
      </c>
      <c r="C9221" s="16" t="s">
        <v>18247</v>
      </c>
      <c r="D9221" s="16"/>
      <c r="E9221">
        <v>6</v>
      </c>
      <c r="F9221" t="s">
        <v>4680</v>
      </c>
      <c r="G9221">
        <v>1</v>
      </c>
      <c r="H9221">
        <v>1</v>
      </c>
      <c r="I9221">
        <f>1</f>
        <v>1</v>
      </c>
    </row>
    <row r="9222" spans="2:9" x14ac:dyDescent="0.25">
      <c r="B9222">
        <v>0</v>
      </c>
      <c r="C9222" s="16" t="s">
        <v>18248</v>
      </c>
      <c r="D9222" s="16"/>
      <c r="E9222">
        <v>6</v>
      </c>
      <c r="F9222" t="s">
        <v>8761</v>
      </c>
      <c r="G9222">
        <v>1</v>
      </c>
      <c r="H9222">
        <v>1</v>
      </c>
      <c r="I9222">
        <f>1</f>
        <v>1</v>
      </c>
    </row>
    <row r="9223" spans="2:9" x14ac:dyDescent="0.25">
      <c r="B9223">
        <v>0</v>
      </c>
      <c r="C9223" s="16" t="s">
        <v>18249</v>
      </c>
      <c r="D9223" s="16"/>
      <c r="E9223">
        <v>6</v>
      </c>
      <c r="F9223" t="s">
        <v>8750</v>
      </c>
      <c r="G9223">
        <v>1</v>
      </c>
      <c r="H9223">
        <v>1</v>
      </c>
      <c r="I9223">
        <f>1</f>
        <v>1</v>
      </c>
    </row>
    <row r="9224" spans="2:9" x14ac:dyDescent="0.25">
      <c r="B9224">
        <v>0</v>
      </c>
      <c r="C9224" s="16" t="s">
        <v>18250</v>
      </c>
      <c r="D9224" s="16"/>
      <c r="E9224">
        <v>6</v>
      </c>
      <c r="F9224" t="s">
        <v>4680</v>
      </c>
      <c r="G9224">
        <v>1</v>
      </c>
      <c r="H9224">
        <v>1</v>
      </c>
      <c r="I9224">
        <f>1</f>
        <v>1</v>
      </c>
    </row>
    <row r="9225" spans="2:9" x14ac:dyDescent="0.25">
      <c r="B9225">
        <v>0</v>
      </c>
      <c r="C9225" s="16" t="s">
        <v>18251</v>
      </c>
      <c r="D9225" s="16"/>
      <c r="E9225">
        <v>6</v>
      </c>
      <c r="F9225" t="s">
        <v>8762</v>
      </c>
      <c r="G9225">
        <v>1</v>
      </c>
      <c r="H9225">
        <v>1</v>
      </c>
      <c r="I9225">
        <f>1</f>
        <v>1</v>
      </c>
    </row>
    <row r="9226" spans="2:9" x14ac:dyDescent="0.25">
      <c r="B9226">
        <v>0</v>
      </c>
      <c r="C9226" s="16" t="s">
        <v>18251</v>
      </c>
      <c r="D9226" s="16" t="s">
        <v>19430</v>
      </c>
      <c r="E9226">
        <v>6</v>
      </c>
      <c r="F9226" t="s">
        <v>8763</v>
      </c>
      <c r="G9226">
        <v>1</v>
      </c>
      <c r="H9226">
        <v>1</v>
      </c>
      <c r="I9226">
        <f>1</f>
        <v>1</v>
      </c>
    </row>
    <row r="9227" spans="2:9" x14ac:dyDescent="0.25">
      <c r="B9227">
        <v>0</v>
      </c>
      <c r="C9227" s="16" t="s">
        <v>18251</v>
      </c>
      <c r="D9227" s="16" t="s">
        <v>19431</v>
      </c>
      <c r="E9227">
        <v>6</v>
      </c>
      <c r="F9227" t="s">
        <v>8764</v>
      </c>
      <c r="G9227">
        <v>1</v>
      </c>
      <c r="H9227">
        <v>1</v>
      </c>
      <c r="I9227">
        <f>1</f>
        <v>1</v>
      </c>
    </row>
    <row r="9228" spans="2:9" x14ac:dyDescent="0.25">
      <c r="B9228">
        <v>0</v>
      </c>
      <c r="C9228" s="16" t="s">
        <v>18252</v>
      </c>
      <c r="D9228" s="16"/>
      <c r="E9228">
        <v>6</v>
      </c>
      <c r="F9228" t="s">
        <v>4680</v>
      </c>
      <c r="G9228">
        <v>1</v>
      </c>
      <c r="H9228">
        <v>1</v>
      </c>
      <c r="I9228">
        <f>1</f>
        <v>1</v>
      </c>
    </row>
    <row r="9229" spans="2:9" x14ac:dyDescent="0.25">
      <c r="B9229">
        <v>0</v>
      </c>
      <c r="C9229" s="16" t="s">
        <v>18253</v>
      </c>
      <c r="D9229" s="16"/>
      <c r="E9229">
        <v>6</v>
      </c>
      <c r="F9229" t="e">
        <f>--“Cartões inteligentes”</f>
        <v>#NAME?</v>
      </c>
      <c r="G9229">
        <v>1</v>
      </c>
      <c r="H9229">
        <v>1</v>
      </c>
      <c r="I9229">
        <f>1</f>
        <v>1</v>
      </c>
    </row>
    <row r="9230" spans="2:9" x14ac:dyDescent="0.25">
      <c r="B9230">
        <v>0</v>
      </c>
      <c r="C9230" s="16" t="s">
        <v>18254</v>
      </c>
      <c r="D9230" s="16"/>
      <c r="E9230">
        <v>6</v>
      </c>
      <c r="F9230" t="s">
        <v>8765</v>
      </c>
      <c r="G9230">
        <v>1</v>
      </c>
      <c r="H9230">
        <v>1</v>
      </c>
      <c r="I9230">
        <f>1</f>
        <v>1</v>
      </c>
    </row>
    <row r="9231" spans="2:9" x14ac:dyDescent="0.25">
      <c r="B9231">
        <v>0</v>
      </c>
      <c r="C9231" s="16" t="s">
        <v>18255</v>
      </c>
      <c r="D9231" s="16"/>
      <c r="E9231">
        <v>6</v>
      </c>
      <c r="F9231" t="s">
        <v>4680</v>
      </c>
      <c r="G9231">
        <v>1</v>
      </c>
      <c r="H9231">
        <v>1</v>
      </c>
      <c r="I9231">
        <f>1</f>
        <v>1</v>
      </c>
    </row>
    <row r="9232" spans="2:9" x14ac:dyDescent="0.25">
      <c r="B9232">
        <v>0</v>
      </c>
      <c r="C9232" s="16" t="s">
        <v>18256</v>
      </c>
      <c r="D9232" s="16"/>
      <c r="E9232">
        <v>6</v>
      </c>
      <c r="F9232" t="e">
        <f>-outros</f>
        <v>#NAME?</v>
      </c>
      <c r="G9232">
        <v>1</v>
      </c>
      <c r="H9232">
        <v>1</v>
      </c>
      <c r="I9232">
        <f>1</f>
        <v>1</v>
      </c>
    </row>
    <row r="9233" spans="2:9" x14ac:dyDescent="0.25">
      <c r="B9233">
        <v>0</v>
      </c>
      <c r="C9233" s="16" t="s">
        <v>18257</v>
      </c>
      <c r="D9233" s="16"/>
      <c r="E9233">
        <v>6</v>
      </c>
      <c r="F9233" t="s">
        <v>8766</v>
      </c>
      <c r="G9233">
        <v>1</v>
      </c>
      <c r="H9233">
        <v>1</v>
      </c>
      <c r="I9233">
        <f>1</f>
        <v>1</v>
      </c>
    </row>
    <row r="9234" spans="2:9" x14ac:dyDescent="0.25">
      <c r="B9234">
        <v>0</v>
      </c>
      <c r="C9234" s="16" t="s">
        <v>18258</v>
      </c>
      <c r="D9234" s="16"/>
      <c r="E9234">
        <v>6</v>
      </c>
      <c r="F9234" t="s">
        <v>8767</v>
      </c>
      <c r="G9234">
        <v>1</v>
      </c>
      <c r="H9234">
        <v>1</v>
      </c>
      <c r="I9234">
        <f>1</f>
        <v>1</v>
      </c>
    </row>
    <row r="9235" spans="2:9" x14ac:dyDescent="0.25">
      <c r="B9235">
        <v>0</v>
      </c>
      <c r="C9235" s="16" t="s">
        <v>18259</v>
      </c>
      <c r="D9235" s="16"/>
      <c r="E9235">
        <v>6</v>
      </c>
      <c r="F9235" t="s">
        <v>4680</v>
      </c>
      <c r="G9235">
        <v>1</v>
      </c>
      <c r="H9235">
        <v>1</v>
      </c>
      <c r="I9235">
        <f>1</f>
        <v>1</v>
      </c>
    </row>
    <row r="9236" spans="2:9" x14ac:dyDescent="0.25">
      <c r="B9236">
        <v>0</v>
      </c>
      <c r="C9236" s="16" t="s">
        <v>18260</v>
      </c>
      <c r="D9236" s="16"/>
      <c r="E9236">
        <v>6</v>
      </c>
      <c r="F9236" t="s">
        <v>8768</v>
      </c>
      <c r="G9236">
        <v>1</v>
      </c>
      <c r="H9236">
        <v>1</v>
      </c>
      <c r="I9236">
        <f>1</f>
        <v>1</v>
      </c>
    </row>
    <row r="9237" spans="2:9" x14ac:dyDescent="0.25">
      <c r="B9237">
        <v>0</v>
      </c>
      <c r="C9237" s="16" t="s">
        <v>18261</v>
      </c>
      <c r="D9237" s="16"/>
      <c r="E9237">
        <v>6</v>
      </c>
      <c r="F9237" t="s">
        <v>8769</v>
      </c>
      <c r="G9237">
        <v>1</v>
      </c>
      <c r="H9237">
        <v>1</v>
      </c>
      <c r="I9237">
        <f>1</f>
        <v>1</v>
      </c>
    </row>
    <row r="9238" spans="2:9" x14ac:dyDescent="0.25">
      <c r="B9238">
        <v>0</v>
      </c>
      <c r="C9238" s="16" t="s">
        <v>18262</v>
      </c>
      <c r="D9238" s="16"/>
      <c r="E9238">
        <v>6</v>
      </c>
      <c r="F9238" t="s">
        <v>8770</v>
      </c>
      <c r="G9238">
        <v>1</v>
      </c>
      <c r="H9238">
        <v>1</v>
      </c>
      <c r="I9238">
        <f>1</f>
        <v>1</v>
      </c>
    </row>
    <row r="9239" spans="2:9" x14ac:dyDescent="0.25">
      <c r="B9239">
        <v>0</v>
      </c>
      <c r="C9239" s="16" t="s">
        <v>18263</v>
      </c>
      <c r="D9239" s="16"/>
      <c r="E9239">
        <v>6</v>
      </c>
      <c r="F9239" t="s">
        <v>8771</v>
      </c>
      <c r="G9239">
        <v>1</v>
      </c>
      <c r="H9239">
        <v>1</v>
      </c>
      <c r="I9239">
        <f>1</f>
        <v>1</v>
      </c>
    </row>
    <row r="9240" spans="2:9" x14ac:dyDescent="0.25">
      <c r="B9240">
        <v>0</v>
      </c>
      <c r="C9240" s="16" t="s">
        <v>18264</v>
      </c>
      <c r="D9240" s="16"/>
      <c r="E9240">
        <v>6</v>
      </c>
      <c r="F9240" t="s">
        <v>4680</v>
      </c>
      <c r="G9240">
        <v>1</v>
      </c>
      <c r="H9240">
        <v>1</v>
      </c>
      <c r="I9240">
        <f>1</f>
        <v>1</v>
      </c>
    </row>
    <row r="9241" spans="2:9" x14ac:dyDescent="0.25">
      <c r="B9241">
        <v>0</v>
      </c>
      <c r="C9241" s="16" t="s">
        <v>18264</v>
      </c>
      <c r="D9241" s="16" t="s">
        <v>19430</v>
      </c>
      <c r="E9241">
        <v>6</v>
      </c>
      <c r="F9241" t="s">
        <v>8772</v>
      </c>
      <c r="G9241">
        <v>1</v>
      </c>
      <c r="H9241">
        <v>1</v>
      </c>
      <c r="I9241">
        <f>1</f>
        <v>1</v>
      </c>
    </row>
    <row r="9242" spans="2:9" x14ac:dyDescent="0.25">
      <c r="B9242">
        <v>0</v>
      </c>
      <c r="C9242" s="16" t="s">
        <v>18265</v>
      </c>
      <c r="D9242" s="16"/>
      <c r="E9242">
        <v>6</v>
      </c>
      <c r="F9242" t="s">
        <v>8773</v>
      </c>
      <c r="G9242">
        <v>1</v>
      </c>
      <c r="H9242">
        <v>1</v>
      </c>
      <c r="I9242">
        <f>1</f>
        <v>1</v>
      </c>
    </row>
    <row r="9243" spans="2:9" x14ac:dyDescent="0.25">
      <c r="B9243">
        <v>0</v>
      </c>
      <c r="C9243" s="16" t="s">
        <v>18265</v>
      </c>
      <c r="D9243" s="16" t="s">
        <v>19430</v>
      </c>
      <c r="E9243">
        <v>6</v>
      </c>
      <c r="F9243" t="s">
        <v>8774</v>
      </c>
      <c r="G9243">
        <v>1</v>
      </c>
      <c r="H9243">
        <v>1</v>
      </c>
      <c r="I9243">
        <f>1</f>
        <v>1</v>
      </c>
    </row>
    <row r="9244" spans="2:9" x14ac:dyDescent="0.25">
      <c r="B9244">
        <v>0</v>
      </c>
      <c r="C9244" s="16" t="s">
        <v>18266</v>
      </c>
      <c r="D9244" s="16"/>
      <c r="E9244">
        <v>6</v>
      </c>
      <c r="F9244" t="s">
        <v>8775</v>
      </c>
      <c r="G9244">
        <v>1</v>
      </c>
      <c r="H9244">
        <v>1</v>
      </c>
      <c r="I9244">
        <f>1</f>
        <v>1</v>
      </c>
    </row>
    <row r="9245" spans="2:9" x14ac:dyDescent="0.25">
      <c r="B9245">
        <v>0</v>
      </c>
      <c r="C9245" s="16" t="s">
        <v>18264</v>
      </c>
      <c r="D9245" s="16" t="s">
        <v>19431</v>
      </c>
      <c r="E9245">
        <v>6</v>
      </c>
      <c r="F9245" t="s">
        <v>8776</v>
      </c>
      <c r="G9245">
        <v>1</v>
      </c>
      <c r="H9245">
        <v>1</v>
      </c>
      <c r="I9245">
        <f>1</f>
        <v>1</v>
      </c>
    </row>
    <row r="9246" spans="2:9" x14ac:dyDescent="0.25">
      <c r="B9246">
        <v>0</v>
      </c>
      <c r="C9246" s="16" t="s">
        <v>18266</v>
      </c>
      <c r="D9246" s="16" t="s">
        <v>19430</v>
      </c>
      <c r="E9246">
        <v>6</v>
      </c>
      <c r="F9246" t="s">
        <v>8777</v>
      </c>
      <c r="G9246">
        <v>1</v>
      </c>
      <c r="H9246">
        <v>1</v>
      </c>
      <c r="I9246">
        <f>1</f>
        <v>1</v>
      </c>
    </row>
    <row r="9247" spans="2:9" x14ac:dyDescent="0.25">
      <c r="B9247">
        <v>0</v>
      </c>
      <c r="C9247" s="16" t="s">
        <v>18267</v>
      </c>
      <c r="D9247" s="16"/>
      <c r="E9247">
        <v>6</v>
      </c>
      <c r="F9247" t="s">
        <v>4680</v>
      </c>
      <c r="G9247">
        <v>1</v>
      </c>
      <c r="H9247">
        <v>1</v>
      </c>
      <c r="I9247">
        <f>1</f>
        <v>1</v>
      </c>
    </row>
    <row r="9248" spans="2:9" x14ac:dyDescent="0.25">
      <c r="B9248">
        <v>0</v>
      </c>
      <c r="C9248" s="16" t="s">
        <v>18267</v>
      </c>
      <c r="D9248" s="16" t="s">
        <v>19430</v>
      </c>
      <c r="E9248">
        <v>6</v>
      </c>
      <c r="F9248" t="s">
        <v>8778</v>
      </c>
      <c r="G9248">
        <v>1</v>
      </c>
      <c r="H9248">
        <v>1</v>
      </c>
      <c r="I9248">
        <f>1</f>
        <v>1</v>
      </c>
    </row>
    <row r="9249" spans="2:9" x14ac:dyDescent="0.25">
      <c r="B9249">
        <v>0</v>
      </c>
      <c r="C9249" s="16" t="s">
        <v>18268</v>
      </c>
      <c r="D9249" s="16"/>
      <c r="E9249">
        <v>6</v>
      </c>
      <c r="F9249" t="s">
        <v>8779</v>
      </c>
      <c r="G9249">
        <v>1</v>
      </c>
      <c r="H9249">
        <v>1</v>
      </c>
      <c r="I9249">
        <f>1</f>
        <v>1</v>
      </c>
    </row>
    <row r="9250" spans="2:9" x14ac:dyDescent="0.25">
      <c r="B9250">
        <v>0</v>
      </c>
      <c r="C9250" s="16" t="s">
        <v>18269</v>
      </c>
      <c r="D9250" s="16"/>
      <c r="E9250">
        <v>6</v>
      </c>
      <c r="F9250" t="s">
        <v>8780</v>
      </c>
      <c r="G9250">
        <v>1</v>
      </c>
      <c r="H9250">
        <v>1</v>
      </c>
      <c r="I9250">
        <f>1</f>
        <v>1</v>
      </c>
    </row>
    <row r="9251" spans="2:9" x14ac:dyDescent="0.25">
      <c r="B9251">
        <v>0</v>
      </c>
      <c r="C9251" s="16" t="s">
        <v>18270</v>
      </c>
      <c r="D9251" s="16"/>
      <c r="E9251">
        <v>6</v>
      </c>
      <c r="F9251" t="s">
        <v>8781</v>
      </c>
      <c r="G9251">
        <v>1</v>
      </c>
      <c r="H9251">
        <v>1</v>
      </c>
      <c r="I9251">
        <f>1</f>
        <v>1</v>
      </c>
    </row>
    <row r="9252" spans="2:9" x14ac:dyDescent="0.25">
      <c r="B9252">
        <v>0</v>
      </c>
      <c r="C9252" s="16" t="s">
        <v>18271</v>
      </c>
      <c r="D9252" s="16"/>
      <c r="E9252">
        <v>6</v>
      </c>
      <c r="F9252" t="s">
        <v>4690</v>
      </c>
      <c r="G9252">
        <v>1</v>
      </c>
      <c r="H9252">
        <v>1</v>
      </c>
      <c r="I9252">
        <f>1</f>
        <v>1</v>
      </c>
    </row>
    <row r="9253" spans="2:9" x14ac:dyDescent="0.25">
      <c r="B9253">
        <v>0</v>
      </c>
      <c r="C9253" s="16" t="s">
        <v>18271</v>
      </c>
      <c r="D9253" s="16" t="s">
        <v>19430</v>
      </c>
      <c r="E9253">
        <v>6</v>
      </c>
      <c r="F9253" t="s">
        <v>8782</v>
      </c>
      <c r="G9253">
        <v>1</v>
      </c>
      <c r="H9253">
        <v>1</v>
      </c>
      <c r="I9253">
        <f>1</f>
        <v>1</v>
      </c>
    </row>
    <row r="9254" spans="2:9" x14ac:dyDescent="0.25">
      <c r="B9254">
        <v>0</v>
      </c>
      <c r="C9254" s="16" t="s">
        <v>18272</v>
      </c>
      <c r="D9254" s="16"/>
      <c r="E9254">
        <v>6</v>
      </c>
      <c r="F9254" t="s">
        <v>8779</v>
      </c>
      <c r="G9254">
        <v>1</v>
      </c>
      <c r="H9254">
        <v>1</v>
      </c>
      <c r="I9254">
        <f>1</f>
        <v>1</v>
      </c>
    </row>
    <row r="9255" spans="2:9" x14ac:dyDescent="0.25">
      <c r="B9255">
        <v>0</v>
      </c>
      <c r="C9255" s="16" t="s">
        <v>18273</v>
      </c>
      <c r="D9255" s="16"/>
      <c r="E9255">
        <v>6</v>
      </c>
      <c r="F9255" t="s">
        <v>8781</v>
      </c>
      <c r="G9255">
        <v>1</v>
      </c>
      <c r="H9255">
        <v>1</v>
      </c>
      <c r="I9255">
        <f>1</f>
        <v>1</v>
      </c>
    </row>
    <row r="9256" spans="2:9" x14ac:dyDescent="0.25">
      <c r="B9256">
        <v>0</v>
      </c>
      <c r="C9256" s="16" t="s">
        <v>18274</v>
      </c>
      <c r="D9256" s="16"/>
      <c r="E9256">
        <v>6</v>
      </c>
      <c r="F9256" t="s">
        <v>4690</v>
      </c>
      <c r="G9256">
        <v>1</v>
      </c>
      <c r="H9256">
        <v>1</v>
      </c>
      <c r="I9256">
        <f>1</f>
        <v>1</v>
      </c>
    </row>
    <row r="9257" spans="2:9" x14ac:dyDescent="0.25">
      <c r="B9257">
        <v>0</v>
      </c>
      <c r="C9257" s="16" t="s">
        <v>18275</v>
      </c>
      <c r="D9257" s="16"/>
      <c r="E9257">
        <v>6</v>
      </c>
      <c r="F9257" t="e">
        <f>-aparelhos De radiodetecção e De radiossondagem  radar</f>
        <v>#NAME?</v>
      </c>
      <c r="G9257">
        <v>1</v>
      </c>
      <c r="H9257">
        <v>1</v>
      </c>
      <c r="I9257">
        <f>1</f>
        <v>1</v>
      </c>
    </row>
    <row r="9258" spans="2:9" x14ac:dyDescent="0.25">
      <c r="B9258">
        <v>0</v>
      </c>
      <c r="C9258" s="16" t="s">
        <v>18276</v>
      </c>
      <c r="D9258" s="16"/>
      <c r="E9258">
        <v>6</v>
      </c>
      <c r="F9258" t="e">
        <f>--aparelhos De radionavegação</f>
        <v>#NAME?</v>
      </c>
      <c r="G9258">
        <v>1</v>
      </c>
      <c r="H9258">
        <v>1</v>
      </c>
      <c r="I9258">
        <f>1</f>
        <v>1</v>
      </c>
    </row>
    <row r="9259" spans="2:9" x14ac:dyDescent="0.25">
      <c r="B9259">
        <v>0</v>
      </c>
      <c r="C9259" s="16" t="s">
        <v>18277</v>
      </c>
      <c r="D9259" s="16"/>
      <c r="E9259">
        <v>6</v>
      </c>
      <c r="F9259" t="e">
        <f>--aparelhos De radiotelecomando</f>
        <v>#NAME?</v>
      </c>
      <c r="G9259">
        <v>1</v>
      </c>
      <c r="H9259">
        <v>1</v>
      </c>
      <c r="I9259">
        <f>1</f>
        <v>1</v>
      </c>
    </row>
    <row r="9260" spans="2:9" x14ac:dyDescent="0.25">
      <c r="B9260">
        <v>0</v>
      </c>
      <c r="C9260" s="16" t="s">
        <v>18278</v>
      </c>
      <c r="D9260" s="16"/>
      <c r="E9260">
        <v>6</v>
      </c>
      <c r="F9260" t="e">
        <f>--Rádios Toca-Fitas De bolso</f>
        <v>#NAME?</v>
      </c>
      <c r="G9260">
        <v>1</v>
      </c>
      <c r="H9260">
        <v>1</v>
      </c>
      <c r="I9260">
        <f>1</f>
        <v>1</v>
      </c>
    </row>
    <row r="9261" spans="2:9" x14ac:dyDescent="0.25">
      <c r="B9261">
        <v>0</v>
      </c>
      <c r="C9261" s="16" t="s">
        <v>18279</v>
      </c>
      <c r="D9261" s="16"/>
      <c r="E9261">
        <v>6</v>
      </c>
      <c r="F9261" t="s">
        <v>8783</v>
      </c>
      <c r="G9261">
        <v>1</v>
      </c>
      <c r="H9261">
        <v>1</v>
      </c>
      <c r="I9261">
        <f>1</f>
        <v>1</v>
      </c>
    </row>
    <row r="9262" spans="2:9" x14ac:dyDescent="0.25">
      <c r="B9262">
        <v>0</v>
      </c>
      <c r="C9262" s="16" t="s">
        <v>18280</v>
      </c>
      <c r="D9262" s="16"/>
      <c r="E9262">
        <v>6</v>
      </c>
      <c r="F9262" t="s">
        <v>8784</v>
      </c>
      <c r="G9262">
        <v>1</v>
      </c>
      <c r="H9262">
        <v>1</v>
      </c>
      <c r="I9262">
        <f>1</f>
        <v>1</v>
      </c>
    </row>
    <row r="9263" spans="2:9" x14ac:dyDescent="0.25">
      <c r="B9263">
        <v>0</v>
      </c>
      <c r="C9263" s="16" t="s">
        <v>18281</v>
      </c>
      <c r="D9263" s="16"/>
      <c r="E9263">
        <v>6</v>
      </c>
      <c r="F9263" t="s">
        <v>8785</v>
      </c>
      <c r="G9263">
        <v>1</v>
      </c>
      <c r="H9263">
        <v>1</v>
      </c>
      <c r="I9263">
        <f>1</f>
        <v>1</v>
      </c>
    </row>
    <row r="9264" spans="2:9" x14ac:dyDescent="0.25">
      <c r="B9264">
        <v>0</v>
      </c>
      <c r="C9264" s="16" t="s">
        <v>18282</v>
      </c>
      <c r="D9264" s="16"/>
      <c r="E9264">
        <v>6</v>
      </c>
      <c r="F9264" t="s">
        <v>4680</v>
      </c>
      <c r="G9264">
        <v>1</v>
      </c>
      <c r="H9264">
        <v>1</v>
      </c>
      <c r="I9264">
        <f>1</f>
        <v>1</v>
      </c>
    </row>
    <row r="9265" spans="2:9" x14ac:dyDescent="0.25">
      <c r="B9265">
        <v>0</v>
      </c>
      <c r="C9265" s="16" t="s">
        <v>18283</v>
      </c>
      <c r="D9265" s="16"/>
      <c r="E9265">
        <v>6</v>
      </c>
      <c r="F9265" t="s">
        <v>8786</v>
      </c>
      <c r="G9265">
        <v>1</v>
      </c>
      <c r="H9265">
        <v>1</v>
      </c>
      <c r="I9265">
        <f>1</f>
        <v>1</v>
      </c>
    </row>
    <row r="9266" spans="2:9" x14ac:dyDescent="0.25">
      <c r="B9266">
        <v>0</v>
      </c>
      <c r="C9266" s="16" t="s">
        <v>18284</v>
      </c>
      <c r="D9266" s="16"/>
      <c r="E9266">
        <v>6</v>
      </c>
      <c r="F9266" t="s">
        <v>4680</v>
      </c>
      <c r="G9266">
        <v>1</v>
      </c>
      <c r="H9266">
        <v>1</v>
      </c>
      <c r="I9266">
        <f>1</f>
        <v>1</v>
      </c>
    </row>
    <row r="9267" spans="2:9" x14ac:dyDescent="0.25">
      <c r="B9267">
        <v>0</v>
      </c>
      <c r="C9267" s="16" t="s">
        <v>18285</v>
      </c>
      <c r="D9267" s="16"/>
      <c r="E9267">
        <v>6</v>
      </c>
      <c r="F9267" t="s">
        <v>8783</v>
      </c>
      <c r="G9267">
        <v>1</v>
      </c>
      <c r="H9267">
        <v>1</v>
      </c>
      <c r="I9267">
        <f>1</f>
        <v>1</v>
      </c>
    </row>
    <row r="9268" spans="2:9" x14ac:dyDescent="0.25">
      <c r="B9268">
        <v>0</v>
      </c>
      <c r="C9268" s="16" t="s">
        <v>18286</v>
      </c>
      <c r="D9268" s="16"/>
      <c r="E9268">
        <v>6</v>
      </c>
      <c r="F9268" t="s">
        <v>4680</v>
      </c>
      <c r="G9268">
        <v>1</v>
      </c>
      <c r="H9268">
        <v>1</v>
      </c>
      <c r="I9268">
        <f>1</f>
        <v>1</v>
      </c>
    </row>
    <row r="9269" spans="2:9" x14ac:dyDescent="0.25">
      <c r="B9269">
        <v>0</v>
      </c>
      <c r="C9269" s="16" t="s">
        <v>18287</v>
      </c>
      <c r="D9269" s="16"/>
      <c r="E9269">
        <v>6</v>
      </c>
      <c r="F9269" t="e">
        <f>--outros</f>
        <v>#NAME?</v>
      </c>
      <c r="G9269">
        <v>1</v>
      </c>
      <c r="H9269">
        <v>1</v>
      </c>
      <c r="I9269">
        <f>1</f>
        <v>1</v>
      </c>
    </row>
    <row r="9270" spans="2:9" x14ac:dyDescent="0.25">
      <c r="B9270">
        <v>0</v>
      </c>
      <c r="C9270" s="16" t="s">
        <v>18288</v>
      </c>
      <c r="D9270" s="16"/>
      <c r="E9270">
        <v>6</v>
      </c>
      <c r="F9270" t="s">
        <v>8784</v>
      </c>
      <c r="G9270">
        <v>1</v>
      </c>
      <c r="H9270">
        <v>1</v>
      </c>
      <c r="I9270">
        <f>1</f>
        <v>1</v>
      </c>
    </row>
    <row r="9271" spans="2:9" x14ac:dyDescent="0.25">
      <c r="B9271">
        <v>0</v>
      </c>
      <c r="C9271" s="16" t="s">
        <v>18289</v>
      </c>
      <c r="D9271" s="16"/>
      <c r="E9271">
        <v>6</v>
      </c>
      <c r="F9271" t="s">
        <v>8785</v>
      </c>
      <c r="G9271">
        <v>1</v>
      </c>
      <c r="H9271">
        <v>1</v>
      </c>
      <c r="I9271">
        <f>1</f>
        <v>1</v>
      </c>
    </row>
    <row r="9272" spans="2:9" x14ac:dyDescent="0.25">
      <c r="B9272">
        <v>0</v>
      </c>
      <c r="C9272" s="16" t="s">
        <v>18290</v>
      </c>
      <c r="D9272" s="16"/>
      <c r="E9272">
        <v>6</v>
      </c>
      <c r="F9272" t="s">
        <v>4680</v>
      </c>
      <c r="G9272">
        <v>1</v>
      </c>
      <c r="H9272">
        <v>1</v>
      </c>
      <c r="I9272">
        <f>1</f>
        <v>1</v>
      </c>
    </row>
    <row r="9273" spans="2:9" x14ac:dyDescent="0.25">
      <c r="B9273">
        <v>0</v>
      </c>
      <c r="C9273" s="16" t="s">
        <v>18291</v>
      </c>
      <c r="D9273" s="16"/>
      <c r="E9273">
        <v>6</v>
      </c>
      <c r="F9273" t="s">
        <v>8787</v>
      </c>
      <c r="G9273">
        <v>1</v>
      </c>
      <c r="H9273">
        <v>1</v>
      </c>
      <c r="I9273">
        <f>1</f>
        <v>1</v>
      </c>
    </row>
    <row r="9274" spans="2:9" x14ac:dyDescent="0.25">
      <c r="B9274">
        <v>0</v>
      </c>
      <c r="C9274" s="16" t="s">
        <v>18292</v>
      </c>
      <c r="D9274" s="16"/>
      <c r="E9274">
        <v>6</v>
      </c>
      <c r="F9274" t="s">
        <v>8788</v>
      </c>
      <c r="G9274">
        <v>1</v>
      </c>
      <c r="H9274">
        <v>1</v>
      </c>
      <c r="I9274">
        <f>1</f>
        <v>1</v>
      </c>
    </row>
    <row r="9275" spans="2:9" x14ac:dyDescent="0.25">
      <c r="B9275">
        <v>0</v>
      </c>
      <c r="C9275" s="16" t="s">
        <v>18293</v>
      </c>
      <c r="D9275" s="16"/>
      <c r="E9275">
        <v>6</v>
      </c>
      <c r="F9275" t="s">
        <v>4680</v>
      </c>
      <c r="G9275">
        <v>1</v>
      </c>
      <c r="H9275">
        <v>1</v>
      </c>
      <c r="I9275">
        <f>1</f>
        <v>1</v>
      </c>
    </row>
    <row r="9276" spans="2:9" x14ac:dyDescent="0.25">
      <c r="B9276">
        <v>0</v>
      </c>
      <c r="C9276" s="16" t="s">
        <v>18294</v>
      </c>
      <c r="D9276" s="16"/>
      <c r="E9276">
        <v>6</v>
      </c>
      <c r="F9276" t="s">
        <v>8789</v>
      </c>
      <c r="G9276">
        <v>1</v>
      </c>
      <c r="H9276">
        <v>1</v>
      </c>
      <c r="I9276">
        <f>1</f>
        <v>1</v>
      </c>
    </row>
    <row r="9277" spans="2:9" x14ac:dyDescent="0.25">
      <c r="B9277">
        <v>0</v>
      </c>
      <c r="C9277" s="16" t="s">
        <v>18295</v>
      </c>
      <c r="D9277" s="16"/>
      <c r="E9277">
        <v>6</v>
      </c>
      <c r="F9277" t="s">
        <v>8790</v>
      </c>
      <c r="G9277">
        <v>1</v>
      </c>
      <c r="H9277">
        <v>1</v>
      </c>
      <c r="I9277">
        <f>1</f>
        <v>1</v>
      </c>
    </row>
    <row r="9278" spans="2:9" x14ac:dyDescent="0.25">
      <c r="B9278">
        <v>0</v>
      </c>
      <c r="C9278" s="16" t="s">
        <v>18296</v>
      </c>
      <c r="D9278" s="16"/>
      <c r="E9278">
        <v>6</v>
      </c>
      <c r="F9278" t="s">
        <v>8789</v>
      </c>
      <c r="G9278">
        <v>1</v>
      </c>
      <c r="H9278">
        <v>1</v>
      </c>
      <c r="I9278">
        <f>1</f>
        <v>1</v>
      </c>
    </row>
    <row r="9279" spans="2:9" x14ac:dyDescent="0.25">
      <c r="B9279">
        <v>0</v>
      </c>
      <c r="C9279" s="16" t="s">
        <v>18297</v>
      </c>
      <c r="D9279" s="16"/>
      <c r="E9279">
        <v>6</v>
      </c>
      <c r="F9279" t="s">
        <v>8791</v>
      </c>
      <c r="G9279">
        <v>1</v>
      </c>
      <c r="H9279">
        <v>1</v>
      </c>
      <c r="I9279">
        <f>1</f>
        <v>1</v>
      </c>
    </row>
    <row r="9280" spans="2:9" x14ac:dyDescent="0.25">
      <c r="B9280">
        <v>0</v>
      </c>
      <c r="C9280" s="16" t="s">
        <v>18298</v>
      </c>
      <c r="D9280" s="16"/>
      <c r="E9280">
        <v>6</v>
      </c>
      <c r="F9280" t="s">
        <v>4680</v>
      </c>
      <c r="G9280">
        <v>1</v>
      </c>
      <c r="H9280">
        <v>1</v>
      </c>
      <c r="I9280">
        <f>1</f>
        <v>1</v>
      </c>
    </row>
    <row r="9281" spans="2:9" x14ac:dyDescent="0.25">
      <c r="B9281">
        <v>0</v>
      </c>
      <c r="C9281" s="16" t="s">
        <v>18299</v>
      </c>
      <c r="D9281" s="16"/>
      <c r="E9281">
        <v>6</v>
      </c>
      <c r="F9281" t="s">
        <v>8789</v>
      </c>
      <c r="G9281">
        <v>1</v>
      </c>
      <c r="H9281">
        <v>1</v>
      </c>
      <c r="I9281">
        <f>1</f>
        <v>1</v>
      </c>
    </row>
    <row r="9282" spans="2:9" x14ac:dyDescent="0.25">
      <c r="B9282">
        <v>0</v>
      </c>
      <c r="C9282" s="16" t="s">
        <v>18300</v>
      </c>
      <c r="D9282" s="16"/>
      <c r="E9282">
        <v>6</v>
      </c>
      <c r="F9282" t="s">
        <v>8790</v>
      </c>
      <c r="G9282">
        <v>1</v>
      </c>
      <c r="H9282">
        <v>1</v>
      </c>
      <c r="I9282">
        <f>1</f>
        <v>1</v>
      </c>
    </row>
    <row r="9283" spans="2:9" x14ac:dyDescent="0.25">
      <c r="B9283">
        <v>0</v>
      </c>
      <c r="C9283" s="16" t="s">
        <v>18301</v>
      </c>
      <c r="D9283" s="16"/>
      <c r="E9283">
        <v>6</v>
      </c>
      <c r="F9283" t="s">
        <v>8789</v>
      </c>
      <c r="G9283">
        <v>1</v>
      </c>
      <c r="H9283">
        <v>1</v>
      </c>
      <c r="I9283">
        <f>1</f>
        <v>1</v>
      </c>
    </row>
    <row r="9284" spans="2:9" x14ac:dyDescent="0.25">
      <c r="B9284">
        <v>0</v>
      </c>
      <c r="C9284" s="16" t="s">
        <v>18302</v>
      </c>
      <c r="D9284" s="16"/>
      <c r="E9284">
        <v>6</v>
      </c>
      <c r="F9284" t="s">
        <v>8790</v>
      </c>
      <c r="G9284">
        <v>1</v>
      </c>
      <c r="H9284">
        <v>1</v>
      </c>
      <c r="I9284">
        <f>1</f>
        <v>1</v>
      </c>
    </row>
    <row r="9285" spans="2:9" x14ac:dyDescent="0.25">
      <c r="B9285">
        <v>0</v>
      </c>
      <c r="C9285" s="16" t="s">
        <v>18303</v>
      </c>
      <c r="D9285" s="16"/>
      <c r="E9285">
        <v>6</v>
      </c>
      <c r="F9285" t="s">
        <v>8792</v>
      </c>
      <c r="G9285">
        <v>1</v>
      </c>
      <c r="H9285">
        <v>1</v>
      </c>
      <c r="I9285">
        <f>1</f>
        <v>1</v>
      </c>
    </row>
    <row r="9286" spans="2:9" x14ac:dyDescent="0.25">
      <c r="B9286">
        <v>0</v>
      </c>
      <c r="C9286" s="16" t="s">
        <v>18304</v>
      </c>
      <c r="D9286" s="16"/>
      <c r="E9286">
        <v>6</v>
      </c>
      <c r="F9286" t="s">
        <v>8793</v>
      </c>
      <c r="G9286">
        <v>1</v>
      </c>
      <c r="H9286">
        <v>1</v>
      </c>
      <c r="I9286">
        <f>1</f>
        <v>1</v>
      </c>
    </row>
    <row r="9287" spans="2:9" x14ac:dyDescent="0.25">
      <c r="B9287">
        <v>0</v>
      </c>
      <c r="C9287" s="16" t="s">
        <v>18305</v>
      </c>
      <c r="D9287" s="16"/>
      <c r="E9287">
        <v>6</v>
      </c>
      <c r="F9287" t="s">
        <v>4680</v>
      </c>
      <c r="G9287">
        <v>1</v>
      </c>
      <c r="H9287">
        <v>1</v>
      </c>
      <c r="I9287">
        <f>1</f>
        <v>1</v>
      </c>
    </row>
    <row r="9288" spans="2:9" x14ac:dyDescent="0.25">
      <c r="B9288">
        <v>0</v>
      </c>
      <c r="C9288" s="16" t="s">
        <v>18306</v>
      </c>
      <c r="D9288" s="16"/>
      <c r="E9288">
        <v>6</v>
      </c>
      <c r="F9288" t="s">
        <v>8794</v>
      </c>
      <c r="G9288">
        <v>1</v>
      </c>
      <c r="H9288">
        <v>1</v>
      </c>
      <c r="I9288">
        <f>1</f>
        <v>1</v>
      </c>
    </row>
    <row r="9289" spans="2:9" x14ac:dyDescent="0.25">
      <c r="B9289">
        <v>0</v>
      </c>
      <c r="C9289" s="16" t="s">
        <v>18307</v>
      </c>
      <c r="D9289" s="16"/>
      <c r="E9289">
        <v>6</v>
      </c>
      <c r="F9289" t="s">
        <v>4680</v>
      </c>
      <c r="G9289">
        <v>1</v>
      </c>
      <c r="H9289">
        <v>1</v>
      </c>
      <c r="I9289">
        <f>1</f>
        <v>1</v>
      </c>
    </row>
    <row r="9290" spans="2:9" x14ac:dyDescent="0.25">
      <c r="B9290">
        <v>0</v>
      </c>
      <c r="C9290" s="16" t="s">
        <v>18308</v>
      </c>
      <c r="D9290" s="16"/>
      <c r="E9290">
        <v>6</v>
      </c>
      <c r="F9290" t="s">
        <v>4680</v>
      </c>
      <c r="G9290">
        <v>1</v>
      </c>
      <c r="H9290">
        <v>1</v>
      </c>
      <c r="I9290">
        <f>1</f>
        <v>1</v>
      </c>
    </row>
    <row r="9291" spans="2:9" x14ac:dyDescent="0.25">
      <c r="B9291">
        <v>0</v>
      </c>
      <c r="C9291" s="16" t="s">
        <v>18309</v>
      </c>
      <c r="D9291" s="16"/>
      <c r="E9291">
        <v>6</v>
      </c>
      <c r="F9291" t="s">
        <v>8795</v>
      </c>
      <c r="G9291">
        <v>1</v>
      </c>
      <c r="H9291">
        <v>1</v>
      </c>
      <c r="I9291">
        <f>1</f>
        <v>1</v>
      </c>
    </row>
    <row r="9292" spans="2:9" x14ac:dyDescent="0.25">
      <c r="B9292">
        <v>0</v>
      </c>
      <c r="C9292" s="16" t="s">
        <v>18310</v>
      </c>
      <c r="D9292" s="16"/>
      <c r="E9292">
        <v>6</v>
      </c>
      <c r="F9292" t="s">
        <v>8796</v>
      </c>
      <c r="G9292">
        <v>1</v>
      </c>
      <c r="H9292">
        <v>1</v>
      </c>
      <c r="I9292">
        <f>1</f>
        <v>1</v>
      </c>
    </row>
    <row r="9293" spans="2:9" x14ac:dyDescent="0.25">
      <c r="B9293">
        <v>0</v>
      </c>
      <c r="C9293" s="16" t="s">
        <v>18311</v>
      </c>
      <c r="D9293" s="16"/>
      <c r="E9293">
        <v>6</v>
      </c>
      <c r="F9293" t="s">
        <v>8797</v>
      </c>
      <c r="G9293">
        <v>1</v>
      </c>
      <c r="H9293">
        <v>1</v>
      </c>
      <c r="I9293">
        <f>1</f>
        <v>1</v>
      </c>
    </row>
    <row r="9294" spans="2:9" x14ac:dyDescent="0.25">
      <c r="B9294">
        <v>0</v>
      </c>
      <c r="C9294" s="16" t="s">
        <v>18312</v>
      </c>
      <c r="D9294" s="16"/>
      <c r="E9294">
        <v>6</v>
      </c>
      <c r="F9294" t="s">
        <v>4690</v>
      </c>
      <c r="G9294">
        <v>1</v>
      </c>
      <c r="H9294">
        <v>1</v>
      </c>
      <c r="I9294">
        <f>1</f>
        <v>1</v>
      </c>
    </row>
    <row r="9295" spans="2:9" x14ac:dyDescent="0.25">
      <c r="B9295">
        <v>0</v>
      </c>
      <c r="C9295" s="16" t="s">
        <v>18313</v>
      </c>
      <c r="D9295" s="16"/>
      <c r="E9295">
        <v>6</v>
      </c>
      <c r="F9295" t="s">
        <v>4680</v>
      </c>
      <c r="G9295">
        <v>1</v>
      </c>
      <c r="H9295">
        <v>1</v>
      </c>
      <c r="I9295">
        <f>1</f>
        <v>1</v>
      </c>
    </row>
    <row r="9296" spans="2:9" x14ac:dyDescent="0.25">
      <c r="B9296">
        <v>0</v>
      </c>
      <c r="C9296" s="16" t="s">
        <v>18314</v>
      </c>
      <c r="D9296" s="16"/>
      <c r="E9296">
        <v>6</v>
      </c>
      <c r="F9296" t="s">
        <v>8798</v>
      </c>
      <c r="G9296">
        <v>1</v>
      </c>
      <c r="H9296">
        <v>1</v>
      </c>
      <c r="I9296">
        <f>1</f>
        <v>1</v>
      </c>
    </row>
    <row r="9297" spans="2:9" x14ac:dyDescent="0.25">
      <c r="B9297">
        <v>0</v>
      </c>
      <c r="C9297" s="16" t="s">
        <v>18315</v>
      </c>
      <c r="D9297" s="16"/>
      <c r="E9297">
        <v>6</v>
      </c>
      <c r="F9297" t="s">
        <v>8297</v>
      </c>
      <c r="G9297">
        <v>1</v>
      </c>
      <c r="H9297">
        <v>1</v>
      </c>
      <c r="I9297">
        <f>1</f>
        <v>1</v>
      </c>
    </row>
    <row r="9298" spans="2:9" x14ac:dyDescent="0.25">
      <c r="B9298">
        <v>0</v>
      </c>
      <c r="C9298" s="16" t="s">
        <v>18316</v>
      </c>
      <c r="D9298" s="16"/>
      <c r="E9298">
        <v>6</v>
      </c>
      <c r="F9298" t="s">
        <v>4690</v>
      </c>
      <c r="G9298">
        <v>1</v>
      </c>
      <c r="H9298">
        <v>1</v>
      </c>
      <c r="I9298">
        <f>1</f>
        <v>1</v>
      </c>
    </row>
    <row r="9299" spans="2:9" x14ac:dyDescent="0.25">
      <c r="B9299">
        <v>0</v>
      </c>
      <c r="C9299" s="16" t="s">
        <v>18316</v>
      </c>
      <c r="D9299" s="16" t="s">
        <v>19430</v>
      </c>
      <c r="E9299">
        <v>6</v>
      </c>
      <c r="F9299" t="s">
        <v>8799</v>
      </c>
      <c r="G9299">
        <v>1</v>
      </c>
      <c r="H9299">
        <v>1</v>
      </c>
      <c r="I9299">
        <f>1</f>
        <v>1</v>
      </c>
    </row>
    <row r="9300" spans="2:9" x14ac:dyDescent="0.25">
      <c r="B9300">
        <v>0</v>
      </c>
      <c r="C9300" s="16" t="s">
        <v>18317</v>
      </c>
      <c r="D9300" s="16"/>
      <c r="E9300">
        <v>6</v>
      </c>
      <c r="F9300" t="s">
        <v>8800</v>
      </c>
      <c r="G9300">
        <v>1</v>
      </c>
      <c r="H9300">
        <v>1</v>
      </c>
      <c r="I9300">
        <f>1</f>
        <v>1</v>
      </c>
    </row>
    <row r="9301" spans="2:9" x14ac:dyDescent="0.25">
      <c r="B9301">
        <v>0</v>
      </c>
      <c r="C9301" s="16" t="s">
        <v>18318</v>
      </c>
      <c r="D9301" s="16"/>
      <c r="E9301">
        <v>6</v>
      </c>
      <c r="F9301" t="s">
        <v>8801</v>
      </c>
      <c r="G9301">
        <v>1</v>
      </c>
      <c r="H9301">
        <v>1</v>
      </c>
      <c r="I9301">
        <f>1</f>
        <v>1</v>
      </c>
    </row>
    <row r="9302" spans="2:9" x14ac:dyDescent="0.25">
      <c r="B9302">
        <v>0</v>
      </c>
      <c r="C9302" s="16" t="s">
        <v>18319</v>
      </c>
      <c r="D9302" s="16"/>
      <c r="E9302">
        <v>6</v>
      </c>
      <c r="F9302" t="s">
        <v>8802</v>
      </c>
      <c r="G9302">
        <v>1</v>
      </c>
      <c r="H9302">
        <v>1</v>
      </c>
      <c r="I9302">
        <f>1</f>
        <v>1</v>
      </c>
    </row>
    <row r="9303" spans="2:9" x14ac:dyDescent="0.25">
      <c r="B9303">
        <v>0</v>
      </c>
      <c r="C9303" s="16" t="s">
        <v>18320</v>
      </c>
      <c r="D9303" s="16"/>
      <c r="E9303">
        <v>6</v>
      </c>
      <c r="F9303" t="s">
        <v>4690</v>
      </c>
      <c r="G9303">
        <v>1</v>
      </c>
      <c r="H9303">
        <v>1</v>
      </c>
      <c r="I9303">
        <f>1</f>
        <v>1</v>
      </c>
    </row>
    <row r="9304" spans="2:9" x14ac:dyDescent="0.25">
      <c r="B9304">
        <v>0</v>
      </c>
      <c r="C9304" s="16" t="s">
        <v>18321</v>
      </c>
      <c r="D9304" s="16"/>
      <c r="E9304">
        <v>6</v>
      </c>
      <c r="F9304" t="s">
        <v>8803</v>
      </c>
      <c r="G9304">
        <v>1</v>
      </c>
      <c r="H9304">
        <v>1</v>
      </c>
      <c r="I9304">
        <f>1</f>
        <v>1</v>
      </c>
    </row>
    <row r="9305" spans="2:9" x14ac:dyDescent="0.25">
      <c r="B9305">
        <v>0</v>
      </c>
      <c r="C9305" s="16" t="s">
        <v>18322</v>
      </c>
      <c r="D9305" s="16"/>
      <c r="E9305">
        <v>6</v>
      </c>
      <c r="F9305" t="s">
        <v>4680</v>
      </c>
      <c r="G9305">
        <v>1</v>
      </c>
      <c r="H9305">
        <v>1</v>
      </c>
      <c r="I9305">
        <f>1</f>
        <v>1</v>
      </c>
    </row>
    <row r="9306" spans="2:9" x14ac:dyDescent="0.25">
      <c r="B9306">
        <v>0</v>
      </c>
      <c r="C9306" s="16" t="s">
        <v>18323</v>
      </c>
      <c r="D9306" s="16"/>
      <c r="E9306">
        <v>6</v>
      </c>
      <c r="F9306" t="s">
        <v>8804</v>
      </c>
      <c r="G9306">
        <v>1</v>
      </c>
      <c r="H9306">
        <v>1</v>
      </c>
      <c r="I9306">
        <f>1</f>
        <v>1</v>
      </c>
    </row>
    <row r="9307" spans="2:9" x14ac:dyDescent="0.25">
      <c r="B9307">
        <v>0</v>
      </c>
      <c r="C9307" s="16" t="s">
        <v>18324</v>
      </c>
      <c r="D9307" s="16"/>
      <c r="E9307">
        <v>6</v>
      </c>
      <c r="F9307" t="s">
        <v>4680</v>
      </c>
      <c r="G9307">
        <v>1</v>
      </c>
      <c r="H9307">
        <v>1</v>
      </c>
      <c r="I9307">
        <f>1</f>
        <v>1</v>
      </c>
    </row>
    <row r="9308" spans="2:9" x14ac:dyDescent="0.25">
      <c r="B9308">
        <v>0</v>
      </c>
      <c r="C9308" s="16" t="s">
        <v>18325</v>
      </c>
      <c r="D9308" s="16"/>
      <c r="E9308">
        <v>6</v>
      </c>
      <c r="F9308" t="e">
        <f>-Partes</f>
        <v>#NAME?</v>
      </c>
      <c r="G9308">
        <v>1</v>
      </c>
      <c r="H9308">
        <v>1</v>
      </c>
      <c r="I9308">
        <f>1</f>
        <v>1</v>
      </c>
    </row>
    <row r="9309" spans="2:9" x14ac:dyDescent="0.25">
      <c r="B9309">
        <v>0</v>
      </c>
      <c r="C9309" s="16" t="s">
        <v>18326</v>
      </c>
      <c r="D9309" s="16"/>
      <c r="E9309">
        <v>6</v>
      </c>
      <c r="F9309" t="s">
        <v>8805</v>
      </c>
      <c r="G9309">
        <v>1</v>
      </c>
      <c r="H9309">
        <v>1</v>
      </c>
      <c r="I9309">
        <f>1</f>
        <v>1</v>
      </c>
    </row>
    <row r="9310" spans="2:9" x14ac:dyDescent="0.25">
      <c r="B9310">
        <v>0</v>
      </c>
      <c r="C9310" s="16" t="s">
        <v>18327</v>
      </c>
      <c r="D9310" s="16"/>
      <c r="E9310">
        <v>6</v>
      </c>
      <c r="F9310" t="s">
        <v>4680</v>
      </c>
      <c r="G9310">
        <v>1</v>
      </c>
      <c r="H9310">
        <v>1</v>
      </c>
      <c r="I9310">
        <f>1</f>
        <v>1</v>
      </c>
    </row>
    <row r="9311" spans="2:9" x14ac:dyDescent="0.25">
      <c r="B9311">
        <v>0</v>
      </c>
      <c r="C9311" s="16" t="s">
        <v>18328</v>
      </c>
      <c r="D9311" s="16"/>
      <c r="E9311">
        <v>6</v>
      </c>
      <c r="F9311" t="e">
        <f>-painéis indicadores Com dispositivos De cristais líquidos  LCD  ou De diodos emissores De luz  LED</f>
        <v>#NAME?</v>
      </c>
      <c r="G9311">
        <v>1</v>
      </c>
      <c r="H9311">
        <v>1</v>
      </c>
      <c r="I9311">
        <f>1</f>
        <v>1</v>
      </c>
    </row>
    <row r="9312" spans="2:9" x14ac:dyDescent="0.25">
      <c r="B9312">
        <v>0</v>
      </c>
      <c r="C9312" s="16" t="s">
        <v>18328</v>
      </c>
      <c r="D9312" s="16" t="s">
        <v>19430</v>
      </c>
      <c r="E9312">
        <v>6</v>
      </c>
      <c r="F9312" t="s">
        <v>8806</v>
      </c>
      <c r="G9312">
        <v>1</v>
      </c>
      <c r="H9312">
        <v>1</v>
      </c>
      <c r="I9312">
        <f>1</f>
        <v>1</v>
      </c>
    </row>
    <row r="9313" spans="2:9" x14ac:dyDescent="0.25">
      <c r="B9313">
        <v>0</v>
      </c>
      <c r="C9313" s="16" t="s">
        <v>18329</v>
      </c>
      <c r="D9313" s="16"/>
      <c r="E9313">
        <v>6</v>
      </c>
      <c r="F9313" t="e">
        <f>-outros aparelhos</f>
        <v>#NAME?</v>
      </c>
      <c r="G9313">
        <v>1</v>
      </c>
      <c r="H9313">
        <v>1</v>
      </c>
      <c r="I9313">
        <f>1</f>
        <v>1</v>
      </c>
    </row>
    <row r="9314" spans="2:9" x14ac:dyDescent="0.25">
      <c r="B9314">
        <v>0</v>
      </c>
      <c r="C9314" s="16" t="s">
        <v>18330</v>
      </c>
      <c r="D9314" s="16"/>
      <c r="E9314">
        <v>6</v>
      </c>
      <c r="F9314" t="e">
        <f>-Partes</f>
        <v>#NAME?</v>
      </c>
      <c r="G9314">
        <v>1</v>
      </c>
      <c r="H9314">
        <v>1</v>
      </c>
      <c r="I9314">
        <f>1</f>
        <v>1</v>
      </c>
    </row>
    <row r="9315" spans="2:9" x14ac:dyDescent="0.25">
      <c r="B9315">
        <v>0</v>
      </c>
      <c r="C9315" s="16" t="s">
        <v>18331</v>
      </c>
      <c r="D9315" s="16"/>
      <c r="E9315">
        <v>6</v>
      </c>
      <c r="F9315" t="s">
        <v>8807</v>
      </c>
      <c r="G9315">
        <v>1</v>
      </c>
      <c r="H9315">
        <v>1</v>
      </c>
      <c r="I9315">
        <f>1</f>
        <v>1</v>
      </c>
    </row>
    <row r="9316" spans="2:9" x14ac:dyDescent="0.25">
      <c r="B9316">
        <v>0</v>
      </c>
      <c r="C9316" s="16" t="s">
        <v>18332</v>
      </c>
      <c r="D9316" s="16"/>
      <c r="E9316">
        <v>6</v>
      </c>
      <c r="F9316" t="s">
        <v>8808</v>
      </c>
      <c r="G9316">
        <v>1</v>
      </c>
      <c r="H9316">
        <v>1</v>
      </c>
      <c r="I9316">
        <f>1</f>
        <v>1</v>
      </c>
    </row>
    <row r="9317" spans="2:9" x14ac:dyDescent="0.25">
      <c r="B9317">
        <v>0</v>
      </c>
      <c r="C9317" s="16" t="s">
        <v>18333</v>
      </c>
      <c r="D9317" s="16"/>
      <c r="E9317">
        <v>6</v>
      </c>
      <c r="F9317" t="s">
        <v>4680</v>
      </c>
      <c r="G9317">
        <v>1</v>
      </c>
      <c r="H9317">
        <v>1</v>
      </c>
      <c r="I9317">
        <f>1</f>
        <v>1</v>
      </c>
    </row>
    <row r="9318" spans="2:9" x14ac:dyDescent="0.25">
      <c r="B9318">
        <v>0</v>
      </c>
      <c r="C9318" s="16" t="s">
        <v>18334</v>
      </c>
      <c r="D9318" s="16"/>
      <c r="E9318">
        <v>6</v>
      </c>
      <c r="F9318" t="s">
        <v>4680</v>
      </c>
      <c r="G9318">
        <v>1</v>
      </c>
      <c r="H9318">
        <v>1</v>
      </c>
      <c r="I9318">
        <f>1</f>
        <v>1</v>
      </c>
    </row>
    <row r="9319" spans="2:9" x14ac:dyDescent="0.25">
      <c r="B9319">
        <v>0</v>
      </c>
      <c r="C9319" s="16" t="s">
        <v>18335</v>
      </c>
      <c r="D9319" s="16"/>
      <c r="E9319">
        <v>6</v>
      </c>
      <c r="F9319" t="e">
        <f>--Eletrolíticos De alumínio</f>
        <v>#NAME?</v>
      </c>
      <c r="G9319">
        <v>1</v>
      </c>
      <c r="H9319">
        <v>1</v>
      </c>
      <c r="I9319">
        <f>1</f>
        <v>1</v>
      </c>
    </row>
    <row r="9320" spans="2:9" x14ac:dyDescent="0.25">
      <c r="B9320">
        <v>0</v>
      </c>
      <c r="C9320" s="16" t="s">
        <v>18336</v>
      </c>
      <c r="D9320" s="16"/>
      <c r="E9320">
        <v>6</v>
      </c>
      <c r="F9320" t="s">
        <v>8809</v>
      </c>
      <c r="G9320">
        <v>1</v>
      </c>
      <c r="H9320">
        <v>1</v>
      </c>
      <c r="I9320">
        <f>1</f>
        <v>1</v>
      </c>
    </row>
    <row r="9321" spans="2:9" x14ac:dyDescent="0.25">
      <c r="B9321">
        <v>0</v>
      </c>
      <c r="C9321" s="16" t="s">
        <v>18337</v>
      </c>
      <c r="D9321" s="16"/>
      <c r="E9321">
        <v>6</v>
      </c>
      <c r="F9321" t="s">
        <v>4680</v>
      </c>
      <c r="G9321">
        <v>1</v>
      </c>
      <c r="H9321">
        <v>1</v>
      </c>
      <c r="I9321">
        <f>1</f>
        <v>1</v>
      </c>
    </row>
    <row r="9322" spans="2:9" x14ac:dyDescent="0.25">
      <c r="B9322">
        <v>0</v>
      </c>
      <c r="C9322" s="16" t="s">
        <v>18338</v>
      </c>
      <c r="D9322" s="16"/>
      <c r="E9322">
        <v>6</v>
      </c>
      <c r="F9322" t="s">
        <v>8809</v>
      </c>
      <c r="G9322">
        <v>1</v>
      </c>
      <c r="H9322">
        <v>1</v>
      </c>
      <c r="I9322">
        <f>1</f>
        <v>1</v>
      </c>
    </row>
    <row r="9323" spans="2:9" x14ac:dyDescent="0.25">
      <c r="B9323">
        <v>0</v>
      </c>
      <c r="C9323" s="16" t="s">
        <v>18339</v>
      </c>
      <c r="D9323" s="16"/>
      <c r="E9323">
        <v>6</v>
      </c>
      <c r="F9323" t="s">
        <v>4680</v>
      </c>
      <c r="G9323">
        <v>1</v>
      </c>
      <c r="H9323">
        <v>1</v>
      </c>
      <c r="I9323">
        <f>1</f>
        <v>1</v>
      </c>
    </row>
    <row r="9324" spans="2:9" x14ac:dyDescent="0.25">
      <c r="B9324">
        <v>0</v>
      </c>
      <c r="C9324" s="16" t="s">
        <v>18340</v>
      </c>
      <c r="D9324" s="16"/>
      <c r="E9324">
        <v>6</v>
      </c>
      <c r="F9324" t="s">
        <v>8809</v>
      </c>
      <c r="G9324">
        <v>1</v>
      </c>
      <c r="H9324">
        <v>1</v>
      </c>
      <c r="I9324">
        <f>1</f>
        <v>1</v>
      </c>
    </row>
    <row r="9325" spans="2:9" x14ac:dyDescent="0.25">
      <c r="B9325">
        <v>0</v>
      </c>
      <c r="C9325" s="16" t="s">
        <v>18341</v>
      </c>
      <c r="D9325" s="16"/>
      <c r="E9325">
        <v>6</v>
      </c>
      <c r="F9325" t="s">
        <v>4680</v>
      </c>
      <c r="G9325">
        <v>1</v>
      </c>
      <c r="H9325">
        <v>1</v>
      </c>
      <c r="I9325">
        <f>1</f>
        <v>1</v>
      </c>
    </row>
    <row r="9326" spans="2:9" x14ac:dyDescent="0.25">
      <c r="B9326">
        <v>0</v>
      </c>
      <c r="C9326" s="16" t="s">
        <v>18342</v>
      </c>
      <c r="D9326" s="16"/>
      <c r="E9326">
        <v>6</v>
      </c>
      <c r="F9326" t="s">
        <v>8809</v>
      </c>
      <c r="G9326">
        <v>1</v>
      </c>
      <c r="H9326">
        <v>1</v>
      </c>
      <c r="I9326">
        <f>1</f>
        <v>1</v>
      </c>
    </row>
    <row r="9327" spans="2:9" x14ac:dyDescent="0.25">
      <c r="B9327">
        <v>0</v>
      </c>
      <c r="C9327" s="16" t="s">
        <v>18343</v>
      </c>
      <c r="D9327" s="16"/>
      <c r="E9327">
        <v>6</v>
      </c>
      <c r="F9327" t="s">
        <v>4680</v>
      </c>
      <c r="G9327">
        <v>1</v>
      </c>
      <c r="H9327">
        <v>1</v>
      </c>
      <c r="I9327">
        <f>1</f>
        <v>1</v>
      </c>
    </row>
    <row r="9328" spans="2:9" x14ac:dyDescent="0.25">
      <c r="B9328">
        <v>0</v>
      </c>
      <c r="C9328" s="16" t="s">
        <v>18344</v>
      </c>
      <c r="D9328" s="16"/>
      <c r="E9328">
        <v>6</v>
      </c>
      <c r="F9328" t="s">
        <v>8809</v>
      </c>
      <c r="G9328">
        <v>1</v>
      </c>
      <c r="H9328">
        <v>1</v>
      </c>
      <c r="I9328">
        <f>1</f>
        <v>1</v>
      </c>
    </row>
    <row r="9329" spans="2:9" x14ac:dyDescent="0.25">
      <c r="B9329">
        <v>0</v>
      </c>
      <c r="C9329" s="16" t="s">
        <v>18345</v>
      </c>
      <c r="D9329" s="16"/>
      <c r="E9329">
        <v>6</v>
      </c>
      <c r="F9329" t="s">
        <v>4680</v>
      </c>
      <c r="G9329">
        <v>1</v>
      </c>
      <c r="H9329">
        <v>1</v>
      </c>
      <c r="I9329">
        <f>1</f>
        <v>1</v>
      </c>
    </row>
    <row r="9330" spans="2:9" x14ac:dyDescent="0.25">
      <c r="B9330">
        <v>0</v>
      </c>
      <c r="C9330" s="16" t="s">
        <v>18346</v>
      </c>
      <c r="D9330" s="16"/>
      <c r="E9330">
        <v>6</v>
      </c>
      <c r="F9330" t="e">
        <f>-Partes</f>
        <v>#NAME?</v>
      </c>
      <c r="G9330">
        <v>1</v>
      </c>
      <c r="H9330">
        <v>1</v>
      </c>
      <c r="I9330">
        <f>1</f>
        <v>1</v>
      </c>
    </row>
    <row r="9331" spans="2:9" x14ac:dyDescent="0.25">
      <c r="B9331">
        <v>0</v>
      </c>
      <c r="C9331" s="16" t="s">
        <v>18347</v>
      </c>
      <c r="D9331" s="16"/>
      <c r="E9331">
        <v>6</v>
      </c>
      <c r="F9331" t="s">
        <v>8810</v>
      </c>
      <c r="G9331">
        <v>1</v>
      </c>
      <c r="H9331">
        <v>1</v>
      </c>
      <c r="I9331">
        <f>1</f>
        <v>1</v>
      </c>
    </row>
    <row r="9332" spans="2:9" x14ac:dyDescent="0.25">
      <c r="B9332">
        <v>0</v>
      </c>
      <c r="C9332" s="16" t="s">
        <v>18348</v>
      </c>
      <c r="D9332" s="16"/>
      <c r="E9332">
        <v>6</v>
      </c>
      <c r="F9332" t="s">
        <v>8811</v>
      </c>
      <c r="G9332">
        <v>1</v>
      </c>
      <c r="H9332">
        <v>1</v>
      </c>
      <c r="I9332">
        <f>1</f>
        <v>1</v>
      </c>
    </row>
    <row r="9333" spans="2:9" x14ac:dyDescent="0.25">
      <c r="B9333">
        <v>0</v>
      </c>
      <c r="C9333" s="16" t="s">
        <v>18349</v>
      </c>
      <c r="D9333" s="16"/>
      <c r="E9333">
        <v>6</v>
      </c>
      <c r="F9333" t="s">
        <v>8812</v>
      </c>
      <c r="G9333">
        <v>1</v>
      </c>
      <c r="H9333">
        <v>1</v>
      </c>
      <c r="I9333">
        <f>1</f>
        <v>1</v>
      </c>
    </row>
    <row r="9334" spans="2:9" x14ac:dyDescent="0.25">
      <c r="B9334">
        <v>0</v>
      </c>
      <c r="C9334" s="16" t="s">
        <v>18350</v>
      </c>
      <c r="D9334" s="16"/>
      <c r="E9334">
        <v>6</v>
      </c>
      <c r="F9334" t="s">
        <v>4690</v>
      </c>
      <c r="G9334">
        <v>1</v>
      </c>
      <c r="H9334">
        <v>1</v>
      </c>
      <c r="I9334">
        <f>1</f>
        <v>1</v>
      </c>
    </row>
    <row r="9335" spans="2:9" x14ac:dyDescent="0.25">
      <c r="B9335">
        <v>0</v>
      </c>
      <c r="C9335" s="16" t="s">
        <v>18351</v>
      </c>
      <c r="D9335" s="16"/>
      <c r="E9335">
        <v>6</v>
      </c>
      <c r="F9335" t="e">
        <f>--Outras</f>
        <v>#NAME?</v>
      </c>
      <c r="G9335">
        <v>1</v>
      </c>
      <c r="H9335">
        <v>1</v>
      </c>
      <c r="I9335">
        <f>1</f>
        <v>1</v>
      </c>
    </row>
    <row r="9336" spans="2:9" x14ac:dyDescent="0.25">
      <c r="B9336">
        <v>0</v>
      </c>
      <c r="C9336" s="16" t="s">
        <v>18352</v>
      </c>
      <c r="D9336" s="16"/>
      <c r="E9336">
        <v>6</v>
      </c>
      <c r="F9336" t="s">
        <v>8813</v>
      </c>
      <c r="G9336">
        <v>1</v>
      </c>
      <c r="H9336">
        <v>1</v>
      </c>
      <c r="I9336">
        <f>1</f>
        <v>1</v>
      </c>
    </row>
    <row r="9337" spans="2:9" x14ac:dyDescent="0.25">
      <c r="B9337">
        <v>0</v>
      </c>
      <c r="C9337" s="16" t="s">
        <v>18353</v>
      </c>
      <c r="D9337" s="16"/>
      <c r="E9337">
        <v>6</v>
      </c>
      <c r="F9337" t="s">
        <v>4690</v>
      </c>
      <c r="G9337">
        <v>1</v>
      </c>
      <c r="H9337">
        <v>1</v>
      </c>
      <c r="I9337">
        <f>1</f>
        <v>1</v>
      </c>
    </row>
    <row r="9338" spans="2:9" x14ac:dyDescent="0.25">
      <c r="B9338">
        <v>0</v>
      </c>
      <c r="C9338" s="16" t="s">
        <v>18354</v>
      </c>
      <c r="D9338" s="16"/>
      <c r="E9338">
        <v>6</v>
      </c>
      <c r="F9338" t="s">
        <v>8813</v>
      </c>
      <c r="G9338">
        <v>1</v>
      </c>
      <c r="H9338">
        <v>1</v>
      </c>
      <c r="I9338">
        <f>1</f>
        <v>1</v>
      </c>
    </row>
    <row r="9339" spans="2:9" x14ac:dyDescent="0.25">
      <c r="B9339">
        <v>0</v>
      </c>
      <c r="C9339" s="16" t="s">
        <v>18355</v>
      </c>
      <c r="D9339" s="16"/>
      <c r="E9339">
        <v>6</v>
      </c>
      <c r="F9339" t="s">
        <v>4690</v>
      </c>
      <c r="G9339">
        <v>1</v>
      </c>
      <c r="H9339">
        <v>1</v>
      </c>
      <c r="I9339">
        <f>1</f>
        <v>1</v>
      </c>
    </row>
    <row r="9340" spans="2:9" x14ac:dyDescent="0.25">
      <c r="B9340">
        <v>0</v>
      </c>
      <c r="C9340" s="16" t="s">
        <v>18356</v>
      </c>
      <c r="D9340" s="16"/>
      <c r="E9340">
        <v>6</v>
      </c>
      <c r="F9340" t="s">
        <v>8814</v>
      </c>
      <c r="G9340">
        <v>1</v>
      </c>
      <c r="H9340">
        <v>1</v>
      </c>
      <c r="I9340">
        <f>1</f>
        <v>1</v>
      </c>
    </row>
    <row r="9341" spans="2:9" x14ac:dyDescent="0.25">
      <c r="B9341">
        <v>0</v>
      </c>
      <c r="C9341" s="16" t="s">
        <v>18357</v>
      </c>
      <c r="D9341" s="16"/>
      <c r="E9341">
        <v>6</v>
      </c>
      <c r="F9341" t="s">
        <v>8815</v>
      </c>
      <c r="G9341">
        <v>1</v>
      </c>
      <c r="H9341">
        <v>1</v>
      </c>
      <c r="I9341">
        <f>1</f>
        <v>1</v>
      </c>
    </row>
    <row r="9342" spans="2:9" x14ac:dyDescent="0.25">
      <c r="B9342">
        <v>0</v>
      </c>
      <c r="C9342" s="16" t="s">
        <v>18358</v>
      </c>
      <c r="D9342" s="16"/>
      <c r="E9342">
        <v>6</v>
      </c>
      <c r="F9342" t="s">
        <v>4690</v>
      </c>
      <c r="G9342">
        <v>1</v>
      </c>
      <c r="H9342">
        <v>1</v>
      </c>
      <c r="I9342">
        <f>1</f>
        <v>1</v>
      </c>
    </row>
    <row r="9343" spans="2:9" x14ac:dyDescent="0.25">
      <c r="B9343">
        <v>0</v>
      </c>
      <c r="C9343" s="16" t="s">
        <v>18359</v>
      </c>
      <c r="D9343" s="16"/>
      <c r="E9343">
        <v>6</v>
      </c>
      <c r="F9343" t="s">
        <v>8816</v>
      </c>
      <c r="G9343">
        <v>1</v>
      </c>
      <c r="H9343">
        <v>1</v>
      </c>
      <c r="I9343">
        <f>1</f>
        <v>1</v>
      </c>
    </row>
    <row r="9344" spans="2:9" x14ac:dyDescent="0.25">
      <c r="B9344">
        <v>0</v>
      </c>
      <c r="C9344" s="16" t="s">
        <v>18360</v>
      </c>
      <c r="D9344" s="16"/>
      <c r="E9344">
        <v>6</v>
      </c>
      <c r="F9344" t="s">
        <v>8817</v>
      </c>
      <c r="G9344">
        <v>1</v>
      </c>
      <c r="H9344">
        <v>1</v>
      </c>
      <c r="I9344">
        <f>1</f>
        <v>1</v>
      </c>
    </row>
    <row r="9345" spans="2:9" x14ac:dyDescent="0.25">
      <c r="B9345">
        <v>0</v>
      </c>
      <c r="C9345" s="16" t="s">
        <v>18361</v>
      </c>
      <c r="D9345" s="16"/>
      <c r="E9345">
        <v>6</v>
      </c>
      <c r="F9345" t="s">
        <v>4690</v>
      </c>
      <c r="G9345">
        <v>1</v>
      </c>
      <c r="H9345">
        <v>1</v>
      </c>
      <c r="I9345">
        <f>1</f>
        <v>1</v>
      </c>
    </row>
    <row r="9346" spans="2:9" x14ac:dyDescent="0.25">
      <c r="B9346">
        <v>0</v>
      </c>
      <c r="C9346" s="16" t="s">
        <v>18362</v>
      </c>
      <c r="D9346" s="16"/>
      <c r="E9346">
        <v>6</v>
      </c>
      <c r="F9346" t="e">
        <f>-Partes</f>
        <v>#NAME?</v>
      </c>
      <c r="G9346">
        <v>1</v>
      </c>
      <c r="H9346">
        <v>1</v>
      </c>
      <c r="I9346">
        <f>1</f>
        <v>1</v>
      </c>
    </row>
    <row r="9347" spans="2:9" x14ac:dyDescent="0.25">
      <c r="B9347">
        <v>0</v>
      </c>
      <c r="C9347" s="16" t="s">
        <v>18363</v>
      </c>
      <c r="D9347" s="16"/>
      <c r="E9347">
        <v>6</v>
      </c>
      <c r="F9347" t="s">
        <v>8818</v>
      </c>
      <c r="G9347">
        <v>1</v>
      </c>
      <c r="H9347">
        <v>1</v>
      </c>
      <c r="I9347">
        <f>1</f>
        <v>1</v>
      </c>
    </row>
    <row r="9348" spans="2:9" x14ac:dyDescent="0.25">
      <c r="B9348">
        <v>0</v>
      </c>
      <c r="C9348" s="16" t="s">
        <v>18364</v>
      </c>
      <c r="D9348" s="16"/>
      <c r="E9348">
        <v>6</v>
      </c>
      <c r="F9348" t="s">
        <v>8819</v>
      </c>
      <c r="G9348">
        <v>1</v>
      </c>
      <c r="H9348">
        <v>1</v>
      </c>
      <c r="I9348">
        <f>1</f>
        <v>1</v>
      </c>
    </row>
    <row r="9349" spans="2:9" x14ac:dyDescent="0.25">
      <c r="B9349">
        <v>0</v>
      </c>
      <c r="C9349" s="16" t="s">
        <v>18365</v>
      </c>
      <c r="D9349" s="16"/>
      <c r="E9349">
        <v>6</v>
      </c>
      <c r="F9349" t="s">
        <v>8820</v>
      </c>
      <c r="G9349">
        <v>1</v>
      </c>
      <c r="H9349">
        <v>1</v>
      </c>
      <c r="I9349">
        <f>1</f>
        <v>1</v>
      </c>
    </row>
    <row r="9350" spans="2:9" x14ac:dyDescent="0.25">
      <c r="B9350">
        <v>0</v>
      </c>
      <c r="C9350" s="16" t="s">
        <v>18366</v>
      </c>
      <c r="D9350" s="16"/>
      <c r="E9350">
        <v>6</v>
      </c>
      <c r="F9350" t="s">
        <v>4680</v>
      </c>
      <c r="G9350">
        <v>1</v>
      </c>
      <c r="H9350">
        <v>1</v>
      </c>
      <c r="I9350">
        <f>1</f>
        <v>1</v>
      </c>
    </row>
    <row r="9351" spans="2:9" x14ac:dyDescent="0.25">
      <c r="B9351">
        <v>0</v>
      </c>
      <c r="C9351" s="16" t="s">
        <v>18367</v>
      </c>
      <c r="D9351" s="16"/>
      <c r="E9351">
        <v>6</v>
      </c>
      <c r="F9351" t="s">
        <v>8821</v>
      </c>
      <c r="G9351">
        <v>1</v>
      </c>
      <c r="H9351">
        <v>1</v>
      </c>
      <c r="I9351">
        <f>1</f>
        <v>1</v>
      </c>
    </row>
    <row r="9352" spans="2:9" x14ac:dyDescent="0.25">
      <c r="B9352">
        <v>0</v>
      </c>
      <c r="C9352" s="16" t="s">
        <v>18368</v>
      </c>
      <c r="D9352" s="16"/>
      <c r="E9352">
        <v>6</v>
      </c>
      <c r="F9352" t="s">
        <v>8818</v>
      </c>
      <c r="G9352">
        <v>1</v>
      </c>
      <c r="H9352">
        <v>1</v>
      </c>
      <c r="I9352">
        <f>1</f>
        <v>1</v>
      </c>
    </row>
    <row r="9353" spans="2:9" x14ac:dyDescent="0.25">
      <c r="B9353">
        <v>0</v>
      </c>
      <c r="C9353" s="16" t="s">
        <v>18369</v>
      </c>
      <c r="D9353" s="16"/>
      <c r="E9353">
        <v>6</v>
      </c>
      <c r="F9353" t="s">
        <v>8819</v>
      </c>
      <c r="G9353">
        <v>1</v>
      </c>
      <c r="H9353">
        <v>1</v>
      </c>
      <c r="I9353">
        <f>1</f>
        <v>1</v>
      </c>
    </row>
    <row r="9354" spans="2:9" x14ac:dyDescent="0.25">
      <c r="B9354">
        <v>0</v>
      </c>
      <c r="C9354" s="16" t="s">
        <v>18370</v>
      </c>
      <c r="D9354" s="16"/>
      <c r="E9354">
        <v>6</v>
      </c>
      <c r="F9354" t="s">
        <v>8820</v>
      </c>
      <c r="G9354">
        <v>1</v>
      </c>
      <c r="H9354">
        <v>1</v>
      </c>
      <c r="I9354">
        <f>1</f>
        <v>1</v>
      </c>
    </row>
    <row r="9355" spans="2:9" x14ac:dyDescent="0.25">
      <c r="B9355">
        <v>0</v>
      </c>
      <c r="C9355" s="16" t="s">
        <v>18371</v>
      </c>
      <c r="D9355" s="16"/>
      <c r="E9355">
        <v>6</v>
      </c>
      <c r="F9355" t="s">
        <v>4680</v>
      </c>
      <c r="G9355">
        <v>1</v>
      </c>
      <c r="H9355">
        <v>1</v>
      </c>
      <c r="I9355">
        <f>1</f>
        <v>1</v>
      </c>
    </row>
    <row r="9356" spans="2:9" x14ac:dyDescent="0.25">
      <c r="B9356">
        <v>0</v>
      </c>
      <c r="C9356" s="16" t="s">
        <v>18372</v>
      </c>
      <c r="D9356" s="16"/>
      <c r="E9356">
        <v>6</v>
      </c>
      <c r="F9356" t="s">
        <v>8822</v>
      </c>
      <c r="G9356">
        <v>1</v>
      </c>
      <c r="H9356">
        <v>1</v>
      </c>
      <c r="I9356">
        <f>1</f>
        <v>1</v>
      </c>
    </row>
    <row r="9357" spans="2:9" x14ac:dyDescent="0.25">
      <c r="B9357">
        <v>0</v>
      </c>
      <c r="C9357" s="16" t="s">
        <v>18373</v>
      </c>
      <c r="D9357" s="16"/>
      <c r="E9357">
        <v>6</v>
      </c>
      <c r="F9357" t="s">
        <v>8820</v>
      </c>
      <c r="G9357">
        <v>1</v>
      </c>
      <c r="H9357">
        <v>1</v>
      </c>
      <c r="I9357">
        <f>1</f>
        <v>1</v>
      </c>
    </row>
    <row r="9358" spans="2:9" x14ac:dyDescent="0.25">
      <c r="B9358">
        <v>0</v>
      </c>
      <c r="C9358" s="16" t="s">
        <v>18374</v>
      </c>
      <c r="D9358" s="16"/>
      <c r="E9358">
        <v>6</v>
      </c>
      <c r="F9358" t="s">
        <v>4680</v>
      </c>
      <c r="G9358">
        <v>1</v>
      </c>
      <c r="H9358">
        <v>1</v>
      </c>
      <c r="I9358">
        <f>1</f>
        <v>1</v>
      </c>
    </row>
    <row r="9359" spans="2:9" x14ac:dyDescent="0.25">
      <c r="B9359">
        <v>0</v>
      </c>
      <c r="C9359" s="16" t="s">
        <v>18375</v>
      </c>
      <c r="D9359" s="16"/>
      <c r="E9359">
        <v>6</v>
      </c>
      <c r="F9359" t="e">
        <f>-Fusíveis e Corta-circuitos De Fusíveis</f>
        <v>#NAME?</v>
      </c>
      <c r="G9359">
        <v>1</v>
      </c>
      <c r="H9359">
        <v>1</v>
      </c>
      <c r="I9359">
        <f>1</f>
        <v>1</v>
      </c>
    </row>
    <row r="9360" spans="2:9" x14ac:dyDescent="0.25">
      <c r="B9360">
        <v>0</v>
      </c>
      <c r="C9360" s="16" t="s">
        <v>18376</v>
      </c>
      <c r="D9360" s="16"/>
      <c r="E9360">
        <v>6</v>
      </c>
      <c r="F9360" t="s">
        <v>8823</v>
      </c>
      <c r="G9360">
        <v>1</v>
      </c>
      <c r="H9360">
        <v>1</v>
      </c>
      <c r="I9360">
        <f>1</f>
        <v>1</v>
      </c>
    </row>
    <row r="9361" spans="2:9" x14ac:dyDescent="0.25">
      <c r="B9361">
        <v>0</v>
      </c>
      <c r="C9361" s="16" t="s">
        <v>18377</v>
      </c>
      <c r="D9361" s="16"/>
      <c r="E9361">
        <v>6</v>
      </c>
      <c r="F9361" t="e">
        <f>--outros</f>
        <v>#NAME?</v>
      </c>
      <c r="G9361">
        <v>1</v>
      </c>
      <c r="H9361">
        <v>1</v>
      </c>
      <c r="I9361">
        <f>1</f>
        <v>1</v>
      </c>
    </row>
    <row r="9362" spans="2:9" x14ac:dyDescent="0.25">
      <c r="B9362">
        <v>0</v>
      </c>
      <c r="C9362" s="16" t="s">
        <v>18378</v>
      </c>
      <c r="D9362" s="16"/>
      <c r="E9362">
        <v>6</v>
      </c>
      <c r="F9362" t="s">
        <v>8824</v>
      </c>
      <c r="G9362">
        <v>1</v>
      </c>
      <c r="H9362">
        <v>1</v>
      </c>
      <c r="I9362">
        <f>1</f>
        <v>1</v>
      </c>
    </row>
    <row r="9363" spans="2:9" x14ac:dyDescent="0.25">
      <c r="B9363">
        <v>0</v>
      </c>
      <c r="C9363" s="16" t="s">
        <v>18379</v>
      </c>
      <c r="D9363" s="16"/>
      <c r="E9363">
        <v>6</v>
      </c>
      <c r="F9363" t="s">
        <v>8825</v>
      </c>
      <c r="G9363">
        <v>1</v>
      </c>
      <c r="H9363">
        <v>1</v>
      </c>
      <c r="I9363">
        <f>1</f>
        <v>1</v>
      </c>
    </row>
    <row r="9364" spans="2:9" x14ac:dyDescent="0.25">
      <c r="B9364">
        <v>0</v>
      </c>
      <c r="C9364" s="16" t="s">
        <v>18380</v>
      </c>
      <c r="D9364" s="16"/>
      <c r="E9364">
        <v>6</v>
      </c>
      <c r="F9364" t="s">
        <v>8826</v>
      </c>
      <c r="G9364">
        <v>1</v>
      </c>
      <c r="H9364">
        <v>1</v>
      </c>
      <c r="I9364">
        <f>1</f>
        <v>1</v>
      </c>
    </row>
    <row r="9365" spans="2:9" x14ac:dyDescent="0.25">
      <c r="B9365">
        <v>0</v>
      </c>
      <c r="C9365" s="16" t="s">
        <v>18381</v>
      </c>
      <c r="D9365" s="16"/>
      <c r="E9365">
        <v>6</v>
      </c>
      <c r="F9365" t="s">
        <v>4680</v>
      </c>
      <c r="G9365">
        <v>1</v>
      </c>
      <c r="H9365">
        <v>1</v>
      </c>
      <c r="I9365">
        <f>1</f>
        <v>1</v>
      </c>
    </row>
    <row r="9366" spans="2:9" x14ac:dyDescent="0.25">
      <c r="B9366">
        <v>0</v>
      </c>
      <c r="C9366" s="16" t="s">
        <v>18382</v>
      </c>
      <c r="D9366" s="16"/>
      <c r="E9366">
        <v>6</v>
      </c>
      <c r="F9366" t="s">
        <v>8824</v>
      </c>
      <c r="G9366">
        <v>1</v>
      </c>
      <c r="H9366">
        <v>1</v>
      </c>
      <c r="I9366">
        <f>1</f>
        <v>1</v>
      </c>
    </row>
    <row r="9367" spans="2:9" x14ac:dyDescent="0.25">
      <c r="B9367">
        <v>0</v>
      </c>
      <c r="C9367" s="16" t="s">
        <v>18383</v>
      </c>
      <c r="D9367" s="16"/>
      <c r="E9367">
        <v>6</v>
      </c>
      <c r="F9367" t="s">
        <v>8825</v>
      </c>
      <c r="G9367">
        <v>1</v>
      </c>
      <c r="H9367">
        <v>1</v>
      </c>
      <c r="I9367">
        <f>1</f>
        <v>1</v>
      </c>
    </row>
    <row r="9368" spans="2:9" x14ac:dyDescent="0.25">
      <c r="B9368">
        <v>0</v>
      </c>
      <c r="C9368" s="16" t="s">
        <v>18384</v>
      </c>
      <c r="D9368" s="16"/>
      <c r="E9368">
        <v>6</v>
      </c>
      <c r="F9368" t="s">
        <v>8826</v>
      </c>
      <c r="G9368">
        <v>1</v>
      </c>
      <c r="H9368">
        <v>1</v>
      </c>
      <c r="I9368">
        <f>1</f>
        <v>1</v>
      </c>
    </row>
    <row r="9369" spans="2:9" x14ac:dyDescent="0.25">
      <c r="B9369">
        <v>0</v>
      </c>
      <c r="C9369" s="16" t="s">
        <v>18385</v>
      </c>
      <c r="D9369" s="16"/>
      <c r="E9369">
        <v>6</v>
      </c>
      <c r="F9369" t="s">
        <v>4680</v>
      </c>
      <c r="G9369">
        <v>1</v>
      </c>
      <c r="H9369">
        <v>1</v>
      </c>
      <c r="I9369">
        <f>1</f>
        <v>1</v>
      </c>
    </row>
    <row r="9370" spans="2:9" x14ac:dyDescent="0.25">
      <c r="B9370">
        <v>0</v>
      </c>
      <c r="C9370" s="16" t="s">
        <v>18386</v>
      </c>
      <c r="D9370" s="16"/>
      <c r="E9370">
        <v>6</v>
      </c>
      <c r="F9370" t="s">
        <v>8827</v>
      </c>
      <c r="G9370">
        <v>1</v>
      </c>
      <c r="H9370">
        <v>1</v>
      </c>
      <c r="I9370">
        <f>1</f>
        <v>1</v>
      </c>
    </row>
    <row r="9371" spans="2:9" x14ac:dyDescent="0.25">
      <c r="B9371">
        <v>0</v>
      </c>
      <c r="C9371" s="16" t="s">
        <v>18387</v>
      </c>
      <c r="D9371" s="16"/>
      <c r="E9371">
        <v>6</v>
      </c>
      <c r="F9371" t="s">
        <v>4680</v>
      </c>
      <c r="G9371">
        <v>1</v>
      </c>
      <c r="H9371">
        <v>1</v>
      </c>
      <c r="I9371">
        <f>1</f>
        <v>1</v>
      </c>
    </row>
    <row r="9372" spans="2:9" x14ac:dyDescent="0.25">
      <c r="B9372">
        <v>0</v>
      </c>
      <c r="C9372" s="16" t="s">
        <v>18388</v>
      </c>
      <c r="D9372" s="16"/>
      <c r="E9372">
        <v>6</v>
      </c>
      <c r="F9372" t="e">
        <f>-outros</f>
        <v>#NAME?</v>
      </c>
      <c r="G9372">
        <v>1</v>
      </c>
      <c r="H9372">
        <v>1</v>
      </c>
      <c r="I9372">
        <f>1</f>
        <v>1</v>
      </c>
    </row>
    <row r="9373" spans="2:9" x14ac:dyDescent="0.25">
      <c r="B9373">
        <v>0</v>
      </c>
      <c r="C9373" s="16" t="s">
        <v>18389</v>
      </c>
      <c r="D9373" s="16"/>
      <c r="E9373">
        <v>6</v>
      </c>
      <c r="F9373" t="e">
        <f>-Fusíveis e Corta-circuitos De Fusíveis</f>
        <v>#NAME?</v>
      </c>
      <c r="G9373">
        <v>1</v>
      </c>
      <c r="H9373">
        <v>1</v>
      </c>
      <c r="I9373">
        <f>1</f>
        <v>1</v>
      </c>
    </row>
    <row r="9374" spans="2:9" x14ac:dyDescent="0.25">
      <c r="B9374">
        <v>0</v>
      </c>
      <c r="C9374" s="16" t="s">
        <v>18390</v>
      </c>
      <c r="D9374" s="16"/>
      <c r="E9374">
        <v>6</v>
      </c>
      <c r="F9374" t="e">
        <f>-Disjuntores</f>
        <v>#NAME?</v>
      </c>
      <c r="G9374">
        <v>1</v>
      </c>
      <c r="H9374">
        <v>1</v>
      </c>
      <c r="I9374">
        <f>1</f>
        <v>1</v>
      </c>
    </row>
    <row r="9375" spans="2:9" x14ac:dyDescent="0.25">
      <c r="B9375">
        <v>0</v>
      </c>
      <c r="C9375" s="16" t="s">
        <v>18391</v>
      </c>
      <c r="D9375" s="16"/>
      <c r="E9375">
        <v>6</v>
      </c>
      <c r="F9375" t="e">
        <f>-outros aparelhos para proteção De circuitos elétricos</f>
        <v>#NAME?</v>
      </c>
      <c r="G9375">
        <v>1</v>
      </c>
      <c r="H9375">
        <v>1</v>
      </c>
      <c r="I9375">
        <f>1</f>
        <v>1</v>
      </c>
    </row>
    <row r="9376" spans="2:9" x14ac:dyDescent="0.25">
      <c r="B9376">
        <v>0</v>
      </c>
      <c r="C9376" s="16" t="s">
        <v>18391</v>
      </c>
      <c r="D9376" s="16" t="s">
        <v>19430</v>
      </c>
      <c r="E9376">
        <v>6</v>
      </c>
      <c r="F9376" t="s">
        <v>8828</v>
      </c>
      <c r="G9376">
        <v>1</v>
      </c>
      <c r="H9376">
        <v>1</v>
      </c>
      <c r="I9376">
        <f>1</f>
        <v>1</v>
      </c>
    </row>
    <row r="9377" spans="2:9" x14ac:dyDescent="0.25">
      <c r="B9377">
        <v>0</v>
      </c>
      <c r="C9377" s="16" t="s">
        <v>18392</v>
      </c>
      <c r="D9377" s="16"/>
      <c r="E9377">
        <v>6</v>
      </c>
      <c r="F9377" t="s">
        <v>8829</v>
      </c>
      <c r="G9377">
        <v>1</v>
      </c>
      <c r="H9377">
        <v>1</v>
      </c>
      <c r="I9377">
        <f>1</f>
        <v>1</v>
      </c>
    </row>
    <row r="9378" spans="2:9" x14ac:dyDescent="0.25">
      <c r="B9378">
        <v>0</v>
      </c>
      <c r="C9378" s="16" t="s">
        <v>18393</v>
      </c>
      <c r="D9378" s="16"/>
      <c r="E9378">
        <v>6</v>
      </c>
      <c r="F9378" t="e">
        <f>--outros</f>
        <v>#NAME?</v>
      </c>
      <c r="G9378">
        <v>1</v>
      </c>
      <c r="H9378">
        <v>1</v>
      </c>
      <c r="I9378">
        <f>1</f>
        <v>1</v>
      </c>
    </row>
    <row r="9379" spans="2:9" x14ac:dyDescent="0.25">
      <c r="B9379">
        <v>0</v>
      </c>
      <c r="C9379" s="16" t="s">
        <v>18394</v>
      </c>
      <c r="D9379" s="16"/>
      <c r="E9379">
        <v>6</v>
      </c>
      <c r="F9379" t="s">
        <v>8830</v>
      </c>
      <c r="G9379">
        <v>1</v>
      </c>
      <c r="H9379">
        <v>1</v>
      </c>
      <c r="I9379">
        <f>1</f>
        <v>1</v>
      </c>
    </row>
    <row r="9380" spans="2:9" x14ac:dyDescent="0.25">
      <c r="B9380">
        <v>0</v>
      </c>
      <c r="C9380" s="16" t="s">
        <v>18395</v>
      </c>
      <c r="D9380" s="16"/>
      <c r="E9380">
        <v>6</v>
      </c>
      <c r="F9380" t="s">
        <v>8831</v>
      </c>
      <c r="G9380">
        <v>1</v>
      </c>
      <c r="H9380">
        <v>1</v>
      </c>
      <c r="I9380">
        <f>1</f>
        <v>1</v>
      </c>
    </row>
    <row r="9381" spans="2:9" x14ac:dyDescent="0.25">
      <c r="B9381">
        <v>0</v>
      </c>
      <c r="C9381" s="16" t="s">
        <v>18396</v>
      </c>
      <c r="D9381" s="16"/>
      <c r="E9381">
        <v>6</v>
      </c>
      <c r="F9381" t="s">
        <v>8832</v>
      </c>
      <c r="G9381">
        <v>1</v>
      </c>
      <c r="H9381">
        <v>1</v>
      </c>
      <c r="I9381">
        <f>1</f>
        <v>1</v>
      </c>
    </row>
    <row r="9382" spans="2:9" x14ac:dyDescent="0.25">
      <c r="B9382">
        <v>0</v>
      </c>
      <c r="C9382" s="16" t="s">
        <v>18397</v>
      </c>
      <c r="D9382" s="16"/>
      <c r="E9382">
        <v>6</v>
      </c>
      <c r="F9382" t="s">
        <v>4680</v>
      </c>
      <c r="G9382">
        <v>1</v>
      </c>
      <c r="H9382">
        <v>1</v>
      </c>
      <c r="I9382">
        <f>1</f>
        <v>1</v>
      </c>
    </row>
    <row r="9383" spans="2:9" x14ac:dyDescent="0.25">
      <c r="B9383">
        <v>0</v>
      </c>
      <c r="C9383" s="16" t="s">
        <v>18397</v>
      </c>
      <c r="D9383" s="16" t="s">
        <v>19430</v>
      </c>
      <c r="E9383">
        <v>6</v>
      </c>
      <c r="F9383" t="s">
        <v>8833</v>
      </c>
      <c r="G9383">
        <v>1</v>
      </c>
      <c r="H9383">
        <v>1</v>
      </c>
      <c r="I9383">
        <f>1</f>
        <v>1</v>
      </c>
    </row>
    <row r="9384" spans="2:9" x14ac:dyDescent="0.25">
      <c r="B9384">
        <v>0</v>
      </c>
      <c r="C9384" s="16" t="s">
        <v>18397</v>
      </c>
      <c r="D9384" s="16" t="s">
        <v>19431</v>
      </c>
      <c r="E9384">
        <v>6</v>
      </c>
      <c r="F9384" t="s">
        <v>8834</v>
      </c>
      <c r="G9384">
        <v>1</v>
      </c>
      <c r="H9384">
        <v>1</v>
      </c>
      <c r="I9384">
        <f>1</f>
        <v>1</v>
      </c>
    </row>
    <row r="9385" spans="2:9" x14ac:dyDescent="0.25">
      <c r="B9385">
        <v>0</v>
      </c>
      <c r="C9385" s="16" t="s">
        <v>18397</v>
      </c>
      <c r="D9385" s="16" t="s">
        <v>19432</v>
      </c>
      <c r="E9385">
        <v>6</v>
      </c>
      <c r="F9385" t="s">
        <v>8835</v>
      </c>
      <c r="G9385">
        <v>1</v>
      </c>
      <c r="H9385">
        <v>1</v>
      </c>
      <c r="I9385">
        <f>1</f>
        <v>1</v>
      </c>
    </row>
    <row r="9386" spans="2:9" x14ac:dyDescent="0.25">
      <c r="B9386">
        <v>0</v>
      </c>
      <c r="C9386" s="16" t="s">
        <v>18398</v>
      </c>
      <c r="D9386" s="16"/>
      <c r="E9386">
        <v>6</v>
      </c>
      <c r="F9386" t="e">
        <f>--Suportes para Lâmpadas</f>
        <v>#NAME?</v>
      </c>
      <c r="G9386">
        <v>1</v>
      </c>
      <c r="H9386">
        <v>1</v>
      </c>
      <c r="I9386">
        <f>1</f>
        <v>1</v>
      </c>
    </row>
    <row r="9387" spans="2:9" x14ac:dyDescent="0.25">
      <c r="B9387">
        <v>0</v>
      </c>
      <c r="C9387" s="16" t="s">
        <v>18399</v>
      </c>
      <c r="D9387" s="16"/>
      <c r="E9387">
        <v>6</v>
      </c>
      <c r="F9387" t="s">
        <v>8836</v>
      </c>
      <c r="G9387">
        <v>1</v>
      </c>
      <c r="H9387">
        <v>1</v>
      </c>
      <c r="I9387">
        <f>1</f>
        <v>1</v>
      </c>
    </row>
    <row r="9388" spans="2:9" x14ac:dyDescent="0.25">
      <c r="B9388">
        <v>0</v>
      </c>
      <c r="C9388" s="16" t="s">
        <v>18400</v>
      </c>
      <c r="D9388" s="16"/>
      <c r="E9388">
        <v>6</v>
      </c>
      <c r="F9388" t="s">
        <v>4680</v>
      </c>
      <c r="G9388">
        <v>1</v>
      </c>
      <c r="H9388">
        <v>1</v>
      </c>
      <c r="I9388">
        <f>1</f>
        <v>1</v>
      </c>
    </row>
    <row r="9389" spans="2:9" x14ac:dyDescent="0.25">
      <c r="B9389">
        <v>0</v>
      </c>
      <c r="C9389" s="16" t="s">
        <v>18401</v>
      </c>
      <c r="D9389" s="16"/>
      <c r="E9389">
        <v>6</v>
      </c>
      <c r="F9389" t="s">
        <v>8837</v>
      </c>
      <c r="G9389">
        <v>1</v>
      </c>
      <c r="H9389">
        <v>1</v>
      </c>
      <c r="I9389">
        <f>1</f>
        <v>1</v>
      </c>
    </row>
    <row r="9390" spans="2:9" x14ac:dyDescent="0.25">
      <c r="B9390">
        <v>0</v>
      </c>
      <c r="C9390" s="16" t="s">
        <v>18402</v>
      </c>
      <c r="D9390" s="16"/>
      <c r="E9390">
        <v>6</v>
      </c>
      <c r="F9390" t="s">
        <v>8838</v>
      </c>
      <c r="G9390">
        <v>1</v>
      </c>
      <c r="H9390">
        <v>1</v>
      </c>
      <c r="I9390">
        <f>1</f>
        <v>1</v>
      </c>
    </row>
    <row r="9391" spans="2:9" x14ac:dyDescent="0.25">
      <c r="B9391">
        <v>0</v>
      </c>
      <c r="C9391" s="16" t="s">
        <v>18403</v>
      </c>
      <c r="D9391" s="16"/>
      <c r="E9391">
        <v>6</v>
      </c>
      <c r="F9391" t="s">
        <v>8839</v>
      </c>
      <c r="G9391">
        <v>1</v>
      </c>
      <c r="H9391">
        <v>1</v>
      </c>
      <c r="I9391">
        <f>1</f>
        <v>1</v>
      </c>
    </row>
    <row r="9392" spans="2:9" x14ac:dyDescent="0.25">
      <c r="B9392">
        <v>0</v>
      </c>
      <c r="C9392" s="16" t="s">
        <v>18404</v>
      </c>
      <c r="D9392" s="16"/>
      <c r="E9392">
        <v>6</v>
      </c>
      <c r="F9392" t="s">
        <v>8840</v>
      </c>
      <c r="G9392">
        <v>1</v>
      </c>
      <c r="H9392">
        <v>1</v>
      </c>
      <c r="I9392">
        <f>1</f>
        <v>1</v>
      </c>
    </row>
    <row r="9393" spans="2:9" x14ac:dyDescent="0.25">
      <c r="B9393">
        <v>0</v>
      </c>
      <c r="C9393" s="16" t="s">
        <v>18405</v>
      </c>
      <c r="D9393" s="16"/>
      <c r="E9393">
        <v>6</v>
      </c>
      <c r="F9393" t="s">
        <v>8841</v>
      </c>
      <c r="G9393">
        <v>1</v>
      </c>
      <c r="H9393">
        <v>1</v>
      </c>
      <c r="I9393">
        <f>1</f>
        <v>1</v>
      </c>
    </row>
    <row r="9394" spans="2:9" x14ac:dyDescent="0.25">
      <c r="B9394">
        <v>0</v>
      </c>
      <c r="C9394" s="16" t="s">
        <v>18406</v>
      </c>
      <c r="D9394" s="16"/>
      <c r="E9394">
        <v>6</v>
      </c>
      <c r="F9394" t="s">
        <v>8842</v>
      </c>
      <c r="G9394">
        <v>1</v>
      </c>
      <c r="H9394">
        <v>1</v>
      </c>
      <c r="I9394">
        <f>1</f>
        <v>1</v>
      </c>
    </row>
    <row r="9395" spans="2:9" x14ac:dyDescent="0.25">
      <c r="B9395">
        <v>0</v>
      </c>
      <c r="C9395" s="16" t="s">
        <v>18407</v>
      </c>
      <c r="D9395" s="16"/>
      <c r="E9395">
        <v>6</v>
      </c>
      <c r="F9395" t="s">
        <v>4680</v>
      </c>
      <c r="G9395">
        <v>1</v>
      </c>
      <c r="H9395">
        <v>1</v>
      </c>
      <c r="I9395">
        <f>1</f>
        <v>1</v>
      </c>
    </row>
    <row r="9396" spans="2:9" x14ac:dyDescent="0.25">
      <c r="B9396">
        <v>0</v>
      </c>
      <c r="C9396" s="16" t="s">
        <v>18408</v>
      </c>
      <c r="D9396" s="16"/>
      <c r="E9396">
        <v>6</v>
      </c>
      <c r="F9396" t="s">
        <v>8843</v>
      </c>
      <c r="G9396">
        <v>1</v>
      </c>
      <c r="H9396">
        <v>1</v>
      </c>
      <c r="I9396">
        <f>1</f>
        <v>1</v>
      </c>
    </row>
    <row r="9397" spans="2:9" x14ac:dyDescent="0.25">
      <c r="B9397">
        <v>0</v>
      </c>
      <c r="C9397" s="16" t="s">
        <v>18409</v>
      </c>
      <c r="D9397" s="16"/>
      <c r="E9397">
        <v>6</v>
      </c>
      <c r="F9397" t="s">
        <v>4680</v>
      </c>
      <c r="G9397">
        <v>1</v>
      </c>
      <c r="H9397">
        <v>1</v>
      </c>
      <c r="I9397">
        <f>1</f>
        <v>1</v>
      </c>
    </row>
    <row r="9398" spans="2:9" x14ac:dyDescent="0.25">
      <c r="B9398">
        <v>0</v>
      </c>
      <c r="C9398" s="16" t="s">
        <v>18410</v>
      </c>
      <c r="D9398" s="16"/>
      <c r="E9398">
        <v>6</v>
      </c>
      <c r="F9398" t="s">
        <v>8844</v>
      </c>
      <c r="G9398">
        <v>1</v>
      </c>
      <c r="H9398">
        <v>1</v>
      </c>
      <c r="I9398">
        <f>1</f>
        <v>1</v>
      </c>
    </row>
    <row r="9399" spans="2:9" x14ac:dyDescent="0.25">
      <c r="B9399">
        <v>0</v>
      </c>
      <c r="C9399" s="16" t="s">
        <v>18411</v>
      </c>
      <c r="D9399" s="16"/>
      <c r="E9399">
        <v>6</v>
      </c>
      <c r="F9399" t="s">
        <v>8845</v>
      </c>
      <c r="G9399">
        <v>1</v>
      </c>
      <c r="H9399">
        <v>1</v>
      </c>
      <c r="I9399">
        <f>1</f>
        <v>1</v>
      </c>
    </row>
    <row r="9400" spans="2:9" x14ac:dyDescent="0.25">
      <c r="B9400">
        <v>0</v>
      </c>
      <c r="C9400" s="16" t="s">
        <v>18412</v>
      </c>
      <c r="D9400" s="16"/>
      <c r="E9400">
        <v>6</v>
      </c>
      <c r="F9400" t="s">
        <v>4680</v>
      </c>
      <c r="G9400">
        <v>1</v>
      </c>
      <c r="H9400">
        <v>1</v>
      </c>
      <c r="I9400">
        <f>1</f>
        <v>1</v>
      </c>
    </row>
    <row r="9401" spans="2:9" x14ac:dyDescent="0.25">
      <c r="B9401">
        <v>0</v>
      </c>
      <c r="C9401" s="16" t="s">
        <v>18413</v>
      </c>
      <c r="D9401" s="16"/>
      <c r="E9401">
        <v>6</v>
      </c>
      <c r="F9401" t="s">
        <v>8846</v>
      </c>
      <c r="G9401">
        <v>1</v>
      </c>
      <c r="H9401">
        <v>1</v>
      </c>
      <c r="I9401">
        <f>1</f>
        <v>1</v>
      </c>
    </row>
    <row r="9402" spans="2:9" x14ac:dyDescent="0.25">
      <c r="B9402">
        <v>0</v>
      </c>
      <c r="C9402" s="16" t="s">
        <v>18414</v>
      </c>
      <c r="D9402" s="16"/>
      <c r="E9402">
        <v>6</v>
      </c>
      <c r="F9402" t="s">
        <v>4680</v>
      </c>
      <c r="G9402">
        <v>1</v>
      </c>
      <c r="H9402">
        <v>1</v>
      </c>
      <c r="I9402">
        <f>1</f>
        <v>1</v>
      </c>
    </row>
    <row r="9403" spans="2:9" x14ac:dyDescent="0.25">
      <c r="B9403">
        <v>0</v>
      </c>
      <c r="C9403" s="16" t="s">
        <v>18415</v>
      </c>
      <c r="D9403" s="16"/>
      <c r="E9403">
        <v>6</v>
      </c>
      <c r="F9403" t="s">
        <v>8847</v>
      </c>
      <c r="G9403">
        <v>1</v>
      </c>
      <c r="H9403">
        <v>1</v>
      </c>
      <c r="I9403">
        <f>1</f>
        <v>1</v>
      </c>
    </row>
    <row r="9404" spans="2:9" x14ac:dyDescent="0.25">
      <c r="B9404">
        <v>0</v>
      </c>
      <c r="C9404" s="16" t="s">
        <v>18416</v>
      </c>
      <c r="D9404" s="16"/>
      <c r="E9404">
        <v>6</v>
      </c>
      <c r="F9404" t="s">
        <v>8297</v>
      </c>
      <c r="G9404">
        <v>1</v>
      </c>
      <c r="H9404">
        <v>1</v>
      </c>
      <c r="I9404">
        <f>1</f>
        <v>1</v>
      </c>
    </row>
    <row r="9405" spans="2:9" x14ac:dyDescent="0.25">
      <c r="B9405">
        <v>0</v>
      </c>
      <c r="C9405" s="16" t="s">
        <v>18417</v>
      </c>
      <c r="D9405" s="16"/>
      <c r="E9405">
        <v>6</v>
      </c>
      <c r="F9405" t="s">
        <v>8848</v>
      </c>
      <c r="G9405">
        <v>1</v>
      </c>
      <c r="H9405">
        <v>1</v>
      </c>
      <c r="I9405">
        <f>1</f>
        <v>1</v>
      </c>
    </row>
    <row r="9406" spans="2:9" x14ac:dyDescent="0.25">
      <c r="B9406">
        <v>0</v>
      </c>
      <c r="C9406" s="16" t="s">
        <v>18418</v>
      </c>
      <c r="D9406" s="16"/>
      <c r="E9406">
        <v>6</v>
      </c>
      <c r="F9406" t="s">
        <v>4690</v>
      </c>
      <c r="G9406">
        <v>1</v>
      </c>
      <c r="H9406">
        <v>1</v>
      </c>
      <c r="I9406">
        <f>1</f>
        <v>1</v>
      </c>
    </row>
    <row r="9407" spans="2:9" x14ac:dyDescent="0.25">
      <c r="B9407">
        <v>0</v>
      </c>
      <c r="C9407" s="16" t="s">
        <v>18419</v>
      </c>
      <c r="D9407" s="16"/>
      <c r="E9407">
        <v>6</v>
      </c>
      <c r="F9407" t="s">
        <v>8849</v>
      </c>
      <c r="G9407">
        <v>1</v>
      </c>
      <c r="H9407">
        <v>1</v>
      </c>
      <c r="I9407">
        <f>1</f>
        <v>1</v>
      </c>
    </row>
    <row r="9408" spans="2:9" x14ac:dyDescent="0.25">
      <c r="B9408">
        <v>0</v>
      </c>
      <c r="C9408" s="16" t="s">
        <v>18420</v>
      </c>
      <c r="D9408" s="16"/>
      <c r="E9408">
        <v>6</v>
      </c>
      <c r="F9408" t="s">
        <v>4680</v>
      </c>
      <c r="G9408">
        <v>1</v>
      </c>
      <c r="H9408">
        <v>1</v>
      </c>
      <c r="I9408">
        <f>1</f>
        <v>1</v>
      </c>
    </row>
    <row r="9409" spans="2:9" x14ac:dyDescent="0.25">
      <c r="B9409">
        <v>0</v>
      </c>
      <c r="C9409" s="16" t="s">
        <v>18421</v>
      </c>
      <c r="D9409" s="16"/>
      <c r="E9409">
        <v>6</v>
      </c>
      <c r="F9409" t="s">
        <v>8849</v>
      </c>
      <c r="G9409">
        <v>1</v>
      </c>
      <c r="H9409">
        <v>1</v>
      </c>
      <c r="I9409">
        <f>1</f>
        <v>1</v>
      </c>
    </row>
    <row r="9410" spans="2:9" x14ac:dyDescent="0.25">
      <c r="B9410">
        <v>0</v>
      </c>
      <c r="C9410" s="16" t="s">
        <v>18421</v>
      </c>
      <c r="D9410" s="16" t="s">
        <v>19430</v>
      </c>
      <c r="E9410">
        <v>6</v>
      </c>
      <c r="F9410" t="s">
        <v>8850</v>
      </c>
      <c r="G9410">
        <v>1</v>
      </c>
      <c r="H9410">
        <v>1</v>
      </c>
      <c r="I9410">
        <f>1</f>
        <v>1</v>
      </c>
    </row>
    <row r="9411" spans="2:9" x14ac:dyDescent="0.25">
      <c r="B9411">
        <v>0</v>
      </c>
      <c r="C9411" s="16" t="s">
        <v>18422</v>
      </c>
      <c r="D9411" s="16"/>
      <c r="E9411">
        <v>6</v>
      </c>
      <c r="F9411" t="s">
        <v>4680</v>
      </c>
      <c r="G9411">
        <v>1</v>
      </c>
      <c r="H9411">
        <v>1</v>
      </c>
      <c r="I9411">
        <f>1</f>
        <v>1</v>
      </c>
    </row>
    <row r="9412" spans="2:9" x14ac:dyDescent="0.25">
      <c r="B9412">
        <v>0</v>
      </c>
      <c r="C9412" s="16" t="s">
        <v>18422</v>
      </c>
      <c r="D9412" s="16" t="s">
        <v>19430</v>
      </c>
      <c r="E9412">
        <v>6</v>
      </c>
      <c r="F9412" t="s">
        <v>8850</v>
      </c>
      <c r="G9412">
        <v>1</v>
      </c>
      <c r="H9412">
        <v>1</v>
      </c>
      <c r="I9412">
        <f>1</f>
        <v>1</v>
      </c>
    </row>
    <row r="9413" spans="2:9" x14ac:dyDescent="0.25">
      <c r="B9413">
        <v>0</v>
      </c>
      <c r="C9413" s="16" t="s">
        <v>18423</v>
      </c>
      <c r="D9413" s="16"/>
      <c r="E9413">
        <v>6</v>
      </c>
      <c r="F9413" t="s">
        <v>8851</v>
      </c>
      <c r="G9413">
        <v>1</v>
      </c>
      <c r="H9413">
        <v>1</v>
      </c>
      <c r="I9413">
        <f>1</f>
        <v>1</v>
      </c>
    </row>
    <row r="9414" spans="2:9" x14ac:dyDescent="0.25">
      <c r="B9414">
        <v>0</v>
      </c>
      <c r="C9414" s="16" t="s">
        <v>18423</v>
      </c>
      <c r="D9414" s="16" t="s">
        <v>19430</v>
      </c>
      <c r="E9414">
        <v>6</v>
      </c>
      <c r="F9414" t="s">
        <v>8852</v>
      </c>
      <c r="G9414">
        <v>1</v>
      </c>
      <c r="H9414">
        <v>1</v>
      </c>
      <c r="I9414">
        <f>1</f>
        <v>1</v>
      </c>
    </row>
    <row r="9415" spans="2:9" x14ac:dyDescent="0.25">
      <c r="B9415">
        <v>0</v>
      </c>
      <c r="C9415" s="16" t="s">
        <v>18424</v>
      </c>
      <c r="D9415" s="16"/>
      <c r="E9415">
        <v>6</v>
      </c>
      <c r="F9415" t="s">
        <v>8849</v>
      </c>
      <c r="G9415">
        <v>1</v>
      </c>
      <c r="H9415">
        <v>1</v>
      </c>
      <c r="I9415">
        <f>1</f>
        <v>1</v>
      </c>
    </row>
    <row r="9416" spans="2:9" x14ac:dyDescent="0.25">
      <c r="B9416">
        <v>0</v>
      </c>
      <c r="C9416" s="16" t="s">
        <v>18424</v>
      </c>
      <c r="D9416" s="16" t="s">
        <v>19430</v>
      </c>
      <c r="E9416">
        <v>6</v>
      </c>
      <c r="F9416" t="s">
        <v>8853</v>
      </c>
      <c r="G9416">
        <v>1</v>
      </c>
      <c r="H9416">
        <v>1</v>
      </c>
      <c r="I9416">
        <f>1</f>
        <v>1</v>
      </c>
    </row>
    <row r="9417" spans="2:9" x14ac:dyDescent="0.25">
      <c r="B9417">
        <v>0</v>
      </c>
      <c r="C9417" s="16" t="s">
        <v>18425</v>
      </c>
      <c r="D9417" s="16"/>
      <c r="E9417">
        <v>6</v>
      </c>
      <c r="F9417" t="s">
        <v>4680</v>
      </c>
      <c r="G9417">
        <v>1</v>
      </c>
      <c r="H9417">
        <v>1</v>
      </c>
      <c r="I9417">
        <f>1</f>
        <v>1</v>
      </c>
    </row>
    <row r="9418" spans="2:9" x14ac:dyDescent="0.25">
      <c r="B9418">
        <v>0</v>
      </c>
      <c r="C9418" s="16" t="s">
        <v>18425</v>
      </c>
      <c r="D9418" s="16" t="s">
        <v>19430</v>
      </c>
      <c r="E9418">
        <v>6</v>
      </c>
      <c r="F9418" t="s">
        <v>8853</v>
      </c>
      <c r="G9418">
        <v>1</v>
      </c>
      <c r="H9418">
        <v>1</v>
      </c>
      <c r="I9418">
        <f>1</f>
        <v>1</v>
      </c>
    </row>
    <row r="9419" spans="2:9" x14ac:dyDescent="0.25">
      <c r="B9419">
        <v>0</v>
      </c>
      <c r="C9419" s="16" t="s">
        <v>18425</v>
      </c>
      <c r="D9419" s="16" t="s">
        <v>19431</v>
      </c>
      <c r="E9419">
        <v>6</v>
      </c>
      <c r="F9419" t="s">
        <v>8854</v>
      </c>
      <c r="G9419">
        <v>1</v>
      </c>
      <c r="H9419">
        <v>1</v>
      </c>
      <c r="I9419">
        <f>1</f>
        <v>1</v>
      </c>
    </row>
    <row r="9420" spans="2:9" x14ac:dyDescent="0.25">
      <c r="B9420">
        <v>0</v>
      </c>
      <c r="C9420" s="16" t="s">
        <v>18426</v>
      </c>
      <c r="D9420" s="16"/>
      <c r="E9420">
        <v>6</v>
      </c>
      <c r="F9420" t="s">
        <v>8855</v>
      </c>
      <c r="G9420">
        <v>1</v>
      </c>
      <c r="H9420">
        <v>1</v>
      </c>
      <c r="I9420">
        <f>1</f>
        <v>1</v>
      </c>
    </row>
    <row r="9421" spans="2:9" x14ac:dyDescent="0.25">
      <c r="B9421">
        <v>0</v>
      </c>
      <c r="C9421" s="16" t="s">
        <v>18426</v>
      </c>
      <c r="D9421" s="16" t="s">
        <v>19430</v>
      </c>
      <c r="E9421">
        <v>6</v>
      </c>
      <c r="F9421" t="s">
        <v>8856</v>
      </c>
      <c r="G9421">
        <v>1</v>
      </c>
      <c r="H9421">
        <v>1</v>
      </c>
      <c r="I9421">
        <f>1</f>
        <v>1</v>
      </c>
    </row>
    <row r="9422" spans="2:9" x14ac:dyDescent="0.25">
      <c r="B9422">
        <v>0</v>
      </c>
      <c r="C9422" s="16" t="s">
        <v>18427</v>
      </c>
      <c r="D9422" s="16"/>
      <c r="E9422">
        <v>6</v>
      </c>
      <c r="F9422" t="s">
        <v>8857</v>
      </c>
      <c r="G9422">
        <v>1</v>
      </c>
      <c r="H9422">
        <v>1</v>
      </c>
      <c r="I9422">
        <f>1</f>
        <v>1</v>
      </c>
    </row>
    <row r="9423" spans="2:9" x14ac:dyDescent="0.25">
      <c r="B9423">
        <v>0</v>
      </c>
      <c r="C9423" s="16" t="s">
        <v>18427</v>
      </c>
      <c r="D9423" s="16" t="s">
        <v>19430</v>
      </c>
      <c r="E9423">
        <v>6</v>
      </c>
      <c r="F9423" t="s">
        <v>8858</v>
      </c>
      <c r="G9423">
        <v>1</v>
      </c>
      <c r="H9423">
        <v>1</v>
      </c>
      <c r="I9423">
        <f>1</f>
        <v>1</v>
      </c>
    </row>
    <row r="9424" spans="2:9" x14ac:dyDescent="0.25">
      <c r="B9424">
        <v>0</v>
      </c>
      <c r="C9424" s="16" t="s">
        <v>18428</v>
      </c>
      <c r="D9424" s="16"/>
      <c r="E9424">
        <v>6</v>
      </c>
      <c r="F9424" t="e">
        <f>--outros</f>
        <v>#NAME?</v>
      </c>
      <c r="G9424">
        <v>1</v>
      </c>
      <c r="H9424">
        <v>1</v>
      </c>
      <c r="I9424">
        <f>1</f>
        <v>1</v>
      </c>
    </row>
    <row r="9425" spans="2:9" x14ac:dyDescent="0.25">
      <c r="B9425">
        <v>0</v>
      </c>
      <c r="C9425" s="16" t="s">
        <v>18428</v>
      </c>
      <c r="D9425" s="16" t="s">
        <v>19430</v>
      </c>
      <c r="E9425">
        <v>6</v>
      </c>
      <c r="F9425" t="s">
        <v>8859</v>
      </c>
      <c r="G9425">
        <v>1</v>
      </c>
      <c r="H9425">
        <v>1</v>
      </c>
      <c r="I9425">
        <f>1</f>
        <v>1</v>
      </c>
    </row>
    <row r="9426" spans="2:9" x14ac:dyDescent="0.25">
      <c r="B9426">
        <v>0</v>
      </c>
      <c r="C9426" s="16" t="s">
        <v>18429</v>
      </c>
      <c r="D9426" s="16"/>
      <c r="E9426">
        <v>6</v>
      </c>
      <c r="F9426" t="s">
        <v>8860</v>
      </c>
      <c r="G9426">
        <v>1</v>
      </c>
      <c r="H9426">
        <v>1</v>
      </c>
      <c r="I9426">
        <f>1</f>
        <v>1</v>
      </c>
    </row>
    <row r="9427" spans="2:9" x14ac:dyDescent="0.25">
      <c r="B9427">
        <v>0</v>
      </c>
      <c r="C9427" s="16" t="s">
        <v>18430</v>
      </c>
      <c r="D9427" s="16"/>
      <c r="E9427">
        <v>6</v>
      </c>
      <c r="F9427" t="s">
        <v>4690</v>
      </c>
      <c r="G9427">
        <v>1</v>
      </c>
      <c r="H9427">
        <v>1</v>
      </c>
      <c r="I9427">
        <f>1</f>
        <v>1</v>
      </c>
    </row>
    <row r="9428" spans="2:9" x14ac:dyDescent="0.25">
      <c r="B9428">
        <v>0</v>
      </c>
      <c r="C9428" s="16" t="s">
        <v>18431</v>
      </c>
      <c r="D9428" s="16"/>
      <c r="E9428">
        <v>6</v>
      </c>
      <c r="F9428" t="e">
        <f>--outros</f>
        <v>#NAME?</v>
      </c>
      <c r="G9428">
        <v>1</v>
      </c>
      <c r="H9428">
        <v>1</v>
      </c>
      <c r="I9428">
        <f>1</f>
        <v>1</v>
      </c>
    </row>
    <row r="9429" spans="2:9" x14ac:dyDescent="0.25">
      <c r="B9429">
        <v>0</v>
      </c>
      <c r="C9429" s="16" t="s">
        <v>18432</v>
      </c>
      <c r="D9429" s="16"/>
      <c r="E9429">
        <v>6</v>
      </c>
      <c r="F9429" t="s">
        <v>8861</v>
      </c>
      <c r="G9429">
        <v>1</v>
      </c>
      <c r="H9429">
        <v>1</v>
      </c>
      <c r="I9429">
        <f>1</f>
        <v>1</v>
      </c>
    </row>
    <row r="9430" spans="2:9" x14ac:dyDescent="0.25">
      <c r="B9430">
        <v>0</v>
      </c>
      <c r="C9430" s="16" t="s">
        <v>18433</v>
      </c>
      <c r="D9430" s="16"/>
      <c r="E9430">
        <v>6</v>
      </c>
      <c r="F9430" t="s">
        <v>8862</v>
      </c>
      <c r="G9430">
        <v>1</v>
      </c>
      <c r="H9430">
        <v>1</v>
      </c>
      <c r="I9430">
        <f>1</f>
        <v>1</v>
      </c>
    </row>
    <row r="9431" spans="2:9" x14ac:dyDescent="0.25">
      <c r="B9431">
        <v>0</v>
      </c>
      <c r="C9431" s="16" t="s">
        <v>18434</v>
      </c>
      <c r="D9431" s="16"/>
      <c r="E9431">
        <v>6</v>
      </c>
      <c r="F9431" t="s">
        <v>4690</v>
      </c>
      <c r="G9431">
        <v>1</v>
      </c>
      <c r="H9431">
        <v>1</v>
      </c>
      <c r="I9431">
        <f>1</f>
        <v>1</v>
      </c>
    </row>
    <row r="9432" spans="2:9" x14ac:dyDescent="0.25">
      <c r="B9432">
        <v>0</v>
      </c>
      <c r="C9432" s="16" t="s">
        <v>18435</v>
      </c>
      <c r="D9432" s="16"/>
      <c r="E9432">
        <v>6</v>
      </c>
      <c r="F9432" t="e">
        <f>--a Cores  policromo</f>
        <v>#NAME?</v>
      </c>
      <c r="G9432">
        <v>1</v>
      </c>
      <c r="H9432">
        <v>1</v>
      </c>
      <c r="I9432">
        <f>1</f>
        <v>1</v>
      </c>
    </row>
    <row r="9433" spans="2:9" x14ac:dyDescent="0.25">
      <c r="B9433">
        <v>0</v>
      </c>
      <c r="C9433" s="16" t="s">
        <v>18436</v>
      </c>
      <c r="D9433" s="16"/>
      <c r="E9433">
        <v>6</v>
      </c>
      <c r="F9433" t="e">
        <f>--a preto e branco ou outros monocromos</f>
        <v>#NAME?</v>
      </c>
      <c r="G9433">
        <v>1</v>
      </c>
      <c r="H9433">
        <v>1</v>
      </c>
      <c r="I9433">
        <f>1</f>
        <v>1</v>
      </c>
    </row>
    <row r="9434" spans="2:9" x14ac:dyDescent="0.25">
      <c r="B9434">
        <v>0</v>
      </c>
      <c r="C9434" s="16" t="s">
        <v>18437</v>
      </c>
      <c r="D9434" s="16"/>
      <c r="E9434">
        <v>6</v>
      </c>
      <c r="F9434" t="s">
        <v>8863</v>
      </c>
      <c r="G9434">
        <v>1</v>
      </c>
      <c r="H9434">
        <v>1</v>
      </c>
      <c r="I9434">
        <f>1</f>
        <v>1</v>
      </c>
    </row>
    <row r="9435" spans="2:9" x14ac:dyDescent="0.25">
      <c r="B9435">
        <v>0</v>
      </c>
      <c r="C9435" s="16" t="s">
        <v>18438</v>
      </c>
      <c r="D9435" s="16"/>
      <c r="E9435">
        <v>6</v>
      </c>
      <c r="F9435" t="s">
        <v>4680</v>
      </c>
      <c r="G9435">
        <v>1</v>
      </c>
      <c r="H9435">
        <v>1</v>
      </c>
      <c r="I9435">
        <f>1</f>
        <v>1</v>
      </c>
    </row>
    <row r="9436" spans="2:9" x14ac:dyDescent="0.25">
      <c r="B9436">
        <v>0</v>
      </c>
      <c r="C9436" s="16" t="s">
        <v>18439</v>
      </c>
      <c r="D9436" s="16"/>
      <c r="E9436">
        <v>6</v>
      </c>
      <c r="F9436" t="s">
        <v>8864</v>
      </c>
      <c r="G9436">
        <v>1</v>
      </c>
      <c r="H9436">
        <v>1</v>
      </c>
      <c r="I9436">
        <f>1</f>
        <v>1</v>
      </c>
    </row>
    <row r="9437" spans="2:9" x14ac:dyDescent="0.25">
      <c r="B9437">
        <v>0</v>
      </c>
      <c r="C9437" s="16" t="s">
        <v>18440</v>
      </c>
      <c r="D9437" s="16"/>
      <c r="E9437">
        <v>6</v>
      </c>
      <c r="F9437" t="s">
        <v>4680</v>
      </c>
      <c r="G9437">
        <v>1</v>
      </c>
      <c r="H9437">
        <v>1</v>
      </c>
      <c r="I9437">
        <f>1</f>
        <v>1</v>
      </c>
    </row>
    <row r="9438" spans="2:9" x14ac:dyDescent="0.25">
      <c r="B9438">
        <v>0</v>
      </c>
      <c r="C9438" s="16" t="s">
        <v>18441</v>
      </c>
      <c r="D9438" s="16"/>
      <c r="E9438">
        <v>6</v>
      </c>
      <c r="F9438" t="s">
        <v>8865</v>
      </c>
      <c r="G9438">
        <v>1</v>
      </c>
      <c r="H9438">
        <v>1</v>
      </c>
      <c r="I9438">
        <f>1</f>
        <v>1</v>
      </c>
    </row>
    <row r="9439" spans="2:9" x14ac:dyDescent="0.25">
      <c r="B9439">
        <v>0</v>
      </c>
      <c r="C9439" s="16" t="s">
        <v>18442</v>
      </c>
      <c r="D9439" s="16"/>
      <c r="E9439">
        <v>6</v>
      </c>
      <c r="F9439" t="s">
        <v>8866</v>
      </c>
      <c r="G9439">
        <v>1</v>
      </c>
      <c r="H9439">
        <v>1</v>
      </c>
      <c r="I9439">
        <f>1</f>
        <v>1</v>
      </c>
    </row>
    <row r="9440" spans="2:9" x14ac:dyDescent="0.25">
      <c r="B9440">
        <v>0</v>
      </c>
      <c r="C9440" s="16" t="s">
        <v>18443</v>
      </c>
      <c r="D9440" s="16"/>
      <c r="E9440">
        <v>6</v>
      </c>
      <c r="F9440" t="s">
        <v>4680</v>
      </c>
      <c r="G9440">
        <v>1</v>
      </c>
      <c r="H9440">
        <v>1</v>
      </c>
      <c r="I9440">
        <f>1</f>
        <v>1</v>
      </c>
    </row>
    <row r="9441" spans="2:9" x14ac:dyDescent="0.25">
      <c r="B9441">
        <v>0</v>
      </c>
      <c r="C9441" s="16" t="s">
        <v>18444</v>
      </c>
      <c r="D9441" s="16"/>
      <c r="E9441">
        <v>6</v>
      </c>
      <c r="F9441" t="e">
        <f>--Magnétrons</f>
        <v>#NAME?</v>
      </c>
      <c r="G9441">
        <v>1</v>
      </c>
      <c r="H9441">
        <v>1</v>
      </c>
      <c r="I9441">
        <f>1</f>
        <v>1</v>
      </c>
    </row>
    <row r="9442" spans="2:9" x14ac:dyDescent="0.25">
      <c r="B9442">
        <v>0</v>
      </c>
      <c r="C9442" s="16" t="s">
        <v>18445</v>
      </c>
      <c r="D9442" s="16"/>
      <c r="E9442">
        <v>6</v>
      </c>
      <c r="F9442" t="e">
        <f>--outros</f>
        <v>#NAME?</v>
      </c>
      <c r="G9442">
        <v>1</v>
      </c>
      <c r="H9442">
        <v>1</v>
      </c>
      <c r="I9442">
        <f>1</f>
        <v>1</v>
      </c>
    </row>
    <row r="9443" spans="2:9" x14ac:dyDescent="0.25">
      <c r="B9443">
        <v>0</v>
      </c>
      <c r="C9443" s="16" t="s">
        <v>18446</v>
      </c>
      <c r="D9443" s="16"/>
      <c r="E9443">
        <v>6</v>
      </c>
      <c r="F9443" t="e">
        <f>--Tubos De recepção ou De amplificação</f>
        <v>#NAME?</v>
      </c>
      <c r="G9443">
        <v>1</v>
      </c>
      <c r="H9443">
        <v>1</v>
      </c>
      <c r="I9443">
        <f>1</f>
        <v>1</v>
      </c>
    </row>
    <row r="9444" spans="2:9" x14ac:dyDescent="0.25">
      <c r="B9444">
        <v>0</v>
      </c>
      <c r="C9444" s="16" t="s">
        <v>18447</v>
      </c>
      <c r="D9444" s="16"/>
      <c r="E9444">
        <v>6</v>
      </c>
      <c r="F9444" t="s">
        <v>8867</v>
      </c>
      <c r="G9444">
        <v>1</v>
      </c>
      <c r="H9444">
        <v>1</v>
      </c>
      <c r="I9444">
        <f>1</f>
        <v>1</v>
      </c>
    </row>
    <row r="9445" spans="2:9" x14ac:dyDescent="0.25">
      <c r="B9445">
        <v>0</v>
      </c>
      <c r="C9445" s="16" t="s">
        <v>18448</v>
      </c>
      <c r="D9445" s="16"/>
      <c r="E9445">
        <v>6</v>
      </c>
      <c r="F9445" t="s">
        <v>4680</v>
      </c>
      <c r="G9445">
        <v>1</v>
      </c>
      <c r="H9445">
        <v>1</v>
      </c>
      <c r="I9445">
        <f>1</f>
        <v>1</v>
      </c>
    </row>
    <row r="9446" spans="2:9" x14ac:dyDescent="0.25">
      <c r="B9446">
        <v>0</v>
      </c>
      <c r="C9446" s="16" t="s">
        <v>18449</v>
      </c>
      <c r="D9446" s="16"/>
      <c r="E9446">
        <v>6</v>
      </c>
      <c r="F9446" t="s">
        <v>8868</v>
      </c>
      <c r="G9446">
        <v>1</v>
      </c>
      <c r="H9446">
        <v>1</v>
      </c>
      <c r="I9446">
        <f>1</f>
        <v>1</v>
      </c>
    </row>
    <row r="9447" spans="2:9" x14ac:dyDescent="0.25">
      <c r="B9447">
        <v>0</v>
      </c>
      <c r="C9447" s="16" t="s">
        <v>18450</v>
      </c>
      <c r="D9447" s="16"/>
      <c r="E9447">
        <v>6</v>
      </c>
      <c r="F9447" t="s">
        <v>8869</v>
      </c>
      <c r="G9447">
        <v>1</v>
      </c>
      <c r="H9447">
        <v>1</v>
      </c>
      <c r="I9447">
        <f>1</f>
        <v>1</v>
      </c>
    </row>
    <row r="9448" spans="2:9" x14ac:dyDescent="0.25">
      <c r="B9448">
        <v>0</v>
      </c>
      <c r="C9448" s="16" t="s">
        <v>18451</v>
      </c>
      <c r="D9448" s="16"/>
      <c r="E9448">
        <v>6</v>
      </c>
      <c r="F9448" t="s">
        <v>8870</v>
      </c>
      <c r="G9448">
        <v>1</v>
      </c>
      <c r="H9448">
        <v>1</v>
      </c>
      <c r="I9448">
        <f>1</f>
        <v>1</v>
      </c>
    </row>
    <row r="9449" spans="2:9" x14ac:dyDescent="0.25">
      <c r="B9449">
        <v>0</v>
      </c>
      <c r="C9449" s="16" t="s">
        <v>18452</v>
      </c>
      <c r="D9449" s="16"/>
      <c r="E9449">
        <v>6</v>
      </c>
      <c r="F9449" t="s">
        <v>8871</v>
      </c>
      <c r="G9449">
        <v>1</v>
      </c>
      <c r="H9449">
        <v>1</v>
      </c>
      <c r="I9449">
        <f>1</f>
        <v>1</v>
      </c>
    </row>
    <row r="9450" spans="2:9" x14ac:dyDescent="0.25">
      <c r="B9450">
        <v>0</v>
      </c>
      <c r="C9450" s="16" t="s">
        <v>18453</v>
      </c>
      <c r="D9450" s="16"/>
      <c r="E9450">
        <v>6</v>
      </c>
      <c r="F9450" t="s">
        <v>4690</v>
      </c>
      <c r="G9450">
        <v>1</v>
      </c>
      <c r="H9450">
        <v>1</v>
      </c>
      <c r="I9450">
        <f>1</f>
        <v>1</v>
      </c>
    </row>
    <row r="9451" spans="2:9" x14ac:dyDescent="0.25">
      <c r="B9451">
        <v>0</v>
      </c>
      <c r="C9451" s="16" t="s">
        <v>18454</v>
      </c>
      <c r="D9451" s="16"/>
      <c r="E9451">
        <v>6</v>
      </c>
      <c r="F9451" t="e">
        <f>--Outras</f>
        <v>#NAME?</v>
      </c>
      <c r="G9451">
        <v>1</v>
      </c>
      <c r="H9451">
        <v>1</v>
      </c>
      <c r="I9451">
        <f>1</f>
        <v>1</v>
      </c>
    </row>
    <row r="9452" spans="2:9" x14ac:dyDescent="0.25">
      <c r="B9452">
        <v>0</v>
      </c>
      <c r="C9452" s="16" t="s">
        <v>18455</v>
      </c>
      <c r="D9452" s="16"/>
      <c r="E9452">
        <v>6</v>
      </c>
      <c r="F9452" t="s">
        <v>8872</v>
      </c>
      <c r="G9452">
        <v>1</v>
      </c>
      <c r="H9452">
        <v>1</v>
      </c>
      <c r="I9452">
        <f>1</f>
        <v>1</v>
      </c>
    </row>
    <row r="9453" spans="2:9" x14ac:dyDescent="0.25">
      <c r="B9453">
        <v>0</v>
      </c>
      <c r="C9453" s="16" t="s">
        <v>18456</v>
      </c>
      <c r="D9453" s="16"/>
      <c r="E9453">
        <v>6</v>
      </c>
      <c r="F9453" t="s">
        <v>8873</v>
      </c>
      <c r="G9453">
        <v>1</v>
      </c>
      <c r="H9453">
        <v>1</v>
      </c>
      <c r="I9453">
        <f>1</f>
        <v>1</v>
      </c>
    </row>
    <row r="9454" spans="2:9" x14ac:dyDescent="0.25">
      <c r="B9454">
        <v>0</v>
      </c>
      <c r="C9454" s="16" t="s">
        <v>18457</v>
      </c>
      <c r="D9454" s="16"/>
      <c r="E9454">
        <v>6</v>
      </c>
      <c r="F9454" t="s">
        <v>4680</v>
      </c>
      <c r="G9454">
        <v>1</v>
      </c>
      <c r="H9454">
        <v>1</v>
      </c>
      <c r="I9454">
        <f>1</f>
        <v>1</v>
      </c>
    </row>
    <row r="9455" spans="2:9" x14ac:dyDescent="0.25">
      <c r="B9455">
        <v>0</v>
      </c>
      <c r="C9455" s="16" t="s">
        <v>18458</v>
      </c>
      <c r="D9455" s="16"/>
      <c r="E9455">
        <v>6</v>
      </c>
      <c r="F9455" t="s">
        <v>8872</v>
      </c>
      <c r="G9455">
        <v>1</v>
      </c>
      <c r="H9455">
        <v>1</v>
      </c>
      <c r="I9455">
        <f>1</f>
        <v>1</v>
      </c>
    </row>
    <row r="9456" spans="2:9" x14ac:dyDescent="0.25">
      <c r="B9456">
        <v>0</v>
      </c>
      <c r="C9456" s="16" t="s">
        <v>18459</v>
      </c>
      <c r="D9456" s="16"/>
      <c r="E9456">
        <v>6</v>
      </c>
      <c r="F9456" t="s">
        <v>8873</v>
      </c>
      <c r="G9456">
        <v>1</v>
      </c>
      <c r="H9456">
        <v>1</v>
      </c>
      <c r="I9456">
        <f>1</f>
        <v>1</v>
      </c>
    </row>
    <row r="9457" spans="2:9" x14ac:dyDescent="0.25">
      <c r="B9457">
        <v>0</v>
      </c>
      <c r="C9457" s="16" t="s">
        <v>18460</v>
      </c>
      <c r="D9457" s="16"/>
      <c r="E9457">
        <v>6</v>
      </c>
      <c r="F9457" t="s">
        <v>4680</v>
      </c>
      <c r="G9457">
        <v>1</v>
      </c>
      <c r="H9457">
        <v>1</v>
      </c>
      <c r="I9457">
        <f>1</f>
        <v>1</v>
      </c>
    </row>
    <row r="9458" spans="2:9" x14ac:dyDescent="0.25">
      <c r="B9458">
        <v>0</v>
      </c>
      <c r="C9458" s="16" t="s">
        <v>18461</v>
      </c>
      <c r="D9458" s="16"/>
      <c r="E9458">
        <v>6</v>
      </c>
      <c r="F9458" t="s">
        <v>8872</v>
      </c>
      <c r="G9458">
        <v>1</v>
      </c>
      <c r="H9458">
        <v>1</v>
      </c>
      <c r="I9458">
        <f>1</f>
        <v>1</v>
      </c>
    </row>
    <row r="9459" spans="2:9" x14ac:dyDescent="0.25">
      <c r="B9459">
        <v>0</v>
      </c>
      <c r="C9459" s="16" t="s">
        <v>18462</v>
      </c>
      <c r="D9459" s="16"/>
      <c r="E9459">
        <v>6</v>
      </c>
      <c r="F9459" t="s">
        <v>8873</v>
      </c>
      <c r="G9459">
        <v>1</v>
      </c>
      <c r="H9459">
        <v>1</v>
      </c>
      <c r="I9459">
        <f>1</f>
        <v>1</v>
      </c>
    </row>
    <row r="9460" spans="2:9" x14ac:dyDescent="0.25">
      <c r="B9460">
        <v>0</v>
      </c>
      <c r="C9460" s="16" t="s">
        <v>18463</v>
      </c>
      <c r="D9460" s="16"/>
      <c r="E9460">
        <v>6</v>
      </c>
      <c r="F9460" t="s">
        <v>4680</v>
      </c>
      <c r="G9460">
        <v>1</v>
      </c>
      <c r="H9460">
        <v>1</v>
      </c>
      <c r="I9460">
        <f>1</f>
        <v>1</v>
      </c>
    </row>
    <row r="9461" spans="2:9" x14ac:dyDescent="0.25">
      <c r="B9461">
        <v>0</v>
      </c>
      <c r="C9461" s="16" t="s">
        <v>18464</v>
      </c>
      <c r="D9461" s="16"/>
      <c r="E9461">
        <v>6</v>
      </c>
      <c r="F9461" t="s">
        <v>8874</v>
      </c>
      <c r="G9461">
        <v>1</v>
      </c>
      <c r="H9461">
        <v>1</v>
      </c>
      <c r="I9461">
        <f>1</f>
        <v>1</v>
      </c>
    </row>
    <row r="9462" spans="2:9" x14ac:dyDescent="0.25">
      <c r="B9462">
        <v>0</v>
      </c>
      <c r="C9462" s="16" t="s">
        <v>18465</v>
      </c>
      <c r="D9462" s="16"/>
      <c r="E9462">
        <v>6</v>
      </c>
      <c r="F9462" t="s">
        <v>8875</v>
      </c>
      <c r="G9462">
        <v>1</v>
      </c>
      <c r="H9462">
        <v>1</v>
      </c>
      <c r="I9462">
        <f>1</f>
        <v>1</v>
      </c>
    </row>
    <row r="9463" spans="2:9" x14ac:dyDescent="0.25">
      <c r="B9463">
        <v>0</v>
      </c>
      <c r="C9463" s="16" t="s">
        <v>18466</v>
      </c>
      <c r="D9463" s="16"/>
      <c r="E9463">
        <v>6</v>
      </c>
      <c r="F9463" t="s">
        <v>8876</v>
      </c>
      <c r="G9463">
        <v>1</v>
      </c>
      <c r="H9463">
        <v>1</v>
      </c>
      <c r="I9463">
        <f>1</f>
        <v>1</v>
      </c>
    </row>
    <row r="9464" spans="2:9" x14ac:dyDescent="0.25">
      <c r="B9464">
        <v>0</v>
      </c>
      <c r="C9464" s="16" t="s">
        <v>18467</v>
      </c>
      <c r="D9464" s="16"/>
      <c r="E9464">
        <v>6</v>
      </c>
      <c r="F9464" t="s">
        <v>4680</v>
      </c>
      <c r="G9464">
        <v>1</v>
      </c>
      <c r="H9464">
        <v>1</v>
      </c>
      <c r="I9464">
        <f>1</f>
        <v>1</v>
      </c>
    </row>
    <row r="9465" spans="2:9" x14ac:dyDescent="0.25">
      <c r="B9465">
        <v>0</v>
      </c>
      <c r="C9465" s="16" t="s">
        <v>18468</v>
      </c>
      <c r="D9465" s="16"/>
      <c r="E9465">
        <v>6</v>
      </c>
      <c r="F9465" t="s">
        <v>8874</v>
      </c>
      <c r="G9465">
        <v>1</v>
      </c>
      <c r="H9465">
        <v>1</v>
      </c>
      <c r="I9465">
        <f>1</f>
        <v>1</v>
      </c>
    </row>
    <row r="9466" spans="2:9" x14ac:dyDescent="0.25">
      <c r="B9466">
        <v>0</v>
      </c>
      <c r="C9466" s="16" t="s">
        <v>18469</v>
      </c>
      <c r="D9466" s="16"/>
      <c r="E9466">
        <v>6</v>
      </c>
      <c r="F9466" t="s">
        <v>8877</v>
      </c>
      <c r="G9466">
        <v>1</v>
      </c>
      <c r="H9466">
        <v>1</v>
      </c>
      <c r="I9466">
        <f>1</f>
        <v>1</v>
      </c>
    </row>
    <row r="9467" spans="2:9" x14ac:dyDescent="0.25">
      <c r="B9467">
        <v>0</v>
      </c>
      <c r="C9467" s="16" t="s">
        <v>18470</v>
      </c>
      <c r="D9467" s="16"/>
      <c r="E9467">
        <v>6</v>
      </c>
      <c r="F9467" t="s">
        <v>8878</v>
      </c>
      <c r="G9467">
        <v>1</v>
      </c>
      <c r="H9467">
        <v>1</v>
      </c>
      <c r="I9467">
        <f>1</f>
        <v>1</v>
      </c>
    </row>
    <row r="9468" spans="2:9" x14ac:dyDescent="0.25">
      <c r="B9468">
        <v>0</v>
      </c>
      <c r="C9468" s="16" t="s">
        <v>18471</v>
      </c>
      <c r="D9468" s="16"/>
      <c r="E9468">
        <v>6</v>
      </c>
      <c r="F9468" t="s">
        <v>4680</v>
      </c>
      <c r="G9468">
        <v>1</v>
      </c>
      <c r="H9468">
        <v>1</v>
      </c>
      <c r="I9468">
        <f>1</f>
        <v>1</v>
      </c>
    </row>
    <row r="9469" spans="2:9" x14ac:dyDescent="0.25">
      <c r="B9469">
        <v>0</v>
      </c>
      <c r="C9469" s="16" t="s">
        <v>18472</v>
      </c>
      <c r="D9469" s="16"/>
      <c r="E9469">
        <v>6</v>
      </c>
      <c r="F9469" t="s">
        <v>8878</v>
      </c>
      <c r="G9469">
        <v>1</v>
      </c>
      <c r="H9469">
        <v>1</v>
      </c>
      <c r="I9469">
        <f>1</f>
        <v>1</v>
      </c>
    </row>
    <row r="9470" spans="2:9" x14ac:dyDescent="0.25">
      <c r="B9470">
        <v>0</v>
      </c>
      <c r="C9470" s="16" t="s">
        <v>18473</v>
      </c>
      <c r="D9470" s="16"/>
      <c r="E9470">
        <v>6</v>
      </c>
      <c r="F9470" t="s">
        <v>4680</v>
      </c>
      <c r="G9470">
        <v>1</v>
      </c>
      <c r="H9470">
        <v>1</v>
      </c>
      <c r="I9470">
        <f>1</f>
        <v>1</v>
      </c>
    </row>
    <row r="9471" spans="2:9" x14ac:dyDescent="0.25">
      <c r="B9471">
        <v>0</v>
      </c>
      <c r="C9471" s="16" t="s">
        <v>18474</v>
      </c>
      <c r="D9471" s="16"/>
      <c r="E9471">
        <v>6</v>
      </c>
      <c r="F9471" t="s">
        <v>8879</v>
      </c>
      <c r="G9471">
        <v>1</v>
      </c>
      <c r="H9471">
        <v>1</v>
      </c>
      <c r="I9471">
        <f>1</f>
        <v>1</v>
      </c>
    </row>
    <row r="9472" spans="2:9" x14ac:dyDescent="0.25">
      <c r="B9472">
        <v>0</v>
      </c>
      <c r="C9472" s="16" t="s">
        <v>18475</v>
      </c>
      <c r="D9472" s="16"/>
      <c r="E9472">
        <v>6</v>
      </c>
      <c r="F9472" t="s">
        <v>8880</v>
      </c>
      <c r="G9472">
        <v>1</v>
      </c>
      <c r="H9472">
        <v>1</v>
      </c>
      <c r="I9472">
        <f>1</f>
        <v>1</v>
      </c>
    </row>
    <row r="9473" spans="2:9" x14ac:dyDescent="0.25">
      <c r="B9473">
        <v>0</v>
      </c>
      <c r="C9473" s="16" t="s">
        <v>18476</v>
      </c>
      <c r="D9473" s="16"/>
      <c r="E9473">
        <v>6</v>
      </c>
      <c r="F9473" t="s">
        <v>8881</v>
      </c>
      <c r="G9473">
        <v>1</v>
      </c>
      <c r="H9473">
        <v>1</v>
      </c>
      <c r="I9473">
        <f>1</f>
        <v>1</v>
      </c>
    </row>
    <row r="9474" spans="2:9" x14ac:dyDescent="0.25">
      <c r="B9474">
        <v>0</v>
      </c>
      <c r="C9474" s="16" t="s">
        <v>18477</v>
      </c>
      <c r="D9474" s="16"/>
      <c r="E9474">
        <v>6</v>
      </c>
      <c r="F9474" t="s">
        <v>8882</v>
      </c>
      <c r="G9474">
        <v>1</v>
      </c>
      <c r="H9474">
        <v>1</v>
      </c>
      <c r="I9474">
        <f>1</f>
        <v>1</v>
      </c>
    </row>
    <row r="9475" spans="2:9" x14ac:dyDescent="0.25">
      <c r="B9475">
        <v>0</v>
      </c>
      <c r="C9475" s="16" t="s">
        <v>18478</v>
      </c>
      <c r="D9475" s="16"/>
      <c r="E9475">
        <v>6</v>
      </c>
      <c r="F9475" t="s">
        <v>8883</v>
      </c>
      <c r="G9475">
        <v>1</v>
      </c>
      <c r="H9475">
        <v>1</v>
      </c>
      <c r="I9475">
        <f>1</f>
        <v>1</v>
      </c>
    </row>
    <row r="9476" spans="2:9" x14ac:dyDescent="0.25">
      <c r="B9476">
        <v>0</v>
      </c>
      <c r="C9476" s="16" t="s">
        <v>18479</v>
      </c>
      <c r="D9476" s="16"/>
      <c r="E9476">
        <v>6</v>
      </c>
      <c r="F9476" t="s">
        <v>8884</v>
      </c>
      <c r="G9476">
        <v>1</v>
      </c>
      <c r="H9476">
        <v>1</v>
      </c>
      <c r="I9476">
        <f>1</f>
        <v>1</v>
      </c>
    </row>
    <row r="9477" spans="2:9" x14ac:dyDescent="0.25">
      <c r="B9477">
        <v>0</v>
      </c>
      <c r="C9477" s="16" t="s">
        <v>18480</v>
      </c>
      <c r="D9477" s="16"/>
      <c r="E9477">
        <v>6</v>
      </c>
      <c r="F9477" t="s">
        <v>4680</v>
      </c>
      <c r="G9477">
        <v>1</v>
      </c>
      <c r="H9477">
        <v>1</v>
      </c>
      <c r="I9477">
        <f>1</f>
        <v>1</v>
      </c>
    </row>
    <row r="9478" spans="2:9" x14ac:dyDescent="0.25">
      <c r="B9478">
        <v>0</v>
      </c>
      <c r="C9478" s="16" t="s">
        <v>18481</v>
      </c>
      <c r="D9478" s="16"/>
      <c r="E9478">
        <v>6</v>
      </c>
      <c r="F9478" t="s">
        <v>8885</v>
      </c>
      <c r="G9478">
        <v>1</v>
      </c>
      <c r="H9478">
        <v>1</v>
      </c>
      <c r="I9478">
        <f>1</f>
        <v>1</v>
      </c>
    </row>
    <row r="9479" spans="2:9" x14ac:dyDescent="0.25">
      <c r="B9479">
        <v>0</v>
      </c>
      <c r="C9479" s="16" t="s">
        <v>18482</v>
      </c>
      <c r="D9479" s="16"/>
      <c r="E9479">
        <v>6</v>
      </c>
      <c r="F9479" t="s">
        <v>8886</v>
      </c>
      <c r="G9479">
        <v>1</v>
      </c>
      <c r="H9479">
        <v>1</v>
      </c>
      <c r="I9479">
        <f>1</f>
        <v>1</v>
      </c>
    </row>
    <row r="9480" spans="2:9" x14ac:dyDescent="0.25">
      <c r="B9480">
        <v>0</v>
      </c>
      <c r="C9480" s="16" t="s">
        <v>18483</v>
      </c>
      <c r="D9480" s="16"/>
      <c r="E9480">
        <v>6</v>
      </c>
      <c r="F9480" t="s">
        <v>8887</v>
      </c>
      <c r="G9480">
        <v>1</v>
      </c>
      <c r="H9480">
        <v>1</v>
      </c>
      <c r="I9480">
        <f>1</f>
        <v>1</v>
      </c>
    </row>
    <row r="9481" spans="2:9" x14ac:dyDescent="0.25">
      <c r="B9481">
        <v>0</v>
      </c>
      <c r="C9481" s="16" t="s">
        <v>18484</v>
      </c>
      <c r="D9481" s="16"/>
      <c r="E9481">
        <v>6</v>
      </c>
      <c r="F9481" t="s">
        <v>8888</v>
      </c>
      <c r="G9481">
        <v>1</v>
      </c>
      <c r="H9481">
        <v>1</v>
      </c>
      <c r="I9481">
        <f>1</f>
        <v>1</v>
      </c>
    </row>
    <row r="9482" spans="2:9" x14ac:dyDescent="0.25">
      <c r="B9482">
        <v>0</v>
      </c>
      <c r="C9482" s="16" t="s">
        <v>18485</v>
      </c>
      <c r="D9482" s="16"/>
      <c r="E9482">
        <v>6</v>
      </c>
      <c r="F9482" t="s">
        <v>8889</v>
      </c>
      <c r="G9482">
        <v>1</v>
      </c>
      <c r="H9482">
        <v>1</v>
      </c>
      <c r="I9482">
        <f>1</f>
        <v>1</v>
      </c>
    </row>
    <row r="9483" spans="2:9" x14ac:dyDescent="0.25">
      <c r="B9483">
        <v>0</v>
      </c>
      <c r="C9483" s="16" t="s">
        <v>18486</v>
      </c>
      <c r="D9483" s="16"/>
      <c r="E9483">
        <v>6</v>
      </c>
      <c r="F9483" t="s">
        <v>8890</v>
      </c>
      <c r="G9483">
        <v>1</v>
      </c>
      <c r="H9483">
        <v>1</v>
      </c>
      <c r="I9483">
        <f>1</f>
        <v>1</v>
      </c>
    </row>
    <row r="9484" spans="2:9" x14ac:dyDescent="0.25">
      <c r="B9484">
        <v>0</v>
      </c>
      <c r="C9484" s="16" t="s">
        <v>18487</v>
      </c>
      <c r="D9484" s="16"/>
      <c r="E9484">
        <v>6</v>
      </c>
      <c r="F9484" t="s">
        <v>8891</v>
      </c>
      <c r="G9484">
        <v>1</v>
      </c>
      <c r="H9484">
        <v>1</v>
      </c>
      <c r="I9484">
        <f>1</f>
        <v>1</v>
      </c>
    </row>
    <row r="9485" spans="2:9" x14ac:dyDescent="0.25">
      <c r="B9485">
        <v>0</v>
      </c>
      <c r="C9485" s="16" t="s">
        <v>18488</v>
      </c>
      <c r="D9485" s="16"/>
      <c r="E9485">
        <v>6</v>
      </c>
      <c r="F9485" t="s">
        <v>4680</v>
      </c>
      <c r="G9485">
        <v>1</v>
      </c>
      <c r="H9485">
        <v>1</v>
      </c>
      <c r="I9485">
        <f>1</f>
        <v>1</v>
      </c>
    </row>
    <row r="9486" spans="2:9" x14ac:dyDescent="0.25">
      <c r="B9486">
        <v>0</v>
      </c>
      <c r="C9486" s="16" t="s">
        <v>18489</v>
      </c>
      <c r="D9486" s="16"/>
      <c r="E9486">
        <v>6</v>
      </c>
      <c r="F9486" t="s">
        <v>8881</v>
      </c>
      <c r="G9486">
        <v>1</v>
      </c>
      <c r="H9486">
        <v>1</v>
      </c>
      <c r="I9486">
        <f>1</f>
        <v>1</v>
      </c>
    </row>
    <row r="9487" spans="2:9" x14ac:dyDescent="0.25">
      <c r="B9487">
        <v>0</v>
      </c>
      <c r="C9487" s="16" t="s">
        <v>18490</v>
      </c>
      <c r="D9487" s="16"/>
      <c r="E9487">
        <v>6</v>
      </c>
      <c r="F9487" t="s">
        <v>8884</v>
      </c>
      <c r="G9487">
        <v>1</v>
      </c>
      <c r="H9487">
        <v>1</v>
      </c>
      <c r="I9487">
        <f>1</f>
        <v>1</v>
      </c>
    </row>
    <row r="9488" spans="2:9" x14ac:dyDescent="0.25">
      <c r="B9488">
        <v>0</v>
      </c>
      <c r="C9488" s="16" t="s">
        <v>18491</v>
      </c>
      <c r="D9488" s="16"/>
      <c r="E9488">
        <v>6</v>
      </c>
      <c r="F9488" t="s">
        <v>4690</v>
      </c>
      <c r="G9488">
        <v>1</v>
      </c>
      <c r="H9488">
        <v>1</v>
      </c>
      <c r="I9488">
        <f>1</f>
        <v>1</v>
      </c>
    </row>
    <row r="9489" spans="2:9" x14ac:dyDescent="0.25">
      <c r="B9489">
        <v>0</v>
      </c>
      <c r="C9489" s="16" t="s">
        <v>18492</v>
      </c>
      <c r="D9489" s="16"/>
      <c r="E9489">
        <v>6</v>
      </c>
      <c r="F9489" t="s">
        <v>8874</v>
      </c>
      <c r="G9489">
        <v>1</v>
      </c>
      <c r="H9489">
        <v>1</v>
      </c>
      <c r="I9489">
        <f>1</f>
        <v>1</v>
      </c>
    </row>
    <row r="9490" spans="2:9" x14ac:dyDescent="0.25">
      <c r="B9490">
        <v>0</v>
      </c>
      <c r="C9490" s="16" t="s">
        <v>18493</v>
      </c>
      <c r="D9490" s="16"/>
      <c r="E9490">
        <v>6</v>
      </c>
      <c r="F9490" t="s">
        <v>8877</v>
      </c>
      <c r="G9490">
        <v>1</v>
      </c>
      <c r="H9490">
        <v>1</v>
      </c>
      <c r="I9490">
        <f>1</f>
        <v>1</v>
      </c>
    </row>
    <row r="9491" spans="2:9" x14ac:dyDescent="0.25">
      <c r="B9491">
        <v>0</v>
      </c>
      <c r="C9491" s="16" t="s">
        <v>18494</v>
      </c>
      <c r="D9491" s="16"/>
      <c r="E9491">
        <v>6</v>
      </c>
      <c r="F9491" t="s">
        <v>8892</v>
      </c>
      <c r="G9491">
        <v>1</v>
      </c>
      <c r="H9491">
        <v>1</v>
      </c>
      <c r="I9491">
        <f>1</f>
        <v>1</v>
      </c>
    </row>
    <row r="9492" spans="2:9" x14ac:dyDescent="0.25">
      <c r="B9492">
        <v>0</v>
      </c>
      <c r="C9492" s="16" t="s">
        <v>18495</v>
      </c>
      <c r="D9492" s="16"/>
      <c r="E9492">
        <v>6</v>
      </c>
      <c r="F9492" t="s">
        <v>4680</v>
      </c>
      <c r="G9492">
        <v>1</v>
      </c>
      <c r="H9492">
        <v>1</v>
      </c>
      <c r="I9492">
        <f>1</f>
        <v>1</v>
      </c>
    </row>
    <row r="9493" spans="2:9" x14ac:dyDescent="0.25">
      <c r="B9493">
        <v>0</v>
      </c>
      <c r="C9493" s="16" t="s">
        <v>18496</v>
      </c>
      <c r="D9493" s="16"/>
      <c r="E9493">
        <v>6</v>
      </c>
      <c r="F9493" t="s">
        <v>8893</v>
      </c>
      <c r="G9493">
        <v>1</v>
      </c>
      <c r="H9493">
        <v>1</v>
      </c>
      <c r="I9493">
        <f>1</f>
        <v>1</v>
      </c>
    </row>
    <row r="9494" spans="2:9" x14ac:dyDescent="0.25">
      <c r="B9494">
        <v>0</v>
      </c>
      <c r="C9494" s="16" t="s">
        <v>18497</v>
      </c>
      <c r="D9494" s="16"/>
      <c r="E9494">
        <v>6</v>
      </c>
      <c r="F9494" t="s">
        <v>8894</v>
      </c>
      <c r="G9494">
        <v>1</v>
      </c>
      <c r="H9494">
        <v>1</v>
      </c>
      <c r="I9494">
        <f>1</f>
        <v>1</v>
      </c>
    </row>
    <row r="9495" spans="2:9" x14ac:dyDescent="0.25">
      <c r="B9495">
        <v>0</v>
      </c>
      <c r="C9495" s="16" t="s">
        <v>18498</v>
      </c>
      <c r="D9495" s="16"/>
      <c r="E9495">
        <v>6</v>
      </c>
      <c r="F9495" t="s">
        <v>4690</v>
      </c>
      <c r="G9495">
        <v>1</v>
      </c>
      <c r="H9495">
        <v>1</v>
      </c>
      <c r="I9495">
        <f>1</f>
        <v>1</v>
      </c>
    </row>
    <row r="9496" spans="2:9" x14ac:dyDescent="0.25">
      <c r="B9496">
        <v>0</v>
      </c>
      <c r="C9496" s="16" t="s">
        <v>18499</v>
      </c>
      <c r="D9496" s="16"/>
      <c r="E9496">
        <v>6</v>
      </c>
      <c r="F9496" t="s">
        <v>8874</v>
      </c>
      <c r="G9496">
        <v>1</v>
      </c>
      <c r="H9496">
        <v>1</v>
      </c>
      <c r="I9496">
        <f>1</f>
        <v>1</v>
      </c>
    </row>
    <row r="9497" spans="2:9" x14ac:dyDescent="0.25">
      <c r="B9497">
        <v>0</v>
      </c>
      <c r="C9497" s="16" t="s">
        <v>18499</v>
      </c>
      <c r="D9497" s="16" t="s">
        <v>19430</v>
      </c>
      <c r="E9497">
        <v>6</v>
      </c>
      <c r="F9497" t="s">
        <v>8895</v>
      </c>
      <c r="G9497">
        <v>1</v>
      </c>
      <c r="H9497">
        <v>1</v>
      </c>
      <c r="I9497">
        <f>1</f>
        <v>1</v>
      </c>
    </row>
    <row r="9498" spans="2:9" x14ac:dyDescent="0.25">
      <c r="B9498">
        <v>0</v>
      </c>
      <c r="C9498" s="16" t="s">
        <v>18500</v>
      </c>
      <c r="D9498" s="16"/>
      <c r="E9498">
        <v>6</v>
      </c>
      <c r="F9498" t="s">
        <v>8875</v>
      </c>
      <c r="G9498">
        <v>1</v>
      </c>
      <c r="H9498">
        <v>1</v>
      </c>
      <c r="I9498">
        <f>1</f>
        <v>1</v>
      </c>
    </row>
    <row r="9499" spans="2:9" x14ac:dyDescent="0.25">
      <c r="B9499">
        <v>0</v>
      </c>
      <c r="C9499" s="16" t="s">
        <v>18501</v>
      </c>
      <c r="D9499" s="16"/>
      <c r="E9499">
        <v>6</v>
      </c>
      <c r="F9499" t="s">
        <v>4680</v>
      </c>
      <c r="G9499">
        <v>1</v>
      </c>
      <c r="H9499">
        <v>1</v>
      </c>
      <c r="I9499">
        <f>1</f>
        <v>1</v>
      </c>
    </row>
    <row r="9500" spans="2:9" x14ac:dyDescent="0.25">
      <c r="B9500">
        <v>0</v>
      </c>
      <c r="C9500" s="16" t="s">
        <v>18502</v>
      </c>
      <c r="D9500" s="16"/>
      <c r="E9500">
        <v>6</v>
      </c>
      <c r="F9500" t="s">
        <v>8896</v>
      </c>
      <c r="G9500">
        <v>1</v>
      </c>
      <c r="H9500">
        <v>1</v>
      </c>
      <c r="I9500">
        <f>1</f>
        <v>1</v>
      </c>
    </row>
    <row r="9501" spans="2:9" x14ac:dyDescent="0.25">
      <c r="B9501">
        <v>0</v>
      </c>
      <c r="C9501" s="16" t="s">
        <v>18502</v>
      </c>
      <c r="D9501" s="16" t="s">
        <v>19430</v>
      </c>
      <c r="E9501">
        <v>6</v>
      </c>
      <c r="F9501" t="s">
        <v>8895</v>
      </c>
      <c r="G9501">
        <v>1</v>
      </c>
      <c r="H9501">
        <v>1</v>
      </c>
      <c r="I9501">
        <f>1</f>
        <v>1</v>
      </c>
    </row>
    <row r="9502" spans="2:9" x14ac:dyDescent="0.25">
      <c r="B9502">
        <v>0</v>
      </c>
      <c r="C9502" s="16" t="s">
        <v>18503</v>
      </c>
      <c r="D9502" s="16"/>
      <c r="E9502">
        <v>6</v>
      </c>
      <c r="F9502" t="s">
        <v>8897</v>
      </c>
      <c r="G9502">
        <v>1</v>
      </c>
      <c r="H9502">
        <v>1</v>
      </c>
      <c r="I9502">
        <f>1</f>
        <v>1</v>
      </c>
    </row>
    <row r="9503" spans="2:9" x14ac:dyDescent="0.25">
      <c r="B9503">
        <v>0</v>
      </c>
      <c r="C9503" s="16" t="s">
        <v>18504</v>
      </c>
      <c r="D9503" s="16"/>
      <c r="E9503">
        <v>6</v>
      </c>
      <c r="F9503" t="s">
        <v>4690</v>
      </c>
      <c r="G9503">
        <v>1</v>
      </c>
      <c r="H9503">
        <v>1</v>
      </c>
      <c r="I9503">
        <f>1</f>
        <v>1</v>
      </c>
    </row>
    <row r="9504" spans="2:9" x14ac:dyDescent="0.25">
      <c r="B9504">
        <v>0</v>
      </c>
      <c r="C9504" s="16" t="s">
        <v>18505</v>
      </c>
      <c r="D9504" s="16"/>
      <c r="E9504">
        <v>6</v>
      </c>
      <c r="F9504" t="s">
        <v>8897</v>
      </c>
      <c r="G9504">
        <v>1</v>
      </c>
      <c r="H9504">
        <v>1</v>
      </c>
      <c r="I9504">
        <f>1</f>
        <v>1</v>
      </c>
    </row>
    <row r="9505" spans="2:9" x14ac:dyDescent="0.25">
      <c r="B9505">
        <v>0</v>
      </c>
      <c r="C9505" s="16" t="s">
        <v>18506</v>
      </c>
      <c r="D9505" s="16"/>
      <c r="E9505">
        <v>6</v>
      </c>
      <c r="F9505" t="s">
        <v>4690</v>
      </c>
      <c r="G9505">
        <v>1</v>
      </c>
      <c r="H9505">
        <v>1</v>
      </c>
      <c r="I9505">
        <f>1</f>
        <v>1</v>
      </c>
    </row>
    <row r="9506" spans="2:9" x14ac:dyDescent="0.25">
      <c r="B9506">
        <v>0</v>
      </c>
      <c r="C9506" s="16" t="s">
        <v>18506</v>
      </c>
      <c r="D9506" s="16" t="s">
        <v>19430</v>
      </c>
      <c r="E9506">
        <v>6</v>
      </c>
      <c r="F9506" t="s">
        <v>8898</v>
      </c>
      <c r="G9506">
        <v>1</v>
      </c>
      <c r="H9506">
        <v>1</v>
      </c>
      <c r="I9506">
        <f>1</f>
        <v>1</v>
      </c>
    </row>
    <row r="9507" spans="2:9" x14ac:dyDescent="0.25">
      <c r="B9507">
        <v>0</v>
      </c>
      <c r="C9507" s="16" t="s">
        <v>18507</v>
      </c>
      <c r="D9507" s="16"/>
      <c r="E9507">
        <v>6</v>
      </c>
      <c r="F9507" t="s">
        <v>8899</v>
      </c>
      <c r="G9507">
        <v>1</v>
      </c>
      <c r="H9507">
        <v>1</v>
      </c>
      <c r="I9507">
        <f>1</f>
        <v>1</v>
      </c>
    </row>
    <row r="9508" spans="2:9" x14ac:dyDescent="0.25">
      <c r="B9508">
        <v>0</v>
      </c>
      <c r="C9508" s="16" t="s">
        <v>18508</v>
      </c>
      <c r="D9508" s="16"/>
      <c r="E9508">
        <v>6</v>
      </c>
      <c r="F9508" t="s">
        <v>4680</v>
      </c>
      <c r="G9508">
        <v>1</v>
      </c>
      <c r="H9508">
        <v>1</v>
      </c>
      <c r="I9508">
        <f>1</f>
        <v>1</v>
      </c>
    </row>
    <row r="9509" spans="2:9" x14ac:dyDescent="0.25">
      <c r="B9509">
        <v>0</v>
      </c>
      <c r="C9509" s="16" t="s">
        <v>18509</v>
      </c>
      <c r="D9509" s="16"/>
      <c r="E9509">
        <v>6</v>
      </c>
      <c r="F9509" t="s">
        <v>8900</v>
      </c>
      <c r="G9509">
        <v>1</v>
      </c>
      <c r="H9509">
        <v>1</v>
      </c>
      <c r="I9509">
        <f>1</f>
        <v>1</v>
      </c>
    </row>
    <row r="9510" spans="2:9" x14ac:dyDescent="0.25">
      <c r="B9510">
        <v>0</v>
      </c>
      <c r="C9510" s="16" t="s">
        <v>18510</v>
      </c>
      <c r="D9510" s="16"/>
      <c r="E9510">
        <v>6</v>
      </c>
      <c r="F9510" t="s">
        <v>4680</v>
      </c>
      <c r="G9510">
        <v>1</v>
      </c>
      <c r="H9510">
        <v>1</v>
      </c>
      <c r="I9510">
        <f>1</f>
        <v>1</v>
      </c>
    </row>
    <row r="9511" spans="2:9" x14ac:dyDescent="0.25">
      <c r="B9511">
        <v>0</v>
      </c>
      <c r="C9511" s="16" t="s">
        <v>18511</v>
      </c>
      <c r="D9511" s="16"/>
      <c r="E9511">
        <v>6</v>
      </c>
      <c r="F9511" t="s">
        <v>8899</v>
      </c>
      <c r="G9511">
        <v>1</v>
      </c>
      <c r="H9511">
        <v>1</v>
      </c>
      <c r="I9511">
        <f>1</f>
        <v>1</v>
      </c>
    </row>
    <row r="9512" spans="2:9" x14ac:dyDescent="0.25">
      <c r="B9512">
        <v>0</v>
      </c>
      <c r="C9512" s="16" t="s">
        <v>18512</v>
      </c>
      <c r="D9512" s="16"/>
      <c r="E9512">
        <v>6</v>
      </c>
      <c r="F9512" t="s">
        <v>4680</v>
      </c>
      <c r="G9512">
        <v>1</v>
      </c>
      <c r="H9512">
        <v>1</v>
      </c>
      <c r="I9512">
        <f>1</f>
        <v>1</v>
      </c>
    </row>
    <row r="9513" spans="2:9" x14ac:dyDescent="0.25">
      <c r="B9513">
        <v>0</v>
      </c>
      <c r="C9513" s="16" t="s">
        <v>18513</v>
      </c>
      <c r="D9513" s="16"/>
      <c r="E9513">
        <v>6</v>
      </c>
      <c r="F9513" t="s">
        <v>8900</v>
      </c>
      <c r="G9513">
        <v>1</v>
      </c>
      <c r="H9513">
        <v>1</v>
      </c>
      <c r="I9513">
        <f>1</f>
        <v>1</v>
      </c>
    </row>
    <row r="9514" spans="2:9" x14ac:dyDescent="0.25">
      <c r="B9514">
        <v>0</v>
      </c>
      <c r="C9514" s="16" t="s">
        <v>18513</v>
      </c>
      <c r="D9514" s="16" t="s">
        <v>19430</v>
      </c>
      <c r="E9514">
        <v>6</v>
      </c>
      <c r="F9514" t="s">
        <v>8895</v>
      </c>
      <c r="G9514">
        <v>1</v>
      </c>
      <c r="H9514">
        <v>1</v>
      </c>
      <c r="I9514">
        <f>1</f>
        <v>1</v>
      </c>
    </row>
    <row r="9515" spans="2:9" x14ac:dyDescent="0.25">
      <c r="B9515">
        <v>0</v>
      </c>
      <c r="C9515" s="16" t="s">
        <v>18514</v>
      </c>
      <c r="D9515" s="16"/>
      <c r="E9515">
        <v>6</v>
      </c>
      <c r="F9515" t="s">
        <v>8901</v>
      </c>
      <c r="G9515">
        <v>1</v>
      </c>
      <c r="H9515">
        <v>1</v>
      </c>
      <c r="I9515">
        <f>1</f>
        <v>1</v>
      </c>
    </row>
    <row r="9516" spans="2:9" x14ac:dyDescent="0.25">
      <c r="B9516">
        <v>0</v>
      </c>
      <c r="C9516" s="16" t="s">
        <v>18515</v>
      </c>
      <c r="D9516" s="16"/>
      <c r="E9516">
        <v>6</v>
      </c>
      <c r="F9516" t="s">
        <v>4680</v>
      </c>
      <c r="G9516">
        <v>1</v>
      </c>
      <c r="H9516">
        <v>1</v>
      </c>
      <c r="I9516">
        <f>1</f>
        <v>1</v>
      </c>
    </row>
    <row r="9517" spans="2:9" x14ac:dyDescent="0.25">
      <c r="B9517">
        <v>0</v>
      </c>
      <c r="C9517" s="16" t="s">
        <v>18516</v>
      </c>
      <c r="D9517" s="16"/>
      <c r="E9517">
        <v>6</v>
      </c>
      <c r="F9517" t="s">
        <v>8901</v>
      </c>
      <c r="G9517">
        <v>1</v>
      </c>
      <c r="H9517">
        <v>1</v>
      </c>
      <c r="I9517">
        <f>1</f>
        <v>1</v>
      </c>
    </row>
    <row r="9518" spans="2:9" x14ac:dyDescent="0.25">
      <c r="B9518">
        <v>0</v>
      </c>
      <c r="C9518" s="16" t="s">
        <v>18517</v>
      </c>
      <c r="D9518" s="16"/>
      <c r="E9518">
        <v>6</v>
      </c>
      <c r="F9518" t="s">
        <v>4680</v>
      </c>
      <c r="G9518">
        <v>1</v>
      </c>
      <c r="H9518">
        <v>1</v>
      </c>
      <c r="I9518">
        <f>1</f>
        <v>1</v>
      </c>
    </row>
    <row r="9519" spans="2:9" x14ac:dyDescent="0.25">
      <c r="B9519">
        <v>0</v>
      </c>
      <c r="C9519" s="16" t="s">
        <v>18518</v>
      </c>
      <c r="D9519" s="16"/>
      <c r="E9519">
        <v>6</v>
      </c>
      <c r="F9519" t="s">
        <v>8893</v>
      </c>
      <c r="G9519">
        <v>1</v>
      </c>
      <c r="H9519">
        <v>1</v>
      </c>
      <c r="I9519">
        <f>1</f>
        <v>1</v>
      </c>
    </row>
    <row r="9520" spans="2:9" x14ac:dyDescent="0.25">
      <c r="B9520">
        <v>0</v>
      </c>
      <c r="C9520" s="16" t="s">
        <v>18519</v>
      </c>
      <c r="D9520" s="16"/>
      <c r="E9520">
        <v>6</v>
      </c>
      <c r="F9520" t="s">
        <v>8894</v>
      </c>
      <c r="G9520">
        <v>1</v>
      </c>
      <c r="H9520">
        <v>1</v>
      </c>
      <c r="I9520">
        <f>1</f>
        <v>1</v>
      </c>
    </row>
    <row r="9521" spans="2:9" x14ac:dyDescent="0.25">
      <c r="B9521">
        <v>0</v>
      </c>
      <c r="C9521" s="16" t="s">
        <v>18520</v>
      </c>
      <c r="D9521" s="16"/>
      <c r="E9521">
        <v>6</v>
      </c>
      <c r="F9521" t="s">
        <v>4690</v>
      </c>
      <c r="G9521">
        <v>1</v>
      </c>
      <c r="H9521">
        <v>1</v>
      </c>
      <c r="I9521">
        <f>1</f>
        <v>1</v>
      </c>
    </row>
    <row r="9522" spans="2:9" x14ac:dyDescent="0.25">
      <c r="B9522">
        <v>0</v>
      </c>
      <c r="C9522" s="16" t="s">
        <v>18521</v>
      </c>
      <c r="D9522" s="16"/>
      <c r="E9522">
        <v>6</v>
      </c>
      <c r="F9522" t="e">
        <f>-Aceleradores De partículas</f>
        <v>#NAME?</v>
      </c>
      <c r="G9522">
        <v>1</v>
      </c>
      <c r="H9522">
        <v>1</v>
      </c>
      <c r="I9522">
        <f>1</f>
        <v>1</v>
      </c>
    </row>
    <row r="9523" spans="2:9" x14ac:dyDescent="0.25">
      <c r="B9523">
        <v>0</v>
      </c>
      <c r="C9523" s="16" t="s">
        <v>18522</v>
      </c>
      <c r="D9523" s="16"/>
      <c r="E9523">
        <v>6</v>
      </c>
      <c r="F9523" t="e">
        <f>-Geradores De sinais</f>
        <v>#NAME?</v>
      </c>
      <c r="G9523">
        <v>1</v>
      </c>
      <c r="H9523">
        <v>1</v>
      </c>
      <c r="I9523">
        <f>1</f>
        <v>1</v>
      </c>
    </row>
    <row r="9524" spans="2:9" x14ac:dyDescent="0.25">
      <c r="B9524">
        <v>0</v>
      </c>
      <c r="C9524" s="16" t="s">
        <v>18522</v>
      </c>
      <c r="D9524" s="16" t="s">
        <v>19430</v>
      </c>
      <c r="E9524">
        <v>6</v>
      </c>
      <c r="F9524" t="s">
        <v>8902</v>
      </c>
      <c r="G9524">
        <v>1</v>
      </c>
      <c r="H9524">
        <v>1</v>
      </c>
      <c r="I9524">
        <f>1</f>
        <v>1</v>
      </c>
    </row>
    <row r="9525" spans="2:9" x14ac:dyDescent="0.25">
      <c r="B9525">
        <v>0</v>
      </c>
      <c r="C9525" s="16" t="s">
        <v>18523</v>
      </c>
      <c r="D9525" s="16"/>
      <c r="E9525">
        <v>6</v>
      </c>
      <c r="F9525" t="s">
        <v>8903</v>
      </c>
      <c r="G9525">
        <v>1</v>
      </c>
      <c r="H9525">
        <v>1</v>
      </c>
      <c r="I9525">
        <f>1</f>
        <v>1</v>
      </c>
    </row>
    <row r="9526" spans="2:9" x14ac:dyDescent="0.25">
      <c r="B9526">
        <v>0</v>
      </c>
      <c r="C9526" s="16" t="s">
        <v>18524</v>
      </c>
      <c r="D9526" s="16"/>
      <c r="E9526">
        <v>6</v>
      </c>
      <c r="F9526" t="s">
        <v>8904</v>
      </c>
      <c r="G9526">
        <v>1</v>
      </c>
      <c r="H9526">
        <v>1</v>
      </c>
      <c r="I9526">
        <f>1</f>
        <v>1</v>
      </c>
    </row>
    <row r="9527" spans="2:9" x14ac:dyDescent="0.25">
      <c r="B9527">
        <v>0</v>
      </c>
      <c r="C9527" s="16" t="s">
        <v>18524</v>
      </c>
      <c r="D9527" s="16" t="s">
        <v>19430</v>
      </c>
      <c r="E9527">
        <v>6</v>
      </c>
      <c r="F9527" t="s">
        <v>8905</v>
      </c>
      <c r="G9527">
        <v>1</v>
      </c>
      <c r="H9527">
        <v>1</v>
      </c>
      <c r="I9527">
        <f>1</f>
        <v>1</v>
      </c>
    </row>
    <row r="9528" spans="2:9" x14ac:dyDescent="0.25">
      <c r="B9528">
        <v>0</v>
      </c>
      <c r="C9528" s="16" t="s">
        <v>18525</v>
      </c>
      <c r="D9528" s="16"/>
      <c r="E9528">
        <v>6</v>
      </c>
      <c r="F9528" t="s">
        <v>8906</v>
      </c>
      <c r="G9528">
        <v>1</v>
      </c>
      <c r="H9528">
        <v>1</v>
      </c>
      <c r="I9528">
        <f>1</f>
        <v>1</v>
      </c>
    </row>
    <row r="9529" spans="2:9" x14ac:dyDescent="0.25">
      <c r="B9529">
        <v>0</v>
      </c>
      <c r="C9529" s="16" t="s">
        <v>18525</v>
      </c>
      <c r="D9529" s="16" t="s">
        <v>19430</v>
      </c>
      <c r="E9529">
        <v>6</v>
      </c>
      <c r="F9529" t="s">
        <v>8905</v>
      </c>
      <c r="G9529">
        <v>1</v>
      </c>
      <c r="H9529">
        <v>1</v>
      </c>
      <c r="I9529">
        <f>1</f>
        <v>1</v>
      </c>
    </row>
    <row r="9530" spans="2:9" x14ac:dyDescent="0.25">
      <c r="B9530">
        <v>0</v>
      </c>
      <c r="C9530" s="16" t="s">
        <v>18526</v>
      </c>
      <c r="D9530" s="16"/>
      <c r="E9530">
        <v>6</v>
      </c>
      <c r="F9530" t="s">
        <v>8907</v>
      </c>
      <c r="G9530">
        <v>1</v>
      </c>
      <c r="H9530">
        <v>1</v>
      </c>
      <c r="I9530">
        <f>1</f>
        <v>1</v>
      </c>
    </row>
    <row r="9531" spans="2:9" x14ac:dyDescent="0.25">
      <c r="B9531">
        <v>0</v>
      </c>
      <c r="C9531" s="16" t="s">
        <v>18526</v>
      </c>
      <c r="D9531" s="16" t="s">
        <v>19430</v>
      </c>
      <c r="E9531">
        <v>6</v>
      </c>
      <c r="F9531" t="s">
        <v>8905</v>
      </c>
      <c r="G9531">
        <v>1</v>
      </c>
      <c r="H9531">
        <v>1</v>
      </c>
      <c r="I9531">
        <f>1</f>
        <v>1</v>
      </c>
    </row>
    <row r="9532" spans="2:9" x14ac:dyDescent="0.25">
      <c r="B9532">
        <v>0</v>
      </c>
      <c r="C9532" s="16" t="s">
        <v>18527</v>
      </c>
      <c r="D9532" s="16"/>
      <c r="E9532">
        <v>6</v>
      </c>
      <c r="F9532" t="s">
        <v>8908</v>
      </c>
      <c r="G9532">
        <v>1</v>
      </c>
      <c r="H9532">
        <v>1</v>
      </c>
      <c r="I9532">
        <f>1</f>
        <v>1</v>
      </c>
    </row>
    <row r="9533" spans="2:9" x14ac:dyDescent="0.25">
      <c r="B9533">
        <v>0</v>
      </c>
      <c r="C9533" s="16" t="s">
        <v>18527</v>
      </c>
      <c r="D9533" s="16" t="s">
        <v>19430</v>
      </c>
      <c r="E9533">
        <v>6</v>
      </c>
      <c r="F9533" t="s">
        <v>8905</v>
      </c>
      <c r="G9533">
        <v>1</v>
      </c>
      <c r="H9533">
        <v>1</v>
      </c>
      <c r="I9533">
        <f>1</f>
        <v>1</v>
      </c>
    </row>
    <row r="9534" spans="2:9" x14ac:dyDescent="0.25">
      <c r="B9534">
        <v>0</v>
      </c>
      <c r="C9534" s="16" t="s">
        <v>18528</v>
      </c>
      <c r="D9534" s="16"/>
      <c r="E9534">
        <v>6</v>
      </c>
      <c r="F9534" t="s">
        <v>8909</v>
      </c>
      <c r="G9534">
        <v>1</v>
      </c>
      <c r="H9534">
        <v>1</v>
      </c>
      <c r="I9534">
        <f>1</f>
        <v>1</v>
      </c>
    </row>
    <row r="9535" spans="2:9" x14ac:dyDescent="0.25">
      <c r="B9535">
        <v>0</v>
      </c>
      <c r="C9535" s="16" t="s">
        <v>18528</v>
      </c>
      <c r="D9535" s="16" t="s">
        <v>19430</v>
      </c>
      <c r="E9535">
        <v>6</v>
      </c>
      <c r="F9535" t="s">
        <v>8905</v>
      </c>
      <c r="G9535">
        <v>1</v>
      </c>
      <c r="H9535">
        <v>1</v>
      </c>
      <c r="I9535">
        <f>1</f>
        <v>1</v>
      </c>
    </row>
    <row r="9536" spans="2:9" x14ac:dyDescent="0.25">
      <c r="B9536">
        <v>0</v>
      </c>
      <c r="C9536" s="16" t="s">
        <v>18529</v>
      </c>
      <c r="D9536" s="16"/>
      <c r="E9536">
        <v>6</v>
      </c>
      <c r="F9536" t="s">
        <v>4680</v>
      </c>
      <c r="G9536">
        <v>1</v>
      </c>
      <c r="H9536">
        <v>1</v>
      </c>
      <c r="I9536">
        <f>1</f>
        <v>1</v>
      </c>
    </row>
    <row r="9537" spans="2:9" x14ac:dyDescent="0.25">
      <c r="B9537">
        <v>0</v>
      </c>
      <c r="C9537" s="16" t="s">
        <v>18529</v>
      </c>
      <c r="D9537" s="16" t="s">
        <v>19430</v>
      </c>
      <c r="E9537">
        <v>6</v>
      </c>
      <c r="F9537" t="s">
        <v>8905</v>
      </c>
      <c r="G9537">
        <v>1</v>
      </c>
      <c r="H9537">
        <v>1</v>
      </c>
      <c r="I9537">
        <f>1</f>
        <v>1</v>
      </c>
    </row>
    <row r="9538" spans="2:9" x14ac:dyDescent="0.25">
      <c r="B9538">
        <v>0</v>
      </c>
      <c r="C9538" s="16" t="s">
        <v>18530</v>
      </c>
      <c r="D9538" s="16"/>
      <c r="E9538">
        <v>6</v>
      </c>
      <c r="F9538" t="s">
        <v>8910</v>
      </c>
      <c r="G9538">
        <v>1</v>
      </c>
      <c r="H9538">
        <v>1</v>
      </c>
      <c r="I9538">
        <f>1</f>
        <v>1</v>
      </c>
    </row>
    <row r="9539" spans="2:9" x14ac:dyDescent="0.25">
      <c r="B9539">
        <v>0</v>
      </c>
      <c r="C9539" s="16" t="s">
        <v>18531</v>
      </c>
      <c r="D9539" s="16"/>
      <c r="E9539">
        <v>6</v>
      </c>
      <c r="F9539" t="s">
        <v>8911</v>
      </c>
      <c r="G9539">
        <v>1</v>
      </c>
      <c r="H9539">
        <v>1</v>
      </c>
      <c r="I9539">
        <f>1</f>
        <v>1</v>
      </c>
    </row>
    <row r="9540" spans="2:9" x14ac:dyDescent="0.25">
      <c r="B9540">
        <v>0</v>
      </c>
      <c r="C9540" s="16" t="s">
        <v>18532</v>
      </c>
      <c r="D9540" s="16"/>
      <c r="E9540">
        <v>6</v>
      </c>
      <c r="F9540" t="s">
        <v>8912</v>
      </c>
      <c r="G9540">
        <v>1</v>
      </c>
      <c r="H9540">
        <v>1</v>
      </c>
      <c r="I9540">
        <f>1</f>
        <v>1</v>
      </c>
    </row>
    <row r="9541" spans="2:9" x14ac:dyDescent="0.25">
      <c r="B9541">
        <v>0</v>
      </c>
      <c r="C9541" s="16" t="s">
        <v>18533</v>
      </c>
      <c r="D9541" s="16"/>
      <c r="E9541">
        <v>6</v>
      </c>
      <c r="F9541" t="s">
        <v>8913</v>
      </c>
      <c r="G9541">
        <v>1</v>
      </c>
      <c r="H9541">
        <v>1</v>
      </c>
      <c r="I9541">
        <f>1</f>
        <v>1</v>
      </c>
    </row>
    <row r="9542" spans="2:9" x14ac:dyDescent="0.25">
      <c r="B9542">
        <v>0</v>
      </c>
      <c r="C9542" s="16" t="s">
        <v>18534</v>
      </c>
      <c r="D9542" s="16"/>
      <c r="E9542">
        <v>6</v>
      </c>
      <c r="F9542" t="s">
        <v>8914</v>
      </c>
      <c r="G9542">
        <v>1</v>
      </c>
      <c r="H9542">
        <v>1</v>
      </c>
      <c r="I9542">
        <f>1</f>
        <v>1</v>
      </c>
    </row>
    <row r="9543" spans="2:9" x14ac:dyDescent="0.25">
      <c r="B9543">
        <v>0</v>
      </c>
      <c r="C9543" s="16" t="s">
        <v>18535</v>
      </c>
      <c r="D9543" s="16"/>
      <c r="E9543">
        <v>6</v>
      </c>
      <c r="F9543" t="s">
        <v>8915</v>
      </c>
      <c r="G9543">
        <v>1</v>
      </c>
      <c r="H9543">
        <v>1</v>
      </c>
      <c r="I9543">
        <f>1</f>
        <v>1</v>
      </c>
    </row>
    <row r="9544" spans="2:9" x14ac:dyDescent="0.25">
      <c r="B9544">
        <v>0</v>
      </c>
      <c r="C9544" s="16" t="s">
        <v>18536</v>
      </c>
      <c r="D9544" s="16"/>
      <c r="E9544">
        <v>6</v>
      </c>
      <c r="F9544" t="s">
        <v>8916</v>
      </c>
      <c r="G9544">
        <v>1</v>
      </c>
      <c r="H9544">
        <v>1</v>
      </c>
      <c r="I9544">
        <f>1</f>
        <v>1</v>
      </c>
    </row>
    <row r="9545" spans="2:9" x14ac:dyDescent="0.25">
      <c r="B9545">
        <v>0</v>
      </c>
      <c r="C9545" s="16" t="s">
        <v>18536</v>
      </c>
      <c r="D9545" s="16" t="s">
        <v>19430</v>
      </c>
      <c r="E9545">
        <v>6</v>
      </c>
      <c r="F9545" t="s">
        <v>8917</v>
      </c>
      <c r="G9545">
        <v>1</v>
      </c>
      <c r="H9545">
        <v>1</v>
      </c>
      <c r="I9545">
        <f>1</f>
        <v>1</v>
      </c>
    </row>
    <row r="9546" spans="2:9" x14ac:dyDescent="0.25">
      <c r="B9546">
        <v>0</v>
      </c>
      <c r="C9546" s="16" t="s">
        <v>18537</v>
      </c>
      <c r="D9546" s="16"/>
      <c r="E9546">
        <v>6</v>
      </c>
      <c r="F9546" t="s">
        <v>4680</v>
      </c>
      <c r="G9546">
        <v>1</v>
      </c>
      <c r="H9546">
        <v>1</v>
      </c>
      <c r="I9546">
        <f>1</f>
        <v>1</v>
      </c>
    </row>
    <row r="9547" spans="2:9" x14ac:dyDescent="0.25">
      <c r="B9547">
        <v>0</v>
      </c>
      <c r="C9547" s="16" t="s">
        <v>18538</v>
      </c>
      <c r="D9547" s="16"/>
      <c r="E9547">
        <v>6</v>
      </c>
      <c r="F9547" t="s">
        <v>8918</v>
      </c>
      <c r="G9547">
        <v>1</v>
      </c>
      <c r="H9547">
        <v>1</v>
      </c>
      <c r="I9547">
        <f>1</f>
        <v>1</v>
      </c>
    </row>
    <row r="9548" spans="2:9" x14ac:dyDescent="0.25">
      <c r="B9548">
        <v>0</v>
      </c>
      <c r="C9548" s="16" t="s">
        <v>18539</v>
      </c>
      <c r="D9548" s="16"/>
      <c r="E9548">
        <v>6</v>
      </c>
      <c r="F9548" t="s">
        <v>8919</v>
      </c>
      <c r="G9548">
        <v>1</v>
      </c>
      <c r="H9548">
        <v>1</v>
      </c>
      <c r="I9548">
        <f>1</f>
        <v>1</v>
      </c>
    </row>
    <row r="9549" spans="2:9" x14ac:dyDescent="0.25">
      <c r="B9549">
        <v>0</v>
      </c>
      <c r="C9549" s="16" t="s">
        <v>18540</v>
      </c>
      <c r="D9549" s="16"/>
      <c r="E9549">
        <v>6</v>
      </c>
      <c r="F9549" t="s">
        <v>8920</v>
      </c>
      <c r="G9549">
        <v>1</v>
      </c>
      <c r="H9549">
        <v>1</v>
      </c>
      <c r="I9549">
        <f>1</f>
        <v>1</v>
      </c>
    </row>
    <row r="9550" spans="2:9" x14ac:dyDescent="0.25">
      <c r="B9550">
        <v>0</v>
      </c>
      <c r="C9550" s="16" t="s">
        <v>18541</v>
      </c>
      <c r="D9550" s="16"/>
      <c r="E9550">
        <v>6</v>
      </c>
      <c r="F9550" t="s">
        <v>8921</v>
      </c>
      <c r="G9550">
        <v>1</v>
      </c>
      <c r="H9550">
        <v>1</v>
      </c>
      <c r="I9550">
        <f>1</f>
        <v>1</v>
      </c>
    </row>
    <row r="9551" spans="2:9" x14ac:dyDescent="0.25">
      <c r="B9551">
        <v>0</v>
      </c>
      <c r="C9551" s="16" t="s">
        <v>18542</v>
      </c>
      <c r="D9551" s="16"/>
      <c r="E9551">
        <v>6</v>
      </c>
      <c r="F9551" t="s">
        <v>4680</v>
      </c>
      <c r="G9551">
        <v>1</v>
      </c>
      <c r="H9551">
        <v>1</v>
      </c>
      <c r="I9551">
        <f>1</f>
        <v>1</v>
      </c>
    </row>
    <row r="9552" spans="2:9" x14ac:dyDescent="0.25">
      <c r="B9552">
        <v>0</v>
      </c>
      <c r="C9552" s="16" t="s">
        <v>18542</v>
      </c>
      <c r="D9552" s="16" t="s">
        <v>19430</v>
      </c>
      <c r="E9552">
        <v>6</v>
      </c>
      <c r="F9552" t="s">
        <v>8922</v>
      </c>
      <c r="G9552">
        <v>1</v>
      </c>
      <c r="H9552">
        <v>1</v>
      </c>
      <c r="I9552">
        <f>1</f>
        <v>1</v>
      </c>
    </row>
    <row r="9553" spans="2:9" x14ac:dyDescent="0.25">
      <c r="B9553">
        <v>0</v>
      </c>
      <c r="C9553" s="16" t="s">
        <v>18543</v>
      </c>
      <c r="D9553" s="16"/>
      <c r="E9553">
        <v>6</v>
      </c>
      <c r="F9553" t="s">
        <v>8923</v>
      </c>
      <c r="G9553">
        <v>1</v>
      </c>
      <c r="H9553">
        <v>1</v>
      </c>
      <c r="I9553">
        <f>1</f>
        <v>1</v>
      </c>
    </row>
    <row r="9554" spans="2:9" x14ac:dyDescent="0.25">
      <c r="B9554">
        <v>0</v>
      </c>
      <c r="C9554" s="16" t="s">
        <v>18544</v>
      </c>
      <c r="D9554" s="16"/>
      <c r="E9554">
        <v>6</v>
      </c>
      <c r="F9554" t="s">
        <v>4690</v>
      </c>
      <c r="G9554">
        <v>1</v>
      </c>
      <c r="H9554">
        <v>1</v>
      </c>
      <c r="I9554">
        <f>1</f>
        <v>1</v>
      </c>
    </row>
    <row r="9555" spans="2:9" x14ac:dyDescent="0.25">
      <c r="B9555">
        <v>0</v>
      </c>
      <c r="C9555" s="16" t="s">
        <v>18545</v>
      </c>
      <c r="D9555" s="16"/>
      <c r="E9555">
        <v>6</v>
      </c>
      <c r="F9555" t="e">
        <f>--De cobre</f>
        <v>#NAME?</v>
      </c>
      <c r="G9555">
        <v>1</v>
      </c>
      <c r="H9555">
        <v>1</v>
      </c>
      <c r="I9555">
        <f>1</f>
        <v>1</v>
      </c>
    </row>
    <row r="9556" spans="2:9" x14ac:dyDescent="0.25">
      <c r="B9556">
        <v>0</v>
      </c>
      <c r="C9556" s="16" t="s">
        <v>18546</v>
      </c>
      <c r="D9556" s="16"/>
      <c r="E9556">
        <v>6</v>
      </c>
      <c r="F9556" t="s">
        <v>5314</v>
      </c>
      <c r="G9556">
        <v>1</v>
      </c>
      <c r="H9556">
        <v>1</v>
      </c>
      <c r="I9556">
        <f>1</f>
        <v>1</v>
      </c>
    </row>
    <row r="9557" spans="2:9" x14ac:dyDescent="0.25">
      <c r="B9557">
        <v>0</v>
      </c>
      <c r="C9557" s="16" t="s">
        <v>18547</v>
      </c>
      <c r="D9557" s="16"/>
      <c r="E9557">
        <v>6</v>
      </c>
      <c r="F9557" t="s">
        <v>4680</v>
      </c>
      <c r="G9557">
        <v>1</v>
      </c>
      <c r="H9557">
        <v>1</v>
      </c>
      <c r="I9557">
        <f>1</f>
        <v>1</v>
      </c>
    </row>
    <row r="9558" spans="2:9" x14ac:dyDescent="0.25">
      <c r="B9558">
        <v>0</v>
      </c>
      <c r="C9558" s="16" t="s">
        <v>18548</v>
      </c>
      <c r="D9558" s="16"/>
      <c r="E9558">
        <v>6</v>
      </c>
      <c r="F9558" t="e">
        <f>-Cabos coaxiais e outros condutores elétricos coaxiais</f>
        <v>#NAME?</v>
      </c>
      <c r="G9558">
        <v>1</v>
      </c>
      <c r="H9558">
        <v>1</v>
      </c>
      <c r="I9558">
        <f>1</f>
        <v>1</v>
      </c>
    </row>
    <row r="9559" spans="2:9" x14ac:dyDescent="0.25">
      <c r="B9559">
        <v>0</v>
      </c>
      <c r="C9559" s="16" t="s">
        <v>18549</v>
      </c>
      <c r="D9559" s="16"/>
      <c r="E9559">
        <v>6</v>
      </c>
      <c r="F9559" t="e">
        <f>-Jogos De Fios para Velas De ignição e outros Jogos De Fios dos tipos utilizados em quaisquer veículos</f>
        <v>#NAME?</v>
      </c>
      <c r="G9559">
        <v>1</v>
      </c>
      <c r="H9559">
        <v>1</v>
      </c>
      <c r="I9559">
        <f>1</f>
        <v>1</v>
      </c>
    </row>
    <row r="9560" spans="2:9" x14ac:dyDescent="0.25">
      <c r="B9560">
        <v>0</v>
      </c>
      <c r="C9560" s="16" t="s">
        <v>18549</v>
      </c>
      <c r="D9560" s="16" t="s">
        <v>19430</v>
      </c>
      <c r="E9560">
        <v>6</v>
      </c>
      <c r="F9560" t="s">
        <v>8924</v>
      </c>
      <c r="G9560">
        <v>1</v>
      </c>
      <c r="H9560">
        <v>1</v>
      </c>
      <c r="I9560">
        <f>1</f>
        <v>1</v>
      </c>
    </row>
    <row r="9561" spans="2:9" x14ac:dyDescent="0.25">
      <c r="B9561">
        <v>0</v>
      </c>
      <c r="C9561" s="16" t="s">
        <v>18550</v>
      </c>
      <c r="D9561" s="16"/>
      <c r="E9561">
        <v>6</v>
      </c>
      <c r="F9561" t="e">
        <f>--Munidos De peças De conexão</f>
        <v>#NAME?</v>
      </c>
      <c r="G9561">
        <v>1</v>
      </c>
      <c r="H9561">
        <v>1</v>
      </c>
      <c r="I9561">
        <f>1</f>
        <v>1</v>
      </c>
    </row>
    <row r="9562" spans="2:9" x14ac:dyDescent="0.25">
      <c r="B9562">
        <v>0</v>
      </c>
      <c r="C9562" s="16" t="s">
        <v>18551</v>
      </c>
      <c r="D9562" s="16"/>
      <c r="E9562">
        <v>6</v>
      </c>
      <c r="F9562" t="e">
        <f>--outros</f>
        <v>#NAME?</v>
      </c>
      <c r="G9562">
        <v>1</v>
      </c>
      <c r="H9562">
        <v>1</v>
      </c>
      <c r="I9562">
        <f>1</f>
        <v>1</v>
      </c>
    </row>
    <row r="9563" spans="2:9" x14ac:dyDescent="0.25">
      <c r="B9563">
        <v>0</v>
      </c>
      <c r="C9563" s="16" t="s">
        <v>18551</v>
      </c>
      <c r="D9563" s="16" t="s">
        <v>19430</v>
      </c>
      <c r="E9563">
        <v>6</v>
      </c>
      <c r="F9563" t="s">
        <v>8925</v>
      </c>
      <c r="G9563">
        <v>1</v>
      </c>
      <c r="H9563">
        <v>1</v>
      </c>
      <c r="I9563">
        <f>1</f>
        <v>1</v>
      </c>
    </row>
    <row r="9564" spans="2:9" x14ac:dyDescent="0.25">
      <c r="B9564">
        <v>0</v>
      </c>
      <c r="C9564" s="16" t="s">
        <v>18552</v>
      </c>
      <c r="D9564" s="16"/>
      <c r="E9564">
        <v>6</v>
      </c>
      <c r="F9564" t="s">
        <v>8926</v>
      </c>
      <c r="G9564">
        <v>1</v>
      </c>
      <c r="H9564">
        <v>1</v>
      </c>
      <c r="I9564">
        <f>1</f>
        <v>1</v>
      </c>
    </row>
    <row r="9565" spans="2:9" x14ac:dyDescent="0.25">
      <c r="B9565">
        <v>0</v>
      </c>
      <c r="C9565" s="16" t="s">
        <v>18553</v>
      </c>
      <c r="D9565" s="16"/>
      <c r="E9565">
        <v>6</v>
      </c>
      <c r="F9565" t="s">
        <v>8927</v>
      </c>
      <c r="G9565">
        <v>1</v>
      </c>
      <c r="H9565">
        <v>1</v>
      </c>
      <c r="I9565">
        <f>1</f>
        <v>1</v>
      </c>
    </row>
    <row r="9566" spans="2:9" x14ac:dyDescent="0.25">
      <c r="B9566">
        <v>0</v>
      </c>
      <c r="C9566" s="16" t="s">
        <v>18554</v>
      </c>
      <c r="D9566" s="16"/>
      <c r="E9566">
        <v>6</v>
      </c>
      <c r="F9566" t="s">
        <v>8928</v>
      </c>
      <c r="G9566">
        <v>1</v>
      </c>
      <c r="H9566">
        <v>1</v>
      </c>
      <c r="I9566">
        <f>1</f>
        <v>1</v>
      </c>
    </row>
    <row r="9567" spans="2:9" x14ac:dyDescent="0.25">
      <c r="B9567">
        <v>0</v>
      </c>
      <c r="C9567" s="16" t="s">
        <v>18555</v>
      </c>
      <c r="D9567" s="16"/>
      <c r="E9567">
        <v>6</v>
      </c>
      <c r="F9567" t="s">
        <v>8929</v>
      </c>
      <c r="G9567">
        <v>1</v>
      </c>
      <c r="H9567">
        <v>1</v>
      </c>
      <c r="I9567">
        <f>1</f>
        <v>1</v>
      </c>
    </row>
    <row r="9568" spans="2:9" x14ac:dyDescent="0.25">
      <c r="B9568">
        <v>0</v>
      </c>
      <c r="C9568" s="16" t="s">
        <v>18556</v>
      </c>
      <c r="D9568" s="16"/>
      <c r="E9568">
        <v>6</v>
      </c>
      <c r="F9568" t="s">
        <v>4680</v>
      </c>
      <c r="G9568">
        <v>1</v>
      </c>
      <c r="H9568">
        <v>1</v>
      </c>
      <c r="I9568">
        <f>1</f>
        <v>1</v>
      </c>
    </row>
    <row r="9569" spans="2:9" x14ac:dyDescent="0.25">
      <c r="B9569">
        <v>0</v>
      </c>
      <c r="C9569" s="16" t="s">
        <v>18557</v>
      </c>
      <c r="D9569" s="16"/>
      <c r="E9569">
        <v>6</v>
      </c>
      <c r="F9569" t="e">
        <f>--dos tipos utilizados em fornos</f>
        <v>#NAME?</v>
      </c>
      <c r="G9569">
        <v>1</v>
      </c>
      <c r="H9569">
        <v>1</v>
      </c>
      <c r="I9569">
        <f>1</f>
        <v>1</v>
      </c>
    </row>
    <row r="9570" spans="2:9" x14ac:dyDescent="0.25">
      <c r="B9570">
        <v>0</v>
      </c>
      <c r="C9570" s="16" t="s">
        <v>18558</v>
      </c>
      <c r="D9570" s="16"/>
      <c r="E9570">
        <v>6</v>
      </c>
      <c r="F9570" t="s">
        <v>8930</v>
      </c>
      <c r="G9570">
        <v>1</v>
      </c>
      <c r="H9570">
        <v>1</v>
      </c>
      <c r="I9570">
        <f>1</f>
        <v>1</v>
      </c>
    </row>
    <row r="9571" spans="2:9" x14ac:dyDescent="0.25">
      <c r="B9571">
        <v>0</v>
      </c>
      <c r="C9571" s="16" t="s">
        <v>18559</v>
      </c>
      <c r="D9571" s="16"/>
      <c r="E9571">
        <v>6</v>
      </c>
      <c r="F9571" t="s">
        <v>8931</v>
      </c>
      <c r="G9571">
        <v>1</v>
      </c>
      <c r="H9571">
        <v>1</v>
      </c>
      <c r="I9571">
        <f>1</f>
        <v>1</v>
      </c>
    </row>
    <row r="9572" spans="2:9" x14ac:dyDescent="0.25">
      <c r="B9572">
        <v>0</v>
      </c>
      <c r="C9572" s="16" t="s">
        <v>18560</v>
      </c>
      <c r="D9572" s="16"/>
      <c r="E9572">
        <v>6</v>
      </c>
      <c r="F9572" t="s">
        <v>4680</v>
      </c>
      <c r="G9572">
        <v>1</v>
      </c>
      <c r="H9572">
        <v>1</v>
      </c>
      <c r="I9572">
        <f>1</f>
        <v>1</v>
      </c>
    </row>
    <row r="9573" spans="2:9" x14ac:dyDescent="0.25">
      <c r="B9573">
        <v>0</v>
      </c>
      <c r="C9573" s="16" t="s">
        <v>18561</v>
      </c>
      <c r="D9573" s="16"/>
      <c r="E9573">
        <v>6</v>
      </c>
      <c r="F9573" t="e">
        <f>-Escovas</f>
        <v>#NAME?</v>
      </c>
      <c r="G9573">
        <v>1</v>
      </c>
      <c r="H9573">
        <v>1</v>
      </c>
      <c r="I9573">
        <f>1</f>
        <v>1</v>
      </c>
    </row>
    <row r="9574" spans="2:9" x14ac:dyDescent="0.25">
      <c r="B9574">
        <v>0</v>
      </c>
      <c r="C9574" s="16" t="s">
        <v>18562</v>
      </c>
      <c r="D9574" s="16"/>
      <c r="E9574">
        <v>6</v>
      </c>
      <c r="F9574" t="s">
        <v>8932</v>
      </c>
      <c r="G9574">
        <v>1</v>
      </c>
      <c r="H9574">
        <v>1</v>
      </c>
      <c r="I9574">
        <f>1</f>
        <v>1</v>
      </c>
    </row>
    <row r="9575" spans="2:9" x14ac:dyDescent="0.25">
      <c r="B9575">
        <v>0</v>
      </c>
      <c r="C9575" s="16" t="s">
        <v>18563</v>
      </c>
      <c r="D9575" s="16"/>
      <c r="E9575">
        <v>6</v>
      </c>
      <c r="F9575" t="s">
        <v>8933</v>
      </c>
      <c r="G9575">
        <v>1</v>
      </c>
      <c r="H9575">
        <v>1</v>
      </c>
      <c r="I9575">
        <f>1</f>
        <v>1</v>
      </c>
    </row>
    <row r="9576" spans="2:9" x14ac:dyDescent="0.25">
      <c r="B9576">
        <v>0</v>
      </c>
      <c r="C9576" s="16" t="s">
        <v>18564</v>
      </c>
      <c r="D9576" s="16"/>
      <c r="E9576">
        <v>6</v>
      </c>
      <c r="F9576" t="s">
        <v>8934</v>
      </c>
      <c r="G9576">
        <v>1</v>
      </c>
      <c r="H9576">
        <v>1</v>
      </c>
      <c r="I9576">
        <f>1</f>
        <v>1</v>
      </c>
    </row>
    <row r="9577" spans="2:9" x14ac:dyDescent="0.25">
      <c r="B9577">
        <v>0</v>
      </c>
      <c r="C9577" s="16" t="s">
        <v>18565</v>
      </c>
      <c r="D9577" s="16"/>
      <c r="E9577">
        <v>6</v>
      </c>
      <c r="F9577" t="s">
        <v>4680</v>
      </c>
      <c r="G9577">
        <v>1</v>
      </c>
      <c r="H9577">
        <v>1</v>
      </c>
      <c r="I9577">
        <f>1</f>
        <v>1</v>
      </c>
    </row>
    <row r="9578" spans="2:9" x14ac:dyDescent="0.25">
      <c r="B9578">
        <v>0</v>
      </c>
      <c r="C9578" s="16" t="s">
        <v>18566</v>
      </c>
      <c r="D9578" s="16"/>
      <c r="E9578">
        <v>6</v>
      </c>
      <c r="F9578" t="e">
        <f>-De vidro</f>
        <v>#NAME?</v>
      </c>
      <c r="G9578">
        <v>1</v>
      </c>
      <c r="H9578">
        <v>1</v>
      </c>
      <c r="I9578">
        <f>1</f>
        <v>1</v>
      </c>
    </row>
    <row r="9579" spans="2:9" x14ac:dyDescent="0.25">
      <c r="B9579">
        <v>0</v>
      </c>
      <c r="C9579" s="16" t="s">
        <v>18567</v>
      </c>
      <c r="D9579" s="16"/>
      <c r="E9579">
        <v>6</v>
      </c>
      <c r="F9579" t="e">
        <f>-De cerâmica</f>
        <v>#NAME?</v>
      </c>
      <c r="G9579">
        <v>1</v>
      </c>
      <c r="H9579">
        <v>1</v>
      </c>
      <c r="I9579">
        <f>1</f>
        <v>1</v>
      </c>
    </row>
    <row r="9580" spans="2:9" x14ac:dyDescent="0.25">
      <c r="B9580">
        <v>0</v>
      </c>
      <c r="C9580" s="16" t="s">
        <v>18568</v>
      </c>
      <c r="D9580" s="16"/>
      <c r="E9580">
        <v>6</v>
      </c>
      <c r="F9580" t="e">
        <f>-outros</f>
        <v>#NAME?</v>
      </c>
      <c r="G9580">
        <v>1</v>
      </c>
      <c r="H9580">
        <v>1</v>
      </c>
      <c r="I9580">
        <f>1</f>
        <v>1</v>
      </c>
    </row>
    <row r="9581" spans="2:9" x14ac:dyDescent="0.25">
      <c r="B9581">
        <v>0</v>
      </c>
      <c r="C9581" s="16" t="s">
        <v>18569</v>
      </c>
      <c r="D9581" s="16"/>
      <c r="E9581">
        <v>6</v>
      </c>
      <c r="F9581" t="e">
        <f>-peças isolantes De cerâmica</f>
        <v>#NAME?</v>
      </c>
      <c r="G9581">
        <v>1</v>
      </c>
      <c r="H9581">
        <v>1</v>
      </c>
      <c r="I9581">
        <f>1</f>
        <v>1</v>
      </c>
    </row>
    <row r="9582" spans="2:9" x14ac:dyDescent="0.25">
      <c r="B9582">
        <v>0</v>
      </c>
      <c r="C9582" s="16" t="s">
        <v>18570</v>
      </c>
      <c r="D9582" s="16"/>
      <c r="E9582">
        <v>6</v>
      </c>
      <c r="F9582" t="s">
        <v>8935</v>
      </c>
      <c r="G9582">
        <v>1</v>
      </c>
      <c r="H9582">
        <v>1</v>
      </c>
      <c r="I9582">
        <f>1</f>
        <v>1</v>
      </c>
    </row>
    <row r="9583" spans="2:9" x14ac:dyDescent="0.25">
      <c r="B9583">
        <v>0</v>
      </c>
      <c r="C9583" s="16" t="s">
        <v>18571</v>
      </c>
      <c r="D9583" s="16"/>
      <c r="E9583">
        <v>6</v>
      </c>
      <c r="F9583" t="s">
        <v>4690</v>
      </c>
      <c r="G9583">
        <v>1</v>
      </c>
      <c r="H9583">
        <v>1</v>
      </c>
      <c r="I9583">
        <f>1</f>
        <v>1</v>
      </c>
    </row>
    <row r="9584" spans="2:9" x14ac:dyDescent="0.25">
      <c r="B9584">
        <v>0</v>
      </c>
      <c r="C9584" s="16" t="s">
        <v>18572</v>
      </c>
      <c r="D9584" s="16"/>
      <c r="E9584">
        <v>6</v>
      </c>
      <c r="F9584" t="e">
        <f>-outros</f>
        <v>#NAME?</v>
      </c>
      <c r="G9584">
        <v>1</v>
      </c>
      <c r="H9584">
        <v>1</v>
      </c>
      <c r="I9584">
        <f>1</f>
        <v>1</v>
      </c>
    </row>
    <row r="9585" spans="2:9" x14ac:dyDescent="0.25">
      <c r="B9585">
        <v>0</v>
      </c>
      <c r="C9585" s="16" t="s">
        <v>18573</v>
      </c>
      <c r="D9585" s="16"/>
      <c r="E9585">
        <v>6</v>
      </c>
      <c r="F9585" t="s">
        <v>8936</v>
      </c>
      <c r="G9585">
        <v>1</v>
      </c>
      <c r="H9585">
        <v>1</v>
      </c>
      <c r="I9585">
        <f>1</f>
        <v>1</v>
      </c>
    </row>
    <row r="9586" spans="2:9" x14ac:dyDescent="0.25">
      <c r="B9586">
        <v>0</v>
      </c>
      <c r="C9586" s="16" t="s">
        <v>18573</v>
      </c>
      <c r="D9586" s="16" t="s">
        <v>19430</v>
      </c>
      <c r="E9586">
        <v>6</v>
      </c>
      <c r="F9586" t="s">
        <v>8937</v>
      </c>
      <c r="G9586">
        <v>1</v>
      </c>
      <c r="H9586">
        <v>1</v>
      </c>
      <c r="I9586">
        <f>1</f>
        <v>1</v>
      </c>
    </row>
    <row r="9587" spans="2:9" x14ac:dyDescent="0.25">
      <c r="B9587">
        <v>0</v>
      </c>
      <c r="C9587" s="16" t="s">
        <v>18574</v>
      </c>
      <c r="D9587" s="16"/>
      <c r="E9587">
        <v>6</v>
      </c>
      <c r="F9587" t="s">
        <v>4680</v>
      </c>
      <c r="G9587">
        <v>1</v>
      </c>
      <c r="H9587">
        <v>1</v>
      </c>
      <c r="I9587">
        <f>1</f>
        <v>1</v>
      </c>
    </row>
    <row r="9588" spans="2:9" x14ac:dyDescent="0.25">
      <c r="B9588">
        <v>0</v>
      </c>
      <c r="C9588" s="16" t="s">
        <v>18574</v>
      </c>
      <c r="D9588" s="16" t="s">
        <v>19430</v>
      </c>
      <c r="E9588">
        <v>6</v>
      </c>
      <c r="F9588" t="s">
        <v>8938</v>
      </c>
      <c r="G9588">
        <v>1</v>
      </c>
      <c r="H9588">
        <v>1</v>
      </c>
      <c r="I9588">
        <f>1</f>
        <v>1</v>
      </c>
    </row>
    <row r="9589" spans="2:9" x14ac:dyDescent="0.25">
      <c r="B9589">
        <v>0</v>
      </c>
      <c r="C9589" s="16" t="s">
        <v>18574</v>
      </c>
      <c r="D9589" s="16" t="s">
        <v>19431</v>
      </c>
      <c r="E9589">
        <v>6</v>
      </c>
      <c r="F9589" t="s">
        <v>8939</v>
      </c>
      <c r="G9589">
        <v>1</v>
      </c>
      <c r="H9589">
        <v>1</v>
      </c>
      <c r="I9589">
        <f>1</f>
        <v>1</v>
      </c>
    </row>
    <row r="9590" spans="2:9" x14ac:dyDescent="0.25">
      <c r="B9590">
        <v>0</v>
      </c>
      <c r="C9590" s="16" t="s">
        <v>18574</v>
      </c>
      <c r="D9590" s="16" t="s">
        <v>19432</v>
      </c>
      <c r="E9590">
        <v>6</v>
      </c>
      <c r="F9590" t="s">
        <v>8940</v>
      </c>
      <c r="G9590">
        <v>1</v>
      </c>
      <c r="H9590">
        <v>1</v>
      </c>
      <c r="I9590">
        <f>1</f>
        <v>1</v>
      </c>
    </row>
    <row r="9591" spans="2:9" x14ac:dyDescent="0.25">
      <c r="B9591">
        <v>0</v>
      </c>
      <c r="C9591" s="16" t="s">
        <v>18575</v>
      </c>
      <c r="D9591" s="16"/>
      <c r="E9591">
        <v>6</v>
      </c>
      <c r="F9591" t="s">
        <v>8941</v>
      </c>
      <c r="G9591">
        <v>1</v>
      </c>
      <c r="H9591">
        <v>1</v>
      </c>
      <c r="I9591">
        <f>1</f>
        <v>1</v>
      </c>
    </row>
    <row r="9592" spans="2:9" x14ac:dyDescent="0.25">
      <c r="B9592">
        <v>0</v>
      </c>
      <c r="C9592" s="16" t="s">
        <v>18576</v>
      </c>
      <c r="D9592" s="16"/>
      <c r="E9592">
        <v>6</v>
      </c>
      <c r="F9592" t="s">
        <v>4690</v>
      </c>
      <c r="G9592">
        <v>1</v>
      </c>
      <c r="H9592">
        <v>1</v>
      </c>
      <c r="I9592">
        <f>1</f>
        <v>1</v>
      </c>
    </row>
    <row r="9593" spans="2:9" x14ac:dyDescent="0.25">
      <c r="B9593">
        <v>0</v>
      </c>
      <c r="C9593" s="16" t="s">
        <v>18577</v>
      </c>
      <c r="D9593" s="16"/>
      <c r="E9593">
        <v>6</v>
      </c>
      <c r="F9593" t="e">
        <f>-De fonte externa De eletricidade</f>
        <v>#NAME?</v>
      </c>
      <c r="G9593">
        <v>1</v>
      </c>
      <c r="H9593">
        <v>1</v>
      </c>
      <c r="I9593">
        <f>1</f>
        <v>1</v>
      </c>
    </row>
    <row r="9594" spans="2:9" x14ac:dyDescent="0.25">
      <c r="B9594">
        <v>0</v>
      </c>
      <c r="C9594" s="16" t="s">
        <v>18578</v>
      </c>
      <c r="D9594" s="16"/>
      <c r="E9594">
        <v>6</v>
      </c>
      <c r="F9594" t="e">
        <f>-De acumuladores elétricos</f>
        <v>#NAME?</v>
      </c>
      <c r="G9594">
        <v>1</v>
      </c>
      <c r="H9594">
        <v>1</v>
      </c>
      <c r="I9594">
        <f>1</f>
        <v>1</v>
      </c>
    </row>
    <row r="9595" spans="2:9" x14ac:dyDescent="0.25">
      <c r="B9595">
        <v>0</v>
      </c>
      <c r="C9595" s="16" t="s">
        <v>18579</v>
      </c>
      <c r="D9595" s="16"/>
      <c r="E9595">
        <v>6</v>
      </c>
      <c r="F9595" t="e">
        <f>-Locomotivas diesel-elétricas</f>
        <v>#NAME?</v>
      </c>
      <c r="G9595">
        <v>1</v>
      </c>
      <c r="H9595">
        <v>1</v>
      </c>
      <c r="I9595">
        <f>1</f>
        <v>1</v>
      </c>
    </row>
    <row r="9596" spans="2:9" x14ac:dyDescent="0.25">
      <c r="B9596">
        <v>0</v>
      </c>
      <c r="C9596" s="16" t="s">
        <v>18580</v>
      </c>
      <c r="D9596" s="16"/>
      <c r="E9596">
        <v>6</v>
      </c>
      <c r="F9596" t="e">
        <f>-outros</f>
        <v>#NAME?</v>
      </c>
      <c r="G9596">
        <v>1</v>
      </c>
      <c r="H9596">
        <v>1</v>
      </c>
      <c r="I9596">
        <f>1</f>
        <v>1</v>
      </c>
    </row>
    <row r="9597" spans="2:9" x14ac:dyDescent="0.25">
      <c r="B9597">
        <v>0</v>
      </c>
      <c r="C9597" s="16" t="s">
        <v>18581</v>
      </c>
      <c r="D9597" s="16"/>
      <c r="E9597">
        <v>6</v>
      </c>
      <c r="F9597" t="e">
        <f>-De fonte externa De eletricidade</f>
        <v>#NAME?</v>
      </c>
      <c r="G9597">
        <v>1</v>
      </c>
      <c r="H9597">
        <v>1</v>
      </c>
      <c r="I9597">
        <f>1</f>
        <v>1</v>
      </c>
    </row>
    <row r="9598" spans="2:9" x14ac:dyDescent="0.25">
      <c r="B9598">
        <v>0</v>
      </c>
      <c r="C9598" s="16" t="s">
        <v>18582</v>
      </c>
      <c r="D9598" s="16"/>
      <c r="E9598">
        <v>6</v>
      </c>
      <c r="F9598" t="e">
        <f>-Outras</f>
        <v>#NAME?</v>
      </c>
      <c r="G9598">
        <v>1</v>
      </c>
      <c r="H9598">
        <v>1</v>
      </c>
      <c r="I9598">
        <f>1</f>
        <v>1</v>
      </c>
    </row>
    <row r="9599" spans="2:9" x14ac:dyDescent="0.25">
      <c r="B9599">
        <v>0</v>
      </c>
      <c r="C9599" s="16" t="s">
        <v>18583</v>
      </c>
      <c r="D9599" s="16"/>
      <c r="E9599">
        <v>6</v>
      </c>
      <c r="F9599" t="s">
        <v>8942</v>
      </c>
      <c r="G9599">
        <v>1</v>
      </c>
      <c r="H9599">
        <v>1</v>
      </c>
      <c r="I9599">
        <f>1</f>
        <v>1</v>
      </c>
    </row>
    <row r="9600" spans="2:9" x14ac:dyDescent="0.25">
      <c r="B9600">
        <v>0</v>
      </c>
      <c r="C9600" s="16" t="s">
        <v>18584</v>
      </c>
      <c r="D9600" s="16"/>
      <c r="E9600">
        <v>6</v>
      </c>
      <c r="F9600" t="s">
        <v>4680</v>
      </c>
      <c r="G9600">
        <v>1</v>
      </c>
      <c r="H9600">
        <v>1</v>
      </c>
      <c r="I9600">
        <f>1</f>
        <v>1</v>
      </c>
    </row>
    <row r="9601" spans="2:9" x14ac:dyDescent="0.25">
      <c r="B9601">
        <v>0</v>
      </c>
      <c r="C9601" s="16" t="s">
        <v>18585</v>
      </c>
      <c r="D9601" s="16"/>
      <c r="E9601">
        <v>6</v>
      </c>
      <c r="F9601" t="s">
        <v>8943</v>
      </c>
      <c r="G9601">
        <v>1</v>
      </c>
      <c r="H9601">
        <v>1</v>
      </c>
      <c r="I9601">
        <f>1</f>
        <v>1</v>
      </c>
    </row>
    <row r="9602" spans="2:9" x14ac:dyDescent="0.25">
      <c r="B9602">
        <v>0</v>
      </c>
      <c r="C9602" s="16" t="s">
        <v>18586</v>
      </c>
      <c r="D9602" s="16"/>
      <c r="E9602">
        <v>6</v>
      </c>
      <c r="F9602" t="s">
        <v>4680</v>
      </c>
      <c r="G9602">
        <v>1</v>
      </c>
      <c r="H9602">
        <v>1</v>
      </c>
      <c r="I9602">
        <f>1</f>
        <v>1</v>
      </c>
    </row>
    <row r="9603" spans="2:9" x14ac:dyDescent="0.25">
      <c r="B9603">
        <v>0</v>
      </c>
      <c r="C9603" s="16" t="s">
        <v>18587</v>
      </c>
      <c r="D9603" s="16"/>
      <c r="E9603">
        <v>6</v>
      </c>
      <c r="F9603" t="e">
        <f>-Vagões-tanques e semelhantes</f>
        <v>#NAME?</v>
      </c>
      <c r="G9603">
        <v>1</v>
      </c>
      <c r="H9603">
        <v>1</v>
      </c>
      <c r="I9603">
        <f>1</f>
        <v>1</v>
      </c>
    </row>
    <row r="9604" spans="2:9" x14ac:dyDescent="0.25">
      <c r="B9604">
        <v>0</v>
      </c>
      <c r="C9604" s="16" t="s">
        <v>18588</v>
      </c>
      <c r="D9604" s="16"/>
      <c r="E9604">
        <v>6</v>
      </c>
      <c r="F9604" t="s">
        <v>8944</v>
      </c>
      <c r="G9604">
        <v>1</v>
      </c>
      <c r="H9604">
        <v>1</v>
      </c>
      <c r="I9604">
        <f>1</f>
        <v>1</v>
      </c>
    </row>
    <row r="9605" spans="2:9" x14ac:dyDescent="0.25">
      <c r="B9605">
        <v>0</v>
      </c>
      <c r="C9605" s="16" t="s">
        <v>18589</v>
      </c>
      <c r="D9605" s="16"/>
      <c r="E9605">
        <v>6</v>
      </c>
      <c r="F9605" t="e">
        <f>--Cobertos e fechados</f>
        <v>#NAME?</v>
      </c>
      <c r="G9605">
        <v>1</v>
      </c>
      <c r="H9605">
        <v>1</v>
      </c>
      <c r="I9605">
        <f>1</f>
        <v>1</v>
      </c>
    </row>
    <row r="9606" spans="2:9" x14ac:dyDescent="0.25">
      <c r="B9606">
        <v>0</v>
      </c>
      <c r="C9606" s="16" t="s">
        <v>18590</v>
      </c>
      <c r="D9606" s="16"/>
      <c r="E9606">
        <v>6</v>
      </c>
      <c r="F9606" t="s">
        <v>8945</v>
      </c>
      <c r="G9606">
        <v>1</v>
      </c>
      <c r="H9606">
        <v>1</v>
      </c>
      <c r="I9606">
        <f>1</f>
        <v>1</v>
      </c>
    </row>
    <row r="9607" spans="2:9" x14ac:dyDescent="0.25">
      <c r="B9607">
        <v>0</v>
      </c>
      <c r="C9607" s="16" t="s">
        <v>18591</v>
      </c>
      <c r="D9607" s="16"/>
      <c r="E9607">
        <v>6</v>
      </c>
      <c r="F9607" t="e">
        <f>--outros</f>
        <v>#NAME?</v>
      </c>
      <c r="G9607">
        <v>1</v>
      </c>
      <c r="H9607">
        <v>1</v>
      </c>
      <c r="I9607">
        <f>1</f>
        <v>1</v>
      </c>
    </row>
    <row r="9608" spans="2:9" x14ac:dyDescent="0.25">
      <c r="B9608">
        <v>0</v>
      </c>
      <c r="C9608" s="16" t="s">
        <v>18592</v>
      </c>
      <c r="D9608" s="16"/>
      <c r="E9608">
        <v>6</v>
      </c>
      <c r="F9608" t="s">
        <v>8946</v>
      </c>
      <c r="G9608">
        <v>1</v>
      </c>
      <c r="H9608">
        <v>1</v>
      </c>
      <c r="I9608">
        <f>1</f>
        <v>1</v>
      </c>
    </row>
    <row r="9609" spans="2:9" x14ac:dyDescent="0.25">
      <c r="B9609">
        <v>0</v>
      </c>
      <c r="C9609" s="16" t="s">
        <v>18593</v>
      </c>
      <c r="D9609" s="16"/>
      <c r="E9609">
        <v>6</v>
      </c>
      <c r="F9609" t="s">
        <v>8947</v>
      </c>
      <c r="G9609">
        <v>1</v>
      </c>
      <c r="H9609">
        <v>1</v>
      </c>
      <c r="I9609">
        <f>1</f>
        <v>1</v>
      </c>
    </row>
    <row r="9610" spans="2:9" x14ac:dyDescent="0.25">
      <c r="B9610">
        <v>0</v>
      </c>
      <c r="C9610" s="16" t="s">
        <v>18594</v>
      </c>
      <c r="D9610" s="16"/>
      <c r="E9610">
        <v>6</v>
      </c>
      <c r="F9610" t="e">
        <f>--outros bogies e bissels</f>
        <v>#NAME?</v>
      </c>
      <c r="G9610">
        <v>1</v>
      </c>
      <c r="H9610">
        <v>1</v>
      </c>
      <c r="I9610">
        <f>1</f>
        <v>1</v>
      </c>
    </row>
    <row r="9611" spans="2:9" x14ac:dyDescent="0.25">
      <c r="B9611">
        <v>0</v>
      </c>
      <c r="C9611" s="16" t="s">
        <v>18595</v>
      </c>
      <c r="D9611" s="16"/>
      <c r="E9611">
        <v>6</v>
      </c>
      <c r="F9611" t="s">
        <v>8948</v>
      </c>
      <c r="G9611">
        <v>1</v>
      </c>
      <c r="H9611">
        <v>1</v>
      </c>
      <c r="I9611">
        <f>1</f>
        <v>1</v>
      </c>
    </row>
    <row r="9612" spans="2:9" x14ac:dyDescent="0.25">
      <c r="B9612">
        <v>0</v>
      </c>
      <c r="C9612" s="16" t="s">
        <v>18596</v>
      </c>
      <c r="D9612" s="16"/>
      <c r="E9612">
        <v>6</v>
      </c>
      <c r="F9612" t="s">
        <v>4680</v>
      </c>
      <c r="G9612">
        <v>1</v>
      </c>
      <c r="H9612">
        <v>1</v>
      </c>
      <c r="I9612">
        <f>1</f>
        <v>1</v>
      </c>
    </row>
    <row r="9613" spans="2:9" x14ac:dyDescent="0.25">
      <c r="B9613">
        <v>0</v>
      </c>
      <c r="C9613" s="16" t="s">
        <v>18597</v>
      </c>
      <c r="D9613" s="16"/>
      <c r="E9613">
        <v>6</v>
      </c>
      <c r="F9613" t="s">
        <v>4680</v>
      </c>
      <c r="G9613">
        <v>1</v>
      </c>
      <c r="H9613">
        <v>1</v>
      </c>
      <c r="I9613">
        <f>1</f>
        <v>1</v>
      </c>
    </row>
    <row r="9614" spans="2:9" x14ac:dyDescent="0.25">
      <c r="B9614">
        <v>0</v>
      </c>
      <c r="C9614" s="16" t="s">
        <v>18598</v>
      </c>
      <c r="D9614" s="16"/>
      <c r="E9614">
        <v>6</v>
      </c>
      <c r="F9614" t="e">
        <f>--Freios a ar comprimido e suas Partes</f>
        <v>#NAME?</v>
      </c>
      <c r="G9614">
        <v>1</v>
      </c>
      <c r="H9614">
        <v>1</v>
      </c>
      <c r="I9614">
        <f>1</f>
        <v>1</v>
      </c>
    </row>
    <row r="9615" spans="2:9" x14ac:dyDescent="0.25">
      <c r="B9615">
        <v>0</v>
      </c>
      <c r="C9615" s="16" t="s">
        <v>18599</v>
      </c>
      <c r="D9615" s="16"/>
      <c r="E9615">
        <v>6</v>
      </c>
      <c r="F9615" t="e">
        <f>--outros</f>
        <v>#NAME?</v>
      </c>
      <c r="G9615">
        <v>1</v>
      </c>
      <c r="H9615">
        <v>1</v>
      </c>
      <c r="I9615">
        <f>1</f>
        <v>1</v>
      </c>
    </row>
    <row r="9616" spans="2:9" x14ac:dyDescent="0.25">
      <c r="B9616">
        <v>0</v>
      </c>
      <c r="C9616" s="16" t="s">
        <v>18600</v>
      </c>
      <c r="D9616" s="16"/>
      <c r="E9616">
        <v>6</v>
      </c>
      <c r="F9616" t="s">
        <v>8949</v>
      </c>
      <c r="G9616">
        <v>1</v>
      </c>
      <c r="H9616">
        <v>1</v>
      </c>
      <c r="I9616">
        <f>1</f>
        <v>1</v>
      </c>
    </row>
    <row r="9617" spans="2:9" x14ac:dyDescent="0.25">
      <c r="B9617">
        <v>0</v>
      </c>
      <c r="C9617" s="16" t="s">
        <v>18601</v>
      </c>
      <c r="D9617" s="16"/>
      <c r="E9617">
        <v>6</v>
      </c>
      <c r="F9617" t="e">
        <f>--De Locomotivas ou De locotratores</f>
        <v>#NAME?</v>
      </c>
      <c r="G9617">
        <v>1</v>
      </c>
      <c r="H9617">
        <v>1</v>
      </c>
      <c r="I9617">
        <f>1</f>
        <v>1</v>
      </c>
    </row>
    <row r="9618" spans="2:9" x14ac:dyDescent="0.25">
      <c r="B9618">
        <v>0</v>
      </c>
      <c r="C9618" s="16" t="s">
        <v>18602</v>
      </c>
      <c r="D9618" s="16"/>
      <c r="E9618">
        <v>6</v>
      </c>
      <c r="F9618" t="e">
        <f>--Outras</f>
        <v>#NAME?</v>
      </c>
      <c r="G9618">
        <v>1</v>
      </c>
      <c r="H9618">
        <v>1</v>
      </c>
      <c r="I9618">
        <f>1</f>
        <v>1</v>
      </c>
    </row>
    <row r="9619" spans="2:9" x14ac:dyDescent="0.25">
      <c r="B9619">
        <v>0</v>
      </c>
      <c r="C9619" s="16" t="s">
        <v>18603</v>
      </c>
      <c r="D9619" s="16"/>
      <c r="E9619">
        <v>6</v>
      </c>
      <c r="F9619" t="s">
        <v>8950</v>
      </c>
      <c r="G9619">
        <v>1</v>
      </c>
      <c r="H9619">
        <v>1</v>
      </c>
      <c r="I9619">
        <f>1</f>
        <v>1</v>
      </c>
    </row>
    <row r="9620" spans="2:9" x14ac:dyDescent="0.25">
      <c r="B9620">
        <v>0</v>
      </c>
      <c r="C9620" s="16" t="s">
        <v>18604</v>
      </c>
      <c r="D9620" s="16"/>
      <c r="E9620">
        <v>6</v>
      </c>
      <c r="F9620" t="s">
        <v>8951</v>
      </c>
      <c r="G9620">
        <v>1</v>
      </c>
      <c r="H9620">
        <v>1</v>
      </c>
      <c r="I9620">
        <f>1</f>
        <v>1</v>
      </c>
    </row>
    <row r="9621" spans="2:9" x14ac:dyDescent="0.25">
      <c r="B9621">
        <v>0</v>
      </c>
      <c r="C9621" s="16" t="s">
        <v>18605</v>
      </c>
      <c r="D9621" s="16"/>
      <c r="E9621">
        <v>6</v>
      </c>
      <c r="F9621" t="s">
        <v>4680</v>
      </c>
      <c r="G9621">
        <v>1</v>
      </c>
      <c r="H9621">
        <v>1</v>
      </c>
      <c r="I9621">
        <f>1</f>
        <v>1</v>
      </c>
    </row>
    <row r="9622" spans="2:9" x14ac:dyDescent="0.25">
      <c r="B9622">
        <v>0</v>
      </c>
      <c r="C9622" s="16" t="s">
        <v>18606</v>
      </c>
      <c r="D9622" s="16"/>
      <c r="E9622">
        <v>6</v>
      </c>
      <c r="F9622" t="s">
        <v>8952</v>
      </c>
      <c r="G9622">
        <v>1</v>
      </c>
      <c r="H9622">
        <v>1</v>
      </c>
      <c r="I9622">
        <f>1</f>
        <v>1</v>
      </c>
    </row>
    <row r="9623" spans="2:9" x14ac:dyDescent="0.25">
      <c r="B9623">
        <v>0</v>
      </c>
      <c r="C9623" s="16" t="s">
        <v>18607</v>
      </c>
      <c r="D9623" s="16"/>
      <c r="E9623">
        <v>6</v>
      </c>
      <c r="F9623" t="e">
        <f>-Motocultores</f>
        <v>#NAME?</v>
      </c>
      <c r="G9623">
        <v>1</v>
      </c>
      <c r="H9623">
        <v>1</v>
      </c>
      <c r="I9623">
        <f>1</f>
        <v>1</v>
      </c>
    </row>
    <row r="9624" spans="2:9" x14ac:dyDescent="0.25">
      <c r="B9624">
        <v>0</v>
      </c>
      <c r="C9624" s="16" t="s">
        <v>18608</v>
      </c>
      <c r="D9624" s="16"/>
      <c r="E9624">
        <v>6</v>
      </c>
      <c r="F9624" t="e">
        <f>-Tratores rodoviários para semirreboques</f>
        <v>#NAME?</v>
      </c>
      <c r="G9624">
        <v>1</v>
      </c>
      <c r="H9624">
        <v>1</v>
      </c>
      <c r="I9624">
        <f>1</f>
        <v>1</v>
      </c>
    </row>
    <row r="9625" spans="2:9" x14ac:dyDescent="0.25">
      <c r="B9625">
        <v>0</v>
      </c>
      <c r="C9625" s="16" t="s">
        <v>18609</v>
      </c>
      <c r="D9625" s="16"/>
      <c r="E9625">
        <v>6</v>
      </c>
      <c r="F9625" t="e">
        <f>-Tratores De lagartas</f>
        <v>#NAME?</v>
      </c>
      <c r="G9625">
        <v>1</v>
      </c>
      <c r="H9625">
        <v>1</v>
      </c>
      <c r="I9625">
        <f>1</f>
        <v>1</v>
      </c>
    </row>
    <row r="9626" spans="2:9" x14ac:dyDescent="0.25">
      <c r="B9626">
        <v>0</v>
      </c>
      <c r="C9626" s="16" t="s">
        <v>18610</v>
      </c>
      <c r="D9626" s="16"/>
      <c r="E9626">
        <v>6</v>
      </c>
      <c r="F9626" t="s">
        <v>8953</v>
      </c>
      <c r="G9626">
        <v>1</v>
      </c>
      <c r="H9626">
        <v>1</v>
      </c>
      <c r="I9626">
        <f>1</f>
        <v>1</v>
      </c>
    </row>
    <row r="9627" spans="2:9" x14ac:dyDescent="0.25">
      <c r="B9627">
        <v>0</v>
      </c>
      <c r="C9627" s="16" t="s">
        <v>18611</v>
      </c>
      <c r="D9627" s="16"/>
      <c r="E9627">
        <v>6</v>
      </c>
      <c r="F9627" t="s">
        <v>4680</v>
      </c>
      <c r="G9627">
        <v>1</v>
      </c>
      <c r="H9627">
        <v>1</v>
      </c>
      <c r="I9627">
        <f>1</f>
        <v>1</v>
      </c>
    </row>
    <row r="9628" spans="2:9" x14ac:dyDescent="0.25">
      <c r="B9628">
        <v>0</v>
      </c>
      <c r="C9628" s="16" t="s">
        <v>18611</v>
      </c>
      <c r="D9628" s="16" t="s">
        <v>19430</v>
      </c>
      <c r="E9628">
        <v>6</v>
      </c>
      <c r="F9628" t="s">
        <v>8954</v>
      </c>
      <c r="G9628">
        <v>1</v>
      </c>
      <c r="H9628">
        <v>1</v>
      </c>
      <c r="I9628">
        <f>1</f>
        <v>1</v>
      </c>
    </row>
    <row r="9629" spans="2:9" x14ac:dyDescent="0.25">
      <c r="B9629">
        <v>0</v>
      </c>
      <c r="C9629" s="16" t="s">
        <v>18612</v>
      </c>
      <c r="D9629" s="16"/>
      <c r="E9629">
        <v>6</v>
      </c>
      <c r="F9629" t="s">
        <v>8955</v>
      </c>
      <c r="G9629">
        <v>1</v>
      </c>
      <c r="H9629">
        <v>1</v>
      </c>
      <c r="I9629">
        <f>1</f>
        <v>1</v>
      </c>
    </row>
    <row r="9630" spans="2:9" x14ac:dyDescent="0.25">
      <c r="B9630">
        <v>0</v>
      </c>
      <c r="C9630" s="16" t="s">
        <v>18612</v>
      </c>
      <c r="D9630" s="16" t="s">
        <v>19430</v>
      </c>
      <c r="E9630">
        <v>6</v>
      </c>
      <c r="F9630" t="s">
        <v>8956</v>
      </c>
      <c r="G9630">
        <v>1</v>
      </c>
      <c r="H9630">
        <v>1</v>
      </c>
      <c r="I9630">
        <f>1</f>
        <v>1</v>
      </c>
    </row>
    <row r="9631" spans="2:9" x14ac:dyDescent="0.25">
      <c r="B9631">
        <v>0</v>
      </c>
      <c r="C9631" s="16" t="s">
        <v>18612</v>
      </c>
      <c r="D9631" s="16" t="s">
        <v>19431</v>
      </c>
      <c r="E9631">
        <v>6</v>
      </c>
      <c r="F9631" t="s">
        <v>8957</v>
      </c>
      <c r="G9631">
        <v>1</v>
      </c>
      <c r="H9631">
        <v>1</v>
      </c>
      <c r="I9631">
        <f>1</f>
        <v>1</v>
      </c>
    </row>
    <row r="9632" spans="2:9" x14ac:dyDescent="0.25">
      <c r="B9632">
        <v>0</v>
      </c>
      <c r="C9632" s="16" t="s">
        <v>18613</v>
      </c>
      <c r="D9632" s="16"/>
      <c r="E9632">
        <v>6</v>
      </c>
      <c r="F9632" t="s">
        <v>8958</v>
      </c>
      <c r="G9632">
        <v>1</v>
      </c>
      <c r="H9632">
        <v>1</v>
      </c>
      <c r="I9632">
        <f>1</f>
        <v>1</v>
      </c>
    </row>
    <row r="9633" spans="2:9" x14ac:dyDescent="0.25">
      <c r="B9633">
        <v>0</v>
      </c>
      <c r="C9633" s="16" t="s">
        <v>18614</v>
      </c>
      <c r="D9633" s="16"/>
      <c r="E9633">
        <v>6</v>
      </c>
      <c r="F9633" t="s">
        <v>4680</v>
      </c>
      <c r="G9633">
        <v>1</v>
      </c>
      <c r="H9633">
        <v>1</v>
      </c>
      <c r="I9633">
        <f>1</f>
        <v>1</v>
      </c>
    </row>
    <row r="9634" spans="2:9" x14ac:dyDescent="0.25">
      <c r="B9634">
        <v>0</v>
      </c>
      <c r="C9634" s="16" t="s">
        <v>18614</v>
      </c>
      <c r="D9634" s="16" t="s">
        <v>19430</v>
      </c>
      <c r="E9634">
        <v>6</v>
      </c>
      <c r="F9634" t="s">
        <v>8956</v>
      </c>
      <c r="G9634">
        <v>1</v>
      </c>
      <c r="H9634">
        <v>1</v>
      </c>
      <c r="I9634">
        <f>1</f>
        <v>1</v>
      </c>
    </row>
    <row r="9635" spans="2:9" x14ac:dyDescent="0.25">
      <c r="B9635">
        <v>0</v>
      </c>
      <c r="C9635" s="16" t="s">
        <v>18614</v>
      </c>
      <c r="D9635" s="16" t="s">
        <v>19431</v>
      </c>
      <c r="E9635">
        <v>6</v>
      </c>
      <c r="F9635" t="s">
        <v>8957</v>
      </c>
      <c r="G9635">
        <v>1</v>
      </c>
      <c r="H9635">
        <v>1</v>
      </c>
      <c r="I9635">
        <f>1</f>
        <v>1</v>
      </c>
    </row>
    <row r="9636" spans="2:9" x14ac:dyDescent="0.25">
      <c r="B9636">
        <v>0</v>
      </c>
      <c r="C9636" s="16" t="s">
        <v>18615</v>
      </c>
      <c r="D9636" s="16"/>
      <c r="E9636">
        <v>6</v>
      </c>
      <c r="F9636" t="s">
        <v>8959</v>
      </c>
      <c r="G9636">
        <v>1</v>
      </c>
      <c r="H9636">
        <v>1</v>
      </c>
      <c r="I9636">
        <f>1</f>
        <v>1</v>
      </c>
    </row>
    <row r="9637" spans="2:9" x14ac:dyDescent="0.25">
      <c r="B9637">
        <v>0</v>
      </c>
      <c r="C9637" s="16" t="s">
        <v>18616</v>
      </c>
      <c r="D9637" s="16"/>
      <c r="E9637">
        <v>6</v>
      </c>
      <c r="F9637" t="s">
        <v>8960</v>
      </c>
      <c r="G9637">
        <v>1</v>
      </c>
      <c r="H9637">
        <v>1</v>
      </c>
      <c r="I9637">
        <f>1</f>
        <v>1</v>
      </c>
    </row>
    <row r="9638" spans="2:9" x14ac:dyDescent="0.25">
      <c r="B9638">
        <v>0</v>
      </c>
      <c r="C9638" s="16" t="s">
        <v>18617</v>
      </c>
      <c r="D9638" s="16"/>
      <c r="E9638">
        <v>6</v>
      </c>
      <c r="F9638" t="s">
        <v>8961</v>
      </c>
      <c r="G9638">
        <v>1</v>
      </c>
      <c r="H9638">
        <v>1</v>
      </c>
      <c r="I9638">
        <f>1</f>
        <v>1</v>
      </c>
    </row>
    <row r="9639" spans="2:9" x14ac:dyDescent="0.25">
      <c r="B9639">
        <v>0</v>
      </c>
      <c r="C9639" s="16" t="s">
        <v>18618</v>
      </c>
      <c r="D9639" s="16"/>
      <c r="E9639">
        <v>6</v>
      </c>
      <c r="F9639" t="s">
        <v>4680</v>
      </c>
      <c r="G9639">
        <v>1</v>
      </c>
      <c r="H9639">
        <v>1</v>
      </c>
      <c r="I9639">
        <f>1</f>
        <v>1</v>
      </c>
    </row>
    <row r="9640" spans="2:9" x14ac:dyDescent="0.25">
      <c r="B9640">
        <v>0</v>
      </c>
      <c r="C9640" s="16" t="s">
        <v>18619</v>
      </c>
      <c r="D9640" s="16"/>
      <c r="E9640">
        <v>6</v>
      </c>
      <c r="F9640" t="s">
        <v>8961</v>
      </c>
      <c r="G9640">
        <v>1</v>
      </c>
      <c r="H9640">
        <v>1</v>
      </c>
      <c r="I9640">
        <f>1</f>
        <v>1</v>
      </c>
    </row>
    <row r="9641" spans="2:9" x14ac:dyDescent="0.25">
      <c r="B9641">
        <v>0</v>
      </c>
      <c r="C9641" s="16" t="s">
        <v>18619</v>
      </c>
      <c r="D9641" s="16" t="s">
        <v>19430</v>
      </c>
      <c r="E9641">
        <v>6</v>
      </c>
      <c r="F9641" t="s">
        <v>8962</v>
      </c>
      <c r="G9641">
        <v>1</v>
      </c>
      <c r="H9641">
        <v>1</v>
      </c>
      <c r="I9641">
        <f>1</f>
        <v>1</v>
      </c>
    </row>
    <row r="9642" spans="2:9" x14ac:dyDescent="0.25">
      <c r="B9642">
        <v>0</v>
      </c>
      <c r="C9642" s="16" t="s">
        <v>18620</v>
      </c>
      <c r="D9642" s="16"/>
      <c r="E9642">
        <v>6</v>
      </c>
      <c r="F9642" t="s">
        <v>4680</v>
      </c>
      <c r="G9642">
        <v>1</v>
      </c>
      <c r="H9642">
        <v>1</v>
      </c>
      <c r="I9642">
        <f>1</f>
        <v>1</v>
      </c>
    </row>
    <row r="9643" spans="2:9" x14ac:dyDescent="0.25">
      <c r="B9643">
        <v>0</v>
      </c>
      <c r="C9643" s="16" t="s">
        <v>18620</v>
      </c>
      <c r="D9643" s="16" t="s">
        <v>19430</v>
      </c>
      <c r="E9643">
        <v>6</v>
      </c>
      <c r="F9643" t="s">
        <v>8962</v>
      </c>
      <c r="G9643">
        <v>1</v>
      </c>
      <c r="H9643">
        <v>1</v>
      </c>
      <c r="I9643">
        <f>1</f>
        <v>1</v>
      </c>
    </row>
    <row r="9644" spans="2:9" x14ac:dyDescent="0.25">
      <c r="B9644">
        <v>0</v>
      </c>
      <c r="C9644" s="16" t="s">
        <v>18621</v>
      </c>
      <c r="D9644" s="16"/>
      <c r="E9644">
        <v>6</v>
      </c>
      <c r="F9644" t="s">
        <v>8961</v>
      </c>
      <c r="G9644">
        <v>1</v>
      </c>
      <c r="H9644">
        <v>1</v>
      </c>
      <c r="I9644">
        <f>1</f>
        <v>1</v>
      </c>
    </row>
    <row r="9645" spans="2:9" x14ac:dyDescent="0.25">
      <c r="B9645">
        <v>0</v>
      </c>
      <c r="C9645" s="16" t="s">
        <v>18622</v>
      </c>
      <c r="D9645" s="16"/>
      <c r="E9645">
        <v>6</v>
      </c>
      <c r="F9645" t="s">
        <v>4680</v>
      </c>
      <c r="G9645">
        <v>1</v>
      </c>
      <c r="H9645">
        <v>1</v>
      </c>
      <c r="I9645">
        <f>1</f>
        <v>1</v>
      </c>
    </row>
    <row r="9646" spans="2:9" x14ac:dyDescent="0.25">
      <c r="B9646">
        <v>0</v>
      </c>
      <c r="C9646" s="16" t="s">
        <v>18623</v>
      </c>
      <c r="D9646" s="16"/>
      <c r="E9646">
        <v>6</v>
      </c>
      <c r="F9646" t="s">
        <v>8961</v>
      </c>
      <c r="G9646">
        <v>1</v>
      </c>
      <c r="H9646">
        <v>1</v>
      </c>
      <c r="I9646">
        <f>1</f>
        <v>1</v>
      </c>
    </row>
    <row r="9647" spans="2:9" x14ac:dyDescent="0.25">
      <c r="B9647">
        <v>0</v>
      </c>
      <c r="C9647" s="16" t="s">
        <v>18624</v>
      </c>
      <c r="D9647" s="16"/>
      <c r="E9647">
        <v>6</v>
      </c>
      <c r="F9647" t="s">
        <v>4680</v>
      </c>
      <c r="G9647">
        <v>1</v>
      </c>
      <c r="H9647">
        <v>1</v>
      </c>
      <c r="I9647">
        <f>1</f>
        <v>1</v>
      </c>
    </row>
    <row r="9648" spans="2:9" x14ac:dyDescent="0.25">
      <c r="B9648">
        <v>0</v>
      </c>
      <c r="C9648" s="16" t="s">
        <v>18625</v>
      </c>
      <c r="D9648" s="16"/>
      <c r="E9648">
        <v>6</v>
      </c>
      <c r="F9648" t="s">
        <v>8961</v>
      </c>
      <c r="G9648">
        <v>1</v>
      </c>
      <c r="H9648">
        <v>1</v>
      </c>
      <c r="I9648">
        <f>1</f>
        <v>1</v>
      </c>
    </row>
    <row r="9649" spans="2:9" x14ac:dyDescent="0.25">
      <c r="B9649">
        <v>0</v>
      </c>
      <c r="C9649" s="16" t="s">
        <v>18626</v>
      </c>
      <c r="D9649" s="16"/>
      <c r="E9649">
        <v>6</v>
      </c>
      <c r="F9649" t="s">
        <v>4680</v>
      </c>
      <c r="G9649">
        <v>1</v>
      </c>
      <c r="H9649">
        <v>1</v>
      </c>
      <c r="I9649">
        <f>1</f>
        <v>1</v>
      </c>
    </row>
    <row r="9650" spans="2:9" x14ac:dyDescent="0.25">
      <c r="B9650">
        <v>0</v>
      </c>
      <c r="C9650" s="16" t="s">
        <v>18627</v>
      </c>
      <c r="D9650" s="16"/>
      <c r="E9650">
        <v>6</v>
      </c>
      <c r="F9650" t="s">
        <v>8961</v>
      </c>
      <c r="G9650">
        <v>1</v>
      </c>
      <c r="H9650">
        <v>1</v>
      </c>
      <c r="I9650">
        <f>1</f>
        <v>1</v>
      </c>
    </row>
    <row r="9651" spans="2:9" x14ac:dyDescent="0.25">
      <c r="B9651">
        <v>0</v>
      </c>
      <c r="C9651" s="16" t="s">
        <v>18628</v>
      </c>
      <c r="D9651" s="16"/>
      <c r="E9651">
        <v>6</v>
      </c>
      <c r="F9651" t="s">
        <v>4680</v>
      </c>
      <c r="G9651">
        <v>1</v>
      </c>
      <c r="H9651">
        <v>1</v>
      </c>
      <c r="I9651">
        <f>1</f>
        <v>1</v>
      </c>
    </row>
    <row r="9652" spans="2:9" x14ac:dyDescent="0.25">
      <c r="B9652">
        <v>0</v>
      </c>
      <c r="C9652" s="16" t="s">
        <v>18629</v>
      </c>
      <c r="D9652" s="16"/>
      <c r="E9652">
        <v>6</v>
      </c>
      <c r="F9652" t="e">
        <f>-outros</f>
        <v>#NAME?</v>
      </c>
      <c r="G9652">
        <v>1</v>
      </c>
      <c r="H9652">
        <v>1</v>
      </c>
      <c r="I9652">
        <f>1</f>
        <v>1</v>
      </c>
    </row>
    <row r="9653" spans="2:9" x14ac:dyDescent="0.25">
      <c r="B9653">
        <v>0</v>
      </c>
      <c r="C9653" s="16" t="s">
        <v>18630</v>
      </c>
      <c r="D9653" s="16"/>
      <c r="E9653">
        <v>6</v>
      </c>
      <c r="F9653" t="s">
        <v>8963</v>
      </c>
      <c r="G9653">
        <v>1</v>
      </c>
      <c r="H9653">
        <v>1</v>
      </c>
      <c r="I9653">
        <f>1</f>
        <v>1</v>
      </c>
    </row>
    <row r="9654" spans="2:9" x14ac:dyDescent="0.25">
      <c r="B9654">
        <v>0</v>
      </c>
      <c r="C9654" s="16" t="s">
        <v>18631</v>
      </c>
      <c r="D9654" s="16"/>
      <c r="E9654">
        <v>6</v>
      </c>
      <c r="F9654" t="s">
        <v>4680</v>
      </c>
      <c r="G9654">
        <v>1</v>
      </c>
      <c r="H9654">
        <v>1</v>
      </c>
      <c r="I9654">
        <f>1</f>
        <v>1</v>
      </c>
    </row>
    <row r="9655" spans="2:9" x14ac:dyDescent="0.25">
      <c r="B9655">
        <v>0</v>
      </c>
      <c r="C9655" s="16" t="s">
        <v>18632</v>
      </c>
      <c r="D9655" s="16"/>
      <c r="E9655">
        <v>6</v>
      </c>
      <c r="F9655" t="s">
        <v>8964</v>
      </c>
      <c r="G9655">
        <v>1</v>
      </c>
      <c r="H9655">
        <v>1</v>
      </c>
      <c r="I9655">
        <f>1</f>
        <v>1</v>
      </c>
    </row>
    <row r="9656" spans="2:9" x14ac:dyDescent="0.25">
      <c r="B9656">
        <v>0</v>
      </c>
      <c r="C9656" s="16" t="s">
        <v>18632</v>
      </c>
      <c r="D9656" s="16" t="s">
        <v>19430</v>
      </c>
      <c r="E9656">
        <v>6</v>
      </c>
      <c r="F9656" t="s">
        <v>8965</v>
      </c>
      <c r="G9656">
        <v>1</v>
      </c>
      <c r="H9656">
        <v>1</v>
      </c>
      <c r="I9656">
        <f>1</f>
        <v>1</v>
      </c>
    </row>
    <row r="9657" spans="2:9" x14ac:dyDescent="0.25">
      <c r="B9657">
        <v>0</v>
      </c>
      <c r="C9657" s="16" t="s">
        <v>18633</v>
      </c>
      <c r="D9657" s="16"/>
      <c r="E9657">
        <v>6</v>
      </c>
      <c r="F9657" t="s">
        <v>8966</v>
      </c>
      <c r="G9657">
        <v>1</v>
      </c>
      <c r="H9657">
        <v>1</v>
      </c>
      <c r="I9657">
        <f>1</f>
        <v>1</v>
      </c>
    </row>
    <row r="9658" spans="2:9" x14ac:dyDescent="0.25">
      <c r="B9658">
        <v>0</v>
      </c>
      <c r="C9658" s="16" t="s">
        <v>18633</v>
      </c>
      <c r="D9658" s="16" t="s">
        <v>19430</v>
      </c>
      <c r="E9658">
        <v>6</v>
      </c>
      <c r="F9658" t="s">
        <v>8965</v>
      </c>
      <c r="G9658">
        <v>1</v>
      </c>
      <c r="H9658">
        <v>1</v>
      </c>
      <c r="I9658">
        <f>1</f>
        <v>1</v>
      </c>
    </row>
    <row r="9659" spans="2:9" x14ac:dyDescent="0.25">
      <c r="B9659">
        <v>0</v>
      </c>
      <c r="C9659" s="16" t="s">
        <v>18634</v>
      </c>
      <c r="D9659" s="16"/>
      <c r="E9659">
        <v>6</v>
      </c>
      <c r="F9659" t="s">
        <v>8967</v>
      </c>
      <c r="G9659">
        <v>1</v>
      </c>
      <c r="H9659">
        <v>1</v>
      </c>
      <c r="I9659">
        <f>1</f>
        <v>1</v>
      </c>
    </row>
    <row r="9660" spans="2:9" x14ac:dyDescent="0.25">
      <c r="B9660">
        <v>0</v>
      </c>
      <c r="C9660" s="16" t="s">
        <v>18634</v>
      </c>
      <c r="D9660" s="16" t="s">
        <v>19430</v>
      </c>
      <c r="E9660">
        <v>6</v>
      </c>
      <c r="F9660" t="s">
        <v>8965</v>
      </c>
      <c r="G9660">
        <v>1</v>
      </c>
      <c r="H9660">
        <v>1</v>
      </c>
      <c r="I9660">
        <f>1</f>
        <v>1</v>
      </c>
    </row>
    <row r="9661" spans="2:9" x14ac:dyDescent="0.25">
      <c r="B9661">
        <v>0</v>
      </c>
      <c r="C9661" s="16" t="s">
        <v>18635</v>
      </c>
      <c r="D9661" s="16"/>
      <c r="E9661">
        <v>6</v>
      </c>
      <c r="F9661" t="s">
        <v>4680</v>
      </c>
      <c r="G9661">
        <v>1</v>
      </c>
      <c r="H9661">
        <v>1</v>
      </c>
      <c r="I9661">
        <f>1</f>
        <v>1</v>
      </c>
    </row>
    <row r="9662" spans="2:9" x14ac:dyDescent="0.25">
      <c r="B9662">
        <v>0</v>
      </c>
      <c r="C9662" s="16" t="s">
        <v>18635</v>
      </c>
      <c r="D9662" s="16" t="s">
        <v>19430</v>
      </c>
      <c r="E9662">
        <v>6</v>
      </c>
      <c r="F9662" t="s">
        <v>8965</v>
      </c>
      <c r="G9662">
        <v>1</v>
      </c>
      <c r="H9662">
        <v>1</v>
      </c>
      <c r="I9662">
        <f>1</f>
        <v>1</v>
      </c>
    </row>
    <row r="9663" spans="2:9" x14ac:dyDescent="0.25">
      <c r="B9663">
        <v>0</v>
      </c>
      <c r="C9663" s="16" t="s">
        <v>18635</v>
      </c>
      <c r="D9663" s="16" t="s">
        <v>19431</v>
      </c>
      <c r="E9663">
        <v>6</v>
      </c>
      <c r="F9663" t="s">
        <v>8968</v>
      </c>
      <c r="G9663">
        <v>1</v>
      </c>
      <c r="H9663">
        <v>1</v>
      </c>
      <c r="I9663">
        <f>1</f>
        <v>1</v>
      </c>
    </row>
    <row r="9664" spans="2:9" x14ac:dyDescent="0.25">
      <c r="B9664">
        <v>0</v>
      </c>
      <c r="C9664" s="16" t="s">
        <v>18636</v>
      </c>
      <c r="D9664" s="16"/>
      <c r="E9664">
        <v>6</v>
      </c>
      <c r="F9664" t="s">
        <v>8964</v>
      </c>
      <c r="G9664">
        <v>1</v>
      </c>
      <c r="H9664">
        <v>1</v>
      </c>
      <c r="I9664">
        <f>1</f>
        <v>1</v>
      </c>
    </row>
    <row r="9665" spans="2:9" x14ac:dyDescent="0.25">
      <c r="B9665">
        <v>0</v>
      </c>
      <c r="C9665" s="16" t="s">
        <v>18637</v>
      </c>
      <c r="D9665" s="16"/>
      <c r="E9665">
        <v>6</v>
      </c>
      <c r="F9665" t="s">
        <v>8966</v>
      </c>
      <c r="G9665">
        <v>1</v>
      </c>
      <c r="H9665">
        <v>1</v>
      </c>
      <c r="I9665">
        <f>1</f>
        <v>1</v>
      </c>
    </row>
    <row r="9666" spans="2:9" x14ac:dyDescent="0.25">
      <c r="B9666">
        <v>0</v>
      </c>
      <c r="C9666" s="16" t="s">
        <v>18638</v>
      </c>
      <c r="D9666" s="16"/>
      <c r="E9666">
        <v>6</v>
      </c>
      <c r="F9666" t="s">
        <v>8967</v>
      </c>
      <c r="G9666">
        <v>1</v>
      </c>
      <c r="H9666">
        <v>1</v>
      </c>
      <c r="I9666">
        <f>1</f>
        <v>1</v>
      </c>
    </row>
    <row r="9667" spans="2:9" x14ac:dyDescent="0.25">
      <c r="B9667">
        <v>0</v>
      </c>
      <c r="C9667" s="16" t="s">
        <v>18639</v>
      </c>
      <c r="D9667" s="16"/>
      <c r="E9667">
        <v>6</v>
      </c>
      <c r="F9667" t="s">
        <v>4680</v>
      </c>
      <c r="G9667">
        <v>1</v>
      </c>
      <c r="H9667">
        <v>1</v>
      </c>
      <c r="I9667">
        <f>1</f>
        <v>1</v>
      </c>
    </row>
    <row r="9668" spans="2:9" x14ac:dyDescent="0.25">
      <c r="B9668">
        <v>0</v>
      </c>
      <c r="C9668" s="16" t="s">
        <v>18640</v>
      </c>
      <c r="D9668" s="16"/>
      <c r="E9668">
        <v>6</v>
      </c>
      <c r="F9668" t="s">
        <v>8964</v>
      </c>
      <c r="G9668">
        <v>1</v>
      </c>
      <c r="H9668">
        <v>1</v>
      </c>
      <c r="I9668">
        <f>1</f>
        <v>1</v>
      </c>
    </row>
    <row r="9669" spans="2:9" x14ac:dyDescent="0.25">
      <c r="B9669">
        <v>0</v>
      </c>
      <c r="C9669" s="16" t="s">
        <v>18641</v>
      </c>
      <c r="D9669" s="16"/>
      <c r="E9669">
        <v>6</v>
      </c>
      <c r="F9669" t="s">
        <v>8966</v>
      </c>
      <c r="G9669">
        <v>1</v>
      </c>
      <c r="H9669">
        <v>1</v>
      </c>
      <c r="I9669">
        <f>1</f>
        <v>1</v>
      </c>
    </row>
    <row r="9670" spans="2:9" x14ac:dyDescent="0.25">
      <c r="B9670">
        <v>0</v>
      </c>
      <c r="C9670" s="16" t="s">
        <v>18642</v>
      </c>
      <c r="D9670" s="16"/>
      <c r="E9670">
        <v>6</v>
      </c>
      <c r="F9670" t="s">
        <v>8967</v>
      </c>
      <c r="G9670">
        <v>1</v>
      </c>
      <c r="H9670">
        <v>1</v>
      </c>
      <c r="I9670">
        <f>1</f>
        <v>1</v>
      </c>
    </row>
    <row r="9671" spans="2:9" x14ac:dyDescent="0.25">
      <c r="B9671">
        <v>0</v>
      </c>
      <c r="C9671" s="16" t="s">
        <v>18643</v>
      </c>
      <c r="D9671" s="16"/>
      <c r="E9671">
        <v>6</v>
      </c>
      <c r="F9671" t="s">
        <v>4680</v>
      </c>
      <c r="G9671">
        <v>1</v>
      </c>
      <c r="H9671">
        <v>1</v>
      </c>
      <c r="I9671">
        <f>1</f>
        <v>1</v>
      </c>
    </row>
    <row r="9672" spans="2:9" x14ac:dyDescent="0.25">
      <c r="B9672">
        <v>0</v>
      </c>
      <c r="C9672" s="16" t="s">
        <v>18643</v>
      </c>
      <c r="D9672" s="16" t="s">
        <v>19430</v>
      </c>
      <c r="E9672">
        <v>6</v>
      </c>
      <c r="F9672" t="s">
        <v>8969</v>
      </c>
      <c r="G9672">
        <v>1</v>
      </c>
      <c r="H9672">
        <v>1</v>
      </c>
      <c r="I9672">
        <f>1</f>
        <v>1</v>
      </c>
    </row>
    <row r="9673" spans="2:9" x14ac:dyDescent="0.25">
      <c r="B9673">
        <v>0</v>
      </c>
      <c r="C9673" s="16" t="s">
        <v>18644</v>
      </c>
      <c r="D9673" s="16"/>
      <c r="E9673">
        <v>6</v>
      </c>
      <c r="F9673" t="s">
        <v>8964</v>
      </c>
      <c r="G9673">
        <v>1</v>
      </c>
      <c r="H9673">
        <v>1</v>
      </c>
      <c r="I9673">
        <f>1</f>
        <v>1</v>
      </c>
    </row>
    <row r="9674" spans="2:9" x14ac:dyDescent="0.25">
      <c r="B9674">
        <v>0</v>
      </c>
      <c r="C9674" s="16" t="s">
        <v>18644</v>
      </c>
      <c r="D9674" s="16" t="s">
        <v>19430</v>
      </c>
      <c r="E9674">
        <v>6</v>
      </c>
      <c r="F9674" t="s">
        <v>8970</v>
      </c>
      <c r="G9674">
        <v>1</v>
      </c>
      <c r="H9674">
        <v>1</v>
      </c>
      <c r="I9674">
        <f>1</f>
        <v>1</v>
      </c>
    </row>
    <row r="9675" spans="2:9" x14ac:dyDescent="0.25">
      <c r="B9675">
        <v>0</v>
      </c>
      <c r="C9675" s="16" t="s">
        <v>18645</v>
      </c>
      <c r="D9675" s="16"/>
      <c r="E9675">
        <v>6</v>
      </c>
      <c r="F9675" t="s">
        <v>8966</v>
      </c>
      <c r="G9675">
        <v>1</v>
      </c>
      <c r="H9675">
        <v>1</v>
      </c>
      <c r="I9675">
        <f>1</f>
        <v>1</v>
      </c>
    </row>
    <row r="9676" spans="2:9" x14ac:dyDescent="0.25">
      <c r="B9676">
        <v>0</v>
      </c>
      <c r="C9676" s="16" t="s">
        <v>18645</v>
      </c>
      <c r="D9676" s="16" t="s">
        <v>19430</v>
      </c>
      <c r="E9676">
        <v>6</v>
      </c>
      <c r="F9676" t="s">
        <v>8971</v>
      </c>
      <c r="G9676">
        <v>1</v>
      </c>
      <c r="H9676">
        <v>1</v>
      </c>
      <c r="I9676">
        <f>1</f>
        <v>1</v>
      </c>
    </row>
    <row r="9677" spans="2:9" x14ac:dyDescent="0.25">
      <c r="B9677">
        <v>0</v>
      </c>
      <c r="C9677" s="16" t="s">
        <v>18646</v>
      </c>
      <c r="D9677" s="16"/>
      <c r="E9677">
        <v>6</v>
      </c>
      <c r="F9677" t="s">
        <v>8967</v>
      </c>
      <c r="G9677">
        <v>1</v>
      </c>
      <c r="H9677">
        <v>1</v>
      </c>
      <c r="I9677">
        <f>1</f>
        <v>1</v>
      </c>
    </row>
    <row r="9678" spans="2:9" x14ac:dyDescent="0.25">
      <c r="B9678">
        <v>0</v>
      </c>
      <c r="C9678" s="16" t="s">
        <v>18646</v>
      </c>
      <c r="D9678" s="16" t="s">
        <v>19430</v>
      </c>
      <c r="E9678">
        <v>6</v>
      </c>
      <c r="F9678" t="s">
        <v>8971</v>
      </c>
      <c r="G9678">
        <v>1</v>
      </c>
      <c r="H9678">
        <v>1</v>
      </c>
      <c r="I9678">
        <f>1</f>
        <v>1</v>
      </c>
    </row>
    <row r="9679" spans="2:9" x14ac:dyDescent="0.25">
      <c r="B9679">
        <v>0</v>
      </c>
      <c r="C9679" s="16" t="s">
        <v>18647</v>
      </c>
      <c r="D9679" s="16"/>
      <c r="E9679">
        <v>6</v>
      </c>
      <c r="F9679" t="s">
        <v>4680</v>
      </c>
      <c r="G9679">
        <v>1</v>
      </c>
      <c r="H9679">
        <v>1</v>
      </c>
      <c r="I9679">
        <f>1</f>
        <v>1</v>
      </c>
    </row>
    <row r="9680" spans="2:9" x14ac:dyDescent="0.25">
      <c r="B9680">
        <v>0</v>
      </c>
      <c r="C9680" s="16" t="s">
        <v>18647</v>
      </c>
      <c r="D9680" s="16" t="s">
        <v>19430</v>
      </c>
      <c r="E9680">
        <v>6</v>
      </c>
      <c r="F9680" t="s">
        <v>8971</v>
      </c>
      <c r="G9680">
        <v>1</v>
      </c>
      <c r="H9680">
        <v>1</v>
      </c>
      <c r="I9680">
        <f>1</f>
        <v>1</v>
      </c>
    </row>
    <row r="9681" spans="2:9" x14ac:dyDescent="0.25">
      <c r="B9681">
        <v>0</v>
      </c>
      <c r="C9681" s="16" t="s">
        <v>18648</v>
      </c>
      <c r="D9681" s="16"/>
      <c r="E9681">
        <v>6</v>
      </c>
      <c r="F9681" t="s">
        <v>8964</v>
      </c>
      <c r="G9681">
        <v>1</v>
      </c>
      <c r="H9681">
        <v>1</v>
      </c>
      <c r="I9681">
        <f>1</f>
        <v>1</v>
      </c>
    </row>
    <row r="9682" spans="2:9" x14ac:dyDescent="0.25">
      <c r="B9682">
        <v>0</v>
      </c>
      <c r="C9682" s="16" t="s">
        <v>18649</v>
      </c>
      <c r="D9682" s="16"/>
      <c r="E9682">
        <v>6</v>
      </c>
      <c r="F9682" t="s">
        <v>8966</v>
      </c>
      <c r="G9682">
        <v>1</v>
      </c>
      <c r="H9682">
        <v>1</v>
      </c>
      <c r="I9682">
        <f>1</f>
        <v>1</v>
      </c>
    </row>
    <row r="9683" spans="2:9" x14ac:dyDescent="0.25">
      <c r="B9683">
        <v>0</v>
      </c>
      <c r="C9683" s="16" t="s">
        <v>18650</v>
      </c>
      <c r="D9683" s="16"/>
      <c r="E9683">
        <v>6</v>
      </c>
      <c r="F9683" t="s">
        <v>8967</v>
      </c>
      <c r="G9683">
        <v>1</v>
      </c>
      <c r="H9683">
        <v>1</v>
      </c>
      <c r="I9683">
        <f>1</f>
        <v>1</v>
      </c>
    </row>
    <row r="9684" spans="2:9" x14ac:dyDescent="0.25">
      <c r="B9684">
        <v>0</v>
      </c>
      <c r="C9684" s="16" t="s">
        <v>18651</v>
      </c>
      <c r="D9684" s="16"/>
      <c r="E9684">
        <v>6</v>
      </c>
      <c r="F9684" t="s">
        <v>4680</v>
      </c>
      <c r="G9684">
        <v>1</v>
      </c>
      <c r="H9684">
        <v>1</v>
      </c>
      <c r="I9684">
        <f>1</f>
        <v>1</v>
      </c>
    </row>
    <row r="9685" spans="2:9" x14ac:dyDescent="0.25">
      <c r="B9685">
        <v>0</v>
      </c>
      <c r="C9685" s="16" t="s">
        <v>18652</v>
      </c>
      <c r="D9685" s="16"/>
      <c r="E9685">
        <v>6</v>
      </c>
      <c r="F9685" t="e">
        <f>-outros</f>
        <v>#NAME?</v>
      </c>
      <c r="G9685">
        <v>1</v>
      </c>
      <c r="H9685">
        <v>1</v>
      </c>
      <c r="I9685">
        <f>1</f>
        <v>1</v>
      </c>
    </row>
    <row r="9686" spans="2:9" x14ac:dyDescent="0.25">
      <c r="B9686">
        <v>0</v>
      </c>
      <c r="C9686" s="16" t="s">
        <v>18653</v>
      </c>
      <c r="D9686" s="16"/>
      <c r="E9686">
        <v>6</v>
      </c>
      <c r="F9686" t="s">
        <v>8972</v>
      </c>
      <c r="G9686">
        <v>1</v>
      </c>
      <c r="H9686">
        <v>1</v>
      </c>
      <c r="I9686">
        <f>1</f>
        <v>1</v>
      </c>
    </row>
    <row r="9687" spans="2:9" x14ac:dyDescent="0.25">
      <c r="B9687">
        <v>0</v>
      </c>
      <c r="C9687" s="16" t="s">
        <v>18654</v>
      </c>
      <c r="D9687" s="16"/>
      <c r="E9687">
        <v>6</v>
      </c>
      <c r="F9687" t="s">
        <v>4680</v>
      </c>
      <c r="G9687">
        <v>1</v>
      </c>
      <c r="H9687">
        <v>1</v>
      </c>
      <c r="I9687">
        <f>1</f>
        <v>1</v>
      </c>
    </row>
    <row r="9688" spans="2:9" x14ac:dyDescent="0.25">
      <c r="B9688">
        <v>0</v>
      </c>
      <c r="C9688" s="16" t="s">
        <v>18655</v>
      </c>
      <c r="D9688" s="16"/>
      <c r="E9688">
        <v>6</v>
      </c>
      <c r="F9688" t="s">
        <v>8973</v>
      </c>
      <c r="G9688">
        <v>1</v>
      </c>
      <c r="H9688">
        <v>1</v>
      </c>
      <c r="I9688">
        <f>1</f>
        <v>1</v>
      </c>
    </row>
    <row r="9689" spans="2:9" x14ac:dyDescent="0.25">
      <c r="B9689">
        <v>0</v>
      </c>
      <c r="C9689" s="16" t="s">
        <v>18656</v>
      </c>
      <c r="D9689" s="16"/>
      <c r="E9689">
        <v>6</v>
      </c>
      <c r="F9689" t="e">
        <f>-veículos De combate a incêndio</f>
        <v>#NAME?</v>
      </c>
      <c r="G9689">
        <v>1</v>
      </c>
      <c r="H9689">
        <v>1</v>
      </c>
      <c r="I9689">
        <f>1</f>
        <v>1</v>
      </c>
    </row>
    <row r="9690" spans="2:9" x14ac:dyDescent="0.25">
      <c r="B9690">
        <v>0</v>
      </c>
      <c r="C9690" s="16" t="s">
        <v>18657</v>
      </c>
      <c r="D9690" s="16"/>
      <c r="E9690">
        <v>6</v>
      </c>
      <c r="F9690" t="e">
        <f>-caminhões-Betoneiras</f>
        <v>#NAME?</v>
      </c>
      <c r="G9690">
        <v>1</v>
      </c>
      <c r="H9690">
        <v>1</v>
      </c>
      <c r="I9690">
        <f>1</f>
        <v>1</v>
      </c>
    </row>
    <row r="9691" spans="2:9" x14ac:dyDescent="0.25">
      <c r="B9691">
        <v>0</v>
      </c>
      <c r="C9691" s="16" t="s">
        <v>18658</v>
      </c>
      <c r="D9691" s="16"/>
      <c r="E9691">
        <v>6</v>
      </c>
      <c r="F9691" t="s">
        <v>8974</v>
      </c>
      <c r="G9691">
        <v>1</v>
      </c>
      <c r="H9691">
        <v>1</v>
      </c>
      <c r="I9691">
        <f>1</f>
        <v>1</v>
      </c>
    </row>
    <row r="9692" spans="2:9" x14ac:dyDescent="0.25">
      <c r="B9692">
        <v>0</v>
      </c>
      <c r="C9692" s="16" t="s">
        <v>18659</v>
      </c>
      <c r="D9692" s="16"/>
      <c r="E9692">
        <v>6</v>
      </c>
      <c r="F9692" t="s">
        <v>4680</v>
      </c>
      <c r="G9692">
        <v>1</v>
      </c>
      <c r="H9692">
        <v>1</v>
      </c>
      <c r="I9692">
        <f>1</f>
        <v>1</v>
      </c>
    </row>
    <row r="9693" spans="2:9" x14ac:dyDescent="0.25">
      <c r="B9693">
        <v>0</v>
      </c>
      <c r="C9693" s="16" t="s">
        <v>18660</v>
      </c>
      <c r="D9693" s="16"/>
      <c r="E9693">
        <v>6</v>
      </c>
      <c r="F9693" t="s">
        <v>8975</v>
      </c>
      <c r="G9693">
        <v>1</v>
      </c>
      <c r="H9693">
        <v>1</v>
      </c>
      <c r="I9693">
        <f>1</f>
        <v>1</v>
      </c>
    </row>
    <row r="9694" spans="2:9" x14ac:dyDescent="0.25">
      <c r="B9694">
        <v>0</v>
      </c>
      <c r="C9694" s="16" t="s">
        <v>18660</v>
      </c>
      <c r="D9694" s="16" t="s">
        <v>19430</v>
      </c>
      <c r="E9694">
        <v>6</v>
      </c>
      <c r="F9694" t="s">
        <v>8976</v>
      </c>
      <c r="G9694">
        <v>1</v>
      </c>
      <c r="H9694">
        <v>1</v>
      </c>
      <c r="I9694">
        <f>1</f>
        <v>1</v>
      </c>
    </row>
    <row r="9695" spans="2:9" x14ac:dyDescent="0.25">
      <c r="B9695">
        <v>0</v>
      </c>
      <c r="C9695" s="16" t="s">
        <v>18661</v>
      </c>
      <c r="D9695" s="16"/>
      <c r="E9695">
        <v>6</v>
      </c>
      <c r="F9695" t="s">
        <v>8977</v>
      </c>
      <c r="G9695">
        <v>1</v>
      </c>
      <c r="H9695">
        <v>1</v>
      </c>
      <c r="I9695">
        <f>1</f>
        <v>1</v>
      </c>
    </row>
    <row r="9696" spans="2:9" x14ac:dyDescent="0.25">
      <c r="B9696">
        <v>0</v>
      </c>
      <c r="C9696" s="16" t="s">
        <v>18662</v>
      </c>
      <c r="D9696" s="16"/>
      <c r="E9696">
        <v>6</v>
      </c>
      <c r="F9696" t="s">
        <v>4680</v>
      </c>
      <c r="G9696">
        <v>1</v>
      </c>
      <c r="H9696">
        <v>1</v>
      </c>
      <c r="I9696">
        <f>1</f>
        <v>1</v>
      </c>
    </row>
    <row r="9697" spans="2:9" x14ac:dyDescent="0.25">
      <c r="B9697">
        <v>0</v>
      </c>
      <c r="C9697" s="16" t="s">
        <v>18662</v>
      </c>
      <c r="D9697" s="16" t="s">
        <v>19430</v>
      </c>
      <c r="E9697">
        <v>6</v>
      </c>
      <c r="F9697" t="s">
        <v>8978</v>
      </c>
      <c r="G9697">
        <v>1</v>
      </c>
      <c r="H9697">
        <v>1</v>
      </c>
      <c r="I9697">
        <f>1</f>
        <v>1</v>
      </c>
    </row>
    <row r="9698" spans="2:9" x14ac:dyDescent="0.25">
      <c r="B9698">
        <v>0</v>
      </c>
      <c r="C9698" s="16" t="s">
        <v>18663</v>
      </c>
      <c r="D9698" s="16"/>
      <c r="E9698">
        <v>6</v>
      </c>
      <c r="F9698" t="s">
        <v>8979</v>
      </c>
      <c r="G9698">
        <v>1</v>
      </c>
      <c r="H9698">
        <v>1</v>
      </c>
      <c r="I9698">
        <f>1</f>
        <v>1</v>
      </c>
    </row>
    <row r="9699" spans="2:9" x14ac:dyDescent="0.25">
      <c r="B9699">
        <v>0</v>
      </c>
      <c r="C9699" s="16" t="s">
        <v>18664</v>
      </c>
      <c r="D9699" s="16"/>
      <c r="E9699">
        <v>6</v>
      </c>
      <c r="F9699" t="s">
        <v>8977</v>
      </c>
      <c r="G9699">
        <v>1</v>
      </c>
      <c r="H9699">
        <v>1</v>
      </c>
      <c r="I9699">
        <f>1</f>
        <v>1</v>
      </c>
    </row>
    <row r="9700" spans="2:9" x14ac:dyDescent="0.25">
      <c r="B9700">
        <v>0</v>
      </c>
      <c r="C9700" s="16" t="s">
        <v>18665</v>
      </c>
      <c r="D9700" s="16"/>
      <c r="E9700">
        <v>6</v>
      </c>
      <c r="F9700" t="s">
        <v>4690</v>
      </c>
      <c r="G9700">
        <v>1</v>
      </c>
      <c r="H9700">
        <v>1</v>
      </c>
      <c r="I9700">
        <f>1</f>
        <v>1</v>
      </c>
    </row>
    <row r="9701" spans="2:9" x14ac:dyDescent="0.25">
      <c r="B9701">
        <v>0</v>
      </c>
      <c r="C9701" s="16" t="s">
        <v>18665</v>
      </c>
      <c r="D9701" s="16" t="s">
        <v>19430</v>
      </c>
      <c r="E9701">
        <v>6</v>
      </c>
      <c r="F9701" t="s">
        <v>8976</v>
      </c>
      <c r="G9701">
        <v>1</v>
      </c>
      <c r="H9701">
        <v>1</v>
      </c>
      <c r="I9701">
        <f>1</f>
        <v>1</v>
      </c>
    </row>
    <row r="9702" spans="2:9" x14ac:dyDescent="0.25">
      <c r="B9702">
        <v>0</v>
      </c>
      <c r="C9702" s="16" t="s">
        <v>18666</v>
      </c>
      <c r="D9702" s="16"/>
      <c r="E9702">
        <v>6</v>
      </c>
      <c r="F9702" t="e">
        <f>-Pára-choques e suas Partes</f>
        <v>#NAME?</v>
      </c>
      <c r="G9702">
        <v>1</v>
      </c>
      <c r="H9702">
        <v>1</v>
      </c>
      <c r="I9702">
        <f>1</f>
        <v>1</v>
      </c>
    </row>
    <row r="9703" spans="2:9" x14ac:dyDescent="0.25">
      <c r="B9703">
        <v>0</v>
      </c>
      <c r="C9703" s="16" t="s">
        <v>18667</v>
      </c>
      <c r="D9703" s="16"/>
      <c r="E9703">
        <v>6</v>
      </c>
      <c r="F9703" t="e">
        <f>--Cintos De segurança</f>
        <v>#NAME?</v>
      </c>
      <c r="G9703">
        <v>1</v>
      </c>
      <c r="H9703">
        <v>1</v>
      </c>
      <c r="I9703">
        <f>1</f>
        <v>1</v>
      </c>
    </row>
    <row r="9704" spans="2:9" x14ac:dyDescent="0.25">
      <c r="B9704">
        <v>0</v>
      </c>
      <c r="C9704" s="16" t="s">
        <v>18668</v>
      </c>
      <c r="D9704" s="16"/>
      <c r="E9704">
        <v>6</v>
      </c>
      <c r="F9704" t="s">
        <v>8980</v>
      </c>
      <c r="G9704">
        <v>1</v>
      </c>
      <c r="H9704">
        <v>1</v>
      </c>
      <c r="I9704">
        <f>1</f>
        <v>1</v>
      </c>
    </row>
    <row r="9705" spans="2:9" x14ac:dyDescent="0.25">
      <c r="B9705">
        <v>0</v>
      </c>
      <c r="C9705" s="16" t="s">
        <v>18669</v>
      </c>
      <c r="D9705" s="16"/>
      <c r="E9705">
        <v>6</v>
      </c>
      <c r="F9705" t="s">
        <v>8981</v>
      </c>
      <c r="G9705">
        <v>1</v>
      </c>
      <c r="H9705">
        <v>1</v>
      </c>
      <c r="I9705">
        <f>1</f>
        <v>1</v>
      </c>
    </row>
    <row r="9706" spans="2:9" x14ac:dyDescent="0.25">
      <c r="B9706">
        <v>0</v>
      </c>
      <c r="C9706" s="16" t="s">
        <v>18670</v>
      </c>
      <c r="D9706" s="16"/>
      <c r="E9706">
        <v>6</v>
      </c>
      <c r="F9706" t="s">
        <v>8982</v>
      </c>
      <c r="G9706">
        <v>1</v>
      </c>
      <c r="H9706">
        <v>1</v>
      </c>
      <c r="I9706">
        <f>1</f>
        <v>1</v>
      </c>
    </row>
    <row r="9707" spans="2:9" x14ac:dyDescent="0.25">
      <c r="B9707">
        <v>0</v>
      </c>
      <c r="C9707" s="16" t="s">
        <v>18671</v>
      </c>
      <c r="D9707" s="16"/>
      <c r="E9707">
        <v>6</v>
      </c>
      <c r="F9707" t="s">
        <v>8983</v>
      </c>
      <c r="G9707">
        <v>1</v>
      </c>
      <c r="H9707">
        <v>1</v>
      </c>
      <c r="I9707">
        <f>1</f>
        <v>1</v>
      </c>
    </row>
    <row r="9708" spans="2:9" x14ac:dyDescent="0.25">
      <c r="B9708">
        <v>0</v>
      </c>
      <c r="C9708" s="16" t="s">
        <v>18672</v>
      </c>
      <c r="D9708" s="16"/>
      <c r="E9708">
        <v>6</v>
      </c>
      <c r="F9708" t="s">
        <v>4680</v>
      </c>
      <c r="G9708">
        <v>1</v>
      </c>
      <c r="H9708">
        <v>1</v>
      </c>
      <c r="I9708">
        <f>1</f>
        <v>1</v>
      </c>
    </row>
    <row r="9709" spans="2:9" x14ac:dyDescent="0.25">
      <c r="B9709">
        <v>0</v>
      </c>
      <c r="C9709" s="16" t="s">
        <v>18673</v>
      </c>
      <c r="D9709" s="16"/>
      <c r="E9709">
        <v>6</v>
      </c>
      <c r="F9709" t="s">
        <v>8980</v>
      </c>
      <c r="G9709">
        <v>1</v>
      </c>
      <c r="H9709">
        <v>1</v>
      </c>
      <c r="I9709">
        <f>1</f>
        <v>1</v>
      </c>
    </row>
    <row r="9710" spans="2:9" x14ac:dyDescent="0.25">
      <c r="B9710">
        <v>0</v>
      </c>
      <c r="C9710" s="16" t="s">
        <v>18674</v>
      </c>
      <c r="D9710" s="16"/>
      <c r="E9710">
        <v>6</v>
      </c>
      <c r="F9710" t="s">
        <v>8981</v>
      </c>
      <c r="G9710">
        <v>1</v>
      </c>
      <c r="H9710">
        <v>1</v>
      </c>
      <c r="I9710">
        <f>1</f>
        <v>1</v>
      </c>
    </row>
    <row r="9711" spans="2:9" x14ac:dyDescent="0.25">
      <c r="B9711">
        <v>0</v>
      </c>
      <c r="C9711" s="16" t="s">
        <v>18675</v>
      </c>
      <c r="D9711" s="16"/>
      <c r="E9711">
        <v>6</v>
      </c>
      <c r="F9711" t="s">
        <v>8982</v>
      </c>
      <c r="G9711">
        <v>1</v>
      </c>
      <c r="H9711">
        <v>1</v>
      </c>
      <c r="I9711">
        <f>1</f>
        <v>1</v>
      </c>
    </row>
    <row r="9712" spans="2:9" x14ac:dyDescent="0.25">
      <c r="B9712">
        <v>0</v>
      </c>
      <c r="C9712" s="16" t="s">
        <v>18676</v>
      </c>
      <c r="D9712" s="16"/>
      <c r="E9712">
        <v>6</v>
      </c>
      <c r="F9712" t="s">
        <v>8983</v>
      </c>
      <c r="G9712">
        <v>1</v>
      </c>
      <c r="H9712">
        <v>1</v>
      </c>
      <c r="I9712">
        <f>1</f>
        <v>1</v>
      </c>
    </row>
    <row r="9713" spans="2:9" x14ac:dyDescent="0.25">
      <c r="B9713">
        <v>0</v>
      </c>
      <c r="C9713" s="16" t="s">
        <v>18677</v>
      </c>
      <c r="D9713" s="16"/>
      <c r="E9713">
        <v>6</v>
      </c>
      <c r="F9713" t="s">
        <v>8984</v>
      </c>
      <c r="G9713">
        <v>1</v>
      </c>
      <c r="H9713">
        <v>1</v>
      </c>
      <c r="I9713">
        <f>1</f>
        <v>1</v>
      </c>
    </row>
    <row r="9714" spans="2:9" x14ac:dyDescent="0.25">
      <c r="B9714">
        <v>0</v>
      </c>
      <c r="C9714" s="16" t="s">
        <v>18678</v>
      </c>
      <c r="D9714" s="16"/>
      <c r="E9714">
        <v>6</v>
      </c>
      <c r="F9714" t="s">
        <v>4680</v>
      </c>
      <c r="G9714">
        <v>1</v>
      </c>
      <c r="H9714">
        <v>1</v>
      </c>
      <c r="I9714">
        <f>1</f>
        <v>1</v>
      </c>
    </row>
    <row r="9715" spans="2:9" x14ac:dyDescent="0.25">
      <c r="B9715">
        <v>0</v>
      </c>
      <c r="C9715" s="16" t="s">
        <v>18679</v>
      </c>
      <c r="D9715" s="16"/>
      <c r="E9715">
        <v>6</v>
      </c>
      <c r="F9715" t="s">
        <v>8977</v>
      </c>
      <c r="G9715">
        <v>1</v>
      </c>
      <c r="H9715">
        <v>1</v>
      </c>
      <c r="I9715">
        <f>1</f>
        <v>1</v>
      </c>
    </row>
    <row r="9716" spans="2:9" x14ac:dyDescent="0.25">
      <c r="B9716">
        <v>0</v>
      </c>
      <c r="C9716" s="16" t="s">
        <v>18680</v>
      </c>
      <c r="D9716" s="16"/>
      <c r="E9716">
        <v>6</v>
      </c>
      <c r="F9716" t="s">
        <v>4690</v>
      </c>
      <c r="G9716">
        <v>1</v>
      </c>
      <c r="H9716">
        <v>1</v>
      </c>
      <c r="I9716">
        <f>1</f>
        <v>1</v>
      </c>
    </row>
    <row r="9717" spans="2:9" x14ac:dyDescent="0.25">
      <c r="B9717">
        <v>0</v>
      </c>
      <c r="C9717" s="16" t="s">
        <v>18681</v>
      </c>
      <c r="D9717" s="16"/>
      <c r="E9717">
        <v>6</v>
      </c>
      <c r="F9717" t="s">
        <v>4680</v>
      </c>
      <c r="G9717">
        <v>1</v>
      </c>
      <c r="H9717">
        <v>1</v>
      </c>
      <c r="I9717">
        <f>1</f>
        <v>1</v>
      </c>
    </row>
    <row r="9718" spans="2:9" x14ac:dyDescent="0.25">
      <c r="B9718">
        <v>0</v>
      </c>
      <c r="C9718" s="16" t="s">
        <v>18682</v>
      </c>
      <c r="D9718" s="16"/>
      <c r="E9718">
        <v>6</v>
      </c>
      <c r="F9718" t="s">
        <v>8985</v>
      </c>
      <c r="G9718">
        <v>1</v>
      </c>
      <c r="H9718">
        <v>1</v>
      </c>
      <c r="I9718">
        <f>1</f>
        <v>1</v>
      </c>
    </row>
    <row r="9719" spans="2:9" x14ac:dyDescent="0.25">
      <c r="B9719">
        <v>0</v>
      </c>
      <c r="C9719" s="16" t="s">
        <v>18683</v>
      </c>
      <c r="D9719" s="16"/>
      <c r="E9719">
        <v>6</v>
      </c>
      <c r="F9719" t="s">
        <v>4690</v>
      </c>
      <c r="G9719">
        <v>1</v>
      </c>
      <c r="H9719">
        <v>1</v>
      </c>
      <c r="I9719">
        <f>1</f>
        <v>1</v>
      </c>
    </row>
    <row r="9720" spans="2:9" x14ac:dyDescent="0.25">
      <c r="B9720">
        <v>0</v>
      </c>
      <c r="C9720" s="16" t="s">
        <v>18684</v>
      </c>
      <c r="D9720" s="16"/>
      <c r="E9720">
        <v>6</v>
      </c>
      <c r="F9720" t="s">
        <v>8986</v>
      </c>
      <c r="G9720">
        <v>1</v>
      </c>
      <c r="H9720">
        <v>1</v>
      </c>
      <c r="I9720">
        <f>1</f>
        <v>1</v>
      </c>
    </row>
    <row r="9721" spans="2:9" x14ac:dyDescent="0.25">
      <c r="B9721">
        <v>0</v>
      </c>
      <c r="C9721" s="16" t="s">
        <v>18685</v>
      </c>
      <c r="D9721" s="16"/>
      <c r="E9721">
        <v>6</v>
      </c>
      <c r="F9721" t="s">
        <v>8621</v>
      </c>
      <c r="G9721">
        <v>1</v>
      </c>
      <c r="H9721">
        <v>1</v>
      </c>
      <c r="I9721">
        <f>1</f>
        <v>1</v>
      </c>
    </row>
    <row r="9722" spans="2:9" x14ac:dyDescent="0.25">
      <c r="B9722">
        <v>0</v>
      </c>
      <c r="C9722" s="16" t="s">
        <v>18686</v>
      </c>
      <c r="D9722" s="16"/>
      <c r="E9722">
        <v>6</v>
      </c>
      <c r="F9722" t="s">
        <v>8987</v>
      </c>
      <c r="G9722">
        <v>1</v>
      </c>
      <c r="H9722">
        <v>1</v>
      </c>
      <c r="I9722">
        <f>1</f>
        <v>1</v>
      </c>
    </row>
    <row r="9723" spans="2:9" x14ac:dyDescent="0.25">
      <c r="B9723">
        <v>0</v>
      </c>
      <c r="C9723" s="16" t="s">
        <v>18687</v>
      </c>
      <c r="D9723" s="16"/>
      <c r="E9723">
        <v>6</v>
      </c>
      <c r="F9723" t="s">
        <v>8988</v>
      </c>
      <c r="G9723">
        <v>1</v>
      </c>
      <c r="H9723">
        <v>1</v>
      </c>
      <c r="I9723">
        <f>1</f>
        <v>1</v>
      </c>
    </row>
    <row r="9724" spans="2:9" x14ac:dyDescent="0.25">
      <c r="B9724">
        <v>0</v>
      </c>
      <c r="C9724" s="16" t="s">
        <v>18688</v>
      </c>
      <c r="D9724" s="16"/>
      <c r="E9724">
        <v>6</v>
      </c>
      <c r="F9724" t="s">
        <v>4680</v>
      </c>
      <c r="G9724">
        <v>1</v>
      </c>
      <c r="H9724">
        <v>1</v>
      </c>
      <c r="I9724">
        <f>1</f>
        <v>1</v>
      </c>
    </row>
    <row r="9725" spans="2:9" x14ac:dyDescent="0.25">
      <c r="B9725">
        <v>0</v>
      </c>
      <c r="C9725" s="16" t="s">
        <v>18689</v>
      </c>
      <c r="D9725" s="16"/>
      <c r="E9725">
        <v>6</v>
      </c>
      <c r="F9725" t="s">
        <v>4680</v>
      </c>
      <c r="G9725">
        <v>1</v>
      </c>
      <c r="H9725">
        <v>1</v>
      </c>
      <c r="I9725">
        <f>1</f>
        <v>1</v>
      </c>
    </row>
    <row r="9726" spans="2:9" x14ac:dyDescent="0.25">
      <c r="B9726">
        <v>0</v>
      </c>
      <c r="C9726" s="16" t="s">
        <v>18690</v>
      </c>
      <c r="D9726" s="16"/>
      <c r="E9726">
        <v>6</v>
      </c>
      <c r="F9726" t="s">
        <v>8989</v>
      </c>
      <c r="G9726">
        <v>1</v>
      </c>
      <c r="H9726">
        <v>1</v>
      </c>
      <c r="I9726">
        <f>1</f>
        <v>1</v>
      </c>
    </row>
    <row r="9727" spans="2:9" x14ac:dyDescent="0.25">
      <c r="B9727">
        <v>0</v>
      </c>
      <c r="C9727" s="16" t="s">
        <v>18691</v>
      </c>
      <c r="D9727" s="16"/>
      <c r="E9727">
        <v>6</v>
      </c>
      <c r="F9727" t="s">
        <v>4690</v>
      </c>
      <c r="G9727">
        <v>1</v>
      </c>
      <c r="H9727">
        <v>1</v>
      </c>
      <c r="I9727">
        <f>1</f>
        <v>1</v>
      </c>
    </row>
    <row r="9728" spans="2:9" x14ac:dyDescent="0.25">
      <c r="B9728">
        <v>0</v>
      </c>
      <c r="C9728" s="16" t="s">
        <v>18692</v>
      </c>
      <c r="D9728" s="16"/>
      <c r="E9728">
        <v>6</v>
      </c>
      <c r="F9728" t="s">
        <v>8990</v>
      </c>
      <c r="G9728">
        <v>1</v>
      </c>
      <c r="H9728">
        <v>1</v>
      </c>
      <c r="I9728">
        <f>1</f>
        <v>1</v>
      </c>
    </row>
    <row r="9729" spans="2:9" x14ac:dyDescent="0.25">
      <c r="B9729">
        <v>0</v>
      </c>
      <c r="C9729" s="16" t="s">
        <v>18693</v>
      </c>
      <c r="D9729" s="16"/>
      <c r="E9729">
        <v>6</v>
      </c>
      <c r="F9729" t="s">
        <v>4680</v>
      </c>
      <c r="G9729">
        <v>1</v>
      </c>
      <c r="H9729">
        <v>1</v>
      </c>
      <c r="I9729">
        <f>1</f>
        <v>1</v>
      </c>
    </row>
    <row r="9730" spans="2:9" x14ac:dyDescent="0.25">
      <c r="B9730">
        <v>0</v>
      </c>
      <c r="C9730" s="16" t="s">
        <v>18694</v>
      </c>
      <c r="D9730" s="16"/>
      <c r="E9730">
        <v>6</v>
      </c>
      <c r="F9730" t="e">
        <f>-sistemas De suspensão e suas Partes  incluindo os amortecedores De suspensão</f>
        <v>#NAME?</v>
      </c>
      <c r="G9730">
        <v>1</v>
      </c>
      <c r="H9730">
        <v>1</v>
      </c>
      <c r="I9730">
        <f>1</f>
        <v>1</v>
      </c>
    </row>
    <row r="9731" spans="2:9" x14ac:dyDescent="0.25">
      <c r="B9731">
        <v>0</v>
      </c>
      <c r="C9731" s="16" t="s">
        <v>18694</v>
      </c>
      <c r="D9731" s="16" t="s">
        <v>19430</v>
      </c>
      <c r="E9731">
        <v>6</v>
      </c>
      <c r="F9731" t="s">
        <v>8991</v>
      </c>
      <c r="G9731">
        <v>1</v>
      </c>
      <c r="H9731">
        <v>1</v>
      </c>
      <c r="I9731">
        <f>1</f>
        <v>1</v>
      </c>
    </row>
    <row r="9732" spans="2:9" x14ac:dyDescent="0.25">
      <c r="B9732">
        <v>0</v>
      </c>
      <c r="C9732" s="16" t="s">
        <v>18694</v>
      </c>
      <c r="D9732" s="16" t="s">
        <v>19431</v>
      </c>
      <c r="E9732">
        <v>6</v>
      </c>
      <c r="F9732" t="s">
        <v>8992</v>
      </c>
      <c r="G9732">
        <v>1</v>
      </c>
      <c r="H9732">
        <v>1</v>
      </c>
      <c r="I9732">
        <f>1</f>
        <v>1</v>
      </c>
    </row>
    <row r="9733" spans="2:9" x14ac:dyDescent="0.25">
      <c r="B9733">
        <v>0</v>
      </c>
      <c r="C9733" s="16" t="s">
        <v>18695</v>
      </c>
      <c r="D9733" s="16"/>
      <c r="E9733">
        <v>6</v>
      </c>
      <c r="F9733" t="e">
        <f>--Radiadores e suas Partes</f>
        <v>#NAME?</v>
      </c>
      <c r="G9733">
        <v>1</v>
      </c>
      <c r="H9733">
        <v>1</v>
      </c>
      <c r="I9733">
        <f>1</f>
        <v>1</v>
      </c>
    </row>
    <row r="9734" spans="2:9" x14ac:dyDescent="0.25">
      <c r="B9734">
        <v>0</v>
      </c>
      <c r="C9734" s="16" t="s">
        <v>18696</v>
      </c>
      <c r="D9734" s="16"/>
      <c r="E9734">
        <v>6</v>
      </c>
      <c r="F9734" t="s">
        <v>8993</v>
      </c>
      <c r="G9734">
        <v>1</v>
      </c>
      <c r="H9734">
        <v>1</v>
      </c>
      <c r="I9734">
        <f>1</f>
        <v>1</v>
      </c>
    </row>
    <row r="9735" spans="2:9" x14ac:dyDescent="0.25">
      <c r="B9735">
        <v>0</v>
      </c>
      <c r="C9735" s="16" t="s">
        <v>18696</v>
      </c>
      <c r="D9735" s="16" t="s">
        <v>19430</v>
      </c>
      <c r="E9735">
        <v>6</v>
      </c>
      <c r="F9735" t="s">
        <v>8994</v>
      </c>
      <c r="G9735">
        <v>1</v>
      </c>
      <c r="H9735">
        <v>1</v>
      </c>
      <c r="I9735">
        <f>1</f>
        <v>1</v>
      </c>
    </row>
    <row r="9736" spans="2:9" x14ac:dyDescent="0.25">
      <c r="B9736">
        <v>0</v>
      </c>
      <c r="C9736" s="16" t="s">
        <v>18696</v>
      </c>
      <c r="D9736" s="16" t="s">
        <v>19431</v>
      </c>
      <c r="E9736">
        <v>6</v>
      </c>
      <c r="F9736" t="s">
        <v>8995</v>
      </c>
      <c r="G9736">
        <v>1</v>
      </c>
      <c r="H9736">
        <v>1</v>
      </c>
      <c r="I9736">
        <f>1</f>
        <v>1</v>
      </c>
    </row>
    <row r="9737" spans="2:9" x14ac:dyDescent="0.25">
      <c r="B9737">
        <v>0</v>
      </c>
      <c r="C9737" s="16" t="s">
        <v>18697</v>
      </c>
      <c r="D9737" s="16"/>
      <c r="E9737">
        <v>6</v>
      </c>
      <c r="F9737" t="e">
        <f>--Embreagens e suas Partes</f>
        <v>#NAME?</v>
      </c>
      <c r="G9737">
        <v>1</v>
      </c>
      <c r="H9737">
        <v>1</v>
      </c>
      <c r="I9737">
        <f>1</f>
        <v>1</v>
      </c>
    </row>
    <row r="9738" spans="2:9" x14ac:dyDescent="0.25">
      <c r="B9738">
        <v>0</v>
      </c>
      <c r="C9738" s="16" t="s">
        <v>18697</v>
      </c>
      <c r="D9738" s="16" t="s">
        <v>19430</v>
      </c>
      <c r="E9738">
        <v>6</v>
      </c>
      <c r="F9738" t="s">
        <v>8996</v>
      </c>
      <c r="G9738">
        <v>1</v>
      </c>
      <c r="H9738">
        <v>1</v>
      </c>
      <c r="I9738">
        <f>1</f>
        <v>1</v>
      </c>
    </row>
    <row r="9739" spans="2:9" x14ac:dyDescent="0.25">
      <c r="B9739">
        <v>0</v>
      </c>
      <c r="C9739" s="16" t="s">
        <v>18698</v>
      </c>
      <c r="D9739" s="16"/>
      <c r="E9739">
        <v>6</v>
      </c>
      <c r="F9739" t="s">
        <v>8997</v>
      </c>
      <c r="G9739">
        <v>1</v>
      </c>
      <c r="H9739">
        <v>1</v>
      </c>
      <c r="I9739">
        <f>1</f>
        <v>1</v>
      </c>
    </row>
    <row r="9740" spans="2:9" x14ac:dyDescent="0.25">
      <c r="B9740">
        <v>0</v>
      </c>
      <c r="C9740" s="16" t="s">
        <v>18699</v>
      </c>
      <c r="D9740" s="16"/>
      <c r="E9740">
        <v>6</v>
      </c>
      <c r="F9740" t="s">
        <v>8998</v>
      </c>
      <c r="G9740">
        <v>1</v>
      </c>
      <c r="H9740">
        <v>1</v>
      </c>
      <c r="I9740">
        <f>1</f>
        <v>1</v>
      </c>
    </row>
    <row r="9741" spans="2:9" x14ac:dyDescent="0.25">
      <c r="B9741">
        <v>0</v>
      </c>
      <c r="C9741" s="16" t="s">
        <v>18700</v>
      </c>
      <c r="D9741" s="16"/>
      <c r="E9741">
        <v>6</v>
      </c>
      <c r="F9741" t="s">
        <v>8999</v>
      </c>
      <c r="G9741">
        <v>1</v>
      </c>
      <c r="H9741">
        <v>1</v>
      </c>
      <c r="I9741">
        <f>1</f>
        <v>1</v>
      </c>
    </row>
    <row r="9742" spans="2:9" x14ac:dyDescent="0.25">
      <c r="B9742">
        <v>0</v>
      </c>
      <c r="C9742" s="16" t="s">
        <v>18701</v>
      </c>
      <c r="D9742" s="16"/>
      <c r="E9742">
        <v>6</v>
      </c>
      <c r="F9742" t="s">
        <v>8997</v>
      </c>
      <c r="G9742">
        <v>1</v>
      </c>
      <c r="H9742">
        <v>1</v>
      </c>
      <c r="I9742">
        <f>1</f>
        <v>1</v>
      </c>
    </row>
    <row r="9743" spans="2:9" x14ac:dyDescent="0.25">
      <c r="B9743">
        <v>0</v>
      </c>
      <c r="C9743" s="16" t="s">
        <v>18702</v>
      </c>
      <c r="D9743" s="16"/>
      <c r="E9743">
        <v>6</v>
      </c>
      <c r="F9743" t="s">
        <v>8998</v>
      </c>
      <c r="G9743">
        <v>1</v>
      </c>
      <c r="H9743">
        <v>1</v>
      </c>
      <c r="I9743">
        <f>1</f>
        <v>1</v>
      </c>
    </row>
    <row r="9744" spans="2:9" x14ac:dyDescent="0.25">
      <c r="B9744">
        <v>0</v>
      </c>
      <c r="C9744" s="16" t="s">
        <v>18703</v>
      </c>
      <c r="D9744" s="16"/>
      <c r="E9744">
        <v>6</v>
      </c>
      <c r="F9744" t="s">
        <v>8999</v>
      </c>
      <c r="G9744">
        <v>1</v>
      </c>
      <c r="H9744">
        <v>1</v>
      </c>
      <c r="I9744">
        <f>1</f>
        <v>1</v>
      </c>
    </row>
    <row r="9745" spans="2:9" x14ac:dyDescent="0.25">
      <c r="B9745">
        <v>0</v>
      </c>
      <c r="C9745" s="16" t="s">
        <v>18704</v>
      </c>
      <c r="D9745" s="16"/>
      <c r="E9745">
        <v>6</v>
      </c>
      <c r="F9745" t="s">
        <v>8621</v>
      </c>
      <c r="G9745">
        <v>1</v>
      </c>
      <c r="H9745">
        <v>1</v>
      </c>
      <c r="I9745">
        <f>1</f>
        <v>1</v>
      </c>
    </row>
    <row r="9746" spans="2:9" x14ac:dyDescent="0.25">
      <c r="B9746">
        <v>0</v>
      </c>
      <c r="C9746" s="16" t="s">
        <v>18705</v>
      </c>
      <c r="D9746" s="16"/>
      <c r="E9746">
        <v>6</v>
      </c>
      <c r="F9746" t="s">
        <v>9000</v>
      </c>
      <c r="G9746">
        <v>1</v>
      </c>
      <c r="H9746">
        <v>1</v>
      </c>
      <c r="I9746">
        <f>1</f>
        <v>1</v>
      </c>
    </row>
    <row r="9747" spans="2:9" x14ac:dyDescent="0.25">
      <c r="B9747">
        <v>0</v>
      </c>
      <c r="C9747" s="16" t="s">
        <v>18706</v>
      </c>
      <c r="D9747" s="16"/>
      <c r="E9747">
        <v>6</v>
      </c>
      <c r="F9747" t="s">
        <v>9001</v>
      </c>
      <c r="G9747">
        <v>1</v>
      </c>
      <c r="H9747">
        <v>1</v>
      </c>
      <c r="I9747">
        <f>1</f>
        <v>1</v>
      </c>
    </row>
    <row r="9748" spans="2:9" x14ac:dyDescent="0.25">
      <c r="B9748">
        <v>0</v>
      </c>
      <c r="C9748" s="16" t="s">
        <v>18707</v>
      </c>
      <c r="D9748" s="16"/>
      <c r="E9748">
        <v>6</v>
      </c>
      <c r="F9748" t="s">
        <v>9002</v>
      </c>
      <c r="G9748">
        <v>1</v>
      </c>
      <c r="H9748">
        <v>1</v>
      </c>
      <c r="I9748">
        <f>1</f>
        <v>1</v>
      </c>
    </row>
    <row r="9749" spans="2:9" x14ac:dyDescent="0.25">
      <c r="B9749">
        <v>0</v>
      </c>
      <c r="C9749" s="16" t="s">
        <v>18708</v>
      </c>
      <c r="D9749" s="16"/>
      <c r="E9749">
        <v>6</v>
      </c>
      <c r="F9749" t="s">
        <v>4690</v>
      </c>
      <c r="G9749">
        <v>1</v>
      </c>
      <c r="H9749">
        <v>1</v>
      </c>
      <c r="I9749">
        <f>1</f>
        <v>1</v>
      </c>
    </row>
    <row r="9750" spans="2:9" x14ac:dyDescent="0.25">
      <c r="B9750">
        <v>0</v>
      </c>
      <c r="C9750" s="16" t="s">
        <v>18709</v>
      </c>
      <c r="D9750" s="16"/>
      <c r="E9750">
        <v>6</v>
      </c>
      <c r="F9750" t="s">
        <v>9003</v>
      </c>
      <c r="G9750">
        <v>1</v>
      </c>
      <c r="H9750">
        <v>1</v>
      </c>
      <c r="I9750">
        <f>1</f>
        <v>1</v>
      </c>
    </row>
    <row r="9751" spans="2:9" x14ac:dyDescent="0.25">
      <c r="B9751">
        <v>0</v>
      </c>
      <c r="C9751" s="16" t="s">
        <v>18710</v>
      </c>
      <c r="D9751" s="16"/>
      <c r="E9751">
        <v>6</v>
      </c>
      <c r="F9751" t="s">
        <v>4680</v>
      </c>
      <c r="G9751">
        <v>1</v>
      </c>
      <c r="H9751">
        <v>1</v>
      </c>
      <c r="I9751">
        <f>1</f>
        <v>1</v>
      </c>
    </row>
    <row r="9752" spans="2:9" x14ac:dyDescent="0.25">
      <c r="B9752">
        <v>0</v>
      </c>
      <c r="C9752" s="16" t="s">
        <v>18711</v>
      </c>
      <c r="D9752" s="16"/>
      <c r="E9752">
        <v>6</v>
      </c>
      <c r="F9752" t="e">
        <f>--elétricos</f>
        <v>#NAME?</v>
      </c>
      <c r="G9752">
        <v>1</v>
      </c>
      <c r="H9752">
        <v>1</v>
      </c>
      <c r="I9752">
        <f>1</f>
        <v>1</v>
      </c>
    </row>
    <row r="9753" spans="2:9" x14ac:dyDescent="0.25">
      <c r="B9753">
        <v>0</v>
      </c>
      <c r="C9753" s="16" t="s">
        <v>18712</v>
      </c>
      <c r="D9753" s="16"/>
      <c r="E9753">
        <v>6</v>
      </c>
      <c r="F9753" t="e">
        <f>--outros</f>
        <v>#NAME?</v>
      </c>
      <c r="G9753">
        <v>1</v>
      </c>
      <c r="H9753">
        <v>1</v>
      </c>
      <c r="I9753">
        <f>1</f>
        <v>1</v>
      </c>
    </row>
    <row r="9754" spans="2:9" x14ac:dyDescent="0.25">
      <c r="B9754">
        <v>0</v>
      </c>
      <c r="C9754" s="16" t="s">
        <v>18713</v>
      </c>
      <c r="D9754" s="16"/>
      <c r="E9754">
        <v>6</v>
      </c>
      <c r="F9754" t="e">
        <f>-Partes</f>
        <v>#NAME?</v>
      </c>
      <c r="G9754">
        <v>1</v>
      </c>
      <c r="H9754">
        <v>1</v>
      </c>
      <c r="I9754">
        <f>1</f>
        <v>1</v>
      </c>
    </row>
    <row r="9755" spans="2:9" x14ac:dyDescent="0.25">
      <c r="B9755">
        <v>0</v>
      </c>
      <c r="C9755" s="16" t="s">
        <v>18714</v>
      </c>
      <c r="D9755" s="16"/>
      <c r="E9755">
        <v>6</v>
      </c>
      <c r="F9755" t="s">
        <v>9004</v>
      </c>
      <c r="G9755">
        <v>1</v>
      </c>
      <c r="H9755">
        <v>1</v>
      </c>
      <c r="I9755">
        <f>1</f>
        <v>1</v>
      </c>
    </row>
    <row r="9756" spans="2:9" x14ac:dyDescent="0.25">
      <c r="B9756">
        <v>0</v>
      </c>
      <c r="C9756" s="16" t="s">
        <v>18715</v>
      </c>
      <c r="D9756" s="16"/>
      <c r="E9756">
        <v>6</v>
      </c>
      <c r="F9756" t="s">
        <v>9005</v>
      </c>
      <c r="G9756">
        <v>1</v>
      </c>
      <c r="H9756">
        <v>1</v>
      </c>
      <c r="I9756">
        <f>1</f>
        <v>1</v>
      </c>
    </row>
    <row r="9757" spans="2:9" x14ac:dyDescent="0.25">
      <c r="B9757">
        <v>0</v>
      </c>
      <c r="C9757" s="16" t="s">
        <v>18716</v>
      </c>
      <c r="D9757" s="16"/>
      <c r="E9757">
        <v>6</v>
      </c>
      <c r="F9757" t="s">
        <v>9006</v>
      </c>
      <c r="G9757">
        <v>1</v>
      </c>
      <c r="H9757">
        <v>1</v>
      </c>
      <c r="I9757">
        <f>1</f>
        <v>1</v>
      </c>
    </row>
    <row r="9758" spans="2:9" x14ac:dyDescent="0.25">
      <c r="B9758">
        <v>0</v>
      </c>
      <c r="C9758" s="16" t="s">
        <v>18717</v>
      </c>
      <c r="D9758" s="16"/>
      <c r="E9758">
        <v>6</v>
      </c>
      <c r="F9758" t="s">
        <v>9007</v>
      </c>
      <c r="G9758">
        <v>1</v>
      </c>
      <c r="H9758">
        <v>1</v>
      </c>
      <c r="I9758">
        <f>1</f>
        <v>1</v>
      </c>
    </row>
    <row r="9759" spans="2:9" x14ac:dyDescent="0.25">
      <c r="B9759">
        <v>0</v>
      </c>
      <c r="C9759" s="16" t="s">
        <v>18718</v>
      </c>
      <c r="D9759" s="16"/>
      <c r="E9759">
        <v>6</v>
      </c>
      <c r="F9759" t="s">
        <v>4680</v>
      </c>
      <c r="G9759">
        <v>1</v>
      </c>
      <c r="H9759">
        <v>1</v>
      </c>
      <c r="I9759">
        <f>1</f>
        <v>1</v>
      </c>
    </row>
    <row r="9760" spans="2:9" x14ac:dyDescent="0.25">
      <c r="B9760">
        <v>0</v>
      </c>
      <c r="C9760" s="16" t="s">
        <v>18719</v>
      </c>
      <c r="D9760" s="16"/>
      <c r="E9760">
        <v>6</v>
      </c>
      <c r="F9760" t="s">
        <v>9008</v>
      </c>
      <c r="G9760">
        <v>1</v>
      </c>
      <c r="H9760">
        <v>1</v>
      </c>
      <c r="I9760">
        <f>1</f>
        <v>1</v>
      </c>
    </row>
    <row r="9761" spans="2:9" x14ac:dyDescent="0.25">
      <c r="B9761">
        <v>0</v>
      </c>
      <c r="C9761" s="16" t="s">
        <v>18720</v>
      </c>
      <c r="D9761" s="16"/>
      <c r="E9761">
        <v>6</v>
      </c>
      <c r="F9761" t="s">
        <v>9009</v>
      </c>
      <c r="G9761">
        <v>1</v>
      </c>
      <c r="H9761">
        <v>1</v>
      </c>
      <c r="I9761">
        <f>1</f>
        <v>1</v>
      </c>
    </row>
    <row r="9762" spans="2:9" x14ac:dyDescent="0.25">
      <c r="B9762">
        <v>0</v>
      </c>
      <c r="C9762" s="16" t="s">
        <v>18721</v>
      </c>
      <c r="D9762" s="16"/>
      <c r="E9762">
        <v>6</v>
      </c>
      <c r="F9762" t="s">
        <v>9010</v>
      </c>
      <c r="G9762">
        <v>1</v>
      </c>
      <c r="H9762">
        <v>1</v>
      </c>
      <c r="I9762">
        <f>1</f>
        <v>1</v>
      </c>
    </row>
    <row r="9763" spans="2:9" x14ac:dyDescent="0.25">
      <c r="B9763">
        <v>0</v>
      </c>
      <c r="C9763" s="16" t="s">
        <v>18722</v>
      </c>
      <c r="D9763" s="16"/>
      <c r="E9763">
        <v>6</v>
      </c>
      <c r="F9763" t="e">
        <f>-outros</f>
        <v>#NAME?</v>
      </c>
      <c r="G9763">
        <v>1</v>
      </c>
      <c r="H9763">
        <v>1</v>
      </c>
      <c r="I9763">
        <f>1</f>
        <v>1</v>
      </c>
    </row>
    <row r="9764" spans="2:9" x14ac:dyDescent="0.25">
      <c r="B9764">
        <v>0</v>
      </c>
      <c r="C9764" s="16" t="s">
        <v>18723</v>
      </c>
      <c r="D9764" s="16"/>
      <c r="E9764">
        <v>6</v>
      </c>
      <c r="F9764" t="s">
        <v>9011</v>
      </c>
      <c r="G9764">
        <v>1</v>
      </c>
      <c r="H9764">
        <v>1</v>
      </c>
      <c r="I9764">
        <f>1</f>
        <v>1</v>
      </c>
    </row>
    <row r="9765" spans="2:9" x14ac:dyDescent="0.25">
      <c r="B9765">
        <v>0</v>
      </c>
      <c r="C9765" s="16" t="s">
        <v>18724</v>
      </c>
      <c r="D9765" s="16"/>
      <c r="E9765">
        <v>6</v>
      </c>
      <c r="F9765" t="s">
        <v>4680</v>
      </c>
      <c r="G9765">
        <v>1</v>
      </c>
      <c r="H9765">
        <v>1</v>
      </c>
      <c r="I9765">
        <f>1</f>
        <v>1</v>
      </c>
    </row>
    <row r="9766" spans="2:9" x14ac:dyDescent="0.25">
      <c r="B9766">
        <v>0</v>
      </c>
      <c r="C9766" s="16" t="s">
        <v>18725</v>
      </c>
      <c r="D9766" s="16"/>
      <c r="E9766">
        <v>6</v>
      </c>
      <c r="F9766" t="e">
        <f>-Sem mecanismo De propulsão</f>
        <v>#NAME?</v>
      </c>
      <c r="G9766">
        <v>1</v>
      </c>
      <c r="H9766">
        <v>1</v>
      </c>
      <c r="I9766">
        <f>1</f>
        <v>1</v>
      </c>
    </row>
    <row r="9767" spans="2:9" x14ac:dyDescent="0.25">
      <c r="B9767">
        <v>0</v>
      </c>
      <c r="C9767" s="16" t="s">
        <v>18726</v>
      </c>
      <c r="D9767" s="16"/>
      <c r="E9767">
        <v>6</v>
      </c>
      <c r="F9767" t="e">
        <f>-outros</f>
        <v>#NAME?</v>
      </c>
      <c r="G9767">
        <v>1</v>
      </c>
      <c r="H9767">
        <v>1</v>
      </c>
      <c r="I9767">
        <f>1</f>
        <v>1</v>
      </c>
    </row>
    <row r="9768" spans="2:9" x14ac:dyDescent="0.25">
      <c r="B9768">
        <v>0</v>
      </c>
      <c r="C9768" s="16" t="s">
        <v>18727</v>
      </c>
      <c r="D9768" s="16"/>
      <c r="E9768">
        <v>6</v>
      </c>
      <c r="F9768" t="e">
        <f>-De motocicletas  incluindo os ciclomotores</f>
        <v>#NAME?</v>
      </c>
      <c r="G9768">
        <v>1</v>
      </c>
      <c r="H9768">
        <v>1</v>
      </c>
      <c r="I9768">
        <f>1</f>
        <v>1</v>
      </c>
    </row>
    <row r="9769" spans="2:9" x14ac:dyDescent="0.25">
      <c r="B9769">
        <v>0</v>
      </c>
      <c r="C9769" s="16" t="s">
        <v>18728</v>
      </c>
      <c r="D9769" s="16"/>
      <c r="E9769">
        <v>6</v>
      </c>
      <c r="F9769" t="e">
        <f>-De cadeiras De Rodas ou De outros veículos para inválidos</f>
        <v>#NAME?</v>
      </c>
      <c r="G9769">
        <v>1</v>
      </c>
      <c r="H9769">
        <v>1</v>
      </c>
      <c r="I9769">
        <f>1</f>
        <v>1</v>
      </c>
    </row>
    <row r="9770" spans="2:9" x14ac:dyDescent="0.25">
      <c r="B9770">
        <v>0</v>
      </c>
      <c r="C9770" s="16" t="s">
        <v>18729</v>
      </c>
      <c r="D9770" s="16"/>
      <c r="E9770">
        <v>6</v>
      </c>
      <c r="F9770" t="s">
        <v>9012</v>
      </c>
      <c r="G9770">
        <v>1</v>
      </c>
      <c r="H9770">
        <v>1</v>
      </c>
      <c r="I9770">
        <f>1</f>
        <v>1</v>
      </c>
    </row>
    <row r="9771" spans="2:9" x14ac:dyDescent="0.25">
      <c r="B9771">
        <v>0</v>
      </c>
      <c r="C9771" s="16" t="s">
        <v>18730</v>
      </c>
      <c r="D9771" s="16"/>
      <c r="E9771">
        <v>6</v>
      </c>
      <c r="F9771" t="e">
        <f>--Aros e raios</f>
        <v>#NAME?</v>
      </c>
      <c r="G9771">
        <v>1</v>
      </c>
      <c r="H9771">
        <v>1</v>
      </c>
      <c r="I9771">
        <f>1</f>
        <v>1</v>
      </c>
    </row>
    <row r="9772" spans="2:9" x14ac:dyDescent="0.25">
      <c r="B9772">
        <v>0</v>
      </c>
      <c r="C9772" s="16" t="s">
        <v>18731</v>
      </c>
      <c r="D9772" s="16"/>
      <c r="E9772">
        <v>6</v>
      </c>
      <c r="F9772" t="s">
        <v>9013</v>
      </c>
      <c r="G9772">
        <v>1</v>
      </c>
      <c r="H9772">
        <v>1</v>
      </c>
      <c r="I9772">
        <f>1</f>
        <v>1</v>
      </c>
    </row>
    <row r="9773" spans="2:9" x14ac:dyDescent="0.25">
      <c r="B9773">
        <v>0</v>
      </c>
      <c r="C9773" s="16" t="s">
        <v>18732</v>
      </c>
      <c r="D9773" s="16"/>
      <c r="E9773">
        <v>6</v>
      </c>
      <c r="F9773" t="s">
        <v>9014</v>
      </c>
      <c r="G9773">
        <v>1</v>
      </c>
      <c r="H9773">
        <v>1</v>
      </c>
      <c r="I9773">
        <f>1</f>
        <v>1</v>
      </c>
    </row>
    <row r="9774" spans="2:9" x14ac:dyDescent="0.25">
      <c r="B9774">
        <v>0</v>
      </c>
      <c r="C9774" s="16" t="s">
        <v>18733</v>
      </c>
      <c r="D9774" s="16"/>
      <c r="E9774">
        <v>6</v>
      </c>
      <c r="F9774" t="s">
        <v>9015</v>
      </c>
      <c r="G9774">
        <v>1</v>
      </c>
      <c r="H9774">
        <v>1</v>
      </c>
      <c r="I9774">
        <f>1</f>
        <v>1</v>
      </c>
    </row>
    <row r="9775" spans="2:9" x14ac:dyDescent="0.25">
      <c r="B9775">
        <v>0</v>
      </c>
      <c r="C9775" s="16" t="s">
        <v>18734</v>
      </c>
      <c r="D9775" s="16"/>
      <c r="E9775">
        <v>6</v>
      </c>
      <c r="F9775" t="s">
        <v>4680</v>
      </c>
      <c r="G9775">
        <v>1</v>
      </c>
      <c r="H9775">
        <v>1</v>
      </c>
      <c r="I9775">
        <f>1</f>
        <v>1</v>
      </c>
    </row>
    <row r="9776" spans="2:9" x14ac:dyDescent="0.25">
      <c r="B9776">
        <v>0</v>
      </c>
      <c r="C9776" s="16" t="s">
        <v>18735</v>
      </c>
      <c r="D9776" s="16"/>
      <c r="E9776">
        <v>6</v>
      </c>
      <c r="F9776" t="e">
        <f>--Selins</f>
        <v>#NAME?</v>
      </c>
      <c r="G9776">
        <v>1</v>
      </c>
      <c r="H9776">
        <v>1</v>
      </c>
      <c r="I9776">
        <f>1</f>
        <v>1</v>
      </c>
    </row>
    <row r="9777" spans="2:9" x14ac:dyDescent="0.25">
      <c r="B9777">
        <v>0</v>
      </c>
      <c r="C9777" s="16" t="s">
        <v>18736</v>
      </c>
      <c r="D9777" s="16"/>
      <c r="E9777">
        <v>6</v>
      </c>
      <c r="F9777" t="s">
        <v>9016</v>
      </c>
      <c r="G9777">
        <v>1</v>
      </c>
      <c r="H9777">
        <v>1</v>
      </c>
      <c r="I9777">
        <f>1</f>
        <v>1</v>
      </c>
    </row>
    <row r="9778" spans="2:9" x14ac:dyDescent="0.25">
      <c r="B9778">
        <v>0</v>
      </c>
      <c r="C9778" s="16" t="s">
        <v>18737</v>
      </c>
      <c r="D9778" s="16"/>
      <c r="E9778">
        <v>6</v>
      </c>
      <c r="F9778" t="s">
        <v>9017</v>
      </c>
      <c r="G9778">
        <v>1</v>
      </c>
      <c r="H9778">
        <v>1</v>
      </c>
      <c r="I9778">
        <f>1</f>
        <v>1</v>
      </c>
    </row>
    <row r="9779" spans="2:9" x14ac:dyDescent="0.25">
      <c r="B9779">
        <v>0</v>
      </c>
      <c r="C9779" s="16" t="s">
        <v>18738</v>
      </c>
      <c r="D9779" s="16"/>
      <c r="E9779">
        <v>6</v>
      </c>
      <c r="F9779" t="s">
        <v>4680</v>
      </c>
      <c r="G9779">
        <v>1</v>
      </c>
      <c r="H9779">
        <v>1</v>
      </c>
      <c r="I9779">
        <f>1</f>
        <v>1</v>
      </c>
    </row>
    <row r="9780" spans="2:9" x14ac:dyDescent="0.25">
      <c r="B9780">
        <v>0</v>
      </c>
      <c r="C9780" s="16" t="s">
        <v>18739</v>
      </c>
      <c r="D9780" s="16"/>
      <c r="E9780">
        <v>6</v>
      </c>
      <c r="F9780" t="s">
        <v>9018</v>
      </c>
      <c r="G9780">
        <v>1</v>
      </c>
      <c r="H9780">
        <v>1</v>
      </c>
      <c r="I9780">
        <f>1</f>
        <v>1</v>
      </c>
    </row>
    <row r="9781" spans="2:9" x14ac:dyDescent="0.25">
      <c r="B9781">
        <v>0</v>
      </c>
      <c r="C9781" s="16" t="s">
        <v>18740</v>
      </c>
      <c r="D9781" s="16"/>
      <c r="E9781">
        <v>6</v>
      </c>
      <c r="F9781" t="s">
        <v>9019</v>
      </c>
      <c r="G9781">
        <v>1</v>
      </c>
      <c r="H9781">
        <v>1</v>
      </c>
      <c r="I9781">
        <f>1</f>
        <v>1</v>
      </c>
    </row>
    <row r="9782" spans="2:9" x14ac:dyDescent="0.25">
      <c r="B9782">
        <v>0</v>
      </c>
      <c r="C9782" s="16" t="s">
        <v>18741</v>
      </c>
      <c r="D9782" s="16"/>
      <c r="E9782">
        <v>6</v>
      </c>
      <c r="F9782" t="s">
        <v>9020</v>
      </c>
      <c r="G9782">
        <v>1</v>
      </c>
      <c r="H9782">
        <v>1</v>
      </c>
      <c r="I9782">
        <f>1</f>
        <v>1</v>
      </c>
    </row>
    <row r="9783" spans="2:9" x14ac:dyDescent="0.25">
      <c r="B9783">
        <v>0</v>
      </c>
      <c r="C9783" s="16" t="s">
        <v>18742</v>
      </c>
      <c r="D9783" s="16"/>
      <c r="E9783">
        <v>6</v>
      </c>
      <c r="F9783" t="e">
        <f>--Cisternas</f>
        <v>#NAME?</v>
      </c>
      <c r="G9783">
        <v>1</v>
      </c>
      <c r="H9783">
        <v>1</v>
      </c>
      <c r="I9783">
        <f>1</f>
        <v>1</v>
      </c>
    </row>
    <row r="9784" spans="2:9" x14ac:dyDescent="0.25">
      <c r="B9784">
        <v>0</v>
      </c>
      <c r="C9784" s="16" t="s">
        <v>18743</v>
      </c>
      <c r="D9784" s="16"/>
      <c r="E9784">
        <v>6</v>
      </c>
      <c r="F9784" t="e">
        <f>--outros</f>
        <v>#NAME?</v>
      </c>
      <c r="G9784">
        <v>1</v>
      </c>
      <c r="H9784">
        <v>1</v>
      </c>
      <c r="I9784">
        <f>1</f>
        <v>1</v>
      </c>
    </row>
    <row r="9785" spans="2:9" x14ac:dyDescent="0.25">
      <c r="B9785">
        <v>0</v>
      </c>
      <c r="C9785" s="16" t="s">
        <v>18744</v>
      </c>
      <c r="D9785" s="16"/>
      <c r="E9785">
        <v>6</v>
      </c>
      <c r="F9785" t="e">
        <f>-outros Reboques e semirreboques</f>
        <v>#NAME?</v>
      </c>
      <c r="G9785">
        <v>1</v>
      </c>
      <c r="H9785">
        <v>1</v>
      </c>
      <c r="I9785">
        <f>1</f>
        <v>1</v>
      </c>
    </row>
    <row r="9786" spans="2:9" x14ac:dyDescent="0.25">
      <c r="B9786">
        <v>0</v>
      </c>
      <c r="C9786" s="16" t="s">
        <v>18745</v>
      </c>
      <c r="D9786" s="16"/>
      <c r="E9786">
        <v>6</v>
      </c>
      <c r="F9786" t="e">
        <f>-outros veículos</f>
        <v>#NAME?</v>
      </c>
      <c r="G9786">
        <v>1</v>
      </c>
      <c r="H9786">
        <v>1</v>
      </c>
      <c r="I9786">
        <f>1</f>
        <v>1</v>
      </c>
    </row>
    <row r="9787" spans="2:9" x14ac:dyDescent="0.25">
      <c r="B9787">
        <v>0</v>
      </c>
      <c r="C9787" s="16" t="s">
        <v>18745</v>
      </c>
      <c r="D9787" s="16" t="s">
        <v>19430</v>
      </c>
      <c r="E9787">
        <v>6</v>
      </c>
      <c r="F9787" t="s">
        <v>9021</v>
      </c>
      <c r="G9787">
        <v>1</v>
      </c>
      <c r="H9787">
        <v>1</v>
      </c>
      <c r="I9787">
        <f>1</f>
        <v>1</v>
      </c>
    </row>
    <row r="9788" spans="2:9" x14ac:dyDescent="0.25">
      <c r="B9788">
        <v>0</v>
      </c>
      <c r="C9788" s="16" t="s">
        <v>18745</v>
      </c>
      <c r="D9788" s="16" t="s">
        <v>19431</v>
      </c>
      <c r="E9788">
        <v>6</v>
      </c>
      <c r="F9788" t="s">
        <v>9022</v>
      </c>
      <c r="G9788">
        <v>1</v>
      </c>
      <c r="H9788">
        <v>1</v>
      </c>
      <c r="I9788">
        <f>1</f>
        <v>1</v>
      </c>
    </row>
    <row r="9789" spans="2:9" x14ac:dyDescent="0.25">
      <c r="B9789">
        <v>0</v>
      </c>
      <c r="C9789" s="16" t="s">
        <v>18746</v>
      </c>
      <c r="D9789" s="16"/>
      <c r="E9789">
        <v>6</v>
      </c>
      <c r="F9789" t="s">
        <v>9023</v>
      </c>
      <c r="G9789">
        <v>1</v>
      </c>
      <c r="H9789">
        <v>1</v>
      </c>
      <c r="I9789">
        <f>1</f>
        <v>1</v>
      </c>
    </row>
    <row r="9790" spans="2:9" x14ac:dyDescent="0.25">
      <c r="B9790">
        <v>0</v>
      </c>
      <c r="C9790" s="16" t="s">
        <v>18747</v>
      </c>
      <c r="D9790" s="16"/>
      <c r="E9790">
        <v>6</v>
      </c>
      <c r="F9790" t="s">
        <v>4690</v>
      </c>
      <c r="G9790">
        <v>1</v>
      </c>
      <c r="H9790">
        <v>1</v>
      </c>
      <c r="I9790">
        <f>1</f>
        <v>1</v>
      </c>
    </row>
    <row r="9791" spans="2:9" x14ac:dyDescent="0.25">
      <c r="B9791">
        <v>0</v>
      </c>
      <c r="C9791" s="16" t="s">
        <v>18748</v>
      </c>
      <c r="D9791" s="16"/>
      <c r="E9791">
        <v>6</v>
      </c>
      <c r="F9791" t="s">
        <v>9024</v>
      </c>
      <c r="G9791">
        <v>1</v>
      </c>
      <c r="H9791">
        <v>1</v>
      </c>
      <c r="I9791">
        <f>1</f>
        <v>1</v>
      </c>
    </row>
    <row r="9792" spans="2:9" x14ac:dyDescent="0.25">
      <c r="B9792">
        <v>0</v>
      </c>
      <c r="C9792" s="16" t="s">
        <v>18749</v>
      </c>
      <c r="D9792" s="16"/>
      <c r="E9792">
        <v>6</v>
      </c>
      <c r="F9792" t="s">
        <v>9025</v>
      </c>
      <c r="G9792">
        <v>1</v>
      </c>
      <c r="H9792">
        <v>1</v>
      </c>
      <c r="I9792">
        <f>1</f>
        <v>1</v>
      </c>
    </row>
    <row r="9793" spans="2:9" x14ac:dyDescent="0.25">
      <c r="B9793">
        <v>0</v>
      </c>
      <c r="C9793" s="16" t="s">
        <v>18750</v>
      </c>
      <c r="D9793" s="16"/>
      <c r="E9793">
        <v>6</v>
      </c>
      <c r="F9793" t="s">
        <v>9026</v>
      </c>
      <c r="G9793">
        <v>1</v>
      </c>
      <c r="H9793">
        <v>1</v>
      </c>
      <c r="I9793">
        <f>1</f>
        <v>1</v>
      </c>
    </row>
    <row r="9794" spans="2:9" x14ac:dyDescent="0.25">
      <c r="B9794">
        <v>0</v>
      </c>
      <c r="C9794" s="16" t="s">
        <v>18751</v>
      </c>
      <c r="D9794" s="16"/>
      <c r="E9794">
        <v>6</v>
      </c>
      <c r="F9794" t="s">
        <v>4680</v>
      </c>
      <c r="G9794">
        <v>1</v>
      </c>
      <c r="H9794">
        <v>1</v>
      </c>
      <c r="I9794">
        <f>1</f>
        <v>1</v>
      </c>
    </row>
    <row r="9795" spans="2:9" x14ac:dyDescent="0.25">
      <c r="B9795">
        <v>0</v>
      </c>
      <c r="C9795" s="16" t="s">
        <v>18752</v>
      </c>
      <c r="D9795" s="16"/>
      <c r="E9795">
        <v>6</v>
      </c>
      <c r="F9795" t="s">
        <v>9027</v>
      </c>
      <c r="G9795">
        <v>1</v>
      </c>
      <c r="H9795">
        <v>1</v>
      </c>
      <c r="I9795">
        <f>1</f>
        <v>1</v>
      </c>
    </row>
    <row r="9796" spans="2:9" x14ac:dyDescent="0.25">
      <c r="B9796">
        <v>0</v>
      </c>
      <c r="C9796" s="16" t="s">
        <v>18753</v>
      </c>
      <c r="D9796" s="16"/>
      <c r="E9796">
        <v>6</v>
      </c>
      <c r="F9796" t="s">
        <v>9028</v>
      </c>
      <c r="G9796">
        <v>1</v>
      </c>
      <c r="H9796">
        <v>1</v>
      </c>
      <c r="I9796">
        <f>1</f>
        <v>1</v>
      </c>
    </row>
    <row r="9797" spans="2:9" x14ac:dyDescent="0.25">
      <c r="B9797">
        <v>0</v>
      </c>
      <c r="C9797" s="16" t="s">
        <v>18754</v>
      </c>
      <c r="D9797" s="16"/>
      <c r="E9797">
        <v>6</v>
      </c>
      <c r="F9797" t="s">
        <v>9029</v>
      </c>
      <c r="G9797">
        <v>1</v>
      </c>
      <c r="H9797">
        <v>1</v>
      </c>
      <c r="I9797">
        <f>1</f>
        <v>1</v>
      </c>
    </row>
    <row r="9798" spans="2:9" x14ac:dyDescent="0.25">
      <c r="B9798">
        <v>0</v>
      </c>
      <c r="C9798" s="16" t="s">
        <v>18755</v>
      </c>
      <c r="D9798" s="16"/>
      <c r="E9798">
        <v>6</v>
      </c>
      <c r="F9798" t="s">
        <v>4680</v>
      </c>
      <c r="G9798">
        <v>1</v>
      </c>
      <c r="H9798">
        <v>1</v>
      </c>
      <c r="I9798">
        <f>1</f>
        <v>1</v>
      </c>
    </row>
    <row r="9799" spans="2:9" x14ac:dyDescent="0.25">
      <c r="B9799">
        <v>0</v>
      </c>
      <c r="C9799" s="16" t="s">
        <v>18756</v>
      </c>
      <c r="D9799" s="16"/>
      <c r="E9799">
        <v>6</v>
      </c>
      <c r="F9799" t="s">
        <v>9027</v>
      </c>
      <c r="G9799">
        <v>1</v>
      </c>
      <c r="H9799">
        <v>1</v>
      </c>
      <c r="I9799">
        <f>1</f>
        <v>1</v>
      </c>
    </row>
    <row r="9800" spans="2:9" x14ac:dyDescent="0.25">
      <c r="B9800">
        <v>0</v>
      </c>
      <c r="C9800" s="16" t="s">
        <v>18757</v>
      </c>
      <c r="D9800" s="16"/>
      <c r="E9800">
        <v>6</v>
      </c>
      <c r="F9800" t="s">
        <v>9030</v>
      </c>
      <c r="G9800">
        <v>1</v>
      </c>
      <c r="H9800">
        <v>1</v>
      </c>
      <c r="I9800">
        <f>1</f>
        <v>1</v>
      </c>
    </row>
    <row r="9801" spans="2:9" x14ac:dyDescent="0.25">
      <c r="B9801">
        <v>0</v>
      </c>
      <c r="C9801" s="16" t="s">
        <v>18758</v>
      </c>
      <c r="D9801" s="16"/>
      <c r="E9801">
        <v>6</v>
      </c>
      <c r="F9801" t="s">
        <v>4680</v>
      </c>
      <c r="G9801">
        <v>1</v>
      </c>
      <c r="H9801">
        <v>1</v>
      </c>
      <c r="I9801">
        <f>1</f>
        <v>1</v>
      </c>
    </row>
    <row r="9802" spans="2:9" x14ac:dyDescent="0.25">
      <c r="B9802">
        <v>0</v>
      </c>
      <c r="C9802" s="16" t="s">
        <v>18759</v>
      </c>
      <c r="D9802" s="16"/>
      <c r="E9802">
        <v>6</v>
      </c>
      <c r="F9802" t="s">
        <v>9031</v>
      </c>
      <c r="G9802">
        <v>1</v>
      </c>
      <c r="H9802">
        <v>1</v>
      </c>
      <c r="I9802">
        <f>1</f>
        <v>1</v>
      </c>
    </row>
    <row r="9803" spans="2:9" x14ac:dyDescent="0.25">
      <c r="B9803">
        <v>0</v>
      </c>
      <c r="C9803" s="16" t="s">
        <v>18760</v>
      </c>
      <c r="D9803" s="16"/>
      <c r="E9803">
        <v>6</v>
      </c>
      <c r="F9803" t="s">
        <v>4680</v>
      </c>
      <c r="G9803">
        <v>1</v>
      </c>
      <c r="H9803">
        <v>1</v>
      </c>
      <c r="I9803">
        <f>1</f>
        <v>1</v>
      </c>
    </row>
    <row r="9804" spans="2:9" x14ac:dyDescent="0.25">
      <c r="B9804">
        <v>0</v>
      </c>
      <c r="C9804" s="16" t="s">
        <v>18761</v>
      </c>
      <c r="D9804" s="16"/>
      <c r="E9804">
        <v>6</v>
      </c>
      <c r="F9804" t="s">
        <v>4680</v>
      </c>
      <c r="G9804">
        <v>1</v>
      </c>
      <c r="H9804">
        <v>1</v>
      </c>
      <c r="I9804">
        <f>1</f>
        <v>1</v>
      </c>
    </row>
    <row r="9805" spans="2:9" x14ac:dyDescent="0.25">
      <c r="B9805">
        <v>0</v>
      </c>
      <c r="C9805" s="16" t="s">
        <v>18762</v>
      </c>
      <c r="D9805" s="16"/>
      <c r="E9805">
        <v>6</v>
      </c>
      <c r="F9805" t="s">
        <v>9032</v>
      </c>
      <c r="G9805">
        <v>1</v>
      </c>
      <c r="H9805">
        <v>1</v>
      </c>
      <c r="I9805">
        <f>1</f>
        <v>1</v>
      </c>
    </row>
    <row r="9806" spans="2:9" x14ac:dyDescent="0.25">
      <c r="B9806">
        <v>0</v>
      </c>
      <c r="C9806" s="16" t="s">
        <v>18763</v>
      </c>
      <c r="D9806" s="16"/>
      <c r="E9806">
        <v>6</v>
      </c>
      <c r="F9806" t="s">
        <v>4680</v>
      </c>
      <c r="G9806">
        <v>1</v>
      </c>
      <c r="H9806">
        <v>1</v>
      </c>
      <c r="I9806">
        <f>1</f>
        <v>1</v>
      </c>
    </row>
    <row r="9807" spans="2:9" x14ac:dyDescent="0.25">
      <c r="B9807">
        <v>0</v>
      </c>
      <c r="C9807" s="16" t="s">
        <v>18764</v>
      </c>
      <c r="D9807" s="16"/>
      <c r="E9807">
        <v>6</v>
      </c>
      <c r="F9807" t="s">
        <v>9033</v>
      </c>
      <c r="G9807">
        <v>1</v>
      </c>
      <c r="H9807">
        <v>1</v>
      </c>
      <c r="I9807">
        <f>1</f>
        <v>1</v>
      </c>
    </row>
    <row r="9808" spans="2:9" x14ac:dyDescent="0.25">
      <c r="B9808">
        <v>0</v>
      </c>
      <c r="C9808" s="16" t="s">
        <v>18765</v>
      </c>
      <c r="D9808" s="16"/>
      <c r="E9808">
        <v>6</v>
      </c>
      <c r="F9808" t="s">
        <v>9034</v>
      </c>
      <c r="G9808">
        <v>1</v>
      </c>
      <c r="H9808">
        <v>1</v>
      </c>
      <c r="I9808">
        <f>1</f>
        <v>1</v>
      </c>
    </row>
    <row r="9809" spans="2:9" x14ac:dyDescent="0.25">
      <c r="B9809">
        <v>0</v>
      </c>
      <c r="C9809" s="16" t="s">
        <v>18766</v>
      </c>
      <c r="D9809" s="16"/>
      <c r="E9809">
        <v>6</v>
      </c>
      <c r="F9809" t="e">
        <f>-Trens De aterrissagem e suas Partes</f>
        <v>#NAME?</v>
      </c>
      <c r="G9809">
        <v>1</v>
      </c>
      <c r="H9809">
        <v>1</v>
      </c>
      <c r="I9809">
        <f>1</f>
        <v>1</v>
      </c>
    </row>
    <row r="9810" spans="2:9" x14ac:dyDescent="0.25">
      <c r="B9810">
        <v>0</v>
      </c>
      <c r="C9810" s="16" t="s">
        <v>18767</v>
      </c>
      <c r="D9810" s="16"/>
      <c r="E9810">
        <v>6</v>
      </c>
      <c r="F9810" t="e">
        <f>-Outras Partes De aviões ou De helicópteros</f>
        <v>#NAME?</v>
      </c>
      <c r="G9810">
        <v>1</v>
      </c>
      <c r="H9810">
        <v>1</v>
      </c>
      <c r="I9810">
        <f>1</f>
        <v>1</v>
      </c>
    </row>
    <row r="9811" spans="2:9" x14ac:dyDescent="0.25">
      <c r="B9811">
        <v>0</v>
      </c>
      <c r="C9811" s="16" t="s">
        <v>18768</v>
      </c>
      <c r="D9811" s="16"/>
      <c r="E9811">
        <v>6</v>
      </c>
      <c r="F9811" t="e">
        <f>-Outras</f>
        <v>#NAME?</v>
      </c>
      <c r="G9811">
        <v>1</v>
      </c>
      <c r="H9811">
        <v>1</v>
      </c>
      <c r="I9811">
        <f>1</f>
        <v>1</v>
      </c>
    </row>
    <row r="9812" spans="2:9" x14ac:dyDescent="0.25">
      <c r="B9812">
        <v>0</v>
      </c>
      <c r="C9812" s="16" t="s">
        <v>18769</v>
      </c>
      <c r="D9812" s="16"/>
      <c r="E9812">
        <v>6</v>
      </c>
      <c r="F9812" t="s">
        <v>9035</v>
      </c>
      <c r="G9812">
        <v>1</v>
      </c>
      <c r="H9812">
        <v>1</v>
      </c>
      <c r="I9812">
        <f>1</f>
        <v>1</v>
      </c>
    </row>
    <row r="9813" spans="2:9" x14ac:dyDescent="0.25">
      <c r="B9813">
        <v>0</v>
      </c>
      <c r="C9813" s="16" t="s">
        <v>18770</v>
      </c>
      <c r="D9813" s="16"/>
      <c r="E9813">
        <v>6</v>
      </c>
      <c r="F9813" t="s">
        <v>9036</v>
      </c>
      <c r="G9813">
        <v>1</v>
      </c>
      <c r="H9813">
        <v>1</v>
      </c>
      <c r="I9813">
        <f>1</f>
        <v>1</v>
      </c>
    </row>
    <row r="9814" spans="2:9" x14ac:dyDescent="0.25">
      <c r="B9814">
        <v>0</v>
      </c>
      <c r="C9814" s="16" t="s">
        <v>18771</v>
      </c>
      <c r="D9814" s="16"/>
      <c r="E9814">
        <v>6</v>
      </c>
      <c r="F9814" t="e">
        <f>--Simuladores De combate aéreo e suas Partes</f>
        <v>#NAME?</v>
      </c>
      <c r="G9814">
        <v>1</v>
      </c>
      <c r="H9814">
        <v>1</v>
      </c>
      <c r="I9814">
        <f>1</f>
        <v>1</v>
      </c>
    </row>
    <row r="9815" spans="2:9" x14ac:dyDescent="0.25">
      <c r="B9815">
        <v>0</v>
      </c>
      <c r="C9815" s="16" t="s">
        <v>18772</v>
      </c>
      <c r="D9815" s="16"/>
      <c r="E9815">
        <v>6</v>
      </c>
      <c r="F9815" t="e">
        <f>--outros</f>
        <v>#NAME?</v>
      </c>
      <c r="G9815">
        <v>1</v>
      </c>
      <c r="H9815">
        <v>1</v>
      </c>
      <c r="I9815">
        <f>1</f>
        <v>1</v>
      </c>
    </row>
    <row r="9816" spans="2:9" x14ac:dyDescent="0.25">
      <c r="B9816">
        <v>0</v>
      </c>
      <c r="C9816" s="16" t="s">
        <v>18773</v>
      </c>
      <c r="D9816" s="16"/>
      <c r="E9816">
        <v>6</v>
      </c>
      <c r="F9816" t="s">
        <v>9037</v>
      </c>
      <c r="G9816">
        <v>1</v>
      </c>
      <c r="H9816">
        <v>1</v>
      </c>
      <c r="I9816">
        <f>1</f>
        <v>1</v>
      </c>
    </row>
    <row r="9817" spans="2:9" x14ac:dyDescent="0.25">
      <c r="B9817">
        <v>0</v>
      </c>
      <c r="C9817" s="16" t="s">
        <v>18774</v>
      </c>
      <c r="D9817" s="16"/>
      <c r="E9817">
        <v>6</v>
      </c>
      <c r="F9817" t="e">
        <f>-Navios-tanque</f>
        <v>#NAME?</v>
      </c>
      <c r="G9817">
        <v>1</v>
      </c>
      <c r="H9817">
        <v>1</v>
      </c>
      <c r="I9817">
        <f>1</f>
        <v>1</v>
      </c>
    </row>
    <row r="9818" spans="2:9" x14ac:dyDescent="0.25">
      <c r="B9818">
        <v>0</v>
      </c>
      <c r="C9818" s="16" t="s">
        <v>18775</v>
      </c>
      <c r="D9818" s="16"/>
      <c r="E9818">
        <v>6</v>
      </c>
      <c r="F9818" t="s">
        <v>9038</v>
      </c>
      <c r="G9818">
        <v>1</v>
      </c>
      <c r="H9818">
        <v>1</v>
      </c>
      <c r="I9818">
        <f>1</f>
        <v>1</v>
      </c>
    </row>
    <row r="9819" spans="2:9" x14ac:dyDescent="0.25">
      <c r="B9819">
        <v>0</v>
      </c>
      <c r="C9819" s="16" t="s">
        <v>18776</v>
      </c>
      <c r="D9819" s="16"/>
      <c r="E9819">
        <v>6</v>
      </c>
      <c r="F9819" t="e">
        <f>-Outras embarcações para o transporte De mercadorias ou para o transporte De pessoas e De mercadorias</f>
        <v>#NAME?</v>
      </c>
      <c r="G9819">
        <v>1</v>
      </c>
      <c r="H9819">
        <v>1</v>
      </c>
      <c r="I9819">
        <f>1</f>
        <v>1</v>
      </c>
    </row>
    <row r="9820" spans="2:9" x14ac:dyDescent="0.25">
      <c r="B9820">
        <v>0</v>
      </c>
      <c r="C9820" s="16" t="s">
        <v>18777</v>
      </c>
      <c r="D9820" s="16"/>
      <c r="E9820">
        <v>6</v>
      </c>
      <c r="F9820" t="s">
        <v>9039</v>
      </c>
      <c r="G9820">
        <v>1</v>
      </c>
      <c r="H9820">
        <v>1</v>
      </c>
      <c r="I9820">
        <f>1</f>
        <v>1</v>
      </c>
    </row>
    <row r="9821" spans="2:9" x14ac:dyDescent="0.25">
      <c r="B9821">
        <v>0</v>
      </c>
      <c r="C9821" s="16" t="s">
        <v>18778</v>
      </c>
      <c r="D9821" s="16"/>
      <c r="E9821">
        <v>6</v>
      </c>
      <c r="F9821" t="s">
        <v>4680</v>
      </c>
      <c r="G9821">
        <v>1</v>
      </c>
      <c r="H9821">
        <v>1</v>
      </c>
      <c r="I9821">
        <f>1</f>
        <v>1</v>
      </c>
    </row>
    <row r="9822" spans="2:9" x14ac:dyDescent="0.25">
      <c r="B9822">
        <v>0</v>
      </c>
      <c r="C9822" s="16" t="s">
        <v>18779</v>
      </c>
      <c r="D9822" s="16"/>
      <c r="E9822">
        <v>6</v>
      </c>
      <c r="F9822" t="e">
        <f>-Barcos infláveis</f>
        <v>#NAME?</v>
      </c>
      <c r="G9822">
        <v>1</v>
      </c>
      <c r="H9822">
        <v>1</v>
      </c>
      <c r="I9822">
        <f>1</f>
        <v>1</v>
      </c>
    </row>
    <row r="9823" spans="2:9" x14ac:dyDescent="0.25">
      <c r="B9823">
        <v>0</v>
      </c>
      <c r="C9823" s="16" t="s">
        <v>18780</v>
      </c>
      <c r="D9823" s="16"/>
      <c r="E9823">
        <v>6</v>
      </c>
      <c r="F9823" t="s">
        <v>9040</v>
      </c>
      <c r="G9823">
        <v>1</v>
      </c>
      <c r="H9823">
        <v>1</v>
      </c>
      <c r="I9823">
        <f>1</f>
        <v>1</v>
      </c>
    </row>
    <row r="9824" spans="2:9" x14ac:dyDescent="0.25">
      <c r="B9824">
        <v>0</v>
      </c>
      <c r="C9824" s="16" t="s">
        <v>18781</v>
      </c>
      <c r="D9824" s="16"/>
      <c r="E9824">
        <v>6</v>
      </c>
      <c r="F9824" t="s">
        <v>9041</v>
      </c>
      <c r="G9824">
        <v>1</v>
      </c>
      <c r="H9824">
        <v>1</v>
      </c>
      <c r="I9824">
        <f>1</f>
        <v>1</v>
      </c>
    </row>
    <row r="9825" spans="2:9" x14ac:dyDescent="0.25">
      <c r="B9825">
        <v>0</v>
      </c>
      <c r="C9825" s="16" t="s">
        <v>18782</v>
      </c>
      <c r="D9825" s="16"/>
      <c r="E9825">
        <v>6</v>
      </c>
      <c r="F9825" t="e">
        <f>--outros</f>
        <v>#NAME?</v>
      </c>
      <c r="G9825">
        <v>1</v>
      </c>
      <c r="H9825">
        <v>1</v>
      </c>
      <c r="I9825">
        <f>1</f>
        <v>1</v>
      </c>
    </row>
    <row r="9826" spans="2:9" x14ac:dyDescent="0.25">
      <c r="B9826">
        <v>0</v>
      </c>
      <c r="C9826" s="16" t="s">
        <v>18783</v>
      </c>
      <c r="D9826" s="16"/>
      <c r="E9826">
        <v>6</v>
      </c>
      <c r="F9826" t="s">
        <v>9042</v>
      </c>
      <c r="G9826">
        <v>1</v>
      </c>
      <c r="H9826">
        <v>1</v>
      </c>
      <c r="I9826">
        <f>1</f>
        <v>1</v>
      </c>
    </row>
    <row r="9827" spans="2:9" x14ac:dyDescent="0.25">
      <c r="B9827">
        <v>0</v>
      </c>
      <c r="C9827" s="16" t="s">
        <v>18784</v>
      </c>
      <c r="D9827" s="16"/>
      <c r="E9827">
        <v>6</v>
      </c>
      <c r="F9827" t="e">
        <f>-Dragas</f>
        <v>#NAME?</v>
      </c>
      <c r="G9827">
        <v>1</v>
      </c>
      <c r="H9827">
        <v>1</v>
      </c>
      <c r="I9827">
        <f>1</f>
        <v>1</v>
      </c>
    </row>
    <row r="9828" spans="2:9" x14ac:dyDescent="0.25">
      <c r="B9828">
        <v>0</v>
      </c>
      <c r="C9828" s="16" t="s">
        <v>18785</v>
      </c>
      <c r="D9828" s="16"/>
      <c r="E9828">
        <v>6</v>
      </c>
      <c r="F9828" t="s">
        <v>9043</v>
      </c>
      <c r="G9828">
        <v>1</v>
      </c>
      <c r="H9828">
        <v>1</v>
      </c>
      <c r="I9828">
        <f>1</f>
        <v>1</v>
      </c>
    </row>
    <row r="9829" spans="2:9" x14ac:dyDescent="0.25">
      <c r="B9829">
        <v>0</v>
      </c>
      <c r="C9829" s="16" t="s">
        <v>18786</v>
      </c>
      <c r="D9829" s="16"/>
      <c r="E9829">
        <v>6</v>
      </c>
      <c r="F9829" t="e">
        <f>-outros</f>
        <v>#NAME?</v>
      </c>
      <c r="G9829">
        <v>1</v>
      </c>
      <c r="H9829">
        <v>1</v>
      </c>
      <c r="I9829">
        <f>1</f>
        <v>1</v>
      </c>
    </row>
    <row r="9830" spans="2:9" x14ac:dyDescent="0.25">
      <c r="B9830">
        <v>0</v>
      </c>
      <c r="C9830" s="16" t="s">
        <v>18786</v>
      </c>
      <c r="D9830" s="16" t="s">
        <v>19430</v>
      </c>
      <c r="E9830">
        <v>6</v>
      </c>
      <c r="F9830" t="s">
        <v>9044</v>
      </c>
      <c r="G9830">
        <v>1</v>
      </c>
      <c r="H9830">
        <v>1</v>
      </c>
      <c r="I9830">
        <f>1</f>
        <v>1</v>
      </c>
    </row>
    <row r="9831" spans="2:9" x14ac:dyDescent="0.25">
      <c r="B9831">
        <v>0</v>
      </c>
      <c r="C9831" s="16" t="s">
        <v>18787</v>
      </c>
      <c r="D9831" s="16"/>
      <c r="E9831">
        <v>6</v>
      </c>
      <c r="F9831" t="e">
        <f>-Navios De guerra</f>
        <v>#NAME?</v>
      </c>
      <c r="G9831">
        <v>1</v>
      </c>
      <c r="H9831">
        <v>1</v>
      </c>
      <c r="I9831">
        <f>1</f>
        <v>1</v>
      </c>
    </row>
    <row r="9832" spans="2:9" x14ac:dyDescent="0.25">
      <c r="B9832">
        <v>0</v>
      </c>
      <c r="C9832" s="16" t="s">
        <v>18788</v>
      </c>
      <c r="D9832" s="16"/>
      <c r="E9832">
        <v>6</v>
      </c>
      <c r="F9832" t="e">
        <f>-Outras</f>
        <v>#NAME?</v>
      </c>
      <c r="G9832">
        <v>1</v>
      </c>
      <c r="H9832">
        <v>1</v>
      </c>
      <c r="I9832">
        <f>1</f>
        <v>1</v>
      </c>
    </row>
    <row r="9833" spans="2:9" x14ac:dyDescent="0.25">
      <c r="B9833">
        <v>0</v>
      </c>
      <c r="C9833" s="16" t="s">
        <v>18789</v>
      </c>
      <c r="D9833" s="16"/>
      <c r="E9833">
        <v>6</v>
      </c>
      <c r="F9833" t="e">
        <f>-Balsas infláveis</f>
        <v>#NAME?</v>
      </c>
      <c r="G9833">
        <v>1</v>
      </c>
      <c r="H9833">
        <v>1</v>
      </c>
      <c r="I9833">
        <f>1</f>
        <v>1</v>
      </c>
    </row>
    <row r="9834" spans="2:9" x14ac:dyDescent="0.25">
      <c r="B9834">
        <v>0</v>
      </c>
      <c r="C9834" s="16" t="s">
        <v>18790</v>
      </c>
      <c r="D9834" s="16"/>
      <c r="E9834">
        <v>6</v>
      </c>
      <c r="F9834" t="e">
        <f>-Outras</f>
        <v>#NAME?</v>
      </c>
      <c r="G9834">
        <v>1</v>
      </c>
      <c r="H9834">
        <v>1</v>
      </c>
      <c r="I9834">
        <f>1</f>
        <v>1</v>
      </c>
    </row>
    <row r="9835" spans="2:9" x14ac:dyDescent="0.25">
      <c r="B9835">
        <v>0</v>
      </c>
      <c r="C9835" s="16" t="s">
        <v>18791</v>
      </c>
      <c r="D9835" s="16"/>
      <c r="E9835">
        <v>6</v>
      </c>
      <c r="F9835" t="s">
        <v>9045</v>
      </c>
      <c r="G9835">
        <v>1</v>
      </c>
      <c r="H9835">
        <v>1</v>
      </c>
      <c r="I9835">
        <f>1</f>
        <v>1</v>
      </c>
    </row>
    <row r="9836" spans="2:9" x14ac:dyDescent="0.25">
      <c r="B9836">
        <v>0</v>
      </c>
      <c r="C9836" s="16" t="s">
        <v>18791</v>
      </c>
      <c r="D9836" s="16" t="s">
        <v>19430</v>
      </c>
      <c r="E9836">
        <v>6</v>
      </c>
      <c r="F9836" t="s">
        <v>9046</v>
      </c>
      <c r="G9836">
        <v>1</v>
      </c>
      <c r="H9836">
        <v>1</v>
      </c>
      <c r="I9836">
        <f>1</f>
        <v>1</v>
      </c>
    </row>
    <row r="9837" spans="2:9" x14ac:dyDescent="0.25">
      <c r="B9837">
        <v>0</v>
      </c>
      <c r="C9837" s="16" t="s">
        <v>18792</v>
      </c>
      <c r="D9837" s="16"/>
      <c r="E9837">
        <v>6</v>
      </c>
      <c r="F9837" t="s">
        <v>9047</v>
      </c>
      <c r="G9837">
        <v>1</v>
      </c>
      <c r="H9837">
        <v>1</v>
      </c>
      <c r="I9837">
        <f>1</f>
        <v>1</v>
      </c>
    </row>
    <row r="9838" spans="2:9" x14ac:dyDescent="0.25">
      <c r="B9838">
        <v>0</v>
      </c>
      <c r="C9838" s="16" t="s">
        <v>18793</v>
      </c>
      <c r="D9838" s="16"/>
      <c r="E9838">
        <v>6</v>
      </c>
      <c r="F9838" t="s">
        <v>4690</v>
      </c>
      <c r="G9838">
        <v>1</v>
      </c>
      <c r="H9838">
        <v>1</v>
      </c>
      <c r="I9838">
        <f>1</f>
        <v>1</v>
      </c>
    </row>
    <row r="9839" spans="2:9" x14ac:dyDescent="0.25">
      <c r="B9839">
        <v>0</v>
      </c>
      <c r="C9839" s="16" t="s">
        <v>18794</v>
      </c>
      <c r="D9839" s="16"/>
      <c r="E9839">
        <v>6</v>
      </c>
      <c r="F9839" t="s">
        <v>9048</v>
      </c>
      <c r="G9839">
        <v>1</v>
      </c>
      <c r="H9839">
        <v>1</v>
      </c>
      <c r="I9839">
        <f>1</f>
        <v>1</v>
      </c>
    </row>
    <row r="9840" spans="2:9" x14ac:dyDescent="0.25">
      <c r="B9840">
        <v>0</v>
      </c>
      <c r="C9840" s="16" t="s">
        <v>18795</v>
      </c>
      <c r="D9840" s="16"/>
      <c r="E9840">
        <v>6</v>
      </c>
      <c r="F9840" t="s">
        <v>9049</v>
      </c>
      <c r="G9840">
        <v>1</v>
      </c>
      <c r="H9840">
        <v>1</v>
      </c>
      <c r="I9840">
        <f>1</f>
        <v>1</v>
      </c>
    </row>
    <row r="9841" spans="2:9" x14ac:dyDescent="0.25">
      <c r="B9841">
        <v>0</v>
      </c>
      <c r="C9841" s="16" t="s">
        <v>18796</v>
      </c>
      <c r="D9841" s="16"/>
      <c r="E9841">
        <v>6</v>
      </c>
      <c r="F9841" t="e">
        <f>-Lentes De contato</f>
        <v>#NAME?</v>
      </c>
      <c r="G9841">
        <v>1</v>
      </c>
      <c r="H9841">
        <v>1</v>
      </c>
      <c r="I9841">
        <f>1</f>
        <v>1</v>
      </c>
    </row>
    <row r="9842" spans="2:9" x14ac:dyDescent="0.25">
      <c r="B9842">
        <v>0</v>
      </c>
      <c r="C9842" s="16" t="s">
        <v>18797</v>
      </c>
      <c r="D9842" s="16"/>
      <c r="E9842">
        <v>6</v>
      </c>
      <c r="F9842" t="s">
        <v>9050</v>
      </c>
      <c r="G9842">
        <v>1</v>
      </c>
      <c r="H9842">
        <v>1</v>
      </c>
      <c r="I9842">
        <f>1</f>
        <v>1</v>
      </c>
    </row>
    <row r="9843" spans="2:9" x14ac:dyDescent="0.25">
      <c r="B9843">
        <v>0</v>
      </c>
      <c r="C9843" s="16" t="s">
        <v>18798</v>
      </c>
      <c r="D9843" s="16"/>
      <c r="E9843">
        <v>6</v>
      </c>
      <c r="F9843" t="s">
        <v>9051</v>
      </c>
      <c r="G9843">
        <v>1</v>
      </c>
      <c r="H9843">
        <v>1</v>
      </c>
      <c r="I9843">
        <f>1</f>
        <v>1</v>
      </c>
    </row>
    <row r="9844" spans="2:9" x14ac:dyDescent="0.25">
      <c r="B9844">
        <v>0</v>
      </c>
      <c r="C9844" s="16" t="s">
        <v>18799</v>
      </c>
      <c r="D9844" s="16"/>
      <c r="E9844">
        <v>6</v>
      </c>
      <c r="F9844" t="s">
        <v>9052</v>
      </c>
      <c r="G9844">
        <v>1</v>
      </c>
      <c r="H9844">
        <v>1</v>
      </c>
      <c r="I9844">
        <f>1</f>
        <v>1</v>
      </c>
    </row>
    <row r="9845" spans="2:9" x14ac:dyDescent="0.25">
      <c r="B9845">
        <v>0</v>
      </c>
      <c r="C9845" s="16" t="s">
        <v>18800</v>
      </c>
      <c r="D9845" s="16"/>
      <c r="E9845">
        <v>6</v>
      </c>
      <c r="F9845" t="s">
        <v>4680</v>
      </c>
      <c r="G9845">
        <v>1</v>
      </c>
      <c r="H9845">
        <v>1</v>
      </c>
      <c r="I9845">
        <f>1</f>
        <v>1</v>
      </c>
    </row>
    <row r="9846" spans="2:9" x14ac:dyDescent="0.25">
      <c r="B9846">
        <v>0</v>
      </c>
      <c r="C9846" s="16" t="s">
        <v>18801</v>
      </c>
      <c r="D9846" s="16"/>
      <c r="E9846">
        <v>6</v>
      </c>
      <c r="F9846" t="s">
        <v>9053</v>
      </c>
      <c r="G9846">
        <v>1</v>
      </c>
      <c r="H9846">
        <v>1</v>
      </c>
      <c r="I9846">
        <f>1</f>
        <v>1</v>
      </c>
    </row>
    <row r="9847" spans="2:9" x14ac:dyDescent="0.25">
      <c r="B9847">
        <v>0</v>
      </c>
      <c r="C9847" s="16" t="s">
        <v>18801</v>
      </c>
      <c r="D9847" s="16" t="s">
        <v>19430</v>
      </c>
      <c r="E9847">
        <v>6</v>
      </c>
      <c r="F9847" t="s">
        <v>9054</v>
      </c>
      <c r="G9847">
        <v>1</v>
      </c>
      <c r="H9847">
        <v>1</v>
      </c>
      <c r="I9847">
        <f>1</f>
        <v>1</v>
      </c>
    </row>
    <row r="9848" spans="2:9" x14ac:dyDescent="0.25">
      <c r="B9848">
        <v>0</v>
      </c>
      <c r="C9848" s="16" t="s">
        <v>18802</v>
      </c>
      <c r="D9848" s="16"/>
      <c r="E9848">
        <v>6</v>
      </c>
      <c r="F9848" t="s">
        <v>9055</v>
      </c>
      <c r="G9848">
        <v>1</v>
      </c>
      <c r="H9848">
        <v>1</v>
      </c>
      <c r="I9848">
        <f>1</f>
        <v>1</v>
      </c>
    </row>
    <row r="9849" spans="2:9" x14ac:dyDescent="0.25">
      <c r="B9849">
        <v>0</v>
      </c>
      <c r="C9849" s="16" t="s">
        <v>18803</v>
      </c>
      <c r="D9849" s="16"/>
      <c r="E9849">
        <v>6</v>
      </c>
      <c r="F9849" t="s">
        <v>4690</v>
      </c>
      <c r="G9849">
        <v>1</v>
      </c>
      <c r="H9849">
        <v>1</v>
      </c>
      <c r="I9849">
        <f>1</f>
        <v>1</v>
      </c>
    </row>
    <row r="9850" spans="2:9" x14ac:dyDescent="0.25">
      <c r="B9850">
        <v>0</v>
      </c>
      <c r="C9850" s="16" t="s">
        <v>18804</v>
      </c>
      <c r="D9850" s="16"/>
      <c r="E9850">
        <v>6</v>
      </c>
      <c r="F9850" t="e">
        <f>--Outras</f>
        <v>#NAME?</v>
      </c>
      <c r="G9850">
        <v>1</v>
      </c>
      <c r="H9850">
        <v>1</v>
      </c>
      <c r="I9850">
        <f>1</f>
        <v>1</v>
      </c>
    </row>
    <row r="9851" spans="2:9" x14ac:dyDescent="0.25">
      <c r="B9851">
        <v>0</v>
      </c>
      <c r="C9851" s="16" t="s">
        <v>18805</v>
      </c>
      <c r="D9851" s="16"/>
      <c r="E9851">
        <v>6</v>
      </c>
      <c r="F9851" t="s">
        <v>9056</v>
      </c>
      <c r="G9851">
        <v>1</v>
      </c>
      <c r="H9851">
        <v>1</v>
      </c>
      <c r="I9851">
        <f>1</f>
        <v>1</v>
      </c>
    </row>
    <row r="9852" spans="2:9" x14ac:dyDescent="0.25">
      <c r="B9852">
        <v>0</v>
      </c>
      <c r="C9852" s="16" t="s">
        <v>18806</v>
      </c>
      <c r="D9852" s="16"/>
      <c r="E9852">
        <v>6</v>
      </c>
      <c r="F9852" t="s">
        <v>4680</v>
      </c>
      <c r="G9852">
        <v>1</v>
      </c>
      <c r="H9852">
        <v>1</v>
      </c>
      <c r="I9852">
        <f>1</f>
        <v>1</v>
      </c>
    </row>
    <row r="9853" spans="2:9" x14ac:dyDescent="0.25">
      <c r="B9853">
        <v>0</v>
      </c>
      <c r="C9853" s="16" t="s">
        <v>18807</v>
      </c>
      <c r="D9853" s="16"/>
      <c r="E9853">
        <v>6</v>
      </c>
      <c r="F9853" t="e">
        <f>-outros</f>
        <v>#NAME?</v>
      </c>
      <c r="G9853">
        <v>1</v>
      </c>
      <c r="H9853">
        <v>1</v>
      </c>
      <c r="I9853">
        <f>1</f>
        <v>1</v>
      </c>
    </row>
    <row r="9854" spans="2:9" x14ac:dyDescent="0.25">
      <c r="B9854">
        <v>0</v>
      </c>
      <c r="C9854" s="16" t="s">
        <v>18808</v>
      </c>
      <c r="D9854" s="16"/>
      <c r="E9854">
        <v>6</v>
      </c>
      <c r="F9854" t="e">
        <f>--De plásticos</f>
        <v>#NAME?</v>
      </c>
      <c r="G9854">
        <v>1</v>
      </c>
      <c r="H9854">
        <v>1</v>
      </c>
      <c r="I9854">
        <f>1</f>
        <v>1</v>
      </c>
    </row>
    <row r="9855" spans="2:9" x14ac:dyDescent="0.25">
      <c r="B9855">
        <v>0</v>
      </c>
      <c r="C9855" s="16" t="s">
        <v>18809</v>
      </c>
      <c r="D9855" s="16"/>
      <c r="E9855">
        <v>6</v>
      </c>
      <c r="F9855" t="s">
        <v>9057</v>
      </c>
      <c r="G9855">
        <v>1</v>
      </c>
      <c r="H9855">
        <v>1</v>
      </c>
      <c r="I9855">
        <f>1</f>
        <v>1</v>
      </c>
    </row>
    <row r="9856" spans="2:9" x14ac:dyDescent="0.25">
      <c r="B9856">
        <v>0</v>
      </c>
      <c r="C9856" s="16" t="s">
        <v>18810</v>
      </c>
      <c r="D9856" s="16"/>
      <c r="E9856">
        <v>6</v>
      </c>
      <c r="F9856" t="s">
        <v>4690</v>
      </c>
      <c r="G9856">
        <v>1</v>
      </c>
      <c r="H9856">
        <v>1</v>
      </c>
      <c r="I9856">
        <f>1</f>
        <v>1</v>
      </c>
    </row>
    <row r="9857" spans="2:9" x14ac:dyDescent="0.25">
      <c r="B9857">
        <v>0</v>
      </c>
      <c r="C9857" s="16" t="s">
        <v>18811</v>
      </c>
      <c r="D9857" s="16"/>
      <c r="E9857">
        <v>6</v>
      </c>
      <c r="F9857" t="s">
        <v>9058</v>
      </c>
      <c r="G9857">
        <v>1</v>
      </c>
      <c r="H9857">
        <v>1</v>
      </c>
      <c r="I9857">
        <f>1</f>
        <v>1</v>
      </c>
    </row>
    <row r="9858" spans="2:9" x14ac:dyDescent="0.25">
      <c r="B9858">
        <v>0</v>
      </c>
      <c r="C9858" s="16" t="s">
        <v>18812</v>
      </c>
      <c r="D9858" s="16"/>
      <c r="E9858">
        <v>6</v>
      </c>
      <c r="F9858" t="s">
        <v>4690</v>
      </c>
      <c r="G9858">
        <v>1</v>
      </c>
      <c r="H9858">
        <v>1</v>
      </c>
      <c r="I9858">
        <f>1</f>
        <v>1</v>
      </c>
    </row>
    <row r="9859" spans="2:9" x14ac:dyDescent="0.25">
      <c r="B9859">
        <v>0</v>
      </c>
      <c r="C9859" s="16" t="s">
        <v>18813</v>
      </c>
      <c r="D9859" s="16"/>
      <c r="E9859">
        <v>6</v>
      </c>
      <c r="F9859" t="e">
        <f>-Óculos De sol</f>
        <v>#NAME?</v>
      </c>
      <c r="G9859">
        <v>1</v>
      </c>
      <c r="H9859">
        <v>1</v>
      </c>
      <c r="I9859">
        <f>1</f>
        <v>1</v>
      </c>
    </row>
    <row r="9860" spans="2:9" x14ac:dyDescent="0.25">
      <c r="B9860">
        <v>0</v>
      </c>
      <c r="C9860" s="16" t="s">
        <v>18814</v>
      </c>
      <c r="D9860" s="16"/>
      <c r="E9860">
        <v>6</v>
      </c>
      <c r="F9860" t="s">
        <v>9059</v>
      </c>
      <c r="G9860">
        <v>1</v>
      </c>
      <c r="H9860">
        <v>1</v>
      </c>
      <c r="I9860">
        <f>1</f>
        <v>1</v>
      </c>
    </row>
    <row r="9861" spans="2:9" x14ac:dyDescent="0.25">
      <c r="B9861">
        <v>0</v>
      </c>
      <c r="C9861" s="16" t="s">
        <v>18815</v>
      </c>
      <c r="D9861" s="16"/>
      <c r="E9861">
        <v>6</v>
      </c>
      <c r="F9861" t="s">
        <v>9060</v>
      </c>
      <c r="G9861">
        <v>1</v>
      </c>
      <c r="H9861">
        <v>1</v>
      </c>
      <c r="I9861">
        <f>1</f>
        <v>1</v>
      </c>
    </row>
    <row r="9862" spans="2:9" x14ac:dyDescent="0.25">
      <c r="B9862">
        <v>0</v>
      </c>
      <c r="C9862" s="16" t="s">
        <v>18816</v>
      </c>
      <c r="D9862" s="16"/>
      <c r="E9862">
        <v>6</v>
      </c>
      <c r="F9862" t="s">
        <v>4680</v>
      </c>
      <c r="G9862">
        <v>1</v>
      </c>
      <c r="H9862">
        <v>1</v>
      </c>
      <c r="I9862">
        <f>1</f>
        <v>1</v>
      </c>
    </row>
    <row r="9863" spans="2:9" x14ac:dyDescent="0.25">
      <c r="B9863">
        <v>0</v>
      </c>
      <c r="C9863" s="16" t="s">
        <v>18817</v>
      </c>
      <c r="D9863" s="16"/>
      <c r="E9863">
        <v>6</v>
      </c>
      <c r="F9863" t="e">
        <f>-Binóculos</f>
        <v>#NAME?</v>
      </c>
      <c r="G9863">
        <v>1</v>
      </c>
      <c r="H9863">
        <v>1</v>
      </c>
      <c r="I9863">
        <f>1</f>
        <v>1</v>
      </c>
    </row>
    <row r="9864" spans="2:9" x14ac:dyDescent="0.25">
      <c r="B9864">
        <v>0</v>
      </c>
      <c r="C9864" s="16" t="s">
        <v>18818</v>
      </c>
      <c r="D9864" s="16"/>
      <c r="E9864">
        <v>6</v>
      </c>
      <c r="F9864" t="e">
        <f>-outros instrumentos</f>
        <v>#NAME?</v>
      </c>
      <c r="G9864">
        <v>1</v>
      </c>
      <c r="H9864">
        <v>1</v>
      </c>
      <c r="I9864">
        <f>1</f>
        <v>1</v>
      </c>
    </row>
    <row r="9865" spans="2:9" x14ac:dyDescent="0.25">
      <c r="B9865">
        <v>0</v>
      </c>
      <c r="C9865" s="16" t="s">
        <v>18819</v>
      </c>
      <c r="D9865" s="16"/>
      <c r="E9865">
        <v>6</v>
      </c>
      <c r="F9865" t="s">
        <v>9061</v>
      </c>
      <c r="G9865">
        <v>1</v>
      </c>
      <c r="H9865">
        <v>1</v>
      </c>
      <c r="I9865">
        <f>1</f>
        <v>1</v>
      </c>
    </row>
    <row r="9866" spans="2:9" x14ac:dyDescent="0.25">
      <c r="B9866">
        <v>0</v>
      </c>
      <c r="C9866" s="16" t="s">
        <v>18820</v>
      </c>
      <c r="D9866" s="16"/>
      <c r="E9866">
        <v>6</v>
      </c>
      <c r="F9866" t="s">
        <v>4680</v>
      </c>
      <c r="G9866">
        <v>1</v>
      </c>
      <c r="H9866">
        <v>1</v>
      </c>
      <c r="I9866">
        <f>1</f>
        <v>1</v>
      </c>
    </row>
    <row r="9867" spans="2:9" x14ac:dyDescent="0.25">
      <c r="B9867">
        <v>0</v>
      </c>
      <c r="C9867" s="16" t="s">
        <v>18821</v>
      </c>
      <c r="D9867" s="16"/>
      <c r="E9867">
        <v>6</v>
      </c>
      <c r="F9867" t="s">
        <v>9062</v>
      </c>
      <c r="G9867">
        <v>1</v>
      </c>
      <c r="H9867">
        <v>1</v>
      </c>
      <c r="I9867">
        <f>1</f>
        <v>1</v>
      </c>
    </row>
    <row r="9868" spans="2:9" x14ac:dyDescent="0.25">
      <c r="B9868">
        <v>0</v>
      </c>
      <c r="C9868" s="16" t="s">
        <v>18822</v>
      </c>
      <c r="D9868" s="16"/>
      <c r="E9868">
        <v>6</v>
      </c>
      <c r="F9868" t="s">
        <v>4690</v>
      </c>
      <c r="G9868">
        <v>1</v>
      </c>
      <c r="H9868">
        <v>1</v>
      </c>
      <c r="I9868">
        <f>1</f>
        <v>1</v>
      </c>
    </row>
    <row r="9869" spans="2:9" x14ac:dyDescent="0.25">
      <c r="B9869">
        <v>0</v>
      </c>
      <c r="C9869" s="16" t="s">
        <v>18823</v>
      </c>
      <c r="D9869" s="16"/>
      <c r="E9869">
        <v>6</v>
      </c>
      <c r="F9869" t="s">
        <v>9063</v>
      </c>
      <c r="G9869">
        <v>1</v>
      </c>
      <c r="H9869">
        <v>1</v>
      </c>
      <c r="I9869">
        <f>1</f>
        <v>1</v>
      </c>
    </row>
    <row r="9870" spans="2:9" x14ac:dyDescent="0.25">
      <c r="B9870">
        <v>0</v>
      </c>
      <c r="C9870" s="16" t="s">
        <v>18824</v>
      </c>
      <c r="D9870" s="16"/>
      <c r="E9870">
        <v>6</v>
      </c>
      <c r="F9870" t="e">
        <f>-Câmeras fotográficas para filmes De revelação e copiagem instantâneas</f>
        <v>#NAME?</v>
      </c>
      <c r="G9870">
        <v>1</v>
      </c>
      <c r="H9870">
        <v>1</v>
      </c>
      <c r="I9870">
        <f>1</f>
        <v>1</v>
      </c>
    </row>
    <row r="9871" spans="2:9" x14ac:dyDescent="0.25">
      <c r="B9871">
        <v>0</v>
      </c>
      <c r="C9871" s="16" t="s">
        <v>18825</v>
      </c>
      <c r="D9871" s="16"/>
      <c r="E9871">
        <v>6</v>
      </c>
      <c r="F9871" t="s">
        <v>9064</v>
      </c>
      <c r="G9871">
        <v>1</v>
      </c>
      <c r="H9871">
        <v>1</v>
      </c>
      <c r="I9871">
        <f>1</f>
        <v>1</v>
      </c>
    </row>
    <row r="9872" spans="2:9" x14ac:dyDescent="0.25">
      <c r="B9872">
        <v>0</v>
      </c>
      <c r="C9872" s="16" t="s">
        <v>18826</v>
      </c>
      <c r="D9872" s="16"/>
      <c r="E9872">
        <v>6</v>
      </c>
      <c r="F9872" t="s">
        <v>9065</v>
      </c>
      <c r="G9872">
        <v>1</v>
      </c>
      <c r="H9872">
        <v>1</v>
      </c>
      <c r="I9872">
        <f>1</f>
        <v>1</v>
      </c>
    </row>
    <row r="9873" spans="2:9" x14ac:dyDescent="0.25">
      <c r="B9873">
        <v>0</v>
      </c>
      <c r="C9873" s="16" t="s">
        <v>18827</v>
      </c>
      <c r="D9873" s="16"/>
      <c r="E9873">
        <v>6</v>
      </c>
      <c r="F9873" t="s">
        <v>9066</v>
      </c>
      <c r="G9873">
        <v>1</v>
      </c>
      <c r="H9873">
        <v>1</v>
      </c>
      <c r="I9873">
        <f>1</f>
        <v>1</v>
      </c>
    </row>
    <row r="9874" spans="2:9" x14ac:dyDescent="0.25">
      <c r="B9874">
        <v>0</v>
      </c>
      <c r="C9874" s="16" t="s">
        <v>18828</v>
      </c>
      <c r="D9874" s="16"/>
      <c r="E9874">
        <v>6</v>
      </c>
      <c r="F9874" t="s">
        <v>9067</v>
      </c>
      <c r="G9874">
        <v>1</v>
      </c>
      <c r="H9874">
        <v>1</v>
      </c>
      <c r="I9874">
        <f>1</f>
        <v>1</v>
      </c>
    </row>
    <row r="9875" spans="2:9" x14ac:dyDescent="0.25">
      <c r="B9875">
        <v>0</v>
      </c>
      <c r="C9875" s="16" t="s">
        <v>18829</v>
      </c>
      <c r="D9875" s="16"/>
      <c r="E9875">
        <v>6</v>
      </c>
      <c r="F9875" t="s">
        <v>9066</v>
      </c>
      <c r="G9875">
        <v>1</v>
      </c>
      <c r="H9875">
        <v>1</v>
      </c>
      <c r="I9875">
        <f>1</f>
        <v>1</v>
      </c>
    </row>
    <row r="9876" spans="2:9" x14ac:dyDescent="0.25">
      <c r="B9876">
        <v>0</v>
      </c>
      <c r="C9876" s="16" t="s">
        <v>18830</v>
      </c>
      <c r="D9876" s="16"/>
      <c r="E9876">
        <v>6</v>
      </c>
      <c r="F9876" t="s">
        <v>9068</v>
      </c>
      <c r="G9876">
        <v>1</v>
      </c>
      <c r="H9876">
        <v>1</v>
      </c>
      <c r="I9876">
        <f>1</f>
        <v>1</v>
      </c>
    </row>
    <row r="9877" spans="2:9" x14ac:dyDescent="0.25">
      <c r="B9877">
        <v>0</v>
      </c>
      <c r="C9877" s="16" t="s">
        <v>18831</v>
      </c>
      <c r="D9877" s="16"/>
      <c r="E9877">
        <v>6</v>
      </c>
      <c r="F9877" t="s">
        <v>4690</v>
      </c>
      <c r="G9877">
        <v>1</v>
      </c>
      <c r="H9877">
        <v>1</v>
      </c>
      <c r="I9877">
        <f>1</f>
        <v>1</v>
      </c>
    </row>
    <row r="9878" spans="2:9" x14ac:dyDescent="0.25">
      <c r="B9878">
        <v>0</v>
      </c>
      <c r="C9878" s="16" t="s">
        <v>18832</v>
      </c>
      <c r="D9878" s="16"/>
      <c r="E9878">
        <v>6</v>
      </c>
      <c r="F9878" t="e">
        <f>--aparelhos De tubo De descarga para produção De luz-relâmpago  denominados “flashes eletrônicos”</f>
        <v>#NAME?</v>
      </c>
      <c r="G9878">
        <v>1</v>
      </c>
      <c r="H9878">
        <v>1</v>
      </c>
      <c r="I9878">
        <f>1</f>
        <v>1</v>
      </c>
    </row>
    <row r="9879" spans="2:9" x14ac:dyDescent="0.25">
      <c r="B9879">
        <v>0</v>
      </c>
      <c r="C9879" s="16" t="s">
        <v>18833</v>
      </c>
      <c r="D9879" s="16"/>
      <c r="E9879">
        <v>6</v>
      </c>
      <c r="F9879" t="e">
        <f>--outros</f>
        <v>#NAME?</v>
      </c>
      <c r="G9879">
        <v>1</v>
      </c>
      <c r="H9879">
        <v>1</v>
      </c>
      <c r="I9879">
        <f>1</f>
        <v>1</v>
      </c>
    </row>
    <row r="9880" spans="2:9" x14ac:dyDescent="0.25">
      <c r="B9880">
        <v>0</v>
      </c>
      <c r="C9880" s="16" t="s">
        <v>18833</v>
      </c>
      <c r="D9880" s="16" t="s">
        <v>19430</v>
      </c>
      <c r="E9880">
        <v>6</v>
      </c>
      <c r="F9880" t="s">
        <v>9069</v>
      </c>
      <c r="G9880">
        <v>1</v>
      </c>
      <c r="H9880">
        <v>1</v>
      </c>
      <c r="I9880">
        <f>1</f>
        <v>1</v>
      </c>
    </row>
    <row r="9881" spans="2:9" x14ac:dyDescent="0.25">
      <c r="B9881">
        <v>0</v>
      </c>
      <c r="C9881" s="16" t="s">
        <v>18834</v>
      </c>
      <c r="D9881" s="16"/>
      <c r="E9881">
        <v>6</v>
      </c>
      <c r="F9881" t="s">
        <v>9070</v>
      </c>
      <c r="G9881">
        <v>1</v>
      </c>
      <c r="H9881">
        <v>1</v>
      </c>
      <c r="I9881">
        <f>1</f>
        <v>1</v>
      </c>
    </row>
    <row r="9882" spans="2:9" x14ac:dyDescent="0.25">
      <c r="B9882">
        <v>0</v>
      </c>
      <c r="C9882" s="16" t="s">
        <v>18835</v>
      </c>
      <c r="D9882" s="16"/>
      <c r="E9882">
        <v>6</v>
      </c>
      <c r="F9882" t="s">
        <v>4680</v>
      </c>
      <c r="G9882">
        <v>1</v>
      </c>
      <c r="H9882">
        <v>1</v>
      </c>
      <c r="I9882">
        <f>1</f>
        <v>1</v>
      </c>
    </row>
    <row r="9883" spans="2:9" x14ac:dyDescent="0.25">
      <c r="B9883">
        <v>0</v>
      </c>
      <c r="C9883" s="16" t="s">
        <v>18836</v>
      </c>
      <c r="D9883" s="16"/>
      <c r="E9883">
        <v>6</v>
      </c>
      <c r="F9883" t="e">
        <f>--outros</f>
        <v>#NAME?</v>
      </c>
      <c r="G9883">
        <v>1</v>
      </c>
      <c r="H9883">
        <v>1</v>
      </c>
      <c r="I9883">
        <f>1</f>
        <v>1</v>
      </c>
    </row>
    <row r="9884" spans="2:9" x14ac:dyDescent="0.25">
      <c r="B9884">
        <v>0</v>
      </c>
      <c r="C9884" s="16" t="s">
        <v>18837</v>
      </c>
      <c r="D9884" s="16"/>
      <c r="E9884">
        <v>6</v>
      </c>
      <c r="F9884" t="e">
        <f>-Câmeras</f>
        <v>#NAME?</v>
      </c>
      <c r="G9884">
        <v>1</v>
      </c>
      <c r="H9884">
        <v>1</v>
      </c>
      <c r="I9884">
        <f>1</f>
        <v>1</v>
      </c>
    </row>
    <row r="9885" spans="2:9" x14ac:dyDescent="0.25">
      <c r="B9885">
        <v>0</v>
      </c>
      <c r="C9885" s="16" t="s">
        <v>18837</v>
      </c>
      <c r="D9885" s="16" t="s">
        <v>19430</v>
      </c>
      <c r="E9885">
        <v>6</v>
      </c>
      <c r="F9885" t="s">
        <v>9071</v>
      </c>
      <c r="G9885">
        <v>1</v>
      </c>
      <c r="H9885">
        <v>1</v>
      </c>
      <c r="I9885">
        <f>1</f>
        <v>1</v>
      </c>
    </row>
    <row r="9886" spans="2:9" x14ac:dyDescent="0.25">
      <c r="B9886">
        <v>0</v>
      </c>
      <c r="C9886" s="16" t="s">
        <v>18838</v>
      </c>
      <c r="D9886" s="16"/>
      <c r="E9886">
        <v>6</v>
      </c>
      <c r="F9886" t="s">
        <v>9072</v>
      </c>
      <c r="G9886">
        <v>1</v>
      </c>
      <c r="H9886">
        <v>1</v>
      </c>
      <c r="I9886">
        <f>1</f>
        <v>1</v>
      </c>
    </row>
    <row r="9887" spans="2:9" x14ac:dyDescent="0.25">
      <c r="B9887">
        <v>0</v>
      </c>
      <c r="C9887" s="16" t="s">
        <v>18839</v>
      </c>
      <c r="D9887" s="16"/>
      <c r="E9887">
        <v>6</v>
      </c>
      <c r="F9887" t="s">
        <v>4680</v>
      </c>
      <c r="G9887">
        <v>1</v>
      </c>
      <c r="H9887">
        <v>1</v>
      </c>
      <c r="I9887">
        <f>1</f>
        <v>1</v>
      </c>
    </row>
    <row r="9888" spans="2:9" x14ac:dyDescent="0.25">
      <c r="B9888">
        <v>0</v>
      </c>
      <c r="C9888" s="16" t="s">
        <v>18840</v>
      </c>
      <c r="D9888" s="16"/>
      <c r="E9888">
        <v>6</v>
      </c>
      <c r="F9888" t="e">
        <f>--De Câmeras</f>
        <v>#NAME?</v>
      </c>
      <c r="G9888">
        <v>1</v>
      </c>
      <c r="H9888">
        <v>1</v>
      </c>
      <c r="I9888">
        <f>1</f>
        <v>1</v>
      </c>
    </row>
    <row r="9889" spans="2:9" x14ac:dyDescent="0.25">
      <c r="B9889">
        <v>0</v>
      </c>
      <c r="C9889" s="16" t="s">
        <v>18840</v>
      </c>
      <c r="D9889" s="16" t="s">
        <v>19430</v>
      </c>
      <c r="E9889">
        <v>6</v>
      </c>
      <c r="F9889" t="s">
        <v>9073</v>
      </c>
      <c r="G9889">
        <v>1</v>
      </c>
      <c r="H9889">
        <v>1</v>
      </c>
      <c r="I9889">
        <f>1</f>
        <v>1</v>
      </c>
    </row>
    <row r="9890" spans="2:9" x14ac:dyDescent="0.25">
      <c r="B9890">
        <v>0</v>
      </c>
      <c r="C9890" s="16" t="s">
        <v>18841</v>
      </c>
      <c r="D9890" s="16"/>
      <c r="E9890">
        <v>6</v>
      </c>
      <c r="F9890" t="e">
        <f>--De projetores</f>
        <v>#NAME?</v>
      </c>
      <c r="G9890">
        <v>1</v>
      </c>
      <c r="H9890">
        <v>1</v>
      </c>
      <c r="I9890">
        <f>1</f>
        <v>1</v>
      </c>
    </row>
    <row r="9891" spans="2:9" x14ac:dyDescent="0.25">
      <c r="B9891">
        <v>0</v>
      </c>
      <c r="C9891" s="16" t="s">
        <v>18842</v>
      </c>
      <c r="D9891" s="16"/>
      <c r="E9891">
        <v>6</v>
      </c>
      <c r="F9891" t="e">
        <f>-projetores e aparelhos De ampliação ou De redução</f>
        <v>#NAME?</v>
      </c>
      <c r="G9891">
        <v>1</v>
      </c>
      <c r="H9891">
        <v>1</v>
      </c>
      <c r="I9891">
        <f>1</f>
        <v>1</v>
      </c>
    </row>
    <row r="9892" spans="2:9" x14ac:dyDescent="0.25">
      <c r="B9892">
        <v>0</v>
      </c>
      <c r="C9892" s="16" t="s">
        <v>18843</v>
      </c>
      <c r="D9892" s="16"/>
      <c r="E9892">
        <v>6</v>
      </c>
      <c r="F9892" t="e">
        <f>-Partes e acessórios</f>
        <v>#NAME?</v>
      </c>
      <c r="G9892">
        <v>1</v>
      </c>
      <c r="H9892">
        <v>1</v>
      </c>
      <c r="I9892">
        <f>1</f>
        <v>1</v>
      </c>
    </row>
    <row r="9893" spans="2:9" x14ac:dyDescent="0.25">
      <c r="B9893">
        <v>0</v>
      </c>
      <c r="C9893" s="16" t="s">
        <v>18844</v>
      </c>
      <c r="D9893" s="16"/>
      <c r="E9893">
        <v>6</v>
      </c>
      <c r="F9893" t="s">
        <v>9074</v>
      </c>
      <c r="G9893">
        <v>1</v>
      </c>
      <c r="H9893">
        <v>1</v>
      </c>
      <c r="I9893">
        <f>1</f>
        <v>1</v>
      </c>
    </row>
    <row r="9894" spans="2:9" x14ac:dyDescent="0.25">
      <c r="B9894">
        <v>0</v>
      </c>
      <c r="C9894" s="16" t="s">
        <v>18845</v>
      </c>
      <c r="D9894" s="16"/>
      <c r="E9894">
        <v>6</v>
      </c>
      <c r="F9894" t="s">
        <v>9075</v>
      </c>
      <c r="G9894">
        <v>1</v>
      </c>
      <c r="H9894">
        <v>1</v>
      </c>
      <c r="I9894">
        <f>1</f>
        <v>1</v>
      </c>
    </row>
    <row r="9895" spans="2:9" x14ac:dyDescent="0.25">
      <c r="B9895">
        <v>0</v>
      </c>
      <c r="C9895" s="16" t="s">
        <v>18846</v>
      </c>
      <c r="D9895" s="16"/>
      <c r="E9895">
        <v>6</v>
      </c>
      <c r="F9895" t="s">
        <v>4680</v>
      </c>
      <c r="G9895">
        <v>1</v>
      </c>
      <c r="H9895">
        <v>1</v>
      </c>
      <c r="I9895">
        <f>1</f>
        <v>1</v>
      </c>
    </row>
    <row r="9896" spans="2:9" x14ac:dyDescent="0.25">
      <c r="B9896">
        <v>0</v>
      </c>
      <c r="C9896" s="16" t="s">
        <v>18847</v>
      </c>
      <c r="D9896" s="16"/>
      <c r="E9896">
        <v>6</v>
      </c>
      <c r="F9896" t="s">
        <v>9076</v>
      </c>
      <c r="G9896">
        <v>1</v>
      </c>
      <c r="H9896">
        <v>1</v>
      </c>
      <c r="I9896">
        <f>1</f>
        <v>1</v>
      </c>
    </row>
    <row r="9897" spans="2:9" x14ac:dyDescent="0.25">
      <c r="B9897">
        <v>0</v>
      </c>
      <c r="C9897" s="16" t="s">
        <v>18848</v>
      </c>
      <c r="D9897" s="16"/>
      <c r="E9897">
        <v>6</v>
      </c>
      <c r="F9897" t="s">
        <v>9077</v>
      </c>
      <c r="G9897">
        <v>1</v>
      </c>
      <c r="H9897">
        <v>1</v>
      </c>
      <c r="I9897">
        <f>1</f>
        <v>1</v>
      </c>
    </row>
    <row r="9898" spans="2:9" x14ac:dyDescent="0.25">
      <c r="B9898">
        <v>0</v>
      </c>
      <c r="C9898" s="16" t="s">
        <v>18849</v>
      </c>
      <c r="D9898" s="16"/>
      <c r="E9898">
        <v>6</v>
      </c>
      <c r="F9898" t="s">
        <v>4680</v>
      </c>
      <c r="G9898">
        <v>1</v>
      </c>
      <c r="H9898">
        <v>1</v>
      </c>
      <c r="I9898">
        <f>1</f>
        <v>1</v>
      </c>
    </row>
    <row r="9899" spans="2:9" x14ac:dyDescent="0.25">
      <c r="B9899">
        <v>0</v>
      </c>
      <c r="C9899" s="16" t="s">
        <v>18849</v>
      </c>
      <c r="D9899" s="16" t="s">
        <v>19430</v>
      </c>
      <c r="E9899">
        <v>6</v>
      </c>
      <c r="F9899" t="s">
        <v>9078</v>
      </c>
      <c r="G9899">
        <v>1</v>
      </c>
      <c r="H9899">
        <v>1</v>
      </c>
      <c r="I9899">
        <f>1</f>
        <v>1</v>
      </c>
    </row>
    <row r="9900" spans="2:9" x14ac:dyDescent="0.25">
      <c r="B9900">
        <v>0</v>
      </c>
      <c r="C9900" s="16" t="s">
        <v>18850</v>
      </c>
      <c r="D9900" s="16"/>
      <c r="E9900">
        <v>6</v>
      </c>
      <c r="F9900" t="e">
        <f>-Telas para projeção</f>
        <v>#NAME?</v>
      </c>
      <c r="G9900">
        <v>1</v>
      </c>
      <c r="H9900">
        <v>1</v>
      </c>
      <c r="I9900">
        <f>1</f>
        <v>1</v>
      </c>
    </row>
    <row r="9901" spans="2:9" x14ac:dyDescent="0.25">
      <c r="B9901">
        <v>0</v>
      </c>
      <c r="C9901" s="16" t="s">
        <v>18851</v>
      </c>
      <c r="D9901" s="16"/>
      <c r="E9901">
        <v>6</v>
      </c>
      <c r="F9901" t="s">
        <v>9079</v>
      </c>
      <c r="G9901">
        <v>1</v>
      </c>
      <c r="H9901">
        <v>1</v>
      </c>
      <c r="I9901">
        <f>1</f>
        <v>1</v>
      </c>
    </row>
    <row r="9902" spans="2:9" x14ac:dyDescent="0.25">
      <c r="B9902">
        <v>0</v>
      </c>
      <c r="C9902" s="16" t="s">
        <v>18852</v>
      </c>
      <c r="D9902" s="16"/>
      <c r="E9902">
        <v>6</v>
      </c>
      <c r="F9902" t="s">
        <v>4680</v>
      </c>
      <c r="G9902">
        <v>1</v>
      </c>
      <c r="H9902">
        <v>1</v>
      </c>
      <c r="I9902">
        <f>1</f>
        <v>1</v>
      </c>
    </row>
    <row r="9903" spans="2:9" x14ac:dyDescent="0.25">
      <c r="B9903">
        <v>0</v>
      </c>
      <c r="C9903" s="16" t="s">
        <v>18853</v>
      </c>
      <c r="D9903" s="16"/>
      <c r="E9903">
        <v>6</v>
      </c>
      <c r="F9903" t="e">
        <f>-Microscópios estereoscópicos</f>
        <v>#NAME?</v>
      </c>
      <c r="G9903">
        <v>1</v>
      </c>
      <c r="H9903">
        <v>1</v>
      </c>
      <c r="I9903">
        <f>1</f>
        <v>1</v>
      </c>
    </row>
    <row r="9904" spans="2:9" x14ac:dyDescent="0.25">
      <c r="B9904">
        <v>0</v>
      </c>
      <c r="C9904" s="16" t="s">
        <v>18854</v>
      </c>
      <c r="D9904" s="16"/>
      <c r="E9904">
        <v>6</v>
      </c>
      <c r="F9904" t="s">
        <v>9080</v>
      </c>
      <c r="G9904">
        <v>1</v>
      </c>
      <c r="H9904">
        <v>1</v>
      </c>
      <c r="I9904">
        <f>1</f>
        <v>1</v>
      </c>
    </row>
    <row r="9905" spans="2:9" x14ac:dyDescent="0.25">
      <c r="B9905">
        <v>0</v>
      </c>
      <c r="C9905" s="16" t="s">
        <v>18855</v>
      </c>
      <c r="D9905" s="16"/>
      <c r="E9905">
        <v>6</v>
      </c>
      <c r="F9905" t="s">
        <v>9081</v>
      </c>
      <c r="G9905">
        <v>1</v>
      </c>
      <c r="H9905">
        <v>1</v>
      </c>
      <c r="I9905">
        <f>1</f>
        <v>1</v>
      </c>
    </row>
    <row r="9906" spans="2:9" x14ac:dyDescent="0.25">
      <c r="B9906">
        <v>0</v>
      </c>
      <c r="C9906" s="16" t="s">
        <v>18856</v>
      </c>
      <c r="D9906" s="16"/>
      <c r="E9906">
        <v>6</v>
      </c>
      <c r="F9906" t="s">
        <v>9082</v>
      </c>
      <c r="G9906">
        <v>1</v>
      </c>
      <c r="H9906">
        <v>1</v>
      </c>
      <c r="I9906">
        <f>1</f>
        <v>1</v>
      </c>
    </row>
    <row r="9907" spans="2:9" x14ac:dyDescent="0.25">
      <c r="B9907">
        <v>0</v>
      </c>
      <c r="C9907" s="16" t="s">
        <v>18857</v>
      </c>
      <c r="D9907" s="16"/>
      <c r="E9907">
        <v>6</v>
      </c>
      <c r="F9907" t="s">
        <v>9083</v>
      </c>
      <c r="G9907">
        <v>1</v>
      </c>
      <c r="H9907">
        <v>1</v>
      </c>
      <c r="I9907">
        <f>1</f>
        <v>1</v>
      </c>
    </row>
    <row r="9908" spans="2:9" x14ac:dyDescent="0.25">
      <c r="B9908">
        <v>0</v>
      </c>
      <c r="C9908" s="16" t="s">
        <v>18858</v>
      </c>
      <c r="D9908" s="16"/>
      <c r="E9908">
        <v>6</v>
      </c>
      <c r="F9908" t="s">
        <v>4680</v>
      </c>
      <c r="G9908">
        <v>1</v>
      </c>
      <c r="H9908">
        <v>1</v>
      </c>
      <c r="I9908">
        <f>1</f>
        <v>1</v>
      </c>
    </row>
    <row r="9909" spans="2:9" x14ac:dyDescent="0.25">
      <c r="B9909">
        <v>0</v>
      </c>
      <c r="C9909" s="16" t="s">
        <v>18859</v>
      </c>
      <c r="D9909" s="16"/>
      <c r="E9909">
        <v>6</v>
      </c>
      <c r="F9909" t="s">
        <v>9084</v>
      </c>
      <c r="G9909">
        <v>1</v>
      </c>
      <c r="H9909">
        <v>1</v>
      </c>
      <c r="I9909">
        <f>1</f>
        <v>1</v>
      </c>
    </row>
    <row r="9910" spans="2:9" x14ac:dyDescent="0.25">
      <c r="B9910">
        <v>0</v>
      </c>
      <c r="C9910" s="16" t="s">
        <v>18860</v>
      </c>
      <c r="D9910" s="16"/>
      <c r="E9910">
        <v>6</v>
      </c>
      <c r="F9910" t="s">
        <v>4680</v>
      </c>
      <c r="G9910">
        <v>1</v>
      </c>
      <c r="H9910">
        <v>1</v>
      </c>
      <c r="I9910">
        <f>1</f>
        <v>1</v>
      </c>
    </row>
    <row r="9911" spans="2:9" x14ac:dyDescent="0.25">
      <c r="B9911">
        <v>0</v>
      </c>
      <c r="C9911" s="16" t="s">
        <v>18861</v>
      </c>
      <c r="D9911" s="16"/>
      <c r="E9911">
        <v>6</v>
      </c>
      <c r="F9911" t="s">
        <v>9085</v>
      </c>
      <c r="G9911">
        <v>1</v>
      </c>
      <c r="H9911">
        <v>1</v>
      </c>
      <c r="I9911">
        <f>1</f>
        <v>1</v>
      </c>
    </row>
    <row r="9912" spans="2:9" x14ac:dyDescent="0.25">
      <c r="B9912">
        <v>0</v>
      </c>
      <c r="C9912" s="16" t="s">
        <v>18862</v>
      </c>
      <c r="D9912" s="16"/>
      <c r="E9912">
        <v>6</v>
      </c>
      <c r="F9912" t="s">
        <v>4680</v>
      </c>
      <c r="G9912">
        <v>1</v>
      </c>
      <c r="H9912">
        <v>1</v>
      </c>
      <c r="I9912">
        <f>1</f>
        <v>1</v>
      </c>
    </row>
    <row r="9913" spans="2:9" x14ac:dyDescent="0.25">
      <c r="B9913">
        <v>0</v>
      </c>
      <c r="C9913" s="16" t="s">
        <v>18863</v>
      </c>
      <c r="D9913" s="16"/>
      <c r="E9913">
        <v>6</v>
      </c>
      <c r="F9913" t="s">
        <v>9086</v>
      </c>
      <c r="G9913">
        <v>1</v>
      </c>
      <c r="H9913">
        <v>1</v>
      </c>
      <c r="I9913">
        <f>1</f>
        <v>1</v>
      </c>
    </row>
    <row r="9914" spans="2:9" x14ac:dyDescent="0.25">
      <c r="B9914">
        <v>0</v>
      </c>
      <c r="C9914" s="16" t="s">
        <v>18864</v>
      </c>
      <c r="D9914" s="16"/>
      <c r="E9914">
        <v>6</v>
      </c>
      <c r="F9914" t="s">
        <v>4680</v>
      </c>
      <c r="G9914">
        <v>1</v>
      </c>
      <c r="H9914">
        <v>1</v>
      </c>
      <c r="I9914">
        <f>1</f>
        <v>1</v>
      </c>
    </row>
    <row r="9915" spans="2:9" x14ac:dyDescent="0.25">
      <c r="B9915">
        <v>0</v>
      </c>
      <c r="C9915" s="16" t="s">
        <v>18865</v>
      </c>
      <c r="D9915" s="16"/>
      <c r="E9915">
        <v>6</v>
      </c>
      <c r="F9915" t="s">
        <v>9087</v>
      </c>
      <c r="G9915">
        <v>1</v>
      </c>
      <c r="H9915">
        <v>1</v>
      </c>
      <c r="I9915">
        <f>1</f>
        <v>1</v>
      </c>
    </row>
    <row r="9916" spans="2:9" x14ac:dyDescent="0.25">
      <c r="B9916">
        <v>0</v>
      </c>
      <c r="C9916" s="16" t="s">
        <v>18866</v>
      </c>
      <c r="D9916" s="16"/>
      <c r="E9916">
        <v>6</v>
      </c>
      <c r="F9916" t="s">
        <v>4680</v>
      </c>
      <c r="G9916">
        <v>1</v>
      </c>
      <c r="H9916">
        <v>1</v>
      </c>
      <c r="I9916">
        <f>1</f>
        <v>1</v>
      </c>
    </row>
    <row r="9917" spans="2:9" x14ac:dyDescent="0.25">
      <c r="B9917">
        <v>0</v>
      </c>
      <c r="C9917" s="16" t="s">
        <v>18867</v>
      </c>
      <c r="D9917" s="16"/>
      <c r="E9917">
        <v>6</v>
      </c>
      <c r="F9917" t="s">
        <v>9088</v>
      </c>
      <c r="G9917">
        <v>1</v>
      </c>
      <c r="H9917">
        <v>1</v>
      </c>
      <c r="I9917">
        <f>1</f>
        <v>1</v>
      </c>
    </row>
    <row r="9918" spans="2:9" x14ac:dyDescent="0.25">
      <c r="B9918">
        <v>0</v>
      </c>
      <c r="C9918" s="16" t="s">
        <v>18868</v>
      </c>
      <c r="D9918" s="16"/>
      <c r="E9918">
        <v>6</v>
      </c>
      <c r="F9918" t="s">
        <v>9089</v>
      </c>
      <c r="G9918">
        <v>1</v>
      </c>
      <c r="H9918">
        <v>1</v>
      </c>
      <c r="I9918">
        <f>1</f>
        <v>1</v>
      </c>
    </row>
    <row r="9919" spans="2:9" x14ac:dyDescent="0.25">
      <c r="B9919">
        <v>0</v>
      </c>
      <c r="C9919" s="16" t="s">
        <v>18869</v>
      </c>
      <c r="D9919" s="16"/>
      <c r="E9919">
        <v>6</v>
      </c>
      <c r="F9919" t="s">
        <v>4680</v>
      </c>
      <c r="G9919">
        <v>1</v>
      </c>
      <c r="H9919">
        <v>1</v>
      </c>
      <c r="I9919">
        <f>1</f>
        <v>1</v>
      </c>
    </row>
    <row r="9920" spans="2:9" x14ac:dyDescent="0.25">
      <c r="B9920">
        <v>0</v>
      </c>
      <c r="C9920" s="16" t="s">
        <v>18869</v>
      </c>
      <c r="D9920" s="16" t="s">
        <v>19430</v>
      </c>
      <c r="E9920">
        <v>6</v>
      </c>
      <c r="F9920" t="s">
        <v>9090</v>
      </c>
      <c r="G9920">
        <v>1</v>
      </c>
      <c r="H9920">
        <v>1</v>
      </c>
      <c r="I9920">
        <f>1</f>
        <v>1</v>
      </c>
    </row>
    <row r="9921" spans="2:9" x14ac:dyDescent="0.25">
      <c r="B9921">
        <v>0</v>
      </c>
      <c r="C9921" s="16" t="s">
        <v>18870</v>
      </c>
      <c r="D9921" s="16"/>
      <c r="E9921">
        <v>6</v>
      </c>
      <c r="F9921" t="e">
        <f>-Partes e acessórios</f>
        <v>#NAME?</v>
      </c>
      <c r="G9921">
        <v>1</v>
      </c>
      <c r="H9921">
        <v>1</v>
      </c>
      <c r="I9921">
        <f>1</f>
        <v>1</v>
      </c>
    </row>
    <row r="9922" spans="2:9" x14ac:dyDescent="0.25">
      <c r="B9922">
        <v>0</v>
      </c>
      <c r="C9922" s="16" t="s">
        <v>18871</v>
      </c>
      <c r="D9922" s="16"/>
      <c r="E9922">
        <v>6</v>
      </c>
      <c r="F9922" t="s">
        <v>9091</v>
      </c>
      <c r="G9922">
        <v>1</v>
      </c>
      <c r="H9922">
        <v>1</v>
      </c>
      <c r="I9922">
        <f>1</f>
        <v>1</v>
      </c>
    </row>
    <row r="9923" spans="2:9" x14ac:dyDescent="0.25">
      <c r="B9923">
        <v>0</v>
      </c>
      <c r="C9923" s="16" t="s">
        <v>18872</v>
      </c>
      <c r="D9923" s="16"/>
      <c r="E9923">
        <v>6</v>
      </c>
      <c r="F9923" t="s">
        <v>9092</v>
      </c>
      <c r="G9923">
        <v>1</v>
      </c>
      <c r="H9923">
        <v>1</v>
      </c>
      <c r="I9923">
        <f>1</f>
        <v>1</v>
      </c>
    </row>
    <row r="9924" spans="2:9" x14ac:dyDescent="0.25">
      <c r="B9924">
        <v>0</v>
      </c>
      <c r="C9924" s="16" t="s">
        <v>18873</v>
      </c>
      <c r="D9924" s="16"/>
      <c r="E9924">
        <v>6</v>
      </c>
      <c r="F9924" t="s">
        <v>9093</v>
      </c>
      <c r="G9924">
        <v>1</v>
      </c>
      <c r="H9924">
        <v>1</v>
      </c>
      <c r="I9924">
        <f>1</f>
        <v>1</v>
      </c>
    </row>
    <row r="9925" spans="2:9" x14ac:dyDescent="0.25">
      <c r="B9925">
        <v>0</v>
      </c>
      <c r="C9925" s="16" t="s">
        <v>18874</v>
      </c>
      <c r="D9925" s="16"/>
      <c r="E9925">
        <v>6</v>
      </c>
      <c r="F9925" t="s">
        <v>9094</v>
      </c>
      <c r="G9925">
        <v>1</v>
      </c>
      <c r="H9925">
        <v>1</v>
      </c>
      <c r="I9925">
        <f>1</f>
        <v>1</v>
      </c>
    </row>
    <row r="9926" spans="2:9" x14ac:dyDescent="0.25">
      <c r="B9926">
        <v>0</v>
      </c>
      <c r="C9926" s="16" t="s">
        <v>18875</v>
      </c>
      <c r="D9926" s="16"/>
      <c r="E9926">
        <v>6</v>
      </c>
      <c r="F9926" t="s">
        <v>4680</v>
      </c>
      <c r="G9926">
        <v>1</v>
      </c>
      <c r="H9926">
        <v>1</v>
      </c>
      <c r="I9926">
        <f>1</f>
        <v>1</v>
      </c>
    </row>
    <row r="9927" spans="2:9" x14ac:dyDescent="0.25">
      <c r="B9927">
        <v>0</v>
      </c>
      <c r="C9927" s="16" t="s">
        <v>18876</v>
      </c>
      <c r="D9927" s="16"/>
      <c r="E9927">
        <v>6</v>
      </c>
      <c r="F9927" t="s">
        <v>9095</v>
      </c>
      <c r="G9927">
        <v>1</v>
      </c>
      <c r="H9927">
        <v>1</v>
      </c>
      <c r="I9927">
        <f>1</f>
        <v>1</v>
      </c>
    </row>
    <row r="9928" spans="2:9" x14ac:dyDescent="0.25">
      <c r="B9928">
        <v>0</v>
      </c>
      <c r="C9928" s="16" t="s">
        <v>18877</v>
      </c>
      <c r="D9928" s="16"/>
      <c r="E9928">
        <v>6</v>
      </c>
      <c r="F9928" t="s">
        <v>4680</v>
      </c>
      <c r="G9928">
        <v>1</v>
      </c>
      <c r="H9928">
        <v>1</v>
      </c>
      <c r="I9928">
        <f>1</f>
        <v>1</v>
      </c>
    </row>
    <row r="9929" spans="2:9" x14ac:dyDescent="0.25">
      <c r="B9929">
        <v>0</v>
      </c>
      <c r="C9929" s="16" t="s">
        <v>18878</v>
      </c>
      <c r="D9929" s="16"/>
      <c r="E9929">
        <v>6</v>
      </c>
      <c r="F9929" t="e">
        <f>-Partes e acessórios</f>
        <v>#NAME?</v>
      </c>
      <c r="G9929">
        <v>1</v>
      </c>
      <c r="H9929">
        <v>1</v>
      </c>
      <c r="I9929">
        <f>1</f>
        <v>1</v>
      </c>
    </row>
    <row r="9930" spans="2:9" x14ac:dyDescent="0.25">
      <c r="B9930">
        <v>0</v>
      </c>
      <c r="C9930" s="16" t="s">
        <v>18879</v>
      </c>
      <c r="D9930" s="16"/>
      <c r="E9930">
        <v>6</v>
      </c>
      <c r="F9930" t="e">
        <f>-Telêmetros</f>
        <v>#NAME?</v>
      </c>
      <c r="G9930">
        <v>1</v>
      </c>
      <c r="H9930">
        <v>1</v>
      </c>
      <c r="I9930">
        <f>1</f>
        <v>1</v>
      </c>
    </row>
    <row r="9931" spans="2:9" x14ac:dyDescent="0.25">
      <c r="B9931">
        <v>0</v>
      </c>
      <c r="C9931" s="16" t="s">
        <v>18880</v>
      </c>
      <c r="D9931" s="16"/>
      <c r="E9931">
        <v>6</v>
      </c>
      <c r="F9931" t="s">
        <v>9096</v>
      </c>
      <c r="G9931">
        <v>1</v>
      </c>
      <c r="H9931">
        <v>1</v>
      </c>
      <c r="I9931">
        <f>1</f>
        <v>1</v>
      </c>
    </row>
    <row r="9932" spans="2:9" x14ac:dyDescent="0.25">
      <c r="B9932">
        <v>0</v>
      </c>
      <c r="C9932" s="16" t="s">
        <v>18881</v>
      </c>
      <c r="D9932" s="16"/>
      <c r="E9932">
        <v>6</v>
      </c>
      <c r="F9932" t="s">
        <v>4680</v>
      </c>
      <c r="G9932">
        <v>1</v>
      </c>
      <c r="H9932">
        <v>1</v>
      </c>
      <c r="I9932">
        <f>1</f>
        <v>1</v>
      </c>
    </row>
    <row r="9933" spans="2:9" x14ac:dyDescent="0.25">
      <c r="B9933">
        <v>0</v>
      </c>
      <c r="C9933" s="16" t="s">
        <v>18882</v>
      </c>
      <c r="D9933" s="16"/>
      <c r="E9933">
        <v>6</v>
      </c>
      <c r="F9933" t="e">
        <f>-Níveis</f>
        <v>#NAME?</v>
      </c>
      <c r="G9933">
        <v>1</v>
      </c>
      <c r="H9933">
        <v>1</v>
      </c>
      <c r="I9933">
        <f>1</f>
        <v>1</v>
      </c>
    </row>
    <row r="9934" spans="2:9" x14ac:dyDescent="0.25">
      <c r="B9934">
        <v>0</v>
      </c>
      <c r="C9934" s="16" t="s">
        <v>18883</v>
      </c>
      <c r="D9934" s="16"/>
      <c r="E9934">
        <v>6</v>
      </c>
      <c r="F9934" t="e">
        <f>-instrumentos e aparelhos De fotogrametria</f>
        <v>#NAME?</v>
      </c>
      <c r="G9934">
        <v>1</v>
      </c>
      <c r="H9934">
        <v>1</v>
      </c>
      <c r="I9934">
        <f>1</f>
        <v>1</v>
      </c>
    </row>
    <row r="9935" spans="2:9" x14ac:dyDescent="0.25">
      <c r="B9935">
        <v>0</v>
      </c>
      <c r="C9935" s="16" t="s">
        <v>18884</v>
      </c>
      <c r="D9935" s="16"/>
      <c r="E9935">
        <v>6</v>
      </c>
      <c r="F9935" t="s">
        <v>9097</v>
      </c>
      <c r="G9935">
        <v>1</v>
      </c>
      <c r="H9935">
        <v>1</v>
      </c>
      <c r="I9935">
        <f>1</f>
        <v>1</v>
      </c>
    </row>
    <row r="9936" spans="2:9" x14ac:dyDescent="0.25">
      <c r="B9936">
        <v>0</v>
      </c>
      <c r="C9936" s="16" t="s">
        <v>18885</v>
      </c>
      <c r="D9936" s="16"/>
      <c r="E9936">
        <v>6</v>
      </c>
      <c r="F9936" t="s">
        <v>4680</v>
      </c>
      <c r="G9936">
        <v>1</v>
      </c>
      <c r="H9936">
        <v>1</v>
      </c>
      <c r="I9936">
        <f>1</f>
        <v>1</v>
      </c>
    </row>
    <row r="9937" spans="2:9" x14ac:dyDescent="0.25">
      <c r="B9937">
        <v>0</v>
      </c>
      <c r="C9937" s="16" t="s">
        <v>18886</v>
      </c>
      <c r="D9937" s="16"/>
      <c r="E9937">
        <v>6</v>
      </c>
      <c r="F9937" t="s">
        <v>9098</v>
      </c>
      <c r="G9937">
        <v>1</v>
      </c>
      <c r="H9937">
        <v>1</v>
      </c>
      <c r="I9937">
        <f>1</f>
        <v>1</v>
      </c>
    </row>
    <row r="9938" spans="2:9" x14ac:dyDescent="0.25">
      <c r="B9938">
        <v>0</v>
      </c>
      <c r="C9938" s="16" t="s">
        <v>18887</v>
      </c>
      <c r="D9938" s="16"/>
      <c r="E9938">
        <v>6</v>
      </c>
      <c r="F9938" t="s">
        <v>4680</v>
      </c>
      <c r="G9938">
        <v>1</v>
      </c>
      <c r="H9938">
        <v>1</v>
      </c>
      <c r="I9938">
        <f>1</f>
        <v>1</v>
      </c>
    </row>
    <row r="9939" spans="2:9" x14ac:dyDescent="0.25">
      <c r="B9939">
        <v>0</v>
      </c>
      <c r="C9939" s="16" t="s">
        <v>18888</v>
      </c>
      <c r="D9939" s="16"/>
      <c r="E9939">
        <v>6</v>
      </c>
      <c r="F9939" t="s">
        <v>9099</v>
      </c>
      <c r="G9939">
        <v>1</v>
      </c>
      <c r="H9939">
        <v>1</v>
      </c>
      <c r="I9939">
        <f>1</f>
        <v>1</v>
      </c>
    </row>
    <row r="9940" spans="2:9" x14ac:dyDescent="0.25">
      <c r="B9940">
        <v>0</v>
      </c>
      <c r="C9940" s="16" t="s">
        <v>18889</v>
      </c>
      <c r="D9940" s="16"/>
      <c r="E9940">
        <v>6</v>
      </c>
      <c r="F9940" t="s">
        <v>4690</v>
      </c>
      <c r="G9940">
        <v>1</v>
      </c>
      <c r="H9940">
        <v>1</v>
      </c>
      <c r="I9940">
        <f>1</f>
        <v>1</v>
      </c>
    </row>
    <row r="9941" spans="2:9" x14ac:dyDescent="0.25">
      <c r="B9941">
        <v>0</v>
      </c>
      <c r="C9941" s="16" t="s">
        <v>18890</v>
      </c>
      <c r="D9941" s="16"/>
      <c r="E9941">
        <v>6</v>
      </c>
      <c r="F9941" t="s">
        <v>8370</v>
      </c>
      <c r="G9941">
        <v>1</v>
      </c>
      <c r="H9941">
        <v>1</v>
      </c>
      <c r="I9941">
        <f>1</f>
        <v>1</v>
      </c>
    </row>
    <row r="9942" spans="2:9" x14ac:dyDescent="0.25">
      <c r="B9942">
        <v>0</v>
      </c>
      <c r="C9942" s="16" t="s">
        <v>18891</v>
      </c>
      <c r="D9942" s="16"/>
      <c r="E9942">
        <v>6</v>
      </c>
      <c r="F9942" t="s">
        <v>4690</v>
      </c>
      <c r="G9942">
        <v>1</v>
      </c>
      <c r="H9942">
        <v>1</v>
      </c>
      <c r="I9942">
        <f>1</f>
        <v>1</v>
      </c>
    </row>
    <row r="9943" spans="2:9" x14ac:dyDescent="0.25">
      <c r="B9943">
        <v>0</v>
      </c>
      <c r="C9943" s="16" t="s">
        <v>18892</v>
      </c>
      <c r="D9943" s="16"/>
      <c r="E9943">
        <v>6</v>
      </c>
      <c r="F9943" t="s">
        <v>9100</v>
      </c>
      <c r="G9943">
        <v>1</v>
      </c>
      <c r="H9943">
        <v>1</v>
      </c>
      <c r="I9943">
        <f>1</f>
        <v>1</v>
      </c>
    </row>
    <row r="9944" spans="2:9" x14ac:dyDescent="0.25">
      <c r="B9944">
        <v>0</v>
      </c>
      <c r="C9944" s="16" t="s">
        <v>18893</v>
      </c>
      <c r="D9944" s="16"/>
      <c r="E9944">
        <v>6</v>
      </c>
      <c r="F9944" t="s">
        <v>9101</v>
      </c>
      <c r="G9944">
        <v>1</v>
      </c>
      <c r="H9944">
        <v>1</v>
      </c>
      <c r="I9944">
        <f>1</f>
        <v>1</v>
      </c>
    </row>
    <row r="9945" spans="2:9" x14ac:dyDescent="0.25">
      <c r="B9945">
        <v>0</v>
      </c>
      <c r="C9945" s="16" t="s">
        <v>18894</v>
      </c>
      <c r="D9945" s="16"/>
      <c r="E9945">
        <v>6</v>
      </c>
      <c r="F9945" t="s">
        <v>9102</v>
      </c>
      <c r="G9945">
        <v>1</v>
      </c>
      <c r="H9945">
        <v>1</v>
      </c>
      <c r="I9945">
        <f>1</f>
        <v>1</v>
      </c>
    </row>
    <row r="9946" spans="2:9" x14ac:dyDescent="0.25">
      <c r="B9946">
        <v>0</v>
      </c>
      <c r="C9946" s="16" t="s">
        <v>18895</v>
      </c>
      <c r="D9946" s="16"/>
      <c r="E9946">
        <v>6</v>
      </c>
      <c r="F9946" t="s">
        <v>4680</v>
      </c>
      <c r="G9946">
        <v>1</v>
      </c>
      <c r="H9946">
        <v>1</v>
      </c>
      <c r="I9946">
        <f>1</f>
        <v>1</v>
      </c>
    </row>
    <row r="9947" spans="2:9" x14ac:dyDescent="0.25">
      <c r="B9947">
        <v>0</v>
      </c>
      <c r="C9947" s="16" t="s">
        <v>18896</v>
      </c>
      <c r="D9947" s="16"/>
      <c r="E9947">
        <v>6</v>
      </c>
      <c r="F9947" t="s">
        <v>9103</v>
      </c>
      <c r="G9947">
        <v>1</v>
      </c>
      <c r="H9947">
        <v>1</v>
      </c>
      <c r="I9947">
        <f>1</f>
        <v>1</v>
      </c>
    </row>
    <row r="9948" spans="2:9" x14ac:dyDescent="0.25">
      <c r="B9948">
        <v>0</v>
      </c>
      <c r="C9948" s="16" t="s">
        <v>18897</v>
      </c>
      <c r="D9948" s="16"/>
      <c r="E9948">
        <v>6</v>
      </c>
      <c r="F9948" t="s">
        <v>4680</v>
      </c>
      <c r="G9948">
        <v>1</v>
      </c>
      <c r="H9948">
        <v>1</v>
      </c>
      <c r="I9948">
        <f>1</f>
        <v>1</v>
      </c>
    </row>
    <row r="9949" spans="2:9" x14ac:dyDescent="0.25">
      <c r="B9949">
        <v>0</v>
      </c>
      <c r="C9949" s="16" t="s">
        <v>18898</v>
      </c>
      <c r="D9949" s="16"/>
      <c r="E9949">
        <v>6</v>
      </c>
      <c r="F9949" t="s">
        <v>9104</v>
      </c>
      <c r="G9949">
        <v>1</v>
      </c>
      <c r="H9949">
        <v>1</v>
      </c>
      <c r="I9949">
        <f>1</f>
        <v>1</v>
      </c>
    </row>
    <row r="9950" spans="2:9" x14ac:dyDescent="0.25">
      <c r="B9950">
        <v>0</v>
      </c>
      <c r="C9950" s="16" t="s">
        <v>18899</v>
      </c>
      <c r="D9950" s="16"/>
      <c r="E9950">
        <v>6</v>
      </c>
      <c r="F9950" t="s">
        <v>4680</v>
      </c>
      <c r="G9950">
        <v>1</v>
      </c>
      <c r="H9950">
        <v>1</v>
      </c>
      <c r="I9950">
        <f>1</f>
        <v>1</v>
      </c>
    </row>
    <row r="9951" spans="2:9" x14ac:dyDescent="0.25">
      <c r="B9951">
        <v>0</v>
      </c>
      <c r="C9951" s="16" t="s">
        <v>18900</v>
      </c>
      <c r="D9951" s="16"/>
      <c r="E9951">
        <v>6</v>
      </c>
      <c r="F9951" t="e">
        <f>--Eletrocardiógrafos</f>
        <v>#NAME?</v>
      </c>
      <c r="G9951">
        <v>1</v>
      </c>
      <c r="H9951">
        <v>1</v>
      </c>
      <c r="I9951">
        <f>1</f>
        <v>1</v>
      </c>
    </row>
    <row r="9952" spans="2:9" x14ac:dyDescent="0.25">
      <c r="B9952">
        <v>0</v>
      </c>
      <c r="C9952" s="16" t="s">
        <v>18901</v>
      </c>
      <c r="D9952" s="16"/>
      <c r="E9952">
        <v>6</v>
      </c>
      <c r="F9952" t="s">
        <v>9105</v>
      </c>
      <c r="G9952">
        <v>1</v>
      </c>
      <c r="H9952">
        <v>1</v>
      </c>
      <c r="I9952">
        <f>1</f>
        <v>1</v>
      </c>
    </row>
    <row r="9953" spans="2:9" x14ac:dyDescent="0.25">
      <c r="B9953">
        <v>0</v>
      </c>
      <c r="C9953" s="16" t="s">
        <v>18902</v>
      </c>
      <c r="D9953" s="16"/>
      <c r="E9953">
        <v>6</v>
      </c>
      <c r="F9953" t="s">
        <v>4680</v>
      </c>
      <c r="G9953">
        <v>1</v>
      </c>
      <c r="H9953">
        <v>1</v>
      </c>
      <c r="I9953">
        <f>1</f>
        <v>1</v>
      </c>
    </row>
    <row r="9954" spans="2:9" x14ac:dyDescent="0.25">
      <c r="B9954">
        <v>0</v>
      </c>
      <c r="C9954" s="16" t="s">
        <v>18903</v>
      </c>
      <c r="D9954" s="16"/>
      <c r="E9954">
        <v>6</v>
      </c>
      <c r="F9954" t="e">
        <f>--aparelhos De diagnóstico por visualização De ressonância magnética</f>
        <v>#NAME?</v>
      </c>
      <c r="G9954">
        <v>1</v>
      </c>
      <c r="H9954">
        <v>1</v>
      </c>
      <c r="I9954">
        <f>1</f>
        <v>1</v>
      </c>
    </row>
    <row r="9955" spans="2:9" x14ac:dyDescent="0.25">
      <c r="B9955">
        <v>0</v>
      </c>
      <c r="C9955" s="16" t="s">
        <v>18904</v>
      </c>
      <c r="D9955" s="16"/>
      <c r="E9955">
        <v>6</v>
      </c>
      <c r="F9955" t="s">
        <v>9106</v>
      </c>
      <c r="G9955">
        <v>1</v>
      </c>
      <c r="H9955">
        <v>1</v>
      </c>
      <c r="I9955">
        <f>1</f>
        <v>1</v>
      </c>
    </row>
    <row r="9956" spans="2:9" x14ac:dyDescent="0.25">
      <c r="B9956">
        <v>0</v>
      </c>
      <c r="C9956" s="16" t="s">
        <v>18905</v>
      </c>
      <c r="D9956" s="16"/>
      <c r="E9956">
        <v>6</v>
      </c>
      <c r="F9956" t="s">
        <v>9107</v>
      </c>
      <c r="G9956">
        <v>1</v>
      </c>
      <c r="H9956">
        <v>1</v>
      </c>
      <c r="I9956">
        <f>1</f>
        <v>1</v>
      </c>
    </row>
    <row r="9957" spans="2:9" x14ac:dyDescent="0.25">
      <c r="B9957">
        <v>0</v>
      </c>
      <c r="C9957" s="16" t="s">
        <v>18906</v>
      </c>
      <c r="D9957" s="16"/>
      <c r="E9957">
        <v>6</v>
      </c>
      <c r="F9957" t="s">
        <v>4680</v>
      </c>
      <c r="G9957">
        <v>1</v>
      </c>
      <c r="H9957">
        <v>1</v>
      </c>
      <c r="I9957">
        <f>1</f>
        <v>1</v>
      </c>
    </row>
    <row r="9958" spans="2:9" x14ac:dyDescent="0.25">
      <c r="B9958">
        <v>0</v>
      </c>
      <c r="C9958" s="16" t="s">
        <v>18907</v>
      </c>
      <c r="D9958" s="16"/>
      <c r="E9958">
        <v>6</v>
      </c>
      <c r="F9958" t="s">
        <v>9108</v>
      </c>
      <c r="G9958">
        <v>1</v>
      </c>
      <c r="H9958">
        <v>1</v>
      </c>
      <c r="I9958">
        <f>1</f>
        <v>1</v>
      </c>
    </row>
    <row r="9959" spans="2:9" x14ac:dyDescent="0.25">
      <c r="B9959">
        <v>0</v>
      </c>
      <c r="C9959" s="16" t="s">
        <v>18908</v>
      </c>
      <c r="D9959" s="16"/>
      <c r="E9959">
        <v>6</v>
      </c>
      <c r="F9959" t="s">
        <v>9109</v>
      </c>
      <c r="G9959">
        <v>1</v>
      </c>
      <c r="H9959">
        <v>1</v>
      </c>
      <c r="I9959">
        <f>1</f>
        <v>1</v>
      </c>
    </row>
    <row r="9960" spans="2:9" x14ac:dyDescent="0.25">
      <c r="B9960">
        <v>0</v>
      </c>
      <c r="C9960" s="16" t="s">
        <v>18909</v>
      </c>
      <c r="D9960" s="16"/>
      <c r="E9960">
        <v>6</v>
      </c>
      <c r="F9960" t="s">
        <v>4680</v>
      </c>
      <c r="G9960">
        <v>1</v>
      </c>
      <c r="H9960">
        <v>1</v>
      </c>
      <c r="I9960">
        <f>1</f>
        <v>1</v>
      </c>
    </row>
    <row r="9961" spans="2:9" x14ac:dyDescent="0.25">
      <c r="B9961">
        <v>0</v>
      </c>
      <c r="C9961" s="16" t="s">
        <v>18910</v>
      </c>
      <c r="D9961" s="16"/>
      <c r="E9961">
        <v>6</v>
      </c>
      <c r="F9961" t="s">
        <v>8621</v>
      </c>
      <c r="G9961">
        <v>1</v>
      </c>
      <c r="H9961">
        <v>1</v>
      </c>
      <c r="I9961">
        <f>1</f>
        <v>1</v>
      </c>
    </row>
    <row r="9962" spans="2:9" x14ac:dyDescent="0.25">
      <c r="B9962">
        <v>0</v>
      </c>
      <c r="C9962" s="16" t="s">
        <v>18911</v>
      </c>
      <c r="D9962" s="16"/>
      <c r="E9962">
        <v>6</v>
      </c>
      <c r="F9962" t="s">
        <v>9110</v>
      </c>
      <c r="G9962">
        <v>1</v>
      </c>
      <c r="H9962">
        <v>1</v>
      </c>
      <c r="I9962">
        <f>1</f>
        <v>1</v>
      </c>
    </row>
    <row r="9963" spans="2:9" x14ac:dyDescent="0.25">
      <c r="B9963">
        <v>0</v>
      </c>
      <c r="C9963" s="16" t="s">
        <v>18912</v>
      </c>
      <c r="D9963" s="16"/>
      <c r="E9963">
        <v>6</v>
      </c>
      <c r="F9963" t="s">
        <v>9111</v>
      </c>
      <c r="G9963">
        <v>1</v>
      </c>
      <c r="H9963">
        <v>1</v>
      </c>
      <c r="I9963">
        <f>1</f>
        <v>1</v>
      </c>
    </row>
    <row r="9964" spans="2:9" x14ac:dyDescent="0.25">
      <c r="B9964">
        <v>0</v>
      </c>
      <c r="C9964" s="16" t="s">
        <v>18913</v>
      </c>
      <c r="D9964" s="16"/>
      <c r="E9964">
        <v>6</v>
      </c>
      <c r="F9964" t="s">
        <v>4680</v>
      </c>
      <c r="G9964">
        <v>1</v>
      </c>
      <c r="H9964">
        <v>1</v>
      </c>
      <c r="I9964">
        <f>1</f>
        <v>1</v>
      </c>
    </row>
    <row r="9965" spans="2:9" x14ac:dyDescent="0.25">
      <c r="B9965">
        <v>0</v>
      </c>
      <c r="C9965" s="16" t="s">
        <v>18914</v>
      </c>
      <c r="D9965" s="16"/>
      <c r="E9965">
        <v>6</v>
      </c>
      <c r="F9965" t="s">
        <v>9112</v>
      </c>
      <c r="G9965">
        <v>1</v>
      </c>
      <c r="H9965">
        <v>1</v>
      </c>
      <c r="I9965">
        <f>1</f>
        <v>1</v>
      </c>
    </row>
    <row r="9966" spans="2:9" x14ac:dyDescent="0.25">
      <c r="B9966">
        <v>0</v>
      </c>
      <c r="C9966" s="16" t="s">
        <v>18915</v>
      </c>
      <c r="D9966" s="16"/>
      <c r="E9966">
        <v>6</v>
      </c>
      <c r="F9966" t="s">
        <v>4690</v>
      </c>
      <c r="G9966">
        <v>1</v>
      </c>
      <c r="H9966">
        <v>1</v>
      </c>
      <c r="I9966">
        <f>1</f>
        <v>1</v>
      </c>
    </row>
    <row r="9967" spans="2:9" x14ac:dyDescent="0.25">
      <c r="B9967">
        <v>0</v>
      </c>
      <c r="C9967" s="16" t="s">
        <v>18916</v>
      </c>
      <c r="D9967" s="16"/>
      <c r="E9967">
        <v>6</v>
      </c>
      <c r="F9967" t="s">
        <v>4690</v>
      </c>
      <c r="G9967">
        <v>1</v>
      </c>
      <c r="H9967">
        <v>1</v>
      </c>
      <c r="I9967">
        <f>1</f>
        <v>1</v>
      </c>
    </row>
    <row r="9968" spans="2:9" x14ac:dyDescent="0.25">
      <c r="B9968">
        <v>0</v>
      </c>
      <c r="C9968" s="16" t="s">
        <v>18917</v>
      </c>
      <c r="D9968" s="16"/>
      <c r="E9968">
        <v>6</v>
      </c>
      <c r="F9968" t="s">
        <v>9113</v>
      </c>
      <c r="G9968">
        <v>1</v>
      </c>
      <c r="H9968">
        <v>1</v>
      </c>
      <c r="I9968">
        <f>1</f>
        <v>1</v>
      </c>
    </row>
    <row r="9969" spans="2:9" x14ac:dyDescent="0.25">
      <c r="B9969">
        <v>0</v>
      </c>
      <c r="C9969" s="16" t="s">
        <v>18918</v>
      </c>
      <c r="D9969" s="16"/>
      <c r="E9969">
        <v>6</v>
      </c>
      <c r="F9969" t="s">
        <v>9114</v>
      </c>
      <c r="G9969">
        <v>1</v>
      </c>
      <c r="H9969">
        <v>1</v>
      </c>
      <c r="I9969">
        <f>1</f>
        <v>1</v>
      </c>
    </row>
    <row r="9970" spans="2:9" x14ac:dyDescent="0.25">
      <c r="B9970">
        <v>0</v>
      </c>
      <c r="C9970" s="16" t="s">
        <v>18919</v>
      </c>
      <c r="D9970" s="16"/>
      <c r="E9970">
        <v>6</v>
      </c>
      <c r="F9970" t="s">
        <v>4690</v>
      </c>
      <c r="G9970">
        <v>1</v>
      </c>
      <c r="H9970">
        <v>1</v>
      </c>
      <c r="I9970">
        <f>1</f>
        <v>1</v>
      </c>
    </row>
    <row r="9971" spans="2:9" x14ac:dyDescent="0.25">
      <c r="B9971">
        <v>0</v>
      </c>
      <c r="C9971" s="16" t="s">
        <v>18920</v>
      </c>
      <c r="D9971" s="16"/>
      <c r="E9971">
        <v>6</v>
      </c>
      <c r="F9971" t="s">
        <v>9115</v>
      </c>
      <c r="G9971">
        <v>1</v>
      </c>
      <c r="H9971">
        <v>1</v>
      </c>
      <c r="I9971">
        <f>1</f>
        <v>1</v>
      </c>
    </row>
    <row r="9972" spans="2:9" x14ac:dyDescent="0.25">
      <c r="B9972">
        <v>0</v>
      </c>
      <c r="C9972" s="16" t="s">
        <v>18921</v>
      </c>
      <c r="D9972" s="16"/>
      <c r="E9972">
        <v>6</v>
      </c>
      <c r="F9972" t="s">
        <v>9116</v>
      </c>
      <c r="G9972">
        <v>1</v>
      </c>
      <c r="H9972">
        <v>1</v>
      </c>
      <c r="I9972">
        <f>1</f>
        <v>1</v>
      </c>
    </row>
    <row r="9973" spans="2:9" x14ac:dyDescent="0.25">
      <c r="B9973">
        <v>0</v>
      </c>
      <c r="C9973" s="16" t="s">
        <v>18922</v>
      </c>
      <c r="D9973" s="16"/>
      <c r="E9973">
        <v>6</v>
      </c>
      <c r="F9973" t="s">
        <v>9117</v>
      </c>
      <c r="G9973">
        <v>1</v>
      </c>
      <c r="H9973">
        <v>1</v>
      </c>
      <c r="I9973">
        <f>1</f>
        <v>1</v>
      </c>
    </row>
    <row r="9974" spans="2:9" x14ac:dyDescent="0.25">
      <c r="B9974">
        <v>0</v>
      </c>
      <c r="C9974" s="16" t="s">
        <v>18923</v>
      </c>
      <c r="D9974" s="16"/>
      <c r="E9974">
        <v>6</v>
      </c>
      <c r="F9974" t="s">
        <v>9118</v>
      </c>
      <c r="G9974">
        <v>1</v>
      </c>
      <c r="H9974">
        <v>1</v>
      </c>
      <c r="I9974">
        <f>1</f>
        <v>1</v>
      </c>
    </row>
    <row r="9975" spans="2:9" x14ac:dyDescent="0.25">
      <c r="B9975">
        <v>0</v>
      </c>
      <c r="C9975" s="16" t="s">
        <v>18924</v>
      </c>
      <c r="D9975" s="16"/>
      <c r="E9975">
        <v>6</v>
      </c>
      <c r="F9975" t="s">
        <v>9119</v>
      </c>
      <c r="G9975">
        <v>1</v>
      </c>
      <c r="H9975">
        <v>1</v>
      </c>
      <c r="I9975">
        <f>1</f>
        <v>1</v>
      </c>
    </row>
    <row r="9976" spans="2:9" x14ac:dyDescent="0.25">
      <c r="B9976">
        <v>0</v>
      </c>
      <c r="C9976" s="16" t="s">
        <v>18925</v>
      </c>
      <c r="D9976" s="16"/>
      <c r="E9976">
        <v>6</v>
      </c>
      <c r="F9976" t="s">
        <v>9120</v>
      </c>
      <c r="G9976">
        <v>1</v>
      </c>
      <c r="H9976">
        <v>1</v>
      </c>
      <c r="I9976">
        <f>1</f>
        <v>1</v>
      </c>
    </row>
    <row r="9977" spans="2:9" x14ac:dyDescent="0.25">
      <c r="B9977">
        <v>0</v>
      </c>
      <c r="C9977" s="16" t="s">
        <v>18926</v>
      </c>
      <c r="D9977" s="16"/>
      <c r="E9977">
        <v>6</v>
      </c>
      <c r="F9977" t="s">
        <v>4680</v>
      </c>
      <c r="G9977">
        <v>1</v>
      </c>
      <c r="H9977">
        <v>1</v>
      </c>
      <c r="I9977">
        <f>1</f>
        <v>1</v>
      </c>
    </row>
    <row r="9978" spans="2:9" x14ac:dyDescent="0.25">
      <c r="B9978">
        <v>0</v>
      </c>
      <c r="C9978" s="16" t="s">
        <v>18927</v>
      </c>
      <c r="D9978" s="16"/>
      <c r="E9978">
        <v>6</v>
      </c>
      <c r="F9978" t="s">
        <v>9121</v>
      </c>
      <c r="G9978">
        <v>1</v>
      </c>
      <c r="H9978">
        <v>1</v>
      </c>
      <c r="I9978">
        <f>1</f>
        <v>1</v>
      </c>
    </row>
    <row r="9979" spans="2:9" x14ac:dyDescent="0.25">
      <c r="B9979">
        <v>0</v>
      </c>
      <c r="C9979" s="16" t="s">
        <v>18928</v>
      </c>
      <c r="D9979" s="16"/>
      <c r="E9979">
        <v>6</v>
      </c>
      <c r="F9979" t="s">
        <v>9122</v>
      </c>
      <c r="G9979">
        <v>1</v>
      </c>
      <c r="H9979">
        <v>1</v>
      </c>
      <c r="I9979">
        <f>1</f>
        <v>1</v>
      </c>
    </row>
    <row r="9980" spans="2:9" x14ac:dyDescent="0.25">
      <c r="B9980">
        <v>0</v>
      </c>
      <c r="C9980" s="16" t="s">
        <v>18929</v>
      </c>
      <c r="D9980" s="16"/>
      <c r="E9980">
        <v>6</v>
      </c>
      <c r="F9980" t="s">
        <v>4680</v>
      </c>
      <c r="G9980">
        <v>1</v>
      </c>
      <c r="H9980">
        <v>1</v>
      </c>
      <c r="I9980">
        <f>1</f>
        <v>1</v>
      </c>
    </row>
    <row r="9981" spans="2:9" x14ac:dyDescent="0.25">
      <c r="B9981">
        <v>0</v>
      </c>
      <c r="C9981" s="16" t="s">
        <v>18929</v>
      </c>
      <c r="D9981" s="16" t="s">
        <v>19430</v>
      </c>
      <c r="E9981">
        <v>6</v>
      </c>
      <c r="F9981" t="s">
        <v>9123</v>
      </c>
      <c r="G9981">
        <v>1</v>
      </c>
      <c r="H9981">
        <v>1</v>
      </c>
      <c r="I9981">
        <f>1</f>
        <v>1</v>
      </c>
    </row>
    <row r="9982" spans="2:9" x14ac:dyDescent="0.25">
      <c r="B9982">
        <v>0</v>
      </c>
      <c r="C9982" s="16" t="s">
        <v>18930</v>
      </c>
      <c r="D9982" s="16"/>
      <c r="E9982">
        <v>6</v>
      </c>
      <c r="F9982" t="s">
        <v>9124</v>
      </c>
      <c r="G9982">
        <v>1</v>
      </c>
      <c r="H9982">
        <v>1</v>
      </c>
      <c r="I9982">
        <f>1</f>
        <v>1</v>
      </c>
    </row>
    <row r="9983" spans="2:9" x14ac:dyDescent="0.25">
      <c r="B9983">
        <v>0</v>
      </c>
      <c r="C9983" s="16" t="s">
        <v>18931</v>
      </c>
      <c r="D9983" s="16"/>
      <c r="E9983">
        <v>6</v>
      </c>
      <c r="F9983" t="s">
        <v>9125</v>
      </c>
      <c r="G9983">
        <v>1</v>
      </c>
      <c r="H9983">
        <v>1</v>
      </c>
      <c r="I9983">
        <f>1</f>
        <v>1</v>
      </c>
    </row>
    <row r="9984" spans="2:9" x14ac:dyDescent="0.25">
      <c r="B9984">
        <v>0</v>
      </c>
      <c r="C9984" s="16" t="s">
        <v>18932</v>
      </c>
      <c r="D9984" s="16"/>
      <c r="E9984">
        <v>6</v>
      </c>
      <c r="F9984" t="s">
        <v>9126</v>
      </c>
      <c r="G9984">
        <v>1</v>
      </c>
      <c r="H9984">
        <v>1</v>
      </c>
      <c r="I9984">
        <f>1</f>
        <v>1</v>
      </c>
    </row>
    <row r="9985" spans="2:9" x14ac:dyDescent="0.25">
      <c r="B9985">
        <v>0</v>
      </c>
      <c r="C9985" s="16" t="s">
        <v>18933</v>
      </c>
      <c r="D9985" s="16"/>
      <c r="E9985">
        <v>6</v>
      </c>
      <c r="F9985" t="s">
        <v>4690</v>
      </c>
      <c r="G9985">
        <v>1</v>
      </c>
      <c r="H9985">
        <v>1</v>
      </c>
      <c r="I9985">
        <f>1</f>
        <v>1</v>
      </c>
    </row>
    <row r="9986" spans="2:9" x14ac:dyDescent="0.25">
      <c r="B9986">
        <v>0</v>
      </c>
      <c r="C9986" s="16" t="s">
        <v>18934</v>
      </c>
      <c r="D9986" s="16"/>
      <c r="E9986">
        <v>6</v>
      </c>
      <c r="F9986" t="s">
        <v>9127</v>
      </c>
      <c r="G9986">
        <v>1</v>
      </c>
      <c r="H9986">
        <v>1</v>
      </c>
      <c r="I9986">
        <f>1</f>
        <v>1</v>
      </c>
    </row>
    <row r="9987" spans="2:9" x14ac:dyDescent="0.25">
      <c r="B9987">
        <v>0</v>
      </c>
      <c r="C9987" s="16" t="s">
        <v>18935</v>
      </c>
      <c r="D9987" s="16"/>
      <c r="E9987">
        <v>6</v>
      </c>
      <c r="F9987" t="s">
        <v>9128</v>
      </c>
      <c r="G9987">
        <v>1</v>
      </c>
      <c r="H9987">
        <v>1</v>
      </c>
      <c r="I9987">
        <f>1</f>
        <v>1</v>
      </c>
    </row>
    <row r="9988" spans="2:9" x14ac:dyDescent="0.25">
      <c r="B9988">
        <v>0</v>
      </c>
      <c r="C9988" s="16" t="s">
        <v>18936</v>
      </c>
      <c r="D9988" s="16"/>
      <c r="E9988">
        <v>6</v>
      </c>
      <c r="F9988" t="s">
        <v>9129</v>
      </c>
      <c r="G9988">
        <v>1</v>
      </c>
      <c r="H9988">
        <v>1</v>
      </c>
      <c r="I9988">
        <f>1</f>
        <v>1</v>
      </c>
    </row>
    <row r="9989" spans="2:9" x14ac:dyDescent="0.25">
      <c r="B9989">
        <v>0</v>
      </c>
      <c r="C9989" s="16" t="s">
        <v>18937</v>
      </c>
      <c r="D9989" s="16"/>
      <c r="E9989">
        <v>6</v>
      </c>
      <c r="F9989" t="s">
        <v>4680</v>
      </c>
      <c r="G9989">
        <v>1</v>
      </c>
      <c r="H9989">
        <v>1</v>
      </c>
      <c r="I9989">
        <f>1</f>
        <v>1</v>
      </c>
    </row>
    <row r="9990" spans="2:9" x14ac:dyDescent="0.25">
      <c r="B9990">
        <v>0</v>
      </c>
      <c r="C9990" s="16" t="s">
        <v>18937</v>
      </c>
      <c r="D9990" s="16" t="s">
        <v>19430</v>
      </c>
      <c r="E9990">
        <v>6</v>
      </c>
      <c r="F9990" t="s">
        <v>9130</v>
      </c>
      <c r="G9990">
        <v>1</v>
      </c>
      <c r="H9990">
        <v>1</v>
      </c>
      <c r="I9990">
        <f>1</f>
        <v>1</v>
      </c>
    </row>
    <row r="9991" spans="2:9" x14ac:dyDescent="0.25">
      <c r="B9991">
        <v>0</v>
      </c>
      <c r="C9991" s="16" t="s">
        <v>18938</v>
      </c>
      <c r="D9991" s="16"/>
      <c r="E9991">
        <v>6</v>
      </c>
      <c r="F9991" t="s">
        <v>9131</v>
      </c>
      <c r="G9991">
        <v>1</v>
      </c>
      <c r="H9991">
        <v>1</v>
      </c>
      <c r="I9991">
        <f>1</f>
        <v>1</v>
      </c>
    </row>
    <row r="9992" spans="2:9" x14ac:dyDescent="0.25">
      <c r="B9992">
        <v>0</v>
      </c>
      <c r="C9992" s="16" t="s">
        <v>18939</v>
      </c>
      <c r="D9992" s="16"/>
      <c r="E9992">
        <v>6</v>
      </c>
      <c r="F9992" t="s">
        <v>4680</v>
      </c>
      <c r="G9992">
        <v>1</v>
      </c>
      <c r="H9992">
        <v>1</v>
      </c>
      <c r="I9992">
        <f>1</f>
        <v>1</v>
      </c>
    </row>
    <row r="9993" spans="2:9" x14ac:dyDescent="0.25">
      <c r="B9993">
        <v>0</v>
      </c>
      <c r="C9993" s="16" t="s">
        <v>18940</v>
      </c>
      <c r="D9993" s="16"/>
      <c r="E9993">
        <v>6</v>
      </c>
      <c r="F9993" t="s">
        <v>9132</v>
      </c>
      <c r="G9993">
        <v>1</v>
      </c>
      <c r="H9993">
        <v>1</v>
      </c>
      <c r="I9993">
        <f>1</f>
        <v>1</v>
      </c>
    </row>
    <row r="9994" spans="2:9" x14ac:dyDescent="0.25">
      <c r="B9994">
        <v>0</v>
      </c>
      <c r="C9994" s="16" t="s">
        <v>18941</v>
      </c>
      <c r="D9994" s="16"/>
      <c r="E9994">
        <v>6</v>
      </c>
      <c r="F9994" t="s">
        <v>9133</v>
      </c>
      <c r="G9994">
        <v>1</v>
      </c>
      <c r="H9994">
        <v>1</v>
      </c>
      <c r="I9994">
        <f>1</f>
        <v>1</v>
      </c>
    </row>
    <row r="9995" spans="2:9" x14ac:dyDescent="0.25">
      <c r="B9995">
        <v>0</v>
      </c>
      <c r="C9995" s="16" t="s">
        <v>18942</v>
      </c>
      <c r="D9995" s="16"/>
      <c r="E9995">
        <v>6</v>
      </c>
      <c r="F9995" t="s">
        <v>4680</v>
      </c>
      <c r="G9995">
        <v>1</v>
      </c>
      <c r="H9995">
        <v>1</v>
      </c>
      <c r="I9995">
        <f>1</f>
        <v>1</v>
      </c>
    </row>
    <row r="9996" spans="2:9" x14ac:dyDescent="0.25">
      <c r="B9996">
        <v>0</v>
      </c>
      <c r="C9996" s="16" t="s">
        <v>18943</v>
      </c>
      <c r="D9996" s="16"/>
      <c r="E9996">
        <v>6</v>
      </c>
      <c r="F9996" t="s">
        <v>9134</v>
      </c>
      <c r="G9996">
        <v>1</v>
      </c>
      <c r="H9996">
        <v>1</v>
      </c>
      <c r="I9996">
        <f>1</f>
        <v>1</v>
      </c>
    </row>
    <row r="9997" spans="2:9" x14ac:dyDescent="0.25">
      <c r="B9997">
        <v>0</v>
      </c>
      <c r="C9997" s="16" t="s">
        <v>18944</v>
      </c>
      <c r="D9997" s="16"/>
      <c r="E9997">
        <v>6</v>
      </c>
      <c r="F9997" t="s">
        <v>4680</v>
      </c>
      <c r="G9997">
        <v>1</v>
      </c>
      <c r="H9997">
        <v>1</v>
      </c>
      <c r="I9997">
        <f>1</f>
        <v>1</v>
      </c>
    </row>
    <row r="9998" spans="2:9" x14ac:dyDescent="0.25">
      <c r="B9998">
        <v>0</v>
      </c>
      <c r="C9998" s="16" t="s">
        <v>18945</v>
      </c>
      <c r="D9998" s="16"/>
      <c r="E9998">
        <v>6</v>
      </c>
      <c r="F9998" t="s">
        <v>9135</v>
      </c>
      <c r="G9998">
        <v>1</v>
      </c>
      <c r="H9998">
        <v>1</v>
      </c>
      <c r="I9998">
        <f>1</f>
        <v>1</v>
      </c>
    </row>
    <row r="9999" spans="2:9" x14ac:dyDescent="0.25">
      <c r="B9999">
        <v>0</v>
      </c>
      <c r="C9999" s="16" t="s">
        <v>18946</v>
      </c>
      <c r="D9999" s="16"/>
      <c r="E9999">
        <v>6</v>
      </c>
      <c r="F9999" t="s">
        <v>9136</v>
      </c>
      <c r="G9999">
        <v>1</v>
      </c>
      <c r="H9999">
        <v>1</v>
      </c>
      <c r="I9999">
        <f>1</f>
        <v>1</v>
      </c>
    </row>
    <row r="10000" spans="2:9" x14ac:dyDescent="0.25">
      <c r="B10000">
        <v>0</v>
      </c>
      <c r="C10000" s="16" t="s">
        <v>18947</v>
      </c>
      <c r="D10000" s="16"/>
      <c r="E10000">
        <v>6</v>
      </c>
      <c r="F10000" t="s">
        <v>9137</v>
      </c>
      <c r="G10000">
        <v>1</v>
      </c>
      <c r="H10000">
        <v>1</v>
      </c>
      <c r="I10000">
        <f>1</f>
        <v>1</v>
      </c>
    </row>
    <row r="10001" spans="2:9" x14ac:dyDescent="0.25">
      <c r="B10001">
        <v>0</v>
      </c>
      <c r="C10001" s="16" t="s">
        <v>18948</v>
      </c>
      <c r="D10001" s="16"/>
      <c r="E10001">
        <v>6</v>
      </c>
      <c r="F10001" t="s">
        <v>9138</v>
      </c>
      <c r="G10001">
        <v>1</v>
      </c>
      <c r="H10001">
        <v>1</v>
      </c>
      <c r="I10001">
        <f>1</f>
        <v>1</v>
      </c>
    </row>
    <row r="10002" spans="2:9" x14ac:dyDescent="0.25">
      <c r="B10002">
        <v>0</v>
      </c>
      <c r="C10002" s="16" t="s">
        <v>18949</v>
      </c>
      <c r="D10002" s="16"/>
      <c r="E10002">
        <v>6</v>
      </c>
      <c r="F10002" t="s">
        <v>9139</v>
      </c>
      <c r="G10002">
        <v>1</v>
      </c>
      <c r="H10002">
        <v>1</v>
      </c>
      <c r="I10002">
        <f>1</f>
        <v>1</v>
      </c>
    </row>
    <row r="10003" spans="2:9" x14ac:dyDescent="0.25">
      <c r="B10003">
        <v>0</v>
      </c>
      <c r="C10003" s="16" t="s">
        <v>18950</v>
      </c>
      <c r="D10003" s="16"/>
      <c r="E10003">
        <v>6</v>
      </c>
      <c r="F10003" t="s">
        <v>9108</v>
      </c>
      <c r="G10003">
        <v>1</v>
      </c>
      <c r="H10003">
        <v>1</v>
      </c>
      <c r="I10003">
        <f>1</f>
        <v>1</v>
      </c>
    </row>
    <row r="10004" spans="2:9" x14ac:dyDescent="0.25">
      <c r="B10004">
        <v>0</v>
      </c>
      <c r="C10004" s="16" t="s">
        <v>18951</v>
      </c>
      <c r="D10004" s="16"/>
      <c r="E10004">
        <v>6</v>
      </c>
      <c r="F10004" t="s">
        <v>9140</v>
      </c>
      <c r="G10004">
        <v>1</v>
      </c>
      <c r="H10004">
        <v>1</v>
      </c>
      <c r="I10004">
        <f>1</f>
        <v>1</v>
      </c>
    </row>
    <row r="10005" spans="2:9" x14ac:dyDescent="0.25">
      <c r="B10005">
        <v>0</v>
      </c>
      <c r="C10005" s="16" t="s">
        <v>18952</v>
      </c>
      <c r="D10005" s="16"/>
      <c r="E10005">
        <v>6</v>
      </c>
      <c r="F10005" t="s">
        <v>9141</v>
      </c>
      <c r="G10005">
        <v>1</v>
      </c>
      <c r="H10005">
        <v>1</v>
      </c>
      <c r="I10005">
        <f>1</f>
        <v>1</v>
      </c>
    </row>
    <row r="10006" spans="2:9" x14ac:dyDescent="0.25">
      <c r="B10006">
        <v>0</v>
      </c>
      <c r="C10006" s="16" t="s">
        <v>18953</v>
      </c>
      <c r="D10006" s="16"/>
      <c r="E10006">
        <v>6</v>
      </c>
      <c r="F10006" t="s">
        <v>4680</v>
      </c>
      <c r="G10006">
        <v>1</v>
      </c>
      <c r="H10006">
        <v>1</v>
      </c>
      <c r="I10006">
        <f>1</f>
        <v>1</v>
      </c>
    </row>
    <row r="10007" spans="2:9" x14ac:dyDescent="0.25">
      <c r="B10007">
        <v>0</v>
      </c>
      <c r="C10007" s="16" t="s">
        <v>18953</v>
      </c>
      <c r="D10007" s="16" t="s">
        <v>19430</v>
      </c>
      <c r="E10007">
        <v>6</v>
      </c>
      <c r="F10007" t="s">
        <v>9142</v>
      </c>
      <c r="G10007">
        <v>1</v>
      </c>
      <c r="H10007">
        <v>1</v>
      </c>
      <c r="I10007">
        <f>1</f>
        <v>1</v>
      </c>
    </row>
    <row r="10008" spans="2:9" x14ac:dyDescent="0.25">
      <c r="B10008">
        <v>0</v>
      </c>
      <c r="C10008" s="16" t="s">
        <v>18953</v>
      </c>
      <c r="D10008" s="16" t="s">
        <v>19431</v>
      </c>
      <c r="E10008">
        <v>6</v>
      </c>
      <c r="F10008" t="s">
        <v>9143</v>
      </c>
      <c r="G10008">
        <v>1</v>
      </c>
      <c r="H10008">
        <v>1</v>
      </c>
      <c r="I10008">
        <f>1</f>
        <v>1</v>
      </c>
    </row>
    <row r="10009" spans="2:9" x14ac:dyDescent="0.25">
      <c r="B10009">
        <v>0</v>
      </c>
      <c r="C10009" s="16" t="s">
        <v>18953</v>
      </c>
      <c r="D10009" s="16" t="s">
        <v>19432</v>
      </c>
      <c r="E10009">
        <v>6</v>
      </c>
      <c r="F10009" t="s">
        <v>9144</v>
      </c>
      <c r="G10009">
        <v>1</v>
      </c>
      <c r="H10009">
        <v>1</v>
      </c>
      <c r="I10009">
        <f>1</f>
        <v>1</v>
      </c>
    </row>
    <row r="10010" spans="2:9" x14ac:dyDescent="0.25">
      <c r="B10010">
        <v>0</v>
      </c>
      <c r="C10010" s="16" t="s">
        <v>18954</v>
      </c>
      <c r="D10010" s="16"/>
      <c r="E10010">
        <v>6</v>
      </c>
      <c r="F10010" t="s">
        <v>9145</v>
      </c>
      <c r="G10010">
        <v>1</v>
      </c>
      <c r="H10010">
        <v>1</v>
      </c>
      <c r="I10010">
        <f>1</f>
        <v>1</v>
      </c>
    </row>
    <row r="10011" spans="2:9" x14ac:dyDescent="0.25">
      <c r="B10011">
        <v>0</v>
      </c>
      <c r="C10011" s="16" t="s">
        <v>18955</v>
      </c>
      <c r="D10011" s="16"/>
      <c r="E10011">
        <v>6</v>
      </c>
      <c r="F10011" t="s">
        <v>9146</v>
      </c>
      <c r="G10011">
        <v>1</v>
      </c>
      <c r="H10011">
        <v>1</v>
      </c>
      <c r="I10011">
        <f>1</f>
        <v>1</v>
      </c>
    </row>
    <row r="10012" spans="2:9" x14ac:dyDescent="0.25">
      <c r="B10012">
        <v>0</v>
      </c>
      <c r="C10012" s="16" t="s">
        <v>18956</v>
      </c>
      <c r="D10012" s="16"/>
      <c r="E10012">
        <v>6</v>
      </c>
      <c r="F10012" t="s">
        <v>9147</v>
      </c>
      <c r="G10012">
        <v>1</v>
      </c>
      <c r="H10012">
        <v>1</v>
      </c>
      <c r="I10012">
        <f>1</f>
        <v>1</v>
      </c>
    </row>
    <row r="10013" spans="2:9" x14ac:dyDescent="0.25">
      <c r="B10013">
        <v>0</v>
      </c>
      <c r="C10013" s="16" t="s">
        <v>18957</v>
      </c>
      <c r="D10013" s="16"/>
      <c r="E10013">
        <v>6</v>
      </c>
      <c r="F10013" t="s">
        <v>9148</v>
      </c>
      <c r="G10013">
        <v>1</v>
      </c>
      <c r="H10013">
        <v>1</v>
      </c>
      <c r="I10013">
        <f>1</f>
        <v>1</v>
      </c>
    </row>
    <row r="10014" spans="2:9" x14ac:dyDescent="0.25">
      <c r="B10014">
        <v>0</v>
      </c>
      <c r="C10014" s="16" t="s">
        <v>18958</v>
      </c>
      <c r="D10014" s="16"/>
      <c r="E10014">
        <v>6</v>
      </c>
      <c r="F10014" t="s">
        <v>9149</v>
      </c>
      <c r="G10014">
        <v>1</v>
      </c>
      <c r="H10014">
        <v>1</v>
      </c>
      <c r="I10014">
        <f>1</f>
        <v>1</v>
      </c>
    </row>
    <row r="10015" spans="2:9" x14ac:dyDescent="0.25">
      <c r="B10015">
        <v>0</v>
      </c>
      <c r="C10015" s="16" t="s">
        <v>18959</v>
      </c>
      <c r="D10015" s="16"/>
      <c r="E10015">
        <v>6</v>
      </c>
      <c r="F10015" t="s">
        <v>4680</v>
      </c>
      <c r="G10015">
        <v>1</v>
      </c>
      <c r="H10015">
        <v>1</v>
      </c>
      <c r="I10015">
        <f>1</f>
        <v>1</v>
      </c>
    </row>
    <row r="10016" spans="2:9" x14ac:dyDescent="0.25">
      <c r="B10016">
        <v>0</v>
      </c>
      <c r="C10016" s="16" t="s">
        <v>18960</v>
      </c>
      <c r="D10016" s="16"/>
      <c r="E10016">
        <v>6</v>
      </c>
      <c r="F10016" t="s">
        <v>9150</v>
      </c>
      <c r="G10016">
        <v>1</v>
      </c>
      <c r="H10016">
        <v>1</v>
      </c>
      <c r="I10016">
        <f>1</f>
        <v>1</v>
      </c>
    </row>
    <row r="10017" spans="2:9" x14ac:dyDescent="0.25">
      <c r="B10017">
        <v>0</v>
      </c>
      <c r="C10017" s="16" t="s">
        <v>18961</v>
      </c>
      <c r="D10017" s="16"/>
      <c r="E10017">
        <v>6</v>
      </c>
      <c r="F10017" t="s">
        <v>4680</v>
      </c>
      <c r="G10017">
        <v>1</v>
      </c>
      <c r="H10017">
        <v>1</v>
      </c>
      <c r="I10017">
        <f>1</f>
        <v>1</v>
      </c>
    </row>
    <row r="10018" spans="2:9" x14ac:dyDescent="0.25">
      <c r="B10018">
        <v>0</v>
      </c>
      <c r="C10018" s="16" t="s">
        <v>18962</v>
      </c>
      <c r="D10018" s="16"/>
      <c r="E10018">
        <v>6</v>
      </c>
      <c r="F10018" t="s">
        <v>9151</v>
      </c>
      <c r="G10018">
        <v>1</v>
      </c>
      <c r="H10018">
        <v>1</v>
      </c>
      <c r="I10018">
        <f>1</f>
        <v>1</v>
      </c>
    </row>
    <row r="10019" spans="2:9" x14ac:dyDescent="0.25">
      <c r="B10019">
        <v>0</v>
      </c>
      <c r="C10019" s="16" t="s">
        <v>18963</v>
      </c>
      <c r="D10019" s="16"/>
      <c r="E10019">
        <v>6</v>
      </c>
      <c r="F10019" t="s">
        <v>9152</v>
      </c>
      <c r="G10019">
        <v>1</v>
      </c>
      <c r="H10019">
        <v>1</v>
      </c>
      <c r="I10019">
        <f>1</f>
        <v>1</v>
      </c>
    </row>
    <row r="10020" spans="2:9" x14ac:dyDescent="0.25">
      <c r="B10020">
        <v>0</v>
      </c>
      <c r="C10020" s="16" t="s">
        <v>18964</v>
      </c>
      <c r="D10020" s="16"/>
      <c r="E10020">
        <v>6</v>
      </c>
      <c r="F10020" t="s">
        <v>9153</v>
      </c>
      <c r="G10020">
        <v>1</v>
      </c>
      <c r="H10020">
        <v>1</v>
      </c>
      <c r="I10020">
        <f>1</f>
        <v>1</v>
      </c>
    </row>
    <row r="10021" spans="2:9" x14ac:dyDescent="0.25">
      <c r="B10021">
        <v>0</v>
      </c>
      <c r="C10021" s="16" t="s">
        <v>18965</v>
      </c>
      <c r="D10021" s="16"/>
      <c r="E10021">
        <v>6</v>
      </c>
      <c r="F10021" t="s">
        <v>4680</v>
      </c>
      <c r="G10021">
        <v>1</v>
      </c>
      <c r="H10021">
        <v>1</v>
      </c>
      <c r="I10021">
        <f>1</f>
        <v>1</v>
      </c>
    </row>
    <row r="10022" spans="2:9" x14ac:dyDescent="0.25">
      <c r="B10022">
        <v>0</v>
      </c>
      <c r="C10022" s="16" t="s">
        <v>18966</v>
      </c>
      <c r="D10022" s="16"/>
      <c r="E10022">
        <v>6</v>
      </c>
      <c r="F10022" t="s">
        <v>9154</v>
      </c>
      <c r="G10022">
        <v>1</v>
      </c>
      <c r="H10022">
        <v>1</v>
      </c>
      <c r="I10022">
        <f>1</f>
        <v>1</v>
      </c>
    </row>
    <row r="10023" spans="2:9" x14ac:dyDescent="0.25">
      <c r="B10023">
        <v>0</v>
      </c>
      <c r="C10023" s="16" t="s">
        <v>18967</v>
      </c>
      <c r="D10023" s="16"/>
      <c r="E10023">
        <v>6</v>
      </c>
      <c r="F10023" t="s">
        <v>4680</v>
      </c>
      <c r="G10023">
        <v>1</v>
      </c>
      <c r="H10023">
        <v>1</v>
      </c>
      <c r="I10023">
        <f>1</f>
        <v>1</v>
      </c>
    </row>
    <row r="10024" spans="2:9" x14ac:dyDescent="0.25">
      <c r="B10024">
        <v>0</v>
      </c>
      <c r="C10024" s="16" t="s">
        <v>18968</v>
      </c>
      <c r="D10024" s="16"/>
      <c r="E10024">
        <v>6</v>
      </c>
      <c r="F10024" t="e">
        <f>--outros</f>
        <v>#NAME?</v>
      </c>
      <c r="G10024">
        <v>1</v>
      </c>
      <c r="H10024">
        <v>1</v>
      </c>
      <c r="I10024">
        <f>1</f>
        <v>1</v>
      </c>
    </row>
    <row r="10025" spans="2:9" x14ac:dyDescent="0.25">
      <c r="B10025">
        <v>0</v>
      </c>
      <c r="C10025" s="16" t="s">
        <v>18969</v>
      </c>
      <c r="D10025" s="16"/>
      <c r="E10025">
        <v>6</v>
      </c>
      <c r="F10025" t="s">
        <v>9155</v>
      </c>
      <c r="G10025">
        <v>1</v>
      </c>
      <c r="H10025">
        <v>1</v>
      </c>
      <c r="I10025">
        <f>1</f>
        <v>1</v>
      </c>
    </row>
    <row r="10026" spans="2:9" x14ac:dyDescent="0.25">
      <c r="B10026">
        <v>0</v>
      </c>
      <c r="C10026" s="16" t="s">
        <v>18970</v>
      </c>
      <c r="D10026" s="16"/>
      <c r="E10026">
        <v>6</v>
      </c>
      <c r="F10026" t="s">
        <v>9156</v>
      </c>
      <c r="G10026">
        <v>1</v>
      </c>
      <c r="H10026">
        <v>1</v>
      </c>
      <c r="I10026">
        <f>1</f>
        <v>1</v>
      </c>
    </row>
    <row r="10027" spans="2:9" x14ac:dyDescent="0.25">
      <c r="B10027">
        <v>0</v>
      </c>
      <c r="C10027" s="16" t="s">
        <v>18971</v>
      </c>
      <c r="D10027" s="16"/>
      <c r="E10027">
        <v>6</v>
      </c>
      <c r="F10027" t="s">
        <v>4690</v>
      </c>
      <c r="G10027">
        <v>1</v>
      </c>
      <c r="H10027">
        <v>1</v>
      </c>
      <c r="I10027">
        <f>1</f>
        <v>1</v>
      </c>
    </row>
    <row r="10028" spans="2:9" x14ac:dyDescent="0.25">
      <c r="B10028">
        <v>0</v>
      </c>
      <c r="C10028" s="16" t="s">
        <v>18972</v>
      </c>
      <c r="D10028" s="16"/>
      <c r="E10028">
        <v>6</v>
      </c>
      <c r="F10028" t="s">
        <v>9157</v>
      </c>
      <c r="G10028">
        <v>1</v>
      </c>
      <c r="H10028">
        <v>1</v>
      </c>
      <c r="I10028">
        <f>1</f>
        <v>1</v>
      </c>
    </row>
    <row r="10029" spans="2:9" x14ac:dyDescent="0.25">
      <c r="B10029">
        <v>0</v>
      </c>
      <c r="C10029" s="16" t="s">
        <v>18973</v>
      </c>
      <c r="D10029" s="16"/>
      <c r="E10029">
        <v>6</v>
      </c>
      <c r="F10029" t="s">
        <v>4690</v>
      </c>
      <c r="G10029">
        <v>1</v>
      </c>
      <c r="H10029">
        <v>1</v>
      </c>
      <c r="I10029">
        <f>1</f>
        <v>1</v>
      </c>
    </row>
    <row r="10030" spans="2:9" x14ac:dyDescent="0.25">
      <c r="B10030">
        <v>0</v>
      </c>
      <c r="C10030" s="16" t="s">
        <v>18974</v>
      </c>
      <c r="D10030" s="16"/>
      <c r="E10030">
        <v>6</v>
      </c>
      <c r="F10030" t="s">
        <v>9158</v>
      </c>
      <c r="G10030">
        <v>1</v>
      </c>
      <c r="H10030">
        <v>1</v>
      </c>
      <c r="I10030">
        <f>1</f>
        <v>1</v>
      </c>
    </row>
    <row r="10031" spans="2:9" x14ac:dyDescent="0.25">
      <c r="B10031">
        <v>0</v>
      </c>
      <c r="C10031" s="16" t="s">
        <v>18975</v>
      </c>
      <c r="D10031" s="16"/>
      <c r="E10031">
        <v>6</v>
      </c>
      <c r="F10031" t="s">
        <v>9159</v>
      </c>
      <c r="G10031">
        <v>1</v>
      </c>
      <c r="H10031">
        <v>1</v>
      </c>
      <c r="I10031">
        <f>1</f>
        <v>1</v>
      </c>
    </row>
    <row r="10032" spans="2:9" x14ac:dyDescent="0.25">
      <c r="B10032">
        <v>0</v>
      </c>
      <c r="C10032" s="16" t="s">
        <v>18976</v>
      </c>
      <c r="D10032" s="16"/>
      <c r="E10032">
        <v>6</v>
      </c>
      <c r="F10032" t="s">
        <v>9160</v>
      </c>
      <c r="G10032">
        <v>1</v>
      </c>
      <c r="H10032">
        <v>1</v>
      </c>
      <c r="I10032">
        <f>1</f>
        <v>1</v>
      </c>
    </row>
    <row r="10033" spans="2:9" x14ac:dyDescent="0.25">
      <c r="B10033">
        <v>0</v>
      </c>
      <c r="C10033" s="16" t="s">
        <v>18977</v>
      </c>
      <c r="D10033" s="16"/>
      <c r="E10033">
        <v>6</v>
      </c>
      <c r="F10033" t="s">
        <v>4680</v>
      </c>
      <c r="G10033">
        <v>1</v>
      </c>
      <c r="H10033">
        <v>1</v>
      </c>
      <c r="I10033">
        <f>1</f>
        <v>1</v>
      </c>
    </row>
    <row r="10034" spans="2:9" x14ac:dyDescent="0.25">
      <c r="B10034">
        <v>0</v>
      </c>
      <c r="C10034" s="16" t="s">
        <v>18978</v>
      </c>
      <c r="D10034" s="16"/>
      <c r="E10034">
        <v>6</v>
      </c>
      <c r="F10034" t="s">
        <v>9161</v>
      </c>
      <c r="G10034">
        <v>1</v>
      </c>
      <c r="H10034">
        <v>1</v>
      </c>
      <c r="I10034">
        <f>1</f>
        <v>1</v>
      </c>
    </row>
    <row r="10035" spans="2:9" x14ac:dyDescent="0.25">
      <c r="B10035">
        <v>0</v>
      </c>
      <c r="C10035" s="16" t="s">
        <v>18979</v>
      </c>
      <c r="D10035" s="16"/>
      <c r="E10035">
        <v>6</v>
      </c>
      <c r="F10035" t="s">
        <v>4680</v>
      </c>
      <c r="G10035">
        <v>1</v>
      </c>
      <c r="H10035">
        <v>1</v>
      </c>
      <c r="I10035">
        <f>1</f>
        <v>1</v>
      </c>
    </row>
    <row r="10036" spans="2:9" x14ac:dyDescent="0.25">
      <c r="B10036">
        <v>0</v>
      </c>
      <c r="C10036" s="16" t="s">
        <v>18980</v>
      </c>
      <c r="D10036" s="16"/>
      <c r="E10036">
        <v>6</v>
      </c>
      <c r="F10036" t="s">
        <v>9162</v>
      </c>
      <c r="G10036">
        <v>1</v>
      </c>
      <c r="H10036">
        <v>1</v>
      </c>
      <c r="I10036">
        <f>1</f>
        <v>1</v>
      </c>
    </row>
    <row r="10037" spans="2:9" x14ac:dyDescent="0.25">
      <c r="B10037">
        <v>0</v>
      </c>
      <c r="C10037" s="16" t="s">
        <v>18981</v>
      </c>
      <c r="D10037" s="16"/>
      <c r="E10037">
        <v>6</v>
      </c>
      <c r="F10037" t="s">
        <v>9163</v>
      </c>
      <c r="G10037">
        <v>1</v>
      </c>
      <c r="H10037">
        <v>1</v>
      </c>
      <c r="I10037">
        <f>1</f>
        <v>1</v>
      </c>
    </row>
    <row r="10038" spans="2:9" x14ac:dyDescent="0.25">
      <c r="B10038">
        <v>0</v>
      </c>
      <c r="C10038" s="16" t="s">
        <v>18982</v>
      </c>
      <c r="D10038" s="16"/>
      <c r="E10038">
        <v>6</v>
      </c>
      <c r="F10038" t="s">
        <v>9164</v>
      </c>
      <c r="G10038">
        <v>1</v>
      </c>
      <c r="H10038">
        <v>1</v>
      </c>
      <c r="I10038">
        <f>1</f>
        <v>1</v>
      </c>
    </row>
    <row r="10039" spans="2:9" x14ac:dyDescent="0.25">
      <c r="B10039">
        <v>0</v>
      </c>
      <c r="C10039" s="16" t="s">
        <v>18983</v>
      </c>
      <c r="D10039" s="16"/>
      <c r="E10039">
        <v>6</v>
      </c>
      <c r="F10039" t="s">
        <v>4680</v>
      </c>
      <c r="G10039">
        <v>1</v>
      </c>
      <c r="H10039">
        <v>1</v>
      </c>
      <c r="I10039">
        <f>1</f>
        <v>1</v>
      </c>
    </row>
    <row r="10040" spans="2:9" x14ac:dyDescent="0.25">
      <c r="B10040">
        <v>0</v>
      </c>
      <c r="C10040" s="16" t="s">
        <v>18984</v>
      </c>
      <c r="D10040" s="16"/>
      <c r="E10040">
        <v>6</v>
      </c>
      <c r="F10040" t="s">
        <v>9165</v>
      </c>
      <c r="G10040">
        <v>1</v>
      </c>
      <c r="H10040">
        <v>1</v>
      </c>
      <c r="I10040">
        <f>1</f>
        <v>1</v>
      </c>
    </row>
    <row r="10041" spans="2:9" x14ac:dyDescent="0.25">
      <c r="B10041">
        <v>0</v>
      </c>
      <c r="C10041" s="16" t="s">
        <v>18985</v>
      </c>
      <c r="D10041" s="16"/>
      <c r="E10041">
        <v>6</v>
      </c>
      <c r="F10041" t="s">
        <v>9166</v>
      </c>
      <c r="G10041">
        <v>1</v>
      </c>
      <c r="H10041">
        <v>1</v>
      </c>
      <c r="I10041">
        <f>1</f>
        <v>1</v>
      </c>
    </row>
    <row r="10042" spans="2:9" x14ac:dyDescent="0.25">
      <c r="B10042">
        <v>0</v>
      </c>
      <c r="C10042" s="16" t="s">
        <v>18986</v>
      </c>
      <c r="D10042" s="16"/>
      <c r="E10042">
        <v>6</v>
      </c>
      <c r="F10042" t="s">
        <v>4680</v>
      </c>
      <c r="G10042">
        <v>1</v>
      </c>
      <c r="H10042">
        <v>1</v>
      </c>
      <c r="I10042">
        <f>1</f>
        <v>1</v>
      </c>
    </row>
    <row r="10043" spans="2:9" x14ac:dyDescent="0.25">
      <c r="B10043">
        <v>0</v>
      </c>
      <c r="C10043" s="16" t="s">
        <v>18987</v>
      </c>
      <c r="D10043" s="16"/>
      <c r="E10043">
        <v>6</v>
      </c>
      <c r="F10043" t="s">
        <v>9167</v>
      </c>
      <c r="G10043">
        <v>1</v>
      </c>
      <c r="H10043">
        <v>1</v>
      </c>
      <c r="I10043">
        <f>1</f>
        <v>1</v>
      </c>
    </row>
    <row r="10044" spans="2:9" x14ac:dyDescent="0.25">
      <c r="B10044">
        <v>0</v>
      </c>
      <c r="C10044" s="16" t="s">
        <v>18988</v>
      </c>
      <c r="D10044" s="16"/>
      <c r="E10044">
        <v>6</v>
      </c>
      <c r="F10044" t="s">
        <v>9168</v>
      </c>
      <c r="G10044">
        <v>1</v>
      </c>
      <c r="H10044">
        <v>1</v>
      </c>
      <c r="I10044">
        <f>1</f>
        <v>1</v>
      </c>
    </row>
    <row r="10045" spans="2:9" x14ac:dyDescent="0.25">
      <c r="B10045">
        <v>0</v>
      </c>
      <c r="C10045" s="16" t="s">
        <v>18989</v>
      </c>
      <c r="D10045" s="16"/>
      <c r="E10045">
        <v>6</v>
      </c>
      <c r="F10045" t="s">
        <v>4680</v>
      </c>
      <c r="G10045">
        <v>1</v>
      </c>
      <c r="H10045">
        <v>1</v>
      </c>
      <c r="I10045">
        <f>1</f>
        <v>1</v>
      </c>
    </row>
    <row r="10046" spans="2:9" x14ac:dyDescent="0.25">
      <c r="B10046">
        <v>0</v>
      </c>
      <c r="C10046" s="16" t="s">
        <v>18990</v>
      </c>
      <c r="D10046" s="16"/>
      <c r="E10046">
        <v>6</v>
      </c>
      <c r="F10046" t="e">
        <f>--aparelhos De tomografia computadorizada</f>
        <v>#NAME?</v>
      </c>
      <c r="G10046">
        <v>1</v>
      </c>
      <c r="H10046">
        <v>1</v>
      </c>
      <c r="I10046">
        <f>1</f>
        <v>1</v>
      </c>
    </row>
    <row r="10047" spans="2:9" x14ac:dyDescent="0.25">
      <c r="B10047">
        <v>0</v>
      </c>
      <c r="C10047" s="16" t="s">
        <v>18991</v>
      </c>
      <c r="D10047" s="16"/>
      <c r="E10047">
        <v>6</v>
      </c>
      <c r="F10047" t="s">
        <v>9169</v>
      </c>
      <c r="G10047">
        <v>1</v>
      </c>
      <c r="H10047">
        <v>1</v>
      </c>
      <c r="I10047">
        <f>1</f>
        <v>1</v>
      </c>
    </row>
    <row r="10048" spans="2:9" x14ac:dyDescent="0.25">
      <c r="B10048">
        <v>0</v>
      </c>
      <c r="C10048" s="16" t="s">
        <v>18992</v>
      </c>
      <c r="D10048" s="16"/>
      <c r="E10048">
        <v>6</v>
      </c>
      <c r="F10048" t="s">
        <v>4680</v>
      </c>
      <c r="G10048">
        <v>1</v>
      </c>
      <c r="H10048">
        <v>1</v>
      </c>
      <c r="I10048">
        <f>1</f>
        <v>1</v>
      </c>
    </row>
    <row r="10049" spans="2:9" x14ac:dyDescent="0.25">
      <c r="B10049">
        <v>0</v>
      </c>
      <c r="C10049" s="16" t="s">
        <v>18993</v>
      </c>
      <c r="D10049" s="16"/>
      <c r="E10049">
        <v>6</v>
      </c>
      <c r="F10049" t="s">
        <v>4680</v>
      </c>
      <c r="G10049">
        <v>1</v>
      </c>
      <c r="H10049">
        <v>1</v>
      </c>
      <c r="I10049">
        <f>1</f>
        <v>1</v>
      </c>
    </row>
    <row r="10050" spans="2:9" x14ac:dyDescent="0.25">
      <c r="B10050">
        <v>0</v>
      </c>
      <c r="C10050" s="16" t="s">
        <v>18994</v>
      </c>
      <c r="D10050" s="16"/>
      <c r="E10050">
        <v>6</v>
      </c>
      <c r="F10050" t="s">
        <v>9170</v>
      </c>
      <c r="G10050">
        <v>1</v>
      </c>
      <c r="H10050">
        <v>1</v>
      </c>
      <c r="I10050">
        <f>1</f>
        <v>1</v>
      </c>
    </row>
    <row r="10051" spans="2:9" x14ac:dyDescent="0.25">
      <c r="B10051">
        <v>0</v>
      </c>
      <c r="C10051" s="16" t="s">
        <v>18995</v>
      </c>
      <c r="D10051" s="16"/>
      <c r="E10051">
        <v>6</v>
      </c>
      <c r="F10051" t="s">
        <v>9171</v>
      </c>
      <c r="G10051">
        <v>1</v>
      </c>
      <c r="H10051">
        <v>1</v>
      </c>
      <c r="I10051">
        <f>1</f>
        <v>1</v>
      </c>
    </row>
    <row r="10052" spans="2:9" x14ac:dyDescent="0.25">
      <c r="B10052">
        <v>0</v>
      </c>
      <c r="C10052" s="16" t="s">
        <v>18996</v>
      </c>
      <c r="D10052" s="16"/>
      <c r="E10052">
        <v>6</v>
      </c>
      <c r="F10052" t="s">
        <v>9172</v>
      </c>
      <c r="G10052">
        <v>1</v>
      </c>
      <c r="H10052">
        <v>1</v>
      </c>
      <c r="I10052">
        <f>1</f>
        <v>1</v>
      </c>
    </row>
    <row r="10053" spans="2:9" x14ac:dyDescent="0.25">
      <c r="B10053">
        <v>0</v>
      </c>
      <c r="C10053" s="16" t="s">
        <v>18997</v>
      </c>
      <c r="D10053" s="16"/>
      <c r="E10053">
        <v>6</v>
      </c>
      <c r="F10053" t="s">
        <v>4680</v>
      </c>
      <c r="G10053">
        <v>1</v>
      </c>
      <c r="H10053">
        <v>1</v>
      </c>
      <c r="I10053">
        <f>1</f>
        <v>1</v>
      </c>
    </row>
    <row r="10054" spans="2:9" x14ac:dyDescent="0.25">
      <c r="B10054">
        <v>0</v>
      </c>
      <c r="C10054" s="16" t="s">
        <v>18998</v>
      </c>
      <c r="D10054" s="16"/>
      <c r="E10054">
        <v>6</v>
      </c>
      <c r="F10054" t="s">
        <v>4680</v>
      </c>
      <c r="G10054">
        <v>1</v>
      </c>
      <c r="H10054">
        <v>1</v>
      </c>
      <c r="I10054">
        <f>1</f>
        <v>1</v>
      </c>
    </row>
    <row r="10055" spans="2:9" x14ac:dyDescent="0.25">
      <c r="B10055">
        <v>0</v>
      </c>
      <c r="C10055" s="16" t="s">
        <v>18999</v>
      </c>
      <c r="D10055" s="16"/>
      <c r="E10055">
        <v>6</v>
      </c>
      <c r="F10055" t="s">
        <v>9173</v>
      </c>
      <c r="G10055">
        <v>1</v>
      </c>
      <c r="H10055">
        <v>1</v>
      </c>
      <c r="I10055">
        <f>1</f>
        <v>1</v>
      </c>
    </row>
    <row r="10056" spans="2:9" x14ac:dyDescent="0.25">
      <c r="B10056">
        <v>0</v>
      </c>
      <c r="C10056" s="16" t="s">
        <v>19000</v>
      </c>
      <c r="D10056" s="16"/>
      <c r="E10056">
        <v>6</v>
      </c>
      <c r="F10056" t="s">
        <v>9174</v>
      </c>
      <c r="G10056">
        <v>1</v>
      </c>
      <c r="H10056">
        <v>1</v>
      </c>
      <c r="I10056">
        <f>1</f>
        <v>1</v>
      </c>
    </row>
    <row r="10057" spans="2:9" x14ac:dyDescent="0.25">
      <c r="B10057">
        <v>0</v>
      </c>
      <c r="C10057" s="16" t="s">
        <v>19001</v>
      </c>
      <c r="D10057" s="16"/>
      <c r="E10057">
        <v>6</v>
      </c>
      <c r="F10057" t="s">
        <v>4680</v>
      </c>
      <c r="G10057">
        <v>1</v>
      </c>
      <c r="H10057">
        <v>1</v>
      </c>
      <c r="I10057">
        <f>1</f>
        <v>1</v>
      </c>
    </row>
    <row r="10058" spans="2:9" x14ac:dyDescent="0.25">
      <c r="B10058">
        <v>0</v>
      </c>
      <c r="C10058" s="16" t="s">
        <v>19002</v>
      </c>
      <c r="D10058" s="16"/>
      <c r="E10058">
        <v>6</v>
      </c>
      <c r="F10058" t="s">
        <v>9175</v>
      </c>
      <c r="G10058">
        <v>1</v>
      </c>
      <c r="H10058">
        <v>1</v>
      </c>
      <c r="I10058">
        <f>1</f>
        <v>1</v>
      </c>
    </row>
    <row r="10059" spans="2:9" x14ac:dyDescent="0.25">
      <c r="B10059">
        <v>0</v>
      </c>
      <c r="C10059" s="16" t="s">
        <v>19003</v>
      </c>
      <c r="D10059" s="16"/>
      <c r="E10059">
        <v>6</v>
      </c>
      <c r="F10059" t="s">
        <v>9176</v>
      </c>
      <c r="G10059">
        <v>1</v>
      </c>
      <c r="H10059">
        <v>1</v>
      </c>
      <c r="I10059">
        <f>1</f>
        <v>1</v>
      </c>
    </row>
    <row r="10060" spans="2:9" x14ac:dyDescent="0.25">
      <c r="B10060">
        <v>0</v>
      </c>
      <c r="C10060" s="16" t="s">
        <v>19004</v>
      </c>
      <c r="D10060" s="16"/>
      <c r="E10060">
        <v>6</v>
      </c>
      <c r="F10060" t="s">
        <v>4680</v>
      </c>
      <c r="G10060">
        <v>1</v>
      </c>
      <c r="H10060">
        <v>1</v>
      </c>
      <c r="I10060">
        <f>1</f>
        <v>1</v>
      </c>
    </row>
    <row r="10061" spans="2:9" x14ac:dyDescent="0.25">
      <c r="B10061">
        <v>0</v>
      </c>
      <c r="C10061" s="16" t="s">
        <v>19005</v>
      </c>
      <c r="D10061" s="16"/>
      <c r="E10061">
        <v>6</v>
      </c>
      <c r="F10061" t="s">
        <v>9177</v>
      </c>
      <c r="G10061">
        <v>1</v>
      </c>
      <c r="H10061">
        <v>1</v>
      </c>
      <c r="I10061">
        <f>1</f>
        <v>1</v>
      </c>
    </row>
    <row r="10062" spans="2:9" x14ac:dyDescent="0.25">
      <c r="B10062">
        <v>0</v>
      </c>
      <c r="C10062" s="16" t="s">
        <v>19006</v>
      </c>
      <c r="D10062" s="16"/>
      <c r="E10062">
        <v>6</v>
      </c>
      <c r="F10062" t="s">
        <v>4680</v>
      </c>
      <c r="G10062">
        <v>1</v>
      </c>
      <c r="H10062">
        <v>1</v>
      </c>
      <c r="I10062">
        <f>1</f>
        <v>1</v>
      </c>
    </row>
    <row r="10063" spans="2:9" x14ac:dyDescent="0.25">
      <c r="B10063">
        <v>0</v>
      </c>
      <c r="C10063" s="16" t="s">
        <v>19007</v>
      </c>
      <c r="D10063" s="16"/>
      <c r="E10063">
        <v>6</v>
      </c>
      <c r="F10063" t="e">
        <f>-Tubos De raios X</f>
        <v>#NAME?</v>
      </c>
      <c r="G10063">
        <v>1</v>
      </c>
      <c r="H10063">
        <v>1</v>
      </c>
      <c r="I10063">
        <f>1</f>
        <v>1</v>
      </c>
    </row>
    <row r="10064" spans="2:9" x14ac:dyDescent="0.25">
      <c r="B10064">
        <v>0</v>
      </c>
      <c r="C10064" s="16" t="s">
        <v>19008</v>
      </c>
      <c r="D10064" s="16"/>
      <c r="E10064">
        <v>6</v>
      </c>
      <c r="F10064" t="s">
        <v>9178</v>
      </c>
      <c r="G10064">
        <v>1</v>
      </c>
      <c r="H10064">
        <v>1</v>
      </c>
      <c r="I10064">
        <f>1</f>
        <v>1</v>
      </c>
    </row>
    <row r="10065" spans="2:9" x14ac:dyDescent="0.25">
      <c r="B10065">
        <v>0</v>
      </c>
      <c r="C10065" s="16" t="s">
        <v>19009</v>
      </c>
      <c r="D10065" s="16"/>
      <c r="E10065">
        <v>6</v>
      </c>
      <c r="F10065" t="s">
        <v>9179</v>
      </c>
      <c r="G10065">
        <v>1</v>
      </c>
      <c r="H10065">
        <v>1</v>
      </c>
      <c r="I10065">
        <f>1</f>
        <v>1</v>
      </c>
    </row>
    <row r="10066" spans="2:9" x14ac:dyDescent="0.25">
      <c r="B10066">
        <v>0</v>
      </c>
      <c r="C10066" s="16" t="s">
        <v>19010</v>
      </c>
      <c r="D10066" s="16"/>
      <c r="E10066">
        <v>6</v>
      </c>
      <c r="F10066" t="s">
        <v>4680</v>
      </c>
      <c r="G10066">
        <v>1</v>
      </c>
      <c r="H10066">
        <v>1</v>
      </c>
      <c r="I10066">
        <f>1</f>
        <v>1</v>
      </c>
    </row>
    <row r="10067" spans="2:9" x14ac:dyDescent="0.25">
      <c r="B10067">
        <v>0</v>
      </c>
      <c r="C10067" s="16" t="s">
        <v>19011</v>
      </c>
      <c r="D10067" s="16"/>
      <c r="E10067">
        <v>6</v>
      </c>
      <c r="F10067" t="s">
        <v>4680</v>
      </c>
      <c r="G10067">
        <v>1</v>
      </c>
      <c r="H10067">
        <v>1</v>
      </c>
      <c r="I10067">
        <f>1</f>
        <v>1</v>
      </c>
    </row>
    <row r="10068" spans="2:9" x14ac:dyDescent="0.25">
      <c r="B10068">
        <v>0</v>
      </c>
      <c r="C10068" s="16" t="s">
        <v>19012</v>
      </c>
      <c r="D10068" s="16"/>
      <c r="E10068">
        <v>6</v>
      </c>
      <c r="F10068" t="s">
        <v>9180</v>
      </c>
      <c r="G10068">
        <v>1</v>
      </c>
      <c r="H10068">
        <v>1</v>
      </c>
      <c r="I10068">
        <f>1</f>
        <v>1</v>
      </c>
    </row>
    <row r="10069" spans="2:9" x14ac:dyDescent="0.25">
      <c r="B10069">
        <v>0</v>
      </c>
      <c r="C10069" s="16" t="s">
        <v>19013</v>
      </c>
      <c r="D10069" s="16"/>
      <c r="E10069">
        <v>6</v>
      </c>
      <c r="F10069" t="s">
        <v>9181</v>
      </c>
      <c r="G10069">
        <v>1</v>
      </c>
      <c r="H10069">
        <v>1</v>
      </c>
      <c r="I10069">
        <f>1</f>
        <v>1</v>
      </c>
    </row>
    <row r="10070" spans="2:9" x14ac:dyDescent="0.25">
      <c r="B10070">
        <v>0</v>
      </c>
      <c r="C10070" s="16" t="s">
        <v>19013</v>
      </c>
      <c r="D10070" s="16" t="s">
        <v>19430</v>
      </c>
      <c r="E10070">
        <v>6</v>
      </c>
      <c r="F10070" t="s">
        <v>9182</v>
      </c>
      <c r="G10070">
        <v>1</v>
      </c>
      <c r="H10070">
        <v>1</v>
      </c>
      <c r="I10070">
        <f>1</f>
        <v>1</v>
      </c>
    </row>
    <row r="10071" spans="2:9" x14ac:dyDescent="0.25">
      <c r="B10071">
        <v>0</v>
      </c>
      <c r="C10071" s="16" t="s">
        <v>19013</v>
      </c>
      <c r="D10071" s="16" t="s">
        <v>19431</v>
      </c>
      <c r="E10071">
        <v>6</v>
      </c>
      <c r="F10071" t="s">
        <v>9183</v>
      </c>
      <c r="G10071">
        <v>1</v>
      </c>
      <c r="H10071">
        <v>1</v>
      </c>
      <c r="I10071">
        <f>1</f>
        <v>1</v>
      </c>
    </row>
    <row r="10072" spans="2:9" x14ac:dyDescent="0.25">
      <c r="B10072">
        <v>0</v>
      </c>
      <c r="C10072" s="16" t="s">
        <v>19014</v>
      </c>
      <c r="D10072" s="16"/>
      <c r="E10072">
        <v>6</v>
      </c>
      <c r="F10072" t="s">
        <v>9184</v>
      </c>
      <c r="G10072">
        <v>1</v>
      </c>
      <c r="H10072">
        <v>1</v>
      </c>
      <c r="I10072">
        <f>1</f>
        <v>1</v>
      </c>
    </row>
    <row r="10073" spans="2:9" x14ac:dyDescent="0.25">
      <c r="B10073">
        <v>0</v>
      </c>
      <c r="C10073" s="16" t="s">
        <v>19015</v>
      </c>
      <c r="D10073" s="16"/>
      <c r="E10073">
        <v>6</v>
      </c>
      <c r="F10073" t="s">
        <v>9185</v>
      </c>
      <c r="G10073">
        <v>1</v>
      </c>
      <c r="H10073">
        <v>1</v>
      </c>
      <c r="I10073">
        <f>1</f>
        <v>1</v>
      </c>
    </row>
    <row r="10074" spans="2:9" x14ac:dyDescent="0.25">
      <c r="B10074">
        <v>0</v>
      </c>
      <c r="C10074" s="16" t="s">
        <v>19016</v>
      </c>
      <c r="D10074" s="16"/>
      <c r="E10074">
        <v>6</v>
      </c>
      <c r="F10074" t="s">
        <v>4680</v>
      </c>
      <c r="G10074">
        <v>1</v>
      </c>
      <c r="H10074">
        <v>1</v>
      </c>
      <c r="I10074">
        <f>1</f>
        <v>1</v>
      </c>
    </row>
    <row r="10075" spans="2:9" x14ac:dyDescent="0.25">
      <c r="B10075">
        <v>0</v>
      </c>
      <c r="C10075" s="16" t="s">
        <v>19017</v>
      </c>
      <c r="D10075" s="16"/>
      <c r="E10075">
        <v>6</v>
      </c>
      <c r="F10075" t="s">
        <v>9186</v>
      </c>
      <c r="G10075">
        <v>1</v>
      </c>
      <c r="H10075">
        <v>1</v>
      </c>
      <c r="I10075">
        <f>1</f>
        <v>1</v>
      </c>
    </row>
    <row r="10076" spans="2:9" x14ac:dyDescent="0.25">
      <c r="B10076">
        <v>0</v>
      </c>
      <c r="C10076" s="16" t="s">
        <v>19018</v>
      </c>
      <c r="D10076" s="16"/>
      <c r="E10076">
        <v>6</v>
      </c>
      <c r="F10076" t="s">
        <v>4680</v>
      </c>
      <c r="G10076">
        <v>1</v>
      </c>
      <c r="H10076">
        <v>1</v>
      </c>
      <c r="I10076">
        <f>1</f>
        <v>1</v>
      </c>
    </row>
    <row r="10077" spans="2:9" x14ac:dyDescent="0.25">
      <c r="B10077">
        <v>0</v>
      </c>
      <c r="C10077" s="16" t="s">
        <v>19019</v>
      </c>
      <c r="D10077" s="16"/>
      <c r="E10077">
        <v>6</v>
      </c>
      <c r="F10077" t="s">
        <v>9187</v>
      </c>
      <c r="G10077">
        <v>1</v>
      </c>
      <c r="H10077">
        <v>1</v>
      </c>
      <c r="I10077">
        <f>1</f>
        <v>1</v>
      </c>
    </row>
    <row r="10078" spans="2:9" x14ac:dyDescent="0.25">
      <c r="B10078">
        <v>0</v>
      </c>
      <c r="C10078" s="16" t="s">
        <v>19020</v>
      </c>
      <c r="D10078" s="16"/>
      <c r="E10078">
        <v>6</v>
      </c>
      <c r="F10078" t="s">
        <v>4680</v>
      </c>
      <c r="G10078">
        <v>1</v>
      </c>
      <c r="H10078">
        <v>1</v>
      </c>
      <c r="I10078">
        <f>1</f>
        <v>1</v>
      </c>
    </row>
    <row r="10079" spans="2:9" x14ac:dyDescent="0.25">
      <c r="B10079">
        <v>0</v>
      </c>
      <c r="C10079" s="16" t="s">
        <v>19021</v>
      </c>
      <c r="D10079" s="16"/>
      <c r="E10079">
        <v>6</v>
      </c>
      <c r="F10079" t="s">
        <v>4680</v>
      </c>
      <c r="G10079">
        <v>1</v>
      </c>
      <c r="H10079">
        <v>1</v>
      </c>
      <c r="I10079">
        <f>1</f>
        <v>1</v>
      </c>
    </row>
    <row r="10080" spans="2:9" x14ac:dyDescent="0.25">
      <c r="B10080">
        <v>0</v>
      </c>
      <c r="C10080" s="16" t="s">
        <v>19022</v>
      </c>
      <c r="D10080" s="16"/>
      <c r="E10080">
        <v>6</v>
      </c>
      <c r="F10080" t="e">
        <f>-Partes e acessórios</f>
        <v>#NAME?</v>
      </c>
      <c r="G10080">
        <v>1</v>
      </c>
      <c r="H10080">
        <v>1</v>
      </c>
      <c r="I10080">
        <f>1</f>
        <v>1</v>
      </c>
    </row>
    <row r="10081" spans="2:9" x14ac:dyDescent="0.25">
      <c r="B10081">
        <v>0</v>
      </c>
      <c r="C10081" s="16" t="s">
        <v>19023</v>
      </c>
      <c r="D10081" s="16"/>
      <c r="E10081">
        <v>6</v>
      </c>
      <c r="F10081" t="s">
        <v>9188</v>
      </c>
      <c r="G10081">
        <v>1</v>
      </c>
      <c r="H10081">
        <v>1</v>
      </c>
      <c r="I10081">
        <f>1</f>
        <v>1</v>
      </c>
    </row>
    <row r="10082" spans="2:9" x14ac:dyDescent="0.25">
      <c r="B10082">
        <v>0</v>
      </c>
      <c r="C10082" s="16" t="s">
        <v>19024</v>
      </c>
      <c r="D10082" s="16"/>
      <c r="E10082">
        <v>6</v>
      </c>
      <c r="F10082" t="s">
        <v>4680</v>
      </c>
      <c r="G10082">
        <v>1</v>
      </c>
      <c r="H10082">
        <v>1</v>
      </c>
      <c r="I10082">
        <f>1</f>
        <v>1</v>
      </c>
    </row>
    <row r="10083" spans="2:9" x14ac:dyDescent="0.25">
      <c r="B10083">
        <v>0</v>
      </c>
      <c r="C10083" s="16" t="s">
        <v>19025</v>
      </c>
      <c r="D10083" s="16"/>
      <c r="E10083">
        <v>6</v>
      </c>
      <c r="F10083" t="s">
        <v>9189</v>
      </c>
      <c r="G10083">
        <v>1</v>
      </c>
      <c r="H10083">
        <v>1</v>
      </c>
      <c r="I10083">
        <f>1</f>
        <v>1</v>
      </c>
    </row>
    <row r="10084" spans="2:9" x14ac:dyDescent="0.25">
      <c r="B10084">
        <v>0</v>
      </c>
      <c r="C10084" s="16" t="s">
        <v>19026</v>
      </c>
      <c r="D10084" s="16"/>
      <c r="E10084">
        <v>6</v>
      </c>
      <c r="F10084" t="s">
        <v>4680</v>
      </c>
      <c r="G10084">
        <v>1</v>
      </c>
      <c r="H10084">
        <v>1</v>
      </c>
      <c r="I10084">
        <f>1</f>
        <v>1</v>
      </c>
    </row>
    <row r="10085" spans="2:9" x14ac:dyDescent="0.25">
      <c r="B10085">
        <v>0</v>
      </c>
      <c r="C10085" s="16" t="s">
        <v>19027</v>
      </c>
      <c r="D10085" s="16"/>
      <c r="E10085">
        <v>6</v>
      </c>
      <c r="F10085" t="e">
        <f>-outros instrumentos</f>
        <v>#NAME?</v>
      </c>
      <c r="G10085">
        <v>1</v>
      </c>
      <c r="H10085">
        <v>1</v>
      </c>
      <c r="I10085">
        <f>1</f>
        <v>1</v>
      </c>
    </row>
    <row r="10086" spans="2:9" x14ac:dyDescent="0.25">
      <c r="B10086">
        <v>0</v>
      </c>
      <c r="C10086" s="16" t="s">
        <v>19028</v>
      </c>
      <c r="D10086" s="16"/>
      <c r="E10086">
        <v>6</v>
      </c>
      <c r="F10086" t="s">
        <v>9190</v>
      </c>
      <c r="G10086">
        <v>1</v>
      </c>
      <c r="H10086">
        <v>1</v>
      </c>
      <c r="I10086">
        <f>1</f>
        <v>1</v>
      </c>
    </row>
    <row r="10087" spans="2:9" x14ac:dyDescent="0.25">
      <c r="B10087">
        <v>0</v>
      </c>
      <c r="C10087" s="16" t="s">
        <v>19029</v>
      </c>
      <c r="D10087" s="16"/>
      <c r="E10087">
        <v>6</v>
      </c>
      <c r="F10087" t="s">
        <v>4680</v>
      </c>
      <c r="G10087">
        <v>1</v>
      </c>
      <c r="H10087">
        <v>1</v>
      </c>
      <c r="I10087">
        <f>1</f>
        <v>1</v>
      </c>
    </row>
    <row r="10088" spans="2:9" x14ac:dyDescent="0.25">
      <c r="B10088">
        <v>0</v>
      </c>
      <c r="C10088" s="16" t="s">
        <v>19030</v>
      </c>
      <c r="D10088" s="16"/>
      <c r="E10088">
        <v>6</v>
      </c>
      <c r="F10088" t="s">
        <v>9191</v>
      </c>
      <c r="G10088">
        <v>1</v>
      </c>
      <c r="H10088">
        <v>1</v>
      </c>
      <c r="I10088">
        <f>1</f>
        <v>1</v>
      </c>
    </row>
    <row r="10089" spans="2:9" x14ac:dyDescent="0.25">
      <c r="B10089">
        <v>0</v>
      </c>
      <c r="C10089" s="16" t="s">
        <v>19031</v>
      </c>
      <c r="D10089" s="16"/>
      <c r="E10089">
        <v>6</v>
      </c>
      <c r="F10089" t="s">
        <v>4680</v>
      </c>
      <c r="G10089">
        <v>1</v>
      </c>
      <c r="H10089">
        <v>1</v>
      </c>
      <c r="I10089">
        <f>1</f>
        <v>1</v>
      </c>
    </row>
    <row r="10090" spans="2:9" x14ac:dyDescent="0.25">
      <c r="B10090">
        <v>0</v>
      </c>
      <c r="C10090" s="16" t="s">
        <v>19032</v>
      </c>
      <c r="D10090" s="16"/>
      <c r="E10090">
        <v>6</v>
      </c>
      <c r="F10090" t="s">
        <v>9192</v>
      </c>
      <c r="G10090">
        <v>1</v>
      </c>
      <c r="H10090">
        <v>1</v>
      </c>
      <c r="I10090">
        <f>1</f>
        <v>1</v>
      </c>
    </row>
    <row r="10091" spans="2:9" x14ac:dyDescent="0.25">
      <c r="B10091">
        <v>0</v>
      </c>
      <c r="C10091" s="16" t="s">
        <v>19033</v>
      </c>
      <c r="D10091" s="16"/>
      <c r="E10091">
        <v>6</v>
      </c>
      <c r="F10091" t="s">
        <v>4680</v>
      </c>
      <c r="G10091">
        <v>1</v>
      </c>
      <c r="H10091">
        <v>1</v>
      </c>
      <c r="I10091">
        <f>1</f>
        <v>1</v>
      </c>
    </row>
    <row r="10092" spans="2:9" x14ac:dyDescent="0.25">
      <c r="B10092">
        <v>0</v>
      </c>
      <c r="C10092" s="16" t="s">
        <v>19034</v>
      </c>
      <c r="D10092" s="16"/>
      <c r="E10092">
        <v>6</v>
      </c>
      <c r="F10092" t="s">
        <v>9193</v>
      </c>
      <c r="G10092">
        <v>1</v>
      </c>
      <c r="H10092">
        <v>1</v>
      </c>
      <c r="I10092">
        <f>1</f>
        <v>1</v>
      </c>
    </row>
    <row r="10093" spans="2:9" x14ac:dyDescent="0.25">
      <c r="B10093">
        <v>0</v>
      </c>
      <c r="C10093" s="16" t="s">
        <v>19035</v>
      </c>
      <c r="D10093" s="16"/>
      <c r="E10093">
        <v>6</v>
      </c>
      <c r="F10093" t="s">
        <v>4680</v>
      </c>
      <c r="G10093">
        <v>1</v>
      </c>
      <c r="H10093">
        <v>1</v>
      </c>
      <c r="I10093">
        <f>1</f>
        <v>1</v>
      </c>
    </row>
    <row r="10094" spans="2:9" x14ac:dyDescent="0.25">
      <c r="B10094">
        <v>0</v>
      </c>
      <c r="C10094" s="16" t="s">
        <v>19036</v>
      </c>
      <c r="D10094" s="16"/>
      <c r="E10094">
        <v>6</v>
      </c>
      <c r="F10094" t="e">
        <f>-outros instrumentos e aparelhos</f>
        <v>#NAME?</v>
      </c>
      <c r="G10094">
        <v>1</v>
      </c>
      <c r="H10094">
        <v>1</v>
      </c>
      <c r="I10094">
        <f>1</f>
        <v>1</v>
      </c>
    </row>
    <row r="10095" spans="2:9" x14ac:dyDescent="0.25">
      <c r="B10095">
        <v>0</v>
      </c>
      <c r="C10095" s="16" t="s">
        <v>19037</v>
      </c>
      <c r="D10095" s="16"/>
      <c r="E10095">
        <v>6</v>
      </c>
      <c r="F10095" t="s">
        <v>9194</v>
      </c>
      <c r="G10095">
        <v>1</v>
      </c>
      <c r="H10095">
        <v>1</v>
      </c>
      <c r="I10095">
        <f>1</f>
        <v>1</v>
      </c>
    </row>
    <row r="10096" spans="2:9" x14ac:dyDescent="0.25">
      <c r="B10096">
        <v>0</v>
      </c>
      <c r="C10096" s="16" t="s">
        <v>19038</v>
      </c>
      <c r="D10096" s="16"/>
      <c r="E10096">
        <v>6</v>
      </c>
      <c r="F10096" t="s">
        <v>9195</v>
      </c>
      <c r="G10096">
        <v>1</v>
      </c>
      <c r="H10096">
        <v>1</v>
      </c>
      <c r="I10096">
        <f>1</f>
        <v>1</v>
      </c>
    </row>
    <row r="10097" spans="2:9" x14ac:dyDescent="0.25">
      <c r="B10097">
        <v>0</v>
      </c>
      <c r="C10097" s="16" t="s">
        <v>19039</v>
      </c>
      <c r="D10097" s="16"/>
      <c r="E10097">
        <v>6</v>
      </c>
      <c r="F10097" t="s">
        <v>4680</v>
      </c>
      <c r="G10097">
        <v>1</v>
      </c>
      <c r="H10097">
        <v>1</v>
      </c>
      <c r="I10097">
        <f>1</f>
        <v>1</v>
      </c>
    </row>
    <row r="10098" spans="2:9" x14ac:dyDescent="0.25">
      <c r="B10098">
        <v>0</v>
      </c>
      <c r="C10098" s="16" t="s">
        <v>19040</v>
      </c>
      <c r="D10098" s="16"/>
      <c r="E10098">
        <v>6</v>
      </c>
      <c r="F10098" t="e">
        <f>-Analisadores De gases ou De fumaça</f>
        <v>#NAME?</v>
      </c>
      <c r="G10098">
        <v>1</v>
      </c>
      <c r="H10098">
        <v>1</v>
      </c>
      <c r="I10098">
        <f>1</f>
        <v>1</v>
      </c>
    </row>
    <row r="10099" spans="2:9" x14ac:dyDescent="0.25">
      <c r="B10099">
        <v>0</v>
      </c>
      <c r="C10099" s="16" t="s">
        <v>19041</v>
      </c>
      <c r="D10099" s="16"/>
      <c r="E10099">
        <v>6</v>
      </c>
      <c r="F10099" t="s">
        <v>9196</v>
      </c>
      <c r="G10099">
        <v>1</v>
      </c>
      <c r="H10099">
        <v>1</v>
      </c>
      <c r="I10099">
        <f>1</f>
        <v>1</v>
      </c>
    </row>
    <row r="10100" spans="2:9" x14ac:dyDescent="0.25">
      <c r="B10100">
        <v>0</v>
      </c>
      <c r="C10100" s="16" t="s">
        <v>19042</v>
      </c>
      <c r="D10100" s="16"/>
      <c r="E10100">
        <v>6</v>
      </c>
      <c r="F10100" t="s">
        <v>9197</v>
      </c>
      <c r="G10100">
        <v>1</v>
      </c>
      <c r="H10100">
        <v>1</v>
      </c>
      <c r="I10100">
        <f>1</f>
        <v>1</v>
      </c>
    </row>
    <row r="10101" spans="2:9" x14ac:dyDescent="0.25">
      <c r="B10101">
        <v>0</v>
      </c>
      <c r="C10101" s="16" t="s">
        <v>19043</v>
      </c>
      <c r="D10101" s="16"/>
      <c r="E10101">
        <v>6</v>
      </c>
      <c r="F10101" t="s">
        <v>4680</v>
      </c>
      <c r="G10101">
        <v>1</v>
      </c>
      <c r="H10101">
        <v>1</v>
      </c>
      <c r="I10101">
        <f>1</f>
        <v>1</v>
      </c>
    </row>
    <row r="10102" spans="2:9" x14ac:dyDescent="0.25">
      <c r="B10102">
        <v>0</v>
      </c>
      <c r="C10102" s="16" t="s">
        <v>19044</v>
      </c>
      <c r="D10102" s="16"/>
      <c r="E10102">
        <v>6</v>
      </c>
      <c r="F10102" t="s">
        <v>9198</v>
      </c>
      <c r="G10102">
        <v>1</v>
      </c>
      <c r="H10102">
        <v>1</v>
      </c>
      <c r="I10102">
        <f>1</f>
        <v>1</v>
      </c>
    </row>
    <row r="10103" spans="2:9" x14ac:dyDescent="0.25">
      <c r="B10103">
        <v>0</v>
      </c>
      <c r="C10103" s="16" t="s">
        <v>19045</v>
      </c>
      <c r="D10103" s="16"/>
      <c r="E10103">
        <v>6</v>
      </c>
      <c r="F10103" t="s">
        <v>4680</v>
      </c>
      <c r="G10103">
        <v>1</v>
      </c>
      <c r="H10103">
        <v>1</v>
      </c>
      <c r="I10103">
        <f>1</f>
        <v>1</v>
      </c>
    </row>
    <row r="10104" spans="2:9" x14ac:dyDescent="0.25">
      <c r="B10104">
        <v>0</v>
      </c>
      <c r="C10104" s="16" t="s">
        <v>19046</v>
      </c>
      <c r="D10104" s="16"/>
      <c r="E10104">
        <v>6</v>
      </c>
      <c r="F10104" t="s">
        <v>9199</v>
      </c>
      <c r="G10104">
        <v>1</v>
      </c>
      <c r="H10104">
        <v>1</v>
      </c>
      <c r="I10104">
        <f>1</f>
        <v>1</v>
      </c>
    </row>
    <row r="10105" spans="2:9" x14ac:dyDescent="0.25">
      <c r="B10105">
        <v>0</v>
      </c>
      <c r="C10105" s="16" t="s">
        <v>19047</v>
      </c>
      <c r="D10105" s="16"/>
      <c r="E10105">
        <v>6</v>
      </c>
      <c r="F10105" t="s">
        <v>4680</v>
      </c>
      <c r="G10105">
        <v>1</v>
      </c>
      <c r="H10105">
        <v>1</v>
      </c>
      <c r="I10105">
        <f>1</f>
        <v>1</v>
      </c>
    </row>
    <row r="10106" spans="2:9" x14ac:dyDescent="0.25">
      <c r="B10106">
        <v>0</v>
      </c>
      <c r="C10106" s="16" t="s">
        <v>19048</v>
      </c>
      <c r="D10106" s="16"/>
      <c r="E10106">
        <v>6</v>
      </c>
      <c r="F10106" t="s">
        <v>9200</v>
      </c>
      <c r="G10106">
        <v>1</v>
      </c>
      <c r="H10106">
        <v>1</v>
      </c>
      <c r="I10106">
        <f>1</f>
        <v>1</v>
      </c>
    </row>
    <row r="10107" spans="2:9" x14ac:dyDescent="0.25">
      <c r="B10107">
        <v>0</v>
      </c>
      <c r="C10107" s="16" t="s">
        <v>19049</v>
      </c>
      <c r="D10107" s="16"/>
      <c r="E10107">
        <v>6</v>
      </c>
      <c r="F10107" t="s">
        <v>9201</v>
      </c>
      <c r="G10107">
        <v>1</v>
      </c>
      <c r="H10107">
        <v>1</v>
      </c>
      <c r="I10107">
        <f>1</f>
        <v>1</v>
      </c>
    </row>
    <row r="10108" spans="2:9" x14ac:dyDescent="0.25">
      <c r="B10108">
        <v>0</v>
      </c>
      <c r="C10108" s="16" t="s">
        <v>19050</v>
      </c>
      <c r="D10108" s="16"/>
      <c r="E10108">
        <v>6</v>
      </c>
      <c r="F10108" t="s">
        <v>9202</v>
      </c>
      <c r="G10108">
        <v>1</v>
      </c>
      <c r="H10108">
        <v>1</v>
      </c>
      <c r="I10108">
        <f>1</f>
        <v>1</v>
      </c>
    </row>
    <row r="10109" spans="2:9" x14ac:dyDescent="0.25">
      <c r="B10109">
        <v>0</v>
      </c>
      <c r="C10109" s="16" t="s">
        <v>19051</v>
      </c>
      <c r="D10109" s="16"/>
      <c r="E10109">
        <v>6</v>
      </c>
      <c r="F10109" t="s">
        <v>9203</v>
      </c>
      <c r="G10109">
        <v>1</v>
      </c>
      <c r="H10109">
        <v>1</v>
      </c>
      <c r="I10109">
        <f>1</f>
        <v>1</v>
      </c>
    </row>
    <row r="10110" spans="2:9" x14ac:dyDescent="0.25">
      <c r="B10110">
        <v>0</v>
      </c>
      <c r="C10110" s="16" t="s">
        <v>19052</v>
      </c>
      <c r="D10110" s="16"/>
      <c r="E10110">
        <v>6</v>
      </c>
      <c r="F10110" t="s">
        <v>9204</v>
      </c>
      <c r="G10110">
        <v>1</v>
      </c>
      <c r="H10110">
        <v>1</v>
      </c>
      <c r="I10110">
        <f>1</f>
        <v>1</v>
      </c>
    </row>
    <row r="10111" spans="2:9" x14ac:dyDescent="0.25">
      <c r="B10111">
        <v>0</v>
      </c>
      <c r="C10111" s="16" t="s">
        <v>19053</v>
      </c>
      <c r="D10111" s="16"/>
      <c r="E10111">
        <v>6</v>
      </c>
      <c r="F10111" t="s">
        <v>9205</v>
      </c>
      <c r="G10111">
        <v>1</v>
      </c>
      <c r="H10111">
        <v>1</v>
      </c>
      <c r="I10111">
        <f>1</f>
        <v>1</v>
      </c>
    </row>
    <row r="10112" spans="2:9" x14ac:dyDescent="0.25">
      <c r="B10112">
        <v>0</v>
      </c>
      <c r="C10112" s="16" t="s">
        <v>19054</v>
      </c>
      <c r="D10112" s="16"/>
      <c r="E10112">
        <v>6</v>
      </c>
      <c r="F10112" t="s">
        <v>4680</v>
      </c>
      <c r="G10112">
        <v>1</v>
      </c>
      <c r="H10112">
        <v>1</v>
      </c>
      <c r="I10112">
        <f>1</f>
        <v>1</v>
      </c>
    </row>
    <row r="10113" spans="2:9" x14ac:dyDescent="0.25">
      <c r="B10113">
        <v>0</v>
      </c>
      <c r="C10113" s="16" t="s">
        <v>19055</v>
      </c>
      <c r="D10113" s="16"/>
      <c r="E10113">
        <v>6</v>
      </c>
      <c r="F10113" t="s">
        <v>9206</v>
      </c>
      <c r="G10113">
        <v>1</v>
      </c>
      <c r="H10113">
        <v>1</v>
      </c>
      <c r="I10113">
        <f>1</f>
        <v>1</v>
      </c>
    </row>
    <row r="10114" spans="2:9" x14ac:dyDescent="0.25">
      <c r="B10114">
        <v>0</v>
      </c>
      <c r="C10114" s="16" t="s">
        <v>19056</v>
      </c>
      <c r="D10114" s="16"/>
      <c r="E10114">
        <v>6</v>
      </c>
      <c r="F10114" t="s">
        <v>9207</v>
      </c>
      <c r="G10114">
        <v>1</v>
      </c>
      <c r="H10114">
        <v>1</v>
      </c>
      <c r="I10114">
        <f>1</f>
        <v>1</v>
      </c>
    </row>
    <row r="10115" spans="2:9" x14ac:dyDescent="0.25">
      <c r="B10115">
        <v>0</v>
      </c>
      <c r="C10115" s="16" t="s">
        <v>19057</v>
      </c>
      <c r="D10115" s="16"/>
      <c r="E10115">
        <v>6</v>
      </c>
      <c r="F10115" t="s">
        <v>9208</v>
      </c>
      <c r="G10115">
        <v>1</v>
      </c>
      <c r="H10115">
        <v>1</v>
      </c>
      <c r="I10115">
        <f>1</f>
        <v>1</v>
      </c>
    </row>
    <row r="10116" spans="2:9" x14ac:dyDescent="0.25">
      <c r="B10116">
        <v>0</v>
      </c>
      <c r="C10116" s="16" t="s">
        <v>19058</v>
      </c>
      <c r="D10116" s="16"/>
      <c r="E10116">
        <v>6</v>
      </c>
      <c r="F10116" t="s">
        <v>9209</v>
      </c>
      <c r="G10116">
        <v>1</v>
      </c>
      <c r="H10116">
        <v>1</v>
      </c>
      <c r="I10116">
        <f>1</f>
        <v>1</v>
      </c>
    </row>
    <row r="10117" spans="2:9" x14ac:dyDescent="0.25">
      <c r="B10117">
        <v>0</v>
      </c>
      <c r="C10117" s="16" t="s">
        <v>19059</v>
      </c>
      <c r="D10117" s="16"/>
      <c r="E10117">
        <v>6</v>
      </c>
      <c r="F10117" t="s">
        <v>9210</v>
      </c>
      <c r="G10117">
        <v>1</v>
      </c>
      <c r="H10117">
        <v>1</v>
      </c>
      <c r="I10117">
        <f>1</f>
        <v>1</v>
      </c>
    </row>
    <row r="10118" spans="2:9" x14ac:dyDescent="0.25">
      <c r="B10118">
        <v>0</v>
      </c>
      <c r="C10118" s="16" t="s">
        <v>19060</v>
      </c>
      <c r="D10118" s="16"/>
      <c r="E10118">
        <v>6</v>
      </c>
      <c r="F10118" t="s">
        <v>9211</v>
      </c>
      <c r="G10118">
        <v>1</v>
      </c>
      <c r="H10118">
        <v>1</v>
      </c>
      <c r="I10118">
        <f>1</f>
        <v>1</v>
      </c>
    </row>
    <row r="10119" spans="2:9" x14ac:dyDescent="0.25">
      <c r="B10119">
        <v>0</v>
      </c>
      <c r="C10119" s="16" t="s">
        <v>19061</v>
      </c>
      <c r="D10119" s="16"/>
      <c r="E10119">
        <v>6</v>
      </c>
      <c r="F10119" t="s">
        <v>9212</v>
      </c>
      <c r="G10119">
        <v>1</v>
      </c>
      <c r="H10119">
        <v>1</v>
      </c>
      <c r="I10119">
        <f>1</f>
        <v>1</v>
      </c>
    </row>
    <row r="10120" spans="2:9" x14ac:dyDescent="0.25">
      <c r="B10120">
        <v>0</v>
      </c>
      <c r="C10120" s="16" t="s">
        <v>19062</v>
      </c>
      <c r="D10120" s="16"/>
      <c r="E10120">
        <v>6</v>
      </c>
      <c r="F10120" t="s">
        <v>4680</v>
      </c>
      <c r="G10120">
        <v>1</v>
      </c>
      <c r="H10120">
        <v>1</v>
      </c>
      <c r="I10120">
        <f>1</f>
        <v>1</v>
      </c>
    </row>
    <row r="10121" spans="2:9" x14ac:dyDescent="0.25">
      <c r="B10121">
        <v>0</v>
      </c>
      <c r="C10121" s="16" t="s">
        <v>19063</v>
      </c>
      <c r="D10121" s="16"/>
      <c r="E10121">
        <v>6</v>
      </c>
      <c r="F10121" t="s">
        <v>9213</v>
      </c>
      <c r="G10121">
        <v>1</v>
      </c>
      <c r="H10121">
        <v>1</v>
      </c>
      <c r="I10121">
        <f>1</f>
        <v>1</v>
      </c>
    </row>
    <row r="10122" spans="2:9" x14ac:dyDescent="0.25">
      <c r="B10122">
        <v>0</v>
      </c>
      <c r="C10122" s="16" t="s">
        <v>19064</v>
      </c>
      <c r="D10122" s="16"/>
      <c r="E10122">
        <v>6</v>
      </c>
      <c r="F10122" t="s">
        <v>9214</v>
      </c>
      <c r="G10122">
        <v>1</v>
      </c>
      <c r="H10122">
        <v>1</v>
      </c>
      <c r="I10122">
        <f>1</f>
        <v>1</v>
      </c>
    </row>
    <row r="10123" spans="2:9" x14ac:dyDescent="0.25">
      <c r="B10123">
        <v>0</v>
      </c>
      <c r="C10123" s="16" t="s">
        <v>19065</v>
      </c>
      <c r="D10123" s="16"/>
      <c r="E10123">
        <v>6</v>
      </c>
      <c r="F10123" t="s">
        <v>9215</v>
      </c>
      <c r="G10123">
        <v>1</v>
      </c>
      <c r="H10123">
        <v>1</v>
      </c>
      <c r="I10123">
        <f>1</f>
        <v>1</v>
      </c>
    </row>
    <row r="10124" spans="2:9" x14ac:dyDescent="0.25">
      <c r="B10124">
        <v>0</v>
      </c>
      <c r="C10124" s="16" t="s">
        <v>19066</v>
      </c>
      <c r="D10124" s="16"/>
      <c r="E10124">
        <v>6</v>
      </c>
      <c r="F10124" t="s">
        <v>4680</v>
      </c>
      <c r="G10124">
        <v>1</v>
      </c>
      <c r="H10124">
        <v>1</v>
      </c>
      <c r="I10124">
        <f>1</f>
        <v>1</v>
      </c>
    </row>
    <row r="10125" spans="2:9" x14ac:dyDescent="0.25">
      <c r="B10125">
        <v>0</v>
      </c>
      <c r="C10125" s="16" t="s">
        <v>19067</v>
      </c>
      <c r="D10125" s="16"/>
      <c r="E10125">
        <v>6</v>
      </c>
      <c r="F10125" t="s">
        <v>9216</v>
      </c>
      <c r="G10125">
        <v>1</v>
      </c>
      <c r="H10125">
        <v>1</v>
      </c>
      <c r="I10125">
        <f>1</f>
        <v>1</v>
      </c>
    </row>
    <row r="10126" spans="2:9" x14ac:dyDescent="0.25">
      <c r="B10126">
        <v>0</v>
      </c>
      <c r="C10126" s="16" t="s">
        <v>19068</v>
      </c>
      <c r="D10126" s="16"/>
      <c r="E10126">
        <v>6</v>
      </c>
      <c r="F10126" t="s">
        <v>4680</v>
      </c>
      <c r="G10126">
        <v>1</v>
      </c>
      <c r="H10126">
        <v>1</v>
      </c>
      <c r="I10126">
        <f>1</f>
        <v>1</v>
      </c>
    </row>
    <row r="10127" spans="2:9" x14ac:dyDescent="0.25">
      <c r="B10127">
        <v>0</v>
      </c>
      <c r="C10127" s="16" t="s">
        <v>19069</v>
      </c>
      <c r="D10127" s="16"/>
      <c r="E10127">
        <v>6</v>
      </c>
      <c r="F10127" t="s">
        <v>4680</v>
      </c>
      <c r="G10127">
        <v>1</v>
      </c>
      <c r="H10127">
        <v>1</v>
      </c>
      <c r="I10127">
        <f>1</f>
        <v>1</v>
      </c>
    </row>
    <row r="10128" spans="2:9" x14ac:dyDescent="0.25">
      <c r="B10128">
        <v>0</v>
      </c>
      <c r="C10128" s="16" t="s">
        <v>19070</v>
      </c>
      <c r="D10128" s="16"/>
      <c r="E10128">
        <v>6</v>
      </c>
      <c r="F10128" t="s">
        <v>9217</v>
      </c>
      <c r="G10128">
        <v>1</v>
      </c>
      <c r="H10128">
        <v>1</v>
      </c>
      <c r="I10128">
        <f>1</f>
        <v>1</v>
      </c>
    </row>
    <row r="10129" spans="2:9" x14ac:dyDescent="0.25">
      <c r="B10129">
        <v>0</v>
      </c>
      <c r="C10129" s="16" t="s">
        <v>19071</v>
      </c>
      <c r="D10129" s="16"/>
      <c r="E10129">
        <v>6</v>
      </c>
      <c r="F10129" t="s">
        <v>9218</v>
      </c>
      <c r="G10129">
        <v>1</v>
      </c>
      <c r="H10129">
        <v>1</v>
      </c>
      <c r="I10129">
        <f>1</f>
        <v>1</v>
      </c>
    </row>
    <row r="10130" spans="2:9" x14ac:dyDescent="0.25">
      <c r="B10130">
        <v>0</v>
      </c>
      <c r="C10130" s="16" t="s">
        <v>19072</v>
      </c>
      <c r="D10130" s="16"/>
      <c r="E10130">
        <v>6</v>
      </c>
      <c r="F10130" t="s">
        <v>9219</v>
      </c>
      <c r="G10130">
        <v>1</v>
      </c>
      <c r="H10130">
        <v>1</v>
      </c>
      <c r="I10130">
        <f>1</f>
        <v>1</v>
      </c>
    </row>
    <row r="10131" spans="2:9" x14ac:dyDescent="0.25">
      <c r="B10131">
        <v>0</v>
      </c>
      <c r="C10131" s="16" t="s">
        <v>19073</v>
      </c>
      <c r="D10131" s="16"/>
      <c r="E10131">
        <v>6</v>
      </c>
      <c r="F10131" t="s">
        <v>4680</v>
      </c>
      <c r="G10131">
        <v>1</v>
      </c>
      <c r="H10131">
        <v>1</v>
      </c>
      <c r="I10131">
        <f>1</f>
        <v>1</v>
      </c>
    </row>
    <row r="10132" spans="2:9" x14ac:dyDescent="0.25">
      <c r="B10132">
        <v>0</v>
      </c>
      <c r="C10132" s="16" t="s">
        <v>19074</v>
      </c>
      <c r="D10132" s="16"/>
      <c r="E10132">
        <v>6</v>
      </c>
      <c r="F10132" t="s">
        <v>9219</v>
      </c>
      <c r="G10132">
        <v>1</v>
      </c>
      <c r="H10132">
        <v>1</v>
      </c>
      <c r="I10132">
        <f>1</f>
        <v>1</v>
      </c>
    </row>
    <row r="10133" spans="2:9" x14ac:dyDescent="0.25">
      <c r="B10133">
        <v>0</v>
      </c>
      <c r="C10133" s="16" t="s">
        <v>19075</v>
      </c>
      <c r="D10133" s="16"/>
      <c r="E10133">
        <v>6</v>
      </c>
      <c r="F10133" t="s">
        <v>4680</v>
      </c>
      <c r="G10133">
        <v>1</v>
      </c>
      <c r="H10133">
        <v>1</v>
      </c>
      <c r="I10133">
        <f>1</f>
        <v>1</v>
      </c>
    </row>
    <row r="10134" spans="2:9" x14ac:dyDescent="0.25">
      <c r="B10134">
        <v>0</v>
      </c>
      <c r="C10134" s="16" t="s">
        <v>19076</v>
      </c>
      <c r="D10134" s="16"/>
      <c r="E10134">
        <v>6</v>
      </c>
      <c r="F10134" t="s">
        <v>9219</v>
      </c>
      <c r="G10134">
        <v>1</v>
      </c>
      <c r="H10134">
        <v>1</v>
      </c>
      <c r="I10134">
        <f>1</f>
        <v>1</v>
      </c>
    </row>
    <row r="10135" spans="2:9" x14ac:dyDescent="0.25">
      <c r="B10135">
        <v>0</v>
      </c>
      <c r="C10135" s="16" t="s">
        <v>19077</v>
      </c>
      <c r="D10135" s="16"/>
      <c r="E10135">
        <v>6</v>
      </c>
      <c r="F10135" t="s">
        <v>4680</v>
      </c>
      <c r="G10135">
        <v>1</v>
      </c>
      <c r="H10135">
        <v>1</v>
      </c>
      <c r="I10135">
        <f>1</f>
        <v>1</v>
      </c>
    </row>
    <row r="10136" spans="2:9" x14ac:dyDescent="0.25">
      <c r="B10136">
        <v>0</v>
      </c>
      <c r="C10136" s="16" t="s">
        <v>19078</v>
      </c>
      <c r="D10136" s="16"/>
      <c r="E10136">
        <v>6</v>
      </c>
      <c r="F10136" t="s">
        <v>4680</v>
      </c>
      <c r="G10136">
        <v>1</v>
      </c>
      <c r="H10136">
        <v>1</v>
      </c>
      <c r="I10136">
        <f>1</f>
        <v>1</v>
      </c>
    </row>
    <row r="10137" spans="2:9" x14ac:dyDescent="0.25">
      <c r="B10137">
        <v>0</v>
      </c>
      <c r="C10137" s="16" t="s">
        <v>19079</v>
      </c>
      <c r="D10137" s="16"/>
      <c r="E10137">
        <v>6</v>
      </c>
      <c r="F10137" t="s">
        <v>9220</v>
      </c>
      <c r="G10137">
        <v>1</v>
      </c>
      <c r="H10137">
        <v>1</v>
      </c>
      <c r="I10137">
        <f>1</f>
        <v>1</v>
      </c>
    </row>
    <row r="10138" spans="2:9" x14ac:dyDescent="0.25">
      <c r="B10138">
        <v>0</v>
      </c>
      <c r="C10138" s="16" t="s">
        <v>19080</v>
      </c>
      <c r="D10138" s="16"/>
      <c r="E10138">
        <v>6</v>
      </c>
      <c r="F10138" t="s">
        <v>4680</v>
      </c>
      <c r="G10138">
        <v>1</v>
      </c>
      <c r="H10138">
        <v>1</v>
      </c>
      <c r="I10138">
        <f>1</f>
        <v>1</v>
      </c>
    </row>
    <row r="10139" spans="2:9" x14ac:dyDescent="0.25">
      <c r="B10139">
        <v>0</v>
      </c>
      <c r="C10139" s="16" t="s">
        <v>19081</v>
      </c>
      <c r="D10139" s="16"/>
      <c r="E10139">
        <v>6</v>
      </c>
      <c r="F10139" t="s">
        <v>9221</v>
      </c>
      <c r="G10139">
        <v>1</v>
      </c>
      <c r="H10139">
        <v>1</v>
      </c>
      <c r="I10139">
        <f>1</f>
        <v>1</v>
      </c>
    </row>
    <row r="10140" spans="2:9" x14ac:dyDescent="0.25">
      <c r="B10140">
        <v>0</v>
      </c>
      <c r="C10140" s="16" t="s">
        <v>19082</v>
      </c>
      <c r="D10140" s="16"/>
      <c r="E10140">
        <v>6</v>
      </c>
      <c r="F10140" t="s">
        <v>4680</v>
      </c>
      <c r="G10140">
        <v>1</v>
      </c>
      <c r="H10140">
        <v>1</v>
      </c>
      <c r="I10140">
        <f>1</f>
        <v>1</v>
      </c>
    </row>
    <row r="10141" spans="2:9" x14ac:dyDescent="0.25">
      <c r="B10141">
        <v>0</v>
      </c>
      <c r="C10141" s="16" t="s">
        <v>19083</v>
      </c>
      <c r="D10141" s="16"/>
      <c r="E10141">
        <v>6</v>
      </c>
      <c r="F10141" t="s">
        <v>9222</v>
      </c>
      <c r="G10141">
        <v>1</v>
      </c>
      <c r="H10141">
        <v>1</v>
      </c>
      <c r="I10141">
        <f>1</f>
        <v>1</v>
      </c>
    </row>
    <row r="10142" spans="2:9" x14ac:dyDescent="0.25">
      <c r="B10142">
        <v>0</v>
      </c>
      <c r="C10142" s="16" t="s">
        <v>19083</v>
      </c>
      <c r="D10142" s="16" t="s">
        <v>19430</v>
      </c>
      <c r="E10142">
        <v>6</v>
      </c>
      <c r="F10142" t="s">
        <v>9223</v>
      </c>
      <c r="G10142">
        <v>1</v>
      </c>
      <c r="H10142">
        <v>1</v>
      </c>
      <c r="I10142">
        <f>1</f>
        <v>1</v>
      </c>
    </row>
    <row r="10143" spans="2:9" x14ac:dyDescent="0.25">
      <c r="B10143">
        <v>0</v>
      </c>
      <c r="C10143" s="16" t="s">
        <v>19084</v>
      </c>
      <c r="D10143" s="16"/>
      <c r="E10143">
        <v>6</v>
      </c>
      <c r="F10143" t="s">
        <v>9224</v>
      </c>
      <c r="G10143">
        <v>1</v>
      </c>
      <c r="H10143">
        <v>1</v>
      </c>
      <c r="I10143">
        <f>1</f>
        <v>1</v>
      </c>
    </row>
    <row r="10144" spans="2:9" x14ac:dyDescent="0.25">
      <c r="B10144">
        <v>0</v>
      </c>
      <c r="C10144" s="16" t="s">
        <v>19085</v>
      </c>
      <c r="D10144" s="16"/>
      <c r="E10144">
        <v>6</v>
      </c>
      <c r="F10144" t="s">
        <v>9225</v>
      </c>
      <c r="G10144">
        <v>1</v>
      </c>
      <c r="H10144">
        <v>1</v>
      </c>
      <c r="I10144">
        <f>1</f>
        <v>1</v>
      </c>
    </row>
    <row r="10145" spans="2:9" x14ac:dyDescent="0.25">
      <c r="B10145">
        <v>0</v>
      </c>
      <c r="C10145" s="16" t="s">
        <v>19086</v>
      </c>
      <c r="D10145" s="16"/>
      <c r="E10145">
        <v>6</v>
      </c>
      <c r="F10145" t="s">
        <v>4680</v>
      </c>
      <c r="G10145">
        <v>1</v>
      </c>
      <c r="H10145">
        <v>1</v>
      </c>
      <c r="I10145">
        <f>1</f>
        <v>1</v>
      </c>
    </row>
    <row r="10146" spans="2:9" x14ac:dyDescent="0.25">
      <c r="B10146">
        <v>0</v>
      </c>
      <c r="C10146" s="16" t="s">
        <v>19087</v>
      </c>
      <c r="D10146" s="16"/>
      <c r="E10146">
        <v>6</v>
      </c>
      <c r="F10146" t="s">
        <v>9226</v>
      </c>
      <c r="G10146">
        <v>1</v>
      </c>
      <c r="H10146">
        <v>1</v>
      </c>
      <c r="I10146">
        <f>1</f>
        <v>1</v>
      </c>
    </row>
    <row r="10147" spans="2:9" x14ac:dyDescent="0.25">
      <c r="B10147">
        <v>0</v>
      </c>
      <c r="C10147" s="16" t="s">
        <v>19088</v>
      </c>
      <c r="D10147" s="16"/>
      <c r="E10147">
        <v>6</v>
      </c>
      <c r="F10147" t="s">
        <v>4680</v>
      </c>
      <c r="G10147">
        <v>1</v>
      </c>
      <c r="H10147">
        <v>1</v>
      </c>
      <c r="I10147">
        <f>1</f>
        <v>1</v>
      </c>
    </row>
    <row r="10148" spans="2:9" x14ac:dyDescent="0.25">
      <c r="B10148">
        <v>0</v>
      </c>
      <c r="C10148" s="16" t="s">
        <v>19089</v>
      </c>
      <c r="D10148" s="16"/>
      <c r="E10148">
        <v>6</v>
      </c>
      <c r="F10148" t="s">
        <v>9227</v>
      </c>
      <c r="G10148">
        <v>1</v>
      </c>
      <c r="H10148">
        <v>1</v>
      </c>
      <c r="I10148">
        <f>1</f>
        <v>1</v>
      </c>
    </row>
    <row r="10149" spans="2:9" x14ac:dyDescent="0.25">
      <c r="B10149">
        <v>0</v>
      </c>
      <c r="C10149" s="16" t="s">
        <v>19090</v>
      </c>
      <c r="D10149" s="16"/>
      <c r="E10149">
        <v>6</v>
      </c>
      <c r="F10149" t="s">
        <v>9228</v>
      </c>
      <c r="G10149">
        <v>1</v>
      </c>
      <c r="H10149">
        <v>1</v>
      </c>
      <c r="I10149">
        <f>1</f>
        <v>1</v>
      </c>
    </row>
    <row r="10150" spans="2:9" x14ac:dyDescent="0.25">
      <c r="B10150">
        <v>0</v>
      </c>
      <c r="C10150" s="16" t="s">
        <v>19091</v>
      </c>
      <c r="D10150" s="16"/>
      <c r="E10150">
        <v>6</v>
      </c>
      <c r="F10150" t="s">
        <v>9229</v>
      </c>
      <c r="G10150">
        <v>1</v>
      </c>
      <c r="H10150">
        <v>1</v>
      </c>
      <c r="I10150">
        <f>1</f>
        <v>1</v>
      </c>
    </row>
    <row r="10151" spans="2:9" x14ac:dyDescent="0.25">
      <c r="B10151">
        <v>0</v>
      </c>
      <c r="C10151" s="16" t="s">
        <v>19092</v>
      </c>
      <c r="D10151" s="16"/>
      <c r="E10151">
        <v>6</v>
      </c>
      <c r="F10151" t="s">
        <v>4680</v>
      </c>
      <c r="G10151">
        <v>1</v>
      </c>
      <c r="H10151">
        <v>1</v>
      </c>
      <c r="I10151">
        <f>1</f>
        <v>1</v>
      </c>
    </row>
    <row r="10152" spans="2:9" x14ac:dyDescent="0.25">
      <c r="B10152">
        <v>0</v>
      </c>
      <c r="C10152" s="16" t="s">
        <v>19093</v>
      </c>
      <c r="D10152" s="16"/>
      <c r="E10152">
        <v>6</v>
      </c>
      <c r="F10152" t="s">
        <v>9230</v>
      </c>
      <c r="G10152">
        <v>1</v>
      </c>
      <c r="H10152">
        <v>1</v>
      </c>
      <c r="I10152">
        <f>1</f>
        <v>1</v>
      </c>
    </row>
    <row r="10153" spans="2:9" x14ac:dyDescent="0.25">
      <c r="B10153">
        <v>0</v>
      </c>
      <c r="C10153" s="16" t="s">
        <v>19094</v>
      </c>
      <c r="D10153" s="16"/>
      <c r="E10153">
        <v>6</v>
      </c>
      <c r="F10153" t="s">
        <v>9231</v>
      </c>
      <c r="G10153">
        <v>1</v>
      </c>
      <c r="H10153">
        <v>1</v>
      </c>
      <c r="I10153">
        <f>1</f>
        <v>1</v>
      </c>
    </row>
    <row r="10154" spans="2:9" x14ac:dyDescent="0.25">
      <c r="B10154">
        <v>0</v>
      </c>
      <c r="C10154" s="16" t="s">
        <v>19095</v>
      </c>
      <c r="D10154" s="16"/>
      <c r="E10154">
        <v>6</v>
      </c>
      <c r="F10154" t="s">
        <v>9232</v>
      </c>
      <c r="G10154">
        <v>1</v>
      </c>
      <c r="H10154">
        <v>1</v>
      </c>
      <c r="I10154">
        <f>1</f>
        <v>1</v>
      </c>
    </row>
    <row r="10155" spans="2:9" x14ac:dyDescent="0.25">
      <c r="B10155">
        <v>0</v>
      </c>
      <c r="C10155" s="16" t="s">
        <v>19096</v>
      </c>
      <c r="D10155" s="16"/>
      <c r="E10155">
        <v>6</v>
      </c>
      <c r="F10155" t="s">
        <v>9219</v>
      </c>
      <c r="G10155">
        <v>1</v>
      </c>
      <c r="H10155">
        <v>1</v>
      </c>
      <c r="I10155">
        <f>1</f>
        <v>1</v>
      </c>
    </row>
    <row r="10156" spans="2:9" x14ac:dyDescent="0.25">
      <c r="B10156">
        <v>0</v>
      </c>
      <c r="C10156" s="16" t="s">
        <v>19097</v>
      </c>
      <c r="D10156" s="16"/>
      <c r="E10156">
        <v>6</v>
      </c>
      <c r="F10156" t="s">
        <v>4680</v>
      </c>
      <c r="G10156">
        <v>1</v>
      </c>
      <c r="H10156">
        <v>1</v>
      </c>
      <c r="I10156">
        <f>1</f>
        <v>1</v>
      </c>
    </row>
    <row r="10157" spans="2:9" x14ac:dyDescent="0.25">
      <c r="B10157">
        <v>0</v>
      </c>
      <c r="C10157" s="16" t="s">
        <v>19098</v>
      </c>
      <c r="D10157" s="16"/>
      <c r="E10157">
        <v>6</v>
      </c>
      <c r="F10157" t="s">
        <v>8674</v>
      </c>
      <c r="G10157">
        <v>1</v>
      </c>
      <c r="H10157">
        <v>1</v>
      </c>
      <c r="I10157">
        <f>1</f>
        <v>1</v>
      </c>
    </row>
    <row r="10158" spans="2:9" x14ac:dyDescent="0.25">
      <c r="B10158">
        <v>0</v>
      </c>
      <c r="C10158" s="16" t="s">
        <v>19099</v>
      </c>
      <c r="D10158" s="16"/>
      <c r="E10158">
        <v>6</v>
      </c>
      <c r="F10158" t="s">
        <v>4680</v>
      </c>
      <c r="G10158">
        <v>1</v>
      </c>
      <c r="H10158">
        <v>1</v>
      </c>
      <c r="I10158">
        <f>1</f>
        <v>1</v>
      </c>
    </row>
    <row r="10159" spans="2:9" x14ac:dyDescent="0.25">
      <c r="B10159">
        <v>0</v>
      </c>
      <c r="C10159" s="16" t="s">
        <v>19100</v>
      </c>
      <c r="D10159" s="16"/>
      <c r="E10159">
        <v>6</v>
      </c>
      <c r="F10159" t="s">
        <v>4680</v>
      </c>
      <c r="G10159">
        <v>1</v>
      </c>
      <c r="H10159">
        <v>1</v>
      </c>
      <c r="I10159">
        <f>1</f>
        <v>1</v>
      </c>
    </row>
    <row r="10160" spans="2:9" x14ac:dyDescent="0.25">
      <c r="B10160">
        <v>0</v>
      </c>
      <c r="C10160" s="16" t="s">
        <v>19101</v>
      </c>
      <c r="D10160" s="16"/>
      <c r="E10160">
        <v>6</v>
      </c>
      <c r="F10160" t="s">
        <v>9233</v>
      </c>
      <c r="G10160">
        <v>1</v>
      </c>
      <c r="H10160">
        <v>1</v>
      </c>
      <c r="I10160">
        <f>1</f>
        <v>1</v>
      </c>
    </row>
    <row r="10161" spans="2:9" x14ac:dyDescent="0.25">
      <c r="B10161">
        <v>0</v>
      </c>
      <c r="C10161" s="16" t="s">
        <v>19102</v>
      </c>
      <c r="D10161" s="16"/>
      <c r="E10161">
        <v>6</v>
      </c>
      <c r="F10161" t="s">
        <v>4680</v>
      </c>
      <c r="G10161">
        <v>1</v>
      </c>
      <c r="H10161">
        <v>1</v>
      </c>
      <c r="I10161">
        <f>1</f>
        <v>1</v>
      </c>
    </row>
    <row r="10162" spans="2:9" x14ac:dyDescent="0.25">
      <c r="B10162">
        <v>0</v>
      </c>
      <c r="C10162" s="16" t="s">
        <v>19103</v>
      </c>
      <c r="D10162" s="16"/>
      <c r="E10162">
        <v>6</v>
      </c>
      <c r="F10162" t="s">
        <v>9234</v>
      </c>
      <c r="G10162">
        <v>1</v>
      </c>
      <c r="H10162">
        <v>1</v>
      </c>
      <c r="I10162">
        <f>1</f>
        <v>1</v>
      </c>
    </row>
    <row r="10163" spans="2:9" x14ac:dyDescent="0.25">
      <c r="B10163">
        <v>0</v>
      </c>
      <c r="C10163" s="16" t="s">
        <v>19104</v>
      </c>
      <c r="D10163" s="16"/>
      <c r="E10163">
        <v>6</v>
      </c>
      <c r="F10163" t="s">
        <v>9235</v>
      </c>
      <c r="G10163">
        <v>1</v>
      </c>
      <c r="H10163">
        <v>1</v>
      </c>
      <c r="I10163">
        <f>1</f>
        <v>1</v>
      </c>
    </row>
    <row r="10164" spans="2:9" x14ac:dyDescent="0.25">
      <c r="B10164">
        <v>0</v>
      </c>
      <c r="C10164" s="16" t="s">
        <v>19105</v>
      </c>
      <c r="D10164" s="16"/>
      <c r="E10164">
        <v>6</v>
      </c>
      <c r="F10164" t="s">
        <v>9236</v>
      </c>
      <c r="G10164">
        <v>1</v>
      </c>
      <c r="H10164">
        <v>1</v>
      </c>
      <c r="I10164">
        <f>1</f>
        <v>1</v>
      </c>
    </row>
    <row r="10165" spans="2:9" x14ac:dyDescent="0.25">
      <c r="B10165">
        <v>0</v>
      </c>
      <c r="C10165" s="16" t="s">
        <v>19106</v>
      </c>
      <c r="D10165" s="16"/>
      <c r="E10165">
        <v>6</v>
      </c>
      <c r="F10165" t="s">
        <v>4680</v>
      </c>
      <c r="G10165">
        <v>1</v>
      </c>
      <c r="H10165">
        <v>1</v>
      </c>
      <c r="I10165">
        <f>1</f>
        <v>1</v>
      </c>
    </row>
    <row r="10166" spans="2:9" x14ac:dyDescent="0.25">
      <c r="B10166">
        <v>0</v>
      </c>
      <c r="C10166" s="16" t="s">
        <v>19107</v>
      </c>
      <c r="D10166" s="16"/>
      <c r="E10166">
        <v>6</v>
      </c>
      <c r="F10166" t="s">
        <v>9237</v>
      </c>
      <c r="G10166">
        <v>1</v>
      </c>
      <c r="H10166">
        <v>1</v>
      </c>
      <c r="I10166">
        <f>1</f>
        <v>1</v>
      </c>
    </row>
    <row r="10167" spans="2:9" x14ac:dyDescent="0.25">
      <c r="B10167">
        <v>0</v>
      </c>
      <c r="C10167" s="16" t="s">
        <v>19108</v>
      </c>
      <c r="D10167" s="16"/>
      <c r="E10167">
        <v>6</v>
      </c>
      <c r="F10167" t="s">
        <v>4680</v>
      </c>
      <c r="G10167">
        <v>1</v>
      </c>
      <c r="H10167">
        <v>1</v>
      </c>
      <c r="I10167">
        <f>1</f>
        <v>1</v>
      </c>
    </row>
    <row r="10168" spans="2:9" x14ac:dyDescent="0.25">
      <c r="B10168">
        <v>0</v>
      </c>
      <c r="C10168" s="16" t="s">
        <v>19109</v>
      </c>
      <c r="D10168" s="16"/>
      <c r="E10168">
        <v>6</v>
      </c>
      <c r="F10168" t="s">
        <v>9238</v>
      </c>
      <c r="G10168">
        <v>1</v>
      </c>
      <c r="H10168">
        <v>1</v>
      </c>
      <c r="I10168">
        <f>1</f>
        <v>1</v>
      </c>
    </row>
    <row r="10169" spans="2:9" x14ac:dyDescent="0.25">
      <c r="B10169">
        <v>0</v>
      </c>
      <c r="C10169" s="16" t="s">
        <v>19110</v>
      </c>
      <c r="D10169" s="16"/>
      <c r="E10169">
        <v>6</v>
      </c>
      <c r="F10169" t="s">
        <v>9239</v>
      </c>
      <c r="G10169">
        <v>1</v>
      </c>
      <c r="H10169">
        <v>1</v>
      </c>
      <c r="I10169">
        <f>1</f>
        <v>1</v>
      </c>
    </row>
    <row r="10170" spans="2:9" x14ac:dyDescent="0.25">
      <c r="B10170">
        <v>0</v>
      </c>
      <c r="C10170" s="16" t="s">
        <v>19111</v>
      </c>
      <c r="D10170" s="16"/>
      <c r="E10170">
        <v>6</v>
      </c>
      <c r="F10170" t="s">
        <v>4680</v>
      </c>
      <c r="G10170">
        <v>1</v>
      </c>
      <c r="H10170">
        <v>1</v>
      </c>
      <c r="I10170">
        <f>1</f>
        <v>1</v>
      </c>
    </row>
    <row r="10171" spans="2:9" x14ac:dyDescent="0.25">
      <c r="B10171">
        <v>0</v>
      </c>
      <c r="C10171" s="16" t="s">
        <v>19112</v>
      </c>
      <c r="D10171" s="16"/>
      <c r="E10171">
        <v>6</v>
      </c>
      <c r="F10171" t="s">
        <v>9240</v>
      </c>
      <c r="G10171">
        <v>1</v>
      </c>
      <c r="H10171">
        <v>1</v>
      </c>
      <c r="I10171">
        <f>1</f>
        <v>1</v>
      </c>
    </row>
    <row r="10172" spans="2:9" x14ac:dyDescent="0.25">
      <c r="B10172">
        <v>0</v>
      </c>
      <c r="C10172" s="16" t="s">
        <v>19113</v>
      </c>
      <c r="D10172" s="16"/>
      <c r="E10172">
        <v>6</v>
      </c>
      <c r="F10172" t="s">
        <v>9241</v>
      </c>
      <c r="G10172">
        <v>1</v>
      </c>
      <c r="H10172">
        <v>1</v>
      </c>
      <c r="I10172">
        <f>1</f>
        <v>1</v>
      </c>
    </row>
    <row r="10173" spans="2:9" x14ac:dyDescent="0.25">
      <c r="B10173">
        <v>0</v>
      </c>
      <c r="C10173" s="16" t="s">
        <v>19114</v>
      </c>
      <c r="D10173" s="16"/>
      <c r="E10173">
        <v>6</v>
      </c>
      <c r="F10173" t="s">
        <v>9242</v>
      </c>
      <c r="G10173">
        <v>1</v>
      </c>
      <c r="H10173">
        <v>1</v>
      </c>
      <c r="I10173">
        <f>1</f>
        <v>1</v>
      </c>
    </row>
    <row r="10174" spans="2:9" x14ac:dyDescent="0.25">
      <c r="B10174">
        <v>0</v>
      </c>
      <c r="C10174" s="16" t="s">
        <v>19115</v>
      </c>
      <c r="D10174" s="16"/>
      <c r="E10174">
        <v>6</v>
      </c>
      <c r="F10174" t="s">
        <v>9243</v>
      </c>
      <c r="G10174">
        <v>1</v>
      </c>
      <c r="H10174">
        <v>1</v>
      </c>
      <c r="I10174">
        <f>1</f>
        <v>1</v>
      </c>
    </row>
    <row r="10175" spans="2:9" x14ac:dyDescent="0.25">
      <c r="B10175">
        <v>0</v>
      </c>
      <c r="C10175" s="16" t="s">
        <v>19116</v>
      </c>
      <c r="D10175" s="16"/>
      <c r="E10175">
        <v>6</v>
      </c>
      <c r="F10175" t="s">
        <v>4680</v>
      </c>
      <c r="G10175">
        <v>1</v>
      </c>
      <c r="H10175">
        <v>1</v>
      </c>
      <c r="I10175">
        <f>1</f>
        <v>1</v>
      </c>
    </row>
    <row r="10176" spans="2:9" x14ac:dyDescent="0.25">
      <c r="B10176">
        <v>0</v>
      </c>
      <c r="C10176" s="16" t="s">
        <v>19117</v>
      </c>
      <c r="D10176" s="16"/>
      <c r="E10176">
        <v>6</v>
      </c>
      <c r="F10176" t="s">
        <v>9244</v>
      </c>
      <c r="G10176">
        <v>1</v>
      </c>
      <c r="H10176">
        <v>1</v>
      </c>
      <c r="I10176">
        <f>1</f>
        <v>1</v>
      </c>
    </row>
    <row r="10177" spans="2:9" x14ac:dyDescent="0.25">
      <c r="B10177">
        <v>0</v>
      </c>
      <c r="C10177" s="16" t="s">
        <v>19118</v>
      </c>
      <c r="D10177" s="16"/>
      <c r="E10177">
        <v>6</v>
      </c>
      <c r="F10177" t="s">
        <v>4680</v>
      </c>
      <c r="G10177">
        <v>1</v>
      </c>
      <c r="H10177">
        <v>1</v>
      </c>
      <c r="I10177">
        <f>1</f>
        <v>1</v>
      </c>
    </row>
    <row r="10178" spans="2:9" x14ac:dyDescent="0.25">
      <c r="B10178">
        <v>0</v>
      </c>
      <c r="C10178" s="16" t="s">
        <v>19119</v>
      </c>
      <c r="D10178" s="16"/>
      <c r="E10178">
        <v>6</v>
      </c>
      <c r="F10178" t="e">
        <f>-máquinas De balancear  equilibrar  peças Mecânicas</f>
        <v>#NAME?</v>
      </c>
      <c r="G10178">
        <v>1</v>
      </c>
      <c r="H10178">
        <v>1</v>
      </c>
      <c r="I10178">
        <f>1</f>
        <v>1</v>
      </c>
    </row>
    <row r="10179" spans="2:9" x14ac:dyDescent="0.25">
      <c r="B10179">
        <v>0</v>
      </c>
      <c r="C10179" s="16" t="s">
        <v>19120</v>
      </c>
      <c r="D10179" s="16"/>
      <c r="E10179">
        <v>6</v>
      </c>
      <c r="F10179" t="s">
        <v>9245</v>
      </c>
      <c r="G10179">
        <v>1</v>
      </c>
      <c r="H10179">
        <v>1</v>
      </c>
      <c r="I10179">
        <f>1</f>
        <v>1</v>
      </c>
    </row>
    <row r="10180" spans="2:9" x14ac:dyDescent="0.25">
      <c r="B10180">
        <v>0</v>
      </c>
      <c r="C10180" s="16" t="s">
        <v>19121</v>
      </c>
      <c r="D10180" s="16"/>
      <c r="E10180">
        <v>6</v>
      </c>
      <c r="F10180" t="s">
        <v>4680</v>
      </c>
      <c r="G10180">
        <v>1</v>
      </c>
      <c r="H10180">
        <v>1</v>
      </c>
      <c r="I10180">
        <f>1</f>
        <v>1</v>
      </c>
    </row>
    <row r="10181" spans="2:9" x14ac:dyDescent="0.25">
      <c r="B10181">
        <v>0</v>
      </c>
      <c r="C10181" s="16" t="s">
        <v>19122</v>
      </c>
      <c r="D10181" s="16"/>
      <c r="E10181">
        <v>6</v>
      </c>
      <c r="F10181" t="e">
        <f>--para controle De plaquetas  wafers  ou De dispositivos semicondutores ou para controle De máscaras ou retículos utilizados Na fabricação De dispositivos semicondutores</f>
        <v>#NAME?</v>
      </c>
      <c r="G10181">
        <v>1</v>
      </c>
      <c r="H10181">
        <v>1</v>
      </c>
      <c r="I10181">
        <f>1</f>
        <v>1</v>
      </c>
    </row>
    <row r="10182" spans="2:9" x14ac:dyDescent="0.25">
      <c r="B10182">
        <v>0</v>
      </c>
      <c r="C10182" s="16" t="s">
        <v>19123</v>
      </c>
      <c r="D10182" s="16"/>
      <c r="E10182">
        <v>6</v>
      </c>
      <c r="F10182" t="s">
        <v>9246</v>
      </c>
      <c r="G10182">
        <v>1</v>
      </c>
      <c r="H10182">
        <v>1</v>
      </c>
      <c r="I10182">
        <f>1</f>
        <v>1</v>
      </c>
    </row>
    <row r="10183" spans="2:9" x14ac:dyDescent="0.25">
      <c r="B10183">
        <v>0</v>
      </c>
      <c r="C10183" s="16" t="s">
        <v>19124</v>
      </c>
      <c r="D10183" s="16"/>
      <c r="E10183">
        <v>6</v>
      </c>
      <c r="F10183" t="s">
        <v>9247</v>
      </c>
      <c r="G10183">
        <v>1</v>
      </c>
      <c r="H10183">
        <v>1</v>
      </c>
      <c r="I10183">
        <f>1</f>
        <v>1</v>
      </c>
    </row>
    <row r="10184" spans="2:9" x14ac:dyDescent="0.25">
      <c r="B10184">
        <v>0</v>
      </c>
      <c r="C10184" s="16" t="s">
        <v>19125</v>
      </c>
      <c r="D10184" s="16"/>
      <c r="E10184">
        <v>6</v>
      </c>
      <c r="F10184" t="s">
        <v>4680</v>
      </c>
      <c r="G10184">
        <v>1</v>
      </c>
      <c r="H10184">
        <v>1</v>
      </c>
      <c r="I10184">
        <f>1</f>
        <v>1</v>
      </c>
    </row>
    <row r="10185" spans="2:9" x14ac:dyDescent="0.25">
      <c r="B10185">
        <v>0</v>
      </c>
      <c r="C10185" s="16" t="s">
        <v>19125</v>
      </c>
      <c r="D10185" s="16" t="s">
        <v>19430</v>
      </c>
      <c r="E10185">
        <v>6</v>
      </c>
      <c r="F10185" t="s">
        <v>9248</v>
      </c>
      <c r="G10185">
        <v>1</v>
      </c>
      <c r="H10185">
        <v>1</v>
      </c>
      <c r="I10185">
        <f>1</f>
        <v>1</v>
      </c>
    </row>
    <row r="10186" spans="2:9" x14ac:dyDescent="0.25">
      <c r="B10186">
        <v>0</v>
      </c>
      <c r="C10186" s="16" t="s">
        <v>19126</v>
      </c>
      <c r="D10186" s="16"/>
      <c r="E10186">
        <v>6</v>
      </c>
      <c r="F10186" t="s">
        <v>9249</v>
      </c>
      <c r="G10186">
        <v>1</v>
      </c>
      <c r="H10186">
        <v>1</v>
      </c>
      <c r="I10186">
        <f>1</f>
        <v>1</v>
      </c>
    </row>
    <row r="10187" spans="2:9" x14ac:dyDescent="0.25">
      <c r="B10187">
        <v>0</v>
      </c>
      <c r="C10187" s="16" t="s">
        <v>19127</v>
      </c>
      <c r="D10187" s="16"/>
      <c r="E10187">
        <v>6</v>
      </c>
      <c r="F10187" t="s">
        <v>9250</v>
      </c>
      <c r="G10187">
        <v>1</v>
      </c>
      <c r="H10187">
        <v>1</v>
      </c>
      <c r="I10187">
        <f>1</f>
        <v>1</v>
      </c>
    </row>
    <row r="10188" spans="2:9" x14ac:dyDescent="0.25">
      <c r="B10188">
        <v>0</v>
      </c>
      <c r="C10188" s="16" t="s">
        <v>19128</v>
      </c>
      <c r="D10188" s="16"/>
      <c r="E10188">
        <v>6</v>
      </c>
      <c r="F10188" t="s">
        <v>9251</v>
      </c>
      <c r="G10188">
        <v>1</v>
      </c>
      <c r="H10188">
        <v>1</v>
      </c>
      <c r="I10188">
        <f>1</f>
        <v>1</v>
      </c>
    </row>
    <row r="10189" spans="2:9" x14ac:dyDescent="0.25">
      <c r="B10189">
        <v>0</v>
      </c>
      <c r="C10189" s="16" t="s">
        <v>19129</v>
      </c>
      <c r="D10189" s="16"/>
      <c r="E10189">
        <v>6</v>
      </c>
      <c r="F10189" t="s">
        <v>9252</v>
      </c>
      <c r="G10189">
        <v>1</v>
      </c>
      <c r="H10189">
        <v>1</v>
      </c>
      <c r="I10189">
        <f>1</f>
        <v>1</v>
      </c>
    </row>
    <row r="10190" spans="2:9" x14ac:dyDescent="0.25">
      <c r="B10190">
        <v>0</v>
      </c>
      <c r="C10190" s="16" t="s">
        <v>19130</v>
      </c>
      <c r="D10190" s="16"/>
      <c r="E10190">
        <v>6</v>
      </c>
      <c r="F10190" t="s">
        <v>9253</v>
      </c>
      <c r="G10190">
        <v>1</v>
      </c>
      <c r="H10190">
        <v>1</v>
      </c>
      <c r="I10190">
        <f>1</f>
        <v>1</v>
      </c>
    </row>
    <row r="10191" spans="2:9" x14ac:dyDescent="0.25">
      <c r="B10191">
        <v>0</v>
      </c>
      <c r="C10191" s="16" t="s">
        <v>19131</v>
      </c>
      <c r="D10191" s="16"/>
      <c r="E10191">
        <v>6</v>
      </c>
      <c r="F10191" t="s">
        <v>9254</v>
      </c>
      <c r="G10191">
        <v>1</v>
      </c>
      <c r="H10191">
        <v>1</v>
      </c>
      <c r="I10191">
        <f>1</f>
        <v>1</v>
      </c>
    </row>
    <row r="10192" spans="2:9" x14ac:dyDescent="0.25">
      <c r="B10192">
        <v>0</v>
      </c>
      <c r="C10192" s="16" t="s">
        <v>19132</v>
      </c>
      <c r="D10192" s="16"/>
      <c r="E10192">
        <v>6</v>
      </c>
      <c r="F10192" t="s">
        <v>9255</v>
      </c>
      <c r="G10192">
        <v>1</v>
      </c>
      <c r="H10192">
        <v>1</v>
      </c>
      <c r="I10192">
        <f>1</f>
        <v>1</v>
      </c>
    </row>
    <row r="10193" spans="2:9" x14ac:dyDescent="0.25">
      <c r="B10193">
        <v>0</v>
      </c>
      <c r="C10193" s="16" t="s">
        <v>19133</v>
      </c>
      <c r="D10193" s="16"/>
      <c r="E10193">
        <v>6</v>
      </c>
      <c r="F10193" t="s">
        <v>4680</v>
      </c>
      <c r="G10193">
        <v>1</v>
      </c>
      <c r="H10193">
        <v>1</v>
      </c>
      <c r="I10193">
        <f>1</f>
        <v>1</v>
      </c>
    </row>
    <row r="10194" spans="2:9" x14ac:dyDescent="0.25">
      <c r="B10194">
        <v>0</v>
      </c>
      <c r="C10194" s="16" t="s">
        <v>19134</v>
      </c>
      <c r="D10194" s="16"/>
      <c r="E10194">
        <v>6</v>
      </c>
      <c r="F10194" t="s">
        <v>9256</v>
      </c>
      <c r="G10194">
        <v>1</v>
      </c>
      <c r="H10194">
        <v>1</v>
      </c>
      <c r="I10194">
        <f>1</f>
        <v>1</v>
      </c>
    </row>
    <row r="10195" spans="2:9" x14ac:dyDescent="0.25">
      <c r="B10195">
        <v>0</v>
      </c>
      <c r="C10195" s="16" t="s">
        <v>19135</v>
      </c>
      <c r="D10195" s="16"/>
      <c r="E10195">
        <v>6</v>
      </c>
      <c r="F10195" t="s">
        <v>9257</v>
      </c>
      <c r="G10195">
        <v>1</v>
      </c>
      <c r="H10195">
        <v>1</v>
      </c>
      <c r="I10195">
        <f>1</f>
        <v>1</v>
      </c>
    </row>
    <row r="10196" spans="2:9" x14ac:dyDescent="0.25">
      <c r="B10196">
        <v>0</v>
      </c>
      <c r="C10196" s="16" t="s">
        <v>19136</v>
      </c>
      <c r="D10196" s="16"/>
      <c r="E10196">
        <v>6</v>
      </c>
      <c r="F10196" t="s">
        <v>4680</v>
      </c>
      <c r="G10196">
        <v>1</v>
      </c>
      <c r="H10196">
        <v>1</v>
      </c>
      <c r="I10196">
        <f>1</f>
        <v>1</v>
      </c>
    </row>
    <row r="10197" spans="2:9" x14ac:dyDescent="0.25">
      <c r="B10197">
        <v>0</v>
      </c>
      <c r="C10197" s="16" t="s">
        <v>19137</v>
      </c>
      <c r="D10197" s="16"/>
      <c r="E10197">
        <v>6</v>
      </c>
      <c r="F10197" t="s">
        <v>9258</v>
      </c>
      <c r="G10197">
        <v>1</v>
      </c>
      <c r="H10197">
        <v>1</v>
      </c>
      <c r="I10197">
        <f>1</f>
        <v>1</v>
      </c>
    </row>
    <row r="10198" spans="2:9" x14ac:dyDescent="0.25">
      <c r="B10198">
        <v>0</v>
      </c>
      <c r="C10198" s="16" t="s">
        <v>19138</v>
      </c>
      <c r="D10198" s="16"/>
      <c r="E10198">
        <v>6</v>
      </c>
      <c r="F10198" t="s">
        <v>4680</v>
      </c>
      <c r="G10198">
        <v>1</v>
      </c>
      <c r="H10198">
        <v>1</v>
      </c>
      <c r="I10198">
        <f>1</f>
        <v>1</v>
      </c>
    </row>
    <row r="10199" spans="2:9" x14ac:dyDescent="0.25">
      <c r="B10199">
        <v>0</v>
      </c>
      <c r="C10199" s="16" t="s">
        <v>19139</v>
      </c>
      <c r="D10199" s="16"/>
      <c r="E10199">
        <v>6</v>
      </c>
      <c r="F10199" t="e">
        <f>-Manostatos  pressostatos</f>
        <v>#NAME?</v>
      </c>
      <c r="G10199">
        <v>1</v>
      </c>
      <c r="H10199">
        <v>1</v>
      </c>
      <c r="I10199">
        <f>1</f>
        <v>1</v>
      </c>
    </row>
    <row r="10200" spans="2:9" x14ac:dyDescent="0.25">
      <c r="B10200">
        <v>0</v>
      </c>
      <c r="C10200" s="16" t="s">
        <v>19140</v>
      </c>
      <c r="D10200" s="16"/>
      <c r="E10200">
        <v>6</v>
      </c>
      <c r="F10200" t="e">
        <f>--hidráulicos ou Pneumáticos</f>
        <v>#NAME?</v>
      </c>
      <c r="G10200">
        <v>1</v>
      </c>
      <c r="H10200">
        <v>1</v>
      </c>
      <c r="I10200">
        <f>1</f>
        <v>1</v>
      </c>
    </row>
    <row r="10201" spans="2:9" x14ac:dyDescent="0.25">
      <c r="B10201">
        <v>0</v>
      </c>
      <c r="C10201" s="16" t="s">
        <v>19141</v>
      </c>
      <c r="D10201" s="16"/>
      <c r="E10201">
        <v>6</v>
      </c>
      <c r="F10201" t="s">
        <v>9259</v>
      </c>
      <c r="G10201">
        <v>1</v>
      </c>
      <c r="H10201">
        <v>1</v>
      </c>
      <c r="I10201">
        <f>1</f>
        <v>1</v>
      </c>
    </row>
    <row r="10202" spans="2:9" x14ac:dyDescent="0.25">
      <c r="B10202">
        <v>0</v>
      </c>
      <c r="C10202" s="16" t="s">
        <v>19142</v>
      </c>
      <c r="D10202" s="16"/>
      <c r="E10202">
        <v>6</v>
      </c>
      <c r="F10202" t="s">
        <v>4680</v>
      </c>
      <c r="G10202">
        <v>1</v>
      </c>
      <c r="H10202">
        <v>1</v>
      </c>
      <c r="I10202">
        <f>1</f>
        <v>1</v>
      </c>
    </row>
    <row r="10203" spans="2:9" x14ac:dyDescent="0.25">
      <c r="B10203">
        <v>0</v>
      </c>
      <c r="C10203" s="16" t="s">
        <v>19143</v>
      </c>
      <c r="D10203" s="16"/>
      <c r="E10203">
        <v>6</v>
      </c>
      <c r="F10203" t="s">
        <v>9260</v>
      </c>
      <c r="G10203">
        <v>1</v>
      </c>
      <c r="H10203">
        <v>1</v>
      </c>
      <c r="I10203">
        <f>1</f>
        <v>1</v>
      </c>
    </row>
    <row r="10204" spans="2:9" x14ac:dyDescent="0.25">
      <c r="B10204">
        <v>0</v>
      </c>
      <c r="C10204" s="16" t="s">
        <v>19144</v>
      </c>
      <c r="D10204" s="16"/>
      <c r="E10204">
        <v>6</v>
      </c>
      <c r="F10204" t="s">
        <v>9261</v>
      </c>
      <c r="G10204">
        <v>1</v>
      </c>
      <c r="H10204">
        <v>1</v>
      </c>
      <c r="I10204">
        <f>1</f>
        <v>1</v>
      </c>
    </row>
    <row r="10205" spans="2:9" x14ac:dyDescent="0.25">
      <c r="B10205">
        <v>0</v>
      </c>
      <c r="C10205" s="16" t="s">
        <v>19145</v>
      </c>
      <c r="D10205" s="16"/>
      <c r="E10205">
        <v>6</v>
      </c>
      <c r="F10205" t="s">
        <v>9262</v>
      </c>
      <c r="G10205">
        <v>1</v>
      </c>
      <c r="H10205">
        <v>1</v>
      </c>
      <c r="I10205">
        <f>1</f>
        <v>1</v>
      </c>
    </row>
    <row r="10206" spans="2:9" x14ac:dyDescent="0.25">
      <c r="B10206">
        <v>0</v>
      </c>
      <c r="C10206" s="16" t="s">
        <v>19146</v>
      </c>
      <c r="D10206" s="16"/>
      <c r="E10206">
        <v>6</v>
      </c>
      <c r="F10206" t="s">
        <v>9263</v>
      </c>
      <c r="G10206">
        <v>1</v>
      </c>
      <c r="H10206">
        <v>1</v>
      </c>
      <c r="I10206">
        <f>1</f>
        <v>1</v>
      </c>
    </row>
    <row r="10207" spans="2:9" x14ac:dyDescent="0.25">
      <c r="B10207">
        <v>0</v>
      </c>
      <c r="C10207" s="16" t="s">
        <v>19147</v>
      </c>
      <c r="D10207" s="16"/>
      <c r="E10207">
        <v>6</v>
      </c>
      <c r="F10207" t="s">
        <v>9264</v>
      </c>
      <c r="G10207">
        <v>1</v>
      </c>
      <c r="H10207">
        <v>1</v>
      </c>
      <c r="I10207">
        <f>1</f>
        <v>1</v>
      </c>
    </row>
    <row r="10208" spans="2:9" x14ac:dyDescent="0.25">
      <c r="B10208">
        <v>0</v>
      </c>
      <c r="C10208" s="16" t="s">
        <v>19148</v>
      </c>
      <c r="D10208" s="16"/>
      <c r="E10208">
        <v>6</v>
      </c>
      <c r="F10208" t="s">
        <v>4680</v>
      </c>
      <c r="G10208">
        <v>1</v>
      </c>
      <c r="H10208">
        <v>1</v>
      </c>
      <c r="I10208">
        <f>1</f>
        <v>1</v>
      </c>
    </row>
    <row r="10209" spans="2:9" x14ac:dyDescent="0.25">
      <c r="B10209">
        <v>0</v>
      </c>
      <c r="C10209" s="16" t="s">
        <v>19149</v>
      </c>
      <c r="D10209" s="16"/>
      <c r="E10209">
        <v>6</v>
      </c>
      <c r="F10209" t="s">
        <v>9265</v>
      </c>
      <c r="G10209">
        <v>1</v>
      </c>
      <c r="H10209">
        <v>1</v>
      </c>
      <c r="I10209">
        <f>1</f>
        <v>1</v>
      </c>
    </row>
    <row r="10210" spans="2:9" x14ac:dyDescent="0.25">
      <c r="B10210">
        <v>0</v>
      </c>
      <c r="C10210" s="16" t="s">
        <v>19150</v>
      </c>
      <c r="D10210" s="16"/>
      <c r="E10210">
        <v>6</v>
      </c>
      <c r="F10210" t="s">
        <v>9266</v>
      </c>
      <c r="G10210">
        <v>1</v>
      </c>
      <c r="H10210">
        <v>1</v>
      </c>
      <c r="I10210">
        <f>1</f>
        <v>1</v>
      </c>
    </row>
    <row r="10211" spans="2:9" x14ac:dyDescent="0.25">
      <c r="B10211">
        <v>0</v>
      </c>
      <c r="C10211" s="16" t="s">
        <v>19151</v>
      </c>
      <c r="D10211" s="16"/>
      <c r="E10211">
        <v>6</v>
      </c>
      <c r="F10211" t="s">
        <v>9267</v>
      </c>
      <c r="G10211">
        <v>1</v>
      </c>
      <c r="H10211">
        <v>1</v>
      </c>
      <c r="I10211">
        <f>1</f>
        <v>1</v>
      </c>
    </row>
    <row r="10212" spans="2:9" x14ac:dyDescent="0.25">
      <c r="B10212">
        <v>0</v>
      </c>
      <c r="C10212" s="16" t="s">
        <v>19152</v>
      </c>
      <c r="D10212" s="16"/>
      <c r="E10212">
        <v>6</v>
      </c>
      <c r="F10212" t="s">
        <v>9268</v>
      </c>
      <c r="G10212">
        <v>1</v>
      </c>
      <c r="H10212">
        <v>1</v>
      </c>
      <c r="I10212">
        <f>1</f>
        <v>1</v>
      </c>
    </row>
    <row r="10213" spans="2:9" x14ac:dyDescent="0.25">
      <c r="B10213">
        <v>0</v>
      </c>
      <c r="C10213" s="16" t="s">
        <v>19153</v>
      </c>
      <c r="D10213" s="16"/>
      <c r="E10213">
        <v>6</v>
      </c>
      <c r="F10213" t="s">
        <v>9269</v>
      </c>
      <c r="G10213">
        <v>1</v>
      </c>
      <c r="H10213">
        <v>1</v>
      </c>
      <c r="I10213">
        <f>1</f>
        <v>1</v>
      </c>
    </row>
    <row r="10214" spans="2:9" x14ac:dyDescent="0.25">
      <c r="B10214">
        <v>0</v>
      </c>
      <c r="C10214" s="16" t="s">
        <v>19154</v>
      </c>
      <c r="D10214" s="16"/>
      <c r="E10214">
        <v>6</v>
      </c>
      <c r="F10214" t="s">
        <v>4680</v>
      </c>
      <c r="G10214">
        <v>1</v>
      </c>
      <c r="H10214">
        <v>1</v>
      </c>
      <c r="I10214">
        <f>1</f>
        <v>1</v>
      </c>
    </row>
    <row r="10215" spans="2:9" x14ac:dyDescent="0.25">
      <c r="B10215">
        <v>0</v>
      </c>
      <c r="C10215" s="16" t="s">
        <v>19155</v>
      </c>
      <c r="D10215" s="16"/>
      <c r="E10215">
        <v>6</v>
      </c>
      <c r="F10215" t="s">
        <v>4680</v>
      </c>
      <c r="G10215">
        <v>1</v>
      </c>
      <c r="H10215">
        <v>1</v>
      </c>
      <c r="I10215">
        <f>1</f>
        <v>1</v>
      </c>
    </row>
    <row r="10216" spans="2:9" x14ac:dyDescent="0.25">
      <c r="B10216">
        <v>0</v>
      </c>
      <c r="C10216" s="16" t="s">
        <v>19156</v>
      </c>
      <c r="D10216" s="16"/>
      <c r="E10216">
        <v>6</v>
      </c>
      <c r="F10216" t="s">
        <v>8297</v>
      </c>
      <c r="G10216">
        <v>1</v>
      </c>
      <c r="H10216">
        <v>1</v>
      </c>
      <c r="I10216">
        <f>1</f>
        <v>1</v>
      </c>
    </row>
    <row r="10217" spans="2:9" x14ac:dyDescent="0.25">
      <c r="B10217">
        <v>0</v>
      </c>
      <c r="C10217" s="16" t="s">
        <v>19157</v>
      </c>
      <c r="D10217" s="16"/>
      <c r="E10217">
        <v>6</v>
      </c>
      <c r="F10217" t="s">
        <v>9270</v>
      </c>
      <c r="G10217">
        <v>1</v>
      </c>
      <c r="H10217">
        <v>1</v>
      </c>
      <c r="I10217">
        <f>1</f>
        <v>1</v>
      </c>
    </row>
    <row r="10218" spans="2:9" x14ac:dyDescent="0.25">
      <c r="B10218">
        <v>0</v>
      </c>
      <c r="C10218" s="16" t="s">
        <v>19158</v>
      </c>
      <c r="D10218" s="16"/>
      <c r="E10218">
        <v>6</v>
      </c>
      <c r="F10218" t="s">
        <v>4680</v>
      </c>
      <c r="G10218">
        <v>1</v>
      </c>
      <c r="H10218">
        <v>1</v>
      </c>
      <c r="I10218">
        <f>1</f>
        <v>1</v>
      </c>
    </row>
    <row r="10219" spans="2:9" x14ac:dyDescent="0.25">
      <c r="B10219">
        <v>0</v>
      </c>
      <c r="C10219" s="16" t="s">
        <v>19159</v>
      </c>
      <c r="D10219" s="16"/>
      <c r="E10219">
        <v>6</v>
      </c>
      <c r="F10219" t="s">
        <v>9271</v>
      </c>
      <c r="G10219">
        <v>1</v>
      </c>
      <c r="H10219">
        <v>1</v>
      </c>
      <c r="I10219">
        <f>1</f>
        <v>1</v>
      </c>
    </row>
    <row r="10220" spans="2:9" x14ac:dyDescent="0.25">
      <c r="B10220">
        <v>0</v>
      </c>
      <c r="C10220" s="16" t="s">
        <v>19160</v>
      </c>
      <c r="D10220" s="16"/>
      <c r="E10220">
        <v>6</v>
      </c>
      <c r="F10220" t="e">
        <f>--De mostrador exclusivamente mecânico</f>
        <v>#NAME?</v>
      </c>
      <c r="G10220">
        <v>1</v>
      </c>
      <c r="H10220">
        <v>1</v>
      </c>
      <c r="I10220">
        <f>1</f>
        <v>1</v>
      </c>
    </row>
    <row r="10221" spans="2:9" x14ac:dyDescent="0.25">
      <c r="B10221">
        <v>0</v>
      </c>
      <c r="C10221" s="16" t="s">
        <v>19161</v>
      </c>
      <c r="D10221" s="16"/>
      <c r="E10221">
        <v>6</v>
      </c>
      <c r="F10221" t="e">
        <f>--outros</f>
        <v>#NAME?</v>
      </c>
      <c r="G10221">
        <v>1</v>
      </c>
      <c r="H10221">
        <v>1</v>
      </c>
      <c r="I10221">
        <f>1</f>
        <v>1</v>
      </c>
    </row>
    <row r="10222" spans="2:9" x14ac:dyDescent="0.25">
      <c r="B10222">
        <v>0</v>
      </c>
      <c r="C10222" s="16" t="s">
        <v>19162</v>
      </c>
      <c r="D10222" s="16"/>
      <c r="E10222">
        <v>6</v>
      </c>
      <c r="F10222" t="e">
        <f>--De corda automática</f>
        <v>#NAME?</v>
      </c>
      <c r="G10222">
        <v>1</v>
      </c>
      <c r="H10222">
        <v>1</v>
      </c>
      <c r="I10222">
        <f>1</f>
        <v>1</v>
      </c>
    </row>
    <row r="10223" spans="2:9" x14ac:dyDescent="0.25">
      <c r="B10223">
        <v>0</v>
      </c>
      <c r="C10223" s="16" t="s">
        <v>19163</v>
      </c>
      <c r="D10223" s="16"/>
      <c r="E10223">
        <v>6</v>
      </c>
      <c r="F10223" t="e">
        <f>--outros</f>
        <v>#NAME?</v>
      </c>
      <c r="G10223">
        <v>1</v>
      </c>
      <c r="H10223">
        <v>1</v>
      </c>
      <c r="I10223">
        <f>1</f>
        <v>1</v>
      </c>
    </row>
    <row r="10224" spans="2:9" x14ac:dyDescent="0.25">
      <c r="B10224">
        <v>0</v>
      </c>
      <c r="C10224" s="16" t="s">
        <v>19164</v>
      </c>
      <c r="D10224" s="16"/>
      <c r="E10224">
        <v>6</v>
      </c>
      <c r="F10224" t="e">
        <f>--Funcionando eletricamente</f>
        <v>#NAME?</v>
      </c>
      <c r="G10224">
        <v>1</v>
      </c>
      <c r="H10224">
        <v>1</v>
      </c>
      <c r="I10224">
        <f>1</f>
        <v>1</v>
      </c>
    </row>
    <row r="10225" spans="2:9" x14ac:dyDescent="0.25">
      <c r="B10225">
        <v>0</v>
      </c>
      <c r="C10225" s="16" t="s">
        <v>19165</v>
      </c>
      <c r="D10225" s="16"/>
      <c r="E10225">
        <v>6</v>
      </c>
      <c r="F10225" t="e">
        <f>--outros</f>
        <v>#NAME?</v>
      </c>
      <c r="G10225">
        <v>1</v>
      </c>
      <c r="H10225">
        <v>1</v>
      </c>
      <c r="I10225">
        <f>1</f>
        <v>1</v>
      </c>
    </row>
    <row r="10226" spans="2:9" x14ac:dyDescent="0.25">
      <c r="B10226">
        <v>0</v>
      </c>
      <c r="C10226" s="16" t="s">
        <v>19166</v>
      </c>
      <c r="D10226" s="16"/>
      <c r="E10226">
        <v>6</v>
      </c>
      <c r="F10226" t="s">
        <v>9272</v>
      </c>
      <c r="G10226">
        <v>1</v>
      </c>
      <c r="H10226">
        <v>1</v>
      </c>
      <c r="I10226">
        <f>1</f>
        <v>1</v>
      </c>
    </row>
    <row r="10227" spans="2:9" x14ac:dyDescent="0.25">
      <c r="B10227">
        <v>0</v>
      </c>
      <c r="C10227" s="16" t="s">
        <v>19167</v>
      </c>
      <c r="D10227" s="16"/>
      <c r="E10227">
        <v>6</v>
      </c>
      <c r="F10227" t="s">
        <v>4680</v>
      </c>
      <c r="G10227">
        <v>1</v>
      </c>
      <c r="H10227">
        <v>1</v>
      </c>
      <c r="I10227">
        <f>1</f>
        <v>1</v>
      </c>
    </row>
    <row r="10228" spans="2:9" x14ac:dyDescent="0.25">
      <c r="B10228">
        <v>0</v>
      </c>
      <c r="C10228" s="16" t="s">
        <v>19168</v>
      </c>
      <c r="D10228" s="16"/>
      <c r="E10228">
        <v>6</v>
      </c>
      <c r="F10228" t="s">
        <v>9272</v>
      </c>
      <c r="G10228">
        <v>1</v>
      </c>
      <c r="H10228">
        <v>1</v>
      </c>
      <c r="I10228">
        <f>1</f>
        <v>1</v>
      </c>
    </row>
    <row r="10229" spans="2:9" x14ac:dyDescent="0.25">
      <c r="B10229">
        <v>0</v>
      </c>
      <c r="C10229" s="16" t="s">
        <v>19169</v>
      </c>
      <c r="D10229" s="16"/>
      <c r="E10229">
        <v>6</v>
      </c>
      <c r="F10229" t="s">
        <v>9273</v>
      </c>
      <c r="G10229">
        <v>1</v>
      </c>
      <c r="H10229">
        <v>1</v>
      </c>
      <c r="I10229">
        <f>1</f>
        <v>1</v>
      </c>
    </row>
    <row r="10230" spans="2:9" x14ac:dyDescent="0.25">
      <c r="B10230">
        <v>0</v>
      </c>
      <c r="C10230" s="16" t="s">
        <v>19170</v>
      </c>
      <c r="D10230" s="16"/>
      <c r="E10230">
        <v>6</v>
      </c>
      <c r="F10230" t="s">
        <v>4680</v>
      </c>
      <c r="G10230">
        <v>1</v>
      </c>
      <c r="H10230">
        <v>1</v>
      </c>
      <c r="I10230">
        <f>1</f>
        <v>1</v>
      </c>
    </row>
    <row r="10231" spans="2:9" x14ac:dyDescent="0.25">
      <c r="B10231">
        <v>0</v>
      </c>
      <c r="C10231" s="16" t="s">
        <v>19171</v>
      </c>
      <c r="D10231" s="16"/>
      <c r="E10231">
        <v>6</v>
      </c>
      <c r="F10231" t="e">
        <f>--outros</f>
        <v>#NAME?</v>
      </c>
      <c r="G10231">
        <v>1</v>
      </c>
      <c r="H10231">
        <v>1</v>
      </c>
      <c r="I10231">
        <f>1</f>
        <v>1</v>
      </c>
    </row>
    <row r="10232" spans="2:9" x14ac:dyDescent="0.25">
      <c r="B10232">
        <v>0</v>
      </c>
      <c r="C10232" s="16" t="s">
        <v>19172</v>
      </c>
      <c r="D10232" s="16"/>
      <c r="E10232">
        <v>6</v>
      </c>
      <c r="F10232" t="e">
        <f>--De corda automática</f>
        <v>#NAME?</v>
      </c>
      <c r="G10232">
        <v>1</v>
      </c>
      <c r="H10232">
        <v>1</v>
      </c>
      <c r="I10232">
        <f>1</f>
        <v>1</v>
      </c>
    </row>
    <row r="10233" spans="2:9" x14ac:dyDescent="0.25">
      <c r="B10233">
        <v>0</v>
      </c>
      <c r="C10233" s="16" t="s">
        <v>19173</v>
      </c>
      <c r="D10233" s="16"/>
      <c r="E10233">
        <v>6</v>
      </c>
      <c r="F10233" t="e">
        <f>--outros</f>
        <v>#NAME?</v>
      </c>
      <c r="G10233">
        <v>1</v>
      </c>
      <c r="H10233">
        <v>1</v>
      </c>
      <c r="I10233">
        <f>1</f>
        <v>1</v>
      </c>
    </row>
    <row r="10234" spans="2:9" x14ac:dyDescent="0.25">
      <c r="B10234">
        <v>0</v>
      </c>
      <c r="C10234" s="16" t="s">
        <v>19174</v>
      </c>
      <c r="D10234" s="16"/>
      <c r="E10234">
        <v>6</v>
      </c>
      <c r="F10234" t="e">
        <f>--Funcionando eletricamente</f>
        <v>#NAME?</v>
      </c>
      <c r="G10234">
        <v>1</v>
      </c>
      <c r="H10234">
        <v>1</v>
      </c>
      <c r="I10234">
        <f>1</f>
        <v>1</v>
      </c>
    </row>
    <row r="10235" spans="2:9" x14ac:dyDescent="0.25">
      <c r="B10235">
        <v>0</v>
      </c>
      <c r="C10235" s="16" t="s">
        <v>19174</v>
      </c>
      <c r="D10235" s="16" t="s">
        <v>19430</v>
      </c>
      <c r="E10235">
        <v>6</v>
      </c>
      <c r="F10235" t="s">
        <v>9274</v>
      </c>
      <c r="G10235">
        <v>1</v>
      </c>
      <c r="H10235">
        <v>1</v>
      </c>
      <c r="I10235">
        <f>1</f>
        <v>1</v>
      </c>
    </row>
    <row r="10236" spans="2:9" x14ac:dyDescent="0.25">
      <c r="B10236">
        <v>0</v>
      </c>
      <c r="C10236" s="16" t="s">
        <v>19174</v>
      </c>
      <c r="D10236" s="16" t="s">
        <v>19431</v>
      </c>
      <c r="E10236">
        <v>6</v>
      </c>
      <c r="F10236" t="s">
        <v>9275</v>
      </c>
      <c r="G10236">
        <v>1</v>
      </c>
      <c r="H10236">
        <v>1</v>
      </c>
      <c r="I10236">
        <f>1</f>
        <v>1</v>
      </c>
    </row>
    <row r="10237" spans="2:9" x14ac:dyDescent="0.25">
      <c r="B10237">
        <v>0</v>
      </c>
      <c r="C10237" s="16" t="s">
        <v>19175</v>
      </c>
      <c r="D10237" s="16"/>
      <c r="E10237">
        <v>6</v>
      </c>
      <c r="F10237" t="e">
        <f>--outros</f>
        <v>#NAME?</v>
      </c>
      <c r="G10237">
        <v>1</v>
      </c>
      <c r="H10237">
        <v>1</v>
      </c>
      <c r="I10237">
        <f>1</f>
        <v>1</v>
      </c>
    </row>
    <row r="10238" spans="2:9" x14ac:dyDescent="0.25">
      <c r="B10238">
        <v>0</v>
      </c>
      <c r="C10238" s="16" t="s">
        <v>19176</v>
      </c>
      <c r="D10238" s="16"/>
      <c r="E10238">
        <v>6</v>
      </c>
      <c r="F10238" t="e">
        <f>-Funcionando eletricamente</f>
        <v>#NAME?</v>
      </c>
      <c r="G10238">
        <v>1</v>
      </c>
      <c r="H10238">
        <v>1</v>
      </c>
      <c r="I10238">
        <f>1</f>
        <v>1</v>
      </c>
    </row>
    <row r="10239" spans="2:9" x14ac:dyDescent="0.25">
      <c r="B10239">
        <v>0</v>
      </c>
      <c r="C10239" s="16" t="s">
        <v>19177</v>
      </c>
      <c r="D10239" s="16"/>
      <c r="E10239">
        <v>6</v>
      </c>
      <c r="F10239" t="e">
        <f>-outros</f>
        <v>#NAME?</v>
      </c>
      <c r="G10239">
        <v>1</v>
      </c>
      <c r="H10239">
        <v>1</v>
      </c>
      <c r="I10239">
        <f>1</f>
        <v>1</v>
      </c>
    </row>
    <row r="10240" spans="2:9" x14ac:dyDescent="0.25">
      <c r="B10240">
        <v>0</v>
      </c>
      <c r="C10240" s="16" t="s">
        <v>19178</v>
      </c>
      <c r="D10240" s="16"/>
      <c r="E10240">
        <v>6</v>
      </c>
      <c r="F10240" t="s">
        <v>9276</v>
      </c>
      <c r="G10240">
        <v>1</v>
      </c>
      <c r="H10240">
        <v>1</v>
      </c>
      <c r="I10240">
        <f>1</f>
        <v>1</v>
      </c>
    </row>
    <row r="10241" spans="2:9" x14ac:dyDescent="0.25">
      <c r="B10241">
        <v>0</v>
      </c>
      <c r="C10241" s="16" t="s">
        <v>19179</v>
      </c>
      <c r="D10241" s="16"/>
      <c r="E10241">
        <v>6</v>
      </c>
      <c r="F10241" t="e">
        <f>--Funcionando eletricamente</f>
        <v>#NAME?</v>
      </c>
      <c r="G10241">
        <v>1</v>
      </c>
      <c r="H10241">
        <v>1</v>
      </c>
      <c r="I10241">
        <f>1</f>
        <v>1</v>
      </c>
    </row>
    <row r="10242" spans="2:9" x14ac:dyDescent="0.25">
      <c r="B10242">
        <v>0</v>
      </c>
      <c r="C10242" s="16" t="s">
        <v>19180</v>
      </c>
      <c r="D10242" s="16"/>
      <c r="E10242">
        <v>6</v>
      </c>
      <c r="F10242" t="e">
        <f>--outros</f>
        <v>#NAME?</v>
      </c>
      <c r="G10242">
        <v>1</v>
      </c>
      <c r="H10242">
        <v>1</v>
      </c>
      <c r="I10242">
        <f>1</f>
        <v>1</v>
      </c>
    </row>
    <row r="10243" spans="2:9" x14ac:dyDescent="0.25">
      <c r="B10243">
        <v>0</v>
      </c>
      <c r="C10243" s="16" t="s">
        <v>19181</v>
      </c>
      <c r="D10243" s="16"/>
      <c r="E10243">
        <v>6</v>
      </c>
      <c r="F10243" t="e">
        <f>--Funcionando eletricamente</f>
        <v>#NAME?</v>
      </c>
      <c r="G10243">
        <v>1</v>
      </c>
      <c r="H10243">
        <v>1</v>
      </c>
      <c r="I10243">
        <f>1</f>
        <v>1</v>
      </c>
    </row>
    <row r="10244" spans="2:9" x14ac:dyDescent="0.25">
      <c r="B10244">
        <v>0</v>
      </c>
      <c r="C10244" s="16" t="s">
        <v>19182</v>
      </c>
      <c r="D10244" s="16"/>
      <c r="E10244">
        <v>6</v>
      </c>
      <c r="F10244" t="e">
        <f>--outros</f>
        <v>#NAME?</v>
      </c>
      <c r="G10244">
        <v>1</v>
      </c>
      <c r="H10244">
        <v>1</v>
      </c>
      <c r="I10244">
        <f>1</f>
        <v>1</v>
      </c>
    </row>
    <row r="10245" spans="2:9" x14ac:dyDescent="0.25">
      <c r="B10245">
        <v>0</v>
      </c>
      <c r="C10245" s="16" t="s">
        <v>19183</v>
      </c>
      <c r="D10245" s="16"/>
      <c r="E10245">
        <v>6</v>
      </c>
      <c r="F10245" t="e">
        <f>--Funcionando eletricamente</f>
        <v>#NAME?</v>
      </c>
      <c r="G10245">
        <v>1</v>
      </c>
      <c r="H10245">
        <v>1</v>
      </c>
      <c r="I10245">
        <f>1</f>
        <v>1</v>
      </c>
    </row>
    <row r="10246" spans="2:9" x14ac:dyDescent="0.25">
      <c r="B10246">
        <v>0</v>
      </c>
      <c r="C10246" s="16" t="s">
        <v>19184</v>
      </c>
      <c r="D10246" s="16"/>
      <c r="E10246">
        <v>6</v>
      </c>
      <c r="F10246" t="e">
        <f>--outros</f>
        <v>#NAME?</v>
      </c>
      <c r="G10246">
        <v>1</v>
      </c>
      <c r="H10246">
        <v>1</v>
      </c>
      <c r="I10246">
        <f>1</f>
        <v>1</v>
      </c>
    </row>
    <row r="10247" spans="2:9" x14ac:dyDescent="0.25">
      <c r="B10247">
        <v>0</v>
      </c>
      <c r="C10247" s="16" t="s">
        <v>19185</v>
      </c>
      <c r="D10247" s="16"/>
      <c r="E10247">
        <v>6</v>
      </c>
      <c r="F10247" t="s">
        <v>9277</v>
      </c>
      <c r="G10247">
        <v>1</v>
      </c>
      <c r="H10247">
        <v>1</v>
      </c>
      <c r="I10247">
        <f>1</f>
        <v>1</v>
      </c>
    </row>
    <row r="10248" spans="2:9" x14ac:dyDescent="0.25">
      <c r="B10248">
        <v>0</v>
      </c>
      <c r="C10248" s="16" t="s">
        <v>19186</v>
      </c>
      <c r="D10248" s="16"/>
      <c r="E10248">
        <v>6</v>
      </c>
      <c r="F10248" t="e">
        <f>-outros</f>
        <v>#NAME?</v>
      </c>
      <c r="G10248">
        <v>1</v>
      </c>
      <c r="H10248">
        <v>1</v>
      </c>
      <c r="I10248">
        <f>1</f>
        <v>1</v>
      </c>
    </row>
    <row r="10249" spans="2:9" x14ac:dyDescent="0.25">
      <c r="B10249">
        <v>0</v>
      </c>
      <c r="C10249" s="16" t="s">
        <v>19187</v>
      </c>
      <c r="D10249" s="16"/>
      <c r="E10249">
        <v>6</v>
      </c>
      <c r="F10249" t="s">
        <v>9278</v>
      </c>
      <c r="G10249">
        <v>1</v>
      </c>
      <c r="H10249">
        <v>1</v>
      </c>
      <c r="I10249">
        <f>1</f>
        <v>1</v>
      </c>
    </row>
    <row r="10250" spans="2:9" x14ac:dyDescent="0.25">
      <c r="B10250">
        <v>0</v>
      </c>
      <c r="C10250" s="16" t="s">
        <v>19188</v>
      </c>
      <c r="D10250" s="16"/>
      <c r="E10250">
        <v>6</v>
      </c>
      <c r="F10250" t="s">
        <v>4680</v>
      </c>
      <c r="G10250">
        <v>1</v>
      </c>
      <c r="H10250">
        <v>1</v>
      </c>
      <c r="I10250">
        <f>1</f>
        <v>1</v>
      </c>
    </row>
    <row r="10251" spans="2:9" x14ac:dyDescent="0.25">
      <c r="B10251">
        <v>0</v>
      </c>
      <c r="C10251" s="16" t="s">
        <v>19189</v>
      </c>
      <c r="D10251" s="16"/>
      <c r="E10251">
        <v>6</v>
      </c>
      <c r="F10251" t="s">
        <v>9279</v>
      </c>
      <c r="G10251">
        <v>1</v>
      </c>
      <c r="H10251">
        <v>1</v>
      </c>
      <c r="I10251">
        <f>1</f>
        <v>1</v>
      </c>
    </row>
    <row r="10252" spans="2:9" x14ac:dyDescent="0.25">
      <c r="B10252">
        <v>0</v>
      </c>
      <c r="C10252" s="16" t="s">
        <v>19190</v>
      </c>
      <c r="D10252" s="16"/>
      <c r="E10252">
        <v>6</v>
      </c>
      <c r="F10252" t="s">
        <v>4680</v>
      </c>
      <c r="G10252">
        <v>1</v>
      </c>
      <c r="H10252">
        <v>1</v>
      </c>
      <c r="I10252">
        <f>1</f>
        <v>1</v>
      </c>
    </row>
    <row r="10253" spans="2:9" x14ac:dyDescent="0.25">
      <c r="B10253">
        <v>0</v>
      </c>
      <c r="C10253" s="16" t="s">
        <v>19191</v>
      </c>
      <c r="D10253" s="16"/>
      <c r="E10253">
        <v>6</v>
      </c>
      <c r="F10253" t="e">
        <f>--De mostrador exclusivamente optoeletrônico</f>
        <v>#NAME?</v>
      </c>
      <c r="G10253">
        <v>1</v>
      </c>
      <c r="H10253">
        <v>1</v>
      </c>
      <c r="I10253">
        <f>1</f>
        <v>1</v>
      </c>
    </row>
    <row r="10254" spans="2:9" x14ac:dyDescent="0.25">
      <c r="B10254">
        <v>0</v>
      </c>
      <c r="C10254" s="16" t="s">
        <v>19192</v>
      </c>
      <c r="D10254" s="16"/>
      <c r="E10254">
        <v>6</v>
      </c>
      <c r="F10254" t="e">
        <f>--outros</f>
        <v>#NAME?</v>
      </c>
      <c r="G10254">
        <v>1</v>
      </c>
      <c r="H10254">
        <v>1</v>
      </c>
      <c r="I10254">
        <f>1</f>
        <v>1</v>
      </c>
    </row>
    <row r="10255" spans="2:9" x14ac:dyDescent="0.25">
      <c r="B10255">
        <v>0</v>
      </c>
      <c r="C10255" s="16" t="s">
        <v>19193</v>
      </c>
      <c r="D10255" s="16"/>
      <c r="E10255">
        <v>6</v>
      </c>
      <c r="F10255" t="e">
        <f>-De corda automática</f>
        <v>#NAME?</v>
      </c>
      <c r="G10255">
        <v>1</v>
      </c>
      <c r="H10255">
        <v>1</v>
      </c>
      <c r="I10255">
        <f>1</f>
        <v>1</v>
      </c>
    </row>
    <row r="10256" spans="2:9" x14ac:dyDescent="0.25">
      <c r="B10256">
        <v>0</v>
      </c>
      <c r="C10256" s="16" t="s">
        <v>19194</v>
      </c>
      <c r="D10256" s="16"/>
      <c r="E10256">
        <v>6</v>
      </c>
      <c r="F10256" t="e">
        <f>-outros</f>
        <v>#NAME?</v>
      </c>
      <c r="G10256">
        <v>1</v>
      </c>
      <c r="H10256">
        <v>1</v>
      </c>
      <c r="I10256">
        <f>1</f>
        <v>1</v>
      </c>
    </row>
    <row r="10257" spans="2:9" x14ac:dyDescent="0.25">
      <c r="B10257">
        <v>0</v>
      </c>
      <c r="C10257" s="16" t="s">
        <v>19195</v>
      </c>
      <c r="D10257" s="16"/>
      <c r="E10257">
        <v>6</v>
      </c>
      <c r="F10257" t="e">
        <f>-Funcionando eletricamente</f>
        <v>#NAME?</v>
      </c>
      <c r="G10257">
        <v>1</v>
      </c>
      <c r="H10257">
        <v>1</v>
      </c>
      <c r="I10257">
        <f>1</f>
        <v>1</v>
      </c>
    </row>
    <row r="10258" spans="2:9" x14ac:dyDescent="0.25">
      <c r="B10258">
        <v>0</v>
      </c>
      <c r="C10258" s="16" t="s">
        <v>19196</v>
      </c>
      <c r="D10258" s="16"/>
      <c r="E10258">
        <v>6</v>
      </c>
      <c r="F10258" t="e">
        <f>-outros</f>
        <v>#NAME?</v>
      </c>
      <c r="G10258">
        <v>1</v>
      </c>
      <c r="H10258">
        <v>1</v>
      </c>
      <c r="I10258">
        <f>1</f>
        <v>1</v>
      </c>
    </row>
    <row r="10259" spans="2:9" x14ac:dyDescent="0.25">
      <c r="B10259">
        <v>0</v>
      </c>
      <c r="C10259" s="16" t="s">
        <v>19197</v>
      </c>
      <c r="D10259" s="16"/>
      <c r="E10259">
        <v>6</v>
      </c>
      <c r="F10259" t="s">
        <v>9279</v>
      </c>
      <c r="G10259">
        <v>1</v>
      </c>
      <c r="H10259">
        <v>1</v>
      </c>
      <c r="I10259">
        <f>1</f>
        <v>1</v>
      </c>
    </row>
    <row r="10260" spans="2:9" x14ac:dyDescent="0.25">
      <c r="B10260">
        <v>0</v>
      </c>
      <c r="C10260" s="16" t="s">
        <v>19198</v>
      </c>
      <c r="D10260" s="16"/>
      <c r="E10260">
        <v>6</v>
      </c>
      <c r="F10260" t="s">
        <v>4680</v>
      </c>
      <c r="G10260">
        <v>1</v>
      </c>
      <c r="H10260">
        <v>1</v>
      </c>
      <c r="I10260">
        <f>1</f>
        <v>1</v>
      </c>
    </row>
    <row r="10261" spans="2:9" x14ac:dyDescent="0.25">
      <c r="B10261">
        <v>0</v>
      </c>
      <c r="C10261" s="16" t="s">
        <v>19199</v>
      </c>
      <c r="D10261" s="16"/>
      <c r="E10261">
        <v>6</v>
      </c>
      <c r="F10261" t="s">
        <v>9280</v>
      </c>
      <c r="G10261">
        <v>1</v>
      </c>
      <c r="H10261">
        <v>1</v>
      </c>
      <c r="I10261">
        <f>1</f>
        <v>1</v>
      </c>
    </row>
    <row r="10262" spans="2:9" x14ac:dyDescent="0.25">
      <c r="B10262">
        <v>0</v>
      </c>
      <c r="C10262" s="16" t="s">
        <v>19200</v>
      </c>
      <c r="D10262" s="16"/>
      <c r="E10262">
        <v>6</v>
      </c>
      <c r="F10262" t="e">
        <f>--esboços</f>
        <v>#NAME?</v>
      </c>
      <c r="G10262">
        <v>1</v>
      </c>
      <c r="H10262">
        <v>1</v>
      </c>
      <c r="I10262">
        <f>1</f>
        <v>1</v>
      </c>
    </row>
    <row r="10263" spans="2:9" x14ac:dyDescent="0.25">
      <c r="B10263">
        <v>0</v>
      </c>
      <c r="C10263" s="16" t="s">
        <v>19201</v>
      </c>
      <c r="D10263" s="16"/>
      <c r="E10263">
        <v>6</v>
      </c>
      <c r="F10263" t="e">
        <f>-outros</f>
        <v>#NAME?</v>
      </c>
      <c r="G10263">
        <v>1</v>
      </c>
      <c r="H10263">
        <v>1</v>
      </c>
      <c r="I10263">
        <f>1</f>
        <v>1</v>
      </c>
    </row>
    <row r="10264" spans="2:9" x14ac:dyDescent="0.25">
      <c r="B10264">
        <v>0</v>
      </c>
      <c r="C10264" s="16" t="s">
        <v>19202</v>
      </c>
      <c r="D10264" s="16"/>
      <c r="E10264">
        <v>6</v>
      </c>
      <c r="F10264" t="e">
        <f>-caixas De Metais preciosos ou De Metais folheados ou chapeados De Metais preciosos  plaquê</f>
        <v>#NAME?</v>
      </c>
      <c r="G10264">
        <v>1</v>
      </c>
      <c r="H10264">
        <v>1</v>
      </c>
      <c r="I10264">
        <f>1</f>
        <v>1</v>
      </c>
    </row>
    <row r="10265" spans="2:9" x14ac:dyDescent="0.25">
      <c r="B10265">
        <v>0</v>
      </c>
      <c r="C10265" s="16" t="s">
        <v>19203</v>
      </c>
      <c r="D10265" s="16"/>
      <c r="E10265">
        <v>6</v>
      </c>
      <c r="F10265" t="s">
        <v>9281</v>
      </c>
      <c r="G10265">
        <v>1</v>
      </c>
      <c r="H10265">
        <v>1</v>
      </c>
      <c r="I10265">
        <f>1</f>
        <v>1</v>
      </c>
    </row>
    <row r="10266" spans="2:9" x14ac:dyDescent="0.25">
      <c r="B10266">
        <v>0</v>
      </c>
      <c r="C10266" s="16" t="s">
        <v>19204</v>
      </c>
      <c r="D10266" s="16"/>
      <c r="E10266">
        <v>6</v>
      </c>
      <c r="F10266" t="s">
        <v>4690</v>
      </c>
      <c r="G10266">
        <v>1</v>
      </c>
      <c r="H10266">
        <v>1</v>
      </c>
      <c r="I10266">
        <f>1</f>
        <v>1</v>
      </c>
    </row>
    <row r="10267" spans="2:9" x14ac:dyDescent="0.25">
      <c r="B10267">
        <v>0</v>
      </c>
      <c r="C10267" s="16" t="s">
        <v>19205</v>
      </c>
      <c r="D10267" s="16"/>
      <c r="E10267">
        <v>6</v>
      </c>
      <c r="F10267" t="e">
        <f>-Outras caixas</f>
        <v>#NAME?</v>
      </c>
      <c r="G10267">
        <v>1</v>
      </c>
      <c r="H10267">
        <v>1</v>
      </c>
      <c r="I10267">
        <f>1</f>
        <v>1</v>
      </c>
    </row>
    <row r="10268" spans="2:9" x14ac:dyDescent="0.25">
      <c r="B10268">
        <v>0</v>
      </c>
      <c r="C10268" s="16" t="s">
        <v>19206</v>
      </c>
      <c r="D10268" s="16"/>
      <c r="E10268">
        <v>6</v>
      </c>
      <c r="F10268" t="s">
        <v>9282</v>
      </c>
      <c r="G10268">
        <v>1</v>
      </c>
      <c r="H10268">
        <v>1</v>
      </c>
      <c r="I10268">
        <f>1</f>
        <v>1</v>
      </c>
    </row>
    <row r="10269" spans="2:9" x14ac:dyDescent="0.25">
      <c r="B10269">
        <v>0</v>
      </c>
      <c r="C10269" s="16" t="s">
        <v>19207</v>
      </c>
      <c r="D10269" s="16"/>
      <c r="E10269">
        <v>6</v>
      </c>
      <c r="F10269" t="s">
        <v>4690</v>
      </c>
      <c r="G10269">
        <v>1</v>
      </c>
      <c r="H10269">
        <v>1</v>
      </c>
      <c r="I10269">
        <f>1</f>
        <v>1</v>
      </c>
    </row>
    <row r="10270" spans="2:9" x14ac:dyDescent="0.25">
      <c r="B10270">
        <v>0</v>
      </c>
      <c r="C10270" s="16" t="s">
        <v>19208</v>
      </c>
      <c r="D10270" s="16"/>
      <c r="E10270">
        <v>6</v>
      </c>
      <c r="F10270" t="e">
        <f>-caixas e semelhantes</f>
        <v>#NAME?</v>
      </c>
      <c r="G10270">
        <v>1</v>
      </c>
      <c r="H10270">
        <v>1</v>
      </c>
      <c r="I10270">
        <f>1</f>
        <v>1</v>
      </c>
    </row>
    <row r="10271" spans="2:9" x14ac:dyDescent="0.25">
      <c r="B10271">
        <v>0</v>
      </c>
      <c r="C10271" s="16" t="s">
        <v>19209</v>
      </c>
      <c r="D10271" s="16"/>
      <c r="E10271">
        <v>6</v>
      </c>
      <c r="F10271" t="e">
        <f>-Partes</f>
        <v>#NAME?</v>
      </c>
      <c r="G10271">
        <v>1</v>
      </c>
      <c r="H10271">
        <v>1</v>
      </c>
      <c r="I10271">
        <f>1</f>
        <v>1</v>
      </c>
    </row>
    <row r="10272" spans="2:9" x14ac:dyDescent="0.25">
      <c r="B10272">
        <v>0</v>
      </c>
      <c r="C10272" s="16" t="s">
        <v>19210</v>
      </c>
      <c r="D10272" s="16"/>
      <c r="E10272">
        <v>6</v>
      </c>
      <c r="F10272" t="e">
        <f>-De Metais preciosos ou De Metais folheados ou chapeados De Metais preciosos  plaquê</f>
        <v>#NAME?</v>
      </c>
      <c r="G10272">
        <v>1</v>
      </c>
      <c r="H10272">
        <v>1</v>
      </c>
      <c r="I10272">
        <f>1</f>
        <v>1</v>
      </c>
    </row>
    <row r="10273" spans="2:9" x14ac:dyDescent="0.25">
      <c r="B10273">
        <v>0</v>
      </c>
      <c r="C10273" s="16" t="s">
        <v>19211</v>
      </c>
      <c r="D10273" s="16"/>
      <c r="E10273">
        <v>6</v>
      </c>
      <c r="F10273" t="s">
        <v>9283</v>
      </c>
      <c r="G10273">
        <v>1</v>
      </c>
      <c r="H10273">
        <v>1</v>
      </c>
      <c r="I10273">
        <f>1</f>
        <v>1</v>
      </c>
    </row>
    <row r="10274" spans="2:9" x14ac:dyDescent="0.25">
      <c r="B10274">
        <v>0</v>
      </c>
      <c r="C10274" s="16" t="s">
        <v>19212</v>
      </c>
      <c r="D10274" s="16"/>
      <c r="E10274">
        <v>6</v>
      </c>
      <c r="F10274" t="e">
        <f>-Outras</f>
        <v>#NAME?</v>
      </c>
      <c r="G10274">
        <v>1</v>
      </c>
      <c r="H10274">
        <v>1</v>
      </c>
      <c r="I10274">
        <f>1</f>
        <v>1</v>
      </c>
    </row>
    <row r="10275" spans="2:9" x14ac:dyDescent="0.25">
      <c r="B10275">
        <v>0</v>
      </c>
      <c r="C10275" s="16" t="s">
        <v>19213</v>
      </c>
      <c r="D10275" s="16"/>
      <c r="E10275">
        <v>6</v>
      </c>
      <c r="F10275" t="s">
        <v>9284</v>
      </c>
      <c r="G10275">
        <v>1</v>
      </c>
      <c r="H10275">
        <v>1</v>
      </c>
      <c r="I10275">
        <f>1</f>
        <v>1</v>
      </c>
    </row>
    <row r="10276" spans="2:9" x14ac:dyDescent="0.25">
      <c r="B10276">
        <v>0</v>
      </c>
      <c r="C10276" s="16" t="s">
        <v>19214</v>
      </c>
      <c r="D10276" s="16"/>
      <c r="E10276">
        <v>6</v>
      </c>
      <c r="F10276" t="e">
        <f>-Quadrantes</f>
        <v>#NAME?</v>
      </c>
      <c r="G10276">
        <v>1</v>
      </c>
      <c r="H10276">
        <v>1</v>
      </c>
      <c r="I10276">
        <f>1</f>
        <v>1</v>
      </c>
    </row>
    <row r="10277" spans="2:9" x14ac:dyDescent="0.25">
      <c r="B10277">
        <v>0</v>
      </c>
      <c r="C10277" s="16" t="s">
        <v>19215</v>
      </c>
      <c r="D10277" s="16"/>
      <c r="E10277">
        <v>6</v>
      </c>
      <c r="F10277" t="e">
        <f>-Platinas e Pontes</f>
        <v>#NAME?</v>
      </c>
      <c r="G10277">
        <v>1</v>
      </c>
      <c r="H10277">
        <v>1</v>
      </c>
      <c r="I10277">
        <f>1</f>
        <v>1</v>
      </c>
    </row>
    <row r="10278" spans="2:9" x14ac:dyDescent="0.25">
      <c r="B10278">
        <v>0</v>
      </c>
      <c r="C10278" s="16" t="s">
        <v>19216</v>
      </c>
      <c r="D10278" s="16"/>
      <c r="E10278">
        <v>6</v>
      </c>
      <c r="F10278" t="s">
        <v>9285</v>
      </c>
      <c r="G10278">
        <v>1</v>
      </c>
      <c r="H10278">
        <v>1</v>
      </c>
      <c r="I10278">
        <f>1</f>
        <v>1</v>
      </c>
    </row>
    <row r="10279" spans="2:9" x14ac:dyDescent="0.25">
      <c r="B10279">
        <v>0</v>
      </c>
      <c r="C10279" s="16" t="s">
        <v>19217</v>
      </c>
      <c r="D10279" s="16"/>
      <c r="E10279">
        <v>6</v>
      </c>
      <c r="F10279" t="s">
        <v>9286</v>
      </c>
      <c r="G10279">
        <v>1</v>
      </c>
      <c r="H10279">
        <v>1</v>
      </c>
      <c r="I10279">
        <f>1</f>
        <v>1</v>
      </c>
    </row>
    <row r="10280" spans="2:9" x14ac:dyDescent="0.25">
      <c r="B10280">
        <v>0</v>
      </c>
      <c r="C10280" s="16" t="s">
        <v>19218</v>
      </c>
      <c r="D10280" s="16"/>
      <c r="E10280">
        <v>6</v>
      </c>
      <c r="F10280" t="s">
        <v>9287</v>
      </c>
      <c r="G10280">
        <v>1</v>
      </c>
      <c r="H10280">
        <v>1</v>
      </c>
      <c r="I10280">
        <f>1</f>
        <v>1</v>
      </c>
    </row>
    <row r="10281" spans="2:9" x14ac:dyDescent="0.25">
      <c r="B10281">
        <v>0</v>
      </c>
      <c r="C10281" s="16" t="s">
        <v>19219</v>
      </c>
      <c r="D10281" s="16"/>
      <c r="E10281">
        <v>6</v>
      </c>
      <c r="F10281" t="s">
        <v>9288</v>
      </c>
      <c r="G10281">
        <v>1</v>
      </c>
      <c r="H10281">
        <v>1</v>
      </c>
      <c r="I10281">
        <f>1</f>
        <v>1</v>
      </c>
    </row>
    <row r="10282" spans="2:9" x14ac:dyDescent="0.25">
      <c r="B10282">
        <v>0</v>
      </c>
      <c r="C10282" s="16" t="s">
        <v>19220</v>
      </c>
      <c r="D10282" s="16"/>
      <c r="E10282">
        <v>6</v>
      </c>
      <c r="F10282" t="s">
        <v>9289</v>
      </c>
      <c r="G10282">
        <v>1</v>
      </c>
      <c r="H10282">
        <v>1</v>
      </c>
      <c r="I10282">
        <f>1</f>
        <v>1</v>
      </c>
    </row>
    <row r="10283" spans="2:9" x14ac:dyDescent="0.25">
      <c r="B10283">
        <v>0</v>
      </c>
      <c r="C10283" s="16" t="s">
        <v>19221</v>
      </c>
      <c r="D10283" s="16"/>
      <c r="E10283">
        <v>6</v>
      </c>
      <c r="F10283" t="s">
        <v>9290</v>
      </c>
      <c r="G10283">
        <v>1</v>
      </c>
      <c r="H10283">
        <v>1</v>
      </c>
      <c r="I10283">
        <f>1</f>
        <v>1</v>
      </c>
    </row>
    <row r="10284" spans="2:9" x14ac:dyDescent="0.25">
      <c r="B10284">
        <v>0</v>
      </c>
      <c r="C10284" s="16" t="s">
        <v>19222</v>
      </c>
      <c r="D10284" s="16"/>
      <c r="E10284">
        <v>6</v>
      </c>
      <c r="F10284" t="s">
        <v>9291</v>
      </c>
      <c r="G10284">
        <v>1</v>
      </c>
      <c r="H10284">
        <v>1</v>
      </c>
      <c r="I10284">
        <f>1</f>
        <v>1</v>
      </c>
    </row>
    <row r="10285" spans="2:9" x14ac:dyDescent="0.25">
      <c r="B10285">
        <v>0</v>
      </c>
      <c r="C10285" s="16" t="s">
        <v>19223</v>
      </c>
      <c r="D10285" s="16"/>
      <c r="E10285">
        <v>6</v>
      </c>
      <c r="F10285" t="s">
        <v>4690</v>
      </c>
      <c r="G10285">
        <v>1</v>
      </c>
      <c r="H10285">
        <v>1</v>
      </c>
      <c r="I10285">
        <f>1</f>
        <v>1</v>
      </c>
    </row>
    <row r="10286" spans="2:9" x14ac:dyDescent="0.25">
      <c r="B10286">
        <v>0</v>
      </c>
      <c r="C10286" s="16" t="s">
        <v>19224</v>
      </c>
      <c r="D10286" s="16"/>
      <c r="E10286">
        <v>6</v>
      </c>
      <c r="F10286" t="e">
        <f>-Pianos verticais</f>
        <v>#NAME?</v>
      </c>
      <c r="G10286">
        <v>1</v>
      </c>
      <c r="H10286">
        <v>1</v>
      </c>
      <c r="I10286">
        <f>1</f>
        <v>1</v>
      </c>
    </row>
    <row r="10287" spans="2:9" x14ac:dyDescent="0.25">
      <c r="B10287">
        <v>0</v>
      </c>
      <c r="C10287" s="16" t="s">
        <v>19225</v>
      </c>
      <c r="D10287" s="16"/>
      <c r="E10287">
        <v>6</v>
      </c>
      <c r="F10287" t="e">
        <f>-Pianos De cauda</f>
        <v>#NAME?</v>
      </c>
      <c r="G10287">
        <v>1</v>
      </c>
      <c r="H10287">
        <v>1</v>
      </c>
      <c r="I10287">
        <f>1</f>
        <v>1</v>
      </c>
    </row>
    <row r="10288" spans="2:9" x14ac:dyDescent="0.25">
      <c r="B10288">
        <v>0</v>
      </c>
      <c r="C10288" s="16" t="s">
        <v>19226</v>
      </c>
      <c r="D10288" s="16"/>
      <c r="E10288">
        <v>6</v>
      </c>
      <c r="F10288" t="e">
        <f>-outros</f>
        <v>#NAME?</v>
      </c>
      <c r="G10288">
        <v>1</v>
      </c>
      <c r="H10288">
        <v>1</v>
      </c>
      <c r="I10288">
        <f>1</f>
        <v>1</v>
      </c>
    </row>
    <row r="10289" spans="2:9" x14ac:dyDescent="0.25">
      <c r="B10289">
        <v>0</v>
      </c>
      <c r="C10289" s="16" t="s">
        <v>19227</v>
      </c>
      <c r="D10289" s="16"/>
      <c r="E10289">
        <v>6</v>
      </c>
      <c r="F10289" t="s">
        <v>9292</v>
      </c>
      <c r="G10289">
        <v>1</v>
      </c>
      <c r="H10289">
        <v>1</v>
      </c>
      <c r="I10289">
        <f>1</f>
        <v>1</v>
      </c>
    </row>
    <row r="10290" spans="2:9" x14ac:dyDescent="0.25">
      <c r="B10290">
        <v>0</v>
      </c>
      <c r="C10290" s="16" t="s">
        <v>19228</v>
      </c>
      <c r="D10290" s="16"/>
      <c r="E10290">
        <v>6</v>
      </c>
      <c r="F10290" t="e">
        <f>-outros</f>
        <v>#NAME?</v>
      </c>
      <c r="G10290">
        <v>1</v>
      </c>
      <c r="H10290">
        <v>1</v>
      </c>
      <c r="I10290">
        <f>1</f>
        <v>1</v>
      </c>
    </row>
    <row r="10291" spans="2:9" x14ac:dyDescent="0.25">
      <c r="B10291">
        <v>0</v>
      </c>
      <c r="C10291" s="16" t="s">
        <v>19229</v>
      </c>
      <c r="D10291" s="16"/>
      <c r="E10291">
        <v>6</v>
      </c>
      <c r="F10291" t="e">
        <f>-instrumentos denominados “metais”</f>
        <v>#NAME?</v>
      </c>
      <c r="G10291">
        <v>1</v>
      </c>
      <c r="H10291">
        <v>1</v>
      </c>
      <c r="I10291">
        <f>1</f>
        <v>1</v>
      </c>
    </row>
    <row r="10292" spans="2:9" x14ac:dyDescent="0.25">
      <c r="B10292">
        <v>0</v>
      </c>
      <c r="C10292" s="16" t="s">
        <v>19230</v>
      </c>
      <c r="D10292" s="16"/>
      <c r="E10292">
        <v>6</v>
      </c>
      <c r="F10292" t="e">
        <f>-outros</f>
        <v>#NAME?</v>
      </c>
      <c r="G10292">
        <v>1</v>
      </c>
      <c r="H10292">
        <v>1</v>
      </c>
      <c r="I10292">
        <f>1</f>
        <v>1</v>
      </c>
    </row>
    <row r="10293" spans="2:9" x14ac:dyDescent="0.25">
      <c r="B10293">
        <v>0</v>
      </c>
      <c r="C10293" s="16" t="s">
        <v>19231</v>
      </c>
      <c r="D10293" s="16"/>
      <c r="E10293">
        <v>6</v>
      </c>
      <c r="F10293" t="s">
        <v>9293</v>
      </c>
      <c r="G10293">
        <v>1</v>
      </c>
      <c r="H10293">
        <v>1</v>
      </c>
      <c r="I10293">
        <f>1</f>
        <v>1</v>
      </c>
    </row>
    <row r="10294" spans="2:9" x14ac:dyDescent="0.25">
      <c r="B10294">
        <v>0</v>
      </c>
      <c r="C10294" s="16" t="s">
        <v>19232</v>
      </c>
      <c r="D10294" s="16"/>
      <c r="E10294">
        <v>6</v>
      </c>
      <c r="F10294" t="s">
        <v>9294</v>
      </c>
      <c r="G10294">
        <v>1</v>
      </c>
      <c r="H10294">
        <v>1</v>
      </c>
      <c r="I10294">
        <f>1</f>
        <v>1</v>
      </c>
    </row>
    <row r="10295" spans="2:9" x14ac:dyDescent="0.25">
      <c r="B10295">
        <v>0</v>
      </c>
      <c r="C10295" s="16" t="s">
        <v>19233</v>
      </c>
      <c r="D10295" s="16"/>
      <c r="E10295">
        <v>6</v>
      </c>
      <c r="F10295" t="s">
        <v>4680</v>
      </c>
      <c r="G10295">
        <v>1</v>
      </c>
      <c r="H10295">
        <v>1</v>
      </c>
      <c r="I10295">
        <f>1</f>
        <v>1</v>
      </c>
    </row>
    <row r="10296" spans="2:9" x14ac:dyDescent="0.25">
      <c r="B10296">
        <v>0</v>
      </c>
      <c r="C10296" s="16" t="s">
        <v>19234</v>
      </c>
      <c r="D10296" s="16"/>
      <c r="E10296">
        <v>6</v>
      </c>
      <c r="F10296" t="s">
        <v>9295</v>
      </c>
      <c r="G10296">
        <v>1</v>
      </c>
      <c r="H10296">
        <v>1</v>
      </c>
      <c r="I10296">
        <f>1</f>
        <v>1</v>
      </c>
    </row>
    <row r="10297" spans="2:9" x14ac:dyDescent="0.25">
      <c r="B10297">
        <v>0</v>
      </c>
      <c r="C10297" s="16" t="s">
        <v>19235</v>
      </c>
      <c r="D10297" s="16"/>
      <c r="E10297">
        <v>6</v>
      </c>
      <c r="F10297" t="s">
        <v>4680</v>
      </c>
      <c r="G10297">
        <v>1</v>
      </c>
      <c r="H10297">
        <v>1</v>
      </c>
      <c r="I10297">
        <f>1</f>
        <v>1</v>
      </c>
    </row>
    <row r="10298" spans="2:9" x14ac:dyDescent="0.25">
      <c r="B10298">
        <v>0</v>
      </c>
      <c r="C10298" s="16" t="s">
        <v>19236</v>
      </c>
      <c r="D10298" s="16"/>
      <c r="E10298">
        <v>6</v>
      </c>
      <c r="F10298" t="e">
        <f>-caixas De música</f>
        <v>#NAME?</v>
      </c>
      <c r="G10298">
        <v>1</v>
      </c>
      <c r="H10298">
        <v>1</v>
      </c>
      <c r="I10298">
        <f>1</f>
        <v>1</v>
      </c>
    </row>
    <row r="10299" spans="2:9" x14ac:dyDescent="0.25">
      <c r="B10299">
        <v>0</v>
      </c>
      <c r="C10299" s="16" t="s">
        <v>19237</v>
      </c>
      <c r="D10299" s="16"/>
      <c r="E10299">
        <v>6</v>
      </c>
      <c r="F10299" t="e">
        <f>-outros</f>
        <v>#NAME?</v>
      </c>
      <c r="G10299">
        <v>1</v>
      </c>
      <c r="H10299">
        <v>1</v>
      </c>
      <c r="I10299">
        <f>1</f>
        <v>1</v>
      </c>
    </row>
    <row r="10300" spans="2:9" x14ac:dyDescent="0.25">
      <c r="B10300">
        <v>0</v>
      </c>
      <c r="C10300" s="16" t="s">
        <v>19238</v>
      </c>
      <c r="D10300" s="16"/>
      <c r="E10300">
        <v>6</v>
      </c>
      <c r="F10300" t="e">
        <f>-cordas para instrumentos musicais</f>
        <v>#NAME?</v>
      </c>
      <c r="G10300">
        <v>1</v>
      </c>
      <c r="H10300">
        <v>1</v>
      </c>
      <c r="I10300">
        <f>1</f>
        <v>1</v>
      </c>
    </row>
    <row r="10301" spans="2:9" x14ac:dyDescent="0.25">
      <c r="B10301">
        <v>0</v>
      </c>
      <c r="C10301" s="16" t="s">
        <v>19239</v>
      </c>
      <c r="D10301" s="16"/>
      <c r="E10301">
        <v>6</v>
      </c>
      <c r="F10301" t="e">
        <f>--Partes e acessórios De Pianos</f>
        <v>#NAME?</v>
      </c>
      <c r="G10301">
        <v>1</v>
      </c>
      <c r="H10301">
        <v>1</v>
      </c>
      <c r="I10301">
        <f>1</f>
        <v>1</v>
      </c>
    </row>
    <row r="10302" spans="2:9" x14ac:dyDescent="0.25">
      <c r="B10302">
        <v>0</v>
      </c>
      <c r="C10302" s="16" t="s">
        <v>19240</v>
      </c>
      <c r="D10302" s="16"/>
      <c r="E10302">
        <v>6</v>
      </c>
      <c r="F10302" t="s">
        <v>9296</v>
      </c>
      <c r="G10302">
        <v>1</v>
      </c>
      <c r="H10302">
        <v>1</v>
      </c>
      <c r="I10302">
        <f>1</f>
        <v>1</v>
      </c>
    </row>
    <row r="10303" spans="2:9" x14ac:dyDescent="0.25">
      <c r="B10303">
        <v>0</v>
      </c>
      <c r="C10303" s="16" t="s">
        <v>19241</v>
      </c>
      <c r="D10303" s="16"/>
      <c r="E10303">
        <v>6</v>
      </c>
      <c r="F10303" t="s">
        <v>9297</v>
      </c>
      <c r="G10303">
        <v>1</v>
      </c>
      <c r="H10303">
        <v>1</v>
      </c>
      <c r="I10303">
        <f>1</f>
        <v>1</v>
      </c>
    </row>
    <row r="10304" spans="2:9" x14ac:dyDescent="0.25">
      <c r="B10304">
        <v>0</v>
      </c>
      <c r="C10304" s="16" t="s">
        <v>19242</v>
      </c>
      <c r="D10304" s="16"/>
      <c r="E10304">
        <v>6</v>
      </c>
      <c r="F10304" t="e">
        <f>--outros</f>
        <v>#NAME?</v>
      </c>
      <c r="G10304">
        <v>1</v>
      </c>
      <c r="H10304">
        <v>1</v>
      </c>
      <c r="I10304">
        <f>1</f>
        <v>1</v>
      </c>
    </row>
    <row r="10305" spans="2:9" x14ac:dyDescent="0.25">
      <c r="B10305">
        <v>0</v>
      </c>
      <c r="C10305" s="16" t="s">
        <v>19243</v>
      </c>
      <c r="D10305" s="16"/>
      <c r="E10305">
        <v>6</v>
      </c>
      <c r="F10305" t="s">
        <v>9298</v>
      </c>
      <c r="G10305">
        <v>1</v>
      </c>
      <c r="H10305">
        <v>1</v>
      </c>
      <c r="I10305">
        <f>1</f>
        <v>1</v>
      </c>
    </row>
    <row r="10306" spans="2:9" x14ac:dyDescent="0.25">
      <c r="B10306">
        <v>0</v>
      </c>
      <c r="C10306" s="16" t="s">
        <v>19244</v>
      </c>
      <c r="D10306" s="16"/>
      <c r="E10306">
        <v>6</v>
      </c>
      <c r="F10306" t="s">
        <v>9299</v>
      </c>
      <c r="G10306">
        <v>1</v>
      </c>
      <c r="H10306">
        <v>1</v>
      </c>
      <c r="I10306">
        <f>1</f>
        <v>1</v>
      </c>
    </row>
    <row r="10307" spans="2:9" x14ac:dyDescent="0.25">
      <c r="B10307">
        <v>0</v>
      </c>
      <c r="C10307" s="16" t="s">
        <v>19245</v>
      </c>
      <c r="D10307" s="16"/>
      <c r="E10307">
        <v>6</v>
      </c>
      <c r="F10307" t="e">
        <f>-Outras</f>
        <v>#NAME?</v>
      </c>
      <c r="G10307">
        <v>1</v>
      </c>
      <c r="H10307">
        <v>1</v>
      </c>
      <c r="I10307">
        <f>1</f>
        <v>1</v>
      </c>
    </row>
    <row r="10308" spans="2:9" x14ac:dyDescent="0.25">
      <c r="B10308">
        <v>0</v>
      </c>
      <c r="C10308" s="16" t="s">
        <v>19246</v>
      </c>
      <c r="D10308" s="16"/>
      <c r="E10308">
        <v>6</v>
      </c>
      <c r="F10308" t="s">
        <v>9300</v>
      </c>
      <c r="G10308">
        <v>1</v>
      </c>
      <c r="H10308">
        <v>1</v>
      </c>
      <c r="I10308">
        <f>1</f>
        <v>1</v>
      </c>
    </row>
    <row r="10309" spans="2:9" x14ac:dyDescent="0.25">
      <c r="B10309">
        <v>0</v>
      </c>
      <c r="C10309" s="16" t="s">
        <v>19247</v>
      </c>
      <c r="D10309" s="16"/>
      <c r="E10309">
        <v>6</v>
      </c>
      <c r="F10309" t="e">
        <f>-Armas De fogo carregáveis exclusivamente pela boca</f>
        <v>#NAME?</v>
      </c>
      <c r="G10309">
        <v>1</v>
      </c>
      <c r="H10309">
        <v>1</v>
      </c>
      <c r="I10309">
        <f>1</f>
        <v>1</v>
      </c>
    </row>
    <row r="10310" spans="2:9" x14ac:dyDescent="0.25">
      <c r="B10310">
        <v>0</v>
      </c>
      <c r="C10310" s="16" t="s">
        <v>19248</v>
      </c>
      <c r="D10310" s="16"/>
      <c r="E10310">
        <v>6</v>
      </c>
      <c r="F10310" t="s">
        <v>9301</v>
      </c>
      <c r="G10310">
        <v>1</v>
      </c>
      <c r="H10310">
        <v>1</v>
      </c>
      <c r="I10310">
        <f>1</f>
        <v>1</v>
      </c>
    </row>
    <row r="10311" spans="2:9" x14ac:dyDescent="0.25">
      <c r="B10311">
        <v>0</v>
      </c>
      <c r="C10311" s="16" t="s">
        <v>19249</v>
      </c>
      <c r="D10311" s="16"/>
      <c r="E10311">
        <v>6</v>
      </c>
      <c r="F10311" t="e">
        <f>-Outras espingardas e carabinas De caça ou De tiro ao alvo</f>
        <v>#NAME?</v>
      </c>
      <c r="G10311">
        <v>1</v>
      </c>
      <c r="H10311">
        <v>1</v>
      </c>
      <c r="I10311">
        <f>1</f>
        <v>1</v>
      </c>
    </row>
    <row r="10312" spans="2:9" x14ac:dyDescent="0.25">
      <c r="B10312">
        <v>0</v>
      </c>
      <c r="C10312" s="16" t="s">
        <v>19250</v>
      </c>
      <c r="D10312" s="16"/>
      <c r="E10312">
        <v>6</v>
      </c>
      <c r="F10312" t="e">
        <f>-outros</f>
        <v>#NAME?</v>
      </c>
      <c r="G10312">
        <v>1</v>
      </c>
      <c r="H10312">
        <v>1</v>
      </c>
      <c r="I10312">
        <f>1</f>
        <v>1</v>
      </c>
    </row>
    <row r="10313" spans="2:9" x14ac:dyDescent="0.25">
      <c r="B10313">
        <v>0</v>
      </c>
      <c r="C10313" s="16" t="s">
        <v>19250</v>
      </c>
      <c r="D10313" s="16" t="s">
        <v>19430</v>
      </c>
      <c r="E10313">
        <v>6</v>
      </c>
      <c r="F10313" t="s">
        <v>9302</v>
      </c>
      <c r="G10313">
        <v>1</v>
      </c>
      <c r="H10313">
        <v>1</v>
      </c>
      <c r="I10313">
        <f>1</f>
        <v>1</v>
      </c>
    </row>
    <row r="10314" spans="2:9" x14ac:dyDescent="0.25">
      <c r="B10314">
        <v>0</v>
      </c>
      <c r="C10314" s="16" t="s">
        <v>19251</v>
      </c>
      <c r="D10314" s="16"/>
      <c r="E10314">
        <v>6</v>
      </c>
      <c r="F10314" t="s">
        <v>9303</v>
      </c>
      <c r="G10314">
        <v>1</v>
      </c>
      <c r="H10314">
        <v>1</v>
      </c>
      <c r="I10314">
        <f>1</f>
        <v>1</v>
      </c>
    </row>
    <row r="10315" spans="2:9" x14ac:dyDescent="0.25">
      <c r="B10315">
        <v>0</v>
      </c>
      <c r="C10315" s="16" t="s">
        <v>19252</v>
      </c>
      <c r="D10315" s="16"/>
      <c r="E10315">
        <v>6</v>
      </c>
      <c r="F10315" t="e">
        <f>-De revólveres ou Pistolas</f>
        <v>#NAME?</v>
      </c>
      <c r="G10315">
        <v>1</v>
      </c>
      <c r="H10315">
        <v>1</v>
      </c>
      <c r="I10315">
        <f>1</f>
        <v>1</v>
      </c>
    </row>
    <row r="10316" spans="2:9" x14ac:dyDescent="0.25">
      <c r="B10316">
        <v>0</v>
      </c>
      <c r="C10316" s="16" t="s">
        <v>19253</v>
      </c>
      <c r="D10316" s="16"/>
      <c r="E10316">
        <v>6</v>
      </c>
      <c r="F10316" t="s">
        <v>9304</v>
      </c>
      <c r="G10316">
        <v>1</v>
      </c>
      <c r="H10316">
        <v>1</v>
      </c>
      <c r="I10316">
        <f>1</f>
        <v>1</v>
      </c>
    </row>
    <row r="10317" spans="2:9" x14ac:dyDescent="0.25">
      <c r="B10317">
        <v>0</v>
      </c>
      <c r="C10317" s="16" t="s">
        <v>19254</v>
      </c>
      <c r="D10317" s="16"/>
      <c r="E10317">
        <v>6</v>
      </c>
      <c r="F10317" t="s">
        <v>9305</v>
      </c>
      <c r="G10317">
        <v>1</v>
      </c>
      <c r="H10317">
        <v>1</v>
      </c>
      <c r="I10317">
        <f>1</f>
        <v>1</v>
      </c>
    </row>
    <row r="10318" spans="2:9" x14ac:dyDescent="0.25">
      <c r="B10318">
        <v>0</v>
      </c>
      <c r="C10318" s="16" t="s">
        <v>19255</v>
      </c>
      <c r="D10318" s="16"/>
      <c r="E10318">
        <v>6</v>
      </c>
      <c r="F10318" t="e">
        <f>--outros</f>
        <v>#NAME?</v>
      </c>
      <c r="G10318">
        <v>1</v>
      </c>
      <c r="H10318">
        <v>1</v>
      </c>
      <c r="I10318">
        <f>1</f>
        <v>1</v>
      </c>
    </row>
    <row r="10319" spans="2:9" x14ac:dyDescent="0.25">
      <c r="B10319">
        <v>0</v>
      </c>
      <c r="C10319" s="16" t="s">
        <v>19256</v>
      </c>
      <c r="D10319" s="16"/>
      <c r="E10319">
        <v>6</v>
      </c>
      <c r="F10319" t="e">
        <f>--cartuchos</f>
        <v>#NAME?</v>
      </c>
      <c r="G10319">
        <v>1</v>
      </c>
      <c r="H10319">
        <v>1</v>
      </c>
      <c r="I10319">
        <f>1</f>
        <v>1</v>
      </c>
    </row>
    <row r="10320" spans="2:9" x14ac:dyDescent="0.25">
      <c r="B10320">
        <v>0</v>
      </c>
      <c r="C10320" s="16" t="s">
        <v>19257</v>
      </c>
      <c r="D10320" s="16"/>
      <c r="E10320">
        <v>6</v>
      </c>
      <c r="F10320" t="e">
        <f>--outros</f>
        <v>#NAME?</v>
      </c>
      <c r="G10320">
        <v>1</v>
      </c>
      <c r="H10320">
        <v>1</v>
      </c>
      <c r="I10320">
        <f>1</f>
        <v>1</v>
      </c>
    </row>
    <row r="10321" spans="2:9" x14ac:dyDescent="0.25">
      <c r="B10321">
        <v>0</v>
      </c>
      <c r="C10321" s="16" t="s">
        <v>19257</v>
      </c>
      <c r="D10321" s="16" t="s">
        <v>19430</v>
      </c>
      <c r="E10321">
        <v>6</v>
      </c>
      <c r="F10321" t="s">
        <v>9306</v>
      </c>
      <c r="G10321">
        <v>1</v>
      </c>
      <c r="H10321">
        <v>1</v>
      </c>
      <c r="I10321">
        <f>1</f>
        <v>1</v>
      </c>
    </row>
    <row r="10322" spans="2:9" x14ac:dyDescent="0.25">
      <c r="B10322">
        <v>0</v>
      </c>
      <c r="C10322" s="16" t="s">
        <v>19258</v>
      </c>
      <c r="D10322" s="16"/>
      <c r="E10322">
        <v>6</v>
      </c>
      <c r="F10322" t="e">
        <f>-outros cartuchos e suas Partes</f>
        <v>#NAME?</v>
      </c>
      <c r="G10322">
        <v>1</v>
      </c>
      <c r="H10322">
        <v>1</v>
      </c>
      <c r="I10322">
        <f>1</f>
        <v>1</v>
      </c>
    </row>
    <row r="10323" spans="2:9" x14ac:dyDescent="0.25">
      <c r="B10323">
        <v>0</v>
      </c>
      <c r="C10323" s="16" t="s">
        <v>19258</v>
      </c>
      <c r="D10323" s="16" t="s">
        <v>19430</v>
      </c>
      <c r="E10323">
        <v>6</v>
      </c>
      <c r="F10323" t="s">
        <v>9307</v>
      </c>
      <c r="G10323">
        <v>1</v>
      </c>
      <c r="H10323">
        <v>1</v>
      </c>
      <c r="I10323">
        <f>1</f>
        <v>1</v>
      </c>
    </row>
    <row r="10324" spans="2:9" x14ac:dyDescent="0.25">
      <c r="B10324">
        <v>0</v>
      </c>
      <c r="C10324" s="16" t="s">
        <v>19258</v>
      </c>
      <c r="D10324" s="16" t="s">
        <v>19431</v>
      </c>
      <c r="E10324">
        <v>6</v>
      </c>
      <c r="F10324" t="s">
        <v>9308</v>
      </c>
      <c r="G10324">
        <v>1</v>
      </c>
      <c r="H10324">
        <v>1</v>
      </c>
      <c r="I10324">
        <f>1</f>
        <v>1</v>
      </c>
    </row>
    <row r="10325" spans="2:9" x14ac:dyDescent="0.25">
      <c r="B10325">
        <v>0</v>
      </c>
      <c r="C10325" s="16" t="s">
        <v>19259</v>
      </c>
      <c r="D10325" s="16"/>
      <c r="E10325">
        <v>6</v>
      </c>
      <c r="F10325" t="e">
        <f>-outros</f>
        <v>#NAME?</v>
      </c>
      <c r="G10325">
        <v>1</v>
      </c>
      <c r="H10325">
        <v>1</v>
      </c>
      <c r="I10325">
        <f>1</f>
        <v>1</v>
      </c>
    </row>
    <row r="10326" spans="2:9" x14ac:dyDescent="0.25">
      <c r="B10326">
        <v>0</v>
      </c>
      <c r="C10326" s="16" t="s">
        <v>19260</v>
      </c>
      <c r="D10326" s="16"/>
      <c r="E10326">
        <v>6</v>
      </c>
      <c r="F10326" t="s">
        <v>9309</v>
      </c>
      <c r="G10326">
        <v>1</v>
      </c>
      <c r="H10326">
        <v>1</v>
      </c>
      <c r="I10326">
        <f>1</f>
        <v>1</v>
      </c>
    </row>
    <row r="10327" spans="2:9" x14ac:dyDescent="0.25">
      <c r="B10327">
        <v>0</v>
      </c>
      <c r="C10327" s="16" t="s">
        <v>19261</v>
      </c>
      <c r="D10327" s="16"/>
      <c r="E10327">
        <v>6</v>
      </c>
      <c r="F10327" t="s">
        <v>9310</v>
      </c>
      <c r="G10327">
        <v>1</v>
      </c>
      <c r="H10327">
        <v>1</v>
      </c>
      <c r="I10327">
        <f>1</f>
        <v>1</v>
      </c>
    </row>
    <row r="10328" spans="2:9" x14ac:dyDescent="0.25">
      <c r="B10328">
        <v>0</v>
      </c>
      <c r="C10328" s="16" t="s">
        <v>19262</v>
      </c>
      <c r="D10328" s="16"/>
      <c r="E10328">
        <v>6</v>
      </c>
      <c r="F10328" t="s">
        <v>4680</v>
      </c>
      <c r="G10328">
        <v>1</v>
      </c>
      <c r="H10328">
        <v>1</v>
      </c>
      <c r="I10328">
        <f>1</f>
        <v>1</v>
      </c>
    </row>
    <row r="10329" spans="2:9" x14ac:dyDescent="0.25">
      <c r="B10329">
        <v>0</v>
      </c>
      <c r="C10329" s="16" t="s">
        <v>19263</v>
      </c>
      <c r="D10329" s="16"/>
      <c r="E10329">
        <v>6</v>
      </c>
      <c r="F10329" t="e">
        <f>-Assentos dos tipos utilizados em veículos automóveis</f>
        <v>#NAME?</v>
      </c>
      <c r="G10329">
        <v>1</v>
      </c>
      <c r="H10329">
        <v>1</v>
      </c>
      <c r="I10329">
        <f>1</f>
        <v>1</v>
      </c>
    </row>
    <row r="10330" spans="2:9" x14ac:dyDescent="0.25">
      <c r="B10330">
        <v>0</v>
      </c>
      <c r="C10330" s="16" t="s">
        <v>19263</v>
      </c>
      <c r="D10330" s="16" t="s">
        <v>19430</v>
      </c>
      <c r="E10330">
        <v>6</v>
      </c>
      <c r="F10330" t="s">
        <v>9311</v>
      </c>
      <c r="G10330">
        <v>1</v>
      </c>
      <c r="H10330">
        <v>1</v>
      </c>
      <c r="I10330">
        <f>1</f>
        <v>1</v>
      </c>
    </row>
    <row r="10331" spans="2:9" x14ac:dyDescent="0.25">
      <c r="B10331">
        <v>0</v>
      </c>
      <c r="C10331" s="16" t="s">
        <v>19263</v>
      </c>
      <c r="D10331" s="16" t="s">
        <v>19431</v>
      </c>
      <c r="E10331">
        <v>6</v>
      </c>
      <c r="F10331" t="s">
        <v>9312</v>
      </c>
      <c r="G10331">
        <v>1</v>
      </c>
      <c r="H10331">
        <v>1</v>
      </c>
      <c r="I10331">
        <f>1</f>
        <v>1</v>
      </c>
    </row>
    <row r="10332" spans="2:9" x14ac:dyDescent="0.25">
      <c r="B10332">
        <v>0</v>
      </c>
      <c r="C10332" s="16" t="s">
        <v>19263</v>
      </c>
      <c r="D10332" s="16" t="s">
        <v>19432</v>
      </c>
      <c r="E10332">
        <v>6</v>
      </c>
      <c r="F10332" t="s">
        <v>9313</v>
      </c>
      <c r="G10332">
        <v>1</v>
      </c>
      <c r="H10332">
        <v>1</v>
      </c>
      <c r="I10332">
        <f>1</f>
        <v>1</v>
      </c>
    </row>
    <row r="10333" spans="2:9" x14ac:dyDescent="0.25">
      <c r="B10333">
        <v>0</v>
      </c>
      <c r="C10333" s="16" t="s">
        <v>19263</v>
      </c>
      <c r="D10333" s="16" t="s">
        <v>19433</v>
      </c>
      <c r="E10333">
        <v>6</v>
      </c>
      <c r="F10333" t="s">
        <v>9314</v>
      </c>
      <c r="G10333">
        <v>1</v>
      </c>
      <c r="H10333">
        <v>1</v>
      </c>
      <c r="I10333">
        <f>1</f>
        <v>1</v>
      </c>
    </row>
    <row r="10334" spans="2:9" x14ac:dyDescent="0.25">
      <c r="B10334">
        <v>0</v>
      </c>
      <c r="C10334" s="16" t="s">
        <v>19264</v>
      </c>
      <c r="D10334" s="16"/>
      <c r="E10334">
        <v>6</v>
      </c>
      <c r="F10334" t="s">
        <v>9315</v>
      </c>
      <c r="G10334">
        <v>1</v>
      </c>
      <c r="H10334">
        <v>1</v>
      </c>
      <c r="I10334">
        <f>1</f>
        <v>1</v>
      </c>
    </row>
    <row r="10335" spans="2:9" x14ac:dyDescent="0.25">
      <c r="B10335">
        <v>0</v>
      </c>
      <c r="C10335" s="16" t="s">
        <v>19265</v>
      </c>
      <c r="D10335" s="16"/>
      <c r="E10335">
        <v>6</v>
      </c>
      <c r="F10335" t="s">
        <v>4680</v>
      </c>
      <c r="G10335">
        <v>1</v>
      </c>
      <c r="H10335">
        <v>1</v>
      </c>
      <c r="I10335">
        <f>1</f>
        <v>1</v>
      </c>
    </row>
    <row r="10336" spans="2:9" x14ac:dyDescent="0.25">
      <c r="B10336">
        <v>0</v>
      </c>
      <c r="C10336" s="16" t="s">
        <v>19266</v>
      </c>
      <c r="D10336" s="16"/>
      <c r="E10336">
        <v>6</v>
      </c>
      <c r="F10336" t="s">
        <v>9315</v>
      </c>
      <c r="G10336">
        <v>1</v>
      </c>
      <c r="H10336">
        <v>1</v>
      </c>
      <c r="I10336">
        <f>1</f>
        <v>1</v>
      </c>
    </row>
    <row r="10337" spans="2:9" x14ac:dyDescent="0.25">
      <c r="B10337">
        <v>0</v>
      </c>
      <c r="C10337" s="16" t="s">
        <v>19267</v>
      </c>
      <c r="D10337" s="16"/>
      <c r="E10337">
        <v>6</v>
      </c>
      <c r="F10337" t="s">
        <v>4680</v>
      </c>
      <c r="G10337">
        <v>1</v>
      </c>
      <c r="H10337">
        <v>1</v>
      </c>
      <c r="I10337">
        <f>1</f>
        <v>1</v>
      </c>
    </row>
    <row r="10338" spans="2:9" x14ac:dyDescent="0.25">
      <c r="B10338">
        <v>0</v>
      </c>
      <c r="C10338" s="16" t="s">
        <v>19268</v>
      </c>
      <c r="D10338" s="16"/>
      <c r="E10338">
        <v>6</v>
      </c>
      <c r="F10338" t="e">
        <f>--De bambu ou De rotim</f>
        <v>#NAME?</v>
      </c>
      <c r="G10338">
        <v>1</v>
      </c>
      <c r="H10338">
        <v>1</v>
      </c>
      <c r="I10338">
        <f>1</f>
        <v>1</v>
      </c>
    </row>
    <row r="10339" spans="2:9" x14ac:dyDescent="0.25">
      <c r="B10339">
        <v>0</v>
      </c>
      <c r="C10339" s="16" t="s">
        <v>19269</v>
      </c>
      <c r="D10339" s="16"/>
      <c r="E10339">
        <v>6</v>
      </c>
      <c r="F10339" t="e">
        <f>--outros</f>
        <v>#NAME?</v>
      </c>
      <c r="G10339">
        <v>1</v>
      </c>
      <c r="H10339">
        <v>1</v>
      </c>
      <c r="I10339">
        <f>1</f>
        <v>1</v>
      </c>
    </row>
    <row r="10340" spans="2:9" x14ac:dyDescent="0.25">
      <c r="B10340">
        <v>0</v>
      </c>
      <c r="C10340" s="16" t="s">
        <v>19270</v>
      </c>
      <c r="D10340" s="16"/>
      <c r="E10340">
        <v>6</v>
      </c>
      <c r="F10340" t="e">
        <f>--Estofados</f>
        <v>#NAME?</v>
      </c>
      <c r="G10340">
        <v>1</v>
      </c>
      <c r="H10340">
        <v>1</v>
      </c>
      <c r="I10340">
        <f>1</f>
        <v>1</v>
      </c>
    </row>
    <row r="10341" spans="2:9" x14ac:dyDescent="0.25">
      <c r="B10341">
        <v>0</v>
      </c>
      <c r="C10341" s="16" t="s">
        <v>19271</v>
      </c>
      <c r="D10341" s="16"/>
      <c r="E10341">
        <v>6</v>
      </c>
      <c r="F10341" t="e">
        <f>--outros</f>
        <v>#NAME?</v>
      </c>
      <c r="G10341">
        <v>1</v>
      </c>
      <c r="H10341">
        <v>1</v>
      </c>
      <c r="I10341">
        <f>1</f>
        <v>1</v>
      </c>
    </row>
    <row r="10342" spans="2:9" x14ac:dyDescent="0.25">
      <c r="B10342">
        <v>0</v>
      </c>
      <c r="C10342" s="16" t="s">
        <v>19272</v>
      </c>
      <c r="D10342" s="16"/>
      <c r="E10342">
        <v>6</v>
      </c>
      <c r="F10342" t="e">
        <f>--Estofados</f>
        <v>#NAME?</v>
      </c>
      <c r="G10342">
        <v>1</v>
      </c>
      <c r="H10342">
        <v>1</v>
      </c>
      <c r="I10342">
        <f>1</f>
        <v>1</v>
      </c>
    </row>
    <row r="10343" spans="2:9" x14ac:dyDescent="0.25">
      <c r="B10343">
        <v>0</v>
      </c>
      <c r="C10343" s="16" t="s">
        <v>19273</v>
      </c>
      <c r="D10343" s="16"/>
      <c r="E10343">
        <v>6</v>
      </c>
      <c r="F10343" t="e">
        <f>--outros</f>
        <v>#NAME?</v>
      </c>
      <c r="G10343">
        <v>1</v>
      </c>
      <c r="H10343">
        <v>1</v>
      </c>
      <c r="I10343">
        <f>1</f>
        <v>1</v>
      </c>
    </row>
    <row r="10344" spans="2:9" x14ac:dyDescent="0.25">
      <c r="B10344">
        <v>0</v>
      </c>
      <c r="C10344" s="16" t="s">
        <v>19274</v>
      </c>
      <c r="D10344" s="16"/>
      <c r="E10344">
        <v>6</v>
      </c>
      <c r="F10344" t="e">
        <f>-outros Assentos</f>
        <v>#NAME?</v>
      </c>
      <c r="G10344">
        <v>1</v>
      </c>
      <c r="H10344">
        <v>1</v>
      </c>
      <c r="I10344">
        <f>1</f>
        <v>1</v>
      </c>
    </row>
    <row r="10345" spans="2:9" x14ac:dyDescent="0.25">
      <c r="B10345">
        <v>0</v>
      </c>
      <c r="C10345" s="16" t="s">
        <v>19275</v>
      </c>
      <c r="D10345" s="16"/>
      <c r="E10345">
        <v>6</v>
      </c>
      <c r="F10345" t="s">
        <v>9315</v>
      </c>
      <c r="G10345">
        <v>1</v>
      </c>
      <c r="H10345">
        <v>1</v>
      </c>
      <c r="I10345">
        <f>1</f>
        <v>1</v>
      </c>
    </row>
    <row r="10346" spans="2:9" x14ac:dyDescent="0.25">
      <c r="B10346">
        <v>0</v>
      </c>
      <c r="C10346" s="16" t="s">
        <v>19276</v>
      </c>
      <c r="D10346" s="16"/>
      <c r="E10346">
        <v>6</v>
      </c>
      <c r="F10346" t="s">
        <v>4680</v>
      </c>
      <c r="G10346">
        <v>1</v>
      </c>
      <c r="H10346">
        <v>1</v>
      </c>
      <c r="I10346">
        <f>1</f>
        <v>1</v>
      </c>
    </row>
    <row r="10347" spans="2:9" x14ac:dyDescent="0.25">
      <c r="B10347">
        <v>0</v>
      </c>
      <c r="C10347" s="16" t="s">
        <v>19277</v>
      </c>
      <c r="D10347" s="16"/>
      <c r="E10347">
        <v>6</v>
      </c>
      <c r="F10347" t="s">
        <v>9316</v>
      </c>
      <c r="G10347">
        <v>1</v>
      </c>
      <c r="H10347">
        <v>1</v>
      </c>
      <c r="I10347">
        <f>1</f>
        <v>1</v>
      </c>
    </row>
    <row r="10348" spans="2:9" x14ac:dyDescent="0.25">
      <c r="B10348">
        <v>0</v>
      </c>
      <c r="C10348" s="16" t="s">
        <v>19278</v>
      </c>
      <c r="D10348" s="16"/>
      <c r="E10348">
        <v>6</v>
      </c>
      <c r="F10348" t="s">
        <v>9317</v>
      </c>
      <c r="G10348">
        <v>1</v>
      </c>
      <c r="H10348">
        <v>1</v>
      </c>
      <c r="I10348">
        <f>1</f>
        <v>1</v>
      </c>
    </row>
    <row r="10349" spans="2:9" x14ac:dyDescent="0.25">
      <c r="B10349">
        <v>0</v>
      </c>
      <c r="C10349" s="16" t="s">
        <v>19279</v>
      </c>
      <c r="D10349" s="16"/>
      <c r="E10349">
        <v>6</v>
      </c>
      <c r="F10349" t="s">
        <v>9318</v>
      </c>
      <c r="G10349">
        <v>1</v>
      </c>
      <c r="H10349">
        <v>1</v>
      </c>
      <c r="I10349">
        <f>1</f>
        <v>1</v>
      </c>
    </row>
    <row r="10350" spans="2:9" x14ac:dyDescent="0.25">
      <c r="B10350">
        <v>0</v>
      </c>
      <c r="C10350" s="16" t="s">
        <v>19280</v>
      </c>
      <c r="D10350" s="16"/>
      <c r="E10350">
        <v>6</v>
      </c>
      <c r="F10350" t="s">
        <v>4680</v>
      </c>
      <c r="G10350">
        <v>1</v>
      </c>
      <c r="H10350">
        <v>1</v>
      </c>
      <c r="I10350">
        <f>1</f>
        <v>1</v>
      </c>
    </row>
    <row r="10351" spans="2:9" x14ac:dyDescent="0.25">
      <c r="B10351">
        <v>0</v>
      </c>
      <c r="C10351" s="16" t="s">
        <v>19281</v>
      </c>
      <c r="D10351" s="16"/>
      <c r="E10351">
        <v>6</v>
      </c>
      <c r="F10351" t="s">
        <v>9319</v>
      </c>
      <c r="G10351">
        <v>1</v>
      </c>
      <c r="H10351">
        <v>1</v>
      </c>
      <c r="I10351">
        <f>1</f>
        <v>1</v>
      </c>
    </row>
    <row r="10352" spans="2:9" x14ac:dyDescent="0.25">
      <c r="B10352">
        <v>0</v>
      </c>
      <c r="C10352" s="16" t="s">
        <v>19282</v>
      </c>
      <c r="D10352" s="16"/>
      <c r="E10352">
        <v>6</v>
      </c>
      <c r="F10352" t="e">
        <f>-outros móveis De metal</f>
        <v>#NAME?</v>
      </c>
      <c r="G10352">
        <v>1</v>
      </c>
      <c r="H10352">
        <v>1</v>
      </c>
      <c r="I10352">
        <f>1</f>
        <v>1</v>
      </c>
    </row>
    <row r="10353" spans="2:9" x14ac:dyDescent="0.25">
      <c r="B10353">
        <v>0</v>
      </c>
      <c r="C10353" s="16" t="s">
        <v>19283</v>
      </c>
      <c r="D10353" s="16"/>
      <c r="E10353">
        <v>6</v>
      </c>
      <c r="F10353" t="s">
        <v>9320</v>
      </c>
      <c r="G10353">
        <v>1</v>
      </c>
      <c r="H10353">
        <v>1</v>
      </c>
      <c r="I10353">
        <f>1</f>
        <v>1</v>
      </c>
    </row>
    <row r="10354" spans="2:9" x14ac:dyDescent="0.25">
      <c r="B10354">
        <v>0</v>
      </c>
      <c r="C10354" s="16" t="s">
        <v>19284</v>
      </c>
      <c r="D10354" s="16"/>
      <c r="E10354">
        <v>6</v>
      </c>
      <c r="F10354" t="s">
        <v>9321</v>
      </c>
      <c r="G10354">
        <v>1</v>
      </c>
      <c r="H10354">
        <v>1</v>
      </c>
      <c r="I10354">
        <f>1</f>
        <v>1</v>
      </c>
    </row>
    <row r="10355" spans="2:9" x14ac:dyDescent="0.25">
      <c r="B10355">
        <v>0</v>
      </c>
      <c r="C10355" s="16" t="s">
        <v>19285</v>
      </c>
      <c r="D10355" s="16"/>
      <c r="E10355">
        <v>6</v>
      </c>
      <c r="F10355" t="s">
        <v>9322</v>
      </c>
      <c r="G10355">
        <v>1</v>
      </c>
      <c r="H10355">
        <v>1</v>
      </c>
      <c r="I10355">
        <f>1</f>
        <v>1</v>
      </c>
    </row>
    <row r="10356" spans="2:9" x14ac:dyDescent="0.25">
      <c r="B10356">
        <v>0</v>
      </c>
      <c r="C10356" s="16" t="s">
        <v>19286</v>
      </c>
      <c r="D10356" s="16"/>
      <c r="E10356">
        <v>6</v>
      </c>
      <c r="F10356" t="e">
        <f>-outros móveis De madeira</f>
        <v>#NAME?</v>
      </c>
      <c r="G10356">
        <v>1</v>
      </c>
      <c r="H10356">
        <v>1</v>
      </c>
      <c r="I10356">
        <f>1</f>
        <v>1</v>
      </c>
    </row>
    <row r="10357" spans="2:9" x14ac:dyDescent="0.25">
      <c r="B10357">
        <v>0</v>
      </c>
      <c r="C10357" s="16" t="s">
        <v>19287</v>
      </c>
      <c r="D10357" s="16"/>
      <c r="E10357">
        <v>6</v>
      </c>
      <c r="F10357" t="e">
        <f>-móveis De plásticos</f>
        <v>#NAME?</v>
      </c>
      <c r="G10357">
        <v>1</v>
      </c>
      <c r="H10357">
        <v>1</v>
      </c>
      <c r="I10357">
        <f>1</f>
        <v>1</v>
      </c>
    </row>
    <row r="10358" spans="2:9" x14ac:dyDescent="0.25">
      <c r="B10358">
        <v>0</v>
      </c>
      <c r="C10358" s="16" t="s">
        <v>19288</v>
      </c>
      <c r="D10358" s="16"/>
      <c r="E10358">
        <v>6</v>
      </c>
      <c r="F10358" t="e">
        <f>--De bambu ou De rotim</f>
        <v>#NAME?</v>
      </c>
      <c r="G10358">
        <v>1</v>
      </c>
      <c r="H10358">
        <v>1</v>
      </c>
      <c r="I10358">
        <f>1</f>
        <v>1</v>
      </c>
    </row>
    <row r="10359" spans="2:9" x14ac:dyDescent="0.25">
      <c r="B10359">
        <v>0</v>
      </c>
      <c r="C10359" s="16" t="s">
        <v>19289</v>
      </c>
      <c r="D10359" s="16"/>
      <c r="E10359">
        <v>6</v>
      </c>
      <c r="F10359" t="e">
        <f>--outros</f>
        <v>#NAME?</v>
      </c>
      <c r="G10359">
        <v>1</v>
      </c>
      <c r="H10359">
        <v>1</v>
      </c>
      <c r="I10359">
        <f>1</f>
        <v>1</v>
      </c>
    </row>
    <row r="10360" spans="2:9" x14ac:dyDescent="0.25">
      <c r="B10360">
        <v>0</v>
      </c>
      <c r="C10360" s="16" t="s">
        <v>19290</v>
      </c>
      <c r="D10360" s="16"/>
      <c r="E10360">
        <v>6</v>
      </c>
      <c r="F10360" t="s">
        <v>9315</v>
      </c>
      <c r="G10360">
        <v>1</v>
      </c>
      <c r="H10360">
        <v>1</v>
      </c>
      <c r="I10360">
        <f>1</f>
        <v>1</v>
      </c>
    </row>
    <row r="10361" spans="2:9" x14ac:dyDescent="0.25">
      <c r="B10361">
        <v>0</v>
      </c>
      <c r="C10361" s="16" t="s">
        <v>19291</v>
      </c>
      <c r="D10361" s="16"/>
      <c r="E10361">
        <v>6</v>
      </c>
      <c r="F10361" t="s">
        <v>4690</v>
      </c>
      <c r="G10361">
        <v>1</v>
      </c>
      <c r="H10361">
        <v>1</v>
      </c>
      <c r="I10361">
        <f>1</f>
        <v>1</v>
      </c>
    </row>
    <row r="10362" spans="2:9" x14ac:dyDescent="0.25">
      <c r="B10362">
        <v>0</v>
      </c>
      <c r="C10362" s="16" t="s">
        <v>19292</v>
      </c>
      <c r="D10362" s="16"/>
      <c r="E10362">
        <v>6</v>
      </c>
      <c r="F10362" t="e">
        <f>-Suportes para camas  somiês</f>
        <v>#NAME?</v>
      </c>
      <c r="G10362">
        <v>1</v>
      </c>
      <c r="H10362">
        <v>1</v>
      </c>
      <c r="I10362">
        <f>1</f>
        <v>1</v>
      </c>
    </row>
    <row r="10363" spans="2:9" x14ac:dyDescent="0.25">
      <c r="B10363">
        <v>0</v>
      </c>
      <c r="C10363" s="16" t="s">
        <v>19293</v>
      </c>
      <c r="D10363" s="16"/>
      <c r="E10363">
        <v>6</v>
      </c>
      <c r="F10363" t="s">
        <v>9323</v>
      </c>
      <c r="G10363">
        <v>1</v>
      </c>
      <c r="H10363">
        <v>1</v>
      </c>
      <c r="I10363">
        <f>1</f>
        <v>1</v>
      </c>
    </row>
    <row r="10364" spans="2:9" x14ac:dyDescent="0.25">
      <c r="B10364">
        <v>0</v>
      </c>
      <c r="C10364" s="16" t="s">
        <v>19294</v>
      </c>
      <c r="D10364" s="16"/>
      <c r="E10364">
        <v>6</v>
      </c>
      <c r="F10364" t="e">
        <f>--De Outras matérias</f>
        <v>#NAME?</v>
      </c>
      <c r="G10364">
        <v>1</v>
      </c>
      <c r="H10364">
        <v>1</v>
      </c>
      <c r="I10364">
        <f>1</f>
        <v>1</v>
      </c>
    </row>
    <row r="10365" spans="2:9" x14ac:dyDescent="0.25">
      <c r="B10365">
        <v>0</v>
      </c>
      <c r="C10365" s="16" t="s">
        <v>19295</v>
      </c>
      <c r="D10365" s="16"/>
      <c r="E10365">
        <v>6</v>
      </c>
      <c r="F10365" t="e">
        <f>-Sacos De dormir</f>
        <v>#NAME?</v>
      </c>
      <c r="G10365">
        <v>1</v>
      </c>
      <c r="H10365">
        <v>1</v>
      </c>
      <c r="I10365">
        <f>1</f>
        <v>1</v>
      </c>
    </row>
    <row r="10366" spans="2:9" x14ac:dyDescent="0.25">
      <c r="B10366">
        <v>0</v>
      </c>
      <c r="C10366" s="16" t="s">
        <v>19296</v>
      </c>
      <c r="D10366" s="16"/>
      <c r="E10366">
        <v>6</v>
      </c>
      <c r="F10366" t="e">
        <f>-outros</f>
        <v>#NAME?</v>
      </c>
      <c r="G10366">
        <v>1</v>
      </c>
      <c r="H10366">
        <v>1</v>
      </c>
      <c r="I10366">
        <f>1</f>
        <v>1</v>
      </c>
    </row>
    <row r="10367" spans="2:9" x14ac:dyDescent="0.25">
      <c r="B10367">
        <v>0</v>
      </c>
      <c r="C10367" s="16" t="s">
        <v>19297</v>
      </c>
      <c r="D10367" s="16"/>
      <c r="E10367">
        <v>6</v>
      </c>
      <c r="F10367" t="s">
        <v>9324</v>
      </c>
      <c r="G10367">
        <v>1</v>
      </c>
      <c r="H10367">
        <v>1</v>
      </c>
      <c r="I10367">
        <f>1</f>
        <v>1</v>
      </c>
    </row>
    <row r="10368" spans="2:9" x14ac:dyDescent="0.25">
      <c r="B10368">
        <v>0</v>
      </c>
      <c r="C10368" s="16" t="s">
        <v>19298</v>
      </c>
      <c r="D10368" s="16"/>
      <c r="E10368">
        <v>6</v>
      </c>
      <c r="F10368" t="s">
        <v>9325</v>
      </c>
      <c r="G10368">
        <v>1</v>
      </c>
      <c r="H10368">
        <v>1</v>
      </c>
      <c r="I10368">
        <f>1</f>
        <v>1</v>
      </c>
    </row>
    <row r="10369" spans="2:9" x14ac:dyDescent="0.25">
      <c r="B10369">
        <v>0</v>
      </c>
      <c r="C10369" s="16" t="s">
        <v>19299</v>
      </c>
      <c r="D10369" s="16"/>
      <c r="E10369">
        <v>6</v>
      </c>
      <c r="F10369" t="s">
        <v>9326</v>
      </c>
      <c r="G10369">
        <v>1</v>
      </c>
      <c r="H10369">
        <v>1</v>
      </c>
      <c r="I10369">
        <f>1</f>
        <v>1</v>
      </c>
    </row>
    <row r="10370" spans="2:9" x14ac:dyDescent="0.25">
      <c r="B10370">
        <v>0</v>
      </c>
      <c r="C10370" s="16" t="s">
        <v>19300</v>
      </c>
      <c r="D10370" s="16"/>
      <c r="E10370">
        <v>6</v>
      </c>
      <c r="F10370" t="s">
        <v>9327</v>
      </c>
      <c r="G10370">
        <v>1</v>
      </c>
      <c r="H10370">
        <v>1</v>
      </c>
      <c r="I10370">
        <f>1</f>
        <v>1</v>
      </c>
    </row>
    <row r="10371" spans="2:9" x14ac:dyDescent="0.25">
      <c r="B10371">
        <v>0</v>
      </c>
      <c r="C10371" s="16" t="s">
        <v>19301</v>
      </c>
      <c r="D10371" s="16"/>
      <c r="E10371">
        <v>6</v>
      </c>
      <c r="F10371" t="s">
        <v>4680</v>
      </c>
      <c r="G10371">
        <v>1</v>
      </c>
      <c r="H10371">
        <v>1</v>
      </c>
      <c r="I10371">
        <f>1</f>
        <v>1</v>
      </c>
    </row>
    <row r="10372" spans="2:9" x14ac:dyDescent="0.25">
      <c r="B10372">
        <v>0</v>
      </c>
      <c r="C10372" s="16" t="s">
        <v>19302</v>
      </c>
      <c r="D10372" s="16"/>
      <c r="E10372">
        <v>6</v>
      </c>
      <c r="F10372" t="s">
        <v>9328</v>
      </c>
      <c r="G10372">
        <v>1</v>
      </c>
      <c r="H10372">
        <v>1</v>
      </c>
      <c r="I10372">
        <f>1</f>
        <v>1</v>
      </c>
    </row>
    <row r="10373" spans="2:9" x14ac:dyDescent="0.25">
      <c r="B10373">
        <v>0</v>
      </c>
      <c r="C10373" s="16" t="s">
        <v>19303</v>
      </c>
      <c r="D10373" s="16"/>
      <c r="E10373">
        <v>6</v>
      </c>
      <c r="F10373" t="e">
        <f>-Guirlandas elétricas dos tipos utilizados em Árvores De Natal</f>
        <v>#NAME?</v>
      </c>
      <c r="G10373">
        <v>1</v>
      </c>
      <c r="H10373">
        <v>1</v>
      </c>
      <c r="I10373">
        <f>1</f>
        <v>1</v>
      </c>
    </row>
    <row r="10374" spans="2:9" x14ac:dyDescent="0.25">
      <c r="B10374">
        <v>0</v>
      </c>
      <c r="C10374" s="16" t="s">
        <v>19304</v>
      </c>
      <c r="D10374" s="16"/>
      <c r="E10374">
        <v>6</v>
      </c>
      <c r="F10374" t="s">
        <v>9327</v>
      </c>
      <c r="G10374">
        <v>1</v>
      </c>
      <c r="H10374">
        <v>1</v>
      </c>
      <c r="I10374">
        <f>1</f>
        <v>1</v>
      </c>
    </row>
    <row r="10375" spans="2:9" x14ac:dyDescent="0.25">
      <c r="B10375">
        <v>0</v>
      </c>
      <c r="C10375" s="16" t="s">
        <v>19305</v>
      </c>
      <c r="D10375" s="16"/>
      <c r="E10375">
        <v>6</v>
      </c>
      <c r="F10375" t="s">
        <v>4680</v>
      </c>
      <c r="G10375">
        <v>1</v>
      </c>
      <c r="H10375">
        <v>1</v>
      </c>
      <c r="I10375">
        <f>1</f>
        <v>1</v>
      </c>
    </row>
    <row r="10376" spans="2:9" x14ac:dyDescent="0.25">
      <c r="B10376">
        <v>0</v>
      </c>
      <c r="C10376" s="16" t="s">
        <v>19305</v>
      </c>
      <c r="D10376" s="16" t="s">
        <v>19430</v>
      </c>
      <c r="E10376">
        <v>6</v>
      </c>
      <c r="F10376" t="s">
        <v>9329</v>
      </c>
      <c r="G10376">
        <v>1</v>
      </c>
      <c r="H10376">
        <v>1</v>
      </c>
      <c r="I10376">
        <f>1</f>
        <v>1</v>
      </c>
    </row>
    <row r="10377" spans="2:9" x14ac:dyDescent="0.25">
      <c r="B10377">
        <v>0</v>
      </c>
      <c r="C10377" s="16" t="s">
        <v>19306</v>
      </c>
      <c r="D10377" s="16"/>
      <c r="E10377">
        <v>6</v>
      </c>
      <c r="F10377" t="e">
        <f>-aparelhos Não elétricos De iluminação</f>
        <v>#NAME?</v>
      </c>
      <c r="G10377">
        <v>1</v>
      </c>
      <c r="H10377">
        <v>1</v>
      </c>
      <c r="I10377">
        <f>1</f>
        <v>1</v>
      </c>
    </row>
    <row r="10378" spans="2:9" x14ac:dyDescent="0.25">
      <c r="B10378">
        <v>0</v>
      </c>
      <c r="C10378" s="16" t="s">
        <v>19307</v>
      </c>
      <c r="D10378" s="16"/>
      <c r="E10378">
        <v>6</v>
      </c>
      <c r="F10378" t="s">
        <v>9330</v>
      </c>
      <c r="G10378">
        <v>1</v>
      </c>
      <c r="H10378">
        <v>1</v>
      </c>
      <c r="I10378">
        <f>1</f>
        <v>1</v>
      </c>
    </row>
    <row r="10379" spans="2:9" x14ac:dyDescent="0.25">
      <c r="B10379">
        <v>0</v>
      </c>
      <c r="C10379" s="16" t="s">
        <v>19308</v>
      </c>
      <c r="D10379" s="16"/>
      <c r="E10379">
        <v>6</v>
      </c>
      <c r="F10379" t="e">
        <f>--De vidro</f>
        <v>#NAME?</v>
      </c>
      <c r="G10379">
        <v>1</v>
      </c>
      <c r="H10379">
        <v>1</v>
      </c>
      <c r="I10379">
        <f>1</f>
        <v>1</v>
      </c>
    </row>
    <row r="10380" spans="2:9" x14ac:dyDescent="0.25">
      <c r="B10380">
        <v>0</v>
      </c>
      <c r="C10380" s="16" t="s">
        <v>19309</v>
      </c>
      <c r="D10380" s="16"/>
      <c r="E10380">
        <v>6</v>
      </c>
      <c r="F10380" t="e">
        <f>--De plásticos</f>
        <v>#NAME?</v>
      </c>
      <c r="G10380">
        <v>1</v>
      </c>
      <c r="H10380">
        <v>1</v>
      </c>
      <c r="I10380">
        <f>1</f>
        <v>1</v>
      </c>
    </row>
    <row r="10381" spans="2:9" x14ac:dyDescent="0.25">
      <c r="B10381">
        <v>0</v>
      </c>
      <c r="C10381" s="16" t="s">
        <v>19310</v>
      </c>
      <c r="D10381" s="16"/>
      <c r="E10381">
        <v>6</v>
      </c>
      <c r="F10381" t="e">
        <f>--Outras</f>
        <v>#NAME?</v>
      </c>
      <c r="G10381">
        <v>1</v>
      </c>
      <c r="H10381">
        <v>1</v>
      </c>
      <c r="I10381">
        <f>1</f>
        <v>1</v>
      </c>
    </row>
    <row r="10382" spans="2:9" x14ac:dyDescent="0.25">
      <c r="B10382">
        <v>0</v>
      </c>
      <c r="C10382" s="16" t="s">
        <v>19311</v>
      </c>
      <c r="D10382" s="16"/>
      <c r="E10382">
        <v>6</v>
      </c>
      <c r="F10382" t="s">
        <v>8122</v>
      </c>
      <c r="G10382">
        <v>1</v>
      </c>
      <c r="H10382">
        <v>1</v>
      </c>
      <c r="I10382">
        <f>1</f>
        <v>1</v>
      </c>
    </row>
    <row r="10383" spans="2:9" x14ac:dyDescent="0.25">
      <c r="B10383">
        <v>0</v>
      </c>
      <c r="C10383" s="16" t="s">
        <v>19312</v>
      </c>
      <c r="D10383" s="16"/>
      <c r="E10383">
        <v>6</v>
      </c>
      <c r="F10383" t="s">
        <v>9331</v>
      </c>
      <c r="G10383">
        <v>1</v>
      </c>
      <c r="H10383">
        <v>1</v>
      </c>
      <c r="I10383">
        <f>1</f>
        <v>1</v>
      </c>
    </row>
    <row r="10384" spans="2:9" x14ac:dyDescent="0.25">
      <c r="B10384">
        <v>0</v>
      </c>
      <c r="C10384" s="16" t="s">
        <v>19313</v>
      </c>
      <c r="D10384" s="16"/>
      <c r="E10384">
        <v>6</v>
      </c>
      <c r="F10384" t="s">
        <v>9332</v>
      </c>
      <c r="G10384">
        <v>1</v>
      </c>
      <c r="H10384">
        <v>1</v>
      </c>
      <c r="I10384">
        <f>1</f>
        <v>1</v>
      </c>
    </row>
    <row r="10385" spans="2:9" x14ac:dyDescent="0.25">
      <c r="B10385">
        <v>0</v>
      </c>
      <c r="C10385" s="16" t="s">
        <v>19314</v>
      </c>
      <c r="D10385" s="16"/>
      <c r="E10385">
        <v>6</v>
      </c>
      <c r="F10385" t="s">
        <v>4690</v>
      </c>
      <c r="G10385">
        <v>1</v>
      </c>
      <c r="H10385">
        <v>1</v>
      </c>
      <c r="I10385">
        <f>1</f>
        <v>1</v>
      </c>
    </row>
    <row r="10386" spans="2:9" x14ac:dyDescent="0.25">
      <c r="B10386">
        <v>0</v>
      </c>
      <c r="C10386" s="16" t="s">
        <v>19315</v>
      </c>
      <c r="D10386" s="16"/>
      <c r="E10386">
        <v>6</v>
      </c>
      <c r="F10386" t="s">
        <v>9333</v>
      </c>
      <c r="G10386">
        <v>1</v>
      </c>
      <c r="H10386">
        <v>1</v>
      </c>
      <c r="I10386">
        <f>1</f>
        <v>1</v>
      </c>
    </row>
    <row r="10387" spans="2:9" x14ac:dyDescent="0.25">
      <c r="B10387">
        <v>0</v>
      </c>
      <c r="C10387" s="16" t="s">
        <v>19316</v>
      </c>
      <c r="D10387" s="16"/>
      <c r="E10387">
        <v>6</v>
      </c>
      <c r="F10387" t="s">
        <v>9334</v>
      </c>
      <c r="G10387">
        <v>1</v>
      </c>
      <c r="H10387">
        <v>1</v>
      </c>
      <c r="I10387">
        <f>1</f>
        <v>1</v>
      </c>
    </row>
    <row r="10388" spans="2:9" x14ac:dyDescent="0.25">
      <c r="B10388">
        <v>0</v>
      </c>
      <c r="C10388" s="16" t="s">
        <v>19317</v>
      </c>
      <c r="D10388" s="16"/>
      <c r="E10388">
        <v>6</v>
      </c>
      <c r="F10388" t="s">
        <v>9335</v>
      </c>
      <c r="G10388">
        <v>1</v>
      </c>
      <c r="H10388">
        <v>1</v>
      </c>
      <c r="I10388">
        <f>1</f>
        <v>1</v>
      </c>
    </row>
    <row r="10389" spans="2:9" x14ac:dyDescent="0.25">
      <c r="B10389">
        <v>0</v>
      </c>
      <c r="C10389" s="16" t="s">
        <v>19318</v>
      </c>
      <c r="D10389" s="16"/>
      <c r="E10389">
        <v>6</v>
      </c>
      <c r="F10389" t="s">
        <v>9336</v>
      </c>
      <c r="G10389">
        <v>1</v>
      </c>
      <c r="H10389">
        <v>1</v>
      </c>
      <c r="I10389">
        <f>1</f>
        <v>1</v>
      </c>
    </row>
    <row r="10390" spans="2:9" x14ac:dyDescent="0.25">
      <c r="B10390">
        <v>0</v>
      </c>
      <c r="C10390" s="16" t="s">
        <v>19319</v>
      </c>
      <c r="D10390" s="16"/>
      <c r="E10390">
        <v>6</v>
      </c>
      <c r="F10390" t="s">
        <v>9337</v>
      </c>
      <c r="G10390">
        <v>1</v>
      </c>
      <c r="H10390">
        <v>1</v>
      </c>
      <c r="I10390">
        <f>1</f>
        <v>1</v>
      </c>
    </row>
    <row r="10391" spans="2:9" x14ac:dyDescent="0.25">
      <c r="B10391">
        <v>0</v>
      </c>
      <c r="C10391" s="16" t="s">
        <v>19320</v>
      </c>
      <c r="D10391" s="16"/>
      <c r="E10391">
        <v>6</v>
      </c>
      <c r="F10391" t="s">
        <v>4680</v>
      </c>
      <c r="G10391">
        <v>1</v>
      </c>
      <c r="H10391">
        <v>1</v>
      </c>
      <c r="I10391">
        <f>1</f>
        <v>1</v>
      </c>
    </row>
    <row r="10392" spans="2:9" x14ac:dyDescent="0.25">
      <c r="B10392">
        <v>0</v>
      </c>
      <c r="C10392" s="16" t="s">
        <v>19321</v>
      </c>
      <c r="D10392" s="16"/>
      <c r="E10392">
        <v>6</v>
      </c>
      <c r="F10392" t="s">
        <v>9338</v>
      </c>
      <c r="G10392">
        <v>1</v>
      </c>
      <c r="H10392">
        <v>1</v>
      </c>
      <c r="I10392">
        <f>1</f>
        <v>1</v>
      </c>
    </row>
    <row r="10393" spans="2:9" x14ac:dyDescent="0.25">
      <c r="B10393">
        <v>0</v>
      </c>
      <c r="C10393" s="16" t="s">
        <v>19322</v>
      </c>
      <c r="D10393" s="16"/>
      <c r="E10393">
        <v>6</v>
      </c>
      <c r="F10393" t="s">
        <v>9339</v>
      </c>
      <c r="G10393">
        <v>1</v>
      </c>
      <c r="H10393">
        <v>1</v>
      </c>
      <c r="I10393">
        <f>1</f>
        <v>1</v>
      </c>
    </row>
    <row r="10394" spans="2:9" x14ac:dyDescent="0.25">
      <c r="B10394">
        <v>0</v>
      </c>
      <c r="C10394" s="16" t="s">
        <v>19323</v>
      </c>
      <c r="D10394" s="16"/>
      <c r="E10394">
        <v>6</v>
      </c>
      <c r="F10394" t="s">
        <v>9340</v>
      </c>
      <c r="G10394">
        <v>1</v>
      </c>
      <c r="H10394">
        <v>1</v>
      </c>
      <c r="I10394">
        <f>1</f>
        <v>1</v>
      </c>
    </row>
    <row r="10395" spans="2:9" x14ac:dyDescent="0.25">
      <c r="B10395">
        <v>0</v>
      </c>
      <c r="C10395" s="16" t="s">
        <v>19324</v>
      </c>
      <c r="D10395" s="16"/>
      <c r="E10395">
        <v>6</v>
      </c>
      <c r="F10395" t="s">
        <v>9341</v>
      </c>
      <c r="G10395">
        <v>1</v>
      </c>
      <c r="H10395">
        <v>1</v>
      </c>
      <c r="I10395">
        <f>1</f>
        <v>1</v>
      </c>
    </row>
    <row r="10396" spans="2:9" x14ac:dyDescent="0.25">
      <c r="B10396">
        <v>0</v>
      </c>
      <c r="C10396" s="16" t="s">
        <v>19325</v>
      </c>
      <c r="D10396" s="16"/>
      <c r="E10396">
        <v>6</v>
      </c>
      <c r="F10396" t="s">
        <v>9342</v>
      </c>
      <c r="G10396">
        <v>1</v>
      </c>
      <c r="H10396">
        <v>1</v>
      </c>
      <c r="I10396">
        <f>1</f>
        <v>1</v>
      </c>
    </row>
    <row r="10397" spans="2:9" x14ac:dyDescent="0.25">
      <c r="B10397">
        <v>0</v>
      </c>
      <c r="C10397" s="16" t="s">
        <v>19326</v>
      </c>
      <c r="D10397" s="16"/>
      <c r="E10397">
        <v>6</v>
      </c>
      <c r="F10397" t="s">
        <v>9343</v>
      </c>
      <c r="G10397">
        <v>1</v>
      </c>
      <c r="H10397">
        <v>1</v>
      </c>
      <c r="I10397">
        <f>1</f>
        <v>1</v>
      </c>
    </row>
    <row r="10398" spans="2:9" x14ac:dyDescent="0.25">
      <c r="B10398">
        <v>0</v>
      </c>
      <c r="C10398" s="16" t="s">
        <v>19327</v>
      </c>
      <c r="D10398" s="16"/>
      <c r="E10398">
        <v>6</v>
      </c>
      <c r="F10398" t="s">
        <v>9344</v>
      </c>
      <c r="G10398">
        <v>1</v>
      </c>
      <c r="H10398">
        <v>1</v>
      </c>
      <c r="I10398">
        <f>1</f>
        <v>1</v>
      </c>
    </row>
    <row r="10399" spans="2:9" x14ac:dyDescent="0.25">
      <c r="B10399">
        <v>0</v>
      </c>
      <c r="C10399" s="16" t="s">
        <v>19328</v>
      </c>
      <c r="D10399" s="16"/>
      <c r="E10399">
        <v>6</v>
      </c>
      <c r="F10399" t="s">
        <v>9345</v>
      </c>
      <c r="G10399">
        <v>1</v>
      </c>
      <c r="H10399">
        <v>1</v>
      </c>
      <c r="I10399">
        <f>1</f>
        <v>1</v>
      </c>
    </row>
    <row r="10400" spans="2:9" x14ac:dyDescent="0.25">
      <c r="B10400">
        <v>0</v>
      </c>
      <c r="C10400" s="16" t="s">
        <v>19329</v>
      </c>
      <c r="D10400" s="16"/>
      <c r="E10400">
        <v>6</v>
      </c>
      <c r="F10400" t="s">
        <v>4680</v>
      </c>
      <c r="G10400">
        <v>1</v>
      </c>
      <c r="H10400">
        <v>1</v>
      </c>
      <c r="I10400">
        <f>1</f>
        <v>1</v>
      </c>
    </row>
    <row r="10401" spans="2:9" x14ac:dyDescent="0.25">
      <c r="B10401">
        <v>0</v>
      </c>
      <c r="C10401" s="16" t="s">
        <v>19330</v>
      </c>
      <c r="D10401" s="16"/>
      <c r="E10401">
        <v>6</v>
      </c>
      <c r="F10401" t="e">
        <f>-Bilhares De qualquer tipo e seus acessórios</f>
        <v>#NAME?</v>
      </c>
      <c r="G10401">
        <v>1</v>
      </c>
      <c r="H10401">
        <v>1</v>
      </c>
      <c r="I10401">
        <f>1</f>
        <v>1</v>
      </c>
    </row>
    <row r="10402" spans="2:9" x14ac:dyDescent="0.25">
      <c r="B10402">
        <v>0</v>
      </c>
      <c r="C10402" s="16" t="s">
        <v>19330</v>
      </c>
      <c r="D10402" s="16" t="s">
        <v>19430</v>
      </c>
      <c r="E10402">
        <v>6</v>
      </c>
      <c r="F10402" t="s">
        <v>9346</v>
      </c>
      <c r="G10402">
        <v>1</v>
      </c>
      <c r="H10402">
        <v>1</v>
      </c>
      <c r="I10402">
        <f>1</f>
        <v>1</v>
      </c>
    </row>
    <row r="10403" spans="2:9" x14ac:dyDescent="0.25">
      <c r="B10403">
        <v>0</v>
      </c>
      <c r="C10403" s="16" t="s">
        <v>19331</v>
      </c>
      <c r="D10403" s="16"/>
      <c r="E10403">
        <v>6</v>
      </c>
      <c r="F10403" t="s">
        <v>9347</v>
      </c>
      <c r="G10403">
        <v>1</v>
      </c>
      <c r="H10403">
        <v>1</v>
      </c>
      <c r="I10403">
        <f>1</f>
        <v>1</v>
      </c>
    </row>
    <row r="10404" spans="2:9" x14ac:dyDescent="0.25">
      <c r="B10404">
        <v>0</v>
      </c>
      <c r="C10404" s="16" t="s">
        <v>19332</v>
      </c>
      <c r="D10404" s="16"/>
      <c r="E10404">
        <v>6</v>
      </c>
      <c r="F10404" t="e">
        <f>-Cartas De jogar</f>
        <v>#NAME?</v>
      </c>
      <c r="G10404">
        <v>1</v>
      </c>
      <c r="H10404">
        <v>1</v>
      </c>
      <c r="I10404">
        <f>1</f>
        <v>1</v>
      </c>
    </row>
    <row r="10405" spans="2:9" x14ac:dyDescent="0.25">
      <c r="B10405">
        <v>0</v>
      </c>
      <c r="C10405" s="16" t="s">
        <v>19333</v>
      </c>
      <c r="D10405" s="16"/>
      <c r="E10405">
        <v>6</v>
      </c>
      <c r="F10405" t="s">
        <v>9348</v>
      </c>
      <c r="G10405">
        <v>1</v>
      </c>
      <c r="H10405">
        <v>1</v>
      </c>
      <c r="I10405">
        <f>1</f>
        <v>1</v>
      </c>
    </row>
    <row r="10406" spans="2:9" x14ac:dyDescent="0.25">
      <c r="B10406">
        <v>0</v>
      </c>
      <c r="C10406" s="16" t="s">
        <v>19333</v>
      </c>
      <c r="D10406" s="16" t="s">
        <v>19431</v>
      </c>
      <c r="E10406">
        <v>6</v>
      </c>
      <c r="F10406" t="s">
        <v>9349</v>
      </c>
      <c r="G10406">
        <v>1</v>
      </c>
      <c r="H10406">
        <v>1</v>
      </c>
      <c r="I10406">
        <f>1</f>
        <v>1</v>
      </c>
    </row>
    <row r="10407" spans="2:9" x14ac:dyDescent="0.25">
      <c r="B10407">
        <v>0</v>
      </c>
      <c r="C10407" s="16" t="s">
        <v>19333</v>
      </c>
      <c r="D10407" s="16" t="s">
        <v>19430</v>
      </c>
      <c r="E10407">
        <v>6</v>
      </c>
      <c r="F10407" t="s">
        <v>9350</v>
      </c>
      <c r="G10407">
        <v>1</v>
      </c>
      <c r="H10407">
        <v>1</v>
      </c>
      <c r="I10407">
        <f>1</f>
        <v>1</v>
      </c>
    </row>
    <row r="10408" spans="2:9" x14ac:dyDescent="0.25">
      <c r="B10408">
        <v>0</v>
      </c>
      <c r="C10408" s="16" t="s">
        <v>19334</v>
      </c>
      <c r="D10408" s="16"/>
      <c r="E10408">
        <v>6</v>
      </c>
      <c r="F10408" t="s">
        <v>9351</v>
      </c>
      <c r="G10408">
        <v>1</v>
      </c>
      <c r="H10408">
        <v>1</v>
      </c>
      <c r="I10408">
        <f>1</f>
        <v>1</v>
      </c>
    </row>
    <row r="10409" spans="2:9" x14ac:dyDescent="0.25">
      <c r="B10409">
        <v>0</v>
      </c>
      <c r="C10409" s="16" t="s">
        <v>19335</v>
      </c>
      <c r="D10409" s="16"/>
      <c r="E10409">
        <v>6</v>
      </c>
      <c r="F10409" t="s">
        <v>4680</v>
      </c>
      <c r="G10409">
        <v>1</v>
      </c>
      <c r="H10409">
        <v>1</v>
      </c>
      <c r="I10409">
        <f>1</f>
        <v>1</v>
      </c>
    </row>
    <row r="10410" spans="2:9" x14ac:dyDescent="0.25">
      <c r="B10410">
        <v>0</v>
      </c>
      <c r="C10410" s="16" t="s">
        <v>19335</v>
      </c>
      <c r="D10410" s="16" t="s">
        <v>19430</v>
      </c>
      <c r="E10410">
        <v>6</v>
      </c>
      <c r="F10410" t="s">
        <v>9352</v>
      </c>
      <c r="G10410">
        <v>1</v>
      </c>
      <c r="H10410">
        <v>1</v>
      </c>
      <c r="I10410">
        <f>1</f>
        <v>1</v>
      </c>
    </row>
    <row r="10411" spans="2:9" x14ac:dyDescent="0.25">
      <c r="B10411">
        <v>0</v>
      </c>
      <c r="C10411" s="16" t="s">
        <v>19335</v>
      </c>
      <c r="D10411" s="16" t="s">
        <v>19431</v>
      </c>
      <c r="E10411">
        <v>6</v>
      </c>
      <c r="F10411" t="s">
        <v>9353</v>
      </c>
      <c r="G10411">
        <v>1</v>
      </c>
      <c r="H10411">
        <v>1</v>
      </c>
      <c r="I10411">
        <f>1</f>
        <v>1</v>
      </c>
    </row>
    <row r="10412" spans="2:9" x14ac:dyDescent="0.25">
      <c r="B10412">
        <v>0</v>
      </c>
      <c r="C10412" s="16" t="s">
        <v>19336</v>
      </c>
      <c r="D10412" s="16"/>
      <c r="E10412">
        <v>6</v>
      </c>
      <c r="F10412" t="e">
        <f>-Artigos para festas De Natal</f>
        <v>#NAME?</v>
      </c>
      <c r="G10412">
        <v>1</v>
      </c>
      <c r="H10412">
        <v>1</v>
      </c>
      <c r="I10412">
        <f>1</f>
        <v>1</v>
      </c>
    </row>
    <row r="10413" spans="2:9" x14ac:dyDescent="0.25">
      <c r="B10413">
        <v>0</v>
      </c>
      <c r="C10413" s="16" t="s">
        <v>19337</v>
      </c>
      <c r="D10413" s="16"/>
      <c r="E10413">
        <v>6</v>
      </c>
      <c r="F10413" t="e">
        <f>-outros</f>
        <v>#NAME?</v>
      </c>
      <c r="G10413">
        <v>1</v>
      </c>
      <c r="H10413">
        <v>1</v>
      </c>
      <c r="I10413">
        <f>1</f>
        <v>1</v>
      </c>
    </row>
    <row r="10414" spans="2:9" x14ac:dyDescent="0.25">
      <c r="B10414">
        <v>0</v>
      </c>
      <c r="C10414" s="16" t="s">
        <v>19338</v>
      </c>
      <c r="D10414" s="16"/>
      <c r="E10414">
        <v>6</v>
      </c>
      <c r="F10414" t="e">
        <f>--Esquis</f>
        <v>#NAME?</v>
      </c>
      <c r="G10414">
        <v>1</v>
      </c>
      <c r="H10414">
        <v>1</v>
      </c>
      <c r="I10414">
        <f>1</f>
        <v>1</v>
      </c>
    </row>
    <row r="10415" spans="2:9" x14ac:dyDescent="0.25">
      <c r="B10415">
        <v>0</v>
      </c>
      <c r="C10415" s="16" t="s">
        <v>19339</v>
      </c>
      <c r="D10415" s="16"/>
      <c r="E10415">
        <v>6</v>
      </c>
      <c r="F10415" t="e">
        <f>--Fixadores para Esquis</f>
        <v>#NAME?</v>
      </c>
      <c r="G10415">
        <v>1</v>
      </c>
      <c r="H10415">
        <v>1</v>
      </c>
      <c r="I10415">
        <f>1</f>
        <v>1</v>
      </c>
    </row>
    <row r="10416" spans="2:9" x14ac:dyDescent="0.25">
      <c r="B10416">
        <v>0</v>
      </c>
      <c r="C10416" s="16" t="s">
        <v>19340</v>
      </c>
      <c r="D10416" s="16"/>
      <c r="E10416">
        <v>6</v>
      </c>
      <c r="F10416" t="e">
        <f>--outros</f>
        <v>#NAME?</v>
      </c>
      <c r="G10416">
        <v>1</v>
      </c>
      <c r="H10416">
        <v>1</v>
      </c>
      <c r="I10416">
        <f>1</f>
        <v>1</v>
      </c>
    </row>
    <row r="10417" spans="2:9" x14ac:dyDescent="0.25">
      <c r="B10417">
        <v>0</v>
      </c>
      <c r="C10417" s="16" t="s">
        <v>19341</v>
      </c>
      <c r="D10417" s="16"/>
      <c r="E10417">
        <v>6</v>
      </c>
      <c r="F10417" t="e">
        <f>--pranchas a vela</f>
        <v>#NAME?</v>
      </c>
      <c r="G10417">
        <v>1</v>
      </c>
      <c r="H10417">
        <v>1</v>
      </c>
      <c r="I10417">
        <f>1</f>
        <v>1</v>
      </c>
    </row>
    <row r="10418" spans="2:9" x14ac:dyDescent="0.25">
      <c r="B10418">
        <v>0</v>
      </c>
      <c r="C10418" s="16" t="s">
        <v>19342</v>
      </c>
      <c r="D10418" s="16"/>
      <c r="E10418">
        <v>6</v>
      </c>
      <c r="F10418" t="e">
        <f>--outros</f>
        <v>#NAME?</v>
      </c>
      <c r="G10418">
        <v>1</v>
      </c>
      <c r="H10418">
        <v>1</v>
      </c>
      <c r="I10418">
        <f>1</f>
        <v>1</v>
      </c>
    </row>
    <row r="10419" spans="2:9" x14ac:dyDescent="0.25">
      <c r="B10419">
        <v>0</v>
      </c>
      <c r="C10419" s="16" t="s">
        <v>19343</v>
      </c>
      <c r="D10419" s="16"/>
      <c r="E10419">
        <v>6</v>
      </c>
      <c r="F10419" t="e">
        <f>--Tacos completos</f>
        <v>#NAME?</v>
      </c>
      <c r="G10419">
        <v>1</v>
      </c>
      <c r="H10419">
        <v>1</v>
      </c>
      <c r="I10419">
        <f>1</f>
        <v>1</v>
      </c>
    </row>
    <row r="10420" spans="2:9" x14ac:dyDescent="0.25">
      <c r="B10420">
        <v>0</v>
      </c>
      <c r="C10420" s="16" t="s">
        <v>19344</v>
      </c>
      <c r="D10420" s="16"/>
      <c r="E10420">
        <v>6</v>
      </c>
      <c r="F10420" t="e">
        <f>--Bolas</f>
        <v>#NAME?</v>
      </c>
      <c r="G10420">
        <v>1</v>
      </c>
      <c r="H10420">
        <v>1</v>
      </c>
      <c r="I10420">
        <f>1</f>
        <v>1</v>
      </c>
    </row>
    <row r="10421" spans="2:9" x14ac:dyDescent="0.25">
      <c r="B10421">
        <v>0</v>
      </c>
      <c r="C10421" s="16" t="s">
        <v>19345</v>
      </c>
      <c r="D10421" s="16"/>
      <c r="E10421">
        <v>6</v>
      </c>
      <c r="F10421" t="e">
        <f>--outros</f>
        <v>#NAME?</v>
      </c>
      <c r="G10421">
        <v>1</v>
      </c>
      <c r="H10421">
        <v>1</v>
      </c>
      <c r="I10421">
        <f>1</f>
        <v>1</v>
      </c>
    </row>
    <row r="10422" spans="2:9" x14ac:dyDescent="0.25">
      <c r="B10422">
        <v>0</v>
      </c>
      <c r="C10422" s="16" t="s">
        <v>19346</v>
      </c>
      <c r="D10422" s="16"/>
      <c r="E10422">
        <v>6</v>
      </c>
      <c r="F10422" t="e">
        <f>-Artigos e equipamentos para tênis De mesa</f>
        <v>#NAME?</v>
      </c>
      <c r="G10422">
        <v>1</v>
      </c>
      <c r="H10422">
        <v>1</v>
      </c>
      <c r="I10422">
        <f>1</f>
        <v>1</v>
      </c>
    </row>
    <row r="10423" spans="2:9" x14ac:dyDescent="0.25">
      <c r="B10423">
        <v>0</v>
      </c>
      <c r="C10423" s="16" t="s">
        <v>19347</v>
      </c>
      <c r="D10423" s="16"/>
      <c r="E10423">
        <v>6</v>
      </c>
      <c r="F10423" t="s">
        <v>9354</v>
      </c>
      <c r="G10423">
        <v>1</v>
      </c>
      <c r="H10423">
        <v>1</v>
      </c>
      <c r="I10423">
        <f>1</f>
        <v>1</v>
      </c>
    </row>
    <row r="10424" spans="2:9" x14ac:dyDescent="0.25">
      <c r="B10424">
        <v>0</v>
      </c>
      <c r="C10424" s="16" t="s">
        <v>19348</v>
      </c>
      <c r="D10424" s="16"/>
      <c r="E10424">
        <v>6</v>
      </c>
      <c r="F10424" t="e">
        <f>--Outras</f>
        <v>#NAME?</v>
      </c>
      <c r="G10424">
        <v>1</v>
      </c>
      <c r="H10424">
        <v>1</v>
      </c>
      <c r="I10424">
        <f>1</f>
        <v>1</v>
      </c>
    </row>
    <row r="10425" spans="2:9" x14ac:dyDescent="0.25">
      <c r="B10425">
        <v>0</v>
      </c>
      <c r="C10425" s="16" t="s">
        <v>19349</v>
      </c>
      <c r="D10425" s="16"/>
      <c r="E10425">
        <v>6</v>
      </c>
      <c r="F10425" t="e">
        <f>--Bolas De tênis</f>
        <v>#NAME?</v>
      </c>
      <c r="G10425">
        <v>1</v>
      </c>
      <c r="H10425">
        <v>1</v>
      </c>
      <c r="I10425">
        <f>1</f>
        <v>1</v>
      </c>
    </row>
    <row r="10426" spans="2:9" x14ac:dyDescent="0.25">
      <c r="B10426">
        <v>0</v>
      </c>
      <c r="C10426" s="16" t="s">
        <v>19350</v>
      </c>
      <c r="D10426" s="16"/>
      <c r="E10426">
        <v>6</v>
      </c>
      <c r="F10426" t="e">
        <f>--infláveis</f>
        <v>#NAME?</v>
      </c>
      <c r="G10426">
        <v>1</v>
      </c>
      <c r="H10426">
        <v>1</v>
      </c>
      <c r="I10426">
        <f>1</f>
        <v>1</v>
      </c>
    </row>
    <row r="10427" spans="2:9" x14ac:dyDescent="0.25">
      <c r="B10427">
        <v>0</v>
      </c>
      <c r="C10427" s="16" t="s">
        <v>19351</v>
      </c>
      <c r="D10427" s="16"/>
      <c r="E10427">
        <v>6</v>
      </c>
      <c r="F10427" t="e">
        <f>--Outras</f>
        <v>#NAME?</v>
      </c>
      <c r="G10427">
        <v>1</v>
      </c>
      <c r="H10427">
        <v>1</v>
      </c>
      <c r="I10427">
        <f>1</f>
        <v>1</v>
      </c>
    </row>
    <row r="10428" spans="2:9" x14ac:dyDescent="0.25">
      <c r="B10428">
        <v>0</v>
      </c>
      <c r="C10428" s="16" t="s">
        <v>19352</v>
      </c>
      <c r="D10428" s="16"/>
      <c r="E10428">
        <v>6</v>
      </c>
      <c r="F10428" t="s">
        <v>9355</v>
      </c>
      <c r="G10428">
        <v>1</v>
      </c>
      <c r="H10428">
        <v>1</v>
      </c>
      <c r="I10428">
        <f>1</f>
        <v>1</v>
      </c>
    </row>
    <row r="10429" spans="2:9" x14ac:dyDescent="0.25">
      <c r="B10429">
        <v>0</v>
      </c>
      <c r="C10429" s="16" t="s">
        <v>19353</v>
      </c>
      <c r="D10429" s="16"/>
      <c r="E10429">
        <v>6</v>
      </c>
      <c r="F10429" t="s">
        <v>9356</v>
      </c>
      <c r="G10429">
        <v>1</v>
      </c>
      <c r="H10429">
        <v>1</v>
      </c>
      <c r="I10429">
        <f>1</f>
        <v>1</v>
      </c>
    </row>
    <row r="10430" spans="2:9" x14ac:dyDescent="0.25">
      <c r="B10430">
        <v>0</v>
      </c>
      <c r="C10430" s="16" t="s">
        <v>19354</v>
      </c>
      <c r="D10430" s="16"/>
      <c r="E10430">
        <v>6</v>
      </c>
      <c r="F10430" t="e">
        <f>--outros</f>
        <v>#NAME?</v>
      </c>
      <c r="G10430">
        <v>1</v>
      </c>
      <c r="H10430">
        <v>1</v>
      </c>
      <c r="I10430">
        <f>1</f>
        <v>1</v>
      </c>
    </row>
    <row r="10431" spans="2:9" x14ac:dyDescent="0.25">
      <c r="B10431">
        <v>0</v>
      </c>
      <c r="C10431" s="16" t="s">
        <v>19355</v>
      </c>
      <c r="D10431" s="16"/>
      <c r="E10431">
        <v>6</v>
      </c>
      <c r="F10431" t="e">
        <f>-Varas De pesca</f>
        <v>#NAME?</v>
      </c>
      <c r="G10431">
        <v>1</v>
      </c>
      <c r="H10431">
        <v>1</v>
      </c>
      <c r="I10431">
        <f>1</f>
        <v>1</v>
      </c>
    </row>
    <row r="10432" spans="2:9" x14ac:dyDescent="0.25">
      <c r="B10432">
        <v>0</v>
      </c>
      <c r="C10432" s="16" t="s">
        <v>19356</v>
      </c>
      <c r="D10432" s="16"/>
      <c r="E10432">
        <v>6</v>
      </c>
      <c r="F10432" t="s">
        <v>9357</v>
      </c>
      <c r="G10432">
        <v>1</v>
      </c>
      <c r="H10432">
        <v>1</v>
      </c>
      <c r="I10432">
        <f>1</f>
        <v>1</v>
      </c>
    </row>
    <row r="10433" spans="2:9" x14ac:dyDescent="0.25">
      <c r="B10433">
        <v>0</v>
      </c>
      <c r="C10433" s="16" t="s">
        <v>19357</v>
      </c>
      <c r="D10433" s="16"/>
      <c r="E10433">
        <v>6</v>
      </c>
      <c r="F10433" t="e">
        <f>-Molinetes De pesca</f>
        <v>#NAME?</v>
      </c>
      <c r="G10433">
        <v>1</v>
      </c>
      <c r="H10433">
        <v>1</v>
      </c>
      <c r="I10433">
        <f>1</f>
        <v>1</v>
      </c>
    </row>
    <row r="10434" spans="2:9" x14ac:dyDescent="0.25">
      <c r="B10434">
        <v>0</v>
      </c>
      <c r="C10434" s="16" t="s">
        <v>19358</v>
      </c>
      <c r="D10434" s="16"/>
      <c r="E10434">
        <v>6</v>
      </c>
      <c r="F10434" t="e">
        <f>-outros</f>
        <v>#NAME?</v>
      </c>
      <c r="G10434">
        <v>1</v>
      </c>
      <c r="H10434">
        <v>1</v>
      </c>
      <c r="I10434">
        <f>1</f>
        <v>1</v>
      </c>
    </row>
    <row r="10435" spans="2:9" x14ac:dyDescent="0.25">
      <c r="B10435">
        <v>0</v>
      </c>
      <c r="C10435" s="16" t="s">
        <v>19359</v>
      </c>
      <c r="D10435" s="16"/>
      <c r="E10435">
        <v>6</v>
      </c>
      <c r="F10435" t="e">
        <f>-Circos ambulantes e coleções De animais ambulantes</f>
        <v>#NAME?</v>
      </c>
      <c r="G10435">
        <v>1</v>
      </c>
      <c r="H10435">
        <v>1</v>
      </c>
      <c r="I10435">
        <f>1</f>
        <v>1</v>
      </c>
    </row>
    <row r="10436" spans="2:9" x14ac:dyDescent="0.25">
      <c r="B10436">
        <v>0</v>
      </c>
      <c r="C10436" s="16" t="s">
        <v>19359</v>
      </c>
      <c r="D10436" s="16" t="s">
        <v>19430</v>
      </c>
      <c r="E10436">
        <v>6</v>
      </c>
      <c r="F10436" t="s">
        <v>9358</v>
      </c>
      <c r="G10436">
        <v>1</v>
      </c>
      <c r="H10436">
        <v>1</v>
      </c>
      <c r="I10436">
        <f>1</f>
        <v>1</v>
      </c>
    </row>
    <row r="10437" spans="2:9" x14ac:dyDescent="0.25">
      <c r="B10437">
        <v>0</v>
      </c>
      <c r="C10437" s="16" t="s">
        <v>19360</v>
      </c>
      <c r="D10437" s="16"/>
      <c r="E10437">
        <v>6</v>
      </c>
      <c r="F10437" t="s">
        <v>9359</v>
      </c>
      <c r="G10437">
        <v>1</v>
      </c>
      <c r="H10437">
        <v>1</v>
      </c>
      <c r="I10437">
        <f>1</f>
        <v>1</v>
      </c>
    </row>
    <row r="10438" spans="2:9" x14ac:dyDescent="0.25">
      <c r="B10438">
        <v>0</v>
      </c>
      <c r="C10438" s="16" t="s">
        <v>19361</v>
      </c>
      <c r="D10438" s="16"/>
      <c r="E10438">
        <v>6</v>
      </c>
      <c r="F10438" t="s">
        <v>9360</v>
      </c>
      <c r="G10438">
        <v>1</v>
      </c>
      <c r="H10438">
        <v>1</v>
      </c>
      <c r="I10438">
        <f>1</f>
        <v>1</v>
      </c>
    </row>
    <row r="10439" spans="2:9" x14ac:dyDescent="0.25">
      <c r="B10439">
        <v>0</v>
      </c>
      <c r="C10439" s="16" t="s">
        <v>19362</v>
      </c>
      <c r="D10439" s="16"/>
      <c r="E10439">
        <v>6</v>
      </c>
      <c r="F10439" t="s">
        <v>9361</v>
      </c>
      <c r="G10439">
        <v>1</v>
      </c>
      <c r="H10439">
        <v>1</v>
      </c>
      <c r="I10439">
        <f>1</f>
        <v>1</v>
      </c>
    </row>
    <row r="10440" spans="2:9" x14ac:dyDescent="0.25">
      <c r="B10440">
        <v>0</v>
      </c>
      <c r="C10440" s="16" t="s">
        <v>19363</v>
      </c>
      <c r="D10440" s="16"/>
      <c r="E10440">
        <v>6</v>
      </c>
      <c r="F10440" t="s">
        <v>4680</v>
      </c>
      <c r="G10440">
        <v>1</v>
      </c>
      <c r="H10440">
        <v>1</v>
      </c>
      <c r="I10440">
        <f>1</f>
        <v>1</v>
      </c>
    </row>
    <row r="10441" spans="2:9" x14ac:dyDescent="0.25">
      <c r="B10441">
        <v>0</v>
      </c>
      <c r="C10441" s="16" t="s">
        <v>19364</v>
      </c>
      <c r="D10441" s="16"/>
      <c r="E10441">
        <v>6</v>
      </c>
      <c r="F10441" t="e">
        <f>-Marfim trabalhado e obras De Marfim</f>
        <v>#NAME?</v>
      </c>
      <c r="G10441">
        <v>1</v>
      </c>
      <c r="H10441">
        <v>1</v>
      </c>
      <c r="I10441">
        <f>1</f>
        <v>1</v>
      </c>
    </row>
    <row r="10442" spans="2:9" x14ac:dyDescent="0.25">
      <c r="B10442">
        <v>0</v>
      </c>
      <c r="C10442" s="16" t="s">
        <v>19365</v>
      </c>
      <c r="D10442" s="16"/>
      <c r="E10442">
        <v>6</v>
      </c>
      <c r="F10442" t="e">
        <f>-outros</f>
        <v>#NAME?</v>
      </c>
      <c r="G10442">
        <v>1</v>
      </c>
      <c r="H10442">
        <v>1</v>
      </c>
      <c r="I10442">
        <f>1</f>
        <v>1</v>
      </c>
    </row>
    <row r="10443" spans="2:9" x14ac:dyDescent="0.25">
      <c r="B10443">
        <v>0</v>
      </c>
      <c r="C10443" s="16" t="s">
        <v>19366</v>
      </c>
      <c r="D10443" s="16"/>
      <c r="E10443">
        <v>6</v>
      </c>
      <c r="F10443" t="e">
        <f>--Com Grampos De metal comum</f>
        <v>#NAME?</v>
      </c>
      <c r="G10443">
        <v>1</v>
      </c>
      <c r="H10443">
        <v>1</v>
      </c>
      <c r="I10443">
        <f>1</f>
        <v>1</v>
      </c>
    </row>
    <row r="10444" spans="2:9" x14ac:dyDescent="0.25">
      <c r="B10444">
        <v>0</v>
      </c>
      <c r="C10444" s="16" t="s">
        <v>19367</v>
      </c>
      <c r="D10444" s="16"/>
      <c r="E10444">
        <v>6</v>
      </c>
      <c r="F10444" t="s">
        <v>9362</v>
      </c>
      <c r="G10444">
        <v>1</v>
      </c>
      <c r="H10444">
        <v>1</v>
      </c>
      <c r="I10444">
        <f>1</f>
        <v>1</v>
      </c>
    </row>
    <row r="10445" spans="2:9" x14ac:dyDescent="0.25">
      <c r="B10445">
        <v>0</v>
      </c>
      <c r="C10445" s="16" t="s">
        <v>19368</v>
      </c>
      <c r="D10445" s="16"/>
      <c r="E10445">
        <v>6</v>
      </c>
      <c r="F10445" t="s">
        <v>9363</v>
      </c>
      <c r="G10445">
        <v>1</v>
      </c>
      <c r="H10445">
        <v>1</v>
      </c>
      <c r="I10445">
        <f>1</f>
        <v>1</v>
      </c>
    </row>
    <row r="10446" spans="2:9" x14ac:dyDescent="0.25">
      <c r="B10446">
        <v>0</v>
      </c>
      <c r="C10446" s="16" t="s">
        <v>19369</v>
      </c>
      <c r="D10446" s="16"/>
      <c r="E10446">
        <v>6</v>
      </c>
      <c r="F10446" t="s">
        <v>4690</v>
      </c>
      <c r="G10446">
        <v>1</v>
      </c>
      <c r="H10446">
        <v>1</v>
      </c>
      <c r="I10446">
        <f>1</f>
        <v>1</v>
      </c>
    </row>
    <row r="10447" spans="2:9" x14ac:dyDescent="0.25">
      <c r="B10447">
        <v>0</v>
      </c>
      <c r="C10447" s="16" t="s">
        <v>19370</v>
      </c>
      <c r="D10447" s="16"/>
      <c r="E10447">
        <v>6</v>
      </c>
      <c r="F10447" t="s">
        <v>9364</v>
      </c>
      <c r="G10447">
        <v>1</v>
      </c>
      <c r="H10447">
        <v>1</v>
      </c>
      <c r="I10447">
        <f>1</f>
        <v>1</v>
      </c>
    </row>
    <row r="10448" spans="2:9" x14ac:dyDescent="0.25">
      <c r="B10448">
        <v>0</v>
      </c>
      <c r="C10448" s="16" t="s">
        <v>19371</v>
      </c>
      <c r="D10448" s="16"/>
      <c r="E10448">
        <v>6</v>
      </c>
      <c r="F10448" t="s">
        <v>9365</v>
      </c>
      <c r="G10448">
        <v>1</v>
      </c>
      <c r="H10448">
        <v>1</v>
      </c>
      <c r="I10448">
        <f>1</f>
        <v>1</v>
      </c>
    </row>
    <row r="10449" spans="2:9" x14ac:dyDescent="0.25">
      <c r="B10449">
        <v>0</v>
      </c>
      <c r="C10449" s="16" t="s">
        <v>19372</v>
      </c>
      <c r="D10449" s="16"/>
      <c r="E10449">
        <v>6</v>
      </c>
      <c r="F10449" t="e">
        <f>--outros</f>
        <v>#NAME?</v>
      </c>
      <c r="G10449">
        <v>1</v>
      </c>
      <c r="H10449">
        <v>1</v>
      </c>
      <c r="I10449">
        <f>1</f>
        <v>1</v>
      </c>
    </row>
    <row r="10450" spans="2:9" x14ac:dyDescent="0.25">
      <c r="B10450">
        <v>0</v>
      </c>
      <c r="C10450" s="16" t="s">
        <v>19373</v>
      </c>
      <c r="D10450" s="16"/>
      <c r="E10450">
        <v>6</v>
      </c>
      <c r="F10450" t="s">
        <v>9366</v>
      </c>
      <c r="G10450">
        <v>1</v>
      </c>
      <c r="H10450">
        <v>1</v>
      </c>
      <c r="I10450">
        <f>1</f>
        <v>1</v>
      </c>
    </row>
    <row r="10451" spans="2:9" x14ac:dyDescent="0.25">
      <c r="B10451">
        <v>0</v>
      </c>
      <c r="C10451" s="16" t="s">
        <v>19374</v>
      </c>
      <c r="D10451" s="16"/>
      <c r="E10451">
        <v>6</v>
      </c>
      <c r="F10451" t="s">
        <v>9367</v>
      </c>
      <c r="G10451">
        <v>1</v>
      </c>
      <c r="H10451">
        <v>1</v>
      </c>
      <c r="I10451">
        <f>1</f>
        <v>1</v>
      </c>
    </row>
    <row r="10452" spans="2:9" x14ac:dyDescent="0.25">
      <c r="B10452">
        <v>0</v>
      </c>
      <c r="C10452" s="16" t="s">
        <v>19375</v>
      </c>
      <c r="D10452" s="16"/>
      <c r="E10452">
        <v>6</v>
      </c>
      <c r="F10452" t="s">
        <v>4680</v>
      </c>
      <c r="G10452">
        <v>1</v>
      </c>
      <c r="H10452">
        <v>1</v>
      </c>
      <c r="I10452">
        <f>1</f>
        <v>1</v>
      </c>
    </row>
    <row r="10453" spans="2:9" x14ac:dyDescent="0.25">
      <c r="B10453">
        <v>0</v>
      </c>
      <c r="C10453" s="16" t="s">
        <v>19376</v>
      </c>
      <c r="D10453" s="16"/>
      <c r="E10453">
        <v>6</v>
      </c>
      <c r="F10453" t="s">
        <v>9368</v>
      </c>
      <c r="G10453">
        <v>1</v>
      </c>
      <c r="H10453">
        <v>1</v>
      </c>
      <c r="I10453">
        <f>1</f>
        <v>1</v>
      </c>
    </row>
    <row r="10454" spans="2:9" x14ac:dyDescent="0.25">
      <c r="B10454">
        <v>0</v>
      </c>
      <c r="C10454" s="16" t="s">
        <v>19377</v>
      </c>
      <c r="D10454" s="16"/>
      <c r="E10454">
        <v>6</v>
      </c>
      <c r="F10454" t="e">
        <f>-outros</f>
        <v>#NAME?</v>
      </c>
      <c r="G10454">
        <v>1</v>
      </c>
      <c r="H10454">
        <v>1</v>
      </c>
      <c r="I10454">
        <f>1</f>
        <v>1</v>
      </c>
    </row>
    <row r="10455" spans="2:9" x14ac:dyDescent="0.25">
      <c r="B10455">
        <v>0</v>
      </c>
      <c r="C10455" s="16" t="s">
        <v>19378</v>
      </c>
      <c r="D10455" s="16"/>
      <c r="E10455">
        <v>6</v>
      </c>
      <c r="F10455" t="s">
        <v>9369</v>
      </c>
      <c r="G10455">
        <v>1</v>
      </c>
      <c r="H10455">
        <v>1</v>
      </c>
      <c r="I10455">
        <f>1</f>
        <v>1</v>
      </c>
    </row>
    <row r="10456" spans="2:9" x14ac:dyDescent="0.25">
      <c r="B10456">
        <v>0</v>
      </c>
      <c r="C10456" s="16" t="s">
        <v>19379</v>
      </c>
      <c r="D10456" s="16"/>
      <c r="E10456">
        <v>6</v>
      </c>
      <c r="F10456" t="s">
        <v>9370</v>
      </c>
      <c r="G10456">
        <v>1</v>
      </c>
      <c r="H10456">
        <v>1</v>
      </c>
      <c r="I10456">
        <f>1</f>
        <v>1</v>
      </c>
    </row>
    <row r="10457" spans="2:9" x14ac:dyDescent="0.25">
      <c r="B10457">
        <v>0</v>
      </c>
      <c r="C10457" s="16" t="s">
        <v>19380</v>
      </c>
      <c r="D10457" s="16"/>
      <c r="E10457">
        <v>6</v>
      </c>
      <c r="F10457" t="e">
        <f>-Botões De pressão e suas Partes</f>
        <v>#NAME?</v>
      </c>
      <c r="G10457">
        <v>1</v>
      </c>
      <c r="H10457">
        <v>1</v>
      </c>
      <c r="I10457">
        <f>1</f>
        <v>1</v>
      </c>
    </row>
    <row r="10458" spans="2:9" x14ac:dyDescent="0.25">
      <c r="B10458">
        <v>0</v>
      </c>
      <c r="C10458" s="16" t="s">
        <v>19381</v>
      </c>
      <c r="D10458" s="16"/>
      <c r="E10458">
        <v>6</v>
      </c>
      <c r="F10458" t="s">
        <v>9371</v>
      </c>
      <c r="G10458">
        <v>1</v>
      </c>
      <c r="H10458">
        <v>1</v>
      </c>
      <c r="I10458">
        <f>1</f>
        <v>1</v>
      </c>
    </row>
    <row r="10459" spans="2:9" x14ac:dyDescent="0.25">
      <c r="B10459">
        <v>0</v>
      </c>
      <c r="C10459" s="16" t="s">
        <v>19382</v>
      </c>
      <c r="D10459" s="16"/>
      <c r="E10459">
        <v>6</v>
      </c>
      <c r="F10459" t="s">
        <v>9372</v>
      </c>
      <c r="G10459">
        <v>1</v>
      </c>
      <c r="H10459">
        <v>1</v>
      </c>
      <c r="I10459">
        <f>1</f>
        <v>1</v>
      </c>
    </row>
    <row r="10460" spans="2:9" x14ac:dyDescent="0.25">
      <c r="B10460">
        <v>0</v>
      </c>
      <c r="C10460" s="16" t="s">
        <v>19383</v>
      </c>
      <c r="D10460" s="16"/>
      <c r="E10460">
        <v>6</v>
      </c>
      <c r="F10460" t="e">
        <f>--outros</f>
        <v>#NAME?</v>
      </c>
      <c r="G10460">
        <v>1</v>
      </c>
      <c r="H10460">
        <v>1</v>
      </c>
      <c r="I10460">
        <f>1</f>
        <v>1</v>
      </c>
    </row>
    <row r="10461" spans="2:9" x14ac:dyDescent="0.25">
      <c r="B10461">
        <v>0</v>
      </c>
      <c r="C10461" s="16" t="s">
        <v>19384</v>
      </c>
      <c r="D10461" s="16"/>
      <c r="E10461">
        <v>6</v>
      </c>
      <c r="F10461" t="s">
        <v>9373</v>
      </c>
      <c r="G10461">
        <v>1</v>
      </c>
      <c r="H10461">
        <v>1</v>
      </c>
      <c r="I10461">
        <f>1</f>
        <v>1</v>
      </c>
    </row>
    <row r="10462" spans="2:9" x14ac:dyDescent="0.25">
      <c r="B10462">
        <v>0</v>
      </c>
      <c r="C10462" s="16" t="s">
        <v>19385</v>
      </c>
      <c r="D10462" s="16"/>
      <c r="E10462">
        <v>6</v>
      </c>
      <c r="F10462" t="e">
        <f>--outros</f>
        <v>#NAME?</v>
      </c>
      <c r="G10462">
        <v>1</v>
      </c>
      <c r="H10462">
        <v>1</v>
      </c>
      <c r="I10462">
        <f>1</f>
        <v>1</v>
      </c>
    </row>
    <row r="10463" spans="2:9" x14ac:dyDescent="0.25">
      <c r="B10463">
        <v>0</v>
      </c>
      <c r="C10463" s="16" t="s">
        <v>19386</v>
      </c>
      <c r="D10463" s="16"/>
      <c r="E10463">
        <v>6</v>
      </c>
      <c r="F10463" t="e">
        <f>-Partes</f>
        <v>#NAME?</v>
      </c>
      <c r="G10463">
        <v>1</v>
      </c>
      <c r="H10463">
        <v>1</v>
      </c>
      <c r="I10463">
        <f>1</f>
        <v>1</v>
      </c>
    </row>
    <row r="10464" spans="2:9" x14ac:dyDescent="0.25">
      <c r="B10464">
        <v>0</v>
      </c>
      <c r="C10464" s="16" t="s">
        <v>19387</v>
      </c>
      <c r="D10464" s="16"/>
      <c r="E10464">
        <v>6</v>
      </c>
      <c r="F10464" t="e">
        <f>-Canetas esferográficas</f>
        <v>#NAME?</v>
      </c>
      <c r="G10464">
        <v>1</v>
      </c>
      <c r="H10464">
        <v>1</v>
      </c>
      <c r="I10464">
        <f>1</f>
        <v>1</v>
      </c>
    </row>
    <row r="10465" spans="2:9" x14ac:dyDescent="0.25">
      <c r="B10465">
        <v>0</v>
      </c>
      <c r="C10465" s="16" t="s">
        <v>19388</v>
      </c>
      <c r="D10465" s="16"/>
      <c r="E10465">
        <v>6</v>
      </c>
      <c r="F10465" t="s">
        <v>9374</v>
      </c>
      <c r="G10465">
        <v>1</v>
      </c>
      <c r="H10465">
        <v>1</v>
      </c>
      <c r="I10465">
        <f>1</f>
        <v>1</v>
      </c>
    </row>
    <row r="10466" spans="2:9" x14ac:dyDescent="0.25">
      <c r="B10466">
        <v>0</v>
      </c>
      <c r="C10466" s="16" t="s">
        <v>19389</v>
      </c>
      <c r="D10466" s="16"/>
      <c r="E10466">
        <v>6</v>
      </c>
      <c r="F10466" t="e">
        <f>-Canetas-tinteiro e Outras Canetas</f>
        <v>#NAME?</v>
      </c>
      <c r="G10466">
        <v>1</v>
      </c>
      <c r="H10466">
        <v>1</v>
      </c>
      <c r="I10466">
        <f>1</f>
        <v>1</v>
      </c>
    </row>
    <row r="10467" spans="2:9" x14ac:dyDescent="0.25">
      <c r="B10467">
        <v>0</v>
      </c>
      <c r="C10467" s="16" t="s">
        <v>19390</v>
      </c>
      <c r="D10467" s="16"/>
      <c r="E10467">
        <v>6</v>
      </c>
      <c r="F10467" t="e">
        <f>-Lapiseiras</f>
        <v>#NAME?</v>
      </c>
      <c r="G10467">
        <v>1</v>
      </c>
      <c r="H10467">
        <v>1</v>
      </c>
      <c r="I10467">
        <f>1</f>
        <v>1</v>
      </c>
    </row>
    <row r="10468" spans="2:9" x14ac:dyDescent="0.25">
      <c r="B10468">
        <v>0</v>
      </c>
      <c r="C10468" s="16" t="s">
        <v>19391</v>
      </c>
      <c r="D10468" s="16"/>
      <c r="E10468">
        <v>6</v>
      </c>
      <c r="F10468" t="s">
        <v>9375</v>
      </c>
      <c r="G10468">
        <v>1</v>
      </c>
      <c r="H10468">
        <v>1</v>
      </c>
      <c r="I10468">
        <f>1</f>
        <v>1</v>
      </c>
    </row>
    <row r="10469" spans="2:9" x14ac:dyDescent="0.25">
      <c r="B10469">
        <v>0</v>
      </c>
      <c r="C10469" s="16" t="s">
        <v>19392</v>
      </c>
      <c r="D10469" s="16"/>
      <c r="E10469">
        <v>6</v>
      </c>
      <c r="F10469" t="s">
        <v>9376</v>
      </c>
      <c r="G10469">
        <v>1</v>
      </c>
      <c r="H10469">
        <v>1</v>
      </c>
      <c r="I10469">
        <f>1</f>
        <v>1</v>
      </c>
    </row>
    <row r="10470" spans="2:9" x14ac:dyDescent="0.25">
      <c r="B10470">
        <v>0</v>
      </c>
      <c r="C10470" s="16" t="s">
        <v>19393</v>
      </c>
      <c r="D10470" s="16"/>
      <c r="E10470">
        <v>6</v>
      </c>
      <c r="F10470" t="e">
        <f>--Penas e suas pontas</f>
        <v>#NAME?</v>
      </c>
      <c r="G10470">
        <v>1</v>
      </c>
      <c r="H10470">
        <v>1</v>
      </c>
      <c r="I10470">
        <f>1</f>
        <v>1</v>
      </c>
    </row>
    <row r="10471" spans="2:9" x14ac:dyDescent="0.25">
      <c r="B10471">
        <v>0</v>
      </c>
      <c r="C10471" s="16" t="s">
        <v>19394</v>
      </c>
      <c r="D10471" s="16"/>
      <c r="E10471">
        <v>6</v>
      </c>
      <c r="F10471" t="s">
        <v>9377</v>
      </c>
      <c r="G10471">
        <v>1</v>
      </c>
      <c r="H10471">
        <v>1</v>
      </c>
      <c r="I10471">
        <f>1</f>
        <v>1</v>
      </c>
    </row>
    <row r="10472" spans="2:9" x14ac:dyDescent="0.25">
      <c r="B10472">
        <v>0</v>
      </c>
      <c r="C10472" s="16" t="s">
        <v>19395</v>
      </c>
      <c r="D10472" s="16"/>
      <c r="E10472">
        <v>6</v>
      </c>
      <c r="F10472" t="s">
        <v>4690</v>
      </c>
      <c r="G10472">
        <v>1</v>
      </c>
      <c r="H10472">
        <v>1</v>
      </c>
      <c r="I10472">
        <f>1</f>
        <v>1</v>
      </c>
    </row>
    <row r="10473" spans="2:9" x14ac:dyDescent="0.25">
      <c r="B10473">
        <v>0</v>
      </c>
      <c r="C10473" s="16" t="s">
        <v>19396</v>
      </c>
      <c r="D10473" s="16"/>
      <c r="E10473">
        <v>6</v>
      </c>
      <c r="F10473" t="s">
        <v>4680</v>
      </c>
      <c r="G10473">
        <v>1</v>
      </c>
      <c r="H10473">
        <v>1</v>
      </c>
      <c r="I10473">
        <f>1</f>
        <v>1</v>
      </c>
    </row>
    <row r="10474" spans="2:9" x14ac:dyDescent="0.25">
      <c r="B10474">
        <v>0</v>
      </c>
      <c r="C10474" s="16" t="s">
        <v>19397</v>
      </c>
      <c r="D10474" s="16"/>
      <c r="E10474">
        <v>6</v>
      </c>
      <c r="F10474" t="e">
        <f>-Lápis</f>
        <v>#NAME?</v>
      </c>
      <c r="G10474">
        <v>1</v>
      </c>
      <c r="H10474">
        <v>1</v>
      </c>
      <c r="I10474">
        <f>1</f>
        <v>1</v>
      </c>
    </row>
    <row r="10475" spans="2:9" x14ac:dyDescent="0.25">
      <c r="B10475">
        <v>0</v>
      </c>
      <c r="C10475" s="16" t="s">
        <v>19398</v>
      </c>
      <c r="D10475" s="16"/>
      <c r="E10475">
        <v>6</v>
      </c>
      <c r="F10475" t="e">
        <f>-Minas para Lápis ou para Lapiseiras</f>
        <v>#NAME?</v>
      </c>
      <c r="G10475">
        <v>1</v>
      </c>
      <c r="H10475">
        <v>1</v>
      </c>
      <c r="I10475">
        <f>1</f>
        <v>1</v>
      </c>
    </row>
    <row r="10476" spans="2:9" x14ac:dyDescent="0.25">
      <c r="B10476">
        <v>0</v>
      </c>
      <c r="C10476" s="16" t="s">
        <v>19399</v>
      </c>
      <c r="D10476" s="16"/>
      <c r="E10476">
        <v>6</v>
      </c>
      <c r="F10476" t="e">
        <f>-outros</f>
        <v>#NAME?</v>
      </c>
      <c r="G10476">
        <v>1</v>
      </c>
      <c r="H10476">
        <v>1</v>
      </c>
      <c r="I10476">
        <f>1</f>
        <v>1</v>
      </c>
    </row>
    <row r="10477" spans="2:9" x14ac:dyDescent="0.25">
      <c r="B10477">
        <v>0</v>
      </c>
      <c r="C10477" s="16" t="s">
        <v>19400</v>
      </c>
      <c r="D10477" s="16"/>
      <c r="E10477">
        <v>6</v>
      </c>
      <c r="F10477" t="s">
        <v>9378</v>
      </c>
      <c r="G10477">
        <v>1</v>
      </c>
      <c r="H10477">
        <v>1</v>
      </c>
      <c r="I10477">
        <f>1</f>
        <v>1</v>
      </c>
    </row>
    <row r="10478" spans="2:9" x14ac:dyDescent="0.25">
      <c r="B10478">
        <v>0</v>
      </c>
      <c r="C10478" s="16" t="s">
        <v>19401</v>
      </c>
      <c r="D10478" s="16"/>
      <c r="E10478">
        <v>6</v>
      </c>
      <c r="F10478" t="s">
        <v>9379</v>
      </c>
      <c r="G10478">
        <v>1</v>
      </c>
      <c r="H10478">
        <v>1</v>
      </c>
      <c r="I10478">
        <f>1</f>
        <v>1</v>
      </c>
    </row>
    <row r="10479" spans="2:9" x14ac:dyDescent="0.25">
      <c r="B10479">
        <v>0</v>
      </c>
      <c r="C10479" s="16" t="s">
        <v>19402</v>
      </c>
      <c r="D10479" s="16"/>
      <c r="E10479">
        <v>6</v>
      </c>
      <c r="F10479" t="s">
        <v>9380</v>
      </c>
      <c r="G10479">
        <v>1</v>
      </c>
      <c r="H10479">
        <v>1</v>
      </c>
      <c r="I10479">
        <f>1</f>
        <v>1</v>
      </c>
    </row>
    <row r="10480" spans="2:9" x14ac:dyDescent="0.25">
      <c r="B10480">
        <v>0</v>
      </c>
      <c r="C10480" s="16" t="s">
        <v>19403</v>
      </c>
      <c r="D10480" s="16"/>
      <c r="E10480">
        <v>6</v>
      </c>
      <c r="F10480" t="s">
        <v>9381</v>
      </c>
      <c r="G10480">
        <v>1</v>
      </c>
      <c r="H10480">
        <v>1</v>
      </c>
      <c r="I10480">
        <f>1</f>
        <v>1</v>
      </c>
    </row>
    <row r="10481" spans="2:9" x14ac:dyDescent="0.25">
      <c r="B10481">
        <v>0</v>
      </c>
      <c r="C10481" s="16" t="s">
        <v>19404</v>
      </c>
      <c r="D10481" s="16"/>
      <c r="E10481">
        <v>6</v>
      </c>
      <c r="F10481" t="s">
        <v>9382</v>
      </c>
      <c r="G10481">
        <v>1</v>
      </c>
      <c r="H10481">
        <v>1</v>
      </c>
      <c r="I10481">
        <f>1</f>
        <v>1</v>
      </c>
    </row>
    <row r="10482" spans="2:9" x14ac:dyDescent="0.25">
      <c r="B10482">
        <v>0</v>
      </c>
      <c r="C10482" s="16" t="s">
        <v>19405</v>
      </c>
      <c r="D10482" s="16"/>
      <c r="E10482">
        <v>6</v>
      </c>
      <c r="F10482" t="s">
        <v>4690</v>
      </c>
      <c r="G10482">
        <v>1</v>
      </c>
      <c r="H10482">
        <v>1</v>
      </c>
      <c r="I10482">
        <f>1</f>
        <v>1</v>
      </c>
    </row>
    <row r="10483" spans="2:9" x14ac:dyDescent="0.25">
      <c r="B10483">
        <v>0</v>
      </c>
      <c r="C10483" s="16" t="s">
        <v>19406</v>
      </c>
      <c r="D10483" s="16"/>
      <c r="E10483">
        <v>6</v>
      </c>
      <c r="F10483" t="s">
        <v>4690</v>
      </c>
      <c r="G10483">
        <v>1</v>
      </c>
      <c r="H10483">
        <v>1</v>
      </c>
      <c r="I10483">
        <f>1</f>
        <v>1</v>
      </c>
    </row>
    <row r="10484" spans="2:9" x14ac:dyDescent="0.25">
      <c r="B10484">
        <v>0</v>
      </c>
      <c r="C10484" s="16" t="s">
        <v>19407</v>
      </c>
      <c r="D10484" s="16"/>
      <c r="E10484">
        <v>6</v>
      </c>
      <c r="F10484" t="e">
        <f>-Almofadas De carimbo</f>
        <v>#NAME?</v>
      </c>
      <c r="G10484">
        <v>1</v>
      </c>
      <c r="H10484">
        <v>1</v>
      </c>
      <c r="I10484">
        <f>1</f>
        <v>1</v>
      </c>
    </row>
    <row r="10485" spans="2:9" x14ac:dyDescent="0.25">
      <c r="B10485">
        <v>0</v>
      </c>
      <c r="C10485" s="16" t="s">
        <v>19408</v>
      </c>
      <c r="D10485" s="16"/>
      <c r="E10485">
        <v>6</v>
      </c>
      <c r="F10485" t="s">
        <v>9383</v>
      </c>
      <c r="G10485">
        <v>1</v>
      </c>
      <c r="H10485">
        <v>1</v>
      </c>
      <c r="I10485">
        <f>1</f>
        <v>1</v>
      </c>
    </row>
    <row r="10486" spans="2:9" x14ac:dyDescent="0.25">
      <c r="B10486">
        <v>0</v>
      </c>
      <c r="C10486" s="16" t="s">
        <v>19409</v>
      </c>
      <c r="D10486" s="16"/>
      <c r="E10486">
        <v>6</v>
      </c>
      <c r="F10486" t="s">
        <v>9384</v>
      </c>
      <c r="G10486">
        <v>1</v>
      </c>
      <c r="H10486">
        <v>1</v>
      </c>
      <c r="I10486">
        <f>1</f>
        <v>1</v>
      </c>
    </row>
    <row r="10487" spans="2:9" x14ac:dyDescent="0.25">
      <c r="B10487">
        <v>0</v>
      </c>
      <c r="C10487" s="16" t="s">
        <v>19410</v>
      </c>
      <c r="D10487" s="16"/>
      <c r="E10487">
        <v>6</v>
      </c>
      <c r="F10487" t="e">
        <f>-outros Isqueiros e acendedores</f>
        <v>#NAME?</v>
      </c>
      <c r="G10487">
        <v>1</v>
      </c>
      <c r="H10487">
        <v>1</v>
      </c>
      <c r="I10487">
        <f>1</f>
        <v>1</v>
      </c>
    </row>
    <row r="10488" spans="2:9" x14ac:dyDescent="0.25">
      <c r="B10488">
        <v>0</v>
      </c>
      <c r="C10488" s="16" t="s">
        <v>19411</v>
      </c>
      <c r="D10488" s="16"/>
      <c r="E10488">
        <v>6</v>
      </c>
      <c r="F10488" t="e">
        <f>-Partes</f>
        <v>#NAME?</v>
      </c>
      <c r="G10488">
        <v>1</v>
      </c>
      <c r="H10488">
        <v>1</v>
      </c>
      <c r="I10488">
        <f>1</f>
        <v>1</v>
      </c>
    </row>
    <row r="10489" spans="2:9" x14ac:dyDescent="0.25">
      <c r="B10489">
        <v>0</v>
      </c>
      <c r="C10489" s="16" t="s">
        <v>19412</v>
      </c>
      <c r="D10489" s="16"/>
      <c r="E10489">
        <v>6</v>
      </c>
      <c r="F10489" t="s">
        <v>9385</v>
      </c>
      <c r="G10489">
        <v>1</v>
      </c>
      <c r="H10489">
        <v>1</v>
      </c>
      <c r="I10489">
        <f>1</f>
        <v>1</v>
      </c>
    </row>
    <row r="10490" spans="2:9" x14ac:dyDescent="0.25">
      <c r="B10490">
        <v>0</v>
      </c>
      <c r="C10490" s="16" t="s">
        <v>19413</v>
      </c>
      <c r="D10490" s="16"/>
      <c r="E10490">
        <v>6</v>
      </c>
      <c r="F10490" t="e">
        <f>--De borracha endurecida ou De plásticos</f>
        <v>#NAME?</v>
      </c>
      <c r="G10490">
        <v>1</v>
      </c>
      <c r="H10490">
        <v>1</v>
      </c>
      <c r="I10490">
        <f>1</f>
        <v>1</v>
      </c>
    </row>
    <row r="10491" spans="2:9" x14ac:dyDescent="0.25">
      <c r="B10491">
        <v>0</v>
      </c>
      <c r="C10491" s="16" t="s">
        <v>19414</v>
      </c>
      <c r="D10491" s="16"/>
      <c r="E10491">
        <v>6</v>
      </c>
      <c r="F10491" t="e">
        <f>--outros</f>
        <v>#NAME?</v>
      </c>
      <c r="G10491">
        <v>1</v>
      </c>
      <c r="H10491">
        <v>1</v>
      </c>
      <c r="I10491">
        <f>1</f>
        <v>1</v>
      </c>
    </row>
    <row r="10492" spans="2:9" x14ac:dyDescent="0.25">
      <c r="B10492">
        <v>0</v>
      </c>
      <c r="C10492" s="16" t="s">
        <v>19415</v>
      </c>
      <c r="D10492" s="16"/>
      <c r="E10492">
        <v>6</v>
      </c>
      <c r="F10492" t="e">
        <f>-outros</f>
        <v>#NAME?</v>
      </c>
      <c r="G10492">
        <v>1</v>
      </c>
      <c r="H10492">
        <v>1</v>
      </c>
      <c r="I10492">
        <f>1</f>
        <v>1</v>
      </c>
    </row>
    <row r="10493" spans="2:9" x14ac:dyDescent="0.25">
      <c r="B10493">
        <v>0</v>
      </c>
      <c r="C10493" s="16" t="s">
        <v>19416</v>
      </c>
      <c r="D10493" s="16"/>
      <c r="E10493">
        <v>6</v>
      </c>
      <c r="F10493" t="s">
        <v>9386</v>
      </c>
      <c r="G10493">
        <v>1</v>
      </c>
      <c r="H10493">
        <v>1</v>
      </c>
      <c r="I10493">
        <f>1</f>
        <v>1</v>
      </c>
    </row>
    <row r="10494" spans="2:9" x14ac:dyDescent="0.25">
      <c r="B10494">
        <v>0</v>
      </c>
      <c r="C10494" s="16" t="s">
        <v>19417</v>
      </c>
      <c r="D10494" s="16"/>
      <c r="E10494">
        <v>6</v>
      </c>
      <c r="F10494" t="e">
        <f>-Borlas ou esponjas para Pós ou para aplicação De outros cosméticos ou De produtos De toucador</f>
        <v>#NAME?</v>
      </c>
      <c r="G10494">
        <v>1</v>
      </c>
      <c r="H10494">
        <v>1</v>
      </c>
      <c r="I10494">
        <f>1</f>
        <v>1</v>
      </c>
    </row>
    <row r="10495" spans="2:9" x14ac:dyDescent="0.25">
      <c r="B10495">
        <v>0</v>
      </c>
      <c r="C10495" s="16" t="s">
        <v>19418</v>
      </c>
      <c r="D10495" s="16"/>
      <c r="E10495">
        <v>6</v>
      </c>
      <c r="F10495" t="s">
        <v>9387</v>
      </c>
      <c r="G10495">
        <v>1</v>
      </c>
      <c r="H10495">
        <v>1</v>
      </c>
      <c r="I10495">
        <f>1</f>
        <v>1</v>
      </c>
    </row>
    <row r="10496" spans="2:9" x14ac:dyDescent="0.25">
      <c r="B10496">
        <v>0</v>
      </c>
      <c r="C10496" s="16" t="s">
        <v>19419</v>
      </c>
      <c r="D10496" s="16"/>
      <c r="E10496">
        <v>6</v>
      </c>
      <c r="F10496" t="s">
        <v>8621</v>
      </c>
      <c r="G10496">
        <v>1</v>
      </c>
      <c r="H10496">
        <v>1</v>
      </c>
      <c r="I10496">
        <f>1</f>
        <v>1</v>
      </c>
    </row>
    <row r="10497" spans="2:9" x14ac:dyDescent="0.25">
      <c r="B10497">
        <v>0</v>
      </c>
      <c r="C10497" s="16" t="s">
        <v>19420</v>
      </c>
      <c r="D10497" s="16"/>
      <c r="E10497">
        <v>6</v>
      </c>
      <c r="F10497" t="s">
        <v>9388</v>
      </c>
      <c r="G10497">
        <v>1</v>
      </c>
      <c r="H10497">
        <v>1</v>
      </c>
      <c r="I10497">
        <f>1</f>
        <v>1</v>
      </c>
    </row>
    <row r="10498" spans="2:9" x14ac:dyDescent="0.25">
      <c r="B10498">
        <v>0</v>
      </c>
      <c r="C10498" s="16" t="s">
        <v>19421</v>
      </c>
      <c r="D10498" s="16"/>
      <c r="E10498">
        <v>6</v>
      </c>
      <c r="F10498" t="s">
        <v>9389</v>
      </c>
      <c r="G10498">
        <v>1</v>
      </c>
      <c r="H10498">
        <v>1</v>
      </c>
      <c r="I10498">
        <f>1</f>
        <v>1</v>
      </c>
    </row>
    <row r="10499" spans="2:9" x14ac:dyDescent="0.25">
      <c r="B10499">
        <v>0</v>
      </c>
      <c r="C10499" s="16" t="s">
        <v>19421</v>
      </c>
      <c r="D10499" s="16" t="s">
        <v>19430</v>
      </c>
      <c r="E10499">
        <v>6</v>
      </c>
      <c r="F10499" t="s">
        <v>9390</v>
      </c>
      <c r="G10499">
        <v>1</v>
      </c>
      <c r="H10499">
        <v>1</v>
      </c>
      <c r="I10499">
        <f>1</f>
        <v>1</v>
      </c>
    </row>
    <row r="10500" spans="2:9" x14ac:dyDescent="0.25">
      <c r="B10500">
        <v>0</v>
      </c>
      <c r="C10500" s="16" t="s">
        <v>19421</v>
      </c>
      <c r="D10500" s="16" t="s">
        <v>19431</v>
      </c>
      <c r="E10500">
        <v>6</v>
      </c>
      <c r="F10500" t="s">
        <v>9391</v>
      </c>
      <c r="G10500">
        <v>1</v>
      </c>
      <c r="H10500">
        <v>1</v>
      </c>
      <c r="I10500">
        <f>1</f>
        <v>1</v>
      </c>
    </row>
    <row r="10501" spans="2:9" x14ac:dyDescent="0.25">
      <c r="B10501">
        <v>0</v>
      </c>
      <c r="C10501" s="16" t="s">
        <v>19422</v>
      </c>
      <c r="D10501" s="16"/>
      <c r="E10501">
        <v>6</v>
      </c>
      <c r="F10501" t="s">
        <v>9392</v>
      </c>
      <c r="G10501">
        <v>1</v>
      </c>
      <c r="H10501">
        <v>1</v>
      </c>
      <c r="I10501">
        <f>1</f>
        <v>1</v>
      </c>
    </row>
    <row r="10502" spans="2:9" x14ac:dyDescent="0.25">
      <c r="B10502">
        <v>0</v>
      </c>
      <c r="C10502" s="16" t="s">
        <v>19423</v>
      </c>
      <c r="D10502" s="16"/>
      <c r="E10502">
        <v>6</v>
      </c>
      <c r="F10502" t="e">
        <f>-outros</f>
        <v>#NAME?</v>
      </c>
      <c r="G10502">
        <v>1</v>
      </c>
      <c r="H10502">
        <v>1</v>
      </c>
      <c r="I10502">
        <f>1</f>
        <v>1</v>
      </c>
    </row>
    <row r="10503" spans="2:9" x14ac:dyDescent="0.25">
      <c r="B10503">
        <v>0</v>
      </c>
      <c r="C10503" s="16" t="s">
        <v>19423</v>
      </c>
      <c r="D10503" s="16" t="s">
        <v>19430</v>
      </c>
      <c r="E10503">
        <v>6</v>
      </c>
      <c r="F10503" t="s">
        <v>9393</v>
      </c>
      <c r="G10503">
        <v>1</v>
      </c>
      <c r="H10503">
        <v>1</v>
      </c>
      <c r="I10503">
        <f>1</f>
        <v>1</v>
      </c>
    </row>
    <row r="10504" spans="2:9" x14ac:dyDescent="0.25">
      <c r="B10504">
        <v>0</v>
      </c>
      <c r="C10504" s="16" t="s">
        <v>19424</v>
      </c>
      <c r="D10504" s="16"/>
      <c r="E10504">
        <v>6</v>
      </c>
      <c r="F10504" t="s">
        <v>9394</v>
      </c>
      <c r="G10504">
        <v>1</v>
      </c>
      <c r="H10504">
        <v>1</v>
      </c>
      <c r="I10504">
        <f>1</f>
        <v>1</v>
      </c>
    </row>
    <row r="10505" spans="2:9" x14ac:dyDescent="0.25">
      <c r="B10505">
        <v>0</v>
      </c>
      <c r="C10505" s="16" t="s">
        <v>19425</v>
      </c>
      <c r="D10505" s="16"/>
      <c r="E10505">
        <v>6</v>
      </c>
      <c r="F10505" t="s">
        <v>9395</v>
      </c>
      <c r="G10505">
        <v>1</v>
      </c>
      <c r="H10505">
        <v>1</v>
      </c>
      <c r="I10505">
        <f>1</f>
        <v>1</v>
      </c>
    </row>
    <row r="10506" spans="2:9" x14ac:dyDescent="0.25">
      <c r="B10506">
        <v>0</v>
      </c>
      <c r="C10506" s="16" t="s">
        <v>19426</v>
      </c>
      <c r="D10506" s="16"/>
      <c r="E10506">
        <v>6</v>
      </c>
      <c r="F10506" t="s">
        <v>9396</v>
      </c>
      <c r="G10506">
        <v>1</v>
      </c>
      <c r="H10506">
        <v>1</v>
      </c>
      <c r="I10506">
        <f>1</f>
        <v>1</v>
      </c>
    </row>
    <row r="10507" spans="2:9" x14ac:dyDescent="0.25">
      <c r="B10507">
        <v>0</v>
      </c>
      <c r="C10507" s="16" t="s">
        <v>19427</v>
      </c>
      <c r="D10507" s="16"/>
      <c r="E10507">
        <v>6</v>
      </c>
      <c r="F10507" t="s">
        <v>9397</v>
      </c>
      <c r="G10507">
        <v>1</v>
      </c>
      <c r="H10507">
        <v>1</v>
      </c>
      <c r="I10507">
        <f>1</f>
        <v>1</v>
      </c>
    </row>
    <row r="10508" spans="2:9" x14ac:dyDescent="0.25">
      <c r="B10508">
        <v>0</v>
      </c>
      <c r="C10508" s="16" t="s">
        <v>19428</v>
      </c>
      <c r="D10508" s="16"/>
      <c r="E10508">
        <v>6</v>
      </c>
      <c r="F10508" t="s">
        <v>9398</v>
      </c>
      <c r="G10508">
        <v>1</v>
      </c>
      <c r="H10508">
        <v>1</v>
      </c>
      <c r="I10508">
        <f>1</f>
        <v>1</v>
      </c>
    </row>
    <row r="10509" spans="2:9" x14ac:dyDescent="0.25">
      <c r="B10509">
        <v>0</v>
      </c>
      <c r="C10509" s="16" t="s">
        <v>19429</v>
      </c>
      <c r="D10509" s="16"/>
      <c r="E10509">
        <v>6</v>
      </c>
      <c r="F10509" t="s">
        <v>4680</v>
      </c>
      <c r="G10509">
        <v>1</v>
      </c>
      <c r="H10509">
        <v>1</v>
      </c>
      <c r="I10509">
        <f>1</f>
        <v>1</v>
      </c>
    </row>
  </sheetData>
  <pageMargins left="0.511811024" right="0.511811024" top="0.78740157499999996" bottom="0.78740157499999996" header="0.31496062000000002" footer="0.31496062000000002"/>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X10518"/>
  <sheetViews>
    <sheetView topLeftCell="B2" workbookViewId="0">
      <selection activeCell="A12" sqref="A12"/>
    </sheetView>
  </sheetViews>
  <sheetFormatPr defaultRowHeight="15" x14ac:dyDescent="0.25"/>
  <cols>
    <col min="3" max="3" width="10.5703125" customWidth="1"/>
    <col min="4" max="4" width="9.5703125" customWidth="1"/>
    <col min="8" max="8" width="9.7109375" customWidth="1"/>
    <col min="14" max="14" width="9.5703125" customWidth="1"/>
    <col min="18" max="18" width="9.7109375" customWidth="1"/>
    <col min="22" max="22" width="11.140625" customWidth="1"/>
  </cols>
  <sheetData>
    <row r="2" spans="2:24" x14ac:dyDescent="0.25">
      <c r="B2" t="s">
        <v>19441</v>
      </c>
      <c r="C2" t="s">
        <v>612</v>
      </c>
      <c r="D2" t="s">
        <v>19442</v>
      </c>
      <c r="E2" t="s">
        <v>19443</v>
      </c>
      <c r="F2" t="s">
        <v>621</v>
      </c>
      <c r="G2" t="s">
        <v>19444</v>
      </c>
      <c r="H2" t="s">
        <v>617</v>
      </c>
      <c r="I2" t="s">
        <v>616</v>
      </c>
      <c r="J2" t="s">
        <v>19445</v>
      </c>
      <c r="L2" t="s">
        <v>19441</v>
      </c>
      <c r="M2" t="s">
        <v>612</v>
      </c>
      <c r="N2" t="s">
        <v>19442</v>
      </c>
      <c r="O2" t="s">
        <v>19443</v>
      </c>
      <c r="P2" t="s">
        <v>621</v>
      </c>
      <c r="Q2" t="s">
        <v>19444</v>
      </c>
      <c r="R2" t="s">
        <v>617</v>
      </c>
      <c r="S2" t="s">
        <v>616</v>
      </c>
      <c r="T2" t="s">
        <v>19445</v>
      </c>
    </row>
    <row r="3" spans="2:24" x14ac:dyDescent="0.25">
      <c r="B3" t="s">
        <v>2709</v>
      </c>
      <c r="C3">
        <v>1012100</v>
      </c>
      <c r="D3" s="16"/>
      <c r="E3" s="16" t="s">
        <v>19447</v>
      </c>
      <c r="F3">
        <v>18</v>
      </c>
      <c r="G3">
        <v>0</v>
      </c>
      <c r="H3" t="s">
        <v>19447</v>
      </c>
      <c r="I3" t="s">
        <v>19447</v>
      </c>
      <c r="J3">
        <v>0</v>
      </c>
      <c r="L3" t="s">
        <v>2709</v>
      </c>
      <c r="M3">
        <v>1012100</v>
      </c>
      <c r="N3" s="16"/>
      <c r="O3" s="16" t="s">
        <v>19447</v>
      </c>
      <c r="P3" t="s">
        <v>19899</v>
      </c>
      <c r="Q3" t="s">
        <v>19900</v>
      </c>
      <c r="R3" t="s">
        <v>19447</v>
      </c>
      <c r="S3" t="s">
        <v>19447</v>
      </c>
      <c r="T3" t="s">
        <v>19900</v>
      </c>
      <c r="W3" s="49" t="s">
        <v>13183</v>
      </c>
      <c r="X3" s="49" t="s">
        <v>20233</v>
      </c>
    </row>
    <row r="4" spans="2:24" x14ac:dyDescent="0.25">
      <c r="B4" t="s">
        <v>2709</v>
      </c>
      <c r="C4">
        <v>1012900</v>
      </c>
      <c r="D4" s="16"/>
      <c r="E4" s="16" t="s">
        <v>19447</v>
      </c>
      <c r="F4">
        <v>18</v>
      </c>
      <c r="G4">
        <v>0</v>
      </c>
      <c r="H4" t="s">
        <v>19447</v>
      </c>
      <c r="I4" t="s">
        <v>19447</v>
      </c>
      <c r="J4">
        <v>2</v>
      </c>
      <c r="L4" t="s">
        <v>2709</v>
      </c>
      <c r="M4">
        <v>1012900</v>
      </c>
      <c r="N4" s="16"/>
      <c r="O4" s="16" t="s">
        <v>19447</v>
      </c>
      <c r="P4" t="s">
        <v>19899</v>
      </c>
      <c r="Q4" t="s">
        <v>19900</v>
      </c>
      <c r="R4" t="s">
        <v>19447</v>
      </c>
      <c r="S4" t="s">
        <v>19447</v>
      </c>
      <c r="T4" t="s">
        <v>19901</v>
      </c>
      <c r="W4" s="50">
        <v>30049099</v>
      </c>
      <c r="X4" s="50">
        <f>VLOOKUP(PISCOFINS!$W4,PISCOFINS!$C$3:$J$10518,7,0)</f>
        <v>2.1</v>
      </c>
    </row>
    <row r="5" spans="2:24" x14ac:dyDescent="0.25">
      <c r="B5" t="s">
        <v>2709</v>
      </c>
      <c r="C5">
        <v>1013000</v>
      </c>
      <c r="D5" s="16"/>
      <c r="E5" s="16" t="s">
        <v>19447</v>
      </c>
      <c r="F5">
        <v>18</v>
      </c>
      <c r="G5">
        <v>0</v>
      </c>
      <c r="H5" t="s">
        <v>19447</v>
      </c>
      <c r="I5" t="s">
        <v>19447</v>
      </c>
      <c r="J5">
        <v>4</v>
      </c>
      <c r="L5" t="s">
        <v>2709</v>
      </c>
      <c r="M5">
        <v>1013000</v>
      </c>
      <c r="N5" s="16"/>
      <c r="O5" s="16" t="s">
        <v>19447</v>
      </c>
      <c r="P5" t="s">
        <v>19899</v>
      </c>
      <c r="Q5" t="s">
        <v>19900</v>
      </c>
      <c r="R5" t="s">
        <v>19447</v>
      </c>
      <c r="S5" t="s">
        <v>19447</v>
      </c>
      <c r="T5" t="s">
        <v>19902</v>
      </c>
      <c r="W5" s="49">
        <v>30049099</v>
      </c>
      <c r="X5" s="50">
        <f>VLOOKUP(PISCOFINS!$W5,PISCOFINS!$C$3:$J$10518,7,0)</f>
        <v>2.1</v>
      </c>
    </row>
    <row r="6" spans="2:24" x14ac:dyDescent="0.25">
      <c r="B6" t="s">
        <v>2709</v>
      </c>
      <c r="C6">
        <v>1019000</v>
      </c>
      <c r="D6" s="16"/>
      <c r="E6" s="16" t="s">
        <v>19447</v>
      </c>
      <c r="F6">
        <v>18</v>
      </c>
      <c r="G6">
        <v>0</v>
      </c>
      <c r="H6" t="s">
        <v>19447</v>
      </c>
      <c r="I6" t="s">
        <v>19447</v>
      </c>
      <c r="J6">
        <v>4</v>
      </c>
      <c r="L6" t="s">
        <v>2709</v>
      </c>
      <c r="M6">
        <v>1019000</v>
      </c>
      <c r="N6" s="16"/>
      <c r="O6" s="16" t="s">
        <v>19447</v>
      </c>
      <c r="P6" t="s">
        <v>19899</v>
      </c>
      <c r="Q6" t="s">
        <v>19900</v>
      </c>
      <c r="R6" t="s">
        <v>19447</v>
      </c>
      <c r="S6" t="s">
        <v>19447</v>
      </c>
      <c r="T6" t="s">
        <v>19902</v>
      </c>
      <c r="W6" s="50">
        <v>30049099</v>
      </c>
      <c r="X6" s="50">
        <f>VLOOKUP(PISCOFINS!$W6,PISCOFINS!$C$3:$J$10518,7,0)</f>
        <v>2.1</v>
      </c>
    </row>
    <row r="7" spans="2:24" x14ac:dyDescent="0.25">
      <c r="B7" t="s">
        <v>2709</v>
      </c>
      <c r="C7">
        <v>1022110</v>
      </c>
      <c r="D7" s="16"/>
      <c r="E7" s="16" t="s">
        <v>19447</v>
      </c>
      <c r="F7">
        <v>12</v>
      </c>
      <c r="G7">
        <v>0</v>
      </c>
      <c r="H7" t="s">
        <v>19447</v>
      </c>
      <c r="I7" t="s">
        <v>19447</v>
      </c>
      <c r="J7">
        <v>0</v>
      </c>
      <c r="L7" t="s">
        <v>2709</v>
      </c>
      <c r="M7">
        <v>1022110</v>
      </c>
      <c r="N7" s="16"/>
      <c r="O7" s="16" t="s">
        <v>19447</v>
      </c>
      <c r="P7" t="s">
        <v>19903</v>
      </c>
      <c r="Q7" t="s">
        <v>19900</v>
      </c>
      <c r="R7" t="s">
        <v>19447</v>
      </c>
      <c r="S7" t="s">
        <v>19447</v>
      </c>
      <c r="T7" t="s">
        <v>19900</v>
      </c>
      <c r="W7" s="49">
        <v>30049099</v>
      </c>
      <c r="X7" s="50">
        <f>VLOOKUP(PISCOFINS!$W7,PISCOFINS!$C$3:$J$10518,7,0)</f>
        <v>2.1</v>
      </c>
    </row>
    <row r="8" spans="2:24" x14ac:dyDescent="0.25">
      <c r="B8" t="s">
        <v>2709</v>
      </c>
      <c r="C8">
        <v>1022190</v>
      </c>
      <c r="D8" s="16"/>
      <c r="E8" s="16" t="s">
        <v>19447</v>
      </c>
      <c r="F8">
        <v>12</v>
      </c>
      <c r="G8">
        <v>0</v>
      </c>
      <c r="H8" t="s">
        <v>19447</v>
      </c>
      <c r="I8" t="s">
        <v>19447</v>
      </c>
      <c r="J8">
        <v>0</v>
      </c>
      <c r="L8" t="s">
        <v>2709</v>
      </c>
      <c r="M8">
        <v>1022190</v>
      </c>
      <c r="N8" s="16"/>
      <c r="O8" s="16" t="s">
        <v>19447</v>
      </c>
      <c r="P8" t="s">
        <v>19903</v>
      </c>
      <c r="Q8" t="s">
        <v>19900</v>
      </c>
      <c r="R8" t="s">
        <v>19447</v>
      </c>
      <c r="S8" t="s">
        <v>19447</v>
      </c>
      <c r="T8" t="s">
        <v>19900</v>
      </c>
      <c r="W8" s="50">
        <v>30049099</v>
      </c>
      <c r="X8" s="50">
        <f>VLOOKUP(PISCOFINS!$W8,PISCOFINS!$C$3:$J$10518,7,0)</f>
        <v>2.1</v>
      </c>
    </row>
    <row r="9" spans="2:24" x14ac:dyDescent="0.25">
      <c r="B9" t="s">
        <v>2709</v>
      </c>
      <c r="C9">
        <v>1022911</v>
      </c>
      <c r="D9" s="16"/>
      <c r="E9" s="16" t="s">
        <v>19447</v>
      </c>
      <c r="F9">
        <v>12</v>
      </c>
      <c r="G9">
        <v>0</v>
      </c>
      <c r="H9" t="s">
        <v>19447</v>
      </c>
      <c r="I9" t="s">
        <v>19447</v>
      </c>
      <c r="J9">
        <v>2</v>
      </c>
      <c r="L9" t="s">
        <v>2709</v>
      </c>
      <c r="M9">
        <v>1022911</v>
      </c>
      <c r="N9" s="16"/>
      <c r="O9" s="16" t="s">
        <v>19447</v>
      </c>
      <c r="P9" t="s">
        <v>19903</v>
      </c>
      <c r="Q9" t="s">
        <v>19900</v>
      </c>
      <c r="R9" t="s">
        <v>19447</v>
      </c>
      <c r="S9" t="s">
        <v>19447</v>
      </c>
      <c r="T9" t="s">
        <v>19901</v>
      </c>
      <c r="W9" s="49">
        <v>30049099</v>
      </c>
      <c r="X9" s="50">
        <f>VLOOKUP(PISCOFINS!$W9,PISCOFINS!$C$3:$J$10518,7,0)</f>
        <v>2.1</v>
      </c>
    </row>
    <row r="10" spans="2:24" x14ac:dyDescent="0.25">
      <c r="B10" t="s">
        <v>2709</v>
      </c>
      <c r="C10">
        <v>1022919</v>
      </c>
      <c r="D10" s="16"/>
      <c r="E10" s="16" t="s">
        <v>19447</v>
      </c>
      <c r="F10">
        <v>12</v>
      </c>
      <c r="G10">
        <v>0</v>
      </c>
      <c r="H10" t="s">
        <v>19447</v>
      </c>
      <c r="I10" t="s">
        <v>19447</v>
      </c>
      <c r="J10">
        <v>2</v>
      </c>
      <c r="L10" t="s">
        <v>2709</v>
      </c>
      <c r="M10">
        <v>1022919</v>
      </c>
      <c r="N10" s="16"/>
      <c r="O10" s="16" t="s">
        <v>19447</v>
      </c>
      <c r="P10" t="s">
        <v>19903</v>
      </c>
      <c r="Q10" t="s">
        <v>19900</v>
      </c>
      <c r="R10" t="s">
        <v>19447</v>
      </c>
      <c r="S10" t="s">
        <v>19447</v>
      </c>
      <c r="T10" t="s">
        <v>19901</v>
      </c>
      <c r="W10" s="50">
        <v>30049099</v>
      </c>
      <c r="X10" s="50">
        <f>VLOOKUP(PISCOFINS!$W10,PISCOFINS!$C$3:$J$10518,7,0)</f>
        <v>2.1</v>
      </c>
    </row>
    <row r="11" spans="2:24" x14ac:dyDescent="0.25">
      <c r="B11" t="s">
        <v>2709</v>
      </c>
      <c r="C11">
        <v>1022990</v>
      </c>
      <c r="D11" s="16"/>
      <c r="E11" s="16" t="s">
        <v>19447</v>
      </c>
      <c r="F11">
        <v>12</v>
      </c>
      <c r="G11">
        <v>0</v>
      </c>
      <c r="H11" t="s">
        <v>19447</v>
      </c>
      <c r="I11" t="s">
        <v>19447</v>
      </c>
      <c r="J11">
        <v>2</v>
      </c>
      <c r="L11" t="s">
        <v>2709</v>
      </c>
      <c r="M11">
        <v>1022990</v>
      </c>
      <c r="N11" s="16"/>
      <c r="O11" s="16" t="s">
        <v>19447</v>
      </c>
      <c r="P11" t="s">
        <v>19903</v>
      </c>
      <c r="Q11" t="s">
        <v>19900</v>
      </c>
      <c r="R11" t="s">
        <v>19447</v>
      </c>
      <c r="S11" t="s">
        <v>19447</v>
      </c>
      <c r="T11" t="s">
        <v>19901</v>
      </c>
      <c r="W11" s="49">
        <v>30049099</v>
      </c>
      <c r="X11" s="50">
        <f>VLOOKUP(PISCOFINS!$W11,PISCOFINS!$C$3:$J$10518,7,0)</f>
        <v>2.1</v>
      </c>
    </row>
    <row r="12" spans="2:24" x14ac:dyDescent="0.25">
      <c r="B12" t="s">
        <v>2709</v>
      </c>
      <c r="C12">
        <v>1023110</v>
      </c>
      <c r="D12" s="16"/>
      <c r="E12" s="16" t="s">
        <v>19447</v>
      </c>
      <c r="F12">
        <v>12</v>
      </c>
      <c r="G12">
        <v>0</v>
      </c>
      <c r="H12" t="s">
        <v>19447</v>
      </c>
      <c r="I12" t="s">
        <v>19447</v>
      </c>
      <c r="J12">
        <v>0</v>
      </c>
      <c r="L12" t="s">
        <v>2709</v>
      </c>
      <c r="M12">
        <v>1023110</v>
      </c>
      <c r="N12" s="16"/>
      <c r="O12" s="16" t="s">
        <v>19447</v>
      </c>
      <c r="P12" t="s">
        <v>19903</v>
      </c>
      <c r="Q12" t="s">
        <v>19900</v>
      </c>
      <c r="R12" t="s">
        <v>19447</v>
      </c>
      <c r="S12" t="s">
        <v>19447</v>
      </c>
      <c r="T12" t="s">
        <v>19900</v>
      </c>
      <c r="W12" s="50">
        <v>30049099</v>
      </c>
      <c r="X12" s="50">
        <f>VLOOKUP(PISCOFINS!$W12,PISCOFINS!$C$3:$J$10518,7,0)</f>
        <v>2.1</v>
      </c>
    </row>
    <row r="13" spans="2:24" x14ac:dyDescent="0.25">
      <c r="B13" t="s">
        <v>2709</v>
      </c>
      <c r="C13">
        <v>1023190</v>
      </c>
      <c r="D13" s="16"/>
      <c r="E13" s="16" t="s">
        <v>19447</v>
      </c>
      <c r="F13">
        <v>12</v>
      </c>
      <c r="G13">
        <v>0</v>
      </c>
      <c r="H13" t="s">
        <v>19447</v>
      </c>
      <c r="I13" t="s">
        <v>19447</v>
      </c>
      <c r="J13">
        <v>0</v>
      </c>
      <c r="L13" t="s">
        <v>2709</v>
      </c>
      <c r="M13">
        <v>1023190</v>
      </c>
      <c r="N13" s="16"/>
      <c r="O13" s="16" t="s">
        <v>19447</v>
      </c>
      <c r="P13" t="s">
        <v>19903</v>
      </c>
      <c r="Q13" t="s">
        <v>19900</v>
      </c>
      <c r="R13" t="s">
        <v>19447</v>
      </c>
      <c r="S13" t="s">
        <v>19447</v>
      </c>
      <c r="T13" t="s">
        <v>19900</v>
      </c>
      <c r="W13" s="49">
        <v>30049099</v>
      </c>
      <c r="X13" s="50">
        <f>VLOOKUP(PISCOFINS!$W13,PISCOFINS!$C$3:$J$10518,7,0)</f>
        <v>2.1</v>
      </c>
    </row>
    <row r="14" spans="2:24" x14ac:dyDescent="0.25">
      <c r="B14" t="s">
        <v>2709</v>
      </c>
      <c r="C14">
        <v>1023911</v>
      </c>
      <c r="D14" s="16"/>
      <c r="E14" s="16" t="s">
        <v>19447</v>
      </c>
      <c r="F14">
        <v>12</v>
      </c>
      <c r="G14">
        <v>0</v>
      </c>
      <c r="H14" t="s">
        <v>19447</v>
      </c>
      <c r="I14" t="s">
        <v>19447</v>
      </c>
      <c r="J14">
        <v>2</v>
      </c>
      <c r="L14" t="s">
        <v>2709</v>
      </c>
      <c r="M14">
        <v>1023911</v>
      </c>
      <c r="N14" s="16"/>
      <c r="O14" s="16" t="s">
        <v>19447</v>
      </c>
      <c r="P14" t="s">
        <v>19903</v>
      </c>
      <c r="Q14" t="s">
        <v>19900</v>
      </c>
      <c r="R14" t="s">
        <v>19447</v>
      </c>
      <c r="S14" t="s">
        <v>19447</v>
      </c>
      <c r="T14" t="s">
        <v>19901</v>
      </c>
      <c r="W14" s="50">
        <v>30049099</v>
      </c>
      <c r="X14" s="50">
        <f>VLOOKUP(PISCOFINS!$W14,PISCOFINS!$C$3:$J$10518,7,0)</f>
        <v>2.1</v>
      </c>
    </row>
    <row r="15" spans="2:24" x14ac:dyDescent="0.25">
      <c r="B15" t="s">
        <v>2709</v>
      </c>
      <c r="C15">
        <v>1023919</v>
      </c>
      <c r="D15" s="16"/>
      <c r="E15" s="16" t="s">
        <v>19447</v>
      </c>
      <c r="F15">
        <v>12</v>
      </c>
      <c r="G15">
        <v>0</v>
      </c>
      <c r="H15" t="s">
        <v>19447</v>
      </c>
      <c r="I15" t="s">
        <v>19447</v>
      </c>
      <c r="J15">
        <v>2</v>
      </c>
      <c r="L15" t="s">
        <v>2709</v>
      </c>
      <c r="M15">
        <v>1023919</v>
      </c>
      <c r="N15" s="16"/>
      <c r="O15" s="16" t="s">
        <v>19447</v>
      </c>
      <c r="P15" t="s">
        <v>19903</v>
      </c>
      <c r="Q15" t="s">
        <v>19900</v>
      </c>
      <c r="R15" t="s">
        <v>19447</v>
      </c>
      <c r="S15" t="s">
        <v>19447</v>
      </c>
      <c r="T15" t="s">
        <v>19901</v>
      </c>
      <c r="W15" s="49">
        <v>30049099</v>
      </c>
      <c r="X15" s="50">
        <f>VLOOKUP(PISCOFINS!$W15,PISCOFINS!$C$3:$J$10518,7,0)</f>
        <v>2.1</v>
      </c>
    </row>
    <row r="16" spans="2:24" x14ac:dyDescent="0.25">
      <c r="B16" t="s">
        <v>2709</v>
      </c>
      <c r="C16">
        <v>1023990</v>
      </c>
      <c r="E16" t="s">
        <v>19447</v>
      </c>
      <c r="F16">
        <v>12</v>
      </c>
      <c r="G16">
        <v>0</v>
      </c>
      <c r="H16" t="s">
        <v>19447</v>
      </c>
      <c r="I16" t="s">
        <v>19447</v>
      </c>
      <c r="J16">
        <v>2</v>
      </c>
      <c r="L16" t="s">
        <v>2709</v>
      </c>
      <c r="M16">
        <v>1023990</v>
      </c>
      <c r="O16" t="s">
        <v>19447</v>
      </c>
      <c r="P16" t="s">
        <v>19903</v>
      </c>
      <c r="Q16" t="s">
        <v>19900</v>
      </c>
      <c r="R16" t="s">
        <v>19447</v>
      </c>
      <c r="S16" t="s">
        <v>19447</v>
      </c>
      <c r="T16" t="s">
        <v>19901</v>
      </c>
      <c r="W16" s="50">
        <v>30049099</v>
      </c>
      <c r="X16" s="50">
        <f>VLOOKUP(PISCOFINS!$W16,PISCOFINS!$C$3:$J$10518,7,0)</f>
        <v>2.1</v>
      </c>
    </row>
    <row r="17" spans="2:24" x14ac:dyDescent="0.25">
      <c r="B17" t="s">
        <v>2709</v>
      </c>
      <c r="C17">
        <v>1029000</v>
      </c>
      <c r="E17" t="s">
        <v>19447</v>
      </c>
      <c r="F17">
        <v>12</v>
      </c>
      <c r="G17">
        <v>0</v>
      </c>
      <c r="H17" t="s">
        <v>19447</v>
      </c>
      <c r="I17" t="s">
        <v>19447</v>
      </c>
      <c r="J17">
        <v>0</v>
      </c>
      <c r="L17" t="s">
        <v>2709</v>
      </c>
      <c r="M17">
        <v>1029000</v>
      </c>
      <c r="O17" t="s">
        <v>19447</v>
      </c>
      <c r="P17" t="s">
        <v>19903</v>
      </c>
      <c r="Q17" t="s">
        <v>19900</v>
      </c>
      <c r="R17" t="s">
        <v>19447</v>
      </c>
      <c r="S17" t="s">
        <v>19447</v>
      </c>
      <c r="T17" t="s">
        <v>19900</v>
      </c>
      <c r="W17" s="49">
        <v>30049099</v>
      </c>
      <c r="X17" s="50">
        <f>VLOOKUP(PISCOFINS!$W17,PISCOFINS!$C$3:$J$10518,7,0)</f>
        <v>2.1</v>
      </c>
    </row>
    <row r="18" spans="2:24" x14ac:dyDescent="0.25">
      <c r="B18" t="s">
        <v>2709</v>
      </c>
      <c r="C18">
        <v>1031000</v>
      </c>
      <c r="E18" t="s">
        <v>19447</v>
      </c>
      <c r="F18">
        <v>12</v>
      </c>
      <c r="G18">
        <v>0</v>
      </c>
      <c r="H18" t="s">
        <v>19447</v>
      </c>
      <c r="I18" t="s">
        <v>19447</v>
      </c>
      <c r="J18">
        <v>0</v>
      </c>
      <c r="L18" t="s">
        <v>2709</v>
      </c>
      <c r="M18">
        <v>1031000</v>
      </c>
      <c r="O18" t="s">
        <v>19447</v>
      </c>
      <c r="P18" t="s">
        <v>19903</v>
      </c>
      <c r="Q18" t="s">
        <v>19900</v>
      </c>
      <c r="R18" t="s">
        <v>19447</v>
      </c>
      <c r="S18" t="s">
        <v>19447</v>
      </c>
      <c r="T18" t="s">
        <v>19900</v>
      </c>
      <c r="W18" s="50">
        <v>30049099</v>
      </c>
      <c r="X18" s="50">
        <f>VLOOKUP(PISCOFINS!$W18,PISCOFINS!$C$3:$J$10518,7,0)</f>
        <v>2.1</v>
      </c>
    </row>
    <row r="19" spans="2:24" x14ac:dyDescent="0.25">
      <c r="B19" t="s">
        <v>2709</v>
      </c>
      <c r="C19">
        <v>1039100</v>
      </c>
      <c r="E19" t="s">
        <v>19447</v>
      </c>
      <c r="F19">
        <v>12</v>
      </c>
      <c r="G19">
        <v>0</v>
      </c>
      <c r="H19" t="s">
        <v>19447</v>
      </c>
      <c r="I19" t="s">
        <v>19447</v>
      </c>
      <c r="J19">
        <v>2</v>
      </c>
      <c r="L19" t="s">
        <v>2709</v>
      </c>
      <c r="M19">
        <v>1039100</v>
      </c>
      <c r="O19" t="s">
        <v>19447</v>
      </c>
      <c r="P19" t="s">
        <v>19903</v>
      </c>
      <c r="Q19" t="s">
        <v>19900</v>
      </c>
      <c r="R19" t="s">
        <v>19447</v>
      </c>
      <c r="S19" t="s">
        <v>19447</v>
      </c>
      <c r="T19" t="s">
        <v>19901</v>
      </c>
      <c r="W19" s="49">
        <v>30049099</v>
      </c>
      <c r="X19" s="50">
        <f>VLOOKUP(PISCOFINS!$W19,PISCOFINS!$C$3:$J$10518,7,0)</f>
        <v>2.1</v>
      </c>
    </row>
    <row r="20" spans="2:24" x14ac:dyDescent="0.25">
      <c r="B20" t="s">
        <v>2709</v>
      </c>
      <c r="C20">
        <v>1039200</v>
      </c>
      <c r="E20" t="s">
        <v>19447</v>
      </c>
      <c r="F20">
        <v>12</v>
      </c>
      <c r="G20">
        <v>0</v>
      </c>
      <c r="H20" t="s">
        <v>19447</v>
      </c>
      <c r="I20" t="s">
        <v>19447</v>
      </c>
      <c r="J20">
        <v>2</v>
      </c>
      <c r="L20" t="s">
        <v>2709</v>
      </c>
      <c r="M20">
        <v>1039200</v>
      </c>
      <c r="O20" t="s">
        <v>19447</v>
      </c>
      <c r="P20" t="s">
        <v>19903</v>
      </c>
      <c r="Q20" t="s">
        <v>19900</v>
      </c>
      <c r="R20" t="s">
        <v>19447</v>
      </c>
      <c r="S20" t="s">
        <v>19447</v>
      </c>
      <c r="T20" t="s">
        <v>19901</v>
      </c>
      <c r="W20" s="50">
        <v>30049099</v>
      </c>
      <c r="X20" s="50">
        <f>VLOOKUP(PISCOFINS!$W20,PISCOFINS!$C$3:$J$10518,7,0)</f>
        <v>2.1</v>
      </c>
    </row>
    <row r="21" spans="2:24" x14ac:dyDescent="0.25">
      <c r="B21" t="s">
        <v>2709</v>
      </c>
      <c r="C21">
        <v>1041011</v>
      </c>
      <c r="E21" t="s">
        <v>19447</v>
      </c>
      <c r="F21">
        <v>12</v>
      </c>
      <c r="G21">
        <v>0</v>
      </c>
      <c r="H21" t="s">
        <v>19447</v>
      </c>
      <c r="I21" t="s">
        <v>19447</v>
      </c>
      <c r="J21">
        <v>0</v>
      </c>
      <c r="L21" t="s">
        <v>2709</v>
      </c>
      <c r="M21">
        <v>1041011</v>
      </c>
      <c r="O21" t="s">
        <v>19447</v>
      </c>
      <c r="P21" t="s">
        <v>19903</v>
      </c>
      <c r="Q21" t="s">
        <v>19900</v>
      </c>
      <c r="R21" t="s">
        <v>19447</v>
      </c>
      <c r="S21" t="s">
        <v>19447</v>
      </c>
      <c r="T21" t="s">
        <v>19900</v>
      </c>
      <c r="W21" s="49">
        <v>30049099</v>
      </c>
      <c r="X21" s="50">
        <f>VLOOKUP(PISCOFINS!$W21,PISCOFINS!$C$3:$J$10518,7,0)</f>
        <v>2.1</v>
      </c>
    </row>
    <row r="22" spans="2:24" x14ac:dyDescent="0.25">
      <c r="B22" t="s">
        <v>2709</v>
      </c>
      <c r="C22">
        <v>1041019</v>
      </c>
      <c r="E22" t="s">
        <v>19447</v>
      </c>
      <c r="F22">
        <v>12</v>
      </c>
      <c r="G22">
        <v>0</v>
      </c>
      <c r="H22" t="s">
        <v>19447</v>
      </c>
      <c r="I22" t="s">
        <v>19447</v>
      </c>
      <c r="J22">
        <v>0</v>
      </c>
      <c r="L22" t="s">
        <v>2709</v>
      </c>
      <c r="M22">
        <v>1041019</v>
      </c>
      <c r="O22" t="s">
        <v>19447</v>
      </c>
      <c r="P22" t="s">
        <v>19903</v>
      </c>
      <c r="Q22" t="s">
        <v>19900</v>
      </c>
      <c r="R22" t="s">
        <v>19447</v>
      </c>
      <c r="S22" t="s">
        <v>19447</v>
      </c>
      <c r="T22" t="s">
        <v>19900</v>
      </c>
      <c r="W22" s="50">
        <v>30049099</v>
      </c>
      <c r="X22" s="50">
        <f>VLOOKUP(PISCOFINS!$W22,PISCOFINS!$C$3:$J$10518,7,0)</f>
        <v>2.1</v>
      </c>
    </row>
    <row r="23" spans="2:24" x14ac:dyDescent="0.25">
      <c r="B23" t="s">
        <v>2709</v>
      </c>
      <c r="C23">
        <v>1041090</v>
      </c>
      <c r="E23" t="s">
        <v>19447</v>
      </c>
      <c r="F23">
        <v>12</v>
      </c>
      <c r="G23">
        <v>0</v>
      </c>
      <c r="H23" t="s">
        <v>19447</v>
      </c>
      <c r="I23" t="s">
        <v>19447</v>
      </c>
      <c r="J23">
        <v>2</v>
      </c>
      <c r="L23" t="s">
        <v>2709</v>
      </c>
      <c r="M23">
        <v>1041090</v>
      </c>
      <c r="O23" t="s">
        <v>19447</v>
      </c>
      <c r="P23" t="s">
        <v>19903</v>
      </c>
      <c r="Q23" t="s">
        <v>19900</v>
      </c>
      <c r="R23" t="s">
        <v>19447</v>
      </c>
      <c r="S23" t="s">
        <v>19447</v>
      </c>
      <c r="T23" t="s">
        <v>19901</v>
      </c>
      <c r="W23" s="49">
        <v>30049099</v>
      </c>
      <c r="X23" s="50">
        <f>VLOOKUP(PISCOFINS!$W23,PISCOFINS!$C$3:$J$10518,7,0)</f>
        <v>2.1</v>
      </c>
    </row>
    <row r="24" spans="2:24" x14ac:dyDescent="0.25">
      <c r="B24" t="s">
        <v>2709</v>
      </c>
      <c r="C24">
        <v>1042010</v>
      </c>
      <c r="E24" t="s">
        <v>19447</v>
      </c>
      <c r="F24">
        <v>12</v>
      </c>
      <c r="G24">
        <v>0</v>
      </c>
      <c r="H24" t="s">
        <v>19447</v>
      </c>
      <c r="I24" t="s">
        <v>19447</v>
      </c>
      <c r="J24">
        <v>0</v>
      </c>
      <c r="L24" t="s">
        <v>2709</v>
      </c>
      <c r="M24">
        <v>1042010</v>
      </c>
      <c r="O24" t="s">
        <v>19447</v>
      </c>
      <c r="P24" t="s">
        <v>19903</v>
      </c>
      <c r="Q24" t="s">
        <v>19900</v>
      </c>
      <c r="R24" t="s">
        <v>19447</v>
      </c>
      <c r="S24" t="s">
        <v>19447</v>
      </c>
      <c r="T24" t="s">
        <v>19900</v>
      </c>
      <c r="W24" s="50">
        <v>30049099</v>
      </c>
      <c r="X24" s="50">
        <f>VLOOKUP(PISCOFINS!$W24,PISCOFINS!$C$3:$J$10518,7,0)</f>
        <v>2.1</v>
      </c>
    </row>
    <row r="25" spans="2:24" x14ac:dyDescent="0.25">
      <c r="B25" t="s">
        <v>2709</v>
      </c>
      <c r="C25">
        <v>1042090</v>
      </c>
      <c r="E25" t="s">
        <v>19447</v>
      </c>
      <c r="F25">
        <v>12</v>
      </c>
      <c r="G25">
        <v>0</v>
      </c>
      <c r="H25" t="s">
        <v>19447</v>
      </c>
      <c r="I25" t="s">
        <v>19447</v>
      </c>
      <c r="J25">
        <v>2</v>
      </c>
      <c r="L25" t="s">
        <v>2709</v>
      </c>
      <c r="M25">
        <v>1042090</v>
      </c>
      <c r="O25" t="s">
        <v>19447</v>
      </c>
      <c r="P25" t="s">
        <v>19903</v>
      </c>
      <c r="Q25" t="s">
        <v>19900</v>
      </c>
      <c r="R25" t="s">
        <v>19447</v>
      </c>
      <c r="S25" t="s">
        <v>19447</v>
      </c>
      <c r="T25" t="s">
        <v>19901</v>
      </c>
      <c r="W25" s="49">
        <v>30049099</v>
      </c>
      <c r="X25" s="50">
        <f>VLOOKUP(PISCOFINS!$W25,PISCOFINS!$C$3:$J$10518,7,0)</f>
        <v>2.1</v>
      </c>
    </row>
    <row r="26" spans="2:24" x14ac:dyDescent="0.25">
      <c r="B26" t="s">
        <v>2709</v>
      </c>
      <c r="C26">
        <v>1051110</v>
      </c>
      <c r="E26" t="s">
        <v>19447</v>
      </c>
      <c r="F26">
        <v>0</v>
      </c>
      <c r="G26">
        <v>0</v>
      </c>
      <c r="H26" t="s">
        <v>19447</v>
      </c>
      <c r="I26" t="s">
        <v>19447</v>
      </c>
      <c r="J26">
        <v>0</v>
      </c>
      <c r="L26" t="s">
        <v>2709</v>
      </c>
      <c r="M26">
        <v>1051110</v>
      </c>
      <c r="O26" t="s">
        <v>19447</v>
      </c>
      <c r="P26" t="s">
        <v>19900</v>
      </c>
      <c r="Q26" t="s">
        <v>19900</v>
      </c>
      <c r="R26" t="s">
        <v>19447</v>
      </c>
      <c r="S26" t="s">
        <v>19447</v>
      </c>
      <c r="T26" t="s">
        <v>19900</v>
      </c>
      <c r="W26" s="50">
        <v>30049099</v>
      </c>
      <c r="X26" s="50">
        <f>VLOOKUP(PISCOFINS!$W26,PISCOFINS!$C$3:$J$10518,7,0)</f>
        <v>2.1</v>
      </c>
    </row>
    <row r="27" spans="2:24" x14ac:dyDescent="0.25">
      <c r="B27" t="s">
        <v>2709</v>
      </c>
      <c r="C27">
        <v>1051190</v>
      </c>
      <c r="E27" t="s">
        <v>19447</v>
      </c>
      <c r="F27">
        <v>0</v>
      </c>
      <c r="G27">
        <v>0</v>
      </c>
      <c r="H27" t="s">
        <v>19447</v>
      </c>
      <c r="I27" t="s">
        <v>19447</v>
      </c>
      <c r="J27">
        <v>2</v>
      </c>
      <c r="L27" t="s">
        <v>2709</v>
      </c>
      <c r="M27">
        <v>1051190</v>
      </c>
      <c r="O27" t="s">
        <v>19447</v>
      </c>
      <c r="P27" t="s">
        <v>19900</v>
      </c>
      <c r="Q27" t="s">
        <v>19900</v>
      </c>
      <c r="R27" t="s">
        <v>19447</v>
      </c>
      <c r="S27" t="s">
        <v>19447</v>
      </c>
      <c r="T27" t="s">
        <v>19901</v>
      </c>
      <c r="W27" s="49">
        <v>30049099</v>
      </c>
      <c r="X27" s="50">
        <f>VLOOKUP(PISCOFINS!$W27,PISCOFINS!$C$3:$J$10518,7,0)</f>
        <v>2.1</v>
      </c>
    </row>
    <row r="28" spans="2:24" x14ac:dyDescent="0.25">
      <c r="B28" t="s">
        <v>2709</v>
      </c>
      <c r="C28">
        <v>1051200</v>
      </c>
      <c r="E28" t="s">
        <v>19447</v>
      </c>
      <c r="F28">
        <v>0</v>
      </c>
      <c r="G28">
        <v>0</v>
      </c>
      <c r="H28" t="s">
        <v>19447</v>
      </c>
      <c r="I28" t="s">
        <v>19447</v>
      </c>
      <c r="J28">
        <v>2</v>
      </c>
      <c r="L28" t="s">
        <v>2709</v>
      </c>
      <c r="M28">
        <v>1051200</v>
      </c>
      <c r="O28" t="s">
        <v>19447</v>
      </c>
      <c r="P28" t="s">
        <v>19900</v>
      </c>
      <c r="Q28" t="s">
        <v>19900</v>
      </c>
      <c r="R28" t="s">
        <v>19447</v>
      </c>
      <c r="S28" t="s">
        <v>19447</v>
      </c>
      <c r="T28" t="s">
        <v>19901</v>
      </c>
      <c r="W28" s="50">
        <v>30049099</v>
      </c>
      <c r="X28" s="50">
        <f>VLOOKUP(PISCOFINS!$W28,PISCOFINS!$C$3:$J$10518,7,0)</f>
        <v>2.1</v>
      </c>
    </row>
    <row r="29" spans="2:24" x14ac:dyDescent="0.25">
      <c r="B29" t="s">
        <v>2709</v>
      </c>
      <c r="C29">
        <v>1051300</v>
      </c>
      <c r="E29" t="s">
        <v>19447</v>
      </c>
      <c r="F29">
        <v>0</v>
      </c>
      <c r="G29">
        <v>0</v>
      </c>
      <c r="H29" t="s">
        <v>19447</v>
      </c>
      <c r="I29" t="s">
        <v>19447</v>
      </c>
      <c r="J29">
        <v>2</v>
      </c>
      <c r="L29" t="s">
        <v>2709</v>
      </c>
      <c r="M29">
        <v>1051300</v>
      </c>
      <c r="O29" t="s">
        <v>19447</v>
      </c>
      <c r="P29" t="s">
        <v>19900</v>
      </c>
      <c r="Q29" t="s">
        <v>19900</v>
      </c>
      <c r="R29" t="s">
        <v>19447</v>
      </c>
      <c r="S29" t="s">
        <v>19447</v>
      </c>
      <c r="T29" t="s">
        <v>19901</v>
      </c>
      <c r="W29" s="49">
        <v>30049099</v>
      </c>
      <c r="X29" s="50">
        <f>VLOOKUP(PISCOFINS!$W29,PISCOFINS!$C$3:$J$10518,7,0)</f>
        <v>2.1</v>
      </c>
    </row>
    <row r="30" spans="2:24" x14ac:dyDescent="0.25">
      <c r="B30" t="s">
        <v>2709</v>
      </c>
      <c r="C30">
        <v>1051400</v>
      </c>
      <c r="E30" t="s">
        <v>19447</v>
      </c>
      <c r="F30">
        <v>0</v>
      </c>
      <c r="G30">
        <v>0</v>
      </c>
      <c r="H30" t="s">
        <v>19447</v>
      </c>
      <c r="I30" t="s">
        <v>19447</v>
      </c>
      <c r="J30">
        <v>2</v>
      </c>
      <c r="L30" t="s">
        <v>2709</v>
      </c>
      <c r="M30">
        <v>1051400</v>
      </c>
      <c r="O30" t="s">
        <v>19447</v>
      </c>
      <c r="P30" t="s">
        <v>19900</v>
      </c>
      <c r="Q30" t="s">
        <v>19900</v>
      </c>
      <c r="R30" t="s">
        <v>19447</v>
      </c>
      <c r="S30" t="s">
        <v>19447</v>
      </c>
      <c r="T30" t="s">
        <v>19901</v>
      </c>
      <c r="W30" s="50">
        <v>30049099</v>
      </c>
      <c r="X30" s="50">
        <f>VLOOKUP(PISCOFINS!$W30,PISCOFINS!$C$3:$J$10518,7,0)</f>
        <v>2.1</v>
      </c>
    </row>
    <row r="31" spans="2:24" x14ac:dyDescent="0.25">
      <c r="B31" t="s">
        <v>2709</v>
      </c>
      <c r="C31">
        <v>1051500</v>
      </c>
      <c r="E31" t="s">
        <v>19447</v>
      </c>
      <c r="F31">
        <v>0</v>
      </c>
      <c r="G31">
        <v>0</v>
      </c>
      <c r="H31" t="s">
        <v>19447</v>
      </c>
      <c r="I31" t="s">
        <v>19447</v>
      </c>
      <c r="J31">
        <v>2</v>
      </c>
      <c r="L31" t="s">
        <v>2709</v>
      </c>
      <c r="M31">
        <v>1051500</v>
      </c>
      <c r="O31" t="s">
        <v>19447</v>
      </c>
      <c r="P31" t="s">
        <v>19900</v>
      </c>
      <c r="Q31" t="s">
        <v>19900</v>
      </c>
      <c r="R31" t="s">
        <v>19447</v>
      </c>
      <c r="S31" t="s">
        <v>19447</v>
      </c>
      <c r="T31" t="s">
        <v>19901</v>
      </c>
      <c r="W31" s="49">
        <v>30049099</v>
      </c>
      <c r="X31" s="50">
        <f>VLOOKUP(PISCOFINS!$W31,PISCOFINS!$C$3:$J$10518,7,0)</f>
        <v>2.1</v>
      </c>
    </row>
    <row r="32" spans="2:24" x14ac:dyDescent="0.25">
      <c r="B32" t="s">
        <v>2709</v>
      </c>
      <c r="C32">
        <v>1059400</v>
      </c>
      <c r="E32" t="s">
        <v>19447</v>
      </c>
      <c r="F32">
        <v>0</v>
      </c>
      <c r="G32">
        <v>0</v>
      </c>
      <c r="H32" t="s">
        <v>19447</v>
      </c>
      <c r="I32" t="s">
        <v>19447</v>
      </c>
      <c r="J32">
        <v>4</v>
      </c>
      <c r="L32" t="s">
        <v>2709</v>
      </c>
      <c r="M32">
        <v>1059400</v>
      </c>
      <c r="O32" t="s">
        <v>19447</v>
      </c>
      <c r="P32" t="s">
        <v>19900</v>
      </c>
      <c r="Q32" t="s">
        <v>19900</v>
      </c>
      <c r="R32" t="s">
        <v>19447</v>
      </c>
      <c r="S32" t="s">
        <v>19447</v>
      </c>
      <c r="T32" t="s">
        <v>19902</v>
      </c>
      <c r="W32" s="50">
        <v>30049099</v>
      </c>
      <c r="X32" s="50">
        <f>VLOOKUP(PISCOFINS!$W32,PISCOFINS!$C$3:$J$10518,7,0)</f>
        <v>2.1</v>
      </c>
    </row>
    <row r="33" spans="2:24" x14ac:dyDescent="0.25">
      <c r="B33" t="s">
        <v>2709</v>
      </c>
      <c r="C33">
        <v>1059900</v>
      </c>
      <c r="E33" t="s">
        <v>19447</v>
      </c>
      <c r="F33">
        <v>0</v>
      </c>
      <c r="G33">
        <v>0</v>
      </c>
      <c r="H33" t="s">
        <v>19447</v>
      </c>
      <c r="I33" t="s">
        <v>19447</v>
      </c>
      <c r="J33">
        <v>4</v>
      </c>
      <c r="L33" t="s">
        <v>2709</v>
      </c>
      <c r="M33">
        <v>1059900</v>
      </c>
      <c r="O33" t="s">
        <v>19447</v>
      </c>
      <c r="P33" t="s">
        <v>19900</v>
      </c>
      <c r="Q33" t="s">
        <v>19900</v>
      </c>
      <c r="R33" t="s">
        <v>19447</v>
      </c>
      <c r="S33" t="s">
        <v>19447</v>
      </c>
      <c r="T33" t="s">
        <v>19902</v>
      </c>
      <c r="W33" s="49">
        <v>30049099</v>
      </c>
      <c r="X33" s="50">
        <f>VLOOKUP(PISCOFINS!$W33,PISCOFINS!$C$3:$J$10518,7,0)</f>
        <v>2.1</v>
      </c>
    </row>
    <row r="34" spans="2:24" x14ac:dyDescent="0.25">
      <c r="B34" t="s">
        <v>2709</v>
      </c>
      <c r="C34">
        <v>1061100</v>
      </c>
      <c r="E34" t="s">
        <v>19447</v>
      </c>
      <c r="F34">
        <v>0</v>
      </c>
      <c r="G34">
        <v>0</v>
      </c>
      <c r="H34" t="s">
        <v>19447</v>
      </c>
      <c r="I34" t="s">
        <v>19447</v>
      </c>
      <c r="J34">
        <v>4</v>
      </c>
      <c r="L34" t="s">
        <v>2709</v>
      </c>
      <c r="M34">
        <v>1061100</v>
      </c>
      <c r="O34" t="s">
        <v>19447</v>
      </c>
      <c r="P34" t="s">
        <v>19900</v>
      </c>
      <c r="Q34" t="s">
        <v>19900</v>
      </c>
      <c r="R34" t="s">
        <v>19447</v>
      </c>
      <c r="S34" t="s">
        <v>19447</v>
      </c>
      <c r="T34" t="s">
        <v>19902</v>
      </c>
      <c r="W34" s="50">
        <v>30049099</v>
      </c>
      <c r="X34" s="50">
        <f>VLOOKUP(PISCOFINS!$W34,PISCOFINS!$C$3:$J$10518,7,0)</f>
        <v>2.1</v>
      </c>
    </row>
    <row r="35" spans="2:24" x14ac:dyDescent="0.25">
      <c r="B35" t="s">
        <v>2709</v>
      </c>
      <c r="C35">
        <v>1061200</v>
      </c>
      <c r="E35" t="s">
        <v>19447</v>
      </c>
      <c r="F35">
        <v>0</v>
      </c>
      <c r="G35">
        <v>0</v>
      </c>
      <c r="H35" t="s">
        <v>19447</v>
      </c>
      <c r="I35" t="s">
        <v>19447</v>
      </c>
      <c r="J35">
        <v>4</v>
      </c>
      <c r="L35" t="s">
        <v>2709</v>
      </c>
      <c r="M35">
        <v>1061200</v>
      </c>
      <c r="O35" t="s">
        <v>19447</v>
      </c>
      <c r="P35" t="s">
        <v>19900</v>
      </c>
      <c r="Q35" t="s">
        <v>19900</v>
      </c>
      <c r="R35" t="s">
        <v>19447</v>
      </c>
      <c r="S35" t="s">
        <v>19447</v>
      </c>
      <c r="T35" t="s">
        <v>19902</v>
      </c>
      <c r="W35" s="49">
        <v>30049099</v>
      </c>
      <c r="X35" s="50">
        <f>VLOOKUP(PISCOFINS!$W35,PISCOFINS!$C$3:$J$10518,7,0)</f>
        <v>2.1</v>
      </c>
    </row>
    <row r="36" spans="2:24" x14ac:dyDescent="0.25">
      <c r="B36" t="s">
        <v>2709</v>
      </c>
      <c r="C36">
        <v>1061300</v>
      </c>
      <c r="E36" t="s">
        <v>19447</v>
      </c>
      <c r="F36">
        <v>0</v>
      </c>
      <c r="G36">
        <v>0</v>
      </c>
      <c r="H36" t="s">
        <v>19447</v>
      </c>
      <c r="I36" t="s">
        <v>19447</v>
      </c>
      <c r="J36">
        <v>4</v>
      </c>
      <c r="L36" t="s">
        <v>2709</v>
      </c>
      <c r="M36">
        <v>1061300</v>
      </c>
      <c r="O36" t="s">
        <v>19447</v>
      </c>
      <c r="P36" t="s">
        <v>19900</v>
      </c>
      <c r="Q36" t="s">
        <v>19900</v>
      </c>
      <c r="R36" t="s">
        <v>19447</v>
      </c>
      <c r="S36" t="s">
        <v>19447</v>
      </c>
      <c r="T36" t="s">
        <v>19902</v>
      </c>
      <c r="W36" s="50">
        <v>30049099</v>
      </c>
      <c r="X36" s="50">
        <f>VLOOKUP(PISCOFINS!$W36,PISCOFINS!$C$3:$J$10518,7,0)</f>
        <v>2.1</v>
      </c>
    </row>
    <row r="37" spans="2:24" x14ac:dyDescent="0.25">
      <c r="B37" t="s">
        <v>2709</v>
      </c>
      <c r="C37">
        <v>1061400</v>
      </c>
      <c r="E37" t="s">
        <v>19447</v>
      </c>
      <c r="F37">
        <v>0</v>
      </c>
      <c r="G37">
        <v>0</v>
      </c>
      <c r="H37" t="s">
        <v>19447</v>
      </c>
      <c r="I37" t="s">
        <v>19447</v>
      </c>
      <c r="J37">
        <v>4</v>
      </c>
      <c r="L37" t="s">
        <v>2709</v>
      </c>
      <c r="M37">
        <v>1061400</v>
      </c>
      <c r="O37" t="s">
        <v>19447</v>
      </c>
      <c r="P37" t="s">
        <v>19900</v>
      </c>
      <c r="Q37" t="s">
        <v>19900</v>
      </c>
      <c r="R37" t="s">
        <v>19447</v>
      </c>
      <c r="S37" t="s">
        <v>19447</v>
      </c>
      <c r="T37" t="s">
        <v>19902</v>
      </c>
      <c r="W37" s="49">
        <v>30049099</v>
      </c>
      <c r="X37" s="50">
        <f>VLOOKUP(PISCOFINS!$W37,PISCOFINS!$C$3:$J$10518,7,0)</f>
        <v>2.1</v>
      </c>
    </row>
    <row r="38" spans="2:24" x14ac:dyDescent="0.25">
      <c r="B38" t="s">
        <v>2709</v>
      </c>
      <c r="C38">
        <v>1061900</v>
      </c>
      <c r="E38" t="s">
        <v>19447</v>
      </c>
      <c r="F38">
        <v>0</v>
      </c>
      <c r="G38">
        <v>0</v>
      </c>
      <c r="H38" t="s">
        <v>19447</v>
      </c>
      <c r="I38" t="s">
        <v>19447</v>
      </c>
      <c r="J38">
        <v>4</v>
      </c>
      <c r="L38" t="s">
        <v>2709</v>
      </c>
      <c r="M38">
        <v>1061900</v>
      </c>
      <c r="O38" t="s">
        <v>19447</v>
      </c>
      <c r="P38" t="s">
        <v>19900</v>
      </c>
      <c r="Q38" t="s">
        <v>19900</v>
      </c>
      <c r="R38" t="s">
        <v>19447</v>
      </c>
      <c r="S38" t="s">
        <v>19447</v>
      </c>
      <c r="T38" t="s">
        <v>19902</v>
      </c>
      <c r="W38" s="50">
        <v>30049099</v>
      </c>
      <c r="X38" s="50">
        <f>VLOOKUP(PISCOFINS!$W38,PISCOFINS!$C$3:$J$10518,7,0)</f>
        <v>2.1</v>
      </c>
    </row>
    <row r="39" spans="2:24" x14ac:dyDescent="0.25">
      <c r="B39" t="s">
        <v>2709</v>
      </c>
      <c r="C39">
        <v>1062000</v>
      </c>
      <c r="E39" t="s">
        <v>19447</v>
      </c>
      <c r="F39">
        <v>0</v>
      </c>
      <c r="G39">
        <v>0</v>
      </c>
      <c r="H39" t="s">
        <v>19447</v>
      </c>
      <c r="I39" t="s">
        <v>19447</v>
      </c>
      <c r="J39">
        <v>4</v>
      </c>
      <c r="L39" t="s">
        <v>2709</v>
      </c>
      <c r="M39">
        <v>1062000</v>
      </c>
      <c r="O39" t="s">
        <v>19447</v>
      </c>
      <c r="P39" t="s">
        <v>19900</v>
      </c>
      <c r="Q39" t="s">
        <v>19900</v>
      </c>
      <c r="R39" t="s">
        <v>19447</v>
      </c>
      <c r="S39" t="s">
        <v>19447</v>
      </c>
      <c r="T39" t="s">
        <v>19902</v>
      </c>
      <c r="W39" s="49">
        <v>30049099</v>
      </c>
      <c r="X39" s="50">
        <f>VLOOKUP(PISCOFINS!$W39,PISCOFINS!$C$3:$J$10518,7,0)</f>
        <v>2.1</v>
      </c>
    </row>
    <row r="40" spans="2:24" x14ac:dyDescent="0.25">
      <c r="B40" t="s">
        <v>2709</v>
      </c>
      <c r="C40">
        <v>1063100</v>
      </c>
      <c r="E40" t="s">
        <v>19447</v>
      </c>
      <c r="F40">
        <v>0</v>
      </c>
      <c r="G40">
        <v>0</v>
      </c>
      <c r="H40" t="s">
        <v>19447</v>
      </c>
      <c r="I40" t="s">
        <v>19447</v>
      </c>
      <c r="J40">
        <v>4</v>
      </c>
      <c r="L40" t="s">
        <v>2709</v>
      </c>
      <c r="M40">
        <v>1063100</v>
      </c>
      <c r="O40" t="s">
        <v>19447</v>
      </c>
      <c r="P40" t="s">
        <v>19900</v>
      </c>
      <c r="Q40" t="s">
        <v>19900</v>
      </c>
      <c r="R40" t="s">
        <v>19447</v>
      </c>
      <c r="S40" t="s">
        <v>19447</v>
      </c>
      <c r="T40" t="s">
        <v>19902</v>
      </c>
      <c r="W40" s="50">
        <v>30049099</v>
      </c>
      <c r="X40" s="50">
        <f>VLOOKUP(PISCOFINS!$W40,PISCOFINS!$C$3:$J$10518,7,0)</f>
        <v>2.1</v>
      </c>
    </row>
    <row r="41" spans="2:24" x14ac:dyDescent="0.25">
      <c r="B41" t="s">
        <v>2709</v>
      </c>
      <c r="C41">
        <v>1063200</v>
      </c>
      <c r="E41" t="s">
        <v>19447</v>
      </c>
      <c r="F41">
        <v>0</v>
      </c>
      <c r="G41">
        <v>0</v>
      </c>
      <c r="H41" t="s">
        <v>19447</v>
      </c>
      <c r="I41" t="s">
        <v>19447</v>
      </c>
      <c r="J41">
        <v>4</v>
      </c>
      <c r="L41" t="s">
        <v>2709</v>
      </c>
      <c r="M41">
        <v>1063200</v>
      </c>
      <c r="O41" t="s">
        <v>19447</v>
      </c>
      <c r="P41" t="s">
        <v>19900</v>
      </c>
      <c r="Q41" t="s">
        <v>19900</v>
      </c>
      <c r="R41" t="s">
        <v>19447</v>
      </c>
      <c r="S41" t="s">
        <v>19447</v>
      </c>
      <c r="T41" t="s">
        <v>19902</v>
      </c>
      <c r="W41" s="49">
        <v>30049099</v>
      </c>
      <c r="X41" s="50">
        <f>VLOOKUP(PISCOFINS!$W41,PISCOFINS!$C$3:$J$10518,7,0)</f>
        <v>2.1</v>
      </c>
    </row>
    <row r="42" spans="2:24" x14ac:dyDescent="0.25">
      <c r="B42" t="s">
        <v>2709</v>
      </c>
      <c r="C42">
        <v>1063310</v>
      </c>
      <c r="E42" t="s">
        <v>19447</v>
      </c>
      <c r="F42">
        <v>0</v>
      </c>
      <c r="G42">
        <v>0</v>
      </c>
      <c r="H42" t="s">
        <v>19447</v>
      </c>
      <c r="I42" t="s">
        <v>19447</v>
      </c>
      <c r="J42">
        <v>0</v>
      </c>
      <c r="L42" t="s">
        <v>2709</v>
      </c>
      <c r="M42">
        <v>1063310</v>
      </c>
      <c r="O42" t="s">
        <v>19447</v>
      </c>
      <c r="P42" t="s">
        <v>19900</v>
      </c>
      <c r="Q42" t="s">
        <v>19900</v>
      </c>
      <c r="R42" t="s">
        <v>19447</v>
      </c>
      <c r="S42" t="s">
        <v>19447</v>
      </c>
      <c r="T42" t="s">
        <v>19900</v>
      </c>
      <c r="W42" s="50">
        <v>30049099</v>
      </c>
      <c r="X42" s="50">
        <f>VLOOKUP(PISCOFINS!$W42,PISCOFINS!$C$3:$J$10518,7,0)</f>
        <v>2.1</v>
      </c>
    </row>
    <row r="43" spans="2:24" x14ac:dyDescent="0.25">
      <c r="B43" t="s">
        <v>2709</v>
      </c>
      <c r="C43">
        <v>1063390</v>
      </c>
      <c r="E43" t="s">
        <v>19447</v>
      </c>
      <c r="F43">
        <v>0</v>
      </c>
      <c r="G43">
        <v>0</v>
      </c>
      <c r="H43" t="s">
        <v>19447</v>
      </c>
      <c r="I43" t="s">
        <v>19447</v>
      </c>
      <c r="J43">
        <v>4</v>
      </c>
      <c r="L43" t="s">
        <v>2709</v>
      </c>
      <c r="M43">
        <v>1063390</v>
      </c>
      <c r="O43" t="s">
        <v>19447</v>
      </c>
      <c r="P43" t="s">
        <v>19900</v>
      </c>
      <c r="Q43" t="s">
        <v>19900</v>
      </c>
      <c r="R43" t="s">
        <v>19447</v>
      </c>
      <c r="S43" t="s">
        <v>19447</v>
      </c>
      <c r="T43" t="s">
        <v>19902</v>
      </c>
      <c r="W43" s="49">
        <v>30049099</v>
      </c>
      <c r="X43" s="50">
        <f>VLOOKUP(PISCOFINS!$W43,PISCOFINS!$C$3:$J$10518,7,0)</f>
        <v>2.1</v>
      </c>
    </row>
    <row r="44" spans="2:24" x14ac:dyDescent="0.25">
      <c r="B44" t="s">
        <v>2709</v>
      </c>
      <c r="C44">
        <v>1063900</v>
      </c>
      <c r="E44" t="s">
        <v>19447</v>
      </c>
      <c r="F44">
        <v>0</v>
      </c>
      <c r="G44">
        <v>0</v>
      </c>
      <c r="H44" t="s">
        <v>19447</v>
      </c>
      <c r="I44" t="s">
        <v>19447</v>
      </c>
      <c r="J44">
        <v>4</v>
      </c>
      <c r="L44" t="s">
        <v>2709</v>
      </c>
      <c r="M44">
        <v>1063900</v>
      </c>
      <c r="O44" t="s">
        <v>19447</v>
      </c>
      <c r="P44" t="s">
        <v>19900</v>
      </c>
      <c r="Q44" t="s">
        <v>19900</v>
      </c>
      <c r="R44" t="s">
        <v>19447</v>
      </c>
      <c r="S44" t="s">
        <v>19447</v>
      </c>
      <c r="T44" t="s">
        <v>19902</v>
      </c>
      <c r="W44" s="50">
        <v>30049099</v>
      </c>
      <c r="X44" s="50">
        <f>VLOOKUP(PISCOFINS!$W44,PISCOFINS!$C$3:$J$10518,7,0)</f>
        <v>2.1</v>
      </c>
    </row>
    <row r="45" spans="2:24" x14ac:dyDescent="0.25">
      <c r="B45" t="s">
        <v>2709</v>
      </c>
      <c r="C45">
        <v>1064100</v>
      </c>
      <c r="E45" t="s">
        <v>19447</v>
      </c>
      <c r="F45">
        <v>12</v>
      </c>
      <c r="G45">
        <v>0</v>
      </c>
      <c r="H45" t="s">
        <v>19447</v>
      </c>
      <c r="I45" t="s">
        <v>19447</v>
      </c>
      <c r="J45">
        <v>4</v>
      </c>
      <c r="L45" t="s">
        <v>2709</v>
      </c>
      <c r="M45">
        <v>1064100</v>
      </c>
      <c r="O45" t="s">
        <v>19447</v>
      </c>
      <c r="P45" t="s">
        <v>19903</v>
      </c>
      <c r="Q45" t="s">
        <v>19900</v>
      </c>
      <c r="R45" t="s">
        <v>19447</v>
      </c>
      <c r="S45" t="s">
        <v>19447</v>
      </c>
      <c r="T45" t="s">
        <v>19902</v>
      </c>
      <c r="W45" s="49">
        <v>30049099</v>
      </c>
      <c r="X45" s="50">
        <f>VLOOKUP(PISCOFINS!$W45,PISCOFINS!$C$3:$J$10518,7,0)</f>
        <v>2.1</v>
      </c>
    </row>
    <row r="46" spans="2:24" x14ac:dyDescent="0.25">
      <c r="B46" t="s">
        <v>2709</v>
      </c>
      <c r="C46">
        <v>1064900</v>
      </c>
      <c r="E46" t="s">
        <v>19447</v>
      </c>
      <c r="F46">
        <v>12</v>
      </c>
      <c r="G46">
        <v>0</v>
      </c>
      <c r="H46" t="s">
        <v>19447</v>
      </c>
      <c r="I46" t="s">
        <v>19447</v>
      </c>
      <c r="J46">
        <v>4</v>
      </c>
      <c r="L46" t="s">
        <v>2709</v>
      </c>
      <c r="M46">
        <v>1064900</v>
      </c>
      <c r="O46" t="s">
        <v>19447</v>
      </c>
      <c r="P46" t="s">
        <v>19903</v>
      </c>
      <c r="Q46" t="s">
        <v>19900</v>
      </c>
      <c r="R46" t="s">
        <v>19447</v>
      </c>
      <c r="S46" t="s">
        <v>19447</v>
      </c>
      <c r="T46" t="s">
        <v>19902</v>
      </c>
      <c r="W46" s="50">
        <v>30049099</v>
      </c>
      <c r="X46" s="50">
        <f>VLOOKUP(PISCOFINS!$W46,PISCOFINS!$C$3:$J$10518,7,0)</f>
        <v>2.1</v>
      </c>
    </row>
    <row r="47" spans="2:24" x14ac:dyDescent="0.25">
      <c r="B47" t="s">
        <v>2709</v>
      </c>
      <c r="C47">
        <v>1069000</v>
      </c>
      <c r="E47" t="s">
        <v>19447</v>
      </c>
      <c r="F47">
        <v>12</v>
      </c>
      <c r="G47">
        <v>0</v>
      </c>
      <c r="H47" t="s">
        <v>19447</v>
      </c>
      <c r="I47" t="s">
        <v>19447</v>
      </c>
      <c r="J47">
        <v>4</v>
      </c>
      <c r="L47" t="s">
        <v>2709</v>
      </c>
      <c r="M47">
        <v>1069000</v>
      </c>
      <c r="O47" t="s">
        <v>19447</v>
      </c>
      <c r="P47" t="s">
        <v>19903</v>
      </c>
      <c r="Q47" t="s">
        <v>19900</v>
      </c>
      <c r="R47" t="s">
        <v>19447</v>
      </c>
      <c r="S47" t="s">
        <v>19447</v>
      </c>
      <c r="T47" t="s">
        <v>19902</v>
      </c>
      <c r="W47" s="49">
        <v>30049099</v>
      </c>
      <c r="X47" s="50">
        <f>VLOOKUP(PISCOFINS!$W47,PISCOFINS!$C$3:$J$10518,7,0)</f>
        <v>2.1</v>
      </c>
    </row>
    <row r="48" spans="2:24" x14ac:dyDescent="0.25">
      <c r="B48" t="s">
        <v>2709</v>
      </c>
      <c r="C48">
        <v>2011000</v>
      </c>
      <c r="E48">
        <v>0</v>
      </c>
      <c r="F48">
        <v>12</v>
      </c>
      <c r="G48">
        <v>0</v>
      </c>
      <c r="H48" t="s">
        <v>19447</v>
      </c>
      <c r="I48" t="s">
        <v>19447</v>
      </c>
      <c r="J48">
        <v>10</v>
      </c>
      <c r="L48" t="s">
        <v>2709</v>
      </c>
      <c r="M48">
        <v>2011000</v>
      </c>
      <c r="O48" t="s">
        <v>19900</v>
      </c>
      <c r="P48" t="s">
        <v>19903</v>
      </c>
      <c r="Q48" t="s">
        <v>19900</v>
      </c>
      <c r="R48" t="s">
        <v>19447</v>
      </c>
      <c r="S48" t="s">
        <v>19447</v>
      </c>
      <c r="T48" t="s">
        <v>19904</v>
      </c>
      <c r="W48" s="50">
        <v>30049099</v>
      </c>
      <c r="X48" s="50">
        <f>VLOOKUP(PISCOFINS!$W48,PISCOFINS!$C$3:$J$10518,7,0)</f>
        <v>2.1</v>
      </c>
    </row>
    <row r="49" spans="2:24" x14ac:dyDescent="0.25">
      <c r="B49" t="s">
        <v>2709</v>
      </c>
      <c r="C49">
        <v>2012010</v>
      </c>
      <c r="E49">
        <v>0</v>
      </c>
      <c r="F49">
        <v>12</v>
      </c>
      <c r="G49">
        <v>0</v>
      </c>
      <c r="H49" t="s">
        <v>19447</v>
      </c>
      <c r="I49" t="s">
        <v>19447</v>
      </c>
      <c r="J49">
        <v>10</v>
      </c>
      <c r="L49" t="s">
        <v>2709</v>
      </c>
      <c r="M49">
        <v>2012010</v>
      </c>
      <c r="O49" t="s">
        <v>19900</v>
      </c>
      <c r="P49" t="s">
        <v>19903</v>
      </c>
      <c r="Q49" t="s">
        <v>19900</v>
      </c>
      <c r="R49" t="s">
        <v>19447</v>
      </c>
      <c r="S49" t="s">
        <v>19447</v>
      </c>
      <c r="T49" t="s">
        <v>19904</v>
      </c>
      <c r="W49" s="49">
        <v>30049099</v>
      </c>
      <c r="X49" s="50">
        <f>VLOOKUP(PISCOFINS!$W49,PISCOFINS!$C$3:$J$10518,7,0)</f>
        <v>2.1</v>
      </c>
    </row>
    <row r="50" spans="2:24" x14ac:dyDescent="0.25">
      <c r="B50" t="s">
        <v>2709</v>
      </c>
      <c r="C50">
        <v>2012020</v>
      </c>
      <c r="E50">
        <v>0</v>
      </c>
      <c r="F50">
        <v>12</v>
      </c>
      <c r="G50">
        <v>0</v>
      </c>
      <c r="H50" t="s">
        <v>19447</v>
      </c>
      <c r="I50" t="s">
        <v>19447</v>
      </c>
      <c r="J50">
        <v>10</v>
      </c>
      <c r="L50" t="s">
        <v>2709</v>
      </c>
      <c r="M50">
        <v>2012020</v>
      </c>
      <c r="O50" t="s">
        <v>19900</v>
      </c>
      <c r="P50" t="s">
        <v>19903</v>
      </c>
      <c r="Q50" t="s">
        <v>19900</v>
      </c>
      <c r="R50" t="s">
        <v>19447</v>
      </c>
      <c r="S50" t="s">
        <v>19447</v>
      </c>
      <c r="T50" t="s">
        <v>19904</v>
      </c>
      <c r="W50" s="50">
        <v>30049099</v>
      </c>
      <c r="X50" s="50">
        <f>VLOOKUP(PISCOFINS!$W50,PISCOFINS!$C$3:$J$10518,7,0)</f>
        <v>2.1</v>
      </c>
    </row>
    <row r="51" spans="2:24" x14ac:dyDescent="0.25">
      <c r="B51" t="s">
        <v>2709</v>
      </c>
      <c r="C51">
        <v>2012090</v>
      </c>
      <c r="E51">
        <v>0</v>
      </c>
      <c r="F51">
        <v>12</v>
      </c>
      <c r="G51">
        <v>0</v>
      </c>
      <c r="H51" t="s">
        <v>19447</v>
      </c>
      <c r="I51" t="s">
        <v>19447</v>
      </c>
      <c r="J51">
        <v>10</v>
      </c>
      <c r="L51" t="s">
        <v>2709</v>
      </c>
      <c r="M51">
        <v>2012090</v>
      </c>
      <c r="O51" t="s">
        <v>19900</v>
      </c>
      <c r="P51" t="s">
        <v>19903</v>
      </c>
      <c r="Q51" t="s">
        <v>19900</v>
      </c>
      <c r="R51" t="s">
        <v>19447</v>
      </c>
      <c r="S51" t="s">
        <v>19447</v>
      </c>
      <c r="T51" t="s">
        <v>19904</v>
      </c>
      <c r="W51" s="49">
        <v>30049099</v>
      </c>
      <c r="X51" s="50">
        <f>VLOOKUP(PISCOFINS!$W51,PISCOFINS!$C$3:$J$10518,7,0)</f>
        <v>2.1</v>
      </c>
    </row>
    <row r="52" spans="2:24" x14ac:dyDescent="0.25">
      <c r="B52" t="s">
        <v>2709</v>
      </c>
      <c r="C52">
        <v>2013000</v>
      </c>
      <c r="E52">
        <v>0</v>
      </c>
      <c r="F52">
        <v>12</v>
      </c>
      <c r="G52">
        <v>0</v>
      </c>
      <c r="H52" t="s">
        <v>19447</v>
      </c>
      <c r="I52" t="s">
        <v>19447</v>
      </c>
      <c r="J52">
        <v>12</v>
      </c>
      <c r="L52" t="s">
        <v>2709</v>
      </c>
      <c r="M52">
        <v>2013000</v>
      </c>
      <c r="O52" t="s">
        <v>19900</v>
      </c>
      <c r="P52" t="s">
        <v>19903</v>
      </c>
      <c r="Q52" t="s">
        <v>19900</v>
      </c>
      <c r="R52" t="s">
        <v>19447</v>
      </c>
      <c r="S52" t="s">
        <v>19447</v>
      </c>
      <c r="T52" t="s">
        <v>19903</v>
      </c>
      <c r="W52" s="50">
        <v>30049099</v>
      </c>
      <c r="X52" s="50">
        <f>VLOOKUP(PISCOFINS!$W52,PISCOFINS!$C$3:$J$10518,7,0)</f>
        <v>2.1</v>
      </c>
    </row>
    <row r="53" spans="2:24" x14ac:dyDescent="0.25">
      <c r="B53" t="s">
        <v>2709</v>
      </c>
      <c r="C53">
        <v>2021000</v>
      </c>
      <c r="E53">
        <v>0</v>
      </c>
      <c r="F53">
        <v>12</v>
      </c>
      <c r="G53">
        <v>0</v>
      </c>
      <c r="H53" t="s">
        <v>19447</v>
      </c>
      <c r="I53" t="s">
        <v>19447</v>
      </c>
      <c r="J53">
        <v>10</v>
      </c>
      <c r="L53" t="s">
        <v>2709</v>
      </c>
      <c r="M53">
        <v>2021000</v>
      </c>
      <c r="O53" t="s">
        <v>19900</v>
      </c>
      <c r="P53" t="s">
        <v>19903</v>
      </c>
      <c r="Q53" t="s">
        <v>19900</v>
      </c>
      <c r="R53" t="s">
        <v>19447</v>
      </c>
      <c r="S53" t="s">
        <v>19447</v>
      </c>
      <c r="T53" t="s">
        <v>19904</v>
      </c>
      <c r="W53" s="49">
        <v>30049099</v>
      </c>
      <c r="X53" s="50">
        <f>VLOOKUP(PISCOFINS!$W53,PISCOFINS!$C$3:$J$10518,7,0)</f>
        <v>2.1</v>
      </c>
    </row>
    <row r="54" spans="2:24" x14ac:dyDescent="0.25">
      <c r="B54" t="s">
        <v>2709</v>
      </c>
      <c r="C54">
        <v>2022010</v>
      </c>
      <c r="E54">
        <v>0</v>
      </c>
      <c r="F54">
        <v>12</v>
      </c>
      <c r="G54">
        <v>0</v>
      </c>
      <c r="H54" t="s">
        <v>19447</v>
      </c>
      <c r="I54" t="s">
        <v>19447</v>
      </c>
      <c r="J54">
        <v>10</v>
      </c>
      <c r="L54" t="s">
        <v>2709</v>
      </c>
      <c r="M54">
        <v>2022010</v>
      </c>
      <c r="O54" t="s">
        <v>19900</v>
      </c>
      <c r="P54" t="s">
        <v>19903</v>
      </c>
      <c r="Q54" t="s">
        <v>19900</v>
      </c>
      <c r="R54" t="s">
        <v>19447</v>
      </c>
      <c r="S54" t="s">
        <v>19447</v>
      </c>
      <c r="T54" t="s">
        <v>19904</v>
      </c>
      <c r="W54" s="50">
        <v>30049099</v>
      </c>
      <c r="X54" s="50">
        <f>VLOOKUP(PISCOFINS!$W54,PISCOFINS!$C$3:$J$10518,7,0)</f>
        <v>2.1</v>
      </c>
    </row>
    <row r="55" spans="2:24" x14ac:dyDescent="0.25">
      <c r="B55" t="s">
        <v>2709</v>
      </c>
      <c r="C55">
        <v>2022020</v>
      </c>
      <c r="E55">
        <v>0</v>
      </c>
      <c r="F55">
        <v>12</v>
      </c>
      <c r="G55">
        <v>0</v>
      </c>
      <c r="H55" t="s">
        <v>19447</v>
      </c>
      <c r="I55" t="s">
        <v>19447</v>
      </c>
      <c r="J55">
        <v>10</v>
      </c>
      <c r="L55" t="s">
        <v>2709</v>
      </c>
      <c r="M55">
        <v>2022020</v>
      </c>
      <c r="O55" t="s">
        <v>19900</v>
      </c>
      <c r="P55" t="s">
        <v>19903</v>
      </c>
      <c r="Q55" t="s">
        <v>19900</v>
      </c>
      <c r="R55" t="s">
        <v>19447</v>
      </c>
      <c r="S55" t="s">
        <v>19447</v>
      </c>
      <c r="T55" t="s">
        <v>19904</v>
      </c>
      <c r="W55" s="49">
        <v>30049099</v>
      </c>
      <c r="X55" s="50">
        <f>VLOOKUP(PISCOFINS!$W55,PISCOFINS!$C$3:$J$10518,7,0)</f>
        <v>2.1</v>
      </c>
    </row>
    <row r="56" spans="2:24" x14ac:dyDescent="0.25">
      <c r="B56" t="s">
        <v>2709</v>
      </c>
      <c r="C56">
        <v>2022090</v>
      </c>
      <c r="E56">
        <v>0</v>
      </c>
      <c r="F56">
        <v>12</v>
      </c>
      <c r="G56">
        <v>0</v>
      </c>
      <c r="H56" t="s">
        <v>19447</v>
      </c>
      <c r="I56" t="s">
        <v>19447</v>
      </c>
      <c r="J56">
        <v>10</v>
      </c>
      <c r="L56" t="s">
        <v>2709</v>
      </c>
      <c r="M56">
        <v>2022090</v>
      </c>
      <c r="O56" t="s">
        <v>19900</v>
      </c>
      <c r="P56" t="s">
        <v>19903</v>
      </c>
      <c r="Q56" t="s">
        <v>19900</v>
      </c>
      <c r="R56" t="s">
        <v>19447</v>
      </c>
      <c r="S56" t="s">
        <v>19447</v>
      </c>
      <c r="T56" t="s">
        <v>19904</v>
      </c>
      <c r="W56" s="50">
        <v>30049099</v>
      </c>
      <c r="X56" s="50">
        <f>VLOOKUP(PISCOFINS!$W56,PISCOFINS!$C$3:$J$10518,7,0)</f>
        <v>2.1</v>
      </c>
    </row>
    <row r="57" spans="2:24" x14ac:dyDescent="0.25">
      <c r="B57" t="s">
        <v>2709</v>
      </c>
      <c r="C57">
        <v>2023000</v>
      </c>
      <c r="E57">
        <v>0</v>
      </c>
      <c r="F57">
        <v>12</v>
      </c>
      <c r="G57">
        <v>0</v>
      </c>
      <c r="H57" t="s">
        <v>19447</v>
      </c>
      <c r="I57" t="s">
        <v>19447</v>
      </c>
      <c r="J57">
        <v>12</v>
      </c>
      <c r="L57" t="s">
        <v>2709</v>
      </c>
      <c r="M57">
        <v>2023000</v>
      </c>
      <c r="O57" t="s">
        <v>19900</v>
      </c>
      <c r="P57" t="s">
        <v>19903</v>
      </c>
      <c r="Q57" t="s">
        <v>19900</v>
      </c>
      <c r="R57" t="s">
        <v>19447</v>
      </c>
      <c r="S57" t="s">
        <v>19447</v>
      </c>
      <c r="T57" t="s">
        <v>19903</v>
      </c>
      <c r="W57" s="49">
        <v>30049099</v>
      </c>
      <c r="X57" s="50">
        <f>VLOOKUP(PISCOFINS!$W57,PISCOFINS!$C$3:$J$10518,7,0)</f>
        <v>2.1</v>
      </c>
    </row>
    <row r="58" spans="2:24" x14ac:dyDescent="0.25">
      <c r="B58" t="s">
        <v>2709</v>
      </c>
      <c r="C58">
        <v>2031100</v>
      </c>
      <c r="E58">
        <v>0</v>
      </c>
      <c r="F58">
        <v>12</v>
      </c>
      <c r="G58">
        <v>0</v>
      </c>
      <c r="H58" t="s">
        <v>19447</v>
      </c>
      <c r="I58" t="s">
        <v>19447</v>
      </c>
      <c r="J58">
        <v>10</v>
      </c>
      <c r="L58" t="s">
        <v>2709</v>
      </c>
      <c r="M58">
        <v>2031100</v>
      </c>
      <c r="O58" t="s">
        <v>19900</v>
      </c>
      <c r="P58" t="s">
        <v>19903</v>
      </c>
      <c r="Q58" t="s">
        <v>19900</v>
      </c>
      <c r="R58" t="s">
        <v>19447</v>
      </c>
      <c r="S58" t="s">
        <v>19447</v>
      </c>
      <c r="T58" t="s">
        <v>19904</v>
      </c>
      <c r="W58" s="50">
        <v>30049099</v>
      </c>
      <c r="X58" s="50">
        <f>VLOOKUP(PISCOFINS!$W58,PISCOFINS!$C$3:$J$10518,7,0)</f>
        <v>2.1</v>
      </c>
    </row>
    <row r="59" spans="2:24" x14ac:dyDescent="0.25">
      <c r="B59" t="s">
        <v>2709</v>
      </c>
      <c r="C59">
        <v>2031200</v>
      </c>
      <c r="E59">
        <v>0</v>
      </c>
      <c r="F59">
        <v>12</v>
      </c>
      <c r="G59">
        <v>0</v>
      </c>
      <c r="H59" t="s">
        <v>19447</v>
      </c>
      <c r="I59" t="s">
        <v>19447</v>
      </c>
      <c r="J59">
        <v>10</v>
      </c>
      <c r="L59" t="s">
        <v>2709</v>
      </c>
      <c r="M59">
        <v>2031200</v>
      </c>
      <c r="O59" t="s">
        <v>19900</v>
      </c>
      <c r="P59" t="s">
        <v>19903</v>
      </c>
      <c r="Q59" t="s">
        <v>19900</v>
      </c>
      <c r="R59" t="s">
        <v>19447</v>
      </c>
      <c r="S59" t="s">
        <v>19447</v>
      </c>
      <c r="T59" t="s">
        <v>19904</v>
      </c>
      <c r="W59" s="49">
        <v>30049099</v>
      </c>
      <c r="X59" s="50">
        <f>VLOOKUP(PISCOFINS!$W59,PISCOFINS!$C$3:$J$10518,7,0)</f>
        <v>2.1</v>
      </c>
    </row>
    <row r="60" spans="2:24" x14ac:dyDescent="0.25">
      <c r="B60" t="s">
        <v>2709</v>
      </c>
      <c r="C60">
        <v>2031900</v>
      </c>
      <c r="E60">
        <v>0</v>
      </c>
      <c r="F60">
        <v>12</v>
      </c>
      <c r="G60">
        <v>0</v>
      </c>
      <c r="H60" t="s">
        <v>19447</v>
      </c>
      <c r="I60" t="s">
        <v>19447</v>
      </c>
      <c r="J60">
        <v>10</v>
      </c>
      <c r="L60" t="s">
        <v>2709</v>
      </c>
      <c r="M60">
        <v>2031900</v>
      </c>
      <c r="O60" t="s">
        <v>19900</v>
      </c>
      <c r="P60" t="s">
        <v>19903</v>
      </c>
      <c r="Q60" t="s">
        <v>19900</v>
      </c>
      <c r="R60" t="s">
        <v>19447</v>
      </c>
      <c r="S60" t="s">
        <v>19447</v>
      </c>
      <c r="T60" t="s">
        <v>19904</v>
      </c>
      <c r="W60" s="50">
        <v>30049099</v>
      </c>
      <c r="X60" s="50">
        <f>VLOOKUP(PISCOFINS!$W60,PISCOFINS!$C$3:$J$10518,7,0)</f>
        <v>2.1</v>
      </c>
    </row>
    <row r="61" spans="2:24" x14ac:dyDescent="0.25">
      <c r="B61" t="s">
        <v>2709</v>
      </c>
      <c r="C61">
        <v>2032100</v>
      </c>
      <c r="E61">
        <v>0</v>
      </c>
      <c r="F61">
        <v>12</v>
      </c>
      <c r="G61">
        <v>0</v>
      </c>
      <c r="H61" t="s">
        <v>19447</v>
      </c>
      <c r="I61" t="s">
        <v>19447</v>
      </c>
      <c r="J61">
        <v>10</v>
      </c>
      <c r="L61" t="s">
        <v>2709</v>
      </c>
      <c r="M61">
        <v>2032100</v>
      </c>
      <c r="O61" t="s">
        <v>19900</v>
      </c>
      <c r="P61" t="s">
        <v>19903</v>
      </c>
      <c r="Q61" t="s">
        <v>19900</v>
      </c>
      <c r="R61" t="s">
        <v>19447</v>
      </c>
      <c r="S61" t="s">
        <v>19447</v>
      </c>
      <c r="T61" t="s">
        <v>19904</v>
      </c>
      <c r="W61" s="49">
        <v>30049099</v>
      </c>
      <c r="X61" s="50">
        <f>VLOOKUP(PISCOFINS!$W61,PISCOFINS!$C$3:$J$10518,7,0)</f>
        <v>2.1</v>
      </c>
    </row>
    <row r="62" spans="2:24" x14ac:dyDescent="0.25">
      <c r="B62" t="s">
        <v>2709</v>
      </c>
      <c r="C62">
        <v>2032200</v>
      </c>
      <c r="E62">
        <v>0</v>
      </c>
      <c r="F62">
        <v>12</v>
      </c>
      <c r="G62">
        <v>0</v>
      </c>
      <c r="H62" t="s">
        <v>19447</v>
      </c>
      <c r="I62" t="s">
        <v>19447</v>
      </c>
      <c r="J62">
        <v>10</v>
      </c>
      <c r="L62" t="s">
        <v>2709</v>
      </c>
      <c r="M62">
        <v>2032200</v>
      </c>
      <c r="O62" t="s">
        <v>19900</v>
      </c>
      <c r="P62" t="s">
        <v>19903</v>
      </c>
      <c r="Q62" t="s">
        <v>19900</v>
      </c>
      <c r="R62" t="s">
        <v>19447</v>
      </c>
      <c r="S62" t="s">
        <v>19447</v>
      </c>
      <c r="T62" t="s">
        <v>19904</v>
      </c>
      <c r="W62" s="50">
        <v>30049099</v>
      </c>
      <c r="X62" s="50">
        <f>VLOOKUP(PISCOFINS!$W62,PISCOFINS!$C$3:$J$10518,7,0)</f>
        <v>2.1</v>
      </c>
    </row>
    <row r="63" spans="2:24" x14ac:dyDescent="0.25">
      <c r="B63" t="s">
        <v>2709</v>
      </c>
      <c r="C63">
        <v>2032900</v>
      </c>
      <c r="E63">
        <v>0</v>
      </c>
      <c r="F63">
        <v>12</v>
      </c>
      <c r="G63">
        <v>0</v>
      </c>
      <c r="H63" t="s">
        <v>19447</v>
      </c>
      <c r="I63" t="s">
        <v>19447</v>
      </c>
      <c r="J63">
        <v>10</v>
      </c>
      <c r="L63" t="s">
        <v>2709</v>
      </c>
      <c r="M63">
        <v>2032900</v>
      </c>
      <c r="O63" t="s">
        <v>19900</v>
      </c>
      <c r="P63" t="s">
        <v>19903</v>
      </c>
      <c r="Q63" t="s">
        <v>19900</v>
      </c>
      <c r="R63" t="s">
        <v>19447</v>
      </c>
      <c r="S63" t="s">
        <v>19447</v>
      </c>
      <c r="T63" t="s">
        <v>19904</v>
      </c>
      <c r="W63" s="49">
        <v>30049099</v>
      </c>
      <c r="X63" s="50">
        <f>VLOOKUP(PISCOFINS!$W63,PISCOFINS!$C$3:$J$10518,7,0)</f>
        <v>2.1</v>
      </c>
    </row>
    <row r="64" spans="2:24" x14ac:dyDescent="0.25">
      <c r="B64" t="s">
        <v>2709</v>
      </c>
      <c r="C64">
        <v>2041000</v>
      </c>
      <c r="E64">
        <v>0</v>
      </c>
      <c r="F64">
        <v>12</v>
      </c>
      <c r="G64">
        <v>0</v>
      </c>
      <c r="H64" t="s">
        <v>19447</v>
      </c>
      <c r="I64" t="s">
        <v>19447</v>
      </c>
      <c r="J64">
        <v>10</v>
      </c>
      <c r="L64" t="s">
        <v>2709</v>
      </c>
      <c r="M64">
        <v>2041000</v>
      </c>
      <c r="O64" t="s">
        <v>19900</v>
      </c>
      <c r="P64" t="s">
        <v>19903</v>
      </c>
      <c r="Q64" t="s">
        <v>19900</v>
      </c>
      <c r="R64" t="s">
        <v>19447</v>
      </c>
      <c r="S64" t="s">
        <v>19447</v>
      </c>
      <c r="T64" t="s">
        <v>19904</v>
      </c>
      <c r="W64" s="50">
        <v>30049099</v>
      </c>
      <c r="X64" s="50">
        <f>VLOOKUP(PISCOFINS!$W64,PISCOFINS!$C$3:$J$10518,7,0)</f>
        <v>2.1</v>
      </c>
    </row>
    <row r="65" spans="2:24" x14ac:dyDescent="0.25">
      <c r="B65" t="s">
        <v>2709</v>
      </c>
      <c r="C65">
        <v>2042100</v>
      </c>
      <c r="E65">
        <v>0</v>
      </c>
      <c r="F65">
        <v>12</v>
      </c>
      <c r="G65">
        <v>0</v>
      </c>
      <c r="H65" t="s">
        <v>19447</v>
      </c>
      <c r="I65" t="s">
        <v>19447</v>
      </c>
      <c r="J65">
        <v>10</v>
      </c>
      <c r="L65" t="s">
        <v>2709</v>
      </c>
      <c r="M65">
        <v>2042100</v>
      </c>
      <c r="O65" t="s">
        <v>19900</v>
      </c>
      <c r="P65" t="s">
        <v>19903</v>
      </c>
      <c r="Q65" t="s">
        <v>19900</v>
      </c>
      <c r="R65" t="s">
        <v>19447</v>
      </c>
      <c r="S65" t="s">
        <v>19447</v>
      </c>
      <c r="T65" t="s">
        <v>19904</v>
      </c>
      <c r="W65" s="49">
        <v>30049099</v>
      </c>
      <c r="X65" s="50">
        <f>VLOOKUP(PISCOFINS!$W65,PISCOFINS!$C$3:$J$10518,7,0)</f>
        <v>2.1</v>
      </c>
    </row>
    <row r="66" spans="2:24" x14ac:dyDescent="0.25">
      <c r="B66" t="s">
        <v>2709</v>
      </c>
      <c r="C66">
        <v>2042200</v>
      </c>
      <c r="E66">
        <v>0</v>
      </c>
      <c r="F66">
        <v>12</v>
      </c>
      <c r="G66">
        <v>0</v>
      </c>
      <c r="H66" t="s">
        <v>19447</v>
      </c>
      <c r="I66" t="s">
        <v>19447</v>
      </c>
      <c r="J66">
        <v>10</v>
      </c>
      <c r="L66" t="s">
        <v>2709</v>
      </c>
      <c r="M66">
        <v>2042200</v>
      </c>
      <c r="O66" t="s">
        <v>19900</v>
      </c>
      <c r="P66" t="s">
        <v>19903</v>
      </c>
      <c r="Q66" t="s">
        <v>19900</v>
      </c>
      <c r="R66" t="s">
        <v>19447</v>
      </c>
      <c r="S66" t="s">
        <v>19447</v>
      </c>
      <c r="T66" t="s">
        <v>19904</v>
      </c>
      <c r="W66" s="50">
        <v>30049099</v>
      </c>
      <c r="X66" s="50">
        <f>VLOOKUP(PISCOFINS!$W66,PISCOFINS!$C$3:$J$10518,7,0)</f>
        <v>2.1</v>
      </c>
    </row>
    <row r="67" spans="2:24" x14ac:dyDescent="0.25">
      <c r="B67" t="s">
        <v>2709</v>
      </c>
      <c r="C67">
        <v>2042300</v>
      </c>
      <c r="E67">
        <v>0</v>
      </c>
      <c r="F67">
        <v>12</v>
      </c>
      <c r="G67">
        <v>0</v>
      </c>
      <c r="H67" t="s">
        <v>19447</v>
      </c>
      <c r="I67" t="s">
        <v>19447</v>
      </c>
      <c r="J67">
        <v>10</v>
      </c>
      <c r="L67" t="s">
        <v>2709</v>
      </c>
      <c r="M67">
        <v>2042300</v>
      </c>
      <c r="O67" t="s">
        <v>19900</v>
      </c>
      <c r="P67" t="s">
        <v>19903</v>
      </c>
      <c r="Q67" t="s">
        <v>19900</v>
      </c>
      <c r="R67" t="s">
        <v>19447</v>
      </c>
      <c r="S67" t="s">
        <v>19447</v>
      </c>
      <c r="T67" t="s">
        <v>19904</v>
      </c>
      <c r="W67" s="49">
        <v>30049099</v>
      </c>
      <c r="X67" s="50">
        <f>VLOOKUP(PISCOFINS!$W67,PISCOFINS!$C$3:$J$10518,7,0)</f>
        <v>2.1</v>
      </c>
    </row>
    <row r="68" spans="2:24" x14ac:dyDescent="0.25">
      <c r="B68" t="s">
        <v>2709</v>
      </c>
      <c r="C68">
        <v>2043000</v>
      </c>
      <c r="E68">
        <v>0</v>
      </c>
      <c r="F68">
        <v>12</v>
      </c>
      <c r="G68">
        <v>0</v>
      </c>
      <c r="H68" t="s">
        <v>19447</v>
      </c>
      <c r="I68" t="s">
        <v>19447</v>
      </c>
      <c r="J68">
        <v>10</v>
      </c>
      <c r="L68" t="s">
        <v>2709</v>
      </c>
      <c r="M68">
        <v>2043000</v>
      </c>
      <c r="O68" t="s">
        <v>19900</v>
      </c>
      <c r="P68" t="s">
        <v>19903</v>
      </c>
      <c r="Q68" t="s">
        <v>19900</v>
      </c>
      <c r="R68" t="s">
        <v>19447</v>
      </c>
      <c r="S68" t="s">
        <v>19447</v>
      </c>
      <c r="T68" t="s">
        <v>19904</v>
      </c>
      <c r="W68" s="50">
        <v>30049099</v>
      </c>
      <c r="X68" s="50">
        <f>VLOOKUP(PISCOFINS!$W68,PISCOFINS!$C$3:$J$10518,7,0)</f>
        <v>2.1</v>
      </c>
    </row>
    <row r="69" spans="2:24" x14ac:dyDescent="0.25">
      <c r="B69" t="s">
        <v>2709</v>
      </c>
      <c r="C69">
        <v>2044100</v>
      </c>
      <c r="E69">
        <v>0</v>
      </c>
      <c r="F69">
        <v>12</v>
      </c>
      <c r="G69">
        <v>0</v>
      </c>
      <c r="H69" t="s">
        <v>19447</v>
      </c>
      <c r="I69" t="s">
        <v>19447</v>
      </c>
      <c r="J69">
        <v>10</v>
      </c>
      <c r="L69" t="s">
        <v>2709</v>
      </c>
      <c r="M69">
        <v>2044100</v>
      </c>
      <c r="O69" t="s">
        <v>19900</v>
      </c>
      <c r="P69" t="s">
        <v>19903</v>
      </c>
      <c r="Q69" t="s">
        <v>19900</v>
      </c>
      <c r="R69" t="s">
        <v>19447</v>
      </c>
      <c r="S69" t="s">
        <v>19447</v>
      </c>
      <c r="T69" t="s">
        <v>19904</v>
      </c>
      <c r="W69" s="49">
        <v>30049099</v>
      </c>
      <c r="X69" s="50">
        <f>VLOOKUP(PISCOFINS!$W69,PISCOFINS!$C$3:$J$10518,7,0)</f>
        <v>2.1</v>
      </c>
    </row>
    <row r="70" spans="2:24" x14ac:dyDescent="0.25">
      <c r="B70" t="s">
        <v>2709</v>
      </c>
      <c r="C70">
        <v>2044200</v>
      </c>
      <c r="E70">
        <v>0</v>
      </c>
      <c r="F70">
        <v>12</v>
      </c>
      <c r="G70">
        <v>0</v>
      </c>
      <c r="H70" t="s">
        <v>19447</v>
      </c>
      <c r="I70" t="s">
        <v>19447</v>
      </c>
      <c r="J70">
        <v>10</v>
      </c>
      <c r="L70" t="s">
        <v>2709</v>
      </c>
      <c r="M70">
        <v>2044200</v>
      </c>
      <c r="O70" t="s">
        <v>19900</v>
      </c>
      <c r="P70" t="s">
        <v>19903</v>
      </c>
      <c r="Q70" t="s">
        <v>19900</v>
      </c>
      <c r="R70" t="s">
        <v>19447</v>
      </c>
      <c r="S70" t="s">
        <v>19447</v>
      </c>
      <c r="T70" t="s">
        <v>19904</v>
      </c>
      <c r="W70" s="50">
        <v>30049099</v>
      </c>
      <c r="X70" s="50">
        <f>VLOOKUP(PISCOFINS!$W70,PISCOFINS!$C$3:$J$10518,7,0)</f>
        <v>2.1</v>
      </c>
    </row>
    <row r="71" spans="2:24" x14ac:dyDescent="0.25">
      <c r="B71" t="s">
        <v>2709</v>
      </c>
      <c r="C71">
        <v>2044300</v>
      </c>
      <c r="E71">
        <v>0</v>
      </c>
      <c r="F71">
        <v>12</v>
      </c>
      <c r="G71">
        <v>0</v>
      </c>
      <c r="H71" t="s">
        <v>19447</v>
      </c>
      <c r="I71" t="s">
        <v>19447</v>
      </c>
      <c r="J71">
        <v>10</v>
      </c>
      <c r="L71" t="s">
        <v>2709</v>
      </c>
      <c r="M71">
        <v>2044300</v>
      </c>
      <c r="O71" t="s">
        <v>19900</v>
      </c>
      <c r="P71" t="s">
        <v>19903</v>
      </c>
      <c r="Q71" t="s">
        <v>19900</v>
      </c>
      <c r="R71" t="s">
        <v>19447</v>
      </c>
      <c r="S71" t="s">
        <v>19447</v>
      </c>
      <c r="T71" t="s">
        <v>19904</v>
      </c>
      <c r="W71" s="49">
        <v>30049099</v>
      </c>
      <c r="X71" s="50">
        <f>VLOOKUP(PISCOFINS!$W71,PISCOFINS!$C$3:$J$10518,7,0)</f>
        <v>2.1</v>
      </c>
    </row>
    <row r="72" spans="2:24" x14ac:dyDescent="0.25">
      <c r="B72" t="s">
        <v>2709</v>
      </c>
      <c r="C72">
        <v>2045000</v>
      </c>
      <c r="E72">
        <v>0</v>
      </c>
      <c r="F72">
        <v>12</v>
      </c>
      <c r="G72">
        <v>0</v>
      </c>
      <c r="H72" t="s">
        <v>19447</v>
      </c>
      <c r="I72" t="s">
        <v>19447</v>
      </c>
      <c r="J72">
        <v>10</v>
      </c>
      <c r="L72" t="s">
        <v>2709</v>
      </c>
      <c r="M72">
        <v>2045000</v>
      </c>
      <c r="O72" t="s">
        <v>19900</v>
      </c>
      <c r="P72" t="s">
        <v>19903</v>
      </c>
      <c r="Q72" t="s">
        <v>19900</v>
      </c>
      <c r="R72" t="s">
        <v>19447</v>
      </c>
      <c r="S72" t="s">
        <v>19447</v>
      </c>
      <c r="T72" t="s">
        <v>19904</v>
      </c>
      <c r="W72" s="50">
        <v>30049099</v>
      </c>
      <c r="X72" s="50">
        <f>VLOOKUP(PISCOFINS!$W72,PISCOFINS!$C$3:$J$10518,7,0)</f>
        <v>2.1</v>
      </c>
    </row>
    <row r="73" spans="2:24" x14ac:dyDescent="0.25">
      <c r="B73" t="s">
        <v>2709</v>
      </c>
      <c r="C73">
        <v>2050000</v>
      </c>
      <c r="E73">
        <v>0</v>
      </c>
      <c r="F73">
        <v>0</v>
      </c>
      <c r="G73">
        <v>0</v>
      </c>
      <c r="H73">
        <v>7.6</v>
      </c>
      <c r="I73">
        <v>1.65</v>
      </c>
      <c r="J73">
        <v>10</v>
      </c>
      <c r="L73" t="s">
        <v>2709</v>
      </c>
      <c r="M73">
        <v>2050000</v>
      </c>
      <c r="O73" t="s">
        <v>19900</v>
      </c>
      <c r="P73" t="s">
        <v>19900</v>
      </c>
      <c r="Q73" t="s">
        <v>19900</v>
      </c>
      <c r="R73" t="s">
        <v>19905</v>
      </c>
      <c r="S73" t="s">
        <v>19906</v>
      </c>
      <c r="T73" t="s">
        <v>19904</v>
      </c>
      <c r="W73" s="49">
        <v>30049099</v>
      </c>
      <c r="X73" s="50">
        <f>VLOOKUP(PISCOFINS!$W73,PISCOFINS!$C$3:$J$10518,7,0)</f>
        <v>2.1</v>
      </c>
    </row>
    <row r="74" spans="2:24" x14ac:dyDescent="0.25">
      <c r="B74" t="s">
        <v>2709</v>
      </c>
      <c r="C74">
        <v>2061000</v>
      </c>
      <c r="E74">
        <v>0</v>
      </c>
      <c r="F74">
        <v>12</v>
      </c>
      <c r="G74">
        <v>0</v>
      </c>
      <c r="H74" t="s">
        <v>19447</v>
      </c>
      <c r="I74" t="s">
        <v>19447</v>
      </c>
      <c r="J74">
        <v>10</v>
      </c>
      <c r="L74" t="s">
        <v>2709</v>
      </c>
      <c r="M74">
        <v>2061000</v>
      </c>
      <c r="O74" t="s">
        <v>19900</v>
      </c>
      <c r="P74" t="s">
        <v>19903</v>
      </c>
      <c r="Q74" t="s">
        <v>19900</v>
      </c>
      <c r="R74" t="s">
        <v>19447</v>
      </c>
      <c r="S74" t="s">
        <v>19447</v>
      </c>
      <c r="T74" t="s">
        <v>19904</v>
      </c>
      <c r="W74" s="50">
        <v>30049099</v>
      </c>
      <c r="X74" s="50">
        <f>VLOOKUP(PISCOFINS!$W74,PISCOFINS!$C$3:$J$10518,7,0)</f>
        <v>2.1</v>
      </c>
    </row>
    <row r="75" spans="2:24" x14ac:dyDescent="0.25">
      <c r="B75" t="s">
        <v>2709</v>
      </c>
      <c r="C75">
        <v>2062100</v>
      </c>
      <c r="E75">
        <v>0</v>
      </c>
      <c r="F75">
        <v>12</v>
      </c>
      <c r="G75">
        <v>0</v>
      </c>
      <c r="H75" t="s">
        <v>19447</v>
      </c>
      <c r="I75" t="s">
        <v>19447</v>
      </c>
      <c r="J75">
        <v>10</v>
      </c>
      <c r="L75" t="s">
        <v>2709</v>
      </c>
      <c r="M75">
        <v>2062100</v>
      </c>
      <c r="O75" t="s">
        <v>19900</v>
      </c>
      <c r="P75" t="s">
        <v>19903</v>
      </c>
      <c r="Q75" t="s">
        <v>19900</v>
      </c>
      <c r="R75" t="s">
        <v>19447</v>
      </c>
      <c r="S75" t="s">
        <v>19447</v>
      </c>
      <c r="T75" t="s">
        <v>19904</v>
      </c>
      <c r="W75" s="49">
        <v>30049099</v>
      </c>
      <c r="X75" s="50">
        <f>VLOOKUP(PISCOFINS!$W75,PISCOFINS!$C$3:$J$10518,7,0)</f>
        <v>2.1</v>
      </c>
    </row>
    <row r="76" spans="2:24" x14ac:dyDescent="0.25">
      <c r="B76" t="s">
        <v>2709</v>
      </c>
      <c r="C76">
        <v>2062200</v>
      </c>
      <c r="E76">
        <v>0</v>
      </c>
      <c r="F76">
        <v>12</v>
      </c>
      <c r="G76">
        <v>0</v>
      </c>
      <c r="H76" t="s">
        <v>19447</v>
      </c>
      <c r="I76" t="s">
        <v>19447</v>
      </c>
      <c r="J76">
        <v>10</v>
      </c>
      <c r="L76" t="s">
        <v>2709</v>
      </c>
      <c r="M76">
        <v>2062200</v>
      </c>
      <c r="O76" t="s">
        <v>19900</v>
      </c>
      <c r="P76" t="s">
        <v>19903</v>
      </c>
      <c r="Q76" t="s">
        <v>19900</v>
      </c>
      <c r="R76" t="s">
        <v>19447</v>
      </c>
      <c r="S76" t="s">
        <v>19447</v>
      </c>
      <c r="T76" t="s">
        <v>19904</v>
      </c>
      <c r="W76" s="50">
        <v>30049099</v>
      </c>
      <c r="X76" s="50">
        <f>VLOOKUP(PISCOFINS!$W76,PISCOFINS!$C$3:$J$10518,7,0)</f>
        <v>2.1</v>
      </c>
    </row>
    <row r="77" spans="2:24" x14ac:dyDescent="0.25">
      <c r="B77" t="s">
        <v>2709</v>
      </c>
      <c r="C77">
        <v>2062910</v>
      </c>
      <c r="E77">
        <v>0</v>
      </c>
      <c r="F77">
        <v>12</v>
      </c>
      <c r="G77">
        <v>0</v>
      </c>
      <c r="H77" t="s">
        <v>19447</v>
      </c>
      <c r="I77" t="s">
        <v>19447</v>
      </c>
      <c r="J77">
        <v>10</v>
      </c>
      <c r="L77" t="s">
        <v>2709</v>
      </c>
      <c r="M77">
        <v>2062910</v>
      </c>
      <c r="O77" t="s">
        <v>19900</v>
      </c>
      <c r="P77" t="s">
        <v>19903</v>
      </c>
      <c r="Q77" t="s">
        <v>19900</v>
      </c>
      <c r="R77" t="s">
        <v>19447</v>
      </c>
      <c r="S77" t="s">
        <v>19447</v>
      </c>
      <c r="T77" t="s">
        <v>19904</v>
      </c>
      <c r="W77" s="49">
        <v>30049099</v>
      </c>
      <c r="X77" s="50">
        <f>VLOOKUP(PISCOFINS!$W77,PISCOFINS!$C$3:$J$10518,7,0)</f>
        <v>2.1</v>
      </c>
    </row>
    <row r="78" spans="2:24" x14ac:dyDescent="0.25">
      <c r="B78" t="s">
        <v>2709</v>
      </c>
      <c r="C78">
        <v>2062990</v>
      </c>
      <c r="E78">
        <v>0</v>
      </c>
      <c r="F78">
        <v>12</v>
      </c>
      <c r="G78">
        <v>0</v>
      </c>
      <c r="H78" t="s">
        <v>19447</v>
      </c>
      <c r="I78" t="s">
        <v>19447</v>
      </c>
      <c r="J78">
        <v>10</v>
      </c>
      <c r="L78" t="s">
        <v>2709</v>
      </c>
      <c r="M78">
        <v>2062990</v>
      </c>
      <c r="O78" t="s">
        <v>19900</v>
      </c>
      <c r="P78" t="s">
        <v>19903</v>
      </c>
      <c r="Q78" t="s">
        <v>19900</v>
      </c>
      <c r="R78" t="s">
        <v>19447</v>
      </c>
      <c r="S78" t="s">
        <v>19447</v>
      </c>
      <c r="T78" t="s">
        <v>19904</v>
      </c>
      <c r="W78" s="50">
        <v>30049099</v>
      </c>
      <c r="X78" s="50">
        <f>VLOOKUP(PISCOFINS!$W78,PISCOFINS!$C$3:$J$10518,7,0)</f>
        <v>2.1</v>
      </c>
    </row>
    <row r="79" spans="2:24" x14ac:dyDescent="0.25">
      <c r="B79" t="s">
        <v>2709</v>
      </c>
      <c r="C79">
        <v>2063000</v>
      </c>
      <c r="E79">
        <v>0</v>
      </c>
      <c r="F79">
        <v>12</v>
      </c>
      <c r="G79">
        <v>0</v>
      </c>
      <c r="H79" t="s">
        <v>19447</v>
      </c>
      <c r="I79" t="s">
        <v>19447</v>
      </c>
      <c r="J79">
        <v>10</v>
      </c>
      <c r="L79" t="s">
        <v>2709</v>
      </c>
      <c r="M79">
        <v>2063000</v>
      </c>
      <c r="O79" t="s">
        <v>19900</v>
      </c>
      <c r="P79" t="s">
        <v>19903</v>
      </c>
      <c r="Q79" t="s">
        <v>19900</v>
      </c>
      <c r="R79" t="s">
        <v>19447</v>
      </c>
      <c r="S79" t="s">
        <v>19447</v>
      </c>
      <c r="T79" t="s">
        <v>19904</v>
      </c>
      <c r="W79" s="49">
        <v>30049099</v>
      </c>
      <c r="X79" s="50">
        <f>VLOOKUP(PISCOFINS!$W79,PISCOFINS!$C$3:$J$10518,7,0)</f>
        <v>2.1</v>
      </c>
    </row>
    <row r="80" spans="2:24" x14ac:dyDescent="0.25">
      <c r="B80" t="s">
        <v>2709</v>
      </c>
      <c r="C80">
        <v>2064100</v>
      </c>
      <c r="E80">
        <v>0</v>
      </c>
      <c r="F80">
        <v>12</v>
      </c>
      <c r="G80">
        <v>0</v>
      </c>
      <c r="H80" t="s">
        <v>19447</v>
      </c>
      <c r="I80" t="s">
        <v>19447</v>
      </c>
      <c r="J80">
        <v>10</v>
      </c>
      <c r="L80" t="s">
        <v>2709</v>
      </c>
      <c r="M80">
        <v>2064100</v>
      </c>
      <c r="O80" t="s">
        <v>19900</v>
      </c>
      <c r="P80" t="s">
        <v>19903</v>
      </c>
      <c r="Q80" t="s">
        <v>19900</v>
      </c>
      <c r="R80" t="s">
        <v>19447</v>
      </c>
      <c r="S80" t="s">
        <v>19447</v>
      </c>
      <c r="T80" t="s">
        <v>19904</v>
      </c>
      <c r="W80" s="50">
        <v>30049099</v>
      </c>
      <c r="X80" s="50">
        <f>VLOOKUP(PISCOFINS!$W80,PISCOFINS!$C$3:$J$10518,7,0)</f>
        <v>2.1</v>
      </c>
    </row>
    <row r="81" spans="2:24" x14ac:dyDescent="0.25">
      <c r="B81" t="s">
        <v>2709</v>
      </c>
      <c r="C81">
        <v>2064900</v>
      </c>
      <c r="E81">
        <v>0</v>
      </c>
      <c r="F81">
        <v>12</v>
      </c>
      <c r="G81">
        <v>0</v>
      </c>
      <c r="H81" t="s">
        <v>19447</v>
      </c>
      <c r="I81" t="s">
        <v>19447</v>
      </c>
      <c r="J81">
        <v>10</v>
      </c>
      <c r="L81" t="s">
        <v>2709</v>
      </c>
      <c r="M81">
        <v>2064900</v>
      </c>
      <c r="O81" t="s">
        <v>19900</v>
      </c>
      <c r="P81" t="s">
        <v>19903</v>
      </c>
      <c r="Q81" t="s">
        <v>19900</v>
      </c>
      <c r="R81" t="s">
        <v>19447</v>
      </c>
      <c r="S81" t="s">
        <v>19447</v>
      </c>
      <c r="T81" t="s">
        <v>19904</v>
      </c>
      <c r="W81" s="49">
        <v>30049099</v>
      </c>
      <c r="X81" s="50">
        <f>VLOOKUP(PISCOFINS!$W81,PISCOFINS!$C$3:$J$10518,7,0)</f>
        <v>2.1</v>
      </c>
    </row>
    <row r="82" spans="2:24" x14ac:dyDescent="0.25">
      <c r="B82" t="s">
        <v>2709</v>
      </c>
      <c r="C82">
        <v>2068000</v>
      </c>
      <c r="E82">
        <v>0</v>
      </c>
      <c r="F82">
        <v>12</v>
      </c>
      <c r="G82">
        <v>0</v>
      </c>
      <c r="H82" t="s">
        <v>19447</v>
      </c>
      <c r="I82" t="s">
        <v>19447</v>
      </c>
      <c r="J82">
        <v>10</v>
      </c>
      <c r="L82" t="s">
        <v>2709</v>
      </c>
      <c r="M82">
        <v>2068000</v>
      </c>
      <c r="O82" t="s">
        <v>19900</v>
      </c>
      <c r="P82" t="s">
        <v>19903</v>
      </c>
      <c r="Q82" t="s">
        <v>19900</v>
      </c>
      <c r="R82" t="s">
        <v>19447</v>
      </c>
      <c r="S82" t="s">
        <v>19447</v>
      </c>
      <c r="T82" t="s">
        <v>19904</v>
      </c>
      <c r="W82" s="50">
        <v>30049099</v>
      </c>
      <c r="X82" s="50">
        <f>VLOOKUP(PISCOFINS!$W82,PISCOFINS!$C$3:$J$10518,7,0)</f>
        <v>2.1</v>
      </c>
    </row>
    <row r="83" spans="2:24" x14ac:dyDescent="0.25">
      <c r="B83" t="s">
        <v>2709</v>
      </c>
      <c r="C83">
        <v>2069000</v>
      </c>
      <c r="E83">
        <v>0</v>
      </c>
      <c r="F83">
        <v>12</v>
      </c>
      <c r="G83">
        <v>0</v>
      </c>
      <c r="H83">
        <v>7.6</v>
      </c>
      <c r="I83">
        <v>1.65</v>
      </c>
      <c r="J83">
        <v>10</v>
      </c>
      <c r="L83" t="s">
        <v>2709</v>
      </c>
      <c r="M83">
        <v>2069000</v>
      </c>
      <c r="O83" t="s">
        <v>19900</v>
      </c>
      <c r="P83" t="s">
        <v>19903</v>
      </c>
      <c r="Q83" t="s">
        <v>19900</v>
      </c>
      <c r="R83" t="s">
        <v>19905</v>
      </c>
      <c r="S83" t="s">
        <v>19906</v>
      </c>
      <c r="T83" t="s">
        <v>19904</v>
      </c>
      <c r="W83" s="49">
        <v>30049099</v>
      </c>
      <c r="X83" s="50">
        <f>VLOOKUP(PISCOFINS!$W83,PISCOFINS!$C$3:$J$10518,7,0)</f>
        <v>2.1</v>
      </c>
    </row>
    <row r="84" spans="2:24" x14ac:dyDescent="0.25">
      <c r="B84" t="s">
        <v>2709</v>
      </c>
      <c r="C84">
        <v>2071100</v>
      </c>
      <c r="E84">
        <v>0</v>
      </c>
      <c r="F84">
        <v>12</v>
      </c>
      <c r="G84">
        <v>0</v>
      </c>
      <c r="H84" t="s">
        <v>19447</v>
      </c>
      <c r="I84" t="s">
        <v>19447</v>
      </c>
      <c r="J84">
        <v>10</v>
      </c>
      <c r="L84" t="s">
        <v>2709</v>
      </c>
      <c r="M84">
        <v>2071100</v>
      </c>
      <c r="O84" t="s">
        <v>19900</v>
      </c>
      <c r="P84" t="s">
        <v>19903</v>
      </c>
      <c r="Q84" t="s">
        <v>19900</v>
      </c>
      <c r="R84" t="s">
        <v>19447</v>
      </c>
      <c r="S84" t="s">
        <v>19447</v>
      </c>
      <c r="T84" t="s">
        <v>19904</v>
      </c>
      <c r="W84" s="50">
        <v>30049099</v>
      </c>
      <c r="X84" s="50">
        <f>VLOOKUP(PISCOFINS!$W84,PISCOFINS!$C$3:$J$10518,7,0)</f>
        <v>2.1</v>
      </c>
    </row>
    <row r="85" spans="2:24" x14ac:dyDescent="0.25">
      <c r="B85" t="s">
        <v>2709</v>
      </c>
      <c r="C85">
        <v>2071200</v>
      </c>
      <c r="E85">
        <v>0</v>
      </c>
      <c r="F85">
        <v>12</v>
      </c>
      <c r="G85">
        <v>0</v>
      </c>
      <c r="H85" t="s">
        <v>19447</v>
      </c>
      <c r="I85" t="s">
        <v>19447</v>
      </c>
      <c r="J85">
        <v>10</v>
      </c>
      <c r="L85" t="s">
        <v>2709</v>
      </c>
      <c r="M85">
        <v>2071200</v>
      </c>
      <c r="O85" t="s">
        <v>19900</v>
      </c>
      <c r="P85" t="s">
        <v>19903</v>
      </c>
      <c r="Q85" t="s">
        <v>19900</v>
      </c>
      <c r="R85" t="s">
        <v>19447</v>
      </c>
      <c r="S85" t="s">
        <v>19447</v>
      </c>
      <c r="T85" t="s">
        <v>19904</v>
      </c>
      <c r="W85" s="49">
        <v>30049099</v>
      </c>
      <c r="X85" s="50">
        <f>VLOOKUP(PISCOFINS!$W85,PISCOFINS!$C$3:$J$10518,7,0)</f>
        <v>2.1</v>
      </c>
    </row>
    <row r="86" spans="2:24" x14ac:dyDescent="0.25">
      <c r="B86" t="s">
        <v>2709</v>
      </c>
      <c r="C86">
        <v>2071300</v>
      </c>
      <c r="E86">
        <v>0</v>
      </c>
      <c r="F86">
        <v>12</v>
      </c>
      <c r="G86">
        <v>0</v>
      </c>
      <c r="H86" t="s">
        <v>19447</v>
      </c>
      <c r="I86" t="s">
        <v>19447</v>
      </c>
      <c r="J86">
        <v>10</v>
      </c>
      <c r="L86" t="s">
        <v>2709</v>
      </c>
      <c r="M86">
        <v>2071300</v>
      </c>
      <c r="O86" t="s">
        <v>19900</v>
      </c>
      <c r="P86" t="s">
        <v>19903</v>
      </c>
      <c r="Q86" t="s">
        <v>19900</v>
      </c>
      <c r="R86" t="s">
        <v>19447</v>
      </c>
      <c r="S86" t="s">
        <v>19447</v>
      </c>
      <c r="T86" t="s">
        <v>19904</v>
      </c>
      <c r="W86" s="50">
        <v>30049099</v>
      </c>
      <c r="X86" s="50">
        <f>VLOOKUP(PISCOFINS!$W86,PISCOFINS!$C$3:$J$10518,7,0)</f>
        <v>2.1</v>
      </c>
    </row>
    <row r="87" spans="2:24" x14ac:dyDescent="0.25">
      <c r="B87" t="s">
        <v>2709</v>
      </c>
      <c r="C87">
        <v>2071400</v>
      </c>
      <c r="E87">
        <v>0</v>
      </c>
      <c r="F87">
        <v>12</v>
      </c>
      <c r="G87">
        <v>0</v>
      </c>
      <c r="H87" t="s">
        <v>19447</v>
      </c>
      <c r="I87" t="s">
        <v>19447</v>
      </c>
      <c r="J87">
        <v>10</v>
      </c>
      <c r="L87" t="s">
        <v>2709</v>
      </c>
      <c r="M87">
        <v>2071400</v>
      </c>
      <c r="O87" t="s">
        <v>19900</v>
      </c>
      <c r="P87" t="s">
        <v>19903</v>
      </c>
      <c r="Q87" t="s">
        <v>19900</v>
      </c>
      <c r="R87" t="s">
        <v>19447</v>
      </c>
      <c r="S87" t="s">
        <v>19447</v>
      </c>
      <c r="T87" t="s">
        <v>19904</v>
      </c>
      <c r="W87" s="49">
        <v>30049099</v>
      </c>
      <c r="X87" s="50">
        <f>VLOOKUP(PISCOFINS!$W87,PISCOFINS!$C$3:$J$10518,7,0)</f>
        <v>2.1</v>
      </c>
    </row>
    <row r="88" spans="2:24" x14ac:dyDescent="0.25">
      <c r="B88" t="s">
        <v>2709</v>
      </c>
      <c r="C88">
        <v>2072400</v>
      </c>
      <c r="E88">
        <v>0</v>
      </c>
      <c r="F88">
        <v>12</v>
      </c>
      <c r="G88">
        <v>0</v>
      </c>
      <c r="H88" t="s">
        <v>19447</v>
      </c>
      <c r="I88" t="s">
        <v>19447</v>
      </c>
      <c r="J88">
        <v>10</v>
      </c>
      <c r="L88" t="s">
        <v>2709</v>
      </c>
      <c r="M88">
        <v>2072400</v>
      </c>
      <c r="O88" t="s">
        <v>19900</v>
      </c>
      <c r="P88" t="s">
        <v>19903</v>
      </c>
      <c r="Q88" t="s">
        <v>19900</v>
      </c>
      <c r="R88" t="s">
        <v>19447</v>
      </c>
      <c r="S88" t="s">
        <v>19447</v>
      </c>
      <c r="T88" t="s">
        <v>19904</v>
      </c>
      <c r="W88" s="50">
        <v>30049099</v>
      </c>
      <c r="X88" s="50">
        <f>VLOOKUP(PISCOFINS!$W88,PISCOFINS!$C$3:$J$10518,7,0)</f>
        <v>2.1</v>
      </c>
    </row>
    <row r="89" spans="2:24" x14ac:dyDescent="0.25">
      <c r="B89" t="s">
        <v>2709</v>
      </c>
      <c r="C89">
        <v>2072500</v>
      </c>
      <c r="E89">
        <v>0</v>
      </c>
      <c r="F89">
        <v>12</v>
      </c>
      <c r="G89">
        <v>0</v>
      </c>
      <c r="H89" t="s">
        <v>19447</v>
      </c>
      <c r="I89" t="s">
        <v>19447</v>
      </c>
      <c r="J89">
        <v>10</v>
      </c>
      <c r="L89" t="s">
        <v>2709</v>
      </c>
      <c r="M89">
        <v>2072500</v>
      </c>
      <c r="O89" t="s">
        <v>19900</v>
      </c>
      <c r="P89" t="s">
        <v>19903</v>
      </c>
      <c r="Q89" t="s">
        <v>19900</v>
      </c>
      <c r="R89" t="s">
        <v>19447</v>
      </c>
      <c r="S89" t="s">
        <v>19447</v>
      </c>
      <c r="T89" t="s">
        <v>19904</v>
      </c>
      <c r="W89" s="49">
        <v>30049099</v>
      </c>
      <c r="X89" s="50">
        <f>VLOOKUP(PISCOFINS!$W89,PISCOFINS!$C$3:$J$10518,7,0)</f>
        <v>2.1</v>
      </c>
    </row>
    <row r="90" spans="2:24" x14ac:dyDescent="0.25">
      <c r="B90" t="s">
        <v>2709</v>
      </c>
      <c r="C90">
        <v>2072600</v>
      </c>
      <c r="E90">
        <v>0</v>
      </c>
      <c r="F90">
        <v>12</v>
      </c>
      <c r="G90">
        <v>0</v>
      </c>
      <c r="H90" t="s">
        <v>19447</v>
      </c>
      <c r="I90" t="s">
        <v>19447</v>
      </c>
      <c r="J90">
        <v>10</v>
      </c>
      <c r="L90" t="s">
        <v>2709</v>
      </c>
      <c r="M90">
        <v>2072600</v>
      </c>
      <c r="O90" t="s">
        <v>19900</v>
      </c>
      <c r="P90" t="s">
        <v>19903</v>
      </c>
      <c r="Q90" t="s">
        <v>19900</v>
      </c>
      <c r="R90" t="s">
        <v>19447</v>
      </c>
      <c r="S90" t="s">
        <v>19447</v>
      </c>
      <c r="T90" t="s">
        <v>19904</v>
      </c>
      <c r="W90" s="50">
        <v>30049099</v>
      </c>
      <c r="X90" s="50">
        <f>VLOOKUP(PISCOFINS!$W90,PISCOFINS!$C$3:$J$10518,7,0)</f>
        <v>2.1</v>
      </c>
    </row>
    <row r="91" spans="2:24" x14ac:dyDescent="0.25">
      <c r="B91" t="s">
        <v>2709</v>
      </c>
      <c r="C91">
        <v>2072700</v>
      </c>
      <c r="E91">
        <v>0</v>
      </c>
      <c r="F91">
        <v>12</v>
      </c>
      <c r="G91">
        <v>0</v>
      </c>
      <c r="H91" t="s">
        <v>19447</v>
      </c>
      <c r="I91" t="s">
        <v>19447</v>
      </c>
      <c r="J91">
        <v>10</v>
      </c>
      <c r="L91" t="s">
        <v>2709</v>
      </c>
      <c r="M91">
        <v>2072700</v>
      </c>
      <c r="O91" t="s">
        <v>19900</v>
      </c>
      <c r="P91" t="s">
        <v>19903</v>
      </c>
      <c r="Q91" t="s">
        <v>19900</v>
      </c>
      <c r="R91" t="s">
        <v>19447</v>
      </c>
      <c r="S91" t="s">
        <v>19447</v>
      </c>
      <c r="T91" t="s">
        <v>19904</v>
      </c>
      <c r="W91" s="49">
        <v>30049099</v>
      </c>
      <c r="X91" s="50">
        <f>VLOOKUP(PISCOFINS!$W91,PISCOFINS!$C$3:$J$10518,7,0)</f>
        <v>2.1</v>
      </c>
    </row>
    <row r="92" spans="2:24" x14ac:dyDescent="0.25">
      <c r="B92" t="s">
        <v>2709</v>
      </c>
      <c r="C92">
        <v>2074100</v>
      </c>
      <c r="E92">
        <v>0</v>
      </c>
      <c r="F92">
        <v>12</v>
      </c>
      <c r="G92">
        <v>0</v>
      </c>
      <c r="H92" t="s">
        <v>19447</v>
      </c>
      <c r="I92" t="s">
        <v>19447</v>
      </c>
      <c r="J92">
        <v>10</v>
      </c>
      <c r="L92" t="s">
        <v>2709</v>
      </c>
      <c r="M92">
        <v>2074100</v>
      </c>
      <c r="O92" t="s">
        <v>19900</v>
      </c>
      <c r="P92" t="s">
        <v>19903</v>
      </c>
      <c r="Q92" t="s">
        <v>19900</v>
      </c>
      <c r="R92" t="s">
        <v>19447</v>
      </c>
      <c r="S92" t="s">
        <v>19447</v>
      </c>
      <c r="T92" t="s">
        <v>19904</v>
      </c>
      <c r="W92" s="50">
        <v>30049099</v>
      </c>
      <c r="X92" s="50">
        <f>VLOOKUP(PISCOFINS!$W92,PISCOFINS!$C$3:$J$10518,7,0)</f>
        <v>2.1</v>
      </c>
    </row>
    <row r="93" spans="2:24" x14ac:dyDescent="0.25">
      <c r="B93" t="s">
        <v>2709</v>
      </c>
      <c r="C93">
        <v>2074200</v>
      </c>
      <c r="E93">
        <v>0</v>
      </c>
      <c r="F93">
        <v>12</v>
      </c>
      <c r="G93">
        <v>0</v>
      </c>
      <c r="H93" t="s">
        <v>19447</v>
      </c>
      <c r="I93" t="s">
        <v>19447</v>
      </c>
      <c r="J93">
        <v>10</v>
      </c>
      <c r="L93" t="s">
        <v>2709</v>
      </c>
      <c r="M93">
        <v>2074200</v>
      </c>
      <c r="O93" t="s">
        <v>19900</v>
      </c>
      <c r="P93" t="s">
        <v>19903</v>
      </c>
      <c r="Q93" t="s">
        <v>19900</v>
      </c>
      <c r="R93" t="s">
        <v>19447</v>
      </c>
      <c r="S93" t="s">
        <v>19447</v>
      </c>
      <c r="T93" t="s">
        <v>19904</v>
      </c>
      <c r="W93" s="49">
        <v>30049099</v>
      </c>
      <c r="X93" s="50">
        <f>VLOOKUP(PISCOFINS!$W93,PISCOFINS!$C$3:$J$10518,7,0)</f>
        <v>2.1</v>
      </c>
    </row>
    <row r="94" spans="2:24" x14ac:dyDescent="0.25">
      <c r="B94" t="s">
        <v>2709</v>
      </c>
      <c r="C94">
        <v>2074300</v>
      </c>
      <c r="E94">
        <v>0</v>
      </c>
      <c r="F94">
        <v>12</v>
      </c>
      <c r="G94">
        <v>0</v>
      </c>
      <c r="H94" t="s">
        <v>19447</v>
      </c>
      <c r="I94" t="s">
        <v>19447</v>
      </c>
      <c r="J94">
        <v>10</v>
      </c>
      <c r="L94" t="s">
        <v>2709</v>
      </c>
      <c r="M94">
        <v>2074300</v>
      </c>
      <c r="O94" t="s">
        <v>19900</v>
      </c>
      <c r="P94" t="s">
        <v>19903</v>
      </c>
      <c r="Q94" t="s">
        <v>19900</v>
      </c>
      <c r="R94" t="s">
        <v>19447</v>
      </c>
      <c r="S94" t="s">
        <v>19447</v>
      </c>
      <c r="T94" t="s">
        <v>19904</v>
      </c>
      <c r="W94" s="50">
        <v>30049099</v>
      </c>
      <c r="X94" s="50">
        <f>VLOOKUP(PISCOFINS!$W94,PISCOFINS!$C$3:$J$10518,7,0)</f>
        <v>2.1</v>
      </c>
    </row>
    <row r="95" spans="2:24" x14ac:dyDescent="0.25">
      <c r="B95" t="s">
        <v>2709</v>
      </c>
      <c r="C95">
        <v>2074400</v>
      </c>
      <c r="E95">
        <v>0</v>
      </c>
      <c r="F95">
        <v>12</v>
      </c>
      <c r="G95">
        <v>0</v>
      </c>
      <c r="H95" t="s">
        <v>19447</v>
      </c>
      <c r="I95" t="s">
        <v>19447</v>
      </c>
      <c r="J95">
        <v>10</v>
      </c>
      <c r="L95" t="s">
        <v>2709</v>
      </c>
      <c r="M95">
        <v>2074400</v>
      </c>
      <c r="O95" t="s">
        <v>19900</v>
      </c>
      <c r="P95" t="s">
        <v>19903</v>
      </c>
      <c r="Q95" t="s">
        <v>19900</v>
      </c>
      <c r="R95" t="s">
        <v>19447</v>
      </c>
      <c r="S95" t="s">
        <v>19447</v>
      </c>
      <c r="T95" t="s">
        <v>19904</v>
      </c>
      <c r="W95" s="49">
        <v>30049099</v>
      </c>
      <c r="X95" s="50">
        <f>VLOOKUP(PISCOFINS!$W95,PISCOFINS!$C$3:$J$10518,7,0)</f>
        <v>2.1</v>
      </c>
    </row>
    <row r="96" spans="2:24" x14ac:dyDescent="0.25">
      <c r="B96" t="s">
        <v>2709</v>
      </c>
      <c r="C96">
        <v>2074500</v>
      </c>
      <c r="E96">
        <v>0</v>
      </c>
      <c r="F96">
        <v>12</v>
      </c>
      <c r="G96">
        <v>0</v>
      </c>
      <c r="H96" t="s">
        <v>19447</v>
      </c>
      <c r="I96" t="s">
        <v>19447</v>
      </c>
      <c r="J96">
        <v>10</v>
      </c>
      <c r="L96" t="s">
        <v>2709</v>
      </c>
      <c r="M96">
        <v>2074500</v>
      </c>
      <c r="O96" t="s">
        <v>19900</v>
      </c>
      <c r="P96" t="s">
        <v>19903</v>
      </c>
      <c r="Q96" t="s">
        <v>19900</v>
      </c>
      <c r="R96" t="s">
        <v>19447</v>
      </c>
      <c r="S96" t="s">
        <v>19447</v>
      </c>
      <c r="T96" t="s">
        <v>19904</v>
      </c>
      <c r="W96" s="50">
        <v>30049099</v>
      </c>
      <c r="X96" s="50">
        <f>VLOOKUP(PISCOFINS!$W96,PISCOFINS!$C$3:$J$10518,7,0)</f>
        <v>2.1</v>
      </c>
    </row>
    <row r="97" spans="2:24" x14ac:dyDescent="0.25">
      <c r="B97" t="s">
        <v>2709</v>
      </c>
      <c r="C97">
        <v>2075100</v>
      </c>
      <c r="E97">
        <v>0</v>
      </c>
      <c r="F97">
        <v>12</v>
      </c>
      <c r="G97">
        <v>0</v>
      </c>
      <c r="H97" t="s">
        <v>19447</v>
      </c>
      <c r="I97" t="s">
        <v>19447</v>
      </c>
      <c r="J97">
        <v>10</v>
      </c>
      <c r="L97" t="s">
        <v>2709</v>
      </c>
      <c r="M97">
        <v>2075100</v>
      </c>
      <c r="O97" t="s">
        <v>19900</v>
      </c>
      <c r="P97" t="s">
        <v>19903</v>
      </c>
      <c r="Q97" t="s">
        <v>19900</v>
      </c>
      <c r="R97" t="s">
        <v>19447</v>
      </c>
      <c r="S97" t="s">
        <v>19447</v>
      </c>
      <c r="T97" t="s">
        <v>19904</v>
      </c>
      <c r="W97" s="49">
        <v>30049099</v>
      </c>
      <c r="X97" s="50">
        <f>VLOOKUP(PISCOFINS!$W97,PISCOFINS!$C$3:$J$10518,7,0)</f>
        <v>2.1</v>
      </c>
    </row>
    <row r="98" spans="2:24" x14ac:dyDescent="0.25">
      <c r="B98" t="s">
        <v>2709</v>
      </c>
      <c r="C98">
        <v>2075200</v>
      </c>
      <c r="E98">
        <v>0</v>
      </c>
      <c r="F98">
        <v>12</v>
      </c>
      <c r="G98">
        <v>0</v>
      </c>
      <c r="H98" t="s">
        <v>19447</v>
      </c>
      <c r="I98" t="s">
        <v>19447</v>
      </c>
      <c r="J98">
        <v>10</v>
      </c>
      <c r="L98" t="s">
        <v>2709</v>
      </c>
      <c r="M98">
        <v>2075200</v>
      </c>
      <c r="O98" t="s">
        <v>19900</v>
      </c>
      <c r="P98" t="s">
        <v>19903</v>
      </c>
      <c r="Q98" t="s">
        <v>19900</v>
      </c>
      <c r="R98" t="s">
        <v>19447</v>
      </c>
      <c r="S98" t="s">
        <v>19447</v>
      </c>
      <c r="T98" t="s">
        <v>19904</v>
      </c>
      <c r="W98" s="50">
        <v>30049099</v>
      </c>
      <c r="X98" s="50">
        <f>VLOOKUP(PISCOFINS!$W98,PISCOFINS!$C$3:$J$10518,7,0)</f>
        <v>2.1</v>
      </c>
    </row>
    <row r="99" spans="2:24" x14ac:dyDescent="0.25">
      <c r="B99" t="s">
        <v>2709</v>
      </c>
      <c r="C99">
        <v>2075300</v>
      </c>
      <c r="E99">
        <v>0</v>
      </c>
      <c r="F99">
        <v>12</v>
      </c>
      <c r="G99">
        <v>0</v>
      </c>
      <c r="H99" t="s">
        <v>19447</v>
      </c>
      <c r="I99" t="s">
        <v>19447</v>
      </c>
      <c r="J99">
        <v>10</v>
      </c>
      <c r="L99" t="s">
        <v>2709</v>
      </c>
      <c r="M99">
        <v>2075300</v>
      </c>
      <c r="O99" t="s">
        <v>19900</v>
      </c>
      <c r="P99" t="s">
        <v>19903</v>
      </c>
      <c r="Q99" t="s">
        <v>19900</v>
      </c>
      <c r="R99" t="s">
        <v>19447</v>
      </c>
      <c r="S99" t="s">
        <v>19447</v>
      </c>
      <c r="T99" t="s">
        <v>19904</v>
      </c>
      <c r="W99" s="49">
        <v>30049099</v>
      </c>
      <c r="X99" s="50">
        <f>VLOOKUP(PISCOFINS!$W99,PISCOFINS!$C$3:$J$10518,7,0)</f>
        <v>2.1</v>
      </c>
    </row>
    <row r="100" spans="2:24" x14ac:dyDescent="0.25">
      <c r="B100" t="s">
        <v>2709</v>
      </c>
      <c r="C100">
        <v>2075400</v>
      </c>
      <c r="E100">
        <v>0</v>
      </c>
      <c r="F100">
        <v>12</v>
      </c>
      <c r="G100">
        <v>0</v>
      </c>
      <c r="H100" t="s">
        <v>19447</v>
      </c>
      <c r="I100" t="s">
        <v>19447</v>
      </c>
      <c r="J100">
        <v>10</v>
      </c>
      <c r="L100" t="s">
        <v>2709</v>
      </c>
      <c r="M100">
        <v>2075400</v>
      </c>
      <c r="O100" t="s">
        <v>19900</v>
      </c>
      <c r="P100" t="s">
        <v>19903</v>
      </c>
      <c r="Q100" t="s">
        <v>19900</v>
      </c>
      <c r="R100" t="s">
        <v>19447</v>
      </c>
      <c r="S100" t="s">
        <v>19447</v>
      </c>
      <c r="T100" t="s">
        <v>19904</v>
      </c>
      <c r="W100" s="50">
        <v>30049099</v>
      </c>
      <c r="X100" s="50">
        <f>VLOOKUP(PISCOFINS!$W100,PISCOFINS!$C$3:$J$10518,7,0)</f>
        <v>2.1</v>
      </c>
    </row>
    <row r="101" spans="2:24" x14ac:dyDescent="0.25">
      <c r="B101" t="s">
        <v>2709</v>
      </c>
      <c r="C101">
        <v>2075500</v>
      </c>
      <c r="E101">
        <v>0</v>
      </c>
      <c r="F101">
        <v>12</v>
      </c>
      <c r="G101">
        <v>0</v>
      </c>
      <c r="H101" t="s">
        <v>19447</v>
      </c>
      <c r="I101" t="s">
        <v>19447</v>
      </c>
      <c r="J101">
        <v>10</v>
      </c>
      <c r="L101" t="s">
        <v>2709</v>
      </c>
      <c r="M101">
        <v>2075500</v>
      </c>
      <c r="O101" t="s">
        <v>19900</v>
      </c>
      <c r="P101" t="s">
        <v>19903</v>
      </c>
      <c r="Q101" t="s">
        <v>19900</v>
      </c>
      <c r="R101" t="s">
        <v>19447</v>
      </c>
      <c r="S101" t="s">
        <v>19447</v>
      </c>
      <c r="T101" t="s">
        <v>19904</v>
      </c>
      <c r="W101" s="49">
        <v>30049099</v>
      </c>
      <c r="X101" s="50">
        <f>VLOOKUP(PISCOFINS!$W101,PISCOFINS!$C$3:$J$10518,7,0)</f>
        <v>2.1</v>
      </c>
    </row>
    <row r="102" spans="2:24" x14ac:dyDescent="0.25">
      <c r="B102" t="s">
        <v>2709</v>
      </c>
      <c r="C102">
        <v>2076000</v>
      </c>
      <c r="E102">
        <v>0</v>
      </c>
      <c r="F102">
        <v>12</v>
      </c>
      <c r="G102">
        <v>0</v>
      </c>
      <c r="H102" t="s">
        <v>19447</v>
      </c>
      <c r="I102" t="s">
        <v>19447</v>
      </c>
      <c r="J102">
        <v>10</v>
      </c>
      <c r="L102" t="s">
        <v>2709</v>
      </c>
      <c r="M102">
        <v>2076000</v>
      </c>
      <c r="O102" t="s">
        <v>19900</v>
      </c>
      <c r="P102" t="s">
        <v>19903</v>
      </c>
      <c r="Q102" t="s">
        <v>19900</v>
      </c>
      <c r="R102" t="s">
        <v>19447</v>
      </c>
      <c r="S102" t="s">
        <v>19447</v>
      </c>
      <c r="T102" t="s">
        <v>19904</v>
      </c>
      <c r="W102" s="50">
        <v>30049099</v>
      </c>
      <c r="X102" s="50">
        <f>VLOOKUP(PISCOFINS!$W102,PISCOFINS!$C$3:$J$10518,7,0)</f>
        <v>2.1</v>
      </c>
    </row>
    <row r="103" spans="2:24" x14ac:dyDescent="0.25">
      <c r="B103" t="s">
        <v>2709</v>
      </c>
      <c r="C103">
        <v>2081000</v>
      </c>
      <c r="E103">
        <v>0</v>
      </c>
      <c r="F103">
        <v>12</v>
      </c>
      <c r="G103">
        <v>0</v>
      </c>
      <c r="H103">
        <v>7.6</v>
      </c>
      <c r="I103">
        <v>1.65</v>
      </c>
      <c r="J103">
        <v>10</v>
      </c>
      <c r="L103" t="s">
        <v>2709</v>
      </c>
      <c r="M103">
        <v>2081000</v>
      </c>
      <c r="O103" t="s">
        <v>19900</v>
      </c>
      <c r="P103" t="s">
        <v>19903</v>
      </c>
      <c r="Q103" t="s">
        <v>19900</v>
      </c>
      <c r="R103" t="s">
        <v>19905</v>
      </c>
      <c r="S103" t="s">
        <v>19906</v>
      </c>
      <c r="T103" t="s">
        <v>19904</v>
      </c>
      <c r="W103" s="49">
        <v>30049099</v>
      </c>
      <c r="X103" s="50">
        <f>VLOOKUP(PISCOFINS!$W103,PISCOFINS!$C$3:$J$10518,7,0)</f>
        <v>2.1</v>
      </c>
    </row>
    <row r="104" spans="2:24" x14ac:dyDescent="0.25">
      <c r="B104" t="s">
        <v>2709</v>
      </c>
      <c r="C104">
        <v>2083000</v>
      </c>
      <c r="E104">
        <v>0</v>
      </c>
      <c r="F104">
        <v>12</v>
      </c>
      <c r="G104">
        <v>0</v>
      </c>
      <c r="H104">
        <v>7.6</v>
      </c>
      <c r="I104">
        <v>1.65</v>
      </c>
      <c r="J104">
        <v>10</v>
      </c>
      <c r="L104" t="s">
        <v>2709</v>
      </c>
      <c r="M104">
        <v>2083000</v>
      </c>
      <c r="O104" t="s">
        <v>19900</v>
      </c>
      <c r="P104" t="s">
        <v>19903</v>
      </c>
      <c r="Q104" t="s">
        <v>19900</v>
      </c>
      <c r="R104" t="s">
        <v>19905</v>
      </c>
      <c r="S104" t="s">
        <v>19906</v>
      </c>
      <c r="T104" t="s">
        <v>19904</v>
      </c>
      <c r="W104" s="50">
        <v>30049099</v>
      </c>
      <c r="X104" s="50">
        <f>VLOOKUP(PISCOFINS!$W104,PISCOFINS!$C$3:$J$10518,7,0)</f>
        <v>2.1</v>
      </c>
    </row>
    <row r="105" spans="2:24" x14ac:dyDescent="0.25">
      <c r="B105" t="s">
        <v>2709</v>
      </c>
      <c r="C105">
        <v>2084000</v>
      </c>
      <c r="E105">
        <v>0</v>
      </c>
      <c r="F105">
        <v>12</v>
      </c>
      <c r="G105">
        <v>0</v>
      </c>
      <c r="H105">
        <v>7.6</v>
      </c>
      <c r="I105">
        <v>1.65</v>
      </c>
      <c r="J105">
        <v>10</v>
      </c>
      <c r="L105" t="s">
        <v>2709</v>
      </c>
      <c r="M105">
        <v>2084000</v>
      </c>
      <c r="O105" t="s">
        <v>19900</v>
      </c>
      <c r="P105" t="s">
        <v>19903</v>
      </c>
      <c r="Q105" t="s">
        <v>19900</v>
      </c>
      <c r="R105" t="s">
        <v>19905</v>
      </c>
      <c r="S105" t="s">
        <v>19906</v>
      </c>
      <c r="T105" t="s">
        <v>19904</v>
      </c>
      <c r="W105" s="49">
        <v>30049099</v>
      </c>
      <c r="X105" s="50">
        <f>VLOOKUP(PISCOFINS!$W105,PISCOFINS!$C$3:$J$10518,7,0)</f>
        <v>2.1</v>
      </c>
    </row>
    <row r="106" spans="2:24" x14ac:dyDescent="0.25">
      <c r="B106" t="s">
        <v>2709</v>
      </c>
      <c r="C106">
        <v>2085000</v>
      </c>
      <c r="E106">
        <v>0</v>
      </c>
      <c r="F106">
        <v>12</v>
      </c>
      <c r="G106">
        <v>0</v>
      </c>
      <c r="H106">
        <v>7.6</v>
      </c>
      <c r="I106">
        <v>1.65</v>
      </c>
      <c r="J106">
        <v>10</v>
      </c>
      <c r="L106" t="s">
        <v>2709</v>
      </c>
      <c r="M106">
        <v>2085000</v>
      </c>
      <c r="O106" t="s">
        <v>19900</v>
      </c>
      <c r="P106" t="s">
        <v>19903</v>
      </c>
      <c r="Q106" t="s">
        <v>19900</v>
      </c>
      <c r="R106" t="s">
        <v>19905</v>
      </c>
      <c r="S106" t="s">
        <v>19906</v>
      </c>
      <c r="T106" t="s">
        <v>19904</v>
      </c>
      <c r="W106" s="50">
        <v>30049099</v>
      </c>
      <c r="X106" s="50">
        <f>VLOOKUP(PISCOFINS!$W106,PISCOFINS!$C$3:$J$10518,7,0)</f>
        <v>2.1</v>
      </c>
    </row>
    <row r="107" spans="2:24" x14ac:dyDescent="0.25">
      <c r="B107" t="s">
        <v>2709</v>
      </c>
      <c r="C107">
        <v>2086000</v>
      </c>
      <c r="E107">
        <v>0</v>
      </c>
      <c r="F107">
        <v>12</v>
      </c>
      <c r="G107">
        <v>0</v>
      </c>
      <c r="H107">
        <v>7.6</v>
      </c>
      <c r="I107">
        <v>1.65</v>
      </c>
      <c r="J107">
        <v>10</v>
      </c>
      <c r="L107" t="s">
        <v>2709</v>
      </c>
      <c r="M107">
        <v>2086000</v>
      </c>
      <c r="O107" t="s">
        <v>19900</v>
      </c>
      <c r="P107" t="s">
        <v>19903</v>
      </c>
      <c r="Q107" t="s">
        <v>19900</v>
      </c>
      <c r="R107" t="s">
        <v>19905</v>
      </c>
      <c r="S107" t="s">
        <v>19906</v>
      </c>
      <c r="T107" t="s">
        <v>19904</v>
      </c>
      <c r="W107" s="49">
        <v>30049099</v>
      </c>
      <c r="X107" s="50">
        <f>VLOOKUP(PISCOFINS!$W107,PISCOFINS!$C$3:$J$10518,7,0)</f>
        <v>2.1</v>
      </c>
    </row>
    <row r="108" spans="2:24" x14ac:dyDescent="0.25">
      <c r="B108" t="s">
        <v>2709</v>
      </c>
      <c r="C108">
        <v>2089000</v>
      </c>
      <c r="E108">
        <v>0</v>
      </c>
      <c r="F108">
        <v>0</v>
      </c>
      <c r="G108">
        <v>0</v>
      </c>
      <c r="H108">
        <v>7.6</v>
      </c>
      <c r="I108">
        <v>1.65</v>
      </c>
      <c r="J108">
        <v>10</v>
      </c>
      <c r="L108" t="s">
        <v>2709</v>
      </c>
      <c r="M108">
        <v>2089000</v>
      </c>
      <c r="O108" t="s">
        <v>19900</v>
      </c>
      <c r="P108" t="s">
        <v>19900</v>
      </c>
      <c r="Q108" t="s">
        <v>19900</v>
      </c>
      <c r="R108" t="s">
        <v>19905</v>
      </c>
      <c r="S108" t="s">
        <v>19906</v>
      </c>
      <c r="T108" t="s">
        <v>19904</v>
      </c>
      <c r="W108" s="50">
        <v>30049099</v>
      </c>
      <c r="X108" s="50">
        <f>VLOOKUP(PISCOFINS!$W108,PISCOFINS!$C$3:$J$10518,7,0)</f>
        <v>2.1</v>
      </c>
    </row>
    <row r="109" spans="2:24" x14ac:dyDescent="0.25">
      <c r="B109" t="s">
        <v>2709</v>
      </c>
      <c r="C109">
        <v>2091011</v>
      </c>
      <c r="E109">
        <v>0</v>
      </c>
      <c r="F109">
        <v>0</v>
      </c>
      <c r="G109">
        <v>0</v>
      </c>
      <c r="H109" t="s">
        <v>19447</v>
      </c>
      <c r="I109" t="s">
        <v>19447</v>
      </c>
      <c r="J109">
        <v>6</v>
      </c>
      <c r="L109" t="s">
        <v>2709</v>
      </c>
      <c r="M109">
        <v>2091011</v>
      </c>
      <c r="O109" t="s">
        <v>19900</v>
      </c>
      <c r="P109" t="s">
        <v>19900</v>
      </c>
      <c r="Q109" t="s">
        <v>19900</v>
      </c>
      <c r="R109" t="s">
        <v>19447</v>
      </c>
      <c r="S109" t="s">
        <v>19447</v>
      </c>
      <c r="T109" t="s">
        <v>19907</v>
      </c>
      <c r="W109" s="49">
        <v>30049099</v>
      </c>
      <c r="X109" s="50">
        <f>VLOOKUP(PISCOFINS!$W109,PISCOFINS!$C$3:$J$10518,7,0)</f>
        <v>2.1</v>
      </c>
    </row>
    <row r="110" spans="2:24" x14ac:dyDescent="0.25">
      <c r="B110" t="s">
        <v>2709</v>
      </c>
      <c r="C110">
        <v>2091019</v>
      </c>
      <c r="E110">
        <v>0</v>
      </c>
      <c r="F110">
        <v>12</v>
      </c>
      <c r="G110">
        <v>0</v>
      </c>
      <c r="H110" t="s">
        <v>19447</v>
      </c>
      <c r="I110" t="s">
        <v>19447</v>
      </c>
      <c r="J110">
        <v>6</v>
      </c>
      <c r="L110" t="s">
        <v>2709</v>
      </c>
      <c r="M110">
        <v>2091019</v>
      </c>
      <c r="O110" t="s">
        <v>19900</v>
      </c>
      <c r="P110" t="s">
        <v>19903</v>
      </c>
      <c r="Q110" t="s">
        <v>19900</v>
      </c>
      <c r="R110" t="s">
        <v>19447</v>
      </c>
      <c r="S110" t="s">
        <v>19447</v>
      </c>
      <c r="T110" t="s">
        <v>19907</v>
      </c>
      <c r="W110" s="50">
        <v>30049099</v>
      </c>
      <c r="X110" s="50">
        <f>VLOOKUP(PISCOFINS!$W110,PISCOFINS!$C$3:$J$10518,7,0)</f>
        <v>2.1</v>
      </c>
    </row>
    <row r="111" spans="2:24" x14ac:dyDescent="0.25">
      <c r="B111" t="s">
        <v>2709</v>
      </c>
      <c r="C111">
        <v>2091021</v>
      </c>
      <c r="E111">
        <v>0</v>
      </c>
      <c r="F111">
        <v>12</v>
      </c>
      <c r="G111">
        <v>0</v>
      </c>
      <c r="H111" t="s">
        <v>19447</v>
      </c>
      <c r="I111" t="s">
        <v>19447</v>
      </c>
      <c r="J111">
        <v>6</v>
      </c>
      <c r="L111" t="s">
        <v>2709</v>
      </c>
      <c r="M111">
        <v>2091021</v>
      </c>
      <c r="O111" t="s">
        <v>19900</v>
      </c>
      <c r="P111" t="s">
        <v>19903</v>
      </c>
      <c r="Q111" t="s">
        <v>19900</v>
      </c>
      <c r="R111" t="s">
        <v>19447</v>
      </c>
      <c r="S111" t="s">
        <v>19447</v>
      </c>
      <c r="T111" t="s">
        <v>19907</v>
      </c>
      <c r="W111" s="49">
        <v>30049099</v>
      </c>
      <c r="X111" s="50">
        <f>VLOOKUP(PISCOFINS!$W111,PISCOFINS!$C$3:$J$10518,7,0)</f>
        <v>2.1</v>
      </c>
    </row>
    <row r="112" spans="2:24" x14ac:dyDescent="0.25">
      <c r="B112" t="s">
        <v>2709</v>
      </c>
      <c r="C112">
        <v>2091029</v>
      </c>
      <c r="E112">
        <v>0</v>
      </c>
      <c r="F112">
        <v>12</v>
      </c>
      <c r="G112">
        <v>0</v>
      </c>
      <c r="H112" t="s">
        <v>19447</v>
      </c>
      <c r="I112" t="s">
        <v>19447</v>
      </c>
      <c r="J112">
        <v>6</v>
      </c>
      <c r="L112" t="s">
        <v>2709</v>
      </c>
      <c r="M112">
        <v>2091029</v>
      </c>
      <c r="O112" t="s">
        <v>19900</v>
      </c>
      <c r="P112" t="s">
        <v>19903</v>
      </c>
      <c r="Q112" t="s">
        <v>19900</v>
      </c>
      <c r="R112" t="s">
        <v>19447</v>
      </c>
      <c r="S112" t="s">
        <v>19447</v>
      </c>
      <c r="T112" t="s">
        <v>19907</v>
      </c>
      <c r="W112" s="50">
        <v>30049099</v>
      </c>
      <c r="X112" s="50">
        <f>VLOOKUP(PISCOFINS!$W112,PISCOFINS!$C$3:$J$10518,7,0)</f>
        <v>2.1</v>
      </c>
    </row>
    <row r="113" spans="2:24" x14ac:dyDescent="0.25">
      <c r="B113" t="s">
        <v>2709</v>
      </c>
      <c r="C113">
        <v>2099000</v>
      </c>
      <c r="E113">
        <v>0</v>
      </c>
      <c r="F113">
        <v>12</v>
      </c>
      <c r="G113">
        <v>0</v>
      </c>
      <c r="H113" t="s">
        <v>19447</v>
      </c>
      <c r="I113" t="s">
        <v>19447</v>
      </c>
      <c r="J113">
        <v>6</v>
      </c>
      <c r="L113" t="s">
        <v>2709</v>
      </c>
      <c r="M113">
        <v>2099000</v>
      </c>
      <c r="O113" t="s">
        <v>19900</v>
      </c>
      <c r="P113" t="s">
        <v>19903</v>
      </c>
      <c r="Q113" t="s">
        <v>19900</v>
      </c>
      <c r="R113" t="s">
        <v>19447</v>
      </c>
      <c r="S113" t="s">
        <v>19447</v>
      </c>
      <c r="T113" t="s">
        <v>19907</v>
      </c>
      <c r="W113" s="49">
        <v>30049099</v>
      </c>
      <c r="X113" s="50">
        <f>VLOOKUP(PISCOFINS!$W113,PISCOFINS!$C$3:$J$10518,7,0)</f>
        <v>2.1</v>
      </c>
    </row>
    <row r="114" spans="2:24" x14ac:dyDescent="0.25">
      <c r="B114" t="s">
        <v>2709</v>
      </c>
      <c r="C114">
        <v>2101100</v>
      </c>
      <c r="E114">
        <v>0</v>
      </c>
      <c r="F114">
        <v>0</v>
      </c>
      <c r="G114">
        <v>0</v>
      </c>
      <c r="H114" t="s">
        <v>19447</v>
      </c>
      <c r="I114" t="s">
        <v>19447</v>
      </c>
      <c r="J114">
        <v>10</v>
      </c>
      <c r="L114" t="s">
        <v>2709</v>
      </c>
      <c r="M114">
        <v>2101100</v>
      </c>
      <c r="O114" t="s">
        <v>19900</v>
      </c>
      <c r="P114" t="s">
        <v>19900</v>
      </c>
      <c r="Q114" t="s">
        <v>19900</v>
      </c>
      <c r="R114" t="s">
        <v>19447</v>
      </c>
      <c r="S114" t="s">
        <v>19447</v>
      </c>
      <c r="T114" t="s">
        <v>19904</v>
      </c>
      <c r="W114" s="50">
        <v>30049099</v>
      </c>
      <c r="X114" s="50">
        <f>VLOOKUP(PISCOFINS!$W114,PISCOFINS!$C$3:$J$10518,7,0)</f>
        <v>2.1</v>
      </c>
    </row>
    <row r="115" spans="2:24" x14ac:dyDescent="0.25">
      <c r="B115" t="s">
        <v>2709</v>
      </c>
      <c r="C115">
        <v>2101200</v>
      </c>
      <c r="E115">
        <v>0</v>
      </c>
      <c r="F115">
        <v>0</v>
      </c>
      <c r="G115">
        <v>0</v>
      </c>
      <c r="H115" t="s">
        <v>19447</v>
      </c>
      <c r="I115" t="s">
        <v>19447</v>
      </c>
      <c r="J115">
        <v>10</v>
      </c>
      <c r="L115" t="s">
        <v>2709</v>
      </c>
      <c r="M115">
        <v>2101200</v>
      </c>
      <c r="O115" t="s">
        <v>19900</v>
      </c>
      <c r="P115" t="s">
        <v>19900</v>
      </c>
      <c r="Q115" t="s">
        <v>19900</v>
      </c>
      <c r="R115" t="s">
        <v>19447</v>
      </c>
      <c r="S115" t="s">
        <v>19447</v>
      </c>
      <c r="T115" t="s">
        <v>19904</v>
      </c>
      <c r="W115" s="49">
        <v>30049099</v>
      </c>
      <c r="X115" s="50">
        <f>VLOOKUP(PISCOFINS!$W115,PISCOFINS!$C$3:$J$10518,7,0)</f>
        <v>2.1</v>
      </c>
    </row>
    <row r="116" spans="2:24" x14ac:dyDescent="0.25">
      <c r="B116" t="s">
        <v>2709</v>
      </c>
      <c r="C116">
        <v>2101900</v>
      </c>
      <c r="E116">
        <v>0</v>
      </c>
      <c r="F116">
        <v>0</v>
      </c>
      <c r="G116">
        <v>0</v>
      </c>
      <c r="H116" t="s">
        <v>19447</v>
      </c>
      <c r="I116" t="s">
        <v>19447</v>
      </c>
      <c r="J116">
        <v>10</v>
      </c>
      <c r="L116" t="s">
        <v>2709</v>
      </c>
      <c r="M116">
        <v>2101900</v>
      </c>
      <c r="O116" t="s">
        <v>19900</v>
      </c>
      <c r="P116" t="s">
        <v>19900</v>
      </c>
      <c r="Q116" t="s">
        <v>19900</v>
      </c>
      <c r="R116" t="s">
        <v>19447</v>
      </c>
      <c r="S116" t="s">
        <v>19447</v>
      </c>
      <c r="T116" t="s">
        <v>19904</v>
      </c>
      <c r="W116" s="50">
        <v>30049099</v>
      </c>
      <c r="X116" s="50">
        <f>VLOOKUP(PISCOFINS!$W116,PISCOFINS!$C$3:$J$10518,7,0)</f>
        <v>2.1</v>
      </c>
    </row>
    <row r="117" spans="2:24" x14ac:dyDescent="0.25">
      <c r="B117" t="s">
        <v>2709</v>
      </c>
      <c r="C117">
        <v>2102000</v>
      </c>
      <c r="E117">
        <v>0</v>
      </c>
      <c r="F117">
        <v>7</v>
      </c>
      <c r="G117">
        <v>0</v>
      </c>
      <c r="H117" t="s">
        <v>19447</v>
      </c>
      <c r="I117" t="s">
        <v>19447</v>
      </c>
      <c r="J117">
        <v>10</v>
      </c>
      <c r="L117" t="s">
        <v>2709</v>
      </c>
      <c r="M117">
        <v>2102000</v>
      </c>
      <c r="O117" t="s">
        <v>19900</v>
      </c>
      <c r="P117" t="s">
        <v>19908</v>
      </c>
      <c r="Q117" t="s">
        <v>19900</v>
      </c>
      <c r="R117" t="s">
        <v>19447</v>
      </c>
      <c r="S117" t="s">
        <v>19447</v>
      </c>
      <c r="T117" t="s">
        <v>19904</v>
      </c>
      <c r="W117" s="49">
        <v>30049099</v>
      </c>
      <c r="X117" s="50">
        <f>VLOOKUP(PISCOFINS!$W117,PISCOFINS!$C$3:$J$10518,7,0)</f>
        <v>2.1</v>
      </c>
    </row>
    <row r="118" spans="2:24" x14ac:dyDescent="0.25">
      <c r="B118" t="s">
        <v>2709</v>
      </c>
      <c r="C118">
        <v>2109100</v>
      </c>
      <c r="E118">
        <v>0</v>
      </c>
      <c r="F118">
        <v>0</v>
      </c>
      <c r="G118">
        <v>0</v>
      </c>
      <c r="H118">
        <v>7.6</v>
      </c>
      <c r="I118">
        <v>1.65</v>
      </c>
      <c r="J118">
        <v>10</v>
      </c>
      <c r="L118" t="s">
        <v>2709</v>
      </c>
      <c r="M118">
        <v>2109100</v>
      </c>
      <c r="O118" t="s">
        <v>19900</v>
      </c>
      <c r="P118" t="s">
        <v>19900</v>
      </c>
      <c r="Q118" t="s">
        <v>19900</v>
      </c>
      <c r="R118" t="s">
        <v>19905</v>
      </c>
      <c r="S118" t="s">
        <v>19906</v>
      </c>
      <c r="T118" t="s">
        <v>19904</v>
      </c>
      <c r="W118" s="50">
        <v>30049099</v>
      </c>
      <c r="X118" s="50">
        <f>VLOOKUP(PISCOFINS!$W118,PISCOFINS!$C$3:$J$10518,7,0)</f>
        <v>2.1</v>
      </c>
    </row>
    <row r="119" spans="2:24" x14ac:dyDescent="0.25">
      <c r="B119" t="s">
        <v>2709</v>
      </c>
      <c r="C119">
        <v>2109100</v>
      </c>
      <c r="D119">
        <v>1</v>
      </c>
      <c r="E119" t="s">
        <v>19447</v>
      </c>
      <c r="F119">
        <v>18</v>
      </c>
      <c r="G119">
        <v>0</v>
      </c>
      <c r="H119">
        <v>7.6</v>
      </c>
      <c r="I119">
        <v>1.65</v>
      </c>
      <c r="J119">
        <v>10</v>
      </c>
      <c r="L119" t="s">
        <v>2709</v>
      </c>
      <c r="M119">
        <v>2109100</v>
      </c>
      <c r="N119">
        <v>1</v>
      </c>
      <c r="O119" t="s">
        <v>19447</v>
      </c>
      <c r="P119" t="s">
        <v>19899</v>
      </c>
      <c r="Q119" t="s">
        <v>19900</v>
      </c>
      <c r="R119" t="s">
        <v>19905</v>
      </c>
      <c r="S119" t="s">
        <v>19906</v>
      </c>
      <c r="T119" t="s">
        <v>19904</v>
      </c>
      <c r="W119" s="49">
        <v>30049099</v>
      </c>
      <c r="X119" s="50">
        <f>VLOOKUP(PISCOFINS!$W119,PISCOFINS!$C$3:$J$10518,7,0)</f>
        <v>2.1</v>
      </c>
    </row>
    <row r="120" spans="2:24" x14ac:dyDescent="0.25">
      <c r="B120" t="s">
        <v>2709</v>
      </c>
      <c r="C120">
        <v>2109200</v>
      </c>
      <c r="E120">
        <v>0</v>
      </c>
      <c r="F120">
        <v>0</v>
      </c>
      <c r="G120">
        <v>0</v>
      </c>
      <c r="H120">
        <v>7.6</v>
      </c>
      <c r="I120">
        <v>1.65</v>
      </c>
      <c r="J120">
        <v>10</v>
      </c>
      <c r="L120" t="s">
        <v>2709</v>
      </c>
      <c r="M120">
        <v>2109200</v>
      </c>
      <c r="O120" t="s">
        <v>19900</v>
      </c>
      <c r="P120" t="s">
        <v>19900</v>
      </c>
      <c r="Q120" t="s">
        <v>19900</v>
      </c>
      <c r="R120" t="s">
        <v>19905</v>
      </c>
      <c r="S120" t="s">
        <v>19906</v>
      </c>
      <c r="T120" t="s">
        <v>19904</v>
      </c>
      <c r="W120" s="50">
        <v>30049099</v>
      </c>
      <c r="X120" s="50">
        <f>VLOOKUP(PISCOFINS!$W120,PISCOFINS!$C$3:$J$10518,7,0)</f>
        <v>2.1</v>
      </c>
    </row>
    <row r="121" spans="2:24" x14ac:dyDescent="0.25">
      <c r="B121" t="s">
        <v>2709</v>
      </c>
      <c r="C121">
        <v>2109200</v>
      </c>
      <c r="D121">
        <v>1</v>
      </c>
      <c r="E121" t="s">
        <v>19447</v>
      </c>
      <c r="F121">
        <v>18</v>
      </c>
      <c r="G121">
        <v>0</v>
      </c>
      <c r="H121">
        <v>7.6</v>
      </c>
      <c r="I121">
        <v>1.65</v>
      </c>
      <c r="J121">
        <v>10</v>
      </c>
      <c r="L121" t="s">
        <v>2709</v>
      </c>
      <c r="M121">
        <v>2109200</v>
      </c>
      <c r="N121">
        <v>1</v>
      </c>
      <c r="O121" t="s">
        <v>19447</v>
      </c>
      <c r="P121" t="s">
        <v>19899</v>
      </c>
      <c r="Q121" t="s">
        <v>19900</v>
      </c>
      <c r="R121" t="s">
        <v>19905</v>
      </c>
      <c r="S121" t="s">
        <v>19906</v>
      </c>
      <c r="T121" t="s">
        <v>19904</v>
      </c>
      <c r="W121" s="49">
        <v>30049099</v>
      </c>
      <c r="X121" s="50">
        <f>VLOOKUP(PISCOFINS!$W121,PISCOFINS!$C$3:$J$10518,7,0)</f>
        <v>2.1</v>
      </c>
    </row>
    <row r="122" spans="2:24" x14ac:dyDescent="0.25">
      <c r="B122" t="s">
        <v>2709</v>
      </c>
      <c r="C122">
        <v>2109300</v>
      </c>
      <c r="E122">
        <v>0</v>
      </c>
      <c r="F122">
        <v>0</v>
      </c>
      <c r="G122">
        <v>0</v>
      </c>
      <c r="H122">
        <v>7.6</v>
      </c>
      <c r="I122">
        <v>1.65</v>
      </c>
      <c r="J122">
        <v>10</v>
      </c>
      <c r="L122" t="s">
        <v>2709</v>
      </c>
      <c r="M122">
        <v>2109300</v>
      </c>
      <c r="O122" t="s">
        <v>19900</v>
      </c>
      <c r="P122" t="s">
        <v>19900</v>
      </c>
      <c r="Q122" t="s">
        <v>19900</v>
      </c>
      <c r="R122" t="s">
        <v>19905</v>
      </c>
      <c r="S122" t="s">
        <v>19906</v>
      </c>
      <c r="T122" t="s">
        <v>19904</v>
      </c>
      <c r="W122" s="50">
        <v>30049099</v>
      </c>
      <c r="X122" s="50">
        <f>VLOOKUP(PISCOFINS!$W122,PISCOFINS!$C$3:$J$10518,7,0)</f>
        <v>2.1</v>
      </c>
    </row>
    <row r="123" spans="2:24" x14ac:dyDescent="0.25">
      <c r="B123" t="s">
        <v>2709</v>
      </c>
      <c r="C123">
        <v>2109300</v>
      </c>
      <c r="D123">
        <v>1</v>
      </c>
      <c r="E123" t="s">
        <v>19447</v>
      </c>
      <c r="F123">
        <v>18</v>
      </c>
      <c r="G123">
        <v>0</v>
      </c>
      <c r="H123">
        <v>7.6</v>
      </c>
      <c r="I123">
        <v>1.65</v>
      </c>
      <c r="J123">
        <v>10</v>
      </c>
      <c r="L123" t="s">
        <v>2709</v>
      </c>
      <c r="M123">
        <v>2109300</v>
      </c>
      <c r="N123">
        <v>1</v>
      </c>
      <c r="O123" t="s">
        <v>19447</v>
      </c>
      <c r="P123" t="s">
        <v>19899</v>
      </c>
      <c r="Q123" t="s">
        <v>19900</v>
      </c>
      <c r="R123" t="s">
        <v>19905</v>
      </c>
      <c r="S123" t="s">
        <v>19906</v>
      </c>
      <c r="T123" t="s">
        <v>19904</v>
      </c>
      <c r="W123" s="49">
        <v>30049099</v>
      </c>
      <c r="X123" s="50">
        <f>VLOOKUP(PISCOFINS!$W123,PISCOFINS!$C$3:$J$10518,7,0)</f>
        <v>2.1</v>
      </c>
    </row>
    <row r="124" spans="2:24" x14ac:dyDescent="0.25">
      <c r="B124" t="s">
        <v>2709</v>
      </c>
      <c r="C124">
        <v>2109900</v>
      </c>
      <c r="E124">
        <v>0</v>
      </c>
      <c r="F124">
        <v>0</v>
      </c>
      <c r="G124">
        <v>0</v>
      </c>
      <c r="H124" t="s">
        <v>19447</v>
      </c>
      <c r="I124" t="s">
        <v>19447</v>
      </c>
      <c r="J124">
        <v>10</v>
      </c>
      <c r="L124" t="s">
        <v>2709</v>
      </c>
      <c r="M124">
        <v>2109900</v>
      </c>
      <c r="O124" t="s">
        <v>19900</v>
      </c>
      <c r="P124" t="s">
        <v>19900</v>
      </c>
      <c r="Q124" t="s">
        <v>19900</v>
      </c>
      <c r="R124" t="s">
        <v>19447</v>
      </c>
      <c r="S124" t="s">
        <v>19447</v>
      </c>
      <c r="T124" t="s">
        <v>19904</v>
      </c>
      <c r="W124" s="50">
        <v>30049099</v>
      </c>
      <c r="X124" s="50">
        <f>VLOOKUP(PISCOFINS!$W124,PISCOFINS!$C$3:$J$10518,7,0)</f>
        <v>2.1</v>
      </c>
    </row>
    <row r="125" spans="2:24" x14ac:dyDescent="0.25">
      <c r="B125" t="s">
        <v>2709</v>
      </c>
      <c r="C125">
        <v>2109900</v>
      </c>
      <c r="D125">
        <v>1</v>
      </c>
      <c r="E125" t="s">
        <v>19447</v>
      </c>
      <c r="F125">
        <v>18</v>
      </c>
      <c r="G125">
        <v>0</v>
      </c>
      <c r="H125">
        <v>7.6</v>
      </c>
      <c r="I125">
        <v>1.65</v>
      </c>
      <c r="J125">
        <v>10</v>
      </c>
      <c r="L125" t="s">
        <v>2709</v>
      </c>
      <c r="M125">
        <v>2109900</v>
      </c>
      <c r="N125">
        <v>1</v>
      </c>
      <c r="O125" t="s">
        <v>19447</v>
      </c>
      <c r="P125" t="s">
        <v>19899</v>
      </c>
      <c r="Q125" t="s">
        <v>19900</v>
      </c>
      <c r="R125" t="s">
        <v>19905</v>
      </c>
      <c r="S125" t="s">
        <v>19906</v>
      </c>
      <c r="T125" t="s">
        <v>19904</v>
      </c>
      <c r="W125" s="49">
        <v>30049099</v>
      </c>
      <c r="X125" s="50">
        <f>VLOOKUP(PISCOFINS!$W125,PISCOFINS!$C$3:$J$10518,7,0)</f>
        <v>2.1</v>
      </c>
    </row>
    <row r="126" spans="2:24" x14ac:dyDescent="0.25">
      <c r="B126" t="s">
        <v>2709</v>
      </c>
      <c r="C126">
        <v>2109900</v>
      </c>
      <c r="D126">
        <v>2</v>
      </c>
      <c r="E126" t="s">
        <v>19447</v>
      </c>
      <c r="F126">
        <v>18</v>
      </c>
      <c r="G126">
        <v>0</v>
      </c>
      <c r="H126">
        <v>7.6</v>
      </c>
      <c r="I126">
        <v>1.65</v>
      </c>
      <c r="J126">
        <v>10</v>
      </c>
      <c r="L126" t="s">
        <v>2709</v>
      </c>
      <c r="M126">
        <v>2109900</v>
      </c>
      <c r="N126">
        <v>2</v>
      </c>
      <c r="O126" t="s">
        <v>19447</v>
      </c>
      <c r="P126" t="s">
        <v>19899</v>
      </c>
      <c r="Q126" t="s">
        <v>19900</v>
      </c>
      <c r="R126" t="s">
        <v>19905</v>
      </c>
      <c r="S126" t="s">
        <v>19906</v>
      </c>
      <c r="T126" t="s">
        <v>19904</v>
      </c>
      <c r="W126" s="50">
        <v>30049079</v>
      </c>
      <c r="X126" s="50">
        <f>VLOOKUP(PISCOFINS!$W126,PISCOFINS!$C$3:$J$10518,7,0)</f>
        <v>2.1</v>
      </c>
    </row>
    <row r="127" spans="2:24" x14ac:dyDescent="0.25">
      <c r="B127" t="s">
        <v>2709</v>
      </c>
      <c r="C127">
        <v>3011110</v>
      </c>
      <c r="E127">
        <v>0</v>
      </c>
      <c r="F127">
        <v>7</v>
      </c>
      <c r="G127">
        <v>0</v>
      </c>
      <c r="H127">
        <v>7.6</v>
      </c>
      <c r="I127">
        <v>1.65</v>
      </c>
      <c r="J127">
        <v>10</v>
      </c>
      <c r="L127" t="s">
        <v>2709</v>
      </c>
      <c r="M127">
        <v>3011110</v>
      </c>
      <c r="O127" t="s">
        <v>19900</v>
      </c>
      <c r="P127" t="s">
        <v>19908</v>
      </c>
      <c r="Q127" t="s">
        <v>19900</v>
      </c>
      <c r="R127" t="s">
        <v>19905</v>
      </c>
      <c r="S127" t="s">
        <v>19906</v>
      </c>
      <c r="T127" t="s">
        <v>19904</v>
      </c>
      <c r="W127" s="49">
        <v>30049079</v>
      </c>
      <c r="X127" s="50">
        <f>VLOOKUP(PISCOFINS!$W127,PISCOFINS!$C$3:$J$10518,7,0)</f>
        <v>2.1</v>
      </c>
    </row>
    <row r="128" spans="2:24" x14ac:dyDescent="0.25">
      <c r="B128" t="s">
        <v>2709</v>
      </c>
      <c r="C128">
        <v>3011190</v>
      </c>
      <c r="E128">
        <v>0</v>
      </c>
      <c r="F128">
        <v>7</v>
      </c>
      <c r="G128">
        <v>0</v>
      </c>
      <c r="H128">
        <v>7.6</v>
      </c>
      <c r="I128">
        <v>1.65</v>
      </c>
      <c r="J128">
        <v>10</v>
      </c>
      <c r="L128" t="s">
        <v>2709</v>
      </c>
      <c r="M128">
        <v>3011190</v>
      </c>
      <c r="O128" t="s">
        <v>19900</v>
      </c>
      <c r="P128" t="s">
        <v>19908</v>
      </c>
      <c r="Q128" t="s">
        <v>19900</v>
      </c>
      <c r="R128" t="s">
        <v>19905</v>
      </c>
      <c r="S128" t="s">
        <v>19906</v>
      </c>
      <c r="T128" t="s">
        <v>19904</v>
      </c>
      <c r="W128" s="50">
        <v>30049079</v>
      </c>
      <c r="X128" s="50">
        <f>VLOOKUP(PISCOFINS!$W128,PISCOFINS!$C$3:$J$10518,7,0)</f>
        <v>2.1</v>
      </c>
    </row>
    <row r="129" spans="2:24" x14ac:dyDescent="0.25">
      <c r="B129" t="s">
        <v>2709</v>
      </c>
      <c r="C129">
        <v>3011900</v>
      </c>
      <c r="E129">
        <v>0</v>
      </c>
      <c r="F129">
        <v>7</v>
      </c>
      <c r="G129">
        <v>0</v>
      </c>
      <c r="H129">
        <v>7.6</v>
      </c>
      <c r="I129">
        <v>1.65</v>
      </c>
      <c r="J129">
        <v>10</v>
      </c>
      <c r="L129" t="s">
        <v>2709</v>
      </c>
      <c r="M129">
        <v>3011900</v>
      </c>
      <c r="O129" t="s">
        <v>19900</v>
      </c>
      <c r="P129" t="s">
        <v>19908</v>
      </c>
      <c r="Q129" t="s">
        <v>19900</v>
      </c>
      <c r="R129" t="s">
        <v>19905</v>
      </c>
      <c r="S129" t="s">
        <v>19906</v>
      </c>
      <c r="T129" t="s">
        <v>19904</v>
      </c>
      <c r="W129" s="49">
        <v>30049079</v>
      </c>
      <c r="X129" s="50">
        <f>VLOOKUP(PISCOFINS!$W129,PISCOFINS!$C$3:$J$10518,7,0)</f>
        <v>2.1</v>
      </c>
    </row>
    <row r="130" spans="2:24" x14ac:dyDescent="0.25">
      <c r="B130" t="s">
        <v>2709</v>
      </c>
      <c r="C130">
        <v>3019110</v>
      </c>
      <c r="E130">
        <v>0</v>
      </c>
      <c r="F130">
        <v>7</v>
      </c>
      <c r="G130">
        <v>0</v>
      </c>
      <c r="H130">
        <v>7.6</v>
      </c>
      <c r="I130">
        <v>1.65</v>
      </c>
      <c r="J130">
        <v>0</v>
      </c>
      <c r="L130" t="s">
        <v>2709</v>
      </c>
      <c r="M130">
        <v>3019110</v>
      </c>
      <c r="O130" t="s">
        <v>19900</v>
      </c>
      <c r="P130" t="s">
        <v>19908</v>
      </c>
      <c r="Q130" t="s">
        <v>19900</v>
      </c>
      <c r="R130" t="s">
        <v>19905</v>
      </c>
      <c r="S130" t="s">
        <v>19906</v>
      </c>
      <c r="T130" t="s">
        <v>19900</v>
      </c>
      <c r="W130" s="50">
        <v>30049079</v>
      </c>
      <c r="X130" s="50">
        <f>VLOOKUP(PISCOFINS!$W130,PISCOFINS!$C$3:$J$10518,7,0)</f>
        <v>2.1</v>
      </c>
    </row>
    <row r="131" spans="2:24" x14ac:dyDescent="0.25">
      <c r="B131" t="s">
        <v>2709</v>
      </c>
      <c r="C131">
        <v>3019190</v>
      </c>
      <c r="E131">
        <v>0</v>
      </c>
      <c r="F131">
        <v>7</v>
      </c>
      <c r="G131">
        <v>0</v>
      </c>
      <c r="H131">
        <v>7.6</v>
      </c>
      <c r="I131">
        <v>1.65</v>
      </c>
      <c r="J131">
        <v>10</v>
      </c>
      <c r="L131" t="s">
        <v>2709</v>
      </c>
      <c r="M131">
        <v>3019190</v>
      </c>
      <c r="O131" t="s">
        <v>19900</v>
      </c>
      <c r="P131" t="s">
        <v>19908</v>
      </c>
      <c r="Q131" t="s">
        <v>19900</v>
      </c>
      <c r="R131" t="s">
        <v>19905</v>
      </c>
      <c r="S131" t="s">
        <v>19906</v>
      </c>
      <c r="T131" t="s">
        <v>19904</v>
      </c>
      <c r="W131" s="49">
        <v>30049079</v>
      </c>
      <c r="X131" s="50">
        <f>VLOOKUP(PISCOFINS!$W131,PISCOFINS!$C$3:$J$10518,7,0)</f>
        <v>2.1</v>
      </c>
    </row>
    <row r="132" spans="2:24" x14ac:dyDescent="0.25">
      <c r="B132" t="s">
        <v>2709</v>
      </c>
      <c r="C132">
        <v>3019210</v>
      </c>
      <c r="E132">
        <v>0</v>
      </c>
      <c r="F132">
        <v>7</v>
      </c>
      <c r="G132">
        <v>0</v>
      </c>
      <c r="H132">
        <v>7.6</v>
      </c>
      <c r="I132">
        <v>1.65</v>
      </c>
      <c r="J132">
        <v>0</v>
      </c>
      <c r="L132" t="s">
        <v>2709</v>
      </c>
      <c r="M132">
        <v>3019210</v>
      </c>
      <c r="O132" t="s">
        <v>19900</v>
      </c>
      <c r="P132" t="s">
        <v>19908</v>
      </c>
      <c r="Q132" t="s">
        <v>19900</v>
      </c>
      <c r="R132" t="s">
        <v>19905</v>
      </c>
      <c r="S132" t="s">
        <v>19906</v>
      </c>
      <c r="T132" t="s">
        <v>19900</v>
      </c>
      <c r="W132" s="50">
        <v>30049079</v>
      </c>
      <c r="X132" s="50">
        <f>VLOOKUP(PISCOFINS!$W132,PISCOFINS!$C$3:$J$10518,7,0)</f>
        <v>2.1</v>
      </c>
    </row>
    <row r="133" spans="2:24" x14ac:dyDescent="0.25">
      <c r="B133" t="s">
        <v>2709</v>
      </c>
      <c r="C133">
        <v>3019290</v>
      </c>
      <c r="E133">
        <v>0</v>
      </c>
      <c r="F133">
        <v>7</v>
      </c>
      <c r="G133">
        <v>0</v>
      </c>
      <c r="H133">
        <v>7.6</v>
      </c>
      <c r="I133">
        <v>1.65</v>
      </c>
      <c r="J133">
        <v>10</v>
      </c>
      <c r="L133" t="s">
        <v>2709</v>
      </c>
      <c r="M133">
        <v>3019290</v>
      </c>
      <c r="O133" t="s">
        <v>19900</v>
      </c>
      <c r="P133" t="s">
        <v>19908</v>
      </c>
      <c r="Q133" t="s">
        <v>19900</v>
      </c>
      <c r="R133" t="s">
        <v>19905</v>
      </c>
      <c r="S133" t="s">
        <v>19906</v>
      </c>
      <c r="T133" t="s">
        <v>19904</v>
      </c>
      <c r="W133" s="49">
        <v>30049079</v>
      </c>
      <c r="X133" s="50">
        <f>VLOOKUP(PISCOFINS!$W133,PISCOFINS!$C$3:$J$10518,7,0)</f>
        <v>2.1</v>
      </c>
    </row>
    <row r="134" spans="2:24" x14ac:dyDescent="0.25">
      <c r="B134" t="s">
        <v>2709</v>
      </c>
      <c r="C134">
        <v>3019310</v>
      </c>
      <c r="E134">
        <v>0</v>
      </c>
      <c r="F134">
        <v>7</v>
      </c>
      <c r="G134">
        <v>0</v>
      </c>
      <c r="H134">
        <v>7.6</v>
      </c>
      <c r="I134">
        <v>1.65</v>
      </c>
      <c r="J134">
        <v>0</v>
      </c>
      <c r="L134" t="s">
        <v>2709</v>
      </c>
      <c r="M134">
        <v>3019310</v>
      </c>
      <c r="O134" t="s">
        <v>19900</v>
      </c>
      <c r="P134" t="s">
        <v>19908</v>
      </c>
      <c r="Q134" t="s">
        <v>19900</v>
      </c>
      <c r="R134" t="s">
        <v>19905</v>
      </c>
      <c r="S134" t="s">
        <v>19906</v>
      </c>
      <c r="T134" t="s">
        <v>19900</v>
      </c>
      <c r="W134" s="50">
        <v>30049079</v>
      </c>
      <c r="X134" s="50">
        <f>VLOOKUP(PISCOFINS!$W134,PISCOFINS!$C$3:$J$10518,7,0)</f>
        <v>2.1</v>
      </c>
    </row>
    <row r="135" spans="2:24" x14ac:dyDescent="0.25">
      <c r="B135" t="s">
        <v>2709</v>
      </c>
      <c r="C135">
        <v>3019390</v>
      </c>
      <c r="E135">
        <v>0</v>
      </c>
      <c r="F135">
        <v>7</v>
      </c>
      <c r="G135">
        <v>0</v>
      </c>
      <c r="H135">
        <v>7.6</v>
      </c>
      <c r="I135">
        <v>1.65</v>
      </c>
      <c r="J135">
        <v>10</v>
      </c>
      <c r="L135" t="s">
        <v>2709</v>
      </c>
      <c r="M135">
        <v>3019390</v>
      </c>
      <c r="O135" t="s">
        <v>19900</v>
      </c>
      <c r="P135" t="s">
        <v>19908</v>
      </c>
      <c r="Q135" t="s">
        <v>19900</v>
      </c>
      <c r="R135" t="s">
        <v>19905</v>
      </c>
      <c r="S135" t="s">
        <v>19906</v>
      </c>
      <c r="T135" t="s">
        <v>19904</v>
      </c>
      <c r="W135" s="49">
        <v>30049079</v>
      </c>
      <c r="X135" s="50">
        <f>VLOOKUP(PISCOFINS!$W135,PISCOFINS!$C$3:$J$10518,7,0)</f>
        <v>2.1</v>
      </c>
    </row>
    <row r="136" spans="2:24" x14ac:dyDescent="0.25">
      <c r="B136" t="s">
        <v>2709</v>
      </c>
      <c r="C136">
        <v>3019410</v>
      </c>
      <c r="E136">
        <v>0</v>
      </c>
      <c r="F136">
        <v>7</v>
      </c>
      <c r="G136">
        <v>0</v>
      </c>
      <c r="H136">
        <v>7.6</v>
      </c>
      <c r="I136">
        <v>1.65</v>
      </c>
      <c r="J136">
        <v>0</v>
      </c>
      <c r="L136" t="s">
        <v>2709</v>
      </c>
      <c r="M136">
        <v>3019410</v>
      </c>
      <c r="O136" t="s">
        <v>19900</v>
      </c>
      <c r="P136" t="s">
        <v>19908</v>
      </c>
      <c r="Q136" t="s">
        <v>19900</v>
      </c>
      <c r="R136" t="s">
        <v>19905</v>
      </c>
      <c r="S136" t="s">
        <v>19906</v>
      </c>
      <c r="T136" t="s">
        <v>19900</v>
      </c>
      <c r="W136" s="50">
        <v>30049079</v>
      </c>
      <c r="X136" s="50">
        <f>VLOOKUP(PISCOFINS!$W136,PISCOFINS!$C$3:$J$10518,7,0)</f>
        <v>2.1</v>
      </c>
    </row>
    <row r="137" spans="2:24" x14ac:dyDescent="0.25">
      <c r="B137" t="s">
        <v>2709</v>
      </c>
      <c r="C137">
        <v>3019490</v>
      </c>
      <c r="E137">
        <v>0</v>
      </c>
      <c r="F137">
        <v>7</v>
      </c>
      <c r="G137">
        <v>0</v>
      </c>
      <c r="H137">
        <v>7.6</v>
      </c>
      <c r="I137">
        <v>1.65</v>
      </c>
      <c r="J137">
        <v>10</v>
      </c>
      <c r="L137" t="s">
        <v>2709</v>
      </c>
      <c r="M137">
        <v>3019490</v>
      </c>
      <c r="O137" t="s">
        <v>19900</v>
      </c>
      <c r="P137" t="s">
        <v>19908</v>
      </c>
      <c r="Q137" t="s">
        <v>19900</v>
      </c>
      <c r="R137" t="s">
        <v>19905</v>
      </c>
      <c r="S137" t="s">
        <v>19906</v>
      </c>
      <c r="T137" t="s">
        <v>19904</v>
      </c>
      <c r="W137" s="49">
        <v>30049079</v>
      </c>
      <c r="X137" s="50">
        <f>VLOOKUP(PISCOFINS!$W137,PISCOFINS!$C$3:$J$10518,7,0)</f>
        <v>2.1</v>
      </c>
    </row>
    <row r="138" spans="2:24" x14ac:dyDescent="0.25">
      <c r="B138" t="s">
        <v>2709</v>
      </c>
      <c r="C138">
        <v>3019510</v>
      </c>
      <c r="E138">
        <v>0</v>
      </c>
      <c r="F138">
        <v>7</v>
      </c>
      <c r="G138">
        <v>0</v>
      </c>
      <c r="H138">
        <v>7.6</v>
      </c>
      <c r="I138">
        <v>1.65</v>
      </c>
      <c r="J138">
        <v>0</v>
      </c>
      <c r="L138" t="s">
        <v>2709</v>
      </c>
      <c r="M138">
        <v>3019510</v>
      </c>
      <c r="O138" t="s">
        <v>19900</v>
      </c>
      <c r="P138" t="s">
        <v>19908</v>
      </c>
      <c r="Q138" t="s">
        <v>19900</v>
      </c>
      <c r="R138" t="s">
        <v>19905</v>
      </c>
      <c r="S138" t="s">
        <v>19906</v>
      </c>
      <c r="T138" t="s">
        <v>19900</v>
      </c>
      <c r="W138" s="50">
        <v>30049079</v>
      </c>
      <c r="X138" s="50">
        <f>VLOOKUP(PISCOFINS!$W138,PISCOFINS!$C$3:$J$10518,7,0)</f>
        <v>2.1</v>
      </c>
    </row>
    <row r="139" spans="2:24" x14ac:dyDescent="0.25">
      <c r="B139" t="s">
        <v>2709</v>
      </c>
      <c r="C139">
        <v>3019590</v>
      </c>
      <c r="E139">
        <v>0</v>
      </c>
      <c r="F139">
        <v>7</v>
      </c>
      <c r="G139">
        <v>0</v>
      </c>
      <c r="H139">
        <v>7.6</v>
      </c>
      <c r="I139">
        <v>1.65</v>
      </c>
      <c r="J139">
        <v>10</v>
      </c>
      <c r="L139" t="s">
        <v>2709</v>
      </c>
      <c r="M139">
        <v>3019590</v>
      </c>
      <c r="O139" t="s">
        <v>19900</v>
      </c>
      <c r="P139" t="s">
        <v>19908</v>
      </c>
      <c r="Q139" t="s">
        <v>19900</v>
      </c>
      <c r="R139" t="s">
        <v>19905</v>
      </c>
      <c r="S139" t="s">
        <v>19906</v>
      </c>
      <c r="T139" t="s">
        <v>19904</v>
      </c>
      <c r="W139" s="49">
        <v>30049079</v>
      </c>
      <c r="X139" s="50">
        <f>VLOOKUP(PISCOFINS!$W139,PISCOFINS!$C$3:$J$10518,7,0)</f>
        <v>2.1</v>
      </c>
    </row>
    <row r="140" spans="2:24" x14ac:dyDescent="0.25">
      <c r="B140" t="s">
        <v>2709</v>
      </c>
      <c r="C140">
        <v>3019911</v>
      </c>
      <c r="E140">
        <v>0</v>
      </c>
      <c r="F140">
        <v>7</v>
      </c>
      <c r="G140">
        <v>0</v>
      </c>
      <c r="H140">
        <v>7.6</v>
      </c>
      <c r="I140">
        <v>1.65</v>
      </c>
      <c r="J140">
        <v>0</v>
      </c>
      <c r="L140" t="s">
        <v>2709</v>
      </c>
      <c r="M140">
        <v>3019911</v>
      </c>
      <c r="O140" t="s">
        <v>19900</v>
      </c>
      <c r="P140" t="s">
        <v>19908</v>
      </c>
      <c r="Q140" t="s">
        <v>19900</v>
      </c>
      <c r="R140" t="s">
        <v>19905</v>
      </c>
      <c r="S140" t="s">
        <v>19906</v>
      </c>
      <c r="T140" t="s">
        <v>19900</v>
      </c>
      <c r="W140" s="50">
        <v>30049079</v>
      </c>
      <c r="X140" s="50">
        <f>VLOOKUP(PISCOFINS!$W140,PISCOFINS!$C$3:$J$10518,7,0)</f>
        <v>2.1</v>
      </c>
    </row>
    <row r="141" spans="2:24" x14ac:dyDescent="0.25">
      <c r="B141" t="s">
        <v>2709</v>
      </c>
      <c r="C141">
        <v>3019912</v>
      </c>
      <c r="E141">
        <v>0</v>
      </c>
      <c r="F141">
        <v>7</v>
      </c>
      <c r="G141">
        <v>0</v>
      </c>
      <c r="H141">
        <v>7.6</v>
      </c>
      <c r="I141">
        <v>1.65</v>
      </c>
      <c r="J141">
        <v>0</v>
      </c>
      <c r="L141" t="s">
        <v>2709</v>
      </c>
      <c r="M141">
        <v>3019912</v>
      </c>
      <c r="O141" t="s">
        <v>19900</v>
      </c>
      <c r="P141" t="s">
        <v>19908</v>
      </c>
      <c r="Q141" t="s">
        <v>19900</v>
      </c>
      <c r="R141" t="s">
        <v>19905</v>
      </c>
      <c r="S141" t="s">
        <v>19906</v>
      </c>
      <c r="T141" t="s">
        <v>19900</v>
      </c>
      <c r="W141" s="49">
        <v>30049079</v>
      </c>
      <c r="X141" s="50">
        <f>VLOOKUP(PISCOFINS!$W141,PISCOFINS!$C$3:$J$10518,7,0)</f>
        <v>2.1</v>
      </c>
    </row>
    <row r="142" spans="2:24" x14ac:dyDescent="0.25">
      <c r="B142" t="s">
        <v>2709</v>
      </c>
      <c r="C142">
        <v>3019919</v>
      </c>
      <c r="E142">
        <v>0</v>
      </c>
      <c r="F142">
        <v>7</v>
      </c>
      <c r="G142">
        <v>0</v>
      </c>
      <c r="H142">
        <v>7.6</v>
      </c>
      <c r="I142">
        <v>1.65</v>
      </c>
      <c r="J142">
        <v>0</v>
      </c>
      <c r="L142" t="s">
        <v>2709</v>
      </c>
      <c r="M142">
        <v>3019919</v>
      </c>
      <c r="O142" t="s">
        <v>19900</v>
      </c>
      <c r="P142" t="s">
        <v>19908</v>
      </c>
      <c r="Q142" t="s">
        <v>19900</v>
      </c>
      <c r="R142" t="s">
        <v>19905</v>
      </c>
      <c r="S142" t="s">
        <v>19906</v>
      </c>
      <c r="T142" t="s">
        <v>19900</v>
      </c>
      <c r="W142" s="50">
        <v>30049079</v>
      </c>
      <c r="X142" s="50">
        <f>VLOOKUP(PISCOFINS!$W142,PISCOFINS!$C$3:$J$10518,7,0)</f>
        <v>2.1</v>
      </c>
    </row>
    <row r="143" spans="2:24" x14ac:dyDescent="0.25">
      <c r="B143" t="s">
        <v>2709</v>
      </c>
      <c r="C143">
        <v>3019991</v>
      </c>
      <c r="E143">
        <v>0</v>
      </c>
      <c r="F143">
        <v>7</v>
      </c>
      <c r="G143">
        <v>0</v>
      </c>
      <c r="H143">
        <v>7.6</v>
      </c>
      <c r="I143">
        <v>1.65</v>
      </c>
      <c r="J143">
        <v>10</v>
      </c>
      <c r="L143" t="s">
        <v>2709</v>
      </c>
      <c r="M143">
        <v>3019991</v>
      </c>
      <c r="O143" t="s">
        <v>19900</v>
      </c>
      <c r="P143" t="s">
        <v>19908</v>
      </c>
      <c r="Q143" t="s">
        <v>19900</v>
      </c>
      <c r="R143" t="s">
        <v>19905</v>
      </c>
      <c r="S143" t="s">
        <v>19906</v>
      </c>
      <c r="T143" t="s">
        <v>19904</v>
      </c>
      <c r="W143" s="49">
        <v>30049079</v>
      </c>
      <c r="X143" s="50">
        <f>VLOOKUP(PISCOFINS!$W143,PISCOFINS!$C$3:$J$10518,7,0)</f>
        <v>2.1</v>
      </c>
    </row>
    <row r="144" spans="2:24" x14ac:dyDescent="0.25">
      <c r="B144" t="s">
        <v>2709</v>
      </c>
      <c r="C144">
        <v>3019992</v>
      </c>
      <c r="E144">
        <v>0</v>
      </c>
      <c r="F144">
        <v>7</v>
      </c>
      <c r="G144">
        <v>0</v>
      </c>
      <c r="H144">
        <v>7.6</v>
      </c>
      <c r="I144">
        <v>1.65</v>
      </c>
      <c r="J144">
        <v>10</v>
      </c>
      <c r="L144" t="s">
        <v>2709</v>
      </c>
      <c r="M144">
        <v>3019992</v>
      </c>
      <c r="O144" t="s">
        <v>19900</v>
      </c>
      <c r="P144" t="s">
        <v>19908</v>
      </c>
      <c r="Q144" t="s">
        <v>19900</v>
      </c>
      <c r="R144" t="s">
        <v>19905</v>
      </c>
      <c r="S144" t="s">
        <v>19906</v>
      </c>
      <c r="T144" t="s">
        <v>19904</v>
      </c>
      <c r="W144" s="50">
        <v>30049079</v>
      </c>
      <c r="X144" s="50">
        <f>VLOOKUP(PISCOFINS!$W144,PISCOFINS!$C$3:$J$10518,7,0)</f>
        <v>2.1</v>
      </c>
    </row>
    <row r="145" spans="2:24" x14ac:dyDescent="0.25">
      <c r="B145" t="s">
        <v>2709</v>
      </c>
      <c r="C145">
        <v>3019999</v>
      </c>
      <c r="E145">
        <v>0</v>
      </c>
      <c r="F145">
        <v>7</v>
      </c>
      <c r="G145">
        <v>0</v>
      </c>
      <c r="H145">
        <v>7.6</v>
      </c>
      <c r="I145">
        <v>1.65</v>
      </c>
      <c r="J145">
        <v>10</v>
      </c>
      <c r="L145" t="s">
        <v>2709</v>
      </c>
      <c r="M145">
        <v>3019999</v>
      </c>
      <c r="O145" t="s">
        <v>19900</v>
      </c>
      <c r="P145" t="s">
        <v>19908</v>
      </c>
      <c r="Q145" t="s">
        <v>19900</v>
      </c>
      <c r="R145" t="s">
        <v>19905</v>
      </c>
      <c r="S145" t="s">
        <v>19906</v>
      </c>
      <c r="T145" t="s">
        <v>19904</v>
      </c>
      <c r="W145" s="49">
        <v>30049079</v>
      </c>
      <c r="X145" s="50">
        <f>VLOOKUP(PISCOFINS!$W145,PISCOFINS!$C$3:$J$10518,7,0)</f>
        <v>2.1</v>
      </c>
    </row>
    <row r="146" spans="2:24" x14ac:dyDescent="0.25">
      <c r="B146" t="s">
        <v>2709</v>
      </c>
      <c r="C146">
        <v>3021100</v>
      </c>
      <c r="E146">
        <v>0</v>
      </c>
      <c r="F146">
        <v>7</v>
      </c>
      <c r="G146">
        <v>0</v>
      </c>
      <c r="H146" t="s">
        <v>19447</v>
      </c>
      <c r="I146" t="s">
        <v>19447</v>
      </c>
      <c r="J146">
        <v>10</v>
      </c>
      <c r="L146" t="s">
        <v>2709</v>
      </c>
      <c r="M146">
        <v>3021100</v>
      </c>
      <c r="O146" t="s">
        <v>19900</v>
      </c>
      <c r="P146" t="s">
        <v>19908</v>
      </c>
      <c r="Q146" t="s">
        <v>19900</v>
      </c>
      <c r="R146" t="s">
        <v>19447</v>
      </c>
      <c r="S146" t="s">
        <v>19447</v>
      </c>
      <c r="T146" t="s">
        <v>19904</v>
      </c>
      <c r="W146" s="50">
        <v>30049079</v>
      </c>
      <c r="X146" s="50">
        <f>VLOOKUP(PISCOFINS!$W146,PISCOFINS!$C$3:$J$10518,7,0)</f>
        <v>2.1</v>
      </c>
    </row>
    <row r="147" spans="2:24" x14ac:dyDescent="0.25">
      <c r="B147" t="s">
        <v>2709</v>
      </c>
      <c r="C147">
        <v>3021300</v>
      </c>
      <c r="E147">
        <v>0</v>
      </c>
      <c r="F147">
        <v>7</v>
      </c>
      <c r="G147">
        <v>0</v>
      </c>
      <c r="H147" t="s">
        <v>19447</v>
      </c>
      <c r="I147" t="s">
        <v>19447</v>
      </c>
      <c r="J147">
        <v>10</v>
      </c>
      <c r="L147" t="s">
        <v>2709</v>
      </c>
      <c r="M147">
        <v>3021300</v>
      </c>
      <c r="O147" t="s">
        <v>19900</v>
      </c>
      <c r="P147" t="s">
        <v>19908</v>
      </c>
      <c r="Q147" t="s">
        <v>19900</v>
      </c>
      <c r="R147" t="s">
        <v>19447</v>
      </c>
      <c r="S147" t="s">
        <v>19447</v>
      </c>
      <c r="T147" t="s">
        <v>19904</v>
      </c>
      <c r="W147" s="49">
        <v>30049079</v>
      </c>
      <c r="X147" s="50">
        <f>VLOOKUP(PISCOFINS!$W147,PISCOFINS!$C$3:$J$10518,7,0)</f>
        <v>2.1</v>
      </c>
    </row>
    <row r="148" spans="2:24" x14ac:dyDescent="0.25">
      <c r="B148" t="s">
        <v>2709</v>
      </c>
      <c r="C148">
        <v>3021400</v>
      </c>
      <c r="E148">
        <v>0</v>
      </c>
      <c r="F148">
        <v>7</v>
      </c>
      <c r="G148">
        <v>0</v>
      </c>
      <c r="H148" t="s">
        <v>19447</v>
      </c>
      <c r="I148" t="s">
        <v>19447</v>
      </c>
      <c r="J148">
        <v>10</v>
      </c>
      <c r="L148" t="s">
        <v>2709</v>
      </c>
      <c r="M148">
        <v>3021400</v>
      </c>
      <c r="O148" t="s">
        <v>19900</v>
      </c>
      <c r="P148" t="s">
        <v>19908</v>
      </c>
      <c r="Q148" t="s">
        <v>19900</v>
      </c>
      <c r="R148" t="s">
        <v>19447</v>
      </c>
      <c r="S148" t="s">
        <v>19447</v>
      </c>
      <c r="T148" t="s">
        <v>19904</v>
      </c>
      <c r="W148" s="50">
        <v>30049077</v>
      </c>
      <c r="X148" s="50">
        <f>VLOOKUP(PISCOFINS!$W148,PISCOFINS!$C$3:$J$10518,7,0)</f>
        <v>2.1</v>
      </c>
    </row>
    <row r="149" spans="2:24" x14ac:dyDescent="0.25">
      <c r="B149" t="s">
        <v>2709</v>
      </c>
      <c r="C149">
        <v>3021900</v>
      </c>
      <c r="E149">
        <v>0</v>
      </c>
      <c r="F149">
        <v>7</v>
      </c>
      <c r="G149">
        <v>0</v>
      </c>
      <c r="H149" t="s">
        <v>19447</v>
      </c>
      <c r="I149" t="s">
        <v>19447</v>
      </c>
      <c r="J149">
        <v>10</v>
      </c>
      <c r="L149" t="s">
        <v>2709</v>
      </c>
      <c r="M149">
        <v>3021900</v>
      </c>
      <c r="O149" t="s">
        <v>19900</v>
      </c>
      <c r="P149" t="s">
        <v>19908</v>
      </c>
      <c r="Q149" t="s">
        <v>19900</v>
      </c>
      <c r="R149" t="s">
        <v>19447</v>
      </c>
      <c r="S149" t="s">
        <v>19447</v>
      </c>
      <c r="T149" t="s">
        <v>19904</v>
      </c>
      <c r="W149" s="49">
        <v>30049075</v>
      </c>
      <c r="X149" s="50">
        <f>VLOOKUP(PISCOFINS!$W149,PISCOFINS!$C$3:$J$10518,7,0)</f>
        <v>2.1</v>
      </c>
    </row>
    <row r="150" spans="2:24" x14ac:dyDescent="0.25">
      <c r="B150" t="s">
        <v>2709</v>
      </c>
      <c r="C150">
        <v>3022100</v>
      </c>
      <c r="E150">
        <v>0</v>
      </c>
      <c r="F150">
        <v>7</v>
      </c>
      <c r="G150">
        <v>0</v>
      </c>
      <c r="H150" t="s">
        <v>19447</v>
      </c>
      <c r="I150" t="s">
        <v>19447</v>
      </c>
      <c r="J150">
        <v>10</v>
      </c>
      <c r="L150" t="s">
        <v>2709</v>
      </c>
      <c r="M150">
        <v>3022100</v>
      </c>
      <c r="O150" t="s">
        <v>19900</v>
      </c>
      <c r="P150" t="s">
        <v>19908</v>
      </c>
      <c r="Q150" t="s">
        <v>19900</v>
      </c>
      <c r="R150" t="s">
        <v>19447</v>
      </c>
      <c r="S150" t="s">
        <v>19447</v>
      </c>
      <c r="T150" t="s">
        <v>19904</v>
      </c>
      <c r="W150" s="50">
        <v>30049069</v>
      </c>
      <c r="X150" s="50">
        <f>VLOOKUP(PISCOFINS!$W150,PISCOFINS!$C$3:$J$10518,7,0)</f>
        <v>2.1</v>
      </c>
    </row>
    <row r="151" spans="2:24" x14ac:dyDescent="0.25">
      <c r="B151" t="s">
        <v>2709</v>
      </c>
      <c r="C151">
        <v>3022200</v>
      </c>
      <c r="E151">
        <v>0</v>
      </c>
      <c r="F151">
        <v>7</v>
      </c>
      <c r="G151">
        <v>0</v>
      </c>
      <c r="H151" t="s">
        <v>19447</v>
      </c>
      <c r="I151" t="s">
        <v>19447</v>
      </c>
      <c r="J151">
        <v>10</v>
      </c>
      <c r="L151" t="s">
        <v>2709</v>
      </c>
      <c r="M151">
        <v>3022200</v>
      </c>
      <c r="O151" t="s">
        <v>19900</v>
      </c>
      <c r="P151" t="s">
        <v>19908</v>
      </c>
      <c r="Q151" t="s">
        <v>19900</v>
      </c>
      <c r="R151" t="s">
        <v>19447</v>
      </c>
      <c r="S151" t="s">
        <v>19447</v>
      </c>
      <c r="T151" t="s">
        <v>19904</v>
      </c>
      <c r="W151" s="49">
        <v>30049069</v>
      </c>
      <c r="X151" s="50">
        <f>VLOOKUP(PISCOFINS!$W151,PISCOFINS!$C$3:$J$10518,7,0)</f>
        <v>2.1</v>
      </c>
    </row>
    <row r="152" spans="2:24" x14ac:dyDescent="0.25">
      <c r="B152" t="s">
        <v>2709</v>
      </c>
      <c r="C152">
        <v>3022300</v>
      </c>
      <c r="E152">
        <v>0</v>
      </c>
      <c r="F152">
        <v>7</v>
      </c>
      <c r="G152">
        <v>0</v>
      </c>
      <c r="H152" t="s">
        <v>19447</v>
      </c>
      <c r="I152" t="s">
        <v>19447</v>
      </c>
      <c r="J152">
        <v>10</v>
      </c>
      <c r="L152" t="s">
        <v>2709</v>
      </c>
      <c r="M152">
        <v>3022300</v>
      </c>
      <c r="O152" t="s">
        <v>19900</v>
      </c>
      <c r="P152" t="s">
        <v>19908</v>
      </c>
      <c r="Q152" t="s">
        <v>19900</v>
      </c>
      <c r="R152" t="s">
        <v>19447</v>
      </c>
      <c r="S152" t="s">
        <v>19447</v>
      </c>
      <c r="T152" t="s">
        <v>19904</v>
      </c>
      <c r="W152" s="50">
        <v>30049069</v>
      </c>
      <c r="X152" s="50">
        <f>VLOOKUP(PISCOFINS!$W152,PISCOFINS!$C$3:$J$10518,7,0)</f>
        <v>2.1</v>
      </c>
    </row>
    <row r="153" spans="2:24" x14ac:dyDescent="0.25">
      <c r="B153" t="s">
        <v>2709</v>
      </c>
      <c r="C153">
        <v>3022400</v>
      </c>
      <c r="E153">
        <v>0</v>
      </c>
      <c r="F153">
        <v>7</v>
      </c>
      <c r="G153">
        <v>0</v>
      </c>
      <c r="H153" t="s">
        <v>19447</v>
      </c>
      <c r="I153" t="s">
        <v>19447</v>
      </c>
      <c r="J153">
        <v>10</v>
      </c>
      <c r="L153" t="s">
        <v>2709</v>
      </c>
      <c r="M153">
        <v>3022400</v>
      </c>
      <c r="O153" t="s">
        <v>19900</v>
      </c>
      <c r="P153" t="s">
        <v>19908</v>
      </c>
      <c r="Q153" t="s">
        <v>19900</v>
      </c>
      <c r="R153" t="s">
        <v>19447</v>
      </c>
      <c r="S153" t="s">
        <v>19447</v>
      </c>
      <c r="T153" t="s">
        <v>19904</v>
      </c>
      <c r="W153" s="49">
        <v>30049069</v>
      </c>
      <c r="X153" s="50">
        <f>VLOOKUP(PISCOFINS!$W153,PISCOFINS!$C$3:$J$10518,7,0)</f>
        <v>2.1</v>
      </c>
    </row>
    <row r="154" spans="2:24" x14ac:dyDescent="0.25">
      <c r="B154" t="s">
        <v>2709</v>
      </c>
      <c r="C154">
        <v>3022900</v>
      </c>
      <c r="E154">
        <v>0</v>
      </c>
      <c r="F154">
        <v>7</v>
      </c>
      <c r="G154">
        <v>0</v>
      </c>
      <c r="H154" t="s">
        <v>19447</v>
      </c>
      <c r="I154" t="s">
        <v>19447</v>
      </c>
      <c r="J154">
        <v>10</v>
      </c>
      <c r="L154" t="s">
        <v>2709</v>
      </c>
      <c r="M154">
        <v>3022900</v>
      </c>
      <c r="O154" t="s">
        <v>19900</v>
      </c>
      <c r="P154" t="s">
        <v>19908</v>
      </c>
      <c r="Q154" t="s">
        <v>19900</v>
      </c>
      <c r="R154" t="s">
        <v>19447</v>
      </c>
      <c r="S154" t="s">
        <v>19447</v>
      </c>
      <c r="T154" t="s">
        <v>19904</v>
      </c>
      <c r="W154" s="50">
        <v>30049069</v>
      </c>
      <c r="X154" s="50">
        <f>VLOOKUP(PISCOFINS!$W154,PISCOFINS!$C$3:$J$10518,7,0)</f>
        <v>2.1</v>
      </c>
    </row>
    <row r="155" spans="2:24" x14ac:dyDescent="0.25">
      <c r="B155" t="s">
        <v>2709</v>
      </c>
      <c r="C155">
        <v>3023100</v>
      </c>
      <c r="E155">
        <v>0</v>
      </c>
      <c r="F155">
        <v>7</v>
      </c>
      <c r="G155">
        <v>0</v>
      </c>
      <c r="H155" t="s">
        <v>19447</v>
      </c>
      <c r="I155" t="s">
        <v>19447</v>
      </c>
      <c r="J155">
        <v>10</v>
      </c>
      <c r="L155" t="s">
        <v>2709</v>
      </c>
      <c r="M155">
        <v>3023100</v>
      </c>
      <c r="O155" t="s">
        <v>19900</v>
      </c>
      <c r="P155" t="s">
        <v>19908</v>
      </c>
      <c r="Q155" t="s">
        <v>19900</v>
      </c>
      <c r="R155" t="s">
        <v>19447</v>
      </c>
      <c r="S155" t="s">
        <v>19447</v>
      </c>
      <c r="T155" t="s">
        <v>19904</v>
      </c>
      <c r="W155" s="49">
        <v>30049069</v>
      </c>
      <c r="X155" s="50">
        <f>VLOOKUP(PISCOFINS!$W155,PISCOFINS!$C$3:$J$10518,7,0)</f>
        <v>2.1</v>
      </c>
    </row>
    <row r="156" spans="2:24" x14ac:dyDescent="0.25">
      <c r="B156" t="s">
        <v>2709</v>
      </c>
      <c r="C156">
        <v>3023200</v>
      </c>
      <c r="E156">
        <v>0</v>
      </c>
      <c r="F156">
        <v>7</v>
      </c>
      <c r="G156">
        <v>0</v>
      </c>
      <c r="H156" t="s">
        <v>19447</v>
      </c>
      <c r="I156" t="s">
        <v>19447</v>
      </c>
      <c r="J156">
        <v>10</v>
      </c>
      <c r="L156" t="s">
        <v>2709</v>
      </c>
      <c r="M156">
        <v>3023200</v>
      </c>
      <c r="O156" t="s">
        <v>19900</v>
      </c>
      <c r="P156" t="s">
        <v>19908</v>
      </c>
      <c r="Q156" t="s">
        <v>19900</v>
      </c>
      <c r="R156" t="s">
        <v>19447</v>
      </c>
      <c r="S156" t="s">
        <v>19447</v>
      </c>
      <c r="T156" t="s">
        <v>19904</v>
      </c>
      <c r="W156" s="50">
        <v>30049069</v>
      </c>
      <c r="X156" s="50">
        <f>VLOOKUP(PISCOFINS!$W156,PISCOFINS!$C$3:$J$10518,7,0)</f>
        <v>2.1</v>
      </c>
    </row>
    <row r="157" spans="2:24" x14ac:dyDescent="0.25">
      <c r="B157" t="s">
        <v>2709</v>
      </c>
      <c r="C157">
        <v>3023300</v>
      </c>
      <c r="E157">
        <v>0</v>
      </c>
      <c r="F157">
        <v>7</v>
      </c>
      <c r="G157">
        <v>0</v>
      </c>
      <c r="H157" t="s">
        <v>19447</v>
      </c>
      <c r="I157" t="s">
        <v>19447</v>
      </c>
      <c r="J157">
        <v>10</v>
      </c>
      <c r="L157" t="s">
        <v>2709</v>
      </c>
      <c r="M157">
        <v>3023300</v>
      </c>
      <c r="O157" t="s">
        <v>19900</v>
      </c>
      <c r="P157" t="s">
        <v>19908</v>
      </c>
      <c r="Q157" t="s">
        <v>19900</v>
      </c>
      <c r="R157" t="s">
        <v>19447</v>
      </c>
      <c r="S157" t="s">
        <v>19447</v>
      </c>
      <c r="T157" t="s">
        <v>19904</v>
      </c>
      <c r="W157" s="49">
        <v>30049069</v>
      </c>
      <c r="X157" s="50">
        <f>VLOOKUP(PISCOFINS!$W157,PISCOFINS!$C$3:$J$10518,7,0)</f>
        <v>2.1</v>
      </c>
    </row>
    <row r="158" spans="2:24" x14ac:dyDescent="0.25">
      <c r="B158" t="s">
        <v>2709</v>
      </c>
      <c r="C158">
        <v>3023400</v>
      </c>
      <c r="E158">
        <v>0</v>
      </c>
      <c r="F158">
        <v>7</v>
      </c>
      <c r="G158">
        <v>0</v>
      </c>
      <c r="H158" t="s">
        <v>19447</v>
      </c>
      <c r="I158" t="s">
        <v>19447</v>
      </c>
      <c r="J158">
        <v>10</v>
      </c>
      <c r="L158" t="s">
        <v>2709</v>
      </c>
      <c r="M158">
        <v>3023400</v>
      </c>
      <c r="O158" t="s">
        <v>19900</v>
      </c>
      <c r="P158" t="s">
        <v>19908</v>
      </c>
      <c r="Q158" t="s">
        <v>19900</v>
      </c>
      <c r="R158" t="s">
        <v>19447</v>
      </c>
      <c r="S158" t="s">
        <v>19447</v>
      </c>
      <c r="T158" t="s">
        <v>19904</v>
      </c>
      <c r="W158" s="50">
        <v>30049069</v>
      </c>
      <c r="X158" s="50">
        <f>VLOOKUP(PISCOFINS!$W158,PISCOFINS!$C$3:$J$10518,7,0)</f>
        <v>2.1</v>
      </c>
    </row>
    <row r="159" spans="2:24" x14ac:dyDescent="0.25">
      <c r="B159" t="s">
        <v>2709</v>
      </c>
      <c r="C159">
        <v>3023500</v>
      </c>
      <c r="E159">
        <v>0</v>
      </c>
      <c r="F159">
        <v>7</v>
      </c>
      <c r="G159">
        <v>0</v>
      </c>
      <c r="H159" t="s">
        <v>19447</v>
      </c>
      <c r="I159" t="s">
        <v>19447</v>
      </c>
      <c r="J159">
        <v>10</v>
      </c>
      <c r="L159" t="s">
        <v>2709</v>
      </c>
      <c r="M159">
        <v>3023500</v>
      </c>
      <c r="O159" t="s">
        <v>19900</v>
      </c>
      <c r="P159" t="s">
        <v>19908</v>
      </c>
      <c r="Q159" t="s">
        <v>19900</v>
      </c>
      <c r="R159" t="s">
        <v>19447</v>
      </c>
      <c r="S159" t="s">
        <v>19447</v>
      </c>
      <c r="T159" t="s">
        <v>19904</v>
      </c>
      <c r="W159" s="49">
        <v>30049069</v>
      </c>
      <c r="X159" s="50">
        <f>VLOOKUP(PISCOFINS!$W159,PISCOFINS!$C$3:$J$10518,7,0)</f>
        <v>2.1</v>
      </c>
    </row>
    <row r="160" spans="2:24" x14ac:dyDescent="0.25">
      <c r="B160" t="s">
        <v>2709</v>
      </c>
      <c r="C160">
        <v>3023600</v>
      </c>
      <c r="E160">
        <v>0</v>
      </c>
      <c r="F160">
        <v>7</v>
      </c>
      <c r="G160">
        <v>0</v>
      </c>
      <c r="H160" t="s">
        <v>19447</v>
      </c>
      <c r="I160" t="s">
        <v>19447</v>
      </c>
      <c r="J160">
        <v>10</v>
      </c>
      <c r="L160" t="s">
        <v>2709</v>
      </c>
      <c r="M160">
        <v>3023600</v>
      </c>
      <c r="O160" t="s">
        <v>19900</v>
      </c>
      <c r="P160" t="s">
        <v>19908</v>
      </c>
      <c r="Q160" t="s">
        <v>19900</v>
      </c>
      <c r="R160" t="s">
        <v>19447</v>
      </c>
      <c r="S160" t="s">
        <v>19447</v>
      </c>
      <c r="T160" t="s">
        <v>19904</v>
      </c>
      <c r="W160" s="50">
        <v>30049069</v>
      </c>
      <c r="X160" s="50">
        <f>VLOOKUP(PISCOFINS!$W160,PISCOFINS!$C$3:$J$10518,7,0)</f>
        <v>2.1</v>
      </c>
    </row>
    <row r="161" spans="2:24" x14ac:dyDescent="0.25">
      <c r="B161" t="s">
        <v>2709</v>
      </c>
      <c r="C161">
        <v>3023900</v>
      </c>
      <c r="E161">
        <v>0</v>
      </c>
      <c r="F161">
        <v>7</v>
      </c>
      <c r="G161">
        <v>0</v>
      </c>
      <c r="H161" t="s">
        <v>19447</v>
      </c>
      <c r="I161" t="s">
        <v>19447</v>
      </c>
      <c r="J161">
        <v>10</v>
      </c>
      <c r="L161" t="s">
        <v>2709</v>
      </c>
      <c r="M161">
        <v>3023900</v>
      </c>
      <c r="O161" t="s">
        <v>19900</v>
      </c>
      <c r="P161" t="s">
        <v>19908</v>
      </c>
      <c r="Q161" t="s">
        <v>19900</v>
      </c>
      <c r="R161" t="s">
        <v>19447</v>
      </c>
      <c r="S161" t="s">
        <v>19447</v>
      </c>
      <c r="T161" t="s">
        <v>19904</v>
      </c>
      <c r="W161" s="49">
        <v>30049069</v>
      </c>
      <c r="X161" s="50">
        <f>VLOOKUP(PISCOFINS!$W161,PISCOFINS!$C$3:$J$10518,7,0)</f>
        <v>2.1</v>
      </c>
    </row>
    <row r="162" spans="2:24" x14ac:dyDescent="0.25">
      <c r="B162" t="s">
        <v>2709</v>
      </c>
      <c r="C162">
        <v>3024100</v>
      </c>
      <c r="E162">
        <v>0</v>
      </c>
      <c r="F162">
        <v>7</v>
      </c>
      <c r="G162">
        <v>0</v>
      </c>
      <c r="H162" t="s">
        <v>19447</v>
      </c>
      <c r="I162" t="s">
        <v>19447</v>
      </c>
      <c r="J162">
        <v>10</v>
      </c>
      <c r="L162" t="s">
        <v>2709</v>
      </c>
      <c r="M162">
        <v>3024100</v>
      </c>
      <c r="O162" t="s">
        <v>19900</v>
      </c>
      <c r="P162" t="s">
        <v>19908</v>
      </c>
      <c r="Q162" t="s">
        <v>19900</v>
      </c>
      <c r="R162" t="s">
        <v>19447</v>
      </c>
      <c r="S162" t="s">
        <v>19447</v>
      </c>
      <c r="T162" t="s">
        <v>19904</v>
      </c>
      <c r="W162" s="50">
        <v>30049069</v>
      </c>
      <c r="X162" s="50">
        <f>VLOOKUP(PISCOFINS!$W162,PISCOFINS!$C$3:$J$10518,7,0)</f>
        <v>2.1</v>
      </c>
    </row>
    <row r="163" spans="2:24" x14ac:dyDescent="0.25">
      <c r="B163" t="s">
        <v>2709</v>
      </c>
      <c r="C163">
        <v>3024210</v>
      </c>
      <c r="E163">
        <v>0</v>
      </c>
      <c r="F163">
        <v>7</v>
      </c>
      <c r="G163">
        <v>0</v>
      </c>
      <c r="H163" t="s">
        <v>19447</v>
      </c>
      <c r="I163" t="s">
        <v>19447</v>
      </c>
      <c r="J163">
        <v>10</v>
      </c>
      <c r="L163" t="s">
        <v>2709</v>
      </c>
      <c r="M163">
        <v>3024210</v>
      </c>
      <c r="O163" t="s">
        <v>19900</v>
      </c>
      <c r="P163" t="s">
        <v>19908</v>
      </c>
      <c r="Q163" t="s">
        <v>19900</v>
      </c>
      <c r="R163" t="s">
        <v>19447</v>
      </c>
      <c r="S163" t="s">
        <v>19447</v>
      </c>
      <c r="T163" t="s">
        <v>19904</v>
      </c>
      <c r="W163" s="49">
        <v>30049069</v>
      </c>
      <c r="X163" s="50">
        <f>VLOOKUP(PISCOFINS!$W163,PISCOFINS!$C$3:$J$10518,7,0)</f>
        <v>2.1</v>
      </c>
    </row>
    <row r="164" spans="2:24" x14ac:dyDescent="0.25">
      <c r="B164" t="s">
        <v>2709</v>
      </c>
      <c r="C164">
        <v>3024290</v>
      </c>
      <c r="E164">
        <v>0</v>
      </c>
      <c r="F164">
        <v>7</v>
      </c>
      <c r="G164">
        <v>0</v>
      </c>
      <c r="H164" t="s">
        <v>19447</v>
      </c>
      <c r="I164" t="s">
        <v>19447</v>
      </c>
      <c r="J164">
        <v>10</v>
      </c>
      <c r="L164" t="s">
        <v>2709</v>
      </c>
      <c r="M164">
        <v>3024290</v>
      </c>
      <c r="O164" t="s">
        <v>19900</v>
      </c>
      <c r="P164" t="s">
        <v>19908</v>
      </c>
      <c r="Q164" t="s">
        <v>19900</v>
      </c>
      <c r="R164" t="s">
        <v>19447</v>
      </c>
      <c r="S164" t="s">
        <v>19447</v>
      </c>
      <c r="T164" t="s">
        <v>19904</v>
      </c>
      <c r="W164" s="50">
        <v>30049069</v>
      </c>
      <c r="X164" s="50">
        <f>VLOOKUP(PISCOFINS!$W164,PISCOFINS!$C$3:$J$10518,7,0)</f>
        <v>2.1</v>
      </c>
    </row>
    <row r="165" spans="2:24" x14ac:dyDescent="0.25">
      <c r="B165" t="s">
        <v>2709</v>
      </c>
      <c r="C165">
        <v>3024300</v>
      </c>
      <c r="E165">
        <v>0</v>
      </c>
      <c r="F165">
        <v>7</v>
      </c>
      <c r="G165">
        <v>0</v>
      </c>
      <c r="H165" t="s">
        <v>19447</v>
      </c>
      <c r="I165" t="s">
        <v>19447</v>
      </c>
      <c r="J165">
        <v>10</v>
      </c>
      <c r="L165" t="s">
        <v>2709</v>
      </c>
      <c r="M165">
        <v>3024300</v>
      </c>
      <c r="O165" t="s">
        <v>19900</v>
      </c>
      <c r="P165" t="s">
        <v>19908</v>
      </c>
      <c r="Q165" t="s">
        <v>19900</v>
      </c>
      <c r="R165" t="s">
        <v>19447</v>
      </c>
      <c r="S165" t="s">
        <v>19447</v>
      </c>
      <c r="T165" t="s">
        <v>19904</v>
      </c>
      <c r="W165" s="49">
        <v>30049069</v>
      </c>
      <c r="X165" s="50">
        <f>VLOOKUP(PISCOFINS!$W165,PISCOFINS!$C$3:$J$10518,7,0)</f>
        <v>2.1</v>
      </c>
    </row>
    <row r="166" spans="2:24" x14ac:dyDescent="0.25">
      <c r="B166" t="s">
        <v>2709</v>
      </c>
      <c r="C166">
        <v>3024400</v>
      </c>
      <c r="E166">
        <v>0</v>
      </c>
      <c r="F166">
        <v>7</v>
      </c>
      <c r="G166">
        <v>0</v>
      </c>
      <c r="H166" t="s">
        <v>19447</v>
      </c>
      <c r="I166" t="s">
        <v>19447</v>
      </c>
      <c r="J166">
        <v>10</v>
      </c>
      <c r="L166" t="s">
        <v>2709</v>
      </c>
      <c r="M166">
        <v>3024400</v>
      </c>
      <c r="O166" t="s">
        <v>19900</v>
      </c>
      <c r="P166" t="s">
        <v>19908</v>
      </c>
      <c r="Q166" t="s">
        <v>19900</v>
      </c>
      <c r="R166" t="s">
        <v>19447</v>
      </c>
      <c r="S166" t="s">
        <v>19447</v>
      </c>
      <c r="T166" t="s">
        <v>19904</v>
      </c>
      <c r="W166" s="50">
        <v>30049069</v>
      </c>
      <c r="X166" s="50">
        <f>VLOOKUP(PISCOFINS!$W166,PISCOFINS!$C$3:$J$10518,7,0)</f>
        <v>2.1</v>
      </c>
    </row>
    <row r="167" spans="2:24" x14ac:dyDescent="0.25">
      <c r="B167" t="s">
        <v>2709</v>
      </c>
      <c r="C167">
        <v>3024500</v>
      </c>
      <c r="E167">
        <v>0</v>
      </c>
      <c r="F167">
        <v>7</v>
      </c>
      <c r="G167">
        <v>0</v>
      </c>
      <c r="H167" t="s">
        <v>19447</v>
      </c>
      <c r="I167" t="s">
        <v>19447</v>
      </c>
      <c r="J167">
        <v>10</v>
      </c>
      <c r="L167" t="s">
        <v>2709</v>
      </c>
      <c r="M167">
        <v>3024500</v>
      </c>
      <c r="O167" t="s">
        <v>19900</v>
      </c>
      <c r="P167" t="s">
        <v>19908</v>
      </c>
      <c r="Q167" t="s">
        <v>19900</v>
      </c>
      <c r="R167" t="s">
        <v>19447</v>
      </c>
      <c r="S167" t="s">
        <v>19447</v>
      </c>
      <c r="T167" t="s">
        <v>19904</v>
      </c>
      <c r="W167" s="49">
        <v>30049069</v>
      </c>
      <c r="X167" s="50">
        <f>VLOOKUP(PISCOFINS!$W167,PISCOFINS!$C$3:$J$10518,7,0)</f>
        <v>2.1</v>
      </c>
    </row>
    <row r="168" spans="2:24" x14ac:dyDescent="0.25">
      <c r="B168" t="s">
        <v>2709</v>
      </c>
      <c r="C168">
        <v>3024600</v>
      </c>
      <c r="E168">
        <v>0</v>
      </c>
      <c r="F168">
        <v>7</v>
      </c>
      <c r="G168">
        <v>0</v>
      </c>
      <c r="H168" t="s">
        <v>19447</v>
      </c>
      <c r="I168" t="s">
        <v>19447</v>
      </c>
      <c r="J168">
        <v>10</v>
      </c>
      <c r="L168" t="s">
        <v>2709</v>
      </c>
      <c r="M168">
        <v>3024600</v>
      </c>
      <c r="O168" t="s">
        <v>19900</v>
      </c>
      <c r="P168" t="s">
        <v>19908</v>
      </c>
      <c r="Q168" t="s">
        <v>19900</v>
      </c>
      <c r="R168" t="s">
        <v>19447</v>
      </c>
      <c r="S168" t="s">
        <v>19447</v>
      </c>
      <c r="T168" t="s">
        <v>19904</v>
      </c>
      <c r="W168" s="50">
        <v>30049069</v>
      </c>
      <c r="X168" s="50">
        <f>VLOOKUP(PISCOFINS!$W168,PISCOFINS!$C$3:$J$10518,7,0)</f>
        <v>2.1</v>
      </c>
    </row>
    <row r="169" spans="2:24" x14ac:dyDescent="0.25">
      <c r="B169" t="s">
        <v>2709</v>
      </c>
      <c r="C169">
        <v>3024700</v>
      </c>
      <c r="E169">
        <v>0</v>
      </c>
      <c r="F169">
        <v>7</v>
      </c>
      <c r="G169">
        <v>0</v>
      </c>
      <c r="H169" t="s">
        <v>19447</v>
      </c>
      <c r="I169" t="s">
        <v>19447</v>
      </c>
      <c r="J169">
        <v>10</v>
      </c>
      <c r="L169" t="s">
        <v>2709</v>
      </c>
      <c r="M169">
        <v>3024700</v>
      </c>
      <c r="O169" t="s">
        <v>19900</v>
      </c>
      <c r="P169" t="s">
        <v>19908</v>
      </c>
      <c r="Q169" t="s">
        <v>19900</v>
      </c>
      <c r="R169" t="s">
        <v>19447</v>
      </c>
      <c r="S169" t="s">
        <v>19447</v>
      </c>
      <c r="T169" t="s">
        <v>19904</v>
      </c>
      <c r="W169" s="49">
        <v>30049069</v>
      </c>
      <c r="X169" s="50">
        <f>VLOOKUP(PISCOFINS!$W169,PISCOFINS!$C$3:$J$10518,7,0)</f>
        <v>2.1</v>
      </c>
    </row>
    <row r="170" spans="2:24" x14ac:dyDescent="0.25">
      <c r="B170" t="s">
        <v>2709</v>
      </c>
      <c r="C170">
        <v>3025100</v>
      </c>
      <c r="E170">
        <v>0</v>
      </c>
      <c r="F170">
        <v>7</v>
      </c>
      <c r="G170">
        <v>0</v>
      </c>
      <c r="H170" t="s">
        <v>19447</v>
      </c>
      <c r="I170" t="s">
        <v>19447</v>
      </c>
      <c r="J170">
        <v>0</v>
      </c>
      <c r="L170" t="s">
        <v>2709</v>
      </c>
      <c r="M170">
        <v>3025100</v>
      </c>
      <c r="O170" t="s">
        <v>19900</v>
      </c>
      <c r="P170" t="s">
        <v>19908</v>
      </c>
      <c r="Q170" t="s">
        <v>19900</v>
      </c>
      <c r="R170" t="s">
        <v>19447</v>
      </c>
      <c r="S170" t="s">
        <v>19447</v>
      </c>
      <c r="T170" t="s">
        <v>19900</v>
      </c>
      <c r="W170" s="50">
        <v>30049069</v>
      </c>
      <c r="X170" s="50">
        <f>VLOOKUP(PISCOFINS!$W170,PISCOFINS!$C$3:$J$10518,7,0)</f>
        <v>2.1</v>
      </c>
    </row>
    <row r="171" spans="2:24" x14ac:dyDescent="0.25">
      <c r="B171" t="s">
        <v>2709</v>
      </c>
      <c r="C171">
        <v>3025200</v>
      </c>
      <c r="E171">
        <v>0</v>
      </c>
      <c r="F171">
        <v>7</v>
      </c>
      <c r="G171">
        <v>0</v>
      </c>
      <c r="H171" t="s">
        <v>19447</v>
      </c>
      <c r="I171" t="s">
        <v>19447</v>
      </c>
      <c r="J171">
        <v>10</v>
      </c>
      <c r="L171" t="s">
        <v>2709</v>
      </c>
      <c r="M171">
        <v>3025200</v>
      </c>
      <c r="O171" t="s">
        <v>19900</v>
      </c>
      <c r="P171" t="s">
        <v>19908</v>
      </c>
      <c r="Q171" t="s">
        <v>19900</v>
      </c>
      <c r="R171" t="s">
        <v>19447</v>
      </c>
      <c r="S171" t="s">
        <v>19447</v>
      </c>
      <c r="T171" t="s">
        <v>19904</v>
      </c>
      <c r="W171" s="49">
        <v>30049069</v>
      </c>
      <c r="X171" s="50">
        <f>VLOOKUP(PISCOFINS!$W171,PISCOFINS!$C$3:$J$10518,7,0)</f>
        <v>2.1</v>
      </c>
    </row>
    <row r="172" spans="2:24" x14ac:dyDescent="0.25">
      <c r="B172" t="s">
        <v>2709</v>
      </c>
      <c r="C172">
        <v>3025300</v>
      </c>
      <c r="E172">
        <v>0</v>
      </c>
      <c r="F172">
        <v>7</v>
      </c>
      <c r="G172">
        <v>0</v>
      </c>
      <c r="H172" t="s">
        <v>19447</v>
      </c>
      <c r="I172" t="s">
        <v>19447</v>
      </c>
      <c r="J172">
        <v>10</v>
      </c>
      <c r="L172" t="s">
        <v>2709</v>
      </c>
      <c r="M172">
        <v>3025300</v>
      </c>
      <c r="O172" t="s">
        <v>19900</v>
      </c>
      <c r="P172" t="s">
        <v>19908</v>
      </c>
      <c r="Q172" t="s">
        <v>19900</v>
      </c>
      <c r="R172" t="s">
        <v>19447</v>
      </c>
      <c r="S172" t="s">
        <v>19447</v>
      </c>
      <c r="T172" t="s">
        <v>19904</v>
      </c>
      <c r="W172" s="50">
        <v>30049069</v>
      </c>
      <c r="X172" s="50">
        <f>VLOOKUP(PISCOFINS!$W172,PISCOFINS!$C$3:$J$10518,7,0)</f>
        <v>2.1</v>
      </c>
    </row>
    <row r="173" spans="2:24" x14ac:dyDescent="0.25">
      <c r="B173" t="s">
        <v>2709</v>
      </c>
      <c r="C173">
        <v>3025400</v>
      </c>
      <c r="E173">
        <v>0</v>
      </c>
      <c r="F173">
        <v>7</v>
      </c>
      <c r="G173">
        <v>0</v>
      </c>
      <c r="H173" t="s">
        <v>19447</v>
      </c>
      <c r="I173" t="s">
        <v>19447</v>
      </c>
      <c r="J173">
        <v>10</v>
      </c>
      <c r="L173" t="s">
        <v>2709</v>
      </c>
      <c r="M173">
        <v>3025400</v>
      </c>
      <c r="O173" t="s">
        <v>19900</v>
      </c>
      <c r="P173" t="s">
        <v>19908</v>
      </c>
      <c r="Q173" t="s">
        <v>19900</v>
      </c>
      <c r="R173" t="s">
        <v>19447</v>
      </c>
      <c r="S173" t="s">
        <v>19447</v>
      </c>
      <c r="T173" t="s">
        <v>19904</v>
      </c>
      <c r="W173" s="49">
        <v>30049069</v>
      </c>
      <c r="X173" s="50">
        <f>VLOOKUP(PISCOFINS!$W173,PISCOFINS!$C$3:$J$10518,7,0)</f>
        <v>2.1</v>
      </c>
    </row>
    <row r="174" spans="2:24" x14ac:dyDescent="0.25">
      <c r="B174" t="s">
        <v>2709</v>
      </c>
      <c r="C174">
        <v>3025500</v>
      </c>
      <c r="E174">
        <v>0</v>
      </c>
      <c r="F174">
        <v>7</v>
      </c>
      <c r="G174">
        <v>0</v>
      </c>
      <c r="H174" t="s">
        <v>19447</v>
      </c>
      <c r="I174" t="s">
        <v>19447</v>
      </c>
      <c r="J174">
        <v>10</v>
      </c>
      <c r="L174" t="s">
        <v>2709</v>
      </c>
      <c r="M174">
        <v>3025500</v>
      </c>
      <c r="O174" t="s">
        <v>19900</v>
      </c>
      <c r="P174" t="s">
        <v>19908</v>
      </c>
      <c r="Q174" t="s">
        <v>19900</v>
      </c>
      <c r="R174" t="s">
        <v>19447</v>
      </c>
      <c r="S174" t="s">
        <v>19447</v>
      </c>
      <c r="T174" t="s">
        <v>19904</v>
      </c>
      <c r="W174" s="50">
        <v>30049069</v>
      </c>
      <c r="X174" s="50">
        <f>VLOOKUP(PISCOFINS!$W174,PISCOFINS!$C$3:$J$10518,7,0)</f>
        <v>2.1</v>
      </c>
    </row>
    <row r="175" spans="2:24" x14ac:dyDescent="0.25">
      <c r="B175" t="s">
        <v>2709</v>
      </c>
      <c r="C175">
        <v>3025600</v>
      </c>
      <c r="E175">
        <v>0</v>
      </c>
      <c r="F175">
        <v>7</v>
      </c>
      <c r="G175">
        <v>0</v>
      </c>
      <c r="H175" t="s">
        <v>19447</v>
      </c>
      <c r="I175" t="s">
        <v>19447</v>
      </c>
      <c r="J175">
        <v>10</v>
      </c>
      <c r="L175" t="s">
        <v>2709</v>
      </c>
      <c r="M175">
        <v>3025600</v>
      </c>
      <c r="O175" t="s">
        <v>19900</v>
      </c>
      <c r="P175" t="s">
        <v>19908</v>
      </c>
      <c r="Q175" t="s">
        <v>19900</v>
      </c>
      <c r="R175" t="s">
        <v>19447</v>
      </c>
      <c r="S175" t="s">
        <v>19447</v>
      </c>
      <c r="T175" t="s">
        <v>19904</v>
      </c>
      <c r="W175" s="49">
        <v>30049069</v>
      </c>
      <c r="X175" s="50">
        <f>VLOOKUP(PISCOFINS!$W175,PISCOFINS!$C$3:$J$10518,7,0)</f>
        <v>2.1</v>
      </c>
    </row>
    <row r="176" spans="2:24" x14ac:dyDescent="0.25">
      <c r="B176" t="s">
        <v>2709</v>
      </c>
      <c r="C176">
        <v>3025900</v>
      </c>
      <c r="E176">
        <v>0</v>
      </c>
      <c r="F176">
        <v>7</v>
      </c>
      <c r="G176">
        <v>0</v>
      </c>
      <c r="H176" t="s">
        <v>19447</v>
      </c>
      <c r="I176" t="s">
        <v>19447</v>
      </c>
      <c r="J176">
        <v>10</v>
      </c>
      <c r="L176" t="s">
        <v>2709</v>
      </c>
      <c r="M176">
        <v>3025900</v>
      </c>
      <c r="O176" t="s">
        <v>19900</v>
      </c>
      <c r="P176" t="s">
        <v>19908</v>
      </c>
      <c r="Q176" t="s">
        <v>19900</v>
      </c>
      <c r="R176" t="s">
        <v>19447</v>
      </c>
      <c r="S176" t="s">
        <v>19447</v>
      </c>
      <c r="T176" t="s">
        <v>19904</v>
      </c>
      <c r="W176" s="50">
        <v>30049069</v>
      </c>
      <c r="X176" s="50">
        <f>VLOOKUP(PISCOFINS!$W176,PISCOFINS!$C$3:$J$10518,7,0)</f>
        <v>2.1</v>
      </c>
    </row>
    <row r="177" spans="2:24" x14ac:dyDescent="0.25">
      <c r="B177" t="s">
        <v>2709</v>
      </c>
      <c r="C177">
        <v>3027100</v>
      </c>
      <c r="E177">
        <v>0</v>
      </c>
      <c r="F177">
        <v>7</v>
      </c>
      <c r="G177">
        <v>0</v>
      </c>
      <c r="H177" t="s">
        <v>19447</v>
      </c>
      <c r="I177" t="s">
        <v>19447</v>
      </c>
      <c r="J177">
        <v>10</v>
      </c>
      <c r="L177" t="s">
        <v>2709</v>
      </c>
      <c r="M177">
        <v>3027100</v>
      </c>
      <c r="O177" t="s">
        <v>19900</v>
      </c>
      <c r="P177" t="s">
        <v>19908</v>
      </c>
      <c r="Q177" t="s">
        <v>19900</v>
      </c>
      <c r="R177" t="s">
        <v>19447</v>
      </c>
      <c r="S177" t="s">
        <v>19447</v>
      </c>
      <c r="T177" t="s">
        <v>19904</v>
      </c>
      <c r="W177" s="49">
        <v>30049069</v>
      </c>
      <c r="X177" s="50">
        <f>VLOOKUP(PISCOFINS!$W177,PISCOFINS!$C$3:$J$10518,7,0)</f>
        <v>2.1</v>
      </c>
    </row>
    <row r="178" spans="2:24" x14ac:dyDescent="0.25">
      <c r="B178" t="s">
        <v>2709</v>
      </c>
      <c r="C178">
        <v>3027210</v>
      </c>
      <c r="E178">
        <v>0</v>
      </c>
      <c r="F178">
        <v>7</v>
      </c>
      <c r="G178">
        <v>0</v>
      </c>
      <c r="H178" t="s">
        <v>19447</v>
      </c>
      <c r="I178" t="s">
        <v>19447</v>
      </c>
      <c r="J178">
        <v>10</v>
      </c>
      <c r="L178" t="s">
        <v>2709</v>
      </c>
      <c r="M178">
        <v>3027210</v>
      </c>
      <c r="O178" t="s">
        <v>19900</v>
      </c>
      <c r="P178" t="s">
        <v>19908</v>
      </c>
      <c r="Q178" t="s">
        <v>19900</v>
      </c>
      <c r="R178" t="s">
        <v>19447</v>
      </c>
      <c r="S178" t="s">
        <v>19447</v>
      </c>
      <c r="T178" t="s">
        <v>19904</v>
      </c>
      <c r="W178" s="50">
        <v>30049069</v>
      </c>
      <c r="X178" s="50">
        <f>VLOOKUP(PISCOFINS!$W178,PISCOFINS!$C$3:$J$10518,7,0)</f>
        <v>2.1</v>
      </c>
    </row>
    <row r="179" spans="2:24" x14ac:dyDescent="0.25">
      <c r="B179" t="s">
        <v>2709</v>
      </c>
      <c r="C179">
        <v>3027290</v>
      </c>
      <c r="E179">
        <v>0</v>
      </c>
      <c r="F179">
        <v>7</v>
      </c>
      <c r="G179">
        <v>0</v>
      </c>
      <c r="H179" t="s">
        <v>19447</v>
      </c>
      <c r="I179" t="s">
        <v>19447</v>
      </c>
      <c r="J179">
        <v>10</v>
      </c>
      <c r="L179" t="s">
        <v>2709</v>
      </c>
      <c r="M179">
        <v>3027290</v>
      </c>
      <c r="O179" t="s">
        <v>19900</v>
      </c>
      <c r="P179" t="s">
        <v>19908</v>
      </c>
      <c r="Q179" t="s">
        <v>19900</v>
      </c>
      <c r="R179" t="s">
        <v>19447</v>
      </c>
      <c r="S179" t="s">
        <v>19447</v>
      </c>
      <c r="T179" t="s">
        <v>19904</v>
      </c>
      <c r="W179" s="49">
        <v>30049069</v>
      </c>
      <c r="X179" s="50">
        <f>VLOOKUP(PISCOFINS!$W179,PISCOFINS!$C$3:$J$10518,7,0)</f>
        <v>2.1</v>
      </c>
    </row>
    <row r="180" spans="2:24" x14ac:dyDescent="0.25">
      <c r="B180" t="s">
        <v>2709</v>
      </c>
      <c r="C180">
        <v>3027300</v>
      </c>
      <c r="E180">
        <v>0</v>
      </c>
      <c r="F180">
        <v>7</v>
      </c>
      <c r="G180">
        <v>0</v>
      </c>
      <c r="H180" t="s">
        <v>19447</v>
      </c>
      <c r="I180" t="s">
        <v>19447</v>
      </c>
      <c r="J180">
        <v>10</v>
      </c>
      <c r="L180" t="s">
        <v>2709</v>
      </c>
      <c r="M180">
        <v>3027300</v>
      </c>
      <c r="O180" t="s">
        <v>19900</v>
      </c>
      <c r="P180" t="s">
        <v>19908</v>
      </c>
      <c r="Q180" t="s">
        <v>19900</v>
      </c>
      <c r="R180" t="s">
        <v>19447</v>
      </c>
      <c r="S180" t="s">
        <v>19447</v>
      </c>
      <c r="T180" t="s">
        <v>19904</v>
      </c>
      <c r="W180" s="50">
        <v>30049069</v>
      </c>
      <c r="X180" s="50">
        <f>VLOOKUP(PISCOFINS!$W180,PISCOFINS!$C$3:$J$10518,7,0)</f>
        <v>2.1</v>
      </c>
    </row>
    <row r="181" spans="2:24" x14ac:dyDescent="0.25">
      <c r="B181" t="s">
        <v>2709</v>
      </c>
      <c r="C181">
        <v>3027400</v>
      </c>
      <c r="E181">
        <v>0</v>
      </c>
      <c r="F181">
        <v>7</v>
      </c>
      <c r="G181">
        <v>0</v>
      </c>
      <c r="H181" t="s">
        <v>19447</v>
      </c>
      <c r="I181" t="s">
        <v>19447</v>
      </c>
      <c r="J181">
        <v>10</v>
      </c>
      <c r="L181" t="s">
        <v>2709</v>
      </c>
      <c r="M181">
        <v>3027400</v>
      </c>
      <c r="O181" t="s">
        <v>19900</v>
      </c>
      <c r="P181" t="s">
        <v>19908</v>
      </c>
      <c r="Q181" t="s">
        <v>19900</v>
      </c>
      <c r="R181" t="s">
        <v>19447</v>
      </c>
      <c r="S181" t="s">
        <v>19447</v>
      </c>
      <c r="T181" t="s">
        <v>19904</v>
      </c>
      <c r="W181" s="49">
        <v>30049069</v>
      </c>
      <c r="X181" s="50">
        <f>VLOOKUP(PISCOFINS!$W181,PISCOFINS!$C$3:$J$10518,7,0)</f>
        <v>2.1</v>
      </c>
    </row>
    <row r="182" spans="2:24" x14ac:dyDescent="0.25">
      <c r="B182" t="s">
        <v>2709</v>
      </c>
      <c r="C182">
        <v>3027900</v>
      </c>
      <c r="E182">
        <v>0</v>
      </c>
      <c r="F182">
        <v>7</v>
      </c>
      <c r="G182">
        <v>0</v>
      </c>
      <c r="H182" t="s">
        <v>19447</v>
      </c>
      <c r="I182" t="s">
        <v>19447</v>
      </c>
      <c r="J182">
        <v>10</v>
      </c>
      <c r="L182" t="s">
        <v>2709</v>
      </c>
      <c r="M182">
        <v>3027900</v>
      </c>
      <c r="O182" t="s">
        <v>19900</v>
      </c>
      <c r="P182" t="s">
        <v>19908</v>
      </c>
      <c r="Q182" t="s">
        <v>19900</v>
      </c>
      <c r="R182" t="s">
        <v>19447</v>
      </c>
      <c r="S182" t="s">
        <v>19447</v>
      </c>
      <c r="T182" t="s">
        <v>19904</v>
      </c>
      <c r="W182" s="50">
        <v>30049069</v>
      </c>
      <c r="X182" s="50">
        <f>VLOOKUP(PISCOFINS!$W182,PISCOFINS!$C$3:$J$10518,7,0)</f>
        <v>2.1</v>
      </c>
    </row>
    <row r="183" spans="2:24" x14ac:dyDescent="0.25">
      <c r="B183" t="s">
        <v>2709</v>
      </c>
      <c r="C183">
        <v>3028100</v>
      </c>
      <c r="E183">
        <v>0</v>
      </c>
      <c r="F183">
        <v>7</v>
      </c>
      <c r="G183">
        <v>0</v>
      </c>
      <c r="H183" t="s">
        <v>19447</v>
      </c>
      <c r="I183" t="s">
        <v>19447</v>
      </c>
      <c r="J183">
        <v>10</v>
      </c>
      <c r="L183" t="s">
        <v>2709</v>
      </c>
      <c r="M183">
        <v>3028100</v>
      </c>
      <c r="O183" t="s">
        <v>19900</v>
      </c>
      <c r="P183" t="s">
        <v>19908</v>
      </c>
      <c r="Q183" t="s">
        <v>19900</v>
      </c>
      <c r="R183" t="s">
        <v>19447</v>
      </c>
      <c r="S183" t="s">
        <v>19447</v>
      </c>
      <c r="T183" t="s">
        <v>19904</v>
      </c>
      <c r="W183" s="49">
        <v>30049069</v>
      </c>
      <c r="X183" s="50">
        <f>VLOOKUP(PISCOFINS!$W183,PISCOFINS!$C$3:$J$10518,7,0)</f>
        <v>2.1</v>
      </c>
    </row>
    <row r="184" spans="2:24" x14ac:dyDescent="0.25">
      <c r="B184" t="s">
        <v>2709</v>
      </c>
      <c r="C184">
        <v>3028200</v>
      </c>
      <c r="E184">
        <v>0</v>
      </c>
      <c r="F184">
        <v>7</v>
      </c>
      <c r="G184">
        <v>0</v>
      </c>
      <c r="H184" t="s">
        <v>19447</v>
      </c>
      <c r="I184" t="s">
        <v>19447</v>
      </c>
      <c r="J184">
        <v>10</v>
      </c>
      <c r="L184" t="s">
        <v>2709</v>
      </c>
      <c r="M184">
        <v>3028200</v>
      </c>
      <c r="O184" t="s">
        <v>19900</v>
      </c>
      <c r="P184" t="s">
        <v>19908</v>
      </c>
      <c r="Q184" t="s">
        <v>19900</v>
      </c>
      <c r="R184" t="s">
        <v>19447</v>
      </c>
      <c r="S184" t="s">
        <v>19447</v>
      </c>
      <c r="T184" t="s">
        <v>19904</v>
      </c>
      <c r="W184" s="50">
        <v>30049069</v>
      </c>
      <c r="X184" s="50">
        <f>VLOOKUP(PISCOFINS!$W184,PISCOFINS!$C$3:$J$10518,7,0)</f>
        <v>2.1</v>
      </c>
    </row>
    <row r="185" spans="2:24" x14ac:dyDescent="0.25">
      <c r="B185" t="s">
        <v>2709</v>
      </c>
      <c r="C185">
        <v>3028310</v>
      </c>
      <c r="E185">
        <v>0</v>
      </c>
      <c r="F185">
        <v>7</v>
      </c>
      <c r="G185">
        <v>0</v>
      </c>
      <c r="H185" t="s">
        <v>19447</v>
      </c>
      <c r="I185" t="s">
        <v>19447</v>
      </c>
      <c r="J185">
        <v>10</v>
      </c>
      <c r="L185" t="s">
        <v>2709</v>
      </c>
      <c r="M185">
        <v>3028310</v>
      </c>
      <c r="O185" t="s">
        <v>19900</v>
      </c>
      <c r="P185" t="s">
        <v>19908</v>
      </c>
      <c r="Q185" t="s">
        <v>19900</v>
      </c>
      <c r="R185" t="s">
        <v>19447</v>
      </c>
      <c r="S185" t="s">
        <v>19447</v>
      </c>
      <c r="T185" t="s">
        <v>19904</v>
      </c>
      <c r="W185" s="49">
        <v>30049069</v>
      </c>
      <c r="X185" s="50">
        <f>VLOOKUP(PISCOFINS!$W185,PISCOFINS!$C$3:$J$10518,7,0)</f>
        <v>2.1</v>
      </c>
    </row>
    <row r="186" spans="2:24" x14ac:dyDescent="0.25">
      <c r="B186" t="s">
        <v>2709</v>
      </c>
      <c r="C186">
        <v>3028320</v>
      </c>
      <c r="E186">
        <v>0</v>
      </c>
      <c r="F186">
        <v>7</v>
      </c>
      <c r="G186">
        <v>0</v>
      </c>
      <c r="H186" t="s">
        <v>19447</v>
      </c>
      <c r="I186" t="s">
        <v>19447</v>
      </c>
      <c r="J186">
        <v>10</v>
      </c>
      <c r="L186" t="s">
        <v>2709</v>
      </c>
      <c r="M186">
        <v>3028320</v>
      </c>
      <c r="O186" t="s">
        <v>19900</v>
      </c>
      <c r="P186" t="s">
        <v>19908</v>
      </c>
      <c r="Q186" t="s">
        <v>19900</v>
      </c>
      <c r="R186" t="s">
        <v>19447</v>
      </c>
      <c r="S186" t="s">
        <v>19447</v>
      </c>
      <c r="T186" t="s">
        <v>19904</v>
      </c>
      <c r="W186" s="50">
        <v>30049069</v>
      </c>
      <c r="X186" s="50">
        <f>VLOOKUP(PISCOFINS!$W186,PISCOFINS!$C$3:$J$10518,7,0)</f>
        <v>2.1</v>
      </c>
    </row>
    <row r="187" spans="2:24" x14ac:dyDescent="0.25">
      <c r="B187" t="s">
        <v>2709</v>
      </c>
      <c r="C187">
        <v>3028400</v>
      </c>
      <c r="E187">
        <v>0</v>
      </c>
      <c r="F187">
        <v>7</v>
      </c>
      <c r="G187">
        <v>0</v>
      </c>
      <c r="H187" t="s">
        <v>19447</v>
      </c>
      <c r="I187" t="s">
        <v>19447</v>
      </c>
      <c r="J187">
        <v>10</v>
      </c>
      <c r="L187" t="s">
        <v>2709</v>
      </c>
      <c r="M187">
        <v>3028400</v>
      </c>
      <c r="O187" t="s">
        <v>19900</v>
      </c>
      <c r="P187" t="s">
        <v>19908</v>
      </c>
      <c r="Q187" t="s">
        <v>19900</v>
      </c>
      <c r="R187" t="s">
        <v>19447</v>
      </c>
      <c r="S187" t="s">
        <v>19447</v>
      </c>
      <c r="T187" t="s">
        <v>19904</v>
      </c>
      <c r="W187" s="49">
        <v>30049069</v>
      </c>
      <c r="X187" s="50">
        <f>VLOOKUP(PISCOFINS!$W187,PISCOFINS!$C$3:$J$10518,7,0)</f>
        <v>2.1</v>
      </c>
    </row>
    <row r="188" spans="2:24" x14ac:dyDescent="0.25">
      <c r="B188" t="s">
        <v>2709</v>
      </c>
      <c r="C188">
        <v>3028500</v>
      </c>
      <c r="E188">
        <v>0</v>
      </c>
      <c r="F188">
        <v>7</v>
      </c>
      <c r="G188">
        <v>0</v>
      </c>
      <c r="H188" t="s">
        <v>19447</v>
      </c>
      <c r="I188" t="s">
        <v>19447</v>
      </c>
      <c r="J188">
        <v>10</v>
      </c>
      <c r="L188" t="s">
        <v>2709</v>
      </c>
      <c r="M188">
        <v>3028500</v>
      </c>
      <c r="O188" t="s">
        <v>19900</v>
      </c>
      <c r="P188" t="s">
        <v>19908</v>
      </c>
      <c r="Q188" t="s">
        <v>19900</v>
      </c>
      <c r="R188" t="s">
        <v>19447</v>
      </c>
      <c r="S188" t="s">
        <v>19447</v>
      </c>
      <c r="T188" t="s">
        <v>19904</v>
      </c>
      <c r="W188" s="50">
        <v>30049069</v>
      </c>
      <c r="X188" s="50">
        <f>VLOOKUP(PISCOFINS!$W188,PISCOFINS!$C$3:$J$10518,7,0)</f>
        <v>2.1</v>
      </c>
    </row>
    <row r="189" spans="2:24" x14ac:dyDescent="0.25">
      <c r="B189" t="s">
        <v>2709</v>
      </c>
      <c r="C189">
        <v>3028911</v>
      </c>
      <c r="E189">
        <v>0</v>
      </c>
      <c r="F189">
        <v>7</v>
      </c>
      <c r="G189">
        <v>0</v>
      </c>
      <c r="H189" t="s">
        <v>19447</v>
      </c>
      <c r="I189" t="s">
        <v>19447</v>
      </c>
      <c r="J189">
        <v>10</v>
      </c>
      <c r="L189" t="s">
        <v>2709</v>
      </c>
      <c r="M189">
        <v>3028911</v>
      </c>
      <c r="O189" t="s">
        <v>19900</v>
      </c>
      <c r="P189" t="s">
        <v>19908</v>
      </c>
      <c r="Q189" t="s">
        <v>19900</v>
      </c>
      <c r="R189" t="s">
        <v>19447</v>
      </c>
      <c r="S189" t="s">
        <v>19447</v>
      </c>
      <c r="T189" t="s">
        <v>19904</v>
      </c>
      <c r="W189" s="49">
        <v>30049069</v>
      </c>
      <c r="X189" s="50">
        <f>VLOOKUP(PISCOFINS!$W189,PISCOFINS!$C$3:$J$10518,7,0)</f>
        <v>2.1</v>
      </c>
    </row>
    <row r="190" spans="2:24" x14ac:dyDescent="0.25">
      <c r="B190" t="s">
        <v>2709</v>
      </c>
      <c r="C190">
        <v>3028912</v>
      </c>
      <c r="E190">
        <v>0</v>
      </c>
      <c r="F190">
        <v>7</v>
      </c>
      <c r="G190">
        <v>0</v>
      </c>
      <c r="H190" t="s">
        <v>19447</v>
      </c>
      <c r="I190" t="s">
        <v>19447</v>
      </c>
      <c r="J190">
        <v>10</v>
      </c>
      <c r="L190" t="s">
        <v>2709</v>
      </c>
      <c r="M190">
        <v>3028912</v>
      </c>
      <c r="O190" t="s">
        <v>19900</v>
      </c>
      <c r="P190" t="s">
        <v>19908</v>
      </c>
      <c r="Q190" t="s">
        <v>19900</v>
      </c>
      <c r="R190" t="s">
        <v>19447</v>
      </c>
      <c r="S190" t="s">
        <v>19447</v>
      </c>
      <c r="T190" t="s">
        <v>19904</v>
      </c>
      <c r="W190" s="50">
        <v>30049069</v>
      </c>
      <c r="X190" s="50">
        <f>VLOOKUP(PISCOFINS!$W190,PISCOFINS!$C$3:$J$10518,7,0)</f>
        <v>2.1</v>
      </c>
    </row>
    <row r="191" spans="2:24" x14ac:dyDescent="0.25">
      <c r="B191" t="s">
        <v>2709</v>
      </c>
      <c r="C191">
        <v>3028921</v>
      </c>
      <c r="E191">
        <v>0</v>
      </c>
      <c r="F191">
        <v>7</v>
      </c>
      <c r="G191">
        <v>0</v>
      </c>
      <c r="H191" t="s">
        <v>19447</v>
      </c>
      <c r="I191" t="s">
        <v>19447</v>
      </c>
      <c r="J191">
        <v>10</v>
      </c>
      <c r="L191" t="s">
        <v>2709</v>
      </c>
      <c r="M191">
        <v>3028921</v>
      </c>
      <c r="O191" t="s">
        <v>19900</v>
      </c>
      <c r="P191" t="s">
        <v>19908</v>
      </c>
      <c r="Q191" t="s">
        <v>19900</v>
      </c>
      <c r="R191" t="s">
        <v>19447</v>
      </c>
      <c r="S191" t="s">
        <v>19447</v>
      </c>
      <c r="T191" t="s">
        <v>19904</v>
      </c>
      <c r="W191" s="49">
        <v>30049069</v>
      </c>
      <c r="X191" s="50">
        <f>VLOOKUP(PISCOFINS!$W191,PISCOFINS!$C$3:$J$10518,7,0)</f>
        <v>2.1</v>
      </c>
    </row>
    <row r="192" spans="2:24" x14ac:dyDescent="0.25">
      <c r="B192" t="s">
        <v>2709</v>
      </c>
      <c r="C192">
        <v>3028922</v>
      </c>
      <c r="E192">
        <v>0</v>
      </c>
      <c r="F192">
        <v>7</v>
      </c>
      <c r="G192">
        <v>0</v>
      </c>
      <c r="H192" t="s">
        <v>19447</v>
      </c>
      <c r="I192" t="s">
        <v>19447</v>
      </c>
      <c r="J192">
        <v>10</v>
      </c>
      <c r="L192" t="s">
        <v>2709</v>
      </c>
      <c r="M192">
        <v>3028922</v>
      </c>
      <c r="O192" t="s">
        <v>19900</v>
      </c>
      <c r="P192" t="s">
        <v>19908</v>
      </c>
      <c r="Q192" t="s">
        <v>19900</v>
      </c>
      <c r="R192" t="s">
        <v>19447</v>
      </c>
      <c r="S192" t="s">
        <v>19447</v>
      </c>
      <c r="T192" t="s">
        <v>19904</v>
      </c>
      <c r="W192" s="50">
        <v>30049069</v>
      </c>
      <c r="X192" s="50">
        <f>VLOOKUP(PISCOFINS!$W192,PISCOFINS!$C$3:$J$10518,7,0)</f>
        <v>2.1</v>
      </c>
    </row>
    <row r="193" spans="2:24" x14ac:dyDescent="0.25">
      <c r="B193" t="s">
        <v>2709</v>
      </c>
      <c r="C193">
        <v>3028923</v>
      </c>
      <c r="E193">
        <v>0</v>
      </c>
      <c r="F193">
        <v>7</v>
      </c>
      <c r="G193">
        <v>0</v>
      </c>
      <c r="H193" t="s">
        <v>19447</v>
      </c>
      <c r="I193" t="s">
        <v>19447</v>
      </c>
      <c r="J193">
        <v>10</v>
      </c>
      <c r="L193" t="s">
        <v>2709</v>
      </c>
      <c r="M193">
        <v>3028923</v>
      </c>
      <c r="O193" t="s">
        <v>19900</v>
      </c>
      <c r="P193" t="s">
        <v>19908</v>
      </c>
      <c r="Q193" t="s">
        <v>19900</v>
      </c>
      <c r="R193" t="s">
        <v>19447</v>
      </c>
      <c r="S193" t="s">
        <v>19447</v>
      </c>
      <c r="T193" t="s">
        <v>19904</v>
      </c>
      <c r="W193" s="49">
        <v>30049069</v>
      </c>
      <c r="X193" s="50">
        <f>VLOOKUP(PISCOFINS!$W193,PISCOFINS!$C$3:$J$10518,7,0)</f>
        <v>2.1</v>
      </c>
    </row>
    <row r="194" spans="2:24" x14ac:dyDescent="0.25">
      <c r="B194" t="s">
        <v>2709</v>
      </c>
      <c r="C194">
        <v>3028924</v>
      </c>
      <c r="E194">
        <v>0</v>
      </c>
      <c r="F194">
        <v>7</v>
      </c>
      <c r="G194">
        <v>0</v>
      </c>
      <c r="H194" t="s">
        <v>19447</v>
      </c>
      <c r="I194" t="s">
        <v>19447</v>
      </c>
      <c r="J194">
        <v>10</v>
      </c>
      <c r="L194" t="s">
        <v>2709</v>
      </c>
      <c r="M194">
        <v>3028924</v>
      </c>
      <c r="O194" t="s">
        <v>19900</v>
      </c>
      <c r="P194" t="s">
        <v>19908</v>
      </c>
      <c r="Q194" t="s">
        <v>19900</v>
      </c>
      <c r="R194" t="s">
        <v>19447</v>
      </c>
      <c r="S194" t="s">
        <v>19447</v>
      </c>
      <c r="T194" t="s">
        <v>19904</v>
      </c>
      <c r="W194" s="50">
        <v>30049069</v>
      </c>
      <c r="X194" s="50">
        <f>VLOOKUP(PISCOFINS!$W194,PISCOFINS!$C$3:$J$10518,7,0)</f>
        <v>2.1</v>
      </c>
    </row>
    <row r="195" spans="2:24" x14ac:dyDescent="0.25">
      <c r="B195" t="s">
        <v>2709</v>
      </c>
      <c r="C195">
        <v>3028931</v>
      </c>
      <c r="E195">
        <v>0</v>
      </c>
      <c r="F195">
        <v>7</v>
      </c>
      <c r="G195">
        <v>0</v>
      </c>
      <c r="H195" t="s">
        <v>19447</v>
      </c>
      <c r="I195" t="s">
        <v>19447</v>
      </c>
      <c r="J195">
        <v>10</v>
      </c>
      <c r="L195" t="s">
        <v>2709</v>
      </c>
      <c r="M195">
        <v>3028931</v>
      </c>
      <c r="O195" t="s">
        <v>19900</v>
      </c>
      <c r="P195" t="s">
        <v>19908</v>
      </c>
      <c r="Q195" t="s">
        <v>19900</v>
      </c>
      <c r="R195" t="s">
        <v>19447</v>
      </c>
      <c r="S195" t="s">
        <v>19447</v>
      </c>
      <c r="T195" t="s">
        <v>19904</v>
      </c>
      <c r="W195" s="49">
        <v>30049069</v>
      </c>
      <c r="X195" s="50">
        <f>VLOOKUP(PISCOFINS!$W195,PISCOFINS!$C$3:$J$10518,7,0)</f>
        <v>2.1</v>
      </c>
    </row>
    <row r="196" spans="2:24" x14ac:dyDescent="0.25">
      <c r="B196" t="s">
        <v>2709</v>
      </c>
      <c r="C196">
        <v>3028932</v>
      </c>
      <c r="E196">
        <v>0</v>
      </c>
      <c r="F196">
        <v>7</v>
      </c>
      <c r="G196">
        <v>0</v>
      </c>
      <c r="H196" t="s">
        <v>19447</v>
      </c>
      <c r="I196" t="s">
        <v>19447</v>
      </c>
      <c r="J196">
        <v>10</v>
      </c>
      <c r="L196" t="s">
        <v>2709</v>
      </c>
      <c r="M196">
        <v>3028932</v>
      </c>
      <c r="O196" t="s">
        <v>19900</v>
      </c>
      <c r="P196" t="s">
        <v>19908</v>
      </c>
      <c r="Q196" t="s">
        <v>19900</v>
      </c>
      <c r="R196" t="s">
        <v>19447</v>
      </c>
      <c r="S196" t="s">
        <v>19447</v>
      </c>
      <c r="T196" t="s">
        <v>19904</v>
      </c>
      <c r="W196" s="50">
        <v>30049069</v>
      </c>
      <c r="X196" s="50">
        <f>VLOOKUP(PISCOFINS!$W196,PISCOFINS!$C$3:$J$10518,7,0)</f>
        <v>2.1</v>
      </c>
    </row>
    <row r="197" spans="2:24" x14ac:dyDescent="0.25">
      <c r="B197" t="s">
        <v>2709</v>
      </c>
      <c r="C197">
        <v>3028933</v>
      </c>
      <c r="E197">
        <v>0</v>
      </c>
      <c r="F197">
        <v>7</v>
      </c>
      <c r="G197">
        <v>0</v>
      </c>
      <c r="H197" t="s">
        <v>19447</v>
      </c>
      <c r="I197" t="s">
        <v>19447</v>
      </c>
      <c r="J197">
        <v>10</v>
      </c>
      <c r="L197" t="s">
        <v>2709</v>
      </c>
      <c r="M197">
        <v>3028933</v>
      </c>
      <c r="O197" t="s">
        <v>19900</v>
      </c>
      <c r="P197" t="s">
        <v>19908</v>
      </c>
      <c r="Q197" t="s">
        <v>19900</v>
      </c>
      <c r="R197" t="s">
        <v>19447</v>
      </c>
      <c r="S197" t="s">
        <v>19447</v>
      </c>
      <c r="T197" t="s">
        <v>19904</v>
      </c>
      <c r="W197" s="49">
        <v>30049069</v>
      </c>
      <c r="X197" s="50">
        <f>VLOOKUP(PISCOFINS!$W197,PISCOFINS!$C$3:$J$10518,7,0)</f>
        <v>2.1</v>
      </c>
    </row>
    <row r="198" spans="2:24" x14ac:dyDescent="0.25">
      <c r="B198" t="s">
        <v>2709</v>
      </c>
      <c r="C198">
        <v>3028934</v>
      </c>
      <c r="E198">
        <v>0</v>
      </c>
      <c r="F198">
        <v>7</v>
      </c>
      <c r="G198">
        <v>0</v>
      </c>
      <c r="H198" t="s">
        <v>19447</v>
      </c>
      <c r="I198" t="s">
        <v>19447</v>
      </c>
      <c r="J198">
        <v>10</v>
      </c>
      <c r="L198" t="s">
        <v>2709</v>
      </c>
      <c r="M198">
        <v>3028934</v>
      </c>
      <c r="O198" t="s">
        <v>19900</v>
      </c>
      <c r="P198" t="s">
        <v>19908</v>
      </c>
      <c r="Q198" t="s">
        <v>19900</v>
      </c>
      <c r="R198" t="s">
        <v>19447</v>
      </c>
      <c r="S198" t="s">
        <v>19447</v>
      </c>
      <c r="T198" t="s">
        <v>19904</v>
      </c>
      <c r="W198" s="50">
        <v>30049067</v>
      </c>
      <c r="X198" s="50">
        <f>VLOOKUP(PISCOFINS!$W198,PISCOFINS!$C$3:$J$10518,7,0)</f>
        <v>2.1</v>
      </c>
    </row>
    <row r="199" spans="2:24" x14ac:dyDescent="0.25">
      <c r="B199" t="s">
        <v>2709</v>
      </c>
      <c r="C199">
        <v>3028935</v>
      </c>
      <c r="E199">
        <v>0</v>
      </c>
      <c r="F199">
        <v>7</v>
      </c>
      <c r="G199">
        <v>0</v>
      </c>
      <c r="H199" t="s">
        <v>19447</v>
      </c>
      <c r="I199" t="s">
        <v>19447</v>
      </c>
      <c r="J199">
        <v>10</v>
      </c>
      <c r="L199" t="s">
        <v>2709</v>
      </c>
      <c r="M199">
        <v>3028935</v>
      </c>
      <c r="O199" t="s">
        <v>19900</v>
      </c>
      <c r="P199" t="s">
        <v>19908</v>
      </c>
      <c r="Q199" t="s">
        <v>19900</v>
      </c>
      <c r="R199" t="s">
        <v>19447</v>
      </c>
      <c r="S199" t="s">
        <v>19447</v>
      </c>
      <c r="T199" t="s">
        <v>19904</v>
      </c>
      <c r="W199" s="49">
        <v>30049067</v>
      </c>
      <c r="X199" s="50">
        <f>VLOOKUP(PISCOFINS!$W199,PISCOFINS!$C$3:$J$10518,7,0)</f>
        <v>2.1</v>
      </c>
    </row>
    <row r="200" spans="2:24" x14ac:dyDescent="0.25">
      <c r="B200" t="s">
        <v>2709</v>
      </c>
      <c r="C200">
        <v>3028936</v>
      </c>
      <c r="E200">
        <v>0</v>
      </c>
      <c r="F200">
        <v>7</v>
      </c>
      <c r="G200">
        <v>0</v>
      </c>
      <c r="H200" t="s">
        <v>19447</v>
      </c>
      <c r="I200" t="s">
        <v>19447</v>
      </c>
      <c r="J200">
        <v>10</v>
      </c>
      <c r="L200" t="s">
        <v>2709</v>
      </c>
      <c r="M200">
        <v>3028936</v>
      </c>
      <c r="O200" t="s">
        <v>19900</v>
      </c>
      <c r="P200" t="s">
        <v>19908</v>
      </c>
      <c r="Q200" t="s">
        <v>19900</v>
      </c>
      <c r="R200" t="s">
        <v>19447</v>
      </c>
      <c r="S200" t="s">
        <v>19447</v>
      </c>
      <c r="T200" t="s">
        <v>19904</v>
      </c>
      <c r="W200" s="50">
        <v>30049067</v>
      </c>
      <c r="X200" s="50">
        <f>VLOOKUP(PISCOFINS!$W200,PISCOFINS!$C$3:$J$10518,7,0)</f>
        <v>2.1</v>
      </c>
    </row>
    <row r="201" spans="2:24" x14ac:dyDescent="0.25">
      <c r="B201" t="s">
        <v>2709</v>
      </c>
      <c r="C201">
        <v>3028937</v>
      </c>
      <c r="E201">
        <v>0</v>
      </c>
      <c r="F201">
        <v>7</v>
      </c>
      <c r="G201">
        <v>0</v>
      </c>
      <c r="H201" t="s">
        <v>19447</v>
      </c>
      <c r="I201" t="s">
        <v>19447</v>
      </c>
      <c r="J201">
        <v>10</v>
      </c>
      <c r="L201" t="s">
        <v>2709</v>
      </c>
      <c r="M201">
        <v>3028937</v>
      </c>
      <c r="O201" t="s">
        <v>19900</v>
      </c>
      <c r="P201" t="s">
        <v>19908</v>
      </c>
      <c r="Q201" t="s">
        <v>19900</v>
      </c>
      <c r="R201" t="s">
        <v>19447</v>
      </c>
      <c r="S201" t="s">
        <v>19447</v>
      </c>
      <c r="T201" t="s">
        <v>19904</v>
      </c>
      <c r="W201" s="49">
        <v>30049067</v>
      </c>
      <c r="X201" s="50">
        <f>VLOOKUP(PISCOFINS!$W201,PISCOFINS!$C$3:$J$10518,7,0)</f>
        <v>2.1</v>
      </c>
    </row>
    <row r="202" spans="2:24" x14ac:dyDescent="0.25">
      <c r="B202" t="s">
        <v>2709</v>
      </c>
      <c r="C202">
        <v>3028938</v>
      </c>
      <c r="E202">
        <v>0</v>
      </c>
      <c r="F202">
        <v>7</v>
      </c>
      <c r="G202">
        <v>0</v>
      </c>
      <c r="H202" t="s">
        <v>19447</v>
      </c>
      <c r="I202" t="s">
        <v>19447</v>
      </c>
      <c r="J202">
        <v>10</v>
      </c>
      <c r="L202" t="s">
        <v>2709</v>
      </c>
      <c r="M202">
        <v>3028938</v>
      </c>
      <c r="O202" t="s">
        <v>19900</v>
      </c>
      <c r="P202" t="s">
        <v>19908</v>
      </c>
      <c r="Q202" t="s">
        <v>19900</v>
      </c>
      <c r="R202" t="s">
        <v>19447</v>
      </c>
      <c r="S202" t="s">
        <v>19447</v>
      </c>
      <c r="T202" t="s">
        <v>19904</v>
      </c>
      <c r="W202" s="50">
        <v>30049062</v>
      </c>
      <c r="X202" s="50">
        <f>VLOOKUP(PISCOFINS!$W202,PISCOFINS!$C$3:$J$10518,7,0)</f>
        <v>2.1</v>
      </c>
    </row>
    <row r="203" spans="2:24" x14ac:dyDescent="0.25">
      <c r="B203" t="s">
        <v>2709</v>
      </c>
      <c r="C203">
        <v>3028941</v>
      </c>
      <c r="E203">
        <v>0</v>
      </c>
      <c r="F203">
        <v>7</v>
      </c>
      <c r="G203">
        <v>0</v>
      </c>
      <c r="H203" t="s">
        <v>19447</v>
      </c>
      <c r="I203" t="s">
        <v>19447</v>
      </c>
      <c r="J203">
        <v>10</v>
      </c>
      <c r="L203" t="s">
        <v>2709</v>
      </c>
      <c r="M203">
        <v>3028941</v>
      </c>
      <c r="O203" t="s">
        <v>19900</v>
      </c>
      <c r="P203" t="s">
        <v>19908</v>
      </c>
      <c r="Q203" t="s">
        <v>19900</v>
      </c>
      <c r="R203" t="s">
        <v>19447</v>
      </c>
      <c r="S203" t="s">
        <v>19447</v>
      </c>
      <c r="T203" t="s">
        <v>19904</v>
      </c>
      <c r="W203" s="49">
        <v>30049062</v>
      </c>
      <c r="X203" s="50">
        <f>VLOOKUP(PISCOFINS!$W203,PISCOFINS!$C$3:$J$10518,7,0)</f>
        <v>2.1</v>
      </c>
    </row>
    <row r="204" spans="2:24" x14ac:dyDescent="0.25">
      <c r="B204" t="s">
        <v>2709</v>
      </c>
      <c r="C204">
        <v>3028942</v>
      </c>
      <c r="E204">
        <v>0</v>
      </c>
      <c r="F204">
        <v>7</v>
      </c>
      <c r="G204">
        <v>0</v>
      </c>
      <c r="H204" t="s">
        <v>19447</v>
      </c>
      <c r="I204" t="s">
        <v>19447</v>
      </c>
      <c r="J204">
        <v>10</v>
      </c>
      <c r="L204" t="s">
        <v>2709</v>
      </c>
      <c r="M204">
        <v>3028942</v>
      </c>
      <c r="O204" t="s">
        <v>19900</v>
      </c>
      <c r="P204" t="s">
        <v>19908</v>
      </c>
      <c r="Q204" t="s">
        <v>19900</v>
      </c>
      <c r="R204" t="s">
        <v>19447</v>
      </c>
      <c r="S204" t="s">
        <v>19447</v>
      </c>
      <c r="T204" t="s">
        <v>19904</v>
      </c>
      <c r="W204" s="50">
        <v>30049062</v>
      </c>
      <c r="X204" s="50">
        <f>VLOOKUP(PISCOFINS!$W204,PISCOFINS!$C$3:$J$10518,7,0)</f>
        <v>2.1</v>
      </c>
    </row>
    <row r="205" spans="2:24" x14ac:dyDescent="0.25">
      <c r="B205" t="s">
        <v>2709</v>
      </c>
      <c r="C205">
        <v>3028943</v>
      </c>
      <c r="E205">
        <v>0</v>
      </c>
      <c r="F205">
        <v>7</v>
      </c>
      <c r="G205">
        <v>0</v>
      </c>
      <c r="H205" t="s">
        <v>19447</v>
      </c>
      <c r="I205" t="s">
        <v>19447</v>
      </c>
      <c r="J205">
        <v>10</v>
      </c>
      <c r="L205" t="s">
        <v>2709</v>
      </c>
      <c r="M205">
        <v>3028943</v>
      </c>
      <c r="O205" t="s">
        <v>19900</v>
      </c>
      <c r="P205" t="s">
        <v>19908</v>
      </c>
      <c r="Q205" t="s">
        <v>19900</v>
      </c>
      <c r="R205" t="s">
        <v>19447</v>
      </c>
      <c r="S205" t="s">
        <v>19447</v>
      </c>
      <c r="T205" t="s">
        <v>19904</v>
      </c>
      <c r="W205" s="49">
        <v>30049062</v>
      </c>
      <c r="X205" s="50">
        <f>VLOOKUP(PISCOFINS!$W205,PISCOFINS!$C$3:$J$10518,7,0)</f>
        <v>2.1</v>
      </c>
    </row>
    <row r="206" spans="2:24" x14ac:dyDescent="0.25">
      <c r="B206" t="s">
        <v>2709</v>
      </c>
      <c r="C206">
        <v>3028944</v>
      </c>
      <c r="E206">
        <v>0</v>
      </c>
      <c r="F206">
        <v>7</v>
      </c>
      <c r="G206">
        <v>0</v>
      </c>
      <c r="H206" t="s">
        <v>19447</v>
      </c>
      <c r="I206" t="s">
        <v>19447</v>
      </c>
      <c r="J206">
        <v>10</v>
      </c>
      <c r="L206" t="s">
        <v>2709</v>
      </c>
      <c r="M206">
        <v>3028944</v>
      </c>
      <c r="O206" t="s">
        <v>19900</v>
      </c>
      <c r="P206" t="s">
        <v>19908</v>
      </c>
      <c r="Q206" t="s">
        <v>19900</v>
      </c>
      <c r="R206" t="s">
        <v>19447</v>
      </c>
      <c r="S206" t="s">
        <v>19447</v>
      </c>
      <c r="T206" t="s">
        <v>19904</v>
      </c>
      <c r="W206" s="50">
        <v>30049059</v>
      </c>
      <c r="X206" s="50">
        <f>VLOOKUP(PISCOFINS!$W206,PISCOFINS!$C$3:$J$10518,7,0)</f>
        <v>2.1</v>
      </c>
    </row>
    <row r="207" spans="2:24" x14ac:dyDescent="0.25">
      <c r="B207" t="s">
        <v>2709</v>
      </c>
      <c r="C207">
        <v>3028945</v>
      </c>
      <c r="E207">
        <v>0</v>
      </c>
      <c r="F207">
        <v>7</v>
      </c>
      <c r="G207">
        <v>0</v>
      </c>
      <c r="H207" t="s">
        <v>19447</v>
      </c>
      <c r="I207" t="s">
        <v>19447</v>
      </c>
      <c r="J207">
        <v>10</v>
      </c>
      <c r="L207" t="s">
        <v>2709</v>
      </c>
      <c r="M207">
        <v>3028945</v>
      </c>
      <c r="O207" t="s">
        <v>19900</v>
      </c>
      <c r="P207" t="s">
        <v>19908</v>
      </c>
      <c r="Q207" t="s">
        <v>19900</v>
      </c>
      <c r="R207" t="s">
        <v>19447</v>
      </c>
      <c r="S207" t="s">
        <v>19447</v>
      </c>
      <c r="T207" t="s">
        <v>19904</v>
      </c>
      <c r="W207" s="49">
        <v>30049059</v>
      </c>
      <c r="X207" s="50">
        <f>VLOOKUP(PISCOFINS!$W207,PISCOFINS!$C$3:$J$10518,7,0)</f>
        <v>2.1</v>
      </c>
    </row>
    <row r="208" spans="2:24" x14ac:dyDescent="0.25">
      <c r="B208" t="s">
        <v>2709</v>
      </c>
      <c r="C208">
        <v>3028990</v>
      </c>
      <c r="E208">
        <v>0</v>
      </c>
      <c r="F208">
        <v>7</v>
      </c>
      <c r="G208">
        <v>0</v>
      </c>
      <c r="H208" t="s">
        <v>19447</v>
      </c>
      <c r="I208" t="s">
        <v>19447</v>
      </c>
      <c r="J208">
        <v>10</v>
      </c>
      <c r="L208" t="s">
        <v>2709</v>
      </c>
      <c r="M208">
        <v>3028990</v>
      </c>
      <c r="O208" t="s">
        <v>19900</v>
      </c>
      <c r="P208" t="s">
        <v>19908</v>
      </c>
      <c r="Q208" t="s">
        <v>19900</v>
      </c>
      <c r="R208" t="s">
        <v>19447</v>
      </c>
      <c r="S208" t="s">
        <v>19447</v>
      </c>
      <c r="T208" t="s">
        <v>19904</v>
      </c>
      <c r="W208" s="50">
        <v>30049059</v>
      </c>
      <c r="X208" s="50">
        <f>VLOOKUP(PISCOFINS!$W208,PISCOFINS!$C$3:$J$10518,7,0)</f>
        <v>2.1</v>
      </c>
    </row>
    <row r="209" spans="2:24" x14ac:dyDescent="0.25">
      <c r="B209" t="s">
        <v>2709</v>
      </c>
      <c r="C209">
        <v>3029000</v>
      </c>
      <c r="E209">
        <v>0</v>
      </c>
      <c r="F209">
        <v>7</v>
      </c>
      <c r="G209">
        <v>0</v>
      </c>
      <c r="H209" t="s">
        <v>19447</v>
      </c>
      <c r="I209" t="s">
        <v>19447</v>
      </c>
      <c r="J209">
        <v>10</v>
      </c>
      <c r="L209" t="s">
        <v>2709</v>
      </c>
      <c r="M209">
        <v>3029000</v>
      </c>
      <c r="O209" t="s">
        <v>19900</v>
      </c>
      <c r="P209" t="s">
        <v>19908</v>
      </c>
      <c r="Q209" t="s">
        <v>19900</v>
      </c>
      <c r="R209" t="s">
        <v>19447</v>
      </c>
      <c r="S209" t="s">
        <v>19447</v>
      </c>
      <c r="T209" t="s">
        <v>19904</v>
      </c>
      <c r="W209" s="49">
        <v>30049059</v>
      </c>
      <c r="X209" s="50">
        <f>VLOOKUP(PISCOFINS!$W209,PISCOFINS!$C$3:$J$10518,7,0)</f>
        <v>2.1</v>
      </c>
    </row>
    <row r="210" spans="2:24" x14ac:dyDescent="0.25">
      <c r="B210" t="s">
        <v>2709</v>
      </c>
      <c r="C210">
        <v>3031100</v>
      </c>
      <c r="E210">
        <v>0</v>
      </c>
      <c r="F210">
        <v>7</v>
      </c>
      <c r="G210">
        <v>0</v>
      </c>
      <c r="H210" t="s">
        <v>19447</v>
      </c>
      <c r="I210" t="s">
        <v>19447</v>
      </c>
      <c r="J210">
        <v>10</v>
      </c>
      <c r="L210" t="s">
        <v>2709</v>
      </c>
      <c r="M210">
        <v>3031100</v>
      </c>
      <c r="O210" t="s">
        <v>19900</v>
      </c>
      <c r="P210" t="s">
        <v>19908</v>
      </c>
      <c r="Q210" t="s">
        <v>19900</v>
      </c>
      <c r="R210" t="s">
        <v>19447</v>
      </c>
      <c r="S210" t="s">
        <v>19447</v>
      </c>
      <c r="T210" t="s">
        <v>19904</v>
      </c>
      <c r="W210" s="50">
        <v>30049059</v>
      </c>
      <c r="X210" s="50">
        <f>VLOOKUP(PISCOFINS!$W210,PISCOFINS!$C$3:$J$10518,7,0)</f>
        <v>2.1</v>
      </c>
    </row>
    <row r="211" spans="2:24" x14ac:dyDescent="0.25">
      <c r="B211" t="s">
        <v>2709</v>
      </c>
      <c r="C211">
        <v>3031200</v>
      </c>
      <c r="E211">
        <v>0</v>
      </c>
      <c r="F211">
        <v>7</v>
      </c>
      <c r="G211">
        <v>0</v>
      </c>
      <c r="H211" t="s">
        <v>19447</v>
      </c>
      <c r="I211" t="s">
        <v>19447</v>
      </c>
      <c r="J211">
        <v>10</v>
      </c>
      <c r="L211" t="s">
        <v>2709</v>
      </c>
      <c r="M211">
        <v>3031200</v>
      </c>
      <c r="O211" t="s">
        <v>19900</v>
      </c>
      <c r="P211" t="s">
        <v>19908</v>
      </c>
      <c r="Q211" t="s">
        <v>19900</v>
      </c>
      <c r="R211" t="s">
        <v>19447</v>
      </c>
      <c r="S211" t="s">
        <v>19447</v>
      </c>
      <c r="T211" t="s">
        <v>19904</v>
      </c>
      <c r="W211" s="49">
        <v>30049059</v>
      </c>
      <c r="X211" s="50">
        <f>VLOOKUP(PISCOFINS!$W211,PISCOFINS!$C$3:$J$10518,7,0)</f>
        <v>2.1</v>
      </c>
    </row>
    <row r="212" spans="2:24" x14ac:dyDescent="0.25">
      <c r="B212" t="s">
        <v>2709</v>
      </c>
      <c r="C212">
        <v>3031300</v>
      </c>
      <c r="E212">
        <v>0</v>
      </c>
      <c r="F212">
        <v>7</v>
      </c>
      <c r="G212">
        <v>0</v>
      </c>
      <c r="H212" t="s">
        <v>19447</v>
      </c>
      <c r="I212" t="s">
        <v>19447</v>
      </c>
      <c r="J212">
        <v>10</v>
      </c>
      <c r="L212" t="s">
        <v>2709</v>
      </c>
      <c r="M212">
        <v>3031300</v>
      </c>
      <c r="O212" t="s">
        <v>19900</v>
      </c>
      <c r="P212" t="s">
        <v>19908</v>
      </c>
      <c r="Q212" t="s">
        <v>19900</v>
      </c>
      <c r="R212" t="s">
        <v>19447</v>
      </c>
      <c r="S212" t="s">
        <v>19447</v>
      </c>
      <c r="T212" t="s">
        <v>19904</v>
      </c>
      <c r="W212" s="50">
        <v>30049059</v>
      </c>
      <c r="X212" s="50">
        <f>VLOOKUP(PISCOFINS!$W212,PISCOFINS!$C$3:$J$10518,7,0)</f>
        <v>2.1</v>
      </c>
    </row>
    <row r="213" spans="2:24" x14ac:dyDescent="0.25">
      <c r="B213" t="s">
        <v>2709</v>
      </c>
      <c r="C213">
        <v>3031400</v>
      </c>
      <c r="E213">
        <v>0</v>
      </c>
      <c r="F213">
        <v>7</v>
      </c>
      <c r="G213">
        <v>0</v>
      </c>
      <c r="H213" t="s">
        <v>19447</v>
      </c>
      <c r="I213" t="s">
        <v>19447</v>
      </c>
      <c r="J213">
        <v>10</v>
      </c>
      <c r="L213" t="s">
        <v>2709</v>
      </c>
      <c r="M213">
        <v>3031400</v>
      </c>
      <c r="O213" t="s">
        <v>19900</v>
      </c>
      <c r="P213" t="s">
        <v>19908</v>
      </c>
      <c r="Q213" t="s">
        <v>19900</v>
      </c>
      <c r="R213" t="s">
        <v>19447</v>
      </c>
      <c r="S213" t="s">
        <v>19447</v>
      </c>
      <c r="T213" t="s">
        <v>19904</v>
      </c>
      <c r="W213" s="49">
        <v>30049059</v>
      </c>
      <c r="X213" s="50">
        <f>VLOOKUP(PISCOFINS!$W213,PISCOFINS!$C$3:$J$10518,7,0)</f>
        <v>2.1</v>
      </c>
    </row>
    <row r="214" spans="2:24" x14ac:dyDescent="0.25">
      <c r="B214" t="s">
        <v>2709</v>
      </c>
      <c r="C214">
        <v>3031900</v>
      </c>
      <c r="E214">
        <v>0</v>
      </c>
      <c r="F214">
        <v>7</v>
      </c>
      <c r="G214">
        <v>0</v>
      </c>
      <c r="H214" t="s">
        <v>19447</v>
      </c>
      <c r="I214" t="s">
        <v>19447</v>
      </c>
      <c r="J214">
        <v>10</v>
      </c>
      <c r="L214" t="s">
        <v>2709</v>
      </c>
      <c r="M214">
        <v>3031900</v>
      </c>
      <c r="O214" t="s">
        <v>19900</v>
      </c>
      <c r="P214" t="s">
        <v>19908</v>
      </c>
      <c r="Q214" t="s">
        <v>19900</v>
      </c>
      <c r="R214" t="s">
        <v>19447</v>
      </c>
      <c r="S214" t="s">
        <v>19447</v>
      </c>
      <c r="T214" t="s">
        <v>19904</v>
      </c>
      <c r="W214" s="50">
        <v>30049059</v>
      </c>
      <c r="X214" s="50">
        <f>VLOOKUP(PISCOFINS!$W214,PISCOFINS!$C$3:$J$10518,7,0)</f>
        <v>2.1</v>
      </c>
    </row>
    <row r="215" spans="2:24" x14ac:dyDescent="0.25">
      <c r="B215" t="s">
        <v>2709</v>
      </c>
      <c r="C215">
        <v>3032300</v>
      </c>
      <c r="E215">
        <v>0</v>
      </c>
      <c r="F215">
        <v>7</v>
      </c>
      <c r="G215">
        <v>0</v>
      </c>
      <c r="H215" t="s">
        <v>19447</v>
      </c>
      <c r="I215" t="s">
        <v>19447</v>
      </c>
      <c r="J215">
        <v>10</v>
      </c>
      <c r="L215" t="s">
        <v>2709</v>
      </c>
      <c r="M215">
        <v>3032300</v>
      </c>
      <c r="O215" t="s">
        <v>19900</v>
      </c>
      <c r="P215" t="s">
        <v>19908</v>
      </c>
      <c r="Q215" t="s">
        <v>19900</v>
      </c>
      <c r="R215" t="s">
        <v>19447</v>
      </c>
      <c r="S215" t="s">
        <v>19447</v>
      </c>
      <c r="T215" t="s">
        <v>19904</v>
      </c>
      <c r="W215" s="49">
        <v>30049059</v>
      </c>
      <c r="X215" s="50">
        <f>VLOOKUP(PISCOFINS!$W215,PISCOFINS!$C$3:$J$10518,7,0)</f>
        <v>2.1</v>
      </c>
    </row>
    <row r="216" spans="2:24" x14ac:dyDescent="0.25">
      <c r="B216" t="s">
        <v>2709</v>
      </c>
      <c r="C216">
        <v>3032410</v>
      </c>
      <c r="E216">
        <v>0</v>
      </c>
      <c r="F216">
        <v>7</v>
      </c>
      <c r="G216">
        <v>0</v>
      </c>
      <c r="H216" t="s">
        <v>19447</v>
      </c>
      <c r="I216" t="s">
        <v>19447</v>
      </c>
      <c r="J216">
        <v>10</v>
      </c>
      <c r="L216" t="s">
        <v>2709</v>
      </c>
      <c r="M216">
        <v>3032410</v>
      </c>
      <c r="O216" t="s">
        <v>19900</v>
      </c>
      <c r="P216" t="s">
        <v>19908</v>
      </c>
      <c r="Q216" t="s">
        <v>19900</v>
      </c>
      <c r="R216" t="s">
        <v>19447</v>
      </c>
      <c r="S216" t="s">
        <v>19447</v>
      </c>
      <c r="T216" t="s">
        <v>19904</v>
      </c>
      <c r="W216" s="50">
        <v>30049059</v>
      </c>
      <c r="X216" s="50">
        <f>VLOOKUP(PISCOFINS!$W216,PISCOFINS!$C$3:$J$10518,7,0)</f>
        <v>2.1</v>
      </c>
    </row>
    <row r="217" spans="2:24" x14ac:dyDescent="0.25">
      <c r="B217" t="s">
        <v>2709</v>
      </c>
      <c r="C217">
        <v>3032490</v>
      </c>
      <c r="E217">
        <v>0</v>
      </c>
      <c r="F217">
        <v>7</v>
      </c>
      <c r="G217">
        <v>0</v>
      </c>
      <c r="H217" t="s">
        <v>19447</v>
      </c>
      <c r="I217" t="s">
        <v>19447</v>
      </c>
      <c r="J217">
        <v>10</v>
      </c>
      <c r="L217" t="s">
        <v>2709</v>
      </c>
      <c r="M217">
        <v>3032490</v>
      </c>
      <c r="O217" t="s">
        <v>19900</v>
      </c>
      <c r="P217" t="s">
        <v>19908</v>
      </c>
      <c r="Q217" t="s">
        <v>19900</v>
      </c>
      <c r="R217" t="s">
        <v>19447</v>
      </c>
      <c r="S217" t="s">
        <v>19447</v>
      </c>
      <c r="T217" t="s">
        <v>19904</v>
      </c>
      <c r="W217" s="49">
        <v>30049059</v>
      </c>
      <c r="X217" s="50">
        <f>VLOOKUP(PISCOFINS!$W217,PISCOFINS!$C$3:$J$10518,7,0)</f>
        <v>2.1</v>
      </c>
    </row>
    <row r="218" spans="2:24" x14ac:dyDescent="0.25">
      <c r="B218" t="s">
        <v>2709</v>
      </c>
      <c r="C218">
        <v>3032500</v>
      </c>
      <c r="E218">
        <v>0</v>
      </c>
      <c r="F218">
        <v>7</v>
      </c>
      <c r="G218">
        <v>0</v>
      </c>
      <c r="H218" t="s">
        <v>19447</v>
      </c>
      <c r="I218" t="s">
        <v>19447</v>
      </c>
      <c r="J218">
        <v>10</v>
      </c>
      <c r="L218" t="s">
        <v>2709</v>
      </c>
      <c r="M218">
        <v>3032500</v>
      </c>
      <c r="O218" t="s">
        <v>19900</v>
      </c>
      <c r="P218" t="s">
        <v>19908</v>
      </c>
      <c r="Q218" t="s">
        <v>19900</v>
      </c>
      <c r="R218" t="s">
        <v>19447</v>
      </c>
      <c r="S218" t="s">
        <v>19447</v>
      </c>
      <c r="T218" t="s">
        <v>19904</v>
      </c>
      <c r="W218" s="50">
        <v>30049059</v>
      </c>
      <c r="X218" s="50">
        <f>VLOOKUP(PISCOFINS!$W218,PISCOFINS!$C$3:$J$10518,7,0)</f>
        <v>2.1</v>
      </c>
    </row>
    <row r="219" spans="2:24" x14ac:dyDescent="0.25">
      <c r="B219" t="s">
        <v>2709</v>
      </c>
      <c r="C219">
        <v>3032600</v>
      </c>
      <c r="E219">
        <v>0</v>
      </c>
      <c r="F219">
        <v>7</v>
      </c>
      <c r="G219">
        <v>0</v>
      </c>
      <c r="H219" t="s">
        <v>19447</v>
      </c>
      <c r="I219" t="s">
        <v>19447</v>
      </c>
      <c r="J219">
        <v>10</v>
      </c>
      <c r="L219" t="s">
        <v>2709</v>
      </c>
      <c r="M219">
        <v>3032600</v>
      </c>
      <c r="O219" t="s">
        <v>19900</v>
      </c>
      <c r="P219" t="s">
        <v>19908</v>
      </c>
      <c r="Q219" t="s">
        <v>19900</v>
      </c>
      <c r="R219" t="s">
        <v>19447</v>
      </c>
      <c r="S219" t="s">
        <v>19447</v>
      </c>
      <c r="T219" t="s">
        <v>19904</v>
      </c>
      <c r="W219" s="49">
        <v>30049059</v>
      </c>
      <c r="X219" s="50">
        <f>VLOOKUP(PISCOFINS!$W219,PISCOFINS!$C$3:$J$10518,7,0)</f>
        <v>2.1</v>
      </c>
    </row>
    <row r="220" spans="2:24" x14ac:dyDescent="0.25">
      <c r="B220" t="s">
        <v>2709</v>
      </c>
      <c r="C220">
        <v>3032900</v>
      </c>
      <c r="E220">
        <v>0</v>
      </c>
      <c r="F220">
        <v>7</v>
      </c>
      <c r="G220">
        <v>0</v>
      </c>
      <c r="H220" t="s">
        <v>19447</v>
      </c>
      <c r="I220" t="s">
        <v>19447</v>
      </c>
      <c r="J220">
        <v>10</v>
      </c>
      <c r="L220" t="s">
        <v>2709</v>
      </c>
      <c r="M220">
        <v>3032900</v>
      </c>
      <c r="O220" t="s">
        <v>19900</v>
      </c>
      <c r="P220" t="s">
        <v>19908</v>
      </c>
      <c r="Q220" t="s">
        <v>19900</v>
      </c>
      <c r="R220" t="s">
        <v>19447</v>
      </c>
      <c r="S220" t="s">
        <v>19447</v>
      </c>
      <c r="T220" t="s">
        <v>19904</v>
      </c>
      <c r="W220" s="50">
        <v>30049059</v>
      </c>
      <c r="X220" s="50">
        <f>VLOOKUP(PISCOFINS!$W220,PISCOFINS!$C$3:$J$10518,7,0)</f>
        <v>2.1</v>
      </c>
    </row>
    <row r="221" spans="2:24" x14ac:dyDescent="0.25">
      <c r="B221" t="s">
        <v>2709</v>
      </c>
      <c r="C221">
        <v>3033100</v>
      </c>
      <c r="E221">
        <v>0</v>
      </c>
      <c r="F221">
        <v>7</v>
      </c>
      <c r="G221">
        <v>0</v>
      </c>
      <c r="H221" t="s">
        <v>19447</v>
      </c>
      <c r="I221" t="s">
        <v>19447</v>
      </c>
      <c r="J221">
        <v>10</v>
      </c>
      <c r="L221" t="s">
        <v>2709</v>
      </c>
      <c r="M221">
        <v>3033100</v>
      </c>
      <c r="O221" t="s">
        <v>19900</v>
      </c>
      <c r="P221" t="s">
        <v>19908</v>
      </c>
      <c r="Q221" t="s">
        <v>19900</v>
      </c>
      <c r="R221" t="s">
        <v>19447</v>
      </c>
      <c r="S221" t="s">
        <v>19447</v>
      </c>
      <c r="T221" t="s">
        <v>19904</v>
      </c>
      <c r="W221" s="49">
        <v>30049059</v>
      </c>
      <c r="X221" s="50">
        <f>VLOOKUP(PISCOFINS!$W221,PISCOFINS!$C$3:$J$10518,7,0)</f>
        <v>2.1</v>
      </c>
    </row>
    <row r="222" spans="2:24" x14ac:dyDescent="0.25">
      <c r="B222" t="s">
        <v>2709</v>
      </c>
      <c r="C222">
        <v>3033200</v>
      </c>
      <c r="E222">
        <v>0</v>
      </c>
      <c r="F222">
        <v>7</v>
      </c>
      <c r="G222">
        <v>0</v>
      </c>
      <c r="H222" t="s">
        <v>19447</v>
      </c>
      <c r="I222" t="s">
        <v>19447</v>
      </c>
      <c r="J222">
        <v>10</v>
      </c>
      <c r="L222" t="s">
        <v>2709</v>
      </c>
      <c r="M222">
        <v>3033200</v>
      </c>
      <c r="O222" t="s">
        <v>19900</v>
      </c>
      <c r="P222" t="s">
        <v>19908</v>
      </c>
      <c r="Q222" t="s">
        <v>19900</v>
      </c>
      <c r="R222" t="s">
        <v>19447</v>
      </c>
      <c r="S222" t="s">
        <v>19447</v>
      </c>
      <c r="T222" t="s">
        <v>19904</v>
      </c>
      <c r="W222" s="50">
        <v>30049059</v>
      </c>
      <c r="X222" s="50">
        <f>VLOOKUP(PISCOFINS!$W222,PISCOFINS!$C$3:$J$10518,7,0)</f>
        <v>2.1</v>
      </c>
    </row>
    <row r="223" spans="2:24" x14ac:dyDescent="0.25">
      <c r="B223" t="s">
        <v>2709</v>
      </c>
      <c r="C223">
        <v>3033300</v>
      </c>
      <c r="E223">
        <v>0</v>
      </c>
      <c r="F223">
        <v>7</v>
      </c>
      <c r="G223">
        <v>0</v>
      </c>
      <c r="H223" t="s">
        <v>19447</v>
      </c>
      <c r="I223" t="s">
        <v>19447</v>
      </c>
      <c r="J223">
        <v>10</v>
      </c>
      <c r="L223" t="s">
        <v>2709</v>
      </c>
      <c r="M223">
        <v>3033300</v>
      </c>
      <c r="O223" t="s">
        <v>19900</v>
      </c>
      <c r="P223" t="s">
        <v>19908</v>
      </c>
      <c r="Q223" t="s">
        <v>19900</v>
      </c>
      <c r="R223" t="s">
        <v>19447</v>
      </c>
      <c r="S223" t="s">
        <v>19447</v>
      </c>
      <c r="T223" t="s">
        <v>19904</v>
      </c>
      <c r="W223" s="49">
        <v>30049059</v>
      </c>
      <c r="X223" s="50">
        <f>VLOOKUP(PISCOFINS!$W223,PISCOFINS!$C$3:$J$10518,7,0)</f>
        <v>2.1</v>
      </c>
    </row>
    <row r="224" spans="2:24" x14ac:dyDescent="0.25">
      <c r="B224" t="s">
        <v>2709</v>
      </c>
      <c r="C224">
        <v>3033400</v>
      </c>
      <c r="E224">
        <v>0</v>
      </c>
      <c r="F224">
        <v>7</v>
      </c>
      <c r="G224">
        <v>0</v>
      </c>
      <c r="H224" t="s">
        <v>19447</v>
      </c>
      <c r="I224" t="s">
        <v>19447</v>
      </c>
      <c r="J224">
        <v>10</v>
      </c>
      <c r="L224" t="s">
        <v>2709</v>
      </c>
      <c r="M224">
        <v>3033400</v>
      </c>
      <c r="O224" t="s">
        <v>19900</v>
      </c>
      <c r="P224" t="s">
        <v>19908</v>
      </c>
      <c r="Q224" t="s">
        <v>19900</v>
      </c>
      <c r="R224" t="s">
        <v>19447</v>
      </c>
      <c r="S224" t="s">
        <v>19447</v>
      </c>
      <c r="T224" t="s">
        <v>19904</v>
      </c>
      <c r="W224" s="50">
        <v>30049054</v>
      </c>
      <c r="X224" s="50">
        <f>VLOOKUP(PISCOFINS!$W224,PISCOFINS!$C$3:$J$10518,7,0)</f>
        <v>2.1</v>
      </c>
    </row>
    <row r="225" spans="2:24" x14ac:dyDescent="0.25">
      <c r="B225" t="s">
        <v>2709</v>
      </c>
      <c r="C225">
        <v>3033900</v>
      </c>
      <c r="E225">
        <v>0</v>
      </c>
      <c r="F225">
        <v>7</v>
      </c>
      <c r="G225">
        <v>0</v>
      </c>
      <c r="H225" t="s">
        <v>19447</v>
      </c>
      <c r="I225" t="s">
        <v>19447</v>
      </c>
      <c r="J225">
        <v>10</v>
      </c>
      <c r="L225" t="s">
        <v>2709</v>
      </c>
      <c r="M225">
        <v>3033900</v>
      </c>
      <c r="O225" t="s">
        <v>19900</v>
      </c>
      <c r="P225" t="s">
        <v>19908</v>
      </c>
      <c r="Q225" t="s">
        <v>19900</v>
      </c>
      <c r="R225" t="s">
        <v>19447</v>
      </c>
      <c r="S225" t="s">
        <v>19447</v>
      </c>
      <c r="T225" t="s">
        <v>19904</v>
      </c>
      <c r="W225" s="49">
        <v>30049054</v>
      </c>
      <c r="X225" s="50">
        <f>VLOOKUP(PISCOFINS!$W225,PISCOFINS!$C$3:$J$10518,7,0)</f>
        <v>2.1</v>
      </c>
    </row>
    <row r="226" spans="2:24" x14ac:dyDescent="0.25">
      <c r="B226" t="s">
        <v>2709</v>
      </c>
      <c r="C226">
        <v>3034100</v>
      </c>
      <c r="E226">
        <v>0</v>
      </c>
      <c r="F226">
        <v>7</v>
      </c>
      <c r="G226">
        <v>0</v>
      </c>
      <c r="H226" t="s">
        <v>19447</v>
      </c>
      <c r="I226" t="s">
        <v>19447</v>
      </c>
      <c r="J226">
        <v>10</v>
      </c>
      <c r="L226" t="s">
        <v>2709</v>
      </c>
      <c r="M226">
        <v>3034100</v>
      </c>
      <c r="O226" t="s">
        <v>19900</v>
      </c>
      <c r="P226" t="s">
        <v>19908</v>
      </c>
      <c r="Q226" t="s">
        <v>19900</v>
      </c>
      <c r="R226" t="s">
        <v>19447</v>
      </c>
      <c r="S226" t="s">
        <v>19447</v>
      </c>
      <c r="T226" t="s">
        <v>19904</v>
      </c>
      <c r="W226" s="50">
        <v>30049054</v>
      </c>
      <c r="X226" s="50">
        <f>VLOOKUP(PISCOFINS!$W226,PISCOFINS!$C$3:$J$10518,7,0)</f>
        <v>2.1</v>
      </c>
    </row>
    <row r="227" spans="2:24" x14ac:dyDescent="0.25">
      <c r="B227" t="s">
        <v>2709</v>
      </c>
      <c r="C227">
        <v>3034200</v>
      </c>
      <c r="E227">
        <v>0</v>
      </c>
      <c r="F227">
        <v>7</v>
      </c>
      <c r="G227">
        <v>0</v>
      </c>
      <c r="H227" t="s">
        <v>19447</v>
      </c>
      <c r="I227" t="s">
        <v>19447</v>
      </c>
      <c r="J227">
        <v>10</v>
      </c>
      <c r="L227" t="s">
        <v>2709</v>
      </c>
      <c r="M227">
        <v>3034200</v>
      </c>
      <c r="O227" t="s">
        <v>19900</v>
      </c>
      <c r="P227" t="s">
        <v>19908</v>
      </c>
      <c r="Q227" t="s">
        <v>19900</v>
      </c>
      <c r="R227" t="s">
        <v>19447</v>
      </c>
      <c r="S227" t="s">
        <v>19447</v>
      </c>
      <c r="T227" t="s">
        <v>19904</v>
      </c>
      <c r="W227" s="49">
        <v>30049054</v>
      </c>
      <c r="X227" s="50">
        <f>VLOOKUP(PISCOFINS!$W227,PISCOFINS!$C$3:$J$10518,7,0)</f>
        <v>2.1</v>
      </c>
    </row>
    <row r="228" spans="2:24" x14ac:dyDescent="0.25">
      <c r="B228" t="s">
        <v>2709</v>
      </c>
      <c r="C228">
        <v>3034300</v>
      </c>
      <c r="E228">
        <v>0</v>
      </c>
      <c r="F228">
        <v>7</v>
      </c>
      <c r="G228">
        <v>0</v>
      </c>
      <c r="H228" t="s">
        <v>19447</v>
      </c>
      <c r="I228" t="s">
        <v>19447</v>
      </c>
      <c r="J228">
        <v>10</v>
      </c>
      <c r="L228" t="s">
        <v>2709</v>
      </c>
      <c r="M228">
        <v>3034300</v>
      </c>
      <c r="O228" t="s">
        <v>19900</v>
      </c>
      <c r="P228" t="s">
        <v>19908</v>
      </c>
      <c r="Q228" t="s">
        <v>19900</v>
      </c>
      <c r="R228" t="s">
        <v>19447</v>
      </c>
      <c r="S228" t="s">
        <v>19447</v>
      </c>
      <c r="T228" t="s">
        <v>19904</v>
      </c>
      <c r="W228" s="50">
        <v>30049054</v>
      </c>
      <c r="X228" s="50">
        <f>VLOOKUP(PISCOFINS!$W228,PISCOFINS!$C$3:$J$10518,7,0)</f>
        <v>2.1</v>
      </c>
    </row>
    <row r="229" spans="2:24" x14ac:dyDescent="0.25">
      <c r="B229" t="s">
        <v>2709</v>
      </c>
      <c r="C229">
        <v>3034400</v>
      </c>
      <c r="E229">
        <v>0</v>
      </c>
      <c r="F229">
        <v>7</v>
      </c>
      <c r="G229">
        <v>0</v>
      </c>
      <c r="H229" t="s">
        <v>19447</v>
      </c>
      <c r="I229" t="s">
        <v>19447</v>
      </c>
      <c r="J229">
        <v>10</v>
      </c>
      <c r="L229" t="s">
        <v>2709</v>
      </c>
      <c r="M229">
        <v>3034400</v>
      </c>
      <c r="O229" t="s">
        <v>19900</v>
      </c>
      <c r="P229" t="s">
        <v>19908</v>
      </c>
      <c r="Q229" t="s">
        <v>19900</v>
      </c>
      <c r="R229" t="s">
        <v>19447</v>
      </c>
      <c r="S229" t="s">
        <v>19447</v>
      </c>
      <c r="T229" t="s">
        <v>19904</v>
      </c>
      <c r="W229" s="49">
        <v>30049054</v>
      </c>
      <c r="X229" s="50">
        <f>VLOOKUP(PISCOFINS!$W229,PISCOFINS!$C$3:$J$10518,7,0)</f>
        <v>2.1</v>
      </c>
    </row>
    <row r="230" spans="2:24" x14ac:dyDescent="0.25">
      <c r="B230" t="s">
        <v>2709</v>
      </c>
      <c r="C230">
        <v>3034500</v>
      </c>
      <c r="E230">
        <v>0</v>
      </c>
      <c r="F230">
        <v>7</v>
      </c>
      <c r="G230">
        <v>0</v>
      </c>
      <c r="H230" t="s">
        <v>19447</v>
      </c>
      <c r="I230" t="s">
        <v>19447</v>
      </c>
      <c r="J230">
        <v>10</v>
      </c>
      <c r="L230" t="s">
        <v>2709</v>
      </c>
      <c r="M230">
        <v>3034500</v>
      </c>
      <c r="O230" t="s">
        <v>19900</v>
      </c>
      <c r="P230" t="s">
        <v>19908</v>
      </c>
      <c r="Q230" t="s">
        <v>19900</v>
      </c>
      <c r="R230" t="s">
        <v>19447</v>
      </c>
      <c r="S230" t="s">
        <v>19447</v>
      </c>
      <c r="T230" t="s">
        <v>19904</v>
      </c>
      <c r="W230" s="50">
        <v>30049054</v>
      </c>
      <c r="X230" s="50">
        <f>VLOOKUP(PISCOFINS!$W230,PISCOFINS!$C$3:$J$10518,7,0)</f>
        <v>2.1</v>
      </c>
    </row>
    <row r="231" spans="2:24" x14ac:dyDescent="0.25">
      <c r="B231" t="s">
        <v>2709</v>
      </c>
      <c r="C231">
        <v>3034600</v>
      </c>
      <c r="E231">
        <v>0</v>
      </c>
      <c r="F231">
        <v>7</v>
      </c>
      <c r="G231">
        <v>0</v>
      </c>
      <c r="H231" t="s">
        <v>19447</v>
      </c>
      <c r="I231" t="s">
        <v>19447</v>
      </c>
      <c r="J231">
        <v>10</v>
      </c>
      <c r="L231" t="s">
        <v>2709</v>
      </c>
      <c r="M231">
        <v>3034600</v>
      </c>
      <c r="O231" t="s">
        <v>19900</v>
      </c>
      <c r="P231" t="s">
        <v>19908</v>
      </c>
      <c r="Q231" t="s">
        <v>19900</v>
      </c>
      <c r="R231" t="s">
        <v>19447</v>
      </c>
      <c r="S231" t="s">
        <v>19447</v>
      </c>
      <c r="T231" t="s">
        <v>19904</v>
      </c>
      <c r="W231" s="49">
        <v>30049051</v>
      </c>
      <c r="X231" s="50">
        <f>VLOOKUP(PISCOFINS!$W231,PISCOFINS!$C$3:$J$10518,7,0)</f>
        <v>2.1</v>
      </c>
    </row>
    <row r="232" spans="2:24" x14ac:dyDescent="0.25">
      <c r="B232" t="s">
        <v>2709</v>
      </c>
      <c r="C232">
        <v>3034900</v>
      </c>
      <c r="E232">
        <v>0</v>
      </c>
      <c r="F232">
        <v>7</v>
      </c>
      <c r="G232">
        <v>0</v>
      </c>
      <c r="H232" t="s">
        <v>19447</v>
      </c>
      <c r="I232" t="s">
        <v>19447</v>
      </c>
      <c r="J232">
        <v>10</v>
      </c>
      <c r="L232" t="s">
        <v>2709</v>
      </c>
      <c r="M232">
        <v>3034900</v>
      </c>
      <c r="O232" t="s">
        <v>19900</v>
      </c>
      <c r="P232" t="s">
        <v>19908</v>
      </c>
      <c r="Q232" t="s">
        <v>19900</v>
      </c>
      <c r="R232" t="s">
        <v>19447</v>
      </c>
      <c r="S232" t="s">
        <v>19447</v>
      </c>
      <c r="T232" t="s">
        <v>19904</v>
      </c>
      <c r="W232" s="50">
        <v>30049049</v>
      </c>
      <c r="X232" s="50">
        <f>VLOOKUP(PISCOFINS!$W232,PISCOFINS!$C$3:$J$10518,7,0)</f>
        <v>2.1</v>
      </c>
    </row>
    <row r="233" spans="2:24" x14ac:dyDescent="0.25">
      <c r="B233" t="s">
        <v>2709</v>
      </c>
      <c r="C233">
        <v>3035100</v>
      </c>
      <c r="E233">
        <v>0</v>
      </c>
      <c r="F233">
        <v>7</v>
      </c>
      <c r="G233">
        <v>0</v>
      </c>
      <c r="H233" t="s">
        <v>19447</v>
      </c>
      <c r="I233" t="s">
        <v>19447</v>
      </c>
      <c r="J233">
        <v>10</v>
      </c>
      <c r="L233" t="s">
        <v>2709</v>
      </c>
      <c r="M233">
        <v>3035100</v>
      </c>
      <c r="O233" t="s">
        <v>19900</v>
      </c>
      <c r="P233" t="s">
        <v>19908</v>
      </c>
      <c r="Q233" t="s">
        <v>19900</v>
      </c>
      <c r="R233" t="s">
        <v>19447</v>
      </c>
      <c r="S233" t="s">
        <v>19447</v>
      </c>
      <c r="T233" t="s">
        <v>19904</v>
      </c>
      <c r="W233" s="49">
        <v>30049049</v>
      </c>
      <c r="X233" s="50">
        <f>VLOOKUP(PISCOFINS!$W233,PISCOFINS!$C$3:$J$10518,7,0)</f>
        <v>2.1</v>
      </c>
    </row>
    <row r="234" spans="2:24" x14ac:dyDescent="0.25">
      <c r="B234" t="s">
        <v>2709</v>
      </c>
      <c r="C234">
        <v>3035300</v>
      </c>
      <c r="E234">
        <v>0</v>
      </c>
      <c r="F234">
        <v>7</v>
      </c>
      <c r="G234">
        <v>0</v>
      </c>
      <c r="H234" t="s">
        <v>19447</v>
      </c>
      <c r="I234" t="s">
        <v>19447</v>
      </c>
      <c r="J234">
        <v>10</v>
      </c>
      <c r="L234" t="s">
        <v>2709</v>
      </c>
      <c r="M234">
        <v>3035300</v>
      </c>
      <c r="O234" t="s">
        <v>19900</v>
      </c>
      <c r="P234" t="s">
        <v>19908</v>
      </c>
      <c r="Q234" t="s">
        <v>19900</v>
      </c>
      <c r="R234" t="s">
        <v>19447</v>
      </c>
      <c r="S234" t="s">
        <v>19447</v>
      </c>
      <c r="T234" t="s">
        <v>19904</v>
      </c>
      <c r="W234" s="50">
        <v>30049049</v>
      </c>
      <c r="X234" s="50">
        <f>VLOOKUP(PISCOFINS!$W234,PISCOFINS!$C$3:$J$10518,7,0)</f>
        <v>2.1</v>
      </c>
    </row>
    <row r="235" spans="2:24" x14ac:dyDescent="0.25">
      <c r="B235" t="s">
        <v>2709</v>
      </c>
      <c r="C235">
        <v>3035400</v>
      </c>
      <c r="E235">
        <v>0</v>
      </c>
      <c r="F235">
        <v>7</v>
      </c>
      <c r="G235">
        <v>0</v>
      </c>
      <c r="H235" t="s">
        <v>19447</v>
      </c>
      <c r="I235" t="s">
        <v>19447</v>
      </c>
      <c r="J235">
        <v>10</v>
      </c>
      <c r="L235" t="s">
        <v>2709</v>
      </c>
      <c r="M235">
        <v>3035400</v>
      </c>
      <c r="O235" t="s">
        <v>19900</v>
      </c>
      <c r="P235" t="s">
        <v>19908</v>
      </c>
      <c r="Q235" t="s">
        <v>19900</v>
      </c>
      <c r="R235" t="s">
        <v>19447</v>
      </c>
      <c r="S235" t="s">
        <v>19447</v>
      </c>
      <c r="T235" t="s">
        <v>19904</v>
      </c>
      <c r="W235" s="49">
        <v>30049049</v>
      </c>
      <c r="X235" s="50">
        <f>VLOOKUP(PISCOFINS!$W235,PISCOFINS!$C$3:$J$10518,7,0)</f>
        <v>2.1</v>
      </c>
    </row>
    <row r="236" spans="2:24" x14ac:dyDescent="0.25">
      <c r="B236" t="s">
        <v>2709</v>
      </c>
      <c r="C236">
        <v>3035500</v>
      </c>
      <c r="E236">
        <v>0</v>
      </c>
      <c r="F236">
        <v>7</v>
      </c>
      <c r="G236">
        <v>0</v>
      </c>
      <c r="H236" t="s">
        <v>19447</v>
      </c>
      <c r="I236" t="s">
        <v>19447</v>
      </c>
      <c r="J236">
        <v>10</v>
      </c>
      <c r="L236" t="s">
        <v>2709</v>
      </c>
      <c r="M236">
        <v>3035500</v>
      </c>
      <c r="O236" t="s">
        <v>19900</v>
      </c>
      <c r="P236" t="s">
        <v>19908</v>
      </c>
      <c r="Q236" t="s">
        <v>19900</v>
      </c>
      <c r="R236" t="s">
        <v>19447</v>
      </c>
      <c r="S236" t="s">
        <v>19447</v>
      </c>
      <c r="T236" t="s">
        <v>19904</v>
      </c>
      <c r="W236" s="50">
        <v>30049049</v>
      </c>
      <c r="X236" s="50">
        <f>VLOOKUP(PISCOFINS!$W236,PISCOFINS!$C$3:$J$10518,7,0)</f>
        <v>2.1</v>
      </c>
    </row>
    <row r="237" spans="2:24" x14ac:dyDescent="0.25">
      <c r="B237" t="s">
        <v>2709</v>
      </c>
      <c r="C237">
        <v>3035600</v>
      </c>
      <c r="E237">
        <v>0</v>
      </c>
      <c r="F237">
        <v>7</v>
      </c>
      <c r="G237">
        <v>0</v>
      </c>
      <c r="H237" t="s">
        <v>19447</v>
      </c>
      <c r="I237" t="s">
        <v>19447</v>
      </c>
      <c r="J237">
        <v>10</v>
      </c>
      <c r="L237" t="s">
        <v>2709</v>
      </c>
      <c r="M237">
        <v>3035600</v>
      </c>
      <c r="O237" t="s">
        <v>19900</v>
      </c>
      <c r="P237" t="s">
        <v>19908</v>
      </c>
      <c r="Q237" t="s">
        <v>19900</v>
      </c>
      <c r="R237" t="s">
        <v>19447</v>
      </c>
      <c r="S237" t="s">
        <v>19447</v>
      </c>
      <c r="T237" t="s">
        <v>19904</v>
      </c>
      <c r="W237" s="49">
        <v>30049049</v>
      </c>
      <c r="X237" s="50">
        <f>VLOOKUP(PISCOFINS!$W237,PISCOFINS!$C$3:$J$10518,7,0)</f>
        <v>2.1</v>
      </c>
    </row>
    <row r="238" spans="2:24" x14ac:dyDescent="0.25">
      <c r="B238" t="s">
        <v>2709</v>
      </c>
      <c r="C238">
        <v>3035700</v>
      </c>
      <c r="E238">
        <v>0</v>
      </c>
      <c r="F238">
        <v>7</v>
      </c>
      <c r="G238">
        <v>0</v>
      </c>
      <c r="H238" t="s">
        <v>19447</v>
      </c>
      <c r="I238" t="s">
        <v>19447</v>
      </c>
      <c r="J238">
        <v>10</v>
      </c>
      <c r="L238" t="s">
        <v>2709</v>
      </c>
      <c r="M238">
        <v>3035700</v>
      </c>
      <c r="O238" t="s">
        <v>19900</v>
      </c>
      <c r="P238" t="s">
        <v>19908</v>
      </c>
      <c r="Q238" t="s">
        <v>19900</v>
      </c>
      <c r="R238" t="s">
        <v>19447</v>
      </c>
      <c r="S238" t="s">
        <v>19447</v>
      </c>
      <c r="T238" t="s">
        <v>19904</v>
      </c>
      <c r="W238" s="50">
        <v>30049049</v>
      </c>
      <c r="X238" s="50">
        <f>VLOOKUP(PISCOFINS!$W238,PISCOFINS!$C$3:$J$10518,7,0)</f>
        <v>2.1</v>
      </c>
    </row>
    <row r="239" spans="2:24" x14ac:dyDescent="0.25">
      <c r="B239" t="s">
        <v>2709</v>
      </c>
      <c r="C239">
        <v>3036300</v>
      </c>
      <c r="E239">
        <v>0</v>
      </c>
      <c r="F239">
        <v>7</v>
      </c>
      <c r="G239">
        <v>0</v>
      </c>
      <c r="H239" t="s">
        <v>19447</v>
      </c>
      <c r="I239" t="s">
        <v>19447</v>
      </c>
      <c r="J239">
        <v>0</v>
      </c>
      <c r="L239" t="s">
        <v>2709</v>
      </c>
      <c r="M239">
        <v>3036300</v>
      </c>
      <c r="O239" t="s">
        <v>19900</v>
      </c>
      <c r="P239" t="s">
        <v>19908</v>
      </c>
      <c r="Q239" t="s">
        <v>19900</v>
      </c>
      <c r="R239" t="s">
        <v>19447</v>
      </c>
      <c r="S239" t="s">
        <v>19447</v>
      </c>
      <c r="T239" t="s">
        <v>19900</v>
      </c>
      <c r="W239" s="49">
        <v>30049049</v>
      </c>
      <c r="X239" s="50">
        <f>VLOOKUP(PISCOFINS!$W239,PISCOFINS!$C$3:$J$10518,7,0)</f>
        <v>2.1</v>
      </c>
    </row>
    <row r="240" spans="2:24" x14ac:dyDescent="0.25">
      <c r="B240" t="s">
        <v>2709</v>
      </c>
      <c r="C240">
        <v>3036400</v>
      </c>
      <c r="E240">
        <v>0</v>
      </c>
      <c r="F240">
        <v>7</v>
      </c>
      <c r="G240">
        <v>0</v>
      </c>
      <c r="H240" t="s">
        <v>19447</v>
      </c>
      <c r="I240" t="s">
        <v>19447</v>
      </c>
      <c r="J240">
        <v>10</v>
      </c>
      <c r="L240" t="s">
        <v>2709</v>
      </c>
      <c r="M240">
        <v>3036400</v>
      </c>
      <c r="O240" t="s">
        <v>19900</v>
      </c>
      <c r="P240" t="s">
        <v>19908</v>
      </c>
      <c r="Q240" t="s">
        <v>19900</v>
      </c>
      <c r="R240" t="s">
        <v>19447</v>
      </c>
      <c r="S240" t="s">
        <v>19447</v>
      </c>
      <c r="T240" t="s">
        <v>19904</v>
      </c>
      <c r="W240" s="50">
        <v>30049049</v>
      </c>
      <c r="X240" s="50">
        <f>VLOOKUP(PISCOFINS!$W240,PISCOFINS!$C$3:$J$10518,7,0)</f>
        <v>2.1</v>
      </c>
    </row>
    <row r="241" spans="2:24" x14ac:dyDescent="0.25">
      <c r="B241" t="s">
        <v>2709</v>
      </c>
      <c r="C241">
        <v>3036500</v>
      </c>
      <c r="E241">
        <v>0</v>
      </c>
      <c r="F241">
        <v>7</v>
      </c>
      <c r="G241">
        <v>0</v>
      </c>
      <c r="H241" t="s">
        <v>19447</v>
      </c>
      <c r="I241" t="s">
        <v>19447</v>
      </c>
      <c r="J241">
        <v>10</v>
      </c>
      <c r="L241" t="s">
        <v>2709</v>
      </c>
      <c r="M241">
        <v>3036500</v>
      </c>
      <c r="O241" t="s">
        <v>19900</v>
      </c>
      <c r="P241" t="s">
        <v>19908</v>
      </c>
      <c r="Q241" t="s">
        <v>19900</v>
      </c>
      <c r="R241" t="s">
        <v>19447</v>
      </c>
      <c r="S241" t="s">
        <v>19447</v>
      </c>
      <c r="T241" t="s">
        <v>19904</v>
      </c>
      <c r="W241" s="49">
        <v>30049049</v>
      </c>
      <c r="X241" s="50">
        <f>VLOOKUP(PISCOFINS!$W241,PISCOFINS!$C$3:$J$10518,7,0)</f>
        <v>2.1</v>
      </c>
    </row>
    <row r="242" spans="2:24" x14ac:dyDescent="0.25">
      <c r="B242" t="s">
        <v>2709</v>
      </c>
      <c r="C242">
        <v>3036600</v>
      </c>
      <c r="E242">
        <v>0</v>
      </c>
      <c r="F242">
        <v>7</v>
      </c>
      <c r="G242">
        <v>0</v>
      </c>
      <c r="H242" t="s">
        <v>19447</v>
      </c>
      <c r="I242" t="s">
        <v>19447</v>
      </c>
      <c r="J242">
        <v>10</v>
      </c>
      <c r="L242" t="s">
        <v>2709</v>
      </c>
      <c r="M242">
        <v>3036600</v>
      </c>
      <c r="O242" t="s">
        <v>19900</v>
      </c>
      <c r="P242" t="s">
        <v>19908</v>
      </c>
      <c r="Q242" t="s">
        <v>19900</v>
      </c>
      <c r="R242" t="s">
        <v>19447</v>
      </c>
      <c r="S242" t="s">
        <v>19447</v>
      </c>
      <c r="T242" t="s">
        <v>19904</v>
      </c>
      <c r="W242" s="50">
        <v>30049047</v>
      </c>
      <c r="X242" s="50">
        <f>VLOOKUP(PISCOFINS!$W242,PISCOFINS!$C$3:$J$10518,7,0)</f>
        <v>2.1</v>
      </c>
    </row>
    <row r="243" spans="2:24" x14ac:dyDescent="0.25">
      <c r="B243" t="s">
        <v>2709</v>
      </c>
      <c r="C243">
        <v>3036700</v>
      </c>
      <c r="E243">
        <v>0</v>
      </c>
      <c r="F243">
        <v>7</v>
      </c>
      <c r="G243">
        <v>0</v>
      </c>
      <c r="H243" t="s">
        <v>19447</v>
      </c>
      <c r="I243" t="s">
        <v>19447</v>
      </c>
      <c r="J243">
        <v>10</v>
      </c>
      <c r="L243" t="s">
        <v>2709</v>
      </c>
      <c r="M243">
        <v>3036700</v>
      </c>
      <c r="O243" t="s">
        <v>19900</v>
      </c>
      <c r="P243" t="s">
        <v>19908</v>
      </c>
      <c r="Q243" t="s">
        <v>19900</v>
      </c>
      <c r="R243" t="s">
        <v>19447</v>
      </c>
      <c r="S243" t="s">
        <v>19447</v>
      </c>
      <c r="T243" t="s">
        <v>19904</v>
      </c>
      <c r="W243" s="49">
        <v>30049045</v>
      </c>
      <c r="X243" s="50">
        <f>VLOOKUP(PISCOFINS!$W243,PISCOFINS!$C$3:$J$10518,7,0)</f>
        <v>2.1</v>
      </c>
    </row>
    <row r="244" spans="2:24" x14ac:dyDescent="0.25">
      <c r="B244" t="s">
        <v>2709</v>
      </c>
      <c r="C244">
        <v>3036800</v>
      </c>
      <c r="E244">
        <v>0</v>
      </c>
      <c r="F244">
        <v>7</v>
      </c>
      <c r="G244">
        <v>0</v>
      </c>
      <c r="H244" t="s">
        <v>19447</v>
      </c>
      <c r="I244" t="s">
        <v>19447</v>
      </c>
      <c r="J244">
        <v>10</v>
      </c>
      <c r="L244" t="s">
        <v>2709</v>
      </c>
      <c r="M244">
        <v>3036800</v>
      </c>
      <c r="O244" t="s">
        <v>19900</v>
      </c>
      <c r="P244" t="s">
        <v>19908</v>
      </c>
      <c r="Q244" t="s">
        <v>19900</v>
      </c>
      <c r="R244" t="s">
        <v>19447</v>
      </c>
      <c r="S244" t="s">
        <v>19447</v>
      </c>
      <c r="T244" t="s">
        <v>19904</v>
      </c>
      <c r="W244" s="50">
        <v>30049045</v>
      </c>
      <c r="X244" s="50">
        <f>VLOOKUP(PISCOFINS!$W244,PISCOFINS!$C$3:$J$10518,7,0)</f>
        <v>2.1</v>
      </c>
    </row>
    <row r="245" spans="2:24" x14ac:dyDescent="0.25">
      <c r="B245" t="s">
        <v>2709</v>
      </c>
      <c r="C245">
        <v>3036910</v>
      </c>
      <c r="E245">
        <v>0</v>
      </c>
      <c r="F245">
        <v>7</v>
      </c>
      <c r="G245">
        <v>0</v>
      </c>
      <c r="H245" t="s">
        <v>19447</v>
      </c>
      <c r="I245" t="s">
        <v>19447</v>
      </c>
      <c r="J245">
        <v>10</v>
      </c>
      <c r="L245" t="s">
        <v>2709</v>
      </c>
      <c r="M245">
        <v>3036910</v>
      </c>
      <c r="O245" t="s">
        <v>19900</v>
      </c>
      <c r="P245" t="s">
        <v>19908</v>
      </c>
      <c r="Q245" t="s">
        <v>19900</v>
      </c>
      <c r="R245" t="s">
        <v>19447</v>
      </c>
      <c r="S245" t="s">
        <v>19447</v>
      </c>
      <c r="T245" t="s">
        <v>19904</v>
      </c>
      <c r="W245" s="49">
        <v>30049045</v>
      </c>
      <c r="X245" s="50">
        <f>VLOOKUP(PISCOFINS!$W245,PISCOFINS!$C$3:$J$10518,7,0)</f>
        <v>2.1</v>
      </c>
    </row>
    <row r="246" spans="2:24" x14ac:dyDescent="0.25">
      <c r="B246" t="s">
        <v>2709</v>
      </c>
      <c r="C246">
        <v>3036990</v>
      </c>
      <c r="E246">
        <v>0</v>
      </c>
      <c r="F246">
        <v>7</v>
      </c>
      <c r="G246">
        <v>0</v>
      </c>
      <c r="H246" t="s">
        <v>19447</v>
      </c>
      <c r="I246" t="s">
        <v>19447</v>
      </c>
      <c r="J246">
        <v>10</v>
      </c>
      <c r="L246" t="s">
        <v>2709</v>
      </c>
      <c r="M246">
        <v>3036990</v>
      </c>
      <c r="O246" t="s">
        <v>19900</v>
      </c>
      <c r="P246" t="s">
        <v>19908</v>
      </c>
      <c r="Q246" t="s">
        <v>19900</v>
      </c>
      <c r="R246" t="s">
        <v>19447</v>
      </c>
      <c r="S246" t="s">
        <v>19447</v>
      </c>
      <c r="T246" t="s">
        <v>19904</v>
      </c>
      <c r="W246" s="50">
        <v>30049045</v>
      </c>
      <c r="X246" s="50">
        <f>VLOOKUP(PISCOFINS!$W246,PISCOFINS!$C$3:$J$10518,7,0)</f>
        <v>2.1</v>
      </c>
    </row>
    <row r="247" spans="2:24" x14ac:dyDescent="0.25">
      <c r="B247" t="s">
        <v>2709</v>
      </c>
      <c r="C247">
        <v>3038111</v>
      </c>
      <c r="E247">
        <v>0</v>
      </c>
      <c r="F247">
        <v>7</v>
      </c>
      <c r="G247">
        <v>0</v>
      </c>
      <c r="H247" t="s">
        <v>19447</v>
      </c>
      <c r="I247" t="s">
        <v>19447</v>
      </c>
      <c r="J247">
        <v>10</v>
      </c>
      <c r="L247" t="s">
        <v>2709</v>
      </c>
      <c r="M247">
        <v>3038111</v>
      </c>
      <c r="O247" t="s">
        <v>19900</v>
      </c>
      <c r="P247" t="s">
        <v>19908</v>
      </c>
      <c r="Q247" t="s">
        <v>19900</v>
      </c>
      <c r="R247" t="s">
        <v>19447</v>
      </c>
      <c r="S247" t="s">
        <v>19447</v>
      </c>
      <c r="T247" t="s">
        <v>19904</v>
      </c>
      <c r="W247" s="49">
        <v>30049045</v>
      </c>
      <c r="X247" s="50">
        <f>VLOOKUP(PISCOFINS!$W247,PISCOFINS!$C$3:$J$10518,7,0)</f>
        <v>2.1</v>
      </c>
    </row>
    <row r="248" spans="2:24" x14ac:dyDescent="0.25">
      <c r="B248" t="s">
        <v>2709</v>
      </c>
      <c r="C248">
        <v>3038112</v>
      </c>
      <c r="E248">
        <v>0</v>
      </c>
      <c r="F248">
        <v>7</v>
      </c>
      <c r="G248">
        <v>0</v>
      </c>
      <c r="H248" t="s">
        <v>19447</v>
      </c>
      <c r="I248" t="s">
        <v>19447</v>
      </c>
      <c r="J248">
        <v>10</v>
      </c>
      <c r="L248" t="s">
        <v>2709</v>
      </c>
      <c r="M248">
        <v>3038112</v>
      </c>
      <c r="O248" t="s">
        <v>19900</v>
      </c>
      <c r="P248" t="s">
        <v>19908</v>
      </c>
      <c r="Q248" t="s">
        <v>19900</v>
      </c>
      <c r="R248" t="s">
        <v>19447</v>
      </c>
      <c r="S248" t="s">
        <v>19447</v>
      </c>
      <c r="T248" t="s">
        <v>19904</v>
      </c>
      <c r="W248" s="50">
        <v>30049045</v>
      </c>
      <c r="X248" s="50">
        <f>VLOOKUP(PISCOFINS!$W248,PISCOFINS!$C$3:$J$10518,7,0)</f>
        <v>2.1</v>
      </c>
    </row>
    <row r="249" spans="2:24" x14ac:dyDescent="0.25">
      <c r="B249" t="s">
        <v>2709</v>
      </c>
      <c r="C249">
        <v>3038113</v>
      </c>
      <c r="E249">
        <v>0</v>
      </c>
      <c r="F249">
        <v>7</v>
      </c>
      <c r="G249">
        <v>0</v>
      </c>
      <c r="H249" t="s">
        <v>19447</v>
      </c>
      <c r="I249" t="s">
        <v>19447</v>
      </c>
      <c r="J249">
        <v>10</v>
      </c>
      <c r="L249" t="s">
        <v>2709</v>
      </c>
      <c r="M249">
        <v>3038113</v>
      </c>
      <c r="O249" t="s">
        <v>19900</v>
      </c>
      <c r="P249" t="s">
        <v>19908</v>
      </c>
      <c r="Q249" t="s">
        <v>19900</v>
      </c>
      <c r="R249" t="s">
        <v>19447</v>
      </c>
      <c r="S249" t="s">
        <v>19447</v>
      </c>
      <c r="T249" t="s">
        <v>19904</v>
      </c>
      <c r="W249" s="49">
        <v>30049045</v>
      </c>
      <c r="X249" s="50">
        <f>VLOOKUP(PISCOFINS!$W249,PISCOFINS!$C$3:$J$10518,7,0)</f>
        <v>2.1</v>
      </c>
    </row>
    <row r="250" spans="2:24" x14ac:dyDescent="0.25">
      <c r="B250" t="s">
        <v>2709</v>
      </c>
      <c r="C250">
        <v>3038114</v>
      </c>
      <c r="E250">
        <v>0</v>
      </c>
      <c r="F250">
        <v>7</v>
      </c>
      <c r="G250">
        <v>0</v>
      </c>
      <c r="H250" t="s">
        <v>19447</v>
      </c>
      <c r="I250" t="s">
        <v>19447</v>
      </c>
      <c r="J250">
        <v>10</v>
      </c>
      <c r="L250" t="s">
        <v>2709</v>
      </c>
      <c r="M250">
        <v>3038114</v>
      </c>
      <c r="O250" t="s">
        <v>19900</v>
      </c>
      <c r="P250" t="s">
        <v>19908</v>
      </c>
      <c r="Q250" t="s">
        <v>19900</v>
      </c>
      <c r="R250" t="s">
        <v>19447</v>
      </c>
      <c r="S250" t="s">
        <v>19447</v>
      </c>
      <c r="T250" t="s">
        <v>19904</v>
      </c>
      <c r="W250" s="50">
        <v>30049045</v>
      </c>
      <c r="X250" s="50">
        <f>VLOOKUP(PISCOFINS!$W250,PISCOFINS!$C$3:$J$10518,7,0)</f>
        <v>2.1</v>
      </c>
    </row>
    <row r="251" spans="2:24" x14ac:dyDescent="0.25">
      <c r="B251" t="s">
        <v>2709</v>
      </c>
      <c r="C251">
        <v>3038119</v>
      </c>
      <c r="E251">
        <v>0</v>
      </c>
      <c r="F251">
        <v>7</v>
      </c>
      <c r="G251">
        <v>0</v>
      </c>
      <c r="H251" t="s">
        <v>19447</v>
      </c>
      <c r="I251" t="s">
        <v>19447</v>
      </c>
      <c r="J251">
        <v>10</v>
      </c>
      <c r="L251" t="s">
        <v>2709</v>
      </c>
      <c r="M251">
        <v>3038119</v>
      </c>
      <c r="O251" t="s">
        <v>19900</v>
      </c>
      <c r="P251" t="s">
        <v>19908</v>
      </c>
      <c r="Q251" t="s">
        <v>19900</v>
      </c>
      <c r="R251" t="s">
        <v>19447</v>
      </c>
      <c r="S251" t="s">
        <v>19447</v>
      </c>
      <c r="T251" t="s">
        <v>19904</v>
      </c>
      <c r="W251" s="49">
        <v>30049043</v>
      </c>
      <c r="X251" s="50">
        <f>VLOOKUP(PISCOFINS!$W251,PISCOFINS!$C$3:$J$10518,7,0)</f>
        <v>2.1</v>
      </c>
    </row>
    <row r="252" spans="2:24" x14ac:dyDescent="0.25">
      <c r="B252" t="s">
        <v>2709</v>
      </c>
      <c r="C252">
        <v>3038190</v>
      </c>
      <c r="E252">
        <v>0</v>
      </c>
      <c r="F252">
        <v>7</v>
      </c>
      <c r="G252">
        <v>0</v>
      </c>
      <c r="H252" t="s">
        <v>19447</v>
      </c>
      <c r="I252" t="s">
        <v>19447</v>
      </c>
      <c r="J252">
        <v>10</v>
      </c>
      <c r="L252" t="s">
        <v>2709</v>
      </c>
      <c r="M252">
        <v>3038190</v>
      </c>
      <c r="O252" t="s">
        <v>19900</v>
      </c>
      <c r="P252" t="s">
        <v>19908</v>
      </c>
      <c r="Q252" t="s">
        <v>19900</v>
      </c>
      <c r="R252" t="s">
        <v>19447</v>
      </c>
      <c r="S252" t="s">
        <v>19447</v>
      </c>
      <c r="T252" t="s">
        <v>19904</v>
      </c>
      <c r="W252" s="50">
        <v>30049043</v>
      </c>
      <c r="X252" s="50">
        <f>VLOOKUP(PISCOFINS!$W252,PISCOFINS!$C$3:$J$10518,7,0)</f>
        <v>2.1</v>
      </c>
    </row>
    <row r="253" spans="2:24" x14ac:dyDescent="0.25">
      <c r="B253" t="s">
        <v>2709</v>
      </c>
      <c r="C253">
        <v>3038200</v>
      </c>
      <c r="E253">
        <v>0</v>
      </c>
      <c r="F253">
        <v>7</v>
      </c>
      <c r="G253">
        <v>0</v>
      </c>
      <c r="H253" t="s">
        <v>19447</v>
      </c>
      <c r="I253" t="s">
        <v>19447</v>
      </c>
      <c r="J253">
        <v>10</v>
      </c>
      <c r="L253" t="s">
        <v>2709</v>
      </c>
      <c r="M253">
        <v>3038200</v>
      </c>
      <c r="O253" t="s">
        <v>19900</v>
      </c>
      <c r="P253" t="s">
        <v>19908</v>
      </c>
      <c r="Q253" t="s">
        <v>19900</v>
      </c>
      <c r="R253" t="s">
        <v>19447</v>
      </c>
      <c r="S253" t="s">
        <v>19447</v>
      </c>
      <c r="T253" t="s">
        <v>19904</v>
      </c>
      <c r="W253" s="49">
        <v>30049041</v>
      </c>
      <c r="X253" s="50">
        <f>VLOOKUP(PISCOFINS!$W253,PISCOFINS!$C$3:$J$10518,7,0)</f>
        <v>2.1</v>
      </c>
    </row>
    <row r="254" spans="2:24" x14ac:dyDescent="0.25">
      <c r="B254" t="s">
        <v>2709</v>
      </c>
      <c r="C254">
        <v>3038311</v>
      </c>
      <c r="E254">
        <v>0</v>
      </c>
      <c r="F254">
        <v>7</v>
      </c>
      <c r="G254">
        <v>0</v>
      </c>
      <c r="H254" t="s">
        <v>19447</v>
      </c>
      <c r="I254" t="s">
        <v>19447</v>
      </c>
      <c r="J254">
        <v>10</v>
      </c>
      <c r="L254" t="s">
        <v>2709</v>
      </c>
      <c r="M254">
        <v>3038311</v>
      </c>
      <c r="O254" t="s">
        <v>19900</v>
      </c>
      <c r="P254" t="s">
        <v>19908</v>
      </c>
      <c r="Q254" t="s">
        <v>19900</v>
      </c>
      <c r="R254" t="s">
        <v>19447</v>
      </c>
      <c r="S254" t="s">
        <v>19447</v>
      </c>
      <c r="T254" t="s">
        <v>19904</v>
      </c>
      <c r="W254" s="50">
        <v>30049041</v>
      </c>
      <c r="X254" s="50">
        <f>VLOOKUP(PISCOFINS!$W254,PISCOFINS!$C$3:$J$10518,7,0)</f>
        <v>2.1</v>
      </c>
    </row>
    <row r="255" spans="2:24" x14ac:dyDescent="0.25">
      <c r="B255" t="s">
        <v>2709</v>
      </c>
      <c r="C255">
        <v>3038312</v>
      </c>
      <c r="E255">
        <v>0</v>
      </c>
      <c r="F255">
        <v>7</v>
      </c>
      <c r="G255">
        <v>0</v>
      </c>
      <c r="H255" t="s">
        <v>19447</v>
      </c>
      <c r="I255" t="s">
        <v>19447</v>
      </c>
      <c r="J255">
        <v>10</v>
      </c>
      <c r="L255" t="s">
        <v>2709</v>
      </c>
      <c r="M255">
        <v>3038312</v>
      </c>
      <c r="O255" t="s">
        <v>19900</v>
      </c>
      <c r="P255" t="s">
        <v>19908</v>
      </c>
      <c r="Q255" t="s">
        <v>19900</v>
      </c>
      <c r="R255" t="s">
        <v>19447</v>
      </c>
      <c r="S255" t="s">
        <v>19447</v>
      </c>
      <c r="T255" t="s">
        <v>19904</v>
      </c>
      <c r="W255" s="49">
        <v>30049041</v>
      </c>
      <c r="X255" s="50">
        <f>VLOOKUP(PISCOFINS!$W255,PISCOFINS!$C$3:$J$10518,7,0)</f>
        <v>2.1</v>
      </c>
    </row>
    <row r="256" spans="2:24" x14ac:dyDescent="0.25">
      <c r="B256" t="s">
        <v>2709</v>
      </c>
      <c r="C256">
        <v>3038319</v>
      </c>
      <c r="E256">
        <v>0</v>
      </c>
      <c r="F256">
        <v>7</v>
      </c>
      <c r="G256">
        <v>0</v>
      </c>
      <c r="H256" t="s">
        <v>19447</v>
      </c>
      <c r="I256" t="s">
        <v>19447</v>
      </c>
      <c r="J256">
        <v>10</v>
      </c>
      <c r="L256" t="s">
        <v>2709</v>
      </c>
      <c r="M256">
        <v>3038319</v>
      </c>
      <c r="O256" t="s">
        <v>19900</v>
      </c>
      <c r="P256" t="s">
        <v>19908</v>
      </c>
      <c r="Q256" t="s">
        <v>19900</v>
      </c>
      <c r="R256" t="s">
        <v>19447</v>
      </c>
      <c r="S256" t="s">
        <v>19447</v>
      </c>
      <c r="T256" t="s">
        <v>19904</v>
      </c>
      <c r="W256" s="50">
        <v>30049039</v>
      </c>
      <c r="X256" s="50">
        <f>VLOOKUP(PISCOFINS!$W256,PISCOFINS!$C$3:$J$10518,7,0)</f>
        <v>2.1</v>
      </c>
    </row>
    <row r="257" spans="2:24" x14ac:dyDescent="0.25">
      <c r="B257" t="s">
        <v>2709</v>
      </c>
      <c r="C257">
        <v>3038321</v>
      </c>
      <c r="E257">
        <v>0</v>
      </c>
      <c r="F257">
        <v>7</v>
      </c>
      <c r="G257">
        <v>0</v>
      </c>
      <c r="H257" t="s">
        <v>19447</v>
      </c>
      <c r="I257" t="s">
        <v>19447</v>
      </c>
      <c r="J257">
        <v>10</v>
      </c>
      <c r="L257" t="s">
        <v>2709</v>
      </c>
      <c r="M257">
        <v>3038321</v>
      </c>
      <c r="O257" t="s">
        <v>19900</v>
      </c>
      <c r="P257" t="s">
        <v>19908</v>
      </c>
      <c r="Q257" t="s">
        <v>19900</v>
      </c>
      <c r="R257" t="s">
        <v>19447</v>
      </c>
      <c r="S257" t="s">
        <v>19447</v>
      </c>
      <c r="T257" t="s">
        <v>19904</v>
      </c>
      <c r="W257" s="49">
        <v>30049039</v>
      </c>
      <c r="X257" s="50">
        <f>VLOOKUP(PISCOFINS!$W257,PISCOFINS!$C$3:$J$10518,7,0)</f>
        <v>2.1</v>
      </c>
    </row>
    <row r="258" spans="2:24" x14ac:dyDescent="0.25">
      <c r="B258" t="s">
        <v>2709</v>
      </c>
      <c r="C258">
        <v>3038322</v>
      </c>
      <c r="E258">
        <v>0</v>
      </c>
      <c r="F258">
        <v>7</v>
      </c>
      <c r="G258">
        <v>0</v>
      </c>
      <c r="H258" t="s">
        <v>19447</v>
      </c>
      <c r="I258" t="s">
        <v>19447</v>
      </c>
      <c r="J258">
        <v>10</v>
      </c>
      <c r="L258" t="s">
        <v>2709</v>
      </c>
      <c r="M258">
        <v>3038322</v>
      </c>
      <c r="O258" t="s">
        <v>19900</v>
      </c>
      <c r="P258" t="s">
        <v>19908</v>
      </c>
      <c r="Q258" t="s">
        <v>19900</v>
      </c>
      <c r="R258" t="s">
        <v>19447</v>
      </c>
      <c r="S258" t="s">
        <v>19447</v>
      </c>
      <c r="T258" t="s">
        <v>19904</v>
      </c>
      <c r="W258" s="50">
        <v>30049039</v>
      </c>
      <c r="X258" s="50">
        <f>VLOOKUP(PISCOFINS!$W258,PISCOFINS!$C$3:$J$10518,7,0)</f>
        <v>2.1</v>
      </c>
    </row>
    <row r="259" spans="2:24" x14ac:dyDescent="0.25">
      <c r="B259" t="s">
        <v>2709</v>
      </c>
      <c r="C259">
        <v>3038329</v>
      </c>
      <c r="E259">
        <v>0</v>
      </c>
      <c r="F259">
        <v>7</v>
      </c>
      <c r="G259">
        <v>0</v>
      </c>
      <c r="H259" t="s">
        <v>19447</v>
      </c>
      <c r="I259" t="s">
        <v>19447</v>
      </c>
      <c r="J259">
        <v>10</v>
      </c>
      <c r="L259" t="s">
        <v>2709</v>
      </c>
      <c r="M259">
        <v>3038329</v>
      </c>
      <c r="O259" t="s">
        <v>19900</v>
      </c>
      <c r="P259" t="s">
        <v>19908</v>
      </c>
      <c r="Q259" t="s">
        <v>19900</v>
      </c>
      <c r="R259" t="s">
        <v>19447</v>
      </c>
      <c r="S259" t="s">
        <v>19447</v>
      </c>
      <c r="T259" t="s">
        <v>19904</v>
      </c>
      <c r="W259" s="49">
        <v>30049039</v>
      </c>
      <c r="X259" s="50">
        <f>VLOOKUP(PISCOFINS!$W259,PISCOFINS!$C$3:$J$10518,7,0)</f>
        <v>2.1</v>
      </c>
    </row>
    <row r="260" spans="2:24" x14ac:dyDescent="0.25">
      <c r="B260" t="s">
        <v>2709</v>
      </c>
      <c r="C260">
        <v>3038400</v>
      </c>
      <c r="E260">
        <v>0</v>
      </c>
      <c r="F260">
        <v>7</v>
      </c>
      <c r="G260">
        <v>0</v>
      </c>
      <c r="H260" t="s">
        <v>19447</v>
      </c>
      <c r="I260" t="s">
        <v>19447</v>
      </c>
      <c r="J260">
        <v>10</v>
      </c>
      <c r="L260" t="s">
        <v>2709</v>
      </c>
      <c r="M260">
        <v>3038400</v>
      </c>
      <c r="O260" t="s">
        <v>19900</v>
      </c>
      <c r="P260" t="s">
        <v>19908</v>
      </c>
      <c r="Q260" t="s">
        <v>19900</v>
      </c>
      <c r="R260" t="s">
        <v>19447</v>
      </c>
      <c r="S260" t="s">
        <v>19447</v>
      </c>
      <c r="T260" t="s">
        <v>19904</v>
      </c>
      <c r="W260" s="50">
        <v>30049039</v>
      </c>
      <c r="X260" s="50">
        <f>VLOOKUP(PISCOFINS!$W260,PISCOFINS!$C$3:$J$10518,7,0)</f>
        <v>2.1</v>
      </c>
    </row>
    <row r="261" spans="2:24" x14ac:dyDescent="0.25">
      <c r="B261" t="s">
        <v>2709</v>
      </c>
      <c r="C261">
        <v>3038910</v>
      </c>
      <c r="E261">
        <v>0</v>
      </c>
      <c r="F261">
        <v>7</v>
      </c>
      <c r="G261">
        <v>0</v>
      </c>
      <c r="H261" t="s">
        <v>19447</v>
      </c>
      <c r="I261" t="s">
        <v>19447</v>
      </c>
      <c r="J261">
        <v>10</v>
      </c>
      <c r="L261" t="s">
        <v>2709</v>
      </c>
      <c r="M261">
        <v>3038910</v>
      </c>
      <c r="O261" t="s">
        <v>19900</v>
      </c>
      <c r="P261" t="s">
        <v>19908</v>
      </c>
      <c r="Q261" t="s">
        <v>19900</v>
      </c>
      <c r="R261" t="s">
        <v>19447</v>
      </c>
      <c r="S261" t="s">
        <v>19447</v>
      </c>
      <c r="T261" t="s">
        <v>19904</v>
      </c>
      <c r="W261" s="49">
        <v>30049039</v>
      </c>
      <c r="X261" s="50">
        <f>VLOOKUP(PISCOFINS!$W261,PISCOFINS!$C$3:$J$10518,7,0)</f>
        <v>2.1</v>
      </c>
    </row>
    <row r="262" spans="2:24" x14ac:dyDescent="0.25">
      <c r="B262" t="s">
        <v>2709</v>
      </c>
      <c r="C262">
        <v>3038920</v>
      </c>
      <c r="E262">
        <v>0</v>
      </c>
      <c r="F262">
        <v>7</v>
      </c>
      <c r="G262">
        <v>0</v>
      </c>
      <c r="H262" t="s">
        <v>19447</v>
      </c>
      <c r="I262" t="s">
        <v>19447</v>
      </c>
      <c r="J262">
        <v>10</v>
      </c>
      <c r="L262" t="s">
        <v>2709</v>
      </c>
      <c r="M262">
        <v>3038920</v>
      </c>
      <c r="O262" t="s">
        <v>19900</v>
      </c>
      <c r="P262" t="s">
        <v>19908</v>
      </c>
      <c r="Q262" t="s">
        <v>19900</v>
      </c>
      <c r="R262" t="s">
        <v>19447</v>
      </c>
      <c r="S262" t="s">
        <v>19447</v>
      </c>
      <c r="T262" t="s">
        <v>19904</v>
      </c>
      <c r="W262" s="50">
        <v>30049039</v>
      </c>
      <c r="X262" s="50">
        <f>VLOOKUP(PISCOFINS!$W262,PISCOFINS!$C$3:$J$10518,7,0)</f>
        <v>2.1</v>
      </c>
    </row>
    <row r="263" spans="2:24" x14ac:dyDescent="0.25">
      <c r="B263" t="s">
        <v>2709</v>
      </c>
      <c r="C263">
        <v>3038931</v>
      </c>
      <c r="E263">
        <v>0</v>
      </c>
      <c r="F263">
        <v>7</v>
      </c>
      <c r="G263">
        <v>0</v>
      </c>
      <c r="H263" t="s">
        <v>19447</v>
      </c>
      <c r="I263" t="s">
        <v>19447</v>
      </c>
      <c r="J263">
        <v>10</v>
      </c>
      <c r="L263" t="s">
        <v>2709</v>
      </c>
      <c r="M263">
        <v>3038931</v>
      </c>
      <c r="O263" t="s">
        <v>19900</v>
      </c>
      <c r="P263" t="s">
        <v>19908</v>
      </c>
      <c r="Q263" t="s">
        <v>19900</v>
      </c>
      <c r="R263" t="s">
        <v>19447</v>
      </c>
      <c r="S263" t="s">
        <v>19447</v>
      </c>
      <c r="T263" t="s">
        <v>19904</v>
      </c>
      <c r="W263" s="49">
        <v>30049039</v>
      </c>
      <c r="X263" s="50">
        <f>VLOOKUP(PISCOFINS!$W263,PISCOFINS!$C$3:$J$10518,7,0)</f>
        <v>2.1</v>
      </c>
    </row>
    <row r="264" spans="2:24" x14ac:dyDescent="0.25">
      <c r="B264" t="s">
        <v>2709</v>
      </c>
      <c r="C264">
        <v>3038932</v>
      </c>
      <c r="E264">
        <v>0</v>
      </c>
      <c r="F264">
        <v>7</v>
      </c>
      <c r="G264">
        <v>0</v>
      </c>
      <c r="H264" t="s">
        <v>19447</v>
      </c>
      <c r="I264" t="s">
        <v>19447</v>
      </c>
      <c r="J264">
        <v>10</v>
      </c>
      <c r="L264" t="s">
        <v>2709</v>
      </c>
      <c r="M264">
        <v>3038932</v>
      </c>
      <c r="O264" t="s">
        <v>19900</v>
      </c>
      <c r="P264" t="s">
        <v>19908</v>
      </c>
      <c r="Q264" t="s">
        <v>19900</v>
      </c>
      <c r="R264" t="s">
        <v>19447</v>
      </c>
      <c r="S264" t="s">
        <v>19447</v>
      </c>
      <c r="T264" t="s">
        <v>19904</v>
      </c>
      <c r="W264" s="50">
        <v>30049039</v>
      </c>
      <c r="X264" s="50">
        <f>VLOOKUP(PISCOFINS!$W264,PISCOFINS!$C$3:$J$10518,7,0)</f>
        <v>2.1</v>
      </c>
    </row>
    <row r="265" spans="2:24" x14ac:dyDescent="0.25">
      <c r="B265" t="s">
        <v>2709</v>
      </c>
      <c r="C265">
        <v>3038933</v>
      </c>
      <c r="E265">
        <v>0</v>
      </c>
      <c r="F265">
        <v>7</v>
      </c>
      <c r="G265">
        <v>0</v>
      </c>
      <c r="H265" t="s">
        <v>19447</v>
      </c>
      <c r="I265" t="s">
        <v>19447</v>
      </c>
      <c r="J265">
        <v>10</v>
      </c>
      <c r="L265" t="s">
        <v>2709</v>
      </c>
      <c r="M265">
        <v>3038933</v>
      </c>
      <c r="O265" t="s">
        <v>19900</v>
      </c>
      <c r="P265" t="s">
        <v>19908</v>
      </c>
      <c r="Q265" t="s">
        <v>19900</v>
      </c>
      <c r="R265" t="s">
        <v>19447</v>
      </c>
      <c r="S265" t="s">
        <v>19447</v>
      </c>
      <c r="T265" t="s">
        <v>19904</v>
      </c>
      <c r="W265" s="49">
        <v>30049039</v>
      </c>
      <c r="X265" s="50">
        <f>VLOOKUP(PISCOFINS!$W265,PISCOFINS!$C$3:$J$10518,7,0)</f>
        <v>2.1</v>
      </c>
    </row>
    <row r="266" spans="2:24" x14ac:dyDescent="0.25">
      <c r="B266" t="s">
        <v>2709</v>
      </c>
      <c r="C266">
        <v>3038941</v>
      </c>
      <c r="E266">
        <v>0</v>
      </c>
      <c r="F266">
        <v>7</v>
      </c>
      <c r="G266">
        <v>0</v>
      </c>
      <c r="H266" t="s">
        <v>19447</v>
      </c>
      <c r="I266" t="s">
        <v>19447</v>
      </c>
      <c r="J266">
        <v>10</v>
      </c>
      <c r="L266" t="s">
        <v>2709</v>
      </c>
      <c r="M266">
        <v>3038941</v>
      </c>
      <c r="O266" t="s">
        <v>19900</v>
      </c>
      <c r="P266" t="s">
        <v>19908</v>
      </c>
      <c r="Q266" t="s">
        <v>19900</v>
      </c>
      <c r="R266" t="s">
        <v>19447</v>
      </c>
      <c r="S266" t="s">
        <v>19447</v>
      </c>
      <c r="T266" t="s">
        <v>19904</v>
      </c>
      <c r="W266" s="50">
        <v>30049039</v>
      </c>
      <c r="X266" s="50">
        <f>VLOOKUP(PISCOFINS!$W266,PISCOFINS!$C$3:$J$10518,7,0)</f>
        <v>2.1</v>
      </c>
    </row>
    <row r="267" spans="2:24" x14ac:dyDescent="0.25">
      <c r="B267" t="s">
        <v>2709</v>
      </c>
      <c r="C267">
        <v>3038942</v>
      </c>
      <c r="E267">
        <v>0</v>
      </c>
      <c r="F267">
        <v>7</v>
      </c>
      <c r="G267">
        <v>0</v>
      </c>
      <c r="H267" t="s">
        <v>19447</v>
      </c>
      <c r="I267" t="s">
        <v>19447</v>
      </c>
      <c r="J267">
        <v>10</v>
      </c>
      <c r="L267" t="s">
        <v>2709</v>
      </c>
      <c r="M267">
        <v>3038942</v>
      </c>
      <c r="O267" t="s">
        <v>19900</v>
      </c>
      <c r="P267" t="s">
        <v>19908</v>
      </c>
      <c r="Q267" t="s">
        <v>19900</v>
      </c>
      <c r="R267" t="s">
        <v>19447</v>
      </c>
      <c r="S267" t="s">
        <v>19447</v>
      </c>
      <c r="T267" t="s">
        <v>19904</v>
      </c>
      <c r="W267" s="49">
        <v>30049039</v>
      </c>
      <c r="X267" s="50">
        <f>VLOOKUP(PISCOFINS!$W267,PISCOFINS!$C$3:$J$10518,7,0)</f>
        <v>2.1</v>
      </c>
    </row>
    <row r="268" spans="2:24" x14ac:dyDescent="0.25">
      <c r="B268" t="s">
        <v>2709</v>
      </c>
      <c r="C268">
        <v>3038943</v>
      </c>
      <c r="E268">
        <v>0</v>
      </c>
      <c r="F268">
        <v>7</v>
      </c>
      <c r="G268">
        <v>0</v>
      </c>
      <c r="H268" t="s">
        <v>19447</v>
      </c>
      <c r="I268" t="s">
        <v>19447</v>
      </c>
      <c r="J268">
        <v>10</v>
      </c>
      <c r="L268" t="s">
        <v>2709</v>
      </c>
      <c r="M268">
        <v>3038943</v>
      </c>
      <c r="O268" t="s">
        <v>19900</v>
      </c>
      <c r="P268" t="s">
        <v>19908</v>
      </c>
      <c r="Q268" t="s">
        <v>19900</v>
      </c>
      <c r="R268" t="s">
        <v>19447</v>
      </c>
      <c r="S268" t="s">
        <v>19447</v>
      </c>
      <c r="T268" t="s">
        <v>19904</v>
      </c>
      <c r="W268" s="50">
        <v>30049039</v>
      </c>
      <c r="X268" s="50">
        <f>VLOOKUP(PISCOFINS!$W268,PISCOFINS!$C$3:$J$10518,7,0)</f>
        <v>2.1</v>
      </c>
    </row>
    <row r="269" spans="2:24" x14ac:dyDescent="0.25">
      <c r="B269" t="s">
        <v>2709</v>
      </c>
      <c r="C269">
        <v>3038944</v>
      </c>
      <c r="E269">
        <v>0</v>
      </c>
      <c r="F269">
        <v>7</v>
      </c>
      <c r="G269">
        <v>0</v>
      </c>
      <c r="H269" t="s">
        <v>19447</v>
      </c>
      <c r="I269" t="s">
        <v>19447</v>
      </c>
      <c r="J269">
        <v>10</v>
      </c>
      <c r="L269" t="s">
        <v>2709</v>
      </c>
      <c r="M269">
        <v>3038944</v>
      </c>
      <c r="O269" t="s">
        <v>19900</v>
      </c>
      <c r="P269" t="s">
        <v>19908</v>
      </c>
      <c r="Q269" t="s">
        <v>19900</v>
      </c>
      <c r="R269" t="s">
        <v>19447</v>
      </c>
      <c r="S269" t="s">
        <v>19447</v>
      </c>
      <c r="T269" t="s">
        <v>19904</v>
      </c>
      <c r="W269" s="49">
        <v>30049039</v>
      </c>
      <c r="X269" s="50">
        <f>VLOOKUP(PISCOFINS!$W269,PISCOFINS!$C$3:$J$10518,7,0)</f>
        <v>2.1</v>
      </c>
    </row>
    <row r="270" spans="2:24" x14ac:dyDescent="0.25">
      <c r="B270" t="s">
        <v>2709</v>
      </c>
      <c r="C270">
        <v>3038945</v>
      </c>
      <c r="E270">
        <v>0</v>
      </c>
      <c r="F270">
        <v>7</v>
      </c>
      <c r="G270">
        <v>0</v>
      </c>
      <c r="H270" t="s">
        <v>19447</v>
      </c>
      <c r="I270" t="s">
        <v>19447</v>
      </c>
      <c r="J270">
        <v>10</v>
      </c>
      <c r="L270" t="s">
        <v>2709</v>
      </c>
      <c r="M270">
        <v>3038945</v>
      </c>
      <c r="O270" t="s">
        <v>19900</v>
      </c>
      <c r="P270" t="s">
        <v>19908</v>
      </c>
      <c r="Q270" t="s">
        <v>19900</v>
      </c>
      <c r="R270" t="s">
        <v>19447</v>
      </c>
      <c r="S270" t="s">
        <v>19447</v>
      </c>
      <c r="T270" t="s">
        <v>19904</v>
      </c>
      <c r="W270" s="50">
        <v>30049039</v>
      </c>
      <c r="X270" s="50">
        <f>VLOOKUP(PISCOFINS!$W270,PISCOFINS!$C$3:$J$10518,7,0)</f>
        <v>2.1</v>
      </c>
    </row>
    <row r="271" spans="2:24" x14ac:dyDescent="0.25">
      <c r="B271" t="s">
        <v>2709</v>
      </c>
      <c r="C271">
        <v>3038946</v>
      </c>
      <c r="E271">
        <v>0</v>
      </c>
      <c r="F271">
        <v>7</v>
      </c>
      <c r="G271">
        <v>0</v>
      </c>
      <c r="H271" t="s">
        <v>19447</v>
      </c>
      <c r="I271" t="s">
        <v>19447</v>
      </c>
      <c r="J271">
        <v>10</v>
      </c>
      <c r="L271" t="s">
        <v>2709</v>
      </c>
      <c r="M271">
        <v>3038946</v>
      </c>
      <c r="O271" t="s">
        <v>19900</v>
      </c>
      <c r="P271" t="s">
        <v>19908</v>
      </c>
      <c r="Q271" t="s">
        <v>19900</v>
      </c>
      <c r="R271" t="s">
        <v>19447</v>
      </c>
      <c r="S271" t="s">
        <v>19447</v>
      </c>
      <c r="T271" t="s">
        <v>19904</v>
      </c>
      <c r="W271" s="49">
        <v>30049039</v>
      </c>
      <c r="X271" s="50">
        <f>VLOOKUP(PISCOFINS!$W271,PISCOFINS!$C$3:$J$10518,7,0)</f>
        <v>2.1</v>
      </c>
    </row>
    <row r="272" spans="2:24" x14ac:dyDescent="0.25">
      <c r="B272" t="s">
        <v>2709</v>
      </c>
      <c r="C272">
        <v>3038951</v>
      </c>
      <c r="E272">
        <v>0</v>
      </c>
      <c r="F272">
        <v>7</v>
      </c>
      <c r="G272">
        <v>0</v>
      </c>
      <c r="H272" t="s">
        <v>19447</v>
      </c>
      <c r="I272" t="s">
        <v>19447</v>
      </c>
      <c r="J272">
        <v>10</v>
      </c>
      <c r="L272" t="s">
        <v>2709</v>
      </c>
      <c r="M272">
        <v>3038951</v>
      </c>
      <c r="O272" t="s">
        <v>19900</v>
      </c>
      <c r="P272" t="s">
        <v>19908</v>
      </c>
      <c r="Q272" t="s">
        <v>19900</v>
      </c>
      <c r="R272" t="s">
        <v>19447</v>
      </c>
      <c r="S272" t="s">
        <v>19447</v>
      </c>
      <c r="T272" t="s">
        <v>19904</v>
      </c>
      <c r="W272" s="50">
        <v>30049039</v>
      </c>
      <c r="X272" s="50">
        <f>VLOOKUP(PISCOFINS!$W272,PISCOFINS!$C$3:$J$10518,7,0)</f>
        <v>2.1</v>
      </c>
    </row>
    <row r="273" spans="2:24" x14ac:dyDescent="0.25">
      <c r="B273" t="s">
        <v>2709</v>
      </c>
      <c r="C273">
        <v>3038952</v>
      </c>
      <c r="E273">
        <v>0</v>
      </c>
      <c r="F273">
        <v>7</v>
      </c>
      <c r="G273">
        <v>0</v>
      </c>
      <c r="H273" t="s">
        <v>19447</v>
      </c>
      <c r="I273" t="s">
        <v>19447</v>
      </c>
      <c r="J273">
        <v>10</v>
      </c>
      <c r="L273" t="s">
        <v>2709</v>
      </c>
      <c r="M273">
        <v>3038952</v>
      </c>
      <c r="O273" t="s">
        <v>19900</v>
      </c>
      <c r="P273" t="s">
        <v>19908</v>
      </c>
      <c r="Q273" t="s">
        <v>19900</v>
      </c>
      <c r="R273" t="s">
        <v>19447</v>
      </c>
      <c r="S273" t="s">
        <v>19447</v>
      </c>
      <c r="T273" t="s">
        <v>19904</v>
      </c>
      <c r="W273" s="49">
        <v>30049039</v>
      </c>
      <c r="X273" s="50">
        <f>VLOOKUP(PISCOFINS!$W273,PISCOFINS!$C$3:$J$10518,7,0)</f>
        <v>2.1</v>
      </c>
    </row>
    <row r="274" spans="2:24" x14ac:dyDescent="0.25">
      <c r="B274" t="s">
        <v>2709</v>
      </c>
      <c r="C274">
        <v>3038953</v>
      </c>
      <c r="E274">
        <v>0</v>
      </c>
      <c r="F274">
        <v>7</v>
      </c>
      <c r="G274">
        <v>0</v>
      </c>
      <c r="H274" t="s">
        <v>19447</v>
      </c>
      <c r="I274" t="s">
        <v>19447</v>
      </c>
      <c r="J274">
        <v>10</v>
      </c>
      <c r="L274" t="s">
        <v>2709</v>
      </c>
      <c r="M274">
        <v>3038953</v>
      </c>
      <c r="O274" t="s">
        <v>19900</v>
      </c>
      <c r="P274" t="s">
        <v>19908</v>
      </c>
      <c r="Q274" t="s">
        <v>19900</v>
      </c>
      <c r="R274" t="s">
        <v>19447</v>
      </c>
      <c r="S274" t="s">
        <v>19447</v>
      </c>
      <c r="T274" t="s">
        <v>19904</v>
      </c>
      <c r="W274" s="50">
        <v>30049039</v>
      </c>
      <c r="X274" s="50">
        <f>VLOOKUP(PISCOFINS!$W274,PISCOFINS!$C$3:$J$10518,7,0)</f>
        <v>2.1</v>
      </c>
    </row>
    <row r="275" spans="2:24" x14ac:dyDescent="0.25">
      <c r="B275" t="s">
        <v>2709</v>
      </c>
      <c r="C275">
        <v>3038954</v>
      </c>
      <c r="E275">
        <v>0</v>
      </c>
      <c r="F275">
        <v>7</v>
      </c>
      <c r="G275">
        <v>0</v>
      </c>
      <c r="H275" t="s">
        <v>19447</v>
      </c>
      <c r="I275" t="s">
        <v>19447</v>
      </c>
      <c r="J275">
        <v>10</v>
      </c>
      <c r="L275" t="s">
        <v>2709</v>
      </c>
      <c r="M275">
        <v>3038954</v>
      </c>
      <c r="O275" t="s">
        <v>19900</v>
      </c>
      <c r="P275" t="s">
        <v>19908</v>
      </c>
      <c r="Q275" t="s">
        <v>19900</v>
      </c>
      <c r="R275" t="s">
        <v>19447</v>
      </c>
      <c r="S275" t="s">
        <v>19447</v>
      </c>
      <c r="T275" t="s">
        <v>19904</v>
      </c>
      <c r="W275" s="49">
        <v>30049039</v>
      </c>
      <c r="X275" s="50">
        <f>VLOOKUP(PISCOFINS!$W275,PISCOFINS!$C$3:$J$10518,7,0)</f>
        <v>2.1</v>
      </c>
    </row>
    <row r="276" spans="2:24" x14ac:dyDescent="0.25">
      <c r="B276" t="s">
        <v>2709</v>
      </c>
      <c r="C276">
        <v>3038955</v>
      </c>
      <c r="E276">
        <v>0</v>
      </c>
      <c r="F276">
        <v>7</v>
      </c>
      <c r="G276">
        <v>0</v>
      </c>
      <c r="H276" t="s">
        <v>19447</v>
      </c>
      <c r="I276" t="s">
        <v>19447</v>
      </c>
      <c r="J276">
        <v>10</v>
      </c>
      <c r="L276" t="s">
        <v>2709</v>
      </c>
      <c r="M276">
        <v>3038955</v>
      </c>
      <c r="O276" t="s">
        <v>19900</v>
      </c>
      <c r="P276" t="s">
        <v>19908</v>
      </c>
      <c r="Q276" t="s">
        <v>19900</v>
      </c>
      <c r="R276" t="s">
        <v>19447</v>
      </c>
      <c r="S276" t="s">
        <v>19447</v>
      </c>
      <c r="T276" t="s">
        <v>19904</v>
      </c>
      <c r="W276" s="50">
        <v>30049039</v>
      </c>
      <c r="X276" s="50">
        <f>VLOOKUP(PISCOFINS!$W276,PISCOFINS!$C$3:$J$10518,7,0)</f>
        <v>2.1</v>
      </c>
    </row>
    <row r="277" spans="2:24" x14ac:dyDescent="0.25">
      <c r="B277" t="s">
        <v>2709</v>
      </c>
      <c r="C277">
        <v>3038956</v>
      </c>
      <c r="E277">
        <v>0</v>
      </c>
      <c r="F277">
        <v>7</v>
      </c>
      <c r="G277">
        <v>0</v>
      </c>
      <c r="H277" t="s">
        <v>19447</v>
      </c>
      <c r="I277" t="s">
        <v>19447</v>
      </c>
      <c r="J277">
        <v>10</v>
      </c>
      <c r="L277" t="s">
        <v>2709</v>
      </c>
      <c r="M277">
        <v>3038956</v>
      </c>
      <c r="O277" t="s">
        <v>19900</v>
      </c>
      <c r="P277" t="s">
        <v>19908</v>
      </c>
      <c r="Q277" t="s">
        <v>19900</v>
      </c>
      <c r="R277" t="s">
        <v>19447</v>
      </c>
      <c r="S277" t="s">
        <v>19447</v>
      </c>
      <c r="T277" t="s">
        <v>19904</v>
      </c>
      <c r="W277" s="49">
        <v>30049039</v>
      </c>
      <c r="X277" s="50">
        <f>VLOOKUP(PISCOFINS!$W277,PISCOFINS!$C$3:$J$10518,7,0)</f>
        <v>2.1</v>
      </c>
    </row>
    <row r="278" spans="2:24" x14ac:dyDescent="0.25">
      <c r="B278" t="s">
        <v>2709</v>
      </c>
      <c r="C278">
        <v>3038957</v>
      </c>
      <c r="E278">
        <v>0</v>
      </c>
      <c r="F278">
        <v>7</v>
      </c>
      <c r="G278">
        <v>0</v>
      </c>
      <c r="H278" t="s">
        <v>19447</v>
      </c>
      <c r="I278" t="s">
        <v>19447</v>
      </c>
      <c r="J278">
        <v>10</v>
      </c>
      <c r="L278" t="s">
        <v>2709</v>
      </c>
      <c r="M278">
        <v>3038957</v>
      </c>
      <c r="O278" t="s">
        <v>19900</v>
      </c>
      <c r="P278" t="s">
        <v>19908</v>
      </c>
      <c r="Q278" t="s">
        <v>19900</v>
      </c>
      <c r="R278" t="s">
        <v>19447</v>
      </c>
      <c r="S278" t="s">
        <v>19447</v>
      </c>
      <c r="T278" t="s">
        <v>19904</v>
      </c>
      <c r="W278" s="50">
        <v>30049039</v>
      </c>
      <c r="X278" s="50">
        <f>VLOOKUP(PISCOFINS!$W278,PISCOFINS!$C$3:$J$10518,7,0)</f>
        <v>2.1</v>
      </c>
    </row>
    <row r="279" spans="2:24" x14ac:dyDescent="0.25">
      <c r="B279" t="s">
        <v>2709</v>
      </c>
      <c r="C279">
        <v>3038961</v>
      </c>
      <c r="E279">
        <v>0</v>
      </c>
      <c r="F279">
        <v>7</v>
      </c>
      <c r="G279">
        <v>0</v>
      </c>
      <c r="H279" t="s">
        <v>19447</v>
      </c>
      <c r="I279" t="s">
        <v>19447</v>
      </c>
      <c r="J279">
        <v>10</v>
      </c>
      <c r="L279" t="s">
        <v>2709</v>
      </c>
      <c r="M279">
        <v>3038961</v>
      </c>
      <c r="O279" t="s">
        <v>19900</v>
      </c>
      <c r="P279" t="s">
        <v>19908</v>
      </c>
      <c r="Q279" t="s">
        <v>19900</v>
      </c>
      <c r="R279" t="s">
        <v>19447</v>
      </c>
      <c r="S279" t="s">
        <v>19447</v>
      </c>
      <c r="T279" t="s">
        <v>19904</v>
      </c>
      <c r="W279" s="49">
        <v>30049039</v>
      </c>
      <c r="X279" s="50">
        <f>VLOOKUP(PISCOFINS!$W279,PISCOFINS!$C$3:$J$10518,7,0)</f>
        <v>2.1</v>
      </c>
    </row>
    <row r="280" spans="2:24" x14ac:dyDescent="0.25">
      <c r="B280" t="s">
        <v>2709</v>
      </c>
      <c r="C280">
        <v>3038962</v>
      </c>
      <c r="E280">
        <v>0</v>
      </c>
      <c r="F280">
        <v>7</v>
      </c>
      <c r="G280">
        <v>0</v>
      </c>
      <c r="H280" t="s">
        <v>19447</v>
      </c>
      <c r="I280" t="s">
        <v>19447</v>
      </c>
      <c r="J280">
        <v>10</v>
      </c>
      <c r="L280" t="s">
        <v>2709</v>
      </c>
      <c r="M280">
        <v>3038962</v>
      </c>
      <c r="O280" t="s">
        <v>19900</v>
      </c>
      <c r="P280" t="s">
        <v>19908</v>
      </c>
      <c r="Q280" t="s">
        <v>19900</v>
      </c>
      <c r="R280" t="s">
        <v>19447</v>
      </c>
      <c r="S280" t="s">
        <v>19447</v>
      </c>
      <c r="T280" t="s">
        <v>19904</v>
      </c>
      <c r="W280" s="50">
        <v>30049039</v>
      </c>
      <c r="X280" s="50">
        <f>VLOOKUP(PISCOFINS!$W280,PISCOFINS!$C$3:$J$10518,7,0)</f>
        <v>2.1</v>
      </c>
    </row>
    <row r="281" spans="2:24" x14ac:dyDescent="0.25">
      <c r="B281" t="s">
        <v>2709</v>
      </c>
      <c r="C281">
        <v>3038963</v>
      </c>
      <c r="E281">
        <v>0</v>
      </c>
      <c r="F281">
        <v>7</v>
      </c>
      <c r="G281">
        <v>0</v>
      </c>
      <c r="H281" t="s">
        <v>19447</v>
      </c>
      <c r="I281" t="s">
        <v>19447</v>
      </c>
      <c r="J281">
        <v>10</v>
      </c>
      <c r="L281" t="s">
        <v>2709</v>
      </c>
      <c r="M281">
        <v>3038963</v>
      </c>
      <c r="O281" t="s">
        <v>19900</v>
      </c>
      <c r="P281" t="s">
        <v>19908</v>
      </c>
      <c r="Q281" t="s">
        <v>19900</v>
      </c>
      <c r="R281" t="s">
        <v>19447</v>
      </c>
      <c r="S281" t="s">
        <v>19447</v>
      </c>
      <c r="T281" t="s">
        <v>19904</v>
      </c>
      <c r="W281" s="49">
        <v>30049039</v>
      </c>
      <c r="X281" s="50">
        <f>VLOOKUP(PISCOFINS!$W281,PISCOFINS!$C$3:$J$10518,7,0)</f>
        <v>2.1</v>
      </c>
    </row>
    <row r="282" spans="2:24" x14ac:dyDescent="0.25">
      <c r="B282" t="s">
        <v>2709</v>
      </c>
      <c r="C282">
        <v>3038964</v>
      </c>
      <c r="E282">
        <v>0</v>
      </c>
      <c r="F282">
        <v>7</v>
      </c>
      <c r="G282">
        <v>0</v>
      </c>
      <c r="H282" t="s">
        <v>19447</v>
      </c>
      <c r="I282" t="s">
        <v>19447</v>
      </c>
      <c r="J282">
        <v>10</v>
      </c>
      <c r="L282" t="s">
        <v>2709</v>
      </c>
      <c r="M282">
        <v>3038964</v>
      </c>
      <c r="O282" t="s">
        <v>19900</v>
      </c>
      <c r="P282" t="s">
        <v>19908</v>
      </c>
      <c r="Q282" t="s">
        <v>19900</v>
      </c>
      <c r="R282" t="s">
        <v>19447</v>
      </c>
      <c r="S282" t="s">
        <v>19447</v>
      </c>
      <c r="T282" t="s">
        <v>19904</v>
      </c>
      <c r="W282" s="50">
        <v>30049039</v>
      </c>
      <c r="X282" s="50">
        <f>VLOOKUP(PISCOFINS!$W282,PISCOFINS!$C$3:$J$10518,7,0)</f>
        <v>2.1</v>
      </c>
    </row>
    <row r="283" spans="2:24" x14ac:dyDescent="0.25">
      <c r="B283" t="s">
        <v>2709</v>
      </c>
      <c r="C283">
        <v>3038965</v>
      </c>
      <c r="E283">
        <v>0</v>
      </c>
      <c r="F283">
        <v>7</v>
      </c>
      <c r="G283">
        <v>0</v>
      </c>
      <c r="H283" t="s">
        <v>19447</v>
      </c>
      <c r="I283" t="s">
        <v>19447</v>
      </c>
      <c r="J283">
        <v>10</v>
      </c>
      <c r="L283" t="s">
        <v>2709</v>
      </c>
      <c r="M283">
        <v>3038965</v>
      </c>
      <c r="O283" t="s">
        <v>19900</v>
      </c>
      <c r="P283" t="s">
        <v>19908</v>
      </c>
      <c r="Q283" t="s">
        <v>19900</v>
      </c>
      <c r="R283" t="s">
        <v>19447</v>
      </c>
      <c r="S283" t="s">
        <v>19447</v>
      </c>
      <c r="T283" t="s">
        <v>19904</v>
      </c>
      <c r="W283" s="49">
        <v>30049039</v>
      </c>
      <c r="X283" s="50">
        <f>VLOOKUP(PISCOFINS!$W283,PISCOFINS!$C$3:$J$10518,7,0)</f>
        <v>2.1</v>
      </c>
    </row>
    <row r="284" spans="2:24" x14ac:dyDescent="0.25">
      <c r="B284" t="s">
        <v>2709</v>
      </c>
      <c r="C284">
        <v>3038990</v>
      </c>
      <c r="E284">
        <v>0</v>
      </c>
      <c r="F284">
        <v>7</v>
      </c>
      <c r="G284">
        <v>0</v>
      </c>
      <c r="H284" t="s">
        <v>19447</v>
      </c>
      <c r="I284" t="s">
        <v>19447</v>
      </c>
      <c r="J284">
        <v>10</v>
      </c>
      <c r="L284" t="s">
        <v>2709</v>
      </c>
      <c r="M284">
        <v>3038990</v>
      </c>
      <c r="O284" t="s">
        <v>19900</v>
      </c>
      <c r="P284" t="s">
        <v>19908</v>
      </c>
      <c r="Q284" t="s">
        <v>19900</v>
      </c>
      <c r="R284" t="s">
        <v>19447</v>
      </c>
      <c r="S284" t="s">
        <v>19447</v>
      </c>
      <c r="T284" t="s">
        <v>19904</v>
      </c>
      <c r="W284" s="50">
        <v>30049039</v>
      </c>
      <c r="X284" s="50">
        <f>VLOOKUP(PISCOFINS!$W284,PISCOFINS!$C$3:$J$10518,7,0)</f>
        <v>2.1</v>
      </c>
    </row>
    <row r="285" spans="2:24" x14ac:dyDescent="0.25">
      <c r="B285" t="s">
        <v>2709</v>
      </c>
      <c r="C285">
        <v>3039000</v>
      </c>
      <c r="E285">
        <v>0</v>
      </c>
      <c r="F285">
        <v>7</v>
      </c>
      <c r="G285">
        <v>0</v>
      </c>
      <c r="H285" t="s">
        <v>19447</v>
      </c>
      <c r="I285" t="s">
        <v>19447</v>
      </c>
      <c r="J285">
        <v>10</v>
      </c>
      <c r="L285" t="s">
        <v>2709</v>
      </c>
      <c r="M285">
        <v>3039000</v>
      </c>
      <c r="O285" t="s">
        <v>19900</v>
      </c>
      <c r="P285" t="s">
        <v>19908</v>
      </c>
      <c r="Q285" t="s">
        <v>19900</v>
      </c>
      <c r="R285" t="s">
        <v>19447</v>
      </c>
      <c r="S285" t="s">
        <v>19447</v>
      </c>
      <c r="T285" t="s">
        <v>19904</v>
      </c>
      <c r="W285" s="49">
        <v>30049039</v>
      </c>
      <c r="X285" s="50">
        <f>VLOOKUP(PISCOFINS!$W285,PISCOFINS!$C$3:$J$10518,7,0)</f>
        <v>2.1</v>
      </c>
    </row>
    <row r="286" spans="2:24" x14ac:dyDescent="0.25">
      <c r="B286" t="s">
        <v>2709</v>
      </c>
      <c r="C286">
        <v>3043100</v>
      </c>
      <c r="E286">
        <v>0</v>
      </c>
      <c r="F286">
        <v>7</v>
      </c>
      <c r="G286">
        <v>0</v>
      </c>
      <c r="H286" t="s">
        <v>19447</v>
      </c>
      <c r="I286" t="s">
        <v>19447</v>
      </c>
      <c r="J286">
        <v>10</v>
      </c>
      <c r="L286" t="s">
        <v>2709</v>
      </c>
      <c r="M286">
        <v>3043100</v>
      </c>
      <c r="O286" t="s">
        <v>19900</v>
      </c>
      <c r="P286" t="s">
        <v>19908</v>
      </c>
      <c r="Q286" t="s">
        <v>19900</v>
      </c>
      <c r="R286" t="s">
        <v>19447</v>
      </c>
      <c r="S286" t="s">
        <v>19447</v>
      </c>
      <c r="T286" t="s">
        <v>19904</v>
      </c>
      <c r="W286" s="50">
        <v>30049039</v>
      </c>
      <c r="X286" s="50">
        <f>VLOOKUP(PISCOFINS!$W286,PISCOFINS!$C$3:$J$10518,7,0)</f>
        <v>2.1</v>
      </c>
    </row>
    <row r="287" spans="2:24" x14ac:dyDescent="0.25">
      <c r="B287" t="s">
        <v>2709</v>
      </c>
      <c r="C287">
        <v>3043210</v>
      </c>
      <c r="E287">
        <v>0</v>
      </c>
      <c r="F287">
        <v>7</v>
      </c>
      <c r="G287">
        <v>0</v>
      </c>
      <c r="H287" t="s">
        <v>19447</v>
      </c>
      <c r="I287" t="s">
        <v>19447</v>
      </c>
      <c r="J287">
        <v>10</v>
      </c>
      <c r="L287" t="s">
        <v>2709</v>
      </c>
      <c r="M287">
        <v>3043210</v>
      </c>
      <c r="O287" t="s">
        <v>19900</v>
      </c>
      <c r="P287" t="s">
        <v>19908</v>
      </c>
      <c r="Q287" t="s">
        <v>19900</v>
      </c>
      <c r="R287" t="s">
        <v>19447</v>
      </c>
      <c r="S287" t="s">
        <v>19447</v>
      </c>
      <c r="T287" t="s">
        <v>19904</v>
      </c>
      <c r="W287" s="49">
        <v>30049037</v>
      </c>
      <c r="X287" s="50">
        <f>VLOOKUP(PISCOFINS!$W287,PISCOFINS!$C$3:$J$10518,7,0)</f>
        <v>2.1</v>
      </c>
    </row>
    <row r="288" spans="2:24" x14ac:dyDescent="0.25">
      <c r="B288" t="s">
        <v>2709</v>
      </c>
      <c r="C288">
        <v>3043290</v>
      </c>
      <c r="E288">
        <v>0</v>
      </c>
      <c r="F288">
        <v>7</v>
      </c>
      <c r="G288">
        <v>0</v>
      </c>
      <c r="H288" t="s">
        <v>19447</v>
      </c>
      <c r="I288" t="s">
        <v>19447</v>
      </c>
      <c r="J288">
        <v>10</v>
      </c>
      <c r="L288" t="s">
        <v>2709</v>
      </c>
      <c r="M288">
        <v>3043290</v>
      </c>
      <c r="O288" t="s">
        <v>19900</v>
      </c>
      <c r="P288" t="s">
        <v>19908</v>
      </c>
      <c r="Q288" t="s">
        <v>19900</v>
      </c>
      <c r="R288" t="s">
        <v>19447</v>
      </c>
      <c r="S288" t="s">
        <v>19447</v>
      </c>
      <c r="T288" t="s">
        <v>19904</v>
      </c>
      <c r="W288" s="50">
        <v>30049037</v>
      </c>
      <c r="X288" s="50">
        <f>VLOOKUP(PISCOFINS!$W288,PISCOFINS!$C$3:$J$10518,7,0)</f>
        <v>2.1</v>
      </c>
    </row>
    <row r="289" spans="2:24" x14ac:dyDescent="0.25">
      <c r="B289" t="s">
        <v>2709</v>
      </c>
      <c r="C289">
        <v>3043300</v>
      </c>
      <c r="E289">
        <v>0</v>
      </c>
      <c r="F289">
        <v>7</v>
      </c>
      <c r="G289">
        <v>0</v>
      </c>
      <c r="H289" t="s">
        <v>19447</v>
      </c>
      <c r="I289" t="s">
        <v>19447</v>
      </c>
      <c r="J289">
        <v>10</v>
      </c>
      <c r="L289" t="s">
        <v>2709</v>
      </c>
      <c r="M289">
        <v>3043300</v>
      </c>
      <c r="O289" t="s">
        <v>19900</v>
      </c>
      <c r="P289" t="s">
        <v>19908</v>
      </c>
      <c r="Q289" t="s">
        <v>19900</v>
      </c>
      <c r="R289" t="s">
        <v>19447</v>
      </c>
      <c r="S289" t="s">
        <v>19447</v>
      </c>
      <c r="T289" t="s">
        <v>19904</v>
      </c>
      <c r="W289" s="49">
        <v>30049037</v>
      </c>
      <c r="X289" s="50">
        <f>VLOOKUP(PISCOFINS!$W289,PISCOFINS!$C$3:$J$10518,7,0)</f>
        <v>2.1</v>
      </c>
    </row>
    <row r="290" spans="2:24" x14ac:dyDescent="0.25">
      <c r="B290" t="s">
        <v>2709</v>
      </c>
      <c r="C290">
        <v>3043900</v>
      </c>
      <c r="E290">
        <v>0</v>
      </c>
      <c r="F290">
        <v>7</v>
      </c>
      <c r="G290">
        <v>0</v>
      </c>
      <c r="H290" t="s">
        <v>19447</v>
      </c>
      <c r="I290" t="s">
        <v>19447</v>
      </c>
      <c r="J290">
        <v>10</v>
      </c>
      <c r="L290" t="s">
        <v>2709</v>
      </c>
      <c r="M290">
        <v>3043900</v>
      </c>
      <c r="O290" t="s">
        <v>19900</v>
      </c>
      <c r="P290" t="s">
        <v>19908</v>
      </c>
      <c r="Q290" t="s">
        <v>19900</v>
      </c>
      <c r="R290" t="s">
        <v>19447</v>
      </c>
      <c r="S290" t="s">
        <v>19447</v>
      </c>
      <c r="T290" t="s">
        <v>19904</v>
      </c>
      <c r="W290" s="50">
        <v>30049037</v>
      </c>
      <c r="X290" s="50">
        <f>VLOOKUP(PISCOFINS!$W290,PISCOFINS!$C$3:$J$10518,7,0)</f>
        <v>2.1</v>
      </c>
    </row>
    <row r="291" spans="2:24" x14ac:dyDescent="0.25">
      <c r="B291" t="s">
        <v>2709</v>
      </c>
      <c r="C291">
        <v>3044100</v>
      </c>
      <c r="E291">
        <v>0</v>
      </c>
      <c r="F291">
        <v>7</v>
      </c>
      <c r="G291">
        <v>0</v>
      </c>
      <c r="H291" t="s">
        <v>19447</v>
      </c>
      <c r="I291" t="s">
        <v>19447</v>
      </c>
      <c r="J291">
        <v>10</v>
      </c>
      <c r="L291" t="s">
        <v>2709</v>
      </c>
      <c r="M291">
        <v>3044100</v>
      </c>
      <c r="O291" t="s">
        <v>19900</v>
      </c>
      <c r="P291" t="s">
        <v>19908</v>
      </c>
      <c r="Q291" t="s">
        <v>19900</v>
      </c>
      <c r="R291" t="s">
        <v>19447</v>
      </c>
      <c r="S291" t="s">
        <v>19447</v>
      </c>
      <c r="T291" t="s">
        <v>19904</v>
      </c>
      <c r="W291" s="49">
        <v>30049037</v>
      </c>
      <c r="X291" s="50">
        <f>VLOOKUP(PISCOFINS!$W291,PISCOFINS!$C$3:$J$10518,7,0)</f>
        <v>2.1</v>
      </c>
    </row>
    <row r="292" spans="2:24" x14ac:dyDescent="0.25">
      <c r="B292" t="s">
        <v>2709</v>
      </c>
      <c r="C292">
        <v>3044200</v>
      </c>
      <c r="E292">
        <v>0</v>
      </c>
      <c r="F292">
        <v>7</v>
      </c>
      <c r="G292">
        <v>0</v>
      </c>
      <c r="H292" t="s">
        <v>19447</v>
      </c>
      <c r="I292" t="s">
        <v>19447</v>
      </c>
      <c r="J292">
        <v>10</v>
      </c>
      <c r="L292" t="s">
        <v>2709</v>
      </c>
      <c r="M292">
        <v>3044200</v>
      </c>
      <c r="O292" t="s">
        <v>19900</v>
      </c>
      <c r="P292" t="s">
        <v>19908</v>
      </c>
      <c r="Q292" t="s">
        <v>19900</v>
      </c>
      <c r="R292" t="s">
        <v>19447</v>
      </c>
      <c r="S292" t="s">
        <v>19447</v>
      </c>
      <c r="T292" t="s">
        <v>19904</v>
      </c>
      <c r="W292" s="50">
        <v>30049037</v>
      </c>
      <c r="X292" s="50">
        <f>VLOOKUP(PISCOFINS!$W292,PISCOFINS!$C$3:$J$10518,7,0)</f>
        <v>2.1</v>
      </c>
    </row>
    <row r="293" spans="2:24" x14ac:dyDescent="0.25">
      <c r="B293" t="s">
        <v>2709</v>
      </c>
      <c r="C293">
        <v>3044300</v>
      </c>
      <c r="E293">
        <v>0</v>
      </c>
      <c r="F293">
        <v>7</v>
      </c>
      <c r="G293">
        <v>0</v>
      </c>
      <c r="H293" t="s">
        <v>19447</v>
      </c>
      <c r="I293" t="s">
        <v>19447</v>
      </c>
      <c r="J293">
        <v>10</v>
      </c>
      <c r="L293" t="s">
        <v>2709</v>
      </c>
      <c r="M293">
        <v>3044300</v>
      </c>
      <c r="O293" t="s">
        <v>19900</v>
      </c>
      <c r="P293" t="s">
        <v>19908</v>
      </c>
      <c r="Q293" t="s">
        <v>19900</v>
      </c>
      <c r="R293" t="s">
        <v>19447</v>
      </c>
      <c r="S293" t="s">
        <v>19447</v>
      </c>
      <c r="T293" t="s">
        <v>19904</v>
      </c>
      <c r="W293" s="49">
        <v>30049037</v>
      </c>
      <c r="X293" s="50">
        <f>VLOOKUP(PISCOFINS!$W293,PISCOFINS!$C$3:$J$10518,7,0)</f>
        <v>2.1</v>
      </c>
    </row>
    <row r="294" spans="2:24" x14ac:dyDescent="0.25">
      <c r="B294" t="s">
        <v>2709</v>
      </c>
      <c r="C294">
        <v>3044400</v>
      </c>
      <c r="E294">
        <v>0</v>
      </c>
      <c r="F294">
        <v>7</v>
      </c>
      <c r="G294">
        <v>0</v>
      </c>
      <c r="H294" t="s">
        <v>19447</v>
      </c>
      <c r="I294" t="s">
        <v>19447</v>
      </c>
      <c r="J294">
        <v>10</v>
      </c>
      <c r="L294" t="s">
        <v>2709</v>
      </c>
      <c r="M294">
        <v>3044400</v>
      </c>
      <c r="O294" t="s">
        <v>19900</v>
      </c>
      <c r="P294" t="s">
        <v>19908</v>
      </c>
      <c r="Q294" t="s">
        <v>19900</v>
      </c>
      <c r="R294" t="s">
        <v>19447</v>
      </c>
      <c r="S294" t="s">
        <v>19447</v>
      </c>
      <c r="T294" t="s">
        <v>19904</v>
      </c>
      <c r="W294" s="50">
        <v>30049029</v>
      </c>
      <c r="X294" s="50">
        <f>VLOOKUP(PISCOFINS!$W294,PISCOFINS!$C$3:$J$10518,7,0)</f>
        <v>2.1</v>
      </c>
    </row>
    <row r="295" spans="2:24" x14ac:dyDescent="0.25">
      <c r="B295" t="s">
        <v>2709</v>
      </c>
      <c r="C295">
        <v>3044500</v>
      </c>
      <c r="E295">
        <v>0</v>
      </c>
      <c r="F295">
        <v>7</v>
      </c>
      <c r="G295">
        <v>0</v>
      </c>
      <c r="H295" t="s">
        <v>19447</v>
      </c>
      <c r="I295" t="s">
        <v>19447</v>
      </c>
      <c r="J295">
        <v>10</v>
      </c>
      <c r="L295" t="s">
        <v>2709</v>
      </c>
      <c r="M295">
        <v>3044500</v>
      </c>
      <c r="O295" t="s">
        <v>19900</v>
      </c>
      <c r="P295" t="s">
        <v>19908</v>
      </c>
      <c r="Q295" t="s">
        <v>19900</v>
      </c>
      <c r="R295" t="s">
        <v>19447</v>
      </c>
      <c r="S295" t="s">
        <v>19447</v>
      </c>
      <c r="T295" t="s">
        <v>19904</v>
      </c>
      <c r="W295" s="49">
        <v>30049029</v>
      </c>
      <c r="X295" s="50">
        <f>VLOOKUP(PISCOFINS!$W295,PISCOFINS!$C$3:$J$10518,7,0)</f>
        <v>2.1</v>
      </c>
    </row>
    <row r="296" spans="2:24" x14ac:dyDescent="0.25">
      <c r="B296" t="s">
        <v>2709</v>
      </c>
      <c r="C296">
        <v>3044600</v>
      </c>
      <c r="E296">
        <v>0</v>
      </c>
      <c r="F296">
        <v>7</v>
      </c>
      <c r="G296">
        <v>0</v>
      </c>
      <c r="H296" t="s">
        <v>19447</v>
      </c>
      <c r="I296" t="s">
        <v>19447</v>
      </c>
      <c r="J296">
        <v>10</v>
      </c>
      <c r="L296" t="s">
        <v>2709</v>
      </c>
      <c r="M296">
        <v>3044600</v>
      </c>
      <c r="O296" t="s">
        <v>19900</v>
      </c>
      <c r="P296" t="s">
        <v>19908</v>
      </c>
      <c r="Q296" t="s">
        <v>19900</v>
      </c>
      <c r="R296" t="s">
        <v>19447</v>
      </c>
      <c r="S296" t="s">
        <v>19447</v>
      </c>
      <c r="T296" t="s">
        <v>19904</v>
      </c>
      <c r="W296" s="50">
        <v>30049029</v>
      </c>
      <c r="X296" s="50">
        <f>VLOOKUP(PISCOFINS!$W296,PISCOFINS!$C$3:$J$10518,7,0)</f>
        <v>2.1</v>
      </c>
    </row>
    <row r="297" spans="2:24" x14ac:dyDescent="0.25">
      <c r="B297" t="s">
        <v>2709</v>
      </c>
      <c r="C297">
        <v>3044910</v>
      </c>
      <c r="E297">
        <v>0</v>
      </c>
      <c r="F297">
        <v>7</v>
      </c>
      <c r="G297">
        <v>0</v>
      </c>
      <c r="H297" t="s">
        <v>19447</v>
      </c>
      <c r="I297" t="s">
        <v>19447</v>
      </c>
      <c r="J297">
        <v>10</v>
      </c>
      <c r="L297" t="s">
        <v>2709</v>
      </c>
      <c r="M297">
        <v>3044910</v>
      </c>
      <c r="O297" t="s">
        <v>19900</v>
      </c>
      <c r="P297" t="s">
        <v>19908</v>
      </c>
      <c r="Q297" t="s">
        <v>19900</v>
      </c>
      <c r="R297" t="s">
        <v>19447</v>
      </c>
      <c r="S297" t="s">
        <v>19447</v>
      </c>
      <c r="T297" t="s">
        <v>19904</v>
      </c>
      <c r="W297" s="49">
        <v>30049029</v>
      </c>
      <c r="X297" s="50">
        <f>VLOOKUP(PISCOFINS!$W297,PISCOFINS!$C$3:$J$10518,7,0)</f>
        <v>2.1</v>
      </c>
    </row>
    <row r="298" spans="2:24" x14ac:dyDescent="0.25">
      <c r="B298" t="s">
        <v>2709</v>
      </c>
      <c r="C298">
        <v>3044920</v>
      </c>
      <c r="E298">
        <v>0</v>
      </c>
      <c r="F298">
        <v>7</v>
      </c>
      <c r="G298">
        <v>0</v>
      </c>
      <c r="H298" t="s">
        <v>19447</v>
      </c>
      <c r="I298" t="s">
        <v>19447</v>
      </c>
      <c r="J298">
        <v>10</v>
      </c>
      <c r="L298" t="s">
        <v>2709</v>
      </c>
      <c r="M298">
        <v>3044920</v>
      </c>
      <c r="O298" t="s">
        <v>19900</v>
      </c>
      <c r="P298" t="s">
        <v>19908</v>
      </c>
      <c r="Q298" t="s">
        <v>19900</v>
      </c>
      <c r="R298" t="s">
        <v>19447</v>
      </c>
      <c r="S298" t="s">
        <v>19447</v>
      </c>
      <c r="T298" t="s">
        <v>19904</v>
      </c>
      <c r="W298" s="50">
        <v>30049029</v>
      </c>
      <c r="X298" s="50">
        <f>VLOOKUP(PISCOFINS!$W298,PISCOFINS!$C$3:$J$10518,7,0)</f>
        <v>2.1</v>
      </c>
    </row>
    <row r="299" spans="2:24" x14ac:dyDescent="0.25">
      <c r="B299" t="s">
        <v>2709</v>
      </c>
      <c r="C299">
        <v>3044990</v>
      </c>
      <c r="E299">
        <v>0</v>
      </c>
      <c r="F299">
        <v>7</v>
      </c>
      <c r="G299">
        <v>0</v>
      </c>
      <c r="H299" t="s">
        <v>19447</v>
      </c>
      <c r="I299" t="s">
        <v>19447</v>
      </c>
      <c r="J299">
        <v>10</v>
      </c>
      <c r="L299" t="s">
        <v>2709</v>
      </c>
      <c r="M299">
        <v>3044990</v>
      </c>
      <c r="O299" t="s">
        <v>19900</v>
      </c>
      <c r="P299" t="s">
        <v>19908</v>
      </c>
      <c r="Q299" t="s">
        <v>19900</v>
      </c>
      <c r="R299" t="s">
        <v>19447</v>
      </c>
      <c r="S299" t="s">
        <v>19447</v>
      </c>
      <c r="T299" t="s">
        <v>19904</v>
      </c>
      <c r="W299" s="49">
        <v>30049029</v>
      </c>
      <c r="X299" s="50">
        <f>VLOOKUP(PISCOFINS!$W299,PISCOFINS!$C$3:$J$10518,7,0)</f>
        <v>2.1</v>
      </c>
    </row>
    <row r="300" spans="2:24" x14ac:dyDescent="0.25">
      <c r="B300" t="s">
        <v>2709</v>
      </c>
      <c r="C300">
        <v>3045100</v>
      </c>
      <c r="E300">
        <v>0</v>
      </c>
      <c r="F300">
        <v>7</v>
      </c>
      <c r="G300">
        <v>0</v>
      </c>
      <c r="H300" t="s">
        <v>19447</v>
      </c>
      <c r="I300" t="s">
        <v>19447</v>
      </c>
      <c r="J300">
        <v>10</v>
      </c>
      <c r="L300" t="s">
        <v>2709</v>
      </c>
      <c r="M300">
        <v>3045100</v>
      </c>
      <c r="O300" t="s">
        <v>19900</v>
      </c>
      <c r="P300" t="s">
        <v>19908</v>
      </c>
      <c r="Q300" t="s">
        <v>19900</v>
      </c>
      <c r="R300" t="s">
        <v>19447</v>
      </c>
      <c r="S300" t="s">
        <v>19447</v>
      </c>
      <c r="T300" t="s">
        <v>19904</v>
      </c>
      <c r="W300" s="50">
        <v>30049029</v>
      </c>
      <c r="X300" s="50">
        <f>VLOOKUP(PISCOFINS!$W300,PISCOFINS!$C$3:$J$10518,7,0)</f>
        <v>2.1</v>
      </c>
    </row>
    <row r="301" spans="2:24" x14ac:dyDescent="0.25">
      <c r="B301" t="s">
        <v>2709</v>
      </c>
      <c r="C301">
        <v>3045200</v>
      </c>
      <c r="E301">
        <v>0</v>
      </c>
      <c r="F301">
        <v>7</v>
      </c>
      <c r="G301">
        <v>0</v>
      </c>
      <c r="H301" t="s">
        <v>19447</v>
      </c>
      <c r="I301" t="s">
        <v>19447</v>
      </c>
      <c r="J301">
        <v>10</v>
      </c>
      <c r="L301" t="s">
        <v>2709</v>
      </c>
      <c r="M301">
        <v>3045200</v>
      </c>
      <c r="O301" t="s">
        <v>19900</v>
      </c>
      <c r="P301" t="s">
        <v>19908</v>
      </c>
      <c r="Q301" t="s">
        <v>19900</v>
      </c>
      <c r="R301" t="s">
        <v>19447</v>
      </c>
      <c r="S301" t="s">
        <v>19447</v>
      </c>
      <c r="T301" t="s">
        <v>19904</v>
      </c>
      <c r="W301" s="49">
        <v>30049029</v>
      </c>
      <c r="X301" s="50">
        <f>VLOOKUP(PISCOFINS!$W301,PISCOFINS!$C$3:$J$10518,7,0)</f>
        <v>2.1</v>
      </c>
    </row>
    <row r="302" spans="2:24" x14ac:dyDescent="0.25">
      <c r="B302" t="s">
        <v>2709</v>
      </c>
      <c r="C302">
        <v>3045300</v>
      </c>
      <c r="E302">
        <v>0</v>
      </c>
      <c r="F302">
        <v>7</v>
      </c>
      <c r="G302">
        <v>0</v>
      </c>
      <c r="H302" t="s">
        <v>19447</v>
      </c>
      <c r="I302" t="s">
        <v>19447</v>
      </c>
      <c r="J302">
        <v>10</v>
      </c>
      <c r="L302" t="s">
        <v>2709</v>
      </c>
      <c r="M302">
        <v>3045300</v>
      </c>
      <c r="O302" t="s">
        <v>19900</v>
      </c>
      <c r="P302" t="s">
        <v>19908</v>
      </c>
      <c r="Q302" t="s">
        <v>19900</v>
      </c>
      <c r="R302" t="s">
        <v>19447</v>
      </c>
      <c r="S302" t="s">
        <v>19447</v>
      </c>
      <c r="T302" t="s">
        <v>19904</v>
      </c>
      <c r="W302" s="50">
        <v>30049029</v>
      </c>
      <c r="X302" s="50">
        <f>VLOOKUP(PISCOFINS!$W302,PISCOFINS!$C$3:$J$10518,7,0)</f>
        <v>2.1</v>
      </c>
    </row>
    <row r="303" spans="2:24" x14ac:dyDescent="0.25">
      <c r="B303" t="s">
        <v>2709</v>
      </c>
      <c r="C303">
        <v>3045400</v>
      </c>
      <c r="E303">
        <v>0</v>
      </c>
      <c r="F303">
        <v>7</v>
      </c>
      <c r="G303">
        <v>0</v>
      </c>
      <c r="H303" t="s">
        <v>19447</v>
      </c>
      <c r="I303" t="s">
        <v>19447</v>
      </c>
      <c r="J303">
        <v>10</v>
      </c>
      <c r="L303" t="s">
        <v>2709</v>
      </c>
      <c r="M303">
        <v>3045400</v>
      </c>
      <c r="O303" t="s">
        <v>19900</v>
      </c>
      <c r="P303" t="s">
        <v>19908</v>
      </c>
      <c r="Q303" t="s">
        <v>19900</v>
      </c>
      <c r="R303" t="s">
        <v>19447</v>
      </c>
      <c r="S303" t="s">
        <v>19447</v>
      </c>
      <c r="T303" t="s">
        <v>19904</v>
      </c>
      <c r="W303" s="49">
        <v>30049029</v>
      </c>
      <c r="X303" s="50">
        <f>VLOOKUP(PISCOFINS!$W303,PISCOFINS!$C$3:$J$10518,7,0)</f>
        <v>2.1</v>
      </c>
    </row>
    <row r="304" spans="2:24" x14ac:dyDescent="0.25">
      <c r="B304" t="s">
        <v>2709</v>
      </c>
      <c r="C304">
        <v>3045500</v>
      </c>
      <c r="E304">
        <v>0</v>
      </c>
      <c r="F304">
        <v>7</v>
      </c>
      <c r="G304">
        <v>0</v>
      </c>
      <c r="H304" t="s">
        <v>19447</v>
      </c>
      <c r="I304" t="s">
        <v>19447</v>
      </c>
      <c r="J304">
        <v>10</v>
      </c>
      <c r="L304" t="s">
        <v>2709</v>
      </c>
      <c r="M304">
        <v>3045500</v>
      </c>
      <c r="O304" t="s">
        <v>19900</v>
      </c>
      <c r="P304" t="s">
        <v>19908</v>
      </c>
      <c r="Q304" t="s">
        <v>19900</v>
      </c>
      <c r="R304" t="s">
        <v>19447</v>
      </c>
      <c r="S304" t="s">
        <v>19447</v>
      </c>
      <c r="T304" t="s">
        <v>19904</v>
      </c>
      <c r="W304" s="50">
        <v>30049029</v>
      </c>
      <c r="X304" s="50">
        <f>VLOOKUP(PISCOFINS!$W304,PISCOFINS!$C$3:$J$10518,7,0)</f>
        <v>2.1</v>
      </c>
    </row>
    <row r="305" spans="2:24" x14ac:dyDescent="0.25">
      <c r="B305" t="s">
        <v>2709</v>
      </c>
      <c r="C305">
        <v>3045900</v>
      </c>
      <c r="E305">
        <v>0</v>
      </c>
      <c r="F305">
        <v>7</v>
      </c>
      <c r="G305">
        <v>0</v>
      </c>
      <c r="H305" t="s">
        <v>19447</v>
      </c>
      <c r="I305" t="s">
        <v>19447</v>
      </c>
      <c r="J305">
        <v>10</v>
      </c>
      <c r="L305" t="s">
        <v>2709</v>
      </c>
      <c r="M305">
        <v>3045900</v>
      </c>
      <c r="O305" t="s">
        <v>19900</v>
      </c>
      <c r="P305" t="s">
        <v>19908</v>
      </c>
      <c r="Q305" t="s">
        <v>19900</v>
      </c>
      <c r="R305" t="s">
        <v>19447</v>
      </c>
      <c r="S305" t="s">
        <v>19447</v>
      </c>
      <c r="T305" t="s">
        <v>19904</v>
      </c>
      <c r="W305" s="49">
        <v>30049029</v>
      </c>
      <c r="X305" s="50">
        <f>VLOOKUP(PISCOFINS!$W305,PISCOFINS!$C$3:$J$10518,7,0)</f>
        <v>2.1</v>
      </c>
    </row>
    <row r="306" spans="2:24" x14ac:dyDescent="0.25">
      <c r="B306" t="s">
        <v>2709</v>
      </c>
      <c r="C306">
        <v>3046100</v>
      </c>
      <c r="E306">
        <v>0</v>
      </c>
      <c r="F306">
        <v>7</v>
      </c>
      <c r="G306">
        <v>0</v>
      </c>
      <c r="H306" t="s">
        <v>19447</v>
      </c>
      <c r="I306" t="s">
        <v>19447</v>
      </c>
      <c r="J306">
        <v>10</v>
      </c>
      <c r="L306" t="s">
        <v>2709</v>
      </c>
      <c r="M306">
        <v>3046100</v>
      </c>
      <c r="O306" t="s">
        <v>19900</v>
      </c>
      <c r="P306" t="s">
        <v>19908</v>
      </c>
      <c r="Q306" t="s">
        <v>19900</v>
      </c>
      <c r="R306" t="s">
        <v>19447</v>
      </c>
      <c r="S306" t="s">
        <v>19447</v>
      </c>
      <c r="T306" t="s">
        <v>19904</v>
      </c>
      <c r="W306" s="50">
        <v>30049029</v>
      </c>
      <c r="X306" s="50">
        <f>VLOOKUP(PISCOFINS!$W306,PISCOFINS!$C$3:$J$10518,7,0)</f>
        <v>2.1</v>
      </c>
    </row>
    <row r="307" spans="2:24" x14ac:dyDescent="0.25">
      <c r="B307" t="s">
        <v>2709</v>
      </c>
      <c r="C307">
        <v>3046210</v>
      </c>
      <c r="E307">
        <v>0</v>
      </c>
      <c r="F307">
        <v>7</v>
      </c>
      <c r="G307">
        <v>0</v>
      </c>
      <c r="H307" t="s">
        <v>19447</v>
      </c>
      <c r="I307" t="s">
        <v>19447</v>
      </c>
      <c r="J307">
        <v>10</v>
      </c>
      <c r="L307" t="s">
        <v>2709</v>
      </c>
      <c r="M307">
        <v>3046210</v>
      </c>
      <c r="O307" t="s">
        <v>19900</v>
      </c>
      <c r="P307" t="s">
        <v>19908</v>
      </c>
      <c r="Q307" t="s">
        <v>19900</v>
      </c>
      <c r="R307" t="s">
        <v>19447</v>
      </c>
      <c r="S307" t="s">
        <v>19447</v>
      </c>
      <c r="T307" t="s">
        <v>19904</v>
      </c>
      <c r="W307" s="49">
        <v>30049029</v>
      </c>
      <c r="X307" s="50">
        <f>VLOOKUP(PISCOFINS!$W307,PISCOFINS!$C$3:$J$10518,7,0)</f>
        <v>2.1</v>
      </c>
    </row>
    <row r="308" spans="2:24" x14ac:dyDescent="0.25">
      <c r="B308" t="s">
        <v>2709</v>
      </c>
      <c r="C308">
        <v>3046290</v>
      </c>
      <c r="E308">
        <v>0</v>
      </c>
      <c r="F308">
        <v>7</v>
      </c>
      <c r="G308">
        <v>0</v>
      </c>
      <c r="H308" t="s">
        <v>19447</v>
      </c>
      <c r="I308" t="s">
        <v>19447</v>
      </c>
      <c r="J308">
        <v>10</v>
      </c>
      <c r="L308" t="s">
        <v>2709</v>
      </c>
      <c r="M308">
        <v>3046290</v>
      </c>
      <c r="O308" t="s">
        <v>19900</v>
      </c>
      <c r="P308" t="s">
        <v>19908</v>
      </c>
      <c r="Q308" t="s">
        <v>19900</v>
      </c>
      <c r="R308" t="s">
        <v>19447</v>
      </c>
      <c r="S308" t="s">
        <v>19447</v>
      </c>
      <c r="T308" t="s">
        <v>19904</v>
      </c>
      <c r="W308" s="50">
        <v>30049021</v>
      </c>
      <c r="X308" s="50">
        <f>VLOOKUP(PISCOFINS!$W308,PISCOFINS!$C$3:$J$10518,7,0)</f>
        <v>2.1</v>
      </c>
    </row>
    <row r="309" spans="2:24" x14ac:dyDescent="0.25">
      <c r="B309" t="s">
        <v>2709</v>
      </c>
      <c r="C309">
        <v>3046300</v>
      </c>
      <c r="E309">
        <v>0</v>
      </c>
      <c r="F309">
        <v>7</v>
      </c>
      <c r="G309">
        <v>0</v>
      </c>
      <c r="H309" t="s">
        <v>19447</v>
      </c>
      <c r="I309" t="s">
        <v>19447</v>
      </c>
      <c r="J309">
        <v>10</v>
      </c>
      <c r="L309" t="s">
        <v>2709</v>
      </c>
      <c r="M309">
        <v>3046300</v>
      </c>
      <c r="O309" t="s">
        <v>19900</v>
      </c>
      <c r="P309" t="s">
        <v>19908</v>
      </c>
      <c r="Q309" t="s">
        <v>19900</v>
      </c>
      <c r="R309" t="s">
        <v>19447</v>
      </c>
      <c r="S309" t="s">
        <v>19447</v>
      </c>
      <c r="T309" t="s">
        <v>19904</v>
      </c>
      <c r="W309" s="49">
        <v>30045090</v>
      </c>
      <c r="X309" s="50">
        <f>VLOOKUP(PISCOFINS!$W309,PISCOFINS!$C$3:$J$10518,7,0)</f>
        <v>2.1</v>
      </c>
    </row>
    <row r="310" spans="2:24" x14ac:dyDescent="0.25">
      <c r="B310" t="s">
        <v>2709</v>
      </c>
      <c r="C310">
        <v>3046900</v>
      </c>
      <c r="E310">
        <v>0</v>
      </c>
      <c r="F310">
        <v>7</v>
      </c>
      <c r="G310">
        <v>0</v>
      </c>
      <c r="H310" t="s">
        <v>19447</v>
      </c>
      <c r="I310" t="s">
        <v>19447</v>
      </c>
      <c r="J310">
        <v>10</v>
      </c>
      <c r="L310" t="s">
        <v>2709</v>
      </c>
      <c r="M310">
        <v>3046900</v>
      </c>
      <c r="O310" t="s">
        <v>19900</v>
      </c>
      <c r="P310" t="s">
        <v>19908</v>
      </c>
      <c r="Q310" t="s">
        <v>19900</v>
      </c>
      <c r="R310" t="s">
        <v>19447</v>
      </c>
      <c r="S310" t="s">
        <v>19447</v>
      </c>
      <c r="T310" t="s">
        <v>19904</v>
      </c>
      <c r="W310" s="50">
        <v>30045090</v>
      </c>
      <c r="X310" s="50">
        <f>VLOOKUP(PISCOFINS!$W310,PISCOFINS!$C$3:$J$10518,7,0)</f>
        <v>2.1</v>
      </c>
    </row>
    <row r="311" spans="2:24" x14ac:dyDescent="0.25">
      <c r="B311" t="s">
        <v>2709</v>
      </c>
      <c r="C311">
        <v>3047100</v>
      </c>
      <c r="E311">
        <v>0</v>
      </c>
      <c r="F311">
        <v>7</v>
      </c>
      <c r="G311">
        <v>0</v>
      </c>
      <c r="H311" t="s">
        <v>19447</v>
      </c>
      <c r="I311" t="s">
        <v>19447</v>
      </c>
      <c r="J311">
        <v>10</v>
      </c>
      <c r="L311" t="s">
        <v>2709</v>
      </c>
      <c r="M311">
        <v>3047100</v>
      </c>
      <c r="O311" t="s">
        <v>19900</v>
      </c>
      <c r="P311" t="s">
        <v>19908</v>
      </c>
      <c r="Q311" t="s">
        <v>19900</v>
      </c>
      <c r="R311" t="s">
        <v>19447</v>
      </c>
      <c r="S311" t="s">
        <v>19447</v>
      </c>
      <c r="T311" t="s">
        <v>19904</v>
      </c>
      <c r="W311" s="49">
        <v>30045090</v>
      </c>
      <c r="X311" s="50">
        <f>VLOOKUP(PISCOFINS!$W311,PISCOFINS!$C$3:$J$10518,7,0)</f>
        <v>2.1</v>
      </c>
    </row>
    <row r="312" spans="2:24" x14ac:dyDescent="0.25">
      <c r="B312" t="s">
        <v>2709</v>
      </c>
      <c r="C312">
        <v>3047200</v>
      </c>
      <c r="E312">
        <v>0</v>
      </c>
      <c r="F312">
        <v>7</v>
      </c>
      <c r="G312">
        <v>0</v>
      </c>
      <c r="H312" t="s">
        <v>19447</v>
      </c>
      <c r="I312" t="s">
        <v>19447</v>
      </c>
      <c r="J312">
        <v>10</v>
      </c>
      <c r="L312" t="s">
        <v>2709</v>
      </c>
      <c r="M312">
        <v>3047200</v>
      </c>
      <c r="O312" t="s">
        <v>19900</v>
      </c>
      <c r="P312" t="s">
        <v>19908</v>
      </c>
      <c r="Q312" t="s">
        <v>19900</v>
      </c>
      <c r="R312" t="s">
        <v>19447</v>
      </c>
      <c r="S312" t="s">
        <v>19447</v>
      </c>
      <c r="T312" t="s">
        <v>19904</v>
      </c>
      <c r="W312" s="50">
        <v>30045090</v>
      </c>
      <c r="X312" s="50">
        <f>VLOOKUP(PISCOFINS!$W312,PISCOFINS!$C$3:$J$10518,7,0)</f>
        <v>2.1</v>
      </c>
    </row>
    <row r="313" spans="2:24" x14ac:dyDescent="0.25">
      <c r="B313" t="s">
        <v>2709</v>
      </c>
      <c r="C313">
        <v>3047300</v>
      </c>
      <c r="E313">
        <v>0</v>
      </c>
      <c r="F313">
        <v>7</v>
      </c>
      <c r="G313">
        <v>0</v>
      </c>
      <c r="H313" t="s">
        <v>19447</v>
      </c>
      <c r="I313" t="s">
        <v>19447</v>
      </c>
      <c r="J313">
        <v>10</v>
      </c>
      <c r="L313" t="s">
        <v>2709</v>
      </c>
      <c r="M313">
        <v>3047300</v>
      </c>
      <c r="O313" t="s">
        <v>19900</v>
      </c>
      <c r="P313" t="s">
        <v>19908</v>
      </c>
      <c r="Q313" t="s">
        <v>19900</v>
      </c>
      <c r="R313" t="s">
        <v>19447</v>
      </c>
      <c r="S313" t="s">
        <v>19447</v>
      </c>
      <c r="T313" t="s">
        <v>19904</v>
      </c>
      <c r="W313" s="49">
        <v>30045090</v>
      </c>
      <c r="X313" s="50">
        <f>VLOOKUP(PISCOFINS!$W313,PISCOFINS!$C$3:$J$10518,7,0)</f>
        <v>2.1</v>
      </c>
    </row>
    <row r="314" spans="2:24" x14ac:dyDescent="0.25">
      <c r="B314" t="s">
        <v>2709</v>
      </c>
      <c r="C314">
        <v>3047400</v>
      </c>
      <c r="E314">
        <v>0</v>
      </c>
      <c r="F314">
        <v>7</v>
      </c>
      <c r="G314">
        <v>0</v>
      </c>
      <c r="H314" t="s">
        <v>19447</v>
      </c>
      <c r="I314" t="s">
        <v>19447</v>
      </c>
      <c r="J314">
        <v>10</v>
      </c>
      <c r="L314" t="s">
        <v>2709</v>
      </c>
      <c r="M314">
        <v>3047400</v>
      </c>
      <c r="O314" t="s">
        <v>19900</v>
      </c>
      <c r="P314" t="s">
        <v>19908</v>
      </c>
      <c r="Q314" t="s">
        <v>19900</v>
      </c>
      <c r="R314" t="s">
        <v>19447</v>
      </c>
      <c r="S314" t="s">
        <v>19447</v>
      </c>
      <c r="T314" t="s">
        <v>19904</v>
      </c>
      <c r="W314" s="50">
        <v>30045090</v>
      </c>
      <c r="X314" s="50">
        <f>VLOOKUP(PISCOFINS!$W314,PISCOFINS!$C$3:$J$10518,7,0)</f>
        <v>2.1</v>
      </c>
    </row>
    <row r="315" spans="2:24" x14ac:dyDescent="0.25">
      <c r="B315" t="s">
        <v>2709</v>
      </c>
      <c r="C315">
        <v>3047500</v>
      </c>
      <c r="E315">
        <v>0</v>
      </c>
      <c r="F315">
        <v>7</v>
      </c>
      <c r="G315">
        <v>0</v>
      </c>
      <c r="H315" t="s">
        <v>19447</v>
      </c>
      <c r="I315" t="s">
        <v>19447</v>
      </c>
      <c r="J315">
        <v>10</v>
      </c>
      <c r="L315" t="s">
        <v>2709</v>
      </c>
      <c r="M315">
        <v>3047500</v>
      </c>
      <c r="O315" t="s">
        <v>19900</v>
      </c>
      <c r="P315" t="s">
        <v>19908</v>
      </c>
      <c r="Q315" t="s">
        <v>19900</v>
      </c>
      <c r="R315" t="s">
        <v>19447</v>
      </c>
      <c r="S315" t="s">
        <v>19447</v>
      </c>
      <c r="T315" t="s">
        <v>19904</v>
      </c>
      <c r="W315" s="49">
        <v>30045060</v>
      </c>
      <c r="X315" s="50">
        <f>VLOOKUP(PISCOFINS!$W315,PISCOFINS!$C$3:$J$10518,7,0)</f>
        <v>2.1</v>
      </c>
    </row>
    <row r="316" spans="2:24" x14ac:dyDescent="0.25">
      <c r="B316" t="s">
        <v>2709</v>
      </c>
      <c r="C316">
        <v>3047900</v>
      </c>
      <c r="E316">
        <v>0</v>
      </c>
      <c r="F316">
        <v>7</v>
      </c>
      <c r="G316">
        <v>0</v>
      </c>
      <c r="H316" t="s">
        <v>19447</v>
      </c>
      <c r="I316" t="s">
        <v>19447</v>
      </c>
      <c r="J316">
        <v>10</v>
      </c>
      <c r="L316" t="s">
        <v>2709</v>
      </c>
      <c r="M316">
        <v>3047900</v>
      </c>
      <c r="O316" t="s">
        <v>19900</v>
      </c>
      <c r="P316" t="s">
        <v>19908</v>
      </c>
      <c r="Q316" t="s">
        <v>19900</v>
      </c>
      <c r="R316" t="s">
        <v>19447</v>
      </c>
      <c r="S316" t="s">
        <v>19447</v>
      </c>
      <c r="T316" t="s">
        <v>19904</v>
      </c>
      <c r="W316" s="50">
        <v>30045060</v>
      </c>
      <c r="X316" s="50">
        <f>VLOOKUP(PISCOFINS!$W316,PISCOFINS!$C$3:$J$10518,7,0)</f>
        <v>2.1</v>
      </c>
    </row>
    <row r="317" spans="2:24" x14ac:dyDescent="0.25">
      <c r="B317" t="s">
        <v>2709</v>
      </c>
      <c r="C317">
        <v>3048100</v>
      </c>
      <c r="E317">
        <v>0</v>
      </c>
      <c r="F317">
        <v>7</v>
      </c>
      <c r="G317">
        <v>0</v>
      </c>
      <c r="H317" t="s">
        <v>19447</v>
      </c>
      <c r="I317" t="s">
        <v>19447</v>
      </c>
      <c r="J317">
        <v>10</v>
      </c>
      <c r="L317" t="s">
        <v>2709</v>
      </c>
      <c r="M317">
        <v>3048100</v>
      </c>
      <c r="O317" t="s">
        <v>19900</v>
      </c>
      <c r="P317" t="s">
        <v>19908</v>
      </c>
      <c r="Q317" t="s">
        <v>19900</v>
      </c>
      <c r="R317" t="s">
        <v>19447</v>
      </c>
      <c r="S317" t="s">
        <v>19447</v>
      </c>
      <c r="T317" t="s">
        <v>19904</v>
      </c>
      <c r="W317" s="49">
        <v>30044090</v>
      </c>
      <c r="X317" s="50">
        <f>VLOOKUP(PISCOFINS!$W317,PISCOFINS!$C$3:$J$10518,7,0)</f>
        <v>2.1</v>
      </c>
    </row>
    <row r="318" spans="2:24" x14ac:dyDescent="0.25">
      <c r="B318" t="s">
        <v>2709</v>
      </c>
      <c r="C318">
        <v>3048200</v>
      </c>
      <c r="E318">
        <v>0</v>
      </c>
      <c r="F318">
        <v>7</v>
      </c>
      <c r="G318">
        <v>0</v>
      </c>
      <c r="H318" t="s">
        <v>19447</v>
      </c>
      <c r="I318" t="s">
        <v>19447</v>
      </c>
      <c r="J318">
        <v>10</v>
      </c>
      <c r="L318" t="s">
        <v>2709</v>
      </c>
      <c r="M318">
        <v>3048200</v>
      </c>
      <c r="O318" t="s">
        <v>19900</v>
      </c>
      <c r="P318" t="s">
        <v>19908</v>
      </c>
      <c r="Q318" t="s">
        <v>19900</v>
      </c>
      <c r="R318" t="s">
        <v>19447</v>
      </c>
      <c r="S318" t="s">
        <v>19447</v>
      </c>
      <c r="T318" t="s">
        <v>19904</v>
      </c>
      <c r="W318" s="50">
        <v>30044090</v>
      </c>
      <c r="X318" s="50">
        <f>VLOOKUP(PISCOFINS!$W318,PISCOFINS!$C$3:$J$10518,7,0)</f>
        <v>2.1</v>
      </c>
    </row>
    <row r="319" spans="2:24" x14ac:dyDescent="0.25">
      <c r="B319" t="s">
        <v>2709</v>
      </c>
      <c r="C319">
        <v>3048300</v>
      </c>
      <c r="E319">
        <v>0</v>
      </c>
      <c r="F319">
        <v>7</v>
      </c>
      <c r="G319">
        <v>0</v>
      </c>
      <c r="H319" t="s">
        <v>19447</v>
      </c>
      <c r="I319" t="s">
        <v>19447</v>
      </c>
      <c r="J319">
        <v>10</v>
      </c>
      <c r="L319" t="s">
        <v>2709</v>
      </c>
      <c r="M319">
        <v>3048300</v>
      </c>
      <c r="O319" t="s">
        <v>19900</v>
      </c>
      <c r="P319" t="s">
        <v>19908</v>
      </c>
      <c r="Q319" t="s">
        <v>19900</v>
      </c>
      <c r="R319" t="s">
        <v>19447</v>
      </c>
      <c r="S319" t="s">
        <v>19447</v>
      </c>
      <c r="T319" t="s">
        <v>19904</v>
      </c>
      <c r="W319" s="49">
        <v>30044090</v>
      </c>
      <c r="X319" s="50">
        <f>VLOOKUP(PISCOFINS!$W319,PISCOFINS!$C$3:$J$10518,7,0)</f>
        <v>2.1</v>
      </c>
    </row>
    <row r="320" spans="2:24" x14ac:dyDescent="0.25">
      <c r="B320" t="s">
        <v>2709</v>
      </c>
      <c r="C320">
        <v>3048400</v>
      </c>
      <c r="E320">
        <v>0</v>
      </c>
      <c r="F320">
        <v>7</v>
      </c>
      <c r="G320">
        <v>0</v>
      </c>
      <c r="H320" t="s">
        <v>19447</v>
      </c>
      <c r="I320" t="s">
        <v>19447</v>
      </c>
      <c r="J320">
        <v>10</v>
      </c>
      <c r="L320" t="s">
        <v>2709</v>
      </c>
      <c r="M320">
        <v>3048400</v>
      </c>
      <c r="O320" t="s">
        <v>19900</v>
      </c>
      <c r="P320" t="s">
        <v>19908</v>
      </c>
      <c r="Q320" t="s">
        <v>19900</v>
      </c>
      <c r="R320" t="s">
        <v>19447</v>
      </c>
      <c r="S320" t="s">
        <v>19447</v>
      </c>
      <c r="T320" t="s">
        <v>19904</v>
      </c>
      <c r="W320" s="50">
        <v>30044090</v>
      </c>
      <c r="X320" s="50">
        <f>VLOOKUP(PISCOFINS!$W320,PISCOFINS!$C$3:$J$10518,7,0)</f>
        <v>2.1</v>
      </c>
    </row>
    <row r="321" spans="2:24" x14ac:dyDescent="0.25">
      <c r="B321" t="s">
        <v>2709</v>
      </c>
      <c r="C321">
        <v>3048510</v>
      </c>
      <c r="E321">
        <v>0</v>
      </c>
      <c r="F321">
        <v>7</v>
      </c>
      <c r="G321">
        <v>0</v>
      </c>
      <c r="H321" t="s">
        <v>19447</v>
      </c>
      <c r="I321" t="s">
        <v>19447</v>
      </c>
      <c r="J321">
        <v>10</v>
      </c>
      <c r="L321" t="s">
        <v>2709</v>
      </c>
      <c r="M321">
        <v>3048510</v>
      </c>
      <c r="O321" t="s">
        <v>19900</v>
      </c>
      <c r="P321" t="s">
        <v>19908</v>
      </c>
      <c r="Q321" t="s">
        <v>19900</v>
      </c>
      <c r="R321" t="s">
        <v>19447</v>
      </c>
      <c r="S321" t="s">
        <v>19447</v>
      </c>
      <c r="T321" t="s">
        <v>19904</v>
      </c>
      <c r="W321" s="49">
        <v>30044090</v>
      </c>
      <c r="X321" s="50">
        <f>VLOOKUP(PISCOFINS!$W321,PISCOFINS!$C$3:$J$10518,7,0)</f>
        <v>2.1</v>
      </c>
    </row>
    <row r="322" spans="2:24" x14ac:dyDescent="0.25">
      <c r="B322" t="s">
        <v>2709</v>
      </c>
      <c r="C322">
        <v>3048520</v>
      </c>
      <c r="E322">
        <v>0</v>
      </c>
      <c r="F322">
        <v>7</v>
      </c>
      <c r="G322">
        <v>0</v>
      </c>
      <c r="H322" t="s">
        <v>19447</v>
      </c>
      <c r="I322" t="s">
        <v>19447</v>
      </c>
      <c r="J322">
        <v>10</v>
      </c>
      <c r="L322" t="s">
        <v>2709</v>
      </c>
      <c r="M322">
        <v>3048520</v>
      </c>
      <c r="O322" t="s">
        <v>19900</v>
      </c>
      <c r="P322" t="s">
        <v>19908</v>
      </c>
      <c r="Q322" t="s">
        <v>19900</v>
      </c>
      <c r="R322" t="s">
        <v>19447</v>
      </c>
      <c r="S322" t="s">
        <v>19447</v>
      </c>
      <c r="T322" t="s">
        <v>19904</v>
      </c>
      <c r="W322" s="50">
        <v>30044090</v>
      </c>
      <c r="X322" s="50">
        <f>VLOOKUP(PISCOFINS!$W322,PISCOFINS!$C$3:$J$10518,7,0)</f>
        <v>2.1</v>
      </c>
    </row>
    <row r="323" spans="2:24" x14ac:dyDescent="0.25">
      <c r="B323" t="s">
        <v>2709</v>
      </c>
      <c r="C323">
        <v>3048600</v>
      </c>
      <c r="E323">
        <v>0</v>
      </c>
      <c r="F323">
        <v>7</v>
      </c>
      <c r="G323">
        <v>0</v>
      </c>
      <c r="H323" t="s">
        <v>19447</v>
      </c>
      <c r="I323" t="s">
        <v>19447</v>
      </c>
      <c r="J323">
        <v>10</v>
      </c>
      <c r="L323" t="s">
        <v>2709</v>
      </c>
      <c r="M323">
        <v>3048600</v>
      </c>
      <c r="O323" t="s">
        <v>19900</v>
      </c>
      <c r="P323" t="s">
        <v>19908</v>
      </c>
      <c r="Q323" t="s">
        <v>19900</v>
      </c>
      <c r="R323" t="s">
        <v>19447</v>
      </c>
      <c r="S323" t="s">
        <v>19447</v>
      </c>
      <c r="T323" t="s">
        <v>19904</v>
      </c>
      <c r="W323" s="49">
        <v>30044090</v>
      </c>
      <c r="X323" s="50">
        <f>VLOOKUP(PISCOFINS!$W323,PISCOFINS!$C$3:$J$10518,7,0)</f>
        <v>2.1</v>
      </c>
    </row>
    <row r="324" spans="2:24" x14ac:dyDescent="0.25">
      <c r="B324" t="s">
        <v>2709</v>
      </c>
      <c r="C324">
        <v>3048700</v>
      </c>
      <c r="E324">
        <v>0</v>
      </c>
      <c r="F324">
        <v>7</v>
      </c>
      <c r="G324">
        <v>0</v>
      </c>
      <c r="H324" t="s">
        <v>19447</v>
      </c>
      <c r="I324" t="s">
        <v>19447</v>
      </c>
      <c r="J324">
        <v>10</v>
      </c>
      <c r="L324" t="s">
        <v>2709</v>
      </c>
      <c r="M324">
        <v>3048700</v>
      </c>
      <c r="O324" t="s">
        <v>19900</v>
      </c>
      <c r="P324" t="s">
        <v>19908</v>
      </c>
      <c r="Q324" t="s">
        <v>19900</v>
      </c>
      <c r="R324" t="s">
        <v>19447</v>
      </c>
      <c r="S324" t="s">
        <v>19447</v>
      </c>
      <c r="T324" t="s">
        <v>19904</v>
      </c>
      <c r="W324" s="50">
        <v>30044090</v>
      </c>
      <c r="X324" s="50">
        <f>VLOOKUP(PISCOFINS!$W324,PISCOFINS!$C$3:$J$10518,7,0)</f>
        <v>2.1</v>
      </c>
    </row>
    <row r="325" spans="2:24" x14ac:dyDescent="0.25">
      <c r="B325" t="s">
        <v>2709</v>
      </c>
      <c r="C325">
        <v>3048910</v>
      </c>
      <c r="E325">
        <v>0</v>
      </c>
      <c r="F325">
        <v>7</v>
      </c>
      <c r="G325">
        <v>0</v>
      </c>
      <c r="H325" t="s">
        <v>19447</v>
      </c>
      <c r="I325" t="s">
        <v>19447</v>
      </c>
      <c r="J325">
        <v>10</v>
      </c>
      <c r="L325" t="s">
        <v>2709</v>
      </c>
      <c r="M325">
        <v>3048910</v>
      </c>
      <c r="O325" t="s">
        <v>19900</v>
      </c>
      <c r="P325" t="s">
        <v>19908</v>
      </c>
      <c r="Q325" t="s">
        <v>19900</v>
      </c>
      <c r="R325" t="s">
        <v>19447</v>
      </c>
      <c r="S325" t="s">
        <v>19447</v>
      </c>
      <c r="T325" t="s">
        <v>19904</v>
      </c>
      <c r="W325" s="49">
        <v>30044090</v>
      </c>
      <c r="X325" s="50">
        <f>VLOOKUP(PISCOFINS!$W325,PISCOFINS!$C$3:$J$10518,7,0)</f>
        <v>2.1</v>
      </c>
    </row>
    <row r="326" spans="2:24" x14ac:dyDescent="0.25">
      <c r="B326" t="s">
        <v>2709</v>
      </c>
      <c r="C326">
        <v>3048920</v>
      </c>
      <c r="E326">
        <v>0</v>
      </c>
      <c r="F326">
        <v>7</v>
      </c>
      <c r="G326">
        <v>0</v>
      </c>
      <c r="H326" t="s">
        <v>19447</v>
      </c>
      <c r="I326" t="s">
        <v>19447</v>
      </c>
      <c r="J326">
        <v>10</v>
      </c>
      <c r="L326" t="s">
        <v>2709</v>
      </c>
      <c r="M326">
        <v>3048920</v>
      </c>
      <c r="O326" t="s">
        <v>19900</v>
      </c>
      <c r="P326" t="s">
        <v>19908</v>
      </c>
      <c r="Q326" t="s">
        <v>19900</v>
      </c>
      <c r="R326" t="s">
        <v>19447</v>
      </c>
      <c r="S326" t="s">
        <v>19447</v>
      </c>
      <c r="T326" t="s">
        <v>19904</v>
      </c>
      <c r="W326" s="50">
        <v>30044090</v>
      </c>
      <c r="X326" s="50">
        <f>VLOOKUP(PISCOFINS!$W326,PISCOFINS!$C$3:$J$10518,7,0)</f>
        <v>2.1</v>
      </c>
    </row>
    <row r="327" spans="2:24" x14ac:dyDescent="0.25">
      <c r="B327" t="s">
        <v>2709</v>
      </c>
      <c r="C327">
        <v>3048930</v>
      </c>
      <c r="E327">
        <v>0</v>
      </c>
      <c r="F327">
        <v>7</v>
      </c>
      <c r="G327">
        <v>0</v>
      </c>
      <c r="H327" t="s">
        <v>19447</v>
      </c>
      <c r="I327" t="s">
        <v>19447</v>
      </c>
      <c r="J327">
        <v>10</v>
      </c>
      <c r="L327" t="s">
        <v>2709</v>
      </c>
      <c r="M327">
        <v>3048930</v>
      </c>
      <c r="O327" t="s">
        <v>19900</v>
      </c>
      <c r="P327" t="s">
        <v>19908</v>
      </c>
      <c r="Q327" t="s">
        <v>19900</v>
      </c>
      <c r="R327" t="s">
        <v>19447</v>
      </c>
      <c r="S327" t="s">
        <v>19447</v>
      </c>
      <c r="T327" t="s">
        <v>19904</v>
      </c>
      <c r="W327" s="49">
        <v>30044090</v>
      </c>
      <c r="X327" s="50">
        <f>VLOOKUP(PISCOFINS!$W327,PISCOFINS!$C$3:$J$10518,7,0)</f>
        <v>2.1</v>
      </c>
    </row>
    <row r="328" spans="2:24" x14ac:dyDescent="0.25">
      <c r="B328" t="s">
        <v>2709</v>
      </c>
      <c r="C328">
        <v>3048940</v>
      </c>
      <c r="E328">
        <v>0</v>
      </c>
      <c r="F328">
        <v>7</v>
      </c>
      <c r="G328">
        <v>0</v>
      </c>
      <c r="H328" t="s">
        <v>19447</v>
      </c>
      <c r="I328" t="s">
        <v>19447</v>
      </c>
      <c r="J328">
        <v>10</v>
      </c>
      <c r="L328" t="s">
        <v>2709</v>
      </c>
      <c r="M328">
        <v>3048940</v>
      </c>
      <c r="O328" t="s">
        <v>19900</v>
      </c>
      <c r="P328" t="s">
        <v>19908</v>
      </c>
      <c r="Q328" t="s">
        <v>19900</v>
      </c>
      <c r="R328" t="s">
        <v>19447</v>
      </c>
      <c r="S328" t="s">
        <v>19447</v>
      </c>
      <c r="T328" t="s">
        <v>19904</v>
      </c>
      <c r="W328" s="50">
        <v>30044090</v>
      </c>
      <c r="X328" s="50">
        <f>VLOOKUP(PISCOFINS!$W328,PISCOFINS!$C$3:$J$10518,7,0)</f>
        <v>2.1</v>
      </c>
    </row>
    <row r="329" spans="2:24" x14ac:dyDescent="0.25">
      <c r="B329" t="s">
        <v>2709</v>
      </c>
      <c r="C329">
        <v>3048990</v>
      </c>
      <c r="E329">
        <v>0</v>
      </c>
      <c r="F329">
        <v>7</v>
      </c>
      <c r="G329">
        <v>0</v>
      </c>
      <c r="H329" t="s">
        <v>19447</v>
      </c>
      <c r="I329" t="s">
        <v>19447</v>
      </c>
      <c r="J329">
        <v>10</v>
      </c>
      <c r="L329" t="s">
        <v>2709</v>
      </c>
      <c r="M329">
        <v>3048990</v>
      </c>
      <c r="O329" t="s">
        <v>19900</v>
      </c>
      <c r="P329" t="s">
        <v>19908</v>
      </c>
      <c r="Q329" t="s">
        <v>19900</v>
      </c>
      <c r="R329" t="s">
        <v>19447</v>
      </c>
      <c r="S329" t="s">
        <v>19447</v>
      </c>
      <c r="T329" t="s">
        <v>19904</v>
      </c>
      <c r="W329" s="49">
        <v>30044090</v>
      </c>
      <c r="X329" s="50">
        <f>VLOOKUP(PISCOFINS!$W329,PISCOFINS!$C$3:$J$10518,7,0)</f>
        <v>2.1</v>
      </c>
    </row>
    <row r="330" spans="2:24" x14ac:dyDescent="0.25">
      <c r="B330" t="s">
        <v>2709</v>
      </c>
      <c r="C330">
        <v>3049100</v>
      </c>
      <c r="E330">
        <v>0</v>
      </c>
      <c r="F330">
        <v>7</v>
      </c>
      <c r="G330">
        <v>0</v>
      </c>
      <c r="H330" t="s">
        <v>19447</v>
      </c>
      <c r="I330" t="s">
        <v>19447</v>
      </c>
      <c r="J330">
        <v>10</v>
      </c>
      <c r="L330" t="s">
        <v>2709</v>
      </c>
      <c r="M330">
        <v>3049100</v>
      </c>
      <c r="O330" t="s">
        <v>19900</v>
      </c>
      <c r="P330" t="s">
        <v>19908</v>
      </c>
      <c r="Q330" t="s">
        <v>19900</v>
      </c>
      <c r="R330" t="s">
        <v>19447</v>
      </c>
      <c r="S330" t="s">
        <v>19447</v>
      </c>
      <c r="T330" t="s">
        <v>19904</v>
      </c>
      <c r="W330" s="50">
        <v>30044090</v>
      </c>
      <c r="X330" s="50">
        <f>VLOOKUP(PISCOFINS!$W330,PISCOFINS!$C$3:$J$10518,7,0)</f>
        <v>2.1</v>
      </c>
    </row>
    <row r="331" spans="2:24" x14ac:dyDescent="0.25">
      <c r="B331" t="s">
        <v>2709</v>
      </c>
      <c r="C331">
        <v>3049211</v>
      </c>
      <c r="E331">
        <v>0</v>
      </c>
      <c r="F331">
        <v>7</v>
      </c>
      <c r="G331">
        <v>0</v>
      </c>
      <c r="H331" t="s">
        <v>19447</v>
      </c>
      <c r="I331" t="s">
        <v>19447</v>
      </c>
      <c r="J331">
        <v>10</v>
      </c>
      <c r="L331" t="s">
        <v>2709</v>
      </c>
      <c r="M331">
        <v>3049211</v>
      </c>
      <c r="O331" t="s">
        <v>19900</v>
      </c>
      <c r="P331" t="s">
        <v>19908</v>
      </c>
      <c r="Q331" t="s">
        <v>19900</v>
      </c>
      <c r="R331" t="s">
        <v>19447</v>
      </c>
      <c r="S331" t="s">
        <v>19447</v>
      </c>
      <c r="T331" t="s">
        <v>19904</v>
      </c>
      <c r="W331" s="49">
        <v>30044090</v>
      </c>
      <c r="X331" s="50">
        <f>VLOOKUP(PISCOFINS!$W331,PISCOFINS!$C$3:$J$10518,7,0)</f>
        <v>2.1</v>
      </c>
    </row>
    <row r="332" spans="2:24" x14ac:dyDescent="0.25">
      <c r="B332" t="s">
        <v>2709</v>
      </c>
      <c r="C332">
        <v>3049212</v>
      </c>
      <c r="E332">
        <v>0</v>
      </c>
      <c r="F332">
        <v>7</v>
      </c>
      <c r="G332">
        <v>0</v>
      </c>
      <c r="H332" t="s">
        <v>19447</v>
      </c>
      <c r="I332" t="s">
        <v>19447</v>
      </c>
      <c r="J332">
        <v>10</v>
      </c>
      <c r="L332" t="s">
        <v>2709</v>
      </c>
      <c r="M332">
        <v>3049212</v>
      </c>
      <c r="O332" t="s">
        <v>19900</v>
      </c>
      <c r="P332" t="s">
        <v>19908</v>
      </c>
      <c r="Q332" t="s">
        <v>19900</v>
      </c>
      <c r="R332" t="s">
        <v>19447</v>
      </c>
      <c r="S332" t="s">
        <v>19447</v>
      </c>
      <c r="T332" t="s">
        <v>19904</v>
      </c>
      <c r="W332" s="50">
        <v>30044090</v>
      </c>
      <c r="X332" s="50">
        <f>VLOOKUP(PISCOFINS!$W332,PISCOFINS!$C$3:$J$10518,7,0)</f>
        <v>2.1</v>
      </c>
    </row>
    <row r="333" spans="2:24" x14ac:dyDescent="0.25">
      <c r="B333" t="s">
        <v>2709</v>
      </c>
      <c r="C333">
        <v>3049219</v>
      </c>
      <c r="E333">
        <v>0</v>
      </c>
      <c r="F333">
        <v>7</v>
      </c>
      <c r="G333">
        <v>0</v>
      </c>
      <c r="H333" t="s">
        <v>19447</v>
      </c>
      <c r="I333" t="s">
        <v>19447</v>
      </c>
      <c r="J333">
        <v>10</v>
      </c>
      <c r="L333" t="s">
        <v>2709</v>
      </c>
      <c r="M333">
        <v>3049219</v>
      </c>
      <c r="O333" t="s">
        <v>19900</v>
      </c>
      <c r="P333" t="s">
        <v>19908</v>
      </c>
      <c r="Q333" t="s">
        <v>19900</v>
      </c>
      <c r="R333" t="s">
        <v>19447</v>
      </c>
      <c r="S333" t="s">
        <v>19447</v>
      </c>
      <c r="T333" t="s">
        <v>19904</v>
      </c>
      <c r="W333" s="49">
        <v>30044090</v>
      </c>
      <c r="X333" s="50">
        <f>VLOOKUP(PISCOFINS!$W333,PISCOFINS!$C$3:$J$10518,7,0)</f>
        <v>2.1</v>
      </c>
    </row>
    <row r="334" spans="2:24" x14ac:dyDescent="0.25">
      <c r="B334" t="s">
        <v>2709</v>
      </c>
      <c r="C334">
        <v>3049221</v>
      </c>
      <c r="E334">
        <v>0</v>
      </c>
      <c r="F334">
        <v>7</v>
      </c>
      <c r="G334">
        <v>0</v>
      </c>
      <c r="H334" t="s">
        <v>19447</v>
      </c>
      <c r="I334" t="s">
        <v>19447</v>
      </c>
      <c r="J334">
        <v>10</v>
      </c>
      <c r="L334" t="s">
        <v>2709</v>
      </c>
      <c r="M334">
        <v>3049221</v>
      </c>
      <c r="O334" t="s">
        <v>19900</v>
      </c>
      <c r="P334" t="s">
        <v>19908</v>
      </c>
      <c r="Q334" t="s">
        <v>19900</v>
      </c>
      <c r="R334" t="s">
        <v>19447</v>
      </c>
      <c r="S334" t="s">
        <v>19447</v>
      </c>
      <c r="T334" t="s">
        <v>19904</v>
      </c>
      <c r="W334" s="50">
        <v>30044090</v>
      </c>
      <c r="X334" s="50">
        <f>VLOOKUP(PISCOFINS!$W334,PISCOFINS!$C$3:$J$10518,7,0)</f>
        <v>2.1</v>
      </c>
    </row>
    <row r="335" spans="2:24" x14ac:dyDescent="0.25">
      <c r="B335" t="s">
        <v>2709</v>
      </c>
      <c r="C335">
        <v>3049222</v>
      </c>
      <c r="E335">
        <v>0</v>
      </c>
      <c r="F335">
        <v>7</v>
      </c>
      <c r="G335">
        <v>0</v>
      </c>
      <c r="H335" t="s">
        <v>19447</v>
      </c>
      <c r="I335" t="s">
        <v>19447</v>
      </c>
      <c r="J335">
        <v>10</v>
      </c>
      <c r="L335" t="s">
        <v>2709</v>
      </c>
      <c r="M335">
        <v>3049222</v>
      </c>
      <c r="O335" t="s">
        <v>19900</v>
      </c>
      <c r="P335" t="s">
        <v>19908</v>
      </c>
      <c r="Q335" t="s">
        <v>19900</v>
      </c>
      <c r="R335" t="s">
        <v>19447</v>
      </c>
      <c r="S335" t="s">
        <v>19447</v>
      </c>
      <c r="T335" t="s">
        <v>19904</v>
      </c>
      <c r="W335" s="49">
        <v>30044090</v>
      </c>
      <c r="X335" s="50">
        <f>VLOOKUP(PISCOFINS!$W335,PISCOFINS!$C$3:$J$10518,7,0)</f>
        <v>2.1</v>
      </c>
    </row>
    <row r="336" spans="2:24" x14ac:dyDescent="0.25">
      <c r="B336" t="s">
        <v>2709</v>
      </c>
      <c r="C336">
        <v>3049229</v>
      </c>
      <c r="E336">
        <v>0</v>
      </c>
      <c r="F336">
        <v>7</v>
      </c>
      <c r="G336">
        <v>0</v>
      </c>
      <c r="H336" t="s">
        <v>19447</v>
      </c>
      <c r="I336" t="s">
        <v>19447</v>
      </c>
      <c r="J336">
        <v>10</v>
      </c>
      <c r="L336" t="s">
        <v>2709</v>
      </c>
      <c r="M336">
        <v>3049229</v>
      </c>
      <c r="O336" t="s">
        <v>19900</v>
      </c>
      <c r="P336" t="s">
        <v>19908</v>
      </c>
      <c r="Q336" t="s">
        <v>19900</v>
      </c>
      <c r="R336" t="s">
        <v>19447</v>
      </c>
      <c r="S336" t="s">
        <v>19447</v>
      </c>
      <c r="T336" t="s">
        <v>19904</v>
      </c>
      <c r="W336" s="50">
        <v>30044090</v>
      </c>
      <c r="X336" s="50">
        <f>VLOOKUP(PISCOFINS!$W336,PISCOFINS!$C$3:$J$10518,7,0)</f>
        <v>2.1</v>
      </c>
    </row>
    <row r="337" spans="2:24" x14ac:dyDescent="0.25">
      <c r="B337" t="s">
        <v>2709</v>
      </c>
      <c r="C337">
        <v>3049300</v>
      </c>
      <c r="E337">
        <v>0</v>
      </c>
      <c r="F337">
        <v>7</v>
      </c>
      <c r="G337">
        <v>0</v>
      </c>
      <c r="H337" t="s">
        <v>19447</v>
      </c>
      <c r="I337" t="s">
        <v>19447</v>
      </c>
      <c r="J337">
        <v>10</v>
      </c>
      <c r="L337" t="s">
        <v>2709</v>
      </c>
      <c r="M337">
        <v>3049300</v>
      </c>
      <c r="O337" t="s">
        <v>19900</v>
      </c>
      <c r="P337" t="s">
        <v>19908</v>
      </c>
      <c r="Q337" t="s">
        <v>19900</v>
      </c>
      <c r="R337" t="s">
        <v>19447</v>
      </c>
      <c r="S337" t="s">
        <v>19447</v>
      </c>
      <c r="T337" t="s">
        <v>19904</v>
      </c>
      <c r="W337" s="49">
        <v>30044090</v>
      </c>
      <c r="X337" s="50">
        <f>VLOOKUP(PISCOFINS!$W337,PISCOFINS!$C$3:$J$10518,7,0)</f>
        <v>2.1</v>
      </c>
    </row>
    <row r="338" spans="2:24" x14ac:dyDescent="0.25">
      <c r="B338" t="s">
        <v>2709</v>
      </c>
      <c r="C338">
        <v>3049400</v>
      </c>
      <c r="E338">
        <v>0</v>
      </c>
      <c r="F338">
        <v>7</v>
      </c>
      <c r="G338">
        <v>0</v>
      </c>
      <c r="H338" t="s">
        <v>19447</v>
      </c>
      <c r="I338" t="s">
        <v>19447</v>
      </c>
      <c r="J338">
        <v>10</v>
      </c>
      <c r="L338" t="s">
        <v>2709</v>
      </c>
      <c r="M338">
        <v>3049400</v>
      </c>
      <c r="O338" t="s">
        <v>19900</v>
      </c>
      <c r="P338" t="s">
        <v>19908</v>
      </c>
      <c r="Q338" t="s">
        <v>19900</v>
      </c>
      <c r="R338" t="s">
        <v>19447</v>
      </c>
      <c r="S338" t="s">
        <v>19447</v>
      </c>
      <c r="T338" t="s">
        <v>19904</v>
      </c>
      <c r="W338" s="50">
        <v>30044090</v>
      </c>
      <c r="X338" s="50">
        <f>VLOOKUP(PISCOFINS!$W338,PISCOFINS!$C$3:$J$10518,7,0)</f>
        <v>2.1</v>
      </c>
    </row>
    <row r="339" spans="2:24" x14ac:dyDescent="0.25">
      <c r="B339" t="s">
        <v>2709</v>
      </c>
      <c r="C339">
        <v>3049500</v>
      </c>
      <c r="E339">
        <v>0</v>
      </c>
      <c r="F339">
        <v>7</v>
      </c>
      <c r="G339">
        <v>0</v>
      </c>
      <c r="H339" t="s">
        <v>19447</v>
      </c>
      <c r="I339" t="s">
        <v>19447</v>
      </c>
      <c r="J339">
        <v>10</v>
      </c>
      <c r="L339" t="s">
        <v>2709</v>
      </c>
      <c r="M339">
        <v>3049500</v>
      </c>
      <c r="O339" t="s">
        <v>19900</v>
      </c>
      <c r="P339" t="s">
        <v>19908</v>
      </c>
      <c r="Q339" t="s">
        <v>19900</v>
      </c>
      <c r="R339" t="s">
        <v>19447</v>
      </c>
      <c r="S339" t="s">
        <v>19447</v>
      </c>
      <c r="T339" t="s">
        <v>19904</v>
      </c>
      <c r="W339" s="49">
        <v>30044090</v>
      </c>
      <c r="X339" s="50">
        <f>VLOOKUP(PISCOFINS!$W339,PISCOFINS!$C$3:$J$10518,7,0)</f>
        <v>2.1</v>
      </c>
    </row>
    <row r="340" spans="2:24" x14ac:dyDescent="0.25">
      <c r="B340" t="s">
        <v>2709</v>
      </c>
      <c r="C340">
        <v>3049900</v>
      </c>
      <c r="E340">
        <v>0</v>
      </c>
      <c r="F340">
        <v>7</v>
      </c>
      <c r="G340">
        <v>0</v>
      </c>
      <c r="H340" t="s">
        <v>19447</v>
      </c>
      <c r="I340" t="s">
        <v>19447</v>
      </c>
      <c r="J340">
        <v>10</v>
      </c>
      <c r="L340" t="s">
        <v>2709</v>
      </c>
      <c r="M340">
        <v>3049900</v>
      </c>
      <c r="O340" t="s">
        <v>19900</v>
      </c>
      <c r="P340" t="s">
        <v>19908</v>
      </c>
      <c r="Q340" t="s">
        <v>19900</v>
      </c>
      <c r="R340" t="s">
        <v>19447</v>
      </c>
      <c r="S340" t="s">
        <v>19447</v>
      </c>
      <c r="T340" t="s">
        <v>19904</v>
      </c>
      <c r="W340" s="50">
        <v>30044090</v>
      </c>
      <c r="X340" s="50">
        <f>VLOOKUP(PISCOFINS!$W340,PISCOFINS!$C$3:$J$10518,7,0)</f>
        <v>2.1</v>
      </c>
    </row>
    <row r="341" spans="2:24" x14ac:dyDescent="0.25">
      <c r="B341" t="s">
        <v>2709</v>
      </c>
      <c r="C341">
        <v>3051000</v>
      </c>
      <c r="E341">
        <v>0</v>
      </c>
      <c r="F341">
        <v>7</v>
      </c>
      <c r="G341">
        <v>0</v>
      </c>
      <c r="H341">
        <v>7.6</v>
      </c>
      <c r="I341">
        <v>1.65</v>
      </c>
      <c r="J341">
        <v>10</v>
      </c>
      <c r="L341" t="s">
        <v>2709</v>
      </c>
      <c r="M341">
        <v>3051000</v>
      </c>
      <c r="O341" t="s">
        <v>19900</v>
      </c>
      <c r="P341" t="s">
        <v>19908</v>
      </c>
      <c r="Q341" t="s">
        <v>19900</v>
      </c>
      <c r="R341" t="s">
        <v>19905</v>
      </c>
      <c r="S341" t="s">
        <v>19906</v>
      </c>
      <c r="T341" t="s">
        <v>19904</v>
      </c>
      <c r="W341" s="49">
        <v>30044090</v>
      </c>
      <c r="X341" s="50">
        <f>VLOOKUP(PISCOFINS!$W341,PISCOFINS!$C$3:$J$10518,7,0)</f>
        <v>2.1</v>
      </c>
    </row>
    <row r="342" spans="2:24" x14ac:dyDescent="0.25">
      <c r="B342" t="s">
        <v>2709</v>
      </c>
      <c r="C342">
        <v>3052000</v>
      </c>
      <c r="E342">
        <v>0</v>
      </c>
      <c r="F342">
        <v>7</v>
      </c>
      <c r="G342">
        <v>0</v>
      </c>
      <c r="H342">
        <v>7.6</v>
      </c>
      <c r="I342">
        <v>1.65</v>
      </c>
      <c r="J342">
        <v>10</v>
      </c>
      <c r="L342" t="s">
        <v>2709</v>
      </c>
      <c r="M342">
        <v>3052000</v>
      </c>
      <c r="O342" t="s">
        <v>19900</v>
      </c>
      <c r="P342" t="s">
        <v>19908</v>
      </c>
      <c r="Q342" t="s">
        <v>19900</v>
      </c>
      <c r="R342" t="s">
        <v>19905</v>
      </c>
      <c r="S342" t="s">
        <v>19906</v>
      </c>
      <c r="T342" t="s">
        <v>19904</v>
      </c>
      <c r="W342" s="50">
        <v>30044090</v>
      </c>
      <c r="X342" s="50">
        <f>VLOOKUP(PISCOFINS!$W342,PISCOFINS!$C$3:$J$10518,7,0)</f>
        <v>2.1</v>
      </c>
    </row>
    <row r="343" spans="2:24" x14ac:dyDescent="0.25">
      <c r="B343" t="s">
        <v>2709</v>
      </c>
      <c r="C343">
        <v>3053100</v>
      </c>
      <c r="E343">
        <v>0</v>
      </c>
      <c r="F343">
        <v>7</v>
      </c>
      <c r="G343">
        <v>0</v>
      </c>
      <c r="H343">
        <v>7.6</v>
      </c>
      <c r="I343">
        <v>1.65</v>
      </c>
      <c r="J343">
        <v>10</v>
      </c>
      <c r="L343" t="s">
        <v>2709</v>
      </c>
      <c r="M343">
        <v>3053100</v>
      </c>
      <c r="O343" t="s">
        <v>19900</v>
      </c>
      <c r="P343" t="s">
        <v>19908</v>
      </c>
      <c r="Q343" t="s">
        <v>19900</v>
      </c>
      <c r="R343" t="s">
        <v>19905</v>
      </c>
      <c r="S343" t="s">
        <v>19906</v>
      </c>
      <c r="T343" t="s">
        <v>19904</v>
      </c>
      <c r="W343" s="49">
        <v>30043999</v>
      </c>
      <c r="X343" s="50">
        <f>VLOOKUP(PISCOFINS!$W343,PISCOFINS!$C$3:$J$10518,7,0)</f>
        <v>2.1</v>
      </c>
    </row>
    <row r="344" spans="2:24" x14ac:dyDescent="0.25">
      <c r="B344" t="s">
        <v>2709</v>
      </c>
      <c r="C344">
        <v>3053210</v>
      </c>
      <c r="E344">
        <v>0</v>
      </c>
      <c r="F344">
        <v>7</v>
      </c>
      <c r="G344">
        <v>0</v>
      </c>
      <c r="H344">
        <v>7.6</v>
      </c>
      <c r="I344">
        <v>1.65</v>
      </c>
      <c r="J344">
        <v>0</v>
      </c>
      <c r="L344" t="s">
        <v>2709</v>
      </c>
      <c r="M344">
        <v>3053210</v>
      </c>
      <c r="O344" t="s">
        <v>19900</v>
      </c>
      <c r="P344" t="s">
        <v>19908</v>
      </c>
      <c r="Q344" t="s">
        <v>19900</v>
      </c>
      <c r="R344" t="s">
        <v>19905</v>
      </c>
      <c r="S344" t="s">
        <v>19906</v>
      </c>
      <c r="T344" t="s">
        <v>19900</v>
      </c>
      <c r="W344" s="50">
        <v>30043999</v>
      </c>
      <c r="X344" s="50">
        <f>VLOOKUP(PISCOFINS!$W344,PISCOFINS!$C$3:$J$10518,7,0)</f>
        <v>2.1</v>
      </c>
    </row>
    <row r="345" spans="2:24" x14ac:dyDescent="0.25">
      <c r="B345" t="s">
        <v>2709</v>
      </c>
      <c r="C345">
        <v>3053220</v>
      </c>
      <c r="E345">
        <v>0</v>
      </c>
      <c r="F345">
        <v>7</v>
      </c>
      <c r="G345">
        <v>0</v>
      </c>
      <c r="H345">
        <v>7.6</v>
      </c>
      <c r="I345">
        <v>1.65</v>
      </c>
      <c r="J345">
        <v>10</v>
      </c>
      <c r="L345" t="s">
        <v>2709</v>
      </c>
      <c r="M345">
        <v>3053220</v>
      </c>
      <c r="O345" t="s">
        <v>19900</v>
      </c>
      <c r="P345" t="s">
        <v>19908</v>
      </c>
      <c r="Q345" t="s">
        <v>19900</v>
      </c>
      <c r="R345" t="s">
        <v>19905</v>
      </c>
      <c r="S345" t="s">
        <v>19906</v>
      </c>
      <c r="T345" t="s">
        <v>19904</v>
      </c>
      <c r="W345" s="49">
        <v>30043999</v>
      </c>
      <c r="X345" s="50">
        <f>VLOOKUP(PISCOFINS!$W345,PISCOFINS!$C$3:$J$10518,7,0)</f>
        <v>2.1</v>
      </c>
    </row>
    <row r="346" spans="2:24" x14ac:dyDescent="0.25">
      <c r="B346" t="s">
        <v>2709</v>
      </c>
      <c r="C346">
        <v>3053290</v>
      </c>
      <c r="E346">
        <v>0</v>
      </c>
      <c r="F346">
        <v>7</v>
      </c>
      <c r="G346">
        <v>0</v>
      </c>
      <c r="H346">
        <v>7.6</v>
      </c>
      <c r="I346">
        <v>1.65</v>
      </c>
      <c r="J346">
        <v>10</v>
      </c>
      <c r="L346" t="s">
        <v>2709</v>
      </c>
      <c r="M346">
        <v>3053290</v>
      </c>
      <c r="O346" t="s">
        <v>19900</v>
      </c>
      <c r="P346" t="s">
        <v>19908</v>
      </c>
      <c r="Q346" t="s">
        <v>19900</v>
      </c>
      <c r="R346" t="s">
        <v>19905</v>
      </c>
      <c r="S346" t="s">
        <v>19906</v>
      </c>
      <c r="T346" t="s">
        <v>19904</v>
      </c>
      <c r="W346" s="50">
        <v>30043999</v>
      </c>
      <c r="X346" s="50">
        <f>VLOOKUP(PISCOFINS!$W346,PISCOFINS!$C$3:$J$10518,7,0)</f>
        <v>2.1</v>
      </c>
    </row>
    <row r="347" spans="2:24" x14ac:dyDescent="0.25">
      <c r="B347" t="s">
        <v>2709</v>
      </c>
      <c r="C347">
        <v>3053910</v>
      </c>
      <c r="E347">
        <v>0</v>
      </c>
      <c r="F347">
        <v>7</v>
      </c>
      <c r="G347">
        <v>0</v>
      </c>
      <c r="H347">
        <v>7.6</v>
      </c>
      <c r="I347">
        <v>1.65</v>
      </c>
      <c r="J347">
        <v>10</v>
      </c>
      <c r="L347" t="s">
        <v>2709</v>
      </c>
      <c r="M347">
        <v>3053910</v>
      </c>
      <c r="O347" t="s">
        <v>19900</v>
      </c>
      <c r="P347" t="s">
        <v>19908</v>
      </c>
      <c r="Q347" t="s">
        <v>19900</v>
      </c>
      <c r="R347" t="s">
        <v>19905</v>
      </c>
      <c r="S347" t="s">
        <v>19906</v>
      </c>
      <c r="T347" t="s">
        <v>19904</v>
      </c>
      <c r="W347" s="49">
        <v>30043999</v>
      </c>
      <c r="X347" s="50">
        <f>VLOOKUP(PISCOFINS!$W347,PISCOFINS!$C$3:$J$10518,7,0)</f>
        <v>2.1</v>
      </c>
    </row>
    <row r="348" spans="2:24" x14ac:dyDescent="0.25">
      <c r="B348" t="s">
        <v>2709</v>
      </c>
      <c r="C348">
        <v>3053990</v>
      </c>
      <c r="E348">
        <v>0</v>
      </c>
      <c r="F348">
        <v>7</v>
      </c>
      <c r="G348">
        <v>0</v>
      </c>
      <c r="H348">
        <v>7.6</v>
      </c>
      <c r="I348">
        <v>1.65</v>
      </c>
      <c r="J348">
        <v>10</v>
      </c>
      <c r="L348" t="s">
        <v>2709</v>
      </c>
      <c r="M348">
        <v>3053990</v>
      </c>
      <c r="O348" t="s">
        <v>19900</v>
      </c>
      <c r="P348" t="s">
        <v>19908</v>
      </c>
      <c r="Q348" t="s">
        <v>19900</v>
      </c>
      <c r="R348" t="s">
        <v>19905</v>
      </c>
      <c r="S348" t="s">
        <v>19906</v>
      </c>
      <c r="T348" t="s">
        <v>19904</v>
      </c>
      <c r="W348" s="50">
        <v>30043999</v>
      </c>
      <c r="X348" s="50">
        <f>VLOOKUP(PISCOFINS!$W348,PISCOFINS!$C$3:$J$10518,7,0)</f>
        <v>2.1</v>
      </c>
    </row>
    <row r="349" spans="2:24" x14ac:dyDescent="0.25">
      <c r="B349" t="s">
        <v>2709</v>
      </c>
      <c r="C349">
        <v>3054100</v>
      </c>
      <c r="E349">
        <v>0</v>
      </c>
      <c r="F349">
        <v>7</v>
      </c>
      <c r="G349">
        <v>5</v>
      </c>
      <c r="H349">
        <v>7.6</v>
      </c>
      <c r="I349">
        <v>1.65</v>
      </c>
      <c r="J349">
        <v>10</v>
      </c>
      <c r="L349" t="s">
        <v>2709</v>
      </c>
      <c r="M349">
        <v>3054100</v>
      </c>
      <c r="O349" t="s">
        <v>19900</v>
      </c>
      <c r="P349" t="s">
        <v>19908</v>
      </c>
      <c r="Q349" t="s">
        <v>19909</v>
      </c>
      <c r="R349" t="s">
        <v>19905</v>
      </c>
      <c r="S349" t="s">
        <v>19906</v>
      </c>
      <c r="T349" t="s">
        <v>19904</v>
      </c>
      <c r="W349" s="49">
        <v>30043999</v>
      </c>
      <c r="X349" s="50">
        <f>VLOOKUP(PISCOFINS!$W349,PISCOFINS!$C$3:$J$10518,7,0)</f>
        <v>2.1</v>
      </c>
    </row>
    <row r="350" spans="2:24" x14ac:dyDescent="0.25">
      <c r="B350" t="s">
        <v>2709</v>
      </c>
      <c r="C350">
        <v>3054200</v>
      </c>
      <c r="E350">
        <v>0</v>
      </c>
      <c r="F350">
        <v>7</v>
      </c>
      <c r="G350">
        <v>5</v>
      </c>
      <c r="H350">
        <v>7.6</v>
      </c>
      <c r="I350">
        <v>1.65</v>
      </c>
      <c r="J350">
        <v>10</v>
      </c>
      <c r="L350" t="s">
        <v>2709</v>
      </c>
      <c r="M350">
        <v>3054200</v>
      </c>
      <c r="O350" t="s">
        <v>19900</v>
      </c>
      <c r="P350" t="s">
        <v>19908</v>
      </c>
      <c r="Q350" t="s">
        <v>19909</v>
      </c>
      <c r="R350" t="s">
        <v>19905</v>
      </c>
      <c r="S350" t="s">
        <v>19906</v>
      </c>
      <c r="T350" t="s">
        <v>19904</v>
      </c>
      <c r="W350" s="50">
        <v>30043999</v>
      </c>
      <c r="X350" s="50">
        <f>VLOOKUP(PISCOFINS!$W350,PISCOFINS!$C$3:$J$10518,7,0)</f>
        <v>2.1</v>
      </c>
    </row>
    <row r="351" spans="2:24" x14ac:dyDescent="0.25">
      <c r="B351" t="s">
        <v>2709</v>
      </c>
      <c r="C351">
        <v>3054300</v>
      </c>
      <c r="E351">
        <v>0</v>
      </c>
      <c r="F351">
        <v>7</v>
      </c>
      <c r="G351">
        <v>0</v>
      </c>
      <c r="H351">
        <v>7.6</v>
      </c>
      <c r="I351">
        <v>1.65</v>
      </c>
      <c r="J351">
        <v>10</v>
      </c>
      <c r="L351" t="s">
        <v>2709</v>
      </c>
      <c r="M351">
        <v>3054300</v>
      </c>
      <c r="O351" t="s">
        <v>19900</v>
      </c>
      <c r="P351" t="s">
        <v>19908</v>
      </c>
      <c r="Q351" t="s">
        <v>19900</v>
      </c>
      <c r="R351" t="s">
        <v>19905</v>
      </c>
      <c r="S351" t="s">
        <v>19906</v>
      </c>
      <c r="T351" t="s">
        <v>19904</v>
      </c>
      <c r="W351" s="49">
        <v>30043939</v>
      </c>
      <c r="X351" s="50">
        <f>VLOOKUP(PISCOFINS!$W351,PISCOFINS!$C$3:$J$10518,7,0)</f>
        <v>2.1</v>
      </c>
    </row>
    <row r="352" spans="2:24" x14ac:dyDescent="0.25">
      <c r="B352" t="s">
        <v>2709</v>
      </c>
      <c r="C352">
        <v>3054400</v>
      </c>
      <c r="E352">
        <v>0</v>
      </c>
      <c r="F352">
        <v>7</v>
      </c>
      <c r="G352">
        <v>0</v>
      </c>
      <c r="H352">
        <v>7.6</v>
      </c>
      <c r="I352">
        <v>1.65</v>
      </c>
      <c r="J352">
        <v>10</v>
      </c>
      <c r="L352" t="s">
        <v>2709</v>
      </c>
      <c r="M352">
        <v>3054400</v>
      </c>
      <c r="O352" t="s">
        <v>19900</v>
      </c>
      <c r="P352" t="s">
        <v>19908</v>
      </c>
      <c r="Q352" t="s">
        <v>19900</v>
      </c>
      <c r="R352" t="s">
        <v>19905</v>
      </c>
      <c r="S352" t="s">
        <v>19906</v>
      </c>
      <c r="T352" t="s">
        <v>19904</v>
      </c>
      <c r="W352" s="50">
        <v>30043939</v>
      </c>
      <c r="X352" s="50">
        <f>VLOOKUP(PISCOFINS!$W352,PISCOFINS!$C$3:$J$10518,7,0)</f>
        <v>2.1</v>
      </c>
    </row>
    <row r="353" spans="2:24" x14ac:dyDescent="0.25">
      <c r="B353" t="s">
        <v>2709</v>
      </c>
      <c r="C353">
        <v>3054910</v>
      </c>
      <c r="E353">
        <v>0</v>
      </c>
      <c r="F353">
        <v>7</v>
      </c>
      <c r="G353">
        <v>5</v>
      </c>
      <c r="H353">
        <v>7.6</v>
      </c>
      <c r="I353">
        <v>1.65</v>
      </c>
      <c r="J353">
        <v>0</v>
      </c>
      <c r="L353" t="s">
        <v>2709</v>
      </c>
      <c r="M353">
        <v>3054910</v>
      </c>
      <c r="O353" t="s">
        <v>19900</v>
      </c>
      <c r="P353" t="s">
        <v>19908</v>
      </c>
      <c r="Q353" t="s">
        <v>19909</v>
      </c>
      <c r="R353" t="s">
        <v>19905</v>
      </c>
      <c r="S353" t="s">
        <v>19906</v>
      </c>
      <c r="T353" t="s">
        <v>19900</v>
      </c>
      <c r="W353" s="49">
        <v>30043939</v>
      </c>
      <c r="X353" s="50">
        <f>VLOOKUP(PISCOFINS!$W353,PISCOFINS!$C$3:$J$10518,7,0)</f>
        <v>2.1</v>
      </c>
    </row>
    <row r="354" spans="2:24" x14ac:dyDescent="0.25">
      <c r="B354" t="s">
        <v>2709</v>
      </c>
      <c r="C354">
        <v>3054920</v>
      </c>
      <c r="E354">
        <v>0</v>
      </c>
      <c r="F354">
        <v>7</v>
      </c>
      <c r="G354">
        <v>0</v>
      </c>
      <c r="H354">
        <v>7.6</v>
      </c>
      <c r="I354">
        <v>1.65</v>
      </c>
      <c r="J354">
        <v>10</v>
      </c>
      <c r="L354" t="s">
        <v>2709</v>
      </c>
      <c r="M354">
        <v>3054920</v>
      </c>
      <c r="O354" t="s">
        <v>19900</v>
      </c>
      <c r="P354" t="s">
        <v>19908</v>
      </c>
      <c r="Q354" t="s">
        <v>19900</v>
      </c>
      <c r="R354" t="s">
        <v>19905</v>
      </c>
      <c r="S354" t="s">
        <v>19906</v>
      </c>
      <c r="T354" t="s">
        <v>19904</v>
      </c>
      <c r="W354" s="50">
        <v>30043939</v>
      </c>
      <c r="X354" s="50">
        <f>VLOOKUP(PISCOFINS!$W354,PISCOFINS!$C$3:$J$10518,7,0)</f>
        <v>2.1</v>
      </c>
    </row>
    <row r="355" spans="2:24" x14ac:dyDescent="0.25">
      <c r="B355" t="s">
        <v>2709</v>
      </c>
      <c r="C355">
        <v>3054990</v>
      </c>
      <c r="E355">
        <v>0</v>
      </c>
      <c r="F355">
        <v>7</v>
      </c>
      <c r="G355">
        <v>0</v>
      </c>
      <c r="H355">
        <v>7.6</v>
      </c>
      <c r="I355">
        <v>1.65</v>
      </c>
      <c r="J355">
        <v>10</v>
      </c>
      <c r="L355" t="s">
        <v>2709</v>
      </c>
      <c r="M355">
        <v>3054990</v>
      </c>
      <c r="O355" t="s">
        <v>19900</v>
      </c>
      <c r="P355" t="s">
        <v>19908</v>
      </c>
      <c r="Q355" t="s">
        <v>19900</v>
      </c>
      <c r="R355" t="s">
        <v>19905</v>
      </c>
      <c r="S355" t="s">
        <v>19906</v>
      </c>
      <c r="T355" t="s">
        <v>19904</v>
      </c>
      <c r="W355" s="49">
        <v>30043939</v>
      </c>
      <c r="X355" s="50">
        <f>VLOOKUP(PISCOFINS!$W355,PISCOFINS!$C$3:$J$10518,7,0)</f>
        <v>2.1</v>
      </c>
    </row>
    <row r="356" spans="2:24" x14ac:dyDescent="0.25">
      <c r="B356" t="s">
        <v>2709</v>
      </c>
      <c r="C356">
        <v>3055100</v>
      </c>
      <c r="E356">
        <v>0</v>
      </c>
      <c r="F356">
        <v>7</v>
      </c>
      <c r="G356">
        <v>5</v>
      </c>
      <c r="H356">
        <v>7.6</v>
      </c>
      <c r="I356">
        <v>1.65</v>
      </c>
      <c r="J356">
        <v>0</v>
      </c>
      <c r="L356" t="s">
        <v>2709</v>
      </c>
      <c r="M356">
        <v>3055100</v>
      </c>
      <c r="O356" t="s">
        <v>19900</v>
      </c>
      <c r="P356" t="s">
        <v>19908</v>
      </c>
      <c r="Q356" t="s">
        <v>19909</v>
      </c>
      <c r="R356" t="s">
        <v>19905</v>
      </c>
      <c r="S356" t="s">
        <v>19906</v>
      </c>
      <c r="T356" t="s">
        <v>19900</v>
      </c>
      <c r="W356" s="50">
        <v>30043939</v>
      </c>
      <c r="X356" s="50">
        <f>VLOOKUP(PISCOFINS!$W356,PISCOFINS!$C$3:$J$10518,7,0)</f>
        <v>2.1</v>
      </c>
    </row>
    <row r="357" spans="2:24" x14ac:dyDescent="0.25">
      <c r="B357" t="s">
        <v>2709</v>
      </c>
      <c r="C357">
        <v>3055910</v>
      </c>
      <c r="E357">
        <v>0</v>
      </c>
      <c r="F357">
        <v>7</v>
      </c>
      <c r="G357">
        <v>5</v>
      </c>
      <c r="H357">
        <v>7.6</v>
      </c>
      <c r="I357">
        <v>1.65</v>
      </c>
      <c r="J357">
        <v>0</v>
      </c>
      <c r="L357" t="s">
        <v>2709</v>
      </c>
      <c r="M357">
        <v>3055910</v>
      </c>
      <c r="O357" t="s">
        <v>19900</v>
      </c>
      <c r="P357" t="s">
        <v>19908</v>
      </c>
      <c r="Q357" t="s">
        <v>19909</v>
      </c>
      <c r="R357" t="s">
        <v>19905</v>
      </c>
      <c r="S357" t="s">
        <v>19906</v>
      </c>
      <c r="T357" t="s">
        <v>19900</v>
      </c>
      <c r="W357" s="49">
        <v>30043939</v>
      </c>
      <c r="X357" s="50">
        <f>VLOOKUP(PISCOFINS!$W357,PISCOFINS!$C$3:$J$10518,7,0)</f>
        <v>2.1</v>
      </c>
    </row>
    <row r="358" spans="2:24" x14ac:dyDescent="0.25">
      <c r="B358" t="s">
        <v>2709</v>
      </c>
      <c r="C358">
        <v>3055990</v>
      </c>
      <c r="E358">
        <v>0</v>
      </c>
      <c r="F358">
        <v>7</v>
      </c>
      <c r="G358">
        <v>5</v>
      </c>
      <c r="H358">
        <v>7.6</v>
      </c>
      <c r="I358">
        <v>1.65</v>
      </c>
      <c r="J358">
        <v>10</v>
      </c>
      <c r="L358" t="s">
        <v>2709</v>
      </c>
      <c r="M358">
        <v>3055990</v>
      </c>
      <c r="O358" t="s">
        <v>19900</v>
      </c>
      <c r="P358" t="s">
        <v>19908</v>
      </c>
      <c r="Q358" t="s">
        <v>19909</v>
      </c>
      <c r="R358" t="s">
        <v>19905</v>
      </c>
      <c r="S358" t="s">
        <v>19906</v>
      </c>
      <c r="T358" t="s">
        <v>19904</v>
      </c>
      <c r="W358" s="50">
        <v>30043939</v>
      </c>
      <c r="X358" s="50">
        <f>VLOOKUP(PISCOFINS!$W358,PISCOFINS!$C$3:$J$10518,7,0)</f>
        <v>2.1</v>
      </c>
    </row>
    <row r="359" spans="2:24" x14ac:dyDescent="0.25">
      <c r="B359" t="s">
        <v>2709</v>
      </c>
      <c r="C359">
        <v>3056100</v>
      </c>
      <c r="E359">
        <v>0</v>
      </c>
      <c r="F359">
        <v>7</v>
      </c>
      <c r="G359">
        <v>5</v>
      </c>
      <c r="H359">
        <v>7.6</v>
      </c>
      <c r="I359">
        <v>1.65</v>
      </c>
      <c r="J359">
        <v>10</v>
      </c>
      <c r="L359" t="s">
        <v>2709</v>
      </c>
      <c r="M359">
        <v>3056100</v>
      </c>
      <c r="O359" t="s">
        <v>19900</v>
      </c>
      <c r="P359" t="s">
        <v>19908</v>
      </c>
      <c r="Q359" t="s">
        <v>19909</v>
      </c>
      <c r="R359" t="s">
        <v>19905</v>
      </c>
      <c r="S359" t="s">
        <v>19906</v>
      </c>
      <c r="T359" t="s">
        <v>19904</v>
      </c>
      <c r="W359" s="49">
        <v>30043939</v>
      </c>
      <c r="X359" s="50">
        <f>VLOOKUP(PISCOFINS!$W359,PISCOFINS!$C$3:$J$10518,7,0)</f>
        <v>2.1</v>
      </c>
    </row>
    <row r="360" spans="2:24" x14ac:dyDescent="0.25">
      <c r="B360" t="s">
        <v>2709</v>
      </c>
      <c r="C360">
        <v>3056200</v>
      </c>
      <c r="E360">
        <v>0</v>
      </c>
      <c r="F360">
        <v>7</v>
      </c>
      <c r="G360">
        <v>5</v>
      </c>
      <c r="H360">
        <v>7.6</v>
      </c>
      <c r="I360">
        <v>1.65</v>
      </c>
      <c r="J360">
        <v>0</v>
      </c>
      <c r="L360" t="s">
        <v>2709</v>
      </c>
      <c r="M360">
        <v>3056200</v>
      </c>
      <c r="O360" t="s">
        <v>19900</v>
      </c>
      <c r="P360" t="s">
        <v>19908</v>
      </c>
      <c r="Q360" t="s">
        <v>19909</v>
      </c>
      <c r="R360" t="s">
        <v>19905</v>
      </c>
      <c r="S360" t="s">
        <v>19906</v>
      </c>
      <c r="T360" t="s">
        <v>19900</v>
      </c>
      <c r="W360" s="50">
        <v>30043939</v>
      </c>
      <c r="X360" s="50">
        <f>VLOOKUP(PISCOFINS!$W360,PISCOFINS!$C$3:$J$10518,7,0)</f>
        <v>2.1</v>
      </c>
    </row>
    <row r="361" spans="2:24" x14ac:dyDescent="0.25">
      <c r="B361" t="s">
        <v>2709</v>
      </c>
      <c r="C361">
        <v>3056300</v>
      </c>
      <c r="E361">
        <v>0</v>
      </c>
      <c r="F361">
        <v>7</v>
      </c>
      <c r="G361">
        <v>0</v>
      </c>
      <c r="H361">
        <v>7.6</v>
      </c>
      <c r="I361">
        <v>1.65</v>
      </c>
      <c r="J361">
        <v>10</v>
      </c>
      <c r="L361" t="s">
        <v>2709</v>
      </c>
      <c r="M361">
        <v>3056300</v>
      </c>
      <c r="O361" t="s">
        <v>19900</v>
      </c>
      <c r="P361" t="s">
        <v>19908</v>
      </c>
      <c r="Q361" t="s">
        <v>19900</v>
      </c>
      <c r="R361" t="s">
        <v>19905</v>
      </c>
      <c r="S361" t="s">
        <v>19906</v>
      </c>
      <c r="T361" t="s">
        <v>19904</v>
      </c>
      <c r="W361" s="49">
        <v>30043929</v>
      </c>
      <c r="X361" s="50">
        <f>VLOOKUP(PISCOFINS!$W361,PISCOFINS!$C$3:$J$10518,7,0)</f>
        <v>2.1</v>
      </c>
    </row>
    <row r="362" spans="2:24" x14ac:dyDescent="0.25">
      <c r="B362" t="s">
        <v>2709</v>
      </c>
      <c r="C362">
        <v>3056400</v>
      </c>
      <c r="E362">
        <v>0</v>
      </c>
      <c r="F362">
        <v>7</v>
      </c>
      <c r="G362">
        <v>0</v>
      </c>
      <c r="H362">
        <v>7.6</v>
      </c>
      <c r="I362">
        <v>1.65</v>
      </c>
      <c r="J362">
        <v>10</v>
      </c>
      <c r="L362" t="s">
        <v>2709</v>
      </c>
      <c r="M362">
        <v>3056400</v>
      </c>
      <c r="O362" t="s">
        <v>19900</v>
      </c>
      <c r="P362" t="s">
        <v>19908</v>
      </c>
      <c r="Q362" t="s">
        <v>19900</v>
      </c>
      <c r="R362" t="s">
        <v>19905</v>
      </c>
      <c r="S362" t="s">
        <v>19906</v>
      </c>
      <c r="T362" t="s">
        <v>19904</v>
      </c>
      <c r="W362" s="50">
        <v>30043929</v>
      </c>
      <c r="X362" s="50">
        <f>VLOOKUP(PISCOFINS!$W362,PISCOFINS!$C$3:$J$10518,7,0)</f>
        <v>2.1</v>
      </c>
    </row>
    <row r="363" spans="2:24" x14ac:dyDescent="0.25">
      <c r="B363" t="s">
        <v>2709</v>
      </c>
      <c r="C363">
        <v>3056910</v>
      </c>
      <c r="E363">
        <v>0</v>
      </c>
      <c r="F363">
        <v>7</v>
      </c>
      <c r="G363">
        <v>0</v>
      </c>
      <c r="H363">
        <v>7.6</v>
      </c>
      <c r="I363">
        <v>1.65</v>
      </c>
      <c r="J363">
        <v>10</v>
      </c>
      <c r="L363" t="s">
        <v>2709</v>
      </c>
      <c r="M363">
        <v>3056910</v>
      </c>
      <c r="O363" t="s">
        <v>19900</v>
      </c>
      <c r="P363" t="s">
        <v>19908</v>
      </c>
      <c r="Q363" t="s">
        <v>19900</v>
      </c>
      <c r="R363" t="s">
        <v>19905</v>
      </c>
      <c r="S363" t="s">
        <v>19906</v>
      </c>
      <c r="T363" t="s">
        <v>19904</v>
      </c>
      <c r="W363" s="49">
        <v>30043929</v>
      </c>
      <c r="X363" s="50">
        <f>VLOOKUP(PISCOFINS!$W363,PISCOFINS!$C$3:$J$10518,7,0)</f>
        <v>2.1</v>
      </c>
    </row>
    <row r="364" spans="2:24" x14ac:dyDescent="0.25">
      <c r="B364" t="s">
        <v>2709</v>
      </c>
      <c r="C364">
        <v>3056990</v>
      </c>
      <c r="E364">
        <v>0</v>
      </c>
      <c r="F364">
        <v>7</v>
      </c>
      <c r="G364">
        <v>0</v>
      </c>
      <c r="H364">
        <v>7.6</v>
      </c>
      <c r="I364">
        <v>1.65</v>
      </c>
      <c r="J364">
        <v>10</v>
      </c>
      <c r="L364" t="s">
        <v>2709</v>
      </c>
      <c r="M364">
        <v>3056990</v>
      </c>
      <c r="O364" t="s">
        <v>19900</v>
      </c>
      <c r="P364" t="s">
        <v>19908</v>
      </c>
      <c r="Q364" t="s">
        <v>19900</v>
      </c>
      <c r="R364" t="s">
        <v>19905</v>
      </c>
      <c r="S364" t="s">
        <v>19906</v>
      </c>
      <c r="T364" t="s">
        <v>19904</v>
      </c>
      <c r="W364" s="50">
        <v>30043925</v>
      </c>
      <c r="X364" s="50">
        <f>VLOOKUP(PISCOFINS!$W364,PISCOFINS!$C$3:$J$10518,7,0)</f>
        <v>2.1</v>
      </c>
    </row>
    <row r="365" spans="2:24" x14ac:dyDescent="0.25">
      <c r="B365" t="s">
        <v>2709</v>
      </c>
      <c r="C365">
        <v>3057100</v>
      </c>
      <c r="E365">
        <v>0</v>
      </c>
      <c r="F365">
        <v>7</v>
      </c>
      <c r="G365">
        <v>0</v>
      </c>
      <c r="H365">
        <v>7.6</v>
      </c>
      <c r="I365">
        <v>1.65</v>
      </c>
      <c r="J365">
        <v>10</v>
      </c>
      <c r="L365" t="s">
        <v>2709</v>
      </c>
      <c r="M365">
        <v>3057100</v>
      </c>
      <c r="O365" t="s">
        <v>19900</v>
      </c>
      <c r="P365" t="s">
        <v>19908</v>
      </c>
      <c r="Q365" t="s">
        <v>19900</v>
      </c>
      <c r="R365" t="s">
        <v>19905</v>
      </c>
      <c r="S365" t="s">
        <v>19906</v>
      </c>
      <c r="T365" t="s">
        <v>19904</v>
      </c>
      <c r="W365" s="49">
        <v>30043290</v>
      </c>
      <c r="X365" s="50">
        <f>VLOOKUP(PISCOFINS!$W365,PISCOFINS!$C$3:$J$10518,7,0)</f>
        <v>2.1</v>
      </c>
    </row>
    <row r="366" spans="2:24" x14ac:dyDescent="0.25">
      <c r="B366" t="s">
        <v>2709</v>
      </c>
      <c r="C366">
        <v>3057100</v>
      </c>
      <c r="D366">
        <v>1</v>
      </c>
      <c r="E366" t="s">
        <v>19447</v>
      </c>
      <c r="F366">
        <v>18</v>
      </c>
      <c r="G366">
        <v>5</v>
      </c>
      <c r="H366">
        <v>7.6</v>
      </c>
      <c r="I366">
        <v>1.65</v>
      </c>
      <c r="J366">
        <v>10</v>
      </c>
      <c r="L366" t="s">
        <v>2709</v>
      </c>
      <c r="M366">
        <v>3057100</v>
      </c>
      <c r="N366">
        <v>1</v>
      </c>
      <c r="O366" t="s">
        <v>19447</v>
      </c>
      <c r="P366" t="s">
        <v>19899</v>
      </c>
      <c r="Q366" t="s">
        <v>19909</v>
      </c>
      <c r="R366" t="s">
        <v>19905</v>
      </c>
      <c r="S366" t="s">
        <v>19906</v>
      </c>
      <c r="T366" t="s">
        <v>19904</v>
      </c>
      <c r="W366" s="50">
        <v>30043290</v>
      </c>
      <c r="X366" s="50">
        <f>VLOOKUP(PISCOFINS!$W366,PISCOFINS!$C$3:$J$10518,7,0)</f>
        <v>2.1</v>
      </c>
    </row>
    <row r="367" spans="2:24" x14ac:dyDescent="0.25">
      <c r="B367" t="s">
        <v>2709</v>
      </c>
      <c r="C367">
        <v>3057200</v>
      </c>
      <c r="E367">
        <v>0</v>
      </c>
      <c r="F367">
        <v>7</v>
      </c>
      <c r="G367">
        <v>5</v>
      </c>
      <c r="H367">
        <v>7.6</v>
      </c>
      <c r="I367">
        <v>1.65</v>
      </c>
      <c r="J367">
        <v>10</v>
      </c>
      <c r="L367" t="s">
        <v>2709</v>
      </c>
      <c r="M367">
        <v>3057200</v>
      </c>
      <c r="O367" t="s">
        <v>19900</v>
      </c>
      <c r="P367" t="s">
        <v>19908</v>
      </c>
      <c r="Q367" t="s">
        <v>19909</v>
      </c>
      <c r="R367" t="s">
        <v>19905</v>
      </c>
      <c r="S367" t="s">
        <v>19906</v>
      </c>
      <c r="T367" t="s">
        <v>19904</v>
      </c>
      <c r="W367" s="49">
        <v>30043290</v>
      </c>
      <c r="X367" s="50">
        <f>VLOOKUP(PISCOFINS!$W367,PISCOFINS!$C$3:$J$10518,7,0)</f>
        <v>2.1</v>
      </c>
    </row>
    <row r="368" spans="2:24" x14ac:dyDescent="0.25">
      <c r="B368" t="s">
        <v>2709</v>
      </c>
      <c r="C368">
        <v>3057200</v>
      </c>
      <c r="D368">
        <v>1</v>
      </c>
      <c r="E368" t="s">
        <v>19447</v>
      </c>
      <c r="F368">
        <v>18</v>
      </c>
      <c r="G368">
        <v>0</v>
      </c>
      <c r="H368">
        <v>7.6</v>
      </c>
      <c r="I368">
        <v>1.65</v>
      </c>
      <c r="J368">
        <v>10</v>
      </c>
      <c r="L368" t="s">
        <v>2709</v>
      </c>
      <c r="M368">
        <v>3057200</v>
      </c>
      <c r="N368">
        <v>1</v>
      </c>
      <c r="O368" t="s">
        <v>19447</v>
      </c>
      <c r="P368" t="s">
        <v>19899</v>
      </c>
      <c r="Q368" t="s">
        <v>19900</v>
      </c>
      <c r="R368" t="s">
        <v>19905</v>
      </c>
      <c r="S368" t="s">
        <v>19906</v>
      </c>
      <c r="T368" t="s">
        <v>19904</v>
      </c>
      <c r="W368" s="50">
        <v>30043290</v>
      </c>
      <c r="X368" s="50">
        <f>VLOOKUP(PISCOFINS!$W368,PISCOFINS!$C$3:$J$10518,7,0)</f>
        <v>2.1</v>
      </c>
    </row>
    <row r="369" spans="2:24" x14ac:dyDescent="0.25">
      <c r="B369" t="s">
        <v>2709</v>
      </c>
      <c r="C369">
        <v>3057200</v>
      </c>
      <c r="D369">
        <v>2</v>
      </c>
      <c r="E369" t="s">
        <v>19447</v>
      </c>
      <c r="F369">
        <v>18</v>
      </c>
      <c r="G369">
        <v>0</v>
      </c>
      <c r="H369">
        <v>7.6</v>
      </c>
      <c r="I369">
        <v>1.65</v>
      </c>
      <c r="J369">
        <v>10</v>
      </c>
      <c r="L369" t="s">
        <v>2709</v>
      </c>
      <c r="M369">
        <v>3057200</v>
      </c>
      <c r="N369">
        <v>2</v>
      </c>
      <c r="O369" t="s">
        <v>19447</v>
      </c>
      <c r="P369" t="s">
        <v>19899</v>
      </c>
      <c r="Q369" t="s">
        <v>19900</v>
      </c>
      <c r="R369" t="s">
        <v>19905</v>
      </c>
      <c r="S369" t="s">
        <v>19906</v>
      </c>
      <c r="T369" t="s">
        <v>19904</v>
      </c>
      <c r="W369" s="49">
        <v>30043290</v>
      </c>
      <c r="X369" s="50">
        <f>VLOOKUP(PISCOFINS!$W369,PISCOFINS!$C$3:$J$10518,7,0)</f>
        <v>2.1</v>
      </c>
    </row>
    <row r="370" spans="2:24" x14ac:dyDescent="0.25">
      <c r="B370" t="s">
        <v>2709</v>
      </c>
      <c r="C370">
        <v>3057900</v>
      </c>
      <c r="E370">
        <v>0</v>
      </c>
      <c r="F370">
        <v>7</v>
      </c>
      <c r="G370">
        <v>5</v>
      </c>
      <c r="H370">
        <v>7.6</v>
      </c>
      <c r="I370">
        <v>1.65</v>
      </c>
      <c r="J370">
        <v>10</v>
      </c>
      <c r="L370" t="s">
        <v>2709</v>
      </c>
      <c r="M370">
        <v>3057900</v>
      </c>
      <c r="O370" t="s">
        <v>19900</v>
      </c>
      <c r="P370" t="s">
        <v>19908</v>
      </c>
      <c r="Q370" t="s">
        <v>19909</v>
      </c>
      <c r="R370" t="s">
        <v>19905</v>
      </c>
      <c r="S370" t="s">
        <v>19906</v>
      </c>
      <c r="T370" t="s">
        <v>19904</v>
      </c>
      <c r="W370" s="50">
        <v>30043210</v>
      </c>
      <c r="X370" s="50">
        <f>VLOOKUP(PISCOFINS!$W370,PISCOFINS!$C$3:$J$10518,7,0)</f>
        <v>2.1</v>
      </c>
    </row>
    <row r="371" spans="2:24" x14ac:dyDescent="0.25">
      <c r="B371" t="s">
        <v>2709</v>
      </c>
      <c r="C371">
        <v>3057900</v>
      </c>
      <c r="D371">
        <v>1</v>
      </c>
      <c r="E371" t="s">
        <v>19447</v>
      </c>
      <c r="F371">
        <v>18</v>
      </c>
      <c r="G371">
        <v>0</v>
      </c>
      <c r="H371">
        <v>7.6</v>
      </c>
      <c r="I371">
        <v>1.65</v>
      </c>
      <c r="J371">
        <v>10</v>
      </c>
      <c r="L371" t="s">
        <v>2709</v>
      </c>
      <c r="M371">
        <v>3057900</v>
      </c>
      <c r="N371">
        <v>1</v>
      </c>
      <c r="O371" t="s">
        <v>19447</v>
      </c>
      <c r="P371" t="s">
        <v>19899</v>
      </c>
      <c r="Q371" t="s">
        <v>19900</v>
      </c>
      <c r="R371" t="s">
        <v>19905</v>
      </c>
      <c r="S371" t="s">
        <v>19906</v>
      </c>
      <c r="T371" t="s">
        <v>19904</v>
      </c>
      <c r="W371" s="49">
        <v>30043210</v>
      </c>
      <c r="X371" s="50">
        <f>VLOOKUP(PISCOFINS!$W371,PISCOFINS!$C$3:$J$10518,7,0)</f>
        <v>2.1</v>
      </c>
    </row>
    <row r="372" spans="2:24" x14ac:dyDescent="0.25">
      <c r="B372" t="s">
        <v>2709</v>
      </c>
      <c r="C372">
        <v>3057900</v>
      </c>
      <c r="D372">
        <v>2</v>
      </c>
      <c r="E372" t="s">
        <v>19447</v>
      </c>
      <c r="F372">
        <v>18</v>
      </c>
      <c r="G372">
        <v>0</v>
      </c>
      <c r="H372">
        <v>7.6</v>
      </c>
      <c r="I372">
        <v>1.65</v>
      </c>
      <c r="J372">
        <v>10</v>
      </c>
      <c r="L372" t="s">
        <v>2709</v>
      </c>
      <c r="M372">
        <v>3057900</v>
      </c>
      <c r="N372">
        <v>2</v>
      </c>
      <c r="O372" t="s">
        <v>19447</v>
      </c>
      <c r="P372" t="s">
        <v>19899</v>
      </c>
      <c r="Q372" t="s">
        <v>19900</v>
      </c>
      <c r="R372" t="s">
        <v>19905</v>
      </c>
      <c r="S372" t="s">
        <v>19906</v>
      </c>
      <c r="T372" t="s">
        <v>19904</v>
      </c>
      <c r="W372" s="50">
        <v>30043100</v>
      </c>
      <c r="X372" s="50">
        <f>VLOOKUP(PISCOFINS!$W372,PISCOFINS!$C$3:$J$10518,7,0)</f>
        <v>2.1</v>
      </c>
    </row>
    <row r="373" spans="2:24" x14ac:dyDescent="0.25">
      <c r="B373" t="s">
        <v>2709</v>
      </c>
      <c r="C373">
        <v>3061110</v>
      </c>
      <c r="E373">
        <v>0</v>
      </c>
      <c r="F373">
        <v>7</v>
      </c>
      <c r="G373">
        <v>0</v>
      </c>
      <c r="H373">
        <v>7.6</v>
      </c>
      <c r="I373">
        <v>1.65</v>
      </c>
      <c r="J373">
        <v>10</v>
      </c>
      <c r="L373" t="s">
        <v>2709</v>
      </c>
      <c r="M373">
        <v>3061110</v>
      </c>
      <c r="O373" t="s">
        <v>19900</v>
      </c>
      <c r="P373" t="s">
        <v>19908</v>
      </c>
      <c r="Q373" t="s">
        <v>19900</v>
      </c>
      <c r="R373" t="s">
        <v>19905</v>
      </c>
      <c r="S373" t="s">
        <v>19906</v>
      </c>
      <c r="T373" t="s">
        <v>19904</v>
      </c>
      <c r="W373" s="49">
        <v>30043100</v>
      </c>
      <c r="X373" s="50">
        <f>VLOOKUP(PISCOFINS!$W373,PISCOFINS!$C$3:$J$10518,7,0)</f>
        <v>2.1</v>
      </c>
    </row>
    <row r="374" spans="2:24" x14ac:dyDescent="0.25">
      <c r="B374" t="s">
        <v>2709</v>
      </c>
      <c r="C374">
        <v>3061190</v>
      </c>
      <c r="E374">
        <v>0</v>
      </c>
      <c r="F374">
        <v>7</v>
      </c>
      <c r="G374">
        <v>0</v>
      </c>
      <c r="H374">
        <v>7.6</v>
      </c>
      <c r="I374">
        <v>1.65</v>
      </c>
      <c r="J374">
        <v>10</v>
      </c>
      <c r="L374" t="s">
        <v>2709</v>
      </c>
      <c r="M374">
        <v>3061190</v>
      </c>
      <c r="O374" t="s">
        <v>19900</v>
      </c>
      <c r="P374" t="s">
        <v>19908</v>
      </c>
      <c r="Q374" t="s">
        <v>19900</v>
      </c>
      <c r="R374" t="s">
        <v>19905</v>
      </c>
      <c r="S374" t="s">
        <v>19906</v>
      </c>
      <c r="T374" t="s">
        <v>19904</v>
      </c>
      <c r="W374" s="50">
        <v>30043100</v>
      </c>
      <c r="X374" s="50">
        <f>VLOOKUP(PISCOFINS!$W374,PISCOFINS!$C$3:$J$10518,7,0)</f>
        <v>2.1</v>
      </c>
    </row>
    <row r="375" spans="2:24" x14ac:dyDescent="0.25">
      <c r="B375" t="s">
        <v>2709</v>
      </c>
      <c r="C375">
        <v>3061200</v>
      </c>
      <c r="E375">
        <v>0</v>
      </c>
      <c r="F375">
        <v>7</v>
      </c>
      <c r="G375">
        <v>0</v>
      </c>
      <c r="H375">
        <v>7.6</v>
      </c>
      <c r="I375">
        <v>1.65</v>
      </c>
      <c r="J375">
        <v>10</v>
      </c>
      <c r="L375" t="s">
        <v>2709</v>
      </c>
      <c r="M375">
        <v>3061200</v>
      </c>
      <c r="O375" t="s">
        <v>19900</v>
      </c>
      <c r="P375" t="s">
        <v>19908</v>
      </c>
      <c r="Q375" t="s">
        <v>19900</v>
      </c>
      <c r="R375" t="s">
        <v>19905</v>
      </c>
      <c r="S375" t="s">
        <v>19906</v>
      </c>
      <c r="T375" t="s">
        <v>19904</v>
      </c>
      <c r="W375" s="49">
        <v>30042099</v>
      </c>
      <c r="X375" s="50">
        <f>VLOOKUP(PISCOFINS!$W375,PISCOFINS!$C$3:$J$10518,7,0)</f>
        <v>2.1</v>
      </c>
    </row>
    <row r="376" spans="2:24" x14ac:dyDescent="0.25">
      <c r="B376" t="s">
        <v>2709</v>
      </c>
      <c r="C376">
        <v>3061400</v>
      </c>
      <c r="E376">
        <v>0</v>
      </c>
      <c r="F376">
        <v>7</v>
      </c>
      <c r="G376">
        <v>0</v>
      </c>
      <c r="H376">
        <v>7.6</v>
      </c>
      <c r="I376">
        <v>1.65</v>
      </c>
      <c r="J376">
        <v>10</v>
      </c>
      <c r="L376" t="s">
        <v>2709</v>
      </c>
      <c r="M376">
        <v>3061400</v>
      </c>
      <c r="O376" t="s">
        <v>19900</v>
      </c>
      <c r="P376" t="s">
        <v>19908</v>
      </c>
      <c r="Q376" t="s">
        <v>19900</v>
      </c>
      <c r="R376" t="s">
        <v>19905</v>
      </c>
      <c r="S376" t="s">
        <v>19906</v>
      </c>
      <c r="T376" t="s">
        <v>19904</v>
      </c>
      <c r="W376" s="50">
        <v>30042099</v>
      </c>
      <c r="X376" s="50">
        <f>VLOOKUP(PISCOFINS!$W376,PISCOFINS!$C$3:$J$10518,7,0)</f>
        <v>2.1</v>
      </c>
    </row>
    <row r="377" spans="2:24" x14ac:dyDescent="0.25">
      <c r="B377" t="s">
        <v>2709</v>
      </c>
      <c r="C377">
        <v>3061500</v>
      </c>
      <c r="E377">
        <v>0</v>
      </c>
      <c r="F377">
        <v>7</v>
      </c>
      <c r="G377">
        <v>0</v>
      </c>
      <c r="H377">
        <v>7.6</v>
      </c>
      <c r="I377">
        <v>1.65</v>
      </c>
      <c r="J377">
        <v>10</v>
      </c>
      <c r="L377" t="s">
        <v>2709</v>
      </c>
      <c r="M377">
        <v>3061500</v>
      </c>
      <c r="O377" t="s">
        <v>19900</v>
      </c>
      <c r="P377" t="s">
        <v>19908</v>
      </c>
      <c r="Q377" t="s">
        <v>19900</v>
      </c>
      <c r="R377" t="s">
        <v>19905</v>
      </c>
      <c r="S377" t="s">
        <v>19906</v>
      </c>
      <c r="T377" t="s">
        <v>19904</v>
      </c>
      <c r="W377" s="49">
        <v>30042099</v>
      </c>
      <c r="X377" s="50">
        <f>VLOOKUP(PISCOFINS!$W377,PISCOFINS!$C$3:$J$10518,7,0)</f>
        <v>2.1</v>
      </c>
    </row>
    <row r="378" spans="2:24" x14ac:dyDescent="0.25">
      <c r="B378" t="s">
        <v>2709</v>
      </c>
      <c r="C378">
        <v>3061610</v>
      </c>
      <c r="E378">
        <v>0</v>
      </c>
      <c r="F378">
        <v>7</v>
      </c>
      <c r="G378">
        <v>0</v>
      </c>
      <c r="H378">
        <v>7.6</v>
      </c>
      <c r="I378">
        <v>1.65</v>
      </c>
      <c r="J378">
        <v>10</v>
      </c>
      <c r="L378" t="s">
        <v>2709</v>
      </c>
      <c r="M378">
        <v>3061610</v>
      </c>
      <c r="O378" t="s">
        <v>19900</v>
      </c>
      <c r="P378" t="s">
        <v>19908</v>
      </c>
      <c r="Q378" t="s">
        <v>19900</v>
      </c>
      <c r="R378" t="s">
        <v>19905</v>
      </c>
      <c r="S378" t="s">
        <v>19906</v>
      </c>
      <c r="T378" t="s">
        <v>19904</v>
      </c>
      <c r="W378" s="50">
        <v>30042099</v>
      </c>
      <c r="X378" s="50">
        <f>VLOOKUP(PISCOFINS!$W378,PISCOFINS!$C$3:$J$10518,7,0)</f>
        <v>2.1</v>
      </c>
    </row>
    <row r="379" spans="2:24" x14ac:dyDescent="0.25">
      <c r="B379" t="s">
        <v>2709</v>
      </c>
      <c r="C379">
        <v>3061690</v>
      </c>
      <c r="E379">
        <v>0</v>
      </c>
      <c r="F379">
        <v>7</v>
      </c>
      <c r="G379">
        <v>0</v>
      </c>
      <c r="H379">
        <v>7.6</v>
      </c>
      <c r="I379">
        <v>1.65</v>
      </c>
      <c r="J379">
        <v>10</v>
      </c>
      <c r="L379" t="s">
        <v>2709</v>
      </c>
      <c r="M379">
        <v>3061690</v>
      </c>
      <c r="O379" t="s">
        <v>19900</v>
      </c>
      <c r="P379" t="s">
        <v>19908</v>
      </c>
      <c r="Q379" t="s">
        <v>19900</v>
      </c>
      <c r="R379" t="s">
        <v>19905</v>
      </c>
      <c r="S379" t="s">
        <v>19906</v>
      </c>
      <c r="T379" t="s">
        <v>19904</v>
      </c>
      <c r="W379" s="49">
        <v>30042099</v>
      </c>
      <c r="X379" s="50">
        <f>VLOOKUP(PISCOFINS!$W379,PISCOFINS!$C$3:$J$10518,7,0)</f>
        <v>2.1</v>
      </c>
    </row>
    <row r="380" spans="2:24" x14ac:dyDescent="0.25">
      <c r="B380" t="s">
        <v>2709</v>
      </c>
      <c r="C380">
        <v>3061710</v>
      </c>
      <c r="E380">
        <v>0</v>
      </c>
      <c r="F380">
        <v>7</v>
      </c>
      <c r="G380">
        <v>0</v>
      </c>
      <c r="H380">
        <v>7.6</v>
      </c>
      <c r="I380">
        <v>1.65</v>
      </c>
      <c r="J380">
        <v>10</v>
      </c>
      <c r="L380" t="s">
        <v>2709</v>
      </c>
      <c r="M380">
        <v>3061710</v>
      </c>
      <c r="O380" t="s">
        <v>19900</v>
      </c>
      <c r="P380" t="s">
        <v>19908</v>
      </c>
      <c r="Q380" t="s">
        <v>19900</v>
      </c>
      <c r="R380" t="s">
        <v>19905</v>
      </c>
      <c r="S380" t="s">
        <v>19906</v>
      </c>
      <c r="T380" t="s">
        <v>19904</v>
      </c>
      <c r="W380" s="50">
        <v>30042079</v>
      </c>
      <c r="X380" s="50">
        <f>VLOOKUP(PISCOFINS!$W380,PISCOFINS!$C$3:$J$10518,7,0)</f>
        <v>2.1</v>
      </c>
    </row>
    <row r="381" spans="2:24" x14ac:dyDescent="0.25">
      <c r="B381" t="s">
        <v>2709</v>
      </c>
      <c r="C381">
        <v>3061790</v>
      </c>
      <c r="E381">
        <v>0</v>
      </c>
      <c r="F381">
        <v>7</v>
      </c>
      <c r="G381">
        <v>0</v>
      </c>
      <c r="H381">
        <v>7.6</v>
      </c>
      <c r="I381">
        <v>1.65</v>
      </c>
      <c r="J381">
        <v>10</v>
      </c>
      <c r="L381" t="s">
        <v>2709</v>
      </c>
      <c r="M381">
        <v>3061790</v>
      </c>
      <c r="O381" t="s">
        <v>19900</v>
      </c>
      <c r="P381" t="s">
        <v>19908</v>
      </c>
      <c r="Q381" t="s">
        <v>19900</v>
      </c>
      <c r="R381" t="s">
        <v>19905</v>
      </c>
      <c r="S381" t="s">
        <v>19906</v>
      </c>
      <c r="T381" t="s">
        <v>19904</v>
      </c>
      <c r="W381" s="49">
        <v>30042069</v>
      </c>
      <c r="X381" s="50">
        <f>VLOOKUP(PISCOFINS!$W381,PISCOFINS!$C$3:$J$10518,7,0)</f>
        <v>2.1</v>
      </c>
    </row>
    <row r="382" spans="2:24" x14ac:dyDescent="0.25">
      <c r="B382" t="s">
        <v>2709</v>
      </c>
      <c r="C382">
        <v>3061910</v>
      </c>
      <c r="E382">
        <v>0</v>
      </c>
      <c r="F382">
        <v>7</v>
      </c>
      <c r="G382">
        <v>0</v>
      </c>
      <c r="H382">
        <v>7.6</v>
      </c>
      <c r="I382">
        <v>1.65</v>
      </c>
      <c r="J382">
        <v>10</v>
      </c>
      <c r="L382" t="s">
        <v>2709</v>
      </c>
      <c r="M382">
        <v>3061910</v>
      </c>
      <c r="O382" t="s">
        <v>19900</v>
      </c>
      <c r="P382" t="s">
        <v>19908</v>
      </c>
      <c r="Q382" t="s">
        <v>19900</v>
      </c>
      <c r="R382" t="s">
        <v>19905</v>
      </c>
      <c r="S382" t="s">
        <v>19906</v>
      </c>
      <c r="T382" t="s">
        <v>19904</v>
      </c>
      <c r="W382" s="50">
        <v>30042069</v>
      </c>
      <c r="X382" s="50">
        <f>VLOOKUP(PISCOFINS!$W382,PISCOFINS!$C$3:$J$10518,7,0)</f>
        <v>2.1</v>
      </c>
    </row>
    <row r="383" spans="2:24" x14ac:dyDescent="0.25">
      <c r="B383" t="s">
        <v>2709</v>
      </c>
      <c r="C383">
        <v>3061990</v>
      </c>
      <c r="E383">
        <v>0</v>
      </c>
      <c r="F383">
        <v>7</v>
      </c>
      <c r="G383">
        <v>0</v>
      </c>
      <c r="H383">
        <v>7.6</v>
      </c>
      <c r="I383">
        <v>1.65</v>
      </c>
      <c r="J383">
        <v>10</v>
      </c>
      <c r="L383" t="s">
        <v>2709</v>
      </c>
      <c r="M383">
        <v>3061990</v>
      </c>
      <c r="O383" t="s">
        <v>19900</v>
      </c>
      <c r="P383" t="s">
        <v>19908</v>
      </c>
      <c r="Q383" t="s">
        <v>19900</v>
      </c>
      <c r="R383" t="s">
        <v>19905</v>
      </c>
      <c r="S383" t="s">
        <v>19906</v>
      </c>
      <c r="T383" t="s">
        <v>19904</v>
      </c>
      <c r="W383" s="49">
        <v>30042069</v>
      </c>
      <c r="X383" s="50">
        <f>VLOOKUP(PISCOFINS!$W383,PISCOFINS!$C$3:$J$10518,7,0)</f>
        <v>2.1</v>
      </c>
    </row>
    <row r="384" spans="2:24" x14ac:dyDescent="0.25">
      <c r="B384" t="s">
        <v>2709</v>
      </c>
      <c r="C384">
        <v>3062100</v>
      </c>
      <c r="E384">
        <v>0</v>
      </c>
      <c r="F384">
        <v>7</v>
      </c>
      <c r="G384">
        <v>0</v>
      </c>
      <c r="H384">
        <v>7.6</v>
      </c>
      <c r="I384">
        <v>1.65</v>
      </c>
      <c r="J384">
        <v>10</v>
      </c>
      <c r="L384" t="s">
        <v>2709</v>
      </c>
      <c r="M384">
        <v>3062100</v>
      </c>
      <c r="O384" t="s">
        <v>19900</v>
      </c>
      <c r="P384" t="s">
        <v>19908</v>
      </c>
      <c r="Q384" t="s">
        <v>19900</v>
      </c>
      <c r="R384" t="s">
        <v>19905</v>
      </c>
      <c r="S384" t="s">
        <v>19906</v>
      </c>
      <c r="T384" t="s">
        <v>19904</v>
      </c>
      <c r="W384" s="50">
        <v>30042029</v>
      </c>
      <c r="X384" s="50">
        <f>VLOOKUP(PISCOFINS!$W384,PISCOFINS!$C$3:$J$10518,7,0)</f>
        <v>2.1</v>
      </c>
    </row>
    <row r="385" spans="2:24" x14ac:dyDescent="0.25">
      <c r="B385" t="s">
        <v>2709</v>
      </c>
      <c r="C385">
        <v>3062200</v>
      </c>
      <c r="E385">
        <v>0</v>
      </c>
      <c r="F385">
        <v>7</v>
      </c>
      <c r="G385">
        <v>0</v>
      </c>
      <c r="H385">
        <v>7.6</v>
      </c>
      <c r="I385">
        <v>1.65</v>
      </c>
      <c r="J385">
        <v>10</v>
      </c>
      <c r="L385" t="s">
        <v>2709</v>
      </c>
      <c r="M385">
        <v>3062200</v>
      </c>
      <c r="O385" t="s">
        <v>19900</v>
      </c>
      <c r="P385" t="s">
        <v>19908</v>
      </c>
      <c r="Q385" t="s">
        <v>19900</v>
      </c>
      <c r="R385" t="s">
        <v>19905</v>
      </c>
      <c r="S385" t="s">
        <v>19906</v>
      </c>
      <c r="T385" t="s">
        <v>19904</v>
      </c>
      <c r="W385" s="49">
        <v>30042029</v>
      </c>
      <c r="X385" s="50">
        <f>VLOOKUP(PISCOFINS!$W385,PISCOFINS!$C$3:$J$10518,7,0)</f>
        <v>2.1</v>
      </c>
    </row>
    <row r="386" spans="2:24" x14ac:dyDescent="0.25">
      <c r="B386" t="s">
        <v>2709</v>
      </c>
      <c r="C386">
        <v>3062400</v>
      </c>
      <c r="E386">
        <v>0</v>
      </c>
      <c r="F386">
        <v>0</v>
      </c>
      <c r="G386">
        <v>0</v>
      </c>
      <c r="H386">
        <v>7.6</v>
      </c>
      <c r="I386">
        <v>1.65</v>
      </c>
      <c r="J386">
        <v>10</v>
      </c>
      <c r="L386" t="s">
        <v>2709</v>
      </c>
      <c r="M386">
        <v>3062400</v>
      </c>
      <c r="O386" t="s">
        <v>19900</v>
      </c>
      <c r="P386" t="s">
        <v>19900</v>
      </c>
      <c r="Q386" t="s">
        <v>19900</v>
      </c>
      <c r="R386" t="s">
        <v>19905</v>
      </c>
      <c r="S386" t="s">
        <v>19906</v>
      </c>
      <c r="T386" t="s">
        <v>19904</v>
      </c>
      <c r="W386" s="50">
        <v>30042029</v>
      </c>
      <c r="X386" s="50">
        <f>VLOOKUP(PISCOFINS!$W386,PISCOFINS!$C$3:$J$10518,7,0)</f>
        <v>2.1</v>
      </c>
    </row>
    <row r="387" spans="2:24" x14ac:dyDescent="0.25">
      <c r="B387" t="s">
        <v>2709</v>
      </c>
      <c r="C387">
        <v>3062500</v>
      </c>
      <c r="E387">
        <v>0</v>
      </c>
      <c r="F387">
        <v>7</v>
      </c>
      <c r="G387">
        <v>0</v>
      </c>
      <c r="H387">
        <v>7.6</v>
      </c>
      <c r="I387">
        <v>1.65</v>
      </c>
      <c r="J387">
        <v>10</v>
      </c>
      <c r="L387" t="s">
        <v>2709</v>
      </c>
      <c r="M387">
        <v>3062500</v>
      </c>
      <c r="O387" t="s">
        <v>19900</v>
      </c>
      <c r="P387" t="s">
        <v>19908</v>
      </c>
      <c r="Q387" t="s">
        <v>19900</v>
      </c>
      <c r="R387" t="s">
        <v>19905</v>
      </c>
      <c r="S387" t="s">
        <v>19906</v>
      </c>
      <c r="T387" t="s">
        <v>19904</v>
      </c>
      <c r="W387" s="49">
        <v>30042029</v>
      </c>
      <c r="X387" s="50">
        <f>VLOOKUP(PISCOFINS!$W387,PISCOFINS!$C$3:$J$10518,7,0)</f>
        <v>2.1</v>
      </c>
    </row>
    <row r="388" spans="2:24" x14ac:dyDescent="0.25">
      <c r="B388" t="s">
        <v>2709</v>
      </c>
      <c r="C388">
        <v>3062600</v>
      </c>
      <c r="E388">
        <v>0</v>
      </c>
      <c r="F388">
        <v>7</v>
      </c>
      <c r="G388">
        <v>0</v>
      </c>
      <c r="H388">
        <v>7.6</v>
      </c>
      <c r="I388">
        <v>1.65</v>
      </c>
      <c r="J388">
        <v>10</v>
      </c>
      <c r="L388" t="s">
        <v>2709</v>
      </c>
      <c r="M388">
        <v>3062600</v>
      </c>
      <c r="O388" t="s">
        <v>19900</v>
      </c>
      <c r="P388" t="s">
        <v>19908</v>
      </c>
      <c r="Q388" t="s">
        <v>19900</v>
      </c>
      <c r="R388" t="s">
        <v>19905</v>
      </c>
      <c r="S388" t="s">
        <v>19906</v>
      </c>
      <c r="T388" t="s">
        <v>19904</v>
      </c>
      <c r="W388" s="50">
        <v>30042029</v>
      </c>
      <c r="X388" s="50">
        <f>VLOOKUP(PISCOFINS!$W388,PISCOFINS!$C$3:$J$10518,7,0)</f>
        <v>2.1</v>
      </c>
    </row>
    <row r="389" spans="2:24" x14ac:dyDescent="0.25">
      <c r="B389" t="s">
        <v>2709</v>
      </c>
      <c r="C389">
        <v>3062700</v>
      </c>
      <c r="E389">
        <v>0</v>
      </c>
      <c r="F389">
        <v>7</v>
      </c>
      <c r="G389">
        <v>0</v>
      </c>
      <c r="H389">
        <v>7.6</v>
      </c>
      <c r="I389">
        <v>1.65</v>
      </c>
      <c r="J389">
        <v>10</v>
      </c>
      <c r="L389" t="s">
        <v>2709</v>
      </c>
      <c r="M389">
        <v>3062700</v>
      </c>
      <c r="O389" t="s">
        <v>19900</v>
      </c>
      <c r="P389" t="s">
        <v>19908</v>
      </c>
      <c r="Q389" t="s">
        <v>19900</v>
      </c>
      <c r="R389" t="s">
        <v>19905</v>
      </c>
      <c r="S389" t="s">
        <v>19906</v>
      </c>
      <c r="T389" t="s">
        <v>19904</v>
      </c>
      <c r="W389" s="49">
        <v>30042029</v>
      </c>
      <c r="X389" s="50">
        <f>VLOOKUP(PISCOFINS!$W389,PISCOFINS!$C$3:$J$10518,7,0)</f>
        <v>2.1</v>
      </c>
    </row>
    <row r="390" spans="2:24" x14ac:dyDescent="0.25">
      <c r="B390" t="s">
        <v>2709</v>
      </c>
      <c r="C390">
        <v>3062910</v>
      </c>
      <c r="E390">
        <v>0</v>
      </c>
      <c r="F390">
        <v>7</v>
      </c>
      <c r="G390">
        <v>0</v>
      </c>
      <c r="H390">
        <v>7.6</v>
      </c>
      <c r="I390">
        <v>1.65</v>
      </c>
      <c r="J390">
        <v>10</v>
      </c>
      <c r="L390" t="s">
        <v>2709</v>
      </c>
      <c r="M390">
        <v>3062910</v>
      </c>
      <c r="O390" t="s">
        <v>19900</v>
      </c>
      <c r="P390" t="s">
        <v>19908</v>
      </c>
      <c r="Q390" t="s">
        <v>19900</v>
      </c>
      <c r="R390" t="s">
        <v>19905</v>
      </c>
      <c r="S390" t="s">
        <v>19906</v>
      </c>
      <c r="T390" t="s">
        <v>19904</v>
      </c>
      <c r="W390" s="50">
        <v>30042019</v>
      </c>
      <c r="X390" s="50">
        <f>VLOOKUP(PISCOFINS!$W390,PISCOFINS!$C$3:$J$10518,7,0)</f>
        <v>2.1</v>
      </c>
    </row>
    <row r="391" spans="2:24" x14ac:dyDescent="0.25">
      <c r="B391" t="s">
        <v>2709</v>
      </c>
      <c r="C391">
        <v>3062990</v>
      </c>
      <c r="E391">
        <v>0</v>
      </c>
      <c r="F391">
        <v>7</v>
      </c>
      <c r="G391">
        <v>0</v>
      </c>
      <c r="H391">
        <v>7.6</v>
      </c>
      <c r="I391">
        <v>1.65</v>
      </c>
      <c r="J391">
        <v>10</v>
      </c>
      <c r="L391" t="s">
        <v>2709</v>
      </c>
      <c r="M391">
        <v>3062990</v>
      </c>
      <c r="O391" t="s">
        <v>19900</v>
      </c>
      <c r="P391" t="s">
        <v>19908</v>
      </c>
      <c r="Q391" t="s">
        <v>19900</v>
      </c>
      <c r="R391" t="s">
        <v>19905</v>
      </c>
      <c r="S391" t="s">
        <v>19906</v>
      </c>
      <c r="T391" t="s">
        <v>19904</v>
      </c>
      <c r="W391" s="49">
        <v>30041012</v>
      </c>
      <c r="X391" s="50">
        <f>VLOOKUP(PISCOFINS!$W391,PISCOFINS!$C$3:$J$10518,7,0)</f>
        <v>2.1</v>
      </c>
    </row>
    <row r="392" spans="2:24" x14ac:dyDescent="0.25">
      <c r="B392" t="s">
        <v>2709</v>
      </c>
      <c r="C392">
        <v>3071100</v>
      </c>
      <c r="E392">
        <v>0</v>
      </c>
      <c r="F392">
        <v>0</v>
      </c>
      <c r="G392">
        <v>0</v>
      </c>
      <c r="H392">
        <v>7.6</v>
      </c>
      <c r="I392">
        <v>1.65</v>
      </c>
      <c r="J392">
        <v>10</v>
      </c>
      <c r="L392" t="s">
        <v>2709</v>
      </c>
      <c r="M392">
        <v>3071100</v>
      </c>
      <c r="O392" t="s">
        <v>19900</v>
      </c>
      <c r="P392" t="s">
        <v>19900</v>
      </c>
      <c r="Q392" t="s">
        <v>19900</v>
      </c>
      <c r="R392" t="s">
        <v>19905</v>
      </c>
      <c r="S392" t="s">
        <v>19906</v>
      </c>
      <c r="T392" t="s">
        <v>19904</v>
      </c>
      <c r="W392" s="50">
        <v>30041012</v>
      </c>
      <c r="X392" s="50">
        <f>VLOOKUP(PISCOFINS!$W392,PISCOFINS!$C$3:$J$10518,7,0)</f>
        <v>2.1</v>
      </c>
    </row>
    <row r="393" spans="2:24" x14ac:dyDescent="0.25">
      <c r="B393" t="s">
        <v>2709</v>
      </c>
      <c r="C393">
        <v>3071900</v>
      </c>
      <c r="E393">
        <v>0</v>
      </c>
      <c r="F393">
        <v>0</v>
      </c>
      <c r="G393">
        <v>0</v>
      </c>
      <c r="H393">
        <v>7.6</v>
      </c>
      <c r="I393">
        <v>1.65</v>
      </c>
      <c r="J393">
        <v>10</v>
      </c>
      <c r="L393" t="s">
        <v>2709</v>
      </c>
      <c r="M393">
        <v>3071900</v>
      </c>
      <c r="O393" t="s">
        <v>19900</v>
      </c>
      <c r="P393" t="s">
        <v>19900</v>
      </c>
      <c r="Q393" t="s">
        <v>19900</v>
      </c>
      <c r="R393" t="s">
        <v>19905</v>
      </c>
      <c r="S393" t="s">
        <v>19906</v>
      </c>
      <c r="T393" t="s">
        <v>19904</v>
      </c>
      <c r="W393" s="49">
        <v>30041012</v>
      </c>
      <c r="X393" s="50">
        <f>VLOOKUP(PISCOFINS!$W393,PISCOFINS!$C$3:$J$10518,7,0)</f>
        <v>2.1</v>
      </c>
    </row>
    <row r="394" spans="2:24" x14ac:dyDescent="0.25">
      <c r="B394" t="s">
        <v>2709</v>
      </c>
      <c r="C394">
        <v>3072100</v>
      </c>
      <c r="E394">
        <v>0</v>
      </c>
      <c r="F394">
        <v>7</v>
      </c>
      <c r="G394">
        <v>0</v>
      </c>
      <c r="H394">
        <v>7.6</v>
      </c>
      <c r="I394">
        <v>1.65</v>
      </c>
      <c r="J394">
        <v>10</v>
      </c>
      <c r="L394" t="s">
        <v>2709</v>
      </c>
      <c r="M394">
        <v>3072100</v>
      </c>
      <c r="O394" t="s">
        <v>19900</v>
      </c>
      <c r="P394" t="s">
        <v>19908</v>
      </c>
      <c r="Q394" t="s">
        <v>19900</v>
      </c>
      <c r="R394" t="s">
        <v>19905</v>
      </c>
      <c r="S394" t="s">
        <v>19906</v>
      </c>
      <c r="T394" t="s">
        <v>19904</v>
      </c>
      <c r="W394" s="50">
        <v>30041012</v>
      </c>
      <c r="X394" s="50">
        <f>VLOOKUP(PISCOFINS!$W394,PISCOFINS!$C$3:$J$10518,7,0)</f>
        <v>2.1</v>
      </c>
    </row>
    <row r="395" spans="2:24" x14ac:dyDescent="0.25">
      <c r="B395" t="s">
        <v>2709</v>
      </c>
      <c r="C395">
        <v>3072900</v>
      </c>
      <c r="E395">
        <v>0</v>
      </c>
      <c r="F395">
        <v>7</v>
      </c>
      <c r="G395">
        <v>0</v>
      </c>
      <c r="H395">
        <v>7.6</v>
      </c>
      <c r="I395">
        <v>1.65</v>
      </c>
      <c r="J395">
        <v>10</v>
      </c>
      <c r="L395" t="s">
        <v>2709</v>
      </c>
      <c r="M395">
        <v>3072900</v>
      </c>
      <c r="O395" t="s">
        <v>19900</v>
      </c>
      <c r="P395" t="s">
        <v>19908</v>
      </c>
      <c r="Q395" t="s">
        <v>19900</v>
      </c>
      <c r="R395" t="s">
        <v>19905</v>
      </c>
      <c r="S395" t="s">
        <v>19906</v>
      </c>
      <c r="T395" t="s">
        <v>19904</v>
      </c>
      <c r="W395" s="49">
        <v>30039099</v>
      </c>
      <c r="X395" s="50">
        <f>VLOOKUP(PISCOFINS!$W395,PISCOFINS!$C$3:$J$10518,7,0)</f>
        <v>2.1</v>
      </c>
    </row>
    <row r="396" spans="2:24" x14ac:dyDescent="0.25">
      <c r="B396" t="s">
        <v>2709</v>
      </c>
      <c r="C396">
        <v>3073100</v>
      </c>
      <c r="E396">
        <v>0</v>
      </c>
      <c r="F396">
        <v>0</v>
      </c>
      <c r="G396">
        <v>0</v>
      </c>
      <c r="H396">
        <v>7.6</v>
      </c>
      <c r="I396">
        <v>1.65</v>
      </c>
      <c r="J396">
        <v>10</v>
      </c>
      <c r="L396" t="s">
        <v>2709</v>
      </c>
      <c r="M396">
        <v>3073100</v>
      </c>
      <c r="O396" t="s">
        <v>19900</v>
      </c>
      <c r="P396" t="s">
        <v>19900</v>
      </c>
      <c r="Q396" t="s">
        <v>19900</v>
      </c>
      <c r="R396" t="s">
        <v>19905</v>
      </c>
      <c r="S396" t="s">
        <v>19906</v>
      </c>
      <c r="T396" t="s">
        <v>19904</v>
      </c>
      <c r="W396" s="50">
        <v>30039099</v>
      </c>
      <c r="X396" s="50">
        <f>VLOOKUP(PISCOFINS!$W396,PISCOFINS!$C$3:$J$10518,7,0)</f>
        <v>2.1</v>
      </c>
    </row>
    <row r="397" spans="2:24" x14ac:dyDescent="0.25">
      <c r="B397" t="s">
        <v>2709</v>
      </c>
      <c r="C397">
        <v>3073900</v>
      </c>
      <c r="E397">
        <v>0</v>
      </c>
      <c r="F397">
        <v>0</v>
      </c>
      <c r="G397">
        <v>0</v>
      </c>
      <c r="H397">
        <v>7.6</v>
      </c>
      <c r="I397">
        <v>1.65</v>
      </c>
      <c r="J397">
        <v>10</v>
      </c>
      <c r="L397" t="s">
        <v>2709</v>
      </c>
      <c r="M397">
        <v>3073900</v>
      </c>
      <c r="O397" t="s">
        <v>19900</v>
      </c>
      <c r="P397" t="s">
        <v>19900</v>
      </c>
      <c r="Q397" t="s">
        <v>19900</v>
      </c>
      <c r="R397" t="s">
        <v>19905</v>
      </c>
      <c r="S397" t="s">
        <v>19906</v>
      </c>
      <c r="T397" t="s">
        <v>19904</v>
      </c>
      <c r="W397" s="49">
        <v>30039099</v>
      </c>
      <c r="X397" s="50">
        <f>VLOOKUP(PISCOFINS!$W397,PISCOFINS!$C$3:$J$10518,7,0)</f>
        <v>2.1</v>
      </c>
    </row>
    <row r="398" spans="2:24" x14ac:dyDescent="0.25">
      <c r="B398" t="s">
        <v>2709</v>
      </c>
      <c r="C398">
        <v>3074100</v>
      </c>
      <c r="E398">
        <v>0</v>
      </c>
      <c r="F398">
        <v>7</v>
      </c>
      <c r="G398">
        <v>0</v>
      </c>
      <c r="H398">
        <v>7.6</v>
      </c>
      <c r="I398">
        <v>1.65</v>
      </c>
      <c r="J398">
        <v>10</v>
      </c>
      <c r="L398" t="s">
        <v>2709</v>
      </c>
      <c r="M398">
        <v>3074100</v>
      </c>
      <c r="O398" t="s">
        <v>19900</v>
      </c>
      <c r="P398" t="s">
        <v>19908</v>
      </c>
      <c r="Q398" t="s">
        <v>19900</v>
      </c>
      <c r="R398" t="s">
        <v>19905</v>
      </c>
      <c r="S398" t="s">
        <v>19906</v>
      </c>
      <c r="T398" t="s">
        <v>19904</v>
      </c>
      <c r="W398" s="50">
        <v>30039099</v>
      </c>
      <c r="X398" s="50">
        <f>VLOOKUP(PISCOFINS!$W398,PISCOFINS!$C$3:$J$10518,7,0)</f>
        <v>2.1</v>
      </c>
    </row>
    <row r="399" spans="2:24" x14ac:dyDescent="0.25">
      <c r="B399" t="s">
        <v>2709</v>
      </c>
      <c r="C399">
        <v>3074911</v>
      </c>
      <c r="E399">
        <v>0</v>
      </c>
      <c r="F399">
        <v>7</v>
      </c>
      <c r="G399">
        <v>0</v>
      </c>
      <c r="H399">
        <v>7.6</v>
      </c>
      <c r="I399">
        <v>1.65</v>
      </c>
      <c r="J399">
        <v>10</v>
      </c>
      <c r="L399" t="s">
        <v>2709</v>
      </c>
      <c r="M399">
        <v>3074911</v>
      </c>
      <c r="O399" t="s">
        <v>19900</v>
      </c>
      <c r="P399" t="s">
        <v>19908</v>
      </c>
      <c r="Q399" t="s">
        <v>19900</v>
      </c>
      <c r="R399" t="s">
        <v>19905</v>
      </c>
      <c r="S399" t="s">
        <v>19906</v>
      </c>
      <c r="T399" t="s">
        <v>19904</v>
      </c>
      <c r="W399" s="49">
        <v>30039099</v>
      </c>
      <c r="X399" s="50">
        <f>VLOOKUP(PISCOFINS!$W399,PISCOFINS!$C$3:$J$10518,7,0)</f>
        <v>2.1</v>
      </c>
    </row>
    <row r="400" spans="2:24" x14ac:dyDescent="0.25">
      <c r="B400" t="s">
        <v>2709</v>
      </c>
      <c r="C400">
        <v>3074919</v>
      </c>
      <c r="E400">
        <v>0</v>
      </c>
      <c r="F400">
        <v>7</v>
      </c>
      <c r="G400">
        <v>0</v>
      </c>
      <c r="H400">
        <v>7.6</v>
      </c>
      <c r="I400">
        <v>1.65</v>
      </c>
      <c r="J400">
        <v>10</v>
      </c>
      <c r="L400" t="s">
        <v>2709</v>
      </c>
      <c r="M400">
        <v>3074919</v>
      </c>
      <c r="O400" t="s">
        <v>19900</v>
      </c>
      <c r="P400" t="s">
        <v>19908</v>
      </c>
      <c r="Q400" t="s">
        <v>19900</v>
      </c>
      <c r="R400" t="s">
        <v>19905</v>
      </c>
      <c r="S400" t="s">
        <v>19906</v>
      </c>
      <c r="T400" t="s">
        <v>19904</v>
      </c>
      <c r="W400" s="50">
        <v>30039099</v>
      </c>
      <c r="X400" s="50">
        <f>VLOOKUP(PISCOFINS!$W400,PISCOFINS!$C$3:$J$10518,7,0)</f>
        <v>2.1</v>
      </c>
    </row>
    <row r="401" spans="2:24" x14ac:dyDescent="0.25">
      <c r="B401" t="s">
        <v>2709</v>
      </c>
      <c r="C401">
        <v>3074990</v>
      </c>
      <c r="E401">
        <v>0</v>
      </c>
      <c r="F401">
        <v>7</v>
      </c>
      <c r="G401">
        <v>0</v>
      </c>
      <c r="H401">
        <v>7.6</v>
      </c>
      <c r="I401">
        <v>1.65</v>
      </c>
      <c r="J401">
        <v>10</v>
      </c>
      <c r="L401" t="s">
        <v>2709</v>
      </c>
      <c r="M401">
        <v>3074990</v>
      </c>
      <c r="O401" t="s">
        <v>19900</v>
      </c>
      <c r="P401" t="s">
        <v>19908</v>
      </c>
      <c r="Q401" t="s">
        <v>19900</v>
      </c>
      <c r="R401" t="s">
        <v>19905</v>
      </c>
      <c r="S401" t="s">
        <v>19906</v>
      </c>
      <c r="T401" t="s">
        <v>19904</v>
      </c>
      <c r="W401" s="49">
        <v>30039099</v>
      </c>
      <c r="X401" s="50">
        <f>VLOOKUP(PISCOFINS!$W401,PISCOFINS!$C$3:$J$10518,7,0)</f>
        <v>2.1</v>
      </c>
    </row>
    <row r="402" spans="2:24" x14ac:dyDescent="0.25">
      <c r="B402" t="s">
        <v>2709</v>
      </c>
      <c r="C402">
        <v>3075100</v>
      </c>
      <c r="E402">
        <v>0</v>
      </c>
      <c r="F402">
        <v>7</v>
      </c>
      <c r="G402">
        <v>0</v>
      </c>
      <c r="H402">
        <v>7.6</v>
      </c>
      <c r="I402">
        <v>1.65</v>
      </c>
      <c r="J402">
        <v>10</v>
      </c>
      <c r="L402" t="s">
        <v>2709</v>
      </c>
      <c r="M402">
        <v>3075100</v>
      </c>
      <c r="O402" t="s">
        <v>19900</v>
      </c>
      <c r="P402" t="s">
        <v>19908</v>
      </c>
      <c r="Q402" t="s">
        <v>19900</v>
      </c>
      <c r="R402" t="s">
        <v>19905</v>
      </c>
      <c r="S402" t="s">
        <v>19906</v>
      </c>
      <c r="T402" t="s">
        <v>19904</v>
      </c>
      <c r="W402" s="50">
        <v>30039099</v>
      </c>
      <c r="X402" s="50">
        <f>VLOOKUP(PISCOFINS!$W402,PISCOFINS!$C$3:$J$10518,7,0)</f>
        <v>2.1</v>
      </c>
    </row>
    <row r="403" spans="2:24" x14ac:dyDescent="0.25">
      <c r="B403" t="s">
        <v>2709</v>
      </c>
      <c r="C403">
        <v>3075910</v>
      </c>
      <c r="E403">
        <v>0</v>
      </c>
      <c r="F403">
        <v>7</v>
      </c>
      <c r="G403">
        <v>0</v>
      </c>
      <c r="H403">
        <v>7.6</v>
      </c>
      <c r="I403">
        <v>1.65</v>
      </c>
      <c r="J403">
        <v>10</v>
      </c>
      <c r="L403" t="s">
        <v>2709</v>
      </c>
      <c r="M403">
        <v>3075910</v>
      </c>
      <c r="O403" t="s">
        <v>19900</v>
      </c>
      <c r="P403" t="s">
        <v>19908</v>
      </c>
      <c r="Q403" t="s">
        <v>19900</v>
      </c>
      <c r="R403" t="s">
        <v>19905</v>
      </c>
      <c r="S403" t="s">
        <v>19906</v>
      </c>
      <c r="T403" t="s">
        <v>19904</v>
      </c>
      <c r="W403" s="49">
        <v>30039099</v>
      </c>
      <c r="X403" s="50">
        <f>VLOOKUP(PISCOFINS!$W403,PISCOFINS!$C$3:$J$10518,7,0)</f>
        <v>2.1</v>
      </c>
    </row>
    <row r="404" spans="2:24" x14ac:dyDescent="0.25">
      <c r="B404" t="s">
        <v>2709</v>
      </c>
      <c r="C404">
        <v>3075990</v>
      </c>
      <c r="E404">
        <v>0</v>
      </c>
      <c r="F404">
        <v>7</v>
      </c>
      <c r="G404">
        <v>0</v>
      </c>
      <c r="H404">
        <v>7.6</v>
      </c>
      <c r="I404">
        <v>1.65</v>
      </c>
      <c r="J404">
        <v>10</v>
      </c>
      <c r="L404" t="s">
        <v>2709</v>
      </c>
      <c r="M404">
        <v>3075990</v>
      </c>
      <c r="O404" t="s">
        <v>19900</v>
      </c>
      <c r="P404" t="s">
        <v>19908</v>
      </c>
      <c r="Q404" t="s">
        <v>19900</v>
      </c>
      <c r="R404" t="s">
        <v>19905</v>
      </c>
      <c r="S404" t="s">
        <v>19906</v>
      </c>
      <c r="T404" t="s">
        <v>19904</v>
      </c>
      <c r="W404" s="50">
        <v>30039099</v>
      </c>
      <c r="X404" s="50">
        <f>VLOOKUP(PISCOFINS!$W404,PISCOFINS!$C$3:$J$10518,7,0)</f>
        <v>2.1</v>
      </c>
    </row>
    <row r="405" spans="2:24" x14ac:dyDescent="0.25">
      <c r="B405" t="s">
        <v>2709</v>
      </c>
      <c r="C405">
        <v>3076000</v>
      </c>
      <c r="E405">
        <v>0</v>
      </c>
      <c r="F405">
        <v>7</v>
      </c>
      <c r="G405">
        <v>0</v>
      </c>
      <c r="H405">
        <v>7.6</v>
      </c>
      <c r="I405">
        <v>1.65</v>
      </c>
      <c r="J405">
        <v>10</v>
      </c>
      <c r="L405" t="s">
        <v>2709</v>
      </c>
      <c r="M405">
        <v>3076000</v>
      </c>
      <c r="O405" t="s">
        <v>19900</v>
      </c>
      <c r="P405" t="s">
        <v>19908</v>
      </c>
      <c r="Q405" t="s">
        <v>19900</v>
      </c>
      <c r="R405" t="s">
        <v>19905</v>
      </c>
      <c r="S405" t="s">
        <v>19906</v>
      </c>
      <c r="T405" t="s">
        <v>19904</v>
      </c>
      <c r="W405" s="49">
        <v>30039099</v>
      </c>
      <c r="X405" s="50">
        <f>VLOOKUP(PISCOFINS!$W405,PISCOFINS!$C$3:$J$10518,7,0)</f>
        <v>2.1</v>
      </c>
    </row>
    <row r="406" spans="2:24" x14ac:dyDescent="0.25">
      <c r="B406" t="s">
        <v>2709</v>
      </c>
      <c r="C406">
        <v>3077100</v>
      </c>
      <c r="E406">
        <v>0</v>
      </c>
      <c r="F406">
        <v>7</v>
      </c>
      <c r="G406">
        <v>0</v>
      </c>
      <c r="H406">
        <v>7.6</v>
      </c>
      <c r="I406">
        <v>1.65</v>
      </c>
      <c r="J406">
        <v>10</v>
      </c>
      <c r="L406" t="s">
        <v>2709</v>
      </c>
      <c r="M406">
        <v>3077100</v>
      </c>
      <c r="O406" t="s">
        <v>19900</v>
      </c>
      <c r="P406" t="s">
        <v>19908</v>
      </c>
      <c r="Q406" t="s">
        <v>19900</v>
      </c>
      <c r="R406" t="s">
        <v>19905</v>
      </c>
      <c r="S406" t="s">
        <v>19906</v>
      </c>
      <c r="T406" t="s">
        <v>19904</v>
      </c>
      <c r="W406" s="50">
        <v>30039099</v>
      </c>
      <c r="X406" s="50">
        <f>VLOOKUP(PISCOFINS!$W406,PISCOFINS!$C$3:$J$10518,7,0)</f>
        <v>2.1</v>
      </c>
    </row>
    <row r="407" spans="2:24" x14ac:dyDescent="0.25">
      <c r="B407" t="s">
        <v>2709</v>
      </c>
      <c r="C407">
        <v>3077900</v>
      </c>
      <c r="E407">
        <v>0</v>
      </c>
      <c r="F407">
        <v>0</v>
      </c>
      <c r="G407">
        <v>0</v>
      </c>
      <c r="H407">
        <v>7.6</v>
      </c>
      <c r="I407">
        <v>1.65</v>
      </c>
      <c r="J407">
        <v>10</v>
      </c>
      <c r="L407" t="s">
        <v>2709</v>
      </c>
      <c r="M407">
        <v>3077900</v>
      </c>
      <c r="O407" t="s">
        <v>19900</v>
      </c>
      <c r="P407" t="s">
        <v>19900</v>
      </c>
      <c r="Q407" t="s">
        <v>19900</v>
      </c>
      <c r="R407" t="s">
        <v>19905</v>
      </c>
      <c r="S407" t="s">
        <v>19906</v>
      </c>
      <c r="T407" t="s">
        <v>19904</v>
      </c>
      <c r="W407" s="49">
        <v>30039099</v>
      </c>
      <c r="X407" s="50">
        <f>VLOOKUP(PISCOFINS!$W407,PISCOFINS!$C$3:$J$10518,7,0)</f>
        <v>2.1</v>
      </c>
    </row>
    <row r="408" spans="2:24" x14ac:dyDescent="0.25">
      <c r="B408" t="s">
        <v>2709</v>
      </c>
      <c r="C408">
        <v>3078100</v>
      </c>
      <c r="E408">
        <v>0</v>
      </c>
      <c r="F408">
        <v>7</v>
      </c>
      <c r="G408">
        <v>0</v>
      </c>
      <c r="H408">
        <v>7.6</v>
      </c>
      <c r="I408">
        <v>1.65</v>
      </c>
      <c r="J408">
        <v>10</v>
      </c>
      <c r="L408" t="s">
        <v>2709</v>
      </c>
      <c r="M408">
        <v>3078100</v>
      </c>
      <c r="O408" t="s">
        <v>19900</v>
      </c>
      <c r="P408" t="s">
        <v>19908</v>
      </c>
      <c r="Q408" t="s">
        <v>19900</v>
      </c>
      <c r="R408" t="s">
        <v>19905</v>
      </c>
      <c r="S408" t="s">
        <v>19906</v>
      </c>
      <c r="T408" t="s">
        <v>19904</v>
      </c>
      <c r="W408" s="50">
        <v>30039089</v>
      </c>
      <c r="X408" s="50">
        <f>VLOOKUP(PISCOFINS!$W408,PISCOFINS!$C$3:$J$10518,7,0)</f>
        <v>2.1</v>
      </c>
    </row>
    <row r="409" spans="2:24" x14ac:dyDescent="0.25">
      <c r="B409" t="s">
        <v>2709</v>
      </c>
      <c r="C409">
        <v>3078900</v>
      </c>
      <c r="E409">
        <v>0</v>
      </c>
      <c r="F409">
        <v>0</v>
      </c>
      <c r="G409">
        <v>0</v>
      </c>
      <c r="H409">
        <v>7.6</v>
      </c>
      <c r="I409">
        <v>1.65</v>
      </c>
      <c r="J409">
        <v>10</v>
      </c>
      <c r="L409" t="s">
        <v>2709</v>
      </c>
      <c r="M409">
        <v>3078900</v>
      </c>
      <c r="O409" t="s">
        <v>19900</v>
      </c>
      <c r="P409" t="s">
        <v>19900</v>
      </c>
      <c r="Q409" t="s">
        <v>19900</v>
      </c>
      <c r="R409" t="s">
        <v>19905</v>
      </c>
      <c r="S409" t="s">
        <v>19906</v>
      </c>
      <c r="T409" t="s">
        <v>19904</v>
      </c>
      <c r="W409" s="49">
        <v>30039089</v>
      </c>
      <c r="X409" s="50">
        <f>VLOOKUP(PISCOFINS!$W409,PISCOFINS!$C$3:$J$10518,7,0)</f>
        <v>2.1</v>
      </c>
    </row>
    <row r="410" spans="2:24" x14ac:dyDescent="0.25">
      <c r="B410" t="s">
        <v>2709</v>
      </c>
      <c r="C410">
        <v>3079100</v>
      </c>
      <c r="E410">
        <v>0</v>
      </c>
      <c r="F410">
        <v>7</v>
      </c>
      <c r="G410">
        <v>0</v>
      </c>
      <c r="H410">
        <v>7.6</v>
      </c>
      <c r="I410">
        <v>1.65</v>
      </c>
      <c r="J410">
        <v>10</v>
      </c>
      <c r="L410" t="s">
        <v>2709</v>
      </c>
      <c r="M410">
        <v>3079100</v>
      </c>
      <c r="O410" t="s">
        <v>19900</v>
      </c>
      <c r="P410" t="s">
        <v>19908</v>
      </c>
      <c r="Q410" t="s">
        <v>19900</v>
      </c>
      <c r="R410" t="s">
        <v>19905</v>
      </c>
      <c r="S410" t="s">
        <v>19906</v>
      </c>
      <c r="T410" t="s">
        <v>19904</v>
      </c>
      <c r="W410" s="50">
        <v>30039079</v>
      </c>
      <c r="X410" s="50">
        <f>VLOOKUP(PISCOFINS!$W410,PISCOFINS!$C$3:$J$10518,7,0)</f>
        <v>2.1</v>
      </c>
    </row>
    <row r="411" spans="2:24" x14ac:dyDescent="0.25">
      <c r="B411" t="s">
        <v>2709</v>
      </c>
      <c r="C411">
        <v>3079900</v>
      </c>
      <c r="E411">
        <v>0</v>
      </c>
      <c r="F411">
        <v>0</v>
      </c>
      <c r="G411">
        <v>0</v>
      </c>
      <c r="H411">
        <v>7.6</v>
      </c>
      <c r="I411">
        <v>1.65</v>
      </c>
      <c r="J411">
        <v>10</v>
      </c>
      <c r="L411" t="s">
        <v>2709</v>
      </c>
      <c r="M411">
        <v>3079900</v>
      </c>
      <c r="O411" t="s">
        <v>19900</v>
      </c>
      <c r="P411" t="s">
        <v>19900</v>
      </c>
      <c r="Q411" t="s">
        <v>19900</v>
      </c>
      <c r="R411" t="s">
        <v>19905</v>
      </c>
      <c r="S411" t="s">
        <v>19906</v>
      </c>
      <c r="T411" t="s">
        <v>19904</v>
      </c>
      <c r="W411" s="49">
        <v>30039079</v>
      </c>
      <c r="X411" s="50">
        <f>VLOOKUP(PISCOFINS!$W411,PISCOFINS!$C$3:$J$10518,7,0)</f>
        <v>2.1</v>
      </c>
    </row>
    <row r="412" spans="2:24" x14ac:dyDescent="0.25">
      <c r="B412" t="s">
        <v>2709</v>
      </c>
      <c r="C412">
        <v>3081100</v>
      </c>
      <c r="E412">
        <v>0</v>
      </c>
      <c r="F412">
        <v>7</v>
      </c>
      <c r="G412">
        <v>0</v>
      </c>
      <c r="H412">
        <v>7.6</v>
      </c>
      <c r="I412">
        <v>1.65</v>
      </c>
      <c r="J412">
        <v>10</v>
      </c>
      <c r="L412" t="s">
        <v>2709</v>
      </c>
      <c r="M412">
        <v>3081100</v>
      </c>
      <c r="O412" t="s">
        <v>19900</v>
      </c>
      <c r="P412" t="s">
        <v>19908</v>
      </c>
      <c r="Q412" t="s">
        <v>19900</v>
      </c>
      <c r="R412" t="s">
        <v>19905</v>
      </c>
      <c r="S412" t="s">
        <v>19906</v>
      </c>
      <c r="T412" t="s">
        <v>19904</v>
      </c>
      <c r="W412" s="50">
        <v>30039079</v>
      </c>
      <c r="X412" s="50">
        <f>VLOOKUP(PISCOFINS!$W412,PISCOFINS!$C$3:$J$10518,7,0)</f>
        <v>2.1</v>
      </c>
    </row>
    <row r="413" spans="2:24" x14ac:dyDescent="0.25">
      <c r="B413" t="s">
        <v>2709</v>
      </c>
      <c r="C413">
        <v>3081900</v>
      </c>
      <c r="E413">
        <v>0</v>
      </c>
      <c r="F413">
        <v>0</v>
      </c>
      <c r="G413">
        <v>0</v>
      </c>
      <c r="H413">
        <v>7.6</v>
      </c>
      <c r="I413">
        <v>1.65</v>
      </c>
      <c r="J413">
        <v>10</v>
      </c>
      <c r="L413" t="s">
        <v>2709</v>
      </c>
      <c r="M413">
        <v>3081900</v>
      </c>
      <c r="O413" t="s">
        <v>19900</v>
      </c>
      <c r="P413" t="s">
        <v>19900</v>
      </c>
      <c r="Q413" t="s">
        <v>19900</v>
      </c>
      <c r="R413" t="s">
        <v>19905</v>
      </c>
      <c r="S413" t="s">
        <v>19906</v>
      </c>
      <c r="T413" t="s">
        <v>19904</v>
      </c>
      <c r="W413" s="49">
        <v>30039079</v>
      </c>
      <c r="X413" s="50">
        <f>VLOOKUP(PISCOFINS!$W413,PISCOFINS!$C$3:$J$10518,7,0)</f>
        <v>2.1</v>
      </c>
    </row>
    <row r="414" spans="2:24" x14ac:dyDescent="0.25">
      <c r="B414" t="s">
        <v>2709</v>
      </c>
      <c r="C414">
        <v>3082100</v>
      </c>
      <c r="E414">
        <v>0</v>
      </c>
      <c r="F414">
        <v>7</v>
      </c>
      <c r="G414">
        <v>0</v>
      </c>
      <c r="H414">
        <v>7.6</v>
      </c>
      <c r="I414">
        <v>1.65</v>
      </c>
      <c r="J414">
        <v>10</v>
      </c>
      <c r="L414" t="s">
        <v>2709</v>
      </c>
      <c r="M414">
        <v>3082100</v>
      </c>
      <c r="O414" t="s">
        <v>19900</v>
      </c>
      <c r="P414" t="s">
        <v>19908</v>
      </c>
      <c r="Q414" t="s">
        <v>19900</v>
      </c>
      <c r="R414" t="s">
        <v>19905</v>
      </c>
      <c r="S414" t="s">
        <v>19906</v>
      </c>
      <c r="T414" t="s">
        <v>19904</v>
      </c>
      <c r="W414" s="50">
        <v>30039079</v>
      </c>
      <c r="X414" s="50">
        <f>VLOOKUP(PISCOFINS!$W414,PISCOFINS!$C$3:$J$10518,7,0)</f>
        <v>2.1</v>
      </c>
    </row>
    <row r="415" spans="2:24" x14ac:dyDescent="0.25">
      <c r="B415" t="s">
        <v>2709</v>
      </c>
      <c r="C415">
        <v>3082900</v>
      </c>
      <c r="E415">
        <v>0</v>
      </c>
      <c r="F415">
        <v>0</v>
      </c>
      <c r="G415">
        <v>0</v>
      </c>
      <c r="H415">
        <v>7.6</v>
      </c>
      <c r="I415">
        <v>1.65</v>
      </c>
      <c r="J415">
        <v>10</v>
      </c>
      <c r="L415" t="s">
        <v>2709</v>
      </c>
      <c r="M415">
        <v>3082900</v>
      </c>
      <c r="O415" t="s">
        <v>19900</v>
      </c>
      <c r="P415" t="s">
        <v>19900</v>
      </c>
      <c r="Q415" t="s">
        <v>19900</v>
      </c>
      <c r="R415" t="s">
        <v>19905</v>
      </c>
      <c r="S415" t="s">
        <v>19906</v>
      </c>
      <c r="T415" t="s">
        <v>19904</v>
      </c>
      <c r="W415" s="49">
        <v>30039079</v>
      </c>
      <c r="X415" s="50">
        <f>VLOOKUP(PISCOFINS!$W415,PISCOFINS!$C$3:$J$10518,7,0)</f>
        <v>2.1</v>
      </c>
    </row>
    <row r="416" spans="2:24" x14ac:dyDescent="0.25">
      <c r="B416" t="s">
        <v>2709</v>
      </c>
      <c r="C416">
        <v>3083000</v>
      </c>
      <c r="E416">
        <v>0</v>
      </c>
      <c r="F416">
        <v>0</v>
      </c>
      <c r="G416">
        <v>0</v>
      </c>
      <c r="H416">
        <v>7.6</v>
      </c>
      <c r="I416">
        <v>1.65</v>
      </c>
      <c r="J416">
        <v>10</v>
      </c>
      <c r="L416" t="s">
        <v>2709</v>
      </c>
      <c r="M416">
        <v>3083000</v>
      </c>
      <c r="O416" t="s">
        <v>19900</v>
      </c>
      <c r="P416" t="s">
        <v>19900</v>
      </c>
      <c r="Q416" t="s">
        <v>19900</v>
      </c>
      <c r="R416" t="s">
        <v>19905</v>
      </c>
      <c r="S416" t="s">
        <v>19906</v>
      </c>
      <c r="T416" t="s">
        <v>19904</v>
      </c>
      <c r="W416" s="50">
        <v>30039079</v>
      </c>
      <c r="X416" s="50">
        <f>VLOOKUP(PISCOFINS!$W416,PISCOFINS!$C$3:$J$10518,7,0)</f>
        <v>2.1</v>
      </c>
    </row>
    <row r="417" spans="2:24" x14ac:dyDescent="0.25">
      <c r="B417" t="s">
        <v>2709</v>
      </c>
      <c r="C417">
        <v>3089000</v>
      </c>
      <c r="E417">
        <v>0</v>
      </c>
      <c r="F417">
        <v>0</v>
      </c>
      <c r="G417">
        <v>0</v>
      </c>
      <c r="H417">
        <v>7.6</v>
      </c>
      <c r="I417">
        <v>1.65</v>
      </c>
      <c r="J417">
        <v>10</v>
      </c>
      <c r="L417" t="s">
        <v>2709</v>
      </c>
      <c r="M417">
        <v>3089000</v>
      </c>
      <c r="O417" t="s">
        <v>19900</v>
      </c>
      <c r="P417" t="s">
        <v>19900</v>
      </c>
      <c r="Q417" t="s">
        <v>19900</v>
      </c>
      <c r="R417" t="s">
        <v>19905</v>
      </c>
      <c r="S417" t="s">
        <v>19906</v>
      </c>
      <c r="T417" t="s">
        <v>19904</v>
      </c>
      <c r="W417" s="49">
        <v>30039079</v>
      </c>
      <c r="X417" s="50">
        <f>VLOOKUP(PISCOFINS!$W417,PISCOFINS!$C$3:$J$10518,7,0)</f>
        <v>2.1</v>
      </c>
    </row>
    <row r="418" spans="2:24" x14ac:dyDescent="0.25">
      <c r="B418" t="s">
        <v>2709</v>
      </c>
      <c r="C418">
        <v>4011010</v>
      </c>
      <c r="E418">
        <v>33</v>
      </c>
      <c r="F418">
        <v>0</v>
      </c>
      <c r="G418">
        <v>0</v>
      </c>
      <c r="H418" t="s">
        <v>19447</v>
      </c>
      <c r="I418" t="s">
        <v>19447</v>
      </c>
      <c r="J418">
        <v>14</v>
      </c>
      <c r="L418" t="s">
        <v>2709</v>
      </c>
      <c r="M418">
        <v>4011010</v>
      </c>
      <c r="O418" t="s">
        <v>19910</v>
      </c>
      <c r="P418" t="s">
        <v>19900</v>
      </c>
      <c r="Q418" t="s">
        <v>19900</v>
      </c>
      <c r="R418" t="s">
        <v>19447</v>
      </c>
      <c r="S418" t="s">
        <v>19447</v>
      </c>
      <c r="T418" t="s">
        <v>19911</v>
      </c>
      <c r="W418" s="50">
        <v>30039079</v>
      </c>
      <c r="X418" s="50">
        <f>VLOOKUP(PISCOFINS!$W418,PISCOFINS!$C$3:$J$10518,7,0)</f>
        <v>2.1</v>
      </c>
    </row>
    <row r="419" spans="2:24" x14ac:dyDescent="0.25">
      <c r="B419" t="s">
        <v>2709</v>
      </c>
      <c r="C419">
        <v>4011090</v>
      </c>
      <c r="E419">
        <v>33</v>
      </c>
      <c r="F419">
        <v>0</v>
      </c>
      <c r="G419">
        <v>0</v>
      </c>
      <c r="H419" t="s">
        <v>19447</v>
      </c>
      <c r="I419" t="s">
        <v>19447</v>
      </c>
      <c r="J419">
        <v>12</v>
      </c>
      <c r="L419" t="s">
        <v>2709</v>
      </c>
      <c r="M419">
        <v>4011090</v>
      </c>
      <c r="O419" t="s">
        <v>19910</v>
      </c>
      <c r="P419" t="s">
        <v>19900</v>
      </c>
      <c r="Q419" t="s">
        <v>19900</v>
      </c>
      <c r="R419" t="s">
        <v>19447</v>
      </c>
      <c r="S419" t="s">
        <v>19447</v>
      </c>
      <c r="T419" t="s">
        <v>19903</v>
      </c>
      <c r="W419" s="49">
        <v>30039079</v>
      </c>
      <c r="X419" s="50">
        <f>VLOOKUP(PISCOFINS!$W419,PISCOFINS!$C$3:$J$10518,7,0)</f>
        <v>2.1</v>
      </c>
    </row>
    <row r="420" spans="2:24" x14ac:dyDescent="0.25">
      <c r="B420" t="s">
        <v>2709</v>
      </c>
      <c r="C420">
        <v>4012010</v>
      </c>
      <c r="E420">
        <v>33</v>
      </c>
      <c r="F420">
        <v>0</v>
      </c>
      <c r="G420">
        <v>0</v>
      </c>
      <c r="H420" t="s">
        <v>19447</v>
      </c>
      <c r="I420" t="s">
        <v>19447</v>
      </c>
      <c r="J420">
        <v>14</v>
      </c>
      <c r="L420" t="s">
        <v>2709</v>
      </c>
      <c r="M420">
        <v>4012010</v>
      </c>
      <c r="O420" t="s">
        <v>19910</v>
      </c>
      <c r="P420" t="s">
        <v>19900</v>
      </c>
      <c r="Q420" t="s">
        <v>19900</v>
      </c>
      <c r="R420" t="s">
        <v>19447</v>
      </c>
      <c r="S420" t="s">
        <v>19447</v>
      </c>
      <c r="T420" t="s">
        <v>19911</v>
      </c>
      <c r="W420" s="50">
        <v>30039069</v>
      </c>
      <c r="X420" s="50">
        <f>VLOOKUP(PISCOFINS!$W420,PISCOFINS!$C$3:$J$10518,7,0)</f>
        <v>2.1</v>
      </c>
    </row>
    <row r="421" spans="2:24" x14ac:dyDescent="0.25">
      <c r="B421" t="s">
        <v>2709</v>
      </c>
      <c r="C421">
        <v>4012090</v>
      </c>
      <c r="E421">
        <v>33</v>
      </c>
      <c r="F421">
        <v>0</v>
      </c>
      <c r="G421">
        <v>0</v>
      </c>
      <c r="H421" t="s">
        <v>19447</v>
      </c>
      <c r="I421" t="s">
        <v>19447</v>
      </c>
      <c r="J421">
        <v>12</v>
      </c>
      <c r="L421" t="s">
        <v>2709</v>
      </c>
      <c r="M421">
        <v>4012090</v>
      </c>
      <c r="O421" t="s">
        <v>19910</v>
      </c>
      <c r="P421" t="s">
        <v>19900</v>
      </c>
      <c r="Q421" t="s">
        <v>19900</v>
      </c>
      <c r="R421" t="s">
        <v>19447</v>
      </c>
      <c r="S421" t="s">
        <v>19447</v>
      </c>
      <c r="T421" t="s">
        <v>19903</v>
      </c>
      <c r="W421" s="49">
        <v>30039069</v>
      </c>
      <c r="X421" s="50">
        <f>VLOOKUP(PISCOFINS!$W421,PISCOFINS!$C$3:$J$10518,7,0)</f>
        <v>2.1</v>
      </c>
    </row>
    <row r="422" spans="2:24" x14ac:dyDescent="0.25">
      <c r="B422" t="s">
        <v>2709</v>
      </c>
      <c r="C422">
        <v>4014010</v>
      </c>
      <c r="E422">
        <v>33</v>
      </c>
      <c r="F422">
        <v>0</v>
      </c>
      <c r="G422">
        <v>0</v>
      </c>
      <c r="H422" t="s">
        <v>19447</v>
      </c>
      <c r="I422" t="s">
        <v>19447</v>
      </c>
      <c r="J422">
        <v>12</v>
      </c>
      <c r="L422" t="s">
        <v>2709</v>
      </c>
      <c r="M422">
        <v>4014010</v>
      </c>
      <c r="O422" t="s">
        <v>19910</v>
      </c>
      <c r="P422" t="s">
        <v>19900</v>
      </c>
      <c r="Q422" t="s">
        <v>19900</v>
      </c>
      <c r="R422" t="s">
        <v>19447</v>
      </c>
      <c r="S422" t="s">
        <v>19447</v>
      </c>
      <c r="T422" t="s">
        <v>19903</v>
      </c>
      <c r="W422" s="50">
        <v>30039069</v>
      </c>
      <c r="X422" s="50">
        <f>VLOOKUP(PISCOFINS!$W422,PISCOFINS!$C$3:$J$10518,7,0)</f>
        <v>2.1</v>
      </c>
    </row>
    <row r="423" spans="2:24" x14ac:dyDescent="0.25">
      <c r="B423" t="s">
        <v>2709</v>
      </c>
      <c r="C423">
        <v>4014021</v>
      </c>
      <c r="E423">
        <v>33</v>
      </c>
      <c r="F423">
        <v>7</v>
      </c>
      <c r="G423">
        <v>0</v>
      </c>
      <c r="H423" t="s">
        <v>19447</v>
      </c>
      <c r="I423" t="s">
        <v>19447</v>
      </c>
      <c r="J423">
        <v>14</v>
      </c>
      <c r="L423" t="s">
        <v>2709</v>
      </c>
      <c r="M423">
        <v>4014021</v>
      </c>
      <c r="O423" t="s">
        <v>19910</v>
      </c>
      <c r="P423" t="s">
        <v>19908</v>
      </c>
      <c r="Q423" t="s">
        <v>19900</v>
      </c>
      <c r="R423" t="s">
        <v>19447</v>
      </c>
      <c r="S423" t="s">
        <v>19447</v>
      </c>
      <c r="T423" t="s">
        <v>19911</v>
      </c>
      <c r="W423" s="49">
        <v>30039055</v>
      </c>
      <c r="X423" s="50">
        <f>VLOOKUP(PISCOFINS!$W423,PISCOFINS!$C$3:$J$10518,7,0)</f>
        <v>2.1</v>
      </c>
    </row>
    <row r="424" spans="2:24" x14ac:dyDescent="0.25">
      <c r="B424" t="s">
        <v>2709</v>
      </c>
      <c r="C424">
        <v>4014021</v>
      </c>
      <c r="D424">
        <v>1</v>
      </c>
      <c r="E424" t="s">
        <v>19447</v>
      </c>
      <c r="F424">
        <v>18</v>
      </c>
      <c r="G424">
        <v>0</v>
      </c>
      <c r="H424">
        <v>7.6</v>
      </c>
      <c r="I424">
        <v>1.65</v>
      </c>
      <c r="J424">
        <v>14</v>
      </c>
      <c r="L424" t="s">
        <v>2709</v>
      </c>
      <c r="M424">
        <v>4014021</v>
      </c>
      <c r="N424">
        <v>1</v>
      </c>
      <c r="O424" t="s">
        <v>19447</v>
      </c>
      <c r="P424" t="s">
        <v>19899</v>
      </c>
      <c r="Q424" t="s">
        <v>19900</v>
      </c>
      <c r="R424" t="s">
        <v>19905</v>
      </c>
      <c r="S424" t="s">
        <v>19906</v>
      </c>
      <c r="T424" t="s">
        <v>19911</v>
      </c>
      <c r="W424" s="50">
        <v>30039049</v>
      </c>
      <c r="X424" s="50">
        <f>VLOOKUP(PISCOFINS!$W424,PISCOFINS!$C$3:$J$10518,7,0)</f>
        <v>2.1</v>
      </c>
    </row>
    <row r="425" spans="2:24" x14ac:dyDescent="0.25">
      <c r="B425" t="s">
        <v>2709</v>
      </c>
      <c r="C425">
        <v>4014029</v>
      </c>
      <c r="E425">
        <v>33</v>
      </c>
      <c r="F425">
        <v>7</v>
      </c>
      <c r="G425">
        <v>0</v>
      </c>
      <c r="H425" t="s">
        <v>19447</v>
      </c>
      <c r="I425" t="s">
        <v>19447</v>
      </c>
      <c r="J425">
        <v>12</v>
      </c>
      <c r="L425" t="s">
        <v>2709</v>
      </c>
      <c r="M425">
        <v>4014029</v>
      </c>
      <c r="O425" t="s">
        <v>19910</v>
      </c>
      <c r="P425" t="s">
        <v>19908</v>
      </c>
      <c r="Q425" t="s">
        <v>19900</v>
      </c>
      <c r="R425" t="s">
        <v>19447</v>
      </c>
      <c r="S425" t="s">
        <v>19447</v>
      </c>
      <c r="T425" t="s">
        <v>19903</v>
      </c>
      <c r="W425" s="49">
        <v>30039049</v>
      </c>
      <c r="X425" s="50">
        <f>VLOOKUP(PISCOFINS!$W425,PISCOFINS!$C$3:$J$10518,7,0)</f>
        <v>2.1</v>
      </c>
    </row>
    <row r="426" spans="2:24" x14ac:dyDescent="0.25">
      <c r="B426" t="s">
        <v>2709</v>
      </c>
      <c r="C426">
        <v>4014029</v>
      </c>
      <c r="D426">
        <v>1</v>
      </c>
      <c r="E426" t="s">
        <v>19447</v>
      </c>
      <c r="F426">
        <v>18</v>
      </c>
      <c r="G426">
        <v>0</v>
      </c>
      <c r="H426">
        <v>7.6</v>
      </c>
      <c r="I426">
        <v>1.65</v>
      </c>
      <c r="J426">
        <v>12</v>
      </c>
      <c r="L426" t="s">
        <v>2709</v>
      </c>
      <c r="M426">
        <v>4014029</v>
      </c>
      <c r="N426">
        <v>1</v>
      </c>
      <c r="O426" t="s">
        <v>19447</v>
      </c>
      <c r="P426" t="s">
        <v>19899</v>
      </c>
      <c r="Q426" t="s">
        <v>19900</v>
      </c>
      <c r="R426" t="s">
        <v>19905</v>
      </c>
      <c r="S426" t="s">
        <v>19906</v>
      </c>
      <c r="T426" t="s">
        <v>19903</v>
      </c>
      <c r="W426" s="50">
        <v>30039049</v>
      </c>
      <c r="X426" s="50">
        <f>VLOOKUP(PISCOFINS!$W426,PISCOFINS!$C$3:$J$10518,7,0)</f>
        <v>2.1</v>
      </c>
    </row>
    <row r="427" spans="2:24" x14ac:dyDescent="0.25">
      <c r="B427" t="s">
        <v>2709</v>
      </c>
      <c r="C427">
        <v>4015010</v>
      </c>
      <c r="E427">
        <v>33</v>
      </c>
      <c r="F427">
        <v>0</v>
      </c>
      <c r="G427">
        <v>0</v>
      </c>
      <c r="H427" t="s">
        <v>19447</v>
      </c>
      <c r="I427" t="s">
        <v>19447</v>
      </c>
      <c r="J427">
        <v>12</v>
      </c>
      <c r="L427" t="s">
        <v>2709</v>
      </c>
      <c r="M427">
        <v>4015010</v>
      </c>
      <c r="O427" t="s">
        <v>19910</v>
      </c>
      <c r="P427" t="s">
        <v>19900</v>
      </c>
      <c r="Q427" t="s">
        <v>19900</v>
      </c>
      <c r="R427" t="s">
        <v>19447</v>
      </c>
      <c r="S427" t="s">
        <v>19447</v>
      </c>
      <c r="T427" t="s">
        <v>19903</v>
      </c>
      <c r="W427" s="49">
        <v>30039049</v>
      </c>
      <c r="X427" s="50">
        <f>VLOOKUP(PISCOFINS!$W427,PISCOFINS!$C$3:$J$10518,7,0)</f>
        <v>2.1</v>
      </c>
    </row>
    <row r="428" spans="2:24" x14ac:dyDescent="0.25">
      <c r="B428" t="s">
        <v>2709</v>
      </c>
      <c r="C428">
        <v>4015021</v>
      </c>
      <c r="E428">
        <v>33</v>
      </c>
      <c r="F428">
        <v>7</v>
      </c>
      <c r="G428">
        <v>0</v>
      </c>
      <c r="H428" t="s">
        <v>19447</v>
      </c>
      <c r="I428" t="s">
        <v>19447</v>
      </c>
      <c r="J428">
        <v>14</v>
      </c>
      <c r="L428" t="s">
        <v>2709</v>
      </c>
      <c r="M428">
        <v>4015021</v>
      </c>
      <c r="O428" t="s">
        <v>19910</v>
      </c>
      <c r="P428" t="s">
        <v>19908</v>
      </c>
      <c r="Q428" t="s">
        <v>19900</v>
      </c>
      <c r="R428" t="s">
        <v>19447</v>
      </c>
      <c r="S428" t="s">
        <v>19447</v>
      </c>
      <c r="T428" t="s">
        <v>19911</v>
      </c>
      <c r="W428" s="50">
        <v>30039049</v>
      </c>
      <c r="X428" s="50">
        <f>VLOOKUP(PISCOFINS!$W428,PISCOFINS!$C$3:$J$10518,7,0)</f>
        <v>2.1</v>
      </c>
    </row>
    <row r="429" spans="2:24" x14ac:dyDescent="0.25">
      <c r="B429" t="s">
        <v>2709</v>
      </c>
      <c r="C429">
        <v>4015021</v>
      </c>
      <c r="D429">
        <v>1</v>
      </c>
      <c r="E429" t="s">
        <v>19447</v>
      </c>
      <c r="F429">
        <v>18</v>
      </c>
      <c r="G429">
        <v>0</v>
      </c>
      <c r="H429">
        <v>7.6</v>
      </c>
      <c r="I429">
        <v>1.65</v>
      </c>
      <c r="J429">
        <v>14</v>
      </c>
      <c r="L429" t="s">
        <v>2709</v>
      </c>
      <c r="M429">
        <v>4015021</v>
      </c>
      <c r="N429">
        <v>1</v>
      </c>
      <c r="O429" t="s">
        <v>19447</v>
      </c>
      <c r="P429" t="s">
        <v>19899</v>
      </c>
      <c r="Q429" t="s">
        <v>19900</v>
      </c>
      <c r="R429" t="s">
        <v>19905</v>
      </c>
      <c r="S429" t="s">
        <v>19906</v>
      </c>
      <c r="T429" t="s">
        <v>19911</v>
      </c>
      <c r="W429" s="49">
        <v>30039049</v>
      </c>
      <c r="X429" s="50">
        <f>VLOOKUP(PISCOFINS!$W429,PISCOFINS!$C$3:$J$10518,7,0)</f>
        <v>2.1</v>
      </c>
    </row>
    <row r="430" spans="2:24" x14ac:dyDescent="0.25">
      <c r="B430" t="s">
        <v>2709</v>
      </c>
      <c r="C430">
        <v>4015029</v>
      </c>
      <c r="E430">
        <v>33</v>
      </c>
      <c r="F430">
        <v>7</v>
      </c>
      <c r="G430">
        <v>0</v>
      </c>
      <c r="H430" t="s">
        <v>19447</v>
      </c>
      <c r="I430" t="s">
        <v>19447</v>
      </c>
      <c r="J430">
        <v>12</v>
      </c>
      <c r="L430" t="s">
        <v>2709</v>
      </c>
      <c r="M430">
        <v>4015029</v>
      </c>
      <c r="O430" t="s">
        <v>19910</v>
      </c>
      <c r="P430" t="s">
        <v>19908</v>
      </c>
      <c r="Q430" t="s">
        <v>19900</v>
      </c>
      <c r="R430" t="s">
        <v>19447</v>
      </c>
      <c r="S430" t="s">
        <v>19447</v>
      </c>
      <c r="T430" t="s">
        <v>19903</v>
      </c>
      <c r="W430" s="50">
        <v>30039013</v>
      </c>
      <c r="X430" s="50">
        <f>VLOOKUP(PISCOFINS!$W430,PISCOFINS!$C$3:$J$10518,7,0)</f>
        <v>2.1</v>
      </c>
    </row>
    <row r="431" spans="2:24" x14ac:dyDescent="0.25">
      <c r="B431" t="s">
        <v>2709</v>
      </c>
      <c r="C431">
        <v>4015029</v>
      </c>
      <c r="D431">
        <v>1</v>
      </c>
      <c r="E431" t="s">
        <v>19447</v>
      </c>
      <c r="F431">
        <v>18</v>
      </c>
      <c r="G431">
        <v>0</v>
      </c>
      <c r="H431">
        <v>7.6</v>
      </c>
      <c r="I431">
        <v>1.65</v>
      </c>
      <c r="J431">
        <v>12</v>
      </c>
      <c r="L431" t="s">
        <v>2709</v>
      </c>
      <c r="M431">
        <v>4015029</v>
      </c>
      <c r="N431">
        <v>1</v>
      </c>
      <c r="O431" t="s">
        <v>19447</v>
      </c>
      <c r="P431" t="s">
        <v>19899</v>
      </c>
      <c r="Q431" t="s">
        <v>19900</v>
      </c>
      <c r="R431" t="s">
        <v>19905</v>
      </c>
      <c r="S431" t="s">
        <v>19906</v>
      </c>
      <c r="T431" t="s">
        <v>19903</v>
      </c>
      <c r="W431" s="49">
        <v>30032099</v>
      </c>
      <c r="X431" s="50">
        <f>VLOOKUP(PISCOFINS!$W431,PISCOFINS!$C$3:$J$10518,7,0)</f>
        <v>2.1</v>
      </c>
    </row>
    <row r="432" spans="2:24" x14ac:dyDescent="0.25">
      <c r="B432" t="s">
        <v>2709</v>
      </c>
      <c r="C432">
        <v>4021010</v>
      </c>
      <c r="E432">
        <v>33</v>
      </c>
      <c r="F432">
        <v>7</v>
      </c>
      <c r="G432">
        <v>0</v>
      </c>
      <c r="H432" t="s">
        <v>19447</v>
      </c>
      <c r="I432" t="s">
        <v>19447</v>
      </c>
      <c r="J432">
        <v>28</v>
      </c>
      <c r="L432" t="s">
        <v>2709</v>
      </c>
      <c r="M432">
        <v>4021010</v>
      </c>
      <c r="O432" t="s">
        <v>19910</v>
      </c>
      <c r="P432" t="s">
        <v>19908</v>
      </c>
      <c r="Q432" t="s">
        <v>19900</v>
      </c>
      <c r="R432" t="s">
        <v>19447</v>
      </c>
      <c r="S432" t="s">
        <v>19447</v>
      </c>
      <c r="T432" t="s">
        <v>19912</v>
      </c>
      <c r="W432" s="50">
        <v>30032099</v>
      </c>
      <c r="X432" s="50">
        <f>VLOOKUP(PISCOFINS!$W432,PISCOFINS!$C$3:$J$10518,7,0)</f>
        <v>2.1</v>
      </c>
    </row>
    <row r="433" spans="2:24" x14ac:dyDescent="0.25">
      <c r="B433" t="s">
        <v>2709</v>
      </c>
      <c r="C433">
        <v>4021090</v>
      </c>
      <c r="E433">
        <v>33</v>
      </c>
      <c r="F433">
        <v>7</v>
      </c>
      <c r="G433">
        <v>0</v>
      </c>
      <c r="H433" t="s">
        <v>19447</v>
      </c>
      <c r="I433" t="s">
        <v>19447</v>
      </c>
      <c r="J433">
        <v>28</v>
      </c>
      <c r="L433" t="s">
        <v>2709</v>
      </c>
      <c r="M433">
        <v>4021090</v>
      </c>
      <c r="O433" t="s">
        <v>19910</v>
      </c>
      <c r="P433" t="s">
        <v>19908</v>
      </c>
      <c r="Q433" t="s">
        <v>19900</v>
      </c>
      <c r="R433" t="s">
        <v>19447</v>
      </c>
      <c r="S433" t="s">
        <v>19447</v>
      </c>
      <c r="T433" t="s">
        <v>19912</v>
      </c>
      <c r="W433" s="49">
        <v>30029092</v>
      </c>
      <c r="X433" s="50">
        <f>VLOOKUP(PISCOFINS!$W433,PISCOFINS!$C$3:$J$10518,7,0)</f>
        <v>2.1</v>
      </c>
    </row>
    <row r="434" spans="2:24" x14ac:dyDescent="0.25">
      <c r="B434" t="s">
        <v>2709</v>
      </c>
      <c r="C434">
        <v>4022110</v>
      </c>
      <c r="E434">
        <v>33</v>
      </c>
      <c r="F434">
        <v>7</v>
      </c>
      <c r="G434">
        <v>0</v>
      </c>
      <c r="H434" t="s">
        <v>19447</v>
      </c>
      <c r="I434" t="s">
        <v>19447</v>
      </c>
      <c r="J434">
        <v>28</v>
      </c>
      <c r="L434" t="s">
        <v>2709</v>
      </c>
      <c r="M434">
        <v>4022110</v>
      </c>
      <c r="O434" t="s">
        <v>19910</v>
      </c>
      <c r="P434" t="s">
        <v>19908</v>
      </c>
      <c r="Q434" t="s">
        <v>19900</v>
      </c>
      <c r="R434" t="s">
        <v>19447</v>
      </c>
      <c r="S434" t="s">
        <v>19447</v>
      </c>
      <c r="T434" t="s">
        <v>19912</v>
      </c>
      <c r="W434" s="50">
        <v>29053930</v>
      </c>
      <c r="X434" s="50" t="str">
        <f>VLOOKUP(PISCOFINS!$W434,PISCOFINS!$C$3:$J$10518,7,0)</f>
        <v>NULL</v>
      </c>
    </row>
    <row r="435" spans="2:24" x14ac:dyDescent="0.25">
      <c r="B435" t="s">
        <v>2709</v>
      </c>
      <c r="C435">
        <v>4022120</v>
      </c>
      <c r="E435">
        <v>33</v>
      </c>
      <c r="F435">
        <v>7</v>
      </c>
      <c r="G435">
        <v>0</v>
      </c>
      <c r="H435" t="s">
        <v>19447</v>
      </c>
      <c r="I435" t="s">
        <v>19447</v>
      </c>
      <c r="J435">
        <v>28</v>
      </c>
      <c r="L435" t="s">
        <v>2709</v>
      </c>
      <c r="M435">
        <v>4022120</v>
      </c>
      <c r="O435" t="s">
        <v>19910</v>
      </c>
      <c r="P435" t="s">
        <v>19908</v>
      </c>
      <c r="Q435" t="s">
        <v>19900</v>
      </c>
      <c r="R435" t="s">
        <v>19447</v>
      </c>
      <c r="S435" t="s">
        <v>19447</v>
      </c>
      <c r="T435" t="s">
        <v>19912</v>
      </c>
      <c r="W435" s="49">
        <v>29053930</v>
      </c>
      <c r="X435" s="50" t="str">
        <f>VLOOKUP(PISCOFINS!$W435,PISCOFINS!$C$3:$J$10518,7,0)</f>
        <v>NULL</v>
      </c>
    </row>
    <row r="436" spans="2:24" x14ac:dyDescent="0.25">
      <c r="B436" t="s">
        <v>2709</v>
      </c>
      <c r="C436">
        <v>4022130</v>
      </c>
      <c r="E436">
        <v>33</v>
      </c>
      <c r="F436">
        <v>7</v>
      </c>
      <c r="G436">
        <v>0</v>
      </c>
      <c r="H436" t="s">
        <v>19447</v>
      </c>
      <c r="I436" t="s">
        <v>19447</v>
      </c>
      <c r="J436">
        <v>16</v>
      </c>
      <c r="L436" t="s">
        <v>2709</v>
      </c>
      <c r="M436">
        <v>4022130</v>
      </c>
      <c r="O436" t="s">
        <v>19910</v>
      </c>
      <c r="P436" t="s">
        <v>19908</v>
      </c>
      <c r="Q436" t="s">
        <v>19900</v>
      </c>
      <c r="R436" t="s">
        <v>19447</v>
      </c>
      <c r="S436" t="s">
        <v>19447</v>
      </c>
      <c r="T436" t="s">
        <v>19913</v>
      </c>
      <c r="W436" s="50">
        <v>30049039</v>
      </c>
      <c r="X436" s="50">
        <f>VLOOKUP(PISCOFINS!$W436,PISCOFINS!$C$3:$J$10518,7,0)</f>
        <v>2.1</v>
      </c>
    </row>
    <row r="437" spans="2:24" x14ac:dyDescent="0.25">
      <c r="B437" t="s">
        <v>2709</v>
      </c>
      <c r="C437">
        <v>4022910</v>
      </c>
      <c r="E437">
        <v>33</v>
      </c>
      <c r="F437">
        <v>7</v>
      </c>
      <c r="G437">
        <v>0</v>
      </c>
      <c r="H437" t="s">
        <v>19447</v>
      </c>
      <c r="I437" t="s">
        <v>19447</v>
      </c>
      <c r="J437">
        <v>28</v>
      </c>
      <c r="L437" t="s">
        <v>2709</v>
      </c>
      <c r="M437">
        <v>4022910</v>
      </c>
      <c r="O437" t="s">
        <v>19910</v>
      </c>
      <c r="P437" t="s">
        <v>19908</v>
      </c>
      <c r="Q437" t="s">
        <v>19900</v>
      </c>
      <c r="R437" t="s">
        <v>19447</v>
      </c>
      <c r="S437" t="s">
        <v>19447</v>
      </c>
      <c r="T437" t="s">
        <v>19912</v>
      </c>
      <c r="W437" s="49">
        <v>30044090</v>
      </c>
      <c r="X437" s="50">
        <f>VLOOKUP(PISCOFINS!$W437,PISCOFINS!$C$3:$J$10518,7,0)</f>
        <v>2.1</v>
      </c>
    </row>
    <row r="438" spans="2:24" x14ac:dyDescent="0.25">
      <c r="B438" t="s">
        <v>2709</v>
      </c>
      <c r="C438">
        <v>4022920</v>
      </c>
      <c r="E438">
        <v>33</v>
      </c>
      <c r="F438">
        <v>7</v>
      </c>
      <c r="G438">
        <v>0</v>
      </c>
      <c r="H438" t="s">
        <v>19447</v>
      </c>
      <c r="I438" t="s">
        <v>19447</v>
      </c>
      <c r="J438">
        <v>28</v>
      </c>
      <c r="L438" t="s">
        <v>2709</v>
      </c>
      <c r="M438">
        <v>4022920</v>
      </c>
      <c r="O438" t="s">
        <v>19910</v>
      </c>
      <c r="P438" t="s">
        <v>19908</v>
      </c>
      <c r="Q438" t="s">
        <v>19900</v>
      </c>
      <c r="R438" t="s">
        <v>19447</v>
      </c>
      <c r="S438" t="s">
        <v>19447</v>
      </c>
      <c r="T438" t="s">
        <v>19912</v>
      </c>
      <c r="W438" s="50">
        <v>30043939</v>
      </c>
      <c r="X438" s="50">
        <f>VLOOKUP(PISCOFINS!$W438,PISCOFINS!$C$3:$J$10518,7,0)</f>
        <v>2.1</v>
      </c>
    </row>
    <row r="439" spans="2:24" x14ac:dyDescent="0.25">
      <c r="B439" t="s">
        <v>2709</v>
      </c>
      <c r="C439">
        <v>4022930</v>
      </c>
      <c r="E439">
        <v>33</v>
      </c>
      <c r="F439">
        <v>7</v>
      </c>
      <c r="G439">
        <v>0</v>
      </c>
      <c r="H439" t="s">
        <v>19447</v>
      </c>
      <c r="I439" t="s">
        <v>19447</v>
      </c>
      <c r="J439">
        <v>16</v>
      </c>
      <c r="L439" t="s">
        <v>2709</v>
      </c>
      <c r="M439">
        <v>4022930</v>
      </c>
      <c r="O439" t="s">
        <v>19910</v>
      </c>
      <c r="P439" t="s">
        <v>19908</v>
      </c>
      <c r="Q439" t="s">
        <v>19900</v>
      </c>
      <c r="R439" t="s">
        <v>19447</v>
      </c>
      <c r="S439" t="s">
        <v>19447</v>
      </c>
      <c r="T439" t="s">
        <v>19913</v>
      </c>
      <c r="W439" s="49">
        <v>30042099</v>
      </c>
      <c r="X439" s="50">
        <f>VLOOKUP(PISCOFINS!$W439,PISCOFINS!$C$3:$J$10518,7,0)</f>
        <v>2.1</v>
      </c>
    </row>
    <row r="440" spans="2:24" x14ac:dyDescent="0.25">
      <c r="B440" t="s">
        <v>2709</v>
      </c>
      <c r="C440">
        <v>4029100</v>
      </c>
      <c r="E440">
        <v>33</v>
      </c>
      <c r="F440">
        <v>7</v>
      </c>
      <c r="G440">
        <v>0</v>
      </c>
      <c r="H440" t="s">
        <v>19447</v>
      </c>
      <c r="I440" t="s">
        <v>19447</v>
      </c>
      <c r="J440">
        <v>14</v>
      </c>
      <c r="L440" t="s">
        <v>2709</v>
      </c>
      <c r="M440">
        <v>4029100</v>
      </c>
      <c r="O440" t="s">
        <v>19910</v>
      </c>
      <c r="P440" t="s">
        <v>19908</v>
      </c>
      <c r="Q440" t="s">
        <v>19900</v>
      </c>
      <c r="R440" t="s">
        <v>19447</v>
      </c>
      <c r="S440" t="s">
        <v>19447</v>
      </c>
      <c r="T440" t="s">
        <v>19911</v>
      </c>
      <c r="W440" s="50">
        <v>30039079</v>
      </c>
      <c r="X440" s="50">
        <f>VLOOKUP(PISCOFINS!$W440,PISCOFINS!$C$3:$J$10518,7,0)</f>
        <v>2.1</v>
      </c>
    </row>
    <row r="441" spans="2:24" x14ac:dyDescent="0.25">
      <c r="B441" t="s">
        <v>2709</v>
      </c>
      <c r="C441">
        <v>4029100</v>
      </c>
      <c r="D441">
        <v>1</v>
      </c>
      <c r="E441" t="s">
        <v>19447</v>
      </c>
      <c r="F441">
        <v>18</v>
      </c>
      <c r="G441">
        <v>0</v>
      </c>
      <c r="H441">
        <v>7.6</v>
      </c>
      <c r="I441">
        <v>1.65</v>
      </c>
      <c r="J441">
        <v>14</v>
      </c>
      <c r="L441" t="s">
        <v>2709</v>
      </c>
      <c r="M441">
        <v>4029100</v>
      </c>
      <c r="N441">
        <v>1</v>
      </c>
      <c r="O441" t="s">
        <v>19447</v>
      </c>
      <c r="P441" t="s">
        <v>19899</v>
      </c>
      <c r="Q441" t="s">
        <v>19900</v>
      </c>
      <c r="R441" t="s">
        <v>19905</v>
      </c>
      <c r="S441" t="s">
        <v>19906</v>
      </c>
      <c r="T441" t="s">
        <v>19911</v>
      </c>
      <c r="W441" s="49">
        <v>34011190</v>
      </c>
      <c r="X441" s="50">
        <f>VLOOKUP(PISCOFINS!$W441,PISCOFINS!$C$3:$J$10518,7,0)</f>
        <v>2.2000000000000002</v>
      </c>
    </row>
    <row r="442" spans="2:24" x14ac:dyDescent="0.25">
      <c r="B442" t="s">
        <v>2709</v>
      </c>
      <c r="C442">
        <v>4029900</v>
      </c>
      <c r="E442">
        <v>33</v>
      </c>
      <c r="F442">
        <v>7</v>
      </c>
      <c r="G442">
        <v>0</v>
      </c>
      <c r="H442" t="s">
        <v>19447</v>
      </c>
      <c r="I442" t="s">
        <v>19447</v>
      </c>
      <c r="J442">
        <v>28</v>
      </c>
      <c r="L442" t="s">
        <v>2709</v>
      </c>
      <c r="M442">
        <v>4029900</v>
      </c>
      <c r="O442" t="s">
        <v>19910</v>
      </c>
      <c r="P442" t="s">
        <v>19908</v>
      </c>
      <c r="Q442" t="s">
        <v>19900</v>
      </c>
      <c r="R442" t="s">
        <v>19447</v>
      </c>
      <c r="S442" t="s">
        <v>19447</v>
      </c>
      <c r="T442" t="s">
        <v>19912</v>
      </c>
      <c r="W442" s="50">
        <v>34011190</v>
      </c>
      <c r="X442" s="50">
        <f>VLOOKUP(PISCOFINS!$W442,PISCOFINS!$C$3:$J$10518,7,0)</f>
        <v>2.2000000000000002</v>
      </c>
    </row>
    <row r="443" spans="2:24" x14ac:dyDescent="0.25">
      <c r="B443" t="s">
        <v>2709</v>
      </c>
      <c r="C443">
        <v>4029900</v>
      </c>
      <c r="D443">
        <v>1</v>
      </c>
      <c r="E443" t="s">
        <v>19447</v>
      </c>
      <c r="F443">
        <v>18</v>
      </c>
      <c r="G443">
        <v>0</v>
      </c>
      <c r="H443">
        <v>7.6</v>
      </c>
      <c r="I443">
        <v>1.65</v>
      </c>
      <c r="J443">
        <v>28</v>
      </c>
      <c r="L443" t="s">
        <v>2709</v>
      </c>
      <c r="M443">
        <v>4029900</v>
      </c>
      <c r="N443">
        <v>1</v>
      </c>
      <c r="O443" t="s">
        <v>19447</v>
      </c>
      <c r="P443" t="s">
        <v>19899</v>
      </c>
      <c r="Q443" t="s">
        <v>19900</v>
      </c>
      <c r="R443" t="s">
        <v>19905</v>
      </c>
      <c r="S443" t="s">
        <v>19906</v>
      </c>
      <c r="T443" t="s">
        <v>19912</v>
      </c>
      <c r="W443" s="49">
        <v>34011190</v>
      </c>
      <c r="X443" s="50">
        <f>VLOOKUP(PISCOFINS!$W443,PISCOFINS!$C$3:$J$10518,7,0)</f>
        <v>2.2000000000000002</v>
      </c>
    </row>
    <row r="444" spans="2:24" x14ac:dyDescent="0.25">
      <c r="B444" t="s">
        <v>2709</v>
      </c>
      <c r="C444">
        <v>4031000</v>
      </c>
      <c r="E444">
        <v>34.56</v>
      </c>
      <c r="F444">
        <v>7</v>
      </c>
      <c r="G444">
        <v>0</v>
      </c>
      <c r="H444" t="s">
        <v>19447</v>
      </c>
      <c r="I444" t="s">
        <v>19447</v>
      </c>
      <c r="J444">
        <v>16</v>
      </c>
      <c r="L444" t="s">
        <v>2709</v>
      </c>
      <c r="M444">
        <v>4031000</v>
      </c>
      <c r="O444" t="s">
        <v>19914</v>
      </c>
      <c r="P444" t="s">
        <v>19908</v>
      </c>
      <c r="Q444" t="s">
        <v>19900</v>
      </c>
      <c r="R444" t="s">
        <v>19447</v>
      </c>
      <c r="S444" t="s">
        <v>19447</v>
      </c>
      <c r="T444" t="s">
        <v>19913</v>
      </c>
      <c r="W444" s="50">
        <v>34011190</v>
      </c>
      <c r="X444" s="50">
        <f>VLOOKUP(PISCOFINS!$W444,PISCOFINS!$C$3:$J$10518,7,0)</f>
        <v>2.2000000000000002</v>
      </c>
    </row>
    <row r="445" spans="2:24" x14ac:dyDescent="0.25">
      <c r="B445" t="s">
        <v>2709</v>
      </c>
      <c r="C445">
        <v>4031000</v>
      </c>
      <c r="D445">
        <v>1</v>
      </c>
      <c r="E445" t="s">
        <v>19447</v>
      </c>
      <c r="F445">
        <v>18</v>
      </c>
      <c r="G445">
        <v>0</v>
      </c>
      <c r="H445">
        <v>7.6</v>
      </c>
      <c r="I445">
        <v>1.65</v>
      </c>
      <c r="J445">
        <v>16</v>
      </c>
      <c r="L445" t="s">
        <v>2709</v>
      </c>
      <c r="M445">
        <v>4031000</v>
      </c>
      <c r="N445">
        <v>1</v>
      </c>
      <c r="O445" t="s">
        <v>19447</v>
      </c>
      <c r="P445" t="s">
        <v>19899</v>
      </c>
      <c r="Q445" t="s">
        <v>19900</v>
      </c>
      <c r="R445" t="s">
        <v>19905</v>
      </c>
      <c r="S445" t="s">
        <v>19906</v>
      </c>
      <c r="T445" t="s">
        <v>19913</v>
      </c>
      <c r="W445" s="49">
        <v>34011190</v>
      </c>
      <c r="X445" s="50">
        <f>VLOOKUP(PISCOFINS!$W445,PISCOFINS!$C$3:$J$10518,7,0)</f>
        <v>2.2000000000000002</v>
      </c>
    </row>
    <row r="446" spans="2:24" x14ac:dyDescent="0.25">
      <c r="B446" t="s">
        <v>2709</v>
      </c>
      <c r="C446">
        <v>4039000</v>
      </c>
      <c r="E446">
        <v>34.56</v>
      </c>
      <c r="F446">
        <v>7</v>
      </c>
      <c r="G446">
        <v>0</v>
      </c>
      <c r="H446" t="s">
        <v>19447</v>
      </c>
      <c r="I446" t="s">
        <v>19447</v>
      </c>
      <c r="J446">
        <v>16</v>
      </c>
      <c r="L446" t="s">
        <v>2709</v>
      </c>
      <c r="M446">
        <v>4039000</v>
      </c>
      <c r="O446" t="s">
        <v>19914</v>
      </c>
      <c r="P446" t="s">
        <v>19908</v>
      </c>
      <c r="Q446" t="s">
        <v>19900</v>
      </c>
      <c r="R446" t="s">
        <v>19447</v>
      </c>
      <c r="S446" t="s">
        <v>19447</v>
      </c>
      <c r="T446" t="s">
        <v>19913</v>
      </c>
      <c r="W446" s="50">
        <v>34011190</v>
      </c>
      <c r="X446" s="50">
        <f>VLOOKUP(PISCOFINS!$W446,PISCOFINS!$C$3:$J$10518,7,0)</f>
        <v>2.2000000000000002</v>
      </c>
    </row>
    <row r="447" spans="2:24" x14ac:dyDescent="0.25">
      <c r="B447" t="s">
        <v>2709</v>
      </c>
      <c r="C447">
        <v>4039000</v>
      </c>
      <c r="D447">
        <v>1</v>
      </c>
      <c r="E447" t="s">
        <v>19447</v>
      </c>
      <c r="F447">
        <v>18</v>
      </c>
      <c r="G447">
        <v>0</v>
      </c>
      <c r="H447">
        <v>7.6</v>
      </c>
      <c r="I447">
        <v>1.65</v>
      </c>
      <c r="J447">
        <v>16</v>
      </c>
      <c r="L447" t="s">
        <v>2709</v>
      </c>
      <c r="M447">
        <v>4039000</v>
      </c>
      <c r="N447">
        <v>1</v>
      </c>
      <c r="O447" t="s">
        <v>19447</v>
      </c>
      <c r="P447" t="s">
        <v>19899</v>
      </c>
      <c r="Q447" t="s">
        <v>19900</v>
      </c>
      <c r="R447" t="s">
        <v>19905</v>
      </c>
      <c r="S447" t="s">
        <v>19906</v>
      </c>
      <c r="T447" t="s">
        <v>19913</v>
      </c>
      <c r="W447" s="49">
        <v>34011190</v>
      </c>
      <c r="X447" s="50">
        <f>VLOOKUP(PISCOFINS!$W447,PISCOFINS!$C$3:$J$10518,7,0)</f>
        <v>2.2000000000000002</v>
      </c>
    </row>
    <row r="448" spans="2:24" x14ac:dyDescent="0.25">
      <c r="B448" t="s">
        <v>2709</v>
      </c>
      <c r="C448">
        <v>4041000</v>
      </c>
      <c r="E448">
        <v>42.17</v>
      </c>
      <c r="F448">
        <v>7</v>
      </c>
      <c r="G448">
        <v>0</v>
      </c>
      <c r="H448" t="s">
        <v>19447</v>
      </c>
      <c r="I448" t="s">
        <v>19447</v>
      </c>
      <c r="J448">
        <v>28</v>
      </c>
      <c r="L448" t="s">
        <v>2709</v>
      </c>
      <c r="M448">
        <v>4041000</v>
      </c>
      <c r="O448" t="s">
        <v>19915</v>
      </c>
      <c r="P448" t="s">
        <v>19908</v>
      </c>
      <c r="Q448" t="s">
        <v>19900</v>
      </c>
      <c r="R448" t="s">
        <v>19447</v>
      </c>
      <c r="S448" t="s">
        <v>19447</v>
      </c>
      <c r="T448" t="s">
        <v>19912</v>
      </c>
      <c r="W448" s="50">
        <v>30066000</v>
      </c>
      <c r="X448" s="50">
        <f>VLOOKUP(PISCOFINS!$W448,PISCOFINS!$C$3:$J$10518,7,0)</f>
        <v>2.1</v>
      </c>
    </row>
    <row r="449" spans="2:24" x14ac:dyDescent="0.25">
      <c r="B449" t="s">
        <v>2709</v>
      </c>
      <c r="C449">
        <v>4041000</v>
      </c>
      <c r="D449">
        <v>1</v>
      </c>
      <c r="E449" t="s">
        <v>19447</v>
      </c>
      <c r="F449">
        <v>18</v>
      </c>
      <c r="G449">
        <v>0</v>
      </c>
      <c r="H449">
        <v>7.6</v>
      </c>
      <c r="I449">
        <v>1.65</v>
      </c>
      <c r="J449">
        <v>28</v>
      </c>
      <c r="L449" t="s">
        <v>2709</v>
      </c>
      <c r="M449">
        <v>4041000</v>
      </c>
      <c r="N449">
        <v>1</v>
      </c>
      <c r="O449" t="s">
        <v>19447</v>
      </c>
      <c r="P449" t="s">
        <v>19899</v>
      </c>
      <c r="Q449" t="s">
        <v>19900</v>
      </c>
      <c r="R449" t="s">
        <v>19905</v>
      </c>
      <c r="S449" t="s">
        <v>19906</v>
      </c>
      <c r="T449" t="s">
        <v>19912</v>
      </c>
      <c r="W449" s="49">
        <v>30066000</v>
      </c>
      <c r="X449" s="50">
        <f>VLOOKUP(PISCOFINS!$W449,PISCOFINS!$C$3:$J$10518,7,0)</f>
        <v>2.1</v>
      </c>
    </row>
    <row r="450" spans="2:24" x14ac:dyDescent="0.25">
      <c r="B450" t="s">
        <v>2709</v>
      </c>
      <c r="C450">
        <v>4049000</v>
      </c>
      <c r="E450">
        <v>42.17</v>
      </c>
      <c r="F450">
        <v>7</v>
      </c>
      <c r="G450">
        <v>0</v>
      </c>
      <c r="H450" t="s">
        <v>19447</v>
      </c>
      <c r="I450" t="s">
        <v>19447</v>
      </c>
      <c r="J450">
        <v>14</v>
      </c>
      <c r="L450" t="s">
        <v>2709</v>
      </c>
      <c r="M450">
        <v>4049000</v>
      </c>
      <c r="O450" t="s">
        <v>19915</v>
      </c>
      <c r="P450" t="s">
        <v>19908</v>
      </c>
      <c r="Q450" t="s">
        <v>19900</v>
      </c>
      <c r="R450" t="s">
        <v>19447</v>
      </c>
      <c r="S450" t="s">
        <v>19447</v>
      </c>
      <c r="T450" t="s">
        <v>19911</v>
      </c>
      <c r="W450" s="50">
        <v>30066000</v>
      </c>
      <c r="X450" s="50">
        <f>VLOOKUP(PISCOFINS!$W450,PISCOFINS!$C$3:$J$10518,7,0)</f>
        <v>2.1</v>
      </c>
    </row>
    <row r="451" spans="2:24" x14ac:dyDescent="0.25">
      <c r="B451" t="s">
        <v>2709</v>
      </c>
      <c r="C451">
        <v>4049000</v>
      </c>
      <c r="D451">
        <v>1</v>
      </c>
      <c r="E451" t="s">
        <v>19447</v>
      </c>
      <c r="F451">
        <v>18</v>
      </c>
      <c r="G451">
        <v>0</v>
      </c>
      <c r="H451">
        <v>7.6</v>
      </c>
      <c r="I451">
        <v>1.65</v>
      </c>
      <c r="J451">
        <v>14</v>
      </c>
      <c r="L451" t="s">
        <v>2709</v>
      </c>
      <c r="M451">
        <v>4049000</v>
      </c>
      <c r="N451">
        <v>1</v>
      </c>
      <c r="O451" t="s">
        <v>19447</v>
      </c>
      <c r="P451" t="s">
        <v>19899</v>
      </c>
      <c r="Q451" t="s">
        <v>19900</v>
      </c>
      <c r="R451" t="s">
        <v>19905</v>
      </c>
      <c r="S451" t="s">
        <v>19906</v>
      </c>
      <c r="T451" t="s">
        <v>19911</v>
      </c>
      <c r="W451" s="49">
        <v>30066000</v>
      </c>
      <c r="X451" s="50">
        <f>VLOOKUP(PISCOFINS!$W451,PISCOFINS!$C$3:$J$10518,7,0)</f>
        <v>2.1</v>
      </c>
    </row>
    <row r="452" spans="2:24" x14ac:dyDescent="0.25">
      <c r="B452" t="s">
        <v>2709</v>
      </c>
      <c r="C452">
        <v>4051000</v>
      </c>
      <c r="E452">
        <v>38.090000000000003</v>
      </c>
      <c r="F452">
        <v>7</v>
      </c>
      <c r="G452">
        <v>0</v>
      </c>
      <c r="H452" t="s">
        <v>19447</v>
      </c>
      <c r="I452" t="s">
        <v>19447</v>
      </c>
      <c r="J452">
        <v>16</v>
      </c>
      <c r="L452" t="s">
        <v>2709</v>
      </c>
      <c r="M452">
        <v>4051000</v>
      </c>
      <c r="O452" t="s">
        <v>19916</v>
      </c>
      <c r="P452" t="s">
        <v>19908</v>
      </c>
      <c r="Q452" t="s">
        <v>19900</v>
      </c>
      <c r="R452" t="s">
        <v>19447</v>
      </c>
      <c r="S452" t="s">
        <v>19447</v>
      </c>
      <c r="T452" t="s">
        <v>19913</v>
      </c>
      <c r="W452" s="50">
        <v>30066000</v>
      </c>
      <c r="X452" s="50">
        <f>VLOOKUP(PISCOFINS!$W452,PISCOFINS!$C$3:$J$10518,7,0)</f>
        <v>2.1</v>
      </c>
    </row>
    <row r="453" spans="2:24" x14ac:dyDescent="0.25">
      <c r="B453" t="s">
        <v>2709</v>
      </c>
      <c r="C453">
        <v>4052000</v>
      </c>
      <c r="E453">
        <v>38.090000000000003</v>
      </c>
      <c r="F453">
        <v>7</v>
      </c>
      <c r="G453">
        <v>0</v>
      </c>
      <c r="H453" t="s">
        <v>19447</v>
      </c>
      <c r="I453" t="s">
        <v>19447</v>
      </c>
      <c r="J453">
        <v>16</v>
      </c>
      <c r="L453" t="s">
        <v>2709</v>
      </c>
      <c r="M453">
        <v>4052000</v>
      </c>
      <c r="O453" t="s">
        <v>19916</v>
      </c>
      <c r="P453" t="s">
        <v>19908</v>
      </c>
      <c r="Q453" t="s">
        <v>19900</v>
      </c>
      <c r="R453" t="s">
        <v>19447</v>
      </c>
      <c r="S453" t="s">
        <v>19447</v>
      </c>
      <c r="T453" t="s">
        <v>19913</v>
      </c>
      <c r="W453" s="49">
        <v>30066000</v>
      </c>
      <c r="X453" s="50">
        <f>VLOOKUP(PISCOFINS!$W453,PISCOFINS!$C$3:$J$10518,7,0)</f>
        <v>2.1</v>
      </c>
    </row>
    <row r="454" spans="2:24" x14ac:dyDescent="0.25">
      <c r="B454" t="s">
        <v>2709</v>
      </c>
      <c r="C454">
        <v>4059010</v>
      </c>
      <c r="E454">
        <v>38.090000000000003</v>
      </c>
      <c r="F454">
        <v>7</v>
      </c>
      <c r="G454">
        <v>0</v>
      </c>
      <c r="H454" t="s">
        <v>19447</v>
      </c>
      <c r="I454" t="s">
        <v>19447</v>
      </c>
      <c r="J454">
        <v>16</v>
      </c>
      <c r="L454" t="s">
        <v>2709</v>
      </c>
      <c r="M454">
        <v>4059010</v>
      </c>
      <c r="O454" t="s">
        <v>19916</v>
      </c>
      <c r="P454" t="s">
        <v>19908</v>
      </c>
      <c r="Q454" t="s">
        <v>19900</v>
      </c>
      <c r="R454" t="s">
        <v>19447</v>
      </c>
      <c r="S454" t="s">
        <v>19447</v>
      </c>
      <c r="T454" t="s">
        <v>19913</v>
      </c>
      <c r="W454" s="50">
        <v>30066000</v>
      </c>
      <c r="X454" s="50">
        <f>VLOOKUP(PISCOFINS!$W454,PISCOFINS!$C$3:$J$10518,7,0)</f>
        <v>2.1</v>
      </c>
    </row>
    <row r="455" spans="2:24" x14ac:dyDescent="0.25">
      <c r="B455" t="s">
        <v>2709</v>
      </c>
      <c r="C455">
        <v>4059090</v>
      </c>
      <c r="E455">
        <v>38.090000000000003</v>
      </c>
      <c r="F455">
        <v>7</v>
      </c>
      <c r="G455">
        <v>0</v>
      </c>
      <c r="H455" t="s">
        <v>19447</v>
      </c>
      <c r="I455" t="s">
        <v>19447</v>
      </c>
      <c r="J455">
        <v>16</v>
      </c>
      <c r="L455" t="s">
        <v>2709</v>
      </c>
      <c r="M455">
        <v>4059090</v>
      </c>
      <c r="O455" t="s">
        <v>19916</v>
      </c>
      <c r="P455" t="s">
        <v>19908</v>
      </c>
      <c r="Q455" t="s">
        <v>19900</v>
      </c>
      <c r="R455" t="s">
        <v>19447</v>
      </c>
      <c r="S455" t="s">
        <v>19447</v>
      </c>
      <c r="T455" t="s">
        <v>19913</v>
      </c>
      <c r="W455" s="49">
        <v>30066000</v>
      </c>
      <c r="X455" s="50">
        <f>VLOOKUP(PISCOFINS!$W455,PISCOFINS!$C$3:$J$10518,7,0)</f>
        <v>2.1</v>
      </c>
    </row>
    <row r="456" spans="2:24" x14ac:dyDescent="0.25">
      <c r="B456" t="s">
        <v>2709</v>
      </c>
      <c r="C456">
        <v>4061010</v>
      </c>
      <c r="E456">
        <v>42.17</v>
      </c>
      <c r="F456">
        <v>12</v>
      </c>
      <c r="G456">
        <v>0</v>
      </c>
      <c r="H456" t="s">
        <v>19447</v>
      </c>
      <c r="I456" t="s">
        <v>19447</v>
      </c>
      <c r="J456">
        <v>28</v>
      </c>
      <c r="L456" t="s">
        <v>2709</v>
      </c>
      <c r="M456">
        <v>4061010</v>
      </c>
      <c r="O456" t="s">
        <v>19915</v>
      </c>
      <c r="P456" t="s">
        <v>19903</v>
      </c>
      <c r="Q456" t="s">
        <v>19900</v>
      </c>
      <c r="R456" t="s">
        <v>19447</v>
      </c>
      <c r="S456" t="s">
        <v>19447</v>
      </c>
      <c r="T456" t="s">
        <v>19912</v>
      </c>
      <c r="W456" s="50">
        <v>30066000</v>
      </c>
      <c r="X456" s="50">
        <f>VLOOKUP(PISCOFINS!$W456,PISCOFINS!$C$3:$J$10518,7,0)</f>
        <v>2.1</v>
      </c>
    </row>
    <row r="457" spans="2:24" x14ac:dyDescent="0.25">
      <c r="B457" t="s">
        <v>2709</v>
      </c>
      <c r="C457">
        <v>4061090</v>
      </c>
      <c r="E457">
        <v>42.17</v>
      </c>
      <c r="F457">
        <v>12</v>
      </c>
      <c r="G457">
        <v>0</v>
      </c>
      <c r="H457" t="s">
        <v>19447</v>
      </c>
      <c r="I457" t="s">
        <v>19447</v>
      </c>
      <c r="J457">
        <v>16</v>
      </c>
      <c r="L457" t="s">
        <v>2709</v>
      </c>
      <c r="M457">
        <v>4061090</v>
      </c>
      <c r="O457" t="s">
        <v>19915</v>
      </c>
      <c r="P457" t="s">
        <v>19903</v>
      </c>
      <c r="Q457" t="s">
        <v>19900</v>
      </c>
      <c r="R457" t="s">
        <v>19447</v>
      </c>
      <c r="S457" t="s">
        <v>19447</v>
      </c>
      <c r="T457" t="s">
        <v>19913</v>
      </c>
      <c r="W457" s="49">
        <v>30051010</v>
      </c>
      <c r="X457" s="50">
        <f>VLOOKUP(PISCOFINS!$W457,PISCOFINS!$C$3:$J$10518,7,0)</f>
        <v>2.1</v>
      </c>
    </row>
    <row r="458" spans="2:24" x14ac:dyDescent="0.25">
      <c r="B458" t="s">
        <v>2709</v>
      </c>
      <c r="C458">
        <v>4062000</v>
      </c>
      <c r="E458">
        <v>42.17</v>
      </c>
      <c r="F458">
        <v>12</v>
      </c>
      <c r="G458">
        <v>0</v>
      </c>
      <c r="H458" t="s">
        <v>19447</v>
      </c>
      <c r="I458" t="s">
        <v>19447</v>
      </c>
      <c r="J458">
        <v>16</v>
      </c>
      <c r="L458" t="s">
        <v>2709</v>
      </c>
      <c r="M458">
        <v>4062000</v>
      </c>
      <c r="O458" t="s">
        <v>19915</v>
      </c>
      <c r="P458" t="s">
        <v>19903</v>
      </c>
      <c r="Q458" t="s">
        <v>19900</v>
      </c>
      <c r="R458" t="s">
        <v>19447</v>
      </c>
      <c r="S458" t="s">
        <v>19447</v>
      </c>
      <c r="T458" t="s">
        <v>19913</v>
      </c>
      <c r="W458" s="50">
        <v>30051010</v>
      </c>
      <c r="X458" s="50">
        <f>VLOOKUP(PISCOFINS!$W458,PISCOFINS!$C$3:$J$10518,7,0)</f>
        <v>2.1</v>
      </c>
    </row>
    <row r="459" spans="2:24" x14ac:dyDescent="0.25">
      <c r="B459" t="s">
        <v>2709</v>
      </c>
      <c r="C459">
        <v>4063000</v>
      </c>
      <c r="E459">
        <v>42.17</v>
      </c>
      <c r="F459">
        <v>7</v>
      </c>
      <c r="G459">
        <v>0</v>
      </c>
      <c r="H459" t="s">
        <v>19447</v>
      </c>
      <c r="I459" t="s">
        <v>19447</v>
      </c>
      <c r="J459">
        <v>16</v>
      </c>
      <c r="L459" t="s">
        <v>2709</v>
      </c>
      <c r="M459">
        <v>4063000</v>
      </c>
      <c r="O459" t="s">
        <v>19915</v>
      </c>
      <c r="P459" t="s">
        <v>19908</v>
      </c>
      <c r="Q459" t="s">
        <v>19900</v>
      </c>
      <c r="R459" t="s">
        <v>19447</v>
      </c>
      <c r="S459" t="s">
        <v>19447</v>
      </c>
      <c r="T459" t="s">
        <v>19913</v>
      </c>
      <c r="W459" s="49">
        <v>30051010</v>
      </c>
      <c r="X459" s="50">
        <f>VLOOKUP(PISCOFINS!$W459,PISCOFINS!$C$3:$J$10518,7,0)</f>
        <v>2.1</v>
      </c>
    </row>
    <row r="460" spans="2:24" x14ac:dyDescent="0.25">
      <c r="B460" t="s">
        <v>2709</v>
      </c>
      <c r="C460">
        <v>4064000</v>
      </c>
      <c r="E460">
        <v>42.17</v>
      </c>
      <c r="F460">
        <v>7</v>
      </c>
      <c r="G460">
        <v>0</v>
      </c>
      <c r="H460" t="s">
        <v>19447</v>
      </c>
      <c r="I460" t="s">
        <v>19447</v>
      </c>
      <c r="J460">
        <v>16</v>
      </c>
      <c r="L460" t="s">
        <v>2709</v>
      </c>
      <c r="M460">
        <v>4064000</v>
      </c>
      <c r="O460" t="s">
        <v>19915</v>
      </c>
      <c r="P460" t="s">
        <v>19908</v>
      </c>
      <c r="Q460" t="s">
        <v>19900</v>
      </c>
      <c r="R460" t="s">
        <v>19447</v>
      </c>
      <c r="S460" t="s">
        <v>19447</v>
      </c>
      <c r="T460" t="s">
        <v>19913</v>
      </c>
      <c r="W460" s="50">
        <v>30051010</v>
      </c>
      <c r="X460" s="50">
        <f>VLOOKUP(PISCOFINS!$W460,PISCOFINS!$C$3:$J$10518,7,0)</f>
        <v>2.1</v>
      </c>
    </row>
    <row r="461" spans="2:24" x14ac:dyDescent="0.25">
      <c r="B461" t="s">
        <v>2709</v>
      </c>
      <c r="C461">
        <v>4069010</v>
      </c>
      <c r="E461">
        <v>42.17</v>
      </c>
      <c r="F461">
        <v>7</v>
      </c>
      <c r="G461">
        <v>0</v>
      </c>
      <c r="H461" t="s">
        <v>19447</v>
      </c>
      <c r="I461" t="s">
        <v>19447</v>
      </c>
      <c r="J461">
        <v>28</v>
      </c>
      <c r="L461" t="s">
        <v>2709</v>
      </c>
      <c r="M461">
        <v>4069010</v>
      </c>
      <c r="O461" t="s">
        <v>19915</v>
      </c>
      <c r="P461" t="s">
        <v>19908</v>
      </c>
      <c r="Q461" t="s">
        <v>19900</v>
      </c>
      <c r="R461" t="s">
        <v>19447</v>
      </c>
      <c r="S461" t="s">
        <v>19447</v>
      </c>
      <c r="T461" t="s">
        <v>19912</v>
      </c>
    </row>
    <row r="462" spans="2:24" x14ac:dyDescent="0.25">
      <c r="B462" t="s">
        <v>2709</v>
      </c>
      <c r="C462">
        <v>4069020</v>
      </c>
      <c r="E462">
        <v>42.17</v>
      </c>
      <c r="F462">
        <v>12</v>
      </c>
      <c r="G462">
        <v>0</v>
      </c>
      <c r="H462" t="s">
        <v>19447</v>
      </c>
      <c r="I462" t="s">
        <v>19447</v>
      </c>
      <c r="J462">
        <v>28</v>
      </c>
      <c r="L462" t="s">
        <v>2709</v>
      </c>
      <c r="M462">
        <v>4069020</v>
      </c>
      <c r="O462" t="s">
        <v>19915</v>
      </c>
      <c r="P462" t="s">
        <v>19903</v>
      </c>
      <c r="Q462" t="s">
        <v>19900</v>
      </c>
      <c r="R462" t="s">
        <v>19447</v>
      </c>
      <c r="S462" t="s">
        <v>19447</v>
      </c>
      <c r="T462" t="s">
        <v>19912</v>
      </c>
    </row>
    <row r="463" spans="2:24" x14ac:dyDescent="0.25">
      <c r="B463" t="s">
        <v>2709</v>
      </c>
      <c r="C463">
        <v>4069030</v>
      </c>
      <c r="E463">
        <v>42.17</v>
      </c>
      <c r="F463">
        <v>12</v>
      </c>
      <c r="G463">
        <v>0</v>
      </c>
      <c r="H463" t="s">
        <v>19447</v>
      </c>
      <c r="I463" t="s">
        <v>19447</v>
      </c>
      <c r="J463">
        <v>16</v>
      </c>
      <c r="L463" t="s">
        <v>2709</v>
      </c>
      <c r="M463">
        <v>4069030</v>
      </c>
      <c r="O463" t="s">
        <v>19915</v>
      </c>
      <c r="P463" t="s">
        <v>19903</v>
      </c>
      <c r="Q463" t="s">
        <v>19900</v>
      </c>
      <c r="R463" t="s">
        <v>19447</v>
      </c>
      <c r="S463" t="s">
        <v>19447</v>
      </c>
      <c r="T463" t="s">
        <v>19913</v>
      </c>
    </row>
    <row r="464" spans="2:24" x14ac:dyDescent="0.25">
      <c r="B464" t="s">
        <v>2709</v>
      </c>
      <c r="C464">
        <v>4069090</v>
      </c>
      <c r="E464">
        <v>42.17</v>
      </c>
      <c r="F464">
        <v>7</v>
      </c>
      <c r="G464">
        <v>0</v>
      </c>
      <c r="H464" t="s">
        <v>19447</v>
      </c>
      <c r="I464" t="s">
        <v>19447</v>
      </c>
      <c r="J464">
        <v>16</v>
      </c>
      <c r="L464" t="s">
        <v>2709</v>
      </c>
      <c r="M464">
        <v>4069090</v>
      </c>
      <c r="O464" t="s">
        <v>19915</v>
      </c>
      <c r="P464" t="s">
        <v>19908</v>
      </c>
      <c r="Q464" t="s">
        <v>19900</v>
      </c>
      <c r="R464" t="s">
        <v>19447</v>
      </c>
      <c r="S464" t="s">
        <v>19447</v>
      </c>
      <c r="T464" t="s">
        <v>19913</v>
      </c>
    </row>
    <row r="465" spans="2:20" x14ac:dyDescent="0.25">
      <c r="B465" t="s">
        <v>2709</v>
      </c>
      <c r="C465">
        <v>4071100</v>
      </c>
      <c r="E465">
        <v>18.75</v>
      </c>
      <c r="F465">
        <v>7</v>
      </c>
      <c r="G465">
        <v>0</v>
      </c>
      <c r="H465" t="s">
        <v>19447</v>
      </c>
      <c r="I465" t="s">
        <v>19447</v>
      </c>
      <c r="J465">
        <v>0</v>
      </c>
      <c r="L465" t="s">
        <v>2709</v>
      </c>
      <c r="M465">
        <v>4071100</v>
      </c>
      <c r="O465" t="s">
        <v>19917</v>
      </c>
      <c r="P465" t="s">
        <v>19908</v>
      </c>
      <c r="Q465" t="s">
        <v>19900</v>
      </c>
      <c r="R465" t="s">
        <v>19447</v>
      </c>
      <c r="S465" t="s">
        <v>19447</v>
      </c>
      <c r="T465" t="s">
        <v>19900</v>
      </c>
    </row>
    <row r="466" spans="2:20" x14ac:dyDescent="0.25">
      <c r="B466" t="s">
        <v>2709</v>
      </c>
      <c r="C466">
        <v>4071900</v>
      </c>
      <c r="E466">
        <v>18.75</v>
      </c>
      <c r="F466">
        <v>7</v>
      </c>
      <c r="G466">
        <v>0</v>
      </c>
      <c r="H466" t="s">
        <v>19447</v>
      </c>
      <c r="I466" t="s">
        <v>19447</v>
      </c>
      <c r="J466">
        <v>0</v>
      </c>
      <c r="L466" t="s">
        <v>2709</v>
      </c>
      <c r="M466">
        <v>4071900</v>
      </c>
      <c r="O466" t="s">
        <v>19917</v>
      </c>
      <c r="P466" t="s">
        <v>19908</v>
      </c>
      <c r="Q466" t="s">
        <v>19900</v>
      </c>
      <c r="R466" t="s">
        <v>19447</v>
      </c>
      <c r="S466" t="s">
        <v>19447</v>
      </c>
      <c r="T466" t="s">
        <v>19900</v>
      </c>
    </row>
    <row r="467" spans="2:20" x14ac:dyDescent="0.25">
      <c r="B467" t="s">
        <v>2709</v>
      </c>
      <c r="C467">
        <v>4072100</v>
      </c>
      <c r="E467">
        <v>18.75</v>
      </c>
      <c r="F467">
        <v>7</v>
      </c>
      <c r="G467">
        <v>0</v>
      </c>
      <c r="H467" t="s">
        <v>19447</v>
      </c>
      <c r="I467" t="s">
        <v>19447</v>
      </c>
      <c r="J467">
        <v>8</v>
      </c>
      <c r="L467" t="s">
        <v>2709</v>
      </c>
      <c r="M467">
        <v>4072100</v>
      </c>
      <c r="O467" t="s">
        <v>19917</v>
      </c>
      <c r="P467" t="s">
        <v>19908</v>
      </c>
      <c r="Q467" t="s">
        <v>19900</v>
      </c>
      <c r="R467" t="s">
        <v>19447</v>
      </c>
      <c r="S467" t="s">
        <v>19447</v>
      </c>
      <c r="T467" t="s">
        <v>19918</v>
      </c>
    </row>
    <row r="468" spans="2:20" x14ac:dyDescent="0.25">
      <c r="B468" t="s">
        <v>2709</v>
      </c>
      <c r="C468">
        <v>4072900</v>
      </c>
      <c r="E468">
        <v>18.75</v>
      </c>
      <c r="F468">
        <v>7</v>
      </c>
      <c r="G468">
        <v>0</v>
      </c>
      <c r="H468" t="s">
        <v>19447</v>
      </c>
      <c r="I468" t="s">
        <v>19447</v>
      </c>
      <c r="J468">
        <v>8</v>
      </c>
      <c r="L468" t="s">
        <v>2709</v>
      </c>
      <c r="M468">
        <v>4072900</v>
      </c>
      <c r="O468" t="s">
        <v>19917</v>
      </c>
      <c r="P468" t="s">
        <v>19908</v>
      </c>
      <c r="Q468" t="s">
        <v>19900</v>
      </c>
      <c r="R468" t="s">
        <v>19447</v>
      </c>
      <c r="S468" t="s">
        <v>19447</v>
      </c>
      <c r="T468" t="s">
        <v>19918</v>
      </c>
    </row>
    <row r="469" spans="2:20" x14ac:dyDescent="0.25">
      <c r="B469" t="s">
        <v>2709</v>
      </c>
      <c r="C469">
        <v>4079000</v>
      </c>
      <c r="E469">
        <v>18.75</v>
      </c>
      <c r="F469">
        <v>7</v>
      </c>
      <c r="G469">
        <v>0</v>
      </c>
      <c r="H469" t="s">
        <v>19447</v>
      </c>
      <c r="I469" t="s">
        <v>19447</v>
      </c>
      <c r="J469">
        <v>8</v>
      </c>
      <c r="L469" t="s">
        <v>2709</v>
      </c>
      <c r="M469">
        <v>4079000</v>
      </c>
      <c r="O469" t="s">
        <v>19917</v>
      </c>
      <c r="P469" t="s">
        <v>19908</v>
      </c>
      <c r="Q469" t="s">
        <v>19900</v>
      </c>
      <c r="R469" t="s">
        <v>19447</v>
      </c>
      <c r="S469" t="s">
        <v>19447</v>
      </c>
      <c r="T469" t="s">
        <v>19918</v>
      </c>
    </row>
    <row r="470" spans="2:20" x14ac:dyDescent="0.25">
      <c r="B470" t="s">
        <v>2709</v>
      </c>
      <c r="C470">
        <v>4081100</v>
      </c>
      <c r="E470">
        <v>18.75</v>
      </c>
      <c r="F470">
        <v>7</v>
      </c>
      <c r="G470">
        <v>0</v>
      </c>
      <c r="H470" t="s">
        <v>19447</v>
      </c>
      <c r="I470" t="s">
        <v>19447</v>
      </c>
      <c r="J470">
        <v>10</v>
      </c>
      <c r="L470" t="s">
        <v>2709</v>
      </c>
      <c r="M470">
        <v>4081100</v>
      </c>
      <c r="O470" t="s">
        <v>19917</v>
      </c>
      <c r="P470" t="s">
        <v>19908</v>
      </c>
      <c r="Q470" t="s">
        <v>19900</v>
      </c>
      <c r="R470" t="s">
        <v>19447</v>
      </c>
      <c r="S470" t="s">
        <v>19447</v>
      </c>
      <c r="T470" t="s">
        <v>19904</v>
      </c>
    </row>
    <row r="471" spans="2:20" x14ac:dyDescent="0.25">
      <c r="B471" t="s">
        <v>2709</v>
      </c>
      <c r="C471">
        <v>4081900</v>
      </c>
      <c r="E471">
        <v>18.75</v>
      </c>
      <c r="F471">
        <v>7</v>
      </c>
      <c r="G471">
        <v>0</v>
      </c>
      <c r="H471" t="s">
        <v>19447</v>
      </c>
      <c r="I471" t="s">
        <v>19447</v>
      </c>
      <c r="J471">
        <v>10</v>
      </c>
      <c r="L471" t="s">
        <v>2709</v>
      </c>
      <c r="M471">
        <v>4081900</v>
      </c>
      <c r="O471" t="s">
        <v>19917</v>
      </c>
      <c r="P471" t="s">
        <v>19908</v>
      </c>
      <c r="Q471" t="s">
        <v>19900</v>
      </c>
      <c r="R471" t="s">
        <v>19447</v>
      </c>
      <c r="S471" t="s">
        <v>19447</v>
      </c>
      <c r="T471" t="s">
        <v>19904</v>
      </c>
    </row>
    <row r="472" spans="2:20" x14ac:dyDescent="0.25">
      <c r="B472" t="s">
        <v>2709</v>
      </c>
      <c r="C472">
        <v>4081900</v>
      </c>
      <c r="D472">
        <v>1</v>
      </c>
      <c r="E472" t="s">
        <v>19447</v>
      </c>
      <c r="F472">
        <v>18</v>
      </c>
      <c r="G472">
        <v>0</v>
      </c>
      <c r="H472">
        <v>7.6</v>
      </c>
      <c r="I472">
        <v>1.65</v>
      </c>
      <c r="J472">
        <v>10</v>
      </c>
      <c r="L472" t="s">
        <v>2709</v>
      </c>
      <c r="M472">
        <v>4081900</v>
      </c>
      <c r="N472">
        <v>1</v>
      </c>
      <c r="O472" t="s">
        <v>19447</v>
      </c>
      <c r="P472" t="s">
        <v>19899</v>
      </c>
      <c r="Q472" t="s">
        <v>19900</v>
      </c>
      <c r="R472" t="s">
        <v>19905</v>
      </c>
      <c r="S472" t="s">
        <v>19906</v>
      </c>
      <c r="T472" t="s">
        <v>19904</v>
      </c>
    </row>
    <row r="473" spans="2:20" x14ac:dyDescent="0.25">
      <c r="B473" t="s">
        <v>2709</v>
      </c>
      <c r="C473">
        <v>4089100</v>
      </c>
      <c r="E473">
        <v>18.75</v>
      </c>
      <c r="F473">
        <v>7</v>
      </c>
      <c r="G473">
        <v>0</v>
      </c>
      <c r="H473" t="s">
        <v>19447</v>
      </c>
      <c r="I473" t="s">
        <v>19447</v>
      </c>
      <c r="J473">
        <v>10</v>
      </c>
      <c r="L473" t="s">
        <v>2709</v>
      </c>
      <c r="M473">
        <v>4089100</v>
      </c>
      <c r="O473" t="s">
        <v>19917</v>
      </c>
      <c r="P473" t="s">
        <v>19908</v>
      </c>
      <c r="Q473" t="s">
        <v>19900</v>
      </c>
      <c r="R473" t="s">
        <v>19447</v>
      </c>
      <c r="S473" t="s">
        <v>19447</v>
      </c>
      <c r="T473" t="s">
        <v>19904</v>
      </c>
    </row>
    <row r="474" spans="2:20" x14ac:dyDescent="0.25">
      <c r="B474" t="s">
        <v>2709</v>
      </c>
      <c r="C474">
        <v>4089900</v>
      </c>
      <c r="E474">
        <v>18.75</v>
      </c>
      <c r="F474">
        <v>7</v>
      </c>
      <c r="G474">
        <v>0</v>
      </c>
      <c r="H474" t="s">
        <v>19447</v>
      </c>
      <c r="I474" t="s">
        <v>19447</v>
      </c>
      <c r="J474">
        <v>10</v>
      </c>
      <c r="L474" t="s">
        <v>2709</v>
      </c>
      <c r="M474">
        <v>4089900</v>
      </c>
      <c r="O474" t="s">
        <v>19917</v>
      </c>
      <c r="P474" t="s">
        <v>19908</v>
      </c>
      <c r="Q474" t="s">
        <v>19900</v>
      </c>
      <c r="R474" t="s">
        <v>19447</v>
      </c>
      <c r="S474" t="s">
        <v>19447</v>
      </c>
      <c r="T474" t="s">
        <v>19904</v>
      </c>
    </row>
    <row r="475" spans="2:20" x14ac:dyDescent="0.25">
      <c r="B475" t="s">
        <v>2709</v>
      </c>
      <c r="C475">
        <v>4089900</v>
      </c>
      <c r="D475">
        <v>1</v>
      </c>
      <c r="E475" t="s">
        <v>19447</v>
      </c>
      <c r="F475">
        <v>18</v>
      </c>
      <c r="G475">
        <v>0</v>
      </c>
      <c r="H475">
        <v>7.6</v>
      </c>
      <c r="I475">
        <v>1.65</v>
      </c>
      <c r="J475">
        <v>10</v>
      </c>
      <c r="L475" t="s">
        <v>2709</v>
      </c>
      <c r="M475">
        <v>4089900</v>
      </c>
      <c r="N475">
        <v>1</v>
      </c>
      <c r="O475" t="s">
        <v>19447</v>
      </c>
      <c r="P475" t="s">
        <v>19899</v>
      </c>
      <c r="Q475" t="s">
        <v>19900</v>
      </c>
      <c r="R475" t="s">
        <v>19905</v>
      </c>
      <c r="S475" t="s">
        <v>19906</v>
      </c>
      <c r="T475" t="s">
        <v>19904</v>
      </c>
    </row>
    <row r="476" spans="2:20" x14ac:dyDescent="0.25">
      <c r="B476" t="s">
        <v>2709</v>
      </c>
      <c r="C476">
        <v>4090000</v>
      </c>
      <c r="E476">
        <v>18.75</v>
      </c>
      <c r="F476">
        <v>7</v>
      </c>
      <c r="G476">
        <v>0</v>
      </c>
      <c r="H476" t="s">
        <v>19447</v>
      </c>
      <c r="I476" t="s">
        <v>19447</v>
      </c>
      <c r="J476">
        <v>16</v>
      </c>
      <c r="L476" t="s">
        <v>2709</v>
      </c>
      <c r="M476">
        <v>4090000</v>
      </c>
      <c r="O476" t="s">
        <v>19917</v>
      </c>
      <c r="P476" t="s">
        <v>19908</v>
      </c>
      <c r="Q476" t="s">
        <v>19900</v>
      </c>
      <c r="R476" t="s">
        <v>19447</v>
      </c>
      <c r="S476" t="s">
        <v>19447</v>
      </c>
      <c r="T476" t="s">
        <v>19913</v>
      </c>
    </row>
    <row r="477" spans="2:20" x14ac:dyDescent="0.25">
      <c r="B477" t="s">
        <v>2709</v>
      </c>
      <c r="C477">
        <v>4090000</v>
      </c>
      <c r="D477">
        <v>1</v>
      </c>
      <c r="E477" t="s">
        <v>19447</v>
      </c>
      <c r="F477">
        <v>18</v>
      </c>
      <c r="G477">
        <v>0</v>
      </c>
      <c r="H477">
        <v>7.6</v>
      </c>
      <c r="I477">
        <v>1.65</v>
      </c>
      <c r="J477">
        <v>16</v>
      </c>
      <c r="L477" t="s">
        <v>2709</v>
      </c>
      <c r="M477">
        <v>4090000</v>
      </c>
      <c r="N477">
        <v>1</v>
      </c>
      <c r="O477" t="s">
        <v>19447</v>
      </c>
      <c r="P477" t="s">
        <v>19899</v>
      </c>
      <c r="Q477" t="s">
        <v>19900</v>
      </c>
      <c r="R477" t="s">
        <v>19905</v>
      </c>
      <c r="S477" t="s">
        <v>19906</v>
      </c>
      <c r="T477" t="s">
        <v>19913</v>
      </c>
    </row>
    <row r="478" spans="2:20" x14ac:dyDescent="0.25">
      <c r="B478" t="s">
        <v>2709</v>
      </c>
      <c r="C478">
        <v>4100000</v>
      </c>
      <c r="E478">
        <v>18.75</v>
      </c>
      <c r="F478">
        <v>7</v>
      </c>
      <c r="G478">
        <v>0</v>
      </c>
      <c r="H478" t="s">
        <v>19447</v>
      </c>
      <c r="I478" t="s">
        <v>19447</v>
      </c>
      <c r="J478">
        <v>14</v>
      </c>
      <c r="L478" t="s">
        <v>2709</v>
      </c>
      <c r="M478">
        <v>4100000</v>
      </c>
      <c r="O478" t="s">
        <v>19917</v>
      </c>
      <c r="P478" t="s">
        <v>19908</v>
      </c>
      <c r="Q478" t="s">
        <v>19900</v>
      </c>
      <c r="R478" t="s">
        <v>19447</v>
      </c>
      <c r="S478" t="s">
        <v>19447</v>
      </c>
      <c r="T478" t="s">
        <v>19911</v>
      </c>
    </row>
    <row r="479" spans="2:20" x14ac:dyDescent="0.25">
      <c r="B479" t="s">
        <v>2709</v>
      </c>
      <c r="C479">
        <v>5010000</v>
      </c>
      <c r="E479" t="s">
        <v>19447</v>
      </c>
      <c r="F479">
        <v>18</v>
      </c>
      <c r="G479">
        <v>0</v>
      </c>
      <c r="H479">
        <v>7.6</v>
      </c>
      <c r="I479">
        <v>1.65</v>
      </c>
      <c r="J479">
        <v>8</v>
      </c>
      <c r="L479" t="s">
        <v>2709</v>
      </c>
      <c r="M479">
        <v>5010000</v>
      </c>
      <c r="O479" t="s">
        <v>19447</v>
      </c>
      <c r="P479" t="s">
        <v>19899</v>
      </c>
      <c r="Q479" t="s">
        <v>19900</v>
      </c>
      <c r="R479" t="s">
        <v>19905</v>
      </c>
      <c r="S479" t="s">
        <v>19906</v>
      </c>
      <c r="T479" t="s">
        <v>19918</v>
      </c>
    </row>
    <row r="480" spans="2:20" x14ac:dyDescent="0.25">
      <c r="B480" t="s">
        <v>2709</v>
      </c>
      <c r="C480">
        <v>5021011</v>
      </c>
      <c r="E480" t="s">
        <v>19447</v>
      </c>
      <c r="F480">
        <v>18</v>
      </c>
      <c r="G480">
        <v>0</v>
      </c>
      <c r="H480">
        <v>7.6</v>
      </c>
      <c r="I480">
        <v>1.65</v>
      </c>
      <c r="J480">
        <v>8</v>
      </c>
      <c r="L480" t="s">
        <v>2709</v>
      </c>
      <c r="M480">
        <v>5021011</v>
      </c>
      <c r="O480" t="s">
        <v>19447</v>
      </c>
      <c r="P480" t="s">
        <v>19899</v>
      </c>
      <c r="Q480" t="s">
        <v>19900</v>
      </c>
      <c r="R480" t="s">
        <v>19905</v>
      </c>
      <c r="S480" t="s">
        <v>19906</v>
      </c>
      <c r="T480" t="s">
        <v>19918</v>
      </c>
    </row>
    <row r="481" spans="2:20" x14ac:dyDescent="0.25">
      <c r="B481" t="s">
        <v>2709</v>
      </c>
      <c r="C481">
        <v>5021019</v>
      </c>
      <c r="E481" t="s">
        <v>19447</v>
      </c>
      <c r="F481">
        <v>18</v>
      </c>
      <c r="G481">
        <v>0</v>
      </c>
      <c r="H481">
        <v>7.6</v>
      </c>
      <c r="I481">
        <v>1.65</v>
      </c>
      <c r="J481">
        <v>8</v>
      </c>
      <c r="L481" t="s">
        <v>2709</v>
      </c>
      <c r="M481">
        <v>5021019</v>
      </c>
      <c r="O481" t="s">
        <v>19447</v>
      </c>
      <c r="P481" t="s">
        <v>19899</v>
      </c>
      <c r="Q481" t="s">
        <v>19900</v>
      </c>
      <c r="R481" t="s">
        <v>19905</v>
      </c>
      <c r="S481" t="s">
        <v>19906</v>
      </c>
      <c r="T481" t="s">
        <v>19918</v>
      </c>
    </row>
    <row r="482" spans="2:20" x14ac:dyDescent="0.25">
      <c r="B482" t="s">
        <v>2709</v>
      </c>
      <c r="C482">
        <v>5021090</v>
      </c>
      <c r="E482" t="s">
        <v>19447</v>
      </c>
      <c r="F482">
        <v>18</v>
      </c>
      <c r="G482">
        <v>0</v>
      </c>
      <c r="H482">
        <v>7.6</v>
      </c>
      <c r="I482">
        <v>1.65</v>
      </c>
      <c r="J482">
        <v>8</v>
      </c>
      <c r="L482" t="s">
        <v>2709</v>
      </c>
      <c r="M482">
        <v>5021090</v>
      </c>
      <c r="O482" t="s">
        <v>19447</v>
      </c>
      <c r="P482" t="s">
        <v>19899</v>
      </c>
      <c r="Q482" t="s">
        <v>19900</v>
      </c>
      <c r="R482" t="s">
        <v>19905</v>
      </c>
      <c r="S482" t="s">
        <v>19906</v>
      </c>
      <c r="T482" t="s">
        <v>19918</v>
      </c>
    </row>
    <row r="483" spans="2:20" x14ac:dyDescent="0.25">
      <c r="B483" t="s">
        <v>2709</v>
      </c>
      <c r="C483">
        <v>5029010</v>
      </c>
      <c r="E483" t="s">
        <v>19447</v>
      </c>
      <c r="F483">
        <v>18</v>
      </c>
      <c r="G483">
        <v>0</v>
      </c>
      <c r="H483">
        <v>7.6</v>
      </c>
      <c r="I483">
        <v>1.65</v>
      </c>
      <c r="J483">
        <v>8</v>
      </c>
      <c r="L483" t="s">
        <v>2709</v>
      </c>
      <c r="M483">
        <v>5029010</v>
      </c>
      <c r="O483" t="s">
        <v>19447</v>
      </c>
      <c r="P483" t="s">
        <v>19899</v>
      </c>
      <c r="Q483" t="s">
        <v>19900</v>
      </c>
      <c r="R483" t="s">
        <v>19905</v>
      </c>
      <c r="S483" t="s">
        <v>19906</v>
      </c>
      <c r="T483" t="s">
        <v>19918</v>
      </c>
    </row>
    <row r="484" spans="2:20" x14ac:dyDescent="0.25">
      <c r="B484" t="s">
        <v>2709</v>
      </c>
      <c r="C484">
        <v>5029020</v>
      </c>
      <c r="E484" t="s">
        <v>19447</v>
      </c>
      <c r="F484">
        <v>18</v>
      </c>
      <c r="G484">
        <v>0</v>
      </c>
      <c r="H484">
        <v>7.6</v>
      </c>
      <c r="I484">
        <v>1.65</v>
      </c>
      <c r="J484">
        <v>8</v>
      </c>
      <c r="L484" t="s">
        <v>2709</v>
      </c>
      <c r="M484">
        <v>5029020</v>
      </c>
      <c r="O484" t="s">
        <v>19447</v>
      </c>
      <c r="P484" t="s">
        <v>19899</v>
      </c>
      <c r="Q484" t="s">
        <v>19900</v>
      </c>
      <c r="R484" t="s">
        <v>19905</v>
      </c>
      <c r="S484" t="s">
        <v>19906</v>
      </c>
      <c r="T484" t="s">
        <v>19918</v>
      </c>
    </row>
    <row r="485" spans="2:20" x14ac:dyDescent="0.25">
      <c r="B485" t="s">
        <v>2709</v>
      </c>
      <c r="C485">
        <v>5040011</v>
      </c>
      <c r="E485">
        <v>0</v>
      </c>
      <c r="F485">
        <v>18</v>
      </c>
      <c r="G485">
        <v>0</v>
      </c>
      <c r="H485">
        <v>7.6</v>
      </c>
      <c r="I485">
        <v>1.65</v>
      </c>
      <c r="J485">
        <v>8</v>
      </c>
      <c r="L485" t="s">
        <v>2709</v>
      </c>
      <c r="M485">
        <v>5040011</v>
      </c>
      <c r="O485" t="s">
        <v>19900</v>
      </c>
      <c r="P485" t="s">
        <v>19899</v>
      </c>
      <c r="Q485" t="s">
        <v>19900</v>
      </c>
      <c r="R485" t="s">
        <v>19905</v>
      </c>
      <c r="S485" t="s">
        <v>19906</v>
      </c>
      <c r="T485" t="s">
        <v>19918</v>
      </c>
    </row>
    <row r="486" spans="2:20" x14ac:dyDescent="0.25">
      <c r="B486" t="s">
        <v>2709</v>
      </c>
      <c r="C486">
        <v>5040012</v>
      </c>
      <c r="E486">
        <v>0</v>
      </c>
      <c r="F486">
        <v>18</v>
      </c>
      <c r="G486">
        <v>0</v>
      </c>
      <c r="H486">
        <v>7.6</v>
      </c>
      <c r="I486">
        <v>1.65</v>
      </c>
      <c r="J486">
        <v>8</v>
      </c>
      <c r="L486" t="s">
        <v>2709</v>
      </c>
      <c r="M486">
        <v>5040012</v>
      </c>
      <c r="O486" t="s">
        <v>19900</v>
      </c>
      <c r="P486" t="s">
        <v>19899</v>
      </c>
      <c r="Q486" t="s">
        <v>19900</v>
      </c>
      <c r="R486" t="s">
        <v>19905</v>
      </c>
      <c r="S486" t="s">
        <v>19906</v>
      </c>
      <c r="T486" t="s">
        <v>19918</v>
      </c>
    </row>
    <row r="487" spans="2:20" x14ac:dyDescent="0.25">
      <c r="B487" t="s">
        <v>2709</v>
      </c>
      <c r="C487">
        <v>5040013</v>
      </c>
      <c r="E487">
        <v>0</v>
      </c>
      <c r="F487">
        <v>12</v>
      </c>
      <c r="G487">
        <v>0</v>
      </c>
      <c r="H487">
        <v>7.6</v>
      </c>
      <c r="I487">
        <v>1.65</v>
      </c>
      <c r="J487">
        <v>8</v>
      </c>
      <c r="L487" t="s">
        <v>2709</v>
      </c>
      <c r="M487">
        <v>5040013</v>
      </c>
      <c r="O487" t="s">
        <v>19900</v>
      </c>
      <c r="P487" t="s">
        <v>19903</v>
      </c>
      <c r="Q487" t="s">
        <v>19900</v>
      </c>
      <c r="R487" t="s">
        <v>19905</v>
      </c>
      <c r="S487" t="s">
        <v>19906</v>
      </c>
      <c r="T487" t="s">
        <v>19918</v>
      </c>
    </row>
    <row r="488" spans="2:20" x14ac:dyDescent="0.25">
      <c r="B488" t="s">
        <v>2709</v>
      </c>
      <c r="C488">
        <v>5040019</v>
      </c>
      <c r="E488">
        <v>0</v>
      </c>
      <c r="F488">
        <v>18</v>
      </c>
      <c r="G488">
        <v>0</v>
      </c>
      <c r="H488">
        <v>7.6</v>
      </c>
      <c r="I488">
        <v>1.65</v>
      </c>
      <c r="J488">
        <v>8</v>
      </c>
      <c r="L488" t="s">
        <v>2709</v>
      </c>
      <c r="M488">
        <v>5040019</v>
      </c>
      <c r="O488" t="s">
        <v>19900</v>
      </c>
      <c r="P488" t="s">
        <v>19899</v>
      </c>
      <c r="Q488" t="s">
        <v>19900</v>
      </c>
      <c r="R488" t="s">
        <v>19905</v>
      </c>
      <c r="S488" t="s">
        <v>19906</v>
      </c>
      <c r="T488" t="s">
        <v>19918</v>
      </c>
    </row>
    <row r="489" spans="2:20" x14ac:dyDescent="0.25">
      <c r="B489" t="s">
        <v>2709</v>
      </c>
      <c r="C489">
        <v>5040090</v>
      </c>
      <c r="E489">
        <v>0</v>
      </c>
      <c r="F489">
        <v>18</v>
      </c>
      <c r="G489">
        <v>0</v>
      </c>
      <c r="H489">
        <v>7.6</v>
      </c>
      <c r="I489">
        <v>1.65</v>
      </c>
      <c r="J489">
        <v>4</v>
      </c>
      <c r="L489" t="s">
        <v>2709</v>
      </c>
      <c r="M489">
        <v>5040090</v>
      </c>
      <c r="O489" t="s">
        <v>19900</v>
      </c>
      <c r="P489" t="s">
        <v>19899</v>
      </c>
      <c r="Q489" t="s">
        <v>19900</v>
      </c>
      <c r="R489" t="s">
        <v>19905</v>
      </c>
      <c r="S489" t="s">
        <v>19906</v>
      </c>
      <c r="T489" t="s">
        <v>19902</v>
      </c>
    </row>
    <row r="490" spans="2:20" x14ac:dyDescent="0.25">
      <c r="B490" t="s">
        <v>2709</v>
      </c>
      <c r="C490">
        <v>5051000</v>
      </c>
      <c r="E490" t="s">
        <v>19447</v>
      </c>
      <c r="F490">
        <v>18</v>
      </c>
      <c r="G490">
        <v>0</v>
      </c>
      <c r="H490">
        <v>7.6</v>
      </c>
      <c r="I490">
        <v>1.65</v>
      </c>
      <c r="J490">
        <v>8</v>
      </c>
      <c r="L490" t="s">
        <v>2709</v>
      </c>
      <c r="M490">
        <v>5051000</v>
      </c>
      <c r="O490" t="s">
        <v>19447</v>
      </c>
      <c r="P490" t="s">
        <v>19899</v>
      </c>
      <c r="Q490" t="s">
        <v>19900</v>
      </c>
      <c r="R490" t="s">
        <v>19905</v>
      </c>
      <c r="S490" t="s">
        <v>19906</v>
      </c>
      <c r="T490" t="s">
        <v>19918</v>
      </c>
    </row>
    <row r="491" spans="2:20" x14ac:dyDescent="0.25">
      <c r="B491" t="s">
        <v>2709</v>
      </c>
      <c r="C491">
        <v>5059000</v>
      </c>
      <c r="E491" t="s">
        <v>19447</v>
      </c>
      <c r="F491">
        <v>18</v>
      </c>
      <c r="G491">
        <v>0</v>
      </c>
      <c r="H491">
        <v>7.6</v>
      </c>
      <c r="I491">
        <v>1.65</v>
      </c>
      <c r="J491">
        <v>8</v>
      </c>
      <c r="L491" t="s">
        <v>2709</v>
      </c>
      <c r="M491">
        <v>5059000</v>
      </c>
      <c r="O491" t="s">
        <v>19447</v>
      </c>
      <c r="P491" t="s">
        <v>19899</v>
      </c>
      <c r="Q491" t="s">
        <v>19900</v>
      </c>
      <c r="R491" t="s">
        <v>19905</v>
      </c>
      <c r="S491" t="s">
        <v>19906</v>
      </c>
      <c r="T491" t="s">
        <v>19918</v>
      </c>
    </row>
    <row r="492" spans="2:20" x14ac:dyDescent="0.25">
      <c r="B492" t="s">
        <v>2709</v>
      </c>
      <c r="C492">
        <v>5061000</v>
      </c>
      <c r="E492" t="s">
        <v>19447</v>
      </c>
      <c r="F492">
        <v>18</v>
      </c>
      <c r="G492">
        <v>0</v>
      </c>
      <c r="H492">
        <v>7.6</v>
      </c>
      <c r="I492">
        <v>1.65</v>
      </c>
      <c r="J492">
        <v>8</v>
      </c>
      <c r="L492" t="s">
        <v>2709</v>
      </c>
      <c r="M492">
        <v>5061000</v>
      </c>
      <c r="O492" t="s">
        <v>19447</v>
      </c>
      <c r="P492" t="s">
        <v>19899</v>
      </c>
      <c r="Q492" t="s">
        <v>19900</v>
      </c>
      <c r="R492" t="s">
        <v>19905</v>
      </c>
      <c r="S492" t="s">
        <v>19906</v>
      </c>
      <c r="T492" t="s">
        <v>19918</v>
      </c>
    </row>
    <row r="493" spans="2:20" x14ac:dyDescent="0.25">
      <c r="B493" t="s">
        <v>2709</v>
      </c>
      <c r="C493">
        <v>5069000</v>
      </c>
      <c r="E493" t="s">
        <v>19447</v>
      </c>
      <c r="F493">
        <v>18</v>
      </c>
      <c r="G493">
        <v>0</v>
      </c>
      <c r="H493" t="s">
        <v>19447</v>
      </c>
      <c r="I493" t="s">
        <v>19447</v>
      </c>
      <c r="J493">
        <v>8</v>
      </c>
      <c r="L493" t="s">
        <v>2709</v>
      </c>
      <c r="M493">
        <v>5069000</v>
      </c>
      <c r="O493" t="s">
        <v>19447</v>
      </c>
      <c r="P493" t="s">
        <v>19899</v>
      </c>
      <c r="Q493" t="s">
        <v>19900</v>
      </c>
      <c r="R493" t="s">
        <v>19447</v>
      </c>
      <c r="S493" t="s">
        <v>19447</v>
      </c>
      <c r="T493" t="s">
        <v>19918</v>
      </c>
    </row>
    <row r="494" spans="2:20" x14ac:dyDescent="0.25">
      <c r="B494" t="s">
        <v>2709</v>
      </c>
      <c r="C494">
        <v>5071000</v>
      </c>
      <c r="E494" t="s">
        <v>19447</v>
      </c>
      <c r="F494">
        <v>18</v>
      </c>
      <c r="G494">
        <v>0</v>
      </c>
      <c r="H494">
        <v>7.6</v>
      </c>
      <c r="I494">
        <v>1.65</v>
      </c>
      <c r="J494">
        <v>8</v>
      </c>
      <c r="L494" t="s">
        <v>2709</v>
      </c>
      <c r="M494">
        <v>5071000</v>
      </c>
      <c r="O494" t="s">
        <v>19447</v>
      </c>
      <c r="P494" t="s">
        <v>19899</v>
      </c>
      <c r="Q494" t="s">
        <v>19900</v>
      </c>
      <c r="R494" t="s">
        <v>19905</v>
      </c>
      <c r="S494" t="s">
        <v>19906</v>
      </c>
      <c r="T494" t="s">
        <v>19918</v>
      </c>
    </row>
    <row r="495" spans="2:20" x14ac:dyDescent="0.25">
      <c r="B495" t="s">
        <v>2709</v>
      </c>
      <c r="C495">
        <v>5079000</v>
      </c>
      <c r="E495" t="s">
        <v>19447</v>
      </c>
      <c r="F495">
        <v>18</v>
      </c>
      <c r="G495">
        <v>0</v>
      </c>
      <c r="H495">
        <v>7.6</v>
      </c>
      <c r="I495">
        <v>1.65</v>
      </c>
      <c r="J495">
        <v>8</v>
      </c>
      <c r="L495" t="s">
        <v>2709</v>
      </c>
      <c r="M495">
        <v>5079000</v>
      </c>
      <c r="O495" t="s">
        <v>19447</v>
      </c>
      <c r="P495" t="s">
        <v>19899</v>
      </c>
      <c r="Q495" t="s">
        <v>19900</v>
      </c>
      <c r="R495" t="s">
        <v>19905</v>
      </c>
      <c r="S495" t="s">
        <v>19906</v>
      </c>
      <c r="T495" t="s">
        <v>19918</v>
      </c>
    </row>
    <row r="496" spans="2:20" x14ac:dyDescent="0.25">
      <c r="B496" t="s">
        <v>2709</v>
      </c>
      <c r="C496">
        <v>5080000</v>
      </c>
      <c r="E496" t="s">
        <v>19447</v>
      </c>
      <c r="F496">
        <v>18</v>
      </c>
      <c r="G496">
        <v>0</v>
      </c>
      <c r="H496">
        <v>7.6</v>
      </c>
      <c r="I496">
        <v>1.65</v>
      </c>
      <c r="J496">
        <v>8</v>
      </c>
      <c r="L496" t="s">
        <v>2709</v>
      </c>
      <c r="M496">
        <v>5080000</v>
      </c>
      <c r="O496" t="s">
        <v>19447</v>
      </c>
      <c r="P496" t="s">
        <v>19899</v>
      </c>
      <c r="Q496" t="s">
        <v>19900</v>
      </c>
      <c r="R496" t="s">
        <v>19905</v>
      </c>
      <c r="S496" t="s">
        <v>19906</v>
      </c>
      <c r="T496" t="s">
        <v>19918</v>
      </c>
    </row>
    <row r="497" spans="2:20" x14ac:dyDescent="0.25">
      <c r="B497" t="s">
        <v>2709</v>
      </c>
      <c r="C497">
        <v>5100010</v>
      </c>
      <c r="E497" t="s">
        <v>19447</v>
      </c>
      <c r="F497">
        <v>18</v>
      </c>
      <c r="G497">
        <v>0</v>
      </c>
      <c r="H497" t="s">
        <v>19447</v>
      </c>
      <c r="I497" t="s">
        <v>19447</v>
      </c>
      <c r="J497">
        <v>0</v>
      </c>
      <c r="L497" t="s">
        <v>2709</v>
      </c>
      <c r="M497">
        <v>5100010</v>
      </c>
      <c r="O497" t="s">
        <v>19447</v>
      </c>
      <c r="P497" t="s">
        <v>19899</v>
      </c>
      <c r="Q497" t="s">
        <v>19900</v>
      </c>
      <c r="R497" t="s">
        <v>19447</v>
      </c>
      <c r="S497" t="s">
        <v>19447</v>
      </c>
      <c r="T497" t="s">
        <v>19900</v>
      </c>
    </row>
    <row r="498" spans="2:20" x14ac:dyDescent="0.25">
      <c r="B498" t="s">
        <v>2709</v>
      </c>
      <c r="C498">
        <v>5100090</v>
      </c>
      <c r="E498" t="s">
        <v>19447</v>
      </c>
      <c r="F498">
        <v>18</v>
      </c>
      <c r="G498">
        <v>0</v>
      </c>
      <c r="H498">
        <v>7.6</v>
      </c>
      <c r="I498">
        <v>1.65</v>
      </c>
      <c r="J498">
        <v>2</v>
      </c>
      <c r="L498" t="s">
        <v>2709</v>
      </c>
      <c r="M498">
        <v>5100090</v>
      </c>
      <c r="O498" t="s">
        <v>19447</v>
      </c>
      <c r="P498" t="s">
        <v>19899</v>
      </c>
      <c r="Q498" t="s">
        <v>19900</v>
      </c>
      <c r="R498" t="s">
        <v>19905</v>
      </c>
      <c r="S498" t="s">
        <v>19906</v>
      </c>
      <c r="T498" t="s">
        <v>19901</v>
      </c>
    </row>
    <row r="499" spans="2:20" x14ac:dyDescent="0.25">
      <c r="B499" t="s">
        <v>2709</v>
      </c>
      <c r="C499">
        <v>5111000</v>
      </c>
      <c r="E499" t="s">
        <v>19447</v>
      </c>
      <c r="F499">
        <v>0</v>
      </c>
      <c r="G499">
        <v>0</v>
      </c>
      <c r="H499" t="s">
        <v>19447</v>
      </c>
      <c r="I499" t="s">
        <v>19447</v>
      </c>
      <c r="J499">
        <v>0</v>
      </c>
      <c r="L499" t="s">
        <v>2709</v>
      </c>
      <c r="M499">
        <v>5111000</v>
      </c>
      <c r="O499" t="s">
        <v>19447</v>
      </c>
      <c r="P499" t="s">
        <v>19900</v>
      </c>
      <c r="Q499" t="s">
        <v>19900</v>
      </c>
      <c r="R499" t="s">
        <v>19447</v>
      </c>
      <c r="S499" t="s">
        <v>19447</v>
      </c>
      <c r="T499" t="s">
        <v>19900</v>
      </c>
    </row>
    <row r="500" spans="2:20" x14ac:dyDescent="0.25">
      <c r="B500" t="s">
        <v>2709</v>
      </c>
      <c r="C500">
        <v>5119110</v>
      </c>
      <c r="E500" t="s">
        <v>19447</v>
      </c>
      <c r="F500">
        <v>18</v>
      </c>
      <c r="G500">
        <v>0</v>
      </c>
      <c r="H500">
        <v>7.6</v>
      </c>
      <c r="I500">
        <v>1.65</v>
      </c>
      <c r="J500">
        <v>0</v>
      </c>
      <c r="L500" t="s">
        <v>2709</v>
      </c>
      <c r="M500">
        <v>5119110</v>
      </c>
      <c r="O500" t="s">
        <v>19447</v>
      </c>
      <c r="P500" t="s">
        <v>19899</v>
      </c>
      <c r="Q500" t="s">
        <v>19900</v>
      </c>
      <c r="R500" t="s">
        <v>19905</v>
      </c>
      <c r="S500" t="s">
        <v>19906</v>
      </c>
      <c r="T500" t="s">
        <v>19900</v>
      </c>
    </row>
    <row r="501" spans="2:20" x14ac:dyDescent="0.25">
      <c r="B501" t="s">
        <v>2709</v>
      </c>
      <c r="C501">
        <v>5119190</v>
      </c>
      <c r="E501" t="s">
        <v>19447</v>
      </c>
      <c r="F501">
        <v>18</v>
      </c>
      <c r="G501">
        <v>0</v>
      </c>
      <c r="H501">
        <v>7.6</v>
      </c>
      <c r="I501">
        <v>1.65</v>
      </c>
      <c r="J501">
        <v>8</v>
      </c>
      <c r="L501" t="s">
        <v>2709</v>
      </c>
      <c r="M501">
        <v>5119190</v>
      </c>
      <c r="O501" t="s">
        <v>19447</v>
      </c>
      <c r="P501" t="s">
        <v>19899</v>
      </c>
      <c r="Q501" t="s">
        <v>19900</v>
      </c>
      <c r="R501" t="s">
        <v>19905</v>
      </c>
      <c r="S501" t="s">
        <v>19906</v>
      </c>
      <c r="T501" t="s">
        <v>19918</v>
      </c>
    </row>
    <row r="502" spans="2:20" x14ac:dyDescent="0.25">
      <c r="B502" t="s">
        <v>2709</v>
      </c>
      <c r="C502">
        <v>5119910</v>
      </c>
      <c r="E502" t="s">
        <v>19447</v>
      </c>
      <c r="F502">
        <v>0</v>
      </c>
      <c r="G502">
        <v>0</v>
      </c>
      <c r="H502" t="s">
        <v>19447</v>
      </c>
      <c r="I502" t="s">
        <v>19447</v>
      </c>
      <c r="J502">
        <v>0</v>
      </c>
      <c r="L502" t="s">
        <v>2709</v>
      </c>
      <c r="M502">
        <v>5119910</v>
      </c>
      <c r="O502" t="s">
        <v>19447</v>
      </c>
      <c r="P502" t="s">
        <v>19900</v>
      </c>
      <c r="Q502" t="s">
        <v>19900</v>
      </c>
      <c r="R502" t="s">
        <v>19447</v>
      </c>
      <c r="S502" t="s">
        <v>19447</v>
      </c>
      <c r="T502" t="s">
        <v>19900</v>
      </c>
    </row>
    <row r="503" spans="2:20" x14ac:dyDescent="0.25">
      <c r="B503" t="s">
        <v>2709</v>
      </c>
      <c r="C503">
        <v>5119920</v>
      </c>
      <c r="E503" t="s">
        <v>19447</v>
      </c>
      <c r="F503">
        <v>0</v>
      </c>
      <c r="G503">
        <v>0</v>
      </c>
      <c r="H503" t="s">
        <v>19447</v>
      </c>
      <c r="I503" t="s">
        <v>19447</v>
      </c>
      <c r="J503">
        <v>0</v>
      </c>
      <c r="L503" t="s">
        <v>2709</v>
      </c>
      <c r="M503">
        <v>5119920</v>
      </c>
      <c r="O503" t="s">
        <v>19447</v>
      </c>
      <c r="P503" t="s">
        <v>19900</v>
      </c>
      <c r="Q503" t="s">
        <v>19900</v>
      </c>
      <c r="R503" t="s">
        <v>19447</v>
      </c>
      <c r="S503" t="s">
        <v>19447</v>
      </c>
      <c r="T503" t="s">
        <v>19900</v>
      </c>
    </row>
    <row r="504" spans="2:20" x14ac:dyDescent="0.25">
      <c r="B504" t="s">
        <v>2709</v>
      </c>
      <c r="C504">
        <v>5119930</v>
      </c>
      <c r="E504" t="s">
        <v>19447</v>
      </c>
      <c r="F504">
        <v>18</v>
      </c>
      <c r="G504">
        <v>0</v>
      </c>
      <c r="H504">
        <v>7.6</v>
      </c>
      <c r="I504">
        <v>1.65</v>
      </c>
      <c r="J504">
        <v>0</v>
      </c>
      <c r="L504" t="s">
        <v>2709</v>
      </c>
      <c r="M504">
        <v>5119930</v>
      </c>
      <c r="O504" t="s">
        <v>19447</v>
      </c>
      <c r="P504" t="s">
        <v>19899</v>
      </c>
      <c r="Q504" t="s">
        <v>19900</v>
      </c>
      <c r="R504" t="s">
        <v>19905</v>
      </c>
      <c r="S504" t="s">
        <v>19906</v>
      </c>
      <c r="T504" t="s">
        <v>19900</v>
      </c>
    </row>
    <row r="505" spans="2:20" x14ac:dyDescent="0.25">
      <c r="B505" t="s">
        <v>2709</v>
      </c>
      <c r="C505">
        <v>5119991</v>
      </c>
      <c r="E505" t="s">
        <v>19447</v>
      </c>
      <c r="F505">
        <v>18</v>
      </c>
      <c r="G505">
        <v>0</v>
      </c>
      <c r="H505">
        <v>7.6</v>
      </c>
      <c r="I505">
        <v>1.65</v>
      </c>
      <c r="J505">
        <v>8</v>
      </c>
      <c r="L505" t="s">
        <v>2709</v>
      </c>
      <c r="M505">
        <v>5119991</v>
      </c>
      <c r="O505" t="s">
        <v>19447</v>
      </c>
      <c r="P505" t="s">
        <v>19899</v>
      </c>
      <c r="Q505" t="s">
        <v>19900</v>
      </c>
      <c r="R505" t="s">
        <v>19905</v>
      </c>
      <c r="S505" t="s">
        <v>19906</v>
      </c>
      <c r="T505" t="s">
        <v>19918</v>
      </c>
    </row>
    <row r="506" spans="2:20" x14ac:dyDescent="0.25">
      <c r="B506" t="s">
        <v>2709</v>
      </c>
      <c r="C506">
        <v>5119999</v>
      </c>
      <c r="E506" t="s">
        <v>19447</v>
      </c>
      <c r="F506">
        <v>18</v>
      </c>
      <c r="G506">
        <v>0</v>
      </c>
      <c r="H506">
        <v>7.6</v>
      </c>
      <c r="I506">
        <v>1.65</v>
      </c>
      <c r="J506">
        <v>8</v>
      </c>
      <c r="L506" t="s">
        <v>2709</v>
      </c>
      <c r="M506">
        <v>5119999</v>
      </c>
      <c r="O506" t="s">
        <v>19447</v>
      </c>
      <c r="P506" t="s">
        <v>19899</v>
      </c>
      <c r="Q506" t="s">
        <v>19900</v>
      </c>
      <c r="R506" t="s">
        <v>19905</v>
      </c>
      <c r="S506" t="s">
        <v>19906</v>
      </c>
      <c r="T506" t="s">
        <v>19918</v>
      </c>
    </row>
    <row r="507" spans="2:20" x14ac:dyDescent="0.25">
      <c r="B507" t="s">
        <v>2709</v>
      </c>
      <c r="C507">
        <v>6011000</v>
      </c>
      <c r="E507" t="s">
        <v>19447</v>
      </c>
      <c r="F507">
        <v>0</v>
      </c>
      <c r="G507">
        <v>0</v>
      </c>
      <c r="H507" t="s">
        <v>19447</v>
      </c>
      <c r="I507" t="s">
        <v>19447</v>
      </c>
      <c r="J507">
        <v>0</v>
      </c>
      <c r="L507" t="s">
        <v>2709</v>
      </c>
      <c r="M507">
        <v>6011000</v>
      </c>
      <c r="O507" t="s">
        <v>19447</v>
      </c>
      <c r="P507" t="s">
        <v>19900</v>
      </c>
      <c r="Q507" t="s">
        <v>19900</v>
      </c>
      <c r="R507" t="s">
        <v>19447</v>
      </c>
      <c r="S507" t="s">
        <v>19447</v>
      </c>
      <c r="T507" t="s">
        <v>19900</v>
      </c>
    </row>
    <row r="508" spans="2:20" x14ac:dyDescent="0.25">
      <c r="B508" t="s">
        <v>2709</v>
      </c>
      <c r="C508">
        <v>6012000</v>
      </c>
      <c r="E508" t="s">
        <v>19447</v>
      </c>
      <c r="F508">
        <v>0</v>
      </c>
      <c r="G508">
        <v>0</v>
      </c>
      <c r="H508" t="s">
        <v>19447</v>
      </c>
      <c r="I508" t="s">
        <v>19447</v>
      </c>
      <c r="J508">
        <v>0</v>
      </c>
      <c r="L508" t="s">
        <v>2709</v>
      </c>
      <c r="M508">
        <v>6012000</v>
      </c>
      <c r="O508" t="s">
        <v>19447</v>
      </c>
      <c r="P508" t="s">
        <v>19900</v>
      </c>
      <c r="Q508" t="s">
        <v>19900</v>
      </c>
      <c r="R508" t="s">
        <v>19447</v>
      </c>
      <c r="S508" t="s">
        <v>19447</v>
      </c>
      <c r="T508" t="s">
        <v>19900</v>
      </c>
    </row>
    <row r="509" spans="2:20" x14ac:dyDescent="0.25">
      <c r="B509" t="s">
        <v>2709</v>
      </c>
      <c r="C509">
        <v>6021000</v>
      </c>
      <c r="E509" t="s">
        <v>19447</v>
      </c>
      <c r="F509">
        <v>18</v>
      </c>
      <c r="G509">
        <v>0</v>
      </c>
      <c r="H509">
        <v>7.6</v>
      </c>
      <c r="I509">
        <v>1.65</v>
      </c>
      <c r="J509">
        <v>2</v>
      </c>
      <c r="L509" t="s">
        <v>2709</v>
      </c>
      <c r="M509">
        <v>6021000</v>
      </c>
      <c r="O509" t="s">
        <v>19447</v>
      </c>
      <c r="P509" t="s">
        <v>19899</v>
      </c>
      <c r="Q509" t="s">
        <v>19900</v>
      </c>
      <c r="R509" t="s">
        <v>19905</v>
      </c>
      <c r="S509" t="s">
        <v>19906</v>
      </c>
      <c r="T509" t="s">
        <v>19901</v>
      </c>
    </row>
    <row r="510" spans="2:20" x14ac:dyDescent="0.25">
      <c r="B510" t="s">
        <v>2709</v>
      </c>
      <c r="C510">
        <v>6022000</v>
      </c>
      <c r="E510" t="s">
        <v>19447</v>
      </c>
      <c r="F510">
        <v>18</v>
      </c>
      <c r="G510">
        <v>0</v>
      </c>
      <c r="H510">
        <v>7.6</v>
      </c>
      <c r="I510">
        <v>1.65</v>
      </c>
      <c r="J510">
        <v>2</v>
      </c>
      <c r="L510" t="s">
        <v>2709</v>
      </c>
      <c r="M510">
        <v>6022000</v>
      </c>
      <c r="O510" t="s">
        <v>19447</v>
      </c>
      <c r="P510" t="s">
        <v>19899</v>
      </c>
      <c r="Q510" t="s">
        <v>19900</v>
      </c>
      <c r="R510" t="s">
        <v>19905</v>
      </c>
      <c r="S510" t="s">
        <v>19906</v>
      </c>
      <c r="T510" t="s">
        <v>19901</v>
      </c>
    </row>
    <row r="511" spans="2:20" x14ac:dyDescent="0.25">
      <c r="B511" t="s">
        <v>2709</v>
      </c>
      <c r="C511">
        <v>6023000</v>
      </c>
      <c r="E511" t="s">
        <v>19447</v>
      </c>
      <c r="F511">
        <v>18</v>
      </c>
      <c r="G511">
        <v>0</v>
      </c>
      <c r="H511">
        <v>7.6</v>
      </c>
      <c r="I511">
        <v>1.65</v>
      </c>
      <c r="J511">
        <v>2</v>
      </c>
      <c r="L511" t="s">
        <v>2709</v>
      </c>
      <c r="M511">
        <v>6023000</v>
      </c>
      <c r="O511" t="s">
        <v>19447</v>
      </c>
      <c r="P511" t="s">
        <v>19899</v>
      </c>
      <c r="Q511" t="s">
        <v>19900</v>
      </c>
      <c r="R511" t="s">
        <v>19905</v>
      </c>
      <c r="S511" t="s">
        <v>19906</v>
      </c>
      <c r="T511" t="s">
        <v>19901</v>
      </c>
    </row>
    <row r="512" spans="2:20" x14ac:dyDescent="0.25">
      <c r="B512" t="s">
        <v>2709</v>
      </c>
      <c r="C512">
        <v>6024000</v>
      </c>
      <c r="E512" t="s">
        <v>19447</v>
      </c>
      <c r="F512">
        <v>18</v>
      </c>
      <c r="G512">
        <v>0</v>
      </c>
      <c r="H512">
        <v>7.6</v>
      </c>
      <c r="I512">
        <v>1.65</v>
      </c>
      <c r="J512">
        <v>2</v>
      </c>
      <c r="L512" t="s">
        <v>2709</v>
      </c>
      <c r="M512">
        <v>6024000</v>
      </c>
      <c r="O512" t="s">
        <v>19447</v>
      </c>
      <c r="P512" t="s">
        <v>19899</v>
      </c>
      <c r="Q512" t="s">
        <v>19900</v>
      </c>
      <c r="R512" t="s">
        <v>19905</v>
      </c>
      <c r="S512" t="s">
        <v>19906</v>
      </c>
      <c r="T512" t="s">
        <v>19901</v>
      </c>
    </row>
    <row r="513" spans="2:20" x14ac:dyDescent="0.25">
      <c r="B513" t="s">
        <v>2709</v>
      </c>
      <c r="C513">
        <v>6029010</v>
      </c>
      <c r="E513" t="s">
        <v>19447</v>
      </c>
      <c r="F513">
        <v>18</v>
      </c>
      <c r="G513">
        <v>0</v>
      </c>
      <c r="H513">
        <v>7.6</v>
      </c>
      <c r="I513">
        <v>1.65</v>
      </c>
      <c r="J513">
        <v>2</v>
      </c>
      <c r="L513" t="s">
        <v>2709</v>
      </c>
      <c r="M513">
        <v>6029010</v>
      </c>
      <c r="O513" t="s">
        <v>19447</v>
      </c>
      <c r="P513" t="s">
        <v>19899</v>
      </c>
      <c r="Q513" t="s">
        <v>19900</v>
      </c>
      <c r="R513" t="s">
        <v>19905</v>
      </c>
      <c r="S513" t="s">
        <v>19906</v>
      </c>
      <c r="T513" t="s">
        <v>19901</v>
      </c>
    </row>
    <row r="514" spans="2:20" x14ac:dyDescent="0.25">
      <c r="B514" t="s">
        <v>2709</v>
      </c>
      <c r="C514">
        <v>6029021</v>
      </c>
      <c r="E514" t="s">
        <v>19447</v>
      </c>
      <c r="F514">
        <v>0</v>
      </c>
      <c r="G514">
        <v>0</v>
      </c>
      <c r="H514" t="s">
        <v>19447</v>
      </c>
      <c r="I514" t="s">
        <v>19447</v>
      </c>
      <c r="J514">
        <v>0</v>
      </c>
      <c r="L514" t="s">
        <v>2709</v>
      </c>
      <c r="M514">
        <v>6029021</v>
      </c>
      <c r="O514" t="s">
        <v>19447</v>
      </c>
      <c r="P514" t="s">
        <v>19900</v>
      </c>
      <c r="Q514" t="s">
        <v>19900</v>
      </c>
      <c r="R514" t="s">
        <v>19447</v>
      </c>
      <c r="S514" t="s">
        <v>19447</v>
      </c>
      <c r="T514" t="s">
        <v>19900</v>
      </c>
    </row>
    <row r="515" spans="2:20" x14ac:dyDescent="0.25">
      <c r="B515" t="s">
        <v>2709</v>
      </c>
      <c r="C515">
        <v>6029029</v>
      </c>
      <c r="E515" t="s">
        <v>19447</v>
      </c>
      <c r="F515">
        <v>0</v>
      </c>
      <c r="G515">
        <v>0</v>
      </c>
      <c r="H515" t="s">
        <v>19447</v>
      </c>
      <c r="I515" t="s">
        <v>19447</v>
      </c>
      <c r="J515">
        <v>0</v>
      </c>
      <c r="L515" t="s">
        <v>2709</v>
      </c>
      <c r="M515">
        <v>6029029</v>
      </c>
      <c r="O515" t="s">
        <v>19447</v>
      </c>
      <c r="P515" t="s">
        <v>19900</v>
      </c>
      <c r="Q515" t="s">
        <v>19900</v>
      </c>
      <c r="R515" t="s">
        <v>19447</v>
      </c>
      <c r="S515" t="s">
        <v>19447</v>
      </c>
      <c r="T515" t="s">
        <v>19900</v>
      </c>
    </row>
    <row r="516" spans="2:20" x14ac:dyDescent="0.25">
      <c r="B516" t="s">
        <v>2709</v>
      </c>
      <c r="C516">
        <v>6029081</v>
      </c>
      <c r="E516" t="s">
        <v>19447</v>
      </c>
      <c r="F516">
        <v>0</v>
      </c>
      <c r="G516">
        <v>0</v>
      </c>
      <c r="H516" t="s">
        <v>19447</v>
      </c>
      <c r="I516" t="s">
        <v>19447</v>
      </c>
      <c r="J516">
        <v>0</v>
      </c>
      <c r="L516" t="s">
        <v>2709</v>
      </c>
      <c r="M516">
        <v>6029081</v>
      </c>
      <c r="O516" t="s">
        <v>19447</v>
      </c>
      <c r="P516" t="s">
        <v>19900</v>
      </c>
      <c r="Q516" t="s">
        <v>19900</v>
      </c>
      <c r="R516" t="s">
        <v>19447</v>
      </c>
      <c r="S516" t="s">
        <v>19447</v>
      </c>
      <c r="T516" t="s">
        <v>19900</v>
      </c>
    </row>
    <row r="517" spans="2:20" x14ac:dyDescent="0.25">
      <c r="B517" t="s">
        <v>2709</v>
      </c>
      <c r="C517">
        <v>6029082</v>
      </c>
      <c r="E517" t="s">
        <v>19447</v>
      </c>
      <c r="F517">
        <v>0</v>
      </c>
      <c r="G517">
        <v>0</v>
      </c>
      <c r="H517" t="s">
        <v>19447</v>
      </c>
      <c r="I517" t="s">
        <v>19447</v>
      </c>
      <c r="J517">
        <v>0</v>
      </c>
      <c r="L517" t="s">
        <v>2709</v>
      </c>
      <c r="M517">
        <v>6029082</v>
      </c>
      <c r="O517" t="s">
        <v>19447</v>
      </c>
      <c r="P517" t="s">
        <v>19900</v>
      </c>
      <c r="Q517" t="s">
        <v>19900</v>
      </c>
      <c r="R517" t="s">
        <v>19447</v>
      </c>
      <c r="S517" t="s">
        <v>19447</v>
      </c>
      <c r="T517" t="s">
        <v>19900</v>
      </c>
    </row>
    <row r="518" spans="2:20" x14ac:dyDescent="0.25">
      <c r="B518" t="s">
        <v>2709</v>
      </c>
      <c r="C518">
        <v>6029083</v>
      </c>
      <c r="E518" t="s">
        <v>19447</v>
      </c>
      <c r="F518">
        <v>0</v>
      </c>
      <c r="G518">
        <v>0</v>
      </c>
      <c r="H518" t="s">
        <v>19447</v>
      </c>
      <c r="I518" t="s">
        <v>19447</v>
      </c>
      <c r="J518">
        <v>0</v>
      </c>
      <c r="L518" t="s">
        <v>2709</v>
      </c>
      <c r="M518">
        <v>6029083</v>
      </c>
      <c r="O518" t="s">
        <v>19447</v>
      </c>
      <c r="P518" t="s">
        <v>19900</v>
      </c>
      <c r="Q518" t="s">
        <v>19900</v>
      </c>
      <c r="R518" t="s">
        <v>19447</v>
      </c>
      <c r="S518" t="s">
        <v>19447</v>
      </c>
      <c r="T518" t="s">
        <v>19900</v>
      </c>
    </row>
    <row r="519" spans="2:20" x14ac:dyDescent="0.25">
      <c r="B519" t="s">
        <v>2709</v>
      </c>
      <c r="C519">
        <v>6029089</v>
      </c>
      <c r="E519" t="s">
        <v>19447</v>
      </c>
      <c r="F519">
        <v>0</v>
      </c>
      <c r="G519">
        <v>0</v>
      </c>
      <c r="H519" t="s">
        <v>19447</v>
      </c>
      <c r="I519" t="s">
        <v>19447</v>
      </c>
      <c r="J519">
        <v>0</v>
      </c>
      <c r="L519" t="s">
        <v>2709</v>
      </c>
      <c r="M519">
        <v>6029089</v>
      </c>
      <c r="O519" t="s">
        <v>19447</v>
      </c>
      <c r="P519" t="s">
        <v>19900</v>
      </c>
      <c r="Q519" t="s">
        <v>19900</v>
      </c>
      <c r="R519" t="s">
        <v>19447</v>
      </c>
      <c r="S519" t="s">
        <v>19447</v>
      </c>
      <c r="T519" t="s">
        <v>19900</v>
      </c>
    </row>
    <row r="520" spans="2:20" x14ac:dyDescent="0.25">
      <c r="B520" t="s">
        <v>2709</v>
      </c>
      <c r="C520">
        <v>6029090</v>
      </c>
      <c r="E520" t="s">
        <v>19447</v>
      </c>
      <c r="F520">
        <v>18</v>
      </c>
      <c r="G520">
        <v>0</v>
      </c>
      <c r="H520">
        <v>7.6</v>
      </c>
      <c r="I520">
        <v>1.65</v>
      </c>
      <c r="J520">
        <v>2</v>
      </c>
      <c r="L520" t="s">
        <v>2709</v>
      </c>
      <c r="M520">
        <v>6029090</v>
      </c>
      <c r="O520" t="s">
        <v>19447</v>
      </c>
      <c r="P520" t="s">
        <v>19899</v>
      </c>
      <c r="Q520" t="s">
        <v>19900</v>
      </c>
      <c r="R520" t="s">
        <v>19905</v>
      </c>
      <c r="S520" t="s">
        <v>19906</v>
      </c>
      <c r="T520" t="s">
        <v>19901</v>
      </c>
    </row>
    <row r="521" spans="2:20" x14ac:dyDescent="0.25">
      <c r="B521" t="s">
        <v>2709</v>
      </c>
      <c r="C521">
        <v>6031100</v>
      </c>
      <c r="E521" t="s">
        <v>19447</v>
      </c>
      <c r="F521">
        <v>18</v>
      </c>
      <c r="G521">
        <v>0</v>
      </c>
      <c r="H521">
        <v>7.6</v>
      </c>
      <c r="I521">
        <v>1.65</v>
      </c>
      <c r="J521">
        <v>10</v>
      </c>
      <c r="L521" t="s">
        <v>2709</v>
      </c>
      <c r="M521">
        <v>6031100</v>
      </c>
      <c r="O521" t="s">
        <v>19447</v>
      </c>
      <c r="P521" t="s">
        <v>19899</v>
      </c>
      <c r="Q521" t="s">
        <v>19900</v>
      </c>
      <c r="R521" t="s">
        <v>19905</v>
      </c>
      <c r="S521" t="s">
        <v>19906</v>
      </c>
      <c r="T521" t="s">
        <v>19904</v>
      </c>
    </row>
    <row r="522" spans="2:20" x14ac:dyDescent="0.25">
      <c r="B522" t="s">
        <v>2709</v>
      </c>
      <c r="C522">
        <v>6031200</v>
      </c>
      <c r="E522" t="s">
        <v>19447</v>
      </c>
      <c r="F522">
        <v>18</v>
      </c>
      <c r="G522">
        <v>0</v>
      </c>
      <c r="H522">
        <v>7.6</v>
      </c>
      <c r="I522">
        <v>1.65</v>
      </c>
      <c r="J522">
        <v>10</v>
      </c>
      <c r="L522" t="s">
        <v>2709</v>
      </c>
      <c r="M522">
        <v>6031200</v>
      </c>
      <c r="O522" t="s">
        <v>19447</v>
      </c>
      <c r="P522" t="s">
        <v>19899</v>
      </c>
      <c r="Q522" t="s">
        <v>19900</v>
      </c>
      <c r="R522" t="s">
        <v>19905</v>
      </c>
      <c r="S522" t="s">
        <v>19906</v>
      </c>
      <c r="T522" t="s">
        <v>19904</v>
      </c>
    </row>
    <row r="523" spans="2:20" x14ac:dyDescent="0.25">
      <c r="B523" t="s">
        <v>2709</v>
      </c>
      <c r="C523">
        <v>6031300</v>
      </c>
      <c r="E523" t="s">
        <v>19447</v>
      </c>
      <c r="F523">
        <v>18</v>
      </c>
      <c r="G523">
        <v>0</v>
      </c>
      <c r="H523">
        <v>7.6</v>
      </c>
      <c r="I523">
        <v>1.65</v>
      </c>
      <c r="J523">
        <v>10</v>
      </c>
      <c r="L523" t="s">
        <v>2709</v>
      </c>
      <c r="M523">
        <v>6031300</v>
      </c>
      <c r="O523" t="s">
        <v>19447</v>
      </c>
      <c r="P523" t="s">
        <v>19899</v>
      </c>
      <c r="Q523" t="s">
        <v>19900</v>
      </c>
      <c r="R523" t="s">
        <v>19905</v>
      </c>
      <c r="S523" t="s">
        <v>19906</v>
      </c>
      <c r="T523" t="s">
        <v>19904</v>
      </c>
    </row>
    <row r="524" spans="2:20" x14ac:dyDescent="0.25">
      <c r="B524" t="s">
        <v>2709</v>
      </c>
      <c r="C524">
        <v>6031400</v>
      </c>
      <c r="E524" t="s">
        <v>19447</v>
      </c>
      <c r="F524">
        <v>18</v>
      </c>
      <c r="G524">
        <v>0</v>
      </c>
      <c r="H524">
        <v>7.6</v>
      </c>
      <c r="I524">
        <v>1.65</v>
      </c>
      <c r="J524">
        <v>10</v>
      </c>
      <c r="L524" t="s">
        <v>2709</v>
      </c>
      <c r="M524">
        <v>6031400</v>
      </c>
      <c r="O524" t="s">
        <v>19447</v>
      </c>
      <c r="P524" t="s">
        <v>19899</v>
      </c>
      <c r="Q524" t="s">
        <v>19900</v>
      </c>
      <c r="R524" t="s">
        <v>19905</v>
      </c>
      <c r="S524" t="s">
        <v>19906</v>
      </c>
      <c r="T524" t="s">
        <v>19904</v>
      </c>
    </row>
    <row r="525" spans="2:20" x14ac:dyDescent="0.25">
      <c r="B525" t="s">
        <v>2709</v>
      </c>
      <c r="C525">
        <v>6031500</v>
      </c>
      <c r="E525" t="s">
        <v>19447</v>
      </c>
      <c r="F525">
        <v>18</v>
      </c>
      <c r="G525">
        <v>0</v>
      </c>
      <c r="H525">
        <v>7.6</v>
      </c>
      <c r="I525">
        <v>1.65</v>
      </c>
      <c r="J525">
        <v>10</v>
      </c>
      <c r="L525" t="s">
        <v>2709</v>
      </c>
      <c r="M525">
        <v>6031500</v>
      </c>
      <c r="O525" t="s">
        <v>19447</v>
      </c>
      <c r="P525" t="s">
        <v>19899</v>
      </c>
      <c r="Q525" t="s">
        <v>19900</v>
      </c>
      <c r="R525" t="s">
        <v>19905</v>
      </c>
      <c r="S525" t="s">
        <v>19906</v>
      </c>
      <c r="T525" t="s">
        <v>19904</v>
      </c>
    </row>
    <row r="526" spans="2:20" x14ac:dyDescent="0.25">
      <c r="B526" t="s">
        <v>2709</v>
      </c>
      <c r="C526">
        <v>6031900</v>
      </c>
      <c r="E526" t="s">
        <v>19447</v>
      </c>
      <c r="F526">
        <v>18</v>
      </c>
      <c r="G526">
        <v>0</v>
      </c>
      <c r="H526">
        <v>7.6</v>
      </c>
      <c r="I526">
        <v>1.65</v>
      </c>
      <c r="J526">
        <v>10</v>
      </c>
      <c r="L526" t="s">
        <v>2709</v>
      </c>
      <c r="M526">
        <v>6031900</v>
      </c>
      <c r="O526" t="s">
        <v>19447</v>
      </c>
      <c r="P526" t="s">
        <v>19899</v>
      </c>
      <c r="Q526" t="s">
        <v>19900</v>
      </c>
      <c r="R526" t="s">
        <v>19905</v>
      </c>
      <c r="S526" t="s">
        <v>19906</v>
      </c>
      <c r="T526" t="s">
        <v>19904</v>
      </c>
    </row>
    <row r="527" spans="2:20" x14ac:dyDescent="0.25">
      <c r="B527" t="s">
        <v>2709</v>
      </c>
      <c r="C527">
        <v>6039000</v>
      </c>
      <c r="E527" t="s">
        <v>19447</v>
      </c>
      <c r="F527">
        <v>18</v>
      </c>
      <c r="G527">
        <v>0</v>
      </c>
      <c r="H527">
        <v>7.6</v>
      </c>
      <c r="I527">
        <v>1.65</v>
      </c>
      <c r="J527">
        <v>10</v>
      </c>
      <c r="L527" t="s">
        <v>2709</v>
      </c>
      <c r="M527">
        <v>6039000</v>
      </c>
      <c r="O527" t="s">
        <v>19447</v>
      </c>
      <c r="P527" t="s">
        <v>19899</v>
      </c>
      <c r="Q527" t="s">
        <v>19900</v>
      </c>
      <c r="R527" t="s">
        <v>19905</v>
      </c>
      <c r="S527" t="s">
        <v>19906</v>
      </c>
      <c r="T527" t="s">
        <v>19904</v>
      </c>
    </row>
    <row r="528" spans="2:20" x14ac:dyDescent="0.25">
      <c r="B528" t="s">
        <v>2709</v>
      </c>
      <c r="C528">
        <v>6042000</v>
      </c>
      <c r="E528" t="s">
        <v>19447</v>
      </c>
      <c r="F528">
        <v>18</v>
      </c>
      <c r="G528">
        <v>0</v>
      </c>
      <c r="H528">
        <v>7.6</v>
      </c>
      <c r="I528">
        <v>1.65</v>
      </c>
      <c r="J528">
        <v>8</v>
      </c>
      <c r="L528" t="s">
        <v>2709</v>
      </c>
      <c r="M528">
        <v>6042000</v>
      </c>
      <c r="O528" t="s">
        <v>19447</v>
      </c>
      <c r="P528" t="s">
        <v>19899</v>
      </c>
      <c r="Q528" t="s">
        <v>19900</v>
      </c>
      <c r="R528" t="s">
        <v>19905</v>
      </c>
      <c r="S528" t="s">
        <v>19906</v>
      </c>
      <c r="T528" t="s">
        <v>19918</v>
      </c>
    </row>
    <row r="529" spans="2:20" x14ac:dyDescent="0.25">
      <c r="B529" t="s">
        <v>2709</v>
      </c>
      <c r="C529">
        <v>6049000</v>
      </c>
      <c r="E529" t="s">
        <v>19447</v>
      </c>
      <c r="F529">
        <v>18</v>
      </c>
      <c r="G529">
        <v>0</v>
      </c>
      <c r="H529">
        <v>7.6</v>
      </c>
      <c r="I529">
        <v>1.65</v>
      </c>
      <c r="J529">
        <v>8</v>
      </c>
      <c r="L529" t="s">
        <v>2709</v>
      </c>
      <c r="M529">
        <v>6049000</v>
      </c>
      <c r="O529" t="s">
        <v>19447</v>
      </c>
      <c r="P529" t="s">
        <v>19899</v>
      </c>
      <c r="Q529" t="s">
        <v>19900</v>
      </c>
      <c r="R529" t="s">
        <v>19905</v>
      </c>
      <c r="S529" t="s">
        <v>19906</v>
      </c>
      <c r="T529" t="s">
        <v>19918</v>
      </c>
    </row>
    <row r="530" spans="2:20" x14ac:dyDescent="0.25">
      <c r="B530" t="s">
        <v>2709</v>
      </c>
      <c r="C530">
        <v>7011000</v>
      </c>
      <c r="E530">
        <v>0</v>
      </c>
      <c r="F530">
        <v>18</v>
      </c>
      <c r="G530">
        <v>0</v>
      </c>
      <c r="H530" t="s">
        <v>19447</v>
      </c>
      <c r="I530" t="s">
        <v>19447</v>
      </c>
      <c r="J530">
        <v>0</v>
      </c>
      <c r="L530" t="s">
        <v>2709</v>
      </c>
      <c r="M530">
        <v>7011000</v>
      </c>
      <c r="O530" t="s">
        <v>19900</v>
      </c>
      <c r="P530" t="s">
        <v>19899</v>
      </c>
      <c r="Q530" t="s">
        <v>19900</v>
      </c>
      <c r="R530" t="s">
        <v>19447</v>
      </c>
      <c r="S530" t="s">
        <v>19447</v>
      </c>
      <c r="T530" t="s">
        <v>19900</v>
      </c>
    </row>
    <row r="531" spans="2:20" x14ac:dyDescent="0.25">
      <c r="B531" t="s">
        <v>2709</v>
      </c>
      <c r="C531">
        <v>7019000</v>
      </c>
      <c r="E531">
        <v>0</v>
      </c>
      <c r="F531">
        <v>18</v>
      </c>
      <c r="G531">
        <v>0</v>
      </c>
      <c r="H531" t="s">
        <v>19447</v>
      </c>
      <c r="I531" t="s">
        <v>19447</v>
      </c>
      <c r="J531">
        <v>10</v>
      </c>
      <c r="L531" t="s">
        <v>2709</v>
      </c>
      <c r="M531">
        <v>7019000</v>
      </c>
      <c r="O531" t="s">
        <v>19900</v>
      </c>
      <c r="P531" t="s">
        <v>19899</v>
      </c>
      <c r="Q531" t="s">
        <v>19900</v>
      </c>
      <c r="R531" t="s">
        <v>19447</v>
      </c>
      <c r="S531" t="s">
        <v>19447</v>
      </c>
      <c r="T531" t="s">
        <v>19904</v>
      </c>
    </row>
    <row r="532" spans="2:20" x14ac:dyDescent="0.25">
      <c r="B532" t="s">
        <v>2709</v>
      </c>
      <c r="C532">
        <v>7020000</v>
      </c>
      <c r="E532">
        <v>0</v>
      </c>
      <c r="F532">
        <v>18</v>
      </c>
      <c r="G532">
        <v>0</v>
      </c>
      <c r="H532" t="s">
        <v>19447</v>
      </c>
      <c r="I532" t="s">
        <v>19447</v>
      </c>
      <c r="J532">
        <v>10</v>
      </c>
      <c r="L532" t="s">
        <v>2709</v>
      </c>
      <c r="M532">
        <v>7020000</v>
      </c>
      <c r="O532" t="s">
        <v>19900</v>
      </c>
      <c r="P532" t="s">
        <v>19899</v>
      </c>
      <c r="Q532" t="s">
        <v>19900</v>
      </c>
      <c r="R532" t="s">
        <v>19447</v>
      </c>
      <c r="S532" t="s">
        <v>19447</v>
      </c>
      <c r="T532" t="s">
        <v>19904</v>
      </c>
    </row>
    <row r="533" spans="2:20" x14ac:dyDescent="0.25">
      <c r="B533" t="s">
        <v>2709</v>
      </c>
      <c r="C533">
        <v>7031011</v>
      </c>
      <c r="E533">
        <v>0</v>
      </c>
      <c r="F533">
        <v>18</v>
      </c>
      <c r="G533">
        <v>0</v>
      </c>
      <c r="H533" t="s">
        <v>19447</v>
      </c>
      <c r="I533" t="s">
        <v>19447</v>
      </c>
      <c r="J533">
        <v>0</v>
      </c>
      <c r="L533" t="s">
        <v>2709</v>
      </c>
      <c r="M533">
        <v>7031011</v>
      </c>
      <c r="O533" t="s">
        <v>19900</v>
      </c>
      <c r="P533" t="s">
        <v>19899</v>
      </c>
      <c r="Q533" t="s">
        <v>19900</v>
      </c>
      <c r="R533" t="s">
        <v>19447</v>
      </c>
      <c r="S533" t="s">
        <v>19447</v>
      </c>
      <c r="T533" t="s">
        <v>19900</v>
      </c>
    </row>
    <row r="534" spans="2:20" x14ac:dyDescent="0.25">
      <c r="B534" t="s">
        <v>2709</v>
      </c>
      <c r="C534">
        <v>7031019</v>
      </c>
      <c r="E534">
        <v>0</v>
      </c>
      <c r="F534">
        <v>18</v>
      </c>
      <c r="G534">
        <v>0</v>
      </c>
      <c r="H534" t="s">
        <v>19447</v>
      </c>
      <c r="I534" t="s">
        <v>19447</v>
      </c>
      <c r="J534">
        <v>10</v>
      </c>
      <c r="L534" t="s">
        <v>2709</v>
      </c>
      <c r="M534">
        <v>7031019</v>
      </c>
      <c r="O534" t="s">
        <v>19900</v>
      </c>
      <c r="P534" t="s">
        <v>19899</v>
      </c>
      <c r="Q534" t="s">
        <v>19900</v>
      </c>
      <c r="R534" t="s">
        <v>19447</v>
      </c>
      <c r="S534" t="s">
        <v>19447</v>
      </c>
      <c r="T534" t="s">
        <v>19904</v>
      </c>
    </row>
    <row r="535" spans="2:20" x14ac:dyDescent="0.25">
      <c r="B535" t="s">
        <v>2709</v>
      </c>
      <c r="C535">
        <v>7031021</v>
      </c>
      <c r="E535">
        <v>0</v>
      </c>
      <c r="F535">
        <v>18</v>
      </c>
      <c r="G535">
        <v>0</v>
      </c>
      <c r="H535" t="s">
        <v>19447</v>
      </c>
      <c r="I535" t="s">
        <v>19447</v>
      </c>
      <c r="J535">
        <v>0</v>
      </c>
      <c r="L535" t="s">
        <v>2709</v>
      </c>
      <c r="M535">
        <v>7031021</v>
      </c>
      <c r="O535" t="s">
        <v>19900</v>
      </c>
      <c r="P535" t="s">
        <v>19899</v>
      </c>
      <c r="Q535" t="s">
        <v>19900</v>
      </c>
      <c r="R535" t="s">
        <v>19447</v>
      </c>
      <c r="S535" t="s">
        <v>19447</v>
      </c>
      <c r="T535" t="s">
        <v>19900</v>
      </c>
    </row>
    <row r="536" spans="2:20" x14ac:dyDescent="0.25">
      <c r="B536" t="s">
        <v>2709</v>
      </c>
      <c r="C536">
        <v>7031029</v>
      </c>
      <c r="E536">
        <v>0</v>
      </c>
      <c r="F536">
        <v>18</v>
      </c>
      <c r="G536">
        <v>0</v>
      </c>
      <c r="H536" t="s">
        <v>19447</v>
      </c>
      <c r="I536" t="s">
        <v>19447</v>
      </c>
      <c r="J536">
        <v>10</v>
      </c>
      <c r="L536" t="s">
        <v>2709</v>
      </c>
      <c r="M536">
        <v>7031029</v>
      </c>
      <c r="O536" t="s">
        <v>19900</v>
      </c>
      <c r="P536" t="s">
        <v>19899</v>
      </c>
      <c r="Q536" t="s">
        <v>19900</v>
      </c>
      <c r="R536" t="s">
        <v>19447</v>
      </c>
      <c r="S536" t="s">
        <v>19447</v>
      </c>
      <c r="T536" t="s">
        <v>19904</v>
      </c>
    </row>
    <row r="537" spans="2:20" x14ac:dyDescent="0.25">
      <c r="B537" t="s">
        <v>2709</v>
      </c>
      <c r="C537">
        <v>7032010</v>
      </c>
      <c r="E537">
        <v>0</v>
      </c>
      <c r="F537">
        <v>7</v>
      </c>
      <c r="G537">
        <v>0</v>
      </c>
      <c r="H537" t="s">
        <v>19447</v>
      </c>
      <c r="I537" t="s">
        <v>19447</v>
      </c>
      <c r="J537">
        <v>0</v>
      </c>
      <c r="L537" t="s">
        <v>2709</v>
      </c>
      <c r="M537">
        <v>7032010</v>
      </c>
      <c r="O537" t="s">
        <v>19900</v>
      </c>
      <c r="P537" t="s">
        <v>19908</v>
      </c>
      <c r="Q537" t="s">
        <v>19900</v>
      </c>
      <c r="R537" t="s">
        <v>19447</v>
      </c>
      <c r="S537" t="s">
        <v>19447</v>
      </c>
      <c r="T537" t="s">
        <v>19900</v>
      </c>
    </row>
    <row r="538" spans="2:20" x14ac:dyDescent="0.25">
      <c r="B538" t="s">
        <v>2709</v>
      </c>
      <c r="C538">
        <v>7032090</v>
      </c>
      <c r="E538">
        <v>0</v>
      </c>
      <c r="F538">
        <v>7</v>
      </c>
      <c r="G538">
        <v>0</v>
      </c>
      <c r="H538" t="s">
        <v>19447</v>
      </c>
      <c r="I538" t="s">
        <v>19447</v>
      </c>
      <c r="J538">
        <v>35</v>
      </c>
      <c r="L538" t="s">
        <v>2709</v>
      </c>
      <c r="M538">
        <v>7032090</v>
      </c>
      <c r="O538" t="s">
        <v>19900</v>
      </c>
      <c r="P538" t="s">
        <v>19908</v>
      </c>
      <c r="Q538" t="s">
        <v>19900</v>
      </c>
      <c r="R538" t="s">
        <v>19447</v>
      </c>
      <c r="S538" t="s">
        <v>19447</v>
      </c>
      <c r="T538" t="s">
        <v>19919</v>
      </c>
    </row>
    <row r="539" spans="2:20" x14ac:dyDescent="0.25">
      <c r="B539" t="s">
        <v>2709</v>
      </c>
      <c r="C539">
        <v>7039010</v>
      </c>
      <c r="E539">
        <v>0</v>
      </c>
      <c r="F539">
        <v>18</v>
      </c>
      <c r="G539">
        <v>0</v>
      </c>
      <c r="H539" t="s">
        <v>19447</v>
      </c>
      <c r="I539" t="s">
        <v>19447</v>
      </c>
      <c r="J539">
        <v>0</v>
      </c>
      <c r="L539" t="s">
        <v>2709</v>
      </c>
      <c r="M539">
        <v>7039010</v>
      </c>
      <c r="O539" t="s">
        <v>19900</v>
      </c>
      <c r="P539" t="s">
        <v>19899</v>
      </c>
      <c r="Q539" t="s">
        <v>19900</v>
      </c>
      <c r="R539" t="s">
        <v>19447</v>
      </c>
      <c r="S539" t="s">
        <v>19447</v>
      </c>
      <c r="T539" t="s">
        <v>19900</v>
      </c>
    </row>
    <row r="540" spans="2:20" x14ac:dyDescent="0.25">
      <c r="B540" t="s">
        <v>2709</v>
      </c>
      <c r="C540">
        <v>7039090</v>
      </c>
      <c r="E540">
        <v>0</v>
      </c>
      <c r="F540">
        <v>18</v>
      </c>
      <c r="G540">
        <v>0</v>
      </c>
      <c r="H540" t="s">
        <v>19447</v>
      </c>
      <c r="I540" t="s">
        <v>19447</v>
      </c>
      <c r="J540">
        <v>10</v>
      </c>
      <c r="L540" t="s">
        <v>2709</v>
      </c>
      <c r="M540">
        <v>7039090</v>
      </c>
      <c r="O540" t="s">
        <v>19900</v>
      </c>
      <c r="P540" t="s">
        <v>19899</v>
      </c>
      <c r="Q540" t="s">
        <v>19900</v>
      </c>
      <c r="R540" t="s">
        <v>19447</v>
      </c>
      <c r="S540" t="s">
        <v>19447</v>
      </c>
      <c r="T540" t="s">
        <v>19904</v>
      </c>
    </row>
    <row r="541" spans="2:20" x14ac:dyDescent="0.25">
      <c r="B541" t="s">
        <v>2709</v>
      </c>
      <c r="C541">
        <v>7041000</v>
      </c>
      <c r="E541">
        <v>0</v>
      </c>
      <c r="F541">
        <v>18</v>
      </c>
      <c r="G541">
        <v>0</v>
      </c>
      <c r="H541" t="s">
        <v>19447</v>
      </c>
      <c r="I541" t="s">
        <v>19447</v>
      </c>
      <c r="J541">
        <v>10</v>
      </c>
      <c r="L541" t="s">
        <v>2709</v>
      </c>
      <c r="M541">
        <v>7041000</v>
      </c>
      <c r="O541" t="s">
        <v>19900</v>
      </c>
      <c r="P541" t="s">
        <v>19899</v>
      </c>
      <c r="Q541" t="s">
        <v>19900</v>
      </c>
      <c r="R541" t="s">
        <v>19447</v>
      </c>
      <c r="S541" t="s">
        <v>19447</v>
      </c>
      <c r="T541" t="s">
        <v>19904</v>
      </c>
    </row>
    <row r="542" spans="2:20" x14ac:dyDescent="0.25">
      <c r="B542" t="s">
        <v>2709</v>
      </c>
      <c r="C542">
        <v>7042000</v>
      </c>
      <c r="E542">
        <v>0</v>
      </c>
      <c r="F542">
        <v>18</v>
      </c>
      <c r="G542">
        <v>0</v>
      </c>
      <c r="H542" t="s">
        <v>19447</v>
      </c>
      <c r="I542" t="s">
        <v>19447</v>
      </c>
      <c r="J542">
        <v>10</v>
      </c>
      <c r="L542" t="s">
        <v>2709</v>
      </c>
      <c r="M542">
        <v>7042000</v>
      </c>
      <c r="O542" t="s">
        <v>19900</v>
      </c>
      <c r="P542" t="s">
        <v>19899</v>
      </c>
      <c r="Q542" t="s">
        <v>19900</v>
      </c>
      <c r="R542" t="s">
        <v>19447</v>
      </c>
      <c r="S542" t="s">
        <v>19447</v>
      </c>
      <c r="T542" t="s">
        <v>19904</v>
      </c>
    </row>
    <row r="543" spans="2:20" x14ac:dyDescent="0.25">
      <c r="B543" t="s">
        <v>2709</v>
      </c>
      <c r="C543">
        <v>7049000</v>
      </c>
      <c r="E543">
        <v>0</v>
      </c>
      <c r="F543">
        <v>18</v>
      </c>
      <c r="G543">
        <v>0</v>
      </c>
      <c r="H543" t="s">
        <v>19447</v>
      </c>
      <c r="I543" t="s">
        <v>19447</v>
      </c>
      <c r="J543">
        <v>10</v>
      </c>
      <c r="L543" t="s">
        <v>2709</v>
      </c>
      <c r="M543">
        <v>7049000</v>
      </c>
      <c r="O543" t="s">
        <v>19900</v>
      </c>
      <c r="P543" t="s">
        <v>19899</v>
      </c>
      <c r="Q543" t="s">
        <v>19900</v>
      </c>
      <c r="R543" t="s">
        <v>19447</v>
      </c>
      <c r="S543" t="s">
        <v>19447</v>
      </c>
      <c r="T543" t="s">
        <v>19904</v>
      </c>
    </row>
    <row r="544" spans="2:20" x14ac:dyDescent="0.25">
      <c r="B544" t="s">
        <v>2709</v>
      </c>
      <c r="C544">
        <v>7051100</v>
      </c>
      <c r="E544">
        <v>0</v>
      </c>
      <c r="F544">
        <v>18</v>
      </c>
      <c r="G544">
        <v>0</v>
      </c>
      <c r="H544" t="s">
        <v>19447</v>
      </c>
      <c r="I544" t="s">
        <v>19447</v>
      </c>
      <c r="J544">
        <v>10</v>
      </c>
      <c r="L544" t="s">
        <v>2709</v>
      </c>
      <c r="M544">
        <v>7051100</v>
      </c>
      <c r="O544" t="s">
        <v>19900</v>
      </c>
      <c r="P544" t="s">
        <v>19899</v>
      </c>
      <c r="Q544" t="s">
        <v>19900</v>
      </c>
      <c r="R544" t="s">
        <v>19447</v>
      </c>
      <c r="S544" t="s">
        <v>19447</v>
      </c>
      <c r="T544" t="s">
        <v>19904</v>
      </c>
    </row>
    <row r="545" spans="2:20" x14ac:dyDescent="0.25">
      <c r="B545" t="s">
        <v>2709</v>
      </c>
      <c r="C545">
        <v>7051900</v>
      </c>
      <c r="E545">
        <v>0</v>
      </c>
      <c r="F545">
        <v>18</v>
      </c>
      <c r="G545">
        <v>0</v>
      </c>
      <c r="H545" t="s">
        <v>19447</v>
      </c>
      <c r="I545" t="s">
        <v>19447</v>
      </c>
      <c r="J545">
        <v>10</v>
      </c>
      <c r="L545" t="s">
        <v>2709</v>
      </c>
      <c r="M545">
        <v>7051900</v>
      </c>
      <c r="O545" t="s">
        <v>19900</v>
      </c>
      <c r="P545" t="s">
        <v>19899</v>
      </c>
      <c r="Q545" t="s">
        <v>19900</v>
      </c>
      <c r="R545" t="s">
        <v>19447</v>
      </c>
      <c r="S545" t="s">
        <v>19447</v>
      </c>
      <c r="T545" t="s">
        <v>19904</v>
      </c>
    </row>
    <row r="546" spans="2:20" x14ac:dyDescent="0.25">
      <c r="B546" t="s">
        <v>2709</v>
      </c>
      <c r="C546">
        <v>7052100</v>
      </c>
      <c r="E546">
        <v>0</v>
      </c>
      <c r="F546">
        <v>18</v>
      </c>
      <c r="G546">
        <v>0</v>
      </c>
      <c r="H546" t="s">
        <v>19447</v>
      </c>
      <c r="I546" t="s">
        <v>19447</v>
      </c>
      <c r="J546">
        <v>10</v>
      </c>
      <c r="L546" t="s">
        <v>2709</v>
      </c>
      <c r="M546">
        <v>7052100</v>
      </c>
      <c r="O546" t="s">
        <v>19900</v>
      </c>
      <c r="P546" t="s">
        <v>19899</v>
      </c>
      <c r="Q546" t="s">
        <v>19900</v>
      </c>
      <c r="R546" t="s">
        <v>19447</v>
      </c>
      <c r="S546" t="s">
        <v>19447</v>
      </c>
      <c r="T546" t="s">
        <v>19904</v>
      </c>
    </row>
    <row r="547" spans="2:20" x14ac:dyDescent="0.25">
      <c r="B547" t="s">
        <v>2709</v>
      </c>
      <c r="C547">
        <v>7052900</v>
      </c>
      <c r="E547">
        <v>0</v>
      </c>
      <c r="F547">
        <v>18</v>
      </c>
      <c r="G547">
        <v>0</v>
      </c>
      <c r="H547" t="s">
        <v>19447</v>
      </c>
      <c r="I547" t="s">
        <v>19447</v>
      </c>
      <c r="J547">
        <v>10</v>
      </c>
      <c r="L547" t="s">
        <v>2709</v>
      </c>
      <c r="M547">
        <v>7052900</v>
      </c>
      <c r="O547" t="s">
        <v>19900</v>
      </c>
      <c r="P547" t="s">
        <v>19899</v>
      </c>
      <c r="Q547" t="s">
        <v>19900</v>
      </c>
      <c r="R547" t="s">
        <v>19447</v>
      </c>
      <c r="S547" t="s">
        <v>19447</v>
      </c>
      <c r="T547" t="s">
        <v>19904</v>
      </c>
    </row>
    <row r="548" spans="2:20" x14ac:dyDescent="0.25">
      <c r="B548" t="s">
        <v>2709</v>
      </c>
      <c r="C548">
        <v>7061000</v>
      </c>
      <c r="E548">
        <v>0</v>
      </c>
      <c r="F548">
        <v>18</v>
      </c>
      <c r="G548">
        <v>0</v>
      </c>
      <c r="H548" t="s">
        <v>19447</v>
      </c>
      <c r="I548" t="s">
        <v>19447</v>
      </c>
      <c r="J548">
        <v>10</v>
      </c>
      <c r="L548" t="s">
        <v>2709</v>
      </c>
      <c r="M548">
        <v>7061000</v>
      </c>
      <c r="O548" t="s">
        <v>19900</v>
      </c>
      <c r="P548" t="s">
        <v>19899</v>
      </c>
      <c r="Q548" t="s">
        <v>19900</v>
      </c>
      <c r="R548" t="s">
        <v>19447</v>
      </c>
      <c r="S548" t="s">
        <v>19447</v>
      </c>
      <c r="T548" t="s">
        <v>19904</v>
      </c>
    </row>
    <row r="549" spans="2:20" x14ac:dyDescent="0.25">
      <c r="B549" t="s">
        <v>2709</v>
      </c>
      <c r="C549">
        <v>7069000</v>
      </c>
      <c r="E549">
        <v>0</v>
      </c>
      <c r="F549">
        <v>18</v>
      </c>
      <c r="G549">
        <v>0</v>
      </c>
      <c r="H549" t="s">
        <v>19447</v>
      </c>
      <c r="I549" t="s">
        <v>19447</v>
      </c>
      <c r="J549">
        <v>10</v>
      </c>
      <c r="L549" t="s">
        <v>2709</v>
      </c>
      <c r="M549">
        <v>7069000</v>
      </c>
      <c r="O549" t="s">
        <v>19900</v>
      </c>
      <c r="P549" t="s">
        <v>19899</v>
      </c>
      <c r="Q549" t="s">
        <v>19900</v>
      </c>
      <c r="R549" t="s">
        <v>19447</v>
      </c>
      <c r="S549" t="s">
        <v>19447</v>
      </c>
      <c r="T549" t="s">
        <v>19904</v>
      </c>
    </row>
    <row r="550" spans="2:20" x14ac:dyDescent="0.25">
      <c r="B550" t="s">
        <v>2709</v>
      </c>
      <c r="C550">
        <v>7070000</v>
      </c>
      <c r="E550">
        <v>0</v>
      </c>
      <c r="F550">
        <v>18</v>
      </c>
      <c r="G550">
        <v>0</v>
      </c>
      <c r="H550" t="s">
        <v>19447</v>
      </c>
      <c r="I550" t="s">
        <v>19447</v>
      </c>
      <c r="J550">
        <v>10</v>
      </c>
      <c r="L550" t="s">
        <v>2709</v>
      </c>
      <c r="M550">
        <v>7070000</v>
      </c>
      <c r="O550" t="s">
        <v>19900</v>
      </c>
      <c r="P550" t="s">
        <v>19899</v>
      </c>
      <c r="Q550" t="s">
        <v>19900</v>
      </c>
      <c r="R550" t="s">
        <v>19447</v>
      </c>
      <c r="S550" t="s">
        <v>19447</v>
      </c>
      <c r="T550" t="s">
        <v>19904</v>
      </c>
    </row>
    <row r="551" spans="2:20" x14ac:dyDescent="0.25">
      <c r="B551" t="s">
        <v>2709</v>
      </c>
      <c r="C551">
        <v>7081000</v>
      </c>
      <c r="E551">
        <v>0</v>
      </c>
      <c r="F551">
        <v>7</v>
      </c>
      <c r="G551">
        <v>0</v>
      </c>
      <c r="H551" t="s">
        <v>19447</v>
      </c>
      <c r="I551" t="s">
        <v>19447</v>
      </c>
      <c r="J551">
        <v>10</v>
      </c>
      <c r="L551" t="s">
        <v>2709</v>
      </c>
      <c r="M551">
        <v>7081000</v>
      </c>
      <c r="O551" t="s">
        <v>19900</v>
      </c>
      <c r="P551" t="s">
        <v>19908</v>
      </c>
      <c r="Q551" t="s">
        <v>19900</v>
      </c>
      <c r="R551" t="s">
        <v>19447</v>
      </c>
      <c r="S551" t="s">
        <v>19447</v>
      </c>
      <c r="T551" t="s">
        <v>19904</v>
      </c>
    </row>
    <row r="552" spans="2:20" x14ac:dyDescent="0.25">
      <c r="B552" t="s">
        <v>2709</v>
      </c>
      <c r="C552">
        <v>7082000</v>
      </c>
      <c r="E552">
        <v>0</v>
      </c>
      <c r="F552">
        <v>7</v>
      </c>
      <c r="G552">
        <v>0</v>
      </c>
      <c r="H552" t="s">
        <v>19447</v>
      </c>
      <c r="I552" t="s">
        <v>19447</v>
      </c>
      <c r="J552">
        <v>10</v>
      </c>
      <c r="L552" t="s">
        <v>2709</v>
      </c>
      <c r="M552">
        <v>7082000</v>
      </c>
      <c r="O552" t="s">
        <v>19900</v>
      </c>
      <c r="P552" t="s">
        <v>19908</v>
      </c>
      <c r="Q552" t="s">
        <v>19900</v>
      </c>
      <c r="R552" t="s">
        <v>19447</v>
      </c>
      <c r="S552" t="s">
        <v>19447</v>
      </c>
      <c r="T552" t="s">
        <v>19904</v>
      </c>
    </row>
    <row r="553" spans="2:20" x14ac:dyDescent="0.25">
      <c r="B553" t="s">
        <v>2709</v>
      </c>
      <c r="C553">
        <v>7089000</v>
      </c>
      <c r="E553">
        <v>0</v>
      </c>
      <c r="F553">
        <v>7</v>
      </c>
      <c r="G553">
        <v>0</v>
      </c>
      <c r="H553" t="s">
        <v>19447</v>
      </c>
      <c r="I553" t="s">
        <v>19447</v>
      </c>
      <c r="J553">
        <v>10</v>
      </c>
      <c r="L553" t="s">
        <v>2709</v>
      </c>
      <c r="M553">
        <v>7089000</v>
      </c>
      <c r="O553" t="s">
        <v>19900</v>
      </c>
      <c r="P553" t="s">
        <v>19908</v>
      </c>
      <c r="Q553" t="s">
        <v>19900</v>
      </c>
      <c r="R553" t="s">
        <v>19447</v>
      </c>
      <c r="S553" t="s">
        <v>19447</v>
      </c>
      <c r="T553" t="s">
        <v>19904</v>
      </c>
    </row>
    <row r="554" spans="2:20" x14ac:dyDescent="0.25">
      <c r="B554" t="s">
        <v>2709</v>
      </c>
      <c r="C554">
        <v>7092000</v>
      </c>
      <c r="E554">
        <v>0</v>
      </c>
      <c r="F554">
        <v>18</v>
      </c>
      <c r="G554">
        <v>0</v>
      </c>
      <c r="H554" t="s">
        <v>19447</v>
      </c>
      <c r="I554" t="s">
        <v>19447</v>
      </c>
      <c r="J554">
        <v>10</v>
      </c>
      <c r="L554" t="s">
        <v>2709</v>
      </c>
      <c r="M554">
        <v>7092000</v>
      </c>
      <c r="O554" t="s">
        <v>19900</v>
      </c>
      <c r="P554" t="s">
        <v>19899</v>
      </c>
      <c r="Q554" t="s">
        <v>19900</v>
      </c>
      <c r="R554" t="s">
        <v>19447</v>
      </c>
      <c r="S554" t="s">
        <v>19447</v>
      </c>
      <c r="T554" t="s">
        <v>19904</v>
      </c>
    </row>
    <row r="555" spans="2:20" x14ac:dyDescent="0.25">
      <c r="B555" t="s">
        <v>2709</v>
      </c>
      <c r="C555">
        <v>7093000</v>
      </c>
      <c r="E555">
        <v>0</v>
      </c>
      <c r="F555">
        <v>18</v>
      </c>
      <c r="G555">
        <v>0</v>
      </c>
      <c r="H555" t="s">
        <v>19447</v>
      </c>
      <c r="I555" t="s">
        <v>19447</v>
      </c>
      <c r="J555">
        <v>10</v>
      </c>
      <c r="L555" t="s">
        <v>2709</v>
      </c>
      <c r="M555">
        <v>7093000</v>
      </c>
      <c r="O555" t="s">
        <v>19900</v>
      </c>
      <c r="P555" t="s">
        <v>19899</v>
      </c>
      <c r="Q555" t="s">
        <v>19900</v>
      </c>
      <c r="R555" t="s">
        <v>19447</v>
      </c>
      <c r="S555" t="s">
        <v>19447</v>
      </c>
      <c r="T555" t="s">
        <v>19904</v>
      </c>
    </row>
    <row r="556" spans="2:20" x14ac:dyDescent="0.25">
      <c r="B556" t="s">
        <v>2709</v>
      </c>
      <c r="C556">
        <v>7094000</v>
      </c>
      <c r="E556">
        <v>0</v>
      </c>
      <c r="F556">
        <v>18</v>
      </c>
      <c r="G556">
        <v>0</v>
      </c>
      <c r="H556" t="s">
        <v>19447</v>
      </c>
      <c r="I556" t="s">
        <v>19447</v>
      </c>
      <c r="J556">
        <v>10</v>
      </c>
      <c r="L556" t="s">
        <v>2709</v>
      </c>
      <c r="M556">
        <v>7094000</v>
      </c>
      <c r="O556" t="s">
        <v>19900</v>
      </c>
      <c r="P556" t="s">
        <v>19899</v>
      </c>
      <c r="Q556" t="s">
        <v>19900</v>
      </c>
      <c r="R556" t="s">
        <v>19447</v>
      </c>
      <c r="S556" t="s">
        <v>19447</v>
      </c>
      <c r="T556" t="s">
        <v>19904</v>
      </c>
    </row>
    <row r="557" spans="2:20" x14ac:dyDescent="0.25">
      <c r="B557" t="s">
        <v>2709</v>
      </c>
      <c r="C557">
        <v>7095100</v>
      </c>
      <c r="E557">
        <v>0</v>
      </c>
      <c r="F557">
        <v>18</v>
      </c>
      <c r="G557">
        <v>0</v>
      </c>
      <c r="H557" t="s">
        <v>19447</v>
      </c>
      <c r="I557" t="s">
        <v>19447</v>
      </c>
      <c r="J557">
        <v>10</v>
      </c>
      <c r="L557" t="s">
        <v>2709</v>
      </c>
      <c r="M557">
        <v>7095100</v>
      </c>
      <c r="O557" t="s">
        <v>19900</v>
      </c>
      <c r="P557" t="s">
        <v>19899</v>
      </c>
      <c r="Q557" t="s">
        <v>19900</v>
      </c>
      <c r="R557" t="s">
        <v>19447</v>
      </c>
      <c r="S557" t="s">
        <v>19447</v>
      </c>
      <c r="T557" t="s">
        <v>19904</v>
      </c>
    </row>
    <row r="558" spans="2:20" x14ac:dyDescent="0.25">
      <c r="B558" t="s">
        <v>2709</v>
      </c>
      <c r="C558">
        <v>7095900</v>
      </c>
      <c r="E558">
        <v>0</v>
      </c>
      <c r="F558">
        <v>18</v>
      </c>
      <c r="G558">
        <v>0</v>
      </c>
      <c r="H558" t="s">
        <v>19447</v>
      </c>
      <c r="I558" t="s">
        <v>19447</v>
      </c>
      <c r="J558">
        <v>10</v>
      </c>
      <c r="L558" t="s">
        <v>2709</v>
      </c>
      <c r="M558">
        <v>7095900</v>
      </c>
      <c r="O558" t="s">
        <v>19900</v>
      </c>
      <c r="P558" t="s">
        <v>19899</v>
      </c>
      <c r="Q558" t="s">
        <v>19900</v>
      </c>
      <c r="R558" t="s">
        <v>19447</v>
      </c>
      <c r="S558" t="s">
        <v>19447</v>
      </c>
      <c r="T558" t="s">
        <v>19904</v>
      </c>
    </row>
    <row r="559" spans="2:20" x14ac:dyDescent="0.25">
      <c r="B559" t="s">
        <v>2709</v>
      </c>
      <c r="C559">
        <v>7096000</v>
      </c>
      <c r="E559">
        <v>0</v>
      </c>
      <c r="F559">
        <v>18</v>
      </c>
      <c r="G559">
        <v>0</v>
      </c>
      <c r="H559" t="s">
        <v>19447</v>
      </c>
      <c r="I559" t="s">
        <v>19447</v>
      </c>
      <c r="J559">
        <v>10</v>
      </c>
      <c r="L559" t="s">
        <v>2709</v>
      </c>
      <c r="M559">
        <v>7096000</v>
      </c>
      <c r="O559" t="s">
        <v>19900</v>
      </c>
      <c r="P559" t="s">
        <v>19899</v>
      </c>
      <c r="Q559" t="s">
        <v>19900</v>
      </c>
      <c r="R559" t="s">
        <v>19447</v>
      </c>
      <c r="S559" t="s">
        <v>19447</v>
      </c>
      <c r="T559" t="s">
        <v>19904</v>
      </c>
    </row>
    <row r="560" spans="2:20" x14ac:dyDescent="0.25">
      <c r="B560" t="s">
        <v>2709</v>
      </c>
      <c r="C560">
        <v>7097000</v>
      </c>
      <c r="E560">
        <v>0</v>
      </c>
      <c r="F560">
        <v>18</v>
      </c>
      <c r="G560">
        <v>0</v>
      </c>
      <c r="H560" t="s">
        <v>19447</v>
      </c>
      <c r="I560" t="s">
        <v>19447</v>
      </c>
      <c r="J560">
        <v>10</v>
      </c>
      <c r="L560" t="s">
        <v>2709</v>
      </c>
      <c r="M560">
        <v>7097000</v>
      </c>
      <c r="O560" t="s">
        <v>19900</v>
      </c>
      <c r="P560" t="s">
        <v>19899</v>
      </c>
      <c r="Q560" t="s">
        <v>19900</v>
      </c>
      <c r="R560" t="s">
        <v>19447</v>
      </c>
      <c r="S560" t="s">
        <v>19447</v>
      </c>
      <c r="T560" t="s">
        <v>19904</v>
      </c>
    </row>
    <row r="561" spans="2:20" x14ac:dyDescent="0.25">
      <c r="B561" t="s">
        <v>2709</v>
      </c>
      <c r="C561">
        <v>7099100</v>
      </c>
      <c r="E561">
        <v>0</v>
      </c>
      <c r="F561">
        <v>18</v>
      </c>
      <c r="G561">
        <v>0</v>
      </c>
      <c r="H561" t="s">
        <v>19447</v>
      </c>
      <c r="I561" t="s">
        <v>19447</v>
      </c>
      <c r="J561">
        <v>10</v>
      </c>
      <c r="L561" t="s">
        <v>2709</v>
      </c>
      <c r="M561">
        <v>7099100</v>
      </c>
      <c r="O561" t="s">
        <v>19900</v>
      </c>
      <c r="P561" t="s">
        <v>19899</v>
      </c>
      <c r="Q561" t="s">
        <v>19900</v>
      </c>
      <c r="R561" t="s">
        <v>19447</v>
      </c>
      <c r="S561" t="s">
        <v>19447</v>
      </c>
      <c r="T561" t="s">
        <v>19904</v>
      </c>
    </row>
    <row r="562" spans="2:20" x14ac:dyDescent="0.25">
      <c r="B562" t="s">
        <v>2709</v>
      </c>
      <c r="C562">
        <v>7099200</v>
      </c>
      <c r="E562">
        <v>0</v>
      </c>
      <c r="F562">
        <v>18</v>
      </c>
      <c r="G562">
        <v>0</v>
      </c>
      <c r="H562" t="s">
        <v>19447</v>
      </c>
      <c r="I562" t="s">
        <v>19447</v>
      </c>
      <c r="J562">
        <v>10</v>
      </c>
      <c r="L562" t="s">
        <v>2709</v>
      </c>
      <c r="M562">
        <v>7099200</v>
      </c>
      <c r="O562" t="s">
        <v>19900</v>
      </c>
      <c r="P562" t="s">
        <v>19899</v>
      </c>
      <c r="Q562" t="s">
        <v>19900</v>
      </c>
      <c r="R562" t="s">
        <v>19447</v>
      </c>
      <c r="S562" t="s">
        <v>19447</v>
      </c>
      <c r="T562" t="s">
        <v>19904</v>
      </c>
    </row>
    <row r="563" spans="2:20" x14ac:dyDescent="0.25">
      <c r="B563" t="s">
        <v>2709</v>
      </c>
      <c r="C563">
        <v>7099300</v>
      </c>
      <c r="E563">
        <v>0</v>
      </c>
      <c r="F563">
        <v>18</v>
      </c>
      <c r="G563">
        <v>0</v>
      </c>
      <c r="H563" t="s">
        <v>19447</v>
      </c>
      <c r="I563" t="s">
        <v>19447</v>
      </c>
      <c r="J563">
        <v>10</v>
      </c>
      <c r="L563" t="s">
        <v>2709</v>
      </c>
      <c r="M563">
        <v>7099300</v>
      </c>
      <c r="O563" t="s">
        <v>19900</v>
      </c>
      <c r="P563" t="s">
        <v>19899</v>
      </c>
      <c r="Q563" t="s">
        <v>19900</v>
      </c>
      <c r="R563" t="s">
        <v>19447</v>
      </c>
      <c r="S563" t="s">
        <v>19447</v>
      </c>
      <c r="T563" t="s">
        <v>19904</v>
      </c>
    </row>
    <row r="564" spans="2:20" x14ac:dyDescent="0.25">
      <c r="B564" t="s">
        <v>2709</v>
      </c>
      <c r="C564">
        <v>7099911</v>
      </c>
      <c r="E564">
        <v>0</v>
      </c>
      <c r="F564">
        <v>18</v>
      </c>
      <c r="G564">
        <v>0</v>
      </c>
      <c r="H564" t="s">
        <v>19447</v>
      </c>
      <c r="I564" t="s">
        <v>19447</v>
      </c>
      <c r="J564">
        <v>0</v>
      </c>
      <c r="L564" t="s">
        <v>2709</v>
      </c>
      <c r="M564">
        <v>7099911</v>
      </c>
      <c r="O564" t="s">
        <v>19900</v>
      </c>
      <c r="P564" t="s">
        <v>19899</v>
      </c>
      <c r="Q564" t="s">
        <v>19900</v>
      </c>
      <c r="R564" t="s">
        <v>19447</v>
      </c>
      <c r="S564" t="s">
        <v>19447</v>
      </c>
      <c r="T564" t="s">
        <v>19900</v>
      </c>
    </row>
    <row r="565" spans="2:20" x14ac:dyDescent="0.25">
      <c r="B565" t="s">
        <v>2709</v>
      </c>
      <c r="C565">
        <v>7099919</v>
      </c>
      <c r="E565">
        <v>0</v>
      </c>
      <c r="F565">
        <v>18</v>
      </c>
      <c r="G565">
        <v>0</v>
      </c>
      <c r="H565" t="s">
        <v>19447</v>
      </c>
      <c r="I565" t="s">
        <v>19447</v>
      </c>
      <c r="J565">
        <v>10</v>
      </c>
      <c r="L565" t="s">
        <v>2709</v>
      </c>
      <c r="M565">
        <v>7099919</v>
      </c>
      <c r="O565" t="s">
        <v>19900</v>
      </c>
      <c r="P565" t="s">
        <v>19899</v>
      </c>
      <c r="Q565" t="s">
        <v>19900</v>
      </c>
      <c r="R565" t="s">
        <v>19447</v>
      </c>
      <c r="S565" t="s">
        <v>19447</v>
      </c>
      <c r="T565" t="s">
        <v>19904</v>
      </c>
    </row>
    <row r="566" spans="2:20" x14ac:dyDescent="0.25">
      <c r="B566" t="s">
        <v>2709</v>
      </c>
      <c r="C566">
        <v>7099990</v>
      </c>
      <c r="E566">
        <v>0</v>
      </c>
      <c r="F566">
        <v>18</v>
      </c>
      <c r="G566">
        <v>0</v>
      </c>
      <c r="H566" t="s">
        <v>19447</v>
      </c>
      <c r="I566" t="s">
        <v>19447</v>
      </c>
      <c r="J566">
        <v>10</v>
      </c>
      <c r="L566" t="s">
        <v>2709</v>
      </c>
      <c r="M566">
        <v>7099990</v>
      </c>
      <c r="O566" t="s">
        <v>19900</v>
      </c>
      <c r="P566" t="s">
        <v>19899</v>
      </c>
      <c r="Q566" t="s">
        <v>19900</v>
      </c>
      <c r="R566" t="s">
        <v>19447</v>
      </c>
      <c r="S566" t="s">
        <v>19447</v>
      </c>
      <c r="T566" t="s">
        <v>19904</v>
      </c>
    </row>
    <row r="567" spans="2:20" x14ac:dyDescent="0.25">
      <c r="B567" t="s">
        <v>2709</v>
      </c>
      <c r="C567">
        <v>7101000</v>
      </c>
      <c r="E567">
        <v>42.33</v>
      </c>
      <c r="F567">
        <v>18</v>
      </c>
      <c r="G567">
        <v>0</v>
      </c>
      <c r="H567" t="s">
        <v>19447</v>
      </c>
      <c r="I567" t="s">
        <v>19447</v>
      </c>
      <c r="J567">
        <v>10</v>
      </c>
      <c r="L567" t="s">
        <v>2709</v>
      </c>
      <c r="M567">
        <v>7101000</v>
      </c>
      <c r="O567" t="s">
        <v>19920</v>
      </c>
      <c r="P567" t="s">
        <v>19899</v>
      </c>
      <c r="Q567" t="s">
        <v>19900</v>
      </c>
      <c r="R567" t="s">
        <v>19447</v>
      </c>
      <c r="S567" t="s">
        <v>19447</v>
      </c>
      <c r="T567" t="s">
        <v>19904</v>
      </c>
    </row>
    <row r="568" spans="2:20" x14ac:dyDescent="0.25">
      <c r="B568" t="s">
        <v>2709</v>
      </c>
      <c r="C568">
        <v>7102100</v>
      </c>
      <c r="E568">
        <v>42.33</v>
      </c>
      <c r="F568">
        <v>18</v>
      </c>
      <c r="G568">
        <v>0</v>
      </c>
      <c r="H568" t="s">
        <v>19447</v>
      </c>
      <c r="I568" t="s">
        <v>19447</v>
      </c>
      <c r="J568">
        <v>10</v>
      </c>
      <c r="L568" t="s">
        <v>2709</v>
      </c>
      <c r="M568">
        <v>7102100</v>
      </c>
      <c r="O568" t="s">
        <v>19920</v>
      </c>
      <c r="P568" t="s">
        <v>19899</v>
      </c>
      <c r="Q568" t="s">
        <v>19900</v>
      </c>
      <c r="R568" t="s">
        <v>19447</v>
      </c>
      <c r="S568" t="s">
        <v>19447</v>
      </c>
      <c r="T568" t="s">
        <v>19904</v>
      </c>
    </row>
    <row r="569" spans="2:20" x14ac:dyDescent="0.25">
      <c r="B569" t="s">
        <v>2709</v>
      </c>
      <c r="C569">
        <v>7102200</v>
      </c>
      <c r="E569">
        <v>42.33</v>
      </c>
      <c r="F569">
        <v>7</v>
      </c>
      <c r="G569">
        <v>0</v>
      </c>
      <c r="H569" t="s">
        <v>19447</v>
      </c>
      <c r="I569" t="s">
        <v>19447</v>
      </c>
      <c r="J569">
        <v>10</v>
      </c>
      <c r="L569" t="s">
        <v>2709</v>
      </c>
      <c r="M569">
        <v>7102200</v>
      </c>
      <c r="O569" t="s">
        <v>19920</v>
      </c>
      <c r="P569" t="s">
        <v>19908</v>
      </c>
      <c r="Q569" t="s">
        <v>19900</v>
      </c>
      <c r="R569" t="s">
        <v>19447</v>
      </c>
      <c r="S569" t="s">
        <v>19447</v>
      </c>
      <c r="T569" t="s">
        <v>19904</v>
      </c>
    </row>
    <row r="570" spans="2:20" x14ac:dyDescent="0.25">
      <c r="B570" t="s">
        <v>2709</v>
      </c>
      <c r="C570">
        <v>7102900</v>
      </c>
      <c r="E570">
        <v>42.33</v>
      </c>
      <c r="F570">
        <v>18</v>
      </c>
      <c r="G570">
        <v>0</v>
      </c>
      <c r="H570" t="s">
        <v>19447</v>
      </c>
      <c r="I570" t="s">
        <v>19447</v>
      </c>
      <c r="J570">
        <v>10</v>
      </c>
      <c r="L570" t="s">
        <v>2709</v>
      </c>
      <c r="M570">
        <v>7102900</v>
      </c>
      <c r="O570" t="s">
        <v>19920</v>
      </c>
      <c r="P570" t="s">
        <v>19899</v>
      </c>
      <c r="Q570" t="s">
        <v>19900</v>
      </c>
      <c r="R570" t="s">
        <v>19447</v>
      </c>
      <c r="S570" t="s">
        <v>19447</v>
      </c>
      <c r="T570" t="s">
        <v>19904</v>
      </c>
    </row>
    <row r="571" spans="2:20" x14ac:dyDescent="0.25">
      <c r="B571" t="s">
        <v>2709</v>
      </c>
      <c r="C571">
        <v>7103000</v>
      </c>
      <c r="E571">
        <v>42.33</v>
      </c>
      <c r="F571">
        <v>18</v>
      </c>
      <c r="G571">
        <v>0</v>
      </c>
      <c r="H571" t="s">
        <v>19447</v>
      </c>
      <c r="I571" t="s">
        <v>19447</v>
      </c>
      <c r="J571">
        <v>10</v>
      </c>
      <c r="L571" t="s">
        <v>2709</v>
      </c>
      <c r="M571">
        <v>7103000</v>
      </c>
      <c r="O571" t="s">
        <v>19920</v>
      </c>
      <c r="P571" t="s">
        <v>19899</v>
      </c>
      <c r="Q571" t="s">
        <v>19900</v>
      </c>
      <c r="R571" t="s">
        <v>19447</v>
      </c>
      <c r="S571" t="s">
        <v>19447</v>
      </c>
      <c r="T571" t="s">
        <v>19904</v>
      </c>
    </row>
    <row r="572" spans="2:20" x14ac:dyDescent="0.25">
      <c r="B572" t="s">
        <v>2709</v>
      </c>
      <c r="C572">
        <v>7104000</v>
      </c>
      <c r="E572">
        <v>42.33</v>
      </c>
      <c r="F572">
        <v>18</v>
      </c>
      <c r="G572">
        <v>0</v>
      </c>
      <c r="H572" t="s">
        <v>19447</v>
      </c>
      <c r="I572" t="s">
        <v>19447</v>
      </c>
      <c r="J572">
        <v>10</v>
      </c>
      <c r="L572" t="s">
        <v>2709</v>
      </c>
      <c r="M572">
        <v>7104000</v>
      </c>
      <c r="O572" t="s">
        <v>19920</v>
      </c>
      <c r="P572" t="s">
        <v>19899</v>
      </c>
      <c r="Q572" t="s">
        <v>19900</v>
      </c>
      <c r="R572" t="s">
        <v>19447</v>
      </c>
      <c r="S572" t="s">
        <v>19447</v>
      </c>
      <c r="T572" t="s">
        <v>19904</v>
      </c>
    </row>
    <row r="573" spans="2:20" x14ac:dyDescent="0.25">
      <c r="B573" t="s">
        <v>2709</v>
      </c>
      <c r="C573">
        <v>7108000</v>
      </c>
      <c r="E573">
        <v>42.33</v>
      </c>
      <c r="F573">
        <v>18</v>
      </c>
      <c r="G573">
        <v>0</v>
      </c>
      <c r="H573" t="s">
        <v>19447</v>
      </c>
      <c r="I573" t="s">
        <v>19447</v>
      </c>
      <c r="J573">
        <v>10</v>
      </c>
      <c r="L573" t="s">
        <v>2709</v>
      </c>
      <c r="M573">
        <v>7108000</v>
      </c>
      <c r="O573" t="s">
        <v>19920</v>
      </c>
      <c r="P573" t="s">
        <v>19899</v>
      </c>
      <c r="Q573" t="s">
        <v>19900</v>
      </c>
      <c r="R573" t="s">
        <v>19447</v>
      </c>
      <c r="S573" t="s">
        <v>19447</v>
      </c>
      <c r="T573" t="s">
        <v>19904</v>
      </c>
    </row>
    <row r="574" spans="2:20" x14ac:dyDescent="0.25">
      <c r="B574" t="s">
        <v>2709</v>
      </c>
      <c r="C574">
        <v>7109000</v>
      </c>
      <c r="E574">
        <v>42.33</v>
      </c>
      <c r="F574">
        <v>18</v>
      </c>
      <c r="G574">
        <v>0</v>
      </c>
      <c r="H574" t="s">
        <v>19447</v>
      </c>
      <c r="I574" t="s">
        <v>19447</v>
      </c>
      <c r="J574">
        <v>10</v>
      </c>
      <c r="L574" t="s">
        <v>2709</v>
      </c>
      <c r="M574">
        <v>7109000</v>
      </c>
      <c r="O574" t="s">
        <v>19920</v>
      </c>
      <c r="P574" t="s">
        <v>19899</v>
      </c>
      <c r="Q574" t="s">
        <v>19900</v>
      </c>
      <c r="R574" t="s">
        <v>19447</v>
      </c>
      <c r="S574" t="s">
        <v>19447</v>
      </c>
      <c r="T574" t="s">
        <v>19904</v>
      </c>
    </row>
    <row r="575" spans="2:20" x14ac:dyDescent="0.25">
      <c r="B575" t="s">
        <v>2709</v>
      </c>
      <c r="C575">
        <v>7112010</v>
      </c>
      <c r="E575">
        <v>0</v>
      </c>
      <c r="F575">
        <v>18</v>
      </c>
      <c r="G575">
        <v>0</v>
      </c>
      <c r="H575" t="s">
        <v>19447</v>
      </c>
      <c r="I575" t="s">
        <v>19447</v>
      </c>
      <c r="J575">
        <v>10</v>
      </c>
      <c r="L575" t="s">
        <v>2709</v>
      </c>
      <c r="M575">
        <v>7112010</v>
      </c>
      <c r="O575" t="s">
        <v>19900</v>
      </c>
      <c r="P575" t="s">
        <v>19899</v>
      </c>
      <c r="Q575" t="s">
        <v>19900</v>
      </c>
      <c r="R575" t="s">
        <v>19447</v>
      </c>
      <c r="S575" t="s">
        <v>19447</v>
      </c>
      <c r="T575" t="s">
        <v>19904</v>
      </c>
    </row>
    <row r="576" spans="2:20" x14ac:dyDescent="0.25">
      <c r="B576" t="s">
        <v>2709</v>
      </c>
      <c r="C576">
        <v>7112020</v>
      </c>
      <c r="E576">
        <v>0</v>
      </c>
      <c r="F576">
        <v>18</v>
      </c>
      <c r="G576">
        <v>0</v>
      </c>
      <c r="H576" t="s">
        <v>19447</v>
      </c>
      <c r="I576" t="s">
        <v>19447</v>
      </c>
      <c r="J576">
        <v>10</v>
      </c>
      <c r="L576" t="s">
        <v>2709</v>
      </c>
      <c r="M576">
        <v>7112020</v>
      </c>
      <c r="O576" t="s">
        <v>19900</v>
      </c>
      <c r="P576" t="s">
        <v>19899</v>
      </c>
      <c r="Q576" t="s">
        <v>19900</v>
      </c>
      <c r="R576" t="s">
        <v>19447</v>
      </c>
      <c r="S576" t="s">
        <v>19447</v>
      </c>
      <c r="T576" t="s">
        <v>19904</v>
      </c>
    </row>
    <row r="577" spans="2:20" x14ac:dyDescent="0.25">
      <c r="B577" t="s">
        <v>2709</v>
      </c>
      <c r="C577">
        <v>7112090</v>
      </c>
      <c r="E577">
        <v>0</v>
      </c>
      <c r="F577">
        <v>18</v>
      </c>
      <c r="G577">
        <v>0</v>
      </c>
      <c r="H577" t="s">
        <v>19447</v>
      </c>
      <c r="I577" t="s">
        <v>19447</v>
      </c>
      <c r="J577">
        <v>10</v>
      </c>
      <c r="L577" t="s">
        <v>2709</v>
      </c>
      <c r="M577">
        <v>7112090</v>
      </c>
      <c r="O577" t="s">
        <v>19900</v>
      </c>
      <c r="P577" t="s">
        <v>19899</v>
      </c>
      <c r="Q577" t="s">
        <v>19900</v>
      </c>
      <c r="R577" t="s">
        <v>19447</v>
      </c>
      <c r="S577" t="s">
        <v>19447</v>
      </c>
      <c r="T577" t="s">
        <v>19904</v>
      </c>
    </row>
    <row r="578" spans="2:20" x14ac:dyDescent="0.25">
      <c r="B578" t="s">
        <v>2709</v>
      </c>
      <c r="C578">
        <v>7114000</v>
      </c>
      <c r="E578">
        <v>0</v>
      </c>
      <c r="F578">
        <v>18</v>
      </c>
      <c r="G578">
        <v>0</v>
      </c>
      <c r="H578" t="s">
        <v>19447</v>
      </c>
      <c r="I578" t="s">
        <v>19447</v>
      </c>
      <c r="J578">
        <v>10</v>
      </c>
      <c r="L578" t="s">
        <v>2709</v>
      </c>
      <c r="M578">
        <v>7114000</v>
      </c>
      <c r="O578" t="s">
        <v>19900</v>
      </c>
      <c r="P578" t="s">
        <v>19899</v>
      </c>
      <c r="Q578" t="s">
        <v>19900</v>
      </c>
      <c r="R578" t="s">
        <v>19447</v>
      </c>
      <c r="S578" t="s">
        <v>19447</v>
      </c>
      <c r="T578" t="s">
        <v>19904</v>
      </c>
    </row>
    <row r="579" spans="2:20" x14ac:dyDescent="0.25">
      <c r="B579" t="s">
        <v>2709</v>
      </c>
      <c r="C579">
        <v>7114000</v>
      </c>
      <c r="D579">
        <v>1</v>
      </c>
      <c r="E579" t="s">
        <v>19447</v>
      </c>
      <c r="F579">
        <v>18</v>
      </c>
      <c r="G579">
        <v>0</v>
      </c>
      <c r="H579">
        <v>7.6</v>
      </c>
      <c r="I579">
        <v>1.65</v>
      </c>
      <c r="J579">
        <v>10</v>
      </c>
      <c r="L579" t="s">
        <v>2709</v>
      </c>
      <c r="M579">
        <v>7114000</v>
      </c>
      <c r="N579">
        <v>1</v>
      </c>
      <c r="O579" t="s">
        <v>19447</v>
      </c>
      <c r="P579" t="s">
        <v>19899</v>
      </c>
      <c r="Q579" t="s">
        <v>19900</v>
      </c>
      <c r="R579" t="s">
        <v>19905</v>
      </c>
      <c r="S579" t="s">
        <v>19906</v>
      </c>
      <c r="T579" t="s">
        <v>19904</v>
      </c>
    </row>
    <row r="580" spans="2:20" x14ac:dyDescent="0.25">
      <c r="B580" t="s">
        <v>2709</v>
      </c>
      <c r="C580">
        <v>7115100</v>
      </c>
      <c r="E580">
        <v>0</v>
      </c>
      <c r="F580">
        <v>18</v>
      </c>
      <c r="G580">
        <v>0</v>
      </c>
      <c r="H580" t="s">
        <v>19447</v>
      </c>
      <c r="I580" t="s">
        <v>19447</v>
      </c>
      <c r="J580">
        <v>35</v>
      </c>
      <c r="L580" t="s">
        <v>2709</v>
      </c>
      <c r="M580">
        <v>7115100</v>
      </c>
      <c r="O580" t="s">
        <v>19900</v>
      </c>
      <c r="P580" t="s">
        <v>19899</v>
      </c>
      <c r="Q580" t="s">
        <v>19900</v>
      </c>
      <c r="R580" t="s">
        <v>19447</v>
      </c>
      <c r="S580" t="s">
        <v>19447</v>
      </c>
      <c r="T580" t="s">
        <v>19919</v>
      </c>
    </row>
    <row r="581" spans="2:20" x14ac:dyDescent="0.25">
      <c r="B581" t="s">
        <v>2709</v>
      </c>
      <c r="C581">
        <v>7115100</v>
      </c>
      <c r="D581">
        <v>1</v>
      </c>
      <c r="E581" t="s">
        <v>19447</v>
      </c>
      <c r="F581">
        <v>18</v>
      </c>
      <c r="G581">
        <v>0</v>
      </c>
      <c r="H581">
        <v>7.6</v>
      </c>
      <c r="I581">
        <v>1.65</v>
      </c>
      <c r="J581">
        <v>35</v>
      </c>
      <c r="L581" t="s">
        <v>2709</v>
      </c>
      <c r="M581">
        <v>7115100</v>
      </c>
      <c r="N581">
        <v>1</v>
      </c>
      <c r="O581" t="s">
        <v>19447</v>
      </c>
      <c r="P581" t="s">
        <v>19899</v>
      </c>
      <c r="Q581" t="s">
        <v>19900</v>
      </c>
      <c r="R581" t="s">
        <v>19905</v>
      </c>
      <c r="S581" t="s">
        <v>19906</v>
      </c>
      <c r="T581" t="s">
        <v>19919</v>
      </c>
    </row>
    <row r="582" spans="2:20" x14ac:dyDescent="0.25">
      <c r="B582" t="s">
        <v>2709</v>
      </c>
      <c r="C582">
        <v>7115900</v>
      </c>
      <c r="E582">
        <v>0</v>
      </c>
      <c r="F582">
        <v>18</v>
      </c>
      <c r="G582">
        <v>5</v>
      </c>
      <c r="H582" t="s">
        <v>19447</v>
      </c>
      <c r="I582" t="s">
        <v>19447</v>
      </c>
      <c r="J582">
        <v>10</v>
      </c>
      <c r="L582" t="s">
        <v>2709</v>
      </c>
      <c r="M582">
        <v>7115900</v>
      </c>
      <c r="O582" t="s">
        <v>19900</v>
      </c>
      <c r="P582" t="s">
        <v>19899</v>
      </c>
      <c r="Q582" t="s">
        <v>19909</v>
      </c>
      <c r="R582" t="s">
        <v>19447</v>
      </c>
      <c r="S582" t="s">
        <v>19447</v>
      </c>
      <c r="T582" t="s">
        <v>19904</v>
      </c>
    </row>
    <row r="583" spans="2:20" x14ac:dyDescent="0.25">
      <c r="B583" t="s">
        <v>2709</v>
      </c>
      <c r="C583">
        <v>7115900</v>
      </c>
      <c r="D583">
        <v>1</v>
      </c>
      <c r="E583" t="s">
        <v>19447</v>
      </c>
      <c r="F583">
        <v>18</v>
      </c>
      <c r="G583">
        <v>0</v>
      </c>
      <c r="H583">
        <v>7.6</v>
      </c>
      <c r="I583">
        <v>1.65</v>
      </c>
      <c r="J583">
        <v>10</v>
      </c>
      <c r="L583" t="s">
        <v>2709</v>
      </c>
      <c r="M583">
        <v>7115900</v>
      </c>
      <c r="N583">
        <v>1</v>
      </c>
      <c r="O583" t="s">
        <v>19447</v>
      </c>
      <c r="P583" t="s">
        <v>19899</v>
      </c>
      <c r="Q583" t="s">
        <v>19900</v>
      </c>
      <c r="R583" t="s">
        <v>19905</v>
      </c>
      <c r="S583" t="s">
        <v>19906</v>
      </c>
      <c r="T583" t="s">
        <v>19904</v>
      </c>
    </row>
    <row r="584" spans="2:20" x14ac:dyDescent="0.25">
      <c r="B584" t="s">
        <v>2709</v>
      </c>
      <c r="C584">
        <v>7119000</v>
      </c>
      <c r="E584">
        <v>0</v>
      </c>
      <c r="F584">
        <v>18</v>
      </c>
      <c r="G584">
        <v>0</v>
      </c>
      <c r="H584" t="s">
        <v>19447</v>
      </c>
      <c r="I584" t="s">
        <v>19447</v>
      </c>
      <c r="J584">
        <v>10</v>
      </c>
      <c r="L584" t="s">
        <v>2709</v>
      </c>
      <c r="M584">
        <v>7119000</v>
      </c>
      <c r="O584" t="s">
        <v>19900</v>
      </c>
      <c r="P584" t="s">
        <v>19899</v>
      </c>
      <c r="Q584" t="s">
        <v>19900</v>
      </c>
      <c r="R584" t="s">
        <v>19447</v>
      </c>
      <c r="S584" t="s">
        <v>19447</v>
      </c>
      <c r="T584" t="s">
        <v>19904</v>
      </c>
    </row>
    <row r="585" spans="2:20" x14ac:dyDescent="0.25">
      <c r="B585" t="s">
        <v>2709</v>
      </c>
      <c r="C585">
        <v>7119000</v>
      </c>
      <c r="D585">
        <v>1</v>
      </c>
      <c r="E585" t="s">
        <v>19447</v>
      </c>
      <c r="F585">
        <v>18</v>
      </c>
      <c r="G585">
        <v>0</v>
      </c>
      <c r="H585">
        <v>7.6</v>
      </c>
      <c r="I585">
        <v>1.65</v>
      </c>
      <c r="J585">
        <v>10</v>
      </c>
      <c r="L585" t="s">
        <v>2709</v>
      </c>
      <c r="M585">
        <v>7119000</v>
      </c>
      <c r="N585">
        <v>1</v>
      </c>
      <c r="O585" t="s">
        <v>19447</v>
      </c>
      <c r="P585" t="s">
        <v>19899</v>
      </c>
      <c r="Q585" t="s">
        <v>19900</v>
      </c>
      <c r="R585" t="s">
        <v>19905</v>
      </c>
      <c r="S585" t="s">
        <v>19906</v>
      </c>
      <c r="T585" t="s">
        <v>19904</v>
      </c>
    </row>
    <row r="586" spans="2:20" x14ac:dyDescent="0.25">
      <c r="B586" t="s">
        <v>2709</v>
      </c>
      <c r="C586">
        <v>7122000</v>
      </c>
      <c r="E586">
        <v>0</v>
      </c>
      <c r="F586">
        <v>18</v>
      </c>
      <c r="G586">
        <v>0</v>
      </c>
      <c r="H586" t="s">
        <v>19447</v>
      </c>
      <c r="I586" t="s">
        <v>19447</v>
      </c>
      <c r="J586">
        <v>10</v>
      </c>
      <c r="L586" t="s">
        <v>2709</v>
      </c>
      <c r="M586">
        <v>7122000</v>
      </c>
      <c r="O586" t="s">
        <v>19900</v>
      </c>
      <c r="P586" t="s">
        <v>19899</v>
      </c>
      <c r="Q586" t="s">
        <v>19900</v>
      </c>
      <c r="R586" t="s">
        <v>19447</v>
      </c>
      <c r="S586" t="s">
        <v>19447</v>
      </c>
      <c r="T586" t="s">
        <v>19904</v>
      </c>
    </row>
    <row r="587" spans="2:20" x14ac:dyDescent="0.25">
      <c r="B587" t="s">
        <v>2709</v>
      </c>
      <c r="C587">
        <v>7123100</v>
      </c>
      <c r="E587">
        <v>0</v>
      </c>
      <c r="F587">
        <v>18</v>
      </c>
      <c r="G587">
        <v>0</v>
      </c>
      <c r="H587" t="s">
        <v>19447</v>
      </c>
      <c r="I587" t="s">
        <v>19447</v>
      </c>
      <c r="J587">
        <v>10</v>
      </c>
      <c r="L587" t="s">
        <v>2709</v>
      </c>
      <c r="M587">
        <v>7123100</v>
      </c>
      <c r="O587" t="s">
        <v>19900</v>
      </c>
      <c r="P587" t="s">
        <v>19899</v>
      </c>
      <c r="Q587" t="s">
        <v>19900</v>
      </c>
      <c r="R587" t="s">
        <v>19447</v>
      </c>
      <c r="S587" t="s">
        <v>19447</v>
      </c>
      <c r="T587" t="s">
        <v>19904</v>
      </c>
    </row>
    <row r="588" spans="2:20" x14ac:dyDescent="0.25">
      <c r="B588" t="s">
        <v>2709</v>
      </c>
      <c r="C588">
        <v>7123200</v>
      </c>
      <c r="E588">
        <v>0</v>
      </c>
      <c r="F588">
        <v>18</v>
      </c>
      <c r="G588">
        <v>0</v>
      </c>
      <c r="H588" t="s">
        <v>19447</v>
      </c>
      <c r="I588" t="s">
        <v>19447</v>
      </c>
      <c r="J588">
        <v>10</v>
      </c>
      <c r="L588" t="s">
        <v>2709</v>
      </c>
      <c r="M588">
        <v>7123200</v>
      </c>
      <c r="O588" t="s">
        <v>19900</v>
      </c>
      <c r="P588" t="s">
        <v>19899</v>
      </c>
      <c r="Q588" t="s">
        <v>19900</v>
      </c>
      <c r="R588" t="s">
        <v>19447</v>
      </c>
      <c r="S588" t="s">
        <v>19447</v>
      </c>
      <c r="T588" t="s">
        <v>19904</v>
      </c>
    </row>
    <row r="589" spans="2:20" x14ac:dyDescent="0.25">
      <c r="B589" t="s">
        <v>2709</v>
      </c>
      <c r="C589">
        <v>7123300</v>
      </c>
      <c r="E589">
        <v>0</v>
      </c>
      <c r="F589">
        <v>18</v>
      </c>
      <c r="G589">
        <v>0</v>
      </c>
      <c r="H589" t="s">
        <v>19447</v>
      </c>
      <c r="I589" t="s">
        <v>19447</v>
      </c>
      <c r="J589">
        <v>10</v>
      </c>
      <c r="L589" t="s">
        <v>2709</v>
      </c>
      <c r="M589">
        <v>7123300</v>
      </c>
      <c r="O589" t="s">
        <v>19900</v>
      </c>
      <c r="P589" t="s">
        <v>19899</v>
      </c>
      <c r="Q589" t="s">
        <v>19900</v>
      </c>
      <c r="R589" t="s">
        <v>19447</v>
      </c>
      <c r="S589" t="s">
        <v>19447</v>
      </c>
      <c r="T589" t="s">
        <v>19904</v>
      </c>
    </row>
    <row r="590" spans="2:20" x14ac:dyDescent="0.25">
      <c r="B590" t="s">
        <v>2709</v>
      </c>
      <c r="C590">
        <v>7123900</v>
      </c>
      <c r="E590">
        <v>0</v>
      </c>
      <c r="F590">
        <v>18</v>
      </c>
      <c r="G590">
        <v>0</v>
      </c>
      <c r="H590" t="s">
        <v>19447</v>
      </c>
      <c r="I590" t="s">
        <v>19447</v>
      </c>
      <c r="J590">
        <v>10</v>
      </c>
      <c r="L590" t="s">
        <v>2709</v>
      </c>
      <c r="M590">
        <v>7123900</v>
      </c>
      <c r="O590" t="s">
        <v>19900</v>
      </c>
      <c r="P590" t="s">
        <v>19899</v>
      </c>
      <c r="Q590" t="s">
        <v>19900</v>
      </c>
      <c r="R590" t="s">
        <v>19447</v>
      </c>
      <c r="S590" t="s">
        <v>19447</v>
      </c>
      <c r="T590" t="s">
        <v>19904</v>
      </c>
    </row>
    <row r="591" spans="2:20" x14ac:dyDescent="0.25">
      <c r="B591" t="s">
        <v>2709</v>
      </c>
      <c r="C591">
        <v>7129010</v>
      </c>
      <c r="E591">
        <v>0</v>
      </c>
      <c r="F591">
        <v>7</v>
      </c>
      <c r="G591">
        <v>0</v>
      </c>
      <c r="H591" t="s">
        <v>19447</v>
      </c>
      <c r="I591" t="s">
        <v>19447</v>
      </c>
      <c r="J591">
        <v>10</v>
      </c>
      <c r="L591" t="s">
        <v>2709</v>
      </c>
      <c r="M591">
        <v>7129010</v>
      </c>
      <c r="O591" t="s">
        <v>19900</v>
      </c>
      <c r="P591" t="s">
        <v>19908</v>
      </c>
      <c r="Q591" t="s">
        <v>19900</v>
      </c>
      <c r="R591" t="s">
        <v>19447</v>
      </c>
      <c r="S591" t="s">
        <v>19447</v>
      </c>
      <c r="T591" t="s">
        <v>19904</v>
      </c>
    </row>
    <row r="592" spans="2:20" x14ac:dyDescent="0.25">
      <c r="B592" t="s">
        <v>2709</v>
      </c>
      <c r="C592">
        <v>7129090</v>
      </c>
      <c r="E592">
        <v>0</v>
      </c>
      <c r="F592">
        <v>7</v>
      </c>
      <c r="G592">
        <v>0</v>
      </c>
      <c r="H592" t="s">
        <v>19447</v>
      </c>
      <c r="I592" t="s">
        <v>19447</v>
      </c>
      <c r="J592">
        <v>10</v>
      </c>
      <c r="L592" t="s">
        <v>2709</v>
      </c>
      <c r="M592">
        <v>7129090</v>
      </c>
      <c r="O592" t="s">
        <v>19900</v>
      </c>
      <c r="P592" t="s">
        <v>19908</v>
      </c>
      <c r="Q592" t="s">
        <v>19900</v>
      </c>
      <c r="R592" t="s">
        <v>19447</v>
      </c>
      <c r="S592" t="s">
        <v>19447</v>
      </c>
      <c r="T592" t="s">
        <v>19904</v>
      </c>
    </row>
    <row r="593" spans="2:20" x14ac:dyDescent="0.25">
      <c r="B593" t="s">
        <v>2709</v>
      </c>
      <c r="C593">
        <v>7129090</v>
      </c>
      <c r="D593">
        <v>1</v>
      </c>
      <c r="E593" t="s">
        <v>19447</v>
      </c>
      <c r="F593">
        <v>18</v>
      </c>
      <c r="G593">
        <v>0</v>
      </c>
      <c r="H593">
        <v>7.6</v>
      </c>
      <c r="I593">
        <v>1.65</v>
      </c>
      <c r="J593">
        <v>10</v>
      </c>
      <c r="L593" t="s">
        <v>2709</v>
      </c>
      <c r="M593">
        <v>7129090</v>
      </c>
      <c r="N593">
        <v>1</v>
      </c>
      <c r="O593" t="s">
        <v>19447</v>
      </c>
      <c r="P593" t="s">
        <v>19899</v>
      </c>
      <c r="Q593" t="s">
        <v>19900</v>
      </c>
      <c r="R593" t="s">
        <v>19905</v>
      </c>
      <c r="S593" t="s">
        <v>19906</v>
      </c>
      <c r="T593" t="s">
        <v>19904</v>
      </c>
    </row>
    <row r="594" spans="2:20" x14ac:dyDescent="0.25">
      <c r="B594" t="s">
        <v>2709</v>
      </c>
      <c r="C594">
        <v>7131010</v>
      </c>
      <c r="E594">
        <v>0</v>
      </c>
      <c r="F594">
        <v>18</v>
      </c>
      <c r="G594">
        <v>0</v>
      </c>
      <c r="H594" t="s">
        <v>19447</v>
      </c>
      <c r="I594" t="s">
        <v>19447</v>
      </c>
      <c r="J594">
        <v>0</v>
      </c>
      <c r="L594" t="s">
        <v>2709</v>
      </c>
      <c r="M594">
        <v>7131010</v>
      </c>
      <c r="O594" t="s">
        <v>19900</v>
      </c>
      <c r="P594" t="s">
        <v>19899</v>
      </c>
      <c r="Q594" t="s">
        <v>19900</v>
      </c>
      <c r="R594" t="s">
        <v>19447</v>
      </c>
      <c r="S594" t="s">
        <v>19447</v>
      </c>
      <c r="T594" t="s">
        <v>19900</v>
      </c>
    </row>
    <row r="595" spans="2:20" x14ac:dyDescent="0.25">
      <c r="B595" t="s">
        <v>2709</v>
      </c>
      <c r="C595">
        <v>7131090</v>
      </c>
      <c r="E595">
        <v>0</v>
      </c>
      <c r="F595">
        <v>18</v>
      </c>
      <c r="G595">
        <v>0</v>
      </c>
      <c r="H595" t="s">
        <v>19447</v>
      </c>
      <c r="I595" t="s">
        <v>19447</v>
      </c>
      <c r="J595">
        <v>10</v>
      </c>
      <c r="L595" t="s">
        <v>2709</v>
      </c>
      <c r="M595">
        <v>7131090</v>
      </c>
      <c r="O595" t="s">
        <v>19900</v>
      </c>
      <c r="P595" t="s">
        <v>19899</v>
      </c>
      <c r="Q595" t="s">
        <v>19900</v>
      </c>
      <c r="R595" t="s">
        <v>19447</v>
      </c>
      <c r="S595" t="s">
        <v>19447</v>
      </c>
      <c r="T595" t="s">
        <v>19904</v>
      </c>
    </row>
    <row r="596" spans="2:20" x14ac:dyDescent="0.25">
      <c r="B596" t="s">
        <v>2709</v>
      </c>
      <c r="C596">
        <v>7132010</v>
      </c>
      <c r="E596">
        <v>0</v>
      </c>
      <c r="F596">
        <v>18</v>
      </c>
      <c r="G596">
        <v>0</v>
      </c>
      <c r="H596" t="s">
        <v>19447</v>
      </c>
      <c r="I596" t="s">
        <v>19447</v>
      </c>
      <c r="J596">
        <v>0</v>
      </c>
      <c r="L596" t="s">
        <v>2709</v>
      </c>
      <c r="M596">
        <v>7132010</v>
      </c>
      <c r="O596" t="s">
        <v>19900</v>
      </c>
      <c r="P596" t="s">
        <v>19899</v>
      </c>
      <c r="Q596" t="s">
        <v>19900</v>
      </c>
      <c r="R596" t="s">
        <v>19447</v>
      </c>
      <c r="S596" t="s">
        <v>19447</v>
      </c>
      <c r="T596" t="s">
        <v>19900</v>
      </c>
    </row>
    <row r="597" spans="2:20" x14ac:dyDescent="0.25">
      <c r="B597" t="s">
        <v>2709</v>
      </c>
      <c r="C597">
        <v>7132090</v>
      </c>
      <c r="E597">
        <v>0</v>
      </c>
      <c r="F597">
        <v>18</v>
      </c>
      <c r="G597">
        <v>0</v>
      </c>
      <c r="H597" t="s">
        <v>19447</v>
      </c>
      <c r="I597" t="s">
        <v>19447</v>
      </c>
      <c r="J597">
        <v>10</v>
      </c>
      <c r="L597" t="s">
        <v>2709</v>
      </c>
      <c r="M597">
        <v>7132090</v>
      </c>
      <c r="O597" t="s">
        <v>19900</v>
      </c>
      <c r="P597" t="s">
        <v>19899</v>
      </c>
      <c r="Q597" t="s">
        <v>19900</v>
      </c>
      <c r="R597" t="s">
        <v>19447</v>
      </c>
      <c r="S597" t="s">
        <v>19447</v>
      </c>
      <c r="T597" t="s">
        <v>19904</v>
      </c>
    </row>
    <row r="598" spans="2:20" x14ac:dyDescent="0.25">
      <c r="B598" t="s">
        <v>2709</v>
      </c>
      <c r="C598">
        <v>7133110</v>
      </c>
      <c r="E598">
        <v>0</v>
      </c>
      <c r="F598">
        <v>7</v>
      </c>
      <c r="G598">
        <v>0</v>
      </c>
      <c r="H598" t="s">
        <v>19447</v>
      </c>
      <c r="I598" t="s">
        <v>19447</v>
      </c>
      <c r="J598">
        <v>0</v>
      </c>
      <c r="L598" t="s">
        <v>2709</v>
      </c>
      <c r="M598">
        <v>7133110</v>
      </c>
      <c r="O598" t="s">
        <v>19900</v>
      </c>
      <c r="P598" t="s">
        <v>19908</v>
      </c>
      <c r="Q598" t="s">
        <v>19900</v>
      </c>
      <c r="R598" t="s">
        <v>19447</v>
      </c>
      <c r="S598" t="s">
        <v>19447</v>
      </c>
      <c r="T598" t="s">
        <v>19900</v>
      </c>
    </row>
    <row r="599" spans="2:20" x14ac:dyDescent="0.25">
      <c r="B599" t="s">
        <v>2709</v>
      </c>
      <c r="C599">
        <v>7133190</v>
      </c>
      <c r="E599">
        <v>0</v>
      </c>
      <c r="F599">
        <v>7</v>
      </c>
      <c r="G599">
        <v>0</v>
      </c>
      <c r="H599" t="s">
        <v>19447</v>
      </c>
      <c r="I599" t="s">
        <v>19447</v>
      </c>
      <c r="J599">
        <v>10</v>
      </c>
      <c r="L599" t="s">
        <v>2709</v>
      </c>
      <c r="M599">
        <v>7133190</v>
      </c>
      <c r="O599" t="s">
        <v>19900</v>
      </c>
      <c r="P599" t="s">
        <v>19908</v>
      </c>
      <c r="Q599" t="s">
        <v>19900</v>
      </c>
      <c r="R599" t="s">
        <v>19447</v>
      </c>
      <c r="S599" t="s">
        <v>19447</v>
      </c>
      <c r="T599" t="s">
        <v>19904</v>
      </c>
    </row>
    <row r="600" spans="2:20" x14ac:dyDescent="0.25">
      <c r="B600" t="s">
        <v>2709</v>
      </c>
      <c r="C600">
        <v>7133210</v>
      </c>
      <c r="E600">
        <v>0</v>
      </c>
      <c r="F600">
        <v>7</v>
      </c>
      <c r="G600">
        <v>0</v>
      </c>
      <c r="H600" t="s">
        <v>19447</v>
      </c>
      <c r="I600" t="s">
        <v>19447</v>
      </c>
      <c r="J600">
        <v>0</v>
      </c>
      <c r="L600" t="s">
        <v>2709</v>
      </c>
      <c r="M600">
        <v>7133210</v>
      </c>
      <c r="O600" t="s">
        <v>19900</v>
      </c>
      <c r="P600" t="s">
        <v>19908</v>
      </c>
      <c r="Q600" t="s">
        <v>19900</v>
      </c>
      <c r="R600" t="s">
        <v>19447</v>
      </c>
      <c r="S600" t="s">
        <v>19447</v>
      </c>
      <c r="T600" t="s">
        <v>19900</v>
      </c>
    </row>
    <row r="601" spans="2:20" x14ac:dyDescent="0.25">
      <c r="B601" t="s">
        <v>2709</v>
      </c>
      <c r="C601">
        <v>7133290</v>
      </c>
      <c r="E601">
        <v>0</v>
      </c>
      <c r="F601">
        <v>7</v>
      </c>
      <c r="G601">
        <v>0</v>
      </c>
      <c r="H601" t="s">
        <v>19447</v>
      </c>
      <c r="I601" t="s">
        <v>19447</v>
      </c>
      <c r="J601">
        <v>10</v>
      </c>
      <c r="L601" t="s">
        <v>2709</v>
      </c>
      <c r="M601">
        <v>7133290</v>
      </c>
      <c r="O601" t="s">
        <v>19900</v>
      </c>
      <c r="P601" t="s">
        <v>19908</v>
      </c>
      <c r="Q601" t="s">
        <v>19900</v>
      </c>
      <c r="R601" t="s">
        <v>19447</v>
      </c>
      <c r="S601" t="s">
        <v>19447</v>
      </c>
      <c r="T601" t="s">
        <v>19904</v>
      </c>
    </row>
    <row r="602" spans="2:20" x14ac:dyDescent="0.25">
      <c r="B602" t="s">
        <v>2709</v>
      </c>
      <c r="C602">
        <v>7133311</v>
      </c>
      <c r="E602">
        <v>0</v>
      </c>
      <c r="F602">
        <v>7</v>
      </c>
      <c r="G602">
        <v>0</v>
      </c>
      <c r="H602" t="s">
        <v>19447</v>
      </c>
      <c r="I602" t="s">
        <v>19447</v>
      </c>
      <c r="J602">
        <v>0</v>
      </c>
      <c r="L602" t="s">
        <v>2709</v>
      </c>
      <c r="M602">
        <v>7133311</v>
      </c>
      <c r="O602" t="s">
        <v>19900</v>
      </c>
      <c r="P602" t="s">
        <v>19908</v>
      </c>
      <c r="Q602" t="s">
        <v>19900</v>
      </c>
      <c r="R602" t="s">
        <v>19447</v>
      </c>
      <c r="S602" t="s">
        <v>19447</v>
      </c>
      <c r="T602" t="s">
        <v>19900</v>
      </c>
    </row>
    <row r="603" spans="2:20" x14ac:dyDescent="0.25">
      <c r="B603" t="s">
        <v>2709</v>
      </c>
      <c r="C603">
        <v>7133319</v>
      </c>
      <c r="E603">
        <v>0</v>
      </c>
      <c r="F603">
        <v>7</v>
      </c>
      <c r="G603">
        <v>0</v>
      </c>
      <c r="H603" t="s">
        <v>19447</v>
      </c>
      <c r="I603" t="s">
        <v>19447</v>
      </c>
      <c r="J603">
        <v>10</v>
      </c>
      <c r="L603" t="s">
        <v>2709</v>
      </c>
      <c r="M603">
        <v>7133319</v>
      </c>
      <c r="O603" t="s">
        <v>19900</v>
      </c>
      <c r="P603" t="s">
        <v>19908</v>
      </c>
      <c r="Q603" t="s">
        <v>19900</v>
      </c>
      <c r="R603" t="s">
        <v>19447</v>
      </c>
      <c r="S603" t="s">
        <v>19447</v>
      </c>
      <c r="T603" t="s">
        <v>19904</v>
      </c>
    </row>
    <row r="604" spans="2:20" x14ac:dyDescent="0.25">
      <c r="B604" t="s">
        <v>2709</v>
      </c>
      <c r="C604">
        <v>7133321</v>
      </c>
      <c r="E604">
        <v>0</v>
      </c>
      <c r="F604">
        <v>7</v>
      </c>
      <c r="G604">
        <v>0</v>
      </c>
      <c r="H604" t="s">
        <v>19447</v>
      </c>
      <c r="I604" t="s">
        <v>19447</v>
      </c>
      <c r="J604">
        <v>0</v>
      </c>
      <c r="L604" t="s">
        <v>2709</v>
      </c>
      <c r="M604">
        <v>7133321</v>
      </c>
      <c r="O604" t="s">
        <v>19900</v>
      </c>
      <c r="P604" t="s">
        <v>19908</v>
      </c>
      <c r="Q604" t="s">
        <v>19900</v>
      </c>
      <c r="R604" t="s">
        <v>19447</v>
      </c>
      <c r="S604" t="s">
        <v>19447</v>
      </c>
      <c r="T604" t="s">
        <v>19900</v>
      </c>
    </row>
    <row r="605" spans="2:20" x14ac:dyDescent="0.25">
      <c r="B605" t="s">
        <v>2709</v>
      </c>
      <c r="C605">
        <v>7133329</v>
      </c>
      <c r="E605">
        <v>0</v>
      </c>
      <c r="F605">
        <v>7</v>
      </c>
      <c r="G605">
        <v>0</v>
      </c>
      <c r="H605" t="s">
        <v>19447</v>
      </c>
      <c r="I605" t="s">
        <v>19447</v>
      </c>
      <c r="J605">
        <v>10</v>
      </c>
      <c r="L605" t="s">
        <v>2709</v>
      </c>
      <c r="M605">
        <v>7133329</v>
      </c>
      <c r="O605" t="s">
        <v>19900</v>
      </c>
      <c r="P605" t="s">
        <v>19908</v>
      </c>
      <c r="Q605" t="s">
        <v>19900</v>
      </c>
      <c r="R605" t="s">
        <v>19447</v>
      </c>
      <c r="S605" t="s">
        <v>19447</v>
      </c>
      <c r="T605" t="s">
        <v>19904</v>
      </c>
    </row>
    <row r="606" spans="2:20" x14ac:dyDescent="0.25">
      <c r="B606" t="s">
        <v>2709</v>
      </c>
      <c r="C606">
        <v>7133391</v>
      </c>
      <c r="E606">
        <v>0</v>
      </c>
      <c r="F606">
        <v>7</v>
      </c>
      <c r="G606">
        <v>0</v>
      </c>
      <c r="H606" t="s">
        <v>19447</v>
      </c>
      <c r="I606" t="s">
        <v>19447</v>
      </c>
      <c r="J606">
        <v>0</v>
      </c>
      <c r="L606" t="s">
        <v>2709</v>
      </c>
      <c r="M606">
        <v>7133391</v>
      </c>
      <c r="O606" t="s">
        <v>19900</v>
      </c>
      <c r="P606" t="s">
        <v>19908</v>
      </c>
      <c r="Q606" t="s">
        <v>19900</v>
      </c>
      <c r="R606" t="s">
        <v>19447</v>
      </c>
      <c r="S606" t="s">
        <v>19447</v>
      </c>
      <c r="T606" t="s">
        <v>19900</v>
      </c>
    </row>
    <row r="607" spans="2:20" x14ac:dyDescent="0.25">
      <c r="B607" t="s">
        <v>2709</v>
      </c>
      <c r="C607">
        <v>7133399</v>
      </c>
      <c r="E607">
        <v>0</v>
      </c>
      <c r="F607">
        <v>7</v>
      </c>
      <c r="G607">
        <v>0</v>
      </c>
      <c r="H607" t="s">
        <v>19447</v>
      </c>
      <c r="I607" t="s">
        <v>19447</v>
      </c>
      <c r="J607">
        <v>10</v>
      </c>
      <c r="L607" t="s">
        <v>2709</v>
      </c>
      <c r="M607">
        <v>7133399</v>
      </c>
      <c r="O607" t="s">
        <v>19900</v>
      </c>
      <c r="P607" t="s">
        <v>19908</v>
      </c>
      <c r="Q607" t="s">
        <v>19900</v>
      </c>
      <c r="R607" t="s">
        <v>19447</v>
      </c>
      <c r="S607" t="s">
        <v>19447</v>
      </c>
      <c r="T607" t="s">
        <v>19904</v>
      </c>
    </row>
    <row r="608" spans="2:20" x14ac:dyDescent="0.25">
      <c r="B608" t="s">
        <v>2709</v>
      </c>
      <c r="C608">
        <v>7133410</v>
      </c>
      <c r="E608">
        <v>0</v>
      </c>
      <c r="F608">
        <v>7</v>
      </c>
      <c r="G608">
        <v>0</v>
      </c>
      <c r="H608" t="s">
        <v>19447</v>
      </c>
      <c r="I608" t="s">
        <v>19447</v>
      </c>
      <c r="J608">
        <v>0</v>
      </c>
      <c r="L608" t="s">
        <v>2709</v>
      </c>
      <c r="M608">
        <v>7133410</v>
      </c>
      <c r="O608" t="s">
        <v>19900</v>
      </c>
      <c r="P608" t="s">
        <v>19908</v>
      </c>
      <c r="Q608" t="s">
        <v>19900</v>
      </c>
      <c r="R608" t="s">
        <v>19447</v>
      </c>
      <c r="S608" t="s">
        <v>19447</v>
      </c>
      <c r="T608" t="s">
        <v>19900</v>
      </c>
    </row>
    <row r="609" spans="2:20" x14ac:dyDescent="0.25">
      <c r="B609" t="s">
        <v>2709</v>
      </c>
      <c r="C609">
        <v>7133490</v>
      </c>
      <c r="E609">
        <v>0</v>
      </c>
      <c r="F609">
        <v>7</v>
      </c>
      <c r="G609">
        <v>0</v>
      </c>
      <c r="H609" t="s">
        <v>19447</v>
      </c>
      <c r="I609" t="s">
        <v>19447</v>
      </c>
      <c r="J609">
        <v>10</v>
      </c>
      <c r="L609" t="s">
        <v>2709</v>
      </c>
      <c r="M609">
        <v>7133490</v>
      </c>
      <c r="O609" t="s">
        <v>19900</v>
      </c>
      <c r="P609" t="s">
        <v>19908</v>
      </c>
      <c r="Q609" t="s">
        <v>19900</v>
      </c>
      <c r="R609" t="s">
        <v>19447</v>
      </c>
      <c r="S609" t="s">
        <v>19447</v>
      </c>
      <c r="T609" t="s">
        <v>19904</v>
      </c>
    </row>
    <row r="610" spans="2:20" x14ac:dyDescent="0.25">
      <c r="B610" t="s">
        <v>2709</v>
      </c>
      <c r="C610">
        <v>7133510</v>
      </c>
      <c r="E610">
        <v>0</v>
      </c>
      <c r="F610">
        <v>7</v>
      </c>
      <c r="G610">
        <v>0</v>
      </c>
      <c r="H610" t="s">
        <v>19447</v>
      </c>
      <c r="I610" t="s">
        <v>19447</v>
      </c>
      <c r="J610">
        <v>0</v>
      </c>
      <c r="L610" t="s">
        <v>2709</v>
      </c>
      <c r="M610">
        <v>7133510</v>
      </c>
      <c r="O610" t="s">
        <v>19900</v>
      </c>
      <c r="P610" t="s">
        <v>19908</v>
      </c>
      <c r="Q610" t="s">
        <v>19900</v>
      </c>
      <c r="R610" t="s">
        <v>19447</v>
      </c>
      <c r="S610" t="s">
        <v>19447</v>
      </c>
      <c r="T610" t="s">
        <v>19900</v>
      </c>
    </row>
    <row r="611" spans="2:20" x14ac:dyDescent="0.25">
      <c r="B611" t="s">
        <v>2709</v>
      </c>
      <c r="C611">
        <v>7133590</v>
      </c>
      <c r="E611">
        <v>0</v>
      </c>
      <c r="F611">
        <v>7</v>
      </c>
      <c r="G611">
        <v>0</v>
      </c>
      <c r="H611" t="s">
        <v>19447</v>
      </c>
      <c r="I611" t="s">
        <v>19447</v>
      </c>
      <c r="J611">
        <v>10</v>
      </c>
      <c r="L611" t="s">
        <v>2709</v>
      </c>
      <c r="M611">
        <v>7133590</v>
      </c>
      <c r="O611" t="s">
        <v>19900</v>
      </c>
      <c r="P611" t="s">
        <v>19908</v>
      </c>
      <c r="Q611" t="s">
        <v>19900</v>
      </c>
      <c r="R611" t="s">
        <v>19447</v>
      </c>
      <c r="S611" t="s">
        <v>19447</v>
      </c>
      <c r="T611" t="s">
        <v>19904</v>
      </c>
    </row>
    <row r="612" spans="2:20" x14ac:dyDescent="0.25">
      <c r="B612" t="s">
        <v>2709</v>
      </c>
      <c r="C612">
        <v>7133910</v>
      </c>
      <c r="E612">
        <v>0</v>
      </c>
      <c r="F612">
        <v>7</v>
      </c>
      <c r="G612">
        <v>0</v>
      </c>
      <c r="H612" t="s">
        <v>19447</v>
      </c>
      <c r="I612" t="s">
        <v>19447</v>
      </c>
      <c r="J612">
        <v>0</v>
      </c>
      <c r="L612" t="s">
        <v>2709</v>
      </c>
      <c r="M612">
        <v>7133910</v>
      </c>
      <c r="O612" t="s">
        <v>19900</v>
      </c>
      <c r="P612" t="s">
        <v>19908</v>
      </c>
      <c r="Q612" t="s">
        <v>19900</v>
      </c>
      <c r="R612" t="s">
        <v>19447</v>
      </c>
      <c r="S612" t="s">
        <v>19447</v>
      </c>
      <c r="T612" t="s">
        <v>19900</v>
      </c>
    </row>
    <row r="613" spans="2:20" x14ac:dyDescent="0.25">
      <c r="B613" t="s">
        <v>2709</v>
      </c>
      <c r="C613">
        <v>7133990</v>
      </c>
      <c r="E613">
        <v>0</v>
      </c>
      <c r="F613">
        <v>7</v>
      </c>
      <c r="G613">
        <v>0</v>
      </c>
      <c r="H613" t="s">
        <v>19447</v>
      </c>
      <c r="I613" t="s">
        <v>19447</v>
      </c>
      <c r="J613">
        <v>10</v>
      </c>
      <c r="L613" t="s">
        <v>2709</v>
      </c>
      <c r="M613">
        <v>7133990</v>
      </c>
      <c r="O613" t="s">
        <v>19900</v>
      </c>
      <c r="P613" t="s">
        <v>19908</v>
      </c>
      <c r="Q613" t="s">
        <v>19900</v>
      </c>
      <c r="R613" t="s">
        <v>19447</v>
      </c>
      <c r="S613" t="s">
        <v>19447</v>
      </c>
      <c r="T613" t="s">
        <v>19904</v>
      </c>
    </row>
    <row r="614" spans="2:20" x14ac:dyDescent="0.25">
      <c r="B614" t="s">
        <v>2709</v>
      </c>
      <c r="C614">
        <v>7134010</v>
      </c>
      <c r="E614">
        <v>0</v>
      </c>
      <c r="F614">
        <v>18</v>
      </c>
      <c r="G614">
        <v>0</v>
      </c>
      <c r="H614" t="s">
        <v>19447</v>
      </c>
      <c r="I614" t="s">
        <v>19447</v>
      </c>
      <c r="J614">
        <v>0</v>
      </c>
      <c r="L614" t="s">
        <v>2709</v>
      </c>
      <c r="M614">
        <v>7134010</v>
      </c>
      <c r="O614" t="s">
        <v>19900</v>
      </c>
      <c r="P614" t="s">
        <v>19899</v>
      </c>
      <c r="Q614" t="s">
        <v>19900</v>
      </c>
      <c r="R614" t="s">
        <v>19447</v>
      </c>
      <c r="S614" t="s">
        <v>19447</v>
      </c>
      <c r="T614" t="s">
        <v>19900</v>
      </c>
    </row>
    <row r="615" spans="2:20" x14ac:dyDescent="0.25">
      <c r="B615" t="s">
        <v>2709</v>
      </c>
      <c r="C615">
        <v>7134090</v>
      </c>
      <c r="E615">
        <v>0</v>
      </c>
      <c r="F615">
        <v>18</v>
      </c>
      <c r="G615">
        <v>0</v>
      </c>
      <c r="H615" t="s">
        <v>19447</v>
      </c>
      <c r="I615" t="s">
        <v>19447</v>
      </c>
      <c r="J615">
        <v>10</v>
      </c>
      <c r="L615" t="s">
        <v>2709</v>
      </c>
      <c r="M615">
        <v>7134090</v>
      </c>
      <c r="O615" t="s">
        <v>19900</v>
      </c>
      <c r="P615" t="s">
        <v>19899</v>
      </c>
      <c r="Q615" t="s">
        <v>19900</v>
      </c>
      <c r="R615" t="s">
        <v>19447</v>
      </c>
      <c r="S615" t="s">
        <v>19447</v>
      </c>
      <c r="T615" t="s">
        <v>19904</v>
      </c>
    </row>
    <row r="616" spans="2:20" x14ac:dyDescent="0.25">
      <c r="B616" t="s">
        <v>2709</v>
      </c>
      <c r="C616">
        <v>7135010</v>
      </c>
      <c r="E616">
        <v>0</v>
      </c>
      <c r="F616">
        <v>18</v>
      </c>
      <c r="G616">
        <v>0</v>
      </c>
      <c r="H616" t="s">
        <v>19447</v>
      </c>
      <c r="I616" t="s">
        <v>19447</v>
      </c>
      <c r="J616">
        <v>0</v>
      </c>
      <c r="L616" t="s">
        <v>2709</v>
      </c>
      <c r="M616">
        <v>7135010</v>
      </c>
      <c r="O616" t="s">
        <v>19900</v>
      </c>
      <c r="P616" t="s">
        <v>19899</v>
      </c>
      <c r="Q616" t="s">
        <v>19900</v>
      </c>
      <c r="R616" t="s">
        <v>19447</v>
      </c>
      <c r="S616" t="s">
        <v>19447</v>
      </c>
      <c r="T616" t="s">
        <v>19900</v>
      </c>
    </row>
    <row r="617" spans="2:20" x14ac:dyDescent="0.25">
      <c r="B617" t="s">
        <v>2709</v>
      </c>
      <c r="C617">
        <v>7135090</v>
      </c>
      <c r="E617">
        <v>0</v>
      </c>
      <c r="F617">
        <v>18</v>
      </c>
      <c r="G617">
        <v>0</v>
      </c>
      <c r="H617" t="s">
        <v>19447</v>
      </c>
      <c r="I617" t="s">
        <v>19447</v>
      </c>
      <c r="J617">
        <v>10</v>
      </c>
      <c r="L617" t="s">
        <v>2709</v>
      </c>
      <c r="M617">
        <v>7135090</v>
      </c>
      <c r="O617" t="s">
        <v>19900</v>
      </c>
      <c r="P617" t="s">
        <v>19899</v>
      </c>
      <c r="Q617" t="s">
        <v>19900</v>
      </c>
      <c r="R617" t="s">
        <v>19447</v>
      </c>
      <c r="S617" t="s">
        <v>19447</v>
      </c>
      <c r="T617" t="s">
        <v>19904</v>
      </c>
    </row>
    <row r="618" spans="2:20" x14ac:dyDescent="0.25">
      <c r="B618" t="s">
        <v>2709</v>
      </c>
      <c r="C618">
        <v>7136010</v>
      </c>
      <c r="E618">
        <v>0</v>
      </c>
      <c r="F618">
        <v>18</v>
      </c>
      <c r="G618">
        <v>0</v>
      </c>
      <c r="H618" t="s">
        <v>19447</v>
      </c>
      <c r="I618" t="s">
        <v>19447</v>
      </c>
      <c r="J618">
        <v>0</v>
      </c>
      <c r="L618" t="s">
        <v>2709</v>
      </c>
      <c r="M618">
        <v>7136010</v>
      </c>
      <c r="O618" t="s">
        <v>19900</v>
      </c>
      <c r="P618" t="s">
        <v>19899</v>
      </c>
      <c r="Q618" t="s">
        <v>19900</v>
      </c>
      <c r="R618" t="s">
        <v>19447</v>
      </c>
      <c r="S618" t="s">
        <v>19447</v>
      </c>
      <c r="T618" t="s">
        <v>19900</v>
      </c>
    </row>
    <row r="619" spans="2:20" x14ac:dyDescent="0.25">
      <c r="B619" t="s">
        <v>2709</v>
      </c>
      <c r="C619">
        <v>7136090</v>
      </c>
      <c r="E619">
        <v>0</v>
      </c>
      <c r="F619">
        <v>18</v>
      </c>
      <c r="G619">
        <v>0</v>
      </c>
      <c r="H619" t="s">
        <v>19447</v>
      </c>
      <c r="I619" t="s">
        <v>19447</v>
      </c>
      <c r="J619">
        <v>10</v>
      </c>
      <c r="L619" t="s">
        <v>2709</v>
      </c>
      <c r="M619">
        <v>7136090</v>
      </c>
      <c r="O619" t="s">
        <v>19900</v>
      </c>
      <c r="P619" t="s">
        <v>19899</v>
      </c>
      <c r="Q619" t="s">
        <v>19900</v>
      </c>
      <c r="R619" t="s">
        <v>19447</v>
      </c>
      <c r="S619" t="s">
        <v>19447</v>
      </c>
      <c r="T619" t="s">
        <v>19904</v>
      </c>
    </row>
    <row r="620" spans="2:20" x14ac:dyDescent="0.25">
      <c r="B620" t="s">
        <v>2709</v>
      </c>
      <c r="C620">
        <v>7139010</v>
      </c>
      <c r="E620">
        <v>0</v>
      </c>
      <c r="F620">
        <v>18</v>
      </c>
      <c r="G620">
        <v>0</v>
      </c>
      <c r="H620" t="s">
        <v>19447</v>
      </c>
      <c r="I620" t="s">
        <v>19447</v>
      </c>
      <c r="J620">
        <v>0</v>
      </c>
      <c r="L620" t="s">
        <v>2709</v>
      </c>
      <c r="M620">
        <v>7139010</v>
      </c>
      <c r="O620" t="s">
        <v>19900</v>
      </c>
      <c r="P620" t="s">
        <v>19899</v>
      </c>
      <c r="Q620" t="s">
        <v>19900</v>
      </c>
      <c r="R620" t="s">
        <v>19447</v>
      </c>
      <c r="S620" t="s">
        <v>19447</v>
      </c>
      <c r="T620" t="s">
        <v>19900</v>
      </c>
    </row>
    <row r="621" spans="2:20" x14ac:dyDescent="0.25">
      <c r="B621" t="s">
        <v>2709</v>
      </c>
      <c r="C621">
        <v>7139090</v>
      </c>
      <c r="E621">
        <v>0</v>
      </c>
      <c r="F621">
        <v>18</v>
      </c>
      <c r="G621">
        <v>0</v>
      </c>
      <c r="H621" t="s">
        <v>19447</v>
      </c>
      <c r="I621" t="s">
        <v>19447</v>
      </c>
      <c r="J621">
        <v>10</v>
      </c>
      <c r="L621" t="s">
        <v>2709</v>
      </c>
      <c r="M621">
        <v>7139090</v>
      </c>
      <c r="O621" t="s">
        <v>19900</v>
      </c>
      <c r="P621" t="s">
        <v>19899</v>
      </c>
      <c r="Q621" t="s">
        <v>19900</v>
      </c>
      <c r="R621" t="s">
        <v>19447</v>
      </c>
      <c r="S621" t="s">
        <v>19447</v>
      </c>
      <c r="T621" t="s">
        <v>19904</v>
      </c>
    </row>
    <row r="622" spans="2:20" x14ac:dyDescent="0.25">
      <c r="B622" t="s">
        <v>2709</v>
      </c>
      <c r="C622">
        <v>7141000</v>
      </c>
      <c r="E622">
        <v>0</v>
      </c>
      <c r="F622">
        <v>7</v>
      </c>
      <c r="G622">
        <v>0</v>
      </c>
      <c r="H622" t="s">
        <v>19447</v>
      </c>
      <c r="I622" t="s">
        <v>19447</v>
      </c>
      <c r="J622">
        <v>10</v>
      </c>
      <c r="L622" t="s">
        <v>2709</v>
      </c>
      <c r="M622">
        <v>7141000</v>
      </c>
      <c r="O622" t="s">
        <v>19900</v>
      </c>
      <c r="P622" t="s">
        <v>19908</v>
      </c>
      <c r="Q622" t="s">
        <v>19900</v>
      </c>
      <c r="R622" t="s">
        <v>19447</v>
      </c>
      <c r="S622" t="s">
        <v>19447</v>
      </c>
      <c r="T622" t="s">
        <v>19904</v>
      </c>
    </row>
    <row r="623" spans="2:20" x14ac:dyDescent="0.25">
      <c r="B623" t="s">
        <v>2709</v>
      </c>
      <c r="C623">
        <v>7142000</v>
      </c>
      <c r="E623">
        <v>0</v>
      </c>
      <c r="F623">
        <v>7</v>
      </c>
      <c r="G623">
        <v>0</v>
      </c>
      <c r="H623" t="s">
        <v>19447</v>
      </c>
      <c r="I623" t="s">
        <v>19447</v>
      </c>
      <c r="J623">
        <v>10</v>
      </c>
      <c r="L623" t="s">
        <v>2709</v>
      </c>
      <c r="M623">
        <v>7142000</v>
      </c>
      <c r="O623" t="s">
        <v>19900</v>
      </c>
      <c r="P623" t="s">
        <v>19908</v>
      </c>
      <c r="Q623" t="s">
        <v>19900</v>
      </c>
      <c r="R623" t="s">
        <v>19447</v>
      </c>
      <c r="S623" t="s">
        <v>19447</v>
      </c>
      <c r="T623" t="s">
        <v>19904</v>
      </c>
    </row>
    <row r="624" spans="2:20" x14ac:dyDescent="0.25">
      <c r="B624" t="s">
        <v>2709</v>
      </c>
      <c r="C624">
        <v>7143000</v>
      </c>
      <c r="E624">
        <v>0</v>
      </c>
      <c r="F624">
        <v>7</v>
      </c>
      <c r="G624">
        <v>0</v>
      </c>
      <c r="H624" t="s">
        <v>19447</v>
      </c>
      <c r="I624" t="s">
        <v>19447</v>
      </c>
      <c r="J624">
        <v>10</v>
      </c>
      <c r="L624" t="s">
        <v>2709</v>
      </c>
      <c r="M624">
        <v>7143000</v>
      </c>
      <c r="O624" t="s">
        <v>19900</v>
      </c>
      <c r="P624" t="s">
        <v>19908</v>
      </c>
      <c r="Q624" t="s">
        <v>19900</v>
      </c>
      <c r="R624" t="s">
        <v>19447</v>
      </c>
      <c r="S624" t="s">
        <v>19447</v>
      </c>
      <c r="T624" t="s">
        <v>19904</v>
      </c>
    </row>
    <row r="625" spans="2:20" x14ac:dyDescent="0.25">
      <c r="B625" t="s">
        <v>2709</v>
      </c>
      <c r="C625">
        <v>7144000</v>
      </c>
      <c r="E625">
        <v>0</v>
      </c>
      <c r="F625">
        <v>7</v>
      </c>
      <c r="G625">
        <v>0</v>
      </c>
      <c r="H625" t="s">
        <v>19447</v>
      </c>
      <c r="I625" t="s">
        <v>19447</v>
      </c>
      <c r="J625">
        <v>10</v>
      </c>
      <c r="L625" t="s">
        <v>2709</v>
      </c>
      <c r="M625">
        <v>7144000</v>
      </c>
      <c r="O625" t="s">
        <v>19900</v>
      </c>
      <c r="P625" t="s">
        <v>19908</v>
      </c>
      <c r="Q625" t="s">
        <v>19900</v>
      </c>
      <c r="R625" t="s">
        <v>19447</v>
      </c>
      <c r="S625" t="s">
        <v>19447</v>
      </c>
      <c r="T625" t="s">
        <v>19904</v>
      </c>
    </row>
    <row r="626" spans="2:20" x14ac:dyDescent="0.25">
      <c r="B626" t="s">
        <v>2709</v>
      </c>
      <c r="C626">
        <v>7145000</v>
      </c>
      <c r="E626">
        <v>0</v>
      </c>
      <c r="F626">
        <v>7</v>
      </c>
      <c r="G626">
        <v>0</v>
      </c>
      <c r="H626" t="s">
        <v>19447</v>
      </c>
      <c r="I626" t="s">
        <v>19447</v>
      </c>
      <c r="J626">
        <v>10</v>
      </c>
      <c r="L626" t="s">
        <v>2709</v>
      </c>
      <c r="M626">
        <v>7145000</v>
      </c>
      <c r="O626" t="s">
        <v>19900</v>
      </c>
      <c r="P626" t="s">
        <v>19908</v>
      </c>
      <c r="Q626" t="s">
        <v>19900</v>
      </c>
      <c r="R626" t="s">
        <v>19447</v>
      </c>
      <c r="S626" t="s">
        <v>19447</v>
      </c>
      <c r="T626" t="s">
        <v>19904</v>
      </c>
    </row>
    <row r="627" spans="2:20" x14ac:dyDescent="0.25">
      <c r="B627" t="s">
        <v>2709</v>
      </c>
      <c r="C627">
        <v>7149000</v>
      </c>
      <c r="E627">
        <v>0</v>
      </c>
      <c r="F627">
        <v>7</v>
      </c>
      <c r="G627">
        <v>0</v>
      </c>
      <c r="H627" t="s">
        <v>19447</v>
      </c>
      <c r="I627" t="s">
        <v>19447</v>
      </c>
      <c r="J627">
        <v>10</v>
      </c>
      <c r="L627" t="s">
        <v>2709</v>
      </c>
      <c r="M627">
        <v>7149000</v>
      </c>
      <c r="O627" t="s">
        <v>19900</v>
      </c>
      <c r="P627" t="s">
        <v>19908</v>
      </c>
      <c r="Q627" t="s">
        <v>19900</v>
      </c>
      <c r="R627" t="s">
        <v>19447</v>
      </c>
      <c r="S627" t="s">
        <v>19447</v>
      </c>
      <c r="T627" t="s">
        <v>19904</v>
      </c>
    </row>
    <row r="628" spans="2:20" x14ac:dyDescent="0.25">
      <c r="B628" t="s">
        <v>2709</v>
      </c>
      <c r="C628">
        <v>8011100</v>
      </c>
      <c r="E628">
        <v>0</v>
      </c>
      <c r="F628">
        <v>18</v>
      </c>
      <c r="G628">
        <v>0</v>
      </c>
      <c r="H628" t="s">
        <v>19447</v>
      </c>
      <c r="I628" t="s">
        <v>19447</v>
      </c>
      <c r="J628">
        <v>55</v>
      </c>
      <c r="L628" t="s">
        <v>2709</v>
      </c>
      <c r="M628">
        <v>8011100</v>
      </c>
      <c r="O628" t="s">
        <v>19900</v>
      </c>
      <c r="P628" t="s">
        <v>19899</v>
      </c>
      <c r="Q628" t="s">
        <v>19900</v>
      </c>
      <c r="R628" t="s">
        <v>19447</v>
      </c>
      <c r="S628" t="s">
        <v>19447</v>
      </c>
      <c r="T628" t="s">
        <v>19921</v>
      </c>
    </row>
    <row r="629" spans="2:20" x14ac:dyDescent="0.25">
      <c r="B629" t="s">
        <v>2709</v>
      </c>
      <c r="C629">
        <v>8011100</v>
      </c>
      <c r="D629">
        <v>1</v>
      </c>
      <c r="E629" t="s">
        <v>19447</v>
      </c>
      <c r="F629">
        <v>18</v>
      </c>
      <c r="G629">
        <v>0</v>
      </c>
      <c r="H629">
        <v>7.6</v>
      </c>
      <c r="I629">
        <v>1.65</v>
      </c>
      <c r="J629">
        <v>55</v>
      </c>
      <c r="L629" t="s">
        <v>2709</v>
      </c>
      <c r="M629">
        <v>8011100</v>
      </c>
      <c r="N629">
        <v>1</v>
      </c>
      <c r="O629" t="s">
        <v>19447</v>
      </c>
      <c r="P629" t="s">
        <v>19899</v>
      </c>
      <c r="Q629" t="s">
        <v>19900</v>
      </c>
      <c r="R629" t="s">
        <v>19905</v>
      </c>
      <c r="S629" t="s">
        <v>19906</v>
      </c>
      <c r="T629" t="s">
        <v>19921</v>
      </c>
    </row>
    <row r="630" spans="2:20" x14ac:dyDescent="0.25">
      <c r="B630" t="s">
        <v>2709</v>
      </c>
      <c r="C630">
        <v>8011110</v>
      </c>
      <c r="E630">
        <v>0</v>
      </c>
      <c r="F630">
        <v>18</v>
      </c>
      <c r="G630">
        <v>0</v>
      </c>
      <c r="H630" t="s">
        <v>19447</v>
      </c>
      <c r="I630" t="s">
        <v>19447</v>
      </c>
      <c r="J630" t="s">
        <v>19447</v>
      </c>
      <c r="L630" t="s">
        <v>2709</v>
      </c>
      <c r="M630">
        <v>8011110</v>
      </c>
      <c r="O630" t="s">
        <v>19900</v>
      </c>
      <c r="P630" t="s">
        <v>19899</v>
      </c>
      <c r="Q630" t="s">
        <v>19900</v>
      </c>
      <c r="R630" t="s">
        <v>19447</v>
      </c>
      <c r="S630" t="s">
        <v>19447</v>
      </c>
      <c r="T630" t="s">
        <v>19447</v>
      </c>
    </row>
    <row r="631" spans="2:20" x14ac:dyDescent="0.25">
      <c r="B631" t="s">
        <v>2709</v>
      </c>
      <c r="C631">
        <v>8011110</v>
      </c>
      <c r="D631">
        <v>1</v>
      </c>
      <c r="E631" t="s">
        <v>19447</v>
      </c>
      <c r="F631">
        <v>18</v>
      </c>
      <c r="G631">
        <v>0</v>
      </c>
      <c r="H631">
        <v>7.6</v>
      </c>
      <c r="I631">
        <v>1.65</v>
      </c>
      <c r="J631" t="s">
        <v>19447</v>
      </c>
      <c r="L631" t="s">
        <v>2709</v>
      </c>
      <c r="M631">
        <v>8011110</v>
      </c>
      <c r="N631">
        <v>1</v>
      </c>
      <c r="O631" t="s">
        <v>19447</v>
      </c>
      <c r="P631" t="s">
        <v>19899</v>
      </c>
      <c r="Q631" t="s">
        <v>19900</v>
      </c>
      <c r="R631" t="s">
        <v>19905</v>
      </c>
      <c r="S631" t="s">
        <v>19906</v>
      </c>
      <c r="T631" t="s">
        <v>19447</v>
      </c>
    </row>
    <row r="632" spans="2:20" x14ac:dyDescent="0.25">
      <c r="B632" t="s">
        <v>2709</v>
      </c>
      <c r="C632">
        <v>8011190</v>
      </c>
      <c r="E632">
        <v>0</v>
      </c>
      <c r="F632">
        <v>18</v>
      </c>
      <c r="G632">
        <v>0</v>
      </c>
      <c r="H632" t="s">
        <v>19447</v>
      </c>
      <c r="I632" t="s">
        <v>19447</v>
      </c>
      <c r="J632" t="s">
        <v>19447</v>
      </c>
      <c r="L632" t="s">
        <v>2709</v>
      </c>
      <c r="M632">
        <v>8011190</v>
      </c>
      <c r="O632" t="s">
        <v>19900</v>
      </c>
      <c r="P632" t="s">
        <v>19899</v>
      </c>
      <c r="Q632" t="s">
        <v>19900</v>
      </c>
      <c r="R632" t="s">
        <v>19447</v>
      </c>
      <c r="S632" t="s">
        <v>19447</v>
      </c>
      <c r="T632" t="s">
        <v>19447</v>
      </c>
    </row>
    <row r="633" spans="2:20" x14ac:dyDescent="0.25">
      <c r="B633" t="s">
        <v>2709</v>
      </c>
      <c r="C633">
        <v>8011190</v>
      </c>
      <c r="D633">
        <v>1</v>
      </c>
      <c r="E633" t="s">
        <v>19447</v>
      </c>
      <c r="F633">
        <v>18</v>
      </c>
      <c r="G633">
        <v>0</v>
      </c>
      <c r="H633">
        <v>7.6</v>
      </c>
      <c r="I633">
        <v>1.65</v>
      </c>
      <c r="J633" t="s">
        <v>19447</v>
      </c>
      <c r="L633" t="s">
        <v>2709</v>
      </c>
      <c r="M633">
        <v>8011190</v>
      </c>
      <c r="N633">
        <v>1</v>
      </c>
      <c r="O633" t="s">
        <v>19447</v>
      </c>
      <c r="P633" t="s">
        <v>19899</v>
      </c>
      <c r="Q633" t="s">
        <v>19900</v>
      </c>
      <c r="R633" t="s">
        <v>19905</v>
      </c>
      <c r="S633" t="s">
        <v>19906</v>
      </c>
      <c r="T633" t="s">
        <v>19447</v>
      </c>
    </row>
    <row r="634" spans="2:20" x14ac:dyDescent="0.25">
      <c r="B634" t="s">
        <v>2709</v>
      </c>
      <c r="C634">
        <v>8011200</v>
      </c>
      <c r="E634">
        <v>0</v>
      </c>
      <c r="F634">
        <v>18</v>
      </c>
      <c r="G634">
        <v>0</v>
      </c>
      <c r="H634" t="s">
        <v>19447</v>
      </c>
      <c r="I634" t="s">
        <v>19447</v>
      </c>
      <c r="J634">
        <v>10</v>
      </c>
      <c r="L634" t="s">
        <v>2709</v>
      </c>
      <c r="M634">
        <v>8011200</v>
      </c>
      <c r="O634" t="s">
        <v>19900</v>
      </c>
      <c r="P634" t="s">
        <v>19899</v>
      </c>
      <c r="Q634" t="s">
        <v>19900</v>
      </c>
      <c r="R634" t="s">
        <v>19447</v>
      </c>
      <c r="S634" t="s">
        <v>19447</v>
      </c>
      <c r="T634" t="s">
        <v>19904</v>
      </c>
    </row>
    <row r="635" spans="2:20" x14ac:dyDescent="0.25">
      <c r="B635" t="s">
        <v>2709</v>
      </c>
      <c r="C635">
        <v>8011900</v>
      </c>
      <c r="E635">
        <v>0</v>
      </c>
      <c r="F635">
        <v>18</v>
      </c>
      <c r="G635">
        <v>0</v>
      </c>
      <c r="H635" t="s">
        <v>19447</v>
      </c>
      <c r="I635" t="s">
        <v>19447</v>
      </c>
      <c r="J635" t="s">
        <v>19447</v>
      </c>
      <c r="L635" t="s">
        <v>2709</v>
      </c>
      <c r="M635">
        <v>8011900</v>
      </c>
      <c r="O635" t="s">
        <v>19900</v>
      </c>
      <c r="P635" t="s">
        <v>19899</v>
      </c>
      <c r="Q635" t="s">
        <v>19900</v>
      </c>
      <c r="R635" t="s">
        <v>19447</v>
      </c>
      <c r="S635" t="s">
        <v>19447</v>
      </c>
      <c r="T635" t="s">
        <v>19447</v>
      </c>
    </row>
    <row r="636" spans="2:20" x14ac:dyDescent="0.25">
      <c r="B636" t="s">
        <v>2709</v>
      </c>
      <c r="C636">
        <v>8012100</v>
      </c>
      <c r="E636">
        <v>40</v>
      </c>
      <c r="F636">
        <v>18</v>
      </c>
      <c r="G636">
        <v>0</v>
      </c>
      <c r="H636" t="s">
        <v>19447</v>
      </c>
      <c r="I636" t="s">
        <v>19447</v>
      </c>
      <c r="J636">
        <v>10</v>
      </c>
      <c r="L636" t="s">
        <v>2709</v>
      </c>
      <c r="M636">
        <v>8012100</v>
      </c>
      <c r="O636" t="s">
        <v>19922</v>
      </c>
      <c r="P636" t="s">
        <v>19899</v>
      </c>
      <c r="Q636" t="s">
        <v>19900</v>
      </c>
      <c r="R636" t="s">
        <v>19447</v>
      </c>
      <c r="S636" t="s">
        <v>19447</v>
      </c>
      <c r="T636" t="s">
        <v>19904</v>
      </c>
    </row>
    <row r="637" spans="2:20" x14ac:dyDescent="0.25">
      <c r="B637" t="s">
        <v>2709</v>
      </c>
      <c r="C637">
        <v>8012100</v>
      </c>
      <c r="D637">
        <v>1</v>
      </c>
      <c r="E637" t="s">
        <v>19447</v>
      </c>
      <c r="F637">
        <v>18</v>
      </c>
      <c r="G637">
        <v>0</v>
      </c>
      <c r="H637">
        <v>7.6</v>
      </c>
      <c r="I637">
        <v>1.65</v>
      </c>
      <c r="J637">
        <v>10</v>
      </c>
      <c r="L637" t="s">
        <v>2709</v>
      </c>
      <c r="M637">
        <v>8012100</v>
      </c>
      <c r="N637">
        <v>1</v>
      </c>
      <c r="O637" t="s">
        <v>19447</v>
      </c>
      <c r="P637" t="s">
        <v>19899</v>
      </c>
      <c r="Q637" t="s">
        <v>19900</v>
      </c>
      <c r="R637" t="s">
        <v>19905</v>
      </c>
      <c r="S637" t="s">
        <v>19906</v>
      </c>
      <c r="T637" t="s">
        <v>19904</v>
      </c>
    </row>
    <row r="638" spans="2:20" x14ac:dyDescent="0.25">
      <c r="B638" t="s">
        <v>2709</v>
      </c>
      <c r="C638">
        <v>8012200</v>
      </c>
      <c r="E638">
        <v>40</v>
      </c>
      <c r="F638">
        <v>18</v>
      </c>
      <c r="G638">
        <v>0</v>
      </c>
      <c r="H638" t="s">
        <v>19447</v>
      </c>
      <c r="I638" t="s">
        <v>19447</v>
      </c>
      <c r="J638">
        <v>10</v>
      </c>
      <c r="L638" t="s">
        <v>2709</v>
      </c>
      <c r="M638">
        <v>8012200</v>
      </c>
      <c r="O638" t="s">
        <v>19922</v>
      </c>
      <c r="P638" t="s">
        <v>19899</v>
      </c>
      <c r="Q638" t="s">
        <v>19900</v>
      </c>
      <c r="R638" t="s">
        <v>19447</v>
      </c>
      <c r="S638" t="s">
        <v>19447</v>
      </c>
      <c r="T638" t="s">
        <v>19904</v>
      </c>
    </row>
    <row r="639" spans="2:20" x14ac:dyDescent="0.25">
      <c r="B639" t="s">
        <v>2709</v>
      </c>
      <c r="C639">
        <v>8012200</v>
      </c>
      <c r="D639">
        <v>1</v>
      </c>
      <c r="E639" t="s">
        <v>19447</v>
      </c>
      <c r="F639">
        <v>18</v>
      </c>
      <c r="G639">
        <v>0</v>
      </c>
      <c r="H639">
        <v>7.6</v>
      </c>
      <c r="I639">
        <v>1.65</v>
      </c>
      <c r="J639">
        <v>10</v>
      </c>
      <c r="L639" t="s">
        <v>2709</v>
      </c>
      <c r="M639">
        <v>8012200</v>
      </c>
      <c r="N639">
        <v>1</v>
      </c>
      <c r="O639" t="s">
        <v>19447</v>
      </c>
      <c r="P639" t="s">
        <v>19899</v>
      </c>
      <c r="Q639" t="s">
        <v>19900</v>
      </c>
      <c r="R639" t="s">
        <v>19905</v>
      </c>
      <c r="S639" t="s">
        <v>19906</v>
      </c>
      <c r="T639" t="s">
        <v>19904</v>
      </c>
    </row>
    <row r="640" spans="2:20" x14ac:dyDescent="0.25">
      <c r="B640" t="s">
        <v>2709</v>
      </c>
      <c r="C640">
        <v>8013100</v>
      </c>
      <c r="E640">
        <v>40</v>
      </c>
      <c r="F640">
        <v>18</v>
      </c>
      <c r="G640">
        <v>0</v>
      </c>
      <c r="H640" t="s">
        <v>19447</v>
      </c>
      <c r="I640" t="s">
        <v>19447</v>
      </c>
      <c r="J640">
        <v>10</v>
      </c>
      <c r="L640" t="s">
        <v>2709</v>
      </c>
      <c r="M640">
        <v>8013100</v>
      </c>
      <c r="O640" t="s">
        <v>19922</v>
      </c>
      <c r="P640" t="s">
        <v>19899</v>
      </c>
      <c r="Q640" t="s">
        <v>19900</v>
      </c>
      <c r="R640" t="s">
        <v>19447</v>
      </c>
      <c r="S640" t="s">
        <v>19447</v>
      </c>
      <c r="T640" t="s">
        <v>19904</v>
      </c>
    </row>
    <row r="641" spans="2:20" x14ac:dyDescent="0.25">
      <c r="B641" t="s">
        <v>2709</v>
      </c>
      <c r="C641">
        <v>8013100</v>
      </c>
      <c r="D641">
        <v>1</v>
      </c>
      <c r="E641" t="s">
        <v>19447</v>
      </c>
      <c r="F641">
        <v>18</v>
      </c>
      <c r="G641">
        <v>0</v>
      </c>
      <c r="H641">
        <v>7.6</v>
      </c>
      <c r="I641">
        <v>1.65</v>
      </c>
      <c r="J641">
        <v>10</v>
      </c>
      <c r="L641" t="s">
        <v>2709</v>
      </c>
      <c r="M641">
        <v>8013100</v>
      </c>
      <c r="N641">
        <v>1</v>
      </c>
      <c r="O641" t="s">
        <v>19447</v>
      </c>
      <c r="P641" t="s">
        <v>19899</v>
      </c>
      <c r="Q641" t="s">
        <v>19900</v>
      </c>
      <c r="R641" t="s">
        <v>19905</v>
      </c>
      <c r="S641" t="s">
        <v>19906</v>
      </c>
      <c r="T641" t="s">
        <v>19904</v>
      </c>
    </row>
    <row r="642" spans="2:20" x14ac:dyDescent="0.25">
      <c r="B642" t="s">
        <v>2709</v>
      </c>
      <c r="C642">
        <v>8013200</v>
      </c>
      <c r="E642">
        <v>40</v>
      </c>
      <c r="F642">
        <v>18</v>
      </c>
      <c r="G642">
        <v>0</v>
      </c>
      <c r="H642" t="s">
        <v>19447</v>
      </c>
      <c r="I642" t="s">
        <v>19447</v>
      </c>
      <c r="J642">
        <v>10</v>
      </c>
      <c r="L642" t="s">
        <v>2709</v>
      </c>
      <c r="M642">
        <v>8013200</v>
      </c>
      <c r="O642" t="s">
        <v>19922</v>
      </c>
      <c r="P642" t="s">
        <v>19899</v>
      </c>
      <c r="Q642" t="s">
        <v>19900</v>
      </c>
      <c r="R642" t="s">
        <v>19447</v>
      </c>
      <c r="S642" t="s">
        <v>19447</v>
      </c>
      <c r="T642" t="s">
        <v>19904</v>
      </c>
    </row>
    <row r="643" spans="2:20" x14ac:dyDescent="0.25">
      <c r="B643" t="s">
        <v>2709</v>
      </c>
      <c r="C643">
        <v>8013200</v>
      </c>
      <c r="D643">
        <v>1</v>
      </c>
      <c r="E643" t="s">
        <v>19447</v>
      </c>
      <c r="F643">
        <v>18</v>
      </c>
      <c r="G643">
        <v>0</v>
      </c>
      <c r="H643">
        <v>7.6</v>
      </c>
      <c r="I643">
        <v>1.65</v>
      </c>
      <c r="J643">
        <v>10</v>
      </c>
      <c r="L643" t="s">
        <v>2709</v>
      </c>
      <c r="M643">
        <v>8013200</v>
      </c>
      <c r="N643">
        <v>1</v>
      </c>
      <c r="O643" t="s">
        <v>19447</v>
      </c>
      <c r="P643" t="s">
        <v>19899</v>
      </c>
      <c r="Q643" t="s">
        <v>19900</v>
      </c>
      <c r="R643" t="s">
        <v>19905</v>
      </c>
      <c r="S643" t="s">
        <v>19906</v>
      </c>
      <c r="T643" t="s">
        <v>19904</v>
      </c>
    </row>
    <row r="644" spans="2:20" x14ac:dyDescent="0.25">
      <c r="B644" t="s">
        <v>2709</v>
      </c>
      <c r="C644">
        <v>8021100</v>
      </c>
      <c r="E644">
        <v>40</v>
      </c>
      <c r="F644">
        <v>18</v>
      </c>
      <c r="G644">
        <v>0</v>
      </c>
      <c r="H644" t="s">
        <v>19447</v>
      </c>
      <c r="I644" t="s">
        <v>19447</v>
      </c>
      <c r="J644">
        <v>10</v>
      </c>
      <c r="L644" t="s">
        <v>2709</v>
      </c>
      <c r="M644">
        <v>8021100</v>
      </c>
      <c r="O644" t="s">
        <v>19922</v>
      </c>
      <c r="P644" t="s">
        <v>19899</v>
      </c>
      <c r="Q644" t="s">
        <v>19900</v>
      </c>
      <c r="R644" t="s">
        <v>19447</v>
      </c>
      <c r="S644" t="s">
        <v>19447</v>
      </c>
      <c r="T644" t="s">
        <v>19904</v>
      </c>
    </row>
    <row r="645" spans="2:20" x14ac:dyDescent="0.25">
      <c r="B645" t="s">
        <v>2709</v>
      </c>
      <c r="C645">
        <v>8021200</v>
      </c>
      <c r="E645">
        <v>40</v>
      </c>
      <c r="F645">
        <v>18</v>
      </c>
      <c r="G645">
        <v>0</v>
      </c>
      <c r="H645" t="s">
        <v>19447</v>
      </c>
      <c r="I645" t="s">
        <v>19447</v>
      </c>
      <c r="J645">
        <v>10</v>
      </c>
      <c r="L645" t="s">
        <v>2709</v>
      </c>
      <c r="M645">
        <v>8021200</v>
      </c>
      <c r="O645" t="s">
        <v>19922</v>
      </c>
      <c r="P645" t="s">
        <v>19899</v>
      </c>
      <c r="Q645" t="s">
        <v>19900</v>
      </c>
      <c r="R645" t="s">
        <v>19447</v>
      </c>
      <c r="S645" t="s">
        <v>19447</v>
      </c>
      <c r="T645" t="s">
        <v>19904</v>
      </c>
    </row>
    <row r="646" spans="2:20" x14ac:dyDescent="0.25">
      <c r="B646" t="s">
        <v>2709</v>
      </c>
      <c r="C646">
        <v>8022100</v>
      </c>
      <c r="E646">
        <v>40</v>
      </c>
      <c r="F646">
        <v>18</v>
      </c>
      <c r="G646">
        <v>0</v>
      </c>
      <c r="H646" t="s">
        <v>19447</v>
      </c>
      <c r="I646" t="s">
        <v>19447</v>
      </c>
      <c r="J646">
        <v>6</v>
      </c>
      <c r="L646" t="s">
        <v>2709</v>
      </c>
      <c r="M646">
        <v>8022100</v>
      </c>
      <c r="O646" t="s">
        <v>19922</v>
      </c>
      <c r="P646" t="s">
        <v>19899</v>
      </c>
      <c r="Q646" t="s">
        <v>19900</v>
      </c>
      <c r="R646" t="s">
        <v>19447</v>
      </c>
      <c r="S646" t="s">
        <v>19447</v>
      </c>
      <c r="T646" t="s">
        <v>19907</v>
      </c>
    </row>
    <row r="647" spans="2:20" x14ac:dyDescent="0.25">
      <c r="B647" t="s">
        <v>2709</v>
      </c>
      <c r="C647">
        <v>8022200</v>
      </c>
      <c r="E647">
        <v>40</v>
      </c>
      <c r="F647">
        <v>18</v>
      </c>
      <c r="G647">
        <v>0</v>
      </c>
      <c r="H647" t="s">
        <v>19447</v>
      </c>
      <c r="I647" t="s">
        <v>19447</v>
      </c>
      <c r="J647">
        <v>6</v>
      </c>
      <c r="L647" t="s">
        <v>2709</v>
      </c>
      <c r="M647">
        <v>8022200</v>
      </c>
      <c r="O647" t="s">
        <v>19922</v>
      </c>
      <c r="P647" t="s">
        <v>19899</v>
      </c>
      <c r="Q647" t="s">
        <v>19900</v>
      </c>
      <c r="R647" t="s">
        <v>19447</v>
      </c>
      <c r="S647" t="s">
        <v>19447</v>
      </c>
      <c r="T647" t="s">
        <v>19907</v>
      </c>
    </row>
    <row r="648" spans="2:20" x14ac:dyDescent="0.25">
      <c r="B648" t="s">
        <v>2709</v>
      </c>
      <c r="C648">
        <v>8023100</v>
      </c>
      <c r="E648">
        <v>40</v>
      </c>
      <c r="F648">
        <v>18</v>
      </c>
      <c r="G648">
        <v>0</v>
      </c>
      <c r="H648" t="s">
        <v>19447</v>
      </c>
      <c r="I648" t="s">
        <v>19447</v>
      </c>
      <c r="J648">
        <v>10</v>
      </c>
      <c r="L648" t="s">
        <v>2709</v>
      </c>
      <c r="M648">
        <v>8023100</v>
      </c>
      <c r="O648" t="s">
        <v>19922</v>
      </c>
      <c r="P648" t="s">
        <v>19899</v>
      </c>
      <c r="Q648" t="s">
        <v>19900</v>
      </c>
      <c r="R648" t="s">
        <v>19447</v>
      </c>
      <c r="S648" t="s">
        <v>19447</v>
      </c>
      <c r="T648" t="s">
        <v>19904</v>
      </c>
    </row>
    <row r="649" spans="2:20" x14ac:dyDescent="0.25">
      <c r="B649" t="s">
        <v>2709</v>
      </c>
      <c r="C649">
        <v>8023200</v>
      </c>
      <c r="E649">
        <v>40</v>
      </c>
      <c r="F649">
        <v>18</v>
      </c>
      <c r="G649">
        <v>0</v>
      </c>
      <c r="H649" t="s">
        <v>19447</v>
      </c>
      <c r="I649" t="s">
        <v>19447</v>
      </c>
      <c r="J649">
        <v>10</v>
      </c>
      <c r="L649" t="s">
        <v>2709</v>
      </c>
      <c r="M649">
        <v>8023200</v>
      </c>
      <c r="O649" t="s">
        <v>19922</v>
      </c>
      <c r="P649" t="s">
        <v>19899</v>
      </c>
      <c r="Q649" t="s">
        <v>19900</v>
      </c>
      <c r="R649" t="s">
        <v>19447</v>
      </c>
      <c r="S649" t="s">
        <v>19447</v>
      </c>
      <c r="T649" t="s">
        <v>19904</v>
      </c>
    </row>
    <row r="650" spans="2:20" x14ac:dyDescent="0.25">
      <c r="B650" t="s">
        <v>2709</v>
      </c>
      <c r="C650">
        <v>8024100</v>
      </c>
      <c r="E650">
        <v>40</v>
      </c>
      <c r="F650">
        <v>18</v>
      </c>
      <c r="G650">
        <v>0</v>
      </c>
      <c r="H650" t="s">
        <v>19447</v>
      </c>
      <c r="I650" t="s">
        <v>19447</v>
      </c>
      <c r="J650">
        <v>10</v>
      </c>
      <c r="L650" t="s">
        <v>2709</v>
      </c>
      <c r="M650">
        <v>8024100</v>
      </c>
      <c r="O650" t="s">
        <v>19922</v>
      </c>
      <c r="P650" t="s">
        <v>19899</v>
      </c>
      <c r="Q650" t="s">
        <v>19900</v>
      </c>
      <c r="R650" t="s">
        <v>19447</v>
      </c>
      <c r="S650" t="s">
        <v>19447</v>
      </c>
      <c r="T650" t="s">
        <v>19904</v>
      </c>
    </row>
    <row r="651" spans="2:20" x14ac:dyDescent="0.25">
      <c r="B651" t="s">
        <v>2709</v>
      </c>
      <c r="C651">
        <v>8024200</v>
      </c>
      <c r="E651">
        <v>40</v>
      </c>
      <c r="F651">
        <v>18</v>
      </c>
      <c r="G651">
        <v>0</v>
      </c>
      <c r="H651" t="s">
        <v>19447</v>
      </c>
      <c r="I651" t="s">
        <v>19447</v>
      </c>
      <c r="J651">
        <v>10</v>
      </c>
      <c r="L651" t="s">
        <v>2709</v>
      </c>
      <c r="M651">
        <v>8024200</v>
      </c>
      <c r="O651" t="s">
        <v>19922</v>
      </c>
      <c r="P651" t="s">
        <v>19899</v>
      </c>
      <c r="Q651" t="s">
        <v>19900</v>
      </c>
      <c r="R651" t="s">
        <v>19447</v>
      </c>
      <c r="S651" t="s">
        <v>19447</v>
      </c>
      <c r="T651" t="s">
        <v>19904</v>
      </c>
    </row>
    <row r="652" spans="2:20" x14ac:dyDescent="0.25">
      <c r="B652" t="s">
        <v>2709</v>
      </c>
      <c r="C652">
        <v>8025100</v>
      </c>
      <c r="E652">
        <v>0</v>
      </c>
      <c r="F652">
        <v>18</v>
      </c>
      <c r="G652">
        <v>0</v>
      </c>
      <c r="H652" t="s">
        <v>19447</v>
      </c>
      <c r="I652" t="s">
        <v>19447</v>
      </c>
      <c r="J652">
        <v>10</v>
      </c>
      <c r="L652" t="s">
        <v>2709</v>
      </c>
      <c r="M652">
        <v>8025100</v>
      </c>
      <c r="O652" t="s">
        <v>19900</v>
      </c>
      <c r="P652" t="s">
        <v>19899</v>
      </c>
      <c r="Q652" t="s">
        <v>19900</v>
      </c>
      <c r="R652" t="s">
        <v>19447</v>
      </c>
      <c r="S652" t="s">
        <v>19447</v>
      </c>
      <c r="T652" t="s">
        <v>19904</v>
      </c>
    </row>
    <row r="653" spans="2:20" x14ac:dyDescent="0.25">
      <c r="B653" t="s">
        <v>2709</v>
      </c>
      <c r="C653">
        <v>8025200</v>
      </c>
      <c r="E653">
        <v>0</v>
      </c>
      <c r="F653">
        <v>18</v>
      </c>
      <c r="G653">
        <v>0</v>
      </c>
      <c r="H653" t="s">
        <v>19447</v>
      </c>
      <c r="I653" t="s">
        <v>19447</v>
      </c>
      <c r="J653">
        <v>10</v>
      </c>
      <c r="L653" t="s">
        <v>2709</v>
      </c>
      <c r="M653">
        <v>8025200</v>
      </c>
      <c r="O653" t="s">
        <v>19900</v>
      </c>
      <c r="P653" t="s">
        <v>19899</v>
      </c>
      <c r="Q653" t="s">
        <v>19900</v>
      </c>
      <c r="R653" t="s">
        <v>19447</v>
      </c>
      <c r="S653" t="s">
        <v>19447</v>
      </c>
      <c r="T653" t="s">
        <v>19904</v>
      </c>
    </row>
    <row r="654" spans="2:20" x14ac:dyDescent="0.25">
      <c r="B654" t="s">
        <v>2709</v>
      </c>
      <c r="C654">
        <v>8026100</v>
      </c>
      <c r="E654">
        <v>0</v>
      </c>
      <c r="F654">
        <v>18</v>
      </c>
      <c r="G654">
        <v>0</v>
      </c>
      <c r="H654" t="s">
        <v>19447</v>
      </c>
      <c r="I654" t="s">
        <v>19447</v>
      </c>
      <c r="J654">
        <v>10</v>
      </c>
      <c r="L654" t="s">
        <v>2709</v>
      </c>
      <c r="M654">
        <v>8026100</v>
      </c>
      <c r="O654" t="s">
        <v>19900</v>
      </c>
      <c r="P654" t="s">
        <v>19899</v>
      </c>
      <c r="Q654" t="s">
        <v>19900</v>
      </c>
      <c r="R654" t="s">
        <v>19447</v>
      </c>
      <c r="S654" t="s">
        <v>19447</v>
      </c>
      <c r="T654" t="s">
        <v>19904</v>
      </c>
    </row>
    <row r="655" spans="2:20" x14ac:dyDescent="0.25">
      <c r="B655" t="s">
        <v>2709</v>
      </c>
      <c r="C655">
        <v>8026200</v>
      </c>
      <c r="E655">
        <v>0</v>
      </c>
      <c r="F655">
        <v>18</v>
      </c>
      <c r="G655">
        <v>0</v>
      </c>
      <c r="H655" t="s">
        <v>19447</v>
      </c>
      <c r="I655" t="s">
        <v>19447</v>
      </c>
      <c r="J655">
        <v>10</v>
      </c>
      <c r="L655" t="s">
        <v>2709</v>
      </c>
      <c r="M655">
        <v>8026200</v>
      </c>
      <c r="O655" t="s">
        <v>19900</v>
      </c>
      <c r="P655" t="s">
        <v>19899</v>
      </c>
      <c r="Q655" t="s">
        <v>19900</v>
      </c>
      <c r="R655" t="s">
        <v>19447</v>
      </c>
      <c r="S655" t="s">
        <v>19447</v>
      </c>
      <c r="T655" t="s">
        <v>19904</v>
      </c>
    </row>
    <row r="656" spans="2:20" x14ac:dyDescent="0.25">
      <c r="B656" t="s">
        <v>2709</v>
      </c>
      <c r="C656">
        <v>8027000</v>
      </c>
      <c r="E656">
        <v>0</v>
      </c>
      <c r="F656">
        <v>18</v>
      </c>
      <c r="G656">
        <v>0</v>
      </c>
      <c r="H656" t="s">
        <v>19447</v>
      </c>
      <c r="I656" t="s">
        <v>19447</v>
      </c>
      <c r="J656">
        <v>10</v>
      </c>
      <c r="L656" t="s">
        <v>2709</v>
      </c>
      <c r="M656">
        <v>8027000</v>
      </c>
      <c r="O656" t="s">
        <v>19900</v>
      </c>
      <c r="P656" t="s">
        <v>19899</v>
      </c>
      <c r="Q656" t="s">
        <v>19900</v>
      </c>
      <c r="R656" t="s">
        <v>19447</v>
      </c>
      <c r="S656" t="s">
        <v>19447</v>
      </c>
      <c r="T656" t="s">
        <v>19904</v>
      </c>
    </row>
    <row r="657" spans="2:20" x14ac:dyDescent="0.25">
      <c r="B657" t="s">
        <v>2709</v>
      </c>
      <c r="C657">
        <v>8028000</v>
      </c>
      <c r="E657">
        <v>0</v>
      </c>
      <c r="F657">
        <v>18</v>
      </c>
      <c r="G657">
        <v>0</v>
      </c>
      <c r="H657" t="s">
        <v>19447</v>
      </c>
      <c r="I657" t="s">
        <v>19447</v>
      </c>
      <c r="J657">
        <v>10</v>
      </c>
      <c r="L657" t="s">
        <v>2709</v>
      </c>
      <c r="M657">
        <v>8028000</v>
      </c>
      <c r="O657" t="s">
        <v>19900</v>
      </c>
      <c r="P657" t="s">
        <v>19899</v>
      </c>
      <c r="Q657" t="s">
        <v>19900</v>
      </c>
      <c r="R657" t="s">
        <v>19447</v>
      </c>
      <c r="S657" t="s">
        <v>19447</v>
      </c>
      <c r="T657" t="s">
        <v>19904</v>
      </c>
    </row>
    <row r="658" spans="2:20" x14ac:dyDescent="0.25">
      <c r="B658" t="s">
        <v>2709</v>
      </c>
      <c r="C658">
        <v>8029000</v>
      </c>
      <c r="E658">
        <v>40</v>
      </c>
      <c r="F658">
        <v>18</v>
      </c>
      <c r="G658">
        <v>0</v>
      </c>
      <c r="H658" t="s">
        <v>19447</v>
      </c>
      <c r="I658" t="s">
        <v>19447</v>
      </c>
      <c r="J658">
        <v>10</v>
      </c>
      <c r="L658" t="s">
        <v>2709</v>
      </c>
      <c r="M658">
        <v>8029000</v>
      </c>
      <c r="O658" t="s">
        <v>19922</v>
      </c>
      <c r="P658" t="s">
        <v>19899</v>
      </c>
      <c r="Q658" t="s">
        <v>19900</v>
      </c>
      <c r="R658" t="s">
        <v>19447</v>
      </c>
      <c r="S658" t="s">
        <v>19447</v>
      </c>
      <c r="T658" t="s">
        <v>19904</v>
      </c>
    </row>
    <row r="659" spans="2:20" x14ac:dyDescent="0.25">
      <c r="B659" t="s">
        <v>2709</v>
      </c>
      <c r="C659">
        <v>8031000</v>
      </c>
      <c r="E659">
        <v>0</v>
      </c>
      <c r="F659">
        <v>18</v>
      </c>
      <c r="G659">
        <v>0</v>
      </c>
      <c r="H659" t="s">
        <v>19447</v>
      </c>
      <c r="I659" t="s">
        <v>19447</v>
      </c>
      <c r="J659">
        <v>10</v>
      </c>
      <c r="L659" t="s">
        <v>2709</v>
      </c>
      <c r="M659">
        <v>8031000</v>
      </c>
      <c r="O659" t="s">
        <v>19900</v>
      </c>
      <c r="P659" t="s">
        <v>19899</v>
      </c>
      <c r="Q659" t="s">
        <v>19900</v>
      </c>
      <c r="R659" t="s">
        <v>19447</v>
      </c>
      <c r="S659" t="s">
        <v>19447</v>
      </c>
      <c r="T659" t="s">
        <v>19904</v>
      </c>
    </row>
    <row r="660" spans="2:20" x14ac:dyDescent="0.25">
      <c r="B660" t="s">
        <v>2709</v>
      </c>
      <c r="C660">
        <v>8039000</v>
      </c>
      <c r="E660">
        <v>0</v>
      </c>
      <c r="F660">
        <v>18</v>
      </c>
      <c r="G660">
        <v>0</v>
      </c>
      <c r="H660" t="s">
        <v>19447</v>
      </c>
      <c r="I660" t="s">
        <v>19447</v>
      </c>
      <c r="J660">
        <v>10</v>
      </c>
      <c r="L660" t="s">
        <v>2709</v>
      </c>
      <c r="M660">
        <v>8039000</v>
      </c>
      <c r="O660" t="s">
        <v>19900</v>
      </c>
      <c r="P660" t="s">
        <v>19899</v>
      </c>
      <c r="Q660" t="s">
        <v>19900</v>
      </c>
      <c r="R660" t="s">
        <v>19447</v>
      </c>
      <c r="S660" t="s">
        <v>19447</v>
      </c>
      <c r="T660" t="s">
        <v>19904</v>
      </c>
    </row>
    <row r="661" spans="2:20" x14ac:dyDescent="0.25">
      <c r="B661" t="s">
        <v>2709</v>
      </c>
      <c r="C661">
        <v>8039000</v>
      </c>
      <c r="D661">
        <v>1</v>
      </c>
      <c r="E661" t="s">
        <v>19447</v>
      </c>
      <c r="F661">
        <v>18</v>
      </c>
      <c r="G661">
        <v>0</v>
      </c>
      <c r="H661">
        <v>7.6</v>
      </c>
      <c r="I661">
        <v>1.65</v>
      </c>
      <c r="J661">
        <v>10</v>
      </c>
      <c r="L661" t="s">
        <v>2709</v>
      </c>
      <c r="M661">
        <v>8039000</v>
      </c>
      <c r="N661">
        <v>1</v>
      </c>
      <c r="O661" t="s">
        <v>19447</v>
      </c>
      <c r="P661" t="s">
        <v>19899</v>
      </c>
      <c r="Q661" t="s">
        <v>19900</v>
      </c>
      <c r="R661" t="s">
        <v>19905</v>
      </c>
      <c r="S661" t="s">
        <v>19906</v>
      </c>
      <c r="T661" t="s">
        <v>19904</v>
      </c>
    </row>
    <row r="662" spans="2:20" x14ac:dyDescent="0.25">
      <c r="B662" t="s">
        <v>2709</v>
      </c>
      <c r="C662">
        <v>8041010</v>
      </c>
      <c r="E662">
        <v>0</v>
      </c>
      <c r="F662">
        <v>18</v>
      </c>
      <c r="G662">
        <v>0</v>
      </c>
      <c r="H662" t="s">
        <v>19447</v>
      </c>
      <c r="I662" t="s">
        <v>19447</v>
      </c>
      <c r="J662">
        <v>10</v>
      </c>
      <c r="L662" t="s">
        <v>2709</v>
      </c>
      <c r="M662">
        <v>8041010</v>
      </c>
      <c r="O662" t="s">
        <v>19900</v>
      </c>
      <c r="P662" t="s">
        <v>19899</v>
      </c>
      <c r="Q662" t="s">
        <v>19900</v>
      </c>
      <c r="R662" t="s">
        <v>19447</v>
      </c>
      <c r="S662" t="s">
        <v>19447</v>
      </c>
      <c r="T662" t="s">
        <v>19904</v>
      </c>
    </row>
    <row r="663" spans="2:20" x14ac:dyDescent="0.25">
      <c r="B663" t="s">
        <v>2709</v>
      </c>
      <c r="C663">
        <v>8041020</v>
      </c>
      <c r="E663">
        <v>0</v>
      </c>
      <c r="F663">
        <v>18</v>
      </c>
      <c r="G663">
        <v>0</v>
      </c>
      <c r="H663" t="s">
        <v>19447</v>
      </c>
      <c r="I663" t="s">
        <v>19447</v>
      </c>
      <c r="J663">
        <v>10</v>
      </c>
      <c r="L663" t="s">
        <v>2709</v>
      </c>
      <c r="M663">
        <v>8041020</v>
      </c>
      <c r="O663" t="s">
        <v>19900</v>
      </c>
      <c r="P663" t="s">
        <v>19899</v>
      </c>
      <c r="Q663" t="s">
        <v>19900</v>
      </c>
      <c r="R663" t="s">
        <v>19447</v>
      </c>
      <c r="S663" t="s">
        <v>19447</v>
      </c>
      <c r="T663" t="s">
        <v>19904</v>
      </c>
    </row>
    <row r="664" spans="2:20" x14ac:dyDescent="0.25">
      <c r="B664" t="s">
        <v>2709</v>
      </c>
      <c r="C664">
        <v>8042010</v>
      </c>
      <c r="E664">
        <v>0</v>
      </c>
      <c r="F664">
        <v>18</v>
      </c>
      <c r="G664">
        <v>0</v>
      </c>
      <c r="H664" t="s">
        <v>19447</v>
      </c>
      <c r="I664" t="s">
        <v>19447</v>
      </c>
      <c r="J664">
        <v>10</v>
      </c>
      <c r="L664" t="s">
        <v>2709</v>
      </c>
      <c r="M664">
        <v>8042010</v>
      </c>
      <c r="O664" t="s">
        <v>19900</v>
      </c>
      <c r="P664" t="s">
        <v>19899</v>
      </c>
      <c r="Q664" t="s">
        <v>19900</v>
      </c>
      <c r="R664" t="s">
        <v>19447</v>
      </c>
      <c r="S664" t="s">
        <v>19447</v>
      </c>
      <c r="T664" t="s">
        <v>19904</v>
      </c>
    </row>
    <row r="665" spans="2:20" x14ac:dyDescent="0.25">
      <c r="B665" t="s">
        <v>2709</v>
      </c>
      <c r="C665">
        <v>8042020</v>
      </c>
      <c r="E665">
        <v>0</v>
      </c>
      <c r="F665">
        <v>18</v>
      </c>
      <c r="G665">
        <v>0</v>
      </c>
      <c r="H665" t="s">
        <v>19447</v>
      </c>
      <c r="I665" t="s">
        <v>19447</v>
      </c>
      <c r="J665">
        <v>10</v>
      </c>
      <c r="L665" t="s">
        <v>2709</v>
      </c>
      <c r="M665">
        <v>8042020</v>
      </c>
      <c r="O665" t="s">
        <v>19900</v>
      </c>
      <c r="P665" t="s">
        <v>19899</v>
      </c>
      <c r="Q665" t="s">
        <v>19900</v>
      </c>
      <c r="R665" t="s">
        <v>19447</v>
      </c>
      <c r="S665" t="s">
        <v>19447</v>
      </c>
      <c r="T665" t="s">
        <v>19904</v>
      </c>
    </row>
    <row r="666" spans="2:20" x14ac:dyDescent="0.25">
      <c r="B666" t="s">
        <v>2709</v>
      </c>
      <c r="C666">
        <v>8043000</v>
      </c>
      <c r="E666">
        <v>0</v>
      </c>
      <c r="F666">
        <v>18</v>
      </c>
      <c r="G666">
        <v>0</v>
      </c>
      <c r="H666" t="s">
        <v>19447</v>
      </c>
      <c r="I666" t="s">
        <v>19447</v>
      </c>
      <c r="J666">
        <v>10</v>
      </c>
      <c r="L666" t="s">
        <v>2709</v>
      </c>
      <c r="M666">
        <v>8043000</v>
      </c>
      <c r="O666" t="s">
        <v>19900</v>
      </c>
      <c r="P666" t="s">
        <v>19899</v>
      </c>
      <c r="Q666" t="s">
        <v>19900</v>
      </c>
      <c r="R666" t="s">
        <v>19447</v>
      </c>
      <c r="S666" t="s">
        <v>19447</v>
      </c>
      <c r="T666" t="s">
        <v>19904</v>
      </c>
    </row>
    <row r="667" spans="2:20" x14ac:dyDescent="0.25">
      <c r="B667" t="s">
        <v>2709</v>
      </c>
      <c r="C667">
        <v>8043000</v>
      </c>
      <c r="D667">
        <v>1</v>
      </c>
      <c r="E667" t="s">
        <v>19447</v>
      </c>
      <c r="F667">
        <v>18</v>
      </c>
      <c r="G667">
        <v>0</v>
      </c>
      <c r="H667">
        <v>7.6</v>
      </c>
      <c r="I667">
        <v>1.65</v>
      </c>
      <c r="J667">
        <v>10</v>
      </c>
      <c r="L667" t="s">
        <v>2709</v>
      </c>
      <c r="M667">
        <v>8043000</v>
      </c>
      <c r="N667">
        <v>1</v>
      </c>
      <c r="O667" t="s">
        <v>19447</v>
      </c>
      <c r="P667" t="s">
        <v>19899</v>
      </c>
      <c r="Q667" t="s">
        <v>19900</v>
      </c>
      <c r="R667" t="s">
        <v>19905</v>
      </c>
      <c r="S667" t="s">
        <v>19906</v>
      </c>
      <c r="T667" t="s">
        <v>19904</v>
      </c>
    </row>
    <row r="668" spans="2:20" x14ac:dyDescent="0.25">
      <c r="B668" t="s">
        <v>2709</v>
      </c>
      <c r="C668">
        <v>8044000</v>
      </c>
      <c r="E668">
        <v>0</v>
      </c>
      <c r="F668">
        <v>18</v>
      </c>
      <c r="G668">
        <v>0</v>
      </c>
      <c r="H668" t="s">
        <v>19447</v>
      </c>
      <c r="I668" t="s">
        <v>19447</v>
      </c>
      <c r="J668">
        <v>10</v>
      </c>
      <c r="L668" t="s">
        <v>2709</v>
      </c>
      <c r="M668">
        <v>8044000</v>
      </c>
      <c r="O668" t="s">
        <v>19900</v>
      </c>
      <c r="P668" t="s">
        <v>19899</v>
      </c>
      <c r="Q668" t="s">
        <v>19900</v>
      </c>
      <c r="R668" t="s">
        <v>19447</v>
      </c>
      <c r="S668" t="s">
        <v>19447</v>
      </c>
      <c r="T668" t="s">
        <v>19904</v>
      </c>
    </row>
    <row r="669" spans="2:20" x14ac:dyDescent="0.25">
      <c r="B669" t="s">
        <v>2709</v>
      </c>
      <c r="C669">
        <v>8044000</v>
      </c>
      <c r="D669">
        <v>1</v>
      </c>
      <c r="E669" t="s">
        <v>19447</v>
      </c>
      <c r="F669">
        <v>18</v>
      </c>
      <c r="G669">
        <v>0</v>
      </c>
      <c r="H669">
        <v>7.6</v>
      </c>
      <c r="I669">
        <v>1.65</v>
      </c>
      <c r="J669">
        <v>10</v>
      </c>
      <c r="L669" t="s">
        <v>2709</v>
      </c>
      <c r="M669">
        <v>8044000</v>
      </c>
      <c r="N669">
        <v>1</v>
      </c>
      <c r="O669" t="s">
        <v>19447</v>
      </c>
      <c r="P669" t="s">
        <v>19899</v>
      </c>
      <c r="Q669" t="s">
        <v>19900</v>
      </c>
      <c r="R669" t="s">
        <v>19905</v>
      </c>
      <c r="S669" t="s">
        <v>19906</v>
      </c>
      <c r="T669" t="s">
        <v>19904</v>
      </c>
    </row>
    <row r="670" spans="2:20" x14ac:dyDescent="0.25">
      <c r="B670" t="s">
        <v>2709</v>
      </c>
      <c r="C670">
        <v>8045010</v>
      </c>
      <c r="E670">
        <v>0</v>
      </c>
      <c r="F670">
        <v>18</v>
      </c>
      <c r="G670">
        <v>0</v>
      </c>
      <c r="H670" t="s">
        <v>19447</v>
      </c>
      <c r="I670" t="s">
        <v>19447</v>
      </c>
      <c r="J670">
        <v>10</v>
      </c>
      <c r="L670" t="s">
        <v>2709</v>
      </c>
      <c r="M670">
        <v>8045010</v>
      </c>
      <c r="O670" t="s">
        <v>19900</v>
      </c>
      <c r="P670" t="s">
        <v>19899</v>
      </c>
      <c r="Q670" t="s">
        <v>19900</v>
      </c>
      <c r="R670" t="s">
        <v>19447</v>
      </c>
      <c r="S670" t="s">
        <v>19447</v>
      </c>
      <c r="T670" t="s">
        <v>19904</v>
      </c>
    </row>
    <row r="671" spans="2:20" x14ac:dyDescent="0.25">
      <c r="B671" t="s">
        <v>2709</v>
      </c>
      <c r="C671">
        <v>8045010</v>
      </c>
      <c r="D671">
        <v>1</v>
      </c>
      <c r="E671" t="s">
        <v>19447</v>
      </c>
      <c r="F671">
        <v>18</v>
      </c>
      <c r="G671">
        <v>0</v>
      </c>
      <c r="H671">
        <v>7.6</v>
      </c>
      <c r="I671">
        <v>1.65</v>
      </c>
      <c r="J671">
        <v>10</v>
      </c>
      <c r="L671" t="s">
        <v>2709</v>
      </c>
      <c r="M671">
        <v>8045010</v>
      </c>
      <c r="N671">
        <v>1</v>
      </c>
      <c r="O671" t="s">
        <v>19447</v>
      </c>
      <c r="P671" t="s">
        <v>19899</v>
      </c>
      <c r="Q671" t="s">
        <v>19900</v>
      </c>
      <c r="R671" t="s">
        <v>19905</v>
      </c>
      <c r="S671" t="s">
        <v>19906</v>
      </c>
      <c r="T671" t="s">
        <v>19904</v>
      </c>
    </row>
    <row r="672" spans="2:20" x14ac:dyDescent="0.25">
      <c r="B672" t="s">
        <v>2709</v>
      </c>
      <c r="C672">
        <v>8045020</v>
      </c>
      <c r="E672">
        <v>0</v>
      </c>
      <c r="F672">
        <v>18</v>
      </c>
      <c r="G672">
        <v>0</v>
      </c>
      <c r="H672" t="s">
        <v>19447</v>
      </c>
      <c r="I672" t="s">
        <v>19447</v>
      </c>
      <c r="J672">
        <v>10</v>
      </c>
      <c r="L672" t="s">
        <v>2709</v>
      </c>
      <c r="M672">
        <v>8045020</v>
      </c>
      <c r="O672" t="s">
        <v>19900</v>
      </c>
      <c r="P672" t="s">
        <v>19899</v>
      </c>
      <c r="Q672" t="s">
        <v>19900</v>
      </c>
      <c r="R672" t="s">
        <v>19447</v>
      </c>
      <c r="S672" t="s">
        <v>19447</v>
      </c>
      <c r="T672" t="s">
        <v>19904</v>
      </c>
    </row>
    <row r="673" spans="2:20" x14ac:dyDescent="0.25">
      <c r="B673" t="s">
        <v>2709</v>
      </c>
      <c r="C673">
        <v>8045020</v>
      </c>
      <c r="D673">
        <v>1</v>
      </c>
      <c r="E673" t="s">
        <v>19447</v>
      </c>
      <c r="F673">
        <v>18</v>
      </c>
      <c r="G673">
        <v>0</v>
      </c>
      <c r="H673">
        <v>7.6</v>
      </c>
      <c r="I673">
        <v>1.65</v>
      </c>
      <c r="J673">
        <v>10</v>
      </c>
      <c r="L673" t="s">
        <v>2709</v>
      </c>
      <c r="M673">
        <v>8045020</v>
      </c>
      <c r="N673">
        <v>1</v>
      </c>
      <c r="O673" t="s">
        <v>19447</v>
      </c>
      <c r="P673" t="s">
        <v>19899</v>
      </c>
      <c r="Q673" t="s">
        <v>19900</v>
      </c>
      <c r="R673" t="s">
        <v>19905</v>
      </c>
      <c r="S673" t="s">
        <v>19906</v>
      </c>
      <c r="T673" t="s">
        <v>19904</v>
      </c>
    </row>
    <row r="674" spans="2:20" x14ac:dyDescent="0.25">
      <c r="B674" t="s">
        <v>2709</v>
      </c>
      <c r="C674">
        <v>8045030</v>
      </c>
      <c r="E674">
        <v>0</v>
      </c>
      <c r="F674">
        <v>18</v>
      </c>
      <c r="G674">
        <v>0</v>
      </c>
      <c r="H674" t="s">
        <v>19447</v>
      </c>
      <c r="I674" t="s">
        <v>19447</v>
      </c>
      <c r="J674">
        <v>10</v>
      </c>
      <c r="L674" t="s">
        <v>2709</v>
      </c>
      <c r="M674">
        <v>8045030</v>
      </c>
      <c r="O674" t="s">
        <v>19900</v>
      </c>
      <c r="P674" t="s">
        <v>19899</v>
      </c>
      <c r="Q674" t="s">
        <v>19900</v>
      </c>
      <c r="R674" t="s">
        <v>19447</v>
      </c>
      <c r="S674" t="s">
        <v>19447</v>
      </c>
      <c r="T674" t="s">
        <v>19904</v>
      </c>
    </row>
    <row r="675" spans="2:20" x14ac:dyDescent="0.25">
      <c r="B675" t="s">
        <v>2709</v>
      </c>
      <c r="C675">
        <v>8045030</v>
      </c>
      <c r="D675">
        <v>1</v>
      </c>
      <c r="E675" t="s">
        <v>19447</v>
      </c>
      <c r="F675">
        <v>18</v>
      </c>
      <c r="G675">
        <v>0</v>
      </c>
      <c r="H675">
        <v>7.6</v>
      </c>
      <c r="I675">
        <v>1.65</v>
      </c>
      <c r="J675">
        <v>10</v>
      </c>
      <c r="L675" t="s">
        <v>2709</v>
      </c>
      <c r="M675">
        <v>8045030</v>
      </c>
      <c r="N675">
        <v>1</v>
      </c>
      <c r="O675" t="s">
        <v>19447</v>
      </c>
      <c r="P675" t="s">
        <v>19899</v>
      </c>
      <c r="Q675" t="s">
        <v>19900</v>
      </c>
      <c r="R675" t="s">
        <v>19905</v>
      </c>
      <c r="S675" t="s">
        <v>19906</v>
      </c>
      <c r="T675" t="s">
        <v>19904</v>
      </c>
    </row>
    <row r="676" spans="2:20" x14ac:dyDescent="0.25">
      <c r="B676" t="s">
        <v>2709</v>
      </c>
      <c r="C676">
        <v>8051000</v>
      </c>
      <c r="E676">
        <v>0</v>
      </c>
      <c r="F676">
        <v>18</v>
      </c>
      <c r="G676">
        <v>0</v>
      </c>
      <c r="H676" t="s">
        <v>19447</v>
      </c>
      <c r="I676" t="s">
        <v>19447</v>
      </c>
      <c r="J676">
        <v>10</v>
      </c>
      <c r="L676" t="s">
        <v>2709</v>
      </c>
      <c r="M676">
        <v>8051000</v>
      </c>
      <c r="O676" t="s">
        <v>19900</v>
      </c>
      <c r="P676" t="s">
        <v>19899</v>
      </c>
      <c r="Q676" t="s">
        <v>19900</v>
      </c>
      <c r="R676" t="s">
        <v>19447</v>
      </c>
      <c r="S676" t="s">
        <v>19447</v>
      </c>
      <c r="T676" t="s">
        <v>19904</v>
      </c>
    </row>
    <row r="677" spans="2:20" x14ac:dyDescent="0.25">
      <c r="B677" t="s">
        <v>2709</v>
      </c>
      <c r="C677">
        <v>8051000</v>
      </c>
      <c r="D677">
        <v>1</v>
      </c>
      <c r="E677" t="s">
        <v>19447</v>
      </c>
      <c r="F677">
        <v>18</v>
      </c>
      <c r="G677">
        <v>0</v>
      </c>
      <c r="H677">
        <v>7.6</v>
      </c>
      <c r="I677">
        <v>1.65</v>
      </c>
      <c r="J677">
        <v>10</v>
      </c>
      <c r="L677" t="s">
        <v>2709</v>
      </c>
      <c r="M677">
        <v>8051000</v>
      </c>
      <c r="N677">
        <v>1</v>
      </c>
      <c r="O677" t="s">
        <v>19447</v>
      </c>
      <c r="P677" t="s">
        <v>19899</v>
      </c>
      <c r="Q677" t="s">
        <v>19900</v>
      </c>
      <c r="R677" t="s">
        <v>19905</v>
      </c>
      <c r="S677" t="s">
        <v>19906</v>
      </c>
      <c r="T677" t="s">
        <v>19904</v>
      </c>
    </row>
    <row r="678" spans="2:20" x14ac:dyDescent="0.25">
      <c r="B678" t="s">
        <v>2709</v>
      </c>
      <c r="C678">
        <v>8052000</v>
      </c>
      <c r="E678">
        <v>0</v>
      </c>
      <c r="F678">
        <v>18</v>
      </c>
      <c r="G678">
        <v>0</v>
      </c>
      <c r="H678" t="s">
        <v>19447</v>
      </c>
      <c r="I678" t="s">
        <v>19447</v>
      </c>
      <c r="J678">
        <v>10</v>
      </c>
      <c r="L678" t="s">
        <v>2709</v>
      </c>
      <c r="M678">
        <v>8052000</v>
      </c>
      <c r="O678" t="s">
        <v>19900</v>
      </c>
      <c r="P678" t="s">
        <v>19899</v>
      </c>
      <c r="Q678" t="s">
        <v>19900</v>
      </c>
      <c r="R678" t="s">
        <v>19447</v>
      </c>
      <c r="S678" t="s">
        <v>19447</v>
      </c>
      <c r="T678" t="s">
        <v>19904</v>
      </c>
    </row>
    <row r="679" spans="2:20" x14ac:dyDescent="0.25">
      <c r="B679" t="s">
        <v>2709</v>
      </c>
      <c r="C679">
        <v>8052000</v>
      </c>
      <c r="D679">
        <v>1</v>
      </c>
      <c r="E679" t="s">
        <v>19447</v>
      </c>
      <c r="F679">
        <v>18</v>
      </c>
      <c r="G679">
        <v>0</v>
      </c>
      <c r="H679">
        <v>7.6</v>
      </c>
      <c r="I679">
        <v>1.65</v>
      </c>
      <c r="J679">
        <v>10</v>
      </c>
      <c r="L679" t="s">
        <v>2709</v>
      </c>
      <c r="M679">
        <v>8052000</v>
      </c>
      <c r="N679">
        <v>1</v>
      </c>
      <c r="O679" t="s">
        <v>19447</v>
      </c>
      <c r="P679" t="s">
        <v>19899</v>
      </c>
      <c r="Q679" t="s">
        <v>19900</v>
      </c>
      <c r="R679" t="s">
        <v>19905</v>
      </c>
      <c r="S679" t="s">
        <v>19906</v>
      </c>
      <c r="T679" t="s">
        <v>19904</v>
      </c>
    </row>
    <row r="680" spans="2:20" x14ac:dyDescent="0.25">
      <c r="B680" t="s">
        <v>2709</v>
      </c>
      <c r="C680">
        <v>8054000</v>
      </c>
      <c r="E680">
        <v>0</v>
      </c>
      <c r="F680">
        <v>18</v>
      </c>
      <c r="G680">
        <v>0</v>
      </c>
      <c r="H680" t="s">
        <v>19447</v>
      </c>
      <c r="I680" t="s">
        <v>19447</v>
      </c>
      <c r="J680">
        <v>10</v>
      </c>
      <c r="L680" t="s">
        <v>2709</v>
      </c>
      <c r="M680">
        <v>8054000</v>
      </c>
      <c r="O680" t="s">
        <v>19900</v>
      </c>
      <c r="P680" t="s">
        <v>19899</v>
      </c>
      <c r="Q680" t="s">
        <v>19900</v>
      </c>
      <c r="R680" t="s">
        <v>19447</v>
      </c>
      <c r="S680" t="s">
        <v>19447</v>
      </c>
      <c r="T680" t="s">
        <v>19904</v>
      </c>
    </row>
    <row r="681" spans="2:20" x14ac:dyDescent="0.25">
      <c r="B681" t="s">
        <v>2709</v>
      </c>
      <c r="C681">
        <v>8054000</v>
      </c>
      <c r="D681">
        <v>1</v>
      </c>
      <c r="E681" t="s">
        <v>19447</v>
      </c>
      <c r="F681">
        <v>18</v>
      </c>
      <c r="G681">
        <v>0</v>
      </c>
      <c r="H681">
        <v>7.6</v>
      </c>
      <c r="I681">
        <v>1.65</v>
      </c>
      <c r="J681">
        <v>10</v>
      </c>
      <c r="L681" t="s">
        <v>2709</v>
      </c>
      <c r="M681">
        <v>8054000</v>
      </c>
      <c r="N681">
        <v>1</v>
      </c>
      <c r="O681" t="s">
        <v>19447</v>
      </c>
      <c r="P681" t="s">
        <v>19899</v>
      </c>
      <c r="Q681" t="s">
        <v>19900</v>
      </c>
      <c r="R681" t="s">
        <v>19905</v>
      </c>
      <c r="S681" t="s">
        <v>19906</v>
      </c>
      <c r="T681" t="s">
        <v>19904</v>
      </c>
    </row>
    <row r="682" spans="2:20" x14ac:dyDescent="0.25">
      <c r="B682" t="s">
        <v>2709</v>
      </c>
      <c r="C682">
        <v>8055000</v>
      </c>
      <c r="E682">
        <v>0</v>
      </c>
      <c r="F682">
        <v>18</v>
      </c>
      <c r="G682">
        <v>0</v>
      </c>
      <c r="H682" t="s">
        <v>19447</v>
      </c>
      <c r="I682" t="s">
        <v>19447</v>
      </c>
      <c r="J682">
        <v>10</v>
      </c>
      <c r="L682" t="s">
        <v>2709</v>
      </c>
      <c r="M682">
        <v>8055000</v>
      </c>
      <c r="O682" t="s">
        <v>19900</v>
      </c>
      <c r="P682" t="s">
        <v>19899</v>
      </c>
      <c r="Q682" t="s">
        <v>19900</v>
      </c>
      <c r="R682" t="s">
        <v>19447</v>
      </c>
      <c r="S682" t="s">
        <v>19447</v>
      </c>
      <c r="T682" t="s">
        <v>19904</v>
      </c>
    </row>
    <row r="683" spans="2:20" x14ac:dyDescent="0.25">
      <c r="B683" t="s">
        <v>2709</v>
      </c>
      <c r="C683">
        <v>8055000</v>
      </c>
      <c r="D683">
        <v>1</v>
      </c>
      <c r="E683" t="s">
        <v>19447</v>
      </c>
      <c r="F683">
        <v>18</v>
      </c>
      <c r="G683">
        <v>0</v>
      </c>
      <c r="H683">
        <v>7.6</v>
      </c>
      <c r="I683">
        <v>1.65</v>
      </c>
      <c r="J683">
        <v>10</v>
      </c>
      <c r="L683" t="s">
        <v>2709</v>
      </c>
      <c r="M683">
        <v>8055000</v>
      </c>
      <c r="N683">
        <v>1</v>
      </c>
      <c r="O683" t="s">
        <v>19447</v>
      </c>
      <c r="P683" t="s">
        <v>19899</v>
      </c>
      <c r="Q683" t="s">
        <v>19900</v>
      </c>
      <c r="R683" t="s">
        <v>19905</v>
      </c>
      <c r="S683" t="s">
        <v>19906</v>
      </c>
      <c r="T683" t="s">
        <v>19904</v>
      </c>
    </row>
    <row r="684" spans="2:20" x14ac:dyDescent="0.25">
      <c r="B684" t="s">
        <v>2709</v>
      </c>
      <c r="C684">
        <v>8059000</v>
      </c>
      <c r="E684">
        <v>0</v>
      </c>
      <c r="F684">
        <v>18</v>
      </c>
      <c r="G684">
        <v>0</v>
      </c>
      <c r="H684" t="s">
        <v>19447</v>
      </c>
      <c r="I684" t="s">
        <v>19447</v>
      </c>
      <c r="J684">
        <v>10</v>
      </c>
      <c r="L684" t="s">
        <v>2709</v>
      </c>
      <c r="M684">
        <v>8059000</v>
      </c>
      <c r="O684" t="s">
        <v>19900</v>
      </c>
      <c r="P684" t="s">
        <v>19899</v>
      </c>
      <c r="Q684" t="s">
        <v>19900</v>
      </c>
      <c r="R684" t="s">
        <v>19447</v>
      </c>
      <c r="S684" t="s">
        <v>19447</v>
      </c>
      <c r="T684" t="s">
        <v>19904</v>
      </c>
    </row>
    <row r="685" spans="2:20" x14ac:dyDescent="0.25">
      <c r="B685" t="s">
        <v>2709</v>
      </c>
      <c r="C685">
        <v>8059000</v>
      </c>
      <c r="D685">
        <v>1</v>
      </c>
      <c r="E685" t="s">
        <v>19447</v>
      </c>
      <c r="F685">
        <v>18</v>
      </c>
      <c r="G685">
        <v>0</v>
      </c>
      <c r="H685">
        <v>7.6</v>
      </c>
      <c r="I685">
        <v>1.65</v>
      </c>
      <c r="J685">
        <v>10</v>
      </c>
      <c r="L685" t="s">
        <v>2709</v>
      </c>
      <c r="M685">
        <v>8059000</v>
      </c>
      <c r="N685">
        <v>1</v>
      </c>
      <c r="O685" t="s">
        <v>19447</v>
      </c>
      <c r="P685" t="s">
        <v>19899</v>
      </c>
      <c r="Q685" t="s">
        <v>19900</v>
      </c>
      <c r="R685" t="s">
        <v>19905</v>
      </c>
      <c r="S685" t="s">
        <v>19906</v>
      </c>
      <c r="T685" t="s">
        <v>19904</v>
      </c>
    </row>
    <row r="686" spans="2:20" x14ac:dyDescent="0.25">
      <c r="B686" t="s">
        <v>2709</v>
      </c>
      <c r="C686">
        <v>8061000</v>
      </c>
      <c r="E686">
        <v>0</v>
      </c>
      <c r="F686">
        <v>18</v>
      </c>
      <c r="G686">
        <v>0</v>
      </c>
      <c r="H686" t="s">
        <v>19447</v>
      </c>
      <c r="I686" t="s">
        <v>19447</v>
      </c>
      <c r="J686">
        <v>10</v>
      </c>
      <c r="L686" t="s">
        <v>2709</v>
      </c>
      <c r="M686">
        <v>8061000</v>
      </c>
      <c r="O686" t="s">
        <v>19900</v>
      </c>
      <c r="P686" t="s">
        <v>19899</v>
      </c>
      <c r="Q686" t="s">
        <v>19900</v>
      </c>
      <c r="R686" t="s">
        <v>19447</v>
      </c>
      <c r="S686" t="s">
        <v>19447</v>
      </c>
      <c r="T686" t="s">
        <v>19904</v>
      </c>
    </row>
    <row r="687" spans="2:20" x14ac:dyDescent="0.25">
      <c r="B687" t="s">
        <v>2709</v>
      </c>
      <c r="C687">
        <v>8062000</v>
      </c>
      <c r="E687">
        <v>0</v>
      </c>
      <c r="F687">
        <v>18</v>
      </c>
      <c r="G687">
        <v>0</v>
      </c>
      <c r="H687" t="s">
        <v>19447</v>
      </c>
      <c r="I687" t="s">
        <v>19447</v>
      </c>
      <c r="J687">
        <v>10</v>
      </c>
      <c r="L687" t="s">
        <v>2709</v>
      </c>
      <c r="M687">
        <v>8062000</v>
      </c>
      <c r="O687" t="s">
        <v>19900</v>
      </c>
      <c r="P687" t="s">
        <v>19899</v>
      </c>
      <c r="Q687" t="s">
        <v>19900</v>
      </c>
      <c r="R687" t="s">
        <v>19447</v>
      </c>
      <c r="S687" t="s">
        <v>19447</v>
      </c>
      <c r="T687" t="s">
        <v>19904</v>
      </c>
    </row>
    <row r="688" spans="2:20" x14ac:dyDescent="0.25">
      <c r="B688" t="s">
        <v>2709</v>
      </c>
      <c r="C688">
        <v>8071100</v>
      </c>
      <c r="E688">
        <v>0</v>
      </c>
      <c r="F688">
        <v>18</v>
      </c>
      <c r="G688">
        <v>0</v>
      </c>
      <c r="H688" t="s">
        <v>19447</v>
      </c>
      <c r="I688" t="s">
        <v>19447</v>
      </c>
      <c r="J688">
        <v>10</v>
      </c>
      <c r="L688" t="s">
        <v>2709</v>
      </c>
      <c r="M688">
        <v>8071100</v>
      </c>
      <c r="O688" t="s">
        <v>19900</v>
      </c>
      <c r="P688" t="s">
        <v>19899</v>
      </c>
      <c r="Q688" t="s">
        <v>19900</v>
      </c>
      <c r="R688" t="s">
        <v>19447</v>
      </c>
      <c r="S688" t="s">
        <v>19447</v>
      </c>
      <c r="T688" t="s">
        <v>19904</v>
      </c>
    </row>
    <row r="689" spans="2:20" x14ac:dyDescent="0.25">
      <c r="B689" t="s">
        <v>2709</v>
      </c>
      <c r="C689">
        <v>8071900</v>
      </c>
      <c r="E689">
        <v>0</v>
      </c>
      <c r="F689">
        <v>18</v>
      </c>
      <c r="G689">
        <v>0</v>
      </c>
      <c r="H689" t="s">
        <v>19447</v>
      </c>
      <c r="I689" t="s">
        <v>19447</v>
      </c>
      <c r="J689">
        <v>10</v>
      </c>
      <c r="L689" t="s">
        <v>2709</v>
      </c>
      <c r="M689">
        <v>8071900</v>
      </c>
      <c r="O689" t="s">
        <v>19900</v>
      </c>
      <c r="P689" t="s">
        <v>19899</v>
      </c>
      <c r="Q689" t="s">
        <v>19900</v>
      </c>
      <c r="R689" t="s">
        <v>19447</v>
      </c>
      <c r="S689" t="s">
        <v>19447</v>
      </c>
      <c r="T689" t="s">
        <v>19904</v>
      </c>
    </row>
    <row r="690" spans="2:20" x14ac:dyDescent="0.25">
      <c r="B690" t="s">
        <v>2709</v>
      </c>
      <c r="C690">
        <v>8072000</v>
      </c>
      <c r="E690">
        <v>0</v>
      </c>
      <c r="F690">
        <v>18</v>
      </c>
      <c r="G690">
        <v>0</v>
      </c>
      <c r="H690" t="s">
        <v>19447</v>
      </c>
      <c r="I690" t="s">
        <v>19447</v>
      </c>
      <c r="J690">
        <v>10</v>
      </c>
      <c r="L690" t="s">
        <v>2709</v>
      </c>
      <c r="M690">
        <v>8072000</v>
      </c>
      <c r="O690" t="s">
        <v>19900</v>
      </c>
      <c r="P690" t="s">
        <v>19899</v>
      </c>
      <c r="Q690" t="s">
        <v>19900</v>
      </c>
      <c r="R690" t="s">
        <v>19447</v>
      </c>
      <c r="S690" t="s">
        <v>19447</v>
      </c>
      <c r="T690" t="s">
        <v>19904</v>
      </c>
    </row>
    <row r="691" spans="2:20" x14ac:dyDescent="0.25">
      <c r="B691" t="s">
        <v>2709</v>
      </c>
      <c r="C691">
        <v>8081000</v>
      </c>
      <c r="E691">
        <v>40</v>
      </c>
      <c r="F691">
        <v>7</v>
      </c>
      <c r="G691">
        <v>0</v>
      </c>
      <c r="H691" t="s">
        <v>19447</v>
      </c>
      <c r="I691" t="s">
        <v>19447</v>
      </c>
      <c r="J691">
        <v>10</v>
      </c>
      <c r="L691" t="s">
        <v>2709</v>
      </c>
      <c r="M691">
        <v>8081000</v>
      </c>
      <c r="O691" t="s">
        <v>19922</v>
      </c>
      <c r="P691" t="s">
        <v>19908</v>
      </c>
      <c r="Q691" t="s">
        <v>19900</v>
      </c>
      <c r="R691" t="s">
        <v>19447</v>
      </c>
      <c r="S691" t="s">
        <v>19447</v>
      </c>
      <c r="T691" t="s">
        <v>19904</v>
      </c>
    </row>
    <row r="692" spans="2:20" x14ac:dyDescent="0.25">
      <c r="B692" t="s">
        <v>2709</v>
      </c>
      <c r="C692">
        <v>8083000</v>
      </c>
      <c r="E692">
        <v>40</v>
      </c>
      <c r="F692">
        <v>7</v>
      </c>
      <c r="G692">
        <v>0</v>
      </c>
      <c r="H692" t="s">
        <v>19447</v>
      </c>
      <c r="I692" t="s">
        <v>19447</v>
      </c>
      <c r="J692">
        <v>10</v>
      </c>
      <c r="L692" t="s">
        <v>2709</v>
      </c>
      <c r="M692">
        <v>8083000</v>
      </c>
      <c r="O692" t="s">
        <v>19922</v>
      </c>
      <c r="P692" t="s">
        <v>19908</v>
      </c>
      <c r="Q692" t="s">
        <v>19900</v>
      </c>
      <c r="R692" t="s">
        <v>19447</v>
      </c>
      <c r="S692" t="s">
        <v>19447</v>
      </c>
      <c r="T692" t="s">
        <v>19904</v>
      </c>
    </row>
    <row r="693" spans="2:20" x14ac:dyDescent="0.25">
      <c r="B693" t="s">
        <v>2709</v>
      </c>
      <c r="C693">
        <v>8084000</v>
      </c>
      <c r="E693">
        <v>0</v>
      </c>
      <c r="F693">
        <v>18</v>
      </c>
      <c r="G693">
        <v>0</v>
      </c>
      <c r="H693" t="s">
        <v>19447</v>
      </c>
      <c r="I693" t="s">
        <v>19447</v>
      </c>
      <c r="J693">
        <v>10</v>
      </c>
      <c r="L693" t="s">
        <v>2709</v>
      </c>
      <c r="M693">
        <v>8084000</v>
      </c>
      <c r="O693" t="s">
        <v>19900</v>
      </c>
      <c r="P693" t="s">
        <v>19899</v>
      </c>
      <c r="Q693" t="s">
        <v>19900</v>
      </c>
      <c r="R693" t="s">
        <v>19447</v>
      </c>
      <c r="S693" t="s">
        <v>19447</v>
      </c>
      <c r="T693" t="s">
        <v>19904</v>
      </c>
    </row>
    <row r="694" spans="2:20" x14ac:dyDescent="0.25">
      <c r="B694" t="s">
        <v>2709</v>
      </c>
      <c r="C694">
        <v>8091000</v>
      </c>
      <c r="E694">
        <v>0</v>
      </c>
      <c r="F694">
        <v>18</v>
      </c>
      <c r="G694">
        <v>0</v>
      </c>
      <c r="H694" t="s">
        <v>19447</v>
      </c>
      <c r="I694" t="s">
        <v>19447</v>
      </c>
      <c r="J694">
        <v>10</v>
      </c>
      <c r="L694" t="s">
        <v>2709</v>
      </c>
      <c r="M694">
        <v>8091000</v>
      </c>
      <c r="O694" t="s">
        <v>19900</v>
      </c>
      <c r="P694" t="s">
        <v>19899</v>
      </c>
      <c r="Q694" t="s">
        <v>19900</v>
      </c>
      <c r="R694" t="s">
        <v>19447</v>
      </c>
      <c r="S694" t="s">
        <v>19447</v>
      </c>
      <c r="T694" t="s">
        <v>19904</v>
      </c>
    </row>
    <row r="695" spans="2:20" x14ac:dyDescent="0.25">
      <c r="B695" t="s">
        <v>2709</v>
      </c>
      <c r="C695">
        <v>8092100</v>
      </c>
      <c r="E695">
        <v>0</v>
      </c>
      <c r="F695">
        <v>18</v>
      </c>
      <c r="G695">
        <v>0</v>
      </c>
      <c r="H695" t="s">
        <v>19447</v>
      </c>
      <c r="I695" t="s">
        <v>19447</v>
      </c>
      <c r="J695">
        <v>10</v>
      </c>
      <c r="L695" t="s">
        <v>2709</v>
      </c>
      <c r="M695">
        <v>8092100</v>
      </c>
      <c r="O695" t="s">
        <v>19900</v>
      </c>
      <c r="P695" t="s">
        <v>19899</v>
      </c>
      <c r="Q695" t="s">
        <v>19900</v>
      </c>
      <c r="R695" t="s">
        <v>19447</v>
      </c>
      <c r="S695" t="s">
        <v>19447</v>
      </c>
      <c r="T695" t="s">
        <v>19904</v>
      </c>
    </row>
    <row r="696" spans="2:20" x14ac:dyDescent="0.25">
      <c r="B696" t="s">
        <v>2709</v>
      </c>
      <c r="C696">
        <v>8092900</v>
      </c>
      <c r="E696">
        <v>0</v>
      </c>
      <c r="F696">
        <v>18</v>
      </c>
      <c r="G696">
        <v>0</v>
      </c>
      <c r="H696" t="s">
        <v>19447</v>
      </c>
      <c r="I696" t="s">
        <v>19447</v>
      </c>
      <c r="J696">
        <v>10</v>
      </c>
      <c r="L696" t="s">
        <v>2709</v>
      </c>
      <c r="M696">
        <v>8092900</v>
      </c>
      <c r="O696" t="s">
        <v>19900</v>
      </c>
      <c r="P696" t="s">
        <v>19899</v>
      </c>
      <c r="Q696" t="s">
        <v>19900</v>
      </c>
      <c r="R696" t="s">
        <v>19447</v>
      </c>
      <c r="S696" t="s">
        <v>19447</v>
      </c>
      <c r="T696" t="s">
        <v>19904</v>
      </c>
    </row>
    <row r="697" spans="2:20" x14ac:dyDescent="0.25">
      <c r="B697" t="s">
        <v>2709</v>
      </c>
      <c r="C697">
        <v>8093010</v>
      </c>
      <c r="E697">
        <v>0</v>
      </c>
      <c r="F697">
        <v>18</v>
      </c>
      <c r="G697">
        <v>0</v>
      </c>
      <c r="H697" t="s">
        <v>19447</v>
      </c>
      <c r="I697" t="s">
        <v>19447</v>
      </c>
      <c r="J697">
        <v>10</v>
      </c>
      <c r="L697" t="s">
        <v>2709</v>
      </c>
      <c r="M697">
        <v>8093010</v>
      </c>
      <c r="O697" t="s">
        <v>19900</v>
      </c>
      <c r="P697" t="s">
        <v>19899</v>
      </c>
      <c r="Q697" t="s">
        <v>19900</v>
      </c>
      <c r="R697" t="s">
        <v>19447</v>
      </c>
      <c r="S697" t="s">
        <v>19447</v>
      </c>
      <c r="T697" t="s">
        <v>19904</v>
      </c>
    </row>
    <row r="698" spans="2:20" x14ac:dyDescent="0.25">
      <c r="B698" t="s">
        <v>2709</v>
      </c>
      <c r="C698">
        <v>8093020</v>
      </c>
      <c r="E698">
        <v>0</v>
      </c>
      <c r="F698">
        <v>18</v>
      </c>
      <c r="G698">
        <v>0</v>
      </c>
      <c r="H698" t="s">
        <v>19447</v>
      </c>
      <c r="I698" t="s">
        <v>19447</v>
      </c>
      <c r="J698">
        <v>10</v>
      </c>
      <c r="L698" t="s">
        <v>2709</v>
      </c>
      <c r="M698">
        <v>8093020</v>
      </c>
      <c r="O698" t="s">
        <v>19900</v>
      </c>
      <c r="P698" t="s">
        <v>19899</v>
      </c>
      <c r="Q698" t="s">
        <v>19900</v>
      </c>
      <c r="R698" t="s">
        <v>19447</v>
      </c>
      <c r="S698" t="s">
        <v>19447</v>
      </c>
      <c r="T698" t="s">
        <v>19904</v>
      </c>
    </row>
    <row r="699" spans="2:20" x14ac:dyDescent="0.25">
      <c r="B699" t="s">
        <v>2709</v>
      </c>
      <c r="C699">
        <v>8094000</v>
      </c>
      <c r="E699">
        <v>0</v>
      </c>
      <c r="F699">
        <v>18</v>
      </c>
      <c r="G699">
        <v>0</v>
      </c>
      <c r="H699" t="s">
        <v>19447</v>
      </c>
      <c r="I699" t="s">
        <v>19447</v>
      </c>
      <c r="J699">
        <v>10</v>
      </c>
      <c r="L699" t="s">
        <v>2709</v>
      </c>
      <c r="M699">
        <v>8094000</v>
      </c>
      <c r="O699" t="s">
        <v>19900</v>
      </c>
      <c r="P699" t="s">
        <v>19899</v>
      </c>
      <c r="Q699" t="s">
        <v>19900</v>
      </c>
      <c r="R699" t="s">
        <v>19447</v>
      </c>
      <c r="S699" t="s">
        <v>19447</v>
      </c>
      <c r="T699" t="s">
        <v>19904</v>
      </c>
    </row>
    <row r="700" spans="2:20" x14ac:dyDescent="0.25">
      <c r="B700" t="s">
        <v>2709</v>
      </c>
      <c r="C700">
        <v>8101000</v>
      </c>
      <c r="E700">
        <v>0</v>
      </c>
      <c r="F700">
        <v>18</v>
      </c>
      <c r="G700">
        <v>0</v>
      </c>
      <c r="H700" t="s">
        <v>19447</v>
      </c>
      <c r="I700" t="s">
        <v>19447</v>
      </c>
      <c r="J700">
        <v>10</v>
      </c>
      <c r="L700" t="s">
        <v>2709</v>
      </c>
      <c r="M700">
        <v>8101000</v>
      </c>
      <c r="O700" t="s">
        <v>19900</v>
      </c>
      <c r="P700" t="s">
        <v>19899</v>
      </c>
      <c r="Q700" t="s">
        <v>19900</v>
      </c>
      <c r="R700" t="s">
        <v>19447</v>
      </c>
      <c r="S700" t="s">
        <v>19447</v>
      </c>
      <c r="T700" t="s">
        <v>19904</v>
      </c>
    </row>
    <row r="701" spans="2:20" x14ac:dyDescent="0.25">
      <c r="B701" t="s">
        <v>2709</v>
      </c>
      <c r="C701">
        <v>8102000</v>
      </c>
      <c r="E701">
        <v>0</v>
      </c>
      <c r="F701">
        <v>18</v>
      </c>
      <c r="G701">
        <v>0</v>
      </c>
      <c r="H701" t="s">
        <v>19447</v>
      </c>
      <c r="I701" t="s">
        <v>19447</v>
      </c>
      <c r="J701">
        <v>10</v>
      </c>
      <c r="L701" t="s">
        <v>2709</v>
      </c>
      <c r="M701">
        <v>8102000</v>
      </c>
      <c r="O701" t="s">
        <v>19900</v>
      </c>
      <c r="P701" t="s">
        <v>19899</v>
      </c>
      <c r="Q701" t="s">
        <v>19900</v>
      </c>
      <c r="R701" t="s">
        <v>19447</v>
      </c>
      <c r="S701" t="s">
        <v>19447</v>
      </c>
      <c r="T701" t="s">
        <v>19904</v>
      </c>
    </row>
    <row r="702" spans="2:20" x14ac:dyDescent="0.25">
      <c r="B702" t="s">
        <v>2709</v>
      </c>
      <c r="C702">
        <v>8103000</v>
      </c>
      <c r="E702">
        <v>0</v>
      </c>
      <c r="F702">
        <v>18</v>
      </c>
      <c r="G702">
        <v>0</v>
      </c>
      <c r="H702" t="s">
        <v>19447</v>
      </c>
      <c r="I702" t="s">
        <v>19447</v>
      </c>
      <c r="J702">
        <v>10</v>
      </c>
      <c r="L702" t="s">
        <v>2709</v>
      </c>
      <c r="M702">
        <v>8103000</v>
      </c>
      <c r="O702" t="s">
        <v>19900</v>
      </c>
      <c r="P702" t="s">
        <v>19899</v>
      </c>
      <c r="Q702" t="s">
        <v>19900</v>
      </c>
      <c r="R702" t="s">
        <v>19447</v>
      </c>
      <c r="S702" t="s">
        <v>19447</v>
      </c>
      <c r="T702" t="s">
        <v>19904</v>
      </c>
    </row>
    <row r="703" spans="2:20" x14ac:dyDescent="0.25">
      <c r="B703" t="s">
        <v>2709</v>
      </c>
      <c r="C703">
        <v>8104000</v>
      </c>
      <c r="E703">
        <v>0</v>
      </c>
      <c r="F703">
        <v>18</v>
      </c>
      <c r="G703">
        <v>0</v>
      </c>
      <c r="H703" t="s">
        <v>19447</v>
      </c>
      <c r="I703" t="s">
        <v>19447</v>
      </c>
      <c r="J703">
        <v>10</v>
      </c>
      <c r="L703" t="s">
        <v>2709</v>
      </c>
      <c r="M703">
        <v>8104000</v>
      </c>
      <c r="O703" t="s">
        <v>19900</v>
      </c>
      <c r="P703" t="s">
        <v>19899</v>
      </c>
      <c r="Q703" t="s">
        <v>19900</v>
      </c>
      <c r="R703" t="s">
        <v>19447</v>
      </c>
      <c r="S703" t="s">
        <v>19447</v>
      </c>
      <c r="T703" t="s">
        <v>19904</v>
      </c>
    </row>
    <row r="704" spans="2:20" x14ac:dyDescent="0.25">
      <c r="B704" t="s">
        <v>2709</v>
      </c>
      <c r="C704">
        <v>8105000</v>
      </c>
      <c r="E704">
        <v>0</v>
      </c>
      <c r="F704">
        <v>18</v>
      </c>
      <c r="G704">
        <v>0</v>
      </c>
      <c r="H704" t="s">
        <v>19447</v>
      </c>
      <c r="I704" t="s">
        <v>19447</v>
      </c>
      <c r="J704">
        <v>10</v>
      </c>
      <c r="L704" t="s">
        <v>2709</v>
      </c>
      <c r="M704">
        <v>8105000</v>
      </c>
      <c r="O704" t="s">
        <v>19900</v>
      </c>
      <c r="P704" t="s">
        <v>19899</v>
      </c>
      <c r="Q704" t="s">
        <v>19900</v>
      </c>
      <c r="R704" t="s">
        <v>19447</v>
      </c>
      <c r="S704" t="s">
        <v>19447</v>
      </c>
      <c r="T704" t="s">
        <v>19904</v>
      </c>
    </row>
    <row r="705" spans="2:20" x14ac:dyDescent="0.25">
      <c r="B705" t="s">
        <v>2709</v>
      </c>
      <c r="C705">
        <v>8106000</v>
      </c>
      <c r="E705">
        <v>0</v>
      </c>
      <c r="F705">
        <v>18</v>
      </c>
      <c r="G705">
        <v>0</v>
      </c>
      <c r="H705" t="s">
        <v>19447</v>
      </c>
      <c r="I705" t="s">
        <v>19447</v>
      </c>
      <c r="J705">
        <v>10</v>
      </c>
      <c r="L705" t="s">
        <v>2709</v>
      </c>
      <c r="M705">
        <v>8106000</v>
      </c>
      <c r="O705" t="s">
        <v>19900</v>
      </c>
      <c r="P705" t="s">
        <v>19899</v>
      </c>
      <c r="Q705" t="s">
        <v>19900</v>
      </c>
      <c r="R705" t="s">
        <v>19447</v>
      </c>
      <c r="S705" t="s">
        <v>19447</v>
      </c>
      <c r="T705" t="s">
        <v>19904</v>
      </c>
    </row>
    <row r="706" spans="2:20" x14ac:dyDescent="0.25">
      <c r="B706" t="s">
        <v>2709</v>
      </c>
      <c r="C706">
        <v>8107000</v>
      </c>
      <c r="E706">
        <v>0</v>
      </c>
      <c r="F706">
        <v>18</v>
      </c>
      <c r="G706">
        <v>0</v>
      </c>
      <c r="H706" t="s">
        <v>19447</v>
      </c>
      <c r="I706" t="s">
        <v>19447</v>
      </c>
      <c r="J706">
        <v>10</v>
      </c>
      <c r="L706" t="s">
        <v>2709</v>
      </c>
      <c r="M706">
        <v>8107000</v>
      </c>
      <c r="O706" t="s">
        <v>19900</v>
      </c>
      <c r="P706" t="s">
        <v>19899</v>
      </c>
      <c r="Q706" t="s">
        <v>19900</v>
      </c>
      <c r="R706" t="s">
        <v>19447</v>
      </c>
      <c r="S706" t="s">
        <v>19447</v>
      </c>
      <c r="T706" t="s">
        <v>19904</v>
      </c>
    </row>
    <row r="707" spans="2:20" x14ac:dyDescent="0.25">
      <c r="B707" t="s">
        <v>2709</v>
      </c>
      <c r="C707">
        <v>8109000</v>
      </c>
      <c r="E707">
        <v>0</v>
      </c>
      <c r="F707">
        <v>18</v>
      </c>
      <c r="G707">
        <v>0</v>
      </c>
      <c r="H707" t="s">
        <v>19447</v>
      </c>
      <c r="I707" t="s">
        <v>19447</v>
      </c>
      <c r="J707">
        <v>10</v>
      </c>
      <c r="L707" t="s">
        <v>2709</v>
      </c>
      <c r="M707">
        <v>8109000</v>
      </c>
      <c r="O707" t="s">
        <v>19900</v>
      </c>
      <c r="P707" t="s">
        <v>19899</v>
      </c>
      <c r="Q707" t="s">
        <v>19900</v>
      </c>
      <c r="R707" t="s">
        <v>19447</v>
      </c>
      <c r="S707" t="s">
        <v>19447</v>
      </c>
      <c r="T707" t="s">
        <v>19904</v>
      </c>
    </row>
    <row r="708" spans="2:20" x14ac:dyDescent="0.25">
      <c r="B708" t="s">
        <v>2709</v>
      </c>
      <c r="C708">
        <v>8111000</v>
      </c>
      <c r="E708">
        <v>42.33</v>
      </c>
      <c r="F708">
        <v>18</v>
      </c>
      <c r="G708">
        <v>0</v>
      </c>
      <c r="H708" t="s">
        <v>19447</v>
      </c>
      <c r="I708" t="s">
        <v>19447</v>
      </c>
      <c r="J708">
        <v>10</v>
      </c>
      <c r="L708" t="s">
        <v>2709</v>
      </c>
      <c r="M708">
        <v>8111000</v>
      </c>
      <c r="O708" t="s">
        <v>19920</v>
      </c>
      <c r="P708" t="s">
        <v>19899</v>
      </c>
      <c r="Q708" t="s">
        <v>19900</v>
      </c>
      <c r="R708" t="s">
        <v>19447</v>
      </c>
      <c r="S708" t="s">
        <v>19447</v>
      </c>
      <c r="T708" t="s">
        <v>19904</v>
      </c>
    </row>
    <row r="709" spans="2:20" x14ac:dyDescent="0.25">
      <c r="B709" t="s">
        <v>2709</v>
      </c>
      <c r="C709">
        <v>8111000</v>
      </c>
      <c r="D709">
        <v>1</v>
      </c>
      <c r="E709" t="s">
        <v>19447</v>
      </c>
      <c r="F709">
        <v>18</v>
      </c>
      <c r="G709">
        <v>0</v>
      </c>
      <c r="H709">
        <v>7.6</v>
      </c>
      <c r="I709">
        <v>1.65</v>
      </c>
      <c r="J709">
        <v>10</v>
      </c>
      <c r="L709" t="s">
        <v>2709</v>
      </c>
      <c r="M709">
        <v>8111000</v>
      </c>
      <c r="N709">
        <v>1</v>
      </c>
      <c r="O709" t="s">
        <v>19447</v>
      </c>
      <c r="P709" t="s">
        <v>19899</v>
      </c>
      <c r="Q709" t="s">
        <v>19900</v>
      </c>
      <c r="R709" t="s">
        <v>19905</v>
      </c>
      <c r="S709" t="s">
        <v>19906</v>
      </c>
      <c r="T709" t="s">
        <v>19904</v>
      </c>
    </row>
    <row r="710" spans="2:20" x14ac:dyDescent="0.25">
      <c r="B710" t="s">
        <v>2709</v>
      </c>
      <c r="C710">
        <v>8112000</v>
      </c>
      <c r="E710">
        <v>42.33</v>
      </c>
      <c r="F710">
        <v>18</v>
      </c>
      <c r="G710">
        <v>0</v>
      </c>
      <c r="H710" t="s">
        <v>19447</v>
      </c>
      <c r="I710" t="s">
        <v>19447</v>
      </c>
      <c r="J710">
        <v>10</v>
      </c>
      <c r="L710" t="s">
        <v>2709</v>
      </c>
      <c r="M710">
        <v>8112000</v>
      </c>
      <c r="O710" t="s">
        <v>19920</v>
      </c>
      <c r="P710" t="s">
        <v>19899</v>
      </c>
      <c r="Q710" t="s">
        <v>19900</v>
      </c>
      <c r="R710" t="s">
        <v>19447</v>
      </c>
      <c r="S710" t="s">
        <v>19447</v>
      </c>
      <c r="T710" t="s">
        <v>19904</v>
      </c>
    </row>
    <row r="711" spans="2:20" x14ac:dyDescent="0.25">
      <c r="B711" t="s">
        <v>2709</v>
      </c>
      <c r="C711">
        <v>8112000</v>
      </c>
      <c r="D711">
        <v>1</v>
      </c>
      <c r="E711" t="s">
        <v>19447</v>
      </c>
      <c r="F711">
        <v>18</v>
      </c>
      <c r="G711">
        <v>0</v>
      </c>
      <c r="H711">
        <v>7.6</v>
      </c>
      <c r="I711">
        <v>1.65</v>
      </c>
      <c r="J711">
        <v>10</v>
      </c>
      <c r="L711" t="s">
        <v>2709</v>
      </c>
      <c r="M711">
        <v>8112000</v>
      </c>
      <c r="N711">
        <v>1</v>
      </c>
      <c r="O711" t="s">
        <v>19447</v>
      </c>
      <c r="P711" t="s">
        <v>19899</v>
      </c>
      <c r="Q711" t="s">
        <v>19900</v>
      </c>
      <c r="R711" t="s">
        <v>19905</v>
      </c>
      <c r="S711" t="s">
        <v>19906</v>
      </c>
      <c r="T711" t="s">
        <v>19904</v>
      </c>
    </row>
    <row r="712" spans="2:20" x14ac:dyDescent="0.25">
      <c r="B712" t="s">
        <v>2709</v>
      </c>
      <c r="C712">
        <v>8119000</v>
      </c>
      <c r="E712">
        <v>42.33</v>
      </c>
      <c r="F712">
        <v>18</v>
      </c>
      <c r="G712">
        <v>0</v>
      </c>
      <c r="H712" t="s">
        <v>19447</v>
      </c>
      <c r="I712" t="s">
        <v>19447</v>
      </c>
      <c r="J712">
        <v>10</v>
      </c>
      <c r="L712" t="s">
        <v>2709</v>
      </c>
      <c r="M712">
        <v>8119000</v>
      </c>
      <c r="O712" t="s">
        <v>19920</v>
      </c>
      <c r="P712" t="s">
        <v>19899</v>
      </c>
      <c r="Q712" t="s">
        <v>19900</v>
      </c>
      <c r="R712" t="s">
        <v>19447</v>
      </c>
      <c r="S712" t="s">
        <v>19447</v>
      </c>
      <c r="T712" t="s">
        <v>19904</v>
      </c>
    </row>
    <row r="713" spans="2:20" x14ac:dyDescent="0.25">
      <c r="B713" t="s">
        <v>2709</v>
      </c>
      <c r="C713">
        <v>8119000</v>
      </c>
      <c r="D713">
        <v>1</v>
      </c>
      <c r="E713" t="s">
        <v>19447</v>
      </c>
      <c r="F713">
        <v>18</v>
      </c>
      <c r="G713">
        <v>0</v>
      </c>
      <c r="H713">
        <v>7.6</v>
      </c>
      <c r="I713">
        <v>1.65</v>
      </c>
      <c r="J713">
        <v>10</v>
      </c>
      <c r="L713" t="s">
        <v>2709</v>
      </c>
      <c r="M713">
        <v>8119000</v>
      </c>
      <c r="N713">
        <v>1</v>
      </c>
      <c r="O713" t="s">
        <v>19447</v>
      </c>
      <c r="P713" t="s">
        <v>19899</v>
      </c>
      <c r="Q713" t="s">
        <v>19900</v>
      </c>
      <c r="R713" t="s">
        <v>19905</v>
      </c>
      <c r="S713" t="s">
        <v>19906</v>
      </c>
      <c r="T713" t="s">
        <v>19904</v>
      </c>
    </row>
    <row r="714" spans="2:20" x14ac:dyDescent="0.25">
      <c r="B714" t="s">
        <v>2709</v>
      </c>
      <c r="C714">
        <v>8121000</v>
      </c>
      <c r="E714">
        <v>0</v>
      </c>
      <c r="F714">
        <v>18</v>
      </c>
      <c r="G714">
        <v>0</v>
      </c>
      <c r="H714" t="s">
        <v>19447</v>
      </c>
      <c r="I714" t="s">
        <v>19447</v>
      </c>
      <c r="J714">
        <v>10</v>
      </c>
      <c r="L714" t="s">
        <v>2709</v>
      </c>
      <c r="M714">
        <v>8121000</v>
      </c>
      <c r="O714" t="s">
        <v>19900</v>
      </c>
      <c r="P714" t="s">
        <v>19899</v>
      </c>
      <c r="Q714" t="s">
        <v>19900</v>
      </c>
      <c r="R714" t="s">
        <v>19447</v>
      </c>
      <c r="S714" t="s">
        <v>19447</v>
      </c>
      <c r="T714" t="s">
        <v>19904</v>
      </c>
    </row>
    <row r="715" spans="2:20" x14ac:dyDescent="0.25">
      <c r="B715" t="s">
        <v>2709</v>
      </c>
      <c r="C715">
        <v>8129000</v>
      </c>
      <c r="E715">
        <v>0</v>
      </c>
      <c r="F715">
        <v>18</v>
      </c>
      <c r="G715">
        <v>0</v>
      </c>
      <c r="H715" t="s">
        <v>19447</v>
      </c>
      <c r="I715" t="s">
        <v>19447</v>
      </c>
      <c r="J715">
        <v>10</v>
      </c>
      <c r="L715" t="s">
        <v>2709</v>
      </c>
      <c r="M715">
        <v>8129000</v>
      </c>
      <c r="O715" t="s">
        <v>19900</v>
      </c>
      <c r="P715" t="s">
        <v>19899</v>
      </c>
      <c r="Q715" t="s">
        <v>19900</v>
      </c>
      <c r="R715" t="s">
        <v>19447</v>
      </c>
      <c r="S715" t="s">
        <v>19447</v>
      </c>
      <c r="T715" t="s">
        <v>19904</v>
      </c>
    </row>
    <row r="716" spans="2:20" x14ac:dyDescent="0.25">
      <c r="B716" t="s">
        <v>2709</v>
      </c>
      <c r="C716">
        <v>8131000</v>
      </c>
      <c r="E716">
        <v>0</v>
      </c>
      <c r="F716">
        <v>18</v>
      </c>
      <c r="G716">
        <v>0</v>
      </c>
      <c r="H716" t="s">
        <v>19447</v>
      </c>
      <c r="I716" t="s">
        <v>19447</v>
      </c>
      <c r="J716">
        <v>10</v>
      </c>
      <c r="L716" t="s">
        <v>2709</v>
      </c>
      <c r="M716">
        <v>8131000</v>
      </c>
      <c r="O716" t="s">
        <v>19900</v>
      </c>
      <c r="P716" t="s">
        <v>19899</v>
      </c>
      <c r="Q716" t="s">
        <v>19900</v>
      </c>
      <c r="R716" t="s">
        <v>19447</v>
      </c>
      <c r="S716" t="s">
        <v>19447</v>
      </c>
      <c r="T716" t="s">
        <v>19904</v>
      </c>
    </row>
    <row r="717" spans="2:20" x14ac:dyDescent="0.25">
      <c r="B717" t="s">
        <v>2709</v>
      </c>
      <c r="C717">
        <v>8132010</v>
      </c>
      <c r="E717">
        <v>0</v>
      </c>
      <c r="F717">
        <v>18</v>
      </c>
      <c r="G717">
        <v>0</v>
      </c>
      <c r="H717" t="s">
        <v>19447</v>
      </c>
      <c r="I717" t="s">
        <v>19447</v>
      </c>
      <c r="J717">
        <v>10</v>
      </c>
      <c r="L717" t="s">
        <v>2709</v>
      </c>
      <c r="M717">
        <v>8132010</v>
      </c>
      <c r="O717" t="s">
        <v>19900</v>
      </c>
      <c r="P717" t="s">
        <v>19899</v>
      </c>
      <c r="Q717" t="s">
        <v>19900</v>
      </c>
      <c r="R717" t="s">
        <v>19447</v>
      </c>
      <c r="S717" t="s">
        <v>19447</v>
      </c>
      <c r="T717" t="s">
        <v>19904</v>
      </c>
    </row>
    <row r="718" spans="2:20" x14ac:dyDescent="0.25">
      <c r="B718" t="s">
        <v>2709</v>
      </c>
      <c r="C718">
        <v>8132020</v>
      </c>
      <c r="E718">
        <v>0</v>
      </c>
      <c r="F718">
        <v>18</v>
      </c>
      <c r="G718">
        <v>0</v>
      </c>
      <c r="H718" t="s">
        <v>19447</v>
      </c>
      <c r="I718" t="s">
        <v>19447</v>
      </c>
      <c r="J718">
        <v>10</v>
      </c>
      <c r="L718" t="s">
        <v>2709</v>
      </c>
      <c r="M718">
        <v>8132020</v>
      </c>
      <c r="O718" t="s">
        <v>19900</v>
      </c>
      <c r="P718" t="s">
        <v>19899</v>
      </c>
      <c r="Q718" t="s">
        <v>19900</v>
      </c>
      <c r="R718" t="s">
        <v>19447</v>
      </c>
      <c r="S718" t="s">
        <v>19447</v>
      </c>
      <c r="T718" t="s">
        <v>19904</v>
      </c>
    </row>
    <row r="719" spans="2:20" x14ac:dyDescent="0.25">
      <c r="B719" t="s">
        <v>2709</v>
      </c>
      <c r="C719">
        <v>8133000</v>
      </c>
      <c r="E719">
        <v>0</v>
      </c>
      <c r="F719">
        <v>0</v>
      </c>
      <c r="G719">
        <v>0</v>
      </c>
      <c r="H719" t="s">
        <v>19447</v>
      </c>
      <c r="I719" t="s">
        <v>19447</v>
      </c>
      <c r="J719">
        <v>10</v>
      </c>
      <c r="L719" t="s">
        <v>2709</v>
      </c>
      <c r="M719">
        <v>8133000</v>
      </c>
      <c r="O719" t="s">
        <v>19900</v>
      </c>
      <c r="P719" t="s">
        <v>19900</v>
      </c>
      <c r="Q719" t="s">
        <v>19900</v>
      </c>
      <c r="R719" t="s">
        <v>19447</v>
      </c>
      <c r="S719" t="s">
        <v>19447</v>
      </c>
      <c r="T719" t="s">
        <v>19904</v>
      </c>
    </row>
    <row r="720" spans="2:20" x14ac:dyDescent="0.25">
      <c r="B720" t="s">
        <v>2709</v>
      </c>
      <c r="C720">
        <v>8134010</v>
      </c>
      <c r="E720">
        <v>0</v>
      </c>
      <c r="F720">
        <v>0</v>
      </c>
      <c r="G720">
        <v>0</v>
      </c>
      <c r="H720" t="s">
        <v>19447</v>
      </c>
      <c r="I720" t="s">
        <v>19447</v>
      </c>
      <c r="J720">
        <v>10</v>
      </c>
      <c r="L720" t="s">
        <v>2709</v>
      </c>
      <c r="M720">
        <v>8134010</v>
      </c>
      <c r="O720" t="s">
        <v>19900</v>
      </c>
      <c r="P720" t="s">
        <v>19900</v>
      </c>
      <c r="Q720" t="s">
        <v>19900</v>
      </c>
      <c r="R720" t="s">
        <v>19447</v>
      </c>
      <c r="S720" t="s">
        <v>19447</v>
      </c>
      <c r="T720" t="s">
        <v>19904</v>
      </c>
    </row>
    <row r="721" spans="2:20" x14ac:dyDescent="0.25">
      <c r="B721" t="s">
        <v>2709</v>
      </c>
      <c r="C721">
        <v>8134090</v>
      </c>
      <c r="E721">
        <v>0</v>
      </c>
      <c r="F721">
        <v>18</v>
      </c>
      <c r="G721">
        <v>0</v>
      </c>
      <c r="H721" t="s">
        <v>19447</v>
      </c>
      <c r="I721" t="s">
        <v>19447</v>
      </c>
      <c r="J721">
        <v>10</v>
      </c>
      <c r="L721" t="s">
        <v>2709</v>
      </c>
      <c r="M721">
        <v>8134090</v>
      </c>
      <c r="O721" t="s">
        <v>19900</v>
      </c>
      <c r="P721" t="s">
        <v>19899</v>
      </c>
      <c r="Q721" t="s">
        <v>19900</v>
      </c>
      <c r="R721" t="s">
        <v>19447</v>
      </c>
      <c r="S721" t="s">
        <v>19447</v>
      </c>
      <c r="T721" t="s">
        <v>19904</v>
      </c>
    </row>
    <row r="722" spans="2:20" x14ac:dyDescent="0.25">
      <c r="B722" t="s">
        <v>2709</v>
      </c>
      <c r="C722">
        <v>8135000</v>
      </c>
      <c r="E722">
        <v>0</v>
      </c>
      <c r="F722">
        <v>18</v>
      </c>
      <c r="G722">
        <v>0</v>
      </c>
      <c r="H722" t="s">
        <v>19447</v>
      </c>
      <c r="I722" t="s">
        <v>19447</v>
      </c>
      <c r="J722">
        <v>10</v>
      </c>
      <c r="L722" t="s">
        <v>2709</v>
      </c>
      <c r="M722">
        <v>8135000</v>
      </c>
      <c r="O722" t="s">
        <v>19900</v>
      </c>
      <c r="P722" t="s">
        <v>19899</v>
      </c>
      <c r="Q722" t="s">
        <v>19900</v>
      </c>
      <c r="R722" t="s">
        <v>19447</v>
      </c>
      <c r="S722" t="s">
        <v>19447</v>
      </c>
      <c r="T722" t="s">
        <v>19904</v>
      </c>
    </row>
    <row r="723" spans="2:20" x14ac:dyDescent="0.25">
      <c r="B723" t="s">
        <v>2709</v>
      </c>
      <c r="C723">
        <v>8140000</v>
      </c>
      <c r="E723">
        <v>0</v>
      </c>
      <c r="F723">
        <v>18</v>
      </c>
      <c r="G723">
        <v>0</v>
      </c>
      <c r="H723" t="s">
        <v>19447</v>
      </c>
      <c r="I723" t="s">
        <v>19447</v>
      </c>
      <c r="J723">
        <v>10</v>
      </c>
      <c r="L723" t="s">
        <v>2709</v>
      </c>
      <c r="M723">
        <v>8140000</v>
      </c>
      <c r="O723" t="s">
        <v>19900</v>
      </c>
      <c r="P723" t="s">
        <v>19899</v>
      </c>
      <c r="Q723" t="s">
        <v>19900</v>
      </c>
      <c r="R723" t="s">
        <v>19447</v>
      </c>
      <c r="S723" t="s">
        <v>19447</v>
      </c>
      <c r="T723" t="s">
        <v>19904</v>
      </c>
    </row>
    <row r="724" spans="2:20" x14ac:dyDescent="0.25">
      <c r="B724" t="s">
        <v>2709</v>
      </c>
      <c r="C724">
        <v>9011110</v>
      </c>
      <c r="E724">
        <v>21.61</v>
      </c>
      <c r="F724">
        <v>18</v>
      </c>
      <c r="G724">
        <v>0</v>
      </c>
      <c r="H724" t="s">
        <v>19447</v>
      </c>
      <c r="I724" t="s">
        <v>19447</v>
      </c>
      <c r="J724">
        <v>10</v>
      </c>
      <c r="L724" t="s">
        <v>2709</v>
      </c>
      <c r="M724">
        <v>9011110</v>
      </c>
      <c r="O724" t="s">
        <v>19923</v>
      </c>
      <c r="P724" t="s">
        <v>19899</v>
      </c>
      <c r="Q724" t="s">
        <v>19900</v>
      </c>
      <c r="R724" t="s">
        <v>19447</v>
      </c>
      <c r="S724" t="s">
        <v>19447</v>
      </c>
      <c r="T724" t="s">
        <v>19904</v>
      </c>
    </row>
    <row r="725" spans="2:20" x14ac:dyDescent="0.25">
      <c r="B725" t="s">
        <v>2709</v>
      </c>
      <c r="C725">
        <v>9011190</v>
      </c>
      <c r="E725">
        <v>21.61</v>
      </c>
      <c r="F725">
        <v>18</v>
      </c>
      <c r="G725">
        <v>0</v>
      </c>
      <c r="H725" t="s">
        <v>19447</v>
      </c>
      <c r="I725" t="s">
        <v>19447</v>
      </c>
      <c r="J725">
        <v>10</v>
      </c>
      <c r="L725" t="s">
        <v>2709</v>
      </c>
      <c r="M725">
        <v>9011190</v>
      </c>
      <c r="O725" t="s">
        <v>19923</v>
      </c>
      <c r="P725" t="s">
        <v>19899</v>
      </c>
      <c r="Q725" t="s">
        <v>19900</v>
      </c>
      <c r="R725" t="s">
        <v>19447</v>
      </c>
      <c r="S725" t="s">
        <v>19447</v>
      </c>
      <c r="T725" t="s">
        <v>19904</v>
      </c>
    </row>
    <row r="726" spans="2:20" x14ac:dyDescent="0.25">
      <c r="B726" t="s">
        <v>2709</v>
      </c>
      <c r="C726">
        <v>9011190</v>
      </c>
      <c r="D726">
        <v>1</v>
      </c>
      <c r="E726" t="s">
        <v>19447</v>
      </c>
      <c r="F726">
        <v>18</v>
      </c>
      <c r="G726">
        <v>0</v>
      </c>
      <c r="H726">
        <v>7.6</v>
      </c>
      <c r="I726">
        <v>1.65</v>
      </c>
      <c r="J726">
        <v>10</v>
      </c>
      <c r="L726" t="s">
        <v>2709</v>
      </c>
      <c r="M726">
        <v>9011190</v>
      </c>
      <c r="N726">
        <v>1</v>
      </c>
      <c r="O726" t="s">
        <v>19447</v>
      </c>
      <c r="P726" t="s">
        <v>19899</v>
      </c>
      <c r="Q726" t="s">
        <v>19900</v>
      </c>
      <c r="R726" t="s">
        <v>19905</v>
      </c>
      <c r="S726" t="s">
        <v>19906</v>
      </c>
      <c r="T726" t="s">
        <v>19904</v>
      </c>
    </row>
    <row r="727" spans="2:20" x14ac:dyDescent="0.25">
      <c r="B727" t="s">
        <v>2709</v>
      </c>
      <c r="C727">
        <v>9011200</v>
      </c>
      <c r="E727">
        <v>21.61</v>
      </c>
      <c r="F727">
        <v>18</v>
      </c>
      <c r="G727">
        <v>0</v>
      </c>
      <c r="H727" t="s">
        <v>19447</v>
      </c>
      <c r="I727" t="s">
        <v>19447</v>
      </c>
      <c r="J727">
        <v>10</v>
      </c>
      <c r="L727" t="s">
        <v>2709</v>
      </c>
      <c r="M727">
        <v>9011200</v>
      </c>
      <c r="O727" t="s">
        <v>19923</v>
      </c>
      <c r="P727" t="s">
        <v>19899</v>
      </c>
      <c r="Q727" t="s">
        <v>19900</v>
      </c>
      <c r="R727" t="s">
        <v>19447</v>
      </c>
      <c r="S727" t="s">
        <v>19447</v>
      </c>
      <c r="T727" t="s">
        <v>19904</v>
      </c>
    </row>
    <row r="728" spans="2:20" x14ac:dyDescent="0.25">
      <c r="B728" t="s">
        <v>2709</v>
      </c>
      <c r="C728">
        <v>9012100</v>
      </c>
      <c r="E728">
        <v>21.61</v>
      </c>
      <c r="F728">
        <v>7</v>
      </c>
      <c r="G728">
        <v>0</v>
      </c>
      <c r="H728" t="s">
        <v>19447</v>
      </c>
      <c r="I728" t="s">
        <v>19447</v>
      </c>
      <c r="J728">
        <v>10</v>
      </c>
      <c r="L728" t="s">
        <v>2709</v>
      </c>
      <c r="M728">
        <v>9012100</v>
      </c>
      <c r="O728" t="s">
        <v>19923</v>
      </c>
      <c r="P728" t="s">
        <v>19908</v>
      </c>
      <c r="Q728" t="s">
        <v>19900</v>
      </c>
      <c r="R728" t="s">
        <v>19447</v>
      </c>
      <c r="S728" t="s">
        <v>19447</v>
      </c>
      <c r="T728" t="s">
        <v>19904</v>
      </c>
    </row>
    <row r="729" spans="2:20" x14ac:dyDescent="0.25">
      <c r="B729" t="s">
        <v>2709</v>
      </c>
      <c r="C729">
        <v>9012200</v>
      </c>
      <c r="E729">
        <v>21.61</v>
      </c>
      <c r="F729">
        <v>7</v>
      </c>
      <c r="G729">
        <v>0</v>
      </c>
      <c r="H729" t="s">
        <v>19447</v>
      </c>
      <c r="I729" t="s">
        <v>19447</v>
      </c>
      <c r="J729">
        <v>10</v>
      </c>
      <c r="L729" t="s">
        <v>2709</v>
      </c>
      <c r="M729">
        <v>9012200</v>
      </c>
      <c r="O729" t="s">
        <v>19923</v>
      </c>
      <c r="P729" t="s">
        <v>19908</v>
      </c>
      <c r="Q729" t="s">
        <v>19900</v>
      </c>
      <c r="R729" t="s">
        <v>19447</v>
      </c>
      <c r="S729" t="s">
        <v>19447</v>
      </c>
      <c r="T729" t="s">
        <v>19904</v>
      </c>
    </row>
    <row r="730" spans="2:20" x14ac:dyDescent="0.25">
      <c r="B730" t="s">
        <v>2709</v>
      </c>
      <c r="C730">
        <v>9019000</v>
      </c>
      <c r="E730">
        <v>21.61</v>
      </c>
      <c r="F730">
        <v>18</v>
      </c>
      <c r="G730">
        <v>0</v>
      </c>
      <c r="H730" t="s">
        <v>19447</v>
      </c>
      <c r="I730" t="s">
        <v>19447</v>
      </c>
      <c r="J730">
        <v>10</v>
      </c>
      <c r="L730" t="s">
        <v>2709</v>
      </c>
      <c r="M730">
        <v>9019000</v>
      </c>
      <c r="O730" t="s">
        <v>19923</v>
      </c>
      <c r="P730" t="s">
        <v>19899</v>
      </c>
      <c r="Q730" t="s">
        <v>19900</v>
      </c>
      <c r="R730" t="s">
        <v>19447</v>
      </c>
      <c r="S730" t="s">
        <v>19447</v>
      </c>
      <c r="T730" t="s">
        <v>19904</v>
      </c>
    </row>
    <row r="731" spans="2:20" x14ac:dyDescent="0.25">
      <c r="B731" t="s">
        <v>2709</v>
      </c>
      <c r="C731">
        <v>9019000</v>
      </c>
      <c r="D731">
        <v>1</v>
      </c>
      <c r="E731" t="s">
        <v>19447</v>
      </c>
      <c r="F731">
        <v>18</v>
      </c>
      <c r="G731">
        <v>0</v>
      </c>
      <c r="H731">
        <v>7.6</v>
      </c>
      <c r="I731">
        <v>1.65</v>
      </c>
      <c r="J731">
        <v>10</v>
      </c>
      <c r="L731" t="s">
        <v>2709</v>
      </c>
      <c r="M731">
        <v>9019000</v>
      </c>
      <c r="N731">
        <v>1</v>
      </c>
      <c r="O731" t="s">
        <v>19447</v>
      </c>
      <c r="P731" t="s">
        <v>19899</v>
      </c>
      <c r="Q731" t="s">
        <v>19900</v>
      </c>
      <c r="R731" t="s">
        <v>19905</v>
      </c>
      <c r="S731" t="s">
        <v>19906</v>
      </c>
      <c r="T731" t="s">
        <v>19904</v>
      </c>
    </row>
    <row r="732" spans="2:20" x14ac:dyDescent="0.25">
      <c r="B732" t="s">
        <v>2709</v>
      </c>
      <c r="C732">
        <v>9021000</v>
      </c>
      <c r="E732">
        <v>45.08</v>
      </c>
      <c r="F732">
        <v>18</v>
      </c>
      <c r="G732">
        <v>0</v>
      </c>
      <c r="H732">
        <v>7.6</v>
      </c>
      <c r="I732">
        <v>1.65</v>
      </c>
      <c r="J732">
        <v>10</v>
      </c>
      <c r="L732" t="s">
        <v>2709</v>
      </c>
      <c r="M732">
        <v>9021000</v>
      </c>
      <c r="O732" t="s">
        <v>19924</v>
      </c>
      <c r="P732" t="s">
        <v>19899</v>
      </c>
      <c r="Q732" t="s">
        <v>19900</v>
      </c>
      <c r="R732" t="s">
        <v>19905</v>
      </c>
      <c r="S732" t="s">
        <v>19906</v>
      </c>
      <c r="T732" t="s">
        <v>19904</v>
      </c>
    </row>
    <row r="733" spans="2:20" x14ac:dyDescent="0.25">
      <c r="B733" t="s">
        <v>2709</v>
      </c>
      <c r="C733">
        <v>9022000</v>
      </c>
      <c r="E733">
        <v>45.08</v>
      </c>
      <c r="F733">
        <v>18</v>
      </c>
      <c r="G733">
        <v>0</v>
      </c>
      <c r="H733">
        <v>7.6</v>
      </c>
      <c r="I733">
        <v>1.65</v>
      </c>
      <c r="J733">
        <v>10</v>
      </c>
      <c r="L733" t="s">
        <v>2709</v>
      </c>
      <c r="M733">
        <v>9022000</v>
      </c>
      <c r="O733" t="s">
        <v>19924</v>
      </c>
      <c r="P733" t="s">
        <v>19899</v>
      </c>
      <c r="Q733" t="s">
        <v>19900</v>
      </c>
      <c r="R733" t="s">
        <v>19905</v>
      </c>
      <c r="S733" t="s">
        <v>19906</v>
      </c>
      <c r="T733" t="s">
        <v>19904</v>
      </c>
    </row>
    <row r="734" spans="2:20" x14ac:dyDescent="0.25">
      <c r="B734" t="s">
        <v>2709</v>
      </c>
      <c r="C734">
        <v>9023000</v>
      </c>
      <c r="E734">
        <v>45.08</v>
      </c>
      <c r="F734">
        <v>18</v>
      </c>
      <c r="G734">
        <v>0</v>
      </c>
      <c r="H734">
        <v>7.6</v>
      </c>
      <c r="I734">
        <v>1.65</v>
      </c>
      <c r="J734">
        <v>10</v>
      </c>
      <c r="L734" t="s">
        <v>2709</v>
      </c>
      <c r="M734">
        <v>9023000</v>
      </c>
      <c r="O734" t="s">
        <v>19924</v>
      </c>
      <c r="P734" t="s">
        <v>19899</v>
      </c>
      <c r="Q734" t="s">
        <v>19900</v>
      </c>
      <c r="R734" t="s">
        <v>19905</v>
      </c>
      <c r="S734" t="s">
        <v>19906</v>
      </c>
      <c r="T734" t="s">
        <v>19904</v>
      </c>
    </row>
    <row r="735" spans="2:20" x14ac:dyDescent="0.25">
      <c r="B735" t="s">
        <v>2709</v>
      </c>
      <c r="C735">
        <v>9024000</v>
      </c>
      <c r="E735">
        <v>45.08</v>
      </c>
      <c r="F735">
        <v>18</v>
      </c>
      <c r="G735">
        <v>0</v>
      </c>
      <c r="H735">
        <v>7.6</v>
      </c>
      <c r="I735">
        <v>1.65</v>
      </c>
      <c r="J735">
        <v>10</v>
      </c>
      <c r="L735" t="s">
        <v>2709</v>
      </c>
      <c r="M735">
        <v>9024000</v>
      </c>
      <c r="O735" t="s">
        <v>19924</v>
      </c>
      <c r="P735" t="s">
        <v>19899</v>
      </c>
      <c r="Q735" t="s">
        <v>19900</v>
      </c>
      <c r="R735" t="s">
        <v>19905</v>
      </c>
      <c r="S735" t="s">
        <v>19906</v>
      </c>
      <c r="T735" t="s">
        <v>19904</v>
      </c>
    </row>
    <row r="736" spans="2:20" x14ac:dyDescent="0.25">
      <c r="B736" t="s">
        <v>2709</v>
      </c>
      <c r="C736">
        <v>9030010</v>
      </c>
      <c r="E736">
        <v>59.49</v>
      </c>
      <c r="F736">
        <v>18</v>
      </c>
      <c r="G736">
        <v>0</v>
      </c>
      <c r="H736">
        <v>7.6</v>
      </c>
      <c r="I736">
        <v>1.65</v>
      </c>
      <c r="J736">
        <v>10</v>
      </c>
      <c r="L736" t="s">
        <v>2709</v>
      </c>
      <c r="M736">
        <v>9030010</v>
      </c>
      <c r="O736" t="s">
        <v>19925</v>
      </c>
      <c r="P736" t="s">
        <v>19899</v>
      </c>
      <c r="Q736" t="s">
        <v>19900</v>
      </c>
      <c r="R736" t="s">
        <v>19905</v>
      </c>
      <c r="S736" t="s">
        <v>19906</v>
      </c>
      <c r="T736" t="s">
        <v>19904</v>
      </c>
    </row>
    <row r="737" spans="2:20" x14ac:dyDescent="0.25">
      <c r="B737" t="s">
        <v>2709</v>
      </c>
      <c r="C737">
        <v>9030010</v>
      </c>
      <c r="D737">
        <v>1</v>
      </c>
      <c r="E737" t="s">
        <v>19447</v>
      </c>
      <c r="F737">
        <v>18</v>
      </c>
      <c r="G737">
        <v>0</v>
      </c>
      <c r="H737">
        <v>7.6</v>
      </c>
      <c r="I737">
        <v>1.65</v>
      </c>
      <c r="J737">
        <v>10</v>
      </c>
      <c r="L737" t="s">
        <v>2709</v>
      </c>
      <c r="M737">
        <v>9030010</v>
      </c>
      <c r="N737">
        <v>1</v>
      </c>
      <c r="O737" t="s">
        <v>19447</v>
      </c>
      <c r="P737" t="s">
        <v>19899</v>
      </c>
      <c r="Q737" t="s">
        <v>19900</v>
      </c>
      <c r="R737" t="s">
        <v>19905</v>
      </c>
      <c r="S737" t="s">
        <v>19906</v>
      </c>
      <c r="T737" t="s">
        <v>19904</v>
      </c>
    </row>
    <row r="738" spans="2:20" x14ac:dyDescent="0.25">
      <c r="B738" t="s">
        <v>2709</v>
      </c>
      <c r="C738">
        <v>9030090</v>
      </c>
      <c r="E738">
        <v>59.49</v>
      </c>
      <c r="F738">
        <v>18</v>
      </c>
      <c r="G738">
        <v>0</v>
      </c>
      <c r="H738">
        <v>7.6</v>
      </c>
      <c r="I738">
        <v>1.65</v>
      </c>
      <c r="J738">
        <v>10</v>
      </c>
      <c r="L738" t="s">
        <v>2709</v>
      </c>
      <c r="M738">
        <v>9030090</v>
      </c>
      <c r="O738" t="s">
        <v>19925</v>
      </c>
      <c r="P738" t="s">
        <v>19899</v>
      </c>
      <c r="Q738" t="s">
        <v>19900</v>
      </c>
      <c r="R738" t="s">
        <v>19905</v>
      </c>
      <c r="S738" t="s">
        <v>19906</v>
      </c>
      <c r="T738" t="s">
        <v>19904</v>
      </c>
    </row>
    <row r="739" spans="2:20" x14ac:dyDescent="0.25">
      <c r="B739" t="s">
        <v>2709</v>
      </c>
      <c r="C739">
        <v>9030090</v>
      </c>
      <c r="D739">
        <v>1</v>
      </c>
      <c r="E739" t="s">
        <v>19447</v>
      </c>
      <c r="F739">
        <v>18</v>
      </c>
      <c r="G739">
        <v>0</v>
      </c>
      <c r="H739">
        <v>7.6</v>
      </c>
      <c r="I739">
        <v>1.65</v>
      </c>
      <c r="J739">
        <v>10</v>
      </c>
      <c r="L739" t="s">
        <v>2709</v>
      </c>
      <c r="M739">
        <v>9030090</v>
      </c>
      <c r="N739">
        <v>1</v>
      </c>
      <c r="O739" t="s">
        <v>19447</v>
      </c>
      <c r="P739" t="s">
        <v>19899</v>
      </c>
      <c r="Q739" t="s">
        <v>19900</v>
      </c>
      <c r="R739" t="s">
        <v>19905</v>
      </c>
      <c r="S739" t="s">
        <v>19906</v>
      </c>
      <c r="T739" t="s">
        <v>19904</v>
      </c>
    </row>
    <row r="740" spans="2:20" x14ac:dyDescent="0.25">
      <c r="B740" t="s">
        <v>2709</v>
      </c>
      <c r="C740">
        <v>9041100</v>
      </c>
      <c r="E740">
        <v>0</v>
      </c>
      <c r="F740">
        <v>18</v>
      </c>
      <c r="G740">
        <v>0</v>
      </c>
      <c r="H740">
        <v>7.6</v>
      </c>
      <c r="I740">
        <v>1.65</v>
      </c>
      <c r="J740">
        <v>10</v>
      </c>
      <c r="L740" t="s">
        <v>2709</v>
      </c>
      <c r="M740">
        <v>9041100</v>
      </c>
      <c r="O740" t="s">
        <v>19900</v>
      </c>
      <c r="P740" t="s">
        <v>19899</v>
      </c>
      <c r="Q740" t="s">
        <v>19900</v>
      </c>
      <c r="R740" t="s">
        <v>19905</v>
      </c>
      <c r="S740" t="s">
        <v>19906</v>
      </c>
      <c r="T740" t="s">
        <v>19904</v>
      </c>
    </row>
    <row r="741" spans="2:20" x14ac:dyDescent="0.25">
      <c r="B741" t="s">
        <v>2709</v>
      </c>
      <c r="C741">
        <v>9041200</v>
      </c>
      <c r="E741">
        <v>0</v>
      </c>
      <c r="F741">
        <v>18</v>
      </c>
      <c r="G741">
        <v>0</v>
      </c>
      <c r="H741">
        <v>7.6</v>
      </c>
      <c r="I741">
        <v>1.65</v>
      </c>
      <c r="J741">
        <v>10</v>
      </c>
      <c r="L741" t="s">
        <v>2709</v>
      </c>
      <c r="M741">
        <v>9041200</v>
      </c>
      <c r="O741" t="s">
        <v>19900</v>
      </c>
      <c r="P741" t="s">
        <v>19899</v>
      </c>
      <c r="Q741" t="s">
        <v>19900</v>
      </c>
      <c r="R741" t="s">
        <v>19905</v>
      </c>
      <c r="S741" t="s">
        <v>19906</v>
      </c>
      <c r="T741" t="s">
        <v>19904</v>
      </c>
    </row>
    <row r="742" spans="2:20" x14ac:dyDescent="0.25">
      <c r="B742" t="s">
        <v>2709</v>
      </c>
      <c r="C742">
        <v>9042100</v>
      </c>
      <c r="E742">
        <v>0</v>
      </c>
      <c r="F742">
        <v>18</v>
      </c>
      <c r="G742">
        <v>0</v>
      </c>
      <c r="H742">
        <v>7.6</v>
      </c>
      <c r="I742">
        <v>1.65</v>
      </c>
      <c r="J742">
        <v>10</v>
      </c>
      <c r="L742" t="s">
        <v>2709</v>
      </c>
      <c r="M742">
        <v>9042100</v>
      </c>
      <c r="O742" t="s">
        <v>19900</v>
      </c>
      <c r="P742" t="s">
        <v>19899</v>
      </c>
      <c r="Q742" t="s">
        <v>19900</v>
      </c>
      <c r="R742" t="s">
        <v>19905</v>
      </c>
      <c r="S742" t="s">
        <v>19906</v>
      </c>
      <c r="T742" t="s">
        <v>19904</v>
      </c>
    </row>
    <row r="743" spans="2:20" x14ac:dyDescent="0.25">
      <c r="B743" t="s">
        <v>2709</v>
      </c>
      <c r="C743">
        <v>9042200</v>
      </c>
      <c r="E743">
        <v>0</v>
      </c>
      <c r="F743">
        <v>18</v>
      </c>
      <c r="G743">
        <v>0</v>
      </c>
      <c r="H743">
        <v>7.6</v>
      </c>
      <c r="I743">
        <v>1.65</v>
      </c>
      <c r="J743">
        <v>10</v>
      </c>
      <c r="L743" t="s">
        <v>2709</v>
      </c>
      <c r="M743">
        <v>9042200</v>
      </c>
      <c r="O743" t="s">
        <v>19900</v>
      </c>
      <c r="P743" t="s">
        <v>19899</v>
      </c>
      <c r="Q743" t="s">
        <v>19900</v>
      </c>
      <c r="R743" t="s">
        <v>19905</v>
      </c>
      <c r="S743" t="s">
        <v>19906</v>
      </c>
      <c r="T743" t="s">
        <v>19904</v>
      </c>
    </row>
    <row r="744" spans="2:20" x14ac:dyDescent="0.25">
      <c r="B744" t="s">
        <v>2709</v>
      </c>
      <c r="C744">
        <v>9051000</v>
      </c>
      <c r="E744">
        <v>0</v>
      </c>
      <c r="F744">
        <v>18</v>
      </c>
      <c r="G744">
        <v>0</v>
      </c>
      <c r="H744">
        <v>7.6</v>
      </c>
      <c r="I744">
        <v>1.65</v>
      </c>
      <c r="J744">
        <v>10</v>
      </c>
      <c r="L744" t="s">
        <v>2709</v>
      </c>
      <c r="M744">
        <v>9051000</v>
      </c>
      <c r="O744" t="s">
        <v>19900</v>
      </c>
      <c r="P744" t="s">
        <v>19899</v>
      </c>
      <c r="Q744" t="s">
        <v>19900</v>
      </c>
      <c r="R744" t="s">
        <v>19905</v>
      </c>
      <c r="S744" t="s">
        <v>19906</v>
      </c>
      <c r="T744" t="s">
        <v>19904</v>
      </c>
    </row>
    <row r="745" spans="2:20" x14ac:dyDescent="0.25">
      <c r="B745" t="s">
        <v>2709</v>
      </c>
      <c r="C745">
        <v>9052000</v>
      </c>
      <c r="E745">
        <v>0</v>
      </c>
      <c r="F745">
        <v>18</v>
      </c>
      <c r="G745">
        <v>0</v>
      </c>
      <c r="H745">
        <v>7.6</v>
      </c>
      <c r="I745">
        <v>1.65</v>
      </c>
      <c r="J745">
        <v>10</v>
      </c>
      <c r="L745" t="s">
        <v>2709</v>
      </c>
      <c r="M745">
        <v>9052000</v>
      </c>
      <c r="O745" t="s">
        <v>19900</v>
      </c>
      <c r="P745" t="s">
        <v>19899</v>
      </c>
      <c r="Q745" t="s">
        <v>19900</v>
      </c>
      <c r="R745" t="s">
        <v>19905</v>
      </c>
      <c r="S745" t="s">
        <v>19906</v>
      </c>
      <c r="T745" t="s">
        <v>19904</v>
      </c>
    </row>
    <row r="746" spans="2:20" x14ac:dyDescent="0.25">
      <c r="B746" t="s">
        <v>2709</v>
      </c>
      <c r="C746">
        <v>9061100</v>
      </c>
      <c r="E746">
        <v>0</v>
      </c>
      <c r="F746">
        <v>18</v>
      </c>
      <c r="G746">
        <v>0</v>
      </c>
      <c r="H746">
        <v>7.6</v>
      </c>
      <c r="I746">
        <v>1.65</v>
      </c>
      <c r="J746">
        <v>10</v>
      </c>
      <c r="L746" t="s">
        <v>2709</v>
      </c>
      <c r="M746">
        <v>9061100</v>
      </c>
      <c r="O746" t="s">
        <v>19900</v>
      </c>
      <c r="P746" t="s">
        <v>19899</v>
      </c>
      <c r="Q746" t="s">
        <v>19900</v>
      </c>
      <c r="R746" t="s">
        <v>19905</v>
      </c>
      <c r="S746" t="s">
        <v>19906</v>
      </c>
      <c r="T746" t="s">
        <v>19904</v>
      </c>
    </row>
    <row r="747" spans="2:20" x14ac:dyDescent="0.25">
      <c r="B747" t="s">
        <v>2709</v>
      </c>
      <c r="C747">
        <v>9061900</v>
      </c>
      <c r="E747">
        <v>0</v>
      </c>
      <c r="F747">
        <v>18</v>
      </c>
      <c r="G747">
        <v>0</v>
      </c>
      <c r="H747">
        <v>7.6</v>
      </c>
      <c r="I747">
        <v>1.65</v>
      </c>
      <c r="J747">
        <v>10</v>
      </c>
      <c r="L747" t="s">
        <v>2709</v>
      </c>
      <c r="M747">
        <v>9061900</v>
      </c>
      <c r="O747" t="s">
        <v>19900</v>
      </c>
      <c r="P747" t="s">
        <v>19899</v>
      </c>
      <c r="Q747" t="s">
        <v>19900</v>
      </c>
      <c r="R747" t="s">
        <v>19905</v>
      </c>
      <c r="S747" t="s">
        <v>19906</v>
      </c>
      <c r="T747" t="s">
        <v>19904</v>
      </c>
    </row>
    <row r="748" spans="2:20" x14ac:dyDescent="0.25">
      <c r="B748" t="s">
        <v>2709</v>
      </c>
      <c r="C748">
        <v>9062000</v>
      </c>
      <c r="E748">
        <v>0</v>
      </c>
      <c r="F748">
        <v>18</v>
      </c>
      <c r="G748">
        <v>0</v>
      </c>
      <c r="H748">
        <v>7.6</v>
      </c>
      <c r="I748">
        <v>1.65</v>
      </c>
      <c r="J748">
        <v>10</v>
      </c>
      <c r="L748" t="s">
        <v>2709</v>
      </c>
      <c r="M748">
        <v>9062000</v>
      </c>
      <c r="O748" t="s">
        <v>19900</v>
      </c>
      <c r="P748" t="s">
        <v>19899</v>
      </c>
      <c r="Q748" t="s">
        <v>19900</v>
      </c>
      <c r="R748" t="s">
        <v>19905</v>
      </c>
      <c r="S748" t="s">
        <v>19906</v>
      </c>
      <c r="T748" t="s">
        <v>19904</v>
      </c>
    </row>
    <row r="749" spans="2:20" x14ac:dyDescent="0.25">
      <c r="B749" t="s">
        <v>2709</v>
      </c>
      <c r="C749">
        <v>9071000</v>
      </c>
      <c r="E749">
        <v>0</v>
      </c>
      <c r="F749">
        <v>18</v>
      </c>
      <c r="G749">
        <v>0</v>
      </c>
      <c r="H749">
        <v>7.6</v>
      </c>
      <c r="I749">
        <v>1.65</v>
      </c>
      <c r="J749">
        <v>10</v>
      </c>
      <c r="L749" t="s">
        <v>2709</v>
      </c>
      <c r="M749">
        <v>9071000</v>
      </c>
      <c r="O749" t="s">
        <v>19900</v>
      </c>
      <c r="P749" t="s">
        <v>19899</v>
      </c>
      <c r="Q749" t="s">
        <v>19900</v>
      </c>
      <c r="R749" t="s">
        <v>19905</v>
      </c>
      <c r="S749" t="s">
        <v>19906</v>
      </c>
      <c r="T749" t="s">
        <v>19904</v>
      </c>
    </row>
    <row r="750" spans="2:20" x14ac:dyDescent="0.25">
      <c r="B750" t="s">
        <v>2709</v>
      </c>
      <c r="C750">
        <v>9072000</v>
      </c>
      <c r="E750">
        <v>0</v>
      </c>
      <c r="F750">
        <v>18</v>
      </c>
      <c r="G750">
        <v>0</v>
      </c>
      <c r="H750">
        <v>7.6</v>
      </c>
      <c r="I750">
        <v>1.65</v>
      </c>
      <c r="J750">
        <v>10</v>
      </c>
      <c r="L750" t="s">
        <v>2709</v>
      </c>
      <c r="M750">
        <v>9072000</v>
      </c>
      <c r="O750" t="s">
        <v>19900</v>
      </c>
      <c r="P750" t="s">
        <v>19899</v>
      </c>
      <c r="Q750" t="s">
        <v>19900</v>
      </c>
      <c r="R750" t="s">
        <v>19905</v>
      </c>
      <c r="S750" t="s">
        <v>19906</v>
      </c>
      <c r="T750" t="s">
        <v>19904</v>
      </c>
    </row>
    <row r="751" spans="2:20" x14ac:dyDescent="0.25">
      <c r="B751" t="s">
        <v>2709</v>
      </c>
      <c r="C751">
        <v>9081100</v>
      </c>
      <c r="E751">
        <v>0</v>
      </c>
      <c r="F751">
        <v>18</v>
      </c>
      <c r="G751">
        <v>0</v>
      </c>
      <c r="H751">
        <v>7.6</v>
      </c>
      <c r="I751">
        <v>1.65</v>
      </c>
      <c r="J751">
        <v>10</v>
      </c>
      <c r="L751" t="s">
        <v>2709</v>
      </c>
      <c r="M751">
        <v>9081100</v>
      </c>
      <c r="O751" t="s">
        <v>19900</v>
      </c>
      <c r="P751" t="s">
        <v>19899</v>
      </c>
      <c r="Q751" t="s">
        <v>19900</v>
      </c>
      <c r="R751" t="s">
        <v>19905</v>
      </c>
      <c r="S751" t="s">
        <v>19906</v>
      </c>
      <c r="T751" t="s">
        <v>19904</v>
      </c>
    </row>
    <row r="752" spans="2:20" x14ac:dyDescent="0.25">
      <c r="B752" t="s">
        <v>2709</v>
      </c>
      <c r="C752">
        <v>9081200</v>
      </c>
      <c r="E752">
        <v>0</v>
      </c>
      <c r="F752">
        <v>18</v>
      </c>
      <c r="G752">
        <v>0</v>
      </c>
      <c r="H752">
        <v>7.6</v>
      </c>
      <c r="I752">
        <v>1.65</v>
      </c>
      <c r="J752">
        <v>10</v>
      </c>
      <c r="L752" t="s">
        <v>2709</v>
      </c>
      <c r="M752">
        <v>9081200</v>
      </c>
      <c r="O752" t="s">
        <v>19900</v>
      </c>
      <c r="P752" t="s">
        <v>19899</v>
      </c>
      <c r="Q752" t="s">
        <v>19900</v>
      </c>
      <c r="R752" t="s">
        <v>19905</v>
      </c>
      <c r="S752" t="s">
        <v>19906</v>
      </c>
      <c r="T752" t="s">
        <v>19904</v>
      </c>
    </row>
    <row r="753" spans="2:20" x14ac:dyDescent="0.25">
      <c r="B753" t="s">
        <v>2709</v>
      </c>
      <c r="C753">
        <v>9082100</v>
      </c>
      <c r="E753">
        <v>0</v>
      </c>
      <c r="F753">
        <v>18</v>
      </c>
      <c r="G753">
        <v>0</v>
      </c>
      <c r="H753">
        <v>7.6</v>
      </c>
      <c r="I753">
        <v>1.65</v>
      </c>
      <c r="J753">
        <v>10</v>
      </c>
      <c r="L753" t="s">
        <v>2709</v>
      </c>
      <c r="M753">
        <v>9082100</v>
      </c>
      <c r="O753" t="s">
        <v>19900</v>
      </c>
      <c r="P753" t="s">
        <v>19899</v>
      </c>
      <c r="Q753" t="s">
        <v>19900</v>
      </c>
      <c r="R753" t="s">
        <v>19905</v>
      </c>
      <c r="S753" t="s">
        <v>19906</v>
      </c>
      <c r="T753" t="s">
        <v>19904</v>
      </c>
    </row>
    <row r="754" spans="2:20" x14ac:dyDescent="0.25">
      <c r="B754" t="s">
        <v>2709</v>
      </c>
      <c r="C754">
        <v>9082200</v>
      </c>
      <c r="E754">
        <v>0</v>
      </c>
      <c r="F754">
        <v>18</v>
      </c>
      <c r="G754">
        <v>0</v>
      </c>
      <c r="H754">
        <v>7.6</v>
      </c>
      <c r="I754">
        <v>1.65</v>
      </c>
      <c r="J754">
        <v>10</v>
      </c>
      <c r="L754" t="s">
        <v>2709</v>
      </c>
      <c r="M754">
        <v>9082200</v>
      </c>
      <c r="O754" t="s">
        <v>19900</v>
      </c>
      <c r="P754" t="s">
        <v>19899</v>
      </c>
      <c r="Q754" t="s">
        <v>19900</v>
      </c>
      <c r="R754" t="s">
        <v>19905</v>
      </c>
      <c r="S754" t="s">
        <v>19906</v>
      </c>
      <c r="T754" t="s">
        <v>19904</v>
      </c>
    </row>
    <row r="755" spans="2:20" x14ac:dyDescent="0.25">
      <c r="B755" t="s">
        <v>2709</v>
      </c>
      <c r="C755">
        <v>9083100</v>
      </c>
      <c r="E755">
        <v>0</v>
      </c>
      <c r="F755">
        <v>18</v>
      </c>
      <c r="G755">
        <v>0</v>
      </c>
      <c r="H755">
        <v>7.6</v>
      </c>
      <c r="I755">
        <v>1.65</v>
      </c>
      <c r="J755">
        <v>10</v>
      </c>
      <c r="L755" t="s">
        <v>2709</v>
      </c>
      <c r="M755">
        <v>9083100</v>
      </c>
      <c r="O755" t="s">
        <v>19900</v>
      </c>
      <c r="P755" t="s">
        <v>19899</v>
      </c>
      <c r="Q755" t="s">
        <v>19900</v>
      </c>
      <c r="R755" t="s">
        <v>19905</v>
      </c>
      <c r="S755" t="s">
        <v>19906</v>
      </c>
      <c r="T755" t="s">
        <v>19904</v>
      </c>
    </row>
    <row r="756" spans="2:20" x14ac:dyDescent="0.25">
      <c r="B756" t="s">
        <v>2709</v>
      </c>
      <c r="C756">
        <v>9083200</v>
      </c>
      <c r="E756">
        <v>0</v>
      </c>
      <c r="F756">
        <v>18</v>
      </c>
      <c r="G756">
        <v>0</v>
      </c>
      <c r="H756">
        <v>7.6</v>
      </c>
      <c r="I756">
        <v>1.65</v>
      </c>
      <c r="J756">
        <v>10</v>
      </c>
      <c r="L756" t="s">
        <v>2709</v>
      </c>
      <c r="M756">
        <v>9083200</v>
      </c>
      <c r="O756" t="s">
        <v>19900</v>
      </c>
      <c r="P756" t="s">
        <v>19899</v>
      </c>
      <c r="Q756" t="s">
        <v>19900</v>
      </c>
      <c r="R756" t="s">
        <v>19905</v>
      </c>
      <c r="S756" t="s">
        <v>19906</v>
      </c>
      <c r="T756" t="s">
        <v>19904</v>
      </c>
    </row>
    <row r="757" spans="2:20" x14ac:dyDescent="0.25">
      <c r="B757" t="s">
        <v>2709</v>
      </c>
      <c r="C757">
        <v>9092100</v>
      </c>
      <c r="E757">
        <v>0</v>
      </c>
      <c r="F757">
        <v>18</v>
      </c>
      <c r="G757">
        <v>0</v>
      </c>
      <c r="H757" t="s">
        <v>19447</v>
      </c>
      <c r="I757" t="s">
        <v>19447</v>
      </c>
      <c r="J757">
        <v>10</v>
      </c>
      <c r="L757" t="s">
        <v>2709</v>
      </c>
      <c r="M757">
        <v>9092100</v>
      </c>
      <c r="O757" t="s">
        <v>19900</v>
      </c>
      <c r="P757" t="s">
        <v>19899</v>
      </c>
      <c r="Q757" t="s">
        <v>19900</v>
      </c>
      <c r="R757" t="s">
        <v>19447</v>
      </c>
      <c r="S757" t="s">
        <v>19447</v>
      </c>
      <c r="T757" t="s">
        <v>19904</v>
      </c>
    </row>
    <row r="758" spans="2:20" x14ac:dyDescent="0.25">
      <c r="B758" t="s">
        <v>2709</v>
      </c>
      <c r="C758">
        <v>9092200</v>
      </c>
      <c r="E758">
        <v>0</v>
      </c>
      <c r="F758">
        <v>18</v>
      </c>
      <c r="G758">
        <v>0</v>
      </c>
      <c r="H758" t="s">
        <v>19447</v>
      </c>
      <c r="I758" t="s">
        <v>19447</v>
      </c>
      <c r="J758">
        <v>10</v>
      </c>
      <c r="L758" t="s">
        <v>2709</v>
      </c>
      <c r="M758">
        <v>9092200</v>
      </c>
      <c r="O758" t="s">
        <v>19900</v>
      </c>
      <c r="P758" t="s">
        <v>19899</v>
      </c>
      <c r="Q758" t="s">
        <v>19900</v>
      </c>
      <c r="R758" t="s">
        <v>19447</v>
      </c>
      <c r="S758" t="s">
        <v>19447</v>
      </c>
      <c r="T758" t="s">
        <v>19904</v>
      </c>
    </row>
    <row r="759" spans="2:20" x14ac:dyDescent="0.25">
      <c r="B759" t="s">
        <v>2709</v>
      </c>
      <c r="C759">
        <v>9093100</v>
      </c>
      <c r="E759">
        <v>0</v>
      </c>
      <c r="F759">
        <v>18</v>
      </c>
      <c r="G759">
        <v>0</v>
      </c>
      <c r="H759" t="s">
        <v>19447</v>
      </c>
      <c r="I759" t="s">
        <v>19447</v>
      </c>
      <c r="J759">
        <v>10</v>
      </c>
      <c r="L759" t="s">
        <v>2709</v>
      </c>
      <c r="M759">
        <v>9093100</v>
      </c>
      <c r="O759" t="s">
        <v>19900</v>
      </c>
      <c r="P759" t="s">
        <v>19899</v>
      </c>
      <c r="Q759" t="s">
        <v>19900</v>
      </c>
      <c r="R759" t="s">
        <v>19447</v>
      </c>
      <c r="S759" t="s">
        <v>19447</v>
      </c>
      <c r="T759" t="s">
        <v>19904</v>
      </c>
    </row>
    <row r="760" spans="2:20" x14ac:dyDescent="0.25">
      <c r="B760" t="s">
        <v>2709</v>
      </c>
      <c r="C760">
        <v>9093200</v>
      </c>
      <c r="E760">
        <v>0</v>
      </c>
      <c r="F760">
        <v>18</v>
      </c>
      <c r="G760">
        <v>0</v>
      </c>
      <c r="H760" t="s">
        <v>19447</v>
      </c>
      <c r="I760" t="s">
        <v>19447</v>
      </c>
      <c r="J760">
        <v>10</v>
      </c>
      <c r="L760" t="s">
        <v>2709</v>
      </c>
      <c r="M760">
        <v>9093200</v>
      </c>
      <c r="O760" t="s">
        <v>19900</v>
      </c>
      <c r="P760" t="s">
        <v>19899</v>
      </c>
      <c r="Q760" t="s">
        <v>19900</v>
      </c>
      <c r="R760" t="s">
        <v>19447</v>
      </c>
      <c r="S760" t="s">
        <v>19447</v>
      </c>
      <c r="T760" t="s">
        <v>19904</v>
      </c>
    </row>
    <row r="761" spans="2:20" x14ac:dyDescent="0.25">
      <c r="B761" t="s">
        <v>2709</v>
      </c>
      <c r="C761">
        <v>9096110</v>
      </c>
      <c r="E761">
        <v>0</v>
      </c>
      <c r="F761">
        <v>18</v>
      </c>
      <c r="G761">
        <v>0</v>
      </c>
      <c r="H761" t="s">
        <v>19447</v>
      </c>
      <c r="I761" t="s">
        <v>19447</v>
      </c>
      <c r="J761">
        <v>10</v>
      </c>
      <c r="L761" t="s">
        <v>2709</v>
      </c>
      <c r="M761">
        <v>9096110</v>
      </c>
      <c r="O761" t="s">
        <v>19900</v>
      </c>
      <c r="P761" t="s">
        <v>19899</v>
      </c>
      <c r="Q761" t="s">
        <v>19900</v>
      </c>
      <c r="R761" t="s">
        <v>19447</v>
      </c>
      <c r="S761" t="s">
        <v>19447</v>
      </c>
      <c r="T761" t="s">
        <v>19904</v>
      </c>
    </row>
    <row r="762" spans="2:20" x14ac:dyDescent="0.25">
      <c r="B762" t="s">
        <v>2709</v>
      </c>
      <c r="C762">
        <v>9096120</v>
      </c>
      <c r="E762">
        <v>0</v>
      </c>
      <c r="F762">
        <v>18</v>
      </c>
      <c r="G762">
        <v>0</v>
      </c>
      <c r="H762" t="s">
        <v>19447</v>
      </c>
      <c r="I762" t="s">
        <v>19447</v>
      </c>
      <c r="J762">
        <v>10</v>
      </c>
      <c r="L762" t="s">
        <v>2709</v>
      </c>
      <c r="M762">
        <v>9096120</v>
      </c>
      <c r="O762" t="s">
        <v>19900</v>
      </c>
      <c r="P762" t="s">
        <v>19899</v>
      </c>
      <c r="Q762" t="s">
        <v>19900</v>
      </c>
      <c r="R762" t="s">
        <v>19447</v>
      </c>
      <c r="S762" t="s">
        <v>19447</v>
      </c>
      <c r="T762" t="s">
        <v>19904</v>
      </c>
    </row>
    <row r="763" spans="2:20" x14ac:dyDescent="0.25">
      <c r="B763" t="s">
        <v>2709</v>
      </c>
      <c r="C763">
        <v>9096190</v>
      </c>
      <c r="E763">
        <v>0</v>
      </c>
      <c r="F763">
        <v>18</v>
      </c>
      <c r="G763">
        <v>0</v>
      </c>
      <c r="H763" t="s">
        <v>19447</v>
      </c>
      <c r="I763" t="s">
        <v>19447</v>
      </c>
      <c r="J763">
        <v>10</v>
      </c>
      <c r="L763" t="s">
        <v>2709</v>
      </c>
      <c r="M763">
        <v>9096190</v>
      </c>
      <c r="O763" t="s">
        <v>19900</v>
      </c>
      <c r="P763" t="s">
        <v>19899</v>
      </c>
      <c r="Q763" t="s">
        <v>19900</v>
      </c>
      <c r="R763" t="s">
        <v>19447</v>
      </c>
      <c r="S763" t="s">
        <v>19447</v>
      </c>
      <c r="T763" t="s">
        <v>19904</v>
      </c>
    </row>
    <row r="764" spans="2:20" x14ac:dyDescent="0.25">
      <c r="B764" t="s">
        <v>2709</v>
      </c>
      <c r="C764">
        <v>9096210</v>
      </c>
      <c r="E764">
        <v>0</v>
      </c>
      <c r="F764">
        <v>18</v>
      </c>
      <c r="G764">
        <v>0</v>
      </c>
      <c r="H764" t="s">
        <v>19447</v>
      </c>
      <c r="I764" t="s">
        <v>19447</v>
      </c>
      <c r="J764">
        <v>10</v>
      </c>
      <c r="L764" t="s">
        <v>2709</v>
      </c>
      <c r="M764">
        <v>9096210</v>
      </c>
      <c r="O764" t="s">
        <v>19900</v>
      </c>
      <c r="P764" t="s">
        <v>19899</v>
      </c>
      <c r="Q764" t="s">
        <v>19900</v>
      </c>
      <c r="R764" t="s">
        <v>19447</v>
      </c>
      <c r="S764" t="s">
        <v>19447</v>
      </c>
      <c r="T764" t="s">
        <v>19904</v>
      </c>
    </row>
    <row r="765" spans="2:20" x14ac:dyDescent="0.25">
      <c r="B765" t="s">
        <v>2709</v>
      </c>
      <c r="C765">
        <v>9096220</v>
      </c>
      <c r="E765">
        <v>0</v>
      </c>
      <c r="F765">
        <v>18</v>
      </c>
      <c r="G765">
        <v>0</v>
      </c>
      <c r="H765" t="s">
        <v>19447</v>
      </c>
      <c r="I765" t="s">
        <v>19447</v>
      </c>
      <c r="J765">
        <v>10</v>
      </c>
      <c r="L765" t="s">
        <v>2709</v>
      </c>
      <c r="M765">
        <v>9096220</v>
      </c>
      <c r="O765" t="s">
        <v>19900</v>
      </c>
      <c r="P765" t="s">
        <v>19899</v>
      </c>
      <c r="Q765" t="s">
        <v>19900</v>
      </c>
      <c r="R765" t="s">
        <v>19447</v>
      </c>
      <c r="S765" t="s">
        <v>19447</v>
      </c>
      <c r="T765" t="s">
        <v>19904</v>
      </c>
    </row>
    <row r="766" spans="2:20" x14ac:dyDescent="0.25">
      <c r="B766" t="s">
        <v>2709</v>
      </c>
      <c r="C766">
        <v>9096290</v>
      </c>
      <c r="E766">
        <v>0</v>
      </c>
      <c r="F766">
        <v>18</v>
      </c>
      <c r="G766">
        <v>0</v>
      </c>
      <c r="H766" t="s">
        <v>19447</v>
      </c>
      <c r="I766" t="s">
        <v>19447</v>
      </c>
      <c r="J766">
        <v>10</v>
      </c>
      <c r="L766" t="s">
        <v>2709</v>
      </c>
      <c r="M766">
        <v>9096290</v>
      </c>
      <c r="O766" t="s">
        <v>19900</v>
      </c>
      <c r="P766" t="s">
        <v>19899</v>
      </c>
      <c r="Q766" t="s">
        <v>19900</v>
      </c>
      <c r="R766" t="s">
        <v>19447</v>
      </c>
      <c r="S766" t="s">
        <v>19447</v>
      </c>
      <c r="T766" t="s">
        <v>19904</v>
      </c>
    </row>
    <row r="767" spans="2:20" x14ac:dyDescent="0.25">
      <c r="B767" t="s">
        <v>2709</v>
      </c>
      <c r="C767">
        <v>9101100</v>
      </c>
      <c r="E767">
        <v>0</v>
      </c>
      <c r="F767">
        <v>18</v>
      </c>
      <c r="G767">
        <v>0</v>
      </c>
      <c r="H767">
        <v>7.6</v>
      </c>
      <c r="I767">
        <v>1.65</v>
      </c>
      <c r="J767">
        <v>10</v>
      </c>
      <c r="L767" t="s">
        <v>2709</v>
      </c>
      <c r="M767">
        <v>9101100</v>
      </c>
      <c r="O767" t="s">
        <v>19900</v>
      </c>
      <c r="P767" t="s">
        <v>19899</v>
      </c>
      <c r="Q767" t="s">
        <v>19900</v>
      </c>
      <c r="R767" t="s">
        <v>19905</v>
      </c>
      <c r="S767" t="s">
        <v>19906</v>
      </c>
      <c r="T767" t="s">
        <v>19904</v>
      </c>
    </row>
    <row r="768" spans="2:20" x14ac:dyDescent="0.25">
      <c r="B768" t="s">
        <v>2709</v>
      </c>
      <c r="C768">
        <v>9101200</v>
      </c>
      <c r="E768">
        <v>0</v>
      </c>
      <c r="F768">
        <v>18</v>
      </c>
      <c r="G768">
        <v>0</v>
      </c>
      <c r="H768">
        <v>7.6</v>
      </c>
      <c r="I768">
        <v>1.65</v>
      </c>
      <c r="J768">
        <v>10</v>
      </c>
      <c r="L768" t="s">
        <v>2709</v>
      </c>
      <c r="M768">
        <v>9101200</v>
      </c>
      <c r="O768" t="s">
        <v>19900</v>
      </c>
      <c r="P768" t="s">
        <v>19899</v>
      </c>
      <c r="Q768" t="s">
        <v>19900</v>
      </c>
      <c r="R768" t="s">
        <v>19905</v>
      </c>
      <c r="S768" t="s">
        <v>19906</v>
      </c>
      <c r="T768" t="s">
        <v>19904</v>
      </c>
    </row>
    <row r="769" spans="2:20" x14ac:dyDescent="0.25">
      <c r="B769" t="s">
        <v>2709</v>
      </c>
      <c r="C769">
        <v>9102000</v>
      </c>
      <c r="E769">
        <v>0</v>
      </c>
      <c r="F769">
        <v>18</v>
      </c>
      <c r="G769">
        <v>0</v>
      </c>
      <c r="H769">
        <v>7.6</v>
      </c>
      <c r="I769">
        <v>1.65</v>
      </c>
      <c r="J769">
        <v>10</v>
      </c>
      <c r="L769" t="s">
        <v>2709</v>
      </c>
      <c r="M769">
        <v>9102000</v>
      </c>
      <c r="O769" t="s">
        <v>19900</v>
      </c>
      <c r="P769" t="s">
        <v>19899</v>
      </c>
      <c r="Q769" t="s">
        <v>19900</v>
      </c>
      <c r="R769" t="s">
        <v>19905</v>
      </c>
      <c r="S769" t="s">
        <v>19906</v>
      </c>
      <c r="T769" t="s">
        <v>19904</v>
      </c>
    </row>
    <row r="770" spans="2:20" x14ac:dyDescent="0.25">
      <c r="B770" t="s">
        <v>2709</v>
      </c>
      <c r="C770">
        <v>9103000</v>
      </c>
      <c r="E770">
        <v>0</v>
      </c>
      <c r="F770">
        <v>18</v>
      </c>
      <c r="G770">
        <v>0</v>
      </c>
      <c r="H770">
        <v>7.6</v>
      </c>
      <c r="I770">
        <v>1.65</v>
      </c>
      <c r="J770">
        <v>10</v>
      </c>
      <c r="L770" t="s">
        <v>2709</v>
      </c>
      <c r="M770">
        <v>9103000</v>
      </c>
      <c r="O770" t="s">
        <v>19900</v>
      </c>
      <c r="P770" t="s">
        <v>19899</v>
      </c>
      <c r="Q770" t="s">
        <v>19900</v>
      </c>
      <c r="R770" t="s">
        <v>19905</v>
      </c>
      <c r="S770" t="s">
        <v>19906</v>
      </c>
      <c r="T770" t="s">
        <v>19904</v>
      </c>
    </row>
    <row r="771" spans="2:20" x14ac:dyDescent="0.25">
      <c r="B771" t="s">
        <v>2709</v>
      </c>
      <c r="C771">
        <v>9109100</v>
      </c>
      <c r="E771">
        <v>0</v>
      </c>
      <c r="F771">
        <v>18</v>
      </c>
      <c r="G771">
        <v>0</v>
      </c>
      <c r="H771">
        <v>7.6</v>
      </c>
      <c r="I771">
        <v>1.65</v>
      </c>
      <c r="J771">
        <v>10</v>
      </c>
      <c r="L771" t="s">
        <v>2709</v>
      </c>
      <c r="M771">
        <v>9109100</v>
      </c>
      <c r="O771" t="s">
        <v>19900</v>
      </c>
      <c r="P771" t="s">
        <v>19899</v>
      </c>
      <c r="Q771" t="s">
        <v>19900</v>
      </c>
      <c r="R771" t="s">
        <v>19905</v>
      </c>
      <c r="S771" t="s">
        <v>19906</v>
      </c>
      <c r="T771" t="s">
        <v>19904</v>
      </c>
    </row>
    <row r="772" spans="2:20" x14ac:dyDescent="0.25">
      <c r="B772" t="s">
        <v>2709</v>
      </c>
      <c r="C772">
        <v>9109900</v>
      </c>
      <c r="E772">
        <v>0</v>
      </c>
      <c r="F772">
        <v>18</v>
      </c>
      <c r="G772">
        <v>0</v>
      </c>
      <c r="H772">
        <v>7.6</v>
      </c>
      <c r="I772">
        <v>1.65</v>
      </c>
      <c r="J772">
        <v>10</v>
      </c>
      <c r="L772" t="s">
        <v>2709</v>
      </c>
      <c r="M772">
        <v>9109900</v>
      </c>
      <c r="O772" t="s">
        <v>19900</v>
      </c>
      <c r="P772" t="s">
        <v>19899</v>
      </c>
      <c r="Q772" t="s">
        <v>19900</v>
      </c>
      <c r="R772" t="s">
        <v>19905</v>
      </c>
      <c r="S772" t="s">
        <v>19906</v>
      </c>
      <c r="T772" t="s">
        <v>19904</v>
      </c>
    </row>
    <row r="773" spans="2:20" x14ac:dyDescent="0.25">
      <c r="B773" t="s">
        <v>2709</v>
      </c>
      <c r="C773">
        <v>10011100</v>
      </c>
      <c r="E773">
        <v>0</v>
      </c>
      <c r="F773">
        <v>7</v>
      </c>
      <c r="G773">
        <v>0</v>
      </c>
      <c r="H773" t="s">
        <v>19447</v>
      </c>
      <c r="I773" t="s">
        <v>19447</v>
      </c>
      <c r="J773">
        <v>0</v>
      </c>
      <c r="L773" t="s">
        <v>2709</v>
      </c>
      <c r="M773">
        <v>10011100</v>
      </c>
      <c r="O773" t="s">
        <v>19900</v>
      </c>
      <c r="P773" t="s">
        <v>19908</v>
      </c>
      <c r="Q773" t="s">
        <v>19900</v>
      </c>
      <c r="R773" t="s">
        <v>19447</v>
      </c>
      <c r="S773" t="s">
        <v>19447</v>
      </c>
      <c r="T773" t="s">
        <v>19900</v>
      </c>
    </row>
    <row r="774" spans="2:20" x14ac:dyDescent="0.25">
      <c r="B774" t="s">
        <v>2709</v>
      </c>
      <c r="C774">
        <v>10011900</v>
      </c>
      <c r="E774">
        <v>0</v>
      </c>
      <c r="F774">
        <v>7</v>
      </c>
      <c r="G774">
        <v>0</v>
      </c>
      <c r="H774" t="s">
        <v>19447</v>
      </c>
      <c r="I774" t="s">
        <v>19447</v>
      </c>
      <c r="J774">
        <v>10</v>
      </c>
      <c r="L774" t="s">
        <v>2709</v>
      </c>
      <c r="M774">
        <v>10011900</v>
      </c>
      <c r="O774" t="s">
        <v>19900</v>
      </c>
      <c r="P774" t="s">
        <v>19908</v>
      </c>
      <c r="Q774" t="s">
        <v>19900</v>
      </c>
      <c r="R774" t="s">
        <v>19447</v>
      </c>
      <c r="S774" t="s">
        <v>19447</v>
      </c>
      <c r="T774" t="s">
        <v>19904</v>
      </c>
    </row>
    <row r="775" spans="2:20" x14ac:dyDescent="0.25">
      <c r="B775" t="s">
        <v>2709</v>
      </c>
      <c r="C775">
        <v>10019100</v>
      </c>
      <c r="E775">
        <v>0</v>
      </c>
      <c r="F775">
        <v>18</v>
      </c>
      <c r="G775">
        <v>0</v>
      </c>
      <c r="H775" t="s">
        <v>19447</v>
      </c>
      <c r="I775" t="s">
        <v>19447</v>
      </c>
      <c r="J775">
        <v>0</v>
      </c>
      <c r="L775" t="s">
        <v>2709</v>
      </c>
      <c r="M775">
        <v>10019100</v>
      </c>
      <c r="O775" t="s">
        <v>19900</v>
      </c>
      <c r="P775" t="s">
        <v>19899</v>
      </c>
      <c r="Q775" t="s">
        <v>19900</v>
      </c>
      <c r="R775" t="s">
        <v>19447</v>
      </c>
      <c r="S775" t="s">
        <v>19447</v>
      </c>
      <c r="T775" t="s">
        <v>19900</v>
      </c>
    </row>
    <row r="776" spans="2:20" x14ac:dyDescent="0.25">
      <c r="B776" t="s">
        <v>2709</v>
      </c>
      <c r="C776">
        <v>10019900</v>
      </c>
      <c r="E776">
        <v>0</v>
      </c>
      <c r="F776">
        <v>18</v>
      </c>
      <c r="G776">
        <v>0</v>
      </c>
      <c r="H776" t="s">
        <v>19447</v>
      </c>
      <c r="I776" t="s">
        <v>19447</v>
      </c>
      <c r="J776">
        <v>10</v>
      </c>
      <c r="L776" t="s">
        <v>2709</v>
      </c>
      <c r="M776">
        <v>10019900</v>
      </c>
      <c r="O776" t="s">
        <v>19900</v>
      </c>
      <c r="P776" t="s">
        <v>19899</v>
      </c>
      <c r="Q776" t="s">
        <v>19900</v>
      </c>
      <c r="R776" t="s">
        <v>19447</v>
      </c>
      <c r="S776" t="s">
        <v>19447</v>
      </c>
      <c r="T776" t="s">
        <v>19904</v>
      </c>
    </row>
    <row r="777" spans="2:20" x14ac:dyDescent="0.25">
      <c r="B777" t="s">
        <v>2709</v>
      </c>
      <c r="C777">
        <v>10021000</v>
      </c>
      <c r="E777">
        <v>0</v>
      </c>
      <c r="F777">
        <v>18</v>
      </c>
      <c r="G777">
        <v>0</v>
      </c>
      <c r="H777" t="s">
        <v>19447</v>
      </c>
      <c r="I777" t="s">
        <v>19447</v>
      </c>
      <c r="J777">
        <v>0</v>
      </c>
      <c r="L777" t="s">
        <v>2709</v>
      </c>
      <c r="M777">
        <v>10021000</v>
      </c>
      <c r="O777" t="s">
        <v>19900</v>
      </c>
      <c r="P777" t="s">
        <v>19899</v>
      </c>
      <c r="Q777" t="s">
        <v>19900</v>
      </c>
      <c r="R777" t="s">
        <v>19447</v>
      </c>
      <c r="S777" t="s">
        <v>19447</v>
      </c>
      <c r="T777" t="s">
        <v>19900</v>
      </c>
    </row>
    <row r="778" spans="2:20" x14ac:dyDescent="0.25">
      <c r="B778" t="s">
        <v>2709</v>
      </c>
      <c r="C778">
        <v>10029000</v>
      </c>
      <c r="E778">
        <v>0</v>
      </c>
      <c r="F778">
        <v>18</v>
      </c>
      <c r="G778">
        <v>0</v>
      </c>
      <c r="H778" t="s">
        <v>19447</v>
      </c>
      <c r="I778" t="s">
        <v>19447</v>
      </c>
      <c r="J778">
        <v>8</v>
      </c>
      <c r="L778" t="s">
        <v>2709</v>
      </c>
      <c r="M778">
        <v>10029000</v>
      </c>
      <c r="O778" t="s">
        <v>19900</v>
      </c>
      <c r="P778" t="s">
        <v>19899</v>
      </c>
      <c r="Q778" t="s">
        <v>19900</v>
      </c>
      <c r="R778" t="s">
        <v>19447</v>
      </c>
      <c r="S778" t="s">
        <v>19447</v>
      </c>
      <c r="T778" t="s">
        <v>19918</v>
      </c>
    </row>
    <row r="779" spans="2:20" x14ac:dyDescent="0.25">
      <c r="B779" t="s">
        <v>2709</v>
      </c>
      <c r="C779">
        <v>10031000</v>
      </c>
      <c r="E779">
        <v>0</v>
      </c>
      <c r="F779">
        <v>18</v>
      </c>
      <c r="G779">
        <v>0</v>
      </c>
      <c r="H779" t="s">
        <v>19447</v>
      </c>
      <c r="I779" t="s">
        <v>19447</v>
      </c>
      <c r="J779">
        <v>0</v>
      </c>
      <c r="L779" t="s">
        <v>2709</v>
      </c>
      <c r="M779">
        <v>10031000</v>
      </c>
      <c r="O779" t="s">
        <v>19900</v>
      </c>
      <c r="P779" t="s">
        <v>19899</v>
      </c>
      <c r="Q779" t="s">
        <v>19900</v>
      </c>
      <c r="R779" t="s">
        <v>19447</v>
      </c>
      <c r="S779" t="s">
        <v>19447</v>
      </c>
      <c r="T779" t="s">
        <v>19900</v>
      </c>
    </row>
    <row r="780" spans="2:20" x14ac:dyDescent="0.25">
      <c r="B780" t="s">
        <v>2709</v>
      </c>
      <c r="C780">
        <v>10039010</v>
      </c>
      <c r="E780">
        <v>0</v>
      </c>
      <c r="F780">
        <v>18</v>
      </c>
      <c r="G780">
        <v>0</v>
      </c>
      <c r="H780" t="s">
        <v>19447</v>
      </c>
      <c r="I780" t="s">
        <v>19447</v>
      </c>
      <c r="J780">
        <v>10</v>
      </c>
      <c r="L780" t="s">
        <v>2709</v>
      </c>
      <c r="M780">
        <v>10039010</v>
      </c>
      <c r="O780" t="s">
        <v>19900</v>
      </c>
      <c r="P780" t="s">
        <v>19899</v>
      </c>
      <c r="Q780" t="s">
        <v>19900</v>
      </c>
      <c r="R780" t="s">
        <v>19447</v>
      </c>
      <c r="S780" t="s">
        <v>19447</v>
      </c>
      <c r="T780" t="s">
        <v>19904</v>
      </c>
    </row>
    <row r="781" spans="2:20" x14ac:dyDescent="0.25">
      <c r="B781" t="s">
        <v>2709</v>
      </c>
      <c r="C781">
        <v>10039080</v>
      </c>
      <c r="E781">
        <v>0</v>
      </c>
      <c r="F781">
        <v>18</v>
      </c>
      <c r="G781">
        <v>0</v>
      </c>
      <c r="H781" t="s">
        <v>19447</v>
      </c>
      <c r="I781" t="s">
        <v>19447</v>
      </c>
      <c r="J781">
        <v>10</v>
      </c>
      <c r="L781" t="s">
        <v>2709</v>
      </c>
      <c r="M781">
        <v>10039080</v>
      </c>
      <c r="O781" t="s">
        <v>19900</v>
      </c>
      <c r="P781" t="s">
        <v>19899</v>
      </c>
      <c r="Q781" t="s">
        <v>19900</v>
      </c>
      <c r="R781" t="s">
        <v>19447</v>
      </c>
      <c r="S781" t="s">
        <v>19447</v>
      </c>
      <c r="T781" t="s">
        <v>19904</v>
      </c>
    </row>
    <row r="782" spans="2:20" x14ac:dyDescent="0.25">
      <c r="B782" t="s">
        <v>2709</v>
      </c>
      <c r="C782">
        <v>10039090</v>
      </c>
      <c r="E782">
        <v>0</v>
      </c>
      <c r="F782">
        <v>18</v>
      </c>
      <c r="G782">
        <v>0</v>
      </c>
      <c r="H782" t="s">
        <v>19447</v>
      </c>
      <c r="I782" t="s">
        <v>19447</v>
      </c>
      <c r="J782">
        <v>10</v>
      </c>
      <c r="L782" t="s">
        <v>2709</v>
      </c>
      <c r="M782">
        <v>10039090</v>
      </c>
      <c r="O782" t="s">
        <v>19900</v>
      </c>
      <c r="P782" t="s">
        <v>19899</v>
      </c>
      <c r="Q782" t="s">
        <v>19900</v>
      </c>
      <c r="R782" t="s">
        <v>19447</v>
      </c>
      <c r="S782" t="s">
        <v>19447</v>
      </c>
      <c r="T782" t="s">
        <v>19904</v>
      </c>
    </row>
    <row r="783" spans="2:20" x14ac:dyDescent="0.25">
      <c r="B783" t="s">
        <v>2709</v>
      </c>
      <c r="C783">
        <v>10041000</v>
      </c>
      <c r="E783">
        <v>0</v>
      </c>
      <c r="F783">
        <v>18</v>
      </c>
      <c r="G783">
        <v>0</v>
      </c>
      <c r="H783" t="s">
        <v>19447</v>
      </c>
      <c r="I783" t="s">
        <v>19447</v>
      </c>
      <c r="J783">
        <v>0</v>
      </c>
      <c r="L783" t="s">
        <v>2709</v>
      </c>
      <c r="M783">
        <v>10041000</v>
      </c>
      <c r="O783" t="s">
        <v>19900</v>
      </c>
      <c r="P783" t="s">
        <v>19899</v>
      </c>
      <c r="Q783" t="s">
        <v>19900</v>
      </c>
      <c r="R783" t="s">
        <v>19447</v>
      </c>
      <c r="S783" t="s">
        <v>19447</v>
      </c>
      <c r="T783" t="s">
        <v>19900</v>
      </c>
    </row>
    <row r="784" spans="2:20" x14ac:dyDescent="0.25">
      <c r="B784" t="s">
        <v>2709</v>
      </c>
      <c r="C784">
        <v>10049000</v>
      </c>
      <c r="E784">
        <v>0</v>
      </c>
      <c r="F784">
        <v>18</v>
      </c>
      <c r="G784">
        <v>0</v>
      </c>
      <c r="H784" t="s">
        <v>19447</v>
      </c>
      <c r="I784" t="s">
        <v>19447</v>
      </c>
      <c r="J784">
        <v>8</v>
      </c>
      <c r="L784" t="s">
        <v>2709</v>
      </c>
      <c r="M784">
        <v>10049000</v>
      </c>
      <c r="O784" t="s">
        <v>19900</v>
      </c>
      <c r="P784" t="s">
        <v>19899</v>
      </c>
      <c r="Q784" t="s">
        <v>19900</v>
      </c>
      <c r="R784" t="s">
        <v>19447</v>
      </c>
      <c r="S784" t="s">
        <v>19447</v>
      </c>
      <c r="T784" t="s">
        <v>19918</v>
      </c>
    </row>
    <row r="785" spans="2:20" x14ac:dyDescent="0.25">
      <c r="B785" t="s">
        <v>2709</v>
      </c>
      <c r="C785">
        <v>10051000</v>
      </c>
      <c r="E785">
        <v>0</v>
      </c>
      <c r="F785">
        <v>18</v>
      </c>
      <c r="G785">
        <v>0</v>
      </c>
      <c r="H785" t="s">
        <v>19447</v>
      </c>
      <c r="I785" t="s">
        <v>19447</v>
      </c>
      <c r="J785">
        <v>0</v>
      </c>
      <c r="L785" t="s">
        <v>2709</v>
      </c>
      <c r="M785">
        <v>10051000</v>
      </c>
      <c r="O785" t="s">
        <v>19900</v>
      </c>
      <c r="P785" t="s">
        <v>19899</v>
      </c>
      <c r="Q785" t="s">
        <v>19900</v>
      </c>
      <c r="R785" t="s">
        <v>19447</v>
      </c>
      <c r="S785" t="s">
        <v>19447</v>
      </c>
      <c r="T785" t="s">
        <v>19900</v>
      </c>
    </row>
    <row r="786" spans="2:20" x14ac:dyDescent="0.25">
      <c r="B786" t="s">
        <v>2709</v>
      </c>
      <c r="C786">
        <v>10059010</v>
      </c>
      <c r="E786">
        <v>0</v>
      </c>
      <c r="F786">
        <v>18</v>
      </c>
      <c r="G786">
        <v>0</v>
      </c>
      <c r="H786" t="s">
        <v>19447</v>
      </c>
      <c r="I786" t="s">
        <v>19447</v>
      </c>
      <c r="J786">
        <v>8</v>
      </c>
      <c r="L786" t="s">
        <v>2709</v>
      </c>
      <c r="M786">
        <v>10059010</v>
      </c>
      <c r="O786" t="s">
        <v>19900</v>
      </c>
      <c r="P786" t="s">
        <v>19899</v>
      </c>
      <c r="Q786" t="s">
        <v>19900</v>
      </c>
      <c r="R786" t="s">
        <v>19447</v>
      </c>
      <c r="S786" t="s">
        <v>19447</v>
      </c>
      <c r="T786" t="s">
        <v>19918</v>
      </c>
    </row>
    <row r="787" spans="2:20" x14ac:dyDescent="0.25">
      <c r="B787" t="s">
        <v>2709</v>
      </c>
      <c r="C787">
        <v>10059090</v>
      </c>
      <c r="E787">
        <v>0</v>
      </c>
      <c r="F787">
        <v>18</v>
      </c>
      <c r="G787">
        <v>0</v>
      </c>
      <c r="H787" t="s">
        <v>19447</v>
      </c>
      <c r="I787" t="s">
        <v>19447</v>
      </c>
      <c r="J787">
        <v>8</v>
      </c>
      <c r="L787" t="s">
        <v>2709</v>
      </c>
      <c r="M787">
        <v>10059090</v>
      </c>
      <c r="O787" t="s">
        <v>19900</v>
      </c>
      <c r="P787" t="s">
        <v>19899</v>
      </c>
      <c r="Q787" t="s">
        <v>19900</v>
      </c>
      <c r="R787" t="s">
        <v>19447</v>
      </c>
      <c r="S787" t="s">
        <v>19447</v>
      </c>
      <c r="T787" t="s">
        <v>19918</v>
      </c>
    </row>
    <row r="788" spans="2:20" x14ac:dyDescent="0.25">
      <c r="B788" t="s">
        <v>2709</v>
      </c>
      <c r="C788">
        <v>10061010</v>
      </c>
      <c r="E788">
        <v>0</v>
      </c>
      <c r="F788">
        <v>7</v>
      </c>
      <c r="G788">
        <v>0</v>
      </c>
      <c r="H788" t="s">
        <v>19447</v>
      </c>
      <c r="I788" t="s">
        <v>19447</v>
      </c>
      <c r="J788">
        <v>0</v>
      </c>
      <c r="L788" t="s">
        <v>2709</v>
      </c>
      <c r="M788">
        <v>10061010</v>
      </c>
      <c r="O788" t="s">
        <v>19900</v>
      </c>
      <c r="P788" t="s">
        <v>19908</v>
      </c>
      <c r="Q788" t="s">
        <v>19900</v>
      </c>
      <c r="R788" t="s">
        <v>19447</v>
      </c>
      <c r="S788" t="s">
        <v>19447</v>
      </c>
      <c r="T788" t="s">
        <v>19900</v>
      </c>
    </row>
    <row r="789" spans="2:20" x14ac:dyDescent="0.25">
      <c r="B789" t="s">
        <v>2709</v>
      </c>
      <c r="C789">
        <v>10061091</v>
      </c>
      <c r="E789">
        <v>0</v>
      </c>
      <c r="F789">
        <v>7</v>
      </c>
      <c r="G789">
        <v>0</v>
      </c>
      <c r="H789" t="s">
        <v>19447</v>
      </c>
      <c r="I789" t="s">
        <v>19447</v>
      </c>
      <c r="J789">
        <v>10</v>
      </c>
      <c r="L789" t="s">
        <v>2709</v>
      </c>
      <c r="M789">
        <v>10061091</v>
      </c>
      <c r="O789" t="s">
        <v>19900</v>
      </c>
      <c r="P789" t="s">
        <v>19908</v>
      </c>
      <c r="Q789" t="s">
        <v>19900</v>
      </c>
      <c r="R789" t="s">
        <v>19447</v>
      </c>
      <c r="S789" t="s">
        <v>19447</v>
      </c>
      <c r="T789" t="s">
        <v>19904</v>
      </c>
    </row>
    <row r="790" spans="2:20" x14ac:dyDescent="0.25">
      <c r="B790" t="s">
        <v>2709</v>
      </c>
      <c r="C790">
        <v>10061092</v>
      </c>
      <c r="E790">
        <v>0</v>
      </c>
      <c r="F790">
        <v>7</v>
      </c>
      <c r="G790">
        <v>0</v>
      </c>
      <c r="H790" t="s">
        <v>19447</v>
      </c>
      <c r="I790" t="s">
        <v>19447</v>
      </c>
      <c r="J790">
        <v>10</v>
      </c>
      <c r="L790" t="s">
        <v>2709</v>
      </c>
      <c r="M790">
        <v>10061092</v>
      </c>
      <c r="O790" t="s">
        <v>19900</v>
      </c>
      <c r="P790" t="s">
        <v>19908</v>
      </c>
      <c r="Q790" t="s">
        <v>19900</v>
      </c>
      <c r="R790" t="s">
        <v>19447</v>
      </c>
      <c r="S790" t="s">
        <v>19447</v>
      </c>
      <c r="T790" t="s">
        <v>19904</v>
      </c>
    </row>
    <row r="791" spans="2:20" x14ac:dyDescent="0.25">
      <c r="B791" t="s">
        <v>2709</v>
      </c>
      <c r="C791">
        <v>10062010</v>
      </c>
      <c r="E791">
        <v>0</v>
      </c>
      <c r="F791">
        <v>7</v>
      </c>
      <c r="G791">
        <v>0</v>
      </c>
      <c r="H791" t="s">
        <v>19447</v>
      </c>
      <c r="I791" t="s">
        <v>19447</v>
      </c>
      <c r="J791">
        <v>10</v>
      </c>
      <c r="L791" t="s">
        <v>2709</v>
      </c>
      <c r="M791">
        <v>10062010</v>
      </c>
      <c r="O791" t="s">
        <v>19900</v>
      </c>
      <c r="P791" t="s">
        <v>19908</v>
      </c>
      <c r="Q791" t="s">
        <v>19900</v>
      </c>
      <c r="R791" t="s">
        <v>19447</v>
      </c>
      <c r="S791" t="s">
        <v>19447</v>
      </c>
      <c r="T791" t="s">
        <v>19904</v>
      </c>
    </row>
    <row r="792" spans="2:20" x14ac:dyDescent="0.25">
      <c r="B792" t="s">
        <v>2709</v>
      </c>
      <c r="C792">
        <v>10062020</v>
      </c>
      <c r="E792">
        <v>0</v>
      </c>
      <c r="F792">
        <v>7</v>
      </c>
      <c r="G792">
        <v>0</v>
      </c>
      <c r="H792" t="s">
        <v>19447</v>
      </c>
      <c r="I792" t="s">
        <v>19447</v>
      </c>
      <c r="J792">
        <v>10</v>
      </c>
      <c r="L792" t="s">
        <v>2709</v>
      </c>
      <c r="M792">
        <v>10062020</v>
      </c>
      <c r="O792" t="s">
        <v>19900</v>
      </c>
      <c r="P792" t="s">
        <v>19908</v>
      </c>
      <c r="Q792" t="s">
        <v>19900</v>
      </c>
      <c r="R792" t="s">
        <v>19447</v>
      </c>
      <c r="S792" t="s">
        <v>19447</v>
      </c>
      <c r="T792" t="s">
        <v>19904</v>
      </c>
    </row>
    <row r="793" spans="2:20" x14ac:dyDescent="0.25">
      <c r="B793" t="s">
        <v>2709</v>
      </c>
      <c r="C793">
        <v>10063011</v>
      </c>
      <c r="E793">
        <v>0</v>
      </c>
      <c r="F793">
        <v>7</v>
      </c>
      <c r="G793">
        <v>0</v>
      </c>
      <c r="H793" t="s">
        <v>19447</v>
      </c>
      <c r="I793" t="s">
        <v>19447</v>
      </c>
      <c r="J793">
        <v>12</v>
      </c>
      <c r="L793" t="s">
        <v>2709</v>
      </c>
      <c r="M793">
        <v>10063011</v>
      </c>
      <c r="O793" t="s">
        <v>19900</v>
      </c>
      <c r="P793" t="s">
        <v>19908</v>
      </c>
      <c r="Q793" t="s">
        <v>19900</v>
      </c>
      <c r="R793" t="s">
        <v>19447</v>
      </c>
      <c r="S793" t="s">
        <v>19447</v>
      </c>
      <c r="T793" t="s">
        <v>19903</v>
      </c>
    </row>
    <row r="794" spans="2:20" x14ac:dyDescent="0.25">
      <c r="B794" t="s">
        <v>2709</v>
      </c>
      <c r="C794">
        <v>10063019</v>
      </c>
      <c r="E794">
        <v>0</v>
      </c>
      <c r="F794">
        <v>7</v>
      </c>
      <c r="G794">
        <v>0</v>
      </c>
      <c r="H794" t="s">
        <v>19447</v>
      </c>
      <c r="I794" t="s">
        <v>19447</v>
      </c>
      <c r="J794">
        <v>10</v>
      </c>
      <c r="L794" t="s">
        <v>2709</v>
      </c>
      <c r="M794">
        <v>10063019</v>
      </c>
      <c r="O794" t="s">
        <v>19900</v>
      </c>
      <c r="P794" t="s">
        <v>19908</v>
      </c>
      <c r="Q794" t="s">
        <v>19900</v>
      </c>
      <c r="R794" t="s">
        <v>19447</v>
      </c>
      <c r="S794" t="s">
        <v>19447</v>
      </c>
      <c r="T794" t="s">
        <v>19904</v>
      </c>
    </row>
    <row r="795" spans="2:20" x14ac:dyDescent="0.25">
      <c r="B795" t="s">
        <v>2709</v>
      </c>
      <c r="C795">
        <v>10063021</v>
      </c>
      <c r="E795">
        <v>0</v>
      </c>
      <c r="F795">
        <v>7</v>
      </c>
      <c r="G795">
        <v>0</v>
      </c>
      <c r="H795" t="s">
        <v>19447</v>
      </c>
      <c r="I795" t="s">
        <v>19447</v>
      </c>
      <c r="J795">
        <v>12</v>
      </c>
      <c r="L795" t="s">
        <v>2709</v>
      </c>
      <c r="M795">
        <v>10063021</v>
      </c>
      <c r="O795" t="s">
        <v>19900</v>
      </c>
      <c r="P795" t="s">
        <v>19908</v>
      </c>
      <c r="Q795" t="s">
        <v>19900</v>
      </c>
      <c r="R795" t="s">
        <v>19447</v>
      </c>
      <c r="S795" t="s">
        <v>19447</v>
      </c>
      <c r="T795" t="s">
        <v>19903</v>
      </c>
    </row>
    <row r="796" spans="2:20" x14ac:dyDescent="0.25">
      <c r="B796" t="s">
        <v>2709</v>
      </c>
      <c r="C796">
        <v>10063029</v>
      </c>
      <c r="E796">
        <v>0</v>
      </c>
      <c r="F796">
        <v>7</v>
      </c>
      <c r="G796">
        <v>0</v>
      </c>
      <c r="H796" t="s">
        <v>19447</v>
      </c>
      <c r="I796" t="s">
        <v>19447</v>
      </c>
      <c r="J796">
        <v>10</v>
      </c>
      <c r="L796" t="s">
        <v>2709</v>
      </c>
      <c r="M796">
        <v>10063029</v>
      </c>
      <c r="O796" t="s">
        <v>19900</v>
      </c>
      <c r="P796" t="s">
        <v>19908</v>
      </c>
      <c r="Q796" t="s">
        <v>19900</v>
      </c>
      <c r="R796" t="s">
        <v>19447</v>
      </c>
      <c r="S796" t="s">
        <v>19447</v>
      </c>
      <c r="T796" t="s">
        <v>19904</v>
      </c>
    </row>
    <row r="797" spans="2:20" x14ac:dyDescent="0.25">
      <c r="B797" t="s">
        <v>2709</v>
      </c>
      <c r="C797">
        <v>10064000</v>
      </c>
      <c r="E797">
        <v>0</v>
      </c>
      <c r="F797">
        <v>7</v>
      </c>
      <c r="G797">
        <v>0</v>
      </c>
      <c r="H797" t="s">
        <v>19447</v>
      </c>
      <c r="I797" t="s">
        <v>19447</v>
      </c>
      <c r="J797">
        <v>10</v>
      </c>
      <c r="L797" t="s">
        <v>2709</v>
      </c>
      <c r="M797">
        <v>10064000</v>
      </c>
      <c r="O797" t="s">
        <v>19900</v>
      </c>
      <c r="P797" t="s">
        <v>19908</v>
      </c>
      <c r="Q797" t="s">
        <v>19900</v>
      </c>
      <c r="R797" t="s">
        <v>19447</v>
      </c>
      <c r="S797" t="s">
        <v>19447</v>
      </c>
      <c r="T797" t="s">
        <v>19904</v>
      </c>
    </row>
    <row r="798" spans="2:20" x14ac:dyDescent="0.25">
      <c r="B798" t="s">
        <v>2709</v>
      </c>
      <c r="C798">
        <v>10071000</v>
      </c>
      <c r="E798">
        <v>0</v>
      </c>
      <c r="F798">
        <v>18</v>
      </c>
      <c r="G798">
        <v>0</v>
      </c>
      <c r="H798" t="s">
        <v>19447</v>
      </c>
      <c r="I798" t="s">
        <v>19447</v>
      </c>
      <c r="J798">
        <v>0</v>
      </c>
      <c r="L798" t="s">
        <v>2709</v>
      </c>
      <c r="M798">
        <v>10071000</v>
      </c>
      <c r="O798" t="s">
        <v>19900</v>
      </c>
      <c r="P798" t="s">
        <v>19899</v>
      </c>
      <c r="Q798" t="s">
        <v>19900</v>
      </c>
      <c r="R798" t="s">
        <v>19447</v>
      </c>
      <c r="S798" t="s">
        <v>19447</v>
      </c>
      <c r="T798" t="s">
        <v>19900</v>
      </c>
    </row>
    <row r="799" spans="2:20" x14ac:dyDescent="0.25">
      <c r="B799" t="s">
        <v>2709</v>
      </c>
      <c r="C799">
        <v>10079000</v>
      </c>
      <c r="E799">
        <v>0</v>
      </c>
      <c r="F799">
        <v>18</v>
      </c>
      <c r="G799">
        <v>0</v>
      </c>
      <c r="H799" t="s">
        <v>19447</v>
      </c>
      <c r="I799" t="s">
        <v>19447</v>
      </c>
      <c r="J799">
        <v>8</v>
      </c>
      <c r="L799" t="s">
        <v>2709</v>
      </c>
      <c r="M799">
        <v>10079000</v>
      </c>
      <c r="O799" t="s">
        <v>19900</v>
      </c>
      <c r="P799" t="s">
        <v>19899</v>
      </c>
      <c r="Q799" t="s">
        <v>19900</v>
      </c>
      <c r="R799" t="s">
        <v>19447</v>
      </c>
      <c r="S799" t="s">
        <v>19447</v>
      </c>
      <c r="T799" t="s">
        <v>19918</v>
      </c>
    </row>
    <row r="800" spans="2:20" x14ac:dyDescent="0.25">
      <c r="B800" t="s">
        <v>2709</v>
      </c>
      <c r="C800">
        <v>10081010</v>
      </c>
      <c r="E800">
        <v>0</v>
      </c>
      <c r="F800">
        <v>18</v>
      </c>
      <c r="G800">
        <v>0</v>
      </c>
      <c r="H800" t="s">
        <v>19447</v>
      </c>
      <c r="I800" t="s">
        <v>19447</v>
      </c>
      <c r="J800">
        <v>0</v>
      </c>
      <c r="L800" t="s">
        <v>2709</v>
      </c>
      <c r="M800">
        <v>10081010</v>
      </c>
      <c r="O800" t="s">
        <v>19900</v>
      </c>
      <c r="P800" t="s">
        <v>19899</v>
      </c>
      <c r="Q800" t="s">
        <v>19900</v>
      </c>
      <c r="R800" t="s">
        <v>19447</v>
      </c>
      <c r="S800" t="s">
        <v>19447</v>
      </c>
      <c r="T800" t="s">
        <v>19900</v>
      </c>
    </row>
    <row r="801" spans="2:20" x14ac:dyDescent="0.25">
      <c r="B801" t="s">
        <v>2709</v>
      </c>
      <c r="C801">
        <v>10081090</v>
      </c>
      <c r="E801">
        <v>0</v>
      </c>
      <c r="F801">
        <v>18</v>
      </c>
      <c r="G801">
        <v>0</v>
      </c>
      <c r="H801" t="s">
        <v>19447</v>
      </c>
      <c r="I801" t="s">
        <v>19447</v>
      </c>
      <c r="J801">
        <v>8</v>
      </c>
      <c r="L801" t="s">
        <v>2709</v>
      </c>
      <c r="M801">
        <v>10081090</v>
      </c>
      <c r="O801" t="s">
        <v>19900</v>
      </c>
      <c r="P801" t="s">
        <v>19899</v>
      </c>
      <c r="Q801" t="s">
        <v>19900</v>
      </c>
      <c r="R801" t="s">
        <v>19447</v>
      </c>
      <c r="S801" t="s">
        <v>19447</v>
      </c>
      <c r="T801" t="s">
        <v>19918</v>
      </c>
    </row>
    <row r="802" spans="2:20" x14ac:dyDescent="0.25">
      <c r="B802" t="s">
        <v>2709</v>
      </c>
      <c r="C802">
        <v>10082110</v>
      </c>
      <c r="E802">
        <v>0</v>
      </c>
      <c r="F802">
        <v>18</v>
      </c>
      <c r="G802">
        <v>0</v>
      </c>
      <c r="H802" t="s">
        <v>19447</v>
      </c>
      <c r="I802" t="s">
        <v>19447</v>
      </c>
      <c r="J802">
        <v>0</v>
      </c>
      <c r="L802" t="s">
        <v>2709</v>
      </c>
      <c r="M802">
        <v>10082110</v>
      </c>
      <c r="O802" t="s">
        <v>19900</v>
      </c>
      <c r="P802" t="s">
        <v>19899</v>
      </c>
      <c r="Q802" t="s">
        <v>19900</v>
      </c>
      <c r="R802" t="s">
        <v>19447</v>
      </c>
      <c r="S802" t="s">
        <v>19447</v>
      </c>
      <c r="T802" t="s">
        <v>19900</v>
      </c>
    </row>
    <row r="803" spans="2:20" x14ac:dyDescent="0.25">
      <c r="B803" t="s">
        <v>2709</v>
      </c>
      <c r="C803">
        <v>10082190</v>
      </c>
      <c r="E803">
        <v>0</v>
      </c>
      <c r="F803">
        <v>18</v>
      </c>
      <c r="G803">
        <v>0</v>
      </c>
      <c r="H803" t="s">
        <v>19447</v>
      </c>
      <c r="I803" t="s">
        <v>19447</v>
      </c>
      <c r="J803">
        <v>0</v>
      </c>
      <c r="L803" t="s">
        <v>2709</v>
      </c>
      <c r="M803">
        <v>10082190</v>
      </c>
      <c r="O803" t="s">
        <v>19900</v>
      </c>
      <c r="P803" t="s">
        <v>19899</v>
      </c>
      <c r="Q803" t="s">
        <v>19900</v>
      </c>
      <c r="R803" t="s">
        <v>19447</v>
      </c>
      <c r="S803" t="s">
        <v>19447</v>
      </c>
      <c r="T803" t="s">
        <v>19900</v>
      </c>
    </row>
    <row r="804" spans="2:20" x14ac:dyDescent="0.25">
      <c r="B804" t="s">
        <v>2709</v>
      </c>
      <c r="C804">
        <v>10082910</v>
      </c>
      <c r="E804">
        <v>0</v>
      </c>
      <c r="F804">
        <v>18</v>
      </c>
      <c r="G804">
        <v>0</v>
      </c>
      <c r="H804" t="s">
        <v>19447</v>
      </c>
      <c r="I804" t="s">
        <v>19447</v>
      </c>
      <c r="J804">
        <v>8</v>
      </c>
      <c r="L804" t="s">
        <v>2709</v>
      </c>
      <c r="M804">
        <v>10082910</v>
      </c>
      <c r="O804" t="s">
        <v>19900</v>
      </c>
      <c r="P804" t="s">
        <v>19899</v>
      </c>
      <c r="Q804" t="s">
        <v>19900</v>
      </c>
      <c r="R804" t="s">
        <v>19447</v>
      </c>
      <c r="S804" t="s">
        <v>19447</v>
      </c>
      <c r="T804" t="s">
        <v>19918</v>
      </c>
    </row>
    <row r="805" spans="2:20" x14ac:dyDescent="0.25">
      <c r="B805" t="s">
        <v>2709</v>
      </c>
      <c r="C805">
        <v>10082990</v>
      </c>
      <c r="E805">
        <v>0</v>
      </c>
      <c r="F805">
        <v>18</v>
      </c>
      <c r="G805">
        <v>0</v>
      </c>
      <c r="H805" t="s">
        <v>19447</v>
      </c>
      <c r="I805" t="s">
        <v>19447</v>
      </c>
      <c r="J805">
        <v>8</v>
      </c>
      <c r="L805" t="s">
        <v>2709</v>
      </c>
      <c r="M805">
        <v>10082990</v>
      </c>
      <c r="O805" t="s">
        <v>19900</v>
      </c>
      <c r="P805" t="s">
        <v>19899</v>
      </c>
      <c r="Q805" t="s">
        <v>19900</v>
      </c>
      <c r="R805" t="s">
        <v>19447</v>
      </c>
      <c r="S805" t="s">
        <v>19447</v>
      </c>
      <c r="T805" t="s">
        <v>19918</v>
      </c>
    </row>
    <row r="806" spans="2:20" x14ac:dyDescent="0.25">
      <c r="B806" t="s">
        <v>2709</v>
      </c>
      <c r="C806">
        <v>10083010</v>
      </c>
      <c r="E806">
        <v>0</v>
      </c>
      <c r="F806">
        <v>18</v>
      </c>
      <c r="G806">
        <v>0</v>
      </c>
      <c r="H806" t="s">
        <v>19447</v>
      </c>
      <c r="I806" t="s">
        <v>19447</v>
      </c>
      <c r="J806">
        <v>0</v>
      </c>
      <c r="L806" t="s">
        <v>2709</v>
      </c>
      <c r="M806">
        <v>10083010</v>
      </c>
      <c r="O806" t="s">
        <v>19900</v>
      </c>
      <c r="P806" t="s">
        <v>19899</v>
      </c>
      <c r="Q806" t="s">
        <v>19900</v>
      </c>
      <c r="R806" t="s">
        <v>19447</v>
      </c>
      <c r="S806" t="s">
        <v>19447</v>
      </c>
      <c r="T806" t="s">
        <v>19900</v>
      </c>
    </row>
    <row r="807" spans="2:20" x14ac:dyDescent="0.25">
      <c r="B807" t="s">
        <v>2709</v>
      </c>
      <c r="C807">
        <v>10083090</v>
      </c>
      <c r="E807">
        <v>0</v>
      </c>
      <c r="F807">
        <v>18</v>
      </c>
      <c r="G807">
        <v>0</v>
      </c>
      <c r="H807" t="s">
        <v>19447</v>
      </c>
      <c r="I807" t="s">
        <v>19447</v>
      </c>
      <c r="J807">
        <v>8</v>
      </c>
      <c r="L807" t="s">
        <v>2709</v>
      </c>
      <c r="M807">
        <v>10083090</v>
      </c>
      <c r="O807" t="s">
        <v>19900</v>
      </c>
      <c r="P807" t="s">
        <v>19899</v>
      </c>
      <c r="Q807" t="s">
        <v>19900</v>
      </c>
      <c r="R807" t="s">
        <v>19447</v>
      </c>
      <c r="S807" t="s">
        <v>19447</v>
      </c>
      <c r="T807" t="s">
        <v>19918</v>
      </c>
    </row>
    <row r="808" spans="2:20" x14ac:dyDescent="0.25">
      <c r="B808" t="s">
        <v>2709</v>
      </c>
      <c r="C808">
        <v>10084010</v>
      </c>
      <c r="E808">
        <v>0</v>
      </c>
      <c r="F808">
        <v>18</v>
      </c>
      <c r="G808">
        <v>0</v>
      </c>
      <c r="H808" t="s">
        <v>19447</v>
      </c>
      <c r="I808" t="s">
        <v>19447</v>
      </c>
      <c r="J808">
        <v>0</v>
      </c>
      <c r="L808" t="s">
        <v>2709</v>
      </c>
      <c r="M808">
        <v>10084010</v>
      </c>
      <c r="O808" t="s">
        <v>19900</v>
      </c>
      <c r="P808" t="s">
        <v>19899</v>
      </c>
      <c r="Q808" t="s">
        <v>19900</v>
      </c>
      <c r="R808" t="s">
        <v>19447</v>
      </c>
      <c r="S808" t="s">
        <v>19447</v>
      </c>
      <c r="T808" t="s">
        <v>19900</v>
      </c>
    </row>
    <row r="809" spans="2:20" x14ac:dyDescent="0.25">
      <c r="B809" t="s">
        <v>2709</v>
      </c>
      <c r="C809">
        <v>10084090</v>
      </c>
      <c r="E809">
        <v>0</v>
      </c>
      <c r="F809">
        <v>18</v>
      </c>
      <c r="G809">
        <v>0</v>
      </c>
      <c r="H809" t="s">
        <v>19447</v>
      </c>
      <c r="I809" t="s">
        <v>19447</v>
      </c>
      <c r="J809">
        <v>8</v>
      </c>
      <c r="L809" t="s">
        <v>2709</v>
      </c>
      <c r="M809">
        <v>10084090</v>
      </c>
      <c r="O809" t="s">
        <v>19900</v>
      </c>
      <c r="P809" t="s">
        <v>19899</v>
      </c>
      <c r="Q809" t="s">
        <v>19900</v>
      </c>
      <c r="R809" t="s">
        <v>19447</v>
      </c>
      <c r="S809" t="s">
        <v>19447</v>
      </c>
      <c r="T809" t="s">
        <v>19918</v>
      </c>
    </row>
    <row r="810" spans="2:20" x14ac:dyDescent="0.25">
      <c r="B810" t="s">
        <v>2709</v>
      </c>
      <c r="C810">
        <v>10085010</v>
      </c>
      <c r="E810">
        <v>0</v>
      </c>
      <c r="F810">
        <v>18</v>
      </c>
      <c r="G810">
        <v>0</v>
      </c>
      <c r="H810" t="s">
        <v>19447</v>
      </c>
      <c r="I810" t="s">
        <v>19447</v>
      </c>
      <c r="J810">
        <v>0</v>
      </c>
      <c r="L810" t="s">
        <v>2709</v>
      </c>
      <c r="M810">
        <v>10085010</v>
      </c>
      <c r="O810" t="s">
        <v>19900</v>
      </c>
      <c r="P810" t="s">
        <v>19899</v>
      </c>
      <c r="Q810" t="s">
        <v>19900</v>
      </c>
      <c r="R810" t="s">
        <v>19447</v>
      </c>
      <c r="S810" t="s">
        <v>19447</v>
      </c>
      <c r="T810" t="s">
        <v>19900</v>
      </c>
    </row>
    <row r="811" spans="2:20" x14ac:dyDescent="0.25">
      <c r="B811" t="s">
        <v>2709</v>
      </c>
      <c r="C811">
        <v>10085090</v>
      </c>
      <c r="E811">
        <v>0</v>
      </c>
      <c r="F811">
        <v>18</v>
      </c>
      <c r="G811">
        <v>0</v>
      </c>
      <c r="H811" t="s">
        <v>19447</v>
      </c>
      <c r="I811" t="s">
        <v>19447</v>
      </c>
      <c r="J811">
        <v>8</v>
      </c>
      <c r="L811" t="s">
        <v>2709</v>
      </c>
      <c r="M811">
        <v>10085090</v>
      </c>
      <c r="O811" t="s">
        <v>19900</v>
      </c>
      <c r="P811" t="s">
        <v>19899</v>
      </c>
      <c r="Q811" t="s">
        <v>19900</v>
      </c>
      <c r="R811" t="s">
        <v>19447</v>
      </c>
      <c r="S811" t="s">
        <v>19447</v>
      </c>
      <c r="T811" t="s">
        <v>19918</v>
      </c>
    </row>
    <row r="812" spans="2:20" x14ac:dyDescent="0.25">
      <c r="B812" t="s">
        <v>2709</v>
      </c>
      <c r="C812">
        <v>10086010</v>
      </c>
      <c r="E812">
        <v>0</v>
      </c>
      <c r="F812">
        <v>18</v>
      </c>
      <c r="G812">
        <v>0</v>
      </c>
      <c r="H812" t="s">
        <v>19447</v>
      </c>
      <c r="I812" t="s">
        <v>19447</v>
      </c>
      <c r="J812">
        <v>0</v>
      </c>
      <c r="L812" t="s">
        <v>2709</v>
      </c>
      <c r="M812">
        <v>10086010</v>
      </c>
      <c r="O812" t="s">
        <v>19900</v>
      </c>
      <c r="P812" t="s">
        <v>19899</v>
      </c>
      <c r="Q812" t="s">
        <v>19900</v>
      </c>
      <c r="R812" t="s">
        <v>19447</v>
      </c>
      <c r="S812" t="s">
        <v>19447</v>
      </c>
      <c r="T812" t="s">
        <v>19900</v>
      </c>
    </row>
    <row r="813" spans="2:20" x14ac:dyDescent="0.25">
      <c r="B813" t="s">
        <v>2709</v>
      </c>
      <c r="C813">
        <v>10086090</v>
      </c>
      <c r="E813">
        <v>0</v>
      </c>
      <c r="F813">
        <v>18</v>
      </c>
      <c r="G813">
        <v>0</v>
      </c>
      <c r="H813" t="s">
        <v>19447</v>
      </c>
      <c r="I813" t="s">
        <v>19447</v>
      </c>
      <c r="J813">
        <v>8</v>
      </c>
      <c r="L813" t="s">
        <v>2709</v>
      </c>
      <c r="M813">
        <v>10086090</v>
      </c>
      <c r="O813" t="s">
        <v>19900</v>
      </c>
      <c r="P813" t="s">
        <v>19899</v>
      </c>
      <c r="Q813" t="s">
        <v>19900</v>
      </c>
      <c r="R813" t="s">
        <v>19447</v>
      </c>
      <c r="S813" t="s">
        <v>19447</v>
      </c>
      <c r="T813" t="s">
        <v>19918</v>
      </c>
    </row>
    <row r="814" spans="2:20" x14ac:dyDescent="0.25">
      <c r="B814" t="s">
        <v>2709</v>
      </c>
      <c r="C814">
        <v>10089010</v>
      </c>
      <c r="E814">
        <v>0</v>
      </c>
      <c r="F814">
        <v>18</v>
      </c>
      <c r="G814">
        <v>0</v>
      </c>
      <c r="H814" t="s">
        <v>19447</v>
      </c>
      <c r="I814" t="s">
        <v>19447</v>
      </c>
      <c r="J814">
        <v>0</v>
      </c>
      <c r="L814" t="s">
        <v>2709</v>
      </c>
      <c r="M814">
        <v>10089010</v>
      </c>
      <c r="O814" t="s">
        <v>19900</v>
      </c>
      <c r="P814" t="s">
        <v>19899</v>
      </c>
      <c r="Q814" t="s">
        <v>19900</v>
      </c>
      <c r="R814" t="s">
        <v>19447</v>
      </c>
      <c r="S814" t="s">
        <v>19447</v>
      </c>
      <c r="T814" t="s">
        <v>19900</v>
      </c>
    </row>
    <row r="815" spans="2:20" x14ac:dyDescent="0.25">
      <c r="B815" t="s">
        <v>2709</v>
      </c>
      <c r="C815">
        <v>10089090</v>
      </c>
      <c r="E815">
        <v>0</v>
      </c>
      <c r="F815">
        <v>18</v>
      </c>
      <c r="G815">
        <v>0</v>
      </c>
      <c r="H815" t="s">
        <v>19447</v>
      </c>
      <c r="I815" t="s">
        <v>19447</v>
      </c>
      <c r="J815">
        <v>8</v>
      </c>
      <c r="L815" t="s">
        <v>2709</v>
      </c>
      <c r="M815">
        <v>10089090</v>
      </c>
      <c r="O815" t="s">
        <v>19900</v>
      </c>
      <c r="P815" t="s">
        <v>19899</v>
      </c>
      <c r="Q815" t="s">
        <v>19900</v>
      </c>
      <c r="R815" t="s">
        <v>19447</v>
      </c>
      <c r="S815" t="s">
        <v>19447</v>
      </c>
      <c r="T815" t="s">
        <v>19918</v>
      </c>
    </row>
    <row r="816" spans="2:20" x14ac:dyDescent="0.25">
      <c r="B816" t="s">
        <v>2709</v>
      </c>
      <c r="C816">
        <v>11010010</v>
      </c>
      <c r="E816">
        <v>0</v>
      </c>
      <c r="F816">
        <v>7</v>
      </c>
      <c r="G816">
        <v>0</v>
      </c>
      <c r="H816" t="s">
        <v>19447</v>
      </c>
      <c r="I816" t="s">
        <v>19447</v>
      </c>
      <c r="J816">
        <v>12</v>
      </c>
      <c r="L816" t="s">
        <v>2709</v>
      </c>
      <c r="M816">
        <v>11010010</v>
      </c>
      <c r="O816" t="s">
        <v>19900</v>
      </c>
      <c r="P816" t="s">
        <v>19908</v>
      </c>
      <c r="Q816" t="s">
        <v>19900</v>
      </c>
      <c r="R816" t="s">
        <v>19447</v>
      </c>
      <c r="S816" t="s">
        <v>19447</v>
      </c>
      <c r="T816" t="s">
        <v>19903</v>
      </c>
    </row>
    <row r="817" spans="2:20" x14ac:dyDescent="0.25">
      <c r="B817" t="s">
        <v>2709</v>
      </c>
      <c r="C817">
        <v>11010020</v>
      </c>
      <c r="E817">
        <v>0</v>
      </c>
      <c r="F817">
        <v>7</v>
      </c>
      <c r="G817">
        <v>0</v>
      </c>
      <c r="H817">
        <v>7.6</v>
      </c>
      <c r="I817">
        <v>1.65</v>
      </c>
      <c r="J817">
        <v>12</v>
      </c>
      <c r="L817" t="s">
        <v>2709</v>
      </c>
      <c r="M817">
        <v>11010020</v>
      </c>
      <c r="O817" t="s">
        <v>19900</v>
      </c>
      <c r="P817" t="s">
        <v>19908</v>
      </c>
      <c r="Q817" t="s">
        <v>19900</v>
      </c>
      <c r="R817" t="s">
        <v>19905</v>
      </c>
      <c r="S817" t="s">
        <v>19906</v>
      </c>
      <c r="T817" t="s">
        <v>19903</v>
      </c>
    </row>
    <row r="818" spans="2:20" x14ac:dyDescent="0.25">
      <c r="B818" t="s">
        <v>2709</v>
      </c>
      <c r="C818">
        <v>11022000</v>
      </c>
      <c r="E818">
        <v>0</v>
      </c>
      <c r="F818">
        <v>7</v>
      </c>
      <c r="G818">
        <v>0</v>
      </c>
      <c r="H818" t="s">
        <v>19447</v>
      </c>
      <c r="I818" t="s">
        <v>19447</v>
      </c>
      <c r="J818">
        <v>10</v>
      </c>
      <c r="L818" t="s">
        <v>2709</v>
      </c>
      <c r="M818">
        <v>11022000</v>
      </c>
      <c r="O818" t="s">
        <v>19900</v>
      </c>
      <c r="P818" t="s">
        <v>19908</v>
      </c>
      <c r="Q818" t="s">
        <v>19900</v>
      </c>
      <c r="R818" t="s">
        <v>19447</v>
      </c>
      <c r="S818" t="s">
        <v>19447</v>
      </c>
      <c r="T818" t="s">
        <v>19904</v>
      </c>
    </row>
    <row r="819" spans="2:20" x14ac:dyDescent="0.25">
      <c r="B819" t="s">
        <v>2709</v>
      </c>
      <c r="C819">
        <v>11029000</v>
      </c>
      <c r="E819">
        <v>0</v>
      </c>
      <c r="F819">
        <v>18</v>
      </c>
      <c r="G819">
        <v>0</v>
      </c>
      <c r="H819">
        <v>7.6</v>
      </c>
      <c r="I819">
        <v>1.65</v>
      </c>
      <c r="J819">
        <v>10</v>
      </c>
      <c r="L819" t="s">
        <v>2709</v>
      </c>
      <c r="M819">
        <v>11029000</v>
      </c>
      <c r="O819" t="s">
        <v>19900</v>
      </c>
      <c r="P819" t="s">
        <v>19899</v>
      </c>
      <c r="Q819" t="s">
        <v>19900</v>
      </c>
      <c r="R819" t="s">
        <v>19905</v>
      </c>
      <c r="S819" t="s">
        <v>19906</v>
      </c>
      <c r="T819" t="s">
        <v>19904</v>
      </c>
    </row>
    <row r="820" spans="2:20" x14ac:dyDescent="0.25">
      <c r="B820" t="s">
        <v>2709</v>
      </c>
      <c r="C820">
        <v>11031100</v>
      </c>
      <c r="E820">
        <v>0</v>
      </c>
      <c r="F820">
        <v>18</v>
      </c>
      <c r="G820">
        <v>0</v>
      </c>
      <c r="H820">
        <v>7.6</v>
      </c>
      <c r="I820">
        <v>1.65</v>
      </c>
      <c r="J820">
        <v>10</v>
      </c>
      <c r="L820" t="s">
        <v>2709</v>
      </c>
      <c r="M820">
        <v>11031100</v>
      </c>
      <c r="O820" t="s">
        <v>19900</v>
      </c>
      <c r="P820" t="s">
        <v>19899</v>
      </c>
      <c r="Q820" t="s">
        <v>19900</v>
      </c>
      <c r="R820" t="s">
        <v>19905</v>
      </c>
      <c r="S820" t="s">
        <v>19906</v>
      </c>
      <c r="T820" t="s">
        <v>19904</v>
      </c>
    </row>
    <row r="821" spans="2:20" x14ac:dyDescent="0.25">
      <c r="B821" t="s">
        <v>2709</v>
      </c>
      <c r="C821">
        <v>11031300</v>
      </c>
      <c r="E821">
        <v>0</v>
      </c>
      <c r="F821">
        <v>18</v>
      </c>
      <c r="G821">
        <v>0</v>
      </c>
      <c r="H821" t="s">
        <v>19447</v>
      </c>
      <c r="I821" t="s">
        <v>19447</v>
      </c>
      <c r="J821">
        <v>10</v>
      </c>
      <c r="L821" t="s">
        <v>2709</v>
      </c>
      <c r="M821">
        <v>11031300</v>
      </c>
      <c r="O821" t="s">
        <v>19900</v>
      </c>
      <c r="P821" t="s">
        <v>19899</v>
      </c>
      <c r="Q821" t="s">
        <v>19900</v>
      </c>
      <c r="R821" t="s">
        <v>19447</v>
      </c>
      <c r="S821" t="s">
        <v>19447</v>
      </c>
      <c r="T821" t="s">
        <v>19904</v>
      </c>
    </row>
    <row r="822" spans="2:20" x14ac:dyDescent="0.25">
      <c r="B822" t="s">
        <v>2709</v>
      </c>
      <c r="C822">
        <v>11031900</v>
      </c>
      <c r="E822">
        <v>0</v>
      </c>
      <c r="F822">
        <v>18</v>
      </c>
      <c r="G822">
        <v>0</v>
      </c>
      <c r="H822">
        <v>7.6</v>
      </c>
      <c r="I822">
        <v>1.65</v>
      </c>
      <c r="J822">
        <v>10</v>
      </c>
      <c r="L822" t="s">
        <v>2709</v>
      </c>
      <c r="M822">
        <v>11031900</v>
      </c>
      <c r="O822" t="s">
        <v>19900</v>
      </c>
      <c r="P822" t="s">
        <v>19899</v>
      </c>
      <c r="Q822" t="s">
        <v>19900</v>
      </c>
      <c r="R822" t="s">
        <v>19905</v>
      </c>
      <c r="S822" t="s">
        <v>19906</v>
      </c>
      <c r="T822" t="s">
        <v>19904</v>
      </c>
    </row>
    <row r="823" spans="2:20" x14ac:dyDescent="0.25">
      <c r="B823" t="s">
        <v>2709</v>
      </c>
      <c r="C823">
        <v>11032000</v>
      </c>
      <c r="E823">
        <v>0</v>
      </c>
      <c r="F823">
        <v>18</v>
      </c>
      <c r="G823">
        <v>0</v>
      </c>
      <c r="H823">
        <v>7.6</v>
      </c>
      <c r="I823">
        <v>1.65</v>
      </c>
      <c r="J823">
        <v>10</v>
      </c>
      <c r="L823" t="s">
        <v>2709</v>
      </c>
      <c r="M823">
        <v>11032000</v>
      </c>
      <c r="O823" t="s">
        <v>19900</v>
      </c>
      <c r="P823" t="s">
        <v>19899</v>
      </c>
      <c r="Q823" t="s">
        <v>19900</v>
      </c>
      <c r="R823" t="s">
        <v>19905</v>
      </c>
      <c r="S823" t="s">
        <v>19906</v>
      </c>
      <c r="T823" t="s">
        <v>19904</v>
      </c>
    </row>
    <row r="824" spans="2:20" x14ac:dyDescent="0.25">
      <c r="B824" t="s">
        <v>2709</v>
      </c>
      <c r="C824">
        <v>11041200</v>
      </c>
      <c r="E824">
        <v>0</v>
      </c>
      <c r="F824">
        <v>18</v>
      </c>
      <c r="G824">
        <v>0</v>
      </c>
      <c r="H824">
        <v>7.6</v>
      </c>
      <c r="I824">
        <v>1.65</v>
      </c>
      <c r="J824">
        <v>10</v>
      </c>
      <c r="L824" t="s">
        <v>2709</v>
      </c>
      <c r="M824">
        <v>11041200</v>
      </c>
      <c r="O824" t="s">
        <v>19900</v>
      </c>
      <c r="P824" t="s">
        <v>19899</v>
      </c>
      <c r="Q824" t="s">
        <v>19900</v>
      </c>
      <c r="R824" t="s">
        <v>19905</v>
      </c>
      <c r="S824" t="s">
        <v>19906</v>
      </c>
      <c r="T824" t="s">
        <v>19904</v>
      </c>
    </row>
    <row r="825" spans="2:20" x14ac:dyDescent="0.25">
      <c r="B825" t="s">
        <v>2709</v>
      </c>
      <c r="C825">
        <v>11041900</v>
      </c>
      <c r="E825">
        <v>0</v>
      </c>
      <c r="F825">
        <v>18</v>
      </c>
      <c r="G825">
        <v>0</v>
      </c>
      <c r="H825" t="s">
        <v>19447</v>
      </c>
      <c r="I825" t="s">
        <v>19447</v>
      </c>
      <c r="J825">
        <v>10</v>
      </c>
      <c r="L825" t="s">
        <v>2709</v>
      </c>
      <c r="M825">
        <v>11041900</v>
      </c>
      <c r="O825" t="s">
        <v>19900</v>
      </c>
      <c r="P825" t="s">
        <v>19899</v>
      </c>
      <c r="Q825" t="s">
        <v>19900</v>
      </c>
      <c r="R825" t="s">
        <v>19447</v>
      </c>
      <c r="S825" t="s">
        <v>19447</v>
      </c>
      <c r="T825" t="s">
        <v>19904</v>
      </c>
    </row>
    <row r="826" spans="2:20" x14ac:dyDescent="0.25">
      <c r="B826" t="s">
        <v>2709</v>
      </c>
      <c r="C826">
        <v>11042200</v>
      </c>
      <c r="E826">
        <v>0</v>
      </c>
      <c r="F826">
        <v>18</v>
      </c>
      <c r="G826">
        <v>0</v>
      </c>
      <c r="H826">
        <v>7.6</v>
      </c>
      <c r="I826">
        <v>1.65</v>
      </c>
      <c r="J826">
        <v>10</v>
      </c>
      <c r="L826" t="s">
        <v>2709</v>
      </c>
      <c r="M826">
        <v>11042200</v>
      </c>
      <c r="O826" t="s">
        <v>19900</v>
      </c>
      <c r="P826" t="s">
        <v>19899</v>
      </c>
      <c r="Q826" t="s">
        <v>19900</v>
      </c>
      <c r="R826" t="s">
        <v>19905</v>
      </c>
      <c r="S826" t="s">
        <v>19906</v>
      </c>
      <c r="T826" t="s">
        <v>19904</v>
      </c>
    </row>
    <row r="827" spans="2:20" x14ac:dyDescent="0.25">
      <c r="B827" t="s">
        <v>2709</v>
      </c>
      <c r="C827">
        <v>11042300</v>
      </c>
      <c r="E827">
        <v>0</v>
      </c>
      <c r="F827">
        <v>18</v>
      </c>
      <c r="G827">
        <v>0</v>
      </c>
      <c r="H827">
        <v>7.6</v>
      </c>
      <c r="I827">
        <v>1.65</v>
      </c>
      <c r="J827">
        <v>10</v>
      </c>
      <c r="L827" t="s">
        <v>2709</v>
      </c>
      <c r="M827">
        <v>11042300</v>
      </c>
      <c r="O827" t="s">
        <v>19900</v>
      </c>
      <c r="P827" t="s">
        <v>19899</v>
      </c>
      <c r="Q827" t="s">
        <v>19900</v>
      </c>
      <c r="R827" t="s">
        <v>19905</v>
      </c>
      <c r="S827" t="s">
        <v>19906</v>
      </c>
      <c r="T827" t="s">
        <v>19904</v>
      </c>
    </row>
    <row r="828" spans="2:20" x14ac:dyDescent="0.25">
      <c r="B828" t="s">
        <v>2709</v>
      </c>
      <c r="C828">
        <v>11042900</v>
      </c>
      <c r="E828">
        <v>0</v>
      </c>
      <c r="F828">
        <v>18</v>
      </c>
      <c r="G828">
        <v>0</v>
      </c>
      <c r="H828">
        <v>7.6</v>
      </c>
      <c r="I828">
        <v>1.65</v>
      </c>
      <c r="J828">
        <v>10</v>
      </c>
      <c r="L828" t="s">
        <v>2709</v>
      </c>
      <c r="M828">
        <v>11042900</v>
      </c>
      <c r="O828" t="s">
        <v>19900</v>
      </c>
      <c r="P828" t="s">
        <v>19899</v>
      </c>
      <c r="Q828" t="s">
        <v>19900</v>
      </c>
      <c r="R828" t="s">
        <v>19905</v>
      </c>
      <c r="S828" t="s">
        <v>19906</v>
      </c>
      <c r="T828" t="s">
        <v>19904</v>
      </c>
    </row>
    <row r="829" spans="2:20" x14ac:dyDescent="0.25">
      <c r="B829" t="s">
        <v>2709</v>
      </c>
      <c r="C829">
        <v>11043000</v>
      </c>
      <c r="E829">
        <v>0</v>
      </c>
      <c r="F829">
        <v>18</v>
      </c>
      <c r="G829">
        <v>0</v>
      </c>
      <c r="H829">
        <v>7.6</v>
      </c>
      <c r="I829">
        <v>1.65</v>
      </c>
      <c r="J829">
        <v>10</v>
      </c>
      <c r="L829" t="s">
        <v>2709</v>
      </c>
      <c r="M829">
        <v>11043000</v>
      </c>
      <c r="O829" t="s">
        <v>19900</v>
      </c>
      <c r="P829" t="s">
        <v>19899</v>
      </c>
      <c r="Q829" t="s">
        <v>19900</v>
      </c>
      <c r="R829" t="s">
        <v>19905</v>
      </c>
      <c r="S829" t="s">
        <v>19906</v>
      </c>
      <c r="T829" t="s">
        <v>19904</v>
      </c>
    </row>
    <row r="830" spans="2:20" x14ac:dyDescent="0.25">
      <c r="B830" t="s">
        <v>2709</v>
      </c>
      <c r="C830">
        <v>11051000</v>
      </c>
      <c r="E830">
        <v>0</v>
      </c>
      <c r="F830">
        <v>18</v>
      </c>
      <c r="G830">
        <v>0</v>
      </c>
      <c r="H830">
        <v>7.6</v>
      </c>
      <c r="I830">
        <v>1.65</v>
      </c>
      <c r="J830">
        <v>12</v>
      </c>
      <c r="L830" t="s">
        <v>2709</v>
      </c>
      <c r="M830">
        <v>11051000</v>
      </c>
      <c r="O830" t="s">
        <v>19900</v>
      </c>
      <c r="P830" t="s">
        <v>19899</v>
      </c>
      <c r="Q830" t="s">
        <v>19900</v>
      </c>
      <c r="R830" t="s">
        <v>19905</v>
      </c>
      <c r="S830" t="s">
        <v>19906</v>
      </c>
      <c r="T830" t="s">
        <v>19903</v>
      </c>
    </row>
    <row r="831" spans="2:20" x14ac:dyDescent="0.25">
      <c r="B831" t="s">
        <v>2709</v>
      </c>
      <c r="C831">
        <v>11052000</v>
      </c>
      <c r="E831">
        <v>0</v>
      </c>
      <c r="F831">
        <v>18</v>
      </c>
      <c r="G831">
        <v>0</v>
      </c>
      <c r="H831">
        <v>7.6</v>
      </c>
      <c r="I831">
        <v>1.65</v>
      </c>
      <c r="J831">
        <v>12</v>
      </c>
      <c r="L831" t="s">
        <v>2709</v>
      </c>
      <c r="M831">
        <v>11052000</v>
      </c>
      <c r="O831" t="s">
        <v>19900</v>
      </c>
      <c r="P831" t="s">
        <v>19899</v>
      </c>
      <c r="Q831" t="s">
        <v>19900</v>
      </c>
      <c r="R831" t="s">
        <v>19905</v>
      </c>
      <c r="S831" t="s">
        <v>19906</v>
      </c>
      <c r="T831" t="s">
        <v>19903</v>
      </c>
    </row>
    <row r="832" spans="2:20" x14ac:dyDescent="0.25">
      <c r="B832" t="s">
        <v>2709</v>
      </c>
      <c r="C832">
        <v>11061000</v>
      </c>
      <c r="E832">
        <v>0</v>
      </c>
      <c r="F832">
        <v>18</v>
      </c>
      <c r="G832">
        <v>0</v>
      </c>
      <c r="H832">
        <v>7.6</v>
      </c>
      <c r="I832">
        <v>1.65</v>
      </c>
      <c r="J832">
        <v>10</v>
      </c>
      <c r="L832" t="s">
        <v>2709</v>
      </c>
      <c r="M832">
        <v>11061000</v>
      </c>
      <c r="O832" t="s">
        <v>19900</v>
      </c>
      <c r="P832" t="s">
        <v>19899</v>
      </c>
      <c r="Q832" t="s">
        <v>19900</v>
      </c>
      <c r="R832" t="s">
        <v>19905</v>
      </c>
      <c r="S832" t="s">
        <v>19906</v>
      </c>
      <c r="T832" t="s">
        <v>19904</v>
      </c>
    </row>
    <row r="833" spans="2:20" x14ac:dyDescent="0.25">
      <c r="B833" t="s">
        <v>2709</v>
      </c>
      <c r="C833">
        <v>11062000</v>
      </c>
      <c r="E833">
        <v>0</v>
      </c>
      <c r="F833">
        <v>7</v>
      </c>
      <c r="G833">
        <v>0</v>
      </c>
      <c r="H833" t="s">
        <v>19447</v>
      </c>
      <c r="I833" t="s">
        <v>19447</v>
      </c>
      <c r="J833">
        <v>10</v>
      </c>
      <c r="L833" t="s">
        <v>2709</v>
      </c>
      <c r="M833">
        <v>11062000</v>
      </c>
      <c r="O833" t="s">
        <v>19900</v>
      </c>
      <c r="P833" t="s">
        <v>19908</v>
      </c>
      <c r="Q833" t="s">
        <v>19900</v>
      </c>
      <c r="R833" t="s">
        <v>19447</v>
      </c>
      <c r="S833" t="s">
        <v>19447</v>
      </c>
      <c r="T833" t="s">
        <v>19904</v>
      </c>
    </row>
    <row r="834" spans="2:20" x14ac:dyDescent="0.25">
      <c r="B834" t="s">
        <v>2709</v>
      </c>
      <c r="C834">
        <v>11063000</v>
      </c>
      <c r="E834">
        <v>0</v>
      </c>
      <c r="F834">
        <v>18</v>
      </c>
      <c r="G834">
        <v>0</v>
      </c>
      <c r="H834">
        <v>7.6</v>
      </c>
      <c r="I834">
        <v>1.65</v>
      </c>
      <c r="J834">
        <v>10</v>
      </c>
      <c r="L834" t="s">
        <v>2709</v>
      </c>
      <c r="M834">
        <v>11063000</v>
      </c>
      <c r="O834" t="s">
        <v>19900</v>
      </c>
      <c r="P834" t="s">
        <v>19899</v>
      </c>
      <c r="Q834" t="s">
        <v>19900</v>
      </c>
      <c r="R834" t="s">
        <v>19905</v>
      </c>
      <c r="S834" t="s">
        <v>19906</v>
      </c>
      <c r="T834" t="s">
        <v>19904</v>
      </c>
    </row>
    <row r="835" spans="2:20" x14ac:dyDescent="0.25">
      <c r="B835" t="s">
        <v>2709</v>
      </c>
      <c r="C835">
        <v>11071010</v>
      </c>
      <c r="E835">
        <v>0</v>
      </c>
      <c r="F835">
        <v>18</v>
      </c>
      <c r="G835">
        <v>5</v>
      </c>
      <c r="H835">
        <v>7.6</v>
      </c>
      <c r="I835">
        <v>1.65</v>
      </c>
      <c r="J835">
        <v>14</v>
      </c>
      <c r="L835" t="s">
        <v>2709</v>
      </c>
      <c r="M835">
        <v>11071010</v>
      </c>
      <c r="O835" t="s">
        <v>19900</v>
      </c>
      <c r="P835" t="s">
        <v>19899</v>
      </c>
      <c r="Q835" t="s">
        <v>19909</v>
      </c>
      <c r="R835" t="s">
        <v>19905</v>
      </c>
      <c r="S835" t="s">
        <v>19906</v>
      </c>
      <c r="T835" t="s">
        <v>19911</v>
      </c>
    </row>
    <row r="836" spans="2:20" x14ac:dyDescent="0.25">
      <c r="B836" t="s">
        <v>2709</v>
      </c>
      <c r="C836">
        <v>11071020</v>
      </c>
      <c r="E836">
        <v>0</v>
      </c>
      <c r="F836">
        <v>18</v>
      </c>
      <c r="G836">
        <v>5</v>
      </c>
      <c r="H836">
        <v>7.6</v>
      </c>
      <c r="I836">
        <v>1.65</v>
      </c>
      <c r="J836">
        <v>14</v>
      </c>
      <c r="L836" t="s">
        <v>2709</v>
      </c>
      <c r="M836">
        <v>11071020</v>
      </c>
      <c r="O836" t="s">
        <v>19900</v>
      </c>
      <c r="P836" t="s">
        <v>19899</v>
      </c>
      <c r="Q836" t="s">
        <v>19909</v>
      </c>
      <c r="R836" t="s">
        <v>19905</v>
      </c>
      <c r="S836" t="s">
        <v>19906</v>
      </c>
      <c r="T836" t="s">
        <v>19911</v>
      </c>
    </row>
    <row r="837" spans="2:20" x14ac:dyDescent="0.25">
      <c r="B837" t="s">
        <v>2709</v>
      </c>
      <c r="C837">
        <v>11072010</v>
      </c>
      <c r="E837">
        <v>0</v>
      </c>
      <c r="F837">
        <v>18</v>
      </c>
      <c r="G837">
        <v>5</v>
      </c>
      <c r="H837">
        <v>7.6</v>
      </c>
      <c r="I837">
        <v>1.65</v>
      </c>
      <c r="J837">
        <v>14</v>
      </c>
      <c r="L837" t="s">
        <v>2709</v>
      </c>
      <c r="M837">
        <v>11072010</v>
      </c>
      <c r="O837" t="s">
        <v>19900</v>
      </c>
      <c r="P837" t="s">
        <v>19899</v>
      </c>
      <c r="Q837" t="s">
        <v>19909</v>
      </c>
      <c r="R837" t="s">
        <v>19905</v>
      </c>
      <c r="S837" t="s">
        <v>19906</v>
      </c>
      <c r="T837" t="s">
        <v>19911</v>
      </c>
    </row>
    <row r="838" spans="2:20" x14ac:dyDescent="0.25">
      <c r="B838" t="s">
        <v>2709</v>
      </c>
      <c r="C838">
        <v>11072020</v>
      </c>
      <c r="E838">
        <v>0</v>
      </c>
      <c r="F838">
        <v>18</v>
      </c>
      <c r="G838">
        <v>5</v>
      </c>
      <c r="H838">
        <v>7.6</v>
      </c>
      <c r="I838">
        <v>1.65</v>
      </c>
      <c r="J838">
        <v>14</v>
      </c>
      <c r="L838" t="s">
        <v>2709</v>
      </c>
      <c r="M838">
        <v>11072020</v>
      </c>
      <c r="O838" t="s">
        <v>19900</v>
      </c>
      <c r="P838" t="s">
        <v>19899</v>
      </c>
      <c r="Q838" t="s">
        <v>19909</v>
      </c>
      <c r="R838" t="s">
        <v>19905</v>
      </c>
      <c r="S838" t="s">
        <v>19906</v>
      </c>
      <c r="T838" t="s">
        <v>19911</v>
      </c>
    </row>
    <row r="839" spans="2:20" x14ac:dyDescent="0.25">
      <c r="B839" t="s">
        <v>2709</v>
      </c>
      <c r="C839">
        <v>11081100</v>
      </c>
      <c r="E839">
        <v>0</v>
      </c>
      <c r="F839">
        <v>18</v>
      </c>
      <c r="G839">
        <v>0</v>
      </c>
      <c r="H839">
        <v>7.6</v>
      </c>
      <c r="I839">
        <v>1.65</v>
      </c>
      <c r="J839">
        <v>10</v>
      </c>
      <c r="L839" t="s">
        <v>2709</v>
      </c>
      <c r="M839">
        <v>11081100</v>
      </c>
      <c r="O839" t="s">
        <v>19900</v>
      </c>
      <c r="P839" t="s">
        <v>19899</v>
      </c>
      <c r="Q839" t="s">
        <v>19900</v>
      </c>
      <c r="R839" t="s">
        <v>19905</v>
      </c>
      <c r="S839" t="s">
        <v>19906</v>
      </c>
      <c r="T839" t="s">
        <v>19904</v>
      </c>
    </row>
    <row r="840" spans="2:20" x14ac:dyDescent="0.25">
      <c r="B840" t="s">
        <v>2709</v>
      </c>
      <c r="C840">
        <v>11081200</v>
      </c>
      <c r="E840">
        <v>0</v>
      </c>
      <c r="F840">
        <v>18</v>
      </c>
      <c r="G840">
        <v>0</v>
      </c>
      <c r="H840">
        <v>7.6</v>
      </c>
      <c r="I840">
        <v>1.65</v>
      </c>
      <c r="J840">
        <v>10</v>
      </c>
      <c r="L840" t="s">
        <v>2709</v>
      </c>
      <c r="M840">
        <v>11081200</v>
      </c>
      <c r="O840" t="s">
        <v>19900</v>
      </c>
      <c r="P840" t="s">
        <v>19899</v>
      </c>
      <c r="Q840" t="s">
        <v>19900</v>
      </c>
      <c r="R840" t="s">
        <v>19905</v>
      </c>
      <c r="S840" t="s">
        <v>19906</v>
      </c>
      <c r="T840" t="s">
        <v>19904</v>
      </c>
    </row>
    <row r="841" spans="2:20" x14ac:dyDescent="0.25">
      <c r="B841" t="s">
        <v>2709</v>
      </c>
      <c r="C841">
        <v>11081300</v>
      </c>
      <c r="E841">
        <v>0</v>
      </c>
      <c r="F841">
        <v>18</v>
      </c>
      <c r="G841">
        <v>0</v>
      </c>
      <c r="H841">
        <v>7.6</v>
      </c>
      <c r="I841">
        <v>1.65</v>
      </c>
      <c r="J841">
        <v>10</v>
      </c>
      <c r="L841" t="s">
        <v>2709</v>
      </c>
      <c r="M841">
        <v>11081300</v>
      </c>
      <c r="O841" t="s">
        <v>19900</v>
      </c>
      <c r="P841" t="s">
        <v>19899</v>
      </c>
      <c r="Q841" t="s">
        <v>19900</v>
      </c>
      <c r="R841" t="s">
        <v>19905</v>
      </c>
      <c r="S841" t="s">
        <v>19906</v>
      </c>
      <c r="T841" t="s">
        <v>19904</v>
      </c>
    </row>
    <row r="842" spans="2:20" x14ac:dyDescent="0.25">
      <c r="B842" t="s">
        <v>2709</v>
      </c>
      <c r="C842">
        <v>11081400</v>
      </c>
      <c r="E842">
        <v>0</v>
      </c>
      <c r="F842">
        <v>18</v>
      </c>
      <c r="G842">
        <v>0</v>
      </c>
      <c r="H842">
        <v>7.6</v>
      </c>
      <c r="I842">
        <v>1.65</v>
      </c>
      <c r="J842">
        <v>10</v>
      </c>
      <c r="L842" t="s">
        <v>2709</v>
      </c>
      <c r="M842">
        <v>11081400</v>
      </c>
      <c r="O842" t="s">
        <v>19900</v>
      </c>
      <c r="P842" t="s">
        <v>19899</v>
      </c>
      <c r="Q842" t="s">
        <v>19900</v>
      </c>
      <c r="R842" t="s">
        <v>19905</v>
      </c>
      <c r="S842" t="s">
        <v>19906</v>
      </c>
      <c r="T842" t="s">
        <v>19904</v>
      </c>
    </row>
    <row r="843" spans="2:20" x14ac:dyDescent="0.25">
      <c r="B843" t="s">
        <v>2709</v>
      </c>
      <c r="C843">
        <v>11081900</v>
      </c>
      <c r="E843">
        <v>0</v>
      </c>
      <c r="F843">
        <v>18</v>
      </c>
      <c r="G843">
        <v>0</v>
      </c>
      <c r="H843">
        <v>7.6</v>
      </c>
      <c r="I843">
        <v>1.65</v>
      </c>
      <c r="J843">
        <v>10</v>
      </c>
      <c r="L843" t="s">
        <v>2709</v>
      </c>
      <c r="M843">
        <v>11081900</v>
      </c>
      <c r="O843" t="s">
        <v>19900</v>
      </c>
      <c r="P843" t="s">
        <v>19899</v>
      </c>
      <c r="Q843" t="s">
        <v>19900</v>
      </c>
      <c r="R843" t="s">
        <v>19905</v>
      </c>
      <c r="S843" t="s">
        <v>19906</v>
      </c>
      <c r="T843" t="s">
        <v>19904</v>
      </c>
    </row>
    <row r="844" spans="2:20" x14ac:dyDescent="0.25">
      <c r="B844" t="s">
        <v>2709</v>
      </c>
      <c r="C844">
        <v>11082000</v>
      </c>
      <c r="E844">
        <v>0</v>
      </c>
      <c r="F844">
        <v>18</v>
      </c>
      <c r="G844">
        <v>0</v>
      </c>
      <c r="H844">
        <v>7.6</v>
      </c>
      <c r="I844">
        <v>1.65</v>
      </c>
      <c r="J844">
        <v>10</v>
      </c>
      <c r="L844" t="s">
        <v>2709</v>
      </c>
      <c r="M844">
        <v>11082000</v>
      </c>
      <c r="O844" t="s">
        <v>19900</v>
      </c>
      <c r="P844" t="s">
        <v>19899</v>
      </c>
      <c r="Q844" t="s">
        <v>19900</v>
      </c>
      <c r="R844" t="s">
        <v>19905</v>
      </c>
      <c r="S844" t="s">
        <v>19906</v>
      </c>
      <c r="T844" t="s">
        <v>19904</v>
      </c>
    </row>
    <row r="845" spans="2:20" x14ac:dyDescent="0.25">
      <c r="B845" t="s">
        <v>2709</v>
      </c>
      <c r="C845">
        <v>11090000</v>
      </c>
      <c r="E845">
        <v>0</v>
      </c>
      <c r="F845">
        <v>18</v>
      </c>
      <c r="G845">
        <v>0</v>
      </c>
      <c r="H845">
        <v>7.6</v>
      </c>
      <c r="I845">
        <v>1.65</v>
      </c>
      <c r="J845">
        <v>10</v>
      </c>
      <c r="L845" t="s">
        <v>2709</v>
      </c>
      <c r="M845">
        <v>11090000</v>
      </c>
      <c r="O845" t="s">
        <v>19900</v>
      </c>
      <c r="P845" t="s">
        <v>19899</v>
      </c>
      <c r="Q845" t="s">
        <v>19900</v>
      </c>
      <c r="R845" t="s">
        <v>19905</v>
      </c>
      <c r="S845" t="s">
        <v>19906</v>
      </c>
      <c r="T845" t="s">
        <v>19904</v>
      </c>
    </row>
    <row r="846" spans="2:20" x14ac:dyDescent="0.25">
      <c r="B846" t="s">
        <v>2709</v>
      </c>
      <c r="C846">
        <v>12011000</v>
      </c>
      <c r="E846">
        <v>0</v>
      </c>
      <c r="F846">
        <v>18</v>
      </c>
      <c r="G846">
        <v>0</v>
      </c>
      <c r="H846" t="s">
        <v>19447</v>
      </c>
      <c r="I846" t="s">
        <v>19447</v>
      </c>
      <c r="J846">
        <v>0</v>
      </c>
      <c r="L846" t="s">
        <v>2709</v>
      </c>
      <c r="M846">
        <v>12011000</v>
      </c>
      <c r="O846" t="s">
        <v>19900</v>
      </c>
      <c r="P846" t="s">
        <v>19899</v>
      </c>
      <c r="Q846" t="s">
        <v>19900</v>
      </c>
      <c r="R846" t="s">
        <v>19447</v>
      </c>
      <c r="S846" t="s">
        <v>19447</v>
      </c>
      <c r="T846" t="s">
        <v>19900</v>
      </c>
    </row>
    <row r="847" spans="2:20" x14ac:dyDescent="0.25">
      <c r="B847" t="s">
        <v>2709</v>
      </c>
      <c r="C847">
        <v>12019000</v>
      </c>
      <c r="E847">
        <v>0</v>
      </c>
      <c r="F847">
        <v>18</v>
      </c>
      <c r="G847">
        <v>0</v>
      </c>
      <c r="H847" t="s">
        <v>19447</v>
      </c>
      <c r="I847" t="s">
        <v>19447</v>
      </c>
      <c r="J847">
        <v>8</v>
      </c>
      <c r="L847" t="s">
        <v>2709</v>
      </c>
      <c r="M847">
        <v>12019000</v>
      </c>
      <c r="O847" t="s">
        <v>19900</v>
      </c>
      <c r="P847" t="s">
        <v>19899</v>
      </c>
      <c r="Q847" t="s">
        <v>19900</v>
      </c>
      <c r="R847" t="s">
        <v>19447</v>
      </c>
      <c r="S847" t="s">
        <v>19447</v>
      </c>
      <c r="T847" t="s">
        <v>19918</v>
      </c>
    </row>
    <row r="848" spans="2:20" x14ac:dyDescent="0.25">
      <c r="B848" t="s">
        <v>2709</v>
      </c>
      <c r="C848">
        <v>12023000</v>
      </c>
      <c r="E848">
        <v>0</v>
      </c>
      <c r="F848">
        <v>18</v>
      </c>
      <c r="G848">
        <v>0</v>
      </c>
      <c r="H848">
        <v>7.6</v>
      </c>
      <c r="I848">
        <v>1.65</v>
      </c>
      <c r="J848">
        <v>0</v>
      </c>
      <c r="L848" t="s">
        <v>2709</v>
      </c>
      <c r="M848">
        <v>12023000</v>
      </c>
      <c r="O848" t="s">
        <v>19900</v>
      </c>
      <c r="P848" t="s">
        <v>19899</v>
      </c>
      <c r="Q848" t="s">
        <v>19900</v>
      </c>
      <c r="R848" t="s">
        <v>19905</v>
      </c>
      <c r="S848" t="s">
        <v>19906</v>
      </c>
      <c r="T848" t="s">
        <v>19900</v>
      </c>
    </row>
    <row r="849" spans="2:20" x14ac:dyDescent="0.25">
      <c r="B849" t="s">
        <v>2709</v>
      </c>
      <c r="C849">
        <v>12024100</v>
      </c>
      <c r="E849">
        <v>0</v>
      </c>
      <c r="F849">
        <v>18</v>
      </c>
      <c r="G849">
        <v>0</v>
      </c>
      <c r="H849">
        <v>7.6</v>
      </c>
      <c r="I849">
        <v>1.65</v>
      </c>
      <c r="J849">
        <v>8</v>
      </c>
      <c r="L849" t="s">
        <v>2709</v>
      </c>
      <c r="M849">
        <v>12024100</v>
      </c>
      <c r="O849" t="s">
        <v>19900</v>
      </c>
      <c r="P849" t="s">
        <v>19899</v>
      </c>
      <c r="Q849" t="s">
        <v>19900</v>
      </c>
      <c r="R849" t="s">
        <v>19905</v>
      </c>
      <c r="S849" t="s">
        <v>19906</v>
      </c>
      <c r="T849" t="s">
        <v>19918</v>
      </c>
    </row>
    <row r="850" spans="2:20" x14ac:dyDescent="0.25">
      <c r="B850" t="s">
        <v>2709</v>
      </c>
      <c r="C850">
        <v>12024200</v>
      </c>
      <c r="E850">
        <v>0</v>
      </c>
      <c r="F850">
        <v>18</v>
      </c>
      <c r="G850">
        <v>0</v>
      </c>
      <c r="H850">
        <v>7.6</v>
      </c>
      <c r="I850">
        <v>1.65</v>
      </c>
      <c r="J850">
        <v>10</v>
      </c>
      <c r="L850" t="s">
        <v>2709</v>
      </c>
      <c r="M850">
        <v>12024200</v>
      </c>
      <c r="O850" t="s">
        <v>19900</v>
      </c>
      <c r="P850" t="s">
        <v>19899</v>
      </c>
      <c r="Q850" t="s">
        <v>19900</v>
      </c>
      <c r="R850" t="s">
        <v>19905</v>
      </c>
      <c r="S850" t="s">
        <v>19906</v>
      </c>
      <c r="T850" t="s">
        <v>19904</v>
      </c>
    </row>
    <row r="851" spans="2:20" x14ac:dyDescent="0.25">
      <c r="B851" t="s">
        <v>2709</v>
      </c>
      <c r="C851">
        <v>12030000</v>
      </c>
      <c r="E851">
        <v>0</v>
      </c>
      <c r="F851">
        <v>18</v>
      </c>
      <c r="G851">
        <v>0</v>
      </c>
      <c r="H851">
        <v>7.6</v>
      </c>
      <c r="I851">
        <v>1.65</v>
      </c>
      <c r="J851">
        <v>8</v>
      </c>
      <c r="L851" t="s">
        <v>2709</v>
      </c>
      <c r="M851">
        <v>12030000</v>
      </c>
      <c r="O851" t="s">
        <v>19900</v>
      </c>
      <c r="P851" t="s">
        <v>19899</v>
      </c>
      <c r="Q851" t="s">
        <v>19900</v>
      </c>
      <c r="R851" t="s">
        <v>19905</v>
      </c>
      <c r="S851" t="s">
        <v>19906</v>
      </c>
      <c r="T851" t="s">
        <v>19918</v>
      </c>
    </row>
    <row r="852" spans="2:20" x14ac:dyDescent="0.25">
      <c r="B852" t="s">
        <v>2709</v>
      </c>
      <c r="C852">
        <v>12040010</v>
      </c>
      <c r="E852">
        <v>0</v>
      </c>
      <c r="F852">
        <v>18</v>
      </c>
      <c r="G852">
        <v>0</v>
      </c>
      <c r="H852" t="s">
        <v>19447</v>
      </c>
      <c r="I852" t="s">
        <v>19447</v>
      </c>
      <c r="J852">
        <v>0</v>
      </c>
      <c r="L852" t="s">
        <v>2709</v>
      </c>
      <c r="M852">
        <v>12040010</v>
      </c>
      <c r="O852" t="s">
        <v>19900</v>
      </c>
      <c r="P852" t="s">
        <v>19899</v>
      </c>
      <c r="Q852" t="s">
        <v>19900</v>
      </c>
      <c r="R852" t="s">
        <v>19447</v>
      </c>
      <c r="S852" t="s">
        <v>19447</v>
      </c>
      <c r="T852" t="s">
        <v>19900</v>
      </c>
    </row>
    <row r="853" spans="2:20" x14ac:dyDescent="0.25">
      <c r="B853" t="s">
        <v>2709</v>
      </c>
      <c r="C853">
        <v>12040090</v>
      </c>
      <c r="E853">
        <v>0</v>
      </c>
      <c r="F853">
        <v>18</v>
      </c>
      <c r="G853">
        <v>0</v>
      </c>
      <c r="H853" t="s">
        <v>19447</v>
      </c>
      <c r="I853" t="s">
        <v>19447</v>
      </c>
      <c r="J853">
        <v>8</v>
      </c>
      <c r="L853" t="s">
        <v>2709</v>
      </c>
      <c r="M853">
        <v>12040090</v>
      </c>
      <c r="O853" t="s">
        <v>19900</v>
      </c>
      <c r="P853" t="s">
        <v>19899</v>
      </c>
      <c r="Q853" t="s">
        <v>19900</v>
      </c>
      <c r="R853" t="s">
        <v>19447</v>
      </c>
      <c r="S853" t="s">
        <v>19447</v>
      </c>
      <c r="T853" t="s">
        <v>19918</v>
      </c>
    </row>
    <row r="854" spans="2:20" x14ac:dyDescent="0.25">
      <c r="B854" t="s">
        <v>2709</v>
      </c>
      <c r="C854">
        <v>12051010</v>
      </c>
      <c r="E854">
        <v>0</v>
      </c>
      <c r="F854">
        <v>18</v>
      </c>
      <c r="G854">
        <v>0</v>
      </c>
      <c r="H854" t="s">
        <v>19447</v>
      </c>
      <c r="I854" t="s">
        <v>19447</v>
      </c>
      <c r="J854">
        <v>0</v>
      </c>
      <c r="L854" t="s">
        <v>2709</v>
      </c>
      <c r="M854">
        <v>12051010</v>
      </c>
      <c r="O854" t="s">
        <v>19900</v>
      </c>
      <c r="P854" t="s">
        <v>19899</v>
      </c>
      <c r="Q854" t="s">
        <v>19900</v>
      </c>
      <c r="R854" t="s">
        <v>19447</v>
      </c>
      <c r="S854" t="s">
        <v>19447</v>
      </c>
      <c r="T854" t="s">
        <v>19900</v>
      </c>
    </row>
    <row r="855" spans="2:20" x14ac:dyDescent="0.25">
      <c r="B855" t="s">
        <v>2709</v>
      </c>
      <c r="C855">
        <v>12051090</v>
      </c>
      <c r="E855">
        <v>0</v>
      </c>
      <c r="F855">
        <v>18</v>
      </c>
      <c r="G855">
        <v>0</v>
      </c>
      <c r="H855" t="s">
        <v>19447</v>
      </c>
      <c r="I855" t="s">
        <v>19447</v>
      </c>
      <c r="J855">
        <v>8</v>
      </c>
      <c r="L855" t="s">
        <v>2709</v>
      </c>
      <c r="M855">
        <v>12051090</v>
      </c>
      <c r="O855" t="s">
        <v>19900</v>
      </c>
      <c r="P855" t="s">
        <v>19899</v>
      </c>
      <c r="Q855" t="s">
        <v>19900</v>
      </c>
      <c r="R855" t="s">
        <v>19447</v>
      </c>
      <c r="S855" t="s">
        <v>19447</v>
      </c>
      <c r="T855" t="s">
        <v>19918</v>
      </c>
    </row>
    <row r="856" spans="2:20" x14ac:dyDescent="0.25">
      <c r="B856" t="s">
        <v>2709</v>
      </c>
      <c r="C856">
        <v>12059010</v>
      </c>
      <c r="E856">
        <v>0</v>
      </c>
      <c r="F856">
        <v>18</v>
      </c>
      <c r="G856">
        <v>0</v>
      </c>
      <c r="H856" t="s">
        <v>19447</v>
      </c>
      <c r="I856" t="s">
        <v>19447</v>
      </c>
      <c r="J856">
        <v>0</v>
      </c>
      <c r="L856" t="s">
        <v>2709</v>
      </c>
      <c r="M856">
        <v>12059010</v>
      </c>
      <c r="O856" t="s">
        <v>19900</v>
      </c>
      <c r="P856" t="s">
        <v>19899</v>
      </c>
      <c r="Q856" t="s">
        <v>19900</v>
      </c>
      <c r="R856" t="s">
        <v>19447</v>
      </c>
      <c r="S856" t="s">
        <v>19447</v>
      </c>
      <c r="T856" t="s">
        <v>19900</v>
      </c>
    </row>
    <row r="857" spans="2:20" x14ac:dyDescent="0.25">
      <c r="B857" t="s">
        <v>2709</v>
      </c>
      <c r="C857">
        <v>12059090</v>
      </c>
      <c r="E857">
        <v>0</v>
      </c>
      <c r="F857">
        <v>18</v>
      </c>
      <c r="G857">
        <v>0</v>
      </c>
      <c r="H857" t="s">
        <v>19447</v>
      </c>
      <c r="I857" t="s">
        <v>19447</v>
      </c>
      <c r="J857">
        <v>8</v>
      </c>
      <c r="L857" t="s">
        <v>2709</v>
      </c>
      <c r="M857">
        <v>12059090</v>
      </c>
      <c r="O857" t="s">
        <v>19900</v>
      </c>
      <c r="P857" t="s">
        <v>19899</v>
      </c>
      <c r="Q857" t="s">
        <v>19900</v>
      </c>
      <c r="R857" t="s">
        <v>19447</v>
      </c>
      <c r="S857" t="s">
        <v>19447</v>
      </c>
      <c r="T857" t="s">
        <v>19918</v>
      </c>
    </row>
    <row r="858" spans="2:20" x14ac:dyDescent="0.25">
      <c r="B858" t="s">
        <v>2709</v>
      </c>
      <c r="C858">
        <v>12060010</v>
      </c>
      <c r="E858">
        <v>0</v>
      </c>
      <c r="F858">
        <v>18</v>
      </c>
      <c r="G858">
        <v>0</v>
      </c>
      <c r="H858" t="s">
        <v>19447</v>
      </c>
      <c r="I858" t="s">
        <v>19447</v>
      </c>
      <c r="J858">
        <v>0</v>
      </c>
      <c r="L858" t="s">
        <v>2709</v>
      </c>
      <c r="M858">
        <v>12060010</v>
      </c>
      <c r="O858" t="s">
        <v>19900</v>
      </c>
      <c r="P858" t="s">
        <v>19899</v>
      </c>
      <c r="Q858" t="s">
        <v>19900</v>
      </c>
      <c r="R858" t="s">
        <v>19447</v>
      </c>
      <c r="S858" t="s">
        <v>19447</v>
      </c>
      <c r="T858" t="s">
        <v>19900</v>
      </c>
    </row>
    <row r="859" spans="2:20" x14ac:dyDescent="0.25">
      <c r="B859" t="s">
        <v>2709</v>
      </c>
      <c r="C859">
        <v>12060090</v>
      </c>
      <c r="E859">
        <v>0</v>
      </c>
      <c r="F859">
        <v>18</v>
      </c>
      <c r="G859">
        <v>0</v>
      </c>
      <c r="H859" t="s">
        <v>19447</v>
      </c>
      <c r="I859" t="s">
        <v>19447</v>
      </c>
      <c r="J859">
        <v>8</v>
      </c>
      <c r="L859" t="s">
        <v>2709</v>
      </c>
      <c r="M859">
        <v>12060090</v>
      </c>
      <c r="O859" t="s">
        <v>19900</v>
      </c>
      <c r="P859" t="s">
        <v>19899</v>
      </c>
      <c r="Q859" t="s">
        <v>19900</v>
      </c>
      <c r="R859" t="s">
        <v>19447</v>
      </c>
      <c r="S859" t="s">
        <v>19447</v>
      </c>
      <c r="T859" t="s">
        <v>19918</v>
      </c>
    </row>
    <row r="860" spans="2:20" x14ac:dyDescent="0.25">
      <c r="B860" t="s">
        <v>2709</v>
      </c>
      <c r="C860">
        <v>12071010</v>
      </c>
      <c r="E860">
        <v>0</v>
      </c>
      <c r="F860">
        <v>18</v>
      </c>
      <c r="G860">
        <v>0</v>
      </c>
      <c r="H860" t="s">
        <v>19447</v>
      </c>
      <c r="I860" t="s">
        <v>19447</v>
      </c>
      <c r="J860">
        <v>0</v>
      </c>
      <c r="L860" t="s">
        <v>2709</v>
      </c>
      <c r="M860">
        <v>12071010</v>
      </c>
      <c r="O860" t="s">
        <v>19900</v>
      </c>
      <c r="P860" t="s">
        <v>19899</v>
      </c>
      <c r="Q860" t="s">
        <v>19900</v>
      </c>
      <c r="R860" t="s">
        <v>19447</v>
      </c>
      <c r="S860" t="s">
        <v>19447</v>
      </c>
      <c r="T860" t="s">
        <v>19900</v>
      </c>
    </row>
    <row r="861" spans="2:20" x14ac:dyDescent="0.25">
      <c r="B861" t="s">
        <v>2709</v>
      </c>
      <c r="C861">
        <v>12071090</v>
      </c>
      <c r="E861">
        <v>0</v>
      </c>
      <c r="F861">
        <v>18</v>
      </c>
      <c r="G861">
        <v>0</v>
      </c>
      <c r="H861" t="s">
        <v>19447</v>
      </c>
      <c r="I861" t="s">
        <v>19447</v>
      </c>
      <c r="J861">
        <v>8</v>
      </c>
      <c r="L861" t="s">
        <v>2709</v>
      </c>
      <c r="M861">
        <v>12071090</v>
      </c>
      <c r="O861" t="s">
        <v>19900</v>
      </c>
      <c r="P861" t="s">
        <v>19899</v>
      </c>
      <c r="Q861" t="s">
        <v>19900</v>
      </c>
      <c r="R861" t="s">
        <v>19447</v>
      </c>
      <c r="S861" t="s">
        <v>19447</v>
      </c>
      <c r="T861" t="s">
        <v>19918</v>
      </c>
    </row>
    <row r="862" spans="2:20" x14ac:dyDescent="0.25">
      <c r="B862" t="s">
        <v>2709</v>
      </c>
      <c r="C862">
        <v>12072100</v>
      </c>
      <c r="E862">
        <v>0</v>
      </c>
      <c r="F862">
        <v>18</v>
      </c>
      <c r="G862">
        <v>0</v>
      </c>
      <c r="H862" t="s">
        <v>19447</v>
      </c>
      <c r="I862" t="s">
        <v>19447</v>
      </c>
      <c r="J862">
        <v>0</v>
      </c>
      <c r="L862" t="s">
        <v>2709</v>
      </c>
      <c r="M862">
        <v>12072100</v>
      </c>
      <c r="O862" t="s">
        <v>19900</v>
      </c>
      <c r="P862" t="s">
        <v>19899</v>
      </c>
      <c r="Q862" t="s">
        <v>19900</v>
      </c>
      <c r="R862" t="s">
        <v>19447</v>
      </c>
      <c r="S862" t="s">
        <v>19447</v>
      </c>
      <c r="T862" t="s">
        <v>19900</v>
      </c>
    </row>
    <row r="863" spans="2:20" x14ac:dyDescent="0.25">
      <c r="B863" t="s">
        <v>2709</v>
      </c>
      <c r="C863">
        <v>12072900</v>
      </c>
      <c r="E863">
        <v>0</v>
      </c>
      <c r="F863">
        <v>18</v>
      </c>
      <c r="G863">
        <v>0</v>
      </c>
      <c r="H863" t="s">
        <v>19447</v>
      </c>
      <c r="I863" t="s">
        <v>19447</v>
      </c>
      <c r="J863">
        <v>8</v>
      </c>
      <c r="L863" t="s">
        <v>2709</v>
      </c>
      <c r="M863">
        <v>12072900</v>
      </c>
      <c r="O863" t="s">
        <v>19900</v>
      </c>
      <c r="P863" t="s">
        <v>19899</v>
      </c>
      <c r="Q863" t="s">
        <v>19900</v>
      </c>
      <c r="R863" t="s">
        <v>19447</v>
      </c>
      <c r="S863" t="s">
        <v>19447</v>
      </c>
      <c r="T863" t="s">
        <v>19918</v>
      </c>
    </row>
    <row r="864" spans="2:20" x14ac:dyDescent="0.25">
      <c r="B864" t="s">
        <v>2709</v>
      </c>
      <c r="C864">
        <v>12073010</v>
      </c>
      <c r="E864">
        <v>0</v>
      </c>
      <c r="F864">
        <v>18</v>
      </c>
      <c r="G864">
        <v>0</v>
      </c>
      <c r="H864" t="s">
        <v>19447</v>
      </c>
      <c r="I864" t="s">
        <v>19447</v>
      </c>
      <c r="J864">
        <v>0</v>
      </c>
      <c r="L864" t="s">
        <v>2709</v>
      </c>
      <c r="M864">
        <v>12073010</v>
      </c>
      <c r="O864" t="s">
        <v>19900</v>
      </c>
      <c r="P864" t="s">
        <v>19899</v>
      </c>
      <c r="Q864" t="s">
        <v>19900</v>
      </c>
      <c r="R864" t="s">
        <v>19447</v>
      </c>
      <c r="S864" t="s">
        <v>19447</v>
      </c>
      <c r="T864" t="s">
        <v>19900</v>
      </c>
    </row>
    <row r="865" spans="2:20" x14ac:dyDescent="0.25">
      <c r="B865" t="s">
        <v>2709</v>
      </c>
      <c r="C865">
        <v>12073090</v>
      </c>
      <c r="E865">
        <v>0</v>
      </c>
      <c r="F865">
        <v>18</v>
      </c>
      <c r="G865">
        <v>0</v>
      </c>
      <c r="H865" t="s">
        <v>19447</v>
      </c>
      <c r="I865" t="s">
        <v>19447</v>
      </c>
      <c r="J865">
        <v>8</v>
      </c>
      <c r="L865" t="s">
        <v>2709</v>
      </c>
      <c r="M865">
        <v>12073090</v>
      </c>
      <c r="O865" t="s">
        <v>19900</v>
      </c>
      <c r="P865" t="s">
        <v>19899</v>
      </c>
      <c r="Q865" t="s">
        <v>19900</v>
      </c>
      <c r="R865" t="s">
        <v>19447</v>
      </c>
      <c r="S865" t="s">
        <v>19447</v>
      </c>
      <c r="T865" t="s">
        <v>19918</v>
      </c>
    </row>
    <row r="866" spans="2:20" x14ac:dyDescent="0.25">
      <c r="B866" t="s">
        <v>2709</v>
      </c>
      <c r="C866">
        <v>12074010</v>
      </c>
      <c r="E866">
        <v>0</v>
      </c>
      <c r="F866">
        <v>18</v>
      </c>
      <c r="G866">
        <v>0</v>
      </c>
      <c r="H866" t="s">
        <v>19447</v>
      </c>
      <c r="I866" t="s">
        <v>19447</v>
      </c>
      <c r="J866">
        <v>0</v>
      </c>
      <c r="L866" t="s">
        <v>2709</v>
      </c>
      <c r="M866">
        <v>12074010</v>
      </c>
      <c r="O866" t="s">
        <v>19900</v>
      </c>
      <c r="P866" t="s">
        <v>19899</v>
      </c>
      <c r="Q866" t="s">
        <v>19900</v>
      </c>
      <c r="R866" t="s">
        <v>19447</v>
      </c>
      <c r="S866" t="s">
        <v>19447</v>
      </c>
      <c r="T866" t="s">
        <v>19900</v>
      </c>
    </row>
    <row r="867" spans="2:20" x14ac:dyDescent="0.25">
      <c r="B867" t="s">
        <v>2709</v>
      </c>
      <c r="C867">
        <v>12074090</v>
      </c>
      <c r="E867">
        <v>0</v>
      </c>
      <c r="F867">
        <v>18</v>
      </c>
      <c r="G867">
        <v>0</v>
      </c>
      <c r="H867" t="s">
        <v>19447</v>
      </c>
      <c r="I867" t="s">
        <v>19447</v>
      </c>
      <c r="J867">
        <v>8</v>
      </c>
      <c r="L867" t="s">
        <v>2709</v>
      </c>
      <c r="M867">
        <v>12074090</v>
      </c>
      <c r="O867" t="s">
        <v>19900</v>
      </c>
      <c r="P867" t="s">
        <v>19899</v>
      </c>
      <c r="Q867" t="s">
        <v>19900</v>
      </c>
      <c r="R867" t="s">
        <v>19447</v>
      </c>
      <c r="S867" t="s">
        <v>19447</v>
      </c>
      <c r="T867" t="s">
        <v>19918</v>
      </c>
    </row>
    <row r="868" spans="2:20" x14ac:dyDescent="0.25">
      <c r="B868" t="s">
        <v>2709</v>
      </c>
      <c r="C868">
        <v>12075010</v>
      </c>
      <c r="E868">
        <v>0</v>
      </c>
      <c r="F868">
        <v>18</v>
      </c>
      <c r="G868">
        <v>0</v>
      </c>
      <c r="H868" t="s">
        <v>19447</v>
      </c>
      <c r="I868" t="s">
        <v>19447</v>
      </c>
      <c r="J868">
        <v>0</v>
      </c>
      <c r="L868" t="s">
        <v>2709</v>
      </c>
      <c r="M868">
        <v>12075010</v>
      </c>
      <c r="O868" t="s">
        <v>19900</v>
      </c>
      <c r="P868" t="s">
        <v>19899</v>
      </c>
      <c r="Q868" t="s">
        <v>19900</v>
      </c>
      <c r="R868" t="s">
        <v>19447</v>
      </c>
      <c r="S868" t="s">
        <v>19447</v>
      </c>
      <c r="T868" t="s">
        <v>19900</v>
      </c>
    </row>
    <row r="869" spans="2:20" x14ac:dyDescent="0.25">
      <c r="B869" t="s">
        <v>2709</v>
      </c>
      <c r="C869">
        <v>12075090</v>
      </c>
      <c r="E869">
        <v>0</v>
      </c>
      <c r="F869">
        <v>18</v>
      </c>
      <c r="G869">
        <v>0</v>
      </c>
      <c r="H869" t="s">
        <v>19447</v>
      </c>
      <c r="I869" t="s">
        <v>19447</v>
      </c>
      <c r="J869">
        <v>8</v>
      </c>
      <c r="L869" t="s">
        <v>2709</v>
      </c>
      <c r="M869">
        <v>12075090</v>
      </c>
      <c r="O869" t="s">
        <v>19900</v>
      </c>
      <c r="P869" t="s">
        <v>19899</v>
      </c>
      <c r="Q869" t="s">
        <v>19900</v>
      </c>
      <c r="R869" t="s">
        <v>19447</v>
      </c>
      <c r="S869" t="s">
        <v>19447</v>
      </c>
      <c r="T869" t="s">
        <v>19918</v>
      </c>
    </row>
    <row r="870" spans="2:20" x14ac:dyDescent="0.25">
      <c r="B870" t="s">
        <v>2709</v>
      </c>
      <c r="C870">
        <v>12076010</v>
      </c>
      <c r="E870">
        <v>0</v>
      </c>
      <c r="F870">
        <v>18</v>
      </c>
      <c r="G870">
        <v>0</v>
      </c>
      <c r="H870" t="s">
        <v>19447</v>
      </c>
      <c r="I870" t="s">
        <v>19447</v>
      </c>
      <c r="J870">
        <v>0</v>
      </c>
      <c r="L870" t="s">
        <v>2709</v>
      </c>
      <c r="M870">
        <v>12076010</v>
      </c>
      <c r="O870" t="s">
        <v>19900</v>
      </c>
      <c r="P870" t="s">
        <v>19899</v>
      </c>
      <c r="Q870" t="s">
        <v>19900</v>
      </c>
      <c r="R870" t="s">
        <v>19447</v>
      </c>
      <c r="S870" t="s">
        <v>19447</v>
      </c>
      <c r="T870" t="s">
        <v>19900</v>
      </c>
    </row>
    <row r="871" spans="2:20" x14ac:dyDescent="0.25">
      <c r="B871" t="s">
        <v>2709</v>
      </c>
      <c r="C871">
        <v>12076090</v>
      </c>
      <c r="E871">
        <v>0</v>
      </c>
      <c r="F871">
        <v>18</v>
      </c>
      <c r="G871">
        <v>0</v>
      </c>
      <c r="H871" t="s">
        <v>19447</v>
      </c>
      <c r="I871" t="s">
        <v>19447</v>
      </c>
      <c r="J871">
        <v>8</v>
      </c>
      <c r="L871" t="s">
        <v>2709</v>
      </c>
      <c r="M871">
        <v>12076090</v>
      </c>
      <c r="O871" t="s">
        <v>19900</v>
      </c>
      <c r="P871" t="s">
        <v>19899</v>
      </c>
      <c r="Q871" t="s">
        <v>19900</v>
      </c>
      <c r="R871" t="s">
        <v>19447</v>
      </c>
      <c r="S871" t="s">
        <v>19447</v>
      </c>
      <c r="T871" t="s">
        <v>19918</v>
      </c>
    </row>
    <row r="872" spans="2:20" x14ac:dyDescent="0.25">
      <c r="B872" t="s">
        <v>2709</v>
      </c>
      <c r="C872">
        <v>12077010</v>
      </c>
      <c r="E872">
        <v>0</v>
      </c>
      <c r="F872">
        <v>18</v>
      </c>
      <c r="G872">
        <v>0</v>
      </c>
      <c r="H872" t="s">
        <v>19447</v>
      </c>
      <c r="I872" t="s">
        <v>19447</v>
      </c>
      <c r="J872">
        <v>0</v>
      </c>
      <c r="L872" t="s">
        <v>2709</v>
      </c>
      <c r="M872">
        <v>12077010</v>
      </c>
      <c r="O872" t="s">
        <v>19900</v>
      </c>
      <c r="P872" t="s">
        <v>19899</v>
      </c>
      <c r="Q872" t="s">
        <v>19900</v>
      </c>
      <c r="R872" t="s">
        <v>19447</v>
      </c>
      <c r="S872" t="s">
        <v>19447</v>
      </c>
      <c r="T872" t="s">
        <v>19900</v>
      </c>
    </row>
    <row r="873" spans="2:20" x14ac:dyDescent="0.25">
      <c r="B873" t="s">
        <v>2709</v>
      </c>
      <c r="C873">
        <v>12077090</v>
      </c>
      <c r="E873">
        <v>0</v>
      </c>
      <c r="F873">
        <v>18</v>
      </c>
      <c r="G873">
        <v>0</v>
      </c>
      <c r="H873" t="s">
        <v>19447</v>
      </c>
      <c r="I873" t="s">
        <v>19447</v>
      </c>
      <c r="J873">
        <v>8</v>
      </c>
      <c r="L873" t="s">
        <v>2709</v>
      </c>
      <c r="M873">
        <v>12077090</v>
      </c>
      <c r="O873" t="s">
        <v>19900</v>
      </c>
      <c r="P873" t="s">
        <v>19899</v>
      </c>
      <c r="Q873" t="s">
        <v>19900</v>
      </c>
      <c r="R873" t="s">
        <v>19447</v>
      </c>
      <c r="S873" t="s">
        <v>19447</v>
      </c>
      <c r="T873" t="s">
        <v>19918</v>
      </c>
    </row>
    <row r="874" spans="2:20" x14ac:dyDescent="0.25">
      <c r="B874" t="s">
        <v>2709</v>
      </c>
      <c r="C874">
        <v>12079110</v>
      </c>
      <c r="E874">
        <v>0</v>
      </c>
      <c r="F874">
        <v>18</v>
      </c>
      <c r="G874">
        <v>0</v>
      </c>
      <c r="H874" t="s">
        <v>19447</v>
      </c>
      <c r="I874" t="s">
        <v>19447</v>
      </c>
      <c r="J874">
        <v>0</v>
      </c>
      <c r="L874" t="s">
        <v>2709</v>
      </c>
      <c r="M874">
        <v>12079110</v>
      </c>
      <c r="O874" t="s">
        <v>19900</v>
      </c>
      <c r="P874" t="s">
        <v>19899</v>
      </c>
      <c r="Q874" t="s">
        <v>19900</v>
      </c>
      <c r="R874" t="s">
        <v>19447</v>
      </c>
      <c r="S874" t="s">
        <v>19447</v>
      </c>
      <c r="T874" t="s">
        <v>19900</v>
      </c>
    </row>
    <row r="875" spans="2:20" x14ac:dyDescent="0.25">
      <c r="B875" t="s">
        <v>2709</v>
      </c>
      <c r="C875">
        <v>12079190</v>
      </c>
      <c r="E875">
        <v>0</v>
      </c>
      <c r="F875">
        <v>18</v>
      </c>
      <c r="G875">
        <v>0</v>
      </c>
      <c r="H875" t="s">
        <v>19447</v>
      </c>
      <c r="I875" t="s">
        <v>19447</v>
      </c>
      <c r="J875">
        <v>8</v>
      </c>
      <c r="L875" t="s">
        <v>2709</v>
      </c>
      <c r="M875">
        <v>12079190</v>
      </c>
      <c r="O875" t="s">
        <v>19900</v>
      </c>
      <c r="P875" t="s">
        <v>19899</v>
      </c>
      <c r="Q875" t="s">
        <v>19900</v>
      </c>
      <c r="R875" t="s">
        <v>19447</v>
      </c>
      <c r="S875" t="s">
        <v>19447</v>
      </c>
      <c r="T875" t="s">
        <v>19918</v>
      </c>
    </row>
    <row r="876" spans="2:20" x14ac:dyDescent="0.25">
      <c r="B876" t="s">
        <v>2709</v>
      </c>
      <c r="C876">
        <v>12079910</v>
      </c>
      <c r="E876">
        <v>0</v>
      </c>
      <c r="F876">
        <v>18</v>
      </c>
      <c r="G876">
        <v>0</v>
      </c>
      <c r="H876" t="s">
        <v>19447</v>
      </c>
      <c r="I876" t="s">
        <v>19447</v>
      </c>
      <c r="J876">
        <v>0</v>
      </c>
      <c r="L876" t="s">
        <v>2709</v>
      </c>
      <c r="M876">
        <v>12079910</v>
      </c>
      <c r="O876" t="s">
        <v>19900</v>
      </c>
      <c r="P876" t="s">
        <v>19899</v>
      </c>
      <c r="Q876" t="s">
        <v>19900</v>
      </c>
      <c r="R876" t="s">
        <v>19447</v>
      </c>
      <c r="S876" t="s">
        <v>19447</v>
      </c>
      <c r="T876" t="s">
        <v>19900</v>
      </c>
    </row>
    <row r="877" spans="2:20" x14ac:dyDescent="0.25">
      <c r="B877" t="s">
        <v>2709</v>
      </c>
      <c r="C877">
        <v>12079990</v>
      </c>
      <c r="E877">
        <v>0</v>
      </c>
      <c r="F877">
        <v>18</v>
      </c>
      <c r="G877">
        <v>0</v>
      </c>
      <c r="H877" t="s">
        <v>19447</v>
      </c>
      <c r="I877" t="s">
        <v>19447</v>
      </c>
      <c r="J877">
        <v>8</v>
      </c>
      <c r="L877" t="s">
        <v>2709</v>
      </c>
      <c r="M877">
        <v>12079990</v>
      </c>
      <c r="O877" t="s">
        <v>19900</v>
      </c>
      <c r="P877" t="s">
        <v>19899</v>
      </c>
      <c r="Q877" t="s">
        <v>19900</v>
      </c>
      <c r="R877" t="s">
        <v>19447</v>
      </c>
      <c r="S877" t="s">
        <v>19447</v>
      </c>
      <c r="T877" t="s">
        <v>19918</v>
      </c>
    </row>
    <row r="878" spans="2:20" x14ac:dyDescent="0.25">
      <c r="B878" t="s">
        <v>2709</v>
      </c>
      <c r="C878">
        <v>12081000</v>
      </c>
      <c r="E878">
        <v>0</v>
      </c>
      <c r="F878">
        <v>18</v>
      </c>
      <c r="G878">
        <v>0</v>
      </c>
      <c r="H878" t="s">
        <v>19447</v>
      </c>
      <c r="I878" t="s">
        <v>19447</v>
      </c>
      <c r="J878">
        <v>10</v>
      </c>
      <c r="L878" t="s">
        <v>2709</v>
      </c>
      <c r="M878">
        <v>12081000</v>
      </c>
      <c r="O878" t="s">
        <v>19900</v>
      </c>
      <c r="P878" t="s">
        <v>19899</v>
      </c>
      <c r="Q878" t="s">
        <v>19900</v>
      </c>
      <c r="R878" t="s">
        <v>19447</v>
      </c>
      <c r="S878" t="s">
        <v>19447</v>
      </c>
      <c r="T878" t="s">
        <v>19904</v>
      </c>
    </row>
    <row r="879" spans="2:20" x14ac:dyDescent="0.25">
      <c r="B879" t="s">
        <v>2709</v>
      </c>
      <c r="C879">
        <v>12089000</v>
      </c>
      <c r="E879">
        <v>0</v>
      </c>
      <c r="F879">
        <v>18</v>
      </c>
      <c r="G879">
        <v>0</v>
      </c>
      <c r="H879">
        <v>7.6</v>
      </c>
      <c r="I879">
        <v>1.65</v>
      </c>
      <c r="J879">
        <v>10</v>
      </c>
      <c r="L879" t="s">
        <v>2709</v>
      </c>
      <c r="M879">
        <v>12089000</v>
      </c>
      <c r="O879" t="s">
        <v>19900</v>
      </c>
      <c r="P879" t="s">
        <v>19899</v>
      </c>
      <c r="Q879" t="s">
        <v>19900</v>
      </c>
      <c r="R879" t="s">
        <v>19905</v>
      </c>
      <c r="S879" t="s">
        <v>19906</v>
      </c>
      <c r="T879" t="s">
        <v>19904</v>
      </c>
    </row>
    <row r="880" spans="2:20" x14ac:dyDescent="0.25">
      <c r="B880" t="s">
        <v>2709</v>
      </c>
      <c r="C880">
        <v>12091000</v>
      </c>
      <c r="E880">
        <v>0</v>
      </c>
      <c r="F880">
        <v>18</v>
      </c>
      <c r="G880">
        <v>0</v>
      </c>
      <c r="H880" t="s">
        <v>19447</v>
      </c>
      <c r="I880" t="s">
        <v>19447</v>
      </c>
      <c r="J880">
        <v>0</v>
      </c>
      <c r="L880" t="s">
        <v>2709</v>
      </c>
      <c r="M880">
        <v>12091000</v>
      </c>
      <c r="O880" t="s">
        <v>19900</v>
      </c>
      <c r="P880" t="s">
        <v>19899</v>
      </c>
      <c r="Q880" t="s">
        <v>19900</v>
      </c>
      <c r="R880" t="s">
        <v>19447</v>
      </c>
      <c r="S880" t="s">
        <v>19447</v>
      </c>
      <c r="T880" t="s">
        <v>19900</v>
      </c>
    </row>
    <row r="881" spans="2:20" x14ac:dyDescent="0.25">
      <c r="B881" t="s">
        <v>2709</v>
      </c>
      <c r="C881">
        <v>12092100</v>
      </c>
      <c r="E881">
        <v>0</v>
      </c>
      <c r="F881">
        <v>18</v>
      </c>
      <c r="G881">
        <v>0</v>
      </c>
      <c r="H881" t="s">
        <v>19447</v>
      </c>
      <c r="I881" t="s">
        <v>19447</v>
      </c>
      <c r="J881">
        <v>0</v>
      </c>
      <c r="L881" t="s">
        <v>2709</v>
      </c>
      <c r="M881">
        <v>12092100</v>
      </c>
      <c r="O881" t="s">
        <v>19900</v>
      </c>
      <c r="P881" t="s">
        <v>19899</v>
      </c>
      <c r="Q881" t="s">
        <v>19900</v>
      </c>
      <c r="R881" t="s">
        <v>19447</v>
      </c>
      <c r="S881" t="s">
        <v>19447</v>
      </c>
      <c r="T881" t="s">
        <v>19900</v>
      </c>
    </row>
    <row r="882" spans="2:20" x14ac:dyDescent="0.25">
      <c r="B882" t="s">
        <v>2709</v>
      </c>
      <c r="C882">
        <v>12092200</v>
      </c>
      <c r="E882">
        <v>0</v>
      </c>
      <c r="F882">
        <v>18</v>
      </c>
      <c r="G882">
        <v>0</v>
      </c>
      <c r="H882" t="s">
        <v>19447</v>
      </c>
      <c r="I882" t="s">
        <v>19447</v>
      </c>
      <c r="J882">
        <v>0</v>
      </c>
      <c r="L882" t="s">
        <v>2709</v>
      </c>
      <c r="M882">
        <v>12092200</v>
      </c>
      <c r="O882" t="s">
        <v>19900</v>
      </c>
      <c r="P882" t="s">
        <v>19899</v>
      </c>
      <c r="Q882" t="s">
        <v>19900</v>
      </c>
      <c r="R882" t="s">
        <v>19447</v>
      </c>
      <c r="S882" t="s">
        <v>19447</v>
      </c>
      <c r="T882" t="s">
        <v>19900</v>
      </c>
    </row>
    <row r="883" spans="2:20" x14ac:dyDescent="0.25">
      <c r="B883" t="s">
        <v>2709</v>
      </c>
      <c r="C883">
        <v>12092300</v>
      </c>
      <c r="E883">
        <v>0</v>
      </c>
      <c r="F883">
        <v>18</v>
      </c>
      <c r="G883">
        <v>0</v>
      </c>
      <c r="H883" t="s">
        <v>19447</v>
      </c>
      <c r="I883" t="s">
        <v>19447</v>
      </c>
      <c r="J883">
        <v>0</v>
      </c>
      <c r="L883" t="s">
        <v>2709</v>
      </c>
      <c r="M883">
        <v>12092300</v>
      </c>
      <c r="O883" t="s">
        <v>19900</v>
      </c>
      <c r="P883" t="s">
        <v>19899</v>
      </c>
      <c r="Q883" t="s">
        <v>19900</v>
      </c>
      <c r="R883" t="s">
        <v>19447</v>
      </c>
      <c r="S883" t="s">
        <v>19447</v>
      </c>
      <c r="T883" t="s">
        <v>19900</v>
      </c>
    </row>
    <row r="884" spans="2:20" x14ac:dyDescent="0.25">
      <c r="B884" t="s">
        <v>2709</v>
      </c>
      <c r="C884">
        <v>12092400</v>
      </c>
      <c r="E884">
        <v>0</v>
      </c>
      <c r="F884">
        <v>18</v>
      </c>
      <c r="G884">
        <v>0</v>
      </c>
      <c r="H884" t="s">
        <v>19447</v>
      </c>
      <c r="I884" t="s">
        <v>19447</v>
      </c>
      <c r="J884">
        <v>0</v>
      </c>
      <c r="L884" t="s">
        <v>2709</v>
      </c>
      <c r="M884">
        <v>12092400</v>
      </c>
      <c r="O884" t="s">
        <v>19900</v>
      </c>
      <c r="P884" t="s">
        <v>19899</v>
      </c>
      <c r="Q884" t="s">
        <v>19900</v>
      </c>
      <c r="R884" t="s">
        <v>19447</v>
      </c>
      <c r="S884" t="s">
        <v>19447</v>
      </c>
      <c r="T884" t="s">
        <v>19900</v>
      </c>
    </row>
    <row r="885" spans="2:20" x14ac:dyDescent="0.25">
      <c r="B885" t="s">
        <v>2709</v>
      </c>
      <c r="C885">
        <v>12092500</v>
      </c>
      <c r="E885">
        <v>0</v>
      </c>
      <c r="F885">
        <v>18</v>
      </c>
      <c r="G885">
        <v>0</v>
      </c>
      <c r="H885" t="s">
        <v>19447</v>
      </c>
      <c r="I885" t="s">
        <v>19447</v>
      </c>
      <c r="J885">
        <v>0</v>
      </c>
      <c r="L885" t="s">
        <v>2709</v>
      </c>
      <c r="M885">
        <v>12092500</v>
      </c>
      <c r="O885" t="s">
        <v>19900</v>
      </c>
      <c r="P885" t="s">
        <v>19899</v>
      </c>
      <c r="Q885" t="s">
        <v>19900</v>
      </c>
      <c r="R885" t="s">
        <v>19447</v>
      </c>
      <c r="S885" t="s">
        <v>19447</v>
      </c>
      <c r="T885" t="s">
        <v>19900</v>
      </c>
    </row>
    <row r="886" spans="2:20" x14ac:dyDescent="0.25">
      <c r="B886" t="s">
        <v>2709</v>
      </c>
      <c r="C886">
        <v>12092900</v>
      </c>
      <c r="E886">
        <v>0</v>
      </c>
      <c r="F886">
        <v>18</v>
      </c>
      <c r="G886">
        <v>0</v>
      </c>
      <c r="H886" t="s">
        <v>19447</v>
      </c>
      <c r="I886" t="s">
        <v>19447</v>
      </c>
      <c r="J886">
        <v>0</v>
      </c>
      <c r="L886" t="s">
        <v>2709</v>
      </c>
      <c r="M886">
        <v>12092900</v>
      </c>
      <c r="O886" t="s">
        <v>19900</v>
      </c>
      <c r="P886" t="s">
        <v>19899</v>
      </c>
      <c r="Q886" t="s">
        <v>19900</v>
      </c>
      <c r="R886" t="s">
        <v>19447</v>
      </c>
      <c r="S886" t="s">
        <v>19447</v>
      </c>
      <c r="T886" t="s">
        <v>19900</v>
      </c>
    </row>
    <row r="887" spans="2:20" x14ac:dyDescent="0.25">
      <c r="B887" t="s">
        <v>2709</v>
      </c>
      <c r="C887">
        <v>12093000</v>
      </c>
      <c r="E887">
        <v>0</v>
      </c>
      <c r="F887">
        <v>18</v>
      </c>
      <c r="G887">
        <v>0</v>
      </c>
      <c r="H887" t="s">
        <v>19447</v>
      </c>
      <c r="I887" t="s">
        <v>19447</v>
      </c>
      <c r="J887">
        <v>0</v>
      </c>
      <c r="L887" t="s">
        <v>2709</v>
      </c>
      <c r="M887">
        <v>12093000</v>
      </c>
      <c r="O887" t="s">
        <v>19900</v>
      </c>
      <c r="P887" t="s">
        <v>19899</v>
      </c>
      <c r="Q887" t="s">
        <v>19900</v>
      </c>
      <c r="R887" t="s">
        <v>19447</v>
      </c>
      <c r="S887" t="s">
        <v>19447</v>
      </c>
      <c r="T887" t="s">
        <v>19900</v>
      </c>
    </row>
    <row r="888" spans="2:20" x14ac:dyDescent="0.25">
      <c r="B888" t="s">
        <v>2709</v>
      </c>
      <c r="C888">
        <v>12099100</v>
      </c>
      <c r="E888">
        <v>0</v>
      </c>
      <c r="F888">
        <v>18</v>
      </c>
      <c r="G888">
        <v>0</v>
      </c>
      <c r="H888" t="s">
        <v>19447</v>
      </c>
      <c r="I888" t="s">
        <v>19447</v>
      </c>
      <c r="J888">
        <v>0</v>
      </c>
      <c r="L888" t="s">
        <v>2709</v>
      </c>
      <c r="M888">
        <v>12099100</v>
      </c>
      <c r="O888" t="s">
        <v>19900</v>
      </c>
      <c r="P888" t="s">
        <v>19899</v>
      </c>
      <c r="Q888" t="s">
        <v>19900</v>
      </c>
      <c r="R888" t="s">
        <v>19447</v>
      </c>
      <c r="S888" t="s">
        <v>19447</v>
      </c>
      <c r="T888" t="s">
        <v>19900</v>
      </c>
    </row>
    <row r="889" spans="2:20" x14ac:dyDescent="0.25">
      <c r="B889" t="s">
        <v>2709</v>
      </c>
      <c r="C889">
        <v>12099900</v>
      </c>
      <c r="E889">
        <v>0</v>
      </c>
      <c r="F889">
        <v>18</v>
      </c>
      <c r="G889">
        <v>0</v>
      </c>
      <c r="H889" t="s">
        <v>19447</v>
      </c>
      <c r="I889" t="s">
        <v>19447</v>
      </c>
      <c r="J889">
        <v>0</v>
      </c>
      <c r="L889" t="s">
        <v>2709</v>
      </c>
      <c r="M889">
        <v>12099900</v>
      </c>
      <c r="O889" t="s">
        <v>19900</v>
      </c>
      <c r="P889" t="s">
        <v>19899</v>
      </c>
      <c r="Q889" t="s">
        <v>19900</v>
      </c>
      <c r="R889" t="s">
        <v>19447</v>
      </c>
      <c r="S889" t="s">
        <v>19447</v>
      </c>
      <c r="T889" t="s">
        <v>19900</v>
      </c>
    </row>
    <row r="890" spans="2:20" x14ac:dyDescent="0.25">
      <c r="B890" t="s">
        <v>2709</v>
      </c>
      <c r="C890">
        <v>12101000</v>
      </c>
      <c r="E890">
        <v>0</v>
      </c>
      <c r="F890">
        <v>18</v>
      </c>
      <c r="G890">
        <v>0</v>
      </c>
      <c r="H890">
        <v>7.6</v>
      </c>
      <c r="I890">
        <v>1.65</v>
      </c>
      <c r="J890">
        <v>8</v>
      </c>
      <c r="L890" t="s">
        <v>2709</v>
      </c>
      <c r="M890">
        <v>12101000</v>
      </c>
      <c r="O890" t="s">
        <v>19900</v>
      </c>
      <c r="P890" t="s">
        <v>19899</v>
      </c>
      <c r="Q890" t="s">
        <v>19900</v>
      </c>
      <c r="R890" t="s">
        <v>19905</v>
      </c>
      <c r="S890" t="s">
        <v>19906</v>
      </c>
      <c r="T890" t="s">
        <v>19918</v>
      </c>
    </row>
    <row r="891" spans="2:20" x14ac:dyDescent="0.25">
      <c r="B891" t="s">
        <v>2709</v>
      </c>
      <c r="C891">
        <v>12102010</v>
      </c>
      <c r="E891">
        <v>0</v>
      </c>
      <c r="F891">
        <v>18</v>
      </c>
      <c r="G891">
        <v>0</v>
      </c>
      <c r="H891">
        <v>7.6</v>
      </c>
      <c r="I891">
        <v>1.65</v>
      </c>
      <c r="J891">
        <v>8</v>
      </c>
      <c r="L891" t="s">
        <v>2709</v>
      </c>
      <c r="M891">
        <v>12102010</v>
      </c>
      <c r="O891" t="s">
        <v>19900</v>
      </c>
      <c r="P891" t="s">
        <v>19899</v>
      </c>
      <c r="Q891" t="s">
        <v>19900</v>
      </c>
      <c r="R891" t="s">
        <v>19905</v>
      </c>
      <c r="S891" t="s">
        <v>19906</v>
      </c>
      <c r="T891" t="s">
        <v>19918</v>
      </c>
    </row>
    <row r="892" spans="2:20" x14ac:dyDescent="0.25">
      <c r="B892" t="s">
        <v>2709</v>
      </c>
      <c r="C892">
        <v>12102020</v>
      </c>
      <c r="E892">
        <v>0</v>
      </c>
      <c r="F892">
        <v>18</v>
      </c>
      <c r="G892">
        <v>0</v>
      </c>
      <c r="H892">
        <v>7.6</v>
      </c>
      <c r="I892">
        <v>1.65</v>
      </c>
      <c r="J892">
        <v>8</v>
      </c>
      <c r="L892" t="s">
        <v>2709</v>
      </c>
      <c r="M892">
        <v>12102020</v>
      </c>
      <c r="O892" t="s">
        <v>19900</v>
      </c>
      <c r="P892" t="s">
        <v>19899</v>
      </c>
      <c r="Q892" t="s">
        <v>19900</v>
      </c>
      <c r="R892" t="s">
        <v>19905</v>
      </c>
      <c r="S892" t="s">
        <v>19906</v>
      </c>
      <c r="T892" t="s">
        <v>19918</v>
      </c>
    </row>
    <row r="893" spans="2:20" x14ac:dyDescent="0.25">
      <c r="B893" t="s">
        <v>2709</v>
      </c>
      <c r="C893">
        <v>12112000</v>
      </c>
      <c r="E893">
        <v>0</v>
      </c>
      <c r="F893">
        <v>18</v>
      </c>
      <c r="G893">
        <v>0</v>
      </c>
      <c r="H893" t="s">
        <v>19447</v>
      </c>
      <c r="I893" t="s">
        <v>19447</v>
      </c>
      <c r="J893">
        <v>8</v>
      </c>
      <c r="L893" t="s">
        <v>2709</v>
      </c>
      <c r="M893">
        <v>12112000</v>
      </c>
      <c r="O893" t="s">
        <v>19900</v>
      </c>
      <c r="P893" t="s">
        <v>19899</v>
      </c>
      <c r="Q893" t="s">
        <v>19900</v>
      </c>
      <c r="R893" t="s">
        <v>19447</v>
      </c>
      <c r="S893" t="s">
        <v>19447</v>
      </c>
      <c r="T893" t="s">
        <v>19918</v>
      </c>
    </row>
    <row r="894" spans="2:20" x14ac:dyDescent="0.25">
      <c r="B894" t="s">
        <v>2709</v>
      </c>
      <c r="C894">
        <v>12112000</v>
      </c>
      <c r="D894">
        <v>1</v>
      </c>
      <c r="E894" t="s">
        <v>19447</v>
      </c>
      <c r="F894">
        <v>18</v>
      </c>
      <c r="G894">
        <v>0</v>
      </c>
      <c r="H894">
        <v>7.6</v>
      </c>
      <c r="I894">
        <v>1.65</v>
      </c>
      <c r="J894">
        <v>8</v>
      </c>
      <c r="L894" t="s">
        <v>2709</v>
      </c>
      <c r="M894">
        <v>12112000</v>
      </c>
      <c r="N894">
        <v>1</v>
      </c>
      <c r="O894" t="s">
        <v>19447</v>
      </c>
      <c r="P894" t="s">
        <v>19899</v>
      </c>
      <c r="Q894" t="s">
        <v>19900</v>
      </c>
      <c r="R894" t="s">
        <v>19905</v>
      </c>
      <c r="S894" t="s">
        <v>19906</v>
      </c>
      <c r="T894" t="s">
        <v>19918</v>
      </c>
    </row>
    <row r="895" spans="2:20" x14ac:dyDescent="0.25">
      <c r="B895" t="s">
        <v>2709</v>
      </c>
      <c r="C895">
        <v>12113000</v>
      </c>
      <c r="E895">
        <v>0</v>
      </c>
      <c r="F895">
        <v>18</v>
      </c>
      <c r="G895">
        <v>0</v>
      </c>
      <c r="H895" t="s">
        <v>19447</v>
      </c>
      <c r="I895" t="s">
        <v>19447</v>
      </c>
      <c r="J895">
        <v>8</v>
      </c>
      <c r="L895" t="s">
        <v>2709</v>
      </c>
      <c r="M895">
        <v>12113000</v>
      </c>
      <c r="O895" t="s">
        <v>19900</v>
      </c>
      <c r="P895" t="s">
        <v>19899</v>
      </c>
      <c r="Q895" t="s">
        <v>19900</v>
      </c>
      <c r="R895" t="s">
        <v>19447</v>
      </c>
      <c r="S895" t="s">
        <v>19447</v>
      </c>
      <c r="T895" t="s">
        <v>19918</v>
      </c>
    </row>
    <row r="896" spans="2:20" x14ac:dyDescent="0.25">
      <c r="B896" t="s">
        <v>2709</v>
      </c>
      <c r="C896">
        <v>12113000</v>
      </c>
      <c r="D896">
        <v>1</v>
      </c>
      <c r="E896" t="s">
        <v>19447</v>
      </c>
      <c r="F896">
        <v>18</v>
      </c>
      <c r="G896">
        <v>0</v>
      </c>
      <c r="H896">
        <v>7.6</v>
      </c>
      <c r="I896">
        <v>1.65</v>
      </c>
      <c r="J896">
        <v>8</v>
      </c>
      <c r="L896" t="s">
        <v>2709</v>
      </c>
      <c r="M896">
        <v>12113000</v>
      </c>
      <c r="N896">
        <v>1</v>
      </c>
      <c r="O896" t="s">
        <v>19447</v>
      </c>
      <c r="P896" t="s">
        <v>19899</v>
      </c>
      <c r="Q896" t="s">
        <v>19900</v>
      </c>
      <c r="R896" t="s">
        <v>19905</v>
      </c>
      <c r="S896" t="s">
        <v>19906</v>
      </c>
      <c r="T896" t="s">
        <v>19918</v>
      </c>
    </row>
    <row r="897" spans="2:20" x14ac:dyDescent="0.25">
      <c r="B897" t="s">
        <v>2709</v>
      </c>
      <c r="C897">
        <v>12114000</v>
      </c>
      <c r="E897">
        <v>0</v>
      </c>
      <c r="F897">
        <v>18</v>
      </c>
      <c r="G897">
        <v>0</v>
      </c>
      <c r="H897" t="s">
        <v>19447</v>
      </c>
      <c r="I897" t="s">
        <v>19447</v>
      </c>
      <c r="J897">
        <v>8</v>
      </c>
      <c r="L897" t="s">
        <v>2709</v>
      </c>
      <c r="M897">
        <v>12114000</v>
      </c>
      <c r="O897" t="s">
        <v>19900</v>
      </c>
      <c r="P897" t="s">
        <v>19899</v>
      </c>
      <c r="Q897" t="s">
        <v>19900</v>
      </c>
      <c r="R897" t="s">
        <v>19447</v>
      </c>
      <c r="S897" t="s">
        <v>19447</v>
      </c>
      <c r="T897" t="s">
        <v>19918</v>
      </c>
    </row>
    <row r="898" spans="2:20" x14ac:dyDescent="0.25">
      <c r="B898" t="s">
        <v>2709</v>
      </c>
      <c r="C898">
        <v>12114000</v>
      </c>
      <c r="D898">
        <v>1</v>
      </c>
      <c r="E898" t="s">
        <v>19447</v>
      </c>
      <c r="F898">
        <v>18</v>
      </c>
      <c r="G898">
        <v>0</v>
      </c>
      <c r="H898">
        <v>7.6</v>
      </c>
      <c r="I898">
        <v>1.65</v>
      </c>
      <c r="J898">
        <v>8</v>
      </c>
      <c r="L898" t="s">
        <v>2709</v>
      </c>
      <c r="M898">
        <v>12114000</v>
      </c>
      <c r="N898">
        <v>1</v>
      </c>
      <c r="O898" t="s">
        <v>19447</v>
      </c>
      <c r="P898" t="s">
        <v>19899</v>
      </c>
      <c r="Q898" t="s">
        <v>19900</v>
      </c>
      <c r="R898" t="s">
        <v>19905</v>
      </c>
      <c r="S898" t="s">
        <v>19906</v>
      </c>
      <c r="T898" t="s">
        <v>19918</v>
      </c>
    </row>
    <row r="899" spans="2:20" x14ac:dyDescent="0.25">
      <c r="B899" t="s">
        <v>2709</v>
      </c>
      <c r="C899">
        <v>12119010</v>
      </c>
      <c r="E899">
        <v>0</v>
      </c>
      <c r="F899">
        <v>18</v>
      </c>
      <c r="G899">
        <v>0</v>
      </c>
      <c r="H899" t="s">
        <v>19447</v>
      </c>
      <c r="I899" t="s">
        <v>19447</v>
      </c>
      <c r="J899">
        <v>8</v>
      </c>
      <c r="L899" t="s">
        <v>2709</v>
      </c>
      <c r="M899">
        <v>12119010</v>
      </c>
      <c r="O899" t="s">
        <v>19900</v>
      </c>
      <c r="P899" t="s">
        <v>19899</v>
      </c>
      <c r="Q899" t="s">
        <v>19900</v>
      </c>
      <c r="R899" t="s">
        <v>19447</v>
      </c>
      <c r="S899" t="s">
        <v>19447</v>
      </c>
      <c r="T899" t="s">
        <v>19918</v>
      </c>
    </row>
    <row r="900" spans="2:20" x14ac:dyDescent="0.25">
      <c r="B900" t="s">
        <v>2709</v>
      </c>
      <c r="C900">
        <v>12119010</v>
      </c>
      <c r="D900">
        <v>1</v>
      </c>
      <c r="E900" t="s">
        <v>19447</v>
      </c>
      <c r="F900">
        <v>18</v>
      </c>
      <c r="G900">
        <v>0</v>
      </c>
      <c r="H900">
        <v>7.6</v>
      </c>
      <c r="I900">
        <v>1.65</v>
      </c>
      <c r="J900">
        <v>8</v>
      </c>
      <c r="L900" t="s">
        <v>2709</v>
      </c>
      <c r="M900">
        <v>12119010</v>
      </c>
      <c r="N900">
        <v>1</v>
      </c>
      <c r="O900" t="s">
        <v>19447</v>
      </c>
      <c r="P900" t="s">
        <v>19899</v>
      </c>
      <c r="Q900" t="s">
        <v>19900</v>
      </c>
      <c r="R900" t="s">
        <v>19905</v>
      </c>
      <c r="S900" t="s">
        <v>19906</v>
      </c>
      <c r="T900" t="s">
        <v>19918</v>
      </c>
    </row>
    <row r="901" spans="2:20" x14ac:dyDescent="0.25">
      <c r="B901" t="s">
        <v>2709</v>
      </c>
      <c r="C901">
        <v>12119090</v>
      </c>
      <c r="E901">
        <v>177.19</v>
      </c>
      <c r="F901">
        <v>18</v>
      </c>
      <c r="G901">
        <v>0</v>
      </c>
      <c r="H901" t="s">
        <v>19447</v>
      </c>
      <c r="I901" t="s">
        <v>19447</v>
      </c>
      <c r="J901">
        <v>8</v>
      </c>
      <c r="L901" t="s">
        <v>2709</v>
      </c>
      <c r="M901">
        <v>12119090</v>
      </c>
      <c r="O901" t="s">
        <v>19926</v>
      </c>
      <c r="P901" t="s">
        <v>19899</v>
      </c>
      <c r="Q901" t="s">
        <v>19900</v>
      </c>
      <c r="R901" t="s">
        <v>19447</v>
      </c>
      <c r="S901" t="s">
        <v>19447</v>
      </c>
      <c r="T901" t="s">
        <v>19918</v>
      </c>
    </row>
    <row r="902" spans="2:20" x14ac:dyDescent="0.25">
      <c r="B902" t="s">
        <v>2709</v>
      </c>
      <c r="C902">
        <v>12119090</v>
      </c>
      <c r="D902">
        <v>1</v>
      </c>
      <c r="E902" t="s">
        <v>19447</v>
      </c>
      <c r="F902">
        <v>18</v>
      </c>
      <c r="G902">
        <v>0</v>
      </c>
      <c r="H902">
        <v>7.6</v>
      </c>
      <c r="I902">
        <v>1.65</v>
      </c>
      <c r="J902">
        <v>8</v>
      </c>
      <c r="L902" t="s">
        <v>2709</v>
      </c>
      <c r="M902">
        <v>12119090</v>
      </c>
      <c r="N902">
        <v>1</v>
      </c>
      <c r="O902" t="s">
        <v>19447</v>
      </c>
      <c r="P902" t="s">
        <v>19899</v>
      </c>
      <c r="Q902" t="s">
        <v>19900</v>
      </c>
      <c r="R902" t="s">
        <v>19905</v>
      </c>
      <c r="S902" t="s">
        <v>19906</v>
      </c>
      <c r="T902" t="s">
        <v>19918</v>
      </c>
    </row>
    <row r="903" spans="2:20" x14ac:dyDescent="0.25">
      <c r="B903" t="s">
        <v>2709</v>
      </c>
      <c r="C903">
        <v>12122100</v>
      </c>
      <c r="E903">
        <v>0</v>
      </c>
      <c r="F903">
        <v>18</v>
      </c>
      <c r="G903">
        <v>0</v>
      </c>
      <c r="H903" t="s">
        <v>19447</v>
      </c>
      <c r="I903" t="s">
        <v>19447</v>
      </c>
      <c r="J903">
        <v>6</v>
      </c>
      <c r="L903" t="s">
        <v>2709</v>
      </c>
      <c r="M903">
        <v>12122100</v>
      </c>
      <c r="O903" t="s">
        <v>19900</v>
      </c>
      <c r="P903" t="s">
        <v>19899</v>
      </c>
      <c r="Q903" t="s">
        <v>19900</v>
      </c>
      <c r="R903" t="s">
        <v>19447</v>
      </c>
      <c r="S903" t="s">
        <v>19447</v>
      </c>
      <c r="T903" t="s">
        <v>19907</v>
      </c>
    </row>
    <row r="904" spans="2:20" x14ac:dyDescent="0.25">
      <c r="B904" t="s">
        <v>2709</v>
      </c>
      <c r="C904">
        <v>12122100</v>
      </c>
      <c r="D904">
        <v>1</v>
      </c>
      <c r="E904" t="s">
        <v>19447</v>
      </c>
      <c r="F904">
        <v>18</v>
      </c>
      <c r="G904">
        <v>0</v>
      </c>
      <c r="H904">
        <v>7.6</v>
      </c>
      <c r="I904">
        <v>1.65</v>
      </c>
      <c r="J904">
        <v>6</v>
      </c>
      <c r="L904" t="s">
        <v>2709</v>
      </c>
      <c r="M904">
        <v>12122100</v>
      </c>
      <c r="N904">
        <v>1</v>
      </c>
      <c r="O904" t="s">
        <v>19447</v>
      </c>
      <c r="P904" t="s">
        <v>19899</v>
      </c>
      <c r="Q904" t="s">
        <v>19900</v>
      </c>
      <c r="R904" t="s">
        <v>19905</v>
      </c>
      <c r="S904" t="s">
        <v>19906</v>
      </c>
      <c r="T904" t="s">
        <v>19907</v>
      </c>
    </row>
    <row r="905" spans="2:20" x14ac:dyDescent="0.25">
      <c r="B905" t="s">
        <v>2709</v>
      </c>
      <c r="C905">
        <v>12122900</v>
      </c>
      <c r="E905">
        <v>0</v>
      </c>
      <c r="F905">
        <v>18</v>
      </c>
      <c r="G905">
        <v>0</v>
      </c>
      <c r="H905" t="s">
        <v>19447</v>
      </c>
      <c r="I905" t="s">
        <v>19447</v>
      </c>
      <c r="J905">
        <v>6</v>
      </c>
      <c r="L905" t="s">
        <v>2709</v>
      </c>
      <c r="M905">
        <v>12122900</v>
      </c>
      <c r="O905" t="s">
        <v>19900</v>
      </c>
      <c r="P905" t="s">
        <v>19899</v>
      </c>
      <c r="Q905" t="s">
        <v>19900</v>
      </c>
      <c r="R905" t="s">
        <v>19447</v>
      </c>
      <c r="S905" t="s">
        <v>19447</v>
      </c>
      <c r="T905" t="s">
        <v>19907</v>
      </c>
    </row>
    <row r="906" spans="2:20" x14ac:dyDescent="0.25">
      <c r="B906" t="s">
        <v>2709</v>
      </c>
      <c r="C906">
        <v>12122900</v>
      </c>
      <c r="D906">
        <v>1</v>
      </c>
      <c r="E906" t="s">
        <v>19447</v>
      </c>
      <c r="F906">
        <v>18</v>
      </c>
      <c r="G906">
        <v>0</v>
      </c>
      <c r="H906">
        <v>7.6</v>
      </c>
      <c r="I906">
        <v>1.65</v>
      </c>
      <c r="J906">
        <v>6</v>
      </c>
      <c r="L906" t="s">
        <v>2709</v>
      </c>
      <c r="M906">
        <v>12122900</v>
      </c>
      <c r="N906">
        <v>1</v>
      </c>
      <c r="O906" t="s">
        <v>19447</v>
      </c>
      <c r="P906" t="s">
        <v>19899</v>
      </c>
      <c r="Q906" t="s">
        <v>19900</v>
      </c>
      <c r="R906" t="s">
        <v>19905</v>
      </c>
      <c r="S906" t="s">
        <v>19906</v>
      </c>
      <c r="T906" t="s">
        <v>19907</v>
      </c>
    </row>
    <row r="907" spans="2:20" x14ac:dyDescent="0.25">
      <c r="B907" t="s">
        <v>2709</v>
      </c>
      <c r="C907">
        <v>12129100</v>
      </c>
      <c r="E907">
        <v>0</v>
      </c>
      <c r="F907">
        <v>18</v>
      </c>
      <c r="G907">
        <v>0</v>
      </c>
      <c r="H907" t="s">
        <v>19447</v>
      </c>
      <c r="I907" t="s">
        <v>19447</v>
      </c>
      <c r="J907">
        <v>8</v>
      </c>
      <c r="L907" t="s">
        <v>2709</v>
      </c>
      <c r="M907">
        <v>12129100</v>
      </c>
      <c r="O907" t="s">
        <v>19900</v>
      </c>
      <c r="P907" t="s">
        <v>19899</v>
      </c>
      <c r="Q907" t="s">
        <v>19900</v>
      </c>
      <c r="R907" t="s">
        <v>19447</v>
      </c>
      <c r="S907" t="s">
        <v>19447</v>
      </c>
      <c r="T907" t="s">
        <v>19918</v>
      </c>
    </row>
    <row r="908" spans="2:20" x14ac:dyDescent="0.25">
      <c r="B908" t="s">
        <v>2709</v>
      </c>
      <c r="C908">
        <v>12129200</v>
      </c>
      <c r="E908">
        <v>0</v>
      </c>
      <c r="F908">
        <v>18</v>
      </c>
      <c r="G908">
        <v>0</v>
      </c>
      <c r="H908" t="s">
        <v>19447</v>
      </c>
      <c r="I908" t="s">
        <v>19447</v>
      </c>
      <c r="J908">
        <v>8</v>
      </c>
      <c r="L908" t="s">
        <v>2709</v>
      </c>
      <c r="M908">
        <v>12129200</v>
      </c>
      <c r="O908" t="s">
        <v>19900</v>
      </c>
      <c r="P908" t="s">
        <v>19899</v>
      </c>
      <c r="Q908" t="s">
        <v>19900</v>
      </c>
      <c r="R908" t="s">
        <v>19447</v>
      </c>
      <c r="S908" t="s">
        <v>19447</v>
      </c>
      <c r="T908" t="s">
        <v>19918</v>
      </c>
    </row>
    <row r="909" spans="2:20" x14ac:dyDescent="0.25">
      <c r="B909" t="s">
        <v>2709</v>
      </c>
      <c r="C909">
        <v>12129200</v>
      </c>
      <c r="D909">
        <v>1</v>
      </c>
      <c r="E909" t="s">
        <v>19447</v>
      </c>
      <c r="F909">
        <v>18</v>
      </c>
      <c r="G909">
        <v>0</v>
      </c>
      <c r="H909">
        <v>7.6</v>
      </c>
      <c r="I909">
        <v>1.65</v>
      </c>
      <c r="J909">
        <v>8</v>
      </c>
      <c r="L909" t="s">
        <v>2709</v>
      </c>
      <c r="M909">
        <v>12129200</v>
      </c>
      <c r="N909">
        <v>1</v>
      </c>
      <c r="O909" t="s">
        <v>19447</v>
      </c>
      <c r="P909" t="s">
        <v>19899</v>
      </c>
      <c r="Q909" t="s">
        <v>19900</v>
      </c>
      <c r="R909" t="s">
        <v>19905</v>
      </c>
      <c r="S909" t="s">
        <v>19906</v>
      </c>
      <c r="T909" t="s">
        <v>19918</v>
      </c>
    </row>
    <row r="910" spans="2:20" x14ac:dyDescent="0.25">
      <c r="B910" t="s">
        <v>2709</v>
      </c>
      <c r="C910">
        <v>12129300</v>
      </c>
      <c r="E910">
        <v>0</v>
      </c>
      <c r="F910">
        <v>18</v>
      </c>
      <c r="G910">
        <v>0</v>
      </c>
      <c r="H910" t="s">
        <v>19447</v>
      </c>
      <c r="I910" t="s">
        <v>19447</v>
      </c>
      <c r="J910">
        <v>8</v>
      </c>
      <c r="L910" t="s">
        <v>2709</v>
      </c>
      <c r="M910">
        <v>12129300</v>
      </c>
      <c r="O910" t="s">
        <v>19900</v>
      </c>
      <c r="P910" t="s">
        <v>19899</v>
      </c>
      <c r="Q910" t="s">
        <v>19900</v>
      </c>
      <c r="R910" t="s">
        <v>19447</v>
      </c>
      <c r="S910" t="s">
        <v>19447</v>
      </c>
      <c r="T910" t="s">
        <v>19918</v>
      </c>
    </row>
    <row r="911" spans="2:20" x14ac:dyDescent="0.25">
      <c r="B911" t="s">
        <v>2709</v>
      </c>
      <c r="C911">
        <v>12129400</v>
      </c>
      <c r="E911">
        <v>0</v>
      </c>
      <c r="F911">
        <v>18</v>
      </c>
      <c r="G911">
        <v>0</v>
      </c>
      <c r="H911" t="s">
        <v>19447</v>
      </c>
      <c r="I911" t="s">
        <v>19447</v>
      </c>
      <c r="J911">
        <v>8</v>
      </c>
      <c r="L911" t="s">
        <v>2709</v>
      </c>
      <c r="M911">
        <v>12129400</v>
      </c>
      <c r="O911" t="s">
        <v>19900</v>
      </c>
      <c r="P911" t="s">
        <v>19899</v>
      </c>
      <c r="Q911" t="s">
        <v>19900</v>
      </c>
      <c r="R911" t="s">
        <v>19447</v>
      </c>
      <c r="S911" t="s">
        <v>19447</v>
      </c>
      <c r="T911" t="s">
        <v>19918</v>
      </c>
    </row>
    <row r="912" spans="2:20" x14ac:dyDescent="0.25">
      <c r="B912" t="s">
        <v>2709</v>
      </c>
      <c r="C912">
        <v>12129910</v>
      </c>
      <c r="E912">
        <v>0</v>
      </c>
      <c r="F912">
        <v>18</v>
      </c>
      <c r="G912">
        <v>0</v>
      </c>
      <c r="H912" t="s">
        <v>19447</v>
      </c>
      <c r="I912" t="s">
        <v>19447</v>
      </c>
      <c r="J912">
        <v>8</v>
      </c>
      <c r="L912" t="s">
        <v>2709</v>
      </c>
      <c r="M912">
        <v>12129910</v>
      </c>
      <c r="O912" t="s">
        <v>19900</v>
      </c>
      <c r="P912" t="s">
        <v>19899</v>
      </c>
      <c r="Q912" t="s">
        <v>19900</v>
      </c>
      <c r="R912" t="s">
        <v>19447</v>
      </c>
      <c r="S912" t="s">
        <v>19447</v>
      </c>
      <c r="T912" t="s">
        <v>19918</v>
      </c>
    </row>
    <row r="913" spans="2:20" x14ac:dyDescent="0.25">
      <c r="B913" t="s">
        <v>2709</v>
      </c>
      <c r="C913">
        <v>12129990</v>
      </c>
      <c r="E913">
        <v>0</v>
      </c>
      <c r="F913">
        <v>18</v>
      </c>
      <c r="G913">
        <v>0</v>
      </c>
      <c r="H913" t="s">
        <v>19447</v>
      </c>
      <c r="I913" t="s">
        <v>19447</v>
      </c>
      <c r="J913">
        <v>8</v>
      </c>
      <c r="L913" t="s">
        <v>2709</v>
      </c>
      <c r="M913">
        <v>12129990</v>
      </c>
      <c r="O913" t="s">
        <v>19900</v>
      </c>
      <c r="P913" t="s">
        <v>19899</v>
      </c>
      <c r="Q913" t="s">
        <v>19900</v>
      </c>
      <c r="R913" t="s">
        <v>19447</v>
      </c>
      <c r="S913" t="s">
        <v>19447</v>
      </c>
      <c r="T913" t="s">
        <v>19918</v>
      </c>
    </row>
    <row r="914" spans="2:20" x14ac:dyDescent="0.25">
      <c r="B914" t="s">
        <v>2709</v>
      </c>
      <c r="C914">
        <v>12130000</v>
      </c>
      <c r="E914">
        <v>0</v>
      </c>
      <c r="F914">
        <v>18</v>
      </c>
      <c r="G914">
        <v>0</v>
      </c>
      <c r="H914">
        <v>7.6</v>
      </c>
      <c r="I914">
        <v>1.65</v>
      </c>
      <c r="J914">
        <v>8</v>
      </c>
      <c r="L914" t="s">
        <v>2709</v>
      </c>
      <c r="M914">
        <v>12130000</v>
      </c>
      <c r="O914" t="s">
        <v>19900</v>
      </c>
      <c r="P914" t="s">
        <v>19899</v>
      </c>
      <c r="Q914" t="s">
        <v>19900</v>
      </c>
      <c r="R914" t="s">
        <v>19905</v>
      </c>
      <c r="S914" t="s">
        <v>19906</v>
      </c>
      <c r="T914" t="s">
        <v>19918</v>
      </c>
    </row>
    <row r="915" spans="2:20" x14ac:dyDescent="0.25">
      <c r="B915" t="s">
        <v>2709</v>
      </c>
      <c r="C915">
        <v>12141000</v>
      </c>
      <c r="E915">
        <v>0</v>
      </c>
      <c r="F915">
        <v>18</v>
      </c>
      <c r="G915">
        <v>0</v>
      </c>
      <c r="H915">
        <v>7.6</v>
      </c>
      <c r="I915">
        <v>1.65</v>
      </c>
      <c r="J915">
        <v>8</v>
      </c>
      <c r="L915" t="s">
        <v>2709</v>
      </c>
      <c r="M915">
        <v>12141000</v>
      </c>
      <c r="O915" t="s">
        <v>19900</v>
      </c>
      <c r="P915" t="s">
        <v>19899</v>
      </c>
      <c r="Q915" t="s">
        <v>19900</v>
      </c>
      <c r="R915" t="s">
        <v>19905</v>
      </c>
      <c r="S915" t="s">
        <v>19906</v>
      </c>
      <c r="T915" t="s">
        <v>19918</v>
      </c>
    </row>
    <row r="916" spans="2:20" x14ac:dyDescent="0.25">
      <c r="B916" t="s">
        <v>2709</v>
      </c>
      <c r="C916">
        <v>12149000</v>
      </c>
      <c r="E916">
        <v>0</v>
      </c>
      <c r="F916">
        <v>18</v>
      </c>
      <c r="G916">
        <v>0</v>
      </c>
      <c r="H916">
        <v>7.6</v>
      </c>
      <c r="I916">
        <v>1.65</v>
      </c>
      <c r="J916">
        <v>8</v>
      </c>
      <c r="L916" t="s">
        <v>2709</v>
      </c>
      <c r="M916">
        <v>12149000</v>
      </c>
      <c r="O916" t="s">
        <v>19900</v>
      </c>
      <c r="P916" t="s">
        <v>19899</v>
      </c>
      <c r="Q916" t="s">
        <v>19900</v>
      </c>
      <c r="R916" t="s">
        <v>19905</v>
      </c>
      <c r="S916" t="s">
        <v>19906</v>
      </c>
      <c r="T916" t="s">
        <v>19918</v>
      </c>
    </row>
    <row r="917" spans="2:20" x14ac:dyDescent="0.25">
      <c r="B917" t="s">
        <v>2709</v>
      </c>
      <c r="C917">
        <v>13012000</v>
      </c>
      <c r="E917" t="s">
        <v>19447</v>
      </c>
      <c r="F917">
        <v>18</v>
      </c>
      <c r="G917">
        <v>0</v>
      </c>
      <c r="H917">
        <v>7.6</v>
      </c>
      <c r="I917">
        <v>1.65</v>
      </c>
      <c r="J917">
        <v>4</v>
      </c>
      <c r="L917" t="s">
        <v>2709</v>
      </c>
      <c r="M917">
        <v>13012000</v>
      </c>
      <c r="O917" t="s">
        <v>19447</v>
      </c>
      <c r="P917" t="s">
        <v>19899</v>
      </c>
      <c r="Q917" t="s">
        <v>19900</v>
      </c>
      <c r="R917" t="s">
        <v>19905</v>
      </c>
      <c r="S917" t="s">
        <v>19906</v>
      </c>
      <c r="T917" t="s">
        <v>19902</v>
      </c>
    </row>
    <row r="918" spans="2:20" x14ac:dyDescent="0.25">
      <c r="B918" t="s">
        <v>2709</v>
      </c>
      <c r="C918">
        <v>13019010</v>
      </c>
      <c r="E918" t="s">
        <v>19447</v>
      </c>
      <c r="F918">
        <v>18</v>
      </c>
      <c r="G918">
        <v>0</v>
      </c>
      <c r="H918">
        <v>7.6</v>
      </c>
      <c r="I918">
        <v>1.65</v>
      </c>
      <c r="J918">
        <v>4</v>
      </c>
      <c r="L918" t="s">
        <v>2709</v>
      </c>
      <c r="M918">
        <v>13019010</v>
      </c>
      <c r="O918" t="s">
        <v>19447</v>
      </c>
      <c r="P918" t="s">
        <v>19899</v>
      </c>
      <c r="Q918" t="s">
        <v>19900</v>
      </c>
      <c r="R918" t="s">
        <v>19905</v>
      </c>
      <c r="S918" t="s">
        <v>19906</v>
      </c>
      <c r="T918" t="s">
        <v>19902</v>
      </c>
    </row>
    <row r="919" spans="2:20" x14ac:dyDescent="0.25">
      <c r="B919" t="s">
        <v>2709</v>
      </c>
      <c r="C919">
        <v>13019090</v>
      </c>
      <c r="E919" t="s">
        <v>19447</v>
      </c>
      <c r="F919">
        <v>18</v>
      </c>
      <c r="G919">
        <v>0</v>
      </c>
      <c r="H919">
        <v>7.6</v>
      </c>
      <c r="I919">
        <v>1.65</v>
      </c>
      <c r="J919">
        <v>8</v>
      </c>
      <c r="L919" t="s">
        <v>2709</v>
      </c>
      <c r="M919">
        <v>13019090</v>
      </c>
      <c r="O919" t="s">
        <v>19447</v>
      </c>
      <c r="P919" t="s">
        <v>19899</v>
      </c>
      <c r="Q919" t="s">
        <v>19900</v>
      </c>
      <c r="R919" t="s">
        <v>19905</v>
      </c>
      <c r="S919" t="s">
        <v>19906</v>
      </c>
      <c r="T919" t="s">
        <v>19918</v>
      </c>
    </row>
    <row r="920" spans="2:20" x14ac:dyDescent="0.25">
      <c r="B920" t="s">
        <v>2709</v>
      </c>
      <c r="C920">
        <v>13021110</v>
      </c>
      <c r="E920" t="s">
        <v>19447</v>
      </c>
      <c r="F920">
        <v>18</v>
      </c>
      <c r="G920">
        <v>0</v>
      </c>
      <c r="H920">
        <v>7.6</v>
      </c>
      <c r="I920">
        <v>1.65</v>
      </c>
      <c r="J920">
        <v>8</v>
      </c>
      <c r="L920" t="s">
        <v>2709</v>
      </c>
      <c r="M920">
        <v>13021110</v>
      </c>
      <c r="O920" t="s">
        <v>19447</v>
      </c>
      <c r="P920" t="s">
        <v>19899</v>
      </c>
      <c r="Q920" t="s">
        <v>19900</v>
      </c>
      <c r="R920" t="s">
        <v>19905</v>
      </c>
      <c r="S920" t="s">
        <v>19906</v>
      </c>
      <c r="T920" t="s">
        <v>19918</v>
      </c>
    </row>
    <row r="921" spans="2:20" x14ac:dyDescent="0.25">
      <c r="B921" t="s">
        <v>2709</v>
      </c>
      <c r="C921">
        <v>13021190</v>
      </c>
      <c r="E921" t="s">
        <v>19447</v>
      </c>
      <c r="F921">
        <v>18</v>
      </c>
      <c r="G921">
        <v>0</v>
      </c>
      <c r="H921">
        <v>7.6</v>
      </c>
      <c r="I921">
        <v>1.65</v>
      </c>
      <c r="J921">
        <v>8</v>
      </c>
      <c r="L921" t="s">
        <v>2709</v>
      </c>
      <c r="M921">
        <v>13021190</v>
      </c>
      <c r="O921" t="s">
        <v>19447</v>
      </c>
      <c r="P921" t="s">
        <v>19899</v>
      </c>
      <c r="Q921" t="s">
        <v>19900</v>
      </c>
      <c r="R921" t="s">
        <v>19905</v>
      </c>
      <c r="S921" t="s">
        <v>19906</v>
      </c>
      <c r="T921" t="s">
        <v>19918</v>
      </c>
    </row>
    <row r="922" spans="2:20" x14ac:dyDescent="0.25">
      <c r="B922" t="s">
        <v>2709</v>
      </c>
      <c r="C922">
        <v>13021200</v>
      </c>
      <c r="E922" t="s">
        <v>19447</v>
      </c>
      <c r="F922">
        <v>18</v>
      </c>
      <c r="G922">
        <v>0</v>
      </c>
      <c r="H922">
        <v>7.6</v>
      </c>
      <c r="I922">
        <v>1.65</v>
      </c>
      <c r="J922">
        <v>8</v>
      </c>
      <c r="L922" t="s">
        <v>2709</v>
      </c>
      <c r="M922">
        <v>13021200</v>
      </c>
      <c r="O922" t="s">
        <v>19447</v>
      </c>
      <c r="P922" t="s">
        <v>19899</v>
      </c>
      <c r="Q922" t="s">
        <v>19900</v>
      </c>
      <c r="R922" t="s">
        <v>19905</v>
      </c>
      <c r="S922" t="s">
        <v>19906</v>
      </c>
      <c r="T922" t="s">
        <v>19918</v>
      </c>
    </row>
    <row r="923" spans="2:20" x14ac:dyDescent="0.25">
      <c r="B923" t="s">
        <v>2709</v>
      </c>
      <c r="C923">
        <v>13021300</v>
      </c>
      <c r="E923" t="s">
        <v>19447</v>
      </c>
      <c r="F923">
        <v>18</v>
      </c>
      <c r="G923">
        <v>5</v>
      </c>
      <c r="H923">
        <v>7.6</v>
      </c>
      <c r="I923">
        <v>1.65</v>
      </c>
      <c r="J923">
        <v>8</v>
      </c>
      <c r="L923" t="s">
        <v>2709</v>
      </c>
      <c r="M923">
        <v>13021300</v>
      </c>
      <c r="O923" t="s">
        <v>19447</v>
      </c>
      <c r="P923" t="s">
        <v>19899</v>
      </c>
      <c r="Q923" t="s">
        <v>19909</v>
      </c>
      <c r="R923" t="s">
        <v>19905</v>
      </c>
      <c r="S923" t="s">
        <v>19906</v>
      </c>
      <c r="T923" t="s">
        <v>19918</v>
      </c>
    </row>
    <row r="924" spans="2:20" x14ac:dyDescent="0.25">
      <c r="B924" t="s">
        <v>2709</v>
      </c>
      <c r="C924">
        <v>13021910</v>
      </c>
      <c r="E924" t="s">
        <v>19447</v>
      </c>
      <c r="F924">
        <v>18</v>
      </c>
      <c r="G924">
        <v>0</v>
      </c>
      <c r="H924">
        <v>7.6</v>
      </c>
      <c r="I924">
        <v>1.65</v>
      </c>
      <c r="J924">
        <v>8</v>
      </c>
      <c r="L924" t="s">
        <v>2709</v>
      </c>
      <c r="M924">
        <v>13021910</v>
      </c>
      <c r="O924" t="s">
        <v>19447</v>
      </c>
      <c r="P924" t="s">
        <v>19899</v>
      </c>
      <c r="Q924" t="s">
        <v>19900</v>
      </c>
      <c r="R924" t="s">
        <v>19905</v>
      </c>
      <c r="S924" t="s">
        <v>19906</v>
      </c>
      <c r="T924" t="s">
        <v>19918</v>
      </c>
    </row>
    <row r="925" spans="2:20" x14ac:dyDescent="0.25">
      <c r="B925" t="s">
        <v>2709</v>
      </c>
      <c r="C925">
        <v>13021920</v>
      </c>
      <c r="E925" t="s">
        <v>19447</v>
      </c>
      <c r="F925">
        <v>18</v>
      </c>
      <c r="G925">
        <v>0</v>
      </c>
      <c r="H925">
        <v>7.6</v>
      </c>
      <c r="I925">
        <v>1.65</v>
      </c>
      <c r="J925">
        <v>8</v>
      </c>
      <c r="L925" t="s">
        <v>2709</v>
      </c>
      <c r="M925">
        <v>13021920</v>
      </c>
      <c r="O925" t="s">
        <v>19447</v>
      </c>
      <c r="P925" t="s">
        <v>19899</v>
      </c>
      <c r="Q925" t="s">
        <v>19900</v>
      </c>
      <c r="R925" t="s">
        <v>19905</v>
      </c>
      <c r="S925" t="s">
        <v>19906</v>
      </c>
      <c r="T925" t="s">
        <v>19918</v>
      </c>
    </row>
    <row r="926" spans="2:20" x14ac:dyDescent="0.25">
      <c r="B926" t="s">
        <v>2709</v>
      </c>
      <c r="C926">
        <v>13021930</v>
      </c>
      <c r="E926" t="s">
        <v>19447</v>
      </c>
      <c r="F926">
        <v>18</v>
      </c>
      <c r="G926">
        <v>0</v>
      </c>
      <c r="H926">
        <v>7.6</v>
      </c>
      <c r="I926">
        <v>1.65</v>
      </c>
      <c r="J926">
        <v>2</v>
      </c>
      <c r="L926" t="s">
        <v>2709</v>
      </c>
      <c r="M926">
        <v>13021930</v>
      </c>
      <c r="O926" t="s">
        <v>19447</v>
      </c>
      <c r="P926" t="s">
        <v>19899</v>
      </c>
      <c r="Q926" t="s">
        <v>19900</v>
      </c>
      <c r="R926" t="s">
        <v>19905</v>
      </c>
      <c r="S926" t="s">
        <v>19906</v>
      </c>
      <c r="T926" t="s">
        <v>19901</v>
      </c>
    </row>
    <row r="927" spans="2:20" x14ac:dyDescent="0.25">
      <c r="B927" t="s">
        <v>2709</v>
      </c>
      <c r="C927">
        <v>13021940</v>
      </c>
      <c r="E927" t="s">
        <v>19447</v>
      </c>
      <c r="F927">
        <v>18</v>
      </c>
      <c r="G927">
        <v>0</v>
      </c>
      <c r="H927">
        <v>7.6</v>
      </c>
      <c r="I927">
        <v>1.65</v>
      </c>
      <c r="J927">
        <v>2</v>
      </c>
      <c r="L927" t="s">
        <v>2709</v>
      </c>
      <c r="M927">
        <v>13021940</v>
      </c>
      <c r="O927" t="s">
        <v>19447</v>
      </c>
      <c r="P927" t="s">
        <v>19899</v>
      </c>
      <c r="Q927" t="s">
        <v>19900</v>
      </c>
      <c r="R927" t="s">
        <v>19905</v>
      </c>
      <c r="S927" t="s">
        <v>19906</v>
      </c>
      <c r="T927" t="s">
        <v>19901</v>
      </c>
    </row>
    <row r="928" spans="2:20" x14ac:dyDescent="0.25">
      <c r="B928" t="s">
        <v>2709</v>
      </c>
      <c r="C928">
        <v>13021950</v>
      </c>
      <c r="E928" t="s">
        <v>19447</v>
      </c>
      <c r="F928">
        <v>18</v>
      </c>
      <c r="G928">
        <v>0</v>
      </c>
      <c r="H928">
        <v>7.6</v>
      </c>
      <c r="I928">
        <v>1.65</v>
      </c>
      <c r="J928">
        <v>2</v>
      </c>
      <c r="L928" t="s">
        <v>2709</v>
      </c>
      <c r="M928">
        <v>13021950</v>
      </c>
      <c r="O928" t="s">
        <v>19447</v>
      </c>
      <c r="P928" t="s">
        <v>19899</v>
      </c>
      <c r="Q928" t="s">
        <v>19900</v>
      </c>
      <c r="R928" t="s">
        <v>19905</v>
      </c>
      <c r="S928" t="s">
        <v>19906</v>
      </c>
      <c r="T928" t="s">
        <v>19901</v>
      </c>
    </row>
    <row r="929" spans="2:20" x14ac:dyDescent="0.25">
      <c r="B929" t="s">
        <v>2709</v>
      </c>
      <c r="C929">
        <v>13021960</v>
      </c>
      <c r="E929" t="s">
        <v>19447</v>
      </c>
      <c r="F929">
        <v>18</v>
      </c>
      <c r="G929">
        <v>0</v>
      </c>
      <c r="H929">
        <v>7.6</v>
      </c>
      <c r="I929">
        <v>1.65</v>
      </c>
      <c r="J929">
        <v>14</v>
      </c>
      <c r="L929" t="s">
        <v>2709</v>
      </c>
      <c r="M929">
        <v>13021960</v>
      </c>
      <c r="O929" t="s">
        <v>19447</v>
      </c>
      <c r="P929" t="s">
        <v>19899</v>
      </c>
      <c r="Q929" t="s">
        <v>19900</v>
      </c>
      <c r="R929" t="s">
        <v>19905</v>
      </c>
      <c r="S929" t="s">
        <v>19906</v>
      </c>
      <c r="T929" t="s">
        <v>19911</v>
      </c>
    </row>
    <row r="930" spans="2:20" x14ac:dyDescent="0.25">
      <c r="B930" t="s">
        <v>2709</v>
      </c>
      <c r="C930">
        <v>13021991</v>
      </c>
      <c r="E930" t="s">
        <v>19447</v>
      </c>
      <c r="F930">
        <v>18</v>
      </c>
      <c r="G930">
        <v>0</v>
      </c>
      <c r="H930">
        <v>7.6</v>
      </c>
      <c r="I930">
        <v>1.65</v>
      </c>
      <c r="J930">
        <v>2</v>
      </c>
      <c r="L930" t="s">
        <v>2709</v>
      </c>
      <c r="M930">
        <v>13021991</v>
      </c>
      <c r="O930" t="s">
        <v>19447</v>
      </c>
      <c r="P930" t="s">
        <v>19899</v>
      </c>
      <c r="Q930" t="s">
        <v>19900</v>
      </c>
      <c r="R930" t="s">
        <v>19905</v>
      </c>
      <c r="S930" t="s">
        <v>19906</v>
      </c>
      <c r="T930" t="s">
        <v>19901</v>
      </c>
    </row>
    <row r="931" spans="2:20" x14ac:dyDescent="0.25">
      <c r="B931" t="s">
        <v>2709</v>
      </c>
      <c r="C931">
        <v>13021999</v>
      </c>
      <c r="E931" t="s">
        <v>19447</v>
      </c>
      <c r="F931">
        <v>18</v>
      </c>
      <c r="G931">
        <v>0</v>
      </c>
      <c r="H931">
        <v>7.6</v>
      </c>
      <c r="I931">
        <v>1.65</v>
      </c>
      <c r="J931">
        <v>8</v>
      </c>
      <c r="L931" t="s">
        <v>2709</v>
      </c>
      <c r="M931">
        <v>13021999</v>
      </c>
      <c r="O931" t="s">
        <v>19447</v>
      </c>
      <c r="P931" t="s">
        <v>19899</v>
      </c>
      <c r="Q931" t="s">
        <v>19900</v>
      </c>
      <c r="R931" t="s">
        <v>19905</v>
      </c>
      <c r="S931" t="s">
        <v>19906</v>
      </c>
      <c r="T931" t="s">
        <v>19918</v>
      </c>
    </row>
    <row r="932" spans="2:20" x14ac:dyDescent="0.25">
      <c r="B932" t="s">
        <v>2709</v>
      </c>
      <c r="C932">
        <v>13022010</v>
      </c>
      <c r="E932" t="s">
        <v>19447</v>
      </c>
      <c r="F932">
        <v>18</v>
      </c>
      <c r="G932">
        <v>0</v>
      </c>
      <c r="H932">
        <v>7.6</v>
      </c>
      <c r="I932">
        <v>1.65</v>
      </c>
      <c r="J932">
        <v>8</v>
      </c>
      <c r="L932" t="s">
        <v>2709</v>
      </c>
      <c r="M932">
        <v>13022010</v>
      </c>
      <c r="O932" t="s">
        <v>19447</v>
      </c>
      <c r="P932" t="s">
        <v>19899</v>
      </c>
      <c r="Q932" t="s">
        <v>19900</v>
      </c>
      <c r="R932" t="s">
        <v>19905</v>
      </c>
      <c r="S932" t="s">
        <v>19906</v>
      </c>
      <c r="T932" t="s">
        <v>19918</v>
      </c>
    </row>
    <row r="933" spans="2:20" x14ac:dyDescent="0.25">
      <c r="B933" t="s">
        <v>2709</v>
      </c>
      <c r="C933">
        <v>13022090</v>
      </c>
      <c r="E933" t="s">
        <v>19447</v>
      </c>
      <c r="F933">
        <v>18</v>
      </c>
      <c r="G933">
        <v>0</v>
      </c>
      <c r="H933">
        <v>7.6</v>
      </c>
      <c r="I933">
        <v>1.65</v>
      </c>
      <c r="J933">
        <v>8</v>
      </c>
      <c r="L933" t="s">
        <v>2709</v>
      </c>
      <c r="M933">
        <v>13022090</v>
      </c>
      <c r="O933" t="s">
        <v>19447</v>
      </c>
      <c r="P933" t="s">
        <v>19899</v>
      </c>
      <c r="Q933" t="s">
        <v>19900</v>
      </c>
      <c r="R933" t="s">
        <v>19905</v>
      </c>
      <c r="S933" t="s">
        <v>19906</v>
      </c>
      <c r="T933" t="s">
        <v>19918</v>
      </c>
    </row>
    <row r="934" spans="2:20" x14ac:dyDescent="0.25">
      <c r="B934" t="s">
        <v>2709</v>
      </c>
      <c r="C934">
        <v>13023100</v>
      </c>
      <c r="E934" t="s">
        <v>19447</v>
      </c>
      <c r="F934">
        <v>18</v>
      </c>
      <c r="G934">
        <v>0</v>
      </c>
      <c r="H934">
        <v>7.6</v>
      </c>
      <c r="I934">
        <v>1.65</v>
      </c>
      <c r="J934">
        <v>10</v>
      </c>
      <c r="L934" t="s">
        <v>2709</v>
      </c>
      <c r="M934">
        <v>13023100</v>
      </c>
      <c r="O934" t="s">
        <v>19447</v>
      </c>
      <c r="P934" t="s">
        <v>19899</v>
      </c>
      <c r="Q934" t="s">
        <v>19900</v>
      </c>
      <c r="R934" t="s">
        <v>19905</v>
      </c>
      <c r="S934" t="s">
        <v>19906</v>
      </c>
      <c r="T934" t="s">
        <v>19904</v>
      </c>
    </row>
    <row r="935" spans="2:20" x14ac:dyDescent="0.25">
      <c r="B935" t="s">
        <v>2709</v>
      </c>
      <c r="C935">
        <v>13023211</v>
      </c>
      <c r="E935" t="s">
        <v>19447</v>
      </c>
      <c r="F935">
        <v>18</v>
      </c>
      <c r="G935">
        <v>0</v>
      </c>
      <c r="H935">
        <v>7.6</v>
      </c>
      <c r="I935">
        <v>1.65</v>
      </c>
      <c r="J935">
        <v>8</v>
      </c>
      <c r="L935" t="s">
        <v>2709</v>
      </c>
      <c r="M935">
        <v>13023211</v>
      </c>
      <c r="O935" t="s">
        <v>19447</v>
      </c>
      <c r="P935" t="s">
        <v>19899</v>
      </c>
      <c r="Q935" t="s">
        <v>19900</v>
      </c>
      <c r="R935" t="s">
        <v>19905</v>
      </c>
      <c r="S935" t="s">
        <v>19906</v>
      </c>
      <c r="T935" t="s">
        <v>19918</v>
      </c>
    </row>
    <row r="936" spans="2:20" x14ac:dyDescent="0.25">
      <c r="B936" t="s">
        <v>2709</v>
      </c>
      <c r="C936">
        <v>13023219</v>
      </c>
      <c r="E936" t="s">
        <v>19447</v>
      </c>
      <c r="F936">
        <v>18</v>
      </c>
      <c r="G936">
        <v>0</v>
      </c>
      <c r="H936">
        <v>7.6</v>
      </c>
      <c r="I936">
        <v>1.65</v>
      </c>
      <c r="J936">
        <v>8</v>
      </c>
      <c r="L936" t="s">
        <v>2709</v>
      </c>
      <c r="M936">
        <v>13023219</v>
      </c>
      <c r="O936" t="s">
        <v>19447</v>
      </c>
      <c r="P936" t="s">
        <v>19899</v>
      </c>
      <c r="Q936" t="s">
        <v>19900</v>
      </c>
      <c r="R936" t="s">
        <v>19905</v>
      </c>
      <c r="S936" t="s">
        <v>19906</v>
      </c>
      <c r="T936" t="s">
        <v>19918</v>
      </c>
    </row>
    <row r="937" spans="2:20" x14ac:dyDescent="0.25">
      <c r="B937" t="s">
        <v>2709</v>
      </c>
      <c r="C937">
        <v>13023220</v>
      </c>
      <c r="E937" t="s">
        <v>19447</v>
      </c>
      <c r="F937">
        <v>18</v>
      </c>
      <c r="G937">
        <v>0</v>
      </c>
      <c r="H937">
        <v>7.6</v>
      </c>
      <c r="I937">
        <v>1.65</v>
      </c>
      <c r="J937">
        <v>8</v>
      </c>
      <c r="L937" t="s">
        <v>2709</v>
      </c>
      <c r="M937">
        <v>13023220</v>
      </c>
      <c r="O937" t="s">
        <v>19447</v>
      </c>
      <c r="P937" t="s">
        <v>19899</v>
      </c>
      <c r="Q937" t="s">
        <v>19900</v>
      </c>
      <c r="R937" t="s">
        <v>19905</v>
      </c>
      <c r="S937" t="s">
        <v>19906</v>
      </c>
      <c r="T937" t="s">
        <v>19918</v>
      </c>
    </row>
    <row r="938" spans="2:20" x14ac:dyDescent="0.25">
      <c r="B938" t="s">
        <v>2709</v>
      </c>
      <c r="C938">
        <v>13023910</v>
      </c>
      <c r="E938" t="s">
        <v>19447</v>
      </c>
      <c r="F938">
        <v>18</v>
      </c>
      <c r="G938">
        <v>0</v>
      </c>
      <c r="H938">
        <v>7.6</v>
      </c>
      <c r="I938">
        <v>1.65</v>
      </c>
      <c r="J938">
        <v>10</v>
      </c>
      <c r="L938" t="s">
        <v>2709</v>
      </c>
      <c r="M938">
        <v>13023910</v>
      </c>
      <c r="O938" t="s">
        <v>19447</v>
      </c>
      <c r="P938" t="s">
        <v>19899</v>
      </c>
      <c r="Q938" t="s">
        <v>19900</v>
      </c>
      <c r="R938" t="s">
        <v>19905</v>
      </c>
      <c r="S938" t="s">
        <v>19906</v>
      </c>
      <c r="T938" t="s">
        <v>19904</v>
      </c>
    </row>
    <row r="939" spans="2:20" x14ac:dyDescent="0.25">
      <c r="B939" t="s">
        <v>2709</v>
      </c>
      <c r="C939">
        <v>13023990</v>
      </c>
      <c r="E939" t="s">
        <v>19447</v>
      </c>
      <c r="F939">
        <v>18</v>
      </c>
      <c r="G939">
        <v>0</v>
      </c>
      <c r="H939">
        <v>7.6</v>
      </c>
      <c r="I939">
        <v>1.65</v>
      </c>
      <c r="J939">
        <v>8</v>
      </c>
      <c r="L939" t="s">
        <v>2709</v>
      </c>
      <c r="M939">
        <v>13023990</v>
      </c>
      <c r="O939" t="s">
        <v>19447</v>
      </c>
      <c r="P939" t="s">
        <v>19899</v>
      </c>
      <c r="Q939" t="s">
        <v>19900</v>
      </c>
      <c r="R939" t="s">
        <v>19905</v>
      </c>
      <c r="S939" t="s">
        <v>19906</v>
      </c>
      <c r="T939" t="s">
        <v>19918</v>
      </c>
    </row>
    <row r="940" spans="2:20" x14ac:dyDescent="0.25">
      <c r="B940" t="s">
        <v>2709</v>
      </c>
      <c r="C940">
        <v>14011000</v>
      </c>
      <c r="E940" t="s">
        <v>19447</v>
      </c>
      <c r="F940">
        <v>18</v>
      </c>
      <c r="G940">
        <v>0</v>
      </c>
      <c r="H940">
        <v>7.6</v>
      </c>
      <c r="I940">
        <v>1.65</v>
      </c>
      <c r="J940">
        <v>6</v>
      </c>
      <c r="L940" t="s">
        <v>2709</v>
      </c>
      <c r="M940">
        <v>14011000</v>
      </c>
      <c r="O940" t="s">
        <v>19447</v>
      </c>
      <c r="P940" t="s">
        <v>19899</v>
      </c>
      <c r="Q940" t="s">
        <v>19900</v>
      </c>
      <c r="R940" t="s">
        <v>19905</v>
      </c>
      <c r="S940" t="s">
        <v>19906</v>
      </c>
      <c r="T940" t="s">
        <v>19907</v>
      </c>
    </row>
    <row r="941" spans="2:20" x14ac:dyDescent="0.25">
      <c r="B941" t="s">
        <v>2709</v>
      </c>
      <c r="C941">
        <v>14012000</v>
      </c>
      <c r="E941" t="s">
        <v>19447</v>
      </c>
      <c r="F941">
        <v>18</v>
      </c>
      <c r="G941">
        <v>0</v>
      </c>
      <c r="H941">
        <v>7.6</v>
      </c>
      <c r="I941">
        <v>1.65</v>
      </c>
      <c r="J941">
        <v>6</v>
      </c>
      <c r="L941" t="s">
        <v>2709</v>
      </c>
      <c r="M941">
        <v>14012000</v>
      </c>
      <c r="O941" t="s">
        <v>19447</v>
      </c>
      <c r="P941" t="s">
        <v>19899</v>
      </c>
      <c r="Q941" t="s">
        <v>19900</v>
      </c>
      <c r="R941" t="s">
        <v>19905</v>
      </c>
      <c r="S941" t="s">
        <v>19906</v>
      </c>
      <c r="T941" t="s">
        <v>19907</v>
      </c>
    </row>
    <row r="942" spans="2:20" x14ac:dyDescent="0.25">
      <c r="B942" t="s">
        <v>2709</v>
      </c>
      <c r="C942">
        <v>14019000</v>
      </c>
      <c r="E942" t="s">
        <v>19447</v>
      </c>
      <c r="F942">
        <v>18</v>
      </c>
      <c r="G942">
        <v>0</v>
      </c>
      <c r="H942">
        <v>7.6</v>
      </c>
      <c r="I942">
        <v>1.65</v>
      </c>
      <c r="J942">
        <v>6</v>
      </c>
      <c r="L942" t="s">
        <v>2709</v>
      </c>
      <c r="M942">
        <v>14019000</v>
      </c>
      <c r="O942" t="s">
        <v>19447</v>
      </c>
      <c r="P942" t="s">
        <v>19899</v>
      </c>
      <c r="Q942" t="s">
        <v>19900</v>
      </c>
      <c r="R942" t="s">
        <v>19905</v>
      </c>
      <c r="S942" t="s">
        <v>19906</v>
      </c>
      <c r="T942" t="s">
        <v>19907</v>
      </c>
    </row>
    <row r="943" spans="2:20" x14ac:dyDescent="0.25">
      <c r="B943" t="s">
        <v>2709</v>
      </c>
      <c r="C943">
        <v>14042010</v>
      </c>
      <c r="E943" t="s">
        <v>19447</v>
      </c>
      <c r="F943">
        <v>18</v>
      </c>
      <c r="G943">
        <v>0</v>
      </c>
      <c r="H943">
        <v>7.6</v>
      </c>
      <c r="I943">
        <v>1.65</v>
      </c>
      <c r="J943">
        <v>6</v>
      </c>
      <c r="L943" t="s">
        <v>2709</v>
      </c>
      <c r="M943">
        <v>14042010</v>
      </c>
      <c r="O943" t="s">
        <v>19447</v>
      </c>
      <c r="P943" t="s">
        <v>19899</v>
      </c>
      <c r="Q943" t="s">
        <v>19900</v>
      </c>
      <c r="R943" t="s">
        <v>19905</v>
      </c>
      <c r="S943" t="s">
        <v>19906</v>
      </c>
      <c r="T943" t="s">
        <v>19907</v>
      </c>
    </row>
    <row r="944" spans="2:20" x14ac:dyDescent="0.25">
      <c r="B944" t="s">
        <v>2709</v>
      </c>
      <c r="C944">
        <v>14042090</v>
      </c>
      <c r="E944" t="s">
        <v>19447</v>
      </c>
      <c r="F944">
        <v>18</v>
      </c>
      <c r="G944">
        <v>0</v>
      </c>
      <c r="H944">
        <v>7.6</v>
      </c>
      <c r="I944">
        <v>1.65</v>
      </c>
      <c r="J944">
        <v>6</v>
      </c>
      <c r="L944" t="s">
        <v>2709</v>
      </c>
      <c r="M944">
        <v>14042090</v>
      </c>
      <c r="O944" t="s">
        <v>19447</v>
      </c>
      <c r="P944" t="s">
        <v>19899</v>
      </c>
      <c r="Q944" t="s">
        <v>19900</v>
      </c>
      <c r="R944" t="s">
        <v>19905</v>
      </c>
      <c r="S944" t="s">
        <v>19906</v>
      </c>
      <c r="T944" t="s">
        <v>19907</v>
      </c>
    </row>
    <row r="945" spans="2:20" x14ac:dyDescent="0.25">
      <c r="B945" t="s">
        <v>2709</v>
      </c>
      <c r="C945">
        <v>14049010</v>
      </c>
      <c r="E945" t="s">
        <v>19447</v>
      </c>
      <c r="F945">
        <v>18</v>
      </c>
      <c r="G945">
        <v>0</v>
      </c>
      <c r="H945">
        <v>7.6</v>
      </c>
      <c r="I945">
        <v>1.65</v>
      </c>
      <c r="J945">
        <v>6</v>
      </c>
      <c r="L945" t="s">
        <v>2709</v>
      </c>
      <c r="M945">
        <v>14049010</v>
      </c>
      <c r="O945" t="s">
        <v>19447</v>
      </c>
      <c r="P945" t="s">
        <v>19899</v>
      </c>
      <c r="Q945" t="s">
        <v>19900</v>
      </c>
      <c r="R945" t="s">
        <v>19905</v>
      </c>
      <c r="S945" t="s">
        <v>19906</v>
      </c>
      <c r="T945" t="s">
        <v>19907</v>
      </c>
    </row>
    <row r="946" spans="2:20" x14ac:dyDescent="0.25">
      <c r="B946" t="s">
        <v>2709</v>
      </c>
      <c r="C946">
        <v>14049090</v>
      </c>
      <c r="E946" t="s">
        <v>19447</v>
      </c>
      <c r="F946">
        <v>18</v>
      </c>
      <c r="G946">
        <v>0</v>
      </c>
      <c r="H946">
        <v>7.6</v>
      </c>
      <c r="I946">
        <v>1.65</v>
      </c>
      <c r="J946">
        <v>6</v>
      </c>
      <c r="L946" t="s">
        <v>2709</v>
      </c>
      <c r="M946">
        <v>14049090</v>
      </c>
      <c r="O946" t="s">
        <v>19447</v>
      </c>
      <c r="P946" t="s">
        <v>19899</v>
      </c>
      <c r="Q946" t="s">
        <v>19900</v>
      </c>
      <c r="R946" t="s">
        <v>19905</v>
      </c>
      <c r="S946" t="s">
        <v>19906</v>
      </c>
      <c r="T946" t="s">
        <v>19907</v>
      </c>
    </row>
    <row r="947" spans="2:20" x14ac:dyDescent="0.25">
      <c r="B947" t="s">
        <v>2709</v>
      </c>
      <c r="C947">
        <v>15011000</v>
      </c>
      <c r="E947">
        <v>43.76</v>
      </c>
      <c r="F947">
        <v>0</v>
      </c>
      <c r="G947">
        <v>0</v>
      </c>
      <c r="H947">
        <v>7.6</v>
      </c>
      <c r="I947">
        <v>1.65</v>
      </c>
      <c r="J947">
        <v>8</v>
      </c>
      <c r="L947" t="s">
        <v>2709</v>
      </c>
      <c r="M947">
        <v>15011000</v>
      </c>
      <c r="O947" t="s">
        <v>19927</v>
      </c>
      <c r="P947" t="s">
        <v>19900</v>
      </c>
      <c r="Q947" t="s">
        <v>19900</v>
      </c>
      <c r="R947" t="s">
        <v>19905</v>
      </c>
      <c r="S947" t="s">
        <v>19906</v>
      </c>
      <c r="T947" t="s">
        <v>19918</v>
      </c>
    </row>
    <row r="948" spans="2:20" x14ac:dyDescent="0.25">
      <c r="B948" t="s">
        <v>2709</v>
      </c>
      <c r="C948">
        <v>15012000</v>
      </c>
      <c r="E948">
        <v>43.76</v>
      </c>
      <c r="F948">
        <v>0</v>
      </c>
      <c r="G948">
        <v>0</v>
      </c>
      <c r="H948">
        <v>7.6</v>
      </c>
      <c r="I948">
        <v>1.65</v>
      </c>
      <c r="J948">
        <v>8</v>
      </c>
      <c r="L948" t="s">
        <v>2709</v>
      </c>
      <c r="M948">
        <v>15012000</v>
      </c>
      <c r="O948" t="s">
        <v>19927</v>
      </c>
      <c r="P948" t="s">
        <v>19900</v>
      </c>
      <c r="Q948" t="s">
        <v>19900</v>
      </c>
      <c r="R948" t="s">
        <v>19905</v>
      </c>
      <c r="S948" t="s">
        <v>19906</v>
      </c>
      <c r="T948" t="s">
        <v>19918</v>
      </c>
    </row>
    <row r="949" spans="2:20" x14ac:dyDescent="0.25">
      <c r="B949" t="s">
        <v>2709</v>
      </c>
      <c r="C949">
        <v>15019000</v>
      </c>
      <c r="E949">
        <v>43.76</v>
      </c>
      <c r="F949">
        <v>0</v>
      </c>
      <c r="G949">
        <v>0</v>
      </c>
      <c r="H949">
        <v>7.6</v>
      </c>
      <c r="I949">
        <v>1.65</v>
      </c>
      <c r="J949">
        <v>8</v>
      </c>
      <c r="L949" t="s">
        <v>2709</v>
      </c>
      <c r="M949">
        <v>15019000</v>
      </c>
      <c r="O949" t="s">
        <v>19927</v>
      </c>
      <c r="P949" t="s">
        <v>19900</v>
      </c>
      <c r="Q949" t="s">
        <v>19900</v>
      </c>
      <c r="R949" t="s">
        <v>19905</v>
      </c>
      <c r="S949" t="s">
        <v>19906</v>
      </c>
      <c r="T949" t="s">
        <v>19918</v>
      </c>
    </row>
    <row r="950" spans="2:20" x14ac:dyDescent="0.25">
      <c r="B950" t="s">
        <v>2709</v>
      </c>
      <c r="C950">
        <v>15021011</v>
      </c>
      <c r="E950">
        <v>43.76</v>
      </c>
      <c r="F950">
        <v>0</v>
      </c>
      <c r="G950">
        <v>0</v>
      </c>
      <c r="H950" t="s">
        <v>19447</v>
      </c>
      <c r="I950" t="s">
        <v>19447</v>
      </c>
      <c r="J950">
        <v>6</v>
      </c>
      <c r="L950" t="s">
        <v>2709</v>
      </c>
      <c r="M950">
        <v>15021011</v>
      </c>
      <c r="O950" t="s">
        <v>19927</v>
      </c>
      <c r="P950" t="s">
        <v>19900</v>
      </c>
      <c r="Q950" t="s">
        <v>19900</v>
      </c>
      <c r="R950" t="s">
        <v>19447</v>
      </c>
      <c r="S950" t="s">
        <v>19447</v>
      </c>
      <c r="T950" t="s">
        <v>19907</v>
      </c>
    </row>
    <row r="951" spans="2:20" x14ac:dyDescent="0.25">
      <c r="B951" t="s">
        <v>2709</v>
      </c>
      <c r="C951">
        <v>15021012</v>
      </c>
      <c r="E951">
        <v>43.76</v>
      </c>
      <c r="F951">
        <v>0</v>
      </c>
      <c r="G951">
        <v>0</v>
      </c>
      <c r="H951" t="s">
        <v>19447</v>
      </c>
      <c r="I951" t="s">
        <v>19447</v>
      </c>
      <c r="J951">
        <v>6</v>
      </c>
      <c r="L951" t="s">
        <v>2709</v>
      </c>
      <c r="M951">
        <v>15021012</v>
      </c>
      <c r="O951" t="s">
        <v>19927</v>
      </c>
      <c r="P951" t="s">
        <v>19900</v>
      </c>
      <c r="Q951" t="s">
        <v>19900</v>
      </c>
      <c r="R951" t="s">
        <v>19447</v>
      </c>
      <c r="S951" t="s">
        <v>19447</v>
      </c>
      <c r="T951" t="s">
        <v>19907</v>
      </c>
    </row>
    <row r="952" spans="2:20" x14ac:dyDescent="0.25">
      <c r="B952" t="s">
        <v>2709</v>
      </c>
      <c r="C952">
        <v>15021019</v>
      </c>
      <c r="E952">
        <v>43.76</v>
      </c>
      <c r="F952">
        <v>0</v>
      </c>
      <c r="G952">
        <v>0</v>
      </c>
      <c r="H952" t="s">
        <v>19447</v>
      </c>
      <c r="I952" t="s">
        <v>19447</v>
      </c>
      <c r="J952">
        <v>6</v>
      </c>
      <c r="L952" t="s">
        <v>2709</v>
      </c>
      <c r="M952">
        <v>15021019</v>
      </c>
      <c r="O952" t="s">
        <v>19927</v>
      </c>
      <c r="P952" t="s">
        <v>19900</v>
      </c>
      <c r="Q952" t="s">
        <v>19900</v>
      </c>
      <c r="R952" t="s">
        <v>19447</v>
      </c>
      <c r="S952" t="s">
        <v>19447</v>
      </c>
      <c r="T952" t="s">
        <v>19907</v>
      </c>
    </row>
    <row r="953" spans="2:20" x14ac:dyDescent="0.25">
      <c r="B953" t="s">
        <v>2709</v>
      </c>
      <c r="C953">
        <v>15021090</v>
      </c>
      <c r="E953">
        <v>43.76</v>
      </c>
      <c r="F953">
        <v>0</v>
      </c>
      <c r="G953">
        <v>0</v>
      </c>
      <c r="H953">
        <v>7.6</v>
      </c>
      <c r="I953">
        <v>1.65</v>
      </c>
      <c r="J953">
        <v>6</v>
      </c>
      <c r="L953" t="s">
        <v>2709</v>
      </c>
      <c r="M953">
        <v>15021090</v>
      </c>
      <c r="O953" t="s">
        <v>19927</v>
      </c>
      <c r="P953" t="s">
        <v>19900</v>
      </c>
      <c r="Q953" t="s">
        <v>19900</v>
      </c>
      <c r="R953" t="s">
        <v>19905</v>
      </c>
      <c r="S953" t="s">
        <v>19906</v>
      </c>
      <c r="T953" t="s">
        <v>19907</v>
      </c>
    </row>
    <row r="954" spans="2:20" x14ac:dyDescent="0.25">
      <c r="B954" t="s">
        <v>2709</v>
      </c>
      <c r="C954">
        <v>15029000</v>
      </c>
      <c r="E954">
        <v>43.76</v>
      </c>
      <c r="F954">
        <v>0</v>
      </c>
      <c r="G954">
        <v>0</v>
      </c>
      <c r="H954">
        <v>7.6</v>
      </c>
      <c r="I954">
        <v>1.65</v>
      </c>
      <c r="J954">
        <v>6</v>
      </c>
      <c r="L954" t="s">
        <v>2709</v>
      </c>
      <c r="M954">
        <v>15029000</v>
      </c>
      <c r="O954" t="s">
        <v>19927</v>
      </c>
      <c r="P954" t="s">
        <v>19900</v>
      </c>
      <c r="Q954" t="s">
        <v>19900</v>
      </c>
      <c r="R954" t="s">
        <v>19905</v>
      </c>
      <c r="S954" t="s">
        <v>19906</v>
      </c>
      <c r="T954" t="s">
        <v>19907</v>
      </c>
    </row>
    <row r="955" spans="2:20" x14ac:dyDescent="0.25">
      <c r="B955" t="s">
        <v>2709</v>
      </c>
      <c r="C955">
        <v>15030000</v>
      </c>
      <c r="E955">
        <v>43.76</v>
      </c>
      <c r="F955">
        <v>0</v>
      </c>
      <c r="G955">
        <v>0</v>
      </c>
      <c r="H955">
        <v>7.6</v>
      </c>
      <c r="I955">
        <v>1.65</v>
      </c>
      <c r="J955">
        <v>8</v>
      </c>
      <c r="L955" t="s">
        <v>2709</v>
      </c>
      <c r="M955">
        <v>15030000</v>
      </c>
      <c r="O955" t="s">
        <v>19927</v>
      </c>
      <c r="P955" t="s">
        <v>19900</v>
      </c>
      <c r="Q955" t="s">
        <v>19900</v>
      </c>
      <c r="R955" t="s">
        <v>19905</v>
      </c>
      <c r="S955" t="s">
        <v>19906</v>
      </c>
      <c r="T955" t="s">
        <v>19918</v>
      </c>
    </row>
    <row r="956" spans="2:20" x14ac:dyDescent="0.25">
      <c r="B956" t="s">
        <v>2709</v>
      </c>
      <c r="C956">
        <v>15041011</v>
      </c>
      <c r="E956">
        <v>43.76</v>
      </c>
      <c r="F956">
        <v>0</v>
      </c>
      <c r="G956">
        <v>0</v>
      </c>
      <c r="H956">
        <v>7.6</v>
      </c>
      <c r="I956">
        <v>1.65</v>
      </c>
      <c r="J956">
        <v>4</v>
      </c>
      <c r="L956" t="s">
        <v>2709</v>
      </c>
      <c r="M956">
        <v>15041011</v>
      </c>
      <c r="O956" t="s">
        <v>19927</v>
      </c>
      <c r="P956" t="s">
        <v>19900</v>
      </c>
      <c r="Q956" t="s">
        <v>19900</v>
      </c>
      <c r="R956" t="s">
        <v>19905</v>
      </c>
      <c r="S956" t="s">
        <v>19906</v>
      </c>
      <c r="T956" t="s">
        <v>19902</v>
      </c>
    </row>
    <row r="957" spans="2:20" x14ac:dyDescent="0.25">
      <c r="B957" t="s">
        <v>2709</v>
      </c>
      <c r="C957">
        <v>15041019</v>
      </c>
      <c r="E957">
        <v>43.76</v>
      </c>
      <c r="F957">
        <v>0</v>
      </c>
      <c r="G957">
        <v>0</v>
      </c>
      <c r="H957">
        <v>7.6</v>
      </c>
      <c r="I957">
        <v>1.65</v>
      </c>
      <c r="J957">
        <v>4</v>
      </c>
      <c r="L957" t="s">
        <v>2709</v>
      </c>
      <c r="M957">
        <v>15041019</v>
      </c>
      <c r="O957" t="s">
        <v>19927</v>
      </c>
      <c r="P957" t="s">
        <v>19900</v>
      </c>
      <c r="Q957" t="s">
        <v>19900</v>
      </c>
      <c r="R957" t="s">
        <v>19905</v>
      </c>
      <c r="S957" t="s">
        <v>19906</v>
      </c>
      <c r="T957" t="s">
        <v>19902</v>
      </c>
    </row>
    <row r="958" spans="2:20" x14ac:dyDescent="0.25">
      <c r="B958" t="s">
        <v>2709</v>
      </c>
      <c r="C958">
        <v>15041090</v>
      </c>
      <c r="E958">
        <v>43.76</v>
      </c>
      <c r="F958">
        <v>0</v>
      </c>
      <c r="G958">
        <v>0</v>
      </c>
      <c r="H958">
        <v>7.6</v>
      </c>
      <c r="I958">
        <v>1.65</v>
      </c>
      <c r="J958">
        <v>10</v>
      </c>
      <c r="L958" t="s">
        <v>2709</v>
      </c>
      <c r="M958">
        <v>15041090</v>
      </c>
      <c r="O958" t="s">
        <v>19927</v>
      </c>
      <c r="P958" t="s">
        <v>19900</v>
      </c>
      <c r="Q958" t="s">
        <v>19900</v>
      </c>
      <c r="R958" t="s">
        <v>19905</v>
      </c>
      <c r="S958" t="s">
        <v>19906</v>
      </c>
      <c r="T958" t="s">
        <v>19904</v>
      </c>
    </row>
    <row r="959" spans="2:20" x14ac:dyDescent="0.25">
      <c r="B959" t="s">
        <v>2709</v>
      </c>
      <c r="C959">
        <v>15042000</v>
      </c>
      <c r="E959">
        <v>43.76</v>
      </c>
      <c r="F959">
        <v>0</v>
      </c>
      <c r="G959">
        <v>0</v>
      </c>
      <c r="H959">
        <v>7.6</v>
      </c>
      <c r="I959">
        <v>1.65</v>
      </c>
      <c r="J959">
        <v>10</v>
      </c>
      <c r="L959" t="s">
        <v>2709</v>
      </c>
      <c r="M959">
        <v>15042000</v>
      </c>
      <c r="O959" t="s">
        <v>19927</v>
      </c>
      <c r="P959" t="s">
        <v>19900</v>
      </c>
      <c r="Q959" t="s">
        <v>19900</v>
      </c>
      <c r="R959" t="s">
        <v>19905</v>
      </c>
      <c r="S959" t="s">
        <v>19906</v>
      </c>
      <c r="T959" t="s">
        <v>19904</v>
      </c>
    </row>
    <row r="960" spans="2:20" x14ac:dyDescent="0.25">
      <c r="B960" t="s">
        <v>2709</v>
      </c>
      <c r="C960">
        <v>15043000</v>
      </c>
      <c r="E960">
        <v>43.76</v>
      </c>
      <c r="F960">
        <v>0</v>
      </c>
      <c r="G960">
        <v>0</v>
      </c>
      <c r="H960">
        <v>7.6</v>
      </c>
      <c r="I960">
        <v>1.65</v>
      </c>
      <c r="J960">
        <v>10</v>
      </c>
      <c r="L960" t="s">
        <v>2709</v>
      </c>
      <c r="M960">
        <v>15043000</v>
      </c>
      <c r="O960" t="s">
        <v>19927</v>
      </c>
      <c r="P960" t="s">
        <v>19900</v>
      </c>
      <c r="Q960" t="s">
        <v>19900</v>
      </c>
      <c r="R960" t="s">
        <v>19905</v>
      </c>
      <c r="S960" t="s">
        <v>19906</v>
      </c>
      <c r="T960" t="s">
        <v>19904</v>
      </c>
    </row>
    <row r="961" spans="2:20" x14ac:dyDescent="0.25">
      <c r="B961" t="s">
        <v>2709</v>
      </c>
      <c r="C961">
        <v>15050010</v>
      </c>
      <c r="E961">
        <v>43.76</v>
      </c>
      <c r="F961">
        <v>0</v>
      </c>
      <c r="G961">
        <v>0</v>
      </c>
      <c r="H961">
        <v>7.6</v>
      </c>
      <c r="I961">
        <v>1.65</v>
      </c>
      <c r="J961">
        <v>8</v>
      </c>
      <c r="L961" t="s">
        <v>2709</v>
      </c>
      <c r="M961">
        <v>15050010</v>
      </c>
      <c r="O961" t="s">
        <v>19927</v>
      </c>
      <c r="P961" t="s">
        <v>19900</v>
      </c>
      <c r="Q961" t="s">
        <v>19900</v>
      </c>
      <c r="R961" t="s">
        <v>19905</v>
      </c>
      <c r="S961" t="s">
        <v>19906</v>
      </c>
      <c r="T961" t="s">
        <v>19918</v>
      </c>
    </row>
    <row r="962" spans="2:20" x14ac:dyDescent="0.25">
      <c r="B962" t="s">
        <v>2709</v>
      </c>
      <c r="C962">
        <v>15050090</v>
      </c>
      <c r="E962">
        <v>43.76</v>
      </c>
      <c r="F962">
        <v>0</v>
      </c>
      <c r="G962">
        <v>0</v>
      </c>
      <c r="H962">
        <v>7.6</v>
      </c>
      <c r="I962">
        <v>1.65</v>
      </c>
      <c r="J962">
        <v>6</v>
      </c>
      <c r="L962" t="s">
        <v>2709</v>
      </c>
      <c r="M962">
        <v>15050090</v>
      </c>
      <c r="O962" t="s">
        <v>19927</v>
      </c>
      <c r="P962" t="s">
        <v>19900</v>
      </c>
      <c r="Q962" t="s">
        <v>19900</v>
      </c>
      <c r="R962" t="s">
        <v>19905</v>
      </c>
      <c r="S962" t="s">
        <v>19906</v>
      </c>
      <c r="T962" t="s">
        <v>19907</v>
      </c>
    </row>
    <row r="963" spans="2:20" x14ac:dyDescent="0.25">
      <c r="B963" t="s">
        <v>2709</v>
      </c>
      <c r="C963">
        <v>15060000</v>
      </c>
      <c r="E963">
        <v>43.76</v>
      </c>
      <c r="F963">
        <v>0</v>
      </c>
      <c r="G963">
        <v>0</v>
      </c>
      <c r="H963">
        <v>7.6</v>
      </c>
      <c r="I963">
        <v>1.65</v>
      </c>
      <c r="J963">
        <v>6</v>
      </c>
      <c r="L963" t="s">
        <v>2709</v>
      </c>
      <c r="M963">
        <v>15060000</v>
      </c>
      <c r="O963" t="s">
        <v>19927</v>
      </c>
      <c r="P963" t="s">
        <v>19900</v>
      </c>
      <c r="Q963" t="s">
        <v>19900</v>
      </c>
      <c r="R963" t="s">
        <v>19905</v>
      </c>
      <c r="S963" t="s">
        <v>19906</v>
      </c>
      <c r="T963" t="s">
        <v>19907</v>
      </c>
    </row>
    <row r="964" spans="2:20" x14ac:dyDescent="0.25">
      <c r="B964" t="s">
        <v>2709</v>
      </c>
      <c r="C964">
        <v>15071000</v>
      </c>
      <c r="E964">
        <v>15.81</v>
      </c>
      <c r="F964">
        <v>7</v>
      </c>
      <c r="G964">
        <v>0</v>
      </c>
      <c r="H964" t="s">
        <v>19447</v>
      </c>
      <c r="I964" t="s">
        <v>19447</v>
      </c>
      <c r="J964">
        <v>10</v>
      </c>
      <c r="L964" t="s">
        <v>2709</v>
      </c>
      <c r="M964">
        <v>15071000</v>
      </c>
      <c r="O964" t="s">
        <v>19928</v>
      </c>
      <c r="P964" t="s">
        <v>19908</v>
      </c>
      <c r="Q964" t="s">
        <v>19900</v>
      </c>
      <c r="R964" t="s">
        <v>19447</v>
      </c>
      <c r="S964" t="s">
        <v>19447</v>
      </c>
      <c r="T964" t="s">
        <v>19904</v>
      </c>
    </row>
    <row r="965" spans="2:20" x14ac:dyDescent="0.25">
      <c r="B965" t="s">
        <v>2709</v>
      </c>
      <c r="C965">
        <v>15079011</v>
      </c>
      <c r="E965">
        <v>15.81</v>
      </c>
      <c r="F965">
        <v>7</v>
      </c>
      <c r="G965">
        <v>0</v>
      </c>
      <c r="H965" t="s">
        <v>19447</v>
      </c>
      <c r="I965" t="s">
        <v>19447</v>
      </c>
      <c r="J965">
        <v>12</v>
      </c>
      <c r="L965" t="s">
        <v>2709</v>
      </c>
      <c r="M965">
        <v>15079011</v>
      </c>
      <c r="O965" t="s">
        <v>19928</v>
      </c>
      <c r="P965" t="s">
        <v>19908</v>
      </c>
      <c r="Q965" t="s">
        <v>19900</v>
      </c>
      <c r="R965" t="s">
        <v>19447</v>
      </c>
      <c r="S965" t="s">
        <v>19447</v>
      </c>
      <c r="T965" t="s">
        <v>19903</v>
      </c>
    </row>
    <row r="966" spans="2:20" x14ac:dyDescent="0.25">
      <c r="B966" t="s">
        <v>2709</v>
      </c>
      <c r="C966">
        <v>15079019</v>
      </c>
      <c r="E966">
        <v>15.81</v>
      </c>
      <c r="F966">
        <v>7</v>
      </c>
      <c r="G966">
        <v>0</v>
      </c>
      <c r="H966" t="s">
        <v>19447</v>
      </c>
      <c r="I966" t="s">
        <v>19447</v>
      </c>
      <c r="J966">
        <v>12</v>
      </c>
      <c r="L966" t="s">
        <v>2709</v>
      </c>
      <c r="M966">
        <v>15079019</v>
      </c>
      <c r="O966" t="s">
        <v>19928</v>
      </c>
      <c r="P966" t="s">
        <v>19908</v>
      </c>
      <c r="Q966" t="s">
        <v>19900</v>
      </c>
      <c r="R966" t="s">
        <v>19447</v>
      </c>
      <c r="S966" t="s">
        <v>19447</v>
      </c>
      <c r="T966" t="s">
        <v>19903</v>
      </c>
    </row>
    <row r="967" spans="2:20" x14ac:dyDescent="0.25">
      <c r="B967" t="s">
        <v>2709</v>
      </c>
      <c r="C967">
        <v>15079090</v>
      </c>
      <c r="E967">
        <v>15.81</v>
      </c>
      <c r="F967">
        <v>7</v>
      </c>
      <c r="G967">
        <v>0</v>
      </c>
      <c r="H967" t="s">
        <v>19447</v>
      </c>
      <c r="I967" t="s">
        <v>19447</v>
      </c>
      <c r="J967">
        <v>10</v>
      </c>
      <c r="L967" t="s">
        <v>2709</v>
      </c>
      <c r="M967">
        <v>15079090</v>
      </c>
      <c r="O967" t="s">
        <v>19928</v>
      </c>
      <c r="P967" t="s">
        <v>19908</v>
      </c>
      <c r="Q967" t="s">
        <v>19900</v>
      </c>
      <c r="R967" t="s">
        <v>19447</v>
      </c>
      <c r="S967" t="s">
        <v>19447</v>
      </c>
      <c r="T967" t="s">
        <v>19904</v>
      </c>
    </row>
    <row r="968" spans="2:20" x14ac:dyDescent="0.25">
      <c r="B968" t="s">
        <v>2709</v>
      </c>
      <c r="C968">
        <v>15081000</v>
      </c>
      <c r="E968">
        <v>42.33</v>
      </c>
      <c r="F968">
        <v>7</v>
      </c>
      <c r="G968">
        <v>0</v>
      </c>
      <c r="H968" t="s">
        <v>19447</v>
      </c>
      <c r="I968" t="s">
        <v>19447</v>
      </c>
      <c r="J968">
        <v>10</v>
      </c>
      <c r="L968" t="s">
        <v>2709</v>
      </c>
      <c r="M968">
        <v>15081000</v>
      </c>
      <c r="O968" t="s">
        <v>19920</v>
      </c>
      <c r="P968" t="s">
        <v>19908</v>
      </c>
      <c r="Q968" t="s">
        <v>19900</v>
      </c>
      <c r="R968" t="s">
        <v>19447</v>
      </c>
      <c r="S968" t="s">
        <v>19447</v>
      </c>
      <c r="T968" t="s">
        <v>19904</v>
      </c>
    </row>
    <row r="969" spans="2:20" x14ac:dyDescent="0.25">
      <c r="B969" t="s">
        <v>2709</v>
      </c>
      <c r="C969">
        <v>15089000</v>
      </c>
      <c r="E969">
        <v>42.33</v>
      </c>
      <c r="F969">
        <v>7</v>
      </c>
      <c r="G969">
        <v>0</v>
      </c>
      <c r="H969" t="s">
        <v>19447</v>
      </c>
      <c r="I969" t="s">
        <v>19447</v>
      </c>
      <c r="J969">
        <v>12</v>
      </c>
      <c r="L969" t="s">
        <v>2709</v>
      </c>
      <c r="M969">
        <v>15089000</v>
      </c>
      <c r="O969" t="s">
        <v>19920</v>
      </c>
      <c r="P969" t="s">
        <v>19908</v>
      </c>
      <c r="Q969" t="s">
        <v>19900</v>
      </c>
      <c r="R969" t="s">
        <v>19447</v>
      </c>
      <c r="S969" t="s">
        <v>19447</v>
      </c>
      <c r="T969" t="s">
        <v>19903</v>
      </c>
    </row>
    <row r="970" spans="2:20" x14ac:dyDescent="0.25">
      <c r="B970" t="s">
        <v>2709</v>
      </c>
      <c r="C970">
        <v>15091000</v>
      </c>
      <c r="E970">
        <v>24.51</v>
      </c>
      <c r="F970">
        <v>7</v>
      </c>
      <c r="G970">
        <v>0</v>
      </c>
      <c r="H970" t="s">
        <v>19447</v>
      </c>
      <c r="I970" t="s">
        <v>19447</v>
      </c>
      <c r="J970">
        <v>10</v>
      </c>
      <c r="L970" t="s">
        <v>2709</v>
      </c>
      <c r="M970">
        <v>15091000</v>
      </c>
      <c r="O970" t="s">
        <v>19929</v>
      </c>
      <c r="P970" t="s">
        <v>19908</v>
      </c>
      <c r="Q970" t="s">
        <v>19900</v>
      </c>
      <c r="R970" t="s">
        <v>19447</v>
      </c>
      <c r="S970" t="s">
        <v>19447</v>
      </c>
      <c r="T970" t="s">
        <v>19904</v>
      </c>
    </row>
    <row r="971" spans="2:20" x14ac:dyDescent="0.25">
      <c r="B971" t="s">
        <v>2709</v>
      </c>
      <c r="C971">
        <v>15099010</v>
      </c>
      <c r="E971">
        <v>24.51</v>
      </c>
      <c r="F971">
        <v>7</v>
      </c>
      <c r="G971">
        <v>0</v>
      </c>
      <c r="H971" t="s">
        <v>19447</v>
      </c>
      <c r="I971" t="s">
        <v>19447</v>
      </c>
      <c r="J971">
        <v>10</v>
      </c>
      <c r="L971" t="s">
        <v>2709</v>
      </c>
      <c r="M971">
        <v>15099010</v>
      </c>
      <c r="O971" t="s">
        <v>19929</v>
      </c>
      <c r="P971" t="s">
        <v>19908</v>
      </c>
      <c r="Q971" t="s">
        <v>19900</v>
      </c>
      <c r="R971" t="s">
        <v>19447</v>
      </c>
      <c r="S971" t="s">
        <v>19447</v>
      </c>
      <c r="T971" t="s">
        <v>19904</v>
      </c>
    </row>
    <row r="972" spans="2:20" x14ac:dyDescent="0.25">
      <c r="B972" t="s">
        <v>2709</v>
      </c>
      <c r="C972">
        <v>15099090</v>
      </c>
      <c r="E972">
        <v>24.51</v>
      </c>
      <c r="F972">
        <v>7</v>
      </c>
      <c r="G972">
        <v>0</v>
      </c>
      <c r="H972" t="s">
        <v>19447</v>
      </c>
      <c r="I972" t="s">
        <v>19447</v>
      </c>
      <c r="J972">
        <v>10</v>
      </c>
      <c r="L972" t="s">
        <v>2709</v>
      </c>
      <c r="M972">
        <v>15099090</v>
      </c>
      <c r="O972" t="s">
        <v>19929</v>
      </c>
      <c r="P972" t="s">
        <v>19908</v>
      </c>
      <c r="Q972" t="s">
        <v>19900</v>
      </c>
      <c r="R972" t="s">
        <v>19447</v>
      </c>
      <c r="S972" t="s">
        <v>19447</v>
      </c>
      <c r="T972" t="s">
        <v>19904</v>
      </c>
    </row>
    <row r="973" spans="2:20" x14ac:dyDescent="0.25">
      <c r="B973" t="s">
        <v>2709</v>
      </c>
      <c r="C973">
        <v>15100000</v>
      </c>
      <c r="E973">
        <v>43.76</v>
      </c>
      <c r="F973">
        <v>7</v>
      </c>
      <c r="G973">
        <v>0</v>
      </c>
      <c r="H973" t="s">
        <v>19447</v>
      </c>
      <c r="I973" t="s">
        <v>19447</v>
      </c>
      <c r="J973">
        <v>10</v>
      </c>
      <c r="L973" t="s">
        <v>2709</v>
      </c>
      <c r="M973">
        <v>15100000</v>
      </c>
      <c r="O973" t="s">
        <v>19927</v>
      </c>
      <c r="P973" t="s">
        <v>19908</v>
      </c>
      <c r="Q973" t="s">
        <v>19900</v>
      </c>
      <c r="R973" t="s">
        <v>19447</v>
      </c>
      <c r="S973" t="s">
        <v>19447</v>
      </c>
      <c r="T973" t="s">
        <v>19904</v>
      </c>
    </row>
    <row r="974" spans="2:20" x14ac:dyDescent="0.25">
      <c r="B974" t="s">
        <v>2709</v>
      </c>
      <c r="C974">
        <v>15111000</v>
      </c>
      <c r="E974">
        <v>43.76</v>
      </c>
      <c r="F974">
        <v>7</v>
      </c>
      <c r="G974">
        <v>0</v>
      </c>
      <c r="H974" t="s">
        <v>19447</v>
      </c>
      <c r="I974" t="s">
        <v>19447</v>
      </c>
      <c r="J974">
        <v>10</v>
      </c>
      <c r="L974" t="s">
        <v>2709</v>
      </c>
      <c r="M974">
        <v>15111000</v>
      </c>
      <c r="O974" t="s">
        <v>19927</v>
      </c>
      <c r="P974" t="s">
        <v>19908</v>
      </c>
      <c r="Q974" t="s">
        <v>19900</v>
      </c>
      <c r="R974" t="s">
        <v>19447</v>
      </c>
      <c r="S974" t="s">
        <v>19447</v>
      </c>
      <c r="T974" t="s">
        <v>19904</v>
      </c>
    </row>
    <row r="975" spans="2:20" x14ac:dyDescent="0.25">
      <c r="B975" t="s">
        <v>2709</v>
      </c>
      <c r="C975">
        <v>15119000</v>
      </c>
      <c r="E975">
        <v>43.76</v>
      </c>
      <c r="F975">
        <v>7</v>
      </c>
      <c r="G975">
        <v>0</v>
      </c>
      <c r="H975" t="s">
        <v>19447</v>
      </c>
      <c r="I975" t="s">
        <v>19447</v>
      </c>
      <c r="J975">
        <v>10</v>
      </c>
      <c r="L975" t="s">
        <v>2709</v>
      </c>
      <c r="M975">
        <v>15119000</v>
      </c>
      <c r="O975" t="s">
        <v>19927</v>
      </c>
      <c r="P975" t="s">
        <v>19908</v>
      </c>
      <c r="Q975" t="s">
        <v>19900</v>
      </c>
      <c r="R975" t="s">
        <v>19447</v>
      </c>
      <c r="S975" t="s">
        <v>19447</v>
      </c>
      <c r="T975" t="s">
        <v>19904</v>
      </c>
    </row>
    <row r="976" spans="2:20" x14ac:dyDescent="0.25">
      <c r="B976" t="s">
        <v>2709</v>
      </c>
      <c r="C976">
        <v>15121110</v>
      </c>
      <c r="E976">
        <v>43.76</v>
      </c>
      <c r="F976">
        <v>7</v>
      </c>
      <c r="G976">
        <v>0</v>
      </c>
      <c r="H976" t="s">
        <v>19447</v>
      </c>
      <c r="I976" t="s">
        <v>19447</v>
      </c>
      <c r="J976">
        <v>10</v>
      </c>
      <c r="L976" t="s">
        <v>2709</v>
      </c>
      <c r="M976">
        <v>15121110</v>
      </c>
      <c r="O976" t="s">
        <v>19927</v>
      </c>
      <c r="P976" t="s">
        <v>19908</v>
      </c>
      <c r="Q976" t="s">
        <v>19900</v>
      </c>
      <c r="R976" t="s">
        <v>19447</v>
      </c>
      <c r="S976" t="s">
        <v>19447</v>
      </c>
      <c r="T976" t="s">
        <v>19904</v>
      </c>
    </row>
    <row r="977" spans="2:20" x14ac:dyDescent="0.25">
      <c r="B977" t="s">
        <v>2709</v>
      </c>
      <c r="C977">
        <v>15121120</v>
      </c>
      <c r="E977">
        <v>43.76</v>
      </c>
      <c r="F977">
        <v>7</v>
      </c>
      <c r="G977">
        <v>0</v>
      </c>
      <c r="H977" t="s">
        <v>19447</v>
      </c>
      <c r="I977" t="s">
        <v>19447</v>
      </c>
      <c r="J977">
        <v>10</v>
      </c>
      <c r="L977" t="s">
        <v>2709</v>
      </c>
      <c r="M977">
        <v>15121120</v>
      </c>
      <c r="O977" t="s">
        <v>19927</v>
      </c>
      <c r="P977" t="s">
        <v>19908</v>
      </c>
      <c r="Q977" t="s">
        <v>19900</v>
      </c>
      <c r="R977" t="s">
        <v>19447</v>
      </c>
      <c r="S977" t="s">
        <v>19447</v>
      </c>
      <c r="T977" t="s">
        <v>19904</v>
      </c>
    </row>
    <row r="978" spans="2:20" x14ac:dyDescent="0.25">
      <c r="B978" t="s">
        <v>2709</v>
      </c>
      <c r="C978">
        <v>15121911</v>
      </c>
      <c r="E978">
        <v>18.41</v>
      </c>
      <c r="F978">
        <v>7</v>
      </c>
      <c r="G978">
        <v>0</v>
      </c>
      <c r="H978" t="s">
        <v>19447</v>
      </c>
      <c r="I978" t="s">
        <v>19447</v>
      </c>
      <c r="J978">
        <v>12</v>
      </c>
      <c r="L978" t="s">
        <v>2709</v>
      </c>
      <c r="M978">
        <v>15121911</v>
      </c>
      <c r="O978" t="s">
        <v>19930</v>
      </c>
      <c r="P978" t="s">
        <v>19908</v>
      </c>
      <c r="Q978" t="s">
        <v>19900</v>
      </c>
      <c r="R978" t="s">
        <v>19447</v>
      </c>
      <c r="S978" t="s">
        <v>19447</v>
      </c>
      <c r="T978" t="s">
        <v>19903</v>
      </c>
    </row>
    <row r="979" spans="2:20" x14ac:dyDescent="0.25">
      <c r="B979" t="s">
        <v>2709</v>
      </c>
      <c r="C979">
        <v>15121919</v>
      </c>
      <c r="E979">
        <v>43.76</v>
      </c>
      <c r="F979">
        <v>7</v>
      </c>
      <c r="G979">
        <v>0</v>
      </c>
      <c r="H979" t="s">
        <v>19447</v>
      </c>
      <c r="I979" t="s">
        <v>19447</v>
      </c>
      <c r="J979">
        <v>12</v>
      </c>
      <c r="L979" t="s">
        <v>2709</v>
      </c>
      <c r="M979">
        <v>15121919</v>
      </c>
      <c r="O979" t="s">
        <v>19927</v>
      </c>
      <c r="P979" t="s">
        <v>19908</v>
      </c>
      <c r="Q979" t="s">
        <v>19900</v>
      </c>
      <c r="R979" t="s">
        <v>19447</v>
      </c>
      <c r="S979" t="s">
        <v>19447</v>
      </c>
      <c r="T979" t="s">
        <v>19903</v>
      </c>
    </row>
    <row r="980" spans="2:20" x14ac:dyDescent="0.25">
      <c r="B980" t="s">
        <v>2709</v>
      </c>
      <c r="C980">
        <v>15121920</v>
      </c>
      <c r="E980">
        <v>43.76</v>
      </c>
      <c r="F980">
        <v>7</v>
      </c>
      <c r="G980">
        <v>0</v>
      </c>
      <c r="H980" t="s">
        <v>19447</v>
      </c>
      <c r="I980" t="s">
        <v>19447</v>
      </c>
      <c r="J980">
        <v>10</v>
      </c>
      <c r="L980" t="s">
        <v>2709</v>
      </c>
      <c r="M980">
        <v>15121920</v>
      </c>
      <c r="O980" t="s">
        <v>19927</v>
      </c>
      <c r="P980" t="s">
        <v>19908</v>
      </c>
      <c r="Q980" t="s">
        <v>19900</v>
      </c>
      <c r="R980" t="s">
        <v>19447</v>
      </c>
      <c r="S980" t="s">
        <v>19447</v>
      </c>
      <c r="T980" t="s">
        <v>19904</v>
      </c>
    </row>
    <row r="981" spans="2:20" x14ac:dyDescent="0.25">
      <c r="B981" t="s">
        <v>2709</v>
      </c>
      <c r="C981">
        <v>15122100</v>
      </c>
      <c r="E981">
        <v>43.76</v>
      </c>
      <c r="F981">
        <v>7</v>
      </c>
      <c r="G981">
        <v>0</v>
      </c>
      <c r="H981" t="s">
        <v>19447</v>
      </c>
      <c r="I981" t="s">
        <v>19447</v>
      </c>
      <c r="J981">
        <v>10</v>
      </c>
      <c r="L981" t="s">
        <v>2709</v>
      </c>
      <c r="M981">
        <v>15122100</v>
      </c>
      <c r="O981" t="s">
        <v>19927</v>
      </c>
      <c r="P981" t="s">
        <v>19908</v>
      </c>
      <c r="Q981" t="s">
        <v>19900</v>
      </c>
      <c r="R981" t="s">
        <v>19447</v>
      </c>
      <c r="S981" t="s">
        <v>19447</v>
      </c>
      <c r="T981" t="s">
        <v>19904</v>
      </c>
    </row>
    <row r="982" spans="2:20" x14ac:dyDescent="0.25">
      <c r="B982" t="s">
        <v>2709</v>
      </c>
      <c r="C982">
        <v>15122910</v>
      </c>
      <c r="E982">
        <v>18.41</v>
      </c>
      <c r="F982">
        <v>7</v>
      </c>
      <c r="G982">
        <v>0</v>
      </c>
      <c r="H982" t="s">
        <v>19447</v>
      </c>
      <c r="I982" t="s">
        <v>19447</v>
      </c>
      <c r="J982">
        <v>10</v>
      </c>
      <c r="L982" t="s">
        <v>2709</v>
      </c>
      <c r="M982">
        <v>15122910</v>
      </c>
      <c r="O982" t="s">
        <v>19930</v>
      </c>
      <c r="P982" t="s">
        <v>19908</v>
      </c>
      <c r="Q982" t="s">
        <v>19900</v>
      </c>
      <c r="R982" t="s">
        <v>19447</v>
      </c>
      <c r="S982" t="s">
        <v>19447</v>
      </c>
      <c r="T982" t="s">
        <v>19904</v>
      </c>
    </row>
    <row r="983" spans="2:20" x14ac:dyDescent="0.25">
      <c r="B983" t="s">
        <v>2709</v>
      </c>
      <c r="C983">
        <v>15122990</v>
      </c>
      <c r="E983">
        <v>42.33</v>
      </c>
      <c r="F983">
        <v>7</v>
      </c>
      <c r="G983">
        <v>0</v>
      </c>
      <c r="H983" t="s">
        <v>19447</v>
      </c>
      <c r="I983" t="s">
        <v>19447</v>
      </c>
      <c r="J983">
        <v>10</v>
      </c>
      <c r="L983" t="s">
        <v>2709</v>
      </c>
      <c r="M983">
        <v>15122990</v>
      </c>
      <c r="O983" t="s">
        <v>19920</v>
      </c>
      <c r="P983" t="s">
        <v>19908</v>
      </c>
      <c r="Q983" t="s">
        <v>19900</v>
      </c>
      <c r="R983" t="s">
        <v>19447</v>
      </c>
      <c r="S983" t="s">
        <v>19447</v>
      </c>
      <c r="T983" t="s">
        <v>19904</v>
      </c>
    </row>
    <row r="984" spans="2:20" x14ac:dyDescent="0.25">
      <c r="B984" t="s">
        <v>2709</v>
      </c>
      <c r="C984">
        <v>15131100</v>
      </c>
      <c r="E984">
        <v>43.76</v>
      </c>
      <c r="F984">
        <v>7</v>
      </c>
      <c r="G984">
        <v>0</v>
      </c>
      <c r="H984" t="s">
        <v>19447</v>
      </c>
      <c r="I984" t="s">
        <v>19447</v>
      </c>
      <c r="J984">
        <v>10</v>
      </c>
      <c r="L984" t="s">
        <v>2709</v>
      </c>
      <c r="M984">
        <v>15131100</v>
      </c>
      <c r="O984" t="s">
        <v>19927</v>
      </c>
      <c r="P984" t="s">
        <v>19908</v>
      </c>
      <c r="Q984" t="s">
        <v>19900</v>
      </c>
      <c r="R984" t="s">
        <v>19447</v>
      </c>
      <c r="S984" t="s">
        <v>19447</v>
      </c>
      <c r="T984" t="s">
        <v>19904</v>
      </c>
    </row>
    <row r="985" spans="2:20" x14ac:dyDescent="0.25">
      <c r="B985" t="s">
        <v>2709</v>
      </c>
      <c r="C985">
        <v>15131900</v>
      </c>
      <c r="E985">
        <v>43.76</v>
      </c>
      <c r="F985">
        <v>7</v>
      </c>
      <c r="G985">
        <v>0</v>
      </c>
      <c r="H985" t="s">
        <v>19447</v>
      </c>
      <c r="I985" t="s">
        <v>19447</v>
      </c>
      <c r="J985">
        <v>10</v>
      </c>
      <c r="L985" t="s">
        <v>2709</v>
      </c>
      <c r="M985">
        <v>15131900</v>
      </c>
      <c r="O985" t="s">
        <v>19927</v>
      </c>
      <c r="P985" t="s">
        <v>19908</v>
      </c>
      <c r="Q985" t="s">
        <v>19900</v>
      </c>
      <c r="R985" t="s">
        <v>19447</v>
      </c>
      <c r="S985" t="s">
        <v>19447</v>
      </c>
      <c r="T985" t="s">
        <v>19904</v>
      </c>
    </row>
    <row r="986" spans="2:20" x14ac:dyDescent="0.25">
      <c r="B986" t="s">
        <v>2709</v>
      </c>
      <c r="C986">
        <v>15132110</v>
      </c>
      <c r="E986">
        <v>43.76</v>
      </c>
      <c r="F986">
        <v>7</v>
      </c>
      <c r="G986">
        <v>0</v>
      </c>
      <c r="H986" t="s">
        <v>19447</v>
      </c>
      <c r="I986" t="s">
        <v>19447</v>
      </c>
      <c r="J986">
        <v>10</v>
      </c>
      <c r="L986" t="s">
        <v>2709</v>
      </c>
      <c r="M986">
        <v>15132110</v>
      </c>
      <c r="O986" t="s">
        <v>19927</v>
      </c>
      <c r="P986" t="s">
        <v>19908</v>
      </c>
      <c r="Q986" t="s">
        <v>19900</v>
      </c>
      <c r="R986" t="s">
        <v>19447</v>
      </c>
      <c r="S986" t="s">
        <v>19447</v>
      </c>
      <c r="T986" t="s">
        <v>19904</v>
      </c>
    </row>
    <row r="987" spans="2:20" x14ac:dyDescent="0.25">
      <c r="B987" t="s">
        <v>2709</v>
      </c>
      <c r="C987">
        <v>15132120</v>
      </c>
      <c r="E987">
        <v>43.76</v>
      </c>
      <c r="F987">
        <v>7</v>
      </c>
      <c r="G987">
        <v>0</v>
      </c>
      <c r="H987" t="s">
        <v>19447</v>
      </c>
      <c r="I987" t="s">
        <v>19447</v>
      </c>
      <c r="J987">
        <v>10</v>
      </c>
      <c r="L987" t="s">
        <v>2709</v>
      </c>
      <c r="M987">
        <v>15132120</v>
      </c>
      <c r="O987" t="s">
        <v>19927</v>
      </c>
      <c r="P987" t="s">
        <v>19908</v>
      </c>
      <c r="Q987" t="s">
        <v>19900</v>
      </c>
      <c r="R987" t="s">
        <v>19447</v>
      </c>
      <c r="S987" t="s">
        <v>19447</v>
      </c>
      <c r="T987" t="s">
        <v>19904</v>
      </c>
    </row>
    <row r="988" spans="2:20" x14ac:dyDescent="0.25">
      <c r="B988" t="s">
        <v>2709</v>
      </c>
      <c r="C988">
        <v>15132910</v>
      </c>
      <c r="E988">
        <v>43.76</v>
      </c>
      <c r="F988">
        <v>7</v>
      </c>
      <c r="G988">
        <v>0</v>
      </c>
      <c r="H988" t="s">
        <v>19447</v>
      </c>
      <c r="I988" t="s">
        <v>19447</v>
      </c>
      <c r="J988">
        <v>2</v>
      </c>
      <c r="L988" t="s">
        <v>2709</v>
      </c>
      <c r="M988">
        <v>15132910</v>
      </c>
      <c r="O988" t="s">
        <v>19927</v>
      </c>
      <c r="P988" t="s">
        <v>19908</v>
      </c>
      <c r="Q988" t="s">
        <v>19900</v>
      </c>
      <c r="R988" t="s">
        <v>19447</v>
      </c>
      <c r="S988" t="s">
        <v>19447</v>
      </c>
      <c r="T988" t="s">
        <v>19901</v>
      </c>
    </row>
    <row r="989" spans="2:20" x14ac:dyDescent="0.25">
      <c r="B989" t="s">
        <v>2709</v>
      </c>
      <c r="C989">
        <v>15132920</v>
      </c>
      <c r="E989">
        <v>43.76</v>
      </c>
      <c r="F989">
        <v>7</v>
      </c>
      <c r="G989">
        <v>0</v>
      </c>
      <c r="H989" t="s">
        <v>19447</v>
      </c>
      <c r="I989" t="s">
        <v>19447</v>
      </c>
      <c r="J989">
        <v>10</v>
      </c>
      <c r="L989" t="s">
        <v>2709</v>
      </c>
      <c r="M989">
        <v>15132920</v>
      </c>
      <c r="O989" t="s">
        <v>19927</v>
      </c>
      <c r="P989" t="s">
        <v>19908</v>
      </c>
      <c r="Q989" t="s">
        <v>19900</v>
      </c>
      <c r="R989" t="s">
        <v>19447</v>
      </c>
      <c r="S989" t="s">
        <v>19447</v>
      </c>
      <c r="T989" t="s">
        <v>19904</v>
      </c>
    </row>
    <row r="990" spans="2:20" x14ac:dyDescent="0.25">
      <c r="B990" t="s">
        <v>2709</v>
      </c>
      <c r="C990">
        <v>15141100</v>
      </c>
      <c r="E990">
        <v>21.73</v>
      </c>
      <c r="F990">
        <v>7</v>
      </c>
      <c r="G990">
        <v>0</v>
      </c>
      <c r="H990" t="s">
        <v>19447</v>
      </c>
      <c r="I990" t="s">
        <v>19447</v>
      </c>
      <c r="J990">
        <v>10</v>
      </c>
      <c r="L990" t="s">
        <v>2709</v>
      </c>
      <c r="M990">
        <v>15141100</v>
      </c>
      <c r="O990" t="s">
        <v>19931</v>
      </c>
      <c r="P990" t="s">
        <v>19908</v>
      </c>
      <c r="Q990" t="s">
        <v>19900</v>
      </c>
      <c r="R990" t="s">
        <v>19447</v>
      </c>
      <c r="S990" t="s">
        <v>19447</v>
      </c>
      <c r="T990" t="s">
        <v>19904</v>
      </c>
    </row>
    <row r="991" spans="2:20" x14ac:dyDescent="0.25">
      <c r="B991" t="s">
        <v>2709</v>
      </c>
      <c r="C991">
        <v>15141910</v>
      </c>
      <c r="E991">
        <v>21.73</v>
      </c>
      <c r="F991">
        <v>7</v>
      </c>
      <c r="G991">
        <v>0</v>
      </c>
      <c r="H991" t="s">
        <v>19447</v>
      </c>
      <c r="I991" t="s">
        <v>19447</v>
      </c>
      <c r="J991">
        <v>10</v>
      </c>
      <c r="L991" t="s">
        <v>2709</v>
      </c>
      <c r="M991">
        <v>15141910</v>
      </c>
      <c r="O991" t="s">
        <v>19931</v>
      </c>
      <c r="P991" t="s">
        <v>19908</v>
      </c>
      <c r="Q991" t="s">
        <v>19900</v>
      </c>
      <c r="R991" t="s">
        <v>19447</v>
      </c>
      <c r="S991" t="s">
        <v>19447</v>
      </c>
      <c r="T991" t="s">
        <v>19904</v>
      </c>
    </row>
    <row r="992" spans="2:20" x14ac:dyDescent="0.25">
      <c r="B992" t="s">
        <v>2709</v>
      </c>
      <c r="C992">
        <v>15141990</v>
      </c>
      <c r="E992">
        <v>21.73</v>
      </c>
      <c r="F992">
        <v>7</v>
      </c>
      <c r="G992">
        <v>0</v>
      </c>
      <c r="H992" t="s">
        <v>19447</v>
      </c>
      <c r="I992" t="s">
        <v>19447</v>
      </c>
      <c r="J992">
        <v>10</v>
      </c>
      <c r="L992" t="s">
        <v>2709</v>
      </c>
      <c r="M992">
        <v>15141990</v>
      </c>
      <c r="O992" t="s">
        <v>19931</v>
      </c>
      <c r="P992" t="s">
        <v>19908</v>
      </c>
      <c r="Q992" t="s">
        <v>19900</v>
      </c>
      <c r="R992" t="s">
        <v>19447</v>
      </c>
      <c r="S992" t="s">
        <v>19447</v>
      </c>
      <c r="T992" t="s">
        <v>19904</v>
      </c>
    </row>
    <row r="993" spans="2:20" x14ac:dyDescent="0.25">
      <c r="B993" t="s">
        <v>2709</v>
      </c>
      <c r="C993">
        <v>15149100</v>
      </c>
      <c r="E993">
        <v>43.76</v>
      </c>
      <c r="F993">
        <v>7</v>
      </c>
      <c r="G993">
        <v>0</v>
      </c>
      <c r="H993" t="s">
        <v>19447</v>
      </c>
      <c r="I993" t="s">
        <v>19447</v>
      </c>
      <c r="J993">
        <v>10</v>
      </c>
      <c r="L993" t="s">
        <v>2709</v>
      </c>
      <c r="M993">
        <v>15149100</v>
      </c>
      <c r="O993" t="s">
        <v>19927</v>
      </c>
      <c r="P993" t="s">
        <v>19908</v>
      </c>
      <c r="Q993" t="s">
        <v>19900</v>
      </c>
      <c r="R993" t="s">
        <v>19447</v>
      </c>
      <c r="S993" t="s">
        <v>19447</v>
      </c>
      <c r="T993" t="s">
        <v>19904</v>
      </c>
    </row>
    <row r="994" spans="2:20" x14ac:dyDescent="0.25">
      <c r="B994" t="s">
        <v>2709</v>
      </c>
      <c r="C994">
        <v>15149910</v>
      </c>
      <c r="E994">
        <v>43.76</v>
      </c>
      <c r="F994">
        <v>7</v>
      </c>
      <c r="G994">
        <v>0</v>
      </c>
      <c r="H994" t="s">
        <v>19447</v>
      </c>
      <c r="I994" t="s">
        <v>19447</v>
      </c>
      <c r="J994">
        <v>10</v>
      </c>
      <c r="L994" t="s">
        <v>2709</v>
      </c>
      <c r="M994">
        <v>15149910</v>
      </c>
      <c r="O994" t="s">
        <v>19927</v>
      </c>
      <c r="P994" t="s">
        <v>19908</v>
      </c>
      <c r="Q994" t="s">
        <v>19900</v>
      </c>
      <c r="R994" t="s">
        <v>19447</v>
      </c>
      <c r="S994" t="s">
        <v>19447</v>
      </c>
      <c r="T994" t="s">
        <v>19904</v>
      </c>
    </row>
    <row r="995" spans="2:20" x14ac:dyDescent="0.25">
      <c r="B995" t="s">
        <v>2709</v>
      </c>
      <c r="C995">
        <v>15149990</v>
      </c>
      <c r="E995">
        <v>43.76</v>
      </c>
      <c r="F995">
        <v>7</v>
      </c>
      <c r="G995">
        <v>0</v>
      </c>
      <c r="H995" t="s">
        <v>19447</v>
      </c>
      <c r="I995" t="s">
        <v>19447</v>
      </c>
      <c r="J995">
        <v>10</v>
      </c>
      <c r="L995" t="s">
        <v>2709</v>
      </c>
      <c r="M995">
        <v>15149990</v>
      </c>
      <c r="O995" t="s">
        <v>19927</v>
      </c>
      <c r="P995" t="s">
        <v>19908</v>
      </c>
      <c r="Q995" t="s">
        <v>19900</v>
      </c>
      <c r="R995" t="s">
        <v>19447</v>
      </c>
      <c r="S995" t="s">
        <v>19447</v>
      </c>
      <c r="T995" t="s">
        <v>19904</v>
      </c>
    </row>
    <row r="996" spans="2:20" x14ac:dyDescent="0.25">
      <c r="B996" t="s">
        <v>2709</v>
      </c>
      <c r="C996">
        <v>15151100</v>
      </c>
      <c r="E996">
        <v>43.76</v>
      </c>
      <c r="F996">
        <v>7</v>
      </c>
      <c r="G996">
        <v>0</v>
      </c>
      <c r="H996" t="s">
        <v>19447</v>
      </c>
      <c r="I996" t="s">
        <v>19447</v>
      </c>
      <c r="J996">
        <v>10</v>
      </c>
      <c r="L996" t="s">
        <v>2709</v>
      </c>
      <c r="M996">
        <v>15151100</v>
      </c>
      <c r="O996" t="s">
        <v>19927</v>
      </c>
      <c r="P996" t="s">
        <v>19908</v>
      </c>
      <c r="Q996" t="s">
        <v>19900</v>
      </c>
      <c r="R996" t="s">
        <v>19447</v>
      </c>
      <c r="S996" t="s">
        <v>19447</v>
      </c>
      <c r="T996" t="s">
        <v>19904</v>
      </c>
    </row>
    <row r="997" spans="2:20" x14ac:dyDescent="0.25">
      <c r="B997" t="s">
        <v>2709</v>
      </c>
      <c r="C997">
        <v>15151900</v>
      </c>
      <c r="E997">
        <v>42.33</v>
      </c>
      <c r="F997">
        <v>7</v>
      </c>
      <c r="G997">
        <v>0</v>
      </c>
      <c r="H997" t="s">
        <v>19447</v>
      </c>
      <c r="I997" t="s">
        <v>19447</v>
      </c>
      <c r="J997">
        <v>10</v>
      </c>
      <c r="L997" t="s">
        <v>2709</v>
      </c>
      <c r="M997">
        <v>15151900</v>
      </c>
      <c r="O997" t="s">
        <v>19920</v>
      </c>
      <c r="P997" t="s">
        <v>19908</v>
      </c>
      <c r="Q997" t="s">
        <v>19900</v>
      </c>
      <c r="R997" t="s">
        <v>19447</v>
      </c>
      <c r="S997" t="s">
        <v>19447</v>
      </c>
      <c r="T997" t="s">
        <v>19904</v>
      </c>
    </row>
    <row r="998" spans="2:20" x14ac:dyDescent="0.25">
      <c r="B998" t="s">
        <v>2709</v>
      </c>
      <c r="C998">
        <v>15152100</v>
      </c>
      <c r="E998">
        <v>43.76</v>
      </c>
      <c r="F998">
        <v>7</v>
      </c>
      <c r="G998">
        <v>0</v>
      </c>
      <c r="H998" t="s">
        <v>19447</v>
      </c>
      <c r="I998" t="s">
        <v>19447</v>
      </c>
      <c r="J998">
        <v>10</v>
      </c>
      <c r="L998" t="s">
        <v>2709</v>
      </c>
      <c r="M998">
        <v>15152100</v>
      </c>
      <c r="O998" t="s">
        <v>19927</v>
      </c>
      <c r="P998" t="s">
        <v>19908</v>
      </c>
      <c r="Q998" t="s">
        <v>19900</v>
      </c>
      <c r="R998" t="s">
        <v>19447</v>
      </c>
      <c r="S998" t="s">
        <v>19447</v>
      </c>
      <c r="T998" t="s">
        <v>19904</v>
      </c>
    </row>
    <row r="999" spans="2:20" x14ac:dyDescent="0.25">
      <c r="B999" t="s">
        <v>2709</v>
      </c>
      <c r="C999">
        <v>15152910</v>
      </c>
      <c r="E999">
        <v>19.59</v>
      </c>
      <c r="F999">
        <v>7</v>
      </c>
      <c r="G999">
        <v>0</v>
      </c>
      <c r="H999" t="s">
        <v>19447</v>
      </c>
      <c r="I999" t="s">
        <v>19447</v>
      </c>
      <c r="J999">
        <v>10</v>
      </c>
      <c r="L999" t="s">
        <v>2709</v>
      </c>
      <c r="M999">
        <v>15152910</v>
      </c>
      <c r="O999" t="s">
        <v>19932</v>
      </c>
      <c r="P999" t="s">
        <v>19908</v>
      </c>
      <c r="Q999" t="s">
        <v>19900</v>
      </c>
      <c r="R999" t="s">
        <v>19447</v>
      </c>
      <c r="S999" t="s">
        <v>19447</v>
      </c>
      <c r="T999" t="s">
        <v>19904</v>
      </c>
    </row>
    <row r="1000" spans="2:20" x14ac:dyDescent="0.25">
      <c r="B1000" t="s">
        <v>2709</v>
      </c>
      <c r="C1000">
        <v>15152990</v>
      </c>
      <c r="E1000">
        <v>43.76</v>
      </c>
      <c r="F1000">
        <v>7</v>
      </c>
      <c r="G1000">
        <v>0</v>
      </c>
      <c r="H1000" t="s">
        <v>19447</v>
      </c>
      <c r="I1000" t="s">
        <v>19447</v>
      </c>
      <c r="J1000">
        <v>10</v>
      </c>
      <c r="L1000" t="s">
        <v>2709</v>
      </c>
      <c r="M1000">
        <v>15152990</v>
      </c>
      <c r="O1000" t="s">
        <v>19927</v>
      </c>
      <c r="P1000" t="s">
        <v>19908</v>
      </c>
      <c r="Q1000" t="s">
        <v>19900</v>
      </c>
      <c r="R1000" t="s">
        <v>19447</v>
      </c>
      <c r="S1000" t="s">
        <v>19447</v>
      </c>
      <c r="T1000" t="s">
        <v>19904</v>
      </c>
    </row>
    <row r="1001" spans="2:20" x14ac:dyDescent="0.25">
      <c r="B1001" t="s">
        <v>2709</v>
      </c>
      <c r="C1001">
        <v>15153000</v>
      </c>
      <c r="E1001">
        <v>43.76</v>
      </c>
      <c r="F1001">
        <v>7</v>
      </c>
      <c r="G1001">
        <v>0</v>
      </c>
      <c r="H1001" t="s">
        <v>19447</v>
      </c>
      <c r="I1001" t="s">
        <v>19447</v>
      </c>
      <c r="J1001">
        <v>30</v>
      </c>
      <c r="L1001" t="s">
        <v>2709</v>
      </c>
      <c r="M1001">
        <v>15153000</v>
      </c>
      <c r="O1001" t="s">
        <v>19927</v>
      </c>
      <c r="P1001" t="s">
        <v>19908</v>
      </c>
      <c r="Q1001" t="s">
        <v>19900</v>
      </c>
      <c r="R1001" t="s">
        <v>19447</v>
      </c>
      <c r="S1001" t="s">
        <v>19447</v>
      </c>
      <c r="T1001" t="s">
        <v>19933</v>
      </c>
    </row>
    <row r="1002" spans="2:20" x14ac:dyDescent="0.25">
      <c r="B1002" t="s">
        <v>2709</v>
      </c>
      <c r="C1002">
        <v>15155000</v>
      </c>
      <c r="E1002">
        <v>43.76</v>
      </c>
      <c r="F1002">
        <v>7</v>
      </c>
      <c r="G1002">
        <v>0</v>
      </c>
      <c r="H1002" t="s">
        <v>19447</v>
      </c>
      <c r="I1002" t="s">
        <v>19447</v>
      </c>
      <c r="J1002">
        <v>10</v>
      </c>
      <c r="L1002" t="s">
        <v>2709</v>
      </c>
      <c r="M1002">
        <v>15155000</v>
      </c>
      <c r="O1002" t="s">
        <v>19927</v>
      </c>
      <c r="P1002" t="s">
        <v>19908</v>
      </c>
      <c r="Q1002" t="s">
        <v>19900</v>
      </c>
      <c r="R1002" t="s">
        <v>19447</v>
      </c>
      <c r="S1002" t="s">
        <v>19447</v>
      </c>
      <c r="T1002" t="s">
        <v>19904</v>
      </c>
    </row>
    <row r="1003" spans="2:20" x14ac:dyDescent="0.25">
      <c r="B1003" t="s">
        <v>2709</v>
      </c>
      <c r="C1003">
        <v>15159010</v>
      </c>
      <c r="E1003">
        <v>43.76</v>
      </c>
      <c r="F1003">
        <v>7</v>
      </c>
      <c r="G1003">
        <v>0</v>
      </c>
      <c r="H1003" t="s">
        <v>19447</v>
      </c>
      <c r="I1003" t="s">
        <v>19447</v>
      </c>
      <c r="J1003">
        <v>10</v>
      </c>
      <c r="L1003" t="s">
        <v>2709</v>
      </c>
      <c r="M1003">
        <v>15159010</v>
      </c>
      <c r="O1003" t="s">
        <v>19927</v>
      </c>
      <c r="P1003" t="s">
        <v>19908</v>
      </c>
      <c r="Q1003" t="s">
        <v>19900</v>
      </c>
      <c r="R1003" t="s">
        <v>19447</v>
      </c>
      <c r="S1003" t="s">
        <v>19447</v>
      </c>
      <c r="T1003" t="s">
        <v>19904</v>
      </c>
    </row>
    <row r="1004" spans="2:20" x14ac:dyDescent="0.25">
      <c r="B1004" t="s">
        <v>2709</v>
      </c>
      <c r="C1004">
        <v>15159021</v>
      </c>
      <c r="E1004">
        <v>43.76</v>
      </c>
      <c r="F1004">
        <v>7</v>
      </c>
      <c r="G1004">
        <v>0</v>
      </c>
      <c r="H1004" t="s">
        <v>19447</v>
      </c>
      <c r="I1004" t="s">
        <v>19447</v>
      </c>
      <c r="J1004">
        <v>10</v>
      </c>
      <c r="L1004" t="s">
        <v>2709</v>
      </c>
      <c r="M1004">
        <v>15159021</v>
      </c>
      <c r="O1004" t="s">
        <v>19927</v>
      </c>
      <c r="P1004" t="s">
        <v>19908</v>
      </c>
      <c r="Q1004" t="s">
        <v>19900</v>
      </c>
      <c r="R1004" t="s">
        <v>19447</v>
      </c>
      <c r="S1004" t="s">
        <v>19447</v>
      </c>
      <c r="T1004" t="s">
        <v>19904</v>
      </c>
    </row>
    <row r="1005" spans="2:20" x14ac:dyDescent="0.25">
      <c r="B1005" t="s">
        <v>2709</v>
      </c>
      <c r="C1005">
        <v>15159022</v>
      </c>
      <c r="E1005">
        <v>42.33</v>
      </c>
      <c r="F1005">
        <v>7</v>
      </c>
      <c r="G1005">
        <v>0</v>
      </c>
      <c r="H1005" t="s">
        <v>19447</v>
      </c>
      <c r="I1005" t="s">
        <v>19447</v>
      </c>
      <c r="J1005">
        <v>10</v>
      </c>
      <c r="L1005" t="s">
        <v>2709</v>
      </c>
      <c r="M1005">
        <v>15159022</v>
      </c>
      <c r="O1005" t="s">
        <v>19920</v>
      </c>
      <c r="P1005" t="s">
        <v>19908</v>
      </c>
      <c r="Q1005" t="s">
        <v>19900</v>
      </c>
      <c r="R1005" t="s">
        <v>19447</v>
      </c>
      <c r="S1005" t="s">
        <v>19447</v>
      </c>
      <c r="T1005" t="s">
        <v>19904</v>
      </c>
    </row>
    <row r="1006" spans="2:20" x14ac:dyDescent="0.25">
      <c r="B1006" t="s">
        <v>2709</v>
      </c>
      <c r="C1006">
        <v>15159090</v>
      </c>
      <c r="E1006">
        <v>43.76</v>
      </c>
      <c r="F1006">
        <v>7</v>
      </c>
      <c r="G1006">
        <v>0</v>
      </c>
      <c r="H1006" t="s">
        <v>19447</v>
      </c>
      <c r="I1006" t="s">
        <v>19447</v>
      </c>
      <c r="J1006">
        <v>10</v>
      </c>
      <c r="L1006" t="s">
        <v>2709</v>
      </c>
      <c r="M1006">
        <v>15159090</v>
      </c>
      <c r="O1006" t="s">
        <v>19927</v>
      </c>
      <c r="P1006" t="s">
        <v>19908</v>
      </c>
      <c r="Q1006" t="s">
        <v>19900</v>
      </c>
      <c r="R1006" t="s">
        <v>19447</v>
      </c>
      <c r="S1006" t="s">
        <v>19447</v>
      </c>
      <c r="T1006" t="s">
        <v>19904</v>
      </c>
    </row>
    <row r="1007" spans="2:20" x14ac:dyDescent="0.25">
      <c r="B1007" t="s">
        <v>2709</v>
      </c>
      <c r="C1007">
        <v>15161000</v>
      </c>
      <c r="E1007">
        <v>43.76</v>
      </c>
      <c r="F1007">
        <v>0</v>
      </c>
      <c r="G1007">
        <v>0</v>
      </c>
      <c r="H1007">
        <v>7.6</v>
      </c>
      <c r="I1007">
        <v>1.65</v>
      </c>
      <c r="J1007">
        <v>10</v>
      </c>
      <c r="L1007" t="s">
        <v>2709</v>
      </c>
      <c r="M1007">
        <v>15161000</v>
      </c>
      <c r="O1007" t="s">
        <v>19927</v>
      </c>
      <c r="P1007" t="s">
        <v>19900</v>
      </c>
      <c r="Q1007" t="s">
        <v>19900</v>
      </c>
      <c r="R1007" t="s">
        <v>19905</v>
      </c>
      <c r="S1007" t="s">
        <v>19906</v>
      </c>
      <c r="T1007" t="s">
        <v>19904</v>
      </c>
    </row>
    <row r="1008" spans="2:20" x14ac:dyDescent="0.25">
      <c r="B1008" t="s">
        <v>2709</v>
      </c>
      <c r="C1008">
        <v>15162000</v>
      </c>
      <c r="E1008">
        <v>43.76</v>
      </c>
      <c r="F1008">
        <v>7</v>
      </c>
      <c r="G1008">
        <v>0</v>
      </c>
      <c r="H1008" t="s">
        <v>19447</v>
      </c>
      <c r="I1008" t="s">
        <v>19447</v>
      </c>
      <c r="J1008">
        <v>20</v>
      </c>
      <c r="L1008" t="s">
        <v>2709</v>
      </c>
      <c r="M1008">
        <v>15162000</v>
      </c>
      <c r="O1008" t="s">
        <v>19927</v>
      </c>
      <c r="P1008" t="s">
        <v>19908</v>
      </c>
      <c r="Q1008" t="s">
        <v>19900</v>
      </c>
      <c r="R1008" t="s">
        <v>19447</v>
      </c>
      <c r="S1008" t="s">
        <v>19447</v>
      </c>
      <c r="T1008" t="s">
        <v>19934</v>
      </c>
    </row>
    <row r="1009" spans="2:20" x14ac:dyDescent="0.25">
      <c r="B1009" t="s">
        <v>2709</v>
      </c>
      <c r="C1009">
        <v>15171000</v>
      </c>
      <c r="E1009">
        <v>28.08</v>
      </c>
      <c r="F1009">
        <v>7</v>
      </c>
      <c r="G1009">
        <v>0</v>
      </c>
      <c r="H1009" t="s">
        <v>19447</v>
      </c>
      <c r="I1009" t="s">
        <v>19447</v>
      </c>
      <c r="J1009">
        <v>12</v>
      </c>
      <c r="L1009" t="s">
        <v>2709</v>
      </c>
      <c r="M1009">
        <v>15171000</v>
      </c>
      <c r="O1009" t="s">
        <v>19935</v>
      </c>
      <c r="P1009" t="s">
        <v>19908</v>
      </c>
      <c r="Q1009" t="s">
        <v>19900</v>
      </c>
      <c r="R1009" t="s">
        <v>19447</v>
      </c>
      <c r="S1009" t="s">
        <v>19447</v>
      </c>
      <c r="T1009" t="s">
        <v>19903</v>
      </c>
    </row>
    <row r="1010" spans="2:20" x14ac:dyDescent="0.25">
      <c r="B1010" t="s">
        <v>2709</v>
      </c>
      <c r="C1010">
        <v>15179010</v>
      </c>
      <c r="E1010">
        <v>35.31</v>
      </c>
      <c r="F1010">
        <v>7</v>
      </c>
      <c r="G1010">
        <v>0</v>
      </c>
      <c r="H1010" t="s">
        <v>19447</v>
      </c>
      <c r="I1010" t="s">
        <v>19447</v>
      </c>
      <c r="J1010">
        <v>12</v>
      </c>
      <c r="L1010" t="s">
        <v>2709</v>
      </c>
      <c r="M1010">
        <v>15179010</v>
      </c>
      <c r="O1010" t="s">
        <v>19936</v>
      </c>
      <c r="P1010" t="s">
        <v>19908</v>
      </c>
      <c r="Q1010" t="s">
        <v>19900</v>
      </c>
      <c r="R1010" t="s">
        <v>19447</v>
      </c>
      <c r="S1010" t="s">
        <v>19447</v>
      </c>
      <c r="T1010" t="s">
        <v>19903</v>
      </c>
    </row>
    <row r="1011" spans="2:20" x14ac:dyDescent="0.25">
      <c r="B1011" t="s">
        <v>2709</v>
      </c>
      <c r="C1011">
        <v>15179090</v>
      </c>
      <c r="E1011">
        <v>28.08</v>
      </c>
      <c r="F1011">
        <v>7</v>
      </c>
      <c r="G1011">
        <v>0</v>
      </c>
      <c r="H1011" t="s">
        <v>19447</v>
      </c>
      <c r="I1011" t="s">
        <v>19447</v>
      </c>
      <c r="J1011">
        <v>12</v>
      </c>
      <c r="L1011" t="s">
        <v>2709</v>
      </c>
      <c r="M1011">
        <v>15179090</v>
      </c>
      <c r="O1011" t="s">
        <v>19935</v>
      </c>
      <c r="P1011" t="s">
        <v>19908</v>
      </c>
      <c r="Q1011" t="s">
        <v>19900</v>
      </c>
      <c r="R1011" t="s">
        <v>19447</v>
      </c>
      <c r="S1011" t="s">
        <v>19447</v>
      </c>
      <c r="T1011" t="s">
        <v>19903</v>
      </c>
    </row>
    <row r="1012" spans="2:20" x14ac:dyDescent="0.25">
      <c r="B1012" t="s">
        <v>2709</v>
      </c>
      <c r="C1012">
        <v>15180010</v>
      </c>
      <c r="E1012">
        <v>43.76</v>
      </c>
      <c r="F1012">
        <v>7</v>
      </c>
      <c r="G1012">
        <v>0</v>
      </c>
      <c r="H1012" t="s">
        <v>19447</v>
      </c>
      <c r="I1012" t="s">
        <v>19447</v>
      </c>
      <c r="J1012">
        <v>10</v>
      </c>
      <c r="L1012" t="s">
        <v>2709</v>
      </c>
      <c r="M1012">
        <v>15180010</v>
      </c>
      <c r="O1012" t="s">
        <v>19927</v>
      </c>
      <c r="P1012" t="s">
        <v>19908</v>
      </c>
      <c r="Q1012" t="s">
        <v>19900</v>
      </c>
      <c r="R1012" t="s">
        <v>19447</v>
      </c>
      <c r="S1012" t="s">
        <v>19447</v>
      </c>
      <c r="T1012" t="s">
        <v>19904</v>
      </c>
    </row>
    <row r="1013" spans="2:20" x14ac:dyDescent="0.25">
      <c r="B1013" t="s">
        <v>2709</v>
      </c>
      <c r="C1013">
        <v>15180090</v>
      </c>
      <c r="E1013">
        <v>43.76</v>
      </c>
      <c r="F1013">
        <v>7</v>
      </c>
      <c r="G1013">
        <v>0</v>
      </c>
      <c r="H1013" t="s">
        <v>19447</v>
      </c>
      <c r="I1013" t="s">
        <v>19447</v>
      </c>
      <c r="J1013">
        <v>10</v>
      </c>
      <c r="L1013" t="s">
        <v>2709</v>
      </c>
      <c r="M1013">
        <v>15180090</v>
      </c>
      <c r="O1013" t="s">
        <v>19927</v>
      </c>
      <c r="P1013" t="s">
        <v>19908</v>
      </c>
      <c r="Q1013" t="s">
        <v>19900</v>
      </c>
      <c r="R1013" t="s">
        <v>19447</v>
      </c>
      <c r="S1013" t="s">
        <v>19447</v>
      </c>
      <c r="T1013" t="s">
        <v>19904</v>
      </c>
    </row>
    <row r="1014" spans="2:20" x14ac:dyDescent="0.25">
      <c r="B1014" t="s">
        <v>2709</v>
      </c>
      <c r="C1014">
        <v>15200010</v>
      </c>
      <c r="E1014">
        <v>43.76</v>
      </c>
      <c r="F1014">
        <v>0</v>
      </c>
      <c r="G1014">
        <v>0</v>
      </c>
      <c r="H1014">
        <v>7.6</v>
      </c>
      <c r="I1014">
        <v>1.65</v>
      </c>
      <c r="J1014">
        <v>8</v>
      </c>
      <c r="L1014" t="s">
        <v>2709</v>
      </c>
      <c r="M1014">
        <v>15200010</v>
      </c>
      <c r="O1014" t="s">
        <v>19927</v>
      </c>
      <c r="P1014" t="s">
        <v>19900</v>
      </c>
      <c r="Q1014" t="s">
        <v>19900</v>
      </c>
      <c r="R1014" t="s">
        <v>19905</v>
      </c>
      <c r="S1014" t="s">
        <v>19906</v>
      </c>
      <c r="T1014" t="s">
        <v>19918</v>
      </c>
    </row>
    <row r="1015" spans="2:20" x14ac:dyDescent="0.25">
      <c r="B1015" t="s">
        <v>2709</v>
      </c>
      <c r="C1015">
        <v>15200020</v>
      </c>
      <c r="E1015">
        <v>43.76</v>
      </c>
      <c r="F1015">
        <v>0</v>
      </c>
      <c r="G1015">
        <v>0</v>
      </c>
      <c r="H1015">
        <v>7.6</v>
      </c>
      <c r="I1015">
        <v>1.65</v>
      </c>
      <c r="J1015">
        <v>10</v>
      </c>
      <c r="L1015" t="s">
        <v>2709</v>
      </c>
      <c r="M1015">
        <v>15200020</v>
      </c>
      <c r="O1015" t="s">
        <v>19927</v>
      </c>
      <c r="P1015" t="s">
        <v>19900</v>
      </c>
      <c r="Q1015" t="s">
        <v>19900</v>
      </c>
      <c r="R1015" t="s">
        <v>19905</v>
      </c>
      <c r="S1015" t="s">
        <v>19906</v>
      </c>
      <c r="T1015" t="s">
        <v>19904</v>
      </c>
    </row>
    <row r="1016" spans="2:20" x14ac:dyDescent="0.25">
      <c r="B1016" t="s">
        <v>2709</v>
      </c>
      <c r="C1016">
        <v>15211000</v>
      </c>
      <c r="E1016">
        <v>43.76</v>
      </c>
      <c r="F1016">
        <v>0</v>
      </c>
      <c r="G1016">
        <v>0</v>
      </c>
      <c r="H1016">
        <v>7.6</v>
      </c>
      <c r="I1016">
        <v>1.65</v>
      </c>
      <c r="J1016">
        <v>10</v>
      </c>
      <c r="L1016" t="s">
        <v>2709</v>
      </c>
      <c r="M1016">
        <v>15211000</v>
      </c>
      <c r="O1016" t="s">
        <v>19927</v>
      </c>
      <c r="P1016" t="s">
        <v>19900</v>
      </c>
      <c r="Q1016" t="s">
        <v>19900</v>
      </c>
      <c r="R1016" t="s">
        <v>19905</v>
      </c>
      <c r="S1016" t="s">
        <v>19906</v>
      </c>
      <c r="T1016" t="s">
        <v>19904</v>
      </c>
    </row>
    <row r="1017" spans="2:20" x14ac:dyDescent="0.25">
      <c r="B1017" t="s">
        <v>2709</v>
      </c>
      <c r="C1017">
        <v>15211000</v>
      </c>
      <c r="D1017">
        <v>1</v>
      </c>
      <c r="E1017" t="s">
        <v>19447</v>
      </c>
      <c r="F1017">
        <v>18</v>
      </c>
      <c r="G1017">
        <v>0</v>
      </c>
      <c r="H1017">
        <v>7.6</v>
      </c>
      <c r="I1017">
        <v>1.65</v>
      </c>
      <c r="J1017">
        <v>10</v>
      </c>
      <c r="L1017" t="s">
        <v>2709</v>
      </c>
      <c r="M1017">
        <v>15211000</v>
      </c>
      <c r="N1017">
        <v>1</v>
      </c>
      <c r="O1017" t="s">
        <v>19447</v>
      </c>
      <c r="P1017" t="s">
        <v>19899</v>
      </c>
      <c r="Q1017" t="s">
        <v>19900</v>
      </c>
      <c r="R1017" t="s">
        <v>19905</v>
      </c>
      <c r="S1017" t="s">
        <v>19906</v>
      </c>
      <c r="T1017" t="s">
        <v>19904</v>
      </c>
    </row>
    <row r="1018" spans="2:20" x14ac:dyDescent="0.25">
      <c r="B1018" t="s">
        <v>2709</v>
      </c>
      <c r="C1018">
        <v>15219011</v>
      </c>
      <c r="E1018">
        <v>43.76</v>
      </c>
      <c r="F1018">
        <v>0</v>
      </c>
      <c r="G1018">
        <v>0</v>
      </c>
      <c r="H1018">
        <v>7.6</v>
      </c>
      <c r="I1018">
        <v>1.65</v>
      </c>
      <c r="J1018">
        <v>10</v>
      </c>
      <c r="L1018" t="s">
        <v>2709</v>
      </c>
      <c r="M1018">
        <v>15219011</v>
      </c>
      <c r="O1018" t="s">
        <v>19927</v>
      </c>
      <c r="P1018" t="s">
        <v>19900</v>
      </c>
      <c r="Q1018" t="s">
        <v>19900</v>
      </c>
      <c r="R1018" t="s">
        <v>19905</v>
      </c>
      <c r="S1018" t="s">
        <v>19906</v>
      </c>
      <c r="T1018" t="s">
        <v>19904</v>
      </c>
    </row>
    <row r="1019" spans="2:20" x14ac:dyDescent="0.25">
      <c r="B1019" t="s">
        <v>2709</v>
      </c>
      <c r="C1019">
        <v>15219019</v>
      </c>
      <c r="E1019">
        <v>43.76</v>
      </c>
      <c r="F1019">
        <v>0</v>
      </c>
      <c r="G1019">
        <v>0</v>
      </c>
      <c r="H1019">
        <v>7.6</v>
      </c>
      <c r="I1019">
        <v>1.65</v>
      </c>
      <c r="J1019">
        <v>10</v>
      </c>
      <c r="L1019" t="s">
        <v>2709</v>
      </c>
      <c r="M1019">
        <v>15219019</v>
      </c>
      <c r="O1019" t="s">
        <v>19927</v>
      </c>
      <c r="P1019" t="s">
        <v>19900</v>
      </c>
      <c r="Q1019" t="s">
        <v>19900</v>
      </c>
      <c r="R1019" t="s">
        <v>19905</v>
      </c>
      <c r="S1019" t="s">
        <v>19906</v>
      </c>
      <c r="T1019" t="s">
        <v>19904</v>
      </c>
    </row>
    <row r="1020" spans="2:20" x14ac:dyDescent="0.25">
      <c r="B1020" t="s">
        <v>2709</v>
      </c>
      <c r="C1020">
        <v>15219019</v>
      </c>
      <c r="D1020">
        <v>1</v>
      </c>
      <c r="E1020" t="s">
        <v>19447</v>
      </c>
      <c r="F1020">
        <v>18</v>
      </c>
      <c r="G1020">
        <v>0</v>
      </c>
      <c r="H1020">
        <v>7.6</v>
      </c>
      <c r="I1020">
        <v>1.65</v>
      </c>
      <c r="J1020">
        <v>10</v>
      </c>
      <c r="L1020" t="s">
        <v>2709</v>
      </c>
      <c r="M1020">
        <v>15219019</v>
      </c>
      <c r="N1020">
        <v>1</v>
      </c>
      <c r="O1020" t="s">
        <v>19447</v>
      </c>
      <c r="P1020" t="s">
        <v>19899</v>
      </c>
      <c r="Q1020" t="s">
        <v>19900</v>
      </c>
      <c r="R1020" t="s">
        <v>19905</v>
      </c>
      <c r="S1020" t="s">
        <v>19906</v>
      </c>
      <c r="T1020" t="s">
        <v>19904</v>
      </c>
    </row>
    <row r="1021" spans="2:20" x14ac:dyDescent="0.25">
      <c r="B1021" t="s">
        <v>2709</v>
      </c>
      <c r="C1021">
        <v>15219090</v>
      </c>
      <c r="E1021">
        <v>43.76</v>
      </c>
      <c r="F1021">
        <v>0</v>
      </c>
      <c r="G1021">
        <v>0</v>
      </c>
      <c r="H1021">
        <v>7.6</v>
      </c>
      <c r="I1021">
        <v>1.65</v>
      </c>
      <c r="J1021">
        <v>10</v>
      </c>
      <c r="L1021" t="s">
        <v>2709</v>
      </c>
      <c r="M1021">
        <v>15219090</v>
      </c>
      <c r="O1021" t="s">
        <v>19927</v>
      </c>
      <c r="P1021" t="s">
        <v>19900</v>
      </c>
      <c r="Q1021" t="s">
        <v>19900</v>
      </c>
      <c r="R1021" t="s">
        <v>19905</v>
      </c>
      <c r="S1021" t="s">
        <v>19906</v>
      </c>
      <c r="T1021" t="s">
        <v>19904</v>
      </c>
    </row>
    <row r="1022" spans="2:20" x14ac:dyDescent="0.25">
      <c r="B1022" t="s">
        <v>2709</v>
      </c>
      <c r="C1022">
        <v>15219090</v>
      </c>
      <c r="D1022">
        <v>1</v>
      </c>
      <c r="E1022" t="s">
        <v>19447</v>
      </c>
      <c r="F1022">
        <v>18</v>
      </c>
      <c r="G1022">
        <v>0</v>
      </c>
      <c r="H1022">
        <v>7.6</v>
      </c>
      <c r="I1022">
        <v>1.65</v>
      </c>
      <c r="J1022">
        <v>10</v>
      </c>
      <c r="L1022" t="s">
        <v>2709</v>
      </c>
      <c r="M1022">
        <v>15219090</v>
      </c>
      <c r="N1022">
        <v>1</v>
      </c>
      <c r="O1022" t="s">
        <v>19447</v>
      </c>
      <c r="P1022" t="s">
        <v>19899</v>
      </c>
      <c r="Q1022" t="s">
        <v>19900</v>
      </c>
      <c r="R1022" t="s">
        <v>19905</v>
      </c>
      <c r="S1022" t="s">
        <v>19906</v>
      </c>
      <c r="T1022" t="s">
        <v>19904</v>
      </c>
    </row>
    <row r="1023" spans="2:20" x14ac:dyDescent="0.25">
      <c r="B1023" t="s">
        <v>2709</v>
      </c>
      <c r="C1023">
        <v>15219090</v>
      </c>
      <c r="D1023">
        <v>2</v>
      </c>
      <c r="E1023" t="s">
        <v>19447</v>
      </c>
      <c r="F1023">
        <v>18</v>
      </c>
      <c r="G1023">
        <v>0</v>
      </c>
      <c r="H1023">
        <v>7.6</v>
      </c>
      <c r="I1023">
        <v>1.65</v>
      </c>
      <c r="J1023">
        <v>10</v>
      </c>
      <c r="L1023" t="s">
        <v>2709</v>
      </c>
      <c r="M1023">
        <v>15219090</v>
      </c>
      <c r="N1023">
        <v>2</v>
      </c>
      <c r="O1023" t="s">
        <v>19447</v>
      </c>
      <c r="P1023" t="s">
        <v>19899</v>
      </c>
      <c r="Q1023" t="s">
        <v>19900</v>
      </c>
      <c r="R1023" t="s">
        <v>19905</v>
      </c>
      <c r="S1023" t="s">
        <v>19906</v>
      </c>
      <c r="T1023" t="s">
        <v>19904</v>
      </c>
    </row>
    <row r="1024" spans="2:20" x14ac:dyDescent="0.25">
      <c r="B1024" t="s">
        <v>2709</v>
      </c>
      <c r="C1024">
        <v>15220000</v>
      </c>
      <c r="E1024">
        <v>43.76</v>
      </c>
      <c r="F1024">
        <v>0</v>
      </c>
      <c r="G1024">
        <v>0</v>
      </c>
      <c r="H1024">
        <v>7.6</v>
      </c>
      <c r="I1024">
        <v>1.65</v>
      </c>
      <c r="J1024">
        <v>10</v>
      </c>
      <c r="L1024" t="s">
        <v>2709</v>
      </c>
      <c r="M1024">
        <v>15220000</v>
      </c>
      <c r="O1024" t="s">
        <v>19927</v>
      </c>
      <c r="P1024" t="s">
        <v>19900</v>
      </c>
      <c r="Q1024" t="s">
        <v>19900</v>
      </c>
      <c r="R1024" t="s">
        <v>19905</v>
      </c>
      <c r="S1024" t="s">
        <v>19906</v>
      </c>
      <c r="T1024" t="s">
        <v>19904</v>
      </c>
    </row>
    <row r="1025" spans="2:20" x14ac:dyDescent="0.25">
      <c r="B1025" t="s">
        <v>2709</v>
      </c>
      <c r="C1025">
        <v>16010000</v>
      </c>
      <c r="E1025">
        <v>40.83</v>
      </c>
      <c r="F1025">
        <v>7</v>
      </c>
      <c r="G1025">
        <v>0</v>
      </c>
      <c r="H1025">
        <v>7.6</v>
      </c>
      <c r="I1025">
        <v>1.65</v>
      </c>
      <c r="J1025">
        <v>16</v>
      </c>
      <c r="L1025" t="s">
        <v>2709</v>
      </c>
      <c r="M1025">
        <v>16010000</v>
      </c>
      <c r="O1025" t="s">
        <v>19937</v>
      </c>
      <c r="P1025" t="s">
        <v>19908</v>
      </c>
      <c r="Q1025" t="s">
        <v>19900</v>
      </c>
      <c r="R1025" t="s">
        <v>19905</v>
      </c>
      <c r="S1025" t="s">
        <v>19906</v>
      </c>
      <c r="T1025" t="s">
        <v>19913</v>
      </c>
    </row>
    <row r="1026" spans="2:20" x14ac:dyDescent="0.25">
      <c r="B1026" t="s">
        <v>2709</v>
      </c>
      <c r="C1026">
        <v>16021000</v>
      </c>
      <c r="E1026">
        <v>37.01</v>
      </c>
      <c r="F1026">
        <v>0</v>
      </c>
      <c r="G1026">
        <v>0</v>
      </c>
      <c r="H1026">
        <v>7.6</v>
      </c>
      <c r="I1026">
        <v>1.65</v>
      </c>
      <c r="J1026">
        <v>16</v>
      </c>
      <c r="L1026" t="s">
        <v>2709</v>
      </c>
      <c r="M1026">
        <v>16021000</v>
      </c>
      <c r="O1026" t="s">
        <v>19938</v>
      </c>
      <c r="P1026" t="s">
        <v>19900</v>
      </c>
      <c r="Q1026" t="s">
        <v>19900</v>
      </c>
      <c r="R1026" t="s">
        <v>19905</v>
      </c>
      <c r="S1026" t="s">
        <v>19906</v>
      </c>
      <c r="T1026" t="s">
        <v>19913</v>
      </c>
    </row>
    <row r="1027" spans="2:20" x14ac:dyDescent="0.25">
      <c r="B1027" t="s">
        <v>2709</v>
      </c>
      <c r="C1027">
        <v>16022000</v>
      </c>
      <c r="E1027">
        <v>37.01</v>
      </c>
      <c r="F1027">
        <v>0</v>
      </c>
      <c r="G1027">
        <v>0</v>
      </c>
      <c r="H1027">
        <v>7.6</v>
      </c>
      <c r="I1027">
        <v>1.65</v>
      </c>
      <c r="J1027">
        <v>16</v>
      </c>
      <c r="L1027" t="s">
        <v>2709</v>
      </c>
      <c r="M1027">
        <v>16022000</v>
      </c>
      <c r="O1027" t="s">
        <v>19938</v>
      </c>
      <c r="P1027" t="s">
        <v>19900</v>
      </c>
      <c r="Q1027" t="s">
        <v>19900</v>
      </c>
      <c r="R1027" t="s">
        <v>19905</v>
      </c>
      <c r="S1027" t="s">
        <v>19906</v>
      </c>
      <c r="T1027" t="s">
        <v>19913</v>
      </c>
    </row>
    <row r="1028" spans="2:20" x14ac:dyDescent="0.25">
      <c r="B1028" t="s">
        <v>2709</v>
      </c>
      <c r="C1028">
        <v>16023100</v>
      </c>
      <c r="E1028">
        <v>37.01</v>
      </c>
      <c r="F1028">
        <v>0</v>
      </c>
      <c r="G1028">
        <v>0</v>
      </c>
      <c r="H1028">
        <v>7.6</v>
      </c>
      <c r="I1028">
        <v>1.65</v>
      </c>
      <c r="J1028">
        <v>16</v>
      </c>
      <c r="L1028" t="s">
        <v>2709</v>
      </c>
      <c r="M1028">
        <v>16023100</v>
      </c>
      <c r="O1028" t="s">
        <v>19938</v>
      </c>
      <c r="P1028" t="s">
        <v>19900</v>
      </c>
      <c r="Q1028" t="s">
        <v>19900</v>
      </c>
      <c r="R1028" t="s">
        <v>19905</v>
      </c>
      <c r="S1028" t="s">
        <v>19906</v>
      </c>
      <c r="T1028" t="s">
        <v>19913</v>
      </c>
    </row>
    <row r="1029" spans="2:20" x14ac:dyDescent="0.25">
      <c r="B1029" t="s">
        <v>2709</v>
      </c>
      <c r="C1029">
        <v>16023210</v>
      </c>
      <c r="E1029">
        <v>37.01</v>
      </c>
      <c r="F1029">
        <v>0</v>
      </c>
      <c r="G1029">
        <v>0</v>
      </c>
      <c r="H1029">
        <v>7.6</v>
      </c>
      <c r="I1029">
        <v>1.65</v>
      </c>
      <c r="J1029">
        <v>16</v>
      </c>
      <c r="L1029" t="s">
        <v>2709</v>
      </c>
      <c r="M1029">
        <v>16023210</v>
      </c>
      <c r="O1029" t="s">
        <v>19938</v>
      </c>
      <c r="P1029" t="s">
        <v>19900</v>
      </c>
      <c r="Q1029" t="s">
        <v>19900</v>
      </c>
      <c r="R1029" t="s">
        <v>19905</v>
      </c>
      <c r="S1029" t="s">
        <v>19906</v>
      </c>
      <c r="T1029" t="s">
        <v>19913</v>
      </c>
    </row>
    <row r="1030" spans="2:20" x14ac:dyDescent="0.25">
      <c r="B1030" t="s">
        <v>2709</v>
      </c>
      <c r="C1030">
        <v>16023220</v>
      </c>
      <c r="E1030">
        <v>37.01</v>
      </c>
      <c r="F1030">
        <v>0</v>
      </c>
      <c r="G1030">
        <v>0</v>
      </c>
      <c r="H1030">
        <v>7.6</v>
      </c>
      <c r="I1030">
        <v>1.65</v>
      </c>
      <c r="J1030">
        <v>16</v>
      </c>
      <c r="L1030" t="s">
        <v>2709</v>
      </c>
      <c r="M1030">
        <v>16023220</v>
      </c>
      <c r="O1030" t="s">
        <v>19938</v>
      </c>
      <c r="P1030" t="s">
        <v>19900</v>
      </c>
      <c r="Q1030" t="s">
        <v>19900</v>
      </c>
      <c r="R1030" t="s">
        <v>19905</v>
      </c>
      <c r="S1030" t="s">
        <v>19906</v>
      </c>
      <c r="T1030" t="s">
        <v>19913</v>
      </c>
    </row>
    <row r="1031" spans="2:20" x14ac:dyDescent="0.25">
      <c r="B1031" t="s">
        <v>2709</v>
      </c>
      <c r="C1031">
        <v>16023230</v>
      </c>
      <c r="E1031">
        <v>37.01</v>
      </c>
      <c r="F1031">
        <v>0</v>
      </c>
      <c r="G1031">
        <v>0</v>
      </c>
      <c r="H1031">
        <v>7.6</v>
      </c>
      <c r="I1031">
        <v>1.65</v>
      </c>
      <c r="J1031">
        <v>16</v>
      </c>
      <c r="L1031" t="s">
        <v>2709</v>
      </c>
      <c r="M1031">
        <v>16023230</v>
      </c>
      <c r="O1031" t="s">
        <v>19938</v>
      </c>
      <c r="P1031" t="s">
        <v>19900</v>
      </c>
      <c r="Q1031" t="s">
        <v>19900</v>
      </c>
      <c r="R1031" t="s">
        <v>19905</v>
      </c>
      <c r="S1031" t="s">
        <v>19906</v>
      </c>
      <c r="T1031" t="s">
        <v>19913</v>
      </c>
    </row>
    <row r="1032" spans="2:20" x14ac:dyDescent="0.25">
      <c r="B1032" t="s">
        <v>2709</v>
      </c>
      <c r="C1032">
        <v>16023290</v>
      </c>
      <c r="E1032">
        <v>37.01</v>
      </c>
      <c r="F1032">
        <v>0</v>
      </c>
      <c r="G1032">
        <v>0</v>
      </c>
      <c r="H1032">
        <v>7.6</v>
      </c>
      <c r="I1032">
        <v>1.65</v>
      </c>
      <c r="J1032">
        <v>16</v>
      </c>
      <c r="L1032" t="s">
        <v>2709</v>
      </c>
      <c r="M1032">
        <v>16023290</v>
      </c>
      <c r="O1032" t="s">
        <v>19938</v>
      </c>
      <c r="P1032" t="s">
        <v>19900</v>
      </c>
      <c r="Q1032" t="s">
        <v>19900</v>
      </c>
      <c r="R1032" t="s">
        <v>19905</v>
      </c>
      <c r="S1032" t="s">
        <v>19906</v>
      </c>
      <c r="T1032" t="s">
        <v>19913</v>
      </c>
    </row>
    <row r="1033" spans="2:20" x14ac:dyDescent="0.25">
      <c r="B1033" t="s">
        <v>2709</v>
      </c>
      <c r="C1033">
        <v>16023900</v>
      </c>
      <c r="E1033">
        <v>37.01</v>
      </c>
      <c r="F1033">
        <v>0</v>
      </c>
      <c r="G1033">
        <v>0</v>
      </c>
      <c r="H1033">
        <v>7.6</v>
      </c>
      <c r="I1033">
        <v>1.65</v>
      </c>
      <c r="J1033">
        <v>16</v>
      </c>
      <c r="L1033" t="s">
        <v>2709</v>
      </c>
      <c r="M1033">
        <v>16023900</v>
      </c>
      <c r="O1033" t="s">
        <v>19938</v>
      </c>
      <c r="P1033" t="s">
        <v>19900</v>
      </c>
      <c r="Q1033" t="s">
        <v>19900</v>
      </c>
      <c r="R1033" t="s">
        <v>19905</v>
      </c>
      <c r="S1033" t="s">
        <v>19906</v>
      </c>
      <c r="T1033" t="s">
        <v>19913</v>
      </c>
    </row>
    <row r="1034" spans="2:20" x14ac:dyDescent="0.25">
      <c r="B1034" t="s">
        <v>2709</v>
      </c>
      <c r="C1034">
        <v>16024100</v>
      </c>
      <c r="E1034">
        <v>37.01</v>
      </c>
      <c r="F1034">
        <v>12</v>
      </c>
      <c r="G1034">
        <v>0</v>
      </c>
      <c r="H1034">
        <v>7.6</v>
      </c>
      <c r="I1034">
        <v>1.65</v>
      </c>
      <c r="J1034">
        <v>16</v>
      </c>
      <c r="L1034" t="s">
        <v>2709</v>
      </c>
      <c r="M1034">
        <v>16024100</v>
      </c>
      <c r="O1034" t="s">
        <v>19938</v>
      </c>
      <c r="P1034" t="s">
        <v>19903</v>
      </c>
      <c r="Q1034" t="s">
        <v>19900</v>
      </c>
      <c r="R1034" t="s">
        <v>19905</v>
      </c>
      <c r="S1034" t="s">
        <v>19906</v>
      </c>
      <c r="T1034" t="s">
        <v>19913</v>
      </c>
    </row>
    <row r="1035" spans="2:20" x14ac:dyDescent="0.25">
      <c r="B1035" t="s">
        <v>2709</v>
      </c>
      <c r="C1035">
        <v>16024200</v>
      </c>
      <c r="E1035">
        <v>37.01</v>
      </c>
      <c r="F1035">
        <v>12</v>
      </c>
      <c r="G1035">
        <v>0</v>
      </c>
      <c r="H1035">
        <v>7.6</v>
      </c>
      <c r="I1035">
        <v>1.65</v>
      </c>
      <c r="J1035">
        <v>16</v>
      </c>
      <c r="L1035" t="s">
        <v>2709</v>
      </c>
      <c r="M1035">
        <v>16024200</v>
      </c>
      <c r="O1035" t="s">
        <v>19938</v>
      </c>
      <c r="P1035" t="s">
        <v>19903</v>
      </c>
      <c r="Q1035" t="s">
        <v>19900</v>
      </c>
      <c r="R1035" t="s">
        <v>19905</v>
      </c>
      <c r="S1035" t="s">
        <v>19906</v>
      </c>
      <c r="T1035" t="s">
        <v>19913</v>
      </c>
    </row>
    <row r="1036" spans="2:20" x14ac:dyDescent="0.25">
      <c r="B1036" t="s">
        <v>2709</v>
      </c>
      <c r="C1036">
        <v>16024900</v>
      </c>
      <c r="E1036">
        <v>37.01</v>
      </c>
      <c r="F1036">
        <v>12</v>
      </c>
      <c r="G1036">
        <v>0</v>
      </c>
      <c r="H1036">
        <v>7.6</v>
      </c>
      <c r="I1036">
        <v>1.65</v>
      </c>
      <c r="J1036">
        <v>16</v>
      </c>
      <c r="L1036" t="s">
        <v>2709</v>
      </c>
      <c r="M1036">
        <v>16024900</v>
      </c>
      <c r="O1036" t="s">
        <v>19938</v>
      </c>
      <c r="P1036" t="s">
        <v>19903</v>
      </c>
      <c r="Q1036" t="s">
        <v>19900</v>
      </c>
      <c r="R1036" t="s">
        <v>19905</v>
      </c>
      <c r="S1036" t="s">
        <v>19906</v>
      </c>
      <c r="T1036" t="s">
        <v>19913</v>
      </c>
    </row>
    <row r="1037" spans="2:20" x14ac:dyDescent="0.25">
      <c r="B1037" t="s">
        <v>2709</v>
      </c>
      <c r="C1037">
        <v>16025000</v>
      </c>
      <c r="E1037">
        <v>37.01</v>
      </c>
      <c r="F1037">
        <v>0</v>
      </c>
      <c r="G1037">
        <v>0</v>
      </c>
      <c r="H1037">
        <v>7.6</v>
      </c>
      <c r="I1037">
        <v>1.65</v>
      </c>
      <c r="J1037">
        <v>16</v>
      </c>
      <c r="L1037" t="s">
        <v>2709</v>
      </c>
      <c r="M1037">
        <v>16025000</v>
      </c>
      <c r="O1037" t="s">
        <v>19938</v>
      </c>
      <c r="P1037" t="s">
        <v>19900</v>
      </c>
      <c r="Q1037" t="s">
        <v>19900</v>
      </c>
      <c r="R1037" t="s">
        <v>19905</v>
      </c>
      <c r="S1037" t="s">
        <v>19906</v>
      </c>
      <c r="T1037" t="s">
        <v>19913</v>
      </c>
    </row>
    <row r="1038" spans="2:20" x14ac:dyDescent="0.25">
      <c r="B1038" t="s">
        <v>2709</v>
      </c>
      <c r="C1038">
        <v>16029000</v>
      </c>
      <c r="E1038">
        <v>37.01</v>
      </c>
      <c r="F1038">
        <v>12</v>
      </c>
      <c r="G1038">
        <v>0</v>
      </c>
      <c r="H1038">
        <v>7.6</v>
      </c>
      <c r="I1038">
        <v>1.65</v>
      </c>
      <c r="J1038">
        <v>16</v>
      </c>
      <c r="L1038" t="s">
        <v>2709</v>
      </c>
      <c r="M1038">
        <v>16029000</v>
      </c>
      <c r="O1038" t="s">
        <v>19938</v>
      </c>
      <c r="P1038" t="s">
        <v>19903</v>
      </c>
      <c r="Q1038" t="s">
        <v>19900</v>
      </c>
      <c r="R1038" t="s">
        <v>19905</v>
      </c>
      <c r="S1038" t="s">
        <v>19906</v>
      </c>
      <c r="T1038" t="s">
        <v>19913</v>
      </c>
    </row>
    <row r="1039" spans="2:20" x14ac:dyDescent="0.25">
      <c r="B1039" t="s">
        <v>2709</v>
      </c>
      <c r="C1039">
        <v>16030000</v>
      </c>
      <c r="E1039">
        <v>47.68</v>
      </c>
      <c r="F1039">
        <v>0</v>
      </c>
      <c r="G1039">
        <v>0</v>
      </c>
      <c r="H1039">
        <v>7.6</v>
      </c>
      <c r="I1039">
        <v>1.65</v>
      </c>
      <c r="J1039">
        <v>16</v>
      </c>
      <c r="L1039" t="s">
        <v>2709</v>
      </c>
      <c r="M1039">
        <v>16030000</v>
      </c>
      <c r="O1039" t="s">
        <v>19939</v>
      </c>
      <c r="P1039" t="s">
        <v>19900</v>
      </c>
      <c r="Q1039" t="s">
        <v>19900</v>
      </c>
      <c r="R1039" t="s">
        <v>19905</v>
      </c>
      <c r="S1039" t="s">
        <v>19906</v>
      </c>
      <c r="T1039" t="s">
        <v>19913</v>
      </c>
    </row>
    <row r="1040" spans="2:20" x14ac:dyDescent="0.25">
      <c r="B1040" t="s">
        <v>2709</v>
      </c>
      <c r="C1040">
        <v>16041100</v>
      </c>
      <c r="E1040">
        <v>35.869999999999997</v>
      </c>
      <c r="F1040">
        <v>0</v>
      </c>
      <c r="G1040">
        <v>5</v>
      </c>
      <c r="H1040">
        <v>7.6</v>
      </c>
      <c r="I1040">
        <v>1.65</v>
      </c>
      <c r="J1040">
        <v>16</v>
      </c>
      <c r="L1040" t="s">
        <v>2709</v>
      </c>
      <c r="M1040">
        <v>16041100</v>
      </c>
      <c r="O1040" t="s">
        <v>19940</v>
      </c>
      <c r="P1040" t="s">
        <v>19900</v>
      </c>
      <c r="Q1040" t="s">
        <v>19909</v>
      </c>
      <c r="R1040" t="s">
        <v>19905</v>
      </c>
      <c r="S1040" t="s">
        <v>19906</v>
      </c>
      <c r="T1040" t="s">
        <v>19913</v>
      </c>
    </row>
    <row r="1041" spans="2:20" x14ac:dyDescent="0.25">
      <c r="B1041" t="s">
        <v>2709</v>
      </c>
      <c r="C1041">
        <v>16041200</v>
      </c>
      <c r="E1041">
        <v>35.869999999999997</v>
      </c>
      <c r="F1041">
        <v>0</v>
      </c>
      <c r="G1041">
        <v>5</v>
      </c>
      <c r="H1041">
        <v>7.6</v>
      </c>
      <c r="I1041">
        <v>1.65</v>
      </c>
      <c r="J1041">
        <v>16</v>
      </c>
      <c r="L1041" t="s">
        <v>2709</v>
      </c>
      <c r="M1041">
        <v>16041200</v>
      </c>
      <c r="O1041" t="s">
        <v>19940</v>
      </c>
      <c r="P1041" t="s">
        <v>19900</v>
      </c>
      <c r="Q1041" t="s">
        <v>19909</v>
      </c>
      <c r="R1041" t="s">
        <v>19905</v>
      </c>
      <c r="S1041" t="s">
        <v>19906</v>
      </c>
      <c r="T1041" t="s">
        <v>19913</v>
      </c>
    </row>
    <row r="1042" spans="2:20" x14ac:dyDescent="0.25">
      <c r="B1042" t="s">
        <v>2709</v>
      </c>
      <c r="C1042">
        <v>16041310</v>
      </c>
      <c r="E1042">
        <v>35.869999999999997</v>
      </c>
      <c r="F1042">
        <v>7</v>
      </c>
      <c r="G1042">
        <v>0</v>
      </c>
      <c r="H1042">
        <v>7.6</v>
      </c>
      <c r="I1042">
        <v>1.65</v>
      </c>
      <c r="J1042">
        <v>32</v>
      </c>
      <c r="L1042" t="s">
        <v>2709</v>
      </c>
      <c r="M1042">
        <v>16041310</v>
      </c>
      <c r="O1042" t="s">
        <v>19940</v>
      </c>
      <c r="P1042" t="s">
        <v>19908</v>
      </c>
      <c r="Q1042" t="s">
        <v>19900</v>
      </c>
      <c r="R1042" t="s">
        <v>19905</v>
      </c>
      <c r="S1042" t="s">
        <v>19906</v>
      </c>
      <c r="T1042" t="s">
        <v>19941</v>
      </c>
    </row>
    <row r="1043" spans="2:20" x14ac:dyDescent="0.25">
      <c r="B1043" t="s">
        <v>2709</v>
      </c>
      <c r="C1043">
        <v>16041390</v>
      </c>
      <c r="E1043">
        <v>35.869999999999997</v>
      </c>
      <c r="F1043">
        <v>7</v>
      </c>
      <c r="G1043">
        <v>0</v>
      </c>
      <c r="H1043">
        <v>7.6</v>
      </c>
      <c r="I1043">
        <v>1.65</v>
      </c>
      <c r="J1043">
        <v>16</v>
      </c>
      <c r="L1043" t="s">
        <v>2709</v>
      </c>
      <c r="M1043">
        <v>16041390</v>
      </c>
      <c r="O1043" t="s">
        <v>19940</v>
      </c>
      <c r="P1043" t="s">
        <v>19908</v>
      </c>
      <c r="Q1043" t="s">
        <v>19900</v>
      </c>
      <c r="R1043" t="s">
        <v>19905</v>
      </c>
      <c r="S1043" t="s">
        <v>19906</v>
      </c>
      <c r="T1043" t="s">
        <v>19913</v>
      </c>
    </row>
    <row r="1044" spans="2:20" x14ac:dyDescent="0.25">
      <c r="B1044" t="s">
        <v>2709</v>
      </c>
      <c r="C1044">
        <v>16041410</v>
      </c>
      <c r="E1044">
        <v>35.869999999999997</v>
      </c>
      <c r="F1044">
        <v>0</v>
      </c>
      <c r="G1044">
        <v>0</v>
      </c>
      <c r="H1044">
        <v>7.6</v>
      </c>
      <c r="I1044">
        <v>1.65</v>
      </c>
      <c r="J1044">
        <v>16</v>
      </c>
      <c r="L1044" t="s">
        <v>2709</v>
      </c>
      <c r="M1044">
        <v>16041410</v>
      </c>
      <c r="O1044" t="s">
        <v>19940</v>
      </c>
      <c r="P1044" t="s">
        <v>19900</v>
      </c>
      <c r="Q1044" t="s">
        <v>19900</v>
      </c>
      <c r="R1044" t="s">
        <v>19905</v>
      </c>
      <c r="S1044" t="s">
        <v>19906</v>
      </c>
      <c r="T1044" t="s">
        <v>19913</v>
      </c>
    </row>
    <row r="1045" spans="2:20" x14ac:dyDescent="0.25">
      <c r="B1045" t="s">
        <v>2709</v>
      </c>
      <c r="C1045">
        <v>16041420</v>
      </c>
      <c r="E1045">
        <v>35.869999999999997</v>
      </c>
      <c r="F1045">
        <v>0</v>
      </c>
      <c r="G1045">
        <v>0</v>
      </c>
      <c r="H1045">
        <v>7.6</v>
      </c>
      <c r="I1045">
        <v>1.65</v>
      </c>
      <c r="J1045">
        <v>16</v>
      </c>
      <c r="L1045" t="s">
        <v>2709</v>
      </c>
      <c r="M1045">
        <v>16041420</v>
      </c>
      <c r="O1045" t="s">
        <v>19940</v>
      </c>
      <c r="P1045" t="s">
        <v>19900</v>
      </c>
      <c r="Q1045" t="s">
        <v>19900</v>
      </c>
      <c r="R1045" t="s">
        <v>19905</v>
      </c>
      <c r="S1045" t="s">
        <v>19906</v>
      </c>
      <c r="T1045" t="s">
        <v>19913</v>
      </c>
    </row>
    <row r="1046" spans="2:20" x14ac:dyDescent="0.25">
      <c r="B1046" t="s">
        <v>2709</v>
      </c>
      <c r="C1046">
        <v>16041430</v>
      </c>
      <c r="E1046">
        <v>35.869999999999997</v>
      </c>
      <c r="F1046">
        <v>0</v>
      </c>
      <c r="G1046">
        <v>0</v>
      </c>
      <c r="H1046">
        <v>7.6</v>
      </c>
      <c r="I1046">
        <v>1.65</v>
      </c>
      <c r="J1046">
        <v>16</v>
      </c>
      <c r="L1046" t="s">
        <v>2709</v>
      </c>
      <c r="M1046">
        <v>16041430</v>
      </c>
      <c r="O1046" t="s">
        <v>19940</v>
      </c>
      <c r="P1046" t="s">
        <v>19900</v>
      </c>
      <c r="Q1046" t="s">
        <v>19900</v>
      </c>
      <c r="R1046" t="s">
        <v>19905</v>
      </c>
      <c r="S1046" t="s">
        <v>19906</v>
      </c>
      <c r="T1046" t="s">
        <v>19913</v>
      </c>
    </row>
    <row r="1047" spans="2:20" x14ac:dyDescent="0.25">
      <c r="B1047" t="s">
        <v>2709</v>
      </c>
      <c r="C1047">
        <v>16041500</v>
      </c>
      <c r="E1047">
        <v>35.869999999999997</v>
      </c>
      <c r="F1047">
        <v>0</v>
      </c>
      <c r="G1047">
        <v>0</v>
      </c>
      <c r="H1047">
        <v>7.6</v>
      </c>
      <c r="I1047">
        <v>1.65</v>
      </c>
      <c r="J1047">
        <v>16</v>
      </c>
      <c r="L1047" t="s">
        <v>2709</v>
      </c>
      <c r="M1047">
        <v>16041500</v>
      </c>
      <c r="O1047" t="s">
        <v>19940</v>
      </c>
      <c r="P1047" t="s">
        <v>19900</v>
      </c>
      <c r="Q1047" t="s">
        <v>19900</v>
      </c>
      <c r="R1047" t="s">
        <v>19905</v>
      </c>
      <c r="S1047" t="s">
        <v>19906</v>
      </c>
      <c r="T1047" t="s">
        <v>19913</v>
      </c>
    </row>
    <row r="1048" spans="2:20" x14ac:dyDescent="0.25">
      <c r="B1048" t="s">
        <v>2709</v>
      </c>
      <c r="C1048">
        <v>16041600</v>
      </c>
      <c r="E1048">
        <v>35.869999999999997</v>
      </c>
      <c r="F1048">
        <v>0</v>
      </c>
      <c r="G1048">
        <v>0</v>
      </c>
      <c r="H1048">
        <v>7.6</v>
      </c>
      <c r="I1048">
        <v>1.65</v>
      </c>
      <c r="J1048">
        <v>16</v>
      </c>
      <c r="L1048" t="s">
        <v>2709</v>
      </c>
      <c r="M1048">
        <v>16041600</v>
      </c>
      <c r="O1048" t="s">
        <v>19940</v>
      </c>
      <c r="P1048" t="s">
        <v>19900</v>
      </c>
      <c r="Q1048" t="s">
        <v>19900</v>
      </c>
      <c r="R1048" t="s">
        <v>19905</v>
      </c>
      <c r="S1048" t="s">
        <v>19906</v>
      </c>
      <c r="T1048" t="s">
        <v>19913</v>
      </c>
    </row>
    <row r="1049" spans="2:20" x14ac:dyDescent="0.25">
      <c r="B1049" t="s">
        <v>2709</v>
      </c>
      <c r="C1049">
        <v>16041700</v>
      </c>
      <c r="E1049">
        <v>35.869999999999997</v>
      </c>
      <c r="F1049">
        <v>0</v>
      </c>
      <c r="G1049">
        <v>0</v>
      </c>
      <c r="H1049">
        <v>7.6</v>
      </c>
      <c r="I1049">
        <v>1.65</v>
      </c>
      <c r="J1049">
        <v>16</v>
      </c>
      <c r="L1049" t="s">
        <v>2709</v>
      </c>
      <c r="M1049">
        <v>16041700</v>
      </c>
      <c r="O1049" t="s">
        <v>19940</v>
      </c>
      <c r="P1049" t="s">
        <v>19900</v>
      </c>
      <c r="Q1049" t="s">
        <v>19900</v>
      </c>
      <c r="R1049" t="s">
        <v>19905</v>
      </c>
      <c r="S1049" t="s">
        <v>19906</v>
      </c>
      <c r="T1049" t="s">
        <v>19913</v>
      </c>
    </row>
    <row r="1050" spans="2:20" x14ac:dyDescent="0.25">
      <c r="B1050" t="s">
        <v>2709</v>
      </c>
      <c r="C1050">
        <v>16041900</v>
      </c>
      <c r="E1050">
        <v>35.869999999999997</v>
      </c>
      <c r="F1050">
        <v>0</v>
      </c>
      <c r="G1050">
        <v>0</v>
      </c>
      <c r="H1050">
        <v>7.6</v>
      </c>
      <c r="I1050">
        <v>1.65</v>
      </c>
      <c r="J1050">
        <v>16</v>
      </c>
      <c r="L1050" t="s">
        <v>2709</v>
      </c>
      <c r="M1050">
        <v>16041900</v>
      </c>
      <c r="O1050" t="s">
        <v>19940</v>
      </c>
      <c r="P1050" t="s">
        <v>19900</v>
      </c>
      <c r="Q1050" t="s">
        <v>19900</v>
      </c>
      <c r="R1050" t="s">
        <v>19905</v>
      </c>
      <c r="S1050" t="s">
        <v>19906</v>
      </c>
      <c r="T1050" t="s">
        <v>19913</v>
      </c>
    </row>
    <row r="1051" spans="2:20" x14ac:dyDescent="0.25">
      <c r="B1051" t="s">
        <v>2709</v>
      </c>
      <c r="C1051">
        <v>16042010</v>
      </c>
      <c r="E1051">
        <v>35.869999999999997</v>
      </c>
      <c r="F1051">
        <v>0</v>
      </c>
      <c r="G1051">
        <v>0</v>
      </c>
      <c r="H1051">
        <v>7.6</v>
      </c>
      <c r="I1051">
        <v>1.65</v>
      </c>
      <c r="J1051">
        <v>16</v>
      </c>
      <c r="L1051" t="s">
        <v>2709</v>
      </c>
      <c r="M1051">
        <v>16042010</v>
      </c>
      <c r="O1051" t="s">
        <v>19940</v>
      </c>
      <c r="P1051" t="s">
        <v>19900</v>
      </c>
      <c r="Q1051" t="s">
        <v>19900</v>
      </c>
      <c r="R1051" t="s">
        <v>19905</v>
      </c>
      <c r="S1051" t="s">
        <v>19906</v>
      </c>
      <c r="T1051" t="s">
        <v>19913</v>
      </c>
    </row>
    <row r="1052" spans="2:20" x14ac:dyDescent="0.25">
      <c r="B1052" t="s">
        <v>2709</v>
      </c>
      <c r="C1052">
        <v>16042020</v>
      </c>
      <c r="E1052">
        <v>35.869999999999997</v>
      </c>
      <c r="F1052">
        <v>0</v>
      </c>
      <c r="G1052">
        <v>0</v>
      </c>
      <c r="H1052">
        <v>7.6</v>
      </c>
      <c r="I1052">
        <v>1.65</v>
      </c>
      <c r="J1052">
        <v>16</v>
      </c>
      <c r="L1052" t="s">
        <v>2709</v>
      </c>
      <c r="M1052">
        <v>16042020</v>
      </c>
      <c r="O1052" t="s">
        <v>19940</v>
      </c>
      <c r="P1052" t="s">
        <v>19900</v>
      </c>
      <c r="Q1052" t="s">
        <v>19900</v>
      </c>
      <c r="R1052" t="s">
        <v>19905</v>
      </c>
      <c r="S1052" t="s">
        <v>19906</v>
      </c>
      <c r="T1052" t="s">
        <v>19913</v>
      </c>
    </row>
    <row r="1053" spans="2:20" x14ac:dyDescent="0.25">
      <c r="B1053" t="s">
        <v>2709</v>
      </c>
      <c r="C1053">
        <v>16042030</v>
      </c>
      <c r="E1053">
        <v>35.869999999999997</v>
      </c>
      <c r="F1053">
        <v>0</v>
      </c>
      <c r="G1053">
        <v>0</v>
      </c>
      <c r="H1053">
        <v>7.6</v>
      </c>
      <c r="I1053">
        <v>1.65</v>
      </c>
      <c r="J1053">
        <v>16</v>
      </c>
      <c r="L1053" t="s">
        <v>2709</v>
      </c>
      <c r="M1053">
        <v>16042030</v>
      </c>
      <c r="O1053" t="s">
        <v>19940</v>
      </c>
      <c r="P1053" t="s">
        <v>19900</v>
      </c>
      <c r="Q1053" t="s">
        <v>19900</v>
      </c>
      <c r="R1053" t="s">
        <v>19905</v>
      </c>
      <c r="S1053" t="s">
        <v>19906</v>
      </c>
      <c r="T1053" t="s">
        <v>19913</v>
      </c>
    </row>
    <row r="1054" spans="2:20" x14ac:dyDescent="0.25">
      <c r="B1054" t="s">
        <v>2709</v>
      </c>
      <c r="C1054">
        <v>16042090</v>
      </c>
      <c r="E1054">
        <v>35.869999999999997</v>
      </c>
      <c r="F1054">
        <v>0</v>
      </c>
      <c r="G1054">
        <v>0</v>
      </c>
      <c r="H1054">
        <v>7.6</v>
      </c>
      <c r="I1054">
        <v>1.65</v>
      </c>
      <c r="J1054">
        <v>16</v>
      </c>
      <c r="L1054" t="s">
        <v>2709</v>
      </c>
      <c r="M1054">
        <v>16042090</v>
      </c>
      <c r="O1054" t="s">
        <v>19940</v>
      </c>
      <c r="P1054" t="s">
        <v>19900</v>
      </c>
      <c r="Q1054" t="s">
        <v>19900</v>
      </c>
      <c r="R1054" t="s">
        <v>19905</v>
      </c>
      <c r="S1054" t="s">
        <v>19906</v>
      </c>
      <c r="T1054" t="s">
        <v>19913</v>
      </c>
    </row>
    <row r="1055" spans="2:20" x14ac:dyDescent="0.25">
      <c r="B1055" t="s">
        <v>2709</v>
      </c>
      <c r="C1055">
        <v>16043100</v>
      </c>
      <c r="E1055">
        <v>35.869999999999997</v>
      </c>
      <c r="F1055">
        <v>0</v>
      </c>
      <c r="G1055">
        <v>5</v>
      </c>
      <c r="H1055">
        <v>7.6</v>
      </c>
      <c r="I1055">
        <v>1.65</v>
      </c>
      <c r="J1055">
        <v>16</v>
      </c>
      <c r="L1055" t="s">
        <v>2709</v>
      </c>
      <c r="M1055">
        <v>16043100</v>
      </c>
      <c r="O1055" t="s">
        <v>19940</v>
      </c>
      <c r="P1055" t="s">
        <v>19900</v>
      </c>
      <c r="Q1055" t="s">
        <v>19909</v>
      </c>
      <c r="R1055" t="s">
        <v>19905</v>
      </c>
      <c r="S1055" t="s">
        <v>19906</v>
      </c>
      <c r="T1055" t="s">
        <v>19913</v>
      </c>
    </row>
    <row r="1056" spans="2:20" x14ac:dyDescent="0.25">
      <c r="B1056" t="s">
        <v>2709</v>
      </c>
      <c r="C1056">
        <v>16043200</v>
      </c>
      <c r="E1056">
        <v>35.869999999999997</v>
      </c>
      <c r="F1056">
        <v>0</v>
      </c>
      <c r="G1056">
        <v>5</v>
      </c>
      <c r="H1056">
        <v>7.6</v>
      </c>
      <c r="I1056">
        <v>1.65</v>
      </c>
      <c r="J1056">
        <v>16</v>
      </c>
      <c r="L1056" t="s">
        <v>2709</v>
      </c>
      <c r="M1056">
        <v>16043200</v>
      </c>
      <c r="O1056" t="s">
        <v>19940</v>
      </c>
      <c r="P1056" t="s">
        <v>19900</v>
      </c>
      <c r="Q1056" t="s">
        <v>19909</v>
      </c>
      <c r="R1056" t="s">
        <v>19905</v>
      </c>
      <c r="S1056" t="s">
        <v>19906</v>
      </c>
      <c r="T1056" t="s">
        <v>19913</v>
      </c>
    </row>
    <row r="1057" spans="2:20" x14ac:dyDescent="0.25">
      <c r="B1057" t="s">
        <v>2709</v>
      </c>
      <c r="C1057">
        <v>16051000</v>
      </c>
      <c r="E1057">
        <v>47.68</v>
      </c>
      <c r="F1057">
        <v>0</v>
      </c>
      <c r="G1057">
        <v>0</v>
      </c>
      <c r="H1057">
        <v>7.6</v>
      </c>
      <c r="I1057">
        <v>1.65</v>
      </c>
      <c r="J1057">
        <v>16</v>
      </c>
      <c r="L1057" t="s">
        <v>2709</v>
      </c>
      <c r="M1057">
        <v>16051000</v>
      </c>
      <c r="O1057" t="s">
        <v>19939</v>
      </c>
      <c r="P1057" t="s">
        <v>19900</v>
      </c>
      <c r="Q1057" t="s">
        <v>19900</v>
      </c>
      <c r="R1057" t="s">
        <v>19905</v>
      </c>
      <c r="S1057" t="s">
        <v>19906</v>
      </c>
      <c r="T1057" t="s">
        <v>19913</v>
      </c>
    </row>
    <row r="1058" spans="2:20" x14ac:dyDescent="0.25">
      <c r="B1058" t="s">
        <v>2709</v>
      </c>
      <c r="C1058">
        <v>16052100</v>
      </c>
      <c r="E1058">
        <v>47.68</v>
      </c>
      <c r="F1058">
        <v>0</v>
      </c>
      <c r="G1058">
        <v>0</v>
      </c>
      <c r="H1058">
        <v>7.6</v>
      </c>
      <c r="I1058">
        <v>1.65</v>
      </c>
      <c r="J1058">
        <v>16</v>
      </c>
      <c r="L1058" t="s">
        <v>2709</v>
      </c>
      <c r="M1058">
        <v>16052100</v>
      </c>
      <c r="O1058" t="s">
        <v>19939</v>
      </c>
      <c r="P1058" t="s">
        <v>19900</v>
      </c>
      <c r="Q1058" t="s">
        <v>19900</v>
      </c>
      <c r="R1058" t="s">
        <v>19905</v>
      </c>
      <c r="S1058" t="s">
        <v>19906</v>
      </c>
      <c r="T1058" t="s">
        <v>19913</v>
      </c>
    </row>
    <row r="1059" spans="2:20" x14ac:dyDescent="0.25">
      <c r="B1059" t="s">
        <v>2709</v>
      </c>
      <c r="C1059">
        <v>16052900</v>
      </c>
      <c r="E1059">
        <v>47.68</v>
      </c>
      <c r="F1059">
        <v>0</v>
      </c>
      <c r="G1059">
        <v>0</v>
      </c>
      <c r="H1059">
        <v>7.6</v>
      </c>
      <c r="I1059">
        <v>1.65</v>
      </c>
      <c r="J1059">
        <v>16</v>
      </c>
      <c r="L1059" t="s">
        <v>2709</v>
      </c>
      <c r="M1059">
        <v>16052900</v>
      </c>
      <c r="O1059" t="s">
        <v>19939</v>
      </c>
      <c r="P1059" t="s">
        <v>19900</v>
      </c>
      <c r="Q1059" t="s">
        <v>19900</v>
      </c>
      <c r="R1059" t="s">
        <v>19905</v>
      </c>
      <c r="S1059" t="s">
        <v>19906</v>
      </c>
      <c r="T1059" t="s">
        <v>19913</v>
      </c>
    </row>
    <row r="1060" spans="2:20" x14ac:dyDescent="0.25">
      <c r="B1060" t="s">
        <v>2709</v>
      </c>
      <c r="C1060">
        <v>16053000</v>
      </c>
      <c r="E1060">
        <v>47.68</v>
      </c>
      <c r="F1060">
        <v>0</v>
      </c>
      <c r="G1060">
        <v>0</v>
      </c>
      <c r="H1060">
        <v>7.6</v>
      </c>
      <c r="I1060">
        <v>1.65</v>
      </c>
      <c r="J1060">
        <v>16</v>
      </c>
      <c r="L1060" t="s">
        <v>2709</v>
      </c>
      <c r="M1060">
        <v>16053000</v>
      </c>
      <c r="O1060" t="s">
        <v>19939</v>
      </c>
      <c r="P1060" t="s">
        <v>19900</v>
      </c>
      <c r="Q1060" t="s">
        <v>19900</v>
      </c>
      <c r="R1060" t="s">
        <v>19905</v>
      </c>
      <c r="S1060" t="s">
        <v>19906</v>
      </c>
      <c r="T1060" t="s">
        <v>19913</v>
      </c>
    </row>
    <row r="1061" spans="2:20" x14ac:dyDescent="0.25">
      <c r="B1061" t="s">
        <v>2709</v>
      </c>
      <c r="C1061">
        <v>16054000</v>
      </c>
      <c r="E1061">
        <v>47.68</v>
      </c>
      <c r="F1061">
        <v>0</v>
      </c>
      <c r="G1061">
        <v>0</v>
      </c>
      <c r="H1061">
        <v>7.6</v>
      </c>
      <c r="I1061">
        <v>1.65</v>
      </c>
      <c r="J1061">
        <v>16</v>
      </c>
      <c r="L1061" t="s">
        <v>2709</v>
      </c>
      <c r="M1061">
        <v>16054000</v>
      </c>
      <c r="O1061" t="s">
        <v>19939</v>
      </c>
      <c r="P1061" t="s">
        <v>19900</v>
      </c>
      <c r="Q1061" t="s">
        <v>19900</v>
      </c>
      <c r="R1061" t="s">
        <v>19905</v>
      </c>
      <c r="S1061" t="s">
        <v>19906</v>
      </c>
      <c r="T1061" t="s">
        <v>19913</v>
      </c>
    </row>
    <row r="1062" spans="2:20" x14ac:dyDescent="0.25">
      <c r="B1062" t="s">
        <v>2709</v>
      </c>
      <c r="C1062">
        <v>16055100</v>
      </c>
      <c r="E1062">
        <v>47.68</v>
      </c>
      <c r="F1062">
        <v>0</v>
      </c>
      <c r="G1062">
        <v>0</v>
      </c>
      <c r="H1062">
        <v>7.6</v>
      </c>
      <c r="I1062">
        <v>1.65</v>
      </c>
      <c r="J1062">
        <v>16</v>
      </c>
      <c r="L1062" t="s">
        <v>2709</v>
      </c>
      <c r="M1062">
        <v>16055100</v>
      </c>
      <c r="O1062" t="s">
        <v>19939</v>
      </c>
      <c r="P1062" t="s">
        <v>19900</v>
      </c>
      <c r="Q1062" t="s">
        <v>19900</v>
      </c>
      <c r="R1062" t="s">
        <v>19905</v>
      </c>
      <c r="S1062" t="s">
        <v>19906</v>
      </c>
      <c r="T1062" t="s">
        <v>19913</v>
      </c>
    </row>
    <row r="1063" spans="2:20" x14ac:dyDescent="0.25">
      <c r="B1063" t="s">
        <v>2709</v>
      </c>
      <c r="C1063">
        <v>16055200</v>
      </c>
      <c r="E1063">
        <v>47.68</v>
      </c>
      <c r="F1063">
        <v>0</v>
      </c>
      <c r="G1063">
        <v>0</v>
      </c>
      <c r="H1063">
        <v>7.6</v>
      </c>
      <c r="I1063">
        <v>1.65</v>
      </c>
      <c r="J1063">
        <v>16</v>
      </c>
      <c r="L1063" t="s">
        <v>2709</v>
      </c>
      <c r="M1063">
        <v>16055200</v>
      </c>
      <c r="O1063" t="s">
        <v>19939</v>
      </c>
      <c r="P1063" t="s">
        <v>19900</v>
      </c>
      <c r="Q1063" t="s">
        <v>19900</v>
      </c>
      <c r="R1063" t="s">
        <v>19905</v>
      </c>
      <c r="S1063" t="s">
        <v>19906</v>
      </c>
      <c r="T1063" t="s">
        <v>19913</v>
      </c>
    </row>
    <row r="1064" spans="2:20" x14ac:dyDescent="0.25">
      <c r="B1064" t="s">
        <v>2709</v>
      </c>
      <c r="C1064">
        <v>16055300</v>
      </c>
      <c r="E1064">
        <v>47.68</v>
      </c>
      <c r="F1064">
        <v>0</v>
      </c>
      <c r="G1064">
        <v>0</v>
      </c>
      <c r="H1064">
        <v>7.6</v>
      </c>
      <c r="I1064">
        <v>1.65</v>
      </c>
      <c r="J1064">
        <v>16</v>
      </c>
      <c r="L1064" t="s">
        <v>2709</v>
      </c>
      <c r="M1064">
        <v>16055300</v>
      </c>
      <c r="O1064" t="s">
        <v>19939</v>
      </c>
      <c r="P1064" t="s">
        <v>19900</v>
      </c>
      <c r="Q1064" t="s">
        <v>19900</v>
      </c>
      <c r="R1064" t="s">
        <v>19905</v>
      </c>
      <c r="S1064" t="s">
        <v>19906</v>
      </c>
      <c r="T1064" t="s">
        <v>19913</v>
      </c>
    </row>
    <row r="1065" spans="2:20" x14ac:dyDescent="0.25">
      <c r="B1065" t="s">
        <v>2709</v>
      </c>
      <c r="C1065">
        <v>16055400</v>
      </c>
      <c r="E1065">
        <v>47.68</v>
      </c>
      <c r="F1065">
        <v>0</v>
      </c>
      <c r="G1065">
        <v>0</v>
      </c>
      <c r="H1065">
        <v>7.6</v>
      </c>
      <c r="I1065">
        <v>1.65</v>
      </c>
      <c r="J1065">
        <v>16</v>
      </c>
      <c r="L1065" t="s">
        <v>2709</v>
      </c>
      <c r="M1065">
        <v>16055400</v>
      </c>
      <c r="O1065" t="s">
        <v>19939</v>
      </c>
      <c r="P1065" t="s">
        <v>19900</v>
      </c>
      <c r="Q1065" t="s">
        <v>19900</v>
      </c>
      <c r="R1065" t="s">
        <v>19905</v>
      </c>
      <c r="S1065" t="s">
        <v>19906</v>
      </c>
      <c r="T1065" t="s">
        <v>19913</v>
      </c>
    </row>
    <row r="1066" spans="2:20" x14ac:dyDescent="0.25">
      <c r="B1066" t="s">
        <v>2709</v>
      </c>
      <c r="C1066">
        <v>16055500</v>
      </c>
      <c r="E1066">
        <v>47.68</v>
      </c>
      <c r="F1066">
        <v>0</v>
      </c>
      <c r="G1066">
        <v>0</v>
      </c>
      <c r="H1066">
        <v>7.6</v>
      </c>
      <c r="I1066">
        <v>1.65</v>
      </c>
      <c r="J1066">
        <v>16</v>
      </c>
      <c r="L1066" t="s">
        <v>2709</v>
      </c>
      <c r="M1066">
        <v>16055500</v>
      </c>
      <c r="O1066" t="s">
        <v>19939</v>
      </c>
      <c r="P1066" t="s">
        <v>19900</v>
      </c>
      <c r="Q1066" t="s">
        <v>19900</v>
      </c>
      <c r="R1066" t="s">
        <v>19905</v>
      </c>
      <c r="S1066" t="s">
        <v>19906</v>
      </c>
      <c r="T1066" t="s">
        <v>19913</v>
      </c>
    </row>
    <row r="1067" spans="2:20" x14ac:dyDescent="0.25">
      <c r="B1067" t="s">
        <v>2709</v>
      </c>
      <c r="C1067">
        <v>16055600</v>
      </c>
      <c r="E1067">
        <v>47.68</v>
      </c>
      <c r="F1067">
        <v>0</v>
      </c>
      <c r="G1067">
        <v>0</v>
      </c>
      <c r="H1067">
        <v>7.6</v>
      </c>
      <c r="I1067">
        <v>1.65</v>
      </c>
      <c r="J1067">
        <v>16</v>
      </c>
      <c r="L1067" t="s">
        <v>2709</v>
      </c>
      <c r="M1067">
        <v>16055600</v>
      </c>
      <c r="O1067" t="s">
        <v>19939</v>
      </c>
      <c r="P1067" t="s">
        <v>19900</v>
      </c>
      <c r="Q1067" t="s">
        <v>19900</v>
      </c>
      <c r="R1067" t="s">
        <v>19905</v>
      </c>
      <c r="S1067" t="s">
        <v>19906</v>
      </c>
      <c r="T1067" t="s">
        <v>19913</v>
      </c>
    </row>
    <row r="1068" spans="2:20" x14ac:dyDescent="0.25">
      <c r="B1068" t="s">
        <v>2709</v>
      </c>
      <c r="C1068">
        <v>16055700</v>
      </c>
      <c r="E1068">
        <v>47.68</v>
      </c>
      <c r="F1068">
        <v>0</v>
      </c>
      <c r="G1068">
        <v>0</v>
      </c>
      <c r="H1068">
        <v>7.6</v>
      </c>
      <c r="I1068">
        <v>1.65</v>
      </c>
      <c r="J1068">
        <v>16</v>
      </c>
      <c r="L1068" t="s">
        <v>2709</v>
      </c>
      <c r="M1068">
        <v>16055700</v>
      </c>
      <c r="O1068" t="s">
        <v>19939</v>
      </c>
      <c r="P1068" t="s">
        <v>19900</v>
      </c>
      <c r="Q1068" t="s">
        <v>19900</v>
      </c>
      <c r="R1068" t="s">
        <v>19905</v>
      </c>
      <c r="S1068" t="s">
        <v>19906</v>
      </c>
      <c r="T1068" t="s">
        <v>19913</v>
      </c>
    </row>
    <row r="1069" spans="2:20" x14ac:dyDescent="0.25">
      <c r="B1069" t="s">
        <v>2709</v>
      </c>
      <c r="C1069">
        <v>16055800</v>
      </c>
      <c r="E1069">
        <v>47.68</v>
      </c>
      <c r="F1069">
        <v>0</v>
      </c>
      <c r="G1069">
        <v>0</v>
      </c>
      <c r="H1069">
        <v>7.6</v>
      </c>
      <c r="I1069">
        <v>1.65</v>
      </c>
      <c r="J1069">
        <v>16</v>
      </c>
      <c r="L1069" t="s">
        <v>2709</v>
      </c>
      <c r="M1069">
        <v>16055800</v>
      </c>
      <c r="O1069" t="s">
        <v>19939</v>
      </c>
      <c r="P1069" t="s">
        <v>19900</v>
      </c>
      <c r="Q1069" t="s">
        <v>19900</v>
      </c>
      <c r="R1069" t="s">
        <v>19905</v>
      </c>
      <c r="S1069" t="s">
        <v>19906</v>
      </c>
      <c r="T1069" t="s">
        <v>19913</v>
      </c>
    </row>
    <row r="1070" spans="2:20" x14ac:dyDescent="0.25">
      <c r="B1070" t="s">
        <v>2709</v>
      </c>
      <c r="C1070">
        <v>16055900</v>
      </c>
      <c r="E1070">
        <v>47.68</v>
      </c>
      <c r="F1070">
        <v>0</v>
      </c>
      <c r="G1070">
        <v>0</v>
      </c>
      <c r="H1070">
        <v>7.6</v>
      </c>
      <c r="I1070">
        <v>1.65</v>
      </c>
      <c r="J1070">
        <v>16</v>
      </c>
      <c r="L1070" t="s">
        <v>2709</v>
      </c>
      <c r="M1070">
        <v>16055900</v>
      </c>
      <c r="O1070" t="s">
        <v>19939</v>
      </c>
      <c r="P1070" t="s">
        <v>19900</v>
      </c>
      <c r="Q1070" t="s">
        <v>19900</v>
      </c>
      <c r="R1070" t="s">
        <v>19905</v>
      </c>
      <c r="S1070" t="s">
        <v>19906</v>
      </c>
      <c r="T1070" t="s">
        <v>19913</v>
      </c>
    </row>
    <row r="1071" spans="2:20" x14ac:dyDescent="0.25">
      <c r="B1071" t="s">
        <v>2709</v>
      </c>
      <c r="C1071">
        <v>16056100</v>
      </c>
      <c r="E1071">
        <v>47.68</v>
      </c>
      <c r="F1071">
        <v>0</v>
      </c>
      <c r="G1071">
        <v>0</v>
      </c>
      <c r="H1071">
        <v>7.6</v>
      </c>
      <c r="I1071">
        <v>1.65</v>
      </c>
      <c r="J1071">
        <v>16</v>
      </c>
      <c r="L1071" t="s">
        <v>2709</v>
      </c>
      <c r="M1071">
        <v>16056100</v>
      </c>
      <c r="O1071" t="s">
        <v>19939</v>
      </c>
      <c r="P1071" t="s">
        <v>19900</v>
      </c>
      <c r="Q1071" t="s">
        <v>19900</v>
      </c>
      <c r="R1071" t="s">
        <v>19905</v>
      </c>
      <c r="S1071" t="s">
        <v>19906</v>
      </c>
      <c r="T1071" t="s">
        <v>19913</v>
      </c>
    </row>
    <row r="1072" spans="2:20" x14ac:dyDescent="0.25">
      <c r="B1072" t="s">
        <v>2709</v>
      </c>
      <c r="C1072">
        <v>16056200</v>
      </c>
      <c r="E1072">
        <v>47.68</v>
      </c>
      <c r="F1072">
        <v>0</v>
      </c>
      <c r="G1072">
        <v>0</v>
      </c>
      <c r="H1072">
        <v>7.6</v>
      </c>
      <c r="I1072">
        <v>1.65</v>
      </c>
      <c r="J1072">
        <v>16</v>
      </c>
      <c r="L1072" t="s">
        <v>2709</v>
      </c>
      <c r="M1072">
        <v>16056200</v>
      </c>
      <c r="O1072" t="s">
        <v>19939</v>
      </c>
      <c r="P1072" t="s">
        <v>19900</v>
      </c>
      <c r="Q1072" t="s">
        <v>19900</v>
      </c>
      <c r="R1072" t="s">
        <v>19905</v>
      </c>
      <c r="S1072" t="s">
        <v>19906</v>
      </c>
      <c r="T1072" t="s">
        <v>19913</v>
      </c>
    </row>
    <row r="1073" spans="2:20" x14ac:dyDescent="0.25">
      <c r="B1073" t="s">
        <v>2709</v>
      </c>
      <c r="C1073">
        <v>16056300</v>
      </c>
      <c r="E1073">
        <v>47.68</v>
      </c>
      <c r="F1073">
        <v>0</v>
      </c>
      <c r="G1073">
        <v>0</v>
      </c>
      <c r="H1073">
        <v>7.6</v>
      </c>
      <c r="I1073">
        <v>1.65</v>
      </c>
      <c r="J1073">
        <v>16</v>
      </c>
      <c r="L1073" t="s">
        <v>2709</v>
      </c>
      <c r="M1073">
        <v>16056300</v>
      </c>
      <c r="O1073" t="s">
        <v>19939</v>
      </c>
      <c r="P1073" t="s">
        <v>19900</v>
      </c>
      <c r="Q1073" t="s">
        <v>19900</v>
      </c>
      <c r="R1073" t="s">
        <v>19905</v>
      </c>
      <c r="S1073" t="s">
        <v>19906</v>
      </c>
      <c r="T1073" t="s">
        <v>19913</v>
      </c>
    </row>
    <row r="1074" spans="2:20" x14ac:dyDescent="0.25">
      <c r="B1074" t="s">
        <v>2709</v>
      </c>
      <c r="C1074">
        <v>16056900</v>
      </c>
      <c r="E1074">
        <v>47.68</v>
      </c>
      <c r="F1074">
        <v>0</v>
      </c>
      <c r="G1074">
        <v>0</v>
      </c>
      <c r="H1074">
        <v>7.6</v>
      </c>
      <c r="I1074">
        <v>1.65</v>
      </c>
      <c r="J1074">
        <v>16</v>
      </c>
      <c r="L1074" t="s">
        <v>2709</v>
      </c>
      <c r="M1074">
        <v>16056900</v>
      </c>
      <c r="O1074" t="s">
        <v>19939</v>
      </c>
      <c r="P1074" t="s">
        <v>19900</v>
      </c>
      <c r="Q1074" t="s">
        <v>19900</v>
      </c>
      <c r="R1074" t="s">
        <v>19905</v>
      </c>
      <c r="S1074" t="s">
        <v>19906</v>
      </c>
      <c r="T1074" t="s">
        <v>19913</v>
      </c>
    </row>
    <row r="1075" spans="2:20" x14ac:dyDescent="0.25">
      <c r="B1075" t="s">
        <v>2709</v>
      </c>
      <c r="C1075">
        <v>17011200</v>
      </c>
      <c r="E1075">
        <v>19.05</v>
      </c>
      <c r="F1075">
        <v>18</v>
      </c>
      <c r="G1075">
        <v>5</v>
      </c>
      <c r="H1075" t="s">
        <v>19447</v>
      </c>
      <c r="I1075" t="s">
        <v>19447</v>
      </c>
      <c r="J1075">
        <v>16</v>
      </c>
      <c r="L1075" t="s">
        <v>2709</v>
      </c>
      <c r="M1075">
        <v>17011200</v>
      </c>
      <c r="O1075" t="s">
        <v>19942</v>
      </c>
      <c r="P1075" t="s">
        <v>19899</v>
      </c>
      <c r="Q1075" t="s">
        <v>19909</v>
      </c>
      <c r="R1075" t="s">
        <v>19447</v>
      </c>
      <c r="S1075" t="s">
        <v>19447</v>
      </c>
      <c r="T1075" t="s">
        <v>19913</v>
      </c>
    </row>
    <row r="1076" spans="2:20" x14ac:dyDescent="0.25">
      <c r="B1076" t="s">
        <v>2709</v>
      </c>
      <c r="C1076">
        <v>17011300</v>
      </c>
      <c r="E1076">
        <v>19.05</v>
      </c>
      <c r="F1076">
        <v>18</v>
      </c>
      <c r="G1076">
        <v>5</v>
      </c>
      <c r="H1076" t="s">
        <v>19447</v>
      </c>
      <c r="I1076" t="s">
        <v>19447</v>
      </c>
      <c r="J1076">
        <v>16</v>
      </c>
      <c r="L1076" t="s">
        <v>2709</v>
      </c>
      <c r="M1076">
        <v>17011300</v>
      </c>
      <c r="O1076" t="s">
        <v>19942</v>
      </c>
      <c r="P1076" t="s">
        <v>19899</v>
      </c>
      <c r="Q1076" t="s">
        <v>19909</v>
      </c>
      <c r="R1076" t="s">
        <v>19447</v>
      </c>
      <c r="S1076" t="s">
        <v>19447</v>
      </c>
      <c r="T1076" t="s">
        <v>19913</v>
      </c>
    </row>
    <row r="1077" spans="2:20" x14ac:dyDescent="0.25">
      <c r="B1077" t="s">
        <v>2709</v>
      </c>
      <c r="C1077">
        <v>17011400</v>
      </c>
      <c r="E1077">
        <v>19.05</v>
      </c>
      <c r="F1077">
        <v>7</v>
      </c>
      <c r="G1077">
        <v>0</v>
      </c>
      <c r="H1077" t="s">
        <v>19447</v>
      </c>
      <c r="I1077" t="s">
        <v>19447</v>
      </c>
      <c r="J1077">
        <v>16</v>
      </c>
      <c r="L1077" t="s">
        <v>2709</v>
      </c>
      <c r="M1077">
        <v>17011400</v>
      </c>
      <c r="O1077" t="s">
        <v>19942</v>
      </c>
      <c r="P1077" t="s">
        <v>19908</v>
      </c>
      <c r="Q1077" t="s">
        <v>19900</v>
      </c>
      <c r="R1077" t="s">
        <v>19447</v>
      </c>
      <c r="S1077" t="s">
        <v>19447</v>
      </c>
      <c r="T1077" t="s">
        <v>19913</v>
      </c>
    </row>
    <row r="1078" spans="2:20" x14ac:dyDescent="0.25">
      <c r="B1078" t="s">
        <v>2709</v>
      </c>
      <c r="C1078">
        <v>17019100</v>
      </c>
      <c r="E1078">
        <v>48.6</v>
      </c>
      <c r="F1078">
        <v>18</v>
      </c>
      <c r="G1078">
        <v>5</v>
      </c>
      <c r="H1078" t="s">
        <v>19447</v>
      </c>
      <c r="I1078" t="s">
        <v>19447</v>
      </c>
      <c r="J1078">
        <v>16</v>
      </c>
      <c r="L1078" t="s">
        <v>2709</v>
      </c>
      <c r="M1078">
        <v>17019100</v>
      </c>
      <c r="O1078" t="s">
        <v>19943</v>
      </c>
      <c r="P1078" t="s">
        <v>19899</v>
      </c>
      <c r="Q1078" t="s">
        <v>19909</v>
      </c>
      <c r="R1078" t="s">
        <v>19447</v>
      </c>
      <c r="S1078" t="s">
        <v>19447</v>
      </c>
      <c r="T1078" t="s">
        <v>19913</v>
      </c>
    </row>
    <row r="1079" spans="2:20" x14ac:dyDescent="0.25">
      <c r="B1079" t="s">
        <v>2709</v>
      </c>
      <c r="C1079">
        <v>17019900</v>
      </c>
      <c r="E1079">
        <v>19.05</v>
      </c>
      <c r="F1079">
        <v>7</v>
      </c>
      <c r="G1079">
        <v>0</v>
      </c>
      <c r="H1079" t="s">
        <v>19447</v>
      </c>
      <c r="I1079" t="s">
        <v>19447</v>
      </c>
      <c r="J1079">
        <v>16</v>
      </c>
      <c r="L1079" t="s">
        <v>2709</v>
      </c>
      <c r="M1079">
        <v>17019900</v>
      </c>
      <c r="O1079" t="s">
        <v>19942</v>
      </c>
      <c r="P1079" t="s">
        <v>19908</v>
      </c>
      <c r="Q1079" t="s">
        <v>19900</v>
      </c>
      <c r="R1079" t="s">
        <v>19447</v>
      </c>
      <c r="S1079" t="s">
        <v>19447</v>
      </c>
      <c r="T1079" t="s">
        <v>19913</v>
      </c>
    </row>
    <row r="1080" spans="2:20" x14ac:dyDescent="0.25">
      <c r="B1080" t="s">
        <v>2709</v>
      </c>
      <c r="C1080">
        <v>17019900</v>
      </c>
      <c r="D1080">
        <v>1</v>
      </c>
      <c r="E1080" t="s">
        <v>19447</v>
      </c>
      <c r="F1080">
        <v>18</v>
      </c>
      <c r="G1080">
        <v>0</v>
      </c>
      <c r="H1080">
        <v>7.6</v>
      </c>
      <c r="I1080">
        <v>1.65</v>
      </c>
      <c r="J1080">
        <v>16</v>
      </c>
      <c r="L1080" t="s">
        <v>2709</v>
      </c>
      <c r="M1080">
        <v>17019900</v>
      </c>
      <c r="N1080">
        <v>1</v>
      </c>
      <c r="O1080" t="s">
        <v>19447</v>
      </c>
      <c r="P1080" t="s">
        <v>19899</v>
      </c>
      <c r="Q1080" t="s">
        <v>19900</v>
      </c>
      <c r="R1080" t="s">
        <v>19905</v>
      </c>
      <c r="S1080" t="s">
        <v>19906</v>
      </c>
      <c r="T1080" t="s">
        <v>19913</v>
      </c>
    </row>
    <row r="1081" spans="2:20" x14ac:dyDescent="0.25">
      <c r="B1081" t="s">
        <v>2709</v>
      </c>
      <c r="C1081">
        <v>17021100</v>
      </c>
      <c r="E1081">
        <v>64.36</v>
      </c>
      <c r="F1081">
        <v>18</v>
      </c>
      <c r="G1081">
        <v>0</v>
      </c>
      <c r="H1081" t="s">
        <v>19447</v>
      </c>
      <c r="I1081" t="s">
        <v>19447</v>
      </c>
      <c r="J1081">
        <v>16</v>
      </c>
      <c r="L1081" t="s">
        <v>2709</v>
      </c>
      <c r="M1081">
        <v>17021100</v>
      </c>
      <c r="O1081" t="s">
        <v>19944</v>
      </c>
      <c r="P1081" t="s">
        <v>19899</v>
      </c>
      <c r="Q1081" t="s">
        <v>19900</v>
      </c>
      <c r="R1081" t="s">
        <v>19447</v>
      </c>
      <c r="S1081" t="s">
        <v>19447</v>
      </c>
      <c r="T1081" t="s">
        <v>19913</v>
      </c>
    </row>
    <row r="1082" spans="2:20" x14ac:dyDescent="0.25">
      <c r="B1082" t="s">
        <v>2709</v>
      </c>
      <c r="C1082">
        <v>17021900</v>
      </c>
      <c r="E1082">
        <v>64.36</v>
      </c>
      <c r="F1082">
        <v>18</v>
      </c>
      <c r="G1082">
        <v>0</v>
      </c>
      <c r="H1082" t="s">
        <v>19447</v>
      </c>
      <c r="I1082" t="s">
        <v>19447</v>
      </c>
      <c r="J1082">
        <v>16</v>
      </c>
      <c r="L1082" t="s">
        <v>2709</v>
      </c>
      <c r="M1082">
        <v>17021900</v>
      </c>
      <c r="O1082" t="s">
        <v>19944</v>
      </c>
      <c r="P1082" t="s">
        <v>19899</v>
      </c>
      <c r="Q1082" t="s">
        <v>19900</v>
      </c>
      <c r="R1082" t="s">
        <v>19447</v>
      </c>
      <c r="S1082" t="s">
        <v>19447</v>
      </c>
      <c r="T1082" t="s">
        <v>19913</v>
      </c>
    </row>
    <row r="1083" spans="2:20" x14ac:dyDescent="0.25">
      <c r="B1083" t="s">
        <v>2709</v>
      </c>
      <c r="C1083">
        <v>17022000</v>
      </c>
      <c r="E1083">
        <v>64.36</v>
      </c>
      <c r="F1083">
        <v>18</v>
      </c>
      <c r="G1083">
        <v>0</v>
      </c>
      <c r="H1083" t="s">
        <v>19447</v>
      </c>
      <c r="I1083" t="s">
        <v>19447</v>
      </c>
      <c r="J1083">
        <v>16</v>
      </c>
      <c r="L1083" t="s">
        <v>2709</v>
      </c>
      <c r="M1083">
        <v>17022000</v>
      </c>
      <c r="O1083" t="s">
        <v>19944</v>
      </c>
      <c r="P1083" t="s">
        <v>19899</v>
      </c>
      <c r="Q1083" t="s">
        <v>19900</v>
      </c>
      <c r="R1083" t="s">
        <v>19447</v>
      </c>
      <c r="S1083" t="s">
        <v>19447</v>
      </c>
      <c r="T1083" t="s">
        <v>19913</v>
      </c>
    </row>
    <row r="1084" spans="2:20" x14ac:dyDescent="0.25">
      <c r="B1084" t="s">
        <v>2709</v>
      </c>
      <c r="C1084">
        <v>17023011</v>
      </c>
      <c r="E1084">
        <v>64.36</v>
      </c>
      <c r="F1084">
        <v>18</v>
      </c>
      <c r="G1084">
        <v>0</v>
      </c>
      <c r="H1084" t="s">
        <v>19447</v>
      </c>
      <c r="I1084" t="s">
        <v>19447</v>
      </c>
      <c r="J1084">
        <v>16</v>
      </c>
      <c r="L1084" t="s">
        <v>2709</v>
      </c>
      <c r="M1084">
        <v>17023011</v>
      </c>
      <c r="O1084" t="s">
        <v>19944</v>
      </c>
      <c r="P1084" t="s">
        <v>19899</v>
      </c>
      <c r="Q1084" t="s">
        <v>19900</v>
      </c>
      <c r="R1084" t="s">
        <v>19447</v>
      </c>
      <c r="S1084" t="s">
        <v>19447</v>
      </c>
      <c r="T1084" t="s">
        <v>19913</v>
      </c>
    </row>
    <row r="1085" spans="2:20" x14ac:dyDescent="0.25">
      <c r="B1085" t="s">
        <v>2709</v>
      </c>
      <c r="C1085">
        <v>17023019</v>
      </c>
      <c r="E1085">
        <v>64.36</v>
      </c>
      <c r="F1085">
        <v>18</v>
      </c>
      <c r="G1085">
        <v>5</v>
      </c>
      <c r="H1085" t="s">
        <v>19447</v>
      </c>
      <c r="I1085" t="s">
        <v>19447</v>
      </c>
      <c r="J1085">
        <v>16</v>
      </c>
      <c r="L1085" t="s">
        <v>2709</v>
      </c>
      <c r="M1085">
        <v>17023019</v>
      </c>
      <c r="O1085" t="s">
        <v>19944</v>
      </c>
      <c r="P1085" t="s">
        <v>19899</v>
      </c>
      <c r="Q1085" t="s">
        <v>19909</v>
      </c>
      <c r="R1085" t="s">
        <v>19447</v>
      </c>
      <c r="S1085" t="s">
        <v>19447</v>
      </c>
      <c r="T1085" t="s">
        <v>19913</v>
      </c>
    </row>
    <row r="1086" spans="2:20" x14ac:dyDescent="0.25">
      <c r="B1086" t="s">
        <v>2709</v>
      </c>
      <c r="C1086">
        <v>17023020</v>
      </c>
      <c r="E1086">
        <v>64.36</v>
      </c>
      <c r="F1086">
        <v>18</v>
      </c>
      <c r="G1086">
        <v>0</v>
      </c>
      <c r="H1086" t="s">
        <v>19447</v>
      </c>
      <c r="I1086" t="s">
        <v>19447</v>
      </c>
      <c r="J1086">
        <v>16</v>
      </c>
      <c r="L1086" t="s">
        <v>2709</v>
      </c>
      <c r="M1086">
        <v>17023020</v>
      </c>
      <c r="O1086" t="s">
        <v>19944</v>
      </c>
      <c r="P1086" t="s">
        <v>19899</v>
      </c>
      <c r="Q1086" t="s">
        <v>19900</v>
      </c>
      <c r="R1086" t="s">
        <v>19447</v>
      </c>
      <c r="S1086" t="s">
        <v>19447</v>
      </c>
      <c r="T1086" t="s">
        <v>19913</v>
      </c>
    </row>
    <row r="1087" spans="2:20" x14ac:dyDescent="0.25">
      <c r="B1087" t="s">
        <v>2709</v>
      </c>
      <c r="C1087">
        <v>17024010</v>
      </c>
      <c r="E1087">
        <v>64.36</v>
      </c>
      <c r="F1087">
        <v>18</v>
      </c>
      <c r="G1087">
        <v>0</v>
      </c>
      <c r="H1087" t="s">
        <v>19447</v>
      </c>
      <c r="I1087" t="s">
        <v>19447</v>
      </c>
      <c r="J1087">
        <v>16</v>
      </c>
      <c r="L1087" t="s">
        <v>2709</v>
      </c>
      <c r="M1087">
        <v>17024010</v>
      </c>
      <c r="O1087" t="s">
        <v>19944</v>
      </c>
      <c r="P1087" t="s">
        <v>19899</v>
      </c>
      <c r="Q1087" t="s">
        <v>19900</v>
      </c>
      <c r="R1087" t="s">
        <v>19447</v>
      </c>
      <c r="S1087" t="s">
        <v>19447</v>
      </c>
      <c r="T1087" t="s">
        <v>19913</v>
      </c>
    </row>
    <row r="1088" spans="2:20" x14ac:dyDescent="0.25">
      <c r="B1088" t="s">
        <v>2709</v>
      </c>
      <c r="C1088">
        <v>17024020</v>
      </c>
      <c r="E1088">
        <v>64.36</v>
      </c>
      <c r="F1088">
        <v>18</v>
      </c>
      <c r="G1088">
        <v>0</v>
      </c>
      <c r="H1088" t="s">
        <v>19447</v>
      </c>
      <c r="I1088" t="s">
        <v>19447</v>
      </c>
      <c r="J1088">
        <v>16</v>
      </c>
      <c r="L1088" t="s">
        <v>2709</v>
      </c>
      <c r="M1088">
        <v>17024020</v>
      </c>
      <c r="O1088" t="s">
        <v>19944</v>
      </c>
      <c r="P1088" t="s">
        <v>19899</v>
      </c>
      <c r="Q1088" t="s">
        <v>19900</v>
      </c>
      <c r="R1088" t="s">
        <v>19447</v>
      </c>
      <c r="S1088" t="s">
        <v>19447</v>
      </c>
      <c r="T1088" t="s">
        <v>19913</v>
      </c>
    </row>
    <row r="1089" spans="2:20" x14ac:dyDescent="0.25">
      <c r="B1089" t="s">
        <v>2709</v>
      </c>
      <c r="C1089">
        <v>17025000</v>
      </c>
      <c r="E1089">
        <v>64.36</v>
      </c>
      <c r="F1089">
        <v>18</v>
      </c>
      <c r="G1089">
        <v>0</v>
      </c>
      <c r="H1089" t="s">
        <v>19447</v>
      </c>
      <c r="I1089" t="s">
        <v>19447</v>
      </c>
      <c r="J1089">
        <v>16</v>
      </c>
      <c r="L1089" t="s">
        <v>2709</v>
      </c>
      <c r="M1089">
        <v>17025000</v>
      </c>
      <c r="O1089" t="s">
        <v>19944</v>
      </c>
      <c r="P1089" t="s">
        <v>19899</v>
      </c>
      <c r="Q1089" t="s">
        <v>19900</v>
      </c>
      <c r="R1089" t="s">
        <v>19447</v>
      </c>
      <c r="S1089" t="s">
        <v>19447</v>
      </c>
      <c r="T1089" t="s">
        <v>19913</v>
      </c>
    </row>
    <row r="1090" spans="2:20" x14ac:dyDescent="0.25">
      <c r="B1090" t="s">
        <v>2709</v>
      </c>
      <c r="C1090">
        <v>17026010</v>
      </c>
      <c r="E1090">
        <v>64.36</v>
      </c>
      <c r="F1090">
        <v>18</v>
      </c>
      <c r="G1090">
        <v>0</v>
      </c>
      <c r="H1090" t="s">
        <v>19447</v>
      </c>
      <c r="I1090" t="s">
        <v>19447</v>
      </c>
      <c r="J1090">
        <v>16</v>
      </c>
      <c r="L1090" t="s">
        <v>2709</v>
      </c>
      <c r="M1090">
        <v>17026010</v>
      </c>
      <c r="O1090" t="s">
        <v>19944</v>
      </c>
      <c r="P1090" t="s">
        <v>19899</v>
      </c>
      <c r="Q1090" t="s">
        <v>19900</v>
      </c>
      <c r="R1090" t="s">
        <v>19447</v>
      </c>
      <c r="S1090" t="s">
        <v>19447</v>
      </c>
      <c r="T1090" t="s">
        <v>19913</v>
      </c>
    </row>
    <row r="1091" spans="2:20" x14ac:dyDescent="0.25">
      <c r="B1091" t="s">
        <v>2709</v>
      </c>
      <c r="C1091">
        <v>17026020</v>
      </c>
      <c r="E1091">
        <v>64.36</v>
      </c>
      <c r="F1091">
        <v>18</v>
      </c>
      <c r="G1091">
        <v>0</v>
      </c>
      <c r="H1091" t="s">
        <v>19447</v>
      </c>
      <c r="I1091" t="s">
        <v>19447</v>
      </c>
      <c r="J1091">
        <v>16</v>
      </c>
      <c r="L1091" t="s">
        <v>2709</v>
      </c>
      <c r="M1091">
        <v>17026020</v>
      </c>
      <c r="O1091" t="s">
        <v>19944</v>
      </c>
      <c r="P1091" t="s">
        <v>19899</v>
      </c>
      <c r="Q1091" t="s">
        <v>19900</v>
      </c>
      <c r="R1091" t="s">
        <v>19447</v>
      </c>
      <c r="S1091" t="s">
        <v>19447</v>
      </c>
      <c r="T1091" t="s">
        <v>19913</v>
      </c>
    </row>
    <row r="1092" spans="2:20" x14ac:dyDescent="0.25">
      <c r="B1092" t="s">
        <v>2709</v>
      </c>
      <c r="C1092">
        <v>17029000</v>
      </c>
      <c r="E1092">
        <v>42.83</v>
      </c>
      <c r="F1092">
        <v>18</v>
      </c>
      <c r="G1092">
        <v>5</v>
      </c>
      <c r="H1092" t="s">
        <v>19447</v>
      </c>
      <c r="I1092" t="s">
        <v>19447</v>
      </c>
      <c r="J1092">
        <v>16</v>
      </c>
      <c r="L1092" t="s">
        <v>2709</v>
      </c>
      <c r="M1092">
        <v>17029000</v>
      </c>
      <c r="O1092" t="s">
        <v>19945</v>
      </c>
      <c r="P1092" t="s">
        <v>19899</v>
      </c>
      <c r="Q1092" t="s">
        <v>19909</v>
      </c>
      <c r="R1092" t="s">
        <v>19447</v>
      </c>
      <c r="S1092" t="s">
        <v>19447</v>
      </c>
      <c r="T1092" t="s">
        <v>19913</v>
      </c>
    </row>
    <row r="1093" spans="2:20" x14ac:dyDescent="0.25">
      <c r="B1093" t="s">
        <v>2709</v>
      </c>
      <c r="C1093">
        <v>17031000</v>
      </c>
      <c r="E1093">
        <v>64.36</v>
      </c>
      <c r="F1093">
        <v>18</v>
      </c>
      <c r="G1093">
        <v>5</v>
      </c>
      <c r="H1093">
        <v>7.6</v>
      </c>
      <c r="I1093">
        <v>1.65</v>
      </c>
      <c r="J1093">
        <v>16</v>
      </c>
      <c r="L1093" t="s">
        <v>2709</v>
      </c>
      <c r="M1093">
        <v>17031000</v>
      </c>
      <c r="O1093" t="s">
        <v>19944</v>
      </c>
      <c r="P1093" t="s">
        <v>19899</v>
      </c>
      <c r="Q1093" t="s">
        <v>19909</v>
      </c>
      <c r="R1093" t="s">
        <v>19905</v>
      </c>
      <c r="S1093" t="s">
        <v>19906</v>
      </c>
      <c r="T1093" t="s">
        <v>19913</v>
      </c>
    </row>
    <row r="1094" spans="2:20" x14ac:dyDescent="0.25">
      <c r="B1094" t="s">
        <v>2709</v>
      </c>
      <c r="C1094">
        <v>17039000</v>
      </c>
      <c r="E1094">
        <v>64.36</v>
      </c>
      <c r="F1094">
        <v>18</v>
      </c>
      <c r="G1094">
        <v>5</v>
      </c>
      <c r="H1094">
        <v>7.6</v>
      </c>
      <c r="I1094">
        <v>1.65</v>
      </c>
      <c r="J1094">
        <v>16</v>
      </c>
      <c r="L1094" t="s">
        <v>2709</v>
      </c>
      <c r="M1094">
        <v>17039000</v>
      </c>
      <c r="O1094" t="s">
        <v>19944</v>
      </c>
      <c r="P1094" t="s">
        <v>19899</v>
      </c>
      <c r="Q1094" t="s">
        <v>19909</v>
      </c>
      <c r="R1094" t="s">
        <v>19905</v>
      </c>
      <c r="S1094" t="s">
        <v>19906</v>
      </c>
      <c r="T1094" t="s">
        <v>19913</v>
      </c>
    </row>
    <row r="1095" spans="2:20" x14ac:dyDescent="0.25">
      <c r="B1095" t="s">
        <v>2709</v>
      </c>
      <c r="C1095">
        <v>17041000</v>
      </c>
      <c r="E1095">
        <v>64.36</v>
      </c>
      <c r="F1095">
        <v>18</v>
      </c>
      <c r="G1095">
        <v>5</v>
      </c>
      <c r="H1095">
        <v>7.6</v>
      </c>
      <c r="I1095">
        <v>1.65</v>
      </c>
      <c r="J1095">
        <v>20</v>
      </c>
      <c r="L1095" t="s">
        <v>2709</v>
      </c>
      <c r="M1095">
        <v>17041000</v>
      </c>
      <c r="O1095" t="s">
        <v>19944</v>
      </c>
      <c r="P1095" t="s">
        <v>19899</v>
      </c>
      <c r="Q1095" t="s">
        <v>19909</v>
      </c>
      <c r="R1095" t="s">
        <v>19905</v>
      </c>
      <c r="S1095" t="s">
        <v>19906</v>
      </c>
      <c r="T1095" t="s">
        <v>19934</v>
      </c>
    </row>
    <row r="1096" spans="2:20" x14ac:dyDescent="0.25">
      <c r="B1096" t="s">
        <v>2709</v>
      </c>
      <c r="C1096">
        <v>17049010</v>
      </c>
      <c r="E1096">
        <v>38.89</v>
      </c>
      <c r="F1096">
        <v>18</v>
      </c>
      <c r="G1096">
        <v>5</v>
      </c>
      <c r="H1096">
        <v>7.6</v>
      </c>
      <c r="I1096">
        <v>1.65</v>
      </c>
      <c r="J1096">
        <v>20</v>
      </c>
      <c r="L1096" t="s">
        <v>2709</v>
      </c>
      <c r="M1096">
        <v>17049010</v>
      </c>
      <c r="O1096" t="s">
        <v>19946</v>
      </c>
      <c r="P1096" t="s">
        <v>19899</v>
      </c>
      <c r="Q1096" t="s">
        <v>19909</v>
      </c>
      <c r="R1096" t="s">
        <v>19905</v>
      </c>
      <c r="S1096" t="s">
        <v>19906</v>
      </c>
      <c r="T1096" t="s">
        <v>19934</v>
      </c>
    </row>
    <row r="1097" spans="2:20" x14ac:dyDescent="0.25">
      <c r="B1097" t="s">
        <v>2709</v>
      </c>
      <c r="C1097">
        <v>17049020</v>
      </c>
      <c r="E1097">
        <v>56.68</v>
      </c>
      <c r="F1097">
        <v>18</v>
      </c>
      <c r="G1097">
        <v>5</v>
      </c>
      <c r="H1097">
        <v>7.6</v>
      </c>
      <c r="I1097">
        <v>1.65</v>
      </c>
      <c r="J1097">
        <v>20</v>
      </c>
      <c r="L1097" t="s">
        <v>2709</v>
      </c>
      <c r="M1097">
        <v>17049020</v>
      </c>
      <c r="O1097" t="s">
        <v>19947</v>
      </c>
      <c r="P1097" t="s">
        <v>19899</v>
      </c>
      <c r="Q1097" t="s">
        <v>19909</v>
      </c>
      <c r="R1097" t="s">
        <v>19905</v>
      </c>
      <c r="S1097" t="s">
        <v>19906</v>
      </c>
      <c r="T1097" t="s">
        <v>19934</v>
      </c>
    </row>
    <row r="1098" spans="2:20" x14ac:dyDescent="0.25">
      <c r="B1098" t="s">
        <v>2709</v>
      </c>
      <c r="C1098">
        <v>17049090</v>
      </c>
      <c r="E1098">
        <v>56.68</v>
      </c>
      <c r="F1098">
        <v>18</v>
      </c>
      <c r="G1098">
        <v>5</v>
      </c>
      <c r="H1098">
        <v>7.6</v>
      </c>
      <c r="I1098">
        <v>1.65</v>
      </c>
      <c r="J1098">
        <v>20</v>
      </c>
      <c r="L1098" t="s">
        <v>2709</v>
      </c>
      <c r="M1098">
        <v>17049090</v>
      </c>
      <c r="O1098" t="s">
        <v>19947</v>
      </c>
      <c r="P1098" t="s">
        <v>19899</v>
      </c>
      <c r="Q1098" t="s">
        <v>19909</v>
      </c>
      <c r="R1098" t="s">
        <v>19905</v>
      </c>
      <c r="S1098" t="s">
        <v>19906</v>
      </c>
      <c r="T1098" t="s">
        <v>19934</v>
      </c>
    </row>
    <row r="1099" spans="2:20" x14ac:dyDescent="0.25">
      <c r="B1099" t="s">
        <v>2709</v>
      </c>
      <c r="C1099">
        <v>18010000</v>
      </c>
      <c r="E1099">
        <v>37.950000000000003</v>
      </c>
      <c r="F1099">
        <v>18</v>
      </c>
      <c r="G1099">
        <v>0</v>
      </c>
      <c r="H1099" t="s">
        <v>19447</v>
      </c>
      <c r="I1099" t="s">
        <v>19447</v>
      </c>
      <c r="J1099">
        <v>10</v>
      </c>
      <c r="L1099" t="s">
        <v>2709</v>
      </c>
      <c r="M1099">
        <v>18010000</v>
      </c>
      <c r="O1099" t="s">
        <v>19948</v>
      </c>
      <c r="P1099" t="s">
        <v>19899</v>
      </c>
      <c r="Q1099" t="s">
        <v>19900</v>
      </c>
      <c r="R1099" t="s">
        <v>19447</v>
      </c>
      <c r="S1099" t="s">
        <v>19447</v>
      </c>
      <c r="T1099" t="s">
        <v>19904</v>
      </c>
    </row>
    <row r="1100" spans="2:20" x14ac:dyDescent="0.25">
      <c r="B1100" t="s">
        <v>2709</v>
      </c>
      <c r="C1100">
        <v>18010000</v>
      </c>
      <c r="D1100">
        <v>1</v>
      </c>
      <c r="E1100" t="s">
        <v>19447</v>
      </c>
      <c r="F1100">
        <v>18</v>
      </c>
      <c r="G1100">
        <v>0</v>
      </c>
      <c r="H1100">
        <v>7.6</v>
      </c>
      <c r="I1100">
        <v>1.65</v>
      </c>
      <c r="J1100">
        <v>10</v>
      </c>
      <c r="L1100" t="s">
        <v>2709</v>
      </c>
      <c r="M1100">
        <v>18010000</v>
      </c>
      <c r="N1100">
        <v>1</v>
      </c>
      <c r="O1100" t="s">
        <v>19447</v>
      </c>
      <c r="P1100" t="s">
        <v>19899</v>
      </c>
      <c r="Q1100" t="s">
        <v>19900</v>
      </c>
      <c r="R1100" t="s">
        <v>19905</v>
      </c>
      <c r="S1100" t="s">
        <v>19906</v>
      </c>
      <c r="T1100" t="s">
        <v>19904</v>
      </c>
    </row>
    <row r="1101" spans="2:20" x14ac:dyDescent="0.25">
      <c r="B1101" t="s">
        <v>2709</v>
      </c>
      <c r="C1101">
        <v>18020000</v>
      </c>
      <c r="E1101">
        <v>37.950000000000003</v>
      </c>
      <c r="F1101">
        <v>18</v>
      </c>
      <c r="G1101">
        <v>0</v>
      </c>
      <c r="H1101">
        <v>7.6</v>
      </c>
      <c r="I1101">
        <v>1.65</v>
      </c>
      <c r="J1101">
        <v>10</v>
      </c>
      <c r="L1101" t="s">
        <v>2709</v>
      </c>
      <c r="M1101">
        <v>18020000</v>
      </c>
      <c r="O1101" t="s">
        <v>19948</v>
      </c>
      <c r="P1101" t="s">
        <v>19899</v>
      </c>
      <c r="Q1101" t="s">
        <v>19900</v>
      </c>
      <c r="R1101" t="s">
        <v>19905</v>
      </c>
      <c r="S1101" t="s">
        <v>19906</v>
      </c>
      <c r="T1101" t="s">
        <v>19904</v>
      </c>
    </row>
    <row r="1102" spans="2:20" x14ac:dyDescent="0.25">
      <c r="B1102" t="s">
        <v>2709</v>
      </c>
      <c r="C1102">
        <v>18031000</v>
      </c>
      <c r="E1102">
        <v>37.950000000000003</v>
      </c>
      <c r="F1102">
        <v>18</v>
      </c>
      <c r="G1102">
        <v>0</v>
      </c>
      <c r="H1102">
        <v>7.6</v>
      </c>
      <c r="I1102">
        <v>1.65</v>
      </c>
      <c r="J1102">
        <v>12</v>
      </c>
      <c r="L1102" t="s">
        <v>2709</v>
      </c>
      <c r="M1102">
        <v>18031000</v>
      </c>
      <c r="O1102" t="s">
        <v>19948</v>
      </c>
      <c r="P1102" t="s">
        <v>19899</v>
      </c>
      <c r="Q1102" t="s">
        <v>19900</v>
      </c>
      <c r="R1102" t="s">
        <v>19905</v>
      </c>
      <c r="S1102" t="s">
        <v>19906</v>
      </c>
      <c r="T1102" t="s">
        <v>19903</v>
      </c>
    </row>
    <row r="1103" spans="2:20" x14ac:dyDescent="0.25">
      <c r="B1103" t="s">
        <v>2709</v>
      </c>
      <c r="C1103">
        <v>18032000</v>
      </c>
      <c r="E1103">
        <v>37.950000000000003</v>
      </c>
      <c r="F1103">
        <v>18</v>
      </c>
      <c r="G1103">
        <v>0</v>
      </c>
      <c r="H1103">
        <v>7.6</v>
      </c>
      <c r="I1103">
        <v>1.65</v>
      </c>
      <c r="J1103">
        <v>12</v>
      </c>
      <c r="L1103" t="s">
        <v>2709</v>
      </c>
      <c r="M1103">
        <v>18032000</v>
      </c>
      <c r="O1103" t="s">
        <v>19948</v>
      </c>
      <c r="P1103" t="s">
        <v>19899</v>
      </c>
      <c r="Q1103" t="s">
        <v>19900</v>
      </c>
      <c r="R1103" t="s">
        <v>19905</v>
      </c>
      <c r="S1103" t="s">
        <v>19906</v>
      </c>
      <c r="T1103" t="s">
        <v>19903</v>
      </c>
    </row>
    <row r="1104" spans="2:20" x14ac:dyDescent="0.25">
      <c r="B1104" t="s">
        <v>2709</v>
      </c>
      <c r="C1104">
        <v>18040000</v>
      </c>
      <c r="E1104">
        <v>37.950000000000003</v>
      </c>
      <c r="F1104">
        <v>18</v>
      </c>
      <c r="G1104">
        <v>0</v>
      </c>
      <c r="H1104">
        <v>7.6</v>
      </c>
      <c r="I1104">
        <v>1.65</v>
      </c>
      <c r="J1104">
        <v>12</v>
      </c>
      <c r="L1104" t="s">
        <v>2709</v>
      </c>
      <c r="M1104">
        <v>18040000</v>
      </c>
      <c r="O1104" t="s">
        <v>19948</v>
      </c>
      <c r="P1104" t="s">
        <v>19899</v>
      </c>
      <c r="Q1104" t="s">
        <v>19900</v>
      </c>
      <c r="R1104" t="s">
        <v>19905</v>
      </c>
      <c r="S1104" t="s">
        <v>19906</v>
      </c>
      <c r="T1104" t="s">
        <v>19903</v>
      </c>
    </row>
    <row r="1105" spans="2:20" x14ac:dyDescent="0.25">
      <c r="B1105" t="s">
        <v>2709</v>
      </c>
      <c r="C1105">
        <v>18050000</v>
      </c>
      <c r="E1105">
        <v>37.950000000000003</v>
      </c>
      <c r="F1105">
        <v>18</v>
      </c>
      <c r="G1105">
        <v>0</v>
      </c>
      <c r="H1105">
        <v>7.6</v>
      </c>
      <c r="I1105">
        <v>1.65</v>
      </c>
      <c r="J1105">
        <v>14</v>
      </c>
      <c r="L1105" t="s">
        <v>2709</v>
      </c>
      <c r="M1105">
        <v>18050000</v>
      </c>
      <c r="O1105" t="s">
        <v>19948</v>
      </c>
      <c r="P1105" t="s">
        <v>19899</v>
      </c>
      <c r="Q1105" t="s">
        <v>19900</v>
      </c>
      <c r="R1105" t="s">
        <v>19905</v>
      </c>
      <c r="S1105" t="s">
        <v>19906</v>
      </c>
      <c r="T1105" t="s">
        <v>19911</v>
      </c>
    </row>
    <row r="1106" spans="2:20" x14ac:dyDescent="0.25">
      <c r="B1106" t="s">
        <v>2709</v>
      </c>
      <c r="C1106">
        <v>18061000</v>
      </c>
      <c r="E1106">
        <v>328</v>
      </c>
      <c r="F1106">
        <v>18</v>
      </c>
      <c r="G1106">
        <v>0</v>
      </c>
      <c r="H1106">
        <v>7.6</v>
      </c>
      <c r="I1106">
        <v>1.65</v>
      </c>
      <c r="J1106">
        <v>18</v>
      </c>
      <c r="L1106" t="s">
        <v>2709</v>
      </c>
      <c r="M1106">
        <v>18061000</v>
      </c>
      <c r="O1106" t="s">
        <v>19949</v>
      </c>
      <c r="P1106" t="s">
        <v>19899</v>
      </c>
      <c r="Q1106" t="s">
        <v>19900</v>
      </c>
      <c r="R1106" t="s">
        <v>19905</v>
      </c>
      <c r="S1106" t="s">
        <v>19906</v>
      </c>
      <c r="T1106" t="s">
        <v>19899</v>
      </c>
    </row>
    <row r="1107" spans="2:20" x14ac:dyDescent="0.25">
      <c r="B1107" t="s">
        <v>2709</v>
      </c>
      <c r="C1107">
        <v>18062000</v>
      </c>
      <c r="E1107">
        <v>328</v>
      </c>
      <c r="F1107">
        <v>18</v>
      </c>
      <c r="G1107">
        <v>0</v>
      </c>
      <c r="H1107">
        <v>7.6</v>
      </c>
      <c r="I1107">
        <v>1.65</v>
      </c>
      <c r="J1107">
        <v>18</v>
      </c>
      <c r="L1107" t="s">
        <v>2709</v>
      </c>
      <c r="M1107">
        <v>18062000</v>
      </c>
      <c r="O1107" t="s">
        <v>19949</v>
      </c>
      <c r="P1107" t="s">
        <v>19899</v>
      </c>
      <c r="Q1107" t="s">
        <v>19900</v>
      </c>
      <c r="R1107" t="s">
        <v>19905</v>
      </c>
      <c r="S1107" t="s">
        <v>19906</v>
      </c>
      <c r="T1107" t="s">
        <v>19899</v>
      </c>
    </row>
    <row r="1108" spans="2:20" x14ac:dyDescent="0.25">
      <c r="B1108" t="s">
        <v>2709</v>
      </c>
      <c r="C1108">
        <v>18063110</v>
      </c>
      <c r="E1108">
        <v>328</v>
      </c>
      <c r="F1108">
        <v>18</v>
      </c>
      <c r="G1108">
        <v>5</v>
      </c>
      <c r="H1108">
        <v>7.6</v>
      </c>
      <c r="I1108">
        <v>1.65</v>
      </c>
      <c r="J1108">
        <v>20</v>
      </c>
      <c r="L1108" t="s">
        <v>2709</v>
      </c>
      <c r="M1108">
        <v>18063110</v>
      </c>
      <c r="O1108" t="s">
        <v>19949</v>
      </c>
      <c r="P1108" t="s">
        <v>19899</v>
      </c>
      <c r="Q1108" t="s">
        <v>19909</v>
      </c>
      <c r="R1108" t="s">
        <v>19905</v>
      </c>
      <c r="S1108" t="s">
        <v>19906</v>
      </c>
      <c r="T1108" t="s">
        <v>19934</v>
      </c>
    </row>
    <row r="1109" spans="2:20" x14ac:dyDescent="0.25">
      <c r="B1109" t="s">
        <v>2709</v>
      </c>
      <c r="C1109">
        <v>18063120</v>
      </c>
      <c r="E1109">
        <v>328</v>
      </c>
      <c r="F1109">
        <v>18</v>
      </c>
      <c r="G1109">
        <v>5</v>
      </c>
      <c r="H1109">
        <v>7.6</v>
      </c>
      <c r="I1109">
        <v>1.65</v>
      </c>
      <c r="J1109">
        <v>20</v>
      </c>
      <c r="L1109" t="s">
        <v>2709</v>
      </c>
      <c r="M1109">
        <v>18063120</v>
      </c>
      <c r="O1109" t="s">
        <v>19949</v>
      </c>
      <c r="P1109" t="s">
        <v>19899</v>
      </c>
      <c r="Q1109" t="s">
        <v>19909</v>
      </c>
      <c r="R1109" t="s">
        <v>19905</v>
      </c>
      <c r="S1109" t="s">
        <v>19906</v>
      </c>
      <c r="T1109" t="s">
        <v>19934</v>
      </c>
    </row>
    <row r="1110" spans="2:20" x14ac:dyDescent="0.25">
      <c r="B1110" t="s">
        <v>2709</v>
      </c>
      <c r="C1110">
        <v>18063210</v>
      </c>
      <c r="E1110">
        <v>328</v>
      </c>
      <c r="F1110">
        <v>18</v>
      </c>
      <c r="G1110">
        <v>5</v>
      </c>
      <c r="H1110">
        <v>7.6</v>
      </c>
      <c r="I1110">
        <v>1.65</v>
      </c>
      <c r="J1110">
        <v>20</v>
      </c>
      <c r="L1110" t="s">
        <v>2709</v>
      </c>
      <c r="M1110">
        <v>18063210</v>
      </c>
      <c r="O1110" t="s">
        <v>19949</v>
      </c>
      <c r="P1110" t="s">
        <v>19899</v>
      </c>
      <c r="Q1110" t="s">
        <v>19909</v>
      </c>
      <c r="R1110" t="s">
        <v>19905</v>
      </c>
      <c r="S1110" t="s">
        <v>19906</v>
      </c>
      <c r="T1110" t="s">
        <v>19934</v>
      </c>
    </row>
    <row r="1111" spans="2:20" x14ac:dyDescent="0.25">
      <c r="B1111" t="s">
        <v>2709</v>
      </c>
      <c r="C1111">
        <v>18063220</v>
      </c>
      <c r="E1111">
        <v>328</v>
      </c>
      <c r="F1111">
        <v>18</v>
      </c>
      <c r="G1111">
        <v>5</v>
      </c>
      <c r="H1111">
        <v>7.6</v>
      </c>
      <c r="I1111">
        <v>1.65</v>
      </c>
      <c r="J1111">
        <v>20</v>
      </c>
      <c r="L1111" t="s">
        <v>2709</v>
      </c>
      <c r="M1111">
        <v>18063220</v>
      </c>
      <c r="O1111" t="s">
        <v>19949</v>
      </c>
      <c r="P1111" t="s">
        <v>19899</v>
      </c>
      <c r="Q1111" t="s">
        <v>19909</v>
      </c>
      <c r="R1111" t="s">
        <v>19905</v>
      </c>
      <c r="S1111" t="s">
        <v>19906</v>
      </c>
      <c r="T1111" t="s">
        <v>19934</v>
      </c>
    </row>
    <row r="1112" spans="2:20" x14ac:dyDescent="0.25">
      <c r="B1112" t="s">
        <v>2709</v>
      </c>
      <c r="C1112">
        <v>18069000</v>
      </c>
      <c r="E1112">
        <v>328</v>
      </c>
      <c r="F1112">
        <v>18</v>
      </c>
      <c r="G1112">
        <v>5</v>
      </c>
      <c r="H1112">
        <v>7.6</v>
      </c>
      <c r="I1112">
        <v>1.65</v>
      </c>
      <c r="J1112">
        <v>20</v>
      </c>
      <c r="L1112" t="s">
        <v>2709</v>
      </c>
      <c r="M1112">
        <v>18069000</v>
      </c>
      <c r="O1112" t="s">
        <v>19949</v>
      </c>
      <c r="P1112" t="s">
        <v>19899</v>
      </c>
      <c r="Q1112" t="s">
        <v>19909</v>
      </c>
      <c r="R1112" t="s">
        <v>19905</v>
      </c>
      <c r="S1112" t="s">
        <v>19906</v>
      </c>
      <c r="T1112" t="s">
        <v>19934</v>
      </c>
    </row>
    <row r="1113" spans="2:20" x14ac:dyDescent="0.25">
      <c r="B1113" t="s">
        <v>2709</v>
      </c>
      <c r="C1113">
        <v>18069000</v>
      </c>
      <c r="D1113">
        <v>1</v>
      </c>
      <c r="E1113" t="s">
        <v>19447</v>
      </c>
      <c r="F1113">
        <v>18</v>
      </c>
      <c r="G1113">
        <v>0</v>
      </c>
      <c r="H1113">
        <v>7.6</v>
      </c>
      <c r="I1113">
        <v>1.65</v>
      </c>
      <c r="J1113">
        <v>20</v>
      </c>
      <c r="L1113" t="s">
        <v>2709</v>
      </c>
      <c r="M1113">
        <v>18069000</v>
      </c>
      <c r="N1113">
        <v>1</v>
      </c>
      <c r="O1113" t="s">
        <v>19447</v>
      </c>
      <c r="P1113" t="s">
        <v>19899</v>
      </c>
      <c r="Q1113" t="s">
        <v>19900</v>
      </c>
      <c r="R1113" t="s">
        <v>19905</v>
      </c>
      <c r="S1113" t="s">
        <v>19906</v>
      </c>
      <c r="T1113" t="s">
        <v>19934</v>
      </c>
    </row>
    <row r="1114" spans="2:20" x14ac:dyDescent="0.25">
      <c r="B1114" t="s">
        <v>2709</v>
      </c>
      <c r="C1114">
        <v>19011010</v>
      </c>
      <c r="E1114">
        <v>328</v>
      </c>
      <c r="F1114">
        <v>18</v>
      </c>
      <c r="G1114">
        <v>0</v>
      </c>
      <c r="H1114" t="s">
        <v>19447</v>
      </c>
      <c r="I1114" t="s">
        <v>19447</v>
      </c>
      <c r="J1114">
        <v>16</v>
      </c>
      <c r="L1114" t="s">
        <v>2709</v>
      </c>
      <c r="M1114">
        <v>19011010</v>
      </c>
      <c r="O1114" t="s">
        <v>19949</v>
      </c>
      <c r="P1114" t="s">
        <v>19899</v>
      </c>
      <c r="Q1114" t="s">
        <v>19900</v>
      </c>
      <c r="R1114" t="s">
        <v>19447</v>
      </c>
      <c r="S1114" t="s">
        <v>19447</v>
      </c>
      <c r="T1114" t="s">
        <v>19913</v>
      </c>
    </row>
    <row r="1115" spans="2:20" x14ac:dyDescent="0.25">
      <c r="B1115" t="s">
        <v>2709</v>
      </c>
      <c r="C1115">
        <v>19011020</v>
      </c>
      <c r="E1115">
        <v>328</v>
      </c>
      <c r="F1115">
        <v>18</v>
      </c>
      <c r="G1115">
        <v>0</v>
      </c>
      <c r="H1115" t="s">
        <v>19447</v>
      </c>
      <c r="I1115" t="s">
        <v>19447</v>
      </c>
      <c r="J1115">
        <v>18</v>
      </c>
      <c r="L1115" t="s">
        <v>2709</v>
      </c>
      <c r="M1115">
        <v>19011020</v>
      </c>
      <c r="O1115" t="s">
        <v>19949</v>
      </c>
      <c r="P1115" t="s">
        <v>19899</v>
      </c>
      <c r="Q1115" t="s">
        <v>19900</v>
      </c>
      <c r="R1115" t="s">
        <v>19447</v>
      </c>
      <c r="S1115" t="s">
        <v>19447</v>
      </c>
      <c r="T1115" t="s">
        <v>19899</v>
      </c>
    </row>
    <row r="1116" spans="2:20" x14ac:dyDescent="0.25">
      <c r="B1116" t="s">
        <v>2709</v>
      </c>
      <c r="C1116">
        <v>19011030</v>
      </c>
      <c r="E1116">
        <v>328</v>
      </c>
      <c r="F1116">
        <v>18</v>
      </c>
      <c r="G1116">
        <v>0</v>
      </c>
      <c r="H1116" t="s">
        <v>19447</v>
      </c>
      <c r="I1116" t="s">
        <v>19447</v>
      </c>
      <c r="J1116">
        <v>18</v>
      </c>
      <c r="L1116" t="s">
        <v>2709</v>
      </c>
      <c r="M1116">
        <v>19011030</v>
      </c>
      <c r="O1116" t="s">
        <v>19949</v>
      </c>
      <c r="P1116" t="s">
        <v>19899</v>
      </c>
      <c r="Q1116" t="s">
        <v>19900</v>
      </c>
      <c r="R1116" t="s">
        <v>19447</v>
      </c>
      <c r="S1116" t="s">
        <v>19447</v>
      </c>
      <c r="T1116" t="s">
        <v>19899</v>
      </c>
    </row>
    <row r="1117" spans="2:20" x14ac:dyDescent="0.25">
      <c r="B1117" t="s">
        <v>2709</v>
      </c>
      <c r="C1117">
        <v>19011090</v>
      </c>
      <c r="E1117">
        <v>328</v>
      </c>
      <c r="F1117">
        <v>18</v>
      </c>
      <c r="G1117">
        <v>0</v>
      </c>
      <c r="H1117" t="s">
        <v>19447</v>
      </c>
      <c r="I1117" t="s">
        <v>19447</v>
      </c>
      <c r="J1117">
        <v>18</v>
      </c>
      <c r="L1117" t="s">
        <v>2709</v>
      </c>
      <c r="M1117">
        <v>19011090</v>
      </c>
      <c r="O1117" t="s">
        <v>19949</v>
      </c>
      <c r="P1117" t="s">
        <v>19899</v>
      </c>
      <c r="Q1117" t="s">
        <v>19900</v>
      </c>
      <c r="R1117" t="s">
        <v>19447</v>
      </c>
      <c r="S1117" t="s">
        <v>19447</v>
      </c>
      <c r="T1117" t="s">
        <v>19899</v>
      </c>
    </row>
    <row r="1118" spans="2:20" x14ac:dyDescent="0.25">
      <c r="B1118" t="s">
        <v>2709</v>
      </c>
      <c r="C1118">
        <v>19012000</v>
      </c>
      <c r="E1118">
        <v>328</v>
      </c>
      <c r="F1118">
        <v>12</v>
      </c>
      <c r="G1118">
        <v>0</v>
      </c>
      <c r="H1118">
        <v>7.6</v>
      </c>
      <c r="I1118">
        <v>1.65</v>
      </c>
      <c r="J1118">
        <v>14</v>
      </c>
      <c r="L1118" t="s">
        <v>2709</v>
      </c>
      <c r="M1118">
        <v>19012000</v>
      </c>
      <c r="O1118" t="s">
        <v>19949</v>
      </c>
      <c r="P1118" t="s">
        <v>19903</v>
      </c>
      <c r="Q1118" t="s">
        <v>19900</v>
      </c>
      <c r="R1118" t="s">
        <v>19905</v>
      </c>
      <c r="S1118" t="s">
        <v>19906</v>
      </c>
      <c r="T1118" t="s">
        <v>19911</v>
      </c>
    </row>
    <row r="1119" spans="2:20" x14ac:dyDescent="0.25">
      <c r="B1119" t="s">
        <v>2709</v>
      </c>
      <c r="C1119">
        <v>19012000</v>
      </c>
      <c r="D1119">
        <v>1</v>
      </c>
      <c r="E1119" t="s">
        <v>19447</v>
      </c>
      <c r="F1119">
        <v>18</v>
      </c>
      <c r="G1119">
        <v>0</v>
      </c>
      <c r="H1119">
        <v>7.6</v>
      </c>
      <c r="I1119">
        <v>1.65</v>
      </c>
      <c r="J1119">
        <v>14</v>
      </c>
      <c r="L1119" t="s">
        <v>2709</v>
      </c>
      <c r="M1119">
        <v>19012000</v>
      </c>
      <c r="N1119">
        <v>1</v>
      </c>
      <c r="O1119" t="s">
        <v>19447</v>
      </c>
      <c r="P1119" t="s">
        <v>19899</v>
      </c>
      <c r="Q1119" t="s">
        <v>19900</v>
      </c>
      <c r="R1119" t="s">
        <v>19905</v>
      </c>
      <c r="S1119" t="s">
        <v>19906</v>
      </c>
      <c r="T1119" t="s">
        <v>19911</v>
      </c>
    </row>
    <row r="1120" spans="2:20" x14ac:dyDescent="0.25">
      <c r="B1120" t="s">
        <v>2709</v>
      </c>
      <c r="C1120">
        <v>19019010</v>
      </c>
      <c r="E1120">
        <v>328</v>
      </c>
      <c r="F1120">
        <v>18</v>
      </c>
      <c r="G1120">
        <v>0</v>
      </c>
      <c r="H1120">
        <v>7.6</v>
      </c>
      <c r="I1120">
        <v>1.65</v>
      </c>
      <c r="J1120">
        <v>14</v>
      </c>
      <c r="L1120" t="s">
        <v>2709</v>
      </c>
      <c r="M1120">
        <v>19019010</v>
      </c>
      <c r="O1120" t="s">
        <v>19949</v>
      </c>
      <c r="P1120" t="s">
        <v>19899</v>
      </c>
      <c r="Q1120" t="s">
        <v>19900</v>
      </c>
      <c r="R1120" t="s">
        <v>19905</v>
      </c>
      <c r="S1120" t="s">
        <v>19906</v>
      </c>
      <c r="T1120" t="s">
        <v>19911</v>
      </c>
    </row>
    <row r="1121" spans="2:20" x14ac:dyDescent="0.25">
      <c r="B1121" t="s">
        <v>2709</v>
      </c>
      <c r="C1121">
        <v>19019020</v>
      </c>
      <c r="E1121">
        <v>328</v>
      </c>
      <c r="F1121">
        <v>18</v>
      </c>
      <c r="G1121">
        <v>0</v>
      </c>
      <c r="H1121">
        <v>7.6</v>
      </c>
      <c r="I1121">
        <v>1.65</v>
      </c>
      <c r="J1121">
        <v>16</v>
      </c>
      <c r="L1121" t="s">
        <v>2709</v>
      </c>
      <c r="M1121">
        <v>19019020</v>
      </c>
      <c r="O1121" t="s">
        <v>19949</v>
      </c>
      <c r="P1121" t="s">
        <v>19899</v>
      </c>
      <c r="Q1121" t="s">
        <v>19900</v>
      </c>
      <c r="R1121" t="s">
        <v>19905</v>
      </c>
      <c r="S1121" t="s">
        <v>19906</v>
      </c>
      <c r="T1121" t="s">
        <v>19913</v>
      </c>
    </row>
    <row r="1122" spans="2:20" x14ac:dyDescent="0.25">
      <c r="B1122" t="s">
        <v>2709</v>
      </c>
      <c r="C1122">
        <v>19019090</v>
      </c>
      <c r="E1122">
        <v>328</v>
      </c>
      <c r="F1122">
        <v>7</v>
      </c>
      <c r="G1122">
        <v>0</v>
      </c>
      <c r="H1122">
        <v>7.6</v>
      </c>
      <c r="I1122">
        <v>1.65</v>
      </c>
      <c r="J1122">
        <v>16</v>
      </c>
      <c r="L1122" t="s">
        <v>2709</v>
      </c>
      <c r="M1122">
        <v>19019090</v>
      </c>
      <c r="O1122" t="s">
        <v>19949</v>
      </c>
      <c r="P1122" t="s">
        <v>19908</v>
      </c>
      <c r="Q1122" t="s">
        <v>19900</v>
      </c>
      <c r="R1122" t="s">
        <v>19905</v>
      </c>
      <c r="S1122" t="s">
        <v>19906</v>
      </c>
      <c r="T1122" t="s">
        <v>19913</v>
      </c>
    </row>
    <row r="1123" spans="2:20" x14ac:dyDescent="0.25">
      <c r="B1123" t="s">
        <v>2709</v>
      </c>
      <c r="C1123">
        <v>19021100</v>
      </c>
      <c r="E1123">
        <v>38.85</v>
      </c>
      <c r="F1123">
        <v>7</v>
      </c>
      <c r="G1123">
        <v>0</v>
      </c>
      <c r="H1123" t="s">
        <v>19447</v>
      </c>
      <c r="I1123" t="s">
        <v>19447</v>
      </c>
      <c r="J1123">
        <v>16</v>
      </c>
      <c r="L1123" t="s">
        <v>2709</v>
      </c>
      <c r="M1123">
        <v>19021100</v>
      </c>
      <c r="O1123" t="s">
        <v>19950</v>
      </c>
      <c r="P1123" t="s">
        <v>19908</v>
      </c>
      <c r="Q1123" t="s">
        <v>19900</v>
      </c>
      <c r="R1123" t="s">
        <v>19447</v>
      </c>
      <c r="S1123" t="s">
        <v>19447</v>
      </c>
      <c r="T1123" t="s">
        <v>19913</v>
      </c>
    </row>
    <row r="1124" spans="2:20" x14ac:dyDescent="0.25">
      <c r="B1124" t="s">
        <v>2709</v>
      </c>
      <c r="C1124">
        <v>19021900</v>
      </c>
      <c r="E1124">
        <v>38.85</v>
      </c>
      <c r="F1124">
        <v>7</v>
      </c>
      <c r="G1124">
        <v>0</v>
      </c>
      <c r="H1124" t="s">
        <v>19447</v>
      </c>
      <c r="I1124" t="s">
        <v>19447</v>
      </c>
      <c r="J1124">
        <v>16</v>
      </c>
      <c r="L1124" t="s">
        <v>2709</v>
      </c>
      <c r="M1124">
        <v>19021900</v>
      </c>
      <c r="O1124" t="s">
        <v>19950</v>
      </c>
      <c r="P1124" t="s">
        <v>19908</v>
      </c>
      <c r="Q1124" t="s">
        <v>19900</v>
      </c>
      <c r="R1124" t="s">
        <v>19447</v>
      </c>
      <c r="S1124" t="s">
        <v>19447</v>
      </c>
      <c r="T1124" t="s">
        <v>19913</v>
      </c>
    </row>
    <row r="1125" spans="2:20" x14ac:dyDescent="0.25">
      <c r="B1125" t="s">
        <v>2709</v>
      </c>
      <c r="C1125">
        <v>19022000</v>
      </c>
      <c r="E1125">
        <v>38.85</v>
      </c>
      <c r="F1125">
        <v>18</v>
      </c>
      <c r="G1125">
        <v>0</v>
      </c>
      <c r="H1125" t="s">
        <v>19447</v>
      </c>
      <c r="I1125" t="s">
        <v>19447</v>
      </c>
      <c r="J1125">
        <v>16</v>
      </c>
      <c r="L1125" t="s">
        <v>2709</v>
      </c>
      <c r="M1125">
        <v>19022000</v>
      </c>
      <c r="O1125" t="s">
        <v>19950</v>
      </c>
      <c r="P1125" t="s">
        <v>19899</v>
      </c>
      <c r="Q1125" t="s">
        <v>19900</v>
      </c>
      <c r="R1125" t="s">
        <v>19447</v>
      </c>
      <c r="S1125" t="s">
        <v>19447</v>
      </c>
      <c r="T1125" t="s">
        <v>19913</v>
      </c>
    </row>
    <row r="1126" spans="2:20" x14ac:dyDescent="0.25">
      <c r="B1126" t="s">
        <v>2709</v>
      </c>
      <c r="C1126">
        <v>19023000</v>
      </c>
      <c r="E1126">
        <v>81.42</v>
      </c>
      <c r="F1126">
        <v>18</v>
      </c>
      <c r="G1126">
        <v>0</v>
      </c>
      <c r="H1126" t="s">
        <v>19447</v>
      </c>
      <c r="I1126" t="s">
        <v>19447</v>
      </c>
      <c r="J1126">
        <v>16</v>
      </c>
      <c r="L1126" t="s">
        <v>2709</v>
      </c>
      <c r="M1126">
        <v>19023000</v>
      </c>
      <c r="O1126" t="s">
        <v>19951</v>
      </c>
      <c r="P1126" t="s">
        <v>19899</v>
      </c>
      <c r="Q1126" t="s">
        <v>19900</v>
      </c>
      <c r="R1126" t="s">
        <v>19447</v>
      </c>
      <c r="S1126" t="s">
        <v>19447</v>
      </c>
      <c r="T1126" t="s">
        <v>19913</v>
      </c>
    </row>
    <row r="1127" spans="2:20" x14ac:dyDescent="0.25">
      <c r="B1127" t="s">
        <v>2709</v>
      </c>
      <c r="C1127">
        <v>19024000</v>
      </c>
      <c r="E1127">
        <v>38.85</v>
      </c>
      <c r="F1127">
        <v>18</v>
      </c>
      <c r="G1127">
        <v>0</v>
      </c>
      <c r="H1127" t="s">
        <v>19447</v>
      </c>
      <c r="I1127" t="s">
        <v>19447</v>
      </c>
      <c r="J1127">
        <v>16</v>
      </c>
      <c r="L1127" t="s">
        <v>2709</v>
      </c>
      <c r="M1127">
        <v>19024000</v>
      </c>
      <c r="O1127" t="s">
        <v>19950</v>
      </c>
      <c r="P1127" t="s">
        <v>19899</v>
      </c>
      <c r="Q1127" t="s">
        <v>19900</v>
      </c>
      <c r="R1127" t="s">
        <v>19447</v>
      </c>
      <c r="S1127" t="s">
        <v>19447</v>
      </c>
      <c r="T1127" t="s">
        <v>19913</v>
      </c>
    </row>
    <row r="1128" spans="2:20" x14ac:dyDescent="0.25">
      <c r="B1128" t="s">
        <v>2709</v>
      </c>
      <c r="C1128">
        <v>19030000</v>
      </c>
      <c r="E1128">
        <v>56.55</v>
      </c>
      <c r="F1128">
        <v>18</v>
      </c>
      <c r="G1128">
        <v>0</v>
      </c>
      <c r="H1128">
        <v>7.6</v>
      </c>
      <c r="I1128">
        <v>1.65</v>
      </c>
      <c r="J1128">
        <v>16</v>
      </c>
      <c r="L1128" t="s">
        <v>2709</v>
      </c>
      <c r="M1128">
        <v>19030000</v>
      </c>
      <c r="O1128" t="s">
        <v>19952</v>
      </c>
      <c r="P1128" t="s">
        <v>19899</v>
      </c>
      <c r="Q1128" t="s">
        <v>19900</v>
      </c>
      <c r="R1128" t="s">
        <v>19905</v>
      </c>
      <c r="S1128" t="s">
        <v>19906</v>
      </c>
      <c r="T1128" t="s">
        <v>19913</v>
      </c>
    </row>
    <row r="1129" spans="2:20" x14ac:dyDescent="0.25">
      <c r="B1129" t="s">
        <v>2709</v>
      </c>
      <c r="C1129">
        <v>19041000</v>
      </c>
      <c r="E1129">
        <v>46.98</v>
      </c>
      <c r="F1129">
        <v>18</v>
      </c>
      <c r="G1129">
        <v>0</v>
      </c>
      <c r="H1129">
        <v>7.6</v>
      </c>
      <c r="I1129">
        <v>1.65</v>
      </c>
      <c r="J1129">
        <v>16</v>
      </c>
      <c r="L1129" t="s">
        <v>2709</v>
      </c>
      <c r="M1129">
        <v>19041000</v>
      </c>
      <c r="O1129" t="s">
        <v>19953</v>
      </c>
      <c r="P1129" t="s">
        <v>19899</v>
      </c>
      <c r="Q1129" t="s">
        <v>19900</v>
      </c>
      <c r="R1129" t="s">
        <v>19905</v>
      </c>
      <c r="S1129" t="s">
        <v>19906</v>
      </c>
      <c r="T1129" t="s">
        <v>19913</v>
      </c>
    </row>
    <row r="1130" spans="2:20" x14ac:dyDescent="0.25">
      <c r="B1130" t="s">
        <v>2709</v>
      </c>
      <c r="C1130">
        <v>19042000</v>
      </c>
      <c r="E1130">
        <v>56.06</v>
      </c>
      <c r="F1130">
        <v>18</v>
      </c>
      <c r="G1130">
        <v>0</v>
      </c>
      <c r="H1130">
        <v>7.6</v>
      </c>
      <c r="I1130">
        <v>1.65</v>
      </c>
      <c r="J1130">
        <v>16</v>
      </c>
      <c r="L1130" t="s">
        <v>2709</v>
      </c>
      <c r="M1130">
        <v>19042000</v>
      </c>
      <c r="O1130" t="s">
        <v>19954</v>
      </c>
      <c r="P1130" t="s">
        <v>19899</v>
      </c>
      <c r="Q1130" t="s">
        <v>19900</v>
      </c>
      <c r="R1130" t="s">
        <v>19905</v>
      </c>
      <c r="S1130" t="s">
        <v>19906</v>
      </c>
      <c r="T1130" t="s">
        <v>19913</v>
      </c>
    </row>
    <row r="1131" spans="2:20" x14ac:dyDescent="0.25">
      <c r="B1131" t="s">
        <v>2709</v>
      </c>
      <c r="C1131">
        <v>19043000</v>
      </c>
      <c r="E1131">
        <v>56.55</v>
      </c>
      <c r="F1131">
        <v>18</v>
      </c>
      <c r="G1131">
        <v>0</v>
      </c>
      <c r="H1131">
        <v>7.6</v>
      </c>
      <c r="I1131">
        <v>1.65</v>
      </c>
      <c r="J1131">
        <v>16</v>
      </c>
      <c r="L1131" t="s">
        <v>2709</v>
      </c>
      <c r="M1131">
        <v>19043000</v>
      </c>
      <c r="O1131" t="s">
        <v>19952</v>
      </c>
      <c r="P1131" t="s">
        <v>19899</v>
      </c>
      <c r="Q1131" t="s">
        <v>19900</v>
      </c>
      <c r="R1131" t="s">
        <v>19905</v>
      </c>
      <c r="S1131" t="s">
        <v>19906</v>
      </c>
      <c r="T1131" t="s">
        <v>19913</v>
      </c>
    </row>
    <row r="1132" spans="2:20" x14ac:dyDescent="0.25">
      <c r="B1132" t="s">
        <v>2709</v>
      </c>
      <c r="C1132">
        <v>19049000</v>
      </c>
      <c r="E1132">
        <v>56.06</v>
      </c>
      <c r="F1132">
        <v>18</v>
      </c>
      <c r="G1132">
        <v>0</v>
      </c>
      <c r="H1132">
        <v>7.6</v>
      </c>
      <c r="I1132">
        <v>1.65</v>
      </c>
      <c r="J1132">
        <v>16</v>
      </c>
      <c r="L1132" t="s">
        <v>2709</v>
      </c>
      <c r="M1132">
        <v>19049000</v>
      </c>
      <c r="O1132" t="s">
        <v>19954</v>
      </c>
      <c r="P1132" t="s">
        <v>19899</v>
      </c>
      <c r="Q1132" t="s">
        <v>19900</v>
      </c>
      <c r="R1132" t="s">
        <v>19905</v>
      </c>
      <c r="S1132" t="s">
        <v>19906</v>
      </c>
      <c r="T1132" t="s">
        <v>19913</v>
      </c>
    </row>
    <row r="1133" spans="2:20" x14ac:dyDescent="0.25">
      <c r="B1133" t="s">
        <v>2709</v>
      </c>
      <c r="C1133">
        <v>19051000</v>
      </c>
      <c r="E1133">
        <v>30.69</v>
      </c>
      <c r="F1133">
        <v>12</v>
      </c>
      <c r="G1133">
        <v>0</v>
      </c>
      <c r="H1133">
        <v>7.6</v>
      </c>
      <c r="I1133">
        <v>1.65</v>
      </c>
      <c r="J1133">
        <v>18</v>
      </c>
      <c r="L1133" t="s">
        <v>2709</v>
      </c>
      <c r="M1133">
        <v>19051000</v>
      </c>
      <c r="O1133" t="s">
        <v>19955</v>
      </c>
      <c r="P1133" t="s">
        <v>19903</v>
      </c>
      <c r="Q1133" t="s">
        <v>19900</v>
      </c>
      <c r="R1133" t="s">
        <v>19905</v>
      </c>
      <c r="S1133" t="s">
        <v>19906</v>
      </c>
      <c r="T1133" t="s">
        <v>19899</v>
      </c>
    </row>
    <row r="1134" spans="2:20" x14ac:dyDescent="0.25">
      <c r="B1134" t="s">
        <v>2709</v>
      </c>
      <c r="C1134">
        <v>19052010</v>
      </c>
      <c r="E1134">
        <v>56.55</v>
      </c>
      <c r="F1134">
        <v>12</v>
      </c>
      <c r="G1134">
        <v>0</v>
      </c>
      <c r="H1134">
        <v>7.6</v>
      </c>
      <c r="I1134">
        <v>1.65</v>
      </c>
      <c r="J1134">
        <v>18</v>
      </c>
      <c r="L1134" t="s">
        <v>2709</v>
      </c>
      <c r="M1134">
        <v>19052010</v>
      </c>
      <c r="O1134" t="s">
        <v>19952</v>
      </c>
      <c r="P1134" t="s">
        <v>19903</v>
      </c>
      <c r="Q1134" t="s">
        <v>19900</v>
      </c>
      <c r="R1134" t="s">
        <v>19905</v>
      </c>
      <c r="S1134" t="s">
        <v>19906</v>
      </c>
      <c r="T1134" t="s">
        <v>19899</v>
      </c>
    </row>
    <row r="1135" spans="2:20" x14ac:dyDescent="0.25">
      <c r="B1135" t="s">
        <v>2709</v>
      </c>
      <c r="C1135">
        <v>19052090</v>
      </c>
      <c r="E1135">
        <v>56.55</v>
      </c>
      <c r="F1135">
        <v>12</v>
      </c>
      <c r="G1135">
        <v>0</v>
      </c>
      <c r="H1135">
        <v>7.6</v>
      </c>
      <c r="I1135">
        <v>1.65</v>
      </c>
      <c r="J1135">
        <v>18</v>
      </c>
      <c r="L1135" t="s">
        <v>2709</v>
      </c>
      <c r="M1135">
        <v>19052090</v>
      </c>
      <c r="O1135" t="s">
        <v>19952</v>
      </c>
      <c r="P1135" t="s">
        <v>19903</v>
      </c>
      <c r="Q1135" t="s">
        <v>19900</v>
      </c>
      <c r="R1135" t="s">
        <v>19905</v>
      </c>
      <c r="S1135" t="s">
        <v>19906</v>
      </c>
      <c r="T1135" t="s">
        <v>19899</v>
      </c>
    </row>
    <row r="1136" spans="2:20" x14ac:dyDescent="0.25">
      <c r="B1136" t="s">
        <v>2709</v>
      </c>
      <c r="C1136">
        <v>19053100</v>
      </c>
      <c r="E1136">
        <v>37.590000000000003</v>
      </c>
      <c r="F1136">
        <v>7</v>
      </c>
      <c r="G1136">
        <v>0</v>
      </c>
      <c r="H1136">
        <v>7.6</v>
      </c>
      <c r="I1136">
        <v>1.65</v>
      </c>
      <c r="J1136">
        <v>18</v>
      </c>
      <c r="L1136" t="s">
        <v>2709</v>
      </c>
      <c r="M1136">
        <v>19053100</v>
      </c>
      <c r="O1136" t="s">
        <v>19956</v>
      </c>
      <c r="P1136" t="s">
        <v>19908</v>
      </c>
      <c r="Q1136" t="s">
        <v>19900</v>
      </c>
      <c r="R1136" t="s">
        <v>19905</v>
      </c>
      <c r="S1136" t="s">
        <v>19906</v>
      </c>
      <c r="T1136" t="s">
        <v>19899</v>
      </c>
    </row>
    <row r="1137" spans="2:20" x14ac:dyDescent="0.25">
      <c r="B1137" t="s">
        <v>2709</v>
      </c>
      <c r="C1137">
        <v>19053200</v>
      </c>
      <c r="E1137">
        <v>50.51</v>
      </c>
      <c r="F1137">
        <v>18</v>
      </c>
      <c r="G1137">
        <v>0</v>
      </c>
      <c r="H1137">
        <v>7.6</v>
      </c>
      <c r="I1137">
        <v>1.65</v>
      </c>
      <c r="J1137">
        <v>18</v>
      </c>
      <c r="L1137" t="s">
        <v>2709</v>
      </c>
      <c r="M1137">
        <v>19053200</v>
      </c>
      <c r="O1137" t="s">
        <v>19957</v>
      </c>
      <c r="P1137" t="s">
        <v>19899</v>
      </c>
      <c r="Q1137" t="s">
        <v>19900</v>
      </c>
      <c r="R1137" t="s">
        <v>19905</v>
      </c>
      <c r="S1137" t="s">
        <v>19906</v>
      </c>
      <c r="T1137" t="s">
        <v>19899</v>
      </c>
    </row>
    <row r="1138" spans="2:20" x14ac:dyDescent="0.25">
      <c r="B1138" t="s">
        <v>2709</v>
      </c>
      <c r="C1138">
        <v>19054000</v>
      </c>
      <c r="E1138">
        <v>34.17</v>
      </c>
      <c r="F1138">
        <v>12</v>
      </c>
      <c r="G1138">
        <v>0</v>
      </c>
      <c r="H1138">
        <v>7.6</v>
      </c>
      <c r="I1138">
        <v>1.65</v>
      </c>
      <c r="J1138">
        <v>18</v>
      </c>
      <c r="L1138" t="s">
        <v>2709</v>
      </c>
      <c r="M1138">
        <v>19054000</v>
      </c>
      <c r="O1138" t="s">
        <v>19958</v>
      </c>
      <c r="P1138" t="s">
        <v>19903</v>
      </c>
      <c r="Q1138" t="s">
        <v>19900</v>
      </c>
      <c r="R1138" t="s">
        <v>19905</v>
      </c>
      <c r="S1138" t="s">
        <v>19906</v>
      </c>
      <c r="T1138" t="s">
        <v>19899</v>
      </c>
    </row>
    <row r="1139" spans="2:20" x14ac:dyDescent="0.25">
      <c r="B1139" t="s">
        <v>2709</v>
      </c>
      <c r="C1139">
        <v>19059010</v>
      </c>
      <c r="E1139">
        <v>30.69</v>
      </c>
      <c r="F1139">
        <v>12</v>
      </c>
      <c r="G1139">
        <v>0</v>
      </c>
      <c r="H1139">
        <v>7.6</v>
      </c>
      <c r="I1139">
        <v>1.65</v>
      </c>
      <c r="J1139">
        <v>18</v>
      </c>
      <c r="L1139" t="s">
        <v>2709</v>
      </c>
      <c r="M1139">
        <v>19059010</v>
      </c>
      <c r="O1139" t="s">
        <v>19955</v>
      </c>
      <c r="P1139" t="s">
        <v>19903</v>
      </c>
      <c r="Q1139" t="s">
        <v>19900</v>
      </c>
      <c r="R1139" t="s">
        <v>19905</v>
      </c>
      <c r="S1139" t="s">
        <v>19906</v>
      </c>
      <c r="T1139" t="s">
        <v>19899</v>
      </c>
    </row>
    <row r="1140" spans="2:20" x14ac:dyDescent="0.25">
      <c r="B1140" t="s">
        <v>2709</v>
      </c>
      <c r="C1140">
        <v>19059020</v>
      </c>
      <c r="E1140">
        <v>35.200000000000003</v>
      </c>
      <c r="F1140">
        <v>12</v>
      </c>
      <c r="G1140">
        <v>0</v>
      </c>
      <c r="H1140">
        <v>7.6</v>
      </c>
      <c r="I1140">
        <v>1.65</v>
      </c>
      <c r="J1140">
        <v>18</v>
      </c>
      <c r="L1140" t="s">
        <v>2709</v>
      </c>
      <c r="M1140">
        <v>19059020</v>
      </c>
      <c r="O1140" t="s">
        <v>19959</v>
      </c>
      <c r="P1140" t="s">
        <v>19903</v>
      </c>
      <c r="Q1140" t="s">
        <v>19900</v>
      </c>
      <c r="R1140" t="s">
        <v>19905</v>
      </c>
      <c r="S1140" t="s">
        <v>19906</v>
      </c>
      <c r="T1140" t="s">
        <v>19899</v>
      </c>
    </row>
    <row r="1141" spans="2:20" x14ac:dyDescent="0.25">
      <c r="B1141" t="s">
        <v>2709</v>
      </c>
      <c r="C1141">
        <v>19059090</v>
      </c>
      <c r="E1141">
        <v>50.04</v>
      </c>
      <c r="F1141">
        <v>12</v>
      </c>
      <c r="G1141">
        <v>0</v>
      </c>
      <c r="H1141">
        <v>7.6</v>
      </c>
      <c r="I1141">
        <v>1.65</v>
      </c>
      <c r="J1141">
        <v>18</v>
      </c>
      <c r="L1141" t="s">
        <v>2709</v>
      </c>
      <c r="M1141">
        <v>19059090</v>
      </c>
      <c r="O1141" t="s">
        <v>19960</v>
      </c>
      <c r="P1141" t="s">
        <v>19903</v>
      </c>
      <c r="Q1141" t="s">
        <v>19900</v>
      </c>
      <c r="R1141" t="s">
        <v>19905</v>
      </c>
      <c r="S1141" t="s">
        <v>19906</v>
      </c>
      <c r="T1141" t="s">
        <v>19899</v>
      </c>
    </row>
    <row r="1142" spans="2:20" x14ac:dyDescent="0.25">
      <c r="B1142" t="s">
        <v>2709</v>
      </c>
      <c r="C1142">
        <v>19059090</v>
      </c>
      <c r="D1142">
        <v>1</v>
      </c>
      <c r="E1142" t="s">
        <v>19447</v>
      </c>
      <c r="F1142">
        <v>18</v>
      </c>
      <c r="G1142">
        <v>0</v>
      </c>
      <c r="H1142">
        <v>7.6</v>
      </c>
      <c r="I1142">
        <v>1.65</v>
      </c>
      <c r="J1142">
        <v>18</v>
      </c>
      <c r="L1142" t="s">
        <v>2709</v>
      </c>
      <c r="M1142">
        <v>19059090</v>
      </c>
      <c r="N1142">
        <v>1</v>
      </c>
      <c r="O1142" t="s">
        <v>19447</v>
      </c>
      <c r="P1142" t="s">
        <v>19899</v>
      </c>
      <c r="Q1142" t="s">
        <v>19900</v>
      </c>
      <c r="R1142" t="s">
        <v>19905</v>
      </c>
      <c r="S1142" t="s">
        <v>19906</v>
      </c>
      <c r="T1142" t="s">
        <v>19899</v>
      </c>
    </row>
    <row r="1143" spans="2:20" x14ac:dyDescent="0.25">
      <c r="B1143" t="s">
        <v>2709</v>
      </c>
      <c r="C1143">
        <v>20011000</v>
      </c>
      <c r="E1143">
        <v>83.07</v>
      </c>
      <c r="F1143">
        <v>7</v>
      </c>
      <c r="G1143">
        <v>0</v>
      </c>
      <c r="H1143">
        <v>7.6</v>
      </c>
      <c r="I1143">
        <v>1.65</v>
      </c>
      <c r="J1143">
        <v>14</v>
      </c>
      <c r="L1143" t="s">
        <v>2709</v>
      </c>
      <c r="M1143">
        <v>20011000</v>
      </c>
      <c r="O1143" t="s">
        <v>19961</v>
      </c>
      <c r="P1143" t="s">
        <v>19908</v>
      </c>
      <c r="Q1143" t="s">
        <v>19900</v>
      </c>
      <c r="R1143" t="s">
        <v>19905</v>
      </c>
      <c r="S1143" t="s">
        <v>19906</v>
      </c>
      <c r="T1143" t="s">
        <v>19911</v>
      </c>
    </row>
    <row r="1144" spans="2:20" x14ac:dyDescent="0.25">
      <c r="B1144" t="s">
        <v>2709</v>
      </c>
      <c r="C1144">
        <v>20019000</v>
      </c>
      <c r="E1144">
        <v>83.07</v>
      </c>
      <c r="F1144">
        <v>7</v>
      </c>
      <c r="G1144">
        <v>0</v>
      </c>
      <c r="H1144">
        <v>7.6</v>
      </c>
      <c r="I1144">
        <v>1.65</v>
      </c>
      <c r="J1144">
        <v>14</v>
      </c>
      <c r="L1144" t="s">
        <v>2709</v>
      </c>
      <c r="M1144">
        <v>20019000</v>
      </c>
      <c r="O1144" t="s">
        <v>19961</v>
      </c>
      <c r="P1144" t="s">
        <v>19908</v>
      </c>
      <c r="Q1144" t="s">
        <v>19900</v>
      </c>
      <c r="R1144" t="s">
        <v>19905</v>
      </c>
      <c r="S1144" t="s">
        <v>19906</v>
      </c>
      <c r="T1144" t="s">
        <v>19911</v>
      </c>
    </row>
    <row r="1145" spans="2:20" x14ac:dyDescent="0.25">
      <c r="B1145" t="s">
        <v>2709</v>
      </c>
      <c r="C1145">
        <v>20021000</v>
      </c>
      <c r="E1145">
        <v>43.39</v>
      </c>
      <c r="F1145">
        <v>7</v>
      </c>
      <c r="G1145">
        <v>0</v>
      </c>
      <c r="H1145">
        <v>7.6</v>
      </c>
      <c r="I1145">
        <v>1.65</v>
      </c>
      <c r="J1145">
        <v>14</v>
      </c>
      <c r="L1145" t="s">
        <v>2709</v>
      </c>
      <c r="M1145">
        <v>20021000</v>
      </c>
      <c r="O1145" t="s">
        <v>19962</v>
      </c>
      <c r="P1145" t="s">
        <v>19908</v>
      </c>
      <c r="Q1145" t="s">
        <v>19900</v>
      </c>
      <c r="R1145" t="s">
        <v>19905</v>
      </c>
      <c r="S1145" t="s">
        <v>19906</v>
      </c>
      <c r="T1145" t="s">
        <v>19911</v>
      </c>
    </row>
    <row r="1146" spans="2:20" x14ac:dyDescent="0.25">
      <c r="B1146" t="s">
        <v>2709</v>
      </c>
      <c r="C1146">
        <v>20021000</v>
      </c>
      <c r="D1146">
        <v>1</v>
      </c>
      <c r="E1146" t="s">
        <v>19447</v>
      </c>
      <c r="F1146">
        <v>18</v>
      </c>
      <c r="G1146">
        <v>0</v>
      </c>
      <c r="H1146">
        <v>7.6</v>
      </c>
      <c r="I1146">
        <v>1.65</v>
      </c>
      <c r="J1146">
        <v>14</v>
      </c>
      <c r="L1146" t="s">
        <v>2709</v>
      </c>
      <c r="M1146">
        <v>20021000</v>
      </c>
      <c r="N1146">
        <v>1</v>
      </c>
      <c r="O1146" t="s">
        <v>19447</v>
      </c>
      <c r="P1146" t="s">
        <v>19899</v>
      </c>
      <c r="Q1146" t="s">
        <v>19900</v>
      </c>
      <c r="R1146" t="s">
        <v>19905</v>
      </c>
      <c r="S1146" t="s">
        <v>19906</v>
      </c>
      <c r="T1146" t="s">
        <v>19911</v>
      </c>
    </row>
    <row r="1147" spans="2:20" x14ac:dyDescent="0.25">
      <c r="B1147" t="s">
        <v>2709</v>
      </c>
      <c r="C1147">
        <v>20029010</v>
      </c>
      <c r="E1147">
        <v>43.39</v>
      </c>
      <c r="F1147">
        <v>7</v>
      </c>
      <c r="G1147">
        <v>0</v>
      </c>
      <c r="H1147">
        <v>7.6</v>
      </c>
      <c r="I1147">
        <v>1.65</v>
      </c>
      <c r="J1147">
        <v>14</v>
      </c>
      <c r="L1147" t="s">
        <v>2709</v>
      </c>
      <c r="M1147">
        <v>20029010</v>
      </c>
      <c r="O1147" t="s">
        <v>19962</v>
      </c>
      <c r="P1147" t="s">
        <v>19908</v>
      </c>
      <c r="Q1147" t="s">
        <v>19900</v>
      </c>
      <c r="R1147" t="s">
        <v>19905</v>
      </c>
      <c r="S1147" t="s">
        <v>19906</v>
      </c>
      <c r="T1147" t="s">
        <v>19911</v>
      </c>
    </row>
    <row r="1148" spans="2:20" x14ac:dyDescent="0.25">
      <c r="B1148" t="s">
        <v>2709</v>
      </c>
      <c r="C1148">
        <v>20029090</v>
      </c>
      <c r="E1148">
        <v>43.39</v>
      </c>
      <c r="F1148">
        <v>7</v>
      </c>
      <c r="G1148">
        <v>0</v>
      </c>
      <c r="H1148">
        <v>7.6</v>
      </c>
      <c r="I1148">
        <v>1.65</v>
      </c>
      <c r="J1148">
        <v>14</v>
      </c>
      <c r="L1148" t="s">
        <v>2709</v>
      </c>
      <c r="M1148">
        <v>20029090</v>
      </c>
      <c r="O1148" t="s">
        <v>19962</v>
      </c>
      <c r="P1148" t="s">
        <v>19908</v>
      </c>
      <c r="Q1148" t="s">
        <v>19900</v>
      </c>
      <c r="R1148" t="s">
        <v>19905</v>
      </c>
      <c r="S1148" t="s">
        <v>19906</v>
      </c>
      <c r="T1148" t="s">
        <v>19911</v>
      </c>
    </row>
    <row r="1149" spans="2:20" x14ac:dyDescent="0.25">
      <c r="B1149" t="s">
        <v>2709</v>
      </c>
      <c r="C1149">
        <v>20029090</v>
      </c>
      <c r="D1149">
        <v>1</v>
      </c>
      <c r="E1149" t="s">
        <v>19447</v>
      </c>
      <c r="F1149">
        <v>18</v>
      </c>
      <c r="G1149">
        <v>0</v>
      </c>
      <c r="H1149">
        <v>7.6</v>
      </c>
      <c r="I1149">
        <v>1.65</v>
      </c>
      <c r="J1149">
        <v>14</v>
      </c>
      <c r="L1149" t="s">
        <v>2709</v>
      </c>
      <c r="M1149">
        <v>20029090</v>
      </c>
      <c r="N1149">
        <v>1</v>
      </c>
      <c r="O1149" t="s">
        <v>19447</v>
      </c>
      <c r="P1149" t="s">
        <v>19899</v>
      </c>
      <c r="Q1149" t="s">
        <v>19900</v>
      </c>
      <c r="R1149" t="s">
        <v>19905</v>
      </c>
      <c r="S1149" t="s">
        <v>19906</v>
      </c>
      <c r="T1149" t="s">
        <v>19911</v>
      </c>
    </row>
    <row r="1150" spans="2:20" x14ac:dyDescent="0.25">
      <c r="B1150" t="s">
        <v>2709</v>
      </c>
      <c r="C1150">
        <v>20031000</v>
      </c>
      <c r="E1150">
        <v>58.61</v>
      </c>
      <c r="F1150">
        <v>7</v>
      </c>
      <c r="G1150">
        <v>0</v>
      </c>
      <c r="H1150">
        <v>7.6</v>
      </c>
      <c r="I1150">
        <v>1.65</v>
      </c>
      <c r="J1150">
        <v>35</v>
      </c>
      <c r="L1150" t="s">
        <v>2709</v>
      </c>
      <c r="M1150">
        <v>20031000</v>
      </c>
      <c r="O1150" t="s">
        <v>19963</v>
      </c>
      <c r="P1150" t="s">
        <v>19908</v>
      </c>
      <c r="Q1150" t="s">
        <v>19900</v>
      </c>
      <c r="R1150" t="s">
        <v>19905</v>
      </c>
      <c r="S1150" t="s">
        <v>19906</v>
      </c>
      <c r="T1150" t="s">
        <v>19919</v>
      </c>
    </row>
    <row r="1151" spans="2:20" x14ac:dyDescent="0.25">
      <c r="B1151" t="s">
        <v>2709</v>
      </c>
      <c r="C1151">
        <v>20031000</v>
      </c>
      <c r="D1151">
        <v>1</v>
      </c>
      <c r="E1151" t="s">
        <v>19447</v>
      </c>
      <c r="F1151">
        <v>18</v>
      </c>
      <c r="G1151">
        <v>0</v>
      </c>
      <c r="H1151">
        <v>7.6</v>
      </c>
      <c r="I1151">
        <v>1.65</v>
      </c>
      <c r="J1151">
        <v>35</v>
      </c>
      <c r="L1151" t="s">
        <v>2709</v>
      </c>
      <c r="M1151">
        <v>20031000</v>
      </c>
      <c r="N1151">
        <v>1</v>
      </c>
      <c r="O1151" t="s">
        <v>19447</v>
      </c>
      <c r="P1151" t="s">
        <v>19899</v>
      </c>
      <c r="Q1151" t="s">
        <v>19900</v>
      </c>
      <c r="R1151" t="s">
        <v>19905</v>
      </c>
      <c r="S1151" t="s">
        <v>19906</v>
      </c>
      <c r="T1151" t="s">
        <v>19919</v>
      </c>
    </row>
    <row r="1152" spans="2:20" x14ac:dyDescent="0.25">
      <c r="B1152" t="s">
        <v>2709</v>
      </c>
      <c r="C1152">
        <v>20039000</v>
      </c>
      <c r="E1152">
        <v>58.61</v>
      </c>
      <c r="F1152">
        <v>7</v>
      </c>
      <c r="G1152">
        <v>0</v>
      </c>
      <c r="H1152">
        <v>7.6</v>
      </c>
      <c r="I1152">
        <v>1.65</v>
      </c>
      <c r="J1152">
        <v>14</v>
      </c>
      <c r="L1152" t="s">
        <v>2709</v>
      </c>
      <c r="M1152">
        <v>20039000</v>
      </c>
      <c r="O1152" t="s">
        <v>19963</v>
      </c>
      <c r="P1152" t="s">
        <v>19908</v>
      </c>
      <c r="Q1152" t="s">
        <v>19900</v>
      </c>
      <c r="R1152" t="s">
        <v>19905</v>
      </c>
      <c r="S1152" t="s">
        <v>19906</v>
      </c>
      <c r="T1152" t="s">
        <v>19911</v>
      </c>
    </row>
    <row r="1153" spans="2:20" x14ac:dyDescent="0.25">
      <c r="B1153" t="s">
        <v>2709</v>
      </c>
      <c r="C1153">
        <v>20039000</v>
      </c>
      <c r="D1153">
        <v>1</v>
      </c>
      <c r="E1153" t="s">
        <v>19447</v>
      </c>
      <c r="F1153">
        <v>18</v>
      </c>
      <c r="G1153">
        <v>0</v>
      </c>
      <c r="H1153">
        <v>7.6</v>
      </c>
      <c r="I1153">
        <v>1.65</v>
      </c>
      <c r="J1153">
        <v>14</v>
      </c>
      <c r="L1153" t="s">
        <v>2709</v>
      </c>
      <c r="M1153">
        <v>20039000</v>
      </c>
      <c r="N1153">
        <v>1</v>
      </c>
      <c r="O1153" t="s">
        <v>19447</v>
      </c>
      <c r="P1153" t="s">
        <v>19899</v>
      </c>
      <c r="Q1153" t="s">
        <v>19900</v>
      </c>
      <c r="R1153" t="s">
        <v>19905</v>
      </c>
      <c r="S1153" t="s">
        <v>19906</v>
      </c>
      <c r="T1153" t="s">
        <v>19911</v>
      </c>
    </row>
    <row r="1154" spans="2:20" x14ac:dyDescent="0.25">
      <c r="B1154" t="s">
        <v>2709</v>
      </c>
      <c r="C1154">
        <v>20039000</v>
      </c>
      <c r="D1154">
        <v>2</v>
      </c>
      <c r="E1154" t="s">
        <v>19447</v>
      </c>
      <c r="F1154">
        <v>18</v>
      </c>
      <c r="G1154">
        <v>0</v>
      </c>
      <c r="H1154">
        <v>7.6</v>
      </c>
      <c r="I1154">
        <v>1.65</v>
      </c>
      <c r="J1154">
        <v>14</v>
      </c>
      <c r="L1154" t="s">
        <v>2709</v>
      </c>
      <c r="M1154">
        <v>20039000</v>
      </c>
      <c r="N1154">
        <v>2</v>
      </c>
      <c r="O1154" t="s">
        <v>19447</v>
      </c>
      <c r="P1154" t="s">
        <v>19899</v>
      </c>
      <c r="Q1154" t="s">
        <v>19900</v>
      </c>
      <c r="R1154" t="s">
        <v>19905</v>
      </c>
      <c r="S1154" t="s">
        <v>19906</v>
      </c>
      <c r="T1154" t="s">
        <v>19911</v>
      </c>
    </row>
    <row r="1155" spans="2:20" x14ac:dyDescent="0.25">
      <c r="B1155" t="s">
        <v>2709</v>
      </c>
      <c r="C1155">
        <v>20039000</v>
      </c>
      <c r="D1155">
        <v>3</v>
      </c>
      <c r="E1155" t="s">
        <v>19447</v>
      </c>
      <c r="F1155">
        <v>18</v>
      </c>
      <c r="G1155">
        <v>5</v>
      </c>
      <c r="H1155">
        <v>7.6</v>
      </c>
      <c r="I1155">
        <v>1.65</v>
      </c>
      <c r="J1155">
        <v>14</v>
      </c>
      <c r="L1155" t="s">
        <v>2709</v>
      </c>
      <c r="M1155">
        <v>20039000</v>
      </c>
      <c r="N1155">
        <v>3</v>
      </c>
      <c r="O1155" t="s">
        <v>19447</v>
      </c>
      <c r="P1155" t="s">
        <v>19899</v>
      </c>
      <c r="Q1155" t="s">
        <v>19909</v>
      </c>
      <c r="R1155" t="s">
        <v>19905</v>
      </c>
      <c r="S1155" t="s">
        <v>19906</v>
      </c>
      <c r="T1155" t="s">
        <v>19911</v>
      </c>
    </row>
    <row r="1156" spans="2:20" x14ac:dyDescent="0.25">
      <c r="B1156" t="s">
        <v>2709</v>
      </c>
      <c r="C1156">
        <v>20041000</v>
      </c>
      <c r="E1156">
        <v>48.28</v>
      </c>
      <c r="F1156">
        <v>7</v>
      </c>
      <c r="G1156">
        <v>0</v>
      </c>
      <c r="H1156">
        <v>7.6</v>
      </c>
      <c r="I1156">
        <v>1.65</v>
      </c>
      <c r="J1156">
        <v>14</v>
      </c>
      <c r="L1156" t="s">
        <v>2709</v>
      </c>
      <c r="M1156">
        <v>20041000</v>
      </c>
      <c r="O1156" t="s">
        <v>19964</v>
      </c>
      <c r="P1156" t="s">
        <v>19908</v>
      </c>
      <c r="Q1156" t="s">
        <v>19900</v>
      </c>
      <c r="R1156" t="s">
        <v>19905</v>
      </c>
      <c r="S1156" t="s">
        <v>19906</v>
      </c>
      <c r="T1156" t="s">
        <v>19911</v>
      </c>
    </row>
    <row r="1157" spans="2:20" x14ac:dyDescent="0.25">
      <c r="B1157" t="s">
        <v>2709</v>
      </c>
      <c r="C1157">
        <v>20041000</v>
      </c>
      <c r="D1157">
        <v>1</v>
      </c>
      <c r="E1157" t="s">
        <v>19447</v>
      </c>
      <c r="F1157">
        <v>18</v>
      </c>
      <c r="G1157">
        <v>0</v>
      </c>
      <c r="H1157">
        <v>7.6</v>
      </c>
      <c r="I1157">
        <v>1.65</v>
      </c>
      <c r="J1157">
        <v>14</v>
      </c>
      <c r="L1157" t="s">
        <v>2709</v>
      </c>
      <c r="M1157">
        <v>20041000</v>
      </c>
      <c r="N1157">
        <v>1</v>
      </c>
      <c r="O1157" t="s">
        <v>19447</v>
      </c>
      <c r="P1157" t="s">
        <v>19899</v>
      </c>
      <c r="Q1157" t="s">
        <v>19900</v>
      </c>
      <c r="R1157" t="s">
        <v>19905</v>
      </c>
      <c r="S1157" t="s">
        <v>19906</v>
      </c>
      <c r="T1157" t="s">
        <v>19911</v>
      </c>
    </row>
    <row r="1158" spans="2:20" x14ac:dyDescent="0.25">
      <c r="B1158" t="s">
        <v>2709</v>
      </c>
      <c r="C1158">
        <v>20049000</v>
      </c>
      <c r="E1158">
        <v>48.28</v>
      </c>
      <c r="F1158">
        <v>7</v>
      </c>
      <c r="G1158">
        <v>0</v>
      </c>
      <c r="H1158">
        <v>7.6</v>
      </c>
      <c r="I1158">
        <v>1.65</v>
      </c>
      <c r="J1158">
        <v>14</v>
      </c>
      <c r="L1158" t="s">
        <v>2709</v>
      </c>
      <c r="M1158">
        <v>20049000</v>
      </c>
      <c r="O1158" t="s">
        <v>19964</v>
      </c>
      <c r="P1158" t="s">
        <v>19908</v>
      </c>
      <c r="Q1158" t="s">
        <v>19900</v>
      </c>
      <c r="R1158" t="s">
        <v>19905</v>
      </c>
      <c r="S1158" t="s">
        <v>19906</v>
      </c>
      <c r="T1158" t="s">
        <v>19911</v>
      </c>
    </row>
    <row r="1159" spans="2:20" x14ac:dyDescent="0.25">
      <c r="B1159" t="s">
        <v>2709</v>
      </c>
      <c r="C1159">
        <v>20049000</v>
      </c>
      <c r="D1159">
        <v>1</v>
      </c>
      <c r="E1159" t="s">
        <v>19447</v>
      </c>
      <c r="F1159">
        <v>18</v>
      </c>
      <c r="G1159">
        <v>0</v>
      </c>
      <c r="H1159">
        <v>7.6</v>
      </c>
      <c r="I1159">
        <v>1.65</v>
      </c>
      <c r="J1159">
        <v>14</v>
      </c>
      <c r="L1159" t="s">
        <v>2709</v>
      </c>
      <c r="M1159">
        <v>20049000</v>
      </c>
      <c r="N1159">
        <v>1</v>
      </c>
      <c r="O1159" t="s">
        <v>19447</v>
      </c>
      <c r="P1159" t="s">
        <v>19899</v>
      </c>
      <c r="Q1159" t="s">
        <v>19900</v>
      </c>
      <c r="R1159" t="s">
        <v>19905</v>
      </c>
      <c r="S1159" t="s">
        <v>19906</v>
      </c>
      <c r="T1159" t="s">
        <v>19911</v>
      </c>
    </row>
    <row r="1160" spans="2:20" x14ac:dyDescent="0.25">
      <c r="B1160" t="s">
        <v>2709</v>
      </c>
      <c r="C1160">
        <v>20051000</v>
      </c>
      <c r="E1160">
        <v>51.62</v>
      </c>
      <c r="F1160">
        <v>7</v>
      </c>
      <c r="G1160">
        <v>0</v>
      </c>
      <c r="H1160">
        <v>7.6</v>
      </c>
      <c r="I1160">
        <v>1.65</v>
      </c>
      <c r="J1160">
        <v>14</v>
      </c>
      <c r="L1160" t="s">
        <v>2709</v>
      </c>
      <c r="M1160">
        <v>20051000</v>
      </c>
      <c r="O1160" t="s">
        <v>19965</v>
      </c>
      <c r="P1160" t="s">
        <v>19908</v>
      </c>
      <c r="Q1160" t="s">
        <v>19900</v>
      </c>
      <c r="R1160" t="s">
        <v>19905</v>
      </c>
      <c r="S1160" t="s">
        <v>19906</v>
      </c>
      <c r="T1160" t="s">
        <v>19911</v>
      </c>
    </row>
    <row r="1161" spans="2:20" x14ac:dyDescent="0.25">
      <c r="B1161" t="s">
        <v>2709</v>
      </c>
      <c r="C1161">
        <v>20052000</v>
      </c>
      <c r="E1161">
        <v>51.62</v>
      </c>
      <c r="F1161">
        <v>7</v>
      </c>
      <c r="G1161">
        <v>0</v>
      </c>
      <c r="H1161">
        <v>7.6</v>
      </c>
      <c r="I1161">
        <v>1.65</v>
      </c>
      <c r="J1161">
        <v>14</v>
      </c>
      <c r="L1161" t="s">
        <v>2709</v>
      </c>
      <c r="M1161">
        <v>20052000</v>
      </c>
      <c r="O1161" t="s">
        <v>19965</v>
      </c>
      <c r="P1161" t="s">
        <v>19908</v>
      </c>
      <c r="Q1161" t="s">
        <v>19900</v>
      </c>
      <c r="R1161" t="s">
        <v>19905</v>
      </c>
      <c r="S1161" t="s">
        <v>19906</v>
      </c>
      <c r="T1161" t="s">
        <v>19911</v>
      </c>
    </row>
    <row r="1162" spans="2:20" x14ac:dyDescent="0.25">
      <c r="B1162" t="s">
        <v>2709</v>
      </c>
      <c r="C1162">
        <v>20054000</v>
      </c>
      <c r="E1162">
        <v>51.62</v>
      </c>
      <c r="F1162">
        <v>7</v>
      </c>
      <c r="G1162">
        <v>0</v>
      </c>
      <c r="H1162">
        <v>7.6</v>
      </c>
      <c r="I1162">
        <v>1.65</v>
      </c>
      <c r="J1162">
        <v>14</v>
      </c>
      <c r="L1162" t="s">
        <v>2709</v>
      </c>
      <c r="M1162">
        <v>20054000</v>
      </c>
      <c r="O1162" t="s">
        <v>19965</v>
      </c>
      <c r="P1162" t="s">
        <v>19908</v>
      </c>
      <c r="Q1162" t="s">
        <v>19900</v>
      </c>
      <c r="R1162" t="s">
        <v>19905</v>
      </c>
      <c r="S1162" t="s">
        <v>19906</v>
      </c>
      <c r="T1162" t="s">
        <v>19911</v>
      </c>
    </row>
    <row r="1163" spans="2:20" x14ac:dyDescent="0.25">
      <c r="B1163" t="s">
        <v>2709</v>
      </c>
      <c r="C1163">
        <v>20055100</v>
      </c>
      <c r="E1163">
        <v>51.62</v>
      </c>
      <c r="F1163">
        <v>7</v>
      </c>
      <c r="G1163">
        <v>0</v>
      </c>
      <c r="H1163">
        <v>7.6</v>
      </c>
      <c r="I1163">
        <v>1.65</v>
      </c>
      <c r="J1163">
        <v>14</v>
      </c>
      <c r="L1163" t="s">
        <v>2709</v>
      </c>
      <c r="M1163">
        <v>20055100</v>
      </c>
      <c r="O1163" t="s">
        <v>19965</v>
      </c>
      <c r="P1163" t="s">
        <v>19908</v>
      </c>
      <c r="Q1163" t="s">
        <v>19900</v>
      </c>
      <c r="R1163" t="s">
        <v>19905</v>
      </c>
      <c r="S1163" t="s">
        <v>19906</v>
      </c>
      <c r="T1163" t="s">
        <v>19911</v>
      </c>
    </row>
    <row r="1164" spans="2:20" x14ac:dyDescent="0.25">
      <c r="B1164" t="s">
        <v>2709</v>
      </c>
      <c r="C1164">
        <v>20055900</v>
      </c>
      <c r="E1164">
        <v>51.62</v>
      </c>
      <c r="F1164">
        <v>7</v>
      </c>
      <c r="G1164">
        <v>0</v>
      </c>
      <c r="H1164">
        <v>7.6</v>
      </c>
      <c r="I1164">
        <v>1.65</v>
      </c>
      <c r="J1164">
        <v>14</v>
      </c>
      <c r="L1164" t="s">
        <v>2709</v>
      </c>
      <c r="M1164">
        <v>20055900</v>
      </c>
      <c r="O1164" t="s">
        <v>19965</v>
      </c>
      <c r="P1164" t="s">
        <v>19908</v>
      </c>
      <c r="Q1164" t="s">
        <v>19900</v>
      </c>
      <c r="R1164" t="s">
        <v>19905</v>
      </c>
      <c r="S1164" t="s">
        <v>19906</v>
      </c>
      <c r="T1164" t="s">
        <v>19911</v>
      </c>
    </row>
    <row r="1165" spans="2:20" x14ac:dyDescent="0.25">
      <c r="B1165" t="s">
        <v>2709</v>
      </c>
      <c r="C1165">
        <v>20056000</v>
      </c>
      <c r="E1165">
        <v>51.62</v>
      </c>
      <c r="F1165">
        <v>7</v>
      </c>
      <c r="G1165">
        <v>0</v>
      </c>
      <c r="H1165">
        <v>7.6</v>
      </c>
      <c r="I1165">
        <v>1.65</v>
      </c>
      <c r="J1165">
        <v>14</v>
      </c>
      <c r="L1165" t="s">
        <v>2709</v>
      </c>
      <c r="M1165">
        <v>20056000</v>
      </c>
      <c r="O1165" t="s">
        <v>19965</v>
      </c>
      <c r="P1165" t="s">
        <v>19908</v>
      </c>
      <c r="Q1165" t="s">
        <v>19900</v>
      </c>
      <c r="R1165" t="s">
        <v>19905</v>
      </c>
      <c r="S1165" t="s">
        <v>19906</v>
      </c>
      <c r="T1165" t="s">
        <v>19911</v>
      </c>
    </row>
    <row r="1166" spans="2:20" x14ac:dyDescent="0.25">
      <c r="B1166" t="s">
        <v>2709</v>
      </c>
      <c r="C1166">
        <v>20057000</v>
      </c>
      <c r="E1166">
        <v>51.62</v>
      </c>
      <c r="F1166">
        <v>7</v>
      </c>
      <c r="G1166">
        <v>0</v>
      </c>
      <c r="H1166">
        <v>7.6</v>
      </c>
      <c r="I1166">
        <v>1.65</v>
      </c>
      <c r="J1166">
        <v>14</v>
      </c>
      <c r="L1166" t="s">
        <v>2709</v>
      </c>
      <c r="M1166">
        <v>20057000</v>
      </c>
      <c r="O1166" t="s">
        <v>19965</v>
      </c>
      <c r="P1166" t="s">
        <v>19908</v>
      </c>
      <c r="Q1166" t="s">
        <v>19900</v>
      </c>
      <c r="R1166" t="s">
        <v>19905</v>
      </c>
      <c r="S1166" t="s">
        <v>19906</v>
      </c>
      <c r="T1166" t="s">
        <v>19911</v>
      </c>
    </row>
    <row r="1167" spans="2:20" x14ac:dyDescent="0.25">
      <c r="B1167" t="s">
        <v>2709</v>
      </c>
      <c r="C1167">
        <v>20058000</v>
      </c>
      <c r="E1167">
        <v>51.62</v>
      </c>
      <c r="F1167">
        <v>7</v>
      </c>
      <c r="G1167">
        <v>0</v>
      </c>
      <c r="H1167">
        <v>7.6</v>
      </c>
      <c r="I1167">
        <v>1.65</v>
      </c>
      <c r="J1167">
        <v>14</v>
      </c>
      <c r="L1167" t="s">
        <v>2709</v>
      </c>
      <c r="M1167">
        <v>20058000</v>
      </c>
      <c r="O1167" t="s">
        <v>19965</v>
      </c>
      <c r="P1167" t="s">
        <v>19908</v>
      </c>
      <c r="Q1167" t="s">
        <v>19900</v>
      </c>
      <c r="R1167" t="s">
        <v>19905</v>
      </c>
      <c r="S1167" t="s">
        <v>19906</v>
      </c>
      <c r="T1167" t="s">
        <v>19911</v>
      </c>
    </row>
    <row r="1168" spans="2:20" x14ac:dyDescent="0.25">
      <c r="B1168" t="s">
        <v>2709</v>
      </c>
      <c r="C1168">
        <v>20059100</v>
      </c>
      <c r="E1168">
        <v>51.62</v>
      </c>
      <c r="F1168">
        <v>7</v>
      </c>
      <c r="G1168">
        <v>0</v>
      </c>
      <c r="H1168">
        <v>7.6</v>
      </c>
      <c r="I1168">
        <v>1.65</v>
      </c>
      <c r="J1168">
        <v>14</v>
      </c>
      <c r="L1168" t="s">
        <v>2709</v>
      </c>
      <c r="M1168">
        <v>20059100</v>
      </c>
      <c r="O1168" t="s">
        <v>19965</v>
      </c>
      <c r="P1168" t="s">
        <v>19908</v>
      </c>
      <c r="Q1168" t="s">
        <v>19900</v>
      </c>
      <c r="R1168" t="s">
        <v>19905</v>
      </c>
      <c r="S1168" t="s">
        <v>19906</v>
      </c>
      <c r="T1168" t="s">
        <v>19911</v>
      </c>
    </row>
    <row r="1169" spans="2:20" x14ac:dyDescent="0.25">
      <c r="B1169" t="s">
        <v>2709</v>
      </c>
      <c r="C1169">
        <v>20059900</v>
      </c>
      <c r="E1169">
        <v>51.62</v>
      </c>
      <c r="F1169">
        <v>7</v>
      </c>
      <c r="G1169">
        <v>0</v>
      </c>
      <c r="H1169">
        <v>7.6</v>
      </c>
      <c r="I1169">
        <v>1.65</v>
      </c>
      <c r="J1169">
        <v>14</v>
      </c>
      <c r="L1169" t="s">
        <v>2709</v>
      </c>
      <c r="M1169">
        <v>20059900</v>
      </c>
      <c r="O1169" t="s">
        <v>19965</v>
      </c>
      <c r="P1169" t="s">
        <v>19908</v>
      </c>
      <c r="Q1169" t="s">
        <v>19900</v>
      </c>
      <c r="R1169" t="s">
        <v>19905</v>
      </c>
      <c r="S1169" t="s">
        <v>19906</v>
      </c>
      <c r="T1169" t="s">
        <v>19911</v>
      </c>
    </row>
    <row r="1170" spans="2:20" x14ac:dyDescent="0.25">
      <c r="B1170" t="s">
        <v>2709</v>
      </c>
      <c r="C1170">
        <v>20060000</v>
      </c>
      <c r="E1170">
        <v>42.33</v>
      </c>
      <c r="F1170">
        <v>7</v>
      </c>
      <c r="G1170">
        <v>0</v>
      </c>
      <c r="H1170">
        <v>7.6</v>
      </c>
      <c r="I1170">
        <v>1.65</v>
      </c>
      <c r="J1170">
        <v>14</v>
      </c>
      <c r="L1170" t="s">
        <v>2709</v>
      </c>
      <c r="M1170">
        <v>20060000</v>
      </c>
      <c r="O1170" t="s">
        <v>19920</v>
      </c>
      <c r="P1170" t="s">
        <v>19908</v>
      </c>
      <c r="Q1170" t="s">
        <v>19900</v>
      </c>
      <c r="R1170" t="s">
        <v>19905</v>
      </c>
      <c r="S1170" t="s">
        <v>19906</v>
      </c>
      <c r="T1170" t="s">
        <v>19911</v>
      </c>
    </row>
    <row r="1171" spans="2:20" x14ac:dyDescent="0.25">
      <c r="B1171" t="s">
        <v>2709</v>
      </c>
      <c r="C1171">
        <v>20071000</v>
      </c>
      <c r="E1171">
        <v>64.41</v>
      </c>
      <c r="F1171">
        <v>7</v>
      </c>
      <c r="G1171">
        <v>0</v>
      </c>
      <c r="H1171">
        <v>7.6</v>
      </c>
      <c r="I1171">
        <v>1.65</v>
      </c>
      <c r="J1171">
        <v>14</v>
      </c>
      <c r="L1171" t="s">
        <v>2709</v>
      </c>
      <c r="M1171">
        <v>20071000</v>
      </c>
      <c r="O1171" t="s">
        <v>19966</v>
      </c>
      <c r="P1171" t="s">
        <v>19908</v>
      </c>
      <c r="Q1171" t="s">
        <v>19900</v>
      </c>
      <c r="R1171" t="s">
        <v>19905</v>
      </c>
      <c r="S1171" t="s">
        <v>19906</v>
      </c>
      <c r="T1171" t="s">
        <v>19911</v>
      </c>
    </row>
    <row r="1172" spans="2:20" x14ac:dyDescent="0.25">
      <c r="B1172" t="s">
        <v>2709</v>
      </c>
      <c r="C1172">
        <v>20079100</v>
      </c>
      <c r="E1172">
        <v>64.41</v>
      </c>
      <c r="F1172">
        <v>7</v>
      </c>
      <c r="G1172">
        <v>0</v>
      </c>
      <c r="H1172">
        <v>7.6</v>
      </c>
      <c r="I1172">
        <v>1.65</v>
      </c>
      <c r="J1172">
        <v>14</v>
      </c>
      <c r="L1172" t="s">
        <v>2709</v>
      </c>
      <c r="M1172">
        <v>20079100</v>
      </c>
      <c r="O1172" t="s">
        <v>19966</v>
      </c>
      <c r="P1172" t="s">
        <v>19908</v>
      </c>
      <c r="Q1172" t="s">
        <v>19900</v>
      </c>
      <c r="R1172" t="s">
        <v>19905</v>
      </c>
      <c r="S1172" t="s">
        <v>19906</v>
      </c>
      <c r="T1172" t="s">
        <v>19911</v>
      </c>
    </row>
    <row r="1173" spans="2:20" x14ac:dyDescent="0.25">
      <c r="B1173" t="s">
        <v>2709</v>
      </c>
      <c r="C1173">
        <v>20079910</v>
      </c>
      <c r="E1173">
        <v>64.41</v>
      </c>
      <c r="F1173">
        <v>7</v>
      </c>
      <c r="G1173">
        <v>0</v>
      </c>
      <c r="H1173">
        <v>7.6</v>
      </c>
      <c r="I1173">
        <v>1.65</v>
      </c>
      <c r="J1173">
        <v>14</v>
      </c>
      <c r="L1173" t="s">
        <v>2709</v>
      </c>
      <c r="M1173">
        <v>20079910</v>
      </c>
      <c r="O1173" t="s">
        <v>19966</v>
      </c>
      <c r="P1173" t="s">
        <v>19908</v>
      </c>
      <c r="Q1173" t="s">
        <v>19900</v>
      </c>
      <c r="R1173" t="s">
        <v>19905</v>
      </c>
      <c r="S1173" t="s">
        <v>19906</v>
      </c>
      <c r="T1173" t="s">
        <v>19911</v>
      </c>
    </row>
    <row r="1174" spans="2:20" x14ac:dyDescent="0.25">
      <c r="B1174" t="s">
        <v>2709</v>
      </c>
      <c r="C1174">
        <v>20079990</v>
      </c>
      <c r="E1174">
        <v>64.41</v>
      </c>
      <c r="F1174">
        <v>7</v>
      </c>
      <c r="G1174">
        <v>0</v>
      </c>
      <c r="H1174">
        <v>7.6</v>
      </c>
      <c r="I1174">
        <v>1.65</v>
      </c>
      <c r="J1174">
        <v>14</v>
      </c>
      <c r="L1174" t="s">
        <v>2709</v>
      </c>
      <c r="M1174">
        <v>20079990</v>
      </c>
      <c r="O1174" t="s">
        <v>19966</v>
      </c>
      <c r="P1174" t="s">
        <v>19908</v>
      </c>
      <c r="Q1174" t="s">
        <v>19900</v>
      </c>
      <c r="R1174" t="s">
        <v>19905</v>
      </c>
      <c r="S1174" t="s">
        <v>19906</v>
      </c>
      <c r="T1174" t="s">
        <v>19911</v>
      </c>
    </row>
    <row r="1175" spans="2:20" x14ac:dyDescent="0.25">
      <c r="B1175" t="s">
        <v>2709</v>
      </c>
      <c r="C1175">
        <v>20081100</v>
      </c>
      <c r="E1175">
        <v>55.61</v>
      </c>
      <c r="F1175">
        <v>7</v>
      </c>
      <c r="G1175">
        <v>0</v>
      </c>
      <c r="H1175">
        <v>7.6</v>
      </c>
      <c r="I1175">
        <v>1.65</v>
      </c>
      <c r="J1175">
        <v>14</v>
      </c>
      <c r="L1175" t="s">
        <v>2709</v>
      </c>
      <c r="M1175">
        <v>20081100</v>
      </c>
      <c r="O1175" t="s">
        <v>19967</v>
      </c>
      <c r="P1175" t="s">
        <v>19908</v>
      </c>
      <c r="Q1175" t="s">
        <v>19900</v>
      </c>
      <c r="R1175" t="s">
        <v>19905</v>
      </c>
      <c r="S1175" t="s">
        <v>19906</v>
      </c>
      <c r="T1175" t="s">
        <v>19911</v>
      </c>
    </row>
    <row r="1176" spans="2:20" x14ac:dyDescent="0.25">
      <c r="B1176" t="s">
        <v>2709</v>
      </c>
      <c r="C1176">
        <v>20081900</v>
      </c>
      <c r="E1176">
        <v>55.61</v>
      </c>
      <c r="F1176">
        <v>7</v>
      </c>
      <c r="G1176">
        <v>0</v>
      </c>
      <c r="H1176">
        <v>7.6</v>
      </c>
      <c r="I1176">
        <v>1.65</v>
      </c>
      <c r="J1176">
        <v>14</v>
      </c>
      <c r="L1176" t="s">
        <v>2709</v>
      </c>
      <c r="M1176">
        <v>20081900</v>
      </c>
      <c r="O1176" t="s">
        <v>19967</v>
      </c>
      <c r="P1176" t="s">
        <v>19908</v>
      </c>
      <c r="Q1176" t="s">
        <v>19900</v>
      </c>
      <c r="R1176" t="s">
        <v>19905</v>
      </c>
      <c r="S1176" t="s">
        <v>19906</v>
      </c>
      <c r="T1176" t="s">
        <v>19911</v>
      </c>
    </row>
    <row r="1177" spans="2:20" x14ac:dyDescent="0.25">
      <c r="B1177" t="s">
        <v>2709</v>
      </c>
      <c r="C1177">
        <v>20081900</v>
      </c>
      <c r="D1177">
        <v>1</v>
      </c>
      <c r="E1177" t="s">
        <v>19447</v>
      </c>
      <c r="F1177">
        <v>18</v>
      </c>
      <c r="G1177">
        <v>0</v>
      </c>
      <c r="H1177">
        <v>7.6</v>
      </c>
      <c r="I1177">
        <v>1.65</v>
      </c>
      <c r="J1177">
        <v>14</v>
      </c>
      <c r="L1177" t="s">
        <v>2709</v>
      </c>
      <c r="M1177">
        <v>20081900</v>
      </c>
      <c r="N1177">
        <v>1</v>
      </c>
      <c r="O1177" t="s">
        <v>19447</v>
      </c>
      <c r="P1177" t="s">
        <v>19899</v>
      </c>
      <c r="Q1177" t="s">
        <v>19900</v>
      </c>
      <c r="R1177" t="s">
        <v>19905</v>
      </c>
      <c r="S1177" t="s">
        <v>19906</v>
      </c>
      <c r="T1177" t="s">
        <v>19911</v>
      </c>
    </row>
    <row r="1178" spans="2:20" x14ac:dyDescent="0.25">
      <c r="B1178" t="s">
        <v>2709</v>
      </c>
      <c r="C1178">
        <v>20082010</v>
      </c>
      <c r="E1178">
        <v>49.58</v>
      </c>
      <c r="F1178">
        <v>7</v>
      </c>
      <c r="G1178">
        <v>0</v>
      </c>
      <c r="H1178">
        <v>7.6</v>
      </c>
      <c r="I1178">
        <v>1.65</v>
      </c>
      <c r="J1178">
        <v>14</v>
      </c>
      <c r="L1178" t="s">
        <v>2709</v>
      </c>
      <c r="M1178">
        <v>20082010</v>
      </c>
      <c r="O1178" t="s">
        <v>19968</v>
      </c>
      <c r="P1178" t="s">
        <v>19908</v>
      </c>
      <c r="Q1178" t="s">
        <v>19900</v>
      </c>
      <c r="R1178" t="s">
        <v>19905</v>
      </c>
      <c r="S1178" t="s">
        <v>19906</v>
      </c>
      <c r="T1178" t="s">
        <v>19911</v>
      </c>
    </row>
    <row r="1179" spans="2:20" x14ac:dyDescent="0.25">
      <c r="B1179" t="s">
        <v>2709</v>
      </c>
      <c r="C1179">
        <v>20082090</v>
      </c>
      <c r="E1179">
        <v>49.58</v>
      </c>
      <c r="F1179">
        <v>7</v>
      </c>
      <c r="G1179">
        <v>0</v>
      </c>
      <c r="H1179">
        <v>7.6</v>
      </c>
      <c r="I1179">
        <v>1.65</v>
      </c>
      <c r="J1179">
        <v>14</v>
      </c>
      <c r="L1179" t="s">
        <v>2709</v>
      </c>
      <c r="M1179">
        <v>20082090</v>
      </c>
      <c r="O1179" t="s">
        <v>19968</v>
      </c>
      <c r="P1179" t="s">
        <v>19908</v>
      </c>
      <c r="Q1179" t="s">
        <v>19900</v>
      </c>
      <c r="R1179" t="s">
        <v>19905</v>
      </c>
      <c r="S1179" t="s">
        <v>19906</v>
      </c>
      <c r="T1179" t="s">
        <v>19911</v>
      </c>
    </row>
    <row r="1180" spans="2:20" x14ac:dyDescent="0.25">
      <c r="B1180" t="s">
        <v>2709</v>
      </c>
      <c r="C1180">
        <v>20082090</v>
      </c>
      <c r="D1180">
        <v>1</v>
      </c>
      <c r="E1180" t="s">
        <v>19447</v>
      </c>
      <c r="F1180">
        <v>18</v>
      </c>
      <c r="G1180">
        <v>0</v>
      </c>
      <c r="H1180">
        <v>7.6</v>
      </c>
      <c r="I1180">
        <v>1.65</v>
      </c>
      <c r="J1180">
        <v>14</v>
      </c>
      <c r="L1180" t="s">
        <v>2709</v>
      </c>
      <c r="M1180">
        <v>20082090</v>
      </c>
      <c r="N1180">
        <v>1</v>
      </c>
      <c r="O1180" t="s">
        <v>19447</v>
      </c>
      <c r="P1180" t="s">
        <v>19899</v>
      </c>
      <c r="Q1180" t="s">
        <v>19900</v>
      </c>
      <c r="R1180" t="s">
        <v>19905</v>
      </c>
      <c r="S1180" t="s">
        <v>19906</v>
      </c>
      <c r="T1180" t="s">
        <v>19911</v>
      </c>
    </row>
    <row r="1181" spans="2:20" x14ac:dyDescent="0.25">
      <c r="B1181" t="s">
        <v>2709</v>
      </c>
      <c r="C1181">
        <v>20083000</v>
      </c>
      <c r="E1181">
        <v>49.58</v>
      </c>
      <c r="F1181">
        <v>7</v>
      </c>
      <c r="G1181">
        <v>0</v>
      </c>
      <c r="H1181">
        <v>7.6</v>
      </c>
      <c r="I1181">
        <v>1.65</v>
      </c>
      <c r="J1181">
        <v>14</v>
      </c>
      <c r="L1181" t="s">
        <v>2709</v>
      </c>
      <c r="M1181">
        <v>20083000</v>
      </c>
      <c r="O1181" t="s">
        <v>19968</v>
      </c>
      <c r="P1181" t="s">
        <v>19908</v>
      </c>
      <c r="Q1181" t="s">
        <v>19900</v>
      </c>
      <c r="R1181" t="s">
        <v>19905</v>
      </c>
      <c r="S1181" t="s">
        <v>19906</v>
      </c>
      <c r="T1181" t="s">
        <v>19911</v>
      </c>
    </row>
    <row r="1182" spans="2:20" x14ac:dyDescent="0.25">
      <c r="B1182" t="s">
        <v>2709</v>
      </c>
      <c r="C1182">
        <v>20083000</v>
      </c>
      <c r="D1182">
        <v>1</v>
      </c>
      <c r="E1182" t="s">
        <v>19447</v>
      </c>
      <c r="F1182">
        <v>18</v>
      </c>
      <c r="G1182">
        <v>0</v>
      </c>
      <c r="H1182">
        <v>7.6</v>
      </c>
      <c r="I1182">
        <v>1.65</v>
      </c>
      <c r="J1182">
        <v>14</v>
      </c>
      <c r="L1182" t="s">
        <v>2709</v>
      </c>
      <c r="M1182">
        <v>20083000</v>
      </c>
      <c r="N1182">
        <v>1</v>
      </c>
      <c r="O1182" t="s">
        <v>19447</v>
      </c>
      <c r="P1182" t="s">
        <v>19899</v>
      </c>
      <c r="Q1182" t="s">
        <v>19900</v>
      </c>
      <c r="R1182" t="s">
        <v>19905</v>
      </c>
      <c r="S1182" t="s">
        <v>19906</v>
      </c>
      <c r="T1182" t="s">
        <v>19911</v>
      </c>
    </row>
    <row r="1183" spans="2:20" x14ac:dyDescent="0.25">
      <c r="B1183" t="s">
        <v>2709</v>
      </c>
      <c r="C1183">
        <v>20084010</v>
      </c>
      <c r="E1183">
        <v>49.58</v>
      </c>
      <c r="F1183">
        <v>7</v>
      </c>
      <c r="G1183">
        <v>0</v>
      </c>
      <c r="H1183">
        <v>7.6</v>
      </c>
      <c r="I1183">
        <v>1.65</v>
      </c>
      <c r="J1183">
        <v>14</v>
      </c>
      <c r="L1183" t="s">
        <v>2709</v>
      </c>
      <c r="M1183">
        <v>20084010</v>
      </c>
      <c r="O1183" t="s">
        <v>19968</v>
      </c>
      <c r="P1183" t="s">
        <v>19908</v>
      </c>
      <c r="Q1183" t="s">
        <v>19900</v>
      </c>
      <c r="R1183" t="s">
        <v>19905</v>
      </c>
      <c r="S1183" t="s">
        <v>19906</v>
      </c>
      <c r="T1183" t="s">
        <v>19911</v>
      </c>
    </row>
    <row r="1184" spans="2:20" x14ac:dyDescent="0.25">
      <c r="B1184" t="s">
        <v>2709</v>
      </c>
      <c r="C1184">
        <v>20084090</v>
      </c>
      <c r="E1184">
        <v>49.58</v>
      </c>
      <c r="F1184">
        <v>7</v>
      </c>
      <c r="G1184">
        <v>0</v>
      </c>
      <c r="H1184">
        <v>7.6</v>
      </c>
      <c r="I1184">
        <v>1.65</v>
      </c>
      <c r="J1184">
        <v>14</v>
      </c>
      <c r="L1184" t="s">
        <v>2709</v>
      </c>
      <c r="M1184">
        <v>20084090</v>
      </c>
      <c r="O1184" t="s">
        <v>19968</v>
      </c>
      <c r="P1184" t="s">
        <v>19908</v>
      </c>
      <c r="Q1184" t="s">
        <v>19900</v>
      </c>
      <c r="R1184" t="s">
        <v>19905</v>
      </c>
      <c r="S1184" t="s">
        <v>19906</v>
      </c>
      <c r="T1184" t="s">
        <v>19911</v>
      </c>
    </row>
    <row r="1185" spans="2:20" x14ac:dyDescent="0.25">
      <c r="B1185" t="s">
        <v>2709</v>
      </c>
      <c r="C1185">
        <v>20084090</v>
      </c>
      <c r="D1185">
        <v>1</v>
      </c>
      <c r="E1185" t="s">
        <v>19447</v>
      </c>
      <c r="F1185">
        <v>18</v>
      </c>
      <c r="G1185">
        <v>0</v>
      </c>
      <c r="H1185">
        <v>7.6</v>
      </c>
      <c r="I1185">
        <v>1.65</v>
      </c>
      <c r="J1185">
        <v>14</v>
      </c>
      <c r="L1185" t="s">
        <v>2709</v>
      </c>
      <c r="M1185">
        <v>20084090</v>
      </c>
      <c r="N1185">
        <v>1</v>
      </c>
      <c r="O1185" t="s">
        <v>19447</v>
      </c>
      <c r="P1185" t="s">
        <v>19899</v>
      </c>
      <c r="Q1185" t="s">
        <v>19900</v>
      </c>
      <c r="R1185" t="s">
        <v>19905</v>
      </c>
      <c r="S1185" t="s">
        <v>19906</v>
      </c>
      <c r="T1185" t="s">
        <v>19911</v>
      </c>
    </row>
    <row r="1186" spans="2:20" x14ac:dyDescent="0.25">
      <c r="B1186" t="s">
        <v>2709</v>
      </c>
      <c r="C1186">
        <v>20085000</v>
      </c>
      <c r="E1186">
        <v>49.58</v>
      </c>
      <c r="F1186">
        <v>7</v>
      </c>
      <c r="G1186">
        <v>0</v>
      </c>
      <c r="H1186">
        <v>7.6</v>
      </c>
      <c r="I1186">
        <v>1.65</v>
      </c>
      <c r="J1186">
        <v>14</v>
      </c>
      <c r="L1186" t="s">
        <v>2709</v>
      </c>
      <c r="M1186">
        <v>20085000</v>
      </c>
      <c r="O1186" t="s">
        <v>19968</v>
      </c>
      <c r="P1186" t="s">
        <v>19908</v>
      </c>
      <c r="Q1186" t="s">
        <v>19900</v>
      </c>
      <c r="R1186" t="s">
        <v>19905</v>
      </c>
      <c r="S1186" t="s">
        <v>19906</v>
      </c>
      <c r="T1186" t="s">
        <v>19911</v>
      </c>
    </row>
    <row r="1187" spans="2:20" x14ac:dyDescent="0.25">
      <c r="B1187" t="s">
        <v>2709</v>
      </c>
      <c r="C1187">
        <v>20085000</v>
      </c>
      <c r="D1187">
        <v>1</v>
      </c>
      <c r="E1187" t="s">
        <v>19447</v>
      </c>
      <c r="F1187">
        <v>18</v>
      </c>
      <c r="G1187">
        <v>0</v>
      </c>
      <c r="H1187">
        <v>7.6</v>
      </c>
      <c r="I1187">
        <v>1.65</v>
      </c>
      <c r="J1187">
        <v>14</v>
      </c>
      <c r="L1187" t="s">
        <v>2709</v>
      </c>
      <c r="M1187">
        <v>20085000</v>
      </c>
      <c r="N1187">
        <v>1</v>
      </c>
      <c r="O1187" t="s">
        <v>19447</v>
      </c>
      <c r="P1187" t="s">
        <v>19899</v>
      </c>
      <c r="Q1187" t="s">
        <v>19900</v>
      </c>
      <c r="R1187" t="s">
        <v>19905</v>
      </c>
      <c r="S1187" t="s">
        <v>19906</v>
      </c>
      <c r="T1187" t="s">
        <v>19911</v>
      </c>
    </row>
    <row r="1188" spans="2:20" x14ac:dyDescent="0.25">
      <c r="B1188" t="s">
        <v>2709</v>
      </c>
      <c r="C1188">
        <v>20086010</v>
      </c>
      <c r="E1188">
        <v>49.58</v>
      </c>
      <c r="F1188">
        <v>7</v>
      </c>
      <c r="G1188">
        <v>0</v>
      </c>
      <c r="H1188">
        <v>7.6</v>
      </c>
      <c r="I1188">
        <v>1.65</v>
      </c>
      <c r="J1188">
        <v>14</v>
      </c>
      <c r="L1188" t="s">
        <v>2709</v>
      </c>
      <c r="M1188">
        <v>20086010</v>
      </c>
      <c r="O1188" t="s">
        <v>19968</v>
      </c>
      <c r="P1188" t="s">
        <v>19908</v>
      </c>
      <c r="Q1188" t="s">
        <v>19900</v>
      </c>
      <c r="R1188" t="s">
        <v>19905</v>
      </c>
      <c r="S1188" t="s">
        <v>19906</v>
      </c>
      <c r="T1188" t="s">
        <v>19911</v>
      </c>
    </row>
    <row r="1189" spans="2:20" x14ac:dyDescent="0.25">
      <c r="B1189" t="s">
        <v>2709</v>
      </c>
      <c r="C1189">
        <v>20086090</v>
      </c>
      <c r="E1189">
        <v>49.58</v>
      </c>
      <c r="F1189">
        <v>7</v>
      </c>
      <c r="G1189">
        <v>0</v>
      </c>
      <c r="H1189">
        <v>7.6</v>
      </c>
      <c r="I1189">
        <v>1.65</v>
      </c>
      <c r="J1189">
        <v>14</v>
      </c>
      <c r="L1189" t="s">
        <v>2709</v>
      </c>
      <c r="M1189">
        <v>20086090</v>
      </c>
      <c r="O1189" t="s">
        <v>19968</v>
      </c>
      <c r="P1189" t="s">
        <v>19908</v>
      </c>
      <c r="Q1189" t="s">
        <v>19900</v>
      </c>
      <c r="R1189" t="s">
        <v>19905</v>
      </c>
      <c r="S1189" t="s">
        <v>19906</v>
      </c>
      <c r="T1189" t="s">
        <v>19911</v>
      </c>
    </row>
    <row r="1190" spans="2:20" x14ac:dyDescent="0.25">
      <c r="B1190" t="s">
        <v>2709</v>
      </c>
      <c r="C1190">
        <v>20086090</v>
      </c>
      <c r="D1190">
        <v>1</v>
      </c>
      <c r="E1190" t="s">
        <v>19447</v>
      </c>
      <c r="F1190">
        <v>18</v>
      </c>
      <c r="G1190">
        <v>0</v>
      </c>
      <c r="H1190">
        <v>7.6</v>
      </c>
      <c r="I1190">
        <v>1.65</v>
      </c>
      <c r="J1190">
        <v>14</v>
      </c>
      <c r="L1190" t="s">
        <v>2709</v>
      </c>
      <c r="M1190">
        <v>20086090</v>
      </c>
      <c r="N1190">
        <v>1</v>
      </c>
      <c r="O1190" t="s">
        <v>19447</v>
      </c>
      <c r="P1190" t="s">
        <v>19899</v>
      </c>
      <c r="Q1190" t="s">
        <v>19900</v>
      </c>
      <c r="R1190" t="s">
        <v>19905</v>
      </c>
      <c r="S1190" t="s">
        <v>19906</v>
      </c>
      <c r="T1190" t="s">
        <v>19911</v>
      </c>
    </row>
    <row r="1191" spans="2:20" x14ac:dyDescent="0.25">
      <c r="B1191" t="s">
        <v>2709</v>
      </c>
      <c r="C1191">
        <v>20087010</v>
      </c>
      <c r="E1191">
        <v>49.58</v>
      </c>
      <c r="F1191">
        <v>7</v>
      </c>
      <c r="G1191">
        <v>0</v>
      </c>
      <c r="H1191">
        <v>7.6</v>
      </c>
      <c r="I1191">
        <v>1.65</v>
      </c>
      <c r="J1191">
        <v>55</v>
      </c>
      <c r="L1191" t="s">
        <v>2709</v>
      </c>
      <c r="M1191">
        <v>20087010</v>
      </c>
      <c r="O1191" t="s">
        <v>19968</v>
      </c>
      <c r="P1191" t="s">
        <v>19908</v>
      </c>
      <c r="Q1191" t="s">
        <v>19900</v>
      </c>
      <c r="R1191" t="s">
        <v>19905</v>
      </c>
      <c r="S1191" t="s">
        <v>19906</v>
      </c>
      <c r="T1191" t="s">
        <v>19921</v>
      </c>
    </row>
    <row r="1192" spans="2:20" x14ac:dyDescent="0.25">
      <c r="B1192" t="s">
        <v>2709</v>
      </c>
      <c r="C1192">
        <v>20087020</v>
      </c>
      <c r="E1192">
        <v>49.58</v>
      </c>
      <c r="F1192">
        <v>7</v>
      </c>
      <c r="G1192">
        <v>0</v>
      </c>
      <c r="H1192">
        <v>7.6</v>
      </c>
      <c r="I1192">
        <v>1.65</v>
      </c>
      <c r="J1192">
        <v>35</v>
      </c>
      <c r="L1192" t="s">
        <v>2709</v>
      </c>
      <c r="M1192">
        <v>20087020</v>
      </c>
      <c r="O1192" t="s">
        <v>19968</v>
      </c>
      <c r="P1192" t="s">
        <v>19908</v>
      </c>
      <c r="Q1192" t="s">
        <v>19900</v>
      </c>
      <c r="R1192" t="s">
        <v>19905</v>
      </c>
      <c r="S1192" t="s">
        <v>19906</v>
      </c>
      <c r="T1192" t="s">
        <v>19919</v>
      </c>
    </row>
    <row r="1193" spans="2:20" x14ac:dyDescent="0.25">
      <c r="B1193" t="s">
        <v>2709</v>
      </c>
      <c r="C1193">
        <v>20087090</v>
      </c>
      <c r="E1193">
        <v>49.58</v>
      </c>
      <c r="F1193">
        <v>7</v>
      </c>
      <c r="G1193">
        <v>0</v>
      </c>
      <c r="H1193">
        <v>7.6</v>
      </c>
      <c r="I1193">
        <v>1.65</v>
      </c>
      <c r="J1193">
        <v>35</v>
      </c>
      <c r="L1193" t="s">
        <v>2709</v>
      </c>
      <c r="M1193">
        <v>20087090</v>
      </c>
      <c r="O1193" t="s">
        <v>19968</v>
      </c>
      <c r="P1193" t="s">
        <v>19908</v>
      </c>
      <c r="Q1193" t="s">
        <v>19900</v>
      </c>
      <c r="R1193" t="s">
        <v>19905</v>
      </c>
      <c r="S1193" t="s">
        <v>19906</v>
      </c>
      <c r="T1193" t="s">
        <v>19919</v>
      </c>
    </row>
    <row r="1194" spans="2:20" x14ac:dyDescent="0.25">
      <c r="B1194" t="s">
        <v>2709</v>
      </c>
      <c r="C1194">
        <v>20087090</v>
      </c>
      <c r="D1194">
        <v>1</v>
      </c>
      <c r="E1194" t="s">
        <v>19447</v>
      </c>
      <c r="F1194">
        <v>18</v>
      </c>
      <c r="G1194">
        <v>0</v>
      </c>
      <c r="H1194">
        <v>7.6</v>
      </c>
      <c r="I1194">
        <v>1.65</v>
      </c>
      <c r="J1194">
        <v>35</v>
      </c>
      <c r="L1194" t="s">
        <v>2709</v>
      </c>
      <c r="M1194">
        <v>20087090</v>
      </c>
      <c r="N1194">
        <v>1</v>
      </c>
      <c r="O1194" t="s">
        <v>19447</v>
      </c>
      <c r="P1194" t="s">
        <v>19899</v>
      </c>
      <c r="Q1194" t="s">
        <v>19900</v>
      </c>
      <c r="R1194" t="s">
        <v>19905</v>
      </c>
      <c r="S1194" t="s">
        <v>19906</v>
      </c>
      <c r="T1194" t="s">
        <v>19919</v>
      </c>
    </row>
    <row r="1195" spans="2:20" x14ac:dyDescent="0.25">
      <c r="B1195" t="s">
        <v>2709</v>
      </c>
      <c r="C1195">
        <v>20088000</v>
      </c>
      <c r="E1195">
        <v>49.58</v>
      </c>
      <c r="F1195">
        <v>7</v>
      </c>
      <c r="G1195">
        <v>0</v>
      </c>
      <c r="H1195">
        <v>7.6</v>
      </c>
      <c r="I1195">
        <v>1.65</v>
      </c>
      <c r="J1195">
        <v>14</v>
      </c>
      <c r="L1195" t="s">
        <v>2709</v>
      </c>
      <c r="M1195">
        <v>20088000</v>
      </c>
      <c r="O1195" t="s">
        <v>19968</v>
      </c>
      <c r="P1195" t="s">
        <v>19908</v>
      </c>
      <c r="Q1195" t="s">
        <v>19900</v>
      </c>
      <c r="R1195" t="s">
        <v>19905</v>
      </c>
      <c r="S1195" t="s">
        <v>19906</v>
      </c>
      <c r="T1195" t="s">
        <v>19911</v>
      </c>
    </row>
    <row r="1196" spans="2:20" x14ac:dyDescent="0.25">
      <c r="B1196" t="s">
        <v>2709</v>
      </c>
      <c r="C1196">
        <v>20088000</v>
      </c>
      <c r="D1196">
        <v>1</v>
      </c>
      <c r="E1196" t="s">
        <v>19447</v>
      </c>
      <c r="F1196">
        <v>18</v>
      </c>
      <c r="G1196">
        <v>0</v>
      </c>
      <c r="H1196">
        <v>7.6</v>
      </c>
      <c r="I1196">
        <v>1.65</v>
      </c>
      <c r="J1196">
        <v>14</v>
      </c>
      <c r="L1196" t="s">
        <v>2709</v>
      </c>
      <c r="M1196">
        <v>20088000</v>
      </c>
      <c r="N1196">
        <v>1</v>
      </c>
      <c r="O1196" t="s">
        <v>19447</v>
      </c>
      <c r="P1196" t="s">
        <v>19899</v>
      </c>
      <c r="Q1196" t="s">
        <v>19900</v>
      </c>
      <c r="R1196" t="s">
        <v>19905</v>
      </c>
      <c r="S1196" t="s">
        <v>19906</v>
      </c>
      <c r="T1196" t="s">
        <v>19911</v>
      </c>
    </row>
    <row r="1197" spans="2:20" x14ac:dyDescent="0.25">
      <c r="B1197" t="s">
        <v>2709</v>
      </c>
      <c r="C1197">
        <v>20089100</v>
      </c>
      <c r="E1197">
        <v>49.58</v>
      </c>
      <c r="F1197">
        <v>7</v>
      </c>
      <c r="G1197">
        <v>0</v>
      </c>
      <c r="H1197">
        <v>7.6</v>
      </c>
      <c r="I1197">
        <v>1.65</v>
      </c>
      <c r="J1197">
        <v>14</v>
      </c>
      <c r="L1197" t="s">
        <v>2709</v>
      </c>
      <c r="M1197">
        <v>20089100</v>
      </c>
      <c r="O1197" t="s">
        <v>19968</v>
      </c>
      <c r="P1197" t="s">
        <v>19908</v>
      </c>
      <c r="Q1197" t="s">
        <v>19900</v>
      </c>
      <c r="R1197" t="s">
        <v>19905</v>
      </c>
      <c r="S1197" t="s">
        <v>19906</v>
      </c>
      <c r="T1197" t="s">
        <v>19911</v>
      </c>
    </row>
    <row r="1198" spans="2:20" x14ac:dyDescent="0.25">
      <c r="B1198" t="s">
        <v>2709</v>
      </c>
      <c r="C1198">
        <v>20089300</v>
      </c>
      <c r="E1198">
        <v>49.58</v>
      </c>
      <c r="F1198">
        <v>7</v>
      </c>
      <c r="G1198">
        <v>0</v>
      </c>
      <c r="H1198">
        <v>7.6</v>
      </c>
      <c r="I1198">
        <v>1.65</v>
      </c>
      <c r="J1198">
        <v>14</v>
      </c>
      <c r="L1198" t="s">
        <v>2709</v>
      </c>
      <c r="M1198">
        <v>20089300</v>
      </c>
      <c r="O1198" t="s">
        <v>19968</v>
      </c>
      <c r="P1198" t="s">
        <v>19908</v>
      </c>
      <c r="Q1198" t="s">
        <v>19900</v>
      </c>
      <c r="R1198" t="s">
        <v>19905</v>
      </c>
      <c r="S1198" t="s">
        <v>19906</v>
      </c>
      <c r="T1198" t="s">
        <v>19911</v>
      </c>
    </row>
    <row r="1199" spans="2:20" x14ac:dyDescent="0.25">
      <c r="B1199" t="s">
        <v>2709</v>
      </c>
      <c r="C1199">
        <v>20089300</v>
      </c>
      <c r="D1199">
        <v>1</v>
      </c>
      <c r="E1199" t="s">
        <v>19447</v>
      </c>
      <c r="F1199">
        <v>18</v>
      </c>
      <c r="G1199">
        <v>0</v>
      </c>
      <c r="H1199">
        <v>7.6</v>
      </c>
      <c r="I1199">
        <v>1.65</v>
      </c>
      <c r="J1199">
        <v>14</v>
      </c>
      <c r="L1199" t="s">
        <v>2709</v>
      </c>
      <c r="M1199">
        <v>20089300</v>
      </c>
      <c r="N1199">
        <v>1</v>
      </c>
      <c r="O1199" t="s">
        <v>19447</v>
      </c>
      <c r="P1199" t="s">
        <v>19899</v>
      </c>
      <c r="Q1199" t="s">
        <v>19900</v>
      </c>
      <c r="R1199" t="s">
        <v>19905</v>
      </c>
      <c r="S1199" t="s">
        <v>19906</v>
      </c>
      <c r="T1199" t="s">
        <v>19911</v>
      </c>
    </row>
    <row r="1200" spans="2:20" x14ac:dyDescent="0.25">
      <c r="B1200" t="s">
        <v>2709</v>
      </c>
      <c r="C1200">
        <v>20089710</v>
      </c>
      <c r="E1200">
        <v>49.58</v>
      </c>
      <c r="F1200">
        <v>7</v>
      </c>
      <c r="G1200">
        <v>0</v>
      </c>
      <c r="H1200">
        <v>7.6</v>
      </c>
      <c r="I1200">
        <v>1.65</v>
      </c>
      <c r="J1200">
        <v>14</v>
      </c>
      <c r="L1200" t="s">
        <v>2709</v>
      </c>
      <c r="M1200">
        <v>20089710</v>
      </c>
      <c r="O1200" t="s">
        <v>19968</v>
      </c>
      <c r="P1200" t="s">
        <v>19908</v>
      </c>
      <c r="Q1200" t="s">
        <v>19900</v>
      </c>
      <c r="R1200" t="s">
        <v>19905</v>
      </c>
      <c r="S1200" t="s">
        <v>19906</v>
      </c>
      <c r="T1200" t="s">
        <v>19911</v>
      </c>
    </row>
    <row r="1201" spans="2:20" x14ac:dyDescent="0.25">
      <c r="B1201" t="s">
        <v>2709</v>
      </c>
      <c r="C1201">
        <v>20089790</v>
      </c>
      <c r="E1201">
        <v>49.58</v>
      </c>
      <c r="F1201">
        <v>7</v>
      </c>
      <c r="G1201">
        <v>0</v>
      </c>
      <c r="H1201">
        <v>7.6</v>
      </c>
      <c r="I1201">
        <v>1.65</v>
      </c>
      <c r="J1201">
        <v>14</v>
      </c>
      <c r="L1201" t="s">
        <v>2709</v>
      </c>
      <c r="M1201">
        <v>20089790</v>
      </c>
      <c r="O1201" t="s">
        <v>19968</v>
      </c>
      <c r="P1201" t="s">
        <v>19908</v>
      </c>
      <c r="Q1201" t="s">
        <v>19900</v>
      </c>
      <c r="R1201" t="s">
        <v>19905</v>
      </c>
      <c r="S1201" t="s">
        <v>19906</v>
      </c>
      <c r="T1201" t="s">
        <v>19911</v>
      </c>
    </row>
    <row r="1202" spans="2:20" x14ac:dyDescent="0.25">
      <c r="B1202" t="s">
        <v>2709</v>
      </c>
      <c r="C1202">
        <v>20089790</v>
      </c>
      <c r="D1202">
        <v>1</v>
      </c>
      <c r="E1202" t="s">
        <v>19447</v>
      </c>
      <c r="F1202">
        <v>18</v>
      </c>
      <c r="G1202">
        <v>0</v>
      </c>
      <c r="H1202">
        <v>7.6</v>
      </c>
      <c r="I1202">
        <v>1.65</v>
      </c>
      <c r="J1202">
        <v>14</v>
      </c>
      <c r="L1202" t="s">
        <v>2709</v>
      </c>
      <c r="M1202">
        <v>20089790</v>
      </c>
      <c r="N1202">
        <v>1</v>
      </c>
      <c r="O1202" t="s">
        <v>19447</v>
      </c>
      <c r="P1202" t="s">
        <v>19899</v>
      </c>
      <c r="Q1202" t="s">
        <v>19900</v>
      </c>
      <c r="R1202" t="s">
        <v>19905</v>
      </c>
      <c r="S1202" t="s">
        <v>19906</v>
      </c>
      <c r="T1202" t="s">
        <v>19911</v>
      </c>
    </row>
    <row r="1203" spans="2:20" x14ac:dyDescent="0.25">
      <c r="B1203" t="s">
        <v>2709</v>
      </c>
      <c r="C1203">
        <v>20089900</v>
      </c>
      <c r="E1203">
        <v>49.58</v>
      </c>
      <c r="F1203">
        <v>7</v>
      </c>
      <c r="G1203">
        <v>0</v>
      </c>
      <c r="H1203">
        <v>7.6</v>
      </c>
      <c r="I1203">
        <v>1.65</v>
      </c>
      <c r="J1203">
        <v>14</v>
      </c>
      <c r="L1203" t="s">
        <v>2709</v>
      </c>
      <c r="M1203">
        <v>20089900</v>
      </c>
      <c r="O1203" t="s">
        <v>19968</v>
      </c>
      <c r="P1203" t="s">
        <v>19908</v>
      </c>
      <c r="Q1203" t="s">
        <v>19900</v>
      </c>
      <c r="R1203" t="s">
        <v>19905</v>
      </c>
      <c r="S1203" t="s">
        <v>19906</v>
      </c>
      <c r="T1203" t="s">
        <v>19911</v>
      </c>
    </row>
    <row r="1204" spans="2:20" x14ac:dyDescent="0.25">
      <c r="B1204" t="s">
        <v>2709</v>
      </c>
      <c r="C1204">
        <v>20089900</v>
      </c>
      <c r="D1204">
        <v>1</v>
      </c>
      <c r="E1204" t="s">
        <v>19447</v>
      </c>
      <c r="F1204">
        <v>18</v>
      </c>
      <c r="G1204">
        <v>0</v>
      </c>
      <c r="H1204">
        <v>7.6</v>
      </c>
      <c r="I1204">
        <v>1.65</v>
      </c>
      <c r="J1204">
        <v>14</v>
      </c>
      <c r="L1204" t="s">
        <v>2709</v>
      </c>
      <c r="M1204">
        <v>20089900</v>
      </c>
      <c r="N1204">
        <v>1</v>
      </c>
      <c r="O1204" t="s">
        <v>19447</v>
      </c>
      <c r="P1204" t="s">
        <v>19899</v>
      </c>
      <c r="Q1204" t="s">
        <v>19900</v>
      </c>
      <c r="R1204" t="s">
        <v>19905</v>
      </c>
      <c r="S1204" t="s">
        <v>19906</v>
      </c>
      <c r="T1204" t="s">
        <v>19911</v>
      </c>
    </row>
    <row r="1205" spans="2:20" x14ac:dyDescent="0.25">
      <c r="B1205" t="s">
        <v>2709</v>
      </c>
      <c r="C1205">
        <v>20091100</v>
      </c>
      <c r="E1205">
        <v>58.36</v>
      </c>
      <c r="F1205">
        <v>12</v>
      </c>
      <c r="G1205">
        <v>0</v>
      </c>
      <c r="H1205">
        <v>7.6</v>
      </c>
      <c r="I1205">
        <v>1.65</v>
      </c>
      <c r="J1205">
        <v>14</v>
      </c>
      <c r="L1205" t="s">
        <v>2709</v>
      </c>
      <c r="M1205">
        <v>20091100</v>
      </c>
      <c r="O1205" t="s">
        <v>19969</v>
      </c>
      <c r="P1205" t="s">
        <v>19903</v>
      </c>
      <c r="Q1205" t="s">
        <v>19900</v>
      </c>
      <c r="R1205" t="s">
        <v>19905</v>
      </c>
      <c r="S1205" t="s">
        <v>19906</v>
      </c>
      <c r="T1205" t="s">
        <v>19911</v>
      </c>
    </row>
    <row r="1206" spans="2:20" x14ac:dyDescent="0.25">
      <c r="B1206" t="s">
        <v>2709</v>
      </c>
      <c r="C1206">
        <v>20091200</v>
      </c>
      <c r="E1206">
        <v>58.36</v>
      </c>
      <c r="F1206">
        <v>12</v>
      </c>
      <c r="G1206">
        <v>0</v>
      </c>
      <c r="H1206">
        <v>7.6</v>
      </c>
      <c r="I1206">
        <v>1.65</v>
      </c>
      <c r="J1206">
        <v>14</v>
      </c>
      <c r="L1206" t="s">
        <v>2709</v>
      </c>
      <c r="M1206">
        <v>20091200</v>
      </c>
      <c r="O1206" t="s">
        <v>19969</v>
      </c>
      <c r="P1206" t="s">
        <v>19903</v>
      </c>
      <c r="Q1206" t="s">
        <v>19900</v>
      </c>
      <c r="R1206" t="s">
        <v>19905</v>
      </c>
      <c r="S1206" t="s">
        <v>19906</v>
      </c>
      <c r="T1206" t="s">
        <v>19911</v>
      </c>
    </row>
    <row r="1207" spans="2:20" x14ac:dyDescent="0.25">
      <c r="B1207" t="s">
        <v>2709</v>
      </c>
      <c r="C1207">
        <v>20091900</v>
      </c>
      <c r="E1207">
        <v>58.36</v>
      </c>
      <c r="F1207">
        <v>12</v>
      </c>
      <c r="G1207">
        <v>0</v>
      </c>
      <c r="H1207">
        <v>7.6</v>
      </c>
      <c r="I1207">
        <v>1.65</v>
      </c>
      <c r="J1207">
        <v>14</v>
      </c>
      <c r="L1207" t="s">
        <v>2709</v>
      </c>
      <c r="M1207">
        <v>20091900</v>
      </c>
      <c r="O1207" t="s">
        <v>19969</v>
      </c>
      <c r="P1207" t="s">
        <v>19903</v>
      </c>
      <c r="Q1207" t="s">
        <v>19900</v>
      </c>
      <c r="R1207" t="s">
        <v>19905</v>
      </c>
      <c r="S1207" t="s">
        <v>19906</v>
      </c>
      <c r="T1207" t="s">
        <v>19911</v>
      </c>
    </row>
    <row r="1208" spans="2:20" x14ac:dyDescent="0.25">
      <c r="B1208" t="s">
        <v>2709</v>
      </c>
      <c r="C1208">
        <v>20092100</v>
      </c>
      <c r="E1208">
        <v>58.36</v>
      </c>
      <c r="F1208">
        <v>7</v>
      </c>
      <c r="G1208">
        <v>0</v>
      </c>
      <c r="H1208">
        <v>7.6</v>
      </c>
      <c r="I1208">
        <v>1.65</v>
      </c>
      <c r="J1208">
        <v>14</v>
      </c>
      <c r="L1208" t="s">
        <v>2709</v>
      </c>
      <c r="M1208">
        <v>20092100</v>
      </c>
      <c r="O1208" t="s">
        <v>19969</v>
      </c>
      <c r="P1208" t="s">
        <v>19908</v>
      </c>
      <c r="Q1208" t="s">
        <v>19900</v>
      </c>
      <c r="R1208" t="s">
        <v>19905</v>
      </c>
      <c r="S1208" t="s">
        <v>19906</v>
      </c>
      <c r="T1208" t="s">
        <v>19911</v>
      </c>
    </row>
    <row r="1209" spans="2:20" x14ac:dyDescent="0.25">
      <c r="B1209" t="s">
        <v>2709</v>
      </c>
      <c r="C1209">
        <v>20092900</v>
      </c>
      <c r="E1209">
        <v>58.36</v>
      </c>
      <c r="F1209">
        <v>7</v>
      </c>
      <c r="G1209">
        <v>0</v>
      </c>
      <c r="H1209">
        <v>7.6</v>
      </c>
      <c r="I1209">
        <v>1.65</v>
      </c>
      <c r="J1209">
        <v>14</v>
      </c>
      <c r="L1209" t="s">
        <v>2709</v>
      </c>
      <c r="M1209">
        <v>20092900</v>
      </c>
      <c r="O1209" t="s">
        <v>19969</v>
      </c>
      <c r="P1209" t="s">
        <v>19908</v>
      </c>
      <c r="Q1209" t="s">
        <v>19900</v>
      </c>
      <c r="R1209" t="s">
        <v>19905</v>
      </c>
      <c r="S1209" t="s">
        <v>19906</v>
      </c>
      <c r="T1209" t="s">
        <v>19911</v>
      </c>
    </row>
    <row r="1210" spans="2:20" x14ac:dyDescent="0.25">
      <c r="B1210" t="s">
        <v>2709</v>
      </c>
      <c r="C1210">
        <v>20093100</v>
      </c>
      <c r="E1210">
        <v>58.36</v>
      </c>
      <c r="F1210">
        <v>7</v>
      </c>
      <c r="G1210">
        <v>0</v>
      </c>
      <c r="H1210">
        <v>7.6</v>
      </c>
      <c r="I1210">
        <v>1.65</v>
      </c>
      <c r="J1210">
        <v>14</v>
      </c>
      <c r="L1210" t="s">
        <v>2709</v>
      </c>
      <c r="M1210">
        <v>20093100</v>
      </c>
      <c r="O1210" t="s">
        <v>19969</v>
      </c>
      <c r="P1210" t="s">
        <v>19908</v>
      </c>
      <c r="Q1210" t="s">
        <v>19900</v>
      </c>
      <c r="R1210" t="s">
        <v>19905</v>
      </c>
      <c r="S1210" t="s">
        <v>19906</v>
      </c>
      <c r="T1210" t="s">
        <v>19911</v>
      </c>
    </row>
    <row r="1211" spans="2:20" x14ac:dyDescent="0.25">
      <c r="B1211" t="s">
        <v>2709</v>
      </c>
      <c r="C1211">
        <v>20093900</v>
      </c>
      <c r="E1211">
        <v>58.36</v>
      </c>
      <c r="F1211">
        <v>7</v>
      </c>
      <c r="G1211">
        <v>0</v>
      </c>
      <c r="H1211">
        <v>7.6</v>
      </c>
      <c r="I1211">
        <v>1.65</v>
      </c>
      <c r="J1211">
        <v>14</v>
      </c>
      <c r="L1211" t="s">
        <v>2709</v>
      </c>
      <c r="M1211">
        <v>20093900</v>
      </c>
      <c r="O1211" t="s">
        <v>19969</v>
      </c>
      <c r="P1211" t="s">
        <v>19908</v>
      </c>
      <c r="Q1211" t="s">
        <v>19900</v>
      </c>
      <c r="R1211" t="s">
        <v>19905</v>
      </c>
      <c r="S1211" t="s">
        <v>19906</v>
      </c>
      <c r="T1211" t="s">
        <v>19911</v>
      </c>
    </row>
    <row r="1212" spans="2:20" x14ac:dyDescent="0.25">
      <c r="B1212" t="s">
        <v>2709</v>
      </c>
      <c r="C1212">
        <v>20094100</v>
      </c>
      <c r="E1212">
        <v>58.36</v>
      </c>
      <c r="F1212">
        <v>7</v>
      </c>
      <c r="G1212">
        <v>0</v>
      </c>
      <c r="H1212">
        <v>7.6</v>
      </c>
      <c r="I1212">
        <v>1.65</v>
      </c>
      <c r="J1212">
        <v>14</v>
      </c>
      <c r="L1212" t="s">
        <v>2709</v>
      </c>
      <c r="M1212">
        <v>20094100</v>
      </c>
      <c r="O1212" t="s">
        <v>19969</v>
      </c>
      <c r="P1212" t="s">
        <v>19908</v>
      </c>
      <c r="Q1212" t="s">
        <v>19900</v>
      </c>
      <c r="R1212" t="s">
        <v>19905</v>
      </c>
      <c r="S1212" t="s">
        <v>19906</v>
      </c>
      <c r="T1212" t="s">
        <v>19911</v>
      </c>
    </row>
    <row r="1213" spans="2:20" x14ac:dyDescent="0.25">
      <c r="B1213" t="s">
        <v>2709</v>
      </c>
      <c r="C1213">
        <v>20094900</v>
      </c>
      <c r="E1213">
        <v>58.36</v>
      </c>
      <c r="F1213">
        <v>7</v>
      </c>
      <c r="G1213">
        <v>0</v>
      </c>
      <c r="H1213">
        <v>7.6</v>
      </c>
      <c r="I1213">
        <v>1.65</v>
      </c>
      <c r="J1213">
        <v>14</v>
      </c>
      <c r="L1213" t="s">
        <v>2709</v>
      </c>
      <c r="M1213">
        <v>20094900</v>
      </c>
      <c r="O1213" t="s">
        <v>19969</v>
      </c>
      <c r="P1213" t="s">
        <v>19908</v>
      </c>
      <c r="Q1213" t="s">
        <v>19900</v>
      </c>
      <c r="R1213" t="s">
        <v>19905</v>
      </c>
      <c r="S1213" t="s">
        <v>19906</v>
      </c>
      <c r="T1213" t="s">
        <v>19911</v>
      </c>
    </row>
    <row r="1214" spans="2:20" x14ac:dyDescent="0.25">
      <c r="B1214" t="s">
        <v>2709</v>
      </c>
      <c r="C1214">
        <v>20095000</v>
      </c>
      <c r="E1214">
        <v>58.36</v>
      </c>
      <c r="F1214">
        <v>7</v>
      </c>
      <c r="G1214">
        <v>0</v>
      </c>
      <c r="H1214">
        <v>7.6</v>
      </c>
      <c r="I1214">
        <v>1.65</v>
      </c>
      <c r="J1214">
        <v>14</v>
      </c>
      <c r="L1214" t="s">
        <v>2709</v>
      </c>
      <c r="M1214">
        <v>20095000</v>
      </c>
      <c r="O1214" t="s">
        <v>19969</v>
      </c>
      <c r="P1214" t="s">
        <v>19908</v>
      </c>
      <c r="Q1214" t="s">
        <v>19900</v>
      </c>
      <c r="R1214" t="s">
        <v>19905</v>
      </c>
      <c r="S1214" t="s">
        <v>19906</v>
      </c>
      <c r="T1214" t="s">
        <v>19911</v>
      </c>
    </row>
    <row r="1215" spans="2:20" x14ac:dyDescent="0.25">
      <c r="B1215" t="s">
        <v>2709</v>
      </c>
      <c r="C1215">
        <v>20096100</v>
      </c>
      <c r="E1215">
        <v>58.36</v>
      </c>
      <c r="F1215">
        <v>7</v>
      </c>
      <c r="G1215">
        <v>0</v>
      </c>
      <c r="H1215">
        <v>7.6</v>
      </c>
      <c r="I1215">
        <v>1.65</v>
      </c>
      <c r="J1215">
        <v>14</v>
      </c>
      <c r="L1215" t="s">
        <v>2709</v>
      </c>
      <c r="M1215">
        <v>20096100</v>
      </c>
      <c r="O1215" t="s">
        <v>19969</v>
      </c>
      <c r="P1215" t="s">
        <v>19908</v>
      </c>
      <c r="Q1215" t="s">
        <v>19900</v>
      </c>
      <c r="R1215" t="s">
        <v>19905</v>
      </c>
      <c r="S1215" t="s">
        <v>19906</v>
      </c>
      <c r="T1215" t="s">
        <v>19911</v>
      </c>
    </row>
    <row r="1216" spans="2:20" x14ac:dyDescent="0.25">
      <c r="B1216" t="s">
        <v>2709</v>
      </c>
      <c r="C1216">
        <v>20096900</v>
      </c>
      <c r="E1216">
        <v>58.36</v>
      </c>
      <c r="F1216">
        <v>7</v>
      </c>
      <c r="G1216">
        <v>0</v>
      </c>
      <c r="H1216">
        <v>7.6</v>
      </c>
      <c r="I1216">
        <v>1.65</v>
      </c>
      <c r="J1216">
        <v>14</v>
      </c>
      <c r="L1216" t="s">
        <v>2709</v>
      </c>
      <c r="M1216">
        <v>20096900</v>
      </c>
      <c r="O1216" t="s">
        <v>19969</v>
      </c>
      <c r="P1216" t="s">
        <v>19908</v>
      </c>
      <c r="Q1216" t="s">
        <v>19900</v>
      </c>
      <c r="R1216" t="s">
        <v>19905</v>
      </c>
      <c r="S1216" t="s">
        <v>19906</v>
      </c>
      <c r="T1216" t="s">
        <v>19911</v>
      </c>
    </row>
    <row r="1217" spans="2:20" x14ac:dyDescent="0.25">
      <c r="B1217" t="s">
        <v>2709</v>
      </c>
      <c r="C1217">
        <v>20097100</v>
      </c>
      <c r="E1217">
        <v>58.36</v>
      </c>
      <c r="F1217">
        <v>7</v>
      </c>
      <c r="G1217">
        <v>0</v>
      </c>
      <c r="H1217">
        <v>7.6</v>
      </c>
      <c r="I1217">
        <v>1.65</v>
      </c>
      <c r="J1217">
        <v>14</v>
      </c>
      <c r="L1217" t="s">
        <v>2709</v>
      </c>
      <c r="M1217">
        <v>20097100</v>
      </c>
      <c r="O1217" t="s">
        <v>19969</v>
      </c>
      <c r="P1217" t="s">
        <v>19908</v>
      </c>
      <c r="Q1217" t="s">
        <v>19900</v>
      </c>
      <c r="R1217" t="s">
        <v>19905</v>
      </c>
      <c r="S1217" t="s">
        <v>19906</v>
      </c>
      <c r="T1217" t="s">
        <v>19911</v>
      </c>
    </row>
    <row r="1218" spans="2:20" x14ac:dyDescent="0.25">
      <c r="B1218" t="s">
        <v>2709</v>
      </c>
      <c r="C1218">
        <v>20097900</v>
      </c>
      <c r="E1218">
        <v>58.36</v>
      </c>
      <c r="F1218">
        <v>7</v>
      </c>
      <c r="G1218">
        <v>0</v>
      </c>
      <c r="H1218">
        <v>7.6</v>
      </c>
      <c r="I1218">
        <v>1.65</v>
      </c>
      <c r="J1218">
        <v>14</v>
      </c>
      <c r="L1218" t="s">
        <v>2709</v>
      </c>
      <c r="M1218">
        <v>20097900</v>
      </c>
      <c r="O1218" t="s">
        <v>19969</v>
      </c>
      <c r="P1218" t="s">
        <v>19908</v>
      </c>
      <c r="Q1218" t="s">
        <v>19900</v>
      </c>
      <c r="R1218" t="s">
        <v>19905</v>
      </c>
      <c r="S1218" t="s">
        <v>19906</v>
      </c>
      <c r="T1218" t="s">
        <v>19911</v>
      </c>
    </row>
    <row r="1219" spans="2:20" x14ac:dyDescent="0.25">
      <c r="B1219" t="s">
        <v>2709</v>
      </c>
      <c r="C1219">
        <v>20098100</v>
      </c>
      <c r="E1219">
        <v>58.36</v>
      </c>
      <c r="F1219">
        <v>7</v>
      </c>
      <c r="G1219">
        <v>0</v>
      </c>
      <c r="H1219">
        <v>7.6</v>
      </c>
      <c r="I1219">
        <v>1.65</v>
      </c>
      <c r="J1219">
        <v>14</v>
      </c>
      <c r="L1219" t="s">
        <v>2709</v>
      </c>
      <c r="M1219">
        <v>20098100</v>
      </c>
      <c r="O1219" t="s">
        <v>19969</v>
      </c>
      <c r="P1219" t="s">
        <v>19908</v>
      </c>
      <c r="Q1219" t="s">
        <v>19900</v>
      </c>
      <c r="R1219" t="s">
        <v>19905</v>
      </c>
      <c r="S1219" t="s">
        <v>19906</v>
      </c>
      <c r="T1219" t="s">
        <v>19911</v>
      </c>
    </row>
    <row r="1220" spans="2:20" x14ac:dyDescent="0.25">
      <c r="B1220" t="s">
        <v>2709</v>
      </c>
      <c r="C1220">
        <v>20098910</v>
      </c>
      <c r="E1220">
        <v>58.36</v>
      </c>
      <c r="F1220">
        <v>7</v>
      </c>
      <c r="G1220">
        <v>0</v>
      </c>
      <c r="H1220">
        <v>7.6</v>
      </c>
      <c r="I1220">
        <v>1.65</v>
      </c>
      <c r="J1220">
        <v>14</v>
      </c>
      <c r="L1220" t="s">
        <v>2709</v>
      </c>
      <c r="M1220">
        <v>20098910</v>
      </c>
      <c r="O1220" t="s">
        <v>19969</v>
      </c>
      <c r="P1220" t="s">
        <v>19908</v>
      </c>
      <c r="Q1220" t="s">
        <v>19900</v>
      </c>
      <c r="R1220" t="s">
        <v>19905</v>
      </c>
      <c r="S1220" t="s">
        <v>19906</v>
      </c>
      <c r="T1220" t="s">
        <v>19911</v>
      </c>
    </row>
    <row r="1221" spans="2:20" x14ac:dyDescent="0.25">
      <c r="B1221" t="s">
        <v>2709</v>
      </c>
      <c r="C1221">
        <v>20098990</v>
      </c>
      <c r="E1221">
        <v>58.36</v>
      </c>
      <c r="F1221">
        <v>7</v>
      </c>
      <c r="G1221">
        <v>0</v>
      </c>
      <c r="H1221">
        <v>7.6</v>
      </c>
      <c r="I1221">
        <v>1.65</v>
      </c>
      <c r="J1221">
        <v>14</v>
      </c>
      <c r="L1221" t="s">
        <v>2709</v>
      </c>
      <c r="M1221">
        <v>20098990</v>
      </c>
      <c r="O1221" t="s">
        <v>19969</v>
      </c>
      <c r="P1221" t="s">
        <v>19908</v>
      </c>
      <c r="Q1221" t="s">
        <v>19900</v>
      </c>
      <c r="R1221" t="s">
        <v>19905</v>
      </c>
      <c r="S1221" t="s">
        <v>19906</v>
      </c>
      <c r="T1221" t="s">
        <v>19911</v>
      </c>
    </row>
    <row r="1222" spans="2:20" x14ac:dyDescent="0.25">
      <c r="B1222" t="s">
        <v>2709</v>
      </c>
      <c r="C1222">
        <v>20099000</v>
      </c>
      <c r="E1222">
        <v>58.36</v>
      </c>
      <c r="F1222">
        <v>7</v>
      </c>
      <c r="G1222">
        <v>0</v>
      </c>
      <c r="H1222">
        <v>7.6</v>
      </c>
      <c r="I1222">
        <v>1.65</v>
      </c>
      <c r="J1222">
        <v>14</v>
      </c>
      <c r="L1222" t="s">
        <v>2709</v>
      </c>
      <c r="M1222">
        <v>20099000</v>
      </c>
      <c r="O1222" t="s">
        <v>19969</v>
      </c>
      <c r="P1222" t="s">
        <v>19908</v>
      </c>
      <c r="Q1222" t="s">
        <v>19900</v>
      </c>
      <c r="R1222" t="s">
        <v>19905</v>
      </c>
      <c r="S1222" t="s">
        <v>19906</v>
      </c>
      <c r="T1222" t="s">
        <v>19911</v>
      </c>
    </row>
    <row r="1223" spans="2:20" x14ac:dyDescent="0.25">
      <c r="B1223" t="s">
        <v>2709</v>
      </c>
      <c r="C1223">
        <v>21011110</v>
      </c>
      <c r="E1223">
        <v>52.29</v>
      </c>
      <c r="F1223">
        <v>18</v>
      </c>
      <c r="G1223">
        <v>0</v>
      </c>
      <c r="H1223" t="s">
        <v>19447</v>
      </c>
      <c r="I1223" t="s">
        <v>19447</v>
      </c>
      <c r="J1223">
        <v>16</v>
      </c>
      <c r="L1223" t="s">
        <v>2709</v>
      </c>
      <c r="M1223">
        <v>21011110</v>
      </c>
      <c r="O1223" t="s">
        <v>19970</v>
      </c>
      <c r="P1223" t="s">
        <v>19899</v>
      </c>
      <c r="Q1223" t="s">
        <v>19900</v>
      </c>
      <c r="R1223" t="s">
        <v>19447</v>
      </c>
      <c r="S1223" t="s">
        <v>19447</v>
      </c>
      <c r="T1223" t="s">
        <v>19913</v>
      </c>
    </row>
    <row r="1224" spans="2:20" x14ac:dyDescent="0.25">
      <c r="B1224" t="s">
        <v>2709</v>
      </c>
      <c r="C1224">
        <v>21011190</v>
      </c>
      <c r="E1224">
        <v>52.29</v>
      </c>
      <c r="F1224">
        <v>18</v>
      </c>
      <c r="G1224">
        <v>0</v>
      </c>
      <c r="H1224" t="s">
        <v>19447</v>
      </c>
      <c r="I1224" t="s">
        <v>19447</v>
      </c>
      <c r="J1224">
        <v>16</v>
      </c>
      <c r="L1224" t="s">
        <v>2709</v>
      </c>
      <c r="M1224">
        <v>21011190</v>
      </c>
      <c r="O1224" t="s">
        <v>19970</v>
      </c>
      <c r="P1224" t="s">
        <v>19899</v>
      </c>
      <c r="Q1224" t="s">
        <v>19900</v>
      </c>
      <c r="R1224" t="s">
        <v>19447</v>
      </c>
      <c r="S1224" t="s">
        <v>19447</v>
      </c>
      <c r="T1224" t="s">
        <v>19913</v>
      </c>
    </row>
    <row r="1225" spans="2:20" x14ac:dyDescent="0.25">
      <c r="B1225" t="s">
        <v>2709</v>
      </c>
      <c r="C1225">
        <v>21011200</v>
      </c>
      <c r="E1225">
        <v>52.29</v>
      </c>
      <c r="F1225">
        <v>18</v>
      </c>
      <c r="G1225">
        <v>0</v>
      </c>
      <c r="H1225" t="s">
        <v>19447</v>
      </c>
      <c r="I1225" t="s">
        <v>19447</v>
      </c>
      <c r="J1225">
        <v>16</v>
      </c>
      <c r="L1225" t="s">
        <v>2709</v>
      </c>
      <c r="M1225">
        <v>21011200</v>
      </c>
      <c r="O1225" t="s">
        <v>19970</v>
      </c>
      <c r="P1225" t="s">
        <v>19899</v>
      </c>
      <c r="Q1225" t="s">
        <v>19900</v>
      </c>
      <c r="R1225" t="s">
        <v>19447</v>
      </c>
      <c r="S1225" t="s">
        <v>19447</v>
      </c>
      <c r="T1225" t="s">
        <v>19913</v>
      </c>
    </row>
    <row r="1226" spans="2:20" x14ac:dyDescent="0.25">
      <c r="B1226" t="s">
        <v>2709</v>
      </c>
      <c r="C1226">
        <v>21012010</v>
      </c>
      <c r="E1226">
        <v>51.52</v>
      </c>
      <c r="F1226">
        <v>18</v>
      </c>
      <c r="G1226">
        <v>0</v>
      </c>
      <c r="H1226">
        <v>7.6</v>
      </c>
      <c r="I1226">
        <v>1.65</v>
      </c>
      <c r="J1226">
        <v>16</v>
      </c>
      <c r="L1226" t="s">
        <v>2709</v>
      </c>
      <c r="M1226">
        <v>21012010</v>
      </c>
      <c r="O1226" t="s">
        <v>19971</v>
      </c>
      <c r="P1226" t="s">
        <v>19899</v>
      </c>
      <c r="Q1226" t="s">
        <v>19900</v>
      </c>
      <c r="R1226" t="s">
        <v>19905</v>
      </c>
      <c r="S1226" t="s">
        <v>19906</v>
      </c>
      <c r="T1226" t="s">
        <v>19913</v>
      </c>
    </row>
    <row r="1227" spans="2:20" x14ac:dyDescent="0.25">
      <c r="B1227" t="s">
        <v>2709</v>
      </c>
      <c r="C1227">
        <v>21012020</v>
      </c>
      <c r="E1227">
        <v>51.52</v>
      </c>
      <c r="F1227">
        <v>18</v>
      </c>
      <c r="G1227">
        <v>0</v>
      </c>
      <c r="H1227">
        <v>7.6</v>
      </c>
      <c r="I1227">
        <v>1.65</v>
      </c>
      <c r="J1227">
        <v>16</v>
      </c>
      <c r="L1227" t="s">
        <v>2709</v>
      </c>
      <c r="M1227">
        <v>21012020</v>
      </c>
      <c r="O1227" t="s">
        <v>19971</v>
      </c>
      <c r="P1227" t="s">
        <v>19899</v>
      </c>
      <c r="Q1227" t="s">
        <v>19900</v>
      </c>
      <c r="R1227" t="s">
        <v>19905</v>
      </c>
      <c r="S1227" t="s">
        <v>19906</v>
      </c>
      <c r="T1227" t="s">
        <v>19913</v>
      </c>
    </row>
    <row r="1228" spans="2:20" x14ac:dyDescent="0.25">
      <c r="B1228" t="s">
        <v>2709</v>
      </c>
      <c r="C1228">
        <v>21013000</v>
      </c>
      <c r="E1228">
        <v>52.29</v>
      </c>
      <c r="F1228">
        <v>18</v>
      </c>
      <c r="G1228">
        <v>0</v>
      </c>
      <c r="H1228">
        <v>7.6</v>
      </c>
      <c r="I1228">
        <v>1.65</v>
      </c>
      <c r="J1228">
        <v>14</v>
      </c>
      <c r="L1228" t="s">
        <v>2709</v>
      </c>
      <c r="M1228">
        <v>21013000</v>
      </c>
      <c r="O1228" t="s">
        <v>19970</v>
      </c>
      <c r="P1228" t="s">
        <v>19899</v>
      </c>
      <c r="Q1228" t="s">
        <v>19900</v>
      </c>
      <c r="R1228" t="s">
        <v>19905</v>
      </c>
      <c r="S1228" t="s">
        <v>19906</v>
      </c>
      <c r="T1228" t="s">
        <v>19911</v>
      </c>
    </row>
    <row r="1229" spans="2:20" x14ac:dyDescent="0.25">
      <c r="B1229" t="s">
        <v>2709</v>
      </c>
      <c r="C1229">
        <v>21021010</v>
      </c>
      <c r="E1229">
        <v>52.29</v>
      </c>
      <c r="F1229">
        <v>18</v>
      </c>
      <c r="G1229">
        <v>0</v>
      </c>
      <c r="H1229">
        <v>7.6</v>
      </c>
      <c r="I1229">
        <v>1.65</v>
      </c>
      <c r="J1229">
        <v>2</v>
      </c>
      <c r="L1229" t="s">
        <v>2709</v>
      </c>
      <c r="M1229">
        <v>21021010</v>
      </c>
      <c r="O1229" t="s">
        <v>19970</v>
      </c>
      <c r="P1229" t="s">
        <v>19899</v>
      </c>
      <c r="Q1229" t="s">
        <v>19900</v>
      </c>
      <c r="R1229" t="s">
        <v>19905</v>
      </c>
      <c r="S1229" t="s">
        <v>19906</v>
      </c>
      <c r="T1229" t="s">
        <v>19901</v>
      </c>
    </row>
    <row r="1230" spans="2:20" x14ac:dyDescent="0.25">
      <c r="B1230" t="s">
        <v>2709</v>
      </c>
      <c r="C1230">
        <v>21021090</v>
      </c>
      <c r="E1230">
        <v>52.29</v>
      </c>
      <c r="F1230">
        <v>18</v>
      </c>
      <c r="G1230">
        <v>0</v>
      </c>
      <c r="H1230">
        <v>7.6</v>
      </c>
      <c r="I1230">
        <v>1.65</v>
      </c>
      <c r="J1230">
        <v>14</v>
      </c>
      <c r="L1230" t="s">
        <v>2709</v>
      </c>
      <c r="M1230">
        <v>21021090</v>
      </c>
      <c r="O1230" t="s">
        <v>19970</v>
      </c>
      <c r="P1230" t="s">
        <v>19899</v>
      </c>
      <c r="Q1230" t="s">
        <v>19900</v>
      </c>
      <c r="R1230" t="s">
        <v>19905</v>
      </c>
      <c r="S1230" t="s">
        <v>19906</v>
      </c>
      <c r="T1230" t="s">
        <v>19911</v>
      </c>
    </row>
    <row r="1231" spans="2:20" x14ac:dyDescent="0.25">
      <c r="B1231" t="s">
        <v>2709</v>
      </c>
      <c r="C1231">
        <v>21022000</v>
      </c>
      <c r="E1231">
        <v>52.29</v>
      </c>
      <c r="F1231">
        <v>18</v>
      </c>
      <c r="G1231">
        <v>0</v>
      </c>
      <c r="H1231">
        <v>7.6</v>
      </c>
      <c r="I1231">
        <v>1.65</v>
      </c>
      <c r="J1231">
        <v>14</v>
      </c>
      <c r="L1231" t="s">
        <v>2709</v>
      </c>
      <c r="M1231">
        <v>21022000</v>
      </c>
      <c r="O1231" t="s">
        <v>19970</v>
      </c>
      <c r="P1231" t="s">
        <v>19899</v>
      </c>
      <c r="Q1231" t="s">
        <v>19900</v>
      </c>
      <c r="R1231" t="s">
        <v>19905</v>
      </c>
      <c r="S1231" t="s">
        <v>19906</v>
      </c>
      <c r="T1231" t="s">
        <v>19911</v>
      </c>
    </row>
    <row r="1232" spans="2:20" x14ac:dyDescent="0.25">
      <c r="B1232" t="s">
        <v>2709</v>
      </c>
      <c r="C1232">
        <v>21022000</v>
      </c>
      <c r="D1232">
        <v>1</v>
      </c>
      <c r="E1232" t="s">
        <v>19447</v>
      </c>
      <c r="F1232">
        <v>18</v>
      </c>
      <c r="G1232">
        <v>0</v>
      </c>
      <c r="H1232">
        <v>7.6</v>
      </c>
      <c r="I1232">
        <v>1.65</v>
      </c>
      <c r="J1232">
        <v>14</v>
      </c>
      <c r="L1232" t="s">
        <v>2709</v>
      </c>
      <c r="M1232">
        <v>21022000</v>
      </c>
      <c r="N1232">
        <v>1</v>
      </c>
      <c r="O1232" t="s">
        <v>19447</v>
      </c>
      <c r="P1232" t="s">
        <v>19899</v>
      </c>
      <c r="Q1232" t="s">
        <v>19900</v>
      </c>
      <c r="R1232" t="s">
        <v>19905</v>
      </c>
      <c r="S1232" t="s">
        <v>19906</v>
      </c>
      <c r="T1232" t="s">
        <v>19911</v>
      </c>
    </row>
    <row r="1233" spans="2:20" x14ac:dyDescent="0.25">
      <c r="B1233" t="s">
        <v>2709</v>
      </c>
      <c r="C1233">
        <v>21023000</v>
      </c>
      <c r="E1233">
        <v>52.29</v>
      </c>
      <c r="F1233">
        <v>18</v>
      </c>
      <c r="G1233">
        <v>0</v>
      </c>
      <c r="H1233">
        <v>7.6</v>
      </c>
      <c r="I1233">
        <v>1.65</v>
      </c>
      <c r="J1233">
        <v>14</v>
      </c>
      <c r="L1233" t="s">
        <v>2709</v>
      </c>
      <c r="M1233">
        <v>21023000</v>
      </c>
      <c r="O1233" t="s">
        <v>19970</v>
      </c>
      <c r="P1233" t="s">
        <v>19899</v>
      </c>
      <c r="Q1233" t="s">
        <v>19900</v>
      </c>
      <c r="R1233" t="s">
        <v>19905</v>
      </c>
      <c r="S1233" t="s">
        <v>19906</v>
      </c>
      <c r="T1233" t="s">
        <v>19911</v>
      </c>
    </row>
    <row r="1234" spans="2:20" x14ac:dyDescent="0.25">
      <c r="B1234" t="s">
        <v>2709</v>
      </c>
      <c r="C1234">
        <v>21031010</v>
      </c>
      <c r="E1234">
        <v>73.16</v>
      </c>
      <c r="F1234">
        <v>18</v>
      </c>
      <c r="G1234">
        <v>0</v>
      </c>
      <c r="H1234">
        <v>7.6</v>
      </c>
      <c r="I1234">
        <v>1.65</v>
      </c>
      <c r="J1234">
        <v>18</v>
      </c>
      <c r="L1234" t="s">
        <v>2709</v>
      </c>
      <c r="M1234">
        <v>21031010</v>
      </c>
      <c r="O1234" t="s">
        <v>19972</v>
      </c>
      <c r="P1234" t="s">
        <v>19899</v>
      </c>
      <c r="Q1234" t="s">
        <v>19900</v>
      </c>
      <c r="R1234" t="s">
        <v>19905</v>
      </c>
      <c r="S1234" t="s">
        <v>19906</v>
      </c>
      <c r="T1234" t="s">
        <v>19899</v>
      </c>
    </row>
    <row r="1235" spans="2:20" x14ac:dyDescent="0.25">
      <c r="B1235" t="s">
        <v>2709</v>
      </c>
      <c r="C1235">
        <v>21031090</v>
      </c>
      <c r="E1235">
        <v>56.04</v>
      </c>
      <c r="F1235">
        <v>18</v>
      </c>
      <c r="G1235">
        <v>0</v>
      </c>
      <c r="H1235">
        <v>7.6</v>
      </c>
      <c r="I1235">
        <v>1.65</v>
      </c>
      <c r="J1235">
        <v>16</v>
      </c>
      <c r="L1235" t="s">
        <v>2709</v>
      </c>
      <c r="M1235">
        <v>21031090</v>
      </c>
      <c r="O1235" t="s">
        <v>19973</v>
      </c>
      <c r="P1235" t="s">
        <v>19899</v>
      </c>
      <c r="Q1235" t="s">
        <v>19900</v>
      </c>
      <c r="R1235" t="s">
        <v>19905</v>
      </c>
      <c r="S1235" t="s">
        <v>19906</v>
      </c>
      <c r="T1235" t="s">
        <v>19913</v>
      </c>
    </row>
    <row r="1236" spans="2:20" x14ac:dyDescent="0.25">
      <c r="B1236" t="s">
        <v>2709</v>
      </c>
      <c r="C1236">
        <v>21032010</v>
      </c>
      <c r="E1236">
        <v>59.97</v>
      </c>
      <c r="F1236">
        <v>18</v>
      </c>
      <c r="G1236">
        <v>0</v>
      </c>
      <c r="H1236">
        <v>7.6</v>
      </c>
      <c r="I1236">
        <v>1.65</v>
      </c>
      <c r="J1236">
        <v>18</v>
      </c>
      <c r="L1236" t="s">
        <v>2709</v>
      </c>
      <c r="M1236">
        <v>21032010</v>
      </c>
      <c r="O1236" t="s">
        <v>19974</v>
      </c>
      <c r="P1236" t="s">
        <v>19899</v>
      </c>
      <c r="Q1236" t="s">
        <v>19900</v>
      </c>
      <c r="R1236" t="s">
        <v>19905</v>
      </c>
      <c r="S1236" t="s">
        <v>19906</v>
      </c>
      <c r="T1236" t="s">
        <v>19899</v>
      </c>
    </row>
    <row r="1237" spans="2:20" x14ac:dyDescent="0.25">
      <c r="B1237" t="s">
        <v>2709</v>
      </c>
      <c r="C1237">
        <v>21032090</v>
      </c>
      <c r="E1237">
        <v>56.04</v>
      </c>
      <c r="F1237">
        <v>18</v>
      </c>
      <c r="G1237">
        <v>0</v>
      </c>
      <c r="H1237">
        <v>7.6</v>
      </c>
      <c r="I1237">
        <v>1.65</v>
      </c>
      <c r="J1237">
        <v>16</v>
      </c>
      <c r="L1237" t="s">
        <v>2709</v>
      </c>
      <c r="M1237">
        <v>21032090</v>
      </c>
      <c r="O1237" t="s">
        <v>19973</v>
      </c>
      <c r="P1237" t="s">
        <v>19899</v>
      </c>
      <c r="Q1237" t="s">
        <v>19900</v>
      </c>
      <c r="R1237" t="s">
        <v>19905</v>
      </c>
      <c r="S1237" t="s">
        <v>19906</v>
      </c>
      <c r="T1237" t="s">
        <v>19913</v>
      </c>
    </row>
    <row r="1238" spans="2:20" x14ac:dyDescent="0.25">
      <c r="B1238" t="s">
        <v>2709</v>
      </c>
      <c r="C1238">
        <v>21033010</v>
      </c>
      <c r="E1238">
        <v>42.33</v>
      </c>
      <c r="F1238">
        <v>18</v>
      </c>
      <c r="G1238">
        <v>0</v>
      </c>
      <c r="H1238">
        <v>7.6</v>
      </c>
      <c r="I1238">
        <v>1.65</v>
      </c>
      <c r="J1238">
        <v>16</v>
      </c>
      <c r="L1238" t="s">
        <v>2709</v>
      </c>
      <c r="M1238">
        <v>21033010</v>
      </c>
      <c r="O1238" t="s">
        <v>19920</v>
      </c>
      <c r="P1238" t="s">
        <v>19899</v>
      </c>
      <c r="Q1238" t="s">
        <v>19900</v>
      </c>
      <c r="R1238" t="s">
        <v>19905</v>
      </c>
      <c r="S1238" t="s">
        <v>19906</v>
      </c>
      <c r="T1238" t="s">
        <v>19913</v>
      </c>
    </row>
    <row r="1239" spans="2:20" x14ac:dyDescent="0.25">
      <c r="B1239" t="s">
        <v>2709</v>
      </c>
      <c r="C1239">
        <v>21033021</v>
      </c>
      <c r="E1239">
        <v>66.5</v>
      </c>
      <c r="F1239">
        <v>18</v>
      </c>
      <c r="G1239">
        <v>0</v>
      </c>
      <c r="H1239">
        <v>7.6</v>
      </c>
      <c r="I1239">
        <v>1.65</v>
      </c>
      <c r="J1239">
        <v>18</v>
      </c>
      <c r="L1239" t="s">
        <v>2709</v>
      </c>
      <c r="M1239">
        <v>21033021</v>
      </c>
      <c r="O1239" t="s">
        <v>19975</v>
      </c>
      <c r="P1239" t="s">
        <v>19899</v>
      </c>
      <c r="Q1239" t="s">
        <v>19900</v>
      </c>
      <c r="R1239" t="s">
        <v>19905</v>
      </c>
      <c r="S1239" t="s">
        <v>19906</v>
      </c>
      <c r="T1239" t="s">
        <v>19899</v>
      </c>
    </row>
    <row r="1240" spans="2:20" x14ac:dyDescent="0.25">
      <c r="B1240" t="s">
        <v>2709</v>
      </c>
      <c r="C1240">
        <v>21033029</v>
      </c>
      <c r="E1240">
        <v>56.04</v>
      </c>
      <c r="F1240">
        <v>18</v>
      </c>
      <c r="G1240">
        <v>0</v>
      </c>
      <c r="H1240">
        <v>7.6</v>
      </c>
      <c r="I1240">
        <v>1.65</v>
      </c>
      <c r="J1240">
        <v>16</v>
      </c>
      <c r="L1240" t="s">
        <v>2709</v>
      </c>
      <c r="M1240">
        <v>21033029</v>
      </c>
      <c r="O1240" t="s">
        <v>19973</v>
      </c>
      <c r="P1240" t="s">
        <v>19899</v>
      </c>
      <c r="Q1240" t="s">
        <v>19900</v>
      </c>
      <c r="R1240" t="s">
        <v>19905</v>
      </c>
      <c r="S1240" t="s">
        <v>19906</v>
      </c>
      <c r="T1240" t="s">
        <v>19913</v>
      </c>
    </row>
    <row r="1241" spans="2:20" x14ac:dyDescent="0.25">
      <c r="B1241" t="s">
        <v>2709</v>
      </c>
      <c r="C1241">
        <v>21039011</v>
      </c>
      <c r="E1241">
        <v>28.74</v>
      </c>
      <c r="F1241">
        <v>18</v>
      </c>
      <c r="G1241">
        <v>0</v>
      </c>
      <c r="H1241">
        <v>7.6</v>
      </c>
      <c r="I1241">
        <v>1.65</v>
      </c>
      <c r="J1241">
        <v>18</v>
      </c>
      <c r="L1241" t="s">
        <v>2709</v>
      </c>
      <c r="M1241">
        <v>21039011</v>
      </c>
      <c r="O1241" t="s">
        <v>19976</v>
      </c>
      <c r="P1241" t="s">
        <v>19899</v>
      </c>
      <c r="Q1241" t="s">
        <v>19900</v>
      </c>
      <c r="R1241" t="s">
        <v>19905</v>
      </c>
      <c r="S1241" t="s">
        <v>19906</v>
      </c>
      <c r="T1241" t="s">
        <v>19899</v>
      </c>
    </row>
    <row r="1242" spans="2:20" x14ac:dyDescent="0.25">
      <c r="B1242" t="s">
        <v>2709</v>
      </c>
      <c r="C1242">
        <v>21039019</v>
      </c>
      <c r="E1242">
        <v>56.04</v>
      </c>
      <c r="F1242">
        <v>18</v>
      </c>
      <c r="G1242">
        <v>0</v>
      </c>
      <c r="H1242">
        <v>7.6</v>
      </c>
      <c r="I1242">
        <v>1.65</v>
      </c>
      <c r="J1242">
        <v>16</v>
      </c>
      <c r="L1242" t="s">
        <v>2709</v>
      </c>
      <c r="M1242">
        <v>21039019</v>
      </c>
      <c r="O1242" t="s">
        <v>19973</v>
      </c>
      <c r="P1242" t="s">
        <v>19899</v>
      </c>
      <c r="Q1242" t="s">
        <v>19900</v>
      </c>
      <c r="R1242" t="s">
        <v>19905</v>
      </c>
      <c r="S1242" t="s">
        <v>19906</v>
      </c>
      <c r="T1242" t="s">
        <v>19913</v>
      </c>
    </row>
    <row r="1243" spans="2:20" x14ac:dyDescent="0.25">
      <c r="B1243" t="s">
        <v>2709</v>
      </c>
      <c r="C1243">
        <v>21039021</v>
      </c>
      <c r="E1243">
        <v>60.61</v>
      </c>
      <c r="F1243">
        <v>18</v>
      </c>
      <c r="G1243">
        <v>0</v>
      </c>
      <c r="H1243">
        <v>7.6</v>
      </c>
      <c r="I1243">
        <v>1.65</v>
      </c>
      <c r="J1243">
        <v>18</v>
      </c>
      <c r="L1243" t="s">
        <v>2709</v>
      </c>
      <c r="M1243">
        <v>21039021</v>
      </c>
      <c r="O1243" t="s">
        <v>19977</v>
      </c>
      <c r="P1243" t="s">
        <v>19899</v>
      </c>
      <c r="Q1243" t="s">
        <v>19900</v>
      </c>
      <c r="R1243" t="s">
        <v>19905</v>
      </c>
      <c r="S1243" t="s">
        <v>19906</v>
      </c>
      <c r="T1243" t="s">
        <v>19899</v>
      </c>
    </row>
    <row r="1244" spans="2:20" x14ac:dyDescent="0.25">
      <c r="B1244" t="s">
        <v>2709</v>
      </c>
      <c r="C1244">
        <v>21039029</v>
      </c>
      <c r="E1244">
        <v>0</v>
      </c>
      <c r="F1244">
        <v>18</v>
      </c>
      <c r="G1244">
        <v>0</v>
      </c>
      <c r="H1244">
        <v>7.6</v>
      </c>
      <c r="I1244">
        <v>1.65</v>
      </c>
      <c r="J1244">
        <v>16</v>
      </c>
      <c r="L1244" t="s">
        <v>2709</v>
      </c>
      <c r="M1244">
        <v>21039029</v>
      </c>
      <c r="O1244" t="s">
        <v>19900</v>
      </c>
      <c r="P1244" t="s">
        <v>19899</v>
      </c>
      <c r="Q1244" t="s">
        <v>19900</v>
      </c>
      <c r="R1244" t="s">
        <v>19905</v>
      </c>
      <c r="S1244" t="s">
        <v>19906</v>
      </c>
      <c r="T1244" t="s">
        <v>19913</v>
      </c>
    </row>
    <row r="1245" spans="2:20" x14ac:dyDescent="0.25">
      <c r="B1245" t="s">
        <v>2709</v>
      </c>
      <c r="C1245">
        <v>21039091</v>
      </c>
      <c r="E1245">
        <v>60.61</v>
      </c>
      <c r="F1245">
        <v>18</v>
      </c>
      <c r="G1245">
        <v>0</v>
      </c>
      <c r="H1245">
        <v>7.6</v>
      </c>
      <c r="I1245">
        <v>1.65</v>
      </c>
      <c r="J1245">
        <v>18</v>
      </c>
      <c r="L1245" t="s">
        <v>2709</v>
      </c>
      <c r="M1245">
        <v>21039091</v>
      </c>
      <c r="O1245" t="s">
        <v>19977</v>
      </c>
      <c r="P1245" t="s">
        <v>19899</v>
      </c>
      <c r="Q1245" t="s">
        <v>19900</v>
      </c>
      <c r="R1245" t="s">
        <v>19905</v>
      </c>
      <c r="S1245" t="s">
        <v>19906</v>
      </c>
      <c r="T1245" t="s">
        <v>19899</v>
      </c>
    </row>
    <row r="1246" spans="2:20" x14ac:dyDescent="0.25">
      <c r="B1246" t="s">
        <v>2709</v>
      </c>
      <c r="C1246">
        <v>21039099</v>
      </c>
      <c r="E1246">
        <v>56.04</v>
      </c>
      <c r="F1246">
        <v>18</v>
      </c>
      <c r="G1246">
        <v>0</v>
      </c>
      <c r="H1246">
        <v>7.6</v>
      </c>
      <c r="I1246">
        <v>1.65</v>
      </c>
      <c r="J1246">
        <v>16</v>
      </c>
      <c r="L1246" t="s">
        <v>2709</v>
      </c>
      <c r="M1246">
        <v>21039099</v>
      </c>
      <c r="O1246" t="s">
        <v>19973</v>
      </c>
      <c r="P1246" t="s">
        <v>19899</v>
      </c>
      <c r="Q1246" t="s">
        <v>19900</v>
      </c>
      <c r="R1246" t="s">
        <v>19905</v>
      </c>
      <c r="S1246" t="s">
        <v>19906</v>
      </c>
      <c r="T1246" t="s">
        <v>19913</v>
      </c>
    </row>
    <row r="1247" spans="2:20" x14ac:dyDescent="0.25">
      <c r="B1247" t="s">
        <v>2709</v>
      </c>
      <c r="C1247">
        <v>21041011</v>
      </c>
      <c r="E1247">
        <v>49.72</v>
      </c>
      <c r="F1247">
        <v>18</v>
      </c>
      <c r="G1247">
        <v>0</v>
      </c>
      <c r="H1247">
        <v>7.6</v>
      </c>
      <c r="I1247">
        <v>1.65</v>
      </c>
      <c r="J1247">
        <v>18</v>
      </c>
      <c r="L1247" t="s">
        <v>2709</v>
      </c>
      <c r="M1247">
        <v>21041011</v>
      </c>
      <c r="O1247" t="s">
        <v>19978</v>
      </c>
      <c r="P1247" t="s">
        <v>19899</v>
      </c>
      <c r="Q1247" t="s">
        <v>19900</v>
      </c>
      <c r="R1247" t="s">
        <v>19905</v>
      </c>
      <c r="S1247" t="s">
        <v>19906</v>
      </c>
      <c r="T1247" t="s">
        <v>19899</v>
      </c>
    </row>
    <row r="1248" spans="2:20" x14ac:dyDescent="0.25">
      <c r="B1248" t="s">
        <v>2709</v>
      </c>
      <c r="C1248">
        <v>21041019</v>
      </c>
      <c r="E1248">
        <v>52.29</v>
      </c>
      <c r="F1248">
        <v>18</v>
      </c>
      <c r="G1248">
        <v>0</v>
      </c>
      <c r="H1248">
        <v>7.6</v>
      </c>
      <c r="I1248">
        <v>1.65</v>
      </c>
      <c r="J1248">
        <v>16</v>
      </c>
      <c r="L1248" t="s">
        <v>2709</v>
      </c>
      <c r="M1248">
        <v>21041019</v>
      </c>
      <c r="O1248" t="s">
        <v>19970</v>
      </c>
      <c r="P1248" t="s">
        <v>19899</v>
      </c>
      <c r="Q1248" t="s">
        <v>19900</v>
      </c>
      <c r="R1248" t="s">
        <v>19905</v>
      </c>
      <c r="S1248" t="s">
        <v>19906</v>
      </c>
      <c r="T1248" t="s">
        <v>19913</v>
      </c>
    </row>
    <row r="1249" spans="2:20" x14ac:dyDescent="0.25">
      <c r="B1249" t="s">
        <v>2709</v>
      </c>
      <c r="C1249">
        <v>21041021</v>
      </c>
      <c r="E1249">
        <v>42.33</v>
      </c>
      <c r="F1249">
        <v>18</v>
      </c>
      <c r="G1249">
        <v>0</v>
      </c>
      <c r="H1249">
        <v>7.6</v>
      </c>
      <c r="I1249">
        <v>1.65</v>
      </c>
      <c r="J1249">
        <v>18</v>
      </c>
      <c r="L1249" t="s">
        <v>2709</v>
      </c>
      <c r="M1249">
        <v>21041021</v>
      </c>
      <c r="O1249" t="s">
        <v>19920</v>
      </c>
      <c r="P1249" t="s">
        <v>19899</v>
      </c>
      <c r="Q1249" t="s">
        <v>19900</v>
      </c>
      <c r="R1249" t="s">
        <v>19905</v>
      </c>
      <c r="S1249" t="s">
        <v>19906</v>
      </c>
      <c r="T1249" t="s">
        <v>19899</v>
      </c>
    </row>
    <row r="1250" spans="2:20" x14ac:dyDescent="0.25">
      <c r="B1250" t="s">
        <v>2709</v>
      </c>
      <c r="C1250">
        <v>21041029</v>
      </c>
      <c r="E1250">
        <v>42.33</v>
      </c>
      <c r="F1250">
        <v>18</v>
      </c>
      <c r="G1250">
        <v>0</v>
      </c>
      <c r="H1250">
        <v>7.6</v>
      </c>
      <c r="I1250">
        <v>1.65</v>
      </c>
      <c r="J1250">
        <v>16</v>
      </c>
      <c r="L1250" t="s">
        <v>2709</v>
      </c>
      <c r="M1250">
        <v>21041029</v>
      </c>
      <c r="O1250" t="s">
        <v>19920</v>
      </c>
      <c r="P1250" t="s">
        <v>19899</v>
      </c>
      <c r="Q1250" t="s">
        <v>19900</v>
      </c>
      <c r="R1250" t="s">
        <v>19905</v>
      </c>
      <c r="S1250" t="s">
        <v>19906</v>
      </c>
      <c r="T1250" t="s">
        <v>19913</v>
      </c>
    </row>
    <row r="1251" spans="2:20" x14ac:dyDescent="0.25">
      <c r="B1251" t="s">
        <v>2709</v>
      </c>
      <c r="C1251">
        <v>21042000</v>
      </c>
      <c r="E1251">
        <v>41.23</v>
      </c>
      <c r="F1251">
        <v>18</v>
      </c>
      <c r="G1251">
        <v>0</v>
      </c>
      <c r="H1251">
        <v>7.6</v>
      </c>
      <c r="I1251">
        <v>1.65</v>
      </c>
      <c r="J1251">
        <v>16</v>
      </c>
      <c r="L1251" t="s">
        <v>2709</v>
      </c>
      <c r="M1251">
        <v>21042000</v>
      </c>
      <c r="O1251" t="s">
        <v>19979</v>
      </c>
      <c r="P1251" t="s">
        <v>19899</v>
      </c>
      <c r="Q1251" t="s">
        <v>19900</v>
      </c>
      <c r="R1251" t="s">
        <v>19905</v>
      </c>
      <c r="S1251" t="s">
        <v>19906</v>
      </c>
      <c r="T1251" t="s">
        <v>19913</v>
      </c>
    </row>
    <row r="1252" spans="2:20" x14ac:dyDescent="0.25">
      <c r="B1252" t="s">
        <v>2709</v>
      </c>
      <c r="C1252">
        <v>21050010</v>
      </c>
      <c r="E1252">
        <v>70</v>
      </c>
      <c r="F1252">
        <v>18</v>
      </c>
      <c r="G1252">
        <v>5</v>
      </c>
      <c r="H1252">
        <v>7.6</v>
      </c>
      <c r="I1252">
        <v>1.65</v>
      </c>
      <c r="J1252">
        <v>18</v>
      </c>
      <c r="L1252" t="s">
        <v>2709</v>
      </c>
      <c r="M1252">
        <v>21050010</v>
      </c>
      <c r="O1252" t="s">
        <v>19980</v>
      </c>
      <c r="P1252" t="s">
        <v>19899</v>
      </c>
      <c r="Q1252" t="s">
        <v>19909</v>
      </c>
      <c r="R1252" t="s">
        <v>19905</v>
      </c>
      <c r="S1252" t="s">
        <v>19906</v>
      </c>
      <c r="T1252" t="s">
        <v>19899</v>
      </c>
    </row>
    <row r="1253" spans="2:20" x14ac:dyDescent="0.25">
      <c r="B1253" t="s">
        <v>2709</v>
      </c>
      <c r="C1253">
        <v>21050090</v>
      </c>
      <c r="E1253">
        <v>70</v>
      </c>
      <c r="F1253">
        <v>18</v>
      </c>
      <c r="G1253">
        <v>5</v>
      </c>
      <c r="H1253">
        <v>7.6</v>
      </c>
      <c r="I1253">
        <v>1.65</v>
      </c>
      <c r="J1253">
        <v>16</v>
      </c>
      <c r="L1253" t="s">
        <v>2709</v>
      </c>
      <c r="M1253">
        <v>21050090</v>
      </c>
      <c r="O1253" t="s">
        <v>19980</v>
      </c>
      <c r="P1253" t="s">
        <v>19899</v>
      </c>
      <c r="Q1253" t="s">
        <v>19909</v>
      </c>
      <c r="R1253" t="s">
        <v>19905</v>
      </c>
      <c r="S1253" t="s">
        <v>19906</v>
      </c>
      <c r="T1253" t="s">
        <v>19913</v>
      </c>
    </row>
    <row r="1254" spans="2:20" x14ac:dyDescent="0.25">
      <c r="B1254" t="s">
        <v>2709</v>
      </c>
      <c r="C1254">
        <v>21061000</v>
      </c>
      <c r="E1254">
        <v>328</v>
      </c>
      <c r="F1254">
        <v>18</v>
      </c>
      <c r="G1254">
        <v>0</v>
      </c>
      <c r="H1254">
        <v>7.6</v>
      </c>
      <c r="I1254">
        <v>1.65</v>
      </c>
      <c r="J1254">
        <v>14</v>
      </c>
      <c r="L1254" t="s">
        <v>2709</v>
      </c>
      <c r="M1254">
        <v>21061000</v>
      </c>
      <c r="O1254" t="s">
        <v>19949</v>
      </c>
      <c r="P1254" t="s">
        <v>19899</v>
      </c>
      <c r="Q1254" t="s">
        <v>19900</v>
      </c>
      <c r="R1254" t="s">
        <v>19905</v>
      </c>
      <c r="S1254" t="s">
        <v>19906</v>
      </c>
      <c r="T1254" t="s">
        <v>19911</v>
      </c>
    </row>
    <row r="1255" spans="2:20" x14ac:dyDescent="0.25">
      <c r="B1255" t="s">
        <v>2709</v>
      </c>
      <c r="C1255">
        <v>21069010</v>
      </c>
      <c r="E1255">
        <v>328</v>
      </c>
      <c r="F1255">
        <v>18</v>
      </c>
      <c r="G1255">
        <v>0</v>
      </c>
      <c r="H1255">
        <v>7.6</v>
      </c>
      <c r="I1255">
        <v>1.65</v>
      </c>
      <c r="J1255">
        <v>14</v>
      </c>
      <c r="L1255" t="s">
        <v>2709</v>
      </c>
      <c r="M1255">
        <v>21069010</v>
      </c>
      <c r="O1255" t="s">
        <v>19949</v>
      </c>
      <c r="P1255" t="s">
        <v>19899</v>
      </c>
      <c r="Q1255" t="s">
        <v>19900</v>
      </c>
      <c r="R1255" t="s">
        <v>19905</v>
      </c>
      <c r="S1255" t="s">
        <v>19906</v>
      </c>
      <c r="T1255" t="s">
        <v>19911</v>
      </c>
    </row>
    <row r="1256" spans="2:20" x14ac:dyDescent="0.25">
      <c r="B1256" t="s">
        <v>2709</v>
      </c>
      <c r="C1256">
        <v>21069010</v>
      </c>
      <c r="D1256">
        <v>1</v>
      </c>
      <c r="E1256" t="s">
        <v>19447</v>
      </c>
      <c r="F1256">
        <v>18</v>
      </c>
      <c r="G1256">
        <v>20</v>
      </c>
      <c r="H1256">
        <v>7.6</v>
      </c>
      <c r="I1256">
        <v>1.65</v>
      </c>
      <c r="J1256">
        <v>14</v>
      </c>
      <c r="L1256" t="s">
        <v>2709</v>
      </c>
      <c r="M1256">
        <v>21069010</v>
      </c>
      <c r="N1256">
        <v>1</v>
      </c>
      <c r="O1256" t="s">
        <v>19447</v>
      </c>
      <c r="P1256" t="s">
        <v>19899</v>
      </c>
      <c r="Q1256" t="s">
        <v>19934</v>
      </c>
      <c r="R1256" t="s">
        <v>19905</v>
      </c>
      <c r="S1256" t="s">
        <v>19906</v>
      </c>
      <c r="T1256" t="s">
        <v>19911</v>
      </c>
    </row>
    <row r="1257" spans="2:20" x14ac:dyDescent="0.25">
      <c r="B1257" t="s">
        <v>2709</v>
      </c>
      <c r="C1257">
        <v>21069010</v>
      </c>
      <c r="D1257">
        <v>2</v>
      </c>
      <c r="E1257" t="s">
        <v>19447</v>
      </c>
      <c r="F1257">
        <v>18</v>
      </c>
      <c r="G1257">
        <v>30</v>
      </c>
      <c r="H1257">
        <v>7.6</v>
      </c>
      <c r="I1257">
        <v>1.65</v>
      </c>
      <c r="J1257">
        <v>14</v>
      </c>
      <c r="L1257" t="s">
        <v>2709</v>
      </c>
      <c r="M1257">
        <v>21069010</v>
      </c>
      <c r="N1257">
        <v>2</v>
      </c>
      <c r="O1257" t="s">
        <v>19447</v>
      </c>
      <c r="P1257" t="s">
        <v>19899</v>
      </c>
      <c r="Q1257" t="s">
        <v>19933</v>
      </c>
      <c r="R1257" t="s">
        <v>19905</v>
      </c>
      <c r="S1257" t="s">
        <v>19906</v>
      </c>
      <c r="T1257" t="s">
        <v>19911</v>
      </c>
    </row>
    <row r="1258" spans="2:20" x14ac:dyDescent="0.25">
      <c r="B1258" t="s">
        <v>2709</v>
      </c>
      <c r="C1258">
        <v>21069021</v>
      </c>
      <c r="E1258">
        <v>328</v>
      </c>
      <c r="F1258">
        <v>18</v>
      </c>
      <c r="G1258">
        <v>0</v>
      </c>
      <c r="H1258">
        <v>7.6</v>
      </c>
      <c r="I1258">
        <v>1.65</v>
      </c>
      <c r="J1258">
        <v>18</v>
      </c>
      <c r="L1258" t="s">
        <v>2709</v>
      </c>
      <c r="M1258">
        <v>21069021</v>
      </c>
      <c r="O1258" t="s">
        <v>19949</v>
      </c>
      <c r="P1258" t="s">
        <v>19899</v>
      </c>
      <c r="Q1258" t="s">
        <v>19900</v>
      </c>
      <c r="R1258" t="s">
        <v>19905</v>
      </c>
      <c r="S1258" t="s">
        <v>19906</v>
      </c>
      <c r="T1258" t="s">
        <v>19899</v>
      </c>
    </row>
    <row r="1259" spans="2:20" x14ac:dyDescent="0.25">
      <c r="B1259" t="s">
        <v>2709</v>
      </c>
      <c r="C1259">
        <v>21069029</v>
      </c>
      <c r="E1259">
        <v>328</v>
      </c>
      <c r="F1259">
        <v>18</v>
      </c>
      <c r="G1259">
        <v>0</v>
      </c>
      <c r="H1259">
        <v>7.6</v>
      </c>
      <c r="I1259">
        <v>1.65</v>
      </c>
      <c r="J1259">
        <v>16</v>
      </c>
      <c r="L1259" t="s">
        <v>2709</v>
      </c>
      <c r="M1259">
        <v>21069029</v>
      </c>
      <c r="O1259" t="s">
        <v>19949</v>
      </c>
      <c r="P1259" t="s">
        <v>19899</v>
      </c>
      <c r="Q1259" t="s">
        <v>19900</v>
      </c>
      <c r="R1259" t="s">
        <v>19905</v>
      </c>
      <c r="S1259" t="s">
        <v>19906</v>
      </c>
      <c r="T1259" t="s">
        <v>19913</v>
      </c>
    </row>
    <row r="1260" spans="2:20" x14ac:dyDescent="0.25">
      <c r="B1260" t="s">
        <v>2709</v>
      </c>
      <c r="C1260">
        <v>21069030</v>
      </c>
      <c r="E1260">
        <v>328</v>
      </c>
      <c r="F1260">
        <v>18</v>
      </c>
      <c r="G1260">
        <v>0</v>
      </c>
      <c r="H1260">
        <v>7.6</v>
      </c>
      <c r="I1260">
        <v>1.65</v>
      </c>
      <c r="J1260">
        <v>16</v>
      </c>
      <c r="L1260" t="s">
        <v>2709</v>
      </c>
      <c r="M1260">
        <v>21069030</v>
      </c>
      <c r="O1260" t="s">
        <v>19949</v>
      </c>
      <c r="P1260" t="s">
        <v>19899</v>
      </c>
      <c r="Q1260" t="s">
        <v>19900</v>
      </c>
      <c r="R1260" t="s">
        <v>19905</v>
      </c>
      <c r="S1260" t="s">
        <v>19906</v>
      </c>
      <c r="T1260" t="s">
        <v>19913</v>
      </c>
    </row>
    <row r="1261" spans="2:20" x14ac:dyDescent="0.25">
      <c r="B1261" t="s">
        <v>2709</v>
      </c>
      <c r="C1261">
        <v>21069040</v>
      </c>
      <c r="E1261">
        <v>328</v>
      </c>
      <c r="F1261">
        <v>18</v>
      </c>
      <c r="G1261">
        <v>0</v>
      </c>
      <c r="H1261">
        <v>7.6</v>
      </c>
      <c r="I1261">
        <v>1.65</v>
      </c>
      <c r="J1261">
        <v>14</v>
      </c>
      <c r="L1261" t="s">
        <v>2709</v>
      </c>
      <c r="M1261">
        <v>21069040</v>
      </c>
      <c r="O1261" t="s">
        <v>19949</v>
      </c>
      <c r="P1261" t="s">
        <v>19899</v>
      </c>
      <c r="Q1261" t="s">
        <v>19900</v>
      </c>
      <c r="R1261" t="s">
        <v>19905</v>
      </c>
      <c r="S1261" t="s">
        <v>19906</v>
      </c>
      <c r="T1261" t="s">
        <v>19911</v>
      </c>
    </row>
    <row r="1262" spans="2:20" x14ac:dyDescent="0.25">
      <c r="B1262" t="s">
        <v>2709</v>
      </c>
      <c r="C1262">
        <v>21069050</v>
      </c>
      <c r="E1262">
        <v>328</v>
      </c>
      <c r="F1262">
        <v>18</v>
      </c>
      <c r="G1262">
        <v>0</v>
      </c>
      <c r="H1262">
        <v>7.6</v>
      </c>
      <c r="I1262">
        <v>1.65</v>
      </c>
      <c r="J1262">
        <v>16</v>
      </c>
      <c r="L1262" t="s">
        <v>2709</v>
      </c>
      <c r="M1262">
        <v>21069050</v>
      </c>
      <c r="O1262" t="s">
        <v>19949</v>
      </c>
      <c r="P1262" t="s">
        <v>19899</v>
      </c>
      <c r="Q1262" t="s">
        <v>19900</v>
      </c>
      <c r="R1262" t="s">
        <v>19905</v>
      </c>
      <c r="S1262" t="s">
        <v>19906</v>
      </c>
      <c r="T1262" t="s">
        <v>19913</v>
      </c>
    </row>
    <row r="1263" spans="2:20" x14ac:dyDescent="0.25">
      <c r="B1263" t="s">
        <v>2709</v>
      </c>
      <c r="C1263">
        <v>21069060</v>
      </c>
      <c r="E1263">
        <v>328</v>
      </c>
      <c r="F1263">
        <v>18</v>
      </c>
      <c r="G1263">
        <v>0</v>
      </c>
      <c r="H1263">
        <v>7.6</v>
      </c>
      <c r="I1263">
        <v>1.65</v>
      </c>
      <c r="J1263">
        <v>16</v>
      </c>
      <c r="L1263" t="s">
        <v>2709</v>
      </c>
      <c r="M1263">
        <v>21069060</v>
      </c>
      <c r="O1263" t="s">
        <v>19949</v>
      </c>
      <c r="P1263" t="s">
        <v>19899</v>
      </c>
      <c r="Q1263" t="s">
        <v>19900</v>
      </c>
      <c r="R1263" t="s">
        <v>19905</v>
      </c>
      <c r="S1263" t="s">
        <v>19906</v>
      </c>
      <c r="T1263" t="s">
        <v>19913</v>
      </c>
    </row>
    <row r="1264" spans="2:20" x14ac:dyDescent="0.25">
      <c r="B1264" t="s">
        <v>2709</v>
      </c>
      <c r="C1264">
        <v>21069090</v>
      </c>
      <c r="E1264">
        <v>328</v>
      </c>
      <c r="F1264">
        <v>18</v>
      </c>
      <c r="G1264">
        <v>0</v>
      </c>
      <c r="H1264" t="s">
        <v>19447</v>
      </c>
      <c r="I1264" t="s">
        <v>19447</v>
      </c>
      <c r="J1264">
        <v>16</v>
      </c>
      <c r="L1264" t="s">
        <v>2709</v>
      </c>
      <c r="M1264">
        <v>21069090</v>
      </c>
      <c r="O1264" t="s">
        <v>19949</v>
      </c>
      <c r="P1264" t="s">
        <v>19899</v>
      </c>
      <c r="Q1264" t="s">
        <v>19900</v>
      </c>
      <c r="R1264" t="s">
        <v>19447</v>
      </c>
      <c r="S1264" t="s">
        <v>19447</v>
      </c>
      <c r="T1264" t="s">
        <v>19913</v>
      </c>
    </row>
    <row r="1265" spans="2:20" x14ac:dyDescent="0.25">
      <c r="B1265" t="s">
        <v>2709</v>
      </c>
      <c r="C1265">
        <v>22011000</v>
      </c>
      <c r="E1265">
        <v>250</v>
      </c>
      <c r="F1265">
        <v>25</v>
      </c>
      <c r="G1265">
        <v>15</v>
      </c>
      <c r="H1265">
        <v>16.649999999999999</v>
      </c>
      <c r="I1265">
        <v>3.5</v>
      </c>
      <c r="J1265">
        <v>20</v>
      </c>
      <c r="L1265" t="s">
        <v>2709</v>
      </c>
      <c r="M1265">
        <v>22011000</v>
      </c>
      <c r="O1265" t="s">
        <v>19981</v>
      </c>
      <c r="P1265" t="s">
        <v>19982</v>
      </c>
      <c r="Q1265" t="s">
        <v>19983</v>
      </c>
      <c r="R1265" t="s">
        <v>19984</v>
      </c>
      <c r="S1265" t="s">
        <v>19985</v>
      </c>
      <c r="T1265" t="s">
        <v>19934</v>
      </c>
    </row>
    <row r="1266" spans="2:20" x14ac:dyDescent="0.25">
      <c r="B1266" t="s">
        <v>2709</v>
      </c>
      <c r="C1266">
        <v>22011000</v>
      </c>
      <c r="D1266">
        <v>1</v>
      </c>
      <c r="E1266" t="s">
        <v>19447</v>
      </c>
      <c r="F1266">
        <v>18</v>
      </c>
      <c r="G1266">
        <v>0</v>
      </c>
      <c r="H1266">
        <v>7.6</v>
      </c>
      <c r="I1266">
        <v>1.65</v>
      </c>
      <c r="J1266">
        <v>20</v>
      </c>
      <c r="L1266" t="s">
        <v>2709</v>
      </c>
      <c r="M1266">
        <v>22011000</v>
      </c>
      <c r="N1266">
        <v>1</v>
      </c>
      <c r="O1266" t="s">
        <v>19447</v>
      </c>
      <c r="P1266" t="s">
        <v>19899</v>
      </c>
      <c r="Q1266" t="s">
        <v>19900</v>
      </c>
      <c r="R1266" t="s">
        <v>19905</v>
      </c>
      <c r="S1266" t="s">
        <v>19906</v>
      </c>
      <c r="T1266" t="s">
        <v>19934</v>
      </c>
    </row>
    <row r="1267" spans="2:20" x14ac:dyDescent="0.25">
      <c r="B1267" t="s">
        <v>2709</v>
      </c>
      <c r="C1267">
        <v>22011000</v>
      </c>
      <c r="D1267">
        <v>2</v>
      </c>
      <c r="E1267" t="s">
        <v>19447</v>
      </c>
      <c r="F1267">
        <v>18</v>
      </c>
      <c r="G1267">
        <v>0</v>
      </c>
      <c r="H1267">
        <v>7.6</v>
      </c>
      <c r="I1267">
        <v>1.65</v>
      </c>
      <c r="J1267">
        <v>20</v>
      </c>
      <c r="L1267" t="s">
        <v>2709</v>
      </c>
      <c r="M1267">
        <v>22011000</v>
      </c>
      <c r="N1267">
        <v>2</v>
      </c>
      <c r="O1267" t="s">
        <v>19447</v>
      </c>
      <c r="P1267" t="s">
        <v>19899</v>
      </c>
      <c r="Q1267" t="s">
        <v>19900</v>
      </c>
      <c r="R1267" t="s">
        <v>19905</v>
      </c>
      <c r="S1267" t="s">
        <v>19906</v>
      </c>
      <c r="T1267" t="s">
        <v>19934</v>
      </c>
    </row>
    <row r="1268" spans="2:20" x14ac:dyDescent="0.25">
      <c r="B1268" t="s">
        <v>2709</v>
      </c>
      <c r="C1268">
        <v>22019000</v>
      </c>
      <c r="E1268">
        <v>250</v>
      </c>
      <c r="F1268">
        <v>25</v>
      </c>
      <c r="G1268">
        <v>0</v>
      </c>
      <c r="H1268">
        <v>7.6</v>
      </c>
      <c r="I1268">
        <v>1.65</v>
      </c>
      <c r="J1268">
        <v>20</v>
      </c>
      <c r="L1268" t="s">
        <v>2709</v>
      </c>
      <c r="M1268">
        <v>22019000</v>
      </c>
      <c r="O1268" t="s">
        <v>19981</v>
      </c>
      <c r="P1268" t="s">
        <v>19982</v>
      </c>
      <c r="Q1268" t="s">
        <v>19900</v>
      </c>
      <c r="R1268" t="s">
        <v>19905</v>
      </c>
      <c r="S1268" t="s">
        <v>19906</v>
      </c>
      <c r="T1268" t="s">
        <v>19934</v>
      </c>
    </row>
    <row r="1269" spans="2:20" x14ac:dyDescent="0.25">
      <c r="B1269" t="s">
        <v>2709</v>
      </c>
      <c r="C1269">
        <v>22021000</v>
      </c>
      <c r="E1269">
        <v>140</v>
      </c>
      <c r="F1269">
        <v>25</v>
      </c>
      <c r="G1269">
        <v>27</v>
      </c>
      <c r="H1269">
        <v>16.649999999999999</v>
      </c>
      <c r="I1269">
        <v>3.5</v>
      </c>
      <c r="J1269">
        <v>20</v>
      </c>
      <c r="L1269" t="s">
        <v>2709</v>
      </c>
      <c r="M1269">
        <v>22021000</v>
      </c>
      <c r="O1269" t="s">
        <v>19986</v>
      </c>
      <c r="P1269" t="s">
        <v>19982</v>
      </c>
      <c r="Q1269" t="s">
        <v>19987</v>
      </c>
      <c r="R1269" t="s">
        <v>19984</v>
      </c>
      <c r="S1269" t="s">
        <v>19985</v>
      </c>
      <c r="T1269" t="s">
        <v>19934</v>
      </c>
    </row>
    <row r="1270" spans="2:20" x14ac:dyDescent="0.25">
      <c r="B1270" t="s">
        <v>2709</v>
      </c>
      <c r="C1270">
        <v>22021000</v>
      </c>
      <c r="D1270">
        <v>1</v>
      </c>
      <c r="E1270" t="s">
        <v>19447</v>
      </c>
      <c r="F1270">
        <v>18</v>
      </c>
      <c r="G1270">
        <v>27</v>
      </c>
      <c r="H1270">
        <v>7.6</v>
      </c>
      <c r="I1270">
        <v>1.65</v>
      </c>
      <c r="J1270">
        <v>20</v>
      </c>
      <c r="L1270" t="s">
        <v>2709</v>
      </c>
      <c r="M1270">
        <v>22021000</v>
      </c>
      <c r="N1270">
        <v>1</v>
      </c>
      <c r="O1270" t="s">
        <v>19447</v>
      </c>
      <c r="P1270" t="s">
        <v>19899</v>
      </c>
      <c r="Q1270" t="s">
        <v>19987</v>
      </c>
      <c r="R1270" t="s">
        <v>19905</v>
      </c>
      <c r="S1270" t="s">
        <v>19906</v>
      </c>
      <c r="T1270" t="s">
        <v>19934</v>
      </c>
    </row>
    <row r="1271" spans="2:20" x14ac:dyDescent="0.25">
      <c r="B1271" t="s">
        <v>2709</v>
      </c>
      <c r="C1271">
        <v>22029000</v>
      </c>
      <c r="E1271">
        <v>140</v>
      </c>
      <c r="F1271">
        <v>25</v>
      </c>
      <c r="G1271">
        <v>27</v>
      </c>
      <c r="H1271" t="s">
        <v>19447</v>
      </c>
      <c r="I1271" t="s">
        <v>19447</v>
      </c>
      <c r="J1271">
        <v>20</v>
      </c>
      <c r="L1271" t="s">
        <v>2709</v>
      </c>
      <c r="M1271">
        <v>22029000</v>
      </c>
      <c r="O1271" t="s">
        <v>19986</v>
      </c>
      <c r="P1271" t="s">
        <v>19982</v>
      </c>
      <c r="Q1271" t="s">
        <v>19987</v>
      </c>
      <c r="R1271" t="s">
        <v>19447</v>
      </c>
      <c r="S1271" t="s">
        <v>19447</v>
      </c>
      <c r="T1271" t="s">
        <v>19934</v>
      </c>
    </row>
    <row r="1272" spans="2:20" x14ac:dyDescent="0.25">
      <c r="B1272" t="s">
        <v>2709</v>
      </c>
      <c r="C1272">
        <v>22029000</v>
      </c>
      <c r="D1272">
        <v>1</v>
      </c>
      <c r="E1272" t="s">
        <v>19447</v>
      </c>
      <c r="F1272">
        <v>18</v>
      </c>
      <c r="G1272">
        <v>0</v>
      </c>
      <c r="H1272">
        <v>7.6</v>
      </c>
      <c r="I1272">
        <v>1.65</v>
      </c>
      <c r="J1272">
        <v>20</v>
      </c>
      <c r="L1272" t="s">
        <v>2709</v>
      </c>
      <c r="M1272">
        <v>22029000</v>
      </c>
      <c r="N1272">
        <v>1</v>
      </c>
      <c r="O1272" t="s">
        <v>19447</v>
      </c>
      <c r="P1272" t="s">
        <v>19899</v>
      </c>
      <c r="Q1272" t="s">
        <v>19900</v>
      </c>
      <c r="R1272" t="s">
        <v>19905</v>
      </c>
      <c r="S1272" t="s">
        <v>19906</v>
      </c>
      <c r="T1272" t="s">
        <v>19934</v>
      </c>
    </row>
    <row r="1273" spans="2:20" x14ac:dyDescent="0.25">
      <c r="B1273" t="s">
        <v>2709</v>
      </c>
      <c r="C1273">
        <v>22029000</v>
      </c>
      <c r="D1273">
        <v>2</v>
      </c>
      <c r="E1273" t="s">
        <v>19447</v>
      </c>
      <c r="F1273">
        <v>18</v>
      </c>
      <c r="G1273">
        <v>0</v>
      </c>
      <c r="H1273">
        <v>7.6</v>
      </c>
      <c r="I1273">
        <v>1.65</v>
      </c>
      <c r="J1273">
        <v>20</v>
      </c>
      <c r="L1273" t="s">
        <v>2709</v>
      </c>
      <c r="M1273">
        <v>22029000</v>
      </c>
      <c r="N1273">
        <v>2</v>
      </c>
      <c r="O1273" t="s">
        <v>19447</v>
      </c>
      <c r="P1273" t="s">
        <v>19899</v>
      </c>
      <c r="Q1273" t="s">
        <v>19900</v>
      </c>
      <c r="R1273" t="s">
        <v>19905</v>
      </c>
      <c r="S1273" t="s">
        <v>19906</v>
      </c>
      <c r="T1273" t="s">
        <v>19934</v>
      </c>
    </row>
    <row r="1274" spans="2:20" x14ac:dyDescent="0.25">
      <c r="B1274" t="s">
        <v>2709</v>
      </c>
      <c r="C1274">
        <v>22029000</v>
      </c>
      <c r="D1274">
        <v>3</v>
      </c>
      <c r="E1274" t="s">
        <v>19447</v>
      </c>
      <c r="F1274">
        <v>18</v>
      </c>
      <c r="G1274">
        <v>27</v>
      </c>
      <c r="H1274">
        <v>7.6</v>
      </c>
      <c r="I1274">
        <v>1.65</v>
      </c>
      <c r="J1274">
        <v>20</v>
      </c>
      <c r="L1274" t="s">
        <v>2709</v>
      </c>
      <c r="M1274">
        <v>22029000</v>
      </c>
      <c r="N1274">
        <v>3</v>
      </c>
      <c r="O1274" t="s">
        <v>19447</v>
      </c>
      <c r="P1274" t="s">
        <v>19899</v>
      </c>
      <c r="Q1274" t="s">
        <v>19987</v>
      </c>
      <c r="R1274" t="s">
        <v>19905</v>
      </c>
      <c r="S1274" t="s">
        <v>19906</v>
      </c>
      <c r="T1274" t="s">
        <v>19934</v>
      </c>
    </row>
    <row r="1275" spans="2:20" x14ac:dyDescent="0.25">
      <c r="B1275" t="s">
        <v>2709</v>
      </c>
      <c r="C1275">
        <v>22029000</v>
      </c>
      <c r="D1275">
        <v>4</v>
      </c>
      <c r="E1275" t="s">
        <v>19447</v>
      </c>
      <c r="F1275">
        <v>18</v>
      </c>
      <c r="G1275">
        <v>27</v>
      </c>
      <c r="H1275">
        <v>7.6</v>
      </c>
      <c r="I1275">
        <v>1.65</v>
      </c>
      <c r="J1275">
        <v>20</v>
      </c>
      <c r="L1275" t="s">
        <v>2709</v>
      </c>
      <c r="M1275">
        <v>22029000</v>
      </c>
      <c r="N1275">
        <v>4</v>
      </c>
      <c r="O1275" t="s">
        <v>19447</v>
      </c>
      <c r="P1275" t="s">
        <v>19899</v>
      </c>
      <c r="Q1275" t="s">
        <v>19987</v>
      </c>
      <c r="R1275" t="s">
        <v>19905</v>
      </c>
      <c r="S1275" t="s">
        <v>19906</v>
      </c>
      <c r="T1275" t="s">
        <v>19934</v>
      </c>
    </row>
    <row r="1276" spans="2:20" x14ac:dyDescent="0.25">
      <c r="B1276" t="s">
        <v>2709</v>
      </c>
      <c r="C1276">
        <v>22029000</v>
      </c>
      <c r="D1276">
        <v>5</v>
      </c>
      <c r="E1276" t="s">
        <v>19447</v>
      </c>
      <c r="F1276">
        <v>18</v>
      </c>
      <c r="G1276">
        <v>27</v>
      </c>
      <c r="H1276">
        <v>7.6</v>
      </c>
      <c r="I1276">
        <v>1.65</v>
      </c>
      <c r="J1276">
        <v>20</v>
      </c>
      <c r="L1276" t="s">
        <v>2709</v>
      </c>
      <c r="M1276">
        <v>22029000</v>
      </c>
      <c r="N1276">
        <v>5</v>
      </c>
      <c r="O1276" t="s">
        <v>19447</v>
      </c>
      <c r="P1276" t="s">
        <v>19899</v>
      </c>
      <c r="Q1276" t="s">
        <v>19987</v>
      </c>
      <c r="R1276" t="s">
        <v>19905</v>
      </c>
      <c r="S1276" t="s">
        <v>19906</v>
      </c>
      <c r="T1276" t="s">
        <v>19934</v>
      </c>
    </row>
    <row r="1277" spans="2:20" x14ac:dyDescent="0.25">
      <c r="B1277" t="s">
        <v>2709</v>
      </c>
      <c r="C1277">
        <v>22030000</v>
      </c>
      <c r="E1277">
        <v>140</v>
      </c>
      <c r="F1277">
        <v>25</v>
      </c>
      <c r="G1277">
        <v>40</v>
      </c>
      <c r="H1277">
        <v>16.649999999999999</v>
      </c>
      <c r="I1277">
        <v>3.5</v>
      </c>
      <c r="J1277">
        <v>20</v>
      </c>
      <c r="L1277" t="s">
        <v>2709</v>
      </c>
      <c r="M1277">
        <v>22030000</v>
      </c>
      <c r="O1277" t="s">
        <v>19986</v>
      </c>
      <c r="P1277" t="s">
        <v>19982</v>
      </c>
      <c r="Q1277" t="s">
        <v>19922</v>
      </c>
      <c r="R1277" t="s">
        <v>19984</v>
      </c>
      <c r="S1277" t="s">
        <v>19985</v>
      </c>
      <c r="T1277" t="s">
        <v>19934</v>
      </c>
    </row>
    <row r="1278" spans="2:20" x14ac:dyDescent="0.25">
      <c r="B1278" t="s">
        <v>2709</v>
      </c>
      <c r="C1278">
        <v>22030000</v>
      </c>
      <c r="D1278">
        <v>1</v>
      </c>
      <c r="E1278" t="s">
        <v>19447</v>
      </c>
      <c r="F1278">
        <v>18</v>
      </c>
      <c r="G1278">
        <v>40</v>
      </c>
      <c r="H1278">
        <v>7.6</v>
      </c>
      <c r="I1278">
        <v>1.65</v>
      </c>
      <c r="J1278">
        <v>20</v>
      </c>
      <c r="L1278" t="s">
        <v>2709</v>
      </c>
      <c r="M1278">
        <v>22030000</v>
      </c>
      <c r="N1278">
        <v>1</v>
      </c>
      <c r="O1278" t="s">
        <v>19447</v>
      </c>
      <c r="P1278" t="s">
        <v>19899</v>
      </c>
      <c r="Q1278" t="s">
        <v>19922</v>
      </c>
      <c r="R1278" t="s">
        <v>19905</v>
      </c>
      <c r="S1278" t="s">
        <v>19906</v>
      </c>
      <c r="T1278" t="s">
        <v>19934</v>
      </c>
    </row>
    <row r="1279" spans="2:20" x14ac:dyDescent="0.25">
      <c r="B1279" t="s">
        <v>2709</v>
      </c>
      <c r="C1279">
        <v>22041010</v>
      </c>
      <c r="E1279">
        <v>72.25</v>
      </c>
      <c r="F1279">
        <v>25</v>
      </c>
      <c r="G1279">
        <v>20</v>
      </c>
      <c r="H1279">
        <v>7.6</v>
      </c>
      <c r="I1279">
        <v>1.65</v>
      </c>
      <c r="J1279">
        <v>20</v>
      </c>
      <c r="L1279" t="s">
        <v>2709</v>
      </c>
      <c r="M1279">
        <v>22041010</v>
      </c>
      <c r="O1279" t="s">
        <v>19988</v>
      </c>
      <c r="P1279" t="s">
        <v>19982</v>
      </c>
      <c r="Q1279" t="s">
        <v>19934</v>
      </c>
      <c r="R1279" t="s">
        <v>19905</v>
      </c>
      <c r="S1279" t="s">
        <v>19906</v>
      </c>
      <c r="T1279" t="s">
        <v>19934</v>
      </c>
    </row>
    <row r="1280" spans="2:20" x14ac:dyDescent="0.25">
      <c r="B1280" t="s">
        <v>2709</v>
      </c>
      <c r="C1280">
        <v>22041090</v>
      </c>
      <c r="E1280">
        <v>72.25</v>
      </c>
      <c r="F1280">
        <v>25</v>
      </c>
      <c r="G1280">
        <v>20</v>
      </c>
      <c r="H1280">
        <v>7.6</v>
      </c>
      <c r="I1280">
        <v>1.65</v>
      </c>
      <c r="J1280">
        <v>20</v>
      </c>
      <c r="L1280" t="s">
        <v>2709</v>
      </c>
      <c r="M1280">
        <v>22041090</v>
      </c>
      <c r="O1280" t="s">
        <v>19988</v>
      </c>
      <c r="P1280" t="s">
        <v>19982</v>
      </c>
      <c r="Q1280" t="s">
        <v>19934</v>
      </c>
      <c r="R1280" t="s">
        <v>19905</v>
      </c>
      <c r="S1280" t="s">
        <v>19906</v>
      </c>
      <c r="T1280" t="s">
        <v>19934</v>
      </c>
    </row>
    <row r="1281" spans="2:20" x14ac:dyDescent="0.25">
      <c r="B1281" t="s">
        <v>2709</v>
      </c>
      <c r="C1281">
        <v>22042100</v>
      </c>
      <c r="E1281">
        <v>72.25</v>
      </c>
      <c r="F1281">
        <v>25</v>
      </c>
      <c r="G1281">
        <v>10</v>
      </c>
      <c r="H1281">
        <v>7.6</v>
      </c>
      <c r="I1281">
        <v>1.65</v>
      </c>
      <c r="J1281">
        <v>27</v>
      </c>
      <c r="L1281" t="s">
        <v>2709</v>
      </c>
      <c r="M1281">
        <v>22042100</v>
      </c>
      <c r="O1281" t="s">
        <v>19988</v>
      </c>
      <c r="P1281" t="s">
        <v>19982</v>
      </c>
      <c r="Q1281" t="s">
        <v>19904</v>
      </c>
      <c r="R1281" t="s">
        <v>19905</v>
      </c>
      <c r="S1281" t="s">
        <v>19906</v>
      </c>
      <c r="T1281" t="s">
        <v>19987</v>
      </c>
    </row>
    <row r="1282" spans="2:20" x14ac:dyDescent="0.25">
      <c r="B1282" t="s">
        <v>2709</v>
      </c>
      <c r="C1282">
        <v>22042100</v>
      </c>
      <c r="D1282">
        <v>1</v>
      </c>
      <c r="E1282" t="s">
        <v>19447</v>
      </c>
      <c r="F1282">
        <v>18</v>
      </c>
      <c r="G1282">
        <v>40</v>
      </c>
      <c r="H1282">
        <v>7.6</v>
      </c>
      <c r="I1282">
        <v>1.65</v>
      </c>
      <c r="J1282">
        <v>27</v>
      </c>
      <c r="L1282" t="s">
        <v>2709</v>
      </c>
      <c r="M1282">
        <v>22042100</v>
      </c>
      <c r="N1282">
        <v>1</v>
      </c>
      <c r="O1282" t="s">
        <v>19447</v>
      </c>
      <c r="P1282" t="s">
        <v>19899</v>
      </c>
      <c r="Q1282" t="s">
        <v>19922</v>
      </c>
      <c r="R1282" t="s">
        <v>19905</v>
      </c>
      <c r="S1282" t="s">
        <v>19906</v>
      </c>
      <c r="T1282" t="s">
        <v>19987</v>
      </c>
    </row>
    <row r="1283" spans="2:20" x14ac:dyDescent="0.25">
      <c r="B1283" t="s">
        <v>2709</v>
      </c>
      <c r="C1283">
        <v>22042911</v>
      </c>
      <c r="E1283">
        <v>72.25</v>
      </c>
      <c r="F1283">
        <v>25</v>
      </c>
      <c r="G1283">
        <v>10</v>
      </c>
      <c r="H1283">
        <v>7.6</v>
      </c>
      <c r="I1283">
        <v>1.65</v>
      </c>
      <c r="J1283">
        <v>20</v>
      </c>
      <c r="L1283" t="s">
        <v>2709</v>
      </c>
      <c r="M1283">
        <v>22042911</v>
      </c>
      <c r="O1283" t="s">
        <v>19988</v>
      </c>
      <c r="P1283" t="s">
        <v>19982</v>
      </c>
      <c r="Q1283" t="s">
        <v>19904</v>
      </c>
      <c r="R1283" t="s">
        <v>19905</v>
      </c>
      <c r="S1283" t="s">
        <v>19906</v>
      </c>
      <c r="T1283" t="s">
        <v>19934</v>
      </c>
    </row>
    <row r="1284" spans="2:20" x14ac:dyDescent="0.25">
      <c r="B1284" t="s">
        <v>2709</v>
      </c>
      <c r="C1284">
        <v>22042911</v>
      </c>
      <c r="D1284">
        <v>1</v>
      </c>
      <c r="E1284" t="s">
        <v>19447</v>
      </c>
      <c r="F1284">
        <v>18</v>
      </c>
      <c r="G1284">
        <v>40</v>
      </c>
      <c r="H1284">
        <v>7.6</v>
      </c>
      <c r="I1284">
        <v>1.65</v>
      </c>
      <c r="J1284">
        <v>20</v>
      </c>
      <c r="L1284" t="s">
        <v>2709</v>
      </c>
      <c r="M1284">
        <v>22042911</v>
      </c>
      <c r="N1284">
        <v>1</v>
      </c>
      <c r="O1284" t="s">
        <v>19447</v>
      </c>
      <c r="P1284" t="s">
        <v>19899</v>
      </c>
      <c r="Q1284" t="s">
        <v>19922</v>
      </c>
      <c r="R1284" t="s">
        <v>19905</v>
      </c>
      <c r="S1284" t="s">
        <v>19906</v>
      </c>
      <c r="T1284" t="s">
        <v>19934</v>
      </c>
    </row>
    <row r="1285" spans="2:20" x14ac:dyDescent="0.25">
      <c r="B1285" t="s">
        <v>2709</v>
      </c>
      <c r="C1285">
        <v>22042919</v>
      </c>
      <c r="E1285">
        <v>72.25</v>
      </c>
      <c r="F1285">
        <v>25</v>
      </c>
      <c r="G1285">
        <v>10</v>
      </c>
      <c r="H1285">
        <v>7.6</v>
      </c>
      <c r="I1285">
        <v>1.65</v>
      </c>
      <c r="J1285">
        <v>20</v>
      </c>
      <c r="L1285" t="s">
        <v>2709</v>
      </c>
      <c r="M1285">
        <v>22042919</v>
      </c>
      <c r="O1285" t="s">
        <v>19988</v>
      </c>
      <c r="P1285" t="s">
        <v>19982</v>
      </c>
      <c r="Q1285" t="s">
        <v>19904</v>
      </c>
      <c r="R1285" t="s">
        <v>19905</v>
      </c>
      <c r="S1285" t="s">
        <v>19906</v>
      </c>
      <c r="T1285" t="s">
        <v>19934</v>
      </c>
    </row>
    <row r="1286" spans="2:20" x14ac:dyDescent="0.25">
      <c r="B1286" t="s">
        <v>2709</v>
      </c>
      <c r="C1286">
        <v>22042919</v>
      </c>
      <c r="D1286">
        <v>1</v>
      </c>
      <c r="E1286" t="s">
        <v>19447</v>
      </c>
      <c r="F1286">
        <v>18</v>
      </c>
      <c r="G1286">
        <v>40</v>
      </c>
      <c r="H1286">
        <v>7.6</v>
      </c>
      <c r="I1286">
        <v>1.65</v>
      </c>
      <c r="J1286">
        <v>20</v>
      </c>
      <c r="L1286" t="s">
        <v>2709</v>
      </c>
      <c r="M1286">
        <v>22042919</v>
      </c>
      <c r="N1286">
        <v>1</v>
      </c>
      <c r="O1286" t="s">
        <v>19447</v>
      </c>
      <c r="P1286" t="s">
        <v>19899</v>
      </c>
      <c r="Q1286" t="s">
        <v>19922</v>
      </c>
      <c r="R1286" t="s">
        <v>19905</v>
      </c>
      <c r="S1286" t="s">
        <v>19906</v>
      </c>
      <c r="T1286" t="s">
        <v>19934</v>
      </c>
    </row>
    <row r="1287" spans="2:20" x14ac:dyDescent="0.25">
      <c r="B1287" t="s">
        <v>2709</v>
      </c>
      <c r="C1287">
        <v>22042920</v>
      </c>
      <c r="E1287">
        <v>72.25</v>
      </c>
      <c r="F1287">
        <v>25</v>
      </c>
      <c r="G1287">
        <v>10</v>
      </c>
      <c r="H1287">
        <v>7.6</v>
      </c>
      <c r="I1287">
        <v>1.65</v>
      </c>
      <c r="J1287">
        <v>20</v>
      </c>
      <c r="L1287" t="s">
        <v>2709</v>
      </c>
      <c r="M1287">
        <v>22042920</v>
      </c>
      <c r="O1287" t="s">
        <v>19988</v>
      </c>
      <c r="P1287" t="s">
        <v>19982</v>
      </c>
      <c r="Q1287" t="s">
        <v>19904</v>
      </c>
      <c r="R1287" t="s">
        <v>19905</v>
      </c>
      <c r="S1287" t="s">
        <v>19906</v>
      </c>
      <c r="T1287" t="s">
        <v>19934</v>
      </c>
    </row>
    <row r="1288" spans="2:20" x14ac:dyDescent="0.25">
      <c r="B1288" t="s">
        <v>2709</v>
      </c>
      <c r="C1288">
        <v>22043000</v>
      </c>
      <c r="E1288">
        <v>72.25</v>
      </c>
      <c r="F1288">
        <v>25</v>
      </c>
      <c r="G1288">
        <v>10</v>
      </c>
      <c r="H1288">
        <v>7.6</v>
      </c>
      <c r="I1288">
        <v>1.65</v>
      </c>
      <c r="J1288">
        <v>20</v>
      </c>
      <c r="L1288" t="s">
        <v>2709</v>
      </c>
      <c r="M1288">
        <v>22043000</v>
      </c>
      <c r="O1288" t="s">
        <v>19988</v>
      </c>
      <c r="P1288" t="s">
        <v>19982</v>
      </c>
      <c r="Q1288" t="s">
        <v>19904</v>
      </c>
      <c r="R1288" t="s">
        <v>19905</v>
      </c>
      <c r="S1288" t="s">
        <v>19906</v>
      </c>
      <c r="T1288" t="s">
        <v>19934</v>
      </c>
    </row>
    <row r="1289" spans="2:20" x14ac:dyDescent="0.25">
      <c r="B1289" t="s">
        <v>2709</v>
      </c>
      <c r="C1289">
        <v>22051000</v>
      </c>
      <c r="E1289">
        <v>72.25</v>
      </c>
      <c r="F1289">
        <v>25</v>
      </c>
      <c r="G1289">
        <v>30</v>
      </c>
      <c r="H1289">
        <v>7.6</v>
      </c>
      <c r="I1289">
        <v>1.65</v>
      </c>
      <c r="J1289">
        <v>20</v>
      </c>
      <c r="L1289" t="s">
        <v>2709</v>
      </c>
      <c r="M1289">
        <v>22051000</v>
      </c>
      <c r="O1289" t="s">
        <v>19988</v>
      </c>
      <c r="P1289" t="s">
        <v>19982</v>
      </c>
      <c r="Q1289" t="s">
        <v>19933</v>
      </c>
      <c r="R1289" t="s">
        <v>19905</v>
      </c>
      <c r="S1289" t="s">
        <v>19906</v>
      </c>
      <c r="T1289" t="s">
        <v>19934</v>
      </c>
    </row>
    <row r="1290" spans="2:20" x14ac:dyDescent="0.25">
      <c r="B1290" t="s">
        <v>2709</v>
      </c>
      <c r="C1290">
        <v>22059000</v>
      </c>
      <c r="E1290">
        <v>61.05</v>
      </c>
      <c r="F1290">
        <v>25</v>
      </c>
      <c r="G1290">
        <v>30</v>
      </c>
      <c r="H1290">
        <v>7.6</v>
      </c>
      <c r="I1290">
        <v>1.65</v>
      </c>
      <c r="J1290">
        <v>20</v>
      </c>
      <c r="L1290" t="s">
        <v>2709</v>
      </c>
      <c r="M1290">
        <v>22059000</v>
      </c>
      <c r="O1290" t="s">
        <v>19989</v>
      </c>
      <c r="P1290" t="s">
        <v>19982</v>
      </c>
      <c r="Q1290" t="s">
        <v>19933</v>
      </c>
      <c r="R1290" t="s">
        <v>19905</v>
      </c>
      <c r="S1290" t="s">
        <v>19906</v>
      </c>
      <c r="T1290" t="s">
        <v>19934</v>
      </c>
    </row>
    <row r="1291" spans="2:20" x14ac:dyDescent="0.25">
      <c r="B1291" t="s">
        <v>2709</v>
      </c>
      <c r="C1291">
        <v>22060010</v>
      </c>
      <c r="E1291">
        <v>72.25</v>
      </c>
      <c r="F1291">
        <v>25</v>
      </c>
      <c r="G1291">
        <v>10</v>
      </c>
      <c r="H1291">
        <v>7.6</v>
      </c>
      <c r="I1291">
        <v>1.65</v>
      </c>
      <c r="J1291">
        <v>20</v>
      </c>
      <c r="L1291" t="s">
        <v>2709</v>
      </c>
      <c r="M1291">
        <v>22060010</v>
      </c>
      <c r="O1291" t="s">
        <v>19988</v>
      </c>
      <c r="P1291" t="s">
        <v>19982</v>
      </c>
      <c r="Q1291" t="s">
        <v>19904</v>
      </c>
      <c r="R1291" t="s">
        <v>19905</v>
      </c>
      <c r="S1291" t="s">
        <v>19906</v>
      </c>
      <c r="T1291" t="s">
        <v>19934</v>
      </c>
    </row>
    <row r="1292" spans="2:20" x14ac:dyDescent="0.25">
      <c r="B1292" t="s">
        <v>2709</v>
      </c>
      <c r="C1292">
        <v>22060090</v>
      </c>
      <c r="E1292">
        <v>72.25</v>
      </c>
      <c r="F1292">
        <v>25</v>
      </c>
      <c r="G1292">
        <v>10</v>
      </c>
      <c r="H1292">
        <v>7.6</v>
      </c>
      <c r="I1292">
        <v>1.65</v>
      </c>
      <c r="J1292">
        <v>20</v>
      </c>
      <c r="L1292" t="s">
        <v>2709</v>
      </c>
      <c r="M1292">
        <v>22060090</v>
      </c>
      <c r="O1292" t="s">
        <v>19988</v>
      </c>
      <c r="P1292" t="s">
        <v>19982</v>
      </c>
      <c r="Q1292" t="s">
        <v>19904</v>
      </c>
      <c r="R1292" t="s">
        <v>19905</v>
      </c>
      <c r="S1292" t="s">
        <v>19906</v>
      </c>
      <c r="T1292" t="s">
        <v>19934</v>
      </c>
    </row>
    <row r="1293" spans="2:20" x14ac:dyDescent="0.25">
      <c r="B1293" t="s">
        <v>2709</v>
      </c>
      <c r="C1293">
        <v>22060090</v>
      </c>
      <c r="D1293">
        <v>1</v>
      </c>
      <c r="E1293" t="s">
        <v>19447</v>
      </c>
      <c r="F1293">
        <v>18</v>
      </c>
      <c r="G1293">
        <v>40</v>
      </c>
      <c r="H1293">
        <v>7.6</v>
      </c>
      <c r="I1293">
        <v>1.65</v>
      </c>
      <c r="J1293">
        <v>20</v>
      </c>
      <c r="L1293" t="s">
        <v>2709</v>
      </c>
      <c r="M1293">
        <v>22060090</v>
      </c>
      <c r="N1293">
        <v>1</v>
      </c>
      <c r="O1293" t="s">
        <v>19447</v>
      </c>
      <c r="P1293" t="s">
        <v>19899</v>
      </c>
      <c r="Q1293" t="s">
        <v>19922</v>
      </c>
      <c r="R1293" t="s">
        <v>19905</v>
      </c>
      <c r="S1293" t="s">
        <v>19906</v>
      </c>
      <c r="T1293" t="s">
        <v>19934</v>
      </c>
    </row>
    <row r="1294" spans="2:20" x14ac:dyDescent="0.25">
      <c r="B1294" t="s">
        <v>2709</v>
      </c>
      <c r="C1294">
        <v>22071010</v>
      </c>
      <c r="E1294">
        <v>38.86</v>
      </c>
      <c r="F1294">
        <v>25</v>
      </c>
      <c r="G1294">
        <v>0</v>
      </c>
      <c r="H1294">
        <v>17.25</v>
      </c>
      <c r="I1294">
        <v>3.75</v>
      </c>
      <c r="J1294">
        <v>0</v>
      </c>
      <c r="L1294" t="s">
        <v>2709</v>
      </c>
      <c r="M1294">
        <v>22071010</v>
      </c>
      <c r="O1294" t="s">
        <v>19990</v>
      </c>
      <c r="P1294" t="s">
        <v>19982</v>
      </c>
      <c r="Q1294" t="s">
        <v>19900</v>
      </c>
      <c r="R1294" t="s">
        <v>19991</v>
      </c>
      <c r="S1294" t="s">
        <v>19992</v>
      </c>
      <c r="T1294" t="s">
        <v>19900</v>
      </c>
    </row>
    <row r="1295" spans="2:20" x14ac:dyDescent="0.25">
      <c r="B1295" t="s">
        <v>2709</v>
      </c>
      <c r="C1295">
        <v>22071010</v>
      </c>
      <c r="D1295">
        <v>1</v>
      </c>
      <c r="E1295" t="s">
        <v>19447</v>
      </c>
      <c r="F1295">
        <v>18</v>
      </c>
      <c r="G1295">
        <v>0</v>
      </c>
      <c r="H1295">
        <v>7.6</v>
      </c>
      <c r="I1295">
        <v>1.65</v>
      </c>
      <c r="J1295">
        <v>0</v>
      </c>
      <c r="L1295" t="s">
        <v>2709</v>
      </c>
      <c r="M1295">
        <v>22071010</v>
      </c>
      <c r="N1295">
        <v>1</v>
      </c>
      <c r="O1295" t="s">
        <v>19447</v>
      </c>
      <c r="P1295" t="s">
        <v>19899</v>
      </c>
      <c r="Q1295" t="s">
        <v>19900</v>
      </c>
      <c r="R1295" t="s">
        <v>19905</v>
      </c>
      <c r="S1295" t="s">
        <v>19906</v>
      </c>
      <c r="T1295" t="s">
        <v>19900</v>
      </c>
    </row>
    <row r="1296" spans="2:20" x14ac:dyDescent="0.25">
      <c r="B1296" t="s">
        <v>2709</v>
      </c>
      <c r="C1296">
        <v>22071010</v>
      </c>
      <c r="D1296">
        <v>2</v>
      </c>
      <c r="E1296" t="s">
        <v>19447</v>
      </c>
      <c r="F1296">
        <v>18</v>
      </c>
      <c r="G1296">
        <v>8</v>
      </c>
      <c r="H1296">
        <v>7.6</v>
      </c>
      <c r="I1296">
        <v>1.65</v>
      </c>
      <c r="J1296">
        <v>0</v>
      </c>
      <c r="L1296" t="s">
        <v>2709</v>
      </c>
      <c r="M1296">
        <v>22071010</v>
      </c>
      <c r="N1296">
        <v>2</v>
      </c>
      <c r="O1296" t="s">
        <v>19447</v>
      </c>
      <c r="P1296" t="s">
        <v>19899</v>
      </c>
      <c r="Q1296" t="s">
        <v>19918</v>
      </c>
      <c r="R1296" t="s">
        <v>19905</v>
      </c>
      <c r="S1296" t="s">
        <v>19906</v>
      </c>
      <c r="T1296" t="s">
        <v>19900</v>
      </c>
    </row>
    <row r="1297" spans="2:20" x14ac:dyDescent="0.25">
      <c r="B1297" t="s">
        <v>2709</v>
      </c>
      <c r="C1297">
        <v>22071090</v>
      </c>
      <c r="E1297">
        <v>38.86</v>
      </c>
      <c r="F1297">
        <v>12</v>
      </c>
      <c r="G1297">
        <v>0</v>
      </c>
      <c r="H1297">
        <v>17.25</v>
      </c>
      <c r="I1297">
        <v>3.75</v>
      </c>
      <c r="J1297">
        <v>20</v>
      </c>
      <c r="L1297" t="s">
        <v>2709</v>
      </c>
      <c r="M1297">
        <v>22071090</v>
      </c>
      <c r="O1297" t="s">
        <v>19990</v>
      </c>
      <c r="P1297" t="s">
        <v>19903</v>
      </c>
      <c r="Q1297" t="s">
        <v>19900</v>
      </c>
      <c r="R1297" t="s">
        <v>19991</v>
      </c>
      <c r="S1297" t="s">
        <v>19992</v>
      </c>
      <c r="T1297" t="s">
        <v>19934</v>
      </c>
    </row>
    <row r="1298" spans="2:20" x14ac:dyDescent="0.25">
      <c r="B1298" t="s">
        <v>2709</v>
      </c>
      <c r="C1298">
        <v>22071090</v>
      </c>
      <c r="D1298">
        <v>1</v>
      </c>
      <c r="E1298" t="s">
        <v>19447</v>
      </c>
      <c r="F1298">
        <v>18</v>
      </c>
      <c r="G1298">
        <v>0</v>
      </c>
      <c r="H1298">
        <v>7.6</v>
      </c>
      <c r="I1298">
        <v>1.65</v>
      </c>
      <c r="J1298">
        <v>20</v>
      </c>
      <c r="L1298" t="s">
        <v>2709</v>
      </c>
      <c r="M1298">
        <v>22071090</v>
      </c>
      <c r="N1298">
        <v>1</v>
      </c>
      <c r="O1298" t="s">
        <v>19447</v>
      </c>
      <c r="P1298" t="s">
        <v>19899</v>
      </c>
      <c r="Q1298" t="s">
        <v>19900</v>
      </c>
      <c r="R1298" t="s">
        <v>19905</v>
      </c>
      <c r="S1298" t="s">
        <v>19906</v>
      </c>
      <c r="T1298" t="s">
        <v>19934</v>
      </c>
    </row>
    <row r="1299" spans="2:20" x14ac:dyDescent="0.25">
      <c r="B1299" t="s">
        <v>2709</v>
      </c>
      <c r="C1299">
        <v>22071090</v>
      </c>
      <c r="D1299">
        <v>2</v>
      </c>
      <c r="E1299" t="s">
        <v>19447</v>
      </c>
      <c r="F1299">
        <v>18</v>
      </c>
      <c r="G1299">
        <v>8</v>
      </c>
      <c r="H1299">
        <v>7.6</v>
      </c>
      <c r="I1299">
        <v>1.65</v>
      </c>
      <c r="J1299">
        <v>20</v>
      </c>
      <c r="L1299" t="s">
        <v>2709</v>
      </c>
      <c r="M1299">
        <v>22071090</v>
      </c>
      <c r="N1299">
        <v>2</v>
      </c>
      <c r="O1299" t="s">
        <v>19447</v>
      </c>
      <c r="P1299" t="s">
        <v>19899</v>
      </c>
      <c r="Q1299" t="s">
        <v>19918</v>
      </c>
      <c r="R1299" t="s">
        <v>19905</v>
      </c>
      <c r="S1299" t="s">
        <v>19906</v>
      </c>
      <c r="T1299" t="s">
        <v>19934</v>
      </c>
    </row>
    <row r="1300" spans="2:20" x14ac:dyDescent="0.25">
      <c r="B1300" t="s">
        <v>2709</v>
      </c>
      <c r="C1300">
        <v>22072011</v>
      </c>
      <c r="E1300">
        <v>38.86</v>
      </c>
      <c r="F1300">
        <v>12</v>
      </c>
      <c r="G1300">
        <v>8</v>
      </c>
      <c r="H1300">
        <v>17.25</v>
      </c>
      <c r="I1300">
        <v>3.75</v>
      </c>
      <c r="J1300">
        <v>0</v>
      </c>
      <c r="L1300" t="s">
        <v>2709</v>
      </c>
      <c r="M1300">
        <v>22072011</v>
      </c>
      <c r="O1300" t="s">
        <v>19990</v>
      </c>
      <c r="P1300" t="s">
        <v>19903</v>
      </c>
      <c r="Q1300" t="s">
        <v>19918</v>
      </c>
      <c r="R1300" t="s">
        <v>19991</v>
      </c>
      <c r="S1300" t="s">
        <v>19992</v>
      </c>
      <c r="T1300" t="s">
        <v>19900</v>
      </c>
    </row>
    <row r="1301" spans="2:20" x14ac:dyDescent="0.25">
      <c r="B1301" t="s">
        <v>2709</v>
      </c>
      <c r="C1301">
        <v>22072011</v>
      </c>
      <c r="D1301">
        <v>1</v>
      </c>
      <c r="E1301" t="s">
        <v>19447</v>
      </c>
      <c r="F1301">
        <v>18</v>
      </c>
      <c r="G1301">
        <v>0</v>
      </c>
      <c r="H1301">
        <v>7.6</v>
      </c>
      <c r="I1301">
        <v>1.65</v>
      </c>
      <c r="J1301">
        <v>0</v>
      </c>
      <c r="L1301" t="s">
        <v>2709</v>
      </c>
      <c r="M1301">
        <v>22072011</v>
      </c>
      <c r="N1301">
        <v>1</v>
      </c>
      <c r="O1301" t="s">
        <v>19447</v>
      </c>
      <c r="P1301" t="s">
        <v>19899</v>
      </c>
      <c r="Q1301" t="s">
        <v>19900</v>
      </c>
      <c r="R1301" t="s">
        <v>19905</v>
      </c>
      <c r="S1301" t="s">
        <v>19906</v>
      </c>
      <c r="T1301" t="s">
        <v>19900</v>
      </c>
    </row>
    <row r="1302" spans="2:20" x14ac:dyDescent="0.25">
      <c r="B1302" t="s">
        <v>2709</v>
      </c>
      <c r="C1302">
        <v>22072019</v>
      </c>
      <c r="E1302">
        <v>38.86</v>
      </c>
      <c r="F1302">
        <v>12</v>
      </c>
      <c r="G1302">
        <v>8</v>
      </c>
      <c r="H1302">
        <v>17.25</v>
      </c>
      <c r="I1302">
        <v>3.75</v>
      </c>
      <c r="J1302">
        <v>20</v>
      </c>
      <c r="L1302" t="s">
        <v>2709</v>
      </c>
      <c r="M1302">
        <v>22072019</v>
      </c>
      <c r="O1302" t="s">
        <v>19990</v>
      </c>
      <c r="P1302" t="s">
        <v>19903</v>
      </c>
      <c r="Q1302" t="s">
        <v>19918</v>
      </c>
      <c r="R1302" t="s">
        <v>19991</v>
      </c>
      <c r="S1302" t="s">
        <v>19992</v>
      </c>
      <c r="T1302" t="s">
        <v>19934</v>
      </c>
    </row>
    <row r="1303" spans="2:20" x14ac:dyDescent="0.25">
      <c r="B1303" t="s">
        <v>2709</v>
      </c>
      <c r="C1303">
        <v>22072019</v>
      </c>
      <c r="D1303">
        <v>1</v>
      </c>
      <c r="E1303" t="s">
        <v>19447</v>
      </c>
      <c r="F1303">
        <v>18</v>
      </c>
      <c r="G1303">
        <v>0</v>
      </c>
      <c r="H1303">
        <v>7.6</v>
      </c>
      <c r="I1303">
        <v>1.65</v>
      </c>
      <c r="J1303">
        <v>20</v>
      </c>
      <c r="L1303" t="s">
        <v>2709</v>
      </c>
      <c r="M1303">
        <v>22072019</v>
      </c>
      <c r="N1303">
        <v>1</v>
      </c>
      <c r="O1303" t="s">
        <v>19447</v>
      </c>
      <c r="P1303" t="s">
        <v>19899</v>
      </c>
      <c r="Q1303" t="s">
        <v>19900</v>
      </c>
      <c r="R1303" t="s">
        <v>19905</v>
      </c>
      <c r="S1303" t="s">
        <v>19906</v>
      </c>
      <c r="T1303" t="s">
        <v>19934</v>
      </c>
    </row>
    <row r="1304" spans="2:20" x14ac:dyDescent="0.25">
      <c r="B1304" t="s">
        <v>2709</v>
      </c>
      <c r="C1304">
        <v>22072020</v>
      </c>
      <c r="E1304">
        <v>38.86</v>
      </c>
      <c r="F1304">
        <v>25</v>
      </c>
      <c r="G1304">
        <v>8</v>
      </c>
      <c r="H1304">
        <v>17.25</v>
      </c>
      <c r="I1304">
        <v>3.75</v>
      </c>
      <c r="J1304">
        <v>20</v>
      </c>
      <c r="L1304" t="s">
        <v>2709</v>
      </c>
      <c r="M1304">
        <v>22072020</v>
      </c>
      <c r="O1304" t="s">
        <v>19990</v>
      </c>
      <c r="P1304" t="s">
        <v>19982</v>
      </c>
      <c r="Q1304" t="s">
        <v>19918</v>
      </c>
      <c r="R1304" t="s">
        <v>19991</v>
      </c>
      <c r="S1304" t="s">
        <v>19992</v>
      </c>
      <c r="T1304" t="s">
        <v>19934</v>
      </c>
    </row>
    <row r="1305" spans="2:20" x14ac:dyDescent="0.25">
      <c r="B1305" t="s">
        <v>2709</v>
      </c>
      <c r="C1305">
        <v>22082000</v>
      </c>
      <c r="E1305">
        <v>0</v>
      </c>
      <c r="F1305">
        <v>25</v>
      </c>
      <c r="G1305">
        <v>60</v>
      </c>
      <c r="H1305">
        <v>7.6</v>
      </c>
      <c r="I1305">
        <v>1.65</v>
      </c>
      <c r="J1305">
        <v>20</v>
      </c>
      <c r="L1305" t="s">
        <v>2709</v>
      </c>
      <c r="M1305">
        <v>22082000</v>
      </c>
      <c r="O1305" t="s">
        <v>19900</v>
      </c>
      <c r="P1305" t="s">
        <v>19982</v>
      </c>
      <c r="Q1305" t="s">
        <v>19993</v>
      </c>
      <c r="R1305" t="s">
        <v>19905</v>
      </c>
      <c r="S1305" t="s">
        <v>19906</v>
      </c>
      <c r="T1305" t="s">
        <v>19934</v>
      </c>
    </row>
    <row r="1306" spans="2:20" x14ac:dyDescent="0.25">
      <c r="B1306" t="s">
        <v>2709</v>
      </c>
      <c r="C1306">
        <v>22083010</v>
      </c>
      <c r="E1306">
        <v>61.05</v>
      </c>
      <c r="F1306">
        <v>25</v>
      </c>
      <c r="G1306">
        <v>60</v>
      </c>
      <c r="H1306">
        <v>7.6</v>
      </c>
      <c r="I1306">
        <v>1.65</v>
      </c>
      <c r="J1306">
        <v>12</v>
      </c>
      <c r="L1306" t="s">
        <v>2709</v>
      </c>
      <c r="M1306">
        <v>22083010</v>
      </c>
      <c r="O1306" t="s">
        <v>19989</v>
      </c>
      <c r="P1306" t="s">
        <v>19982</v>
      </c>
      <c r="Q1306" t="s">
        <v>19993</v>
      </c>
      <c r="R1306" t="s">
        <v>19905</v>
      </c>
      <c r="S1306" t="s">
        <v>19906</v>
      </c>
      <c r="T1306" t="s">
        <v>19903</v>
      </c>
    </row>
    <row r="1307" spans="2:20" x14ac:dyDescent="0.25">
      <c r="B1307" t="s">
        <v>2709</v>
      </c>
      <c r="C1307">
        <v>22083010</v>
      </c>
      <c r="D1307">
        <v>1</v>
      </c>
      <c r="E1307" t="s">
        <v>19447</v>
      </c>
      <c r="F1307">
        <v>18</v>
      </c>
      <c r="G1307">
        <v>30</v>
      </c>
      <c r="H1307">
        <v>7.6</v>
      </c>
      <c r="I1307">
        <v>1.65</v>
      </c>
      <c r="J1307">
        <v>12</v>
      </c>
      <c r="L1307" t="s">
        <v>2709</v>
      </c>
      <c r="M1307">
        <v>22083010</v>
      </c>
      <c r="N1307">
        <v>1</v>
      </c>
      <c r="O1307" t="s">
        <v>19447</v>
      </c>
      <c r="P1307" t="s">
        <v>19899</v>
      </c>
      <c r="Q1307" t="s">
        <v>19933</v>
      </c>
      <c r="R1307" t="s">
        <v>19905</v>
      </c>
      <c r="S1307" t="s">
        <v>19906</v>
      </c>
      <c r="T1307" t="s">
        <v>19903</v>
      </c>
    </row>
    <row r="1308" spans="2:20" x14ac:dyDescent="0.25">
      <c r="B1308" t="s">
        <v>2709</v>
      </c>
      <c r="C1308">
        <v>22083010</v>
      </c>
      <c r="D1308">
        <v>2</v>
      </c>
      <c r="E1308" t="s">
        <v>19447</v>
      </c>
      <c r="F1308">
        <v>18</v>
      </c>
      <c r="G1308">
        <v>30</v>
      </c>
      <c r="H1308">
        <v>7.6</v>
      </c>
      <c r="I1308">
        <v>1.65</v>
      </c>
      <c r="J1308">
        <v>12</v>
      </c>
      <c r="L1308" t="s">
        <v>2709</v>
      </c>
      <c r="M1308">
        <v>22083010</v>
      </c>
      <c r="N1308">
        <v>2</v>
      </c>
      <c r="O1308" t="s">
        <v>19447</v>
      </c>
      <c r="P1308" t="s">
        <v>19899</v>
      </c>
      <c r="Q1308" t="s">
        <v>19933</v>
      </c>
      <c r="R1308" t="s">
        <v>19905</v>
      </c>
      <c r="S1308" t="s">
        <v>19906</v>
      </c>
      <c r="T1308" t="s">
        <v>19903</v>
      </c>
    </row>
    <row r="1309" spans="2:20" x14ac:dyDescent="0.25">
      <c r="B1309" t="s">
        <v>2709</v>
      </c>
      <c r="C1309">
        <v>22083020</v>
      </c>
      <c r="E1309">
        <v>0</v>
      </c>
      <c r="F1309">
        <v>25</v>
      </c>
      <c r="G1309">
        <v>60</v>
      </c>
      <c r="H1309">
        <v>7.6</v>
      </c>
      <c r="I1309">
        <v>1.65</v>
      </c>
      <c r="J1309">
        <v>20</v>
      </c>
      <c r="L1309" t="s">
        <v>2709</v>
      </c>
      <c r="M1309">
        <v>22083020</v>
      </c>
      <c r="O1309" t="s">
        <v>19900</v>
      </c>
      <c r="P1309" t="s">
        <v>19982</v>
      </c>
      <c r="Q1309" t="s">
        <v>19993</v>
      </c>
      <c r="R1309" t="s">
        <v>19905</v>
      </c>
      <c r="S1309" t="s">
        <v>19906</v>
      </c>
      <c r="T1309" t="s">
        <v>19934</v>
      </c>
    </row>
    <row r="1310" spans="2:20" x14ac:dyDescent="0.25">
      <c r="B1310" t="s">
        <v>2709</v>
      </c>
      <c r="C1310">
        <v>22083090</v>
      </c>
      <c r="E1310">
        <v>61.05</v>
      </c>
      <c r="F1310">
        <v>25</v>
      </c>
      <c r="G1310">
        <v>60</v>
      </c>
      <c r="H1310">
        <v>7.6</v>
      </c>
      <c r="I1310">
        <v>1.65</v>
      </c>
      <c r="J1310">
        <v>20</v>
      </c>
      <c r="L1310" t="s">
        <v>2709</v>
      </c>
      <c r="M1310">
        <v>22083090</v>
      </c>
      <c r="O1310" t="s">
        <v>19989</v>
      </c>
      <c r="P1310" t="s">
        <v>19982</v>
      </c>
      <c r="Q1310" t="s">
        <v>19993</v>
      </c>
      <c r="R1310" t="s">
        <v>19905</v>
      </c>
      <c r="S1310" t="s">
        <v>19906</v>
      </c>
      <c r="T1310" t="s">
        <v>19934</v>
      </c>
    </row>
    <row r="1311" spans="2:20" x14ac:dyDescent="0.25">
      <c r="B1311" t="s">
        <v>2709</v>
      </c>
      <c r="C1311">
        <v>22084000</v>
      </c>
      <c r="E1311">
        <v>109.63</v>
      </c>
      <c r="F1311">
        <v>25</v>
      </c>
      <c r="G1311">
        <v>60</v>
      </c>
      <c r="H1311">
        <v>7.6</v>
      </c>
      <c r="I1311">
        <v>1.65</v>
      </c>
      <c r="J1311">
        <v>20</v>
      </c>
      <c r="L1311" t="s">
        <v>2709</v>
      </c>
      <c r="M1311">
        <v>22084000</v>
      </c>
      <c r="O1311" t="s">
        <v>19994</v>
      </c>
      <c r="P1311" t="s">
        <v>19982</v>
      </c>
      <c r="Q1311" t="s">
        <v>19993</v>
      </c>
      <c r="R1311" t="s">
        <v>19905</v>
      </c>
      <c r="S1311" t="s">
        <v>19906</v>
      </c>
      <c r="T1311" t="s">
        <v>19934</v>
      </c>
    </row>
    <row r="1312" spans="2:20" x14ac:dyDescent="0.25">
      <c r="B1312" t="s">
        <v>2709</v>
      </c>
      <c r="C1312">
        <v>22085000</v>
      </c>
      <c r="E1312">
        <v>0</v>
      </c>
      <c r="F1312">
        <v>25</v>
      </c>
      <c r="G1312">
        <v>60</v>
      </c>
      <c r="H1312">
        <v>7.6</v>
      </c>
      <c r="I1312">
        <v>1.65</v>
      </c>
      <c r="J1312">
        <v>20</v>
      </c>
      <c r="L1312" t="s">
        <v>2709</v>
      </c>
      <c r="M1312">
        <v>22085000</v>
      </c>
      <c r="O1312" t="s">
        <v>19900</v>
      </c>
      <c r="P1312" t="s">
        <v>19982</v>
      </c>
      <c r="Q1312" t="s">
        <v>19993</v>
      </c>
      <c r="R1312" t="s">
        <v>19905</v>
      </c>
      <c r="S1312" t="s">
        <v>19906</v>
      </c>
      <c r="T1312" t="s">
        <v>19934</v>
      </c>
    </row>
    <row r="1313" spans="2:20" x14ac:dyDescent="0.25">
      <c r="B1313" t="s">
        <v>2709</v>
      </c>
      <c r="C1313">
        <v>22086000</v>
      </c>
      <c r="E1313">
        <v>0</v>
      </c>
      <c r="F1313">
        <v>25</v>
      </c>
      <c r="G1313">
        <v>60</v>
      </c>
      <c r="H1313">
        <v>7.6</v>
      </c>
      <c r="I1313">
        <v>1.65</v>
      </c>
      <c r="J1313">
        <v>20</v>
      </c>
      <c r="L1313" t="s">
        <v>2709</v>
      </c>
      <c r="M1313">
        <v>22086000</v>
      </c>
      <c r="O1313" t="s">
        <v>19900</v>
      </c>
      <c r="P1313" t="s">
        <v>19982</v>
      </c>
      <c r="Q1313" t="s">
        <v>19993</v>
      </c>
      <c r="R1313" t="s">
        <v>19905</v>
      </c>
      <c r="S1313" t="s">
        <v>19906</v>
      </c>
      <c r="T1313" t="s">
        <v>19934</v>
      </c>
    </row>
    <row r="1314" spans="2:20" x14ac:dyDescent="0.25">
      <c r="B1314" t="s">
        <v>2709</v>
      </c>
      <c r="C1314">
        <v>22087000</v>
      </c>
      <c r="E1314">
        <v>0</v>
      </c>
      <c r="F1314">
        <v>25</v>
      </c>
      <c r="G1314">
        <v>60</v>
      </c>
      <c r="H1314">
        <v>7.6</v>
      </c>
      <c r="I1314">
        <v>1.65</v>
      </c>
      <c r="J1314">
        <v>20</v>
      </c>
      <c r="L1314" t="s">
        <v>2709</v>
      </c>
      <c r="M1314">
        <v>22087000</v>
      </c>
      <c r="O1314" t="s">
        <v>19900</v>
      </c>
      <c r="P1314" t="s">
        <v>19982</v>
      </c>
      <c r="Q1314" t="s">
        <v>19993</v>
      </c>
      <c r="R1314" t="s">
        <v>19905</v>
      </c>
      <c r="S1314" t="s">
        <v>19906</v>
      </c>
      <c r="T1314" t="s">
        <v>19934</v>
      </c>
    </row>
    <row r="1315" spans="2:20" x14ac:dyDescent="0.25">
      <c r="B1315" t="s">
        <v>2709</v>
      </c>
      <c r="C1315">
        <v>22089000</v>
      </c>
      <c r="E1315">
        <v>0</v>
      </c>
      <c r="F1315">
        <v>25</v>
      </c>
      <c r="G1315">
        <v>60</v>
      </c>
      <c r="H1315">
        <v>7.6</v>
      </c>
      <c r="I1315">
        <v>1.65</v>
      </c>
      <c r="J1315">
        <v>20</v>
      </c>
      <c r="L1315" t="s">
        <v>2709</v>
      </c>
      <c r="M1315">
        <v>22089000</v>
      </c>
      <c r="O1315" t="s">
        <v>19900</v>
      </c>
      <c r="P1315" t="s">
        <v>19982</v>
      </c>
      <c r="Q1315" t="s">
        <v>19993</v>
      </c>
      <c r="R1315" t="s">
        <v>19905</v>
      </c>
      <c r="S1315" t="s">
        <v>19906</v>
      </c>
      <c r="T1315" t="s">
        <v>19934</v>
      </c>
    </row>
    <row r="1316" spans="2:20" x14ac:dyDescent="0.25">
      <c r="B1316" t="s">
        <v>2709</v>
      </c>
      <c r="C1316">
        <v>22089000</v>
      </c>
      <c r="D1316">
        <v>1</v>
      </c>
      <c r="E1316" t="s">
        <v>19447</v>
      </c>
      <c r="F1316">
        <v>18</v>
      </c>
      <c r="G1316">
        <v>8</v>
      </c>
      <c r="H1316">
        <v>7.6</v>
      </c>
      <c r="I1316">
        <v>1.65</v>
      </c>
      <c r="J1316">
        <v>20</v>
      </c>
      <c r="L1316" t="s">
        <v>2709</v>
      </c>
      <c r="M1316">
        <v>22089000</v>
      </c>
      <c r="N1316">
        <v>1</v>
      </c>
      <c r="O1316" t="s">
        <v>19447</v>
      </c>
      <c r="P1316" t="s">
        <v>19899</v>
      </c>
      <c r="Q1316" t="s">
        <v>19918</v>
      </c>
      <c r="R1316" t="s">
        <v>19905</v>
      </c>
      <c r="S1316" t="s">
        <v>19906</v>
      </c>
      <c r="T1316" t="s">
        <v>19934</v>
      </c>
    </row>
    <row r="1317" spans="2:20" x14ac:dyDescent="0.25">
      <c r="B1317" t="s">
        <v>2709</v>
      </c>
      <c r="C1317">
        <v>22089000</v>
      </c>
      <c r="D1317">
        <v>2</v>
      </c>
      <c r="E1317" t="s">
        <v>19447</v>
      </c>
      <c r="F1317">
        <v>18</v>
      </c>
      <c r="G1317">
        <v>40</v>
      </c>
      <c r="H1317">
        <v>7.6</v>
      </c>
      <c r="I1317">
        <v>1.65</v>
      </c>
      <c r="J1317">
        <v>20</v>
      </c>
      <c r="L1317" t="s">
        <v>2709</v>
      </c>
      <c r="M1317">
        <v>22089000</v>
      </c>
      <c r="N1317">
        <v>2</v>
      </c>
      <c r="O1317" t="s">
        <v>19447</v>
      </c>
      <c r="P1317" t="s">
        <v>19899</v>
      </c>
      <c r="Q1317" t="s">
        <v>19922</v>
      </c>
      <c r="R1317" t="s">
        <v>19905</v>
      </c>
      <c r="S1317" t="s">
        <v>19906</v>
      </c>
      <c r="T1317" t="s">
        <v>19934</v>
      </c>
    </row>
    <row r="1318" spans="2:20" x14ac:dyDescent="0.25">
      <c r="B1318" t="s">
        <v>2709</v>
      </c>
      <c r="C1318">
        <v>22090000</v>
      </c>
      <c r="E1318">
        <v>51.9</v>
      </c>
      <c r="F1318">
        <v>7</v>
      </c>
      <c r="G1318">
        <v>0</v>
      </c>
      <c r="H1318">
        <v>7.6</v>
      </c>
      <c r="I1318">
        <v>1.65</v>
      </c>
      <c r="J1318">
        <v>20</v>
      </c>
      <c r="L1318" t="s">
        <v>2709</v>
      </c>
      <c r="M1318">
        <v>22090000</v>
      </c>
      <c r="O1318" t="s">
        <v>19995</v>
      </c>
      <c r="P1318" t="s">
        <v>19908</v>
      </c>
      <c r="Q1318" t="s">
        <v>19900</v>
      </c>
      <c r="R1318" t="s">
        <v>19905</v>
      </c>
      <c r="S1318" t="s">
        <v>19906</v>
      </c>
      <c r="T1318" t="s">
        <v>19934</v>
      </c>
    </row>
    <row r="1319" spans="2:20" x14ac:dyDescent="0.25">
      <c r="B1319" t="s">
        <v>2709</v>
      </c>
      <c r="C1319">
        <v>23011010</v>
      </c>
      <c r="E1319">
        <v>51.87</v>
      </c>
      <c r="F1319">
        <v>0</v>
      </c>
      <c r="G1319">
        <v>0</v>
      </c>
      <c r="H1319" t="s">
        <v>19447</v>
      </c>
      <c r="I1319" t="s">
        <v>19447</v>
      </c>
      <c r="J1319">
        <v>6</v>
      </c>
      <c r="L1319" t="s">
        <v>2709</v>
      </c>
      <c r="M1319">
        <v>23011010</v>
      </c>
      <c r="O1319" t="s">
        <v>19996</v>
      </c>
      <c r="P1319" t="s">
        <v>19900</v>
      </c>
      <c r="Q1319" t="s">
        <v>19900</v>
      </c>
      <c r="R1319" t="s">
        <v>19447</v>
      </c>
      <c r="S1319" t="s">
        <v>19447</v>
      </c>
      <c r="T1319" t="s">
        <v>19907</v>
      </c>
    </row>
    <row r="1320" spans="2:20" x14ac:dyDescent="0.25">
      <c r="B1320" t="s">
        <v>2709</v>
      </c>
      <c r="C1320">
        <v>23011090</v>
      </c>
      <c r="E1320">
        <v>51.87</v>
      </c>
      <c r="F1320">
        <v>0</v>
      </c>
      <c r="G1320">
        <v>0</v>
      </c>
      <c r="H1320" t="s">
        <v>19447</v>
      </c>
      <c r="I1320" t="s">
        <v>19447</v>
      </c>
      <c r="J1320">
        <v>6</v>
      </c>
      <c r="L1320" t="s">
        <v>2709</v>
      </c>
      <c r="M1320">
        <v>23011090</v>
      </c>
      <c r="O1320" t="s">
        <v>19996</v>
      </c>
      <c r="P1320" t="s">
        <v>19900</v>
      </c>
      <c r="Q1320" t="s">
        <v>19900</v>
      </c>
      <c r="R1320" t="s">
        <v>19447</v>
      </c>
      <c r="S1320" t="s">
        <v>19447</v>
      </c>
      <c r="T1320" t="s">
        <v>19907</v>
      </c>
    </row>
    <row r="1321" spans="2:20" x14ac:dyDescent="0.25">
      <c r="B1321" t="s">
        <v>2709</v>
      </c>
      <c r="C1321">
        <v>23012010</v>
      </c>
      <c r="E1321">
        <v>51.87</v>
      </c>
      <c r="F1321">
        <v>0</v>
      </c>
      <c r="G1321">
        <v>0</v>
      </c>
      <c r="H1321" t="s">
        <v>19447</v>
      </c>
      <c r="I1321" t="s">
        <v>19447</v>
      </c>
      <c r="J1321">
        <v>6</v>
      </c>
      <c r="L1321" t="s">
        <v>2709</v>
      </c>
      <c r="M1321">
        <v>23012010</v>
      </c>
      <c r="O1321" t="s">
        <v>19996</v>
      </c>
      <c r="P1321" t="s">
        <v>19900</v>
      </c>
      <c r="Q1321" t="s">
        <v>19900</v>
      </c>
      <c r="R1321" t="s">
        <v>19447</v>
      </c>
      <c r="S1321" t="s">
        <v>19447</v>
      </c>
      <c r="T1321" t="s">
        <v>19907</v>
      </c>
    </row>
    <row r="1322" spans="2:20" x14ac:dyDescent="0.25">
      <c r="B1322" t="s">
        <v>2709</v>
      </c>
      <c r="C1322">
        <v>23012090</v>
      </c>
      <c r="E1322">
        <v>51.87</v>
      </c>
      <c r="F1322">
        <v>0</v>
      </c>
      <c r="G1322">
        <v>0</v>
      </c>
      <c r="H1322" t="s">
        <v>19447</v>
      </c>
      <c r="I1322" t="s">
        <v>19447</v>
      </c>
      <c r="J1322">
        <v>6</v>
      </c>
      <c r="L1322" t="s">
        <v>2709</v>
      </c>
      <c r="M1322">
        <v>23012090</v>
      </c>
      <c r="O1322" t="s">
        <v>19996</v>
      </c>
      <c r="P1322" t="s">
        <v>19900</v>
      </c>
      <c r="Q1322" t="s">
        <v>19900</v>
      </c>
      <c r="R1322" t="s">
        <v>19447</v>
      </c>
      <c r="S1322" t="s">
        <v>19447</v>
      </c>
      <c r="T1322" t="s">
        <v>19907</v>
      </c>
    </row>
    <row r="1323" spans="2:20" x14ac:dyDescent="0.25">
      <c r="B1323" t="s">
        <v>2709</v>
      </c>
      <c r="C1323">
        <v>23021000</v>
      </c>
      <c r="E1323">
        <v>51.87</v>
      </c>
      <c r="F1323">
        <v>0</v>
      </c>
      <c r="G1323">
        <v>0</v>
      </c>
      <c r="H1323" t="s">
        <v>19447</v>
      </c>
      <c r="I1323" t="s">
        <v>19447</v>
      </c>
      <c r="J1323">
        <v>6</v>
      </c>
      <c r="L1323" t="s">
        <v>2709</v>
      </c>
      <c r="M1323">
        <v>23021000</v>
      </c>
      <c r="O1323" t="s">
        <v>19996</v>
      </c>
      <c r="P1323" t="s">
        <v>19900</v>
      </c>
      <c r="Q1323" t="s">
        <v>19900</v>
      </c>
      <c r="R1323" t="s">
        <v>19447</v>
      </c>
      <c r="S1323" t="s">
        <v>19447</v>
      </c>
      <c r="T1323" t="s">
        <v>19907</v>
      </c>
    </row>
    <row r="1324" spans="2:20" x14ac:dyDescent="0.25">
      <c r="B1324" t="s">
        <v>2709</v>
      </c>
      <c r="C1324">
        <v>23023010</v>
      </c>
      <c r="E1324">
        <v>51.87</v>
      </c>
      <c r="F1324">
        <v>0</v>
      </c>
      <c r="G1324">
        <v>0</v>
      </c>
      <c r="H1324" t="s">
        <v>19447</v>
      </c>
      <c r="I1324" t="s">
        <v>19447</v>
      </c>
      <c r="J1324">
        <v>6</v>
      </c>
      <c r="L1324" t="s">
        <v>2709</v>
      </c>
      <c r="M1324">
        <v>23023010</v>
      </c>
      <c r="O1324" t="s">
        <v>19996</v>
      </c>
      <c r="P1324" t="s">
        <v>19900</v>
      </c>
      <c r="Q1324" t="s">
        <v>19900</v>
      </c>
      <c r="R1324" t="s">
        <v>19447</v>
      </c>
      <c r="S1324" t="s">
        <v>19447</v>
      </c>
      <c r="T1324" t="s">
        <v>19907</v>
      </c>
    </row>
    <row r="1325" spans="2:20" x14ac:dyDescent="0.25">
      <c r="B1325" t="s">
        <v>2709</v>
      </c>
      <c r="C1325">
        <v>23023090</v>
      </c>
      <c r="E1325">
        <v>51.87</v>
      </c>
      <c r="F1325">
        <v>0</v>
      </c>
      <c r="G1325">
        <v>0</v>
      </c>
      <c r="H1325" t="s">
        <v>19447</v>
      </c>
      <c r="I1325" t="s">
        <v>19447</v>
      </c>
      <c r="J1325">
        <v>6</v>
      </c>
      <c r="L1325" t="s">
        <v>2709</v>
      </c>
      <c r="M1325">
        <v>23023090</v>
      </c>
      <c r="O1325" t="s">
        <v>19996</v>
      </c>
      <c r="P1325" t="s">
        <v>19900</v>
      </c>
      <c r="Q1325" t="s">
        <v>19900</v>
      </c>
      <c r="R1325" t="s">
        <v>19447</v>
      </c>
      <c r="S1325" t="s">
        <v>19447</v>
      </c>
      <c r="T1325" t="s">
        <v>19907</v>
      </c>
    </row>
    <row r="1326" spans="2:20" x14ac:dyDescent="0.25">
      <c r="B1326" t="s">
        <v>2709</v>
      </c>
      <c r="C1326">
        <v>23024000</v>
      </c>
      <c r="E1326">
        <v>51.87</v>
      </c>
      <c r="F1326">
        <v>0</v>
      </c>
      <c r="G1326">
        <v>0</v>
      </c>
      <c r="H1326" t="s">
        <v>19447</v>
      </c>
      <c r="I1326" t="s">
        <v>19447</v>
      </c>
      <c r="J1326">
        <v>6</v>
      </c>
      <c r="L1326" t="s">
        <v>2709</v>
      </c>
      <c r="M1326">
        <v>23024000</v>
      </c>
      <c r="O1326" t="s">
        <v>19996</v>
      </c>
      <c r="P1326" t="s">
        <v>19900</v>
      </c>
      <c r="Q1326" t="s">
        <v>19900</v>
      </c>
      <c r="R1326" t="s">
        <v>19447</v>
      </c>
      <c r="S1326" t="s">
        <v>19447</v>
      </c>
      <c r="T1326" t="s">
        <v>19907</v>
      </c>
    </row>
    <row r="1327" spans="2:20" x14ac:dyDescent="0.25">
      <c r="B1327" t="s">
        <v>2709</v>
      </c>
      <c r="C1327">
        <v>23025000</v>
      </c>
      <c r="E1327">
        <v>51.87</v>
      </c>
      <c r="F1327">
        <v>0</v>
      </c>
      <c r="G1327">
        <v>0</v>
      </c>
      <c r="H1327" t="s">
        <v>19447</v>
      </c>
      <c r="I1327" t="s">
        <v>19447</v>
      </c>
      <c r="J1327">
        <v>6</v>
      </c>
      <c r="L1327" t="s">
        <v>2709</v>
      </c>
      <c r="M1327">
        <v>23025000</v>
      </c>
      <c r="O1327" t="s">
        <v>19996</v>
      </c>
      <c r="P1327" t="s">
        <v>19900</v>
      </c>
      <c r="Q1327" t="s">
        <v>19900</v>
      </c>
      <c r="R1327" t="s">
        <v>19447</v>
      </c>
      <c r="S1327" t="s">
        <v>19447</v>
      </c>
      <c r="T1327" t="s">
        <v>19907</v>
      </c>
    </row>
    <row r="1328" spans="2:20" x14ac:dyDescent="0.25">
      <c r="B1328" t="s">
        <v>2709</v>
      </c>
      <c r="C1328">
        <v>23031000</v>
      </c>
      <c r="E1328">
        <v>51.87</v>
      </c>
      <c r="F1328">
        <v>0</v>
      </c>
      <c r="G1328">
        <v>0</v>
      </c>
      <c r="H1328" t="s">
        <v>19447</v>
      </c>
      <c r="I1328" t="s">
        <v>19447</v>
      </c>
      <c r="J1328">
        <v>6</v>
      </c>
      <c r="L1328" t="s">
        <v>2709</v>
      </c>
      <c r="M1328">
        <v>23031000</v>
      </c>
      <c r="O1328" t="s">
        <v>19996</v>
      </c>
      <c r="P1328" t="s">
        <v>19900</v>
      </c>
      <c r="Q1328" t="s">
        <v>19900</v>
      </c>
      <c r="R1328" t="s">
        <v>19447</v>
      </c>
      <c r="S1328" t="s">
        <v>19447</v>
      </c>
      <c r="T1328" t="s">
        <v>19907</v>
      </c>
    </row>
    <row r="1329" spans="2:20" x14ac:dyDescent="0.25">
      <c r="B1329" t="s">
        <v>2709</v>
      </c>
      <c r="C1329">
        <v>23032000</v>
      </c>
      <c r="E1329">
        <v>51.87</v>
      </c>
      <c r="F1329">
        <v>0</v>
      </c>
      <c r="G1329">
        <v>0</v>
      </c>
      <c r="H1329" t="s">
        <v>19447</v>
      </c>
      <c r="I1329" t="s">
        <v>19447</v>
      </c>
      <c r="J1329">
        <v>6</v>
      </c>
      <c r="L1329" t="s">
        <v>2709</v>
      </c>
      <c r="M1329">
        <v>23032000</v>
      </c>
      <c r="O1329" t="s">
        <v>19996</v>
      </c>
      <c r="P1329" t="s">
        <v>19900</v>
      </c>
      <c r="Q1329" t="s">
        <v>19900</v>
      </c>
      <c r="R1329" t="s">
        <v>19447</v>
      </c>
      <c r="S1329" t="s">
        <v>19447</v>
      </c>
      <c r="T1329" t="s">
        <v>19907</v>
      </c>
    </row>
    <row r="1330" spans="2:20" x14ac:dyDescent="0.25">
      <c r="B1330" t="s">
        <v>2709</v>
      </c>
      <c r="C1330">
        <v>23033000</v>
      </c>
      <c r="E1330">
        <v>51.87</v>
      </c>
      <c r="F1330">
        <v>0</v>
      </c>
      <c r="G1330">
        <v>0</v>
      </c>
      <c r="H1330" t="s">
        <v>19447</v>
      </c>
      <c r="I1330" t="s">
        <v>19447</v>
      </c>
      <c r="J1330">
        <v>6</v>
      </c>
      <c r="L1330" t="s">
        <v>2709</v>
      </c>
      <c r="M1330">
        <v>23033000</v>
      </c>
      <c r="O1330" t="s">
        <v>19996</v>
      </c>
      <c r="P1330" t="s">
        <v>19900</v>
      </c>
      <c r="Q1330" t="s">
        <v>19900</v>
      </c>
      <c r="R1330" t="s">
        <v>19447</v>
      </c>
      <c r="S1330" t="s">
        <v>19447</v>
      </c>
      <c r="T1330" t="s">
        <v>19907</v>
      </c>
    </row>
    <row r="1331" spans="2:20" x14ac:dyDescent="0.25">
      <c r="B1331" t="s">
        <v>2709</v>
      </c>
      <c r="C1331">
        <v>23040010</v>
      </c>
      <c r="E1331">
        <v>51.87</v>
      </c>
      <c r="F1331">
        <v>0</v>
      </c>
      <c r="G1331">
        <v>0</v>
      </c>
      <c r="H1331" t="s">
        <v>19447</v>
      </c>
      <c r="I1331" t="s">
        <v>19447</v>
      </c>
      <c r="J1331">
        <v>6</v>
      </c>
      <c r="L1331" t="s">
        <v>2709</v>
      </c>
      <c r="M1331">
        <v>23040010</v>
      </c>
      <c r="O1331" t="s">
        <v>19996</v>
      </c>
      <c r="P1331" t="s">
        <v>19900</v>
      </c>
      <c r="Q1331" t="s">
        <v>19900</v>
      </c>
      <c r="R1331" t="s">
        <v>19447</v>
      </c>
      <c r="S1331" t="s">
        <v>19447</v>
      </c>
      <c r="T1331" t="s">
        <v>19907</v>
      </c>
    </row>
    <row r="1332" spans="2:20" x14ac:dyDescent="0.25">
      <c r="B1332" t="s">
        <v>2709</v>
      </c>
      <c r="C1332">
        <v>23040090</v>
      </c>
      <c r="E1332">
        <v>51.87</v>
      </c>
      <c r="F1332">
        <v>0</v>
      </c>
      <c r="G1332">
        <v>0</v>
      </c>
      <c r="H1332" t="s">
        <v>19447</v>
      </c>
      <c r="I1332" t="s">
        <v>19447</v>
      </c>
      <c r="J1332">
        <v>6</v>
      </c>
      <c r="L1332" t="s">
        <v>2709</v>
      </c>
      <c r="M1332">
        <v>23040090</v>
      </c>
      <c r="O1332" t="s">
        <v>19996</v>
      </c>
      <c r="P1332" t="s">
        <v>19900</v>
      </c>
      <c r="Q1332" t="s">
        <v>19900</v>
      </c>
      <c r="R1332" t="s">
        <v>19447</v>
      </c>
      <c r="S1332" t="s">
        <v>19447</v>
      </c>
      <c r="T1332" t="s">
        <v>19907</v>
      </c>
    </row>
    <row r="1333" spans="2:20" x14ac:dyDescent="0.25">
      <c r="B1333" t="s">
        <v>2709</v>
      </c>
      <c r="C1333">
        <v>23050000</v>
      </c>
      <c r="E1333">
        <v>51.87</v>
      </c>
      <c r="F1333">
        <v>0</v>
      </c>
      <c r="G1333">
        <v>0</v>
      </c>
      <c r="H1333" t="s">
        <v>19447</v>
      </c>
      <c r="I1333" t="s">
        <v>19447</v>
      </c>
      <c r="J1333">
        <v>6</v>
      </c>
      <c r="L1333" t="s">
        <v>2709</v>
      </c>
      <c r="M1333">
        <v>23050000</v>
      </c>
      <c r="O1333" t="s">
        <v>19996</v>
      </c>
      <c r="P1333" t="s">
        <v>19900</v>
      </c>
      <c r="Q1333" t="s">
        <v>19900</v>
      </c>
      <c r="R1333" t="s">
        <v>19447</v>
      </c>
      <c r="S1333" t="s">
        <v>19447</v>
      </c>
      <c r="T1333" t="s">
        <v>19907</v>
      </c>
    </row>
    <row r="1334" spans="2:20" x14ac:dyDescent="0.25">
      <c r="B1334" t="s">
        <v>2709</v>
      </c>
      <c r="C1334">
        <v>23061000</v>
      </c>
      <c r="E1334">
        <v>51.87</v>
      </c>
      <c r="F1334">
        <v>0</v>
      </c>
      <c r="G1334">
        <v>0</v>
      </c>
      <c r="H1334" t="s">
        <v>19447</v>
      </c>
      <c r="I1334" t="s">
        <v>19447</v>
      </c>
      <c r="J1334">
        <v>6</v>
      </c>
      <c r="L1334" t="s">
        <v>2709</v>
      </c>
      <c r="M1334">
        <v>23061000</v>
      </c>
      <c r="O1334" t="s">
        <v>19996</v>
      </c>
      <c r="P1334" t="s">
        <v>19900</v>
      </c>
      <c r="Q1334" t="s">
        <v>19900</v>
      </c>
      <c r="R1334" t="s">
        <v>19447</v>
      </c>
      <c r="S1334" t="s">
        <v>19447</v>
      </c>
      <c r="T1334" t="s">
        <v>19907</v>
      </c>
    </row>
    <row r="1335" spans="2:20" x14ac:dyDescent="0.25">
      <c r="B1335" t="s">
        <v>2709</v>
      </c>
      <c r="C1335">
        <v>23062000</v>
      </c>
      <c r="E1335">
        <v>51.87</v>
      </c>
      <c r="F1335">
        <v>0</v>
      </c>
      <c r="G1335">
        <v>0</v>
      </c>
      <c r="H1335" t="s">
        <v>19447</v>
      </c>
      <c r="I1335" t="s">
        <v>19447</v>
      </c>
      <c r="J1335">
        <v>6</v>
      </c>
      <c r="L1335" t="s">
        <v>2709</v>
      </c>
      <c r="M1335">
        <v>23062000</v>
      </c>
      <c r="O1335" t="s">
        <v>19996</v>
      </c>
      <c r="P1335" t="s">
        <v>19900</v>
      </c>
      <c r="Q1335" t="s">
        <v>19900</v>
      </c>
      <c r="R1335" t="s">
        <v>19447</v>
      </c>
      <c r="S1335" t="s">
        <v>19447</v>
      </c>
      <c r="T1335" t="s">
        <v>19907</v>
      </c>
    </row>
    <row r="1336" spans="2:20" x14ac:dyDescent="0.25">
      <c r="B1336" t="s">
        <v>2709</v>
      </c>
      <c r="C1336">
        <v>23063010</v>
      </c>
      <c r="E1336">
        <v>51.87</v>
      </c>
      <c r="F1336">
        <v>0</v>
      </c>
      <c r="G1336">
        <v>0</v>
      </c>
      <c r="H1336" t="s">
        <v>19447</v>
      </c>
      <c r="I1336" t="s">
        <v>19447</v>
      </c>
      <c r="J1336">
        <v>6</v>
      </c>
      <c r="L1336" t="s">
        <v>2709</v>
      </c>
      <c r="M1336">
        <v>23063010</v>
      </c>
      <c r="O1336" t="s">
        <v>19996</v>
      </c>
      <c r="P1336" t="s">
        <v>19900</v>
      </c>
      <c r="Q1336" t="s">
        <v>19900</v>
      </c>
      <c r="R1336" t="s">
        <v>19447</v>
      </c>
      <c r="S1336" t="s">
        <v>19447</v>
      </c>
      <c r="T1336" t="s">
        <v>19907</v>
      </c>
    </row>
    <row r="1337" spans="2:20" x14ac:dyDescent="0.25">
      <c r="B1337" t="s">
        <v>2709</v>
      </c>
      <c r="C1337">
        <v>23063090</v>
      </c>
      <c r="E1337">
        <v>51.87</v>
      </c>
      <c r="F1337">
        <v>0</v>
      </c>
      <c r="G1337">
        <v>0</v>
      </c>
      <c r="H1337" t="s">
        <v>19447</v>
      </c>
      <c r="I1337" t="s">
        <v>19447</v>
      </c>
      <c r="J1337">
        <v>6</v>
      </c>
      <c r="L1337" t="s">
        <v>2709</v>
      </c>
      <c r="M1337">
        <v>23063090</v>
      </c>
      <c r="O1337" t="s">
        <v>19996</v>
      </c>
      <c r="P1337" t="s">
        <v>19900</v>
      </c>
      <c r="Q1337" t="s">
        <v>19900</v>
      </c>
      <c r="R1337" t="s">
        <v>19447</v>
      </c>
      <c r="S1337" t="s">
        <v>19447</v>
      </c>
      <c r="T1337" t="s">
        <v>19907</v>
      </c>
    </row>
    <row r="1338" spans="2:20" x14ac:dyDescent="0.25">
      <c r="B1338" t="s">
        <v>2709</v>
      </c>
      <c r="C1338">
        <v>23064100</v>
      </c>
      <c r="E1338">
        <v>51.87</v>
      </c>
      <c r="F1338">
        <v>0</v>
      </c>
      <c r="G1338">
        <v>0</v>
      </c>
      <c r="H1338" t="s">
        <v>19447</v>
      </c>
      <c r="I1338" t="s">
        <v>19447</v>
      </c>
      <c r="J1338">
        <v>6</v>
      </c>
      <c r="L1338" t="s">
        <v>2709</v>
      </c>
      <c r="M1338">
        <v>23064100</v>
      </c>
      <c r="O1338" t="s">
        <v>19996</v>
      </c>
      <c r="P1338" t="s">
        <v>19900</v>
      </c>
      <c r="Q1338" t="s">
        <v>19900</v>
      </c>
      <c r="R1338" t="s">
        <v>19447</v>
      </c>
      <c r="S1338" t="s">
        <v>19447</v>
      </c>
      <c r="T1338" t="s">
        <v>19907</v>
      </c>
    </row>
    <row r="1339" spans="2:20" x14ac:dyDescent="0.25">
      <c r="B1339" t="s">
        <v>2709</v>
      </c>
      <c r="C1339">
        <v>23064900</v>
      </c>
      <c r="E1339">
        <v>51.87</v>
      </c>
      <c r="F1339">
        <v>0</v>
      </c>
      <c r="G1339">
        <v>0</v>
      </c>
      <c r="H1339" t="s">
        <v>19447</v>
      </c>
      <c r="I1339" t="s">
        <v>19447</v>
      </c>
      <c r="J1339">
        <v>6</v>
      </c>
      <c r="L1339" t="s">
        <v>2709</v>
      </c>
      <c r="M1339">
        <v>23064900</v>
      </c>
      <c r="O1339" t="s">
        <v>19996</v>
      </c>
      <c r="P1339" t="s">
        <v>19900</v>
      </c>
      <c r="Q1339" t="s">
        <v>19900</v>
      </c>
      <c r="R1339" t="s">
        <v>19447</v>
      </c>
      <c r="S1339" t="s">
        <v>19447</v>
      </c>
      <c r="T1339" t="s">
        <v>19907</v>
      </c>
    </row>
    <row r="1340" spans="2:20" x14ac:dyDescent="0.25">
      <c r="B1340" t="s">
        <v>2709</v>
      </c>
      <c r="C1340">
        <v>23065000</v>
      </c>
      <c r="E1340">
        <v>51.87</v>
      </c>
      <c r="F1340">
        <v>0</v>
      </c>
      <c r="G1340">
        <v>0</v>
      </c>
      <c r="H1340" t="s">
        <v>19447</v>
      </c>
      <c r="I1340" t="s">
        <v>19447</v>
      </c>
      <c r="J1340">
        <v>6</v>
      </c>
      <c r="L1340" t="s">
        <v>2709</v>
      </c>
      <c r="M1340">
        <v>23065000</v>
      </c>
      <c r="O1340" t="s">
        <v>19996</v>
      </c>
      <c r="P1340" t="s">
        <v>19900</v>
      </c>
      <c r="Q1340" t="s">
        <v>19900</v>
      </c>
      <c r="R1340" t="s">
        <v>19447</v>
      </c>
      <c r="S1340" t="s">
        <v>19447</v>
      </c>
      <c r="T1340" t="s">
        <v>19907</v>
      </c>
    </row>
    <row r="1341" spans="2:20" x14ac:dyDescent="0.25">
      <c r="B1341" t="s">
        <v>2709</v>
      </c>
      <c r="C1341">
        <v>23066000</v>
      </c>
      <c r="E1341">
        <v>51.87</v>
      </c>
      <c r="F1341">
        <v>0</v>
      </c>
      <c r="G1341">
        <v>0</v>
      </c>
      <c r="H1341" t="s">
        <v>19447</v>
      </c>
      <c r="I1341" t="s">
        <v>19447</v>
      </c>
      <c r="J1341">
        <v>6</v>
      </c>
      <c r="L1341" t="s">
        <v>2709</v>
      </c>
      <c r="M1341">
        <v>23066000</v>
      </c>
      <c r="O1341" t="s">
        <v>19996</v>
      </c>
      <c r="P1341" t="s">
        <v>19900</v>
      </c>
      <c r="Q1341" t="s">
        <v>19900</v>
      </c>
      <c r="R1341" t="s">
        <v>19447</v>
      </c>
      <c r="S1341" t="s">
        <v>19447</v>
      </c>
      <c r="T1341" t="s">
        <v>19907</v>
      </c>
    </row>
    <row r="1342" spans="2:20" x14ac:dyDescent="0.25">
      <c r="B1342" t="s">
        <v>2709</v>
      </c>
      <c r="C1342">
        <v>23069010</v>
      </c>
      <c r="E1342">
        <v>51.87</v>
      </c>
      <c r="F1342">
        <v>0</v>
      </c>
      <c r="G1342">
        <v>0</v>
      </c>
      <c r="H1342" t="s">
        <v>19447</v>
      </c>
      <c r="I1342" t="s">
        <v>19447</v>
      </c>
      <c r="J1342">
        <v>6</v>
      </c>
      <c r="L1342" t="s">
        <v>2709</v>
      </c>
      <c r="M1342">
        <v>23069010</v>
      </c>
      <c r="O1342" t="s">
        <v>19996</v>
      </c>
      <c r="P1342" t="s">
        <v>19900</v>
      </c>
      <c r="Q1342" t="s">
        <v>19900</v>
      </c>
      <c r="R1342" t="s">
        <v>19447</v>
      </c>
      <c r="S1342" t="s">
        <v>19447</v>
      </c>
      <c r="T1342" t="s">
        <v>19907</v>
      </c>
    </row>
    <row r="1343" spans="2:20" x14ac:dyDescent="0.25">
      <c r="B1343" t="s">
        <v>2709</v>
      </c>
      <c r="C1343">
        <v>23069090</v>
      </c>
      <c r="E1343">
        <v>51.87</v>
      </c>
      <c r="F1343">
        <v>0</v>
      </c>
      <c r="G1343">
        <v>0</v>
      </c>
      <c r="H1343" t="s">
        <v>19447</v>
      </c>
      <c r="I1343" t="s">
        <v>19447</v>
      </c>
      <c r="J1343">
        <v>6</v>
      </c>
      <c r="L1343" t="s">
        <v>2709</v>
      </c>
      <c r="M1343">
        <v>23069090</v>
      </c>
      <c r="O1343" t="s">
        <v>19996</v>
      </c>
      <c r="P1343" t="s">
        <v>19900</v>
      </c>
      <c r="Q1343" t="s">
        <v>19900</v>
      </c>
      <c r="R1343" t="s">
        <v>19447</v>
      </c>
      <c r="S1343" t="s">
        <v>19447</v>
      </c>
      <c r="T1343" t="s">
        <v>19907</v>
      </c>
    </row>
    <row r="1344" spans="2:20" x14ac:dyDescent="0.25">
      <c r="B1344" t="s">
        <v>2709</v>
      </c>
      <c r="C1344">
        <v>23070000</v>
      </c>
      <c r="E1344">
        <v>51.87</v>
      </c>
      <c r="F1344">
        <v>0</v>
      </c>
      <c r="G1344">
        <v>0</v>
      </c>
      <c r="H1344" t="s">
        <v>19447</v>
      </c>
      <c r="I1344" t="s">
        <v>19447</v>
      </c>
      <c r="J1344">
        <v>6</v>
      </c>
      <c r="L1344" t="s">
        <v>2709</v>
      </c>
      <c r="M1344">
        <v>23070000</v>
      </c>
      <c r="O1344" t="s">
        <v>19996</v>
      </c>
      <c r="P1344" t="s">
        <v>19900</v>
      </c>
      <c r="Q1344" t="s">
        <v>19900</v>
      </c>
      <c r="R1344" t="s">
        <v>19447</v>
      </c>
      <c r="S1344" t="s">
        <v>19447</v>
      </c>
      <c r="T1344" t="s">
        <v>19907</v>
      </c>
    </row>
    <row r="1345" spans="2:20" x14ac:dyDescent="0.25">
      <c r="B1345" t="s">
        <v>2709</v>
      </c>
      <c r="C1345">
        <v>23080000</v>
      </c>
      <c r="E1345">
        <v>51.87</v>
      </c>
      <c r="F1345">
        <v>0</v>
      </c>
      <c r="G1345">
        <v>0</v>
      </c>
      <c r="H1345" t="s">
        <v>19447</v>
      </c>
      <c r="I1345" t="s">
        <v>19447</v>
      </c>
      <c r="J1345">
        <v>6</v>
      </c>
      <c r="L1345" t="s">
        <v>2709</v>
      </c>
      <c r="M1345">
        <v>23080000</v>
      </c>
      <c r="O1345" t="s">
        <v>19996</v>
      </c>
      <c r="P1345" t="s">
        <v>19900</v>
      </c>
      <c r="Q1345" t="s">
        <v>19900</v>
      </c>
      <c r="R1345" t="s">
        <v>19447</v>
      </c>
      <c r="S1345" t="s">
        <v>19447</v>
      </c>
      <c r="T1345" t="s">
        <v>19907</v>
      </c>
    </row>
    <row r="1346" spans="2:20" x14ac:dyDescent="0.25">
      <c r="B1346" t="s">
        <v>2709</v>
      </c>
      <c r="C1346">
        <v>23091000</v>
      </c>
      <c r="E1346">
        <v>51.87</v>
      </c>
      <c r="F1346">
        <v>0</v>
      </c>
      <c r="G1346">
        <v>10</v>
      </c>
      <c r="H1346" t="s">
        <v>19447</v>
      </c>
      <c r="I1346" t="s">
        <v>19447</v>
      </c>
      <c r="J1346">
        <v>14</v>
      </c>
      <c r="L1346" t="s">
        <v>2709</v>
      </c>
      <c r="M1346">
        <v>23091000</v>
      </c>
      <c r="O1346" t="s">
        <v>19996</v>
      </c>
      <c r="P1346" t="s">
        <v>19900</v>
      </c>
      <c r="Q1346" t="s">
        <v>19904</v>
      </c>
      <c r="R1346" t="s">
        <v>19447</v>
      </c>
      <c r="S1346" t="s">
        <v>19447</v>
      </c>
      <c r="T1346" t="s">
        <v>19911</v>
      </c>
    </row>
    <row r="1347" spans="2:20" x14ac:dyDescent="0.25">
      <c r="B1347" t="s">
        <v>2709</v>
      </c>
      <c r="C1347">
        <v>23099010</v>
      </c>
      <c r="E1347">
        <v>51.87</v>
      </c>
      <c r="F1347">
        <v>0</v>
      </c>
      <c r="G1347">
        <v>0</v>
      </c>
      <c r="H1347" t="s">
        <v>19447</v>
      </c>
      <c r="I1347" t="s">
        <v>19447</v>
      </c>
      <c r="J1347">
        <v>8</v>
      </c>
      <c r="L1347" t="s">
        <v>2709</v>
      </c>
      <c r="M1347">
        <v>23099010</v>
      </c>
      <c r="O1347" t="s">
        <v>19996</v>
      </c>
      <c r="P1347" t="s">
        <v>19900</v>
      </c>
      <c r="Q1347" t="s">
        <v>19900</v>
      </c>
      <c r="R1347" t="s">
        <v>19447</v>
      </c>
      <c r="S1347" t="s">
        <v>19447</v>
      </c>
      <c r="T1347" t="s">
        <v>19918</v>
      </c>
    </row>
    <row r="1348" spans="2:20" x14ac:dyDescent="0.25">
      <c r="B1348" t="s">
        <v>2709</v>
      </c>
      <c r="C1348">
        <v>23099020</v>
      </c>
      <c r="E1348">
        <v>51.87</v>
      </c>
      <c r="F1348">
        <v>0</v>
      </c>
      <c r="G1348">
        <v>0</v>
      </c>
      <c r="H1348" t="s">
        <v>19447</v>
      </c>
      <c r="I1348" t="s">
        <v>19447</v>
      </c>
      <c r="J1348">
        <v>8</v>
      </c>
      <c r="L1348" t="s">
        <v>2709</v>
      </c>
      <c r="M1348">
        <v>23099020</v>
      </c>
      <c r="O1348" t="s">
        <v>19996</v>
      </c>
      <c r="P1348" t="s">
        <v>19900</v>
      </c>
      <c r="Q1348" t="s">
        <v>19900</v>
      </c>
      <c r="R1348" t="s">
        <v>19447</v>
      </c>
      <c r="S1348" t="s">
        <v>19447</v>
      </c>
      <c r="T1348" t="s">
        <v>19918</v>
      </c>
    </row>
    <row r="1349" spans="2:20" x14ac:dyDescent="0.25">
      <c r="B1349" t="s">
        <v>2709</v>
      </c>
      <c r="C1349">
        <v>23099030</v>
      </c>
      <c r="E1349">
        <v>51.87</v>
      </c>
      <c r="F1349">
        <v>0</v>
      </c>
      <c r="G1349">
        <v>10</v>
      </c>
      <c r="H1349" t="s">
        <v>19447</v>
      </c>
      <c r="I1349" t="s">
        <v>19447</v>
      </c>
      <c r="J1349">
        <v>14</v>
      </c>
      <c r="L1349" t="s">
        <v>2709</v>
      </c>
      <c r="M1349">
        <v>23099030</v>
      </c>
      <c r="O1349" t="s">
        <v>19996</v>
      </c>
      <c r="P1349" t="s">
        <v>19900</v>
      </c>
      <c r="Q1349" t="s">
        <v>19904</v>
      </c>
      <c r="R1349" t="s">
        <v>19447</v>
      </c>
      <c r="S1349" t="s">
        <v>19447</v>
      </c>
      <c r="T1349" t="s">
        <v>19911</v>
      </c>
    </row>
    <row r="1350" spans="2:20" x14ac:dyDescent="0.25">
      <c r="B1350" t="s">
        <v>2709</v>
      </c>
      <c r="C1350">
        <v>23099040</v>
      </c>
      <c r="E1350">
        <v>51.87</v>
      </c>
      <c r="F1350">
        <v>0</v>
      </c>
      <c r="G1350">
        <v>0</v>
      </c>
      <c r="H1350" t="s">
        <v>19447</v>
      </c>
      <c r="I1350" t="s">
        <v>19447</v>
      </c>
      <c r="J1350">
        <v>2</v>
      </c>
      <c r="L1350" t="s">
        <v>2709</v>
      </c>
      <c r="M1350">
        <v>23099040</v>
      </c>
      <c r="O1350" t="s">
        <v>19996</v>
      </c>
      <c r="P1350" t="s">
        <v>19900</v>
      </c>
      <c r="Q1350" t="s">
        <v>19900</v>
      </c>
      <c r="R1350" t="s">
        <v>19447</v>
      </c>
      <c r="S1350" t="s">
        <v>19447</v>
      </c>
      <c r="T1350" t="s">
        <v>19901</v>
      </c>
    </row>
    <row r="1351" spans="2:20" x14ac:dyDescent="0.25">
      <c r="B1351" t="s">
        <v>2709</v>
      </c>
      <c r="C1351">
        <v>23099050</v>
      </c>
      <c r="E1351">
        <v>51.87</v>
      </c>
      <c r="F1351">
        <v>0</v>
      </c>
      <c r="G1351">
        <v>0</v>
      </c>
      <c r="H1351" t="s">
        <v>19447</v>
      </c>
      <c r="I1351" t="s">
        <v>19447</v>
      </c>
      <c r="J1351">
        <v>2</v>
      </c>
      <c r="L1351" t="s">
        <v>2709</v>
      </c>
      <c r="M1351">
        <v>23099050</v>
      </c>
      <c r="O1351" t="s">
        <v>19996</v>
      </c>
      <c r="P1351" t="s">
        <v>19900</v>
      </c>
      <c r="Q1351" t="s">
        <v>19900</v>
      </c>
      <c r="R1351" t="s">
        <v>19447</v>
      </c>
      <c r="S1351" t="s">
        <v>19447</v>
      </c>
      <c r="T1351" t="s">
        <v>19901</v>
      </c>
    </row>
    <row r="1352" spans="2:20" x14ac:dyDescent="0.25">
      <c r="B1352" t="s">
        <v>2709</v>
      </c>
      <c r="C1352">
        <v>23099060</v>
      </c>
      <c r="E1352">
        <v>51.87</v>
      </c>
      <c r="F1352">
        <v>0</v>
      </c>
      <c r="G1352">
        <v>0</v>
      </c>
      <c r="H1352" t="s">
        <v>19447</v>
      </c>
      <c r="I1352" t="s">
        <v>19447</v>
      </c>
      <c r="J1352">
        <v>2</v>
      </c>
      <c r="L1352" t="s">
        <v>2709</v>
      </c>
      <c r="M1352">
        <v>23099060</v>
      </c>
      <c r="O1352" t="s">
        <v>19996</v>
      </c>
      <c r="P1352" t="s">
        <v>19900</v>
      </c>
      <c r="Q1352" t="s">
        <v>19900</v>
      </c>
      <c r="R1352" t="s">
        <v>19447</v>
      </c>
      <c r="S1352" t="s">
        <v>19447</v>
      </c>
      <c r="T1352" t="s">
        <v>19901</v>
      </c>
    </row>
    <row r="1353" spans="2:20" x14ac:dyDescent="0.25">
      <c r="B1353" t="s">
        <v>2709</v>
      </c>
      <c r="C1353">
        <v>23099060</v>
      </c>
      <c r="D1353">
        <v>1</v>
      </c>
      <c r="E1353" t="s">
        <v>19447</v>
      </c>
      <c r="F1353">
        <v>18</v>
      </c>
      <c r="G1353">
        <v>10</v>
      </c>
      <c r="H1353">
        <v>7.6</v>
      </c>
      <c r="I1353">
        <v>1.65</v>
      </c>
      <c r="J1353">
        <v>2</v>
      </c>
      <c r="L1353" t="s">
        <v>2709</v>
      </c>
      <c r="M1353">
        <v>23099060</v>
      </c>
      <c r="N1353">
        <v>1</v>
      </c>
      <c r="O1353" t="s">
        <v>19447</v>
      </c>
      <c r="P1353" t="s">
        <v>19899</v>
      </c>
      <c r="Q1353" t="s">
        <v>19904</v>
      </c>
      <c r="R1353" t="s">
        <v>19905</v>
      </c>
      <c r="S1353" t="s">
        <v>19906</v>
      </c>
      <c r="T1353" t="s">
        <v>19901</v>
      </c>
    </row>
    <row r="1354" spans="2:20" x14ac:dyDescent="0.25">
      <c r="B1354" t="s">
        <v>2709</v>
      </c>
      <c r="C1354">
        <v>23099090</v>
      </c>
      <c r="E1354">
        <v>51.87</v>
      </c>
      <c r="F1354">
        <v>0</v>
      </c>
      <c r="G1354">
        <v>0</v>
      </c>
      <c r="H1354" t="s">
        <v>19447</v>
      </c>
      <c r="I1354" t="s">
        <v>19447</v>
      </c>
      <c r="J1354">
        <v>8</v>
      </c>
      <c r="L1354" t="s">
        <v>2709</v>
      </c>
      <c r="M1354">
        <v>23099090</v>
      </c>
      <c r="O1354" t="s">
        <v>19996</v>
      </c>
      <c r="P1354" t="s">
        <v>19900</v>
      </c>
      <c r="Q1354" t="s">
        <v>19900</v>
      </c>
      <c r="R1354" t="s">
        <v>19447</v>
      </c>
      <c r="S1354" t="s">
        <v>19447</v>
      </c>
      <c r="T1354" t="s">
        <v>19918</v>
      </c>
    </row>
    <row r="1355" spans="2:20" x14ac:dyDescent="0.25">
      <c r="B1355" t="s">
        <v>2709</v>
      </c>
      <c r="C1355">
        <v>23099090</v>
      </c>
      <c r="D1355">
        <v>1</v>
      </c>
      <c r="E1355" t="s">
        <v>19447</v>
      </c>
      <c r="F1355">
        <v>18</v>
      </c>
      <c r="G1355">
        <v>10</v>
      </c>
      <c r="H1355">
        <v>7.6</v>
      </c>
      <c r="I1355">
        <v>1.65</v>
      </c>
      <c r="J1355">
        <v>8</v>
      </c>
      <c r="L1355" t="s">
        <v>2709</v>
      </c>
      <c r="M1355">
        <v>23099090</v>
      </c>
      <c r="N1355">
        <v>1</v>
      </c>
      <c r="O1355" t="s">
        <v>19447</v>
      </c>
      <c r="P1355" t="s">
        <v>19899</v>
      </c>
      <c r="Q1355" t="s">
        <v>19904</v>
      </c>
      <c r="R1355" t="s">
        <v>19905</v>
      </c>
      <c r="S1355" t="s">
        <v>19906</v>
      </c>
      <c r="T1355" t="s">
        <v>19918</v>
      </c>
    </row>
    <row r="1356" spans="2:20" x14ac:dyDescent="0.25">
      <c r="B1356" t="s">
        <v>2709</v>
      </c>
      <c r="C1356">
        <v>24011010</v>
      </c>
      <c r="E1356" t="s">
        <v>19447</v>
      </c>
      <c r="F1356">
        <v>25</v>
      </c>
      <c r="G1356">
        <v>0</v>
      </c>
      <c r="H1356">
        <v>7.6</v>
      </c>
      <c r="I1356">
        <v>1.65</v>
      </c>
      <c r="J1356">
        <v>14</v>
      </c>
      <c r="L1356" t="s">
        <v>2709</v>
      </c>
      <c r="M1356">
        <v>24011010</v>
      </c>
      <c r="O1356" t="s">
        <v>19447</v>
      </c>
      <c r="P1356" t="s">
        <v>19982</v>
      </c>
      <c r="Q1356" t="s">
        <v>19900</v>
      </c>
      <c r="R1356" t="s">
        <v>19905</v>
      </c>
      <c r="S1356" t="s">
        <v>19906</v>
      </c>
      <c r="T1356" t="s">
        <v>19911</v>
      </c>
    </row>
    <row r="1357" spans="2:20" x14ac:dyDescent="0.25">
      <c r="B1357" t="s">
        <v>2709</v>
      </c>
      <c r="C1357">
        <v>24011020</v>
      </c>
      <c r="E1357" t="s">
        <v>19447</v>
      </c>
      <c r="F1357">
        <v>25</v>
      </c>
      <c r="G1357">
        <v>0</v>
      </c>
      <c r="H1357">
        <v>7.6</v>
      </c>
      <c r="I1357">
        <v>1.65</v>
      </c>
      <c r="J1357">
        <v>14</v>
      </c>
      <c r="L1357" t="s">
        <v>2709</v>
      </c>
      <c r="M1357">
        <v>24011020</v>
      </c>
      <c r="O1357" t="s">
        <v>19447</v>
      </c>
      <c r="P1357" t="s">
        <v>19982</v>
      </c>
      <c r="Q1357" t="s">
        <v>19900</v>
      </c>
      <c r="R1357" t="s">
        <v>19905</v>
      </c>
      <c r="S1357" t="s">
        <v>19906</v>
      </c>
      <c r="T1357" t="s">
        <v>19911</v>
      </c>
    </row>
    <row r="1358" spans="2:20" x14ac:dyDescent="0.25">
      <c r="B1358" t="s">
        <v>2709</v>
      </c>
      <c r="C1358">
        <v>24011030</v>
      </c>
      <c r="E1358" t="s">
        <v>19447</v>
      </c>
      <c r="F1358">
        <v>25</v>
      </c>
      <c r="G1358">
        <v>0</v>
      </c>
      <c r="H1358">
        <v>7.6</v>
      </c>
      <c r="I1358">
        <v>1.65</v>
      </c>
      <c r="J1358">
        <v>14</v>
      </c>
      <c r="L1358" t="s">
        <v>2709</v>
      </c>
      <c r="M1358">
        <v>24011030</v>
      </c>
      <c r="O1358" t="s">
        <v>19447</v>
      </c>
      <c r="P1358" t="s">
        <v>19982</v>
      </c>
      <c r="Q1358" t="s">
        <v>19900</v>
      </c>
      <c r="R1358" t="s">
        <v>19905</v>
      </c>
      <c r="S1358" t="s">
        <v>19906</v>
      </c>
      <c r="T1358" t="s">
        <v>19911</v>
      </c>
    </row>
    <row r="1359" spans="2:20" x14ac:dyDescent="0.25">
      <c r="B1359" t="s">
        <v>2709</v>
      </c>
      <c r="C1359">
        <v>24011040</v>
      </c>
      <c r="E1359" t="s">
        <v>19447</v>
      </c>
      <c r="F1359">
        <v>25</v>
      </c>
      <c r="G1359">
        <v>0</v>
      </c>
      <c r="H1359">
        <v>7.6</v>
      </c>
      <c r="I1359">
        <v>1.65</v>
      </c>
      <c r="J1359">
        <v>10</v>
      </c>
      <c r="L1359" t="s">
        <v>2709</v>
      </c>
      <c r="M1359">
        <v>24011040</v>
      </c>
      <c r="O1359" t="s">
        <v>19447</v>
      </c>
      <c r="P1359" t="s">
        <v>19982</v>
      </c>
      <c r="Q1359" t="s">
        <v>19900</v>
      </c>
      <c r="R1359" t="s">
        <v>19905</v>
      </c>
      <c r="S1359" t="s">
        <v>19906</v>
      </c>
      <c r="T1359" t="s">
        <v>19904</v>
      </c>
    </row>
    <row r="1360" spans="2:20" x14ac:dyDescent="0.25">
      <c r="B1360" t="s">
        <v>2709</v>
      </c>
      <c r="C1360">
        <v>24011090</v>
      </c>
      <c r="E1360" t="s">
        <v>19447</v>
      </c>
      <c r="F1360">
        <v>25</v>
      </c>
      <c r="G1360">
        <v>0</v>
      </c>
      <c r="H1360">
        <v>7.6</v>
      </c>
      <c r="I1360">
        <v>1.65</v>
      </c>
      <c r="J1360">
        <v>14</v>
      </c>
      <c r="L1360" t="s">
        <v>2709</v>
      </c>
      <c r="M1360">
        <v>24011090</v>
      </c>
      <c r="O1360" t="s">
        <v>19447</v>
      </c>
      <c r="P1360" t="s">
        <v>19982</v>
      </c>
      <c r="Q1360" t="s">
        <v>19900</v>
      </c>
      <c r="R1360" t="s">
        <v>19905</v>
      </c>
      <c r="S1360" t="s">
        <v>19906</v>
      </c>
      <c r="T1360" t="s">
        <v>19911</v>
      </c>
    </row>
    <row r="1361" spans="2:20" x14ac:dyDescent="0.25">
      <c r="B1361" t="s">
        <v>2709</v>
      </c>
      <c r="C1361">
        <v>24012010</v>
      </c>
      <c r="E1361" t="s">
        <v>19447</v>
      </c>
      <c r="F1361">
        <v>25</v>
      </c>
      <c r="G1361">
        <v>30</v>
      </c>
      <c r="H1361">
        <v>7.6</v>
      </c>
      <c r="I1361">
        <v>1.65</v>
      </c>
      <c r="J1361">
        <v>14</v>
      </c>
      <c r="L1361" t="s">
        <v>2709</v>
      </c>
      <c r="M1361">
        <v>24012010</v>
      </c>
      <c r="O1361" t="s">
        <v>19447</v>
      </c>
      <c r="P1361" t="s">
        <v>19982</v>
      </c>
      <c r="Q1361" t="s">
        <v>19933</v>
      </c>
      <c r="R1361" t="s">
        <v>19905</v>
      </c>
      <c r="S1361" t="s">
        <v>19906</v>
      </c>
      <c r="T1361" t="s">
        <v>19911</v>
      </c>
    </row>
    <row r="1362" spans="2:20" x14ac:dyDescent="0.25">
      <c r="B1362" t="s">
        <v>2709</v>
      </c>
      <c r="C1362">
        <v>24012020</v>
      </c>
      <c r="E1362" t="s">
        <v>19447</v>
      </c>
      <c r="F1362">
        <v>25</v>
      </c>
      <c r="G1362">
        <v>30</v>
      </c>
      <c r="H1362">
        <v>7.6</v>
      </c>
      <c r="I1362">
        <v>1.65</v>
      </c>
      <c r="J1362">
        <v>14</v>
      </c>
      <c r="L1362" t="s">
        <v>2709</v>
      </c>
      <c r="M1362">
        <v>24012020</v>
      </c>
      <c r="O1362" t="s">
        <v>19447</v>
      </c>
      <c r="P1362" t="s">
        <v>19982</v>
      </c>
      <c r="Q1362" t="s">
        <v>19933</v>
      </c>
      <c r="R1362" t="s">
        <v>19905</v>
      </c>
      <c r="S1362" t="s">
        <v>19906</v>
      </c>
      <c r="T1362" t="s">
        <v>19911</v>
      </c>
    </row>
    <row r="1363" spans="2:20" x14ac:dyDescent="0.25">
      <c r="B1363" t="s">
        <v>2709</v>
      </c>
      <c r="C1363">
        <v>24012030</v>
      </c>
      <c r="E1363" t="s">
        <v>19447</v>
      </c>
      <c r="F1363">
        <v>25</v>
      </c>
      <c r="G1363">
        <v>30</v>
      </c>
      <c r="H1363">
        <v>7.6</v>
      </c>
      <c r="I1363">
        <v>1.65</v>
      </c>
      <c r="J1363">
        <v>14</v>
      </c>
      <c r="L1363" t="s">
        <v>2709</v>
      </c>
      <c r="M1363">
        <v>24012030</v>
      </c>
      <c r="O1363" t="s">
        <v>19447</v>
      </c>
      <c r="P1363" t="s">
        <v>19982</v>
      </c>
      <c r="Q1363" t="s">
        <v>19933</v>
      </c>
      <c r="R1363" t="s">
        <v>19905</v>
      </c>
      <c r="S1363" t="s">
        <v>19906</v>
      </c>
      <c r="T1363" t="s">
        <v>19911</v>
      </c>
    </row>
    <row r="1364" spans="2:20" x14ac:dyDescent="0.25">
      <c r="B1364" t="s">
        <v>2709</v>
      </c>
      <c r="C1364">
        <v>24012040</v>
      </c>
      <c r="E1364" t="s">
        <v>19447</v>
      </c>
      <c r="F1364">
        <v>25</v>
      </c>
      <c r="G1364">
        <v>30</v>
      </c>
      <c r="H1364">
        <v>7.6</v>
      </c>
      <c r="I1364">
        <v>1.65</v>
      </c>
      <c r="J1364">
        <v>14</v>
      </c>
      <c r="L1364" t="s">
        <v>2709</v>
      </c>
      <c r="M1364">
        <v>24012040</v>
      </c>
      <c r="O1364" t="s">
        <v>19447</v>
      </c>
      <c r="P1364" t="s">
        <v>19982</v>
      </c>
      <c r="Q1364" t="s">
        <v>19933</v>
      </c>
      <c r="R1364" t="s">
        <v>19905</v>
      </c>
      <c r="S1364" t="s">
        <v>19906</v>
      </c>
      <c r="T1364" t="s">
        <v>19911</v>
      </c>
    </row>
    <row r="1365" spans="2:20" x14ac:dyDescent="0.25">
      <c r="B1365" t="s">
        <v>2709</v>
      </c>
      <c r="C1365">
        <v>24012090</v>
      </c>
      <c r="E1365" t="s">
        <v>19447</v>
      </c>
      <c r="F1365">
        <v>25</v>
      </c>
      <c r="G1365">
        <v>30</v>
      </c>
      <c r="H1365">
        <v>7.6</v>
      </c>
      <c r="I1365">
        <v>1.65</v>
      </c>
      <c r="J1365">
        <v>14</v>
      </c>
      <c r="L1365" t="s">
        <v>2709</v>
      </c>
      <c r="M1365">
        <v>24012090</v>
      </c>
      <c r="O1365" t="s">
        <v>19447</v>
      </c>
      <c r="P1365" t="s">
        <v>19982</v>
      </c>
      <c r="Q1365" t="s">
        <v>19933</v>
      </c>
      <c r="R1365" t="s">
        <v>19905</v>
      </c>
      <c r="S1365" t="s">
        <v>19906</v>
      </c>
      <c r="T1365" t="s">
        <v>19911</v>
      </c>
    </row>
    <row r="1366" spans="2:20" x14ac:dyDescent="0.25">
      <c r="B1366" t="s">
        <v>2709</v>
      </c>
      <c r="C1366">
        <v>24013000</v>
      </c>
      <c r="E1366" t="s">
        <v>19447</v>
      </c>
      <c r="F1366">
        <v>25</v>
      </c>
      <c r="G1366">
        <v>0</v>
      </c>
      <c r="H1366">
        <v>7.6</v>
      </c>
      <c r="I1366">
        <v>1.65</v>
      </c>
      <c r="J1366">
        <v>14</v>
      </c>
      <c r="L1366" t="s">
        <v>2709</v>
      </c>
      <c r="M1366">
        <v>24013000</v>
      </c>
      <c r="O1366" t="s">
        <v>19447</v>
      </c>
      <c r="P1366" t="s">
        <v>19982</v>
      </c>
      <c r="Q1366" t="s">
        <v>19900</v>
      </c>
      <c r="R1366" t="s">
        <v>19905</v>
      </c>
      <c r="S1366" t="s">
        <v>19906</v>
      </c>
      <c r="T1366" t="s">
        <v>19911</v>
      </c>
    </row>
    <row r="1367" spans="2:20" x14ac:dyDescent="0.25">
      <c r="B1367" t="s">
        <v>2709</v>
      </c>
      <c r="C1367">
        <v>24021000</v>
      </c>
      <c r="E1367">
        <v>0</v>
      </c>
      <c r="F1367">
        <v>25</v>
      </c>
      <c r="G1367">
        <v>30</v>
      </c>
      <c r="H1367">
        <v>3</v>
      </c>
      <c r="I1367">
        <v>0.65</v>
      </c>
      <c r="J1367">
        <v>20</v>
      </c>
      <c r="L1367" t="s">
        <v>2709</v>
      </c>
      <c r="M1367">
        <v>24021000</v>
      </c>
      <c r="O1367" t="s">
        <v>19900</v>
      </c>
      <c r="P1367" t="s">
        <v>19982</v>
      </c>
      <c r="Q1367" t="s">
        <v>19933</v>
      </c>
      <c r="R1367" t="s">
        <v>19997</v>
      </c>
      <c r="S1367" t="s">
        <v>19998</v>
      </c>
      <c r="T1367" t="s">
        <v>19934</v>
      </c>
    </row>
    <row r="1368" spans="2:20" x14ac:dyDescent="0.25">
      <c r="B1368" t="s">
        <v>2709</v>
      </c>
      <c r="C1368">
        <v>24021000</v>
      </c>
      <c r="D1368">
        <v>1</v>
      </c>
      <c r="E1368" t="s">
        <v>19447</v>
      </c>
      <c r="F1368">
        <v>18</v>
      </c>
      <c r="G1368">
        <v>45</v>
      </c>
      <c r="H1368">
        <v>7.6</v>
      </c>
      <c r="I1368">
        <v>1.65</v>
      </c>
      <c r="J1368">
        <v>20</v>
      </c>
      <c r="L1368" t="s">
        <v>2709</v>
      </c>
      <c r="M1368">
        <v>24021000</v>
      </c>
      <c r="N1368">
        <v>1</v>
      </c>
      <c r="O1368" t="s">
        <v>19447</v>
      </c>
      <c r="P1368" t="s">
        <v>19899</v>
      </c>
      <c r="Q1368" t="s">
        <v>19999</v>
      </c>
      <c r="R1368" t="s">
        <v>19905</v>
      </c>
      <c r="S1368" t="s">
        <v>19906</v>
      </c>
      <c r="T1368" t="s">
        <v>19934</v>
      </c>
    </row>
    <row r="1369" spans="2:20" x14ac:dyDescent="0.25">
      <c r="B1369" t="s">
        <v>2709</v>
      </c>
      <c r="C1369">
        <v>24022000</v>
      </c>
      <c r="E1369">
        <v>0</v>
      </c>
      <c r="F1369">
        <v>25</v>
      </c>
      <c r="G1369">
        <v>45</v>
      </c>
      <c r="H1369">
        <v>3</v>
      </c>
      <c r="I1369">
        <v>0.65</v>
      </c>
      <c r="J1369">
        <v>20</v>
      </c>
      <c r="L1369" t="s">
        <v>2709</v>
      </c>
      <c r="M1369">
        <v>24022000</v>
      </c>
      <c r="O1369" t="s">
        <v>19900</v>
      </c>
      <c r="P1369" t="s">
        <v>19982</v>
      </c>
      <c r="Q1369" t="s">
        <v>19999</v>
      </c>
      <c r="R1369" t="s">
        <v>19997</v>
      </c>
      <c r="S1369" t="s">
        <v>19998</v>
      </c>
      <c r="T1369" t="s">
        <v>19934</v>
      </c>
    </row>
    <row r="1370" spans="2:20" x14ac:dyDescent="0.25">
      <c r="B1370" t="s">
        <v>2709</v>
      </c>
      <c r="C1370">
        <v>24022000</v>
      </c>
      <c r="D1370">
        <v>1</v>
      </c>
      <c r="E1370" t="s">
        <v>19447</v>
      </c>
      <c r="F1370">
        <v>18</v>
      </c>
      <c r="G1370">
        <v>30</v>
      </c>
      <c r="H1370">
        <v>7.6</v>
      </c>
      <c r="I1370">
        <v>1.65</v>
      </c>
      <c r="J1370">
        <v>20</v>
      </c>
      <c r="L1370" t="s">
        <v>2709</v>
      </c>
      <c r="M1370">
        <v>24022000</v>
      </c>
      <c r="N1370">
        <v>1</v>
      </c>
      <c r="O1370" t="s">
        <v>19447</v>
      </c>
      <c r="P1370" t="s">
        <v>19899</v>
      </c>
      <c r="Q1370" t="s">
        <v>19933</v>
      </c>
      <c r="R1370" t="s">
        <v>19905</v>
      </c>
      <c r="S1370" t="s">
        <v>19906</v>
      </c>
      <c r="T1370" t="s">
        <v>19934</v>
      </c>
    </row>
    <row r="1371" spans="2:20" x14ac:dyDescent="0.25">
      <c r="B1371" t="s">
        <v>2709</v>
      </c>
      <c r="C1371">
        <v>24029000</v>
      </c>
      <c r="E1371">
        <v>0</v>
      </c>
      <c r="F1371">
        <v>25</v>
      </c>
      <c r="G1371">
        <v>30</v>
      </c>
      <c r="H1371">
        <v>3</v>
      </c>
      <c r="I1371">
        <v>0.65</v>
      </c>
      <c r="J1371">
        <v>20</v>
      </c>
      <c r="L1371" t="s">
        <v>2709</v>
      </c>
      <c r="M1371">
        <v>24029000</v>
      </c>
      <c r="O1371" t="s">
        <v>19900</v>
      </c>
      <c r="P1371" t="s">
        <v>19982</v>
      </c>
      <c r="Q1371" t="s">
        <v>19933</v>
      </c>
      <c r="R1371" t="s">
        <v>19997</v>
      </c>
      <c r="S1371" t="s">
        <v>19998</v>
      </c>
      <c r="T1371" t="s">
        <v>19934</v>
      </c>
    </row>
    <row r="1372" spans="2:20" x14ac:dyDescent="0.25">
      <c r="B1372" t="s">
        <v>2709</v>
      </c>
      <c r="C1372">
        <v>24029000</v>
      </c>
      <c r="D1372">
        <v>1</v>
      </c>
      <c r="E1372" t="s">
        <v>19447</v>
      </c>
      <c r="F1372">
        <v>18</v>
      </c>
      <c r="G1372">
        <v>45</v>
      </c>
      <c r="H1372">
        <v>7.6</v>
      </c>
      <c r="I1372">
        <v>1.65</v>
      </c>
      <c r="J1372">
        <v>20</v>
      </c>
      <c r="L1372" t="s">
        <v>2709</v>
      </c>
      <c r="M1372">
        <v>24029000</v>
      </c>
      <c r="N1372">
        <v>1</v>
      </c>
      <c r="O1372" t="s">
        <v>19447</v>
      </c>
      <c r="P1372" t="s">
        <v>19899</v>
      </c>
      <c r="Q1372" t="s">
        <v>19999</v>
      </c>
      <c r="R1372" t="s">
        <v>19905</v>
      </c>
      <c r="S1372" t="s">
        <v>19906</v>
      </c>
      <c r="T1372" t="s">
        <v>19934</v>
      </c>
    </row>
    <row r="1373" spans="2:20" x14ac:dyDescent="0.25">
      <c r="B1373" t="s">
        <v>2709</v>
      </c>
      <c r="C1373">
        <v>24031100</v>
      </c>
      <c r="E1373">
        <v>50</v>
      </c>
      <c r="F1373">
        <v>25</v>
      </c>
      <c r="G1373">
        <v>30</v>
      </c>
      <c r="H1373">
        <v>7.6</v>
      </c>
      <c r="I1373">
        <v>1.65</v>
      </c>
      <c r="J1373">
        <v>20</v>
      </c>
      <c r="L1373" t="s">
        <v>2709</v>
      </c>
      <c r="M1373">
        <v>24031100</v>
      </c>
      <c r="O1373" t="s">
        <v>20000</v>
      </c>
      <c r="P1373" t="s">
        <v>19982</v>
      </c>
      <c r="Q1373" t="s">
        <v>19933</v>
      </c>
      <c r="R1373" t="s">
        <v>19905</v>
      </c>
      <c r="S1373" t="s">
        <v>19906</v>
      </c>
      <c r="T1373" t="s">
        <v>19934</v>
      </c>
    </row>
    <row r="1374" spans="2:20" x14ac:dyDescent="0.25">
      <c r="B1374" t="s">
        <v>2709</v>
      </c>
      <c r="C1374">
        <v>24031900</v>
      </c>
      <c r="E1374">
        <v>50</v>
      </c>
      <c r="F1374">
        <v>25</v>
      </c>
      <c r="G1374">
        <v>30</v>
      </c>
      <c r="H1374">
        <v>7.6</v>
      </c>
      <c r="I1374">
        <v>1.65</v>
      </c>
      <c r="J1374">
        <v>20</v>
      </c>
      <c r="L1374" t="s">
        <v>2709</v>
      </c>
      <c r="M1374">
        <v>24031900</v>
      </c>
      <c r="O1374" t="s">
        <v>20000</v>
      </c>
      <c r="P1374" t="s">
        <v>19982</v>
      </c>
      <c r="Q1374" t="s">
        <v>19933</v>
      </c>
      <c r="R1374" t="s">
        <v>19905</v>
      </c>
      <c r="S1374" t="s">
        <v>19906</v>
      </c>
      <c r="T1374" t="s">
        <v>19934</v>
      </c>
    </row>
    <row r="1375" spans="2:20" x14ac:dyDescent="0.25">
      <c r="B1375" t="s">
        <v>2709</v>
      </c>
      <c r="C1375">
        <v>24039100</v>
      </c>
      <c r="E1375">
        <v>50</v>
      </c>
      <c r="F1375">
        <v>25</v>
      </c>
      <c r="G1375">
        <v>30</v>
      </c>
      <c r="H1375">
        <v>7.6</v>
      </c>
      <c r="I1375">
        <v>1.65</v>
      </c>
      <c r="J1375">
        <v>14</v>
      </c>
      <c r="L1375" t="s">
        <v>2709</v>
      </c>
      <c r="M1375">
        <v>24039100</v>
      </c>
      <c r="O1375" t="s">
        <v>20000</v>
      </c>
      <c r="P1375" t="s">
        <v>19982</v>
      </c>
      <c r="Q1375" t="s">
        <v>19933</v>
      </c>
      <c r="R1375" t="s">
        <v>19905</v>
      </c>
      <c r="S1375" t="s">
        <v>19906</v>
      </c>
      <c r="T1375" t="s">
        <v>19911</v>
      </c>
    </row>
    <row r="1376" spans="2:20" x14ac:dyDescent="0.25">
      <c r="B1376" t="s">
        <v>2709</v>
      </c>
      <c r="C1376">
        <v>24039910</v>
      </c>
      <c r="E1376">
        <v>50</v>
      </c>
      <c r="F1376">
        <v>25</v>
      </c>
      <c r="G1376">
        <v>30</v>
      </c>
      <c r="H1376">
        <v>7.6</v>
      </c>
      <c r="I1376">
        <v>1.65</v>
      </c>
      <c r="J1376">
        <v>14</v>
      </c>
      <c r="L1376" t="s">
        <v>2709</v>
      </c>
      <c r="M1376">
        <v>24039910</v>
      </c>
      <c r="O1376" t="s">
        <v>20000</v>
      </c>
      <c r="P1376" t="s">
        <v>19982</v>
      </c>
      <c r="Q1376" t="s">
        <v>19933</v>
      </c>
      <c r="R1376" t="s">
        <v>19905</v>
      </c>
      <c r="S1376" t="s">
        <v>19906</v>
      </c>
      <c r="T1376" t="s">
        <v>19911</v>
      </c>
    </row>
    <row r="1377" spans="2:20" x14ac:dyDescent="0.25">
      <c r="B1377" t="s">
        <v>2709</v>
      </c>
      <c r="C1377">
        <v>24039990</v>
      </c>
      <c r="E1377">
        <v>50</v>
      </c>
      <c r="F1377">
        <v>25</v>
      </c>
      <c r="G1377">
        <v>30</v>
      </c>
      <c r="H1377">
        <v>7.6</v>
      </c>
      <c r="I1377">
        <v>1.65</v>
      </c>
      <c r="J1377">
        <v>18</v>
      </c>
      <c r="L1377" t="s">
        <v>2709</v>
      </c>
      <c r="M1377">
        <v>24039990</v>
      </c>
      <c r="O1377" t="s">
        <v>20000</v>
      </c>
      <c r="P1377" t="s">
        <v>19982</v>
      </c>
      <c r="Q1377" t="s">
        <v>19933</v>
      </c>
      <c r="R1377" t="s">
        <v>19905</v>
      </c>
      <c r="S1377" t="s">
        <v>19906</v>
      </c>
      <c r="T1377" t="s">
        <v>19899</v>
      </c>
    </row>
    <row r="1378" spans="2:20" x14ac:dyDescent="0.25">
      <c r="B1378" t="s">
        <v>2709</v>
      </c>
      <c r="C1378">
        <v>25010011</v>
      </c>
      <c r="E1378">
        <v>43</v>
      </c>
      <c r="F1378">
        <v>12</v>
      </c>
      <c r="G1378">
        <v>0</v>
      </c>
      <c r="H1378" t="s">
        <v>19447</v>
      </c>
      <c r="I1378" t="s">
        <v>19447</v>
      </c>
      <c r="J1378">
        <v>4</v>
      </c>
      <c r="L1378" t="s">
        <v>2709</v>
      </c>
      <c r="M1378">
        <v>25010011</v>
      </c>
      <c r="O1378" t="s">
        <v>20001</v>
      </c>
      <c r="P1378" t="s">
        <v>19903</v>
      </c>
      <c r="Q1378" t="s">
        <v>19900</v>
      </c>
      <c r="R1378" t="s">
        <v>19447</v>
      </c>
      <c r="S1378" t="s">
        <v>19447</v>
      </c>
      <c r="T1378" t="s">
        <v>19902</v>
      </c>
    </row>
    <row r="1379" spans="2:20" x14ac:dyDescent="0.25">
      <c r="B1379" t="s">
        <v>2709</v>
      </c>
      <c r="C1379">
        <v>25010019</v>
      </c>
      <c r="E1379">
        <v>43</v>
      </c>
      <c r="F1379">
        <v>12</v>
      </c>
      <c r="G1379">
        <v>0</v>
      </c>
      <c r="H1379" t="s">
        <v>19447</v>
      </c>
      <c r="I1379" t="s">
        <v>19447</v>
      </c>
      <c r="J1379">
        <v>4</v>
      </c>
      <c r="L1379" t="s">
        <v>2709</v>
      </c>
      <c r="M1379">
        <v>25010019</v>
      </c>
      <c r="O1379" t="s">
        <v>20001</v>
      </c>
      <c r="P1379" t="s">
        <v>19903</v>
      </c>
      <c r="Q1379" t="s">
        <v>19900</v>
      </c>
      <c r="R1379" t="s">
        <v>19447</v>
      </c>
      <c r="S1379" t="s">
        <v>19447</v>
      </c>
      <c r="T1379" t="s">
        <v>19902</v>
      </c>
    </row>
    <row r="1380" spans="2:20" x14ac:dyDescent="0.25">
      <c r="B1380" t="s">
        <v>2709</v>
      </c>
      <c r="C1380">
        <v>25010020</v>
      </c>
      <c r="E1380">
        <v>43</v>
      </c>
      <c r="F1380">
        <v>7</v>
      </c>
      <c r="G1380">
        <v>0</v>
      </c>
      <c r="H1380" t="s">
        <v>19447</v>
      </c>
      <c r="I1380" t="s">
        <v>19447</v>
      </c>
      <c r="J1380">
        <v>4</v>
      </c>
      <c r="L1380" t="s">
        <v>2709</v>
      </c>
      <c r="M1380">
        <v>25010020</v>
      </c>
      <c r="O1380" t="s">
        <v>20001</v>
      </c>
      <c r="P1380" t="s">
        <v>19908</v>
      </c>
      <c r="Q1380" t="s">
        <v>19900</v>
      </c>
      <c r="R1380" t="s">
        <v>19447</v>
      </c>
      <c r="S1380" t="s">
        <v>19447</v>
      </c>
      <c r="T1380" t="s">
        <v>19902</v>
      </c>
    </row>
    <row r="1381" spans="2:20" x14ac:dyDescent="0.25">
      <c r="B1381" t="s">
        <v>2709</v>
      </c>
      <c r="C1381">
        <v>25010090</v>
      </c>
      <c r="E1381">
        <v>177.19</v>
      </c>
      <c r="F1381">
        <v>12</v>
      </c>
      <c r="G1381">
        <v>0</v>
      </c>
      <c r="H1381" t="s">
        <v>19447</v>
      </c>
      <c r="I1381" t="s">
        <v>19447</v>
      </c>
      <c r="J1381">
        <v>4</v>
      </c>
      <c r="L1381" t="s">
        <v>2709</v>
      </c>
      <c r="M1381">
        <v>25010090</v>
      </c>
      <c r="O1381" t="s">
        <v>19926</v>
      </c>
      <c r="P1381" t="s">
        <v>19903</v>
      </c>
      <c r="Q1381" t="s">
        <v>19900</v>
      </c>
      <c r="R1381" t="s">
        <v>19447</v>
      </c>
      <c r="S1381" t="s">
        <v>19447</v>
      </c>
      <c r="T1381" t="s">
        <v>19902</v>
      </c>
    </row>
    <row r="1382" spans="2:20" x14ac:dyDescent="0.25">
      <c r="B1382" t="s">
        <v>2709</v>
      </c>
      <c r="C1382">
        <v>25010090</v>
      </c>
      <c r="D1382">
        <v>1</v>
      </c>
      <c r="E1382" t="s">
        <v>19447</v>
      </c>
      <c r="F1382">
        <v>18</v>
      </c>
      <c r="G1382">
        <v>0</v>
      </c>
      <c r="H1382">
        <v>7.6</v>
      </c>
      <c r="I1382">
        <v>1.65</v>
      </c>
      <c r="J1382">
        <v>4</v>
      </c>
      <c r="L1382" t="s">
        <v>2709</v>
      </c>
      <c r="M1382">
        <v>25010090</v>
      </c>
      <c r="N1382">
        <v>1</v>
      </c>
      <c r="O1382" t="s">
        <v>19447</v>
      </c>
      <c r="P1382" t="s">
        <v>19899</v>
      </c>
      <c r="Q1382" t="s">
        <v>19900</v>
      </c>
      <c r="R1382" t="s">
        <v>19905</v>
      </c>
      <c r="S1382" t="s">
        <v>19906</v>
      </c>
      <c r="T1382" t="s">
        <v>19902</v>
      </c>
    </row>
    <row r="1383" spans="2:20" x14ac:dyDescent="0.25">
      <c r="B1383" t="s">
        <v>2709</v>
      </c>
      <c r="C1383">
        <v>25020000</v>
      </c>
      <c r="E1383">
        <v>43</v>
      </c>
      <c r="F1383">
        <v>12</v>
      </c>
      <c r="G1383">
        <v>0</v>
      </c>
      <c r="H1383" t="s">
        <v>19447</v>
      </c>
      <c r="I1383" t="s">
        <v>19447</v>
      </c>
      <c r="J1383">
        <v>4</v>
      </c>
      <c r="L1383" t="s">
        <v>2709</v>
      </c>
      <c r="M1383">
        <v>25020000</v>
      </c>
      <c r="O1383" t="s">
        <v>20001</v>
      </c>
      <c r="P1383" t="s">
        <v>19903</v>
      </c>
      <c r="Q1383" t="s">
        <v>19900</v>
      </c>
      <c r="R1383" t="s">
        <v>19447</v>
      </c>
      <c r="S1383" t="s">
        <v>19447</v>
      </c>
      <c r="T1383" t="s">
        <v>19902</v>
      </c>
    </row>
    <row r="1384" spans="2:20" x14ac:dyDescent="0.25">
      <c r="B1384" t="s">
        <v>2709</v>
      </c>
      <c r="C1384">
        <v>25030010</v>
      </c>
      <c r="E1384">
        <v>43</v>
      </c>
      <c r="F1384">
        <v>12</v>
      </c>
      <c r="G1384">
        <v>0</v>
      </c>
      <c r="H1384" t="s">
        <v>19447</v>
      </c>
      <c r="I1384" t="s">
        <v>19447</v>
      </c>
      <c r="J1384">
        <v>0</v>
      </c>
      <c r="L1384" t="s">
        <v>2709</v>
      </c>
      <c r="M1384">
        <v>25030010</v>
      </c>
      <c r="O1384" t="s">
        <v>20001</v>
      </c>
      <c r="P1384" t="s">
        <v>19903</v>
      </c>
      <c r="Q1384" t="s">
        <v>19900</v>
      </c>
      <c r="R1384" t="s">
        <v>19447</v>
      </c>
      <c r="S1384" t="s">
        <v>19447</v>
      </c>
      <c r="T1384" t="s">
        <v>19900</v>
      </c>
    </row>
    <row r="1385" spans="2:20" x14ac:dyDescent="0.25">
      <c r="B1385" t="s">
        <v>2709</v>
      </c>
      <c r="C1385">
        <v>25030010</v>
      </c>
      <c r="D1385">
        <v>1</v>
      </c>
      <c r="E1385" t="s">
        <v>19447</v>
      </c>
      <c r="F1385">
        <v>18</v>
      </c>
      <c r="G1385">
        <v>0</v>
      </c>
      <c r="H1385">
        <v>7.6</v>
      </c>
      <c r="I1385">
        <v>1.65</v>
      </c>
      <c r="J1385">
        <v>0</v>
      </c>
      <c r="L1385" t="s">
        <v>2709</v>
      </c>
      <c r="M1385">
        <v>25030010</v>
      </c>
      <c r="N1385">
        <v>1</v>
      </c>
      <c r="O1385" t="s">
        <v>19447</v>
      </c>
      <c r="P1385" t="s">
        <v>19899</v>
      </c>
      <c r="Q1385" t="s">
        <v>19900</v>
      </c>
      <c r="R1385" t="s">
        <v>19905</v>
      </c>
      <c r="S1385" t="s">
        <v>19906</v>
      </c>
      <c r="T1385" t="s">
        <v>19900</v>
      </c>
    </row>
    <row r="1386" spans="2:20" x14ac:dyDescent="0.25">
      <c r="B1386" t="s">
        <v>2709</v>
      </c>
      <c r="C1386">
        <v>25030090</v>
      </c>
      <c r="E1386">
        <v>43</v>
      </c>
      <c r="F1386">
        <v>12</v>
      </c>
      <c r="G1386">
        <v>0</v>
      </c>
      <c r="H1386" t="s">
        <v>19447</v>
      </c>
      <c r="I1386" t="s">
        <v>19447</v>
      </c>
      <c r="J1386">
        <v>0</v>
      </c>
      <c r="L1386" t="s">
        <v>2709</v>
      </c>
      <c r="M1386">
        <v>25030090</v>
      </c>
      <c r="O1386" t="s">
        <v>20001</v>
      </c>
      <c r="P1386" t="s">
        <v>19903</v>
      </c>
      <c r="Q1386" t="s">
        <v>19900</v>
      </c>
      <c r="R1386" t="s">
        <v>19447</v>
      </c>
      <c r="S1386" t="s">
        <v>19447</v>
      </c>
      <c r="T1386" t="s">
        <v>19900</v>
      </c>
    </row>
    <row r="1387" spans="2:20" x14ac:dyDescent="0.25">
      <c r="B1387" t="s">
        <v>2709</v>
      </c>
      <c r="C1387">
        <v>25041000</v>
      </c>
      <c r="E1387">
        <v>43</v>
      </c>
      <c r="F1387">
        <v>12</v>
      </c>
      <c r="G1387">
        <v>0</v>
      </c>
      <c r="H1387" t="s">
        <v>19447</v>
      </c>
      <c r="I1387" t="s">
        <v>19447</v>
      </c>
      <c r="J1387">
        <v>4</v>
      </c>
      <c r="L1387" t="s">
        <v>2709</v>
      </c>
      <c r="M1387">
        <v>25041000</v>
      </c>
      <c r="O1387" t="s">
        <v>20001</v>
      </c>
      <c r="P1387" t="s">
        <v>19903</v>
      </c>
      <c r="Q1387" t="s">
        <v>19900</v>
      </c>
      <c r="R1387" t="s">
        <v>19447</v>
      </c>
      <c r="S1387" t="s">
        <v>19447</v>
      </c>
      <c r="T1387" t="s">
        <v>19902</v>
      </c>
    </row>
    <row r="1388" spans="2:20" x14ac:dyDescent="0.25">
      <c r="B1388" t="s">
        <v>2709</v>
      </c>
      <c r="C1388">
        <v>25049000</v>
      </c>
      <c r="E1388">
        <v>43</v>
      </c>
      <c r="F1388">
        <v>12</v>
      </c>
      <c r="G1388">
        <v>0</v>
      </c>
      <c r="H1388" t="s">
        <v>19447</v>
      </c>
      <c r="I1388" t="s">
        <v>19447</v>
      </c>
      <c r="J1388">
        <v>4</v>
      </c>
      <c r="L1388" t="s">
        <v>2709</v>
      </c>
      <c r="M1388">
        <v>25049000</v>
      </c>
      <c r="O1388" t="s">
        <v>20001</v>
      </c>
      <c r="P1388" t="s">
        <v>19903</v>
      </c>
      <c r="Q1388" t="s">
        <v>19900</v>
      </c>
      <c r="R1388" t="s">
        <v>19447</v>
      </c>
      <c r="S1388" t="s">
        <v>19447</v>
      </c>
      <c r="T1388" t="s">
        <v>19902</v>
      </c>
    </row>
    <row r="1389" spans="2:20" x14ac:dyDescent="0.25">
      <c r="B1389" t="s">
        <v>2709</v>
      </c>
      <c r="C1389">
        <v>25051000</v>
      </c>
      <c r="E1389">
        <v>43</v>
      </c>
      <c r="F1389">
        <v>12</v>
      </c>
      <c r="G1389">
        <v>0</v>
      </c>
      <c r="H1389" t="s">
        <v>19447</v>
      </c>
      <c r="I1389" t="s">
        <v>19447</v>
      </c>
      <c r="J1389">
        <v>4</v>
      </c>
      <c r="L1389" t="s">
        <v>2709</v>
      </c>
      <c r="M1389">
        <v>25051000</v>
      </c>
      <c r="O1389" t="s">
        <v>20001</v>
      </c>
      <c r="P1389" t="s">
        <v>19903</v>
      </c>
      <c r="Q1389" t="s">
        <v>19900</v>
      </c>
      <c r="R1389" t="s">
        <v>19447</v>
      </c>
      <c r="S1389" t="s">
        <v>19447</v>
      </c>
      <c r="T1389" t="s">
        <v>19902</v>
      </c>
    </row>
    <row r="1390" spans="2:20" x14ac:dyDescent="0.25">
      <c r="B1390" t="s">
        <v>2709</v>
      </c>
      <c r="C1390">
        <v>25059000</v>
      </c>
      <c r="E1390">
        <v>43</v>
      </c>
      <c r="F1390">
        <v>12</v>
      </c>
      <c r="G1390">
        <v>0</v>
      </c>
      <c r="H1390" t="s">
        <v>19447</v>
      </c>
      <c r="I1390" t="s">
        <v>19447</v>
      </c>
      <c r="J1390">
        <v>4</v>
      </c>
      <c r="L1390" t="s">
        <v>2709</v>
      </c>
      <c r="M1390">
        <v>25059000</v>
      </c>
      <c r="O1390" t="s">
        <v>20001</v>
      </c>
      <c r="P1390" t="s">
        <v>19903</v>
      </c>
      <c r="Q1390" t="s">
        <v>19900</v>
      </c>
      <c r="R1390" t="s">
        <v>19447</v>
      </c>
      <c r="S1390" t="s">
        <v>19447</v>
      </c>
      <c r="T1390" t="s">
        <v>19902</v>
      </c>
    </row>
    <row r="1391" spans="2:20" x14ac:dyDescent="0.25">
      <c r="B1391" t="s">
        <v>2709</v>
      </c>
      <c r="C1391">
        <v>25061000</v>
      </c>
      <c r="E1391">
        <v>43</v>
      </c>
      <c r="F1391">
        <v>12</v>
      </c>
      <c r="G1391">
        <v>0</v>
      </c>
      <c r="H1391" t="s">
        <v>19447</v>
      </c>
      <c r="I1391" t="s">
        <v>19447</v>
      </c>
      <c r="J1391">
        <v>4</v>
      </c>
      <c r="L1391" t="s">
        <v>2709</v>
      </c>
      <c r="M1391">
        <v>25061000</v>
      </c>
      <c r="O1391" t="s">
        <v>20001</v>
      </c>
      <c r="P1391" t="s">
        <v>19903</v>
      </c>
      <c r="Q1391" t="s">
        <v>19900</v>
      </c>
      <c r="R1391" t="s">
        <v>19447</v>
      </c>
      <c r="S1391" t="s">
        <v>19447</v>
      </c>
      <c r="T1391" t="s">
        <v>19902</v>
      </c>
    </row>
    <row r="1392" spans="2:20" x14ac:dyDescent="0.25">
      <c r="B1392" t="s">
        <v>2709</v>
      </c>
      <c r="C1392">
        <v>25062000</v>
      </c>
      <c r="E1392">
        <v>43</v>
      </c>
      <c r="F1392">
        <v>12</v>
      </c>
      <c r="G1392">
        <v>0</v>
      </c>
      <c r="H1392" t="s">
        <v>19447</v>
      </c>
      <c r="I1392" t="s">
        <v>19447</v>
      </c>
      <c r="J1392">
        <v>4</v>
      </c>
      <c r="L1392" t="s">
        <v>2709</v>
      </c>
      <c r="M1392">
        <v>25062000</v>
      </c>
      <c r="O1392" t="s">
        <v>20001</v>
      </c>
      <c r="P1392" t="s">
        <v>19903</v>
      </c>
      <c r="Q1392" t="s">
        <v>19900</v>
      </c>
      <c r="R1392" t="s">
        <v>19447</v>
      </c>
      <c r="S1392" t="s">
        <v>19447</v>
      </c>
      <c r="T1392" t="s">
        <v>19902</v>
      </c>
    </row>
    <row r="1393" spans="2:20" x14ac:dyDescent="0.25">
      <c r="B1393" t="s">
        <v>2709</v>
      </c>
      <c r="C1393">
        <v>25070010</v>
      </c>
      <c r="E1393">
        <v>43</v>
      </c>
      <c r="F1393">
        <v>12</v>
      </c>
      <c r="G1393">
        <v>0</v>
      </c>
      <c r="H1393" t="s">
        <v>19447</v>
      </c>
      <c r="I1393" t="s">
        <v>19447</v>
      </c>
      <c r="J1393">
        <v>4</v>
      </c>
      <c r="L1393" t="s">
        <v>2709</v>
      </c>
      <c r="M1393">
        <v>25070010</v>
      </c>
      <c r="O1393" t="s">
        <v>20001</v>
      </c>
      <c r="P1393" t="s">
        <v>19903</v>
      </c>
      <c r="Q1393" t="s">
        <v>19900</v>
      </c>
      <c r="R1393" t="s">
        <v>19447</v>
      </c>
      <c r="S1393" t="s">
        <v>19447</v>
      </c>
      <c r="T1393" t="s">
        <v>19902</v>
      </c>
    </row>
    <row r="1394" spans="2:20" x14ac:dyDescent="0.25">
      <c r="B1394" t="s">
        <v>2709</v>
      </c>
      <c r="C1394">
        <v>25070090</v>
      </c>
      <c r="E1394">
        <v>43</v>
      </c>
      <c r="F1394">
        <v>12</v>
      </c>
      <c r="G1394">
        <v>0</v>
      </c>
      <c r="H1394" t="s">
        <v>19447</v>
      </c>
      <c r="I1394" t="s">
        <v>19447</v>
      </c>
      <c r="J1394">
        <v>4</v>
      </c>
      <c r="L1394" t="s">
        <v>2709</v>
      </c>
      <c r="M1394">
        <v>25070090</v>
      </c>
      <c r="O1394" t="s">
        <v>20001</v>
      </c>
      <c r="P1394" t="s">
        <v>19903</v>
      </c>
      <c r="Q1394" t="s">
        <v>19900</v>
      </c>
      <c r="R1394" t="s">
        <v>19447</v>
      </c>
      <c r="S1394" t="s">
        <v>19447</v>
      </c>
      <c r="T1394" t="s">
        <v>19902</v>
      </c>
    </row>
    <row r="1395" spans="2:20" x14ac:dyDescent="0.25">
      <c r="B1395" t="s">
        <v>2709</v>
      </c>
      <c r="C1395">
        <v>25081000</v>
      </c>
      <c r="E1395">
        <v>43</v>
      </c>
      <c r="F1395">
        <v>12</v>
      </c>
      <c r="G1395">
        <v>0</v>
      </c>
      <c r="H1395" t="s">
        <v>19447</v>
      </c>
      <c r="I1395" t="s">
        <v>19447</v>
      </c>
      <c r="J1395">
        <v>4</v>
      </c>
      <c r="L1395" t="s">
        <v>2709</v>
      </c>
      <c r="M1395">
        <v>25081000</v>
      </c>
      <c r="O1395" t="s">
        <v>20001</v>
      </c>
      <c r="P1395" t="s">
        <v>19903</v>
      </c>
      <c r="Q1395" t="s">
        <v>19900</v>
      </c>
      <c r="R1395" t="s">
        <v>19447</v>
      </c>
      <c r="S1395" t="s">
        <v>19447</v>
      </c>
      <c r="T1395" t="s">
        <v>19902</v>
      </c>
    </row>
    <row r="1396" spans="2:20" x14ac:dyDescent="0.25">
      <c r="B1396" t="s">
        <v>2709</v>
      </c>
      <c r="C1396">
        <v>25083000</v>
      </c>
      <c r="E1396">
        <v>43</v>
      </c>
      <c r="F1396">
        <v>12</v>
      </c>
      <c r="G1396">
        <v>0</v>
      </c>
      <c r="H1396" t="s">
        <v>19447</v>
      </c>
      <c r="I1396" t="s">
        <v>19447</v>
      </c>
      <c r="J1396">
        <v>4</v>
      </c>
      <c r="L1396" t="s">
        <v>2709</v>
      </c>
      <c r="M1396">
        <v>25083000</v>
      </c>
      <c r="O1396" t="s">
        <v>20001</v>
      </c>
      <c r="P1396" t="s">
        <v>19903</v>
      </c>
      <c r="Q1396" t="s">
        <v>19900</v>
      </c>
      <c r="R1396" t="s">
        <v>19447</v>
      </c>
      <c r="S1396" t="s">
        <v>19447</v>
      </c>
      <c r="T1396" t="s">
        <v>19902</v>
      </c>
    </row>
    <row r="1397" spans="2:20" x14ac:dyDescent="0.25">
      <c r="B1397" t="s">
        <v>2709</v>
      </c>
      <c r="C1397">
        <v>25084010</v>
      </c>
      <c r="E1397">
        <v>43</v>
      </c>
      <c r="F1397">
        <v>12</v>
      </c>
      <c r="G1397">
        <v>0</v>
      </c>
      <c r="H1397" t="s">
        <v>19447</v>
      </c>
      <c r="I1397" t="s">
        <v>19447</v>
      </c>
      <c r="J1397">
        <v>4</v>
      </c>
      <c r="L1397" t="s">
        <v>2709</v>
      </c>
      <c r="M1397">
        <v>25084010</v>
      </c>
      <c r="O1397" t="s">
        <v>20001</v>
      </c>
      <c r="P1397" t="s">
        <v>19903</v>
      </c>
      <c r="Q1397" t="s">
        <v>19900</v>
      </c>
      <c r="R1397" t="s">
        <v>19447</v>
      </c>
      <c r="S1397" t="s">
        <v>19447</v>
      </c>
      <c r="T1397" t="s">
        <v>19902</v>
      </c>
    </row>
    <row r="1398" spans="2:20" x14ac:dyDescent="0.25">
      <c r="B1398" t="s">
        <v>2709</v>
      </c>
      <c r="C1398">
        <v>25084090</v>
      </c>
      <c r="E1398">
        <v>43</v>
      </c>
      <c r="F1398">
        <v>12</v>
      </c>
      <c r="G1398">
        <v>0</v>
      </c>
      <c r="H1398" t="s">
        <v>19447</v>
      </c>
      <c r="I1398" t="s">
        <v>19447</v>
      </c>
      <c r="J1398">
        <v>4</v>
      </c>
      <c r="L1398" t="s">
        <v>2709</v>
      </c>
      <c r="M1398">
        <v>25084090</v>
      </c>
      <c r="O1398" t="s">
        <v>20001</v>
      </c>
      <c r="P1398" t="s">
        <v>19903</v>
      </c>
      <c r="Q1398" t="s">
        <v>19900</v>
      </c>
      <c r="R1398" t="s">
        <v>19447</v>
      </c>
      <c r="S1398" t="s">
        <v>19447</v>
      </c>
      <c r="T1398" t="s">
        <v>19902</v>
      </c>
    </row>
    <row r="1399" spans="2:20" x14ac:dyDescent="0.25">
      <c r="B1399" t="s">
        <v>2709</v>
      </c>
      <c r="C1399">
        <v>25085000</v>
      </c>
      <c r="E1399">
        <v>43</v>
      </c>
      <c r="F1399">
        <v>12</v>
      </c>
      <c r="G1399">
        <v>0</v>
      </c>
      <c r="H1399" t="s">
        <v>19447</v>
      </c>
      <c r="I1399" t="s">
        <v>19447</v>
      </c>
      <c r="J1399">
        <v>4</v>
      </c>
      <c r="L1399" t="s">
        <v>2709</v>
      </c>
      <c r="M1399">
        <v>25085000</v>
      </c>
      <c r="O1399" t="s">
        <v>20001</v>
      </c>
      <c r="P1399" t="s">
        <v>19903</v>
      </c>
      <c r="Q1399" t="s">
        <v>19900</v>
      </c>
      <c r="R1399" t="s">
        <v>19447</v>
      </c>
      <c r="S1399" t="s">
        <v>19447</v>
      </c>
      <c r="T1399" t="s">
        <v>19902</v>
      </c>
    </row>
    <row r="1400" spans="2:20" x14ac:dyDescent="0.25">
      <c r="B1400" t="s">
        <v>2709</v>
      </c>
      <c r="C1400">
        <v>25086000</v>
      </c>
      <c r="E1400">
        <v>43</v>
      </c>
      <c r="F1400">
        <v>12</v>
      </c>
      <c r="G1400">
        <v>0</v>
      </c>
      <c r="H1400" t="s">
        <v>19447</v>
      </c>
      <c r="I1400" t="s">
        <v>19447</v>
      </c>
      <c r="J1400">
        <v>4</v>
      </c>
      <c r="L1400" t="s">
        <v>2709</v>
      </c>
      <c r="M1400">
        <v>25086000</v>
      </c>
      <c r="O1400" t="s">
        <v>20001</v>
      </c>
      <c r="P1400" t="s">
        <v>19903</v>
      </c>
      <c r="Q1400" t="s">
        <v>19900</v>
      </c>
      <c r="R1400" t="s">
        <v>19447</v>
      </c>
      <c r="S1400" t="s">
        <v>19447</v>
      </c>
      <c r="T1400" t="s">
        <v>19902</v>
      </c>
    </row>
    <row r="1401" spans="2:20" x14ac:dyDescent="0.25">
      <c r="B1401" t="s">
        <v>2709</v>
      </c>
      <c r="C1401">
        <v>25087000</v>
      </c>
      <c r="E1401">
        <v>43</v>
      </c>
      <c r="F1401">
        <v>12</v>
      </c>
      <c r="G1401">
        <v>0</v>
      </c>
      <c r="H1401" t="s">
        <v>19447</v>
      </c>
      <c r="I1401" t="s">
        <v>19447</v>
      </c>
      <c r="J1401">
        <v>4</v>
      </c>
      <c r="L1401" t="s">
        <v>2709</v>
      </c>
      <c r="M1401">
        <v>25087000</v>
      </c>
      <c r="O1401" t="s">
        <v>20001</v>
      </c>
      <c r="P1401" t="s">
        <v>19903</v>
      </c>
      <c r="Q1401" t="s">
        <v>19900</v>
      </c>
      <c r="R1401" t="s">
        <v>19447</v>
      </c>
      <c r="S1401" t="s">
        <v>19447</v>
      </c>
      <c r="T1401" t="s">
        <v>19902</v>
      </c>
    </row>
    <row r="1402" spans="2:20" x14ac:dyDescent="0.25">
      <c r="B1402" t="s">
        <v>2709</v>
      </c>
      <c r="C1402">
        <v>25090000</v>
      </c>
      <c r="E1402">
        <v>43</v>
      </c>
      <c r="F1402">
        <v>12</v>
      </c>
      <c r="G1402">
        <v>0</v>
      </c>
      <c r="H1402" t="s">
        <v>19447</v>
      </c>
      <c r="I1402" t="s">
        <v>19447</v>
      </c>
      <c r="J1402">
        <v>4</v>
      </c>
      <c r="L1402" t="s">
        <v>2709</v>
      </c>
      <c r="M1402">
        <v>25090000</v>
      </c>
      <c r="O1402" t="s">
        <v>20001</v>
      </c>
      <c r="P1402" t="s">
        <v>19903</v>
      </c>
      <c r="Q1402" t="s">
        <v>19900</v>
      </c>
      <c r="R1402" t="s">
        <v>19447</v>
      </c>
      <c r="S1402" t="s">
        <v>19447</v>
      </c>
      <c r="T1402" t="s">
        <v>19902</v>
      </c>
    </row>
    <row r="1403" spans="2:20" x14ac:dyDescent="0.25">
      <c r="B1403" t="s">
        <v>2709</v>
      </c>
      <c r="C1403">
        <v>25101010</v>
      </c>
      <c r="E1403">
        <v>43</v>
      </c>
      <c r="F1403">
        <v>12</v>
      </c>
      <c r="G1403">
        <v>0</v>
      </c>
      <c r="H1403" t="s">
        <v>19447</v>
      </c>
      <c r="I1403" t="s">
        <v>19447</v>
      </c>
      <c r="J1403">
        <v>0</v>
      </c>
      <c r="L1403" t="s">
        <v>2709</v>
      </c>
      <c r="M1403">
        <v>25101010</v>
      </c>
      <c r="O1403" t="s">
        <v>20001</v>
      </c>
      <c r="P1403" t="s">
        <v>19903</v>
      </c>
      <c r="Q1403" t="s">
        <v>19900</v>
      </c>
      <c r="R1403" t="s">
        <v>19447</v>
      </c>
      <c r="S1403" t="s">
        <v>19447</v>
      </c>
      <c r="T1403" t="s">
        <v>19900</v>
      </c>
    </row>
    <row r="1404" spans="2:20" x14ac:dyDescent="0.25">
      <c r="B1404" t="s">
        <v>2709</v>
      </c>
      <c r="C1404">
        <v>25101090</v>
      </c>
      <c r="E1404">
        <v>43</v>
      </c>
      <c r="F1404">
        <v>12</v>
      </c>
      <c r="G1404">
        <v>0</v>
      </c>
      <c r="H1404" t="s">
        <v>19447</v>
      </c>
      <c r="I1404" t="s">
        <v>19447</v>
      </c>
      <c r="J1404">
        <v>0</v>
      </c>
      <c r="L1404" t="s">
        <v>2709</v>
      </c>
      <c r="M1404">
        <v>25101090</v>
      </c>
      <c r="O1404" t="s">
        <v>20001</v>
      </c>
      <c r="P1404" t="s">
        <v>19903</v>
      </c>
      <c r="Q1404" t="s">
        <v>19900</v>
      </c>
      <c r="R1404" t="s">
        <v>19447</v>
      </c>
      <c r="S1404" t="s">
        <v>19447</v>
      </c>
      <c r="T1404" t="s">
        <v>19900</v>
      </c>
    </row>
    <row r="1405" spans="2:20" x14ac:dyDescent="0.25">
      <c r="B1405" t="s">
        <v>2709</v>
      </c>
      <c r="C1405">
        <v>25102010</v>
      </c>
      <c r="E1405">
        <v>43</v>
      </c>
      <c r="F1405">
        <v>12</v>
      </c>
      <c r="G1405">
        <v>0</v>
      </c>
      <c r="H1405" t="s">
        <v>19447</v>
      </c>
      <c r="I1405" t="s">
        <v>19447</v>
      </c>
      <c r="J1405">
        <v>0</v>
      </c>
      <c r="L1405" t="s">
        <v>2709</v>
      </c>
      <c r="M1405">
        <v>25102010</v>
      </c>
      <c r="O1405" t="s">
        <v>20001</v>
      </c>
      <c r="P1405" t="s">
        <v>19903</v>
      </c>
      <c r="Q1405" t="s">
        <v>19900</v>
      </c>
      <c r="R1405" t="s">
        <v>19447</v>
      </c>
      <c r="S1405" t="s">
        <v>19447</v>
      </c>
      <c r="T1405" t="s">
        <v>19900</v>
      </c>
    </row>
    <row r="1406" spans="2:20" x14ac:dyDescent="0.25">
      <c r="B1406" t="s">
        <v>2709</v>
      </c>
      <c r="C1406">
        <v>25102090</v>
      </c>
      <c r="E1406">
        <v>43</v>
      </c>
      <c r="F1406">
        <v>12</v>
      </c>
      <c r="G1406">
        <v>0</v>
      </c>
      <c r="H1406" t="s">
        <v>19447</v>
      </c>
      <c r="I1406" t="s">
        <v>19447</v>
      </c>
      <c r="J1406">
        <v>0</v>
      </c>
      <c r="L1406" t="s">
        <v>2709</v>
      </c>
      <c r="M1406">
        <v>25102090</v>
      </c>
      <c r="O1406" t="s">
        <v>20001</v>
      </c>
      <c r="P1406" t="s">
        <v>19903</v>
      </c>
      <c r="Q1406" t="s">
        <v>19900</v>
      </c>
      <c r="R1406" t="s">
        <v>19447</v>
      </c>
      <c r="S1406" t="s">
        <v>19447</v>
      </c>
      <c r="T1406" t="s">
        <v>19900</v>
      </c>
    </row>
    <row r="1407" spans="2:20" x14ac:dyDescent="0.25">
      <c r="B1407" t="s">
        <v>2709</v>
      </c>
      <c r="C1407">
        <v>25111000</v>
      </c>
      <c r="E1407">
        <v>43</v>
      </c>
      <c r="F1407">
        <v>12</v>
      </c>
      <c r="G1407">
        <v>0</v>
      </c>
      <c r="H1407" t="s">
        <v>19447</v>
      </c>
      <c r="I1407" t="s">
        <v>19447</v>
      </c>
      <c r="J1407">
        <v>4</v>
      </c>
      <c r="L1407" t="s">
        <v>2709</v>
      </c>
      <c r="M1407">
        <v>25111000</v>
      </c>
      <c r="O1407" t="s">
        <v>20001</v>
      </c>
      <c r="P1407" t="s">
        <v>19903</v>
      </c>
      <c r="Q1407" t="s">
        <v>19900</v>
      </c>
      <c r="R1407" t="s">
        <v>19447</v>
      </c>
      <c r="S1407" t="s">
        <v>19447</v>
      </c>
      <c r="T1407" t="s">
        <v>19902</v>
      </c>
    </row>
    <row r="1408" spans="2:20" x14ac:dyDescent="0.25">
      <c r="B1408" t="s">
        <v>2709</v>
      </c>
      <c r="C1408">
        <v>25112000</v>
      </c>
      <c r="E1408">
        <v>43</v>
      </c>
      <c r="F1408">
        <v>12</v>
      </c>
      <c r="G1408">
        <v>0</v>
      </c>
      <c r="H1408" t="s">
        <v>19447</v>
      </c>
      <c r="I1408" t="s">
        <v>19447</v>
      </c>
      <c r="J1408">
        <v>4</v>
      </c>
      <c r="L1408" t="s">
        <v>2709</v>
      </c>
      <c r="M1408">
        <v>25112000</v>
      </c>
      <c r="O1408" t="s">
        <v>20001</v>
      </c>
      <c r="P1408" t="s">
        <v>19903</v>
      </c>
      <c r="Q1408" t="s">
        <v>19900</v>
      </c>
      <c r="R1408" t="s">
        <v>19447</v>
      </c>
      <c r="S1408" t="s">
        <v>19447</v>
      </c>
      <c r="T1408" t="s">
        <v>19902</v>
      </c>
    </row>
    <row r="1409" spans="2:20" x14ac:dyDescent="0.25">
      <c r="B1409" t="s">
        <v>2709</v>
      </c>
      <c r="C1409">
        <v>25120000</v>
      </c>
      <c r="E1409">
        <v>43</v>
      </c>
      <c r="F1409">
        <v>12</v>
      </c>
      <c r="G1409">
        <v>0</v>
      </c>
      <c r="H1409" t="s">
        <v>19447</v>
      </c>
      <c r="I1409" t="s">
        <v>19447</v>
      </c>
      <c r="J1409">
        <v>4</v>
      </c>
      <c r="L1409" t="s">
        <v>2709</v>
      </c>
      <c r="M1409">
        <v>25120000</v>
      </c>
      <c r="O1409" t="s">
        <v>20001</v>
      </c>
      <c r="P1409" t="s">
        <v>19903</v>
      </c>
      <c r="Q1409" t="s">
        <v>19900</v>
      </c>
      <c r="R1409" t="s">
        <v>19447</v>
      </c>
      <c r="S1409" t="s">
        <v>19447</v>
      </c>
      <c r="T1409" t="s">
        <v>19902</v>
      </c>
    </row>
    <row r="1410" spans="2:20" x14ac:dyDescent="0.25">
      <c r="B1410" t="s">
        <v>2709</v>
      </c>
      <c r="C1410">
        <v>25131000</v>
      </c>
      <c r="E1410">
        <v>43</v>
      </c>
      <c r="F1410">
        <v>12</v>
      </c>
      <c r="G1410">
        <v>0</v>
      </c>
      <c r="H1410" t="s">
        <v>19447</v>
      </c>
      <c r="I1410" t="s">
        <v>19447</v>
      </c>
      <c r="J1410">
        <v>4</v>
      </c>
      <c r="L1410" t="s">
        <v>2709</v>
      </c>
      <c r="M1410">
        <v>25131000</v>
      </c>
      <c r="O1410" t="s">
        <v>20001</v>
      </c>
      <c r="P1410" t="s">
        <v>19903</v>
      </c>
      <c r="Q1410" t="s">
        <v>19900</v>
      </c>
      <c r="R1410" t="s">
        <v>19447</v>
      </c>
      <c r="S1410" t="s">
        <v>19447</v>
      </c>
      <c r="T1410" t="s">
        <v>19902</v>
      </c>
    </row>
    <row r="1411" spans="2:20" x14ac:dyDescent="0.25">
      <c r="B1411" t="s">
        <v>2709</v>
      </c>
      <c r="C1411">
        <v>25132000</v>
      </c>
      <c r="E1411">
        <v>43</v>
      </c>
      <c r="F1411">
        <v>12</v>
      </c>
      <c r="G1411">
        <v>0</v>
      </c>
      <c r="H1411" t="s">
        <v>19447</v>
      </c>
      <c r="I1411" t="s">
        <v>19447</v>
      </c>
      <c r="J1411">
        <v>4</v>
      </c>
      <c r="L1411" t="s">
        <v>2709</v>
      </c>
      <c r="M1411">
        <v>25132000</v>
      </c>
      <c r="O1411" t="s">
        <v>20001</v>
      </c>
      <c r="P1411" t="s">
        <v>19903</v>
      </c>
      <c r="Q1411" t="s">
        <v>19900</v>
      </c>
      <c r="R1411" t="s">
        <v>19447</v>
      </c>
      <c r="S1411" t="s">
        <v>19447</v>
      </c>
      <c r="T1411" t="s">
        <v>19902</v>
      </c>
    </row>
    <row r="1412" spans="2:20" x14ac:dyDescent="0.25">
      <c r="B1412" t="s">
        <v>2709</v>
      </c>
      <c r="C1412">
        <v>25140000</v>
      </c>
      <c r="E1412">
        <v>59</v>
      </c>
      <c r="F1412">
        <v>12</v>
      </c>
      <c r="G1412">
        <v>0</v>
      </c>
      <c r="H1412" t="s">
        <v>19447</v>
      </c>
      <c r="I1412" t="s">
        <v>19447</v>
      </c>
      <c r="J1412">
        <v>4</v>
      </c>
      <c r="L1412" t="s">
        <v>2709</v>
      </c>
      <c r="M1412">
        <v>25140000</v>
      </c>
      <c r="O1412" t="s">
        <v>20002</v>
      </c>
      <c r="P1412" t="s">
        <v>19903</v>
      </c>
      <c r="Q1412" t="s">
        <v>19900</v>
      </c>
      <c r="R1412" t="s">
        <v>19447</v>
      </c>
      <c r="S1412" t="s">
        <v>19447</v>
      </c>
      <c r="T1412" t="s">
        <v>19902</v>
      </c>
    </row>
    <row r="1413" spans="2:20" x14ac:dyDescent="0.25">
      <c r="B1413" t="s">
        <v>2709</v>
      </c>
      <c r="C1413">
        <v>25151100</v>
      </c>
      <c r="E1413">
        <v>43</v>
      </c>
      <c r="F1413">
        <v>12</v>
      </c>
      <c r="G1413">
        <v>0</v>
      </c>
      <c r="H1413" t="s">
        <v>19447</v>
      </c>
      <c r="I1413" t="s">
        <v>19447</v>
      </c>
      <c r="J1413">
        <v>4</v>
      </c>
      <c r="L1413" t="s">
        <v>2709</v>
      </c>
      <c r="M1413">
        <v>25151100</v>
      </c>
      <c r="O1413" t="s">
        <v>20001</v>
      </c>
      <c r="P1413" t="s">
        <v>19903</v>
      </c>
      <c r="Q1413" t="s">
        <v>19900</v>
      </c>
      <c r="R1413" t="s">
        <v>19447</v>
      </c>
      <c r="S1413" t="s">
        <v>19447</v>
      </c>
      <c r="T1413" t="s">
        <v>19902</v>
      </c>
    </row>
    <row r="1414" spans="2:20" x14ac:dyDescent="0.25">
      <c r="B1414" t="s">
        <v>2709</v>
      </c>
      <c r="C1414">
        <v>25151210</v>
      </c>
      <c r="E1414">
        <v>43</v>
      </c>
      <c r="F1414">
        <v>12</v>
      </c>
      <c r="G1414">
        <v>0</v>
      </c>
      <c r="H1414" t="s">
        <v>19447</v>
      </c>
      <c r="I1414" t="s">
        <v>19447</v>
      </c>
      <c r="J1414">
        <v>6</v>
      </c>
      <c r="L1414" t="s">
        <v>2709</v>
      </c>
      <c r="M1414">
        <v>25151210</v>
      </c>
      <c r="O1414" t="s">
        <v>20001</v>
      </c>
      <c r="P1414" t="s">
        <v>19903</v>
      </c>
      <c r="Q1414" t="s">
        <v>19900</v>
      </c>
      <c r="R1414" t="s">
        <v>19447</v>
      </c>
      <c r="S1414" t="s">
        <v>19447</v>
      </c>
      <c r="T1414" t="s">
        <v>19907</v>
      </c>
    </row>
    <row r="1415" spans="2:20" x14ac:dyDescent="0.25">
      <c r="B1415" t="s">
        <v>2709</v>
      </c>
      <c r="C1415">
        <v>25151220</v>
      </c>
      <c r="E1415">
        <v>43</v>
      </c>
      <c r="F1415">
        <v>12</v>
      </c>
      <c r="G1415">
        <v>0</v>
      </c>
      <c r="H1415" t="s">
        <v>19447</v>
      </c>
      <c r="I1415" t="s">
        <v>19447</v>
      </c>
      <c r="J1415">
        <v>6</v>
      </c>
      <c r="L1415" t="s">
        <v>2709</v>
      </c>
      <c r="M1415">
        <v>25151220</v>
      </c>
      <c r="O1415" t="s">
        <v>20001</v>
      </c>
      <c r="P1415" t="s">
        <v>19903</v>
      </c>
      <c r="Q1415" t="s">
        <v>19900</v>
      </c>
      <c r="R1415" t="s">
        <v>19447</v>
      </c>
      <c r="S1415" t="s">
        <v>19447</v>
      </c>
      <c r="T1415" t="s">
        <v>19907</v>
      </c>
    </row>
    <row r="1416" spans="2:20" x14ac:dyDescent="0.25">
      <c r="B1416" t="s">
        <v>2709</v>
      </c>
      <c r="C1416">
        <v>25152000</v>
      </c>
      <c r="E1416">
        <v>43</v>
      </c>
      <c r="F1416">
        <v>12</v>
      </c>
      <c r="G1416">
        <v>0</v>
      </c>
      <c r="H1416" t="s">
        <v>19447</v>
      </c>
      <c r="I1416" t="s">
        <v>19447</v>
      </c>
      <c r="J1416">
        <v>4</v>
      </c>
      <c r="L1416" t="s">
        <v>2709</v>
      </c>
      <c r="M1416">
        <v>25152000</v>
      </c>
      <c r="O1416" t="s">
        <v>20001</v>
      </c>
      <c r="P1416" t="s">
        <v>19903</v>
      </c>
      <c r="Q1416" t="s">
        <v>19900</v>
      </c>
      <c r="R1416" t="s">
        <v>19447</v>
      </c>
      <c r="S1416" t="s">
        <v>19447</v>
      </c>
      <c r="T1416" t="s">
        <v>19902</v>
      </c>
    </row>
    <row r="1417" spans="2:20" x14ac:dyDescent="0.25">
      <c r="B1417" t="s">
        <v>2709</v>
      </c>
      <c r="C1417">
        <v>25161100</v>
      </c>
      <c r="E1417">
        <v>43</v>
      </c>
      <c r="F1417">
        <v>12</v>
      </c>
      <c r="G1417">
        <v>0</v>
      </c>
      <c r="H1417" t="s">
        <v>19447</v>
      </c>
      <c r="I1417" t="s">
        <v>19447</v>
      </c>
      <c r="J1417">
        <v>4</v>
      </c>
      <c r="L1417" t="s">
        <v>2709</v>
      </c>
      <c r="M1417">
        <v>25161100</v>
      </c>
      <c r="O1417" t="s">
        <v>20001</v>
      </c>
      <c r="P1417" t="s">
        <v>19903</v>
      </c>
      <c r="Q1417" t="s">
        <v>19900</v>
      </c>
      <c r="R1417" t="s">
        <v>19447</v>
      </c>
      <c r="S1417" t="s">
        <v>19447</v>
      </c>
      <c r="T1417" t="s">
        <v>19902</v>
      </c>
    </row>
    <row r="1418" spans="2:20" x14ac:dyDescent="0.25">
      <c r="B1418" t="s">
        <v>2709</v>
      </c>
      <c r="C1418">
        <v>25161200</v>
      </c>
      <c r="E1418">
        <v>43</v>
      </c>
      <c r="F1418">
        <v>12</v>
      </c>
      <c r="G1418">
        <v>0</v>
      </c>
      <c r="H1418" t="s">
        <v>19447</v>
      </c>
      <c r="I1418" t="s">
        <v>19447</v>
      </c>
      <c r="J1418">
        <v>6</v>
      </c>
      <c r="L1418" t="s">
        <v>2709</v>
      </c>
      <c r="M1418">
        <v>25161200</v>
      </c>
      <c r="O1418" t="s">
        <v>20001</v>
      </c>
      <c r="P1418" t="s">
        <v>19903</v>
      </c>
      <c r="Q1418" t="s">
        <v>19900</v>
      </c>
      <c r="R1418" t="s">
        <v>19447</v>
      </c>
      <c r="S1418" t="s">
        <v>19447</v>
      </c>
      <c r="T1418" t="s">
        <v>19907</v>
      </c>
    </row>
    <row r="1419" spans="2:20" x14ac:dyDescent="0.25">
      <c r="B1419" t="s">
        <v>2709</v>
      </c>
      <c r="C1419">
        <v>25162000</v>
      </c>
      <c r="E1419">
        <v>43</v>
      </c>
      <c r="F1419">
        <v>12</v>
      </c>
      <c r="G1419">
        <v>0</v>
      </c>
      <c r="H1419" t="s">
        <v>19447</v>
      </c>
      <c r="I1419" t="s">
        <v>19447</v>
      </c>
      <c r="J1419">
        <v>4</v>
      </c>
      <c r="L1419" t="s">
        <v>2709</v>
      </c>
      <c r="M1419">
        <v>25162000</v>
      </c>
      <c r="O1419" t="s">
        <v>20001</v>
      </c>
      <c r="P1419" t="s">
        <v>19903</v>
      </c>
      <c r="Q1419" t="s">
        <v>19900</v>
      </c>
      <c r="R1419" t="s">
        <v>19447</v>
      </c>
      <c r="S1419" t="s">
        <v>19447</v>
      </c>
      <c r="T1419" t="s">
        <v>19902</v>
      </c>
    </row>
    <row r="1420" spans="2:20" x14ac:dyDescent="0.25">
      <c r="B1420" t="s">
        <v>2709</v>
      </c>
      <c r="C1420">
        <v>25169000</v>
      </c>
      <c r="E1420">
        <v>43</v>
      </c>
      <c r="F1420">
        <v>12</v>
      </c>
      <c r="G1420">
        <v>0</v>
      </c>
      <c r="H1420" t="s">
        <v>19447</v>
      </c>
      <c r="I1420" t="s">
        <v>19447</v>
      </c>
      <c r="J1420">
        <v>4</v>
      </c>
      <c r="L1420" t="s">
        <v>2709</v>
      </c>
      <c r="M1420">
        <v>25169000</v>
      </c>
      <c r="O1420" t="s">
        <v>20001</v>
      </c>
      <c r="P1420" t="s">
        <v>19903</v>
      </c>
      <c r="Q1420" t="s">
        <v>19900</v>
      </c>
      <c r="R1420" t="s">
        <v>19447</v>
      </c>
      <c r="S1420" t="s">
        <v>19447</v>
      </c>
      <c r="T1420" t="s">
        <v>19902</v>
      </c>
    </row>
    <row r="1421" spans="2:20" x14ac:dyDescent="0.25">
      <c r="B1421" t="s">
        <v>2709</v>
      </c>
      <c r="C1421">
        <v>25171000</v>
      </c>
      <c r="E1421">
        <v>43</v>
      </c>
      <c r="F1421">
        <v>12</v>
      </c>
      <c r="G1421">
        <v>0</v>
      </c>
      <c r="H1421" t="s">
        <v>19447</v>
      </c>
      <c r="I1421" t="s">
        <v>19447</v>
      </c>
      <c r="J1421">
        <v>4</v>
      </c>
      <c r="L1421" t="s">
        <v>2709</v>
      </c>
      <c r="M1421">
        <v>25171000</v>
      </c>
      <c r="O1421" t="s">
        <v>20001</v>
      </c>
      <c r="P1421" t="s">
        <v>19903</v>
      </c>
      <c r="Q1421" t="s">
        <v>19900</v>
      </c>
      <c r="R1421" t="s">
        <v>19447</v>
      </c>
      <c r="S1421" t="s">
        <v>19447</v>
      </c>
      <c r="T1421" t="s">
        <v>19902</v>
      </c>
    </row>
    <row r="1422" spans="2:20" x14ac:dyDescent="0.25">
      <c r="B1422" t="s">
        <v>2709</v>
      </c>
      <c r="C1422">
        <v>25172000</v>
      </c>
      <c r="E1422">
        <v>43</v>
      </c>
      <c r="F1422">
        <v>12</v>
      </c>
      <c r="G1422">
        <v>0</v>
      </c>
      <c r="H1422" t="s">
        <v>19447</v>
      </c>
      <c r="I1422" t="s">
        <v>19447</v>
      </c>
      <c r="J1422">
        <v>4</v>
      </c>
      <c r="L1422" t="s">
        <v>2709</v>
      </c>
      <c r="M1422">
        <v>25172000</v>
      </c>
      <c r="O1422" t="s">
        <v>20001</v>
      </c>
      <c r="P1422" t="s">
        <v>19903</v>
      </c>
      <c r="Q1422" t="s">
        <v>19900</v>
      </c>
      <c r="R1422" t="s">
        <v>19447</v>
      </c>
      <c r="S1422" t="s">
        <v>19447</v>
      </c>
      <c r="T1422" t="s">
        <v>19902</v>
      </c>
    </row>
    <row r="1423" spans="2:20" x14ac:dyDescent="0.25">
      <c r="B1423" t="s">
        <v>2709</v>
      </c>
      <c r="C1423">
        <v>25173000</v>
      </c>
      <c r="E1423">
        <v>43</v>
      </c>
      <c r="F1423">
        <v>12</v>
      </c>
      <c r="G1423">
        <v>0</v>
      </c>
      <c r="H1423" t="s">
        <v>19447</v>
      </c>
      <c r="I1423" t="s">
        <v>19447</v>
      </c>
      <c r="J1423">
        <v>4</v>
      </c>
      <c r="L1423" t="s">
        <v>2709</v>
      </c>
      <c r="M1423">
        <v>25173000</v>
      </c>
      <c r="O1423" t="s">
        <v>20001</v>
      </c>
      <c r="P1423" t="s">
        <v>19903</v>
      </c>
      <c r="Q1423" t="s">
        <v>19900</v>
      </c>
      <c r="R1423" t="s">
        <v>19447</v>
      </c>
      <c r="S1423" t="s">
        <v>19447</v>
      </c>
      <c r="T1423" t="s">
        <v>19902</v>
      </c>
    </row>
    <row r="1424" spans="2:20" x14ac:dyDescent="0.25">
      <c r="B1424" t="s">
        <v>2709</v>
      </c>
      <c r="C1424">
        <v>25174100</v>
      </c>
      <c r="E1424">
        <v>43</v>
      </c>
      <c r="F1424">
        <v>12</v>
      </c>
      <c r="G1424">
        <v>0</v>
      </c>
      <c r="H1424" t="s">
        <v>19447</v>
      </c>
      <c r="I1424" t="s">
        <v>19447</v>
      </c>
      <c r="J1424">
        <v>4</v>
      </c>
      <c r="L1424" t="s">
        <v>2709</v>
      </c>
      <c r="M1424">
        <v>25174100</v>
      </c>
      <c r="O1424" t="s">
        <v>20001</v>
      </c>
      <c r="P1424" t="s">
        <v>19903</v>
      </c>
      <c r="Q1424" t="s">
        <v>19900</v>
      </c>
      <c r="R1424" t="s">
        <v>19447</v>
      </c>
      <c r="S1424" t="s">
        <v>19447</v>
      </c>
      <c r="T1424" t="s">
        <v>19902</v>
      </c>
    </row>
    <row r="1425" spans="2:20" x14ac:dyDescent="0.25">
      <c r="B1425" t="s">
        <v>2709</v>
      </c>
      <c r="C1425">
        <v>25174900</v>
      </c>
      <c r="E1425">
        <v>43</v>
      </c>
      <c r="F1425">
        <v>12</v>
      </c>
      <c r="G1425">
        <v>0</v>
      </c>
      <c r="H1425" t="s">
        <v>19447</v>
      </c>
      <c r="I1425" t="s">
        <v>19447</v>
      </c>
      <c r="J1425">
        <v>4</v>
      </c>
      <c r="L1425" t="s">
        <v>2709</v>
      </c>
      <c r="M1425">
        <v>25174900</v>
      </c>
      <c r="O1425" t="s">
        <v>20001</v>
      </c>
      <c r="P1425" t="s">
        <v>19903</v>
      </c>
      <c r="Q1425" t="s">
        <v>19900</v>
      </c>
      <c r="R1425" t="s">
        <v>19447</v>
      </c>
      <c r="S1425" t="s">
        <v>19447</v>
      </c>
      <c r="T1425" t="s">
        <v>19902</v>
      </c>
    </row>
    <row r="1426" spans="2:20" x14ac:dyDescent="0.25">
      <c r="B1426" t="s">
        <v>2709</v>
      </c>
      <c r="C1426">
        <v>25181000</v>
      </c>
      <c r="E1426">
        <v>43</v>
      </c>
      <c r="F1426">
        <v>12</v>
      </c>
      <c r="G1426">
        <v>0</v>
      </c>
      <c r="H1426" t="s">
        <v>19447</v>
      </c>
      <c r="I1426" t="s">
        <v>19447</v>
      </c>
      <c r="J1426">
        <v>4</v>
      </c>
      <c r="L1426" t="s">
        <v>2709</v>
      </c>
      <c r="M1426">
        <v>25181000</v>
      </c>
      <c r="O1426" t="s">
        <v>20001</v>
      </c>
      <c r="P1426" t="s">
        <v>19903</v>
      </c>
      <c r="Q1426" t="s">
        <v>19900</v>
      </c>
      <c r="R1426" t="s">
        <v>19447</v>
      </c>
      <c r="S1426" t="s">
        <v>19447</v>
      </c>
      <c r="T1426" t="s">
        <v>19902</v>
      </c>
    </row>
    <row r="1427" spans="2:20" x14ac:dyDescent="0.25">
      <c r="B1427" t="s">
        <v>2709</v>
      </c>
      <c r="C1427">
        <v>25182000</v>
      </c>
      <c r="E1427">
        <v>43</v>
      </c>
      <c r="F1427">
        <v>12</v>
      </c>
      <c r="G1427">
        <v>0</v>
      </c>
      <c r="H1427" t="s">
        <v>19447</v>
      </c>
      <c r="I1427" t="s">
        <v>19447</v>
      </c>
      <c r="J1427">
        <v>4</v>
      </c>
      <c r="L1427" t="s">
        <v>2709</v>
      </c>
      <c r="M1427">
        <v>25182000</v>
      </c>
      <c r="O1427" t="s">
        <v>20001</v>
      </c>
      <c r="P1427" t="s">
        <v>19903</v>
      </c>
      <c r="Q1427" t="s">
        <v>19900</v>
      </c>
      <c r="R1427" t="s">
        <v>19447</v>
      </c>
      <c r="S1427" t="s">
        <v>19447</v>
      </c>
      <c r="T1427" t="s">
        <v>19902</v>
      </c>
    </row>
    <row r="1428" spans="2:20" x14ac:dyDescent="0.25">
      <c r="B1428" t="s">
        <v>2709</v>
      </c>
      <c r="C1428">
        <v>25183000</v>
      </c>
      <c r="E1428">
        <v>43</v>
      </c>
      <c r="F1428">
        <v>12</v>
      </c>
      <c r="G1428">
        <v>0</v>
      </c>
      <c r="H1428" t="s">
        <v>19447</v>
      </c>
      <c r="I1428" t="s">
        <v>19447</v>
      </c>
      <c r="J1428">
        <v>4</v>
      </c>
      <c r="L1428" t="s">
        <v>2709</v>
      </c>
      <c r="M1428">
        <v>25183000</v>
      </c>
      <c r="O1428" t="s">
        <v>20001</v>
      </c>
      <c r="P1428" t="s">
        <v>19903</v>
      </c>
      <c r="Q1428" t="s">
        <v>19900</v>
      </c>
      <c r="R1428" t="s">
        <v>19447</v>
      </c>
      <c r="S1428" t="s">
        <v>19447</v>
      </c>
      <c r="T1428" t="s">
        <v>19902</v>
      </c>
    </row>
    <row r="1429" spans="2:20" x14ac:dyDescent="0.25">
      <c r="B1429" t="s">
        <v>2709</v>
      </c>
      <c r="C1429">
        <v>25191000</v>
      </c>
      <c r="E1429">
        <v>43</v>
      </c>
      <c r="F1429">
        <v>12</v>
      </c>
      <c r="G1429">
        <v>0</v>
      </c>
      <c r="H1429" t="s">
        <v>19447</v>
      </c>
      <c r="I1429" t="s">
        <v>19447</v>
      </c>
      <c r="J1429">
        <v>4</v>
      </c>
      <c r="L1429" t="s">
        <v>2709</v>
      </c>
      <c r="M1429">
        <v>25191000</v>
      </c>
      <c r="O1429" t="s">
        <v>20001</v>
      </c>
      <c r="P1429" t="s">
        <v>19903</v>
      </c>
      <c r="Q1429" t="s">
        <v>19900</v>
      </c>
      <c r="R1429" t="s">
        <v>19447</v>
      </c>
      <c r="S1429" t="s">
        <v>19447</v>
      </c>
      <c r="T1429" t="s">
        <v>19902</v>
      </c>
    </row>
    <row r="1430" spans="2:20" x14ac:dyDescent="0.25">
      <c r="B1430" t="s">
        <v>2709</v>
      </c>
      <c r="C1430">
        <v>25199010</v>
      </c>
      <c r="E1430">
        <v>43</v>
      </c>
      <c r="F1430">
        <v>12</v>
      </c>
      <c r="G1430">
        <v>0</v>
      </c>
      <c r="H1430" t="s">
        <v>19447</v>
      </c>
      <c r="I1430" t="s">
        <v>19447</v>
      </c>
      <c r="J1430">
        <v>4</v>
      </c>
      <c r="L1430" t="s">
        <v>2709</v>
      </c>
      <c r="M1430">
        <v>25199010</v>
      </c>
      <c r="O1430" t="s">
        <v>20001</v>
      </c>
      <c r="P1430" t="s">
        <v>19903</v>
      </c>
      <c r="Q1430" t="s">
        <v>19900</v>
      </c>
      <c r="R1430" t="s">
        <v>19447</v>
      </c>
      <c r="S1430" t="s">
        <v>19447</v>
      </c>
      <c r="T1430" t="s">
        <v>19902</v>
      </c>
    </row>
    <row r="1431" spans="2:20" x14ac:dyDescent="0.25">
      <c r="B1431" t="s">
        <v>2709</v>
      </c>
      <c r="C1431">
        <v>25199090</v>
      </c>
      <c r="E1431">
        <v>43</v>
      </c>
      <c r="F1431">
        <v>12</v>
      </c>
      <c r="G1431">
        <v>0</v>
      </c>
      <c r="H1431" t="s">
        <v>19447</v>
      </c>
      <c r="I1431" t="s">
        <v>19447</v>
      </c>
      <c r="J1431">
        <v>4</v>
      </c>
      <c r="L1431" t="s">
        <v>2709</v>
      </c>
      <c r="M1431">
        <v>25199090</v>
      </c>
      <c r="O1431" t="s">
        <v>20001</v>
      </c>
      <c r="P1431" t="s">
        <v>19903</v>
      </c>
      <c r="Q1431" t="s">
        <v>19900</v>
      </c>
      <c r="R1431" t="s">
        <v>19447</v>
      </c>
      <c r="S1431" t="s">
        <v>19447</v>
      </c>
      <c r="T1431" t="s">
        <v>19902</v>
      </c>
    </row>
    <row r="1432" spans="2:20" x14ac:dyDescent="0.25">
      <c r="B1432" t="s">
        <v>2709</v>
      </c>
      <c r="C1432">
        <v>25201011</v>
      </c>
      <c r="E1432">
        <v>43</v>
      </c>
      <c r="F1432">
        <v>12</v>
      </c>
      <c r="G1432">
        <v>0</v>
      </c>
      <c r="H1432" t="s">
        <v>19447</v>
      </c>
      <c r="I1432" t="s">
        <v>19447</v>
      </c>
      <c r="J1432">
        <v>20</v>
      </c>
      <c r="L1432" t="s">
        <v>2709</v>
      </c>
      <c r="M1432">
        <v>25201011</v>
      </c>
      <c r="O1432" t="s">
        <v>20001</v>
      </c>
      <c r="P1432" t="s">
        <v>19903</v>
      </c>
      <c r="Q1432" t="s">
        <v>19900</v>
      </c>
      <c r="R1432" t="s">
        <v>19447</v>
      </c>
      <c r="S1432" t="s">
        <v>19447</v>
      </c>
      <c r="T1432" t="s">
        <v>19934</v>
      </c>
    </row>
    <row r="1433" spans="2:20" x14ac:dyDescent="0.25">
      <c r="B1433" t="s">
        <v>2709</v>
      </c>
      <c r="C1433">
        <v>25201019</v>
      </c>
      <c r="E1433">
        <v>43</v>
      </c>
      <c r="F1433">
        <v>12</v>
      </c>
      <c r="G1433">
        <v>0</v>
      </c>
      <c r="H1433" t="s">
        <v>19447</v>
      </c>
      <c r="I1433" t="s">
        <v>19447</v>
      </c>
      <c r="J1433">
        <v>4</v>
      </c>
      <c r="L1433" t="s">
        <v>2709</v>
      </c>
      <c r="M1433">
        <v>25201019</v>
      </c>
      <c r="O1433" t="s">
        <v>20001</v>
      </c>
      <c r="P1433" t="s">
        <v>19903</v>
      </c>
      <c r="Q1433" t="s">
        <v>19900</v>
      </c>
      <c r="R1433" t="s">
        <v>19447</v>
      </c>
      <c r="S1433" t="s">
        <v>19447</v>
      </c>
      <c r="T1433" t="s">
        <v>19902</v>
      </c>
    </row>
    <row r="1434" spans="2:20" x14ac:dyDescent="0.25">
      <c r="B1434" t="s">
        <v>2709</v>
      </c>
      <c r="C1434">
        <v>25201020</v>
      </c>
      <c r="E1434">
        <v>43</v>
      </c>
      <c r="F1434">
        <v>12</v>
      </c>
      <c r="G1434">
        <v>0</v>
      </c>
      <c r="H1434" t="s">
        <v>19447</v>
      </c>
      <c r="I1434" t="s">
        <v>19447</v>
      </c>
      <c r="J1434">
        <v>4</v>
      </c>
      <c r="L1434" t="s">
        <v>2709</v>
      </c>
      <c r="M1434">
        <v>25201020</v>
      </c>
      <c r="O1434" t="s">
        <v>20001</v>
      </c>
      <c r="P1434" t="s">
        <v>19903</v>
      </c>
      <c r="Q1434" t="s">
        <v>19900</v>
      </c>
      <c r="R1434" t="s">
        <v>19447</v>
      </c>
      <c r="S1434" t="s">
        <v>19447</v>
      </c>
      <c r="T1434" t="s">
        <v>19902</v>
      </c>
    </row>
    <row r="1435" spans="2:20" x14ac:dyDescent="0.25">
      <c r="B1435" t="s">
        <v>2709</v>
      </c>
      <c r="C1435">
        <v>25202010</v>
      </c>
      <c r="E1435">
        <v>43</v>
      </c>
      <c r="F1435">
        <v>12</v>
      </c>
      <c r="G1435">
        <v>0</v>
      </c>
      <c r="H1435" t="s">
        <v>19447</v>
      </c>
      <c r="I1435" t="s">
        <v>19447</v>
      </c>
      <c r="J1435">
        <v>4</v>
      </c>
      <c r="L1435" t="s">
        <v>2709</v>
      </c>
      <c r="M1435">
        <v>25202010</v>
      </c>
      <c r="O1435" t="s">
        <v>20001</v>
      </c>
      <c r="P1435" t="s">
        <v>19903</v>
      </c>
      <c r="Q1435" t="s">
        <v>19900</v>
      </c>
      <c r="R1435" t="s">
        <v>19447</v>
      </c>
      <c r="S1435" t="s">
        <v>19447</v>
      </c>
      <c r="T1435" t="s">
        <v>19902</v>
      </c>
    </row>
    <row r="1436" spans="2:20" x14ac:dyDescent="0.25">
      <c r="B1436" t="s">
        <v>2709</v>
      </c>
      <c r="C1436">
        <v>25202090</v>
      </c>
      <c r="E1436">
        <v>43</v>
      </c>
      <c r="F1436">
        <v>12</v>
      </c>
      <c r="G1436">
        <v>0</v>
      </c>
      <c r="H1436" t="s">
        <v>19447</v>
      </c>
      <c r="I1436" t="s">
        <v>19447</v>
      </c>
      <c r="J1436">
        <v>4</v>
      </c>
      <c r="L1436" t="s">
        <v>2709</v>
      </c>
      <c r="M1436">
        <v>25202090</v>
      </c>
      <c r="O1436" t="s">
        <v>20001</v>
      </c>
      <c r="P1436" t="s">
        <v>19903</v>
      </c>
      <c r="Q1436" t="s">
        <v>19900</v>
      </c>
      <c r="R1436" t="s">
        <v>19447</v>
      </c>
      <c r="S1436" t="s">
        <v>19447</v>
      </c>
      <c r="T1436" t="s">
        <v>19902</v>
      </c>
    </row>
    <row r="1437" spans="2:20" x14ac:dyDescent="0.25">
      <c r="B1437" t="s">
        <v>2709</v>
      </c>
      <c r="C1437">
        <v>25210000</v>
      </c>
      <c r="E1437">
        <v>43</v>
      </c>
      <c r="F1437">
        <v>12</v>
      </c>
      <c r="G1437">
        <v>0</v>
      </c>
      <c r="H1437" t="s">
        <v>19447</v>
      </c>
      <c r="I1437" t="s">
        <v>19447</v>
      </c>
      <c r="J1437">
        <v>4</v>
      </c>
      <c r="L1437" t="s">
        <v>2709</v>
      </c>
      <c r="M1437">
        <v>25210000</v>
      </c>
      <c r="O1437" t="s">
        <v>20001</v>
      </c>
      <c r="P1437" t="s">
        <v>19903</v>
      </c>
      <c r="Q1437" t="s">
        <v>19900</v>
      </c>
      <c r="R1437" t="s">
        <v>19447</v>
      </c>
      <c r="S1437" t="s">
        <v>19447</v>
      </c>
      <c r="T1437" t="s">
        <v>19902</v>
      </c>
    </row>
    <row r="1438" spans="2:20" x14ac:dyDescent="0.25">
      <c r="B1438" t="s">
        <v>2709</v>
      </c>
      <c r="C1438">
        <v>25221000</v>
      </c>
      <c r="E1438">
        <v>43</v>
      </c>
      <c r="F1438">
        <v>12</v>
      </c>
      <c r="G1438">
        <v>0</v>
      </c>
      <c r="H1438" t="s">
        <v>19447</v>
      </c>
      <c r="I1438" t="s">
        <v>19447</v>
      </c>
      <c r="J1438">
        <v>4</v>
      </c>
      <c r="L1438" t="s">
        <v>2709</v>
      </c>
      <c r="M1438">
        <v>25221000</v>
      </c>
      <c r="O1438" t="s">
        <v>20001</v>
      </c>
      <c r="P1438" t="s">
        <v>19903</v>
      </c>
      <c r="Q1438" t="s">
        <v>19900</v>
      </c>
      <c r="R1438" t="s">
        <v>19447</v>
      </c>
      <c r="S1438" t="s">
        <v>19447</v>
      </c>
      <c r="T1438" t="s">
        <v>19902</v>
      </c>
    </row>
    <row r="1439" spans="2:20" x14ac:dyDescent="0.25">
      <c r="B1439" t="s">
        <v>2709</v>
      </c>
      <c r="C1439">
        <v>25222000</v>
      </c>
      <c r="E1439">
        <v>43</v>
      </c>
      <c r="F1439">
        <v>12</v>
      </c>
      <c r="G1439">
        <v>0</v>
      </c>
      <c r="H1439" t="s">
        <v>19447</v>
      </c>
      <c r="I1439" t="s">
        <v>19447</v>
      </c>
      <c r="J1439">
        <v>4</v>
      </c>
      <c r="L1439" t="s">
        <v>2709</v>
      </c>
      <c r="M1439">
        <v>25222000</v>
      </c>
      <c r="O1439" t="s">
        <v>20001</v>
      </c>
      <c r="P1439" t="s">
        <v>19903</v>
      </c>
      <c r="Q1439" t="s">
        <v>19900</v>
      </c>
      <c r="R1439" t="s">
        <v>19447</v>
      </c>
      <c r="S1439" t="s">
        <v>19447</v>
      </c>
      <c r="T1439" t="s">
        <v>19902</v>
      </c>
    </row>
    <row r="1440" spans="2:20" x14ac:dyDescent="0.25">
      <c r="B1440" t="s">
        <v>2709</v>
      </c>
      <c r="C1440">
        <v>25223000</v>
      </c>
      <c r="E1440">
        <v>43</v>
      </c>
      <c r="F1440">
        <v>12</v>
      </c>
      <c r="G1440">
        <v>0</v>
      </c>
      <c r="H1440" t="s">
        <v>19447</v>
      </c>
      <c r="I1440" t="s">
        <v>19447</v>
      </c>
      <c r="J1440">
        <v>4</v>
      </c>
      <c r="L1440" t="s">
        <v>2709</v>
      </c>
      <c r="M1440">
        <v>25223000</v>
      </c>
      <c r="O1440" t="s">
        <v>20001</v>
      </c>
      <c r="P1440" t="s">
        <v>19903</v>
      </c>
      <c r="Q1440" t="s">
        <v>19900</v>
      </c>
      <c r="R1440" t="s">
        <v>19447</v>
      </c>
      <c r="S1440" t="s">
        <v>19447</v>
      </c>
      <c r="T1440" t="s">
        <v>19902</v>
      </c>
    </row>
    <row r="1441" spans="2:20" x14ac:dyDescent="0.25">
      <c r="B1441" t="s">
        <v>2709</v>
      </c>
      <c r="C1441">
        <v>25231000</v>
      </c>
      <c r="E1441">
        <v>26.08</v>
      </c>
      <c r="F1441">
        <v>12</v>
      </c>
      <c r="G1441">
        <v>4</v>
      </c>
      <c r="H1441" t="s">
        <v>19447</v>
      </c>
      <c r="I1441" t="s">
        <v>19447</v>
      </c>
      <c r="J1441">
        <v>4</v>
      </c>
      <c r="L1441" t="s">
        <v>2709</v>
      </c>
      <c r="M1441">
        <v>25231000</v>
      </c>
      <c r="O1441" t="s">
        <v>20003</v>
      </c>
      <c r="P1441" t="s">
        <v>19903</v>
      </c>
      <c r="Q1441" t="s">
        <v>19902</v>
      </c>
      <c r="R1441" t="s">
        <v>19447</v>
      </c>
      <c r="S1441" t="s">
        <v>19447</v>
      </c>
      <c r="T1441" t="s">
        <v>19902</v>
      </c>
    </row>
    <row r="1442" spans="2:20" x14ac:dyDescent="0.25">
      <c r="B1442" t="s">
        <v>2709</v>
      </c>
      <c r="C1442">
        <v>25232100</v>
      </c>
      <c r="E1442">
        <v>26.08</v>
      </c>
      <c r="F1442">
        <v>12</v>
      </c>
      <c r="G1442">
        <v>0</v>
      </c>
      <c r="H1442" t="s">
        <v>19447</v>
      </c>
      <c r="I1442" t="s">
        <v>19447</v>
      </c>
      <c r="J1442">
        <v>4</v>
      </c>
      <c r="L1442" t="s">
        <v>2709</v>
      </c>
      <c r="M1442">
        <v>25232100</v>
      </c>
      <c r="O1442" t="s">
        <v>20003</v>
      </c>
      <c r="P1442" t="s">
        <v>19903</v>
      </c>
      <c r="Q1442" t="s">
        <v>19900</v>
      </c>
      <c r="R1442" t="s">
        <v>19447</v>
      </c>
      <c r="S1442" t="s">
        <v>19447</v>
      </c>
      <c r="T1442" t="s">
        <v>19902</v>
      </c>
    </row>
    <row r="1443" spans="2:20" x14ac:dyDescent="0.25">
      <c r="B1443" t="s">
        <v>2709</v>
      </c>
      <c r="C1443">
        <v>25232910</v>
      </c>
      <c r="E1443">
        <v>26.08</v>
      </c>
      <c r="F1443">
        <v>12</v>
      </c>
      <c r="G1443">
        <v>0</v>
      </c>
      <c r="H1443" t="s">
        <v>19447</v>
      </c>
      <c r="I1443" t="s">
        <v>19447</v>
      </c>
      <c r="J1443">
        <v>4</v>
      </c>
      <c r="L1443" t="s">
        <v>2709</v>
      </c>
      <c r="M1443">
        <v>25232910</v>
      </c>
      <c r="O1443" t="s">
        <v>20003</v>
      </c>
      <c r="P1443" t="s">
        <v>19903</v>
      </c>
      <c r="Q1443" t="s">
        <v>19900</v>
      </c>
      <c r="R1443" t="s">
        <v>19447</v>
      </c>
      <c r="S1443" t="s">
        <v>19447</v>
      </c>
      <c r="T1443" t="s">
        <v>19902</v>
      </c>
    </row>
    <row r="1444" spans="2:20" x14ac:dyDescent="0.25">
      <c r="B1444" t="s">
        <v>2709</v>
      </c>
      <c r="C1444">
        <v>25232990</v>
      </c>
      <c r="E1444">
        <v>26.08</v>
      </c>
      <c r="F1444">
        <v>12</v>
      </c>
      <c r="G1444">
        <v>0</v>
      </c>
      <c r="H1444" t="s">
        <v>19447</v>
      </c>
      <c r="I1444" t="s">
        <v>19447</v>
      </c>
      <c r="J1444">
        <v>4</v>
      </c>
      <c r="L1444" t="s">
        <v>2709</v>
      </c>
      <c r="M1444">
        <v>25232990</v>
      </c>
      <c r="O1444" t="s">
        <v>20003</v>
      </c>
      <c r="P1444" t="s">
        <v>19903</v>
      </c>
      <c r="Q1444" t="s">
        <v>19900</v>
      </c>
      <c r="R1444" t="s">
        <v>19447</v>
      </c>
      <c r="S1444" t="s">
        <v>19447</v>
      </c>
      <c r="T1444" t="s">
        <v>19902</v>
      </c>
    </row>
    <row r="1445" spans="2:20" x14ac:dyDescent="0.25">
      <c r="B1445" t="s">
        <v>2709</v>
      </c>
      <c r="C1445">
        <v>25233000</v>
      </c>
      <c r="E1445">
        <v>26.08</v>
      </c>
      <c r="F1445">
        <v>12</v>
      </c>
      <c r="G1445">
        <v>4</v>
      </c>
      <c r="H1445" t="s">
        <v>19447</v>
      </c>
      <c r="I1445" t="s">
        <v>19447</v>
      </c>
      <c r="J1445">
        <v>4</v>
      </c>
      <c r="L1445" t="s">
        <v>2709</v>
      </c>
      <c r="M1445">
        <v>25233000</v>
      </c>
      <c r="O1445" t="s">
        <v>20003</v>
      </c>
      <c r="P1445" t="s">
        <v>19903</v>
      </c>
      <c r="Q1445" t="s">
        <v>19902</v>
      </c>
      <c r="R1445" t="s">
        <v>19447</v>
      </c>
      <c r="S1445" t="s">
        <v>19447</v>
      </c>
      <c r="T1445" t="s">
        <v>19902</v>
      </c>
    </row>
    <row r="1446" spans="2:20" x14ac:dyDescent="0.25">
      <c r="B1446" t="s">
        <v>2709</v>
      </c>
      <c r="C1446">
        <v>25239000</v>
      </c>
      <c r="E1446">
        <v>26.08</v>
      </c>
      <c r="F1446">
        <v>12</v>
      </c>
      <c r="G1446">
        <v>4</v>
      </c>
      <c r="H1446" t="s">
        <v>19447</v>
      </c>
      <c r="I1446" t="s">
        <v>19447</v>
      </c>
      <c r="J1446">
        <v>4</v>
      </c>
      <c r="L1446" t="s">
        <v>2709</v>
      </c>
      <c r="M1446">
        <v>25239000</v>
      </c>
      <c r="O1446" t="s">
        <v>20003</v>
      </c>
      <c r="P1446" t="s">
        <v>19903</v>
      </c>
      <c r="Q1446" t="s">
        <v>19902</v>
      </c>
      <c r="R1446" t="s">
        <v>19447</v>
      </c>
      <c r="S1446" t="s">
        <v>19447</v>
      </c>
      <c r="T1446" t="s">
        <v>19902</v>
      </c>
    </row>
    <row r="1447" spans="2:20" x14ac:dyDescent="0.25">
      <c r="B1447" t="s">
        <v>2709</v>
      </c>
      <c r="C1447">
        <v>25241000</v>
      </c>
      <c r="E1447">
        <v>43</v>
      </c>
      <c r="F1447">
        <v>12</v>
      </c>
      <c r="G1447">
        <v>0</v>
      </c>
      <c r="H1447" t="s">
        <v>19447</v>
      </c>
      <c r="I1447" t="s">
        <v>19447</v>
      </c>
      <c r="J1447">
        <v>4</v>
      </c>
      <c r="L1447" t="s">
        <v>2709</v>
      </c>
      <c r="M1447">
        <v>25241000</v>
      </c>
      <c r="O1447" t="s">
        <v>20001</v>
      </c>
      <c r="P1447" t="s">
        <v>19903</v>
      </c>
      <c r="Q1447" t="s">
        <v>19900</v>
      </c>
      <c r="R1447" t="s">
        <v>19447</v>
      </c>
      <c r="S1447" t="s">
        <v>19447</v>
      </c>
      <c r="T1447" t="s">
        <v>19902</v>
      </c>
    </row>
    <row r="1448" spans="2:20" x14ac:dyDescent="0.25">
      <c r="B1448" t="s">
        <v>2709</v>
      </c>
      <c r="C1448">
        <v>25249000</v>
      </c>
      <c r="E1448">
        <v>43</v>
      </c>
      <c r="F1448">
        <v>12</v>
      </c>
      <c r="G1448">
        <v>0</v>
      </c>
      <c r="H1448" t="s">
        <v>19447</v>
      </c>
      <c r="I1448" t="s">
        <v>19447</v>
      </c>
      <c r="J1448">
        <v>4</v>
      </c>
      <c r="L1448" t="s">
        <v>2709</v>
      </c>
      <c r="M1448">
        <v>25249000</v>
      </c>
      <c r="O1448" t="s">
        <v>20001</v>
      </c>
      <c r="P1448" t="s">
        <v>19903</v>
      </c>
      <c r="Q1448" t="s">
        <v>19900</v>
      </c>
      <c r="R1448" t="s">
        <v>19447</v>
      </c>
      <c r="S1448" t="s">
        <v>19447</v>
      </c>
      <c r="T1448" t="s">
        <v>19902</v>
      </c>
    </row>
    <row r="1449" spans="2:20" x14ac:dyDescent="0.25">
      <c r="B1449" t="s">
        <v>2709</v>
      </c>
      <c r="C1449">
        <v>25251000</v>
      </c>
      <c r="E1449">
        <v>43</v>
      </c>
      <c r="F1449">
        <v>12</v>
      </c>
      <c r="G1449">
        <v>0</v>
      </c>
      <c r="H1449" t="s">
        <v>19447</v>
      </c>
      <c r="I1449" t="s">
        <v>19447</v>
      </c>
      <c r="J1449">
        <v>4</v>
      </c>
      <c r="L1449" t="s">
        <v>2709</v>
      </c>
      <c r="M1449">
        <v>25251000</v>
      </c>
      <c r="O1449" t="s">
        <v>20001</v>
      </c>
      <c r="P1449" t="s">
        <v>19903</v>
      </c>
      <c r="Q1449" t="s">
        <v>19900</v>
      </c>
      <c r="R1449" t="s">
        <v>19447</v>
      </c>
      <c r="S1449" t="s">
        <v>19447</v>
      </c>
      <c r="T1449" t="s">
        <v>19902</v>
      </c>
    </row>
    <row r="1450" spans="2:20" x14ac:dyDescent="0.25">
      <c r="B1450" t="s">
        <v>2709</v>
      </c>
      <c r="C1450">
        <v>25252000</v>
      </c>
      <c r="E1450">
        <v>43</v>
      </c>
      <c r="F1450">
        <v>12</v>
      </c>
      <c r="G1450">
        <v>0</v>
      </c>
      <c r="H1450" t="s">
        <v>19447</v>
      </c>
      <c r="I1450" t="s">
        <v>19447</v>
      </c>
      <c r="J1450">
        <v>4</v>
      </c>
      <c r="L1450" t="s">
        <v>2709</v>
      </c>
      <c r="M1450">
        <v>25252000</v>
      </c>
      <c r="O1450" t="s">
        <v>20001</v>
      </c>
      <c r="P1450" t="s">
        <v>19903</v>
      </c>
      <c r="Q1450" t="s">
        <v>19900</v>
      </c>
      <c r="R1450" t="s">
        <v>19447</v>
      </c>
      <c r="S1450" t="s">
        <v>19447</v>
      </c>
      <c r="T1450" t="s">
        <v>19902</v>
      </c>
    </row>
    <row r="1451" spans="2:20" x14ac:dyDescent="0.25">
      <c r="B1451" t="s">
        <v>2709</v>
      </c>
      <c r="C1451">
        <v>25253000</v>
      </c>
      <c r="E1451">
        <v>43</v>
      </c>
      <c r="F1451">
        <v>12</v>
      </c>
      <c r="G1451">
        <v>0</v>
      </c>
      <c r="H1451" t="s">
        <v>19447</v>
      </c>
      <c r="I1451" t="s">
        <v>19447</v>
      </c>
      <c r="J1451">
        <v>4</v>
      </c>
      <c r="L1451" t="s">
        <v>2709</v>
      </c>
      <c r="M1451">
        <v>25253000</v>
      </c>
      <c r="O1451" t="s">
        <v>20001</v>
      </c>
      <c r="P1451" t="s">
        <v>19903</v>
      </c>
      <c r="Q1451" t="s">
        <v>19900</v>
      </c>
      <c r="R1451" t="s">
        <v>19447</v>
      </c>
      <c r="S1451" t="s">
        <v>19447</v>
      </c>
      <c r="T1451" t="s">
        <v>19902</v>
      </c>
    </row>
    <row r="1452" spans="2:20" x14ac:dyDescent="0.25">
      <c r="B1452" t="s">
        <v>2709</v>
      </c>
      <c r="C1452">
        <v>25261000</v>
      </c>
      <c r="E1452">
        <v>43</v>
      </c>
      <c r="F1452">
        <v>12</v>
      </c>
      <c r="G1452">
        <v>0</v>
      </c>
      <c r="H1452" t="s">
        <v>19447</v>
      </c>
      <c r="I1452" t="s">
        <v>19447</v>
      </c>
      <c r="J1452">
        <v>4</v>
      </c>
      <c r="L1452" t="s">
        <v>2709</v>
      </c>
      <c r="M1452">
        <v>25261000</v>
      </c>
      <c r="O1452" t="s">
        <v>20001</v>
      </c>
      <c r="P1452" t="s">
        <v>19903</v>
      </c>
      <c r="Q1452" t="s">
        <v>19900</v>
      </c>
      <c r="R1452" t="s">
        <v>19447</v>
      </c>
      <c r="S1452" t="s">
        <v>19447</v>
      </c>
      <c r="T1452" t="s">
        <v>19902</v>
      </c>
    </row>
    <row r="1453" spans="2:20" x14ac:dyDescent="0.25">
      <c r="B1453" t="s">
        <v>2709</v>
      </c>
      <c r="C1453">
        <v>25262000</v>
      </c>
      <c r="E1453">
        <v>43</v>
      </c>
      <c r="F1453">
        <v>12</v>
      </c>
      <c r="G1453">
        <v>0</v>
      </c>
      <c r="H1453" t="s">
        <v>19447</v>
      </c>
      <c r="I1453" t="s">
        <v>19447</v>
      </c>
      <c r="J1453">
        <v>4</v>
      </c>
      <c r="L1453" t="s">
        <v>2709</v>
      </c>
      <c r="M1453">
        <v>25262000</v>
      </c>
      <c r="O1453" t="s">
        <v>20001</v>
      </c>
      <c r="P1453" t="s">
        <v>19903</v>
      </c>
      <c r="Q1453" t="s">
        <v>19900</v>
      </c>
      <c r="R1453" t="s">
        <v>19447</v>
      </c>
      <c r="S1453" t="s">
        <v>19447</v>
      </c>
      <c r="T1453" t="s">
        <v>19902</v>
      </c>
    </row>
    <row r="1454" spans="2:20" x14ac:dyDescent="0.25">
      <c r="B1454" t="s">
        <v>2709</v>
      </c>
      <c r="C1454">
        <v>25280000</v>
      </c>
      <c r="E1454">
        <v>43</v>
      </c>
      <c r="F1454">
        <v>12</v>
      </c>
      <c r="G1454">
        <v>0</v>
      </c>
      <c r="H1454" t="s">
        <v>19447</v>
      </c>
      <c r="I1454" t="s">
        <v>19447</v>
      </c>
      <c r="J1454">
        <v>4</v>
      </c>
      <c r="L1454" t="s">
        <v>2709</v>
      </c>
      <c r="M1454">
        <v>25280000</v>
      </c>
      <c r="O1454" t="s">
        <v>20001</v>
      </c>
      <c r="P1454" t="s">
        <v>19903</v>
      </c>
      <c r="Q1454" t="s">
        <v>19900</v>
      </c>
      <c r="R1454" t="s">
        <v>19447</v>
      </c>
      <c r="S1454" t="s">
        <v>19447</v>
      </c>
      <c r="T1454" t="s">
        <v>19902</v>
      </c>
    </row>
    <row r="1455" spans="2:20" x14ac:dyDescent="0.25">
      <c r="B1455" t="s">
        <v>2709</v>
      </c>
      <c r="C1455">
        <v>25291000</v>
      </c>
      <c r="E1455">
        <v>43</v>
      </c>
      <c r="F1455">
        <v>12</v>
      </c>
      <c r="G1455">
        <v>0</v>
      </c>
      <c r="H1455" t="s">
        <v>19447</v>
      </c>
      <c r="I1455" t="s">
        <v>19447</v>
      </c>
      <c r="J1455">
        <v>4</v>
      </c>
      <c r="L1455" t="s">
        <v>2709</v>
      </c>
      <c r="M1455">
        <v>25291000</v>
      </c>
      <c r="O1455" t="s">
        <v>20001</v>
      </c>
      <c r="P1455" t="s">
        <v>19903</v>
      </c>
      <c r="Q1455" t="s">
        <v>19900</v>
      </c>
      <c r="R1455" t="s">
        <v>19447</v>
      </c>
      <c r="S1455" t="s">
        <v>19447</v>
      </c>
      <c r="T1455" t="s">
        <v>19902</v>
      </c>
    </row>
    <row r="1456" spans="2:20" x14ac:dyDescent="0.25">
      <c r="B1456" t="s">
        <v>2709</v>
      </c>
      <c r="C1456">
        <v>25292100</v>
      </c>
      <c r="E1456">
        <v>43</v>
      </c>
      <c r="F1456">
        <v>12</v>
      </c>
      <c r="G1456">
        <v>0</v>
      </c>
      <c r="H1456" t="s">
        <v>19447</v>
      </c>
      <c r="I1456" t="s">
        <v>19447</v>
      </c>
      <c r="J1456">
        <v>4</v>
      </c>
      <c r="L1456" t="s">
        <v>2709</v>
      </c>
      <c r="M1456">
        <v>25292100</v>
      </c>
      <c r="O1456" t="s">
        <v>20001</v>
      </c>
      <c r="P1456" t="s">
        <v>19903</v>
      </c>
      <c r="Q1456" t="s">
        <v>19900</v>
      </c>
      <c r="R1456" t="s">
        <v>19447</v>
      </c>
      <c r="S1456" t="s">
        <v>19447</v>
      </c>
      <c r="T1456" t="s">
        <v>19902</v>
      </c>
    </row>
    <row r="1457" spans="2:20" x14ac:dyDescent="0.25">
      <c r="B1457" t="s">
        <v>2709</v>
      </c>
      <c r="C1457">
        <v>25292200</v>
      </c>
      <c r="E1457">
        <v>43</v>
      </c>
      <c r="F1457">
        <v>12</v>
      </c>
      <c r="G1457">
        <v>0</v>
      </c>
      <c r="H1457" t="s">
        <v>19447</v>
      </c>
      <c r="I1457" t="s">
        <v>19447</v>
      </c>
      <c r="J1457">
        <v>4</v>
      </c>
      <c r="L1457" t="s">
        <v>2709</v>
      </c>
      <c r="M1457">
        <v>25292200</v>
      </c>
      <c r="O1457" t="s">
        <v>20001</v>
      </c>
      <c r="P1457" t="s">
        <v>19903</v>
      </c>
      <c r="Q1457" t="s">
        <v>19900</v>
      </c>
      <c r="R1457" t="s">
        <v>19447</v>
      </c>
      <c r="S1457" t="s">
        <v>19447</v>
      </c>
      <c r="T1457" t="s">
        <v>19902</v>
      </c>
    </row>
    <row r="1458" spans="2:20" x14ac:dyDescent="0.25">
      <c r="B1458" t="s">
        <v>2709</v>
      </c>
      <c r="C1458">
        <v>25293000</v>
      </c>
      <c r="E1458">
        <v>43</v>
      </c>
      <c r="F1458">
        <v>12</v>
      </c>
      <c r="G1458">
        <v>0</v>
      </c>
      <c r="H1458" t="s">
        <v>19447</v>
      </c>
      <c r="I1458" t="s">
        <v>19447</v>
      </c>
      <c r="J1458">
        <v>4</v>
      </c>
      <c r="L1458" t="s">
        <v>2709</v>
      </c>
      <c r="M1458">
        <v>25293000</v>
      </c>
      <c r="O1458" t="s">
        <v>20001</v>
      </c>
      <c r="P1458" t="s">
        <v>19903</v>
      </c>
      <c r="Q1458" t="s">
        <v>19900</v>
      </c>
      <c r="R1458" t="s">
        <v>19447</v>
      </c>
      <c r="S1458" t="s">
        <v>19447</v>
      </c>
      <c r="T1458" t="s">
        <v>19902</v>
      </c>
    </row>
    <row r="1459" spans="2:20" x14ac:dyDescent="0.25">
      <c r="B1459" t="s">
        <v>2709</v>
      </c>
      <c r="C1459">
        <v>25301010</v>
      </c>
      <c r="E1459">
        <v>43</v>
      </c>
      <c r="F1459">
        <v>12</v>
      </c>
      <c r="G1459">
        <v>0</v>
      </c>
      <c r="H1459" t="s">
        <v>19447</v>
      </c>
      <c r="I1459" t="s">
        <v>19447</v>
      </c>
      <c r="J1459">
        <v>4</v>
      </c>
      <c r="L1459" t="s">
        <v>2709</v>
      </c>
      <c r="M1459">
        <v>25301010</v>
      </c>
      <c r="O1459" t="s">
        <v>20001</v>
      </c>
      <c r="P1459" t="s">
        <v>19903</v>
      </c>
      <c r="Q1459" t="s">
        <v>19900</v>
      </c>
      <c r="R1459" t="s">
        <v>19447</v>
      </c>
      <c r="S1459" t="s">
        <v>19447</v>
      </c>
      <c r="T1459" t="s">
        <v>19902</v>
      </c>
    </row>
    <row r="1460" spans="2:20" x14ac:dyDescent="0.25">
      <c r="B1460" t="s">
        <v>2709</v>
      </c>
      <c r="C1460">
        <v>25301090</v>
      </c>
      <c r="E1460">
        <v>43</v>
      </c>
      <c r="F1460">
        <v>12</v>
      </c>
      <c r="G1460">
        <v>0</v>
      </c>
      <c r="H1460" t="s">
        <v>19447</v>
      </c>
      <c r="I1460" t="s">
        <v>19447</v>
      </c>
      <c r="J1460">
        <v>4</v>
      </c>
      <c r="L1460" t="s">
        <v>2709</v>
      </c>
      <c r="M1460">
        <v>25301090</v>
      </c>
      <c r="O1460" t="s">
        <v>20001</v>
      </c>
      <c r="P1460" t="s">
        <v>19903</v>
      </c>
      <c r="Q1460" t="s">
        <v>19900</v>
      </c>
      <c r="R1460" t="s">
        <v>19447</v>
      </c>
      <c r="S1460" t="s">
        <v>19447</v>
      </c>
      <c r="T1460" t="s">
        <v>19902</v>
      </c>
    </row>
    <row r="1461" spans="2:20" x14ac:dyDescent="0.25">
      <c r="B1461" t="s">
        <v>2709</v>
      </c>
      <c r="C1461">
        <v>25302000</v>
      </c>
      <c r="E1461">
        <v>43</v>
      </c>
      <c r="F1461">
        <v>12</v>
      </c>
      <c r="G1461">
        <v>0</v>
      </c>
      <c r="H1461" t="s">
        <v>19447</v>
      </c>
      <c r="I1461" t="s">
        <v>19447</v>
      </c>
      <c r="J1461">
        <v>4</v>
      </c>
      <c r="L1461" t="s">
        <v>2709</v>
      </c>
      <c r="M1461">
        <v>25302000</v>
      </c>
      <c r="O1461" t="s">
        <v>20001</v>
      </c>
      <c r="P1461" t="s">
        <v>19903</v>
      </c>
      <c r="Q1461" t="s">
        <v>19900</v>
      </c>
      <c r="R1461" t="s">
        <v>19447</v>
      </c>
      <c r="S1461" t="s">
        <v>19447</v>
      </c>
      <c r="T1461" t="s">
        <v>19902</v>
      </c>
    </row>
    <row r="1462" spans="2:20" x14ac:dyDescent="0.25">
      <c r="B1462" t="s">
        <v>2709</v>
      </c>
      <c r="C1462">
        <v>25309010</v>
      </c>
      <c r="E1462">
        <v>43</v>
      </c>
      <c r="F1462">
        <v>12</v>
      </c>
      <c r="G1462">
        <v>0</v>
      </c>
      <c r="H1462" t="s">
        <v>19447</v>
      </c>
      <c r="I1462" t="s">
        <v>19447</v>
      </c>
      <c r="J1462">
        <v>4</v>
      </c>
      <c r="L1462" t="s">
        <v>2709</v>
      </c>
      <c r="M1462">
        <v>25309010</v>
      </c>
      <c r="O1462" t="s">
        <v>20001</v>
      </c>
      <c r="P1462" t="s">
        <v>19903</v>
      </c>
      <c r="Q1462" t="s">
        <v>19900</v>
      </c>
      <c r="R1462" t="s">
        <v>19447</v>
      </c>
      <c r="S1462" t="s">
        <v>19447</v>
      </c>
      <c r="T1462" t="s">
        <v>19902</v>
      </c>
    </row>
    <row r="1463" spans="2:20" x14ac:dyDescent="0.25">
      <c r="B1463" t="s">
        <v>2709</v>
      </c>
      <c r="C1463">
        <v>25309020</v>
      </c>
      <c r="E1463">
        <v>43</v>
      </c>
      <c r="F1463">
        <v>12</v>
      </c>
      <c r="G1463">
        <v>0</v>
      </c>
      <c r="H1463" t="s">
        <v>19447</v>
      </c>
      <c r="I1463" t="s">
        <v>19447</v>
      </c>
      <c r="J1463">
        <v>4</v>
      </c>
      <c r="L1463" t="s">
        <v>2709</v>
      </c>
      <c r="M1463">
        <v>25309020</v>
      </c>
      <c r="O1463" t="s">
        <v>20001</v>
      </c>
      <c r="P1463" t="s">
        <v>19903</v>
      </c>
      <c r="Q1463" t="s">
        <v>19900</v>
      </c>
      <c r="R1463" t="s">
        <v>19447</v>
      </c>
      <c r="S1463" t="s">
        <v>19447</v>
      </c>
      <c r="T1463" t="s">
        <v>19902</v>
      </c>
    </row>
    <row r="1464" spans="2:20" x14ac:dyDescent="0.25">
      <c r="B1464" t="s">
        <v>2709</v>
      </c>
      <c r="C1464">
        <v>25309030</v>
      </c>
      <c r="E1464">
        <v>43</v>
      </c>
      <c r="F1464">
        <v>12</v>
      </c>
      <c r="G1464">
        <v>0</v>
      </c>
      <c r="H1464" t="s">
        <v>19447</v>
      </c>
      <c r="I1464" t="s">
        <v>19447</v>
      </c>
      <c r="J1464">
        <v>4</v>
      </c>
      <c r="L1464" t="s">
        <v>2709</v>
      </c>
      <c r="M1464">
        <v>25309030</v>
      </c>
      <c r="O1464" t="s">
        <v>20001</v>
      </c>
      <c r="P1464" t="s">
        <v>19903</v>
      </c>
      <c r="Q1464" t="s">
        <v>19900</v>
      </c>
      <c r="R1464" t="s">
        <v>19447</v>
      </c>
      <c r="S1464" t="s">
        <v>19447</v>
      </c>
      <c r="T1464" t="s">
        <v>19902</v>
      </c>
    </row>
    <row r="1465" spans="2:20" x14ac:dyDescent="0.25">
      <c r="B1465" t="s">
        <v>2709</v>
      </c>
      <c r="C1465">
        <v>25309040</v>
      </c>
      <c r="E1465">
        <v>43</v>
      </c>
      <c r="F1465">
        <v>12</v>
      </c>
      <c r="G1465">
        <v>0</v>
      </c>
      <c r="H1465" t="s">
        <v>19447</v>
      </c>
      <c r="I1465" t="s">
        <v>19447</v>
      </c>
      <c r="J1465">
        <v>4</v>
      </c>
      <c r="L1465" t="s">
        <v>2709</v>
      </c>
      <c r="M1465">
        <v>25309040</v>
      </c>
      <c r="O1465" t="s">
        <v>20001</v>
      </c>
      <c r="P1465" t="s">
        <v>19903</v>
      </c>
      <c r="Q1465" t="s">
        <v>19900</v>
      </c>
      <c r="R1465" t="s">
        <v>19447</v>
      </c>
      <c r="S1465" t="s">
        <v>19447</v>
      </c>
      <c r="T1465" t="s">
        <v>19902</v>
      </c>
    </row>
    <row r="1466" spans="2:20" x14ac:dyDescent="0.25">
      <c r="B1466" t="s">
        <v>2709</v>
      </c>
      <c r="C1466">
        <v>25309090</v>
      </c>
      <c r="E1466">
        <v>43</v>
      </c>
      <c r="F1466">
        <v>12</v>
      </c>
      <c r="G1466">
        <v>0</v>
      </c>
      <c r="H1466" t="s">
        <v>19447</v>
      </c>
      <c r="I1466" t="s">
        <v>19447</v>
      </c>
      <c r="J1466">
        <v>4</v>
      </c>
      <c r="L1466" t="s">
        <v>2709</v>
      </c>
      <c r="M1466">
        <v>25309090</v>
      </c>
      <c r="O1466" t="s">
        <v>20001</v>
      </c>
      <c r="P1466" t="s">
        <v>19903</v>
      </c>
      <c r="Q1466" t="s">
        <v>19900</v>
      </c>
      <c r="R1466" t="s">
        <v>19447</v>
      </c>
      <c r="S1466" t="s">
        <v>19447</v>
      </c>
      <c r="T1466" t="s">
        <v>19902</v>
      </c>
    </row>
    <row r="1467" spans="2:20" x14ac:dyDescent="0.25">
      <c r="B1467" t="s">
        <v>2709</v>
      </c>
      <c r="C1467">
        <v>26011100</v>
      </c>
      <c r="E1467" t="s">
        <v>19447</v>
      </c>
      <c r="F1467">
        <v>18</v>
      </c>
      <c r="G1467">
        <v>0</v>
      </c>
      <c r="H1467">
        <v>7.6</v>
      </c>
      <c r="I1467">
        <v>1.65</v>
      </c>
      <c r="J1467">
        <v>2</v>
      </c>
      <c r="L1467" t="s">
        <v>2709</v>
      </c>
      <c r="M1467">
        <v>26011100</v>
      </c>
      <c r="O1467" t="s">
        <v>19447</v>
      </c>
      <c r="P1467" t="s">
        <v>19899</v>
      </c>
      <c r="Q1467" t="s">
        <v>19900</v>
      </c>
      <c r="R1467" t="s">
        <v>19905</v>
      </c>
      <c r="S1467" t="s">
        <v>19906</v>
      </c>
      <c r="T1467" t="s">
        <v>19901</v>
      </c>
    </row>
    <row r="1468" spans="2:20" x14ac:dyDescent="0.25">
      <c r="B1468" t="s">
        <v>2709</v>
      </c>
      <c r="C1468">
        <v>26011200</v>
      </c>
      <c r="E1468" t="s">
        <v>19447</v>
      </c>
      <c r="F1468">
        <v>18</v>
      </c>
      <c r="G1468">
        <v>0</v>
      </c>
      <c r="H1468">
        <v>7.6</v>
      </c>
      <c r="I1468">
        <v>1.65</v>
      </c>
      <c r="J1468" t="s">
        <v>19447</v>
      </c>
      <c r="L1468" t="s">
        <v>2709</v>
      </c>
      <c r="M1468">
        <v>26011200</v>
      </c>
      <c r="O1468" t="s">
        <v>19447</v>
      </c>
      <c r="P1468" t="s">
        <v>19899</v>
      </c>
      <c r="Q1468" t="s">
        <v>19900</v>
      </c>
      <c r="R1468" t="s">
        <v>19905</v>
      </c>
      <c r="S1468" t="s">
        <v>19906</v>
      </c>
      <c r="T1468" t="s">
        <v>19447</v>
      </c>
    </row>
    <row r="1469" spans="2:20" x14ac:dyDescent="0.25">
      <c r="B1469" t="s">
        <v>2709</v>
      </c>
      <c r="C1469">
        <v>26011210</v>
      </c>
      <c r="E1469" t="s">
        <v>19447</v>
      </c>
      <c r="F1469">
        <v>18</v>
      </c>
      <c r="G1469">
        <v>0</v>
      </c>
      <c r="H1469">
        <v>7.6</v>
      </c>
      <c r="I1469">
        <v>1.65</v>
      </c>
      <c r="J1469">
        <v>2</v>
      </c>
      <c r="L1469" t="s">
        <v>2709</v>
      </c>
      <c r="M1469">
        <v>26011210</v>
      </c>
      <c r="O1469" t="s">
        <v>19447</v>
      </c>
      <c r="P1469" t="s">
        <v>19899</v>
      </c>
      <c r="Q1469" t="s">
        <v>19900</v>
      </c>
      <c r="R1469" t="s">
        <v>19905</v>
      </c>
      <c r="S1469" t="s">
        <v>19906</v>
      </c>
      <c r="T1469" t="s">
        <v>19901</v>
      </c>
    </row>
    <row r="1470" spans="2:20" x14ac:dyDescent="0.25">
      <c r="B1470" t="s">
        <v>2709</v>
      </c>
      <c r="C1470">
        <v>26011290</v>
      </c>
      <c r="E1470" t="s">
        <v>19447</v>
      </c>
      <c r="F1470">
        <v>18</v>
      </c>
      <c r="G1470">
        <v>0</v>
      </c>
      <c r="H1470">
        <v>7.6</v>
      </c>
      <c r="I1470">
        <v>1.65</v>
      </c>
      <c r="J1470">
        <v>2</v>
      </c>
      <c r="L1470" t="s">
        <v>2709</v>
      </c>
      <c r="M1470">
        <v>26011290</v>
      </c>
      <c r="O1470" t="s">
        <v>19447</v>
      </c>
      <c r="P1470" t="s">
        <v>19899</v>
      </c>
      <c r="Q1470" t="s">
        <v>19900</v>
      </c>
      <c r="R1470" t="s">
        <v>19905</v>
      </c>
      <c r="S1470" t="s">
        <v>19906</v>
      </c>
      <c r="T1470" t="s">
        <v>19901</v>
      </c>
    </row>
    <row r="1471" spans="2:20" x14ac:dyDescent="0.25">
      <c r="B1471" t="s">
        <v>2709</v>
      </c>
      <c r="C1471">
        <v>26012000</v>
      </c>
      <c r="E1471" t="s">
        <v>19447</v>
      </c>
      <c r="F1471">
        <v>18</v>
      </c>
      <c r="G1471">
        <v>0</v>
      </c>
      <c r="H1471">
        <v>7.6</v>
      </c>
      <c r="I1471">
        <v>1.65</v>
      </c>
      <c r="J1471">
        <v>2</v>
      </c>
      <c r="L1471" t="s">
        <v>2709</v>
      </c>
      <c r="M1471">
        <v>26012000</v>
      </c>
      <c r="O1471" t="s">
        <v>19447</v>
      </c>
      <c r="P1471" t="s">
        <v>19899</v>
      </c>
      <c r="Q1471" t="s">
        <v>19900</v>
      </c>
      <c r="R1471" t="s">
        <v>19905</v>
      </c>
      <c r="S1471" t="s">
        <v>19906</v>
      </c>
      <c r="T1471" t="s">
        <v>19901</v>
      </c>
    </row>
    <row r="1472" spans="2:20" x14ac:dyDescent="0.25">
      <c r="B1472" t="s">
        <v>2709</v>
      </c>
      <c r="C1472">
        <v>26020010</v>
      </c>
      <c r="E1472" t="s">
        <v>19447</v>
      </c>
      <c r="F1472">
        <v>18</v>
      </c>
      <c r="G1472">
        <v>0</v>
      </c>
      <c r="H1472">
        <v>7.6</v>
      </c>
      <c r="I1472">
        <v>1.65</v>
      </c>
      <c r="J1472">
        <v>2</v>
      </c>
      <c r="L1472" t="s">
        <v>2709</v>
      </c>
      <c r="M1472">
        <v>26020010</v>
      </c>
      <c r="O1472" t="s">
        <v>19447</v>
      </c>
      <c r="P1472" t="s">
        <v>19899</v>
      </c>
      <c r="Q1472" t="s">
        <v>19900</v>
      </c>
      <c r="R1472" t="s">
        <v>19905</v>
      </c>
      <c r="S1472" t="s">
        <v>19906</v>
      </c>
      <c r="T1472" t="s">
        <v>19901</v>
      </c>
    </row>
    <row r="1473" spans="2:20" x14ac:dyDescent="0.25">
      <c r="B1473" t="s">
        <v>2709</v>
      </c>
      <c r="C1473">
        <v>26020090</v>
      </c>
      <c r="E1473" t="s">
        <v>19447</v>
      </c>
      <c r="F1473">
        <v>18</v>
      </c>
      <c r="G1473">
        <v>0</v>
      </c>
      <c r="H1473">
        <v>7.6</v>
      </c>
      <c r="I1473">
        <v>1.65</v>
      </c>
      <c r="J1473">
        <v>2</v>
      </c>
      <c r="L1473" t="s">
        <v>2709</v>
      </c>
      <c r="M1473">
        <v>26020090</v>
      </c>
      <c r="O1473" t="s">
        <v>19447</v>
      </c>
      <c r="P1473" t="s">
        <v>19899</v>
      </c>
      <c r="Q1473" t="s">
        <v>19900</v>
      </c>
      <c r="R1473" t="s">
        <v>19905</v>
      </c>
      <c r="S1473" t="s">
        <v>19906</v>
      </c>
      <c r="T1473" t="s">
        <v>19901</v>
      </c>
    </row>
    <row r="1474" spans="2:20" x14ac:dyDescent="0.25">
      <c r="B1474" t="s">
        <v>2709</v>
      </c>
      <c r="C1474">
        <v>26030010</v>
      </c>
      <c r="E1474" t="s">
        <v>19447</v>
      </c>
      <c r="F1474">
        <v>18</v>
      </c>
      <c r="G1474">
        <v>0</v>
      </c>
      <c r="H1474">
        <v>7.6</v>
      </c>
      <c r="I1474">
        <v>1.65</v>
      </c>
      <c r="J1474">
        <v>2</v>
      </c>
      <c r="L1474" t="s">
        <v>2709</v>
      </c>
      <c r="M1474">
        <v>26030010</v>
      </c>
      <c r="O1474" t="s">
        <v>19447</v>
      </c>
      <c r="P1474" t="s">
        <v>19899</v>
      </c>
      <c r="Q1474" t="s">
        <v>19900</v>
      </c>
      <c r="R1474" t="s">
        <v>19905</v>
      </c>
      <c r="S1474" t="s">
        <v>19906</v>
      </c>
      <c r="T1474" t="s">
        <v>19901</v>
      </c>
    </row>
    <row r="1475" spans="2:20" x14ac:dyDescent="0.25">
      <c r="B1475" t="s">
        <v>2709</v>
      </c>
      <c r="C1475">
        <v>26030090</v>
      </c>
      <c r="E1475" t="s">
        <v>19447</v>
      </c>
      <c r="F1475">
        <v>18</v>
      </c>
      <c r="G1475">
        <v>0</v>
      </c>
      <c r="H1475">
        <v>7.6</v>
      </c>
      <c r="I1475">
        <v>1.65</v>
      </c>
      <c r="J1475">
        <v>2</v>
      </c>
      <c r="L1475" t="s">
        <v>2709</v>
      </c>
      <c r="M1475">
        <v>26030090</v>
      </c>
      <c r="O1475" t="s">
        <v>19447</v>
      </c>
      <c r="P1475" t="s">
        <v>19899</v>
      </c>
      <c r="Q1475" t="s">
        <v>19900</v>
      </c>
      <c r="R1475" t="s">
        <v>19905</v>
      </c>
      <c r="S1475" t="s">
        <v>19906</v>
      </c>
      <c r="T1475" t="s">
        <v>19901</v>
      </c>
    </row>
    <row r="1476" spans="2:20" x14ac:dyDescent="0.25">
      <c r="B1476" t="s">
        <v>2709</v>
      </c>
      <c r="C1476">
        <v>26040000</v>
      </c>
      <c r="E1476" t="s">
        <v>19447</v>
      </c>
      <c r="F1476">
        <v>18</v>
      </c>
      <c r="G1476">
        <v>0</v>
      </c>
      <c r="H1476">
        <v>7.6</v>
      </c>
      <c r="I1476">
        <v>1.65</v>
      </c>
      <c r="J1476">
        <v>2</v>
      </c>
      <c r="L1476" t="s">
        <v>2709</v>
      </c>
      <c r="M1476">
        <v>26040000</v>
      </c>
      <c r="O1476" t="s">
        <v>19447</v>
      </c>
      <c r="P1476" t="s">
        <v>19899</v>
      </c>
      <c r="Q1476" t="s">
        <v>19900</v>
      </c>
      <c r="R1476" t="s">
        <v>19905</v>
      </c>
      <c r="S1476" t="s">
        <v>19906</v>
      </c>
      <c r="T1476" t="s">
        <v>19901</v>
      </c>
    </row>
    <row r="1477" spans="2:20" x14ac:dyDescent="0.25">
      <c r="B1477" t="s">
        <v>2709</v>
      </c>
      <c r="C1477">
        <v>26050000</v>
      </c>
      <c r="E1477" t="s">
        <v>19447</v>
      </c>
      <c r="F1477">
        <v>18</v>
      </c>
      <c r="G1477">
        <v>0</v>
      </c>
      <c r="H1477">
        <v>7.6</v>
      </c>
      <c r="I1477">
        <v>1.65</v>
      </c>
      <c r="J1477">
        <v>2</v>
      </c>
      <c r="L1477" t="s">
        <v>2709</v>
      </c>
      <c r="M1477">
        <v>26050000</v>
      </c>
      <c r="O1477" t="s">
        <v>19447</v>
      </c>
      <c r="P1477" t="s">
        <v>19899</v>
      </c>
      <c r="Q1477" t="s">
        <v>19900</v>
      </c>
      <c r="R1477" t="s">
        <v>19905</v>
      </c>
      <c r="S1477" t="s">
        <v>19906</v>
      </c>
      <c r="T1477" t="s">
        <v>19901</v>
      </c>
    </row>
    <row r="1478" spans="2:20" x14ac:dyDescent="0.25">
      <c r="B1478" t="s">
        <v>2709</v>
      </c>
      <c r="C1478">
        <v>26060011</v>
      </c>
      <c r="E1478" t="s">
        <v>19447</v>
      </c>
      <c r="F1478">
        <v>18</v>
      </c>
      <c r="G1478">
        <v>0</v>
      </c>
      <c r="H1478">
        <v>7.6</v>
      </c>
      <c r="I1478">
        <v>1.65</v>
      </c>
      <c r="J1478">
        <v>2</v>
      </c>
      <c r="L1478" t="s">
        <v>2709</v>
      </c>
      <c r="M1478">
        <v>26060011</v>
      </c>
      <c r="O1478" t="s">
        <v>19447</v>
      </c>
      <c r="P1478" t="s">
        <v>19899</v>
      </c>
      <c r="Q1478" t="s">
        <v>19900</v>
      </c>
      <c r="R1478" t="s">
        <v>19905</v>
      </c>
      <c r="S1478" t="s">
        <v>19906</v>
      </c>
      <c r="T1478" t="s">
        <v>19901</v>
      </c>
    </row>
    <row r="1479" spans="2:20" x14ac:dyDescent="0.25">
      <c r="B1479" t="s">
        <v>2709</v>
      </c>
      <c r="C1479">
        <v>26060012</v>
      </c>
      <c r="E1479" t="s">
        <v>19447</v>
      </c>
      <c r="F1479">
        <v>18</v>
      </c>
      <c r="G1479">
        <v>0</v>
      </c>
      <c r="H1479">
        <v>7.6</v>
      </c>
      <c r="I1479">
        <v>1.65</v>
      </c>
      <c r="J1479">
        <v>2</v>
      </c>
      <c r="L1479" t="s">
        <v>2709</v>
      </c>
      <c r="M1479">
        <v>26060012</v>
      </c>
      <c r="O1479" t="s">
        <v>19447</v>
      </c>
      <c r="P1479" t="s">
        <v>19899</v>
      </c>
      <c r="Q1479" t="s">
        <v>19900</v>
      </c>
      <c r="R1479" t="s">
        <v>19905</v>
      </c>
      <c r="S1479" t="s">
        <v>19906</v>
      </c>
      <c r="T1479" t="s">
        <v>19901</v>
      </c>
    </row>
    <row r="1480" spans="2:20" x14ac:dyDescent="0.25">
      <c r="B1480" t="s">
        <v>2709</v>
      </c>
      <c r="C1480">
        <v>26060090</v>
      </c>
      <c r="E1480" t="s">
        <v>19447</v>
      </c>
      <c r="F1480">
        <v>18</v>
      </c>
      <c r="G1480">
        <v>0</v>
      </c>
      <c r="H1480">
        <v>7.6</v>
      </c>
      <c r="I1480">
        <v>1.65</v>
      </c>
      <c r="J1480">
        <v>2</v>
      </c>
      <c r="L1480" t="s">
        <v>2709</v>
      </c>
      <c r="M1480">
        <v>26060090</v>
      </c>
      <c r="O1480" t="s">
        <v>19447</v>
      </c>
      <c r="P1480" t="s">
        <v>19899</v>
      </c>
      <c r="Q1480" t="s">
        <v>19900</v>
      </c>
      <c r="R1480" t="s">
        <v>19905</v>
      </c>
      <c r="S1480" t="s">
        <v>19906</v>
      </c>
      <c r="T1480" t="s">
        <v>19901</v>
      </c>
    </row>
    <row r="1481" spans="2:20" x14ac:dyDescent="0.25">
      <c r="B1481" t="s">
        <v>2709</v>
      </c>
      <c r="C1481">
        <v>26070000</v>
      </c>
      <c r="E1481" t="s">
        <v>19447</v>
      </c>
      <c r="F1481">
        <v>18</v>
      </c>
      <c r="G1481">
        <v>0</v>
      </c>
      <c r="H1481">
        <v>7.6</v>
      </c>
      <c r="I1481">
        <v>1.65</v>
      </c>
      <c r="J1481">
        <v>4</v>
      </c>
      <c r="L1481" t="s">
        <v>2709</v>
      </c>
      <c r="M1481">
        <v>26070000</v>
      </c>
      <c r="O1481" t="s">
        <v>19447</v>
      </c>
      <c r="P1481" t="s">
        <v>19899</v>
      </c>
      <c r="Q1481" t="s">
        <v>19900</v>
      </c>
      <c r="R1481" t="s">
        <v>19905</v>
      </c>
      <c r="S1481" t="s">
        <v>19906</v>
      </c>
      <c r="T1481" t="s">
        <v>19902</v>
      </c>
    </row>
    <row r="1482" spans="2:20" x14ac:dyDescent="0.25">
      <c r="B1482" t="s">
        <v>2709</v>
      </c>
      <c r="C1482">
        <v>26080010</v>
      </c>
      <c r="E1482" t="s">
        <v>19447</v>
      </c>
      <c r="F1482">
        <v>18</v>
      </c>
      <c r="G1482">
        <v>0</v>
      </c>
      <c r="H1482">
        <v>7.6</v>
      </c>
      <c r="I1482">
        <v>1.65</v>
      </c>
      <c r="J1482">
        <v>2</v>
      </c>
      <c r="L1482" t="s">
        <v>2709</v>
      </c>
      <c r="M1482">
        <v>26080010</v>
      </c>
      <c r="O1482" t="s">
        <v>19447</v>
      </c>
      <c r="P1482" t="s">
        <v>19899</v>
      </c>
      <c r="Q1482" t="s">
        <v>19900</v>
      </c>
      <c r="R1482" t="s">
        <v>19905</v>
      </c>
      <c r="S1482" t="s">
        <v>19906</v>
      </c>
      <c r="T1482" t="s">
        <v>19901</v>
      </c>
    </row>
    <row r="1483" spans="2:20" x14ac:dyDescent="0.25">
      <c r="B1483" t="s">
        <v>2709</v>
      </c>
      <c r="C1483">
        <v>26080090</v>
      </c>
      <c r="E1483" t="s">
        <v>19447</v>
      </c>
      <c r="F1483">
        <v>18</v>
      </c>
      <c r="G1483">
        <v>0</v>
      </c>
      <c r="H1483">
        <v>7.6</v>
      </c>
      <c r="I1483">
        <v>1.65</v>
      </c>
      <c r="J1483">
        <v>2</v>
      </c>
      <c r="L1483" t="s">
        <v>2709</v>
      </c>
      <c r="M1483">
        <v>26080090</v>
      </c>
      <c r="O1483" t="s">
        <v>19447</v>
      </c>
      <c r="P1483" t="s">
        <v>19899</v>
      </c>
      <c r="Q1483" t="s">
        <v>19900</v>
      </c>
      <c r="R1483" t="s">
        <v>19905</v>
      </c>
      <c r="S1483" t="s">
        <v>19906</v>
      </c>
      <c r="T1483" t="s">
        <v>19901</v>
      </c>
    </row>
    <row r="1484" spans="2:20" x14ac:dyDescent="0.25">
      <c r="B1484" t="s">
        <v>2709</v>
      </c>
      <c r="C1484">
        <v>26090000</v>
      </c>
      <c r="E1484" t="s">
        <v>19447</v>
      </c>
      <c r="F1484">
        <v>18</v>
      </c>
      <c r="G1484">
        <v>0</v>
      </c>
      <c r="H1484">
        <v>7.6</v>
      </c>
      <c r="I1484">
        <v>1.65</v>
      </c>
      <c r="J1484">
        <v>2</v>
      </c>
      <c r="L1484" t="s">
        <v>2709</v>
      </c>
      <c r="M1484">
        <v>26090000</v>
      </c>
      <c r="O1484" t="s">
        <v>19447</v>
      </c>
      <c r="P1484" t="s">
        <v>19899</v>
      </c>
      <c r="Q1484" t="s">
        <v>19900</v>
      </c>
      <c r="R1484" t="s">
        <v>19905</v>
      </c>
      <c r="S1484" t="s">
        <v>19906</v>
      </c>
      <c r="T1484" t="s">
        <v>19901</v>
      </c>
    </row>
    <row r="1485" spans="2:20" x14ac:dyDescent="0.25">
      <c r="B1485" t="s">
        <v>2709</v>
      </c>
      <c r="C1485">
        <v>26100010</v>
      </c>
      <c r="E1485" t="s">
        <v>19447</v>
      </c>
      <c r="F1485">
        <v>18</v>
      </c>
      <c r="G1485">
        <v>0</v>
      </c>
      <c r="H1485">
        <v>7.6</v>
      </c>
      <c r="I1485">
        <v>1.65</v>
      </c>
      <c r="J1485">
        <v>2</v>
      </c>
      <c r="L1485" t="s">
        <v>2709</v>
      </c>
      <c r="M1485">
        <v>26100010</v>
      </c>
      <c r="O1485" t="s">
        <v>19447</v>
      </c>
      <c r="P1485" t="s">
        <v>19899</v>
      </c>
      <c r="Q1485" t="s">
        <v>19900</v>
      </c>
      <c r="R1485" t="s">
        <v>19905</v>
      </c>
      <c r="S1485" t="s">
        <v>19906</v>
      </c>
      <c r="T1485" t="s">
        <v>19901</v>
      </c>
    </row>
    <row r="1486" spans="2:20" x14ac:dyDescent="0.25">
      <c r="B1486" t="s">
        <v>2709</v>
      </c>
      <c r="C1486">
        <v>26100090</v>
      </c>
      <c r="E1486" t="s">
        <v>19447</v>
      </c>
      <c r="F1486">
        <v>18</v>
      </c>
      <c r="G1486">
        <v>0</v>
      </c>
      <c r="H1486">
        <v>7.6</v>
      </c>
      <c r="I1486">
        <v>1.65</v>
      </c>
      <c r="J1486">
        <v>2</v>
      </c>
      <c r="L1486" t="s">
        <v>2709</v>
      </c>
      <c r="M1486">
        <v>26100090</v>
      </c>
      <c r="O1486" t="s">
        <v>19447</v>
      </c>
      <c r="P1486" t="s">
        <v>19899</v>
      </c>
      <c r="Q1486" t="s">
        <v>19900</v>
      </c>
      <c r="R1486" t="s">
        <v>19905</v>
      </c>
      <c r="S1486" t="s">
        <v>19906</v>
      </c>
      <c r="T1486" t="s">
        <v>19901</v>
      </c>
    </row>
    <row r="1487" spans="2:20" x14ac:dyDescent="0.25">
      <c r="B1487" t="s">
        <v>2709</v>
      </c>
      <c r="C1487">
        <v>26110000</v>
      </c>
      <c r="E1487" t="s">
        <v>19447</v>
      </c>
      <c r="F1487">
        <v>18</v>
      </c>
      <c r="G1487">
        <v>0</v>
      </c>
      <c r="H1487">
        <v>7.6</v>
      </c>
      <c r="I1487">
        <v>1.65</v>
      </c>
      <c r="J1487">
        <v>2</v>
      </c>
      <c r="L1487" t="s">
        <v>2709</v>
      </c>
      <c r="M1487">
        <v>26110000</v>
      </c>
      <c r="O1487" t="s">
        <v>19447</v>
      </c>
      <c r="P1487" t="s">
        <v>19899</v>
      </c>
      <c r="Q1487" t="s">
        <v>19900</v>
      </c>
      <c r="R1487" t="s">
        <v>19905</v>
      </c>
      <c r="S1487" t="s">
        <v>19906</v>
      </c>
      <c r="T1487" t="s">
        <v>19901</v>
      </c>
    </row>
    <row r="1488" spans="2:20" x14ac:dyDescent="0.25">
      <c r="B1488" t="s">
        <v>2709</v>
      </c>
      <c r="C1488">
        <v>26121000</v>
      </c>
      <c r="E1488" t="s">
        <v>19447</v>
      </c>
      <c r="F1488">
        <v>18</v>
      </c>
      <c r="G1488">
        <v>0</v>
      </c>
      <c r="H1488">
        <v>7.6</v>
      </c>
      <c r="I1488">
        <v>1.65</v>
      </c>
      <c r="J1488">
        <v>4</v>
      </c>
      <c r="L1488" t="s">
        <v>2709</v>
      </c>
      <c r="M1488">
        <v>26121000</v>
      </c>
      <c r="O1488" t="s">
        <v>19447</v>
      </c>
      <c r="P1488" t="s">
        <v>19899</v>
      </c>
      <c r="Q1488" t="s">
        <v>19900</v>
      </c>
      <c r="R1488" t="s">
        <v>19905</v>
      </c>
      <c r="S1488" t="s">
        <v>19906</v>
      </c>
      <c r="T1488" t="s">
        <v>19902</v>
      </c>
    </row>
    <row r="1489" spans="2:20" x14ac:dyDescent="0.25">
      <c r="B1489" t="s">
        <v>2709</v>
      </c>
      <c r="C1489">
        <v>26122000</v>
      </c>
      <c r="E1489" t="s">
        <v>19447</v>
      </c>
      <c r="F1489">
        <v>18</v>
      </c>
      <c r="G1489">
        <v>0</v>
      </c>
      <c r="H1489">
        <v>7.6</v>
      </c>
      <c r="I1489">
        <v>1.65</v>
      </c>
      <c r="J1489">
        <v>4</v>
      </c>
      <c r="L1489" t="s">
        <v>2709</v>
      </c>
      <c r="M1489">
        <v>26122000</v>
      </c>
      <c r="O1489" t="s">
        <v>19447</v>
      </c>
      <c r="P1489" t="s">
        <v>19899</v>
      </c>
      <c r="Q1489" t="s">
        <v>19900</v>
      </c>
      <c r="R1489" t="s">
        <v>19905</v>
      </c>
      <c r="S1489" t="s">
        <v>19906</v>
      </c>
      <c r="T1489" t="s">
        <v>19902</v>
      </c>
    </row>
    <row r="1490" spans="2:20" x14ac:dyDescent="0.25">
      <c r="B1490" t="s">
        <v>2709</v>
      </c>
      <c r="C1490">
        <v>26131010</v>
      </c>
      <c r="E1490" t="s">
        <v>19447</v>
      </c>
      <c r="F1490">
        <v>18</v>
      </c>
      <c r="G1490">
        <v>0</v>
      </c>
      <c r="H1490">
        <v>7.6</v>
      </c>
      <c r="I1490">
        <v>1.65</v>
      </c>
      <c r="J1490">
        <v>2</v>
      </c>
      <c r="L1490" t="s">
        <v>2709</v>
      </c>
      <c r="M1490">
        <v>26131010</v>
      </c>
      <c r="O1490" t="s">
        <v>19447</v>
      </c>
      <c r="P1490" t="s">
        <v>19899</v>
      </c>
      <c r="Q1490" t="s">
        <v>19900</v>
      </c>
      <c r="R1490" t="s">
        <v>19905</v>
      </c>
      <c r="S1490" t="s">
        <v>19906</v>
      </c>
      <c r="T1490" t="s">
        <v>19901</v>
      </c>
    </row>
    <row r="1491" spans="2:20" x14ac:dyDescent="0.25">
      <c r="B1491" t="s">
        <v>2709</v>
      </c>
      <c r="C1491">
        <v>26131090</v>
      </c>
      <c r="E1491" t="s">
        <v>19447</v>
      </c>
      <c r="F1491">
        <v>18</v>
      </c>
      <c r="G1491">
        <v>0</v>
      </c>
      <c r="H1491">
        <v>7.6</v>
      </c>
      <c r="I1491">
        <v>1.65</v>
      </c>
      <c r="J1491">
        <v>2</v>
      </c>
      <c r="L1491" t="s">
        <v>2709</v>
      </c>
      <c r="M1491">
        <v>26131090</v>
      </c>
      <c r="O1491" t="s">
        <v>19447</v>
      </c>
      <c r="P1491" t="s">
        <v>19899</v>
      </c>
      <c r="Q1491" t="s">
        <v>19900</v>
      </c>
      <c r="R1491" t="s">
        <v>19905</v>
      </c>
      <c r="S1491" t="s">
        <v>19906</v>
      </c>
      <c r="T1491" t="s">
        <v>19901</v>
      </c>
    </row>
    <row r="1492" spans="2:20" x14ac:dyDescent="0.25">
      <c r="B1492" t="s">
        <v>2709</v>
      </c>
      <c r="C1492">
        <v>26139010</v>
      </c>
      <c r="E1492" t="s">
        <v>19447</v>
      </c>
      <c r="F1492">
        <v>18</v>
      </c>
      <c r="G1492">
        <v>0</v>
      </c>
      <c r="H1492">
        <v>7.6</v>
      </c>
      <c r="I1492">
        <v>1.65</v>
      </c>
      <c r="J1492">
        <v>2</v>
      </c>
      <c r="L1492" t="s">
        <v>2709</v>
      </c>
      <c r="M1492">
        <v>26139010</v>
      </c>
      <c r="O1492" t="s">
        <v>19447</v>
      </c>
      <c r="P1492" t="s">
        <v>19899</v>
      </c>
      <c r="Q1492" t="s">
        <v>19900</v>
      </c>
      <c r="R1492" t="s">
        <v>19905</v>
      </c>
      <c r="S1492" t="s">
        <v>19906</v>
      </c>
      <c r="T1492" t="s">
        <v>19901</v>
      </c>
    </row>
    <row r="1493" spans="2:20" x14ac:dyDescent="0.25">
      <c r="B1493" t="s">
        <v>2709</v>
      </c>
      <c r="C1493">
        <v>26139090</v>
      </c>
      <c r="E1493" t="s">
        <v>19447</v>
      </c>
      <c r="F1493">
        <v>18</v>
      </c>
      <c r="G1493">
        <v>0</v>
      </c>
      <c r="H1493">
        <v>7.6</v>
      </c>
      <c r="I1493">
        <v>1.65</v>
      </c>
      <c r="J1493">
        <v>2</v>
      </c>
      <c r="L1493" t="s">
        <v>2709</v>
      </c>
      <c r="M1493">
        <v>26139090</v>
      </c>
      <c r="O1493" t="s">
        <v>19447</v>
      </c>
      <c r="P1493" t="s">
        <v>19899</v>
      </c>
      <c r="Q1493" t="s">
        <v>19900</v>
      </c>
      <c r="R1493" t="s">
        <v>19905</v>
      </c>
      <c r="S1493" t="s">
        <v>19906</v>
      </c>
      <c r="T1493" t="s">
        <v>19901</v>
      </c>
    </row>
    <row r="1494" spans="2:20" x14ac:dyDescent="0.25">
      <c r="B1494" t="s">
        <v>2709</v>
      </c>
      <c r="C1494">
        <v>26140010</v>
      </c>
      <c r="E1494" t="s">
        <v>19447</v>
      </c>
      <c r="F1494">
        <v>18</v>
      </c>
      <c r="G1494">
        <v>0</v>
      </c>
      <c r="H1494">
        <v>7.6</v>
      </c>
      <c r="I1494">
        <v>1.65</v>
      </c>
      <c r="J1494">
        <v>2</v>
      </c>
      <c r="L1494" t="s">
        <v>2709</v>
      </c>
      <c r="M1494">
        <v>26140010</v>
      </c>
      <c r="O1494" t="s">
        <v>19447</v>
      </c>
      <c r="P1494" t="s">
        <v>19899</v>
      </c>
      <c r="Q1494" t="s">
        <v>19900</v>
      </c>
      <c r="R1494" t="s">
        <v>19905</v>
      </c>
      <c r="S1494" t="s">
        <v>19906</v>
      </c>
      <c r="T1494" t="s">
        <v>19901</v>
      </c>
    </row>
    <row r="1495" spans="2:20" x14ac:dyDescent="0.25">
      <c r="B1495" t="s">
        <v>2709</v>
      </c>
      <c r="C1495">
        <v>26140090</v>
      </c>
      <c r="E1495" t="s">
        <v>19447</v>
      </c>
      <c r="F1495">
        <v>18</v>
      </c>
      <c r="G1495">
        <v>0</v>
      </c>
      <c r="H1495">
        <v>7.6</v>
      </c>
      <c r="I1495">
        <v>1.65</v>
      </c>
      <c r="J1495">
        <v>2</v>
      </c>
      <c r="L1495" t="s">
        <v>2709</v>
      </c>
      <c r="M1495">
        <v>26140090</v>
      </c>
      <c r="O1495" t="s">
        <v>19447</v>
      </c>
      <c r="P1495" t="s">
        <v>19899</v>
      </c>
      <c r="Q1495" t="s">
        <v>19900</v>
      </c>
      <c r="R1495" t="s">
        <v>19905</v>
      </c>
      <c r="S1495" t="s">
        <v>19906</v>
      </c>
      <c r="T1495" t="s">
        <v>19901</v>
      </c>
    </row>
    <row r="1496" spans="2:20" x14ac:dyDescent="0.25">
      <c r="B1496" t="s">
        <v>2709</v>
      </c>
      <c r="C1496">
        <v>26151010</v>
      </c>
      <c r="E1496" t="s">
        <v>19447</v>
      </c>
      <c r="F1496">
        <v>18</v>
      </c>
      <c r="G1496">
        <v>0</v>
      </c>
      <c r="H1496">
        <v>7.6</v>
      </c>
      <c r="I1496">
        <v>1.65</v>
      </c>
      <c r="J1496">
        <v>2</v>
      </c>
      <c r="L1496" t="s">
        <v>2709</v>
      </c>
      <c r="M1496">
        <v>26151010</v>
      </c>
      <c r="O1496" t="s">
        <v>19447</v>
      </c>
      <c r="P1496" t="s">
        <v>19899</v>
      </c>
      <c r="Q1496" t="s">
        <v>19900</v>
      </c>
      <c r="R1496" t="s">
        <v>19905</v>
      </c>
      <c r="S1496" t="s">
        <v>19906</v>
      </c>
      <c r="T1496" t="s">
        <v>19901</v>
      </c>
    </row>
    <row r="1497" spans="2:20" x14ac:dyDescent="0.25">
      <c r="B1497" t="s">
        <v>2709</v>
      </c>
      <c r="C1497">
        <v>26151020</v>
      </c>
      <c r="E1497" t="s">
        <v>19447</v>
      </c>
      <c r="F1497">
        <v>18</v>
      </c>
      <c r="G1497">
        <v>0</v>
      </c>
      <c r="H1497">
        <v>7.6</v>
      </c>
      <c r="I1497">
        <v>1.65</v>
      </c>
      <c r="J1497">
        <v>2</v>
      </c>
      <c r="L1497" t="s">
        <v>2709</v>
      </c>
      <c r="M1497">
        <v>26151020</v>
      </c>
      <c r="O1497" t="s">
        <v>19447</v>
      </c>
      <c r="P1497" t="s">
        <v>19899</v>
      </c>
      <c r="Q1497" t="s">
        <v>19900</v>
      </c>
      <c r="R1497" t="s">
        <v>19905</v>
      </c>
      <c r="S1497" t="s">
        <v>19906</v>
      </c>
      <c r="T1497" t="s">
        <v>19901</v>
      </c>
    </row>
    <row r="1498" spans="2:20" x14ac:dyDescent="0.25">
      <c r="B1498" t="s">
        <v>2709</v>
      </c>
      <c r="C1498">
        <v>26151090</v>
      </c>
      <c r="E1498" t="s">
        <v>19447</v>
      </c>
      <c r="F1498">
        <v>18</v>
      </c>
      <c r="G1498">
        <v>0</v>
      </c>
      <c r="H1498">
        <v>7.6</v>
      </c>
      <c r="I1498">
        <v>1.65</v>
      </c>
      <c r="J1498">
        <v>2</v>
      </c>
      <c r="L1498" t="s">
        <v>2709</v>
      </c>
      <c r="M1498">
        <v>26151090</v>
      </c>
      <c r="O1498" t="s">
        <v>19447</v>
      </c>
      <c r="P1498" t="s">
        <v>19899</v>
      </c>
      <c r="Q1498" t="s">
        <v>19900</v>
      </c>
      <c r="R1498" t="s">
        <v>19905</v>
      </c>
      <c r="S1498" t="s">
        <v>19906</v>
      </c>
      <c r="T1498" t="s">
        <v>19901</v>
      </c>
    </row>
    <row r="1499" spans="2:20" x14ac:dyDescent="0.25">
      <c r="B1499" t="s">
        <v>2709</v>
      </c>
      <c r="C1499">
        <v>26159000</v>
      </c>
      <c r="E1499" t="s">
        <v>19447</v>
      </c>
      <c r="F1499">
        <v>18</v>
      </c>
      <c r="G1499">
        <v>0</v>
      </c>
      <c r="H1499">
        <v>7.6</v>
      </c>
      <c r="I1499">
        <v>1.65</v>
      </c>
      <c r="J1499">
        <v>2</v>
      </c>
      <c r="L1499" t="s">
        <v>2709</v>
      </c>
      <c r="M1499">
        <v>26159000</v>
      </c>
      <c r="O1499" t="s">
        <v>19447</v>
      </c>
      <c r="P1499" t="s">
        <v>19899</v>
      </c>
      <c r="Q1499" t="s">
        <v>19900</v>
      </c>
      <c r="R1499" t="s">
        <v>19905</v>
      </c>
      <c r="S1499" t="s">
        <v>19906</v>
      </c>
      <c r="T1499" t="s">
        <v>19901</v>
      </c>
    </row>
    <row r="1500" spans="2:20" x14ac:dyDescent="0.25">
      <c r="B1500" t="s">
        <v>2709</v>
      </c>
      <c r="C1500">
        <v>26161000</v>
      </c>
      <c r="E1500" t="s">
        <v>19447</v>
      </c>
      <c r="F1500">
        <v>18</v>
      </c>
      <c r="G1500">
        <v>0</v>
      </c>
      <c r="H1500">
        <v>7.6</v>
      </c>
      <c r="I1500">
        <v>1.65</v>
      </c>
      <c r="J1500">
        <v>2</v>
      </c>
      <c r="L1500" t="s">
        <v>2709</v>
      </c>
      <c r="M1500">
        <v>26161000</v>
      </c>
      <c r="O1500" t="s">
        <v>19447</v>
      </c>
      <c r="P1500" t="s">
        <v>19899</v>
      </c>
      <c r="Q1500" t="s">
        <v>19900</v>
      </c>
      <c r="R1500" t="s">
        <v>19905</v>
      </c>
      <c r="S1500" t="s">
        <v>19906</v>
      </c>
      <c r="T1500" t="s">
        <v>19901</v>
      </c>
    </row>
    <row r="1501" spans="2:20" x14ac:dyDescent="0.25">
      <c r="B1501" t="s">
        <v>2709</v>
      </c>
      <c r="C1501">
        <v>26169000</v>
      </c>
      <c r="E1501" t="s">
        <v>19447</v>
      </c>
      <c r="F1501">
        <v>18</v>
      </c>
      <c r="G1501">
        <v>0</v>
      </c>
      <c r="H1501">
        <v>7.6</v>
      </c>
      <c r="I1501">
        <v>1.65</v>
      </c>
      <c r="J1501">
        <v>4</v>
      </c>
      <c r="L1501" t="s">
        <v>2709</v>
      </c>
      <c r="M1501">
        <v>26169000</v>
      </c>
      <c r="O1501" t="s">
        <v>19447</v>
      </c>
      <c r="P1501" t="s">
        <v>19899</v>
      </c>
      <c r="Q1501" t="s">
        <v>19900</v>
      </c>
      <c r="R1501" t="s">
        <v>19905</v>
      </c>
      <c r="S1501" t="s">
        <v>19906</v>
      </c>
      <c r="T1501" t="s">
        <v>19902</v>
      </c>
    </row>
    <row r="1502" spans="2:20" x14ac:dyDescent="0.25">
      <c r="B1502" t="s">
        <v>2709</v>
      </c>
      <c r="C1502">
        <v>26171000</v>
      </c>
      <c r="E1502" t="s">
        <v>19447</v>
      </c>
      <c r="F1502">
        <v>18</v>
      </c>
      <c r="G1502">
        <v>0</v>
      </c>
      <c r="H1502">
        <v>7.6</v>
      </c>
      <c r="I1502">
        <v>1.65</v>
      </c>
      <c r="J1502">
        <v>2</v>
      </c>
      <c r="L1502" t="s">
        <v>2709</v>
      </c>
      <c r="M1502">
        <v>26171000</v>
      </c>
      <c r="O1502" t="s">
        <v>19447</v>
      </c>
      <c r="P1502" t="s">
        <v>19899</v>
      </c>
      <c r="Q1502" t="s">
        <v>19900</v>
      </c>
      <c r="R1502" t="s">
        <v>19905</v>
      </c>
      <c r="S1502" t="s">
        <v>19906</v>
      </c>
      <c r="T1502" t="s">
        <v>19901</v>
      </c>
    </row>
    <row r="1503" spans="2:20" x14ac:dyDescent="0.25">
      <c r="B1503" t="s">
        <v>2709</v>
      </c>
      <c r="C1503">
        <v>26179000</v>
      </c>
      <c r="E1503" t="s">
        <v>19447</v>
      </c>
      <c r="F1503">
        <v>18</v>
      </c>
      <c r="G1503">
        <v>0</v>
      </c>
      <c r="H1503">
        <v>7.6</v>
      </c>
      <c r="I1503">
        <v>1.65</v>
      </c>
      <c r="J1503">
        <v>2</v>
      </c>
      <c r="L1503" t="s">
        <v>2709</v>
      </c>
      <c r="M1503">
        <v>26179000</v>
      </c>
      <c r="O1503" t="s">
        <v>19447</v>
      </c>
      <c r="P1503" t="s">
        <v>19899</v>
      </c>
      <c r="Q1503" t="s">
        <v>19900</v>
      </c>
      <c r="R1503" t="s">
        <v>19905</v>
      </c>
      <c r="S1503" t="s">
        <v>19906</v>
      </c>
      <c r="T1503" t="s">
        <v>19901</v>
      </c>
    </row>
    <row r="1504" spans="2:20" x14ac:dyDescent="0.25">
      <c r="B1504" t="s">
        <v>2709</v>
      </c>
      <c r="C1504">
        <v>26180000</v>
      </c>
      <c r="E1504" t="s">
        <v>19447</v>
      </c>
      <c r="F1504">
        <v>18</v>
      </c>
      <c r="G1504">
        <v>0</v>
      </c>
      <c r="H1504">
        <v>7.6</v>
      </c>
      <c r="I1504">
        <v>1.65</v>
      </c>
      <c r="J1504">
        <v>4</v>
      </c>
      <c r="L1504" t="s">
        <v>2709</v>
      </c>
      <c r="M1504">
        <v>26180000</v>
      </c>
      <c r="O1504" t="s">
        <v>19447</v>
      </c>
      <c r="P1504" t="s">
        <v>19899</v>
      </c>
      <c r="Q1504" t="s">
        <v>19900</v>
      </c>
      <c r="R1504" t="s">
        <v>19905</v>
      </c>
      <c r="S1504" t="s">
        <v>19906</v>
      </c>
      <c r="T1504" t="s">
        <v>19902</v>
      </c>
    </row>
    <row r="1505" spans="2:20" x14ac:dyDescent="0.25">
      <c r="B1505" t="s">
        <v>2709</v>
      </c>
      <c r="C1505">
        <v>26190000</v>
      </c>
      <c r="E1505" t="s">
        <v>19447</v>
      </c>
      <c r="F1505">
        <v>18</v>
      </c>
      <c r="G1505">
        <v>0</v>
      </c>
      <c r="H1505">
        <v>7.6</v>
      </c>
      <c r="I1505">
        <v>1.65</v>
      </c>
      <c r="J1505">
        <v>4</v>
      </c>
      <c r="L1505" t="s">
        <v>2709</v>
      </c>
      <c r="M1505">
        <v>26190000</v>
      </c>
      <c r="O1505" t="s">
        <v>19447</v>
      </c>
      <c r="P1505" t="s">
        <v>19899</v>
      </c>
      <c r="Q1505" t="s">
        <v>19900</v>
      </c>
      <c r="R1505" t="s">
        <v>19905</v>
      </c>
      <c r="S1505" t="s">
        <v>19906</v>
      </c>
      <c r="T1505" t="s">
        <v>19902</v>
      </c>
    </row>
    <row r="1506" spans="2:20" x14ac:dyDescent="0.25">
      <c r="B1506" t="s">
        <v>2709</v>
      </c>
      <c r="C1506">
        <v>26201100</v>
      </c>
      <c r="E1506" t="s">
        <v>19447</v>
      </c>
      <c r="F1506">
        <v>18</v>
      </c>
      <c r="G1506">
        <v>0</v>
      </c>
      <c r="H1506">
        <v>7.6</v>
      </c>
      <c r="I1506">
        <v>1.65</v>
      </c>
      <c r="J1506">
        <v>4</v>
      </c>
      <c r="L1506" t="s">
        <v>2709</v>
      </c>
      <c r="M1506">
        <v>26201100</v>
      </c>
      <c r="O1506" t="s">
        <v>19447</v>
      </c>
      <c r="P1506" t="s">
        <v>19899</v>
      </c>
      <c r="Q1506" t="s">
        <v>19900</v>
      </c>
      <c r="R1506" t="s">
        <v>19905</v>
      </c>
      <c r="S1506" t="s">
        <v>19906</v>
      </c>
      <c r="T1506" t="s">
        <v>19902</v>
      </c>
    </row>
    <row r="1507" spans="2:20" x14ac:dyDescent="0.25">
      <c r="B1507" t="s">
        <v>2709</v>
      </c>
      <c r="C1507">
        <v>26201900</v>
      </c>
      <c r="E1507" t="s">
        <v>19447</v>
      </c>
      <c r="F1507">
        <v>18</v>
      </c>
      <c r="G1507">
        <v>0</v>
      </c>
      <c r="H1507">
        <v>7.6</v>
      </c>
      <c r="I1507">
        <v>1.65</v>
      </c>
      <c r="J1507">
        <v>4</v>
      </c>
      <c r="L1507" t="s">
        <v>2709</v>
      </c>
      <c r="M1507">
        <v>26201900</v>
      </c>
      <c r="O1507" t="s">
        <v>19447</v>
      </c>
      <c r="P1507" t="s">
        <v>19899</v>
      </c>
      <c r="Q1507" t="s">
        <v>19900</v>
      </c>
      <c r="R1507" t="s">
        <v>19905</v>
      </c>
      <c r="S1507" t="s">
        <v>19906</v>
      </c>
      <c r="T1507" t="s">
        <v>19902</v>
      </c>
    </row>
    <row r="1508" spans="2:20" x14ac:dyDescent="0.25">
      <c r="B1508" t="s">
        <v>2709</v>
      </c>
      <c r="C1508">
        <v>26202100</v>
      </c>
      <c r="E1508" t="s">
        <v>19447</v>
      </c>
      <c r="F1508">
        <v>18</v>
      </c>
      <c r="G1508">
        <v>0</v>
      </c>
      <c r="H1508">
        <v>7.6</v>
      </c>
      <c r="I1508">
        <v>1.65</v>
      </c>
      <c r="J1508">
        <v>4</v>
      </c>
      <c r="L1508" t="s">
        <v>2709</v>
      </c>
      <c r="M1508">
        <v>26202100</v>
      </c>
      <c r="O1508" t="s">
        <v>19447</v>
      </c>
      <c r="P1508" t="s">
        <v>19899</v>
      </c>
      <c r="Q1508" t="s">
        <v>19900</v>
      </c>
      <c r="R1508" t="s">
        <v>19905</v>
      </c>
      <c r="S1508" t="s">
        <v>19906</v>
      </c>
      <c r="T1508" t="s">
        <v>19902</v>
      </c>
    </row>
    <row r="1509" spans="2:20" x14ac:dyDescent="0.25">
      <c r="B1509" t="s">
        <v>2709</v>
      </c>
      <c r="C1509">
        <v>26202900</v>
      </c>
      <c r="E1509" t="s">
        <v>19447</v>
      </c>
      <c r="F1509">
        <v>18</v>
      </c>
      <c r="G1509">
        <v>0</v>
      </c>
      <c r="H1509">
        <v>7.6</v>
      </c>
      <c r="I1509">
        <v>1.65</v>
      </c>
      <c r="J1509">
        <v>4</v>
      </c>
      <c r="L1509" t="s">
        <v>2709</v>
      </c>
      <c r="M1509">
        <v>26202900</v>
      </c>
      <c r="O1509" t="s">
        <v>19447</v>
      </c>
      <c r="P1509" t="s">
        <v>19899</v>
      </c>
      <c r="Q1509" t="s">
        <v>19900</v>
      </c>
      <c r="R1509" t="s">
        <v>19905</v>
      </c>
      <c r="S1509" t="s">
        <v>19906</v>
      </c>
      <c r="T1509" t="s">
        <v>19902</v>
      </c>
    </row>
    <row r="1510" spans="2:20" x14ac:dyDescent="0.25">
      <c r="B1510" t="s">
        <v>2709</v>
      </c>
      <c r="C1510">
        <v>26203000</v>
      </c>
      <c r="E1510" t="s">
        <v>19447</v>
      </c>
      <c r="F1510">
        <v>18</v>
      </c>
      <c r="G1510">
        <v>0</v>
      </c>
      <c r="H1510">
        <v>7.6</v>
      </c>
      <c r="I1510">
        <v>1.65</v>
      </c>
      <c r="J1510">
        <v>4</v>
      </c>
      <c r="L1510" t="s">
        <v>2709</v>
      </c>
      <c r="M1510">
        <v>26203000</v>
      </c>
      <c r="O1510" t="s">
        <v>19447</v>
      </c>
      <c r="P1510" t="s">
        <v>19899</v>
      </c>
      <c r="Q1510" t="s">
        <v>19900</v>
      </c>
      <c r="R1510" t="s">
        <v>19905</v>
      </c>
      <c r="S1510" t="s">
        <v>19906</v>
      </c>
      <c r="T1510" t="s">
        <v>19902</v>
      </c>
    </row>
    <row r="1511" spans="2:20" x14ac:dyDescent="0.25">
      <c r="B1511" t="s">
        <v>2709</v>
      </c>
      <c r="C1511">
        <v>26204000</v>
      </c>
      <c r="E1511" t="s">
        <v>19447</v>
      </c>
      <c r="F1511">
        <v>18</v>
      </c>
      <c r="G1511">
        <v>0</v>
      </c>
      <c r="H1511">
        <v>7.6</v>
      </c>
      <c r="I1511">
        <v>1.65</v>
      </c>
      <c r="J1511">
        <v>4</v>
      </c>
      <c r="L1511" t="s">
        <v>2709</v>
      </c>
      <c r="M1511">
        <v>26204000</v>
      </c>
      <c r="O1511" t="s">
        <v>19447</v>
      </c>
      <c r="P1511" t="s">
        <v>19899</v>
      </c>
      <c r="Q1511" t="s">
        <v>19900</v>
      </c>
      <c r="R1511" t="s">
        <v>19905</v>
      </c>
      <c r="S1511" t="s">
        <v>19906</v>
      </c>
      <c r="T1511" t="s">
        <v>19902</v>
      </c>
    </row>
    <row r="1512" spans="2:20" x14ac:dyDescent="0.25">
      <c r="B1512" t="s">
        <v>2709</v>
      </c>
      <c r="C1512">
        <v>26206000</v>
      </c>
      <c r="E1512" t="s">
        <v>19447</v>
      </c>
      <c r="F1512">
        <v>18</v>
      </c>
      <c r="G1512">
        <v>0</v>
      </c>
      <c r="H1512">
        <v>7.6</v>
      </c>
      <c r="I1512">
        <v>1.65</v>
      </c>
      <c r="J1512">
        <v>4</v>
      </c>
      <c r="L1512" t="s">
        <v>2709</v>
      </c>
      <c r="M1512">
        <v>26206000</v>
      </c>
      <c r="O1512" t="s">
        <v>19447</v>
      </c>
      <c r="P1512" t="s">
        <v>19899</v>
      </c>
      <c r="Q1512" t="s">
        <v>19900</v>
      </c>
      <c r="R1512" t="s">
        <v>19905</v>
      </c>
      <c r="S1512" t="s">
        <v>19906</v>
      </c>
      <c r="T1512" t="s">
        <v>19902</v>
      </c>
    </row>
    <row r="1513" spans="2:20" x14ac:dyDescent="0.25">
      <c r="B1513" t="s">
        <v>2709</v>
      </c>
      <c r="C1513">
        <v>26209100</v>
      </c>
      <c r="E1513" t="s">
        <v>19447</v>
      </c>
      <c r="F1513">
        <v>18</v>
      </c>
      <c r="G1513">
        <v>0</v>
      </c>
      <c r="H1513">
        <v>7.6</v>
      </c>
      <c r="I1513">
        <v>1.65</v>
      </c>
      <c r="J1513">
        <v>4</v>
      </c>
      <c r="L1513" t="s">
        <v>2709</v>
      </c>
      <c r="M1513">
        <v>26209100</v>
      </c>
      <c r="O1513" t="s">
        <v>19447</v>
      </c>
      <c r="P1513" t="s">
        <v>19899</v>
      </c>
      <c r="Q1513" t="s">
        <v>19900</v>
      </c>
      <c r="R1513" t="s">
        <v>19905</v>
      </c>
      <c r="S1513" t="s">
        <v>19906</v>
      </c>
      <c r="T1513" t="s">
        <v>19902</v>
      </c>
    </row>
    <row r="1514" spans="2:20" x14ac:dyDescent="0.25">
      <c r="B1514" t="s">
        <v>2709</v>
      </c>
      <c r="C1514">
        <v>26209910</v>
      </c>
      <c r="E1514" t="s">
        <v>19447</v>
      </c>
      <c r="F1514">
        <v>18</v>
      </c>
      <c r="G1514">
        <v>0</v>
      </c>
      <c r="H1514">
        <v>7.6</v>
      </c>
      <c r="I1514">
        <v>1.65</v>
      </c>
      <c r="J1514">
        <v>2</v>
      </c>
      <c r="L1514" t="s">
        <v>2709</v>
      </c>
      <c r="M1514">
        <v>26209910</v>
      </c>
      <c r="O1514" t="s">
        <v>19447</v>
      </c>
      <c r="P1514" t="s">
        <v>19899</v>
      </c>
      <c r="Q1514" t="s">
        <v>19900</v>
      </c>
      <c r="R1514" t="s">
        <v>19905</v>
      </c>
      <c r="S1514" t="s">
        <v>19906</v>
      </c>
      <c r="T1514" t="s">
        <v>19901</v>
      </c>
    </row>
    <row r="1515" spans="2:20" x14ac:dyDescent="0.25">
      <c r="B1515" t="s">
        <v>2709</v>
      </c>
      <c r="C1515">
        <v>26209990</v>
      </c>
      <c r="E1515" t="s">
        <v>19447</v>
      </c>
      <c r="F1515">
        <v>18</v>
      </c>
      <c r="G1515">
        <v>0</v>
      </c>
      <c r="H1515">
        <v>7.6</v>
      </c>
      <c r="I1515">
        <v>1.65</v>
      </c>
      <c r="J1515">
        <v>4</v>
      </c>
      <c r="L1515" t="s">
        <v>2709</v>
      </c>
      <c r="M1515">
        <v>26209990</v>
      </c>
      <c r="O1515" t="s">
        <v>19447</v>
      </c>
      <c r="P1515" t="s">
        <v>19899</v>
      </c>
      <c r="Q1515" t="s">
        <v>19900</v>
      </c>
      <c r="R1515" t="s">
        <v>19905</v>
      </c>
      <c r="S1515" t="s">
        <v>19906</v>
      </c>
      <c r="T1515" t="s">
        <v>19902</v>
      </c>
    </row>
    <row r="1516" spans="2:20" x14ac:dyDescent="0.25">
      <c r="B1516" t="s">
        <v>2709</v>
      </c>
      <c r="C1516">
        <v>26211000</v>
      </c>
      <c r="E1516" t="s">
        <v>19447</v>
      </c>
      <c r="F1516">
        <v>18</v>
      </c>
      <c r="G1516">
        <v>0</v>
      </c>
      <c r="H1516">
        <v>7.6</v>
      </c>
      <c r="I1516">
        <v>1.65</v>
      </c>
      <c r="J1516">
        <v>4</v>
      </c>
      <c r="L1516" t="s">
        <v>2709</v>
      </c>
      <c r="M1516">
        <v>26211000</v>
      </c>
      <c r="O1516" t="s">
        <v>19447</v>
      </c>
      <c r="P1516" t="s">
        <v>19899</v>
      </c>
      <c r="Q1516" t="s">
        <v>19900</v>
      </c>
      <c r="R1516" t="s">
        <v>19905</v>
      </c>
      <c r="S1516" t="s">
        <v>19906</v>
      </c>
      <c r="T1516" t="s">
        <v>19902</v>
      </c>
    </row>
    <row r="1517" spans="2:20" x14ac:dyDescent="0.25">
      <c r="B1517" t="s">
        <v>2709</v>
      </c>
      <c r="C1517">
        <v>26219010</v>
      </c>
      <c r="E1517" t="s">
        <v>19447</v>
      </c>
      <c r="F1517">
        <v>18</v>
      </c>
      <c r="G1517">
        <v>0</v>
      </c>
      <c r="H1517">
        <v>7.6</v>
      </c>
      <c r="I1517">
        <v>1.65</v>
      </c>
      <c r="J1517">
        <v>4</v>
      </c>
      <c r="L1517" t="s">
        <v>2709</v>
      </c>
      <c r="M1517">
        <v>26219010</v>
      </c>
      <c r="O1517" t="s">
        <v>19447</v>
      </c>
      <c r="P1517" t="s">
        <v>19899</v>
      </c>
      <c r="Q1517" t="s">
        <v>19900</v>
      </c>
      <c r="R1517" t="s">
        <v>19905</v>
      </c>
      <c r="S1517" t="s">
        <v>19906</v>
      </c>
      <c r="T1517" t="s">
        <v>19902</v>
      </c>
    </row>
    <row r="1518" spans="2:20" x14ac:dyDescent="0.25">
      <c r="B1518" t="s">
        <v>2709</v>
      </c>
      <c r="C1518">
        <v>26219090</v>
      </c>
      <c r="E1518" t="s">
        <v>19447</v>
      </c>
      <c r="F1518">
        <v>18</v>
      </c>
      <c r="G1518">
        <v>0</v>
      </c>
      <c r="H1518">
        <v>7.6</v>
      </c>
      <c r="I1518">
        <v>1.65</v>
      </c>
      <c r="J1518">
        <v>4</v>
      </c>
      <c r="L1518" t="s">
        <v>2709</v>
      </c>
      <c r="M1518">
        <v>26219090</v>
      </c>
      <c r="O1518" t="s">
        <v>19447</v>
      </c>
      <c r="P1518" t="s">
        <v>19899</v>
      </c>
      <c r="Q1518" t="s">
        <v>19900</v>
      </c>
      <c r="R1518" t="s">
        <v>19905</v>
      </c>
      <c r="S1518" t="s">
        <v>19906</v>
      </c>
      <c r="T1518" t="s">
        <v>19902</v>
      </c>
    </row>
    <row r="1519" spans="2:20" x14ac:dyDescent="0.25">
      <c r="B1519" t="s">
        <v>2709</v>
      </c>
      <c r="C1519">
        <v>27011100</v>
      </c>
      <c r="E1519">
        <v>73.900000000000006</v>
      </c>
      <c r="F1519">
        <v>25</v>
      </c>
      <c r="G1519">
        <v>0</v>
      </c>
      <c r="H1519">
        <v>4.5999999999999996</v>
      </c>
      <c r="I1519">
        <v>1</v>
      </c>
      <c r="J1519">
        <v>0</v>
      </c>
      <c r="L1519" t="s">
        <v>2709</v>
      </c>
      <c r="M1519">
        <v>27011100</v>
      </c>
      <c r="O1519" t="s">
        <v>20004</v>
      </c>
      <c r="P1519" t="s">
        <v>19982</v>
      </c>
      <c r="Q1519" t="s">
        <v>19900</v>
      </c>
      <c r="R1519" t="s">
        <v>20005</v>
      </c>
      <c r="S1519" t="s">
        <v>20006</v>
      </c>
      <c r="T1519" t="s">
        <v>19900</v>
      </c>
    </row>
    <row r="1520" spans="2:20" x14ac:dyDescent="0.25">
      <c r="B1520" t="s">
        <v>2709</v>
      </c>
      <c r="C1520">
        <v>27011200</v>
      </c>
      <c r="E1520">
        <v>73.900000000000006</v>
      </c>
      <c r="F1520">
        <v>25</v>
      </c>
      <c r="G1520">
        <v>0</v>
      </c>
      <c r="H1520">
        <v>4.5999999999999996</v>
      </c>
      <c r="I1520">
        <v>1</v>
      </c>
      <c r="J1520">
        <v>0</v>
      </c>
      <c r="L1520" t="s">
        <v>2709</v>
      </c>
      <c r="M1520">
        <v>27011200</v>
      </c>
      <c r="O1520" t="s">
        <v>20004</v>
      </c>
      <c r="P1520" t="s">
        <v>19982</v>
      </c>
      <c r="Q1520" t="s">
        <v>19900</v>
      </c>
      <c r="R1520" t="s">
        <v>20005</v>
      </c>
      <c r="S1520" t="s">
        <v>20006</v>
      </c>
      <c r="T1520" t="s">
        <v>19900</v>
      </c>
    </row>
    <row r="1521" spans="2:20" x14ac:dyDescent="0.25">
      <c r="B1521" t="s">
        <v>2709</v>
      </c>
      <c r="C1521">
        <v>27011900</v>
      </c>
      <c r="E1521">
        <v>73.900000000000006</v>
      </c>
      <c r="F1521">
        <v>25</v>
      </c>
      <c r="G1521">
        <v>0</v>
      </c>
      <c r="H1521">
        <v>4.5999999999999996</v>
      </c>
      <c r="I1521">
        <v>1</v>
      </c>
      <c r="J1521">
        <v>0</v>
      </c>
      <c r="L1521" t="s">
        <v>2709</v>
      </c>
      <c r="M1521">
        <v>27011900</v>
      </c>
      <c r="O1521" t="s">
        <v>20004</v>
      </c>
      <c r="P1521" t="s">
        <v>19982</v>
      </c>
      <c r="Q1521" t="s">
        <v>19900</v>
      </c>
      <c r="R1521" t="s">
        <v>20005</v>
      </c>
      <c r="S1521" t="s">
        <v>20006</v>
      </c>
      <c r="T1521" t="s">
        <v>19900</v>
      </c>
    </row>
    <row r="1522" spans="2:20" x14ac:dyDescent="0.25">
      <c r="B1522" t="s">
        <v>2709</v>
      </c>
      <c r="C1522">
        <v>27012000</v>
      </c>
      <c r="E1522">
        <v>73.900000000000006</v>
      </c>
      <c r="F1522">
        <v>25</v>
      </c>
      <c r="G1522">
        <v>0</v>
      </c>
      <c r="H1522">
        <v>4.5999999999999996</v>
      </c>
      <c r="I1522">
        <v>1</v>
      </c>
      <c r="J1522">
        <v>0</v>
      </c>
      <c r="L1522" t="s">
        <v>2709</v>
      </c>
      <c r="M1522">
        <v>27012000</v>
      </c>
      <c r="O1522" t="s">
        <v>20004</v>
      </c>
      <c r="P1522" t="s">
        <v>19982</v>
      </c>
      <c r="Q1522" t="s">
        <v>19900</v>
      </c>
      <c r="R1522" t="s">
        <v>20005</v>
      </c>
      <c r="S1522" t="s">
        <v>20006</v>
      </c>
      <c r="T1522" t="s">
        <v>19900</v>
      </c>
    </row>
    <row r="1523" spans="2:20" x14ac:dyDescent="0.25">
      <c r="B1523" t="s">
        <v>2709</v>
      </c>
      <c r="C1523">
        <v>27021000</v>
      </c>
      <c r="E1523">
        <v>73.900000000000006</v>
      </c>
      <c r="F1523">
        <v>25</v>
      </c>
      <c r="G1523">
        <v>0</v>
      </c>
      <c r="H1523">
        <v>4.5999999999999996</v>
      </c>
      <c r="I1523">
        <v>1</v>
      </c>
      <c r="J1523">
        <v>0</v>
      </c>
      <c r="L1523" t="s">
        <v>2709</v>
      </c>
      <c r="M1523">
        <v>27021000</v>
      </c>
      <c r="O1523" t="s">
        <v>20004</v>
      </c>
      <c r="P1523" t="s">
        <v>19982</v>
      </c>
      <c r="Q1523" t="s">
        <v>19900</v>
      </c>
      <c r="R1523" t="s">
        <v>20005</v>
      </c>
      <c r="S1523" t="s">
        <v>20006</v>
      </c>
      <c r="T1523" t="s">
        <v>19900</v>
      </c>
    </row>
    <row r="1524" spans="2:20" x14ac:dyDescent="0.25">
      <c r="B1524" t="s">
        <v>2709</v>
      </c>
      <c r="C1524">
        <v>27022000</v>
      </c>
      <c r="E1524">
        <v>73.900000000000006</v>
      </c>
      <c r="F1524">
        <v>25</v>
      </c>
      <c r="G1524">
        <v>0</v>
      </c>
      <c r="H1524">
        <v>4.5999999999999996</v>
      </c>
      <c r="I1524">
        <v>1</v>
      </c>
      <c r="J1524">
        <v>0</v>
      </c>
      <c r="L1524" t="s">
        <v>2709</v>
      </c>
      <c r="M1524">
        <v>27022000</v>
      </c>
      <c r="O1524" t="s">
        <v>20004</v>
      </c>
      <c r="P1524" t="s">
        <v>19982</v>
      </c>
      <c r="Q1524" t="s">
        <v>19900</v>
      </c>
      <c r="R1524" t="s">
        <v>20005</v>
      </c>
      <c r="S1524" t="s">
        <v>20006</v>
      </c>
      <c r="T1524" t="s">
        <v>19900</v>
      </c>
    </row>
    <row r="1525" spans="2:20" x14ac:dyDescent="0.25">
      <c r="B1525" t="s">
        <v>2709</v>
      </c>
      <c r="C1525">
        <v>27030000</v>
      </c>
      <c r="E1525">
        <v>73.900000000000006</v>
      </c>
      <c r="F1525">
        <v>16.25</v>
      </c>
      <c r="G1525">
        <v>0</v>
      </c>
      <c r="H1525">
        <v>4.5999999999999996</v>
      </c>
      <c r="I1525">
        <v>1</v>
      </c>
      <c r="J1525">
        <v>0</v>
      </c>
      <c r="L1525" t="s">
        <v>2709</v>
      </c>
      <c r="M1525">
        <v>27030000</v>
      </c>
      <c r="O1525" t="s">
        <v>20004</v>
      </c>
      <c r="P1525" t="s">
        <v>20007</v>
      </c>
      <c r="Q1525" t="s">
        <v>19900</v>
      </c>
      <c r="R1525" t="s">
        <v>20005</v>
      </c>
      <c r="S1525" t="s">
        <v>20006</v>
      </c>
      <c r="T1525" t="s">
        <v>19900</v>
      </c>
    </row>
    <row r="1526" spans="2:20" x14ac:dyDescent="0.25">
      <c r="B1526" t="s">
        <v>2709</v>
      </c>
      <c r="C1526">
        <v>27040010</v>
      </c>
      <c r="E1526">
        <v>73.900000000000006</v>
      </c>
      <c r="F1526">
        <v>25</v>
      </c>
      <c r="G1526">
        <v>0</v>
      </c>
      <c r="H1526">
        <v>4.5999999999999996</v>
      </c>
      <c r="I1526">
        <v>1</v>
      </c>
      <c r="J1526">
        <v>0</v>
      </c>
      <c r="L1526" t="s">
        <v>2709</v>
      </c>
      <c r="M1526">
        <v>27040010</v>
      </c>
      <c r="O1526" t="s">
        <v>20004</v>
      </c>
      <c r="P1526" t="s">
        <v>19982</v>
      </c>
      <c r="Q1526" t="s">
        <v>19900</v>
      </c>
      <c r="R1526" t="s">
        <v>20005</v>
      </c>
      <c r="S1526" t="s">
        <v>20006</v>
      </c>
      <c r="T1526" t="s">
        <v>19900</v>
      </c>
    </row>
    <row r="1527" spans="2:20" x14ac:dyDescent="0.25">
      <c r="B1527" t="s">
        <v>2709</v>
      </c>
      <c r="C1527">
        <v>27040090</v>
      </c>
      <c r="E1527">
        <v>73.900000000000006</v>
      </c>
      <c r="F1527">
        <v>25</v>
      </c>
      <c r="G1527">
        <v>0</v>
      </c>
      <c r="H1527">
        <v>4.5999999999999996</v>
      </c>
      <c r="I1527">
        <v>1</v>
      </c>
      <c r="J1527">
        <v>0</v>
      </c>
      <c r="L1527" t="s">
        <v>2709</v>
      </c>
      <c r="M1527">
        <v>27040090</v>
      </c>
      <c r="O1527" t="s">
        <v>20004</v>
      </c>
      <c r="P1527" t="s">
        <v>19982</v>
      </c>
      <c r="Q1527" t="s">
        <v>19900</v>
      </c>
      <c r="R1527" t="s">
        <v>20005</v>
      </c>
      <c r="S1527" t="s">
        <v>20006</v>
      </c>
      <c r="T1527" t="s">
        <v>19900</v>
      </c>
    </row>
    <row r="1528" spans="2:20" x14ac:dyDescent="0.25">
      <c r="B1528" t="s">
        <v>2709</v>
      </c>
      <c r="C1528">
        <v>27050000</v>
      </c>
      <c r="E1528">
        <v>73.900000000000006</v>
      </c>
      <c r="F1528">
        <v>25</v>
      </c>
      <c r="G1528">
        <v>0</v>
      </c>
      <c r="H1528">
        <v>4.5999999999999996</v>
      </c>
      <c r="I1528">
        <v>1</v>
      </c>
      <c r="J1528">
        <v>0</v>
      </c>
      <c r="L1528" t="s">
        <v>2709</v>
      </c>
      <c r="M1528">
        <v>27050000</v>
      </c>
      <c r="O1528" t="s">
        <v>20004</v>
      </c>
      <c r="P1528" t="s">
        <v>19982</v>
      </c>
      <c r="Q1528" t="s">
        <v>19900</v>
      </c>
      <c r="R1528" t="s">
        <v>20005</v>
      </c>
      <c r="S1528" t="s">
        <v>20006</v>
      </c>
      <c r="T1528" t="s">
        <v>19900</v>
      </c>
    </row>
    <row r="1529" spans="2:20" x14ac:dyDescent="0.25">
      <c r="B1529" t="s">
        <v>2709</v>
      </c>
      <c r="C1529">
        <v>27060000</v>
      </c>
      <c r="E1529">
        <v>38</v>
      </c>
      <c r="F1529">
        <v>25</v>
      </c>
      <c r="G1529">
        <v>0</v>
      </c>
      <c r="H1529">
        <v>4.5999999999999996</v>
      </c>
      <c r="I1529">
        <v>1</v>
      </c>
      <c r="J1529">
        <v>0</v>
      </c>
      <c r="L1529" t="s">
        <v>2709</v>
      </c>
      <c r="M1529">
        <v>27060000</v>
      </c>
      <c r="O1529" t="s">
        <v>20008</v>
      </c>
      <c r="P1529" t="s">
        <v>19982</v>
      </c>
      <c r="Q1529" t="s">
        <v>19900</v>
      </c>
      <c r="R1529" t="s">
        <v>20005</v>
      </c>
      <c r="S1529" t="s">
        <v>20006</v>
      </c>
      <c r="T1529" t="s">
        <v>19900</v>
      </c>
    </row>
    <row r="1530" spans="2:20" x14ac:dyDescent="0.25">
      <c r="B1530" t="s">
        <v>2709</v>
      </c>
      <c r="C1530">
        <v>27071000</v>
      </c>
      <c r="E1530">
        <v>38</v>
      </c>
      <c r="F1530">
        <v>25</v>
      </c>
      <c r="G1530">
        <v>0</v>
      </c>
      <c r="H1530">
        <v>4.5999999999999996</v>
      </c>
      <c r="I1530">
        <v>1</v>
      </c>
      <c r="J1530">
        <v>0</v>
      </c>
      <c r="L1530" t="s">
        <v>2709</v>
      </c>
      <c r="M1530">
        <v>27071000</v>
      </c>
      <c r="O1530" t="s">
        <v>20008</v>
      </c>
      <c r="P1530" t="s">
        <v>19982</v>
      </c>
      <c r="Q1530" t="s">
        <v>19900</v>
      </c>
      <c r="R1530" t="s">
        <v>20005</v>
      </c>
      <c r="S1530" t="s">
        <v>20006</v>
      </c>
      <c r="T1530" t="s">
        <v>19900</v>
      </c>
    </row>
    <row r="1531" spans="2:20" x14ac:dyDescent="0.25">
      <c r="B1531" t="s">
        <v>2709</v>
      </c>
      <c r="C1531">
        <v>27072000</v>
      </c>
      <c r="E1531">
        <v>38</v>
      </c>
      <c r="F1531">
        <v>25</v>
      </c>
      <c r="G1531">
        <v>0</v>
      </c>
      <c r="H1531">
        <v>4.5999999999999996</v>
      </c>
      <c r="I1531">
        <v>1</v>
      </c>
      <c r="J1531">
        <v>0</v>
      </c>
      <c r="L1531" t="s">
        <v>2709</v>
      </c>
      <c r="M1531">
        <v>27072000</v>
      </c>
      <c r="O1531" t="s">
        <v>20008</v>
      </c>
      <c r="P1531" t="s">
        <v>19982</v>
      </c>
      <c r="Q1531" t="s">
        <v>19900</v>
      </c>
      <c r="R1531" t="s">
        <v>20005</v>
      </c>
      <c r="S1531" t="s">
        <v>20006</v>
      </c>
      <c r="T1531" t="s">
        <v>19900</v>
      </c>
    </row>
    <row r="1532" spans="2:20" x14ac:dyDescent="0.25">
      <c r="B1532" t="s">
        <v>2709</v>
      </c>
      <c r="C1532">
        <v>27073000</v>
      </c>
      <c r="E1532">
        <v>38</v>
      </c>
      <c r="F1532">
        <v>25</v>
      </c>
      <c r="G1532">
        <v>0</v>
      </c>
      <c r="H1532">
        <v>4.5999999999999996</v>
      </c>
      <c r="I1532">
        <v>1</v>
      </c>
      <c r="J1532">
        <v>0</v>
      </c>
      <c r="L1532" t="s">
        <v>2709</v>
      </c>
      <c r="M1532">
        <v>27073000</v>
      </c>
      <c r="O1532" t="s">
        <v>20008</v>
      </c>
      <c r="P1532" t="s">
        <v>19982</v>
      </c>
      <c r="Q1532" t="s">
        <v>19900</v>
      </c>
      <c r="R1532" t="s">
        <v>20005</v>
      </c>
      <c r="S1532" t="s">
        <v>20006</v>
      </c>
      <c r="T1532" t="s">
        <v>19900</v>
      </c>
    </row>
    <row r="1533" spans="2:20" x14ac:dyDescent="0.25">
      <c r="B1533" t="s">
        <v>2709</v>
      </c>
      <c r="C1533">
        <v>27074000</v>
      </c>
      <c r="E1533">
        <v>38</v>
      </c>
      <c r="F1533">
        <v>25</v>
      </c>
      <c r="G1533">
        <v>0</v>
      </c>
      <c r="H1533">
        <v>4.5999999999999996</v>
      </c>
      <c r="I1533">
        <v>1</v>
      </c>
      <c r="J1533">
        <v>0</v>
      </c>
      <c r="L1533" t="s">
        <v>2709</v>
      </c>
      <c r="M1533">
        <v>27074000</v>
      </c>
      <c r="O1533" t="s">
        <v>20008</v>
      </c>
      <c r="P1533" t="s">
        <v>19982</v>
      </c>
      <c r="Q1533" t="s">
        <v>19900</v>
      </c>
      <c r="R1533" t="s">
        <v>20005</v>
      </c>
      <c r="S1533" t="s">
        <v>20006</v>
      </c>
      <c r="T1533" t="s">
        <v>19900</v>
      </c>
    </row>
    <row r="1534" spans="2:20" x14ac:dyDescent="0.25">
      <c r="B1534" t="s">
        <v>2709</v>
      </c>
      <c r="C1534">
        <v>27075000</v>
      </c>
      <c r="E1534">
        <v>38</v>
      </c>
      <c r="F1534">
        <v>25</v>
      </c>
      <c r="G1534">
        <v>0</v>
      </c>
      <c r="H1534">
        <v>4.5999999999999996</v>
      </c>
      <c r="I1534">
        <v>1</v>
      </c>
      <c r="J1534">
        <v>0</v>
      </c>
      <c r="L1534" t="s">
        <v>2709</v>
      </c>
      <c r="M1534">
        <v>27075000</v>
      </c>
      <c r="O1534" t="s">
        <v>20008</v>
      </c>
      <c r="P1534" t="s">
        <v>19982</v>
      </c>
      <c r="Q1534" t="s">
        <v>19900</v>
      </c>
      <c r="R1534" t="s">
        <v>20005</v>
      </c>
      <c r="S1534" t="s">
        <v>20006</v>
      </c>
      <c r="T1534" t="s">
        <v>19900</v>
      </c>
    </row>
    <row r="1535" spans="2:20" x14ac:dyDescent="0.25">
      <c r="B1535" t="s">
        <v>2709</v>
      </c>
      <c r="C1535">
        <v>27079100</v>
      </c>
      <c r="E1535">
        <v>38</v>
      </c>
      <c r="F1535">
        <v>25</v>
      </c>
      <c r="G1535">
        <v>0</v>
      </c>
      <c r="H1535">
        <v>4.5999999999999996</v>
      </c>
      <c r="I1535">
        <v>1</v>
      </c>
      <c r="J1535">
        <v>0</v>
      </c>
      <c r="L1535" t="s">
        <v>2709</v>
      </c>
      <c r="M1535">
        <v>27079100</v>
      </c>
      <c r="O1535" t="s">
        <v>20008</v>
      </c>
      <c r="P1535" t="s">
        <v>19982</v>
      </c>
      <c r="Q1535" t="s">
        <v>19900</v>
      </c>
      <c r="R1535" t="s">
        <v>20005</v>
      </c>
      <c r="S1535" t="s">
        <v>20006</v>
      </c>
      <c r="T1535" t="s">
        <v>19900</v>
      </c>
    </row>
    <row r="1536" spans="2:20" x14ac:dyDescent="0.25">
      <c r="B1536" t="s">
        <v>2709</v>
      </c>
      <c r="C1536">
        <v>27079910</v>
      </c>
      <c r="E1536">
        <v>38</v>
      </c>
      <c r="F1536">
        <v>25</v>
      </c>
      <c r="G1536">
        <v>0</v>
      </c>
      <c r="H1536">
        <v>4.5999999999999996</v>
      </c>
      <c r="I1536">
        <v>1</v>
      </c>
      <c r="J1536">
        <v>0</v>
      </c>
      <c r="L1536" t="s">
        <v>2709</v>
      </c>
      <c r="M1536">
        <v>27079910</v>
      </c>
      <c r="O1536" t="s">
        <v>20008</v>
      </c>
      <c r="P1536" t="s">
        <v>19982</v>
      </c>
      <c r="Q1536" t="s">
        <v>19900</v>
      </c>
      <c r="R1536" t="s">
        <v>20005</v>
      </c>
      <c r="S1536" t="s">
        <v>20006</v>
      </c>
      <c r="T1536" t="s">
        <v>19900</v>
      </c>
    </row>
    <row r="1537" spans="2:20" x14ac:dyDescent="0.25">
      <c r="B1537" t="s">
        <v>2709</v>
      </c>
      <c r="C1537">
        <v>27079990</v>
      </c>
      <c r="E1537">
        <v>38</v>
      </c>
      <c r="F1537">
        <v>25</v>
      </c>
      <c r="G1537">
        <v>0</v>
      </c>
      <c r="H1537">
        <v>4.5999999999999996</v>
      </c>
      <c r="I1537">
        <v>1</v>
      </c>
      <c r="J1537">
        <v>0</v>
      </c>
      <c r="L1537" t="s">
        <v>2709</v>
      </c>
      <c r="M1537">
        <v>27079990</v>
      </c>
      <c r="O1537" t="s">
        <v>20008</v>
      </c>
      <c r="P1537" t="s">
        <v>19982</v>
      </c>
      <c r="Q1537" t="s">
        <v>19900</v>
      </c>
      <c r="R1537" t="s">
        <v>20005</v>
      </c>
      <c r="S1537" t="s">
        <v>20006</v>
      </c>
      <c r="T1537" t="s">
        <v>19900</v>
      </c>
    </row>
    <row r="1538" spans="2:20" x14ac:dyDescent="0.25">
      <c r="B1538" t="s">
        <v>2709</v>
      </c>
      <c r="C1538">
        <v>27081000</v>
      </c>
      <c r="E1538">
        <v>73.900000000000006</v>
      </c>
      <c r="F1538">
        <v>25</v>
      </c>
      <c r="G1538">
        <v>5</v>
      </c>
      <c r="H1538">
        <v>4.5999999999999996</v>
      </c>
      <c r="I1538">
        <v>1</v>
      </c>
      <c r="J1538">
        <v>0</v>
      </c>
      <c r="L1538" t="s">
        <v>2709</v>
      </c>
      <c r="M1538">
        <v>27081000</v>
      </c>
      <c r="O1538" t="s">
        <v>20004</v>
      </c>
      <c r="P1538" t="s">
        <v>19982</v>
      </c>
      <c r="Q1538" t="s">
        <v>19909</v>
      </c>
      <c r="R1538" t="s">
        <v>20005</v>
      </c>
      <c r="S1538" t="s">
        <v>20006</v>
      </c>
      <c r="T1538" t="s">
        <v>19900</v>
      </c>
    </row>
    <row r="1539" spans="2:20" x14ac:dyDescent="0.25">
      <c r="B1539" t="s">
        <v>2709</v>
      </c>
      <c r="C1539">
        <v>27082000</v>
      </c>
      <c r="E1539">
        <v>73.900000000000006</v>
      </c>
      <c r="F1539">
        <v>25</v>
      </c>
      <c r="G1539">
        <v>5</v>
      </c>
      <c r="H1539">
        <v>4.5999999999999996</v>
      </c>
      <c r="I1539">
        <v>1</v>
      </c>
      <c r="J1539">
        <v>0</v>
      </c>
      <c r="L1539" t="s">
        <v>2709</v>
      </c>
      <c r="M1539">
        <v>27082000</v>
      </c>
      <c r="O1539" t="s">
        <v>20004</v>
      </c>
      <c r="P1539" t="s">
        <v>19982</v>
      </c>
      <c r="Q1539" t="s">
        <v>19909</v>
      </c>
      <c r="R1539" t="s">
        <v>20005</v>
      </c>
      <c r="S1539" t="s">
        <v>20006</v>
      </c>
      <c r="T1539" t="s">
        <v>19900</v>
      </c>
    </row>
    <row r="1540" spans="2:20" x14ac:dyDescent="0.25">
      <c r="B1540" t="s">
        <v>2709</v>
      </c>
      <c r="C1540">
        <v>27090010</v>
      </c>
      <c r="E1540">
        <v>73.900000000000006</v>
      </c>
      <c r="F1540">
        <v>25</v>
      </c>
      <c r="G1540">
        <v>0</v>
      </c>
      <c r="H1540">
        <v>4.5999999999999996</v>
      </c>
      <c r="I1540">
        <v>1</v>
      </c>
      <c r="J1540">
        <v>0</v>
      </c>
      <c r="L1540" t="s">
        <v>2709</v>
      </c>
      <c r="M1540">
        <v>27090010</v>
      </c>
      <c r="O1540" t="s">
        <v>20004</v>
      </c>
      <c r="P1540" t="s">
        <v>19982</v>
      </c>
      <c r="Q1540" t="s">
        <v>19900</v>
      </c>
      <c r="R1540" t="s">
        <v>20005</v>
      </c>
      <c r="S1540" t="s">
        <v>20006</v>
      </c>
      <c r="T1540" t="s">
        <v>19900</v>
      </c>
    </row>
    <row r="1541" spans="2:20" x14ac:dyDescent="0.25">
      <c r="B1541" t="s">
        <v>2709</v>
      </c>
      <c r="C1541">
        <v>27090090</v>
      </c>
      <c r="E1541">
        <v>73.900000000000006</v>
      </c>
      <c r="F1541">
        <v>25</v>
      </c>
      <c r="G1541">
        <v>0</v>
      </c>
      <c r="H1541">
        <v>4.5999999999999996</v>
      </c>
      <c r="I1541">
        <v>1</v>
      </c>
      <c r="J1541">
        <v>0</v>
      </c>
      <c r="L1541" t="s">
        <v>2709</v>
      </c>
      <c r="M1541">
        <v>27090090</v>
      </c>
      <c r="O1541" t="s">
        <v>20004</v>
      </c>
      <c r="P1541" t="s">
        <v>19982</v>
      </c>
      <c r="Q1541" t="s">
        <v>19900</v>
      </c>
      <c r="R1541" t="s">
        <v>20005</v>
      </c>
      <c r="S1541" t="s">
        <v>20006</v>
      </c>
      <c r="T1541" t="s">
        <v>19900</v>
      </c>
    </row>
    <row r="1542" spans="2:20" x14ac:dyDescent="0.25">
      <c r="B1542" t="s">
        <v>2709</v>
      </c>
      <c r="C1542">
        <v>27101210</v>
      </c>
      <c r="E1542">
        <v>38</v>
      </c>
      <c r="F1542">
        <v>25</v>
      </c>
      <c r="G1542">
        <v>8</v>
      </c>
      <c r="H1542">
        <v>4.5999999999999996</v>
      </c>
      <c r="I1542">
        <v>1</v>
      </c>
      <c r="J1542">
        <v>0</v>
      </c>
      <c r="L1542" t="s">
        <v>2709</v>
      </c>
      <c r="M1542">
        <v>27101210</v>
      </c>
      <c r="O1542" t="s">
        <v>20008</v>
      </c>
      <c r="P1542" t="s">
        <v>19982</v>
      </c>
      <c r="Q1542" t="s">
        <v>19918</v>
      </c>
      <c r="R1542" t="s">
        <v>20005</v>
      </c>
      <c r="S1542" t="s">
        <v>20006</v>
      </c>
      <c r="T1542" t="s">
        <v>19900</v>
      </c>
    </row>
    <row r="1543" spans="2:20" x14ac:dyDescent="0.25">
      <c r="B1543" t="s">
        <v>2709</v>
      </c>
      <c r="C1543">
        <v>27101221</v>
      </c>
      <c r="E1543">
        <v>38</v>
      </c>
      <c r="F1543">
        <v>25</v>
      </c>
      <c r="G1543">
        <v>8</v>
      </c>
      <c r="H1543">
        <v>4.5999999999999996</v>
      </c>
      <c r="I1543">
        <v>1</v>
      </c>
      <c r="J1543">
        <v>0</v>
      </c>
      <c r="L1543" t="s">
        <v>2709</v>
      </c>
      <c r="M1543">
        <v>27101221</v>
      </c>
      <c r="O1543" t="s">
        <v>20008</v>
      </c>
      <c r="P1543" t="s">
        <v>19982</v>
      </c>
      <c r="Q1543" t="s">
        <v>19918</v>
      </c>
      <c r="R1543" t="s">
        <v>20005</v>
      </c>
      <c r="S1543" t="s">
        <v>20006</v>
      </c>
      <c r="T1543" t="s">
        <v>19900</v>
      </c>
    </row>
    <row r="1544" spans="2:20" x14ac:dyDescent="0.25">
      <c r="B1544" t="s">
        <v>2709</v>
      </c>
      <c r="C1544">
        <v>27101229</v>
      </c>
      <c r="E1544">
        <v>38</v>
      </c>
      <c r="F1544">
        <v>25</v>
      </c>
      <c r="G1544">
        <v>8</v>
      </c>
      <c r="H1544">
        <v>4.5999999999999996</v>
      </c>
      <c r="I1544">
        <v>1</v>
      </c>
      <c r="J1544">
        <v>0</v>
      </c>
      <c r="L1544" t="s">
        <v>2709</v>
      </c>
      <c r="M1544">
        <v>27101229</v>
      </c>
      <c r="O1544" t="s">
        <v>20008</v>
      </c>
      <c r="P1544" t="s">
        <v>19982</v>
      </c>
      <c r="Q1544" t="s">
        <v>19918</v>
      </c>
      <c r="R1544" t="s">
        <v>20005</v>
      </c>
      <c r="S1544" t="s">
        <v>20006</v>
      </c>
      <c r="T1544" t="s">
        <v>19900</v>
      </c>
    </row>
    <row r="1545" spans="2:20" x14ac:dyDescent="0.25">
      <c r="B1545" t="s">
        <v>2709</v>
      </c>
      <c r="C1545">
        <v>27101230</v>
      </c>
      <c r="E1545">
        <v>38</v>
      </c>
      <c r="F1545">
        <v>25</v>
      </c>
      <c r="G1545">
        <v>0</v>
      </c>
      <c r="H1545">
        <v>4.5999999999999996</v>
      </c>
      <c r="I1545">
        <v>1</v>
      </c>
      <c r="J1545">
        <v>0</v>
      </c>
      <c r="L1545" t="s">
        <v>2709</v>
      </c>
      <c r="M1545">
        <v>27101230</v>
      </c>
      <c r="O1545" t="s">
        <v>20008</v>
      </c>
      <c r="P1545" t="s">
        <v>19982</v>
      </c>
      <c r="Q1545" t="s">
        <v>19900</v>
      </c>
      <c r="R1545" t="s">
        <v>20005</v>
      </c>
      <c r="S1545" t="s">
        <v>20006</v>
      </c>
      <c r="T1545" t="s">
        <v>19900</v>
      </c>
    </row>
    <row r="1546" spans="2:20" x14ac:dyDescent="0.25">
      <c r="B1546" t="s">
        <v>2709</v>
      </c>
      <c r="C1546">
        <v>27101241</v>
      </c>
      <c r="E1546">
        <v>38</v>
      </c>
      <c r="F1546">
        <v>25</v>
      </c>
      <c r="G1546">
        <v>0</v>
      </c>
      <c r="H1546">
        <v>23.44</v>
      </c>
      <c r="I1546">
        <v>5.08</v>
      </c>
      <c r="J1546">
        <v>0</v>
      </c>
      <c r="L1546" t="s">
        <v>2709</v>
      </c>
      <c r="M1546">
        <v>27101241</v>
      </c>
      <c r="O1546" t="s">
        <v>20008</v>
      </c>
      <c r="P1546" t="s">
        <v>19982</v>
      </c>
      <c r="Q1546" t="s">
        <v>19900</v>
      </c>
      <c r="R1546" t="s">
        <v>20009</v>
      </c>
      <c r="S1546" t="s">
        <v>20010</v>
      </c>
      <c r="T1546" t="s">
        <v>19900</v>
      </c>
    </row>
    <row r="1547" spans="2:20" x14ac:dyDescent="0.25">
      <c r="B1547" t="s">
        <v>2709</v>
      </c>
      <c r="C1547">
        <v>27101249</v>
      </c>
      <c r="E1547">
        <v>38</v>
      </c>
      <c r="F1547">
        <v>25</v>
      </c>
      <c r="G1547">
        <v>0</v>
      </c>
      <c r="H1547">
        <v>23.44</v>
      </c>
      <c r="I1547">
        <v>5.08</v>
      </c>
      <c r="J1547">
        <v>0</v>
      </c>
      <c r="L1547" t="s">
        <v>2709</v>
      </c>
      <c r="M1547">
        <v>27101249</v>
      </c>
      <c r="O1547" t="s">
        <v>20008</v>
      </c>
      <c r="P1547" t="s">
        <v>19982</v>
      </c>
      <c r="Q1547" t="s">
        <v>19900</v>
      </c>
      <c r="R1547" t="s">
        <v>20009</v>
      </c>
      <c r="S1547" t="s">
        <v>20010</v>
      </c>
      <c r="T1547" t="s">
        <v>19900</v>
      </c>
    </row>
    <row r="1548" spans="2:20" x14ac:dyDescent="0.25">
      <c r="B1548" t="s">
        <v>2709</v>
      </c>
      <c r="C1548">
        <v>27101251</v>
      </c>
      <c r="E1548">
        <v>38</v>
      </c>
      <c r="F1548">
        <v>25</v>
      </c>
      <c r="G1548">
        <v>0</v>
      </c>
      <c r="H1548">
        <v>23.44</v>
      </c>
      <c r="I1548">
        <v>5.08</v>
      </c>
      <c r="J1548">
        <v>0</v>
      </c>
      <c r="L1548" t="s">
        <v>2709</v>
      </c>
      <c r="M1548">
        <v>27101251</v>
      </c>
      <c r="O1548" t="s">
        <v>20008</v>
      </c>
      <c r="P1548" t="s">
        <v>19982</v>
      </c>
      <c r="Q1548" t="s">
        <v>19900</v>
      </c>
      <c r="R1548" t="s">
        <v>20009</v>
      </c>
      <c r="S1548" t="s">
        <v>20010</v>
      </c>
      <c r="T1548" t="s">
        <v>19900</v>
      </c>
    </row>
    <row r="1549" spans="2:20" x14ac:dyDescent="0.25">
      <c r="B1549" t="s">
        <v>2709</v>
      </c>
      <c r="C1549">
        <v>27101259</v>
      </c>
      <c r="E1549">
        <v>38</v>
      </c>
      <c r="F1549">
        <v>25</v>
      </c>
      <c r="G1549">
        <v>0</v>
      </c>
      <c r="H1549">
        <v>23.44</v>
      </c>
      <c r="I1549">
        <v>5.08</v>
      </c>
      <c r="J1549">
        <v>0</v>
      </c>
      <c r="L1549" t="s">
        <v>2709</v>
      </c>
      <c r="M1549">
        <v>27101259</v>
      </c>
      <c r="O1549" t="s">
        <v>20008</v>
      </c>
      <c r="P1549" t="s">
        <v>19982</v>
      </c>
      <c r="Q1549" t="s">
        <v>19900</v>
      </c>
      <c r="R1549" t="s">
        <v>20009</v>
      </c>
      <c r="S1549" t="s">
        <v>20010</v>
      </c>
      <c r="T1549" t="s">
        <v>19900</v>
      </c>
    </row>
    <row r="1550" spans="2:20" x14ac:dyDescent="0.25">
      <c r="B1550" t="s">
        <v>2709</v>
      </c>
      <c r="C1550">
        <v>27101260</v>
      </c>
      <c r="E1550">
        <v>38</v>
      </c>
      <c r="F1550">
        <v>25</v>
      </c>
      <c r="G1550">
        <v>8</v>
      </c>
      <c r="H1550">
        <v>4.5999999999999996</v>
      </c>
      <c r="I1550">
        <v>1</v>
      </c>
      <c r="J1550">
        <v>0</v>
      </c>
      <c r="L1550" t="s">
        <v>2709</v>
      </c>
      <c r="M1550">
        <v>27101260</v>
      </c>
      <c r="O1550" t="s">
        <v>20008</v>
      </c>
      <c r="P1550" t="s">
        <v>19982</v>
      </c>
      <c r="Q1550" t="s">
        <v>19918</v>
      </c>
      <c r="R1550" t="s">
        <v>20005</v>
      </c>
      <c r="S1550" t="s">
        <v>20006</v>
      </c>
      <c r="T1550" t="s">
        <v>19900</v>
      </c>
    </row>
    <row r="1551" spans="2:20" x14ac:dyDescent="0.25">
      <c r="B1551" t="s">
        <v>2709</v>
      </c>
      <c r="C1551">
        <v>27101290</v>
      </c>
      <c r="E1551">
        <v>73.900000000000006</v>
      </c>
      <c r="F1551">
        <v>25</v>
      </c>
      <c r="G1551">
        <v>8</v>
      </c>
      <c r="H1551">
        <v>4.5999999999999996</v>
      </c>
      <c r="I1551">
        <v>1</v>
      </c>
      <c r="J1551">
        <v>0</v>
      </c>
      <c r="L1551" t="s">
        <v>2709</v>
      </c>
      <c r="M1551">
        <v>27101290</v>
      </c>
      <c r="O1551" t="s">
        <v>20004</v>
      </c>
      <c r="P1551" t="s">
        <v>19982</v>
      </c>
      <c r="Q1551" t="s">
        <v>19918</v>
      </c>
      <c r="R1551" t="s">
        <v>20005</v>
      </c>
      <c r="S1551" t="s">
        <v>20006</v>
      </c>
      <c r="T1551" t="s">
        <v>19900</v>
      </c>
    </row>
    <row r="1552" spans="2:20" x14ac:dyDescent="0.25">
      <c r="B1552" t="s">
        <v>2709</v>
      </c>
      <c r="C1552">
        <v>27101290</v>
      </c>
      <c r="D1552">
        <v>1</v>
      </c>
      <c r="E1552" t="s">
        <v>19447</v>
      </c>
      <c r="F1552">
        <v>18</v>
      </c>
      <c r="G1552">
        <v>0</v>
      </c>
      <c r="H1552">
        <v>7.6</v>
      </c>
      <c r="I1552">
        <v>1.65</v>
      </c>
      <c r="J1552">
        <v>0</v>
      </c>
      <c r="L1552" t="s">
        <v>2709</v>
      </c>
      <c r="M1552">
        <v>27101290</v>
      </c>
      <c r="N1552">
        <v>1</v>
      </c>
      <c r="O1552" t="s">
        <v>19447</v>
      </c>
      <c r="P1552" t="s">
        <v>19899</v>
      </c>
      <c r="Q1552" t="s">
        <v>19900</v>
      </c>
      <c r="R1552" t="s">
        <v>19905</v>
      </c>
      <c r="S1552" t="s">
        <v>19906</v>
      </c>
      <c r="T1552" t="s">
        <v>19900</v>
      </c>
    </row>
    <row r="1553" spans="2:20" x14ac:dyDescent="0.25">
      <c r="B1553" t="s">
        <v>2709</v>
      </c>
      <c r="C1553">
        <v>27101290</v>
      </c>
      <c r="D1553">
        <v>2</v>
      </c>
      <c r="E1553" t="s">
        <v>19447</v>
      </c>
      <c r="F1553">
        <v>18</v>
      </c>
      <c r="G1553">
        <v>0</v>
      </c>
      <c r="H1553">
        <v>7.6</v>
      </c>
      <c r="I1553">
        <v>1.65</v>
      </c>
      <c r="J1553">
        <v>0</v>
      </c>
      <c r="L1553" t="s">
        <v>2709</v>
      </c>
      <c r="M1553">
        <v>27101290</v>
      </c>
      <c r="N1553">
        <v>2</v>
      </c>
      <c r="O1553" t="s">
        <v>19447</v>
      </c>
      <c r="P1553" t="s">
        <v>19899</v>
      </c>
      <c r="Q1553" t="s">
        <v>19900</v>
      </c>
      <c r="R1553" t="s">
        <v>19905</v>
      </c>
      <c r="S1553" t="s">
        <v>19906</v>
      </c>
      <c r="T1553" t="s">
        <v>19900</v>
      </c>
    </row>
    <row r="1554" spans="2:20" x14ac:dyDescent="0.25">
      <c r="B1554" t="s">
        <v>2709</v>
      </c>
      <c r="C1554">
        <v>27101911</v>
      </c>
      <c r="E1554">
        <v>38</v>
      </c>
      <c r="F1554">
        <v>25</v>
      </c>
      <c r="G1554">
        <v>0</v>
      </c>
      <c r="H1554">
        <v>23.2</v>
      </c>
      <c r="I1554">
        <v>5</v>
      </c>
      <c r="J1554">
        <v>0</v>
      </c>
      <c r="L1554" t="s">
        <v>2709</v>
      </c>
      <c r="M1554">
        <v>27101911</v>
      </c>
      <c r="O1554" t="s">
        <v>20008</v>
      </c>
      <c r="P1554" t="s">
        <v>19982</v>
      </c>
      <c r="Q1554" t="s">
        <v>19900</v>
      </c>
      <c r="R1554" t="s">
        <v>20011</v>
      </c>
      <c r="S1554" t="s">
        <v>19909</v>
      </c>
      <c r="T1554" t="s">
        <v>19900</v>
      </c>
    </row>
    <row r="1555" spans="2:20" x14ac:dyDescent="0.25">
      <c r="B1555" t="s">
        <v>2709</v>
      </c>
      <c r="C1555">
        <v>27101919</v>
      </c>
      <c r="E1555">
        <v>38</v>
      </c>
      <c r="F1555">
        <v>25</v>
      </c>
      <c r="G1555">
        <v>0</v>
      </c>
      <c r="H1555">
        <v>4.5999999999999996</v>
      </c>
      <c r="I1555">
        <v>1</v>
      </c>
      <c r="J1555">
        <v>0</v>
      </c>
      <c r="L1555" t="s">
        <v>2709</v>
      </c>
      <c r="M1555">
        <v>27101919</v>
      </c>
      <c r="O1555" t="s">
        <v>20008</v>
      </c>
      <c r="P1555" t="s">
        <v>19982</v>
      </c>
      <c r="Q1555" t="s">
        <v>19900</v>
      </c>
      <c r="R1555" t="s">
        <v>20005</v>
      </c>
      <c r="S1555" t="s">
        <v>20006</v>
      </c>
      <c r="T1555" t="s">
        <v>19900</v>
      </c>
    </row>
    <row r="1556" spans="2:20" x14ac:dyDescent="0.25">
      <c r="B1556" t="s">
        <v>2709</v>
      </c>
      <c r="C1556">
        <v>27101921</v>
      </c>
      <c r="E1556">
        <v>38</v>
      </c>
      <c r="F1556">
        <v>12</v>
      </c>
      <c r="G1556">
        <v>0</v>
      </c>
      <c r="H1556">
        <v>19.420000000000002</v>
      </c>
      <c r="I1556">
        <v>4.21</v>
      </c>
      <c r="J1556">
        <v>0</v>
      </c>
      <c r="L1556" t="s">
        <v>2709</v>
      </c>
      <c r="M1556">
        <v>27101921</v>
      </c>
      <c r="O1556" t="s">
        <v>20008</v>
      </c>
      <c r="P1556" t="s">
        <v>19903</v>
      </c>
      <c r="Q1556" t="s">
        <v>19900</v>
      </c>
      <c r="R1556" t="s">
        <v>20012</v>
      </c>
      <c r="S1556" t="s">
        <v>20013</v>
      </c>
      <c r="T1556" t="s">
        <v>19900</v>
      </c>
    </row>
    <row r="1557" spans="2:20" x14ac:dyDescent="0.25">
      <c r="B1557" t="s">
        <v>2709</v>
      </c>
      <c r="C1557">
        <v>27101922</v>
      </c>
      <c r="E1557">
        <v>38</v>
      </c>
      <c r="F1557">
        <v>25</v>
      </c>
      <c r="G1557">
        <v>0</v>
      </c>
      <c r="H1557">
        <v>4.5999999999999996</v>
      </c>
      <c r="I1557">
        <v>1</v>
      </c>
      <c r="J1557">
        <v>0</v>
      </c>
      <c r="L1557" t="s">
        <v>2709</v>
      </c>
      <c r="M1557">
        <v>27101922</v>
      </c>
      <c r="O1557" t="s">
        <v>20008</v>
      </c>
      <c r="P1557" t="s">
        <v>19982</v>
      </c>
      <c r="Q1557" t="s">
        <v>19900</v>
      </c>
      <c r="R1557" t="s">
        <v>20005</v>
      </c>
      <c r="S1557" t="s">
        <v>20006</v>
      </c>
      <c r="T1557" t="s">
        <v>19900</v>
      </c>
    </row>
    <row r="1558" spans="2:20" x14ac:dyDescent="0.25">
      <c r="B1558" t="s">
        <v>2709</v>
      </c>
      <c r="C1558">
        <v>27101929</v>
      </c>
      <c r="E1558">
        <v>38</v>
      </c>
      <c r="F1558">
        <v>25</v>
      </c>
      <c r="G1558">
        <v>0</v>
      </c>
      <c r="H1558">
        <v>4.5999999999999996</v>
      </c>
      <c r="I1558">
        <v>1</v>
      </c>
      <c r="J1558">
        <v>0</v>
      </c>
      <c r="L1558" t="s">
        <v>2709</v>
      </c>
      <c r="M1558">
        <v>27101929</v>
      </c>
      <c r="O1558" t="s">
        <v>20008</v>
      </c>
      <c r="P1558" t="s">
        <v>19982</v>
      </c>
      <c r="Q1558" t="s">
        <v>19900</v>
      </c>
      <c r="R1558" t="s">
        <v>20005</v>
      </c>
      <c r="S1558" t="s">
        <v>20006</v>
      </c>
      <c r="T1558" t="s">
        <v>19900</v>
      </c>
    </row>
    <row r="1559" spans="2:20" x14ac:dyDescent="0.25">
      <c r="B1559" t="s">
        <v>2709</v>
      </c>
      <c r="C1559">
        <v>27101931</v>
      </c>
      <c r="E1559">
        <v>61.31</v>
      </c>
      <c r="F1559">
        <v>25</v>
      </c>
      <c r="G1559">
        <v>0</v>
      </c>
      <c r="H1559">
        <v>4.5999999999999996</v>
      </c>
      <c r="I1559">
        <v>1</v>
      </c>
      <c r="J1559">
        <v>0</v>
      </c>
      <c r="L1559" t="s">
        <v>2709</v>
      </c>
      <c r="M1559">
        <v>27101931</v>
      </c>
      <c r="O1559" t="s">
        <v>20014</v>
      </c>
      <c r="P1559" t="s">
        <v>19982</v>
      </c>
      <c r="Q1559" t="s">
        <v>19900</v>
      </c>
      <c r="R1559" t="s">
        <v>20005</v>
      </c>
      <c r="S1559" t="s">
        <v>20006</v>
      </c>
      <c r="T1559" t="s">
        <v>19900</v>
      </c>
    </row>
    <row r="1560" spans="2:20" x14ac:dyDescent="0.25">
      <c r="B1560" t="s">
        <v>2709</v>
      </c>
      <c r="C1560">
        <v>27101932</v>
      </c>
      <c r="E1560">
        <v>61.31</v>
      </c>
      <c r="F1560">
        <v>25</v>
      </c>
      <c r="G1560">
        <v>0</v>
      </c>
      <c r="H1560">
        <v>4.5999999999999996</v>
      </c>
      <c r="I1560">
        <v>1</v>
      </c>
      <c r="J1560">
        <v>6</v>
      </c>
      <c r="L1560" t="s">
        <v>2709</v>
      </c>
      <c r="M1560">
        <v>27101932</v>
      </c>
      <c r="O1560" t="s">
        <v>20014</v>
      </c>
      <c r="P1560" t="s">
        <v>19982</v>
      </c>
      <c r="Q1560" t="s">
        <v>19900</v>
      </c>
      <c r="R1560" t="s">
        <v>20005</v>
      </c>
      <c r="S1560" t="s">
        <v>20006</v>
      </c>
      <c r="T1560" t="s">
        <v>19907</v>
      </c>
    </row>
    <row r="1561" spans="2:20" x14ac:dyDescent="0.25">
      <c r="B1561" t="s">
        <v>2709</v>
      </c>
      <c r="C1561">
        <v>27101991</v>
      </c>
      <c r="E1561">
        <v>38</v>
      </c>
      <c r="F1561">
        <v>25</v>
      </c>
      <c r="G1561">
        <v>0</v>
      </c>
      <c r="H1561">
        <v>4.5999999999999996</v>
      </c>
      <c r="I1561">
        <v>1</v>
      </c>
      <c r="J1561">
        <v>20</v>
      </c>
      <c r="L1561" t="s">
        <v>2709</v>
      </c>
      <c r="M1561">
        <v>27101991</v>
      </c>
      <c r="O1561" t="s">
        <v>20008</v>
      </c>
      <c r="P1561" t="s">
        <v>19982</v>
      </c>
      <c r="Q1561" t="s">
        <v>19900</v>
      </c>
      <c r="R1561" t="s">
        <v>20005</v>
      </c>
      <c r="S1561" t="s">
        <v>20006</v>
      </c>
      <c r="T1561" t="s">
        <v>19934</v>
      </c>
    </row>
    <row r="1562" spans="2:20" x14ac:dyDescent="0.25">
      <c r="B1562" t="s">
        <v>2709</v>
      </c>
      <c r="C1562">
        <v>27101992</v>
      </c>
      <c r="E1562">
        <v>38</v>
      </c>
      <c r="F1562">
        <v>25</v>
      </c>
      <c r="G1562">
        <v>8</v>
      </c>
      <c r="H1562">
        <v>4.5999999999999996</v>
      </c>
      <c r="I1562">
        <v>1</v>
      </c>
      <c r="J1562">
        <v>0</v>
      </c>
      <c r="L1562" t="s">
        <v>2709</v>
      </c>
      <c r="M1562">
        <v>27101992</v>
      </c>
      <c r="O1562" t="s">
        <v>20008</v>
      </c>
      <c r="P1562" t="s">
        <v>19982</v>
      </c>
      <c r="Q1562" t="s">
        <v>19918</v>
      </c>
      <c r="R1562" t="s">
        <v>20005</v>
      </c>
      <c r="S1562" t="s">
        <v>20006</v>
      </c>
      <c r="T1562" t="s">
        <v>19900</v>
      </c>
    </row>
    <row r="1563" spans="2:20" x14ac:dyDescent="0.25">
      <c r="B1563" t="s">
        <v>2709</v>
      </c>
      <c r="C1563">
        <v>27101993</v>
      </c>
      <c r="E1563">
        <v>38</v>
      </c>
      <c r="F1563">
        <v>25</v>
      </c>
      <c r="G1563">
        <v>8</v>
      </c>
      <c r="H1563">
        <v>4.5999999999999996</v>
      </c>
      <c r="I1563">
        <v>1</v>
      </c>
      <c r="J1563">
        <v>0</v>
      </c>
      <c r="L1563" t="s">
        <v>2709</v>
      </c>
      <c r="M1563">
        <v>27101993</v>
      </c>
      <c r="O1563" t="s">
        <v>20008</v>
      </c>
      <c r="P1563" t="s">
        <v>19982</v>
      </c>
      <c r="Q1563" t="s">
        <v>19918</v>
      </c>
      <c r="R1563" t="s">
        <v>20005</v>
      </c>
      <c r="S1563" t="s">
        <v>20006</v>
      </c>
      <c r="T1563" t="s">
        <v>19900</v>
      </c>
    </row>
    <row r="1564" spans="2:20" x14ac:dyDescent="0.25">
      <c r="B1564" t="s">
        <v>2709</v>
      </c>
      <c r="C1564">
        <v>27101994</v>
      </c>
      <c r="E1564">
        <v>38</v>
      </c>
      <c r="F1564">
        <v>25</v>
      </c>
      <c r="G1564">
        <v>8</v>
      </c>
      <c r="H1564">
        <v>4.5999999999999996</v>
      </c>
      <c r="I1564">
        <v>1</v>
      </c>
      <c r="J1564">
        <v>0</v>
      </c>
      <c r="L1564" t="s">
        <v>2709</v>
      </c>
      <c r="M1564">
        <v>27101994</v>
      </c>
      <c r="O1564" t="s">
        <v>20008</v>
      </c>
      <c r="P1564" t="s">
        <v>19982</v>
      </c>
      <c r="Q1564" t="s">
        <v>19918</v>
      </c>
      <c r="R1564" t="s">
        <v>20005</v>
      </c>
      <c r="S1564" t="s">
        <v>20006</v>
      </c>
      <c r="T1564" t="s">
        <v>19900</v>
      </c>
    </row>
    <row r="1565" spans="2:20" x14ac:dyDescent="0.25">
      <c r="B1565" t="s">
        <v>2709</v>
      </c>
      <c r="C1565">
        <v>27101999</v>
      </c>
      <c r="E1565">
        <v>38</v>
      </c>
      <c r="F1565">
        <v>25</v>
      </c>
      <c r="G1565">
        <v>8</v>
      </c>
      <c r="H1565">
        <v>4.5999999999999996</v>
      </c>
      <c r="I1565">
        <v>1</v>
      </c>
      <c r="J1565">
        <v>0</v>
      </c>
      <c r="L1565" t="s">
        <v>2709</v>
      </c>
      <c r="M1565">
        <v>27101999</v>
      </c>
      <c r="O1565" t="s">
        <v>20008</v>
      </c>
      <c r="P1565" t="s">
        <v>19982</v>
      </c>
      <c r="Q1565" t="s">
        <v>19918</v>
      </c>
      <c r="R1565" t="s">
        <v>20005</v>
      </c>
      <c r="S1565" t="s">
        <v>20006</v>
      </c>
      <c r="T1565" t="s">
        <v>19900</v>
      </c>
    </row>
    <row r="1566" spans="2:20" x14ac:dyDescent="0.25">
      <c r="B1566" t="s">
        <v>2709</v>
      </c>
      <c r="C1566">
        <v>27101999</v>
      </c>
      <c r="D1566">
        <v>1</v>
      </c>
      <c r="E1566" t="s">
        <v>19447</v>
      </c>
      <c r="F1566">
        <v>18</v>
      </c>
      <c r="G1566">
        <v>0</v>
      </c>
      <c r="H1566">
        <v>7.6</v>
      </c>
      <c r="I1566">
        <v>1.65</v>
      </c>
      <c r="J1566">
        <v>0</v>
      </c>
      <c r="L1566" t="s">
        <v>2709</v>
      </c>
      <c r="M1566">
        <v>27101999</v>
      </c>
      <c r="N1566">
        <v>1</v>
      </c>
      <c r="O1566" t="s">
        <v>19447</v>
      </c>
      <c r="P1566" t="s">
        <v>19899</v>
      </c>
      <c r="Q1566" t="s">
        <v>19900</v>
      </c>
      <c r="R1566" t="s">
        <v>19905</v>
      </c>
      <c r="S1566" t="s">
        <v>19906</v>
      </c>
      <c r="T1566" t="s">
        <v>19900</v>
      </c>
    </row>
    <row r="1567" spans="2:20" x14ac:dyDescent="0.25">
      <c r="B1567" t="s">
        <v>2709</v>
      </c>
      <c r="C1567">
        <v>27101999</v>
      </c>
      <c r="D1567">
        <v>2</v>
      </c>
      <c r="E1567" t="s">
        <v>19447</v>
      </c>
      <c r="F1567">
        <v>18</v>
      </c>
      <c r="G1567">
        <v>0</v>
      </c>
      <c r="H1567">
        <v>7.6</v>
      </c>
      <c r="I1567">
        <v>1.65</v>
      </c>
      <c r="J1567">
        <v>0</v>
      </c>
      <c r="L1567" t="s">
        <v>2709</v>
      </c>
      <c r="M1567">
        <v>27101999</v>
      </c>
      <c r="N1567">
        <v>2</v>
      </c>
      <c r="O1567" t="s">
        <v>19447</v>
      </c>
      <c r="P1567" t="s">
        <v>19899</v>
      </c>
      <c r="Q1567" t="s">
        <v>19900</v>
      </c>
      <c r="R1567" t="s">
        <v>19905</v>
      </c>
      <c r="S1567" t="s">
        <v>19906</v>
      </c>
      <c r="T1567" t="s">
        <v>19900</v>
      </c>
    </row>
    <row r="1568" spans="2:20" x14ac:dyDescent="0.25">
      <c r="B1568" t="s">
        <v>2709</v>
      </c>
      <c r="C1568">
        <v>27102000</v>
      </c>
      <c r="E1568">
        <v>38</v>
      </c>
      <c r="F1568">
        <v>25</v>
      </c>
      <c r="G1568">
        <v>0</v>
      </c>
      <c r="H1568">
        <v>4.5999999999999996</v>
      </c>
      <c r="I1568">
        <v>1</v>
      </c>
      <c r="J1568">
        <v>0</v>
      </c>
      <c r="L1568" t="s">
        <v>2709</v>
      </c>
      <c r="M1568">
        <v>27102000</v>
      </c>
      <c r="O1568" t="s">
        <v>20008</v>
      </c>
      <c r="P1568" t="s">
        <v>19982</v>
      </c>
      <c r="Q1568" t="s">
        <v>19900</v>
      </c>
      <c r="R1568" t="s">
        <v>20005</v>
      </c>
      <c r="S1568" t="s">
        <v>20006</v>
      </c>
      <c r="T1568" t="s">
        <v>19900</v>
      </c>
    </row>
    <row r="1569" spans="2:20" x14ac:dyDescent="0.25">
      <c r="B1569" t="s">
        <v>2709</v>
      </c>
      <c r="C1569">
        <v>27102000</v>
      </c>
      <c r="D1569">
        <v>1</v>
      </c>
      <c r="E1569" t="s">
        <v>19447</v>
      </c>
      <c r="F1569">
        <v>18</v>
      </c>
      <c r="G1569">
        <v>8</v>
      </c>
      <c r="H1569">
        <v>7.6</v>
      </c>
      <c r="I1569">
        <v>1.65</v>
      </c>
      <c r="J1569">
        <v>0</v>
      </c>
      <c r="L1569" t="s">
        <v>2709</v>
      </c>
      <c r="M1569">
        <v>27102000</v>
      </c>
      <c r="N1569">
        <v>1</v>
      </c>
      <c r="O1569" t="s">
        <v>19447</v>
      </c>
      <c r="P1569" t="s">
        <v>19899</v>
      </c>
      <c r="Q1569" t="s">
        <v>19918</v>
      </c>
      <c r="R1569" t="s">
        <v>19905</v>
      </c>
      <c r="S1569" t="s">
        <v>19906</v>
      </c>
      <c r="T1569" t="s">
        <v>19900</v>
      </c>
    </row>
    <row r="1570" spans="2:20" x14ac:dyDescent="0.25">
      <c r="B1570" t="s">
        <v>2709</v>
      </c>
      <c r="C1570">
        <v>27109100</v>
      </c>
      <c r="E1570">
        <v>38</v>
      </c>
      <c r="F1570">
        <v>25</v>
      </c>
      <c r="G1570">
        <v>0</v>
      </c>
      <c r="H1570">
        <v>4.5999999999999996</v>
      </c>
      <c r="I1570">
        <v>1</v>
      </c>
      <c r="J1570">
        <v>0</v>
      </c>
      <c r="L1570" t="s">
        <v>2709</v>
      </c>
      <c r="M1570">
        <v>27109100</v>
      </c>
      <c r="O1570" t="s">
        <v>20008</v>
      </c>
      <c r="P1570" t="s">
        <v>19982</v>
      </c>
      <c r="Q1570" t="s">
        <v>19900</v>
      </c>
      <c r="R1570" t="s">
        <v>20005</v>
      </c>
      <c r="S1570" t="s">
        <v>20006</v>
      </c>
      <c r="T1570" t="s">
        <v>19900</v>
      </c>
    </row>
    <row r="1571" spans="2:20" x14ac:dyDescent="0.25">
      <c r="B1571" t="s">
        <v>2709</v>
      </c>
      <c r="C1571">
        <v>27109900</v>
      </c>
      <c r="E1571">
        <v>38</v>
      </c>
      <c r="F1571">
        <v>25</v>
      </c>
      <c r="G1571">
        <v>0</v>
      </c>
      <c r="H1571">
        <v>4.5999999999999996</v>
      </c>
      <c r="I1571">
        <v>1</v>
      </c>
      <c r="J1571">
        <v>0</v>
      </c>
      <c r="L1571" t="s">
        <v>2709</v>
      </c>
      <c r="M1571">
        <v>27109900</v>
      </c>
      <c r="O1571" t="s">
        <v>20008</v>
      </c>
      <c r="P1571" t="s">
        <v>19982</v>
      </c>
      <c r="Q1571" t="s">
        <v>19900</v>
      </c>
      <c r="R1571" t="s">
        <v>20005</v>
      </c>
      <c r="S1571" t="s">
        <v>20006</v>
      </c>
      <c r="T1571" t="s">
        <v>19900</v>
      </c>
    </row>
    <row r="1572" spans="2:20" x14ac:dyDescent="0.25">
      <c r="B1572" t="s">
        <v>2709</v>
      </c>
      <c r="C1572">
        <v>27111100</v>
      </c>
      <c r="E1572">
        <v>0</v>
      </c>
      <c r="F1572">
        <v>12</v>
      </c>
      <c r="G1572">
        <v>0</v>
      </c>
      <c r="H1572" t="s">
        <v>19447</v>
      </c>
      <c r="I1572" t="s">
        <v>19447</v>
      </c>
      <c r="J1572">
        <v>0</v>
      </c>
      <c r="L1572" t="s">
        <v>2709</v>
      </c>
      <c r="M1572">
        <v>27111100</v>
      </c>
      <c r="O1572" t="s">
        <v>19900</v>
      </c>
      <c r="P1572" t="s">
        <v>19903</v>
      </c>
      <c r="Q1572" t="s">
        <v>19900</v>
      </c>
      <c r="R1572" t="s">
        <v>19447</v>
      </c>
      <c r="S1572" t="s">
        <v>19447</v>
      </c>
      <c r="T1572" t="s">
        <v>19900</v>
      </c>
    </row>
    <row r="1573" spans="2:20" x14ac:dyDescent="0.25">
      <c r="B1573" t="s">
        <v>2709</v>
      </c>
      <c r="C1573">
        <v>27111210</v>
      </c>
      <c r="E1573">
        <v>73.900000000000006</v>
      </c>
      <c r="F1573">
        <v>25</v>
      </c>
      <c r="G1573">
        <v>0</v>
      </c>
      <c r="H1573">
        <v>4.5999999999999996</v>
      </c>
      <c r="I1573">
        <v>1</v>
      </c>
      <c r="J1573">
        <v>0</v>
      </c>
      <c r="L1573" t="s">
        <v>2709</v>
      </c>
      <c r="M1573">
        <v>27111210</v>
      </c>
      <c r="O1573" t="s">
        <v>20004</v>
      </c>
      <c r="P1573" t="s">
        <v>19982</v>
      </c>
      <c r="Q1573" t="s">
        <v>19900</v>
      </c>
      <c r="R1573" t="s">
        <v>20005</v>
      </c>
      <c r="S1573" t="s">
        <v>20006</v>
      </c>
      <c r="T1573" t="s">
        <v>19900</v>
      </c>
    </row>
    <row r="1574" spans="2:20" x14ac:dyDescent="0.25">
      <c r="B1574" t="s">
        <v>2709</v>
      </c>
      <c r="C1574">
        <v>27111290</v>
      </c>
      <c r="E1574">
        <v>73.900000000000006</v>
      </c>
      <c r="F1574">
        <v>25</v>
      </c>
      <c r="G1574">
        <v>0</v>
      </c>
      <c r="H1574">
        <v>4.5999999999999996</v>
      </c>
      <c r="I1574">
        <v>1</v>
      </c>
      <c r="J1574">
        <v>0</v>
      </c>
      <c r="L1574" t="s">
        <v>2709</v>
      </c>
      <c r="M1574">
        <v>27111290</v>
      </c>
      <c r="O1574" t="s">
        <v>20004</v>
      </c>
      <c r="P1574" t="s">
        <v>19982</v>
      </c>
      <c r="Q1574" t="s">
        <v>19900</v>
      </c>
      <c r="R1574" t="s">
        <v>20005</v>
      </c>
      <c r="S1574" t="s">
        <v>20006</v>
      </c>
      <c r="T1574" t="s">
        <v>19900</v>
      </c>
    </row>
    <row r="1575" spans="2:20" x14ac:dyDescent="0.25">
      <c r="B1575" t="s">
        <v>2709</v>
      </c>
      <c r="C1575">
        <v>27111300</v>
      </c>
      <c r="E1575">
        <v>73.900000000000006</v>
      </c>
      <c r="F1575">
        <v>25</v>
      </c>
      <c r="G1575">
        <v>0</v>
      </c>
      <c r="H1575">
        <v>4.5999999999999996</v>
      </c>
      <c r="I1575">
        <v>1</v>
      </c>
      <c r="J1575">
        <v>0</v>
      </c>
      <c r="L1575" t="s">
        <v>2709</v>
      </c>
      <c r="M1575">
        <v>27111300</v>
      </c>
      <c r="O1575" t="s">
        <v>20004</v>
      </c>
      <c r="P1575" t="s">
        <v>19982</v>
      </c>
      <c r="Q1575" t="s">
        <v>19900</v>
      </c>
      <c r="R1575" t="s">
        <v>20005</v>
      </c>
      <c r="S1575" t="s">
        <v>20006</v>
      </c>
      <c r="T1575" t="s">
        <v>19900</v>
      </c>
    </row>
    <row r="1576" spans="2:20" x14ac:dyDescent="0.25">
      <c r="B1576" t="s">
        <v>2709</v>
      </c>
      <c r="C1576">
        <v>27111400</v>
      </c>
      <c r="E1576">
        <v>73.900000000000006</v>
      </c>
      <c r="F1576">
        <v>25</v>
      </c>
      <c r="G1576">
        <v>0</v>
      </c>
      <c r="H1576">
        <v>0.82</v>
      </c>
      <c r="I1576">
        <v>0.18</v>
      </c>
      <c r="J1576">
        <v>0</v>
      </c>
      <c r="L1576" t="s">
        <v>2709</v>
      </c>
      <c r="M1576">
        <v>27111400</v>
      </c>
      <c r="O1576" t="s">
        <v>20004</v>
      </c>
      <c r="P1576" t="s">
        <v>19982</v>
      </c>
      <c r="Q1576" t="s">
        <v>19900</v>
      </c>
      <c r="R1576" t="s">
        <v>20015</v>
      </c>
      <c r="S1576" t="s">
        <v>20016</v>
      </c>
      <c r="T1576" t="s">
        <v>19900</v>
      </c>
    </row>
    <row r="1577" spans="2:20" x14ac:dyDescent="0.25">
      <c r="B1577" t="s">
        <v>2709</v>
      </c>
      <c r="C1577">
        <v>27111910</v>
      </c>
      <c r="E1577">
        <v>0</v>
      </c>
      <c r="F1577">
        <v>12</v>
      </c>
      <c r="G1577">
        <v>0</v>
      </c>
      <c r="H1577">
        <v>47.4</v>
      </c>
      <c r="I1577">
        <v>10.199999999999999</v>
      </c>
      <c r="J1577">
        <v>0</v>
      </c>
      <c r="L1577" t="s">
        <v>2709</v>
      </c>
      <c r="M1577">
        <v>27111910</v>
      </c>
      <c r="O1577" t="s">
        <v>19900</v>
      </c>
      <c r="P1577" t="s">
        <v>19903</v>
      </c>
      <c r="Q1577" t="s">
        <v>19900</v>
      </c>
      <c r="R1577" t="s">
        <v>20017</v>
      </c>
      <c r="S1577" t="s">
        <v>20018</v>
      </c>
      <c r="T1577" t="s">
        <v>19900</v>
      </c>
    </row>
    <row r="1578" spans="2:20" x14ac:dyDescent="0.25">
      <c r="B1578" t="s">
        <v>2709</v>
      </c>
      <c r="C1578">
        <v>27111990</v>
      </c>
      <c r="E1578">
        <v>73.900000000000006</v>
      </c>
      <c r="F1578">
        <v>25</v>
      </c>
      <c r="G1578">
        <v>0</v>
      </c>
      <c r="H1578">
        <v>4.5999999999999996</v>
      </c>
      <c r="I1578">
        <v>1</v>
      </c>
      <c r="J1578">
        <v>0</v>
      </c>
      <c r="L1578" t="s">
        <v>2709</v>
      </c>
      <c r="M1578">
        <v>27111990</v>
      </c>
      <c r="O1578" t="s">
        <v>20004</v>
      </c>
      <c r="P1578" t="s">
        <v>19982</v>
      </c>
      <c r="Q1578" t="s">
        <v>19900</v>
      </c>
      <c r="R1578" t="s">
        <v>20005</v>
      </c>
      <c r="S1578" t="s">
        <v>20006</v>
      </c>
      <c r="T1578" t="s">
        <v>19900</v>
      </c>
    </row>
    <row r="1579" spans="2:20" x14ac:dyDescent="0.25">
      <c r="B1579" t="s">
        <v>2709</v>
      </c>
      <c r="C1579">
        <v>27112100</v>
      </c>
      <c r="E1579">
        <v>0</v>
      </c>
      <c r="F1579">
        <v>12</v>
      </c>
      <c r="G1579">
        <v>0</v>
      </c>
      <c r="H1579" t="s">
        <v>19447</v>
      </c>
      <c r="I1579" t="s">
        <v>19447</v>
      </c>
      <c r="J1579">
        <v>0</v>
      </c>
      <c r="L1579" t="s">
        <v>2709</v>
      </c>
      <c r="M1579">
        <v>27112100</v>
      </c>
      <c r="O1579" t="s">
        <v>19900</v>
      </c>
      <c r="P1579" t="s">
        <v>19903</v>
      </c>
      <c r="Q1579" t="s">
        <v>19900</v>
      </c>
      <c r="R1579" t="s">
        <v>19447</v>
      </c>
      <c r="S1579" t="s">
        <v>19447</v>
      </c>
      <c r="T1579" t="s">
        <v>19900</v>
      </c>
    </row>
    <row r="1580" spans="2:20" x14ac:dyDescent="0.25">
      <c r="B1580" t="s">
        <v>2709</v>
      </c>
      <c r="C1580">
        <v>27112910</v>
      </c>
      <c r="E1580">
        <v>73.900000000000006</v>
      </c>
      <c r="F1580">
        <v>25</v>
      </c>
      <c r="G1580">
        <v>0</v>
      </c>
      <c r="H1580">
        <v>4.5999999999999996</v>
      </c>
      <c r="I1580">
        <v>1</v>
      </c>
      <c r="J1580">
        <v>0</v>
      </c>
      <c r="L1580" t="s">
        <v>2709</v>
      </c>
      <c r="M1580">
        <v>27112910</v>
      </c>
      <c r="O1580" t="s">
        <v>20004</v>
      </c>
      <c r="P1580" t="s">
        <v>19982</v>
      </c>
      <c r="Q1580" t="s">
        <v>19900</v>
      </c>
      <c r="R1580" t="s">
        <v>20005</v>
      </c>
      <c r="S1580" t="s">
        <v>20006</v>
      </c>
      <c r="T1580" t="s">
        <v>19900</v>
      </c>
    </row>
    <row r="1581" spans="2:20" x14ac:dyDescent="0.25">
      <c r="B1581" t="s">
        <v>2709</v>
      </c>
      <c r="C1581">
        <v>27112990</v>
      </c>
      <c r="E1581">
        <v>73.900000000000006</v>
      </c>
      <c r="F1581">
        <v>25</v>
      </c>
      <c r="G1581">
        <v>0</v>
      </c>
      <c r="H1581">
        <v>4.5999999999999996</v>
      </c>
      <c r="I1581">
        <v>1</v>
      </c>
      <c r="J1581">
        <v>0</v>
      </c>
      <c r="L1581" t="s">
        <v>2709</v>
      </c>
      <c r="M1581">
        <v>27112990</v>
      </c>
      <c r="O1581" t="s">
        <v>20004</v>
      </c>
      <c r="P1581" t="s">
        <v>19982</v>
      </c>
      <c r="Q1581" t="s">
        <v>19900</v>
      </c>
      <c r="R1581" t="s">
        <v>20005</v>
      </c>
      <c r="S1581" t="s">
        <v>20006</v>
      </c>
      <c r="T1581" t="s">
        <v>19900</v>
      </c>
    </row>
    <row r="1582" spans="2:20" x14ac:dyDescent="0.25">
      <c r="B1582" t="s">
        <v>2709</v>
      </c>
      <c r="C1582">
        <v>27121000</v>
      </c>
      <c r="E1582">
        <v>177.19</v>
      </c>
      <c r="F1582">
        <v>25</v>
      </c>
      <c r="G1582">
        <v>8</v>
      </c>
      <c r="H1582">
        <v>4.5999999999999996</v>
      </c>
      <c r="I1582">
        <v>1</v>
      </c>
      <c r="J1582">
        <v>4</v>
      </c>
      <c r="L1582" t="s">
        <v>2709</v>
      </c>
      <c r="M1582">
        <v>27121000</v>
      </c>
      <c r="O1582" t="s">
        <v>19926</v>
      </c>
      <c r="P1582" t="s">
        <v>19982</v>
      </c>
      <c r="Q1582" t="s">
        <v>19918</v>
      </c>
      <c r="R1582" t="s">
        <v>20005</v>
      </c>
      <c r="S1582" t="s">
        <v>20006</v>
      </c>
      <c r="T1582" t="s">
        <v>19902</v>
      </c>
    </row>
    <row r="1583" spans="2:20" x14ac:dyDescent="0.25">
      <c r="B1583" t="s">
        <v>2709</v>
      </c>
      <c r="C1583">
        <v>27122000</v>
      </c>
      <c r="E1583">
        <v>177.19</v>
      </c>
      <c r="F1583">
        <v>25</v>
      </c>
      <c r="G1583">
        <v>0</v>
      </c>
      <c r="H1583">
        <v>4.5999999999999996</v>
      </c>
      <c r="I1583">
        <v>1</v>
      </c>
      <c r="J1583">
        <v>4</v>
      </c>
      <c r="L1583" t="s">
        <v>2709</v>
      </c>
      <c r="M1583">
        <v>27122000</v>
      </c>
      <c r="O1583" t="s">
        <v>19926</v>
      </c>
      <c r="P1583" t="s">
        <v>19982</v>
      </c>
      <c r="Q1583" t="s">
        <v>19900</v>
      </c>
      <c r="R1583" t="s">
        <v>20005</v>
      </c>
      <c r="S1583" t="s">
        <v>20006</v>
      </c>
      <c r="T1583" t="s">
        <v>19902</v>
      </c>
    </row>
    <row r="1584" spans="2:20" x14ac:dyDescent="0.25">
      <c r="B1584" t="s">
        <v>2709</v>
      </c>
      <c r="C1584">
        <v>27129000</v>
      </c>
      <c r="E1584">
        <v>177.19</v>
      </c>
      <c r="F1584">
        <v>25</v>
      </c>
      <c r="G1584">
        <v>0</v>
      </c>
      <c r="H1584">
        <v>4.5999999999999996</v>
      </c>
      <c r="I1584">
        <v>1</v>
      </c>
      <c r="J1584">
        <v>4</v>
      </c>
      <c r="L1584" t="s">
        <v>2709</v>
      </c>
      <c r="M1584">
        <v>27129000</v>
      </c>
      <c r="O1584" t="s">
        <v>19926</v>
      </c>
      <c r="P1584" t="s">
        <v>19982</v>
      </c>
      <c r="Q1584" t="s">
        <v>19900</v>
      </c>
      <c r="R1584" t="s">
        <v>20005</v>
      </c>
      <c r="S1584" t="s">
        <v>20006</v>
      </c>
      <c r="T1584" t="s">
        <v>19902</v>
      </c>
    </row>
    <row r="1585" spans="2:20" x14ac:dyDescent="0.25">
      <c r="B1585" t="s">
        <v>2709</v>
      </c>
      <c r="C1585">
        <v>27131100</v>
      </c>
      <c r="E1585">
        <v>38</v>
      </c>
      <c r="F1585">
        <v>25</v>
      </c>
      <c r="G1585">
        <v>4</v>
      </c>
      <c r="H1585">
        <v>4.5999999999999996</v>
      </c>
      <c r="I1585">
        <v>1</v>
      </c>
      <c r="J1585">
        <v>0</v>
      </c>
      <c r="L1585" t="s">
        <v>2709</v>
      </c>
      <c r="M1585">
        <v>27131100</v>
      </c>
      <c r="O1585" t="s">
        <v>20008</v>
      </c>
      <c r="P1585" t="s">
        <v>19982</v>
      </c>
      <c r="Q1585" t="s">
        <v>19902</v>
      </c>
      <c r="R1585" t="s">
        <v>20005</v>
      </c>
      <c r="S1585" t="s">
        <v>20006</v>
      </c>
      <c r="T1585" t="s">
        <v>19900</v>
      </c>
    </row>
    <row r="1586" spans="2:20" x14ac:dyDescent="0.25">
      <c r="B1586" t="s">
        <v>2709</v>
      </c>
      <c r="C1586">
        <v>27131200</v>
      </c>
      <c r="E1586">
        <v>38</v>
      </c>
      <c r="F1586">
        <v>25</v>
      </c>
      <c r="G1586">
        <v>4</v>
      </c>
      <c r="H1586">
        <v>4.5999999999999996</v>
      </c>
      <c r="I1586">
        <v>1</v>
      </c>
      <c r="J1586">
        <v>2</v>
      </c>
      <c r="L1586" t="s">
        <v>2709</v>
      </c>
      <c r="M1586">
        <v>27131200</v>
      </c>
      <c r="O1586" t="s">
        <v>20008</v>
      </c>
      <c r="P1586" t="s">
        <v>19982</v>
      </c>
      <c r="Q1586" t="s">
        <v>19902</v>
      </c>
      <c r="R1586" t="s">
        <v>20005</v>
      </c>
      <c r="S1586" t="s">
        <v>20006</v>
      </c>
      <c r="T1586" t="s">
        <v>19901</v>
      </c>
    </row>
    <row r="1587" spans="2:20" x14ac:dyDescent="0.25">
      <c r="B1587" t="s">
        <v>2709</v>
      </c>
      <c r="C1587">
        <v>27132000</v>
      </c>
      <c r="E1587">
        <v>38</v>
      </c>
      <c r="F1587">
        <v>25</v>
      </c>
      <c r="G1587">
        <v>0</v>
      </c>
      <c r="H1587">
        <v>4.5999999999999996</v>
      </c>
      <c r="I1587">
        <v>1</v>
      </c>
      <c r="J1587">
        <v>0</v>
      </c>
      <c r="L1587" t="s">
        <v>2709</v>
      </c>
      <c r="M1587">
        <v>27132000</v>
      </c>
      <c r="O1587" t="s">
        <v>20008</v>
      </c>
      <c r="P1587" t="s">
        <v>19982</v>
      </c>
      <c r="Q1587" t="s">
        <v>19900</v>
      </c>
      <c r="R1587" t="s">
        <v>20005</v>
      </c>
      <c r="S1587" t="s">
        <v>20006</v>
      </c>
      <c r="T1587" t="s">
        <v>19900</v>
      </c>
    </row>
    <row r="1588" spans="2:20" x14ac:dyDescent="0.25">
      <c r="B1588" t="s">
        <v>2709</v>
      </c>
      <c r="C1588">
        <v>27139000</v>
      </c>
      <c r="E1588">
        <v>38</v>
      </c>
      <c r="F1588">
        <v>25</v>
      </c>
      <c r="G1588">
        <v>4</v>
      </c>
      <c r="H1588">
        <v>4.5999999999999996</v>
      </c>
      <c r="I1588">
        <v>1</v>
      </c>
      <c r="J1588">
        <v>0</v>
      </c>
      <c r="L1588" t="s">
        <v>2709</v>
      </c>
      <c r="M1588">
        <v>27139000</v>
      </c>
      <c r="O1588" t="s">
        <v>20008</v>
      </c>
      <c r="P1588" t="s">
        <v>19982</v>
      </c>
      <c r="Q1588" t="s">
        <v>19902</v>
      </c>
      <c r="R1588" t="s">
        <v>20005</v>
      </c>
      <c r="S1588" t="s">
        <v>20006</v>
      </c>
      <c r="T1588" t="s">
        <v>19900</v>
      </c>
    </row>
    <row r="1589" spans="2:20" x14ac:dyDescent="0.25">
      <c r="B1589" t="s">
        <v>2709</v>
      </c>
      <c r="C1589">
        <v>27141000</v>
      </c>
      <c r="E1589">
        <v>38</v>
      </c>
      <c r="F1589">
        <v>25</v>
      </c>
      <c r="G1589">
        <v>0</v>
      </c>
      <c r="H1589">
        <v>4.5999999999999996</v>
      </c>
      <c r="I1589">
        <v>1</v>
      </c>
      <c r="J1589">
        <v>0</v>
      </c>
      <c r="L1589" t="s">
        <v>2709</v>
      </c>
      <c r="M1589">
        <v>27141000</v>
      </c>
      <c r="O1589" t="s">
        <v>20008</v>
      </c>
      <c r="P1589" t="s">
        <v>19982</v>
      </c>
      <c r="Q1589" t="s">
        <v>19900</v>
      </c>
      <c r="R1589" t="s">
        <v>20005</v>
      </c>
      <c r="S1589" t="s">
        <v>20006</v>
      </c>
      <c r="T1589" t="s">
        <v>19900</v>
      </c>
    </row>
    <row r="1590" spans="2:20" x14ac:dyDescent="0.25">
      <c r="B1590" t="s">
        <v>2709</v>
      </c>
      <c r="C1590">
        <v>27149000</v>
      </c>
      <c r="E1590">
        <v>38</v>
      </c>
      <c r="F1590">
        <v>25</v>
      </c>
      <c r="G1590">
        <v>0</v>
      </c>
      <c r="H1590">
        <v>4.5999999999999996</v>
      </c>
      <c r="I1590">
        <v>1</v>
      </c>
      <c r="J1590">
        <v>0</v>
      </c>
      <c r="L1590" t="s">
        <v>2709</v>
      </c>
      <c r="M1590">
        <v>27149000</v>
      </c>
      <c r="O1590" t="s">
        <v>20008</v>
      </c>
      <c r="P1590" t="s">
        <v>19982</v>
      </c>
      <c r="Q1590" t="s">
        <v>19900</v>
      </c>
      <c r="R1590" t="s">
        <v>20005</v>
      </c>
      <c r="S1590" t="s">
        <v>20006</v>
      </c>
      <c r="T1590" t="s">
        <v>19900</v>
      </c>
    </row>
    <row r="1591" spans="2:20" x14ac:dyDescent="0.25">
      <c r="B1591" t="s">
        <v>2709</v>
      </c>
      <c r="C1591">
        <v>27150000</v>
      </c>
      <c r="E1591">
        <v>38</v>
      </c>
      <c r="F1591">
        <v>25</v>
      </c>
      <c r="G1591">
        <v>0</v>
      </c>
      <c r="H1591">
        <v>4.5999999999999996</v>
      </c>
      <c r="I1591">
        <v>1</v>
      </c>
      <c r="J1591">
        <v>0</v>
      </c>
      <c r="L1591" t="s">
        <v>2709</v>
      </c>
      <c r="M1591">
        <v>27150000</v>
      </c>
      <c r="O1591" t="s">
        <v>20008</v>
      </c>
      <c r="P1591" t="s">
        <v>19982</v>
      </c>
      <c r="Q1591" t="s">
        <v>19900</v>
      </c>
      <c r="R1591" t="s">
        <v>20005</v>
      </c>
      <c r="S1591" t="s">
        <v>20006</v>
      </c>
      <c r="T1591" t="s">
        <v>19900</v>
      </c>
    </row>
    <row r="1592" spans="2:20" x14ac:dyDescent="0.25">
      <c r="B1592" t="s">
        <v>2709</v>
      </c>
      <c r="C1592">
        <v>27160000</v>
      </c>
      <c r="E1592">
        <v>73.900000000000006</v>
      </c>
      <c r="F1592">
        <v>25</v>
      </c>
      <c r="G1592">
        <v>0</v>
      </c>
      <c r="H1592">
        <v>4.5999999999999996</v>
      </c>
      <c r="I1592">
        <v>1</v>
      </c>
      <c r="J1592">
        <v>0</v>
      </c>
      <c r="L1592" t="s">
        <v>2709</v>
      </c>
      <c r="M1592">
        <v>27160000</v>
      </c>
      <c r="O1592" t="s">
        <v>20004</v>
      </c>
      <c r="P1592" t="s">
        <v>19982</v>
      </c>
      <c r="Q1592" t="s">
        <v>19900</v>
      </c>
      <c r="R1592" t="s">
        <v>20005</v>
      </c>
      <c r="S1592" t="s">
        <v>20006</v>
      </c>
      <c r="T1592" t="s">
        <v>19900</v>
      </c>
    </row>
    <row r="1593" spans="2:20" x14ac:dyDescent="0.25">
      <c r="B1593" t="s">
        <v>2709</v>
      </c>
      <c r="C1593">
        <v>28011000</v>
      </c>
      <c r="E1593">
        <v>57.94</v>
      </c>
      <c r="F1593">
        <v>0</v>
      </c>
      <c r="G1593">
        <v>0</v>
      </c>
      <c r="H1593" t="s">
        <v>19447</v>
      </c>
      <c r="I1593" t="s">
        <v>19447</v>
      </c>
      <c r="J1593">
        <v>8</v>
      </c>
      <c r="L1593" t="s">
        <v>2709</v>
      </c>
      <c r="M1593">
        <v>28011000</v>
      </c>
      <c r="O1593" t="s">
        <v>20019</v>
      </c>
      <c r="P1593" t="s">
        <v>19900</v>
      </c>
      <c r="Q1593" t="s">
        <v>19900</v>
      </c>
      <c r="R1593" t="s">
        <v>19447</v>
      </c>
      <c r="S1593" t="s">
        <v>19447</v>
      </c>
      <c r="T1593" t="s">
        <v>19918</v>
      </c>
    </row>
    <row r="1594" spans="2:20" x14ac:dyDescent="0.25">
      <c r="B1594" t="s">
        <v>2709</v>
      </c>
      <c r="C1594">
        <v>28012010</v>
      </c>
      <c r="E1594">
        <v>177.19</v>
      </c>
      <c r="F1594">
        <v>0</v>
      </c>
      <c r="G1594">
        <v>0</v>
      </c>
      <c r="H1594">
        <v>7.6</v>
      </c>
      <c r="I1594">
        <v>1.65</v>
      </c>
      <c r="J1594">
        <v>2</v>
      </c>
      <c r="L1594" t="s">
        <v>2709</v>
      </c>
      <c r="M1594">
        <v>28012010</v>
      </c>
      <c r="O1594" t="s">
        <v>19926</v>
      </c>
      <c r="P1594" t="s">
        <v>19900</v>
      </c>
      <c r="Q1594" t="s">
        <v>19900</v>
      </c>
      <c r="R1594" t="s">
        <v>19905</v>
      </c>
      <c r="S1594" t="s">
        <v>19906</v>
      </c>
      <c r="T1594" t="s">
        <v>19901</v>
      </c>
    </row>
    <row r="1595" spans="2:20" x14ac:dyDescent="0.25">
      <c r="B1595" t="s">
        <v>2709</v>
      </c>
      <c r="C1595">
        <v>28012090</v>
      </c>
      <c r="E1595">
        <v>177.19</v>
      </c>
      <c r="F1595">
        <v>0</v>
      </c>
      <c r="G1595">
        <v>0</v>
      </c>
      <c r="H1595">
        <v>7.6</v>
      </c>
      <c r="I1595">
        <v>1.65</v>
      </c>
      <c r="J1595">
        <v>2</v>
      </c>
      <c r="L1595" t="s">
        <v>2709</v>
      </c>
      <c r="M1595">
        <v>28012090</v>
      </c>
      <c r="O1595" t="s">
        <v>19926</v>
      </c>
      <c r="P1595" t="s">
        <v>19900</v>
      </c>
      <c r="Q1595" t="s">
        <v>19900</v>
      </c>
      <c r="R1595" t="s">
        <v>19905</v>
      </c>
      <c r="S1595" t="s">
        <v>19906</v>
      </c>
      <c r="T1595" t="s">
        <v>19901</v>
      </c>
    </row>
    <row r="1596" spans="2:20" x14ac:dyDescent="0.25">
      <c r="B1596" t="s">
        <v>2709</v>
      </c>
      <c r="C1596">
        <v>28013000</v>
      </c>
      <c r="E1596">
        <v>177.19</v>
      </c>
      <c r="F1596">
        <v>0</v>
      </c>
      <c r="G1596">
        <v>0</v>
      </c>
      <c r="H1596">
        <v>7.6</v>
      </c>
      <c r="I1596">
        <v>1.65</v>
      </c>
      <c r="J1596">
        <v>2</v>
      </c>
      <c r="L1596" t="s">
        <v>2709</v>
      </c>
      <c r="M1596">
        <v>28013000</v>
      </c>
      <c r="O1596" t="s">
        <v>19926</v>
      </c>
      <c r="P1596" t="s">
        <v>19900</v>
      </c>
      <c r="Q1596" t="s">
        <v>19900</v>
      </c>
      <c r="R1596" t="s">
        <v>19905</v>
      </c>
      <c r="S1596" t="s">
        <v>19906</v>
      </c>
      <c r="T1596" t="s">
        <v>19901</v>
      </c>
    </row>
    <row r="1597" spans="2:20" x14ac:dyDescent="0.25">
      <c r="B1597" t="s">
        <v>2709</v>
      </c>
      <c r="C1597">
        <v>28020000</v>
      </c>
      <c r="E1597">
        <v>177.19</v>
      </c>
      <c r="F1597">
        <v>0</v>
      </c>
      <c r="G1597">
        <v>0</v>
      </c>
      <c r="H1597">
        <v>7.6</v>
      </c>
      <c r="I1597">
        <v>1.65</v>
      </c>
      <c r="J1597">
        <v>2</v>
      </c>
      <c r="L1597" t="s">
        <v>2709</v>
      </c>
      <c r="M1597">
        <v>28020000</v>
      </c>
      <c r="O1597" t="s">
        <v>19926</v>
      </c>
      <c r="P1597" t="s">
        <v>19900</v>
      </c>
      <c r="Q1597" t="s">
        <v>19900</v>
      </c>
      <c r="R1597" t="s">
        <v>19905</v>
      </c>
      <c r="S1597" t="s">
        <v>19906</v>
      </c>
      <c r="T1597" t="s">
        <v>19901</v>
      </c>
    </row>
    <row r="1598" spans="2:20" x14ac:dyDescent="0.25">
      <c r="B1598" t="s">
        <v>2709</v>
      </c>
      <c r="C1598">
        <v>28030011</v>
      </c>
      <c r="E1598">
        <v>177.19</v>
      </c>
      <c r="F1598">
        <v>0</v>
      </c>
      <c r="G1598">
        <v>0</v>
      </c>
      <c r="H1598">
        <v>7.6</v>
      </c>
      <c r="I1598">
        <v>1.65</v>
      </c>
      <c r="J1598">
        <v>2</v>
      </c>
      <c r="L1598" t="s">
        <v>2709</v>
      </c>
      <c r="M1598">
        <v>28030011</v>
      </c>
      <c r="O1598" t="s">
        <v>19926</v>
      </c>
      <c r="P1598" t="s">
        <v>19900</v>
      </c>
      <c r="Q1598" t="s">
        <v>19900</v>
      </c>
      <c r="R1598" t="s">
        <v>19905</v>
      </c>
      <c r="S1598" t="s">
        <v>19906</v>
      </c>
      <c r="T1598" t="s">
        <v>19901</v>
      </c>
    </row>
    <row r="1599" spans="2:20" x14ac:dyDescent="0.25">
      <c r="B1599" t="s">
        <v>2709</v>
      </c>
      <c r="C1599">
        <v>28030019</v>
      </c>
      <c r="E1599">
        <v>177.19</v>
      </c>
      <c r="F1599">
        <v>0</v>
      </c>
      <c r="G1599">
        <v>0</v>
      </c>
      <c r="H1599">
        <v>7.6</v>
      </c>
      <c r="I1599">
        <v>1.65</v>
      </c>
      <c r="J1599">
        <v>8</v>
      </c>
      <c r="L1599" t="s">
        <v>2709</v>
      </c>
      <c r="M1599">
        <v>28030019</v>
      </c>
      <c r="O1599" t="s">
        <v>19926</v>
      </c>
      <c r="P1599" t="s">
        <v>19900</v>
      </c>
      <c r="Q1599" t="s">
        <v>19900</v>
      </c>
      <c r="R1599" t="s">
        <v>19905</v>
      </c>
      <c r="S1599" t="s">
        <v>19906</v>
      </c>
      <c r="T1599" t="s">
        <v>19918</v>
      </c>
    </row>
    <row r="1600" spans="2:20" x14ac:dyDescent="0.25">
      <c r="B1600" t="s">
        <v>2709</v>
      </c>
      <c r="C1600">
        <v>28030090</v>
      </c>
      <c r="E1600">
        <v>87.01</v>
      </c>
      <c r="F1600">
        <v>0</v>
      </c>
      <c r="G1600">
        <v>0</v>
      </c>
      <c r="H1600">
        <v>7.6</v>
      </c>
      <c r="I1600">
        <v>1.65</v>
      </c>
      <c r="J1600">
        <v>8</v>
      </c>
      <c r="L1600" t="s">
        <v>2709</v>
      </c>
      <c r="M1600">
        <v>28030090</v>
      </c>
      <c r="O1600" t="s">
        <v>20020</v>
      </c>
      <c r="P1600" t="s">
        <v>19900</v>
      </c>
      <c r="Q1600" t="s">
        <v>19900</v>
      </c>
      <c r="R1600" t="s">
        <v>19905</v>
      </c>
      <c r="S1600" t="s">
        <v>19906</v>
      </c>
      <c r="T1600" t="s">
        <v>19918</v>
      </c>
    </row>
    <row r="1601" spans="2:20" x14ac:dyDescent="0.25">
      <c r="B1601" t="s">
        <v>2709</v>
      </c>
      <c r="C1601">
        <v>28041000</v>
      </c>
      <c r="E1601">
        <v>177.19</v>
      </c>
      <c r="F1601">
        <v>0</v>
      </c>
      <c r="G1601">
        <v>0</v>
      </c>
      <c r="H1601" t="s">
        <v>19447</v>
      </c>
      <c r="I1601" t="s">
        <v>19447</v>
      </c>
      <c r="J1601">
        <v>6</v>
      </c>
      <c r="L1601" t="s">
        <v>2709</v>
      </c>
      <c r="M1601">
        <v>28041000</v>
      </c>
      <c r="O1601" t="s">
        <v>19926</v>
      </c>
      <c r="P1601" t="s">
        <v>19900</v>
      </c>
      <c r="Q1601" t="s">
        <v>19900</v>
      </c>
      <c r="R1601" t="s">
        <v>19447</v>
      </c>
      <c r="S1601" t="s">
        <v>19447</v>
      </c>
      <c r="T1601" t="s">
        <v>19907</v>
      </c>
    </row>
    <row r="1602" spans="2:20" x14ac:dyDescent="0.25">
      <c r="B1602" t="s">
        <v>2709</v>
      </c>
      <c r="C1602">
        <v>28042100</v>
      </c>
      <c r="E1602">
        <v>177.19</v>
      </c>
      <c r="F1602">
        <v>0</v>
      </c>
      <c r="G1602">
        <v>0</v>
      </c>
      <c r="H1602" t="s">
        <v>19447</v>
      </c>
      <c r="I1602" t="s">
        <v>19447</v>
      </c>
      <c r="J1602">
        <v>6</v>
      </c>
      <c r="L1602" t="s">
        <v>2709</v>
      </c>
      <c r="M1602">
        <v>28042100</v>
      </c>
      <c r="O1602" t="s">
        <v>19926</v>
      </c>
      <c r="P1602" t="s">
        <v>19900</v>
      </c>
      <c r="Q1602" t="s">
        <v>19900</v>
      </c>
      <c r="R1602" t="s">
        <v>19447</v>
      </c>
      <c r="S1602" t="s">
        <v>19447</v>
      </c>
      <c r="T1602" t="s">
        <v>19907</v>
      </c>
    </row>
    <row r="1603" spans="2:20" x14ac:dyDescent="0.25">
      <c r="B1603" t="s">
        <v>2709</v>
      </c>
      <c r="C1603">
        <v>28042910</v>
      </c>
      <c r="E1603">
        <v>177.19</v>
      </c>
      <c r="F1603">
        <v>0</v>
      </c>
      <c r="G1603">
        <v>0</v>
      </c>
      <c r="H1603" t="s">
        <v>19447</v>
      </c>
      <c r="I1603" t="s">
        <v>19447</v>
      </c>
      <c r="J1603">
        <v>2</v>
      </c>
      <c r="L1603" t="s">
        <v>2709</v>
      </c>
      <c r="M1603">
        <v>28042910</v>
      </c>
      <c r="O1603" t="s">
        <v>19926</v>
      </c>
      <c r="P1603" t="s">
        <v>19900</v>
      </c>
      <c r="Q1603" t="s">
        <v>19900</v>
      </c>
      <c r="R1603" t="s">
        <v>19447</v>
      </c>
      <c r="S1603" t="s">
        <v>19447</v>
      </c>
      <c r="T1603" t="s">
        <v>19901</v>
      </c>
    </row>
    <row r="1604" spans="2:20" x14ac:dyDescent="0.25">
      <c r="B1604" t="s">
        <v>2709</v>
      </c>
      <c r="C1604">
        <v>28042990</v>
      </c>
      <c r="E1604">
        <v>177.19</v>
      </c>
      <c r="F1604">
        <v>0</v>
      </c>
      <c r="G1604">
        <v>0</v>
      </c>
      <c r="H1604" t="s">
        <v>19447</v>
      </c>
      <c r="I1604" t="s">
        <v>19447</v>
      </c>
      <c r="J1604">
        <v>2</v>
      </c>
      <c r="L1604" t="s">
        <v>2709</v>
      </c>
      <c r="M1604">
        <v>28042990</v>
      </c>
      <c r="O1604" t="s">
        <v>19926</v>
      </c>
      <c r="P1604" t="s">
        <v>19900</v>
      </c>
      <c r="Q1604" t="s">
        <v>19900</v>
      </c>
      <c r="R1604" t="s">
        <v>19447</v>
      </c>
      <c r="S1604" t="s">
        <v>19447</v>
      </c>
      <c r="T1604" t="s">
        <v>19901</v>
      </c>
    </row>
    <row r="1605" spans="2:20" x14ac:dyDescent="0.25">
      <c r="B1605" t="s">
        <v>2709</v>
      </c>
      <c r="C1605">
        <v>28043000</v>
      </c>
      <c r="E1605">
        <v>177.19</v>
      </c>
      <c r="F1605">
        <v>0</v>
      </c>
      <c r="G1605">
        <v>0</v>
      </c>
      <c r="H1605" t="s">
        <v>19447</v>
      </c>
      <c r="I1605" t="s">
        <v>19447</v>
      </c>
      <c r="J1605">
        <v>6</v>
      </c>
      <c r="L1605" t="s">
        <v>2709</v>
      </c>
      <c r="M1605">
        <v>28043000</v>
      </c>
      <c r="O1605" t="s">
        <v>19926</v>
      </c>
      <c r="P1605" t="s">
        <v>19900</v>
      </c>
      <c r="Q1605" t="s">
        <v>19900</v>
      </c>
      <c r="R1605" t="s">
        <v>19447</v>
      </c>
      <c r="S1605" t="s">
        <v>19447</v>
      </c>
      <c r="T1605" t="s">
        <v>19907</v>
      </c>
    </row>
    <row r="1606" spans="2:20" x14ac:dyDescent="0.25">
      <c r="B1606" t="s">
        <v>2709</v>
      </c>
      <c r="C1606">
        <v>28044000</v>
      </c>
      <c r="E1606">
        <v>177.19</v>
      </c>
      <c r="F1606">
        <v>0</v>
      </c>
      <c r="G1606">
        <v>0</v>
      </c>
      <c r="H1606" t="s">
        <v>19447</v>
      </c>
      <c r="I1606" t="s">
        <v>19447</v>
      </c>
      <c r="J1606">
        <v>6</v>
      </c>
      <c r="L1606" t="s">
        <v>2709</v>
      </c>
      <c r="M1606">
        <v>28044000</v>
      </c>
      <c r="O1606" t="s">
        <v>19926</v>
      </c>
      <c r="P1606" t="s">
        <v>19900</v>
      </c>
      <c r="Q1606" t="s">
        <v>19900</v>
      </c>
      <c r="R1606" t="s">
        <v>19447</v>
      </c>
      <c r="S1606" t="s">
        <v>19447</v>
      </c>
      <c r="T1606" t="s">
        <v>19907</v>
      </c>
    </row>
    <row r="1607" spans="2:20" x14ac:dyDescent="0.25">
      <c r="B1607" t="s">
        <v>2709</v>
      </c>
      <c r="C1607">
        <v>28045000</v>
      </c>
      <c r="E1607">
        <v>177.19</v>
      </c>
      <c r="F1607">
        <v>0</v>
      </c>
      <c r="G1607">
        <v>0</v>
      </c>
      <c r="H1607">
        <v>7.6</v>
      </c>
      <c r="I1607">
        <v>1.65</v>
      </c>
      <c r="J1607">
        <v>2</v>
      </c>
      <c r="L1607" t="s">
        <v>2709</v>
      </c>
      <c r="M1607">
        <v>28045000</v>
      </c>
      <c r="O1607" t="s">
        <v>19926</v>
      </c>
      <c r="P1607" t="s">
        <v>19900</v>
      </c>
      <c r="Q1607" t="s">
        <v>19900</v>
      </c>
      <c r="R1607" t="s">
        <v>19905</v>
      </c>
      <c r="S1607" t="s">
        <v>19906</v>
      </c>
      <c r="T1607" t="s">
        <v>19901</v>
      </c>
    </row>
    <row r="1608" spans="2:20" x14ac:dyDescent="0.25">
      <c r="B1608" t="s">
        <v>2709</v>
      </c>
      <c r="C1608">
        <v>28046100</v>
      </c>
      <c r="E1608">
        <v>177.19</v>
      </c>
      <c r="F1608">
        <v>0</v>
      </c>
      <c r="G1608">
        <v>0</v>
      </c>
      <c r="H1608" t="s">
        <v>19447</v>
      </c>
      <c r="I1608" t="s">
        <v>19447</v>
      </c>
      <c r="J1608">
        <v>6</v>
      </c>
      <c r="L1608" t="s">
        <v>2709</v>
      </c>
      <c r="M1608">
        <v>28046100</v>
      </c>
      <c r="O1608" t="s">
        <v>19926</v>
      </c>
      <c r="P1608" t="s">
        <v>19900</v>
      </c>
      <c r="Q1608" t="s">
        <v>19900</v>
      </c>
      <c r="R1608" t="s">
        <v>19447</v>
      </c>
      <c r="S1608" t="s">
        <v>19447</v>
      </c>
      <c r="T1608" t="s">
        <v>19907</v>
      </c>
    </row>
    <row r="1609" spans="2:20" x14ac:dyDescent="0.25">
      <c r="B1609" t="s">
        <v>2709</v>
      </c>
      <c r="C1609">
        <v>28046900</v>
      </c>
      <c r="E1609">
        <v>177.19</v>
      </c>
      <c r="F1609">
        <v>0</v>
      </c>
      <c r="G1609">
        <v>0</v>
      </c>
      <c r="H1609">
        <v>7.6</v>
      </c>
      <c r="I1609">
        <v>1.65</v>
      </c>
      <c r="J1609">
        <v>6</v>
      </c>
      <c r="L1609" t="s">
        <v>2709</v>
      </c>
      <c r="M1609">
        <v>28046900</v>
      </c>
      <c r="O1609" t="s">
        <v>19926</v>
      </c>
      <c r="P1609" t="s">
        <v>19900</v>
      </c>
      <c r="Q1609" t="s">
        <v>19900</v>
      </c>
      <c r="R1609" t="s">
        <v>19905</v>
      </c>
      <c r="S1609" t="s">
        <v>19906</v>
      </c>
      <c r="T1609" t="s">
        <v>19907</v>
      </c>
    </row>
    <row r="1610" spans="2:20" x14ac:dyDescent="0.25">
      <c r="B1610" t="s">
        <v>2709</v>
      </c>
      <c r="C1610">
        <v>28047010</v>
      </c>
      <c r="E1610">
        <v>177.19</v>
      </c>
      <c r="F1610">
        <v>0</v>
      </c>
      <c r="G1610">
        <v>0</v>
      </c>
      <c r="H1610" t="s">
        <v>19447</v>
      </c>
      <c r="I1610" t="s">
        <v>19447</v>
      </c>
      <c r="J1610">
        <v>2</v>
      </c>
      <c r="L1610" t="s">
        <v>2709</v>
      </c>
      <c r="M1610">
        <v>28047010</v>
      </c>
      <c r="O1610" t="s">
        <v>19926</v>
      </c>
      <c r="P1610" t="s">
        <v>19900</v>
      </c>
      <c r="Q1610" t="s">
        <v>19900</v>
      </c>
      <c r="R1610" t="s">
        <v>19447</v>
      </c>
      <c r="S1610" t="s">
        <v>19447</v>
      </c>
      <c r="T1610" t="s">
        <v>19901</v>
      </c>
    </row>
    <row r="1611" spans="2:20" x14ac:dyDescent="0.25">
      <c r="B1611" t="s">
        <v>2709</v>
      </c>
      <c r="C1611">
        <v>28047020</v>
      </c>
      <c r="E1611">
        <v>177.19</v>
      </c>
      <c r="F1611">
        <v>0</v>
      </c>
      <c r="G1611">
        <v>0</v>
      </c>
      <c r="H1611" t="s">
        <v>19447</v>
      </c>
      <c r="I1611" t="s">
        <v>19447</v>
      </c>
      <c r="J1611">
        <v>2</v>
      </c>
      <c r="L1611" t="s">
        <v>2709</v>
      </c>
      <c r="M1611">
        <v>28047020</v>
      </c>
      <c r="O1611" t="s">
        <v>19926</v>
      </c>
      <c r="P1611" t="s">
        <v>19900</v>
      </c>
      <c r="Q1611" t="s">
        <v>19900</v>
      </c>
      <c r="R1611" t="s">
        <v>19447</v>
      </c>
      <c r="S1611" t="s">
        <v>19447</v>
      </c>
      <c r="T1611" t="s">
        <v>19901</v>
      </c>
    </row>
    <row r="1612" spans="2:20" x14ac:dyDescent="0.25">
      <c r="B1612" t="s">
        <v>2709</v>
      </c>
      <c r="C1612">
        <v>28047030</v>
      </c>
      <c r="E1612">
        <v>177.19</v>
      </c>
      <c r="F1612">
        <v>0</v>
      </c>
      <c r="G1612">
        <v>0</v>
      </c>
      <c r="H1612" t="s">
        <v>19447</v>
      </c>
      <c r="I1612" t="s">
        <v>19447</v>
      </c>
      <c r="J1612">
        <v>2</v>
      </c>
      <c r="L1612" t="s">
        <v>2709</v>
      </c>
      <c r="M1612">
        <v>28047030</v>
      </c>
      <c r="O1612" t="s">
        <v>19926</v>
      </c>
      <c r="P1612" t="s">
        <v>19900</v>
      </c>
      <c r="Q1612" t="s">
        <v>19900</v>
      </c>
      <c r="R1612" t="s">
        <v>19447</v>
      </c>
      <c r="S1612" t="s">
        <v>19447</v>
      </c>
      <c r="T1612" t="s">
        <v>19901</v>
      </c>
    </row>
    <row r="1613" spans="2:20" x14ac:dyDescent="0.25">
      <c r="B1613" t="s">
        <v>2709</v>
      </c>
      <c r="C1613">
        <v>28048000</v>
      </c>
      <c r="E1613">
        <v>177.19</v>
      </c>
      <c r="F1613">
        <v>0</v>
      </c>
      <c r="G1613">
        <v>0</v>
      </c>
      <c r="H1613">
        <v>7.6</v>
      </c>
      <c r="I1613">
        <v>1.65</v>
      </c>
      <c r="J1613">
        <v>2</v>
      </c>
      <c r="L1613" t="s">
        <v>2709</v>
      </c>
      <c r="M1613">
        <v>28048000</v>
      </c>
      <c r="O1613" t="s">
        <v>19926</v>
      </c>
      <c r="P1613" t="s">
        <v>19900</v>
      </c>
      <c r="Q1613" t="s">
        <v>19900</v>
      </c>
      <c r="R1613" t="s">
        <v>19905</v>
      </c>
      <c r="S1613" t="s">
        <v>19906</v>
      </c>
      <c r="T1613" t="s">
        <v>19901</v>
      </c>
    </row>
    <row r="1614" spans="2:20" x14ac:dyDescent="0.25">
      <c r="B1614" t="s">
        <v>2709</v>
      </c>
      <c r="C1614">
        <v>28049000</v>
      </c>
      <c r="E1614">
        <v>177.19</v>
      </c>
      <c r="F1614">
        <v>0</v>
      </c>
      <c r="G1614">
        <v>0</v>
      </c>
      <c r="H1614">
        <v>7.6</v>
      </c>
      <c r="I1614">
        <v>1.65</v>
      </c>
      <c r="J1614">
        <v>2</v>
      </c>
      <c r="L1614" t="s">
        <v>2709</v>
      </c>
      <c r="M1614">
        <v>28049000</v>
      </c>
      <c r="O1614" t="s">
        <v>19926</v>
      </c>
      <c r="P1614" t="s">
        <v>19900</v>
      </c>
      <c r="Q1614" t="s">
        <v>19900</v>
      </c>
      <c r="R1614" t="s">
        <v>19905</v>
      </c>
      <c r="S1614" t="s">
        <v>19906</v>
      </c>
      <c r="T1614" t="s">
        <v>19901</v>
      </c>
    </row>
    <row r="1615" spans="2:20" x14ac:dyDescent="0.25">
      <c r="B1615" t="s">
        <v>2709</v>
      </c>
      <c r="C1615">
        <v>28051100</v>
      </c>
      <c r="E1615">
        <v>177.19</v>
      </c>
      <c r="F1615">
        <v>0</v>
      </c>
      <c r="G1615">
        <v>0</v>
      </c>
      <c r="H1615">
        <v>7.6</v>
      </c>
      <c r="I1615">
        <v>1.65</v>
      </c>
      <c r="J1615">
        <v>2</v>
      </c>
      <c r="L1615" t="s">
        <v>2709</v>
      </c>
      <c r="M1615">
        <v>28051100</v>
      </c>
      <c r="O1615" t="s">
        <v>19926</v>
      </c>
      <c r="P1615" t="s">
        <v>19900</v>
      </c>
      <c r="Q1615" t="s">
        <v>19900</v>
      </c>
      <c r="R1615" t="s">
        <v>19905</v>
      </c>
      <c r="S1615" t="s">
        <v>19906</v>
      </c>
      <c r="T1615" t="s">
        <v>19901</v>
      </c>
    </row>
    <row r="1616" spans="2:20" x14ac:dyDescent="0.25">
      <c r="B1616" t="s">
        <v>2709</v>
      </c>
      <c r="C1616">
        <v>28051200</v>
      </c>
      <c r="E1616">
        <v>177.19</v>
      </c>
      <c r="F1616">
        <v>0</v>
      </c>
      <c r="G1616">
        <v>0</v>
      </c>
      <c r="H1616">
        <v>7.6</v>
      </c>
      <c r="I1616">
        <v>1.65</v>
      </c>
      <c r="J1616">
        <v>2</v>
      </c>
      <c r="L1616" t="s">
        <v>2709</v>
      </c>
      <c r="M1616">
        <v>28051200</v>
      </c>
      <c r="O1616" t="s">
        <v>19926</v>
      </c>
      <c r="P1616" t="s">
        <v>19900</v>
      </c>
      <c r="Q1616" t="s">
        <v>19900</v>
      </c>
      <c r="R1616" t="s">
        <v>19905</v>
      </c>
      <c r="S1616" t="s">
        <v>19906</v>
      </c>
      <c r="T1616" t="s">
        <v>19901</v>
      </c>
    </row>
    <row r="1617" spans="2:20" x14ac:dyDescent="0.25">
      <c r="B1617" t="s">
        <v>2709</v>
      </c>
      <c r="C1617">
        <v>28051910</v>
      </c>
      <c r="E1617">
        <v>177.19</v>
      </c>
      <c r="F1617">
        <v>0</v>
      </c>
      <c r="G1617">
        <v>0</v>
      </c>
      <c r="H1617">
        <v>7.6</v>
      </c>
      <c r="I1617">
        <v>1.65</v>
      </c>
      <c r="J1617">
        <v>2</v>
      </c>
      <c r="L1617" t="s">
        <v>2709</v>
      </c>
      <c r="M1617">
        <v>28051910</v>
      </c>
      <c r="O1617" t="s">
        <v>19926</v>
      </c>
      <c r="P1617" t="s">
        <v>19900</v>
      </c>
      <c r="Q1617" t="s">
        <v>19900</v>
      </c>
      <c r="R1617" t="s">
        <v>19905</v>
      </c>
      <c r="S1617" t="s">
        <v>19906</v>
      </c>
      <c r="T1617" t="s">
        <v>19901</v>
      </c>
    </row>
    <row r="1618" spans="2:20" x14ac:dyDescent="0.25">
      <c r="B1618" t="s">
        <v>2709</v>
      </c>
      <c r="C1618">
        <v>28051920</v>
      </c>
      <c r="E1618">
        <v>177.19</v>
      </c>
      <c r="F1618">
        <v>0</v>
      </c>
      <c r="G1618">
        <v>0</v>
      </c>
      <c r="H1618">
        <v>7.6</v>
      </c>
      <c r="I1618">
        <v>1.65</v>
      </c>
      <c r="J1618">
        <v>2</v>
      </c>
      <c r="L1618" t="s">
        <v>2709</v>
      </c>
      <c r="M1618">
        <v>28051920</v>
      </c>
      <c r="O1618" t="s">
        <v>19926</v>
      </c>
      <c r="P1618" t="s">
        <v>19900</v>
      </c>
      <c r="Q1618" t="s">
        <v>19900</v>
      </c>
      <c r="R1618" t="s">
        <v>19905</v>
      </c>
      <c r="S1618" t="s">
        <v>19906</v>
      </c>
      <c r="T1618" t="s">
        <v>19901</v>
      </c>
    </row>
    <row r="1619" spans="2:20" x14ac:dyDescent="0.25">
      <c r="B1619" t="s">
        <v>2709</v>
      </c>
      <c r="C1619">
        <v>28051990</v>
      </c>
      <c r="E1619">
        <v>177.19</v>
      </c>
      <c r="F1619">
        <v>0</v>
      </c>
      <c r="G1619">
        <v>0</v>
      </c>
      <c r="H1619">
        <v>7.6</v>
      </c>
      <c r="I1619">
        <v>1.65</v>
      </c>
      <c r="J1619">
        <v>2</v>
      </c>
      <c r="L1619" t="s">
        <v>2709</v>
      </c>
      <c r="M1619">
        <v>28051990</v>
      </c>
      <c r="O1619" t="s">
        <v>19926</v>
      </c>
      <c r="P1619" t="s">
        <v>19900</v>
      </c>
      <c r="Q1619" t="s">
        <v>19900</v>
      </c>
      <c r="R1619" t="s">
        <v>19905</v>
      </c>
      <c r="S1619" t="s">
        <v>19906</v>
      </c>
      <c r="T1619" t="s">
        <v>19901</v>
      </c>
    </row>
    <row r="1620" spans="2:20" x14ac:dyDescent="0.25">
      <c r="B1620" t="s">
        <v>2709</v>
      </c>
      <c r="C1620">
        <v>28053010</v>
      </c>
      <c r="E1620">
        <v>177.19</v>
      </c>
      <c r="F1620">
        <v>0</v>
      </c>
      <c r="G1620">
        <v>0</v>
      </c>
      <c r="H1620">
        <v>7.6</v>
      </c>
      <c r="I1620">
        <v>1.65</v>
      </c>
      <c r="J1620">
        <v>2</v>
      </c>
      <c r="L1620" t="s">
        <v>2709</v>
      </c>
      <c r="M1620">
        <v>28053010</v>
      </c>
      <c r="O1620" t="s">
        <v>19926</v>
      </c>
      <c r="P1620" t="s">
        <v>19900</v>
      </c>
      <c r="Q1620" t="s">
        <v>19900</v>
      </c>
      <c r="R1620" t="s">
        <v>19905</v>
      </c>
      <c r="S1620" t="s">
        <v>19906</v>
      </c>
      <c r="T1620" t="s">
        <v>19901</v>
      </c>
    </row>
    <row r="1621" spans="2:20" x14ac:dyDescent="0.25">
      <c r="B1621" t="s">
        <v>2709</v>
      </c>
      <c r="C1621">
        <v>28053090</v>
      </c>
      <c r="E1621">
        <v>177.19</v>
      </c>
      <c r="F1621">
        <v>0</v>
      </c>
      <c r="G1621">
        <v>0</v>
      </c>
      <c r="H1621">
        <v>7.6</v>
      </c>
      <c r="I1621">
        <v>1.65</v>
      </c>
      <c r="J1621">
        <v>2</v>
      </c>
      <c r="L1621" t="s">
        <v>2709</v>
      </c>
      <c r="M1621">
        <v>28053090</v>
      </c>
      <c r="O1621" t="s">
        <v>19926</v>
      </c>
      <c r="P1621" t="s">
        <v>19900</v>
      </c>
      <c r="Q1621" t="s">
        <v>19900</v>
      </c>
      <c r="R1621" t="s">
        <v>19905</v>
      </c>
      <c r="S1621" t="s">
        <v>19906</v>
      </c>
      <c r="T1621" t="s">
        <v>19901</v>
      </c>
    </row>
    <row r="1622" spans="2:20" x14ac:dyDescent="0.25">
      <c r="B1622" t="s">
        <v>2709</v>
      </c>
      <c r="C1622">
        <v>28054000</v>
      </c>
      <c r="E1622">
        <v>177.19</v>
      </c>
      <c r="F1622">
        <v>0</v>
      </c>
      <c r="G1622">
        <v>0</v>
      </c>
      <c r="H1622">
        <v>7.6</v>
      </c>
      <c r="I1622">
        <v>1.65</v>
      </c>
      <c r="J1622">
        <v>2</v>
      </c>
      <c r="L1622" t="s">
        <v>2709</v>
      </c>
      <c r="M1622">
        <v>28054000</v>
      </c>
      <c r="O1622" t="s">
        <v>19926</v>
      </c>
      <c r="P1622" t="s">
        <v>19900</v>
      </c>
      <c r="Q1622" t="s">
        <v>19900</v>
      </c>
      <c r="R1622" t="s">
        <v>19905</v>
      </c>
      <c r="S1622" t="s">
        <v>19906</v>
      </c>
      <c r="T1622" t="s">
        <v>19901</v>
      </c>
    </row>
    <row r="1623" spans="2:20" x14ac:dyDescent="0.25">
      <c r="B1623" t="s">
        <v>2709</v>
      </c>
      <c r="C1623">
        <v>28061010</v>
      </c>
      <c r="E1623">
        <v>177.19</v>
      </c>
      <c r="F1623">
        <v>0</v>
      </c>
      <c r="G1623">
        <v>0</v>
      </c>
      <c r="H1623" t="s">
        <v>19447</v>
      </c>
      <c r="I1623" t="s">
        <v>19447</v>
      </c>
      <c r="J1623">
        <v>6</v>
      </c>
      <c r="L1623" t="s">
        <v>2709</v>
      </c>
      <c r="M1623">
        <v>28061010</v>
      </c>
      <c r="O1623" t="s">
        <v>19926</v>
      </c>
      <c r="P1623" t="s">
        <v>19900</v>
      </c>
      <c r="Q1623" t="s">
        <v>19900</v>
      </c>
      <c r="R1623" t="s">
        <v>19447</v>
      </c>
      <c r="S1623" t="s">
        <v>19447</v>
      </c>
      <c r="T1623" t="s">
        <v>19907</v>
      </c>
    </row>
    <row r="1624" spans="2:20" x14ac:dyDescent="0.25">
      <c r="B1624" t="s">
        <v>2709</v>
      </c>
      <c r="C1624">
        <v>28061020</v>
      </c>
      <c r="E1624">
        <v>82.12</v>
      </c>
      <c r="F1624">
        <v>0</v>
      </c>
      <c r="G1624">
        <v>0</v>
      </c>
      <c r="H1624" t="s">
        <v>19447</v>
      </c>
      <c r="I1624" t="s">
        <v>19447</v>
      </c>
      <c r="J1624">
        <v>8</v>
      </c>
      <c r="L1624" t="s">
        <v>2709</v>
      </c>
      <c r="M1624">
        <v>28061020</v>
      </c>
      <c r="O1624" t="s">
        <v>20021</v>
      </c>
      <c r="P1624" t="s">
        <v>19900</v>
      </c>
      <c r="Q1624" t="s">
        <v>19900</v>
      </c>
      <c r="R1624" t="s">
        <v>19447</v>
      </c>
      <c r="S1624" t="s">
        <v>19447</v>
      </c>
      <c r="T1624" t="s">
        <v>19918</v>
      </c>
    </row>
    <row r="1625" spans="2:20" x14ac:dyDescent="0.25">
      <c r="B1625" t="s">
        <v>2709</v>
      </c>
      <c r="C1625">
        <v>28062000</v>
      </c>
      <c r="E1625">
        <v>177.19</v>
      </c>
      <c r="F1625">
        <v>0</v>
      </c>
      <c r="G1625">
        <v>0</v>
      </c>
      <c r="H1625">
        <v>7.6</v>
      </c>
      <c r="I1625">
        <v>1.65</v>
      </c>
      <c r="J1625">
        <v>10</v>
      </c>
      <c r="L1625" t="s">
        <v>2709</v>
      </c>
      <c r="M1625">
        <v>28062000</v>
      </c>
      <c r="O1625" t="s">
        <v>19926</v>
      </c>
      <c r="P1625" t="s">
        <v>19900</v>
      </c>
      <c r="Q1625" t="s">
        <v>19900</v>
      </c>
      <c r="R1625" t="s">
        <v>19905</v>
      </c>
      <c r="S1625" t="s">
        <v>19906</v>
      </c>
      <c r="T1625" t="s">
        <v>19904</v>
      </c>
    </row>
    <row r="1626" spans="2:20" x14ac:dyDescent="0.25">
      <c r="B1626" t="s">
        <v>2709</v>
      </c>
      <c r="C1626">
        <v>28070010</v>
      </c>
      <c r="E1626">
        <v>54.89</v>
      </c>
      <c r="F1626">
        <v>0</v>
      </c>
      <c r="G1626">
        <v>0</v>
      </c>
      <c r="H1626" t="s">
        <v>19447</v>
      </c>
      <c r="I1626" t="s">
        <v>19447</v>
      </c>
      <c r="J1626">
        <v>4</v>
      </c>
      <c r="L1626" t="s">
        <v>2709</v>
      </c>
      <c r="M1626">
        <v>28070010</v>
      </c>
      <c r="O1626" t="s">
        <v>20022</v>
      </c>
      <c r="P1626" t="s">
        <v>19900</v>
      </c>
      <c r="Q1626" t="s">
        <v>19900</v>
      </c>
      <c r="R1626" t="s">
        <v>19447</v>
      </c>
      <c r="S1626" t="s">
        <v>19447</v>
      </c>
      <c r="T1626" t="s">
        <v>19902</v>
      </c>
    </row>
    <row r="1627" spans="2:20" x14ac:dyDescent="0.25">
      <c r="B1627" t="s">
        <v>2709</v>
      </c>
      <c r="C1627">
        <v>28070020</v>
      </c>
      <c r="E1627">
        <v>177.19</v>
      </c>
      <c r="F1627">
        <v>0</v>
      </c>
      <c r="G1627">
        <v>0</v>
      </c>
      <c r="H1627" t="s">
        <v>19447</v>
      </c>
      <c r="I1627" t="s">
        <v>19447</v>
      </c>
      <c r="J1627">
        <v>4</v>
      </c>
      <c r="L1627" t="s">
        <v>2709</v>
      </c>
      <c r="M1627">
        <v>28070020</v>
      </c>
      <c r="O1627" t="s">
        <v>19926</v>
      </c>
      <c r="P1627" t="s">
        <v>19900</v>
      </c>
      <c r="Q1627" t="s">
        <v>19900</v>
      </c>
      <c r="R1627" t="s">
        <v>19447</v>
      </c>
      <c r="S1627" t="s">
        <v>19447</v>
      </c>
      <c r="T1627" t="s">
        <v>19902</v>
      </c>
    </row>
    <row r="1628" spans="2:20" x14ac:dyDescent="0.25">
      <c r="B1628" t="s">
        <v>2709</v>
      </c>
      <c r="C1628">
        <v>28080010</v>
      </c>
      <c r="E1628">
        <v>177.19</v>
      </c>
      <c r="F1628">
        <v>0</v>
      </c>
      <c r="G1628">
        <v>0</v>
      </c>
      <c r="H1628" t="s">
        <v>19447</v>
      </c>
      <c r="I1628" t="s">
        <v>19447</v>
      </c>
      <c r="J1628">
        <v>10</v>
      </c>
      <c r="L1628" t="s">
        <v>2709</v>
      </c>
      <c r="M1628">
        <v>28080010</v>
      </c>
      <c r="O1628" t="s">
        <v>19926</v>
      </c>
      <c r="P1628" t="s">
        <v>19900</v>
      </c>
      <c r="Q1628" t="s">
        <v>19900</v>
      </c>
      <c r="R1628" t="s">
        <v>19447</v>
      </c>
      <c r="S1628" t="s">
        <v>19447</v>
      </c>
      <c r="T1628" t="s">
        <v>19904</v>
      </c>
    </row>
    <row r="1629" spans="2:20" x14ac:dyDescent="0.25">
      <c r="B1629" t="s">
        <v>2709</v>
      </c>
      <c r="C1629">
        <v>28080020</v>
      </c>
      <c r="E1629">
        <v>177.19</v>
      </c>
      <c r="F1629">
        <v>0</v>
      </c>
      <c r="G1629">
        <v>0</v>
      </c>
      <c r="H1629">
        <v>7.6</v>
      </c>
      <c r="I1629">
        <v>1.65</v>
      </c>
      <c r="J1629">
        <v>10</v>
      </c>
      <c r="L1629" t="s">
        <v>2709</v>
      </c>
      <c r="M1629">
        <v>28080020</v>
      </c>
      <c r="O1629" t="s">
        <v>19926</v>
      </c>
      <c r="P1629" t="s">
        <v>19900</v>
      </c>
      <c r="Q1629" t="s">
        <v>19900</v>
      </c>
      <c r="R1629" t="s">
        <v>19905</v>
      </c>
      <c r="S1629" t="s">
        <v>19906</v>
      </c>
      <c r="T1629" t="s">
        <v>19904</v>
      </c>
    </row>
    <row r="1630" spans="2:20" x14ac:dyDescent="0.25">
      <c r="B1630" t="s">
        <v>2709</v>
      </c>
      <c r="C1630">
        <v>28091000</v>
      </c>
      <c r="E1630">
        <v>177.19</v>
      </c>
      <c r="F1630">
        <v>0</v>
      </c>
      <c r="G1630">
        <v>0</v>
      </c>
      <c r="H1630">
        <v>7.6</v>
      </c>
      <c r="I1630">
        <v>1.65</v>
      </c>
      <c r="J1630">
        <v>2</v>
      </c>
      <c r="L1630" t="s">
        <v>2709</v>
      </c>
      <c r="M1630">
        <v>28091000</v>
      </c>
      <c r="O1630" t="s">
        <v>19926</v>
      </c>
      <c r="P1630" t="s">
        <v>19900</v>
      </c>
      <c r="Q1630" t="s">
        <v>19900</v>
      </c>
      <c r="R1630" t="s">
        <v>19905</v>
      </c>
      <c r="S1630" t="s">
        <v>19906</v>
      </c>
      <c r="T1630" t="s">
        <v>19901</v>
      </c>
    </row>
    <row r="1631" spans="2:20" x14ac:dyDescent="0.25">
      <c r="B1631" t="s">
        <v>2709</v>
      </c>
      <c r="C1631">
        <v>28092011</v>
      </c>
      <c r="E1631">
        <v>54.89</v>
      </c>
      <c r="F1631">
        <v>0</v>
      </c>
      <c r="G1631">
        <v>0</v>
      </c>
      <c r="H1631" t="s">
        <v>19447</v>
      </c>
      <c r="I1631" t="s">
        <v>19447</v>
      </c>
      <c r="J1631">
        <v>10</v>
      </c>
      <c r="L1631" t="s">
        <v>2709</v>
      </c>
      <c r="M1631">
        <v>28092011</v>
      </c>
      <c r="O1631" t="s">
        <v>20022</v>
      </c>
      <c r="P1631" t="s">
        <v>19900</v>
      </c>
      <c r="Q1631" t="s">
        <v>19900</v>
      </c>
      <c r="R1631" t="s">
        <v>19447</v>
      </c>
      <c r="S1631" t="s">
        <v>19447</v>
      </c>
      <c r="T1631" t="s">
        <v>19904</v>
      </c>
    </row>
    <row r="1632" spans="2:20" x14ac:dyDescent="0.25">
      <c r="B1632" t="s">
        <v>2709</v>
      </c>
      <c r="C1632">
        <v>28092019</v>
      </c>
      <c r="E1632">
        <v>54.89</v>
      </c>
      <c r="F1632">
        <v>0</v>
      </c>
      <c r="G1632">
        <v>0</v>
      </c>
      <c r="H1632" t="s">
        <v>19447</v>
      </c>
      <c r="I1632" t="s">
        <v>19447</v>
      </c>
      <c r="J1632">
        <v>4</v>
      </c>
      <c r="L1632" t="s">
        <v>2709</v>
      </c>
      <c r="M1632">
        <v>28092019</v>
      </c>
      <c r="O1632" t="s">
        <v>20022</v>
      </c>
      <c r="P1632" t="s">
        <v>19900</v>
      </c>
      <c r="Q1632" t="s">
        <v>19900</v>
      </c>
      <c r="R1632" t="s">
        <v>19447</v>
      </c>
      <c r="S1632" t="s">
        <v>19447</v>
      </c>
      <c r="T1632" t="s">
        <v>19902</v>
      </c>
    </row>
    <row r="1633" spans="2:20" x14ac:dyDescent="0.25">
      <c r="B1633" t="s">
        <v>2709</v>
      </c>
      <c r="C1633">
        <v>28092020</v>
      </c>
      <c r="E1633">
        <v>177.19</v>
      </c>
      <c r="F1633">
        <v>0</v>
      </c>
      <c r="G1633">
        <v>0</v>
      </c>
      <c r="H1633">
        <v>7.6</v>
      </c>
      <c r="I1633">
        <v>1.65</v>
      </c>
      <c r="J1633">
        <v>2</v>
      </c>
      <c r="L1633" t="s">
        <v>2709</v>
      </c>
      <c r="M1633">
        <v>28092020</v>
      </c>
      <c r="O1633" t="s">
        <v>19926</v>
      </c>
      <c r="P1633" t="s">
        <v>19900</v>
      </c>
      <c r="Q1633" t="s">
        <v>19900</v>
      </c>
      <c r="R1633" t="s">
        <v>19905</v>
      </c>
      <c r="S1633" t="s">
        <v>19906</v>
      </c>
      <c r="T1633" t="s">
        <v>19901</v>
      </c>
    </row>
    <row r="1634" spans="2:20" x14ac:dyDescent="0.25">
      <c r="B1634" t="s">
        <v>2709</v>
      </c>
      <c r="C1634">
        <v>28092030</v>
      </c>
      <c r="E1634">
        <v>177.19</v>
      </c>
      <c r="F1634">
        <v>0</v>
      </c>
      <c r="G1634">
        <v>0</v>
      </c>
      <c r="H1634">
        <v>7.6</v>
      </c>
      <c r="I1634">
        <v>1.65</v>
      </c>
      <c r="J1634">
        <v>2</v>
      </c>
      <c r="L1634" t="s">
        <v>2709</v>
      </c>
      <c r="M1634">
        <v>28092030</v>
      </c>
      <c r="O1634" t="s">
        <v>19926</v>
      </c>
      <c r="P1634" t="s">
        <v>19900</v>
      </c>
      <c r="Q1634" t="s">
        <v>19900</v>
      </c>
      <c r="R1634" t="s">
        <v>19905</v>
      </c>
      <c r="S1634" t="s">
        <v>19906</v>
      </c>
      <c r="T1634" t="s">
        <v>19901</v>
      </c>
    </row>
    <row r="1635" spans="2:20" x14ac:dyDescent="0.25">
      <c r="B1635" t="s">
        <v>2709</v>
      </c>
      <c r="C1635">
        <v>28092090</v>
      </c>
      <c r="E1635">
        <v>177.19</v>
      </c>
      <c r="F1635">
        <v>0</v>
      </c>
      <c r="G1635">
        <v>0</v>
      </c>
      <c r="H1635">
        <v>7.6</v>
      </c>
      <c r="I1635">
        <v>1.65</v>
      </c>
      <c r="J1635">
        <v>2</v>
      </c>
      <c r="L1635" t="s">
        <v>2709</v>
      </c>
      <c r="M1635">
        <v>28092090</v>
      </c>
      <c r="O1635" t="s">
        <v>19926</v>
      </c>
      <c r="P1635" t="s">
        <v>19900</v>
      </c>
      <c r="Q1635" t="s">
        <v>19900</v>
      </c>
      <c r="R1635" t="s">
        <v>19905</v>
      </c>
      <c r="S1635" t="s">
        <v>19906</v>
      </c>
      <c r="T1635" t="s">
        <v>19901</v>
      </c>
    </row>
    <row r="1636" spans="2:20" x14ac:dyDescent="0.25">
      <c r="B1636" t="s">
        <v>2709</v>
      </c>
      <c r="C1636">
        <v>28100010</v>
      </c>
      <c r="E1636">
        <v>177.19</v>
      </c>
      <c r="F1636">
        <v>0</v>
      </c>
      <c r="G1636">
        <v>0</v>
      </c>
      <c r="H1636">
        <v>7.6</v>
      </c>
      <c r="I1636">
        <v>1.65</v>
      </c>
      <c r="J1636">
        <v>10</v>
      </c>
      <c r="L1636" t="s">
        <v>2709</v>
      </c>
      <c r="M1636">
        <v>28100010</v>
      </c>
      <c r="O1636" t="s">
        <v>19926</v>
      </c>
      <c r="P1636" t="s">
        <v>19900</v>
      </c>
      <c r="Q1636" t="s">
        <v>19900</v>
      </c>
      <c r="R1636" t="s">
        <v>19905</v>
      </c>
      <c r="S1636" t="s">
        <v>19906</v>
      </c>
      <c r="T1636" t="s">
        <v>19904</v>
      </c>
    </row>
    <row r="1637" spans="2:20" x14ac:dyDescent="0.25">
      <c r="B1637" t="s">
        <v>2709</v>
      </c>
      <c r="C1637">
        <v>28100090</v>
      </c>
      <c r="E1637">
        <v>177.19</v>
      </c>
      <c r="F1637">
        <v>0</v>
      </c>
      <c r="G1637">
        <v>0</v>
      </c>
      <c r="H1637">
        <v>7.6</v>
      </c>
      <c r="I1637">
        <v>1.65</v>
      </c>
      <c r="J1637">
        <v>10</v>
      </c>
      <c r="L1637" t="s">
        <v>2709</v>
      </c>
      <c r="M1637">
        <v>28100090</v>
      </c>
      <c r="O1637" t="s">
        <v>19926</v>
      </c>
      <c r="P1637" t="s">
        <v>19900</v>
      </c>
      <c r="Q1637" t="s">
        <v>19900</v>
      </c>
      <c r="R1637" t="s">
        <v>19905</v>
      </c>
      <c r="S1637" t="s">
        <v>19906</v>
      </c>
      <c r="T1637" t="s">
        <v>19904</v>
      </c>
    </row>
    <row r="1638" spans="2:20" x14ac:dyDescent="0.25">
      <c r="B1638" t="s">
        <v>2709</v>
      </c>
      <c r="C1638">
        <v>28111100</v>
      </c>
      <c r="E1638">
        <v>177.19</v>
      </c>
      <c r="F1638">
        <v>0</v>
      </c>
      <c r="G1638">
        <v>0</v>
      </c>
      <c r="H1638" t="s">
        <v>19447</v>
      </c>
      <c r="I1638" t="s">
        <v>19447</v>
      </c>
      <c r="J1638">
        <v>10</v>
      </c>
      <c r="L1638" t="s">
        <v>2709</v>
      </c>
      <c r="M1638">
        <v>28111100</v>
      </c>
      <c r="O1638" t="s">
        <v>19926</v>
      </c>
      <c r="P1638" t="s">
        <v>19900</v>
      </c>
      <c r="Q1638" t="s">
        <v>19900</v>
      </c>
      <c r="R1638" t="s">
        <v>19447</v>
      </c>
      <c r="S1638" t="s">
        <v>19447</v>
      </c>
      <c r="T1638" t="s">
        <v>19904</v>
      </c>
    </row>
    <row r="1639" spans="2:20" x14ac:dyDescent="0.25">
      <c r="B1639" t="s">
        <v>2709</v>
      </c>
      <c r="C1639">
        <v>28111910</v>
      </c>
      <c r="E1639">
        <v>177.19</v>
      </c>
      <c r="F1639">
        <v>0</v>
      </c>
      <c r="G1639">
        <v>0</v>
      </c>
      <c r="H1639">
        <v>7.6</v>
      </c>
      <c r="I1639">
        <v>1.65</v>
      </c>
      <c r="J1639">
        <v>2</v>
      </c>
      <c r="L1639" t="s">
        <v>2709</v>
      </c>
      <c r="M1639">
        <v>28111910</v>
      </c>
      <c r="O1639" t="s">
        <v>19926</v>
      </c>
      <c r="P1639" t="s">
        <v>19900</v>
      </c>
      <c r="Q1639" t="s">
        <v>19900</v>
      </c>
      <c r="R1639" t="s">
        <v>19905</v>
      </c>
      <c r="S1639" t="s">
        <v>19906</v>
      </c>
      <c r="T1639" t="s">
        <v>19901</v>
      </c>
    </row>
    <row r="1640" spans="2:20" x14ac:dyDescent="0.25">
      <c r="B1640" t="s">
        <v>2709</v>
      </c>
      <c r="C1640">
        <v>28111920</v>
      </c>
      <c r="E1640">
        <v>177.19</v>
      </c>
      <c r="F1640">
        <v>0</v>
      </c>
      <c r="G1640">
        <v>0</v>
      </c>
      <c r="H1640">
        <v>7.6</v>
      </c>
      <c r="I1640">
        <v>1.65</v>
      </c>
      <c r="J1640">
        <v>2</v>
      </c>
      <c r="L1640" t="s">
        <v>2709</v>
      </c>
      <c r="M1640">
        <v>28111920</v>
      </c>
      <c r="O1640" t="s">
        <v>19926</v>
      </c>
      <c r="P1640" t="s">
        <v>19900</v>
      </c>
      <c r="Q1640" t="s">
        <v>19900</v>
      </c>
      <c r="R1640" t="s">
        <v>19905</v>
      </c>
      <c r="S1640" t="s">
        <v>19906</v>
      </c>
      <c r="T1640" t="s">
        <v>19901</v>
      </c>
    </row>
    <row r="1641" spans="2:20" x14ac:dyDescent="0.25">
      <c r="B1641" t="s">
        <v>2709</v>
      </c>
      <c r="C1641">
        <v>28111930</v>
      </c>
      <c r="E1641">
        <v>177.19</v>
      </c>
      <c r="F1641">
        <v>0</v>
      </c>
      <c r="G1641">
        <v>0</v>
      </c>
      <c r="H1641">
        <v>7.6</v>
      </c>
      <c r="I1641">
        <v>1.65</v>
      </c>
      <c r="J1641">
        <v>10</v>
      </c>
      <c r="L1641" t="s">
        <v>2709</v>
      </c>
      <c r="M1641">
        <v>28111930</v>
      </c>
      <c r="O1641" t="s">
        <v>19926</v>
      </c>
      <c r="P1641" t="s">
        <v>19900</v>
      </c>
      <c r="Q1641" t="s">
        <v>19900</v>
      </c>
      <c r="R1641" t="s">
        <v>19905</v>
      </c>
      <c r="S1641" t="s">
        <v>19906</v>
      </c>
      <c r="T1641" t="s">
        <v>19904</v>
      </c>
    </row>
    <row r="1642" spans="2:20" x14ac:dyDescent="0.25">
      <c r="B1642" t="s">
        <v>2709</v>
      </c>
      <c r="C1642">
        <v>28111940</v>
      </c>
      <c r="E1642">
        <v>177.19</v>
      </c>
      <c r="F1642">
        <v>0</v>
      </c>
      <c r="G1642">
        <v>0</v>
      </c>
      <c r="H1642">
        <v>7.6</v>
      </c>
      <c r="I1642">
        <v>1.65</v>
      </c>
      <c r="J1642">
        <v>10</v>
      </c>
      <c r="L1642" t="s">
        <v>2709</v>
      </c>
      <c r="M1642">
        <v>28111940</v>
      </c>
      <c r="O1642" t="s">
        <v>19926</v>
      </c>
      <c r="P1642" t="s">
        <v>19900</v>
      </c>
      <c r="Q1642" t="s">
        <v>19900</v>
      </c>
      <c r="R1642" t="s">
        <v>19905</v>
      </c>
      <c r="S1642" t="s">
        <v>19906</v>
      </c>
      <c r="T1642" t="s">
        <v>19904</v>
      </c>
    </row>
    <row r="1643" spans="2:20" x14ac:dyDescent="0.25">
      <c r="B1643" t="s">
        <v>2709</v>
      </c>
      <c r="C1643">
        <v>28111950</v>
      </c>
      <c r="E1643">
        <v>177.19</v>
      </c>
      <c r="F1643">
        <v>0</v>
      </c>
      <c r="G1643">
        <v>0</v>
      </c>
      <c r="H1643">
        <v>7.6</v>
      </c>
      <c r="I1643">
        <v>1.65</v>
      </c>
      <c r="J1643">
        <v>2</v>
      </c>
      <c r="L1643" t="s">
        <v>2709</v>
      </c>
      <c r="M1643">
        <v>28111950</v>
      </c>
      <c r="O1643" t="s">
        <v>19926</v>
      </c>
      <c r="P1643" t="s">
        <v>19900</v>
      </c>
      <c r="Q1643" t="s">
        <v>19900</v>
      </c>
      <c r="R1643" t="s">
        <v>19905</v>
      </c>
      <c r="S1643" t="s">
        <v>19906</v>
      </c>
      <c r="T1643" t="s">
        <v>19901</v>
      </c>
    </row>
    <row r="1644" spans="2:20" x14ac:dyDescent="0.25">
      <c r="B1644" t="s">
        <v>2709</v>
      </c>
      <c r="C1644">
        <v>28111990</v>
      </c>
      <c r="E1644">
        <v>177.19</v>
      </c>
      <c r="F1644">
        <v>0</v>
      </c>
      <c r="G1644">
        <v>0</v>
      </c>
      <c r="H1644" t="s">
        <v>19447</v>
      </c>
      <c r="I1644" t="s">
        <v>19447</v>
      </c>
      <c r="J1644">
        <v>2</v>
      </c>
      <c r="L1644" t="s">
        <v>2709</v>
      </c>
      <c r="M1644">
        <v>28111990</v>
      </c>
      <c r="O1644" t="s">
        <v>19926</v>
      </c>
      <c r="P1644" t="s">
        <v>19900</v>
      </c>
      <c r="Q1644" t="s">
        <v>19900</v>
      </c>
      <c r="R1644" t="s">
        <v>19447</v>
      </c>
      <c r="S1644" t="s">
        <v>19447</v>
      </c>
      <c r="T1644" t="s">
        <v>19901</v>
      </c>
    </row>
    <row r="1645" spans="2:20" x14ac:dyDescent="0.25">
      <c r="B1645" t="s">
        <v>2709</v>
      </c>
      <c r="C1645">
        <v>28112100</v>
      </c>
      <c r="E1645">
        <v>177.19</v>
      </c>
      <c r="F1645">
        <v>0</v>
      </c>
      <c r="G1645">
        <v>0</v>
      </c>
      <c r="H1645" t="s">
        <v>19447</v>
      </c>
      <c r="I1645" t="s">
        <v>19447</v>
      </c>
      <c r="J1645">
        <v>4</v>
      </c>
      <c r="L1645" t="s">
        <v>2709</v>
      </c>
      <c r="M1645">
        <v>28112100</v>
      </c>
      <c r="O1645" t="s">
        <v>19926</v>
      </c>
      <c r="P1645" t="s">
        <v>19900</v>
      </c>
      <c r="Q1645" t="s">
        <v>19900</v>
      </c>
      <c r="R1645" t="s">
        <v>19447</v>
      </c>
      <c r="S1645" t="s">
        <v>19447</v>
      </c>
      <c r="T1645" t="s">
        <v>19902</v>
      </c>
    </row>
    <row r="1646" spans="2:20" x14ac:dyDescent="0.25">
      <c r="B1646" t="s">
        <v>2709</v>
      </c>
      <c r="C1646">
        <v>28112210</v>
      </c>
      <c r="E1646">
        <v>177.19</v>
      </c>
      <c r="F1646">
        <v>0</v>
      </c>
      <c r="G1646">
        <v>0</v>
      </c>
      <c r="H1646">
        <v>7.6</v>
      </c>
      <c r="I1646">
        <v>1.65</v>
      </c>
      <c r="J1646">
        <v>10</v>
      </c>
      <c r="L1646" t="s">
        <v>2709</v>
      </c>
      <c r="M1646">
        <v>28112210</v>
      </c>
      <c r="O1646" t="s">
        <v>19926</v>
      </c>
      <c r="P1646" t="s">
        <v>19900</v>
      </c>
      <c r="Q1646" t="s">
        <v>19900</v>
      </c>
      <c r="R1646" t="s">
        <v>19905</v>
      </c>
      <c r="S1646" t="s">
        <v>19906</v>
      </c>
      <c r="T1646" t="s">
        <v>19904</v>
      </c>
    </row>
    <row r="1647" spans="2:20" x14ac:dyDescent="0.25">
      <c r="B1647" t="s">
        <v>2709</v>
      </c>
      <c r="C1647">
        <v>28112220</v>
      </c>
      <c r="E1647">
        <v>177.19</v>
      </c>
      <c r="F1647">
        <v>0</v>
      </c>
      <c r="G1647">
        <v>0</v>
      </c>
      <c r="H1647">
        <v>7.6</v>
      </c>
      <c r="I1647">
        <v>1.65</v>
      </c>
      <c r="J1647">
        <v>2</v>
      </c>
      <c r="L1647" t="s">
        <v>2709</v>
      </c>
      <c r="M1647">
        <v>28112220</v>
      </c>
      <c r="O1647" t="s">
        <v>19926</v>
      </c>
      <c r="P1647" t="s">
        <v>19900</v>
      </c>
      <c r="Q1647" t="s">
        <v>19900</v>
      </c>
      <c r="R1647" t="s">
        <v>19905</v>
      </c>
      <c r="S1647" t="s">
        <v>19906</v>
      </c>
      <c r="T1647" t="s">
        <v>19901</v>
      </c>
    </row>
    <row r="1648" spans="2:20" x14ac:dyDescent="0.25">
      <c r="B1648" t="s">
        <v>2709</v>
      </c>
      <c r="C1648">
        <v>28112230</v>
      </c>
      <c r="E1648">
        <v>177.19</v>
      </c>
      <c r="F1648">
        <v>0</v>
      </c>
      <c r="G1648">
        <v>0</v>
      </c>
      <c r="H1648">
        <v>7.6</v>
      </c>
      <c r="I1648">
        <v>1.65</v>
      </c>
      <c r="J1648">
        <v>10</v>
      </c>
      <c r="L1648" t="s">
        <v>2709</v>
      </c>
      <c r="M1648">
        <v>28112230</v>
      </c>
      <c r="O1648" t="s">
        <v>19926</v>
      </c>
      <c r="P1648" t="s">
        <v>19900</v>
      </c>
      <c r="Q1648" t="s">
        <v>19900</v>
      </c>
      <c r="R1648" t="s">
        <v>19905</v>
      </c>
      <c r="S1648" t="s">
        <v>19906</v>
      </c>
      <c r="T1648" t="s">
        <v>19904</v>
      </c>
    </row>
    <row r="1649" spans="2:20" x14ac:dyDescent="0.25">
      <c r="B1649" t="s">
        <v>2709</v>
      </c>
      <c r="C1649">
        <v>28112290</v>
      </c>
      <c r="E1649">
        <v>177.19</v>
      </c>
      <c r="F1649">
        <v>0</v>
      </c>
      <c r="G1649">
        <v>0</v>
      </c>
      <c r="H1649">
        <v>7.6</v>
      </c>
      <c r="I1649">
        <v>1.65</v>
      </c>
      <c r="J1649">
        <v>2</v>
      </c>
      <c r="L1649" t="s">
        <v>2709</v>
      </c>
      <c r="M1649">
        <v>28112290</v>
      </c>
      <c r="O1649" t="s">
        <v>19926</v>
      </c>
      <c r="P1649" t="s">
        <v>19900</v>
      </c>
      <c r="Q1649" t="s">
        <v>19900</v>
      </c>
      <c r="R1649" t="s">
        <v>19905</v>
      </c>
      <c r="S1649" t="s">
        <v>19906</v>
      </c>
      <c r="T1649" t="s">
        <v>19901</v>
      </c>
    </row>
    <row r="1650" spans="2:20" x14ac:dyDescent="0.25">
      <c r="B1650" t="s">
        <v>2709</v>
      </c>
      <c r="C1650">
        <v>28112910</v>
      </c>
      <c r="E1650">
        <v>177.19</v>
      </c>
      <c r="F1650">
        <v>0</v>
      </c>
      <c r="G1650">
        <v>0</v>
      </c>
      <c r="H1650">
        <v>7.6</v>
      </c>
      <c r="I1650">
        <v>1.65</v>
      </c>
      <c r="J1650">
        <v>10</v>
      </c>
      <c r="L1650" t="s">
        <v>2709</v>
      </c>
      <c r="M1650">
        <v>28112910</v>
      </c>
      <c r="O1650" t="s">
        <v>19926</v>
      </c>
      <c r="P1650" t="s">
        <v>19900</v>
      </c>
      <c r="Q1650" t="s">
        <v>19900</v>
      </c>
      <c r="R1650" t="s">
        <v>19905</v>
      </c>
      <c r="S1650" t="s">
        <v>19906</v>
      </c>
      <c r="T1650" t="s">
        <v>19904</v>
      </c>
    </row>
    <row r="1651" spans="2:20" x14ac:dyDescent="0.25">
      <c r="B1651" t="s">
        <v>2709</v>
      </c>
      <c r="C1651">
        <v>28112990</v>
      </c>
      <c r="E1651">
        <v>177.19</v>
      </c>
      <c r="F1651">
        <v>0</v>
      </c>
      <c r="G1651">
        <v>0</v>
      </c>
      <c r="H1651" t="s">
        <v>19447</v>
      </c>
      <c r="I1651" t="s">
        <v>19447</v>
      </c>
      <c r="J1651">
        <v>2</v>
      </c>
      <c r="L1651" t="s">
        <v>2709</v>
      </c>
      <c r="M1651">
        <v>28112990</v>
      </c>
      <c r="O1651" t="s">
        <v>19926</v>
      </c>
      <c r="P1651" t="s">
        <v>19900</v>
      </c>
      <c r="Q1651" t="s">
        <v>19900</v>
      </c>
      <c r="R1651" t="s">
        <v>19447</v>
      </c>
      <c r="S1651" t="s">
        <v>19447</v>
      </c>
      <c r="T1651" t="s">
        <v>19901</v>
      </c>
    </row>
    <row r="1652" spans="2:20" x14ac:dyDescent="0.25">
      <c r="B1652" t="s">
        <v>2709</v>
      </c>
      <c r="C1652">
        <v>28121011</v>
      </c>
      <c r="E1652">
        <v>177.19</v>
      </c>
      <c r="F1652">
        <v>0</v>
      </c>
      <c r="G1652">
        <v>0</v>
      </c>
      <c r="H1652">
        <v>7.6</v>
      </c>
      <c r="I1652">
        <v>1.65</v>
      </c>
      <c r="J1652">
        <v>2</v>
      </c>
      <c r="L1652" t="s">
        <v>2709</v>
      </c>
      <c r="M1652">
        <v>28121011</v>
      </c>
      <c r="O1652" t="s">
        <v>19926</v>
      </c>
      <c r="P1652" t="s">
        <v>19900</v>
      </c>
      <c r="Q1652" t="s">
        <v>19900</v>
      </c>
      <c r="R1652" t="s">
        <v>19905</v>
      </c>
      <c r="S1652" t="s">
        <v>19906</v>
      </c>
      <c r="T1652" t="s">
        <v>19901</v>
      </c>
    </row>
    <row r="1653" spans="2:20" x14ac:dyDescent="0.25">
      <c r="B1653" t="s">
        <v>2709</v>
      </c>
      <c r="C1653">
        <v>28121012</v>
      </c>
      <c r="E1653">
        <v>177.19</v>
      </c>
      <c r="F1653">
        <v>0</v>
      </c>
      <c r="G1653">
        <v>0</v>
      </c>
      <c r="H1653">
        <v>7.6</v>
      </c>
      <c r="I1653">
        <v>1.65</v>
      </c>
      <c r="J1653">
        <v>2</v>
      </c>
      <c r="L1653" t="s">
        <v>2709</v>
      </c>
      <c r="M1653">
        <v>28121012</v>
      </c>
      <c r="O1653" t="s">
        <v>19926</v>
      </c>
      <c r="P1653" t="s">
        <v>19900</v>
      </c>
      <c r="Q1653" t="s">
        <v>19900</v>
      </c>
      <c r="R1653" t="s">
        <v>19905</v>
      </c>
      <c r="S1653" t="s">
        <v>19906</v>
      </c>
      <c r="T1653" t="s">
        <v>19901</v>
      </c>
    </row>
    <row r="1654" spans="2:20" x14ac:dyDescent="0.25">
      <c r="B1654" t="s">
        <v>2709</v>
      </c>
      <c r="C1654">
        <v>28121013</v>
      </c>
      <c r="E1654">
        <v>177.19</v>
      </c>
      <c r="F1654">
        <v>0</v>
      </c>
      <c r="G1654">
        <v>0</v>
      </c>
      <c r="H1654">
        <v>7.6</v>
      </c>
      <c r="I1654">
        <v>1.65</v>
      </c>
      <c r="J1654">
        <v>2</v>
      </c>
      <c r="L1654" t="s">
        <v>2709</v>
      </c>
      <c r="M1654">
        <v>28121013</v>
      </c>
      <c r="O1654" t="s">
        <v>19926</v>
      </c>
      <c r="P1654" t="s">
        <v>19900</v>
      </c>
      <c r="Q1654" t="s">
        <v>19900</v>
      </c>
      <c r="R1654" t="s">
        <v>19905</v>
      </c>
      <c r="S1654" t="s">
        <v>19906</v>
      </c>
      <c r="T1654" t="s">
        <v>19901</v>
      </c>
    </row>
    <row r="1655" spans="2:20" x14ac:dyDescent="0.25">
      <c r="B1655" t="s">
        <v>2709</v>
      </c>
      <c r="C1655">
        <v>28121014</v>
      </c>
      <c r="E1655">
        <v>177.19</v>
      </c>
      <c r="F1655">
        <v>0</v>
      </c>
      <c r="G1655">
        <v>0</v>
      </c>
      <c r="H1655">
        <v>7.6</v>
      </c>
      <c r="I1655">
        <v>1.65</v>
      </c>
      <c r="J1655">
        <v>2</v>
      </c>
      <c r="L1655" t="s">
        <v>2709</v>
      </c>
      <c r="M1655">
        <v>28121014</v>
      </c>
      <c r="O1655" t="s">
        <v>19926</v>
      </c>
      <c r="P1655" t="s">
        <v>19900</v>
      </c>
      <c r="Q1655" t="s">
        <v>19900</v>
      </c>
      <c r="R1655" t="s">
        <v>19905</v>
      </c>
      <c r="S1655" t="s">
        <v>19906</v>
      </c>
      <c r="T1655" t="s">
        <v>19901</v>
      </c>
    </row>
    <row r="1656" spans="2:20" x14ac:dyDescent="0.25">
      <c r="B1656" t="s">
        <v>2709</v>
      </c>
      <c r="C1656">
        <v>28121015</v>
      </c>
      <c r="E1656">
        <v>177.19</v>
      </c>
      <c r="F1656">
        <v>0</v>
      </c>
      <c r="G1656">
        <v>0</v>
      </c>
      <c r="H1656">
        <v>7.6</v>
      </c>
      <c r="I1656">
        <v>1.65</v>
      </c>
      <c r="J1656">
        <v>2</v>
      </c>
      <c r="L1656" t="s">
        <v>2709</v>
      </c>
      <c r="M1656">
        <v>28121015</v>
      </c>
      <c r="O1656" t="s">
        <v>19926</v>
      </c>
      <c r="P1656" t="s">
        <v>19900</v>
      </c>
      <c r="Q1656" t="s">
        <v>19900</v>
      </c>
      <c r="R1656" t="s">
        <v>19905</v>
      </c>
      <c r="S1656" t="s">
        <v>19906</v>
      </c>
      <c r="T1656" t="s">
        <v>19901</v>
      </c>
    </row>
    <row r="1657" spans="2:20" x14ac:dyDescent="0.25">
      <c r="B1657" t="s">
        <v>2709</v>
      </c>
      <c r="C1657">
        <v>28121019</v>
      </c>
      <c r="E1657">
        <v>177.19</v>
      </c>
      <c r="F1657">
        <v>0</v>
      </c>
      <c r="G1657">
        <v>0</v>
      </c>
      <c r="H1657" t="s">
        <v>19447</v>
      </c>
      <c r="I1657" t="s">
        <v>19447</v>
      </c>
      <c r="J1657">
        <v>2</v>
      </c>
      <c r="L1657" t="s">
        <v>2709</v>
      </c>
      <c r="M1657">
        <v>28121019</v>
      </c>
      <c r="O1657" t="s">
        <v>19926</v>
      </c>
      <c r="P1657" t="s">
        <v>19900</v>
      </c>
      <c r="Q1657" t="s">
        <v>19900</v>
      </c>
      <c r="R1657" t="s">
        <v>19447</v>
      </c>
      <c r="S1657" t="s">
        <v>19447</v>
      </c>
      <c r="T1657" t="s">
        <v>19901</v>
      </c>
    </row>
    <row r="1658" spans="2:20" x14ac:dyDescent="0.25">
      <c r="B1658" t="s">
        <v>2709</v>
      </c>
      <c r="C1658">
        <v>28121021</v>
      </c>
      <c r="E1658">
        <v>177.19</v>
      </c>
      <c r="F1658">
        <v>0</v>
      </c>
      <c r="G1658">
        <v>0</v>
      </c>
      <c r="H1658">
        <v>7.6</v>
      </c>
      <c r="I1658">
        <v>1.65</v>
      </c>
      <c r="J1658">
        <v>2</v>
      </c>
      <c r="L1658" t="s">
        <v>2709</v>
      </c>
      <c r="M1658">
        <v>28121021</v>
      </c>
      <c r="O1658" t="s">
        <v>19926</v>
      </c>
      <c r="P1658" t="s">
        <v>19900</v>
      </c>
      <c r="Q1658" t="s">
        <v>19900</v>
      </c>
      <c r="R1658" t="s">
        <v>19905</v>
      </c>
      <c r="S1658" t="s">
        <v>19906</v>
      </c>
      <c r="T1658" t="s">
        <v>19901</v>
      </c>
    </row>
    <row r="1659" spans="2:20" x14ac:dyDescent="0.25">
      <c r="B1659" t="s">
        <v>2709</v>
      </c>
      <c r="C1659">
        <v>28121022</v>
      </c>
      <c r="E1659">
        <v>177.19</v>
      </c>
      <c r="F1659">
        <v>0</v>
      </c>
      <c r="G1659">
        <v>0</v>
      </c>
      <c r="H1659" t="s">
        <v>19447</v>
      </c>
      <c r="I1659" t="s">
        <v>19447</v>
      </c>
      <c r="J1659">
        <v>2</v>
      </c>
      <c r="L1659" t="s">
        <v>2709</v>
      </c>
      <c r="M1659">
        <v>28121022</v>
      </c>
      <c r="O1659" t="s">
        <v>19926</v>
      </c>
      <c r="P1659" t="s">
        <v>19900</v>
      </c>
      <c r="Q1659" t="s">
        <v>19900</v>
      </c>
      <c r="R1659" t="s">
        <v>19447</v>
      </c>
      <c r="S1659" t="s">
        <v>19447</v>
      </c>
      <c r="T1659" t="s">
        <v>19901</v>
      </c>
    </row>
    <row r="1660" spans="2:20" x14ac:dyDescent="0.25">
      <c r="B1660" t="s">
        <v>2709</v>
      </c>
      <c r="C1660">
        <v>28121023</v>
      </c>
      <c r="E1660">
        <v>177.19</v>
      </c>
      <c r="F1660">
        <v>0</v>
      </c>
      <c r="G1660">
        <v>0</v>
      </c>
      <c r="H1660">
        <v>7.6</v>
      </c>
      <c r="I1660">
        <v>1.65</v>
      </c>
      <c r="J1660">
        <v>2</v>
      </c>
      <c r="L1660" t="s">
        <v>2709</v>
      </c>
      <c r="M1660">
        <v>28121023</v>
      </c>
      <c r="O1660" t="s">
        <v>19926</v>
      </c>
      <c r="P1660" t="s">
        <v>19900</v>
      </c>
      <c r="Q1660" t="s">
        <v>19900</v>
      </c>
      <c r="R1660" t="s">
        <v>19905</v>
      </c>
      <c r="S1660" t="s">
        <v>19906</v>
      </c>
      <c r="T1660" t="s">
        <v>19901</v>
      </c>
    </row>
    <row r="1661" spans="2:20" x14ac:dyDescent="0.25">
      <c r="B1661" t="s">
        <v>2709</v>
      </c>
      <c r="C1661">
        <v>28121029</v>
      </c>
      <c r="E1661">
        <v>177.19</v>
      </c>
      <c r="F1661">
        <v>0</v>
      </c>
      <c r="G1661">
        <v>0</v>
      </c>
      <c r="H1661">
        <v>7.6</v>
      </c>
      <c r="I1661">
        <v>1.65</v>
      </c>
      <c r="J1661">
        <v>2</v>
      </c>
      <c r="L1661" t="s">
        <v>2709</v>
      </c>
      <c r="M1661">
        <v>28121029</v>
      </c>
      <c r="O1661" t="s">
        <v>19926</v>
      </c>
      <c r="P1661" t="s">
        <v>19900</v>
      </c>
      <c r="Q1661" t="s">
        <v>19900</v>
      </c>
      <c r="R1661" t="s">
        <v>19905</v>
      </c>
      <c r="S1661" t="s">
        <v>19906</v>
      </c>
      <c r="T1661" t="s">
        <v>19901</v>
      </c>
    </row>
    <row r="1662" spans="2:20" x14ac:dyDescent="0.25">
      <c r="B1662" t="s">
        <v>2709</v>
      </c>
      <c r="C1662">
        <v>28129000</v>
      </c>
      <c r="E1662">
        <v>177.19</v>
      </c>
      <c r="F1662">
        <v>0</v>
      </c>
      <c r="G1662">
        <v>0</v>
      </c>
      <c r="H1662" t="s">
        <v>19447</v>
      </c>
      <c r="I1662" t="s">
        <v>19447</v>
      </c>
      <c r="J1662">
        <v>2</v>
      </c>
      <c r="L1662" t="s">
        <v>2709</v>
      </c>
      <c r="M1662">
        <v>28129000</v>
      </c>
      <c r="O1662" t="s">
        <v>19926</v>
      </c>
      <c r="P1662" t="s">
        <v>19900</v>
      </c>
      <c r="Q1662" t="s">
        <v>19900</v>
      </c>
      <c r="R1662" t="s">
        <v>19447</v>
      </c>
      <c r="S1662" t="s">
        <v>19447</v>
      </c>
      <c r="T1662" t="s">
        <v>19901</v>
      </c>
    </row>
    <row r="1663" spans="2:20" x14ac:dyDescent="0.25">
      <c r="B1663" t="s">
        <v>2709</v>
      </c>
      <c r="C1663">
        <v>28131000</v>
      </c>
      <c r="E1663">
        <v>177.19</v>
      </c>
      <c r="F1663">
        <v>0</v>
      </c>
      <c r="G1663">
        <v>0</v>
      </c>
      <c r="H1663">
        <v>7.6</v>
      </c>
      <c r="I1663">
        <v>1.65</v>
      </c>
      <c r="J1663">
        <v>10</v>
      </c>
      <c r="L1663" t="s">
        <v>2709</v>
      </c>
      <c r="M1663">
        <v>28131000</v>
      </c>
      <c r="O1663" t="s">
        <v>19926</v>
      </c>
      <c r="P1663" t="s">
        <v>19900</v>
      </c>
      <c r="Q1663" t="s">
        <v>19900</v>
      </c>
      <c r="R1663" t="s">
        <v>19905</v>
      </c>
      <c r="S1663" t="s">
        <v>19906</v>
      </c>
      <c r="T1663" t="s">
        <v>19904</v>
      </c>
    </row>
    <row r="1664" spans="2:20" x14ac:dyDescent="0.25">
      <c r="B1664" t="s">
        <v>2709</v>
      </c>
      <c r="C1664">
        <v>28139010</v>
      </c>
      <c r="E1664">
        <v>177.19</v>
      </c>
      <c r="F1664">
        <v>0</v>
      </c>
      <c r="G1664">
        <v>0</v>
      </c>
      <c r="H1664">
        <v>7.6</v>
      </c>
      <c r="I1664">
        <v>1.65</v>
      </c>
      <c r="J1664">
        <v>2</v>
      </c>
      <c r="L1664" t="s">
        <v>2709</v>
      </c>
      <c r="M1664">
        <v>28139010</v>
      </c>
      <c r="O1664" t="s">
        <v>19926</v>
      </c>
      <c r="P1664" t="s">
        <v>19900</v>
      </c>
      <c r="Q1664" t="s">
        <v>19900</v>
      </c>
      <c r="R1664" t="s">
        <v>19905</v>
      </c>
      <c r="S1664" t="s">
        <v>19906</v>
      </c>
      <c r="T1664" t="s">
        <v>19901</v>
      </c>
    </row>
    <row r="1665" spans="2:20" x14ac:dyDescent="0.25">
      <c r="B1665" t="s">
        <v>2709</v>
      </c>
      <c r="C1665">
        <v>28139090</v>
      </c>
      <c r="E1665">
        <v>177.19</v>
      </c>
      <c r="F1665">
        <v>0</v>
      </c>
      <c r="G1665">
        <v>0</v>
      </c>
      <c r="H1665">
        <v>7.6</v>
      </c>
      <c r="I1665">
        <v>1.65</v>
      </c>
      <c r="J1665">
        <v>2</v>
      </c>
      <c r="L1665" t="s">
        <v>2709</v>
      </c>
      <c r="M1665">
        <v>28139090</v>
      </c>
      <c r="O1665" t="s">
        <v>19926</v>
      </c>
      <c r="P1665" t="s">
        <v>19900</v>
      </c>
      <c r="Q1665" t="s">
        <v>19900</v>
      </c>
      <c r="R1665" t="s">
        <v>19905</v>
      </c>
      <c r="S1665" t="s">
        <v>19906</v>
      </c>
      <c r="T1665" t="s">
        <v>19901</v>
      </c>
    </row>
    <row r="1666" spans="2:20" x14ac:dyDescent="0.25">
      <c r="B1666" t="s">
        <v>2709</v>
      </c>
      <c r="C1666">
        <v>28141000</v>
      </c>
      <c r="E1666">
        <v>177.19</v>
      </c>
      <c r="F1666">
        <v>0</v>
      </c>
      <c r="G1666">
        <v>0</v>
      </c>
      <c r="H1666" t="s">
        <v>19447</v>
      </c>
      <c r="I1666" t="s">
        <v>19447</v>
      </c>
      <c r="J1666">
        <v>4</v>
      </c>
      <c r="L1666" t="s">
        <v>2709</v>
      </c>
      <c r="M1666">
        <v>28141000</v>
      </c>
      <c r="O1666" t="s">
        <v>19926</v>
      </c>
      <c r="P1666" t="s">
        <v>19900</v>
      </c>
      <c r="Q1666" t="s">
        <v>19900</v>
      </c>
      <c r="R1666" t="s">
        <v>19447</v>
      </c>
      <c r="S1666" t="s">
        <v>19447</v>
      </c>
      <c r="T1666" t="s">
        <v>19902</v>
      </c>
    </row>
    <row r="1667" spans="2:20" x14ac:dyDescent="0.25">
      <c r="B1667" t="s">
        <v>2709</v>
      </c>
      <c r="C1667">
        <v>28142000</v>
      </c>
      <c r="E1667">
        <v>177.19</v>
      </c>
      <c r="F1667">
        <v>0</v>
      </c>
      <c r="G1667">
        <v>0</v>
      </c>
      <c r="H1667" t="s">
        <v>19447</v>
      </c>
      <c r="I1667" t="s">
        <v>19447</v>
      </c>
      <c r="J1667">
        <v>4</v>
      </c>
      <c r="L1667" t="s">
        <v>2709</v>
      </c>
      <c r="M1667">
        <v>28142000</v>
      </c>
      <c r="O1667" t="s">
        <v>19926</v>
      </c>
      <c r="P1667" t="s">
        <v>19900</v>
      </c>
      <c r="Q1667" t="s">
        <v>19900</v>
      </c>
      <c r="R1667" t="s">
        <v>19447</v>
      </c>
      <c r="S1667" t="s">
        <v>19447</v>
      </c>
      <c r="T1667" t="s">
        <v>19902</v>
      </c>
    </row>
    <row r="1668" spans="2:20" x14ac:dyDescent="0.25">
      <c r="B1668" t="s">
        <v>2709</v>
      </c>
      <c r="C1668">
        <v>28151100</v>
      </c>
      <c r="E1668">
        <v>70.33</v>
      </c>
      <c r="F1668">
        <v>0</v>
      </c>
      <c r="G1668">
        <v>0</v>
      </c>
      <c r="H1668">
        <v>7.6</v>
      </c>
      <c r="I1668">
        <v>1.65</v>
      </c>
      <c r="J1668">
        <v>8</v>
      </c>
      <c r="L1668" t="s">
        <v>2709</v>
      </c>
      <c r="M1668">
        <v>28151100</v>
      </c>
      <c r="O1668" t="s">
        <v>20023</v>
      </c>
      <c r="P1668" t="s">
        <v>19900</v>
      </c>
      <c r="Q1668" t="s">
        <v>19900</v>
      </c>
      <c r="R1668" t="s">
        <v>19905</v>
      </c>
      <c r="S1668" t="s">
        <v>19906</v>
      </c>
      <c r="T1668" t="s">
        <v>19918</v>
      </c>
    </row>
    <row r="1669" spans="2:20" x14ac:dyDescent="0.25">
      <c r="B1669" t="s">
        <v>2709</v>
      </c>
      <c r="C1669">
        <v>28151200</v>
      </c>
      <c r="E1669">
        <v>70.33</v>
      </c>
      <c r="F1669">
        <v>0</v>
      </c>
      <c r="G1669">
        <v>0</v>
      </c>
      <c r="H1669">
        <v>7.6</v>
      </c>
      <c r="I1669">
        <v>1.65</v>
      </c>
      <c r="J1669">
        <v>8</v>
      </c>
      <c r="L1669" t="s">
        <v>2709</v>
      </c>
      <c r="M1669">
        <v>28151200</v>
      </c>
      <c r="O1669" t="s">
        <v>20023</v>
      </c>
      <c r="P1669" t="s">
        <v>19900</v>
      </c>
      <c r="Q1669" t="s">
        <v>19900</v>
      </c>
      <c r="R1669" t="s">
        <v>19905</v>
      </c>
      <c r="S1669" t="s">
        <v>19906</v>
      </c>
      <c r="T1669" t="s">
        <v>19918</v>
      </c>
    </row>
    <row r="1670" spans="2:20" x14ac:dyDescent="0.25">
      <c r="B1670" t="s">
        <v>2709</v>
      </c>
      <c r="C1670">
        <v>28152000</v>
      </c>
      <c r="E1670">
        <v>70.33</v>
      </c>
      <c r="F1670">
        <v>0</v>
      </c>
      <c r="G1670">
        <v>0</v>
      </c>
      <c r="H1670">
        <v>7.6</v>
      </c>
      <c r="I1670">
        <v>1.65</v>
      </c>
      <c r="J1670">
        <v>6</v>
      </c>
      <c r="L1670" t="s">
        <v>2709</v>
      </c>
      <c r="M1670">
        <v>28152000</v>
      </c>
      <c r="O1670" t="s">
        <v>20023</v>
      </c>
      <c r="P1670" t="s">
        <v>19900</v>
      </c>
      <c r="Q1670" t="s">
        <v>19900</v>
      </c>
      <c r="R1670" t="s">
        <v>19905</v>
      </c>
      <c r="S1670" t="s">
        <v>19906</v>
      </c>
      <c r="T1670" t="s">
        <v>19907</v>
      </c>
    </row>
    <row r="1671" spans="2:20" x14ac:dyDescent="0.25">
      <c r="B1671" t="s">
        <v>2709</v>
      </c>
      <c r="C1671">
        <v>28153000</v>
      </c>
      <c r="E1671">
        <v>70.33</v>
      </c>
      <c r="F1671">
        <v>0</v>
      </c>
      <c r="G1671">
        <v>0</v>
      </c>
      <c r="H1671">
        <v>7.6</v>
      </c>
      <c r="I1671">
        <v>1.65</v>
      </c>
      <c r="J1671">
        <v>2</v>
      </c>
      <c r="L1671" t="s">
        <v>2709</v>
      </c>
      <c r="M1671">
        <v>28153000</v>
      </c>
      <c r="O1671" t="s">
        <v>20023</v>
      </c>
      <c r="P1671" t="s">
        <v>19900</v>
      </c>
      <c r="Q1671" t="s">
        <v>19900</v>
      </c>
      <c r="R1671" t="s">
        <v>19905</v>
      </c>
      <c r="S1671" t="s">
        <v>19906</v>
      </c>
      <c r="T1671" t="s">
        <v>19901</v>
      </c>
    </row>
    <row r="1672" spans="2:20" x14ac:dyDescent="0.25">
      <c r="B1672" t="s">
        <v>2709</v>
      </c>
      <c r="C1672">
        <v>28161010</v>
      </c>
      <c r="E1672">
        <v>177.19</v>
      </c>
      <c r="F1672">
        <v>0</v>
      </c>
      <c r="G1672">
        <v>0</v>
      </c>
      <c r="H1672">
        <v>7.6</v>
      </c>
      <c r="I1672">
        <v>1.65</v>
      </c>
      <c r="J1672">
        <v>10</v>
      </c>
      <c r="L1672" t="s">
        <v>2709</v>
      </c>
      <c r="M1672">
        <v>28161010</v>
      </c>
      <c r="O1672" t="s">
        <v>19926</v>
      </c>
      <c r="P1672" t="s">
        <v>19900</v>
      </c>
      <c r="Q1672" t="s">
        <v>19900</v>
      </c>
      <c r="R1672" t="s">
        <v>19905</v>
      </c>
      <c r="S1672" t="s">
        <v>19906</v>
      </c>
      <c r="T1672" t="s">
        <v>19904</v>
      </c>
    </row>
    <row r="1673" spans="2:20" x14ac:dyDescent="0.25">
      <c r="B1673" t="s">
        <v>2709</v>
      </c>
      <c r="C1673">
        <v>28161020</v>
      </c>
      <c r="E1673">
        <v>177.19</v>
      </c>
      <c r="F1673">
        <v>0</v>
      </c>
      <c r="G1673">
        <v>0</v>
      </c>
      <c r="H1673">
        <v>7.6</v>
      </c>
      <c r="I1673">
        <v>1.65</v>
      </c>
      <c r="J1673">
        <v>2</v>
      </c>
      <c r="L1673" t="s">
        <v>2709</v>
      </c>
      <c r="M1673">
        <v>28161020</v>
      </c>
      <c r="O1673" t="s">
        <v>19926</v>
      </c>
      <c r="P1673" t="s">
        <v>19900</v>
      </c>
      <c r="Q1673" t="s">
        <v>19900</v>
      </c>
      <c r="R1673" t="s">
        <v>19905</v>
      </c>
      <c r="S1673" t="s">
        <v>19906</v>
      </c>
      <c r="T1673" t="s">
        <v>19901</v>
      </c>
    </row>
    <row r="1674" spans="2:20" x14ac:dyDescent="0.25">
      <c r="B1674" t="s">
        <v>2709</v>
      </c>
      <c r="C1674">
        <v>28164010</v>
      </c>
      <c r="E1674">
        <v>177.19</v>
      </c>
      <c r="F1674">
        <v>0</v>
      </c>
      <c r="G1674">
        <v>0</v>
      </c>
      <c r="H1674">
        <v>7.6</v>
      </c>
      <c r="I1674">
        <v>1.65</v>
      </c>
      <c r="J1674">
        <v>2</v>
      </c>
      <c r="L1674" t="s">
        <v>2709</v>
      </c>
      <c r="M1674">
        <v>28164010</v>
      </c>
      <c r="O1674" t="s">
        <v>19926</v>
      </c>
      <c r="P1674" t="s">
        <v>19900</v>
      </c>
      <c r="Q1674" t="s">
        <v>19900</v>
      </c>
      <c r="R1674" t="s">
        <v>19905</v>
      </c>
      <c r="S1674" t="s">
        <v>19906</v>
      </c>
      <c r="T1674" t="s">
        <v>19901</v>
      </c>
    </row>
    <row r="1675" spans="2:20" x14ac:dyDescent="0.25">
      <c r="B1675" t="s">
        <v>2709</v>
      </c>
      <c r="C1675">
        <v>28164090</v>
      </c>
      <c r="E1675">
        <v>177.19</v>
      </c>
      <c r="F1675">
        <v>0</v>
      </c>
      <c r="G1675">
        <v>0</v>
      </c>
      <c r="H1675">
        <v>7.6</v>
      </c>
      <c r="I1675">
        <v>1.65</v>
      </c>
      <c r="J1675">
        <v>2</v>
      </c>
      <c r="L1675" t="s">
        <v>2709</v>
      </c>
      <c r="M1675">
        <v>28164090</v>
      </c>
      <c r="O1675" t="s">
        <v>19926</v>
      </c>
      <c r="P1675" t="s">
        <v>19900</v>
      </c>
      <c r="Q1675" t="s">
        <v>19900</v>
      </c>
      <c r="R1675" t="s">
        <v>19905</v>
      </c>
      <c r="S1675" t="s">
        <v>19906</v>
      </c>
      <c r="T1675" t="s">
        <v>19901</v>
      </c>
    </row>
    <row r="1676" spans="2:20" x14ac:dyDescent="0.25">
      <c r="B1676" t="s">
        <v>2709</v>
      </c>
      <c r="C1676">
        <v>28170010</v>
      </c>
      <c r="E1676">
        <v>177.19</v>
      </c>
      <c r="F1676">
        <v>0</v>
      </c>
      <c r="G1676">
        <v>0</v>
      </c>
      <c r="H1676">
        <v>7.6</v>
      </c>
      <c r="I1676">
        <v>1.65</v>
      </c>
      <c r="J1676">
        <v>10</v>
      </c>
      <c r="L1676" t="s">
        <v>2709</v>
      </c>
      <c r="M1676">
        <v>28170010</v>
      </c>
      <c r="O1676" t="s">
        <v>19926</v>
      </c>
      <c r="P1676" t="s">
        <v>19900</v>
      </c>
      <c r="Q1676" t="s">
        <v>19900</v>
      </c>
      <c r="R1676" t="s">
        <v>19905</v>
      </c>
      <c r="S1676" t="s">
        <v>19906</v>
      </c>
      <c r="T1676" t="s">
        <v>19904</v>
      </c>
    </row>
    <row r="1677" spans="2:20" x14ac:dyDescent="0.25">
      <c r="B1677" t="s">
        <v>2709</v>
      </c>
      <c r="C1677">
        <v>28170020</v>
      </c>
      <c r="E1677">
        <v>177.19</v>
      </c>
      <c r="F1677">
        <v>0</v>
      </c>
      <c r="G1677">
        <v>0</v>
      </c>
      <c r="H1677">
        <v>7.6</v>
      </c>
      <c r="I1677">
        <v>1.65</v>
      </c>
      <c r="J1677">
        <v>10</v>
      </c>
      <c r="L1677" t="s">
        <v>2709</v>
      </c>
      <c r="M1677">
        <v>28170020</v>
      </c>
      <c r="O1677" t="s">
        <v>19926</v>
      </c>
      <c r="P1677" t="s">
        <v>19900</v>
      </c>
      <c r="Q1677" t="s">
        <v>19900</v>
      </c>
      <c r="R1677" t="s">
        <v>19905</v>
      </c>
      <c r="S1677" t="s">
        <v>19906</v>
      </c>
      <c r="T1677" t="s">
        <v>19904</v>
      </c>
    </row>
    <row r="1678" spans="2:20" x14ac:dyDescent="0.25">
      <c r="B1678" t="s">
        <v>2709</v>
      </c>
      <c r="C1678">
        <v>28181010</v>
      </c>
      <c r="E1678">
        <v>177.19</v>
      </c>
      <c r="F1678">
        <v>0</v>
      </c>
      <c r="G1678">
        <v>0</v>
      </c>
      <c r="H1678">
        <v>7.6</v>
      </c>
      <c r="I1678">
        <v>1.65</v>
      </c>
      <c r="J1678">
        <v>2</v>
      </c>
      <c r="L1678" t="s">
        <v>2709</v>
      </c>
      <c r="M1678">
        <v>28181010</v>
      </c>
      <c r="O1678" t="s">
        <v>19926</v>
      </c>
      <c r="P1678" t="s">
        <v>19900</v>
      </c>
      <c r="Q1678" t="s">
        <v>19900</v>
      </c>
      <c r="R1678" t="s">
        <v>19905</v>
      </c>
      <c r="S1678" t="s">
        <v>19906</v>
      </c>
      <c r="T1678" t="s">
        <v>19901</v>
      </c>
    </row>
    <row r="1679" spans="2:20" x14ac:dyDescent="0.25">
      <c r="B1679" t="s">
        <v>2709</v>
      </c>
      <c r="C1679">
        <v>28181090</v>
      </c>
      <c r="E1679">
        <v>177.19</v>
      </c>
      <c r="F1679">
        <v>0</v>
      </c>
      <c r="G1679">
        <v>0</v>
      </c>
      <c r="H1679">
        <v>7.6</v>
      </c>
      <c r="I1679">
        <v>1.65</v>
      </c>
      <c r="J1679">
        <v>2</v>
      </c>
      <c r="L1679" t="s">
        <v>2709</v>
      </c>
      <c r="M1679">
        <v>28181090</v>
      </c>
      <c r="O1679" t="s">
        <v>19926</v>
      </c>
      <c r="P1679" t="s">
        <v>19900</v>
      </c>
      <c r="Q1679" t="s">
        <v>19900</v>
      </c>
      <c r="R1679" t="s">
        <v>19905</v>
      </c>
      <c r="S1679" t="s">
        <v>19906</v>
      </c>
      <c r="T1679" t="s">
        <v>19901</v>
      </c>
    </row>
    <row r="1680" spans="2:20" x14ac:dyDescent="0.25">
      <c r="B1680" t="s">
        <v>2709</v>
      </c>
      <c r="C1680">
        <v>28182010</v>
      </c>
      <c r="E1680">
        <v>177.19</v>
      </c>
      <c r="F1680">
        <v>0</v>
      </c>
      <c r="G1680">
        <v>0</v>
      </c>
      <c r="H1680">
        <v>7.6</v>
      </c>
      <c r="I1680">
        <v>1.65</v>
      </c>
      <c r="J1680">
        <v>0</v>
      </c>
      <c r="L1680" t="s">
        <v>2709</v>
      </c>
      <c r="M1680">
        <v>28182010</v>
      </c>
      <c r="O1680" t="s">
        <v>19926</v>
      </c>
      <c r="P1680" t="s">
        <v>19900</v>
      </c>
      <c r="Q1680" t="s">
        <v>19900</v>
      </c>
      <c r="R1680" t="s">
        <v>19905</v>
      </c>
      <c r="S1680" t="s">
        <v>19906</v>
      </c>
      <c r="T1680" t="s">
        <v>19900</v>
      </c>
    </row>
    <row r="1681" spans="2:20" x14ac:dyDescent="0.25">
      <c r="B1681" t="s">
        <v>2709</v>
      </c>
      <c r="C1681">
        <v>28182090</v>
      </c>
      <c r="E1681">
        <v>177.19</v>
      </c>
      <c r="F1681">
        <v>0</v>
      </c>
      <c r="G1681">
        <v>0</v>
      </c>
      <c r="H1681">
        <v>7.6</v>
      </c>
      <c r="I1681">
        <v>1.65</v>
      </c>
      <c r="J1681">
        <v>2</v>
      </c>
      <c r="L1681" t="s">
        <v>2709</v>
      </c>
      <c r="M1681">
        <v>28182090</v>
      </c>
      <c r="O1681" t="s">
        <v>19926</v>
      </c>
      <c r="P1681" t="s">
        <v>19900</v>
      </c>
      <c r="Q1681" t="s">
        <v>19900</v>
      </c>
      <c r="R1681" t="s">
        <v>19905</v>
      </c>
      <c r="S1681" t="s">
        <v>19906</v>
      </c>
      <c r="T1681" t="s">
        <v>19901</v>
      </c>
    </row>
    <row r="1682" spans="2:20" x14ac:dyDescent="0.25">
      <c r="B1682" t="s">
        <v>2709</v>
      </c>
      <c r="C1682">
        <v>28183000</v>
      </c>
      <c r="E1682">
        <v>177.19</v>
      </c>
      <c r="F1682">
        <v>0</v>
      </c>
      <c r="G1682">
        <v>0</v>
      </c>
      <c r="H1682">
        <v>7.6</v>
      </c>
      <c r="I1682">
        <v>1.65</v>
      </c>
      <c r="J1682">
        <v>2</v>
      </c>
      <c r="L1682" t="s">
        <v>2709</v>
      </c>
      <c r="M1682">
        <v>28183000</v>
      </c>
      <c r="O1682" t="s">
        <v>19926</v>
      </c>
      <c r="P1682" t="s">
        <v>19900</v>
      </c>
      <c r="Q1682" t="s">
        <v>19900</v>
      </c>
      <c r="R1682" t="s">
        <v>19905</v>
      </c>
      <c r="S1682" t="s">
        <v>19906</v>
      </c>
      <c r="T1682" t="s">
        <v>19901</v>
      </c>
    </row>
    <row r="1683" spans="2:20" x14ac:dyDescent="0.25">
      <c r="B1683" t="s">
        <v>2709</v>
      </c>
      <c r="C1683">
        <v>28191000</v>
      </c>
      <c r="E1683">
        <v>177.19</v>
      </c>
      <c r="F1683">
        <v>0</v>
      </c>
      <c r="G1683">
        <v>0</v>
      </c>
      <c r="H1683">
        <v>7.6</v>
      </c>
      <c r="I1683">
        <v>1.65</v>
      </c>
      <c r="J1683">
        <v>10</v>
      </c>
      <c r="L1683" t="s">
        <v>2709</v>
      </c>
      <c r="M1683">
        <v>28191000</v>
      </c>
      <c r="O1683" t="s">
        <v>19926</v>
      </c>
      <c r="P1683" t="s">
        <v>19900</v>
      </c>
      <c r="Q1683" t="s">
        <v>19900</v>
      </c>
      <c r="R1683" t="s">
        <v>19905</v>
      </c>
      <c r="S1683" t="s">
        <v>19906</v>
      </c>
      <c r="T1683" t="s">
        <v>19904</v>
      </c>
    </row>
    <row r="1684" spans="2:20" x14ac:dyDescent="0.25">
      <c r="B1684" t="s">
        <v>2709</v>
      </c>
      <c r="C1684">
        <v>28199010</v>
      </c>
      <c r="E1684">
        <v>177.19</v>
      </c>
      <c r="F1684">
        <v>0</v>
      </c>
      <c r="G1684">
        <v>0</v>
      </c>
      <c r="H1684">
        <v>7.6</v>
      </c>
      <c r="I1684">
        <v>1.65</v>
      </c>
      <c r="J1684">
        <v>2</v>
      </c>
      <c r="L1684" t="s">
        <v>2709</v>
      </c>
      <c r="M1684">
        <v>28199010</v>
      </c>
      <c r="O1684" t="s">
        <v>19926</v>
      </c>
      <c r="P1684" t="s">
        <v>19900</v>
      </c>
      <c r="Q1684" t="s">
        <v>19900</v>
      </c>
      <c r="R1684" t="s">
        <v>19905</v>
      </c>
      <c r="S1684" t="s">
        <v>19906</v>
      </c>
      <c r="T1684" t="s">
        <v>19901</v>
      </c>
    </row>
    <row r="1685" spans="2:20" x14ac:dyDescent="0.25">
      <c r="B1685" t="s">
        <v>2709</v>
      </c>
      <c r="C1685">
        <v>28199020</v>
      </c>
      <c r="E1685">
        <v>177.19</v>
      </c>
      <c r="F1685">
        <v>0</v>
      </c>
      <c r="G1685">
        <v>0</v>
      </c>
      <c r="H1685">
        <v>7.6</v>
      </c>
      <c r="I1685">
        <v>1.65</v>
      </c>
      <c r="J1685">
        <v>2</v>
      </c>
      <c r="L1685" t="s">
        <v>2709</v>
      </c>
      <c r="M1685">
        <v>28199020</v>
      </c>
      <c r="O1685" t="s">
        <v>19926</v>
      </c>
      <c r="P1685" t="s">
        <v>19900</v>
      </c>
      <c r="Q1685" t="s">
        <v>19900</v>
      </c>
      <c r="R1685" t="s">
        <v>19905</v>
      </c>
      <c r="S1685" t="s">
        <v>19906</v>
      </c>
      <c r="T1685" t="s">
        <v>19901</v>
      </c>
    </row>
    <row r="1686" spans="2:20" x14ac:dyDescent="0.25">
      <c r="B1686" t="s">
        <v>2709</v>
      </c>
      <c r="C1686">
        <v>28201000</v>
      </c>
      <c r="E1686">
        <v>177.19</v>
      </c>
      <c r="F1686">
        <v>0</v>
      </c>
      <c r="G1686">
        <v>0</v>
      </c>
      <c r="H1686">
        <v>7.6</v>
      </c>
      <c r="I1686">
        <v>1.65</v>
      </c>
      <c r="J1686">
        <v>10</v>
      </c>
      <c r="L1686" t="s">
        <v>2709</v>
      </c>
      <c r="M1686">
        <v>28201000</v>
      </c>
      <c r="O1686" t="s">
        <v>19926</v>
      </c>
      <c r="P1686" t="s">
        <v>19900</v>
      </c>
      <c r="Q1686" t="s">
        <v>19900</v>
      </c>
      <c r="R1686" t="s">
        <v>19905</v>
      </c>
      <c r="S1686" t="s">
        <v>19906</v>
      </c>
      <c r="T1686" t="s">
        <v>19904</v>
      </c>
    </row>
    <row r="1687" spans="2:20" x14ac:dyDescent="0.25">
      <c r="B1687" t="s">
        <v>2709</v>
      </c>
      <c r="C1687">
        <v>28209010</v>
      </c>
      <c r="E1687">
        <v>177.19</v>
      </c>
      <c r="F1687">
        <v>0</v>
      </c>
      <c r="G1687">
        <v>0</v>
      </c>
      <c r="H1687">
        <v>7.6</v>
      </c>
      <c r="I1687">
        <v>1.65</v>
      </c>
      <c r="J1687">
        <v>10</v>
      </c>
      <c r="L1687" t="s">
        <v>2709</v>
      </c>
      <c r="M1687">
        <v>28209010</v>
      </c>
      <c r="O1687" t="s">
        <v>19926</v>
      </c>
      <c r="P1687" t="s">
        <v>19900</v>
      </c>
      <c r="Q1687" t="s">
        <v>19900</v>
      </c>
      <c r="R1687" t="s">
        <v>19905</v>
      </c>
      <c r="S1687" t="s">
        <v>19906</v>
      </c>
      <c r="T1687" t="s">
        <v>19904</v>
      </c>
    </row>
    <row r="1688" spans="2:20" x14ac:dyDescent="0.25">
      <c r="B1688" t="s">
        <v>2709</v>
      </c>
      <c r="C1688">
        <v>28209020</v>
      </c>
      <c r="E1688">
        <v>177.19</v>
      </c>
      <c r="F1688">
        <v>0</v>
      </c>
      <c r="G1688">
        <v>0</v>
      </c>
      <c r="H1688">
        <v>7.6</v>
      </c>
      <c r="I1688">
        <v>1.65</v>
      </c>
      <c r="J1688">
        <v>10</v>
      </c>
      <c r="L1688" t="s">
        <v>2709</v>
      </c>
      <c r="M1688">
        <v>28209020</v>
      </c>
      <c r="O1688" t="s">
        <v>19926</v>
      </c>
      <c r="P1688" t="s">
        <v>19900</v>
      </c>
      <c r="Q1688" t="s">
        <v>19900</v>
      </c>
      <c r="R1688" t="s">
        <v>19905</v>
      </c>
      <c r="S1688" t="s">
        <v>19906</v>
      </c>
      <c r="T1688" t="s">
        <v>19904</v>
      </c>
    </row>
    <row r="1689" spans="2:20" x14ac:dyDescent="0.25">
      <c r="B1689" t="s">
        <v>2709</v>
      </c>
      <c r="C1689">
        <v>28209030</v>
      </c>
      <c r="E1689">
        <v>177.19</v>
      </c>
      <c r="F1689">
        <v>0</v>
      </c>
      <c r="G1689">
        <v>0</v>
      </c>
      <c r="H1689">
        <v>7.6</v>
      </c>
      <c r="I1689">
        <v>1.65</v>
      </c>
      <c r="J1689">
        <v>10</v>
      </c>
      <c r="L1689" t="s">
        <v>2709</v>
      </c>
      <c r="M1689">
        <v>28209030</v>
      </c>
      <c r="O1689" t="s">
        <v>19926</v>
      </c>
      <c r="P1689" t="s">
        <v>19900</v>
      </c>
      <c r="Q1689" t="s">
        <v>19900</v>
      </c>
      <c r="R1689" t="s">
        <v>19905</v>
      </c>
      <c r="S1689" t="s">
        <v>19906</v>
      </c>
      <c r="T1689" t="s">
        <v>19904</v>
      </c>
    </row>
    <row r="1690" spans="2:20" x14ac:dyDescent="0.25">
      <c r="B1690" t="s">
        <v>2709</v>
      </c>
      <c r="C1690">
        <v>28209040</v>
      </c>
      <c r="E1690">
        <v>177.19</v>
      </c>
      <c r="F1690">
        <v>0</v>
      </c>
      <c r="G1690">
        <v>0</v>
      </c>
      <c r="H1690">
        <v>7.6</v>
      </c>
      <c r="I1690">
        <v>1.65</v>
      </c>
      <c r="J1690">
        <v>10</v>
      </c>
      <c r="L1690" t="s">
        <v>2709</v>
      </c>
      <c r="M1690">
        <v>28209040</v>
      </c>
      <c r="O1690" t="s">
        <v>19926</v>
      </c>
      <c r="P1690" t="s">
        <v>19900</v>
      </c>
      <c r="Q1690" t="s">
        <v>19900</v>
      </c>
      <c r="R1690" t="s">
        <v>19905</v>
      </c>
      <c r="S1690" t="s">
        <v>19906</v>
      </c>
      <c r="T1690" t="s">
        <v>19904</v>
      </c>
    </row>
    <row r="1691" spans="2:20" x14ac:dyDescent="0.25">
      <c r="B1691" t="s">
        <v>2709</v>
      </c>
      <c r="C1691">
        <v>28211011</v>
      </c>
      <c r="E1691">
        <v>38</v>
      </c>
      <c r="F1691">
        <v>0</v>
      </c>
      <c r="G1691">
        <v>0</v>
      </c>
      <c r="H1691">
        <v>7.6</v>
      </c>
      <c r="I1691">
        <v>1.65</v>
      </c>
      <c r="J1691">
        <v>10</v>
      </c>
      <c r="L1691" t="s">
        <v>2709</v>
      </c>
      <c r="M1691">
        <v>28211011</v>
      </c>
      <c r="O1691" t="s">
        <v>20008</v>
      </c>
      <c r="P1691" t="s">
        <v>19900</v>
      </c>
      <c r="Q1691" t="s">
        <v>19900</v>
      </c>
      <c r="R1691" t="s">
        <v>19905</v>
      </c>
      <c r="S1691" t="s">
        <v>19906</v>
      </c>
      <c r="T1691" t="s">
        <v>19904</v>
      </c>
    </row>
    <row r="1692" spans="2:20" x14ac:dyDescent="0.25">
      <c r="B1692" t="s">
        <v>2709</v>
      </c>
      <c r="C1692">
        <v>28211019</v>
      </c>
      <c r="E1692">
        <v>38</v>
      </c>
      <c r="F1692">
        <v>0</v>
      </c>
      <c r="G1692">
        <v>0</v>
      </c>
      <c r="H1692">
        <v>7.6</v>
      </c>
      <c r="I1692">
        <v>1.65</v>
      </c>
      <c r="J1692">
        <v>2</v>
      </c>
      <c r="L1692" t="s">
        <v>2709</v>
      </c>
      <c r="M1692">
        <v>28211019</v>
      </c>
      <c r="O1692" t="s">
        <v>20008</v>
      </c>
      <c r="P1692" t="s">
        <v>19900</v>
      </c>
      <c r="Q1692" t="s">
        <v>19900</v>
      </c>
      <c r="R1692" t="s">
        <v>19905</v>
      </c>
      <c r="S1692" t="s">
        <v>19906</v>
      </c>
      <c r="T1692" t="s">
        <v>19901</v>
      </c>
    </row>
    <row r="1693" spans="2:20" x14ac:dyDescent="0.25">
      <c r="B1693" t="s">
        <v>2709</v>
      </c>
      <c r="C1693">
        <v>28211020</v>
      </c>
      <c r="E1693">
        <v>38</v>
      </c>
      <c r="F1693">
        <v>0</v>
      </c>
      <c r="G1693">
        <v>0</v>
      </c>
      <c r="H1693">
        <v>7.6</v>
      </c>
      <c r="I1693">
        <v>1.65</v>
      </c>
      <c r="J1693">
        <v>2</v>
      </c>
      <c r="L1693" t="s">
        <v>2709</v>
      </c>
      <c r="M1693">
        <v>28211020</v>
      </c>
      <c r="O1693" t="s">
        <v>20008</v>
      </c>
      <c r="P1693" t="s">
        <v>19900</v>
      </c>
      <c r="Q1693" t="s">
        <v>19900</v>
      </c>
      <c r="R1693" t="s">
        <v>19905</v>
      </c>
      <c r="S1693" t="s">
        <v>19906</v>
      </c>
      <c r="T1693" t="s">
        <v>19901</v>
      </c>
    </row>
    <row r="1694" spans="2:20" x14ac:dyDescent="0.25">
      <c r="B1694" t="s">
        <v>2709</v>
      </c>
      <c r="C1694">
        <v>28211030</v>
      </c>
      <c r="E1694">
        <v>38</v>
      </c>
      <c r="F1694">
        <v>0</v>
      </c>
      <c r="G1694">
        <v>0</v>
      </c>
      <c r="H1694">
        <v>7.6</v>
      </c>
      <c r="I1694">
        <v>1.65</v>
      </c>
      <c r="J1694">
        <v>10</v>
      </c>
      <c r="L1694" t="s">
        <v>2709</v>
      </c>
      <c r="M1694">
        <v>28211030</v>
      </c>
      <c r="O1694" t="s">
        <v>20008</v>
      </c>
      <c r="P1694" t="s">
        <v>19900</v>
      </c>
      <c r="Q1694" t="s">
        <v>19900</v>
      </c>
      <c r="R1694" t="s">
        <v>19905</v>
      </c>
      <c r="S1694" t="s">
        <v>19906</v>
      </c>
      <c r="T1694" t="s">
        <v>19904</v>
      </c>
    </row>
    <row r="1695" spans="2:20" x14ac:dyDescent="0.25">
      <c r="B1695" t="s">
        <v>2709</v>
      </c>
      <c r="C1695">
        <v>28211090</v>
      </c>
      <c r="E1695">
        <v>38</v>
      </c>
      <c r="F1695">
        <v>0</v>
      </c>
      <c r="G1695">
        <v>0</v>
      </c>
      <c r="H1695">
        <v>7.6</v>
      </c>
      <c r="I1695">
        <v>1.65</v>
      </c>
      <c r="J1695">
        <v>10</v>
      </c>
      <c r="L1695" t="s">
        <v>2709</v>
      </c>
      <c r="M1695">
        <v>28211090</v>
      </c>
      <c r="O1695" t="s">
        <v>20008</v>
      </c>
      <c r="P1695" t="s">
        <v>19900</v>
      </c>
      <c r="Q1695" t="s">
        <v>19900</v>
      </c>
      <c r="R1695" t="s">
        <v>19905</v>
      </c>
      <c r="S1695" t="s">
        <v>19906</v>
      </c>
      <c r="T1695" t="s">
        <v>19904</v>
      </c>
    </row>
    <row r="1696" spans="2:20" x14ac:dyDescent="0.25">
      <c r="B1696" t="s">
        <v>2709</v>
      </c>
      <c r="C1696">
        <v>28212000</v>
      </c>
      <c r="E1696">
        <v>38</v>
      </c>
      <c r="F1696">
        <v>0</v>
      </c>
      <c r="G1696">
        <v>0</v>
      </c>
      <c r="H1696">
        <v>7.6</v>
      </c>
      <c r="I1696">
        <v>1.65</v>
      </c>
      <c r="J1696">
        <v>2</v>
      </c>
      <c r="L1696" t="s">
        <v>2709</v>
      </c>
      <c r="M1696">
        <v>28212000</v>
      </c>
      <c r="O1696" t="s">
        <v>20008</v>
      </c>
      <c r="P1696" t="s">
        <v>19900</v>
      </c>
      <c r="Q1696" t="s">
        <v>19900</v>
      </c>
      <c r="R1696" t="s">
        <v>19905</v>
      </c>
      <c r="S1696" t="s">
        <v>19906</v>
      </c>
      <c r="T1696" t="s">
        <v>19901</v>
      </c>
    </row>
    <row r="1697" spans="2:20" x14ac:dyDescent="0.25">
      <c r="B1697" t="s">
        <v>2709</v>
      </c>
      <c r="C1697">
        <v>28220010</v>
      </c>
      <c r="E1697">
        <v>177.19</v>
      </c>
      <c r="F1697">
        <v>0</v>
      </c>
      <c r="G1697">
        <v>0</v>
      </c>
      <c r="H1697">
        <v>7.6</v>
      </c>
      <c r="I1697">
        <v>1.65</v>
      </c>
      <c r="J1697">
        <v>2</v>
      </c>
      <c r="L1697" t="s">
        <v>2709</v>
      </c>
      <c r="M1697">
        <v>28220010</v>
      </c>
      <c r="O1697" t="s">
        <v>19926</v>
      </c>
      <c r="P1697" t="s">
        <v>19900</v>
      </c>
      <c r="Q1697" t="s">
        <v>19900</v>
      </c>
      <c r="R1697" t="s">
        <v>19905</v>
      </c>
      <c r="S1697" t="s">
        <v>19906</v>
      </c>
      <c r="T1697" t="s">
        <v>19901</v>
      </c>
    </row>
    <row r="1698" spans="2:20" x14ac:dyDescent="0.25">
      <c r="B1698" t="s">
        <v>2709</v>
      </c>
      <c r="C1698">
        <v>28220090</v>
      </c>
      <c r="E1698">
        <v>177.19</v>
      </c>
      <c r="F1698">
        <v>0</v>
      </c>
      <c r="G1698">
        <v>0</v>
      </c>
      <c r="H1698">
        <v>7.6</v>
      </c>
      <c r="I1698">
        <v>1.65</v>
      </c>
      <c r="J1698">
        <v>2</v>
      </c>
      <c r="L1698" t="s">
        <v>2709</v>
      </c>
      <c r="M1698">
        <v>28220090</v>
      </c>
      <c r="O1698" t="s">
        <v>19926</v>
      </c>
      <c r="P1698" t="s">
        <v>19900</v>
      </c>
      <c r="Q1698" t="s">
        <v>19900</v>
      </c>
      <c r="R1698" t="s">
        <v>19905</v>
      </c>
      <c r="S1698" t="s">
        <v>19906</v>
      </c>
      <c r="T1698" t="s">
        <v>19901</v>
      </c>
    </row>
    <row r="1699" spans="2:20" x14ac:dyDescent="0.25">
      <c r="B1699" t="s">
        <v>2709</v>
      </c>
      <c r="C1699">
        <v>28230010</v>
      </c>
      <c r="E1699">
        <v>177.19</v>
      </c>
      <c r="F1699">
        <v>0</v>
      </c>
      <c r="G1699">
        <v>0</v>
      </c>
      <c r="H1699">
        <v>7.6</v>
      </c>
      <c r="I1699">
        <v>1.65</v>
      </c>
      <c r="J1699">
        <v>2</v>
      </c>
      <c r="L1699" t="s">
        <v>2709</v>
      </c>
      <c r="M1699">
        <v>28230010</v>
      </c>
      <c r="O1699" t="s">
        <v>19926</v>
      </c>
      <c r="P1699" t="s">
        <v>19900</v>
      </c>
      <c r="Q1699" t="s">
        <v>19900</v>
      </c>
      <c r="R1699" t="s">
        <v>19905</v>
      </c>
      <c r="S1699" t="s">
        <v>19906</v>
      </c>
      <c r="T1699" t="s">
        <v>19901</v>
      </c>
    </row>
    <row r="1700" spans="2:20" x14ac:dyDescent="0.25">
      <c r="B1700" t="s">
        <v>2709</v>
      </c>
      <c r="C1700">
        <v>28230090</v>
      </c>
      <c r="E1700">
        <v>177.19</v>
      </c>
      <c r="F1700">
        <v>0</v>
      </c>
      <c r="G1700">
        <v>0</v>
      </c>
      <c r="H1700">
        <v>7.6</v>
      </c>
      <c r="I1700">
        <v>1.65</v>
      </c>
      <c r="J1700">
        <v>8</v>
      </c>
      <c r="L1700" t="s">
        <v>2709</v>
      </c>
      <c r="M1700">
        <v>28230090</v>
      </c>
      <c r="O1700" t="s">
        <v>19926</v>
      </c>
      <c r="P1700" t="s">
        <v>19900</v>
      </c>
      <c r="Q1700" t="s">
        <v>19900</v>
      </c>
      <c r="R1700" t="s">
        <v>19905</v>
      </c>
      <c r="S1700" t="s">
        <v>19906</v>
      </c>
      <c r="T1700" t="s">
        <v>19918</v>
      </c>
    </row>
    <row r="1701" spans="2:20" x14ac:dyDescent="0.25">
      <c r="B1701" t="s">
        <v>2709</v>
      </c>
      <c r="C1701">
        <v>28241000</v>
      </c>
      <c r="E1701">
        <v>177.19</v>
      </c>
      <c r="F1701">
        <v>0</v>
      </c>
      <c r="G1701">
        <v>0</v>
      </c>
      <c r="H1701">
        <v>7.6</v>
      </c>
      <c r="I1701">
        <v>1.65</v>
      </c>
      <c r="J1701">
        <v>10</v>
      </c>
      <c r="L1701" t="s">
        <v>2709</v>
      </c>
      <c r="M1701">
        <v>28241000</v>
      </c>
      <c r="O1701" t="s">
        <v>19926</v>
      </c>
      <c r="P1701" t="s">
        <v>19900</v>
      </c>
      <c r="Q1701" t="s">
        <v>19900</v>
      </c>
      <c r="R1701" t="s">
        <v>19905</v>
      </c>
      <c r="S1701" t="s">
        <v>19906</v>
      </c>
      <c r="T1701" t="s">
        <v>19904</v>
      </c>
    </row>
    <row r="1702" spans="2:20" x14ac:dyDescent="0.25">
      <c r="B1702" t="s">
        <v>2709</v>
      </c>
      <c r="C1702">
        <v>28249010</v>
      </c>
      <c r="E1702">
        <v>177.19</v>
      </c>
      <c r="F1702">
        <v>0</v>
      </c>
      <c r="G1702">
        <v>0</v>
      </c>
      <c r="H1702">
        <v>7.6</v>
      </c>
      <c r="I1702">
        <v>1.65</v>
      </c>
      <c r="J1702">
        <v>10</v>
      </c>
      <c r="L1702" t="s">
        <v>2709</v>
      </c>
      <c r="M1702">
        <v>28249010</v>
      </c>
      <c r="O1702" t="s">
        <v>19926</v>
      </c>
      <c r="P1702" t="s">
        <v>19900</v>
      </c>
      <c r="Q1702" t="s">
        <v>19900</v>
      </c>
      <c r="R1702" t="s">
        <v>19905</v>
      </c>
      <c r="S1702" t="s">
        <v>19906</v>
      </c>
      <c r="T1702" t="s">
        <v>19904</v>
      </c>
    </row>
    <row r="1703" spans="2:20" x14ac:dyDescent="0.25">
      <c r="B1703" t="s">
        <v>2709</v>
      </c>
      <c r="C1703">
        <v>28249090</v>
      </c>
      <c r="E1703">
        <v>177.19</v>
      </c>
      <c r="F1703">
        <v>0</v>
      </c>
      <c r="G1703">
        <v>0</v>
      </c>
      <c r="H1703">
        <v>7.6</v>
      </c>
      <c r="I1703">
        <v>1.65</v>
      </c>
      <c r="J1703">
        <v>10</v>
      </c>
      <c r="L1703" t="s">
        <v>2709</v>
      </c>
      <c r="M1703">
        <v>28249090</v>
      </c>
      <c r="O1703" t="s">
        <v>19926</v>
      </c>
      <c r="P1703" t="s">
        <v>19900</v>
      </c>
      <c r="Q1703" t="s">
        <v>19900</v>
      </c>
      <c r="R1703" t="s">
        <v>19905</v>
      </c>
      <c r="S1703" t="s">
        <v>19906</v>
      </c>
      <c r="T1703" t="s">
        <v>19904</v>
      </c>
    </row>
    <row r="1704" spans="2:20" x14ac:dyDescent="0.25">
      <c r="B1704" t="s">
        <v>2709</v>
      </c>
      <c r="C1704">
        <v>28251010</v>
      </c>
      <c r="E1704">
        <v>177.19</v>
      </c>
      <c r="F1704">
        <v>0</v>
      </c>
      <c r="G1704">
        <v>0</v>
      </c>
      <c r="H1704">
        <v>7.6</v>
      </c>
      <c r="I1704">
        <v>1.65</v>
      </c>
      <c r="J1704">
        <v>2</v>
      </c>
      <c r="L1704" t="s">
        <v>2709</v>
      </c>
      <c r="M1704">
        <v>28251010</v>
      </c>
      <c r="O1704" t="s">
        <v>19926</v>
      </c>
      <c r="P1704" t="s">
        <v>19900</v>
      </c>
      <c r="Q1704" t="s">
        <v>19900</v>
      </c>
      <c r="R1704" t="s">
        <v>19905</v>
      </c>
      <c r="S1704" t="s">
        <v>19906</v>
      </c>
      <c r="T1704" t="s">
        <v>19901</v>
      </c>
    </row>
    <row r="1705" spans="2:20" x14ac:dyDescent="0.25">
      <c r="B1705" t="s">
        <v>2709</v>
      </c>
      <c r="C1705">
        <v>28251020</v>
      </c>
      <c r="E1705">
        <v>177.19</v>
      </c>
      <c r="F1705">
        <v>0</v>
      </c>
      <c r="G1705">
        <v>0</v>
      </c>
      <c r="H1705" t="s">
        <v>19447</v>
      </c>
      <c r="I1705" t="s">
        <v>19447</v>
      </c>
      <c r="J1705">
        <v>2</v>
      </c>
      <c r="L1705" t="s">
        <v>2709</v>
      </c>
      <c r="M1705">
        <v>28251020</v>
      </c>
      <c r="O1705" t="s">
        <v>19926</v>
      </c>
      <c r="P1705" t="s">
        <v>19900</v>
      </c>
      <c r="Q1705" t="s">
        <v>19900</v>
      </c>
      <c r="R1705" t="s">
        <v>19447</v>
      </c>
      <c r="S1705" t="s">
        <v>19447</v>
      </c>
      <c r="T1705" t="s">
        <v>19901</v>
      </c>
    </row>
    <row r="1706" spans="2:20" x14ac:dyDescent="0.25">
      <c r="B1706" t="s">
        <v>2709</v>
      </c>
      <c r="C1706">
        <v>28252010</v>
      </c>
      <c r="E1706">
        <v>177.19</v>
      </c>
      <c r="F1706">
        <v>0</v>
      </c>
      <c r="G1706">
        <v>0</v>
      </c>
      <c r="H1706">
        <v>7.6</v>
      </c>
      <c r="I1706">
        <v>1.65</v>
      </c>
      <c r="J1706">
        <v>2</v>
      </c>
      <c r="L1706" t="s">
        <v>2709</v>
      </c>
      <c r="M1706">
        <v>28252010</v>
      </c>
      <c r="O1706" t="s">
        <v>19926</v>
      </c>
      <c r="P1706" t="s">
        <v>19900</v>
      </c>
      <c r="Q1706" t="s">
        <v>19900</v>
      </c>
      <c r="R1706" t="s">
        <v>19905</v>
      </c>
      <c r="S1706" t="s">
        <v>19906</v>
      </c>
      <c r="T1706" t="s">
        <v>19901</v>
      </c>
    </row>
    <row r="1707" spans="2:20" x14ac:dyDescent="0.25">
      <c r="B1707" t="s">
        <v>2709</v>
      </c>
      <c r="C1707">
        <v>28252020</v>
      </c>
      <c r="E1707">
        <v>177.19</v>
      </c>
      <c r="F1707">
        <v>0</v>
      </c>
      <c r="G1707">
        <v>0</v>
      </c>
      <c r="H1707">
        <v>7.6</v>
      </c>
      <c r="I1707">
        <v>1.65</v>
      </c>
      <c r="J1707">
        <v>10</v>
      </c>
      <c r="L1707" t="s">
        <v>2709</v>
      </c>
      <c r="M1707">
        <v>28252020</v>
      </c>
      <c r="O1707" t="s">
        <v>19926</v>
      </c>
      <c r="P1707" t="s">
        <v>19900</v>
      </c>
      <c r="Q1707" t="s">
        <v>19900</v>
      </c>
      <c r="R1707" t="s">
        <v>19905</v>
      </c>
      <c r="S1707" t="s">
        <v>19906</v>
      </c>
      <c r="T1707" t="s">
        <v>19904</v>
      </c>
    </row>
    <row r="1708" spans="2:20" x14ac:dyDescent="0.25">
      <c r="B1708" t="s">
        <v>2709</v>
      </c>
      <c r="C1708">
        <v>28253010</v>
      </c>
      <c r="E1708">
        <v>177.19</v>
      </c>
      <c r="F1708">
        <v>0</v>
      </c>
      <c r="G1708">
        <v>0</v>
      </c>
      <c r="H1708">
        <v>7.6</v>
      </c>
      <c r="I1708">
        <v>1.65</v>
      </c>
      <c r="J1708">
        <v>2</v>
      </c>
      <c r="L1708" t="s">
        <v>2709</v>
      </c>
      <c r="M1708">
        <v>28253010</v>
      </c>
      <c r="O1708" t="s">
        <v>19926</v>
      </c>
      <c r="P1708" t="s">
        <v>19900</v>
      </c>
      <c r="Q1708" t="s">
        <v>19900</v>
      </c>
      <c r="R1708" t="s">
        <v>19905</v>
      </c>
      <c r="S1708" t="s">
        <v>19906</v>
      </c>
      <c r="T1708" t="s">
        <v>19901</v>
      </c>
    </row>
    <row r="1709" spans="2:20" x14ac:dyDescent="0.25">
      <c r="B1709" t="s">
        <v>2709</v>
      </c>
      <c r="C1709">
        <v>28253090</v>
      </c>
      <c r="E1709">
        <v>177.19</v>
      </c>
      <c r="F1709">
        <v>0</v>
      </c>
      <c r="G1709">
        <v>0</v>
      </c>
      <c r="H1709">
        <v>7.6</v>
      </c>
      <c r="I1709">
        <v>1.65</v>
      </c>
      <c r="J1709">
        <v>2</v>
      </c>
      <c r="L1709" t="s">
        <v>2709</v>
      </c>
      <c r="M1709">
        <v>28253090</v>
      </c>
      <c r="O1709" t="s">
        <v>19926</v>
      </c>
      <c r="P1709" t="s">
        <v>19900</v>
      </c>
      <c r="Q1709" t="s">
        <v>19900</v>
      </c>
      <c r="R1709" t="s">
        <v>19905</v>
      </c>
      <c r="S1709" t="s">
        <v>19906</v>
      </c>
      <c r="T1709" t="s">
        <v>19901</v>
      </c>
    </row>
    <row r="1710" spans="2:20" x14ac:dyDescent="0.25">
      <c r="B1710" t="s">
        <v>2709</v>
      </c>
      <c r="C1710">
        <v>28254010</v>
      </c>
      <c r="E1710">
        <v>177.19</v>
      </c>
      <c r="F1710">
        <v>0</v>
      </c>
      <c r="G1710">
        <v>0</v>
      </c>
      <c r="H1710">
        <v>7.6</v>
      </c>
      <c r="I1710">
        <v>1.65</v>
      </c>
      <c r="J1710">
        <v>10</v>
      </c>
      <c r="L1710" t="s">
        <v>2709</v>
      </c>
      <c r="M1710">
        <v>28254010</v>
      </c>
      <c r="O1710" t="s">
        <v>19926</v>
      </c>
      <c r="P1710" t="s">
        <v>19900</v>
      </c>
      <c r="Q1710" t="s">
        <v>19900</v>
      </c>
      <c r="R1710" t="s">
        <v>19905</v>
      </c>
      <c r="S1710" t="s">
        <v>19906</v>
      </c>
      <c r="T1710" t="s">
        <v>19904</v>
      </c>
    </row>
    <row r="1711" spans="2:20" x14ac:dyDescent="0.25">
      <c r="B1711" t="s">
        <v>2709</v>
      </c>
      <c r="C1711">
        <v>28254090</v>
      </c>
      <c r="E1711">
        <v>177.19</v>
      </c>
      <c r="F1711">
        <v>0</v>
      </c>
      <c r="G1711">
        <v>0</v>
      </c>
      <c r="H1711">
        <v>7.6</v>
      </c>
      <c r="I1711">
        <v>1.65</v>
      </c>
      <c r="J1711">
        <v>2</v>
      </c>
      <c r="L1711" t="s">
        <v>2709</v>
      </c>
      <c r="M1711">
        <v>28254090</v>
      </c>
      <c r="O1711" t="s">
        <v>19926</v>
      </c>
      <c r="P1711" t="s">
        <v>19900</v>
      </c>
      <c r="Q1711" t="s">
        <v>19900</v>
      </c>
      <c r="R1711" t="s">
        <v>19905</v>
      </c>
      <c r="S1711" t="s">
        <v>19906</v>
      </c>
      <c r="T1711" t="s">
        <v>19901</v>
      </c>
    </row>
    <row r="1712" spans="2:20" x14ac:dyDescent="0.25">
      <c r="B1712" t="s">
        <v>2709</v>
      </c>
      <c r="C1712">
        <v>28255010</v>
      </c>
      <c r="E1712">
        <v>177.19</v>
      </c>
      <c r="F1712">
        <v>0</v>
      </c>
      <c r="G1712">
        <v>0</v>
      </c>
      <c r="H1712">
        <v>7.6</v>
      </c>
      <c r="I1712">
        <v>1.65</v>
      </c>
      <c r="J1712">
        <v>10</v>
      </c>
      <c r="L1712" t="s">
        <v>2709</v>
      </c>
      <c r="M1712">
        <v>28255010</v>
      </c>
      <c r="O1712" t="s">
        <v>19926</v>
      </c>
      <c r="P1712" t="s">
        <v>19900</v>
      </c>
      <c r="Q1712" t="s">
        <v>19900</v>
      </c>
      <c r="R1712" t="s">
        <v>19905</v>
      </c>
      <c r="S1712" t="s">
        <v>19906</v>
      </c>
      <c r="T1712" t="s">
        <v>19904</v>
      </c>
    </row>
    <row r="1713" spans="2:20" x14ac:dyDescent="0.25">
      <c r="B1713" t="s">
        <v>2709</v>
      </c>
      <c r="C1713">
        <v>28255090</v>
      </c>
      <c r="E1713">
        <v>177.19</v>
      </c>
      <c r="F1713">
        <v>0</v>
      </c>
      <c r="G1713">
        <v>0</v>
      </c>
      <c r="H1713">
        <v>7.6</v>
      </c>
      <c r="I1713">
        <v>1.65</v>
      </c>
      <c r="J1713">
        <v>10</v>
      </c>
      <c r="L1713" t="s">
        <v>2709</v>
      </c>
      <c r="M1713">
        <v>28255090</v>
      </c>
      <c r="O1713" t="s">
        <v>19926</v>
      </c>
      <c r="P1713" t="s">
        <v>19900</v>
      </c>
      <c r="Q1713" t="s">
        <v>19900</v>
      </c>
      <c r="R1713" t="s">
        <v>19905</v>
      </c>
      <c r="S1713" t="s">
        <v>19906</v>
      </c>
      <c r="T1713" t="s">
        <v>19904</v>
      </c>
    </row>
    <row r="1714" spans="2:20" x14ac:dyDescent="0.25">
      <c r="B1714" t="s">
        <v>2709</v>
      </c>
      <c r="C1714">
        <v>28256010</v>
      </c>
      <c r="E1714">
        <v>177.19</v>
      </c>
      <c r="F1714">
        <v>0</v>
      </c>
      <c r="G1714">
        <v>0</v>
      </c>
      <c r="H1714">
        <v>7.6</v>
      </c>
      <c r="I1714">
        <v>1.65</v>
      </c>
      <c r="J1714">
        <v>2</v>
      </c>
      <c r="L1714" t="s">
        <v>2709</v>
      </c>
      <c r="M1714">
        <v>28256010</v>
      </c>
      <c r="O1714" t="s">
        <v>19926</v>
      </c>
      <c r="P1714" t="s">
        <v>19900</v>
      </c>
      <c r="Q1714" t="s">
        <v>19900</v>
      </c>
      <c r="R1714" t="s">
        <v>19905</v>
      </c>
      <c r="S1714" t="s">
        <v>19906</v>
      </c>
      <c r="T1714" t="s">
        <v>19901</v>
      </c>
    </row>
    <row r="1715" spans="2:20" x14ac:dyDescent="0.25">
      <c r="B1715" t="s">
        <v>2709</v>
      </c>
      <c r="C1715">
        <v>28256020</v>
      </c>
      <c r="E1715">
        <v>177.19</v>
      </c>
      <c r="F1715">
        <v>0</v>
      </c>
      <c r="G1715">
        <v>0</v>
      </c>
      <c r="H1715">
        <v>7.6</v>
      </c>
      <c r="I1715">
        <v>1.65</v>
      </c>
      <c r="J1715">
        <v>2</v>
      </c>
      <c r="L1715" t="s">
        <v>2709</v>
      </c>
      <c r="M1715">
        <v>28256020</v>
      </c>
      <c r="O1715" t="s">
        <v>19926</v>
      </c>
      <c r="P1715" t="s">
        <v>19900</v>
      </c>
      <c r="Q1715" t="s">
        <v>19900</v>
      </c>
      <c r="R1715" t="s">
        <v>19905</v>
      </c>
      <c r="S1715" t="s">
        <v>19906</v>
      </c>
      <c r="T1715" t="s">
        <v>19901</v>
      </c>
    </row>
    <row r="1716" spans="2:20" x14ac:dyDescent="0.25">
      <c r="B1716" t="s">
        <v>2709</v>
      </c>
      <c r="C1716">
        <v>28257010</v>
      </c>
      <c r="E1716">
        <v>177.19</v>
      </c>
      <c r="F1716">
        <v>0</v>
      </c>
      <c r="G1716">
        <v>0</v>
      </c>
      <c r="H1716">
        <v>7.6</v>
      </c>
      <c r="I1716">
        <v>1.65</v>
      </c>
      <c r="J1716">
        <v>2</v>
      </c>
      <c r="L1716" t="s">
        <v>2709</v>
      </c>
      <c r="M1716">
        <v>28257010</v>
      </c>
      <c r="O1716" t="s">
        <v>19926</v>
      </c>
      <c r="P1716" t="s">
        <v>19900</v>
      </c>
      <c r="Q1716" t="s">
        <v>19900</v>
      </c>
      <c r="R1716" t="s">
        <v>19905</v>
      </c>
      <c r="S1716" t="s">
        <v>19906</v>
      </c>
      <c r="T1716" t="s">
        <v>19901</v>
      </c>
    </row>
    <row r="1717" spans="2:20" x14ac:dyDescent="0.25">
      <c r="B1717" t="s">
        <v>2709</v>
      </c>
      <c r="C1717">
        <v>28257090</v>
      </c>
      <c r="E1717">
        <v>177.19</v>
      </c>
      <c r="F1717">
        <v>0</v>
      </c>
      <c r="G1717">
        <v>0</v>
      </c>
      <c r="H1717">
        <v>7.6</v>
      </c>
      <c r="I1717">
        <v>1.65</v>
      </c>
      <c r="J1717">
        <v>2</v>
      </c>
      <c r="L1717" t="s">
        <v>2709</v>
      </c>
      <c r="M1717">
        <v>28257090</v>
      </c>
      <c r="O1717" t="s">
        <v>19926</v>
      </c>
      <c r="P1717" t="s">
        <v>19900</v>
      </c>
      <c r="Q1717" t="s">
        <v>19900</v>
      </c>
      <c r="R1717" t="s">
        <v>19905</v>
      </c>
      <c r="S1717" t="s">
        <v>19906</v>
      </c>
      <c r="T1717" t="s">
        <v>19901</v>
      </c>
    </row>
    <row r="1718" spans="2:20" x14ac:dyDescent="0.25">
      <c r="B1718" t="s">
        <v>2709</v>
      </c>
      <c r="C1718">
        <v>28258010</v>
      </c>
      <c r="E1718">
        <v>177.19</v>
      </c>
      <c r="F1718">
        <v>0</v>
      </c>
      <c r="G1718">
        <v>0</v>
      </c>
      <c r="H1718" t="s">
        <v>19447</v>
      </c>
      <c r="I1718" t="s">
        <v>19447</v>
      </c>
      <c r="J1718">
        <v>10</v>
      </c>
      <c r="L1718" t="s">
        <v>2709</v>
      </c>
      <c r="M1718">
        <v>28258010</v>
      </c>
      <c r="O1718" t="s">
        <v>19926</v>
      </c>
      <c r="P1718" t="s">
        <v>19900</v>
      </c>
      <c r="Q1718" t="s">
        <v>19900</v>
      </c>
      <c r="R1718" t="s">
        <v>19447</v>
      </c>
      <c r="S1718" t="s">
        <v>19447</v>
      </c>
      <c r="T1718" t="s">
        <v>19904</v>
      </c>
    </row>
    <row r="1719" spans="2:20" x14ac:dyDescent="0.25">
      <c r="B1719" t="s">
        <v>2709</v>
      </c>
      <c r="C1719">
        <v>28258090</v>
      </c>
      <c r="E1719">
        <v>177.19</v>
      </c>
      <c r="F1719">
        <v>0</v>
      </c>
      <c r="G1719">
        <v>0</v>
      </c>
      <c r="H1719">
        <v>7.6</v>
      </c>
      <c r="I1719">
        <v>1.65</v>
      </c>
      <c r="J1719">
        <v>10</v>
      </c>
      <c r="L1719" t="s">
        <v>2709</v>
      </c>
      <c r="M1719">
        <v>28258090</v>
      </c>
      <c r="O1719" t="s">
        <v>19926</v>
      </c>
      <c r="P1719" t="s">
        <v>19900</v>
      </c>
      <c r="Q1719" t="s">
        <v>19900</v>
      </c>
      <c r="R1719" t="s">
        <v>19905</v>
      </c>
      <c r="S1719" t="s">
        <v>19906</v>
      </c>
      <c r="T1719" t="s">
        <v>19904</v>
      </c>
    </row>
    <row r="1720" spans="2:20" x14ac:dyDescent="0.25">
      <c r="B1720" t="s">
        <v>2709</v>
      </c>
      <c r="C1720">
        <v>28259010</v>
      </c>
      <c r="E1720">
        <v>177.19</v>
      </c>
      <c r="F1720">
        <v>0</v>
      </c>
      <c r="G1720">
        <v>0</v>
      </c>
      <c r="H1720">
        <v>7.6</v>
      </c>
      <c r="I1720">
        <v>1.65</v>
      </c>
      <c r="J1720">
        <v>2</v>
      </c>
      <c r="L1720" t="s">
        <v>2709</v>
      </c>
      <c r="M1720">
        <v>28259010</v>
      </c>
      <c r="O1720" t="s">
        <v>19926</v>
      </c>
      <c r="P1720" t="s">
        <v>19900</v>
      </c>
      <c r="Q1720" t="s">
        <v>19900</v>
      </c>
      <c r="R1720" t="s">
        <v>19905</v>
      </c>
      <c r="S1720" t="s">
        <v>19906</v>
      </c>
      <c r="T1720" t="s">
        <v>19901</v>
      </c>
    </row>
    <row r="1721" spans="2:20" x14ac:dyDescent="0.25">
      <c r="B1721" t="s">
        <v>2709</v>
      </c>
      <c r="C1721">
        <v>28259020</v>
      </c>
      <c r="E1721">
        <v>177.19</v>
      </c>
      <c r="F1721">
        <v>0</v>
      </c>
      <c r="G1721">
        <v>0</v>
      </c>
      <c r="H1721">
        <v>7.6</v>
      </c>
      <c r="I1721">
        <v>1.65</v>
      </c>
      <c r="J1721">
        <v>2</v>
      </c>
      <c r="L1721" t="s">
        <v>2709</v>
      </c>
      <c r="M1721">
        <v>28259020</v>
      </c>
      <c r="O1721" t="s">
        <v>19926</v>
      </c>
      <c r="P1721" t="s">
        <v>19900</v>
      </c>
      <c r="Q1721" t="s">
        <v>19900</v>
      </c>
      <c r="R1721" t="s">
        <v>19905</v>
      </c>
      <c r="S1721" t="s">
        <v>19906</v>
      </c>
      <c r="T1721" t="s">
        <v>19901</v>
      </c>
    </row>
    <row r="1722" spans="2:20" x14ac:dyDescent="0.25">
      <c r="B1722" t="s">
        <v>2709</v>
      </c>
      <c r="C1722">
        <v>28259090</v>
      </c>
      <c r="E1722">
        <v>177.19</v>
      </c>
      <c r="F1722">
        <v>0</v>
      </c>
      <c r="G1722">
        <v>0</v>
      </c>
      <c r="H1722">
        <v>7.6</v>
      </c>
      <c r="I1722">
        <v>1.65</v>
      </c>
      <c r="J1722">
        <v>10</v>
      </c>
      <c r="L1722" t="s">
        <v>2709</v>
      </c>
      <c r="M1722">
        <v>28259090</v>
      </c>
      <c r="O1722" t="s">
        <v>19926</v>
      </c>
      <c r="P1722" t="s">
        <v>19900</v>
      </c>
      <c r="Q1722" t="s">
        <v>19900</v>
      </c>
      <c r="R1722" t="s">
        <v>19905</v>
      </c>
      <c r="S1722" t="s">
        <v>19906</v>
      </c>
      <c r="T1722" t="s">
        <v>19904</v>
      </c>
    </row>
    <row r="1723" spans="2:20" x14ac:dyDescent="0.25">
      <c r="B1723" t="s">
        <v>2709</v>
      </c>
      <c r="C1723">
        <v>28261200</v>
      </c>
      <c r="E1723">
        <v>177.19</v>
      </c>
      <c r="F1723">
        <v>0</v>
      </c>
      <c r="G1723">
        <v>0</v>
      </c>
      <c r="H1723">
        <v>7.6</v>
      </c>
      <c r="I1723">
        <v>1.65</v>
      </c>
      <c r="J1723">
        <v>2</v>
      </c>
      <c r="L1723" t="s">
        <v>2709</v>
      </c>
      <c r="M1723">
        <v>28261200</v>
      </c>
      <c r="O1723" t="s">
        <v>19926</v>
      </c>
      <c r="P1723" t="s">
        <v>19900</v>
      </c>
      <c r="Q1723" t="s">
        <v>19900</v>
      </c>
      <c r="R1723" t="s">
        <v>19905</v>
      </c>
      <c r="S1723" t="s">
        <v>19906</v>
      </c>
      <c r="T1723" t="s">
        <v>19901</v>
      </c>
    </row>
    <row r="1724" spans="2:20" x14ac:dyDescent="0.25">
      <c r="B1724" t="s">
        <v>2709</v>
      </c>
      <c r="C1724">
        <v>28261910</v>
      </c>
      <c r="E1724">
        <v>177.19</v>
      </c>
      <c r="F1724">
        <v>0</v>
      </c>
      <c r="G1724">
        <v>0</v>
      </c>
      <c r="H1724">
        <v>7.6</v>
      </c>
      <c r="I1724">
        <v>1.65</v>
      </c>
      <c r="J1724">
        <v>2</v>
      </c>
      <c r="L1724" t="s">
        <v>2709</v>
      </c>
      <c r="M1724">
        <v>28261910</v>
      </c>
      <c r="O1724" t="s">
        <v>19926</v>
      </c>
      <c r="P1724" t="s">
        <v>19900</v>
      </c>
      <c r="Q1724" t="s">
        <v>19900</v>
      </c>
      <c r="R1724" t="s">
        <v>19905</v>
      </c>
      <c r="S1724" t="s">
        <v>19906</v>
      </c>
      <c r="T1724" t="s">
        <v>19901</v>
      </c>
    </row>
    <row r="1725" spans="2:20" x14ac:dyDescent="0.25">
      <c r="B1725" t="s">
        <v>2709</v>
      </c>
      <c r="C1725">
        <v>28261920</v>
      </c>
      <c r="E1725">
        <v>177.19</v>
      </c>
      <c r="F1725">
        <v>0</v>
      </c>
      <c r="G1725">
        <v>0</v>
      </c>
      <c r="H1725">
        <v>7.6</v>
      </c>
      <c r="I1725">
        <v>1.65</v>
      </c>
      <c r="J1725">
        <v>10</v>
      </c>
      <c r="L1725" t="s">
        <v>2709</v>
      </c>
      <c r="M1725">
        <v>28261920</v>
      </c>
      <c r="O1725" t="s">
        <v>19926</v>
      </c>
      <c r="P1725" t="s">
        <v>19900</v>
      </c>
      <c r="Q1725" t="s">
        <v>19900</v>
      </c>
      <c r="R1725" t="s">
        <v>19905</v>
      </c>
      <c r="S1725" t="s">
        <v>19906</v>
      </c>
      <c r="T1725" t="s">
        <v>19904</v>
      </c>
    </row>
    <row r="1726" spans="2:20" x14ac:dyDescent="0.25">
      <c r="B1726" t="s">
        <v>2709</v>
      </c>
      <c r="C1726">
        <v>28261990</v>
      </c>
      <c r="E1726">
        <v>177.19</v>
      </c>
      <c r="F1726">
        <v>0</v>
      </c>
      <c r="G1726">
        <v>0</v>
      </c>
      <c r="H1726" t="s">
        <v>19447</v>
      </c>
      <c r="I1726" t="s">
        <v>19447</v>
      </c>
      <c r="J1726">
        <v>10</v>
      </c>
      <c r="L1726" t="s">
        <v>2709</v>
      </c>
      <c r="M1726">
        <v>28261990</v>
      </c>
      <c r="O1726" t="s">
        <v>19926</v>
      </c>
      <c r="P1726" t="s">
        <v>19900</v>
      </c>
      <c r="Q1726" t="s">
        <v>19900</v>
      </c>
      <c r="R1726" t="s">
        <v>19447</v>
      </c>
      <c r="S1726" t="s">
        <v>19447</v>
      </c>
      <c r="T1726" t="s">
        <v>19904</v>
      </c>
    </row>
    <row r="1727" spans="2:20" x14ac:dyDescent="0.25">
      <c r="B1727" t="s">
        <v>2709</v>
      </c>
      <c r="C1727">
        <v>28263000</v>
      </c>
      <c r="E1727">
        <v>177.19</v>
      </c>
      <c r="F1727">
        <v>0</v>
      </c>
      <c r="G1727">
        <v>0</v>
      </c>
      <c r="H1727">
        <v>7.6</v>
      </c>
      <c r="I1727">
        <v>1.65</v>
      </c>
      <c r="J1727">
        <v>10</v>
      </c>
      <c r="L1727" t="s">
        <v>2709</v>
      </c>
      <c r="M1727">
        <v>28263000</v>
      </c>
      <c r="O1727" t="s">
        <v>19926</v>
      </c>
      <c r="P1727" t="s">
        <v>19900</v>
      </c>
      <c r="Q1727" t="s">
        <v>19900</v>
      </c>
      <c r="R1727" t="s">
        <v>19905</v>
      </c>
      <c r="S1727" t="s">
        <v>19906</v>
      </c>
      <c r="T1727" t="s">
        <v>19904</v>
      </c>
    </row>
    <row r="1728" spans="2:20" x14ac:dyDescent="0.25">
      <c r="B1728" t="s">
        <v>2709</v>
      </c>
      <c r="C1728">
        <v>28269010</v>
      </c>
      <c r="E1728">
        <v>177.19</v>
      </c>
      <c r="F1728">
        <v>0</v>
      </c>
      <c r="G1728">
        <v>0</v>
      </c>
      <c r="H1728">
        <v>7.6</v>
      </c>
      <c r="I1728">
        <v>1.65</v>
      </c>
      <c r="J1728">
        <v>2</v>
      </c>
      <c r="L1728" t="s">
        <v>2709</v>
      </c>
      <c r="M1728">
        <v>28269010</v>
      </c>
      <c r="O1728" t="s">
        <v>19926</v>
      </c>
      <c r="P1728" t="s">
        <v>19900</v>
      </c>
      <c r="Q1728" t="s">
        <v>19900</v>
      </c>
      <c r="R1728" t="s">
        <v>19905</v>
      </c>
      <c r="S1728" t="s">
        <v>19906</v>
      </c>
      <c r="T1728" t="s">
        <v>19901</v>
      </c>
    </row>
    <row r="1729" spans="2:20" x14ac:dyDescent="0.25">
      <c r="B1729" t="s">
        <v>2709</v>
      </c>
      <c r="C1729">
        <v>28269020</v>
      </c>
      <c r="E1729">
        <v>177.19</v>
      </c>
      <c r="F1729">
        <v>0</v>
      </c>
      <c r="G1729">
        <v>0</v>
      </c>
      <c r="H1729">
        <v>7.6</v>
      </c>
      <c r="I1729">
        <v>1.65</v>
      </c>
      <c r="J1729">
        <v>10</v>
      </c>
      <c r="L1729" t="s">
        <v>2709</v>
      </c>
      <c r="M1729">
        <v>28269020</v>
      </c>
      <c r="O1729" t="s">
        <v>19926</v>
      </c>
      <c r="P1729" t="s">
        <v>19900</v>
      </c>
      <c r="Q1729" t="s">
        <v>19900</v>
      </c>
      <c r="R1729" t="s">
        <v>19905</v>
      </c>
      <c r="S1729" t="s">
        <v>19906</v>
      </c>
      <c r="T1729" t="s">
        <v>19904</v>
      </c>
    </row>
    <row r="1730" spans="2:20" x14ac:dyDescent="0.25">
      <c r="B1730" t="s">
        <v>2709</v>
      </c>
      <c r="C1730">
        <v>28269090</v>
      </c>
      <c r="E1730">
        <v>177.19</v>
      </c>
      <c r="F1730">
        <v>0</v>
      </c>
      <c r="G1730">
        <v>0</v>
      </c>
      <c r="H1730" t="s">
        <v>19447</v>
      </c>
      <c r="I1730" t="s">
        <v>19447</v>
      </c>
      <c r="J1730">
        <v>10</v>
      </c>
      <c r="L1730" t="s">
        <v>2709</v>
      </c>
      <c r="M1730">
        <v>28269090</v>
      </c>
      <c r="O1730" t="s">
        <v>19926</v>
      </c>
      <c r="P1730" t="s">
        <v>19900</v>
      </c>
      <c r="Q1730" t="s">
        <v>19900</v>
      </c>
      <c r="R1730" t="s">
        <v>19447</v>
      </c>
      <c r="S1730" t="s">
        <v>19447</v>
      </c>
      <c r="T1730" t="s">
        <v>19904</v>
      </c>
    </row>
    <row r="1731" spans="2:20" x14ac:dyDescent="0.25">
      <c r="B1731" t="s">
        <v>2709</v>
      </c>
      <c r="C1731">
        <v>28271000</v>
      </c>
      <c r="E1731">
        <v>177.19</v>
      </c>
      <c r="F1731">
        <v>0</v>
      </c>
      <c r="G1731">
        <v>0</v>
      </c>
      <c r="H1731">
        <v>7.6</v>
      </c>
      <c r="I1731">
        <v>1.65</v>
      </c>
      <c r="J1731">
        <v>10</v>
      </c>
      <c r="L1731" t="s">
        <v>2709</v>
      </c>
      <c r="M1731">
        <v>28271000</v>
      </c>
      <c r="O1731" t="s">
        <v>19926</v>
      </c>
      <c r="P1731" t="s">
        <v>19900</v>
      </c>
      <c r="Q1731" t="s">
        <v>19900</v>
      </c>
      <c r="R1731" t="s">
        <v>19905</v>
      </c>
      <c r="S1731" t="s">
        <v>19906</v>
      </c>
      <c r="T1731" t="s">
        <v>19904</v>
      </c>
    </row>
    <row r="1732" spans="2:20" x14ac:dyDescent="0.25">
      <c r="B1732" t="s">
        <v>2709</v>
      </c>
      <c r="C1732">
        <v>28272010</v>
      </c>
      <c r="E1732">
        <v>177.19</v>
      </c>
      <c r="F1732">
        <v>0</v>
      </c>
      <c r="G1732">
        <v>0</v>
      </c>
      <c r="H1732">
        <v>7.6</v>
      </c>
      <c r="I1732">
        <v>1.65</v>
      </c>
      <c r="J1732">
        <v>10</v>
      </c>
      <c r="L1732" t="s">
        <v>2709</v>
      </c>
      <c r="M1732">
        <v>28272010</v>
      </c>
      <c r="O1732" t="s">
        <v>19926</v>
      </c>
      <c r="P1732" t="s">
        <v>19900</v>
      </c>
      <c r="Q1732" t="s">
        <v>19900</v>
      </c>
      <c r="R1732" t="s">
        <v>19905</v>
      </c>
      <c r="S1732" t="s">
        <v>19906</v>
      </c>
      <c r="T1732" t="s">
        <v>19904</v>
      </c>
    </row>
    <row r="1733" spans="2:20" x14ac:dyDescent="0.25">
      <c r="B1733" t="s">
        <v>2709</v>
      </c>
      <c r="C1733">
        <v>28272090</v>
      </c>
      <c r="E1733">
        <v>56.82</v>
      </c>
      <c r="F1733">
        <v>0</v>
      </c>
      <c r="G1733">
        <v>0</v>
      </c>
      <c r="H1733">
        <v>7.6</v>
      </c>
      <c r="I1733">
        <v>1.65</v>
      </c>
      <c r="J1733">
        <v>10</v>
      </c>
      <c r="L1733" t="s">
        <v>2709</v>
      </c>
      <c r="M1733">
        <v>28272090</v>
      </c>
      <c r="O1733" t="s">
        <v>20024</v>
      </c>
      <c r="P1733" t="s">
        <v>19900</v>
      </c>
      <c r="Q1733" t="s">
        <v>19900</v>
      </c>
      <c r="R1733" t="s">
        <v>19905</v>
      </c>
      <c r="S1733" t="s">
        <v>19906</v>
      </c>
      <c r="T1733" t="s">
        <v>19904</v>
      </c>
    </row>
    <row r="1734" spans="2:20" x14ac:dyDescent="0.25">
      <c r="B1734" t="s">
        <v>2709</v>
      </c>
      <c r="C1734">
        <v>28273110</v>
      </c>
      <c r="E1734">
        <v>177.19</v>
      </c>
      <c r="F1734">
        <v>0</v>
      </c>
      <c r="G1734">
        <v>0</v>
      </c>
      <c r="H1734">
        <v>7.6</v>
      </c>
      <c r="I1734">
        <v>1.65</v>
      </c>
      <c r="J1734">
        <v>10</v>
      </c>
      <c r="L1734" t="s">
        <v>2709</v>
      </c>
      <c r="M1734">
        <v>28273110</v>
      </c>
      <c r="O1734" t="s">
        <v>19926</v>
      </c>
      <c r="P1734" t="s">
        <v>19900</v>
      </c>
      <c r="Q1734" t="s">
        <v>19900</v>
      </c>
      <c r="R1734" t="s">
        <v>19905</v>
      </c>
      <c r="S1734" t="s">
        <v>19906</v>
      </c>
      <c r="T1734" t="s">
        <v>19904</v>
      </c>
    </row>
    <row r="1735" spans="2:20" x14ac:dyDescent="0.25">
      <c r="B1735" t="s">
        <v>2709</v>
      </c>
      <c r="C1735">
        <v>28273190</v>
      </c>
      <c r="E1735">
        <v>177.19</v>
      </c>
      <c r="F1735">
        <v>0</v>
      </c>
      <c r="G1735">
        <v>0</v>
      </c>
      <c r="H1735">
        <v>7.6</v>
      </c>
      <c r="I1735">
        <v>1.65</v>
      </c>
      <c r="J1735">
        <v>10</v>
      </c>
      <c r="L1735" t="s">
        <v>2709</v>
      </c>
      <c r="M1735">
        <v>28273190</v>
      </c>
      <c r="O1735" t="s">
        <v>19926</v>
      </c>
      <c r="P1735" t="s">
        <v>19900</v>
      </c>
      <c r="Q1735" t="s">
        <v>19900</v>
      </c>
      <c r="R1735" t="s">
        <v>19905</v>
      </c>
      <c r="S1735" t="s">
        <v>19906</v>
      </c>
      <c r="T1735" t="s">
        <v>19904</v>
      </c>
    </row>
    <row r="1736" spans="2:20" x14ac:dyDescent="0.25">
      <c r="B1736" t="s">
        <v>2709</v>
      </c>
      <c r="C1736">
        <v>28273200</v>
      </c>
      <c r="E1736">
        <v>66.7</v>
      </c>
      <c r="F1736">
        <v>0</v>
      </c>
      <c r="G1736">
        <v>0</v>
      </c>
      <c r="H1736">
        <v>7.6</v>
      </c>
      <c r="I1736">
        <v>1.65</v>
      </c>
      <c r="J1736">
        <v>10</v>
      </c>
      <c r="L1736" t="s">
        <v>2709</v>
      </c>
      <c r="M1736">
        <v>28273200</v>
      </c>
      <c r="O1736" t="s">
        <v>20025</v>
      </c>
      <c r="P1736" t="s">
        <v>19900</v>
      </c>
      <c r="Q1736" t="s">
        <v>19900</v>
      </c>
      <c r="R1736" t="s">
        <v>19905</v>
      </c>
      <c r="S1736" t="s">
        <v>19906</v>
      </c>
      <c r="T1736" t="s">
        <v>19904</v>
      </c>
    </row>
    <row r="1737" spans="2:20" x14ac:dyDescent="0.25">
      <c r="B1737" t="s">
        <v>2709</v>
      </c>
      <c r="C1737">
        <v>28273500</v>
      </c>
      <c r="E1737">
        <v>177.19</v>
      </c>
      <c r="F1737">
        <v>0</v>
      </c>
      <c r="G1737">
        <v>0</v>
      </c>
      <c r="H1737">
        <v>7.6</v>
      </c>
      <c r="I1737">
        <v>1.65</v>
      </c>
      <c r="J1737">
        <v>10</v>
      </c>
      <c r="L1737" t="s">
        <v>2709</v>
      </c>
      <c r="M1737">
        <v>28273500</v>
      </c>
      <c r="O1737" t="s">
        <v>19926</v>
      </c>
      <c r="P1737" t="s">
        <v>19900</v>
      </c>
      <c r="Q1737" t="s">
        <v>19900</v>
      </c>
      <c r="R1737" t="s">
        <v>19905</v>
      </c>
      <c r="S1737" t="s">
        <v>19906</v>
      </c>
      <c r="T1737" t="s">
        <v>19904</v>
      </c>
    </row>
    <row r="1738" spans="2:20" x14ac:dyDescent="0.25">
      <c r="B1738" t="s">
        <v>2709</v>
      </c>
      <c r="C1738">
        <v>28273910</v>
      </c>
      <c r="E1738">
        <v>177.19</v>
      </c>
      <c r="F1738">
        <v>0</v>
      </c>
      <c r="G1738">
        <v>0</v>
      </c>
      <c r="H1738">
        <v>7.6</v>
      </c>
      <c r="I1738">
        <v>1.65</v>
      </c>
      <c r="J1738">
        <v>2</v>
      </c>
      <c r="L1738" t="s">
        <v>2709</v>
      </c>
      <c r="M1738">
        <v>28273910</v>
      </c>
      <c r="O1738" t="s">
        <v>19926</v>
      </c>
      <c r="P1738" t="s">
        <v>19900</v>
      </c>
      <c r="Q1738" t="s">
        <v>19900</v>
      </c>
      <c r="R1738" t="s">
        <v>19905</v>
      </c>
      <c r="S1738" t="s">
        <v>19906</v>
      </c>
      <c r="T1738" t="s">
        <v>19901</v>
      </c>
    </row>
    <row r="1739" spans="2:20" x14ac:dyDescent="0.25">
      <c r="B1739" t="s">
        <v>2709</v>
      </c>
      <c r="C1739">
        <v>28273920</v>
      </c>
      <c r="E1739">
        <v>177.19</v>
      </c>
      <c r="F1739">
        <v>0</v>
      </c>
      <c r="G1739">
        <v>0</v>
      </c>
      <c r="H1739">
        <v>7.6</v>
      </c>
      <c r="I1739">
        <v>1.65</v>
      </c>
      <c r="J1739">
        <v>2</v>
      </c>
      <c r="L1739" t="s">
        <v>2709</v>
      </c>
      <c r="M1739">
        <v>28273920</v>
      </c>
      <c r="O1739" t="s">
        <v>19926</v>
      </c>
      <c r="P1739" t="s">
        <v>19900</v>
      </c>
      <c r="Q1739" t="s">
        <v>19900</v>
      </c>
      <c r="R1739" t="s">
        <v>19905</v>
      </c>
      <c r="S1739" t="s">
        <v>19906</v>
      </c>
      <c r="T1739" t="s">
        <v>19901</v>
      </c>
    </row>
    <row r="1740" spans="2:20" x14ac:dyDescent="0.25">
      <c r="B1740" t="s">
        <v>2709</v>
      </c>
      <c r="C1740">
        <v>28273940</v>
      </c>
      <c r="E1740">
        <v>177.19</v>
      </c>
      <c r="F1740">
        <v>0</v>
      </c>
      <c r="G1740">
        <v>0</v>
      </c>
      <c r="H1740">
        <v>7.6</v>
      </c>
      <c r="I1740">
        <v>1.65</v>
      </c>
      <c r="J1740">
        <v>2</v>
      </c>
      <c r="L1740" t="s">
        <v>2709</v>
      </c>
      <c r="M1740">
        <v>28273940</v>
      </c>
      <c r="O1740" t="s">
        <v>19926</v>
      </c>
      <c r="P1740" t="s">
        <v>19900</v>
      </c>
      <c r="Q1740" t="s">
        <v>19900</v>
      </c>
      <c r="R1740" t="s">
        <v>19905</v>
      </c>
      <c r="S1740" t="s">
        <v>19906</v>
      </c>
      <c r="T1740" t="s">
        <v>19901</v>
      </c>
    </row>
    <row r="1741" spans="2:20" x14ac:dyDescent="0.25">
      <c r="B1741" t="s">
        <v>2709</v>
      </c>
      <c r="C1741">
        <v>28273950</v>
      </c>
      <c r="E1741">
        <v>177.19</v>
      </c>
      <c r="F1741">
        <v>0</v>
      </c>
      <c r="G1741">
        <v>0</v>
      </c>
      <c r="H1741">
        <v>7.6</v>
      </c>
      <c r="I1741">
        <v>1.65</v>
      </c>
      <c r="J1741">
        <v>2</v>
      </c>
      <c r="L1741" t="s">
        <v>2709</v>
      </c>
      <c r="M1741">
        <v>28273950</v>
      </c>
      <c r="O1741" t="s">
        <v>19926</v>
      </c>
      <c r="P1741" t="s">
        <v>19900</v>
      </c>
      <c r="Q1741" t="s">
        <v>19900</v>
      </c>
      <c r="R1741" t="s">
        <v>19905</v>
      </c>
      <c r="S1741" t="s">
        <v>19906</v>
      </c>
      <c r="T1741" t="s">
        <v>19901</v>
      </c>
    </row>
    <row r="1742" spans="2:20" x14ac:dyDescent="0.25">
      <c r="B1742" t="s">
        <v>2709</v>
      </c>
      <c r="C1742">
        <v>28273960</v>
      </c>
      <c r="E1742">
        <v>177.19</v>
      </c>
      <c r="F1742">
        <v>0</v>
      </c>
      <c r="G1742">
        <v>0</v>
      </c>
      <c r="H1742">
        <v>7.6</v>
      </c>
      <c r="I1742">
        <v>1.65</v>
      </c>
      <c r="J1742">
        <v>2</v>
      </c>
      <c r="L1742" t="s">
        <v>2709</v>
      </c>
      <c r="M1742">
        <v>28273960</v>
      </c>
      <c r="O1742" t="s">
        <v>19926</v>
      </c>
      <c r="P1742" t="s">
        <v>19900</v>
      </c>
      <c r="Q1742" t="s">
        <v>19900</v>
      </c>
      <c r="R1742" t="s">
        <v>19905</v>
      </c>
      <c r="S1742" t="s">
        <v>19906</v>
      </c>
      <c r="T1742" t="s">
        <v>19901</v>
      </c>
    </row>
    <row r="1743" spans="2:20" x14ac:dyDescent="0.25">
      <c r="B1743" t="s">
        <v>2709</v>
      </c>
      <c r="C1743">
        <v>28273970</v>
      </c>
      <c r="E1743">
        <v>177.19</v>
      </c>
      <c r="F1743">
        <v>0</v>
      </c>
      <c r="G1743">
        <v>0</v>
      </c>
      <c r="H1743">
        <v>7.6</v>
      </c>
      <c r="I1743">
        <v>1.65</v>
      </c>
      <c r="J1743">
        <v>2</v>
      </c>
      <c r="L1743" t="s">
        <v>2709</v>
      </c>
      <c r="M1743">
        <v>28273970</v>
      </c>
      <c r="O1743" t="s">
        <v>19926</v>
      </c>
      <c r="P1743" t="s">
        <v>19900</v>
      </c>
      <c r="Q1743" t="s">
        <v>19900</v>
      </c>
      <c r="R1743" t="s">
        <v>19905</v>
      </c>
      <c r="S1743" t="s">
        <v>19906</v>
      </c>
      <c r="T1743" t="s">
        <v>19901</v>
      </c>
    </row>
    <row r="1744" spans="2:20" x14ac:dyDescent="0.25">
      <c r="B1744" t="s">
        <v>2709</v>
      </c>
      <c r="C1744">
        <v>28273991</v>
      </c>
      <c r="E1744">
        <v>177.19</v>
      </c>
      <c r="F1744">
        <v>0</v>
      </c>
      <c r="G1744">
        <v>0</v>
      </c>
      <c r="H1744">
        <v>7.6</v>
      </c>
      <c r="I1744">
        <v>1.65</v>
      </c>
      <c r="J1744">
        <v>2</v>
      </c>
      <c r="L1744" t="s">
        <v>2709</v>
      </c>
      <c r="M1744">
        <v>28273991</v>
      </c>
      <c r="O1744" t="s">
        <v>19926</v>
      </c>
      <c r="P1744" t="s">
        <v>19900</v>
      </c>
      <c r="Q1744" t="s">
        <v>19900</v>
      </c>
      <c r="R1744" t="s">
        <v>19905</v>
      </c>
      <c r="S1744" t="s">
        <v>19906</v>
      </c>
      <c r="T1744" t="s">
        <v>19901</v>
      </c>
    </row>
    <row r="1745" spans="2:20" x14ac:dyDescent="0.25">
      <c r="B1745" t="s">
        <v>2709</v>
      </c>
      <c r="C1745">
        <v>28273992</v>
      </c>
      <c r="E1745">
        <v>177.19</v>
      </c>
      <c r="F1745">
        <v>0</v>
      </c>
      <c r="G1745">
        <v>0</v>
      </c>
      <c r="H1745">
        <v>7.6</v>
      </c>
      <c r="I1745">
        <v>1.65</v>
      </c>
      <c r="J1745">
        <v>2</v>
      </c>
      <c r="L1745" t="s">
        <v>2709</v>
      </c>
      <c r="M1745">
        <v>28273992</v>
      </c>
      <c r="O1745" t="s">
        <v>19926</v>
      </c>
      <c r="P1745" t="s">
        <v>19900</v>
      </c>
      <c r="Q1745" t="s">
        <v>19900</v>
      </c>
      <c r="R1745" t="s">
        <v>19905</v>
      </c>
      <c r="S1745" t="s">
        <v>19906</v>
      </c>
      <c r="T1745" t="s">
        <v>19901</v>
      </c>
    </row>
    <row r="1746" spans="2:20" x14ac:dyDescent="0.25">
      <c r="B1746" t="s">
        <v>2709</v>
      </c>
      <c r="C1746">
        <v>28273993</v>
      </c>
      <c r="E1746">
        <v>177.19</v>
      </c>
      <c r="F1746">
        <v>0</v>
      </c>
      <c r="G1746">
        <v>0</v>
      </c>
      <c r="H1746">
        <v>7.6</v>
      </c>
      <c r="I1746">
        <v>1.65</v>
      </c>
      <c r="J1746">
        <v>2</v>
      </c>
      <c r="L1746" t="s">
        <v>2709</v>
      </c>
      <c r="M1746">
        <v>28273993</v>
      </c>
      <c r="O1746" t="s">
        <v>19926</v>
      </c>
      <c r="P1746" t="s">
        <v>19900</v>
      </c>
      <c r="Q1746" t="s">
        <v>19900</v>
      </c>
      <c r="R1746" t="s">
        <v>19905</v>
      </c>
      <c r="S1746" t="s">
        <v>19906</v>
      </c>
      <c r="T1746" t="s">
        <v>19901</v>
      </c>
    </row>
    <row r="1747" spans="2:20" x14ac:dyDescent="0.25">
      <c r="B1747" t="s">
        <v>2709</v>
      </c>
      <c r="C1747">
        <v>28273994</v>
      </c>
      <c r="E1747">
        <v>177.19</v>
      </c>
      <c r="F1747">
        <v>0</v>
      </c>
      <c r="G1747">
        <v>0</v>
      </c>
      <c r="H1747">
        <v>7.6</v>
      </c>
      <c r="I1747">
        <v>1.65</v>
      </c>
      <c r="J1747">
        <v>2</v>
      </c>
      <c r="L1747" t="s">
        <v>2709</v>
      </c>
      <c r="M1747">
        <v>28273994</v>
      </c>
      <c r="O1747" t="s">
        <v>19926</v>
      </c>
      <c r="P1747" t="s">
        <v>19900</v>
      </c>
      <c r="Q1747" t="s">
        <v>19900</v>
      </c>
      <c r="R1747" t="s">
        <v>19905</v>
      </c>
      <c r="S1747" t="s">
        <v>19906</v>
      </c>
      <c r="T1747" t="s">
        <v>19901</v>
      </c>
    </row>
    <row r="1748" spans="2:20" x14ac:dyDescent="0.25">
      <c r="B1748" t="s">
        <v>2709</v>
      </c>
      <c r="C1748">
        <v>28273995</v>
      </c>
      <c r="E1748">
        <v>177.19</v>
      </c>
      <c r="F1748">
        <v>0</v>
      </c>
      <c r="G1748">
        <v>0</v>
      </c>
      <c r="H1748">
        <v>7.6</v>
      </c>
      <c r="I1748">
        <v>1.65</v>
      </c>
      <c r="J1748">
        <v>2</v>
      </c>
      <c r="L1748" t="s">
        <v>2709</v>
      </c>
      <c r="M1748">
        <v>28273995</v>
      </c>
      <c r="O1748" t="s">
        <v>19926</v>
      </c>
      <c r="P1748" t="s">
        <v>19900</v>
      </c>
      <c r="Q1748" t="s">
        <v>19900</v>
      </c>
      <c r="R1748" t="s">
        <v>19905</v>
      </c>
      <c r="S1748" t="s">
        <v>19906</v>
      </c>
      <c r="T1748" t="s">
        <v>19901</v>
      </c>
    </row>
    <row r="1749" spans="2:20" x14ac:dyDescent="0.25">
      <c r="B1749" t="s">
        <v>2709</v>
      </c>
      <c r="C1749">
        <v>28273996</v>
      </c>
      <c r="E1749">
        <v>177.19</v>
      </c>
      <c r="F1749">
        <v>0</v>
      </c>
      <c r="G1749">
        <v>0</v>
      </c>
      <c r="H1749">
        <v>7.6</v>
      </c>
      <c r="I1749">
        <v>1.65</v>
      </c>
      <c r="J1749">
        <v>10</v>
      </c>
      <c r="L1749" t="s">
        <v>2709</v>
      </c>
      <c r="M1749">
        <v>28273996</v>
      </c>
      <c r="O1749" t="s">
        <v>19926</v>
      </c>
      <c r="P1749" t="s">
        <v>19900</v>
      </c>
      <c r="Q1749" t="s">
        <v>19900</v>
      </c>
      <c r="R1749" t="s">
        <v>19905</v>
      </c>
      <c r="S1749" t="s">
        <v>19906</v>
      </c>
      <c r="T1749" t="s">
        <v>19904</v>
      </c>
    </row>
    <row r="1750" spans="2:20" x14ac:dyDescent="0.25">
      <c r="B1750" t="s">
        <v>2709</v>
      </c>
      <c r="C1750">
        <v>28273997</v>
      </c>
      <c r="E1750">
        <v>177.19</v>
      </c>
      <c r="F1750">
        <v>0</v>
      </c>
      <c r="G1750">
        <v>0</v>
      </c>
      <c r="H1750">
        <v>7.6</v>
      </c>
      <c r="I1750">
        <v>1.65</v>
      </c>
      <c r="J1750">
        <v>10</v>
      </c>
      <c r="L1750" t="s">
        <v>2709</v>
      </c>
      <c r="M1750">
        <v>28273997</v>
      </c>
      <c r="O1750" t="s">
        <v>19926</v>
      </c>
      <c r="P1750" t="s">
        <v>19900</v>
      </c>
      <c r="Q1750" t="s">
        <v>19900</v>
      </c>
      <c r="R1750" t="s">
        <v>19905</v>
      </c>
      <c r="S1750" t="s">
        <v>19906</v>
      </c>
      <c r="T1750" t="s">
        <v>19904</v>
      </c>
    </row>
    <row r="1751" spans="2:20" x14ac:dyDescent="0.25">
      <c r="B1751" t="s">
        <v>2709</v>
      </c>
      <c r="C1751">
        <v>28273998</v>
      </c>
      <c r="E1751">
        <v>177.19</v>
      </c>
      <c r="F1751">
        <v>0</v>
      </c>
      <c r="G1751">
        <v>0</v>
      </c>
      <c r="H1751">
        <v>7.6</v>
      </c>
      <c r="I1751">
        <v>1.65</v>
      </c>
      <c r="J1751">
        <v>10</v>
      </c>
      <c r="L1751" t="s">
        <v>2709</v>
      </c>
      <c r="M1751">
        <v>28273998</v>
      </c>
      <c r="O1751" t="s">
        <v>19926</v>
      </c>
      <c r="P1751" t="s">
        <v>19900</v>
      </c>
      <c r="Q1751" t="s">
        <v>19900</v>
      </c>
      <c r="R1751" t="s">
        <v>19905</v>
      </c>
      <c r="S1751" t="s">
        <v>19906</v>
      </c>
      <c r="T1751" t="s">
        <v>19904</v>
      </c>
    </row>
    <row r="1752" spans="2:20" x14ac:dyDescent="0.25">
      <c r="B1752" t="s">
        <v>2709</v>
      </c>
      <c r="C1752">
        <v>28273999</v>
      </c>
      <c r="E1752">
        <v>177.19</v>
      </c>
      <c r="F1752">
        <v>0</v>
      </c>
      <c r="G1752">
        <v>0</v>
      </c>
      <c r="H1752">
        <v>7.6</v>
      </c>
      <c r="I1752">
        <v>1.65</v>
      </c>
      <c r="J1752">
        <v>10</v>
      </c>
      <c r="L1752" t="s">
        <v>2709</v>
      </c>
      <c r="M1752">
        <v>28273999</v>
      </c>
      <c r="O1752" t="s">
        <v>19926</v>
      </c>
      <c r="P1752" t="s">
        <v>19900</v>
      </c>
      <c r="Q1752" t="s">
        <v>19900</v>
      </c>
      <c r="R1752" t="s">
        <v>19905</v>
      </c>
      <c r="S1752" t="s">
        <v>19906</v>
      </c>
      <c r="T1752" t="s">
        <v>19904</v>
      </c>
    </row>
    <row r="1753" spans="2:20" x14ac:dyDescent="0.25">
      <c r="B1753" t="s">
        <v>2709</v>
      </c>
      <c r="C1753">
        <v>28274110</v>
      </c>
      <c r="E1753">
        <v>177.19</v>
      </c>
      <c r="F1753">
        <v>0</v>
      </c>
      <c r="G1753">
        <v>0</v>
      </c>
      <c r="H1753">
        <v>7.6</v>
      </c>
      <c r="I1753">
        <v>1.65</v>
      </c>
      <c r="J1753">
        <v>10</v>
      </c>
      <c r="L1753" t="s">
        <v>2709</v>
      </c>
      <c r="M1753">
        <v>28274110</v>
      </c>
      <c r="O1753" t="s">
        <v>19926</v>
      </c>
      <c r="P1753" t="s">
        <v>19900</v>
      </c>
      <c r="Q1753" t="s">
        <v>19900</v>
      </c>
      <c r="R1753" t="s">
        <v>19905</v>
      </c>
      <c r="S1753" t="s">
        <v>19906</v>
      </c>
      <c r="T1753" t="s">
        <v>19904</v>
      </c>
    </row>
    <row r="1754" spans="2:20" x14ac:dyDescent="0.25">
      <c r="B1754" t="s">
        <v>2709</v>
      </c>
      <c r="C1754">
        <v>28274120</v>
      </c>
      <c r="E1754">
        <v>177.19</v>
      </c>
      <c r="F1754">
        <v>0</v>
      </c>
      <c r="G1754">
        <v>0</v>
      </c>
      <c r="H1754">
        <v>7.6</v>
      </c>
      <c r="I1754">
        <v>1.65</v>
      </c>
      <c r="J1754">
        <v>10</v>
      </c>
      <c r="L1754" t="s">
        <v>2709</v>
      </c>
      <c r="M1754">
        <v>28274120</v>
      </c>
      <c r="O1754" t="s">
        <v>19926</v>
      </c>
      <c r="P1754" t="s">
        <v>19900</v>
      </c>
      <c r="Q1754" t="s">
        <v>19900</v>
      </c>
      <c r="R1754" t="s">
        <v>19905</v>
      </c>
      <c r="S1754" t="s">
        <v>19906</v>
      </c>
      <c r="T1754" t="s">
        <v>19904</v>
      </c>
    </row>
    <row r="1755" spans="2:20" x14ac:dyDescent="0.25">
      <c r="B1755" t="s">
        <v>2709</v>
      </c>
      <c r="C1755">
        <v>28274911</v>
      </c>
      <c r="E1755">
        <v>177.19</v>
      </c>
      <c r="F1755">
        <v>0</v>
      </c>
      <c r="G1755">
        <v>0</v>
      </c>
      <c r="H1755">
        <v>7.6</v>
      </c>
      <c r="I1755">
        <v>1.65</v>
      </c>
      <c r="J1755">
        <v>2</v>
      </c>
      <c r="L1755" t="s">
        <v>2709</v>
      </c>
      <c r="M1755">
        <v>28274911</v>
      </c>
      <c r="O1755" t="s">
        <v>19926</v>
      </c>
      <c r="P1755" t="s">
        <v>19900</v>
      </c>
      <c r="Q1755" t="s">
        <v>19900</v>
      </c>
      <c r="R1755" t="s">
        <v>19905</v>
      </c>
      <c r="S1755" t="s">
        <v>19906</v>
      </c>
      <c r="T1755" t="s">
        <v>19901</v>
      </c>
    </row>
    <row r="1756" spans="2:20" x14ac:dyDescent="0.25">
      <c r="B1756" t="s">
        <v>2709</v>
      </c>
      <c r="C1756">
        <v>28274912</v>
      </c>
      <c r="E1756">
        <v>177.19</v>
      </c>
      <c r="F1756">
        <v>0</v>
      </c>
      <c r="G1756">
        <v>0</v>
      </c>
      <c r="H1756">
        <v>7.6</v>
      </c>
      <c r="I1756">
        <v>1.65</v>
      </c>
      <c r="J1756">
        <v>2</v>
      </c>
      <c r="L1756" t="s">
        <v>2709</v>
      </c>
      <c r="M1756">
        <v>28274912</v>
      </c>
      <c r="O1756" t="s">
        <v>19926</v>
      </c>
      <c r="P1756" t="s">
        <v>19900</v>
      </c>
      <c r="Q1756" t="s">
        <v>19900</v>
      </c>
      <c r="R1756" t="s">
        <v>19905</v>
      </c>
      <c r="S1756" t="s">
        <v>19906</v>
      </c>
      <c r="T1756" t="s">
        <v>19901</v>
      </c>
    </row>
    <row r="1757" spans="2:20" x14ac:dyDescent="0.25">
      <c r="B1757" t="s">
        <v>2709</v>
      </c>
      <c r="C1757">
        <v>28274919</v>
      </c>
      <c r="E1757">
        <v>177.19</v>
      </c>
      <c r="F1757">
        <v>0</v>
      </c>
      <c r="G1757">
        <v>0</v>
      </c>
      <c r="H1757">
        <v>7.6</v>
      </c>
      <c r="I1757">
        <v>1.65</v>
      </c>
      <c r="J1757">
        <v>2</v>
      </c>
      <c r="L1757" t="s">
        <v>2709</v>
      </c>
      <c r="M1757">
        <v>28274919</v>
      </c>
      <c r="O1757" t="s">
        <v>19926</v>
      </c>
      <c r="P1757" t="s">
        <v>19900</v>
      </c>
      <c r="Q1757" t="s">
        <v>19900</v>
      </c>
      <c r="R1757" t="s">
        <v>19905</v>
      </c>
      <c r="S1757" t="s">
        <v>19906</v>
      </c>
      <c r="T1757" t="s">
        <v>19901</v>
      </c>
    </row>
    <row r="1758" spans="2:20" x14ac:dyDescent="0.25">
      <c r="B1758" t="s">
        <v>2709</v>
      </c>
      <c r="C1758">
        <v>28274921</v>
      </c>
      <c r="E1758">
        <v>66.7</v>
      </c>
      <c r="F1758">
        <v>0</v>
      </c>
      <c r="G1758">
        <v>0</v>
      </c>
      <c r="H1758">
        <v>7.6</v>
      </c>
      <c r="I1758">
        <v>1.65</v>
      </c>
      <c r="J1758">
        <v>10</v>
      </c>
      <c r="L1758" t="s">
        <v>2709</v>
      </c>
      <c r="M1758">
        <v>28274921</v>
      </c>
      <c r="O1758" t="s">
        <v>20025</v>
      </c>
      <c r="P1758" t="s">
        <v>19900</v>
      </c>
      <c r="Q1758" t="s">
        <v>19900</v>
      </c>
      <c r="R1758" t="s">
        <v>19905</v>
      </c>
      <c r="S1758" t="s">
        <v>19906</v>
      </c>
      <c r="T1758" t="s">
        <v>19904</v>
      </c>
    </row>
    <row r="1759" spans="2:20" x14ac:dyDescent="0.25">
      <c r="B1759" t="s">
        <v>2709</v>
      </c>
      <c r="C1759">
        <v>28274929</v>
      </c>
      <c r="E1759">
        <v>177.19</v>
      </c>
      <c r="F1759">
        <v>0</v>
      </c>
      <c r="G1759">
        <v>0</v>
      </c>
      <c r="H1759">
        <v>7.6</v>
      </c>
      <c r="I1759">
        <v>1.65</v>
      </c>
      <c r="J1759">
        <v>2</v>
      </c>
      <c r="L1759" t="s">
        <v>2709</v>
      </c>
      <c r="M1759">
        <v>28274929</v>
      </c>
      <c r="O1759" t="s">
        <v>19926</v>
      </c>
      <c r="P1759" t="s">
        <v>19900</v>
      </c>
      <c r="Q1759" t="s">
        <v>19900</v>
      </c>
      <c r="R1759" t="s">
        <v>19905</v>
      </c>
      <c r="S1759" t="s">
        <v>19906</v>
      </c>
      <c r="T1759" t="s">
        <v>19901</v>
      </c>
    </row>
    <row r="1760" spans="2:20" x14ac:dyDescent="0.25">
      <c r="B1760" t="s">
        <v>2709</v>
      </c>
      <c r="C1760">
        <v>28275100</v>
      </c>
      <c r="E1760">
        <v>177.19</v>
      </c>
      <c r="F1760">
        <v>0</v>
      </c>
      <c r="G1760">
        <v>0</v>
      </c>
      <c r="H1760">
        <v>7.6</v>
      </c>
      <c r="I1760">
        <v>1.65</v>
      </c>
      <c r="J1760">
        <v>2</v>
      </c>
      <c r="L1760" t="s">
        <v>2709</v>
      </c>
      <c r="M1760">
        <v>28275100</v>
      </c>
      <c r="O1760" t="s">
        <v>19926</v>
      </c>
      <c r="P1760" t="s">
        <v>19900</v>
      </c>
      <c r="Q1760" t="s">
        <v>19900</v>
      </c>
      <c r="R1760" t="s">
        <v>19905</v>
      </c>
      <c r="S1760" t="s">
        <v>19906</v>
      </c>
      <c r="T1760" t="s">
        <v>19901</v>
      </c>
    </row>
    <row r="1761" spans="2:20" x14ac:dyDescent="0.25">
      <c r="B1761" t="s">
        <v>2709</v>
      </c>
      <c r="C1761">
        <v>28275900</v>
      </c>
      <c r="E1761">
        <v>177.19</v>
      </c>
      <c r="F1761">
        <v>0</v>
      </c>
      <c r="G1761">
        <v>0</v>
      </c>
      <c r="H1761">
        <v>7.6</v>
      </c>
      <c r="I1761">
        <v>1.65</v>
      </c>
      <c r="J1761">
        <v>2</v>
      </c>
      <c r="L1761" t="s">
        <v>2709</v>
      </c>
      <c r="M1761">
        <v>28275900</v>
      </c>
      <c r="O1761" t="s">
        <v>19926</v>
      </c>
      <c r="P1761" t="s">
        <v>19900</v>
      </c>
      <c r="Q1761" t="s">
        <v>19900</v>
      </c>
      <c r="R1761" t="s">
        <v>19905</v>
      </c>
      <c r="S1761" t="s">
        <v>19906</v>
      </c>
      <c r="T1761" t="s">
        <v>19901</v>
      </c>
    </row>
    <row r="1762" spans="2:20" x14ac:dyDescent="0.25">
      <c r="B1762" t="s">
        <v>2709</v>
      </c>
      <c r="C1762">
        <v>28276011</v>
      </c>
      <c r="E1762">
        <v>177.19</v>
      </c>
      <c r="F1762">
        <v>0</v>
      </c>
      <c r="G1762">
        <v>0</v>
      </c>
      <c r="H1762">
        <v>7.6</v>
      </c>
      <c r="I1762">
        <v>1.65</v>
      </c>
      <c r="J1762">
        <v>10</v>
      </c>
      <c r="L1762" t="s">
        <v>2709</v>
      </c>
      <c r="M1762">
        <v>28276011</v>
      </c>
      <c r="O1762" t="s">
        <v>19926</v>
      </c>
      <c r="P1762" t="s">
        <v>19900</v>
      </c>
      <c r="Q1762" t="s">
        <v>19900</v>
      </c>
      <c r="R1762" t="s">
        <v>19905</v>
      </c>
      <c r="S1762" t="s">
        <v>19906</v>
      </c>
      <c r="T1762" t="s">
        <v>19904</v>
      </c>
    </row>
    <row r="1763" spans="2:20" x14ac:dyDescent="0.25">
      <c r="B1763" t="s">
        <v>2709</v>
      </c>
      <c r="C1763">
        <v>28276012</v>
      </c>
      <c r="E1763">
        <v>177.19</v>
      </c>
      <c r="F1763">
        <v>0</v>
      </c>
      <c r="G1763">
        <v>0</v>
      </c>
      <c r="H1763">
        <v>7.6</v>
      </c>
      <c r="I1763">
        <v>1.65</v>
      </c>
      <c r="J1763">
        <v>10</v>
      </c>
      <c r="L1763" t="s">
        <v>2709</v>
      </c>
      <c r="M1763">
        <v>28276012</v>
      </c>
      <c r="O1763" t="s">
        <v>19926</v>
      </c>
      <c r="P1763" t="s">
        <v>19900</v>
      </c>
      <c r="Q1763" t="s">
        <v>19900</v>
      </c>
      <c r="R1763" t="s">
        <v>19905</v>
      </c>
      <c r="S1763" t="s">
        <v>19906</v>
      </c>
      <c r="T1763" t="s">
        <v>19904</v>
      </c>
    </row>
    <row r="1764" spans="2:20" x14ac:dyDescent="0.25">
      <c r="B1764" t="s">
        <v>2709</v>
      </c>
      <c r="C1764">
        <v>28276019</v>
      </c>
      <c r="E1764">
        <v>177.19</v>
      </c>
      <c r="F1764">
        <v>0</v>
      </c>
      <c r="G1764">
        <v>0</v>
      </c>
      <c r="H1764">
        <v>7.6</v>
      </c>
      <c r="I1764">
        <v>1.65</v>
      </c>
      <c r="J1764">
        <v>2</v>
      </c>
      <c r="L1764" t="s">
        <v>2709</v>
      </c>
      <c r="M1764">
        <v>28276019</v>
      </c>
      <c r="O1764" t="s">
        <v>19926</v>
      </c>
      <c r="P1764" t="s">
        <v>19900</v>
      </c>
      <c r="Q1764" t="s">
        <v>19900</v>
      </c>
      <c r="R1764" t="s">
        <v>19905</v>
      </c>
      <c r="S1764" t="s">
        <v>19906</v>
      </c>
      <c r="T1764" t="s">
        <v>19901</v>
      </c>
    </row>
    <row r="1765" spans="2:20" x14ac:dyDescent="0.25">
      <c r="B1765" t="s">
        <v>2709</v>
      </c>
      <c r="C1765">
        <v>28276021</v>
      </c>
      <c r="E1765">
        <v>177.19</v>
      </c>
      <c r="F1765">
        <v>0</v>
      </c>
      <c r="G1765">
        <v>0</v>
      </c>
      <c r="H1765">
        <v>7.6</v>
      </c>
      <c r="I1765">
        <v>1.65</v>
      </c>
      <c r="J1765">
        <v>2</v>
      </c>
      <c r="L1765" t="s">
        <v>2709</v>
      </c>
      <c r="M1765">
        <v>28276021</v>
      </c>
      <c r="O1765" t="s">
        <v>19926</v>
      </c>
      <c r="P1765" t="s">
        <v>19900</v>
      </c>
      <c r="Q1765" t="s">
        <v>19900</v>
      </c>
      <c r="R1765" t="s">
        <v>19905</v>
      </c>
      <c r="S1765" t="s">
        <v>19906</v>
      </c>
      <c r="T1765" t="s">
        <v>19901</v>
      </c>
    </row>
    <row r="1766" spans="2:20" x14ac:dyDescent="0.25">
      <c r="B1766" t="s">
        <v>2709</v>
      </c>
      <c r="C1766">
        <v>28276029</v>
      </c>
      <c r="E1766">
        <v>177.19</v>
      </c>
      <c r="F1766">
        <v>0</v>
      </c>
      <c r="G1766">
        <v>0</v>
      </c>
      <c r="H1766">
        <v>7.6</v>
      </c>
      <c r="I1766">
        <v>1.65</v>
      </c>
      <c r="J1766">
        <v>2</v>
      </c>
      <c r="L1766" t="s">
        <v>2709</v>
      </c>
      <c r="M1766">
        <v>28276029</v>
      </c>
      <c r="O1766" t="s">
        <v>19926</v>
      </c>
      <c r="P1766" t="s">
        <v>19900</v>
      </c>
      <c r="Q1766" t="s">
        <v>19900</v>
      </c>
      <c r="R1766" t="s">
        <v>19905</v>
      </c>
      <c r="S1766" t="s">
        <v>19906</v>
      </c>
      <c r="T1766" t="s">
        <v>19901</v>
      </c>
    </row>
    <row r="1767" spans="2:20" x14ac:dyDescent="0.25">
      <c r="B1767" t="s">
        <v>2709</v>
      </c>
      <c r="C1767">
        <v>28281000</v>
      </c>
      <c r="E1767">
        <v>57.94</v>
      </c>
      <c r="F1767">
        <v>0</v>
      </c>
      <c r="G1767">
        <v>0</v>
      </c>
      <c r="H1767">
        <v>7.6</v>
      </c>
      <c r="I1767">
        <v>1.65</v>
      </c>
      <c r="J1767">
        <v>10</v>
      </c>
      <c r="L1767" t="s">
        <v>2709</v>
      </c>
      <c r="M1767">
        <v>28281000</v>
      </c>
      <c r="O1767" t="s">
        <v>20019</v>
      </c>
      <c r="P1767" t="s">
        <v>19900</v>
      </c>
      <c r="Q1767" t="s">
        <v>19900</v>
      </c>
      <c r="R1767" t="s">
        <v>19905</v>
      </c>
      <c r="S1767" t="s">
        <v>19906</v>
      </c>
      <c r="T1767" t="s">
        <v>19904</v>
      </c>
    </row>
    <row r="1768" spans="2:20" x14ac:dyDescent="0.25">
      <c r="B1768" t="s">
        <v>2709</v>
      </c>
      <c r="C1768">
        <v>28289011</v>
      </c>
      <c r="E1768">
        <v>57.94</v>
      </c>
      <c r="F1768">
        <v>0</v>
      </c>
      <c r="G1768">
        <v>0</v>
      </c>
      <c r="H1768">
        <v>7.6</v>
      </c>
      <c r="I1768">
        <v>1.65</v>
      </c>
      <c r="J1768">
        <v>10</v>
      </c>
      <c r="L1768" t="s">
        <v>2709</v>
      </c>
      <c r="M1768">
        <v>28289011</v>
      </c>
      <c r="O1768" t="s">
        <v>20019</v>
      </c>
      <c r="P1768" t="s">
        <v>19900</v>
      </c>
      <c r="Q1768" t="s">
        <v>19900</v>
      </c>
      <c r="R1768" t="s">
        <v>19905</v>
      </c>
      <c r="S1768" t="s">
        <v>19906</v>
      </c>
      <c r="T1768" t="s">
        <v>19904</v>
      </c>
    </row>
    <row r="1769" spans="2:20" x14ac:dyDescent="0.25">
      <c r="B1769" t="s">
        <v>2709</v>
      </c>
      <c r="C1769">
        <v>28289019</v>
      </c>
      <c r="E1769">
        <v>57.94</v>
      </c>
      <c r="F1769">
        <v>0</v>
      </c>
      <c r="G1769">
        <v>0</v>
      </c>
      <c r="H1769">
        <v>7.6</v>
      </c>
      <c r="I1769">
        <v>1.65</v>
      </c>
      <c r="J1769">
        <v>2</v>
      </c>
      <c r="L1769" t="s">
        <v>2709</v>
      </c>
      <c r="M1769">
        <v>28289019</v>
      </c>
      <c r="O1769" t="s">
        <v>20019</v>
      </c>
      <c r="P1769" t="s">
        <v>19900</v>
      </c>
      <c r="Q1769" t="s">
        <v>19900</v>
      </c>
      <c r="R1769" t="s">
        <v>19905</v>
      </c>
      <c r="S1769" t="s">
        <v>19906</v>
      </c>
      <c r="T1769" t="s">
        <v>19901</v>
      </c>
    </row>
    <row r="1770" spans="2:20" x14ac:dyDescent="0.25">
      <c r="B1770" t="s">
        <v>2709</v>
      </c>
      <c r="C1770">
        <v>28289020</v>
      </c>
      <c r="E1770">
        <v>57.94</v>
      </c>
      <c r="F1770">
        <v>0</v>
      </c>
      <c r="G1770">
        <v>0</v>
      </c>
      <c r="H1770">
        <v>7.6</v>
      </c>
      <c r="I1770">
        <v>1.65</v>
      </c>
      <c r="J1770">
        <v>10</v>
      </c>
      <c r="L1770" t="s">
        <v>2709</v>
      </c>
      <c r="M1770">
        <v>28289020</v>
      </c>
      <c r="O1770" t="s">
        <v>20019</v>
      </c>
      <c r="P1770" t="s">
        <v>19900</v>
      </c>
      <c r="Q1770" t="s">
        <v>19900</v>
      </c>
      <c r="R1770" t="s">
        <v>19905</v>
      </c>
      <c r="S1770" t="s">
        <v>19906</v>
      </c>
      <c r="T1770" t="s">
        <v>19904</v>
      </c>
    </row>
    <row r="1771" spans="2:20" x14ac:dyDescent="0.25">
      <c r="B1771" t="s">
        <v>2709</v>
      </c>
      <c r="C1771">
        <v>28289090</v>
      </c>
      <c r="E1771">
        <v>57.94</v>
      </c>
      <c r="F1771">
        <v>0</v>
      </c>
      <c r="G1771">
        <v>0</v>
      </c>
      <c r="H1771">
        <v>7.6</v>
      </c>
      <c r="I1771">
        <v>1.65</v>
      </c>
      <c r="J1771">
        <v>2</v>
      </c>
      <c r="L1771" t="s">
        <v>2709</v>
      </c>
      <c r="M1771">
        <v>28289090</v>
      </c>
      <c r="O1771" t="s">
        <v>20019</v>
      </c>
      <c r="P1771" t="s">
        <v>19900</v>
      </c>
      <c r="Q1771" t="s">
        <v>19900</v>
      </c>
      <c r="R1771" t="s">
        <v>19905</v>
      </c>
      <c r="S1771" t="s">
        <v>19906</v>
      </c>
      <c r="T1771" t="s">
        <v>19901</v>
      </c>
    </row>
    <row r="1772" spans="2:20" x14ac:dyDescent="0.25">
      <c r="B1772" t="s">
        <v>2709</v>
      </c>
      <c r="C1772">
        <v>28291100</v>
      </c>
      <c r="E1772">
        <v>177.19</v>
      </c>
      <c r="F1772">
        <v>0</v>
      </c>
      <c r="G1772">
        <v>0</v>
      </c>
      <c r="H1772">
        <v>7.6</v>
      </c>
      <c r="I1772">
        <v>1.65</v>
      </c>
      <c r="J1772">
        <v>10</v>
      </c>
      <c r="L1772" t="s">
        <v>2709</v>
      </c>
      <c r="M1772">
        <v>28291100</v>
      </c>
      <c r="O1772" t="s">
        <v>19926</v>
      </c>
      <c r="P1772" t="s">
        <v>19900</v>
      </c>
      <c r="Q1772" t="s">
        <v>19900</v>
      </c>
      <c r="R1772" t="s">
        <v>19905</v>
      </c>
      <c r="S1772" t="s">
        <v>19906</v>
      </c>
      <c r="T1772" t="s">
        <v>19904</v>
      </c>
    </row>
    <row r="1773" spans="2:20" x14ac:dyDescent="0.25">
      <c r="B1773" t="s">
        <v>2709</v>
      </c>
      <c r="C1773">
        <v>28291910</v>
      </c>
      <c r="E1773">
        <v>177.19</v>
      </c>
      <c r="F1773">
        <v>0</v>
      </c>
      <c r="G1773">
        <v>0</v>
      </c>
      <c r="H1773">
        <v>7.6</v>
      </c>
      <c r="I1773">
        <v>1.65</v>
      </c>
      <c r="J1773">
        <v>2</v>
      </c>
      <c r="L1773" t="s">
        <v>2709</v>
      </c>
      <c r="M1773">
        <v>28291910</v>
      </c>
      <c r="O1773" t="s">
        <v>19926</v>
      </c>
      <c r="P1773" t="s">
        <v>19900</v>
      </c>
      <c r="Q1773" t="s">
        <v>19900</v>
      </c>
      <c r="R1773" t="s">
        <v>19905</v>
      </c>
      <c r="S1773" t="s">
        <v>19906</v>
      </c>
      <c r="T1773" t="s">
        <v>19901</v>
      </c>
    </row>
    <row r="1774" spans="2:20" x14ac:dyDescent="0.25">
      <c r="B1774" t="s">
        <v>2709</v>
      </c>
      <c r="C1774">
        <v>28291920</v>
      </c>
      <c r="E1774">
        <v>177.19</v>
      </c>
      <c r="F1774">
        <v>0</v>
      </c>
      <c r="G1774">
        <v>0</v>
      </c>
      <c r="H1774">
        <v>7.6</v>
      </c>
      <c r="I1774">
        <v>1.65</v>
      </c>
      <c r="J1774">
        <v>10</v>
      </c>
      <c r="L1774" t="s">
        <v>2709</v>
      </c>
      <c r="M1774">
        <v>28291920</v>
      </c>
      <c r="O1774" t="s">
        <v>19926</v>
      </c>
      <c r="P1774" t="s">
        <v>19900</v>
      </c>
      <c r="Q1774" t="s">
        <v>19900</v>
      </c>
      <c r="R1774" t="s">
        <v>19905</v>
      </c>
      <c r="S1774" t="s">
        <v>19906</v>
      </c>
      <c r="T1774" t="s">
        <v>19904</v>
      </c>
    </row>
    <row r="1775" spans="2:20" x14ac:dyDescent="0.25">
      <c r="B1775" t="s">
        <v>2709</v>
      </c>
      <c r="C1775">
        <v>28291990</v>
      </c>
      <c r="E1775">
        <v>177.19</v>
      </c>
      <c r="F1775">
        <v>0</v>
      </c>
      <c r="G1775">
        <v>0</v>
      </c>
      <c r="H1775">
        <v>7.6</v>
      </c>
      <c r="I1775">
        <v>1.65</v>
      </c>
      <c r="J1775">
        <v>2</v>
      </c>
      <c r="L1775" t="s">
        <v>2709</v>
      </c>
      <c r="M1775">
        <v>28291990</v>
      </c>
      <c r="O1775" t="s">
        <v>19926</v>
      </c>
      <c r="P1775" t="s">
        <v>19900</v>
      </c>
      <c r="Q1775" t="s">
        <v>19900</v>
      </c>
      <c r="R1775" t="s">
        <v>19905</v>
      </c>
      <c r="S1775" t="s">
        <v>19906</v>
      </c>
      <c r="T1775" t="s">
        <v>19901</v>
      </c>
    </row>
    <row r="1776" spans="2:20" x14ac:dyDescent="0.25">
      <c r="B1776" t="s">
        <v>2709</v>
      </c>
      <c r="C1776">
        <v>28299011</v>
      </c>
      <c r="E1776">
        <v>177.19</v>
      </c>
      <c r="F1776">
        <v>0</v>
      </c>
      <c r="G1776">
        <v>0</v>
      </c>
      <c r="H1776">
        <v>7.6</v>
      </c>
      <c r="I1776">
        <v>1.65</v>
      </c>
      <c r="J1776">
        <v>2</v>
      </c>
      <c r="L1776" t="s">
        <v>2709</v>
      </c>
      <c r="M1776">
        <v>28299011</v>
      </c>
      <c r="O1776" t="s">
        <v>19926</v>
      </c>
      <c r="P1776" t="s">
        <v>19900</v>
      </c>
      <c r="Q1776" t="s">
        <v>19900</v>
      </c>
      <c r="R1776" t="s">
        <v>19905</v>
      </c>
      <c r="S1776" t="s">
        <v>19906</v>
      </c>
      <c r="T1776" t="s">
        <v>19901</v>
      </c>
    </row>
    <row r="1777" spans="2:20" x14ac:dyDescent="0.25">
      <c r="B1777" t="s">
        <v>2709</v>
      </c>
      <c r="C1777">
        <v>28299012</v>
      </c>
      <c r="E1777">
        <v>177.19</v>
      </c>
      <c r="F1777">
        <v>0</v>
      </c>
      <c r="G1777">
        <v>0</v>
      </c>
      <c r="H1777">
        <v>7.6</v>
      </c>
      <c r="I1777">
        <v>1.65</v>
      </c>
      <c r="J1777">
        <v>2</v>
      </c>
      <c r="L1777" t="s">
        <v>2709</v>
      </c>
      <c r="M1777">
        <v>28299012</v>
      </c>
      <c r="O1777" t="s">
        <v>19926</v>
      </c>
      <c r="P1777" t="s">
        <v>19900</v>
      </c>
      <c r="Q1777" t="s">
        <v>19900</v>
      </c>
      <c r="R1777" t="s">
        <v>19905</v>
      </c>
      <c r="S1777" t="s">
        <v>19906</v>
      </c>
      <c r="T1777" t="s">
        <v>19901</v>
      </c>
    </row>
    <row r="1778" spans="2:20" x14ac:dyDescent="0.25">
      <c r="B1778" t="s">
        <v>2709</v>
      </c>
      <c r="C1778">
        <v>28299019</v>
      </c>
      <c r="E1778">
        <v>177.19</v>
      </c>
      <c r="F1778">
        <v>0</v>
      </c>
      <c r="G1778">
        <v>0</v>
      </c>
      <c r="H1778">
        <v>7.6</v>
      </c>
      <c r="I1778">
        <v>1.65</v>
      </c>
      <c r="J1778">
        <v>2</v>
      </c>
      <c r="L1778" t="s">
        <v>2709</v>
      </c>
      <c r="M1778">
        <v>28299019</v>
      </c>
      <c r="O1778" t="s">
        <v>19926</v>
      </c>
      <c r="P1778" t="s">
        <v>19900</v>
      </c>
      <c r="Q1778" t="s">
        <v>19900</v>
      </c>
      <c r="R1778" t="s">
        <v>19905</v>
      </c>
      <c r="S1778" t="s">
        <v>19906</v>
      </c>
      <c r="T1778" t="s">
        <v>19901</v>
      </c>
    </row>
    <row r="1779" spans="2:20" x14ac:dyDescent="0.25">
      <c r="B1779" t="s">
        <v>2709</v>
      </c>
      <c r="C1779">
        <v>28299021</v>
      </c>
      <c r="E1779">
        <v>177.19</v>
      </c>
      <c r="F1779">
        <v>0</v>
      </c>
      <c r="G1779">
        <v>0</v>
      </c>
      <c r="H1779">
        <v>7.6</v>
      </c>
      <c r="I1779">
        <v>1.65</v>
      </c>
      <c r="J1779">
        <v>2</v>
      </c>
      <c r="L1779" t="s">
        <v>2709</v>
      </c>
      <c r="M1779">
        <v>28299021</v>
      </c>
      <c r="O1779" t="s">
        <v>19926</v>
      </c>
      <c r="P1779" t="s">
        <v>19900</v>
      </c>
      <c r="Q1779" t="s">
        <v>19900</v>
      </c>
      <c r="R1779" t="s">
        <v>19905</v>
      </c>
      <c r="S1779" t="s">
        <v>19906</v>
      </c>
      <c r="T1779" t="s">
        <v>19901</v>
      </c>
    </row>
    <row r="1780" spans="2:20" x14ac:dyDescent="0.25">
      <c r="B1780" t="s">
        <v>2709</v>
      </c>
      <c r="C1780">
        <v>28299022</v>
      </c>
      <c r="E1780">
        <v>177.19</v>
      </c>
      <c r="F1780">
        <v>0</v>
      </c>
      <c r="G1780">
        <v>0</v>
      </c>
      <c r="H1780">
        <v>7.6</v>
      </c>
      <c r="I1780">
        <v>1.65</v>
      </c>
      <c r="J1780">
        <v>2</v>
      </c>
      <c r="L1780" t="s">
        <v>2709</v>
      </c>
      <c r="M1780">
        <v>28299022</v>
      </c>
      <c r="O1780" t="s">
        <v>19926</v>
      </c>
      <c r="P1780" t="s">
        <v>19900</v>
      </c>
      <c r="Q1780" t="s">
        <v>19900</v>
      </c>
      <c r="R1780" t="s">
        <v>19905</v>
      </c>
      <c r="S1780" t="s">
        <v>19906</v>
      </c>
      <c r="T1780" t="s">
        <v>19901</v>
      </c>
    </row>
    <row r="1781" spans="2:20" x14ac:dyDescent="0.25">
      <c r="B1781" t="s">
        <v>2709</v>
      </c>
      <c r="C1781">
        <v>28299029</v>
      </c>
      <c r="E1781">
        <v>177.19</v>
      </c>
      <c r="F1781">
        <v>0</v>
      </c>
      <c r="G1781">
        <v>0</v>
      </c>
      <c r="H1781">
        <v>7.6</v>
      </c>
      <c r="I1781">
        <v>1.65</v>
      </c>
      <c r="J1781">
        <v>2</v>
      </c>
      <c r="L1781" t="s">
        <v>2709</v>
      </c>
      <c r="M1781">
        <v>28299029</v>
      </c>
      <c r="O1781" t="s">
        <v>19926</v>
      </c>
      <c r="P1781" t="s">
        <v>19900</v>
      </c>
      <c r="Q1781" t="s">
        <v>19900</v>
      </c>
      <c r="R1781" t="s">
        <v>19905</v>
      </c>
      <c r="S1781" t="s">
        <v>19906</v>
      </c>
      <c r="T1781" t="s">
        <v>19901</v>
      </c>
    </row>
    <row r="1782" spans="2:20" x14ac:dyDescent="0.25">
      <c r="B1782" t="s">
        <v>2709</v>
      </c>
      <c r="C1782">
        <v>28299031</v>
      </c>
      <c r="E1782">
        <v>177.19</v>
      </c>
      <c r="F1782">
        <v>0</v>
      </c>
      <c r="G1782">
        <v>0</v>
      </c>
      <c r="H1782">
        <v>7.6</v>
      </c>
      <c r="I1782">
        <v>1.65</v>
      </c>
      <c r="J1782">
        <v>10</v>
      </c>
      <c r="L1782" t="s">
        <v>2709</v>
      </c>
      <c r="M1782">
        <v>28299031</v>
      </c>
      <c r="O1782" t="s">
        <v>19926</v>
      </c>
      <c r="P1782" t="s">
        <v>19900</v>
      </c>
      <c r="Q1782" t="s">
        <v>19900</v>
      </c>
      <c r="R1782" t="s">
        <v>19905</v>
      </c>
      <c r="S1782" t="s">
        <v>19906</v>
      </c>
      <c r="T1782" t="s">
        <v>19904</v>
      </c>
    </row>
    <row r="1783" spans="2:20" x14ac:dyDescent="0.25">
      <c r="B1783" t="s">
        <v>2709</v>
      </c>
      <c r="C1783">
        <v>28299032</v>
      </c>
      <c r="E1783">
        <v>177.19</v>
      </c>
      <c r="F1783">
        <v>0</v>
      </c>
      <c r="G1783">
        <v>0</v>
      </c>
      <c r="H1783">
        <v>7.6</v>
      </c>
      <c r="I1783">
        <v>1.65</v>
      </c>
      <c r="J1783">
        <v>10</v>
      </c>
      <c r="L1783" t="s">
        <v>2709</v>
      </c>
      <c r="M1783">
        <v>28299032</v>
      </c>
      <c r="O1783" t="s">
        <v>19926</v>
      </c>
      <c r="P1783" t="s">
        <v>19900</v>
      </c>
      <c r="Q1783" t="s">
        <v>19900</v>
      </c>
      <c r="R1783" t="s">
        <v>19905</v>
      </c>
      <c r="S1783" t="s">
        <v>19906</v>
      </c>
      <c r="T1783" t="s">
        <v>19904</v>
      </c>
    </row>
    <row r="1784" spans="2:20" x14ac:dyDescent="0.25">
      <c r="B1784" t="s">
        <v>2709</v>
      </c>
      <c r="C1784">
        <v>28299039</v>
      </c>
      <c r="E1784">
        <v>177.19</v>
      </c>
      <c r="F1784">
        <v>0</v>
      </c>
      <c r="G1784">
        <v>0</v>
      </c>
      <c r="H1784">
        <v>7.6</v>
      </c>
      <c r="I1784">
        <v>1.65</v>
      </c>
      <c r="J1784">
        <v>2</v>
      </c>
      <c r="L1784" t="s">
        <v>2709</v>
      </c>
      <c r="M1784">
        <v>28299039</v>
      </c>
      <c r="O1784" t="s">
        <v>19926</v>
      </c>
      <c r="P1784" t="s">
        <v>19900</v>
      </c>
      <c r="Q1784" t="s">
        <v>19900</v>
      </c>
      <c r="R1784" t="s">
        <v>19905</v>
      </c>
      <c r="S1784" t="s">
        <v>19906</v>
      </c>
      <c r="T1784" t="s">
        <v>19901</v>
      </c>
    </row>
    <row r="1785" spans="2:20" x14ac:dyDescent="0.25">
      <c r="B1785" t="s">
        <v>2709</v>
      </c>
      <c r="C1785">
        <v>28299040</v>
      </c>
      <c r="E1785">
        <v>177.19</v>
      </c>
      <c r="F1785">
        <v>0</v>
      </c>
      <c r="G1785">
        <v>0</v>
      </c>
      <c r="H1785">
        <v>7.6</v>
      </c>
      <c r="I1785">
        <v>1.65</v>
      </c>
      <c r="J1785">
        <v>2</v>
      </c>
      <c r="L1785" t="s">
        <v>2709</v>
      </c>
      <c r="M1785">
        <v>28299040</v>
      </c>
      <c r="O1785" t="s">
        <v>19926</v>
      </c>
      <c r="P1785" t="s">
        <v>19900</v>
      </c>
      <c r="Q1785" t="s">
        <v>19900</v>
      </c>
      <c r="R1785" t="s">
        <v>19905</v>
      </c>
      <c r="S1785" t="s">
        <v>19906</v>
      </c>
      <c r="T1785" t="s">
        <v>19901</v>
      </c>
    </row>
    <row r="1786" spans="2:20" x14ac:dyDescent="0.25">
      <c r="B1786" t="s">
        <v>2709</v>
      </c>
      <c r="C1786">
        <v>28299050</v>
      </c>
      <c r="E1786">
        <v>177.19</v>
      </c>
      <c r="F1786">
        <v>0</v>
      </c>
      <c r="G1786">
        <v>0</v>
      </c>
      <c r="H1786">
        <v>7.6</v>
      </c>
      <c r="I1786">
        <v>1.65</v>
      </c>
      <c r="J1786">
        <v>10</v>
      </c>
      <c r="L1786" t="s">
        <v>2709</v>
      </c>
      <c r="M1786">
        <v>28299050</v>
      </c>
      <c r="O1786" t="s">
        <v>19926</v>
      </c>
      <c r="P1786" t="s">
        <v>19900</v>
      </c>
      <c r="Q1786" t="s">
        <v>19900</v>
      </c>
      <c r="R1786" t="s">
        <v>19905</v>
      </c>
      <c r="S1786" t="s">
        <v>19906</v>
      </c>
      <c r="T1786" t="s">
        <v>19904</v>
      </c>
    </row>
    <row r="1787" spans="2:20" x14ac:dyDescent="0.25">
      <c r="B1787" t="s">
        <v>2709</v>
      </c>
      <c r="C1787">
        <v>28301010</v>
      </c>
      <c r="E1787">
        <v>177.19</v>
      </c>
      <c r="F1787">
        <v>0</v>
      </c>
      <c r="G1787">
        <v>0</v>
      </c>
      <c r="H1787">
        <v>7.6</v>
      </c>
      <c r="I1787">
        <v>1.65</v>
      </c>
      <c r="J1787">
        <v>10</v>
      </c>
      <c r="L1787" t="s">
        <v>2709</v>
      </c>
      <c r="M1787">
        <v>28301010</v>
      </c>
      <c r="O1787" t="s">
        <v>19926</v>
      </c>
      <c r="P1787" t="s">
        <v>19900</v>
      </c>
      <c r="Q1787" t="s">
        <v>19900</v>
      </c>
      <c r="R1787" t="s">
        <v>19905</v>
      </c>
      <c r="S1787" t="s">
        <v>19906</v>
      </c>
      <c r="T1787" t="s">
        <v>19904</v>
      </c>
    </row>
    <row r="1788" spans="2:20" x14ac:dyDescent="0.25">
      <c r="B1788" t="s">
        <v>2709</v>
      </c>
      <c r="C1788">
        <v>28301020</v>
      </c>
      <c r="E1788">
        <v>177.19</v>
      </c>
      <c r="F1788">
        <v>0</v>
      </c>
      <c r="G1788">
        <v>0</v>
      </c>
      <c r="H1788">
        <v>7.6</v>
      </c>
      <c r="I1788">
        <v>1.65</v>
      </c>
      <c r="J1788">
        <v>10</v>
      </c>
      <c r="L1788" t="s">
        <v>2709</v>
      </c>
      <c r="M1788">
        <v>28301020</v>
      </c>
      <c r="O1788" t="s">
        <v>19926</v>
      </c>
      <c r="P1788" t="s">
        <v>19900</v>
      </c>
      <c r="Q1788" t="s">
        <v>19900</v>
      </c>
      <c r="R1788" t="s">
        <v>19905</v>
      </c>
      <c r="S1788" t="s">
        <v>19906</v>
      </c>
      <c r="T1788" t="s">
        <v>19904</v>
      </c>
    </row>
    <row r="1789" spans="2:20" x14ac:dyDescent="0.25">
      <c r="B1789" t="s">
        <v>2709</v>
      </c>
      <c r="C1789">
        <v>28309011</v>
      </c>
      <c r="E1789">
        <v>177.19</v>
      </c>
      <c r="F1789">
        <v>0</v>
      </c>
      <c r="G1789">
        <v>0</v>
      </c>
      <c r="H1789">
        <v>7.6</v>
      </c>
      <c r="I1789">
        <v>1.65</v>
      </c>
      <c r="J1789">
        <v>2</v>
      </c>
      <c r="L1789" t="s">
        <v>2709</v>
      </c>
      <c r="M1789">
        <v>28309011</v>
      </c>
      <c r="O1789" t="s">
        <v>19926</v>
      </c>
      <c r="P1789" t="s">
        <v>19900</v>
      </c>
      <c r="Q1789" t="s">
        <v>19900</v>
      </c>
      <c r="R1789" t="s">
        <v>19905</v>
      </c>
      <c r="S1789" t="s">
        <v>19906</v>
      </c>
      <c r="T1789" t="s">
        <v>19901</v>
      </c>
    </row>
    <row r="1790" spans="2:20" x14ac:dyDescent="0.25">
      <c r="B1790" t="s">
        <v>2709</v>
      </c>
      <c r="C1790">
        <v>28309012</v>
      </c>
      <c r="E1790">
        <v>177.19</v>
      </c>
      <c r="F1790">
        <v>0</v>
      </c>
      <c r="G1790">
        <v>0</v>
      </c>
      <c r="H1790">
        <v>7.6</v>
      </c>
      <c r="I1790">
        <v>1.65</v>
      </c>
      <c r="J1790">
        <v>2</v>
      </c>
      <c r="L1790" t="s">
        <v>2709</v>
      </c>
      <c r="M1790">
        <v>28309012</v>
      </c>
      <c r="O1790" t="s">
        <v>19926</v>
      </c>
      <c r="P1790" t="s">
        <v>19900</v>
      </c>
      <c r="Q1790" t="s">
        <v>19900</v>
      </c>
      <c r="R1790" t="s">
        <v>19905</v>
      </c>
      <c r="S1790" t="s">
        <v>19906</v>
      </c>
      <c r="T1790" t="s">
        <v>19901</v>
      </c>
    </row>
    <row r="1791" spans="2:20" x14ac:dyDescent="0.25">
      <c r="B1791" t="s">
        <v>2709</v>
      </c>
      <c r="C1791">
        <v>28309013</v>
      </c>
      <c r="E1791">
        <v>177.19</v>
      </c>
      <c r="F1791">
        <v>0</v>
      </c>
      <c r="G1791">
        <v>0</v>
      </c>
      <c r="H1791">
        <v>7.6</v>
      </c>
      <c r="I1791">
        <v>1.65</v>
      </c>
      <c r="J1791">
        <v>10</v>
      </c>
      <c r="L1791" t="s">
        <v>2709</v>
      </c>
      <c r="M1791">
        <v>28309013</v>
      </c>
      <c r="O1791" t="s">
        <v>19926</v>
      </c>
      <c r="P1791" t="s">
        <v>19900</v>
      </c>
      <c r="Q1791" t="s">
        <v>19900</v>
      </c>
      <c r="R1791" t="s">
        <v>19905</v>
      </c>
      <c r="S1791" t="s">
        <v>19906</v>
      </c>
      <c r="T1791" t="s">
        <v>19904</v>
      </c>
    </row>
    <row r="1792" spans="2:20" x14ac:dyDescent="0.25">
      <c r="B1792" t="s">
        <v>2709</v>
      </c>
      <c r="C1792">
        <v>28309014</v>
      </c>
      <c r="E1792">
        <v>177.19</v>
      </c>
      <c r="F1792">
        <v>0</v>
      </c>
      <c r="G1792">
        <v>0</v>
      </c>
      <c r="H1792">
        <v>7.6</v>
      </c>
      <c r="I1792">
        <v>1.65</v>
      </c>
      <c r="J1792">
        <v>2</v>
      </c>
      <c r="L1792" t="s">
        <v>2709</v>
      </c>
      <c r="M1792">
        <v>28309014</v>
      </c>
      <c r="O1792" t="s">
        <v>19926</v>
      </c>
      <c r="P1792" t="s">
        <v>19900</v>
      </c>
      <c r="Q1792" t="s">
        <v>19900</v>
      </c>
      <c r="R1792" t="s">
        <v>19905</v>
      </c>
      <c r="S1792" t="s">
        <v>19906</v>
      </c>
      <c r="T1792" t="s">
        <v>19901</v>
      </c>
    </row>
    <row r="1793" spans="2:20" x14ac:dyDescent="0.25">
      <c r="B1793" t="s">
        <v>2709</v>
      </c>
      <c r="C1793">
        <v>28309015</v>
      </c>
      <c r="E1793">
        <v>177.19</v>
      </c>
      <c r="F1793">
        <v>0</v>
      </c>
      <c r="G1793">
        <v>0</v>
      </c>
      <c r="H1793">
        <v>7.6</v>
      </c>
      <c r="I1793">
        <v>1.65</v>
      </c>
      <c r="J1793">
        <v>2</v>
      </c>
      <c r="L1793" t="s">
        <v>2709</v>
      </c>
      <c r="M1793">
        <v>28309015</v>
      </c>
      <c r="O1793" t="s">
        <v>19926</v>
      </c>
      <c r="P1793" t="s">
        <v>19900</v>
      </c>
      <c r="Q1793" t="s">
        <v>19900</v>
      </c>
      <c r="R1793" t="s">
        <v>19905</v>
      </c>
      <c r="S1793" t="s">
        <v>19906</v>
      </c>
      <c r="T1793" t="s">
        <v>19901</v>
      </c>
    </row>
    <row r="1794" spans="2:20" x14ac:dyDescent="0.25">
      <c r="B1794" t="s">
        <v>2709</v>
      </c>
      <c r="C1794">
        <v>28309016</v>
      </c>
      <c r="E1794">
        <v>177.19</v>
      </c>
      <c r="F1794">
        <v>0</v>
      </c>
      <c r="G1794">
        <v>0</v>
      </c>
      <c r="H1794">
        <v>7.6</v>
      </c>
      <c r="I1794">
        <v>1.65</v>
      </c>
      <c r="J1794">
        <v>2</v>
      </c>
      <c r="L1794" t="s">
        <v>2709</v>
      </c>
      <c r="M1794">
        <v>28309016</v>
      </c>
      <c r="O1794" t="s">
        <v>19926</v>
      </c>
      <c r="P1794" t="s">
        <v>19900</v>
      </c>
      <c r="Q1794" t="s">
        <v>19900</v>
      </c>
      <c r="R1794" t="s">
        <v>19905</v>
      </c>
      <c r="S1794" t="s">
        <v>19906</v>
      </c>
      <c r="T1794" t="s">
        <v>19901</v>
      </c>
    </row>
    <row r="1795" spans="2:20" x14ac:dyDescent="0.25">
      <c r="B1795" t="s">
        <v>2709</v>
      </c>
      <c r="C1795">
        <v>28309019</v>
      </c>
      <c r="E1795">
        <v>177.19</v>
      </c>
      <c r="F1795">
        <v>0</v>
      </c>
      <c r="G1795">
        <v>0</v>
      </c>
      <c r="H1795">
        <v>7.6</v>
      </c>
      <c r="I1795">
        <v>1.65</v>
      </c>
      <c r="J1795">
        <v>2</v>
      </c>
      <c r="L1795" t="s">
        <v>2709</v>
      </c>
      <c r="M1795">
        <v>28309019</v>
      </c>
      <c r="O1795" t="s">
        <v>19926</v>
      </c>
      <c r="P1795" t="s">
        <v>19900</v>
      </c>
      <c r="Q1795" t="s">
        <v>19900</v>
      </c>
      <c r="R1795" t="s">
        <v>19905</v>
      </c>
      <c r="S1795" t="s">
        <v>19906</v>
      </c>
      <c r="T1795" t="s">
        <v>19901</v>
      </c>
    </row>
    <row r="1796" spans="2:20" x14ac:dyDescent="0.25">
      <c r="B1796" t="s">
        <v>2709</v>
      </c>
      <c r="C1796">
        <v>28309020</v>
      </c>
      <c r="E1796">
        <v>177.19</v>
      </c>
      <c r="F1796">
        <v>0</v>
      </c>
      <c r="G1796">
        <v>0</v>
      </c>
      <c r="H1796">
        <v>7.6</v>
      </c>
      <c r="I1796">
        <v>1.65</v>
      </c>
      <c r="J1796">
        <v>2</v>
      </c>
      <c r="L1796" t="s">
        <v>2709</v>
      </c>
      <c r="M1796">
        <v>28309020</v>
      </c>
      <c r="O1796" t="s">
        <v>19926</v>
      </c>
      <c r="P1796" t="s">
        <v>19900</v>
      </c>
      <c r="Q1796" t="s">
        <v>19900</v>
      </c>
      <c r="R1796" t="s">
        <v>19905</v>
      </c>
      <c r="S1796" t="s">
        <v>19906</v>
      </c>
      <c r="T1796" t="s">
        <v>19901</v>
      </c>
    </row>
    <row r="1797" spans="2:20" x14ac:dyDescent="0.25">
      <c r="B1797" t="s">
        <v>2709</v>
      </c>
      <c r="C1797">
        <v>28311011</v>
      </c>
      <c r="E1797">
        <v>177.19</v>
      </c>
      <c r="F1797">
        <v>0</v>
      </c>
      <c r="G1797">
        <v>0</v>
      </c>
      <c r="H1797">
        <v>7.6</v>
      </c>
      <c r="I1797">
        <v>1.65</v>
      </c>
      <c r="J1797">
        <v>10</v>
      </c>
      <c r="L1797" t="s">
        <v>2709</v>
      </c>
      <c r="M1797">
        <v>28311011</v>
      </c>
      <c r="O1797" t="s">
        <v>19926</v>
      </c>
      <c r="P1797" t="s">
        <v>19900</v>
      </c>
      <c r="Q1797" t="s">
        <v>19900</v>
      </c>
      <c r="R1797" t="s">
        <v>19905</v>
      </c>
      <c r="S1797" t="s">
        <v>19906</v>
      </c>
      <c r="T1797" t="s">
        <v>19904</v>
      </c>
    </row>
    <row r="1798" spans="2:20" x14ac:dyDescent="0.25">
      <c r="B1798" t="s">
        <v>2709</v>
      </c>
      <c r="C1798">
        <v>28311019</v>
      </c>
      <c r="E1798">
        <v>177.19</v>
      </c>
      <c r="F1798">
        <v>0</v>
      </c>
      <c r="G1798">
        <v>0</v>
      </c>
      <c r="H1798">
        <v>7.6</v>
      </c>
      <c r="I1798">
        <v>1.65</v>
      </c>
      <c r="J1798">
        <v>10</v>
      </c>
      <c r="L1798" t="s">
        <v>2709</v>
      </c>
      <c r="M1798">
        <v>28311019</v>
      </c>
      <c r="O1798" t="s">
        <v>19926</v>
      </c>
      <c r="P1798" t="s">
        <v>19900</v>
      </c>
      <c r="Q1798" t="s">
        <v>19900</v>
      </c>
      <c r="R1798" t="s">
        <v>19905</v>
      </c>
      <c r="S1798" t="s">
        <v>19906</v>
      </c>
      <c r="T1798" t="s">
        <v>19904</v>
      </c>
    </row>
    <row r="1799" spans="2:20" x14ac:dyDescent="0.25">
      <c r="B1799" t="s">
        <v>2709</v>
      </c>
      <c r="C1799">
        <v>28311021</v>
      </c>
      <c r="E1799">
        <v>177.19</v>
      </c>
      <c r="F1799">
        <v>0</v>
      </c>
      <c r="G1799">
        <v>0</v>
      </c>
      <c r="H1799">
        <v>7.6</v>
      </c>
      <c r="I1799">
        <v>1.65</v>
      </c>
      <c r="J1799">
        <v>10</v>
      </c>
      <c r="L1799" t="s">
        <v>2709</v>
      </c>
      <c r="M1799">
        <v>28311021</v>
      </c>
      <c r="O1799" t="s">
        <v>19926</v>
      </c>
      <c r="P1799" t="s">
        <v>19900</v>
      </c>
      <c r="Q1799" t="s">
        <v>19900</v>
      </c>
      <c r="R1799" t="s">
        <v>19905</v>
      </c>
      <c r="S1799" t="s">
        <v>19906</v>
      </c>
      <c r="T1799" t="s">
        <v>19904</v>
      </c>
    </row>
    <row r="1800" spans="2:20" x14ac:dyDescent="0.25">
      <c r="B1800" t="s">
        <v>2709</v>
      </c>
      <c r="C1800">
        <v>28311029</v>
      </c>
      <c r="E1800">
        <v>177.19</v>
      </c>
      <c r="F1800">
        <v>0</v>
      </c>
      <c r="G1800">
        <v>0</v>
      </c>
      <c r="H1800">
        <v>7.6</v>
      </c>
      <c r="I1800">
        <v>1.65</v>
      </c>
      <c r="J1800">
        <v>2</v>
      </c>
      <c r="L1800" t="s">
        <v>2709</v>
      </c>
      <c r="M1800">
        <v>28311029</v>
      </c>
      <c r="O1800" t="s">
        <v>19926</v>
      </c>
      <c r="P1800" t="s">
        <v>19900</v>
      </c>
      <c r="Q1800" t="s">
        <v>19900</v>
      </c>
      <c r="R1800" t="s">
        <v>19905</v>
      </c>
      <c r="S1800" t="s">
        <v>19906</v>
      </c>
      <c r="T1800" t="s">
        <v>19901</v>
      </c>
    </row>
    <row r="1801" spans="2:20" x14ac:dyDescent="0.25">
      <c r="B1801" t="s">
        <v>2709</v>
      </c>
      <c r="C1801">
        <v>28319010</v>
      </c>
      <c r="E1801">
        <v>177.19</v>
      </c>
      <c r="F1801">
        <v>0</v>
      </c>
      <c r="G1801">
        <v>0</v>
      </c>
      <c r="H1801">
        <v>7.6</v>
      </c>
      <c r="I1801">
        <v>1.65</v>
      </c>
      <c r="J1801">
        <v>2</v>
      </c>
      <c r="L1801" t="s">
        <v>2709</v>
      </c>
      <c r="M1801">
        <v>28319010</v>
      </c>
      <c r="O1801" t="s">
        <v>19926</v>
      </c>
      <c r="P1801" t="s">
        <v>19900</v>
      </c>
      <c r="Q1801" t="s">
        <v>19900</v>
      </c>
      <c r="R1801" t="s">
        <v>19905</v>
      </c>
      <c r="S1801" t="s">
        <v>19906</v>
      </c>
      <c r="T1801" t="s">
        <v>19901</v>
      </c>
    </row>
    <row r="1802" spans="2:20" x14ac:dyDescent="0.25">
      <c r="B1802" t="s">
        <v>2709</v>
      </c>
      <c r="C1802">
        <v>28319090</v>
      </c>
      <c r="E1802">
        <v>177.19</v>
      </c>
      <c r="F1802">
        <v>0</v>
      </c>
      <c r="G1802">
        <v>0</v>
      </c>
      <c r="H1802">
        <v>7.6</v>
      </c>
      <c r="I1802">
        <v>1.65</v>
      </c>
      <c r="J1802">
        <v>10</v>
      </c>
      <c r="L1802" t="s">
        <v>2709</v>
      </c>
      <c r="M1802">
        <v>28319090</v>
      </c>
      <c r="O1802" t="s">
        <v>19926</v>
      </c>
      <c r="P1802" t="s">
        <v>19900</v>
      </c>
      <c r="Q1802" t="s">
        <v>19900</v>
      </c>
      <c r="R1802" t="s">
        <v>19905</v>
      </c>
      <c r="S1802" t="s">
        <v>19906</v>
      </c>
      <c r="T1802" t="s">
        <v>19904</v>
      </c>
    </row>
    <row r="1803" spans="2:20" x14ac:dyDescent="0.25">
      <c r="B1803" t="s">
        <v>2709</v>
      </c>
      <c r="C1803">
        <v>28321010</v>
      </c>
      <c r="E1803">
        <v>177.19</v>
      </c>
      <c r="F1803">
        <v>0</v>
      </c>
      <c r="G1803">
        <v>0</v>
      </c>
      <c r="H1803">
        <v>7.6</v>
      </c>
      <c r="I1803">
        <v>1.65</v>
      </c>
      <c r="J1803">
        <v>10</v>
      </c>
      <c r="L1803" t="s">
        <v>2709</v>
      </c>
      <c r="M1803">
        <v>28321010</v>
      </c>
      <c r="O1803" t="s">
        <v>19926</v>
      </c>
      <c r="P1803" t="s">
        <v>19900</v>
      </c>
      <c r="Q1803" t="s">
        <v>19900</v>
      </c>
      <c r="R1803" t="s">
        <v>19905</v>
      </c>
      <c r="S1803" t="s">
        <v>19906</v>
      </c>
      <c r="T1803" t="s">
        <v>19904</v>
      </c>
    </row>
    <row r="1804" spans="2:20" x14ac:dyDescent="0.25">
      <c r="B1804" t="s">
        <v>2709</v>
      </c>
      <c r="C1804">
        <v>28321090</v>
      </c>
      <c r="E1804">
        <v>177.19</v>
      </c>
      <c r="F1804">
        <v>0</v>
      </c>
      <c r="G1804">
        <v>0</v>
      </c>
      <c r="H1804">
        <v>7.6</v>
      </c>
      <c r="I1804">
        <v>1.65</v>
      </c>
      <c r="J1804">
        <v>10</v>
      </c>
      <c r="L1804" t="s">
        <v>2709</v>
      </c>
      <c r="M1804">
        <v>28321090</v>
      </c>
      <c r="O1804" t="s">
        <v>19926</v>
      </c>
      <c r="P1804" t="s">
        <v>19900</v>
      </c>
      <c r="Q1804" t="s">
        <v>19900</v>
      </c>
      <c r="R1804" t="s">
        <v>19905</v>
      </c>
      <c r="S1804" t="s">
        <v>19906</v>
      </c>
      <c r="T1804" t="s">
        <v>19904</v>
      </c>
    </row>
    <row r="1805" spans="2:20" x14ac:dyDescent="0.25">
      <c r="B1805" t="s">
        <v>2709</v>
      </c>
      <c r="C1805">
        <v>28322000</v>
      </c>
      <c r="E1805">
        <v>67.42</v>
      </c>
      <c r="F1805">
        <v>0</v>
      </c>
      <c r="G1805">
        <v>0</v>
      </c>
      <c r="H1805">
        <v>7.6</v>
      </c>
      <c r="I1805">
        <v>1.65</v>
      </c>
      <c r="J1805">
        <v>2</v>
      </c>
      <c r="L1805" t="s">
        <v>2709</v>
      </c>
      <c r="M1805">
        <v>28322000</v>
      </c>
      <c r="O1805" t="s">
        <v>20026</v>
      </c>
      <c r="P1805" t="s">
        <v>19900</v>
      </c>
      <c r="Q1805" t="s">
        <v>19900</v>
      </c>
      <c r="R1805" t="s">
        <v>19905</v>
      </c>
      <c r="S1805" t="s">
        <v>19906</v>
      </c>
      <c r="T1805" t="s">
        <v>19901</v>
      </c>
    </row>
    <row r="1806" spans="2:20" x14ac:dyDescent="0.25">
      <c r="B1806" t="s">
        <v>2709</v>
      </c>
      <c r="C1806">
        <v>28323010</v>
      </c>
      <c r="E1806">
        <v>177.19</v>
      </c>
      <c r="F1806">
        <v>0</v>
      </c>
      <c r="G1806">
        <v>0</v>
      </c>
      <c r="H1806">
        <v>7.6</v>
      </c>
      <c r="I1806">
        <v>1.65</v>
      </c>
      <c r="J1806">
        <v>10</v>
      </c>
      <c r="L1806" t="s">
        <v>2709</v>
      </c>
      <c r="M1806">
        <v>28323010</v>
      </c>
      <c r="O1806" t="s">
        <v>19926</v>
      </c>
      <c r="P1806" t="s">
        <v>19900</v>
      </c>
      <c r="Q1806" t="s">
        <v>19900</v>
      </c>
      <c r="R1806" t="s">
        <v>19905</v>
      </c>
      <c r="S1806" t="s">
        <v>19906</v>
      </c>
      <c r="T1806" t="s">
        <v>19904</v>
      </c>
    </row>
    <row r="1807" spans="2:20" x14ac:dyDescent="0.25">
      <c r="B1807" t="s">
        <v>2709</v>
      </c>
      <c r="C1807">
        <v>28323020</v>
      </c>
      <c r="E1807">
        <v>177.19</v>
      </c>
      <c r="F1807">
        <v>0</v>
      </c>
      <c r="G1807">
        <v>0</v>
      </c>
      <c r="H1807">
        <v>7.6</v>
      </c>
      <c r="I1807">
        <v>1.65</v>
      </c>
      <c r="J1807">
        <v>10</v>
      </c>
      <c r="L1807" t="s">
        <v>2709</v>
      </c>
      <c r="M1807">
        <v>28323020</v>
      </c>
      <c r="O1807" t="s">
        <v>19926</v>
      </c>
      <c r="P1807" t="s">
        <v>19900</v>
      </c>
      <c r="Q1807" t="s">
        <v>19900</v>
      </c>
      <c r="R1807" t="s">
        <v>19905</v>
      </c>
      <c r="S1807" t="s">
        <v>19906</v>
      </c>
      <c r="T1807" t="s">
        <v>19904</v>
      </c>
    </row>
    <row r="1808" spans="2:20" x14ac:dyDescent="0.25">
      <c r="B1808" t="s">
        <v>2709</v>
      </c>
      <c r="C1808">
        <v>28323090</v>
      </c>
      <c r="E1808">
        <v>177.19</v>
      </c>
      <c r="F1808">
        <v>0</v>
      </c>
      <c r="G1808">
        <v>0</v>
      </c>
      <c r="H1808">
        <v>7.6</v>
      </c>
      <c r="I1808">
        <v>1.65</v>
      </c>
      <c r="J1808">
        <v>2</v>
      </c>
      <c r="L1808" t="s">
        <v>2709</v>
      </c>
      <c r="M1808">
        <v>28323090</v>
      </c>
      <c r="O1808" t="s">
        <v>19926</v>
      </c>
      <c r="P1808" t="s">
        <v>19900</v>
      </c>
      <c r="Q1808" t="s">
        <v>19900</v>
      </c>
      <c r="R1808" t="s">
        <v>19905</v>
      </c>
      <c r="S1808" t="s">
        <v>19906</v>
      </c>
      <c r="T1808" t="s">
        <v>19901</v>
      </c>
    </row>
    <row r="1809" spans="2:20" x14ac:dyDescent="0.25">
      <c r="B1809" t="s">
        <v>2709</v>
      </c>
      <c r="C1809">
        <v>28331110</v>
      </c>
      <c r="E1809">
        <v>177.19</v>
      </c>
      <c r="F1809">
        <v>0</v>
      </c>
      <c r="G1809">
        <v>0</v>
      </c>
      <c r="H1809">
        <v>7.6</v>
      </c>
      <c r="I1809">
        <v>1.65</v>
      </c>
      <c r="J1809">
        <v>10</v>
      </c>
      <c r="L1809" t="s">
        <v>2709</v>
      </c>
      <c r="M1809">
        <v>28331110</v>
      </c>
      <c r="O1809" t="s">
        <v>19926</v>
      </c>
      <c r="P1809" t="s">
        <v>19900</v>
      </c>
      <c r="Q1809" t="s">
        <v>19900</v>
      </c>
      <c r="R1809" t="s">
        <v>19905</v>
      </c>
      <c r="S1809" t="s">
        <v>19906</v>
      </c>
      <c r="T1809" t="s">
        <v>19904</v>
      </c>
    </row>
    <row r="1810" spans="2:20" x14ac:dyDescent="0.25">
      <c r="B1810" t="s">
        <v>2709</v>
      </c>
      <c r="C1810">
        <v>28331190</v>
      </c>
      <c r="E1810">
        <v>177.19</v>
      </c>
      <c r="F1810">
        <v>0</v>
      </c>
      <c r="G1810">
        <v>0</v>
      </c>
      <c r="H1810">
        <v>7.6</v>
      </c>
      <c r="I1810">
        <v>1.65</v>
      </c>
      <c r="J1810">
        <v>10</v>
      </c>
      <c r="L1810" t="s">
        <v>2709</v>
      </c>
      <c r="M1810">
        <v>28331190</v>
      </c>
      <c r="O1810" t="s">
        <v>19926</v>
      </c>
      <c r="P1810" t="s">
        <v>19900</v>
      </c>
      <c r="Q1810" t="s">
        <v>19900</v>
      </c>
      <c r="R1810" t="s">
        <v>19905</v>
      </c>
      <c r="S1810" t="s">
        <v>19906</v>
      </c>
      <c r="T1810" t="s">
        <v>19904</v>
      </c>
    </row>
    <row r="1811" spans="2:20" x14ac:dyDescent="0.25">
      <c r="B1811" t="s">
        <v>2709</v>
      </c>
      <c r="C1811">
        <v>28331900</v>
      </c>
      <c r="E1811">
        <v>177.19</v>
      </c>
      <c r="F1811">
        <v>0</v>
      </c>
      <c r="G1811">
        <v>0</v>
      </c>
      <c r="H1811">
        <v>7.6</v>
      </c>
      <c r="I1811">
        <v>1.65</v>
      </c>
      <c r="J1811">
        <v>2</v>
      </c>
      <c r="L1811" t="s">
        <v>2709</v>
      </c>
      <c r="M1811">
        <v>28331900</v>
      </c>
      <c r="O1811" t="s">
        <v>19926</v>
      </c>
      <c r="P1811" t="s">
        <v>19900</v>
      </c>
      <c r="Q1811" t="s">
        <v>19900</v>
      </c>
      <c r="R1811" t="s">
        <v>19905</v>
      </c>
      <c r="S1811" t="s">
        <v>19906</v>
      </c>
      <c r="T1811" t="s">
        <v>19901</v>
      </c>
    </row>
    <row r="1812" spans="2:20" x14ac:dyDescent="0.25">
      <c r="B1812" t="s">
        <v>2709</v>
      </c>
      <c r="C1812">
        <v>28332100</v>
      </c>
      <c r="E1812">
        <v>177.19</v>
      </c>
      <c r="F1812">
        <v>0</v>
      </c>
      <c r="G1812">
        <v>0</v>
      </c>
      <c r="H1812">
        <v>7.6</v>
      </c>
      <c r="I1812">
        <v>1.65</v>
      </c>
      <c r="J1812">
        <v>10</v>
      </c>
      <c r="L1812" t="s">
        <v>2709</v>
      </c>
      <c r="M1812">
        <v>28332100</v>
      </c>
      <c r="O1812" t="s">
        <v>19926</v>
      </c>
      <c r="P1812" t="s">
        <v>19900</v>
      </c>
      <c r="Q1812" t="s">
        <v>19900</v>
      </c>
      <c r="R1812" t="s">
        <v>19905</v>
      </c>
      <c r="S1812" t="s">
        <v>19906</v>
      </c>
      <c r="T1812" t="s">
        <v>19904</v>
      </c>
    </row>
    <row r="1813" spans="2:20" x14ac:dyDescent="0.25">
      <c r="B1813" t="s">
        <v>2709</v>
      </c>
      <c r="C1813">
        <v>28332200</v>
      </c>
      <c r="E1813">
        <v>66.7</v>
      </c>
      <c r="F1813">
        <v>0</v>
      </c>
      <c r="G1813">
        <v>0</v>
      </c>
      <c r="H1813">
        <v>7.6</v>
      </c>
      <c r="I1813">
        <v>1.65</v>
      </c>
      <c r="J1813">
        <v>10</v>
      </c>
      <c r="L1813" t="s">
        <v>2709</v>
      </c>
      <c r="M1813">
        <v>28332200</v>
      </c>
      <c r="O1813" t="s">
        <v>20025</v>
      </c>
      <c r="P1813" t="s">
        <v>19900</v>
      </c>
      <c r="Q1813" t="s">
        <v>19900</v>
      </c>
      <c r="R1813" t="s">
        <v>19905</v>
      </c>
      <c r="S1813" t="s">
        <v>19906</v>
      </c>
      <c r="T1813" t="s">
        <v>19904</v>
      </c>
    </row>
    <row r="1814" spans="2:20" x14ac:dyDescent="0.25">
      <c r="B1814" t="s">
        <v>2709</v>
      </c>
      <c r="C1814">
        <v>28332400</v>
      </c>
      <c r="E1814">
        <v>177.19</v>
      </c>
      <c r="F1814">
        <v>0</v>
      </c>
      <c r="G1814">
        <v>0</v>
      </c>
      <c r="H1814">
        <v>7.6</v>
      </c>
      <c r="I1814">
        <v>1.65</v>
      </c>
      <c r="J1814">
        <v>10</v>
      </c>
      <c r="L1814" t="s">
        <v>2709</v>
      </c>
      <c r="M1814">
        <v>28332400</v>
      </c>
      <c r="O1814" t="s">
        <v>19926</v>
      </c>
      <c r="P1814" t="s">
        <v>19900</v>
      </c>
      <c r="Q1814" t="s">
        <v>19900</v>
      </c>
      <c r="R1814" t="s">
        <v>19905</v>
      </c>
      <c r="S1814" t="s">
        <v>19906</v>
      </c>
      <c r="T1814" t="s">
        <v>19904</v>
      </c>
    </row>
    <row r="1815" spans="2:20" x14ac:dyDescent="0.25">
      <c r="B1815" t="s">
        <v>2709</v>
      </c>
      <c r="C1815">
        <v>28332510</v>
      </c>
      <c r="E1815">
        <v>177.19</v>
      </c>
      <c r="F1815">
        <v>0</v>
      </c>
      <c r="G1815">
        <v>0</v>
      </c>
      <c r="H1815">
        <v>7.6</v>
      </c>
      <c r="I1815">
        <v>1.65</v>
      </c>
      <c r="J1815">
        <v>10</v>
      </c>
      <c r="L1815" t="s">
        <v>2709</v>
      </c>
      <c r="M1815">
        <v>28332510</v>
      </c>
      <c r="O1815" t="s">
        <v>19926</v>
      </c>
      <c r="P1815" t="s">
        <v>19900</v>
      </c>
      <c r="Q1815" t="s">
        <v>19900</v>
      </c>
      <c r="R1815" t="s">
        <v>19905</v>
      </c>
      <c r="S1815" t="s">
        <v>19906</v>
      </c>
      <c r="T1815" t="s">
        <v>19904</v>
      </c>
    </row>
    <row r="1816" spans="2:20" x14ac:dyDescent="0.25">
      <c r="B1816" t="s">
        <v>2709</v>
      </c>
      <c r="C1816">
        <v>28332520</v>
      </c>
      <c r="E1816">
        <v>177.19</v>
      </c>
      <c r="F1816">
        <v>0</v>
      </c>
      <c r="G1816">
        <v>0</v>
      </c>
      <c r="H1816">
        <v>7.6</v>
      </c>
      <c r="I1816">
        <v>1.65</v>
      </c>
      <c r="J1816">
        <v>10</v>
      </c>
      <c r="L1816" t="s">
        <v>2709</v>
      </c>
      <c r="M1816">
        <v>28332520</v>
      </c>
      <c r="O1816" t="s">
        <v>19926</v>
      </c>
      <c r="P1816" t="s">
        <v>19900</v>
      </c>
      <c r="Q1816" t="s">
        <v>19900</v>
      </c>
      <c r="R1816" t="s">
        <v>19905</v>
      </c>
      <c r="S1816" t="s">
        <v>19906</v>
      </c>
      <c r="T1816" t="s">
        <v>19904</v>
      </c>
    </row>
    <row r="1817" spans="2:20" x14ac:dyDescent="0.25">
      <c r="B1817" t="s">
        <v>2709</v>
      </c>
      <c r="C1817">
        <v>28332710</v>
      </c>
      <c r="E1817">
        <v>177.19</v>
      </c>
      <c r="F1817">
        <v>0</v>
      </c>
      <c r="G1817">
        <v>0</v>
      </c>
      <c r="H1817">
        <v>7.6</v>
      </c>
      <c r="I1817">
        <v>1.65</v>
      </c>
      <c r="J1817">
        <v>10</v>
      </c>
      <c r="L1817" t="s">
        <v>2709</v>
      </c>
      <c r="M1817">
        <v>28332710</v>
      </c>
      <c r="O1817" t="s">
        <v>19926</v>
      </c>
      <c r="P1817" t="s">
        <v>19900</v>
      </c>
      <c r="Q1817" t="s">
        <v>19900</v>
      </c>
      <c r="R1817" t="s">
        <v>19905</v>
      </c>
      <c r="S1817" t="s">
        <v>19906</v>
      </c>
      <c r="T1817" t="s">
        <v>19904</v>
      </c>
    </row>
    <row r="1818" spans="2:20" x14ac:dyDescent="0.25">
      <c r="B1818" t="s">
        <v>2709</v>
      </c>
      <c r="C1818">
        <v>28332790</v>
      </c>
      <c r="E1818">
        <v>177.19</v>
      </c>
      <c r="F1818">
        <v>0</v>
      </c>
      <c r="G1818">
        <v>0</v>
      </c>
      <c r="H1818">
        <v>7.6</v>
      </c>
      <c r="I1818">
        <v>1.65</v>
      </c>
      <c r="J1818">
        <v>10</v>
      </c>
      <c r="L1818" t="s">
        <v>2709</v>
      </c>
      <c r="M1818">
        <v>28332790</v>
      </c>
      <c r="O1818" t="s">
        <v>19926</v>
      </c>
      <c r="P1818" t="s">
        <v>19900</v>
      </c>
      <c r="Q1818" t="s">
        <v>19900</v>
      </c>
      <c r="R1818" t="s">
        <v>19905</v>
      </c>
      <c r="S1818" t="s">
        <v>19906</v>
      </c>
      <c r="T1818" t="s">
        <v>19904</v>
      </c>
    </row>
    <row r="1819" spans="2:20" x14ac:dyDescent="0.25">
      <c r="B1819" t="s">
        <v>2709</v>
      </c>
      <c r="C1819">
        <v>28332910</v>
      </c>
      <c r="E1819">
        <v>177.19</v>
      </c>
      <c r="F1819">
        <v>0</v>
      </c>
      <c r="G1819">
        <v>0</v>
      </c>
      <c r="H1819">
        <v>7.6</v>
      </c>
      <c r="I1819">
        <v>1.65</v>
      </c>
      <c r="J1819">
        <v>2</v>
      </c>
      <c r="L1819" t="s">
        <v>2709</v>
      </c>
      <c r="M1819">
        <v>28332910</v>
      </c>
      <c r="O1819" t="s">
        <v>19926</v>
      </c>
      <c r="P1819" t="s">
        <v>19900</v>
      </c>
      <c r="Q1819" t="s">
        <v>19900</v>
      </c>
      <c r="R1819" t="s">
        <v>19905</v>
      </c>
      <c r="S1819" t="s">
        <v>19906</v>
      </c>
      <c r="T1819" t="s">
        <v>19901</v>
      </c>
    </row>
    <row r="1820" spans="2:20" x14ac:dyDescent="0.25">
      <c r="B1820" t="s">
        <v>2709</v>
      </c>
      <c r="C1820">
        <v>28332920</v>
      </c>
      <c r="E1820">
        <v>177.19</v>
      </c>
      <c r="F1820">
        <v>0</v>
      </c>
      <c r="G1820">
        <v>0</v>
      </c>
      <c r="H1820">
        <v>7.6</v>
      </c>
      <c r="I1820">
        <v>1.65</v>
      </c>
      <c r="J1820">
        <v>2</v>
      </c>
      <c r="L1820" t="s">
        <v>2709</v>
      </c>
      <c r="M1820">
        <v>28332920</v>
      </c>
      <c r="O1820" t="s">
        <v>19926</v>
      </c>
      <c r="P1820" t="s">
        <v>19900</v>
      </c>
      <c r="Q1820" t="s">
        <v>19900</v>
      </c>
      <c r="R1820" t="s">
        <v>19905</v>
      </c>
      <c r="S1820" t="s">
        <v>19906</v>
      </c>
      <c r="T1820" t="s">
        <v>19901</v>
      </c>
    </row>
    <row r="1821" spans="2:20" x14ac:dyDescent="0.25">
      <c r="B1821" t="s">
        <v>2709</v>
      </c>
      <c r="C1821">
        <v>28332930</v>
      </c>
      <c r="E1821">
        <v>177.19</v>
      </c>
      <c r="F1821">
        <v>0</v>
      </c>
      <c r="G1821">
        <v>0</v>
      </c>
      <c r="H1821">
        <v>7.6</v>
      </c>
      <c r="I1821">
        <v>1.65</v>
      </c>
      <c r="J1821">
        <v>2</v>
      </c>
      <c r="L1821" t="s">
        <v>2709</v>
      </c>
      <c r="M1821">
        <v>28332930</v>
      </c>
      <c r="O1821" t="s">
        <v>19926</v>
      </c>
      <c r="P1821" t="s">
        <v>19900</v>
      </c>
      <c r="Q1821" t="s">
        <v>19900</v>
      </c>
      <c r="R1821" t="s">
        <v>19905</v>
      </c>
      <c r="S1821" t="s">
        <v>19906</v>
      </c>
      <c r="T1821" t="s">
        <v>19901</v>
      </c>
    </row>
    <row r="1822" spans="2:20" x14ac:dyDescent="0.25">
      <c r="B1822" t="s">
        <v>2709</v>
      </c>
      <c r="C1822">
        <v>28332940</v>
      </c>
      <c r="E1822">
        <v>177.19</v>
      </c>
      <c r="F1822">
        <v>0</v>
      </c>
      <c r="G1822">
        <v>0</v>
      </c>
      <c r="H1822">
        <v>7.6</v>
      </c>
      <c r="I1822">
        <v>1.65</v>
      </c>
      <c r="J1822">
        <v>10</v>
      </c>
      <c r="L1822" t="s">
        <v>2709</v>
      </c>
      <c r="M1822">
        <v>28332940</v>
      </c>
      <c r="O1822" t="s">
        <v>19926</v>
      </c>
      <c r="P1822" t="s">
        <v>19900</v>
      </c>
      <c r="Q1822" t="s">
        <v>19900</v>
      </c>
      <c r="R1822" t="s">
        <v>19905</v>
      </c>
      <c r="S1822" t="s">
        <v>19906</v>
      </c>
      <c r="T1822" t="s">
        <v>19904</v>
      </c>
    </row>
    <row r="1823" spans="2:20" x14ac:dyDescent="0.25">
      <c r="B1823" t="s">
        <v>2709</v>
      </c>
      <c r="C1823">
        <v>28332950</v>
      </c>
      <c r="E1823">
        <v>177.19</v>
      </c>
      <c r="F1823">
        <v>0</v>
      </c>
      <c r="G1823">
        <v>0</v>
      </c>
      <c r="H1823">
        <v>7.6</v>
      </c>
      <c r="I1823">
        <v>1.65</v>
      </c>
      <c r="J1823">
        <v>10</v>
      </c>
      <c r="L1823" t="s">
        <v>2709</v>
      </c>
      <c r="M1823">
        <v>28332950</v>
      </c>
      <c r="O1823" t="s">
        <v>19926</v>
      </c>
      <c r="P1823" t="s">
        <v>19900</v>
      </c>
      <c r="Q1823" t="s">
        <v>19900</v>
      </c>
      <c r="R1823" t="s">
        <v>19905</v>
      </c>
      <c r="S1823" t="s">
        <v>19906</v>
      </c>
      <c r="T1823" t="s">
        <v>19904</v>
      </c>
    </row>
    <row r="1824" spans="2:20" x14ac:dyDescent="0.25">
      <c r="B1824" t="s">
        <v>2709</v>
      </c>
      <c r="C1824">
        <v>28332960</v>
      </c>
      <c r="E1824">
        <v>177.19</v>
      </c>
      <c r="F1824">
        <v>0</v>
      </c>
      <c r="G1824">
        <v>0</v>
      </c>
      <c r="H1824">
        <v>7.6</v>
      </c>
      <c r="I1824">
        <v>1.65</v>
      </c>
      <c r="J1824">
        <v>10</v>
      </c>
      <c r="L1824" t="s">
        <v>2709</v>
      </c>
      <c r="M1824">
        <v>28332960</v>
      </c>
      <c r="O1824" t="s">
        <v>19926</v>
      </c>
      <c r="P1824" t="s">
        <v>19900</v>
      </c>
      <c r="Q1824" t="s">
        <v>19900</v>
      </c>
      <c r="R1824" t="s">
        <v>19905</v>
      </c>
      <c r="S1824" t="s">
        <v>19906</v>
      </c>
      <c r="T1824" t="s">
        <v>19904</v>
      </c>
    </row>
    <row r="1825" spans="2:20" x14ac:dyDescent="0.25">
      <c r="B1825" t="s">
        <v>2709</v>
      </c>
      <c r="C1825">
        <v>28332970</v>
      </c>
      <c r="E1825">
        <v>177.19</v>
      </c>
      <c r="F1825">
        <v>0</v>
      </c>
      <c r="G1825">
        <v>0</v>
      </c>
      <c r="H1825">
        <v>7.6</v>
      </c>
      <c r="I1825">
        <v>1.65</v>
      </c>
      <c r="J1825">
        <v>10</v>
      </c>
      <c r="L1825" t="s">
        <v>2709</v>
      </c>
      <c r="M1825">
        <v>28332970</v>
      </c>
      <c r="O1825" t="s">
        <v>19926</v>
      </c>
      <c r="P1825" t="s">
        <v>19900</v>
      </c>
      <c r="Q1825" t="s">
        <v>19900</v>
      </c>
      <c r="R1825" t="s">
        <v>19905</v>
      </c>
      <c r="S1825" t="s">
        <v>19906</v>
      </c>
      <c r="T1825" t="s">
        <v>19904</v>
      </c>
    </row>
    <row r="1826" spans="2:20" x14ac:dyDescent="0.25">
      <c r="B1826" t="s">
        <v>2709</v>
      </c>
      <c r="C1826">
        <v>28332990</v>
      </c>
      <c r="E1826">
        <v>177.19</v>
      </c>
      <c r="F1826">
        <v>0</v>
      </c>
      <c r="G1826">
        <v>0</v>
      </c>
      <c r="H1826">
        <v>7.6</v>
      </c>
      <c r="I1826">
        <v>1.65</v>
      </c>
      <c r="J1826">
        <v>10</v>
      </c>
      <c r="L1826" t="s">
        <v>2709</v>
      </c>
      <c r="M1826">
        <v>28332990</v>
      </c>
      <c r="O1826" t="s">
        <v>19926</v>
      </c>
      <c r="P1826" t="s">
        <v>19900</v>
      </c>
      <c r="Q1826" t="s">
        <v>19900</v>
      </c>
      <c r="R1826" t="s">
        <v>19905</v>
      </c>
      <c r="S1826" t="s">
        <v>19906</v>
      </c>
      <c r="T1826" t="s">
        <v>19904</v>
      </c>
    </row>
    <row r="1827" spans="2:20" x14ac:dyDescent="0.25">
      <c r="B1827" t="s">
        <v>2709</v>
      </c>
      <c r="C1827">
        <v>28333000</v>
      </c>
      <c r="E1827">
        <v>177.19</v>
      </c>
      <c r="F1827">
        <v>0</v>
      </c>
      <c r="G1827">
        <v>0</v>
      </c>
      <c r="H1827">
        <v>7.6</v>
      </c>
      <c r="I1827">
        <v>1.65</v>
      </c>
      <c r="J1827">
        <v>10</v>
      </c>
      <c r="L1827" t="s">
        <v>2709</v>
      </c>
      <c r="M1827">
        <v>28333000</v>
      </c>
      <c r="O1827" t="s">
        <v>19926</v>
      </c>
      <c r="P1827" t="s">
        <v>19900</v>
      </c>
      <c r="Q1827" t="s">
        <v>19900</v>
      </c>
      <c r="R1827" t="s">
        <v>19905</v>
      </c>
      <c r="S1827" t="s">
        <v>19906</v>
      </c>
      <c r="T1827" t="s">
        <v>19904</v>
      </c>
    </row>
    <row r="1828" spans="2:20" x14ac:dyDescent="0.25">
      <c r="B1828" t="s">
        <v>2709</v>
      </c>
      <c r="C1828">
        <v>28334010</v>
      </c>
      <c r="E1828">
        <v>177.19</v>
      </c>
      <c r="F1828">
        <v>0</v>
      </c>
      <c r="G1828">
        <v>0</v>
      </c>
      <c r="H1828">
        <v>7.6</v>
      </c>
      <c r="I1828">
        <v>1.65</v>
      </c>
      <c r="J1828">
        <v>2</v>
      </c>
      <c r="L1828" t="s">
        <v>2709</v>
      </c>
      <c r="M1828">
        <v>28334010</v>
      </c>
      <c r="O1828" t="s">
        <v>19926</v>
      </c>
      <c r="P1828" t="s">
        <v>19900</v>
      </c>
      <c r="Q1828" t="s">
        <v>19900</v>
      </c>
      <c r="R1828" t="s">
        <v>19905</v>
      </c>
      <c r="S1828" t="s">
        <v>19906</v>
      </c>
      <c r="T1828" t="s">
        <v>19901</v>
      </c>
    </row>
    <row r="1829" spans="2:20" x14ac:dyDescent="0.25">
      <c r="B1829" t="s">
        <v>2709</v>
      </c>
      <c r="C1829">
        <v>28334020</v>
      </c>
      <c r="E1829">
        <v>177.19</v>
      </c>
      <c r="F1829">
        <v>0</v>
      </c>
      <c r="G1829">
        <v>0</v>
      </c>
      <c r="H1829">
        <v>7.6</v>
      </c>
      <c r="I1829">
        <v>1.65</v>
      </c>
      <c r="J1829">
        <v>2</v>
      </c>
      <c r="L1829" t="s">
        <v>2709</v>
      </c>
      <c r="M1829">
        <v>28334020</v>
      </c>
      <c r="O1829" t="s">
        <v>19926</v>
      </c>
      <c r="P1829" t="s">
        <v>19900</v>
      </c>
      <c r="Q1829" t="s">
        <v>19900</v>
      </c>
      <c r="R1829" t="s">
        <v>19905</v>
      </c>
      <c r="S1829" t="s">
        <v>19906</v>
      </c>
      <c r="T1829" t="s">
        <v>19901</v>
      </c>
    </row>
    <row r="1830" spans="2:20" x14ac:dyDescent="0.25">
      <c r="B1830" t="s">
        <v>2709</v>
      </c>
      <c r="C1830">
        <v>28334090</v>
      </c>
      <c r="E1830">
        <v>177.19</v>
      </c>
      <c r="F1830">
        <v>0</v>
      </c>
      <c r="G1830">
        <v>0</v>
      </c>
      <c r="H1830">
        <v>7.6</v>
      </c>
      <c r="I1830">
        <v>1.65</v>
      </c>
      <c r="J1830">
        <v>2</v>
      </c>
      <c r="L1830" t="s">
        <v>2709</v>
      </c>
      <c r="M1830">
        <v>28334090</v>
      </c>
      <c r="O1830" t="s">
        <v>19926</v>
      </c>
      <c r="P1830" t="s">
        <v>19900</v>
      </c>
      <c r="Q1830" t="s">
        <v>19900</v>
      </c>
      <c r="R1830" t="s">
        <v>19905</v>
      </c>
      <c r="S1830" t="s">
        <v>19906</v>
      </c>
      <c r="T1830" t="s">
        <v>19901</v>
      </c>
    </row>
    <row r="1831" spans="2:20" x14ac:dyDescent="0.25">
      <c r="B1831" t="s">
        <v>2709</v>
      </c>
      <c r="C1831">
        <v>28341010</v>
      </c>
      <c r="E1831">
        <v>177.19</v>
      </c>
      <c r="F1831">
        <v>0</v>
      </c>
      <c r="G1831">
        <v>0</v>
      </c>
      <c r="H1831">
        <v>7.6</v>
      </c>
      <c r="I1831">
        <v>1.65</v>
      </c>
      <c r="J1831">
        <v>2</v>
      </c>
      <c r="L1831" t="s">
        <v>2709</v>
      </c>
      <c r="M1831">
        <v>28341010</v>
      </c>
      <c r="O1831" t="s">
        <v>19926</v>
      </c>
      <c r="P1831" t="s">
        <v>19900</v>
      </c>
      <c r="Q1831" t="s">
        <v>19900</v>
      </c>
      <c r="R1831" t="s">
        <v>19905</v>
      </c>
      <c r="S1831" t="s">
        <v>19906</v>
      </c>
      <c r="T1831" t="s">
        <v>19901</v>
      </c>
    </row>
    <row r="1832" spans="2:20" x14ac:dyDescent="0.25">
      <c r="B1832" t="s">
        <v>2709</v>
      </c>
      <c r="C1832">
        <v>28341090</v>
      </c>
      <c r="E1832">
        <v>177.19</v>
      </c>
      <c r="F1832">
        <v>0</v>
      </c>
      <c r="G1832">
        <v>0</v>
      </c>
      <c r="H1832">
        <v>7.6</v>
      </c>
      <c r="I1832">
        <v>1.65</v>
      </c>
      <c r="J1832">
        <v>2</v>
      </c>
      <c r="L1832" t="s">
        <v>2709</v>
      </c>
      <c r="M1832">
        <v>28341090</v>
      </c>
      <c r="O1832" t="s">
        <v>19926</v>
      </c>
      <c r="P1832" t="s">
        <v>19900</v>
      </c>
      <c r="Q1832" t="s">
        <v>19900</v>
      </c>
      <c r="R1832" t="s">
        <v>19905</v>
      </c>
      <c r="S1832" t="s">
        <v>19906</v>
      </c>
      <c r="T1832" t="s">
        <v>19901</v>
      </c>
    </row>
    <row r="1833" spans="2:20" x14ac:dyDescent="0.25">
      <c r="B1833" t="s">
        <v>2709</v>
      </c>
      <c r="C1833">
        <v>28342110</v>
      </c>
      <c r="E1833">
        <v>177.19</v>
      </c>
      <c r="F1833">
        <v>0</v>
      </c>
      <c r="G1833">
        <v>0</v>
      </c>
      <c r="H1833">
        <v>7.6</v>
      </c>
      <c r="I1833">
        <v>1.65</v>
      </c>
      <c r="J1833">
        <v>2</v>
      </c>
      <c r="L1833" t="s">
        <v>2709</v>
      </c>
      <c r="M1833">
        <v>28342110</v>
      </c>
      <c r="O1833" t="s">
        <v>19926</v>
      </c>
      <c r="P1833" t="s">
        <v>19900</v>
      </c>
      <c r="Q1833" t="s">
        <v>19900</v>
      </c>
      <c r="R1833" t="s">
        <v>19905</v>
      </c>
      <c r="S1833" t="s">
        <v>19906</v>
      </c>
      <c r="T1833" t="s">
        <v>19901</v>
      </c>
    </row>
    <row r="1834" spans="2:20" x14ac:dyDescent="0.25">
      <c r="B1834" t="s">
        <v>2709</v>
      </c>
      <c r="C1834">
        <v>28342190</v>
      </c>
      <c r="E1834">
        <v>177.19</v>
      </c>
      <c r="F1834">
        <v>0</v>
      </c>
      <c r="G1834">
        <v>0</v>
      </c>
      <c r="H1834">
        <v>7.6</v>
      </c>
      <c r="I1834">
        <v>1.65</v>
      </c>
      <c r="J1834">
        <v>10</v>
      </c>
      <c r="L1834" t="s">
        <v>2709</v>
      </c>
      <c r="M1834">
        <v>28342190</v>
      </c>
      <c r="O1834" t="s">
        <v>19926</v>
      </c>
      <c r="P1834" t="s">
        <v>19900</v>
      </c>
      <c r="Q1834" t="s">
        <v>19900</v>
      </c>
      <c r="R1834" t="s">
        <v>19905</v>
      </c>
      <c r="S1834" t="s">
        <v>19906</v>
      </c>
      <c r="T1834" t="s">
        <v>19904</v>
      </c>
    </row>
    <row r="1835" spans="2:20" x14ac:dyDescent="0.25">
      <c r="B1835" t="s">
        <v>2709</v>
      </c>
      <c r="C1835">
        <v>28342910</v>
      </c>
      <c r="E1835">
        <v>177.19</v>
      </c>
      <c r="F1835">
        <v>0</v>
      </c>
      <c r="G1835">
        <v>0</v>
      </c>
      <c r="H1835">
        <v>7.6</v>
      </c>
      <c r="I1835">
        <v>1.65</v>
      </c>
      <c r="J1835">
        <v>4</v>
      </c>
      <c r="L1835" t="s">
        <v>2709</v>
      </c>
      <c r="M1835">
        <v>28342910</v>
      </c>
      <c r="O1835" t="s">
        <v>19926</v>
      </c>
      <c r="P1835" t="s">
        <v>19900</v>
      </c>
      <c r="Q1835" t="s">
        <v>19900</v>
      </c>
      <c r="R1835" t="s">
        <v>19905</v>
      </c>
      <c r="S1835" t="s">
        <v>19906</v>
      </c>
      <c r="T1835" t="s">
        <v>19902</v>
      </c>
    </row>
    <row r="1836" spans="2:20" x14ac:dyDescent="0.25">
      <c r="B1836" t="s">
        <v>2709</v>
      </c>
      <c r="C1836">
        <v>28342930</v>
      </c>
      <c r="E1836">
        <v>177.19</v>
      </c>
      <c r="F1836">
        <v>0</v>
      </c>
      <c r="G1836">
        <v>0</v>
      </c>
      <c r="H1836">
        <v>7.6</v>
      </c>
      <c r="I1836">
        <v>1.65</v>
      </c>
      <c r="J1836">
        <v>2</v>
      </c>
      <c r="L1836" t="s">
        <v>2709</v>
      </c>
      <c r="M1836">
        <v>28342930</v>
      </c>
      <c r="O1836" t="s">
        <v>19926</v>
      </c>
      <c r="P1836" t="s">
        <v>19900</v>
      </c>
      <c r="Q1836" t="s">
        <v>19900</v>
      </c>
      <c r="R1836" t="s">
        <v>19905</v>
      </c>
      <c r="S1836" t="s">
        <v>19906</v>
      </c>
      <c r="T1836" t="s">
        <v>19901</v>
      </c>
    </row>
    <row r="1837" spans="2:20" x14ac:dyDescent="0.25">
      <c r="B1837" t="s">
        <v>2709</v>
      </c>
      <c r="C1837">
        <v>28342940</v>
      </c>
      <c r="E1837">
        <v>177.19</v>
      </c>
      <c r="F1837">
        <v>0</v>
      </c>
      <c r="G1837">
        <v>0</v>
      </c>
      <c r="H1837">
        <v>7.6</v>
      </c>
      <c r="I1837">
        <v>1.65</v>
      </c>
      <c r="J1837">
        <v>2</v>
      </c>
      <c r="L1837" t="s">
        <v>2709</v>
      </c>
      <c r="M1837">
        <v>28342940</v>
      </c>
      <c r="O1837" t="s">
        <v>19926</v>
      </c>
      <c r="P1837" t="s">
        <v>19900</v>
      </c>
      <c r="Q1837" t="s">
        <v>19900</v>
      </c>
      <c r="R1837" t="s">
        <v>19905</v>
      </c>
      <c r="S1837" t="s">
        <v>19906</v>
      </c>
      <c r="T1837" t="s">
        <v>19901</v>
      </c>
    </row>
    <row r="1838" spans="2:20" x14ac:dyDescent="0.25">
      <c r="B1838" t="s">
        <v>2709</v>
      </c>
      <c r="C1838">
        <v>28342990</v>
      </c>
      <c r="E1838">
        <v>177.19</v>
      </c>
      <c r="F1838">
        <v>0</v>
      </c>
      <c r="G1838">
        <v>0</v>
      </c>
      <c r="H1838">
        <v>7.6</v>
      </c>
      <c r="I1838">
        <v>1.65</v>
      </c>
      <c r="J1838">
        <v>10</v>
      </c>
      <c r="L1838" t="s">
        <v>2709</v>
      </c>
      <c r="M1838">
        <v>28342990</v>
      </c>
      <c r="O1838" t="s">
        <v>19926</v>
      </c>
      <c r="P1838" t="s">
        <v>19900</v>
      </c>
      <c r="Q1838" t="s">
        <v>19900</v>
      </c>
      <c r="R1838" t="s">
        <v>19905</v>
      </c>
      <c r="S1838" t="s">
        <v>19906</v>
      </c>
      <c r="T1838" t="s">
        <v>19904</v>
      </c>
    </row>
    <row r="1839" spans="2:20" x14ac:dyDescent="0.25">
      <c r="B1839" t="s">
        <v>2709</v>
      </c>
      <c r="C1839">
        <v>28351011</v>
      </c>
      <c r="E1839">
        <v>177.19</v>
      </c>
      <c r="F1839">
        <v>0</v>
      </c>
      <c r="G1839">
        <v>0</v>
      </c>
      <c r="H1839">
        <v>7.6</v>
      </c>
      <c r="I1839">
        <v>1.65</v>
      </c>
      <c r="J1839">
        <v>2</v>
      </c>
      <c r="L1839" t="s">
        <v>2709</v>
      </c>
      <c r="M1839">
        <v>28351011</v>
      </c>
      <c r="O1839" t="s">
        <v>19926</v>
      </c>
      <c r="P1839" t="s">
        <v>19900</v>
      </c>
      <c r="Q1839" t="s">
        <v>19900</v>
      </c>
      <c r="R1839" t="s">
        <v>19905</v>
      </c>
      <c r="S1839" t="s">
        <v>19906</v>
      </c>
      <c r="T1839" t="s">
        <v>19901</v>
      </c>
    </row>
    <row r="1840" spans="2:20" x14ac:dyDescent="0.25">
      <c r="B1840" t="s">
        <v>2709</v>
      </c>
      <c r="C1840">
        <v>28351019</v>
      </c>
      <c r="E1840">
        <v>177.19</v>
      </c>
      <c r="F1840">
        <v>0</v>
      </c>
      <c r="G1840">
        <v>0</v>
      </c>
      <c r="H1840">
        <v>7.6</v>
      </c>
      <c r="I1840">
        <v>1.65</v>
      </c>
      <c r="J1840">
        <v>2</v>
      </c>
      <c r="L1840" t="s">
        <v>2709</v>
      </c>
      <c r="M1840">
        <v>28351019</v>
      </c>
      <c r="O1840" t="s">
        <v>19926</v>
      </c>
      <c r="P1840" t="s">
        <v>19900</v>
      </c>
      <c r="Q1840" t="s">
        <v>19900</v>
      </c>
      <c r="R1840" t="s">
        <v>19905</v>
      </c>
      <c r="S1840" t="s">
        <v>19906</v>
      </c>
      <c r="T1840" t="s">
        <v>19901</v>
      </c>
    </row>
    <row r="1841" spans="2:20" x14ac:dyDescent="0.25">
      <c r="B1841" t="s">
        <v>2709</v>
      </c>
      <c r="C1841">
        <v>28351021</v>
      </c>
      <c r="E1841">
        <v>177.19</v>
      </c>
      <c r="F1841">
        <v>0</v>
      </c>
      <c r="G1841">
        <v>0</v>
      </c>
      <c r="H1841">
        <v>7.6</v>
      </c>
      <c r="I1841">
        <v>1.65</v>
      </c>
      <c r="J1841">
        <v>10</v>
      </c>
      <c r="L1841" t="s">
        <v>2709</v>
      </c>
      <c r="M1841">
        <v>28351021</v>
      </c>
      <c r="O1841" t="s">
        <v>19926</v>
      </c>
      <c r="P1841" t="s">
        <v>19900</v>
      </c>
      <c r="Q1841" t="s">
        <v>19900</v>
      </c>
      <c r="R1841" t="s">
        <v>19905</v>
      </c>
      <c r="S1841" t="s">
        <v>19906</v>
      </c>
      <c r="T1841" t="s">
        <v>19904</v>
      </c>
    </row>
    <row r="1842" spans="2:20" x14ac:dyDescent="0.25">
      <c r="B1842" t="s">
        <v>2709</v>
      </c>
      <c r="C1842">
        <v>28351029</v>
      </c>
      <c r="E1842">
        <v>177.19</v>
      </c>
      <c r="F1842">
        <v>0</v>
      </c>
      <c r="G1842">
        <v>0</v>
      </c>
      <c r="H1842">
        <v>7.6</v>
      </c>
      <c r="I1842">
        <v>1.65</v>
      </c>
      <c r="J1842">
        <v>2</v>
      </c>
      <c r="L1842" t="s">
        <v>2709</v>
      </c>
      <c r="M1842">
        <v>28351029</v>
      </c>
      <c r="O1842" t="s">
        <v>19926</v>
      </c>
      <c r="P1842" t="s">
        <v>19900</v>
      </c>
      <c r="Q1842" t="s">
        <v>19900</v>
      </c>
      <c r="R1842" t="s">
        <v>19905</v>
      </c>
      <c r="S1842" t="s">
        <v>19906</v>
      </c>
      <c r="T1842" t="s">
        <v>19901</v>
      </c>
    </row>
    <row r="1843" spans="2:20" x14ac:dyDescent="0.25">
      <c r="B1843" t="s">
        <v>2709</v>
      </c>
      <c r="C1843">
        <v>28352200</v>
      </c>
      <c r="E1843">
        <v>177.19</v>
      </c>
      <c r="F1843">
        <v>0</v>
      </c>
      <c r="G1843">
        <v>0</v>
      </c>
      <c r="H1843">
        <v>7.6</v>
      </c>
      <c r="I1843">
        <v>1.65</v>
      </c>
      <c r="J1843">
        <v>10</v>
      </c>
      <c r="L1843" t="s">
        <v>2709</v>
      </c>
      <c r="M1843">
        <v>28352200</v>
      </c>
      <c r="O1843" t="s">
        <v>19926</v>
      </c>
      <c r="P1843" t="s">
        <v>19900</v>
      </c>
      <c r="Q1843" t="s">
        <v>19900</v>
      </c>
      <c r="R1843" t="s">
        <v>19905</v>
      </c>
      <c r="S1843" t="s">
        <v>19906</v>
      </c>
      <c r="T1843" t="s">
        <v>19904</v>
      </c>
    </row>
    <row r="1844" spans="2:20" x14ac:dyDescent="0.25">
      <c r="B1844" t="s">
        <v>2709</v>
      </c>
      <c r="C1844">
        <v>28352400</v>
      </c>
      <c r="E1844">
        <v>177.19</v>
      </c>
      <c r="F1844">
        <v>0</v>
      </c>
      <c r="G1844">
        <v>0</v>
      </c>
      <c r="H1844">
        <v>7.6</v>
      </c>
      <c r="I1844">
        <v>1.65</v>
      </c>
      <c r="J1844">
        <v>10</v>
      </c>
      <c r="L1844" t="s">
        <v>2709</v>
      </c>
      <c r="M1844">
        <v>28352400</v>
      </c>
      <c r="O1844" t="s">
        <v>19926</v>
      </c>
      <c r="P1844" t="s">
        <v>19900</v>
      </c>
      <c r="Q1844" t="s">
        <v>19900</v>
      </c>
      <c r="R1844" t="s">
        <v>19905</v>
      </c>
      <c r="S1844" t="s">
        <v>19906</v>
      </c>
      <c r="T1844" t="s">
        <v>19904</v>
      </c>
    </row>
    <row r="1845" spans="2:20" x14ac:dyDescent="0.25">
      <c r="B1845" t="s">
        <v>2709</v>
      </c>
      <c r="C1845">
        <v>28352500</v>
      </c>
      <c r="E1845">
        <v>177.19</v>
      </c>
      <c r="F1845">
        <v>0</v>
      </c>
      <c r="G1845">
        <v>0</v>
      </c>
      <c r="H1845">
        <v>7.6</v>
      </c>
      <c r="I1845">
        <v>1.65</v>
      </c>
      <c r="J1845">
        <v>0</v>
      </c>
      <c r="L1845" t="s">
        <v>2709</v>
      </c>
      <c r="M1845">
        <v>28352500</v>
      </c>
      <c r="O1845" t="s">
        <v>19926</v>
      </c>
      <c r="P1845" t="s">
        <v>19900</v>
      </c>
      <c r="Q1845" t="s">
        <v>19900</v>
      </c>
      <c r="R1845" t="s">
        <v>19905</v>
      </c>
      <c r="S1845" t="s">
        <v>19906</v>
      </c>
      <c r="T1845" t="s">
        <v>19900</v>
      </c>
    </row>
    <row r="1846" spans="2:20" x14ac:dyDescent="0.25">
      <c r="B1846" t="s">
        <v>2709</v>
      </c>
      <c r="C1846">
        <v>28352600</v>
      </c>
      <c r="E1846">
        <v>177.19</v>
      </c>
      <c r="F1846">
        <v>0</v>
      </c>
      <c r="G1846">
        <v>0</v>
      </c>
      <c r="H1846">
        <v>7.6</v>
      </c>
      <c r="I1846">
        <v>1.65</v>
      </c>
      <c r="J1846">
        <v>10</v>
      </c>
      <c r="L1846" t="s">
        <v>2709</v>
      </c>
      <c r="M1846">
        <v>28352600</v>
      </c>
      <c r="O1846" t="s">
        <v>19926</v>
      </c>
      <c r="P1846" t="s">
        <v>19900</v>
      </c>
      <c r="Q1846" t="s">
        <v>19900</v>
      </c>
      <c r="R1846" t="s">
        <v>19905</v>
      </c>
      <c r="S1846" t="s">
        <v>19906</v>
      </c>
      <c r="T1846" t="s">
        <v>19904</v>
      </c>
    </row>
    <row r="1847" spans="2:20" x14ac:dyDescent="0.25">
      <c r="B1847" t="s">
        <v>2709</v>
      </c>
      <c r="C1847">
        <v>28352910</v>
      </c>
      <c r="E1847">
        <v>177.19</v>
      </c>
      <c r="F1847">
        <v>0</v>
      </c>
      <c r="G1847">
        <v>0</v>
      </c>
      <c r="H1847">
        <v>7.6</v>
      </c>
      <c r="I1847">
        <v>1.65</v>
      </c>
      <c r="J1847">
        <v>2</v>
      </c>
      <c r="L1847" t="s">
        <v>2709</v>
      </c>
      <c r="M1847">
        <v>28352910</v>
      </c>
      <c r="O1847" t="s">
        <v>19926</v>
      </c>
      <c r="P1847" t="s">
        <v>19900</v>
      </c>
      <c r="Q1847" t="s">
        <v>19900</v>
      </c>
      <c r="R1847" t="s">
        <v>19905</v>
      </c>
      <c r="S1847" t="s">
        <v>19906</v>
      </c>
      <c r="T1847" t="s">
        <v>19901</v>
      </c>
    </row>
    <row r="1848" spans="2:20" x14ac:dyDescent="0.25">
      <c r="B1848" t="s">
        <v>2709</v>
      </c>
      <c r="C1848">
        <v>28352920</v>
      </c>
      <c r="E1848">
        <v>177.19</v>
      </c>
      <c r="F1848">
        <v>0</v>
      </c>
      <c r="G1848">
        <v>0</v>
      </c>
      <c r="H1848">
        <v>7.6</v>
      </c>
      <c r="I1848">
        <v>1.65</v>
      </c>
      <c r="J1848">
        <v>2</v>
      </c>
      <c r="L1848" t="s">
        <v>2709</v>
      </c>
      <c r="M1848">
        <v>28352920</v>
      </c>
      <c r="O1848" t="s">
        <v>19926</v>
      </c>
      <c r="P1848" t="s">
        <v>19900</v>
      </c>
      <c r="Q1848" t="s">
        <v>19900</v>
      </c>
      <c r="R1848" t="s">
        <v>19905</v>
      </c>
      <c r="S1848" t="s">
        <v>19906</v>
      </c>
      <c r="T1848" t="s">
        <v>19901</v>
      </c>
    </row>
    <row r="1849" spans="2:20" x14ac:dyDescent="0.25">
      <c r="B1849" t="s">
        <v>2709</v>
      </c>
      <c r="C1849">
        <v>28352930</v>
      </c>
      <c r="E1849">
        <v>177.19</v>
      </c>
      <c r="F1849">
        <v>0</v>
      </c>
      <c r="G1849">
        <v>0</v>
      </c>
      <c r="H1849">
        <v>7.6</v>
      </c>
      <c r="I1849">
        <v>1.65</v>
      </c>
      <c r="J1849">
        <v>2</v>
      </c>
      <c r="L1849" t="s">
        <v>2709</v>
      </c>
      <c r="M1849">
        <v>28352930</v>
      </c>
      <c r="O1849" t="s">
        <v>19926</v>
      </c>
      <c r="P1849" t="s">
        <v>19900</v>
      </c>
      <c r="Q1849" t="s">
        <v>19900</v>
      </c>
      <c r="R1849" t="s">
        <v>19905</v>
      </c>
      <c r="S1849" t="s">
        <v>19906</v>
      </c>
      <c r="T1849" t="s">
        <v>19901</v>
      </c>
    </row>
    <row r="1850" spans="2:20" x14ac:dyDescent="0.25">
      <c r="B1850" t="s">
        <v>2709</v>
      </c>
      <c r="C1850">
        <v>28352940</v>
      </c>
      <c r="E1850">
        <v>177.19</v>
      </c>
      <c r="F1850">
        <v>0</v>
      </c>
      <c r="G1850">
        <v>0</v>
      </c>
      <c r="H1850">
        <v>7.6</v>
      </c>
      <c r="I1850">
        <v>1.65</v>
      </c>
      <c r="J1850">
        <v>2</v>
      </c>
      <c r="L1850" t="s">
        <v>2709</v>
      </c>
      <c r="M1850">
        <v>28352940</v>
      </c>
      <c r="O1850" t="s">
        <v>19926</v>
      </c>
      <c r="P1850" t="s">
        <v>19900</v>
      </c>
      <c r="Q1850" t="s">
        <v>19900</v>
      </c>
      <c r="R1850" t="s">
        <v>19905</v>
      </c>
      <c r="S1850" t="s">
        <v>19906</v>
      </c>
      <c r="T1850" t="s">
        <v>19901</v>
      </c>
    </row>
    <row r="1851" spans="2:20" x14ac:dyDescent="0.25">
      <c r="B1851" t="s">
        <v>2709</v>
      </c>
      <c r="C1851">
        <v>28352950</v>
      </c>
      <c r="E1851">
        <v>177.19</v>
      </c>
      <c r="F1851">
        <v>0</v>
      </c>
      <c r="G1851">
        <v>0</v>
      </c>
      <c r="H1851">
        <v>7.6</v>
      </c>
      <c r="I1851">
        <v>1.65</v>
      </c>
      <c r="J1851">
        <v>2</v>
      </c>
      <c r="L1851" t="s">
        <v>2709</v>
      </c>
      <c r="M1851">
        <v>28352950</v>
      </c>
      <c r="O1851" t="s">
        <v>19926</v>
      </c>
      <c r="P1851" t="s">
        <v>19900</v>
      </c>
      <c r="Q1851" t="s">
        <v>19900</v>
      </c>
      <c r="R1851" t="s">
        <v>19905</v>
      </c>
      <c r="S1851" t="s">
        <v>19906</v>
      </c>
      <c r="T1851" t="s">
        <v>19901</v>
      </c>
    </row>
    <row r="1852" spans="2:20" x14ac:dyDescent="0.25">
      <c r="B1852" t="s">
        <v>2709</v>
      </c>
      <c r="C1852">
        <v>28352960</v>
      </c>
      <c r="E1852">
        <v>177.19</v>
      </c>
      <c r="F1852">
        <v>0</v>
      </c>
      <c r="G1852">
        <v>0</v>
      </c>
      <c r="H1852">
        <v>7.6</v>
      </c>
      <c r="I1852">
        <v>1.65</v>
      </c>
      <c r="J1852">
        <v>2</v>
      </c>
      <c r="L1852" t="s">
        <v>2709</v>
      </c>
      <c r="M1852">
        <v>28352960</v>
      </c>
      <c r="O1852" t="s">
        <v>19926</v>
      </c>
      <c r="P1852" t="s">
        <v>19900</v>
      </c>
      <c r="Q1852" t="s">
        <v>19900</v>
      </c>
      <c r="R1852" t="s">
        <v>19905</v>
      </c>
      <c r="S1852" t="s">
        <v>19906</v>
      </c>
      <c r="T1852" t="s">
        <v>19901</v>
      </c>
    </row>
    <row r="1853" spans="2:20" x14ac:dyDescent="0.25">
      <c r="B1853" t="s">
        <v>2709</v>
      </c>
      <c r="C1853">
        <v>28352970</v>
      </c>
      <c r="E1853">
        <v>177.19</v>
      </c>
      <c r="F1853">
        <v>0</v>
      </c>
      <c r="G1853">
        <v>0</v>
      </c>
      <c r="H1853">
        <v>7.6</v>
      </c>
      <c r="I1853">
        <v>1.65</v>
      </c>
      <c r="J1853">
        <v>2</v>
      </c>
      <c r="L1853" t="s">
        <v>2709</v>
      </c>
      <c r="M1853">
        <v>28352970</v>
      </c>
      <c r="O1853" t="s">
        <v>19926</v>
      </c>
      <c r="P1853" t="s">
        <v>19900</v>
      </c>
      <c r="Q1853" t="s">
        <v>19900</v>
      </c>
      <c r="R1853" t="s">
        <v>19905</v>
      </c>
      <c r="S1853" t="s">
        <v>19906</v>
      </c>
      <c r="T1853" t="s">
        <v>19901</v>
      </c>
    </row>
    <row r="1854" spans="2:20" x14ac:dyDescent="0.25">
      <c r="B1854" t="s">
        <v>2709</v>
      </c>
      <c r="C1854">
        <v>28352980</v>
      </c>
      <c r="E1854">
        <v>177.19</v>
      </c>
      <c r="F1854">
        <v>0</v>
      </c>
      <c r="G1854">
        <v>0</v>
      </c>
      <c r="H1854">
        <v>7.6</v>
      </c>
      <c r="I1854">
        <v>1.65</v>
      </c>
      <c r="J1854">
        <v>10</v>
      </c>
      <c r="L1854" t="s">
        <v>2709</v>
      </c>
      <c r="M1854">
        <v>28352980</v>
      </c>
      <c r="O1854" t="s">
        <v>19926</v>
      </c>
      <c r="P1854" t="s">
        <v>19900</v>
      </c>
      <c r="Q1854" t="s">
        <v>19900</v>
      </c>
      <c r="R1854" t="s">
        <v>19905</v>
      </c>
      <c r="S1854" t="s">
        <v>19906</v>
      </c>
      <c r="T1854" t="s">
        <v>19904</v>
      </c>
    </row>
    <row r="1855" spans="2:20" x14ac:dyDescent="0.25">
      <c r="B1855" t="s">
        <v>2709</v>
      </c>
      <c r="C1855">
        <v>28352990</v>
      </c>
      <c r="E1855">
        <v>177.19</v>
      </c>
      <c r="F1855">
        <v>0</v>
      </c>
      <c r="G1855">
        <v>0</v>
      </c>
      <c r="H1855">
        <v>7.6</v>
      </c>
      <c r="I1855">
        <v>1.65</v>
      </c>
      <c r="J1855">
        <v>10</v>
      </c>
      <c r="L1855" t="s">
        <v>2709</v>
      </c>
      <c r="M1855">
        <v>28352990</v>
      </c>
      <c r="O1855" t="s">
        <v>19926</v>
      </c>
      <c r="P1855" t="s">
        <v>19900</v>
      </c>
      <c r="Q1855" t="s">
        <v>19900</v>
      </c>
      <c r="R1855" t="s">
        <v>19905</v>
      </c>
      <c r="S1855" t="s">
        <v>19906</v>
      </c>
      <c r="T1855" t="s">
        <v>19904</v>
      </c>
    </row>
    <row r="1856" spans="2:20" x14ac:dyDescent="0.25">
      <c r="B1856" t="s">
        <v>2709</v>
      </c>
      <c r="C1856">
        <v>28353110</v>
      </c>
      <c r="E1856">
        <v>177.19</v>
      </c>
      <c r="F1856">
        <v>0</v>
      </c>
      <c r="G1856">
        <v>0</v>
      </c>
      <c r="H1856">
        <v>7.6</v>
      </c>
      <c r="I1856">
        <v>1.65</v>
      </c>
      <c r="J1856">
        <v>10</v>
      </c>
      <c r="L1856" t="s">
        <v>2709</v>
      </c>
      <c r="M1856">
        <v>28353110</v>
      </c>
      <c r="O1856" t="s">
        <v>19926</v>
      </c>
      <c r="P1856" t="s">
        <v>19900</v>
      </c>
      <c r="Q1856" t="s">
        <v>19900</v>
      </c>
      <c r="R1856" t="s">
        <v>19905</v>
      </c>
      <c r="S1856" t="s">
        <v>19906</v>
      </c>
      <c r="T1856" t="s">
        <v>19904</v>
      </c>
    </row>
    <row r="1857" spans="2:20" x14ac:dyDescent="0.25">
      <c r="B1857" t="s">
        <v>2709</v>
      </c>
      <c r="C1857">
        <v>28353190</v>
      </c>
      <c r="E1857">
        <v>177.19</v>
      </c>
      <c r="F1857">
        <v>0</v>
      </c>
      <c r="G1857">
        <v>0</v>
      </c>
      <c r="H1857">
        <v>7.6</v>
      </c>
      <c r="I1857">
        <v>1.65</v>
      </c>
      <c r="J1857">
        <v>10</v>
      </c>
      <c r="L1857" t="s">
        <v>2709</v>
      </c>
      <c r="M1857">
        <v>28353190</v>
      </c>
      <c r="O1857" t="s">
        <v>19926</v>
      </c>
      <c r="P1857" t="s">
        <v>19900</v>
      </c>
      <c r="Q1857" t="s">
        <v>19900</v>
      </c>
      <c r="R1857" t="s">
        <v>19905</v>
      </c>
      <c r="S1857" t="s">
        <v>19906</v>
      </c>
      <c r="T1857" t="s">
        <v>19904</v>
      </c>
    </row>
    <row r="1858" spans="2:20" x14ac:dyDescent="0.25">
      <c r="B1858" t="s">
        <v>2709</v>
      </c>
      <c r="C1858">
        <v>28353910</v>
      </c>
      <c r="E1858">
        <v>177.19</v>
      </c>
      <c r="F1858">
        <v>0</v>
      </c>
      <c r="G1858">
        <v>0</v>
      </c>
      <c r="H1858">
        <v>7.6</v>
      </c>
      <c r="I1858">
        <v>1.65</v>
      </c>
      <c r="J1858">
        <v>10</v>
      </c>
      <c r="L1858" t="s">
        <v>2709</v>
      </c>
      <c r="M1858">
        <v>28353910</v>
      </c>
      <c r="O1858" t="s">
        <v>19926</v>
      </c>
      <c r="P1858" t="s">
        <v>19900</v>
      </c>
      <c r="Q1858" t="s">
        <v>19900</v>
      </c>
      <c r="R1858" t="s">
        <v>19905</v>
      </c>
      <c r="S1858" t="s">
        <v>19906</v>
      </c>
      <c r="T1858" t="s">
        <v>19904</v>
      </c>
    </row>
    <row r="1859" spans="2:20" x14ac:dyDescent="0.25">
      <c r="B1859" t="s">
        <v>2709</v>
      </c>
      <c r="C1859">
        <v>28353920</v>
      </c>
      <c r="E1859">
        <v>177.19</v>
      </c>
      <c r="F1859">
        <v>0</v>
      </c>
      <c r="G1859">
        <v>0</v>
      </c>
      <c r="H1859">
        <v>7.6</v>
      </c>
      <c r="I1859">
        <v>1.65</v>
      </c>
      <c r="J1859">
        <v>10</v>
      </c>
      <c r="L1859" t="s">
        <v>2709</v>
      </c>
      <c r="M1859">
        <v>28353920</v>
      </c>
      <c r="O1859" t="s">
        <v>19926</v>
      </c>
      <c r="P1859" t="s">
        <v>19900</v>
      </c>
      <c r="Q1859" t="s">
        <v>19900</v>
      </c>
      <c r="R1859" t="s">
        <v>19905</v>
      </c>
      <c r="S1859" t="s">
        <v>19906</v>
      </c>
      <c r="T1859" t="s">
        <v>19904</v>
      </c>
    </row>
    <row r="1860" spans="2:20" x14ac:dyDescent="0.25">
      <c r="B1860" t="s">
        <v>2709</v>
      </c>
      <c r="C1860">
        <v>28353930</v>
      </c>
      <c r="E1860">
        <v>177.19</v>
      </c>
      <c r="F1860">
        <v>0</v>
      </c>
      <c r="G1860">
        <v>0</v>
      </c>
      <c r="H1860">
        <v>7.6</v>
      </c>
      <c r="I1860">
        <v>1.65</v>
      </c>
      <c r="J1860">
        <v>2</v>
      </c>
      <c r="L1860" t="s">
        <v>2709</v>
      </c>
      <c r="M1860">
        <v>28353930</v>
      </c>
      <c r="O1860" t="s">
        <v>19926</v>
      </c>
      <c r="P1860" t="s">
        <v>19900</v>
      </c>
      <c r="Q1860" t="s">
        <v>19900</v>
      </c>
      <c r="R1860" t="s">
        <v>19905</v>
      </c>
      <c r="S1860" t="s">
        <v>19906</v>
      </c>
      <c r="T1860" t="s">
        <v>19901</v>
      </c>
    </row>
    <row r="1861" spans="2:20" x14ac:dyDescent="0.25">
      <c r="B1861" t="s">
        <v>2709</v>
      </c>
      <c r="C1861">
        <v>28353990</v>
      </c>
      <c r="E1861">
        <v>177.19</v>
      </c>
      <c r="F1861">
        <v>0</v>
      </c>
      <c r="G1861">
        <v>0</v>
      </c>
      <c r="H1861">
        <v>7.6</v>
      </c>
      <c r="I1861">
        <v>1.65</v>
      </c>
      <c r="J1861">
        <v>10</v>
      </c>
      <c r="L1861" t="s">
        <v>2709</v>
      </c>
      <c r="M1861">
        <v>28353990</v>
      </c>
      <c r="O1861" t="s">
        <v>19926</v>
      </c>
      <c r="P1861" t="s">
        <v>19900</v>
      </c>
      <c r="Q1861" t="s">
        <v>19900</v>
      </c>
      <c r="R1861" t="s">
        <v>19905</v>
      </c>
      <c r="S1861" t="s">
        <v>19906</v>
      </c>
      <c r="T1861" t="s">
        <v>19904</v>
      </c>
    </row>
    <row r="1862" spans="2:20" x14ac:dyDescent="0.25">
      <c r="B1862" t="s">
        <v>2709</v>
      </c>
      <c r="C1862">
        <v>28362010</v>
      </c>
      <c r="E1862">
        <v>62.4</v>
      </c>
      <c r="F1862">
        <v>0</v>
      </c>
      <c r="G1862">
        <v>0</v>
      </c>
      <c r="H1862">
        <v>7.6</v>
      </c>
      <c r="I1862">
        <v>1.65</v>
      </c>
      <c r="J1862">
        <v>0</v>
      </c>
      <c r="L1862" t="s">
        <v>2709</v>
      </c>
      <c r="M1862">
        <v>28362010</v>
      </c>
      <c r="O1862" t="s">
        <v>20027</v>
      </c>
      <c r="P1862" t="s">
        <v>19900</v>
      </c>
      <c r="Q1862" t="s">
        <v>19900</v>
      </c>
      <c r="R1862" t="s">
        <v>19905</v>
      </c>
      <c r="S1862" t="s">
        <v>19906</v>
      </c>
      <c r="T1862" t="s">
        <v>19900</v>
      </c>
    </row>
    <row r="1863" spans="2:20" x14ac:dyDescent="0.25">
      <c r="B1863" t="s">
        <v>2709</v>
      </c>
      <c r="C1863">
        <v>28362090</v>
      </c>
      <c r="E1863">
        <v>177.19</v>
      </c>
      <c r="F1863">
        <v>0</v>
      </c>
      <c r="G1863">
        <v>0</v>
      </c>
      <c r="H1863">
        <v>7.6</v>
      </c>
      <c r="I1863">
        <v>1.65</v>
      </c>
      <c r="J1863">
        <v>10</v>
      </c>
      <c r="L1863" t="s">
        <v>2709</v>
      </c>
      <c r="M1863">
        <v>28362090</v>
      </c>
      <c r="O1863" t="s">
        <v>19926</v>
      </c>
      <c r="P1863" t="s">
        <v>19900</v>
      </c>
      <c r="Q1863" t="s">
        <v>19900</v>
      </c>
      <c r="R1863" t="s">
        <v>19905</v>
      </c>
      <c r="S1863" t="s">
        <v>19906</v>
      </c>
      <c r="T1863" t="s">
        <v>19904</v>
      </c>
    </row>
    <row r="1864" spans="2:20" x14ac:dyDescent="0.25">
      <c r="B1864" t="s">
        <v>2709</v>
      </c>
      <c r="C1864">
        <v>28363000</v>
      </c>
      <c r="E1864">
        <v>62.4</v>
      </c>
      <c r="F1864">
        <v>0</v>
      </c>
      <c r="G1864">
        <v>0</v>
      </c>
      <c r="H1864">
        <v>7.6</v>
      </c>
      <c r="I1864">
        <v>1.65</v>
      </c>
      <c r="J1864">
        <v>20</v>
      </c>
      <c r="L1864" t="s">
        <v>2709</v>
      </c>
      <c r="M1864">
        <v>28363000</v>
      </c>
      <c r="O1864" t="s">
        <v>20027</v>
      </c>
      <c r="P1864" t="s">
        <v>19900</v>
      </c>
      <c r="Q1864" t="s">
        <v>19900</v>
      </c>
      <c r="R1864" t="s">
        <v>19905</v>
      </c>
      <c r="S1864" t="s">
        <v>19906</v>
      </c>
      <c r="T1864" t="s">
        <v>19934</v>
      </c>
    </row>
    <row r="1865" spans="2:20" x14ac:dyDescent="0.25">
      <c r="B1865" t="s">
        <v>2709</v>
      </c>
      <c r="C1865">
        <v>28364000</v>
      </c>
      <c r="E1865">
        <v>177.19</v>
      </c>
      <c r="F1865">
        <v>0</v>
      </c>
      <c r="G1865">
        <v>0</v>
      </c>
      <c r="H1865">
        <v>7.6</v>
      </c>
      <c r="I1865">
        <v>1.65</v>
      </c>
      <c r="J1865">
        <v>10</v>
      </c>
      <c r="L1865" t="s">
        <v>2709</v>
      </c>
      <c r="M1865">
        <v>28364000</v>
      </c>
      <c r="O1865" t="s">
        <v>19926</v>
      </c>
      <c r="P1865" t="s">
        <v>19900</v>
      </c>
      <c r="Q1865" t="s">
        <v>19900</v>
      </c>
      <c r="R1865" t="s">
        <v>19905</v>
      </c>
      <c r="S1865" t="s">
        <v>19906</v>
      </c>
      <c r="T1865" t="s">
        <v>19904</v>
      </c>
    </row>
    <row r="1866" spans="2:20" x14ac:dyDescent="0.25">
      <c r="B1866" t="s">
        <v>2709</v>
      </c>
      <c r="C1866">
        <v>28365000</v>
      </c>
      <c r="E1866">
        <v>62.4</v>
      </c>
      <c r="F1866">
        <v>0</v>
      </c>
      <c r="G1866">
        <v>0</v>
      </c>
      <c r="H1866">
        <v>7.6</v>
      </c>
      <c r="I1866">
        <v>1.65</v>
      </c>
      <c r="J1866">
        <v>10</v>
      </c>
      <c r="L1866" t="s">
        <v>2709</v>
      </c>
      <c r="M1866">
        <v>28365000</v>
      </c>
      <c r="O1866" t="s">
        <v>20027</v>
      </c>
      <c r="P1866" t="s">
        <v>19900</v>
      </c>
      <c r="Q1866" t="s">
        <v>19900</v>
      </c>
      <c r="R1866" t="s">
        <v>19905</v>
      </c>
      <c r="S1866" t="s">
        <v>19906</v>
      </c>
      <c r="T1866" t="s">
        <v>19904</v>
      </c>
    </row>
    <row r="1867" spans="2:20" x14ac:dyDescent="0.25">
      <c r="B1867" t="s">
        <v>2709</v>
      </c>
      <c r="C1867">
        <v>28366000</v>
      </c>
      <c r="E1867">
        <v>177.19</v>
      </c>
      <c r="F1867">
        <v>0</v>
      </c>
      <c r="G1867">
        <v>0</v>
      </c>
      <c r="H1867">
        <v>7.6</v>
      </c>
      <c r="I1867">
        <v>1.65</v>
      </c>
      <c r="J1867">
        <v>10</v>
      </c>
      <c r="L1867" t="s">
        <v>2709</v>
      </c>
      <c r="M1867">
        <v>28366000</v>
      </c>
      <c r="O1867" t="s">
        <v>19926</v>
      </c>
      <c r="P1867" t="s">
        <v>19900</v>
      </c>
      <c r="Q1867" t="s">
        <v>19900</v>
      </c>
      <c r="R1867" t="s">
        <v>19905</v>
      </c>
      <c r="S1867" t="s">
        <v>19906</v>
      </c>
      <c r="T1867" t="s">
        <v>19904</v>
      </c>
    </row>
    <row r="1868" spans="2:20" x14ac:dyDescent="0.25">
      <c r="B1868" t="s">
        <v>2709</v>
      </c>
      <c r="C1868">
        <v>28369100</v>
      </c>
      <c r="E1868">
        <v>177.19</v>
      </c>
      <c r="F1868">
        <v>0</v>
      </c>
      <c r="G1868">
        <v>0</v>
      </c>
      <c r="H1868">
        <v>7.6</v>
      </c>
      <c r="I1868">
        <v>1.65</v>
      </c>
      <c r="J1868">
        <v>10</v>
      </c>
      <c r="L1868" t="s">
        <v>2709</v>
      </c>
      <c r="M1868">
        <v>28369100</v>
      </c>
      <c r="O1868" t="s">
        <v>19926</v>
      </c>
      <c r="P1868" t="s">
        <v>19900</v>
      </c>
      <c r="Q1868" t="s">
        <v>19900</v>
      </c>
      <c r="R1868" t="s">
        <v>19905</v>
      </c>
      <c r="S1868" t="s">
        <v>19906</v>
      </c>
      <c r="T1868" t="s">
        <v>19904</v>
      </c>
    </row>
    <row r="1869" spans="2:20" x14ac:dyDescent="0.25">
      <c r="B1869" t="s">
        <v>2709</v>
      </c>
      <c r="C1869">
        <v>28369200</v>
      </c>
      <c r="E1869">
        <v>177.19</v>
      </c>
      <c r="F1869">
        <v>0</v>
      </c>
      <c r="G1869">
        <v>0</v>
      </c>
      <c r="H1869">
        <v>7.6</v>
      </c>
      <c r="I1869">
        <v>1.65</v>
      </c>
      <c r="J1869">
        <v>2</v>
      </c>
      <c r="L1869" t="s">
        <v>2709</v>
      </c>
      <c r="M1869">
        <v>28369200</v>
      </c>
      <c r="O1869" t="s">
        <v>19926</v>
      </c>
      <c r="P1869" t="s">
        <v>19900</v>
      </c>
      <c r="Q1869" t="s">
        <v>19900</v>
      </c>
      <c r="R1869" t="s">
        <v>19905</v>
      </c>
      <c r="S1869" t="s">
        <v>19906</v>
      </c>
      <c r="T1869" t="s">
        <v>19901</v>
      </c>
    </row>
    <row r="1870" spans="2:20" x14ac:dyDescent="0.25">
      <c r="B1870" t="s">
        <v>2709</v>
      </c>
      <c r="C1870">
        <v>28369911</v>
      </c>
      <c r="E1870">
        <v>177.19</v>
      </c>
      <c r="F1870">
        <v>0</v>
      </c>
      <c r="G1870">
        <v>0</v>
      </c>
      <c r="H1870">
        <v>7.6</v>
      </c>
      <c r="I1870">
        <v>1.65</v>
      </c>
      <c r="J1870">
        <v>10</v>
      </c>
      <c r="L1870" t="s">
        <v>2709</v>
      </c>
      <c r="M1870">
        <v>28369911</v>
      </c>
      <c r="O1870" t="s">
        <v>19926</v>
      </c>
      <c r="P1870" t="s">
        <v>19900</v>
      </c>
      <c r="Q1870" t="s">
        <v>19900</v>
      </c>
      <c r="R1870" t="s">
        <v>19905</v>
      </c>
      <c r="S1870" t="s">
        <v>19906</v>
      </c>
      <c r="T1870" t="s">
        <v>19904</v>
      </c>
    </row>
    <row r="1871" spans="2:20" x14ac:dyDescent="0.25">
      <c r="B1871" t="s">
        <v>2709</v>
      </c>
      <c r="C1871">
        <v>28369912</v>
      </c>
      <c r="E1871">
        <v>177.19</v>
      </c>
      <c r="F1871">
        <v>0</v>
      </c>
      <c r="G1871">
        <v>0</v>
      </c>
      <c r="H1871">
        <v>7.6</v>
      </c>
      <c r="I1871">
        <v>1.65</v>
      </c>
      <c r="J1871">
        <v>2</v>
      </c>
      <c r="L1871" t="s">
        <v>2709</v>
      </c>
      <c r="M1871">
        <v>28369912</v>
      </c>
      <c r="O1871" t="s">
        <v>19926</v>
      </c>
      <c r="P1871" t="s">
        <v>19900</v>
      </c>
      <c r="Q1871" t="s">
        <v>19900</v>
      </c>
      <c r="R1871" t="s">
        <v>19905</v>
      </c>
      <c r="S1871" t="s">
        <v>19906</v>
      </c>
      <c r="T1871" t="s">
        <v>19901</v>
      </c>
    </row>
    <row r="1872" spans="2:20" x14ac:dyDescent="0.25">
      <c r="B1872" t="s">
        <v>2709</v>
      </c>
      <c r="C1872">
        <v>28369913</v>
      </c>
      <c r="E1872">
        <v>177.19</v>
      </c>
      <c r="F1872">
        <v>0</v>
      </c>
      <c r="G1872">
        <v>0</v>
      </c>
      <c r="H1872">
        <v>7.6</v>
      </c>
      <c r="I1872">
        <v>1.65</v>
      </c>
      <c r="J1872">
        <v>10</v>
      </c>
      <c r="L1872" t="s">
        <v>2709</v>
      </c>
      <c r="M1872">
        <v>28369913</v>
      </c>
      <c r="O1872" t="s">
        <v>19926</v>
      </c>
      <c r="P1872" t="s">
        <v>19900</v>
      </c>
      <c r="Q1872" t="s">
        <v>19900</v>
      </c>
      <c r="R1872" t="s">
        <v>19905</v>
      </c>
      <c r="S1872" t="s">
        <v>19906</v>
      </c>
      <c r="T1872" t="s">
        <v>19904</v>
      </c>
    </row>
    <row r="1873" spans="2:20" x14ac:dyDescent="0.25">
      <c r="B1873" t="s">
        <v>2709</v>
      </c>
      <c r="C1873">
        <v>28369919</v>
      </c>
      <c r="E1873">
        <v>177.19</v>
      </c>
      <c r="F1873">
        <v>18</v>
      </c>
      <c r="G1873">
        <v>0</v>
      </c>
      <c r="H1873">
        <v>7.6</v>
      </c>
      <c r="I1873">
        <v>1.65</v>
      </c>
      <c r="J1873">
        <v>10</v>
      </c>
      <c r="L1873" t="s">
        <v>2709</v>
      </c>
      <c r="M1873">
        <v>28369919</v>
      </c>
      <c r="O1873" t="s">
        <v>19926</v>
      </c>
      <c r="P1873" t="s">
        <v>19899</v>
      </c>
      <c r="Q1873" t="s">
        <v>19900</v>
      </c>
      <c r="R1873" t="s">
        <v>19905</v>
      </c>
      <c r="S1873" t="s">
        <v>19906</v>
      </c>
      <c r="T1873" t="s">
        <v>19904</v>
      </c>
    </row>
    <row r="1874" spans="2:20" x14ac:dyDescent="0.25">
      <c r="B1874" t="s">
        <v>2709</v>
      </c>
      <c r="C1874">
        <v>28369920</v>
      </c>
      <c r="E1874">
        <v>177.19</v>
      </c>
      <c r="F1874">
        <v>0</v>
      </c>
      <c r="G1874">
        <v>0</v>
      </c>
      <c r="H1874">
        <v>7.6</v>
      </c>
      <c r="I1874">
        <v>1.65</v>
      </c>
      <c r="J1874">
        <v>2</v>
      </c>
      <c r="L1874" t="s">
        <v>2709</v>
      </c>
      <c r="M1874">
        <v>28369920</v>
      </c>
      <c r="O1874" t="s">
        <v>19926</v>
      </c>
      <c r="P1874" t="s">
        <v>19900</v>
      </c>
      <c r="Q1874" t="s">
        <v>19900</v>
      </c>
      <c r="R1874" t="s">
        <v>19905</v>
      </c>
      <c r="S1874" t="s">
        <v>19906</v>
      </c>
      <c r="T1874" t="s">
        <v>19901</v>
      </c>
    </row>
    <row r="1875" spans="2:20" x14ac:dyDescent="0.25">
      <c r="B1875" t="s">
        <v>2709</v>
      </c>
      <c r="C1875">
        <v>28371100</v>
      </c>
      <c r="E1875">
        <v>177.19</v>
      </c>
      <c r="F1875">
        <v>0</v>
      </c>
      <c r="G1875">
        <v>0</v>
      </c>
      <c r="H1875">
        <v>7.6</v>
      </c>
      <c r="I1875">
        <v>1.65</v>
      </c>
      <c r="J1875">
        <v>10</v>
      </c>
      <c r="L1875" t="s">
        <v>2709</v>
      </c>
      <c r="M1875">
        <v>28371100</v>
      </c>
      <c r="O1875" t="s">
        <v>19926</v>
      </c>
      <c r="P1875" t="s">
        <v>19900</v>
      </c>
      <c r="Q1875" t="s">
        <v>19900</v>
      </c>
      <c r="R1875" t="s">
        <v>19905</v>
      </c>
      <c r="S1875" t="s">
        <v>19906</v>
      </c>
      <c r="T1875" t="s">
        <v>19904</v>
      </c>
    </row>
    <row r="1876" spans="2:20" x14ac:dyDescent="0.25">
      <c r="B1876" t="s">
        <v>2709</v>
      </c>
      <c r="C1876">
        <v>28371911</v>
      </c>
      <c r="E1876">
        <v>177.19</v>
      </c>
      <c r="F1876">
        <v>0</v>
      </c>
      <c r="G1876">
        <v>0</v>
      </c>
      <c r="H1876">
        <v>7.6</v>
      </c>
      <c r="I1876">
        <v>1.65</v>
      </c>
      <c r="J1876">
        <v>2</v>
      </c>
      <c r="L1876" t="s">
        <v>2709</v>
      </c>
      <c r="M1876">
        <v>28371911</v>
      </c>
      <c r="O1876" t="s">
        <v>19926</v>
      </c>
      <c r="P1876" t="s">
        <v>19900</v>
      </c>
      <c r="Q1876" t="s">
        <v>19900</v>
      </c>
      <c r="R1876" t="s">
        <v>19905</v>
      </c>
      <c r="S1876" t="s">
        <v>19906</v>
      </c>
      <c r="T1876" t="s">
        <v>19901</v>
      </c>
    </row>
    <row r="1877" spans="2:20" x14ac:dyDescent="0.25">
      <c r="B1877" t="s">
        <v>2709</v>
      </c>
      <c r="C1877">
        <v>28371912</v>
      </c>
      <c r="E1877">
        <v>177.19</v>
      </c>
      <c r="F1877">
        <v>0</v>
      </c>
      <c r="G1877">
        <v>0</v>
      </c>
      <c r="H1877">
        <v>7.6</v>
      </c>
      <c r="I1877">
        <v>1.65</v>
      </c>
      <c r="J1877">
        <v>10</v>
      </c>
      <c r="L1877" t="s">
        <v>2709</v>
      </c>
      <c r="M1877">
        <v>28371912</v>
      </c>
      <c r="O1877" t="s">
        <v>19926</v>
      </c>
      <c r="P1877" t="s">
        <v>19900</v>
      </c>
      <c r="Q1877" t="s">
        <v>19900</v>
      </c>
      <c r="R1877" t="s">
        <v>19905</v>
      </c>
      <c r="S1877" t="s">
        <v>19906</v>
      </c>
      <c r="T1877" t="s">
        <v>19904</v>
      </c>
    </row>
    <row r="1878" spans="2:20" x14ac:dyDescent="0.25">
      <c r="B1878" t="s">
        <v>2709</v>
      </c>
      <c r="C1878">
        <v>28371914</v>
      </c>
      <c r="E1878">
        <v>177.19</v>
      </c>
      <c r="F1878">
        <v>0</v>
      </c>
      <c r="G1878">
        <v>0</v>
      </c>
      <c r="H1878">
        <v>7.6</v>
      </c>
      <c r="I1878">
        <v>1.65</v>
      </c>
      <c r="J1878">
        <v>10</v>
      </c>
      <c r="L1878" t="s">
        <v>2709</v>
      </c>
      <c r="M1878">
        <v>28371914</v>
      </c>
      <c r="O1878" t="s">
        <v>19926</v>
      </c>
      <c r="P1878" t="s">
        <v>19900</v>
      </c>
      <c r="Q1878" t="s">
        <v>19900</v>
      </c>
      <c r="R1878" t="s">
        <v>19905</v>
      </c>
      <c r="S1878" t="s">
        <v>19906</v>
      </c>
      <c r="T1878" t="s">
        <v>19904</v>
      </c>
    </row>
    <row r="1879" spans="2:20" x14ac:dyDescent="0.25">
      <c r="B1879" t="s">
        <v>2709</v>
      </c>
      <c r="C1879">
        <v>28371915</v>
      </c>
      <c r="E1879">
        <v>177.19</v>
      </c>
      <c r="F1879">
        <v>0</v>
      </c>
      <c r="G1879">
        <v>0</v>
      </c>
      <c r="H1879">
        <v>7.6</v>
      </c>
      <c r="I1879">
        <v>1.65</v>
      </c>
      <c r="J1879">
        <v>10</v>
      </c>
      <c r="L1879" t="s">
        <v>2709</v>
      </c>
      <c r="M1879">
        <v>28371915</v>
      </c>
      <c r="O1879" t="s">
        <v>19926</v>
      </c>
      <c r="P1879" t="s">
        <v>19900</v>
      </c>
      <c r="Q1879" t="s">
        <v>19900</v>
      </c>
      <c r="R1879" t="s">
        <v>19905</v>
      </c>
      <c r="S1879" t="s">
        <v>19906</v>
      </c>
      <c r="T1879" t="s">
        <v>19904</v>
      </c>
    </row>
    <row r="1880" spans="2:20" x14ac:dyDescent="0.25">
      <c r="B1880" t="s">
        <v>2709</v>
      </c>
      <c r="C1880">
        <v>28371919</v>
      </c>
      <c r="E1880">
        <v>177.19</v>
      </c>
      <c r="F1880">
        <v>0</v>
      </c>
      <c r="G1880">
        <v>0</v>
      </c>
      <c r="H1880">
        <v>7.6</v>
      </c>
      <c r="I1880">
        <v>1.65</v>
      </c>
      <c r="J1880">
        <v>2</v>
      </c>
      <c r="L1880" t="s">
        <v>2709</v>
      </c>
      <c r="M1880">
        <v>28371919</v>
      </c>
      <c r="O1880" t="s">
        <v>19926</v>
      </c>
      <c r="P1880" t="s">
        <v>19900</v>
      </c>
      <c r="Q1880" t="s">
        <v>19900</v>
      </c>
      <c r="R1880" t="s">
        <v>19905</v>
      </c>
      <c r="S1880" t="s">
        <v>19906</v>
      </c>
      <c r="T1880" t="s">
        <v>19901</v>
      </c>
    </row>
    <row r="1881" spans="2:20" x14ac:dyDescent="0.25">
      <c r="B1881" t="s">
        <v>2709</v>
      </c>
      <c r="C1881">
        <v>28371920</v>
      </c>
      <c r="E1881">
        <v>177.19</v>
      </c>
      <c r="F1881">
        <v>0</v>
      </c>
      <c r="G1881">
        <v>0</v>
      </c>
      <c r="H1881">
        <v>7.6</v>
      </c>
      <c r="I1881">
        <v>1.65</v>
      </c>
      <c r="J1881">
        <v>2</v>
      </c>
      <c r="L1881" t="s">
        <v>2709</v>
      </c>
      <c r="M1881">
        <v>28371920</v>
      </c>
      <c r="O1881" t="s">
        <v>19926</v>
      </c>
      <c r="P1881" t="s">
        <v>19900</v>
      </c>
      <c r="Q1881" t="s">
        <v>19900</v>
      </c>
      <c r="R1881" t="s">
        <v>19905</v>
      </c>
      <c r="S1881" t="s">
        <v>19906</v>
      </c>
      <c r="T1881" t="s">
        <v>19901</v>
      </c>
    </row>
    <row r="1882" spans="2:20" x14ac:dyDescent="0.25">
      <c r="B1882" t="s">
        <v>2709</v>
      </c>
      <c r="C1882">
        <v>28372011</v>
      </c>
      <c r="E1882">
        <v>177.19</v>
      </c>
      <c r="F1882">
        <v>0</v>
      </c>
      <c r="G1882">
        <v>0</v>
      </c>
      <c r="H1882">
        <v>7.6</v>
      </c>
      <c r="I1882">
        <v>1.65</v>
      </c>
      <c r="J1882">
        <v>2</v>
      </c>
      <c r="L1882" t="s">
        <v>2709</v>
      </c>
      <c r="M1882">
        <v>28372011</v>
      </c>
      <c r="O1882" t="s">
        <v>19926</v>
      </c>
      <c r="P1882" t="s">
        <v>19900</v>
      </c>
      <c r="Q1882" t="s">
        <v>19900</v>
      </c>
      <c r="R1882" t="s">
        <v>19905</v>
      </c>
      <c r="S1882" t="s">
        <v>19906</v>
      </c>
      <c r="T1882" t="s">
        <v>19901</v>
      </c>
    </row>
    <row r="1883" spans="2:20" x14ac:dyDescent="0.25">
      <c r="B1883" t="s">
        <v>2709</v>
      </c>
      <c r="C1883">
        <v>28372012</v>
      </c>
      <c r="E1883">
        <v>177.19</v>
      </c>
      <c r="F1883">
        <v>0</v>
      </c>
      <c r="G1883">
        <v>0</v>
      </c>
      <c r="H1883">
        <v>7.6</v>
      </c>
      <c r="I1883">
        <v>1.65</v>
      </c>
      <c r="J1883">
        <v>2</v>
      </c>
      <c r="L1883" t="s">
        <v>2709</v>
      </c>
      <c r="M1883">
        <v>28372012</v>
      </c>
      <c r="O1883" t="s">
        <v>19926</v>
      </c>
      <c r="P1883" t="s">
        <v>19900</v>
      </c>
      <c r="Q1883" t="s">
        <v>19900</v>
      </c>
      <c r="R1883" t="s">
        <v>19905</v>
      </c>
      <c r="S1883" t="s">
        <v>19906</v>
      </c>
      <c r="T1883" t="s">
        <v>19901</v>
      </c>
    </row>
    <row r="1884" spans="2:20" x14ac:dyDescent="0.25">
      <c r="B1884" t="s">
        <v>2709</v>
      </c>
      <c r="C1884">
        <v>28372019</v>
      </c>
      <c r="E1884">
        <v>177.19</v>
      </c>
      <c r="F1884">
        <v>0</v>
      </c>
      <c r="G1884">
        <v>0</v>
      </c>
      <c r="H1884">
        <v>7.6</v>
      </c>
      <c r="I1884">
        <v>1.65</v>
      </c>
      <c r="J1884">
        <v>2</v>
      </c>
      <c r="L1884" t="s">
        <v>2709</v>
      </c>
      <c r="M1884">
        <v>28372019</v>
      </c>
      <c r="O1884" t="s">
        <v>19926</v>
      </c>
      <c r="P1884" t="s">
        <v>19900</v>
      </c>
      <c r="Q1884" t="s">
        <v>19900</v>
      </c>
      <c r="R1884" t="s">
        <v>19905</v>
      </c>
      <c r="S1884" t="s">
        <v>19906</v>
      </c>
      <c r="T1884" t="s">
        <v>19901</v>
      </c>
    </row>
    <row r="1885" spans="2:20" x14ac:dyDescent="0.25">
      <c r="B1885" t="s">
        <v>2709</v>
      </c>
      <c r="C1885">
        <v>28372021</v>
      </c>
      <c r="E1885">
        <v>177.19</v>
      </c>
      <c r="F1885">
        <v>0</v>
      </c>
      <c r="G1885">
        <v>0</v>
      </c>
      <c r="H1885">
        <v>7.6</v>
      </c>
      <c r="I1885">
        <v>1.65</v>
      </c>
      <c r="J1885">
        <v>2</v>
      </c>
      <c r="L1885" t="s">
        <v>2709</v>
      </c>
      <c r="M1885">
        <v>28372021</v>
      </c>
      <c r="O1885" t="s">
        <v>19926</v>
      </c>
      <c r="P1885" t="s">
        <v>19900</v>
      </c>
      <c r="Q1885" t="s">
        <v>19900</v>
      </c>
      <c r="R1885" t="s">
        <v>19905</v>
      </c>
      <c r="S1885" t="s">
        <v>19906</v>
      </c>
      <c r="T1885" t="s">
        <v>19901</v>
      </c>
    </row>
    <row r="1886" spans="2:20" x14ac:dyDescent="0.25">
      <c r="B1886" t="s">
        <v>2709</v>
      </c>
      <c r="C1886">
        <v>28372022</v>
      </c>
      <c r="E1886">
        <v>177.19</v>
      </c>
      <c r="F1886">
        <v>0</v>
      </c>
      <c r="G1886">
        <v>0</v>
      </c>
      <c r="H1886">
        <v>7.6</v>
      </c>
      <c r="I1886">
        <v>1.65</v>
      </c>
      <c r="J1886">
        <v>2</v>
      </c>
      <c r="L1886" t="s">
        <v>2709</v>
      </c>
      <c r="M1886">
        <v>28372022</v>
      </c>
      <c r="O1886" t="s">
        <v>19926</v>
      </c>
      <c r="P1886" t="s">
        <v>19900</v>
      </c>
      <c r="Q1886" t="s">
        <v>19900</v>
      </c>
      <c r="R1886" t="s">
        <v>19905</v>
      </c>
      <c r="S1886" t="s">
        <v>19906</v>
      </c>
      <c r="T1886" t="s">
        <v>19901</v>
      </c>
    </row>
    <row r="1887" spans="2:20" x14ac:dyDescent="0.25">
      <c r="B1887" t="s">
        <v>2709</v>
      </c>
      <c r="C1887">
        <v>28372023</v>
      </c>
      <c r="E1887">
        <v>177.19</v>
      </c>
      <c r="F1887">
        <v>0</v>
      </c>
      <c r="G1887">
        <v>0</v>
      </c>
      <c r="H1887">
        <v>7.6</v>
      </c>
      <c r="I1887">
        <v>1.65</v>
      </c>
      <c r="J1887">
        <v>2</v>
      </c>
      <c r="L1887" t="s">
        <v>2709</v>
      </c>
      <c r="M1887">
        <v>28372023</v>
      </c>
      <c r="O1887" t="s">
        <v>19926</v>
      </c>
      <c r="P1887" t="s">
        <v>19900</v>
      </c>
      <c r="Q1887" t="s">
        <v>19900</v>
      </c>
      <c r="R1887" t="s">
        <v>19905</v>
      </c>
      <c r="S1887" t="s">
        <v>19906</v>
      </c>
      <c r="T1887" t="s">
        <v>19901</v>
      </c>
    </row>
    <row r="1888" spans="2:20" x14ac:dyDescent="0.25">
      <c r="B1888" t="s">
        <v>2709</v>
      </c>
      <c r="C1888">
        <v>28372029</v>
      </c>
      <c r="E1888">
        <v>177.19</v>
      </c>
      <c r="F1888">
        <v>0</v>
      </c>
      <c r="G1888">
        <v>0</v>
      </c>
      <c r="H1888">
        <v>7.6</v>
      </c>
      <c r="I1888">
        <v>1.65</v>
      </c>
      <c r="J1888">
        <v>2</v>
      </c>
      <c r="L1888" t="s">
        <v>2709</v>
      </c>
      <c r="M1888">
        <v>28372029</v>
      </c>
      <c r="O1888" t="s">
        <v>19926</v>
      </c>
      <c r="P1888" t="s">
        <v>19900</v>
      </c>
      <c r="Q1888" t="s">
        <v>19900</v>
      </c>
      <c r="R1888" t="s">
        <v>19905</v>
      </c>
      <c r="S1888" t="s">
        <v>19906</v>
      </c>
      <c r="T1888" t="s">
        <v>19901</v>
      </c>
    </row>
    <row r="1889" spans="2:20" x14ac:dyDescent="0.25">
      <c r="B1889" t="s">
        <v>2709</v>
      </c>
      <c r="C1889">
        <v>28372090</v>
      </c>
      <c r="E1889">
        <v>177.19</v>
      </c>
      <c r="F1889">
        <v>0</v>
      </c>
      <c r="G1889">
        <v>0</v>
      </c>
      <c r="H1889">
        <v>7.6</v>
      </c>
      <c r="I1889">
        <v>1.65</v>
      </c>
      <c r="J1889">
        <v>2</v>
      </c>
      <c r="L1889" t="s">
        <v>2709</v>
      </c>
      <c r="M1889">
        <v>28372090</v>
      </c>
      <c r="O1889" t="s">
        <v>19926</v>
      </c>
      <c r="P1889" t="s">
        <v>19900</v>
      </c>
      <c r="Q1889" t="s">
        <v>19900</v>
      </c>
      <c r="R1889" t="s">
        <v>19905</v>
      </c>
      <c r="S1889" t="s">
        <v>19906</v>
      </c>
      <c r="T1889" t="s">
        <v>19901</v>
      </c>
    </row>
    <row r="1890" spans="2:20" x14ac:dyDescent="0.25">
      <c r="B1890" t="s">
        <v>2709</v>
      </c>
      <c r="C1890">
        <v>28391100</v>
      </c>
      <c r="E1890">
        <v>177.19</v>
      </c>
      <c r="F1890">
        <v>0</v>
      </c>
      <c r="G1890">
        <v>0</v>
      </c>
      <c r="H1890">
        <v>7.6</v>
      </c>
      <c r="I1890">
        <v>1.65</v>
      </c>
      <c r="J1890">
        <v>10</v>
      </c>
      <c r="L1890" t="s">
        <v>2709</v>
      </c>
      <c r="M1890">
        <v>28391100</v>
      </c>
      <c r="O1890" t="s">
        <v>19926</v>
      </c>
      <c r="P1890" t="s">
        <v>19900</v>
      </c>
      <c r="Q1890" t="s">
        <v>19900</v>
      </c>
      <c r="R1890" t="s">
        <v>19905</v>
      </c>
      <c r="S1890" t="s">
        <v>19906</v>
      </c>
      <c r="T1890" t="s">
        <v>19904</v>
      </c>
    </row>
    <row r="1891" spans="2:20" x14ac:dyDescent="0.25">
      <c r="B1891" t="s">
        <v>2709</v>
      </c>
      <c r="C1891">
        <v>28391900</v>
      </c>
      <c r="E1891">
        <v>177.19</v>
      </c>
      <c r="F1891">
        <v>0</v>
      </c>
      <c r="G1891">
        <v>0</v>
      </c>
      <c r="H1891">
        <v>7.6</v>
      </c>
      <c r="I1891">
        <v>1.65</v>
      </c>
      <c r="J1891">
        <v>10</v>
      </c>
      <c r="L1891" t="s">
        <v>2709</v>
      </c>
      <c r="M1891">
        <v>28391900</v>
      </c>
      <c r="O1891" t="s">
        <v>19926</v>
      </c>
      <c r="P1891" t="s">
        <v>19900</v>
      </c>
      <c r="Q1891" t="s">
        <v>19900</v>
      </c>
      <c r="R1891" t="s">
        <v>19905</v>
      </c>
      <c r="S1891" t="s">
        <v>19906</v>
      </c>
      <c r="T1891" t="s">
        <v>19904</v>
      </c>
    </row>
    <row r="1892" spans="2:20" x14ac:dyDescent="0.25">
      <c r="B1892" t="s">
        <v>2709</v>
      </c>
      <c r="C1892">
        <v>28399010</v>
      </c>
      <c r="E1892">
        <v>177.19</v>
      </c>
      <c r="F1892">
        <v>0</v>
      </c>
      <c r="G1892">
        <v>0</v>
      </c>
      <c r="H1892">
        <v>7.6</v>
      </c>
      <c r="I1892">
        <v>1.65</v>
      </c>
      <c r="J1892">
        <v>10</v>
      </c>
      <c r="L1892" t="s">
        <v>2709</v>
      </c>
      <c r="M1892">
        <v>28399010</v>
      </c>
      <c r="O1892" t="s">
        <v>19926</v>
      </c>
      <c r="P1892" t="s">
        <v>19900</v>
      </c>
      <c r="Q1892" t="s">
        <v>19900</v>
      </c>
      <c r="R1892" t="s">
        <v>19905</v>
      </c>
      <c r="S1892" t="s">
        <v>19906</v>
      </c>
      <c r="T1892" t="s">
        <v>19904</v>
      </c>
    </row>
    <row r="1893" spans="2:20" x14ac:dyDescent="0.25">
      <c r="B1893" t="s">
        <v>2709</v>
      </c>
      <c r="C1893">
        <v>28399020</v>
      </c>
      <c r="E1893">
        <v>177.19</v>
      </c>
      <c r="F1893">
        <v>0</v>
      </c>
      <c r="G1893">
        <v>0</v>
      </c>
      <c r="H1893">
        <v>7.6</v>
      </c>
      <c r="I1893">
        <v>1.65</v>
      </c>
      <c r="J1893">
        <v>10</v>
      </c>
      <c r="L1893" t="s">
        <v>2709</v>
      </c>
      <c r="M1893">
        <v>28399020</v>
      </c>
      <c r="O1893" t="s">
        <v>19926</v>
      </c>
      <c r="P1893" t="s">
        <v>19900</v>
      </c>
      <c r="Q1893" t="s">
        <v>19900</v>
      </c>
      <c r="R1893" t="s">
        <v>19905</v>
      </c>
      <c r="S1893" t="s">
        <v>19906</v>
      </c>
      <c r="T1893" t="s">
        <v>19904</v>
      </c>
    </row>
    <row r="1894" spans="2:20" x14ac:dyDescent="0.25">
      <c r="B1894" t="s">
        <v>2709</v>
      </c>
      <c r="C1894">
        <v>28399030</v>
      </c>
      <c r="E1894">
        <v>177.19</v>
      </c>
      <c r="F1894">
        <v>0</v>
      </c>
      <c r="G1894">
        <v>0</v>
      </c>
      <c r="H1894">
        <v>7.6</v>
      </c>
      <c r="I1894">
        <v>1.65</v>
      </c>
      <c r="J1894">
        <v>10</v>
      </c>
      <c r="L1894" t="s">
        <v>2709</v>
      </c>
      <c r="M1894">
        <v>28399030</v>
      </c>
      <c r="O1894" t="s">
        <v>19926</v>
      </c>
      <c r="P1894" t="s">
        <v>19900</v>
      </c>
      <c r="Q1894" t="s">
        <v>19900</v>
      </c>
      <c r="R1894" t="s">
        <v>19905</v>
      </c>
      <c r="S1894" t="s">
        <v>19906</v>
      </c>
      <c r="T1894" t="s">
        <v>19904</v>
      </c>
    </row>
    <row r="1895" spans="2:20" x14ac:dyDescent="0.25">
      <c r="B1895" t="s">
        <v>2709</v>
      </c>
      <c r="C1895">
        <v>28399040</v>
      </c>
      <c r="E1895">
        <v>177.19</v>
      </c>
      <c r="F1895">
        <v>0</v>
      </c>
      <c r="G1895">
        <v>0</v>
      </c>
      <c r="H1895">
        <v>7.6</v>
      </c>
      <c r="I1895">
        <v>1.65</v>
      </c>
      <c r="J1895">
        <v>10</v>
      </c>
      <c r="L1895" t="s">
        <v>2709</v>
      </c>
      <c r="M1895">
        <v>28399040</v>
      </c>
      <c r="O1895" t="s">
        <v>19926</v>
      </c>
      <c r="P1895" t="s">
        <v>19900</v>
      </c>
      <c r="Q1895" t="s">
        <v>19900</v>
      </c>
      <c r="R1895" t="s">
        <v>19905</v>
      </c>
      <c r="S1895" t="s">
        <v>19906</v>
      </c>
      <c r="T1895" t="s">
        <v>19904</v>
      </c>
    </row>
    <row r="1896" spans="2:20" x14ac:dyDescent="0.25">
      <c r="B1896" t="s">
        <v>2709</v>
      </c>
      <c r="C1896">
        <v>28399050</v>
      </c>
      <c r="E1896">
        <v>177.19</v>
      </c>
      <c r="F1896">
        <v>0</v>
      </c>
      <c r="G1896">
        <v>0</v>
      </c>
      <c r="H1896">
        <v>7.6</v>
      </c>
      <c r="I1896">
        <v>1.65</v>
      </c>
      <c r="J1896">
        <v>10</v>
      </c>
      <c r="L1896" t="s">
        <v>2709</v>
      </c>
      <c r="M1896">
        <v>28399050</v>
      </c>
      <c r="O1896" t="s">
        <v>19926</v>
      </c>
      <c r="P1896" t="s">
        <v>19900</v>
      </c>
      <c r="Q1896" t="s">
        <v>19900</v>
      </c>
      <c r="R1896" t="s">
        <v>19905</v>
      </c>
      <c r="S1896" t="s">
        <v>19906</v>
      </c>
      <c r="T1896" t="s">
        <v>19904</v>
      </c>
    </row>
    <row r="1897" spans="2:20" x14ac:dyDescent="0.25">
      <c r="B1897" t="s">
        <v>2709</v>
      </c>
      <c r="C1897">
        <v>28399090</v>
      </c>
      <c r="E1897">
        <v>177.19</v>
      </c>
      <c r="F1897">
        <v>0</v>
      </c>
      <c r="G1897">
        <v>0</v>
      </c>
      <c r="H1897">
        <v>7.6</v>
      </c>
      <c r="I1897">
        <v>1.65</v>
      </c>
      <c r="J1897">
        <v>2</v>
      </c>
      <c r="L1897" t="s">
        <v>2709</v>
      </c>
      <c r="M1897">
        <v>28399090</v>
      </c>
      <c r="O1897" t="s">
        <v>19926</v>
      </c>
      <c r="P1897" t="s">
        <v>19900</v>
      </c>
      <c r="Q1897" t="s">
        <v>19900</v>
      </c>
      <c r="R1897" t="s">
        <v>19905</v>
      </c>
      <c r="S1897" t="s">
        <v>19906</v>
      </c>
      <c r="T1897" t="s">
        <v>19901</v>
      </c>
    </row>
    <row r="1898" spans="2:20" x14ac:dyDescent="0.25">
      <c r="B1898" t="s">
        <v>2709</v>
      </c>
      <c r="C1898">
        <v>28401100</v>
      </c>
      <c r="E1898">
        <v>177.19</v>
      </c>
      <c r="F1898">
        <v>0</v>
      </c>
      <c r="G1898">
        <v>0</v>
      </c>
      <c r="H1898">
        <v>7.6</v>
      </c>
      <c r="I1898">
        <v>1.65</v>
      </c>
      <c r="J1898">
        <v>10</v>
      </c>
      <c r="L1898" t="s">
        <v>2709</v>
      </c>
      <c r="M1898">
        <v>28401100</v>
      </c>
      <c r="O1898" t="s">
        <v>19926</v>
      </c>
      <c r="P1898" t="s">
        <v>19900</v>
      </c>
      <c r="Q1898" t="s">
        <v>19900</v>
      </c>
      <c r="R1898" t="s">
        <v>19905</v>
      </c>
      <c r="S1898" t="s">
        <v>19906</v>
      </c>
      <c r="T1898" t="s">
        <v>19904</v>
      </c>
    </row>
    <row r="1899" spans="2:20" x14ac:dyDescent="0.25">
      <c r="B1899" t="s">
        <v>2709</v>
      </c>
      <c r="C1899">
        <v>28401900</v>
      </c>
      <c r="E1899">
        <v>177.19</v>
      </c>
      <c r="F1899">
        <v>0</v>
      </c>
      <c r="G1899">
        <v>0</v>
      </c>
      <c r="H1899">
        <v>7.6</v>
      </c>
      <c r="I1899">
        <v>1.65</v>
      </c>
      <c r="J1899">
        <v>10</v>
      </c>
      <c r="L1899" t="s">
        <v>2709</v>
      </c>
      <c r="M1899">
        <v>28401900</v>
      </c>
      <c r="O1899" t="s">
        <v>19926</v>
      </c>
      <c r="P1899" t="s">
        <v>19900</v>
      </c>
      <c r="Q1899" t="s">
        <v>19900</v>
      </c>
      <c r="R1899" t="s">
        <v>19905</v>
      </c>
      <c r="S1899" t="s">
        <v>19906</v>
      </c>
      <c r="T1899" t="s">
        <v>19904</v>
      </c>
    </row>
    <row r="1900" spans="2:20" x14ac:dyDescent="0.25">
      <c r="B1900" t="s">
        <v>2709</v>
      </c>
      <c r="C1900">
        <v>28402000</v>
      </c>
      <c r="E1900">
        <v>177.19</v>
      </c>
      <c r="F1900">
        <v>0</v>
      </c>
      <c r="G1900">
        <v>0</v>
      </c>
      <c r="H1900">
        <v>7.6</v>
      </c>
      <c r="I1900">
        <v>1.65</v>
      </c>
      <c r="J1900">
        <v>10</v>
      </c>
      <c r="L1900" t="s">
        <v>2709</v>
      </c>
      <c r="M1900">
        <v>28402000</v>
      </c>
      <c r="O1900" t="s">
        <v>19926</v>
      </c>
      <c r="P1900" t="s">
        <v>19900</v>
      </c>
      <c r="Q1900" t="s">
        <v>19900</v>
      </c>
      <c r="R1900" t="s">
        <v>19905</v>
      </c>
      <c r="S1900" t="s">
        <v>19906</v>
      </c>
      <c r="T1900" t="s">
        <v>19904</v>
      </c>
    </row>
    <row r="1901" spans="2:20" x14ac:dyDescent="0.25">
      <c r="B1901" t="s">
        <v>2709</v>
      </c>
      <c r="C1901">
        <v>28403000</v>
      </c>
      <c r="E1901">
        <v>177.19</v>
      </c>
      <c r="F1901">
        <v>0</v>
      </c>
      <c r="G1901">
        <v>0</v>
      </c>
      <c r="H1901">
        <v>7.6</v>
      </c>
      <c r="I1901">
        <v>1.65</v>
      </c>
      <c r="J1901">
        <v>2</v>
      </c>
      <c r="L1901" t="s">
        <v>2709</v>
      </c>
      <c r="M1901">
        <v>28403000</v>
      </c>
      <c r="O1901" t="s">
        <v>19926</v>
      </c>
      <c r="P1901" t="s">
        <v>19900</v>
      </c>
      <c r="Q1901" t="s">
        <v>19900</v>
      </c>
      <c r="R1901" t="s">
        <v>19905</v>
      </c>
      <c r="S1901" t="s">
        <v>19906</v>
      </c>
      <c r="T1901" t="s">
        <v>19901</v>
      </c>
    </row>
    <row r="1902" spans="2:20" x14ac:dyDescent="0.25">
      <c r="B1902" t="s">
        <v>2709</v>
      </c>
      <c r="C1902">
        <v>28413000</v>
      </c>
      <c r="E1902">
        <v>177.19</v>
      </c>
      <c r="F1902">
        <v>0</v>
      </c>
      <c r="G1902">
        <v>0</v>
      </c>
      <c r="H1902">
        <v>7.6</v>
      </c>
      <c r="I1902">
        <v>1.65</v>
      </c>
      <c r="J1902">
        <v>2</v>
      </c>
      <c r="L1902" t="s">
        <v>2709</v>
      </c>
      <c r="M1902">
        <v>28413000</v>
      </c>
      <c r="O1902" t="s">
        <v>19926</v>
      </c>
      <c r="P1902" t="s">
        <v>19900</v>
      </c>
      <c r="Q1902" t="s">
        <v>19900</v>
      </c>
      <c r="R1902" t="s">
        <v>19905</v>
      </c>
      <c r="S1902" t="s">
        <v>19906</v>
      </c>
      <c r="T1902" t="s">
        <v>19901</v>
      </c>
    </row>
    <row r="1903" spans="2:20" x14ac:dyDescent="0.25">
      <c r="B1903" t="s">
        <v>2709</v>
      </c>
      <c r="C1903">
        <v>28415011</v>
      </c>
      <c r="E1903">
        <v>177.19</v>
      </c>
      <c r="F1903">
        <v>0</v>
      </c>
      <c r="G1903">
        <v>0</v>
      </c>
      <c r="H1903">
        <v>7.6</v>
      </c>
      <c r="I1903">
        <v>1.65</v>
      </c>
      <c r="J1903">
        <v>2</v>
      </c>
      <c r="L1903" t="s">
        <v>2709</v>
      </c>
      <c r="M1903">
        <v>28415011</v>
      </c>
      <c r="O1903" t="s">
        <v>19926</v>
      </c>
      <c r="P1903" t="s">
        <v>19900</v>
      </c>
      <c r="Q1903" t="s">
        <v>19900</v>
      </c>
      <c r="R1903" t="s">
        <v>19905</v>
      </c>
      <c r="S1903" t="s">
        <v>19906</v>
      </c>
      <c r="T1903" t="s">
        <v>19901</v>
      </c>
    </row>
    <row r="1904" spans="2:20" x14ac:dyDescent="0.25">
      <c r="B1904" t="s">
        <v>2709</v>
      </c>
      <c r="C1904">
        <v>28415012</v>
      </c>
      <c r="E1904">
        <v>177.19</v>
      </c>
      <c r="F1904">
        <v>0</v>
      </c>
      <c r="G1904">
        <v>0</v>
      </c>
      <c r="H1904">
        <v>7.6</v>
      </c>
      <c r="I1904">
        <v>1.65</v>
      </c>
      <c r="J1904">
        <v>10</v>
      </c>
      <c r="L1904" t="s">
        <v>2709</v>
      </c>
      <c r="M1904">
        <v>28415012</v>
      </c>
      <c r="O1904" t="s">
        <v>19926</v>
      </c>
      <c r="P1904" t="s">
        <v>19900</v>
      </c>
      <c r="Q1904" t="s">
        <v>19900</v>
      </c>
      <c r="R1904" t="s">
        <v>19905</v>
      </c>
      <c r="S1904" t="s">
        <v>19906</v>
      </c>
      <c r="T1904" t="s">
        <v>19904</v>
      </c>
    </row>
    <row r="1905" spans="2:20" x14ac:dyDescent="0.25">
      <c r="B1905" t="s">
        <v>2709</v>
      </c>
      <c r="C1905">
        <v>28415013</v>
      </c>
      <c r="E1905">
        <v>177.19</v>
      </c>
      <c r="F1905">
        <v>0</v>
      </c>
      <c r="G1905">
        <v>0</v>
      </c>
      <c r="H1905">
        <v>7.6</v>
      </c>
      <c r="I1905">
        <v>1.65</v>
      </c>
      <c r="J1905">
        <v>10</v>
      </c>
      <c r="L1905" t="s">
        <v>2709</v>
      </c>
      <c r="M1905">
        <v>28415013</v>
      </c>
      <c r="O1905" t="s">
        <v>19926</v>
      </c>
      <c r="P1905" t="s">
        <v>19900</v>
      </c>
      <c r="Q1905" t="s">
        <v>19900</v>
      </c>
      <c r="R1905" t="s">
        <v>19905</v>
      </c>
      <c r="S1905" t="s">
        <v>19906</v>
      </c>
      <c r="T1905" t="s">
        <v>19904</v>
      </c>
    </row>
    <row r="1906" spans="2:20" x14ac:dyDescent="0.25">
      <c r="B1906" t="s">
        <v>2709</v>
      </c>
      <c r="C1906">
        <v>28415014</v>
      </c>
      <c r="E1906">
        <v>177.19</v>
      </c>
      <c r="F1906">
        <v>0</v>
      </c>
      <c r="G1906">
        <v>0</v>
      </c>
      <c r="H1906">
        <v>7.6</v>
      </c>
      <c r="I1906">
        <v>1.65</v>
      </c>
      <c r="J1906">
        <v>10</v>
      </c>
      <c r="L1906" t="s">
        <v>2709</v>
      </c>
      <c r="M1906">
        <v>28415014</v>
      </c>
      <c r="O1906" t="s">
        <v>19926</v>
      </c>
      <c r="P1906" t="s">
        <v>19900</v>
      </c>
      <c r="Q1906" t="s">
        <v>19900</v>
      </c>
      <c r="R1906" t="s">
        <v>19905</v>
      </c>
      <c r="S1906" t="s">
        <v>19906</v>
      </c>
      <c r="T1906" t="s">
        <v>19904</v>
      </c>
    </row>
    <row r="1907" spans="2:20" x14ac:dyDescent="0.25">
      <c r="B1907" t="s">
        <v>2709</v>
      </c>
      <c r="C1907">
        <v>28415015</v>
      </c>
      <c r="E1907">
        <v>177.19</v>
      </c>
      <c r="F1907">
        <v>0</v>
      </c>
      <c r="G1907">
        <v>0</v>
      </c>
      <c r="H1907">
        <v>7.6</v>
      </c>
      <c r="I1907">
        <v>1.65</v>
      </c>
      <c r="J1907">
        <v>10</v>
      </c>
      <c r="L1907" t="s">
        <v>2709</v>
      </c>
      <c r="M1907">
        <v>28415015</v>
      </c>
      <c r="O1907" t="s">
        <v>19926</v>
      </c>
      <c r="P1907" t="s">
        <v>19900</v>
      </c>
      <c r="Q1907" t="s">
        <v>19900</v>
      </c>
      <c r="R1907" t="s">
        <v>19905</v>
      </c>
      <c r="S1907" t="s">
        <v>19906</v>
      </c>
      <c r="T1907" t="s">
        <v>19904</v>
      </c>
    </row>
    <row r="1908" spans="2:20" x14ac:dyDescent="0.25">
      <c r="B1908" t="s">
        <v>2709</v>
      </c>
      <c r="C1908">
        <v>28415016</v>
      </c>
      <c r="E1908">
        <v>177.19</v>
      </c>
      <c r="F1908">
        <v>0</v>
      </c>
      <c r="G1908">
        <v>0</v>
      </c>
      <c r="H1908">
        <v>7.6</v>
      </c>
      <c r="I1908">
        <v>1.65</v>
      </c>
      <c r="J1908">
        <v>10</v>
      </c>
      <c r="L1908" t="s">
        <v>2709</v>
      </c>
      <c r="M1908">
        <v>28415016</v>
      </c>
      <c r="O1908" t="s">
        <v>19926</v>
      </c>
      <c r="P1908" t="s">
        <v>19900</v>
      </c>
      <c r="Q1908" t="s">
        <v>19900</v>
      </c>
      <c r="R1908" t="s">
        <v>19905</v>
      </c>
      <c r="S1908" t="s">
        <v>19906</v>
      </c>
      <c r="T1908" t="s">
        <v>19904</v>
      </c>
    </row>
    <row r="1909" spans="2:20" x14ac:dyDescent="0.25">
      <c r="B1909" t="s">
        <v>2709</v>
      </c>
      <c r="C1909">
        <v>28415019</v>
      </c>
      <c r="E1909">
        <v>177.19</v>
      </c>
      <c r="F1909">
        <v>0</v>
      </c>
      <c r="G1909">
        <v>0</v>
      </c>
      <c r="H1909">
        <v>7.6</v>
      </c>
      <c r="I1909">
        <v>1.65</v>
      </c>
      <c r="J1909">
        <v>2</v>
      </c>
      <c r="L1909" t="s">
        <v>2709</v>
      </c>
      <c r="M1909">
        <v>28415019</v>
      </c>
      <c r="O1909" t="s">
        <v>19926</v>
      </c>
      <c r="P1909" t="s">
        <v>19900</v>
      </c>
      <c r="Q1909" t="s">
        <v>19900</v>
      </c>
      <c r="R1909" t="s">
        <v>19905</v>
      </c>
      <c r="S1909" t="s">
        <v>19906</v>
      </c>
      <c r="T1909" t="s">
        <v>19901</v>
      </c>
    </row>
    <row r="1910" spans="2:20" x14ac:dyDescent="0.25">
      <c r="B1910" t="s">
        <v>2709</v>
      </c>
      <c r="C1910">
        <v>28415020</v>
      </c>
      <c r="E1910">
        <v>177.19</v>
      </c>
      <c r="F1910">
        <v>0</v>
      </c>
      <c r="G1910">
        <v>0</v>
      </c>
      <c r="H1910">
        <v>7.6</v>
      </c>
      <c r="I1910">
        <v>1.65</v>
      </c>
      <c r="J1910">
        <v>2</v>
      </c>
      <c r="L1910" t="s">
        <v>2709</v>
      </c>
      <c r="M1910">
        <v>28415020</v>
      </c>
      <c r="O1910" t="s">
        <v>19926</v>
      </c>
      <c r="P1910" t="s">
        <v>19900</v>
      </c>
      <c r="Q1910" t="s">
        <v>19900</v>
      </c>
      <c r="R1910" t="s">
        <v>19905</v>
      </c>
      <c r="S1910" t="s">
        <v>19906</v>
      </c>
      <c r="T1910" t="s">
        <v>19901</v>
      </c>
    </row>
    <row r="1911" spans="2:20" x14ac:dyDescent="0.25">
      <c r="B1911" t="s">
        <v>2709</v>
      </c>
      <c r="C1911">
        <v>28416100</v>
      </c>
      <c r="E1911">
        <v>177.19</v>
      </c>
      <c r="F1911">
        <v>0</v>
      </c>
      <c r="G1911">
        <v>0</v>
      </c>
      <c r="H1911">
        <v>7.6</v>
      </c>
      <c r="I1911">
        <v>1.65</v>
      </c>
      <c r="J1911">
        <v>2</v>
      </c>
      <c r="L1911" t="s">
        <v>2709</v>
      </c>
      <c r="M1911">
        <v>28416100</v>
      </c>
      <c r="O1911" t="s">
        <v>19926</v>
      </c>
      <c r="P1911" t="s">
        <v>19900</v>
      </c>
      <c r="Q1911" t="s">
        <v>19900</v>
      </c>
      <c r="R1911" t="s">
        <v>19905</v>
      </c>
      <c r="S1911" t="s">
        <v>19906</v>
      </c>
      <c r="T1911" t="s">
        <v>19901</v>
      </c>
    </row>
    <row r="1912" spans="2:20" x14ac:dyDescent="0.25">
      <c r="B1912" t="s">
        <v>2709</v>
      </c>
      <c r="C1912">
        <v>28416910</v>
      </c>
      <c r="E1912">
        <v>177.19</v>
      </c>
      <c r="F1912">
        <v>0</v>
      </c>
      <c r="G1912">
        <v>0</v>
      </c>
      <c r="H1912">
        <v>7.6</v>
      </c>
      <c r="I1912">
        <v>1.65</v>
      </c>
      <c r="J1912">
        <v>2</v>
      </c>
      <c r="L1912" t="s">
        <v>2709</v>
      </c>
      <c r="M1912">
        <v>28416910</v>
      </c>
      <c r="O1912" t="s">
        <v>19926</v>
      </c>
      <c r="P1912" t="s">
        <v>19900</v>
      </c>
      <c r="Q1912" t="s">
        <v>19900</v>
      </c>
      <c r="R1912" t="s">
        <v>19905</v>
      </c>
      <c r="S1912" t="s">
        <v>19906</v>
      </c>
      <c r="T1912" t="s">
        <v>19901</v>
      </c>
    </row>
    <row r="1913" spans="2:20" x14ac:dyDescent="0.25">
      <c r="B1913" t="s">
        <v>2709</v>
      </c>
      <c r="C1913">
        <v>28416920</v>
      </c>
      <c r="E1913">
        <v>177.19</v>
      </c>
      <c r="F1913">
        <v>0</v>
      </c>
      <c r="G1913">
        <v>0</v>
      </c>
      <c r="H1913">
        <v>7.6</v>
      </c>
      <c r="I1913">
        <v>1.65</v>
      </c>
      <c r="J1913">
        <v>2</v>
      </c>
      <c r="L1913" t="s">
        <v>2709</v>
      </c>
      <c r="M1913">
        <v>28416920</v>
      </c>
      <c r="O1913" t="s">
        <v>19926</v>
      </c>
      <c r="P1913" t="s">
        <v>19900</v>
      </c>
      <c r="Q1913" t="s">
        <v>19900</v>
      </c>
      <c r="R1913" t="s">
        <v>19905</v>
      </c>
      <c r="S1913" t="s">
        <v>19906</v>
      </c>
      <c r="T1913" t="s">
        <v>19901</v>
      </c>
    </row>
    <row r="1914" spans="2:20" x14ac:dyDescent="0.25">
      <c r="B1914" t="s">
        <v>2709</v>
      </c>
      <c r="C1914">
        <v>28416930</v>
      </c>
      <c r="E1914">
        <v>177.19</v>
      </c>
      <c r="F1914">
        <v>0</v>
      </c>
      <c r="G1914">
        <v>0</v>
      </c>
      <c r="H1914">
        <v>7.6</v>
      </c>
      <c r="I1914">
        <v>1.65</v>
      </c>
      <c r="J1914">
        <v>2</v>
      </c>
      <c r="L1914" t="s">
        <v>2709</v>
      </c>
      <c r="M1914">
        <v>28416930</v>
      </c>
      <c r="O1914" t="s">
        <v>19926</v>
      </c>
      <c r="P1914" t="s">
        <v>19900</v>
      </c>
      <c r="Q1914" t="s">
        <v>19900</v>
      </c>
      <c r="R1914" t="s">
        <v>19905</v>
      </c>
      <c r="S1914" t="s">
        <v>19906</v>
      </c>
      <c r="T1914" t="s">
        <v>19901</v>
      </c>
    </row>
    <row r="1915" spans="2:20" x14ac:dyDescent="0.25">
      <c r="B1915" t="s">
        <v>2709</v>
      </c>
      <c r="C1915">
        <v>28417010</v>
      </c>
      <c r="E1915">
        <v>177.19</v>
      </c>
      <c r="F1915">
        <v>0</v>
      </c>
      <c r="G1915">
        <v>0</v>
      </c>
      <c r="H1915">
        <v>7.6</v>
      </c>
      <c r="I1915">
        <v>1.65</v>
      </c>
      <c r="J1915">
        <v>10</v>
      </c>
      <c r="L1915" t="s">
        <v>2709</v>
      </c>
      <c r="M1915">
        <v>28417010</v>
      </c>
      <c r="O1915" t="s">
        <v>19926</v>
      </c>
      <c r="P1915" t="s">
        <v>19900</v>
      </c>
      <c r="Q1915" t="s">
        <v>19900</v>
      </c>
      <c r="R1915" t="s">
        <v>19905</v>
      </c>
      <c r="S1915" t="s">
        <v>19906</v>
      </c>
      <c r="T1915" t="s">
        <v>19904</v>
      </c>
    </row>
    <row r="1916" spans="2:20" x14ac:dyDescent="0.25">
      <c r="B1916" t="s">
        <v>2709</v>
      </c>
      <c r="C1916">
        <v>28417020</v>
      </c>
      <c r="E1916">
        <v>177.19</v>
      </c>
      <c r="F1916">
        <v>0</v>
      </c>
      <c r="G1916">
        <v>0</v>
      </c>
      <c r="H1916">
        <v>7.6</v>
      </c>
      <c r="I1916">
        <v>1.65</v>
      </c>
      <c r="J1916">
        <v>10</v>
      </c>
      <c r="L1916" t="s">
        <v>2709</v>
      </c>
      <c r="M1916">
        <v>28417020</v>
      </c>
      <c r="O1916" t="s">
        <v>19926</v>
      </c>
      <c r="P1916" t="s">
        <v>19900</v>
      </c>
      <c r="Q1916" t="s">
        <v>19900</v>
      </c>
      <c r="R1916" t="s">
        <v>19905</v>
      </c>
      <c r="S1916" t="s">
        <v>19906</v>
      </c>
      <c r="T1916" t="s">
        <v>19904</v>
      </c>
    </row>
    <row r="1917" spans="2:20" x14ac:dyDescent="0.25">
      <c r="B1917" t="s">
        <v>2709</v>
      </c>
      <c r="C1917">
        <v>28417090</v>
      </c>
      <c r="E1917">
        <v>177.19</v>
      </c>
      <c r="F1917">
        <v>0</v>
      </c>
      <c r="G1917">
        <v>0</v>
      </c>
      <c r="H1917">
        <v>7.6</v>
      </c>
      <c r="I1917">
        <v>1.65</v>
      </c>
      <c r="J1917">
        <v>2</v>
      </c>
      <c r="L1917" t="s">
        <v>2709</v>
      </c>
      <c r="M1917">
        <v>28417090</v>
      </c>
      <c r="O1917" t="s">
        <v>19926</v>
      </c>
      <c r="P1917" t="s">
        <v>19900</v>
      </c>
      <c r="Q1917" t="s">
        <v>19900</v>
      </c>
      <c r="R1917" t="s">
        <v>19905</v>
      </c>
      <c r="S1917" t="s">
        <v>19906</v>
      </c>
      <c r="T1917" t="s">
        <v>19901</v>
      </c>
    </row>
    <row r="1918" spans="2:20" x14ac:dyDescent="0.25">
      <c r="B1918" t="s">
        <v>2709</v>
      </c>
      <c r="C1918">
        <v>28418010</v>
      </c>
      <c r="E1918">
        <v>177.19</v>
      </c>
      <c r="F1918">
        <v>0</v>
      </c>
      <c r="G1918">
        <v>0</v>
      </c>
      <c r="H1918">
        <v>7.6</v>
      </c>
      <c r="I1918">
        <v>1.65</v>
      </c>
      <c r="J1918">
        <v>10</v>
      </c>
      <c r="L1918" t="s">
        <v>2709</v>
      </c>
      <c r="M1918">
        <v>28418010</v>
      </c>
      <c r="O1918" t="s">
        <v>19926</v>
      </c>
      <c r="P1918" t="s">
        <v>19900</v>
      </c>
      <c r="Q1918" t="s">
        <v>19900</v>
      </c>
      <c r="R1918" t="s">
        <v>19905</v>
      </c>
      <c r="S1918" t="s">
        <v>19906</v>
      </c>
      <c r="T1918" t="s">
        <v>19904</v>
      </c>
    </row>
    <row r="1919" spans="2:20" x14ac:dyDescent="0.25">
      <c r="B1919" t="s">
        <v>2709</v>
      </c>
      <c r="C1919">
        <v>28418020</v>
      </c>
      <c r="E1919">
        <v>177.19</v>
      </c>
      <c r="F1919">
        <v>0</v>
      </c>
      <c r="G1919">
        <v>0</v>
      </c>
      <c r="H1919">
        <v>7.6</v>
      </c>
      <c r="I1919">
        <v>1.65</v>
      </c>
      <c r="J1919">
        <v>10</v>
      </c>
      <c r="L1919" t="s">
        <v>2709</v>
      </c>
      <c r="M1919">
        <v>28418020</v>
      </c>
      <c r="O1919" t="s">
        <v>19926</v>
      </c>
      <c r="P1919" t="s">
        <v>19900</v>
      </c>
      <c r="Q1919" t="s">
        <v>19900</v>
      </c>
      <c r="R1919" t="s">
        <v>19905</v>
      </c>
      <c r="S1919" t="s">
        <v>19906</v>
      </c>
      <c r="T1919" t="s">
        <v>19904</v>
      </c>
    </row>
    <row r="1920" spans="2:20" x14ac:dyDescent="0.25">
      <c r="B1920" t="s">
        <v>2709</v>
      </c>
      <c r="C1920">
        <v>28418090</v>
      </c>
      <c r="E1920">
        <v>177.19</v>
      </c>
      <c r="F1920">
        <v>0</v>
      </c>
      <c r="G1920">
        <v>0</v>
      </c>
      <c r="H1920" t="s">
        <v>19447</v>
      </c>
      <c r="I1920" t="s">
        <v>19447</v>
      </c>
      <c r="J1920">
        <v>2</v>
      </c>
      <c r="L1920" t="s">
        <v>2709</v>
      </c>
      <c r="M1920">
        <v>28418090</v>
      </c>
      <c r="O1920" t="s">
        <v>19926</v>
      </c>
      <c r="P1920" t="s">
        <v>19900</v>
      </c>
      <c r="Q1920" t="s">
        <v>19900</v>
      </c>
      <c r="R1920" t="s">
        <v>19447</v>
      </c>
      <c r="S1920" t="s">
        <v>19447</v>
      </c>
      <c r="T1920" t="s">
        <v>19901</v>
      </c>
    </row>
    <row r="1921" spans="2:20" x14ac:dyDescent="0.25">
      <c r="B1921" t="s">
        <v>2709</v>
      </c>
      <c r="C1921">
        <v>28419011</v>
      </c>
      <c r="E1921">
        <v>177.19</v>
      </c>
      <c r="F1921">
        <v>0</v>
      </c>
      <c r="G1921">
        <v>0</v>
      </c>
      <c r="H1921">
        <v>7.6</v>
      </c>
      <c r="I1921">
        <v>1.65</v>
      </c>
      <c r="J1921">
        <v>10</v>
      </c>
      <c r="L1921" t="s">
        <v>2709</v>
      </c>
      <c r="M1921">
        <v>28419011</v>
      </c>
      <c r="O1921" t="s">
        <v>19926</v>
      </c>
      <c r="P1921" t="s">
        <v>19900</v>
      </c>
      <c r="Q1921" t="s">
        <v>19900</v>
      </c>
      <c r="R1921" t="s">
        <v>19905</v>
      </c>
      <c r="S1921" t="s">
        <v>19906</v>
      </c>
      <c r="T1921" t="s">
        <v>19904</v>
      </c>
    </row>
    <row r="1922" spans="2:20" x14ac:dyDescent="0.25">
      <c r="B1922" t="s">
        <v>2709</v>
      </c>
      <c r="C1922">
        <v>28419012</v>
      </c>
      <c r="E1922">
        <v>177.19</v>
      </c>
      <c r="F1922">
        <v>0</v>
      </c>
      <c r="G1922">
        <v>0</v>
      </c>
      <c r="H1922">
        <v>7.6</v>
      </c>
      <c r="I1922">
        <v>1.65</v>
      </c>
      <c r="J1922">
        <v>10</v>
      </c>
      <c r="L1922" t="s">
        <v>2709</v>
      </c>
      <c r="M1922">
        <v>28419012</v>
      </c>
      <c r="O1922" t="s">
        <v>19926</v>
      </c>
      <c r="P1922" t="s">
        <v>19900</v>
      </c>
      <c r="Q1922" t="s">
        <v>19900</v>
      </c>
      <c r="R1922" t="s">
        <v>19905</v>
      </c>
      <c r="S1922" t="s">
        <v>19906</v>
      </c>
      <c r="T1922" t="s">
        <v>19904</v>
      </c>
    </row>
    <row r="1923" spans="2:20" x14ac:dyDescent="0.25">
      <c r="B1923" t="s">
        <v>2709</v>
      </c>
      <c r="C1923">
        <v>28419013</v>
      </c>
      <c r="E1923">
        <v>177.19</v>
      </c>
      <c r="F1923">
        <v>0</v>
      </c>
      <c r="G1923">
        <v>0</v>
      </c>
      <c r="H1923">
        <v>7.6</v>
      </c>
      <c r="I1923">
        <v>1.65</v>
      </c>
      <c r="J1923">
        <v>10</v>
      </c>
      <c r="L1923" t="s">
        <v>2709</v>
      </c>
      <c r="M1923">
        <v>28419013</v>
      </c>
      <c r="O1923" t="s">
        <v>19926</v>
      </c>
      <c r="P1923" t="s">
        <v>19900</v>
      </c>
      <c r="Q1923" t="s">
        <v>19900</v>
      </c>
      <c r="R1923" t="s">
        <v>19905</v>
      </c>
      <c r="S1923" t="s">
        <v>19906</v>
      </c>
      <c r="T1923" t="s">
        <v>19904</v>
      </c>
    </row>
    <row r="1924" spans="2:20" x14ac:dyDescent="0.25">
      <c r="B1924" t="s">
        <v>2709</v>
      </c>
      <c r="C1924">
        <v>28419014</v>
      </c>
      <c r="E1924">
        <v>177.19</v>
      </c>
      <c r="F1924">
        <v>0</v>
      </c>
      <c r="G1924">
        <v>0</v>
      </c>
      <c r="H1924">
        <v>7.6</v>
      </c>
      <c r="I1924">
        <v>1.65</v>
      </c>
      <c r="J1924">
        <v>10</v>
      </c>
      <c r="L1924" t="s">
        <v>2709</v>
      </c>
      <c r="M1924">
        <v>28419014</v>
      </c>
      <c r="O1924" t="s">
        <v>19926</v>
      </c>
      <c r="P1924" t="s">
        <v>19900</v>
      </c>
      <c r="Q1924" t="s">
        <v>19900</v>
      </c>
      <c r="R1924" t="s">
        <v>19905</v>
      </c>
      <c r="S1924" t="s">
        <v>19906</v>
      </c>
      <c r="T1924" t="s">
        <v>19904</v>
      </c>
    </row>
    <row r="1925" spans="2:20" x14ac:dyDescent="0.25">
      <c r="B1925" t="s">
        <v>2709</v>
      </c>
      <c r="C1925">
        <v>28419015</v>
      </c>
      <c r="E1925">
        <v>177.19</v>
      </c>
      <c r="F1925">
        <v>0</v>
      </c>
      <c r="G1925">
        <v>0</v>
      </c>
      <c r="H1925">
        <v>7.6</v>
      </c>
      <c r="I1925">
        <v>1.65</v>
      </c>
      <c r="J1925">
        <v>10</v>
      </c>
      <c r="L1925" t="s">
        <v>2709</v>
      </c>
      <c r="M1925">
        <v>28419015</v>
      </c>
      <c r="O1925" t="s">
        <v>19926</v>
      </c>
      <c r="P1925" t="s">
        <v>19900</v>
      </c>
      <c r="Q1925" t="s">
        <v>19900</v>
      </c>
      <c r="R1925" t="s">
        <v>19905</v>
      </c>
      <c r="S1925" t="s">
        <v>19906</v>
      </c>
      <c r="T1925" t="s">
        <v>19904</v>
      </c>
    </row>
    <row r="1926" spans="2:20" x14ac:dyDescent="0.25">
      <c r="B1926" t="s">
        <v>2709</v>
      </c>
      <c r="C1926">
        <v>28419019</v>
      </c>
      <c r="E1926">
        <v>177.19</v>
      </c>
      <c r="F1926">
        <v>0</v>
      </c>
      <c r="G1926">
        <v>0</v>
      </c>
      <c r="H1926">
        <v>7.6</v>
      </c>
      <c r="I1926">
        <v>1.65</v>
      </c>
      <c r="J1926">
        <v>2</v>
      </c>
      <c r="L1926" t="s">
        <v>2709</v>
      </c>
      <c r="M1926">
        <v>28419019</v>
      </c>
      <c r="O1926" t="s">
        <v>19926</v>
      </c>
      <c r="P1926" t="s">
        <v>19900</v>
      </c>
      <c r="Q1926" t="s">
        <v>19900</v>
      </c>
      <c r="R1926" t="s">
        <v>19905</v>
      </c>
      <c r="S1926" t="s">
        <v>19906</v>
      </c>
      <c r="T1926" t="s">
        <v>19901</v>
      </c>
    </row>
    <row r="1927" spans="2:20" x14ac:dyDescent="0.25">
      <c r="B1927" t="s">
        <v>2709</v>
      </c>
      <c r="C1927">
        <v>28419021</v>
      </c>
      <c r="E1927">
        <v>177.19</v>
      </c>
      <c r="F1927">
        <v>0</v>
      </c>
      <c r="G1927">
        <v>0</v>
      </c>
      <c r="H1927">
        <v>7.6</v>
      </c>
      <c r="I1927">
        <v>1.65</v>
      </c>
      <c r="J1927">
        <v>10</v>
      </c>
      <c r="L1927" t="s">
        <v>2709</v>
      </c>
      <c r="M1927">
        <v>28419021</v>
      </c>
      <c r="O1927" t="s">
        <v>19926</v>
      </c>
      <c r="P1927" t="s">
        <v>19900</v>
      </c>
      <c r="Q1927" t="s">
        <v>19900</v>
      </c>
      <c r="R1927" t="s">
        <v>19905</v>
      </c>
      <c r="S1927" t="s">
        <v>19906</v>
      </c>
      <c r="T1927" t="s">
        <v>19904</v>
      </c>
    </row>
    <row r="1928" spans="2:20" x14ac:dyDescent="0.25">
      <c r="B1928" t="s">
        <v>2709</v>
      </c>
      <c r="C1928">
        <v>28419022</v>
      </c>
      <c r="E1928">
        <v>177.19</v>
      </c>
      <c r="F1928">
        <v>0</v>
      </c>
      <c r="G1928">
        <v>0</v>
      </c>
      <c r="H1928">
        <v>7.6</v>
      </c>
      <c r="I1928">
        <v>1.65</v>
      </c>
      <c r="J1928">
        <v>10</v>
      </c>
      <c r="L1928" t="s">
        <v>2709</v>
      </c>
      <c r="M1928">
        <v>28419022</v>
      </c>
      <c r="O1928" t="s">
        <v>19926</v>
      </c>
      <c r="P1928" t="s">
        <v>19900</v>
      </c>
      <c r="Q1928" t="s">
        <v>19900</v>
      </c>
      <c r="R1928" t="s">
        <v>19905</v>
      </c>
      <c r="S1928" t="s">
        <v>19906</v>
      </c>
      <c r="T1928" t="s">
        <v>19904</v>
      </c>
    </row>
    <row r="1929" spans="2:20" x14ac:dyDescent="0.25">
      <c r="B1929" t="s">
        <v>2709</v>
      </c>
      <c r="C1929">
        <v>28419029</v>
      </c>
      <c r="E1929">
        <v>177.19</v>
      </c>
      <c r="F1929">
        <v>0</v>
      </c>
      <c r="G1929">
        <v>0</v>
      </c>
      <c r="H1929">
        <v>7.6</v>
      </c>
      <c r="I1929">
        <v>1.65</v>
      </c>
      <c r="J1929">
        <v>2</v>
      </c>
      <c r="L1929" t="s">
        <v>2709</v>
      </c>
      <c r="M1929">
        <v>28419029</v>
      </c>
      <c r="O1929" t="s">
        <v>19926</v>
      </c>
      <c r="P1929" t="s">
        <v>19900</v>
      </c>
      <c r="Q1929" t="s">
        <v>19900</v>
      </c>
      <c r="R1929" t="s">
        <v>19905</v>
      </c>
      <c r="S1929" t="s">
        <v>19906</v>
      </c>
      <c r="T1929" t="s">
        <v>19901</v>
      </c>
    </row>
    <row r="1930" spans="2:20" x14ac:dyDescent="0.25">
      <c r="B1930" t="s">
        <v>2709</v>
      </c>
      <c r="C1930">
        <v>28419030</v>
      </c>
      <c r="E1930">
        <v>177.19</v>
      </c>
      <c r="F1930">
        <v>0</v>
      </c>
      <c r="G1930">
        <v>0</v>
      </c>
      <c r="H1930">
        <v>7.6</v>
      </c>
      <c r="I1930">
        <v>1.65</v>
      </c>
      <c r="J1930">
        <v>2</v>
      </c>
      <c r="L1930" t="s">
        <v>2709</v>
      </c>
      <c r="M1930">
        <v>28419030</v>
      </c>
      <c r="O1930" t="s">
        <v>19926</v>
      </c>
      <c r="P1930" t="s">
        <v>19900</v>
      </c>
      <c r="Q1930" t="s">
        <v>19900</v>
      </c>
      <c r="R1930" t="s">
        <v>19905</v>
      </c>
      <c r="S1930" t="s">
        <v>19906</v>
      </c>
      <c r="T1930" t="s">
        <v>19901</v>
      </c>
    </row>
    <row r="1931" spans="2:20" x14ac:dyDescent="0.25">
      <c r="B1931" t="s">
        <v>2709</v>
      </c>
      <c r="C1931">
        <v>28419041</v>
      </c>
      <c r="E1931">
        <v>177.19</v>
      </c>
      <c r="F1931">
        <v>0</v>
      </c>
      <c r="G1931">
        <v>0</v>
      </c>
      <c r="H1931">
        <v>7.6</v>
      </c>
      <c r="I1931">
        <v>1.65</v>
      </c>
      <c r="J1931">
        <v>10</v>
      </c>
      <c r="L1931" t="s">
        <v>2709</v>
      </c>
      <c r="M1931">
        <v>28419041</v>
      </c>
      <c r="O1931" t="s">
        <v>19926</v>
      </c>
      <c r="P1931" t="s">
        <v>19900</v>
      </c>
      <c r="Q1931" t="s">
        <v>19900</v>
      </c>
      <c r="R1931" t="s">
        <v>19905</v>
      </c>
      <c r="S1931" t="s">
        <v>19906</v>
      </c>
      <c r="T1931" t="s">
        <v>19904</v>
      </c>
    </row>
    <row r="1932" spans="2:20" x14ac:dyDescent="0.25">
      <c r="B1932" t="s">
        <v>2709</v>
      </c>
      <c r="C1932">
        <v>28419042</v>
      </c>
      <c r="E1932">
        <v>177.19</v>
      </c>
      <c r="F1932">
        <v>0</v>
      </c>
      <c r="G1932">
        <v>0</v>
      </c>
      <c r="H1932">
        <v>7.6</v>
      </c>
      <c r="I1932">
        <v>1.65</v>
      </c>
      <c r="J1932">
        <v>10</v>
      </c>
      <c r="L1932" t="s">
        <v>2709</v>
      </c>
      <c r="M1932">
        <v>28419042</v>
      </c>
      <c r="O1932" t="s">
        <v>19926</v>
      </c>
      <c r="P1932" t="s">
        <v>19900</v>
      </c>
      <c r="Q1932" t="s">
        <v>19900</v>
      </c>
      <c r="R1932" t="s">
        <v>19905</v>
      </c>
      <c r="S1932" t="s">
        <v>19906</v>
      </c>
      <c r="T1932" t="s">
        <v>19904</v>
      </c>
    </row>
    <row r="1933" spans="2:20" x14ac:dyDescent="0.25">
      <c r="B1933" t="s">
        <v>2709</v>
      </c>
      <c r="C1933">
        <v>28419043</v>
      </c>
      <c r="E1933">
        <v>177.19</v>
      </c>
      <c r="F1933">
        <v>0</v>
      </c>
      <c r="G1933">
        <v>0</v>
      </c>
      <c r="H1933">
        <v>7.6</v>
      </c>
      <c r="I1933">
        <v>1.65</v>
      </c>
      <c r="J1933">
        <v>10</v>
      </c>
      <c r="L1933" t="s">
        <v>2709</v>
      </c>
      <c r="M1933">
        <v>28419043</v>
      </c>
      <c r="O1933" t="s">
        <v>19926</v>
      </c>
      <c r="P1933" t="s">
        <v>19900</v>
      </c>
      <c r="Q1933" t="s">
        <v>19900</v>
      </c>
      <c r="R1933" t="s">
        <v>19905</v>
      </c>
      <c r="S1933" t="s">
        <v>19906</v>
      </c>
      <c r="T1933" t="s">
        <v>19904</v>
      </c>
    </row>
    <row r="1934" spans="2:20" x14ac:dyDescent="0.25">
      <c r="B1934" t="s">
        <v>2709</v>
      </c>
      <c r="C1934">
        <v>28419049</v>
      </c>
      <c r="E1934">
        <v>177.19</v>
      </c>
      <c r="F1934">
        <v>0</v>
      </c>
      <c r="G1934">
        <v>0</v>
      </c>
      <c r="H1934">
        <v>7.6</v>
      </c>
      <c r="I1934">
        <v>1.65</v>
      </c>
      <c r="J1934">
        <v>2</v>
      </c>
      <c r="L1934" t="s">
        <v>2709</v>
      </c>
      <c r="M1934">
        <v>28419049</v>
      </c>
      <c r="O1934" t="s">
        <v>19926</v>
      </c>
      <c r="P1934" t="s">
        <v>19900</v>
      </c>
      <c r="Q1934" t="s">
        <v>19900</v>
      </c>
      <c r="R1934" t="s">
        <v>19905</v>
      </c>
      <c r="S1934" t="s">
        <v>19906</v>
      </c>
      <c r="T1934" t="s">
        <v>19901</v>
      </c>
    </row>
    <row r="1935" spans="2:20" x14ac:dyDescent="0.25">
      <c r="B1935" t="s">
        <v>2709</v>
      </c>
      <c r="C1935">
        <v>28419050</v>
      </c>
      <c r="E1935">
        <v>177.19</v>
      </c>
      <c r="F1935">
        <v>0</v>
      </c>
      <c r="G1935">
        <v>0</v>
      </c>
      <c r="H1935">
        <v>7.6</v>
      </c>
      <c r="I1935">
        <v>1.65</v>
      </c>
      <c r="J1935">
        <v>2</v>
      </c>
      <c r="L1935" t="s">
        <v>2709</v>
      </c>
      <c r="M1935">
        <v>28419050</v>
      </c>
      <c r="O1935" t="s">
        <v>19926</v>
      </c>
      <c r="P1935" t="s">
        <v>19900</v>
      </c>
      <c r="Q1935" t="s">
        <v>19900</v>
      </c>
      <c r="R1935" t="s">
        <v>19905</v>
      </c>
      <c r="S1935" t="s">
        <v>19906</v>
      </c>
      <c r="T1935" t="s">
        <v>19901</v>
      </c>
    </row>
    <row r="1936" spans="2:20" x14ac:dyDescent="0.25">
      <c r="B1936" t="s">
        <v>2709</v>
      </c>
      <c r="C1936">
        <v>28419060</v>
      </c>
      <c r="E1936">
        <v>177.19</v>
      </c>
      <c r="F1936">
        <v>0</v>
      </c>
      <c r="G1936">
        <v>0</v>
      </c>
      <c r="H1936">
        <v>7.6</v>
      </c>
      <c r="I1936">
        <v>1.65</v>
      </c>
      <c r="J1936">
        <v>2</v>
      </c>
      <c r="L1936" t="s">
        <v>2709</v>
      </c>
      <c r="M1936">
        <v>28419060</v>
      </c>
      <c r="O1936" t="s">
        <v>19926</v>
      </c>
      <c r="P1936" t="s">
        <v>19900</v>
      </c>
      <c r="Q1936" t="s">
        <v>19900</v>
      </c>
      <c r="R1936" t="s">
        <v>19905</v>
      </c>
      <c r="S1936" t="s">
        <v>19906</v>
      </c>
      <c r="T1936" t="s">
        <v>19901</v>
      </c>
    </row>
    <row r="1937" spans="2:20" x14ac:dyDescent="0.25">
      <c r="B1937" t="s">
        <v>2709</v>
      </c>
      <c r="C1937">
        <v>28419070</v>
      </c>
      <c r="E1937">
        <v>177.19</v>
      </c>
      <c r="F1937">
        <v>0</v>
      </c>
      <c r="G1937">
        <v>0</v>
      </c>
      <c r="H1937">
        <v>7.6</v>
      </c>
      <c r="I1937">
        <v>1.65</v>
      </c>
      <c r="J1937">
        <v>2</v>
      </c>
      <c r="L1937" t="s">
        <v>2709</v>
      </c>
      <c r="M1937">
        <v>28419070</v>
      </c>
      <c r="O1937" t="s">
        <v>19926</v>
      </c>
      <c r="P1937" t="s">
        <v>19900</v>
      </c>
      <c r="Q1937" t="s">
        <v>19900</v>
      </c>
      <c r="R1937" t="s">
        <v>19905</v>
      </c>
      <c r="S1937" t="s">
        <v>19906</v>
      </c>
      <c r="T1937" t="s">
        <v>19901</v>
      </c>
    </row>
    <row r="1938" spans="2:20" x14ac:dyDescent="0.25">
      <c r="B1938" t="s">
        <v>2709</v>
      </c>
      <c r="C1938">
        <v>28419081</v>
      </c>
      <c r="E1938">
        <v>177.19</v>
      </c>
      <c r="F1938">
        <v>0</v>
      </c>
      <c r="G1938">
        <v>0</v>
      </c>
      <c r="H1938">
        <v>7.6</v>
      </c>
      <c r="I1938">
        <v>1.65</v>
      </c>
      <c r="J1938">
        <v>10</v>
      </c>
      <c r="L1938" t="s">
        <v>2709</v>
      </c>
      <c r="M1938">
        <v>28419081</v>
      </c>
      <c r="O1938" t="s">
        <v>19926</v>
      </c>
      <c r="P1938" t="s">
        <v>19900</v>
      </c>
      <c r="Q1938" t="s">
        <v>19900</v>
      </c>
      <c r="R1938" t="s">
        <v>19905</v>
      </c>
      <c r="S1938" t="s">
        <v>19906</v>
      </c>
      <c r="T1938" t="s">
        <v>19904</v>
      </c>
    </row>
    <row r="1939" spans="2:20" x14ac:dyDescent="0.25">
      <c r="B1939" t="s">
        <v>2709</v>
      </c>
      <c r="C1939">
        <v>28419082</v>
      </c>
      <c r="E1939">
        <v>177.19</v>
      </c>
      <c r="F1939">
        <v>0</v>
      </c>
      <c r="G1939">
        <v>0</v>
      </c>
      <c r="H1939">
        <v>7.6</v>
      </c>
      <c r="I1939">
        <v>1.65</v>
      </c>
      <c r="J1939">
        <v>2</v>
      </c>
      <c r="L1939" t="s">
        <v>2709</v>
      </c>
      <c r="M1939">
        <v>28419082</v>
      </c>
      <c r="O1939" t="s">
        <v>19926</v>
      </c>
      <c r="P1939" t="s">
        <v>19900</v>
      </c>
      <c r="Q1939" t="s">
        <v>19900</v>
      </c>
      <c r="R1939" t="s">
        <v>19905</v>
      </c>
      <c r="S1939" t="s">
        <v>19906</v>
      </c>
      <c r="T1939" t="s">
        <v>19901</v>
      </c>
    </row>
    <row r="1940" spans="2:20" x14ac:dyDescent="0.25">
      <c r="B1940" t="s">
        <v>2709</v>
      </c>
      <c r="C1940">
        <v>28419083</v>
      </c>
      <c r="E1940">
        <v>177.19</v>
      </c>
      <c r="F1940">
        <v>0</v>
      </c>
      <c r="G1940">
        <v>0</v>
      </c>
      <c r="H1940">
        <v>7.6</v>
      </c>
      <c r="I1940">
        <v>1.65</v>
      </c>
      <c r="J1940">
        <v>2</v>
      </c>
      <c r="L1940" t="s">
        <v>2709</v>
      </c>
      <c r="M1940">
        <v>28419083</v>
      </c>
      <c r="O1940" t="s">
        <v>19926</v>
      </c>
      <c r="P1940" t="s">
        <v>19900</v>
      </c>
      <c r="Q1940" t="s">
        <v>19900</v>
      </c>
      <c r="R1940" t="s">
        <v>19905</v>
      </c>
      <c r="S1940" t="s">
        <v>19906</v>
      </c>
      <c r="T1940" t="s">
        <v>19901</v>
      </c>
    </row>
    <row r="1941" spans="2:20" x14ac:dyDescent="0.25">
      <c r="B1941" t="s">
        <v>2709</v>
      </c>
      <c r="C1941">
        <v>28419089</v>
      </c>
      <c r="E1941">
        <v>177.19</v>
      </c>
      <c r="F1941">
        <v>0</v>
      </c>
      <c r="G1941">
        <v>0</v>
      </c>
      <c r="H1941">
        <v>7.6</v>
      </c>
      <c r="I1941">
        <v>1.65</v>
      </c>
      <c r="J1941">
        <v>2</v>
      </c>
      <c r="L1941" t="s">
        <v>2709</v>
      </c>
      <c r="M1941">
        <v>28419089</v>
      </c>
      <c r="O1941" t="s">
        <v>19926</v>
      </c>
      <c r="P1941" t="s">
        <v>19900</v>
      </c>
      <c r="Q1941" t="s">
        <v>19900</v>
      </c>
      <c r="R1941" t="s">
        <v>19905</v>
      </c>
      <c r="S1941" t="s">
        <v>19906</v>
      </c>
      <c r="T1941" t="s">
        <v>19901</v>
      </c>
    </row>
    <row r="1942" spans="2:20" x14ac:dyDescent="0.25">
      <c r="B1942" t="s">
        <v>2709</v>
      </c>
      <c r="C1942">
        <v>28419090</v>
      </c>
      <c r="E1942">
        <v>177.19</v>
      </c>
      <c r="F1942">
        <v>0</v>
      </c>
      <c r="G1942">
        <v>0</v>
      </c>
      <c r="H1942">
        <v>7.6</v>
      </c>
      <c r="I1942">
        <v>1.65</v>
      </c>
      <c r="J1942">
        <v>10</v>
      </c>
      <c r="L1942" t="s">
        <v>2709</v>
      </c>
      <c r="M1942">
        <v>28419090</v>
      </c>
      <c r="O1942" t="s">
        <v>19926</v>
      </c>
      <c r="P1942" t="s">
        <v>19900</v>
      </c>
      <c r="Q1942" t="s">
        <v>19900</v>
      </c>
      <c r="R1942" t="s">
        <v>19905</v>
      </c>
      <c r="S1942" t="s">
        <v>19906</v>
      </c>
      <c r="T1942" t="s">
        <v>19904</v>
      </c>
    </row>
    <row r="1943" spans="2:20" x14ac:dyDescent="0.25">
      <c r="B1943" t="s">
        <v>2709</v>
      </c>
      <c r="C1943">
        <v>28421010</v>
      </c>
      <c r="E1943">
        <v>177.19</v>
      </c>
      <c r="F1943">
        <v>0</v>
      </c>
      <c r="G1943">
        <v>0</v>
      </c>
      <c r="H1943">
        <v>7.6</v>
      </c>
      <c r="I1943">
        <v>1.65</v>
      </c>
      <c r="J1943">
        <v>2</v>
      </c>
      <c r="L1943" t="s">
        <v>2709</v>
      </c>
      <c r="M1943">
        <v>28421010</v>
      </c>
      <c r="O1943" t="s">
        <v>19926</v>
      </c>
      <c r="P1943" t="s">
        <v>19900</v>
      </c>
      <c r="Q1943" t="s">
        <v>19900</v>
      </c>
      <c r="R1943" t="s">
        <v>19905</v>
      </c>
      <c r="S1943" t="s">
        <v>19906</v>
      </c>
      <c r="T1943" t="s">
        <v>19901</v>
      </c>
    </row>
    <row r="1944" spans="2:20" x14ac:dyDescent="0.25">
      <c r="B1944" t="s">
        <v>2709</v>
      </c>
      <c r="C1944">
        <v>28421090</v>
      </c>
      <c r="E1944">
        <v>68.819999999999993</v>
      </c>
      <c r="F1944">
        <v>0</v>
      </c>
      <c r="G1944">
        <v>0</v>
      </c>
      <c r="H1944">
        <v>7.6</v>
      </c>
      <c r="I1944">
        <v>1.65</v>
      </c>
      <c r="J1944">
        <v>10</v>
      </c>
      <c r="L1944" t="s">
        <v>2709</v>
      </c>
      <c r="M1944">
        <v>28421090</v>
      </c>
      <c r="O1944" t="s">
        <v>20028</v>
      </c>
      <c r="P1944" t="s">
        <v>19900</v>
      </c>
      <c r="Q1944" t="s">
        <v>19900</v>
      </c>
      <c r="R1944" t="s">
        <v>19905</v>
      </c>
      <c r="S1944" t="s">
        <v>19906</v>
      </c>
      <c r="T1944" t="s">
        <v>19904</v>
      </c>
    </row>
    <row r="1945" spans="2:20" x14ac:dyDescent="0.25">
      <c r="B1945" t="s">
        <v>2709</v>
      </c>
      <c r="C1945">
        <v>28429000</v>
      </c>
      <c r="E1945">
        <v>177.19</v>
      </c>
      <c r="F1945">
        <v>0</v>
      </c>
      <c r="G1945">
        <v>0</v>
      </c>
      <c r="H1945">
        <v>7.6</v>
      </c>
      <c r="I1945">
        <v>1.65</v>
      </c>
      <c r="J1945">
        <v>2</v>
      </c>
      <c r="L1945" t="s">
        <v>2709</v>
      </c>
      <c r="M1945">
        <v>28429000</v>
      </c>
      <c r="O1945" t="s">
        <v>19926</v>
      </c>
      <c r="P1945" t="s">
        <v>19900</v>
      </c>
      <c r="Q1945" t="s">
        <v>19900</v>
      </c>
      <c r="R1945" t="s">
        <v>19905</v>
      </c>
      <c r="S1945" t="s">
        <v>19906</v>
      </c>
      <c r="T1945" t="s">
        <v>19901</v>
      </c>
    </row>
    <row r="1946" spans="2:20" x14ac:dyDescent="0.25">
      <c r="B1946" t="s">
        <v>2709</v>
      </c>
      <c r="C1946">
        <v>28431000</v>
      </c>
      <c r="E1946">
        <v>177.19</v>
      </c>
      <c r="F1946">
        <v>0</v>
      </c>
      <c r="G1946">
        <v>0</v>
      </c>
      <c r="H1946" t="s">
        <v>19447</v>
      </c>
      <c r="I1946" t="s">
        <v>19447</v>
      </c>
      <c r="J1946">
        <v>10</v>
      </c>
      <c r="L1946" t="s">
        <v>2709</v>
      </c>
      <c r="M1946">
        <v>28431000</v>
      </c>
      <c r="O1946" t="s">
        <v>19926</v>
      </c>
      <c r="P1946" t="s">
        <v>19900</v>
      </c>
      <c r="Q1946" t="s">
        <v>19900</v>
      </c>
      <c r="R1946" t="s">
        <v>19447</v>
      </c>
      <c r="S1946" t="s">
        <v>19447</v>
      </c>
      <c r="T1946" t="s">
        <v>19904</v>
      </c>
    </row>
    <row r="1947" spans="2:20" x14ac:dyDescent="0.25">
      <c r="B1947" t="s">
        <v>2709</v>
      </c>
      <c r="C1947">
        <v>28432100</v>
      </c>
      <c r="E1947">
        <v>177.19</v>
      </c>
      <c r="F1947">
        <v>0</v>
      </c>
      <c r="G1947">
        <v>0</v>
      </c>
      <c r="H1947">
        <v>7.6</v>
      </c>
      <c r="I1947">
        <v>1.65</v>
      </c>
      <c r="J1947">
        <v>10</v>
      </c>
      <c r="L1947" t="s">
        <v>2709</v>
      </c>
      <c r="M1947">
        <v>28432100</v>
      </c>
      <c r="O1947" t="s">
        <v>19926</v>
      </c>
      <c r="P1947" t="s">
        <v>19900</v>
      </c>
      <c r="Q1947" t="s">
        <v>19900</v>
      </c>
      <c r="R1947" t="s">
        <v>19905</v>
      </c>
      <c r="S1947" t="s">
        <v>19906</v>
      </c>
      <c r="T1947" t="s">
        <v>19904</v>
      </c>
    </row>
    <row r="1948" spans="2:20" x14ac:dyDescent="0.25">
      <c r="B1948" t="s">
        <v>2709</v>
      </c>
      <c r="C1948">
        <v>28432910</v>
      </c>
      <c r="E1948">
        <v>177.19</v>
      </c>
      <c r="F1948">
        <v>0</v>
      </c>
      <c r="G1948">
        <v>0</v>
      </c>
      <c r="H1948">
        <v>7.6</v>
      </c>
      <c r="I1948">
        <v>1.65</v>
      </c>
      <c r="J1948">
        <v>2</v>
      </c>
      <c r="L1948" t="s">
        <v>2709</v>
      </c>
      <c r="M1948">
        <v>28432910</v>
      </c>
      <c r="O1948" t="s">
        <v>19926</v>
      </c>
      <c r="P1948" t="s">
        <v>19900</v>
      </c>
      <c r="Q1948" t="s">
        <v>19900</v>
      </c>
      <c r="R1948" t="s">
        <v>19905</v>
      </c>
      <c r="S1948" t="s">
        <v>19906</v>
      </c>
      <c r="T1948" t="s">
        <v>19901</v>
      </c>
    </row>
    <row r="1949" spans="2:20" x14ac:dyDescent="0.25">
      <c r="B1949" t="s">
        <v>2709</v>
      </c>
      <c r="C1949">
        <v>28432990</v>
      </c>
      <c r="E1949">
        <v>177.19</v>
      </c>
      <c r="F1949">
        <v>0</v>
      </c>
      <c r="G1949">
        <v>0</v>
      </c>
      <c r="H1949">
        <v>7.6</v>
      </c>
      <c r="I1949">
        <v>1.65</v>
      </c>
      <c r="J1949">
        <v>10</v>
      </c>
      <c r="L1949" t="s">
        <v>2709</v>
      </c>
      <c r="M1949">
        <v>28432990</v>
      </c>
      <c r="O1949" t="s">
        <v>19926</v>
      </c>
      <c r="P1949" t="s">
        <v>19900</v>
      </c>
      <c r="Q1949" t="s">
        <v>19900</v>
      </c>
      <c r="R1949" t="s">
        <v>19905</v>
      </c>
      <c r="S1949" t="s">
        <v>19906</v>
      </c>
      <c r="T1949" t="s">
        <v>19904</v>
      </c>
    </row>
    <row r="1950" spans="2:20" x14ac:dyDescent="0.25">
      <c r="B1950" t="s">
        <v>2709</v>
      </c>
      <c r="C1950">
        <v>28433010</v>
      </c>
      <c r="E1950">
        <v>177.19</v>
      </c>
      <c r="F1950">
        <v>0</v>
      </c>
      <c r="G1950">
        <v>0</v>
      </c>
      <c r="H1950">
        <v>7.6</v>
      </c>
      <c r="I1950">
        <v>1.65</v>
      </c>
      <c r="J1950">
        <v>2</v>
      </c>
      <c r="L1950" t="s">
        <v>2709</v>
      </c>
      <c r="M1950">
        <v>28433010</v>
      </c>
      <c r="O1950" t="s">
        <v>19926</v>
      </c>
      <c r="P1950" t="s">
        <v>19900</v>
      </c>
      <c r="Q1950" t="s">
        <v>19900</v>
      </c>
      <c r="R1950" t="s">
        <v>19905</v>
      </c>
      <c r="S1950" t="s">
        <v>19906</v>
      </c>
      <c r="T1950" t="s">
        <v>19901</v>
      </c>
    </row>
    <row r="1951" spans="2:20" x14ac:dyDescent="0.25">
      <c r="B1951" t="s">
        <v>2709</v>
      </c>
      <c r="C1951">
        <v>28433090</v>
      </c>
      <c r="E1951">
        <v>177.19</v>
      </c>
      <c r="F1951">
        <v>0</v>
      </c>
      <c r="G1951">
        <v>0</v>
      </c>
      <c r="H1951">
        <v>7.6</v>
      </c>
      <c r="I1951">
        <v>1.65</v>
      </c>
      <c r="J1951">
        <v>10</v>
      </c>
      <c r="L1951" t="s">
        <v>2709</v>
      </c>
      <c r="M1951">
        <v>28433090</v>
      </c>
      <c r="O1951" t="s">
        <v>19926</v>
      </c>
      <c r="P1951" t="s">
        <v>19900</v>
      </c>
      <c r="Q1951" t="s">
        <v>19900</v>
      </c>
      <c r="R1951" t="s">
        <v>19905</v>
      </c>
      <c r="S1951" t="s">
        <v>19906</v>
      </c>
      <c r="T1951" t="s">
        <v>19904</v>
      </c>
    </row>
    <row r="1952" spans="2:20" x14ac:dyDescent="0.25">
      <c r="B1952" t="s">
        <v>2709</v>
      </c>
      <c r="C1952">
        <v>28439011</v>
      </c>
      <c r="E1952">
        <v>177.19</v>
      </c>
      <c r="F1952">
        <v>0</v>
      </c>
      <c r="G1952">
        <v>0</v>
      </c>
      <c r="H1952">
        <v>7.6</v>
      </c>
      <c r="I1952">
        <v>1.65</v>
      </c>
      <c r="J1952">
        <v>0</v>
      </c>
      <c r="L1952" t="s">
        <v>2709</v>
      </c>
      <c r="M1952">
        <v>28439011</v>
      </c>
      <c r="O1952" t="s">
        <v>19926</v>
      </c>
      <c r="P1952" t="s">
        <v>19900</v>
      </c>
      <c r="Q1952" t="s">
        <v>19900</v>
      </c>
      <c r="R1952" t="s">
        <v>19905</v>
      </c>
      <c r="S1952" t="s">
        <v>19906</v>
      </c>
      <c r="T1952" t="s">
        <v>19900</v>
      </c>
    </row>
    <row r="1953" spans="2:20" x14ac:dyDescent="0.25">
      <c r="B1953" t="s">
        <v>2709</v>
      </c>
      <c r="C1953">
        <v>28439019</v>
      </c>
      <c r="E1953">
        <v>177.19</v>
      </c>
      <c r="F1953">
        <v>0</v>
      </c>
      <c r="G1953">
        <v>0</v>
      </c>
      <c r="H1953">
        <v>7.6</v>
      </c>
      <c r="I1953">
        <v>1.65</v>
      </c>
      <c r="J1953">
        <v>2</v>
      </c>
      <c r="L1953" t="s">
        <v>2709</v>
      </c>
      <c r="M1953">
        <v>28439019</v>
      </c>
      <c r="O1953" t="s">
        <v>19926</v>
      </c>
      <c r="P1953" t="s">
        <v>19900</v>
      </c>
      <c r="Q1953" t="s">
        <v>19900</v>
      </c>
      <c r="R1953" t="s">
        <v>19905</v>
      </c>
      <c r="S1953" t="s">
        <v>19906</v>
      </c>
      <c r="T1953" t="s">
        <v>19901</v>
      </c>
    </row>
    <row r="1954" spans="2:20" x14ac:dyDescent="0.25">
      <c r="B1954" t="s">
        <v>2709</v>
      </c>
      <c r="C1954">
        <v>28439090</v>
      </c>
      <c r="E1954">
        <v>177.19</v>
      </c>
      <c r="F1954">
        <v>0</v>
      </c>
      <c r="G1954">
        <v>0</v>
      </c>
      <c r="H1954">
        <v>7.6</v>
      </c>
      <c r="I1954">
        <v>1.65</v>
      </c>
      <c r="J1954">
        <v>10</v>
      </c>
      <c r="L1954" t="s">
        <v>2709</v>
      </c>
      <c r="M1954">
        <v>28439090</v>
      </c>
      <c r="O1954" t="s">
        <v>19926</v>
      </c>
      <c r="P1954" t="s">
        <v>19900</v>
      </c>
      <c r="Q1954" t="s">
        <v>19900</v>
      </c>
      <c r="R1954" t="s">
        <v>19905</v>
      </c>
      <c r="S1954" t="s">
        <v>19906</v>
      </c>
      <c r="T1954" t="s">
        <v>19904</v>
      </c>
    </row>
    <row r="1955" spans="2:20" x14ac:dyDescent="0.25">
      <c r="B1955" t="s">
        <v>2709</v>
      </c>
      <c r="C1955">
        <v>28441000</v>
      </c>
      <c r="E1955">
        <v>177.19</v>
      </c>
      <c r="F1955">
        <v>0</v>
      </c>
      <c r="G1955">
        <v>0</v>
      </c>
      <c r="H1955">
        <v>7.6</v>
      </c>
      <c r="I1955">
        <v>1.65</v>
      </c>
      <c r="J1955">
        <v>2</v>
      </c>
      <c r="L1955" t="s">
        <v>2709</v>
      </c>
      <c r="M1955">
        <v>28441000</v>
      </c>
      <c r="O1955" t="s">
        <v>19926</v>
      </c>
      <c r="P1955" t="s">
        <v>19900</v>
      </c>
      <c r="Q1955" t="s">
        <v>19900</v>
      </c>
      <c r="R1955" t="s">
        <v>19905</v>
      </c>
      <c r="S1955" t="s">
        <v>19906</v>
      </c>
      <c r="T1955" t="s">
        <v>19901</v>
      </c>
    </row>
    <row r="1956" spans="2:20" x14ac:dyDescent="0.25">
      <c r="B1956" t="s">
        <v>2709</v>
      </c>
      <c r="C1956">
        <v>28442000</v>
      </c>
      <c r="E1956">
        <v>177.19</v>
      </c>
      <c r="F1956">
        <v>0</v>
      </c>
      <c r="G1956">
        <v>0</v>
      </c>
      <c r="H1956">
        <v>7.6</v>
      </c>
      <c r="I1956">
        <v>1.65</v>
      </c>
      <c r="J1956">
        <v>2</v>
      </c>
      <c r="L1956" t="s">
        <v>2709</v>
      </c>
      <c r="M1956">
        <v>28442000</v>
      </c>
      <c r="O1956" t="s">
        <v>19926</v>
      </c>
      <c r="P1956" t="s">
        <v>19900</v>
      </c>
      <c r="Q1956" t="s">
        <v>19900</v>
      </c>
      <c r="R1956" t="s">
        <v>19905</v>
      </c>
      <c r="S1956" t="s">
        <v>19906</v>
      </c>
      <c r="T1956" t="s">
        <v>19901</v>
      </c>
    </row>
    <row r="1957" spans="2:20" x14ac:dyDescent="0.25">
      <c r="B1957" t="s">
        <v>2709</v>
      </c>
      <c r="C1957">
        <v>28443000</v>
      </c>
      <c r="E1957">
        <v>177.19</v>
      </c>
      <c r="F1957">
        <v>0</v>
      </c>
      <c r="G1957">
        <v>0</v>
      </c>
      <c r="H1957">
        <v>7.6</v>
      </c>
      <c r="I1957">
        <v>1.65</v>
      </c>
      <c r="J1957">
        <v>2</v>
      </c>
      <c r="L1957" t="s">
        <v>2709</v>
      </c>
      <c r="M1957">
        <v>28443000</v>
      </c>
      <c r="O1957" t="s">
        <v>19926</v>
      </c>
      <c r="P1957" t="s">
        <v>19900</v>
      </c>
      <c r="Q1957" t="s">
        <v>19900</v>
      </c>
      <c r="R1957" t="s">
        <v>19905</v>
      </c>
      <c r="S1957" t="s">
        <v>19906</v>
      </c>
      <c r="T1957" t="s">
        <v>19901</v>
      </c>
    </row>
    <row r="1958" spans="2:20" x14ac:dyDescent="0.25">
      <c r="B1958" t="s">
        <v>2709</v>
      </c>
      <c r="C1958">
        <v>28444010</v>
      </c>
      <c r="E1958">
        <v>177.19</v>
      </c>
      <c r="F1958">
        <v>0</v>
      </c>
      <c r="G1958">
        <v>0</v>
      </c>
      <c r="H1958">
        <v>7.6</v>
      </c>
      <c r="I1958">
        <v>1.65</v>
      </c>
      <c r="J1958">
        <v>10</v>
      </c>
      <c r="L1958" t="s">
        <v>2709</v>
      </c>
      <c r="M1958">
        <v>28444010</v>
      </c>
      <c r="O1958" t="s">
        <v>19926</v>
      </c>
      <c r="P1958" t="s">
        <v>19900</v>
      </c>
      <c r="Q1958" t="s">
        <v>19900</v>
      </c>
      <c r="R1958" t="s">
        <v>19905</v>
      </c>
      <c r="S1958" t="s">
        <v>19906</v>
      </c>
      <c r="T1958" t="s">
        <v>19904</v>
      </c>
    </row>
    <row r="1959" spans="2:20" x14ac:dyDescent="0.25">
      <c r="B1959" t="s">
        <v>2709</v>
      </c>
      <c r="C1959">
        <v>28444020</v>
      </c>
      <c r="E1959">
        <v>177.19</v>
      </c>
      <c r="F1959">
        <v>0</v>
      </c>
      <c r="G1959">
        <v>0</v>
      </c>
      <c r="H1959">
        <v>7.6</v>
      </c>
      <c r="I1959">
        <v>1.65</v>
      </c>
      <c r="J1959">
        <v>2</v>
      </c>
      <c r="L1959" t="s">
        <v>2709</v>
      </c>
      <c r="M1959">
        <v>28444020</v>
      </c>
      <c r="O1959" t="s">
        <v>19926</v>
      </c>
      <c r="P1959" t="s">
        <v>19900</v>
      </c>
      <c r="Q1959" t="s">
        <v>19900</v>
      </c>
      <c r="R1959" t="s">
        <v>19905</v>
      </c>
      <c r="S1959" t="s">
        <v>19906</v>
      </c>
      <c r="T1959" t="s">
        <v>19901</v>
      </c>
    </row>
    <row r="1960" spans="2:20" x14ac:dyDescent="0.25">
      <c r="B1960" t="s">
        <v>2709</v>
      </c>
      <c r="C1960">
        <v>28444030</v>
      </c>
      <c r="E1960">
        <v>177.19</v>
      </c>
      <c r="F1960">
        <v>0</v>
      </c>
      <c r="G1960">
        <v>0</v>
      </c>
      <c r="H1960">
        <v>7.6</v>
      </c>
      <c r="I1960">
        <v>1.65</v>
      </c>
      <c r="J1960">
        <v>10</v>
      </c>
      <c r="L1960" t="s">
        <v>2709</v>
      </c>
      <c r="M1960">
        <v>28444030</v>
      </c>
      <c r="O1960" t="s">
        <v>19926</v>
      </c>
      <c r="P1960" t="s">
        <v>19900</v>
      </c>
      <c r="Q1960" t="s">
        <v>19900</v>
      </c>
      <c r="R1960" t="s">
        <v>19905</v>
      </c>
      <c r="S1960" t="s">
        <v>19906</v>
      </c>
      <c r="T1960" t="s">
        <v>19904</v>
      </c>
    </row>
    <row r="1961" spans="2:20" x14ac:dyDescent="0.25">
      <c r="B1961" t="s">
        <v>2709</v>
      </c>
      <c r="C1961">
        <v>28444090</v>
      </c>
      <c r="E1961">
        <v>177.19</v>
      </c>
      <c r="F1961">
        <v>0</v>
      </c>
      <c r="G1961">
        <v>0</v>
      </c>
      <c r="H1961">
        <v>7.6</v>
      </c>
      <c r="I1961">
        <v>1.65</v>
      </c>
      <c r="J1961">
        <v>2</v>
      </c>
      <c r="L1961" t="s">
        <v>2709</v>
      </c>
      <c r="M1961">
        <v>28444090</v>
      </c>
      <c r="O1961" t="s">
        <v>19926</v>
      </c>
      <c r="P1961" t="s">
        <v>19900</v>
      </c>
      <c r="Q1961" t="s">
        <v>19900</v>
      </c>
      <c r="R1961" t="s">
        <v>19905</v>
      </c>
      <c r="S1961" t="s">
        <v>19906</v>
      </c>
      <c r="T1961" t="s">
        <v>19901</v>
      </c>
    </row>
    <row r="1962" spans="2:20" x14ac:dyDescent="0.25">
      <c r="B1962" t="s">
        <v>2709</v>
      </c>
      <c r="C1962">
        <v>28445000</v>
      </c>
      <c r="E1962">
        <v>177.19</v>
      </c>
      <c r="F1962">
        <v>0</v>
      </c>
      <c r="G1962">
        <v>0</v>
      </c>
      <c r="H1962">
        <v>7.6</v>
      </c>
      <c r="I1962">
        <v>1.65</v>
      </c>
      <c r="J1962">
        <v>2</v>
      </c>
      <c r="L1962" t="s">
        <v>2709</v>
      </c>
      <c r="M1962">
        <v>28445000</v>
      </c>
      <c r="O1962" t="s">
        <v>19926</v>
      </c>
      <c r="P1962" t="s">
        <v>19900</v>
      </c>
      <c r="Q1962" t="s">
        <v>19900</v>
      </c>
      <c r="R1962" t="s">
        <v>19905</v>
      </c>
      <c r="S1962" t="s">
        <v>19906</v>
      </c>
      <c r="T1962" t="s">
        <v>19901</v>
      </c>
    </row>
    <row r="1963" spans="2:20" x14ac:dyDescent="0.25">
      <c r="B1963" t="s">
        <v>2709</v>
      </c>
      <c r="C1963">
        <v>28451000</v>
      </c>
      <c r="E1963">
        <v>177.19</v>
      </c>
      <c r="F1963">
        <v>0</v>
      </c>
      <c r="G1963">
        <v>0</v>
      </c>
      <c r="H1963">
        <v>7.6</v>
      </c>
      <c r="I1963">
        <v>1.65</v>
      </c>
      <c r="J1963">
        <v>2</v>
      </c>
      <c r="L1963" t="s">
        <v>2709</v>
      </c>
      <c r="M1963">
        <v>28451000</v>
      </c>
      <c r="O1963" t="s">
        <v>19926</v>
      </c>
      <c r="P1963" t="s">
        <v>19900</v>
      </c>
      <c r="Q1963" t="s">
        <v>19900</v>
      </c>
      <c r="R1963" t="s">
        <v>19905</v>
      </c>
      <c r="S1963" t="s">
        <v>19906</v>
      </c>
      <c r="T1963" t="s">
        <v>19901</v>
      </c>
    </row>
    <row r="1964" spans="2:20" x14ac:dyDescent="0.25">
      <c r="B1964" t="s">
        <v>2709</v>
      </c>
      <c r="C1964">
        <v>28459000</v>
      </c>
      <c r="E1964">
        <v>177.19</v>
      </c>
      <c r="F1964">
        <v>0</v>
      </c>
      <c r="G1964">
        <v>0</v>
      </c>
      <c r="H1964">
        <v>7.6</v>
      </c>
      <c r="I1964">
        <v>1.65</v>
      </c>
      <c r="J1964">
        <v>2</v>
      </c>
      <c r="L1964" t="s">
        <v>2709</v>
      </c>
      <c r="M1964">
        <v>28459000</v>
      </c>
      <c r="O1964" t="s">
        <v>19926</v>
      </c>
      <c r="P1964" t="s">
        <v>19900</v>
      </c>
      <c r="Q1964" t="s">
        <v>19900</v>
      </c>
      <c r="R1964" t="s">
        <v>19905</v>
      </c>
      <c r="S1964" t="s">
        <v>19906</v>
      </c>
      <c r="T1964" t="s">
        <v>19901</v>
      </c>
    </row>
    <row r="1965" spans="2:20" x14ac:dyDescent="0.25">
      <c r="B1965" t="s">
        <v>2709</v>
      </c>
      <c r="C1965">
        <v>28461010</v>
      </c>
      <c r="E1965">
        <v>177.19</v>
      </c>
      <c r="F1965">
        <v>0</v>
      </c>
      <c r="G1965">
        <v>0</v>
      </c>
      <c r="H1965">
        <v>7.6</v>
      </c>
      <c r="I1965">
        <v>1.65</v>
      </c>
      <c r="J1965">
        <v>2</v>
      </c>
      <c r="L1965" t="s">
        <v>2709</v>
      </c>
      <c r="M1965">
        <v>28461010</v>
      </c>
      <c r="O1965" t="s">
        <v>19926</v>
      </c>
      <c r="P1965" t="s">
        <v>19900</v>
      </c>
      <c r="Q1965" t="s">
        <v>19900</v>
      </c>
      <c r="R1965" t="s">
        <v>19905</v>
      </c>
      <c r="S1965" t="s">
        <v>19906</v>
      </c>
      <c r="T1965" t="s">
        <v>19901</v>
      </c>
    </row>
    <row r="1966" spans="2:20" x14ac:dyDescent="0.25">
      <c r="B1966" t="s">
        <v>2709</v>
      </c>
      <c r="C1966">
        <v>28461090</v>
      </c>
      <c r="E1966">
        <v>177.19</v>
      </c>
      <c r="F1966">
        <v>0</v>
      </c>
      <c r="G1966">
        <v>0</v>
      </c>
      <c r="H1966">
        <v>7.6</v>
      </c>
      <c r="I1966">
        <v>1.65</v>
      </c>
      <c r="J1966">
        <v>2</v>
      </c>
      <c r="L1966" t="s">
        <v>2709</v>
      </c>
      <c r="M1966">
        <v>28461090</v>
      </c>
      <c r="O1966" t="s">
        <v>19926</v>
      </c>
      <c r="P1966" t="s">
        <v>19900</v>
      </c>
      <c r="Q1966" t="s">
        <v>19900</v>
      </c>
      <c r="R1966" t="s">
        <v>19905</v>
      </c>
      <c r="S1966" t="s">
        <v>19906</v>
      </c>
      <c r="T1966" t="s">
        <v>19901</v>
      </c>
    </row>
    <row r="1967" spans="2:20" x14ac:dyDescent="0.25">
      <c r="B1967" t="s">
        <v>2709</v>
      </c>
      <c r="C1967">
        <v>28469010</v>
      </c>
      <c r="E1967">
        <v>177.19</v>
      </c>
      <c r="F1967">
        <v>0</v>
      </c>
      <c r="G1967">
        <v>0</v>
      </c>
      <c r="H1967">
        <v>7.6</v>
      </c>
      <c r="I1967">
        <v>1.65</v>
      </c>
      <c r="J1967">
        <v>2</v>
      </c>
      <c r="L1967" t="s">
        <v>2709</v>
      </c>
      <c r="M1967">
        <v>28469010</v>
      </c>
      <c r="O1967" t="s">
        <v>19926</v>
      </c>
      <c r="P1967" t="s">
        <v>19900</v>
      </c>
      <c r="Q1967" t="s">
        <v>19900</v>
      </c>
      <c r="R1967" t="s">
        <v>19905</v>
      </c>
      <c r="S1967" t="s">
        <v>19906</v>
      </c>
      <c r="T1967" t="s">
        <v>19901</v>
      </c>
    </row>
    <row r="1968" spans="2:20" x14ac:dyDescent="0.25">
      <c r="B1968" t="s">
        <v>2709</v>
      </c>
      <c r="C1968">
        <v>28469020</v>
      </c>
      <c r="E1968">
        <v>177.19</v>
      </c>
      <c r="F1968">
        <v>0</v>
      </c>
      <c r="G1968">
        <v>0</v>
      </c>
      <c r="H1968">
        <v>7.6</v>
      </c>
      <c r="I1968">
        <v>1.65</v>
      </c>
      <c r="J1968">
        <v>2</v>
      </c>
      <c r="L1968" t="s">
        <v>2709</v>
      </c>
      <c r="M1968">
        <v>28469020</v>
      </c>
      <c r="O1968" t="s">
        <v>19926</v>
      </c>
      <c r="P1968" t="s">
        <v>19900</v>
      </c>
      <c r="Q1968" t="s">
        <v>19900</v>
      </c>
      <c r="R1968" t="s">
        <v>19905</v>
      </c>
      <c r="S1968" t="s">
        <v>19906</v>
      </c>
      <c r="T1968" t="s">
        <v>19901</v>
      </c>
    </row>
    <row r="1969" spans="2:20" x14ac:dyDescent="0.25">
      <c r="B1969" t="s">
        <v>2709</v>
      </c>
      <c r="C1969">
        <v>28469030</v>
      </c>
      <c r="E1969">
        <v>177.19</v>
      </c>
      <c r="F1969">
        <v>0</v>
      </c>
      <c r="G1969">
        <v>0</v>
      </c>
      <c r="H1969">
        <v>7.6</v>
      </c>
      <c r="I1969">
        <v>1.65</v>
      </c>
      <c r="J1969">
        <v>10</v>
      </c>
      <c r="L1969" t="s">
        <v>2709</v>
      </c>
      <c r="M1969">
        <v>28469030</v>
      </c>
      <c r="O1969" t="s">
        <v>19926</v>
      </c>
      <c r="P1969" t="s">
        <v>19900</v>
      </c>
      <c r="Q1969" t="s">
        <v>19900</v>
      </c>
      <c r="R1969" t="s">
        <v>19905</v>
      </c>
      <c r="S1969" t="s">
        <v>19906</v>
      </c>
      <c r="T1969" t="s">
        <v>19904</v>
      </c>
    </row>
    <row r="1970" spans="2:20" x14ac:dyDescent="0.25">
      <c r="B1970" t="s">
        <v>2709</v>
      </c>
      <c r="C1970">
        <v>28469090</v>
      </c>
      <c r="E1970">
        <v>177.19</v>
      </c>
      <c r="F1970">
        <v>0</v>
      </c>
      <c r="G1970">
        <v>0</v>
      </c>
      <c r="H1970">
        <v>7.6</v>
      </c>
      <c r="I1970">
        <v>1.65</v>
      </c>
      <c r="J1970">
        <v>2</v>
      </c>
      <c r="L1970" t="s">
        <v>2709</v>
      </c>
      <c r="M1970">
        <v>28469090</v>
      </c>
      <c r="O1970" t="s">
        <v>19926</v>
      </c>
      <c r="P1970" t="s">
        <v>19900</v>
      </c>
      <c r="Q1970" t="s">
        <v>19900</v>
      </c>
      <c r="R1970" t="s">
        <v>19905</v>
      </c>
      <c r="S1970" t="s">
        <v>19906</v>
      </c>
      <c r="T1970" t="s">
        <v>19901</v>
      </c>
    </row>
    <row r="1971" spans="2:20" x14ac:dyDescent="0.25">
      <c r="B1971" t="s">
        <v>2709</v>
      </c>
      <c r="C1971">
        <v>28470000</v>
      </c>
      <c r="E1971">
        <v>177.19</v>
      </c>
      <c r="F1971">
        <v>0</v>
      </c>
      <c r="G1971">
        <v>0</v>
      </c>
      <c r="H1971" t="s">
        <v>19447</v>
      </c>
      <c r="I1971" t="s">
        <v>19447</v>
      </c>
      <c r="J1971">
        <v>10</v>
      </c>
      <c r="L1971" t="s">
        <v>2709</v>
      </c>
      <c r="M1971">
        <v>28470000</v>
      </c>
      <c r="O1971" t="s">
        <v>19926</v>
      </c>
      <c r="P1971" t="s">
        <v>19900</v>
      </c>
      <c r="Q1971" t="s">
        <v>19900</v>
      </c>
      <c r="R1971" t="s">
        <v>19447</v>
      </c>
      <c r="S1971" t="s">
        <v>19447</v>
      </c>
      <c r="T1971" t="s">
        <v>19904</v>
      </c>
    </row>
    <row r="1972" spans="2:20" x14ac:dyDescent="0.25">
      <c r="B1972" t="s">
        <v>2709</v>
      </c>
      <c r="C1972">
        <v>28480010</v>
      </c>
      <c r="E1972">
        <v>177.19</v>
      </c>
      <c r="F1972">
        <v>0</v>
      </c>
      <c r="G1972">
        <v>0</v>
      </c>
      <c r="H1972">
        <v>7.6</v>
      </c>
      <c r="I1972">
        <v>1.65</v>
      </c>
      <c r="J1972">
        <v>10</v>
      </c>
      <c r="L1972" t="s">
        <v>2709</v>
      </c>
      <c r="M1972">
        <v>28480010</v>
      </c>
      <c r="O1972" t="s">
        <v>19926</v>
      </c>
      <c r="P1972" t="s">
        <v>19900</v>
      </c>
      <c r="Q1972" t="s">
        <v>19900</v>
      </c>
      <c r="R1972" t="s">
        <v>19905</v>
      </c>
      <c r="S1972" t="s">
        <v>19906</v>
      </c>
      <c r="T1972" t="s">
        <v>19904</v>
      </c>
    </row>
    <row r="1973" spans="2:20" x14ac:dyDescent="0.25">
      <c r="B1973" t="s">
        <v>2709</v>
      </c>
      <c r="C1973">
        <v>28480020</v>
      </c>
      <c r="E1973">
        <v>177.19</v>
      </c>
      <c r="F1973">
        <v>0</v>
      </c>
      <c r="G1973">
        <v>0</v>
      </c>
      <c r="H1973">
        <v>7.6</v>
      </c>
      <c r="I1973">
        <v>1.65</v>
      </c>
      <c r="J1973">
        <v>10</v>
      </c>
      <c r="L1973" t="s">
        <v>2709</v>
      </c>
      <c r="M1973">
        <v>28480020</v>
      </c>
      <c r="O1973" t="s">
        <v>19926</v>
      </c>
      <c r="P1973" t="s">
        <v>19900</v>
      </c>
      <c r="Q1973" t="s">
        <v>19900</v>
      </c>
      <c r="R1973" t="s">
        <v>19905</v>
      </c>
      <c r="S1973" t="s">
        <v>19906</v>
      </c>
      <c r="T1973" t="s">
        <v>19904</v>
      </c>
    </row>
    <row r="1974" spans="2:20" x14ac:dyDescent="0.25">
      <c r="B1974" t="s">
        <v>2709</v>
      </c>
      <c r="C1974">
        <v>28480030</v>
      </c>
      <c r="E1974">
        <v>177.19</v>
      </c>
      <c r="F1974">
        <v>0</v>
      </c>
      <c r="G1974">
        <v>0</v>
      </c>
      <c r="H1974">
        <v>7.6</v>
      </c>
      <c r="I1974">
        <v>1.65</v>
      </c>
      <c r="J1974">
        <v>2</v>
      </c>
      <c r="L1974" t="s">
        <v>2709</v>
      </c>
      <c r="M1974">
        <v>28480030</v>
      </c>
      <c r="O1974" t="s">
        <v>19926</v>
      </c>
      <c r="P1974" t="s">
        <v>19900</v>
      </c>
      <c r="Q1974" t="s">
        <v>19900</v>
      </c>
      <c r="R1974" t="s">
        <v>19905</v>
      </c>
      <c r="S1974" t="s">
        <v>19906</v>
      </c>
      <c r="T1974" t="s">
        <v>19901</v>
      </c>
    </row>
    <row r="1975" spans="2:20" x14ac:dyDescent="0.25">
      <c r="B1975" t="s">
        <v>2709</v>
      </c>
      <c r="C1975">
        <v>28480090</v>
      </c>
      <c r="E1975">
        <v>177.19</v>
      </c>
      <c r="F1975">
        <v>0</v>
      </c>
      <c r="G1975">
        <v>0</v>
      </c>
      <c r="H1975">
        <v>7.6</v>
      </c>
      <c r="I1975">
        <v>1.65</v>
      </c>
      <c r="J1975">
        <v>2</v>
      </c>
      <c r="L1975" t="s">
        <v>2709</v>
      </c>
      <c r="M1975">
        <v>28480090</v>
      </c>
      <c r="O1975" t="s">
        <v>19926</v>
      </c>
      <c r="P1975" t="s">
        <v>19900</v>
      </c>
      <c r="Q1975" t="s">
        <v>19900</v>
      </c>
      <c r="R1975" t="s">
        <v>19905</v>
      </c>
      <c r="S1975" t="s">
        <v>19906</v>
      </c>
      <c r="T1975" t="s">
        <v>19901</v>
      </c>
    </row>
    <row r="1976" spans="2:20" x14ac:dyDescent="0.25">
      <c r="B1976" t="s">
        <v>2709</v>
      </c>
      <c r="C1976">
        <v>28491000</v>
      </c>
      <c r="E1976">
        <v>177.19</v>
      </c>
      <c r="F1976">
        <v>0</v>
      </c>
      <c r="G1976">
        <v>0</v>
      </c>
      <c r="H1976">
        <v>7.6</v>
      </c>
      <c r="I1976">
        <v>1.65</v>
      </c>
      <c r="J1976">
        <v>10</v>
      </c>
      <c r="L1976" t="s">
        <v>2709</v>
      </c>
      <c r="M1976">
        <v>28491000</v>
      </c>
      <c r="O1976" t="s">
        <v>19926</v>
      </c>
      <c r="P1976" t="s">
        <v>19900</v>
      </c>
      <c r="Q1976" t="s">
        <v>19900</v>
      </c>
      <c r="R1976" t="s">
        <v>19905</v>
      </c>
      <c r="S1976" t="s">
        <v>19906</v>
      </c>
      <c r="T1976" t="s">
        <v>19904</v>
      </c>
    </row>
    <row r="1977" spans="2:20" x14ac:dyDescent="0.25">
      <c r="B1977" t="s">
        <v>2709</v>
      </c>
      <c r="C1977">
        <v>28492000</v>
      </c>
      <c r="E1977">
        <v>177.19</v>
      </c>
      <c r="F1977">
        <v>0</v>
      </c>
      <c r="G1977">
        <v>0</v>
      </c>
      <c r="H1977">
        <v>7.6</v>
      </c>
      <c r="I1977">
        <v>1.65</v>
      </c>
      <c r="J1977">
        <v>10</v>
      </c>
      <c r="L1977" t="s">
        <v>2709</v>
      </c>
      <c r="M1977">
        <v>28492000</v>
      </c>
      <c r="O1977" t="s">
        <v>19926</v>
      </c>
      <c r="P1977" t="s">
        <v>19900</v>
      </c>
      <c r="Q1977" t="s">
        <v>19900</v>
      </c>
      <c r="R1977" t="s">
        <v>19905</v>
      </c>
      <c r="S1977" t="s">
        <v>19906</v>
      </c>
      <c r="T1977" t="s">
        <v>19904</v>
      </c>
    </row>
    <row r="1978" spans="2:20" x14ac:dyDescent="0.25">
      <c r="B1978" t="s">
        <v>2709</v>
      </c>
      <c r="C1978">
        <v>28499010</v>
      </c>
      <c r="E1978">
        <v>177.19</v>
      </c>
      <c r="F1978">
        <v>0</v>
      </c>
      <c r="G1978">
        <v>0</v>
      </c>
      <c r="H1978">
        <v>7.6</v>
      </c>
      <c r="I1978">
        <v>1.65</v>
      </c>
      <c r="J1978">
        <v>2</v>
      </c>
      <c r="L1978" t="s">
        <v>2709</v>
      </c>
      <c r="M1978">
        <v>28499010</v>
      </c>
      <c r="O1978" t="s">
        <v>19926</v>
      </c>
      <c r="P1978" t="s">
        <v>19900</v>
      </c>
      <c r="Q1978" t="s">
        <v>19900</v>
      </c>
      <c r="R1978" t="s">
        <v>19905</v>
      </c>
      <c r="S1978" t="s">
        <v>19906</v>
      </c>
      <c r="T1978" t="s">
        <v>19901</v>
      </c>
    </row>
    <row r="1979" spans="2:20" x14ac:dyDescent="0.25">
      <c r="B1979" t="s">
        <v>2709</v>
      </c>
      <c r="C1979">
        <v>28499020</v>
      </c>
      <c r="E1979">
        <v>177.19</v>
      </c>
      <c r="F1979">
        <v>0</v>
      </c>
      <c r="G1979">
        <v>0</v>
      </c>
      <c r="H1979">
        <v>7.6</v>
      </c>
      <c r="I1979">
        <v>1.65</v>
      </c>
      <c r="J1979">
        <v>2</v>
      </c>
      <c r="L1979" t="s">
        <v>2709</v>
      </c>
      <c r="M1979">
        <v>28499020</v>
      </c>
      <c r="O1979" t="s">
        <v>19926</v>
      </c>
      <c r="P1979" t="s">
        <v>19900</v>
      </c>
      <c r="Q1979" t="s">
        <v>19900</v>
      </c>
      <c r="R1979" t="s">
        <v>19905</v>
      </c>
      <c r="S1979" t="s">
        <v>19906</v>
      </c>
      <c r="T1979" t="s">
        <v>19901</v>
      </c>
    </row>
    <row r="1980" spans="2:20" x14ac:dyDescent="0.25">
      <c r="B1980" t="s">
        <v>2709</v>
      </c>
      <c r="C1980">
        <v>28499030</v>
      </c>
      <c r="E1980">
        <v>177.19</v>
      </c>
      <c r="F1980">
        <v>0</v>
      </c>
      <c r="G1980">
        <v>0</v>
      </c>
      <c r="H1980">
        <v>7.6</v>
      </c>
      <c r="I1980">
        <v>1.65</v>
      </c>
      <c r="J1980">
        <v>2</v>
      </c>
      <c r="L1980" t="s">
        <v>2709</v>
      </c>
      <c r="M1980">
        <v>28499030</v>
      </c>
      <c r="O1980" t="s">
        <v>19926</v>
      </c>
      <c r="P1980" t="s">
        <v>19900</v>
      </c>
      <c r="Q1980" t="s">
        <v>19900</v>
      </c>
      <c r="R1980" t="s">
        <v>19905</v>
      </c>
      <c r="S1980" t="s">
        <v>19906</v>
      </c>
      <c r="T1980" t="s">
        <v>19901</v>
      </c>
    </row>
    <row r="1981" spans="2:20" x14ac:dyDescent="0.25">
      <c r="B1981" t="s">
        <v>2709</v>
      </c>
      <c r="C1981">
        <v>28499090</v>
      </c>
      <c r="E1981">
        <v>177.19</v>
      </c>
      <c r="F1981">
        <v>0</v>
      </c>
      <c r="G1981">
        <v>0</v>
      </c>
      <c r="H1981">
        <v>7.6</v>
      </c>
      <c r="I1981">
        <v>1.65</v>
      </c>
      <c r="J1981">
        <v>2</v>
      </c>
      <c r="L1981" t="s">
        <v>2709</v>
      </c>
      <c r="M1981">
        <v>28499090</v>
      </c>
      <c r="O1981" t="s">
        <v>19926</v>
      </c>
      <c r="P1981" t="s">
        <v>19900</v>
      </c>
      <c r="Q1981" t="s">
        <v>19900</v>
      </c>
      <c r="R1981" t="s">
        <v>19905</v>
      </c>
      <c r="S1981" t="s">
        <v>19906</v>
      </c>
      <c r="T1981" t="s">
        <v>19901</v>
      </c>
    </row>
    <row r="1982" spans="2:20" x14ac:dyDescent="0.25">
      <c r="B1982" t="s">
        <v>2709</v>
      </c>
      <c r="C1982">
        <v>28500010</v>
      </c>
      <c r="E1982">
        <v>177.19</v>
      </c>
      <c r="F1982">
        <v>0</v>
      </c>
      <c r="G1982">
        <v>0</v>
      </c>
      <c r="H1982">
        <v>7.6</v>
      </c>
      <c r="I1982">
        <v>1.65</v>
      </c>
      <c r="J1982">
        <v>2</v>
      </c>
      <c r="L1982" t="s">
        <v>2709</v>
      </c>
      <c r="M1982">
        <v>28500010</v>
      </c>
      <c r="O1982" t="s">
        <v>19926</v>
      </c>
      <c r="P1982" t="s">
        <v>19900</v>
      </c>
      <c r="Q1982" t="s">
        <v>19900</v>
      </c>
      <c r="R1982" t="s">
        <v>19905</v>
      </c>
      <c r="S1982" t="s">
        <v>19906</v>
      </c>
      <c r="T1982" t="s">
        <v>19901</v>
      </c>
    </row>
    <row r="1983" spans="2:20" x14ac:dyDescent="0.25">
      <c r="B1983" t="s">
        <v>2709</v>
      </c>
      <c r="C1983">
        <v>28500020</v>
      </c>
      <c r="E1983">
        <v>177.19</v>
      </c>
      <c r="F1983">
        <v>0</v>
      </c>
      <c r="G1983">
        <v>0</v>
      </c>
      <c r="H1983">
        <v>7.6</v>
      </c>
      <c r="I1983">
        <v>1.65</v>
      </c>
      <c r="J1983">
        <v>10</v>
      </c>
      <c r="L1983" t="s">
        <v>2709</v>
      </c>
      <c r="M1983">
        <v>28500020</v>
      </c>
      <c r="O1983" t="s">
        <v>19926</v>
      </c>
      <c r="P1983" t="s">
        <v>19900</v>
      </c>
      <c r="Q1983" t="s">
        <v>19900</v>
      </c>
      <c r="R1983" t="s">
        <v>19905</v>
      </c>
      <c r="S1983" t="s">
        <v>19906</v>
      </c>
      <c r="T1983" t="s">
        <v>19904</v>
      </c>
    </row>
    <row r="1984" spans="2:20" x14ac:dyDescent="0.25">
      <c r="B1984" t="s">
        <v>2709</v>
      </c>
      <c r="C1984">
        <v>28500090</v>
      </c>
      <c r="E1984">
        <v>177.19</v>
      </c>
      <c r="F1984">
        <v>0</v>
      </c>
      <c r="G1984">
        <v>0</v>
      </c>
      <c r="H1984">
        <v>7.6</v>
      </c>
      <c r="I1984">
        <v>1.65</v>
      </c>
      <c r="J1984">
        <v>2</v>
      </c>
      <c r="L1984" t="s">
        <v>2709</v>
      </c>
      <c r="M1984">
        <v>28500090</v>
      </c>
      <c r="O1984" t="s">
        <v>19926</v>
      </c>
      <c r="P1984" t="s">
        <v>19900</v>
      </c>
      <c r="Q1984" t="s">
        <v>19900</v>
      </c>
      <c r="R1984" t="s">
        <v>19905</v>
      </c>
      <c r="S1984" t="s">
        <v>19906</v>
      </c>
      <c r="T1984" t="s">
        <v>19901</v>
      </c>
    </row>
    <row r="1985" spans="2:20" x14ac:dyDescent="0.25">
      <c r="B1985" t="s">
        <v>2709</v>
      </c>
      <c r="C1985">
        <v>28521011</v>
      </c>
      <c r="E1985">
        <v>177.19</v>
      </c>
      <c r="F1985">
        <v>0</v>
      </c>
      <c r="G1985">
        <v>0</v>
      </c>
      <c r="H1985">
        <v>7.6</v>
      </c>
      <c r="I1985">
        <v>1.65</v>
      </c>
      <c r="J1985">
        <v>10</v>
      </c>
      <c r="L1985" t="s">
        <v>2709</v>
      </c>
      <c r="M1985">
        <v>28521011</v>
      </c>
      <c r="O1985" t="s">
        <v>19926</v>
      </c>
      <c r="P1985" t="s">
        <v>19900</v>
      </c>
      <c r="Q1985" t="s">
        <v>19900</v>
      </c>
      <c r="R1985" t="s">
        <v>19905</v>
      </c>
      <c r="S1985" t="s">
        <v>19906</v>
      </c>
      <c r="T1985" t="s">
        <v>19904</v>
      </c>
    </row>
    <row r="1986" spans="2:20" x14ac:dyDescent="0.25">
      <c r="B1986" t="s">
        <v>2709</v>
      </c>
      <c r="C1986">
        <v>28521012</v>
      </c>
      <c r="E1986">
        <v>177.19</v>
      </c>
      <c r="F1986">
        <v>0</v>
      </c>
      <c r="G1986">
        <v>0</v>
      </c>
      <c r="H1986">
        <v>7.6</v>
      </c>
      <c r="I1986">
        <v>1.65</v>
      </c>
      <c r="J1986">
        <v>2</v>
      </c>
      <c r="L1986" t="s">
        <v>2709</v>
      </c>
      <c r="M1986">
        <v>28521012</v>
      </c>
      <c r="O1986" t="s">
        <v>19926</v>
      </c>
      <c r="P1986" t="s">
        <v>19900</v>
      </c>
      <c r="Q1986" t="s">
        <v>19900</v>
      </c>
      <c r="R1986" t="s">
        <v>19905</v>
      </c>
      <c r="S1986" t="s">
        <v>19906</v>
      </c>
      <c r="T1986" t="s">
        <v>19901</v>
      </c>
    </row>
    <row r="1987" spans="2:20" x14ac:dyDescent="0.25">
      <c r="B1987" t="s">
        <v>2709</v>
      </c>
      <c r="C1987">
        <v>28521013</v>
      </c>
      <c r="E1987">
        <v>177.19</v>
      </c>
      <c r="F1987">
        <v>0</v>
      </c>
      <c r="G1987">
        <v>0</v>
      </c>
      <c r="H1987">
        <v>7.6</v>
      </c>
      <c r="I1987">
        <v>1.65</v>
      </c>
      <c r="J1987">
        <v>14</v>
      </c>
      <c r="L1987" t="s">
        <v>2709</v>
      </c>
      <c r="M1987">
        <v>28521013</v>
      </c>
      <c r="O1987" t="s">
        <v>19926</v>
      </c>
      <c r="P1987" t="s">
        <v>19900</v>
      </c>
      <c r="Q1987" t="s">
        <v>19900</v>
      </c>
      <c r="R1987" t="s">
        <v>19905</v>
      </c>
      <c r="S1987" t="s">
        <v>19906</v>
      </c>
      <c r="T1987" t="s">
        <v>19911</v>
      </c>
    </row>
    <row r="1988" spans="2:20" x14ac:dyDescent="0.25">
      <c r="B1988" t="s">
        <v>2709</v>
      </c>
      <c r="C1988">
        <v>28521014</v>
      </c>
      <c r="E1988">
        <v>177.19</v>
      </c>
      <c r="F1988">
        <v>0</v>
      </c>
      <c r="G1988">
        <v>0</v>
      </c>
      <c r="H1988">
        <v>7.6</v>
      </c>
      <c r="I1988">
        <v>1.65</v>
      </c>
      <c r="J1988">
        <v>2</v>
      </c>
      <c r="L1988" t="s">
        <v>2709</v>
      </c>
      <c r="M1988">
        <v>28521014</v>
      </c>
      <c r="O1988" t="s">
        <v>19926</v>
      </c>
      <c r="P1988" t="s">
        <v>19900</v>
      </c>
      <c r="Q1988" t="s">
        <v>19900</v>
      </c>
      <c r="R1988" t="s">
        <v>19905</v>
      </c>
      <c r="S1988" t="s">
        <v>19906</v>
      </c>
      <c r="T1988" t="s">
        <v>19901</v>
      </c>
    </row>
    <row r="1989" spans="2:20" x14ac:dyDescent="0.25">
      <c r="B1989" t="s">
        <v>2709</v>
      </c>
      <c r="C1989">
        <v>28521019</v>
      </c>
      <c r="E1989">
        <v>177.19</v>
      </c>
      <c r="F1989">
        <v>0</v>
      </c>
      <c r="G1989">
        <v>0</v>
      </c>
      <c r="H1989">
        <v>7.6</v>
      </c>
      <c r="I1989">
        <v>1.65</v>
      </c>
      <c r="J1989">
        <v>2</v>
      </c>
      <c r="L1989" t="s">
        <v>2709</v>
      </c>
      <c r="M1989">
        <v>28521019</v>
      </c>
      <c r="O1989" t="s">
        <v>19926</v>
      </c>
      <c r="P1989" t="s">
        <v>19900</v>
      </c>
      <c r="Q1989" t="s">
        <v>19900</v>
      </c>
      <c r="R1989" t="s">
        <v>19905</v>
      </c>
      <c r="S1989" t="s">
        <v>19906</v>
      </c>
      <c r="T1989" t="s">
        <v>19901</v>
      </c>
    </row>
    <row r="1990" spans="2:20" x14ac:dyDescent="0.25">
      <c r="B1990" t="s">
        <v>2709</v>
      </c>
      <c r="C1990">
        <v>28521021</v>
      </c>
      <c r="E1990">
        <v>177.19</v>
      </c>
      <c r="F1990">
        <v>0</v>
      </c>
      <c r="G1990">
        <v>0</v>
      </c>
      <c r="H1990">
        <v>7.6</v>
      </c>
      <c r="I1990">
        <v>1.65</v>
      </c>
      <c r="J1990">
        <v>12</v>
      </c>
      <c r="L1990" t="s">
        <v>2709</v>
      </c>
      <c r="M1990">
        <v>28521021</v>
      </c>
      <c r="O1990" t="s">
        <v>19926</v>
      </c>
      <c r="P1990" t="s">
        <v>19900</v>
      </c>
      <c r="Q1990" t="s">
        <v>19900</v>
      </c>
      <c r="R1990" t="s">
        <v>19905</v>
      </c>
      <c r="S1990" t="s">
        <v>19906</v>
      </c>
      <c r="T1990" t="s">
        <v>19903</v>
      </c>
    </row>
    <row r="1991" spans="2:20" x14ac:dyDescent="0.25">
      <c r="B1991" t="s">
        <v>2709</v>
      </c>
      <c r="C1991">
        <v>28521022</v>
      </c>
      <c r="E1991">
        <v>177.19</v>
      </c>
      <c r="F1991">
        <v>0</v>
      </c>
      <c r="G1991">
        <v>0</v>
      </c>
      <c r="H1991">
        <v>7.6</v>
      </c>
      <c r="I1991">
        <v>1.65</v>
      </c>
      <c r="J1991">
        <v>12</v>
      </c>
      <c r="L1991" t="s">
        <v>2709</v>
      </c>
      <c r="M1991">
        <v>28521022</v>
      </c>
      <c r="O1991" t="s">
        <v>19926</v>
      </c>
      <c r="P1991" t="s">
        <v>19900</v>
      </c>
      <c r="Q1991" t="s">
        <v>19900</v>
      </c>
      <c r="R1991" t="s">
        <v>19905</v>
      </c>
      <c r="S1991" t="s">
        <v>19906</v>
      </c>
      <c r="T1991" t="s">
        <v>19903</v>
      </c>
    </row>
    <row r="1992" spans="2:20" x14ac:dyDescent="0.25">
      <c r="B1992" t="s">
        <v>2709</v>
      </c>
      <c r="C1992">
        <v>28521023</v>
      </c>
      <c r="E1992">
        <v>177.19</v>
      </c>
      <c r="F1992">
        <v>0</v>
      </c>
      <c r="G1992">
        <v>0</v>
      </c>
      <c r="H1992">
        <v>7.6</v>
      </c>
      <c r="I1992">
        <v>1.65</v>
      </c>
      <c r="J1992">
        <v>12</v>
      </c>
      <c r="L1992" t="s">
        <v>2709</v>
      </c>
      <c r="M1992">
        <v>28521023</v>
      </c>
      <c r="O1992" t="s">
        <v>19926</v>
      </c>
      <c r="P1992" t="s">
        <v>19900</v>
      </c>
      <c r="Q1992" t="s">
        <v>19900</v>
      </c>
      <c r="R1992" t="s">
        <v>19905</v>
      </c>
      <c r="S1992" t="s">
        <v>19906</v>
      </c>
      <c r="T1992" t="s">
        <v>19903</v>
      </c>
    </row>
    <row r="1993" spans="2:20" x14ac:dyDescent="0.25">
      <c r="B1993" t="s">
        <v>2709</v>
      </c>
      <c r="C1993">
        <v>28521024</v>
      </c>
      <c r="E1993">
        <v>177.19</v>
      </c>
      <c r="F1993">
        <v>0</v>
      </c>
      <c r="G1993">
        <v>0</v>
      </c>
      <c r="H1993">
        <v>7.6</v>
      </c>
      <c r="I1993">
        <v>1.65</v>
      </c>
      <c r="J1993">
        <v>12</v>
      </c>
      <c r="L1993" t="s">
        <v>2709</v>
      </c>
      <c r="M1993">
        <v>28521024</v>
      </c>
      <c r="O1993" t="s">
        <v>19926</v>
      </c>
      <c r="P1993" t="s">
        <v>19900</v>
      </c>
      <c r="Q1993" t="s">
        <v>19900</v>
      </c>
      <c r="R1993" t="s">
        <v>19905</v>
      </c>
      <c r="S1993" t="s">
        <v>19906</v>
      </c>
      <c r="T1993" t="s">
        <v>19903</v>
      </c>
    </row>
    <row r="1994" spans="2:20" x14ac:dyDescent="0.25">
      <c r="B1994" t="s">
        <v>2709</v>
      </c>
      <c r="C1994">
        <v>28521025</v>
      </c>
      <c r="E1994">
        <v>177.19</v>
      </c>
      <c r="F1994">
        <v>0</v>
      </c>
      <c r="G1994">
        <v>0</v>
      </c>
      <c r="H1994">
        <v>7.6</v>
      </c>
      <c r="I1994">
        <v>1.65</v>
      </c>
      <c r="J1994">
        <v>12</v>
      </c>
      <c r="L1994" t="s">
        <v>2709</v>
      </c>
      <c r="M1994">
        <v>28521025</v>
      </c>
      <c r="O1994" t="s">
        <v>19926</v>
      </c>
      <c r="P1994" t="s">
        <v>19900</v>
      </c>
      <c r="Q1994" t="s">
        <v>19900</v>
      </c>
      <c r="R1994" t="s">
        <v>19905</v>
      </c>
      <c r="S1994" t="s">
        <v>19906</v>
      </c>
      <c r="T1994" t="s">
        <v>19903</v>
      </c>
    </row>
    <row r="1995" spans="2:20" x14ac:dyDescent="0.25">
      <c r="B1995" t="s">
        <v>2709</v>
      </c>
      <c r="C1995">
        <v>28521029</v>
      </c>
      <c r="E1995">
        <v>177.19</v>
      </c>
      <c r="F1995">
        <v>0</v>
      </c>
      <c r="G1995">
        <v>0</v>
      </c>
      <c r="H1995">
        <v>7.6</v>
      </c>
      <c r="I1995">
        <v>1.65</v>
      </c>
      <c r="J1995">
        <v>2</v>
      </c>
      <c r="L1995" t="s">
        <v>2709</v>
      </c>
      <c r="M1995">
        <v>28521029</v>
      </c>
      <c r="O1995" t="s">
        <v>19926</v>
      </c>
      <c r="P1995" t="s">
        <v>19900</v>
      </c>
      <c r="Q1995" t="s">
        <v>19900</v>
      </c>
      <c r="R1995" t="s">
        <v>19905</v>
      </c>
      <c r="S1995" t="s">
        <v>19906</v>
      </c>
      <c r="T1995" t="s">
        <v>19901</v>
      </c>
    </row>
    <row r="1996" spans="2:20" x14ac:dyDescent="0.25">
      <c r="B1996" t="s">
        <v>2709</v>
      </c>
      <c r="C1996">
        <v>28529000</v>
      </c>
      <c r="E1996">
        <v>54.89</v>
      </c>
      <c r="F1996">
        <v>0</v>
      </c>
      <c r="G1996">
        <v>0</v>
      </c>
      <c r="H1996">
        <v>7.6</v>
      </c>
      <c r="I1996">
        <v>1.65</v>
      </c>
      <c r="J1996">
        <v>12</v>
      </c>
      <c r="L1996" t="s">
        <v>2709</v>
      </c>
      <c r="M1996">
        <v>28529000</v>
      </c>
      <c r="O1996" t="s">
        <v>20022</v>
      </c>
      <c r="P1996" t="s">
        <v>19900</v>
      </c>
      <c r="Q1996" t="s">
        <v>19900</v>
      </c>
      <c r="R1996" t="s">
        <v>19905</v>
      </c>
      <c r="S1996" t="s">
        <v>19906</v>
      </c>
      <c r="T1996" t="s">
        <v>19903</v>
      </c>
    </row>
    <row r="1997" spans="2:20" x14ac:dyDescent="0.25">
      <c r="B1997" t="s">
        <v>2709</v>
      </c>
      <c r="C1997">
        <v>28530010</v>
      </c>
      <c r="E1997">
        <v>177.19</v>
      </c>
      <c r="F1997">
        <v>0</v>
      </c>
      <c r="G1997">
        <v>0</v>
      </c>
      <c r="H1997">
        <v>7.6</v>
      </c>
      <c r="I1997">
        <v>1.65</v>
      </c>
      <c r="J1997">
        <v>2</v>
      </c>
      <c r="L1997" t="s">
        <v>2709</v>
      </c>
      <c r="M1997">
        <v>28530010</v>
      </c>
      <c r="O1997" t="s">
        <v>19926</v>
      </c>
      <c r="P1997" t="s">
        <v>19900</v>
      </c>
      <c r="Q1997" t="s">
        <v>19900</v>
      </c>
      <c r="R1997" t="s">
        <v>19905</v>
      </c>
      <c r="S1997" t="s">
        <v>19906</v>
      </c>
      <c r="T1997" t="s">
        <v>19901</v>
      </c>
    </row>
    <row r="1998" spans="2:20" x14ac:dyDescent="0.25">
      <c r="B1998" t="s">
        <v>2709</v>
      </c>
      <c r="C1998">
        <v>28530020</v>
      </c>
      <c r="E1998">
        <v>177.19</v>
      </c>
      <c r="F1998">
        <v>0</v>
      </c>
      <c r="G1998">
        <v>0</v>
      </c>
      <c r="H1998">
        <v>7.6</v>
      </c>
      <c r="I1998">
        <v>1.65</v>
      </c>
      <c r="J1998">
        <v>2</v>
      </c>
      <c r="L1998" t="s">
        <v>2709</v>
      </c>
      <c r="M1998">
        <v>28530020</v>
      </c>
      <c r="O1998" t="s">
        <v>19926</v>
      </c>
      <c r="P1998" t="s">
        <v>19900</v>
      </c>
      <c r="Q1998" t="s">
        <v>19900</v>
      </c>
      <c r="R1998" t="s">
        <v>19905</v>
      </c>
      <c r="S1998" t="s">
        <v>19906</v>
      </c>
      <c r="T1998" t="s">
        <v>19901</v>
      </c>
    </row>
    <row r="1999" spans="2:20" x14ac:dyDescent="0.25">
      <c r="B1999" t="s">
        <v>2709</v>
      </c>
      <c r="C1999">
        <v>28530031</v>
      </c>
      <c r="E1999">
        <v>177.19</v>
      </c>
      <c r="F1999">
        <v>0</v>
      </c>
      <c r="G1999">
        <v>0</v>
      </c>
      <c r="H1999">
        <v>7.6</v>
      </c>
      <c r="I1999">
        <v>1.65</v>
      </c>
      <c r="J1999">
        <v>2</v>
      </c>
      <c r="L1999" t="s">
        <v>2709</v>
      </c>
      <c r="M1999">
        <v>28530031</v>
      </c>
      <c r="O1999" t="s">
        <v>19926</v>
      </c>
      <c r="P1999" t="s">
        <v>19900</v>
      </c>
      <c r="Q1999" t="s">
        <v>19900</v>
      </c>
      <c r="R1999" t="s">
        <v>19905</v>
      </c>
      <c r="S1999" t="s">
        <v>19906</v>
      </c>
      <c r="T1999" t="s">
        <v>19901</v>
      </c>
    </row>
    <row r="2000" spans="2:20" x14ac:dyDescent="0.25">
      <c r="B2000" t="s">
        <v>2709</v>
      </c>
      <c r="C2000">
        <v>28530039</v>
      </c>
      <c r="E2000">
        <v>177.19</v>
      </c>
      <c r="F2000">
        <v>0</v>
      </c>
      <c r="G2000">
        <v>0</v>
      </c>
      <c r="H2000">
        <v>7.6</v>
      </c>
      <c r="I2000">
        <v>1.65</v>
      </c>
      <c r="J2000">
        <v>2</v>
      </c>
      <c r="L2000" t="s">
        <v>2709</v>
      </c>
      <c r="M2000">
        <v>28530039</v>
      </c>
      <c r="O2000" t="s">
        <v>19926</v>
      </c>
      <c r="P2000" t="s">
        <v>19900</v>
      </c>
      <c r="Q2000" t="s">
        <v>19900</v>
      </c>
      <c r="R2000" t="s">
        <v>19905</v>
      </c>
      <c r="S2000" t="s">
        <v>19906</v>
      </c>
      <c r="T2000" t="s">
        <v>19901</v>
      </c>
    </row>
    <row r="2001" spans="2:20" x14ac:dyDescent="0.25">
      <c r="B2001" t="s">
        <v>2709</v>
      </c>
      <c r="C2001">
        <v>28530090</v>
      </c>
      <c r="E2001">
        <v>177.19</v>
      </c>
      <c r="F2001">
        <v>0</v>
      </c>
      <c r="G2001">
        <v>0</v>
      </c>
      <c r="H2001">
        <v>7.6</v>
      </c>
      <c r="I2001">
        <v>1.65</v>
      </c>
      <c r="J2001">
        <v>2</v>
      </c>
      <c r="L2001" t="s">
        <v>2709</v>
      </c>
      <c r="M2001">
        <v>28530090</v>
      </c>
      <c r="O2001" t="s">
        <v>19926</v>
      </c>
      <c r="P2001" t="s">
        <v>19900</v>
      </c>
      <c r="Q2001" t="s">
        <v>19900</v>
      </c>
      <c r="R2001" t="s">
        <v>19905</v>
      </c>
      <c r="S2001" t="s">
        <v>19906</v>
      </c>
      <c r="T2001" t="s">
        <v>19901</v>
      </c>
    </row>
    <row r="2002" spans="2:20" x14ac:dyDescent="0.25">
      <c r="B2002" t="s">
        <v>2709</v>
      </c>
      <c r="C2002">
        <v>28530090</v>
      </c>
      <c r="D2002">
        <v>1</v>
      </c>
      <c r="E2002" t="s">
        <v>19447</v>
      </c>
      <c r="F2002">
        <v>18</v>
      </c>
      <c r="G2002">
        <v>0</v>
      </c>
      <c r="H2002">
        <v>7.6</v>
      </c>
      <c r="I2002">
        <v>1.65</v>
      </c>
      <c r="J2002">
        <v>2</v>
      </c>
      <c r="L2002" t="s">
        <v>2709</v>
      </c>
      <c r="M2002">
        <v>28530090</v>
      </c>
      <c r="N2002">
        <v>1</v>
      </c>
      <c r="O2002" t="s">
        <v>19447</v>
      </c>
      <c r="P2002" t="s">
        <v>19899</v>
      </c>
      <c r="Q2002" t="s">
        <v>19900</v>
      </c>
      <c r="R2002" t="s">
        <v>19905</v>
      </c>
      <c r="S2002" t="s">
        <v>19906</v>
      </c>
      <c r="T2002" t="s">
        <v>19901</v>
      </c>
    </row>
    <row r="2003" spans="2:20" x14ac:dyDescent="0.25">
      <c r="B2003" t="s">
        <v>2709</v>
      </c>
      <c r="C2003">
        <v>29011000</v>
      </c>
      <c r="E2003">
        <v>67.42</v>
      </c>
      <c r="F2003">
        <v>0</v>
      </c>
      <c r="G2003">
        <v>0</v>
      </c>
      <c r="H2003" t="s">
        <v>19447</v>
      </c>
      <c r="I2003" t="s">
        <v>19447</v>
      </c>
      <c r="J2003">
        <v>2</v>
      </c>
      <c r="L2003" t="s">
        <v>2709</v>
      </c>
      <c r="M2003">
        <v>29011000</v>
      </c>
      <c r="O2003" t="s">
        <v>20026</v>
      </c>
      <c r="P2003" t="s">
        <v>19900</v>
      </c>
      <c r="Q2003" t="s">
        <v>19900</v>
      </c>
      <c r="R2003" t="s">
        <v>19447</v>
      </c>
      <c r="S2003" t="s">
        <v>19447</v>
      </c>
      <c r="T2003" t="s">
        <v>19901</v>
      </c>
    </row>
    <row r="2004" spans="2:20" x14ac:dyDescent="0.25">
      <c r="B2004" t="s">
        <v>2709</v>
      </c>
      <c r="C2004">
        <v>29012100</v>
      </c>
      <c r="E2004">
        <v>38</v>
      </c>
      <c r="F2004">
        <v>0</v>
      </c>
      <c r="G2004">
        <v>0</v>
      </c>
      <c r="H2004" t="s">
        <v>19447</v>
      </c>
      <c r="I2004" t="s">
        <v>19447</v>
      </c>
      <c r="J2004">
        <v>2</v>
      </c>
      <c r="L2004" t="s">
        <v>2709</v>
      </c>
      <c r="M2004">
        <v>29012100</v>
      </c>
      <c r="O2004" t="s">
        <v>20008</v>
      </c>
      <c r="P2004" t="s">
        <v>19900</v>
      </c>
      <c r="Q2004" t="s">
        <v>19900</v>
      </c>
      <c r="R2004" t="s">
        <v>19447</v>
      </c>
      <c r="S2004" t="s">
        <v>19447</v>
      </c>
      <c r="T2004" t="s">
        <v>19901</v>
      </c>
    </row>
    <row r="2005" spans="2:20" x14ac:dyDescent="0.25">
      <c r="B2005" t="s">
        <v>2709</v>
      </c>
      <c r="C2005">
        <v>29012200</v>
      </c>
      <c r="E2005">
        <v>38</v>
      </c>
      <c r="F2005">
        <v>0</v>
      </c>
      <c r="G2005">
        <v>0</v>
      </c>
      <c r="H2005" t="s">
        <v>19447</v>
      </c>
      <c r="I2005" t="s">
        <v>19447</v>
      </c>
      <c r="J2005">
        <v>2</v>
      </c>
      <c r="L2005" t="s">
        <v>2709</v>
      </c>
      <c r="M2005">
        <v>29012200</v>
      </c>
      <c r="O2005" t="s">
        <v>20008</v>
      </c>
      <c r="P2005" t="s">
        <v>19900</v>
      </c>
      <c r="Q2005" t="s">
        <v>19900</v>
      </c>
      <c r="R2005" t="s">
        <v>19447</v>
      </c>
      <c r="S2005" t="s">
        <v>19447</v>
      </c>
      <c r="T2005" t="s">
        <v>19901</v>
      </c>
    </row>
    <row r="2006" spans="2:20" x14ac:dyDescent="0.25">
      <c r="B2006" t="s">
        <v>2709</v>
      </c>
      <c r="C2006">
        <v>29012300</v>
      </c>
      <c r="E2006">
        <v>38</v>
      </c>
      <c r="F2006">
        <v>0</v>
      </c>
      <c r="G2006">
        <v>0</v>
      </c>
      <c r="H2006" t="s">
        <v>19447</v>
      </c>
      <c r="I2006" t="s">
        <v>19447</v>
      </c>
      <c r="J2006">
        <v>2</v>
      </c>
      <c r="L2006" t="s">
        <v>2709</v>
      </c>
      <c r="M2006">
        <v>29012300</v>
      </c>
      <c r="O2006" t="s">
        <v>20008</v>
      </c>
      <c r="P2006" t="s">
        <v>19900</v>
      </c>
      <c r="Q2006" t="s">
        <v>19900</v>
      </c>
      <c r="R2006" t="s">
        <v>19447</v>
      </c>
      <c r="S2006" t="s">
        <v>19447</v>
      </c>
      <c r="T2006" t="s">
        <v>19901</v>
      </c>
    </row>
    <row r="2007" spans="2:20" x14ac:dyDescent="0.25">
      <c r="B2007" t="s">
        <v>2709</v>
      </c>
      <c r="C2007">
        <v>29012410</v>
      </c>
      <c r="E2007">
        <v>38</v>
      </c>
      <c r="F2007">
        <v>0</v>
      </c>
      <c r="G2007">
        <v>0</v>
      </c>
      <c r="H2007" t="s">
        <v>19447</v>
      </c>
      <c r="I2007" t="s">
        <v>19447</v>
      </c>
      <c r="J2007">
        <v>2</v>
      </c>
      <c r="L2007" t="s">
        <v>2709</v>
      </c>
      <c r="M2007">
        <v>29012410</v>
      </c>
      <c r="O2007" t="s">
        <v>20008</v>
      </c>
      <c r="P2007" t="s">
        <v>19900</v>
      </c>
      <c r="Q2007" t="s">
        <v>19900</v>
      </c>
      <c r="R2007" t="s">
        <v>19447</v>
      </c>
      <c r="S2007" t="s">
        <v>19447</v>
      </c>
      <c r="T2007" t="s">
        <v>19901</v>
      </c>
    </row>
    <row r="2008" spans="2:20" x14ac:dyDescent="0.25">
      <c r="B2008" t="s">
        <v>2709</v>
      </c>
      <c r="C2008">
        <v>29012420</v>
      </c>
      <c r="E2008">
        <v>38</v>
      </c>
      <c r="F2008">
        <v>0</v>
      </c>
      <c r="G2008">
        <v>0</v>
      </c>
      <c r="H2008" t="s">
        <v>19447</v>
      </c>
      <c r="I2008" t="s">
        <v>19447</v>
      </c>
      <c r="J2008">
        <v>2</v>
      </c>
      <c r="L2008" t="s">
        <v>2709</v>
      </c>
      <c r="M2008">
        <v>29012420</v>
      </c>
      <c r="O2008" t="s">
        <v>20008</v>
      </c>
      <c r="P2008" t="s">
        <v>19900</v>
      </c>
      <c r="Q2008" t="s">
        <v>19900</v>
      </c>
      <c r="R2008" t="s">
        <v>19447</v>
      </c>
      <c r="S2008" t="s">
        <v>19447</v>
      </c>
      <c r="T2008" t="s">
        <v>19901</v>
      </c>
    </row>
    <row r="2009" spans="2:20" x14ac:dyDescent="0.25">
      <c r="B2009" t="s">
        <v>2709</v>
      </c>
      <c r="C2009">
        <v>29012900</v>
      </c>
      <c r="E2009">
        <v>38</v>
      </c>
      <c r="F2009">
        <v>0</v>
      </c>
      <c r="G2009">
        <v>0</v>
      </c>
      <c r="H2009" t="s">
        <v>19447</v>
      </c>
      <c r="I2009" t="s">
        <v>19447</v>
      </c>
      <c r="J2009">
        <v>2</v>
      </c>
      <c r="L2009" t="s">
        <v>2709</v>
      </c>
      <c r="M2009">
        <v>29012900</v>
      </c>
      <c r="O2009" t="s">
        <v>20008</v>
      </c>
      <c r="P2009" t="s">
        <v>19900</v>
      </c>
      <c r="Q2009" t="s">
        <v>19900</v>
      </c>
      <c r="R2009" t="s">
        <v>19447</v>
      </c>
      <c r="S2009" t="s">
        <v>19447</v>
      </c>
      <c r="T2009" t="s">
        <v>19901</v>
      </c>
    </row>
    <row r="2010" spans="2:20" x14ac:dyDescent="0.25">
      <c r="B2010" t="s">
        <v>2709</v>
      </c>
      <c r="C2010">
        <v>29021100</v>
      </c>
      <c r="E2010">
        <v>38</v>
      </c>
      <c r="F2010">
        <v>0</v>
      </c>
      <c r="G2010">
        <v>0</v>
      </c>
      <c r="H2010" t="s">
        <v>19447</v>
      </c>
      <c r="I2010" t="s">
        <v>19447</v>
      </c>
      <c r="J2010">
        <v>8</v>
      </c>
      <c r="L2010" t="s">
        <v>2709</v>
      </c>
      <c r="M2010">
        <v>29021100</v>
      </c>
      <c r="O2010" t="s">
        <v>20008</v>
      </c>
      <c r="P2010" t="s">
        <v>19900</v>
      </c>
      <c r="Q2010" t="s">
        <v>19900</v>
      </c>
      <c r="R2010" t="s">
        <v>19447</v>
      </c>
      <c r="S2010" t="s">
        <v>19447</v>
      </c>
      <c r="T2010" t="s">
        <v>19918</v>
      </c>
    </row>
    <row r="2011" spans="2:20" x14ac:dyDescent="0.25">
      <c r="B2011" t="s">
        <v>2709</v>
      </c>
      <c r="C2011">
        <v>29021910</v>
      </c>
      <c r="E2011">
        <v>38</v>
      </c>
      <c r="F2011">
        <v>0</v>
      </c>
      <c r="G2011">
        <v>0</v>
      </c>
      <c r="H2011" t="s">
        <v>19447</v>
      </c>
      <c r="I2011" t="s">
        <v>19447</v>
      </c>
      <c r="J2011">
        <v>10</v>
      </c>
      <c r="L2011" t="s">
        <v>2709</v>
      </c>
      <c r="M2011">
        <v>29021910</v>
      </c>
      <c r="O2011" t="s">
        <v>20008</v>
      </c>
      <c r="P2011" t="s">
        <v>19900</v>
      </c>
      <c r="Q2011" t="s">
        <v>19900</v>
      </c>
      <c r="R2011" t="s">
        <v>19447</v>
      </c>
      <c r="S2011" t="s">
        <v>19447</v>
      </c>
      <c r="T2011" t="s">
        <v>19904</v>
      </c>
    </row>
    <row r="2012" spans="2:20" x14ac:dyDescent="0.25">
      <c r="B2012" t="s">
        <v>2709</v>
      </c>
      <c r="C2012">
        <v>29021990</v>
      </c>
      <c r="E2012">
        <v>38</v>
      </c>
      <c r="F2012">
        <v>0</v>
      </c>
      <c r="G2012">
        <v>0</v>
      </c>
      <c r="H2012" t="s">
        <v>19447</v>
      </c>
      <c r="I2012" t="s">
        <v>19447</v>
      </c>
      <c r="J2012">
        <v>2</v>
      </c>
      <c r="L2012" t="s">
        <v>2709</v>
      </c>
      <c r="M2012">
        <v>29021990</v>
      </c>
      <c r="O2012" t="s">
        <v>20008</v>
      </c>
      <c r="P2012" t="s">
        <v>19900</v>
      </c>
      <c r="Q2012" t="s">
        <v>19900</v>
      </c>
      <c r="R2012" t="s">
        <v>19447</v>
      </c>
      <c r="S2012" t="s">
        <v>19447</v>
      </c>
      <c r="T2012" t="s">
        <v>19901</v>
      </c>
    </row>
    <row r="2013" spans="2:20" x14ac:dyDescent="0.25">
      <c r="B2013" t="s">
        <v>2709</v>
      </c>
      <c r="C2013">
        <v>29022000</v>
      </c>
      <c r="E2013">
        <v>38</v>
      </c>
      <c r="F2013">
        <v>0</v>
      </c>
      <c r="G2013">
        <v>0</v>
      </c>
      <c r="H2013" t="s">
        <v>19447</v>
      </c>
      <c r="I2013" t="s">
        <v>19447</v>
      </c>
      <c r="J2013">
        <v>4</v>
      </c>
      <c r="L2013" t="s">
        <v>2709</v>
      </c>
      <c r="M2013">
        <v>29022000</v>
      </c>
      <c r="O2013" t="s">
        <v>20008</v>
      </c>
      <c r="P2013" t="s">
        <v>19900</v>
      </c>
      <c r="Q2013" t="s">
        <v>19900</v>
      </c>
      <c r="R2013" t="s">
        <v>19447</v>
      </c>
      <c r="S2013" t="s">
        <v>19447</v>
      </c>
      <c r="T2013" t="s">
        <v>19902</v>
      </c>
    </row>
    <row r="2014" spans="2:20" x14ac:dyDescent="0.25">
      <c r="B2014" t="s">
        <v>2709</v>
      </c>
      <c r="C2014">
        <v>29023000</v>
      </c>
      <c r="E2014">
        <v>38</v>
      </c>
      <c r="F2014">
        <v>0</v>
      </c>
      <c r="G2014">
        <v>0</v>
      </c>
      <c r="H2014" t="s">
        <v>19447</v>
      </c>
      <c r="I2014" t="s">
        <v>19447</v>
      </c>
      <c r="J2014">
        <v>4</v>
      </c>
      <c r="L2014" t="s">
        <v>2709</v>
      </c>
      <c r="M2014">
        <v>29023000</v>
      </c>
      <c r="O2014" t="s">
        <v>20008</v>
      </c>
      <c r="P2014" t="s">
        <v>19900</v>
      </c>
      <c r="Q2014" t="s">
        <v>19900</v>
      </c>
      <c r="R2014" t="s">
        <v>19447</v>
      </c>
      <c r="S2014" t="s">
        <v>19447</v>
      </c>
      <c r="T2014" t="s">
        <v>19902</v>
      </c>
    </row>
    <row r="2015" spans="2:20" x14ac:dyDescent="0.25">
      <c r="B2015" t="s">
        <v>2709</v>
      </c>
      <c r="C2015">
        <v>29024100</v>
      </c>
      <c r="E2015">
        <v>38</v>
      </c>
      <c r="F2015">
        <v>0</v>
      </c>
      <c r="G2015">
        <v>0</v>
      </c>
      <c r="H2015" t="s">
        <v>19447</v>
      </c>
      <c r="I2015" t="s">
        <v>19447</v>
      </c>
      <c r="J2015">
        <v>4</v>
      </c>
      <c r="L2015" t="s">
        <v>2709</v>
      </c>
      <c r="M2015">
        <v>29024100</v>
      </c>
      <c r="O2015" t="s">
        <v>20008</v>
      </c>
      <c r="P2015" t="s">
        <v>19900</v>
      </c>
      <c r="Q2015" t="s">
        <v>19900</v>
      </c>
      <c r="R2015" t="s">
        <v>19447</v>
      </c>
      <c r="S2015" t="s">
        <v>19447</v>
      </c>
      <c r="T2015" t="s">
        <v>19902</v>
      </c>
    </row>
    <row r="2016" spans="2:20" x14ac:dyDescent="0.25">
      <c r="B2016" t="s">
        <v>2709</v>
      </c>
      <c r="C2016">
        <v>29024200</v>
      </c>
      <c r="E2016">
        <v>38</v>
      </c>
      <c r="F2016">
        <v>0</v>
      </c>
      <c r="G2016">
        <v>0</v>
      </c>
      <c r="H2016" t="s">
        <v>19447</v>
      </c>
      <c r="I2016" t="s">
        <v>19447</v>
      </c>
      <c r="J2016">
        <v>2</v>
      </c>
      <c r="L2016" t="s">
        <v>2709</v>
      </c>
      <c r="M2016">
        <v>29024200</v>
      </c>
      <c r="O2016" t="s">
        <v>20008</v>
      </c>
      <c r="P2016" t="s">
        <v>19900</v>
      </c>
      <c r="Q2016" t="s">
        <v>19900</v>
      </c>
      <c r="R2016" t="s">
        <v>19447</v>
      </c>
      <c r="S2016" t="s">
        <v>19447</v>
      </c>
      <c r="T2016" t="s">
        <v>19901</v>
      </c>
    </row>
    <row r="2017" spans="2:20" x14ac:dyDescent="0.25">
      <c r="B2017" t="s">
        <v>2709</v>
      </c>
      <c r="C2017">
        <v>29024300</v>
      </c>
      <c r="E2017">
        <v>38</v>
      </c>
      <c r="F2017">
        <v>0</v>
      </c>
      <c r="G2017">
        <v>0</v>
      </c>
      <c r="H2017" t="s">
        <v>19447</v>
      </c>
      <c r="I2017" t="s">
        <v>19447</v>
      </c>
      <c r="J2017">
        <v>0</v>
      </c>
      <c r="L2017" t="s">
        <v>2709</v>
      </c>
      <c r="M2017">
        <v>29024300</v>
      </c>
      <c r="O2017" t="s">
        <v>20008</v>
      </c>
      <c r="P2017" t="s">
        <v>19900</v>
      </c>
      <c r="Q2017" t="s">
        <v>19900</v>
      </c>
      <c r="R2017" t="s">
        <v>19447</v>
      </c>
      <c r="S2017" t="s">
        <v>19447</v>
      </c>
      <c r="T2017" t="s">
        <v>19900</v>
      </c>
    </row>
    <row r="2018" spans="2:20" x14ac:dyDescent="0.25">
      <c r="B2018" t="s">
        <v>2709</v>
      </c>
      <c r="C2018">
        <v>29024400</v>
      </c>
      <c r="E2018">
        <v>38</v>
      </c>
      <c r="F2018">
        <v>0</v>
      </c>
      <c r="G2018">
        <v>0</v>
      </c>
      <c r="H2018" t="s">
        <v>19447</v>
      </c>
      <c r="I2018" t="s">
        <v>19447</v>
      </c>
      <c r="J2018">
        <v>4</v>
      </c>
      <c r="L2018" t="s">
        <v>2709</v>
      </c>
      <c r="M2018">
        <v>29024400</v>
      </c>
      <c r="O2018" t="s">
        <v>20008</v>
      </c>
      <c r="P2018" t="s">
        <v>19900</v>
      </c>
      <c r="Q2018" t="s">
        <v>19900</v>
      </c>
      <c r="R2018" t="s">
        <v>19447</v>
      </c>
      <c r="S2018" t="s">
        <v>19447</v>
      </c>
      <c r="T2018" t="s">
        <v>19902</v>
      </c>
    </row>
    <row r="2019" spans="2:20" x14ac:dyDescent="0.25">
      <c r="B2019" t="s">
        <v>2709</v>
      </c>
      <c r="C2019">
        <v>29025000</v>
      </c>
      <c r="E2019">
        <v>38</v>
      </c>
      <c r="F2019">
        <v>0</v>
      </c>
      <c r="G2019">
        <v>0</v>
      </c>
      <c r="H2019" t="s">
        <v>19447</v>
      </c>
      <c r="I2019" t="s">
        <v>19447</v>
      </c>
      <c r="J2019">
        <v>10</v>
      </c>
      <c r="L2019" t="s">
        <v>2709</v>
      </c>
      <c r="M2019">
        <v>29025000</v>
      </c>
      <c r="O2019" t="s">
        <v>20008</v>
      </c>
      <c r="P2019" t="s">
        <v>19900</v>
      </c>
      <c r="Q2019" t="s">
        <v>19900</v>
      </c>
      <c r="R2019" t="s">
        <v>19447</v>
      </c>
      <c r="S2019" t="s">
        <v>19447</v>
      </c>
      <c r="T2019" t="s">
        <v>19904</v>
      </c>
    </row>
    <row r="2020" spans="2:20" x14ac:dyDescent="0.25">
      <c r="B2020" t="s">
        <v>2709</v>
      </c>
      <c r="C2020">
        <v>29026000</v>
      </c>
      <c r="E2020">
        <v>38</v>
      </c>
      <c r="F2020">
        <v>0</v>
      </c>
      <c r="G2020">
        <v>0</v>
      </c>
      <c r="H2020" t="s">
        <v>19447</v>
      </c>
      <c r="I2020" t="s">
        <v>19447</v>
      </c>
      <c r="J2020">
        <v>2</v>
      </c>
      <c r="L2020" t="s">
        <v>2709</v>
      </c>
      <c r="M2020">
        <v>29026000</v>
      </c>
      <c r="O2020" t="s">
        <v>20008</v>
      </c>
      <c r="P2020" t="s">
        <v>19900</v>
      </c>
      <c r="Q2020" t="s">
        <v>19900</v>
      </c>
      <c r="R2020" t="s">
        <v>19447</v>
      </c>
      <c r="S2020" t="s">
        <v>19447</v>
      </c>
      <c r="T2020" t="s">
        <v>19901</v>
      </c>
    </row>
    <row r="2021" spans="2:20" x14ac:dyDescent="0.25">
      <c r="B2021" t="s">
        <v>2709</v>
      </c>
      <c r="C2021">
        <v>29027000</v>
      </c>
      <c r="E2021">
        <v>38</v>
      </c>
      <c r="F2021">
        <v>0</v>
      </c>
      <c r="G2021">
        <v>0</v>
      </c>
      <c r="H2021" t="s">
        <v>19447</v>
      </c>
      <c r="I2021" t="s">
        <v>19447</v>
      </c>
      <c r="J2021">
        <v>8</v>
      </c>
      <c r="L2021" t="s">
        <v>2709</v>
      </c>
      <c r="M2021">
        <v>29027000</v>
      </c>
      <c r="O2021" t="s">
        <v>20008</v>
      </c>
      <c r="P2021" t="s">
        <v>19900</v>
      </c>
      <c r="Q2021" t="s">
        <v>19900</v>
      </c>
      <c r="R2021" t="s">
        <v>19447</v>
      </c>
      <c r="S2021" t="s">
        <v>19447</v>
      </c>
      <c r="T2021" t="s">
        <v>19918</v>
      </c>
    </row>
    <row r="2022" spans="2:20" x14ac:dyDescent="0.25">
      <c r="B2022" t="s">
        <v>2709</v>
      </c>
      <c r="C2022">
        <v>29029010</v>
      </c>
      <c r="E2022">
        <v>38</v>
      </c>
      <c r="F2022">
        <v>0</v>
      </c>
      <c r="G2022">
        <v>0</v>
      </c>
      <c r="H2022" t="s">
        <v>19447</v>
      </c>
      <c r="I2022" t="s">
        <v>19447</v>
      </c>
      <c r="J2022">
        <v>2</v>
      </c>
      <c r="L2022" t="s">
        <v>2709</v>
      </c>
      <c r="M2022">
        <v>29029010</v>
      </c>
      <c r="O2022" t="s">
        <v>20008</v>
      </c>
      <c r="P2022" t="s">
        <v>19900</v>
      </c>
      <c r="Q2022" t="s">
        <v>19900</v>
      </c>
      <c r="R2022" t="s">
        <v>19447</v>
      </c>
      <c r="S2022" t="s">
        <v>19447</v>
      </c>
      <c r="T2022" t="s">
        <v>19901</v>
      </c>
    </row>
    <row r="2023" spans="2:20" x14ac:dyDescent="0.25">
      <c r="B2023" t="s">
        <v>2709</v>
      </c>
      <c r="C2023">
        <v>29029020</v>
      </c>
      <c r="E2023">
        <v>57.3</v>
      </c>
      <c r="F2023">
        <v>0</v>
      </c>
      <c r="G2023">
        <v>0</v>
      </c>
      <c r="H2023" t="s">
        <v>19447</v>
      </c>
      <c r="I2023" t="s">
        <v>19447</v>
      </c>
      <c r="J2023">
        <v>2</v>
      </c>
      <c r="L2023" t="s">
        <v>2709</v>
      </c>
      <c r="M2023">
        <v>29029020</v>
      </c>
      <c r="O2023" t="s">
        <v>20029</v>
      </c>
      <c r="P2023" t="s">
        <v>19900</v>
      </c>
      <c r="Q2023" t="s">
        <v>19900</v>
      </c>
      <c r="R2023" t="s">
        <v>19447</v>
      </c>
      <c r="S2023" t="s">
        <v>19447</v>
      </c>
      <c r="T2023" t="s">
        <v>19901</v>
      </c>
    </row>
    <row r="2024" spans="2:20" x14ac:dyDescent="0.25">
      <c r="B2024" t="s">
        <v>2709</v>
      </c>
      <c r="C2024">
        <v>29029030</v>
      </c>
      <c r="E2024">
        <v>38</v>
      </c>
      <c r="F2024">
        <v>0</v>
      </c>
      <c r="G2024">
        <v>0</v>
      </c>
      <c r="H2024" t="s">
        <v>19447</v>
      </c>
      <c r="I2024" t="s">
        <v>19447</v>
      </c>
      <c r="J2024">
        <v>2</v>
      </c>
      <c r="L2024" t="s">
        <v>2709</v>
      </c>
      <c r="M2024">
        <v>29029030</v>
      </c>
      <c r="O2024" t="s">
        <v>20008</v>
      </c>
      <c r="P2024" t="s">
        <v>19900</v>
      </c>
      <c r="Q2024" t="s">
        <v>19900</v>
      </c>
      <c r="R2024" t="s">
        <v>19447</v>
      </c>
      <c r="S2024" t="s">
        <v>19447</v>
      </c>
      <c r="T2024" t="s">
        <v>19901</v>
      </c>
    </row>
    <row r="2025" spans="2:20" x14ac:dyDescent="0.25">
      <c r="B2025" t="s">
        <v>2709</v>
      </c>
      <c r="C2025">
        <v>29029040</v>
      </c>
      <c r="E2025">
        <v>38</v>
      </c>
      <c r="F2025">
        <v>0</v>
      </c>
      <c r="G2025">
        <v>0</v>
      </c>
      <c r="H2025" t="s">
        <v>19447</v>
      </c>
      <c r="I2025" t="s">
        <v>19447</v>
      </c>
      <c r="J2025">
        <v>10</v>
      </c>
      <c r="L2025" t="s">
        <v>2709</v>
      </c>
      <c r="M2025">
        <v>29029040</v>
      </c>
      <c r="O2025" t="s">
        <v>20008</v>
      </c>
      <c r="P2025" t="s">
        <v>19900</v>
      </c>
      <c r="Q2025" t="s">
        <v>19900</v>
      </c>
      <c r="R2025" t="s">
        <v>19447</v>
      </c>
      <c r="S2025" t="s">
        <v>19447</v>
      </c>
      <c r="T2025" t="s">
        <v>19904</v>
      </c>
    </row>
    <row r="2026" spans="2:20" x14ac:dyDescent="0.25">
      <c r="B2026" t="s">
        <v>2709</v>
      </c>
      <c r="C2026">
        <v>29029090</v>
      </c>
      <c r="E2026">
        <v>38</v>
      </c>
      <c r="F2026">
        <v>0</v>
      </c>
      <c r="G2026">
        <v>0</v>
      </c>
      <c r="H2026" t="s">
        <v>19447</v>
      </c>
      <c r="I2026" t="s">
        <v>19447</v>
      </c>
      <c r="J2026">
        <v>2</v>
      </c>
      <c r="L2026" t="s">
        <v>2709</v>
      </c>
      <c r="M2026">
        <v>29029090</v>
      </c>
      <c r="O2026" t="s">
        <v>20008</v>
      </c>
      <c r="P2026" t="s">
        <v>19900</v>
      </c>
      <c r="Q2026" t="s">
        <v>19900</v>
      </c>
      <c r="R2026" t="s">
        <v>19447</v>
      </c>
      <c r="S2026" t="s">
        <v>19447</v>
      </c>
      <c r="T2026" t="s">
        <v>19901</v>
      </c>
    </row>
    <row r="2027" spans="2:20" x14ac:dyDescent="0.25">
      <c r="B2027" t="s">
        <v>2709</v>
      </c>
      <c r="C2027">
        <v>29031110</v>
      </c>
      <c r="E2027">
        <v>68.819999999999993</v>
      </c>
      <c r="F2027">
        <v>0</v>
      </c>
      <c r="G2027">
        <v>0</v>
      </c>
      <c r="H2027" t="s">
        <v>19447</v>
      </c>
      <c r="I2027" t="s">
        <v>19447</v>
      </c>
      <c r="J2027">
        <v>10</v>
      </c>
      <c r="L2027" t="s">
        <v>2709</v>
      </c>
      <c r="M2027">
        <v>29031110</v>
      </c>
      <c r="O2027" t="s">
        <v>20028</v>
      </c>
      <c r="P2027" t="s">
        <v>19900</v>
      </c>
      <c r="Q2027" t="s">
        <v>19900</v>
      </c>
      <c r="R2027" t="s">
        <v>19447</v>
      </c>
      <c r="S2027" t="s">
        <v>19447</v>
      </c>
      <c r="T2027" t="s">
        <v>19904</v>
      </c>
    </row>
    <row r="2028" spans="2:20" x14ac:dyDescent="0.25">
      <c r="B2028" t="s">
        <v>2709</v>
      </c>
      <c r="C2028">
        <v>29031120</v>
      </c>
      <c r="E2028">
        <v>68.819999999999993</v>
      </c>
      <c r="F2028">
        <v>0</v>
      </c>
      <c r="G2028">
        <v>0</v>
      </c>
      <c r="H2028" t="s">
        <v>19447</v>
      </c>
      <c r="I2028" t="s">
        <v>19447</v>
      </c>
      <c r="J2028">
        <v>10</v>
      </c>
      <c r="L2028" t="s">
        <v>2709</v>
      </c>
      <c r="M2028">
        <v>29031120</v>
      </c>
      <c r="O2028" t="s">
        <v>20028</v>
      </c>
      <c r="P2028" t="s">
        <v>19900</v>
      </c>
      <c r="Q2028" t="s">
        <v>19900</v>
      </c>
      <c r="R2028" t="s">
        <v>19447</v>
      </c>
      <c r="S2028" t="s">
        <v>19447</v>
      </c>
      <c r="T2028" t="s">
        <v>19904</v>
      </c>
    </row>
    <row r="2029" spans="2:20" x14ac:dyDescent="0.25">
      <c r="B2029" t="s">
        <v>2709</v>
      </c>
      <c r="C2029">
        <v>29031200</v>
      </c>
      <c r="E2029">
        <v>68.819999999999993</v>
      </c>
      <c r="F2029">
        <v>0</v>
      </c>
      <c r="G2029">
        <v>0</v>
      </c>
      <c r="H2029" t="s">
        <v>19447</v>
      </c>
      <c r="I2029" t="s">
        <v>19447</v>
      </c>
      <c r="J2029">
        <v>2</v>
      </c>
      <c r="L2029" t="s">
        <v>2709</v>
      </c>
      <c r="M2029">
        <v>29031200</v>
      </c>
      <c r="O2029" t="s">
        <v>20028</v>
      </c>
      <c r="P2029" t="s">
        <v>19900</v>
      </c>
      <c r="Q2029" t="s">
        <v>19900</v>
      </c>
      <c r="R2029" t="s">
        <v>19447</v>
      </c>
      <c r="S2029" t="s">
        <v>19447</v>
      </c>
      <c r="T2029" t="s">
        <v>19901</v>
      </c>
    </row>
    <row r="2030" spans="2:20" x14ac:dyDescent="0.25">
      <c r="B2030" t="s">
        <v>2709</v>
      </c>
      <c r="C2030">
        <v>29031300</v>
      </c>
      <c r="E2030">
        <v>68.819999999999993</v>
      </c>
      <c r="F2030">
        <v>0</v>
      </c>
      <c r="G2030">
        <v>0</v>
      </c>
      <c r="H2030" t="s">
        <v>19447</v>
      </c>
      <c r="I2030" t="s">
        <v>19447</v>
      </c>
      <c r="J2030">
        <v>2</v>
      </c>
      <c r="L2030" t="s">
        <v>2709</v>
      </c>
      <c r="M2030">
        <v>29031300</v>
      </c>
      <c r="O2030" t="s">
        <v>20028</v>
      </c>
      <c r="P2030" t="s">
        <v>19900</v>
      </c>
      <c r="Q2030" t="s">
        <v>19900</v>
      </c>
      <c r="R2030" t="s">
        <v>19447</v>
      </c>
      <c r="S2030" t="s">
        <v>19447</v>
      </c>
      <c r="T2030" t="s">
        <v>19901</v>
      </c>
    </row>
    <row r="2031" spans="2:20" x14ac:dyDescent="0.25">
      <c r="B2031" t="s">
        <v>2709</v>
      </c>
      <c r="C2031">
        <v>29031400</v>
      </c>
      <c r="E2031">
        <v>68.819999999999993</v>
      </c>
      <c r="F2031">
        <v>0</v>
      </c>
      <c r="G2031">
        <v>0</v>
      </c>
      <c r="H2031" t="s">
        <v>19447</v>
      </c>
      <c r="I2031" t="s">
        <v>19447</v>
      </c>
      <c r="J2031">
        <v>10</v>
      </c>
      <c r="L2031" t="s">
        <v>2709</v>
      </c>
      <c r="M2031">
        <v>29031400</v>
      </c>
      <c r="O2031" t="s">
        <v>20028</v>
      </c>
      <c r="P2031" t="s">
        <v>19900</v>
      </c>
      <c r="Q2031" t="s">
        <v>19900</v>
      </c>
      <c r="R2031" t="s">
        <v>19447</v>
      </c>
      <c r="S2031" t="s">
        <v>19447</v>
      </c>
      <c r="T2031" t="s">
        <v>19904</v>
      </c>
    </row>
    <row r="2032" spans="2:20" x14ac:dyDescent="0.25">
      <c r="B2032" t="s">
        <v>2709</v>
      </c>
      <c r="C2032">
        <v>29031500</v>
      </c>
      <c r="E2032">
        <v>68.819999999999993</v>
      </c>
      <c r="F2032">
        <v>0</v>
      </c>
      <c r="G2032">
        <v>0</v>
      </c>
      <c r="H2032" t="s">
        <v>19447</v>
      </c>
      <c r="I2032" t="s">
        <v>19447</v>
      </c>
      <c r="J2032">
        <v>10</v>
      </c>
      <c r="L2032" t="s">
        <v>2709</v>
      </c>
      <c r="M2032">
        <v>29031500</v>
      </c>
      <c r="O2032" t="s">
        <v>20028</v>
      </c>
      <c r="P2032" t="s">
        <v>19900</v>
      </c>
      <c r="Q2032" t="s">
        <v>19900</v>
      </c>
      <c r="R2032" t="s">
        <v>19447</v>
      </c>
      <c r="S2032" t="s">
        <v>19447</v>
      </c>
      <c r="T2032" t="s">
        <v>19904</v>
      </c>
    </row>
    <row r="2033" spans="2:20" x14ac:dyDescent="0.25">
      <c r="B2033" t="s">
        <v>2709</v>
      </c>
      <c r="C2033">
        <v>29031910</v>
      </c>
      <c r="E2033">
        <v>68.819999999999993</v>
      </c>
      <c r="F2033">
        <v>0</v>
      </c>
      <c r="G2033">
        <v>0</v>
      </c>
      <c r="H2033" t="s">
        <v>19447</v>
      </c>
      <c r="I2033" t="s">
        <v>19447</v>
      </c>
      <c r="J2033">
        <v>2</v>
      </c>
      <c r="L2033" t="s">
        <v>2709</v>
      </c>
      <c r="M2033">
        <v>29031910</v>
      </c>
      <c r="O2033" t="s">
        <v>20028</v>
      </c>
      <c r="P2033" t="s">
        <v>19900</v>
      </c>
      <c r="Q2033" t="s">
        <v>19900</v>
      </c>
      <c r="R2033" t="s">
        <v>19447</v>
      </c>
      <c r="S2033" t="s">
        <v>19447</v>
      </c>
      <c r="T2033" t="s">
        <v>19901</v>
      </c>
    </row>
    <row r="2034" spans="2:20" x14ac:dyDescent="0.25">
      <c r="B2034" t="s">
        <v>2709</v>
      </c>
      <c r="C2034">
        <v>29031920</v>
      </c>
      <c r="E2034">
        <v>68.819999999999993</v>
      </c>
      <c r="F2034">
        <v>0</v>
      </c>
      <c r="G2034">
        <v>0</v>
      </c>
      <c r="H2034" t="s">
        <v>19447</v>
      </c>
      <c r="I2034" t="s">
        <v>19447</v>
      </c>
      <c r="J2034">
        <v>2</v>
      </c>
      <c r="L2034" t="s">
        <v>2709</v>
      </c>
      <c r="M2034">
        <v>29031920</v>
      </c>
      <c r="O2034" t="s">
        <v>20028</v>
      </c>
      <c r="P2034" t="s">
        <v>19900</v>
      </c>
      <c r="Q2034" t="s">
        <v>19900</v>
      </c>
      <c r="R2034" t="s">
        <v>19447</v>
      </c>
      <c r="S2034" t="s">
        <v>19447</v>
      </c>
      <c r="T2034" t="s">
        <v>19901</v>
      </c>
    </row>
    <row r="2035" spans="2:20" x14ac:dyDescent="0.25">
      <c r="B2035" t="s">
        <v>2709</v>
      </c>
      <c r="C2035">
        <v>29031990</v>
      </c>
      <c r="E2035">
        <v>68.819999999999993</v>
      </c>
      <c r="F2035">
        <v>0</v>
      </c>
      <c r="G2035">
        <v>0</v>
      </c>
      <c r="H2035" t="s">
        <v>19447</v>
      </c>
      <c r="I2035" t="s">
        <v>19447</v>
      </c>
      <c r="J2035">
        <v>2</v>
      </c>
      <c r="L2035" t="s">
        <v>2709</v>
      </c>
      <c r="M2035">
        <v>29031990</v>
      </c>
      <c r="O2035" t="s">
        <v>20028</v>
      </c>
      <c r="P2035" t="s">
        <v>19900</v>
      </c>
      <c r="Q2035" t="s">
        <v>19900</v>
      </c>
      <c r="R2035" t="s">
        <v>19447</v>
      </c>
      <c r="S2035" t="s">
        <v>19447</v>
      </c>
      <c r="T2035" t="s">
        <v>19901</v>
      </c>
    </row>
    <row r="2036" spans="2:20" x14ac:dyDescent="0.25">
      <c r="B2036" t="s">
        <v>2709</v>
      </c>
      <c r="C2036">
        <v>29032100</v>
      </c>
      <c r="E2036">
        <v>68.819999999999993</v>
      </c>
      <c r="F2036">
        <v>0</v>
      </c>
      <c r="G2036">
        <v>0</v>
      </c>
      <c r="H2036" t="s">
        <v>19447</v>
      </c>
      <c r="I2036" t="s">
        <v>19447</v>
      </c>
      <c r="J2036">
        <v>10</v>
      </c>
      <c r="L2036" t="s">
        <v>2709</v>
      </c>
      <c r="M2036">
        <v>29032100</v>
      </c>
      <c r="O2036" t="s">
        <v>20028</v>
      </c>
      <c r="P2036" t="s">
        <v>19900</v>
      </c>
      <c r="Q2036" t="s">
        <v>19900</v>
      </c>
      <c r="R2036" t="s">
        <v>19447</v>
      </c>
      <c r="S2036" t="s">
        <v>19447</v>
      </c>
      <c r="T2036" t="s">
        <v>19904</v>
      </c>
    </row>
    <row r="2037" spans="2:20" x14ac:dyDescent="0.25">
      <c r="B2037" t="s">
        <v>2709</v>
      </c>
      <c r="C2037">
        <v>29032200</v>
      </c>
      <c r="E2037">
        <v>68.819999999999993</v>
      </c>
      <c r="F2037">
        <v>0</v>
      </c>
      <c r="G2037">
        <v>0</v>
      </c>
      <c r="H2037" t="s">
        <v>19447</v>
      </c>
      <c r="I2037" t="s">
        <v>19447</v>
      </c>
      <c r="J2037">
        <v>10</v>
      </c>
      <c r="L2037" t="s">
        <v>2709</v>
      </c>
      <c r="M2037">
        <v>29032200</v>
      </c>
      <c r="O2037" t="s">
        <v>20028</v>
      </c>
      <c r="P2037" t="s">
        <v>19900</v>
      </c>
      <c r="Q2037" t="s">
        <v>19900</v>
      </c>
      <c r="R2037" t="s">
        <v>19447</v>
      </c>
      <c r="S2037" t="s">
        <v>19447</v>
      </c>
      <c r="T2037" t="s">
        <v>19904</v>
      </c>
    </row>
    <row r="2038" spans="2:20" x14ac:dyDescent="0.25">
      <c r="B2038" t="s">
        <v>2709</v>
      </c>
      <c r="C2038">
        <v>29032300</v>
      </c>
      <c r="E2038">
        <v>68.819999999999993</v>
      </c>
      <c r="F2038">
        <v>0</v>
      </c>
      <c r="G2038">
        <v>0</v>
      </c>
      <c r="H2038" t="s">
        <v>19447</v>
      </c>
      <c r="I2038" t="s">
        <v>19447</v>
      </c>
      <c r="J2038">
        <v>10</v>
      </c>
      <c r="L2038" t="s">
        <v>2709</v>
      </c>
      <c r="M2038">
        <v>29032300</v>
      </c>
      <c r="O2038" t="s">
        <v>20028</v>
      </c>
      <c r="P2038" t="s">
        <v>19900</v>
      </c>
      <c r="Q2038" t="s">
        <v>19900</v>
      </c>
      <c r="R2038" t="s">
        <v>19447</v>
      </c>
      <c r="S2038" t="s">
        <v>19447</v>
      </c>
      <c r="T2038" t="s">
        <v>19904</v>
      </c>
    </row>
    <row r="2039" spans="2:20" x14ac:dyDescent="0.25">
      <c r="B2039" t="s">
        <v>2709</v>
      </c>
      <c r="C2039">
        <v>29032900</v>
      </c>
      <c r="E2039">
        <v>68.819999999999993</v>
      </c>
      <c r="F2039">
        <v>0</v>
      </c>
      <c r="G2039">
        <v>0</v>
      </c>
      <c r="H2039" t="s">
        <v>19447</v>
      </c>
      <c r="I2039" t="s">
        <v>19447</v>
      </c>
      <c r="J2039">
        <v>2</v>
      </c>
      <c r="L2039" t="s">
        <v>2709</v>
      </c>
      <c r="M2039">
        <v>29032900</v>
      </c>
      <c r="O2039" t="s">
        <v>20028</v>
      </c>
      <c r="P2039" t="s">
        <v>19900</v>
      </c>
      <c r="Q2039" t="s">
        <v>19900</v>
      </c>
      <c r="R2039" t="s">
        <v>19447</v>
      </c>
      <c r="S2039" t="s">
        <v>19447</v>
      </c>
      <c r="T2039" t="s">
        <v>19901</v>
      </c>
    </row>
    <row r="2040" spans="2:20" x14ac:dyDescent="0.25">
      <c r="B2040" t="s">
        <v>2709</v>
      </c>
      <c r="C2040">
        <v>29033100</v>
      </c>
      <c r="E2040">
        <v>68.819999999999993</v>
      </c>
      <c r="F2040">
        <v>0</v>
      </c>
      <c r="G2040">
        <v>0</v>
      </c>
      <c r="H2040" t="s">
        <v>19447</v>
      </c>
      <c r="I2040" t="s">
        <v>19447</v>
      </c>
      <c r="J2040">
        <v>2</v>
      </c>
      <c r="L2040" t="s">
        <v>2709</v>
      </c>
      <c r="M2040">
        <v>29033100</v>
      </c>
      <c r="O2040" t="s">
        <v>20028</v>
      </c>
      <c r="P2040" t="s">
        <v>19900</v>
      </c>
      <c r="Q2040" t="s">
        <v>19900</v>
      </c>
      <c r="R2040" t="s">
        <v>19447</v>
      </c>
      <c r="S2040" t="s">
        <v>19447</v>
      </c>
      <c r="T2040" t="s">
        <v>19901</v>
      </c>
    </row>
    <row r="2041" spans="2:20" x14ac:dyDescent="0.25">
      <c r="B2041" t="s">
        <v>2709</v>
      </c>
      <c r="C2041">
        <v>29033911</v>
      </c>
      <c r="E2041">
        <v>68.819999999999993</v>
      </c>
      <c r="F2041">
        <v>0</v>
      </c>
      <c r="G2041">
        <v>0</v>
      </c>
      <c r="H2041" t="s">
        <v>19447</v>
      </c>
      <c r="I2041" t="s">
        <v>19447</v>
      </c>
      <c r="J2041">
        <v>2</v>
      </c>
      <c r="L2041" t="s">
        <v>2709</v>
      </c>
      <c r="M2041">
        <v>29033911</v>
      </c>
      <c r="O2041" t="s">
        <v>20028</v>
      </c>
      <c r="P2041" t="s">
        <v>19900</v>
      </c>
      <c r="Q2041" t="s">
        <v>19900</v>
      </c>
      <c r="R2041" t="s">
        <v>19447</v>
      </c>
      <c r="S2041" t="s">
        <v>19447</v>
      </c>
      <c r="T2041" t="s">
        <v>19901</v>
      </c>
    </row>
    <row r="2042" spans="2:20" x14ac:dyDescent="0.25">
      <c r="B2042" t="s">
        <v>2709</v>
      </c>
      <c r="C2042">
        <v>29033912</v>
      </c>
      <c r="E2042">
        <v>68.819999999999993</v>
      </c>
      <c r="F2042">
        <v>0</v>
      </c>
      <c r="G2042">
        <v>0</v>
      </c>
      <c r="H2042" t="s">
        <v>19447</v>
      </c>
      <c r="I2042" t="s">
        <v>19447</v>
      </c>
      <c r="J2042">
        <v>2</v>
      </c>
      <c r="L2042" t="s">
        <v>2709</v>
      </c>
      <c r="M2042">
        <v>29033912</v>
      </c>
      <c r="O2042" t="s">
        <v>20028</v>
      </c>
      <c r="P2042" t="s">
        <v>19900</v>
      </c>
      <c r="Q2042" t="s">
        <v>19900</v>
      </c>
      <c r="R2042" t="s">
        <v>19447</v>
      </c>
      <c r="S2042" t="s">
        <v>19447</v>
      </c>
      <c r="T2042" t="s">
        <v>19901</v>
      </c>
    </row>
    <row r="2043" spans="2:20" x14ac:dyDescent="0.25">
      <c r="B2043" t="s">
        <v>2709</v>
      </c>
      <c r="C2043">
        <v>29033919</v>
      </c>
      <c r="E2043">
        <v>68.819999999999993</v>
      </c>
      <c r="F2043">
        <v>0</v>
      </c>
      <c r="G2043">
        <v>0</v>
      </c>
      <c r="H2043" t="s">
        <v>19447</v>
      </c>
      <c r="I2043" t="s">
        <v>19447</v>
      </c>
      <c r="J2043">
        <v>2</v>
      </c>
      <c r="L2043" t="s">
        <v>2709</v>
      </c>
      <c r="M2043">
        <v>29033919</v>
      </c>
      <c r="O2043" t="s">
        <v>20028</v>
      </c>
      <c r="P2043" t="s">
        <v>19900</v>
      </c>
      <c r="Q2043" t="s">
        <v>19900</v>
      </c>
      <c r="R2043" t="s">
        <v>19447</v>
      </c>
      <c r="S2043" t="s">
        <v>19447</v>
      </c>
      <c r="T2043" t="s">
        <v>19901</v>
      </c>
    </row>
    <row r="2044" spans="2:20" x14ac:dyDescent="0.25">
      <c r="B2044" t="s">
        <v>2709</v>
      </c>
      <c r="C2044">
        <v>29033921</v>
      </c>
      <c r="E2044">
        <v>68.819999999999993</v>
      </c>
      <c r="F2044">
        <v>0</v>
      </c>
      <c r="G2044">
        <v>0</v>
      </c>
      <c r="H2044" t="s">
        <v>19447</v>
      </c>
      <c r="I2044" t="s">
        <v>19447</v>
      </c>
      <c r="J2044">
        <v>0</v>
      </c>
      <c r="L2044" t="s">
        <v>2709</v>
      </c>
      <c r="M2044">
        <v>29033921</v>
      </c>
      <c r="O2044" t="s">
        <v>20028</v>
      </c>
      <c r="P2044" t="s">
        <v>19900</v>
      </c>
      <c r="Q2044" t="s">
        <v>19900</v>
      </c>
      <c r="R2044" t="s">
        <v>19447</v>
      </c>
      <c r="S2044" t="s">
        <v>19447</v>
      </c>
      <c r="T2044" t="s">
        <v>19900</v>
      </c>
    </row>
    <row r="2045" spans="2:20" x14ac:dyDescent="0.25">
      <c r="B2045" t="s">
        <v>2709</v>
      </c>
      <c r="C2045">
        <v>29033929</v>
      </c>
      <c r="E2045">
        <v>68.819999999999993</v>
      </c>
      <c r="F2045">
        <v>0</v>
      </c>
      <c r="G2045">
        <v>0</v>
      </c>
      <c r="H2045" t="s">
        <v>19447</v>
      </c>
      <c r="I2045" t="s">
        <v>19447</v>
      </c>
      <c r="J2045">
        <v>2</v>
      </c>
      <c r="L2045" t="s">
        <v>2709</v>
      </c>
      <c r="M2045">
        <v>29033929</v>
      </c>
      <c r="O2045" t="s">
        <v>20028</v>
      </c>
      <c r="P2045" t="s">
        <v>19900</v>
      </c>
      <c r="Q2045" t="s">
        <v>19900</v>
      </c>
      <c r="R2045" t="s">
        <v>19447</v>
      </c>
      <c r="S2045" t="s">
        <v>19447</v>
      </c>
      <c r="T2045" t="s">
        <v>19901</v>
      </c>
    </row>
    <row r="2046" spans="2:20" x14ac:dyDescent="0.25">
      <c r="B2046" t="s">
        <v>2709</v>
      </c>
      <c r="C2046">
        <v>29033931</v>
      </c>
      <c r="E2046">
        <v>68.819999999999993</v>
      </c>
      <c r="F2046">
        <v>0</v>
      </c>
      <c r="G2046">
        <v>0</v>
      </c>
      <c r="H2046" t="s">
        <v>19447</v>
      </c>
      <c r="I2046" t="s">
        <v>19447</v>
      </c>
      <c r="J2046">
        <v>2</v>
      </c>
      <c r="L2046" t="s">
        <v>2709</v>
      </c>
      <c r="M2046">
        <v>29033931</v>
      </c>
      <c r="O2046" t="s">
        <v>20028</v>
      </c>
      <c r="P2046" t="s">
        <v>19900</v>
      </c>
      <c r="Q2046" t="s">
        <v>19900</v>
      </c>
      <c r="R2046" t="s">
        <v>19447</v>
      </c>
      <c r="S2046" t="s">
        <v>19447</v>
      </c>
      <c r="T2046" t="s">
        <v>19901</v>
      </c>
    </row>
    <row r="2047" spans="2:20" x14ac:dyDescent="0.25">
      <c r="B2047" t="s">
        <v>2709</v>
      </c>
      <c r="C2047">
        <v>29033932</v>
      </c>
      <c r="E2047">
        <v>68.819999999999993</v>
      </c>
      <c r="F2047">
        <v>0</v>
      </c>
      <c r="G2047">
        <v>0</v>
      </c>
      <c r="H2047" t="s">
        <v>19447</v>
      </c>
      <c r="I2047" t="s">
        <v>19447</v>
      </c>
      <c r="J2047">
        <v>2</v>
      </c>
      <c r="L2047" t="s">
        <v>2709</v>
      </c>
      <c r="M2047">
        <v>29033932</v>
      </c>
      <c r="O2047" t="s">
        <v>20028</v>
      </c>
      <c r="P2047" t="s">
        <v>19900</v>
      </c>
      <c r="Q2047" t="s">
        <v>19900</v>
      </c>
      <c r="R2047" t="s">
        <v>19447</v>
      </c>
      <c r="S2047" t="s">
        <v>19447</v>
      </c>
      <c r="T2047" t="s">
        <v>19901</v>
      </c>
    </row>
    <row r="2048" spans="2:20" x14ac:dyDescent="0.25">
      <c r="B2048" t="s">
        <v>2709</v>
      </c>
      <c r="C2048">
        <v>29033939</v>
      </c>
      <c r="E2048">
        <v>68.819999999999993</v>
      </c>
      <c r="F2048">
        <v>0</v>
      </c>
      <c r="G2048">
        <v>0</v>
      </c>
      <c r="H2048" t="s">
        <v>19447</v>
      </c>
      <c r="I2048" t="s">
        <v>19447</v>
      </c>
      <c r="J2048">
        <v>2</v>
      </c>
      <c r="L2048" t="s">
        <v>2709</v>
      </c>
      <c r="M2048">
        <v>29033939</v>
      </c>
      <c r="O2048" t="s">
        <v>20028</v>
      </c>
      <c r="P2048" t="s">
        <v>19900</v>
      </c>
      <c r="Q2048" t="s">
        <v>19900</v>
      </c>
      <c r="R2048" t="s">
        <v>19447</v>
      </c>
      <c r="S2048" t="s">
        <v>19447</v>
      </c>
      <c r="T2048" t="s">
        <v>19901</v>
      </c>
    </row>
    <row r="2049" spans="2:20" x14ac:dyDescent="0.25">
      <c r="B2049" t="s">
        <v>2709</v>
      </c>
      <c r="C2049">
        <v>29037100</v>
      </c>
      <c r="E2049">
        <v>68.819999999999993</v>
      </c>
      <c r="F2049">
        <v>0</v>
      </c>
      <c r="G2049">
        <v>0</v>
      </c>
      <c r="H2049" t="s">
        <v>19447</v>
      </c>
      <c r="I2049" t="s">
        <v>19447</v>
      </c>
      <c r="J2049">
        <v>10</v>
      </c>
      <c r="L2049" t="s">
        <v>2709</v>
      </c>
      <c r="M2049">
        <v>29037100</v>
      </c>
      <c r="O2049" t="s">
        <v>20028</v>
      </c>
      <c r="P2049" t="s">
        <v>19900</v>
      </c>
      <c r="Q2049" t="s">
        <v>19900</v>
      </c>
      <c r="R2049" t="s">
        <v>19447</v>
      </c>
      <c r="S2049" t="s">
        <v>19447</v>
      </c>
      <c r="T2049" t="s">
        <v>19904</v>
      </c>
    </row>
    <row r="2050" spans="2:20" x14ac:dyDescent="0.25">
      <c r="B2050" t="s">
        <v>2709</v>
      </c>
      <c r="C2050">
        <v>29037200</v>
      </c>
      <c r="E2050">
        <v>68.819999999999993</v>
      </c>
      <c r="F2050">
        <v>0</v>
      </c>
      <c r="G2050">
        <v>0</v>
      </c>
      <c r="H2050" t="s">
        <v>19447</v>
      </c>
      <c r="I2050" t="s">
        <v>19447</v>
      </c>
      <c r="J2050">
        <v>2</v>
      </c>
      <c r="L2050" t="s">
        <v>2709</v>
      </c>
      <c r="M2050">
        <v>29037200</v>
      </c>
      <c r="O2050" t="s">
        <v>20028</v>
      </c>
      <c r="P2050" t="s">
        <v>19900</v>
      </c>
      <c r="Q2050" t="s">
        <v>19900</v>
      </c>
      <c r="R2050" t="s">
        <v>19447</v>
      </c>
      <c r="S2050" t="s">
        <v>19447</v>
      </c>
      <c r="T2050" t="s">
        <v>19901</v>
      </c>
    </row>
    <row r="2051" spans="2:20" x14ac:dyDescent="0.25">
      <c r="B2051" t="s">
        <v>2709</v>
      </c>
      <c r="C2051">
        <v>29037300</v>
      </c>
      <c r="E2051">
        <v>68.819999999999993</v>
      </c>
      <c r="F2051">
        <v>0</v>
      </c>
      <c r="G2051">
        <v>0</v>
      </c>
      <c r="H2051" t="s">
        <v>19447</v>
      </c>
      <c r="I2051" t="s">
        <v>19447</v>
      </c>
      <c r="J2051">
        <v>2</v>
      </c>
      <c r="L2051" t="s">
        <v>2709</v>
      </c>
      <c r="M2051">
        <v>29037300</v>
      </c>
      <c r="O2051" t="s">
        <v>20028</v>
      </c>
      <c r="P2051" t="s">
        <v>19900</v>
      </c>
      <c r="Q2051" t="s">
        <v>19900</v>
      </c>
      <c r="R2051" t="s">
        <v>19447</v>
      </c>
      <c r="S2051" t="s">
        <v>19447</v>
      </c>
      <c r="T2051" t="s">
        <v>19901</v>
      </c>
    </row>
    <row r="2052" spans="2:20" x14ac:dyDescent="0.25">
      <c r="B2052" t="s">
        <v>2709</v>
      </c>
      <c r="C2052">
        <v>29037400</v>
      </c>
      <c r="E2052">
        <v>68.819999999999993</v>
      </c>
      <c r="F2052">
        <v>0</v>
      </c>
      <c r="G2052">
        <v>0</v>
      </c>
      <c r="H2052" t="s">
        <v>19447</v>
      </c>
      <c r="I2052" t="s">
        <v>19447</v>
      </c>
      <c r="J2052">
        <v>2</v>
      </c>
      <c r="L2052" t="s">
        <v>2709</v>
      </c>
      <c r="M2052">
        <v>29037400</v>
      </c>
      <c r="O2052" t="s">
        <v>20028</v>
      </c>
      <c r="P2052" t="s">
        <v>19900</v>
      </c>
      <c r="Q2052" t="s">
        <v>19900</v>
      </c>
      <c r="R2052" t="s">
        <v>19447</v>
      </c>
      <c r="S2052" t="s">
        <v>19447</v>
      </c>
      <c r="T2052" t="s">
        <v>19901</v>
      </c>
    </row>
    <row r="2053" spans="2:20" x14ac:dyDescent="0.25">
      <c r="B2053" t="s">
        <v>2709</v>
      </c>
      <c r="C2053">
        <v>29037500</v>
      </c>
      <c r="E2053">
        <v>68.819999999999993</v>
      </c>
      <c r="F2053">
        <v>0</v>
      </c>
      <c r="G2053">
        <v>0</v>
      </c>
      <c r="H2053" t="s">
        <v>19447</v>
      </c>
      <c r="I2053" t="s">
        <v>19447</v>
      </c>
      <c r="J2053">
        <v>2</v>
      </c>
      <c r="L2053" t="s">
        <v>2709</v>
      </c>
      <c r="M2053">
        <v>29037500</v>
      </c>
      <c r="O2053" t="s">
        <v>20028</v>
      </c>
      <c r="P2053" t="s">
        <v>19900</v>
      </c>
      <c r="Q2053" t="s">
        <v>19900</v>
      </c>
      <c r="R2053" t="s">
        <v>19447</v>
      </c>
      <c r="S2053" t="s">
        <v>19447</v>
      </c>
      <c r="T2053" t="s">
        <v>19901</v>
      </c>
    </row>
    <row r="2054" spans="2:20" x14ac:dyDescent="0.25">
      <c r="B2054" t="s">
        <v>2709</v>
      </c>
      <c r="C2054">
        <v>29037600</v>
      </c>
      <c r="E2054">
        <v>68.819999999999993</v>
      </c>
      <c r="F2054">
        <v>0</v>
      </c>
      <c r="G2054">
        <v>0</v>
      </c>
      <c r="H2054" t="s">
        <v>19447</v>
      </c>
      <c r="I2054" t="s">
        <v>19447</v>
      </c>
      <c r="J2054">
        <v>2</v>
      </c>
      <c r="L2054" t="s">
        <v>2709</v>
      </c>
      <c r="M2054">
        <v>29037600</v>
      </c>
      <c r="O2054" t="s">
        <v>20028</v>
      </c>
      <c r="P2054" t="s">
        <v>19900</v>
      </c>
      <c r="Q2054" t="s">
        <v>19900</v>
      </c>
      <c r="R2054" t="s">
        <v>19447</v>
      </c>
      <c r="S2054" t="s">
        <v>19447</v>
      </c>
      <c r="T2054" t="s">
        <v>19901</v>
      </c>
    </row>
    <row r="2055" spans="2:20" x14ac:dyDescent="0.25">
      <c r="B2055" t="s">
        <v>2709</v>
      </c>
      <c r="C2055">
        <v>29037711</v>
      </c>
      <c r="E2055">
        <v>68.819999999999993</v>
      </c>
      <c r="F2055">
        <v>0</v>
      </c>
      <c r="G2055">
        <v>0</v>
      </c>
      <c r="H2055" t="s">
        <v>19447</v>
      </c>
      <c r="I2055" t="s">
        <v>19447</v>
      </c>
      <c r="J2055">
        <v>10</v>
      </c>
      <c r="L2055" t="s">
        <v>2709</v>
      </c>
      <c r="M2055">
        <v>29037711</v>
      </c>
      <c r="O2055" t="s">
        <v>20028</v>
      </c>
      <c r="P2055" t="s">
        <v>19900</v>
      </c>
      <c r="Q2055" t="s">
        <v>19900</v>
      </c>
      <c r="R2055" t="s">
        <v>19447</v>
      </c>
      <c r="S2055" t="s">
        <v>19447</v>
      </c>
      <c r="T2055" t="s">
        <v>19904</v>
      </c>
    </row>
    <row r="2056" spans="2:20" x14ac:dyDescent="0.25">
      <c r="B2056" t="s">
        <v>2709</v>
      </c>
      <c r="C2056">
        <v>29037712</v>
      </c>
      <c r="E2056">
        <v>68.819999999999993</v>
      </c>
      <c r="F2056">
        <v>0</v>
      </c>
      <c r="G2056">
        <v>0</v>
      </c>
      <c r="H2056" t="s">
        <v>19447</v>
      </c>
      <c r="I2056" t="s">
        <v>19447</v>
      </c>
      <c r="J2056">
        <v>10</v>
      </c>
      <c r="L2056" t="s">
        <v>2709</v>
      </c>
      <c r="M2056">
        <v>29037712</v>
      </c>
      <c r="O2056" t="s">
        <v>20028</v>
      </c>
      <c r="P2056" t="s">
        <v>19900</v>
      </c>
      <c r="Q2056" t="s">
        <v>19900</v>
      </c>
      <c r="R2056" t="s">
        <v>19447</v>
      </c>
      <c r="S2056" t="s">
        <v>19447</v>
      </c>
      <c r="T2056" t="s">
        <v>19904</v>
      </c>
    </row>
    <row r="2057" spans="2:20" x14ac:dyDescent="0.25">
      <c r="B2057" t="s">
        <v>2709</v>
      </c>
      <c r="C2057">
        <v>29037713</v>
      </c>
      <c r="E2057">
        <v>68.819999999999993</v>
      </c>
      <c r="F2057">
        <v>0</v>
      </c>
      <c r="G2057">
        <v>0</v>
      </c>
      <c r="H2057" t="s">
        <v>19447</v>
      </c>
      <c r="I2057" t="s">
        <v>19447</v>
      </c>
      <c r="J2057">
        <v>2</v>
      </c>
      <c r="L2057" t="s">
        <v>2709</v>
      </c>
      <c r="M2057">
        <v>29037713</v>
      </c>
      <c r="O2057" t="s">
        <v>20028</v>
      </c>
      <c r="P2057" t="s">
        <v>19900</v>
      </c>
      <c r="Q2057" t="s">
        <v>19900</v>
      </c>
      <c r="R2057" t="s">
        <v>19447</v>
      </c>
      <c r="S2057" t="s">
        <v>19447</v>
      </c>
      <c r="T2057" t="s">
        <v>19901</v>
      </c>
    </row>
    <row r="2058" spans="2:20" x14ac:dyDescent="0.25">
      <c r="B2058" t="s">
        <v>2709</v>
      </c>
      <c r="C2058">
        <v>29037721</v>
      </c>
      <c r="E2058">
        <v>68.819999999999993</v>
      </c>
      <c r="F2058">
        <v>0</v>
      </c>
      <c r="G2058">
        <v>0</v>
      </c>
      <c r="H2058" t="s">
        <v>19447</v>
      </c>
      <c r="I2058" t="s">
        <v>19447</v>
      </c>
      <c r="J2058">
        <v>2</v>
      </c>
      <c r="L2058" t="s">
        <v>2709</v>
      </c>
      <c r="M2058">
        <v>29037721</v>
      </c>
      <c r="O2058" t="s">
        <v>20028</v>
      </c>
      <c r="P2058" t="s">
        <v>19900</v>
      </c>
      <c r="Q2058" t="s">
        <v>19900</v>
      </c>
      <c r="R2058" t="s">
        <v>19447</v>
      </c>
      <c r="S2058" t="s">
        <v>19447</v>
      </c>
      <c r="T2058" t="s">
        <v>19901</v>
      </c>
    </row>
    <row r="2059" spans="2:20" x14ac:dyDescent="0.25">
      <c r="B2059" t="s">
        <v>2709</v>
      </c>
      <c r="C2059">
        <v>29037722</v>
      </c>
      <c r="E2059">
        <v>68.819999999999993</v>
      </c>
      <c r="F2059">
        <v>0</v>
      </c>
      <c r="G2059">
        <v>0</v>
      </c>
      <c r="H2059" t="s">
        <v>19447</v>
      </c>
      <c r="I2059" t="s">
        <v>19447</v>
      </c>
      <c r="J2059">
        <v>2</v>
      </c>
      <c r="L2059" t="s">
        <v>2709</v>
      </c>
      <c r="M2059">
        <v>29037722</v>
      </c>
      <c r="O2059" t="s">
        <v>20028</v>
      </c>
      <c r="P2059" t="s">
        <v>19900</v>
      </c>
      <c r="Q2059" t="s">
        <v>19900</v>
      </c>
      <c r="R2059" t="s">
        <v>19447</v>
      </c>
      <c r="S2059" t="s">
        <v>19447</v>
      </c>
      <c r="T2059" t="s">
        <v>19901</v>
      </c>
    </row>
    <row r="2060" spans="2:20" x14ac:dyDescent="0.25">
      <c r="B2060" t="s">
        <v>2709</v>
      </c>
      <c r="C2060">
        <v>29037723</v>
      </c>
      <c r="E2060">
        <v>68.819999999999993</v>
      </c>
      <c r="F2060">
        <v>0</v>
      </c>
      <c r="G2060">
        <v>0</v>
      </c>
      <c r="H2060" t="s">
        <v>19447</v>
      </c>
      <c r="I2060" t="s">
        <v>19447</v>
      </c>
      <c r="J2060">
        <v>2</v>
      </c>
      <c r="L2060" t="s">
        <v>2709</v>
      </c>
      <c r="M2060">
        <v>29037723</v>
      </c>
      <c r="O2060" t="s">
        <v>20028</v>
      </c>
      <c r="P2060" t="s">
        <v>19900</v>
      </c>
      <c r="Q2060" t="s">
        <v>19900</v>
      </c>
      <c r="R2060" t="s">
        <v>19447</v>
      </c>
      <c r="S2060" t="s">
        <v>19447</v>
      </c>
      <c r="T2060" t="s">
        <v>19901</v>
      </c>
    </row>
    <row r="2061" spans="2:20" x14ac:dyDescent="0.25">
      <c r="B2061" t="s">
        <v>2709</v>
      </c>
      <c r="C2061">
        <v>29037724</v>
      </c>
      <c r="E2061">
        <v>68.819999999999993</v>
      </c>
      <c r="F2061">
        <v>0</v>
      </c>
      <c r="G2061">
        <v>0</v>
      </c>
      <c r="H2061" t="s">
        <v>19447</v>
      </c>
      <c r="I2061" t="s">
        <v>19447</v>
      </c>
      <c r="J2061">
        <v>2</v>
      </c>
      <c r="L2061" t="s">
        <v>2709</v>
      </c>
      <c r="M2061">
        <v>29037724</v>
      </c>
      <c r="O2061" t="s">
        <v>20028</v>
      </c>
      <c r="P2061" t="s">
        <v>19900</v>
      </c>
      <c r="Q2061" t="s">
        <v>19900</v>
      </c>
      <c r="R2061" t="s">
        <v>19447</v>
      </c>
      <c r="S2061" t="s">
        <v>19447</v>
      </c>
      <c r="T2061" t="s">
        <v>19901</v>
      </c>
    </row>
    <row r="2062" spans="2:20" x14ac:dyDescent="0.25">
      <c r="B2062" t="s">
        <v>2709</v>
      </c>
      <c r="C2062">
        <v>29037731</v>
      </c>
      <c r="E2062">
        <v>68.819999999999993</v>
      </c>
      <c r="F2062">
        <v>0</v>
      </c>
      <c r="G2062">
        <v>0</v>
      </c>
      <c r="H2062" t="s">
        <v>19447</v>
      </c>
      <c r="I2062" t="s">
        <v>19447</v>
      </c>
      <c r="J2062">
        <v>2</v>
      </c>
      <c r="L2062" t="s">
        <v>2709</v>
      </c>
      <c r="M2062">
        <v>29037731</v>
      </c>
      <c r="O2062" t="s">
        <v>20028</v>
      </c>
      <c r="P2062" t="s">
        <v>19900</v>
      </c>
      <c r="Q2062" t="s">
        <v>19900</v>
      </c>
      <c r="R2062" t="s">
        <v>19447</v>
      </c>
      <c r="S2062" t="s">
        <v>19447</v>
      </c>
      <c r="T2062" t="s">
        <v>19901</v>
      </c>
    </row>
    <row r="2063" spans="2:20" x14ac:dyDescent="0.25">
      <c r="B2063" t="s">
        <v>2709</v>
      </c>
      <c r="C2063">
        <v>29037732</v>
      </c>
      <c r="E2063">
        <v>68.819999999999993</v>
      </c>
      <c r="F2063">
        <v>0</v>
      </c>
      <c r="G2063">
        <v>0</v>
      </c>
      <c r="H2063" t="s">
        <v>19447</v>
      </c>
      <c r="I2063" t="s">
        <v>19447</v>
      </c>
      <c r="J2063">
        <v>2</v>
      </c>
      <c r="L2063" t="s">
        <v>2709</v>
      </c>
      <c r="M2063">
        <v>29037732</v>
      </c>
      <c r="O2063" t="s">
        <v>20028</v>
      </c>
      <c r="P2063" t="s">
        <v>19900</v>
      </c>
      <c r="Q2063" t="s">
        <v>19900</v>
      </c>
      <c r="R2063" t="s">
        <v>19447</v>
      </c>
      <c r="S2063" t="s">
        <v>19447</v>
      </c>
      <c r="T2063" t="s">
        <v>19901</v>
      </c>
    </row>
    <row r="2064" spans="2:20" x14ac:dyDescent="0.25">
      <c r="B2064" t="s">
        <v>2709</v>
      </c>
      <c r="C2064">
        <v>29037733</v>
      </c>
      <c r="E2064">
        <v>68.819999999999993</v>
      </c>
      <c r="F2064">
        <v>0</v>
      </c>
      <c r="G2064">
        <v>0</v>
      </c>
      <c r="H2064" t="s">
        <v>19447</v>
      </c>
      <c r="I2064" t="s">
        <v>19447</v>
      </c>
      <c r="J2064">
        <v>2</v>
      </c>
      <c r="L2064" t="s">
        <v>2709</v>
      </c>
      <c r="M2064">
        <v>29037733</v>
      </c>
      <c r="O2064" t="s">
        <v>20028</v>
      </c>
      <c r="P2064" t="s">
        <v>19900</v>
      </c>
      <c r="Q2064" t="s">
        <v>19900</v>
      </c>
      <c r="R2064" t="s">
        <v>19447</v>
      </c>
      <c r="S2064" t="s">
        <v>19447</v>
      </c>
      <c r="T2064" t="s">
        <v>19901</v>
      </c>
    </row>
    <row r="2065" spans="2:20" x14ac:dyDescent="0.25">
      <c r="B2065" t="s">
        <v>2709</v>
      </c>
      <c r="C2065">
        <v>29037734</v>
      </c>
      <c r="E2065">
        <v>68.819999999999993</v>
      </c>
      <c r="F2065">
        <v>0</v>
      </c>
      <c r="G2065">
        <v>0</v>
      </c>
      <c r="H2065" t="s">
        <v>19447</v>
      </c>
      <c r="I2065" t="s">
        <v>19447</v>
      </c>
      <c r="J2065">
        <v>2</v>
      </c>
      <c r="L2065" t="s">
        <v>2709</v>
      </c>
      <c r="M2065">
        <v>29037734</v>
      </c>
      <c r="O2065" t="s">
        <v>20028</v>
      </c>
      <c r="P2065" t="s">
        <v>19900</v>
      </c>
      <c r="Q2065" t="s">
        <v>19900</v>
      </c>
      <c r="R2065" t="s">
        <v>19447</v>
      </c>
      <c r="S2065" t="s">
        <v>19447</v>
      </c>
      <c r="T2065" t="s">
        <v>19901</v>
      </c>
    </row>
    <row r="2066" spans="2:20" x14ac:dyDescent="0.25">
      <c r="B2066" t="s">
        <v>2709</v>
      </c>
      <c r="C2066">
        <v>29037735</v>
      </c>
      <c r="E2066">
        <v>68.819999999999993</v>
      </c>
      <c r="F2066">
        <v>0</v>
      </c>
      <c r="G2066">
        <v>0</v>
      </c>
      <c r="H2066" t="s">
        <v>19447</v>
      </c>
      <c r="I2066" t="s">
        <v>19447</v>
      </c>
      <c r="J2066">
        <v>2</v>
      </c>
      <c r="L2066" t="s">
        <v>2709</v>
      </c>
      <c r="M2066">
        <v>29037735</v>
      </c>
      <c r="O2066" t="s">
        <v>20028</v>
      </c>
      <c r="P2066" t="s">
        <v>19900</v>
      </c>
      <c r="Q2066" t="s">
        <v>19900</v>
      </c>
      <c r="R2066" t="s">
        <v>19447</v>
      </c>
      <c r="S2066" t="s">
        <v>19447</v>
      </c>
      <c r="T2066" t="s">
        <v>19901</v>
      </c>
    </row>
    <row r="2067" spans="2:20" x14ac:dyDescent="0.25">
      <c r="B2067" t="s">
        <v>2709</v>
      </c>
      <c r="C2067">
        <v>29037736</v>
      </c>
      <c r="E2067">
        <v>68.819999999999993</v>
      </c>
      <c r="F2067">
        <v>0</v>
      </c>
      <c r="G2067">
        <v>0</v>
      </c>
      <c r="H2067" t="s">
        <v>19447</v>
      </c>
      <c r="I2067" t="s">
        <v>19447</v>
      </c>
      <c r="J2067">
        <v>2</v>
      </c>
      <c r="L2067" t="s">
        <v>2709</v>
      </c>
      <c r="M2067">
        <v>29037736</v>
      </c>
      <c r="O2067" t="s">
        <v>20028</v>
      </c>
      <c r="P2067" t="s">
        <v>19900</v>
      </c>
      <c r="Q2067" t="s">
        <v>19900</v>
      </c>
      <c r="R2067" t="s">
        <v>19447</v>
      </c>
      <c r="S2067" t="s">
        <v>19447</v>
      </c>
      <c r="T2067" t="s">
        <v>19901</v>
      </c>
    </row>
    <row r="2068" spans="2:20" x14ac:dyDescent="0.25">
      <c r="B2068" t="s">
        <v>2709</v>
      </c>
      <c r="C2068">
        <v>29037737</v>
      </c>
      <c r="E2068">
        <v>68.819999999999993</v>
      </c>
      <c r="F2068">
        <v>0</v>
      </c>
      <c r="G2068">
        <v>0</v>
      </c>
      <c r="H2068" t="s">
        <v>19447</v>
      </c>
      <c r="I2068" t="s">
        <v>19447</v>
      </c>
      <c r="J2068">
        <v>2</v>
      </c>
      <c r="L2068" t="s">
        <v>2709</v>
      </c>
      <c r="M2068">
        <v>29037737</v>
      </c>
      <c r="O2068" t="s">
        <v>20028</v>
      </c>
      <c r="P2068" t="s">
        <v>19900</v>
      </c>
      <c r="Q2068" t="s">
        <v>19900</v>
      </c>
      <c r="R2068" t="s">
        <v>19447</v>
      </c>
      <c r="S2068" t="s">
        <v>19447</v>
      </c>
      <c r="T2068" t="s">
        <v>19901</v>
      </c>
    </row>
    <row r="2069" spans="2:20" x14ac:dyDescent="0.25">
      <c r="B2069" t="s">
        <v>2709</v>
      </c>
      <c r="C2069">
        <v>29037790</v>
      </c>
      <c r="E2069">
        <v>68.819999999999993</v>
      </c>
      <c r="F2069">
        <v>0</v>
      </c>
      <c r="G2069">
        <v>0</v>
      </c>
      <c r="H2069" t="s">
        <v>19447</v>
      </c>
      <c r="I2069" t="s">
        <v>19447</v>
      </c>
      <c r="J2069">
        <v>10</v>
      </c>
      <c r="L2069" t="s">
        <v>2709</v>
      </c>
      <c r="M2069">
        <v>29037790</v>
      </c>
      <c r="O2069" t="s">
        <v>20028</v>
      </c>
      <c r="P2069" t="s">
        <v>19900</v>
      </c>
      <c r="Q2069" t="s">
        <v>19900</v>
      </c>
      <c r="R2069" t="s">
        <v>19447</v>
      </c>
      <c r="S2069" t="s">
        <v>19447</v>
      </c>
      <c r="T2069" t="s">
        <v>19904</v>
      </c>
    </row>
    <row r="2070" spans="2:20" x14ac:dyDescent="0.25">
      <c r="B2070" t="s">
        <v>2709</v>
      </c>
      <c r="C2070">
        <v>29037800</v>
      </c>
      <c r="E2070">
        <v>68.819999999999993</v>
      </c>
      <c r="F2070">
        <v>0</v>
      </c>
      <c r="G2070">
        <v>0</v>
      </c>
      <c r="H2070" t="s">
        <v>19447</v>
      </c>
      <c r="I2070" t="s">
        <v>19447</v>
      </c>
      <c r="J2070">
        <v>2</v>
      </c>
      <c r="L2070" t="s">
        <v>2709</v>
      </c>
      <c r="M2070">
        <v>29037800</v>
      </c>
      <c r="O2070" t="s">
        <v>20028</v>
      </c>
      <c r="P2070" t="s">
        <v>19900</v>
      </c>
      <c r="Q2070" t="s">
        <v>19900</v>
      </c>
      <c r="R2070" t="s">
        <v>19447</v>
      </c>
      <c r="S2070" t="s">
        <v>19447</v>
      </c>
      <c r="T2070" t="s">
        <v>19901</v>
      </c>
    </row>
    <row r="2071" spans="2:20" x14ac:dyDescent="0.25">
      <c r="B2071" t="s">
        <v>2709</v>
      </c>
      <c r="C2071">
        <v>29037911</v>
      </c>
      <c r="E2071">
        <v>68.819999999999993</v>
      </c>
      <c r="F2071">
        <v>0</v>
      </c>
      <c r="G2071">
        <v>0</v>
      </c>
      <c r="H2071" t="s">
        <v>19447</v>
      </c>
      <c r="I2071" t="s">
        <v>19447</v>
      </c>
      <c r="J2071">
        <v>2</v>
      </c>
      <c r="L2071" t="s">
        <v>2709</v>
      </c>
      <c r="M2071">
        <v>29037911</v>
      </c>
      <c r="O2071" t="s">
        <v>20028</v>
      </c>
      <c r="P2071" t="s">
        <v>19900</v>
      </c>
      <c r="Q2071" t="s">
        <v>19900</v>
      </c>
      <c r="R2071" t="s">
        <v>19447</v>
      </c>
      <c r="S2071" t="s">
        <v>19447</v>
      </c>
      <c r="T2071" t="s">
        <v>19901</v>
      </c>
    </row>
    <row r="2072" spans="2:20" x14ac:dyDescent="0.25">
      <c r="B2072" t="s">
        <v>2709</v>
      </c>
      <c r="C2072">
        <v>29037912</v>
      </c>
      <c r="E2072">
        <v>68.819999999999993</v>
      </c>
      <c r="F2072">
        <v>0</v>
      </c>
      <c r="G2072">
        <v>0</v>
      </c>
      <c r="H2072" t="s">
        <v>19447</v>
      </c>
      <c r="I2072" t="s">
        <v>19447</v>
      </c>
      <c r="J2072">
        <v>2</v>
      </c>
      <c r="L2072" t="s">
        <v>2709</v>
      </c>
      <c r="M2072">
        <v>29037912</v>
      </c>
      <c r="O2072" t="s">
        <v>20028</v>
      </c>
      <c r="P2072" t="s">
        <v>19900</v>
      </c>
      <c r="Q2072" t="s">
        <v>19900</v>
      </c>
      <c r="R2072" t="s">
        <v>19447</v>
      </c>
      <c r="S2072" t="s">
        <v>19447</v>
      </c>
      <c r="T2072" t="s">
        <v>19901</v>
      </c>
    </row>
    <row r="2073" spans="2:20" x14ac:dyDescent="0.25">
      <c r="B2073" t="s">
        <v>2709</v>
      </c>
      <c r="C2073">
        <v>29037919</v>
      </c>
      <c r="E2073">
        <v>68.819999999999993</v>
      </c>
      <c r="F2073">
        <v>0</v>
      </c>
      <c r="G2073">
        <v>0</v>
      </c>
      <c r="H2073" t="s">
        <v>19447</v>
      </c>
      <c r="I2073" t="s">
        <v>19447</v>
      </c>
      <c r="J2073">
        <v>2</v>
      </c>
      <c r="L2073" t="s">
        <v>2709</v>
      </c>
      <c r="M2073">
        <v>29037919</v>
      </c>
      <c r="O2073" t="s">
        <v>20028</v>
      </c>
      <c r="P2073" t="s">
        <v>19900</v>
      </c>
      <c r="Q2073" t="s">
        <v>19900</v>
      </c>
      <c r="R2073" t="s">
        <v>19447</v>
      </c>
      <c r="S2073" t="s">
        <v>19447</v>
      </c>
      <c r="T2073" t="s">
        <v>19901</v>
      </c>
    </row>
    <row r="2074" spans="2:20" x14ac:dyDescent="0.25">
      <c r="B2074" t="s">
        <v>2709</v>
      </c>
      <c r="C2074">
        <v>29037920</v>
      </c>
      <c r="E2074">
        <v>68.819999999999993</v>
      </c>
      <c r="F2074">
        <v>0</v>
      </c>
      <c r="G2074">
        <v>0</v>
      </c>
      <c r="H2074" t="s">
        <v>19447</v>
      </c>
      <c r="I2074" t="s">
        <v>19447</v>
      </c>
      <c r="J2074">
        <v>2</v>
      </c>
      <c r="L2074" t="s">
        <v>2709</v>
      </c>
      <c r="M2074">
        <v>29037920</v>
      </c>
      <c r="O2074" t="s">
        <v>20028</v>
      </c>
      <c r="P2074" t="s">
        <v>19900</v>
      </c>
      <c r="Q2074" t="s">
        <v>19900</v>
      </c>
      <c r="R2074" t="s">
        <v>19447</v>
      </c>
      <c r="S2074" t="s">
        <v>19447</v>
      </c>
      <c r="T2074" t="s">
        <v>19901</v>
      </c>
    </row>
    <row r="2075" spans="2:20" x14ac:dyDescent="0.25">
      <c r="B2075" t="s">
        <v>2709</v>
      </c>
      <c r="C2075">
        <v>29037931</v>
      </c>
      <c r="E2075">
        <v>68.819999999999993</v>
      </c>
      <c r="F2075">
        <v>0</v>
      </c>
      <c r="G2075">
        <v>0</v>
      </c>
      <c r="H2075" t="s">
        <v>19447</v>
      </c>
      <c r="I2075" t="s">
        <v>19447</v>
      </c>
      <c r="J2075">
        <v>2</v>
      </c>
      <c r="L2075" t="s">
        <v>2709</v>
      </c>
      <c r="M2075">
        <v>29037931</v>
      </c>
      <c r="O2075" t="s">
        <v>20028</v>
      </c>
      <c r="P2075" t="s">
        <v>19900</v>
      </c>
      <c r="Q2075" t="s">
        <v>19900</v>
      </c>
      <c r="R2075" t="s">
        <v>19447</v>
      </c>
      <c r="S2075" t="s">
        <v>19447</v>
      </c>
      <c r="T2075" t="s">
        <v>19901</v>
      </c>
    </row>
    <row r="2076" spans="2:20" x14ac:dyDescent="0.25">
      <c r="B2076" t="s">
        <v>2709</v>
      </c>
      <c r="C2076">
        <v>29037939</v>
      </c>
      <c r="E2076">
        <v>68.819999999999993</v>
      </c>
      <c r="F2076">
        <v>0</v>
      </c>
      <c r="G2076">
        <v>0</v>
      </c>
      <c r="H2076" t="s">
        <v>19447</v>
      </c>
      <c r="I2076" t="s">
        <v>19447</v>
      </c>
      <c r="J2076">
        <v>2</v>
      </c>
      <c r="L2076" t="s">
        <v>2709</v>
      </c>
      <c r="M2076">
        <v>29037939</v>
      </c>
      <c r="O2076" t="s">
        <v>20028</v>
      </c>
      <c r="P2076" t="s">
        <v>19900</v>
      </c>
      <c r="Q2076" t="s">
        <v>19900</v>
      </c>
      <c r="R2076" t="s">
        <v>19447</v>
      </c>
      <c r="S2076" t="s">
        <v>19447</v>
      </c>
      <c r="T2076" t="s">
        <v>19901</v>
      </c>
    </row>
    <row r="2077" spans="2:20" x14ac:dyDescent="0.25">
      <c r="B2077" t="s">
        <v>2709</v>
      </c>
      <c r="C2077">
        <v>29037990</v>
      </c>
      <c r="E2077">
        <v>68.819999999999993</v>
      </c>
      <c r="F2077">
        <v>0</v>
      </c>
      <c r="G2077">
        <v>0</v>
      </c>
      <c r="H2077" t="s">
        <v>19447</v>
      </c>
      <c r="I2077" t="s">
        <v>19447</v>
      </c>
      <c r="J2077">
        <v>2</v>
      </c>
      <c r="L2077" t="s">
        <v>2709</v>
      </c>
      <c r="M2077">
        <v>29037990</v>
      </c>
      <c r="O2077" t="s">
        <v>20028</v>
      </c>
      <c r="P2077" t="s">
        <v>19900</v>
      </c>
      <c r="Q2077" t="s">
        <v>19900</v>
      </c>
      <c r="R2077" t="s">
        <v>19447</v>
      </c>
      <c r="S2077" t="s">
        <v>19447</v>
      </c>
      <c r="T2077" t="s">
        <v>19901</v>
      </c>
    </row>
    <row r="2078" spans="2:20" x14ac:dyDescent="0.25">
      <c r="B2078" t="s">
        <v>2709</v>
      </c>
      <c r="C2078">
        <v>29038110</v>
      </c>
      <c r="E2078">
        <v>68.819999999999993</v>
      </c>
      <c r="F2078">
        <v>0</v>
      </c>
      <c r="G2078">
        <v>0</v>
      </c>
      <c r="H2078" t="s">
        <v>19447</v>
      </c>
      <c r="I2078" t="s">
        <v>19447</v>
      </c>
      <c r="J2078">
        <v>2</v>
      </c>
      <c r="L2078" t="s">
        <v>2709</v>
      </c>
      <c r="M2078">
        <v>29038110</v>
      </c>
      <c r="O2078" t="s">
        <v>20028</v>
      </c>
      <c r="P2078" t="s">
        <v>19900</v>
      </c>
      <c r="Q2078" t="s">
        <v>19900</v>
      </c>
      <c r="R2078" t="s">
        <v>19447</v>
      </c>
      <c r="S2078" t="s">
        <v>19447</v>
      </c>
      <c r="T2078" t="s">
        <v>19901</v>
      </c>
    </row>
    <row r="2079" spans="2:20" x14ac:dyDescent="0.25">
      <c r="B2079" t="s">
        <v>2709</v>
      </c>
      <c r="C2079">
        <v>29038190</v>
      </c>
      <c r="E2079">
        <v>68.819999999999993</v>
      </c>
      <c r="F2079">
        <v>0</v>
      </c>
      <c r="G2079">
        <v>0</v>
      </c>
      <c r="H2079" t="s">
        <v>19447</v>
      </c>
      <c r="I2079" t="s">
        <v>19447</v>
      </c>
      <c r="J2079">
        <v>2</v>
      </c>
      <c r="L2079" t="s">
        <v>2709</v>
      </c>
      <c r="M2079">
        <v>29038190</v>
      </c>
      <c r="O2079" t="s">
        <v>20028</v>
      </c>
      <c r="P2079" t="s">
        <v>19900</v>
      </c>
      <c r="Q2079" t="s">
        <v>19900</v>
      </c>
      <c r="R2079" t="s">
        <v>19447</v>
      </c>
      <c r="S2079" t="s">
        <v>19447</v>
      </c>
      <c r="T2079" t="s">
        <v>19901</v>
      </c>
    </row>
    <row r="2080" spans="2:20" x14ac:dyDescent="0.25">
      <c r="B2080" t="s">
        <v>2709</v>
      </c>
      <c r="C2080">
        <v>29038210</v>
      </c>
      <c r="E2080">
        <v>68.819999999999993</v>
      </c>
      <c r="F2080">
        <v>0</v>
      </c>
      <c r="G2080">
        <v>0</v>
      </c>
      <c r="H2080" t="s">
        <v>19447</v>
      </c>
      <c r="I2080" t="s">
        <v>19447</v>
      </c>
      <c r="J2080">
        <v>2</v>
      </c>
      <c r="L2080" t="s">
        <v>2709</v>
      </c>
      <c r="M2080">
        <v>29038210</v>
      </c>
      <c r="O2080" t="s">
        <v>20028</v>
      </c>
      <c r="P2080" t="s">
        <v>19900</v>
      </c>
      <c r="Q2080" t="s">
        <v>19900</v>
      </c>
      <c r="R2080" t="s">
        <v>19447</v>
      </c>
      <c r="S2080" t="s">
        <v>19447</v>
      </c>
      <c r="T2080" t="s">
        <v>19901</v>
      </c>
    </row>
    <row r="2081" spans="2:20" x14ac:dyDescent="0.25">
      <c r="B2081" t="s">
        <v>2709</v>
      </c>
      <c r="C2081">
        <v>29038220</v>
      </c>
      <c r="E2081">
        <v>68.819999999999993</v>
      </c>
      <c r="F2081">
        <v>0</v>
      </c>
      <c r="G2081">
        <v>0</v>
      </c>
      <c r="H2081" t="s">
        <v>19447</v>
      </c>
      <c r="I2081" t="s">
        <v>19447</v>
      </c>
      <c r="J2081">
        <v>2</v>
      </c>
      <c r="L2081" t="s">
        <v>2709</v>
      </c>
      <c r="M2081">
        <v>29038220</v>
      </c>
      <c r="O2081" t="s">
        <v>20028</v>
      </c>
      <c r="P2081" t="s">
        <v>19900</v>
      </c>
      <c r="Q2081" t="s">
        <v>19900</v>
      </c>
      <c r="R2081" t="s">
        <v>19447</v>
      </c>
      <c r="S2081" t="s">
        <v>19447</v>
      </c>
      <c r="T2081" t="s">
        <v>19901</v>
      </c>
    </row>
    <row r="2082" spans="2:20" x14ac:dyDescent="0.25">
      <c r="B2082" t="s">
        <v>2709</v>
      </c>
      <c r="C2082">
        <v>29038230</v>
      </c>
      <c r="E2082">
        <v>68.819999999999993</v>
      </c>
      <c r="F2082">
        <v>0</v>
      </c>
      <c r="G2082">
        <v>0</v>
      </c>
      <c r="H2082" t="s">
        <v>19447</v>
      </c>
      <c r="I2082" t="s">
        <v>19447</v>
      </c>
      <c r="J2082">
        <v>2</v>
      </c>
      <c r="L2082" t="s">
        <v>2709</v>
      </c>
      <c r="M2082">
        <v>29038230</v>
      </c>
      <c r="O2082" t="s">
        <v>20028</v>
      </c>
      <c r="P2082" t="s">
        <v>19900</v>
      </c>
      <c r="Q2082" t="s">
        <v>19900</v>
      </c>
      <c r="R2082" t="s">
        <v>19447</v>
      </c>
      <c r="S2082" t="s">
        <v>19447</v>
      </c>
      <c r="T2082" t="s">
        <v>19901</v>
      </c>
    </row>
    <row r="2083" spans="2:20" x14ac:dyDescent="0.25">
      <c r="B2083" t="s">
        <v>2709</v>
      </c>
      <c r="C2083">
        <v>29038910</v>
      </c>
      <c r="E2083">
        <v>68.819999999999993</v>
      </c>
      <c r="F2083">
        <v>0</v>
      </c>
      <c r="G2083">
        <v>0</v>
      </c>
      <c r="H2083" t="s">
        <v>19447</v>
      </c>
      <c r="I2083" t="s">
        <v>19447</v>
      </c>
      <c r="J2083">
        <v>2</v>
      </c>
      <c r="L2083" t="s">
        <v>2709</v>
      </c>
      <c r="M2083">
        <v>29038910</v>
      </c>
      <c r="O2083" t="s">
        <v>20028</v>
      </c>
      <c r="P2083" t="s">
        <v>19900</v>
      </c>
      <c r="Q2083" t="s">
        <v>19900</v>
      </c>
      <c r="R2083" t="s">
        <v>19447</v>
      </c>
      <c r="S2083" t="s">
        <v>19447</v>
      </c>
      <c r="T2083" t="s">
        <v>19901</v>
      </c>
    </row>
    <row r="2084" spans="2:20" x14ac:dyDescent="0.25">
      <c r="B2084" t="s">
        <v>2709</v>
      </c>
      <c r="C2084">
        <v>29038990</v>
      </c>
      <c r="E2084">
        <v>68.819999999999993</v>
      </c>
      <c r="F2084">
        <v>0</v>
      </c>
      <c r="G2084">
        <v>0</v>
      </c>
      <c r="H2084" t="s">
        <v>19447</v>
      </c>
      <c r="I2084" t="s">
        <v>19447</v>
      </c>
      <c r="J2084">
        <v>2</v>
      </c>
      <c r="L2084" t="s">
        <v>2709</v>
      </c>
      <c r="M2084">
        <v>29038990</v>
      </c>
      <c r="O2084" t="s">
        <v>20028</v>
      </c>
      <c r="P2084" t="s">
        <v>19900</v>
      </c>
      <c r="Q2084" t="s">
        <v>19900</v>
      </c>
      <c r="R2084" t="s">
        <v>19447</v>
      </c>
      <c r="S2084" t="s">
        <v>19447</v>
      </c>
      <c r="T2084" t="s">
        <v>19901</v>
      </c>
    </row>
    <row r="2085" spans="2:20" x14ac:dyDescent="0.25">
      <c r="B2085" t="s">
        <v>2709</v>
      </c>
      <c r="C2085">
        <v>29039110</v>
      </c>
      <c r="E2085">
        <v>68.819999999999993</v>
      </c>
      <c r="F2085">
        <v>0</v>
      </c>
      <c r="G2085">
        <v>0</v>
      </c>
      <c r="H2085" t="s">
        <v>19447</v>
      </c>
      <c r="I2085" t="s">
        <v>19447</v>
      </c>
      <c r="J2085">
        <v>2</v>
      </c>
      <c r="L2085" t="s">
        <v>2709</v>
      </c>
      <c r="M2085">
        <v>29039110</v>
      </c>
      <c r="O2085" t="s">
        <v>20028</v>
      </c>
      <c r="P2085" t="s">
        <v>19900</v>
      </c>
      <c r="Q2085" t="s">
        <v>19900</v>
      </c>
      <c r="R2085" t="s">
        <v>19447</v>
      </c>
      <c r="S2085" t="s">
        <v>19447</v>
      </c>
      <c r="T2085" t="s">
        <v>19901</v>
      </c>
    </row>
    <row r="2086" spans="2:20" x14ac:dyDescent="0.25">
      <c r="B2086" t="s">
        <v>2709</v>
      </c>
      <c r="C2086">
        <v>29039120</v>
      </c>
      <c r="E2086">
        <v>68.819999999999993</v>
      </c>
      <c r="F2086">
        <v>0</v>
      </c>
      <c r="G2086">
        <v>0</v>
      </c>
      <c r="H2086" t="s">
        <v>19447</v>
      </c>
      <c r="I2086" t="s">
        <v>19447</v>
      </c>
      <c r="J2086">
        <v>12</v>
      </c>
      <c r="L2086" t="s">
        <v>2709</v>
      </c>
      <c r="M2086">
        <v>29039120</v>
      </c>
      <c r="O2086" t="s">
        <v>20028</v>
      </c>
      <c r="P2086" t="s">
        <v>19900</v>
      </c>
      <c r="Q2086" t="s">
        <v>19900</v>
      </c>
      <c r="R2086" t="s">
        <v>19447</v>
      </c>
      <c r="S2086" t="s">
        <v>19447</v>
      </c>
      <c r="T2086" t="s">
        <v>19903</v>
      </c>
    </row>
    <row r="2087" spans="2:20" x14ac:dyDescent="0.25">
      <c r="B2087" t="s">
        <v>2709</v>
      </c>
      <c r="C2087">
        <v>29039130</v>
      </c>
      <c r="E2087">
        <v>68.819999999999993</v>
      </c>
      <c r="F2087">
        <v>0</v>
      </c>
      <c r="G2087">
        <v>0</v>
      </c>
      <c r="H2087" t="s">
        <v>19447</v>
      </c>
      <c r="I2087" t="s">
        <v>19447</v>
      </c>
      <c r="J2087">
        <v>12</v>
      </c>
      <c r="L2087" t="s">
        <v>2709</v>
      </c>
      <c r="M2087">
        <v>29039130</v>
      </c>
      <c r="O2087" t="s">
        <v>20028</v>
      </c>
      <c r="P2087" t="s">
        <v>19900</v>
      </c>
      <c r="Q2087" t="s">
        <v>19900</v>
      </c>
      <c r="R2087" t="s">
        <v>19447</v>
      </c>
      <c r="S2087" t="s">
        <v>19447</v>
      </c>
      <c r="T2087" t="s">
        <v>19903</v>
      </c>
    </row>
    <row r="2088" spans="2:20" x14ac:dyDescent="0.25">
      <c r="B2088" t="s">
        <v>2709</v>
      </c>
      <c r="C2088">
        <v>29039210</v>
      </c>
      <c r="E2088">
        <v>68.819999999999993</v>
      </c>
      <c r="F2088">
        <v>0</v>
      </c>
      <c r="G2088">
        <v>0</v>
      </c>
      <c r="H2088" t="s">
        <v>19447</v>
      </c>
      <c r="I2088" t="s">
        <v>19447</v>
      </c>
      <c r="J2088">
        <v>10</v>
      </c>
      <c r="L2088" t="s">
        <v>2709</v>
      </c>
      <c r="M2088">
        <v>29039210</v>
      </c>
      <c r="O2088" t="s">
        <v>20028</v>
      </c>
      <c r="P2088" t="s">
        <v>19900</v>
      </c>
      <c r="Q2088" t="s">
        <v>19900</v>
      </c>
      <c r="R2088" t="s">
        <v>19447</v>
      </c>
      <c r="S2088" t="s">
        <v>19447</v>
      </c>
      <c r="T2088" t="s">
        <v>19904</v>
      </c>
    </row>
    <row r="2089" spans="2:20" x14ac:dyDescent="0.25">
      <c r="B2089" t="s">
        <v>2709</v>
      </c>
      <c r="C2089">
        <v>29039220</v>
      </c>
      <c r="E2089">
        <v>68.819999999999993</v>
      </c>
      <c r="F2089">
        <v>0</v>
      </c>
      <c r="G2089">
        <v>0</v>
      </c>
      <c r="H2089" t="s">
        <v>19447</v>
      </c>
      <c r="I2089" t="s">
        <v>19447</v>
      </c>
      <c r="J2089">
        <v>2</v>
      </c>
      <c r="L2089" t="s">
        <v>2709</v>
      </c>
      <c r="M2089">
        <v>29039220</v>
      </c>
      <c r="O2089" t="s">
        <v>20028</v>
      </c>
      <c r="P2089" t="s">
        <v>19900</v>
      </c>
      <c r="Q2089" t="s">
        <v>19900</v>
      </c>
      <c r="R2089" t="s">
        <v>19447</v>
      </c>
      <c r="S2089" t="s">
        <v>19447</v>
      </c>
      <c r="T2089" t="s">
        <v>19901</v>
      </c>
    </row>
    <row r="2090" spans="2:20" x14ac:dyDescent="0.25">
      <c r="B2090" t="s">
        <v>2709</v>
      </c>
      <c r="C2090">
        <v>29039911</v>
      </c>
      <c r="E2090">
        <v>68.819999999999993</v>
      </c>
      <c r="F2090">
        <v>0</v>
      </c>
      <c r="G2090">
        <v>0</v>
      </c>
      <c r="H2090" t="s">
        <v>19447</v>
      </c>
      <c r="I2090" t="s">
        <v>19447</v>
      </c>
      <c r="J2090">
        <v>2</v>
      </c>
      <c r="L2090" t="s">
        <v>2709</v>
      </c>
      <c r="M2090">
        <v>29039911</v>
      </c>
      <c r="O2090" t="s">
        <v>20028</v>
      </c>
      <c r="P2090" t="s">
        <v>19900</v>
      </c>
      <c r="Q2090" t="s">
        <v>19900</v>
      </c>
      <c r="R2090" t="s">
        <v>19447</v>
      </c>
      <c r="S2090" t="s">
        <v>19447</v>
      </c>
      <c r="T2090" t="s">
        <v>19901</v>
      </c>
    </row>
    <row r="2091" spans="2:20" x14ac:dyDescent="0.25">
      <c r="B2091" t="s">
        <v>2709</v>
      </c>
      <c r="C2091">
        <v>29039912</v>
      </c>
      <c r="E2091">
        <v>68.819999999999993</v>
      </c>
      <c r="F2091">
        <v>0</v>
      </c>
      <c r="G2091">
        <v>0</v>
      </c>
      <c r="H2091" t="s">
        <v>19447</v>
      </c>
      <c r="I2091" t="s">
        <v>19447</v>
      </c>
      <c r="J2091">
        <v>2</v>
      </c>
      <c r="L2091" t="s">
        <v>2709</v>
      </c>
      <c r="M2091">
        <v>29039912</v>
      </c>
      <c r="O2091" t="s">
        <v>20028</v>
      </c>
      <c r="P2091" t="s">
        <v>19900</v>
      </c>
      <c r="Q2091" t="s">
        <v>19900</v>
      </c>
      <c r="R2091" t="s">
        <v>19447</v>
      </c>
      <c r="S2091" t="s">
        <v>19447</v>
      </c>
      <c r="T2091" t="s">
        <v>19901</v>
      </c>
    </row>
    <row r="2092" spans="2:20" x14ac:dyDescent="0.25">
      <c r="B2092" t="s">
        <v>2709</v>
      </c>
      <c r="C2092">
        <v>29039913</v>
      </c>
      <c r="E2092">
        <v>68.819999999999993</v>
      </c>
      <c r="F2092">
        <v>0</v>
      </c>
      <c r="G2092">
        <v>0</v>
      </c>
      <c r="H2092" t="s">
        <v>19447</v>
      </c>
      <c r="I2092" t="s">
        <v>19447</v>
      </c>
      <c r="J2092">
        <v>2</v>
      </c>
      <c r="L2092" t="s">
        <v>2709</v>
      </c>
      <c r="M2092">
        <v>29039913</v>
      </c>
      <c r="O2092" t="s">
        <v>20028</v>
      </c>
      <c r="P2092" t="s">
        <v>19900</v>
      </c>
      <c r="Q2092" t="s">
        <v>19900</v>
      </c>
      <c r="R2092" t="s">
        <v>19447</v>
      </c>
      <c r="S2092" t="s">
        <v>19447</v>
      </c>
      <c r="T2092" t="s">
        <v>19901</v>
      </c>
    </row>
    <row r="2093" spans="2:20" x14ac:dyDescent="0.25">
      <c r="B2093" t="s">
        <v>2709</v>
      </c>
      <c r="C2093">
        <v>29039914</v>
      </c>
      <c r="E2093">
        <v>68.819999999999993</v>
      </c>
      <c r="F2093">
        <v>0</v>
      </c>
      <c r="G2093">
        <v>0</v>
      </c>
      <c r="H2093" t="s">
        <v>19447</v>
      </c>
      <c r="I2093" t="s">
        <v>19447</v>
      </c>
      <c r="J2093">
        <v>12</v>
      </c>
      <c r="L2093" t="s">
        <v>2709</v>
      </c>
      <c r="M2093">
        <v>29039914</v>
      </c>
      <c r="O2093" t="s">
        <v>20028</v>
      </c>
      <c r="P2093" t="s">
        <v>19900</v>
      </c>
      <c r="Q2093" t="s">
        <v>19900</v>
      </c>
      <c r="R2093" t="s">
        <v>19447</v>
      </c>
      <c r="S2093" t="s">
        <v>19447</v>
      </c>
      <c r="T2093" t="s">
        <v>19903</v>
      </c>
    </row>
    <row r="2094" spans="2:20" x14ac:dyDescent="0.25">
      <c r="B2094" t="s">
        <v>2709</v>
      </c>
      <c r="C2094">
        <v>29039915</v>
      </c>
      <c r="E2094">
        <v>68.819999999999993</v>
      </c>
      <c r="F2094">
        <v>0</v>
      </c>
      <c r="G2094">
        <v>0</v>
      </c>
      <c r="H2094" t="s">
        <v>19447</v>
      </c>
      <c r="I2094" t="s">
        <v>19447</v>
      </c>
      <c r="J2094">
        <v>2</v>
      </c>
      <c r="L2094" t="s">
        <v>2709</v>
      </c>
      <c r="M2094">
        <v>29039915</v>
      </c>
      <c r="O2094" t="s">
        <v>20028</v>
      </c>
      <c r="P2094" t="s">
        <v>19900</v>
      </c>
      <c r="Q2094" t="s">
        <v>19900</v>
      </c>
      <c r="R2094" t="s">
        <v>19447</v>
      </c>
      <c r="S2094" t="s">
        <v>19447</v>
      </c>
      <c r="T2094" t="s">
        <v>19901</v>
      </c>
    </row>
    <row r="2095" spans="2:20" x14ac:dyDescent="0.25">
      <c r="B2095" t="s">
        <v>2709</v>
      </c>
      <c r="C2095">
        <v>29039916</v>
      </c>
      <c r="E2095">
        <v>68.819999999999993</v>
      </c>
      <c r="F2095">
        <v>0</v>
      </c>
      <c r="G2095">
        <v>0</v>
      </c>
      <c r="H2095" t="s">
        <v>19447</v>
      </c>
      <c r="I2095" t="s">
        <v>19447</v>
      </c>
      <c r="J2095">
        <v>2</v>
      </c>
      <c r="L2095" t="s">
        <v>2709</v>
      </c>
      <c r="M2095">
        <v>29039916</v>
      </c>
      <c r="O2095" t="s">
        <v>20028</v>
      </c>
      <c r="P2095" t="s">
        <v>19900</v>
      </c>
      <c r="Q2095" t="s">
        <v>19900</v>
      </c>
      <c r="R2095" t="s">
        <v>19447</v>
      </c>
      <c r="S2095" t="s">
        <v>19447</v>
      </c>
      <c r="T2095" t="s">
        <v>19901</v>
      </c>
    </row>
    <row r="2096" spans="2:20" x14ac:dyDescent="0.25">
      <c r="B2096" t="s">
        <v>2709</v>
      </c>
      <c r="C2096">
        <v>29039917</v>
      </c>
      <c r="E2096">
        <v>68.819999999999993</v>
      </c>
      <c r="F2096">
        <v>0</v>
      </c>
      <c r="G2096">
        <v>0</v>
      </c>
      <c r="H2096" t="s">
        <v>19447</v>
      </c>
      <c r="I2096" t="s">
        <v>19447</v>
      </c>
      <c r="J2096">
        <v>2</v>
      </c>
      <c r="L2096" t="s">
        <v>2709</v>
      </c>
      <c r="M2096">
        <v>29039917</v>
      </c>
      <c r="O2096" t="s">
        <v>20028</v>
      </c>
      <c r="P2096" t="s">
        <v>19900</v>
      </c>
      <c r="Q2096" t="s">
        <v>19900</v>
      </c>
      <c r="R2096" t="s">
        <v>19447</v>
      </c>
      <c r="S2096" t="s">
        <v>19447</v>
      </c>
      <c r="T2096" t="s">
        <v>19901</v>
      </c>
    </row>
    <row r="2097" spans="2:20" x14ac:dyDescent="0.25">
      <c r="B2097" t="s">
        <v>2709</v>
      </c>
      <c r="C2097">
        <v>29039918</v>
      </c>
      <c r="E2097">
        <v>68.819999999999993</v>
      </c>
      <c r="F2097">
        <v>0</v>
      </c>
      <c r="G2097">
        <v>0</v>
      </c>
      <c r="H2097" t="s">
        <v>19447</v>
      </c>
      <c r="I2097" t="s">
        <v>19447</v>
      </c>
      <c r="J2097">
        <v>2</v>
      </c>
      <c r="L2097" t="s">
        <v>2709</v>
      </c>
      <c r="M2097">
        <v>29039918</v>
      </c>
      <c r="O2097" t="s">
        <v>20028</v>
      </c>
      <c r="P2097" t="s">
        <v>19900</v>
      </c>
      <c r="Q2097" t="s">
        <v>19900</v>
      </c>
      <c r="R2097" t="s">
        <v>19447</v>
      </c>
      <c r="S2097" t="s">
        <v>19447</v>
      </c>
      <c r="T2097" t="s">
        <v>19901</v>
      </c>
    </row>
    <row r="2098" spans="2:20" x14ac:dyDescent="0.25">
      <c r="B2098" t="s">
        <v>2709</v>
      </c>
      <c r="C2098">
        <v>29039919</v>
      </c>
      <c r="E2098">
        <v>68.819999999999993</v>
      </c>
      <c r="F2098">
        <v>0</v>
      </c>
      <c r="G2098">
        <v>0</v>
      </c>
      <c r="H2098" t="s">
        <v>19447</v>
      </c>
      <c r="I2098" t="s">
        <v>19447</v>
      </c>
      <c r="J2098">
        <v>2</v>
      </c>
      <c r="L2098" t="s">
        <v>2709</v>
      </c>
      <c r="M2098">
        <v>29039919</v>
      </c>
      <c r="O2098" t="s">
        <v>20028</v>
      </c>
      <c r="P2098" t="s">
        <v>19900</v>
      </c>
      <c r="Q2098" t="s">
        <v>19900</v>
      </c>
      <c r="R2098" t="s">
        <v>19447</v>
      </c>
      <c r="S2098" t="s">
        <v>19447</v>
      </c>
      <c r="T2098" t="s">
        <v>19901</v>
      </c>
    </row>
    <row r="2099" spans="2:20" x14ac:dyDescent="0.25">
      <c r="B2099" t="s">
        <v>2709</v>
      </c>
      <c r="C2099">
        <v>29039921</v>
      </c>
      <c r="E2099">
        <v>68.819999999999993</v>
      </c>
      <c r="F2099">
        <v>0</v>
      </c>
      <c r="G2099">
        <v>0</v>
      </c>
      <c r="H2099" t="s">
        <v>19447</v>
      </c>
      <c r="I2099" t="s">
        <v>19447</v>
      </c>
      <c r="J2099">
        <v>2</v>
      </c>
      <c r="L2099" t="s">
        <v>2709</v>
      </c>
      <c r="M2099">
        <v>29039921</v>
      </c>
      <c r="O2099" t="s">
        <v>20028</v>
      </c>
      <c r="P2099" t="s">
        <v>19900</v>
      </c>
      <c r="Q2099" t="s">
        <v>19900</v>
      </c>
      <c r="R2099" t="s">
        <v>19447</v>
      </c>
      <c r="S2099" t="s">
        <v>19447</v>
      </c>
      <c r="T2099" t="s">
        <v>19901</v>
      </c>
    </row>
    <row r="2100" spans="2:20" x14ac:dyDescent="0.25">
      <c r="B2100" t="s">
        <v>2709</v>
      </c>
      <c r="C2100">
        <v>29039922</v>
      </c>
      <c r="E2100">
        <v>68.819999999999993</v>
      </c>
      <c r="F2100">
        <v>0</v>
      </c>
      <c r="G2100">
        <v>0</v>
      </c>
      <c r="H2100" t="s">
        <v>19447</v>
      </c>
      <c r="I2100" t="s">
        <v>19447</v>
      </c>
      <c r="J2100">
        <v>2</v>
      </c>
      <c r="L2100" t="s">
        <v>2709</v>
      </c>
      <c r="M2100">
        <v>29039922</v>
      </c>
      <c r="O2100" t="s">
        <v>20028</v>
      </c>
      <c r="P2100" t="s">
        <v>19900</v>
      </c>
      <c r="Q2100" t="s">
        <v>19900</v>
      </c>
      <c r="R2100" t="s">
        <v>19447</v>
      </c>
      <c r="S2100" t="s">
        <v>19447</v>
      </c>
      <c r="T2100" t="s">
        <v>19901</v>
      </c>
    </row>
    <row r="2101" spans="2:20" x14ac:dyDescent="0.25">
      <c r="B2101" t="s">
        <v>2709</v>
      </c>
      <c r="C2101">
        <v>29039923</v>
      </c>
      <c r="E2101">
        <v>68.819999999999993</v>
      </c>
      <c r="F2101">
        <v>0</v>
      </c>
      <c r="G2101">
        <v>0</v>
      </c>
      <c r="H2101" t="s">
        <v>19447</v>
      </c>
      <c r="I2101" t="s">
        <v>19447</v>
      </c>
      <c r="J2101">
        <v>2</v>
      </c>
      <c r="L2101" t="s">
        <v>2709</v>
      </c>
      <c r="M2101">
        <v>29039923</v>
      </c>
      <c r="O2101" t="s">
        <v>20028</v>
      </c>
      <c r="P2101" t="s">
        <v>19900</v>
      </c>
      <c r="Q2101" t="s">
        <v>19900</v>
      </c>
      <c r="R2101" t="s">
        <v>19447</v>
      </c>
      <c r="S2101" t="s">
        <v>19447</v>
      </c>
      <c r="T2101" t="s">
        <v>19901</v>
      </c>
    </row>
    <row r="2102" spans="2:20" x14ac:dyDescent="0.25">
      <c r="B2102" t="s">
        <v>2709</v>
      </c>
      <c r="C2102">
        <v>29039924</v>
      </c>
      <c r="E2102">
        <v>68.819999999999993</v>
      </c>
      <c r="F2102">
        <v>0</v>
      </c>
      <c r="G2102">
        <v>0</v>
      </c>
      <c r="H2102" t="s">
        <v>19447</v>
      </c>
      <c r="I2102" t="s">
        <v>19447</v>
      </c>
      <c r="J2102">
        <v>2</v>
      </c>
      <c r="L2102" t="s">
        <v>2709</v>
      </c>
      <c r="M2102">
        <v>29039924</v>
      </c>
      <c r="O2102" t="s">
        <v>20028</v>
      </c>
      <c r="P2102" t="s">
        <v>19900</v>
      </c>
      <c r="Q2102" t="s">
        <v>19900</v>
      </c>
      <c r="R2102" t="s">
        <v>19447</v>
      </c>
      <c r="S2102" t="s">
        <v>19447</v>
      </c>
      <c r="T2102" t="s">
        <v>19901</v>
      </c>
    </row>
    <row r="2103" spans="2:20" x14ac:dyDescent="0.25">
      <c r="B2103" t="s">
        <v>2709</v>
      </c>
      <c r="C2103">
        <v>29039929</v>
      </c>
      <c r="E2103">
        <v>68.819999999999993</v>
      </c>
      <c r="F2103">
        <v>0</v>
      </c>
      <c r="G2103">
        <v>0</v>
      </c>
      <c r="H2103" t="s">
        <v>19447</v>
      </c>
      <c r="I2103" t="s">
        <v>19447</v>
      </c>
      <c r="J2103">
        <v>2</v>
      </c>
      <c r="L2103" t="s">
        <v>2709</v>
      </c>
      <c r="M2103">
        <v>29039929</v>
      </c>
      <c r="O2103" t="s">
        <v>20028</v>
      </c>
      <c r="P2103" t="s">
        <v>19900</v>
      </c>
      <c r="Q2103" t="s">
        <v>19900</v>
      </c>
      <c r="R2103" t="s">
        <v>19447</v>
      </c>
      <c r="S2103" t="s">
        <v>19447</v>
      </c>
      <c r="T2103" t="s">
        <v>19901</v>
      </c>
    </row>
    <row r="2104" spans="2:20" x14ac:dyDescent="0.25">
      <c r="B2104" t="s">
        <v>2709</v>
      </c>
      <c r="C2104">
        <v>29039931</v>
      </c>
      <c r="E2104">
        <v>68.819999999999993</v>
      </c>
      <c r="F2104">
        <v>0</v>
      </c>
      <c r="G2104">
        <v>0</v>
      </c>
      <c r="H2104" t="s">
        <v>19447</v>
      </c>
      <c r="I2104" t="s">
        <v>19447</v>
      </c>
      <c r="J2104">
        <v>10</v>
      </c>
      <c r="L2104" t="s">
        <v>2709</v>
      </c>
      <c r="M2104">
        <v>29039931</v>
      </c>
      <c r="O2104" t="s">
        <v>20028</v>
      </c>
      <c r="P2104" t="s">
        <v>19900</v>
      </c>
      <c r="Q2104" t="s">
        <v>19900</v>
      </c>
      <c r="R2104" t="s">
        <v>19447</v>
      </c>
      <c r="S2104" t="s">
        <v>19447</v>
      </c>
      <c r="T2104" t="s">
        <v>19904</v>
      </c>
    </row>
    <row r="2105" spans="2:20" x14ac:dyDescent="0.25">
      <c r="B2105" t="s">
        <v>2709</v>
      </c>
      <c r="C2105">
        <v>29039939</v>
      </c>
      <c r="E2105">
        <v>68.819999999999993</v>
      </c>
      <c r="F2105">
        <v>0</v>
      </c>
      <c r="G2105">
        <v>0</v>
      </c>
      <c r="H2105" t="s">
        <v>19447</v>
      </c>
      <c r="I2105" t="s">
        <v>19447</v>
      </c>
      <c r="J2105">
        <v>2</v>
      </c>
      <c r="L2105" t="s">
        <v>2709</v>
      </c>
      <c r="M2105">
        <v>29039939</v>
      </c>
      <c r="O2105" t="s">
        <v>20028</v>
      </c>
      <c r="P2105" t="s">
        <v>19900</v>
      </c>
      <c r="Q2105" t="s">
        <v>19900</v>
      </c>
      <c r="R2105" t="s">
        <v>19447</v>
      </c>
      <c r="S2105" t="s">
        <v>19447</v>
      </c>
      <c r="T2105" t="s">
        <v>19901</v>
      </c>
    </row>
    <row r="2106" spans="2:20" x14ac:dyDescent="0.25">
      <c r="B2106" t="s">
        <v>2709</v>
      </c>
      <c r="C2106">
        <v>29039990</v>
      </c>
      <c r="E2106">
        <v>68.819999999999993</v>
      </c>
      <c r="F2106">
        <v>0</v>
      </c>
      <c r="G2106">
        <v>0</v>
      </c>
      <c r="H2106" t="s">
        <v>19447</v>
      </c>
      <c r="I2106" t="s">
        <v>19447</v>
      </c>
      <c r="J2106">
        <v>2</v>
      </c>
      <c r="L2106" t="s">
        <v>2709</v>
      </c>
      <c r="M2106">
        <v>29039990</v>
      </c>
      <c r="O2106" t="s">
        <v>20028</v>
      </c>
      <c r="P2106" t="s">
        <v>19900</v>
      </c>
      <c r="Q2106" t="s">
        <v>19900</v>
      </c>
      <c r="R2106" t="s">
        <v>19447</v>
      </c>
      <c r="S2106" t="s">
        <v>19447</v>
      </c>
      <c r="T2106" t="s">
        <v>19901</v>
      </c>
    </row>
    <row r="2107" spans="2:20" x14ac:dyDescent="0.25">
      <c r="B2107" t="s">
        <v>2709</v>
      </c>
      <c r="C2107">
        <v>29041011</v>
      </c>
      <c r="E2107">
        <v>68.819999999999993</v>
      </c>
      <c r="F2107">
        <v>0</v>
      </c>
      <c r="G2107">
        <v>0</v>
      </c>
      <c r="H2107" t="s">
        <v>19447</v>
      </c>
      <c r="I2107" t="s">
        <v>19447</v>
      </c>
      <c r="J2107">
        <v>2</v>
      </c>
      <c r="L2107" t="s">
        <v>2709</v>
      </c>
      <c r="M2107">
        <v>29041011</v>
      </c>
      <c r="O2107" t="s">
        <v>20028</v>
      </c>
      <c r="P2107" t="s">
        <v>19900</v>
      </c>
      <c r="Q2107" t="s">
        <v>19900</v>
      </c>
      <c r="R2107" t="s">
        <v>19447</v>
      </c>
      <c r="S2107" t="s">
        <v>19447</v>
      </c>
      <c r="T2107" t="s">
        <v>19901</v>
      </c>
    </row>
    <row r="2108" spans="2:20" x14ac:dyDescent="0.25">
      <c r="B2108" t="s">
        <v>2709</v>
      </c>
      <c r="C2108">
        <v>29041012</v>
      </c>
      <c r="E2108">
        <v>68.819999999999993</v>
      </c>
      <c r="F2108">
        <v>0</v>
      </c>
      <c r="G2108">
        <v>0</v>
      </c>
      <c r="H2108" t="s">
        <v>19447</v>
      </c>
      <c r="I2108" t="s">
        <v>19447</v>
      </c>
      <c r="J2108">
        <v>2</v>
      </c>
      <c r="L2108" t="s">
        <v>2709</v>
      </c>
      <c r="M2108">
        <v>29041012</v>
      </c>
      <c r="O2108" t="s">
        <v>20028</v>
      </c>
      <c r="P2108" t="s">
        <v>19900</v>
      </c>
      <c r="Q2108" t="s">
        <v>19900</v>
      </c>
      <c r="R2108" t="s">
        <v>19447</v>
      </c>
      <c r="S2108" t="s">
        <v>19447</v>
      </c>
      <c r="T2108" t="s">
        <v>19901</v>
      </c>
    </row>
    <row r="2109" spans="2:20" x14ac:dyDescent="0.25">
      <c r="B2109" t="s">
        <v>2709</v>
      </c>
      <c r="C2109">
        <v>29041013</v>
      </c>
      <c r="E2109">
        <v>68.819999999999993</v>
      </c>
      <c r="F2109">
        <v>0</v>
      </c>
      <c r="G2109">
        <v>0</v>
      </c>
      <c r="H2109" t="s">
        <v>19447</v>
      </c>
      <c r="I2109" t="s">
        <v>19447</v>
      </c>
      <c r="J2109">
        <v>2</v>
      </c>
      <c r="L2109" t="s">
        <v>2709</v>
      </c>
      <c r="M2109">
        <v>29041013</v>
      </c>
      <c r="O2109" t="s">
        <v>20028</v>
      </c>
      <c r="P2109" t="s">
        <v>19900</v>
      </c>
      <c r="Q2109" t="s">
        <v>19900</v>
      </c>
      <c r="R2109" t="s">
        <v>19447</v>
      </c>
      <c r="S2109" t="s">
        <v>19447</v>
      </c>
      <c r="T2109" t="s">
        <v>19901</v>
      </c>
    </row>
    <row r="2110" spans="2:20" x14ac:dyDescent="0.25">
      <c r="B2110" t="s">
        <v>2709</v>
      </c>
      <c r="C2110">
        <v>29041019</v>
      </c>
      <c r="E2110">
        <v>68.819999999999993</v>
      </c>
      <c r="F2110">
        <v>0</v>
      </c>
      <c r="G2110">
        <v>0</v>
      </c>
      <c r="H2110" t="s">
        <v>19447</v>
      </c>
      <c r="I2110" t="s">
        <v>19447</v>
      </c>
      <c r="J2110">
        <v>8</v>
      </c>
      <c r="L2110" t="s">
        <v>2709</v>
      </c>
      <c r="M2110">
        <v>29041019</v>
      </c>
      <c r="O2110" t="s">
        <v>20028</v>
      </c>
      <c r="P2110" t="s">
        <v>19900</v>
      </c>
      <c r="Q2110" t="s">
        <v>19900</v>
      </c>
      <c r="R2110" t="s">
        <v>19447</v>
      </c>
      <c r="S2110" t="s">
        <v>19447</v>
      </c>
      <c r="T2110" t="s">
        <v>19918</v>
      </c>
    </row>
    <row r="2111" spans="2:20" x14ac:dyDescent="0.25">
      <c r="B2111" t="s">
        <v>2709</v>
      </c>
      <c r="C2111">
        <v>29041020</v>
      </c>
      <c r="E2111">
        <v>68.819999999999993</v>
      </c>
      <c r="F2111">
        <v>0</v>
      </c>
      <c r="G2111">
        <v>0</v>
      </c>
      <c r="H2111" t="s">
        <v>19447</v>
      </c>
      <c r="I2111" t="s">
        <v>19447</v>
      </c>
      <c r="J2111">
        <v>14</v>
      </c>
      <c r="L2111" t="s">
        <v>2709</v>
      </c>
      <c r="M2111">
        <v>29041020</v>
      </c>
      <c r="O2111" t="s">
        <v>20028</v>
      </c>
      <c r="P2111" t="s">
        <v>19900</v>
      </c>
      <c r="Q2111" t="s">
        <v>19900</v>
      </c>
      <c r="R2111" t="s">
        <v>19447</v>
      </c>
      <c r="S2111" t="s">
        <v>19447</v>
      </c>
      <c r="T2111" t="s">
        <v>19911</v>
      </c>
    </row>
    <row r="2112" spans="2:20" x14ac:dyDescent="0.25">
      <c r="B2112" t="s">
        <v>2709</v>
      </c>
      <c r="C2112">
        <v>29041030</v>
      </c>
      <c r="E2112">
        <v>68.819999999999993</v>
      </c>
      <c r="F2112">
        <v>0</v>
      </c>
      <c r="G2112">
        <v>0</v>
      </c>
      <c r="H2112" t="s">
        <v>19447</v>
      </c>
      <c r="I2112" t="s">
        <v>19447</v>
      </c>
      <c r="J2112">
        <v>14</v>
      </c>
      <c r="L2112" t="s">
        <v>2709</v>
      </c>
      <c r="M2112">
        <v>29041030</v>
      </c>
      <c r="O2112" t="s">
        <v>20028</v>
      </c>
      <c r="P2112" t="s">
        <v>19900</v>
      </c>
      <c r="Q2112" t="s">
        <v>19900</v>
      </c>
      <c r="R2112" t="s">
        <v>19447</v>
      </c>
      <c r="S2112" t="s">
        <v>19447</v>
      </c>
      <c r="T2112" t="s">
        <v>19911</v>
      </c>
    </row>
    <row r="2113" spans="2:20" x14ac:dyDescent="0.25">
      <c r="B2113" t="s">
        <v>2709</v>
      </c>
      <c r="C2113">
        <v>29041040</v>
      </c>
      <c r="E2113">
        <v>68.819999999999993</v>
      </c>
      <c r="F2113">
        <v>0</v>
      </c>
      <c r="G2113">
        <v>0</v>
      </c>
      <c r="H2113" t="s">
        <v>19447</v>
      </c>
      <c r="I2113" t="s">
        <v>19447</v>
      </c>
      <c r="J2113">
        <v>14</v>
      </c>
      <c r="L2113" t="s">
        <v>2709</v>
      </c>
      <c r="M2113">
        <v>29041040</v>
      </c>
      <c r="O2113" t="s">
        <v>20028</v>
      </c>
      <c r="P2113" t="s">
        <v>19900</v>
      </c>
      <c r="Q2113" t="s">
        <v>19900</v>
      </c>
      <c r="R2113" t="s">
        <v>19447</v>
      </c>
      <c r="S2113" t="s">
        <v>19447</v>
      </c>
      <c r="T2113" t="s">
        <v>19911</v>
      </c>
    </row>
    <row r="2114" spans="2:20" x14ac:dyDescent="0.25">
      <c r="B2114" t="s">
        <v>2709</v>
      </c>
      <c r="C2114">
        <v>29041051</v>
      </c>
      <c r="E2114">
        <v>68.819999999999993</v>
      </c>
      <c r="F2114">
        <v>0</v>
      </c>
      <c r="G2114">
        <v>0</v>
      </c>
      <c r="H2114" t="s">
        <v>19447</v>
      </c>
      <c r="I2114" t="s">
        <v>19447</v>
      </c>
      <c r="J2114">
        <v>14</v>
      </c>
      <c r="L2114" t="s">
        <v>2709</v>
      </c>
      <c r="M2114">
        <v>29041051</v>
      </c>
      <c r="O2114" t="s">
        <v>20028</v>
      </c>
      <c r="P2114" t="s">
        <v>19900</v>
      </c>
      <c r="Q2114" t="s">
        <v>19900</v>
      </c>
      <c r="R2114" t="s">
        <v>19447</v>
      </c>
      <c r="S2114" t="s">
        <v>19447</v>
      </c>
      <c r="T2114" t="s">
        <v>19911</v>
      </c>
    </row>
    <row r="2115" spans="2:20" x14ac:dyDescent="0.25">
      <c r="B2115" t="s">
        <v>2709</v>
      </c>
      <c r="C2115">
        <v>29041052</v>
      </c>
      <c r="E2115">
        <v>68.819999999999993</v>
      </c>
      <c r="F2115">
        <v>0</v>
      </c>
      <c r="G2115">
        <v>0</v>
      </c>
      <c r="H2115" t="s">
        <v>19447</v>
      </c>
      <c r="I2115" t="s">
        <v>19447</v>
      </c>
      <c r="J2115">
        <v>14</v>
      </c>
      <c r="L2115" t="s">
        <v>2709</v>
      </c>
      <c r="M2115">
        <v>29041052</v>
      </c>
      <c r="O2115" t="s">
        <v>20028</v>
      </c>
      <c r="P2115" t="s">
        <v>19900</v>
      </c>
      <c r="Q2115" t="s">
        <v>19900</v>
      </c>
      <c r="R2115" t="s">
        <v>19447</v>
      </c>
      <c r="S2115" t="s">
        <v>19447</v>
      </c>
      <c r="T2115" t="s">
        <v>19911</v>
      </c>
    </row>
    <row r="2116" spans="2:20" x14ac:dyDescent="0.25">
      <c r="B2116" t="s">
        <v>2709</v>
      </c>
      <c r="C2116">
        <v>29041053</v>
      </c>
      <c r="E2116">
        <v>68.819999999999993</v>
      </c>
      <c r="F2116">
        <v>0</v>
      </c>
      <c r="G2116">
        <v>0</v>
      </c>
      <c r="H2116" t="s">
        <v>19447</v>
      </c>
      <c r="I2116" t="s">
        <v>19447</v>
      </c>
      <c r="J2116">
        <v>14</v>
      </c>
      <c r="L2116" t="s">
        <v>2709</v>
      </c>
      <c r="M2116">
        <v>29041053</v>
      </c>
      <c r="O2116" t="s">
        <v>20028</v>
      </c>
      <c r="P2116" t="s">
        <v>19900</v>
      </c>
      <c r="Q2116" t="s">
        <v>19900</v>
      </c>
      <c r="R2116" t="s">
        <v>19447</v>
      </c>
      <c r="S2116" t="s">
        <v>19447</v>
      </c>
      <c r="T2116" t="s">
        <v>19911</v>
      </c>
    </row>
    <row r="2117" spans="2:20" x14ac:dyDescent="0.25">
      <c r="B2117" t="s">
        <v>2709</v>
      </c>
      <c r="C2117">
        <v>29041059</v>
      </c>
      <c r="E2117">
        <v>68.819999999999993</v>
      </c>
      <c r="F2117">
        <v>0</v>
      </c>
      <c r="G2117">
        <v>0</v>
      </c>
      <c r="H2117" t="s">
        <v>19447</v>
      </c>
      <c r="I2117" t="s">
        <v>19447</v>
      </c>
      <c r="J2117">
        <v>2</v>
      </c>
      <c r="L2117" t="s">
        <v>2709</v>
      </c>
      <c r="M2117">
        <v>29041059</v>
      </c>
      <c r="O2117" t="s">
        <v>20028</v>
      </c>
      <c r="P2117" t="s">
        <v>19900</v>
      </c>
      <c r="Q2117" t="s">
        <v>19900</v>
      </c>
      <c r="R2117" t="s">
        <v>19447</v>
      </c>
      <c r="S2117" t="s">
        <v>19447</v>
      </c>
      <c r="T2117" t="s">
        <v>19901</v>
      </c>
    </row>
    <row r="2118" spans="2:20" x14ac:dyDescent="0.25">
      <c r="B2118" t="s">
        <v>2709</v>
      </c>
      <c r="C2118">
        <v>29041060</v>
      </c>
      <c r="E2118">
        <v>68.819999999999993</v>
      </c>
      <c r="F2118">
        <v>0</v>
      </c>
      <c r="G2118">
        <v>0</v>
      </c>
      <c r="H2118" t="s">
        <v>19447</v>
      </c>
      <c r="I2118" t="s">
        <v>19447</v>
      </c>
      <c r="J2118">
        <v>14</v>
      </c>
      <c r="L2118" t="s">
        <v>2709</v>
      </c>
      <c r="M2118">
        <v>29041060</v>
      </c>
      <c r="O2118" t="s">
        <v>20028</v>
      </c>
      <c r="P2118" t="s">
        <v>19900</v>
      </c>
      <c r="Q2118" t="s">
        <v>19900</v>
      </c>
      <c r="R2118" t="s">
        <v>19447</v>
      </c>
      <c r="S2118" t="s">
        <v>19447</v>
      </c>
      <c r="T2118" t="s">
        <v>19911</v>
      </c>
    </row>
    <row r="2119" spans="2:20" x14ac:dyDescent="0.25">
      <c r="B2119" t="s">
        <v>2709</v>
      </c>
      <c r="C2119">
        <v>29041090</v>
      </c>
      <c r="E2119">
        <v>68.819999999999993</v>
      </c>
      <c r="F2119">
        <v>0</v>
      </c>
      <c r="G2119">
        <v>0</v>
      </c>
      <c r="H2119" t="s">
        <v>19447</v>
      </c>
      <c r="I2119" t="s">
        <v>19447</v>
      </c>
      <c r="J2119">
        <v>2</v>
      </c>
      <c r="L2119" t="s">
        <v>2709</v>
      </c>
      <c r="M2119">
        <v>29041090</v>
      </c>
      <c r="O2119" t="s">
        <v>20028</v>
      </c>
      <c r="P2119" t="s">
        <v>19900</v>
      </c>
      <c r="Q2119" t="s">
        <v>19900</v>
      </c>
      <c r="R2119" t="s">
        <v>19447</v>
      </c>
      <c r="S2119" t="s">
        <v>19447</v>
      </c>
      <c r="T2119" t="s">
        <v>19901</v>
      </c>
    </row>
    <row r="2120" spans="2:20" x14ac:dyDescent="0.25">
      <c r="B2120" t="s">
        <v>2709</v>
      </c>
      <c r="C2120">
        <v>29042010</v>
      </c>
      <c r="E2120">
        <v>68.819999999999993</v>
      </c>
      <c r="F2120">
        <v>0</v>
      </c>
      <c r="G2120">
        <v>0</v>
      </c>
      <c r="H2120" t="s">
        <v>19447</v>
      </c>
      <c r="I2120" t="s">
        <v>19447</v>
      </c>
      <c r="J2120">
        <v>2</v>
      </c>
      <c r="L2120" t="s">
        <v>2709</v>
      </c>
      <c r="M2120">
        <v>29042010</v>
      </c>
      <c r="O2120" t="s">
        <v>20028</v>
      </c>
      <c r="P2120" t="s">
        <v>19900</v>
      </c>
      <c r="Q2120" t="s">
        <v>19900</v>
      </c>
      <c r="R2120" t="s">
        <v>19447</v>
      </c>
      <c r="S2120" t="s">
        <v>19447</v>
      </c>
      <c r="T2120" t="s">
        <v>19901</v>
      </c>
    </row>
    <row r="2121" spans="2:20" x14ac:dyDescent="0.25">
      <c r="B2121" t="s">
        <v>2709</v>
      </c>
      <c r="C2121">
        <v>29042020</v>
      </c>
      <c r="E2121">
        <v>68.819999999999993</v>
      </c>
      <c r="F2121">
        <v>0</v>
      </c>
      <c r="G2121">
        <v>0</v>
      </c>
      <c r="H2121" t="s">
        <v>19447</v>
      </c>
      <c r="I2121" t="s">
        <v>19447</v>
      </c>
      <c r="J2121">
        <v>2</v>
      </c>
      <c r="L2121" t="s">
        <v>2709</v>
      </c>
      <c r="M2121">
        <v>29042020</v>
      </c>
      <c r="O2121" t="s">
        <v>20028</v>
      </c>
      <c r="P2121" t="s">
        <v>19900</v>
      </c>
      <c r="Q2121" t="s">
        <v>19900</v>
      </c>
      <c r="R2121" t="s">
        <v>19447</v>
      </c>
      <c r="S2121" t="s">
        <v>19447</v>
      </c>
      <c r="T2121" t="s">
        <v>19901</v>
      </c>
    </row>
    <row r="2122" spans="2:20" x14ac:dyDescent="0.25">
      <c r="B2122" t="s">
        <v>2709</v>
      </c>
      <c r="C2122">
        <v>29042030</v>
      </c>
      <c r="E2122">
        <v>68.819999999999993</v>
      </c>
      <c r="F2122">
        <v>0</v>
      </c>
      <c r="G2122">
        <v>0</v>
      </c>
      <c r="H2122" t="s">
        <v>19447</v>
      </c>
      <c r="I2122" t="s">
        <v>19447</v>
      </c>
      <c r="J2122">
        <v>12</v>
      </c>
      <c r="L2122" t="s">
        <v>2709</v>
      </c>
      <c r="M2122">
        <v>29042030</v>
      </c>
      <c r="O2122" t="s">
        <v>20028</v>
      </c>
      <c r="P2122" t="s">
        <v>19900</v>
      </c>
      <c r="Q2122" t="s">
        <v>19900</v>
      </c>
      <c r="R2122" t="s">
        <v>19447</v>
      </c>
      <c r="S2122" t="s">
        <v>19447</v>
      </c>
      <c r="T2122" t="s">
        <v>19903</v>
      </c>
    </row>
    <row r="2123" spans="2:20" x14ac:dyDescent="0.25">
      <c r="B2123" t="s">
        <v>2709</v>
      </c>
      <c r="C2123">
        <v>29042041</v>
      </c>
      <c r="E2123">
        <v>68.819999999999993</v>
      </c>
      <c r="F2123">
        <v>0</v>
      </c>
      <c r="G2123">
        <v>0</v>
      </c>
      <c r="H2123" t="s">
        <v>19447</v>
      </c>
      <c r="I2123" t="s">
        <v>19447</v>
      </c>
      <c r="J2123">
        <v>12</v>
      </c>
      <c r="L2123" t="s">
        <v>2709</v>
      </c>
      <c r="M2123">
        <v>29042041</v>
      </c>
      <c r="O2123" t="s">
        <v>20028</v>
      </c>
      <c r="P2123" t="s">
        <v>19900</v>
      </c>
      <c r="Q2123" t="s">
        <v>19900</v>
      </c>
      <c r="R2123" t="s">
        <v>19447</v>
      </c>
      <c r="S2123" t="s">
        <v>19447</v>
      </c>
      <c r="T2123" t="s">
        <v>19903</v>
      </c>
    </row>
    <row r="2124" spans="2:20" x14ac:dyDescent="0.25">
      <c r="B2124" t="s">
        <v>2709</v>
      </c>
      <c r="C2124">
        <v>29042049</v>
      </c>
      <c r="E2124">
        <v>68.819999999999993</v>
      </c>
      <c r="F2124">
        <v>0</v>
      </c>
      <c r="G2124">
        <v>0</v>
      </c>
      <c r="H2124" t="s">
        <v>19447</v>
      </c>
      <c r="I2124" t="s">
        <v>19447</v>
      </c>
      <c r="J2124">
        <v>2</v>
      </c>
      <c r="L2124" t="s">
        <v>2709</v>
      </c>
      <c r="M2124">
        <v>29042049</v>
      </c>
      <c r="O2124" t="s">
        <v>20028</v>
      </c>
      <c r="P2124" t="s">
        <v>19900</v>
      </c>
      <c r="Q2124" t="s">
        <v>19900</v>
      </c>
      <c r="R2124" t="s">
        <v>19447</v>
      </c>
      <c r="S2124" t="s">
        <v>19447</v>
      </c>
      <c r="T2124" t="s">
        <v>19901</v>
      </c>
    </row>
    <row r="2125" spans="2:20" x14ac:dyDescent="0.25">
      <c r="B2125" t="s">
        <v>2709</v>
      </c>
      <c r="C2125">
        <v>29042051</v>
      </c>
      <c r="E2125">
        <v>68.819999999999993</v>
      </c>
      <c r="F2125">
        <v>0</v>
      </c>
      <c r="G2125">
        <v>0</v>
      </c>
      <c r="H2125" t="s">
        <v>19447</v>
      </c>
      <c r="I2125" t="s">
        <v>19447</v>
      </c>
      <c r="J2125">
        <v>12</v>
      </c>
      <c r="L2125" t="s">
        <v>2709</v>
      </c>
      <c r="M2125">
        <v>29042051</v>
      </c>
      <c r="O2125" t="s">
        <v>20028</v>
      </c>
      <c r="P2125" t="s">
        <v>19900</v>
      </c>
      <c r="Q2125" t="s">
        <v>19900</v>
      </c>
      <c r="R2125" t="s">
        <v>19447</v>
      </c>
      <c r="S2125" t="s">
        <v>19447</v>
      </c>
      <c r="T2125" t="s">
        <v>19903</v>
      </c>
    </row>
    <row r="2126" spans="2:20" x14ac:dyDescent="0.25">
      <c r="B2126" t="s">
        <v>2709</v>
      </c>
      <c r="C2126">
        <v>29042052</v>
      </c>
      <c r="E2126">
        <v>68.819999999999993</v>
      </c>
      <c r="F2126">
        <v>0</v>
      </c>
      <c r="G2126">
        <v>0</v>
      </c>
      <c r="H2126" t="s">
        <v>19447</v>
      </c>
      <c r="I2126" t="s">
        <v>19447</v>
      </c>
      <c r="J2126">
        <v>12</v>
      </c>
      <c r="L2126" t="s">
        <v>2709</v>
      </c>
      <c r="M2126">
        <v>29042052</v>
      </c>
      <c r="O2126" t="s">
        <v>20028</v>
      </c>
      <c r="P2126" t="s">
        <v>19900</v>
      </c>
      <c r="Q2126" t="s">
        <v>19900</v>
      </c>
      <c r="R2126" t="s">
        <v>19447</v>
      </c>
      <c r="S2126" t="s">
        <v>19447</v>
      </c>
      <c r="T2126" t="s">
        <v>19903</v>
      </c>
    </row>
    <row r="2127" spans="2:20" x14ac:dyDescent="0.25">
      <c r="B2127" t="s">
        <v>2709</v>
      </c>
      <c r="C2127">
        <v>29042059</v>
      </c>
      <c r="E2127">
        <v>68.819999999999993</v>
      </c>
      <c r="F2127">
        <v>0</v>
      </c>
      <c r="G2127">
        <v>0</v>
      </c>
      <c r="H2127" t="s">
        <v>19447</v>
      </c>
      <c r="I2127" t="s">
        <v>19447</v>
      </c>
      <c r="J2127">
        <v>2</v>
      </c>
      <c r="L2127" t="s">
        <v>2709</v>
      </c>
      <c r="M2127">
        <v>29042059</v>
      </c>
      <c r="O2127" t="s">
        <v>20028</v>
      </c>
      <c r="P2127" t="s">
        <v>19900</v>
      </c>
      <c r="Q2127" t="s">
        <v>19900</v>
      </c>
      <c r="R2127" t="s">
        <v>19447</v>
      </c>
      <c r="S2127" t="s">
        <v>19447</v>
      </c>
      <c r="T2127" t="s">
        <v>19901</v>
      </c>
    </row>
    <row r="2128" spans="2:20" x14ac:dyDescent="0.25">
      <c r="B2128" t="s">
        <v>2709</v>
      </c>
      <c r="C2128">
        <v>29042060</v>
      </c>
      <c r="E2128">
        <v>68.819999999999993</v>
      </c>
      <c r="F2128">
        <v>0</v>
      </c>
      <c r="G2128">
        <v>0</v>
      </c>
      <c r="H2128" t="s">
        <v>19447</v>
      </c>
      <c r="I2128" t="s">
        <v>19447</v>
      </c>
      <c r="J2128">
        <v>12</v>
      </c>
      <c r="L2128" t="s">
        <v>2709</v>
      </c>
      <c r="M2128">
        <v>29042060</v>
      </c>
      <c r="O2128" t="s">
        <v>20028</v>
      </c>
      <c r="P2128" t="s">
        <v>19900</v>
      </c>
      <c r="Q2128" t="s">
        <v>19900</v>
      </c>
      <c r="R2128" t="s">
        <v>19447</v>
      </c>
      <c r="S2128" t="s">
        <v>19447</v>
      </c>
      <c r="T2128" t="s">
        <v>19903</v>
      </c>
    </row>
    <row r="2129" spans="2:20" x14ac:dyDescent="0.25">
      <c r="B2129" t="s">
        <v>2709</v>
      </c>
      <c r="C2129">
        <v>29042070</v>
      </c>
      <c r="E2129">
        <v>68.819999999999993</v>
      </c>
      <c r="F2129">
        <v>0</v>
      </c>
      <c r="G2129">
        <v>0</v>
      </c>
      <c r="H2129" t="s">
        <v>19447</v>
      </c>
      <c r="I2129" t="s">
        <v>19447</v>
      </c>
      <c r="J2129">
        <v>12</v>
      </c>
      <c r="L2129" t="s">
        <v>2709</v>
      </c>
      <c r="M2129">
        <v>29042070</v>
      </c>
      <c r="O2129" t="s">
        <v>20028</v>
      </c>
      <c r="P2129" t="s">
        <v>19900</v>
      </c>
      <c r="Q2129" t="s">
        <v>19900</v>
      </c>
      <c r="R2129" t="s">
        <v>19447</v>
      </c>
      <c r="S2129" t="s">
        <v>19447</v>
      </c>
      <c r="T2129" t="s">
        <v>19903</v>
      </c>
    </row>
    <row r="2130" spans="2:20" x14ac:dyDescent="0.25">
      <c r="B2130" t="s">
        <v>2709</v>
      </c>
      <c r="C2130">
        <v>29042090</v>
      </c>
      <c r="E2130">
        <v>68.819999999999993</v>
      </c>
      <c r="F2130">
        <v>0</v>
      </c>
      <c r="G2130">
        <v>0</v>
      </c>
      <c r="H2130" t="s">
        <v>19447</v>
      </c>
      <c r="I2130" t="s">
        <v>19447</v>
      </c>
      <c r="J2130">
        <v>2</v>
      </c>
      <c r="L2130" t="s">
        <v>2709</v>
      </c>
      <c r="M2130">
        <v>29042090</v>
      </c>
      <c r="O2130" t="s">
        <v>20028</v>
      </c>
      <c r="P2130" t="s">
        <v>19900</v>
      </c>
      <c r="Q2130" t="s">
        <v>19900</v>
      </c>
      <c r="R2130" t="s">
        <v>19447</v>
      </c>
      <c r="S2130" t="s">
        <v>19447</v>
      </c>
      <c r="T2130" t="s">
        <v>19901</v>
      </c>
    </row>
    <row r="2131" spans="2:20" x14ac:dyDescent="0.25">
      <c r="B2131" t="s">
        <v>2709</v>
      </c>
      <c r="C2131">
        <v>29049011</v>
      </c>
      <c r="E2131">
        <v>68.819999999999993</v>
      </c>
      <c r="F2131">
        <v>0</v>
      </c>
      <c r="G2131">
        <v>0</v>
      </c>
      <c r="H2131" t="s">
        <v>19447</v>
      </c>
      <c r="I2131" t="s">
        <v>19447</v>
      </c>
      <c r="J2131">
        <v>2</v>
      </c>
      <c r="L2131" t="s">
        <v>2709</v>
      </c>
      <c r="M2131">
        <v>29049011</v>
      </c>
      <c r="O2131" t="s">
        <v>20028</v>
      </c>
      <c r="P2131" t="s">
        <v>19900</v>
      </c>
      <c r="Q2131" t="s">
        <v>19900</v>
      </c>
      <c r="R2131" t="s">
        <v>19447</v>
      </c>
      <c r="S2131" t="s">
        <v>19447</v>
      </c>
      <c r="T2131" t="s">
        <v>19901</v>
      </c>
    </row>
    <row r="2132" spans="2:20" x14ac:dyDescent="0.25">
      <c r="B2132" t="s">
        <v>2709</v>
      </c>
      <c r="C2132">
        <v>29049012</v>
      </c>
      <c r="E2132">
        <v>68.819999999999993</v>
      </c>
      <c r="F2132">
        <v>0</v>
      </c>
      <c r="G2132">
        <v>0</v>
      </c>
      <c r="H2132" t="s">
        <v>19447</v>
      </c>
      <c r="I2132" t="s">
        <v>19447</v>
      </c>
      <c r="J2132">
        <v>2</v>
      </c>
      <c r="L2132" t="s">
        <v>2709</v>
      </c>
      <c r="M2132">
        <v>29049012</v>
      </c>
      <c r="O2132" t="s">
        <v>20028</v>
      </c>
      <c r="P2132" t="s">
        <v>19900</v>
      </c>
      <c r="Q2132" t="s">
        <v>19900</v>
      </c>
      <c r="R2132" t="s">
        <v>19447</v>
      </c>
      <c r="S2132" t="s">
        <v>19447</v>
      </c>
      <c r="T2132" t="s">
        <v>19901</v>
      </c>
    </row>
    <row r="2133" spans="2:20" x14ac:dyDescent="0.25">
      <c r="B2133" t="s">
        <v>2709</v>
      </c>
      <c r="C2133">
        <v>29049013</v>
      </c>
      <c r="E2133">
        <v>68.819999999999993</v>
      </c>
      <c r="F2133">
        <v>0</v>
      </c>
      <c r="G2133">
        <v>0</v>
      </c>
      <c r="H2133" t="s">
        <v>19447</v>
      </c>
      <c r="I2133" t="s">
        <v>19447</v>
      </c>
      <c r="J2133">
        <v>2</v>
      </c>
      <c r="L2133" t="s">
        <v>2709</v>
      </c>
      <c r="M2133">
        <v>29049013</v>
      </c>
      <c r="O2133" t="s">
        <v>20028</v>
      </c>
      <c r="P2133" t="s">
        <v>19900</v>
      </c>
      <c r="Q2133" t="s">
        <v>19900</v>
      </c>
      <c r="R2133" t="s">
        <v>19447</v>
      </c>
      <c r="S2133" t="s">
        <v>19447</v>
      </c>
      <c r="T2133" t="s">
        <v>19901</v>
      </c>
    </row>
    <row r="2134" spans="2:20" x14ac:dyDescent="0.25">
      <c r="B2134" t="s">
        <v>2709</v>
      </c>
      <c r="C2134">
        <v>29049014</v>
      </c>
      <c r="E2134">
        <v>68.819999999999993</v>
      </c>
      <c r="F2134">
        <v>0</v>
      </c>
      <c r="G2134">
        <v>0</v>
      </c>
      <c r="H2134" t="s">
        <v>19447</v>
      </c>
      <c r="I2134" t="s">
        <v>19447</v>
      </c>
      <c r="J2134">
        <v>2</v>
      </c>
      <c r="L2134" t="s">
        <v>2709</v>
      </c>
      <c r="M2134">
        <v>29049014</v>
      </c>
      <c r="O2134" t="s">
        <v>20028</v>
      </c>
      <c r="P2134" t="s">
        <v>19900</v>
      </c>
      <c r="Q2134" t="s">
        <v>19900</v>
      </c>
      <c r="R2134" t="s">
        <v>19447</v>
      </c>
      <c r="S2134" t="s">
        <v>19447</v>
      </c>
      <c r="T2134" t="s">
        <v>19901</v>
      </c>
    </row>
    <row r="2135" spans="2:20" x14ac:dyDescent="0.25">
      <c r="B2135" t="s">
        <v>2709</v>
      </c>
      <c r="C2135">
        <v>29049015</v>
      </c>
      <c r="E2135">
        <v>68.819999999999993</v>
      </c>
      <c r="F2135">
        <v>0</v>
      </c>
      <c r="G2135">
        <v>0</v>
      </c>
      <c r="H2135" t="s">
        <v>19447</v>
      </c>
      <c r="I2135" t="s">
        <v>19447</v>
      </c>
      <c r="J2135">
        <v>2</v>
      </c>
      <c r="L2135" t="s">
        <v>2709</v>
      </c>
      <c r="M2135">
        <v>29049015</v>
      </c>
      <c r="O2135" t="s">
        <v>20028</v>
      </c>
      <c r="P2135" t="s">
        <v>19900</v>
      </c>
      <c r="Q2135" t="s">
        <v>19900</v>
      </c>
      <c r="R2135" t="s">
        <v>19447</v>
      </c>
      <c r="S2135" t="s">
        <v>19447</v>
      </c>
      <c r="T2135" t="s">
        <v>19901</v>
      </c>
    </row>
    <row r="2136" spans="2:20" x14ac:dyDescent="0.25">
      <c r="B2136" t="s">
        <v>2709</v>
      </c>
      <c r="C2136">
        <v>29049016</v>
      </c>
      <c r="E2136">
        <v>68.819999999999993</v>
      </c>
      <c r="F2136">
        <v>0</v>
      </c>
      <c r="G2136">
        <v>0</v>
      </c>
      <c r="H2136" t="s">
        <v>19447</v>
      </c>
      <c r="I2136" t="s">
        <v>19447</v>
      </c>
      <c r="J2136">
        <v>2</v>
      </c>
      <c r="L2136" t="s">
        <v>2709</v>
      </c>
      <c r="M2136">
        <v>29049016</v>
      </c>
      <c r="O2136" t="s">
        <v>20028</v>
      </c>
      <c r="P2136" t="s">
        <v>19900</v>
      </c>
      <c r="Q2136" t="s">
        <v>19900</v>
      </c>
      <c r="R2136" t="s">
        <v>19447</v>
      </c>
      <c r="S2136" t="s">
        <v>19447</v>
      </c>
      <c r="T2136" t="s">
        <v>19901</v>
      </c>
    </row>
    <row r="2137" spans="2:20" x14ac:dyDescent="0.25">
      <c r="B2137" t="s">
        <v>2709</v>
      </c>
      <c r="C2137">
        <v>29049017</v>
      </c>
      <c r="E2137">
        <v>68.819999999999993</v>
      </c>
      <c r="F2137">
        <v>0</v>
      </c>
      <c r="G2137">
        <v>0</v>
      </c>
      <c r="H2137" t="s">
        <v>19447</v>
      </c>
      <c r="I2137" t="s">
        <v>19447</v>
      </c>
      <c r="J2137">
        <v>2</v>
      </c>
      <c r="L2137" t="s">
        <v>2709</v>
      </c>
      <c r="M2137">
        <v>29049017</v>
      </c>
      <c r="O2137" t="s">
        <v>20028</v>
      </c>
      <c r="P2137" t="s">
        <v>19900</v>
      </c>
      <c r="Q2137" t="s">
        <v>19900</v>
      </c>
      <c r="R2137" t="s">
        <v>19447</v>
      </c>
      <c r="S2137" t="s">
        <v>19447</v>
      </c>
      <c r="T2137" t="s">
        <v>19901</v>
      </c>
    </row>
    <row r="2138" spans="2:20" x14ac:dyDescent="0.25">
      <c r="B2138" t="s">
        <v>2709</v>
      </c>
      <c r="C2138">
        <v>29049019</v>
      </c>
      <c r="E2138">
        <v>68.819999999999993</v>
      </c>
      <c r="F2138">
        <v>0</v>
      </c>
      <c r="G2138">
        <v>0</v>
      </c>
      <c r="H2138" t="s">
        <v>19447</v>
      </c>
      <c r="I2138" t="s">
        <v>19447</v>
      </c>
      <c r="J2138">
        <v>2</v>
      </c>
      <c r="L2138" t="s">
        <v>2709</v>
      </c>
      <c r="M2138">
        <v>29049019</v>
      </c>
      <c r="O2138" t="s">
        <v>20028</v>
      </c>
      <c r="P2138" t="s">
        <v>19900</v>
      </c>
      <c r="Q2138" t="s">
        <v>19900</v>
      </c>
      <c r="R2138" t="s">
        <v>19447</v>
      </c>
      <c r="S2138" t="s">
        <v>19447</v>
      </c>
      <c r="T2138" t="s">
        <v>19901</v>
      </c>
    </row>
    <row r="2139" spans="2:20" x14ac:dyDescent="0.25">
      <c r="B2139" t="s">
        <v>2709</v>
      </c>
      <c r="C2139">
        <v>29049021</v>
      </c>
      <c r="E2139">
        <v>68.819999999999993</v>
      </c>
      <c r="F2139">
        <v>0</v>
      </c>
      <c r="G2139">
        <v>0</v>
      </c>
      <c r="H2139" t="s">
        <v>19447</v>
      </c>
      <c r="I2139" t="s">
        <v>19447</v>
      </c>
      <c r="J2139">
        <v>2</v>
      </c>
      <c r="L2139" t="s">
        <v>2709</v>
      </c>
      <c r="M2139">
        <v>29049021</v>
      </c>
      <c r="O2139" t="s">
        <v>20028</v>
      </c>
      <c r="P2139" t="s">
        <v>19900</v>
      </c>
      <c r="Q2139" t="s">
        <v>19900</v>
      </c>
      <c r="R2139" t="s">
        <v>19447</v>
      </c>
      <c r="S2139" t="s">
        <v>19447</v>
      </c>
      <c r="T2139" t="s">
        <v>19901</v>
      </c>
    </row>
    <row r="2140" spans="2:20" x14ac:dyDescent="0.25">
      <c r="B2140" t="s">
        <v>2709</v>
      </c>
      <c r="C2140">
        <v>29049029</v>
      </c>
      <c r="E2140">
        <v>68.819999999999993</v>
      </c>
      <c r="F2140">
        <v>0</v>
      </c>
      <c r="G2140">
        <v>0</v>
      </c>
      <c r="H2140" t="s">
        <v>19447</v>
      </c>
      <c r="I2140" t="s">
        <v>19447</v>
      </c>
      <c r="J2140">
        <v>2</v>
      </c>
      <c r="L2140" t="s">
        <v>2709</v>
      </c>
      <c r="M2140">
        <v>29049029</v>
      </c>
      <c r="O2140" t="s">
        <v>20028</v>
      </c>
      <c r="P2140" t="s">
        <v>19900</v>
      </c>
      <c r="Q2140" t="s">
        <v>19900</v>
      </c>
      <c r="R2140" t="s">
        <v>19447</v>
      </c>
      <c r="S2140" t="s">
        <v>19447</v>
      </c>
      <c r="T2140" t="s">
        <v>19901</v>
      </c>
    </row>
    <row r="2141" spans="2:20" x14ac:dyDescent="0.25">
      <c r="B2141" t="s">
        <v>2709</v>
      </c>
      <c r="C2141">
        <v>29049030</v>
      </c>
      <c r="E2141">
        <v>68.819999999999993</v>
      </c>
      <c r="F2141">
        <v>0</v>
      </c>
      <c r="G2141">
        <v>0</v>
      </c>
      <c r="H2141" t="s">
        <v>19447</v>
      </c>
      <c r="I2141" t="s">
        <v>19447</v>
      </c>
      <c r="J2141">
        <v>2</v>
      </c>
      <c r="L2141" t="s">
        <v>2709</v>
      </c>
      <c r="M2141">
        <v>29049030</v>
      </c>
      <c r="O2141" t="s">
        <v>20028</v>
      </c>
      <c r="P2141" t="s">
        <v>19900</v>
      </c>
      <c r="Q2141" t="s">
        <v>19900</v>
      </c>
      <c r="R2141" t="s">
        <v>19447</v>
      </c>
      <c r="S2141" t="s">
        <v>19447</v>
      </c>
      <c r="T2141" t="s">
        <v>19901</v>
      </c>
    </row>
    <row r="2142" spans="2:20" x14ac:dyDescent="0.25">
      <c r="B2142" t="s">
        <v>2709</v>
      </c>
      <c r="C2142">
        <v>29049040</v>
      </c>
      <c r="E2142">
        <v>68.819999999999993</v>
      </c>
      <c r="F2142">
        <v>0</v>
      </c>
      <c r="G2142">
        <v>0</v>
      </c>
      <c r="H2142" t="s">
        <v>19447</v>
      </c>
      <c r="I2142" t="s">
        <v>19447</v>
      </c>
      <c r="J2142">
        <v>2</v>
      </c>
      <c r="L2142" t="s">
        <v>2709</v>
      </c>
      <c r="M2142">
        <v>29049040</v>
      </c>
      <c r="O2142" t="s">
        <v>20028</v>
      </c>
      <c r="P2142" t="s">
        <v>19900</v>
      </c>
      <c r="Q2142" t="s">
        <v>19900</v>
      </c>
      <c r="R2142" t="s">
        <v>19447</v>
      </c>
      <c r="S2142" t="s">
        <v>19447</v>
      </c>
      <c r="T2142" t="s">
        <v>19901</v>
      </c>
    </row>
    <row r="2143" spans="2:20" x14ac:dyDescent="0.25">
      <c r="B2143" t="s">
        <v>2709</v>
      </c>
      <c r="C2143">
        <v>29049090</v>
      </c>
      <c r="E2143">
        <v>68.819999999999993</v>
      </c>
      <c r="F2143">
        <v>0</v>
      </c>
      <c r="G2143">
        <v>0</v>
      </c>
      <c r="H2143" t="s">
        <v>19447</v>
      </c>
      <c r="I2143" t="s">
        <v>19447</v>
      </c>
      <c r="J2143">
        <v>2</v>
      </c>
      <c r="L2143" t="s">
        <v>2709</v>
      </c>
      <c r="M2143">
        <v>29049090</v>
      </c>
      <c r="O2143" t="s">
        <v>20028</v>
      </c>
      <c r="P2143" t="s">
        <v>19900</v>
      </c>
      <c r="Q2143" t="s">
        <v>19900</v>
      </c>
      <c r="R2143" t="s">
        <v>19447</v>
      </c>
      <c r="S2143" t="s">
        <v>19447</v>
      </c>
      <c r="T2143" t="s">
        <v>19901</v>
      </c>
    </row>
    <row r="2144" spans="2:20" x14ac:dyDescent="0.25">
      <c r="B2144" t="s">
        <v>2709</v>
      </c>
      <c r="C2144">
        <v>29051100</v>
      </c>
      <c r="E2144">
        <v>68.819999999999993</v>
      </c>
      <c r="F2144">
        <v>0</v>
      </c>
      <c r="G2144">
        <v>0</v>
      </c>
      <c r="H2144" t="s">
        <v>19447</v>
      </c>
      <c r="I2144" t="s">
        <v>19447</v>
      </c>
      <c r="J2144">
        <v>12</v>
      </c>
      <c r="L2144" t="s">
        <v>2709</v>
      </c>
      <c r="M2144">
        <v>29051100</v>
      </c>
      <c r="O2144" t="s">
        <v>20028</v>
      </c>
      <c r="P2144" t="s">
        <v>19900</v>
      </c>
      <c r="Q2144" t="s">
        <v>19900</v>
      </c>
      <c r="R2144" t="s">
        <v>19447</v>
      </c>
      <c r="S2144" t="s">
        <v>19447</v>
      </c>
      <c r="T2144" t="s">
        <v>19903</v>
      </c>
    </row>
    <row r="2145" spans="2:20" x14ac:dyDescent="0.25">
      <c r="B2145" t="s">
        <v>2709</v>
      </c>
      <c r="C2145">
        <v>29051210</v>
      </c>
      <c r="E2145">
        <v>68.819999999999993</v>
      </c>
      <c r="F2145">
        <v>0</v>
      </c>
      <c r="G2145">
        <v>0</v>
      </c>
      <c r="H2145" t="s">
        <v>19447</v>
      </c>
      <c r="I2145" t="s">
        <v>19447</v>
      </c>
      <c r="J2145">
        <v>2</v>
      </c>
      <c r="L2145" t="s">
        <v>2709</v>
      </c>
      <c r="M2145">
        <v>29051210</v>
      </c>
      <c r="O2145" t="s">
        <v>20028</v>
      </c>
      <c r="P2145" t="s">
        <v>19900</v>
      </c>
      <c r="Q2145" t="s">
        <v>19900</v>
      </c>
      <c r="R2145" t="s">
        <v>19447</v>
      </c>
      <c r="S2145" t="s">
        <v>19447</v>
      </c>
      <c r="T2145" t="s">
        <v>19901</v>
      </c>
    </row>
    <row r="2146" spans="2:20" x14ac:dyDescent="0.25">
      <c r="B2146" t="s">
        <v>2709</v>
      </c>
      <c r="C2146">
        <v>29051220</v>
      </c>
      <c r="E2146">
        <v>68.819999999999993</v>
      </c>
      <c r="F2146">
        <v>0</v>
      </c>
      <c r="G2146">
        <v>0</v>
      </c>
      <c r="H2146" t="s">
        <v>19447</v>
      </c>
      <c r="I2146" t="s">
        <v>19447</v>
      </c>
      <c r="J2146">
        <v>12</v>
      </c>
      <c r="L2146" t="s">
        <v>2709</v>
      </c>
      <c r="M2146">
        <v>29051220</v>
      </c>
      <c r="O2146" t="s">
        <v>20028</v>
      </c>
      <c r="P2146" t="s">
        <v>19900</v>
      </c>
      <c r="Q2146" t="s">
        <v>19900</v>
      </c>
      <c r="R2146" t="s">
        <v>19447</v>
      </c>
      <c r="S2146" t="s">
        <v>19447</v>
      </c>
      <c r="T2146" t="s">
        <v>19903</v>
      </c>
    </row>
    <row r="2147" spans="2:20" x14ac:dyDescent="0.25">
      <c r="B2147" t="s">
        <v>2709</v>
      </c>
      <c r="C2147">
        <v>29051300</v>
      </c>
      <c r="E2147">
        <v>68.819999999999993</v>
      </c>
      <c r="F2147">
        <v>0</v>
      </c>
      <c r="G2147">
        <v>0</v>
      </c>
      <c r="H2147" t="s">
        <v>19447</v>
      </c>
      <c r="I2147" t="s">
        <v>19447</v>
      </c>
      <c r="J2147">
        <v>12</v>
      </c>
      <c r="L2147" t="s">
        <v>2709</v>
      </c>
      <c r="M2147">
        <v>29051300</v>
      </c>
      <c r="O2147" t="s">
        <v>20028</v>
      </c>
      <c r="P2147" t="s">
        <v>19900</v>
      </c>
      <c r="Q2147" t="s">
        <v>19900</v>
      </c>
      <c r="R2147" t="s">
        <v>19447</v>
      </c>
      <c r="S2147" t="s">
        <v>19447</v>
      </c>
      <c r="T2147" t="s">
        <v>19903</v>
      </c>
    </row>
    <row r="2148" spans="2:20" x14ac:dyDescent="0.25">
      <c r="B2148" t="s">
        <v>2709</v>
      </c>
      <c r="C2148">
        <v>29051410</v>
      </c>
      <c r="E2148">
        <v>68.819999999999993</v>
      </c>
      <c r="F2148">
        <v>0</v>
      </c>
      <c r="G2148">
        <v>0</v>
      </c>
      <c r="H2148" t="s">
        <v>19447</v>
      </c>
      <c r="I2148" t="s">
        <v>19447</v>
      </c>
      <c r="J2148">
        <v>12</v>
      </c>
      <c r="L2148" t="s">
        <v>2709</v>
      </c>
      <c r="M2148">
        <v>29051410</v>
      </c>
      <c r="O2148" t="s">
        <v>20028</v>
      </c>
      <c r="P2148" t="s">
        <v>19900</v>
      </c>
      <c r="Q2148" t="s">
        <v>19900</v>
      </c>
      <c r="R2148" t="s">
        <v>19447</v>
      </c>
      <c r="S2148" t="s">
        <v>19447</v>
      </c>
      <c r="T2148" t="s">
        <v>19903</v>
      </c>
    </row>
    <row r="2149" spans="2:20" x14ac:dyDescent="0.25">
      <c r="B2149" t="s">
        <v>2709</v>
      </c>
      <c r="C2149">
        <v>29051420</v>
      </c>
      <c r="E2149">
        <v>68.819999999999993</v>
      </c>
      <c r="F2149">
        <v>0</v>
      </c>
      <c r="G2149">
        <v>0</v>
      </c>
      <c r="H2149" t="s">
        <v>19447</v>
      </c>
      <c r="I2149" t="s">
        <v>19447</v>
      </c>
      <c r="J2149">
        <v>12</v>
      </c>
      <c r="L2149" t="s">
        <v>2709</v>
      </c>
      <c r="M2149">
        <v>29051420</v>
      </c>
      <c r="O2149" t="s">
        <v>20028</v>
      </c>
      <c r="P2149" t="s">
        <v>19900</v>
      </c>
      <c r="Q2149" t="s">
        <v>19900</v>
      </c>
      <c r="R2149" t="s">
        <v>19447</v>
      </c>
      <c r="S2149" t="s">
        <v>19447</v>
      </c>
      <c r="T2149" t="s">
        <v>19903</v>
      </c>
    </row>
    <row r="2150" spans="2:20" x14ac:dyDescent="0.25">
      <c r="B2150" t="s">
        <v>2709</v>
      </c>
      <c r="C2150">
        <v>29051430</v>
      </c>
      <c r="E2150">
        <v>68.819999999999993</v>
      </c>
      <c r="F2150">
        <v>0</v>
      </c>
      <c r="G2150">
        <v>0</v>
      </c>
      <c r="H2150" t="s">
        <v>19447</v>
      </c>
      <c r="I2150" t="s">
        <v>19447</v>
      </c>
      <c r="J2150">
        <v>2</v>
      </c>
      <c r="L2150" t="s">
        <v>2709</v>
      </c>
      <c r="M2150">
        <v>29051430</v>
      </c>
      <c r="O2150" t="s">
        <v>20028</v>
      </c>
      <c r="P2150" t="s">
        <v>19900</v>
      </c>
      <c r="Q2150" t="s">
        <v>19900</v>
      </c>
      <c r="R2150" t="s">
        <v>19447</v>
      </c>
      <c r="S2150" t="s">
        <v>19447</v>
      </c>
      <c r="T2150" t="s">
        <v>19901</v>
      </c>
    </row>
    <row r="2151" spans="2:20" x14ac:dyDescent="0.25">
      <c r="B2151" t="s">
        <v>2709</v>
      </c>
      <c r="C2151">
        <v>29051600</v>
      </c>
      <c r="E2151">
        <v>68.819999999999993</v>
      </c>
      <c r="F2151">
        <v>0</v>
      </c>
      <c r="G2151">
        <v>0</v>
      </c>
      <c r="H2151" t="s">
        <v>19447</v>
      </c>
      <c r="I2151" t="s">
        <v>19447</v>
      </c>
      <c r="J2151">
        <v>12</v>
      </c>
      <c r="L2151" t="s">
        <v>2709</v>
      </c>
      <c r="M2151">
        <v>29051600</v>
      </c>
      <c r="O2151" t="s">
        <v>20028</v>
      </c>
      <c r="P2151" t="s">
        <v>19900</v>
      </c>
      <c r="Q2151" t="s">
        <v>19900</v>
      </c>
      <c r="R2151" t="s">
        <v>19447</v>
      </c>
      <c r="S2151" t="s">
        <v>19447</v>
      </c>
      <c r="T2151" t="s">
        <v>19903</v>
      </c>
    </row>
    <row r="2152" spans="2:20" x14ac:dyDescent="0.25">
      <c r="B2152" t="s">
        <v>2709</v>
      </c>
      <c r="C2152">
        <v>29051710</v>
      </c>
      <c r="E2152">
        <v>68.819999999999993</v>
      </c>
      <c r="F2152">
        <v>0</v>
      </c>
      <c r="G2152">
        <v>0</v>
      </c>
      <c r="H2152" t="s">
        <v>19447</v>
      </c>
      <c r="I2152" t="s">
        <v>19447</v>
      </c>
      <c r="J2152">
        <v>2</v>
      </c>
      <c r="L2152" t="s">
        <v>2709</v>
      </c>
      <c r="M2152">
        <v>29051710</v>
      </c>
      <c r="O2152" t="s">
        <v>20028</v>
      </c>
      <c r="P2152" t="s">
        <v>19900</v>
      </c>
      <c r="Q2152" t="s">
        <v>19900</v>
      </c>
      <c r="R2152" t="s">
        <v>19447</v>
      </c>
      <c r="S2152" t="s">
        <v>19447</v>
      </c>
      <c r="T2152" t="s">
        <v>19901</v>
      </c>
    </row>
    <row r="2153" spans="2:20" x14ac:dyDescent="0.25">
      <c r="B2153" t="s">
        <v>2709</v>
      </c>
      <c r="C2153">
        <v>29051720</v>
      </c>
      <c r="E2153">
        <v>68.819999999999993</v>
      </c>
      <c r="F2153">
        <v>0</v>
      </c>
      <c r="G2153">
        <v>0</v>
      </c>
      <c r="H2153" t="s">
        <v>19447</v>
      </c>
      <c r="I2153" t="s">
        <v>19447</v>
      </c>
      <c r="J2153">
        <v>2</v>
      </c>
      <c r="L2153" t="s">
        <v>2709</v>
      </c>
      <c r="M2153">
        <v>29051720</v>
      </c>
      <c r="O2153" t="s">
        <v>20028</v>
      </c>
      <c r="P2153" t="s">
        <v>19900</v>
      </c>
      <c r="Q2153" t="s">
        <v>19900</v>
      </c>
      <c r="R2153" t="s">
        <v>19447</v>
      </c>
      <c r="S2153" t="s">
        <v>19447</v>
      </c>
      <c r="T2153" t="s">
        <v>19901</v>
      </c>
    </row>
    <row r="2154" spans="2:20" x14ac:dyDescent="0.25">
      <c r="B2154" t="s">
        <v>2709</v>
      </c>
      <c r="C2154">
        <v>29051730</v>
      </c>
      <c r="E2154">
        <v>68.819999999999993</v>
      </c>
      <c r="F2154">
        <v>0</v>
      </c>
      <c r="G2154">
        <v>0</v>
      </c>
      <c r="H2154" t="s">
        <v>19447</v>
      </c>
      <c r="I2154" t="s">
        <v>19447</v>
      </c>
      <c r="J2154">
        <v>2</v>
      </c>
      <c r="L2154" t="s">
        <v>2709</v>
      </c>
      <c r="M2154">
        <v>29051730</v>
      </c>
      <c r="O2154" t="s">
        <v>20028</v>
      </c>
      <c r="P2154" t="s">
        <v>19900</v>
      </c>
      <c r="Q2154" t="s">
        <v>19900</v>
      </c>
      <c r="R2154" t="s">
        <v>19447</v>
      </c>
      <c r="S2154" t="s">
        <v>19447</v>
      </c>
      <c r="T2154" t="s">
        <v>19901</v>
      </c>
    </row>
    <row r="2155" spans="2:20" x14ac:dyDescent="0.25">
      <c r="B2155" t="s">
        <v>2709</v>
      </c>
      <c r="C2155">
        <v>29051911</v>
      </c>
      <c r="E2155">
        <v>68.819999999999993</v>
      </c>
      <c r="F2155">
        <v>0</v>
      </c>
      <c r="G2155">
        <v>0</v>
      </c>
      <c r="H2155" t="s">
        <v>19447</v>
      </c>
      <c r="I2155" t="s">
        <v>19447</v>
      </c>
      <c r="J2155">
        <v>2</v>
      </c>
      <c r="L2155" t="s">
        <v>2709</v>
      </c>
      <c r="M2155">
        <v>29051911</v>
      </c>
      <c r="O2155" t="s">
        <v>20028</v>
      </c>
      <c r="P2155" t="s">
        <v>19900</v>
      </c>
      <c r="Q2155" t="s">
        <v>19900</v>
      </c>
      <c r="R2155" t="s">
        <v>19447</v>
      </c>
      <c r="S2155" t="s">
        <v>19447</v>
      </c>
      <c r="T2155" t="s">
        <v>19901</v>
      </c>
    </row>
    <row r="2156" spans="2:20" x14ac:dyDescent="0.25">
      <c r="B2156" t="s">
        <v>2709</v>
      </c>
      <c r="C2156">
        <v>29051912</v>
      </c>
      <c r="E2156">
        <v>68.819999999999993</v>
      </c>
      <c r="F2156">
        <v>0</v>
      </c>
      <c r="G2156">
        <v>0</v>
      </c>
      <c r="H2156" t="s">
        <v>19447</v>
      </c>
      <c r="I2156" t="s">
        <v>19447</v>
      </c>
      <c r="J2156">
        <v>12</v>
      </c>
      <c r="L2156" t="s">
        <v>2709</v>
      </c>
      <c r="M2156">
        <v>29051912</v>
      </c>
      <c r="O2156" t="s">
        <v>20028</v>
      </c>
      <c r="P2156" t="s">
        <v>19900</v>
      </c>
      <c r="Q2156" t="s">
        <v>19900</v>
      </c>
      <c r="R2156" t="s">
        <v>19447</v>
      </c>
      <c r="S2156" t="s">
        <v>19447</v>
      </c>
      <c r="T2156" t="s">
        <v>19903</v>
      </c>
    </row>
    <row r="2157" spans="2:20" x14ac:dyDescent="0.25">
      <c r="B2157" t="s">
        <v>2709</v>
      </c>
      <c r="C2157">
        <v>29051919</v>
      </c>
      <c r="E2157">
        <v>68.819999999999993</v>
      </c>
      <c r="F2157">
        <v>0</v>
      </c>
      <c r="G2157">
        <v>0</v>
      </c>
      <c r="H2157" t="s">
        <v>19447</v>
      </c>
      <c r="I2157" t="s">
        <v>19447</v>
      </c>
      <c r="J2157">
        <v>2</v>
      </c>
      <c r="L2157" t="s">
        <v>2709</v>
      </c>
      <c r="M2157">
        <v>29051919</v>
      </c>
      <c r="O2157" t="s">
        <v>20028</v>
      </c>
      <c r="P2157" t="s">
        <v>19900</v>
      </c>
      <c r="Q2157" t="s">
        <v>19900</v>
      </c>
      <c r="R2157" t="s">
        <v>19447</v>
      </c>
      <c r="S2157" t="s">
        <v>19447</v>
      </c>
      <c r="T2157" t="s">
        <v>19901</v>
      </c>
    </row>
    <row r="2158" spans="2:20" x14ac:dyDescent="0.25">
      <c r="B2158" t="s">
        <v>2709</v>
      </c>
      <c r="C2158">
        <v>29051921</v>
      </c>
      <c r="E2158">
        <v>68.819999999999993</v>
      </c>
      <c r="F2158">
        <v>0</v>
      </c>
      <c r="G2158">
        <v>0</v>
      </c>
      <c r="H2158" t="s">
        <v>19447</v>
      </c>
      <c r="I2158" t="s">
        <v>19447</v>
      </c>
      <c r="J2158">
        <v>2</v>
      </c>
      <c r="L2158" t="s">
        <v>2709</v>
      </c>
      <c r="M2158">
        <v>29051921</v>
      </c>
      <c r="O2158" t="s">
        <v>20028</v>
      </c>
      <c r="P2158" t="s">
        <v>19900</v>
      </c>
      <c r="Q2158" t="s">
        <v>19900</v>
      </c>
      <c r="R2158" t="s">
        <v>19447</v>
      </c>
      <c r="S2158" t="s">
        <v>19447</v>
      </c>
      <c r="T2158" t="s">
        <v>19901</v>
      </c>
    </row>
    <row r="2159" spans="2:20" x14ac:dyDescent="0.25">
      <c r="B2159" t="s">
        <v>2709</v>
      </c>
      <c r="C2159">
        <v>29051922</v>
      </c>
      <c r="E2159">
        <v>68.819999999999993</v>
      </c>
      <c r="F2159">
        <v>0</v>
      </c>
      <c r="G2159">
        <v>0</v>
      </c>
      <c r="H2159" t="s">
        <v>19447</v>
      </c>
      <c r="I2159" t="s">
        <v>19447</v>
      </c>
      <c r="J2159">
        <v>2</v>
      </c>
      <c r="L2159" t="s">
        <v>2709</v>
      </c>
      <c r="M2159">
        <v>29051922</v>
      </c>
      <c r="O2159" t="s">
        <v>20028</v>
      </c>
      <c r="P2159" t="s">
        <v>19900</v>
      </c>
      <c r="Q2159" t="s">
        <v>19900</v>
      </c>
      <c r="R2159" t="s">
        <v>19447</v>
      </c>
      <c r="S2159" t="s">
        <v>19447</v>
      </c>
      <c r="T2159" t="s">
        <v>19901</v>
      </c>
    </row>
    <row r="2160" spans="2:20" x14ac:dyDescent="0.25">
      <c r="B2160" t="s">
        <v>2709</v>
      </c>
      <c r="C2160">
        <v>29051923</v>
      </c>
      <c r="E2160">
        <v>68.819999999999993</v>
      </c>
      <c r="F2160">
        <v>0</v>
      </c>
      <c r="G2160">
        <v>0</v>
      </c>
      <c r="H2160" t="s">
        <v>19447</v>
      </c>
      <c r="I2160" t="s">
        <v>19447</v>
      </c>
      <c r="J2160">
        <v>12</v>
      </c>
      <c r="L2160" t="s">
        <v>2709</v>
      </c>
      <c r="M2160">
        <v>29051923</v>
      </c>
      <c r="O2160" t="s">
        <v>20028</v>
      </c>
      <c r="P2160" t="s">
        <v>19900</v>
      </c>
      <c r="Q2160" t="s">
        <v>19900</v>
      </c>
      <c r="R2160" t="s">
        <v>19447</v>
      </c>
      <c r="S2160" t="s">
        <v>19447</v>
      </c>
      <c r="T2160" t="s">
        <v>19903</v>
      </c>
    </row>
    <row r="2161" spans="2:20" x14ac:dyDescent="0.25">
      <c r="B2161" t="s">
        <v>2709</v>
      </c>
      <c r="C2161">
        <v>29051929</v>
      </c>
      <c r="E2161">
        <v>68.819999999999993</v>
      </c>
      <c r="F2161">
        <v>0</v>
      </c>
      <c r="G2161">
        <v>0</v>
      </c>
      <c r="H2161" t="s">
        <v>19447</v>
      </c>
      <c r="I2161" t="s">
        <v>19447</v>
      </c>
      <c r="J2161">
        <v>2</v>
      </c>
      <c r="L2161" t="s">
        <v>2709</v>
      </c>
      <c r="M2161">
        <v>29051929</v>
      </c>
      <c r="O2161" t="s">
        <v>20028</v>
      </c>
      <c r="P2161" t="s">
        <v>19900</v>
      </c>
      <c r="Q2161" t="s">
        <v>19900</v>
      </c>
      <c r="R2161" t="s">
        <v>19447</v>
      </c>
      <c r="S2161" t="s">
        <v>19447</v>
      </c>
      <c r="T2161" t="s">
        <v>19901</v>
      </c>
    </row>
    <row r="2162" spans="2:20" x14ac:dyDescent="0.25">
      <c r="B2162" t="s">
        <v>2709</v>
      </c>
      <c r="C2162">
        <v>29051991</v>
      </c>
      <c r="E2162">
        <v>68.819999999999993</v>
      </c>
      <c r="F2162">
        <v>0</v>
      </c>
      <c r="G2162">
        <v>0</v>
      </c>
      <c r="H2162" t="s">
        <v>19447</v>
      </c>
      <c r="I2162" t="s">
        <v>19447</v>
      </c>
      <c r="J2162">
        <v>12</v>
      </c>
      <c r="L2162" t="s">
        <v>2709</v>
      </c>
      <c r="M2162">
        <v>29051991</v>
      </c>
      <c r="O2162" t="s">
        <v>20028</v>
      </c>
      <c r="P2162" t="s">
        <v>19900</v>
      </c>
      <c r="Q2162" t="s">
        <v>19900</v>
      </c>
      <c r="R2162" t="s">
        <v>19447</v>
      </c>
      <c r="S2162" t="s">
        <v>19447</v>
      </c>
      <c r="T2162" t="s">
        <v>19903</v>
      </c>
    </row>
    <row r="2163" spans="2:20" x14ac:dyDescent="0.25">
      <c r="B2163" t="s">
        <v>2709</v>
      </c>
      <c r="C2163">
        <v>29051992</v>
      </c>
      <c r="E2163">
        <v>68.819999999999993</v>
      </c>
      <c r="F2163">
        <v>0</v>
      </c>
      <c r="G2163">
        <v>0</v>
      </c>
      <c r="H2163" t="s">
        <v>19447</v>
      </c>
      <c r="I2163" t="s">
        <v>19447</v>
      </c>
      <c r="J2163">
        <v>12</v>
      </c>
      <c r="L2163" t="s">
        <v>2709</v>
      </c>
      <c r="M2163">
        <v>29051992</v>
      </c>
      <c r="O2163" t="s">
        <v>20028</v>
      </c>
      <c r="P2163" t="s">
        <v>19900</v>
      </c>
      <c r="Q2163" t="s">
        <v>19900</v>
      </c>
      <c r="R2163" t="s">
        <v>19447</v>
      </c>
      <c r="S2163" t="s">
        <v>19447</v>
      </c>
      <c r="T2163" t="s">
        <v>19903</v>
      </c>
    </row>
    <row r="2164" spans="2:20" x14ac:dyDescent="0.25">
      <c r="B2164" t="s">
        <v>2709</v>
      </c>
      <c r="C2164">
        <v>29051993</v>
      </c>
      <c r="E2164">
        <v>68.819999999999993</v>
      </c>
      <c r="F2164">
        <v>0</v>
      </c>
      <c r="G2164">
        <v>0</v>
      </c>
      <c r="H2164" t="s">
        <v>19447</v>
      </c>
      <c r="I2164" t="s">
        <v>19447</v>
      </c>
      <c r="J2164">
        <v>12</v>
      </c>
      <c r="L2164" t="s">
        <v>2709</v>
      </c>
      <c r="M2164">
        <v>29051993</v>
      </c>
      <c r="O2164" t="s">
        <v>20028</v>
      </c>
      <c r="P2164" t="s">
        <v>19900</v>
      </c>
      <c r="Q2164" t="s">
        <v>19900</v>
      </c>
      <c r="R2164" t="s">
        <v>19447</v>
      </c>
      <c r="S2164" t="s">
        <v>19447</v>
      </c>
      <c r="T2164" t="s">
        <v>19903</v>
      </c>
    </row>
    <row r="2165" spans="2:20" x14ac:dyDescent="0.25">
      <c r="B2165" t="s">
        <v>2709</v>
      </c>
      <c r="C2165">
        <v>29051994</v>
      </c>
      <c r="E2165">
        <v>68.819999999999993</v>
      </c>
      <c r="F2165">
        <v>0</v>
      </c>
      <c r="G2165">
        <v>0</v>
      </c>
      <c r="H2165" t="s">
        <v>19447</v>
      </c>
      <c r="I2165" t="s">
        <v>19447</v>
      </c>
      <c r="J2165">
        <v>2</v>
      </c>
      <c r="L2165" t="s">
        <v>2709</v>
      </c>
      <c r="M2165">
        <v>29051994</v>
      </c>
      <c r="O2165" t="s">
        <v>20028</v>
      </c>
      <c r="P2165" t="s">
        <v>19900</v>
      </c>
      <c r="Q2165" t="s">
        <v>19900</v>
      </c>
      <c r="R2165" t="s">
        <v>19447</v>
      </c>
      <c r="S2165" t="s">
        <v>19447</v>
      </c>
      <c r="T2165" t="s">
        <v>19901</v>
      </c>
    </row>
    <row r="2166" spans="2:20" x14ac:dyDescent="0.25">
      <c r="B2166" t="s">
        <v>2709</v>
      </c>
      <c r="C2166">
        <v>29051995</v>
      </c>
      <c r="E2166">
        <v>68.819999999999993</v>
      </c>
      <c r="F2166">
        <v>0</v>
      </c>
      <c r="G2166">
        <v>0</v>
      </c>
      <c r="H2166" t="s">
        <v>19447</v>
      </c>
      <c r="I2166" t="s">
        <v>19447</v>
      </c>
      <c r="J2166">
        <v>2</v>
      </c>
      <c r="L2166" t="s">
        <v>2709</v>
      </c>
      <c r="M2166">
        <v>29051995</v>
      </c>
      <c r="O2166" t="s">
        <v>20028</v>
      </c>
      <c r="P2166" t="s">
        <v>19900</v>
      </c>
      <c r="Q2166" t="s">
        <v>19900</v>
      </c>
      <c r="R2166" t="s">
        <v>19447</v>
      </c>
      <c r="S2166" t="s">
        <v>19447</v>
      </c>
      <c r="T2166" t="s">
        <v>19901</v>
      </c>
    </row>
    <row r="2167" spans="2:20" x14ac:dyDescent="0.25">
      <c r="B2167" t="s">
        <v>2709</v>
      </c>
      <c r="C2167">
        <v>29051996</v>
      </c>
      <c r="E2167">
        <v>68.819999999999993</v>
      </c>
      <c r="F2167">
        <v>0</v>
      </c>
      <c r="G2167">
        <v>0</v>
      </c>
      <c r="H2167" t="s">
        <v>19447</v>
      </c>
      <c r="I2167" t="s">
        <v>19447</v>
      </c>
      <c r="J2167">
        <v>12</v>
      </c>
      <c r="L2167" t="s">
        <v>2709</v>
      </c>
      <c r="M2167">
        <v>29051996</v>
      </c>
      <c r="O2167" t="s">
        <v>20028</v>
      </c>
      <c r="P2167" t="s">
        <v>19900</v>
      </c>
      <c r="Q2167" t="s">
        <v>19900</v>
      </c>
      <c r="R2167" t="s">
        <v>19447</v>
      </c>
      <c r="S2167" t="s">
        <v>19447</v>
      </c>
      <c r="T2167" t="s">
        <v>19903</v>
      </c>
    </row>
    <row r="2168" spans="2:20" x14ac:dyDescent="0.25">
      <c r="B2168" t="s">
        <v>2709</v>
      </c>
      <c r="C2168">
        <v>29051999</v>
      </c>
      <c r="E2168">
        <v>68.819999999999993</v>
      </c>
      <c r="F2168">
        <v>0</v>
      </c>
      <c r="G2168">
        <v>0</v>
      </c>
      <c r="H2168" t="s">
        <v>19447</v>
      </c>
      <c r="I2168" t="s">
        <v>19447</v>
      </c>
      <c r="J2168">
        <v>2</v>
      </c>
      <c r="L2168" t="s">
        <v>2709</v>
      </c>
      <c r="M2168">
        <v>29051999</v>
      </c>
      <c r="O2168" t="s">
        <v>20028</v>
      </c>
      <c r="P2168" t="s">
        <v>19900</v>
      </c>
      <c r="Q2168" t="s">
        <v>19900</v>
      </c>
      <c r="R2168" t="s">
        <v>19447</v>
      </c>
      <c r="S2168" t="s">
        <v>19447</v>
      </c>
      <c r="T2168" t="s">
        <v>19901</v>
      </c>
    </row>
    <row r="2169" spans="2:20" x14ac:dyDescent="0.25">
      <c r="B2169" t="s">
        <v>2709</v>
      </c>
      <c r="C2169">
        <v>29052210</v>
      </c>
      <c r="E2169">
        <v>68.819999999999993</v>
      </c>
      <c r="F2169">
        <v>0</v>
      </c>
      <c r="G2169">
        <v>0</v>
      </c>
      <c r="H2169" t="s">
        <v>19447</v>
      </c>
      <c r="I2169" t="s">
        <v>19447</v>
      </c>
      <c r="J2169">
        <v>2</v>
      </c>
      <c r="L2169" t="s">
        <v>2709</v>
      </c>
      <c r="M2169">
        <v>29052210</v>
      </c>
      <c r="O2169" t="s">
        <v>20028</v>
      </c>
      <c r="P2169" t="s">
        <v>19900</v>
      </c>
      <c r="Q2169" t="s">
        <v>19900</v>
      </c>
      <c r="R2169" t="s">
        <v>19447</v>
      </c>
      <c r="S2169" t="s">
        <v>19447</v>
      </c>
      <c r="T2169" t="s">
        <v>19901</v>
      </c>
    </row>
    <row r="2170" spans="2:20" x14ac:dyDescent="0.25">
      <c r="B2170" t="s">
        <v>2709</v>
      </c>
      <c r="C2170">
        <v>29052220</v>
      </c>
      <c r="E2170">
        <v>68.819999999999993</v>
      </c>
      <c r="F2170">
        <v>0</v>
      </c>
      <c r="G2170">
        <v>0</v>
      </c>
      <c r="H2170" t="s">
        <v>19447</v>
      </c>
      <c r="I2170" t="s">
        <v>19447</v>
      </c>
      <c r="J2170">
        <v>12</v>
      </c>
      <c r="L2170" t="s">
        <v>2709</v>
      </c>
      <c r="M2170">
        <v>29052220</v>
      </c>
      <c r="O2170" t="s">
        <v>20028</v>
      </c>
      <c r="P2170" t="s">
        <v>19900</v>
      </c>
      <c r="Q2170" t="s">
        <v>19900</v>
      </c>
      <c r="R2170" t="s">
        <v>19447</v>
      </c>
      <c r="S2170" t="s">
        <v>19447</v>
      </c>
      <c r="T2170" t="s">
        <v>19903</v>
      </c>
    </row>
    <row r="2171" spans="2:20" x14ac:dyDescent="0.25">
      <c r="B2171" t="s">
        <v>2709</v>
      </c>
      <c r="C2171">
        <v>29052230</v>
      </c>
      <c r="E2171">
        <v>68.819999999999993</v>
      </c>
      <c r="F2171">
        <v>0</v>
      </c>
      <c r="G2171">
        <v>0</v>
      </c>
      <c r="H2171" t="s">
        <v>19447</v>
      </c>
      <c r="I2171" t="s">
        <v>19447</v>
      </c>
      <c r="J2171">
        <v>2</v>
      </c>
      <c r="L2171" t="s">
        <v>2709</v>
      </c>
      <c r="M2171">
        <v>29052230</v>
      </c>
      <c r="O2171" t="s">
        <v>20028</v>
      </c>
      <c r="P2171" t="s">
        <v>19900</v>
      </c>
      <c r="Q2171" t="s">
        <v>19900</v>
      </c>
      <c r="R2171" t="s">
        <v>19447</v>
      </c>
      <c r="S2171" t="s">
        <v>19447</v>
      </c>
      <c r="T2171" t="s">
        <v>19901</v>
      </c>
    </row>
    <row r="2172" spans="2:20" x14ac:dyDescent="0.25">
      <c r="B2172" t="s">
        <v>2709</v>
      </c>
      <c r="C2172">
        <v>29052290</v>
      </c>
      <c r="E2172">
        <v>68.819999999999993</v>
      </c>
      <c r="F2172">
        <v>0</v>
      </c>
      <c r="G2172">
        <v>0</v>
      </c>
      <c r="H2172" t="s">
        <v>19447</v>
      </c>
      <c r="I2172" t="s">
        <v>19447</v>
      </c>
      <c r="J2172">
        <v>12</v>
      </c>
      <c r="L2172" t="s">
        <v>2709</v>
      </c>
      <c r="M2172">
        <v>29052290</v>
      </c>
      <c r="O2172" t="s">
        <v>20028</v>
      </c>
      <c r="P2172" t="s">
        <v>19900</v>
      </c>
      <c r="Q2172" t="s">
        <v>19900</v>
      </c>
      <c r="R2172" t="s">
        <v>19447</v>
      </c>
      <c r="S2172" t="s">
        <v>19447</v>
      </c>
      <c r="T2172" t="s">
        <v>19903</v>
      </c>
    </row>
    <row r="2173" spans="2:20" x14ac:dyDescent="0.25">
      <c r="B2173" t="s">
        <v>2709</v>
      </c>
      <c r="C2173">
        <v>29052910</v>
      </c>
      <c r="E2173">
        <v>68.819999999999993</v>
      </c>
      <c r="F2173">
        <v>0</v>
      </c>
      <c r="G2173">
        <v>0</v>
      </c>
      <c r="H2173" t="s">
        <v>19447</v>
      </c>
      <c r="I2173" t="s">
        <v>19447</v>
      </c>
      <c r="J2173">
        <v>2</v>
      </c>
      <c r="L2173" t="s">
        <v>2709</v>
      </c>
      <c r="M2173">
        <v>29052910</v>
      </c>
      <c r="O2173" t="s">
        <v>20028</v>
      </c>
      <c r="P2173" t="s">
        <v>19900</v>
      </c>
      <c r="Q2173" t="s">
        <v>19900</v>
      </c>
      <c r="R2173" t="s">
        <v>19447</v>
      </c>
      <c r="S2173" t="s">
        <v>19447</v>
      </c>
      <c r="T2173" t="s">
        <v>19901</v>
      </c>
    </row>
    <row r="2174" spans="2:20" x14ac:dyDescent="0.25">
      <c r="B2174" t="s">
        <v>2709</v>
      </c>
      <c r="C2174">
        <v>29052990</v>
      </c>
      <c r="E2174">
        <v>68.819999999999993</v>
      </c>
      <c r="F2174">
        <v>0</v>
      </c>
      <c r="G2174">
        <v>0</v>
      </c>
      <c r="H2174" t="s">
        <v>19447</v>
      </c>
      <c r="I2174" t="s">
        <v>19447</v>
      </c>
      <c r="J2174">
        <v>2</v>
      </c>
      <c r="L2174" t="s">
        <v>2709</v>
      </c>
      <c r="M2174">
        <v>29052990</v>
      </c>
      <c r="O2174" t="s">
        <v>20028</v>
      </c>
      <c r="P2174" t="s">
        <v>19900</v>
      </c>
      <c r="Q2174" t="s">
        <v>19900</v>
      </c>
      <c r="R2174" t="s">
        <v>19447</v>
      </c>
      <c r="S2174" t="s">
        <v>19447</v>
      </c>
      <c r="T2174" t="s">
        <v>19901</v>
      </c>
    </row>
    <row r="2175" spans="2:20" x14ac:dyDescent="0.25">
      <c r="B2175" t="s">
        <v>2709</v>
      </c>
      <c r="C2175">
        <v>29053100</v>
      </c>
      <c r="E2175">
        <v>68.819999999999993</v>
      </c>
      <c r="F2175">
        <v>0</v>
      </c>
      <c r="G2175">
        <v>0</v>
      </c>
      <c r="H2175" t="s">
        <v>19447</v>
      </c>
      <c r="I2175" t="s">
        <v>19447</v>
      </c>
      <c r="J2175">
        <v>12</v>
      </c>
      <c r="L2175" t="s">
        <v>2709</v>
      </c>
      <c r="M2175">
        <v>29053100</v>
      </c>
      <c r="O2175" t="s">
        <v>20028</v>
      </c>
      <c r="P2175" t="s">
        <v>19900</v>
      </c>
      <c r="Q2175" t="s">
        <v>19900</v>
      </c>
      <c r="R2175" t="s">
        <v>19447</v>
      </c>
      <c r="S2175" t="s">
        <v>19447</v>
      </c>
      <c r="T2175" t="s">
        <v>19903</v>
      </c>
    </row>
    <row r="2176" spans="2:20" x14ac:dyDescent="0.25">
      <c r="B2176" t="s">
        <v>2709</v>
      </c>
      <c r="C2176">
        <v>29053200</v>
      </c>
      <c r="E2176">
        <v>68.819999999999993</v>
      </c>
      <c r="F2176">
        <v>0</v>
      </c>
      <c r="G2176">
        <v>0</v>
      </c>
      <c r="H2176" t="s">
        <v>19447</v>
      </c>
      <c r="I2176" t="s">
        <v>19447</v>
      </c>
      <c r="J2176">
        <v>12</v>
      </c>
      <c r="L2176" t="s">
        <v>2709</v>
      </c>
      <c r="M2176">
        <v>29053200</v>
      </c>
      <c r="O2176" t="s">
        <v>20028</v>
      </c>
      <c r="P2176" t="s">
        <v>19900</v>
      </c>
      <c r="Q2176" t="s">
        <v>19900</v>
      </c>
      <c r="R2176" t="s">
        <v>19447</v>
      </c>
      <c r="S2176" t="s">
        <v>19447</v>
      </c>
      <c r="T2176" t="s">
        <v>19903</v>
      </c>
    </row>
    <row r="2177" spans="2:20" x14ac:dyDescent="0.25">
      <c r="B2177" t="s">
        <v>2709</v>
      </c>
      <c r="C2177">
        <v>29053910</v>
      </c>
      <c r="E2177">
        <v>68.819999999999993</v>
      </c>
      <c r="F2177">
        <v>0</v>
      </c>
      <c r="G2177">
        <v>0</v>
      </c>
      <c r="H2177" t="s">
        <v>19447</v>
      </c>
      <c r="I2177" t="s">
        <v>19447</v>
      </c>
      <c r="J2177">
        <v>12</v>
      </c>
      <c r="L2177" t="s">
        <v>2709</v>
      </c>
      <c r="M2177">
        <v>29053910</v>
      </c>
      <c r="O2177" t="s">
        <v>20028</v>
      </c>
      <c r="P2177" t="s">
        <v>19900</v>
      </c>
      <c r="Q2177" t="s">
        <v>19900</v>
      </c>
      <c r="R2177" t="s">
        <v>19447</v>
      </c>
      <c r="S2177" t="s">
        <v>19447</v>
      </c>
      <c r="T2177" t="s">
        <v>19903</v>
      </c>
    </row>
    <row r="2178" spans="2:20" x14ac:dyDescent="0.25">
      <c r="B2178" t="s">
        <v>2709</v>
      </c>
      <c r="C2178">
        <v>29053920</v>
      </c>
      <c r="E2178">
        <v>68.819999999999993</v>
      </c>
      <c r="F2178">
        <v>0</v>
      </c>
      <c r="G2178">
        <v>0</v>
      </c>
      <c r="H2178" t="s">
        <v>19447</v>
      </c>
      <c r="I2178" t="s">
        <v>19447</v>
      </c>
      <c r="J2178">
        <v>12</v>
      </c>
      <c r="L2178" t="s">
        <v>2709</v>
      </c>
      <c r="M2178">
        <v>29053920</v>
      </c>
      <c r="O2178" t="s">
        <v>20028</v>
      </c>
      <c r="P2178" t="s">
        <v>19900</v>
      </c>
      <c r="Q2178" t="s">
        <v>19900</v>
      </c>
      <c r="R2178" t="s">
        <v>19447</v>
      </c>
      <c r="S2178" t="s">
        <v>19447</v>
      </c>
      <c r="T2178" t="s">
        <v>19903</v>
      </c>
    </row>
    <row r="2179" spans="2:20" x14ac:dyDescent="0.25">
      <c r="B2179" t="s">
        <v>2709</v>
      </c>
      <c r="C2179">
        <v>29053930</v>
      </c>
      <c r="E2179">
        <v>68.819999999999993</v>
      </c>
      <c r="F2179">
        <v>0</v>
      </c>
      <c r="G2179">
        <v>0</v>
      </c>
      <c r="H2179" t="s">
        <v>19447</v>
      </c>
      <c r="I2179" t="s">
        <v>19447</v>
      </c>
      <c r="J2179">
        <v>12</v>
      </c>
      <c r="L2179" t="s">
        <v>2709</v>
      </c>
      <c r="M2179">
        <v>29053930</v>
      </c>
      <c r="O2179" t="s">
        <v>20028</v>
      </c>
      <c r="P2179" t="s">
        <v>19900</v>
      </c>
      <c r="Q2179" t="s">
        <v>19900</v>
      </c>
      <c r="R2179" t="s">
        <v>19447</v>
      </c>
      <c r="S2179" t="s">
        <v>19447</v>
      </c>
      <c r="T2179" t="s">
        <v>19903</v>
      </c>
    </row>
    <row r="2180" spans="2:20" x14ac:dyDescent="0.25">
      <c r="B2180" t="s">
        <v>2709</v>
      </c>
      <c r="C2180">
        <v>29053990</v>
      </c>
      <c r="E2180">
        <v>68.819999999999993</v>
      </c>
      <c r="F2180">
        <v>0</v>
      </c>
      <c r="G2180">
        <v>0</v>
      </c>
      <c r="H2180" t="s">
        <v>19447</v>
      </c>
      <c r="I2180" t="s">
        <v>19447</v>
      </c>
      <c r="J2180">
        <v>2</v>
      </c>
      <c r="L2180" t="s">
        <v>2709</v>
      </c>
      <c r="M2180">
        <v>29053990</v>
      </c>
      <c r="O2180" t="s">
        <v>20028</v>
      </c>
      <c r="P2180" t="s">
        <v>19900</v>
      </c>
      <c r="Q2180" t="s">
        <v>19900</v>
      </c>
      <c r="R2180" t="s">
        <v>19447</v>
      </c>
      <c r="S2180" t="s">
        <v>19447</v>
      </c>
      <c r="T2180" t="s">
        <v>19901</v>
      </c>
    </row>
    <row r="2181" spans="2:20" x14ac:dyDescent="0.25">
      <c r="B2181" t="s">
        <v>2709</v>
      </c>
      <c r="C2181">
        <v>29054100</v>
      </c>
      <c r="E2181">
        <v>68.819999999999993</v>
      </c>
      <c r="F2181">
        <v>0</v>
      </c>
      <c r="G2181">
        <v>0</v>
      </c>
      <c r="H2181" t="s">
        <v>19447</v>
      </c>
      <c r="I2181" t="s">
        <v>19447</v>
      </c>
      <c r="J2181">
        <v>2</v>
      </c>
      <c r="L2181" t="s">
        <v>2709</v>
      </c>
      <c r="M2181">
        <v>29054100</v>
      </c>
      <c r="O2181" t="s">
        <v>20028</v>
      </c>
      <c r="P2181" t="s">
        <v>19900</v>
      </c>
      <c r="Q2181" t="s">
        <v>19900</v>
      </c>
      <c r="R2181" t="s">
        <v>19447</v>
      </c>
      <c r="S2181" t="s">
        <v>19447</v>
      </c>
      <c r="T2181" t="s">
        <v>19901</v>
      </c>
    </row>
    <row r="2182" spans="2:20" x14ac:dyDescent="0.25">
      <c r="B2182" t="s">
        <v>2709</v>
      </c>
      <c r="C2182">
        <v>29054200</v>
      </c>
      <c r="E2182">
        <v>68.819999999999993</v>
      </c>
      <c r="F2182">
        <v>0</v>
      </c>
      <c r="G2182">
        <v>0</v>
      </c>
      <c r="H2182" t="s">
        <v>19447</v>
      </c>
      <c r="I2182" t="s">
        <v>19447</v>
      </c>
      <c r="J2182">
        <v>2</v>
      </c>
      <c r="L2182" t="s">
        <v>2709</v>
      </c>
      <c r="M2182">
        <v>29054200</v>
      </c>
      <c r="O2182" t="s">
        <v>20028</v>
      </c>
      <c r="P2182" t="s">
        <v>19900</v>
      </c>
      <c r="Q2182" t="s">
        <v>19900</v>
      </c>
      <c r="R2182" t="s">
        <v>19447</v>
      </c>
      <c r="S2182" t="s">
        <v>19447</v>
      </c>
      <c r="T2182" t="s">
        <v>19901</v>
      </c>
    </row>
    <row r="2183" spans="2:20" x14ac:dyDescent="0.25">
      <c r="B2183" t="s">
        <v>2709</v>
      </c>
      <c r="C2183">
        <v>29054300</v>
      </c>
      <c r="E2183">
        <v>42.33</v>
      </c>
      <c r="F2183">
        <v>0</v>
      </c>
      <c r="G2183">
        <v>0</v>
      </c>
      <c r="H2183" t="s">
        <v>19447</v>
      </c>
      <c r="I2183" t="s">
        <v>19447</v>
      </c>
      <c r="J2183">
        <v>14</v>
      </c>
      <c r="L2183" t="s">
        <v>2709</v>
      </c>
      <c r="M2183">
        <v>29054300</v>
      </c>
      <c r="O2183" t="s">
        <v>19920</v>
      </c>
      <c r="P2183" t="s">
        <v>19900</v>
      </c>
      <c r="Q2183" t="s">
        <v>19900</v>
      </c>
      <c r="R2183" t="s">
        <v>19447</v>
      </c>
      <c r="S2183" t="s">
        <v>19447</v>
      </c>
      <c r="T2183" t="s">
        <v>19911</v>
      </c>
    </row>
    <row r="2184" spans="2:20" x14ac:dyDescent="0.25">
      <c r="B2184" t="s">
        <v>2709</v>
      </c>
      <c r="C2184">
        <v>29054400</v>
      </c>
      <c r="E2184">
        <v>42.33</v>
      </c>
      <c r="F2184">
        <v>0</v>
      </c>
      <c r="G2184">
        <v>0</v>
      </c>
      <c r="H2184" t="s">
        <v>19447</v>
      </c>
      <c r="I2184" t="s">
        <v>19447</v>
      </c>
      <c r="J2184">
        <v>14</v>
      </c>
      <c r="L2184" t="s">
        <v>2709</v>
      </c>
      <c r="M2184">
        <v>29054400</v>
      </c>
      <c r="O2184" t="s">
        <v>19920</v>
      </c>
      <c r="P2184" t="s">
        <v>19900</v>
      </c>
      <c r="Q2184" t="s">
        <v>19900</v>
      </c>
      <c r="R2184" t="s">
        <v>19447</v>
      </c>
      <c r="S2184" t="s">
        <v>19447</v>
      </c>
      <c r="T2184" t="s">
        <v>19911</v>
      </c>
    </row>
    <row r="2185" spans="2:20" x14ac:dyDescent="0.25">
      <c r="B2185" t="s">
        <v>2709</v>
      </c>
      <c r="C2185">
        <v>29054500</v>
      </c>
      <c r="E2185">
        <v>68.819999999999993</v>
      </c>
      <c r="F2185">
        <v>0</v>
      </c>
      <c r="G2185">
        <v>0</v>
      </c>
      <c r="H2185" t="s">
        <v>19447</v>
      </c>
      <c r="I2185" t="s">
        <v>19447</v>
      </c>
      <c r="J2185">
        <v>10</v>
      </c>
      <c r="L2185" t="s">
        <v>2709</v>
      </c>
      <c r="M2185">
        <v>29054500</v>
      </c>
      <c r="O2185" t="s">
        <v>20028</v>
      </c>
      <c r="P2185" t="s">
        <v>19900</v>
      </c>
      <c r="Q2185" t="s">
        <v>19900</v>
      </c>
      <c r="R2185" t="s">
        <v>19447</v>
      </c>
      <c r="S2185" t="s">
        <v>19447</v>
      </c>
      <c r="T2185" t="s">
        <v>19904</v>
      </c>
    </row>
    <row r="2186" spans="2:20" x14ac:dyDescent="0.25">
      <c r="B2186" t="s">
        <v>2709</v>
      </c>
      <c r="C2186">
        <v>29054900</v>
      </c>
      <c r="E2186">
        <v>68.819999999999993</v>
      </c>
      <c r="F2186">
        <v>0</v>
      </c>
      <c r="G2186">
        <v>0</v>
      </c>
      <c r="H2186" t="s">
        <v>19447</v>
      </c>
      <c r="I2186" t="s">
        <v>19447</v>
      </c>
      <c r="J2186">
        <v>2</v>
      </c>
      <c r="L2186" t="s">
        <v>2709</v>
      </c>
      <c r="M2186">
        <v>29054900</v>
      </c>
      <c r="O2186" t="s">
        <v>20028</v>
      </c>
      <c r="P2186" t="s">
        <v>19900</v>
      </c>
      <c r="Q2186" t="s">
        <v>19900</v>
      </c>
      <c r="R2186" t="s">
        <v>19447</v>
      </c>
      <c r="S2186" t="s">
        <v>19447</v>
      </c>
      <c r="T2186" t="s">
        <v>19901</v>
      </c>
    </row>
    <row r="2187" spans="2:20" x14ac:dyDescent="0.25">
      <c r="B2187" t="s">
        <v>2709</v>
      </c>
      <c r="C2187">
        <v>29055100</v>
      </c>
      <c r="E2187">
        <v>68.819999999999993</v>
      </c>
      <c r="F2187">
        <v>0</v>
      </c>
      <c r="G2187">
        <v>0</v>
      </c>
      <c r="H2187" t="s">
        <v>19447</v>
      </c>
      <c r="I2187" t="s">
        <v>19447</v>
      </c>
      <c r="J2187">
        <v>2</v>
      </c>
      <c r="L2187" t="s">
        <v>2709</v>
      </c>
      <c r="M2187">
        <v>29055100</v>
      </c>
      <c r="O2187" t="s">
        <v>20028</v>
      </c>
      <c r="P2187" t="s">
        <v>19900</v>
      </c>
      <c r="Q2187" t="s">
        <v>19900</v>
      </c>
      <c r="R2187" t="s">
        <v>19447</v>
      </c>
      <c r="S2187" t="s">
        <v>19447</v>
      </c>
      <c r="T2187" t="s">
        <v>19901</v>
      </c>
    </row>
    <row r="2188" spans="2:20" x14ac:dyDescent="0.25">
      <c r="B2188" t="s">
        <v>2709</v>
      </c>
      <c r="C2188">
        <v>29055910</v>
      </c>
      <c r="E2188">
        <v>68.819999999999993</v>
      </c>
      <c r="F2188">
        <v>0</v>
      </c>
      <c r="G2188">
        <v>0</v>
      </c>
      <c r="H2188" t="s">
        <v>19447</v>
      </c>
      <c r="I2188" t="s">
        <v>19447</v>
      </c>
      <c r="J2188">
        <v>2</v>
      </c>
      <c r="L2188" t="s">
        <v>2709</v>
      </c>
      <c r="M2188">
        <v>29055910</v>
      </c>
      <c r="O2188" t="s">
        <v>20028</v>
      </c>
      <c r="P2188" t="s">
        <v>19900</v>
      </c>
      <c r="Q2188" t="s">
        <v>19900</v>
      </c>
      <c r="R2188" t="s">
        <v>19447</v>
      </c>
      <c r="S2188" t="s">
        <v>19447</v>
      </c>
      <c r="T2188" t="s">
        <v>19901</v>
      </c>
    </row>
    <row r="2189" spans="2:20" x14ac:dyDescent="0.25">
      <c r="B2189" t="s">
        <v>2709</v>
      </c>
      <c r="C2189">
        <v>29055990</v>
      </c>
      <c r="E2189">
        <v>68.819999999999993</v>
      </c>
      <c r="F2189">
        <v>0</v>
      </c>
      <c r="G2189">
        <v>0</v>
      </c>
      <c r="H2189" t="s">
        <v>19447</v>
      </c>
      <c r="I2189" t="s">
        <v>19447</v>
      </c>
      <c r="J2189">
        <v>2</v>
      </c>
      <c r="L2189" t="s">
        <v>2709</v>
      </c>
      <c r="M2189">
        <v>29055990</v>
      </c>
      <c r="O2189" t="s">
        <v>20028</v>
      </c>
      <c r="P2189" t="s">
        <v>19900</v>
      </c>
      <c r="Q2189" t="s">
        <v>19900</v>
      </c>
      <c r="R2189" t="s">
        <v>19447</v>
      </c>
      <c r="S2189" t="s">
        <v>19447</v>
      </c>
      <c r="T2189" t="s">
        <v>19901</v>
      </c>
    </row>
    <row r="2190" spans="2:20" x14ac:dyDescent="0.25">
      <c r="B2190" t="s">
        <v>2709</v>
      </c>
      <c r="C2190">
        <v>29061100</v>
      </c>
      <c r="E2190">
        <v>68.819999999999993</v>
      </c>
      <c r="F2190">
        <v>0</v>
      </c>
      <c r="G2190">
        <v>0</v>
      </c>
      <c r="H2190" t="s">
        <v>19447</v>
      </c>
      <c r="I2190" t="s">
        <v>19447</v>
      </c>
      <c r="J2190">
        <v>12</v>
      </c>
      <c r="L2190" t="s">
        <v>2709</v>
      </c>
      <c r="M2190">
        <v>29061100</v>
      </c>
      <c r="O2190" t="s">
        <v>20028</v>
      </c>
      <c r="P2190" t="s">
        <v>19900</v>
      </c>
      <c r="Q2190" t="s">
        <v>19900</v>
      </c>
      <c r="R2190" t="s">
        <v>19447</v>
      </c>
      <c r="S2190" t="s">
        <v>19447</v>
      </c>
      <c r="T2190" t="s">
        <v>19903</v>
      </c>
    </row>
    <row r="2191" spans="2:20" x14ac:dyDescent="0.25">
      <c r="B2191" t="s">
        <v>2709</v>
      </c>
      <c r="C2191">
        <v>29061200</v>
      </c>
      <c r="E2191">
        <v>68.819999999999993</v>
      </c>
      <c r="F2191">
        <v>0</v>
      </c>
      <c r="G2191">
        <v>0</v>
      </c>
      <c r="H2191" t="s">
        <v>19447</v>
      </c>
      <c r="I2191" t="s">
        <v>19447</v>
      </c>
      <c r="J2191">
        <v>12</v>
      </c>
      <c r="L2191" t="s">
        <v>2709</v>
      </c>
      <c r="M2191">
        <v>29061200</v>
      </c>
      <c r="O2191" t="s">
        <v>20028</v>
      </c>
      <c r="P2191" t="s">
        <v>19900</v>
      </c>
      <c r="Q2191" t="s">
        <v>19900</v>
      </c>
      <c r="R2191" t="s">
        <v>19447</v>
      </c>
      <c r="S2191" t="s">
        <v>19447</v>
      </c>
      <c r="T2191" t="s">
        <v>19903</v>
      </c>
    </row>
    <row r="2192" spans="2:20" x14ac:dyDescent="0.25">
      <c r="B2192" t="s">
        <v>2709</v>
      </c>
      <c r="C2192">
        <v>29061300</v>
      </c>
      <c r="E2192">
        <v>68.819999999999993</v>
      </c>
      <c r="F2192">
        <v>0</v>
      </c>
      <c r="G2192">
        <v>0</v>
      </c>
      <c r="H2192" t="s">
        <v>19447</v>
      </c>
      <c r="I2192" t="s">
        <v>19447</v>
      </c>
      <c r="J2192">
        <v>2</v>
      </c>
      <c r="L2192" t="s">
        <v>2709</v>
      </c>
      <c r="M2192">
        <v>29061300</v>
      </c>
      <c r="O2192" t="s">
        <v>20028</v>
      </c>
      <c r="P2192" t="s">
        <v>19900</v>
      </c>
      <c r="Q2192" t="s">
        <v>19900</v>
      </c>
      <c r="R2192" t="s">
        <v>19447</v>
      </c>
      <c r="S2192" t="s">
        <v>19447</v>
      </c>
      <c r="T2192" t="s">
        <v>19901</v>
      </c>
    </row>
    <row r="2193" spans="2:20" x14ac:dyDescent="0.25">
      <c r="B2193" t="s">
        <v>2709</v>
      </c>
      <c r="C2193">
        <v>29061910</v>
      </c>
      <c r="E2193">
        <v>68.819999999999993</v>
      </c>
      <c r="F2193">
        <v>0</v>
      </c>
      <c r="G2193">
        <v>0</v>
      </c>
      <c r="H2193" t="s">
        <v>19447</v>
      </c>
      <c r="I2193" t="s">
        <v>19447</v>
      </c>
      <c r="J2193">
        <v>12</v>
      </c>
      <c r="L2193" t="s">
        <v>2709</v>
      </c>
      <c r="M2193">
        <v>29061910</v>
      </c>
      <c r="O2193" t="s">
        <v>20028</v>
      </c>
      <c r="P2193" t="s">
        <v>19900</v>
      </c>
      <c r="Q2193" t="s">
        <v>19900</v>
      </c>
      <c r="R2193" t="s">
        <v>19447</v>
      </c>
      <c r="S2193" t="s">
        <v>19447</v>
      </c>
      <c r="T2193" t="s">
        <v>19903</v>
      </c>
    </row>
    <row r="2194" spans="2:20" x14ac:dyDescent="0.25">
      <c r="B2194" t="s">
        <v>2709</v>
      </c>
      <c r="C2194">
        <v>29061920</v>
      </c>
      <c r="E2194">
        <v>68.819999999999993</v>
      </c>
      <c r="F2194">
        <v>0</v>
      </c>
      <c r="G2194">
        <v>0</v>
      </c>
      <c r="H2194" t="s">
        <v>19447</v>
      </c>
      <c r="I2194" t="s">
        <v>19447</v>
      </c>
      <c r="J2194">
        <v>2</v>
      </c>
      <c r="L2194" t="s">
        <v>2709</v>
      </c>
      <c r="M2194">
        <v>29061920</v>
      </c>
      <c r="O2194" t="s">
        <v>20028</v>
      </c>
      <c r="P2194" t="s">
        <v>19900</v>
      </c>
      <c r="Q2194" t="s">
        <v>19900</v>
      </c>
      <c r="R2194" t="s">
        <v>19447</v>
      </c>
      <c r="S2194" t="s">
        <v>19447</v>
      </c>
      <c r="T2194" t="s">
        <v>19901</v>
      </c>
    </row>
    <row r="2195" spans="2:20" x14ac:dyDescent="0.25">
      <c r="B2195" t="s">
        <v>2709</v>
      </c>
      <c r="C2195">
        <v>29061930</v>
      </c>
      <c r="E2195">
        <v>68.819999999999993</v>
      </c>
      <c r="F2195">
        <v>0</v>
      </c>
      <c r="G2195">
        <v>0</v>
      </c>
      <c r="H2195" t="s">
        <v>19447</v>
      </c>
      <c r="I2195" t="s">
        <v>19447</v>
      </c>
      <c r="J2195">
        <v>2</v>
      </c>
      <c r="L2195" t="s">
        <v>2709</v>
      </c>
      <c r="M2195">
        <v>29061930</v>
      </c>
      <c r="O2195" t="s">
        <v>20028</v>
      </c>
      <c r="P2195" t="s">
        <v>19900</v>
      </c>
      <c r="Q2195" t="s">
        <v>19900</v>
      </c>
      <c r="R2195" t="s">
        <v>19447</v>
      </c>
      <c r="S2195" t="s">
        <v>19447</v>
      </c>
      <c r="T2195" t="s">
        <v>19901</v>
      </c>
    </row>
    <row r="2196" spans="2:20" x14ac:dyDescent="0.25">
      <c r="B2196" t="s">
        <v>2709</v>
      </c>
      <c r="C2196">
        <v>29061940</v>
      </c>
      <c r="E2196">
        <v>68.819999999999993</v>
      </c>
      <c r="F2196">
        <v>0</v>
      </c>
      <c r="G2196">
        <v>0</v>
      </c>
      <c r="H2196" t="s">
        <v>19447</v>
      </c>
      <c r="I2196" t="s">
        <v>19447</v>
      </c>
      <c r="J2196">
        <v>2</v>
      </c>
      <c r="L2196" t="s">
        <v>2709</v>
      </c>
      <c r="M2196">
        <v>29061940</v>
      </c>
      <c r="O2196" t="s">
        <v>20028</v>
      </c>
      <c r="P2196" t="s">
        <v>19900</v>
      </c>
      <c r="Q2196" t="s">
        <v>19900</v>
      </c>
      <c r="R2196" t="s">
        <v>19447</v>
      </c>
      <c r="S2196" t="s">
        <v>19447</v>
      </c>
      <c r="T2196" t="s">
        <v>19901</v>
      </c>
    </row>
    <row r="2197" spans="2:20" x14ac:dyDescent="0.25">
      <c r="B2197" t="s">
        <v>2709</v>
      </c>
      <c r="C2197">
        <v>29061950</v>
      </c>
      <c r="E2197">
        <v>68.819999999999993</v>
      </c>
      <c r="F2197">
        <v>0</v>
      </c>
      <c r="G2197">
        <v>0</v>
      </c>
      <c r="H2197" t="s">
        <v>19447</v>
      </c>
      <c r="I2197" t="s">
        <v>19447</v>
      </c>
      <c r="J2197">
        <v>12</v>
      </c>
      <c r="L2197" t="s">
        <v>2709</v>
      </c>
      <c r="M2197">
        <v>29061950</v>
      </c>
      <c r="O2197" t="s">
        <v>20028</v>
      </c>
      <c r="P2197" t="s">
        <v>19900</v>
      </c>
      <c r="Q2197" t="s">
        <v>19900</v>
      </c>
      <c r="R2197" t="s">
        <v>19447</v>
      </c>
      <c r="S2197" t="s">
        <v>19447</v>
      </c>
      <c r="T2197" t="s">
        <v>19903</v>
      </c>
    </row>
    <row r="2198" spans="2:20" x14ac:dyDescent="0.25">
      <c r="B2198" t="s">
        <v>2709</v>
      </c>
      <c r="C2198">
        <v>29061990</v>
      </c>
      <c r="E2198">
        <v>68.819999999999993</v>
      </c>
      <c r="F2198">
        <v>0</v>
      </c>
      <c r="G2198">
        <v>0</v>
      </c>
      <c r="H2198" t="s">
        <v>19447</v>
      </c>
      <c r="I2198" t="s">
        <v>19447</v>
      </c>
      <c r="J2198">
        <v>2</v>
      </c>
      <c r="L2198" t="s">
        <v>2709</v>
      </c>
      <c r="M2198">
        <v>29061990</v>
      </c>
      <c r="O2198" t="s">
        <v>20028</v>
      </c>
      <c r="P2198" t="s">
        <v>19900</v>
      </c>
      <c r="Q2198" t="s">
        <v>19900</v>
      </c>
      <c r="R2198" t="s">
        <v>19447</v>
      </c>
      <c r="S2198" t="s">
        <v>19447</v>
      </c>
      <c r="T2198" t="s">
        <v>19901</v>
      </c>
    </row>
    <row r="2199" spans="2:20" x14ac:dyDescent="0.25">
      <c r="B2199" t="s">
        <v>2709</v>
      </c>
      <c r="C2199">
        <v>29062100</v>
      </c>
      <c r="E2199">
        <v>68.819999999999993</v>
      </c>
      <c r="F2199">
        <v>0</v>
      </c>
      <c r="G2199">
        <v>0</v>
      </c>
      <c r="H2199" t="s">
        <v>19447</v>
      </c>
      <c r="I2199" t="s">
        <v>19447</v>
      </c>
      <c r="J2199">
        <v>12</v>
      </c>
      <c r="L2199" t="s">
        <v>2709</v>
      </c>
      <c r="M2199">
        <v>29062100</v>
      </c>
      <c r="O2199" t="s">
        <v>20028</v>
      </c>
      <c r="P2199" t="s">
        <v>19900</v>
      </c>
      <c r="Q2199" t="s">
        <v>19900</v>
      </c>
      <c r="R2199" t="s">
        <v>19447</v>
      </c>
      <c r="S2199" t="s">
        <v>19447</v>
      </c>
      <c r="T2199" t="s">
        <v>19903</v>
      </c>
    </row>
    <row r="2200" spans="2:20" x14ac:dyDescent="0.25">
      <c r="B2200" t="s">
        <v>2709</v>
      </c>
      <c r="C2200">
        <v>29062910</v>
      </c>
      <c r="E2200">
        <v>68.819999999999993</v>
      </c>
      <c r="F2200">
        <v>0</v>
      </c>
      <c r="G2200">
        <v>0</v>
      </c>
      <c r="H2200" t="s">
        <v>19447</v>
      </c>
      <c r="I2200" t="s">
        <v>19447</v>
      </c>
      <c r="J2200">
        <v>2</v>
      </c>
      <c r="L2200" t="s">
        <v>2709</v>
      </c>
      <c r="M2200">
        <v>29062910</v>
      </c>
      <c r="O2200" t="s">
        <v>20028</v>
      </c>
      <c r="P2200" t="s">
        <v>19900</v>
      </c>
      <c r="Q2200" t="s">
        <v>19900</v>
      </c>
      <c r="R2200" t="s">
        <v>19447</v>
      </c>
      <c r="S2200" t="s">
        <v>19447</v>
      </c>
      <c r="T2200" t="s">
        <v>19901</v>
      </c>
    </row>
    <row r="2201" spans="2:20" x14ac:dyDescent="0.25">
      <c r="B2201" t="s">
        <v>2709</v>
      </c>
      <c r="C2201">
        <v>29062920</v>
      </c>
      <c r="E2201">
        <v>68.819999999999993</v>
      </c>
      <c r="F2201">
        <v>0</v>
      </c>
      <c r="G2201">
        <v>0</v>
      </c>
      <c r="H2201" t="s">
        <v>19447</v>
      </c>
      <c r="I2201" t="s">
        <v>19447</v>
      </c>
      <c r="J2201">
        <v>2</v>
      </c>
      <c r="L2201" t="s">
        <v>2709</v>
      </c>
      <c r="M2201">
        <v>29062920</v>
      </c>
      <c r="O2201" t="s">
        <v>20028</v>
      </c>
      <c r="P2201" t="s">
        <v>19900</v>
      </c>
      <c r="Q2201" t="s">
        <v>19900</v>
      </c>
      <c r="R2201" t="s">
        <v>19447</v>
      </c>
      <c r="S2201" t="s">
        <v>19447</v>
      </c>
      <c r="T2201" t="s">
        <v>19901</v>
      </c>
    </row>
    <row r="2202" spans="2:20" x14ac:dyDescent="0.25">
      <c r="B2202" t="s">
        <v>2709</v>
      </c>
      <c r="C2202">
        <v>29062990</v>
      </c>
      <c r="E2202">
        <v>68.819999999999993</v>
      </c>
      <c r="F2202">
        <v>0</v>
      </c>
      <c r="G2202">
        <v>0</v>
      </c>
      <c r="H2202" t="s">
        <v>19447</v>
      </c>
      <c r="I2202" t="s">
        <v>19447</v>
      </c>
      <c r="J2202">
        <v>2</v>
      </c>
      <c r="L2202" t="s">
        <v>2709</v>
      </c>
      <c r="M2202">
        <v>29062990</v>
      </c>
      <c r="O2202" t="s">
        <v>20028</v>
      </c>
      <c r="P2202" t="s">
        <v>19900</v>
      </c>
      <c r="Q2202" t="s">
        <v>19900</v>
      </c>
      <c r="R2202" t="s">
        <v>19447</v>
      </c>
      <c r="S2202" t="s">
        <v>19447</v>
      </c>
      <c r="T2202" t="s">
        <v>19901</v>
      </c>
    </row>
    <row r="2203" spans="2:20" x14ac:dyDescent="0.25">
      <c r="B2203" t="s">
        <v>2709</v>
      </c>
      <c r="C2203">
        <v>29071100</v>
      </c>
      <c r="E2203">
        <v>68.819999999999993</v>
      </c>
      <c r="F2203">
        <v>0</v>
      </c>
      <c r="G2203">
        <v>0</v>
      </c>
      <c r="H2203" t="s">
        <v>19447</v>
      </c>
      <c r="I2203" t="s">
        <v>19447</v>
      </c>
      <c r="J2203">
        <v>8</v>
      </c>
      <c r="L2203" t="s">
        <v>2709</v>
      </c>
      <c r="M2203">
        <v>29071100</v>
      </c>
      <c r="O2203" t="s">
        <v>20028</v>
      </c>
      <c r="P2203" t="s">
        <v>19900</v>
      </c>
      <c r="Q2203" t="s">
        <v>19900</v>
      </c>
      <c r="R2203" t="s">
        <v>19447</v>
      </c>
      <c r="S2203" t="s">
        <v>19447</v>
      </c>
      <c r="T2203" t="s">
        <v>19918</v>
      </c>
    </row>
    <row r="2204" spans="2:20" x14ac:dyDescent="0.25">
      <c r="B2204" t="s">
        <v>2709</v>
      </c>
      <c r="C2204">
        <v>29071200</v>
      </c>
      <c r="E2204">
        <v>68.819999999999993</v>
      </c>
      <c r="F2204">
        <v>0</v>
      </c>
      <c r="G2204">
        <v>0</v>
      </c>
      <c r="H2204" t="s">
        <v>19447</v>
      </c>
      <c r="I2204" t="s">
        <v>19447</v>
      </c>
      <c r="J2204">
        <v>2</v>
      </c>
      <c r="L2204" t="s">
        <v>2709</v>
      </c>
      <c r="M2204">
        <v>29071200</v>
      </c>
      <c r="O2204" t="s">
        <v>20028</v>
      </c>
      <c r="P2204" t="s">
        <v>19900</v>
      </c>
      <c r="Q2204" t="s">
        <v>19900</v>
      </c>
      <c r="R2204" t="s">
        <v>19447</v>
      </c>
      <c r="S2204" t="s">
        <v>19447</v>
      </c>
      <c r="T2204" t="s">
        <v>19901</v>
      </c>
    </row>
    <row r="2205" spans="2:20" x14ac:dyDescent="0.25">
      <c r="B2205" t="s">
        <v>2709</v>
      </c>
      <c r="C2205">
        <v>29071300</v>
      </c>
      <c r="E2205">
        <v>68.819999999999993</v>
      </c>
      <c r="F2205">
        <v>0</v>
      </c>
      <c r="G2205">
        <v>0</v>
      </c>
      <c r="H2205" t="s">
        <v>19447</v>
      </c>
      <c r="I2205" t="s">
        <v>19447</v>
      </c>
      <c r="J2205">
        <v>10</v>
      </c>
      <c r="L2205" t="s">
        <v>2709</v>
      </c>
      <c r="M2205">
        <v>29071300</v>
      </c>
      <c r="O2205" t="s">
        <v>20028</v>
      </c>
      <c r="P2205" t="s">
        <v>19900</v>
      </c>
      <c r="Q2205" t="s">
        <v>19900</v>
      </c>
      <c r="R2205" t="s">
        <v>19447</v>
      </c>
      <c r="S2205" t="s">
        <v>19447</v>
      </c>
      <c r="T2205" t="s">
        <v>19904</v>
      </c>
    </row>
    <row r="2206" spans="2:20" x14ac:dyDescent="0.25">
      <c r="B2206" t="s">
        <v>2709</v>
      </c>
      <c r="C2206">
        <v>29071510</v>
      </c>
      <c r="E2206">
        <v>68.819999999999993</v>
      </c>
      <c r="F2206">
        <v>0</v>
      </c>
      <c r="G2206">
        <v>0</v>
      </c>
      <c r="H2206" t="s">
        <v>19447</v>
      </c>
      <c r="I2206" t="s">
        <v>19447</v>
      </c>
      <c r="J2206">
        <v>2</v>
      </c>
      <c r="L2206" t="s">
        <v>2709</v>
      </c>
      <c r="M2206">
        <v>29071510</v>
      </c>
      <c r="O2206" t="s">
        <v>20028</v>
      </c>
      <c r="P2206" t="s">
        <v>19900</v>
      </c>
      <c r="Q2206" t="s">
        <v>19900</v>
      </c>
      <c r="R2206" t="s">
        <v>19447</v>
      </c>
      <c r="S2206" t="s">
        <v>19447</v>
      </c>
      <c r="T2206" t="s">
        <v>19901</v>
      </c>
    </row>
    <row r="2207" spans="2:20" x14ac:dyDescent="0.25">
      <c r="B2207" t="s">
        <v>2709</v>
      </c>
      <c r="C2207">
        <v>29071590</v>
      </c>
      <c r="E2207">
        <v>68.819999999999993</v>
      </c>
      <c r="F2207">
        <v>0</v>
      </c>
      <c r="G2207">
        <v>0</v>
      </c>
      <c r="H2207" t="s">
        <v>19447</v>
      </c>
      <c r="I2207" t="s">
        <v>19447</v>
      </c>
      <c r="J2207">
        <v>2</v>
      </c>
      <c r="L2207" t="s">
        <v>2709</v>
      </c>
      <c r="M2207">
        <v>29071590</v>
      </c>
      <c r="O2207" t="s">
        <v>20028</v>
      </c>
      <c r="P2207" t="s">
        <v>19900</v>
      </c>
      <c r="Q2207" t="s">
        <v>19900</v>
      </c>
      <c r="R2207" t="s">
        <v>19447</v>
      </c>
      <c r="S2207" t="s">
        <v>19447</v>
      </c>
      <c r="T2207" t="s">
        <v>19901</v>
      </c>
    </row>
    <row r="2208" spans="2:20" x14ac:dyDescent="0.25">
      <c r="B2208" t="s">
        <v>2709</v>
      </c>
      <c r="C2208">
        <v>29071910</v>
      </c>
      <c r="E2208">
        <v>68.819999999999993</v>
      </c>
      <c r="F2208">
        <v>0</v>
      </c>
      <c r="G2208">
        <v>0</v>
      </c>
      <c r="H2208" t="s">
        <v>19447</v>
      </c>
      <c r="I2208" t="s">
        <v>19447</v>
      </c>
      <c r="J2208">
        <v>2</v>
      </c>
      <c r="L2208" t="s">
        <v>2709</v>
      </c>
      <c r="M2208">
        <v>29071910</v>
      </c>
      <c r="O2208" t="s">
        <v>20028</v>
      </c>
      <c r="P2208" t="s">
        <v>19900</v>
      </c>
      <c r="Q2208" t="s">
        <v>19900</v>
      </c>
      <c r="R2208" t="s">
        <v>19447</v>
      </c>
      <c r="S2208" t="s">
        <v>19447</v>
      </c>
      <c r="T2208" t="s">
        <v>19901</v>
      </c>
    </row>
    <row r="2209" spans="2:20" x14ac:dyDescent="0.25">
      <c r="B2209" t="s">
        <v>2709</v>
      </c>
      <c r="C2209">
        <v>29071920</v>
      </c>
      <c r="E2209">
        <v>68.819999999999993</v>
      </c>
      <c r="F2209">
        <v>0</v>
      </c>
      <c r="G2209">
        <v>0</v>
      </c>
      <c r="H2209" t="s">
        <v>19447</v>
      </c>
      <c r="I2209" t="s">
        <v>19447</v>
      </c>
      <c r="J2209">
        <v>2</v>
      </c>
      <c r="L2209" t="s">
        <v>2709</v>
      </c>
      <c r="M2209">
        <v>29071920</v>
      </c>
      <c r="O2209" t="s">
        <v>20028</v>
      </c>
      <c r="P2209" t="s">
        <v>19900</v>
      </c>
      <c r="Q2209" t="s">
        <v>19900</v>
      </c>
      <c r="R2209" t="s">
        <v>19447</v>
      </c>
      <c r="S2209" t="s">
        <v>19447</v>
      </c>
      <c r="T2209" t="s">
        <v>19901</v>
      </c>
    </row>
    <row r="2210" spans="2:20" x14ac:dyDescent="0.25">
      <c r="B2210" t="s">
        <v>2709</v>
      </c>
      <c r="C2210">
        <v>29071930</v>
      </c>
      <c r="E2210">
        <v>68.819999999999993</v>
      </c>
      <c r="F2210">
        <v>0</v>
      </c>
      <c r="G2210">
        <v>0</v>
      </c>
      <c r="H2210" t="s">
        <v>19447</v>
      </c>
      <c r="I2210" t="s">
        <v>19447</v>
      </c>
      <c r="J2210">
        <v>2</v>
      </c>
      <c r="L2210" t="s">
        <v>2709</v>
      </c>
      <c r="M2210">
        <v>29071930</v>
      </c>
      <c r="O2210" t="s">
        <v>20028</v>
      </c>
      <c r="P2210" t="s">
        <v>19900</v>
      </c>
      <c r="Q2210" t="s">
        <v>19900</v>
      </c>
      <c r="R2210" t="s">
        <v>19447</v>
      </c>
      <c r="S2210" t="s">
        <v>19447</v>
      </c>
      <c r="T2210" t="s">
        <v>19901</v>
      </c>
    </row>
    <row r="2211" spans="2:20" x14ac:dyDescent="0.25">
      <c r="B2211" t="s">
        <v>2709</v>
      </c>
      <c r="C2211">
        <v>29071940</v>
      </c>
      <c r="E2211">
        <v>68.819999999999993</v>
      </c>
      <c r="F2211">
        <v>0</v>
      </c>
      <c r="G2211">
        <v>0</v>
      </c>
      <c r="H2211" t="s">
        <v>19447</v>
      </c>
      <c r="I2211" t="s">
        <v>19447</v>
      </c>
      <c r="J2211">
        <v>2</v>
      </c>
      <c r="L2211" t="s">
        <v>2709</v>
      </c>
      <c r="M2211">
        <v>29071940</v>
      </c>
      <c r="O2211" t="s">
        <v>20028</v>
      </c>
      <c r="P2211" t="s">
        <v>19900</v>
      </c>
      <c r="Q2211" t="s">
        <v>19900</v>
      </c>
      <c r="R2211" t="s">
        <v>19447</v>
      </c>
      <c r="S2211" t="s">
        <v>19447</v>
      </c>
      <c r="T2211" t="s">
        <v>19901</v>
      </c>
    </row>
    <row r="2212" spans="2:20" x14ac:dyDescent="0.25">
      <c r="B2212" t="s">
        <v>2709</v>
      </c>
      <c r="C2212">
        <v>29071990</v>
      </c>
      <c r="E2212">
        <v>68.819999999999993</v>
      </c>
      <c r="F2212">
        <v>0</v>
      </c>
      <c r="G2212">
        <v>0</v>
      </c>
      <c r="H2212" t="s">
        <v>19447</v>
      </c>
      <c r="I2212" t="s">
        <v>19447</v>
      </c>
      <c r="J2212">
        <v>2</v>
      </c>
      <c r="L2212" t="s">
        <v>2709</v>
      </c>
      <c r="M2212">
        <v>29071990</v>
      </c>
      <c r="O2212" t="s">
        <v>20028</v>
      </c>
      <c r="P2212" t="s">
        <v>19900</v>
      </c>
      <c r="Q2212" t="s">
        <v>19900</v>
      </c>
      <c r="R2212" t="s">
        <v>19447</v>
      </c>
      <c r="S2212" t="s">
        <v>19447</v>
      </c>
      <c r="T2212" t="s">
        <v>19901</v>
      </c>
    </row>
    <row r="2213" spans="2:20" x14ac:dyDescent="0.25">
      <c r="B2213" t="s">
        <v>2709</v>
      </c>
      <c r="C2213">
        <v>29072100</v>
      </c>
      <c r="E2213">
        <v>68.819999999999993</v>
      </c>
      <c r="F2213">
        <v>0</v>
      </c>
      <c r="G2213">
        <v>0</v>
      </c>
      <c r="H2213" t="s">
        <v>19447</v>
      </c>
      <c r="I2213" t="s">
        <v>19447</v>
      </c>
      <c r="J2213">
        <v>2</v>
      </c>
      <c r="L2213" t="s">
        <v>2709</v>
      </c>
      <c r="M2213">
        <v>29072100</v>
      </c>
      <c r="O2213" t="s">
        <v>20028</v>
      </c>
      <c r="P2213" t="s">
        <v>19900</v>
      </c>
      <c r="Q2213" t="s">
        <v>19900</v>
      </c>
      <c r="R2213" t="s">
        <v>19447</v>
      </c>
      <c r="S2213" t="s">
        <v>19447</v>
      </c>
      <c r="T2213" t="s">
        <v>19901</v>
      </c>
    </row>
    <row r="2214" spans="2:20" x14ac:dyDescent="0.25">
      <c r="B2214" t="s">
        <v>2709</v>
      </c>
      <c r="C2214">
        <v>29072200</v>
      </c>
      <c r="E2214">
        <v>68.819999999999993</v>
      </c>
      <c r="F2214">
        <v>0</v>
      </c>
      <c r="G2214">
        <v>0</v>
      </c>
      <c r="H2214" t="s">
        <v>19447</v>
      </c>
      <c r="I2214" t="s">
        <v>19447</v>
      </c>
      <c r="J2214">
        <v>2</v>
      </c>
      <c r="L2214" t="s">
        <v>2709</v>
      </c>
      <c r="M2214">
        <v>29072200</v>
      </c>
      <c r="O2214" t="s">
        <v>20028</v>
      </c>
      <c r="P2214" t="s">
        <v>19900</v>
      </c>
      <c r="Q2214" t="s">
        <v>19900</v>
      </c>
      <c r="R2214" t="s">
        <v>19447</v>
      </c>
      <c r="S2214" t="s">
        <v>19447</v>
      </c>
      <c r="T2214" t="s">
        <v>19901</v>
      </c>
    </row>
    <row r="2215" spans="2:20" x14ac:dyDescent="0.25">
      <c r="B2215" t="s">
        <v>2709</v>
      </c>
      <c r="C2215">
        <v>29072300</v>
      </c>
      <c r="E2215">
        <v>68.819999999999993</v>
      </c>
      <c r="F2215">
        <v>0</v>
      </c>
      <c r="G2215">
        <v>0</v>
      </c>
      <c r="H2215" t="s">
        <v>19447</v>
      </c>
      <c r="I2215" t="s">
        <v>19447</v>
      </c>
      <c r="J2215">
        <v>12</v>
      </c>
      <c r="L2215" t="s">
        <v>2709</v>
      </c>
      <c r="M2215">
        <v>29072300</v>
      </c>
      <c r="O2215" t="s">
        <v>20028</v>
      </c>
      <c r="P2215" t="s">
        <v>19900</v>
      </c>
      <c r="Q2215" t="s">
        <v>19900</v>
      </c>
      <c r="R2215" t="s">
        <v>19447</v>
      </c>
      <c r="S2215" t="s">
        <v>19447</v>
      </c>
      <c r="T2215" t="s">
        <v>19903</v>
      </c>
    </row>
    <row r="2216" spans="2:20" x14ac:dyDescent="0.25">
      <c r="B2216" t="s">
        <v>2709</v>
      </c>
      <c r="C2216">
        <v>29072900</v>
      </c>
      <c r="E2216">
        <v>68.819999999999993</v>
      </c>
      <c r="F2216">
        <v>0</v>
      </c>
      <c r="G2216">
        <v>0</v>
      </c>
      <c r="H2216" t="s">
        <v>19447</v>
      </c>
      <c r="I2216" t="s">
        <v>19447</v>
      </c>
      <c r="J2216">
        <v>2</v>
      </c>
      <c r="L2216" t="s">
        <v>2709</v>
      </c>
      <c r="M2216">
        <v>29072900</v>
      </c>
      <c r="O2216" t="s">
        <v>20028</v>
      </c>
      <c r="P2216" t="s">
        <v>19900</v>
      </c>
      <c r="Q2216" t="s">
        <v>19900</v>
      </c>
      <c r="R2216" t="s">
        <v>19447</v>
      </c>
      <c r="S2216" t="s">
        <v>19447</v>
      </c>
      <c r="T2216" t="s">
        <v>19901</v>
      </c>
    </row>
    <row r="2217" spans="2:20" x14ac:dyDescent="0.25">
      <c r="B2217" t="s">
        <v>2709</v>
      </c>
      <c r="C2217">
        <v>29081100</v>
      </c>
      <c r="E2217">
        <v>68.819999999999993</v>
      </c>
      <c r="F2217">
        <v>0</v>
      </c>
      <c r="G2217">
        <v>0</v>
      </c>
      <c r="H2217" t="s">
        <v>19447</v>
      </c>
      <c r="I2217" t="s">
        <v>19447</v>
      </c>
      <c r="J2217">
        <v>2</v>
      </c>
      <c r="L2217" t="s">
        <v>2709</v>
      </c>
      <c r="M2217">
        <v>29081100</v>
      </c>
      <c r="O2217" t="s">
        <v>20028</v>
      </c>
      <c r="P2217" t="s">
        <v>19900</v>
      </c>
      <c r="Q2217" t="s">
        <v>19900</v>
      </c>
      <c r="R2217" t="s">
        <v>19447</v>
      </c>
      <c r="S2217" t="s">
        <v>19447</v>
      </c>
      <c r="T2217" t="s">
        <v>19901</v>
      </c>
    </row>
    <row r="2218" spans="2:20" x14ac:dyDescent="0.25">
      <c r="B2218" t="s">
        <v>2709</v>
      </c>
      <c r="C2218">
        <v>29081911</v>
      </c>
      <c r="E2218">
        <v>68.819999999999993</v>
      </c>
      <c r="F2218">
        <v>0</v>
      </c>
      <c r="G2218">
        <v>0</v>
      </c>
      <c r="H2218" t="s">
        <v>19447</v>
      </c>
      <c r="I2218" t="s">
        <v>19447</v>
      </c>
      <c r="J2218">
        <v>2</v>
      </c>
      <c r="L2218" t="s">
        <v>2709</v>
      </c>
      <c r="M2218">
        <v>29081911</v>
      </c>
      <c r="O2218" t="s">
        <v>20028</v>
      </c>
      <c r="P2218" t="s">
        <v>19900</v>
      </c>
      <c r="Q2218" t="s">
        <v>19900</v>
      </c>
      <c r="R2218" t="s">
        <v>19447</v>
      </c>
      <c r="S2218" t="s">
        <v>19447</v>
      </c>
      <c r="T2218" t="s">
        <v>19901</v>
      </c>
    </row>
    <row r="2219" spans="2:20" x14ac:dyDescent="0.25">
      <c r="B2219" t="s">
        <v>2709</v>
      </c>
      <c r="C2219">
        <v>29081912</v>
      </c>
      <c r="E2219">
        <v>68.819999999999993</v>
      </c>
      <c r="F2219">
        <v>0</v>
      </c>
      <c r="G2219">
        <v>0</v>
      </c>
      <c r="H2219" t="s">
        <v>19447</v>
      </c>
      <c r="I2219" t="s">
        <v>19447</v>
      </c>
      <c r="J2219">
        <v>12</v>
      </c>
      <c r="L2219" t="s">
        <v>2709</v>
      </c>
      <c r="M2219">
        <v>29081912</v>
      </c>
      <c r="O2219" t="s">
        <v>20028</v>
      </c>
      <c r="P2219" t="s">
        <v>19900</v>
      </c>
      <c r="Q2219" t="s">
        <v>19900</v>
      </c>
      <c r="R2219" t="s">
        <v>19447</v>
      </c>
      <c r="S2219" t="s">
        <v>19447</v>
      </c>
      <c r="T2219" t="s">
        <v>19903</v>
      </c>
    </row>
    <row r="2220" spans="2:20" x14ac:dyDescent="0.25">
      <c r="B2220" t="s">
        <v>2709</v>
      </c>
      <c r="C2220">
        <v>29081913</v>
      </c>
      <c r="E2220">
        <v>68.819999999999993</v>
      </c>
      <c r="F2220">
        <v>0</v>
      </c>
      <c r="G2220">
        <v>0</v>
      </c>
      <c r="H2220" t="s">
        <v>19447</v>
      </c>
      <c r="I2220" t="s">
        <v>19447</v>
      </c>
      <c r="J2220">
        <v>2</v>
      </c>
      <c r="L2220" t="s">
        <v>2709</v>
      </c>
      <c r="M2220">
        <v>29081913</v>
      </c>
      <c r="O2220" t="s">
        <v>20028</v>
      </c>
      <c r="P2220" t="s">
        <v>19900</v>
      </c>
      <c r="Q2220" t="s">
        <v>19900</v>
      </c>
      <c r="R2220" t="s">
        <v>19447</v>
      </c>
      <c r="S2220" t="s">
        <v>19447</v>
      </c>
      <c r="T2220" t="s">
        <v>19901</v>
      </c>
    </row>
    <row r="2221" spans="2:20" x14ac:dyDescent="0.25">
      <c r="B2221" t="s">
        <v>2709</v>
      </c>
      <c r="C2221">
        <v>29081914</v>
      </c>
      <c r="E2221">
        <v>68.819999999999993</v>
      </c>
      <c r="F2221">
        <v>0</v>
      </c>
      <c r="G2221">
        <v>0</v>
      </c>
      <c r="H2221" t="s">
        <v>19447</v>
      </c>
      <c r="I2221" t="s">
        <v>19447</v>
      </c>
      <c r="J2221">
        <v>2</v>
      </c>
      <c r="L2221" t="s">
        <v>2709</v>
      </c>
      <c r="M2221">
        <v>29081914</v>
      </c>
      <c r="O2221" t="s">
        <v>20028</v>
      </c>
      <c r="P2221" t="s">
        <v>19900</v>
      </c>
      <c r="Q2221" t="s">
        <v>19900</v>
      </c>
      <c r="R2221" t="s">
        <v>19447</v>
      </c>
      <c r="S2221" t="s">
        <v>19447</v>
      </c>
      <c r="T2221" t="s">
        <v>19901</v>
      </c>
    </row>
    <row r="2222" spans="2:20" x14ac:dyDescent="0.25">
      <c r="B2222" t="s">
        <v>2709</v>
      </c>
      <c r="C2222">
        <v>29081915</v>
      </c>
      <c r="E2222">
        <v>68.819999999999993</v>
      </c>
      <c r="F2222">
        <v>0</v>
      </c>
      <c r="G2222">
        <v>0</v>
      </c>
      <c r="H2222" t="s">
        <v>19447</v>
      </c>
      <c r="I2222" t="s">
        <v>19447</v>
      </c>
      <c r="J2222">
        <v>2</v>
      </c>
      <c r="L2222" t="s">
        <v>2709</v>
      </c>
      <c r="M2222">
        <v>29081915</v>
      </c>
      <c r="O2222" t="s">
        <v>20028</v>
      </c>
      <c r="P2222" t="s">
        <v>19900</v>
      </c>
      <c r="Q2222" t="s">
        <v>19900</v>
      </c>
      <c r="R2222" t="s">
        <v>19447</v>
      </c>
      <c r="S2222" t="s">
        <v>19447</v>
      </c>
      <c r="T2222" t="s">
        <v>19901</v>
      </c>
    </row>
    <row r="2223" spans="2:20" x14ac:dyDescent="0.25">
      <c r="B2223" t="s">
        <v>2709</v>
      </c>
      <c r="C2223">
        <v>29081919</v>
      </c>
      <c r="E2223">
        <v>68.819999999999993</v>
      </c>
      <c r="F2223">
        <v>0</v>
      </c>
      <c r="G2223">
        <v>0</v>
      </c>
      <c r="H2223" t="s">
        <v>19447</v>
      </c>
      <c r="I2223" t="s">
        <v>19447</v>
      </c>
      <c r="J2223">
        <v>2</v>
      </c>
      <c r="L2223" t="s">
        <v>2709</v>
      </c>
      <c r="M2223">
        <v>29081919</v>
      </c>
      <c r="O2223" t="s">
        <v>20028</v>
      </c>
      <c r="P2223" t="s">
        <v>19900</v>
      </c>
      <c r="Q2223" t="s">
        <v>19900</v>
      </c>
      <c r="R2223" t="s">
        <v>19447</v>
      </c>
      <c r="S2223" t="s">
        <v>19447</v>
      </c>
      <c r="T2223" t="s">
        <v>19901</v>
      </c>
    </row>
    <row r="2224" spans="2:20" x14ac:dyDescent="0.25">
      <c r="B2224" t="s">
        <v>2709</v>
      </c>
      <c r="C2224">
        <v>29081921</v>
      </c>
      <c r="E2224">
        <v>68.819999999999993</v>
      </c>
      <c r="F2224">
        <v>0</v>
      </c>
      <c r="G2224">
        <v>0</v>
      </c>
      <c r="H2224" t="s">
        <v>19447</v>
      </c>
      <c r="I2224" t="s">
        <v>19447</v>
      </c>
      <c r="J2224">
        <v>2</v>
      </c>
      <c r="L2224" t="s">
        <v>2709</v>
      </c>
      <c r="M2224">
        <v>29081921</v>
      </c>
      <c r="O2224" t="s">
        <v>20028</v>
      </c>
      <c r="P2224" t="s">
        <v>19900</v>
      </c>
      <c r="Q2224" t="s">
        <v>19900</v>
      </c>
      <c r="R2224" t="s">
        <v>19447</v>
      </c>
      <c r="S2224" t="s">
        <v>19447</v>
      </c>
      <c r="T2224" t="s">
        <v>19901</v>
      </c>
    </row>
    <row r="2225" spans="2:20" x14ac:dyDescent="0.25">
      <c r="B2225" t="s">
        <v>2709</v>
      </c>
      <c r="C2225">
        <v>29081929</v>
      </c>
      <c r="E2225">
        <v>68.819999999999993</v>
      </c>
      <c r="F2225">
        <v>0</v>
      </c>
      <c r="G2225">
        <v>0</v>
      </c>
      <c r="H2225" t="s">
        <v>19447</v>
      </c>
      <c r="I2225" t="s">
        <v>19447</v>
      </c>
      <c r="J2225">
        <v>2</v>
      </c>
      <c r="L2225" t="s">
        <v>2709</v>
      </c>
      <c r="M2225">
        <v>29081929</v>
      </c>
      <c r="O2225" t="s">
        <v>20028</v>
      </c>
      <c r="P2225" t="s">
        <v>19900</v>
      </c>
      <c r="Q2225" t="s">
        <v>19900</v>
      </c>
      <c r="R2225" t="s">
        <v>19447</v>
      </c>
      <c r="S2225" t="s">
        <v>19447</v>
      </c>
      <c r="T2225" t="s">
        <v>19901</v>
      </c>
    </row>
    <row r="2226" spans="2:20" x14ac:dyDescent="0.25">
      <c r="B2226" t="s">
        <v>2709</v>
      </c>
      <c r="C2226">
        <v>29081990</v>
      </c>
      <c r="E2226">
        <v>68.819999999999993</v>
      </c>
      <c r="F2226">
        <v>0</v>
      </c>
      <c r="G2226">
        <v>0</v>
      </c>
      <c r="H2226" t="s">
        <v>19447</v>
      </c>
      <c r="I2226" t="s">
        <v>19447</v>
      </c>
      <c r="J2226">
        <v>2</v>
      </c>
      <c r="L2226" t="s">
        <v>2709</v>
      </c>
      <c r="M2226">
        <v>29081990</v>
      </c>
      <c r="O2226" t="s">
        <v>20028</v>
      </c>
      <c r="P2226" t="s">
        <v>19900</v>
      </c>
      <c r="Q2226" t="s">
        <v>19900</v>
      </c>
      <c r="R2226" t="s">
        <v>19447</v>
      </c>
      <c r="S2226" t="s">
        <v>19447</v>
      </c>
      <c r="T2226" t="s">
        <v>19901</v>
      </c>
    </row>
    <row r="2227" spans="2:20" x14ac:dyDescent="0.25">
      <c r="B2227" t="s">
        <v>2709</v>
      </c>
      <c r="C2227">
        <v>29089100</v>
      </c>
      <c r="E2227">
        <v>68.819999999999993</v>
      </c>
      <c r="F2227">
        <v>0</v>
      </c>
      <c r="G2227">
        <v>0</v>
      </c>
      <c r="H2227" t="s">
        <v>19447</v>
      </c>
      <c r="I2227" t="s">
        <v>19447</v>
      </c>
      <c r="J2227">
        <v>2</v>
      </c>
      <c r="L2227" t="s">
        <v>2709</v>
      </c>
      <c r="M2227">
        <v>29089100</v>
      </c>
      <c r="O2227" t="s">
        <v>20028</v>
      </c>
      <c r="P2227" t="s">
        <v>19900</v>
      </c>
      <c r="Q2227" t="s">
        <v>19900</v>
      </c>
      <c r="R2227" t="s">
        <v>19447</v>
      </c>
      <c r="S2227" t="s">
        <v>19447</v>
      </c>
      <c r="T2227" t="s">
        <v>19901</v>
      </c>
    </row>
    <row r="2228" spans="2:20" x14ac:dyDescent="0.25">
      <c r="B2228" t="s">
        <v>2709</v>
      </c>
      <c r="C2228">
        <v>29089200</v>
      </c>
      <c r="E2228">
        <v>68.819999999999993</v>
      </c>
      <c r="F2228">
        <v>0</v>
      </c>
      <c r="G2228">
        <v>0</v>
      </c>
      <c r="H2228" t="s">
        <v>19447</v>
      </c>
      <c r="I2228" t="s">
        <v>19447</v>
      </c>
      <c r="J2228">
        <v>2</v>
      </c>
      <c r="L2228" t="s">
        <v>2709</v>
      </c>
      <c r="M2228">
        <v>29089200</v>
      </c>
      <c r="O2228" t="s">
        <v>20028</v>
      </c>
      <c r="P2228" t="s">
        <v>19900</v>
      </c>
      <c r="Q2228" t="s">
        <v>19900</v>
      </c>
      <c r="R2228" t="s">
        <v>19447</v>
      </c>
      <c r="S2228" t="s">
        <v>19447</v>
      </c>
      <c r="T2228" t="s">
        <v>19901</v>
      </c>
    </row>
    <row r="2229" spans="2:20" x14ac:dyDescent="0.25">
      <c r="B2229" t="s">
        <v>2709</v>
      </c>
      <c r="C2229">
        <v>29089912</v>
      </c>
      <c r="E2229">
        <v>68.819999999999993</v>
      </c>
      <c r="F2229">
        <v>0</v>
      </c>
      <c r="G2229">
        <v>0</v>
      </c>
      <c r="H2229" t="s">
        <v>19447</v>
      </c>
      <c r="I2229" t="s">
        <v>19447</v>
      </c>
      <c r="J2229">
        <v>2</v>
      </c>
      <c r="L2229" t="s">
        <v>2709</v>
      </c>
      <c r="M2229">
        <v>29089912</v>
      </c>
      <c r="O2229" t="s">
        <v>20028</v>
      </c>
      <c r="P2229" t="s">
        <v>19900</v>
      </c>
      <c r="Q2229" t="s">
        <v>19900</v>
      </c>
      <c r="R2229" t="s">
        <v>19447</v>
      </c>
      <c r="S2229" t="s">
        <v>19447</v>
      </c>
      <c r="T2229" t="s">
        <v>19901</v>
      </c>
    </row>
    <row r="2230" spans="2:20" x14ac:dyDescent="0.25">
      <c r="B2230" t="s">
        <v>2709</v>
      </c>
      <c r="C2230">
        <v>29089913</v>
      </c>
      <c r="E2230">
        <v>68.819999999999993</v>
      </c>
      <c r="F2230">
        <v>0</v>
      </c>
      <c r="G2230">
        <v>0</v>
      </c>
      <c r="H2230" t="s">
        <v>19447</v>
      </c>
      <c r="I2230" t="s">
        <v>19447</v>
      </c>
      <c r="J2230">
        <v>2</v>
      </c>
      <c r="L2230" t="s">
        <v>2709</v>
      </c>
      <c r="M2230">
        <v>29089913</v>
      </c>
      <c r="O2230" t="s">
        <v>20028</v>
      </c>
      <c r="P2230" t="s">
        <v>19900</v>
      </c>
      <c r="Q2230" t="s">
        <v>19900</v>
      </c>
      <c r="R2230" t="s">
        <v>19447</v>
      </c>
      <c r="S2230" t="s">
        <v>19447</v>
      </c>
      <c r="T2230" t="s">
        <v>19901</v>
      </c>
    </row>
    <row r="2231" spans="2:20" x14ac:dyDescent="0.25">
      <c r="B2231" t="s">
        <v>2709</v>
      </c>
      <c r="C2231">
        <v>29089919</v>
      </c>
      <c r="E2231">
        <v>68.819999999999993</v>
      </c>
      <c r="F2231">
        <v>0</v>
      </c>
      <c r="G2231">
        <v>0</v>
      </c>
      <c r="H2231" t="s">
        <v>19447</v>
      </c>
      <c r="I2231" t="s">
        <v>19447</v>
      </c>
      <c r="J2231">
        <v>2</v>
      </c>
      <c r="L2231" t="s">
        <v>2709</v>
      </c>
      <c r="M2231">
        <v>29089919</v>
      </c>
      <c r="O2231" t="s">
        <v>20028</v>
      </c>
      <c r="P2231" t="s">
        <v>19900</v>
      </c>
      <c r="Q2231" t="s">
        <v>19900</v>
      </c>
      <c r="R2231" t="s">
        <v>19447</v>
      </c>
      <c r="S2231" t="s">
        <v>19447</v>
      </c>
      <c r="T2231" t="s">
        <v>19901</v>
      </c>
    </row>
    <row r="2232" spans="2:20" x14ac:dyDescent="0.25">
      <c r="B2232" t="s">
        <v>2709</v>
      </c>
      <c r="C2232">
        <v>29089921</v>
      </c>
      <c r="E2232">
        <v>68.819999999999993</v>
      </c>
      <c r="F2232">
        <v>0</v>
      </c>
      <c r="G2232">
        <v>0</v>
      </c>
      <c r="H2232" t="s">
        <v>19447</v>
      </c>
      <c r="I2232" t="s">
        <v>19447</v>
      </c>
      <c r="J2232">
        <v>14</v>
      </c>
      <c r="L2232" t="s">
        <v>2709</v>
      </c>
      <c r="M2232">
        <v>29089921</v>
      </c>
      <c r="O2232" t="s">
        <v>20028</v>
      </c>
      <c r="P2232" t="s">
        <v>19900</v>
      </c>
      <c r="Q2232" t="s">
        <v>19900</v>
      </c>
      <c r="R2232" t="s">
        <v>19447</v>
      </c>
      <c r="S2232" t="s">
        <v>19447</v>
      </c>
      <c r="T2232" t="s">
        <v>19911</v>
      </c>
    </row>
    <row r="2233" spans="2:20" x14ac:dyDescent="0.25">
      <c r="B2233" t="s">
        <v>2709</v>
      </c>
      <c r="C2233">
        <v>29089929</v>
      </c>
      <c r="E2233">
        <v>68.819999999999993</v>
      </c>
      <c r="F2233">
        <v>0</v>
      </c>
      <c r="G2233">
        <v>0</v>
      </c>
      <c r="H2233" t="s">
        <v>19447</v>
      </c>
      <c r="I2233" t="s">
        <v>19447</v>
      </c>
      <c r="J2233">
        <v>2</v>
      </c>
      <c r="L2233" t="s">
        <v>2709</v>
      </c>
      <c r="M2233">
        <v>29089929</v>
      </c>
      <c r="O2233" t="s">
        <v>20028</v>
      </c>
      <c r="P2233" t="s">
        <v>19900</v>
      </c>
      <c r="Q2233" t="s">
        <v>19900</v>
      </c>
      <c r="R2233" t="s">
        <v>19447</v>
      </c>
      <c r="S2233" t="s">
        <v>19447</v>
      </c>
      <c r="T2233" t="s">
        <v>19901</v>
      </c>
    </row>
    <row r="2234" spans="2:20" x14ac:dyDescent="0.25">
      <c r="B2234" t="s">
        <v>2709</v>
      </c>
      <c r="C2234">
        <v>29089930</v>
      </c>
      <c r="E2234">
        <v>68.819999999999993</v>
      </c>
      <c r="F2234">
        <v>0</v>
      </c>
      <c r="G2234">
        <v>0</v>
      </c>
      <c r="H2234" t="s">
        <v>19447</v>
      </c>
      <c r="I2234" t="s">
        <v>19447</v>
      </c>
      <c r="J2234">
        <v>12</v>
      </c>
      <c r="L2234" t="s">
        <v>2709</v>
      </c>
      <c r="M2234">
        <v>29089930</v>
      </c>
      <c r="O2234" t="s">
        <v>20028</v>
      </c>
      <c r="P2234" t="s">
        <v>19900</v>
      </c>
      <c r="Q2234" t="s">
        <v>19900</v>
      </c>
      <c r="R2234" t="s">
        <v>19447</v>
      </c>
      <c r="S2234" t="s">
        <v>19447</v>
      </c>
      <c r="T2234" t="s">
        <v>19903</v>
      </c>
    </row>
    <row r="2235" spans="2:20" x14ac:dyDescent="0.25">
      <c r="B2235" t="s">
        <v>2709</v>
      </c>
      <c r="C2235">
        <v>29089990</v>
      </c>
      <c r="E2235">
        <v>68.819999999999993</v>
      </c>
      <c r="F2235">
        <v>0</v>
      </c>
      <c r="G2235">
        <v>0</v>
      </c>
      <c r="H2235" t="s">
        <v>19447</v>
      </c>
      <c r="I2235" t="s">
        <v>19447</v>
      </c>
      <c r="J2235">
        <v>2</v>
      </c>
      <c r="L2235" t="s">
        <v>2709</v>
      </c>
      <c r="M2235">
        <v>29089990</v>
      </c>
      <c r="O2235" t="s">
        <v>20028</v>
      </c>
      <c r="P2235" t="s">
        <v>19900</v>
      </c>
      <c r="Q2235" t="s">
        <v>19900</v>
      </c>
      <c r="R2235" t="s">
        <v>19447</v>
      </c>
      <c r="S2235" t="s">
        <v>19447</v>
      </c>
      <c r="T2235" t="s">
        <v>19901</v>
      </c>
    </row>
    <row r="2236" spans="2:20" x14ac:dyDescent="0.25">
      <c r="B2236" t="s">
        <v>2709</v>
      </c>
      <c r="C2236">
        <v>29091100</v>
      </c>
      <c r="E2236">
        <v>68.819999999999993</v>
      </c>
      <c r="F2236">
        <v>0</v>
      </c>
      <c r="G2236">
        <v>0</v>
      </c>
      <c r="H2236" t="s">
        <v>19447</v>
      </c>
      <c r="I2236" t="s">
        <v>19447</v>
      </c>
      <c r="J2236">
        <v>12</v>
      </c>
      <c r="L2236" t="s">
        <v>2709</v>
      </c>
      <c r="M2236">
        <v>29091100</v>
      </c>
      <c r="O2236" t="s">
        <v>20028</v>
      </c>
      <c r="P2236" t="s">
        <v>19900</v>
      </c>
      <c r="Q2236" t="s">
        <v>19900</v>
      </c>
      <c r="R2236" t="s">
        <v>19447</v>
      </c>
      <c r="S2236" t="s">
        <v>19447</v>
      </c>
      <c r="T2236" t="s">
        <v>19903</v>
      </c>
    </row>
    <row r="2237" spans="2:20" x14ac:dyDescent="0.25">
      <c r="B2237" t="s">
        <v>2709</v>
      </c>
      <c r="C2237">
        <v>29091910</v>
      </c>
      <c r="E2237">
        <v>68.819999999999993</v>
      </c>
      <c r="F2237">
        <v>0</v>
      </c>
      <c r="G2237">
        <v>0</v>
      </c>
      <c r="H2237" t="s">
        <v>19447</v>
      </c>
      <c r="I2237" t="s">
        <v>19447</v>
      </c>
      <c r="J2237">
        <v>12</v>
      </c>
      <c r="L2237" t="s">
        <v>2709</v>
      </c>
      <c r="M2237">
        <v>29091910</v>
      </c>
      <c r="O2237" t="s">
        <v>20028</v>
      </c>
      <c r="P2237" t="s">
        <v>19900</v>
      </c>
      <c r="Q2237" t="s">
        <v>19900</v>
      </c>
      <c r="R2237" t="s">
        <v>19447</v>
      </c>
      <c r="S2237" t="s">
        <v>19447</v>
      </c>
      <c r="T2237" t="s">
        <v>19903</v>
      </c>
    </row>
    <row r="2238" spans="2:20" x14ac:dyDescent="0.25">
      <c r="B2238" t="s">
        <v>2709</v>
      </c>
      <c r="C2238">
        <v>29091990</v>
      </c>
      <c r="E2238">
        <v>68.819999999999993</v>
      </c>
      <c r="F2238">
        <v>0</v>
      </c>
      <c r="G2238">
        <v>0</v>
      </c>
      <c r="H2238" t="s">
        <v>19447</v>
      </c>
      <c r="I2238" t="s">
        <v>19447</v>
      </c>
      <c r="J2238">
        <v>2</v>
      </c>
      <c r="L2238" t="s">
        <v>2709</v>
      </c>
      <c r="M2238">
        <v>29091990</v>
      </c>
      <c r="O2238" t="s">
        <v>20028</v>
      </c>
      <c r="P2238" t="s">
        <v>19900</v>
      </c>
      <c r="Q2238" t="s">
        <v>19900</v>
      </c>
      <c r="R2238" t="s">
        <v>19447</v>
      </c>
      <c r="S2238" t="s">
        <v>19447</v>
      </c>
      <c r="T2238" t="s">
        <v>19901</v>
      </c>
    </row>
    <row r="2239" spans="2:20" x14ac:dyDescent="0.25">
      <c r="B2239" t="s">
        <v>2709</v>
      </c>
      <c r="C2239">
        <v>29092000</v>
      </c>
      <c r="E2239">
        <v>68.819999999999993</v>
      </c>
      <c r="F2239">
        <v>0</v>
      </c>
      <c r="G2239">
        <v>0</v>
      </c>
      <c r="H2239" t="s">
        <v>19447</v>
      </c>
      <c r="I2239" t="s">
        <v>19447</v>
      </c>
      <c r="J2239">
        <v>12</v>
      </c>
      <c r="L2239" t="s">
        <v>2709</v>
      </c>
      <c r="M2239">
        <v>29092000</v>
      </c>
      <c r="O2239" t="s">
        <v>20028</v>
      </c>
      <c r="P2239" t="s">
        <v>19900</v>
      </c>
      <c r="Q2239" t="s">
        <v>19900</v>
      </c>
      <c r="R2239" t="s">
        <v>19447</v>
      </c>
      <c r="S2239" t="s">
        <v>19447</v>
      </c>
      <c r="T2239" t="s">
        <v>19903</v>
      </c>
    </row>
    <row r="2240" spans="2:20" x14ac:dyDescent="0.25">
      <c r="B2240" t="s">
        <v>2709</v>
      </c>
      <c r="C2240">
        <v>29093011</v>
      </c>
      <c r="E2240">
        <v>68.819999999999993</v>
      </c>
      <c r="F2240">
        <v>0</v>
      </c>
      <c r="G2240">
        <v>0</v>
      </c>
      <c r="H2240" t="s">
        <v>19447</v>
      </c>
      <c r="I2240" t="s">
        <v>19447</v>
      </c>
      <c r="J2240">
        <v>12</v>
      </c>
      <c r="L2240" t="s">
        <v>2709</v>
      </c>
      <c r="M2240">
        <v>29093011</v>
      </c>
      <c r="O2240" t="s">
        <v>20028</v>
      </c>
      <c r="P2240" t="s">
        <v>19900</v>
      </c>
      <c r="Q2240" t="s">
        <v>19900</v>
      </c>
      <c r="R2240" t="s">
        <v>19447</v>
      </c>
      <c r="S2240" t="s">
        <v>19447</v>
      </c>
      <c r="T2240" t="s">
        <v>19903</v>
      </c>
    </row>
    <row r="2241" spans="2:20" x14ac:dyDescent="0.25">
      <c r="B2241" t="s">
        <v>2709</v>
      </c>
      <c r="C2241">
        <v>29093012</v>
      </c>
      <c r="E2241">
        <v>68.819999999999993</v>
      </c>
      <c r="F2241">
        <v>0</v>
      </c>
      <c r="G2241">
        <v>0</v>
      </c>
      <c r="H2241" t="s">
        <v>19447</v>
      </c>
      <c r="I2241" t="s">
        <v>19447</v>
      </c>
      <c r="J2241">
        <v>2</v>
      </c>
      <c r="L2241" t="s">
        <v>2709</v>
      </c>
      <c r="M2241">
        <v>29093012</v>
      </c>
      <c r="O2241" t="s">
        <v>20028</v>
      </c>
      <c r="P2241" t="s">
        <v>19900</v>
      </c>
      <c r="Q2241" t="s">
        <v>19900</v>
      </c>
      <c r="R2241" t="s">
        <v>19447</v>
      </c>
      <c r="S2241" t="s">
        <v>19447</v>
      </c>
      <c r="T2241" t="s">
        <v>19901</v>
      </c>
    </row>
    <row r="2242" spans="2:20" x14ac:dyDescent="0.25">
      <c r="B2242" t="s">
        <v>2709</v>
      </c>
      <c r="C2242">
        <v>29093013</v>
      </c>
      <c r="E2242">
        <v>68.819999999999993</v>
      </c>
      <c r="F2242">
        <v>0</v>
      </c>
      <c r="G2242">
        <v>0</v>
      </c>
      <c r="H2242" t="s">
        <v>19447</v>
      </c>
      <c r="I2242" t="s">
        <v>19447</v>
      </c>
      <c r="J2242">
        <v>12</v>
      </c>
      <c r="L2242" t="s">
        <v>2709</v>
      </c>
      <c r="M2242">
        <v>29093013</v>
      </c>
      <c r="O2242" t="s">
        <v>20028</v>
      </c>
      <c r="P2242" t="s">
        <v>19900</v>
      </c>
      <c r="Q2242" t="s">
        <v>19900</v>
      </c>
      <c r="R2242" t="s">
        <v>19447</v>
      </c>
      <c r="S2242" t="s">
        <v>19447</v>
      </c>
      <c r="T2242" t="s">
        <v>19903</v>
      </c>
    </row>
    <row r="2243" spans="2:20" x14ac:dyDescent="0.25">
      <c r="B2243" t="s">
        <v>2709</v>
      </c>
      <c r="C2243">
        <v>29093014</v>
      </c>
      <c r="E2243">
        <v>68.819999999999993</v>
      </c>
      <c r="F2243">
        <v>0</v>
      </c>
      <c r="G2243">
        <v>0</v>
      </c>
      <c r="H2243" t="s">
        <v>19447</v>
      </c>
      <c r="I2243" t="s">
        <v>19447</v>
      </c>
      <c r="J2243">
        <v>12</v>
      </c>
      <c r="L2243" t="s">
        <v>2709</v>
      </c>
      <c r="M2243">
        <v>29093014</v>
      </c>
      <c r="O2243" t="s">
        <v>20028</v>
      </c>
      <c r="P2243" t="s">
        <v>19900</v>
      </c>
      <c r="Q2243" t="s">
        <v>19900</v>
      </c>
      <c r="R2243" t="s">
        <v>19447</v>
      </c>
      <c r="S2243" t="s">
        <v>19447</v>
      </c>
      <c r="T2243" t="s">
        <v>19903</v>
      </c>
    </row>
    <row r="2244" spans="2:20" x14ac:dyDescent="0.25">
      <c r="B2244" t="s">
        <v>2709</v>
      </c>
      <c r="C2244">
        <v>29093019</v>
      </c>
      <c r="E2244">
        <v>68.819999999999993</v>
      </c>
      <c r="F2244">
        <v>0</v>
      </c>
      <c r="G2244">
        <v>0</v>
      </c>
      <c r="H2244" t="s">
        <v>19447</v>
      </c>
      <c r="I2244" t="s">
        <v>19447</v>
      </c>
      <c r="J2244">
        <v>2</v>
      </c>
      <c r="L2244" t="s">
        <v>2709</v>
      </c>
      <c r="M2244">
        <v>29093019</v>
      </c>
      <c r="O2244" t="s">
        <v>20028</v>
      </c>
      <c r="P2244" t="s">
        <v>19900</v>
      </c>
      <c r="Q2244" t="s">
        <v>19900</v>
      </c>
      <c r="R2244" t="s">
        <v>19447</v>
      </c>
      <c r="S2244" t="s">
        <v>19447</v>
      </c>
      <c r="T2244" t="s">
        <v>19901</v>
      </c>
    </row>
    <row r="2245" spans="2:20" x14ac:dyDescent="0.25">
      <c r="B2245" t="s">
        <v>2709</v>
      </c>
      <c r="C2245">
        <v>29093021</v>
      </c>
      <c r="E2245">
        <v>68.819999999999993</v>
      </c>
      <c r="F2245">
        <v>0</v>
      </c>
      <c r="G2245">
        <v>0</v>
      </c>
      <c r="H2245" t="s">
        <v>19447</v>
      </c>
      <c r="I2245" t="s">
        <v>19447</v>
      </c>
      <c r="J2245">
        <v>2</v>
      </c>
      <c r="L2245" t="s">
        <v>2709</v>
      </c>
      <c r="M2245">
        <v>29093021</v>
      </c>
      <c r="O2245" t="s">
        <v>20028</v>
      </c>
      <c r="P2245" t="s">
        <v>19900</v>
      </c>
      <c r="Q2245" t="s">
        <v>19900</v>
      </c>
      <c r="R2245" t="s">
        <v>19447</v>
      </c>
      <c r="S2245" t="s">
        <v>19447</v>
      </c>
      <c r="T2245" t="s">
        <v>19901</v>
      </c>
    </row>
    <row r="2246" spans="2:20" x14ac:dyDescent="0.25">
      <c r="B2246" t="s">
        <v>2709</v>
      </c>
      <c r="C2246">
        <v>29093029</v>
      </c>
      <c r="E2246">
        <v>68.819999999999993</v>
      </c>
      <c r="F2246">
        <v>0</v>
      </c>
      <c r="G2246">
        <v>0</v>
      </c>
      <c r="H2246" t="s">
        <v>19447</v>
      </c>
      <c r="I2246" t="s">
        <v>19447</v>
      </c>
      <c r="J2246">
        <v>2</v>
      </c>
      <c r="L2246" t="s">
        <v>2709</v>
      </c>
      <c r="M2246">
        <v>29093029</v>
      </c>
      <c r="O2246" t="s">
        <v>20028</v>
      </c>
      <c r="P2246" t="s">
        <v>19900</v>
      </c>
      <c r="Q2246" t="s">
        <v>19900</v>
      </c>
      <c r="R2246" t="s">
        <v>19447</v>
      </c>
      <c r="S2246" t="s">
        <v>19447</v>
      </c>
      <c r="T2246" t="s">
        <v>19901</v>
      </c>
    </row>
    <row r="2247" spans="2:20" x14ac:dyDescent="0.25">
      <c r="B2247" t="s">
        <v>2709</v>
      </c>
      <c r="C2247">
        <v>29094100</v>
      </c>
      <c r="E2247">
        <v>68.819999999999993</v>
      </c>
      <c r="F2247">
        <v>0</v>
      </c>
      <c r="G2247">
        <v>0</v>
      </c>
      <c r="H2247" t="s">
        <v>19447</v>
      </c>
      <c r="I2247" t="s">
        <v>19447</v>
      </c>
      <c r="J2247">
        <v>14</v>
      </c>
      <c r="L2247" t="s">
        <v>2709</v>
      </c>
      <c r="M2247">
        <v>29094100</v>
      </c>
      <c r="O2247" t="s">
        <v>20028</v>
      </c>
      <c r="P2247" t="s">
        <v>19900</v>
      </c>
      <c r="Q2247" t="s">
        <v>19900</v>
      </c>
      <c r="R2247" t="s">
        <v>19447</v>
      </c>
      <c r="S2247" t="s">
        <v>19447</v>
      </c>
      <c r="T2247" t="s">
        <v>19911</v>
      </c>
    </row>
    <row r="2248" spans="2:20" x14ac:dyDescent="0.25">
      <c r="B2248" t="s">
        <v>2709</v>
      </c>
      <c r="C2248">
        <v>29094310</v>
      </c>
      <c r="E2248">
        <v>68.819999999999993</v>
      </c>
      <c r="F2248">
        <v>0</v>
      </c>
      <c r="G2248">
        <v>0</v>
      </c>
      <c r="H2248" t="s">
        <v>19447</v>
      </c>
      <c r="I2248" t="s">
        <v>19447</v>
      </c>
      <c r="J2248">
        <v>14</v>
      </c>
      <c r="L2248" t="s">
        <v>2709</v>
      </c>
      <c r="M2248">
        <v>29094310</v>
      </c>
      <c r="O2248" t="s">
        <v>20028</v>
      </c>
      <c r="P2248" t="s">
        <v>19900</v>
      </c>
      <c r="Q2248" t="s">
        <v>19900</v>
      </c>
      <c r="R2248" t="s">
        <v>19447</v>
      </c>
      <c r="S2248" t="s">
        <v>19447</v>
      </c>
      <c r="T2248" t="s">
        <v>19911</v>
      </c>
    </row>
    <row r="2249" spans="2:20" x14ac:dyDescent="0.25">
      <c r="B2249" t="s">
        <v>2709</v>
      </c>
      <c r="C2249">
        <v>29094320</v>
      </c>
      <c r="E2249">
        <v>68.819999999999993</v>
      </c>
      <c r="F2249">
        <v>0</v>
      </c>
      <c r="G2249">
        <v>0</v>
      </c>
      <c r="H2249" t="s">
        <v>19447</v>
      </c>
      <c r="I2249" t="s">
        <v>19447</v>
      </c>
      <c r="J2249">
        <v>14</v>
      </c>
      <c r="L2249" t="s">
        <v>2709</v>
      </c>
      <c r="M2249">
        <v>29094320</v>
      </c>
      <c r="O2249" t="s">
        <v>20028</v>
      </c>
      <c r="P2249" t="s">
        <v>19900</v>
      </c>
      <c r="Q2249" t="s">
        <v>19900</v>
      </c>
      <c r="R2249" t="s">
        <v>19447</v>
      </c>
      <c r="S2249" t="s">
        <v>19447</v>
      </c>
      <c r="T2249" t="s">
        <v>19911</v>
      </c>
    </row>
    <row r="2250" spans="2:20" x14ac:dyDescent="0.25">
      <c r="B2250" t="s">
        <v>2709</v>
      </c>
      <c r="C2250">
        <v>29094411</v>
      </c>
      <c r="E2250">
        <v>68.819999999999993</v>
      </c>
      <c r="F2250">
        <v>0</v>
      </c>
      <c r="G2250">
        <v>0</v>
      </c>
      <c r="H2250" t="s">
        <v>19447</v>
      </c>
      <c r="I2250" t="s">
        <v>19447</v>
      </c>
      <c r="J2250">
        <v>14</v>
      </c>
      <c r="L2250" t="s">
        <v>2709</v>
      </c>
      <c r="M2250">
        <v>29094411</v>
      </c>
      <c r="O2250" t="s">
        <v>20028</v>
      </c>
      <c r="P2250" t="s">
        <v>19900</v>
      </c>
      <c r="Q2250" t="s">
        <v>19900</v>
      </c>
      <c r="R2250" t="s">
        <v>19447</v>
      </c>
      <c r="S2250" t="s">
        <v>19447</v>
      </c>
      <c r="T2250" t="s">
        <v>19911</v>
      </c>
    </row>
    <row r="2251" spans="2:20" x14ac:dyDescent="0.25">
      <c r="B2251" t="s">
        <v>2709</v>
      </c>
      <c r="C2251">
        <v>29094412</v>
      </c>
      <c r="E2251">
        <v>68.819999999999993</v>
      </c>
      <c r="F2251">
        <v>0</v>
      </c>
      <c r="G2251">
        <v>0</v>
      </c>
      <c r="H2251" t="s">
        <v>19447</v>
      </c>
      <c r="I2251" t="s">
        <v>19447</v>
      </c>
      <c r="J2251">
        <v>14</v>
      </c>
      <c r="L2251" t="s">
        <v>2709</v>
      </c>
      <c r="M2251">
        <v>29094412</v>
      </c>
      <c r="O2251" t="s">
        <v>20028</v>
      </c>
      <c r="P2251" t="s">
        <v>19900</v>
      </c>
      <c r="Q2251" t="s">
        <v>19900</v>
      </c>
      <c r="R2251" t="s">
        <v>19447</v>
      </c>
      <c r="S2251" t="s">
        <v>19447</v>
      </c>
      <c r="T2251" t="s">
        <v>19911</v>
      </c>
    </row>
    <row r="2252" spans="2:20" x14ac:dyDescent="0.25">
      <c r="B2252" t="s">
        <v>2709</v>
      </c>
      <c r="C2252">
        <v>29094413</v>
      </c>
      <c r="E2252">
        <v>68.819999999999993</v>
      </c>
      <c r="F2252">
        <v>0</v>
      </c>
      <c r="G2252">
        <v>0</v>
      </c>
      <c r="H2252" t="s">
        <v>19447</v>
      </c>
      <c r="I2252" t="s">
        <v>19447</v>
      </c>
      <c r="J2252">
        <v>2</v>
      </c>
      <c r="L2252" t="s">
        <v>2709</v>
      </c>
      <c r="M2252">
        <v>29094413</v>
      </c>
      <c r="O2252" t="s">
        <v>20028</v>
      </c>
      <c r="P2252" t="s">
        <v>19900</v>
      </c>
      <c r="Q2252" t="s">
        <v>19900</v>
      </c>
      <c r="R2252" t="s">
        <v>19447</v>
      </c>
      <c r="S2252" t="s">
        <v>19447</v>
      </c>
      <c r="T2252" t="s">
        <v>19901</v>
      </c>
    </row>
    <row r="2253" spans="2:20" x14ac:dyDescent="0.25">
      <c r="B2253" t="s">
        <v>2709</v>
      </c>
      <c r="C2253">
        <v>29094419</v>
      </c>
      <c r="E2253">
        <v>68.819999999999993</v>
      </c>
      <c r="F2253">
        <v>0</v>
      </c>
      <c r="G2253">
        <v>0</v>
      </c>
      <c r="H2253" t="s">
        <v>19447</v>
      </c>
      <c r="I2253" t="s">
        <v>19447</v>
      </c>
      <c r="J2253">
        <v>14</v>
      </c>
      <c r="L2253" t="s">
        <v>2709</v>
      </c>
      <c r="M2253">
        <v>29094419</v>
      </c>
      <c r="O2253" t="s">
        <v>20028</v>
      </c>
      <c r="P2253" t="s">
        <v>19900</v>
      </c>
      <c r="Q2253" t="s">
        <v>19900</v>
      </c>
      <c r="R2253" t="s">
        <v>19447</v>
      </c>
      <c r="S2253" t="s">
        <v>19447</v>
      </c>
      <c r="T2253" t="s">
        <v>19911</v>
      </c>
    </row>
    <row r="2254" spans="2:20" x14ac:dyDescent="0.25">
      <c r="B2254" t="s">
        <v>2709</v>
      </c>
      <c r="C2254">
        <v>29094421</v>
      </c>
      <c r="E2254">
        <v>68.819999999999993</v>
      </c>
      <c r="F2254">
        <v>0</v>
      </c>
      <c r="G2254">
        <v>0</v>
      </c>
      <c r="H2254" t="s">
        <v>19447</v>
      </c>
      <c r="I2254" t="s">
        <v>19447</v>
      </c>
      <c r="J2254">
        <v>14</v>
      </c>
      <c r="L2254" t="s">
        <v>2709</v>
      </c>
      <c r="M2254">
        <v>29094421</v>
      </c>
      <c r="O2254" t="s">
        <v>20028</v>
      </c>
      <c r="P2254" t="s">
        <v>19900</v>
      </c>
      <c r="Q2254" t="s">
        <v>19900</v>
      </c>
      <c r="R2254" t="s">
        <v>19447</v>
      </c>
      <c r="S2254" t="s">
        <v>19447</v>
      </c>
      <c r="T2254" t="s">
        <v>19911</v>
      </c>
    </row>
    <row r="2255" spans="2:20" x14ac:dyDescent="0.25">
      <c r="B2255" t="s">
        <v>2709</v>
      </c>
      <c r="C2255">
        <v>29094429</v>
      </c>
      <c r="E2255">
        <v>68.819999999999993</v>
      </c>
      <c r="F2255">
        <v>0</v>
      </c>
      <c r="G2255">
        <v>0</v>
      </c>
      <c r="H2255" t="s">
        <v>19447</v>
      </c>
      <c r="I2255" t="s">
        <v>19447</v>
      </c>
      <c r="J2255">
        <v>14</v>
      </c>
      <c r="L2255" t="s">
        <v>2709</v>
      </c>
      <c r="M2255">
        <v>29094429</v>
      </c>
      <c r="O2255" t="s">
        <v>20028</v>
      </c>
      <c r="P2255" t="s">
        <v>19900</v>
      </c>
      <c r="Q2255" t="s">
        <v>19900</v>
      </c>
      <c r="R2255" t="s">
        <v>19447</v>
      </c>
      <c r="S2255" t="s">
        <v>19447</v>
      </c>
      <c r="T2255" t="s">
        <v>19911</v>
      </c>
    </row>
    <row r="2256" spans="2:20" x14ac:dyDescent="0.25">
      <c r="B2256" t="s">
        <v>2709</v>
      </c>
      <c r="C2256">
        <v>29094910</v>
      </c>
      <c r="E2256">
        <v>68.819999999999993</v>
      </c>
      <c r="F2256">
        <v>0</v>
      </c>
      <c r="G2256">
        <v>0</v>
      </c>
      <c r="H2256" t="s">
        <v>19447</v>
      </c>
      <c r="I2256" t="s">
        <v>19447</v>
      </c>
      <c r="J2256">
        <v>2</v>
      </c>
      <c r="L2256" t="s">
        <v>2709</v>
      </c>
      <c r="M2256">
        <v>29094910</v>
      </c>
      <c r="O2256" t="s">
        <v>20028</v>
      </c>
      <c r="P2256" t="s">
        <v>19900</v>
      </c>
      <c r="Q2256" t="s">
        <v>19900</v>
      </c>
      <c r="R2256" t="s">
        <v>19447</v>
      </c>
      <c r="S2256" t="s">
        <v>19447</v>
      </c>
      <c r="T2256" t="s">
        <v>19901</v>
      </c>
    </row>
    <row r="2257" spans="2:20" x14ac:dyDescent="0.25">
      <c r="B2257" t="s">
        <v>2709</v>
      </c>
      <c r="C2257">
        <v>29094921</v>
      </c>
      <c r="E2257">
        <v>68.819999999999993</v>
      </c>
      <c r="F2257">
        <v>0</v>
      </c>
      <c r="G2257">
        <v>0</v>
      </c>
      <c r="H2257" t="s">
        <v>19447</v>
      </c>
      <c r="I2257" t="s">
        <v>19447</v>
      </c>
      <c r="J2257">
        <v>14</v>
      </c>
      <c r="L2257" t="s">
        <v>2709</v>
      </c>
      <c r="M2257">
        <v>29094921</v>
      </c>
      <c r="O2257" t="s">
        <v>20028</v>
      </c>
      <c r="P2257" t="s">
        <v>19900</v>
      </c>
      <c r="Q2257" t="s">
        <v>19900</v>
      </c>
      <c r="R2257" t="s">
        <v>19447</v>
      </c>
      <c r="S2257" t="s">
        <v>19447</v>
      </c>
      <c r="T2257" t="s">
        <v>19911</v>
      </c>
    </row>
    <row r="2258" spans="2:20" x14ac:dyDescent="0.25">
      <c r="B2258" t="s">
        <v>2709</v>
      </c>
      <c r="C2258">
        <v>29094922</v>
      </c>
      <c r="E2258">
        <v>68.819999999999993</v>
      </c>
      <c r="F2258">
        <v>0</v>
      </c>
      <c r="G2258">
        <v>0</v>
      </c>
      <c r="H2258" t="s">
        <v>19447</v>
      </c>
      <c r="I2258" t="s">
        <v>19447</v>
      </c>
      <c r="J2258">
        <v>14</v>
      </c>
      <c r="L2258" t="s">
        <v>2709</v>
      </c>
      <c r="M2258">
        <v>29094922</v>
      </c>
      <c r="O2258" t="s">
        <v>20028</v>
      </c>
      <c r="P2258" t="s">
        <v>19900</v>
      </c>
      <c r="Q2258" t="s">
        <v>19900</v>
      </c>
      <c r="R2258" t="s">
        <v>19447</v>
      </c>
      <c r="S2258" t="s">
        <v>19447</v>
      </c>
      <c r="T2258" t="s">
        <v>19911</v>
      </c>
    </row>
    <row r="2259" spans="2:20" x14ac:dyDescent="0.25">
      <c r="B2259" t="s">
        <v>2709</v>
      </c>
      <c r="C2259">
        <v>29094923</v>
      </c>
      <c r="E2259">
        <v>68.819999999999993</v>
      </c>
      <c r="F2259">
        <v>0</v>
      </c>
      <c r="G2259">
        <v>0</v>
      </c>
      <c r="H2259" t="s">
        <v>19447</v>
      </c>
      <c r="I2259" t="s">
        <v>19447</v>
      </c>
      <c r="J2259">
        <v>2</v>
      </c>
      <c r="L2259" t="s">
        <v>2709</v>
      </c>
      <c r="M2259">
        <v>29094923</v>
      </c>
      <c r="O2259" t="s">
        <v>20028</v>
      </c>
      <c r="P2259" t="s">
        <v>19900</v>
      </c>
      <c r="Q2259" t="s">
        <v>19900</v>
      </c>
      <c r="R2259" t="s">
        <v>19447</v>
      </c>
      <c r="S2259" t="s">
        <v>19447</v>
      </c>
      <c r="T2259" t="s">
        <v>19901</v>
      </c>
    </row>
    <row r="2260" spans="2:20" x14ac:dyDescent="0.25">
      <c r="B2260" t="s">
        <v>2709</v>
      </c>
      <c r="C2260">
        <v>29094924</v>
      </c>
      <c r="E2260">
        <v>68.819999999999993</v>
      </c>
      <c r="F2260">
        <v>0</v>
      </c>
      <c r="G2260">
        <v>0</v>
      </c>
      <c r="H2260" t="s">
        <v>19447</v>
      </c>
      <c r="I2260" t="s">
        <v>19447</v>
      </c>
      <c r="J2260">
        <v>14</v>
      </c>
      <c r="L2260" t="s">
        <v>2709</v>
      </c>
      <c r="M2260">
        <v>29094924</v>
      </c>
      <c r="O2260" t="s">
        <v>20028</v>
      </c>
      <c r="P2260" t="s">
        <v>19900</v>
      </c>
      <c r="Q2260" t="s">
        <v>19900</v>
      </c>
      <c r="R2260" t="s">
        <v>19447</v>
      </c>
      <c r="S2260" t="s">
        <v>19447</v>
      </c>
      <c r="T2260" t="s">
        <v>19911</v>
      </c>
    </row>
    <row r="2261" spans="2:20" x14ac:dyDescent="0.25">
      <c r="B2261" t="s">
        <v>2709</v>
      </c>
      <c r="C2261">
        <v>29094929</v>
      </c>
      <c r="E2261">
        <v>68.819999999999993</v>
      </c>
      <c r="F2261">
        <v>0</v>
      </c>
      <c r="G2261">
        <v>0</v>
      </c>
      <c r="H2261" t="s">
        <v>19447</v>
      </c>
      <c r="I2261" t="s">
        <v>19447</v>
      </c>
      <c r="J2261">
        <v>2</v>
      </c>
      <c r="L2261" t="s">
        <v>2709</v>
      </c>
      <c r="M2261">
        <v>29094929</v>
      </c>
      <c r="O2261" t="s">
        <v>20028</v>
      </c>
      <c r="P2261" t="s">
        <v>19900</v>
      </c>
      <c r="Q2261" t="s">
        <v>19900</v>
      </c>
      <c r="R2261" t="s">
        <v>19447</v>
      </c>
      <c r="S2261" t="s">
        <v>19447</v>
      </c>
      <c r="T2261" t="s">
        <v>19901</v>
      </c>
    </row>
    <row r="2262" spans="2:20" x14ac:dyDescent="0.25">
      <c r="B2262" t="s">
        <v>2709</v>
      </c>
      <c r="C2262">
        <v>29094931</v>
      </c>
      <c r="E2262">
        <v>68.819999999999993</v>
      </c>
      <c r="F2262">
        <v>0</v>
      </c>
      <c r="G2262">
        <v>0</v>
      </c>
      <c r="H2262" t="s">
        <v>19447</v>
      </c>
      <c r="I2262" t="s">
        <v>19447</v>
      </c>
      <c r="J2262">
        <v>14</v>
      </c>
      <c r="L2262" t="s">
        <v>2709</v>
      </c>
      <c r="M2262">
        <v>29094931</v>
      </c>
      <c r="O2262" t="s">
        <v>20028</v>
      </c>
      <c r="P2262" t="s">
        <v>19900</v>
      </c>
      <c r="Q2262" t="s">
        <v>19900</v>
      </c>
      <c r="R2262" t="s">
        <v>19447</v>
      </c>
      <c r="S2262" t="s">
        <v>19447</v>
      </c>
      <c r="T2262" t="s">
        <v>19911</v>
      </c>
    </row>
    <row r="2263" spans="2:20" x14ac:dyDescent="0.25">
      <c r="B2263" t="s">
        <v>2709</v>
      </c>
      <c r="C2263">
        <v>29094932</v>
      </c>
      <c r="E2263">
        <v>68.819999999999993</v>
      </c>
      <c r="F2263">
        <v>0</v>
      </c>
      <c r="G2263">
        <v>0</v>
      </c>
      <c r="H2263" t="s">
        <v>19447</v>
      </c>
      <c r="I2263" t="s">
        <v>19447</v>
      </c>
      <c r="J2263">
        <v>14</v>
      </c>
      <c r="L2263" t="s">
        <v>2709</v>
      </c>
      <c r="M2263">
        <v>29094932</v>
      </c>
      <c r="O2263" t="s">
        <v>20028</v>
      </c>
      <c r="P2263" t="s">
        <v>19900</v>
      </c>
      <c r="Q2263" t="s">
        <v>19900</v>
      </c>
      <c r="R2263" t="s">
        <v>19447</v>
      </c>
      <c r="S2263" t="s">
        <v>19447</v>
      </c>
      <c r="T2263" t="s">
        <v>19911</v>
      </c>
    </row>
    <row r="2264" spans="2:20" x14ac:dyDescent="0.25">
      <c r="B2264" t="s">
        <v>2709</v>
      </c>
      <c r="C2264">
        <v>29094939</v>
      </c>
      <c r="E2264">
        <v>68.819999999999993</v>
      </c>
      <c r="F2264">
        <v>0</v>
      </c>
      <c r="G2264">
        <v>0</v>
      </c>
      <c r="H2264" t="s">
        <v>19447</v>
      </c>
      <c r="I2264" t="s">
        <v>19447</v>
      </c>
      <c r="J2264">
        <v>2</v>
      </c>
      <c r="L2264" t="s">
        <v>2709</v>
      </c>
      <c r="M2264">
        <v>29094939</v>
      </c>
      <c r="O2264" t="s">
        <v>20028</v>
      </c>
      <c r="P2264" t="s">
        <v>19900</v>
      </c>
      <c r="Q2264" t="s">
        <v>19900</v>
      </c>
      <c r="R2264" t="s">
        <v>19447</v>
      </c>
      <c r="S2264" t="s">
        <v>19447</v>
      </c>
      <c r="T2264" t="s">
        <v>19901</v>
      </c>
    </row>
    <row r="2265" spans="2:20" x14ac:dyDescent="0.25">
      <c r="B2265" t="s">
        <v>2709</v>
      </c>
      <c r="C2265">
        <v>29094941</v>
      </c>
      <c r="E2265">
        <v>68.819999999999993</v>
      </c>
      <c r="F2265">
        <v>0</v>
      </c>
      <c r="G2265">
        <v>0</v>
      </c>
      <c r="H2265" t="s">
        <v>19447</v>
      </c>
      <c r="I2265" t="s">
        <v>19447</v>
      </c>
      <c r="J2265">
        <v>14</v>
      </c>
      <c r="L2265" t="s">
        <v>2709</v>
      </c>
      <c r="M2265">
        <v>29094941</v>
      </c>
      <c r="O2265" t="s">
        <v>20028</v>
      </c>
      <c r="P2265" t="s">
        <v>19900</v>
      </c>
      <c r="Q2265" t="s">
        <v>19900</v>
      </c>
      <c r="R2265" t="s">
        <v>19447</v>
      </c>
      <c r="S2265" t="s">
        <v>19447</v>
      </c>
      <c r="T2265" t="s">
        <v>19911</v>
      </c>
    </row>
    <row r="2266" spans="2:20" x14ac:dyDescent="0.25">
      <c r="B2266" t="s">
        <v>2709</v>
      </c>
      <c r="C2266">
        <v>29094949</v>
      </c>
      <c r="E2266">
        <v>68.819999999999993</v>
      </c>
      <c r="F2266">
        <v>0</v>
      </c>
      <c r="G2266">
        <v>0</v>
      </c>
      <c r="H2266" t="s">
        <v>19447</v>
      </c>
      <c r="I2266" t="s">
        <v>19447</v>
      </c>
      <c r="J2266">
        <v>2</v>
      </c>
      <c r="L2266" t="s">
        <v>2709</v>
      </c>
      <c r="M2266">
        <v>29094949</v>
      </c>
      <c r="O2266" t="s">
        <v>20028</v>
      </c>
      <c r="P2266" t="s">
        <v>19900</v>
      </c>
      <c r="Q2266" t="s">
        <v>19900</v>
      </c>
      <c r="R2266" t="s">
        <v>19447</v>
      </c>
      <c r="S2266" t="s">
        <v>19447</v>
      </c>
      <c r="T2266" t="s">
        <v>19901</v>
      </c>
    </row>
    <row r="2267" spans="2:20" x14ac:dyDescent="0.25">
      <c r="B2267" t="s">
        <v>2709</v>
      </c>
      <c r="C2267">
        <v>29094950</v>
      </c>
      <c r="E2267">
        <v>68.819999999999993</v>
      </c>
      <c r="F2267">
        <v>0</v>
      </c>
      <c r="G2267">
        <v>0</v>
      </c>
      <c r="H2267" t="s">
        <v>19447</v>
      </c>
      <c r="I2267" t="s">
        <v>19447</v>
      </c>
      <c r="J2267">
        <v>2</v>
      </c>
      <c r="L2267" t="s">
        <v>2709</v>
      </c>
      <c r="M2267">
        <v>29094950</v>
      </c>
      <c r="O2267" t="s">
        <v>20028</v>
      </c>
      <c r="P2267" t="s">
        <v>19900</v>
      </c>
      <c r="Q2267" t="s">
        <v>19900</v>
      </c>
      <c r="R2267" t="s">
        <v>19447</v>
      </c>
      <c r="S2267" t="s">
        <v>19447</v>
      </c>
      <c r="T2267" t="s">
        <v>19901</v>
      </c>
    </row>
    <row r="2268" spans="2:20" x14ac:dyDescent="0.25">
      <c r="B2268" t="s">
        <v>2709</v>
      </c>
      <c r="C2268">
        <v>29094990</v>
      </c>
      <c r="E2268">
        <v>68.819999999999993</v>
      </c>
      <c r="F2268">
        <v>0</v>
      </c>
      <c r="G2268">
        <v>0</v>
      </c>
      <c r="H2268" t="s">
        <v>19447</v>
      </c>
      <c r="I2268" t="s">
        <v>19447</v>
      </c>
      <c r="J2268">
        <v>2</v>
      </c>
      <c r="L2268" t="s">
        <v>2709</v>
      </c>
      <c r="M2268">
        <v>29094990</v>
      </c>
      <c r="O2268" t="s">
        <v>20028</v>
      </c>
      <c r="P2268" t="s">
        <v>19900</v>
      </c>
      <c r="Q2268" t="s">
        <v>19900</v>
      </c>
      <c r="R2268" t="s">
        <v>19447</v>
      </c>
      <c r="S2268" t="s">
        <v>19447</v>
      </c>
      <c r="T2268" t="s">
        <v>19901</v>
      </c>
    </row>
    <row r="2269" spans="2:20" x14ac:dyDescent="0.25">
      <c r="B2269" t="s">
        <v>2709</v>
      </c>
      <c r="C2269">
        <v>29095011</v>
      </c>
      <c r="E2269">
        <v>68.819999999999993</v>
      </c>
      <c r="F2269">
        <v>0</v>
      </c>
      <c r="G2269">
        <v>0</v>
      </c>
      <c r="H2269" t="s">
        <v>19447</v>
      </c>
      <c r="I2269" t="s">
        <v>19447</v>
      </c>
      <c r="J2269">
        <v>2</v>
      </c>
      <c r="L2269" t="s">
        <v>2709</v>
      </c>
      <c r="M2269">
        <v>29095011</v>
      </c>
      <c r="O2269" t="s">
        <v>20028</v>
      </c>
      <c r="P2269" t="s">
        <v>19900</v>
      </c>
      <c r="Q2269" t="s">
        <v>19900</v>
      </c>
      <c r="R2269" t="s">
        <v>19447</v>
      </c>
      <c r="S2269" t="s">
        <v>19447</v>
      </c>
      <c r="T2269" t="s">
        <v>19901</v>
      </c>
    </row>
    <row r="2270" spans="2:20" x14ac:dyDescent="0.25">
      <c r="B2270" t="s">
        <v>2709</v>
      </c>
      <c r="C2270">
        <v>29095012</v>
      </c>
      <c r="E2270">
        <v>68.819999999999993</v>
      </c>
      <c r="F2270">
        <v>0</v>
      </c>
      <c r="G2270">
        <v>0</v>
      </c>
      <c r="H2270" t="s">
        <v>19447</v>
      </c>
      <c r="I2270" t="s">
        <v>19447</v>
      </c>
      <c r="J2270">
        <v>2</v>
      </c>
      <c r="L2270" t="s">
        <v>2709</v>
      </c>
      <c r="M2270">
        <v>29095012</v>
      </c>
      <c r="O2270" t="s">
        <v>20028</v>
      </c>
      <c r="P2270" t="s">
        <v>19900</v>
      </c>
      <c r="Q2270" t="s">
        <v>19900</v>
      </c>
      <c r="R2270" t="s">
        <v>19447</v>
      </c>
      <c r="S2270" t="s">
        <v>19447</v>
      </c>
      <c r="T2270" t="s">
        <v>19901</v>
      </c>
    </row>
    <row r="2271" spans="2:20" x14ac:dyDescent="0.25">
      <c r="B2271" t="s">
        <v>2709</v>
      </c>
      <c r="C2271">
        <v>29095013</v>
      </c>
      <c r="E2271">
        <v>68.819999999999993</v>
      </c>
      <c r="F2271">
        <v>0</v>
      </c>
      <c r="G2271">
        <v>0</v>
      </c>
      <c r="H2271" t="s">
        <v>19447</v>
      </c>
      <c r="I2271" t="s">
        <v>19447</v>
      </c>
      <c r="J2271">
        <v>2</v>
      </c>
      <c r="L2271" t="s">
        <v>2709</v>
      </c>
      <c r="M2271">
        <v>29095013</v>
      </c>
      <c r="O2271" t="s">
        <v>20028</v>
      </c>
      <c r="P2271" t="s">
        <v>19900</v>
      </c>
      <c r="Q2271" t="s">
        <v>19900</v>
      </c>
      <c r="R2271" t="s">
        <v>19447</v>
      </c>
      <c r="S2271" t="s">
        <v>19447</v>
      </c>
      <c r="T2271" t="s">
        <v>19901</v>
      </c>
    </row>
    <row r="2272" spans="2:20" x14ac:dyDescent="0.25">
      <c r="B2272" t="s">
        <v>2709</v>
      </c>
      <c r="C2272">
        <v>29095019</v>
      </c>
      <c r="E2272">
        <v>68.819999999999993</v>
      </c>
      <c r="F2272">
        <v>0</v>
      </c>
      <c r="G2272">
        <v>0</v>
      </c>
      <c r="H2272" t="s">
        <v>19447</v>
      </c>
      <c r="I2272" t="s">
        <v>19447</v>
      </c>
      <c r="J2272">
        <v>2</v>
      </c>
      <c r="L2272" t="s">
        <v>2709</v>
      </c>
      <c r="M2272">
        <v>29095019</v>
      </c>
      <c r="O2272" t="s">
        <v>20028</v>
      </c>
      <c r="P2272" t="s">
        <v>19900</v>
      </c>
      <c r="Q2272" t="s">
        <v>19900</v>
      </c>
      <c r="R2272" t="s">
        <v>19447</v>
      </c>
      <c r="S2272" t="s">
        <v>19447</v>
      </c>
      <c r="T2272" t="s">
        <v>19901</v>
      </c>
    </row>
    <row r="2273" spans="2:20" x14ac:dyDescent="0.25">
      <c r="B2273" t="s">
        <v>2709</v>
      </c>
      <c r="C2273">
        <v>29095090</v>
      </c>
      <c r="E2273">
        <v>68.819999999999993</v>
      </c>
      <c r="F2273">
        <v>0</v>
      </c>
      <c r="G2273">
        <v>0</v>
      </c>
      <c r="H2273" t="s">
        <v>19447</v>
      </c>
      <c r="I2273" t="s">
        <v>19447</v>
      </c>
      <c r="J2273">
        <v>2</v>
      </c>
      <c r="L2273" t="s">
        <v>2709</v>
      </c>
      <c r="M2273">
        <v>29095090</v>
      </c>
      <c r="O2273" t="s">
        <v>20028</v>
      </c>
      <c r="P2273" t="s">
        <v>19900</v>
      </c>
      <c r="Q2273" t="s">
        <v>19900</v>
      </c>
      <c r="R2273" t="s">
        <v>19447</v>
      </c>
      <c r="S2273" t="s">
        <v>19447</v>
      </c>
      <c r="T2273" t="s">
        <v>19901</v>
      </c>
    </row>
    <row r="2274" spans="2:20" x14ac:dyDescent="0.25">
      <c r="B2274" t="s">
        <v>2709</v>
      </c>
      <c r="C2274">
        <v>29096011</v>
      </c>
      <c r="E2274">
        <v>68.819999999999993</v>
      </c>
      <c r="F2274">
        <v>0</v>
      </c>
      <c r="G2274">
        <v>0</v>
      </c>
      <c r="H2274" t="s">
        <v>19447</v>
      </c>
      <c r="I2274" t="s">
        <v>19447</v>
      </c>
      <c r="J2274">
        <v>2</v>
      </c>
      <c r="L2274" t="s">
        <v>2709</v>
      </c>
      <c r="M2274">
        <v>29096011</v>
      </c>
      <c r="O2274" t="s">
        <v>20028</v>
      </c>
      <c r="P2274" t="s">
        <v>19900</v>
      </c>
      <c r="Q2274" t="s">
        <v>19900</v>
      </c>
      <c r="R2274" t="s">
        <v>19447</v>
      </c>
      <c r="S2274" t="s">
        <v>19447</v>
      </c>
      <c r="T2274" t="s">
        <v>19901</v>
      </c>
    </row>
    <row r="2275" spans="2:20" x14ac:dyDescent="0.25">
      <c r="B2275" t="s">
        <v>2709</v>
      </c>
      <c r="C2275">
        <v>29096012</v>
      </c>
      <c r="E2275">
        <v>68.819999999999993</v>
      </c>
      <c r="F2275">
        <v>0</v>
      </c>
      <c r="G2275">
        <v>0</v>
      </c>
      <c r="H2275" t="s">
        <v>19447</v>
      </c>
      <c r="I2275" t="s">
        <v>19447</v>
      </c>
      <c r="J2275">
        <v>2</v>
      </c>
      <c r="L2275" t="s">
        <v>2709</v>
      </c>
      <c r="M2275">
        <v>29096012</v>
      </c>
      <c r="O2275" t="s">
        <v>20028</v>
      </c>
      <c r="P2275" t="s">
        <v>19900</v>
      </c>
      <c r="Q2275" t="s">
        <v>19900</v>
      </c>
      <c r="R2275" t="s">
        <v>19447</v>
      </c>
      <c r="S2275" t="s">
        <v>19447</v>
      </c>
      <c r="T2275" t="s">
        <v>19901</v>
      </c>
    </row>
    <row r="2276" spans="2:20" x14ac:dyDescent="0.25">
      <c r="B2276" t="s">
        <v>2709</v>
      </c>
      <c r="C2276">
        <v>29096013</v>
      </c>
      <c r="E2276">
        <v>68.819999999999993</v>
      </c>
      <c r="F2276">
        <v>0</v>
      </c>
      <c r="G2276">
        <v>0</v>
      </c>
      <c r="H2276" t="s">
        <v>19447</v>
      </c>
      <c r="I2276" t="s">
        <v>19447</v>
      </c>
      <c r="J2276">
        <v>2</v>
      </c>
      <c r="L2276" t="s">
        <v>2709</v>
      </c>
      <c r="M2276">
        <v>29096013</v>
      </c>
      <c r="O2276" t="s">
        <v>20028</v>
      </c>
      <c r="P2276" t="s">
        <v>19900</v>
      </c>
      <c r="Q2276" t="s">
        <v>19900</v>
      </c>
      <c r="R2276" t="s">
        <v>19447</v>
      </c>
      <c r="S2276" t="s">
        <v>19447</v>
      </c>
      <c r="T2276" t="s">
        <v>19901</v>
      </c>
    </row>
    <row r="2277" spans="2:20" x14ac:dyDescent="0.25">
      <c r="B2277" t="s">
        <v>2709</v>
      </c>
      <c r="C2277">
        <v>29096019</v>
      </c>
      <c r="E2277">
        <v>68.819999999999993</v>
      </c>
      <c r="F2277">
        <v>0</v>
      </c>
      <c r="G2277">
        <v>0</v>
      </c>
      <c r="H2277" t="s">
        <v>19447</v>
      </c>
      <c r="I2277" t="s">
        <v>19447</v>
      </c>
      <c r="J2277">
        <v>12</v>
      </c>
      <c r="L2277" t="s">
        <v>2709</v>
      </c>
      <c r="M2277">
        <v>29096019</v>
      </c>
      <c r="O2277" t="s">
        <v>20028</v>
      </c>
      <c r="P2277" t="s">
        <v>19900</v>
      </c>
      <c r="Q2277" t="s">
        <v>19900</v>
      </c>
      <c r="R2277" t="s">
        <v>19447</v>
      </c>
      <c r="S2277" t="s">
        <v>19447</v>
      </c>
      <c r="T2277" t="s">
        <v>19903</v>
      </c>
    </row>
    <row r="2278" spans="2:20" x14ac:dyDescent="0.25">
      <c r="B2278" t="s">
        <v>2709</v>
      </c>
      <c r="C2278">
        <v>29096020</v>
      </c>
      <c r="E2278">
        <v>68.819999999999993</v>
      </c>
      <c r="F2278">
        <v>0</v>
      </c>
      <c r="G2278">
        <v>0</v>
      </c>
      <c r="H2278" t="s">
        <v>19447</v>
      </c>
      <c r="I2278" t="s">
        <v>19447</v>
      </c>
      <c r="J2278">
        <v>12</v>
      </c>
      <c r="L2278" t="s">
        <v>2709</v>
      </c>
      <c r="M2278">
        <v>29096020</v>
      </c>
      <c r="O2278" t="s">
        <v>20028</v>
      </c>
      <c r="P2278" t="s">
        <v>19900</v>
      </c>
      <c r="Q2278" t="s">
        <v>19900</v>
      </c>
      <c r="R2278" t="s">
        <v>19447</v>
      </c>
      <c r="S2278" t="s">
        <v>19447</v>
      </c>
      <c r="T2278" t="s">
        <v>19903</v>
      </c>
    </row>
    <row r="2279" spans="2:20" x14ac:dyDescent="0.25">
      <c r="B2279" t="s">
        <v>2709</v>
      </c>
      <c r="C2279">
        <v>29101000</v>
      </c>
      <c r="E2279">
        <v>68.819999999999993</v>
      </c>
      <c r="F2279">
        <v>0</v>
      </c>
      <c r="G2279">
        <v>0</v>
      </c>
      <c r="H2279" t="s">
        <v>19447</v>
      </c>
      <c r="I2279" t="s">
        <v>19447</v>
      </c>
      <c r="J2279">
        <v>2</v>
      </c>
      <c r="L2279" t="s">
        <v>2709</v>
      </c>
      <c r="M2279">
        <v>29101000</v>
      </c>
      <c r="O2279" t="s">
        <v>20028</v>
      </c>
      <c r="P2279" t="s">
        <v>19900</v>
      </c>
      <c r="Q2279" t="s">
        <v>19900</v>
      </c>
      <c r="R2279" t="s">
        <v>19447</v>
      </c>
      <c r="S2279" t="s">
        <v>19447</v>
      </c>
      <c r="T2279" t="s">
        <v>19901</v>
      </c>
    </row>
    <row r="2280" spans="2:20" x14ac:dyDescent="0.25">
      <c r="B2280" t="s">
        <v>2709</v>
      </c>
      <c r="C2280">
        <v>29102000</v>
      </c>
      <c r="E2280">
        <v>68.819999999999993</v>
      </c>
      <c r="F2280">
        <v>0</v>
      </c>
      <c r="G2280">
        <v>0</v>
      </c>
      <c r="H2280" t="s">
        <v>19447</v>
      </c>
      <c r="I2280" t="s">
        <v>19447</v>
      </c>
      <c r="J2280">
        <v>2</v>
      </c>
      <c r="L2280" t="s">
        <v>2709</v>
      </c>
      <c r="M2280">
        <v>29102000</v>
      </c>
      <c r="O2280" t="s">
        <v>20028</v>
      </c>
      <c r="P2280" t="s">
        <v>19900</v>
      </c>
      <c r="Q2280" t="s">
        <v>19900</v>
      </c>
      <c r="R2280" t="s">
        <v>19447</v>
      </c>
      <c r="S2280" t="s">
        <v>19447</v>
      </c>
      <c r="T2280" t="s">
        <v>19901</v>
      </c>
    </row>
    <row r="2281" spans="2:20" x14ac:dyDescent="0.25">
      <c r="B2281" t="s">
        <v>2709</v>
      </c>
      <c r="C2281">
        <v>29103000</v>
      </c>
      <c r="E2281">
        <v>68.819999999999993</v>
      </c>
      <c r="F2281">
        <v>0</v>
      </c>
      <c r="G2281">
        <v>0</v>
      </c>
      <c r="H2281" t="s">
        <v>19447</v>
      </c>
      <c r="I2281" t="s">
        <v>19447</v>
      </c>
      <c r="J2281">
        <v>2</v>
      </c>
      <c r="L2281" t="s">
        <v>2709</v>
      </c>
      <c r="M2281">
        <v>29103000</v>
      </c>
      <c r="O2281" t="s">
        <v>20028</v>
      </c>
      <c r="P2281" t="s">
        <v>19900</v>
      </c>
      <c r="Q2281" t="s">
        <v>19900</v>
      </c>
      <c r="R2281" t="s">
        <v>19447</v>
      </c>
      <c r="S2281" t="s">
        <v>19447</v>
      </c>
      <c r="T2281" t="s">
        <v>19901</v>
      </c>
    </row>
    <row r="2282" spans="2:20" x14ac:dyDescent="0.25">
      <c r="B2282" t="s">
        <v>2709</v>
      </c>
      <c r="C2282">
        <v>29104000</v>
      </c>
      <c r="E2282">
        <v>68.819999999999993</v>
      </c>
      <c r="F2282">
        <v>0</v>
      </c>
      <c r="G2282">
        <v>0</v>
      </c>
      <c r="H2282" t="s">
        <v>19447</v>
      </c>
      <c r="I2282" t="s">
        <v>19447</v>
      </c>
      <c r="J2282">
        <v>2</v>
      </c>
      <c r="L2282" t="s">
        <v>2709</v>
      </c>
      <c r="M2282">
        <v>29104000</v>
      </c>
      <c r="O2282" t="s">
        <v>20028</v>
      </c>
      <c r="P2282" t="s">
        <v>19900</v>
      </c>
      <c r="Q2282" t="s">
        <v>19900</v>
      </c>
      <c r="R2282" t="s">
        <v>19447</v>
      </c>
      <c r="S2282" t="s">
        <v>19447</v>
      </c>
      <c r="T2282" t="s">
        <v>19901</v>
      </c>
    </row>
    <row r="2283" spans="2:20" x14ac:dyDescent="0.25">
      <c r="B2283" t="s">
        <v>2709</v>
      </c>
      <c r="C2283">
        <v>29109010</v>
      </c>
      <c r="E2283">
        <v>68.819999999999993</v>
      </c>
      <c r="F2283">
        <v>0</v>
      </c>
      <c r="G2283">
        <v>0</v>
      </c>
      <c r="H2283" t="s">
        <v>19447</v>
      </c>
      <c r="I2283" t="s">
        <v>19447</v>
      </c>
      <c r="J2283">
        <v>2</v>
      </c>
      <c r="L2283" t="s">
        <v>2709</v>
      </c>
      <c r="M2283">
        <v>29109010</v>
      </c>
      <c r="O2283" t="s">
        <v>20028</v>
      </c>
      <c r="P2283" t="s">
        <v>19900</v>
      </c>
      <c r="Q2283" t="s">
        <v>19900</v>
      </c>
      <c r="R2283" t="s">
        <v>19447</v>
      </c>
      <c r="S2283" t="s">
        <v>19447</v>
      </c>
      <c r="T2283" t="s">
        <v>19901</v>
      </c>
    </row>
    <row r="2284" spans="2:20" x14ac:dyDescent="0.25">
      <c r="B2284" t="s">
        <v>2709</v>
      </c>
      <c r="C2284">
        <v>29109030</v>
      </c>
      <c r="E2284">
        <v>68.819999999999993</v>
      </c>
      <c r="F2284">
        <v>0</v>
      </c>
      <c r="G2284">
        <v>0</v>
      </c>
      <c r="H2284" t="s">
        <v>19447</v>
      </c>
      <c r="I2284" t="s">
        <v>19447</v>
      </c>
      <c r="J2284">
        <v>2</v>
      </c>
      <c r="L2284" t="s">
        <v>2709</v>
      </c>
      <c r="M2284">
        <v>29109030</v>
      </c>
      <c r="O2284" t="s">
        <v>20028</v>
      </c>
      <c r="P2284" t="s">
        <v>19900</v>
      </c>
      <c r="Q2284" t="s">
        <v>19900</v>
      </c>
      <c r="R2284" t="s">
        <v>19447</v>
      </c>
      <c r="S2284" t="s">
        <v>19447</v>
      </c>
      <c r="T2284" t="s">
        <v>19901</v>
      </c>
    </row>
    <row r="2285" spans="2:20" x14ac:dyDescent="0.25">
      <c r="B2285" t="s">
        <v>2709</v>
      </c>
      <c r="C2285">
        <v>29109090</v>
      </c>
      <c r="E2285">
        <v>68.819999999999993</v>
      </c>
      <c r="F2285">
        <v>0</v>
      </c>
      <c r="G2285">
        <v>0</v>
      </c>
      <c r="H2285" t="s">
        <v>19447</v>
      </c>
      <c r="I2285" t="s">
        <v>19447</v>
      </c>
      <c r="J2285">
        <v>2</v>
      </c>
      <c r="L2285" t="s">
        <v>2709</v>
      </c>
      <c r="M2285">
        <v>29109090</v>
      </c>
      <c r="O2285" t="s">
        <v>20028</v>
      </c>
      <c r="P2285" t="s">
        <v>19900</v>
      </c>
      <c r="Q2285" t="s">
        <v>19900</v>
      </c>
      <c r="R2285" t="s">
        <v>19447</v>
      </c>
      <c r="S2285" t="s">
        <v>19447</v>
      </c>
      <c r="T2285" t="s">
        <v>19901</v>
      </c>
    </row>
    <row r="2286" spans="2:20" x14ac:dyDescent="0.25">
      <c r="B2286" t="s">
        <v>2709</v>
      </c>
      <c r="C2286">
        <v>29110010</v>
      </c>
      <c r="E2286">
        <v>68.819999999999993</v>
      </c>
      <c r="F2286">
        <v>0</v>
      </c>
      <c r="G2286">
        <v>0</v>
      </c>
      <c r="H2286" t="s">
        <v>19447</v>
      </c>
      <c r="I2286" t="s">
        <v>19447</v>
      </c>
      <c r="J2286">
        <v>2</v>
      </c>
      <c r="L2286" t="s">
        <v>2709</v>
      </c>
      <c r="M2286">
        <v>29110010</v>
      </c>
      <c r="O2286" t="s">
        <v>20028</v>
      </c>
      <c r="P2286" t="s">
        <v>19900</v>
      </c>
      <c r="Q2286" t="s">
        <v>19900</v>
      </c>
      <c r="R2286" t="s">
        <v>19447</v>
      </c>
      <c r="S2286" t="s">
        <v>19447</v>
      </c>
      <c r="T2286" t="s">
        <v>19901</v>
      </c>
    </row>
    <row r="2287" spans="2:20" x14ac:dyDescent="0.25">
      <c r="B2287" t="s">
        <v>2709</v>
      </c>
      <c r="C2287">
        <v>29110090</v>
      </c>
      <c r="E2287">
        <v>68.819999999999993</v>
      </c>
      <c r="F2287">
        <v>0</v>
      </c>
      <c r="G2287">
        <v>0</v>
      </c>
      <c r="H2287" t="s">
        <v>19447</v>
      </c>
      <c r="I2287" t="s">
        <v>19447</v>
      </c>
      <c r="J2287">
        <v>2</v>
      </c>
      <c r="L2287" t="s">
        <v>2709</v>
      </c>
      <c r="M2287">
        <v>29110090</v>
      </c>
      <c r="O2287" t="s">
        <v>20028</v>
      </c>
      <c r="P2287" t="s">
        <v>19900</v>
      </c>
      <c r="Q2287" t="s">
        <v>19900</v>
      </c>
      <c r="R2287" t="s">
        <v>19447</v>
      </c>
      <c r="S2287" t="s">
        <v>19447</v>
      </c>
      <c r="T2287" t="s">
        <v>19901</v>
      </c>
    </row>
    <row r="2288" spans="2:20" x14ac:dyDescent="0.25">
      <c r="B2288" t="s">
        <v>2709</v>
      </c>
      <c r="C2288">
        <v>29121100</v>
      </c>
      <c r="E2288">
        <v>68.819999999999993</v>
      </c>
      <c r="F2288">
        <v>0</v>
      </c>
      <c r="G2288">
        <v>0</v>
      </c>
      <c r="H2288" t="s">
        <v>19447</v>
      </c>
      <c r="I2288" t="s">
        <v>19447</v>
      </c>
      <c r="J2288">
        <v>12</v>
      </c>
      <c r="L2288" t="s">
        <v>2709</v>
      </c>
      <c r="M2288">
        <v>29121100</v>
      </c>
      <c r="O2288" t="s">
        <v>20028</v>
      </c>
      <c r="P2288" t="s">
        <v>19900</v>
      </c>
      <c r="Q2288" t="s">
        <v>19900</v>
      </c>
      <c r="R2288" t="s">
        <v>19447</v>
      </c>
      <c r="S2288" t="s">
        <v>19447</v>
      </c>
      <c r="T2288" t="s">
        <v>19903</v>
      </c>
    </row>
    <row r="2289" spans="2:20" x14ac:dyDescent="0.25">
      <c r="B2289" t="s">
        <v>2709</v>
      </c>
      <c r="C2289">
        <v>29121200</v>
      </c>
      <c r="E2289">
        <v>68.819999999999993</v>
      </c>
      <c r="F2289">
        <v>0</v>
      </c>
      <c r="G2289">
        <v>0</v>
      </c>
      <c r="H2289" t="s">
        <v>19447</v>
      </c>
      <c r="I2289" t="s">
        <v>19447</v>
      </c>
      <c r="J2289">
        <v>12</v>
      </c>
      <c r="L2289" t="s">
        <v>2709</v>
      </c>
      <c r="M2289">
        <v>29121200</v>
      </c>
      <c r="O2289" t="s">
        <v>20028</v>
      </c>
      <c r="P2289" t="s">
        <v>19900</v>
      </c>
      <c r="Q2289" t="s">
        <v>19900</v>
      </c>
      <c r="R2289" t="s">
        <v>19447</v>
      </c>
      <c r="S2289" t="s">
        <v>19447</v>
      </c>
      <c r="T2289" t="s">
        <v>19903</v>
      </c>
    </row>
    <row r="2290" spans="2:20" x14ac:dyDescent="0.25">
      <c r="B2290" t="s">
        <v>2709</v>
      </c>
      <c r="C2290">
        <v>29121911</v>
      </c>
      <c r="E2290">
        <v>68.819999999999993</v>
      </c>
      <c r="F2290">
        <v>0</v>
      </c>
      <c r="G2290">
        <v>0</v>
      </c>
      <c r="H2290" t="s">
        <v>19447</v>
      </c>
      <c r="I2290" t="s">
        <v>19447</v>
      </c>
      <c r="J2290">
        <v>2</v>
      </c>
      <c r="L2290" t="s">
        <v>2709</v>
      </c>
      <c r="M2290">
        <v>29121911</v>
      </c>
      <c r="O2290" t="s">
        <v>20028</v>
      </c>
      <c r="P2290" t="s">
        <v>19900</v>
      </c>
      <c r="Q2290" t="s">
        <v>19900</v>
      </c>
      <c r="R2290" t="s">
        <v>19447</v>
      </c>
      <c r="S2290" t="s">
        <v>19447</v>
      </c>
      <c r="T2290" t="s">
        <v>19901</v>
      </c>
    </row>
    <row r="2291" spans="2:20" x14ac:dyDescent="0.25">
      <c r="B2291" t="s">
        <v>2709</v>
      </c>
      <c r="C2291">
        <v>29121912</v>
      </c>
      <c r="E2291">
        <v>68.819999999999993</v>
      </c>
      <c r="F2291">
        <v>0</v>
      </c>
      <c r="G2291">
        <v>0</v>
      </c>
      <c r="H2291" t="s">
        <v>19447</v>
      </c>
      <c r="I2291" t="s">
        <v>19447</v>
      </c>
      <c r="J2291">
        <v>2</v>
      </c>
      <c r="L2291" t="s">
        <v>2709</v>
      </c>
      <c r="M2291">
        <v>29121912</v>
      </c>
      <c r="O2291" t="s">
        <v>20028</v>
      </c>
      <c r="P2291" t="s">
        <v>19900</v>
      </c>
      <c r="Q2291" t="s">
        <v>19900</v>
      </c>
      <c r="R2291" t="s">
        <v>19447</v>
      </c>
      <c r="S2291" t="s">
        <v>19447</v>
      </c>
      <c r="T2291" t="s">
        <v>19901</v>
      </c>
    </row>
    <row r="2292" spans="2:20" x14ac:dyDescent="0.25">
      <c r="B2292" t="s">
        <v>2709</v>
      </c>
      <c r="C2292">
        <v>29121919</v>
      </c>
      <c r="E2292">
        <v>68.819999999999993</v>
      </c>
      <c r="F2292">
        <v>0</v>
      </c>
      <c r="G2292">
        <v>0</v>
      </c>
      <c r="H2292" t="s">
        <v>19447</v>
      </c>
      <c r="I2292" t="s">
        <v>19447</v>
      </c>
      <c r="J2292">
        <v>2</v>
      </c>
      <c r="L2292" t="s">
        <v>2709</v>
      </c>
      <c r="M2292">
        <v>29121919</v>
      </c>
      <c r="O2292" t="s">
        <v>20028</v>
      </c>
      <c r="P2292" t="s">
        <v>19900</v>
      </c>
      <c r="Q2292" t="s">
        <v>19900</v>
      </c>
      <c r="R2292" t="s">
        <v>19447</v>
      </c>
      <c r="S2292" t="s">
        <v>19447</v>
      </c>
      <c r="T2292" t="s">
        <v>19901</v>
      </c>
    </row>
    <row r="2293" spans="2:20" x14ac:dyDescent="0.25">
      <c r="B2293" t="s">
        <v>2709</v>
      </c>
      <c r="C2293">
        <v>29121921</v>
      </c>
      <c r="E2293">
        <v>68.819999999999993</v>
      </c>
      <c r="F2293">
        <v>0</v>
      </c>
      <c r="G2293">
        <v>0</v>
      </c>
      <c r="H2293" t="s">
        <v>19447</v>
      </c>
      <c r="I2293" t="s">
        <v>19447</v>
      </c>
      <c r="J2293">
        <v>12</v>
      </c>
      <c r="L2293" t="s">
        <v>2709</v>
      </c>
      <c r="M2293">
        <v>29121921</v>
      </c>
      <c r="O2293" t="s">
        <v>20028</v>
      </c>
      <c r="P2293" t="s">
        <v>19900</v>
      </c>
      <c r="Q2293" t="s">
        <v>19900</v>
      </c>
      <c r="R2293" t="s">
        <v>19447</v>
      </c>
      <c r="S2293" t="s">
        <v>19447</v>
      </c>
      <c r="T2293" t="s">
        <v>19903</v>
      </c>
    </row>
    <row r="2294" spans="2:20" x14ac:dyDescent="0.25">
      <c r="B2294" t="s">
        <v>2709</v>
      </c>
      <c r="C2294">
        <v>29121922</v>
      </c>
      <c r="E2294">
        <v>68.819999999999993</v>
      </c>
      <c r="F2294">
        <v>0</v>
      </c>
      <c r="G2294">
        <v>0</v>
      </c>
      <c r="H2294" t="s">
        <v>19447</v>
      </c>
      <c r="I2294" t="s">
        <v>19447</v>
      </c>
      <c r="J2294">
        <v>12</v>
      </c>
      <c r="L2294" t="s">
        <v>2709</v>
      </c>
      <c r="M2294">
        <v>29121922</v>
      </c>
      <c r="O2294" t="s">
        <v>20028</v>
      </c>
      <c r="P2294" t="s">
        <v>19900</v>
      </c>
      <c r="Q2294" t="s">
        <v>19900</v>
      </c>
      <c r="R2294" t="s">
        <v>19447</v>
      </c>
      <c r="S2294" t="s">
        <v>19447</v>
      </c>
      <c r="T2294" t="s">
        <v>19903</v>
      </c>
    </row>
    <row r="2295" spans="2:20" x14ac:dyDescent="0.25">
      <c r="B2295" t="s">
        <v>2709</v>
      </c>
      <c r="C2295">
        <v>29121923</v>
      </c>
      <c r="E2295">
        <v>68.819999999999993</v>
      </c>
      <c r="F2295">
        <v>0</v>
      </c>
      <c r="G2295">
        <v>0</v>
      </c>
      <c r="H2295" t="s">
        <v>19447</v>
      </c>
      <c r="I2295" t="s">
        <v>19447</v>
      </c>
      <c r="J2295">
        <v>2</v>
      </c>
      <c r="L2295" t="s">
        <v>2709</v>
      </c>
      <c r="M2295">
        <v>29121923</v>
      </c>
      <c r="O2295" t="s">
        <v>20028</v>
      </c>
      <c r="P2295" t="s">
        <v>19900</v>
      </c>
      <c r="Q2295" t="s">
        <v>19900</v>
      </c>
      <c r="R2295" t="s">
        <v>19447</v>
      </c>
      <c r="S2295" t="s">
        <v>19447</v>
      </c>
      <c r="T2295" t="s">
        <v>19901</v>
      </c>
    </row>
    <row r="2296" spans="2:20" x14ac:dyDescent="0.25">
      <c r="B2296" t="s">
        <v>2709</v>
      </c>
      <c r="C2296">
        <v>29121929</v>
      </c>
      <c r="E2296">
        <v>68.819999999999993</v>
      </c>
      <c r="F2296">
        <v>0</v>
      </c>
      <c r="G2296">
        <v>0</v>
      </c>
      <c r="H2296" t="s">
        <v>19447</v>
      </c>
      <c r="I2296" t="s">
        <v>19447</v>
      </c>
      <c r="J2296">
        <v>2</v>
      </c>
      <c r="L2296" t="s">
        <v>2709</v>
      </c>
      <c r="M2296">
        <v>29121929</v>
      </c>
      <c r="O2296" t="s">
        <v>20028</v>
      </c>
      <c r="P2296" t="s">
        <v>19900</v>
      </c>
      <c r="Q2296" t="s">
        <v>19900</v>
      </c>
      <c r="R2296" t="s">
        <v>19447</v>
      </c>
      <c r="S2296" t="s">
        <v>19447</v>
      </c>
      <c r="T2296" t="s">
        <v>19901</v>
      </c>
    </row>
    <row r="2297" spans="2:20" x14ac:dyDescent="0.25">
      <c r="B2297" t="s">
        <v>2709</v>
      </c>
      <c r="C2297">
        <v>29121991</v>
      </c>
      <c r="E2297">
        <v>68.819999999999993</v>
      </c>
      <c r="F2297">
        <v>0</v>
      </c>
      <c r="G2297">
        <v>0</v>
      </c>
      <c r="H2297" t="s">
        <v>19447</v>
      </c>
      <c r="I2297" t="s">
        <v>19447</v>
      </c>
      <c r="J2297">
        <v>2</v>
      </c>
      <c r="L2297" t="s">
        <v>2709</v>
      </c>
      <c r="M2297">
        <v>29121991</v>
      </c>
      <c r="O2297" t="s">
        <v>20028</v>
      </c>
      <c r="P2297" t="s">
        <v>19900</v>
      </c>
      <c r="Q2297" t="s">
        <v>19900</v>
      </c>
      <c r="R2297" t="s">
        <v>19447</v>
      </c>
      <c r="S2297" t="s">
        <v>19447</v>
      </c>
      <c r="T2297" t="s">
        <v>19901</v>
      </c>
    </row>
    <row r="2298" spans="2:20" x14ac:dyDescent="0.25">
      <c r="B2298" t="s">
        <v>2709</v>
      </c>
      <c r="C2298">
        <v>29121999</v>
      </c>
      <c r="E2298">
        <v>68.819999999999993</v>
      </c>
      <c r="F2298">
        <v>0</v>
      </c>
      <c r="G2298">
        <v>0</v>
      </c>
      <c r="H2298" t="s">
        <v>19447</v>
      </c>
      <c r="I2298" t="s">
        <v>19447</v>
      </c>
      <c r="J2298">
        <v>2</v>
      </c>
      <c r="L2298" t="s">
        <v>2709</v>
      </c>
      <c r="M2298">
        <v>29121999</v>
      </c>
      <c r="O2298" t="s">
        <v>20028</v>
      </c>
      <c r="P2298" t="s">
        <v>19900</v>
      </c>
      <c r="Q2298" t="s">
        <v>19900</v>
      </c>
      <c r="R2298" t="s">
        <v>19447</v>
      </c>
      <c r="S2298" t="s">
        <v>19447</v>
      </c>
      <c r="T2298" t="s">
        <v>19901</v>
      </c>
    </row>
    <row r="2299" spans="2:20" x14ac:dyDescent="0.25">
      <c r="B2299" t="s">
        <v>2709</v>
      </c>
      <c r="C2299">
        <v>29122100</v>
      </c>
      <c r="E2299">
        <v>68.819999999999993</v>
      </c>
      <c r="F2299">
        <v>0</v>
      </c>
      <c r="G2299">
        <v>0</v>
      </c>
      <c r="H2299" t="s">
        <v>19447</v>
      </c>
      <c r="I2299" t="s">
        <v>19447</v>
      </c>
      <c r="J2299">
        <v>10</v>
      </c>
      <c r="L2299" t="s">
        <v>2709</v>
      </c>
      <c r="M2299">
        <v>29122100</v>
      </c>
      <c r="O2299" t="s">
        <v>20028</v>
      </c>
      <c r="P2299" t="s">
        <v>19900</v>
      </c>
      <c r="Q2299" t="s">
        <v>19900</v>
      </c>
      <c r="R2299" t="s">
        <v>19447</v>
      </c>
      <c r="S2299" t="s">
        <v>19447</v>
      </c>
      <c r="T2299" t="s">
        <v>19904</v>
      </c>
    </row>
    <row r="2300" spans="2:20" x14ac:dyDescent="0.25">
      <c r="B2300" t="s">
        <v>2709</v>
      </c>
      <c r="C2300">
        <v>29122910</v>
      </c>
      <c r="E2300">
        <v>68.819999999999993</v>
      </c>
      <c r="F2300">
        <v>0</v>
      </c>
      <c r="G2300">
        <v>0</v>
      </c>
      <c r="H2300" t="s">
        <v>19447</v>
      </c>
      <c r="I2300" t="s">
        <v>19447</v>
      </c>
      <c r="J2300">
        <v>2</v>
      </c>
      <c r="L2300" t="s">
        <v>2709</v>
      </c>
      <c r="M2300">
        <v>29122910</v>
      </c>
      <c r="O2300" t="s">
        <v>20028</v>
      </c>
      <c r="P2300" t="s">
        <v>19900</v>
      </c>
      <c r="Q2300" t="s">
        <v>19900</v>
      </c>
      <c r="R2300" t="s">
        <v>19447</v>
      </c>
      <c r="S2300" t="s">
        <v>19447</v>
      </c>
      <c r="T2300" t="s">
        <v>19901</v>
      </c>
    </row>
    <row r="2301" spans="2:20" x14ac:dyDescent="0.25">
      <c r="B2301" t="s">
        <v>2709</v>
      </c>
      <c r="C2301">
        <v>29122920</v>
      </c>
      <c r="E2301">
        <v>68.819999999999993</v>
      </c>
      <c r="F2301">
        <v>0</v>
      </c>
      <c r="G2301">
        <v>0</v>
      </c>
      <c r="H2301" t="s">
        <v>19447</v>
      </c>
      <c r="I2301" t="s">
        <v>19447</v>
      </c>
      <c r="J2301">
        <v>2</v>
      </c>
      <c r="L2301" t="s">
        <v>2709</v>
      </c>
      <c r="M2301">
        <v>29122920</v>
      </c>
      <c r="O2301" t="s">
        <v>20028</v>
      </c>
      <c r="P2301" t="s">
        <v>19900</v>
      </c>
      <c r="Q2301" t="s">
        <v>19900</v>
      </c>
      <c r="R2301" t="s">
        <v>19447</v>
      </c>
      <c r="S2301" t="s">
        <v>19447</v>
      </c>
      <c r="T2301" t="s">
        <v>19901</v>
      </c>
    </row>
    <row r="2302" spans="2:20" x14ac:dyDescent="0.25">
      <c r="B2302" t="s">
        <v>2709</v>
      </c>
      <c r="C2302">
        <v>29122990</v>
      </c>
      <c r="E2302">
        <v>68.819999999999993</v>
      </c>
      <c r="F2302">
        <v>0</v>
      </c>
      <c r="G2302">
        <v>0</v>
      </c>
      <c r="H2302" t="s">
        <v>19447</v>
      </c>
      <c r="I2302" t="s">
        <v>19447</v>
      </c>
      <c r="J2302">
        <v>2</v>
      </c>
      <c r="L2302" t="s">
        <v>2709</v>
      </c>
      <c r="M2302">
        <v>29122990</v>
      </c>
      <c r="O2302" t="s">
        <v>20028</v>
      </c>
      <c r="P2302" t="s">
        <v>19900</v>
      </c>
      <c r="Q2302" t="s">
        <v>19900</v>
      </c>
      <c r="R2302" t="s">
        <v>19447</v>
      </c>
      <c r="S2302" t="s">
        <v>19447</v>
      </c>
      <c r="T2302" t="s">
        <v>19901</v>
      </c>
    </row>
    <row r="2303" spans="2:20" x14ac:dyDescent="0.25">
      <c r="B2303" t="s">
        <v>2709</v>
      </c>
      <c r="C2303">
        <v>29124100</v>
      </c>
      <c r="E2303">
        <v>68.819999999999993</v>
      </c>
      <c r="F2303">
        <v>0</v>
      </c>
      <c r="G2303">
        <v>0</v>
      </c>
      <c r="H2303" t="s">
        <v>19447</v>
      </c>
      <c r="I2303" t="s">
        <v>19447</v>
      </c>
      <c r="J2303">
        <v>2</v>
      </c>
      <c r="L2303" t="s">
        <v>2709</v>
      </c>
      <c r="M2303">
        <v>29124100</v>
      </c>
      <c r="O2303" t="s">
        <v>20028</v>
      </c>
      <c r="P2303" t="s">
        <v>19900</v>
      </c>
      <c r="Q2303" t="s">
        <v>19900</v>
      </c>
      <c r="R2303" t="s">
        <v>19447</v>
      </c>
      <c r="S2303" t="s">
        <v>19447</v>
      </c>
      <c r="T2303" t="s">
        <v>19901</v>
      </c>
    </row>
    <row r="2304" spans="2:20" x14ac:dyDescent="0.25">
      <c r="B2304" t="s">
        <v>2709</v>
      </c>
      <c r="C2304">
        <v>29124200</v>
      </c>
      <c r="E2304">
        <v>68.819999999999993</v>
      </c>
      <c r="F2304">
        <v>0</v>
      </c>
      <c r="G2304">
        <v>0</v>
      </c>
      <c r="H2304" t="s">
        <v>19447</v>
      </c>
      <c r="I2304" t="s">
        <v>19447</v>
      </c>
      <c r="J2304">
        <v>2</v>
      </c>
      <c r="L2304" t="s">
        <v>2709</v>
      </c>
      <c r="M2304">
        <v>29124200</v>
      </c>
      <c r="O2304" t="s">
        <v>20028</v>
      </c>
      <c r="P2304" t="s">
        <v>19900</v>
      </c>
      <c r="Q2304" t="s">
        <v>19900</v>
      </c>
      <c r="R2304" t="s">
        <v>19447</v>
      </c>
      <c r="S2304" t="s">
        <v>19447</v>
      </c>
      <c r="T2304" t="s">
        <v>19901</v>
      </c>
    </row>
    <row r="2305" spans="2:20" x14ac:dyDescent="0.25">
      <c r="B2305" t="s">
        <v>2709</v>
      </c>
      <c r="C2305">
        <v>29124910</v>
      </c>
      <c r="E2305">
        <v>68.819999999999993</v>
      </c>
      <c r="F2305">
        <v>0</v>
      </c>
      <c r="G2305">
        <v>0</v>
      </c>
      <c r="H2305" t="s">
        <v>19447</v>
      </c>
      <c r="I2305" t="s">
        <v>19447</v>
      </c>
      <c r="J2305">
        <v>2</v>
      </c>
      <c r="L2305" t="s">
        <v>2709</v>
      </c>
      <c r="M2305">
        <v>29124910</v>
      </c>
      <c r="O2305" t="s">
        <v>20028</v>
      </c>
      <c r="P2305" t="s">
        <v>19900</v>
      </c>
      <c r="Q2305" t="s">
        <v>19900</v>
      </c>
      <c r="R2305" t="s">
        <v>19447</v>
      </c>
      <c r="S2305" t="s">
        <v>19447</v>
      </c>
      <c r="T2305" t="s">
        <v>19901</v>
      </c>
    </row>
    <row r="2306" spans="2:20" x14ac:dyDescent="0.25">
      <c r="B2306" t="s">
        <v>2709</v>
      </c>
      <c r="C2306">
        <v>29124920</v>
      </c>
      <c r="E2306">
        <v>68.819999999999993</v>
      </c>
      <c r="F2306">
        <v>0</v>
      </c>
      <c r="G2306">
        <v>0</v>
      </c>
      <c r="H2306" t="s">
        <v>19447</v>
      </c>
      <c r="I2306" t="s">
        <v>19447</v>
      </c>
      <c r="J2306">
        <v>2</v>
      </c>
      <c r="L2306" t="s">
        <v>2709</v>
      </c>
      <c r="M2306">
        <v>29124920</v>
      </c>
      <c r="O2306" t="s">
        <v>20028</v>
      </c>
      <c r="P2306" t="s">
        <v>19900</v>
      </c>
      <c r="Q2306" t="s">
        <v>19900</v>
      </c>
      <c r="R2306" t="s">
        <v>19447</v>
      </c>
      <c r="S2306" t="s">
        <v>19447</v>
      </c>
      <c r="T2306" t="s">
        <v>19901</v>
      </c>
    </row>
    <row r="2307" spans="2:20" x14ac:dyDescent="0.25">
      <c r="B2307" t="s">
        <v>2709</v>
      </c>
      <c r="C2307">
        <v>29124930</v>
      </c>
      <c r="E2307">
        <v>68.819999999999993</v>
      </c>
      <c r="F2307">
        <v>0</v>
      </c>
      <c r="G2307">
        <v>0</v>
      </c>
      <c r="H2307" t="s">
        <v>19447</v>
      </c>
      <c r="I2307" t="s">
        <v>19447</v>
      </c>
      <c r="J2307">
        <v>2</v>
      </c>
      <c r="L2307" t="s">
        <v>2709</v>
      </c>
      <c r="M2307">
        <v>29124930</v>
      </c>
      <c r="O2307" t="s">
        <v>20028</v>
      </c>
      <c r="P2307" t="s">
        <v>19900</v>
      </c>
      <c r="Q2307" t="s">
        <v>19900</v>
      </c>
      <c r="R2307" t="s">
        <v>19447</v>
      </c>
      <c r="S2307" t="s">
        <v>19447</v>
      </c>
      <c r="T2307" t="s">
        <v>19901</v>
      </c>
    </row>
    <row r="2308" spans="2:20" x14ac:dyDescent="0.25">
      <c r="B2308" t="s">
        <v>2709</v>
      </c>
      <c r="C2308">
        <v>29124941</v>
      </c>
      <c r="E2308">
        <v>68.819999999999993</v>
      </c>
      <c r="F2308">
        <v>0</v>
      </c>
      <c r="G2308">
        <v>0</v>
      </c>
      <c r="H2308" t="s">
        <v>19447</v>
      </c>
      <c r="I2308" t="s">
        <v>19447</v>
      </c>
      <c r="J2308">
        <v>2</v>
      </c>
      <c r="L2308" t="s">
        <v>2709</v>
      </c>
      <c r="M2308">
        <v>29124941</v>
      </c>
      <c r="O2308" t="s">
        <v>20028</v>
      </c>
      <c r="P2308" t="s">
        <v>19900</v>
      </c>
      <c r="Q2308" t="s">
        <v>19900</v>
      </c>
      <c r="R2308" t="s">
        <v>19447</v>
      </c>
      <c r="S2308" t="s">
        <v>19447</v>
      </c>
      <c r="T2308" t="s">
        <v>19901</v>
      </c>
    </row>
    <row r="2309" spans="2:20" x14ac:dyDescent="0.25">
      <c r="B2309" t="s">
        <v>2709</v>
      </c>
      <c r="C2309">
        <v>29124949</v>
      </c>
      <c r="E2309">
        <v>68.819999999999993</v>
      </c>
      <c r="F2309">
        <v>0</v>
      </c>
      <c r="G2309">
        <v>0</v>
      </c>
      <c r="H2309" t="s">
        <v>19447</v>
      </c>
      <c r="I2309" t="s">
        <v>19447</v>
      </c>
      <c r="J2309">
        <v>12</v>
      </c>
      <c r="L2309" t="s">
        <v>2709</v>
      </c>
      <c r="M2309">
        <v>29124949</v>
      </c>
      <c r="O2309" t="s">
        <v>20028</v>
      </c>
      <c r="P2309" t="s">
        <v>19900</v>
      </c>
      <c r="Q2309" t="s">
        <v>19900</v>
      </c>
      <c r="R2309" t="s">
        <v>19447</v>
      </c>
      <c r="S2309" t="s">
        <v>19447</v>
      </c>
      <c r="T2309" t="s">
        <v>19903</v>
      </c>
    </row>
    <row r="2310" spans="2:20" x14ac:dyDescent="0.25">
      <c r="B2310" t="s">
        <v>2709</v>
      </c>
      <c r="C2310">
        <v>29124990</v>
      </c>
      <c r="E2310">
        <v>68.819999999999993</v>
      </c>
      <c r="F2310">
        <v>0</v>
      </c>
      <c r="G2310">
        <v>0</v>
      </c>
      <c r="H2310" t="s">
        <v>19447</v>
      </c>
      <c r="I2310" t="s">
        <v>19447</v>
      </c>
      <c r="J2310">
        <v>2</v>
      </c>
      <c r="L2310" t="s">
        <v>2709</v>
      </c>
      <c r="M2310">
        <v>29124990</v>
      </c>
      <c r="O2310" t="s">
        <v>20028</v>
      </c>
      <c r="P2310" t="s">
        <v>19900</v>
      </c>
      <c r="Q2310" t="s">
        <v>19900</v>
      </c>
      <c r="R2310" t="s">
        <v>19447</v>
      </c>
      <c r="S2310" t="s">
        <v>19447</v>
      </c>
      <c r="T2310" t="s">
        <v>19901</v>
      </c>
    </row>
    <row r="2311" spans="2:20" x14ac:dyDescent="0.25">
      <c r="B2311" t="s">
        <v>2709</v>
      </c>
      <c r="C2311">
        <v>29125000</v>
      </c>
      <c r="E2311">
        <v>68.819999999999993</v>
      </c>
      <c r="F2311">
        <v>0</v>
      </c>
      <c r="G2311">
        <v>0</v>
      </c>
      <c r="H2311" t="s">
        <v>19447</v>
      </c>
      <c r="I2311" t="s">
        <v>19447</v>
      </c>
      <c r="J2311">
        <v>2</v>
      </c>
      <c r="L2311" t="s">
        <v>2709</v>
      </c>
      <c r="M2311">
        <v>29125000</v>
      </c>
      <c r="O2311" t="s">
        <v>20028</v>
      </c>
      <c r="P2311" t="s">
        <v>19900</v>
      </c>
      <c r="Q2311" t="s">
        <v>19900</v>
      </c>
      <c r="R2311" t="s">
        <v>19447</v>
      </c>
      <c r="S2311" t="s">
        <v>19447</v>
      </c>
      <c r="T2311" t="s">
        <v>19901</v>
      </c>
    </row>
    <row r="2312" spans="2:20" x14ac:dyDescent="0.25">
      <c r="B2312" t="s">
        <v>2709</v>
      </c>
      <c r="C2312">
        <v>29126000</v>
      </c>
      <c r="E2312">
        <v>68.819999999999993</v>
      </c>
      <c r="F2312">
        <v>0</v>
      </c>
      <c r="G2312">
        <v>0</v>
      </c>
      <c r="H2312" t="s">
        <v>19447</v>
      </c>
      <c r="I2312" t="s">
        <v>19447</v>
      </c>
      <c r="J2312">
        <v>2</v>
      </c>
      <c r="L2312" t="s">
        <v>2709</v>
      </c>
      <c r="M2312">
        <v>29126000</v>
      </c>
      <c r="O2312" t="s">
        <v>20028</v>
      </c>
      <c r="P2312" t="s">
        <v>19900</v>
      </c>
      <c r="Q2312" t="s">
        <v>19900</v>
      </c>
      <c r="R2312" t="s">
        <v>19447</v>
      </c>
      <c r="S2312" t="s">
        <v>19447</v>
      </c>
      <c r="T2312" t="s">
        <v>19901</v>
      </c>
    </row>
    <row r="2313" spans="2:20" x14ac:dyDescent="0.25">
      <c r="B2313" t="s">
        <v>2709</v>
      </c>
      <c r="C2313">
        <v>29130010</v>
      </c>
      <c r="E2313">
        <v>68.819999999999993</v>
      </c>
      <c r="F2313">
        <v>0</v>
      </c>
      <c r="G2313">
        <v>0</v>
      </c>
      <c r="H2313" t="s">
        <v>19447</v>
      </c>
      <c r="I2313" t="s">
        <v>19447</v>
      </c>
      <c r="J2313">
        <v>2</v>
      </c>
      <c r="L2313" t="s">
        <v>2709</v>
      </c>
      <c r="M2313">
        <v>29130010</v>
      </c>
      <c r="O2313" t="s">
        <v>20028</v>
      </c>
      <c r="P2313" t="s">
        <v>19900</v>
      </c>
      <c r="Q2313" t="s">
        <v>19900</v>
      </c>
      <c r="R2313" t="s">
        <v>19447</v>
      </c>
      <c r="S2313" t="s">
        <v>19447</v>
      </c>
      <c r="T2313" t="s">
        <v>19901</v>
      </c>
    </row>
    <row r="2314" spans="2:20" x14ac:dyDescent="0.25">
      <c r="B2314" t="s">
        <v>2709</v>
      </c>
      <c r="C2314">
        <v>29130090</v>
      </c>
      <c r="E2314">
        <v>68.819999999999993</v>
      </c>
      <c r="F2314">
        <v>0</v>
      </c>
      <c r="G2314">
        <v>0</v>
      </c>
      <c r="H2314" t="s">
        <v>19447</v>
      </c>
      <c r="I2314" t="s">
        <v>19447</v>
      </c>
      <c r="J2314">
        <v>2</v>
      </c>
      <c r="L2314" t="s">
        <v>2709</v>
      </c>
      <c r="M2314">
        <v>29130090</v>
      </c>
      <c r="O2314" t="s">
        <v>20028</v>
      </c>
      <c r="P2314" t="s">
        <v>19900</v>
      </c>
      <c r="Q2314" t="s">
        <v>19900</v>
      </c>
      <c r="R2314" t="s">
        <v>19447</v>
      </c>
      <c r="S2314" t="s">
        <v>19447</v>
      </c>
      <c r="T2314" t="s">
        <v>19901</v>
      </c>
    </row>
    <row r="2315" spans="2:20" x14ac:dyDescent="0.25">
      <c r="B2315" t="s">
        <v>2709</v>
      </c>
      <c r="C2315">
        <v>29141100</v>
      </c>
      <c r="E2315">
        <v>177.19</v>
      </c>
      <c r="F2315">
        <v>0</v>
      </c>
      <c r="G2315">
        <v>0</v>
      </c>
      <c r="H2315" t="s">
        <v>19447</v>
      </c>
      <c r="I2315" t="s">
        <v>19447</v>
      </c>
      <c r="J2315">
        <v>12</v>
      </c>
      <c r="L2315" t="s">
        <v>2709</v>
      </c>
      <c r="M2315">
        <v>29141100</v>
      </c>
      <c r="O2315" t="s">
        <v>19926</v>
      </c>
      <c r="P2315" t="s">
        <v>19900</v>
      </c>
      <c r="Q2315" t="s">
        <v>19900</v>
      </c>
      <c r="R2315" t="s">
        <v>19447</v>
      </c>
      <c r="S2315" t="s">
        <v>19447</v>
      </c>
      <c r="T2315" t="s">
        <v>19903</v>
      </c>
    </row>
    <row r="2316" spans="2:20" x14ac:dyDescent="0.25">
      <c r="B2316" t="s">
        <v>2709</v>
      </c>
      <c r="C2316">
        <v>29141200</v>
      </c>
      <c r="E2316">
        <v>177.19</v>
      </c>
      <c r="F2316">
        <v>0</v>
      </c>
      <c r="G2316">
        <v>0</v>
      </c>
      <c r="H2316" t="s">
        <v>19447</v>
      </c>
      <c r="I2316" t="s">
        <v>19447</v>
      </c>
      <c r="J2316">
        <v>12</v>
      </c>
      <c r="L2316" t="s">
        <v>2709</v>
      </c>
      <c r="M2316">
        <v>29141200</v>
      </c>
      <c r="O2316" t="s">
        <v>19926</v>
      </c>
      <c r="P2316" t="s">
        <v>19900</v>
      </c>
      <c r="Q2316" t="s">
        <v>19900</v>
      </c>
      <c r="R2316" t="s">
        <v>19447</v>
      </c>
      <c r="S2316" t="s">
        <v>19447</v>
      </c>
      <c r="T2316" t="s">
        <v>19903</v>
      </c>
    </row>
    <row r="2317" spans="2:20" x14ac:dyDescent="0.25">
      <c r="B2317" t="s">
        <v>2709</v>
      </c>
      <c r="C2317">
        <v>29141300</v>
      </c>
      <c r="E2317">
        <v>177.19</v>
      </c>
      <c r="F2317">
        <v>0</v>
      </c>
      <c r="G2317">
        <v>0</v>
      </c>
      <c r="H2317" t="s">
        <v>19447</v>
      </c>
      <c r="I2317" t="s">
        <v>19447</v>
      </c>
      <c r="J2317">
        <v>12</v>
      </c>
      <c r="L2317" t="s">
        <v>2709</v>
      </c>
      <c r="M2317">
        <v>29141300</v>
      </c>
      <c r="O2317" t="s">
        <v>19926</v>
      </c>
      <c r="P2317" t="s">
        <v>19900</v>
      </c>
      <c r="Q2317" t="s">
        <v>19900</v>
      </c>
      <c r="R2317" t="s">
        <v>19447</v>
      </c>
      <c r="S2317" t="s">
        <v>19447</v>
      </c>
      <c r="T2317" t="s">
        <v>19903</v>
      </c>
    </row>
    <row r="2318" spans="2:20" x14ac:dyDescent="0.25">
      <c r="B2318" t="s">
        <v>2709</v>
      </c>
      <c r="C2318">
        <v>29141910</v>
      </c>
      <c r="E2318">
        <v>177.19</v>
      </c>
      <c r="F2318">
        <v>0</v>
      </c>
      <c r="G2318">
        <v>0</v>
      </c>
      <c r="H2318" t="s">
        <v>19447</v>
      </c>
      <c r="I2318" t="s">
        <v>19447</v>
      </c>
      <c r="J2318">
        <v>2</v>
      </c>
      <c r="L2318" t="s">
        <v>2709</v>
      </c>
      <c r="M2318">
        <v>29141910</v>
      </c>
      <c r="O2318" t="s">
        <v>19926</v>
      </c>
      <c r="P2318" t="s">
        <v>19900</v>
      </c>
      <c r="Q2318" t="s">
        <v>19900</v>
      </c>
      <c r="R2318" t="s">
        <v>19447</v>
      </c>
      <c r="S2318" t="s">
        <v>19447</v>
      </c>
      <c r="T2318" t="s">
        <v>19901</v>
      </c>
    </row>
    <row r="2319" spans="2:20" x14ac:dyDescent="0.25">
      <c r="B2319" t="s">
        <v>2709</v>
      </c>
      <c r="C2319">
        <v>29141921</v>
      </c>
      <c r="E2319">
        <v>177.19</v>
      </c>
      <c r="F2319">
        <v>0</v>
      </c>
      <c r="G2319">
        <v>0</v>
      </c>
      <c r="H2319" t="s">
        <v>19447</v>
      </c>
      <c r="I2319" t="s">
        <v>19447</v>
      </c>
      <c r="J2319">
        <v>2</v>
      </c>
      <c r="L2319" t="s">
        <v>2709</v>
      </c>
      <c r="M2319">
        <v>29141921</v>
      </c>
      <c r="O2319" t="s">
        <v>19926</v>
      </c>
      <c r="P2319" t="s">
        <v>19900</v>
      </c>
      <c r="Q2319" t="s">
        <v>19900</v>
      </c>
      <c r="R2319" t="s">
        <v>19447</v>
      </c>
      <c r="S2319" t="s">
        <v>19447</v>
      </c>
      <c r="T2319" t="s">
        <v>19901</v>
      </c>
    </row>
    <row r="2320" spans="2:20" x14ac:dyDescent="0.25">
      <c r="B2320" t="s">
        <v>2709</v>
      </c>
      <c r="C2320">
        <v>29141922</v>
      </c>
      <c r="E2320">
        <v>177.19</v>
      </c>
      <c r="F2320">
        <v>0</v>
      </c>
      <c r="G2320">
        <v>0</v>
      </c>
      <c r="H2320" t="s">
        <v>19447</v>
      </c>
      <c r="I2320" t="s">
        <v>19447</v>
      </c>
      <c r="J2320">
        <v>2</v>
      </c>
      <c r="L2320" t="s">
        <v>2709</v>
      </c>
      <c r="M2320">
        <v>29141922</v>
      </c>
      <c r="O2320" t="s">
        <v>19926</v>
      </c>
      <c r="P2320" t="s">
        <v>19900</v>
      </c>
      <c r="Q2320" t="s">
        <v>19900</v>
      </c>
      <c r="R2320" t="s">
        <v>19447</v>
      </c>
      <c r="S2320" t="s">
        <v>19447</v>
      </c>
      <c r="T2320" t="s">
        <v>19901</v>
      </c>
    </row>
    <row r="2321" spans="2:20" x14ac:dyDescent="0.25">
      <c r="B2321" t="s">
        <v>2709</v>
      </c>
      <c r="C2321">
        <v>29141923</v>
      </c>
      <c r="E2321">
        <v>177.19</v>
      </c>
      <c r="F2321">
        <v>0</v>
      </c>
      <c r="G2321">
        <v>0</v>
      </c>
      <c r="H2321" t="s">
        <v>19447</v>
      </c>
      <c r="I2321" t="s">
        <v>19447</v>
      </c>
      <c r="J2321">
        <v>12</v>
      </c>
      <c r="L2321" t="s">
        <v>2709</v>
      </c>
      <c r="M2321">
        <v>29141923</v>
      </c>
      <c r="O2321" t="s">
        <v>19926</v>
      </c>
      <c r="P2321" t="s">
        <v>19900</v>
      </c>
      <c r="Q2321" t="s">
        <v>19900</v>
      </c>
      <c r="R2321" t="s">
        <v>19447</v>
      </c>
      <c r="S2321" t="s">
        <v>19447</v>
      </c>
      <c r="T2321" t="s">
        <v>19903</v>
      </c>
    </row>
    <row r="2322" spans="2:20" x14ac:dyDescent="0.25">
      <c r="B2322" t="s">
        <v>2709</v>
      </c>
      <c r="C2322">
        <v>29141929</v>
      </c>
      <c r="E2322">
        <v>177.19</v>
      </c>
      <c r="F2322">
        <v>0</v>
      </c>
      <c r="G2322">
        <v>0</v>
      </c>
      <c r="H2322" t="s">
        <v>19447</v>
      </c>
      <c r="I2322" t="s">
        <v>19447</v>
      </c>
      <c r="J2322">
        <v>12</v>
      </c>
      <c r="L2322" t="s">
        <v>2709</v>
      </c>
      <c r="M2322">
        <v>29141929</v>
      </c>
      <c r="O2322" t="s">
        <v>19926</v>
      </c>
      <c r="P2322" t="s">
        <v>19900</v>
      </c>
      <c r="Q2322" t="s">
        <v>19900</v>
      </c>
      <c r="R2322" t="s">
        <v>19447</v>
      </c>
      <c r="S2322" t="s">
        <v>19447</v>
      </c>
      <c r="T2322" t="s">
        <v>19903</v>
      </c>
    </row>
    <row r="2323" spans="2:20" x14ac:dyDescent="0.25">
      <c r="B2323" t="s">
        <v>2709</v>
      </c>
      <c r="C2323">
        <v>29141930</v>
      </c>
      <c r="E2323">
        <v>177.19</v>
      </c>
      <c r="F2323">
        <v>0</v>
      </c>
      <c r="G2323">
        <v>0</v>
      </c>
      <c r="H2323" t="s">
        <v>19447</v>
      </c>
      <c r="I2323" t="s">
        <v>19447</v>
      </c>
      <c r="J2323">
        <v>2</v>
      </c>
      <c r="L2323" t="s">
        <v>2709</v>
      </c>
      <c r="M2323">
        <v>29141930</v>
      </c>
      <c r="O2323" t="s">
        <v>19926</v>
      </c>
      <c r="P2323" t="s">
        <v>19900</v>
      </c>
      <c r="Q2323" t="s">
        <v>19900</v>
      </c>
      <c r="R2323" t="s">
        <v>19447</v>
      </c>
      <c r="S2323" t="s">
        <v>19447</v>
      </c>
      <c r="T2323" t="s">
        <v>19901</v>
      </c>
    </row>
    <row r="2324" spans="2:20" x14ac:dyDescent="0.25">
      <c r="B2324" t="s">
        <v>2709</v>
      </c>
      <c r="C2324">
        <v>29141940</v>
      </c>
      <c r="E2324">
        <v>177.19</v>
      </c>
      <c r="F2324">
        <v>0</v>
      </c>
      <c r="G2324">
        <v>0</v>
      </c>
      <c r="H2324" t="s">
        <v>19447</v>
      </c>
      <c r="I2324" t="s">
        <v>19447</v>
      </c>
      <c r="J2324">
        <v>2</v>
      </c>
      <c r="L2324" t="s">
        <v>2709</v>
      </c>
      <c r="M2324">
        <v>29141940</v>
      </c>
      <c r="O2324" t="s">
        <v>19926</v>
      </c>
      <c r="P2324" t="s">
        <v>19900</v>
      </c>
      <c r="Q2324" t="s">
        <v>19900</v>
      </c>
      <c r="R2324" t="s">
        <v>19447</v>
      </c>
      <c r="S2324" t="s">
        <v>19447</v>
      </c>
      <c r="T2324" t="s">
        <v>19901</v>
      </c>
    </row>
    <row r="2325" spans="2:20" x14ac:dyDescent="0.25">
      <c r="B2325" t="s">
        <v>2709</v>
      </c>
      <c r="C2325">
        <v>29141950</v>
      </c>
      <c r="E2325">
        <v>177.19</v>
      </c>
      <c r="F2325">
        <v>0</v>
      </c>
      <c r="G2325">
        <v>0</v>
      </c>
      <c r="H2325" t="s">
        <v>19447</v>
      </c>
      <c r="I2325" t="s">
        <v>19447</v>
      </c>
      <c r="J2325">
        <v>2</v>
      </c>
      <c r="L2325" t="s">
        <v>2709</v>
      </c>
      <c r="M2325">
        <v>29141950</v>
      </c>
      <c r="O2325" t="s">
        <v>19926</v>
      </c>
      <c r="P2325" t="s">
        <v>19900</v>
      </c>
      <c r="Q2325" t="s">
        <v>19900</v>
      </c>
      <c r="R2325" t="s">
        <v>19447</v>
      </c>
      <c r="S2325" t="s">
        <v>19447</v>
      </c>
      <c r="T2325" t="s">
        <v>19901</v>
      </c>
    </row>
    <row r="2326" spans="2:20" x14ac:dyDescent="0.25">
      <c r="B2326" t="s">
        <v>2709</v>
      </c>
      <c r="C2326">
        <v>29141990</v>
      </c>
      <c r="E2326">
        <v>177.19</v>
      </c>
      <c r="F2326">
        <v>0</v>
      </c>
      <c r="G2326">
        <v>0</v>
      </c>
      <c r="H2326" t="s">
        <v>19447</v>
      </c>
      <c r="I2326" t="s">
        <v>19447</v>
      </c>
      <c r="J2326">
        <v>12</v>
      </c>
      <c r="L2326" t="s">
        <v>2709</v>
      </c>
      <c r="M2326">
        <v>29141990</v>
      </c>
      <c r="O2326" t="s">
        <v>19926</v>
      </c>
      <c r="P2326" t="s">
        <v>19900</v>
      </c>
      <c r="Q2326" t="s">
        <v>19900</v>
      </c>
      <c r="R2326" t="s">
        <v>19447</v>
      </c>
      <c r="S2326" t="s">
        <v>19447</v>
      </c>
      <c r="T2326" t="s">
        <v>19903</v>
      </c>
    </row>
    <row r="2327" spans="2:20" x14ac:dyDescent="0.25">
      <c r="B2327" t="s">
        <v>2709</v>
      </c>
      <c r="C2327">
        <v>29142210</v>
      </c>
      <c r="E2327">
        <v>68.819999999999993</v>
      </c>
      <c r="F2327">
        <v>0</v>
      </c>
      <c r="G2327">
        <v>0</v>
      </c>
      <c r="H2327" t="s">
        <v>19447</v>
      </c>
      <c r="I2327" t="s">
        <v>19447</v>
      </c>
      <c r="J2327">
        <v>2</v>
      </c>
      <c r="L2327" t="s">
        <v>2709</v>
      </c>
      <c r="M2327">
        <v>29142210</v>
      </c>
      <c r="O2327" t="s">
        <v>20028</v>
      </c>
      <c r="P2327" t="s">
        <v>19900</v>
      </c>
      <c r="Q2327" t="s">
        <v>19900</v>
      </c>
      <c r="R2327" t="s">
        <v>19447</v>
      </c>
      <c r="S2327" t="s">
        <v>19447</v>
      </c>
      <c r="T2327" t="s">
        <v>19901</v>
      </c>
    </row>
    <row r="2328" spans="2:20" x14ac:dyDescent="0.25">
      <c r="B2328" t="s">
        <v>2709</v>
      </c>
      <c r="C2328">
        <v>29142220</v>
      </c>
      <c r="E2328">
        <v>68.819999999999993</v>
      </c>
      <c r="F2328">
        <v>0</v>
      </c>
      <c r="G2328">
        <v>0</v>
      </c>
      <c r="H2328" t="s">
        <v>19447</v>
      </c>
      <c r="I2328" t="s">
        <v>19447</v>
      </c>
      <c r="J2328">
        <v>2</v>
      </c>
      <c r="L2328" t="s">
        <v>2709</v>
      </c>
      <c r="M2328">
        <v>29142220</v>
      </c>
      <c r="O2328" t="s">
        <v>20028</v>
      </c>
      <c r="P2328" t="s">
        <v>19900</v>
      </c>
      <c r="Q2328" t="s">
        <v>19900</v>
      </c>
      <c r="R2328" t="s">
        <v>19447</v>
      </c>
      <c r="S2328" t="s">
        <v>19447</v>
      </c>
      <c r="T2328" t="s">
        <v>19901</v>
      </c>
    </row>
    <row r="2329" spans="2:20" x14ac:dyDescent="0.25">
      <c r="B2329" t="s">
        <v>2709</v>
      </c>
      <c r="C2329">
        <v>29142310</v>
      </c>
      <c r="E2329">
        <v>68.819999999999993</v>
      </c>
      <c r="F2329">
        <v>0</v>
      </c>
      <c r="G2329">
        <v>0</v>
      </c>
      <c r="H2329" t="s">
        <v>19447</v>
      </c>
      <c r="I2329" t="s">
        <v>19447</v>
      </c>
      <c r="J2329">
        <v>2</v>
      </c>
      <c r="L2329" t="s">
        <v>2709</v>
      </c>
      <c r="M2329">
        <v>29142310</v>
      </c>
      <c r="O2329" t="s">
        <v>20028</v>
      </c>
      <c r="P2329" t="s">
        <v>19900</v>
      </c>
      <c r="Q2329" t="s">
        <v>19900</v>
      </c>
      <c r="R2329" t="s">
        <v>19447</v>
      </c>
      <c r="S2329" t="s">
        <v>19447</v>
      </c>
      <c r="T2329" t="s">
        <v>19901</v>
      </c>
    </row>
    <row r="2330" spans="2:20" x14ac:dyDescent="0.25">
      <c r="B2330" t="s">
        <v>2709</v>
      </c>
      <c r="C2330">
        <v>29142320</v>
      </c>
      <c r="E2330">
        <v>68.819999999999993</v>
      </c>
      <c r="F2330">
        <v>0</v>
      </c>
      <c r="G2330">
        <v>0</v>
      </c>
      <c r="H2330" t="s">
        <v>19447</v>
      </c>
      <c r="I2330" t="s">
        <v>19447</v>
      </c>
      <c r="J2330">
        <v>2</v>
      </c>
      <c r="L2330" t="s">
        <v>2709</v>
      </c>
      <c r="M2330">
        <v>29142320</v>
      </c>
      <c r="O2330" t="s">
        <v>20028</v>
      </c>
      <c r="P2330" t="s">
        <v>19900</v>
      </c>
      <c r="Q2330" t="s">
        <v>19900</v>
      </c>
      <c r="R2330" t="s">
        <v>19447</v>
      </c>
      <c r="S2330" t="s">
        <v>19447</v>
      </c>
      <c r="T2330" t="s">
        <v>19901</v>
      </c>
    </row>
    <row r="2331" spans="2:20" x14ac:dyDescent="0.25">
      <c r="B2331" t="s">
        <v>2709</v>
      </c>
      <c r="C2331">
        <v>29142910</v>
      </c>
      <c r="E2331">
        <v>68.819999999999993</v>
      </c>
      <c r="F2331">
        <v>0</v>
      </c>
      <c r="G2331">
        <v>0</v>
      </c>
      <c r="H2331" t="s">
        <v>19447</v>
      </c>
      <c r="I2331" t="s">
        <v>19447</v>
      </c>
      <c r="J2331">
        <v>12</v>
      </c>
      <c r="L2331" t="s">
        <v>2709</v>
      </c>
      <c r="M2331">
        <v>29142910</v>
      </c>
      <c r="O2331" t="s">
        <v>20028</v>
      </c>
      <c r="P2331" t="s">
        <v>19900</v>
      </c>
      <c r="Q2331" t="s">
        <v>19900</v>
      </c>
      <c r="R2331" t="s">
        <v>19447</v>
      </c>
      <c r="S2331" t="s">
        <v>19447</v>
      </c>
      <c r="T2331" t="s">
        <v>19903</v>
      </c>
    </row>
    <row r="2332" spans="2:20" x14ac:dyDescent="0.25">
      <c r="B2332" t="s">
        <v>2709</v>
      </c>
      <c r="C2332">
        <v>29142920</v>
      </c>
      <c r="E2332">
        <v>68.819999999999993</v>
      </c>
      <c r="F2332">
        <v>0</v>
      </c>
      <c r="G2332">
        <v>0</v>
      </c>
      <c r="H2332" t="s">
        <v>19447</v>
      </c>
      <c r="I2332" t="s">
        <v>19447</v>
      </c>
      <c r="J2332">
        <v>2</v>
      </c>
      <c r="L2332" t="s">
        <v>2709</v>
      </c>
      <c r="M2332">
        <v>29142920</v>
      </c>
      <c r="O2332" t="s">
        <v>20028</v>
      </c>
      <c r="P2332" t="s">
        <v>19900</v>
      </c>
      <c r="Q2332" t="s">
        <v>19900</v>
      </c>
      <c r="R2332" t="s">
        <v>19447</v>
      </c>
      <c r="S2332" t="s">
        <v>19447</v>
      </c>
      <c r="T2332" t="s">
        <v>19901</v>
      </c>
    </row>
    <row r="2333" spans="2:20" x14ac:dyDescent="0.25">
      <c r="B2333" t="s">
        <v>2709</v>
      </c>
      <c r="C2333">
        <v>29142990</v>
      </c>
      <c r="E2333">
        <v>68.819999999999993</v>
      </c>
      <c r="F2333">
        <v>0</v>
      </c>
      <c r="G2333">
        <v>0</v>
      </c>
      <c r="H2333" t="s">
        <v>19447</v>
      </c>
      <c r="I2333" t="s">
        <v>19447</v>
      </c>
      <c r="J2333">
        <v>2</v>
      </c>
      <c r="L2333" t="s">
        <v>2709</v>
      </c>
      <c r="M2333">
        <v>29142990</v>
      </c>
      <c r="O2333" t="s">
        <v>20028</v>
      </c>
      <c r="P2333" t="s">
        <v>19900</v>
      </c>
      <c r="Q2333" t="s">
        <v>19900</v>
      </c>
      <c r="R2333" t="s">
        <v>19447</v>
      </c>
      <c r="S2333" t="s">
        <v>19447</v>
      </c>
      <c r="T2333" t="s">
        <v>19901</v>
      </c>
    </row>
    <row r="2334" spans="2:20" x14ac:dyDescent="0.25">
      <c r="B2334" t="s">
        <v>2709</v>
      </c>
      <c r="C2334">
        <v>29143100</v>
      </c>
      <c r="E2334">
        <v>68.819999999999993</v>
      </c>
      <c r="F2334">
        <v>0</v>
      </c>
      <c r="G2334">
        <v>0</v>
      </c>
      <c r="H2334" t="s">
        <v>19447</v>
      </c>
      <c r="I2334" t="s">
        <v>19447</v>
      </c>
      <c r="J2334">
        <v>2</v>
      </c>
      <c r="L2334" t="s">
        <v>2709</v>
      </c>
      <c r="M2334">
        <v>29143100</v>
      </c>
      <c r="O2334" t="s">
        <v>20028</v>
      </c>
      <c r="P2334" t="s">
        <v>19900</v>
      </c>
      <c r="Q2334" t="s">
        <v>19900</v>
      </c>
      <c r="R2334" t="s">
        <v>19447</v>
      </c>
      <c r="S2334" t="s">
        <v>19447</v>
      </c>
      <c r="T2334" t="s">
        <v>19901</v>
      </c>
    </row>
    <row r="2335" spans="2:20" x14ac:dyDescent="0.25">
      <c r="B2335" t="s">
        <v>2709</v>
      </c>
      <c r="C2335">
        <v>29143910</v>
      </c>
      <c r="E2335">
        <v>68.819999999999993</v>
      </c>
      <c r="F2335">
        <v>0</v>
      </c>
      <c r="G2335">
        <v>0</v>
      </c>
      <c r="H2335" t="s">
        <v>19447</v>
      </c>
      <c r="I2335" t="s">
        <v>19447</v>
      </c>
      <c r="J2335">
        <v>12</v>
      </c>
      <c r="L2335" t="s">
        <v>2709</v>
      </c>
      <c r="M2335">
        <v>29143910</v>
      </c>
      <c r="O2335" t="s">
        <v>20028</v>
      </c>
      <c r="P2335" t="s">
        <v>19900</v>
      </c>
      <c r="Q2335" t="s">
        <v>19900</v>
      </c>
      <c r="R2335" t="s">
        <v>19447</v>
      </c>
      <c r="S2335" t="s">
        <v>19447</v>
      </c>
      <c r="T2335" t="s">
        <v>19903</v>
      </c>
    </row>
    <row r="2336" spans="2:20" x14ac:dyDescent="0.25">
      <c r="B2336" t="s">
        <v>2709</v>
      </c>
      <c r="C2336">
        <v>29143990</v>
      </c>
      <c r="E2336">
        <v>68.819999999999993</v>
      </c>
      <c r="F2336">
        <v>0</v>
      </c>
      <c r="G2336">
        <v>0</v>
      </c>
      <c r="H2336" t="s">
        <v>19447</v>
      </c>
      <c r="I2336" t="s">
        <v>19447</v>
      </c>
      <c r="J2336">
        <v>2</v>
      </c>
      <c r="L2336" t="s">
        <v>2709</v>
      </c>
      <c r="M2336">
        <v>29143990</v>
      </c>
      <c r="O2336" t="s">
        <v>20028</v>
      </c>
      <c r="P2336" t="s">
        <v>19900</v>
      </c>
      <c r="Q2336" t="s">
        <v>19900</v>
      </c>
      <c r="R2336" t="s">
        <v>19447</v>
      </c>
      <c r="S2336" t="s">
        <v>19447</v>
      </c>
      <c r="T2336" t="s">
        <v>19901</v>
      </c>
    </row>
    <row r="2337" spans="2:20" x14ac:dyDescent="0.25">
      <c r="B2337" t="s">
        <v>2709</v>
      </c>
      <c r="C2337">
        <v>29144010</v>
      </c>
      <c r="E2337">
        <v>68.819999999999993</v>
      </c>
      <c r="F2337">
        <v>0</v>
      </c>
      <c r="G2337">
        <v>0</v>
      </c>
      <c r="H2337" t="s">
        <v>19447</v>
      </c>
      <c r="I2337" t="s">
        <v>19447</v>
      </c>
      <c r="J2337">
        <v>12</v>
      </c>
      <c r="L2337" t="s">
        <v>2709</v>
      </c>
      <c r="M2337">
        <v>29144010</v>
      </c>
      <c r="O2337" t="s">
        <v>20028</v>
      </c>
      <c r="P2337" t="s">
        <v>19900</v>
      </c>
      <c r="Q2337" t="s">
        <v>19900</v>
      </c>
      <c r="R2337" t="s">
        <v>19447</v>
      </c>
      <c r="S2337" t="s">
        <v>19447</v>
      </c>
      <c r="T2337" t="s">
        <v>19903</v>
      </c>
    </row>
    <row r="2338" spans="2:20" x14ac:dyDescent="0.25">
      <c r="B2338" t="s">
        <v>2709</v>
      </c>
      <c r="C2338">
        <v>29144091</v>
      </c>
      <c r="E2338">
        <v>68.819999999999993</v>
      </c>
      <c r="F2338">
        <v>0</v>
      </c>
      <c r="G2338">
        <v>0</v>
      </c>
      <c r="H2338" t="s">
        <v>19447</v>
      </c>
      <c r="I2338" t="s">
        <v>19447</v>
      </c>
      <c r="J2338">
        <v>2</v>
      </c>
      <c r="L2338" t="s">
        <v>2709</v>
      </c>
      <c r="M2338">
        <v>29144091</v>
      </c>
      <c r="O2338" t="s">
        <v>20028</v>
      </c>
      <c r="P2338" t="s">
        <v>19900</v>
      </c>
      <c r="Q2338" t="s">
        <v>19900</v>
      </c>
      <c r="R2338" t="s">
        <v>19447</v>
      </c>
      <c r="S2338" t="s">
        <v>19447</v>
      </c>
      <c r="T2338" t="s">
        <v>19901</v>
      </c>
    </row>
    <row r="2339" spans="2:20" x14ac:dyDescent="0.25">
      <c r="B2339" t="s">
        <v>2709</v>
      </c>
      <c r="C2339">
        <v>29144099</v>
      </c>
      <c r="E2339">
        <v>68.819999999999993</v>
      </c>
      <c r="F2339">
        <v>0</v>
      </c>
      <c r="G2339">
        <v>0</v>
      </c>
      <c r="H2339" t="s">
        <v>19447</v>
      </c>
      <c r="I2339" t="s">
        <v>19447</v>
      </c>
      <c r="J2339">
        <v>2</v>
      </c>
      <c r="L2339" t="s">
        <v>2709</v>
      </c>
      <c r="M2339">
        <v>29144099</v>
      </c>
      <c r="O2339" t="s">
        <v>20028</v>
      </c>
      <c r="P2339" t="s">
        <v>19900</v>
      </c>
      <c r="Q2339" t="s">
        <v>19900</v>
      </c>
      <c r="R2339" t="s">
        <v>19447</v>
      </c>
      <c r="S2339" t="s">
        <v>19447</v>
      </c>
      <c r="T2339" t="s">
        <v>19901</v>
      </c>
    </row>
    <row r="2340" spans="2:20" x14ac:dyDescent="0.25">
      <c r="B2340" t="s">
        <v>2709</v>
      </c>
      <c r="C2340">
        <v>29145010</v>
      </c>
      <c r="E2340">
        <v>68.819999999999993</v>
      </c>
      <c r="F2340">
        <v>0</v>
      </c>
      <c r="G2340">
        <v>0</v>
      </c>
      <c r="H2340" t="s">
        <v>19447</v>
      </c>
      <c r="I2340" t="s">
        <v>19447</v>
      </c>
      <c r="J2340">
        <v>2</v>
      </c>
      <c r="L2340" t="s">
        <v>2709</v>
      </c>
      <c r="M2340">
        <v>29145010</v>
      </c>
      <c r="O2340" t="s">
        <v>20028</v>
      </c>
      <c r="P2340" t="s">
        <v>19900</v>
      </c>
      <c r="Q2340" t="s">
        <v>19900</v>
      </c>
      <c r="R2340" t="s">
        <v>19447</v>
      </c>
      <c r="S2340" t="s">
        <v>19447</v>
      </c>
      <c r="T2340" t="s">
        <v>19901</v>
      </c>
    </row>
    <row r="2341" spans="2:20" x14ac:dyDescent="0.25">
      <c r="B2341" t="s">
        <v>2709</v>
      </c>
      <c r="C2341">
        <v>29145020</v>
      </c>
      <c r="E2341">
        <v>68.819999999999993</v>
      </c>
      <c r="F2341">
        <v>0</v>
      </c>
      <c r="G2341">
        <v>0</v>
      </c>
      <c r="H2341" t="s">
        <v>19447</v>
      </c>
      <c r="I2341" t="s">
        <v>19447</v>
      </c>
      <c r="J2341">
        <v>12</v>
      </c>
      <c r="L2341" t="s">
        <v>2709</v>
      </c>
      <c r="M2341">
        <v>29145020</v>
      </c>
      <c r="O2341" t="s">
        <v>20028</v>
      </c>
      <c r="P2341" t="s">
        <v>19900</v>
      </c>
      <c r="Q2341" t="s">
        <v>19900</v>
      </c>
      <c r="R2341" t="s">
        <v>19447</v>
      </c>
      <c r="S2341" t="s">
        <v>19447</v>
      </c>
      <c r="T2341" t="s">
        <v>19903</v>
      </c>
    </row>
    <row r="2342" spans="2:20" x14ac:dyDescent="0.25">
      <c r="B2342" t="s">
        <v>2709</v>
      </c>
      <c r="C2342">
        <v>29145090</v>
      </c>
      <c r="E2342">
        <v>68.819999999999993</v>
      </c>
      <c r="F2342">
        <v>0</v>
      </c>
      <c r="G2342">
        <v>0</v>
      </c>
      <c r="H2342" t="s">
        <v>19447</v>
      </c>
      <c r="I2342" t="s">
        <v>19447</v>
      </c>
      <c r="J2342">
        <v>2</v>
      </c>
      <c r="L2342" t="s">
        <v>2709</v>
      </c>
      <c r="M2342">
        <v>29145090</v>
      </c>
      <c r="O2342" t="s">
        <v>20028</v>
      </c>
      <c r="P2342" t="s">
        <v>19900</v>
      </c>
      <c r="Q2342" t="s">
        <v>19900</v>
      </c>
      <c r="R2342" t="s">
        <v>19447</v>
      </c>
      <c r="S2342" t="s">
        <v>19447</v>
      </c>
      <c r="T2342" t="s">
        <v>19901</v>
      </c>
    </row>
    <row r="2343" spans="2:20" x14ac:dyDescent="0.25">
      <c r="B2343" t="s">
        <v>2709</v>
      </c>
      <c r="C2343">
        <v>29146100</v>
      </c>
      <c r="E2343">
        <v>68.819999999999993</v>
      </c>
      <c r="F2343">
        <v>0</v>
      </c>
      <c r="G2343">
        <v>0</v>
      </c>
      <c r="H2343" t="s">
        <v>19447</v>
      </c>
      <c r="I2343" t="s">
        <v>19447</v>
      </c>
      <c r="J2343">
        <v>2</v>
      </c>
      <c r="L2343" t="s">
        <v>2709</v>
      </c>
      <c r="M2343">
        <v>29146100</v>
      </c>
      <c r="O2343" t="s">
        <v>20028</v>
      </c>
      <c r="P2343" t="s">
        <v>19900</v>
      </c>
      <c r="Q2343" t="s">
        <v>19900</v>
      </c>
      <c r="R2343" t="s">
        <v>19447</v>
      </c>
      <c r="S2343" t="s">
        <v>19447</v>
      </c>
      <c r="T2343" t="s">
        <v>19901</v>
      </c>
    </row>
    <row r="2344" spans="2:20" x14ac:dyDescent="0.25">
      <c r="B2344" t="s">
        <v>2709</v>
      </c>
      <c r="C2344">
        <v>29146910</v>
      </c>
      <c r="E2344">
        <v>68.819999999999993</v>
      </c>
      <c r="F2344">
        <v>0</v>
      </c>
      <c r="G2344">
        <v>0</v>
      </c>
      <c r="H2344" t="s">
        <v>19447</v>
      </c>
      <c r="I2344" t="s">
        <v>19447</v>
      </c>
      <c r="J2344">
        <v>2</v>
      </c>
      <c r="L2344" t="s">
        <v>2709</v>
      </c>
      <c r="M2344">
        <v>29146910</v>
      </c>
      <c r="O2344" t="s">
        <v>20028</v>
      </c>
      <c r="P2344" t="s">
        <v>19900</v>
      </c>
      <c r="Q2344" t="s">
        <v>19900</v>
      </c>
      <c r="R2344" t="s">
        <v>19447</v>
      </c>
      <c r="S2344" t="s">
        <v>19447</v>
      </c>
      <c r="T2344" t="s">
        <v>19901</v>
      </c>
    </row>
    <row r="2345" spans="2:20" x14ac:dyDescent="0.25">
      <c r="B2345" t="s">
        <v>2709</v>
      </c>
      <c r="C2345">
        <v>29146920</v>
      </c>
      <c r="E2345">
        <v>68.819999999999993</v>
      </c>
      <c r="F2345">
        <v>0</v>
      </c>
      <c r="G2345">
        <v>0</v>
      </c>
      <c r="H2345" t="s">
        <v>19447</v>
      </c>
      <c r="I2345" t="s">
        <v>19447</v>
      </c>
      <c r="J2345">
        <v>2</v>
      </c>
      <c r="L2345" t="s">
        <v>2709</v>
      </c>
      <c r="M2345">
        <v>29146920</v>
      </c>
      <c r="O2345" t="s">
        <v>20028</v>
      </c>
      <c r="P2345" t="s">
        <v>19900</v>
      </c>
      <c r="Q2345" t="s">
        <v>19900</v>
      </c>
      <c r="R2345" t="s">
        <v>19447</v>
      </c>
      <c r="S2345" t="s">
        <v>19447</v>
      </c>
      <c r="T2345" t="s">
        <v>19901</v>
      </c>
    </row>
    <row r="2346" spans="2:20" x14ac:dyDescent="0.25">
      <c r="B2346" t="s">
        <v>2709</v>
      </c>
      <c r="C2346">
        <v>29146990</v>
      </c>
      <c r="E2346">
        <v>68.819999999999993</v>
      </c>
      <c r="F2346">
        <v>0</v>
      </c>
      <c r="G2346">
        <v>0</v>
      </c>
      <c r="H2346" t="s">
        <v>19447</v>
      </c>
      <c r="I2346" t="s">
        <v>19447</v>
      </c>
      <c r="J2346">
        <v>2</v>
      </c>
      <c r="L2346" t="s">
        <v>2709</v>
      </c>
      <c r="M2346">
        <v>29146990</v>
      </c>
      <c r="O2346" t="s">
        <v>20028</v>
      </c>
      <c r="P2346" t="s">
        <v>19900</v>
      </c>
      <c r="Q2346" t="s">
        <v>19900</v>
      </c>
      <c r="R2346" t="s">
        <v>19447</v>
      </c>
      <c r="S2346" t="s">
        <v>19447</v>
      </c>
      <c r="T2346" t="s">
        <v>19901</v>
      </c>
    </row>
    <row r="2347" spans="2:20" x14ac:dyDescent="0.25">
      <c r="B2347" t="s">
        <v>2709</v>
      </c>
      <c r="C2347">
        <v>29147011</v>
      </c>
      <c r="E2347">
        <v>68.819999999999993</v>
      </c>
      <c r="F2347">
        <v>0</v>
      </c>
      <c r="G2347">
        <v>0</v>
      </c>
      <c r="H2347" t="s">
        <v>19447</v>
      </c>
      <c r="I2347" t="s">
        <v>19447</v>
      </c>
      <c r="J2347">
        <v>2</v>
      </c>
      <c r="L2347" t="s">
        <v>2709</v>
      </c>
      <c r="M2347">
        <v>29147011</v>
      </c>
      <c r="O2347" t="s">
        <v>20028</v>
      </c>
      <c r="P2347" t="s">
        <v>19900</v>
      </c>
      <c r="Q2347" t="s">
        <v>19900</v>
      </c>
      <c r="R2347" t="s">
        <v>19447</v>
      </c>
      <c r="S2347" t="s">
        <v>19447</v>
      </c>
      <c r="T2347" t="s">
        <v>19901</v>
      </c>
    </row>
    <row r="2348" spans="2:20" x14ac:dyDescent="0.25">
      <c r="B2348" t="s">
        <v>2709</v>
      </c>
      <c r="C2348">
        <v>29147019</v>
      </c>
      <c r="E2348">
        <v>68.819999999999993</v>
      </c>
      <c r="F2348">
        <v>0</v>
      </c>
      <c r="G2348">
        <v>0</v>
      </c>
      <c r="H2348" t="s">
        <v>19447</v>
      </c>
      <c r="I2348" t="s">
        <v>19447</v>
      </c>
      <c r="J2348">
        <v>2</v>
      </c>
      <c r="L2348" t="s">
        <v>2709</v>
      </c>
      <c r="M2348">
        <v>29147019</v>
      </c>
      <c r="O2348" t="s">
        <v>20028</v>
      </c>
      <c r="P2348" t="s">
        <v>19900</v>
      </c>
      <c r="Q2348" t="s">
        <v>19900</v>
      </c>
      <c r="R2348" t="s">
        <v>19447</v>
      </c>
      <c r="S2348" t="s">
        <v>19447</v>
      </c>
      <c r="T2348" t="s">
        <v>19901</v>
      </c>
    </row>
    <row r="2349" spans="2:20" x14ac:dyDescent="0.25">
      <c r="B2349" t="s">
        <v>2709</v>
      </c>
      <c r="C2349">
        <v>29147021</v>
      </c>
      <c r="E2349">
        <v>68.819999999999993</v>
      </c>
      <c r="F2349">
        <v>0</v>
      </c>
      <c r="G2349">
        <v>0</v>
      </c>
      <c r="H2349" t="s">
        <v>19447</v>
      </c>
      <c r="I2349" t="s">
        <v>19447</v>
      </c>
      <c r="J2349">
        <v>8</v>
      </c>
      <c r="L2349" t="s">
        <v>2709</v>
      </c>
      <c r="M2349">
        <v>29147021</v>
      </c>
      <c r="O2349" t="s">
        <v>20028</v>
      </c>
      <c r="P2349" t="s">
        <v>19900</v>
      </c>
      <c r="Q2349" t="s">
        <v>19900</v>
      </c>
      <c r="R2349" t="s">
        <v>19447</v>
      </c>
      <c r="S2349" t="s">
        <v>19447</v>
      </c>
      <c r="T2349" t="s">
        <v>19918</v>
      </c>
    </row>
    <row r="2350" spans="2:20" x14ac:dyDescent="0.25">
      <c r="B2350" t="s">
        <v>2709</v>
      </c>
      <c r="C2350">
        <v>29147022</v>
      </c>
      <c r="E2350">
        <v>68.819999999999993</v>
      </c>
      <c r="F2350">
        <v>0</v>
      </c>
      <c r="G2350">
        <v>0</v>
      </c>
      <c r="H2350" t="s">
        <v>19447</v>
      </c>
      <c r="I2350" t="s">
        <v>19447</v>
      </c>
      <c r="J2350">
        <v>12</v>
      </c>
      <c r="L2350" t="s">
        <v>2709</v>
      </c>
      <c r="M2350">
        <v>29147022</v>
      </c>
      <c r="O2350" t="s">
        <v>20028</v>
      </c>
      <c r="P2350" t="s">
        <v>19900</v>
      </c>
      <c r="Q2350" t="s">
        <v>19900</v>
      </c>
      <c r="R2350" t="s">
        <v>19447</v>
      </c>
      <c r="S2350" t="s">
        <v>19447</v>
      </c>
      <c r="T2350" t="s">
        <v>19903</v>
      </c>
    </row>
    <row r="2351" spans="2:20" x14ac:dyDescent="0.25">
      <c r="B2351" t="s">
        <v>2709</v>
      </c>
      <c r="C2351">
        <v>29147029</v>
      </c>
      <c r="E2351">
        <v>68.819999999999993</v>
      </c>
      <c r="F2351">
        <v>0</v>
      </c>
      <c r="G2351">
        <v>0</v>
      </c>
      <c r="H2351" t="s">
        <v>19447</v>
      </c>
      <c r="I2351" t="s">
        <v>19447</v>
      </c>
      <c r="J2351">
        <v>2</v>
      </c>
      <c r="L2351" t="s">
        <v>2709</v>
      </c>
      <c r="M2351">
        <v>29147029</v>
      </c>
      <c r="O2351" t="s">
        <v>20028</v>
      </c>
      <c r="P2351" t="s">
        <v>19900</v>
      </c>
      <c r="Q2351" t="s">
        <v>19900</v>
      </c>
      <c r="R2351" t="s">
        <v>19447</v>
      </c>
      <c r="S2351" t="s">
        <v>19447</v>
      </c>
      <c r="T2351" t="s">
        <v>19901</v>
      </c>
    </row>
    <row r="2352" spans="2:20" x14ac:dyDescent="0.25">
      <c r="B2352" t="s">
        <v>2709</v>
      </c>
      <c r="C2352">
        <v>29147090</v>
      </c>
      <c r="E2352">
        <v>68.819999999999993</v>
      </c>
      <c r="F2352">
        <v>0</v>
      </c>
      <c r="G2352">
        <v>0</v>
      </c>
      <c r="H2352" t="s">
        <v>19447</v>
      </c>
      <c r="I2352" t="s">
        <v>19447</v>
      </c>
      <c r="J2352">
        <v>2</v>
      </c>
      <c r="L2352" t="s">
        <v>2709</v>
      </c>
      <c r="M2352">
        <v>29147090</v>
      </c>
      <c r="O2352" t="s">
        <v>20028</v>
      </c>
      <c r="P2352" t="s">
        <v>19900</v>
      </c>
      <c r="Q2352" t="s">
        <v>19900</v>
      </c>
      <c r="R2352" t="s">
        <v>19447</v>
      </c>
      <c r="S2352" t="s">
        <v>19447</v>
      </c>
      <c r="T2352" t="s">
        <v>19901</v>
      </c>
    </row>
    <row r="2353" spans="2:20" x14ac:dyDescent="0.25">
      <c r="B2353" t="s">
        <v>2709</v>
      </c>
      <c r="C2353">
        <v>29151100</v>
      </c>
      <c r="E2353">
        <v>68.819999999999993</v>
      </c>
      <c r="F2353">
        <v>0</v>
      </c>
      <c r="G2353">
        <v>0</v>
      </c>
      <c r="H2353" t="s">
        <v>19447</v>
      </c>
      <c r="I2353" t="s">
        <v>19447</v>
      </c>
      <c r="J2353">
        <v>12</v>
      </c>
      <c r="L2353" t="s">
        <v>2709</v>
      </c>
      <c r="M2353">
        <v>29151100</v>
      </c>
      <c r="O2353" t="s">
        <v>20028</v>
      </c>
      <c r="P2353" t="s">
        <v>19900</v>
      </c>
      <c r="Q2353" t="s">
        <v>19900</v>
      </c>
      <c r="R2353" t="s">
        <v>19447</v>
      </c>
      <c r="S2353" t="s">
        <v>19447</v>
      </c>
      <c r="T2353" t="s">
        <v>19903</v>
      </c>
    </row>
    <row r="2354" spans="2:20" x14ac:dyDescent="0.25">
      <c r="B2354" t="s">
        <v>2709</v>
      </c>
      <c r="C2354">
        <v>29151210</v>
      </c>
      <c r="E2354">
        <v>68.819999999999993</v>
      </c>
      <c r="F2354">
        <v>0</v>
      </c>
      <c r="G2354">
        <v>0</v>
      </c>
      <c r="H2354" t="s">
        <v>19447</v>
      </c>
      <c r="I2354" t="s">
        <v>19447</v>
      </c>
      <c r="J2354">
        <v>12</v>
      </c>
      <c r="L2354" t="s">
        <v>2709</v>
      </c>
      <c r="M2354">
        <v>29151210</v>
      </c>
      <c r="O2354" t="s">
        <v>20028</v>
      </c>
      <c r="P2354" t="s">
        <v>19900</v>
      </c>
      <c r="Q2354" t="s">
        <v>19900</v>
      </c>
      <c r="R2354" t="s">
        <v>19447</v>
      </c>
      <c r="S2354" t="s">
        <v>19447</v>
      </c>
      <c r="T2354" t="s">
        <v>19903</v>
      </c>
    </row>
    <row r="2355" spans="2:20" x14ac:dyDescent="0.25">
      <c r="B2355" t="s">
        <v>2709</v>
      </c>
      <c r="C2355">
        <v>29151290</v>
      </c>
      <c r="E2355">
        <v>68.819999999999993</v>
      </c>
      <c r="F2355">
        <v>0</v>
      </c>
      <c r="G2355">
        <v>0</v>
      </c>
      <c r="H2355" t="s">
        <v>19447</v>
      </c>
      <c r="I2355" t="s">
        <v>19447</v>
      </c>
      <c r="J2355">
        <v>2</v>
      </c>
      <c r="L2355" t="s">
        <v>2709</v>
      </c>
      <c r="M2355">
        <v>29151290</v>
      </c>
      <c r="O2355" t="s">
        <v>20028</v>
      </c>
      <c r="P2355" t="s">
        <v>19900</v>
      </c>
      <c r="Q2355" t="s">
        <v>19900</v>
      </c>
      <c r="R2355" t="s">
        <v>19447</v>
      </c>
      <c r="S2355" t="s">
        <v>19447</v>
      </c>
      <c r="T2355" t="s">
        <v>19901</v>
      </c>
    </row>
    <row r="2356" spans="2:20" x14ac:dyDescent="0.25">
      <c r="B2356" t="s">
        <v>2709</v>
      </c>
      <c r="C2356">
        <v>29151310</v>
      </c>
      <c r="E2356">
        <v>68.819999999999993</v>
      </c>
      <c r="F2356">
        <v>0</v>
      </c>
      <c r="G2356">
        <v>0</v>
      </c>
      <c r="H2356" t="s">
        <v>19447</v>
      </c>
      <c r="I2356" t="s">
        <v>19447</v>
      </c>
      <c r="J2356">
        <v>12</v>
      </c>
      <c r="L2356" t="s">
        <v>2709</v>
      </c>
      <c r="M2356">
        <v>29151310</v>
      </c>
      <c r="O2356" t="s">
        <v>20028</v>
      </c>
      <c r="P2356" t="s">
        <v>19900</v>
      </c>
      <c r="Q2356" t="s">
        <v>19900</v>
      </c>
      <c r="R2356" t="s">
        <v>19447</v>
      </c>
      <c r="S2356" t="s">
        <v>19447</v>
      </c>
      <c r="T2356" t="s">
        <v>19903</v>
      </c>
    </row>
    <row r="2357" spans="2:20" x14ac:dyDescent="0.25">
      <c r="B2357" t="s">
        <v>2709</v>
      </c>
      <c r="C2357">
        <v>29151390</v>
      </c>
      <c r="E2357">
        <v>68.819999999999993</v>
      </c>
      <c r="F2357">
        <v>0</v>
      </c>
      <c r="G2357">
        <v>0</v>
      </c>
      <c r="H2357" t="s">
        <v>19447</v>
      </c>
      <c r="I2357" t="s">
        <v>19447</v>
      </c>
      <c r="J2357">
        <v>2</v>
      </c>
      <c r="L2357" t="s">
        <v>2709</v>
      </c>
      <c r="M2357">
        <v>29151390</v>
      </c>
      <c r="O2357" t="s">
        <v>20028</v>
      </c>
      <c r="P2357" t="s">
        <v>19900</v>
      </c>
      <c r="Q2357" t="s">
        <v>19900</v>
      </c>
      <c r="R2357" t="s">
        <v>19447</v>
      </c>
      <c r="S2357" t="s">
        <v>19447</v>
      </c>
      <c r="T2357" t="s">
        <v>19901</v>
      </c>
    </row>
    <row r="2358" spans="2:20" x14ac:dyDescent="0.25">
      <c r="B2358" t="s">
        <v>2709</v>
      </c>
      <c r="C2358">
        <v>29152100</v>
      </c>
      <c r="E2358">
        <v>68.819999999999993</v>
      </c>
      <c r="F2358">
        <v>0</v>
      </c>
      <c r="G2358">
        <v>0</v>
      </c>
      <c r="H2358" t="s">
        <v>19447</v>
      </c>
      <c r="I2358" t="s">
        <v>19447</v>
      </c>
      <c r="J2358">
        <v>2</v>
      </c>
      <c r="L2358" t="s">
        <v>2709</v>
      </c>
      <c r="M2358">
        <v>29152100</v>
      </c>
      <c r="O2358" t="s">
        <v>20028</v>
      </c>
      <c r="P2358" t="s">
        <v>19900</v>
      </c>
      <c r="Q2358" t="s">
        <v>19900</v>
      </c>
      <c r="R2358" t="s">
        <v>19447</v>
      </c>
      <c r="S2358" t="s">
        <v>19447</v>
      </c>
      <c r="T2358" t="s">
        <v>19901</v>
      </c>
    </row>
    <row r="2359" spans="2:20" x14ac:dyDescent="0.25">
      <c r="B2359" t="s">
        <v>2709</v>
      </c>
      <c r="C2359">
        <v>29152400</v>
      </c>
      <c r="E2359">
        <v>68.819999999999993</v>
      </c>
      <c r="F2359">
        <v>0</v>
      </c>
      <c r="G2359">
        <v>0</v>
      </c>
      <c r="H2359" t="s">
        <v>19447</v>
      </c>
      <c r="I2359" t="s">
        <v>19447</v>
      </c>
      <c r="J2359">
        <v>12</v>
      </c>
      <c r="L2359" t="s">
        <v>2709</v>
      </c>
      <c r="M2359">
        <v>29152400</v>
      </c>
      <c r="O2359" t="s">
        <v>20028</v>
      </c>
      <c r="P2359" t="s">
        <v>19900</v>
      </c>
      <c r="Q2359" t="s">
        <v>19900</v>
      </c>
      <c r="R2359" t="s">
        <v>19447</v>
      </c>
      <c r="S2359" t="s">
        <v>19447</v>
      </c>
      <c r="T2359" t="s">
        <v>19903</v>
      </c>
    </row>
    <row r="2360" spans="2:20" x14ac:dyDescent="0.25">
      <c r="B2360" t="s">
        <v>2709</v>
      </c>
      <c r="C2360">
        <v>29152910</v>
      </c>
      <c r="E2360">
        <v>68.819999999999993</v>
      </c>
      <c r="F2360">
        <v>0</v>
      </c>
      <c r="G2360">
        <v>0</v>
      </c>
      <c r="H2360" t="s">
        <v>19447</v>
      </c>
      <c r="I2360" t="s">
        <v>19447</v>
      </c>
      <c r="J2360">
        <v>12</v>
      </c>
      <c r="L2360" t="s">
        <v>2709</v>
      </c>
      <c r="M2360">
        <v>29152910</v>
      </c>
      <c r="O2360" t="s">
        <v>20028</v>
      </c>
      <c r="P2360" t="s">
        <v>19900</v>
      </c>
      <c r="Q2360" t="s">
        <v>19900</v>
      </c>
      <c r="R2360" t="s">
        <v>19447</v>
      </c>
      <c r="S2360" t="s">
        <v>19447</v>
      </c>
      <c r="T2360" t="s">
        <v>19903</v>
      </c>
    </row>
    <row r="2361" spans="2:20" x14ac:dyDescent="0.25">
      <c r="B2361" t="s">
        <v>2709</v>
      </c>
      <c r="C2361">
        <v>29152920</v>
      </c>
      <c r="E2361">
        <v>68.819999999999993</v>
      </c>
      <c r="F2361">
        <v>0</v>
      </c>
      <c r="G2361">
        <v>0</v>
      </c>
      <c r="H2361" t="s">
        <v>19447</v>
      </c>
      <c r="I2361" t="s">
        <v>19447</v>
      </c>
      <c r="J2361">
        <v>12</v>
      </c>
      <c r="L2361" t="s">
        <v>2709</v>
      </c>
      <c r="M2361">
        <v>29152920</v>
      </c>
      <c r="O2361" t="s">
        <v>20028</v>
      </c>
      <c r="P2361" t="s">
        <v>19900</v>
      </c>
      <c r="Q2361" t="s">
        <v>19900</v>
      </c>
      <c r="R2361" t="s">
        <v>19447</v>
      </c>
      <c r="S2361" t="s">
        <v>19447</v>
      </c>
      <c r="T2361" t="s">
        <v>19903</v>
      </c>
    </row>
    <row r="2362" spans="2:20" x14ac:dyDescent="0.25">
      <c r="B2362" t="s">
        <v>2709</v>
      </c>
      <c r="C2362">
        <v>29152990</v>
      </c>
      <c r="E2362">
        <v>68.819999999999993</v>
      </c>
      <c r="F2362">
        <v>0</v>
      </c>
      <c r="G2362">
        <v>0</v>
      </c>
      <c r="H2362" t="s">
        <v>19447</v>
      </c>
      <c r="I2362" t="s">
        <v>19447</v>
      </c>
      <c r="J2362">
        <v>12</v>
      </c>
      <c r="L2362" t="s">
        <v>2709</v>
      </c>
      <c r="M2362">
        <v>29152990</v>
      </c>
      <c r="O2362" t="s">
        <v>20028</v>
      </c>
      <c r="P2362" t="s">
        <v>19900</v>
      </c>
      <c r="Q2362" t="s">
        <v>19900</v>
      </c>
      <c r="R2362" t="s">
        <v>19447</v>
      </c>
      <c r="S2362" t="s">
        <v>19447</v>
      </c>
      <c r="T2362" t="s">
        <v>19903</v>
      </c>
    </row>
    <row r="2363" spans="2:20" x14ac:dyDescent="0.25">
      <c r="B2363" t="s">
        <v>2709</v>
      </c>
      <c r="C2363">
        <v>29153100</v>
      </c>
      <c r="E2363">
        <v>68.819999999999993</v>
      </c>
      <c r="F2363">
        <v>0</v>
      </c>
      <c r="G2363">
        <v>0</v>
      </c>
      <c r="H2363" t="s">
        <v>19447</v>
      </c>
      <c r="I2363" t="s">
        <v>19447</v>
      </c>
      <c r="J2363">
        <v>12</v>
      </c>
      <c r="L2363" t="s">
        <v>2709</v>
      </c>
      <c r="M2363">
        <v>29153100</v>
      </c>
      <c r="O2363" t="s">
        <v>20028</v>
      </c>
      <c r="P2363" t="s">
        <v>19900</v>
      </c>
      <c r="Q2363" t="s">
        <v>19900</v>
      </c>
      <c r="R2363" t="s">
        <v>19447</v>
      </c>
      <c r="S2363" t="s">
        <v>19447</v>
      </c>
      <c r="T2363" t="s">
        <v>19903</v>
      </c>
    </row>
    <row r="2364" spans="2:20" x14ac:dyDescent="0.25">
      <c r="B2364" t="s">
        <v>2709</v>
      </c>
      <c r="C2364">
        <v>29153200</v>
      </c>
      <c r="E2364">
        <v>68.819999999999993</v>
      </c>
      <c r="F2364">
        <v>0</v>
      </c>
      <c r="G2364">
        <v>0</v>
      </c>
      <c r="H2364" t="s">
        <v>19447</v>
      </c>
      <c r="I2364" t="s">
        <v>19447</v>
      </c>
      <c r="J2364">
        <v>2</v>
      </c>
      <c r="L2364" t="s">
        <v>2709</v>
      </c>
      <c r="M2364">
        <v>29153200</v>
      </c>
      <c r="O2364" t="s">
        <v>20028</v>
      </c>
      <c r="P2364" t="s">
        <v>19900</v>
      </c>
      <c r="Q2364" t="s">
        <v>19900</v>
      </c>
      <c r="R2364" t="s">
        <v>19447</v>
      </c>
      <c r="S2364" t="s">
        <v>19447</v>
      </c>
      <c r="T2364" t="s">
        <v>19901</v>
      </c>
    </row>
    <row r="2365" spans="2:20" x14ac:dyDescent="0.25">
      <c r="B2365" t="s">
        <v>2709</v>
      </c>
      <c r="C2365">
        <v>29153300</v>
      </c>
      <c r="E2365">
        <v>68.819999999999993</v>
      </c>
      <c r="F2365">
        <v>0</v>
      </c>
      <c r="G2365">
        <v>0</v>
      </c>
      <c r="H2365" t="s">
        <v>19447</v>
      </c>
      <c r="I2365" t="s">
        <v>19447</v>
      </c>
      <c r="J2365">
        <v>12</v>
      </c>
      <c r="L2365" t="s">
        <v>2709</v>
      </c>
      <c r="M2365">
        <v>29153300</v>
      </c>
      <c r="O2365" t="s">
        <v>20028</v>
      </c>
      <c r="P2365" t="s">
        <v>19900</v>
      </c>
      <c r="Q2365" t="s">
        <v>19900</v>
      </c>
      <c r="R2365" t="s">
        <v>19447</v>
      </c>
      <c r="S2365" t="s">
        <v>19447</v>
      </c>
      <c r="T2365" t="s">
        <v>19903</v>
      </c>
    </row>
    <row r="2366" spans="2:20" x14ac:dyDescent="0.25">
      <c r="B2366" t="s">
        <v>2709</v>
      </c>
      <c r="C2366">
        <v>29153600</v>
      </c>
      <c r="E2366">
        <v>68.819999999999993</v>
      </c>
      <c r="F2366">
        <v>0</v>
      </c>
      <c r="G2366">
        <v>0</v>
      </c>
      <c r="H2366" t="s">
        <v>19447</v>
      </c>
      <c r="I2366" t="s">
        <v>19447</v>
      </c>
      <c r="J2366">
        <v>12</v>
      </c>
      <c r="L2366" t="s">
        <v>2709</v>
      </c>
      <c r="M2366">
        <v>29153600</v>
      </c>
      <c r="O2366" t="s">
        <v>20028</v>
      </c>
      <c r="P2366" t="s">
        <v>19900</v>
      </c>
      <c r="Q2366" t="s">
        <v>19900</v>
      </c>
      <c r="R2366" t="s">
        <v>19447</v>
      </c>
      <c r="S2366" t="s">
        <v>19447</v>
      </c>
      <c r="T2366" t="s">
        <v>19903</v>
      </c>
    </row>
    <row r="2367" spans="2:20" x14ac:dyDescent="0.25">
      <c r="B2367" t="s">
        <v>2709</v>
      </c>
      <c r="C2367">
        <v>29153910</v>
      </c>
      <c r="E2367">
        <v>68.819999999999993</v>
      </c>
      <c r="F2367">
        <v>0</v>
      </c>
      <c r="G2367">
        <v>0</v>
      </c>
      <c r="H2367" t="s">
        <v>19447</v>
      </c>
      <c r="I2367" t="s">
        <v>19447</v>
      </c>
      <c r="J2367">
        <v>2</v>
      </c>
      <c r="L2367" t="s">
        <v>2709</v>
      </c>
      <c r="M2367">
        <v>29153910</v>
      </c>
      <c r="O2367" t="s">
        <v>20028</v>
      </c>
      <c r="P2367" t="s">
        <v>19900</v>
      </c>
      <c r="Q2367" t="s">
        <v>19900</v>
      </c>
      <c r="R2367" t="s">
        <v>19447</v>
      </c>
      <c r="S2367" t="s">
        <v>19447</v>
      </c>
      <c r="T2367" t="s">
        <v>19901</v>
      </c>
    </row>
    <row r="2368" spans="2:20" x14ac:dyDescent="0.25">
      <c r="B2368" t="s">
        <v>2709</v>
      </c>
      <c r="C2368">
        <v>29153921</v>
      </c>
      <c r="E2368">
        <v>68.819999999999993</v>
      </c>
      <c r="F2368">
        <v>0</v>
      </c>
      <c r="G2368">
        <v>0</v>
      </c>
      <c r="H2368" t="s">
        <v>19447</v>
      </c>
      <c r="I2368" t="s">
        <v>19447</v>
      </c>
      <c r="J2368">
        <v>12</v>
      </c>
      <c r="L2368" t="s">
        <v>2709</v>
      </c>
      <c r="M2368">
        <v>29153921</v>
      </c>
      <c r="O2368" t="s">
        <v>20028</v>
      </c>
      <c r="P2368" t="s">
        <v>19900</v>
      </c>
      <c r="Q2368" t="s">
        <v>19900</v>
      </c>
      <c r="R2368" t="s">
        <v>19447</v>
      </c>
      <c r="S2368" t="s">
        <v>19447</v>
      </c>
      <c r="T2368" t="s">
        <v>19903</v>
      </c>
    </row>
    <row r="2369" spans="2:20" x14ac:dyDescent="0.25">
      <c r="B2369" t="s">
        <v>2709</v>
      </c>
      <c r="C2369">
        <v>29153929</v>
      </c>
      <c r="E2369">
        <v>68.819999999999993</v>
      </c>
      <c r="F2369">
        <v>0</v>
      </c>
      <c r="G2369">
        <v>0</v>
      </c>
      <c r="H2369" t="s">
        <v>19447</v>
      </c>
      <c r="I2369" t="s">
        <v>19447</v>
      </c>
      <c r="J2369">
        <v>12</v>
      </c>
      <c r="L2369" t="s">
        <v>2709</v>
      </c>
      <c r="M2369">
        <v>29153929</v>
      </c>
      <c r="O2369" t="s">
        <v>20028</v>
      </c>
      <c r="P2369" t="s">
        <v>19900</v>
      </c>
      <c r="Q2369" t="s">
        <v>19900</v>
      </c>
      <c r="R2369" t="s">
        <v>19447</v>
      </c>
      <c r="S2369" t="s">
        <v>19447</v>
      </c>
      <c r="T2369" t="s">
        <v>19903</v>
      </c>
    </row>
    <row r="2370" spans="2:20" x14ac:dyDescent="0.25">
      <c r="B2370" t="s">
        <v>2709</v>
      </c>
      <c r="C2370">
        <v>29153931</v>
      </c>
      <c r="E2370">
        <v>68.819999999999993</v>
      </c>
      <c r="F2370">
        <v>0</v>
      </c>
      <c r="G2370">
        <v>0</v>
      </c>
      <c r="H2370" t="s">
        <v>19447</v>
      </c>
      <c r="I2370" t="s">
        <v>19447</v>
      </c>
      <c r="J2370">
        <v>2</v>
      </c>
      <c r="L2370" t="s">
        <v>2709</v>
      </c>
      <c r="M2370">
        <v>29153931</v>
      </c>
      <c r="O2370" t="s">
        <v>20028</v>
      </c>
      <c r="P2370" t="s">
        <v>19900</v>
      </c>
      <c r="Q2370" t="s">
        <v>19900</v>
      </c>
      <c r="R2370" t="s">
        <v>19447</v>
      </c>
      <c r="S2370" t="s">
        <v>19447</v>
      </c>
      <c r="T2370" t="s">
        <v>19901</v>
      </c>
    </row>
    <row r="2371" spans="2:20" x14ac:dyDescent="0.25">
      <c r="B2371" t="s">
        <v>2709</v>
      </c>
      <c r="C2371">
        <v>29153932</v>
      </c>
      <c r="E2371">
        <v>68.819999999999993</v>
      </c>
      <c r="F2371">
        <v>0</v>
      </c>
      <c r="G2371">
        <v>0</v>
      </c>
      <c r="H2371" t="s">
        <v>19447</v>
      </c>
      <c r="I2371" t="s">
        <v>19447</v>
      </c>
      <c r="J2371">
        <v>12</v>
      </c>
      <c r="L2371" t="s">
        <v>2709</v>
      </c>
      <c r="M2371">
        <v>29153932</v>
      </c>
      <c r="O2371" t="s">
        <v>20028</v>
      </c>
      <c r="P2371" t="s">
        <v>19900</v>
      </c>
      <c r="Q2371" t="s">
        <v>19900</v>
      </c>
      <c r="R2371" t="s">
        <v>19447</v>
      </c>
      <c r="S2371" t="s">
        <v>19447</v>
      </c>
      <c r="T2371" t="s">
        <v>19903</v>
      </c>
    </row>
    <row r="2372" spans="2:20" x14ac:dyDescent="0.25">
      <c r="B2372" t="s">
        <v>2709</v>
      </c>
      <c r="C2372">
        <v>29153939</v>
      </c>
      <c r="E2372">
        <v>68.819999999999993</v>
      </c>
      <c r="F2372">
        <v>0</v>
      </c>
      <c r="G2372">
        <v>0</v>
      </c>
      <c r="H2372" t="s">
        <v>19447</v>
      </c>
      <c r="I2372" t="s">
        <v>19447</v>
      </c>
      <c r="J2372">
        <v>12</v>
      </c>
      <c r="L2372" t="s">
        <v>2709</v>
      </c>
      <c r="M2372">
        <v>29153939</v>
      </c>
      <c r="O2372" t="s">
        <v>20028</v>
      </c>
      <c r="P2372" t="s">
        <v>19900</v>
      </c>
      <c r="Q2372" t="s">
        <v>19900</v>
      </c>
      <c r="R2372" t="s">
        <v>19447</v>
      </c>
      <c r="S2372" t="s">
        <v>19447</v>
      </c>
      <c r="T2372" t="s">
        <v>19903</v>
      </c>
    </row>
    <row r="2373" spans="2:20" x14ac:dyDescent="0.25">
      <c r="B2373" t="s">
        <v>2709</v>
      </c>
      <c r="C2373">
        <v>29153941</v>
      </c>
      <c r="E2373">
        <v>68.819999999999993</v>
      </c>
      <c r="F2373">
        <v>0</v>
      </c>
      <c r="G2373">
        <v>0</v>
      </c>
      <c r="H2373" t="s">
        <v>19447</v>
      </c>
      <c r="I2373" t="s">
        <v>19447</v>
      </c>
      <c r="J2373">
        <v>2</v>
      </c>
      <c r="L2373" t="s">
        <v>2709</v>
      </c>
      <c r="M2373">
        <v>29153941</v>
      </c>
      <c r="O2373" t="s">
        <v>20028</v>
      </c>
      <c r="P2373" t="s">
        <v>19900</v>
      </c>
      <c r="Q2373" t="s">
        <v>19900</v>
      </c>
      <c r="R2373" t="s">
        <v>19447</v>
      </c>
      <c r="S2373" t="s">
        <v>19447</v>
      </c>
      <c r="T2373" t="s">
        <v>19901</v>
      </c>
    </row>
    <row r="2374" spans="2:20" x14ac:dyDescent="0.25">
      <c r="B2374" t="s">
        <v>2709</v>
      </c>
      <c r="C2374">
        <v>29153942</v>
      </c>
      <c r="E2374">
        <v>68.819999999999993</v>
      </c>
      <c r="F2374">
        <v>0</v>
      </c>
      <c r="G2374">
        <v>0</v>
      </c>
      <c r="H2374" t="s">
        <v>19447</v>
      </c>
      <c r="I2374" t="s">
        <v>19447</v>
      </c>
      <c r="J2374">
        <v>2</v>
      </c>
      <c r="L2374" t="s">
        <v>2709</v>
      </c>
      <c r="M2374">
        <v>29153942</v>
      </c>
      <c r="O2374" t="s">
        <v>20028</v>
      </c>
      <c r="P2374" t="s">
        <v>19900</v>
      </c>
      <c r="Q2374" t="s">
        <v>19900</v>
      </c>
      <c r="R2374" t="s">
        <v>19447</v>
      </c>
      <c r="S2374" t="s">
        <v>19447</v>
      </c>
      <c r="T2374" t="s">
        <v>19901</v>
      </c>
    </row>
    <row r="2375" spans="2:20" x14ac:dyDescent="0.25">
      <c r="B2375" t="s">
        <v>2709</v>
      </c>
      <c r="C2375">
        <v>29153951</v>
      </c>
      <c r="E2375">
        <v>68.819999999999993</v>
      </c>
      <c r="F2375">
        <v>0</v>
      </c>
      <c r="G2375">
        <v>0</v>
      </c>
      <c r="H2375" t="s">
        <v>19447</v>
      </c>
      <c r="I2375" t="s">
        <v>19447</v>
      </c>
      <c r="J2375">
        <v>2</v>
      </c>
      <c r="L2375" t="s">
        <v>2709</v>
      </c>
      <c r="M2375">
        <v>29153951</v>
      </c>
      <c r="O2375" t="s">
        <v>20028</v>
      </c>
      <c r="P2375" t="s">
        <v>19900</v>
      </c>
      <c r="Q2375" t="s">
        <v>19900</v>
      </c>
      <c r="R2375" t="s">
        <v>19447</v>
      </c>
      <c r="S2375" t="s">
        <v>19447</v>
      </c>
      <c r="T2375" t="s">
        <v>19901</v>
      </c>
    </row>
    <row r="2376" spans="2:20" x14ac:dyDescent="0.25">
      <c r="B2376" t="s">
        <v>2709</v>
      </c>
      <c r="C2376">
        <v>29153952</v>
      </c>
      <c r="E2376">
        <v>68.819999999999993</v>
      </c>
      <c r="F2376">
        <v>0</v>
      </c>
      <c r="G2376">
        <v>0</v>
      </c>
      <c r="H2376" t="s">
        <v>19447</v>
      </c>
      <c r="I2376" t="s">
        <v>19447</v>
      </c>
      <c r="J2376">
        <v>2</v>
      </c>
      <c r="L2376" t="s">
        <v>2709</v>
      </c>
      <c r="M2376">
        <v>29153952</v>
      </c>
      <c r="O2376" t="s">
        <v>20028</v>
      </c>
      <c r="P2376" t="s">
        <v>19900</v>
      </c>
      <c r="Q2376" t="s">
        <v>19900</v>
      </c>
      <c r="R2376" t="s">
        <v>19447</v>
      </c>
      <c r="S2376" t="s">
        <v>19447</v>
      </c>
      <c r="T2376" t="s">
        <v>19901</v>
      </c>
    </row>
    <row r="2377" spans="2:20" x14ac:dyDescent="0.25">
      <c r="B2377" t="s">
        <v>2709</v>
      </c>
      <c r="C2377">
        <v>29153953</v>
      </c>
      <c r="E2377">
        <v>68.819999999999993</v>
      </c>
      <c r="F2377">
        <v>0</v>
      </c>
      <c r="G2377">
        <v>0</v>
      </c>
      <c r="H2377" t="s">
        <v>19447</v>
      </c>
      <c r="I2377" t="s">
        <v>19447</v>
      </c>
      <c r="J2377">
        <v>2</v>
      </c>
      <c r="L2377" t="s">
        <v>2709</v>
      </c>
      <c r="M2377">
        <v>29153953</v>
      </c>
      <c r="O2377" t="s">
        <v>20028</v>
      </c>
      <c r="P2377" t="s">
        <v>19900</v>
      </c>
      <c r="Q2377" t="s">
        <v>19900</v>
      </c>
      <c r="R2377" t="s">
        <v>19447</v>
      </c>
      <c r="S2377" t="s">
        <v>19447</v>
      </c>
      <c r="T2377" t="s">
        <v>19901</v>
      </c>
    </row>
    <row r="2378" spans="2:20" x14ac:dyDescent="0.25">
      <c r="B2378" t="s">
        <v>2709</v>
      </c>
      <c r="C2378">
        <v>29153954</v>
      </c>
      <c r="E2378">
        <v>68.819999999999993</v>
      </c>
      <c r="F2378">
        <v>0</v>
      </c>
      <c r="G2378">
        <v>0</v>
      </c>
      <c r="H2378" t="s">
        <v>19447</v>
      </c>
      <c r="I2378" t="s">
        <v>19447</v>
      </c>
      <c r="J2378">
        <v>2</v>
      </c>
      <c r="L2378" t="s">
        <v>2709</v>
      </c>
      <c r="M2378">
        <v>29153954</v>
      </c>
      <c r="O2378" t="s">
        <v>20028</v>
      </c>
      <c r="P2378" t="s">
        <v>19900</v>
      </c>
      <c r="Q2378" t="s">
        <v>19900</v>
      </c>
      <c r="R2378" t="s">
        <v>19447</v>
      </c>
      <c r="S2378" t="s">
        <v>19447</v>
      </c>
      <c r="T2378" t="s">
        <v>19901</v>
      </c>
    </row>
    <row r="2379" spans="2:20" x14ac:dyDescent="0.25">
      <c r="B2379" t="s">
        <v>2709</v>
      </c>
      <c r="C2379">
        <v>29153955</v>
      </c>
      <c r="E2379">
        <v>68.819999999999993</v>
      </c>
      <c r="F2379">
        <v>0</v>
      </c>
      <c r="G2379">
        <v>0</v>
      </c>
      <c r="H2379" t="s">
        <v>19447</v>
      </c>
      <c r="I2379" t="s">
        <v>19447</v>
      </c>
      <c r="J2379">
        <v>2</v>
      </c>
      <c r="L2379" t="s">
        <v>2709</v>
      </c>
      <c r="M2379">
        <v>29153955</v>
      </c>
      <c r="O2379" t="s">
        <v>20028</v>
      </c>
      <c r="P2379" t="s">
        <v>19900</v>
      </c>
      <c r="Q2379" t="s">
        <v>19900</v>
      </c>
      <c r="R2379" t="s">
        <v>19447</v>
      </c>
      <c r="S2379" t="s">
        <v>19447</v>
      </c>
      <c r="T2379" t="s">
        <v>19901</v>
      </c>
    </row>
    <row r="2380" spans="2:20" x14ac:dyDescent="0.25">
      <c r="B2380" t="s">
        <v>2709</v>
      </c>
      <c r="C2380">
        <v>29153961</v>
      </c>
      <c r="E2380">
        <v>68.819999999999993</v>
      </c>
      <c r="F2380">
        <v>0</v>
      </c>
      <c r="G2380">
        <v>0</v>
      </c>
      <c r="H2380" t="s">
        <v>19447</v>
      </c>
      <c r="I2380" t="s">
        <v>19447</v>
      </c>
      <c r="J2380">
        <v>2</v>
      </c>
      <c r="L2380" t="s">
        <v>2709</v>
      </c>
      <c r="M2380">
        <v>29153961</v>
      </c>
      <c r="O2380" t="s">
        <v>20028</v>
      </c>
      <c r="P2380" t="s">
        <v>19900</v>
      </c>
      <c r="Q2380" t="s">
        <v>19900</v>
      </c>
      <c r="R2380" t="s">
        <v>19447</v>
      </c>
      <c r="S2380" t="s">
        <v>19447</v>
      </c>
      <c r="T2380" t="s">
        <v>19901</v>
      </c>
    </row>
    <row r="2381" spans="2:20" x14ac:dyDescent="0.25">
      <c r="B2381" t="s">
        <v>2709</v>
      </c>
      <c r="C2381">
        <v>29153962</v>
      </c>
      <c r="E2381">
        <v>68.819999999999993</v>
      </c>
      <c r="F2381">
        <v>0</v>
      </c>
      <c r="G2381">
        <v>0</v>
      </c>
      <c r="H2381" t="s">
        <v>19447</v>
      </c>
      <c r="I2381" t="s">
        <v>19447</v>
      </c>
      <c r="J2381">
        <v>2</v>
      </c>
      <c r="L2381" t="s">
        <v>2709</v>
      </c>
      <c r="M2381">
        <v>29153962</v>
      </c>
      <c r="O2381" t="s">
        <v>20028</v>
      </c>
      <c r="P2381" t="s">
        <v>19900</v>
      </c>
      <c r="Q2381" t="s">
        <v>19900</v>
      </c>
      <c r="R2381" t="s">
        <v>19447</v>
      </c>
      <c r="S2381" t="s">
        <v>19447</v>
      </c>
      <c r="T2381" t="s">
        <v>19901</v>
      </c>
    </row>
    <row r="2382" spans="2:20" x14ac:dyDescent="0.25">
      <c r="B2382" t="s">
        <v>2709</v>
      </c>
      <c r="C2382">
        <v>29153963</v>
      </c>
      <c r="E2382">
        <v>68.819999999999993</v>
      </c>
      <c r="F2382">
        <v>0</v>
      </c>
      <c r="G2382">
        <v>0</v>
      </c>
      <c r="H2382" t="s">
        <v>19447</v>
      </c>
      <c r="I2382" t="s">
        <v>19447</v>
      </c>
      <c r="J2382">
        <v>2</v>
      </c>
      <c r="L2382" t="s">
        <v>2709</v>
      </c>
      <c r="M2382">
        <v>29153963</v>
      </c>
      <c r="O2382" t="s">
        <v>20028</v>
      </c>
      <c r="P2382" t="s">
        <v>19900</v>
      </c>
      <c r="Q2382" t="s">
        <v>19900</v>
      </c>
      <c r="R2382" t="s">
        <v>19447</v>
      </c>
      <c r="S2382" t="s">
        <v>19447</v>
      </c>
      <c r="T2382" t="s">
        <v>19901</v>
      </c>
    </row>
    <row r="2383" spans="2:20" x14ac:dyDescent="0.25">
      <c r="B2383" t="s">
        <v>2709</v>
      </c>
      <c r="C2383">
        <v>29153991</v>
      </c>
      <c r="E2383">
        <v>68.819999999999993</v>
      </c>
      <c r="F2383">
        <v>0</v>
      </c>
      <c r="G2383">
        <v>0</v>
      </c>
      <c r="H2383" t="s">
        <v>19447</v>
      </c>
      <c r="I2383" t="s">
        <v>19447</v>
      </c>
      <c r="J2383">
        <v>2</v>
      </c>
      <c r="L2383" t="s">
        <v>2709</v>
      </c>
      <c r="M2383">
        <v>29153991</v>
      </c>
      <c r="O2383" t="s">
        <v>20028</v>
      </c>
      <c r="P2383" t="s">
        <v>19900</v>
      </c>
      <c r="Q2383" t="s">
        <v>19900</v>
      </c>
      <c r="R2383" t="s">
        <v>19447</v>
      </c>
      <c r="S2383" t="s">
        <v>19447</v>
      </c>
      <c r="T2383" t="s">
        <v>19901</v>
      </c>
    </row>
    <row r="2384" spans="2:20" x14ac:dyDescent="0.25">
      <c r="B2384" t="s">
        <v>2709</v>
      </c>
      <c r="C2384">
        <v>29153992</v>
      </c>
      <c r="E2384">
        <v>68.819999999999993</v>
      </c>
      <c r="F2384">
        <v>0</v>
      </c>
      <c r="G2384">
        <v>0</v>
      </c>
      <c r="H2384" t="s">
        <v>19447</v>
      </c>
      <c r="I2384" t="s">
        <v>19447</v>
      </c>
      <c r="J2384">
        <v>2</v>
      </c>
      <c r="L2384" t="s">
        <v>2709</v>
      </c>
      <c r="M2384">
        <v>29153992</v>
      </c>
      <c r="O2384" t="s">
        <v>20028</v>
      </c>
      <c r="P2384" t="s">
        <v>19900</v>
      </c>
      <c r="Q2384" t="s">
        <v>19900</v>
      </c>
      <c r="R2384" t="s">
        <v>19447</v>
      </c>
      <c r="S2384" t="s">
        <v>19447</v>
      </c>
      <c r="T2384" t="s">
        <v>19901</v>
      </c>
    </row>
    <row r="2385" spans="2:20" x14ac:dyDescent="0.25">
      <c r="B2385" t="s">
        <v>2709</v>
      </c>
      <c r="C2385">
        <v>29153993</v>
      </c>
      <c r="E2385">
        <v>68.819999999999993</v>
      </c>
      <c r="F2385">
        <v>0</v>
      </c>
      <c r="G2385">
        <v>0</v>
      </c>
      <c r="H2385" t="s">
        <v>19447</v>
      </c>
      <c r="I2385" t="s">
        <v>19447</v>
      </c>
      <c r="J2385">
        <v>2</v>
      </c>
      <c r="L2385" t="s">
        <v>2709</v>
      </c>
      <c r="M2385">
        <v>29153993</v>
      </c>
      <c r="O2385" t="s">
        <v>20028</v>
      </c>
      <c r="P2385" t="s">
        <v>19900</v>
      </c>
      <c r="Q2385" t="s">
        <v>19900</v>
      </c>
      <c r="R2385" t="s">
        <v>19447</v>
      </c>
      <c r="S2385" t="s">
        <v>19447</v>
      </c>
      <c r="T2385" t="s">
        <v>19901</v>
      </c>
    </row>
    <row r="2386" spans="2:20" x14ac:dyDescent="0.25">
      <c r="B2386" t="s">
        <v>2709</v>
      </c>
      <c r="C2386">
        <v>29153994</v>
      </c>
      <c r="E2386">
        <v>68.819999999999993</v>
      </c>
      <c r="F2386">
        <v>0</v>
      </c>
      <c r="G2386">
        <v>0</v>
      </c>
      <c r="H2386" t="s">
        <v>19447</v>
      </c>
      <c r="I2386" t="s">
        <v>19447</v>
      </c>
      <c r="J2386">
        <v>2</v>
      </c>
      <c r="L2386" t="s">
        <v>2709</v>
      </c>
      <c r="M2386">
        <v>29153994</v>
      </c>
      <c r="O2386" t="s">
        <v>20028</v>
      </c>
      <c r="P2386" t="s">
        <v>19900</v>
      </c>
      <c r="Q2386" t="s">
        <v>19900</v>
      </c>
      <c r="R2386" t="s">
        <v>19447</v>
      </c>
      <c r="S2386" t="s">
        <v>19447</v>
      </c>
      <c r="T2386" t="s">
        <v>19901</v>
      </c>
    </row>
    <row r="2387" spans="2:20" x14ac:dyDescent="0.25">
      <c r="B2387" t="s">
        <v>2709</v>
      </c>
      <c r="C2387">
        <v>29153999</v>
      </c>
      <c r="E2387">
        <v>68.819999999999993</v>
      </c>
      <c r="F2387">
        <v>0</v>
      </c>
      <c r="G2387">
        <v>0</v>
      </c>
      <c r="H2387" t="s">
        <v>19447</v>
      </c>
      <c r="I2387" t="s">
        <v>19447</v>
      </c>
      <c r="J2387">
        <v>12</v>
      </c>
      <c r="L2387" t="s">
        <v>2709</v>
      </c>
      <c r="M2387">
        <v>29153999</v>
      </c>
      <c r="O2387" t="s">
        <v>20028</v>
      </c>
      <c r="P2387" t="s">
        <v>19900</v>
      </c>
      <c r="Q2387" t="s">
        <v>19900</v>
      </c>
      <c r="R2387" t="s">
        <v>19447</v>
      </c>
      <c r="S2387" t="s">
        <v>19447</v>
      </c>
      <c r="T2387" t="s">
        <v>19903</v>
      </c>
    </row>
    <row r="2388" spans="2:20" x14ac:dyDescent="0.25">
      <c r="B2388" t="s">
        <v>2709</v>
      </c>
      <c r="C2388">
        <v>29154010</v>
      </c>
      <c r="E2388">
        <v>68.819999999999993</v>
      </c>
      <c r="F2388">
        <v>0</v>
      </c>
      <c r="G2388">
        <v>0</v>
      </c>
      <c r="H2388" t="s">
        <v>19447</v>
      </c>
      <c r="I2388" t="s">
        <v>19447</v>
      </c>
      <c r="J2388">
        <v>2</v>
      </c>
      <c r="L2388" t="s">
        <v>2709</v>
      </c>
      <c r="M2388">
        <v>29154010</v>
      </c>
      <c r="O2388" t="s">
        <v>20028</v>
      </c>
      <c r="P2388" t="s">
        <v>19900</v>
      </c>
      <c r="Q2388" t="s">
        <v>19900</v>
      </c>
      <c r="R2388" t="s">
        <v>19447</v>
      </c>
      <c r="S2388" t="s">
        <v>19447</v>
      </c>
      <c r="T2388" t="s">
        <v>19901</v>
      </c>
    </row>
    <row r="2389" spans="2:20" x14ac:dyDescent="0.25">
      <c r="B2389" t="s">
        <v>2709</v>
      </c>
      <c r="C2389">
        <v>29154020</v>
      </c>
      <c r="E2389">
        <v>68.819999999999993</v>
      </c>
      <c r="F2389">
        <v>0</v>
      </c>
      <c r="G2389">
        <v>0</v>
      </c>
      <c r="H2389" t="s">
        <v>19447</v>
      </c>
      <c r="I2389" t="s">
        <v>19447</v>
      </c>
      <c r="J2389">
        <v>12</v>
      </c>
      <c r="L2389" t="s">
        <v>2709</v>
      </c>
      <c r="M2389">
        <v>29154020</v>
      </c>
      <c r="O2389" t="s">
        <v>20028</v>
      </c>
      <c r="P2389" t="s">
        <v>19900</v>
      </c>
      <c r="Q2389" t="s">
        <v>19900</v>
      </c>
      <c r="R2389" t="s">
        <v>19447</v>
      </c>
      <c r="S2389" t="s">
        <v>19447</v>
      </c>
      <c r="T2389" t="s">
        <v>19903</v>
      </c>
    </row>
    <row r="2390" spans="2:20" x14ac:dyDescent="0.25">
      <c r="B2390" t="s">
        <v>2709</v>
      </c>
      <c r="C2390">
        <v>29154090</v>
      </c>
      <c r="E2390">
        <v>68.819999999999993</v>
      </c>
      <c r="F2390">
        <v>0</v>
      </c>
      <c r="G2390">
        <v>0</v>
      </c>
      <c r="H2390" t="s">
        <v>19447</v>
      </c>
      <c r="I2390" t="s">
        <v>19447</v>
      </c>
      <c r="J2390">
        <v>2</v>
      </c>
      <c r="L2390" t="s">
        <v>2709</v>
      </c>
      <c r="M2390">
        <v>29154090</v>
      </c>
      <c r="O2390" t="s">
        <v>20028</v>
      </c>
      <c r="P2390" t="s">
        <v>19900</v>
      </c>
      <c r="Q2390" t="s">
        <v>19900</v>
      </c>
      <c r="R2390" t="s">
        <v>19447</v>
      </c>
      <c r="S2390" t="s">
        <v>19447</v>
      </c>
      <c r="T2390" t="s">
        <v>19901</v>
      </c>
    </row>
    <row r="2391" spans="2:20" x14ac:dyDescent="0.25">
      <c r="B2391" t="s">
        <v>2709</v>
      </c>
      <c r="C2391">
        <v>29155010</v>
      </c>
      <c r="E2391">
        <v>68.819999999999993</v>
      </c>
      <c r="F2391">
        <v>0</v>
      </c>
      <c r="G2391">
        <v>0</v>
      </c>
      <c r="H2391" t="s">
        <v>19447</v>
      </c>
      <c r="I2391" t="s">
        <v>19447</v>
      </c>
      <c r="J2391">
        <v>2</v>
      </c>
      <c r="L2391" t="s">
        <v>2709</v>
      </c>
      <c r="M2391">
        <v>29155010</v>
      </c>
      <c r="O2391" t="s">
        <v>20028</v>
      </c>
      <c r="P2391" t="s">
        <v>19900</v>
      </c>
      <c r="Q2391" t="s">
        <v>19900</v>
      </c>
      <c r="R2391" t="s">
        <v>19447</v>
      </c>
      <c r="S2391" t="s">
        <v>19447</v>
      </c>
      <c r="T2391" t="s">
        <v>19901</v>
      </c>
    </row>
    <row r="2392" spans="2:20" x14ac:dyDescent="0.25">
      <c r="B2392" t="s">
        <v>2709</v>
      </c>
      <c r="C2392">
        <v>29155020</v>
      </c>
      <c r="E2392">
        <v>68.819999999999993</v>
      </c>
      <c r="F2392">
        <v>0</v>
      </c>
      <c r="G2392">
        <v>0</v>
      </c>
      <c r="H2392" t="s">
        <v>19447</v>
      </c>
      <c r="I2392" t="s">
        <v>19447</v>
      </c>
      <c r="J2392">
        <v>12</v>
      </c>
      <c r="L2392" t="s">
        <v>2709</v>
      </c>
      <c r="M2392">
        <v>29155020</v>
      </c>
      <c r="O2392" t="s">
        <v>20028</v>
      </c>
      <c r="P2392" t="s">
        <v>19900</v>
      </c>
      <c r="Q2392" t="s">
        <v>19900</v>
      </c>
      <c r="R2392" t="s">
        <v>19447</v>
      </c>
      <c r="S2392" t="s">
        <v>19447</v>
      </c>
      <c r="T2392" t="s">
        <v>19903</v>
      </c>
    </row>
    <row r="2393" spans="2:20" x14ac:dyDescent="0.25">
      <c r="B2393" t="s">
        <v>2709</v>
      </c>
      <c r="C2393">
        <v>29155030</v>
      </c>
      <c r="E2393">
        <v>68.819999999999993</v>
      </c>
      <c r="F2393">
        <v>0</v>
      </c>
      <c r="G2393">
        <v>0</v>
      </c>
      <c r="H2393" t="s">
        <v>19447</v>
      </c>
      <c r="I2393" t="s">
        <v>19447</v>
      </c>
      <c r="J2393">
        <v>2</v>
      </c>
      <c r="L2393" t="s">
        <v>2709</v>
      </c>
      <c r="M2393">
        <v>29155030</v>
      </c>
      <c r="O2393" t="s">
        <v>20028</v>
      </c>
      <c r="P2393" t="s">
        <v>19900</v>
      </c>
      <c r="Q2393" t="s">
        <v>19900</v>
      </c>
      <c r="R2393" t="s">
        <v>19447</v>
      </c>
      <c r="S2393" t="s">
        <v>19447</v>
      </c>
      <c r="T2393" t="s">
        <v>19901</v>
      </c>
    </row>
    <row r="2394" spans="2:20" x14ac:dyDescent="0.25">
      <c r="B2394" t="s">
        <v>2709</v>
      </c>
      <c r="C2394">
        <v>29156011</v>
      </c>
      <c r="E2394">
        <v>68.819999999999993</v>
      </c>
      <c r="F2394">
        <v>0</v>
      </c>
      <c r="G2394">
        <v>0</v>
      </c>
      <c r="H2394" t="s">
        <v>19447</v>
      </c>
      <c r="I2394" t="s">
        <v>19447</v>
      </c>
      <c r="J2394">
        <v>2</v>
      </c>
      <c r="L2394" t="s">
        <v>2709</v>
      </c>
      <c r="M2394">
        <v>29156011</v>
      </c>
      <c r="O2394" t="s">
        <v>20028</v>
      </c>
      <c r="P2394" t="s">
        <v>19900</v>
      </c>
      <c r="Q2394" t="s">
        <v>19900</v>
      </c>
      <c r="R2394" t="s">
        <v>19447</v>
      </c>
      <c r="S2394" t="s">
        <v>19447</v>
      </c>
      <c r="T2394" t="s">
        <v>19901</v>
      </c>
    </row>
    <row r="2395" spans="2:20" x14ac:dyDescent="0.25">
      <c r="B2395" t="s">
        <v>2709</v>
      </c>
      <c r="C2395">
        <v>29156012</v>
      </c>
      <c r="E2395">
        <v>68.819999999999993</v>
      </c>
      <c r="F2395">
        <v>0</v>
      </c>
      <c r="G2395">
        <v>0</v>
      </c>
      <c r="H2395" t="s">
        <v>19447</v>
      </c>
      <c r="I2395" t="s">
        <v>19447</v>
      </c>
      <c r="J2395">
        <v>2</v>
      </c>
      <c r="L2395" t="s">
        <v>2709</v>
      </c>
      <c r="M2395">
        <v>29156012</v>
      </c>
      <c r="O2395" t="s">
        <v>20028</v>
      </c>
      <c r="P2395" t="s">
        <v>19900</v>
      </c>
      <c r="Q2395" t="s">
        <v>19900</v>
      </c>
      <c r="R2395" t="s">
        <v>19447</v>
      </c>
      <c r="S2395" t="s">
        <v>19447</v>
      </c>
      <c r="T2395" t="s">
        <v>19901</v>
      </c>
    </row>
    <row r="2396" spans="2:20" x14ac:dyDescent="0.25">
      <c r="B2396" t="s">
        <v>2709</v>
      </c>
      <c r="C2396">
        <v>29156019</v>
      </c>
      <c r="E2396">
        <v>68.819999999999993</v>
      </c>
      <c r="F2396">
        <v>0</v>
      </c>
      <c r="G2396">
        <v>0</v>
      </c>
      <c r="H2396" t="s">
        <v>19447</v>
      </c>
      <c r="I2396" t="s">
        <v>19447</v>
      </c>
      <c r="J2396">
        <v>2</v>
      </c>
      <c r="L2396" t="s">
        <v>2709</v>
      </c>
      <c r="M2396">
        <v>29156019</v>
      </c>
      <c r="O2396" t="s">
        <v>20028</v>
      </c>
      <c r="P2396" t="s">
        <v>19900</v>
      </c>
      <c r="Q2396" t="s">
        <v>19900</v>
      </c>
      <c r="R2396" t="s">
        <v>19447</v>
      </c>
      <c r="S2396" t="s">
        <v>19447</v>
      </c>
      <c r="T2396" t="s">
        <v>19901</v>
      </c>
    </row>
    <row r="2397" spans="2:20" x14ac:dyDescent="0.25">
      <c r="B2397" t="s">
        <v>2709</v>
      </c>
      <c r="C2397">
        <v>29156021</v>
      </c>
      <c r="E2397">
        <v>68.819999999999993</v>
      </c>
      <c r="F2397">
        <v>0</v>
      </c>
      <c r="G2397">
        <v>0</v>
      </c>
      <c r="H2397" t="s">
        <v>19447</v>
      </c>
      <c r="I2397" t="s">
        <v>19447</v>
      </c>
      <c r="J2397">
        <v>2</v>
      </c>
      <c r="L2397" t="s">
        <v>2709</v>
      </c>
      <c r="M2397">
        <v>29156021</v>
      </c>
      <c r="O2397" t="s">
        <v>20028</v>
      </c>
      <c r="P2397" t="s">
        <v>19900</v>
      </c>
      <c r="Q2397" t="s">
        <v>19900</v>
      </c>
      <c r="R2397" t="s">
        <v>19447</v>
      </c>
      <c r="S2397" t="s">
        <v>19447</v>
      </c>
      <c r="T2397" t="s">
        <v>19901</v>
      </c>
    </row>
    <row r="2398" spans="2:20" x14ac:dyDescent="0.25">
      <c r="B2398" t="s">
        <v>2709</v>
      </c>
      <c r="C2398">
        <v>29156029</v>
      </c>
      <c r="E2398">
        <v>68.819999999999993</v>
      </c>
      <c r="F2398">
        <v>0</v>
      </c>
      <c r="G2398">
        <v>0</v>
      </c>
      <c r="H2398" t="s">
        <v>19447</v>
      </c>
      <c r="I2398" t="s">
        <v>19447</v>
      </c>
      <c r="J2398">
        <v>2</v>
      </c>
      <c r="L2398" t="s">
        <v>2709</v>
      </c>
      <c r="M2398">
        <v>29156029</v>
      </c>
      <c r="O2398" t="s">
        <v>20028</v>
      </c>
      <c r="P2398" t="s">
        <v>19900</v>
      </c>
      <c r="Q2398" t="s">
        <v>19900</v>
      </c>
      <c r="R2398" t="s">
        <v>19447</v>
      </c>
      <c r="S2398" t="s">
        <v>19447</v>
      </c>
      <c r="T2398" t="s">
        <v>19901</v>
      </c>
    </row>
    <row r="2399" spans="2:20" x14ac:dyDescent="0.25">
      <c r="B2399" t="s">
        <v>2709</v>
      </c>
      <c r="C2399">
        <v>29157011</v>
      </c>
      <c r="E2399">
        <v>68.819999999999993</v>
      </c>
      <c r="F2399">
        <v>0</v>
      </c>
      <c r="G2399">
        <v>0</v>
      </c>
      <c r="H2399" t="s">
        <v>19447</v>
      </c>
      <c r="I2399" t="s">
        <v>19447</v>
      </c>
      <c r="J2399">
        <v>2</v>
      </c>
      <c r="L2399" t="s">
        <v>2709</v>
      </c>
      <c r="M2399">
        <v>29157011</v>
      </c>
      <c r="O2399" t="s">
        <v>20028</v>
      </c>
      <c r="P2399" t="s">
        <v>19900</v>
      </c>
      <c r="Q2399" t="s">
        <v>19900</v>
      </c>
      <c r="R2399" t="s">
        <v>19447</v>
      </c>
      <c r="S2399" t="s">
        <v>19447</v>
      </c>
      <c r="T2399" t="s">
        <v>19901</v>
      </c>
    </row>
    <row r="2400" spans="2:20" x14ac:dyDescent="0.25">
      <c r="B2400" t="s">
        <v>2709</v>
      </c>
      <c r="C2400">
        <v>29157019</v>
      </c>
      <c r="E2400">
        <v>68.819999999999993</v>
      </c>
      <c r="F2400">
        <v>0</v>
      </c>
      <c r="G2400">
        <v>0</v>
      </c>
      <c r="H2400" t="s">
        <v>19447</v>
      </c>
      <c r="I2400" t="s">
        <v>19447</v>
      </c>
      <c r="J2400">
        <v>12</v>
      </c>
      <c r="L2400" t="s">
        <v>2709</v>
      </c>
      <c r="M2400">
        <v>29157019</v>
      </c>
      <c r="O2400" t="s">
        <v>20028</v>
      </c>
      <c r="P2400" t="s">
        <v>19900</v>
      </c>
      <c r="Q2400" t="s">
        <v>19900</v>
      </c>
      <c r="R2400" t="s">
        <v>19447</v>
      </c>
      <c r="S2400" t="s">
        <v>19447</v>
      </c>
      <c r="T2400" t="s">
        <v>19903</v>
      </c>
    </row>
    <row r="2401" spans="2:20" x14ac:dyDescent="0.25">
      <c r="B2401" t="s">
        <v>2709</v>
      </c>
      <c r="C2401">
        <v>29157020</v>
      </c>
      <c r="E2401">
        <v>68.819999999999993</v>
      </c>
      <c r="F2401">
        <v>0</v>
      </c>
      <c r="G2401">
        <v>0</v>
      </c>
      <c r="H2401" t="s">
        <v>19447</v>
      </c>
      <c r="I2401" t="s">
        <v>19447</v>
      </c>
      <c r="J2401">
        <v>12</v>
      </c>
      <c r="L2401" t="s">
        <v>2709</v>
      </c>
      <c r="M2401">
        <v>29157020</v>
      </c>
      <c r="O2401" t="s">
        <v>20028</v>
      </c>
      <c r="P2401" t="s">
        <v>19900</v>
      </c>
      <c r="Q2401" t="s">
        <v>19900</v>
      </c>
      <c r="R2401" t="s">
        <v>19447</v>
      </c>
      <c r="S2401" t="s">
        <v>19447</v>
      </c>
      <c r="T2401" t="s">
        <v>19903</v>
      </c>
    </row>
    <row r="2402" spans="2:20" x14ac:dyDescent="0.25">
      <c r="B2402" t="s">
        <v>2709</v>
      </c>
      <c r="C2402">
        <v>29157031</v>
      </c>
      <c r="E2402">
        <v>68.819999999999993</v>
      </c>
      <c r="F2402">
        <v>0</v>
      </c>
      <c r="G2402">
        <v>0</v>
      </c>
      <c r="H2402" t="s">
        <v>19447</v>
      </c>
      <c r="I2402" t="s">
        <v>19447</v>
      </c>
      <c r="J2402">
        <v>12</v>
      </c>
      <c r="L2402" t="s">
        <v>2709</v>
      </c>
      <c r="M2402">
        <v>29157031</v>
      </c>
      <c r="O2402" t="s">
        <v>20028</v>
      </c>
      <c r="P2402" t="s">
        <v>19900</v>
      </c>
      <c r="Q2402" t="s">
        <v>19900</v>
      </c>
      <c r="R2402" t="s">
        <v>19447</v>
      </c>
      <c r="S2402" t="s">
        <v>19447</v>
      </c>
      <c r="T2402" t="s">
        <v>19903</v>
      </c>
    </row>
    <row r="2403" spans="2:20" x14ac:dyDescent="0.25">
      <c r="B2403" t="s">
        <v>2709</v>
      </c>
      <c r="C2403">
        <v>29157039</v>
      </c>
      <c r="E2403">
        <v>68.819999999999993</v>
      </c>
      <c r="F2403">
        <v>0</v>
      </c>
      <c r="G2403">
        <v>0</v>
      </c>
      <c r="H2403" t="s">
        <v>19447</v>
      </c>
      <c r="I2403" t="s">
        <v>19447</v>
      </c>
      <c r="J2403">
        <v>12</v>
      </c>
      <c r="L2403" t="s">
        <v>2709</v>
      </c>
      <c r="M2403">
        <v>29157039</v>
      </c>
      <c r="O2403" t="s">
        <v>20028</v>
      </c>
      <c r="P2403" t="s">
        <v>19900</v>
      </c>
      <c r="Q2403" t="s">
        <v>19900</v>
      </c>
      <c r="R2403" t="s">
        <v>19447</v>
      </c>
      <c r="S2403" t="s">
        <v>19447</v>
      </c>
      <c r="T2403" t="s">
        <v>19903</v>
      </c>
    </row>
    <row r="2404" spans="2:20" x14ac:dyDescent="0.25">
      <c r="B2404" t="s">
        <v>2709</v>
      </c>
      <c r="C2404">
        <v>29157040</v>
      </c>
      <c r="E2404">
        <v>68.819999999999993</v>
      </c>
      <c r="F2404">
        <v>0</v>
      </c>
      <c r="G2404">
        <v>0</v>
      </c>
      <c r="H2404" t="s">
        <v>19447</v>
      </c>
      <c r="I2404" t="s">
        <v>19447</v>
      </c>
      <c r="J2404">
        <v>12</v>
      </c>
      <c r="L2404" t="s">
        <v>2709</v>
      </c>
      <c r="M2404">
        <v>29157040</v>
      </c>
      <c r="O2404" t="s">
        <v>20028</v>
      </c>
      <c r="P2404" t="s">
        <v>19900</v>
      </c>
      <c r="Q2404" t="s">
        <v>19900</v>
      </c>
      <c r="R2404" t="s">
        <v>19447</v>
      </c>
      <c r="S2404" t="s">
        <v>19447</v>
      </c>
      <c r="T2404" t="s">
        <v>19903</v>
      </c>
    </row>
    <row r="2405" spans="2:20" x14ac:dyDescent="0.25">
      <c r="B2405" t="s">
        <v>2709</v>
      </c>
      <c r="C2405">
        <v>29159010</v>
      </c>
      <c r="E2405">
        <v>68.819999999999993</v>
      </c>
      <c r="F2405">
        <v>0</v>
      </c>
      <c r="G2405">
        <v>0</v>
      </c>
      <c r="H2405" t="s">
        <v>19447</v>
      </c>
      <c r="I2405" t="s">
        <v>19447</v>
      </c>
      <c r="J2405">
        <v>2</v>
      </c>
      <c r="L2405" t="s">
        <v>2709</v>
      </c>
      <c r="M2405">
        <v>29159010</v>
      </c>
      <c r="O2405" t="s">
        <v>20028</v>
      </c>
      <c r="P2405" t="s">
        <v>19900</v>
      </c>
      <c r="Q2405" t="s">
        <v>19900</v>
      </c>
      <c r="R2405" t="s">
        <v>19447</v>
      </c>
      <c r="S2405" t="s">
        <v>19447</v>
      </c>
      <c r="T2405" t="s">
        <v>19901</v>
      </c>
    </row>
    <row r="2406" spans="2:20" x14ac:dyDescent="0.25">
      <c r="B2406" t="s">
        <v>2709</v>
      </c>
      <c r="C2406">
        <v>29159021</v>
      </c>
      <c r="E2406">
        <v>68.819999999999993</v>
      </c>
      <c r="F2406">
        <v>0</v>
      </c>
      <c r="G2406">
        <v>0</v>
      </c>
      <c r="H2406" t="s">
        <v>19447</v>
      </c>
      <c r="I2406" t="s">
        <v>19447</v>
      </c>
      <c r="J2406">
        <v>12</v>
      </c>
      <c r="L2406" t="s">
        <v>2709</v>
      </c>
      <c r="M2406">
        <v>29159021</v>
      </c>
      <c r="O2406" t="s">
        <v>20028</v>
      </c>
      <c r="P2406" t="s">
        <v>19900</v>
      </c>
      <c r="Q2406" t="s">
        <v>19900</v>
      </c>
      <c r="R2406" t="s">
        <v>19447</v>
      </c>
      <c r="S2406" t="s">
        <v>19447</v>
      </c>
      <c r="T2406" t="s">
        <v>19903</v>
      </c>
    </row>
    <row r="2407" spans="2:20" x14ac:dyDescent="0.25">
      <c r="B2407" t="s">
        <v>2709</v>
      </c>
      <c r="C2407">
        <v>29159022</v>
      </c>
      <c r="E2407">
        <v>68.819999999999993</v>
      </c>
      <c r="F2407">
        <v>0</v>
      </c>
      <c r="G2407">
        <v>0</v>
      </c>
      <c r="H2407" t="s">
        <v>19447</v>
      </c>
      <c r="I2407" t="s">
        <v>19447</v>
      </c>
      <c r="J2407">
        <v>12</v>
      </c>
      <c r="L2407" t="s">
        <v>2709</v>
      </c>
      <c r="M2407">
        <v>29159022</v>
      </c>
      <c r="O2407" t="s">
        <v>20028</v>
      </c>
      <c r="P2407" t="s">
        <v>19900</v>
      </c>
      <c r="Q2407" t="s">
        <v>19900</v>
      </c>
      <c r="R2407" t="s">
        <v>19447</v>
      </c>
      <c r="S2407" t="s">
        <v>19447</v>
      </c>
      <c r="T2407" t="s">
        <v>19903</v>
      </c>
    </row>
    <row r="2408" spans="2:20" x14ac:dyDescent="0.25">
      <c r="B2408" t="s">
        <v>2709</v>
      </c>
      <c r="C2408">
        <v>29159023</v>
      </c>
      <c r="E2408">
        <v>68.819999999999993</v>
      </c>
      <c r="F2408">
        <v>0</v>
      </c>
      <c r="G2408">
        <v>0</v>
      </c>
      <c r="H2408" t="s">
        <v>19447</v>
      </c>
      <c r="I2408" t="s">
        <v>19447</v>
      </c>
      <c r="J2408">
        <v>2</v>
      </c>
      <c r="L2408" t="s">
        <v>2709</v>
      </c>
      <c r="M2408">
        <v>29159023</v>
      </c>
      <c r="O2408" t="s">
        <v>20028</v>
      </c>
      <c r="P2408" t="s">
        <v>19900</v>
      </c>
      <c r="Q2408" t="s">
        <v>19900</v>
      </c>
      <c r="R2408" t="s">
        <v>19447</v>
      </c>
      <c r="S2408" t="s">
        <v>19447</v>
      </c>
      <c r="T2408" t="s">
        <v>19901</v>
      </c>
    </row>
    <row r="2409" spans="2:20" x14ac:dyDescent="0.25">
      <c r="B2409" t="s">
        <v>2709</v>
      </c>
      <c r="C2409">
        <v>29159024</v>
      </c>
      <c r="E2409">
        <v>68.819999999999993</v>
      </c>
      <c r="F2409">
        <v>0</v>
      </c>
      <c r="G2409">
        <v>0</v>
      </c>
      <c r="H2409" t="s">
        <v>19447</v>
      </c>
      <c r="I2409" t="s">
        <v>19447</v>
      </c>
      <c r="J2409">
        <v>2</v>
      </c>
      <c r="L2409" t="s">
        <v>2709</v>
      </c>
      <c r="M2409">
        <v>29159024</v>
      </c>
      <c r="O2409" t="s">
        <v>20028</v>
      </c>
      <c r="P2409" t="s">
        <v>19900</v>
      </c>
      <c r="Q2409" t="s">
        <v>19900</v>
      </c>
      <c r="R2409" t="s">
        <v>19447</v>
      </c>
      <c r="S2409" t="s">
        <v>19447</v>
      </c>
      <c r="T2409" t="s">
        <v>19901</v>
      </c>
    </row>
    <row r="2410" spans="2:20" x14ac:dyDescent="0.25">
      <c r="B2410" t="s">
        <v>2709</v>
      </c>
      <c r="C2410">
        <v>29159029</v>
      </c>
      <c r="E2410">
        <v>68.819999999999993</v>
      </c>
      <c r="F2410">
        <v>0</v>
      </c>
      <c r="G2410">
        <v>0</v>
      </c>
      <c r="H2410" t="s">
        <v>19447</v>
      </c>
      <c r="I2410" t="s">
        <v>19447</v>
      </c>
      <c r="J2410">
        <v>12</v>
      </c>
      <c r="L2410" t="s">
        <v>2709</v>
      </c>
      <c r="M2410">
        <v>29159029</v>
      </c>
      <c r="O2410" t="s">
        <v>20028</v>
      </c>
      <c r="P2410" t="s">
        <v>19900</v>
      </c>
      <c r="Q2410" t="s">
        <v>19900</v>
      </c>
      <c r="R2410" t="s">
        <v>19447</v>
      </c>
      <c r="S2410" t="s">
        <v>19447</v>
      </c>
      <c r="T2410" t="s">
        <v>19903</v>
      </c>
    </row>
    <row r="2411" spans="2:20" x14ac:dyDescent="0.25">
      <c r="B2411" t="s">
        <v>2709</v>
      </c>
      <c r="C2411">
        <v>29159031</v>
      </c>
      <c r="E2411">
        <v>68.819999999999993</v>
      </c>
      <c r="F2411">
        <v>0</v>
      </c>
      <c r="G2411">
        <v>0</v>
      </c>
      <c r="H2411" t="s">
        <v>19447</v>
      </c>
      <c r="I2411" t="s">
        <v>19447</v>
      </c>
      <c r="J2411">
        <v>2</v>
      </c>
      <c r="L2411" t="s">
        <v>2709</v>
      </c>
      <c r="M2411">
        <v>29159031</v>
      </c>
      <c r="O2411" t="s">
        <v>20028</v>
      </c>
      <c r="P2411" t="s">
        <v>19900</v>
      </c>
      <c r="Q2411" t="s">
        <v>19900</v>
      </c>
      <c r="R2411" t="s">
        <v>19447</v>
      </c>
      <c r="S2411" t="s">
        <v>19447</v>
      </c>
      <c r="T2411" t="s">
        <v>19901</v>
      </c>
    </row>
    <row r="2412" spans="2:20" x14ac:dyDescent="0.25">
      <c r="B2412" t="s">
        <v>2709</v>
      </c>
      <c r="C2412">
        <v>29159032</v>
      </c>
      <c r="E2412">
        <v>68.819999999999993</v>
      </c>
      <c r="F2412">
        <v>0</v>
      </c>
      <c r="G2412">
        <v>0</v>
      </c>
      <c r="H2412" t="s">
        <v>19447</v>
      </c>
      <c r="I2412" t="s">
        <v>19447</v>
      </c>
      <c r="J2412">
        <v>2</v>
      </c>
      <c r="L2412" t="s">
        <v>2709</v>
      </c>
      <c r="M2412">
        <v>29159032</v>
      </c>
      <c r="O2412" t="s">
        <v>20028</v>
      </c>
      <c r="P2412" t="s">
        <v>19900</v>
      </c>
      <c r="Q2412" t="s">
        <v>19900</v>
      </c>
      <c r="R2412" t="s">
        <v>19447</v>
      </c>
      <c r="S2412" t="s">
        <v>19447</v>
      </c>
      <c r="T2412" t="s">
        <v>19901</v>
      </c>
    </row>
    <row r="2413" spans="2:20" x14ac:dyDescent="0.25">
      <c r="B2413" t="s">
        <v>2709</v>
      </c>
      <c r="C2413">
        <v>29159033</v>
      </c>
      <c r="E2413">
        <v>68.819999999999993</v>
      </c>
      <c r="F2413">
        <v>0</v>
      </c>
      <c r="G2413">
        <v>0</v>
      </c>
      <c r="H2413" t="s">
        <v>19447</v>
      </c>
      <c r="I2413" t="s">
        <v>19447</v>
      </c>
      <c r="J2413">
        <v>12</v>
      </c>
      <c r="L2413" t="s">
        <v>2709</v>
      </c>
      <c r="M2413">
        <v>29159033</v>
      </c>
      <c r="O2413" t="s">
        <v>20028</v>
      </c>
      <c r="P2413" t="s">
        <v>19900</v>
      </c>
      <c r="Q2413" t="s">
        <v>19900</v>
      </c>
      <c r="R2413" t="s">
        <v>19447</v>
      </c>
      <c r="S2413" t="s">
        <v>19447</v>
      </c>
      <c r="T2413" t="s">
        <v>19903</v>
      </c>
    </row>
    <row r="2414" spans="2:20" x14ac:dyDescent="0.25">
      <c r="B2414" t="s">
        <v>2709</v>
      </c>
      <c r="C2414">
        <v>29159039</v>
      </c>
      <c r="E2414">
        <v>68.819999999999993</v>
      </c>
      <c r="F2414">
        <v>0</v>
      </c>
      <c r="G2414">
        <v>0</v>
      </c>
      <c r="H2414" t="s">
        <v>19447</v>
      </c>
      <c r="I2414" t="s">
        <v>19447</v>
      </c>
      <c r="J2414">
        <v>2</v>
      </c>
      <c r="L2414" t="s">
        <v>2709</v>
      </c>
      <c r="M2414">
        <v>29159039</v>
      </c>
      <c r="O2414" t="s">
        <v>20028</v>
      </c>
      <c r="P2414" t="s">
        <v>19900</v>
      </c>
      <c r="Q2414" t="s">
        <v>19900</v>
      </c>
      <c r="R2414" t="s">
        <v>19447</v>
      </c>
      <c r="S2414" t="s">
        <v>19447</v>
      </c>
      <c r="T2414" t="s">
        <v>19901</v>
      </c>
    </row>
    <row r="2415" spans="2:20" x14ac:dyDescent="0.25">
      <c r="B2415" t="s">
        <v>2709</v>
      </c>
      <c r="C2415">
        <v>29159041</v>
      </c>
      <c r="E2415">
        <v>68.819999999999993</v>
      </c>
      <c r="F2415">
        <v>0</v>
      </c>
      <c r="G2415">
        <v>0</v>
      </c>
      <c r="H2415" t="s">
        <v>19447</v>
      </c>
      <c r="I2415" t="s">
        <v>19447</v>
      </c>
      <c r="J2415">
        <v>2</v>
      </c>
      <c r="L2415" t="s">
        <v>2709</v>
      </c>
      <c r="M2415">
        <v>29159041</v>
      </c>
      <c r="O2415" t="s">
        <v>20028</v>
      </c>
      <c r="P2415" t="s">
        <v>19900</v>
      </c>
      <c r="Q2415" t="s">
        <v>19900</v>
      </c>
      <c r="R2415" t="s">
        <v>19447</v>
      </c>
      <c r="S2415" t="s">
        <v>19447</v>
      </c>
      <c r="T2415" t="s">
        <v>19901</v>
      </c>
    </row>
    <row r="2416" spans="2:20" x14ac:dyDescent="0.25">
      <c r="B2416" t="s">
        <v>2709</v>
      </c>
      <c r="C2416">
        <v>29159042</v>
      </c>
      <c r="E2416">
        <v>68.819999999999993</v>
      </c>
      <c r="F2416">
        <v>0</v>
      </c>
      <c r="G2416">
        <v>0</v>
      </c>
      <c r="H2416" t="s">
        <v>19447</v>
      </c>
      <c r="I2416" t="s">
        <v>19447</v>
      </c>
      <c r="J2416">
        <v>12</v>
      </c>
      <c r="L2416" t="s">
        <v>2709</v>
      </c>
      <c r="M2416">
        <v>29159042</v>
      </c>
      <c r="O2416" t="s">
        <v>20028</v>
      </c>
      <c r="P2416" t="s">
        <v>19900</v>
      </c>
      <c r="Q2416" t="s">
        <v>19900</v>
      </c>
      <c r="R2416" t="s">
        <v>19447</v>
      </c>
      <c r="S2416" t="s">
        <v>19447</v>
      </c>
      <c r="T2416" t="s">
        <v>19903</v>
      </c>
    </row>
    <row r="2417" spans="2:20" x14ac:dyDescent="0.25">
      <c r="B2417" t="s">
        <v>2709</v>
      </c>
      <c r="C2417">
        <v>29159050</v>
      </c>
      <c r="E2417">
        <v>68.819999999999993</v>
      </c>
      <c r="F2417">
        <v>0</v>
      </c>
      <c r="G2417">
        <v>0</v>
      </c>
      <c r="H2417" t="s">
        <v>19447</v>
      </c>
      <c r="I2417" t="s">
        <v>19447</v>
      </c>
      <c r="J2417">
        <v>12</v>
      </c>
      <c r="L2417" t="s">
        <v>2709</v>
      </c>
      <c r="M2417">
        <v>29159050</v>
      </c>
      <c r="O2417" t="s">
        <v>20028</v>
      </c>
      <c r="P2417" t="s">
        <v>19900</v>
      </c>
      <c r="Q2417" t="s">
        <v>19900</v>
      </c>
      <c r="R2417" t="s">
        <v>19447</v>
      </c>
      <c r="S2417" t="s">
        <v>19447</v>
      </c>
      <c r="T2417" t="s">
        <v>19903</v>
      </c>
    </row>
    <row r="2418" spans="2:20" x14ac:dyDescent="0.25">
      <c r="B2418" t="s">
        <v>2709</v>
      </c>
      <c r="C2418">
        <v>29159060</v>
      </c>
      <c r="E2418">
        <v>68.819999999999993</v>
      </c>
      <c r="F2418">
        <v>0</v>
      </c>
      <c r="G2418">
        <v>0</v>
      </c>
      <c r="H2418" t="s">
        <v>19447</v>
      </c>
      <c r="I2418" t="s">
        <v>19447</v>
      </c>
      <c r="J2418">
        <v>12</v>
      </c>
      <c r="L2418" t="s">
        <v>2709</v>
      </c>
      <c r="M2418">
        <v>29159060</v>
      </c>
      <c r="O2418" t="s">
        <v>20028</v>
      </c>
      <c r="P2418" t="s">
        <v>19900</v>
      </c>
      <c r="Q2418" t="s">
        <v>19900</v>
      </c>
      <c r="R2418" t="s">
        <v>19447</v>
      </c>
      <c r="S2418" t="s">
        <v>19447</v>
      </c>
      <c r="T2418" t="s">
        <v>19903</v>
      </c>
    </row>
    <row r="2419" spans="2:20" x14ac:dyDescent="0.25">
      <c r="B2419" t="s">
        <v>2709</v>
      </c>
      <c r="C2419">
        <v>29159090</v>
      </c>
      <c r="E2419">
        <v>68.819999999999993</v>
      </c>
      <c r="F2419">
        <v>0</v>
      </c>
      <c r="G2419">
        <v>0</v>
      </c>
      <c r="H2419" t="s">
        <v>19447</v>
      </c>
      <c r="I2419" t="s">
        <v>19447</v>
      </c>
      <c r="J2419">
        <v>2</v>
      </c>
      <c r="L2419" t="s">
        <v>2709</v>
      </c>
      <c r="M2419">
        <v>29159090</v>
      </c>
      <c r="O2419" t="s">
        <v>20028</v>
      </c>
      <c r="P2419" t="s">
        <v>19900</v>
      </c>
      <c r="Q2419" t="s">
        <v>19900</v>
      </c>
      <c r="R2419" t="s">
        <v>19447</v>
      </c>
      <c r="S2419" t="s">
        <v>19447</v>
      </c>
      <c r="T2419" t="s">
        <v>19901</v>
      </c>
    </row>
    <row r="2420" spans="2:20" x14ac:dyDescent="0.25">
      <c r="B2420" t="s">
        <v>2709</v>
      </c>
      <c r="C2420">
        <v>29161110</v>
      </c>
      <c r="E2420">
        <v>68.819999999999993</v>
      </c>
      <c r="F2420">
        <v>0</v>
      </c>
      <c r="G2420">
        <v>0</v>
      </c>
      <c r="H2420" t="s">
        <v>19447</v>
      </c>
      <c r="I2420" t="s">
        <v>19447</v>
      </c>
      <c r="J2420">
        <v>2</v>
      </c>
      <c r="L2420" t="s">
        <v>2709</v>
      </c>
      <c r="M2420">
        <v>29161110</v>
      </c>
      <c r="O2420" t="s">
        <v>20028</v>
      </c>
      <c r="P2420" t="s">
        <v>19900</v>
      </c>
      <c r="Q2420" t="s">
        <v>19900</v>
      </c>
      <c r="R2420" t="s">
        <v>19447</v>
      </c>
      <c r="S2420" t="s">
        <v>19447</v>
      </c>
      <c r="T2420" t="s">
        <v>19901</v>
      </c>
    </row>
    <row r="2421" spans="2:20" x14ac:dyDescent="0.25">
      <c r="B2421" t="s">
        <v>2709</v>
      </c>
      <c r="C2421">
        <v>29161120</v>
      </c>
      <c r="E2421">
        <v>68.819999999999993</v>
      </c>
      <c r="F2421">
        <v>0</v>
      </c>
      <c r="G2421">
        <v>0</v>
      </c>
      <c r="H2421" t="s">
        <v>19447</v>
      </c>
      <c r="I2421" t="s">
        <v>19447</v>
      </c>
      <c r="J2421">
        <v>2</v>
      </c>
      <c r="L2421" t="s">
        <v>2709</v>
      </c>
      <c r="M2421">
        <v>29161120</v>
      </c>
      <c r="O2421" t="s">
        <v>20028</v>
      </c>
      <c r="P2421" t="s">
        <v>19900</v>
      </c>
      <c r="Q2421" t="s">
        <v>19900</v>
      </c>
      <c r="R2421" t="s">
        <v>19447</v>
      </c>
      <c r="S2421" t="s">
        <v>19447</v>
      </c>
      <c r="T2421" t="s">
        <v>19901</v>
      </c>
    </row>
    <row r="2422" spans="2:20" x14ac:dyDescent="0.25">
      <c r="B2422" t="s">
        <v>2709</v>
      </c>
      <c r="C2422">
        <v>29161210</v>
      </c>
      <c r="E2422">
        <v>68.819999999999993</v>
      </c>
      <c r="F2422">
        <v>0</v>
      </c>
      <c r="G2422">
        <v>0</v>
      </c>
      <c r="H2422" t="s">
        <v>19447</v>
      </c>
      <c r="I2422" t="s">
        <v>19447</v>
      </c>
      <c r="J2422">
        <v>12</v>
      </c>
      <c r="L2422" t="s">
        <v>2709</v>
      </c>
      <c r="M2422">
        <v>29161210</v>
      </c>
      <c r="O2422" t="s">
        <v>20028</v>
      </c>
      <c r="P2422" t="s">
        <v>19900</v>
      </c>
      <c r="Q2422" t="s">
        <v>19900</v>
      </c>
      <c r="R2422" t="s">
        <v>19447</v>
      </c>
      <c r="S2422" t="s">
        <v>19447</v>
      </c>
      <c r="T2422" t="s">
        <v>19903</v>
      </c>
    </row>
    <row r="2423" spans="2:20" x14ac:dyDescent="0.25">
      <c r="B2423" t="s">
        <v>2709</v>
      </c>
      <c r="C2423">
        <v>29161220</v>
      </c>
      <c r="E2423">
        <v>68.819999999999993</v>
      </c>
      <c r="F2423">
        <v>0</v>
      </c>
      <c r="G2423">
        <v>0</v>
      </c>
      <c r="H2423" t="s">
        <v>19447</v>
      </c>
      <c r="I2423" t="s">
        <v>19447</v>
      </c>
      <c r="J2423">
        <v>2</v>
      </c>
      <c r="L2423" t="s">
        <v>2709</v>
      </c>
      <c r="M2423">
        <v>29161220</v>
      </c>
      <c r="O2423" t="s">
        <v>20028</v>
      </c>
      <c r="P2423" t="s">
        <v>19900</v>
      </c>
      <c r="Q2423" t="s">
        <v>19900</v>
      </c>
      <c r="R2423" t="s">
        <v>19447</v>
      </c>
      <c r="S2423" t="s">
        <v>19447</v>
      </c>
      <c r="T2423" t="s">
        <v>19901</v>
      </c>
    </row>
    <row r="2424" spans="2:20" x14ac:dyDescent="0.25">
      <c r="B2424" t="s">
        <v>2709</v>
      </c>
      <c r="C2424">
        <v>29161230</v>
      </c>
      <c r="E2424">
        <v>68.819999999999993</v>
      </c>
      <c r="F2424">
        <v>0</v>
      </c>
      <c r="G2424">
        <v>0</v>
      </c>
      <c r="H2424" t="s">
        <v>19447</v>
      </c>
      <c r="I2424" t="s">
        <v>19447</v>
      </c>
      <c r="J2424">
        <v>12</v>
      </c>
      <c r="L2424" t="s">
        <v>2709</v>
      </c>
      <c r="M2424">
        <v>29161230</v>
      </c>
      <c r="O2424" t="s">
        <v>20028</v>
      </c>
      <c r="P2424" t="s">
        <v>19900</v>
      </c>
      <c r="Q2424" t="s">
        <v>19900</v>
      </c>
      <c r="R2424" t="s">
        <v>19447</v>
      </c>
      <c r="S2424" t="s">
        <v>19447</v>
      </c>
      <c r="T2424" t="s">
        <v>19903</v>
      </c>
    </row>
    <row r="2425" spans="2:20" x14ac:dyDescent="0.25">
      <c r="B2425" t="s">
        <v>2709</v>
      </c>
      <c r="C2425">
        <v>29161240</v>
      </c>
      <c r="E2425">
        <v>68.819999999999993</v>
      </c>
      <c r="F2425">
        <v>0</v>
      </c>
      <c r="G2425">
        <v>0</v>
      </c>
      <c r="H2425" t="s">
        <v>19447</v>
      </c>
      <c r="I2425" t="s">
        <v>19447</v>
      </c>
      <c r="J2425">
        <v>2</v>
      </c>
      <c r="L2425" t="s">
        <v>2709</v>
      </c>
      <c r="M2425">
        <v>29161240</v>
      </c>
      <c r="O2425" t="s">
        <v>20028</v>
      </c>
      <c r="P2425" t="s">
        <v>19900</v>
      </c>
      <c r="Q2425" t="s">
        <v>19900</v>
      </c>
      <c r="R2425" t="s">
        <v>19447</v>
      </c>
      <c r="S2425" t="s">
        <v>19447</v>
      </c>
      <c r="T2425" t="s">
        <v>19901</v>
      </c>
    </row>
    <row r="2426" spans="2:20" x14ac:dyDescent="0.25">
      <c r="B2426" t="s">
        <v>2709</v>
      </c>
      <c r="C2426">
        <v>29161290</v>
      </c>
      <c r="E2426">
        <v>68.819999999999993</v>
      </c>
      <c r="F2426">
        <v>0</v>
      </c>
      <c r="G2426">
        <v>0</v>
      </c>
      <c r="H2426" t="s">
        <v>19447</v>
      </c>
      <c r="I2426" t="s">
        <v>19447</v>
      </c>
      <c r="J2426">
        <v>2</v>
      </c>
      <c r="L2426" t="s">
        <v>2709</v>
      </c>
      <c r="M2426">
        <v>29161290</v>
      </c>
      <c r="O2426" t="s">
        <v>20028</v>
      </c>
      <c r="P2426" t="s">
        <v>19900</v>
      </c>
      <c r="Q2426" t="s">
        <v>19900</v>
      </c>
      <c r="R2426" t="s">
        <v>19447</v>
      </c>
      <c r="S2426" t="s">
        <v>19447</v>
      </c>
      <c r="T2426" t="s">
        <v>19901</v>
      </c>
    </row>
    <row r="2427" spans="2:20" x14ac:dyDescent="0.25">
      <c r="B2427" t="s">
        <v>2709</v>
      </c>
      <c r="C2427">
        <v>29161310</v>
      </c>
      <c r="E2427">
        <v>68.819999999999993</v>
      </c>
      <c r="F2427">
        <v>0</v>
      </c>
      <c r="G2427">
        <v>0</v>
      </c>
      <c r="H2427" t="s">
        <v>19447</v>
      </c>
      <c r="I2427" t="s">
        <v>19447</v>
      </c>
      <c r="J2427">
        <v>2</v>
      </c>
      <c r="L2427" t="s">
        <v>2709</v>
      </c>
      <c r="M2427">
        <v>29161310</v>
      </c>
      <c r="O2427" t="s">
        <v>20028</v>
      </c>
      <c r="P2427" t="s">
        <v>19900</v>
      </c>
      <c r="Q2427" t="s">
        <v>19900</v>
      </c>
      <c r="R2427" t="s">
        <v>19447</v>
      </c>
      <c r="S2427" t="s">
        <v>19447</v>
      </c>
      <c r="T2427" t="s">
        <v>19901</v>
      </c>
    </row>
    <row r="2428" spans="2:20" x14ac:dyDescent="0.25">
      <c r="B2428" t="s">
        <v>2709</v>
      </c>
      <c r="C2428">
        <v>29161320</v>
      </c>
      <c r="E2428">
        <v>68.819999999999993</v>
      </c>
      <c r="F2428">
        <v>0</v>
      </c>
      <c r="G2428">
        <v>0</v>
      </c>
      <c r="H2428" t="s">
        <v>19447</v>
      </c>
      <c r="I2428" t="s">
        <v>19447</v>
      </c>
      <c r="J2428">
        <v>2</v>
      </c>
      <c r="L2428" t="s">
        <v>2709</v>
      </c>
      <c r="M2428">
        <v>29161320</v>
      </c>
      <c r="O2428" t="s">
        <v>20028</v>
      </c>
      <c r="P2428" t="s">
        <v>19900</v>
      </c>
      <c r="Q2428" t="s">
        <v>19900</v>
      </c>
      <c r="R2428" t="s">
        <v>19447</v>
      </c>
      <c r="S2428" t="s">
        <v>19447</v>
      </c>
      <c r="T2428" t="s">
        <v>19901</v>
      </c>
    </row>
    <row r="2429" spans="2:20" x14ac:dyDescent="0.25">
      <c r="B2429" t="s">
        <v>2709</v>
      </c>
      <c r="C2429">
        <v>29161410</v>
      </c>
      <c r="E2429">
        <v>68.819999999999993</v>
      </c>
      <c r="F2429">
        <v>0</v>
      </c>
      <c r="G2429">
        <v>0</v>
      </c>
      <c r="H2429" t="s">
        <v>19447</v>
      </c>
      <c r="I2429" t="s">
        <v>19447</v>
      </c>
      <c r="J2429">
        <v>12</v>
      </c>
      <c r="L2429" t="s">
        <v>2709</v>
      </c>
      <c r="M2429">
        <v>29161410</v>
      </c>
      <c r="O2429" t="s">
        <v>20028</v>
      </c>
      <c r="P2429" t="s">
        <v>19900</v>
      </c>
      <c r="Q2429" t="s">
        <v>19900</v>
      </c>
      <c r="R2429" t="s">
        <v>19447</v>
      </c>
      <c r="S2429" t="s">
        <v>19447</v>
      </c>
      <c r="T2429" t="s">
        <v>19903</v>
      </c>
    </row>
    <row r="2430" spans="2:20" x14ac:dyDescent="0.25">
      <c r="B2430" t="s">
        <v>2709</v>
      </c>
      <c r="C2430">
        <v>29161420</v>
      </c>
      <c r="E2430">
        <v>68.819999999999993</v>
      </c>
      <c r="F2430">
        <v>0</v>
      </c>
      <c r="G2430">
        <v>0</v>
      </c>
      <c r="H2430" t="s">
        <v>19447</v>
      </c>
      <c r="I2430" t="s">
        <v>19447</v>
      </c>
      <c r="J2430">
        <v>12</v>
      </c>
      <c r="L2430" t="s">
        <v>2709</v>
      </c>
      <c r="M2430">
        <v>29161420</v>
      </c>
      <c r="O2430" t="s">
        <v>20028</v>
      </c>
      <c r="P2430" t="s">
        <v>19900</v>
      </c>
      <c r="Q2430" t="s">
        <v>19900</v>
      </c>
      <c r="R2430" t="s">
        <v>19447</v>
      </c>
      <c r="S2430" t="s">
        <v>19447</v>
      </c>
      <c r="T2430" t="s">
        <v>19903</v>
      </c>
    </row>
    <row r="2431" spans="2:20" x14ac:dyDescent="0.25">
      <c r="B2431" t="s">
        <v>2709</v>
      </c>
      <c r="C2431">
        <v>29161430</v>
      </c>
      <c r="E2431">
        <v>68.819999999999993</v>
      </c>
      <c r="F2431">
        <v>0</v>
      </c>
      <c r="G2431">
        <v>0</v>
      </c>
      <c r="H2431" t="s">
        <v>19447</v>
      </c>
      <c r="I2431" t="s">
        <v>19447</v>
      </c>
      <c r="J2431">
        <v>2</v>
      </c>
      <c r="L2431" t="s">
        <v>2709</v>
      </c>
      <c r="M2431">
        <v>29161430</v>
      </c>
      <c r="O2431" t="s">
        <v>20028</v>
      </c>
      <c r="P2431" t="s">
        <v>19900</v>
      </c>
      <c r="Q2431" t="s">
        <v>19900</v>
      </c>
      <c r="R2431" t="s">
        <v>19447</v>
      </c>
      <c r="S2431" t="s">
        <v>19447</v>
      </c>
      <c r="T2431" t="s">
        <v>19901</v>
      </c>
    </row>
    <row r="2432" spans="2:20" x14ac:dyDescent="0.25">
      <c r="B2432" t="s">
        <v>2709</v>
      </c>
      <c r="C2432">
        <v>29161490</v>
      </c>
      <c r="E2432">
        <v>68.819999999999993</v>
      </c>
      <c r="F2432">
        <v>0</v>
      </c>
      <c r="G2432">
        <v>0</v>
      </c>
      <c r="H2432" t="s">
        <v>19447</v>
      </c>
      <c r="I2432" t="s">
        <v>19447</v>
      </c>
      <c r="J2432">
        <v>2</v>
      </c>
      <c r="L2432" t="s">
        <v>2709</v>
      </c>
      <c r="M2432">
        <v>29161490</v>
      </c>
      <c r="O2432" t="s">
        <v>20028</v>
      </c>
      <c r="P2432" t="s">
        <v>19900</v>
      </c>
      <c r="Q2432" t="s">
        <v>19900</v>
      </c>
      <c r="R2432" t="s">
        <v>19447</v>
      </c>
      <c r="S2432" t="s">
        <v>19447</v>
      </c>
      <c r="T2432" t="s">
        <v>19901</v>
      </c>
    </row>
    <row r="2433" spans="2:20" x14ac:dyDescent="0.25">
      <c r="B2433" t="s">
        <v>2709</v>
      </c>
      <c r="C2433">
        <v>29161511</v>
      </c>
      <c r="E2433">
        <v>68.819999999999993</v>
      </c>
      <c r="F2433">
        <v>0</v>
      </c>
      <c r="G2433">
        <v>0</v>
      </c>
      <c r="H2433" t="s">
        <v>19447</v>
      </c>
      <c r="I2433" t="s">
        <v>19447</v>
      </c>
      <c r="J2433">
        <v>2</v>
      </c>
      <c r="L2433" t="s">
        <v>2709</v>
      </c>
      <c r="M2433">
        <v>29161511</v>
      </c>
      <c r="O2433" t="s">
        <v>20028</v>
      </c>
      <c r="P2433" t="s">
        <v>19900</v>
      </c>
      <c r="Q2433" t="s">
        <v>19900</v>
      </c>
      <c r="R2433" t="s">
        <v>19447</v>
      </c>
      <c r="S2433" t="s">
        <v>19447</v>
      </c>
      <c r="T2433" t="s">
        <v>19901</v>
      </c>
    </row>
    <row r="2434" spans="2:20" x14ac:dyDescent="0.25">
      <c r="B2434" t="s">
        <v>2709</v>
      </c>
      <c r="C2434">
        <v>29161519</v>
      </c>
      <c r="E2434">
        <v>68.819999999999993</v>
      </c>
      <c r="F2434">
        <v>0</v>
      </c>
      <c r="G2434">
        <v>0</v>
      </c>
      <c r="H2434" t="s">
        <v>19447</v>
      </c>
      <c r="I2434" t="s">
        <v>19447</v>
      </c>
      <c r="J2434">
        <v>12</v>
      </c>
      <c r="L2434" t="s">
        <v>2709</v>
      </c>
      <c r="M2434">
        <v>29161519</v>
      </c>
      <c r="O2434" t="s">
        <v>20028</v>
      </c>
      <c r="P2434" t="s">
        <v>19900</v>
      </c>
      <c r="Q2434" t="s">
        <v>19900</v>
      </c>
      <c r="R2434" t="s">
        <v>19447</v>
      </c>
      <c r="S2434" t="s">
        <v>19447</v>
      </c>
      <c r="T2434" t="s">
        <v>19903</v>
      </c>
    </row>
    <row r="2435" spans="2:20" x14ac:dyDescent="0.25">
      <c r="B2435" t="s">
        <v>2709</v>
      </c>
      <c r="C2435">
        <v>29161520</v>
      </c>
      <c r="E2435">
        <v>68.819999999999993</v>
      </c>
      <c r="F2435">
        <v>0</v>
      </c>
      <c r="G2435">
        <v>0</v>
      </c>
      <c r="H2435" t="s">
        <v>19447</v>
      </c>
      <c r="I2435" t="s">
        <v>19447</v>
      </c>
      <c r="J2435">
        <v>2</v>
      </c>
      <c r="L2435" t="s">
        <v>2709</v>
      </c>
      <c r="M2435">
        <v>29161520</v>
      </c>
      <c r="O2435" t="s">
        <v>20028</v>
      </c>
      <c r="P2435" t="s">
        <v>19900</v>
      </c>
      <c r="Q2435" t="s">
        <v>19900</v>
      </c>
      <c r="R2435" t="s">
        <v>19447</v>
      </c>
      <c r="S2435" t="s">
        <v>19447</v>
      </c>
      <c r="T2435" t="s">
        <v>19901</v>
      </c>
    </row>
    <row r="2436" spans="2:20" x14ac:dyDescent="0.25">
      <c r="B2436" t="s">
        <v>2709</v>
      </c>
      <c r="C2436">
        <v>29161600</v>
      </c>
      <c r="E2436">
        <v>68.819999999999993</v>
      </c>
      <c r="F2436">
        <v>0</v>
      </c>
      <c r="G2436">
        <v>0</v>
      </c>
      <c r="H2436" t="s">
        <v>19447</v>
      </c>
      <c r="I2436" t="s">
        <v>19447</v>
      </c>
      <c r="J2436">
        <v>2</v>
      </c>
      <c r="L2436" t="s">
        <v>2709</v>
      </c>
      <c r="M2436">
        <v>29161600</v>
      </c>
      <c r="O2436" t="s">
        <v>20028</v>
      </c>
      <c r="P2436" t="s">
        <v>19900</v>
      </c>
      <c r="Q2436" t="s">
        <v>19900</v>
      </c>
      <c r="R2436" t="s">
        <v>19447</v>
      </c>
      <c r="S2436" t="s">
        <v>19447</v>
      </c>
      <c r="T2436" t="s">
        <v>19901</v>
      </c>
    </row>
    <row r="2437" spans="2:20" x14ac:dyDescent="0.25">
      <c r="B2437" t="s">
        <v>2709</v>
      </c>
      <c r="C2437">
        <v>29161911</v>
      </c>
      <c r="E2437">
        <v>68.819999999999993</v>
      </c>
      <c r="F2437">
        <v>0</v>
      </c>
      <c r="G2437">
        <v>0</v>
      </c>
      <c r="H2437" t="s">
        <v>19447</v>
      </c>
      <c r="I2437" t="s">
        <v>19447</v>
      </c>
      <c r="J2437">
        <v>12</v>
      </c>
      <c r="L2437" t="s">
        <v>2709</v>
      </c>
      <c r="M2437">
        <v>29161911</v>
      </c>
      <c r="O2437" t="s">
        <v>20028</v>
      </c>
      <c r="P2437" t="s">
        <v>19900</v>
      </c>
      <c r="Q2437" t="s">
        <v>19900</v>
      </c>
      <c r="R2437" t="s">
        <v>19447</v>
      </c>
      <c r="S2437" t="s">
        <v>19447</v>
      </c>
      <c r="T2437" t="s">
        <v>19903</v>
      </c>
    </row>
    <row r="2438" spans="2:20" x14ac:dyDescent="0.25">
      <c r="B2438" t="s">
        <v>2709</v>
      </c>
      <c r="C2438">
        <v>29161919</v>
      </c>
      <c r="E2438">
        <v>68.819999999999993</v>
      </c>
      <c r="F2438">
        <v>0</v>
      </c>
      <c r="G2438">
        <v>0</v>
      </c>
      <c r="H2438" t="s">
        <v>19447</v>
      </c>
      <c r="I2438" t="s">
        <v>19447</v>
      </c>
      <c r="J2438">
        <v>2</v>
      </c>
      <c r="L2438" t="s">
        <v>2709</v>
      </c>
      <c r="M2438">
        <v>29161919</v>
      </c>
      <c r="O2438" t="s">
        <v>20028</v>
      </c>
      <c r="P2438" t="s">
        <v>19900</v>
      </c>
      <c r="Q2438" t="s">
        <v>19900</v>
      </c>
      <c r="R2438" t="s">
        <v>19447</v>
      </c>
      <c r="S2438" t="s">
        <v>19447</v>
      </c>
      <c r="T2438" t="s">
        <v>19901</v>
      </c>
    </row>
    <row r="2439" spans="2:20" x14ac:dyDescent="0.25">
      <c r="B2439" t="s">
        <v>2709</v>
      </c>
      <c r="C2439">
        <v>29161921</v>
      </c>
      <c r="E2439">
        <v>68.819999999999993</v>
      </c>
      <c r="F2439">
        <v>0</v>
      </c>
      <c r="G2439">
        <v>0</v>
      </c>
      <c r="H2439" t="s">
        <v>19447</v>
      </c>
      <c r="I2439" t="s">
        <v>19447</v>
      </c>
      <c r="J2439">
        <v>2</v>
      </c>
      <c r="L2439" t="s">
        <v>2709</v>
      </c>
      <c r="M2439">
        <v>29161921</v>
      </c>
      <c r="O2439" t="s">
        <v>20028</v>
      </c>
      <c r="P2439" t="s">
        <v>19900</v>
      </c>
      <c r="Q2439" t="s">
        <v>19900</v>
      </c>
      <c r="R2439" t="s">
        <v>19447</v>
      </c>
      <c r="S2439" t="s">
        <v>19447</v>
      </c>
      <c r="T2439" t="s">
        <v>19901</v>
      </c>
    </row>
    <row r="2440" spans="2:20" x14ac:dyDescent="0.25">
      <c r="B2440" t="s">
        <v>2709</v>
      </c>
      <c r="C2440">
        <v>29161922</v>
      </c>
      <c r="E2440">
        <v>68.819999999999993</v>
      </c>
      <c r="F2440">
        <v>0</v>
      </c>
      <c r="G2440">
        <v>0</v>
      </c>
      <c r="H2440" t="s">
        <v>19447</v>
      </c>
      <c r="I2440" t="s">
        <v>19447</v>
      </c>
      <c r="J2440">
        <v>2</v>
      </c>
      <c r="L2440" t="s">
        <v>2709</v>
      </c>
      <c r="M2440">
        <v>29161922</v>
      </c>
      <c r="O2440" t="s">
        <v>20028</v>
      </c>
      <c r="P2440" t="s">
        <v>19900</v>
      </c>
      <c r="Q2440" t="s">
        <v>19900</v>
      </c>
      <c r="R2440" t="s">
        <v>19447</v>
      </c>
      <c r="S2440" t="s">
        <v>19447</v>
      </c>
      <c r="T2440" t="s">
        <v>19901</v>
      </c>
    </row>
    <row r="2441" spans="2:20" x14ac:dyDescent="0.25">
      <c r="B2441" t="s">
        <v>2709</v>
      </c>
      <c r="C2441">
        <v>29161923</v>
      </c>
      <c r="E2441">
        <v>68.819999999999993</v>
      </c>
      <c r="F2441">
        <v>0</v>
      </c>
      <c r="G2441">
        <v>0</v>
      </c>
      <c r="H2441" t="s">
        <v>19447</v>
      </c>
      <c r="I2441" t="s">
        <v>19447</v>
      </c>
      <c r="J2441">
        <v>2</v>
      </c>
      <c r="L2441" t="s">
        <v>2709</v>
      </c>
      <c r="M2441">
        <v>29161923</v>
      </c>
      <c r="O2441" t="s">
        <v>20028</v>
      </c>
      <c r="P2441" t="s">
        <v>19900</v>
      </c>
      <c r="Q2441" t="s">
        <v>19900</v>
      </c>
      <c r="R2441" t="s">
        <v>19447</v>
      </c>
      <c r="S2441" t="s">
        <v>19447</v>
      </c>
      <c r="T2441" t="s">
        <v>19901</v>
      </c>
    </row>
    <row r="2442" spans="2:20" x14ac:dyDescent="0.25">
      <c r="B2442" t="s">
        <v>2709</v>
      </c>
      <c r="C2442">
        <v>29161929</v>
      </c>
      <c r="E2442">
        <v>68.819999999999993</v>
      </c>
      <c r="F2442">
        <v>0</v>
      </c>
      <c r="G2442">
        <v>0</v>
      </c>
      <c r="H2442" t="s">
        <v>19447</v>
      </c>
      <c r="I2442" t="s">
        <v>19447</v>
      </c>
      <c r="J2442">
        <v>2</v>
      </c>
      <c r="L2442" t="s">
        <v>2709</v>
      </c>
      <c r="M2442">
        <v>29161929</v>
      </c>
      <c r="O2442" t="s">
        <v>20028</v>
      </c>
      <c r="P2442" t="s">
        <v>19900</v>
      </c>
      <c r="Q2442" t="s">
        <v>19900</v>
      </c>
      <c r="R2442" t="s">
        <v>19447</v>
      </c>
      <c r="S2442" t="s">
        <v>19447</v>
      </c>
      <c r="T2442" t="s">
        <v>19901</v>
      </c>
    </row>
    <row r="2443" spans="2:20" x14ac:dyDescent="0.25">
      <c r="B2443" t="s">
        <v>2709</v>
      </c>
      <c r="C2443">
        <v>29161990</v>
      </c>
      <c r="E2443">
        <v>68.819999999999993</v>
      </c>
      <c r="F2443">
        <v>0</v>
      </c>
      <c r="G2443">
        <v>0</v>
      </c>
      <c r="H2443" t="s">
        <v>19447</v>
      </c>
      <c r="I2443" t="s">
        <v>19447</v>
      </c>
      <c r="J2443">
        <v>2</v>
      </c>
      <c r="L2443" t="s">
        <v>2709</v>
      </c>
      <c r="M2443">
        <v>29161990</v>
      </c>
      <c r="O2443" t="s">
        <v>20028</v>
      </c>
      <c r="P2443" t="s">
        <v>19900</v>
      </c>
      <c r="Q2443" t="s">
        <v>19900</v>
      </c>
      <c r="R2443" t="s">
        <v>19447</v>
      </c>
      <c r="S2443" t="s">
        <v>19447</v>
      </c>
      <c r="T2443" t="s">
        <v>19901</v>
      </c>
    </row>
    <row r="2444" spans="2:20" x14ac:dyDescent="0.25">
      <c r="B2444" t="s">
        <v>2709</v>
      </c>
      <c r="C2444">
        <v>29162011</v>
      </c>
      <c r="E2444">
        <v>68.819999999999993</v>
      </c>
      <c r="F2444">
        <v>0</v>
      </c>
      <c r="G2444">
        <v>0</v>
      </c>
      <c r="H2444" t="s">
        <v>19447</v>
      </c>
      <c r="I2444" t="s">
        <v>19447</v>
      </c>
      <c r="J2444">
        <v>2</v>
      </c>
      <c r="L2444" t="s">
        <v>2709</v>
      </c>
      <c r="M2444">
        <v>29162011</v>
      </c>
      <c r="O2444" t="s">
        <v>20028</v>
      </c>
      <c r="P2444" t="s">
        <v>19900</v>
      </c>
      <c r="Q2444" t="s">
        <v>19900</v>
      </c>
      <c r="R2444" t="s">
        <v>19447</v>
      </c>
      <c r="S2444" t="s">
        <v>19447</v>
      </c>
      <c r="T2444" t="s">
        <v>19901</v>
      </c>
    </row>
    <row r="2445" spans="2:20" x14ac:dyDescent="0.25">
      <c r="B2445" t="s">
        <v>2709</v>
      </c>
      <c r="C2445">
        <v>29162012</v>
      </c>
      <c r="E2445">
        <v>68.819999999999993</v>
      </c>
      <c r="F2445">
        <v>0</v>
      </c>
      <c r="G2445">
        <v>0</v>
      </c>
      <c r="H2445" t="s">
        <v>19447</v>
      </c>
      <c r="I2445" t="s">
        <v>19447</v>
      </c>
      <c r="J2445">
        <v>2</v>
      </c>
      <c r="L2445" t="s">
        <v>2709</v>
      </c>
      <c r="M2445">
        <v>29162012</v>
      </c>
      <c r="O2445" t="s">
        <v>20028</v>
      </c>
      <c r="P2445" t="s">
        <v>19900</v>
      </c>
      <c r="Q2445" t="s">
        <v>19900</v>
      </c>
      <c r="R2445" t="s">
        <v>19447</v>
      </c>
      <c r="S2445" t="s">
        <v>19447</v>
      </c>
      <c r="T2445" t="s">
        <v>19901</v>
      </c>
    </row>
    <row r="2446" spans="2:20" x14ac:dyDescent="0.25">
      <c r="B2446" t="s">
        <v>2709</v>
      </c>
      <c r="C2446">
        <v>29162013</v>
      </c>
      <c r="E2446">
        <v>68.819999999999993</v>
      </c>
      <c r="F2446">
        <v>0</v>
      </c>
      <c r="G2446">
        <v>0</v>
      </c>
      <c r="H2446" t="s">
        <v>19447</v>
      </c>
      <c r="I2446" t="s">
        <v>19447</v>
      </c>
      <c r="J2446">
        <v>2</v>
      </c>
      <c r="L2446" t="s">
        <v>2709</v>
      </c>
      <c r="M2446">
        <v>29162013</v>
      </c>
      <c r="O2446" t="s">
        <v>20028</v>
      </c>
      <c r="P2446" t="s">
        <v>19900</v>
      </c>
      <c r="Q2446" t="s">
        <v>19900</v>
      </c>
      <c r="R2446" t="s">
        <v>19447</v>
      </c>
      <c r="S2446" t="s">
        <v>19447</v>
      </c>
      <c r="T2446" t="s">
        <v>19901</v>
      </c>
    </row>
    <row r="2447" spans="2:20" x14ac:dyDescent="0.25">
      <c r="B2447" t="s">
        <v>2709</v>
      </c>
      <c r="C2447">
        <v>29162014</v>
      </c>
      <c r="E2447">
        <v>68.819999999999993</v>
      </c>
      <c r="F2447">
        <v>0</v>
      </c>
      <c r="G2447">
        <v>0</v>
      </c>
      <c r="H2447" t="s">
        <v>19447</v>
      </c>
      <c r="I2447" t="s">
        <v>19447</v>
      </c>
      <c r="J2447">
        <v>12</v>
      </c>
      <c r="L2447" t="s">
        <v>2709</v>
      </c>
      <c r="M2447">
        <v>29162014</v>
      </c>
      <c r="O2447" t="s">
        <v>20028</v>
      </c>
      <c r="P2447" t="s">
        <v>19900</v>
      </c>
      <c r="Q2447" t="s">
        <v>19900</v>
      </c>
      <c r="R2447" t="s">
        <v>19447</v>
      </c>
      <c r="S2447" t="s">
        <v>19447</v>
      </c>
      <c r="T2447" t="s">
        <v>19903</v>
      </c>
    </row>
    <row r="2448" spans="2:20" x14ac:dyDescent="0.25">
      <c r="B2448" t="s">
        <v>2709</v>
      </c>
      <c r="C2448">
        <v>29162015</v>
      </c>
      <c r="E2448">
        <v>68.819999999999993</v>
      </c>
      <c r="F2448">
        <v>0</v>
      </c>
      <c r="G2448">
        <v>0</v>
      </c>
      <c r="H2448" t="s">
        <v>19447</v>
      </c>
      <c r="I2448" t="s">
        <v>19447</v>
      </c>
      <c r="J2448">
        <v>2</v>
      </c>
      <c r="L2448" t="s">
        <v>2709</v>
      </c>
      <c r="M2448">
        <v>29162015</v>
      </c>
      <c r="O2448" t="s">
        <v>20028</v>
      </c>
      <c r="P2448" t="s">
        <v>19900</v>
      </c>
      <c r="Q2448" t="s">
        <v>19900</v>
      </c>
      <c r="R2448" t="s">
        <v>19447</v>
      </c>
      <c r="S2448" t="s">
        <v>19447</v>
      </c>
      <c r="T2448" t="s">
        <v>19901</v>
      </c>
    </row>
    <row r="2449" spans="2:20" x14ac:dyDescent="0.25">
      <c r="B2449" t="s">
        <v>2709</v>
      </c>
      <c r="C2449">
        <v>29162019</v>
      </c>
      <c r="E2449">
        <v>68.819999999999993</v>
      </c>
      <c r="F2449">
        <v>0</v>
      </c>
      <c r="G2449">
        <v>0</v>
      </c>
      <c r="H2449" t="s">
        <v>19447</v>
      </c>
      <c r="I2449" t="s">
        <v>19447</v>
      </c>
      <c r="J2449">
        <v>2</v>
      </c>
      <c r="L2449" t="s">
        <v>2709</v>
      </c>
      <c r="M2449">
        <v>29162019</v>
      </c>
      <c r="O2449" t="s">
        <v>20028</v>
      </c>
      <c r="P2449" t="s">
        <v>19900</v>
      </c>
      <c r="Q2449" t="s">
        <v>19900</v>
      </c>
      <c r="R2449" t="s">
        <v>19447</v>
      </c>
      <c r="S2449" t="s">
        <v>19447</v>
      </c>
      <c r="T2449" t="s">
        <v>19901</v>
      </c>
    </row>
    <row r="2450" spans="2:20" x14ac:dyDescent="0.25">
      <c r="B2450" t="s">
        <v>2709</v>
      </c>
      <c r="C2450">
        <v>29162090</v>
      </c>
      <c r="E2450">
        <v>68.819999999999993</v>
      </c>
      <c r="F2450">
        <v>0</v>
      </c>
      <c r="G2450">
        <v>0</v>
      </c>
      <c r="H2450" t="s">
        <v>19447</v>
      </c>
      <c r="I2450" t="s">
        <v>19447</v>
      </c>
      <c r="J2450">
        <v>2</v>
      </c>
      <c r="L2450" t="s">
        <v>2709</v>
      </c>
      <c r="M2450">
        <v>29162090</v>
      </c>
      <c r="O2450" t="s">
        <v>20028</v>
      </c>
      <c r="P2450" t="s">
        <v>19900</v>
      </c>
      <c r="Q2450" t="s">
        <v>19900</v>
      </c>
      <c r="R2450" t="s">
        <v>19447</v>
      </c>
      <c r="S2450" t="s">
        <v>19447</v>
      </c>
      <c r="T2450" t="s">
        <v>19901</v>
      </c>
    </row>
    <row r="2451" spans="2:20" x14ac:dyDescent="0.25">
      <c r="B2451" t="s">
        <v>2709</v>
      </c>
      <c r="C2451">
        <v>29163110</v>
      </c>
      <c r="E2451">
        <v>68.819999999999993</v>
      </c>
      <c r="F2451">
        <v>0</v>
      </c>
      <c r="G2451">
        <v>0</v>
      </c>
      <c r="H2451" t="s">
        <v>19447</v>
      </c>
      <c r="I2451" t="s">
        <v>19447</v>
      </c>
      <c r="J2451">
        <v>12</v>
      </c>
      <c r="L2451" t="s">
        <v>2709</v>
      </c>
      <c r="M2451">
        <v>29163110</v>
      </c>
      <c r="O2451" t="s">
        <v>20028</v>
      </c>
      <c r="P2451" t="s">
        <v>19900</v>
      </c>
      <c r="Q2451" t="s">
        <v>19900</v>
      </c>
      <c r="R2451" t="s">
        <v>19447</v>
      </c>
      <c r="S2451" t="s">
        <v>19447</v>
      </c>
      <c r="T2451" t="s">
        <v>19903</v>
      </c>
    </row>
    <row r="2452" spans="2:20" x14ac:dyDescent="0.25">
      <c r="B2452" t="s">
        <v>2709</v>
      </c>
      <c r="C2452">
        <v>29163121</v>
      </c>
      <c r="E2452">
        <v>68.819999999999993</v>
      </c>
      <c r="F2452">
        <v>0</v>
      </c>
      <c r="G2452">
        <v>0</v>
      </c>
      <c r="H2452" t="s">
        <v>19447</v>
      </c>
      <c r="I2452" t="s">
        <v>19447</v>
      </c>
      <c r="J2452">
        <v>12</v>
      </c>
      <c r="L2452" t="s">
        <v>2709</v>
      </c>
      <c r="M2452">
        <v>29163121</v>
      </c>
      <c r="O2452" t="s">
        <v>20028</v>
      </c>
      <c r="P2452" t="s">
        <v>19900</v>
      </c>
      <c r="Q2452" t="s">
        <v>19900</v>
      </c>
      <c r="R2452" t="s">
        <v>19447</v>
      </c>
      <c r="S2452" t="s">
        <v>19447</v>
      </c>
      <c r="T2452" t="s">
        <v>19903</v>
      </c>
    </row>
    <row r="2453" spans="2:20" x14ac:dyDescent="0.25">
      <c r="B2453" t="s">
        <v>2709</v>
      </c>
      <c r="C2453">
        <v>29163122</v>
      </c>
      <c r="E2453">
        <v>68.819999999999993</v>
      </c>
      <c r="F2453">
        <v>0</v>
      </c>
      <c r="G2453">
        <v>0</v>
      </c>
      <c r="H2453" t="s">
        <v>19447</v>
      </c>
      <c r="I2453" t="s">
        <v>19447</v>
      </c>
      <c r="J2453">
        <v>12</v>
      </c>
      <c r="L2453" t="s">
        <v>2709</v>
      </c>
      <c r="M2453">
        <v>29163122</v>
      </c>
      <c r="O2453" t="s">
        <v>20028</v>
      </c>
      <c r="P2453" t="s">
        <v>19900</v>
      </c>
      <c r="Q2453" t="s">
        <v>19900</v>
      </c>
      <c r="R2453" t="s">
        <v>19447</v>
      </c>
      <c r="S2453" t="s">
        <v>19447</v>
      </c>
      <c r="T2453" t="s">
        <v>19903</v>
      </c>
    </row>
    <row r="2454" spans="2:20" x14ac:dyDescent="0.25">
      <c r="B2454" t="s">
        <v>2709</v>
      </c>
      <c r="C2454">
        <v>29163129</v>
      </c>
      <c r="E2454">
        <v>68.819999999999993</v>
      </c>
      <c r="F2454">
        <v>0</v>
      </c>
      <c r="G2454">
        <v>0</v>
      </c>
      <c r="H2454" t="s">
        <v>19447</v>
      </c>
      <c r="I2454" t="s">
        <v>19447</v>
      </c>
      <c r="J2454">
        <v>2</v>
      </c>
      <c r="L2454" t="s">
        <v>2709</v>
      </c>
      <c r="M2454">
        <v>29163129</v>
      </c>
      <c r="O2454" t="s">
        <v>20028</v>
      </c>
      <c r="P2454" t="s">
        <v>19900</v>
      </c>
      <c r="Q2454" t="s">
        <v>19900</v>
      </c>
      <c r="R2454" t="s">
        <v>19447</v>
      </c>
      <c r="S2454" t="s">
        <v>19447</v>
      </c>
      <c r="T2454" t="s">
        <v>19901</v>
      </c>
    </row>
    <row r="2455" spans="2:20" x14ac:dyDescent="0.25">
      <c r="B2455" t="s">
        <v>2709</v>
      </c>
      <c r="C2455">
        <v>29163131</v>
      </c>
      <c r="E2455">
        <v>68.819999999999993</v>
      </c>
      <c r="F2455">
        <v>0</v>
      </c>
      <c r="G2455">
        <v>0</v>
      </c>
      <c r="H2455" t="s">
        <v>19447</v>
      </c>
      <c r="I2455" t="s">
        <v>19447</v>
      </c>
      <c r="J2455">
        <v>12</v>
      </c>
      <c r="L2455" t="s">
        <v>2709</v>
      </c>
      <c r="M2455">
        <v>29163131</v>
      </c>
      <c r="O2455" t="s">
        <v>20028</v>
      </c>
      <c r="P2455" t="s">
        <v>19900</v>
      </c>
      <c r="Q2455" t="s">
        <v>19900</v>
      </c>
      <c r="R2455" t="s">
        <v>19447</v>
      </c>
      <c r="S2455" t="s">
        <v>19447</v>
      </c>
      <c r="T2455" t="s">
        <v>19903</v>
      </c>
    </row>
    <row r="2456" spans="2:20" x14ac:dyDescent="0.25">
      <c r="B2456" t="s">
        <v>2709</v>
      </c>
      <c r="C2456">
        <v>29163132</v>
      </c>
      <c r="E2456">
        <v>68.819999999999993</v>
      </c>
      <c r="F2456">
        <v>0</v>
      </c>
      <c r="G2456">
        <v>0</v>
      </c>
      <c r="H2456" t="s">
        <v>19447</v>
      </c>
      <c r="I2456" t="s">
        <v>19447</v>
      </c>
      <c r="J2456">
        <v>12</v>
      </c>
      <c r="L2456" t="s">
        <v>2709</v>
      </c>
      <c r="M2456">
        <v>29163132</v>
      </c>
      <c r="O2456" t="s">
        <v>20028</v>
      </c>
      <c r="P2456" t="s">
        <v>19900</v>
      </c>
      <c r="Q2456" t="s">
        <v>19900</v>
      </c>
      <c r="R2456" t="s">
        <v>19447</v>
      </c>
      <c r="S2456" t="s">
        <v>19447</v>
      </c>
      <c r="T2456" t="s">
        <v>19903</v>
      </c>
    </row>
    <row r="2457" spans="2:20" x14ac:dyDescent="0.25">
      <c r="B2457" t="s">
        <v>2709</v>
      </c>
      <c r="C2457">
        <v>29163139</v>
      </c>
      <c r="E2457">
        <v>68.819999999999993</v>
      </c>
      <c r="F2457">
        <v>0</v>
      </c>
      <c r="G2457">
        <v>0</v>
      </c>
      <c r="H2457" t="s">
        <v>19447</v>
      </c>
      <c r="I2457" t="s">
        <v>19447</v>
      </c>
      <c r="J2457">
        <v>2</v>
      </c>
      <c r="L2457" t="s">
        <v>2709</v>
      </c>
      <c r="M2457">
        <v>29163139</v>
      </c>
      <c r="O2457" t="s">
        <v>20028</v>
      </c>
      <c r="P2457" t="s">
        <v>19900</v>
      </c>
      <c r="Q2457" t="s">
        <v>19900</v>
      </c>
      <c r="R2457" t="s">
        <v>19447</v>
      </c>
      <c r="S2457" t="s">
        <v>19447</v>
      </c>
      <c r="T2457" t="s">
        <v>19901</v>
      </c>
    </row>
    <row r="2458" spans="2:20" x14ac:dyDescent="0.25">
      <c r="B2458" t="s">
        <v>2709</v>
      </c>
      <c r="C2458">
        <v>29163210</v>
      </c>
      <c r="E2458">
        <v>68.819999999999993</v>
      </c>
      <c r="F2458">
        <v>0</v>
      </c>
      <c r="G2458">
        <v>0</v>
      </c>
      <c r="H2458" t="s">
        <v>19447</v>
      </c>
      <c r="I2458" t="s">
        <v>19447</v>
      </c>
      <c r="J2458">
        <v>12</v>
      </c>
      <c r="L2458" t="s">
        <v>2709</v>
      </c>
      <c r="M2458">
        <v>29163210</v>
      </c>
      <c r="O2458" t="s">
        <v>20028</v>
      </c>
      <c r="P2458" t="s">
        <v>19900</v>
      </c>
      <c r="Q2458" t="s">
        <v>19900</v>
      </c>
      <c r="R2458" t="s">
        <v>19447</v>
      </c>
      <c r="S2458" t="s">
        <v>19447</v>
      </c>
      <c r="T2458" t="s">
        <v>19903</v>
      </c>
    </row>
    <row r="2459" spans="2:20" x14ac:dyDescent="0.25">
      <c r="B2459" t="s">
        <v>2709</v>
      </c>
      <c r="C2459">
        <v>29163220</v>
      </c>
      <c r="E2459">
        <v>68.819999999999993</v>
      </c>
      <c r="F2459">
        <v>0</v>
      </c>
      <c r="G2459">
        <v>0</v>
      </c>
      <c r="H2459" t="s">
        <v>19447</v>
      </c>
      <c r="I2459" t="s">
        <v>19447</v>
      </c>
      <c r="J2459">
        <v>2</v>
      </c>
      <c r="L2459" t="s">
        <v>2709</v>
      </c>
      <c r="M2459">
        <v>29163220</v>
      </c>
      <c r="O2459" t="s">
        <v>20028</v>
      </c>
      <c r="P2459" t="s">
        <v>19900</v>
      </c>
      <c r="Q2459" t="s">
        <v>19900</v>
      </c>
      <c r="R2459" t="s">
        <v>19447</v>
      </c>
      <c r="S2459" t="s">
        <v>19447</v>
      </c>
      <c r="T2459" t="s">
        <v>19901</v>
      </c>
    </row>
    <row r="2460" spans="2:20" x14ac:dyDescent="0.25">
      <c r="B2460" t="s">
        <v>2709</v>
      </c>
      <c r="C2460">
        <v>29163400</v>
      </c>
      <c r="E2460">
        <v>68.819999999999993</v>
      </c>
      <c r="F2460">
        <v>0</v>
      </c>
      <c r="G2460">
        <v>0</v>
      </c>
      <c r="H2460" t="s">
        <v>19447</v>
      </c>
      <c r="I2460" t="s">
        <v>19447</v>
      </c>
      <c r="J2460">
        <v>2</v>
      </c>
      <c r="L2460" t="s">
        <v>2709</v>
      </c>
      <c r="M2460">
        <v>29163400</v>
      </c>
      <c r="O2460" t="s">
        <v>20028</v>
      </c>
      <c r="P2460" t="s">
        <v>19900</v>
      </c>
      <c r="Q2460" t="s">
        <v>19900</v>
      </c>
      <c r="R2460" t="s">
        <v>19447</v>
      </c>
      <c r="S2460" t="s">
        <v>19447</v>
      </c>
      <c r="T2460" t="s">
        <v>19901</v>
      </c>
    </row>
    <row r="2461" spans="2:20" x14ac:dyDescent="0.25">
      <c r="B2461" t="s">
        <v>2709</v>
      </c>
      <c r="C2461">
        <v>29163910</v>
      </c>
      <c r="E2461">
        <v>68.819999999999993</v>
      </c>
      <c r="F2461">
        <v>0</v>
      </c>
      <c r="G2461">
        <v>0</v>
      </c>
      <c r="H2461" t="s">
        <v>19447</v>
      </c>
      <c r="I2461" t="s">
        <v>19447</v>
      </c>
      <c r="J2461">
        <v>2</v>
      </c>
      <c r="L2461" t="s">
        <v>2709</v>
      </c>
      <c r="M2461">
        <v>29163910</v>
      </c>
      <c r="O2461" t="s">
        <v>20028</v>
      </c>
      <c r="P2461" t="s">
        <v>19900</v>
      </c>
      <c r="Q2461" t="s">
        <v>19900</v>
      </c>
      <c r="R2461" t="s">
        <v>19447</v>
      </c>
      <c r="S2461" t="s">
        <v>19447</v>
      </c>
      <c r="T2461" t="s">
        <v>19901</v>
      </c>
    </row>
    <row r="2462" spans="2:20" x14ac:dyDescent="0.25">
      <c r="B2462" t="s">
        <v>2709</v>
      </c>
      <c r="C2462">
        <v>29163920</v>
      </c>
      <c r="E2462">
        <v>68.819999999999993</v>
      </c>
      <c r="F2462">
        <v>0</v>
      </c>
      <c r="G2462">
        <v>0</v>
      </c>
      <c r="H2462" t="s">
        <v>19447</v>
      </c>
      <c r="I2462" t="s">
        <v>19447</v>
      </c>
      <c r="J2462">
        <v>2</v>
      </c>
      <c r="L2462" t="s">
        <v>2709</v>
      </c>
      <c r="M2462">
        <v>29163920</v>
      </c>
      <c r="O2462" t="s">
        <v>20028</v>
      </c>
      <c r="P2462" t="s">
        <v>19900</v>
      </c>
      <c r="Q2462" t="s">
        <v>19900</v>
      </c>
      <c r="R2462" t="s">
        <v>19447</v>
      </c>
      <c r="S2462" t="s">
        <v>19447</v>
      </c>
      <c r="T2462" t="s">
        <v>19901</v>
      </c>
    </row>
    <row r="2463" spans="2:20" x14ac:dyDescent="0.25">
      <c r="B2463" t="s">
        <v>2709</v>
      </c>
      <c r="C2463">
        <v>29163930</v>
      </c>
      <c r="E2463">
        <v>68.819999999999993</v>
      </c>
      <c r="F2463">
        <v>0</v>
      </c>
      <c r="G2463">
        <v>0</v>
      </c>
      <c r="H2463" t="s">
        <v>19447</v>
      </c>
      <c r="I2463" t="s">
        <v>19447</v>
      </c>
      <c r="J2463">
        <v>2</v>
      </c>
      <c r="L2463" t="s">
        <v>2709</v>
      </c>
      <c r="M2463">
        <v>29163930</v>
      </c>
      <c r="O2463" t="s">
        <v>20028</v>
      </c>
      <c r="P2463" t="s">
        <v>19900</v>
      </c>
      <c r="Q2463" t="s">
        <v>19900</v>
      </c>
      <c r="R2463" t="s">
        <v>19447</v>
      </c>
      <c r="S2463" t="s">
        <v>19447</v>
      </c>
      <c r="T2463" t="s">
        <v>19901</v>
      </c>
    </row>
    <row r="2464" spans="2:20" x14ac:dyDescent="0.25">
      <c r="B2464" t="s">
        <v>2709</v>
      </c>
      <c r="C2464">
        <v>29163940</v>
      </c>
      <c r="E2464">
        <v>68.819999999999993</v>
      </c>
      <c r="F2464">
        <v>0</v>
      </c>
      <c r="G2464">
        <v>0</v>
      </c>
      <c r="H2464" t="s">
        <v>19447</v>
      </c>
      <c r="I2464" t="s">
        <v>19447</v>
      </c>
      <c r="J2464">
        <v>12</v>
      </c>
      <c r="L2464" t="s">
        <v>2709</v>
      </c>
      <c r="M2464">
        <v>29163940</v>
      </c>
      <c r="O2464" t="s">
        <v>20028</v>
      </c>
      <c r="P2464" t="s">
        <v>19900</v>
      </c>
      <c r="Q2464" t="s">
        <v>19900</v>
      </c>
      <c r="R2464" t="s">
        <v>19447</v>
      </c>
      <c r="S2464" t="s">
        <v>19447</v>
      </c>
      <c r="T2464" t="s">
        <v>19903</v>
      </c>
    </row>
    <row r="2465" spans="2:20" x14ac:dyDescent="0.25">
      <c r="B2465" t="s">
        <v>2709</v>
      </c>
      <c r="C2465">
        <v>29163990</v>
      </c>
      <c r="E2465">
        <v>68.819999999999993</v>
      </c>
      <c r="F2465">
        <v>0</v>
      </c>
      <c r="G2465">
        <v>0</v>
      </c>
      <c r="H2465" t="s">
        <v>19447</v>
      </c>
      <c r="I2465" t="s">
        <v>19447</v>
      </c>
      <c r="J2465">
        <v>2</v>
      </c>
      <c r="L2465" t="s">
        <v>2709</v>
      </c>
      <c r="M2465">
        <v>29163990</v>
      </c>
      <c r="O2465" t="s">
        <v>20028</v>
      </c>
      <c r="P2465" t="s">
        <v>19900</v>
      </c>
      <c r="Q2465" t="s">
        <v>19900</v>
      </c>
      <c r="R2465" t="s">
        <v>19447</v>
      </c>
      <c r="S2465" t="s">
        <v>19447</v>
      </c>
      <c r="T2465" t="s">
        <v>19901</v>
      </c>
    </row>
    <row r="2466" spans="2:20" x14ac:dyDescent="0.25">
      <c r="B2466" t="s">
        <v>2709</v>
      </c>
      <c r="C2466">
        <v>29171110</v>
      </c>
      <c r="E2466">
        <v>58.48</v>
      </c>
      <c r="F2466">
        <v>0</v>
      </c>
      <c r="G2466">
        <v>0</v>
      </c>
      <c r="H2466" t="s">
        <v>19447</v>
      </c>
      <c r="I2466" t="s">
        <v>19447</v>
      </c>
      <c r="J2466">
        <v>2</v>
      </c>
      <c r="L2466" t="s">
        <v>2709</v>
      </c>
      <c r="M2466">
        <v>29171110</v>
      </c>
      <c r="O2466" t="s">
        <v>20030</v>
      </c>
      <c r="P2466" t="s">
        <v>19900</v>
      </c>
      <c r="Q2466" t="s">
        <v>19900</v>
      </c>
      <c r="R2466" t="s">
        <v>19447</v>
      </c>
      <c r="S2466" t="s">
        <v>19447</v>
      </c>
      <c r="T2466" t="s">
        <v>19901</v>
      </c>
    </row>
    <row r="2467" spans="2:20" x14ac:dyDescent="0.25">
      <c r="B2467" t="s">
        <v>2709</v>
      </c>
      <c r="C2467">
        <v>29171120</v>
      </c>
      <c r="E2467">
        <v>68.819999999999993</v>
      </c>
      <c r="F2467">
        <v>0</v>
      </c>
      <c r="G2467">
        <v>0</v>
      </c>
      <c r="H2467" t="s">
        <v>19447</v>
      </c>
      <c r="I2467" t="s">
        <v>19447</v>
      </c>
      <c r="J2467">
        <v>2</v>
      </c>
      <c r="L2467" t="s">
        <v>2709</v>
      </c>
      <c r="M2467">
        <v>29171120</v>
      </c>
      <c r="O2467" t="s">
        <v>20028</v>
      </c>
      <c r="P2467" t="s">
        <v>19900</v>
      </c>
      <c r="Q2467" t="s">
        <v>19900</v>
      </c>
      <c r="R2467" t="s">
        <v>19447</v>
      </c>
      <c r="S2467" t="s">
        <v>19447</v>
      </c>
      <c r="T2467" t="s">
        <v>19901</v>
      </c>
    </row>
    <row r="2468" spans="2:20" x14ac:dyDescent="0.25">
      <c r="B2468" t="s">
        <v>2709</v>
      </c>
      <c r="C2468">
        <v>29171210</v>
      </c>
      <c r="E2468">
        <v>68.819999999999993</v>
      </c>
      <c r="F2468">
        <v>0</v>
      </c>
      <c r="G2468">
        <v>0</v>
      </c>
      <c r="H2468" t="s">
        <v>19447</v>
      </c>
      <c r="I2468" t="s">
        <v>19447</v>
      </c>
      <c r="J2468">
        <v>10</v>
      </c>
      <c r="L2468" t="s">
        <v>2709</v>
      </c>
      <c r="M2468">
        <v>29171210</v>
      </c>
      <c r="O2468" t="s">
        <v>20028</v>
      </c>
      <c r="P2468" t="s">
        <v>19900</v>
      </c>
      <c r="Q2468" t="s">
        <v>19900</v>
      </c>
      <c r="R2468" t="s">
        <v>19447</v>
      </c>
      <c r="S2468" t="s">
        <v>19447</v>
      </c>
      <c r="T2468" t="s">
        <v>19904</v>
      </c>
    </row>
    <row r="2469" spans="2:20" x14ac:dyDescent="0.25">
      <c r="B2469" t="s">
        <v>2709</v>
      </c>
      <c r="C2469">
        <v>29171220</v>
      </c>
      <c r="E2469">
        <v>68.819999999999993</v>
      </c>
      <c r="F2469">
        <v>0</v>
      </c>
      <c r="G2469">
        <v>0</v>
      </c>
      <c r="H2469" t="s">
        <v>19447</v>
      </c>
      <c r="I2469" t="s">
        <v>19447</v>
      </c>
      <c r="J2469">
        <v>12</v>
      </c>
      <c r="L2469" t="s">
        <v>2709</v>
      </c>
      <c r="M2469">
        <v>29171220</v>
      </c>
      <c r="O2469" t="s">
        <v>20028</v>
      </c>
      <c r="P2469" t="s">
        <v>19900</v>
      </c>
      <c r="Q2469" t="s">
        <v>19900</v>
      </c>
      <c r="R2469" t="s">
        <v>19447</v>
      </c>
      <c r="S2469" t="s">
        <v>19447</v>
      </c>
      <c r="T2469" t="s">
        <v>19903</v>
      </c>
    </row>
    <row r="2470" spans="2:20" x14ac:dyDescent="0.25">
      <c r="B2470" t="s">
        <v>2709</v>
      </c>
      <c r="C2470">
        <v>29171310</v>
      </c>
      <c r="E2470">
        <v>68.819999999999993</v>
      </c>
      <c r="F2470">
        <v>0</v>
      </c>
      <c r="G2470">
        <v>0</v>
      </c>
      <c r="H2470" t="s">
        <v>19447</v>
      </c>
      <c r="I2470" t="s">
        <v>19447</v>
      </c>
      <c r="J2470">
        <v>2</v>
      </c>
      <c r="L2470" t="s">
        <v>2709</v>
      </c>
      <c r="M2470">
        <v>29171310</v>
      </c>
      <c r="O2470" t="s">
        <v>20028</v>
      </c>
      <c r="P2470" t="s">
        <v>19900</v>
      </c>
      <c r="Q2470" t="s">
        <v>19900</v>
      </c>
      <c r="R2470" t="s">
        <v>19447</v>
      </c>
      <c r="S2470" t="s">
        <v>19447</v>
      </c>
      <c r="T2470" t="s">
        <v>19901</v>
      </c>
    </row>
    <row r="2471" spans="2:20" x14ac:dyDescent="0.25">
      <c r="B2471" t="s">
        <v>2709</v>
      </c>
      <c r="C2471">
        <v>29171321</v>
      </c>
      <c r="E2471">
        <v>68.819999999999993</v>
      </c>
      <c r="F2471">
        <v>0</v>
      </c>
      <c r="G2471">
        <v>0</v>
      </c>
      <c r="H2471" t="s">
        <v>19447</v>
      </c>
      <c r="I2471" t="s">
        <v>19447</v>
      </c>
      <c r="J2471">
        <v>2</v>
      </c>
      <c r="L2471" t="s">
        <v>2709</v>
      </c>
      <c r="M2471">
        <v>29171321</v>
      </c>
      <c r="O2471" t="s">
        <v>20028</v>
      </c>
      <c r="P2471" t="s">
        <v>19900</v>
      </c>
      <c r="Q2471" t="s">
        <v>19900</v>
      </c>
      <c r="R2471" t="s">
        <v>19447</v>
      </c>
      <c r="S2471" t="s">
        <v>19447</v>
      </c>
      <c r="T2471" t="s">
        <v>19901</v>
      </c>
    </row>
    <row r="2472" spans="2:20" x14ac:dyDescent="0.25">
      <c r="B2472" t="s">
        <v>2709</v>
      </c>
      <c r="C2472">
        <v>29171322</v>
      </c>
      <c r="E2472">
        <v>68.819999999999993</v>
      </c>
      <c r="F2472">
        <v>0</v>
      </c>
      <c r="G2472">
        <v>0</v>
      </c>
      <c r="H2472" t="s">
        <v>19447</v>
      </c>
      <c r="I2472" t="s">
        <v>19447</v>
      </c>
      <c r="J2472">
        <v>12</v>
      </c>
      <c r="L2472" t="s">
        <v>2709</v>
      </c>
      <c r="M2472">
        <v>29171322</v>
      </c>
      <c r="O2472" t="s">
        <v>20028</v>
      </c>
      <c r="P2472" t="s">
        <v>19900</v>
      </c>
      <c r="Q2472" t="s">
        <v>19900</v>
      </c>
      <c r="R2472" t="s">
        <v>19447</v>
      </c>
      <c r="S2472" t="s">
        <v>19447</v>
      </c>
      <c r="T2472" t="s">
        <v>19903</v>
      </c>
    </row>
    <row r="2473" spans="2:20" x14ac:dyDescent="0.25">
      <c r="B2473" t="s">
        <v>2709</v>
      </c>
      <c r="C2473">
        <v>29171323</v>
      </c>
      <c r="E2473">
        <v>68.819999999999993</v>
      </c>
      <c r="F2473">
        <v>0</v>
      </c>
      <c r="G2473">
        <v>0</v>
      </c>
      <c r="H2473" t="s">
        <v>19447</v>
      </c>
      <c r="I2473" t="s">
        <v>19447</v>
      </c>
      <c r="J2473">
        <v>12</v>
      </c>
      <c r="L2473" t="s">
        <v>2709</v>
      </c>
      <c r="M2473">
        <v>29171323</v>
      </c>
      <c r="O2473" t="s">
        <v>20028</v>
      </c>
      <c r="P2473" t="s">
        <v>19900</v>
      </c>
      <c r="Q2473" t="s">
        <v>19900</v>
      </c>
      <c r="R2473" t="s">
        <v>19447</v>
      </c>
      <c r="S2473" t="s">
        <v>19447</v>
      </c>
      <c r="T2473" t="s">
        <v>19903</v>
      </c>
    </row>
    <row r="2474" spans="2:20" x14ac:dyDescent="0.25">
      <c r="B2474" t="s">
        <v>2709</v>
      </c>
      <c r="C2474">
        <v>29171329</v>
      </c>
      <c r="E2474">
        <v>68.819999999999993</v>
      </c>
      <c r="F2474">
        <v>0</v>
      </c>
      <c r="G2474">
        <v>0</v>
      </c>
      <c r="H2474" t="s">
        <v>19447</v>
      </c>
      <c r="I2474" t="s">
        <v>19447</v>
      </c>
      <c r="J2474">
        <v>2</v>
      </c>
      <c r="L2474" t="s">
        <v>2709</v>
      </c>
      <c r="M2474">
        <v>29171329</v>
      </c>
      <c r="O2474" t="s">
        <v>20028</v>
      </c>
      <c r="P2474" t="s">
        <v>19900</v>
      </c>
      <c r="Q2474" t="s">
        <v>19900</v>
      </c>
      <c r="R2474" t="s">
        <v>19447</v>
      </c>
      <c r="S2474" t="s">
        <v>19447</v>
      </c>
      <c r="T2474" t="s">
        <v>19901</v>
      </c>
    </row>
    <row r="2475" spans="2:20" x14ac:dyDescent="0.25">
      <c r="B2475" t="s">
        <v>2709</v>
      </c>
      <c r="C2475">
        <v>29171400</v>
      </c>
      <c r="E2475">
        <v>68.819999999999993</v>
      </c>
      <c r="F2475">
        <v>0</v>
      </c>
      <c r="G2475">
        <v>0</v>
      </c>
      <c r="H2475" t="s">
        <v>19447</v>
      </c>
      <c r="I2475" t="s">
        <v>19447</v>
      </c>
      <c r="J2475">
        <v>12</v>
      </c>
      <c r="L2475" t="s">
        <v>2709</v>
      </c>
      <c r="M2475">
        <v>29171400</v>
      </c>
      <c r="O2475" t="s">
        <v>20028</v>
      </c>
      <c r="P2475" t="s">
        <v>19900</v>
      </c>
      <c r="Q2475" t="s">
        <v>19900</v>
      </c>
      <c r="R2475" t="s">
        <v>19447</v>
      </c>
      <c r="S2475" t="s">
        <v>19447</v>
      </c>
      <c r="T2475" t="s">
        <v>19903</v>
      </c>
    </row>
    <row r="2476" spans="2:20" x14ac:dyDescent="0.25">
      <c r="B2476" t="s">
        <v>2709</v>
      </c>
      <c r="C2476">
        <v>29171910</v>
      </c>
      <c r="E2476">
        <v>68.819999999999993</v>
      </c>
      <c r="F2476">
        <v>0</v>
      </c>
      <c r="G2476">
        <v>0</v>
      </c>
      <c r="H2476" t="s">
        <v>19447</v>
      </c>
      <c r="I2476" t="s">
        <v>19447</v>
      </c>
      <c r="J2476">
        <v>12</v>
      </c>
      <c r="L2476" t="s">
        <v>2709</v>
      </c>
      <c r="M2476">
        <v>29171910</v>
      </c>
      <c r="O2476" t="s">
        <v>20028</v>
      </c>
      <c r="P2476" t="s">
        <v>19900</v>
      </c>
      <c r="Q2476" t="s">
        <v>19900</v>
      </c>
      <c r="R2476" t="s">
        <v>19447</v>
      </c>
      <c r="S2476" t="s">
        <v>19447</v>
      </c>
      <c r="T2476" t="s">
        <v>19903</v>
      </c>
    </row>
    <row r="2477" spans="2:20" x14ac:dyDescent="0.25">
      <c r="B2477" t="s">
        <v>2709</v>
      </c>
      <c r="C2477">
        <v>29171921</v>
      </c>
      <c r="E2477">
        <v>68.819999999999993</v>
      </c>
      <c r="F2477">
        <v>0</v>
      </c>
      <c r="G2477">
        <v>0</v>
      </c>
      <c r="H2477" t="s">
        <v>19447</v>
      </c>
      <c r="I2477" t="s">
        <v>19447</v>
      </c>
      <c r="J2477">
        <v>12</v>
      </c>
      <c r="L2477" t="s">
        <v>2709</v>
      </c>
      <c r="M2477">
        <v>29171921</v>
      </c>
      <c r="O2477" t="s">
        <v>20028</v>
      </c>
      <c r="P2477" t="s">
        <v>19900</v>
      </c>
      <c r="Q2477" t="s">
        <v>19900</v>
      </c>
      <c r="R2477" t="s">
        <v>19447</v>
      </c>
      <c r="S2477" t="s">
        <v>19447</v>
      </c>
      <c r="T2477" t="s">
        <v>19903</v>
      </c>
    </row>
    <row r="2478" spans="2:20" x14ac:dyDescent="0.25">
      <c r="B2478" t="s">
        <v>2709</v>
      </c>
      <c r="C2478">
        <v>29171922</v>
      </c>
      <c r="E2478">
        <v>68.819999999999993</v>
      </c>
      <c r="F2478">
        <v>0</v>
      </c>
      <c r="G2478">
        <v>0</v>
      </c>
      <c r="H2478" t="s">
        <v>19447</v>
      </c>
      <c r="I2478" t="s">
        <v>19447</v>
      </c>
      <c r="J2478">
        <v>12</v>
      </c>
      <c r="L2478" t="s">
        <v>2709</v>
      </c>
      <c r="M2478">
        <v>29171922</v>
      </c>
      <c r="O2478" t="s">
        <v>20028</v>
      </c>
      <c r="P2478" t="s">
        <v>19900</v>
      </c>
      <c r="Q2478" t="s">
        <v>19900</v>
      </c>
      <c r="R2478" t="s">
        <v>19447</v>
      </c>
      <c r="S2478" t="s">
        <v>19447</v>
      </c>
      <c r="T2478" t="s">
        <v>19903</v>
      </c>
    </row>
    <row r="2479" spans="2:20" x14ac:dyDescent="0.25">
      <c r="B2479" t="s">
        <v>2709</v>
      </c>
      <c r="C2479">
        <v>29171930</v>
      </c>
      <c r="E2479">
        <v>68.819999999999993</v>
      </c>
      <c r="F2479">
        <v>0</v>
      </c>
      <c r="G2479">
        <v>0</v>
      </c>
      <c r="H2479" t="s">
        <v>19447</v>
      </c>
      <c r="I2479" t="s">
        <v>19447</v>
      </c>
      <c r="J2479">
        <v>12</v>
      </c>
      <c r="L2479" t="s">
        <v>2709</v>
      </c>
      <c r="M2479">
        <v>29171930</v>
      </c>
      <c r="O2479" t="s">
        <v>20028</v>
      </c>
      <c r="P2479" t="s">
        <v>19900</v>
      </c>
      <c r="Q2479" t="s">
        <v>19900</v>
      </c>
      <c r="R2479" t="s">
        <v>19447</v>
      </c>
      <c r="S2479" t="s">
        <v>19447</v>
      </c>
      <c r="T2479" t="s">
        <v>19903</v>
      </c>
    </row>
    <row r="2480" spans="2:20" x14ac:dyDescent="0.25">
      <c r="B2480" t="s">
        <v>2709</v>
      </c>
      <c r="C2480">
        <v>29171990</v>
      </c>
      <c r="E2480">
        <v>68.819999999999993</v>
      </c>
      <c r="F2480">
        <v>0</v>
      </c>
      <c r="G2480">
        <v>0</v>
      </c>
      <c r="H2480" t="s">
        <v>19447</v>
      </c>
      <c r="I2480" t="s">
        <v>19447</v>
      </c>
      <c r="J2480">
        <v>2</v>
      </c>
      <c r="L2480" t="s">
        <v>2709</v>
      </c>
      <c r="M2480">
        <v>29171990</v>
      </c>
      <c r="O2480" t="s">
        <v>20028</v>
      </c>
      <c r="P2480" t="s">
        <v>19900</v>
      </c>
      <c r="Q2480" t="s">
        <v>19900</v>
      </c>
      <c r="R2480" t="s">
        <v>19447</v>
      </c>
      <c r="S2480" t="s">
        <v>19447</v>
      </c>
      <c r="T2480" t="s">
        <v>19901</v>
      </c>
    </row>
    <row r="2481" spans="2:20" x14ac:dyDescent="0.25">
      <c r="B2481" t="s">
        <v>2709</v>
      </c>
      <c r="C2481">
        <v>29172000</v>
      </c>
      <c r="E2481">
        <v>68.819999999999993</v>
      </c>
      <c r="F2481">
        <v>0</v>
      </c>
      <c r="G2481">
        <v>0</v>
      </c>
      <c r="H2481" t="s">
        <v>19447</v>
      </c>
      <c r="I2481" t="s">
        <v>19447</v>
      </c>
      <c r="J2481">
        <v>2</v>
      </c>
      <c r="L2481" t="s">
        <v>2709</v>
      </c>
      <c r="M2481">
        <v>29172000</v>
      </c>
      <c r="O2481" t="s">
        <v>20028</v>
      </c>
      <c r="P2481" t="s">
        <v>19900</v>
      </c>
      <c r="Q2481" t="s">
        <v>19900</v>
      </c>
      <c r="R2481" t="s">
        <v>19447</v>
      </c>
      <c r="S2481" t="s">
        <v>19447</v>
      </c>
      <c r="T2481" t="s">
        <v>19901</v>
      </c>
    </row>
    <row r="2482" spans="2:20" x14ac:dyDescent="0.25">
      <c r="B2482" t="s">
        <v>2709</v>
      </c>
      <c r="C2482">
        <v>29173200</v>
      </c>
      <c r="E2482">
        <v>68.819999999999993</v>
      </c>
      <c r="F2482">
        <v>0</v>
      </c>
      <c r="G2482">
        <v>0</v>
      </c>
      <c r="H2482" t="s">
        <v>19447</v>
      </c>
      <c r="I2482" t="s">
        <v>19447</v>
      </c>
      <c r="J2482">
        <v>12</v>
      </c>
      <c r="L2482" t="s">
        <v>2709</v>
      </c>
      <c r="M2482">
        <v>29173200</v>
      </c>
      <c r="O2482" t="s">
        <v>20028</v>
      </c>
      <c r="P2482" t="s">
        <v>19900</v>
      </c>
      <c r="Q2482" t="s">
        <v>19900</v>
      </c>
      <c r="R2482" t="s">
        <v>19447</v>
      </c>
      <c r="S2482" t="s">
        <v>19447</v>
      </c>
      <c r="T2482" t="s">
        <v>19903</v>
      </c>
    </row>
    <row r="2483" spans="2:20" x14ac:dyDescent="0.25">
      <c r="B2483" t="s">
        <v>2709</v>
      </c>
      <c r="C2483">
        <v>29173300</v>
      </c>
      <c r="E2483">
        <v>68.819999999999993</v>
      </c>
      <c r="F2483">
        <v>0</v>
      </c>
      <c r="G2483">
        <v>0</v>
      </c>
      <c r="H2483" t="s">
        <v>19447</v>
      </c>
      <c r="I2483" t="s">
        <v>19447</v>
      </c>
      <c r="J2483">
        <v>12</v>
      </c>
      <c r="L2483" t="s">
        <v>2709</v>
      </c>
      <c r="M2483">
        <v>29173300</v>
      </c>
      <c r="O2483" t="s">
        <v>20028</v>
      </c>
      <c r="P2483" t="s">
        <v>19900</v>
      </c>
      <c r="Q2483" t="s">
        <v>19900</v>
      </c>
      <c r="R2483" t="s">
        <v>19447</v>
      </c>
      <c r="S2483" t="s">
        <v>19447</v>
      </c>
      <c r="T2483" t="s">
        <v>19903</v>
      </c>
    </row>
    <row r="2484" spans="2:20" x14ac:dyDescent="0.25">
      <c r="B2484" t="s">
        <v>2709</v>
      </c>
      <c r="C2484">
        <v>29173400</v>
      </c>
      <c r="E2484">
        <v>68.819999999999993</v>
      </c>
      <c r="F2484">
        <v>0</v>
      </c>
      <c r="G2484">
        <v>0</v>
      </c>
      <c r="H2484" t="s">
        <v>19447</v>
      </c>
      <c r="I2484" t="s">
        <v>19447</v>
      </c>
      <c r="J2484">
        <v>12</v>
      </c>
      <c r="L2484" t="s">
        <v>2709</v>
      </c>
      <c r="M2484">
        <v>29173400</v>
      </c>
      <c r="O2484" t="s">
        <v>20028</v>
      </c>
      <c r="P2484" t="s">
        <v>19900</v>
      </c>
      <c r="Q2484" t="s">
        <v>19900</v>
      </c>
      <c r="R2484" t="s">
        <v>19447</v>
      </c>
      <c r="S2484" t="s">
        <v>19447</v>
      </c>
      <c r="T2484" t="s">
        <v>19903</v>
      </c>
    </row>
    <row r="2485" spans="2:20" x14ac:dyDescent="0.25">
      <c r="B2485" t="s">
        <v>2709</v>
      </c>
      <c r="C2485">
        <v>29173500</v>
      </c>
      <c r="E2485">
        <v>68.819999999999993</v>
      </c>
      <c r="F2485">
        <v>0</v>
      </c>
      <c r="G2485">
        <v>0</v>
      </c>
      <c r="H2485" t="s">
        <v>19447</v>
      </c>
      <c r="I2485" t="s">
        <v>19447</v>
      </c>
      <c r="J2485">
        <v>12</v>
      </c>
      <c r="L2485" t="s">
        <v>2709</v>
      </c>
      <c r="M2485">
        <v>29173500</v>
      </c>
      <c r="O2485" t="s">
        <v>20028</v>
      </c>
      <c r="P2485" t="s">
        <v>19900</v>
      </c>
      <c r="Q2485" t="s">
        <v>19900</v>
      </c>
      <c r="R2485" t="s">
        <v>19447</v>
      </c>
      <c r="S2485" t="s">
        <v>19447</v>
      </c>
      <c r="T2485" t="s">
        <v>19903</v>
      </c>
    </row>
    <row r="2486" spans="2:20" x14ac:dyDescent="0.25">
      <c r="B2486" t="s">
        <v>2709</v>
      </c>
      <c r="C2486">
        <v>29173600</v>
      </c>
      <c r="E2486">
        <v>68.819999999999993</v>
      </c>
      <c r="F2486">
        <v>0</v>
      </c>
      <c r="G2486">
        <v>0</v>
      </c>
      <c r="H2486" t="s">
        <v>19447</v>
      </c>
      <c r="I2486" t="s">
        <v>19447</v>
      </c>
      <c r="J2486">
        <v>12</v>
      </c>
      <c r="L2486" t="s">
        <v>2709</v>
      </c>
      <c r="M2486">
        <v>29173600</v>
      </c>
      <c r="O2486" t="s">
        <v>20028</v>
      </c>
      <c r="P2486" t="s">
        <v>19900</v>
      </c>
      <c r="Q2486" t="s">
        <v>19900</v>
      </c>
      <c r="R2486" t="s">
        <v>19447</v>
      </c>
      <c r="S2486" t="s">
        <v>19447</v>
      </c>
      <c r="T2486" t="s">
        <v>19903</v>
      </c>
    </row>
    <row r="2487" spans="2:20" x14ac:dyDescent="0.25">
      <c r="B2487" t="s">
        <v>2709</v>
      </c>
      <c r="C2487">
        <v>29173700</v>
      </c>
      <c r="E2487">
        <v>68.819999999999993</v>
      </c>
      <c r="F2487">
        <v>0</v>
      </c>
      <c r="G2487">
        <v>0</v>
      </c>
      <c r="H2487" t="s">
        <v>19447</v>
      </c>
      <c r="I2487" t="s">
        <v>19447</v>
      </c>
      <c r="J2487">
        <v>12</v>
      </c>
      <c r="L2487" t="s">
        <v>2709</v>
      </c>
      <c r="M2487">
        <v>29173700</v>
      </c>
      <c r="O2487" t="s">
        <v>20028</v>
      </c>
      <c r="P2487" t="s">
        <v>19900</v>
      </c>
      <c r="Q2487" t="s">
        <v>19900</v>
      </c>
      <c r="R2487" t="s">
        <v>19447</v>
      </c>
      <c r="S2487" t="s">
        <v>19447</v>
      </c>
      <c r="T2487" t="s">
        <v>19903</v>
      </c>
    </row>
    <row r="2488" spans="2:20" x14ac:dyDescent="0.25">
      <c r="B2488" t="s">
        <v>2709</v>
      </c>
      <c r="C2488">
        <v>29173911</v>
      </c>
      <c r="E2488">
        <v>68.819999999999993</v>
      </c>
      <c r="F2488">
        <v>0</v>
      </c>
      <c r="G2488">
        <v>0</v>
      </c>
      <c r="H2488" t="s">
        <v>19447</v>
      </c>
      <c r="I2488" t="s">
        <v>19447</v>
      </c>
      <c r="J2488">
        <v>2</v>
      </c>
      <c r="L2488" t="s">
        <v>2709</v>
      </c>
      <c r="M2488">
        <v>29173911</v>
      </c>
      <c r="O2488" t="s">
        <v>20028</v>
      </c>
      <c r="P2488" t="s">
        <v>19900</v>
      </c>
      <c r="Q2488" t="s">
        <v>19900</v>
      </c>
      <c r="R2488" t="s">
        <v>19447</v>
      </c>
      <c r="S2488" t="s">
        <v>19447</v>
      </c>
      <c r="T2488" t="s">
        <v>19901</v>
      </c>
    </row>
    <row r="2489" spans="2:20" x14ac:dyDescent="0.25">
      <c r="B2489" t="s">
        <v>2709</v>
      </c>
      <c r="C2489">
        <v>29173919</v>
      </c>
      <c r="E2489">
        <v>68.819999999999993</v>
      </c>
      <c r="F2489">
        <v>0</v>
      </c>
      <c r="G2489">
        <v>0</v>
      </c>
      <c r="H2489" t="s">
        <v>19447</v>
      </c>
      <c r="I2489" t="s">
        <v>19447</v>
      </c>
      <c r="J2489">
        <v>2</v>
      </c>
      <c r="L2489" t="s">
        <v>2709</v>
      </c>
      <c r="M2489">
        <v>29173919</v>
      </c>
      <c r="O2489" t="s">
        <v>20028</v>
      </c>
      <c r="P2489" t="s">
        <v>19900</v>
      </c>
      <c r="Q2489" t="s">
        <v>19900</v>
      </c>
      <c r="R2489" t="s">
        <v>19447</v>
      </c>
      <c r="S2489" t="s">
        <v>19447</v>
      </c>
      <c r="T2489" t="s">
        <v>19901</v>
      </c>
    </row>
    <row r="2490" spans="2:20" x14ac:dyDescent="0.25">
      <c r="B2490" t="s">
        <v>2709</v>
      </c>
      <c r="C2490">
        <v>29173920</v>
      </c>
      <c r="E2490">
        <v>68.819999999999993</v>
      </c>
      <c r="F2490">
        <v>0</v>
      </c>
      <c r="G2490">
        <v>0</v>
      </c>
      <c r="H2490" t="s">
        <v>19447</v>
      </c>
      <c r="I2490" t="s">
        <v>19447</v>
      </c>
      <c r="J2490">
        <v>12</v>
      </c>
      <c r="L2490" t="s">
        <v>2709</v>
      </c>
      <c r="M2490">
        <v>29173920</v>
      </c>
      <c r="O2490" t="s">
        <v>20028</v>
      </c>
      <c r="P2490" t="s">
        <v>19900</v>
      </c>
      <c r="Q2490" t="s">
        <v>19900</v>
      </c>
      <c r="R2490" t="s">
        <v>19447</v>
      </c>
      <c r="S2490" t="s">
        <v>19447</v>
      </c>
      <c r="T2490" t="s">
        <v>19903</v>
      </c>
    </row>
    <row r="2491" spans="2:20" x14ac:dyDescent="0.25">
      <c r="B2491" t="s">
        <v>2709</v>
      </c>
      <c r="C2491">
        <v>29173931</v>
      </c>
      <c r="E2491">
        <v>68.819999999999993</v>
      </c>
      <c r="F2491">
        <v>0</v>
      </c>
      <c r="G2491">
        <v>0</v>
      </c>
      <c r="H2491" t="s">
        <v>19447</v>
      </c>
      <c r="I2491" t="s">
        <v>19447</v>
      </c>
      <c r="J2491">
        <v>12</v>
      </c>
      <c r="L2491" t="s">
        <v>2709</v>
      </c>
      <c r="M2491">
        <v>29173931</v>
      </c>
      <c r="O2491" t="s">
        <v>20028</v>
      </c>
      <c r="P2491" t="s">
        <v>19900</v>
      </c>
      <c r="Q2491" t="s">
        <v>19900</v>
      </c>
      <c r="R2491" t="s">
        <v>19447</v>
      </c>
      <c r="S2491" t="s">
        <v>19447</v>
      </c>
      <c r="T2491" t="s">
        <v>19903</v>
      </c>
    </row>
    <row r="2492" spans="2:20" x14ac:dyDescent="0.25">
      <c r="B2492" t="s">
        <v>2709</v>
      </c>
      <c r="C2492">
        <v>29173939</v>
      </c>
      <c r="E2492">
        <v>68.819999999999993</v>
      </c>
      <c r="F2492">
        <v>0</v>
      </c>
      <c r="G2492">
        <v>0</v>
      </c>
      <c r="H2492" t="s">
        <v>19447</v>
      </c>
      <c r="I2492" t="s">
        <v>19447</v>
      </c>
      <c r="J2492">
        <v>2</v>
      </c>
      <c r="L2492" t="s">
        <v>2709</v>
      </c>
      <c r="M2492">
        <v>29173939</v>
      </c>
      <c r="O2492" t="s">
        <v>20028</v>
      </c>
      <c r="P2492" t="s">
        <v>19900</v>
      </c>
      <c r="Q2492" t="s">
        <v>19900</v>
      </c>
      <c r="R2492" t="s">
        <v>19447</v>
      </c>
      <c r="S2492" t="s">
        <v>19447</v>
      </c>
      <c r="T2492" t="s">
        <v>19901</v>
      </c>
    </row>
    <row r="2493" spans="2:20" x14ac:dyDescent="0.25">
      <c r="B2493" t="s">
        <v>2709</v>
      </c>
      <c r="C2493">
        <v>29173940</v>
      </c>
      <c r="E2493">
        <v>68.819999999999993</v>
      </c>
      <c r="F2493">
        <v>0</v>
      </c>
      <c r="G2493">
        <v>0</v>
      </c>
      <c r="H2493" t="s">
        <v>19447</v>
      </c>
      <c r="I2493" t="s">
        <v>19447</v>
      </c>
      <c r="J2493">
        <v>6</v>
      </c>
      <c r="L2493" t="s">
        <v>2709</v>
      </c>
      <c r="M2493">
        <v>29173940</v>
      </c>
      <c r="O2493" t="s">
        <v>20028</v>
      </c>
      <c r="P2493" t="s">
        <v>19900</v>
      </c>
      <c r="Q2493" t="s">
        <v>19900</v>
      </c>
      <c r="R2493" t="s">
        <v>19447</v>
      </c>
      <c r="S2493" t="s">
        <v>19447</v>
      </c>
      <c r="T2493" t="s">
        <v>19907</v>
      </c>
    </row>
    <row r="2494" spans="2:20" x14ac:dyDescent="0.25">
      <c r="B2494" t="s">
        <v>2709</v>
      </c>
      <c r="C2494">
        <v>29173950</v>
      </c>
      <c r="E2494">
        <v>68.819999999999993</v>
      </c>
      <c r="F2494">
        <v>0</v>
      </c>
      <c r="G2494">
        <v>0</v>
      </c>
      <c r="H2494" t="s">
        <v>19447</v>
      </c>
      <c r="I2494" t="s">
        <v>19447</v>
      </c>
      <c r="J2494">
        <v>2</v>
      </c>
      <c r="L2494" t="s">
        <v>2709</v>
      </c>
      <c r="M2494">
        <v>29173950</v>
      </c>
      <c r="O2494" t="s">
        <v>20028</v>
      </c>
      <c r="P2494" t="s">
        <v>19900</v>
      </c>
      <c r="Q2494" t="s">
        <v>19900</v>
      </c>
      <c r="R2494" t="s">
        <v>19447</v>
      </c>
      <c r="S2494" t="s">
        <v>19447</v>
      </c>
      <c r="T2494" t="s">
        <v>19901</v>
      </c>
    </row>
    <row r="2495" spans="2:20" x14ac:dyDescent="0.25">
      <c r="B2495" t="s">
        <v>2709</v>
      </c>
      <c r="C2495">
        <v>29173990</v>
      </c>
      <c r="E2495">
        <v>68.819999999999993</v>
      </c>
      <c r="F2495">
        <v>0</v>
      </c>
      <c r="G2495">
        <v>0</v>
      </c>
      <c r="H2495" t="s">
        <v>19447</v>
      </c>
      <c r="I2495" t="s">
        <v>19447</v>
      </c>
      <c r="J2495">
        <v>2</v>
      </c>
      <c r="L2495" t="s">
        <v>2709</v>
      </c>
      <c r="M2495">
        <v>29173990</v>
      </c>
      <c r="O2495" t="s">
        <v>20028</v>
      </c>
      <c r="P2495" t="s">
        <v>19900</v>
      </c>
      <c r="Q2495" t="s">
        <v>19900</v>
      </c>
      <c r="R2495" t="s">
        <v>19447</v>
      </c>
      <c r="S2495" t="s">
        <v>19447</v>
      </c>
      <c r="T2495" t="s">
        <v>19901</v>
      </c>
    </row>
    <row r="2496" spans="2:20" x14ac:dyDescent="0.25">
      <c r="B2496" t="s">
        <v>2709</v>
      </c>
      <c r="C2496">
        <v>29181100</v>
      </c>
      <c r="E2496">
        <v>68.819999999999993</v>
      </c>
      <c r="F2496">
        <v>0</v>
      </c>
      <c r="G2496">
        <v>0</v>
      </c>
      <c r="H2496" t="s">
        <v>19447</v>
      </c>
      <c r="I2496" t="s">
        <v>19447</v>
      </c>
      <c r="J2496">
        <v>12</v>
      </c>
      <c r="L2496" t="s">
        <v>2709</v>
      </c>
      <c r="M2496">
        <v>29181100</v>
      </c>
      <c r="O2496" t="s">
        <v>20028</v>
      </c>
      <c r="P2496" t="s">
        <v>19900</v>
      </c>
      <c r="Q2496" t="s">
        <v>19900</v>
      </c>
      <c r="R2496" t="s">
        <v>19447</v>
      </c>
      <c r="S2496" t="s">
        <v>19447</v>
      </c>
      <c r="T2496" t="s">
        <v>19903</v>
      </c>
    </row>
    <row r="2497" spans="2:20" x14ac:dyDescent="0.25">
      <c r="B2497" t="s">
        <v>2709</v>
      </c>
      <c r="C2497">
        <v>29181200</v>
      </c>
      <c r="E2497">
        <v>68.819999999999993</v>
      </c>
      <c r="F2497">
        <v>0</v>
      </c>
      <c r="G2497">
        <v>0</v>
      </c>
      <c r="H2497" t="s">
        <v>19447</v>
      </c>
      <c r="I2497" t="s">
        <v>19447</v>
      </c>
      <c r="J2497">
        <v>12</v>
      </c>
      <c r="L2497" t="s">
        <v>2709</v>
      </c>
      <c r="M2497">
        <v>29181200</v>
      </c>
      <c r="O2497" t="s">
        <v>20028</v>
      </c>
      <c r="P2497" t="s">
        <v>19900</v>
      </c>
      <c r="Q2497" t="s">
        <v>19900</v>
      </c>
      <c r="R2497" t="s">
        <v>19447</v>
      </c>
      <c r="S2497" t="s">
        <v>19447</v>
      </c>
      <c r="T2497" t="s">
        <v>19903</v>
      </c>
    </row>
    <row r="2498" spans="2:20" x14ac:dyDescent="0.25">
      <c r="B2498" t="s">
        <v>2709</v>
      </c>
      <c r="C2498">
        <v>29181310</v>
      </c>
      <c r="E2498">
        <v>68.819999999999993</v>
      </c>
      <c r="F2498">
        <v>0</v>
      </c>
      <c r="G2498">
        <v>0</v>
      </c>
      <c r="H2498" t="s">
        <v>19447</v>
      </c>
      <c r="I2498" t="s">
        <v>19447</v>
      </c>
      <c r="J2498">
        <v>12</v>
      </c>
      <c r="L2498" t="s">
        <v>2709</v>
      </c>
      <c r="M2498">
        <v>29181310</v>
      </c>
      <c r="O2498" t="s">
        <v>20028</v>
      </c>
      <c r="P2498" t="s">
        <v>19900</v>
      </c>
      <c r="Q2498" t="s">
        <v>19900</v>
      </c>
      <c r="R2498" t="s">
        <v>19447</v>
      </c>
      <c r="S2498" t="s">
        <v>19447</v>
      </c>
      <c r="T2498" t="s">
        <v>19903</v>
      </c>
    </row>
    <row r="2499" spans="2:20" x14ac:dyDescent="0.25">
      <c r="B2499" t="s">
        <v>2709</v>
      </c>
      <c r="C2499">
        <v>29181320</v>
      </c>
      <c r="E2499">
        <v>68.819999999999993</v>
      </c>
      <c r="F2499">
        <v>0</v>
      </c>
      <c r="G2499">
        <v>0</v>
      </c>
      <c r="H2499" t="s">
        <v>19447</v>
      </c>
      <c r="I2499" t="s">
        <v>19447</v>
      </c>
      <c r="J2499">
        <v>2</v>
      </c>
      <c r="L2499" t="s">
        <v>2709</v>
      </c>
      <c r="M2499">
        <v>29181320</v>
      </c>
      <c r="O2499" t="s">
        <v>20028</v>
      </c>
      <c r="P2499" t="s">
        <v>19900</v>
      </c>
      <c r="Q2499" t="s">
        <v>19900</v>
      </c>
      <c r="R2499" t="s">
        <v>19447</v>
      </c>
      <c r="S2499" t="s">
        <v>19447</v>
      </c>
      <c r="T2499" t="s">
        <v>19901</v>
      </c>
    </row>
    <row r="2500" spans="2:20" x14ac:dyDescent="0.25">
      <c r="B2500" t="s">
        <v>2709</v>
      </c>
      <c r="C2500">
        <v>29181400</v>
      </c>
      <c r="E2500">
        <v>68.819999999999993</v>
      </c>
      <c r="F2500">
        <v>0</v>
      </c>
      <c r="G2500">
        <v>0</v>
      </c>
      <c r="H2500" t="s">
        <v>19447</v>
      </c>
      <c r="I2500" t="s">
        <v>19447</v>
      </c>
      <c r="J2500">
        <v>12</v>
      </c>
      <c r="L2500" t="s">
        <v>2709</v>
      </c>
      <c r="M2500">
        <v>29181400</v>
      </c>
      <c r="O2500" t="s">
        <v>20028</v>
      </c>
      <c r="P2500" t="s">
        <v>19900</v>
      </c>
      <c r="Q2500" t="s">
        <v>19900</v>
      </c>
      <c r="R2500" t="s">
        <v>19447</v>
      </c>
      <c r="S2500" t="s">
        <v>19447</v>
      </c>
      <c r="T2500" t="s">
        <v>19903</v>
      </c>
    </row>
    <row r="2501" spans="2:20" x14ac:dyDescent="0.25">
      <c r="B2501" t="s">
        <v>2709</v>
      </c>
      <c r="C2501">
        <v>29181500</v>
      </c>
      <c r="E2501">
        <v>68.819999999999993</v>
      </c>
      <c r="F2501">
        <v>0</v>
      </c>
      <c r="G2501">
        <v>0</v>
      </c>
      <c r="H2501" t="s">
        <v>19447</v>
      </c>
      <c r="I2501" t="s">
        <v>19447</v>
      </c>
      <c r="J2501">
        <v>12</v>
      </c>
      <c r="L2501" t="s">
        <v>2709</v>
      </c>
      <c r="M2501">
        <v>29181500</v>
      </c>
      <c r="O2501" t="s">
        <v>20028</v>
      </c>
      <c r="P2501" t="s">
        <v>19900</v>
      </c>
      <c r="Q2501" t="s">
        <v>19900</v>
      </c>
      <c r="R2501" t="s">
        <v>19447</v>
      </c>
      <c r="S2501" t="s">
        <v>19447</v>
      </c>
      <c r="T2501" t="s">
        <v>19903</v>
      </c>
    </row>
    <row r="2502" spans="2:20" x14ac:dyDescent="0.25">
      <c r="B2502" t="s">
        <v>2709</v>
      </c>
      <c r="C2502">
        <v>29181610</v>
      </c>
      <c r="E2502">
        <v>68.819999999999993</v>
      </c>
      <c r="F2502">
        <v>0</v>
      </c>
      <c r="G2502">
        <v>0</v>
      </c>
      <c r="H2502" t="s">
        <v>19447</v>
      </c>
      <c r="I2502" t="s">
        <v>19447</v>
      </c>
      <c r="J2502">
        <v>12</v>
      </c>
      <c r="L2502" t="s">
        <v>2709</v>
      </c>
      <c r="M2502">
        <v>29181610</v>
      </c>
      <c r="O2502" t="s">
        <v>20028</v>
      </c>
      <c r="P2502" t="s">
        <v>19900</v>
      </c>
      <c r="Q2502" t="s">
        <v>19900</v>
      </c>
      <c r="R2502" t="s">
        <v>19447</v>
      </c>
      <c r="S2502" t="s">
        <v>19447</v>
      </c>
      <c r="T2502" t="s">
        <v>19903</v>
      </c>
    </row>
    <row r="2503" spans="2:20" x14ac:dyDescent="0.25">
      <c r="B2503" t="s">
        <v>2709</v>
      </c>
      <c r="C2503">
        <v>29181690</v>
      </c>
      <c r="E2503">
        <v>68.819999999999993</v>
      </c>
      <c r="F2503">
        <v>0</v>
      </c>
      <c r="G2503">
        <v>0</v>
      </c>
      <c r="H2503" t="s">
        <v>19447</v>
      </c>
      <c r="I2503" t="s">
        <v>19447</v>
      </c>
      <c r="J2503">
        <v>12</v>
      </c>
      <c r="L2503" t="s">
        <v>2709</v>
      </c>
      <c r="M2503">
        <v>29181690</v>
      </c>
      <c r="O2503" t="s">
        <v>20028</v>
      </c>
      <c r="P2503" t="s">
        <v>19900</v>
      </c>
      <c r="Q2503" t="s">
        <v>19900</v>
      </c>
      <c r="R2503" t="s">
        <v>19447</v>
      </c>
      <c r="S2503" t="s">
        <v>19447</v>
      </c>
      <c r="T2503" t="s">
        <v>19903</v>
      </c>
    </row>
    <row r="2504" spans="2:20" x14ac:dyDescent="0.25">
      <c r="B2504" t="s">
        <v>2709</v>
      </c>
      <c r="C2504">
        <v>29181800</v>
      </c>
      <c r="E2504">
        <v>68.819999999999993</v>
      </c>
      <c r="F2504">
        <v>0</v>
      </c>
      <c r="G2504">
        <v>0</v>
      </c>
      <c r="H2504" t="s">
        <v>19447</v>
      </c>
      <c r="I2504" t="s">
        <v>19447</v>
      </c>
      <c r="J2504">
        <v>2</v>
      </c>
      <c r="L2504" t="s">
        <v>2709</v>
      </c>
      <c r="M2504">
        <v>29181800</v>
      </c>
      <c r="O2504" t="s">
        <v>20028</v>
      </c>
      <c r="P2504" t="s">
        <v>19900</v>
      </c>
      <c r="Q2504" t="s">
        <v>19900</v>
      </c>
      <c r="R2504" t="s">
        <v>19447</v>
      </c>
      <c r="S2504" t="s">
        <v>19447</v>
      </c>
      <c r="T2504" t="s">
        <v>19901</v>
      </c>
    </row>
    <row r="2505" spans="2:20" x14ac:dyDescent="0.25">
      <c r="B2505" t="s">
        <v>2709</v>
      </c>
      <c r="C2505">
        <v>29181910</v>
      </c>
      <c r="E2505">
        <v>68.819999999999993</v>
      </c>
      <c r="F2505">
        <v>0</v>
      </c>
      <c r="G2505">
        <v>0</v>
      </c>
      <c r="H2505" t="s">
        <v>19447</v>
      </c>
      <c r="I2505" t="s">
        <v>19447</v>
      </c>
      <c r="J2505">
        <v>2</v>
      </c>
      <c r="L2505" t="s">
        <v>2709</v>
      </c>
      <c r="M2505">
        <v>29181910</v>
      </c>
      <c r="O2505" t="s">
        <v>20028</v>
      </c>
      <c r="P2505" t="s">
        <v>19900</v>
      </c>
      <c r="Q2505" t="s">
        <v>19900</v>
      </c>
      <c r="R2505" t="s">
        <v>19447</v>
      </c>
      <c r="S2505" t="s">
        <v>19447</v>
      </c>
      <c r="T2505" t="s">
        <v>19901</v>
      </c>
    </row>
    <row r="2506" spans="2:20" x14ac:dyDescent="0.25">
      <c r="B2506" t="s">
        <v>2709</v>
      </c>
      <c r="C2506">
        <v>29181921</v>
      </c>
      <c r="E2506">
        <v>68.819999999999993</v>
      </c>
      <c r="F2506">
        <v>0</v>
      </c>
      <c r="G2506">
        <v>0</v>
      </c>
      <c r="H2506" t="s">
        <v>19447</v>
      </c>
      <c r="I2506" t="s">
        <v>19447</v>
      </c>
      <c r="J2506">
        <v>2</v>
      </c>
      <c r="L2506" t="s">
        <v>2709</v>
      </c>
      <c r="M2506">
        <v>29181921</v>
      </c>
      <c r="O2506" t="s">
        <v>20028</v>
      </c>
      <c r="P2506" t="s">
        <v>19900</v>
      </c>
      <c r="Q2506" t="s">
        <v>19900</v>
      </c>
      <c r="R2506" t="s">
        <v>19447</v>
      </c>
      <c r="S2506" t="s">
        <v>19447</v>
      </c>
      <c r="T2506" t="s">
        <v>19901</v>
      </c>
    </row>
    <row r="2507" spans="2:20" x14ac:dyDescent="0.25">
      <c r="B2507" t="s">
        <v>2709</v>
      </c>
      <c r="C2507">
        <v>29181922</v>
      </c>
      <c r="E2507">
        <v>68.819999999999993</v>
      </c>
      <c r="F2507">
        <v>0</v>
      </c>
      <c r="G2507">
        <v>0</v>
      </c>
      <c r="H2507" t="s">
        <v>19447</v>
      </c>
      <c r="I2507" t="s">
        <v>19447</v>
      </c>
      <c r="J2507">
        <v>2</v>
      </c>
      <c r="L2507" t="s">
        <v>2709</v>
      </c>
      <c r="M2507">
        <v>29181922</v>
      </c>
      <c r="O2507" t="s">
        <v>20028</v>
      </c>
      <c r="P2507" t="s">
        <v>19900</v>
      </c>
      <c r="Q2507" t="s">
        <v>19900</v>
      </c>
      <c r="R2507" t="s">
        <v>19447</v>
      </c>
      <c r="S2507" t="s">
        <v>19447</v>
      </c>
      <c r="T2507" t="s">
        <v>19901</v>
      </c>
    </row>
    <row r="2508" spans="2:20" x14ac:dyDescent="0.25">
      <c r="B2508" t="s">
        <v>2709</v>
      </c>
      <c r="C2508">
        <v>29181929</v>
      </c>
      <c r="E2508">
        <v>68.819999999999993</v>
      </c>
      <c r="F2508">
        <v>0</v>
      </c>
      <c r="G2508">
        <v>0</v>
      </c>
      <c r="H2508" t="s">
        <v>19447</v>
      </c>
      <c r="I2508" t="s">
        <v>19447</v>
      </c>
      <c r="J2508">
        <v>12</v>
      </c>
      <c r="L2508" t="s">
        <v>2709</v>
      </c>
      <c r="M2508">
        <v>29181929</v>
      </c>
      <c r="O2508" t="s">
        <v>20028</v>
      </c>
      <c r="P2508" t="s">
        <v>19900</v>
      </c>
      <c r="Q2508" t="s">
        <v>19900</v>
      </c>
      <c r="R2508" t="s">
        <v>19447</v>
      </c>
      <c r="S2508" t="s">
        <v>19447</v>
      </c>
      <c r="T2508" t="s">
        <v>19903</v>
      </c>
    </row>
    <row r="2509" spans="2:20" x14ac:dyDescent="0.25">
      <c r="B2509" t="s">
        <v>2709</v>
      </c>
      <c r="C2509">
        <v>29181930</v>
      </c>
      <c r="E2509">
        <v>68.819999999999993</v>
      </c>
      <c r="F2509">
        <v>0</v>
      </c>
      <c r="G2509">
        <v>0</v>
      </c>
      <c r="H2509" t="s">
        <v>19447</v>
      </c>
      <c r="I2509" t="s">
        <v>19447</v>
      </c>
      <c r="J2509">
        <v>12</v>
      </c>
      <c r="L2509" t="s">
        <v>2709</v>
      </c>
      <c r="M2509">
        <v>29181930</v>
      </c>
      <c r="O2509" t="s">
        <v>20028</v>
      </c>
      <c r="P2509" t="s">
        <v>19900</v>
      </c>
      <c r="Q2509" t="s">
        <v>19900</v>
      </c>
      <c r="R2509" t="s">
        <v>19447</v>
      </c>
      <c r="S2509" t="s">
        <v>19447</v>
      </c>
      <c r="T2509" t="s">
        <v>19903</v>
      </c>
    </row>
    <row r="2510" spans="2:20" x14ac:dyDescent="0.25">
      <c r="B2510" t="s">
        <v>2709</v>
      </c>
      <c r="C2510">
        <v>29181941</v>
      </c>
      <c r="E2510">
        <v>68.819999999999993</v>
      </c>
      <c r="F2510">
        <v>0</v>
      </c>
      <c r="G2510">
        <v>0</v>
      </c>
      <c r="H2510" t="s">
        <v>19447</v>
      </c>
      <c r="I2510" t="s">
        <v>19447</v>
      </c>
      <c r="J2510">
        <v>2</v>
      </c>
      <c r="L2510" t="s">
        <v>2709</v>
      </c>
      <c r="M2510">
        <v>29181941</v>
      </c>
      <c r="O2510" t="s">
        <v>20028</v>
      </c>
      <c r="P2510" t="s">
        <v>19900</v>
      </c>
      <c r="Q2510" t="s">
        <v>19900</v>
      </c>
      <c r="R2510" t="s">
        <v>19447</v>
      </c>
      <c r="S2510" t="s">
        <v>19447</v>
      </c>
      <c r="T2510" t="s">
        <v>19901</v>
      </c>
    </row>
    <row r="2511" spans="2:20" x14ac:dyDescent="0.25">
      <c r="B2511" t="s">
        <v>2709</v>
      </c>
      <c r="C2511">
        <v>29181942</v>
      </c>
      <c r="E2511">
        <v>68.819999999999993</v>
      </c>
      <c r="F2511">
        <v>0</v>
      </c>
      <c r="G2511">
        <v>0</v>
      </c>
      <c r="H2511" t="s">
        <v>19447</v>
      </c>
      <c r="I2511" t="s">
        <v>19447</v>
      </c>
      <c r="J2511">
        <v>2</v>
      </c>
      <c r="L2511" t="s">
        <v>2709</v>
      </c>
      <c r="M2511">
        <v>29181942</v>
      </c>
      <c r="O2511" t="s">
        <v>20028</v>
      </c>
      <c r="P2511" t="s">
        <v>19900</v>
      </c>
      <c r="Q2511" t="s">
        <v>19900</v>
      </c>
      <c r="R2511" t="s">
        <v>19447</v>
      </c>
      <c r="S2511" t="s">
        <v>19447</v>
      </c>
      <c r="T2511" t="s">
        <v>19901</v>
      </c>
    </row>
    <row r="2512" spans="2:20" x14ac:dyDescent="0.25">
      <c r="B2512" t="s">
        <v>2709</v>
      </c>
      <c r="C2512">
        <v>29181943</v>
      </c>
      <c r="E2512">
        <v>68.819999999999993</v>
      </c>
      <c r="F2512">
        <v>0</v>
      </c>
      <c r="G2512">
        <v>0</v>
      </c>
      <c r="H2512" t="s">
        <v>19447</v>
      </c>
      <c r="I2512" t="s">
        <v>19447</v>
      </c>
      <c r="J2512">
        <v>2</v>
      </c>
      <c r="L2512" t="s">
        <v>2709</v>
      </c>
      <c r="M2512">
        <v>29181943</v>
      </c>
      <c r="O2512" t="s">
        <v>20028</v>
      </c>
      <c r="P2512" t="s">
        <v>19900</v>
      </c>
      <c r="Q2512" t="s">
        <v>19900</v>
      </c>
      <c r="R2512" t="s">
        <v>19447</v>
      </c>
      <c r="S2512" t="s">
        <v>19447</v>
      </c>
      <c r="T2512" t="s">
        <v>19901</v>
      </c>
    </row>
    <row r="2513" spans="2:20" x14ac:dyDescent="0.25">
      <c r="B2513" t="s">
        <v>2709</v>
      </c>
      <c r="C2513">
        <v>29181990</v>
      </c>
      <c r="E2513">
        <v>68.819999999999993</v>
      </c>
      <c r="F2513">
        <v>0</v>
      </c>
      <c r="G2513">
        <v>0</v>
      </c>
      <c r="H2513" t="s">
        <v>19447</v>
      </c>
      <c r="I2513" t="s">
        <v>19447</v>
      </c>
      <c r="J2513">
        <v>2</v>
      </c>
      <c r="L2513" t="s">
        <v>2709</v>
      </c>
      <c r="M2513">
        <v>29181990</v>
      </c>
      <c r="O2513" t="s">
        <v>20028</v>
      </c>
      <c r="P2513" t="s">
        <v>19900</v>
      </c>
      <c r="Q2513" t="s">
        <v>19900</v>
      </c>
      <c r="R2513" t="s">
        <v>19447</v>
      </c>
      <c r="S2513" t="s">
        <v>19447</v>
      </c>
      <c r="T2513" t="s">
        <v>19901</v>
      </c>
    </row>
    <row r="2514" spans="2:20" x14ac:dyDescent="0.25">
      <c r="B2514" t="s">
        <v>2709</v>
      </c>
      <c r="C2514">
        <v>29182110</v>
      </c>
      <c r="E2514">
        <v>68.819999999999993</v>
      </c>
      <c r="F2514">
        <v>0</v>
      </c>
      <c r="G2514">
        <v>0</v>
      </c>
      <c r="H2514" t="s">
        <v>19447</v>
      </c>
      <c r="I2514" t="s">
        <v>19447</v>
      </c>
      <c r="J2514">
        <v>12</v>
      </c>
      <c r="L2514" t="s">
        <v>2709</v>
      </c>
      <c r="M2514">
        <v>29182110</v>
      </c>
      <c r="O2514" t="s">
        <v>20028</v>
      </c>
      <c r="P2514" t="s">
        <v>19900</v>
      </c>
      <c r="Q2514" t="s">
        <v>19900</v>
      </c>
      <c r="R2514" t="s">
        <v>19447</v>
      </c>
      <c r="S2514" t="s">
        <v>19447</v>
      </c>
      <c r="T2514" t="s">
        <v>19903</v>
      </c>
    </row>
    <row r="2515" spans="2:20" x14ac:dyDescent="0.25">
      <c r="B2515" t="s">
        <v>2709</v>
      </c>
      <c r="C2515">
        <v>29182120</v>
      </c>
      <c r="E2515">
        <v>68.819999999999993</v>
      </c>
      <c r="F2515">
        <v>0</v>
      </c>
      <c r="G2515">
        <v>0</v>
      </c>
      <c r="H2515" t="s">
        <v>19447</v>
      </c>
      <c r="I2515" t="s">
        <v>19447</v>
      </c>
      <c r="J2515">
        <v>12</v>
      </c>
      <c r="L2515" t="s">
        <v>2709</v>
      </c>
      <c r="M2515">
        <v>29182120</v>
      </c>
      <c r="O2515" t="s">
        <v>20028</v>
      </c>
      <c r="P2515" t="s">
        <v>19900</v>
      </c>
      <c r="Q2515" t="s">
        <v>19900</v>
      </c>
      <c r="R2515" t="s">
        <v>19447</v>
      </c>
      <c r="S2515" t="s">
        <v>19447</v>
      </c>
      <c r="T2515" t="s">
        <v>19903</v>
      </c>
    </row>
    <row r="2516" spans="2:20" x14ac:dyDescent="0.25">
      <c r="B2516" t="s">
        <v>2709</v>
      </c>
      <c r="C2516">
        <v>29182211</v>
      </c>
      <c r="E2516">
        <v>68.819999999999993</v>
      </c>
      <c r="F2516">
        <v>0</v>
      </c>
      <c r="G2516">
        <v>0</v>
      </c>
      <c r="H2516" t="s">
        <v>19447</v>
      </c>
      <c r="I2516" t="s">
        <v>19447</v>
      </c>
      <c r="J2516">
        <v>12</v>
      </c>
      <c r="L2516" t="s">
        <v>2709</v>
      </c>
      <c r="M2516">
        <v>29182211</v>
      </c>
      <c r="O2516" t="s">
        <v>20028</v>
      </c>
      <c r="P2516" t="s">
        <v>19900</v>
      </c>
      <c r="Q2516" t="s">
        <v>19900</v>
      </c>
      <c r="R2516" t="s">
        <v>19447</v>
      </c>
      <c r="S2516" t="s">
        <v>19447</v>
      </c>
      <c r="T2516" t="s">
        <v>19903</v>
      </c>
    </row>
    <row r="2517" spans="2:20" x14ac:dyDescent="0.25">
      <c r="B2517" t="s">
        <v>2709</v>
      </c>
      <c r="C2517">
        <v>29182212</v>
      </c>
      <c r="E2517">
        <v>68.819999999999993</v>
      </c>
      <c r="F2517">
        <v>0</v>
      </c>
      <c r="G2517">
        <v>0</v>
      </c>
      <c r="H2517" t="s">
        <v>19447</v>
      </c>
      <c r="I2517" t="s">
        <v>19447</v>
      </c>
      <c r="J2517">
        <v>12</v>
      </c>
      <c r="L2517" t="s">
        <v>2709</v>
      </c>
      <c r="M2517">
        <v>29182212</v>
      </c>
      <c r="O2517" t="s">
        <v>20028</v>
      </c>
      <c r="P2517" t="s">
        <v>19900</v>
      </c>
      <c r="Q2517" t="s">
        <v>19900</v>
      </c>
      <c r="R2517" t="s">
        <v>19447</v>
      </c>
      <c r="S2517" t="s">
        <v>19447</v>
      </c>
      <c r="T2517" t="s">
        <v>19903</v>
      </c>
    </row>
    <row r="2518" spans="2:20" x14ac:dyDescent="0.25">
      <c r="B2518" t="s">
        <v>2709</v>
      </c>
      <c r="C2518">
        <v>29182219</v>
      </c>
      <c r="E2518">
        <v>68.819999999999993</v>
      </c>
      <c r="F2518">
        <v>0</v>
      </c>
      <c r="G2518">
        <v>0</v>
      </c>
      <c r="H2518" t="s">
        <v>19447</v>
      </c>
      <c r="I2518" t="s">
        <v>19447</v>
      </c>
      <c r="J2518">
        <v>2</v>
      </c>
      <c r="L2518" t="s">
        <v>2709</v>
      </c>
      <c r="M2518">
        <v>29182219</v>
      </c>
      <c r="O2518" t="s">
        <v>20028</v>
      </c>
      <c r="P2518" t="s">
        <v>19900</v>
      </c>
      <c r="Q2518" t="s">
        <v>19900</v>
      </c>
      <c r="R2518" t="s">
        <v>19447</v>
      </c>
      <c r="S2518" t="s">
        <v>19447</v>
      </c>
      <c r="T2518" t="s">
        <v>19901</v>
      </c>
    </row>
    <row r="2519" spans="2:20" x14ac:dyDescent="0.25">
      <c r="B2519" t="s">
        <v>2709</v>
      </c>
      <c r="C2519">
        <v>29182220</v>
      </c>
      <c r="E2519">
        <v>68.819999999999993</v>
      </c>
      <c r="F2519">
        <v>0</v>
      </c>
      <c r="G2519">
        <v>0</v>
      </c>
      <c r="H2519" t="s">
        <v>19447</v>
      </c>
      <c r="I2519" t="s">
        <v>19447</v>
      </c>
      <c r="J2519">
        <v>2</v>
      </c>
      <c r="L2519" t="s">
        <v>2709</v>
      </c>
      <c r="M2519">
        <v>29182220</v>
      </c>
      <c r="O2519" t="s">
        <v>20028</v>
      </c>
      <c r="P2519" t="s">
        <v>19900</v>
      </c>
      <c r="Q2519" t="s">
        <v>19900</v>
      </c>
      <c r="R2519" t="s">
        <v>19447</v>
      </c>
      <c r="S2519" t="s">
        <v>19447</v>
      </c>
      <c r="T2519" t="s">
        <v>19901</v>
      </c>
    </row>
    <row r="2520" spans="2:20" x14ac:dyDescent="0.25">
      <c r="B2520" t="s">
        <v>2709</v>
      </c>
      <c r="C2520">
        <v>29182300</v>
      </c>
      <c r="E2520">
        <v>68.819999999999993</v>
      </c>
      <c r="F2520">
        <v>0</v>
      </c>
      <c r="G2520">
        <v>0</v>
      </c>
      <c r="H2520" t="s">
        <v>19447</v>
      </c>
      <c r="I2520" t="s">
        <v>19447</v>
      </c>
      <c r="J2520">
        <v>12</v>
      </c>
      <c r="L2520" t="s">
        <v>2709</v>
      </c>
      <c r="M2520">
        <v>29182300</v>
      </c>
      <c r="O2520" t="s">
        <v>20028</v>
      </c>
      <c r="P2520" t="s">
        <v>19900</v>
      </c>
      <c r="Q2520" t="s">
        <v>19900</v>
      </c>
      <c r="R2520" t="s">
        <v>19447</v>
      </c>
      <c r="S2520" t="s">
        <v>19447</v>
      </c>
      <c r="T2520" t="s">
        <v>19903</v>
      </c>
    </row>
    <row r="2521" spans="2:20" x14ac:dyDescent="0.25">
      <c r="B2521" t="s">
        <v>2709</v>
      </c>
      <c r="C2521">
        <v>29182910</v>
      </c>
      <c r="E2521">
        <v>68.819999999999993</v>
      </c>
      <c r="F2521">
        <v>0</v>
      </c>
      <c r="G2521">
        <v>0</v>
      </c>
      <c r="H2521" t="s">
        <v>19447</v>
      </c>
      <c r="I2521" t="s">
        <v>19447</v>
      </c>
      <c r="J2521">
        <v>2</v>
      </c>
      <c r="L2521" t="s">
        <v>2709</v>
      </c>
      <c r="M2521">
        <v>29182910</v>
      </c>
      <c r="O2521" t="s">
        <v>20028</v>
      </c>
      <c r="P2521" t="s">
        <v>19900</v>
      </c>
      <c r="Q2521" t="s">
        <v>19900</v>
      </c>
      <c r="R2521" t="s">
        <v>19447</v>
      </c>
      <c r="S2521" t="s">
        <v>19447</v>
      </c>
      <c r="T2521" t="s">
        <v>19901</v>
      </c>
    </row>
    <row r="2522" spans="2:20" x14ac:dyDescent="0.25">
      <c r="B2522" t="s">
        <v>2709</v>
      </c>
      <c r="C2522">
        <v>29182921</v>
      </c>
      <c r="E2522">
        <v>68.819999999999993</v>
      </c>
      <c r="F2522">
        <v>0</v>
      </c>
      <c r="G2522">
        <v>0</v>
      </c>
      <c r="H2522" t="s">
        <v>19447</v>
      </c>
      <c r="I2522" t="s">
        <v>19447</v>
      </c>
      <c r="J2522">
        <v>2</v>
      </c>
      <c r="L2522" t="s">
        <v>2709</v>
      </c>
      <c r="M2522">
        <v>29182921</v>
      </c>
      <c r="O2522" t="s">
        <v>20028</v>
      </c>
      <c r="P2522" t="s">
        <v>19900</v>
      </c>
      <c r="Q2522" t="s">
        <v>19900</v>
      </c>
      <c r="R2522" t="s">
        <v>19447</v>
      </c>
      <c r="S2522" t="s">
        <v>19447</v>
      </c>
      <c r="T2522" t="s">
        <v>19901</v>
      </c>
    </row>
    <row r="2523" spans="2:20" x14ac:dyDescent="0.25">
      <c r="B2523" t="s">
        <v>2709</v>
      </c>
      <c r="C2523">
        <v>29182922</v>
      </c>
      <c r="E2523">
        <v>68.819999999999993</v>
      </c>
      <c r="F2523">
        <v>0</v>
      </c>
      <c r="G2523">
        <v>0</v>
      </c>
      <c r="H2523" t="s">
        <v>19447</v>
      </c>
      <c r="I2523" t="s">
        <v>19447</v>
      </c>
      <c r="J2523">
        <v>12</v>
      </c>
      <c r="L2523" t="s">
        <v>2709</v>
      </c>
      <c r="M2523">
        <v>29182922</v>
      </c>
      <c r="O2523" t="s">
        <v>20028</v>
      </c>
      <c r="P2523" t="s">
        <v>19900</v>
      </c>
      <c r="Q2523" t="s">
        <v>19900</v>
      </c>
      <c r="R2523" t="s">
        <v>19447</v>
      </c>
      <c r="S2523" t="s">
        <v>19447</v>
      </c>
      <c r="T2523" t="s">
        <v>19903</v>
      </c>
    </row>
    <row r="2524" spans="2:20" x14ac:dyDescent="0.25">
      <c r="B2524" t="s">
        <v>2709</v>
      </c>
      <c r="C2524">
        <v>29182923</v>
      </c>
      <c r="E2524">
        <v>68.819999999999993</v>
      </c>
      <c r="F2524">
        <v>0</v>
      </c>
      <c r="G2524">
        <v>0</v>
      </c>
      <c r="H2524" t="s">
        <v>19447</v>
      </c>
      <c r="I2524" t="s">
        <v>19447</v>
      </c>
      <c r="J2524">
        <v>12</v>
      </c>
      <c r="L2524" t="s">
        <v>2709</v>
      </c>
      <c r="M2524">
        <v>29182923</v>
      </c>
      <c r="O2524" t="s">
        <v>20028</v>
      </c>
      <c r="P2524" t="s">
        <v>19900</v>
      </c>
      <c r="Q2524" t="s">
        <v>19900</v>
      </c>
      <c r="R2524" t="s">
        <v>19447</v>
      </c>
      <c r="S2524" t="s">
        <v>19447</v>
      </c>
      <c r="T2524" t="s">
        <v>19903</v>
      </c>
    </row>
    <row r="2525" spans="2:20" x14ac:dyDescent="0.25">
      <c r="B2525" t="s">
        <v>2709</v>
      </c>
      <c r="C2525">
        <v>29182929</v>
      </c>
      <c r="E2525">
        <v>68.819999999999993</v>
      </c>
      <c r="F2525">
        <v>0</v>
      </c>
      <c r="G2525">
        <v>0</v>
      </c>
      <c r="H2525" t="s">
        <v>19447</v>
      </c>
      <c r="I2525" t="s">
        <v>19447</v>
      </c>
      <c r="J2525">
        <v>2</v>
      </c>
      <c r="L2525" t="s">
        <v>2709</v>
      </c>
      <c r="M2525">
        <v>29182929</v>
      </c>
      <c r="O2525" t="s">
        <v>20028</v>
      </c>
      <c r="P2525" t="s">
        <v>19900</v>
      </c>
      <c r="Q2525" t="s">
        <v>19900</v>
      </c>
      <c r="R2525" t="s">
        <v>19447</v>
      </c>
      <c r="S2525" t="s">
        <v>19447</v>
      </c>
      <c r="T2525" t="s">
        <v>19901</v>
      </c>
    </row>
    <row r="2526" spans="2:20" x14ac:dyDescent="0.25">
      <c r="B2526" t="s">
        <v>2709</v>
      </c>
      <c r="C2526">
        <v>29182930</v>
      </c>
      <c r="E2526">
        <v>68.819999999999993</v>
      </c>
      <c r="F2526">
        <v>0</v>
      </c>
      <c r="G2526">
        <v>0</v>
      </c>
      <c r="H2526" t="s">
        <v>19447</v>
      </c>
      <c r="I2526" t="s">
        <v>19447</v>
      </c>
      <c r="J2526">
        <v>2</v>
      </c>
      <c r="L2526" t="s">
        <v>2709</v>
      </c>
      <c r="M2526">
        <v>29182930</v>
      </c>
      <c r="O2526" t="s">
        <v>20028</v>
      </c>
      <c r="P2526" t="s">
        <v>19900</v>
      </c>
      <c r="Q2526" t="s">
        <v>19900</v>
      </c>
      <c r="R2526" t="s">
        <v>19447</v>
      </c>
      <c r="S2526" t="s">
        <v>19447</v>
      </c>
      <c r="T2526" t="s">
        <v>19901</v>
      </c>
    </row>
    <row r="2527" spans="2:20" x14ac:dyDescent="0.25">
      <c r="B2527" t="s">
        <v>2709</v>
      </c>
      <c r="C2527">
        <v>29182940</v>
      </c>
      <c r="E2527">
        <v>68.819999999999993</v>
      </c>
      <c r="F2527">
        <v>0</v>
      </c>
      <c r="G2527">
        <v>0</v>
      </c>
      <c r="H2527" t="s">
        <v>19447</v>
      </c>
      <c r="I2527" t="s">
        <v>19447</v>
      </c>
      <c r="J2527">
        <v>12</v>
      </c>
      <c r="L2527" t="s">
        <v>2709</v>
      </c>
      <c r="M2527">
        <v>29182940</v>
      </c>
      <c r="O2527" t="s">
        <v>20028</v>
      </c>
      <c r="P2527" t="s">
        <v>19900</v>
      </c>
      <c r="Q2527" t="s">
        <v>19900</v>
      </c>
      <c r="R2527" t="s">
        <v>19447</v>
      </c>
      <c r="S2527" t="s">
        <v>19447</v>
      </c>
      <c r="T2527" t="s">
        <v>19903</v>
      </c>
    </row>
    <row r="2528" spans="2:20" x14ac:dyDescent="0.25">
      <c r="B2528" t="s">
        <v>2709</v>
      </c>
      <c r="C2528">
        <v>29182950</v>
      </c>
      <c r="E2528">
        <v>68.819999999999993</v>
      </c>
      <c r="F2528">
        <v>0</v>
      </c>
      <c r="G2528">
        <v>0</v>
      </c>
      <c r="H2528" t="s">
        <v>19447</v>
      </c>
      <c r="I2528" t="s">
        <v>19447</v>
      </c>
      <c r="J2528">
        <v>12</v>
      </c>
      <c r="L2528" t="s">
        <v>2709</v>
      </c>
      <c r="M2528">
        <v>29182950</v>
      </c>
      <c r="O2528" t="s">
        <v>20028</v>
      </c>
      <c r="P2528" t="s">
        <v>19900</v>
      </c>
      <c r="Q2528" t="s">
        <v>19900</v>
      </c>
      <c r="R2528" t="s">
        <v>19447</v>
      </c>
      <c r="S2528" t="s">
        <v>19447</v>
      </c>
      <c r="T2528" t="s">
        <v>19903</v>
      </c>
    </row>
    <row r="2529" spans="2:20" x14ac:dyDescent="0.25">
      <c r="B2529" t="s">
        <v>2709</v>
      </c>
      <c r="C2529">
        <v>29182990</v>
      </c>
      <c r="E2529">
        <v>68.819999999999993</v>
      </c>
      <c r="F2529">
        <v>0</v>
      </c>
      <c r="G2529">
        <v>0</v>
      </c>
      <c r="H2529" t="s">
        <v>19447</v>
      </c>
      <c r="I2529" t="s">
        <v>19447</v>
      </c>
      <c r="J2529">
        <v>2</v>
      </c>
      <c r="L2529" t="s">
        <v>2709</v>
      </c>
      <c r="M2529">
        <v>29182990</v>
      </c>
      <c r="O2529" t="s">
        <v>20028</v>
      </c>
      <c r="P2529" t="s">
        <v>19900</v>
      </c>
      <c r="Q2529" t="s">
        <v>19900</v>
      </c>
      <c r="R2529" t="s">
        <v>19447</v>
      </c>
      <c r="S2529" t="s">
        <v>19447</v>
      </c>
      <c r="T2529" t="s">
        <v>19901</v>
      </c>
    </row>
    <row r="2530" spans="2:20" x14ac:dyDescent="0.25">
      <c r="B2530" t="s">
        <v>2709</v>
      </c>
      <c r="C2530">
        <v>29183010</v>
      </c>
      <c r="E2530">
        <v>68.819999999999993</v>
      </c>
      <c r="F2530">
        <v>0</v>
      </c>
      <c r="G2530">
        <v>0</v>
      </c>
      <c r="H2530" t="s">
        <v>19447</v>
      </c>
      <c r="I2530" t="s">
        <v>19447</v>
      </c>
      <c r="J2530">
        <v>2</v>
      </c>
      <c r="L2530" t="s">
        <v>2709</v>
      </c>
      <c r="M2530">
        <v>29183010</v>
      </c>
      <c r="O2530" t="s">
        <v>20028</v>
      </c>
      <c r="P2530" t="s">
        <v>19900</v>
      </c>
      <c r="Q2530" t="s">
        <v>19900</v>
      </c>
      <c r="R2530" t="s">
        <v>19447</v>
      </c>
      <c r="S2530" t="s">
        <v>19447</v>
      </c>
      <c r="T2530" t="s">
        <v>19901</v>
      </c>
    </row>
    <row r="2531" spans="2:20" x14ac:dyDescent="0.25">
      <c r="B2531" t="s">
        <v>2709</v>
      </c>
      <c r="C2531">
        <v>29183020</v>
      </c>
      <c r="E2531">
        <v>68.819999999999993</v>
      </c>
      <c r="F2531">
        <v>0</v>
      </c>
      <c r="G2531">
        <v>0</v>
      </c>
      <c r="H2531" t="s">
        <v>19447</v>
      </c>
      <c r="I2531" t="s">
        <v>19447</v>
      </c>
      <c r="J2531">
        <v>2</v>
      </c>
      <c r="L2531" t="s">
        <v>2709</v>
      </c>
      <c r="M2531">
        <v>29183020</v>
      </c>
      <c r="O2531" t="s">
        <v>20028</v>
      </c>
      <c r="P2531" t="s">
        <v>19900</v>
      </c>
      <c r="Q2531" t="s">
        <v>19900</v>
      </c>
      <c r="R2531" t="s">
        <v>19447</v>
      </c>
      <c r="S2531" t="s">
        <v>19447</v>
      </c>
      <c r="T2531" t="s">
        <v>19901</v>
      </c>
    </row>
    <row r="2532" spans="2:20" x14ac:dyDescent="0.25">
      <c r="B2532" t="s">
        <v>2709</v>
      </c>
      <c r="C2532">
        <v>29183031</v>
      </c>
      <c r="E2532">
        <v>68.819999999999993</v>
      </c>
      <c r="F2532">
        <v>0</v>
      </c>
      <c r="G2532">
        <v>0</v>
      </c>
      <c r="H2532" t="s">
        <v>19447</v>
      </c>
      <c r="I2532" t="s">
        <v>19447</v>
      </c>
      <c r="J2532">
        <v>2</v>
      </c>
      <c r="L2532" t="s">
        <v>2709</v>
      </c>
      <c r="M2532">
        <v>29183031</v>
      </c>
      <c r="O2532" t="s">
        <v>20028</v>
      </c>
      <c r="P2532" t="s">
        <v>19900</v>
      </c>
      <c r="Q2532" t="s">
        <v>19900</v>
      </c>
      <c r="R2532" t="s">
        <v>19447</v>
      </c>
      <c r="S2532" t="s">
        <v>19447</v>
      </c>
      <c r="T2532" t="s">
        <v>19901</v>
      </c>
    </row>
    <row r="2533" spans="2:20" x14ac:dyDescent="0.25">
      <c r="B2533" t="s">
        <v>2709</v>
      </c>
      <c r="C2533">
        <v>29183032</v>
      </c>
      <c r="E2533">
        <v>68.819999999999993</v>
      </c>
      <c r="F2533">
        <v>0</v>
      </c>
      <c r="G2533">
        <v>0</v>
      </c>
      <c r="H2533" t="s">
        <v>19447</v>
      </c>
      <c r="I2533" t="s">
        <v>19447</v>
      </c>
      <c r="J2533">
        <v>2</v>
      </c>
      <c r="L2533" t="s">
        <v>2709</v>
      </c>
      <c r="M2533">
        <v>29183032</v>
      </c>
      <c r="O2533" t="s">
        <v>20028</v>
      </c>
      <c r="P2533" t="s">
        <v>19900</v>
      </c>
      <c r="Q2533" t="s">
        <v>19900</v>
      </c>
      <c r="R2533" t="s">
        <v>19447</v>
      </c>
      <c r="S2533" t="s">
        <v>19447</v>
      </c>
      <c r="T2533" t="s">
        <v>19901</v>
      </c>
    </row>
    <row r="2534" spans="2:20" x14ac:dyDescent="0.25">
      <c r="B2534" t="s">
        <v>2709</v>
      </c>
      <c r="C2534">
        <v>29183033</v>
      </c>
      <c r="E2534">
        <v>68.819999999999993</v>
      </c>
      <c r="F2534">
        <v>0</v>
      </c>
      <c r="G2534">
        <v>0</v>
      </c>
      <c r="H2534" t="s">
        <v>19447</v>
      </c>
      <c r="I2534" t="s">
        <v>19447</v>
      </c>
      <c r="J2534">
        <v>14</v>
      </c>
      <c r="L2534" t="s">
        <v>2709</v>
      </c>
      <c r="M2534">
        <v>29183033</v>
      </c>
      <c r="O2534" t="s">
        <v>20028</v>
      </c>
      <c r="P2534" t="s">
        <v>19900</v>
      </c>
      <c r="Q2534" t="s">
        <v>19900</v>
      </c>
      <c r="R2534" t="s">
        <v>19447</v>
      </c>
      <c r="S2534" t="s">
        <v>19447</v>
      </c>
      <c r="T2534" t="s">
        <v>19911</v>
      </c>
    </row>
    <row r="2535" spans="2:20" x14ac:dyDescent="0.25">
      <c r="B2535" t="s">
        <v>2709</v>
      </c>
      <c r="C2535">
        <v>29183039</v>
      </c>
      <c r="E2535">
        <v>68.819999999999993</v>
      </c>
      <c r="F2535">
        <v>0</v>
      </c>
      <c r="G2535">
        <v>0</v>
      </c>
      <c r="H2535" t="s">
        <v>19447</v>
      </c>
      <c r="I2535" t="s">
        <v>19447</v>
      </c>
      <c r="J2535">
        <v>2</v>
      </c>
      <c r="L2535" t="s">
        <v>2709</v>
      </c>
      <c r="M2535">
        <v>29183039</v>
      </c>
      <c r="O2535" t="s">
        <v>20028</v>
      </c>
      <c r="P2535" t="s">
        <v>19900</v>
      </c>
      <c r="Q2535" t="s">
        <v>19900</v>
      </c>
      <c r="R2535" t="s">
        <v>19447</v>
      </c>
      <c r="S2535" t="s">
        <v>19447</v>
      </c>
      <c r="T2535" t="s">
        <v>19901</v>
      </c>
    </row>
    <row r="2536" spans="2:20" x14ac:dyDescent="0.25">
      <c r="B2536" t="s">
        <v>2709</v>
      </c>
      <c r="C2536">
        <v>29183040</v>
      </c>
      <c r="E2536">
        <v>68.819999999999993</v>
      </c>
      <c r="F2536">
        <v>0</v>
      </c>
      <c r="G2536">
        <v>0</v>
      </c>
      <c r="H2536" t="s">
        <v>19447</v>
      </c>
      <c r="I2536" t="s">
        <v>19447</v>
      </c>
      <c r="J2536">
        <v>2</v>
      </c>
      <c r="L2536" t="s">
        <v>2709</v>
      </c>
      <c r="M2536">
        <v>29183040</v>
      </c>
      <c r="O2536" t="s">
        <v>20028</v>
      </c>
      <c r="P2536" t="s">
        <v>19900</v>
      </c>
      <c r="Q2536" t="s">
        <v>19900</v>
      </c>
      <c r="R2536" t="s">
        <v>19447</v>
      </c>
      <c r="S2536" t="s">
        <v>19447</v>
      </c>
      <c r="T2536" t="s">
        <v>19901</v>
      </c>
    </row>
    <row r="2537" spans="2:20" x14ac:dyDescent="0.25">
      <c r="B2537" t="s">
        <v>2709</v>
      </c>
      <c r="C2537">
        <v>29183090</v>
      </c>
      <c r="E2537">
        <v>68.819999999999993</v>
      </c>
      <c r="F2537">
        <v>0</v>
      </c>
      <c r="G2537">
        <v>0</v>
      </c>
      <c r="H2537" t="s">
        <v>19447</v>
      </c>
      <c r="I2537" t="s">
        <v>19447</v>
      </c>
      <c r="J2537">
        <v>2</v>
      </c>
      <c r="L2537" t="s">
        <v>2709</v>
      </c>
      <c r="M2537">
        <v>29183090</v>
      </c>
      <c r="O2537" t="s">
        <v>20028</v>
      </c>
      <c r="P2537" t="s">
        <v>19900</v>
      </c>
      <c r="Q2537" t="s">
        <v>19900</v>
      </c>
      <c r="R2537" t="s">
        <v>19447</v>
      </c>
      <c r="S2537" t="s">
        <v>19447</v>
      </c>
      <c r="T2537" t="s">
        <v>19901</v>
      </c>
    </row>
    <row r="2538" spans="2:20" x14ac:dyDescent="0.25">
      <c r="B2538" t="s">
        <v>2709</v>
      </c>
      <c r="C2538">
        <v>29189100</v>
      </c>
      <c r="E2538">
        <v>68.819999999999993</v>
      </c>
      <c r="F2538">
        <v>0</v>
      </c>
      <c r="G2538">
        <v>0</v>
      </c>
      <c r="H2538" t="s">
        <v>19447</v>
      </c>
      <c r="I2538" t="s">
        <v>19447</v>
      </c>
      <c r="J2538">
        <v>2</v>
      </c>
      <c r="L2538" t="s">
        <v>2709</v>
      </c>
      <c r="M2538">
        <v>29189100</v>
      </c>
      <c r="O2538" t="s">
        <v>20028</v>
      </c>
      <c r="P2538" t="s">
        <v>19900</v>
      </c>
      <c r="Q2538" t="s">
        <v>19900</v>
      </c>
      <c r="R2538" t="s">
        <v>19447</v>
      </c>
      <c r="S2538" t="s">
        <v>19447</v>
      </c>
      <c r="T2538" t="s">
        <v>19901</v>
      </c>
    </row>
    <row r="2539" spans="2:20" x14ac:dyDescent="0.25">
      <c r="B2539" t="s">
        <v>2709</v>
      </c>
      <c r="C2539">
        <v>29189911</v>
      </c>
      <c r="E2539">
        <v>68.819999999999993</v>
      </c>
      <c r="F2539">
        <v>0</v>
      </c>
      <c r="G2539">
        <v>0</v>
      </c>
      <c r="H2539" t="s">
        <v>19447</v>
      </c>
      <c r="I2539" t="s">
        <v>19447</v>
      </c>
      <c r="J2539">
        <v>12</v>
      </c>
      <c r="L2539" t="s">
        <v>2709</v>
      </c>
      <c r="M2539">
        <v>29189911</v>
      </c>
      <c r="O2539" t="s">
        <v>20028</v>
      </c>
      <c r="P2539" t="s">
        <v>19900</v>
      </c>
      <c r="Q2539" t="s">
        <v>19900</v>
      </c>
      <c r="R2539" t="s">
        <v>19447</v>
      </c>
      <c r="S2539" t="s">
        <v>19447</v>
      </c>
      <c r="T2539" t="s">
        <v>19903</v>
      </c>
    </row>
    <row r="2540" spans="2:20" x14ac:dyDescent="0.25">
      <c r="B2540" t="s">
        <v>2709</v>
      </c>
      <c r="C2540">
        <v>29189912</v>
      </c>
      <c r="E2540">
        <v>68.819999999999993</v>
      </c>
      <c r="F2540">
        <v>0</v>
      </c>
      <c r="G2540">
        <v>0</v>
      </c>
      <c r="H2540" t="s">
        <v>19447</v>
      </c>
      <c r="I2540" t="s">
        <v>19447</v>
      </c>
      <c r="J2540">
        <v>14</v>
      </c>
      <c r="L2540" t="s">
        <v>2709</v>
      </c>
      <c r="M2540">
        <v>29189912</v>
      </c>
      <c r="O2540" t="s">
        <v>20028</v>
      </c>
      <c r="P2540" t="s">
        <v>19900</v>
      </c>
      <c r="Q2540" t="s">
        <v>19900</v>
      </c>
      <c r="R2540" t="s">
        <v>19447</v>
      </c>
      <c r="S2540" t="s">
        <v>19447</v>
      </c>
      <c r="T2540" t="s">
        <v>19911</v>
      </c>
    </row>
    <row r="2541" spans="2:20" x14ac:dyDescent="0.25">
      <c r="B2541" t="s">
        <v>2709</v>
      </c>
      <c r="C2541">
        <v>29189919</v>
      </c>
      <c r="E2541">
        <v>68.819999999999993</v>
      </c>
      <c r="F2541">
        <v>0</v>
      </c>
      <c r="G2541">
        <v>0</v>
      </c>
      <c r="H2541" t="s">
        <v>19447</v>
      </c>
      <c r="I2541" t="s">
        <v>19447</v>
      </c>
      <c r="J2541">
        <v>2</v>
      </c>
      <c r="L2541" t="s">
        <v>2709</v>
      </c>
      <c r="M2541">
        <v>29189919</v>
      </c>
      <c r="O2541" t="s">
        <v>20028</v>
      </c>
      <c r="P2541" t="s">
        <v>19900</v>
      </c>
      <c r="Q2541" t="s">
        <v>19900</v>
      </c>
      <c r="R2541" t="s">
        <v>19447</v>
      </c>
      <c r="S2541" t="s">
        <v>19447</v>
      </c>
      <c r="T2541" t="s">
        <v>19901</v>
      </c>
    </row>
    <row r="2542" spans="2:20" x14ac:dyDescent="0.25">
      <c r="B2542" t="s">
        <v>2709</v>
      </c>
      <c r="C2542">
        <v>29189921</v>
      </c>
      <c r="E2542">
        <v>68.819999999999993</v>
      </c>
      <c r="F2542">
        <v>0</v>
      </c>
      <c r="G2542">
        <v>0</v>
      </c>
      <c r="H2542" t="s">
        <v>19447</v>
      </c>
      <c r="I2542" t="s">
        <v>19447</v>
      </c>
      <c r="J2542">
        <v>12</v>
      </c>
      <c r="L2542" t="s">
        <v>2709</v>
      </c>
      <c r="M2542">
        <v>29189921</v>
      </c>
      <c r="O2542" t="s">
        <v>20028</v>
      </c>
      <c r="P2542" t="s">
        <v>19900</v>
      </c>
      <c r="Q2542" t="s">
        <v>19900</v>
      </c>
      <c r="R2542" t="s">
        <v>19447</v>
      </c>
      <c r="S2542" t="s">
        <v>19447</v>
      </c>
      <c r="T2542" t="s">
        <v>19903</v>
      </c>
    </row>
    <row r="2543" spans="2:20" x14ac:dyDescent="0.25">
      <c r="B2543" t="s">
        <v>2709</v>
      </c>
      <c r="C2543">
        <v>29189929</v>
      </c>
      <c r="E2543">
        <v>68.819999999999993</v>
      </c>
      <c r="F2543">
        <v>0</v>
      </c>
      <c r="G2543">
        <v>0</v>
      </c>
      <c r="H2543" t="s">
        <v>19447</v>
      </c>
      <c r="I2543" t="s">
        <v>19447</v>
      </c>
      <c r="J2543">
        <v>2</v>
      </c>
      <c r="L2543" t="s">
        <v>2709</v>
      </c>
      <c r="M2543">
        <v>29189929</v>
      </c>
      <c r="O2543" t="s">
        <v>20028</v>
      </c>
      <c r="P2543" t="s">
        <v>19900</v>
      </c>
      <c r="Q2543" t="s">
        <v>19900</v>
      </c>
      <c r="R2543" t="s">
        <v>19447</v>
      </c>
      <c r="S2543" t="s">
        <v>19447</v>
      </c>
      <c r="T2543" t="s">
        <v>19901</v>
      </c>
    </row>
    <row r="2544" spans="2:20" x14ac:dyDescent="0.25">
      <c r="B2544" t="s">
        <v>2709</v>
      </c>
      <c r="C2544">
        <v>29189930</v>
      </c>
      <c r="E2544">
        <v>68.819999999999993</v>
      </c>
      <c r="F2544">
        <v>0</v>
      </c>
      <c r="G2544">
        <v>0</v>
      </c>
      <c r="H2544" t="s">
        <v>19447</v>
      </c>
      <c r="I2544" t="s">
        <v>19447</v>
      </c>
      <c r="J2544">
        <v>2</v>
      </c>
      <c r="L2544" t="s">
        <v>2709</v>
      </c>
      <c r="M2544">
        <v>29189930</v>
      </c>
      <c r="O2544" t="s">
        <v>20028</v>
      </c>
      <c r="P2544" t="s">
        <v>19900</v>
      </c>
      <c r="Q2544" t="s">
        <v>19900</v>
      </c>
      <c r="R2544" t="s">
        <v>19447</v>
      </c>
      <c r="S2544" t="s">
        <v>19447</v>
      </c>
      <c r="T2544" t="s">
        <v>19901</v>
      </c>
    </row>
    <row r="2545" spans="2:20" x14ac:dyDescent="0.25">
      <c r="B2545" t="s">
        <v>2709</v>
      </c>
      <c r="C2545">
        <v>29189940</v>
      </c>
      <c r="E2545">
        <v>68.819999999999993</v>
      </c>
      <c r="F2545">
        <v>0</v>
      </c>
      <c r="G2545">
        <v>0</v>
      </c>
      <c r="H2545" t="s">
        <v>19447</v>
      </c>
      <c r="I2545" t="s">
        <v>19447</v>
      </c>
      <c r="J2545">
        <v>2</v>
      </c>
      <c r="L2545" t="s">
        <v>2709</v>
      </c>
      <c r="M2545">
        <v>29189940</v>
      </c>
      <c r="O2545" t="s">
        <v>20028</v>
      </c>
      <c r="P2545" t="s">
        <v>19900</v>
      </c>
      <c r="Q2545" t="s">
        <v>19900</v>
      </c>
      <c r="R2545" t="s">
        <v>19447</v>
      </c>
      <c r="S2545" t="s">
        <v>19447</v>
      </c>
      <c r="T2545" t="s">
        <v>19901</v>
      </c>
    </row>
    <row r="2546" spans="2:20" x14ac:dyDescent="0.25">
      <c r="B2546" t="s">
        <v>2709</v>
      </c>
      <c r="C2546">
        <v>29189950</v>
      </c>
      <c r="E2546">
        <v>68.819999999999993</v>
      </c>
      <c r="F2546">
        <v>0</v>
      </c>
      <c r="G2546">
        <v>0</v>
      </c>
      <c r="H2546" t="s">
        <v>19447</v>
      </c>
      <c r="I2546" t="s">
        <v>19447</v>
      </c>
      <c r="J2546">
        <v>2</v>
      </c>
      <c r="L2546" t="s">
        <v>2709</v>
      </c>
      <c r="M2546">
        <v>29189950</v>
      </c>
      <c r="O2546" t="s">
        <v>20028</v>
      </c>
      <c r="P2546" t="s">
        <v>19900</v>
      </c>
      <c r="Q2546" t="s">
        <v>19900</v>
      </c>
      <c r="R2546" t="s">
        <v>19447</v>
      </c>
      <c r="S2546" t="s">
        <v>19447</v>
      </c>
      <c r="T2546" t="s">
        <v>19901</v>
      </c>
    </row>
    <row r="2547" spans="2:20" x14ac:dyDescent="0.25">
      <c r="B2547" t="s">
        <v>2709</v>
      </c>
      <c r="C2547">
        <v>29189960</v>
      </c>
      <c r="E2547">
        <v>68.819999999999993</v>
      </c>
      <c r="F2547">
        <v>0</v>
      </c>
      <c r="G2547">
        <v>0</v>
      </c>
      <c r="H2547" t="s">
        <v>19447</v>
      </c>
      <c r="I2547" t="s">
        <v>19447</v>
      </c>
      <c r="J2547">
        <v>2</v>
      </c>
      <c r="L2547" t="s">
        <v>2709</v>
      </c>
      <c r="M2547">
        <v>29189960</v>
      </c>
      <c r="O2547" t="s">
        <v>20028</v>
      </c>
      <c r="P2547" t="s">
        <v>19900</v>
      </c>
      <c r="Q2547" t="s">
        <v>19900</v>
      </c>
      <c r="R2547" t="s">
        <v>19447</v>
      </c>
      <c r="S2547" t="s">
        <v>19447</v>
      </c>
      <c r="T2547" t="s">
        <v>19901</v>
      </c>
    </row>
    <row r="2548" spans="2:20" x14ac:dyDescent="0.25">
      <c r="B2548" t="s">
        <v>2709</v>
      </c>
      <c r="C2548">
        <v>29189991</v>
      </c>
      <c r="E2548">
        <v>68.819999999999993</v>
      </c>
      <c r="F2548">
        <v>0</v>
      </c>
      <c r="G2548">
        <v>0</v>
      </c>
      <c r="H2548" t="s">
        <v>19447</v>
      </c>
      <c r="I2548" t="s">
        <v>19447</v>
      </c>
      <c r="J2548">
        <v>2</v>
      </c>
      <c r="L2548" t="s">
        <v>2709</v>
      </c>
      <c r="M2548">
        <v>29189991</v>
      </c>
      <c r="O2548" t="s">
        <v>20028</v>
      </c>
      <c r="P2548" t="s">
        <v>19900</v>
      </c>
      <c r="Q2548" t="s">
        <v>19900</v>
      </c>
      <c r="R2548" t="s">
        <v>19447</v>
      </c>
      <c r="S2548" t="s">
        <v>19447</v>
      </c>
      <c r="T2548" t="s">
        <v>19901</v>
      </c>
    </row>
    <row r="2549" spans="2:20" x14ac:dyDescent="0.25">
      <c r="B2549" t="s">
        <v>2709</v>
      </c>
      <c r="C2549">
        <v>29189992</v>
      </c>
      <c r="E2549">
        <v>68.819999999999993</v>
      </c>
      <c r="F2549">
        <v>0</v>
      </c>
      <c r="G2549">
        <v>0</v>
      </c>
      <c r="H2549" t="s">
        <v>19447</v>
      </c>
      <c r="I2549" t="s">
        <v>19447</v>
      </c>
      <c r="J2549">
        <v>12</v>
      </c>
      <c r="L2549" t="s">
        <v>2709</v>
      </c>
      <c r="M2549">
        <v>29189992</v>
      </c>
      <c r="O2549" t="s">
        <v>20028</v>
      </c>
      <c r="P2549" t="s">
        <v>19900</v>
      </c>
      <c r="Q2549" t="s">
        <v>19900</v>
      </c>
      <c r="R2549" t="s">
        <v>19447</v>
      </c>
      <c r="S2549" t="s">
        <v>19447</v>
      </c>
      <c r="T2549" t="s">
        <v>19903</v>
      </c>
    </row>
    <row r="2550" spans="2:20" x14ac:dyDescent="0.25">
      <c r="B2550" t="s">
        <v>2709</v>
      </c>
      <c r="C2550">
        <v>29189993</v>
      </c>
      <c r="E2550">
        <v>68.819999999999993</v>
      </c>
      <c r="F2550">
        <v>0</v>
      </c>
      <c r="G2550">
        <v>0</v>
      </c>
      <c r="H2550" t="s">
        <v>19447</v>
      </c>
      <c r="I2550" t="s">
        <v>19447</v>
      </c>
      <c r="J2550">
        <v>12</v>
      </c>
      <c r="L2550" t="s">
        <v>2709</v>
      </c>
      <c r="M2550">
        <v>29189993</v>
      </c>
      <c r="O2550" t="s">
        <v>20028</v>
      </c>
      <c r="P2550" t="s">
        <v>19900</v>
      </c>
      <c r="Q2550" t="s">
        <v>19900</v>
      </c>
      <c r="R2550" t="s">
        <v>19447</v>
      </c>
      <c r="S2550" t="s">
        <v>19447</v>
      </c>
      <c r="T2550" t="s">
        <v>19903</v>
      </c>
    </row>
    <row r="2551" spans="2:20" x14ac:dyDescent="0.25">
      <c r="B2551" t="s">
        <v>2709</v>
      </c>
      <c r="C2551">
        <v>29189994</v>
      </c>
      <c r="E2551">
        <v>68.819999999999993</v>
      </c>
      <c r="F2551">
        <v>0</v>
      </c>
      <c r="G2551">
        <v>0</v>
      </c>
      <c r="H2551" t="s">
        <v>19447</v>
      </c>
      <c r="I2551" t="s">
        <v>19447</v>
      </c>
      <c r="J2551">
        <v>14</v>
      </c>
      <c r="L2551" t="s">
        <v>2709</v>
      </c>
      <c r="M2551">
        <v>29189994</v>
      </c>
      <c r="O2551" t="s">
        <v>20028</v>
      </c>
      <c r="P2551" t="s">
        <v>19900</v>
      </c>
      <c r="Q2551" t="s">
        <v>19900</v>
      </c>
      <c r="R2551" t="s">
        <v>19447</v>
      </c>
      <c r="S2551" t="s">
        <v>19447</v>
      </c>
      <c r="T2551" t="s">
        <v>19911</v>
      </c>
    </row>
    <row r="2552" spans="2:20" x14ac:dyDescent="0.25">
      <c r="B2552" t="s">
        <v>2709</v>
      </c>
      <c r="C2552">
        <v>29189999</v>
      </c>
      <c r="E2552">
        <v>68.819999999999993</v>
      </c>
      <c r="F2552">
        <v>0</v>
      </c>
      <c r="G2552">
        <v>0</v>
      </c>
      <c r="H2552" t="s">
        <v>19447</v>
      </c>
      <c r="I2552" t="s">
        <v>19447</v>
      </c>
      <c r="J2552">
        <v>2</v>
      </c>
      <c r="L2552" t="s">
        <v>2709</v>
      </c>
      <c r="M2552">
        <v>29189999</v>
      </c>
      <c r="O2552" t="s">
        <v>20028</v>
      </c>
      <c r="P2552" t="s">
        <v>19900</v>
      </c>
      <c r="Q2552" t="s">
        <v>19900</v>
      </c>
      <c r="R2552" t="s">
        <v>19447</v>
      </c>
      <c r="S2552" t="s">
        <v>19447</v>
      </c>
      <c r="T2552" t="s">
        <v>19901</v>
      </c>
    </row>
    <row r="2553" spans="2:20" x14ac:dyDescent="0.25">
      <c r="B2553" t="s">
        <v>2709</v>
      </c>
      <c r="C2553">
        <v>29191000</v>
      </c>
      <c r="E2553">
        <v>68.819999999999993</v>
      </c>
      <c r="F2553">
        <v>0</v>
      </c>
      <c r="G2553">
        <v>0</v>
      </c>
      <c r="H2553" t="s">
        <v>19447</v>
      </c>
      <c r="I2553" t="s">
        <v>19447</v>
      </c>
      <c r="J2553">
        <v>2</v>
      </c>
      <c r="L2553" t="s">
        <v>2709</v>
      </c>
      <c r="M2553">
        <v>29191000</v>
      </c>
      <c r="O2553" t="s">
        <v>20028</v>
      </c>
      <c r="P2553" t="s">
        <v>19900</v>
      </c>
      <c r="Q2553" t="s">
        <v>19900</v>
      </c>
      <c r="R2553" t="s">
        <v>19447</v>
      </c>
      <c r="S2553" t="s">
        <v>19447</v>
      </c>
      <c r="T2553" t="s">
        <v>19901</v>
      </c>
    </row>
    <row r="2554" spans="2:20" x14ac:dyDescent="0.25">
      <c r="B2554" t="s">
        <v>2709</v>
      </c>
      <c r="C2554">
        <v>29199010</v>
      </c>
      <c r="E2554">
        <v>68.819999999999993</v>
      </c>
      <c r="F2554">
        <v>0</v>
      </c>
      <c r="G2554">
        <v>0</v>
      </c>
      <c r="H2554" t="s">
        <v>19447</v>
      </c>
      <c r="I2554" t="s">
        <v>19447</v>
      </c>
      <c r="J2554">
        <v>2</v>
      </c>
      <c r="L2554" t="s">
        <v>2709</v>
      </c>
      <c r="M2554">
        <v>29199010</v>
      </c>
      <c r="O2554" t="s">
        <v>20028</v>
      </c>
      <c r="P2554" t="s">
        <v>19900</v>
      </c>
      <c r="Q2554" t="s">
        <v>19900</v>
      </c>
      <c r="R2554" t="s">
        <v>19447</v>
      </c>
      <c r="S2554" t="s">
        <v>19447</v>
      </c>
      <c r="T2554" t="s">
        <v>19901</v>
      </c>
    </row>
    <row r="2555" spans="2:20" x14ac:dyDescent="0.25">
      <c r="B2555" t="s">
        <v>2709</v>
      </c>
      <c r="C2555">
        <v>29199020</v>
      </c>
      <c r="E2555">
        <v>68.819999999999993</v>
      </c>
      <c r="F2555">
        <v>0</v>
      </c>
      <c r="G2555">
        <v>0</v>
      </c>
      <c r="H2555" t="s">
        <v>19447</v>
      </c>
      <c r="I2555" t="s">
        <v>19447</v>
      </c>
      <c r="J2555">
        <v>2</v>
      </c>
      <c r="L2555" t="s">
        <v>2709</v>
      </c>
      <c r="M2555">
        <v>29199020</v>
      </c>
      <c r="O2555" t="s">
        <v>20028</v>
      </c>
      <c r="P2555" t="s">
        <v>19900</v>
      </c>
      <c r="Q2555" t="s">
        <v>19900</v>
      </c>
      <c r="R2555" t="s">
        <v>19447</v>
      </c>
      <c r="S2555" t="s">
        <v>19447</v>
      </c>
      <c r="T2555" t="s">
        <v>19901</v>
      </c>
    </row>
    <row r="2556" spans="2:20" x14ac:dyDescent="0.25">
      <c r="B2556" t="s">
        <v>2709</v>
      </c>
      <c r="C2556">
        <v>29199030</v>
      </c>
      <c r="E2556">
        <v>68.819999999999993</v>
      </c>
      <c r="F2556">
        <v>0</v>
      </c>
      <c r="G2556">
        <v>0</v>
      </c>
      <c r="H2556" t="s">
        <v>19447</v>
      </c>
      <c r="I2556" t="s">
        <v>19447</v>
      </c>
      <c r="J2556">
        <v>10</v>
      </c>
      <c r="L2556" t="s">
        <v>2709</v>
      </c>
      <c r="M2556">
        <v>29199030</v>
      </c>
      <c r="O2556" t="s">
        <v>20028</v>
      </c>
      <c r="P2556" t="s">
        <v>19900</v>
      </c>
      <c r="Q2556" t="s">
        <v>19900</v>
      </c>
      <c r="R2556" t="s">
        <v>19447</v>
      </c>
      <c r="S2556" t="s">
        <v>19447</v>
      </c>
      <c r="T2556" t="s">
        <v>19904</v>
      </c>
    </row>
    <row r="2557" spans="2:20" x14ac:dyDescent="0.25">
      <c r="B2557" t="s">
        <v>2709</v>
      </c>
      <c r="C2557">
        <v>29199040</v>
      </c>
      <c r="E2557">
        <v>68.819999999999993</v>
      </c>
      <c r="F2557">
        <v>0</v>
      </c>
      <c r="G2557">
        <v>0</v>
      </c>
      <c r="H2557" t="s">
        <v>19447</v>
      </c>
      <c r="I2557" t="s">
        <v>19447</v>
      </c>
      <c r="J2557">
        <v>12</v>
      </c>
      <c r="L2557" t="s">
        <v>2709</v>
      </c>
      <c r="M2557">
        <v>29199040</v>
      </c>
      <c r="O2557" t="s">
        <v>20028</v>
      </c>
      <c r="P2557" t="s">
        <v>19900</v>
      </c>
      <c r="Q2557" t="s">
        <v>19900</v>
      </c>
      <c r="R2557" t="s">
        <v>19447</v>
      </c>
      <c r="S2557" t="s">
        <v>19447</v>
      </c>
      <c r="T2557" t="s">
        <v>19903</v>
      </c>
    </row>
    <row r="2558" spans="2:20" x14ac:dyDescent="0.25">
      <c r="B2558" t="s">
        <v>2709</v>
      </c>
      <c r="C2558">
        <v>29199050</v>
      </c>
      <c r="E2558">
        <v>68.819999999999993</v>
      </c>
      <c r="F2558">
        <v>0</v>
      </c>
      <c r="G2558">
        <v>0</v>
      </c>
      <c r="H2558" t="s">
        <v>19447</v>
      </c>
      <c r="I2558" t="s">
        <v>19447</v>
      </c>
      <c r="J2558">
        <v>12</v>
      </c>
      <c r="L2558" t="s">
        <v>2709</v>
      </c>
      <c r="M2558">
        <v>29199050</v>
      </c>
      <c r="O2558" t="s">
        <v>20028</v>
      </c>
      <c r="P2558" t="s">
        <v>19900</v>
      </c>
      <c r="Q2558" t="s">
        <v>19900</v>
      </c>
      <c r="R2558" t="s">
        <v>19447</v>
      </c>
      <c r="S2558" t="s">
        <v>19447</v>
      </c>
      <c r="T2558" t="s">
        <v>19903</v>
      </c>
    </row>
    <row r="2559" spans="2:20" x14ac:dyDescent="0.25">
      <c r="B2559" t="s">
        <v>2709</v>
      </c>
      <c r="C2559">
        <v>29199060</v>
      </c>
      <c r="E2559">
        <v>68.819999999999993</v>
      </c>
      <c r="F2559">
        <v>0</v>
      </c>
      <c r="G2559">
        <v>0</v>
      </c>
      <c r="H2559" t="s">
        <v>19447</v>
      </c>
      <c r="I2559" t="s">
        <v>19447</v>
      </c>
      <c r="J2559">
        <v>14</v>
      </c>
      <c r="L2559" t="s">
        <v>2709</v>
      </c>
      <c r="M2559">
        <v>29199060</v>
      </c>
      <c r="O2559" t="s">
        <v>20028</v>
      </c>
      <c r="P2559" t="s">
        <v>19900</v>
      </c>
      <c r="Q2559" t="s">
        <v>19900</v>
      </c>
      <c r="R2559" t="s">
        <v>19447</v>
      </c>
      <c r="S2559" t="s">
        <v>19447</v>
      </c>
      <c r="T2559" t="s">
        <v>19911</v>
      </c>
    </row>
    <row r="2560" spans="2:20" x14ac:dyDescent="0.25">
      <c r="B2560" t="s">
        <v>2709</v>
      </c>
      <c r="C2560">
        <v>29199090</v>
      </c>
      <c r="E2560">
        <v>68.819999999999993</v>
      </c>
      <c r="F2560">
        <v>0</v>
      </c>
      <c r="G2560">
        <v>0</v>
      </c>
      <c r="H2560" t="s">
        <v>19447</v>
      </c>
      <c r="I2560" t="s">
        <v>19447</v>
      </c>
      <c r="J2560">
        <v>2</v>
      </c>
      <c r="L2560" t="s">
        <v>2709</v>
      </c>
      <c r="M2560">
        <v>29199090</v>
      </c>
      <c r="O2560" t="s">
        <v>20028</v>
      </c>
      <c r="P2560" t="s">
        <v>19900</v>
      </c>
      <c r="Q2560" t="s">
        <v>19900</v>
      </c>
      <c r="R2560" t="s">
        <v>19447</v>
      </c>
      <c r="S2560" t="s">
        <v>19447</v>
      </c>
      <c r="T2560" t="s">
        <v>19901</v>
      </c>
    </row>
    <row r="2561" spans="2:20" x14ac:dyDescent="0.25">
      <c r="B2561" t="s">
        <v>2709</v>
      </c>
      <c r="C2561">
        <v>29201110</v>
      </c>
      <c r="E2561">
        <v>68.819999999999993</v>
      </c>
      <c r="F2561">
        <v>0</v>
      </c>
      <c r="G2561">
        <v>0</v>
      </c>
      <c r="H2561" t="s">
        <v>19447</v>
      </c>
      <c r="I2561" t="s">
        <v>19447</v>
      </c>
      <c r="J2561">
        <v>2</v>
      </c>
      <c r="L2561" t="s">
        <v>2709</v>
      </c>
      <c r="M2561">
        <v>29201110</v>
      </c>
      <c r="O2561" t="s">
        <v>20028</v>
      </c>
      <c r="P2561" t="s">
        <v>19900</v>
      </c>
      <c r="Q2561" t="s">
        <v>19900</v>
      </c>
      <c r="R2561" t="s">
        <v>19447</v>
      </c>
      <c r="S2561" t="s">
        <v>19447</v>
      </c>
      <c r="T2561" t="s">
        <v>19901</v>
      </c>
    </row>
    <row r="2562" spans="2:20" x14ac:dyDescent="0.25">
      <c r="B2562" t="s">
        <v>2709</v>
      </c>
      <c r="C2562">
        <v>29201120</v>
      </c>
      <c r="E2562">
        <v>68.819999999999993</v>
      </c>
      <c r="F2562">
        <v>0</v>
      </c>
      <c r="G2562">
        <v>0</v>
      </c>
      <c r="H2562" t="s">
        <v>19447</v>
      </c>
      <c r="I2562" t="s">
        <v>19447</v>
      </c>
      <c r="J2562">
        <v>2</v>
      </c>
      <c r="L2562" t="s">
        <v>2709</v>
      </c>
      <c r="M2562">
        <v>29201120</v>
      </c>
      <c r="O2562" t="s">
        <v>20028</v>
      </c>
      <c r="P2562" t="s">
        <v>19900</v>
      </c>
      <c r="Q2562" t="s">
        <v>19900</v>
      </c>
      <c r="R2562" t="s">
        <v>19447</v>
      </c>
      <c r="S2562" t="s">
        <v>19447</v>
      </c>
      <c r="T2562" t="s">
        <v>19901</v>
      </c>
    </row>
    <row r="2563" spans="2:20" x14ac:dyDescent="0.25">
      <c r="B2563" t="s">
        <v>2709</v>
      </c>
      <c r="C2563">
        <v>29201910</v>
      </c>
      <c r="E2563">
        <v>68.819999999999993</v>
      </c>
      <c r="F2563">
        <v>0</v>
      </c>
      <c r="G2563">
        <v>0</v>
      </c>
      <c r="H2563" t="s">
        <v>19447</v>
      </c>
      <c r="I2563" t="s">
        <v>19447</v>
      </c>
      <c r="J2563">
        <v>2</v>
      </c>
      <c r="L2563" t="s">
        <v>2709</v>
      </c>
      <c r="M2563">
        <v>29201910</v>
      </c>
      <c r="O2563" t="s">
        <v>20028</v>
      </c>
      <c r="P2563" t="s">
        <v>19900</v>
      </c>
      <c r="Q2563" t="s">
        <v>19900</v>
      </c>
      <c r="R2563" t="s">
        <v>19447</v>
      </c>
      <c r="S2563" t="s">
        <v>19447</v>
      </c>
      <c r="T2563" t="s">
        <v>19901</v>
      </c>
    </row>
    <row r="2564" spans="2:20" x14ac:dyDescent="0.25">
      <c r="B2564" t="s">
        <v>2709</v>
      </c>
      <c r="C2564">
        <v>29201920</v>
      </c>
      <c r="E2564">
        <v>68.819999999999993</v>
      </c>
      <c r="F2564">
        <v>0</v>
      </c>
      <c r="G2564">
        <v>0</v>
      </c>
      <c r="H2564" t="s">
        <v>19447</v>
      </c>
      <c r="I2564" t="s">
        <v>19447</v>
      </c>
      <c r="J2564">
        <v>2</v>
      </c>
      <c r="L2564" t="s">
        <v>2709</v>
      </c>
      <c r="M2564">
        <v>29201920</v>
      </c>
      <c r="O2564" t="s">
        <v>20028</v>
      </c>
      <c r="P2564" t="s">
        <v>19900</v>
      </c>
      <c r="Q2564" t="s">
        <v>19900</v>
      </c>
      <c r="R2564" t="s">
        <v>19447</v>
      </c>
      <c r="S2564" t="s">
        <v>19447</v>
      </c>
      <c r="T2564" t="s">
        <v>19901</v>
      </c>
    </row>
    <row r="2565" spans="2:20" x14ac:dyDescent="0.25">
      <c r="B2565" t="s">
        <v>2709</v>
      </c>
      <c r="C2565">
        <v>29201990</v>
      </c>
      <c r="E2565">
        <v>68.819999999999993</v>
      </c>
      <c r="F2565">
        <v>0</v>
      </c>
      <c r="G2565">
        <v>0</v>
      </c>
      <c r="H2565" t="s">
        <v>19447</v>
      </c>
      <c r="I2565" t="s">
        <v>19447</v>
      </c>
      <c r="J2565">
        <v>2</v>
      </c>
      <c r="L2565" t="s">
        <v>2709</v>
      </c>
      <c r="M2565">
        <v>29201990</v>
      </c>
      <c r="O2565" t="s">
        <v>20028</v>
      </c>
      <c r="P2565" t="s">
        <v>19900</v>
      </c>
      <c r="Q2565" t="s">
        <v>19900</v>
      </c>
      <c r="R2565" t="s">
        <v>19447</v>
      </c>
      <c r="S2565" t="s">
        <v>19447</v>
      </c>
      <c r="T2565" t="s">
        <v>19901</v>
      </c>
    </row>
    <row r="2566" spans="2:20" x14ac:dyDescent="0.25">
      <c r="B2566" t="s">
        <v>2709</v>
      </c>
      <c r="C2566">
        <v>29209013</v>
      </c>
      <c r="E2566">
        <v>68.819999999999993</v>
      </c>
      <c r="F2566">
        <v>0</v>
      </c>
      <c r="G2566">
        <v>0</v>
      </c>
      <c r="H2566" t="s">
        <v>19447</v>
      </c>
      <c r="I2566" t="s">
        <v>19447</v>
      </c>
      <c r="J2566">
        <v>12</v>
      </c>
      <c r="L2566" t="s">
        <v>2709</v>
      </c>
      <c r="M2566">
        <v>29209013</v>
      </c>
      <c r="O2566" t="s">
        <v>20028</v>
      </c>
      <c r="P2566" t="s">
        <v>19900</v>
      </c>
      <c r="Q2566" t="s">
        <v>19900</v>
      </c>
      <c r="R2566" t="s">
        <v>19447</v>
      </c>
      <c r="S2566" t="s">
        <v>19447</v>
      </c>
      <c r="T2566" t="s">
        <v>19903</v>
      </c>
    </row>
    <row r="2567" spans="2:20" x14ac:dyDescent="0.25">
      <c r="B2567" t="s">
        <v>2709</v>
      </c>
      <c r="C2567">
        <v>29209014</v>
      </c>
      <c r="E2567">
        <v>68.819999999999993</v>
      </c>
      <c r="F2567">
        <v>0</v>
      </c>
      <c r="G2567">
        <v>0</v>
      </c>
      <c r="H2567" t="s">
        <v>19447</v>
      </c>
      <c r="I2567" t="s">
        <v>19447</v>
      </c>
      <c r="J2567">
        <v>2</v>
      </c>
      <c r="L2567" t="s">
        <v>2709</v>
      </c>
      <c r="M2567">
        <v>29209014</v>
      </c>
      <c r="O2567" t="s">
        <v>20028</v>
      </c>
      <c r="P2567" t="s">
        <v>19900</v>
      </c>
      <c r="Q2567" t="s">
        <v>19900</v>
      </c>
      <c r="R2567" t="s">
        <v>19447</v>
      </c>
      <c r="S2567" t="s">
        <v>19447</v>
      </c>
      <c r="T2567" t="s">
        <v>19901</v>
      </c>
    </row>
    <row r="2568" spans="2:20" x14ac:dyDescent="0.25">
      <c r="B2568" t="s">
        <v>2709</v>
      </c>
      <c r="C2568">
        <v>29209015</v>
      </c>
      <c r="E2568">
        <v>68.819999999999993</v>
      </c>
      <c r="F2568">
        <v>0</v>
      </c>
      <c r="G2568">
        <v>0</v>
      </c>
      <c r="H2568" t="s">
        <v>19447</v>
      </c>
      <c r="I2568" t="s">
        <v>19447</v>
      </c>
      <c r="J2568">
        <v>12</v>
      </c>
      <c r="L2568" t="s">
        <v>2709</v>
      </c>
      <c r="M2568">
        <v>29209015</v>
      </c>
      <c r="O2568" t="s">
        <v>20028</v>
      </c>
      <c r="P2568" t="s">
        <v>19900</v>
      </c>
      <c r="Q2568" t="s">
        <v>19900</v>
      </c>
      <c r="R2568" t="s">
        <v>19447</v>
      </c>
      <c r="S2568" t="s">
        <v>19447</v>
      </c>
      <c r="T2568" t="s">
        <v>19903</v>
      </c>
    </row>
    <row r="2569" spans="2:20" x14ac:dyDescent="0.25">
      <c r="B2569" t="s">
        <v>2709</v>
      </c>
      <c r="C2569">
        <v>29209016</v>
      </c>
      <c r="E2569">
        <v>68.819999999999993</v>
      </c>
      <c r="F2569">
        <v>0</v>
      </c>
      <c r="G2569">
        <v>0</v>
      </c>
      <c r="H2569" t="s">
        <v>19447</v>
      </c>
      <c r="I2569" t="s">
        <v>19447</v>
      </c>
      <c r="J2569">
        <v>2</v>
      </c>
      <c r="L2569" t="s">
        <v>2709</v>
      </c>
      <c r="M2569">
        <v>29209016</v>
      </c>
      <c r="O2569" t="s">
        <v>20028</v>
      </c>
      <c r="P2569" t="s">
        <v>19900</v>
      </c>
      <c r="Q2569" t="s">
        <v>19900</v>
      </c>
      <c r="R2569" t="s">
        <v>19447</v>
      </c>
      <c r="S2569" t="s">
        <v>19447</v>
      </c>
      <c r="T2569" t="s">
        <v>19901</v>
      </c>
    </row>
    <row r="2570" spans="2:20" x14ac:dyDescent="0.25">
      <c r="B2570" t="s">
        <v>2709</v>
      </c>
      <c r="C2570">
        <v>29209017</v>
      </c>
      <c r="E2570">
        <v>68.819999999999993</v>
      </c>
      <c r="F2570">
        <v>0</v>
      </c>
      <c r="G2570">
        <v>0</v>
      </c>
      <c r="H2570" t="s">
        <v>19447</v>
      </c>
      <c r="I2570" t="s">
        <v>19447</v>
      </c>
      <c r="J2570">
        <v>12</v>
      </c>
      <c r="L2570" t="s">
        <v>2709</v>
      </c>
      <c r="M2570">
        <v>29209017</v>
      </c>
      <c r="O2570" t="s">
        <v>20028</v>
      </c>
      <c r="P2570" t="s">
        <v>19900</v>
      </c>
      <c r="Q2570" t="s">
        <v>19900</v>
      </c>
      <c r="R2570" t="s">
        <v>19447</v>
      </c>
      <c r="S2570" t="s">
        <v>19447</v>
      </c>
      <c r="T2570" t="s">
        <v>19903</v>
      </c>
    </row>
    <row r="2571" spans="2:20" x14ac:dyDescent="0.25">
      <c r="B2571" t="s">
        <v>2709</v>
      </c>
      <c r="C2571">
        <v>29209019</v>
      </c>
      <c r="E2571">
        <v>68.819999999999993</v>
      </c>
      <c r="F2571">
        <v>0</v>
      </c>
      <c r="G2571">
        <v>0</v>
      </c>
      <c r="H2571" t="s">
        <v>19447</v>
      </c>
      <c r="I2571" t="s">
        <v>19447</v>
      </c>
      <c r="J2571">
        <v>2</v>
      </c>
      <c r="L2571" t="s">
        <v>2709</v>
      </c>
      <c r="M2571">
        <v>29209019</v>
      </c>
      <c r="O2571" t="s">
        <v>20028</v>
      </c>
      <c r="P2571" t="s">
        <v>19900</v>
      </c>
      <c r="Q2571" t="s">
        <v>19900</v>
      </c>
      <c r="R2571" t="s">
        <v>19447</v>
      </c>
      <c r="S2571" t="s">
        <v>19447</v>
      </c>
      <c r="T2571" t="s">
        <v>19901</v>
      </c>
    </row>
    <row r="2572" spans="2:20" x14ac:dyDescent="0.25">
      <c r="B2572" t="s">
        <v>2709</v>
      </c>
      <c r="C2572">
        <v>29209021</v>
      </c>
      <c r="E2572">
        <v>68.819999999999993</v>
      </c>
      <c r="F2572">
        <v>0</v>
      </c>
      <c r="G2572">
        <v>0</v>
      </c>
      <c r="H2572" t="s">
        <v>19447</v>
      </c>
      <c r="I2572" t="s">
        <v>19447</v>
      </c>
      <c r="J2572">
        <v>12</v>
      </c>
      <c r="L2572" t="s">
        <v>2709</v>
      </c>
      <c r="M2572">
        <v>29209021</v>
      </c>
      <c r="O2572" t="s">
        <v>20028</v>
      </c>
      <c r="P2572" t="s">
        <v>19900</v>
      </c>
      <c r="Q2572" t="s">
        <v>19900</v>
      </c>
      <c r="R2572" t="s">
        <v>19447</v>
      </c>
      <c r="S2572" t="s">
        <v>19447</v>
      </c>
      <c r="T2572" t="s">
        <v>19903</v>
      </c>
    </row>
    <row r="2573" spans="2:20" x14ac:dyDescent="0.25">
      <c r="B2573" t="s">
        <v>2709</v>
      </c>
      <c r="C2573">
        <v>29209022</v>
      </c>
      <c r="E2573">
        <v>68.819999999999993</v>
      </c>
      <c r="F2573">
        <v>0</v>
      </c>
      <c r="G2573">
        <v>0</v>
      </c>
      <c r="H2573" t="s">
        <v>19447</v>
      </c>
      <c r="I2573" t="s">
        <v>19447</v>
      </c>
      <c r="J2573">
        <v>14</v>
      </c>
      <c r="L2573" t="s">
        <v>2709</v>
      </c>
      <c r="M2573">
        <v>29209022</v>
      </c>
      <c r="O2573" t="s">
        <v>20028</v>
      </c>
      <c r="P2573" t="s">
        <v>19900</v>
      </c>
      <c r="Q2573" t="s">
        <v>19900</v>
      </c>
      <c r="R2573" t="s">
        <v>19447</v>
      </c>
      <c r="S2573" t="s">
        <v>19447</v>
      </c>
      <c r="T2573" t="s">
        <v>19911</v>
      </c>
    </row>
    <row r="2574" spans="2:20" x14ac:dyDescent="0.25">
      <c r="B2574" t="s">
        <v>2709</v>
      </c>
      <c r="C2574">
        <v>29209029</v>
      </c>
      <c r="E2574">
        <v>68.819999999999993</v>
      </c>
      <c r="F2574">
        <v>0</v>
      </c>
      <c r="G2574">
        <v>0</v>
      </c>
      <c r="H2574" t="s">
        <v>19447</v>
      </c>
      <c r="I2574" t="s">
        <v>19447</v>
      </c>
      <c r="J2574">
        <v>2</v>
      </c>
      <c r="L2574" t="s">
        <v>2709</v>
      </c>
      <c r="M2574">
        <v>29209029</v>
      </c>
      <c r="O2574" t="s">
        <v>20028</v>
      </c>
      <c r="P2574" t="s">
        <v>19900</v>
      </c>
      <c r="Q2574" t="s">
        <v>19900</v>
      </c>
      <c r="R2574" t="s">
        <v>19447</v>
      </c>
      <c r="S2574" t="s">
        <v>19447</v>
      </c>
      <c r="T2574" t="s">
        <v>19901</v>
      </c>
    </row>
    <row r="2575" spans="2:20" x14ac:dyDescent="0.25">
      <c r="B2575" t="s">
        <v>2709</v>
      </c>
      <c r="C2575">
        <v>29209031</v>
      </c>
      <c r="E2575">
        <v>68.819999999999993</v>
      </c>
      <c r="F2575">
        <v>0</v>
      </c>
      <c r="G2575">
        <v>0</v>
      </c>
      <c r="H2575" t="s">
        <v>19447</v>
      </c>
      <c r="I2575" t="s">
        <v>19447</v>
      </c>
      <c r="J2575">
        <v>12</v>
      </c>
      <c r="L2575" t="s">
        <v>2709</v>
      </c>
      <c r="M2575">
        <v>29209031</v>
      </c>
      <c r="O2575" t="s">
        <v>20028</v>
      </c>
      <c r="P2575" t="s">
        <v>19900</v>
      </c>
      <c r="Q2575" t="s">
        <v>19900</v>
      </c>
      <c r="R2575" t="s">
        <v>19447</v>
      </c>
      <c r="S2575" t="s">
        <v>19447</v>
      </c>
      <c r="T2575" t="s">
        <v>19903</v>
      </c>
    </row>
    <row r="2576" spans="2:20" x14ac:dyDescent="0.25">
      <c r="B2576" t="s">
        <v>2709</v>
      </c>
      <c r="C2576">
        <v>29209032</v>
      </c>
      <c r="E2576">
        <v>68.819999999999993</v>
      </c>
      <c r="F2576">
        <v>0</v>
      </c>
      <c r="G2576">
        <v>0</v>
      </c>
      <c r="H2576" t="s">
        <v>19447</v>
      </c>
      <c r="I2576" t="s">
        <v>19447</v>
      </c>
      <c r="J2576">
        <v>12</v>
      </c>
      <c r="L2576" t="s">
        <v>2709</v>
      </c>
      <c r="M2576">
        <v>29209032</v>
      </c>
      <c r="O2576" t="s">
        <v>20028</v>
      </c>
      <c r="P2576" t="s">
        <v>19900</v>
      </c>
      <c r="Q2576" t="s">
        <v>19900</v>
      </c>
      <c r="R2576" t="s">
        <v>19447</v>
      </c>
      <c r="S2576" t="s">
        <v>19447</v>
      </c>
      <c r="T2576" t="s">
        <v>19903</v>
      </c>
    </row>
    <row r="2577" spans="2:20" x14ac:dyDescent="0.25">
      <c r="B2577" t="s">
        <v>2709</v>
      </c>
      <c r="C2577">
        <v>29209033</v>
      </c>
      <c r="E2577">
        <v>68.819999999999993</v>
      </c>
      <c r="F2577">
        <v>0</v>
      </c>
      <c r="G2577">
        <v>0</v>
      </c>
      <c r="H2577" t="s">
        <v>19447</v>
      </c>
      <c r="I2577" t="s">
        <v>19447</v>
      </c>
      <c r="J2577">
        <v>12</v>
      </c>
      <c r="L2577" t="s">
        <v>2709</v>
      </c>
      <c r="M2577">
        <v>29209033</v>
      </c>
      <c r="O2577" t="s">
        <v>20028</v>
      </c>
      <c r="P2577" t="s">
        <v>19900</v>
      </c>
      <c r="Q2577" t="s">
        <v>19900</v>
      </c>
      <c r="R2577" t="s">
        <v>19447</v>
      </c>
      <c r="S2577" t="s">
        <v>19447</v>
      </c>
      <c r="T2577" t="s">
        <v>19903</v>
      </c>
    </row>
    <row r="2578" spans="2:20" x14ac:dyDescent="0.25">
      <c r="B2578" t="s">
        <v>2709</v>
      </c>
      <c r="C2578">
        <v>29209039</v>
      </c>
      <c r="E2578">
        <v>68.819999999999993</v>
      </c>
      <c r="F2578">
        <v>0</v>
      </c>
      <c r="G2578">
        <v>0</v>
      </c>
      <c r="H2578" t="s">
        <v>19447</v>
      </c>
      <c r="I2578" t="s">
        <v>19447</v>
      </c>
      <c r="J2578">
        <v>2</v>
      </c>
      <c r="L2578" t="s">
        <v>2709</v>
      </c>
      <c r="M2578">
        <v>29209039</v>
      </c>
      <c r="O2578" t="s">
        <v>20028</v>
      </c>
      <c r="P2578" t="s">
        <v>19900</v>
      </c>
      <c r="Q2578" t="s">
        <v>19900</v>
      </c>
      <c r="R2578" t="s">
        <v>19447</v>
      </c>
      <c r="S2578" t="s">
        <v>19447</v>
      </c>
      <c r="T2578" t="s">
        <v>19901</v>
      </c>
    </row>
    <row r="2579" spans="2:20" x14ac:dyDescent="0.25">
      <c r="B2579" t="s">
        <v>2709</v>
      </c>
      <c r="C2579">
        <v>29209041</v>
      </c>
      <c r="E2579">
        <v>68.819999999999993</v>
      </c>
      <c r="F2579">
        <v>0</v>
      </c>
      <c r="G2579">
        <v>0</v>
      </c>
      <c r="H2579" t="s">
        <v>19447</v>
      </c>
      <c r="I2579" t="s">
        <v>19447</v>
      </c>
      <c r="J2579">
        <v>12</v>
      </c>
      <c r="L2579" t="s">
        <v>2709</v>
      </c>
      <c r="M2579">
        <v>29209041</v>
      </c>
      <c r="O2579" t="s">
        <v>20028</v>
      </c>
      <c r="P2579" t="s">
        <v>19900</v>
      </c>
      <c r="Q2579" t="s">
        <v>19900</v>
      </c>
      <c r="R2579" t="s">
        <v>19447</v>
      </c>
      <c r="S2579" t="s">
        <v>19447</v>
      </c>
      <c r="T2579" t="s">
        <v>19903</v>
      </c>
    </row>
    <row r="2580" spans="2:20" x14ac:dyDescent="0.25">
      <c r="B2580" t="s">
        <v>2709</v>
      </c>
      <c r="C2580">
        <v>29209042</v>
      </c>
      <c r="E2580">
        <v>68.819999999999993</v>
      </c>
      <c r="F2580">
        <v>0</v>
      </c>
      <c r="G2580">
        <v>0</v>
      </c>
      <c r="H2580" t="s">
        <v>19447</v>
      </c>
      <c r="I2580" t="s">
        <v>19447</v>
      </c>
      <c r="J2580">
        <v>12</v>
      </c>
      <c r="L2580" t="s">
        <v>2709</v>
      </c>
      <c r="M2580">
        <v>29209042</v>
      </c>
      <c r="O2580" t="s">
        <v>20028</v>
      </c>
      <c r="P2580" t="s">
        <v>19900</v>
      </c>
      <c r="Q2580" t="s">
        <v>19900</v>
      </c>
      <c r="R2580" t="s">
        <v>19447</v>
      </c>
      <c r="S2580" t="s">
        <v>19447</v>
      </c>
      <c r="T2580" t="s">
        <v>19903</v>
      </c>
    </row>
    <row r="2581" spans="2:20" x14ac:dyDescent="0.25">
      <c r="B2581" t="s">
        <v>2709</v>
      </c>
      <c r="C2581">
        <v>29209049</v>
      </c>
      <c r="E2581">
        <v>68.819999999999993</v>
      </c>
      <c r="F2581">
        <v>0</v>
      </c>
      <c r="G2581">
        <v>0</v>
      </c>
      <c r="H2581" t="s">
        <v>19447</v>
      </c>
      <c r="I2581" t="s">
        <v>19447</v>
      </c>
      <c r="J2581">
        <v>2</v>
      </c>
      <c r="L2581" t="s">
        <v>2709</v>
      </c>
      <c r="M2581">
        <v>29209049</v>
      </c>
      <c r="O2581" t="s">
        <v>20028</v>
      </c>
      <c r="P2581" t="s">
        <v>19900</v>
      </c>
      <c r="Q2581" t="s">
        <v>19900</v>
      </c>
      <c r="R2581" t="s">
        <v>19447</v>
      </c>
      <c r="S2581" t="s">
        <v>19447</v>
      </c>
      <c r="T2581" t="s">
        <v>19901</v>
      </c>
    </row>
    <row r="2582" spans="2:20" x14ac:dyDescent="0.25">
      <c r="B2582" t="s">
        <v>2709</v>
      </c>
      <c r="C2582">
        <v>29209051</v>
      </c>
      <c r="E2582">
        <v>68.819999999999993</v>
      </c>
      <c r="F2582">
        <v>0</v>
      </c>
      <c r="G2582">
        <v>0</v>
      </c>
      <c r="H2582" t="s">
        <v>19447</v>
      </c>
      <c r="I2582" t="s">
        <v>19447</v>
      </c>
      <c r="J2582">
        <v>12</v>
      </c>
      <c r="L2582" t="s">
        <v>2709</v>
      </c>
      <c r="M2582">
        <v>29209051</v>
      </c>
      <c r="O2582" t="s">
        <v>20028</v>
      </c>
      <c r="P2582" t="s">
        <v>19900</v>
      </c>
      <c r="Q2582" t="s">
        <v>19900</v>
      </c>
      <c r="R2582" t="s">
        <v>19447</v>
      </c>
      <c r="S2582" t="s">
        <v>19447</v>
      </c>
      <c r="T2582" t="s">
        <v>19903</v>
      </c>
    </row>
    <row r="2583" spans="2:20" x14ac:dyDescent="0.25">
      <c r="B2583" t="s">
        <v>2709</v>
      </c>
      <c r="C2583">
        <v>29209059</v>
      </c>
      <c r="E2583">
        <v>68.819999999999993</v>
      </c>
      <c r="F2583">
        <v>0</v>
      </c>
      <c r="G2583">
        <v>0</v>
      </c>
      <c r="H2583" t="s">
        <v>19447</v>
      </c>
      <c r="I2583" t="s">
        <v>19447</v>
      </c>
      <c r="J2583">
        <v>2</v>
      </c>
      <c r="L2583" t="s">
        <v>2709</v>
      </c>
      <c r="M2583">
        <v>29209059</v>
      </c>
      <c r="O2583" t="s">
        <v>20028</v>
      </c>
      <c r="P2583" t="s">
        <v>19900</v>
      </c>
      <c r="Q2583" t="s">
        <v>19900</v>
      </c>
      <c r="R2583" t="s">
        <v>19447</v>
      </c>
      <c r="S2583" t="s">
        <v>19447</v>
      </c>
      <c r="T2583" t="s">
        <v>19901</v>
      </c>
    </row>
    <row r="2584" spans="2:20" x14ac:dyDescent="0.25">
      <c r="B2584" t="s">
        <v>2709</v>
      </c>
      <c r="C2584">
        <v>29209061</v>
      </c>
      <c r="E2584">
        <v>68.819999999999993</v>
      </c>
      <c r="F2584">
        <v>0</v>
      </c>
      <c r="G2584">
        <v>0</v>
      </c>
      <c r="H2584" t="s">
        <v>19447</v>
      </c>
      <c r="I2584" t="s">
        <v>19447</v>
      </c>
      <c r="J2584">
        <v>2</v>
      </c>
      <c r="L2584" t="s">
        <v>2709</v>
      </c>
      <c r="M2584">
        <v>29209061</v>
      </c>
      <c r="O2584" t="s">
        <v>20028</v>
      </c>
      <c r="P2584" t="s">
        <v>19900</v>
      </c>
      <c r="Q2584" t="s">
        <v>19900</v>
      </c>
      <c r="R2584" t="s">
        <v>19447</v>
      </c>
      <c r="S2584" t="s">
        <v>19447</v>
      </c>
      <c r="T2584" t="s">
        <v>19901</v>
      </c>
    </row>
    <row r="2585" spans="2:20" x14ac:dyDescent="0.25">
      <c r="B2585" t="s">
        <v>2709</v>
      </c>
      <c r="C2585">
        <v>29209062</v>
      </c>
      <c r="E2585">
        <v>68.819999999999993</v>
      </c>
      <c r="F2585">
        <v>0</v>
      </c>
      <c r="G2585">
        <v>0</v>
      </c>
      <c r="H2585" t="s">
        <v>19447</v>
      </c>
      <c r="I2585" t="s">
        <v>19447</v>
      </c>
      <c r="J2585">
        <v>2</v>
      </c>
      <c r="L2585" t="s">
        <v>2709</v>
      </c>
      <c r="M2585">
        <v>29209062</v>
      </c>
      <c r="O2585" t="s">
        <v>20028</v>
      </c>
      <c r="P2585" t="s">
        <v>19900</v>
      </c>
      <c r="Q2585" t="s">
        <v>19900</v>
      </c>
      <c r="R2585" t="s">
        <v>19447</v>
      </c>
      <c r="S2585" t="s">
        <v>19447</v>
      </c>
      <c r="T2585" t="s">
        <v>19901</v>
      </c>
    </row>
    <row r="2586" spans="2:20" x14ac:dyDescent="0.25">
      <c r="B2586" t="s">
        <v>2709</v>
      </c>
      <c r="C2586">
        <v>29209063</v>
      </c>
      <c r="E2586">
        <v>68.819999999999993</v>
      </c>
      <c r="F2586">
        <v>0</v>
      </c>
      <c r="G2586">
        <v>0</v>
      </c>
      <c r="H2586" t="s">
        <v>19447</v>
      </c>
      <c r="I2586" t="s">
        <v>19447</v>
      </c>
      <c r="J2586">
        <v>2</v>
      </c>
      <c r="L2586" t="s">
        <v>2709</v>
      </c>
      <c r="M2586">
        <v>29209063</v>
      </c>
      <c r="O2586" t="s">
        <v>20028</v>
      </c>
      <c r="P2586" t="s">
        <v>19900</v>
      </c>
      <c r="Q2586" t="s">
        <v>19900</v>
      </c>
      <c r="R2586" t="s">
        <v>19447</v>
      </c>
      <c r="S2586" t="s">
        <v>19447</v>
      </c>
      <c r="T2586" t="s">
        <v>19901</v>
      </c>
    </row>
    <row r="2587" spans="2:20" x14ac:dyDescent="0.25">
      <c r="B2587" t="s">
        <v>2709</v>
      </c>
      <c r="C2587">
        <v>29209064</v>
      </c>
      <c r="E2587">
        <v>68.819999999999993</v>
      </c>
      <c r="F2587">
        <v>0</v>
      </c>
      <c r="G2587">
        <v>0</v>
      </c>
      <c r="H2587" t="s">
        <v>19447</v>
      </c>
      <c r="I2587" t="s">
        <v>19447</v>
      </c>
      <c r="J2587">
        <v>2</v>
      </c>
      <c r="L2587" t="s">
        <v>2709</v>
      </c>
      <c r="M2587">
        <v>29209064</v>
      </c>
      <c r="O2587" t="s">
        <v>20028</v>
      </c>
      <c r="P2587" t="s">
        <v>19900</v>
      </c>
      <c r="Q2587" t="s">
        <v>19900</v>
      </c>
      <c r="R2587" t="s">
        <v>19447</v>
      </c>
      <c r="S2587" t="s">
        <v>19447</v>
      </c>
      <c r="T2587" t="s">
        <v>19901</v>
      </c>
    </row>
    <row r="2588" spans="2:20" x14ac:dyDescent="0.25">
      <c r="B2588" t="s">
        <v>2709</v>
      </c>
      <c r="C2588">
        <v>29209069</v>
      </c>
      <c r="E2588">
        <v>68.819999999999993</v>
      </c>
      <c r="F2588">
        <v>0</v>
      </c>
      <c r="G2588">
        <v>0</v>
      </c>
      <c r="H2588" t="s">
        <v>19447</v>
      </c>
      <c r="I2588" t="s">
        <v>19447</v>
      </c>
      <c r="J2588">
        <v>2</v>
      </c>
      <c r="L2588" t="s">
        <v>2709</v>
      </c>
      <c r="M2588">
        <v>29209069</v>
      </c>
      <c r="O2588" t="s">
        <v>20028</v>
      </c>
      <c r="P2588" t="s">
        <v>19900</v>
      </c>
      <c r="Q2588" t="s">
        <v>19900</v>
      </c>
      <c r="R2588" t="s">
        <v>19447</v>
      </c>
      <c r="S2588" t="s">
        <v>19447</v>
      </c>
      <c r="T2588" t="s">
        <v>19901</v>
      </c>
    </row>
    <row r="2589" spans="2:20" x14ac:dyDescent="0.25">
      <c r="B2589" t="s">
        <v>2709</v>
      </c>
      <c r="C2589">
        <v>29209090</v>
      </c>
      <c r="E2589">
        <v>68.819999999999993</v>
      </c>
      <c r="F2589">
        <v>0</v>
      </c>
      <c r="G2589">
        <v>0</v>
      </c>
      <c r="H2589" t="s">
        <v>19447</v>
      </c>
      <c r="I2589" t="s">
        <v>19447</v>
      </c>
      <c r="J2589">
        <v>2</v>
      </c>
      <c r="L2589" t="s">
        <v>2709</v>
      </c>
      <c r="M2589">
        <v>29209090</v>
      </c>
      <c r="O2589" t="s">
        <v>20028</v>
      </c>
      <c r="P2589" t="s">
        <v>19900</v>
      </c>
      <c r="Q2589" t="s">
        <v>19900</v>
      </c>
      <c r="R2589" t="s">
        <v>19447</v>
      </c>
      <c r="S2589" t="s">
        <v>19447</v>
      </c>
      <c r="T2589" t="s">
        <v>19901</v>
      </c>
    </row>
    <row r="2590" spans="2:20" x14ac:dyDescent="0.25">
      <c r="B2590" t="s">
        <v>2709</v>
      </c>
      <c r="C2590">
        <v>29211111</v>
      </c>
      <c r="E2590">
        <v>68.819999999999993</v>
      </c>
      <c r="F2590">
        <v>0</v>
      </c>
      <c r="G2590">
        <v>0</v>
      </c>
      <c r="H2590" t="s">
        <v>19447</v>
      </c>
      <c r="I2590" t="s">
        <v>19447</v>
      </c>
      <c r="J2590">
        <v>2</v>
      </c>
      <c r="L2590" t="s">
        <v>2709</v>
      </c>
      <c r="M2590">
        <v>29211111</v>
      </c>
      <c r="O2590" t="s">
        <v>20028</v>
      </c>
      <c r="P2590" t="s">
        <v>19900</v>
      </c>
      <c r="Q2590" t="s">
        <v>19900</v>
      </c>
      <c r="R2590" t="s">
        <v>19447</v>
      </c>
      <c r="S2590" t="s">
        <v>19447</v>
      </c>
      <c r="T2590" t="s">
        <v>19901</v>
      </c>
    </row>
    <row r="2591" spans="2:20" x14ac:dyDescent="0.25">
      <c r="B2591" t="s">
        <v>2709</v>
      </c>
      <c r="C2591">
        <v>29211112</v>
      </c>
      <c r="E2591">
        <v>68.819999999999993</v>
      </c>
      <c r="F2591">
        <v>0</v>
      </c>
      <c r="G2591">
        <v>0</v>
      </c>
      <c r="H2591" t="s">
        <v>19447</v>
      </c>
      <c r="I2591" t="s">
        <v>19447</v>
      </c>
      <c r="J2591">
        <v>2</v>
      </c>
      <c r="L2591" t="s">
        <v>2709</v>
      </c>
      <c r="M2591">
        <v>29211112</v>
      </c>
      <c r="O2591" t="s">
        <v>20028</v>
      </c>
      <c r="P2591" t="s">
        <v>19900</v>
      </c>
      <c r="Q2591" t="s">
        <v>19900</v>
      </c>
      <c r="R2591" t="s">
        <v>19447</v>
      </c>
      <c r="S2591" t="s">
        <v>19447</v>
      </c>
      <c r="T2591" t="s">
        <v>19901</v>
      </c>
    </row>
    <row r="2592" spans="2:20" x14ac:dyDescent="0.25">
      <c r="B2592" t="s">
        <v>2709</v>
      </c>
      <c r="C2592">
        <v>29211121</v>
      </c>
      <c r="E2592">
        <v>68.819999999999993</v>
      </c>
      <c r="F2592">
        <v>0</v>
      </c>
      <c r="G2592">
        <v>0</v>
      </c>
      <c r="H2592" t="s">
        <v>19447</v>
      </c>
      <c r="I2592" t="s">
        <v>19447</v>
      </c>
      <c r="J2592">
        <v>2</v>
      </c>
      <c r="L2592" t="s">
        <v>2709</v>
      </c>
      <c r="M2592">
        <v>29211121</v>
      </c>
      <c r="O2592" t="s">
        <v>20028</v>
      </c>
      <c r="P2592" t="s">
        <v>19900</v>
      </c>
      <c r="Q2592" t="s">
        <v>19900</v>
      </c>
      <c r="R2592" t="s">
        <v>19447</v>
      </c>
      <c r="S2592" t="s">
        <v>19447</v>
      </c>
      <c r="T2592" t="s">
        <v>19901</v>
      </c>
    </row>
    <row r="2593" spans="2:20" x14ac:dyDescent="0.25">
      <c r="B2593" t="s">
        <v>2709</v>
      </c>
      <c r="C2593">
        <v>29211122</v>
      </c>
      <c r="E2593">
        <v>68.819999999999993</v>
      </c>
      <c r="F2593">
        <v>0</v>
      </c>
      <c r="G2593">
        <v>0</v>
      </c>
      <c r="H2593" t="s">
        <v>19447</v>
      </c>
      <c r="I2593" t="s">
        <v>19447</v>
      </c>
      <c r="J2593">
        <v>12</v>
      </c>
      <c r="L2593" t="s">
        <v>2709</v>
      </c>
      <c r="M2593">
        <v>29211122</v>
      </c>
      <c r="O2593" t="s">
        <v>20028</v>
      </c>
      <c r="P2593" t="s">
        <v>19900</v>
      </c>
      <c r="Q2593" t="s">
        <v>19900</v>
      </c>
      <c r="R2593" t="s">
        <v>19447</v>
      </c>
      <c r="S2593" t="s">
        <v>19447</v>
      </c>
      <c r="T2593" t="s">
        <v>19903</v>
      </c>
    </row>
    <row r="2594" spans="2:20" x14ac:dyDescent="0.25">
      <c r="B2594" t="s">
        <v>2709</v>
      </c>
      <c r="C2594">
        <v>29211123</v>
      </c>
      <c r="E2594">
        <v>68.819999999999993</v>
      </c>
      <c r="F2594">
        <v>0</v>
      </c>
      <c r="G2594">
        <v>0</v>
      </c>
      <c r="H2594" t="s">
        <v>19447</v>
      </c>
      <c r="I2594" t="s">
        <v>19447</v>
      </c>
      <c r="J2594">
        <v>12</v>
      </c>
      <c r="L2594" t="s">
        <v>2709</v>
      </c>
      <c r="M2594">
        <v>29211123</v>
      </c>
      <c r="O2594" t="s">
        <v>20028</v>
      </c>
      <c r="P2594" t="s">
        <v>19900</v>
      </c>
      <c r="Q2594" t="s">
        <v>19900</v>
      </c>
      <c r="R2594" t="s">
        <v>19447</v>
      </c>
      <c r="S2594" t="s">
        <v>19447</v>
      </c>
      <c r="T2594" t="s">
        <v>19903</v>
      </c>
    </row>
    <row r="2595" spans="2:20" x14ac:dyDescent="0.25">
      <c r="B2595" t="s">
        <v>2709</v>
      </c>
      <c r="C2595">
        <v>29211129</v>
      </c>
      <c r="E2595">
        <v>68.819999999999993</v>
      </c>
      <c r="F2595">
        <v>0</v>
      </c>
      <c r="G2595">
        <v>0</v>
      </c>
      <c r="H2595" t="s">
        <v>19447</v>
      </c>
      <c r="I2595" t="s">
        <v>19447</v>
      </c>
      <c r="J2595">
        <v>2</v>
      </c>
      <c r="L2595" t="s">
        <v>2709</v>
      </c>
      <c r="M2595">
        <v>29211129</v>
      </c>
      <c r="O2595" t="s">
        <v>20028</v>
      </c>
      <c r="P2595" t="s">
        <v>19900</v>
      </c>
      <c r="Q2595" t="s">
        <v>19900</v>
      </c>
      <c r="R2595" t="s">
        <v>19447</v>
      </c>
      <c r="S2595" t="s">
        <v>19447</v>
      </c>
      <c r="T2595" t="s">
        <v>19901</v>
      </c>
    </row>
    <row r="2596" spans="2:20" x14ac:dyDescent="0.25">
      <c r="B2596" t="s">
        <v>2709</v>
      </c>
      <c r="C2596">
        <v>29211131</v>
      </c>
      <c r="E2596">
        <v>68.819999999999993</v>
      </c>
      <c r="F2596">
        <v>0</v>
      </c>
      <c r="G2596">
        <v>0</v>
      </c>
      <c r="H2596" t="s">
        <v>19447</v>
      </c>
      <c r="I2596" t="s">
        <v>19447</v>
      </c>
      <c r="J2596">
        <v>12</v>
      </c>
      <c r="L2596" t="s">
        <v>2709</v>
      </c>
      <c r="M2596">
        <v>29211131</v>
      </c>
      <c r="O2596" t="s">
        <v>20028</v>
      </c>
      <c r="P2596" t="s">
        <v>19900</v>
      </c>
      <c r="Q2596" t="s">
        <v>19900</v>
      </c>
      <c r="R2596" t="s">
        <v>19447</v>
      </c>
      <c r="S2596" t="s">
        <v>19447</v>
      </c>
      <c r="T2596" t="s">
        <v>19903</v>
      </c>
    </row>
    <row r="2597" spans="2:20" x14ac:dyDescent="0.25">
      <c r="B2597" t="s">
        <v>2709</v>
      </c>
      <c r="C2597">
        <v>29211132</v>
      </c>
      <c r="E2597">
        <v>68.819999999999993</v>
      </c>
      <c r="F2597">
        <v>0</v>
      </c>
      <c r="G2597">
        <v>0</v>
      </c>
      <c r="H2597" t="s">
        <v>19447</v>
      </c>
      <c r="I2597" t="s">
        <v>19447</v>
      </c>
      <c r="J2597">
        <v>12</v>
      </c>
      <c r="L2597" t="s">
        <v>2709</v>
      </c>
      <c r="M2597">
        <v>29211132</v>
      </c>
      <c r="O2597" t="s">
        <v>20028</v>
      </c>
      <c r="P2597" t="s">
        <v>19900</v>
      </c>
      <c r="Q2597" t="s">
        <v>19900</v>
      </c>
      <c r="R2597" t="s">
        <v>19447</v>
      </c>
      <c r="S2597" t="s">
        <v>19447</v>
      </c>
      <c r="T2597" t="s">
        <v>19903</v>
      </c>
    </row>
    <row r="2598" spans="2:20" x14ac:dyDescent="0.25">
      <c r="B2598" t="s">
        <v>2709</v>
      </c>
      <c r="C2598">
        <v>29211139</v>
      </c>
      <c r="E2598">
        <v>68.819999999999993</v>
      </c>
      <c r="F2598">
        <v>0</v>
      </c>
      <c r="G2598">
        <v>0</v>
      </c>
      <c r="H2598" t="s">
        <v>19447</v>
      </c>
      <c r="I2598" t="s">
        <v>19447</v>
      </c>
      <c r="J2598">
        <v>2</v>
      </c>
      <c r="L2598" t="s">
        <v>2709</v>
      </c>
      <c r="M2598">
        <v>29211139</v>
      </c>
      <c r="O2598" t="s">
        <v>20028</v>
      </c>
      <c r="P2598" t="s">
        <v>19900</v>
      </c>
      <c r="Q2598" t="s">
        <v>19900</v>
      </c>
      <c r="R2598" t="s">
        <v>19447</v>
      </c>
      <c r="S2598" t="s">
        <v>19447</v>
      </c>
      <c r="T2598" t="s">
        <v>19901</v>
      </c>
    </row>
    <row r="2599" spans="2:20" x14ac:dyDescent="0.25">
      <c r="B2599" t="s">
        <v>2709</v>
      </c>
      <c r="C2599">
        <v>29211911</v>
      </c>
      <c r="E2599">
        <v>68.819999999999993</v>
      </c>
      <c r="F2599">
        <v>0</v>
      </c>
      <c r="G2599">
        <v>0</v>
      </c>
      <c r="H2599" t="s">
        <v>19447</v>
      </c>
      <c r="I2599" t="s">
        <v>19447</v>
      </c>
      <c r="J2599">
        <v>2</v>
      </c>
      <c r="L2599" t="s">
        <v>2709</v>
      </c>
      <c r="M2599">
        <v>29211911</v>
      </c>
      <c r="O2599" t="s">
        <v>20028</v>
      </c>
      <c r="P2599" t="s">
        <v>19900</v>
      </c>
      <c r="Q2599" t="s">
        <v>19900</v>
      </c>
      <c r="R2599" t="s">
        <v>19447</v>
      </c>
      <c r="S2599" t="s">
        <v>19447</v>
      </c>
      <c r="T2599" t="s">
        <v>19901</v>
      </c>
    </row>
    <row r="2600" spans="2:20" x14ac:dyDescent="0.25">
      <c r="B2600" t="s">
        <v>2709</v>
      </c>
      <c r="C2600">
        <v>29211912</v>
      </c>
      <c r="E2600">
        <v>68.819999999999993</v>
      </c>
      <c r="F2600">
        <v>0</v>
      </c>
      <c r="G2600">
        <v>0</v>
      </c>
      <c r="H2600" t="s">
        <v>19447</v>
      </c>
      <c r="I2600" t="s">
        <v>19447</v>
      </c>
      <c r="J2600">
        <v>12</v>
      </c>
      <c r="L2600" t="s">
        <v>2709</v>
      </c>
      <c r="M2600">
        <v>29211912</v>
      </c>
      <c r="O2600" t="s">
        <v>20028</v>
      </c>
      <c r="P2600" t="s">
        <v>19900</v>
      </c>
      <c r="Q2600" t="s">
        <v>19900</v>
      </c>
      <c r="R2600" t="s">
        <v>19447</v>
      </c>
      <c r="S2600" t="s">
        <v>19447</v>
      </c>
      <c r="T2600" t="s">
        <v>19903</v>
      </c>
    </row>
    <row r="2601" spans="2:20" x14ac:dyDescent="0.25">
      <c r="B2601" t="s">
        <v>2709</v>
      </c>
      <c r="C2601">
        <v>29211913</v>
      </c>
      <c r="E2601">
        <v>68.819999999999993</v>
      </c>
      <c r="F2601">
        <v>0</v>
      </c>
      <c r="G2601">
        <v>0</v>
      </c>
      <c r="H2601" t="s">
        <v>19447</v>
      </c>
      <c r="I2601" t="s">
        <v>19447</v>
      </c>
      <c r="J2601">
        <v>2</v>
      </c>
      <c r="L2601" t="s">
        <v>2709</v>
      </c>
      <c r="M2601">
        <v>29211913</v>
      </c>
      <c r="O2601" t="s">
        <v>20028</v>
      </c>
      <c r="P2601" t="s">
        <v>19900</v>
      </c>
      <c r="Q2601" t="s">
        <v>19900</v>
      </c>
      <c r="R2601" t="s">
        <v>19447</v>
      </c>
      <c r="S2601" t="s">
        <v>19447</v>
      </c>
      <c r="T2601" t="s">
        <v>19901</v>
      </c>
    </row>
    <row r="2602" spans="2:20" x14ac:dyDescent="0.25">
      <c r="B2602" t="s">
        <v>2709</v>
      </c>
      <c r="C2602">
        <v>29211914</v>
      </c>
      <c r="E2602">
        <v>68.819999999999993</v>
      </c>
      <c r="F2602">
        <v>0</v>
      </c>
      <c r="G2602">
        <v>0</v>
      </c>
      <c r="H2602" t="s">
        <v>19447</v>
      </c>
      <c r="I2602" t="s">
        <v>19447</v>
      </c>
      <c r="J2602">
        <v>2</v>
      </c>
      <c r="L2602" t="s">
        <v>2709</v>
      </c>
      <c r="M2602">
        <v>29211914</v>
      </c>
      <c r="O2602" t="s">
        <v>20028</v>
      </c>
      <c r="P2602" t="s">
        <v>19900</v>
      </c>
      <c r="Q2602" t="s">
        <v>19900</v>
      </c>
      <c r="R2602" t="s">
        <v>19447</v>
      </c>
      <c r="S2602" t="s">
        <v>19447</v>
      </c>
      <c r="T2602" t="s">
        <v>19901</v>
      </c>
    </row>
    <row r="2603" spans="2:20" x14ac:dyDescent="0.25">
      <c r="B2603" t="s">
        <v>2709</v>
      </c>
      <c r="C2603">
        <v>29211915</v>
      </c>
      <c r="E2603">
        <v>68.819999999999993</v>
      </c>
      <c r="F2603">
        <v>0</v>
      </c>
      <c r="G2603">
        <v>0</v>
      </c>
      <c r="H2603" t="s">
        <v>19447</v>
      </c>
      <c r="I2603" t="s">
        <v>19447</v>
      </c>
      <c r="J2603">
        <v>14</v>
      </c>
      <c r="L2603" t="s">
        <v>2709</v>
      </c>
      <c r="M2603">
        <v>29211915</v>
      </c>
      <c r="O2603" t="s">
        <v>20028</v>
      </c>
      <c r="P2603" t="s">
        <v>19900</v>
      </c>
      <c r="Q2603" t="s">
        <v>19900</v>
      </c>
      <c r="R2603" t="s">
        <v>19447</v>
      </c>
      <c r="S2603" t="s">
        <v>19447</v>
      </c>
      <c r="T2603" t="s">
        <v>19911</v>
      </c>
    </row>
    <row r="2604" spans="2:20" x14ac:dyDescent="0.25">
      <c r="B2604" t="s">
        <v>2709</v>
      </c>
      <c r="C2604">
        <v>29211919</v>
      </c>
      <c r="E2604">
        <v>68.819999999999993</v>
      </c>
      <c r="F2604">
        <v>0</v>
      </c>
      <c r="G2604">
        <v>0</v>
      </c>
      <c r="H2604" t="s">
        <v>19447</v>
      </c>
      <c r="I2604" t="s">
        <v>19447</v>
      </c>
      <c r="J2604">
        <v>2</v>
      </c>
      <c r="L2604" t="s">
        <v>2709</v>
      </c>
      <c r="M2604">
        <v>29211919</v>
      </c>
      <c r="O2604" t="s">
        <v>20028</v>
      </c>
      <c r="P2604" t="s">
        <v>19900</v>
      </c>
      <c r="Q2604" t="s">
        <v>19900</v>
      </c>
      <c r="R2604" t="s">
        <v>19447</v>
      </c>
      <c r="S2604" t="s">
        <v>19447</v>
      </c>
      <c r="T2604" t="s">
        <v>19901</v>
      </c>
    </row>
    <row r="2605" spans="2:20" x14ac:dyDescent="0.25">
      <c r="B2605" t="s">
        <v>2709</v>
      </c>
      <c r="C2605">
        <v>29211921</v>
      </c>
      <c r="E2605">
        <v>68.819999999999993</v>
      </c>
      <c r="F2605">
        <v>0</v>
      </c>
      <c r="G2605">
        <v>0</v>
      </c>
      <c r="H2605" t="s">
        <v>19447</v>
      </c>
      <c r="I2605" t="s">
        <v>19447</v>
      </c>
      <c r="J2605">
        <v>12</v>
      </c>
      <c r="L2605" t="s">
        <v>2709</v>
      </c>
      <c r="M2605">
        <v>29211921</v>
      </c>
      <c r="O2605" t="s">
        <v>20028</v>
      </c>
      <c r="P2605" t="s">
        <v>19900</v>
      </c>
      <c r="Q2605" t="s">
        <v>19900</v>
      </c>
      <c r="R2605" t="s">
        <v>19447</v>
      </c>
      <c r="S2605" t="s">
        <v>19447</v>
      </c>
      <c r="T2605" t="s">
        <v>19903</v>
      </c>
    </row>
    <row r="2606" spans="2:20" x14ac:dyDescent="0.25">
      <c r="B2606" t="s">
        <v>2709</v>
      </c>
      <c r="C2606">
        <v>29211922</v>
      </c>
      <c r="E2606">
        <v>68.819999999999993</v>
      </c>
      <c r="F2606">
        <v>0</v>
      </c>
      <c r="G2606">
        <v>0</v>
      </c>
      <c r="H2606" t="s">
        <v>19447</v>
      </c>
      <c r="I2606" t="s">
        <v>19447</v>
      </c>
      <c r="J2606">
        <v>2</v>
      </c>
      <c r="L2606" t="s">
        <v>2709</v>
      </c>
      <c r="M2606">
        <v>29211922</v>
      </c>
      <c r="O2606" t="s">
        <v>20028</v>
      </c>
      <c r="P2606" t="s">
        <v>19900</v>
      </c>
      <c r="Q2606" t="s">
        <v>19900</v>
      </c>
      <c r="R2606" t="s">
        <v>19447</v>
      </c>
      <c r="S2606" t="s">
        <v>19447</v>
      </c>
      <c r="T2606" t="s">
        <v>19901</v>
      </c>
    </row>
    <row r="2607" spans="2:20" x14ac:dyDescent="0.25">
      <c r="B2607" t="s">
        <v>2709</v>
      </c>
      <c r="C2607">
        <v>29211923</v>
      </c>
      <c r="E2607">
        <v>68.819999999999993</v>
      </c>
      <c r="F2607">
        <v>0</v>
      </c>
      <c r="G2607">
        <v>0</v>
      </c>
      <c r="H2607" t="s">
        <v>19447</v>
      </c>
      <c r="I2607" t="s">
        <v>19447</v>
      </c>
      <c r="J2607">
        <v>2</v>
      </c>
      <c r="L2607" t="s">
        <v>2709</v>
      </c>
      <c r="M2607">
        <v>29211923</v>
      </c>
      <c r="O2607" t="s">
        <v>20028</v>
      </c>
      <c r="P2607" t="s">
        <v>19900</v>
      </c>
      <c r="Q2607" t="s">
        <v>19900</v>
      </c>
      <c r="R2607" t="s">
        <v>19447</v>
      </c>
      <c r="S2607" t="s">
        <v>19447</v>
      </c>
      <c r="T2607" t="s">
        <v>19901</v>
      </c>
    </row>
    <row r="2608" spans="2:20" x14ac:dyDescent="0.25">
      <c r="B2608" t="s">
        <v>2709</v>
      </c>
      <c r="C2608">
        <v>29211924</v>
      </c>
      <c r="E2608">
        <v>68.819999999999993</v>
      </c>
      <c r="F2608">
        <v>0</v>
      </c>
      <c r="G2608">
        <v>0</v>
      </c>
      <c r="H2608" t="s">
        <v>19447</v>
      </c>
      <c r="I2608" t="s">
        <v>19447</v>
      </c>
      <c r="J2608">
        <v>14</v>
      </c>
      <c r="L2608" t="s">
        <v>2709</v>
      </c>
      <c r="M2608">
        <v>29211924</v>
      </c>
      <c r="O2608" t="s">
        <v>20028</v>
      </c>
      <c r="P2608" t="s">
        <v>19900</v>
      </c>
      <c r="Q2608" t="s">
        <v>19900</v>
      </c>
      <c r="R2608" t="s">
        <v>19447</v>
      </c>
      <c r="S2608" t="s">
        <v>19447</v>
      </c>
      <c r="T2608" t="s">
        <v>19911</v>
      </c>
    </row>
    <row r="2609" spans="2:20" x14ac:dyDescent="0.25">
      <c r="B2609" t="s">
        <v>2709</v>
      </c>
      <c r="C2609">
        <v>29211929</v>
      </c>
      <c r="E2609">
        <v>68.819999999999993</v>
      </c>
      <c r="F2609">
        <v>0</v>
      </c>
      <c r="G2609">
        <v>0</v>
      </c>
      <c r="H2609" t="s">
        <v>19447</v>
      </c>
      <c r="I2609" t="s">
        <v>19447</v>
      </c>
      <c r="J2609">
        <v>2</v>
      </c>
      <c r="L2609" t="s">
        <v>2709</v>
      </c>
      <c r="M2609">
        <v>29211929</v>
      </c>
      <c r="O2609" t="s">
        <v>20028</v>
      </c>
      <c r="P2609" t="s">
        <v>19900</v>
      </c>
      <c r="Q2609" t="s">
        <v>19900</v>
      </c>
      <c r="R2609" t="s">
        <v>19447</v>
      </c>
      <c r="S2609" t="s">
        <v>19447</v>
      </c>
      <c r="T2609" t="s">
        <v>19901</v>
      </c>
    </row>
    <row r="2610" spans="2:20" x14ac:dyDescent="0.25">
      <c r="B2610" t="s">
        <v>2709</v>
      </c>
      <c r="C2610">
        <v>29211931</v>
      </c>
      <c r="E2610">
        <v>68.819999999999993</v>
      </c>
      <c r="F2610">
        <v>0</v>
      </c>
      <c r="G2610">
        <v>0</v>
      </c>
      <c r="H2610" t="s">
        <v>19447</v>
      </c>
      <c r="I2610" t="s">
        <v>19447</v>
      </c>
      <c r="J2610">
        <v>14</v>
      </c>
      <c r="L2610" t="s">
        <v>2709</v>
      </c>
      <c r="M2610">
        <v>29211931</v>
      </c>
      <c r="O2610" t="s">
        <v>20028</v>
      </c>
      <c r="P2610" t="s">
        <v>19900</v>
      </c>
      <c r="Q2610" t="s">
        <v>19900</v>
      </c>
      <c r="R2610" t="s">
        <v>19447</v>
      </c>
      <c r="S2610" t="s">
        <v>19447</v>
      </c>
      <c r="T2610" t="s">
        <v>19911</v>
      </c>
    </row>
    <row r="2611" spans="2:20" x14ac:dyDescent="0.25">
      <c r="B2611" t="s">
        <v>2709</v>
      </c>
      <c r="C2611">
        <v>29211939</v>
      </c>
      <c r="E2611">
        <v>68.819999999999993</v>
      </c>
      <c r="F2611">
        <v>0</v>
      </c>
      <c r="G2611">
        <v>0</v>
      </c>
      <c r="H2611" t="s">
        <v>19447</v>
      </c>
      <c r="I2611" t="s">
        <v>19447</v>
      </c>
      <c r="J2611">
        <v>2</v>
      </c>
      <c r="L2611" t="s">
        <v>2709</v>
      </c>
      <c r="M2611">
        <v>29211939</v>
      </c>
      <c r="O2611" t="s">
        <v>20028</v>
      </c>
      <c r="P2611" t="s">
        <v>19900</v>
      </c>
      <c r="Q2611" t="s">
        <v>19900</v>
      </c>
      <c r="R2611" t="s">
        <v>19447</v>
      </c>
      <c r="S2611" t="s">
        <v>19447</v>
      </c>
      <c r="T2611" t="s">
        <v>19901</v>
      </c>
    </row>
    <row r="2612" spans="2:20" x14ac:dyDescent="0.25">
      <c r="B2612" t="s">
        <v>2709</v>
      </c>
      <c r="C2612">
        <v>29211941</v>
      </c>
      <c r="E2612">
        <v>68.819999999999993</v>
      </c>
      <c r="F2612">
        <v>0</v>
      </c>
      <c r="G2612">
        <v>0</v>
      </c>
      <c r="H2612" t="s">
        <v>19447</v>
      </c>
      <c r="I2612" t="s">
        <v>19447</v>
      </c>
      <c r="J2612">
        <v>12</v>
      </c>
      <c r="L2612" t="s">
        <v>2709</v>
      </c>
      <c r="M2612">
        <v>29211941</v>
      </c>
      <c r="O2612" t="s">
        <v>20028</v>
      </c>
      <c r="P2612" t="s">
        <v>19900</v>
      </c>
      <c r="Q2612" t="s">
        <v>19900</v>
      </c>
      <c r="R2612" t="s">
        <v>19447</v>
      </c>
      <c r="S2612" t="s">
        <v>19447</v>
      </c>
      <c r="T2612" t="s">
        <v>19903</v>
      </c>
    </row>
    <row r="2613" spans="2:20" x14ac:dyDescent="0.25">
      <c r="B2613" t="s">
        <v>2709</v>
      </c>
      <c r="C2613">
        <v>29211949</v>
      </c>
      <c r="E2613">
        <v>68.819999999999993</v>
      </c>
      <c r="F2613">
        <v>0</v>
      </c>
      <c r="G2613">
        <v>0</v>
      </c>
      <c r="H2613" t="s">
        <v>19447</v>
      </c>
      <c r="I2613" t="s">
        <v>19447</v>
      </c>
      <c r="J2613">
        <v>12</v>
      </c>
      <c r="L2613" t="s">
        <v>2709</v>
      </c>
      <c r="M2613">
        <v>29211949</v>
      </c>
      <c r="O2613" t="s">
        <v>20028</v>
      </c>
      <c r="P2613" t="s">
        <v>19900</v>
      </c>
      <c r="Q2613" t="s">
        <v>19900</v>
      </c>
      <c r="R2613" t="s">
        <v>19447</v>
      </c>
      <c r="S2613" t="s">
        <v>19447</v>
      </c>
      <c r="T2613" t="s">
        <v>19903</v>
      </c>
    </row>
    <row r="2614" spans="2:20" x14ac:dyDescent="0.25">
      <c r="B2614" t="s">
        <v>2709</v>
      </c>
      <c r="C2614">
        <v>29211991</v>
      </c>
      <c r="E2614">
        <v>68.819999999999993</v>
      </c>
      <c r="F2614">
        <v>0</v>
      </c>
      <c r="G2614">
        <v>0</v>
      </c>
      <c r="H2614" t="s">
        <v>19447</v>
      </c>
      <c r="I2614" t="s">
        <v>19447</v>
      </c>
      <c r="J2614">
        <v>2</v>
      </c>
      <c r="L2614" t="s">
        <v>2709</v>
      </c>
      <c r="M2614">
        <v>29211991</v>
      </c>
      <c r="O2614" t="s">
        <v>20028</v>
      </c>
      <c r="P2614" t="s">
        <v>19900</v>
      </c>
      <c r="Q2614" t="s">
        <v>19900</v>
      </c>
      <c r="R2614" t="s">
        <v>19447</v>
      </c>
      <c r="S2614" t="s">
        <v>19447</v>
      </c>
      <c r="T2614" t="s">
        <v>19901</v>
      </c>
    </row>
    <row r="2615" spans="2:20" x14ac:dyDescent="0.25">
      <c r="B2615" t="s">
        <v>2709</v>
      </c>
      <c r="C2615">
        <v>29211992</v>
      </c>
      <c r="E2615">
        <v>68.819999999999993</v>
      </c>
      <c r="F2615">
        <v>0</v>
      </c>
      <c r="G2615">
        <v>0</v>
      </c>
      <c r="H2615" t="s">
        <v>19447</v>
      </c>
      <c r="I2615" t="s">
        <v>19447</v>
      </c>
      <c r="J2615">
        <v>2</v>
      </c>
      <c r="L2615" t="s">
        <v>2709</v>
      </c>
      <c r="M2615">
        <v>29211992</v>
      </c>
      <c r="O2615" t="s">
        <v>20028</v>
      </c>
      <c r="P2615" t="s">
        <v>19900</v>
      </c>
      <c r="Q2615" t="s">
        <v>19900</v>
      </c>
      <c r="R2615" t="s">
        <v>19447</v>
      </c>
      <c r="S2615" t="s">
        <v>19447</v>
      </c>
      <c r="T2615" t="s">
        <v>19901</v>
      </c>
    </row>
    <row r="2616" spans="2:20" x14ac:dyDescent="0.25">
      <c r="B2616" t="s">
        <v>2709</v>
      </c>
      <c r="C2616">
        <v>29211993</v>
      </c>
      <c r="E2616">
        <v>68.819999999999993</v>
      </c>
      <c r="F2616">
        <v>0</v>
      </c>
      <c r="G2616">
        <v>0</v>
      </c>
      <c r="H2616" t="s">
        <v>19447</v>
      </c>
      <c r="I2616" t="s">
        <v>19447</v>
      </c>
      <c r="J2616">
        <v>14</v>
      </c>
      <c r="L2616" t="s">
        <v>2709</v>
      </c>
      <c r="M2616">
        <v>29211993</v>
      </c>
      <c r="O2616" t="s">
        <v>20028</v>
      </c>
      <c r="P2616" t="s">
        <v>19900</v>
      </c>
      <c r="Q2616" t="s">
        <v>19900</v>
      </c>
      <c r="R2616" t="s">
        <v>19447</v>
      </c>
      <c r="S2616" t="s">
        <v>19447</v>
      </c>
      <c r="T2616" t="s">
        <v>19911</v>
      </c>
    </row>
    <row r="2617" spans="2:20" x14ac:dyDescent="0.25">
      <c r="B2617" t="s">
        <v>2709</v>
      </c>
      <c r="C2617">
        <v>29211999</v>
      </c>
      <c r="E2617">
        <v>68.819999999999993</v>
      </c>
      <c r="F2617">
        <v>0</v>
      </c>
      <c r="G2617">
        <v>0</v>
      </c>
      <c r="H2617" t="s">
        <v>19447</v>
      </c>
      <c r="I2617" t="s">
        <v>19447</v>
      </c>
      <c r="J2617">
        <v>2</v>
      </c>
      <c r="L2617" t="s">
        <v>2709</v>
      </c>
      <c r="M2617">
        <v>29211999</v>
      </c>
      <c r="O2617" t="s">
        <v>20028</v>
      </c>
      <c r="P2617" t="s">
        <v>19900</v>
      </c>
      <c r="Q2617" t="s">
        <v>19900</v>
      </c>
      <c r="R2617" t="s">
        <v>19447</v>
      </c>
      <c r="S2617" t="s">
        <v>19447</v>
      </c>
      <c r="T2617" t="s">
        <v>19901</v>
      </c>
    </row>
    <row r="2618" spans="2:20" x14ac:dyDescent="0.25">
      <c r="B2618" t="s">
        <v>2709</v>
      </c>
      <c r="C2618">
        <v>29212100</v>
      </c>
      <c r="E2618">
        <v>68.819999999999993</v>
      </c>
      <c r="F2618">
        <v>0</v>
      </c>
      <c r="G2618">
        <v>0</v>
      </c>
      <c r="H2618" t="s">
        <v>19447</v>
      </c>
      <c r="I2618" t="s">
        <v>19447</v>
      </c>
      <c r="J2618">
        <v>2</v>
      </c>
      <c r="L2618" t="s">
        <v>2709</v>
      </c>
      <c r="M2618">
        <v>29212100</v>
      </c>
      <c r="O2618" t="s">
        <v>20028</v>
      </c>
      <c r="P2618" t="s">
        <v>19900</v>
      </c>
      <c r="Q2618" t="s">
        <v>19900</v>
      </c>
      <c r="R2618" t="s">
        <v>19447</v>
      </c>
      <c r="S2618" t="s">
        <v>19447</v>
      </c>
      <c r="T2618" t="s">
        <v>19901</v>
      </c>
    </row>
    <row r="2619" spans="2:20" x14ac:dyDescent="0.25">
      <c r="B2619" t="s">
        <v>2709</v>
      </c>
      <c r="C2619">
        <v>29212200</v>
      </c>
      <c r="E2619">
        <v>68.819999999999993</v>
      </c>
      <c r="F2619">
        <v>0</v>
      </c>
      <c r="G2619">
        <v>0</v>
      </c>
      <c r="H2619" t="s">
        <v>19447</v>
      </c>
      <c r="I2619" t="s">
        <v>19447</v>
      </c>
      <c r="J2619">
        <v>12</v>
      </c>
      <c r="L2619" t="s">
        <v>2709</v>
      </c>
      <c r="M2619">
        <v>29212200</v>
      </c>
      <c r="O2619" t="s">
        <v>20028</v>
      </c>
      <c r="P2619" t="s">
        <v>19900</v>
      </c>
      <c r="Q2619" t="s">
        <v>19900</v>
      </c>
      <c r="R2619" t="s">
        <v>19447</v>
      </c>
      <c r="S2619" t="s">
        <v>19447</v>
      </c>
      <c r="T2619" t="s">
        <v>19903</v>
      </c>
    </row>
    <row r="2620" spans="2:20" x14ac:dyDescent="0.25">
      <c r="B2620" t="s">
        <v>2709</v>
      </c>
      <c r="C2620">
        <v>29212910</v>
      </c>
      <c r="E2620">
        <v>68.819999999999993</v>
      </c>
      <c r="F2620">
        <v>0</v>
      </c>
      <c r="G2620">
        <v>0</v>
      </c>
      <c r="H2620" t="s">
        <v>19447</v>
      </c>
      <c r="I2620" t="s">
        <v>19447</v>
      </c>
      <c r="J2620">
        <v>2</v>
      </c>
      <c r="L2620" t="s">
        <v>2709</v>
      </c>
      <c r="M2620">
        <v>29212910</v>
      </c>
      <c r="O2620" t="s">
        <v>20028</v>
      </c>
      <c r="P2620" t="s">
        <v>19900</v>
      </c>
      <c r="Q2620" t="s">
        <v>19900</v>
      </c>
      <c r="R2620" t="s">
        <v>19447</v>
      </c>
      <c r="S2620" t="s">
        <v>19447</v>
      </c>
      <c r="T2620" t="s">
        <v>19901</v>
      </c>
    </row>
    <row r="2621" spans="2:20" x14ac:dyDescent="0.25">
      <c r="B2621" t="s">
        <v>2709</v>
      </c>
      <c r="C2621">
        <v>29212920</v>
      </c>
      <c r="E2621">
        <v>68.819999999999993</v>
      </c>
      <c r="F2621">
        <v>0</v>
      </c>
      <c r="G2621">
        <v>0</v>
      </c>
      <c r="H2621" t="s">
        <v>19447</v>
      </c>
      <c r="I2621" t="s">
        <v>19447</v>
      </c>
      <c r="J2621">
        <v>2</v>
      </c>
      <c r="L2621" t="s">
        <v>2709</v>
      </c>
      <c r="M2621">
        <v>29212920</v>
      </c>
      <c r="O2621" t="s">
        <v>20028</v>
      </c>
      <c r="P2621" t="s">
        <v>19900</v>
      </c>
      <c r="Q2621" t="s">
        <v>19900</v>
      </c>
      <c r="R2621" t="s">
        <v>19447</v>
      </c>
      <c r="S2621" t="s">
        <v>19447</v>
      </c>
      <c r="T2621" t="s">
        <v>19901</v>
      </c>
    </row>
    <row r="2622" spans="2:20" x14ac:dyDescent="0.25">
      <c r="B2622" t="s">
        <v>2709</v>
      </c>
      <c r="C2622">
        <v>29212990</v>
      </c>
      <c r="E2622">
        <v>68.819999999999993</v>
      </c>
      <c r="F2622">
        <v>0</v>
      </c>
      <c r="G2622">
        <v>0</v>
      </c>
      <c r="H2622" t="s">
        <v>19447</v>
      </c>
      <c r="I2622" t="s">
        <v>19447</v>
      </c>
      <c r="J2622">
        <v>2</v>
      </c>
      <c r="L2622" t="s">
        <v>2709</v>
      </c>
      <c r="M2622">
        <v>29212990</v>
      </c>
      <c r="O2622" t="s">
        <v>20028</v>
      </c>
      <c r="P2622" t="s">
        <v>19900</v>
      </c>
      <c r="Q2622" t="s">
        <v>19900</v>
      </c>
      <c r="R2622" t="s">
        <v>19447</v>
      </c>
      <c r="S2622" t="s">
        <v>19447</v>
      </c>
      <c r="T2622" t="s">
        <v>19901</v>
      </c>
    </row>
    <row r="2623" spans="2:20" x14ac:dyDescent="0.25">
      <c r="B2623" t="s">
        <v>2709</v>
      </c>
      <c r="C2623">
        <v>29213011</v>
      </c>
      <c r="E2623">
        <v>68.819999999999993</v>
      </c>
      <c r="F2623">
        <v>0</v>
      </c>
      <c r="G2623">
        <v>0</v>
      </c>
      <c r="H2623" t="s">
        <v>19447</v>
      </c>
      <c r="I2623" t="s">
        <v>19447</v>
      </c>
      <c r="J2623">
        <v>14</v>
      </c>
      <c r="L2623" t="s">
        <v>2709</v>
      </c>
      <c r="M2623">
        <v>29213011</v>
      </c>
      <c r="O2623" t="s">
        <v>20028</v>
      </c>
      <c r="P2623" t="s">
        <v>19900</v>
      </c>
      <c r="Q2623" t="s">
        <v>19900</v>
      </c>
      <c r="R2623" t="s">
        <v>19447</v>
      </c>
      <c r="S2623" t="s">
        <v>19447</v>
      </c>
      <c r="T2623" t="s">
        <v>19911</v>
      </c>
    </row>
    <row r="2624" spans="2:20" x14ac:dyDescent="0.25">
      <c r="B2624" t="s">
        <v>2709</v>
      </c>
      <c r="C2624">
        <v>29213012</v>
      </c>
      <c r="E2624">
        <v>68.819999999999993</v>
      </c>
      <c r="F2624">
        <v>0</v>
      </c>
      <c r="G2624">
        <v>0</v>
      </c>
      <c r="H2624" t="s">
        <v>19447</v>
      </c>
      <c r="I2624" t="s">
        <v>19447</v>
      </c>
      <c r="J2624">
        <v>12</v>
      </c>
      <c r="L2624" t="s">
        <v>2709</v>
      </c>
      <c r="M2624">
        <v>29213012</v>
      </c>
      <c r="O2624" t="s">
        <v>20028</v>
      </c>
      <c r="P2624" t="s">
        <v>19900</v>
      </c>
      <c r="Q2624" t="s">
        <v>19900</v>
      </c>
      <c r="R2624" t="s">
        <v>19447</v>
      </c>
      <c r="S2624" t="s">
        <v>19447</v>
      </c>
      <c r="T2624" t="s">
        <v>19903</v>
      </c>
    </row>
    <row r="2625" spans="2:20" x14ac:dyDescent="0.25">
      <c r="B2625" t="s">
        <v>2709</v>
      </c>
      <c r="C2625">
        <v>29213019</v>
      </c>
      <c r="E2625">
        <v>68.819999999999993</v>
      </c>
      <c r="F2625">
        <v>0</v>
      </c>
      <c r="G2625">
        <v>0</v>
      </c>
      <c r="H2625" t="s">
        <v>19447</v>
      </c>
      <c r="I2625" t="s">
        <v>19447</v>
      </c>
      <c r="J2625">
        <v>2</v>
      </c>
      <c r="L2625" t="s">
        <v>2709</v>
      </c>
      <c r="M2625">
        <v>29213019</v>
      </c>
      <c r="O2625" t="s">
        <v>20028</v>
      </c>
      <c r="P2625" t="s">
        <v>19900</v>
      </c>
      <c r="Q2625" t="s">
        <v>19900</v>
      </c>
      <c r="R2625" t="s">
        <v>19447</v>
      </c>
      <c r="S2625" t="s">
        <v>19447</v>
      </c>
      <c r="T2625" t="s">
        <v>19901</v>
      </c>
    </row>
    <row r="2626" spans="2:20" x14ac:dyDescent="0.25">
      <c r="B2626" t="s">
        <v>2709</v>
      </c>
      <c r="C2626">
        <v>29213020</v>
      </c>
      <c r="E2626">
        <v>68.819999999999993</v>
      </c>
      <c r="F2626">
        <v>0</v>
      </c>
      <c r="G2626">
        <v>0</v>
      </c>
      <c r="H2626" t="s">
        <v>19447</v>
      </c>
      <c r="I2626" t="s">
        <v>19447</v>
      </c>
      <c r="J2626">
        <v>2</v>
      </c>
      <c r="L2626" t="s">
        <v>2709</v>
      </c>
      <c r="M2626">
        <v>29213020</v>
      </c>
      <c r="O2626" t="s">
        <v>20028</v>
      </c>
      <c r="P2626" t="s">
        <v>19900</v>
      </c>
      <c r="Q2626" t="s">
        <v>19900</v>
      </c>
      <c r="R2626" t="s">
        <v>19447</v>
      </c>
      <c r="S2626" t="s">
        <v>19447</v>
      </c>
      <c r="T2626" t="s">
        <v>19901</v>
      </c>
    </row>
    <row r="2627" spans="2:20" x14ac:dyDescent="0.25">
      <c r="B2627" t="s">
        <v>2709</v>
      </c>
      <c r="C2627">
        <v>29213090</v>
      </c>
      <c r="E2627">
        <v>68.819999999999993</v>
      </c>
      <c r="F2627">
        <v>0</v>
      </c>
      <c r="G2627">
        <v>0</v>
      </c>
      <c r="H2627" t="s">
        <v>19447</v>
      </c>
      <c r="I2627" t="s">
        <v>19447</v>
      </c>
      <c r="J2627">
        <v>2</v>
      </c>
      <c r="L2627" t="s">
        <v>2709</v>
      </c>
      <c r="M2627">
        <v>29213090</v>
      </c>
      <c r="O2627" t="s">
        <v>20028</v>
      </c>
      <c r="P2627" t="s">
        <v>19900</v>
      </c>
      <c r="Q2627" t="s">
        <v>19900</v>
      </c>
      <c r="R2627" t="s">
        <v>19447</v>
      </c>
      <c r="S2627" t="s">
        <v>19447</v>
      </c>
      <c r="T2627" t="s">
        <v>19901</v>
      </c>
    </row>
    <row r="2628" spans="2:20" x14ac:dyDescent="0.25">
      <c r="B2628" t="s">
        <v>2709</v>
      </c>
      <c r="C2628">
        <v>29214100</v>
      </c>
      <c r="E2628">
        <v>68.819999999999993</v>
      </c>
      <c r="F2628">
        <v>0</v>
      </c>
      <c r="G2628">
        <v>0</v>
      </c>
      <c r="H2628" t="s">
        <v>19447</v>
      </c>
      <c r="I2628" t="s">
        <v>19447</v>
      </c>
      <c r="J2628">
        <v>12</v>
      </c>
      <c r="L2628" t="s">
        <v>2709</v>
      </c>
      <c r="M2628">
        <v>29214100</v>
      </c>
      <c r="O2628" t="s">
        <v>20028</v>
      </c>
      <c r="P2628" t="s">
        <v>19900</v>
      </c>
      <c r="Q2628" t="s">
        <v>19900</v>
      </c>
      <c r="R2628" t="s">
        <v>19447</v>
      </c>
      <c r="S2628" t="s">
        <v>19447</v>
      </c>
      <c r="T2628" t="s">
        <v>19903</v>
      </c>
    </row>
    <row r="2629" spans="2:20" x14ac:dyDescent="0.25">
      <c r="B2629" t="s">
        <v>2709</v>
      </c>
      <c r="C2629">
        <v>29214211</v>
      </c>
      <c r="E2629">
        <v>68.819999999999993</v>
      </c>
      <c r="F2629">
        <v>0</v>
      </c>
      <c r="G2629">
        <v>0</v>
      </c>
      <c r="H2629" t="s">
        <v>19447</v>
      </c>
      <c r="I2629" t="s">
        <v>19447</v>
      </c>
      <c r="J2629">
        <v>2</v>
      </c>
      <c r="L2629" t="s">
        <v>2709</v>
      </c>
      <c r="M2629">
        <v>29214211</v>
      </c>
      <c r="O2629" t="s">
        <v>20028</v>
      </c>
      <c r="P2629" t="s">
        <v>19900</v>
      </c>
      <c r="Q2629" t="s">
        <v>19900</v>
      </c>
      <c r="R2629" t="s">
        <v>19447</v>
      </c>
      <c r="S2629" t="s">
        <v>19447</v>
      </c>
      <c r="T2629" t="s">
        <v>19901</v>
      </c>
    </row>
    <row r="2630" spans="2:20" x14ac:dyDescent="0.25">
      <c r="B2630" t="s">
        <v>2709</v>
      </c>
      <c r="C2630">
        <v>29214219</v>
      </c>
      <c r="E2630">
        <v>68.819999999999993</v>
      </c>
      <c r="F2630">
        <v>0</v>
      </c>
      <c r="G2630">
        <v>0</v>
      </c>
      <c r="H2630" t="s">
        <v>19447</v>
      </c>
      <c r="I2630" t="s">
        <v>19447</v>
      </c>
      <c r="J2630">
        <v>2</v>
      </c>
      <c r="L2630" t="s">
        <v>2709</v>
      </c>
      <c r="M2630">
        <v>29214219</v>
      </c>
      <c r="O2630" t="s">
        <v>20028</v>
      </c>
      <c r="P2630" t="s">
        <v>19900</v>
      </c>
      <c r="Q2630" t="s">
        <v>19900</v>
      </c>
      <c r="R2630" t="s">
        <v>19447</v>
      </c>
      <c r="S2630" t="s">
        <v>19447</v>
      </c>
      <c r="T2630" t="s">
        <v>19901</v>
      </c>
    </row>
    <row r="2631" spans="2:20" x14ac:dyDescent="0.25">
      <c r="B2631" t="s">
        <v>2709</v>
      </c>
      <c r="C2631">
        <v>29214221</v>
      </c>
      <c r="E2631">
        <v>68.819999999999993</v>
      </c>
      <c r="F2631">
        <v>0</v>
      </c>
      <c r="G2631">
        <v>0</v>
      </c>
      <c r="H2631" t="s">
        <v>19447</v>
      </c>
      <c r="I2631" t="s">
        <v>19447</v>
      </c>
      <c r="J2631">
        <v>12</v>
      </c>
      <c r="L2631" t="s">
        <v>2709</v>
      </c>
      <c r="M2631">
        <v>29214221</v>
      </c>
      <c r="O2631" t="s">
        <v>20028</v>
      </c>
      <c r="P2631" t="s">
        <v>19900</v>
      </c>
      <c r="Q2631" t="s">
        <v>19900</v>
      </c>
      <c r="R2631" t="s">
        <v>19447</v>
      </c>
      <c r="S2631" t="s">
        <v>19447</v>
      </c>
      <c r="T2631" t="s">
        <v>19903</v>
      </c>
    </row>
    <row r="2632" spans="2:20" x14ac:dyDescent="0.25">
      <c r="B2632" t="s">
        <v>2709</v>
      </c>
      <c r="C2632">
        <v>29214229</v>
      </c>
      <c r="E2632">
        <v>68.819999999999993</v>
      </c>
      <c r="F2632">
        <v>0</v>
      </c>
      <c r="G2632">
        <v>0</v>
      </c>
      <c r="H2632" t="s">
        <v>19447</v>
      </c>
      <c r="I2632" t="s">
        <v>19447</v>
      </c>
      <c r="J2632">
        <v>2</v>
      </c>
      <c r="L2632" t="s">
        <v>2709</v>
      </c>
      <c r="M2632">
        <v>29214229</v>
      </c>
      <c r="O2632" t="s">
        <v>20028</v>
      </c>
      <c r="P2632" t="s">
        <v>19900</v>
      </c>
      <c r="Q2632" t="s">
        <v>19900</v>
      </c>
      <c r="R2632" t="s">
        <v>19447</v>
      </c>
      <c r="S2632" t="s">
        <v>19447</v>
      </c>
      <c r="T2632" t="s">
        <v>19901</v>
      </c>
    </row>
    <row r="2633" spans="2:20" x14ac:dyDescent="0.25">
      <c r="B2633" t="s">
        <v>2709</v>
      </c>
      <c r="C2633">
        <v>29214231</v>
      </c>
      <c r="E2633">
        <v>68.819999999999993</v>
      </c>
      <c r="F2633">
        <v>0</v>
      </c>
      <c r="G2633">
        <v>0</v>
      </c>
      <c r="H2633" t="s">
        <v>19447</v>
      </c>
      <c r="I2633" t="s">
        <v>19447</v>
      </c>
      <c r="J2633">
        <v>2</v>
      </c>
      <c r="L2633" t="s">
        <v>2709</v>
      </c>
      <c r="M2633">
        <v>29214231</v>
      </c>
      <c r="O2633" t="s">
        <v>20028</v>
      </c>
      <c r="P2633" t="s">
        <v>19900</v>
      </c>
      <c r="Q2633" t="s">
        <v>19900</v>
      </c>
      <c r="R2633" t="s">
        <v>19447</v>
      </c>
      <c r="S2633" t="s">
        <v>19447</v>
      </c>
      <c r="T2633" t="s">
        <v>19901</v>
      </c>
    </row>
    <row r="2634" spans="2:20" x14ac:dyDescent="0.25">
      <c r="B2634" t="s">
        <v>2709</v>
      </c>
      <c r="C2634">
        <v>29214239</v>
      </c>
      <c r="E2634">
        <v>68.819999999999993</v>
      </c>
      <c r="F2634">
        <v>0</v>
      </c>
      <c r="G2634">
        <v>0</v>
      </c>
      <c r="H2634" t="s">
        <v>19447</v>
      </c>
      <c r="I2634" t="s">
        <v>19447</v>
      </c>
      <c r="J2634">
        <v>2</v>
      </c>
      <c r="L2634" t="s">
        <v>2709</v>
      </c>
      <c r="M2634">
        <v>29214239</v>
      </c>
      <c r="O2634" t="s">
        <v>20028</v>
      </c>
      <c r="P2634" t="s">
        <v>19900</v>
      </c>
      <c r="Q2634" t="s">
        <v>19900</v>
      </c>
      <c r="R2634" t="s">
        <v>19447</v>
      </c>
      <c r="S2634" t="s">
        <v>19447</v>
      </c>
      <c r="T2634" t="s">
        <v>19901</v>
      </c>
    </row>
    <row r="2635" spans="2:20" x14ac:dyDescent="0.25">
      <c r="B2635" t="s">
        <v>2709</v>
      </c>
      <c r="C2635">
        <v>29214241</v>
      </c>
      <c r="E2635">
        <v>68.819999999999993</v>
      </c>
      <c r="F2635">
        <v>0</v>
      </c>
      <c r="G2635">
        <v>0</v>
      </c>
      <c r="H2635" t="s">
        <v>19447</v>
      </c>
      <c r="I2635" t="s">
        <v>19447</v>
      </c>
      <c r="J2635">
        <v>2</v>
      </c>
      <c r="L2635" t="s">
        <v>2709</v>
      </c>
      <c r="M2635">
        <v>29214241</v>
      </c>
      <c r="O2635" t="s">
        <v>20028</v>
      </c>
      <c r="P2635" t="s">
        <v>19900</v>
      </c>
      <c r="Q2635" t="s">
        <v>19900</v>
      </c>
      <c r="R2635" t="s">
        <v>19447</v>
      </c>
      <c r="S2635" t="s">
        <v>19447</v>
      </c>
      <c r="T2635" t="s">
        <v>19901</v>
      </c>
    </row>
    <row r="2636" spans="2:20" x14ac:dyDescent="0.25">
      <c r="B2636" t="s">
        <v>2709</v>
      </c>
      <c r="C2636">
        <v>29214249</v>
      </c>
      <c r="E2636">
        <v>68.819999999999993</v>
      </c>
      <c r="F2636">
        <v>0</v>
      </c>
      <c r="G2636">
        <v>0</v>
      </c>
      <c r="H2636" t="s">
        <v>19447</v>
      </c>
      <c r="I2636" t="s">
        <v>19447</v>
      </c>
      <c r="J2636">
        <v>2</v>
      </c>
      <c r="L2636" t="s">
        <v>2709</v>
      </c>
      <c r="M2636">
        <v>29214249</v>
      </c>
      <c r="O2636" t="s">
        <v>20028</v>
      </c>
      <c r="P2636" t="s">
        <v>19900</v>
      </c>
      <c r="Q2636" t="s">
        <v>19900</v>
      </c>
      <c r="R2636" t="s">
        <v>19447</v>
      </c>
      <c r="S2636" t="s">
        <v>19447</v>
      </c>
      <c r="T2636" t="s">
        <v>19901</v>
      </c>
    </row>
    <row r="2637" spans="2:20" x14ac:dyDescent="0.25">
      <c r="B2637" t="s">
        <v>2709</v>
      </c>
      <c r="C2637">
        <v>29214290</v>
      </c>
      <c r="E2637">
        <v>68.819999999999993</v>
      </c>
      <c r="F2637">
        <v>0</v>
      </c>
      <c r="G2637">
        <v>0</v>
      </c>
      <c r="H2637" t="s">
        <v>19447</v>
      </c>
      <c r="I2637" t="s">
        <v>19447</v>
      </c>
      <c r="J2637">
        <v>2</v>
      </c>
      <c r="L2637" t="s">
        <v>2709</v>
      </c>
      <c r="M2637">
        <v>29214290</v>
      </c>
      <c r="O2637" t="s">
        <v>20028</v>
      </c>
      <c r="P2637" t="s">
        <v>19900</v>
      </c>
      <c r="Q2637" t="s">
        <v>19900</v>
      </c>
      <c r="R2637" t="s">
        <v>19447</v>
      </c>
      <c r="S2637" t="s">
        <v>19447</v>
      </c>
      <c r="T2637" t="s">
        <v>19901</v>
      </c>
    </row>
    <row r="2638" spans="2:20" x14ac:dyDescent="0.25">
      <c r="B2638" t="s">
        <v>2709</v>
      </c>
      <c r="C2638">
        <v>29214311</v>
      </c>
      <c r="E2638">
        <v>68.819999999999993</v>
      </c>
      <c r="F2638">
        <v>0</v>
      </c>
      <c r="G2638">
        <v>0</v>
      </c>
      <c r="H2638" t="s">
        <v>19447</v>
      </c>
      <c r="I2638" t="s">
        <v>19447</v>
      </c>
      <c r="J2638">
        <v>12</v>
      </c>
      <c r="L2638" t="s">
        <v>2709</v>
      </c>
      <c r="M2638">
        <v>29214311</v>
      </c>
      <c r="O2638" t="s">
        <v>20028</v>
      </c>
      <c r="P2638" t="s">
        <v>19900</v>
      </c>
      <c r="Q2638" t="s">
        <v>19900</v>
      </c>
      <c r="R2638" t="s">
        <v>19447</v>
      </c>
      <c r="S2638" t="s">
        <v>19447</v>
      </c>
      <c r="T2638" t="s">
        <v>19903</v>
      </c>
    </row>
    <row r="2639" spans="2:20" x14ac:dyDescent="0.25">
      <c r="B2639" t="s">
        <v>2709</v>
      </c>
      <c r="C2639">
        <v>29214319</v>
      </c>
      <c r="E2639">
        <v>68.819999999999993</v>
      </c>
      <c r="F2639">
        <v>0</v>
      </c>
      <c r="G2639">
        <v>0</v>
      </c>
      <c r="H2639" t="s">
        <v>19447</v>
      </c>
      <c r="I2639" t="s">
        <v>19447</v>
      </c>
      <c r="J2639">
        <v>2</v>
      </c>
      <c r="L2639" t="s">
        <v>2709</v>
      </c>
      <c r="M2639">
        <v>29214319</v>
      </c>
      <c r="O2639" t="s">
        <v>20028</v>
      </c>
      <c r="P2639" t="s">
        <v>19900</v>
      </c>
      <c r="Q2639" t="s">
        <v>19900</v>
      </c>
      <c r="R2639" t="s">
        <v>19447</v>
      </c>
      <c r="S2639" t="s">
        <v>19447</v>
      </c>
      <c r="T2639" t="s">
        <v>19901</v>
      </c>
    </row>
    <row r="2640" spans="2:20" x14ac:dyDescent="0.25">
      <c r="B2640" t="s">
        <v>2709</v>
      </c>
      <c r="C2640">
        <v>29214321</v>
      </c>
      <c r="E2640">
        <v>68.819999999999993</v>
      </c>
      <c r="F2640">
        <v>0</v>
      </c>
      <c r="G2640">
        <v>0</v>
      </c>
      <c r="H2640" t="s">
        <v>19447</v>
      </c>
      <c r="I2640" t="s">
        <v>19447</v>
      </c>
      <c r="J2640">
        <v>2</v>
      </c>
      <c r="L2640" t="s">
        <v>2709</v>
      </c>
      <c r="M2640">
        <v>29214321</v>
      </c>
      <c r="O2640" t="s">
        <v>20028</v>
      </c>
      <c r="P2640" t="s">
        <v>19900</v>
      </c>
      <c r="Q2640" t="s">
        <v>19900</v>
      </c>
      <c r="R2640" t="s">
        <v>19447</v>
      </c>
      <c r="S2640" t="s">
        <v>19447</v>
      </c>
      <c r="T2640" t="s">
        <v>19901</v>
      </c>
    </row>
    <row r="2641" spans="2:20" x14ac:dyDescent="0.25">
      <c r="B2641" t="s">
        <v>2709</v>
      </c>
      <c r="C2641">
        <v>29214322</v>
      </c>
      <c r="E2641">
        <v>68.819999999999993</v>
      </c>
      <c r="F2641">
        <v>0</v>
      </c>
      <c r="G2641">
        <v>0</v>
      </c>
      <c r="H2641" t="s">
        <v>19447</v>
      </c>
      <c r="I2641" t="s">
        <v>19447</v>
      </c>
      <c r="J2641">
        <v>14</v>
      </c>
      <c r="L2641" t="s">
        <v>2709</v>
      </c>
      <c r="M2641">
        <v>29214322</v>
      </c>
      <c r="O2641" t="s">
        <v>20028</v>
      </c>
      <c r="P2641" t="s">
        <v>19900</v>
      </c>
      <c r="Q2641" t="s">
        <v>19900</v>
      </c>
      <c r="R2641" t="s">
        <v>19447</v>
      </c>
      <c r="S2641" t="s">
        <v>19447</v>
      </c>
      <c r="T2641" t="s">
        <v>19911</v>
      </c>
    </row>
    <row r="2642" spans="2:20" x14ac:dyDescent="0.25">
      <c r="B2642" t="s">
        <v>2709</v>
      </c>
      <c r="C2642">
        <v>29214323</v>
      </c>
      <c r="E2642">
        <v>68.819999999999993</v>
      </c>
      <c r="F2642">
        <v>0</v>
      </c>
      <c r="G2642">
        <v>0</v>
      </c>
      <c r="H2642" t="s">
        <v>19447</v>
      </c>
      <c r="I2642" t="s">
        <v>19447</v>
      </c>
      <c r="J2642">
        <v>2</v>
      </c>
      <c r="L2642" t="s">
        <v>2709</v>
      </c>
      <c r="M2642">
        <v>29214323</v>
      </c>
      <c r="O2642" t="s">
        <v>20028</v>
      </c>
      <c r="P2642" t="s">
        <v>19900</v>
      </c>
      <c r="Q2642" t="s">
        <v>19900</v>
      </c>
      <c r="R2642" t="s">
        <v>19447</v>
      </c>
      <c r="S2642" t="s">
        <v>19447</v>
      </c>
      <c r="T2642" t="s">
        <v>19901</v>
      </c>
    </row>
    <row r="2643" spans="2:20" x14ac:dyDescent="0.25">
      <c r="B2643" t="s">
        <v>2709</v>
      </c>
      <c r="C2643">
        <v>29214329</v>
      </c>
      <c r="E2643">
        <v>68.819999999999993</v>
      </c>
      <c r="F2643">
        <v>0</v>
      </c>
      <c r="G2643">
        <v>0</v>
      </c>
      <c r="H2643" t="s">
        <v>19447</v>
      </c>
      <c r="I2643" t="s">
        <v>19447</v>
      </c>
      <c r="J2643">
        <v>2</v>
      </c>
      <c r="L2643" t="s">
        <v>2709</v>
      </c>
      <c r="M2643">
        <v>29214329</v>
      </c>
      <c r="O2643" t="s">
        <v>20028</v>
      </c>
      <c r="P2643" t="s">
        <v>19900</v>
      </c>
      <c r="Q2643" t="s">
        <v>19900</v>
      </c>
      <c r="R2643" t="s">
        <v>19447</v>
      </c>
      <c r="S2643" t="s">
        <v>19447</v>
      </c>
      <c r="T2643" t="s">
        <v>19901</v>
      </c>
    </row>
    <row r="2644" spans="2:20" x14ac:dyDescent="0.25">
      <c r="B2644" t="s">
        <v>2709</v>
      </c>
      <c r="C2644">
        <v>29214410</v>
      </c>
      <c r="E2644">
        <v>68.819999999999993</v>
      </c>
      <c r="F2644">
        <v>0</v>
      </c>
      <c r="G2644">
        <v>0</v>
      </c>
      <c r="H2644" t="s">
        <v>19447</v>
      </c>
      <c r="I2644" t="s">
        <v>19447</v>
      </c>
      <c r="J2644">
        <v>2</v>
      </c>
      <c r="L2644" t="s">
        <v>2709</v>
      </c>
      <c r="M2644">
        <v>29214410</v>
      </c>
      <c r="O2644" t="s">
        <v>20028</v>
      </c>
      <c r="P2644" t="s">
        <v>19900</v>
      </c>
      <c r="Q2644" t="s">
        <v>19900</v>
      </c>
      <c r="R2644" t="s">
        <v>19447</v>
      </c>
      <c r="S2644" t="s">
        <v>19447</v>
      </c>
      <c r="T2644" t="s">
        <v>19901</v>
      </c>
    </row>
    <row r="2645" spans="2:20" x14ac:dyDescent="0.25">
      <c r="B2645" t="s">
        <v>2709</v>
      </c>
      <c r="C2645">
        <v>29214421</v>
      </c>
      <c r="E2645">
        <v>68.819999999999993</v>
      </c>
      <c r="F2645">
        <v>0</v>
      </c>
      <c r="G2645">
        <v>0</v>
      </c>
      <c r="H2645" t="s">
        <v>19447</v>
      </c>
      <c r="I2645" t="s">
        <v>19447</v>
      </c>
      <c r="J2645">
        <v>12</v>
      </c>
      <c r="L2645" t="s">
        <v>2709</v>
      </c>
      <c r="M2645">
        <v>29214421</v>
      </c>
      <c r="O2645" t="s">
        <v>20028</v>
      </c>
      <c r="P2645" t="s">
        <v>19900</v>
      </c>
      <c r="Q2645" t="s">
        <v>19900</v>
      </c>
      <c r="R2645" t="s">
        <v>19447</v>
      </c>
      <c r="S2645" t="s">
        <v>19447</v>
      </c>
      <c r="T2645" t="s">
        <v>19903</v>
      </c>
    </row>
    <row r="2646" spans="2:20" x14ac:dyDescent="0.25">
      <c r="B2646" t="s">
        <v>2709</v>
      </c>
      <c r="C2646">
        <v>29214422</v>
      </c>
      <c r="E2646">
        <v>68.819999999999993</v>
      </c>
      <c r="F2646">
        <v>0</v>
      </c>
      <c r="G2646">
        <v>0</v>
      </c>
      <c r="H2646" t="s">
        <v>19447</v>
      </c>
      <c r="I2646" t="s">
        <v>19447</v>
      </c>
      <c r="J2646">
        <v>12</v>
      </c>
      <c r="L2646" t="s">
        <v>2709</v>
      </c>
      <c r="M2646">
        <v>29214422</v>
      </c>
      <c r="O2646" t="s">
        <v>20028</v>
      </c>
      <c r="P2646" t="s">
        <v>19900</v>
      </c>
      <c r="Q2646" t="s">
        <v>19900</v>
      </c>
      <c r="R2646" t="s">
        <v>19447</v>
      </c>
      <c r="S2646" t="s">
        <v>19447</v>
      </c>
      <c r="T2646" t="s">
        <v>19903</v>
      </c>
    </row>
    <row r="2647" spans="2:20" x14ac:dyDescent="0.25">
      <c r="B2647" t="s">
        <v>2709</v>
      </c>
      <c r="C2647">
        <v>29214429</v>
      </c>
      <c r="E2647">
        <v>68.819999999999993</v>
      </c>
      <c r="F2647">
        <v>0</v>
      </c>
      <c r="G2647">
        <v>0</v>
      </c>
      <c r="H2647" t="s">
        <v>19447</v>
      </c>
      <c r="I2647" t="s">
        <v>19447</v>
      </c>
      <c r="J2647">
        <v>2</v>
      </c>
      <c r="L2647" t="s">
        <v>2709</v>
      </c>
      <c r="M2647">
        <v>29214429</v>
      </c>
      <c r="O2647" t="s">
        <v>20028</v>
      </c>
      <c r="P2647" t="s">
        <v>19900</v>
      </c>
      <c r="Q2647" t="s">
        <v>19900</v>
      </c>
      <c r="R2647" t="s">
        <v>19447</v>
      </c>
      <c r="S2647" t="s">
        <v>19447</v>
      </c>
      <c r="T2647" t="s">
        <v>19901</v>
      </c>
    </row>
    <row r="2648" spans="2:20" x14ac:dyDescent="0.25">
      <c r="B2648" t="s">
        <v>2709</v>
      </c>
      <c r="C2648">
        <v>29214500</v>
      </c>
      <c r="E2648">
        <v>68.819999999999993</v>
      </c>
      <c r="F2648">
        <v>0</v>
      </c>
      <c r="G2648">
        <v>0</v>
      </c>
      <c r="H2648" t="s">
        <v>19447</v>
      </c>
      <c r="I2648" t="s">
        <v>19447</v>
      </c>
      <c r="J2648">
        <v>2</v>
      </c>
      <c r="L2648" t="s">
        <v>2709</v>
      </c>
      <c r="M2648">
        <v>29214500</v>
      </c>
      <c r="O2648" t="s">
        <v>20028</v>
      </c>
      <c r="P2648" t="s">
        <v>19900</v>
      </c>
      <c r="Q2648" t="s">
        <v>19900</v>
      </c>
      <c r="R2648" t="s">
        <v>19447</v>
      </c>
      <c r="S2648" t="s">
        <v>19447</v>
      </c>
      <c r="T2648" t="s">
        <v>19901</v>
      </c>
    </row>
    <row r="2649" spans="2:20" x14ac:dyDescent="0.25">
      <c r="B2649" t="s">
        <v>2709</v>
      </c>
      <c r="C2649">
        <v>29214610</v>
      </c>
      <c r="E2649">
        <v>68.819999999999993</v>
      </c>
      <c r="F2649">
        <v>0</v>
      </c>
      <c r="G2649">
        <v>0</v>
      </c>
      <c r="H2649" t="s">
        <v>19447</v>
      </c>
      <c r="I2649" t="s">
        <v>19447</v>
      </c>
      <c r="J2649">
        <v>2</v>
      </c>
      <c r="L2649" t="s">
        <v>2709</v>
      </c>
      <c r="M2649">
        <v>29214610</v>
      </c>
      <c r="O2649" t="s">
        <v>20028</v>
      </c>
      <c r="P2649" t="s">
        <v>19900</v>
      </c>
      <c r="Q2649" t="s">
        <v>19900</v>
      </c>
      <c r="R2649" t="s">
        <v>19447</v>
      </c>
      <c r="S2649" t="s">
        <v>19447</v>
      </c>
      <c r="T2649" t="s">
        <v>19901</v>
      </c>
    </row>
    <row r="2650" spans="2:20" x14ac:dyDescent="0.25">
      <c r="B2650" t="s">
        <v>2709</v>
      </c>
      <c r="C2650">
        <v>29214620</v>
      </c>
      <c r="E2650">
        <v>68.819999999999993</v>
      </c>
      <c r="F2650">
        <v>0</v>
      </c>
      <c r="G2650">
        <v>0</v>
      </c>
      <c r="H2650" t="s">
        <v>19447</v>
      </c>
      <c r="I2650" t="s">
        <v>19447</v>
      </c>
      <c r="J2650">
        <v>2</v>
      </c>
      <c r="L2650" t="s">
        <v>2709</v>
      </c>
      <c r="M2650">
        <v>29214620</v>
      </c>
      <c r="O2650" t="s">
        <v>20028</v>
      </c>
      <c r="P2650" t="s">
        <v>19900</v>
      </c>
      <c r="Q2650" t="s">
        <v>19900</v>
      </c>
      <c r="R2650" t="s">
        <v>19447</v>
      </c>
      <c r="S2650" t="s">
        <v>19447</v>
      </c>
      <c r="T2650" t="s">
        <v>19901</v>
      </c>
    </row>
    <row r="2651" spans="2:20" x14ac:dyDescent="0.25">
      <c r="B2651" t="s">
        <v>2709</v>
      </c>
      <c r="C2651">
        <v>29214630</v>
      </c>
      <c r="E2651">
        <v>68.819999999999993</v>
      </c>
      <c r="F2651">
        <v>0</v>
      </c>
      <c r="G2651">
        <v>0</v>
      </c>
      <c r="H2651" t="s">
        <v>19447</v>
      </c>
      <c r="I2651" t="s">
        <v>19447</v>
      </c>
      <c r="J2651">
        <v>2</v>
      </c>
      <c r="L2651" t="s">
        <v>2709</v>
      </c>
      <c r="M2651">
        <v>29214630</v>
      </c>
      <c r="O2651" t="s">
        <v>20028</v>
      </c>
      <c r="P2651" t="s">
        <v>19900</v>
      </c>
      <c r="Q2651" t="s">
        <v>19900</v>
      </c>
      <c r="R2651" t="s">
        <v>19447</v>
      </c>
      <c r="S2651" t="s">
        <v>19447</v>
      </c>
      <c r="T2651" t="s">
        <v>19901</v>
      </c>
    </row>
    <row r="2652" spans="2:20" x14ac:dyDescent="0.25">
      <c r="B2652" t="s">
        <v>2709</v>
      </c>
      <c r="C2652">
        <v>29214640</v>
      </c>
      <c r="E2652">
        <v>68.819999999999993</v>
      </c>
      <c r="F2652">
        <v>0</v>
      </c>
      <c r="G2652">
        <v>0</v>
      </c>
      <c r="H2652" t="s">
        <v>19447</v>
      </c>
      <c r="I2652" t="s">
        <v>19447</v>
      </c>
      <c r="J2652">
        <v>2</v>
      </c>
      <c r="L2652" t="s">
        <v>2709</v>
      </c>
      <c r="M2652">
        <v>29214640</v>
      </c>
      <c r="O2652" t="s">
        <v>20028</v>
      </c>
      <c r="P2652" t="s">
        <v>19900</v>
      </c>
      <c r="Q2652" t="s">
        <v>19900</v>
      </c>
      <c r="R2652" t="s">
        <v>19447</v>
      </c>
      <c r="S2652" t="s">
        <v>19447</v>
      </c>
      <c r="T2652" t="s">
        <v>19901</v>
      </c>
    </row>
    <row r="2653" spans="2:20" x14ac:dyDescent="0.25">
      <c r="B2653" t="s">
        <v>2709</v>
      </c>
      <c r="C2653">
        <v>29214650</v>
      </c>
      <c r="E2653">
        <v>68.819999999999993</v>
      </c>
      <c r="F2653">
        <v>0</v>
      </c>
      <c r="G2653">
        <v>0</v>
      </c>
      <c r="H2653" t="s">
        <v>19447</v>
      </c>
      <c r="I2653" t="s">
        <v>19447</v>
      </c>
      <c r="J2653">
        <v>2</v>
      </c>
      <c r="L2653" t="s">
        <v>2709</v>
      </c>
      <c r="M2653">
        <v>29214650</v>
      </c>
      <c r="O2653" t="s">
        <v>20028</v>
      </c>
      <c r="P2653" t="s">
        <v>19900</v>
      </c>
      <c r="Q2653" t="s">
        <v>19900</v>
      </c>
      <c r="R2653" t="s">
        <v>19447</v>
      </c>
      <c r="S2653" t="s">
        <v>19447</v>
      </c>
      <c r="T2653" t="s">
        <v>19901</v>
      </c>
    </row>
    <row r="2654" spans="2:20" x14ac:dyDescent="0.25">
      <c r="B2654" t="s">
        <v>2709</v>
      </c>
      <c r="C2654">
        <v>29214660</v>
      </c>
      <c r="E2654">
        <v>68.819999999999993</v>
      </c>
      <c r="F2654">
        <v>0</v>
      </c>
      <c r="G2654">
        <v>0</v>
      </c>
      <c r="H2654" t="s">
        <v>19447</v>
      </c>
      <c r="I2654" t="s">
        <v>19447</v>
      </c>
      <c r="J2654">
        <v>2</v>
      </c>
      <c r="L2654" t="s">
        <v>2709</v>
      </c>
      <c r="M2654">
        <v>29214660</v>
      </c>
      <c r="O2654" t="s">
        <v>20028</v>
      </c>
      <c r="P2654" t="s">
        <v>19900</v>
      </c>
      <c r="Q2654" t="s">
        <v>19900</v>
      </c>
      <c r="R2654" t="s">
        <v>19447</v>
      </c>
      <c r="S2654" t="s">
        <v>19447</v>
      </c>
      <c r="T2654" t="s">
        <v>19901</v>
      </c>
    </row>
    <row r="2655" spans="2:20" x14ac:dyDescent="0.25">
      <c r="B2655" t="s">
        <v>2709</v>
      </c>
      <c r="C2655">
        <v>29214670</v>
      </c>
      <c r="E2655">
        <v>68.819999999999993</v>
      </c>
      <c r="F2655">
        <v>0</v>
      </c>
      <c r="G2655">
        <v>0</v>
      </c>
      <c r="H2655" t="s">
        <v>19447</v>
      </c>
      <c r="I2655" t="s">
        <v>19447</v>
      </c>
      <c r="J2655">
        <v>2</v>
      </c>
      <c r="L2655" t="s">
        <v>2709</v>
      </c>
      <c r="M2655">
        <v>29214670</v>
      </c>
      <c r="O2655" t="s">
        <v>20028</v>
      </c>
      <c r="P2655" t="s">
        <v>19900</v>
      </c>
      <c r="Q2655" t="s">
        <v>19900</v>
      </c>
      <c r="R2655" t="s">
        <v>19447</v>
      </c>
      <c r="S2655" t="s">
        <v>19447</v>
      </c>
      <c r="T2655" t="s">
        <v>19901</v>
      </c>
    </row>
    <row r="2656" spans="2:20" x14ac:dyDescent="0.25">
      <c r="B2656" t="s">
        <v>2709</v>
      </c>
      <c r="C2656">
        <v>29214680</v>
      </c>
      <c r="E2656">
        <v>68.819999999999993</v>
      </c>
      <c r="F2656">
        <v>0</v>
      </c>
      <c r="G2656">
        <v>0</v>
      </c>
      <c r="H2656" t="s">
        <v>19447</v>
      </c>
      <c r="I2656" t="s">
        <v>19447</v>
      </c>
      <c r="J2656">
        <v>2</v>
      </c>
      <c r="L2656" t="s">
        <v>2709</v>
      </c>
      <c r="M2656">
        <v>29214680</v>
      </c>
      <c r="O2656" t="s">
        <v>20028</v>
      </c>
      <c r="P2656" t="s">
        <v>19900</v>
      </c>
      <c r="Q2656" t="s">
        <v>19900</v>
      </c>
      <c r="R2656" t="s">
        <v>19447</v>
      </c>
      <c r="S2656" t="s">
        <v>19447</v>
      </c>
      <c r="T2656" t="s">
        <v>19901</v>
      </c>
    </row>
    <row r="2657" spans="2:20" x14ac:dyDescent="0.25">
      <c r="B2657" t="s">
        <v>2709</v>
      </c>
      <c r="C2657">
        <v>29214690</v>
      </c>
      <c r="E2657">
        <v>68.819999999999993</v>
      </c>
      <c r="F2657">
        <v>0</v>
      </c>
      <c r="G2657">
        <v>0</v>
      </c>
      <c r="H2657" t="s">
        <v>19447</v>
      </c>
      <c r="I2657" t="s">
        <v>19447</v>
      </c>
      <c r="J2657">
        <v>2</v>
      </c>
      <c r="L2657" t="s">
        <v>2709</v>
      </c>
      <c r="M2657">
        <v>29214690</v>
      </c>
      <c r="O2657" t="s">
        <v>20028</v>
      </c>
      <c r="P2657" t="s">
        <v>19900</v>
      </c>
      <c r="Q2657" t="s">
        <v>19900</v>
      </c>
      <c r="R2657" t="s">
        <v>19447</v>
      </c>
      <c r="S2657" t="s">
        <v>19447</v>
      </c>
      <c r="T2657" t="s">
        <v>19901</v>
      </c>
    </row>
    <row r="2658" spans="2:20" x14ac:dyDescent="0.25">
      <c r="B2658" t="s">
        <v>2709</v>
      </c>
      <c r="C2658">
        <v>29214910</v>
      </c>
      <c r="E2658">
        <v>68.819999999999993</v>
      </c>
      <c r="F2658">
        <v>0</v>
      </c>
      <c r="G2658">
        <v>0</v>
      </c>
      <c r="H2658" t="s">
        <v>19447</v>
      </c>
      <c r="I2658" t="s">
        <v>19447</v>
      </c>
      <c r="J2658">
        <v>2</v>
      </c>
      <c r="L2658" t="s">
        <v>2709</v>
      </c>
      <c r="M2658">
        <v>29214910</v>
      </c>
      <c r="O2658" t="s">
        <v>20028</v>
      </c>
      <c r="P2658" t="s">
        <v>19900</v>
      </c>
      <c r="Q2658" t="s">
        <v>19900</v>
      </c>
      <c r="R2658" t="s">
        <v>19447</v>
      </c>
      <c r="S2658" t="s">
        <v>19447</v>
      </c>
      <c r="T2658" t="s">
        <v>19901</v>
      </c>
    </row>
    <row r="2659" spans="2:20" x14ac:dyDescent="0.25">
      <c r="B2659" t="s">
        <v>2709</v>
      </c>
      <c r="C2659">
        <v>29214921</v>
      </c>
      <c r="E2659">
        <v>68.819999999999993</v>
      </c>
      <c r="F2659">
        <v>0</v>
      </c>
      <c r="G2659">
        <v>0</v>
      </c>
      <c r="H2659" t="s">
        <v>19447</v>
      </c>
      <c r="I2659" t="s">
        <v>19447</v>
      </c>
      <c r="J2659">
        <v>2</v>
      </c>
      <c r="L2659" t="s">
        <v>2709</v>
      </c>
      <c r="M2659">
        <v>29214921</v>
      </c>
      <c r="O2659" t="s">
        <v>20028</v>
      </c>
      <c r="P2659" t="s">
        <v>19900</v>
      </c>
      <c r="Q2659" t="s">
        <v>19900</v>
      </c>
      <c r="R2659" t="s">
        <v>19447</v>
      </c>
      <c r="S2659" t="s">
        <v>19447</v>
      </c>
      <c r="T2659" t="s">
        <v>19901</v>
      </c>
    </row>
    <row r="2660" spans="2:20" x14ac:dyDescent="0.25">
      <c r="B2660" t="s">
        <v>2709</v>
      </c>
      <c r="C2660">
        <v>29214922</v>
      </c>
      <c r="E2660">
        <v>68.819999999999993</v>
      </c>
      <c r="F2660">
        <v>0</v>
      </c>
      <c r="G2660">
        <v>0</v>
      </c>
      <c r="H2660" t="s">
        <v>19447</v>
      </c>
      <c r="I2660" t="s">
        <v>19447</v>
      </c>
      <c r="J2660">
        <v>2</v>
      </c>
      <c r="L2660" t="s">
        <v>2709</v>
      </c>
      <c r="M2660">
        <v>29214922</v>
      </c>
      <c r="O2660" t="s">
        <v>20028</v>
      </c>
      <c r="P2660" t="s">
        <v>19900</v>
      </c>
      <c r="Q2660" t="s">
        <v>19900</v>
      </c>
      <c r="R2660" t="s">
        <v>19447</v>
      </c>
      <c r="S2660" t="s">
        <v>19447</v>
      </c>
      <c r="T2660" t="s">
        <v>19901</v>
      </c>
    </row>
    <row r="2661" spans="2:20" x14ac:dyDescent="0.25">
      <c r="B2661" t="s">
        <v>2709</v>
      </c>
      <c r="C2661">
        <v>29214929</v>
      </c>
      <c r="E2661">
        <v>68.819999999999993</v>
      </c>
      <c r="F2661">
        <v>0</v>
      </c>
      <c r="G2661">
        <v>0</v>
      </c>
      <c r="H2661" t="s">
        <v>19447</v>
      </c>
      <c r="I2661" t="s">
        <v>19447</v>
      </c>
      <c r="J2661">
        <v>2</v>
      </c>
      <c r="L2661" t="s">
        <v>2709</v>
      </c>
      <c r="M2661">
        <v>29214929</v>
      </c>
      <c r="O2661" t="s">
        <v>20028</v>
      </c>
      <c r="P2661" t="s">
        <v>19900</v>
      </c>
      <c r="Q2661" t="s">
        <v>19900</v>
      </c>
      <c r="R2661" t="s">
        <v>19447</v>
      </c>
      <c r="S2661" t="s">
        <v>19447</v>
      </c>
      <c r="T2661" t="s">
        <v>19901</v>
      </c>
    </row>
    <row r="2662" spans="2:20" x14ac:dyDescent="0.25">
      <c r="B2662" t="s">
        <v>2709</v>
      </c>
      <c r="C2662">
        <v>29214931</v>
      </c>
      <c r="E2662">
        <v>68.819999999999993</v>
      </c>
      <c r="F2662">
        <v>0</v>
      </c>
      <c r="G2662">
        <v>0</v>
      </c>
      <c r="H2662" t="s">
        <v>19447</v>
      </c>
      <c r="I2662" t="s">
        <v>19447</v>
      </c>
      <c r="J2662">
        <v>14</v>
      </c>
      <c r="L2662" t="s">
        <v>2709</v>
      </c>
      <c r="M2662">
        <v>29214931</v>
      </c>
      <c r="O2662" t="s">
        <v>20028</v>
      </c>
      <c r="P2662" t="s">
        <v>19900</v>
      </c>
      <c r="Q2662" t="s">
        <v>19900</v>
      </c>
      <c r="R2662" t="s">
        <v>19447</v>
      </c>
      <c r="S2662" t="s">
        <v>19447</v>
      </c>
      <c r="T2662" t="s">
        <v>19911</v>
      </c>
    </row>
    <row r="2663" spans="2:20" x14ac:dyDescent="0.25">
      <c r="B2663" t="s">
        <v>2709</v>
      </c>
      <c r="C2663">
        <v>29214939</v>
      </c>
      <c r="E2663">
        <v>68.819999999999993</v>
      </c>
      <c r="F2663">
        <v>0</v>
      </c>
      <c r="G2663">
        <v>0</v>
      </c>
      <c r="H2663" t="s">
        <v>19447</v>
      </c>
      <c r="I2663" t="s">
        <v>19447</v>
      </c>
      <c r="J2663">
        <v>2</v>
      </c>
      <c r="L2663" t="s">
        <v>2709</v>
      </c>
      <c r="M2663">
        <v>29214939</v>
      </c>
      <c r="O2663" t="s">
        <v>20028</v>
      </c>
      <c r="P2663" t="s">
        <v>19900</v>
      </c>
      <c r="Q2663" t="s">
        <v>19900</v>
      </c>
      <c r="R2663" t="s">
        <v>19447</v>
      </c>
      <c r="S2663" t="s">
        <v>19447</v>
      </c>
      <c r="T2663" t="s">
        <v>19901</v>
      </c>
    </row>
    <row r="2664" spans="2:20" x14ac:dyDescent="0.25">
      <c r="B2664" t="s">
        <v>2709</v>
      </c>
      <c r="C2664">
        <v>29214990</v>
      </c>
      <c r="E2664">
        <v>68.819999999999993</v>
      </c>
      <c r="F2664">
        <v>0</v>
      </c>
      <c r="G2664">
        <v>0</v>
      </c>
      <c r="H2664" t="s">
        <v>19447</v>
      </c>
      <c r="I2664" t="s">
        <v>19447</v>
      </c>
      <c r="J2664">
        <v>2</v>
      </c>
      <c r="L2664" t="s">
        <v>2709</v>
      </c>
      <c r="M2664">
        <v>29214990</v>
      </c>
      <c r="O2664" t="s">
        <v>20028</v>
      </c>
      <c r="P2664" t="s">
        <v>19900</v>
      </c>
      <c r="Q2664" t="s">
        <v>19900</v>
      </c>
      <c r="R2664" t="s">
        <v>19447</v>
      </c>
      <c r="S2664" t="s">
        <v>19447</v>
      </c>
      <c r="T2664" t="s">
        <v>19901</v>
      </c>
    </row>
    <row r="2665" spans="2:20" x14ac:dyDescent="0.25">
      <c r="B2665" t="s">
        <v>2709</v>
      </c>
      <c r="C2665">
        <v>29215111</v>
      </c>
      <c r="E2665">
        <v>68.819999999999993</v>
      </c>
      <c r="F2665">
        <v>0</v>
      </c>
      <c r="G2665">
        <v>0</v>
      </c>
      <c r="H2665" t="s">
        <v>19447</v>
      </c>
      <c r="I2665" t="s">
        <v>19447</v>
      </c>
      <c r="J2665">
        <v>2</v>
      </c>
      <c r="L2665" t="s">
        <v>2709</v>
      </c>
      <c r="M2665">
        <v>29215111</v>
      </c>
      <c r="O2665" t="s">
        <v>20028</v>
      </c>
      <c r="P2665" t="s">
        <v>19900</v>
      </c>
      <c r="Q2665" t="s">
        <v>19900</v>
      </c>
      <c r="R2665" t="s">
        <v>19447</v>
      </c>
      <c r="S2665" t="s">
        <v>19447</v>
      </c>
      <c r="T2665" t="s">
        <v>19901</v>
      </c>
    </row>
    <row r="2666" spans="2:20" x14ac:dyDescent="0.25">
      <c r="B2666" t="s">
        <v>2709</v>
      </c>
      <c r="C2666">
        <v>29215112</v>
      </c>
      <c r="E2666">
        <v>68.819999999999993</v>
      </c>
      <c r="F2666">
        <v>0</v>
      </c>
      <c r="G2666">
        <v>0</v>
      </c>
      <c r="H2666" t="s">
        <v>19447</v>
      </c>
      <c r="I2666" t="s">
        <v>19447</v>
      </c>
      <c r="J2666">
        <v>12</v>
      </c>
      <c r="L2666" t="s">
        <v>2709</v>
      </c>
      <c r="M2666">
        <v>29215112</v>
      </c>
      <c r="O2666" t="s">
        <v>20028</v>
      </c>
      <c r="P2666" t="s">
        <v>19900</v>
      </c>
      <c r="Q2666" t="s">
        <v>19900</v>
      </c>
      <c r="R2666" t="s">
        <v>19447</v>
      </c>
      <c r="S2666" t="s">
        <v>19447</v>
      </c>
      <c r="T2666" t="s">
        <v>19903</v>
      </c>
    </row>
    <row r="2667" spans="2:20" x14ac:dyDescent="0.25">
      <c r="B2667" t="s">
        <v>2709</v>
      </c>
      <c r="C2667">
        <v>29215119</v>
      </c>
      <c r="E2667">
        <v>68.819999999999993</v>
      </c>
      <c r="F2667">
        <v>0</v>
      </c>
      <c r="G2667">
        <v>0</v>
      </c>
      <c r="H2667" t="s">
        <v>19447</v>
      </c>
      <c r="I2667" t="s">
        <v>19447</v>
      </c>
      <c r="J2667">
        <v>2</v>
      </c>
      <c r="L2667" t="s">
        <v>2709</v>
      </c>
      <c r="M2667">
        <v>29215119</v>
      </c>
      <c r="O2667" t="s">
        <v>20028</v>
      </c>
      <c r="P2667" t="s">
        <v>19900</v>
      </c>
      <c r="Q2667" t="s">
        <v>19900</v>
      </c>
      <c r="R2667" t="s">
        <v>19447</v>
      </c>
      <c r="S2667" t="s">
        <v>19447</v>
      </c>
      <c r="T2667" t="s">
        <v>19901</v>
      </c>
    </row>
    <row r="2668" spans="2:20" x14ac:dyDescent="0.25">
      <c r="B2668" t="s">
        <v>2709</v>
      </c>
      <c r="C2668">
        <v>29215120</v>
      </c>
      <c r="E2668">
        <v>68.819999999999993</v>
      </c>
      <c r="F2668">
        <v>0</v>
      </c>
      <c r="G2668">
        <v>0</v>
      </c>
      <c r="H2668" t="s">
        <v>19447</v>
      </c>
      <c r="I2668" t="s">
        <v>19447</v>
      </c>
      <c r="J2668">
        <v>2</v>
      </c>
      <c r="L2668" t="s">
        <v>2709</v>
      </c>
      <c r="M2668">
        <v>29215120</v>
      </c>
      <c r="O2668" t="s">
        <v>20028</v>
      </c>
      <c r="P2668" t="s">
        <v>19900</v>
      </c>
      <c r="Q2668" t="s">
        <v>19900</v>
      </c>
      <c r="R2668" t="s">
        <v>19447</v>
      </c>
      <c r="S2668" t="s">
        <v>19447</v>
      </c>
      <c r="T2668" t="s">
        <v>19901</v>
      </c>
    </row>
    <row r="2669" spans="2:20" x14ac:dyDescent="0.25">
      <c r="B2669" t="s">
        <v>2709</v>
      </c>
      <c r="C2669">
        <v>29215131</v>
      </c>
      <c r="E2669">
        <v>68.819999999999993</v>
      </c>
      <c r="F2669">
        <v>0</v>
      </c>
      <c r="G2669">
        <v>0</v>
      </c>
      <c r="H2669" t="s">
        <v>19447</v>
      </c>
      <c r="I2669" t="s">
        <v>19447</v>
      </c>
      <c r="J2669">
        <v>12</v>
      </c>
      <c r="L2669" t="s">
        <v>2709</v>
      </c>
      <c r="M2669">
        <v>29215131</v>
      </c>
      <c r="O2669" t="s">
        <v>20028</v>
      </c>
      <c r="P2669" t="s">
        <v>19900</v>
      </c>
      <c r="Q2669" t="s">
        <v>19900</v>
      </c>
      <c r="R2669" t="s">
        <v>19447</v>
      </c>
      <c r="S2669" t="s">
        <v>19447</v>
      </c>
      <c r="T2669" t="s">
        <v>19903</v>
      </c>
    </row>
    <row r="2670" spans="2:20" x14ac:dyDescent="0.25">
      <c r="B2670" t="s">
        <v>2709</v>
      </c>
      <c r="C2670">
        <v>29215132</v>
      </c>
      <c r="E2670">
        <v>68.819999999999993</v>
      </c>
      <c r="F2670">
        <v>0</v>
      </c>
      <c r="G2670">
        <v>0</v>
      </c>
      <c r="H2670" t="s">
        <v>19447</v>
      </c>
      <c r="I2670" t="s">
        <v>19447</v>
      </c>
      <c r="J2670">
        <v>12</v>
      </c>
      <c r="L2670" t="s">
        <v>2709</v>
      </c>
      <c r="M2670">
        <v>29215132</v>
      </c>
      <c r="O2670" t="s">
        <v>20028</v>
      </c>
      <c r="P2670" t="s">
        <v>19900</v>
      </c>
      <c r="Q2670" t="s">
        <v>19900</v>
      </c>
      <c r="R2670" t="s">
        <v>19447</v>
      </c>
      <c r="S2670" t="s">
        <v>19447</v>
      </c>
      <c r="T2670" t="s">
        <v>19903</v>
      </c>
    </row>
    <row r="2671" spans="2:20" x14ac:dyDescent="0.25">
      <c r="B2671" t="s">
        <v>2709</v>
      </c>
      <c r="C2671">
        <v>29215133</v>
      </c>
      <c r="E2671">
        <v>68.819999999999993</v>
      </c>
      <c r="F2671">
        <v>0</v>
      </c>
      <c r="G2671">
        <v>0</v>
      </c>
      <c r="H2671" t="s">
        <v>19447</v>
      </c>
      <c r="I2671" t="s">
        <v>19447</v>
      </c>
      <c r="J2671">
        <v>12</v>
      </c>
      <c r="L2671" t="s">
        <v>2709</v>
      </c>
      <c r="M2671">
        <v>29215133</v>
      </c>
      <c r="O2671" t="s">
        <v>20028</v>
      </c>
      <c r="P2671" t="s">
        <v>19900</v>
      </c>
      <c r="Q2671" t="s">
        <v>19900</v>
      </c>
      <c r="R2671" t="s">
        <v>19447</v>
      </c>
      <c r="S2671" t="s">
        <v>19447</v>
      </c>
      <c r="T2671" t="s">
        <v>19903</v>
      </c>
    </row>
    <row r="2672" spans="2:20" x14ac:dyDescent="0.25">
      <c r="B2672" t="s">
        <v>2709</v>
      </c>
      <c r="C2672">
        <v>29215134</v>
      </c>
      <c r="E2672">
        <v>68.819999999999993</v>
      </c>
      <c r="F2672">
        <v>0</v>
      </c>
      <c r="G2672">
        <v>0</v>
      </c>
      <c r="H2672" t="s">
        <v>19447</v>
      </c>
      <c r="I2672" t="s">
        <v>19447</v>
      </c>
      <c r="J2672">
        <v>12</v>
      </c>
      <c r="L2672" t="s">
        <v>2709</v>
      </c>
      <c r="M2672">
        <v>29215134</v>
      </c>
      <c r="O2672" t="s">
        <v>20028</v>
      </c>
      <c r="P2672" t="s">
        <v>19900</v>
      </c>
      <c r="Q2672" t="s">
        <v>19900</v>
      </c>
      <c r="R2672" t="s">
        <v>19447</v>
      </c>
      <c r="S2672" t="s">
        <v>19447</v>
      </c>
      <c r="T2672" t="s">
        <v>19903</v>
      </c>
    </row>
    <row r="2673" spans="2:20" x14ac:dyDescent="0.25">
      <c r="B2673" t="s">
        <v>2709</v>
      </c>
      <c r="C2673">
        <v>29215135</v>
      </c>
      <c r="E2673">
        <v>68.819999999999993</v>
      </c>
      <c r="F2673">
        <v>0</v>
      </c>
      <c r="G2673">
        <v>0</v>
      </c>
      <c r="H2673" t="s">
        <v>19447</v>
      </c>
      <c r="I2673" t="s">
        <v>19447</v>
      </c>
      <c r="J2673">
        <v>2</v>
      </c>
      <c r="L2673" t="s">
        <v>2709</v>
      </c>
      <c r="M2673">
        <v>29215135</v>
      </c>
      <c r="O2673" t="s">
        <v>20028</v>
      </c>
      <c r="P2673" t="s">
        <v>19900</v>
      </c>
      <c r="Q2673" t="s">
        <v>19900</v>
      </c>
      <c r="R2673" t="s">
        <v>19447</v>
      </c>
      <c r="S2673" t="s">
        <v>19447</v>
      </c>
      <c r="T2673" t="s">
        <v>19901</v>
      </c>
    </row>
    <row r="2674" spans="2:20" x14ac:dyDescent="0.25">
      <c r="B2674" t="s">
        <v>2709</v>
      </c>
      <c r="C2674">
        <v>29215139</v>
      </c>
      <c r="E2674">
        <v>68.819999999999993</v>
      </c>
      <c r="F2674">
        <v>0</v>
      </c>
      <c r="G2674">
        <v>0</v>
      </c>
      <c r="H2674" t="s">
        <v>19447</v>
      </c>
      <c r="I2674" t="s">
        <v>19447</v>
      </c>
      <c r="J2674">
        <v>2</v>
      </c>
      <c r="L2674" t="s">
        <v>2709</v>
      </c>
      <c r="M2674">
        <v>29215139</v>
      </c>
      <c r="O2674" t="s">
        <v>20028</v>
      </c>
      <c r="P2674" t="s">
        <v>19900</v>
      </c>
      <c r="Q2674" t="s">
        <v>19900</v>
      </c>
      <c r="R2674" t="s">
        <v>19447</v>
      </c>
      <c r="S2674" t="s">
        <v>19447</v>
      </c>
      <c r="T2674" t="s">
        <v>19901</v>
      </c>
    </row>
    <row r="2675" spans="2:20" x14ac:dyDescent="0.25">
      <c r="B2675" t="s">
        <v>2709</v>
      </c>
      <c r="C2675">
        <v>29215190</v>
      </c>
      <c r="E2675">
        <v>68.819999999999993</v>
      </c>
      <c r="F2675">
        <v>0</v>
      </c>
      <c r="G2675">
        <v>0</v>
      </c>
      <c r="H2675" t="s">
        <v>19447</v>
      </c>
      <c r="I2675" t="s">
        <v>19447</v>
      </c>
      <c r="J2675">
        <v>2</v>
      </c>
      <c r="L2675" t="s">
        <v>2709</v>
      </c>
      <c r="M2675">
        <v>29215190</v>
      </c>
      <c r="O2675" t="s">
        <v>20028</v>
      </c>
      <c r="P2675" t="s">
        <v>19900</v>
      </c>
      <c r="Q2675" t="s">
        <v>19900</v>
      </c>
      <c r="R2675" t="s">
        <v>19447</v>
      </c>
      <c r="S2675" t="s">
        <v>19447</v>
      </c>
      <c r="T2675" t="s">
        <v>19901</v>
      </c>
    </row>
    <row r="2676" spans="2:20" x14ac:dyDescent="0.25">
      <c r="B2676" t="s">
        <v>2709</v>
      </c>
      <c r="C2676">
        <v>29215911</v>
      </c>
      <c r="E2676">
        <v>68.819999999999993</v>
      </c>
      <c r="F2676">
        <v>0</v>
      </c>
      <c r="G2676">
        <v>0</v>
      </c>
      <c r="H2676" t="s">
        <v>19447</v>
      </c>
      <c r="I2676" t="s">
        <v>19447</v>
      </c>
      <c r="J2676">
        <v>2</v>
      </c>
      <c r="L2676" t="s">
        <v>2709</v>
      </c>
      <c r="M2676">
        <v>29215911</v>
      </c>
      <c r="O2676" t="s">
        <v>20028</v>
      </c>
      <c r="P2676" t="s">
        <v>19900</v>
      </c>
      <c r="Q2676" t="s">
        <v>19900</v>
      </c>
      <c r="R2676" t="s">
        <v>19447</v>
      </c>
      <c r="S2676" t="s">
        <v>19447</v>
      </c>
      <c r="T2676" t="s">
        <v>19901</v>
      </c>
    </row>
    <row r="2677" spans="2:20" x14ac:dyDescent="0.25">
      <c r="B2677" t="s">
        <v>2709</v>
      </c>
      <c r="C2677">
        <v>29215919</v>
      </c>
      <c r="E2677">
        <v>68.819999999999993</v>
      </c>
      <c r="F2677">
        <v>0</v>
      </c>
      <c r="G2677">
        <v>0</v>
      </c>
      <c r="H2677" t="s">
        <v>19447</v>
      </c>
      <c r="I2677" t="s">
        <v>19447</v>
      </c>
      <c r="J2677">
        <v>2</v>
      </c>
      <c r="L2677" t="s">
        <v>2709</v>
      </c>
      <c r="M2677">
        <v>29215919</v>
      </c>
      <c r="O2677" t="s">
        <v>20028</v>
      </c>
      <c r="P2677" t="s">
        <v>19900</v>
      </c>
      <c r="Q2677" t="s">
        <v>19900</v>
      </c>
      <c r="R2677" t="s">
        <v>19447</v>
      </c>
      <c r="S2677" t="s">
        <v>19447</v>
      </c>
      <c r="T2677" t="s">
        <v>19901</v>
      </c>
    </row>
    <row r="2678" spans="2:20" x14ac:dyDescent="0.25">
      <c r="B2678" t="s">
        <v>2709</v>
      </c>
      <c r="C2678">
        <v>29215921</v>
      </c>
      <c r="E2678">
        <v>68.819999999999993</v>
      </c>
      <c r="F2678">
        <v>0</v>
      </c>
      <c r="G2678">
        <v>0</v>
      </c>
      <c r="H2678" t="s">
        <v>19447</v>
      </c>
      <c r="I2678" t="s">
        <v>19447</v>
      </c>
      <c r="J2678">
        <v>12</v>
      </c>
      <c r="L2678" t="s">
        <v>2709</v>
      </c>
      <c r="M2678">
        <v>29215921</v>
      </c>
      <c r="O2678" t="s">
        <v>20028</v>
      </c>
      <c r="P2678" t="s">
        <v>19900</v>
      </c>
      <c r="Q2678" t="s">
        <v>19900</v>
      </c>
      <c r="R2678" t="s">
        <v>19447</v>
      </c>
      <c r="S2678" t="s">
        <v>19447</v>
      </c>
      <c r="T2678" t="s">
        <v>19903</v>
      </c>
    </row>
    <row r="2679" spans="2:20" x14ac:dyDescent="0.25">
      <c r="B2679" t="s">
        <v>2709</v>
      </c>
      <c r="C2679">
        <v>29215929</v>
      </c>
      <c r="E2679">
        <v>68.819999999999993</v>
      </c>
      <c r="F2679">
        <v>0</v>
      </c>
      <c r="G2679">
        <v>0</v>
      </c>
      <c r="H2679" t="s">
        <v>19447</v>
      </c>
      <c r="I2679" t="s">
        <v>19447</v>
      </c>
      <c r="J2679">
        <v>2</v>
      </c>
      <c r="L2679" t="s">
        <v>2709</v>
      </c>
      <c r="M2679">
        <v>29215929</v>
      </c>
      <c r="O2679" t="s">
        <v>20028</v>
      </c>
      <c r="P2679" t="s">
        <v>19900</v>
      </c>
      <c r="Q2679" t="s">
        <v>19900</v>
      </c>
      <c r="R2679" t="s">
        <v>19447</v>
      </c>
      <c r="S2679" t="s">
        <v>19447</v>
      </c>
      <c r="T2679" t="s">
        <v>19901</v>
      </c>
    </row>
    <row r="2680" spans="2:20" x14ac:dyDescent="0.25">
      <c r="B2680" t="s">
        <v>2709</v>
      </c>
      <c r="C2680">
        <v>29215931</v>
      </c>
      <c r="E2680">
        <v>68.819999999999993</v>
      </c>
      <c r="F2680">
        <v>0</v>
      </c>
      <c r="G2680">
        <v>0</v>
      </c>
      <c r="H2680" t="s">
        <v>19447</v>
      </c>
      <c r="I2680" t="s">
        <v>19447</v>
      </c>
      <c r="J2680">
        <v>12</v>
      </c>
      <c r="L2680" t="s">
        <v>2709</v>
      </c>
      <c r="M2680">
        <v>29215931</v>
      </c>
      <c r="O2680" t="s">
        <v>20028</v>
      </c>
      <c r="P2680" t="s">
        <v>19900</v>
      </c>
      <c r="Q2680" t="s">
        <v>19900</v>
      </c>
      <c r="R2680" t="s">
        <v>19447</v>
      </c>
      <c r="S2680" t="s">
        <v>19447</v>
      </c>
      <c r="T2680" t="s">
        <v>19903</v>
      </c>
    </row>
    <row r="2681" spans="2:20" x14ac:dyDescent="0.25">
      <c r="B2681" t="s">
        <v>2709</v>
      </c>
      <c r="C2681">
        <v>29215932</v>
      </c>
      <c r="E2681">
        <v>68.819999999999993</v>
      </c>
      <c r="F2681">
        <v>0</v>
      </c>
      <c r="G2681">
        <v>0</v>
      </c>
      <c r="H2681" t="s">
        <v>19447</v>
      </c>
      <c r="I2681" t="s">
        <v>19447</v>
      </c>
      <c r="J2681">
        <v>2</v>
      </c>
      <c r="L2681" t="s">
        <v>2709</v>
      </c>
      <c r="M2681">
        <v>29215932</v>
      </c>
      <c r="O2681" t="s">
        <v>20028</v>
      </c>
      <c r="P2681" t="s">
        <v>19900</v>
      </c>
      <c r="Q2681" t="s">
        <v>19900</v>
      </c>
      <c r="R2681" t="s">
        <v>19447</v>
      </c>
      <c r="S2681" t="s">
        <v>19447</v>
      </c>
      <c r="T2681" t="s">
        <v>19901</v>
      </c>
    </row>
    <row r="2682" spans="2:20" x14ac:dyDescent="0.25">
      <c r="B2682" t="s">
        <v>2709</v>
      </c>
      <c r="C2682">
        <v>29215939</v>
      </c>
      <c r="E2682">
        <v>68.819999999999993</v>
      </c>
      <c r="F2682">
        <v>0</v>
      </c>
      <c r="G2682">
        <v>0</v>
      </c>
      <c r="H2682" t="s">
        <v>19447</v>
      </c>
      <c r="I2682" t="s">
        <v>19447</v>
      </c>
      <c r="J2682">
        <v>2</v>
      </c>
      <c r="L2682" t="s">
        <v>2709</v>
      </c>
      <c r="M2682">
        <v>29215939</v>
      </c>
      <c r="O2682" t="s">
        <v>20028</v>
      </c>
      <c r="P2682" t="s">
        <v>19900</v>
      </c>
      <c r="Q2682" t="s">
        <v>19900</v>
      </c>
      <c r="R2682" t="s">
        <v>19447</v>
      </c>
      <c r="S2682" t="s">
        <v>19447</v>
      </c>
      <c r="T2682" t="s">
        <v>19901</v>
      </c>
    </row>
    <row r="2683" spans="2:20" x14ac:dyDescent="0.25">
      <c r="B2683" t="s">
        <v>2709</v>
      </c>
      <c r="C2683">
        <v>29215990</v>
      </c>
      <c r="E2683">
        <v>68.819999999999993</v>
      </c>
      <c r="F2683">
        <v>0</v>
      </c>
      <c r="G2683">
        <v>0</v>
      </c>
      <c r="H2683" t="s">
        <v>19447</v>
      </c>
      <c r="I2683" t="s">
        <v>19447</v>
      </c>
      <c r="J2683">
        <v>2</v>
      </c>
      <c r="L2683" t="s">
        <v>2709</v>
      </c>
      <c r="M2683">
        <v>29215990</v>
      </c>
      <c r="O2683" t="s">
        <v>20028</v>
      </c>
      <c r="P2683" t="s">
        <v>19900</v>
      </c>
      <c r="Q2683" t="s">
        <v>19900</v>
      </c>
      <c r="R2683" t="s">
        <v>19447</v>
      </c>
      <c r="S2683" t="s">
        <v>19447</v>
      </c>
      <c r="T2683" t="s">
        <v>19901</v>
      </c>
    </row>
    <row r="2684" spans="2:20" x14ac:dyDescent="0.25">
      <c r="B2684" t="s">
        <v>2709</v>
      </c>
      <c r="C2684">
        <v>29221100</v>
      </c>
      <c r="E2684">
        <v>68.819999999999993</v>
      </c>
      <c r="F2684">
        <v>0</v>
      </c>
      <c r="G2684">
        <v>0</v>
      </c>
      <c r="H2684" t="s">
        <v>19447</v>
      </c>
      <c r="I2684" t="s">
        <v>19447</v>
      </c>
      <c r="J2684">
        <v>14</v>
      </c>
      <c r="L2684" t="s">
        <v>2709</v>
      </c>
      <c r="M2684">
        <v>29221100</v>
      </c>
      <c r="O2684" t="s">
        <v>20028</v>
      </c>
      <c r="P2684" t="s">
        <v>19900</v>
      </c>
      <c r="Q2684" t="s">
        <v>19900</v>
      </c>
      <c r="R2684" t="s">
        <v>19447</v>
      </c>
      <c r="S2684" t="s">
        <v>19447</v>
      </c>
      <c r="T2684" t="s">
        <v>19911</v>
      </c>
    </row>
    <row r="2685" spans="2:20" x14ac:dyDescent="0.25">
      <c r="B2685" t="s">
        <v>2709</v>
      </c>
      <c r="C2685">
        <v>29221200</v>
      </c>
      <c r="E2685">
        <v>68.819999999999993</v>
      </c>
      <c r="F2685">
        <v>0</v>
      </c>
      <c r="G2685">
        <v>0</v>
      </c>
      <c r="H2685" t="s">
        <v>19447</v>
      </c>
      <c r="I2685" t="s">
        <v>19447</v>
      </c>
      <c r="J2685">
        <v>14</v>
      </c>
      <c r="L2685" t="s">
        <v>2709</v>
      </c>
      <c r="M2685">
        <v>29221200</v>
      </c>
      <c r="O2685" t="s">
        <v>20028</v>
      </c>
      <c r="P2685" t="s">
        <v>19900</v>
      </c>
      <c r="Q2685" t="s">
        <v>19900</v>
      </c>
      <c r="R2685" t="s">
        <v>19447</v>
      </c>
      <c r="S2685" t="s">
        <v>19447</v>
      </c>
      <c r="T2685" t="s">
        <v>19911</v>
      </c>
    </row>
    <row r="2686" spans="2:20" x14ac:dyDescent="0.25">
      <c r="B2686" t="s">
        <v>2709</v>
      </c>
      <c r="C2686">
        <v>29221310</v>
      </c>
      <c r="E2686">
        <v>68.819999999999993</v>
      </c>
      <c r="F2686">
        <v>0</v>
      </c>
      <c r="G2686">
        <v>0</v>
      </c>
      <c r="H2686" t="s">
        <v>19447</v>
      </c>
      <c r="I2686" t="s">
        <v>19447</v>
      </c>
      <c r="J2686">
        <v>14</v>
      </c>
      <c r="L2686" t="s">
        <v>2709</v>
      </c>
      <c r="M2686">
        <v>29221310</v>
      </c>
      <c r="O2686" t="s">
        <v>20028</v>
      </c>
      <c r="P2686" t="s">
        <v>19900</v>
      </c>
      <c r="Q2686" t="s">
        <v>19900</v>
      </c>
      <c r="R2686" t="s">
        <v>19447</v>
      </c>
      <c r="S2686" t="s">
        <v>19447</v>
      </c>
      <c r="T2686" t="s">
        <v>19911</v>
      </c>
    </row>
    <row r="2687" spans="2:20" x14ac:dyDescent="0.25">
      <c r="B2687" t="s">
        <v>2709</v>
      </c>
      <c r="C2687">
        <v>29221320</v>
      </c>
      <c r="E2687">
        <v>68.819999999999993</v>
      </c>
      <c r="F2687">
        <v>0</v>
      </c>
      <c r="G2687">
        <v>0</v>
      </c>
      <c r="H2687" t="s">
        <v>19447</v>
      </c>
      <c r="I2687" t="s">
        <v>19447</v>
      </c>
      <c r="J2687">
        <v>14</v>
      </c>
      <c r="L2687" t="s">
        <v>2709</v>
      </c>
      <c r="M2687">
        <v>29221320</v>
      </c>
      <c r="O2687" t="s">
        <v>20028</v>
      </c>
      <c r="P2687" t="s">
        <v>19900</v>
      </c>
      <c r="Q2687" t="s">
        <v>19900</v>
      </c>
      <c r="R2687" t="s">
        <v>19447</v>
      </c>
      <c r="S2687" t="s">
        <v>19447</v>
      </c>
      <c r="T2687" t="s">
        <v>19911</v>
      </c>
    </row>
    <row r="2688" spans="2:20" x14ac:dyDescent="0.25">
      <c r="B2688" t="s">
        <v>2709</v>
      </c>
      <c r="C2688">
        <v>29221400</v>
      </c>
      <c r="E2688">
        <v>68.819999999999993</v>
      </c>
      <c r="F2688">
        <v>0</v>
      </c>
      <c r="G2688">
        <v>0</v>
      </c>
      <c r="H2688" t="s">
        <v>19447</v>
      </c>
      <c r="I2688" t="s">
        <v>19447</v>
      </c>
      <c r="J2688">
        <v>2</v>
      </c>
      <c r="L2688" t="s">
        <v>2709</v>
      </c>
      <c r="M2688">
        <v>29221400</v>
      </c>
      <c r="O2688" t="s">
        <v>20028</v>
      </c>
      <c r="P2688" t="s">
        <v>19900</v>
      </c>
      <c r="Q2688" t="s">
        <v>19900</v>
      </c>
      <c r="R2688" t="s">
        <v>19447</v>
      </c>
      <c r="S2688" t="s">
        <v>19447</v>
      </c>
      <c r="T2688" t="s">
        <v>19901</v>
      </c>
    </row>
    <row r="2689" spans="2:20" x14ac:dyDescent="0.25">
      <c r="B2689" t="s">
        <v>2709</v>
      </c>
      <c r="C2689">
        <v>29221911</v>
      </c>
      <c r="E2689">
        <v>68.819999999999993</v>
      </c>
      <c r="F2689">
        <v>0</v>
      </c>
      <c r="G2689">
        <v>0</v>
      </c>
      <c r="H2689" t="s">
        <v>19447</v>
      </c>
      <c r="I2689" t="s">
        <v>19447</v>
      </c>
      <c r="J2689">
        <v>2</v>
      </c>
      <c r="L2689" t="s">
        <v>2709</v>
      </c>
      <c r="M2689">
        <v>29221911</v>
      </c>
      <c r="O2689" t="s">
        <v>20028</v>
      </c>
      <c r="P2689" t="s">
        <v>19900</v>
      </c>
      <c r="Q2689" t="s">
        <v>19900</v>
      </c>
      <c r="R2689" t="s">
        <v>19447</v>
      </c>
      <c r="S2689" t="s">
        <v>19447</v>
      </c>
      <c r="T2689" t="s">
        <v>19901</v>
      </c>
    </row>
    <row r="2690" spans="2:20" x14ac:dyDescent="0.25">
      <c r="B2690" t="s">
        <v>2709</v>
      </c>
      <c r="C2690">
        <v>29221912</v>
      </c>
      <c r="E2690">
        <v>68.819999999999993</v>
      </c>
      <c r="F2690">
        <v>0</v>
      </c>
      <c r="G2690">
        <v>0</v>
      </c>
      <c r="H2690" t="s">
        <v>19447</v>
      </c>
      <c r="I2690" t="s">
        <v>19447</v>
      </c>
      <c r="J2690">
        <v>14</v>
      </c>
      <c r="L2690" t="s">
        <v>2709</v>
      </c>
      <c r="M2690">
        <v>29221912</v>
      </c>
      <c r="O2690" t="s">
        <v>20028</v>
      </c>
      <c r="P2690" t="s">
        <v>19900</v>
      </c>
      <c r="Q2690" t="s">
        <v>19900</v>
      </c>
      <c r="R2690" t="s">
        <v>19447</v>
      </c>
      <c r="S2690" t="s">
        <v>19447</v>
      </c>
      <c r="T2690" t="s">
        <v>19911</v>
      </c>
    </row>
    <row r="2691" spans="2:20" x14ac:dyDescent="0.25">
      <c r="B2691" t="s">
        <v>2709</v>
      </c>
      <c r="C2691">
        <v>29221913</v>
      </c>
      <c r="E2691">
        <v>68.819999999999993</v>
      </c>
      <c r="F2691">
        <v>0</v>
      </c>
      <c r="G2691">
        <v>0</v>
      </c>
      <c r="H2691" t="s">
        <v>19447</v>
      </c>
      <c r="I2691" t="s">
        <v>19447</v>
      </c>
      <c r="J2691">
        <v>14</v>
      </c>
      <c r="L2691" t="s">
        <v>2709</v>
      </c>
      <c r="M2691">
        <v>29221913</v>
      </c>
      <c r="O2691" t="s">
        <v>20028</v>
      </c>
      <c r="P2691" t="s">
        <v>19900</v>
      </c>
      <c r="Q2691" t="s">
        <v>19900</v>
      </c>
      <c r="R2691" t="s">
        <v>19447</v>
      </c>
      <c r="S2691" t="s">
        <v>19447</v>
      </c>
      <c r="T2691" t="s">
        <v>19911</v>
      </c>
    </row>
    <row r="2692" spans="2:20" x14ac:dyDescent="0.25">
      <c r="B2692" t="s">
        <v>2709</v>
      </c>
      <c r="C2692">
        <v>29221919</v>
      </c>
      <c r="E2692">
        <v>68.819999999999993</v>
      </c>
      <c r="F2692">
        <v>0</v>
      </c>
      <c r="G2692">
        <v>0</v>
      </c>
      <c r="H2692" t="s">
        <v>19447</v>
      </c>
      <c r="I2692" t="s">
        <v>19447</v>
      </c>
      <c r="J2692">
        <v>2</v>
      </c>
      <c r="L2692" t="s">
        <v>2709</v>
      </c>
      <c r="M2692">
        <v>29221919</v>
      </c>
      <c r="O2692" t="s">
        <v>20028</v>
      </c>
      <c r="P2692" t="s">
        <v>19900</v>
      </c>
      <c r="Q2692" t="s">
        <v>19900</v>
      </c>
      <c r="R2692" t="s">
        <v>19447</v>
      </c>
      <c r="S2692" t="s">
        <v>19447</v>
      </c>
      <c r="T2692" t="s">
        <v>19901</v>
      </c>
    </row>
    <row r="2693" spans="2:20" x14ac:dyDescent="0.25">
      <c r="B2693" t="s">
        <v>2709</v>
      </c>
      <c r="C2693">
        <v>29221921</v>
      </c>
      <c r="E2693">
        <v>68.819999999999993</v>
      </c>
      <c r="F2693">
        <v>0</v>
      </c>
      <c r="G2693">
        <v>0</v>
      </c>
      <c r="H2693" t="s">
        <v>19447</v>
      </c>
      <c r="I2693" t="s">
        <v>19447</v>
      </c>
      <c r="J2693">
        <v>14</v>
      </c>
      <c r="L2693" t="s">
        <v>2709</v>
      </c>
      <c r="M2693">
        <v>29221921</v>
      </c>
      <c r="O2693" t="s">
        <v>20028</v>
      </c>
      <c r="P2693" t="s">
        <v>19900</v>
      </c>
      <c r="Q2693" t="s">
        <v>19900</v>
      </c>
      <c r="R2693" t="s">
        <v>19447</v>
      </c>
      <c r="S2693" t="s">
        <v>19447</v>
      </c>
      <c r="T2693" t="s">
        <v>19911</v>
      </c>
    </row>
    <row r="2694" spans="2:20" x14ac:dyDescent="0.25">
      <c r="B2694" t="s">
        <v>2709</v>
      </c>
      <c r="C2694">
        <v>29221929</v>
      </c>
      <c r="E2694">
        <v>68.819999999999993</v>
      </c>
      <c r="F2694">
        <v>0</v>
      </c>
      <c r="G2694">
        <v>0</v>
      </c>
      <c r="H2694" t="s">
        <v>19447</v>
      </c>
      <c r="I2694" t="s">
        <v>19447</v>
      </c>
      <c r="J2694">
        <v>2</v>
      </c>
      <c r="L2694" t="s">
        <v>2709</v>
      </c>
      <c r="M2694">
        <v>29221929</v>
      </c>
      <c r="O2694" t="s">
        <v>20028</v>
      </c>
      <c r="P2694" t="s">
        <v>19900</v>
      </c>
      <c r="Q2694" t="s">
        <v>19900</v>
      </c>
      <c r="R2694" t="s">
        <v>19447</v>
      </c>
      <c r="S2694" t="s">
        <v>19447</v>
      </c>
      <c r="T2694" t="s">
        <v>19901</v>
      </c>
    </row>
    <row r="2695" spans="2:20" x14ac:dyDescent="0.25">
      <c r="B2695" t="s">
        <v>2709</v>
      </c>
      <c r="C2695">
        <v>29221931</v>
      </c>
      <c r="E2695">
        <v>68.819999999999993</v>
      </c>
      <c r="F2695">
        <v>0</v>
      </c>
      <c r="G2695">
        <v>0</v>
      </c>
      <c r="H2695" t="s">
        <v>19447</v>
      </c>
      <c r="I2695" t="s">
        <v>19447</v>
      </c>
      <c r="J2695">
        <v>2</v>
      </c>
      <c r="L2695" t="s">
        <v>2709</v>
      </c>
      <c r="M2695">
        <v>29221931</v>
      </c>
      <c r="O2695" t="s">
        <v>20028</v>
      </c>
      <c r="P2695" t="s">
        <v>19900</v>
      </c>
      <c r="Q2695" t="s">
        <v>19900</v>
      </c>
      <c r="R2695" t="s">
        <v>19447</v>
      </c>
      <c r="S2695" t="s">
        <v>19447</v>
      </c>
      <c r="T2695" t="s">
        <v>19901</v>
      </c>
    </row>
    <row r="2696" spans="2:20" x14ac:dyDescent="0.25">
      <c r="B2696" t="s">
        <v>2709</v>
      </c>
      <c r="C2696">
        <v>29221939</v>
      </c>
      <c r="E2696">
        <v>68.819999999999993</v>
      </c>
      <c r="F2696">
        <v>0</v>
      </c>
      <c r="G2696">
        <v>0</v>
      </c>
      <c r="H2696" t="s">
        <v>19447</v>
      </c>
      <c r="I2696" t="s">
        <v>19447</v>
      </c>
      <c r="J2696">
        <v>2</v>
      </c>
      <c r="L2696" t="s">
        <v>2709</v>
      </c>
      <c r="M2696">
        <v>29221939</v>
      </c>
      <c r="O2696" t="s">
        <v>20028</v>
      </c>
      <c r="P2696" t="s">
        <v>19900</v>
      </c>
      <c r="Q2696" t="s">
        <v>19900</v>
      </c>
      <c r="R2696" t="s">
        <v>19447</v>
      </c>
      <c r="S2696" t="s">
        <v>19447</v>
      </c>
      <c r="T2696" t="s">
        <v>19901</v>
      </c>
    </row>
    <row r="2697" spans="2:20" x14ac:dyDescent="0.25">
      <c r="B2697" t="s">
        <v>2709</v>
      </c>
      <c r="C2697">
        <v>29221941</v>
      </c>
      <c r="E2697">
        <v>68.819999999999993</v>
      </c>
      <c r="F2697">
        <v>0</v>
      </c>
      <c r="G2697">
        <v>0</v>
      </c>
      <c r="H2697" t="s">
        <v>19447</v>
      </c>
      <c r="I2697" t="s">
        <v>19447</v>
      </c>
      <c r="J2697">
        <v>2</v>
      </c>
      <c r="L2697" t="s">
        <v>2709</v>
      </c>
      <c r="M2697">
        <v>29221941</v>
      </c>
      <c r="O2697" t="s">
        <v>20028</v>
      </c>
      <c r="P2697" t="s">
        <v>19900</v>
      </c>
      <c r="Q2697" t="s">
        <v>19900</v>
      </c>
      <c r="R2697" t="s">
        <v>19447</v>
      </c>
      <c r="S2697" t="s">
        <v>19447</v>
      </c>
      <c r="T2697" t="s">
        <v>19901</v>
      </c>
    </row>
    <row r="2698" spans="2:20" x14ac:dyDescent="0.25">
      <c r="B2698" t="s">
        <v>2709</v>
      </c>
      <c r="C2698">
        <v>29221949</v>
      </c>
      <c r="E2698">
        <v>68.819999999999993</v>
      </c>
      <c r="F2698">
        <v>0</v>
      </c>
      <c r="G2698">
        <v>0</v>
      </c>
      <c r="H2698" t="s">
        <v>19447</v>
      </c>
      <c r="I2698" t="s">
        <v>19447</v>
      </c>
      <c r="J2698">
        <v>2</v>
      </c>
      <c r="L2698" t="s">
        <v>2709</v>
      </c>
      <c r="M2698">
        <v>29221949</v>
      </c>
      <c r="O2698" t="s">
        <v>20028</v>
      </c>
      <c r="P2698" t="s">
        <v>19900</v>
      </c>
      <c r="Q2698" t="s">
        <v>19900</v>
      </c>
      <c r="R2698" t="s">
        <v>19447</v>
      </c>
      <c r="S2698" t="s">
        <v>19447</v>
      </c>
      <c r="T2698" t="s">
        <v>19901</v>
      </c>
    </row>
    <row r="2699" spans="2:20" x14ac:dyDescent="0.25">
      <c r="B2699" t="s">
        <v>2709</v>
      </c>
      <c r="C2699">
        <v>29221951</v>
      </c>
      <c r="E2699">
        <v>68.819999999999993</v>
      </c>
      <c r="F2699">
        <v>0</v>
      </c>
      <c r="G2699">
        <v>0</v>
      </c>
      <c r="H2699" t="s">
        <v>19447</v>
      </c>
      <c r="I2699" t="s">
        <v>19447</v>
      </c>
      <c r="J2699">
        <v>2</v>
      </c>
      <c r="L2699" t="s">
        <v>2709</v>
      </c>
      <c r="M2699">
        <v>29221951</v>
      </c>
      <c r="O2699" t="s">
        <v>20028</v>
      </c>
      <c r="P2699" t="s">
        <v>19900</v>
      </c>
      <c r="Q2699" t="s">
        <v>19900</v>
      </c>
      <c r="R2699" t="s">
        <v>19447</v>
      </c>
      <c r="S2699" t="s">
        <v>19447</v>
      </c>
      <c r="T2699" t="s">
        <v>19901</v>
      </c>
    </row>
    <row r="2700" spans="2:20" x14ac:dyDescent="0.25">
      <c r="B2700" t="s">
        <v>2709</v>
      </c>
      <c r="C2700">
        <v>29221952</v>
      </c>
      <c r="E2700">
        <v>68.819999999999993</v>
      </c>
      <c r="F2700">
        <v>0</v>
      </c>
      <c r="G2700">
        <v>0</v>
      </c>
      <c r="H2700" t="s">
        <v>19447</v>
      </c>
      <c r="I2700" t="s">
        <v>19447</v>
      </c>
      <c r="J2700">
        <v>2</v>
      </c>
      <c r="L2700" t="s">
        <v>2709</v>
      </c>
      <c r="M2700">
        <v>29221952</v>
      </c>
      <c r="O2700" t="s">
        <v>20028</v>
      </c>
      <c r="P2700" t="s">
        <v>19900</v>
      </c>
      <c r="Q2700" t="s">
        <v>19900</v>
      </c>
      <c r="R2700" t="s">
        <v>19447</v>
      </c>
      <c r="S2700" t="s">
        <v>19447</v>
      </c>
      <c r="T2700" t="s">
        <v>19901</v>
      </c>
    </row>
    <row r="2701" spans="2:20" x14ac:dyDescent="0.25">
      <c r="B2701" t="s">
        <v>2709</v>
      </c>
      <c r="C2701">
        <v>29221959</v>
      </c>
      <c r="E2701">
        <v>68.819999999999993</v>
      </c>
      <c r="F2701">
        <v>0</v>
      </c>
      <c r="G2701">
        <v>0</v>
      </c>
      <c r="H2701" t="s">
        <v>19447</v>
      </c>
      <c r="I2701" t="s">
        <v>19447</v>
      </c>
      <c r="J2701">
        <v>2</v>
      </c>
      <c r="L2701" t="s">
        <v>2709</v>
      </c>
      <c r="M2701">
        <v>29221959</v>
      </c>
      <c r="O2701" t="s">
        <v>20028</v>
      </c>
      <c r="P2701" t="s">
        <v>19900</v>
      </c>
      <c r="Q2701" t="s">
        <v>19900</v>
      </c>
      <c r="R2701" t="s">
        <v>19447</v>
      </c>
      <c r="S2701" t="s">
        <v>19447</v>
      </c>
      <c r="T2701" t="s">
        <v>19901</v>
      </c>
    </row>
    <row r="2702" spans="2:20" x14ac:dyDescent="0.25">
      <c r="B2702" t="s">
        <v>2709</v>
      </c>
      <c r="C2702">
        <v>29221961</v>
      </c>
      <c r="E2702">
        <v>68.819999999999993</v>
      </c>
      <c r="F2702">
        <v>0</v>
      </c>
      <c r="G2702">
        <v>0</v>
      </c>
      <c r="H2702" t="s">
        <v>19447</v>
      </c>
      <c r="I2702" t="s">
        <v>19447</v>
      </c>
      <c r="J2702">
        <v>2</v>
      </c>
      <c r="L2702" t="s">
        <v>2709</v>
      </c>
      <c r="M2702">
        <v>29221961</v>
      </c>
      <c r="O2702" t="s">
        <v>20028</v>
      </c>
      <c r="P2702" t="s">
        <v>19900</v>
      </c>
      <c r="Q2702" t="s">
        <v>19900</v>
      </c>
      <c r="R2702" t="s">
        <v>19447</v>
      </c>
      <c r="S2702" t="s">
        <v>19447</v>
      </c>
      <c r="T2702" t="s">
        <v>19901</v>
      </c>
    </row>
    <row r="2703" spans="2:20" x14ac:dyDescent="0.25">
      <c r="B2703" t="s">
        <v>2709</v>
      </c>
      <c r="C2703">
        <v>29221962</v>
      </c>
      <c r="E2703">
        <v>68.819999999999993</v>
      </c>
      <c r="F2703">
        <v>0</v>
      </c>
      <c r="G2703">
        <v>0</v>
      </c>
      <c r="H2703" t="s">
        <v>19447</v>
      </c>
      <c r="I2703" t="s">
        <v>19447</v>
      </c>
      <c r="J2703">
        <v>2</v>
      </c>
      <c r="L2703" t="s">
        <v>2709</v>
      </c>
      <c r="M2703">
        <v>29221962</v>
      </c>
      <c r="O2703" t="s">
        <v>20028</v>
      </c>
      <c r="P2703" t="s">
        <v>19900</v>
      </c>
      <c r="Q2703" t="s">
        <v>19900</v>
      </c>
      <c r="R2703" t="s">
        <v>19447</v>
      </c>
      <c r="S2703" t="s">
        <v>19447</v>
      </c>
      <c r="T2703" t="s">
        <v>19901</v>
      </c>
    </row>
    <row r="2704" spans="2:20" x14ac:dyDescent="0.25">
      <c r="B2704" t="s">
        <v>2709</v>
      </c>
      <c r="C2704">
        <v>29221969</v>
      </c>
      <c r="E2704">
        <v>68.819999999999993</v>
      </c>
      <c r="F2704">
        <v>0</v>
      </c>
      <c r="G2704">
        <v>0</v>
      </c>
      <c r="H2704" t="s">
        <v>19447</v>
      </c>
      <c r="I2704" t="s">
        <v>19447</v>
      </c>
      <c r="J2704">
        <v>2</v>
      </c>
      <c r="L2704" t="s">
        <v>2709</v>
      </c>
      <c r="M2704">
        <v>29221969</v>
      </c>
      <c r="O2704" t="s">
        <v>20028</v>
      </c>
      <c r="P2704" t="s">
        <v>19900</v>
      </c>
      <c r="Q2704" t="s">
        <v>19900</v>
      </c>
      <c r="R2704" t="s">
        <v>19447</v>
      </c>
      <c r="S2704" t="s">
        <v>19447</v>
      </c>
      <c r="T2704" t="s">
        <v>19901</v>
      </c>
    </row>
    <row r="2705" spans="2:20" x14ac:dyDescent="0.25">
      <c r="B2705" t="s">
        <v>2709</v>
      </c>
      <c r="C2705">
        <v>29221991</v>
      </c>
      <c r="E2705">
        <v>68.819999999999993</v>
      </c>
      <c r="F2705">
        <v>0</v>
      </c>
      <c r="G2705">
        <v>0</v>
      </c>
      <c r="H2705" t="s">
        <v>19447</v>
      </c>
      <c r="I2705" t="s">
        <v>19447</v>
      </c>
      <c r="J2705">
        <v>2</v>
      </c>
      <c r="L2705" t="s">
        <v>2709</v>
      </c>
      <c r="M2705">
        <v>29221991</v>
      </c>
      <c r="O2705" t="s">
        <v>20028</v>
      </c>
      <c r="P2705" t="s">
        <v>19900</v>
      </c>
      <c r="Q2705" t="s">
        <v>19900</v>
      </c>
      <c r="R2705" t="s">
        <v>19447</v>
      </c>
      <c r="S2705" t="s">
        <v>19447</v>
      </c>
      <c r="T2705" t="s">
        <v>19901</v>
      </c>
    </row>
    <row r="2706" spans="2:20" x14ac:dyDescent="0.25">
      <c r="B2706" t="s">
        <v>2709</v>
      </c>
      <c r="C2706">
        <v>29221992</v>
      </c>
      <c r="E2706">
        <v>68.819999999999993</v>
      </c>
      <c r="F2706">
        <v>0</v>
      </c>
      <c r="G2706">
        <v>0</v>
      </c>
      <c r="H2706" t="s">
        <v>19447</v>
      </c>
      <c r="I2706" t="s">
        <v>19447</v>
      </c>
      <c r="J2706">
        <v>2</v>
      </c>
      <c r="L2706" t="s">
        <v>2709</v>
      </c>
      <c r="M2706">
        <v>29221992</v>
      </c>
      <c r="O2706" t="s">
        <v>20028</v>
      </c>
      <c r="P2706" t="s">
        <v>19900</v>
      </c>
      <c r="Q2706" t="s">
        <v>19900</v>
      </c>
      <c r="R2706" t="s">
        <v>19447</v>
      </c>
      <c r="S2706" t="s">
        <v>19447</v>
      </c>
      <c r="T2706" t="s">
        <v>19901</v>
      </c>
    </row>
    <row r="2707" spans="2:20" x14ac:dyDescent="0.25">
      <c r="B2707" t="s">
        <v>2709</v>
      </c>
      <c r="C2707">
        <v>29221993</v>
      </c>
      <c r="E2707">
        <v>68.819999999999993</v>
      </c>
      <c r="F2707">
        <v>0</v>
      </c>
      <c r="G2707">
        <v>0</v>
      </c>
      <c r="H2707" t="s">
        <v>19447</v>
      </c>
      <c r="I2707" t="s">
        <v>19447</v>
      </c>
      <c r="J2707">
        <v>14</v>
      </c>
      <c r="L2707" t="s">
        <v>2709</v>
      </c>
      <c r="M2707">
        <v>29221993</v>
      </c>
      <c r="O2707" t="s">
        <v>20028</v>
      </c>
      <c r="P2707" t="s">
        <v>19900</v>
      </c>
      <c r="Q2707" t="s">
        <v>19900</v>
      </c>
      <c r="R2707" t="s">
        <v>19447</v>
      </c>
      <c r="S2707" t="s">
        <v>19447</v>
      </c>
      <c r="T2707" t="s">
        <v>19911</v>
      </c>
    </row>
    <row r="2708" spans="2:20" x14ac:dyDescent="0.25">
      <c r="B2708" t="s">
        <v>2709</v>
      </c>
      <c r="C2708">
        <v>29221994</v>
      </c>
      <c r="E2708">
        <v>68.819999999999993</v>
      </c>
      <c r="F2708">
        <v>0</v>
      </c>
      <c r="G2708">
        <v>0</v>
      </c>
      <c r="H2708" t="s">
        <v>19447</v>
      </c>
      <c r="I2708" t="s">
        <v>19447</v>
      </c>
      <c r="J2708">
        <v>14</v>
      </c>
      <c r="L2708" t="s">
        <v>2709</v>
      </c>
      <c r="M2708">
        <v>29221994</v>
      </c>
      <c r="O2708" t="s">
        <v>20028</v>
      </c>
      <c r="P2708" t="s">
        <v>19900</v>
      </c>
      <c r="Q2708" t="s">
        <v>19900</v>
      </c>
      <c r="R2708" t="s">
        <v>19447</v>
      </c>
      <c r="S2708" t="s">
        <v>19447</v>
      </c>
      <c r="T2708" t="s">
        <v>19911</v>
      </c>
    </row>
    <row r="2709" spans="2:20" x14ac:dyDescent="0.25">
      <c r="B2709" t="s">
        <v>2709</v>
      </c>
      <c r="C2709">
        <v>29221995</v>
      </c>
      <c r="E2709">
        <v>68.819999999999993</v>
      </c>
      <c r="F2709">
        <v>0</v>
      </c>
      <c r="G2709">
        <v>0</v>
      </c>
      <c r="H2709" t="s">
        <v>19447</v>
      </c>
      <c r="I2709" t="s">
        <v>19447</v>
      </c>
      <c r="J2709">
        <v>14</v>
      </c>
      <c r="L2709" t="s">
        <v>2709</v>
      </c>
      <c r="M2709">
        <v>29221995</v>
      </c>
      <c r="O2709" t="s">
        <v>20028</v>
      </c>
      <c r="P2709" t="s">
        <v>19900</v>
      </c>
      <c r="Q2709" t="s">
        <v>19900</v>
      </c>
      <c r="R2709" t="s">
        <v>19447</v>
      </c>
      <c r="S2709" t="s">
        <v>19447</v>
      </c>
      <c r="T2709" t="s">
        <v>19911</v>
      </c>
    </row>
    <row r="2710" spans="2:20" x14ac:dyDescent="0.25">
      <c r="B2710" t="s">
        <v>2709</v>
      </c>
      <c r="C2710">
        <v>29221999</v>
      </c>
      <c r="E2710">
        <v>68.819999999999993</v>
      </c>
      <c r="F2710">
        <v>0</v>
      </c>
      <c r="G2710">
        <v>0</v>
      </c>
      <c r="H2710" t="s">
        <v>19447</v>
      </c>
      <c r="I2710" t="s">
        <v>19447</v>
      </c>
      <c r="J2710">
        <v>2</v>
      </c>
      <c r="L2710" t="s">
        <v>2709</v>
      </c>
      <c r="M2710">
        <v>29221999</v>
      </c>
      <c r="O2710" t="s">
        <v>20028</v>
      </c>
      <c r="P2710" t="s">
        <v>19900</v>
      </c>
      <c r="Q2710" t="s">
        <v>19900</v>
      </c>
      <c r="R2710" t="s">
        <v>19447</v>
      </c>
      <c r="S2710" t="s">
        <v>19447</v>
      </c>
      <c r="T2710" t="s">
        <v>19901</v>
      </c>
    </row>
    <row r="2711" spans="2:20" x14ac:dyDescent="0.25">
      <c r="B2711" t="s">
        <v>2709</v>
      </c>
      <c r="C2711">
        <v>29222100</v>
      </c>
      <c r="E2711">
        <v>68.819999999999993</v>
      </c>
      <c r="F2711">
        <v>0</v>
      </c>
      <c r="G2711">
        <v>0</v>
      </c>
      <c r="H2711" t="s">
        <v>19447</v>
      </c>
      <c r="I2711" t="s">
        <v>19447</v>
      </c>
      <c r="J2711">
        <v>2</v>
      </c>
      <c r="L2711" t="s">
        <v>2709</v>
      </c>
      <c r="M2711">
        <v>29222100</v>
      </c>
      <c r="O2711" t="s">
        <v>20028</v>
      </c>
      <c r="P2711" t="s">
        <v>19900</v>
      </c>
      <c r="Q2711" t="s">
        <v>19900</v>
      </c>
      <c r="R2711" t="s">
        <v>19447</v>
      </c>
      <c r="S2711" t="s">
        <v>19447</v>
      </c>
      <c r="T2711" t="s">
        <v>19901</v>
      </c>
    </row>
    <row r="2712" spans="2:20" x14ac:dyDescent="0.25">
      <c r="B2712" t="s">
        <v>2709</v>
      </c>
      <c r="C2712">
        <v>29222911</v>
      </c>
      <c r="E2712">
        <v>68.819999999999993</v>
      </c>
      <c r="F2712">
        <v>0</v>
      </c>
      <c r="G2712">
        <v>0</v>
      </c>
      <c r="H2712" t="s">
        <v>19447</v>
      </c>
      <c r="I2712" t="s">
        <v>19447</v>
      </c>
      <c r="J2712">
        <v>2</v>
      </c>
      <c r="L2712" t="s">
        <v>2709</v>
      </c>
      <c r="M2712">
        <v>29222911</v>
      </c>
      <c r="O2712" t="s">
        <v>20028</v>
      </c>
      <c r="P2712" t="s">
        <v>19900</v>
      </c>
      <c r="Q2712" t="s">
        <v>19900</v>
      </c>
      <c r="R2712" t="s">
        <v>19447</v>
      </c>
      <c r="S2712" t="s">
        <v>19447</v>
      </c>
      <c r="T2712" t="s">
        <v>19901</v>
      </c>
    </row>
    <row r="2713" spans="2:20" x14ac:dyDescent="0.25">
      <c r="B2713" t="s">
        <v>2709</v>
      </c>
      <c r="C2713">
        <v>29222919</v>
      </c>
      <c r="E2713">
        <v>68.819999999999993</v>
      </c>
      <c r="F2713">
        <v>0</v>
      </c>
      <c r="G2713">
        <v>0</v>
      </c>
      <c r="H2713" t="s">
        <v>19447</v>
      </c>
      <c r="I2713" t="s">
        <v>19447</v>
      </c>
      <c r="J2713">
        <v>2</v>
      </c>
      <c r="L2713" t="s">
        <v>2709</v>
      </c>
      <c r="M2713">
        <v>29222919</v>
      </c>
      <c r="O2713" t="s">
        <v>20028</v>
      </c>
      <c r="P2713" t="s">
        <v>19900</v>
      </c>
      <c r="Q2713" t="s">
        <v>19900</v>
      </c>
      <c r="R2713" t="s">
        <v>19447</v>
      </c>
      <c r="S2713" t="s">
        <v>19447</v>
      </c>
      <c r="T2713" t="s">
        <v>19901</v>
      </c>
    </row>
    <row r="2714" spans="2:20" x14ac:dyDescent="0.25">
      <c r="B2714" t="s">
        <v>2709</v>
      </c>
      <c r="C2714">
        <v>29222920</v>
      </c>
      <c r="E2714">
        <v>68.819999999999993</v>
      </c>
      <c r="F2714">
        <v>0</v>
      </c>
      <c r="G2714">
        <v>0</v>
      </c>
      <c r="H2714" t="s">
        <v>19447</v>
      </c>
      <c r="I2714" t="s">
        <v>19447</v>
      </c>
      <c r="J2714">
        <v>2</v>
      </c>
      <c r="L2714" t="s">
        <v>2709</v>
      </c>
      <c r="M2714">
        <v>29222920</v>
      </c>
      <c r="O2714" t="s">
        <v>20028</v>
      </c>
      <c r="P2714" t="s">
        <v>19900</v>
      </c>
      <c r="Q2714" t="s">
        <v>19900</v>
      </c>
      <c r="R2714" t="s">
        <v>19447</v>
      </c>
      <c r="S2714" t="s">
        <v>19447</v>
      </c>
      <c r="T2714" t="s">
        <v>19901</v>
      </c>
    </row>
    <row r="2715" spans="2:20" x14ac:dyDescent="0.25">
      <c r="B2715" t="s">
        <v>2709</v>
      </c>
      <c r="C2715">
        <v>29222990</v>
      </c>
      <c r="E2715">
        <v>68.819999999999993</v>
      </c>
      <c r="F2715">
        <v>0</v>
      </c>
      <c r="G2715">
        <v>0</v>
      </c>
      <c r="H2715" t="s">
        <v>19447</v>
      </c>
      <c r="I2715" t="s">
        <v>19447</v>
      </c>
      <c r="J2715">
        <v>2</v>
      </c>
      <c r="L2715" t="s">
        <v>2709</v>
      </c>
      <c r="M2715">
        <v>29222990</v>
      </c>
      <c r="O2715" t="s">
        <v>20028</v>
      </c>
      <c r="P2715" t="s">
        <v>19900</v>
      </c>
      <c r="Q2715" t="s">
        <v>19900</v>
      </c>
      <c r="R2715" t="s">
        <v>19447</v>
      </c>
      <c r="S2715" t="s">
        <v>19447</v>
      </c>
      <c r="T2715" t="s">
        <v>19901</v>
      </c>
    </row>
    <row r="2716" spans="2:20" x14ac:dyDescent="0.25">
      <c r="B2716" t="s">
        <v>2709</v>
      </c>
      <c r="C2716">
        <v>29223111</v>
      </c>
      <c r="E2716">
        <v>68.819999999999993</v>
      </c>
      <c r="F2716">
        <v>0</v>
      </c>
      <c r="G2716">
        <v>0</v>
      </c>
      <c r="H2716" t="s">
        <v>19447</v>
      </c>
      <c r="I2716" t="s">
        <v>19447</v>
      </c>
      <c r="J2716">
        <v>14</v>
      </c>
      <c r="L2716" t="s">
        <v>2709</v>
      </c>
      <c r="M2716">
        <v>29223111</v>
      </c>
      <c r="O2716" t="s">
        <v>20028</v>
      </c>
      <c r="P2716" t="s">
        <v>19900</v>
      </c>
      <c r="Q2716" t="s">
        <v>19900</v>
      </c>
      <c r="R2716" t="s">
        <v>19447</v>
      </c>
      <c r="S2716" t="s">
        <v>19447</v>
      </c>
      <c r="T2716" t="s">
        <v>19911</v>
      </c>
    </row>
    <row r="2717" spans="2:20" x14ac:dyDescent="0.25">
      <c r="B2717" t="s">
        <v>2709</v>
      </c>
      <c r="C2717">
        <v>29223112</v>
      </c>
      <c r="E2717">
        <v>68.819999999999993</v>
      </c>
      <c r="F2717">
        <v>0</v>
      </c>
      <c r="G2717">
        <v>0</v>
      </c>
      <c r="H2717" t="s">
        <v>19447</v>
      </c>
      <c r="I2717" t="s">
        <v>19447</v>
      </c>
      <c r="J2717">
        <v>2</v>
      </c>
      <c r="L2717" t="s">
        <v>2709</v>
      </c>
      <c r="M2717">
        <v>29223112</v>
      </c>
      <c r="O2717" t="s">
        <v>20028</v>
      </c>
      <c r="P2717" t="s">
        <v>19900</v>
      </c>
      <c r="Q2717" t="s">
        <v>19900</v>
      </c>
      <c r="R2717" t="s">
        <v>19447</v>
      </c>
      <c r="S2717" t="s">
        <v>19447</v>
      </c>
      <c r="T2717" t="s">
        <v>19901</v>
      </c>
    </row>
    <row r="2718" spans="2:20" x14ac:dyDescent="0.25">
      <c r="B2718" t="s">
        <v>2709</v>
      </c>
      <c r="C2718">
        <v>29223120</v>
      </c>
      <c r="E2718">
        <v>68.819999999999993</v>
      </c>
      <c r="F2718">
        <v>0</v>
      </c>
      <c r="G2718">
        <v>0</v>
      </c>
      <c r="H2718" t="s">
        <v>19447</v>
      </c>
      <c r="I2718" t="s">
        <v>19447</v>
      </c>
      <c r="J2718">
        <v>2</v>
      </c>
      <c r="L2718" t="s">
        <v>2709</v>
      </c>
      <c r="M2718">
        <v>29223120</v>
      </c>
      <c r="O2718" t="s">
        <v>20028</v>
      </c>
      <c r="P2718" t="s">
        <v>19900</v>
      </c>
      <c r="Q2718" t="s">
        <v>19900</v>
      </c>
      <c r="R2718" t="s">
        <v>19447</v>
      </c>
      <c r="S2718" t="s">
        <v>19447</v>
      </c>
      <c r="T2718" t="s">
        <v>19901</v>
      </c>
    </row>
    <row r="2719" spans="2:20" x14ac:dyDescent="0.25">
      <c r="B2719" t="s">
        <v>2709</v>
      </c>
      <c r="C2719">
        <v>29223130</v>
      </c>
      <c r="E2719">
        <v>68.819999999999993</v>
      </c>
      <c r="F2719">
        <v>0</v>
      </c>
      <c r="G2719">
        <v>0</v>
      </c>
      <c r="H2719" t="s">
        <v>19447</v>
      </c>
      <c r="I2719" t="s">
        <v>19447</v>
      </c>
      <c r="J2719">
        <v>2</v>
      </c>
      <c r="L2719" t="s">
        <v>2709</v>
      </c>
      <c r="M2719">
        <v>29223130</v>
      </c>
      <c r="O2719" t="s">
        <v>20028</v>
      </c>
      <c r="P2719" t="s">
        <v>19900</v>
      </c>
      <c r="Q2719" t="s">
        <v>19900</v>
      </c>
      <c r="R2719" t="s">
        <v>19447</v>
      </c>
      <c r="S2719" t="s">
        <v>19447</v>
      </c>
      <c r="T2719" t="s">
        <v>19901</v>
      </c>
    </row>
    <row r="2720" spans="2:20" x14ac:dyDescent="0.25">
      <c r="B2720" t="s">
        <v>2709</v>
      </c>
      <c r="C2720">
        <v>29223910</v>
      </c>
      <c r="E2720">
        <v>68.819999999999993</v>
      </c>
      <c r="F2720">
        <v>0</v>
      </c>
      <c r="G2720">
        <v>0</v>
      </c>
      <c r="H2720" t="s">
        <v>19447</v>
      </c>
      <c r="I2720" t="s">
        <v>19447</v>
      </c>
      <c r="J2720">
        <v>2</v>
      </c>
      <c r="L2720" t="s">
        <v>2709</v>
      </c>
      <c r="M2720">
        <v>29223910</v>
      </c>
      <c r="O2720" t="s">
        <v>20028</v>
      </c>
      <c r="P2720" t="s">
        <v>19900</v>
      </c>
      <c r="Q2720" t="s">
        <v>19900</v>
      </c>
      <c r="R2720" t="s">
        <v>19447</v>
      </c>
      <c r="S2720" t="s">
        <v>19447</v>
      </c>
      <c r="T2720" t="s">
        <v>19901</v>
      </c>
    </row>
    <row r="2721" spans="2:20" x14ac:dyDescent="0.25">
      <c r="B2721" t="s">
        <v>2709</v>
      </c>
      <c r="C2721">
        <v>29223921</v>
      </c>
      <c r="E2721">
        <v>68.819999999999993</v>
      </c>
      <c r="F2721">
        <v>0</v>
      </c>
      <c r="G2721">
        <v>0</v>
      </c>
      <c r="H2721" t="s">
        <v>19447</v>
      </c>
      <c r="I2721" t="s">
        <v>19447</v>
      </c>
      <c r="J2721">
        <v>12</v>
      </c>
      <c r="L2721" t="s">
        <v>2709</v>
      </c>
      <c r="M2721">
        <v>29223921</v>
      </c>
      <c r="O2721" t="s">
        <v>20028</v>
      </c>
      <c r="P2721" t="s">
        <v>19900</v>
      </c>
      <c r="Q2721" t="s">
        <v>19900</v>
      </c>
      <c r="R2721" t="s">
        <v>19447</v>
      </c>
      <c r="S2721" t="s">
        <v>19447</v>
      </c>
      <c r="T2721" t="s">
        <v>19903</v>
      </c>
    </row>
    <row r="2722" spans="2:20" x14ac:dyDescent="0.25">
      <c r="B2722" t="s">
        <v>2709</v>
      </c>
      <c r="C2722">
        <v>29223929</v>
      </c>
      <c r="E2722">
        <v>68.819999999999993</v>
      </c>
      <c r="F2722">
        <v>0</v>
      </c>
      <c r="G2722">
        <v>0</v>
      </c>
      <c r="H2722" t="s">
        <v>19447</v>
      </c>
      <c r="I2722" t="s">
        <v>19447</v>
      </c>
      <c r="J2722">
        <v>2</v>
      </c>
      <c r="L2722" t="s">
        <v>2709</v>
      </c>
      <c r="M2722">
        <v>29223929</v>
      </c>
      <c r="O2722" t="s">
        <v>20028</v>
      </c>
      <c r="P2722" t="s">
        <v>19900</v>
      </c>
      <c r="Q2722" t="s">
        <v>19900</v>
      </c>
      <c r="R2722" t="s">
        <v>19447</v>
      </c>
      <c r="S2722" t="s">
        <v>19447</v>
      </c>
      <c r="T2722" t="s">
        <v>19901</v>
      </c>
    </row>
    <row r="2723" spans="2:20" x14ac:dyDescent="0.25">
      <c r="B2723" t="s">
        <v>2709</v>
      </c>
      <c r="C2723">
        <v>29223990</v>
      </c>
      <c r="E2723">
        <v>68.819999999999993</v>
      </c>
      <c r="F2723">
        <v>0</v>
      </c>
      <c r="G2723">
        <v>0</v>
      </c>
      <c r="H2723" t="s">
        <v>19447</v>
      </c>
      <c r="I2723" t="s">
        <v>19447</v>
      </c>
      <c r="J2723">
        <v>2</v>
      </c>
      <c r="L2723" t="s">
        <v>2709</v>
      </c>
      <c r="M2723">
        <v>29223990</v>
      </c>
      <c r="O2723" t="s">
        <v>20028</v>
      </c>
      <c r="P2723" t="s">
        <v>19900</v>
      </c>
      <c r="Q2723" t="s">
        <v>19900</v>
      </c>
      <c r="R2723" t="s">
        <v>19447</v>
      </c>
      <c r="S2723" t="s">
        <v>19447</v>
      </c>
      <c r="T2723" t="s">
        <v>19901</v>
      </c>
    </row>
    <row r="2724" spans="2:20" x14ac:dyDescent="0.25">
      <c r="B2724" t="s">
        <v>2709</v>
      </c>
      <c r="C2724">
        <v>29224110</v>
      </c>
      <c r="E2724">
        <v>68.819999999999993</v>
      </c>
      <c r="F2724">
        <v>0</v>
      </c>
      <c r="G2724">
        <v>0</v>
      </c>
      <c r="H2724" t="s">
        <v>19447</v>
      </c>
      <c r="I2724" t="s">
        <v>19447</v>
      </c>
      <c r="J2724">
        <v>12</v>
      </c>
      <c r="L2724" t="s">
        <v>2709</v>
      </c>
      <c r="M2724">
        <v>29224110</v>
      </c>
      <c r="O2724" t="s">
        <v>20028</v>
      </c>
      <c r="P2724" t="s">
        <v>19900</v>
      </c>
      <c r="Q2724" t="s">
        <v>19900</v>
      </c>
      <c r="R2724" t="s">
        <v>19447</v>
      </c>
      <c r="S2724" t="s">
        <v>19447</v>
      </c>
      <c r="T2724" t="s">
        <v>19903</v>
      </c>
    </row>
    <row r="2725" spans="2:20" x14ac:dyDescent="0.25">
      <c r="B2725" t="s">
        <v>2709</v>
      </c>
      <c r="C2725">
        <v>29224190</v>
      </c>
      <c r="E2725">
        <v>68.819999999999993</v>
      </c>
      <c r="F2725">
        <v>0</v>
      </c>
      <c r="G2725">
        <v>0</v>
      </c>
      <c r="H2725" t="s">
        <v>19447</v>
      </c>
      <c r="I2725" t="s">
        <v>19447</v>
      </c>
      <c r="J2725">
        <v>12</v>
      </c>
      <c r="L2725" t="s">
        <v>2709</v>
      </c>
      <c r="M2725">
        <v>29224190</v>
      </c>
      <c r="O2725" t="s">
        <v>20028</v>
      </c>
      <c r="P2725" t="s">
        <v>19900</v>
      </c>
      <c r="Q2725" t="s">
        <v>19900</v>
      </c>
      <c r="R2725" t="s">
        <v>19447</v>
      </c>
      <c r="S2725" t="s">
        <v>19447</v>
      </c>
      <c r="T2725" t="s">
        <v>19903</v>
      </c>
    </row>
    <row r="2726" spans="2:20" x14ac:dyDescent="0.25">
      <c r="B2726" t="s">
        <v>2709</v>
      </c>
      <c r="C2726">
        <v>29224210</v>
      </c>
      <c r="E2726">
        <v>68.819999999999993</v>
      </c>
      <c r="F2726">
        <v>0</v>
      </c>
      <c r="G2726">
        <v>0</v>
      </c>
      <c r="H2726" t="s">
        <v>19447</v>
      </c>
      <c r="I2726" t="s">
        <v>19447</v>
      </c>
      <c r="J2726">
        <v>2</v>
      </c>
      <c r="L2726" t="s">
        <v>2709</v>
      </c>
      <c r="M2726">
        <v>29224210</v>
      </c>
      <c r="O2726" t="s">
        <v>20028</v>
      </c>
      <c r="P2726" t="s">
        <v>19900</v>
      </c>
      <c r="Q2726" t="s">
        <v>19900</v>
      </c>
      <c r="R2726" t="s">
        <v>19447</v>
      </c>
      <c r="S2726" t="s">
        <v>19447</v>
      </c>
      <c r="T2726" t="s">
        <v>19901</v>
      </c>
    </row>
    <row r="2727" spans="2:20" x14ac:dyDescent="0.25">
      <c r="B2727" t="s">
        <v>2709</v>
      </c>
      <c r="C2727">
        <v>29224220</v>
      </c>
      <c r="E2727">
        <v>68.819999999999993</v>
      </c>
      <c r="F2727">
        <v>0</v>
      </c>
      <c r="G2727">
        <v>0</v>
      </c>
      <c r="H2727" t="s">
        <v>19447</v>
      </c>
      <c r="I2727" t="s">
        <v>19447</v>
      </c>
      <c r="J2727">
        <v>8</v>
      </c>
      <c r="L2727" t="s">
        <v>2709</v>
      </c>
      <c r="M2727">
        <v>29224220</v>
      </c>
      <c r="O2727" t="s">
        <v>20028</v>
      </c>
      <c r="P2727" t="s">
        <v>19900</v>
      </c>
      <c r="Q2727" t="s">
        <v>19900</v>
      </c>
      <c r="R2727" t="s">
        <v>19447</v>
      </c>
      <c r="S2727" t="s">
        <v>19447</v>
      </c>
      <c r="T2727" t="s">
        <v>19918</v>
      </c>
    </row>
    <row r="2728" spans="2:20" x14ac:dyDescent="0.25">
      <c r="B2728" t="s">
        <v>2709</v>
      </c>
      <c r="C2728">
        <v>29224300</v>
      </c>
      <c r="E2728">
        <v>68.819999999999993</v>
      </c>
      <c r="F2728">
        <v>0</v>
      </c>
      <c r="G2728">
        <v>0</v>
      </c>
      <c r="H2728" t="s">
        <v>19447</v>
      </c>
      <c r="I2728" t="s">
        <v>19447</v>
      </c>
      <c r="J2728">
        <v>2</v>
      </c>
      <c r="L2728" t="s">
        <v>2709</v>
      </c>
      <c r="M2728">
        <v>29224300</v>
      </c>
      <c r="O2728" t="s">
        <v>20028</v>
      </c>
      <c r="P2728" t="s">
        <v>19900</v>
      </c>
      <c r="Q2728" t="s">
        <v>19900</v>
      </c>
      <c r="R2728" t="s">
        <v>19447</v>
      </c>
      <c r="S2728" t="s">
        <v>19447</v>
      </c>
      <c r="T2728" t="s">
        <v>19901</v>
      </c>
    </row>
    <row r="2729" spans="2:20" x14ac:dyDescent="0.25">
      <c r="B2729" t="s">
        <v>2709</v>
      </c>
      <c r="C2729">
        <v>29224410</v>
      </c>
      <c r="E2729">
        <v>68.819999999999993</v>
      </c>
      <c r="F2729">
        <v>0</v>
      </c>
      <c r="G2729">
        <v>0</v>
      </c>
      <c r="H2729" t="s">
        <v>19447</v>
      </c>
      <c r="I2729" t="s">
        <v>19447</v>
      </c>
      <c r="J2729">
        <v>2</v>
      </c>
      <c r="L2729" t="s">
        <v>2709</v>
      </c>
      <c r="M2729">
        <v>29224410</v>
      </c>
      <c r="O2729" t="s">
        <v>20028</v>
      </c>
      <c r="P2729" t="s">
        <v>19900</v>
      </c>
      <c r="Q2729" t="s">
        <v>19900</v>
      </c>
      <c r="R2729" t="s">
        <v>19447</v>
      </c>
      <c r="S2729" t="s">
        <v>19447</v>
      </c>
      <c r="T2729" t="s">
        <v>19901</v>
      </c>
    </row>
    <row r="2730" spans="2:20" x14ac:dyDescent="0.25">
      <c r="B2730" t="s">
        <v>2709</v>
      </c>
      <c r="C2730">
        <v>29224420</v>
      </c>
      <c r="E2730">
        <v>68.819999999999993</v>
      </c>
      <c r="F2730">
        <v>0</v>
      </c>
      <c r="G2730">
        <v>0</v>
      </c>
      <c r="H2730" t="s">
        <v>19447</v>
      </c>
      <c r="I2730" t="s">
        <v>19447</v>
      </c>
      <c r="J2730">
        <v>2</v>
      </c>
      <c r="L2730" t="s">
        <v>2709</v>
      </c>
      <c r="M2730">
        <v>29224420</v>
      </c>
      <c r="O2730" t="s">
        <v>20028</v>
      </c>
      <c r="P2730" t="s">
        <v>19900</v>
      </c>
      <c r="Q2730" t="s">
        <v>19900</v>
      </c>
      <c r="R2730" t="s">
        <v>19447</v>
      </c>
      <c r="S2730" t="s">
        <v>19447</v>
      </c>
      <c r="T2730" t="s">
        <v>19901</v>
      </c>
    </row>
    <row r="2731" spans="2:20" x14ac:dyDescent="0.25">
      <c r="B2731" t="s">
        <v>2709</v>
      </c>
      <c r="C2731">
        <v>29224910</v>
      </c>
      <c r="E2731">
        <v>68.819999999999993</v>
      </c>
      <c r="F2731">
        <v>0</v>
      </c>
      <c r="G2731">
        <v>0</v>
      </c>
      <c r="H2731" t="s">
        <v>19447</v>
      </c>
      <c r="I2731" t="s">
        <v>19447</v>
      </c>
      <c r="J2731">
        <v>2</v>
      </c>
      <c r="L2731" t="s">
        <v>2709</v>
      </c>
      <c r="M2731">
        <v>29224910</v>
      </c>
      <c r="O2731" t="s">
        <v>20028</v>
      </c>
      <c r="P2731" t="s">
        <v>19900</v>
      </c>
      <c r="Q2731" t="s">
        <v>19900</v>
      </c>
      <c r="R2731" t="s">
        <v>19447</v>
      </c>
      <c r="S2731" t="s">
        <v>19447</v>
      </c>
      <c r="T2731" t="s">
        <v>19901</v>
      </c>
    </row>
    <row r="2732" spans="2:20" x14ac:dyDescent="0.25">
      <c r="B2732" t="s">
        <v>2709</v>
      </c>
      <c r="C2732">
        <v>29224920</v>
      </c>
      <c r="E2732">
        <v>68.819999999999993</v>
      </c>
      <c r="F2732">
        <v>0</v>
      </c>
      <c r="G2732">
        <v>0</v>
      </c>
      <c r="H2732" t="s">
        <v>19447</v>
      </c>
      <c r="I2732" t="s">
        <v>19447</v>
      </c>
      <c r="J2732">
        <v>12</v>
      </c>
      <c r="L2732" t="s">
        <v>2709</v>
      </c>
      <c r="M2732">
        <v>29224920</v>
      </c>
      <c r="O2732" t="s">
        <v>20028</v>
      </c>
      <c r="P2732" t="s">
        <v>19900</v>
      </c>
      <c r="Q2732" t="s">
        <v>19900</v>
      </c>
      <c r="R2732" t="s">
        <v>19447</v>
      </c>
      <c r="S2732" t="s">
        <v>19447</v>
      </c>
      <c r="T2732" t="s">
        <v>19903</v>
      </c>
    </row>
    <row r="2733" spans="2:20" x14ac:dyDescent="0.25">
      <c r="B2733" t="s">
        <v>2709</v>
      </c>
      <c r="C2733">
        <v>29224931</v>
      </c>
      <c r="E2733">
        <v>68.819999999999993</v>
      </c>
      <c r="F2733">
        <v>0</v>
      </c>
      <c r="G2733">
        <v>0</v>
      </c>
      <c r="H2733" t="s">
        <v>19447</v>
      </c>
      <c r="I2733" t="s">
        <v>19447</v>
      </c>
      <c r="J2733">
        <v>2</v>
      </c>
      <c r="L2733" t="s">
        <v>2709</v>
      </c>
      <c r="M2733">
        <v>29224931</v>
      </c>
      <c r="O2733" t="s">
        <v>20028</v>
      </c>
      <c r="P2733" t="s">
        <v>19900</v>
      </c>
      <c r="Q2733" t="s">
        <v>19900</v>
      </c>
      <c r="R2733" t="s">
        <v>19447</v>
      </c>
      <c r="S2733" t="s">
        <v>19447</v>
      </c>
      <c r="T2733" t="s">
        <v>19901</v>
      </c>
    </row>
    <row r="2734" spans="2:20" x14ac:dyDescent="0.25">
      <c r="B2734" t="s">
        <v>2709</v>
      </c>
      <c r="C2734">
        <v>29224932</v>
      </c>
      <c r="E2734">
        <v>68.819999999999993</v>
      </c>
      <c r="F2734">
        <v>0</v>
      </c>
      <c r="G2734">
        <v>0</v>
      </c>
      <c r="H2734" t="s">
        <v>19447</v>
      </c>
      <c r="I2734" t="s">
        <v>19447</v>
      </c>
      <c r="J2734">
        <v>2</v>
      </c>
      <c r="L2734" t="s">
        <v>2709</v>
      </c>
      <c r="M2734">
        <v>29224932</v>
      </c>
      <c r="O2734" t="s">
        <v>20028</v>
      </c>
      <c r="P2734" t="s">
        <v>19900</v>
      </c>
      <c r="Q2734" t="s">
        <v>19900</v>
      </c>
      <c r="R2734" t="s">
        <v>19447</v>
      </c>
      <c r="S2734" t="s">
        <v>19447</v>
      </c>
      <c r="T2734" t="s">
        <v>19901</v>
      </c>
    </row>
    <row r="2735" spans="2:20" x14ac:dyDescent="0.25">
      <c r="B2735" t="s">
        <v>2709</v>
      </c>
      <c r="C2735">
        <v>29224940</v>
      </c>
      <c r="E2735">
        <v>68.819999999999993</v>
      </c>
      <c r="F2735">
        <v>0</v>
      </c>
      <c r="G2735">
        <v>0</v>
      </c>
      <c r="H2735" t="s">
        <v>19447</v>
      </c>
      <c r="I2735" t="s">
        <v>19447</v>
      </c>
      <c r="J2735">
        <v>12</v>
      </c>
      <c r="L2735" t="s">
        <v>2709</v>
      </c>
      <c r="M2735">
        <v>29224940</v>
      </c>
      <c r="O2735" t="s">
        <v>20028</v>
      </c>
      <c r="P2735" t="s">
        <v>19900</v>
      </c>
      <c r="Q2735" t="s">
        <v>19900</v>
      </c>
      <c r="R2735" t="s">
        <v>19447</v>
      </c>
      <c r="S2735" t="s">
        <v>19447</v>
      </c>
      <c r="T2735" t="s">
        <v>19903</v>
      </c>
    </row>
    <row r="2736" spans="2:20" x14ac:dyDescent="0.25">
      <c r="B2736" t="s">
        <v>2709</v>
      </c>
      <c r="C2736">
        <v>29224951</v>
      </c>
      <c r="E2736">
        <v>68.819999999999993</v>
      </c>
      <c r="F2736">
        <v>0</v>
      </c>
      <c r="G2736">
        <v>0</v>
      </c>
      <c r="H2736" t="s">
        <v>19447</v>
      </c>
      <c r="I2736" t="s">
        <v>19447</v>
      </c>
      <c r="J2736">
        <v>2</v>
      </c>
      <c r="L2736" t="s">
        <v>2709</v>
      </c>
      <c r="M2736">
        <v>29224951</v>
      </c>
      <c r="O2736" t="s">
        <v>20028</v>
      </c>
      <c r="P2736" t="s">
        <v>19900</v>
      </c>
      <c r="Q2736" t="s">
        <v>19900</v>
      </c>
      <c r="R2736" t="s">
        <v>19447</v>
      </c>
      <c r="S2736" t="s">
        <v>19447</v>
      </c>
      <c r="T2736" t="s">
        <v>19901</v>
      </c>
    </row>
    <row r="2737" spans="2:20" x14ac:dyDescent="0.25">
      <c r="B2737" t="s">
        <v>2709</v>
      </c>
      <c r="C2737">
        <v>29224952</v>
      </c>
      <c r="E2737">
        <v>68.819999999999993</v>
      </c>
      <c r="F2737">
        <v>0</v>
      </c>
      <c r="G2737">
        <v>0</v>
      </c>
      <c r="H2737" t="s">
        <v>19447</v>
      </c>
      <c r="I2737" t="s">
        <v>19447</v>
      </c>
      <c r="J2737">
        <v>12</v>
      </c>
      <c r="L2737" t="s">
        <v>2709</v>
      </c>
      <c r="M2737">
        <v>29224952</v>
      </c>
      <c r="O2737" t="s">
        <v>20028</v>
      </c>
      <c r="P2737" t="s">
        <v>19900</v>
      </c>
      <c r="Q2737" t="s">
        <v>19900</v>
      </c>
      <c r="R2737" t="s">
        <v>19447</v>
      </c>
      <c r="S2737" t="s">
        <v>19447</v>
      </c>
      <c r="T2737" t="s">
        <v>19903</v>
      </c>
    </row>
    <row r="2738" spans="2:20" x14ac:dyDescent="0.25">
      <c r="B2738" t="s">
        <v>2709</v>
      </c>
      <c r="C2738">
        <v>29224959</v>
      </c>
      <c r="E2738">
        <v>68.819999999999993</v>
      </c>
      <c r="F2738">
        <v>0</v>
      </c>
      <c r="G2738">
        <v>0</v>
      </c>
      <c r="H2738" t="s">
        <v>19447</v>
      </c>
      <c r="I2738" t="s">
        <v>19447</v>
      </c>
      <c r="J2738">
        <v>2</v>
      </c>
      <c r="L2738" t="s">
        <v>2709</v>
      </c>
      <c r="M2738">
        <v>29224959</v>
      </c>
      <c r="O2738" t="s">
        <v>20028</v>
      </c>
      <c r="P2738" t="s">
        <v>19900</v>
      </c>
      <c r="Q2738" t="s">
        <v>19900</v>
      </c>
      <c r="R2738" t="s">
        <v>19447</v>
      </c>
      <c r="S2738" t="s">
        <v>19447</v>
      </c>
      <c r="T2738" t="s">
        <v>19901</v>
      </c>
    </row>
    <row r="2739" spans="2:20" x14ac:dyDescent="0.25">
      <c r="B2739" t="s">
        <v>2709</v>
      </c>
      <c r="C2739">
        <v>29224961</v>
      </c>
      <c r="E2739">
        <v>68.819999999999993</v>
      </c>
      <c r="F2739">
        <v>0</v>
      </c>
      <c r="G2739">
        <v>0</v>
      </c>
      <c r="H2739" t="s">
        <v>19447</v>
      </c>
      <c r="I2739" t="s">
        <v>19447</v>
      </c>
      <c r="J2739">
        <v>14</v>
      </c>
      <c r="L2739" t="s">
        <v>2709</v>
      </c>
      <c r="M2739">
        <v>29224961</v>
      </c>
      <c r="O2739" t="s">
        <v>20028</v>
      </c>
      <c r="P2739" t="s">
        <v>19900</v>
      </c>
      <c r="Q2739" t="s">
        <v>19900</v>
      </c>
      <c r="R2739" t="s">
        <v>19447</v>
      </c>
      <c r="S2739" t="s">
        <v>19447</v>
      </c>
      <c r="T2739" t="s">
        <v>19911</v>
      </c>
    </row>
    <row r="2740" spans="2:20" x14ac:dyDescent="0.25">
      <c r="B2740" t="s">
        <v>2709</v>
      </c>
      <c r="C2740">
        <v>29224962</v>
      </c>
      <c r="E2740">
        <v>68.819999999999993</v>
      </c>
      <c r="F2740">
        <v>0</v>
      </c>
      <c r="G2740">
        <v>0</v>
      </c>
      <c r="H2740" t="s">
        <v>19447</v>
      </c>
      <c r="I2740" t="s">
        <v>19447</v>
      </c>
      <c r="J2740">
        <v>14</v>
      </c>
      <c r="L2740" t="s">
        <v>2709</v>
      </c>
      <c r="M2740">
        <v>29224962</v>
      </c>
      <c r="O2740" t="s">
        <v>20028</v>
      </c>
      <c r="P2740" t="s">
        <v>19900</v>
      </c>
      <c r="Q2740" t="s">
        <v>19900</v>
      </c>
      <c r="R2740" t="s">
        <v>19447</v>
      </c>
      <c r="S2740" t="s">
        <v>19447</v>
      </c>
      <c r="T2740" t="s">
        <v>19911</v>
      </c>
    </row>
    <row r="2741" spans="2:20" x14ac:dyDescent="0.25">
      <c r="B2741" t="s">
        <v>2709</v>
      </c>
      <c r="C2741">
        <v>29224963</v>
      </c>
      <c r="E2741">
        <v>68.819999999999993</v>
      </c>
      <c r="F2741">
        <v>0</v>
      </c>
      <c r="G2741">
        <v>0</v>
      </c>
      <c r="H2741" t="s">
        <v>19447</v>
      </c>
      <c r="I2741" t="s">
        <v>19447</v>
      </c>
      <c r="J2741">
        <v>14</v>
      </c>
      <c r="L2741" t="s">
        <v>2709</v>
      </c>
      <c r="M2741">
        <v>29224963</v>
      </c>
      <c r="O2741" t="s">
        <v>20028</v>
      </c>
      <c r="P2741" t="s">
        <v>19900</v>
      </c>
      <c r="Q2741" t="s">
        <v>19900</v>
      </c>
      <c r="R2741" t="s">
        <v>19447</v>
      </c>
      <c r="S2741" t="s">
        <v>19447</v>
      </c>
      <c r="T2741" t="s">
        <v>19911</v>
      </c>
    </row>
    <row r="2742" spans="2:20" x14ac:dyDescent="0.25">
      <c r="B2742" t="s">
        <v>2709</v>
      </c>
      <c r="C2742">
        <v>29224964</v>
      </c>
      <c r="E2742">
        <v>68.819999999999993</v>
      </c>
      <c r="F2742">
        <v>0</v>
      </c>
      <c r="G2742">
        <v>0</v>
      </c>
      <c r="H2742" t="s">
        <v>19447</v>
      </c>
      <c r="I2742" t="s">
        <v>19447</v>
      </c>
      <c r="J2742">
        <v>14</v>
      </c>
      <c r="L2742" t="s">
        <v>2709</v>
      </c>
      <c r="M2742">
        <v>29224964</v>
      </c>
      <c r="O2742" t="s">
        <v>20028</v>
      </c>
      <c r="P2742" t="s">
        <v>19900</v>
      </c>
      <c r="Q2742" t="s">
        <v>19900</v>
      </c>
      <c r="R2742" t="s">
        <v>19447</v>
      </c>
      <c r="S2742" t="s">
        <v>19447</v>
      </c>
      <c r="T2742" t="s">
        <v>19911</v>
      </c>
    </row>
    <row r="2743" spans="2:20" x14ac:dyDescent="0.25">
      <c r="B2743" t="s">
        <v>2709</v>
      </c>
      <c r="C2743">
        <v>29224969</v>
      </c>
      <c r="E2743">
        <v>68.819999999999993</v>
      </c>
      <c r="F2743">
        <v>0</v>
      </c>
      <c r="G2743">
        <v>0</v>
      </c>
      <c r="H2743" t="s">
        <v>19447</v>
      </c>
      <c r="I2743" t="s">
        <v>19447</v>
      </c>
      <c r="J2743">
        <v>2</v>
      </c>
      <c r="L2743" t="s">
        <v>2709</v>
      </c>
      <c r="M2743">
        <v>29224969</v>
      </c>
      <c r="O2743" t="s">
        <v>20028</v>
      </c>
      <c r="P2743" t="s">
        <v>19900</v>
      </c>
      <c r="Q2743" t="s">
        <v>19900</v>
      </c>
      <c r="R2743" t="s">
        <v>19447</v>
      </c>
      <c r="S2743" t="s">
        <v>19447</v>
      </c>
      <c r="T2743" t="s">
        <v>19901</v>
      </c>
    </row>
    <row r="2744" spans="2:20" x14ac:dyDescent="0.25">
      <c r="B2744" t="s">
        <v>2709</v>
      </c>
      <c r="C2744">
        <v>29224990</v>
      </c>
      <c r="E2744">
        <v>68.819999999999993</v>
      </c>
      <c r="F2744">
        <v>0</v>
      </c>
      <c r="G2744">
        <v>0</v>
      </c>
      <c r="H2744" t="s">
        <v>19447</v>
      </c>
      <c r="I2744" t="s">
        <v>19447</v>
      </c>
      <c r="J2744">
        <v>2</v>
      </c>
      <c r="L2744" t="s">
        <v>2709</v>
      </c>
      <c r="M2744">
        <v>29224990</v>
      </c>
      <c r="O2744" t="s">
        <v>20028</v>
      </c>
      <c r="P2744" t="s">
        <v>19900</v>
      </c>
      <c r="Q2744" t="s">
        <v>19900</v>
      </c>
      <c r="R2744" t="s">
        <v>19447</v>
      </c>
      <c r="S2744" t="s">
        <v>19447</v>
      </c>
      <c r="T2744" t="s">
        <v>19901</v>
      </c>
    </row>
    <row r="2745" spans="2:20" x14ac:dyDescent="0.25">
      <c r="B2745" t="s">
        <v>2709</v>
      </c>
      <c r="C2745">
        <v>29225011</v>
      </c>
      <c r="E2745">
        <v>68.819999999999993</v>
      </c>
      <c r="F2745">
        <v>0</v>
      </c>
      <c r="G2745">
        <v>0</v>
      </c>
      <c r="H2745" t="s">
        <v>19447</v>
      </c>
      <c r="I2745" t="s">
        <v>19447</v>
      </c>
      <c r="J2745">
        <v>2</v>
      </c>
      <c r="L2745" t="s">
        <v>2709</v>
      </c>
      <c r="M2745">
        <v>29225011</v>
      </c>
      <c r="O2745" t="s">
        <v>20028</v>
      </c>
      <c r="P2745" t="s">
        <v>19900</v>
      </c>
      <c r="Q2745" t="s">
        <v>19900</v>
      </c>
      <c r="R2745" t="s">
        <v>19447</v>
      </c>
      <c r="S2745" t="s">
        <v>19447</v>
      </c>
      <c r="T2745" t="s">
        <v>19901</v>
      </c>
    </row>
    <row r="2746" spans="2:20" x14ac:dyDescent="0.25">
      <c r="B2746" t="s">
        <v>2709</v>
      </c>
      <c r="C2746">
        <v>29225019</v>
      </c>
      <c r="E2746">
        <v>68.819999999999993</v>
      </c>
      <c r="F2746">
        <v>0</v>
      </c>
      <c r="G2746">
        <v>0</v>
      </c>
      <c r="H2746" t="s">
        <v>19447</v>
      </c>
      <c r="I2746" t="s">
        <v>19447</v>
      </c>
      <c r="J2746">
        <v>2</v>
      </c>
      <c r="L2746" t="s">
        <v>2709</v>
      </c>
      <c r="M2746">
        <v>29225019</v>
      </c>
      <c r="O2746" t="s">
        <v>20028</v>
      </c>
      <c r="P2746" t="s">
        <v>19900</v>
      </c>
      <c r="Q2746" t="s">
        <v>19900</v>
      </c>
      <c r="R2746" t="s">
        <v>19447</v>
      </c>
      <c r="S2746" t="s">
        <v>19447</v>
      </c>
      <c r="T2746" t="s">
        <v>19901</v>
      </c>
    </row>
    <row r="2747" spans="2:20" x14ac:dyDescent="0.25">
      <c r="B2747" t="s">
        <v>2709</v>
      </c>
      <c r="C2747">
        <v>29225021</v>
      </c>
      <c r="E2747">
        <v>68.819999999999993</v>
      </c>
      <c r="F2747">
        <v>0</v>
      </c>
      <c r="G2747">
        <v>0</v>
      </c>
      <c r="H2747" t="s">
        <v>19447</v>
      </c>
      <c r="I2747" t="s">
        <v>19447</v>
      </c>
      <c r="J2747">
        <v>2</v>
      </c>
      <c r="L2747" t="s">
        <v>2709</v>
      </c>
      <c r="M2747">
        <v>29225021</v>
      </c>
      <c r="O2747" t="s">
        <v>20028</v>
      </c>
      <c r="P2747" t="s">
        <v>19900</v>
      </c>
      <c r="Q2747" t="s">
        <v>19900</v>
      </c>
      <c r="R2747" t="s">
        <v>19447</v>
      </c>
      <c r="S2747" t="s">
        <v>19447</v>
      </c>
      <c r="T2747" t="s">
        <v>19901</v>
      </c>
    </row>
    <row r="2748" spans="2:20" x14ac:dyDescent="0.25">
      <c r="B2748" t="s">
        <v>2709</v>
      </c>
      <c r="C2748">
        <v>29225029</v>
      </c>
      <c r="E2748">
        <v>68.819999999999993</v>
      </c>
      <c r="F2748">
        <v>0</v>
      </c>
      <c r="G2748">
        <v>0</v>
      </c>
      <c r="H2748" t="s">
        <v>19447</v>
      </c>
      <c r="I2748" t="s">
        <v>19447</v>
      </c>
      <c r="J2748">
        <v>2</v>
      </c>
      <c r="L2748" t="s">
        <v>2709</v>
      </c>
      <c r="M2748">
        <v>29225029</v>
      </c>
      <c r="O2748" t="s">
        <v>20028</v>
      </c>
      <c r="P2748" t="s">
        <v>19900</v>
      </c>
      <c r="Q2748" t="s">
        <v>19900</v>
      </c>
      <c r="R2748" t="s">
        <v>19447</v>
      </c>
      <c r="S2748" t="s">
        <v>19447</v>
      </c>
      <c r="T2748" t="s">
        <v>19901</v>
      </c>
    </row>
    <row r="2749" spans="2:20" x14ac:dyDescent="0.25">
      <c r="B2749" t="s">
        <v>2709</v>
      </c>
      <c r="C2749">
        <v>29225031</v>
      </c>
      <c r="E2749">
        <v>68.819999999999993</v>
      </c>
      <c r="F2749">
        <v>0</v>
      </c>
      <c r="G2749">
        <v>0</v>
      </c>
      <c r="H2749" t="s">
        <v>19447</v>
      </c>
      <c r="I2749" t="s">
        <v>19447</v>
      </c>
      <c r="J2749">
        <v>14</v>
      </c>
      <c r="L2749" t="s">
        <v>2709</v>
      </c>
      <c r="M2749">
        <v>29225031</v>
      </c>
      <c r="O2749" t="s">
        <v>20028</v>
      </c>
      <c r="P2749" t="s">
        <v>19900</v>
      </c>
      <c r="Q2749" t="s">
        <v>19900</v>
      </c>
      <c r="R2749" t="s">
        <v>19447</v>
      </c>
      <c r="S2749" t="s">
        <v>19447</v>
      </c>
      <c r="T2749" t="s">
        <v>19911</v>
      </c>
    </row>
    <row r="2750" spans="2:20" x14ac:dyDescent="0.25">
      <c r="B2750" t="s">
        <v>2709</v>
      </c>
      <c r="C2750">
        <v>29225032</v>
      </c>
      <c r="E2750">
        <v>68.819999999999993</v>
      </c>
      <c r="F2750">
        <v>0</v>
      </c>
      <c r="G2750">
        <v>0</v>
      </c>
      <c r="H2750" t="s">
        <v>19447</v>
      </c>
      <c r="I2750" t="s">
        <v>19447</v>
      </c>
      <c r="J2750">
        <v>2</v>
      </c>
      <c r="L2750" t="s">
        <v>2709</v>
      </c>
      <c r="M2750">
        <v>29225032</v>
      </c>
      <c r="O2750" t="s">
        <v>20028</v>
      </c>
      <c r="P2750" t="s">
        <v>19900</v>
      </c>
      <c r="Q2750" t="s">
        <v>19900</v>
      </c>
      <c r="R2750" t="s">
        <v>19447</v>
      </c>
      <c r="S2750" t="s">
        <v>19447</v>
      </c>
      <c r="T2750" t="s">
        <v>19901</v>
      </c>
    </row>
    <row r="2751" spans="2:20" x14ac:dyDescent="0.25">
      <c r="B2751" t="s">
        <v>2709</v>
      </c>
      <c r="C2751">
        <v>29225039</v>
      </c>
      <c r="E2751">
        <v>68.819999999999993</v>
      </c>
      <c r="F2751">
        <v>0</v>
      </c>
      <c r="G2751">
        <v>0</v>
      </c>
      <c r="H2751" t="s">
        <v>19447</v>
      </c>
      <c r="I2751" t="s">
        <v>19447</v>
      </c>
      <c r="J2751">
        <v>2</v>
      </c>
      <c r="L2751" t="s">
        <v>2709</v>
      </c>
      <c r="M2751">
        <v>29225039</v>
      </c>
      <c r="O2751" t="s">
        <v>20028</v>
      </c>
      <c r="P2751" t="s">
        <v>19900</v>
      </c>
      <c r="Q2751" t="s">
        <v>19900</v>
      </c>
      <c r="R2751" t="s">
        <v>19447</v>
      </c>
      <c r="S2751" t="s">
        <v>19447</v>
      </c>
      <c r="T2751" t="s">
        <v>19901</v>
      </c>
    </row>
    <row r="2752" spans="2:20" x14ac:dyDescent="0.25">
      <c r="B2752" t="s">
        <v>2709</v>
      </c>
      <c r="C2752">
        <v>29225041</v>
      </c>
      <c r="E2752">
        <v>68.819999999999993</v>
      </c>
      <c r="F2752">
        <v>0</v>
      </c>
      <c r="G2752">
        <v>0</v>
      </c>
      <c r="H2752" t="s">
        <v>19447</v>
      </c>
      <c r="I2752" t="s">
        <v>19447</v>
      </c>
      <c r="J2752">
        <v>2</v>
      </c>
      <c r="L2752" t="s">
        <v>2709</v>
      </c>
      <c r="M2752">
        <v>29225041</v>
      </c>
      <c r="O2752" t="s">
        <v>20028</v>
      </c>
      <c r="P2752" t="s">
        <v>19900</v>
      </c>
      <c r="Q2752" t="s">
        <v>19900</v>
      </c>
      <c r="R2752" t="s">
        <v>19447</v>
      </c>
      <c r="S2752" t="s">
        <v>19447</v>
      </c>
      <c r="T2752" t="s">
        <v>19901</v>
      </c>
    </row>
    <row r="2753" spans="2:20" x14ac:dyDescent="0.25">
      <c r="B2753" t="s">
        <v>2709</v>
      </c>
      <c r="C2753">
        <v>29225049</v>
      </c>
      <c r="E2753">
        <v>68.819999999999993</v>
      </c>
      <c r="F2753">
        <v>0</v>
      </c>
      <c r="G2753">
        <v>0</v>
      </c>
      <c r="H2753" t="s">
        <v>19447</v>
      </c>
      <c r="I2753" t="s">
        <v>19447</v>
      </c>
      <c r="J2753">
        <v>2</v>
      </c>
      <c r="L2753" t="s">
        <v>2709</v>
      </c>
      <c r="M2753">
        <v>29225049</v>
      </c>
      <c r="O2753" t="s">
        <v>20028</v>
      </c>
      <c r="P2753" t="s">
        <v>19900</v>
      </c>
      <c r="Q2753" t="s">
        <v>19900</v>
      </c>
      <c r="R2753" t="s">
        <v>19447</v>
      </c>
      <c r="S2753" t="s">
        <v>19447</v>
      </c>
      <c r="T2753" t="s">
        <v>19901</v>
      </c>
    </row>
    <row r="2754" spans="2:20" x14ac:dyDescent="0.25">
      <c r="B2754" t="s">
        <v>2709</v>
      </c>
      <c r="C2754">
        <v>29225050</v>
      </c>
      <c r="E2754">
        <v>68.819999999999993</v>
      </c>
      <c r="F2754">
        <v>0</v>
      </c>
      <c r="G2754">
        <v>0</v>
      </c>
      <c r="H2754" t="s">
        <v>19447</v>
      </c>
      <c r="I2754" t="s">
        <v>19447</v>
      </c>
      <c r="J2754">
        <v>12</v>
      </c>
      <c r="L2754" t="s">
        <v>2709</v>
      </c>
      <c r="M2754">
        <v>29225050</v>
      </c>
      <c r="O2754" t="s">
        <v>20028</v>
      </c>
      <c r="P2754" t="s">
        <v>19900</v>
      </c>
      <c r="Q2754" t="s">
        <v>19900</v>
      </c>
      <c r="R2754" t="s">
        <v>19447</v>
      </c>
      <c r="S2754" t="s">
        <v>19447</v>
      </c>
      <c r="T2754" t="s">
        <v>19903</v>
      </c>
    </row>
    <row r="2755" spans="2:20" x14ac:dyDescent="0.25">
      <c r="B2755" t="s">
        <v>2709</v>
      </c>
      <c r="C2755">
        <v>29225091</v>
      </c>
      <c r="E2755">
        <v>68.819999999999993</v>
      </c>
      <c r="F2755">
        <v>0</v>
      </c>
      <c r="G2755">
        <v>0</v>
      </c>
      <c r="H2755" t="s">
        <v>19447</v>
      </c>
      <c r="I2755" t="s">
        <v>19447</v>
      </c>
      <c r="J2755">
        <v>2</v>
      </c>
      <c r="L2755" t="s">
        <v>2709</v>
      </c>
      <c r="M2755">
        <v>29225091</v>
      </c>
      <c r="O2755" t="s">
        <v>20028</v>
      </c>
      <c r="P2755" t="s">
        <v>19900</v>
      </c>
      <c r="Q2755" t="s">
        <v>19900</v>
      </c>
      <c r="R2755" t="s">
        <v>19447</v>
      </c>
      <c r="S2755" t="s">
        <v>19447</v>
      </c>
      <c r="T2755" t="s">
        <v>19901</v>
      </c>
    </row>
    <row r="2756" spans="2:20" x14ac:dyDescent="0.25">
      <c r="B2756" t="s">
        <v>2709</v>
      </c>
      <c r="C2756">
        <v>29225099</v>
      </c>
      <c r="E2756">
        <v>68.819999999999993</v>
      </c>
      <c r="F2756">
        <v>0</v>
      </c>
      <c r="G2756">
        <v>0</v>
      </c>
      <c r="H2756" t="s">
        <v>19447</v>
      </c>
      <c r="I2756" t="s">
        <v>19447</v>
      </c>
      <c r="J2756">
        <v>2</v>
      </c>
      <c r="L2756" t="s">
        <v>2709</v>
      </c>
      <c r="M2756">
        <v>29225099</v>
      </c>
      <c r="O2756" t="s">
        <v>20028</v>
      </c>
      <c r="P2756" t="s">
        <v>19900</v>
      </c>
      <c r="Q2756" t="s">
        <v>19900</v>
      </c>
      <c r="R2756" t="s">
        <v>19447</v>
      </c>
      <c r="S2756" t="s">
        <v>19447</v>
      </c>
      <c r="T2756" t="s">
        <v>19901</v>
      </c>
    </row>
    <row r="2757" spans="2:20" x14ac:dyDescent="0.25">
      <c r="B2757" t="s">
        <v>2709</v>
      </c>
      <c r="C2757">
        <v>29231000</v>
      </c>
      <c r="E2757">
        <v>68.819999999999993</v>
      </c>
      <c r="F2757">
        <v>0</v>
      </c>
      <c r="G2757">
        <v>0</v>
      </c>
      <c r="H2757" t="s">
        <v>19447</v>
      </c>
      <c r="I2757" t="s">
        <v>19447</v>
      </c>
      <c r="J2757">
        <v>2</v>
      </c>
      <c r="L2757" t="s">
        <v>2709</v>
      </c>
      <c r="M2757">
        <v>29231000</v>
      </c>
      <c r="O2757" t="s">
        <v>20028</v>
      </c>
      <c r="P2757" t="s">
        <v>19900</v>
      </c>
      <c r="Q2757" t="s">
        <v>19900</v>
      </c>
      <c r="R2757" t="s">
        <v>19447</v>
      </c>
      <c r="S2757" t="s">
        <v>19447</v>
      </c>
      <c r="T2757" t="s">
        <v>19901</v>
      </c>
    </row>
    <row r="2758" spans="2:20" x14ac:dyDescent="0.25">
      <c r="B2758" t="s">
        <v>2709</v>
      </c>
      <c r="C2758">
        <v>29232000</v>
      </c>
      <c r="E2758">
        <v>68.819999999999993</v>
      </c>
      <c r="F2758">
        <v>0</v>
      </c>
      <c r="G2758">
        <v>0</v>
      </c>
      <c r="H2758" t="s">
        <v>19447</v>
      </c>
      <c r="I2758" t="s">
        <v>19447</v>
      </c>
      <c r="J2758">
        <v>12</v>
      </c>
      <c r="L2758" t="s">
        <v>2709</v>
      </c>
      <c r="M2758">
        <v>29232000</v>
      </c>
      <c r="O2758" t="s">
        <v>20028</v>
      </c>
      <c r="P2758" t="s">
        <v>19900</v>
      </c>
      <c r="Q2758" t="s">
        <v>19900</v>
      </c>
      <c r="R2758" t="s">
        <v>19447</v>
      </c>
      <c r="S2758" t="s">
        <v>19447</v>
      </c>
      <c r="T2758" t="s">
        <v>19903</v>
      </c>
    </row>
    <row r="2759" spans="2:20" x14ac:dyDescent="0.25">
      <c r="B2759" t="s">
        <v>2709</v>
      </c>
      <c r="C2759">
        <v>29239010</v>
      </c>
      <c r="E2759">
        <v>68.819999999999993</v>
      </c>
      <c r="F2759">
        <v>0</v>
      </c>
      <c r="G2759">
        <v>0</v>
      </c>
      <c r="H2759" t="s">
        <v>19447</v>
      </c>
      <c r="I2759" t="s">
        <v>19447</v>
      </c>
      <c r="J2759">
        <v>12</v>
      </c>
      <c r="L2759" t="s">
        <v>2709</v>
      </c>
      <c r="M2759">
        <v>29239010</v>
      </c>
      <c r="O2759" t="s">
        <v>20028</v>
      </c>
      <c r="P2759" t="s">
        <v>19900</v>
      </c>
      <c r="Q2759" t="s">
        <v>19900</v>
      </c>
      <c r="R2759" t="s">
        <v>19447</v>
      </c>
      <c r="S2759" t="s">
        <v>19447</v>
      </c>
      <c r="T2759" t="s">
        <v>19903</v>
      </c>
    </row>
    <row r="2760" spans="2:20" x14ac:dyDescent="0.25">
      <c r="B2760" t="s">
        <v>2709</v>
      </c>
      <c r="C2760">
        <v>29239020</v>
      </c>
      <c r="E2760">
        <v>68.819999999999993</v>
      </c>
      <c r="F2760">
        <v>0</v>
      </c>
      <c r="G2760">
        <v>0</v>
      </c>
      <c r="H2760" t="s">
        <v>19447</v>
      </c>
      <c r="I2760" t="s">
        <v>19447</v>
      </c>
      <c r="J2760">
        <v>2</v>
      </c>
      <c r="L2760" t="s">
        <v>2709</v>
      </c>
      <c r="M2760">
        <v>29239020</v>
      </c>
      <c r="O2760" t="s">
        <v>20028</v>
      </c>
      <c r="P2760" t="s">
        <v>19900</v>
      </c>
      <c r="Q2760" t="s">
        <v>19900</v>
      </c>
      <c r="R2760" t="s">
        <v>19447</v>
      </c>
      <c r="S2760" t="s">
        <v>19447</v>
      </c>
      <c r="T2760" t="s">
        <v>19901</v>
      </c>
    </row>
    <row r="2761" spans="2:20" x14ac:dyDescent="0.25">
      <c r="B2761" t="s">
        <v>2709</v>
      </c>
      <c r="C2761">
        <v>29239030</v>
      </c>
      <c r="E2761">
        <v>68.819999999999993</v>
      </c>
      <c r="F2761">
        <v>0</v>
      </c>
      <c r="G2761">
        <v>0</v>
      </c>
      <c r="H2761" t="s">
        <v>19447</v>
      </c>
      <c r="I2761" t="s">
        <v>19447</v>
      </c>
      <c r="J2761">
        <v>12</v>
      </c>
      <c r="L2761" t="s">
        <v>2709</v>
      </c>
      <c r="M2761">
        <v>29239030</v>
      </c>
      <c r="O2761" t="s">
        <v>20028</v>
      </c>
      <c r="P2761" t="s">
        <v>19900</v>
      </c>
      <c r="Q2761" t="s">
        <v>19900</v>
      </c>
      <c r="R2761" t="s">
        <v>19447</v>
      </c>
      <c r="S2761" t="s">
        <v>19447</v>
      </c>
      <c r="T2761" t="s">
        <v>19903</v>
      </c>
    </row>
    <row r="2762" spans="2:20" x14ac:dyDescent="0.25">
      <c r="B2762" t="s">
        <v>2709</v>
      </c>
      <c r="C2762">
        <v>29239040</v>
      </c>
      <c r="E2762">
        <v>68.819999999999993</v>
      </c>
      <c r="F2762">
        <v>0</v>
      </c>
      <c r="G2762">
        <v>0</v>
      </c>
      <c r="H2762" t="s">
        <v>19447</v>
      </c>
      <c r="I2762" t="s">
        <v>19447</v>
      </c>
      <c r="J2762">
        <v>12</v>
      </c>
      <c r="L2762" t="s">
        <v>2709</v>
      </c>
      <c r="M2762">
        <v>29239040</v>
      </c>
      <c r="O2762" t="s">
        <v>20028</v>
      </c>
      <c r="P2762" t="s">
        <v>19900</v>
      </c>
      <c r="Q2762" t="s">
        <v>19900</v>
      </c>
      <c r="R2762" t="s">
        <v>19447</v>
      </c>
      <c r="S2762" t="s">
        <v>19447</v>
      </c>
      <c r="T2762" t="s">
        <v>19903</v>
      </c>
    </row>
    <row r="2763" spans="2:20" x14ac:dyDescent="0.25">
      <c r="B2763" t="s">
        <v>2709</v>
      </c>
      <c r="C2763">
        <v>29239050</v>
      </c>
      <c r="E2763">
        <v>68.819999999999993</v>
      </c>
      <c r="F2763">
        <v>0</v>
      </c>
      <c r="G2763">
        <v>0</v>
      </c>
      <c r="H2763" t="s">
        <v>19447</v>
      </c>
      <c r="I2763" t="s">
        <v>19447</v>
      </c>
      <c r="J2763">
        <v>12</v>
      </c>
      <c r="L2763" t="s">
        <v>2709</v>
      </c>
      <c r="M2763">
        <v>29239050</v>
      </c>
      <c r="O2763" t="s">
        <v>20028</v>
      </c>
      <c r="P2763" t="s">
        <v>19900</v>
      </c>
      <c r="Q2763" t="s">
        <v>19900</v>
      </c>
      <c r="R2763" t="s">
        <v>19447</v>
      </c>
      <c r="S2763" t="s">
        <v>19447</v>
      </c>
      <c r="T2763" t="s">
        <v>19903</v>
      </c>
    </row>
    <row r="2764" spans="2:20" x14ac:dyDescent="0.25">
      <c r="B2764" t="s">
        <v>2709</v>
      </c>
      <c r="C2764">
        <v>29239060</v>
      </c>
      <c r="E2764">
        <v>68.819999999999993</v>
      </c>
      <c r="F2764">
        <v>0</v>
      </c>
      <c r="G2764">
        <v>0</v>
      </c>
      <c r="H2764" t="s">
        <v>19447</v>
      </c>
      <c r="I2764" t="s">
        <v>19447</v>
      </c>
      <c r="J2764">
        <v>12</v>
      </c>
      <c r="L2764" t="s">
        <v>2709</v>
      </c>
      <c r="M2764">
        <v>29239060</v>
      </c>
      <c r="O2764" t="s">
        <v>20028</v>
      </c>
      <c r="P2764" t="s">
        <v>19900</v>
      </c>
      <c r="Q2764" t="s">
        <v>19900</v>
      </c>
      <c r="R2764" t="s">
        <v>19447</v>
      </c>
      <c r="S2764" t="s">
        <v>19447</v>
      </c>
      <c r="T2764" t="s">
        <v>19903</v>
      </c>
    </row>
    <row r="2765" spans="2:20" x14ac:dyDescent="0.25">
      <c r="B2765" t="s">
        <v>2709</v>
      </c>
      <c r="C2765">
        <v>29239090</v>
      </c>
      <c r="E2765">
        <v>68.819999999999993</v>
      </c>
      <c r="F2765">
        <v>0</v>
      </c>
      <c r="G2765">
        <v>0</v>
      </c>
      <c r="H2765" t="s">
        <v>19447</v>
      </c>
      <c r="I2765" t="s">
        <v>19447</v>
      </c>
      <c r="J2765">
        <v>2</v>
      </c>
      <c r="L2765" t="s">
        <v>2709</v>
      </c>
      <c r="M2765">
        <v>29239090</v>
      </c>
      <c r="O2765" t="s">
        <v>20028</v>
      </c>
      <c r="P2765" t="s">
        <v>19900</v>
      </c>
      <c r="Q2765" t="s">
        <v>19900</v>
      </c>
      <c r="R2765" t="s">
        <v>19447</v>
      </c>
      <c r="S2765" t="s">
        <v>19447</v>
      </c>
      <c r="T2765" t="s">
        <v>19901</v>
      </c>
    </row>
    <row r="2766" spans="2:20" x14ac:dyDescent="0.25">
      <c r="B2766" t="s">
        <v>2709</v>
      </c>
      <c r="C2766">
        <v>29241100</v>
      </c>
      <c r="E2766">
        <v>66.7</v>
      </c>
      <c r="F2766">
        <v>0</v>
      </c>
      <c r="G2766">
        <v>0</v>
      </c>
      <c r="H2766" t="s">
        <v>19447</v>
      </c>
      <c r="I2766" t="s">
        <v>19447</v>
      </c>
      <c r="J2766">
        <v>2</v>
      </c>
      <c r="L2766" t="s">
        <v>2709</v>
      </c>
      <c r="M2766">
        <v>29241100</v>
      </c>
      <c r="O2766" t="s">
        <v>20025</v>
      </c>
      <c r="P2766" t="s">
        <v>19900</v>
      </c>
      <c r="Q2766" t="s">
        <v>19900</v>
      </c>
      <c r="R2766" t="s">
        <v>19447</v>
      </c>
      <c r="S2766" t="s">
        <v>19447</v>
      </c>
      <c r="T2766" t="s">
        <v>19901</v>
      </c>
    </row>
    <row r="2767" spans="2:20" x14ac:dyDescent="0.25">
      <c r="B2767" t="s">
        <v>2709</v>
      </c>
      <c r="C2767">
        <v>29241210</v>
      </c>
      <c r="E2767">
        <v>66.7</v>
      </c>
      <c r="F2767">
        <v>0</v>
      </c>
      <c r="G2767">
        <v>0</v>
      </c>
      <c r="H2767" t="s">
        <v>19447</v>
      </c>
      <c r="I2767" t="s">
        <v>19447</v>
      </c>
      <c r="J2767">
        <v>2</v>
      </c>
      <c r="L2767" t="s">
        <v>2709</v>
      </c>
      <c r="M2767">
        <v>29241210</v>
      </c>
      <c r="O2767" t="s">
        <v>20025</v>
      </c>
      <c r="P2767" t="s">
        <v>19900</v>
      </c>
      <c r="Q2767" t="s">
        <v>19900</v>
      </c>
      <c r="R2767" t="s">
        <v>19447</v>
      </c>
      <c r="S2767" t="s">
        <v>19447</v>
      </c>
      <c r="T2767" t="s">
        <v>19901</v>
      </c>
    </row>
    <row r="2768" spans="2:20" x14ac:dyDescent="0.25">
      <c r="B2768" t="s">
        <v>2709</v>
      </c>
      <c r="C2768">
        <v>29241220</v>
      </c>
      <c r="E2768">
        <v>66.7</v>
      </c>
      <c r="F2768">
        <v>0</v>
      </c>
      <c r="G2768">
        <v>0</v>
      </c>
      <c r="H2768" t="s">
        <v>19447</v>
      </c>
      <c r="I2768" t="s">
        <v>19447</v>
      </c>
      <c r="J2768">
        <v>2</v>
      </c>
      <c r="L2768" t="s">
        <v>2709</v>
      </c>
      <c r="M2768">
        <v>29241220</v>
      </c>
      <c r="O2768" t="s">
        <v>20025</v>
      </c>
      <c r="P2768" t="s">
        <v>19900</v>
      </c>
      <c r="Q2768" t="s">
        <v>19900</v>
      </c>
      <c r="R2768" t="s">
        <v>19447</v>
      </c>
      <c r="S2768" t="s">
        <v>19447</v>
      </c>
      <c r="T2768" t="s">
        <v>19901</v>
      </c>
    </row>
    <row r="2769" spans="2:20" x14ac:dyDescent="0.25">
      <c r="B2769" t="s">
        <v>2709</v>
      </c>
      <c r="C2769">
        <v>29241230</v>
      </c>
      <c r="E2769">
        <v>66.7</v>
      </c>
      <c r="F2769">
        <v>0</v>
      </c>
      <c r="G2769">
        <v>0</v>
      </c>
      <c r="H2769" t="s">
        <v>19447</v>
      </c>
      <c r="I2769" t="s">
        <v>19447</v>
      </c>
      <c r="J2769">
        <v>14</v>
      </c>
      <c r="L2769" t="s">
        <v>2709</v>
      </c>
      <c r="M2769">
        <v>29241230</v>
      </c>
      <c r="O2769" t="s">
        <v>20025</v>
      </c>
      <c r="P2769" t="s">
        <v>19900</v>
      </c>
      <c r="Q2769" t="s">
        <v>19900</v>
      </c>
      <c r="R2769" t="s">
        <v>19447</v>
      </c>
      <c r="S2769" t="s">
        <v>19447</v>
      </c>
      <c r="T2769" t="s">
        <v>19911</v>
      </c>
    </row>
    <row r="2770" spans="2:20" x14ac:dyDescent="0.25">
      <c r="B2770" t="s">
        <v>2709</v>
      </c>
      <c r="C2770">
        <v>29241911</v>
      </c>
      <c r="E2770">
        <v>66.7</v>
      </c>
      <c r="F2770">
        <v>0</v>
      </c>
      <c r="G2770">
        <v>0</v>
      </c>
      <c r="H2770" t="s">
        <v>19447</v>
      </c>
      <c r="I2770" t="s">
        <v>19447</v>
      </c>
      <c r="J2770">
        <v>2</v>
      </c>
      <c r="L2770" t="s">
        <v>2709</v>
      </c>
      <c r="M2770">
        <v>29241911</v>
      </c>
      <c r="O2770" t="s">
        <v>20025</v>
      </c>
      <c r="P2770" t="s">
        <v>19900</v>
      </c>
      <c r="Q2770" t="s">
        <v>19900</v>
      </c>
      <c r="R2770" t="s">
        <v>19447</v>
      </c>
      <c r="S2770" t="s">
        <v>19447</v>
      </c>
      <c r="T2770" t="s">
        <v>19901</v>
      </c>
    </row>
    <row r="2771" spans="2:20" x14ac:dyDescent="0.25">
      <c r="B2771" t="s">
        <v>2709</v>
      </c>
      <c r="C2771">
        <v>29241919</v>
      </c>
      <c r="E2771">
        <v>66.7</v>
      </c>
      <c r="F2771">
        <v>0</v>
      </c>
      <c r="G2771">
        <v>0</v>
      </c>
      <c r="H2771" t="s">
        <v>19447</v>
      </c>
      <c r="I2771" t="s">
        <v>19447</v>
      </c>
      <c r="J2771">
        <v>2</v>
      </c>
      <c r="L2771" t="s">
        <v>2709</v>
      </c>
      <c r="M2771">
        <v>29241919</v>
      </c>
      <c r="O2771" t="s">
        <v>20025</v>
      </c>
      <c r="P2771" t="s">
        <v>19900</v>
      </c>
      <c r="Q2771" t="s">
        <v>19900</v>
      </c>
      <c r="R2771" t="s">
        <v>19447</v>
      </c>
      <c r="S2771" t="s">
        <v>19447</v>
      </c>
      <c r="T2771" t="s">
        <v>19901</v>
      </c>
    </row>
    <row r="2772" spans="2:20" x14ac:dyDescent="0.25">
      <c r="B2772" t="s">
        <v>2709</v>
      </c>
      <c r="C2772">
        <v>29241921</v>
      </c>
      <c r="E2772">
        <v>66.7</v>
      </c>
      <c r="F2772">
        <v>0</v>
      </c>
      <c r="G2772">
        <v>0</v>
      </c>
      <c r="H2772" t="s">
        <v>19447</v>
      </c>
      <c r="I2772" t="s">
        <v>19447</v>
      </c>
      <c r="J2772">
        <v>2</v>
      </c>
      <c r="L2772" t="s">
        <v>2709</v>
      </c>
      <c r="M2772">
        <v>29241921</v>
      </c>
      <c r="O2772" t="s">
        <v>20025</v>
      </c>
      <c r="P2772" t="s">
        <v>19900</v>
      </c>
      <c r="Q2772" t="s">
        <v>19900</v>
      </c>
      <c r="R2772" t="s">
        <v>19447</v>
      </c>
      <c r="S2772" t="s">
        <v>19447</v>
      </c>
      <c r="T2772" t="s">
        <v>19901</v>
      </c>
    </row>
    <row r="2773" spans="2:20" x14ac:dyDescent="0.25">
      <c r="B2773" t="s">
        <v>2709</v>
      </c>
      <c r="C2773">
        <v>29241922</v>
      </c>
      <c r="E2773">
        <v>66.7</v>
      </c>
      <c r="F2773">
        <v>0</v>
      </c>
      <c r="G2773">
        <v>0</v>
      </c>
      <c r="H2773" t="s">
        <v>19447</v>
      </c>
      <c r="I2773" t="s">
        <v>19447</v>
      </c>
      <c r="J2773">
        <v>14</v>
      </c>
      <c r="L2773" t="s">
        <v>2709</v>
      </c>
      <c r="M2773">
        <v>29241922</v>
      </c>
      <c r="O2773" t="s">
        <v>20025</v>
      </c>
      <c r="P2773" t="s">
        <v>19900</v>
      </c>
      <c r="Q2773" t="s">
        <v>19900</v>
      </c>
      <c r="R2773" t="s">
        <v>19447</v>
      </c>
      <c r="S2773" t="s">
        <v>19447</v>
      </c>
      <c r="T2773" t="s">
        <v>19911</v>
      </c>
    </row>
    <row r="2774" spans="2:20" x14ac:dyDescent="0.25">
      <c r="B2774" t="s">
        <v>2709</v>
      </c>
      <c r="C2774">
        <v>29241929</v>
      </c>
      <c r="E2774">
        <v>66.7</v>
      </c>
      <c r="F2774">
        <v>0</v>
      </c>
      <c r="G2774">
        <v>0</v>
      </c>
      <c r="H2774" t="s">
        <v>19447</v>
      </c>
      <c r="I2774" t="s">
        <v>19447</v>
      </c>
      <c r="J2774">
        <v>2</v>
      </c>
      <c r="L2774" t="s">
        <v>2709</v>
      </c>
      <c r="M2774">
        <v>29241929</v>
      </c>
      <c r="O2774" t="s">
        <v>20025</v>
      </c>
      <c r="P2774" t="s">
        <v>19900</v>
      </c>
      <c r="Q2774" t="s">
        <v>19900</v>
      </c>
      <c r="R2774" t="s">
        <v>19447</v>
      </c>
      <c r="S2774" t="s">
        <v>19447</v>
      </c>
      <c r="T2774" t="s">
        <v>19901</v>
      </c>
    </row>
    <row r="2775" spans="2:20" x14ac:dyDescent="0.25">
      <c r="B2775" t="s">
        <v>2709</v>
      </c>
      <c r="C2775">
        <v>29241931</v>
      </c>
      <c r="E2775">
        <v>66.7</v>
      </c>
      <c r="F2775">
        <v>0</v>
      </c>
      <c r="G2775">
        <v>0</v>
      </c>
      <c r="H2775" t="s">
        <v>19447</v>
      </c>
      <c r="I2775" t="s">
        <v>19447</v>
      </c>
      <c r="J2775">
        <v>2</v>
      </c>
      <c r="L2775" t="s">
        <v>2709</v>
      </c>
      <c r="M2775">
        <v>29241931</v>
      </c>
      <c r="O2775" t="s">
        <v>20025</v>
      </c>
      <c r="P2775" t="s">
        <v>19900</v>
      </c>
      <c r="Q2775" t="s">
        <v>19900</v>
      </c>
      <c r="R2775" t="s">
        <v>19447</v>
      </c>
      <c r="S2775" t="s">
        <v>19447</v>
      </c>
      <c r="T2775" t="s">
        <v>19901</v>
      </c>
    </row>
    <row r="2776" spans="2:20" x14ac:dyDescent="0.25">
      <c r="B2776" t="s">
        <v>2709</v>
      </c>
      <c r="C2776">
        <v>29241932</v>
      </c>
      <c r="E2776">
        <v>66.7</v>
      </c>
      <c r="F2776">
        <v>0</v>
      </c>
      <c r="G2776">
        <v>0</v>
      </c>
      <c r="H2776" t="s">
        <v>19447</v>
      </c>
      <c r="I2776" t="s">
        <v>19447</v>
      </c>
      <c r="J2776">
        <v>2</v>
      </c>
      <c r="L2776" t="s">
        <v>2709</v>
      </c>
      <c r="M2776">
        <v>29241932</v>
      </c>
      <c r="O2776" t="s">
        <v>20025</v>
      </c>
      <c r="P2776" t="s">
        <v>19900</v>
      </c>
      <c r="Q2776" t="s">
        <v>19900</v>
      </c>
      <c r="R2776" t="s">
        <v>19447</v>
      </c>
      <c r="S2776" t="s">
        <v>19447</v>
      </c>
      <c r="T2776" t="s">
        <v>19901</v>
      </c>
    </row>
    <row r="2777" spans="2:20" x14ac:dyDescent="0.25">
      <c r="B2777" t="s">
        <v>2709</v>
      </c>
      <c r="C2777">
        <v>29241939</v>
      </c>
      <c r="E2777">
        <v>66.7</v>
      </c>
      <c r="F2777">
        <v>0</v>
      </c>
      <c r="G2777">
        <v>0</v>
      </c>
      <c r="H2777" t="s">
        <v>19447</v>
      </c>
      <c r="I2777" t="s">
        <v>19447</v>
      </c>
      <c r="J2777">
        <v>2</v>
      </c>
      <c r="L2777" t="s">
        <v>2709</v>
      </c>
      <c r="M2777">
        <v>29241939</v>
      </c>
      <c r="O2777" t="s">
        <v>20025</v>
      </c>
      <c r="P2777" t="s">
        <v>19900</v>
      </c>
      <c r="Q2777" t="s">
        <v>19900</v>
      </c>
      <c r="R2777" t="s">
        <v>19447</v>
      </c>
      <c r="S2777" t="s">
        <v>19447</v>
      </c>
      <c r="T2777" t="s">
        <v>19901</v>
      </c>
    </row>
    <row r="2778" spans="2:20" x14ac:dyDescent="0.25">
      <c r="B2778" t="s">
        <v>2709</v>
      </c>
      <c r="C2778">
        <v>29241942</v>
      </c>
      <c r="E2778">
        <v>66.7</v>
      </c>
      <c r="F2778">
        <v>0</v>
      </c>
      <c r="G2778">
        <v>0</v>
      </c>
      <c r="H2778" t="s">
        <v>19447</v>
      </c>
      <c r="I2778" t="s">
        <v>19447</v>
      </c>
      <c r="J2778">
        <v>14</v>
      </c>
      <c r="L2778" t="s">
        <v>2709</v>
      </c>
      <c r="M2778">
        <v>29241942</v>
      </c>
      <c r="O2778" t="s">
        <v>20025</v>
      </c>
      <c r="P2778" t="s">
        <v>19900</v>
      </c>
      <c r="Q2778" t="s">
        <v>19900</v>
      </c>
      <c r="R2778" t="s">
        <v>19447</v>
      </c>
      <c r="S2778" t="s">
        <v>19447</v>
      </c>
      <c r="T2778" t="s">
        <v>19911</v>
      </c>
    </row>
    <row r="2779" spans="2:20" x14ac:dyDescent="0.25">
      <c r="B2779" t="s">
        <v>2709</v>
      </c>
      <c r="C2779">
        <v>29241949</v>
      </c>
      <c r="E2779">
        <v>66.7</v>
      </c>
      <c r="F2779">
        <v>0</v>
      </c>
      <c r="G2779">
        <v>0</v>
      </c>
      <c r="H2779" t="s">
        <v>19447</v>
      </c>
      <c r="I2779" t="s">
        <v>19447</v>
      </c>
      <c r="J2779">
        <v>2</v>
      </c>
      <c r="L2779" t="s">
        <v>2709</v>
      </c>
      <c r="M2779">
        <v>29241949</v>
      </c>
      <c r="O2779" t="s">
        <v>20025</v>
      </c>
      <c r="P2779" t="s">
        <v>19900</v>
      </c>
      <c r="Q2779" t="s">
        <v>19900</v>
      </c>
      <c r="R2779" t="s">
        <v>19447</v>
      </c>
      <c r="S2779" t="s">
        <v>19447</v>
      </c>
      <c r="T2779" t="s">
        <v>19901</v>
      </c>
    </row>
    <row r="2780" spans="2:20" x14ac:dyDescent="0.25">
      <c r="B2780" t="s">
        <v>2709</v>
      </c>
      <c r="C2780">
        <v>29241991</v>
      </c>
      <c r="E2780">
        <v>66.7</v>
      </c>
      <c r="F2780">
        <v>0</v>
      </c>
      <c r="G2780">
        <v>0</v>
      </c>
      <c r="H2780" t="s">
        <v>19447</v>
      </c>
      <c r="I2780" t="s">
        <v>19447</v>
      </c>
      <c r="J2780">
        <v>2</v>
      </c>
      <c r="L2780" t="s">
        <v>2709</v>
      </c>
      <c r="M2780">
        <v>29241991</v>
      </c>
      <c r="O2780" t="s">
        <v>20025</v>
      </c>
      <c r="P2780" t="s">
        <v>19900</v>
      </c>
      <c r="Q2780" t="s">
        <v>19900</v>
      </c>
      <c r="R2780" t="s">
        <v>19447</v>
      </c>
      <c r="S2780" t="s">
        <v>19447</v>
      </c>
      <c r="T2780" t="s">
        <v>19901</v>
      </c>
    </row>
    <row r="2781" spans="2:20" x14ac:dyDescent="0.25">
      <c r="B2781" t="s">
        <v>2709</v>
      </c>
      <c r="C2781">
        <v>29241992</v>
      </c>
      <c r="E2781">
        <v>66.7</v>
      </c>
      <c r="F2781">
        <v>0</v>
      </c>
      <c r="G2781">
        <v>0</v>
      </c>
      <c r="H2781" t="s">
        <v>19447</v>
      </c>
      <c r="I2781" t="s">
        <v>19447</v>
      </c>
      <c r="J2781">
        <v>2</v>
      </c>
      <c r="L2781" t="s">
        <v>2709</v>
      </c>
      <c r="M2781">
        <v>29241992</v>
      </c>
      <c r="O2781" t="s">
        <v>20025</v>
      </c>
      <c r="P2781" t="s">
        <v>19900</v>
      </c>
      <c r="Q2781" t="s">
        <v>19900</v>
      </c>
      <c r="R2781" t="s">
        <v>19447</v>
      </c>
      <c r="S2781" t="s">
        <v>19447</v>
      </c>
      <c r="T2781" t="s">
        <v>19901</v>
      </c>
    </row>
    <row r="2782" spans="2:20" x14ac:dyDescent="0.25">
      <c r="B2782" t="s">
        <v>2709</v>
      </c>
      <c r="C2782">
        <v>29241993</v>
      </c>
      <c r="E2782">
        <v>66.7</v>
      </c>
      <c r="F2782">
        <v>0</v>
      </c>
      <c r="G2782">
        <v>0</v>
      </c>
      <c r="H2782" t="s">
        <v>19447</v>
      </c>
      <c r="I2782" t="s">
        <v>19447</v>
      </c>
      <c r="J2782">
        <v>14</v>
      </c>
      <c r="L2782" t="s">
        <v>2709</v>
      </c>
      <c r="M2782">
        <v>29241993</v>
      </c>
      <c r="O2782" t="s">
        <v>20025</v>
      </c>
      <c r="P2782" t="s">
        <v>19900</v>
      </c>
      <c r="Q2782" t="s">
        <v>19900</v>
      </c>
      <c r="R2782" t="s">
        <v>19447</v>
      </c>
      <c r="S2782" t="s">
        <v>19447</v>
      </c>
      <c r="T2782" t="s">
        <v>19911</v>
      </c>
    </row>
    <row r="2783" spans="2:20" x14ac:dyDescent="0.25">
      <c r="B2783" t="s">
        <v>2709</v>
      </c>
      <c r="C2783">
        <v>29241994</v>
      </c>
      <c r="E2783">
        <v>66.7</v>
      </c>
      <c r="F2783">
        <v>0</v>
      </c>
      <c r="G2783">
        <v>0</v>
      </c>
      <c r="H2783" t="s">
        <v>19447</v>
      </c>
      <c r="I2783" t="s">
        <v>19447</v>
      </c>
      <c r="J2783">
        <v>14</v>
      </c>
      <c r="L2783" t="s">
        <v>2709</v>
      </c>
      <c r="M2783">
        <v>29241994</v>
      </c>
      <c r="O2783" t="s">
        <v>20025</v>
      </c>
      <c r="P2783" t="s">
        <v>19900</v>
      </c>
      <c r="Q2783" t="s">
        <v>19900</v>
      </c>
      <c r="R2783" t="s">
        <v>19447</v>
      </c>
      <c r="S2783" t="s">
        <v>19447</v>
      </c>
      <c r="T2783" t="s">
        <v>19911</v>
      </c>
    </row>
    <row r="2784" spans="2:20" x14ac:dyDescent="0.25">
      <c r="B2784" t="s">
        <v>2709</v>
      </c>
      <c r="C2784">
        <v>29241999</v>
      </c>
      <c r="E2784">
        <v>66.7</v>
      </c>
      <c r="F2784">
        <v>0</v>
      </c>
      <c r="G2784">
        <v>0</v>
      </c>
      <c r="H2784" t="s">
        <v>19447</v>
      </c>
      <c r="I2784" t="s">
        <v>19447</v>
      </c>
      <c r="J2784">
        <v>2</v>
      </c>
      <c r="L2784" t="s">
        <v>2709</v>
      </c>
      <c r="M2784">
        <v>29241999</v>
      </c>
      <c r="O2784" t="s">
        <v>20025</v>
      </c>
      <c r="P2784" t="s">
        <v>19900</v>
      </c>
      <c r="Q2784" t="s">
        <v>19900</v>
      </c>
      <c r="R2784" t="s">
        <v>19447</v>
      </c>
      <c r="S2784" t="s">
        <v>19447</v>
      </c>
      <c r="T2784" t="s">
        <v>19901</v>
      </c>
    </row>
    <row r="2785" spans="2:20" x14ac:dyDescent="0.25">
      <c r="B2785" t="s">
        <v>2709</v>
      </c>
      <c r="C2785">
        <v>29242111</v>
      </c>
      <c r="E2785">
        <v>68.819999999999993</v>
      </c>
      <c r="F2785">
        <v>0</v>
      </c>
      <c r="G2785">
        <v>0</v>
      </c>
      <c r="H2785" t="s">
        <v>19447</v>
      </c>
      <c r="I2785" t="s">
        <v>19447</v>
      </c>
      <c r="J2785">
        <v>2</v>
      </c>
      <c r="L2785" t="s">
        <v>2709</v>
      </c>
      <c r="M2785">
        <v>29242111</v>
      </c>
      <c r="O2785" t="s">
        <v>20028</v>
      </c>
      <c r="P2785" t="s">
        <v>19900</v>
      </c>
      <c r="Q2785" t="s">
        <v>19900</v>
      </c>
      <c r="R2785" t="s">
        <v>19447</v>
      </c>
      <c r="S2785" t="s">
        <v>19447</v>
      </c>
      <c r="T2785" t="s">
        <v>19901</v>
      </c>
    </row>
    <row r="2786" spans="2:20" x14ac:dyDescent="0.25">
      <c r="B2786" t="s">
        <v>2709</v>
      </c>
      <c r="C2786">
        <v>29242119</v>
      </c>
      <c r="E2786">
        <v>68.819999999999993</v>
      </c>
      <c r="F2786">
        <v>0</v>
      </c>
      <c r="G2786">
        <v>0</v>
      </c>
      <c r="H2786" t="s">
        <v>19447</v>
      </c>
      <c r="I2786" t="s">
        <v>19447</v>
      </c>
      <c r="J2786">
        <v>2</v>
      </c>
      <c r="L2786" t="s">
        <v>2709</v>
      </c>
      <c r="M2786">
        <v>29242119</v>
      </c>
      <c r="O2786" t="s">
        <v>20028</v>
      </c>
      <c r="P2786" t="s">
        <v>19900</v>
      </c>
      <c r="Q2786" t="s">
        <v>19900</v>
      </c>
      <c r="R2786" t="s">
        <v>19447</v>
      </c>
      <c r="S2786" t="s">
        <v>19447</v>
      </c>
      <c r="T2786" t="s">
        <v>19901</v>
      </c>
    </row>
    <row r="2787" spans="2:20" x14ac:dyDescent="0.25">
      <c r="B2787" t="s">
        <v>2709</v>
      </c>
      <c r="C2787">
        <v>29242120</v>
      </c>
      <c r="E2787">
        <v>68.819999999999993</v>
      </c>
      <c r="F2787">
        <v>0</v>
      </c>
      <c r="G2787">
        <v>0</v>
      </c>
      <c r="H2787" t="s">
        <v>19447</v>
      </c>
      <c r="I2787" t="s">
        <v>19447</v>
      </c>
      <c r="J2787">
        <v>14</v>
      </c>
      <c r="L2787" t="s">
        <v>2709</v>
      </c>
      <c r="M2787">
        <v>29242120</v>
      </c>
      <c r="O2787" t="s">
        <v>20028</v>
      </c>
      <c r="P2787" t="s">
        <v>19900</v>
      </c>
      <c r="Q2787" t="s">
        <v>19900</v>
      </c>
      <c r="R2787" t="s">
        <v>19447</v>
      </c>
      <c r="S2787" t="s">
        <v>19447</v>
      </c>
      <c r="T2787" t="s">
        <v>19911</v>
      </c>
    </row>
    <row r="2788" spans="2:20" x14ac:dyDescent="0.25">
      <c r="B2788" t="s">
        <v>2709</v>
      </c>
      <c r="C2788">
        <v>29242190</v>
      </c>
      <c r="E2788">
        <v>68.819999999999993</v>
      </c>
      <c r="F2788">
        <v>0</v>
      </c>
      <c r="G2788">
        <v>0</v>
      </c>
      <c r="H2788" t="s">
        <v>19447</v>
      </c>
      <c r="I2788" t="s">
        <v>19447</v>
      </c>
      <c r="J2788">
        <v>2</v>
      </c>
      <c r="L2788" t="s">
        <v>2709</v>
      </c>
      <c r="M2788">
        <v>29242190</v>
      </c>
      <c r="O2788" t="s">
        <v>20028</v>
      </c>
      <c r="P2788" t="s">
        <v>19900</v>
      </c>
      <c r="Q2788" t="s">
        <v>19900</v>
      </c>
      <c r="R2788" t="s">
        <v>19447</v>
      </c>
      <c r="S2788" t="s">
        <v>19447</v>
      </c>
      <c r="T2788" t="s">
        <v>19901</v>
      </c>
    </row>
    <row r="2789" spans="2:20" x14ac:dyDescent="0.25">
      <c r="B2789" t="s">
        <v>2709</v>
      </c>
      <c r="C2789">
        <v>29242300</v>
      </c>
      <c r="E2789">
        <v>68.819999999999993</v>
      </c>
      <c r="F2789">
        <v>0</v>
      </c>
      <c r="G2789">
        <v>0</v>
      </c>
      <c r="H2789" t="s">
        <v>19447</v>
      </c>
      <c r="I2789" t="s">
        <v>19447</v>
      </c>
      <c r="J2789">
        <v>2</v>
      </c>
      <c r="L2789" t="s">
        <v>2709</v>
      </c>
      <c r="M2789">
        <v>29242300</v>
      </c>
      <c r="O2789" t="s">
        <v>20028</v>
      </c>
      <c r="P2789" t="s">
        <v>19900</v>
      </c>
      <c r="Q2789" t="s">
        <v>19900</v>
      </c>
      <c r="R2789" t="s">
        <v>19447</v>
      </c>
      <c r="S2789" t="s">
        <v>19447</v>
      </c>
      <c r="T2789" t="s">
        <v>19901</v>
      </c>
    </row>
    <row r="2790" spans="2:20" x14ac:dyDescent="0.25">
      <c r="B2790" t="s">
        <v>2709</v>
      </c>
      <c r="C2790">
        <v>29242400</v>
      </c>
      <c r="E2790">
        <v>68.819999999999993</v>
      </c>
      <c r="F2790">
        <v>0</v>
      </c>
      <c r="G2790">
        <v>0</v>
      </c>
      <c r="H2790" t="s">
        <v>19447</v>
      </c>
      <c r="I2790" t="s">
        <v>19447</v>
      </c>
      <c r="J2790">
        <v>2</v>
      </c>
      <c r="L2790" t="s">
        <v>2709</v>
      </c>
      <c r="M2790">
        <v>29242400</v>
      </c>
      <c r="O2790" t="s">
        <v>20028</v>
      </c>
      <c r="P2790" t="s">
        <v>19900</v>
      </c>
      <c r="Q2790" t="s">
        <v>19900</v>
      </c>
      <c r="R2790" t="s">
        <v>19447</v>
      </c>
      <c r="S2790" t="s">
        <v>19447</v>
      </c>
      <c r="T2790" t="s">
        <v>19901</v>
      </c>
    </row>
    <row r="2791" spans="2:20" x14ac:dyDescent="0.25">
      <c r="B2791" t="s">
        <v>2709</v>
      </c>
      <c r="C2791">
        <v>29242911</v>
      </c>
      <c r="E2791">
        <v>68.819999999999993</v>
      </c>
      <c r="F2791">
        <v>0</v>
      </c>
      <c r="G2791">
        <v>0</v>
      </c>
      <c r="H2791" t="s">
        <v>19447</v>
      </c>
      <c r="I2791" t="s">
        <v>19447</v>
      </c>
      <c r="J2791">
        <v>12</v>
      </c>
      <c r="L2791" t="s">
        <v>2709</v>
      </c>
      <c r="M2791">
        <v>29242911</v>
      </c>
      <c r="O2791" t="s">
        <v>20028</v>
      </c>
      <c r="P2791" t="s">
        <v>19900</v>
      </c>
      <c r="Q2791" t="s">
        <v>19900</v>
      </c>
      <c r="R2791" t="s">
        <v>19447</v>
      </c>
      <c r="S2791" t="s">
        <v>19447</v>
      </c>
      <c r="T2791" t="s">
        <v>19903</v>
      </c>
    </row>
    <row r="2792" spans="2:20" x14ac:dyDescent="0.25">
      <c r="B2792" t="s">
        <v>2709</v>
      </c>
      <c r="C2792">
        <v>29242912</v>
      </c>
      <c r="E2792">
        <v>68.819999999999993</v>
      </c>
      <c r="F2792">
        <v>0</v>
      </c>
      <c r="G2792">
        <v>0</v>
      </c>
      <c r="H2792" t="s">
        <v>19447</v>
      </c>
      <c r="I2792" t="s">
        <v>19447</v>
      </c>
      <c r="J2792">
        <v>2</v>
      </c>
      <c r="L2792" t="s">
        <v>2709</v>
      </c>
      <c r="M2792">
        <v>29242912</v>
      </c>
      <c r="O2792" t="s">
        <v>20028</v>
      </c>
      <c r="P2792" t="s">
        <v>19900</v>
      </c>
      <c r="Q2792" t="s">
        <v>19900</v>
      </c>
      <c r="R2792" t="s">
        <v>19447</v>
      </c>
      <c r="S2792" t="s">
        <v>19447</v>
      </c>
      <c r="T2792" t="s">
        <v>19901</v>
      </c>
    </row>
    <row r="2793" spans="2:20" x14ac:dyDescent="0.25">
      <c r="B2793" t="s">
        <v>2709</v>
      </c>
      <c r="C2793">
        <v>29242913</v>
      </c>
      <c r="E2793">
        <v>68.819999999999993</v>
      </c>
      <c r="F2793">
        <v>0</v>
      </c>
      <c r="G2793">
        <v>0</v>
      </c>
      <c r="H2793" t="s">
        <v>19447</v>
      </c>
      <c r="I2793" t="s">
        <v>19447</v>
      </c>
      <c r="J2793">
        <v>14</v>
      </c>
      <c r="L2793" t="s">
        <v>2709</v>
      </c>
      <c r="M2793">
        <v>29242913</v>
      </c>
      <c r="O2793" t="s">
        <v>20028</v>
      </c>
      <c r="P2793" t="s">
        <v>19900</v>
      </c>
      <c r="Q2793" t="s">
        <v>19900</v>
      </c>
      <c r="R2793" t="s">
        <v>19447</v>
      </c>
      <c r="S2793" t="s">
        <v>19447</v>
      </c>
      <c r="T2793" t="s">
        <v>19911</v>
      </c>
    </row>
    <row r="2794" spans="2:20" x14ac:dyDescent="0.25">
      <c r="B2794" t="s">
        <v>2709</v>
      </c>
      <c r="C2794">
        <v>29242914</v>
      </c>
      <c r="E2794">
        <v>68.819999999999993</v>
      </c>
      <c r="F2794">
        <v>0</v>
      </c>
      <c r="G2794">
        <v>0</v>
      </c>
      <c r="H2794" t="s">
        <v>19447</v>
      </c>
      <c r="I2794" t="s">
        <v>19447</v>
      </c>
      <c r="J2794">
        <v>14</v>
      </c>
      <c r="L2794" t="s">
        <v>2709</v>
      </c>
      <c r="M2794">
        <v>29242914</v>
      </c>
      <c r="O2794" t="s">
        <v>20028</v>
      </c>
      <c r="P2794" t="s">
        <v>19900</v>
      </c>
      <c r="Q2794" t="s">
        <v>19900</v>
      </c>
      <c r="R2794" t="s">
        <v>19447</v>
      </c>
      <c r="S2794" t="s">
        <v>19447</v>
      </c>
      <c r="T2794" t="s">
        <v>19911</v>
      </c>
    </row>
    <row r="2795" spans="2:20" x14ac:dyDescent="0.25">
      <c r="B2795" t="s">
        <v>2709</v>
      </c>
      <c r="C2795">
        <v>29242915</v>
      </c>
      <c r="E2795">
        <v>68.819999999999993</v>
      </c>
      <c r="F2795">
        <v>0</v>
      </c>
      <c r="G2795">
        <v>0</v>
      </c>
      <c r="H2795" t="s">
        <v>19447</v>
      </c>
      <c r="I2795" t="s">
        <v>19447</v>
      </c>
      <c r="J2795">
        <v>14</v>
      </c>
      <c r="L2795" t="s">
        <v>2709</v>
      </c>
      <c r="M2795">
        <v>29242915</v>
      </c>
      <c r="O2795" t="s">
        <v>20028</v>
      </c>
      <c r="P2795" t="s">
        <v>19900</v>
      </c>
      <c r="Q2795" t="s">
        <v>19900</v>
      </c>
      <c r="R2795" t="s">
        <v>19447</v>
      </c>
      <c r="S2795" t="s">
        <v>19447</v>
      </c>
      <c r="T2795" t="s">
        <v>19911</v>
      </c>
    </row>
    <row r="2796" spans="2:20" x14ac:dyDescent="0.25">
      <c r="B2796" t="s">
        <v>2709</v>
      </c>
      <c r="C2796">
        <v>29242919</v>
      </c>
      <c r="E2796">
        <v>68.819999999999993</v>
      </c>
      <c r="F2796">
        <v>0</v>
      </c>
      <c r="G2796">
        <v>0</v>
      </c>
      <c r="H2796" t="s">
        <v>19447</v>
      </c>
      <c r="I2796" t="s">
        <v>19447</v>
      </c>
      <c r="J2796">
        <v>2</v>
      </c>
      <c r="L2796" t="s">
        <v>2709</v>
      </c>
      <c r="M2796">
        <v>29242919</v>
      </c>
      <c r="O2796" t="s">
        <v>20028</v>
      </c>
      <c r="P2796" t="s">
        <v>19900</v>
      </c>
      <c r="Q2796" t="s">
        <v>19900</v>
      </c>
      <c r="R2796" t="s">
        <v>19447</v>
      </c>
      <c r="S2796" t="s">
        <v>19447</v>
      </c>
      <c r="T2796" t="s">
        <v>19901</v>
      </c>
    </row>
    <row r="2797" spans="2:20" x14ac:dyDescent="0.25">
      <c r="B2797" t="s">
        <v>2709</v>
      </c>
      <c r="C2797">
        <v>29242920</v>
      </c>
      <c r="E2797">
        <v>68.819999999999993</v>
      </c>
      <c r="F2797">
        <v>0</v>
      </c>
      <c r="G2797">
        <v>0</v>
      </c>
      <c r="H2797" t="s">
        <v>19447</v>
      </c>
      <c r="I2797" t="s">
        <v>19447</v>
      </c>
      <c r="J2797">
        <v>2</v>
      </c>
      <c r="L2797" t="s">
        <v>2709</v>
      </c>
      <c r="M2797">
        <v>29242920</v>
      </c>
      <c r="O2797" t="s">
        <v>20028</v>
      </c>
      <c r="P2797" t="s">
        <v>19900</v>
      </c>
      <c r="Q2797" t="s">
        <v>19900</v>
      </c>
      <c r="R2797" t="s">
        <v>19447</v>
      </c>
      <c r="S2797" t="s">
        <v>19447</v>
      </c>
      <c r="T2797" t="s">
        <v>19901</v>
      </c>
    </row>
    <row r="2798" spans="2:20" x14ac:dyDescent="0.25">
      <c r="B2798" t="s">
        <v>2709</v>
      </c>
      <c r="C2798">
        <v>29242931</v>
      </c>
      <c r="E2798">
        <v>68.819999999999993</v>
      </c>
      <c r="F2798">
        <v>0</v>
      </c>
      <c r="G2798">
        <v>0</v>
      </c>
      <c r="H2798" t="s">
        <v>19447</v>
      </c>
      <c r="I2798" t="s">
        <v>19447</v>
      </c>
      <c r="J2798">
        <v>2</v>
      </c>
      <c r="L2798" t="s">
        <v>2709</v>
      </c>
      <c r="M2798">
        <v>29242931</v>
      </c>
      <c r="O2798" t="s">
        <v>20028</v>
      </c>
      <c r="P2798" t="s">
        <v>19900</v>
      </c>
      <c r="Q2798" t="s">
        <v>19900</v>
      </c>
      <c r="R2798" t="s">
        <v>19447</v>
      </c>
      <c r="S2798" t="s">
        <v>19447</v>
      </c>
      <c r="T2798" t="s">
        <v>19901</v>
      </c>
    </row>
    <row r="2799" spans="2:20" x14ac:dyDescent="0.25">
      <c r="B2799" t="s">
        <v>2709</v>
      </c>
      <c r="C2799">
        <v>29242932</v>
      </c>
      <c r="E2799">
        <v>68.819999999999993</v>
      </c>
      <c r="F2799">
        <v>0</v>
      </c>
      <c r="G2799">
        <v>0</v>
      </c>
      <c r="H2799" t="s">
        <v>19447</v>
      </c>
      <c r="I2799" t="s">
        <v>19447</v>
      </c>
      <c r="J2799">
        <v>2</v>
      </c>
      <c r="L2799" t="s">
        <v>2709</v>
      </c>
      <c r="M2799">
        <v>29242932</v>
      </c>
      <c r="O2799" t="s">
        <v>20028</v>
      </c>
      <c r="P2799" t="s">
        <v>19900</v>
      </c>
      <c r="Q2799" t="s">
        <v>19900</v>
      </c>
      <c r="R2799" t="s">
        <v>19447</v>
      </c>
      <c r="S2799" t="s">
        <v>19447</v>
      </c>
      <c r="T2799" t="s">
        <v>19901</v>
      </c>
    </row>
    <row r="2800" spans="2:20" x14ac:dyDescent="0.25">
      <c r="B2800" t="s">
        <v>2709</v>
      </c>
      <c r="C2800">
        <v>29242939</v>
      </c>
      <c r="E2800">
        <v>68.819999999999993</v>
      </c>
      <c r="F2800">
        <v>0</v>
      </c>
      <c r="G2800">
        <v>0</v>
      </c>
      <c r="H2800" t="s">
        <v>19447</v>
      </c>
      <c r="I2800" t="s">
        <v>19447</v>
      </c>
      <c r="J2800">
        <v>2</v>
      </c>
      <c r="L2800" t="s">
        <v>2709</v>
      </c>
      <c r="M2800">
        <v>29242939</v>
      </c>
      <c r="O2800" t="s">
        <v>20028</v>
      </c>
      <c r="P2800" t="s">
        <v>19900</v>
      </c>
      <c r="Q2800" t="s">
        <v>19900</v>
      </c>
      <c r="R2800" t="s">
        <v>19447</v>
      </c>
      <c r="S2800" t="s">
        <v>19447</v>
      </c>
      <c r="T2800" t="s">
        <v>19901</v>
      </c>
    </row>
    <row r="2801" spans="2:20" x14ac:dyDescent="0.25">
      <c r="B2801" t="s">
        <v>2709</v>
      </c>
      <c r="C2801">
        <v>29242941</v>
      </c>
      <c r="E2801">
        <v>68.819999999999993</v>
      </c>
      <c r="F2801">
        <v>0</v>
      </c>
      <c r="G2801">
        <v>0</v>
      </c>
      <c r="H2801" t="s">
        <v>19447</v>
      </c>
      <c r="I2801" t="s">
        <v>19447</v>
      </c>
      <c r="J2801">
        <v>2</v>
      </c>
      <c r="L2801" t="s">
        <v>2709</v>
      </c>
      <c r="M2801">
        <v>29242941</v>
      </c>
      <c r="O2801" t="s">
        <v>20028</v>
      </c>
      <c r="P2801" t="s">
        <v>19900</v>
      </c>
      <c r="Q2801" t="s">
        <v>19900</v>
      </c>
      <c r="R2801" t="s">
        <v>19447</v>
      </c>
      <c r="S2801" t="s">
        <v>19447</v>
      </c>
      <c r="T2801" t="s">
        <v>19901</v>
      </c>
    </row>
    <row r="2802" spans="2:20" x14ac:dyDescent="0.25">
      <c r="B2802" t="s">
        <v>2709</v>
      </c>
      <c r="C2802">
        <v>29242942</v>
      </c>
      <c r="E2802">
        <v>68.819999999999993</v>
      </c>
      <c r="F2802">
        <v>0</v>
      </c>
      <c r="G2802">
        <v>0</v>
      </c>
      <c r="H2802" t="s">
        <v>19447</v>
      </c>
      <c r="I2802" t="s">
        <v>19447</v>
      </c>
      <c r="J2802">
        <v>14</v>
      </c>
      <c r="L2802" t="s">
        <v>2709</v>
      </c>
      <c r="M2802">
        <v>29242942</v>
      </c>
      <c r="O2802" t="s">
        <v>20028</v>
      </c>
      <c r="P2802" t="s">
        <v>19900</v>
      </c>
      <c r="Q2802" t="s">
        <v>19900</v>
      </c>
      <c r="R2802" t="s">
        <v>19447</v>
      </c>
      <c r="S2802" t="s">
        <v>19447</v>
      </c>
      <c r="T2802" t="s">
        <v>19911</v>
      </c>
    </row>
    <row r="2803" spans="2:20" x14ac:dyDescent="0.25">
      <c r="B2803" t="s">
        <v>2709</v>
      </c>
      <c r="C2803">
        <v>29242943</v>
      </c>
      <c r="E2803">
        <v>68.819999999999993</v>
      </c>
      <c r="F2803">
        <v>0</v>
      </c>
      <c r="G2803">
        <v>0</v>
      </c>
      <c r="H2803" t="s">
        <v>19447</v>
      </c>
      <c r="I2803" t="s">
        <v>19447</v>
      </c>
      <c r="J2803">
        <v>2</v>
      </c>
      <c r="L2803" t="s">
        <v>2709</v>
      </c>
      <c r="M2803">
        <v>29242943</v>
      </c>
      <c r="O2803" t="s">
        <v>20028</v>
      </c>
      <c r="P2803" t="s">
        <v>19900</v>
      </c>
      <c r="Q2803" t="s">
        <v>19900</v>
      </c>
      <c r="R2803" t="s">
        <v>19447</v>
      </c>
      <c r="S2803" t="s">
        <v>19447</v>
      </c>
      <c r="T2803" t="s">
        <v>19901</v>
      </c>
    </row>
    <row r="2804" spans="2:20" x14ac:dyDescent="0.25">
      <c r="B2804" t="s">
        <v>2709</v>
      </c>
      <c r="C2804">
        <v>29242944</v>
      </c>
      <c r="E2804">
        <v>68.819999999999993</v>
      </c>
      <c r="F2804">
        <v>0</v>
      </c>
      <c r="G2804">
        <v>0</v>
      </c>
      <c r="H2804" t="s">
        <v>19447</v>
      </c>
      <c r="I2804" t="s">
        <v>19447</v>
      </c>
      <c r="J2804">
        <v>2</v>
      </c>
      <c r="L2804" t="s">
        <v>2709</v>
      </c>
      <c r="M2804">
        <v>29242944</v>
      </c>
      <c r="O2804" t="s">
        <v>20028</v>
      </c>
      <c r="P2804" t="s">
        <v>19900</v>
      </c>
      <c r="Q2804" t="s">
        <v>19900</v>
      </c>
      <c r="R2804" t="s">
        <v>19447</v>
      </c>
      <c r="S2804" t="s">
        <v>19447</v>
      </c>
      <c r="T2804" t="s">
        <v>19901</v>
      </c>
    </row>
    <row r="2805" spans="2:20" x14ac:dyDescent="0.25">
      <c r="B2805" t="s">
        <v>2709</v>
      </c>
      <c r="C2805">
        <v>29242945</v>
      </c>
      <c r="E2805">
        <v>68.819999999999993</v>
      </c>
      <c r="F2805">
        <v>0</v>
      </c>
      <c r="G2805">
        <v>0</v>
      </c>
      <c r="H2805" t="s">
        <v>19447</v>
      </c>
      <c r="I2805" t="s">
        <v>19447</v>
      </c>
      <c r="J2805">
        <v>2</v>
      </c>
      <c r="L2805" t="s">
        <v>2709</v>
      </c>
      <c r="M2805">
        <v>29242945</v>
      </c>
      <c r="O2805" t="s">
        <v>20028</v>
      </c>
      <c r="P2805" t="s">
        <v>19900</v>
      </c>
      <c r="Q2805" t="s">
        <v>19900</v>
      </c>
      <c r="R2805" t="s">
        <v>19447</v>
      </c>
      <c r="S2805" t="s">
        <v>19447</v>
      </c>
      <c r="T2805" t="s">
        <v>19901</v>
      </c>
    </row>
    <row r="2806" spans="2:20" x14ac:dyDescent="0.25">
      <c r="B2806" t="s">
        <v>2709</v>
      </c>
      <c r="C2806">
        <v>29242946</v>
      </c>
      <c r="E2806">
        <v>68.819999999999993</v>
      </c>
      <c r="F2806">
        <v>0</v>
      </c>
      <c r="G2806">
        <v>0</v>
      </c>
      <c r="H2806" t="s">
        <v>19447</v>
      </c>
      <c r="I2806" t="s">
        <v>19447</v>
      </c>
      <c r="J2806">
        <v>14</v>
      </c>
      <c r="L2806" t="s">
        <v>2709</v>
      </c>
      <c r="M2806">
        <v>29242946</v>
      </c>
      <c r="O2806" t="s">
        <v>20028</v>
      </c>
      <c r="P2806" t="s">
        <v>19900</v>
      </c>
      <c r="Q2806" t="s">
        <v>19900</v>
      </c>
      <c r="R2806" t="s">
        <v>19447</v>
      </c>
      <c r="S2806" t="s">
        <v>19447</v>
      </c>
      <c r="T2806" t="s">
        <v>19911</v>
      </c>
    </row>
    <row r="2807" spans="2:20" x14ac:dyDescent="0.25">
      <c r="B2807" t="s">
        <v>2709</v>
      </c>
      <c r="C2807">
        <v>29242947</v>
      </c>
      <c r="E2807">
        <v>68.819999999999993</v>
      </c>
      <c r="F2807">
        <v>0</v>
      </c>
      <c r="G2807">
        <v>0</v>
      </c>
      <c r="H2807" t="s">
        <v>19447</v>
      </c>
      <c r="I2807" t="s">
        <v>19447</v>
      </c>
      <c r="J2807">
        <v>2</v>
      </c>
      <c r="L2807" t="s">
        <v>2709</v>
      </c>
      <c r="M2807">
        <v>29242947</v>
      </c>
      <c r="O2807" t="s">
        <v>20028</v>
      </c>
      <c r="P2807" t="s">
        <v>19900</v>
      </c>
      <c r="Q2807" t="s">
        <v>19900</v>
      </c>
      <c r="R2807" t="s">
        <v>19447</v>
      </c>
      <c r="S2807" t="s">
        <v>19447</v>
      </c>
      <c r="T2807" t="s">
        <v>19901</v>
      </c>
    </row>
    <row r="2808" spans="2:20" x14ac:dyDescent="0.25">
      <c r="B2808" t="s">
        <v>2709</v>
      </c>
      <c r="C2808">
        <v>29242949</v>
      </c>
      <c r="E2808">
        <v>68.819999999999993</v>
      </c>
      <c r="F2808">
        <v>0</v>
      </c>
      <c r="G2808">
        <v>0</v>
      </c>
      <c r="H2808" t="s">
        <v>19447</v>
      </c>
      <c r="I2808" t="s">
        <v>19447</v>
      </c>
      <c r="J2808">
        <v>2</v>
      </c>
      <c r="L2808" t="s">
        <v>2709</v>
      </c>
      <c r="M2808">
        <v>29242949</v>
      </c>
      <c r="O2808" t="s">
        <v>20028</v>
      </c>
      <c r="P2808" t="s">
        <v>19900</v>
      </c>
      <c r="Q2808" t="s">
        <v>19900</v>
      </c>
      <c r="R2808" t="s">
        <v>19447</v>
      </c>
      <c r="S2808" t="s">
        <v>19447</v>
      </c>
      <c r="T2808" t="s">
        <v>19901</v>
      </c>
    </row>
    <row r="2809" spans="2:20" x14ac:dyDescent="0.25">
      <c r="B2809" t="s">
        <v>2709</v>
      </c>
      <c r="C2809">
        <v>29242951</v>
      </c>
      <c r="E2809">
        <v>68.819999999999993</v>
      </c>
      <c r="F2809">
        <v>0</v>
      </c>
      <c r="G2809">
        <v>0</v>
      </c>
      <c r="H2809" t="s">
        <v>19447</v>
      </c>
      <c r="I2809" t="s">
        <v>19447</v>
      </c>
      <c r="J2809">
        <v>14</v>
      </c>
      <c r="L2809" t="s">
        <v>2709</v>
      </c>
      <c r="M2809">
        <v>29242951</v>
      </c>
      <c r="O2809" t="s">
        <v>20028</v>
      </c>
      <c r="P2809" t="s">
        <v>19900</v>
      </c>
      <c r="Q2809" t="s">
        <v>19900</v>
      </c>
      <c r="R2809" t="s">
        <v>19447</v>
      </c>
      <c r="S2809" t="s">
        <v>19447</v>
      </c>
      <c r="T2809" t="s">
        <v>19911</v>
      </c>
    </row>
    <row r="2810" spans="2:20" x14ac:dyDescent="0.25">
      <c r="B2810" t="s">
        <v>2709</v>
      </c>
      <c r="C2810">
        <v>29242952</v>
      </c>
      <c r="E2810">
        <v>68.819999999999993</v>
      </c>
      <c r="F2810">
        <v>0</v>
      </c>
      <c r="G2810">
        <v>0</v>
      </c>
      <c r="H2810" t="s">
        <v>19447</v>
      </c>
      <c r="I2810" t="s">
        <v>19447</v>
      </c>
      <c r="J2810">
        <v>14</v>
      </c>
      <c r="L2810" t="s">
        <v>2709</v>
      </c>
      <c r="M2810">
        <v>29242952</v>
      </c>
      <c r="O2810" t="s">
        <v>20028</v>
      </c>
      <c r="P2810" t="s">
        <v>19900</v>
      </c>
      <c r="Q2810" t="s">
        <v>19900</v>
      </c>
      <c r="R2810" t="s">
        <v>19447</v>
      </c>
      <c r="S2810" t="s">
        <v>19447</v>
      </c>
      <c r="T2810" t="s">
        <v>19911</v>
      </c>
    </row>
    <row r="2811" spans="2:20" x14ac:dyDescent="0.25">
      <c r="B2811" t="s">
        <v>2709</v>
      </c>
      <c r="C2811">
        <v>29242959</v>
      </c>
      <c r="E2811">
        <v>68.819999999999993</v>
      </c>
      <c r="F2811">
        <v>0</v>
      </c>
      <c r="G2811">
        <v>0</v>
      </c>
      <c r="H2811" t="s">
        <v>19447</v>
      </c>
      <c r="I2811" t="s">
        <v>19447</v>
      </c>
      <c r="J2811">
        <v>2</v>
      </c>
      <c r="L2811" t="s">
        <v>2709</v>
      </c>
      <c r="M2811">
        <v>29242959</v>
      </c>
      <c r="O2811" t="s">
        <v>20028</v>
      </c>
      <c r="P2811" t="s">
        <v>19900</v>
      </c>
      <c r="Q2811" t="s">
        <v>19900</v>
      </c>
      <c r="R2811" t="s">
        <v>19447</v>
      </c>
      <c r="S2811" t="s">
        <v>19447</v>
      </c>
      <c r="T2811" t="s">
        <v>19901</v>
      </c>
    </row>
    <row r="2812" spans="2:20" x14ac:dyDescent="0.25">
      <c r="B2812" t="s">
        <v>2709</v>
      </c>
      <c r="C2812">
        <v>29242961</v>
      </c>
      <c r="E2812">
        <v>68.819999999999993</v>
      </c>
      <c r="F2812">
        <v>0</v>
      </c>
      <c r="G2812">
        <v>0</v>
      </c>
      <c r="H2812" t="s">
        <v>19447</v>
      </c>
      <c r="I2812" t="s">
        <v>19447</v>
      </c>
      <c r="J2812">
        <v>14</v>
      </c>
      <c r="L2812" t="s">
        <v>2709</v>
      </c>
      <c r="M2812">
        <v>29242961</v>
      </c>
      <c r="O2812" t="s">
        <v>20028</v>
      </c>
      <c r="P2812" t="s">
        <v>19900</v>
      </c>
      <c r="Q2812" t="s">
        <v>19900</v>
      </c>
      <c r="R2812" t="s">
        <v>19447</v>
      </c>
      <c r="S2812" t="s">
        <v>19447</v>
      </c>
      <c r="T2812" t="s">
        <v>19911</v>
      </c>
    </row>
    <row r="2813" spans="2:20" x14ac:dyDescent="0.25">
      <c r="B2813" t="s">
        <v>2709</v>
      </c>
      <c r="C2813">
        <v>29242962</v>
      </c>
      <c r="E2813">
        <v>68.819999999999993</v>
      </c>
      <c r="F2813">
        <v>0</v>
      </c>
      <c r="G2813">
        <v>0</v>
      </c>
      <c r="H2813" t="s">
        <v>19447</v>
      </c>
      <c r="I2813" t="s">
        <v>19447</v>
      </c>
      <c r="J2813">
        <v>14</v>
      </c>
      <c r="L2813" t="s">
        <v>2709</v>
      </c>
      <c r="M2813">
        <v>29242962</v>
      </c>
      <c r="O2813" t="s">
        <v>20028</v>
      </c>
      <c r="P2813" t="s">
        <v>19900</v>
      </c>
      <c r="Q2813" t="s">
        <v>19900</v>
      </c>
      <c r="R2813" t="s">
        <v>19447</v>
      </c>
      <c r="S2813" t="s">
        <v>19447</v>
      </c>
      <c r="T2813" t="s">
        <v>19911</v>
      </c>
    </row>
    <row r="2814" spans="2:20" x14ac:dyDescent="0.25">
      <c r="B2814" t="s">
        <v>2709</v>
      </c>
      <c r="C2814">
        <v>29242963</v>
      </c>
      <c r="E2814">
        <v>68.819999999999993</v>
      </c>
      <c r="F2814">
        <v>0</v>
      </c>
      <c r="G2814">
        <v>0</v>
      </c>
      <c r="H2814" t="s">
        <v>19447</v>
      </c>
      <c r="I2814" t="s">
        <v>19447</v>
      </c>
      <c r="J2814">
        <v>14</v>
      </c>
      <c r="L2814" t="s">
        <v>2709</v>
      </c>
      <c r="M2814">
        <v>29242963</v>
      </c>
      <c r="O2814" t="s">
        <v>20028</v>
      </c>
      <c r="P2814" t="s">
        <v>19900</v>
      </c>
      <c r="Q2814" t="s">
        <v>19900</v>
      </c>
      <c r="R2814" t="s">
        <v>19447</v>
      </c>
      <c r="S2814" t="s">
        <v>19447</v>
      </c>
      <c r="T2814" t="s">
        <v>19911</v>
      </c>
    </row>
    <row r="2815" spans="2:20" x14ac:dyDescent="0.25">
      <c r="B2815" t="s">
        <v>2709</v>
      </c>
      <c r="C2815">
        <v>29242964</v>
      </c>
      <c r="E2815">
        <v>68.819999999999993</v>
      </c>
      <c r="F2815">
        <v>0</v>
      </c>
      <c r="G2815">
        <v>0</v>
      </c>
      <c r="H2815" t="s">
        <v>19447</v>
      </c>
      <c r="I2815" t="s">
        <v>19447</v>
      </c>
      <c r="J2815">
        <v>2</v>
      </c>
      <c r="L2815" t="s">
        <v>2709</v>
      </c>
      <c r="M2815">
        <v>29242964</v>
      </c>
      <c r="O2815" t="s">
        <v>20028</v>
      </c>
      <c r="P2815" t="s">
        <v>19900</v>
      </c>
      <c r="Q2815" t="s">
        <v>19900</v>
      </c>
      <c r="R2815" t="s">
        <v>19447</v>
      </c>
      <c r="S2815" t="s">
        <v>19447</v>
      </c>
      <c r="T2815" t="s">
        <v>19901</v>
      </c>
    </row>
    <row r="2816" spans="2:20" x14ac:dyDescent="0.25">
      <c r="B2816" t="s">
        <v>2709</v>
      </c>
      <c r="C2816">
        <v>29242969</v>
      </c>
      <c r="E2816">
        <v>68.819999999999993</v>
      </c>
      <c r="F2816">
        <v>0</v>
      </c>
      <c r="G2816">
        <v>0</v>
      </c>
      <c r="H2816" t="s">
        <v>19447</v>
      </c>
      <c r="I2816" t="s">
        <v>19447</v>
      </c>
      <c r="J2816">
        <v>2</v>
      </c>
      <c r="L2816" t="s">
        <v>2709</v>
      </c>
      <c r="M2816">
        <v>29242969</v>
      </c>
      <c r="O2816" t="s">
        <v>20028</v>
      </c>
      <c r="P2816" t="s">
        <v>19900</v>
      </c>
      <c r="Q2816" t="s">
        <v>19900</v>
      </c>
      <c r="R2816" t="s">
        <v>19447</v>
      </c>
      <c r="S2816" t="s">
        <v>19447</v>
      </c>
      <c r="T2816" t="s">
        <v>19901</v>
      </c>
    </row>
    <row r="2817" spans="2:20" x14ac:dyDescent="0.25">
      <c r="B2817" t="s">
        <v>2709</v>
      </c>
      <c r="C2817">
        <v>29242991</v>
      </c>
      <c r="E2817">
        <v>42.33</v>
      </c>
      <c r="F2817">
        <v>0</v>
      </c>
      <c r="G2817">
        <v>0</v>
      </c>
      <c r="H2817" t="s">
        <v>19447</v>
      </c>
      <c r="I2817" t="s">
        <v>19447</v>
      </c>
      <c r="J2817">
        <v>2</v>
      </c>
      <c r="L2817" t="s">
        <v>2709</v>
      </c>
      <c r="M2817">
        <v>29242991</v>
      </c>
      <c r="O2817" t="s">
        <v>19920</v>
      </c>
      <c r="P2817" t="s">
        <v>19900</v>
      </c>
      <c r="Q2817" t="s">
        <v>19900</v>
      </c>
      <c r="R2817" t="s">
        <v>19447</v>
      </c>
      <c r="S2817" t="s">
        <v>19447</v>
      </c>
      <c r="T2817" t="s">
        <v>19901</v>
      </c>
    </row>
    <row r="2818" spans="2:20" x14ac:dyDescent="0.25">
      <c r="B2818" t="s">
        <v>2709</v>
      </c>
      <c r="C2818">
        <v>29242992</v>
      </c>
      <c r="E2818">
        <v>68.819999999999993</v>
      </c>
      <c r="F2818">
        <v>0</v>
      </c>
      <c r="G2818">
        <v>0</v>
      </c>
      <c r="H2818" t="s">
        <v>19447</v>
      </c>
      <c r="I2818" t="s">
        <v>19447</v>
      </c>
      <c r="J2818">
        <v>2</v>
      </c>
      <c r="L2818" t="s">
        <v>2709</v>
      </c>
      <c r="M2818">
        <v>29242992</v>
      </c>
      <c r="O2818" t="s">
        <v>20028</v>
      </c>
      <c r="P2818" t="s">
        <v>19900</v>
      </c>
      <c r="Q2818" t="s">
        <v>19900</v>
      </c>
      <c r="R2818" t="s">
        <v>19447</v>
      </c>
      <c r="S2818" t="s">
        <v>19447</v>
      </c>
      <c r="T2818" t="s">
        <v>19901</v>
      </c>
    </row>
    <row r="2819" spans="2:20" x14ac:dyDescent="0.25">
      <c r="B2819" t="s">
        <v>2709</v>
      </c>
      <c r="C2819">
        <v>29242993</v>
      </c>
      <c r="E2819">
        <v>68.819999999999993</v>
      </c>
      <c r="F2819">
        <v>0</v>
      </c>
      <c r="G2819">
        <v>0</v>
      </c>
      <c r="H2819" t="s">
        <v>19447</v>
      </c>
      <c r="I2819" t="s">
        <v>19447</v>
      </c>
      <c r="J2819">
        <v>2</v>
      </c>
      <c r="L2819" t="s">
        <v>2709</v>
      </c>
      <c r="M2819">
        <v>29242993</v>
      </c>
      <c r="O2819" t="s">
        <v>20028</v>
      </c>
      <c r="P2819" t="s">
        <v>19900</v>
      </c>
      <c r="Q2819" t="s">
        <v>19900</v>
      </c>
      <c r="R2819" t="s">
        <v>19447</v>
      </c>
      <c r="S2819" t="s">
        <v>19447</v>
      </c>
      <c r="T2819" t="s">
        <v>19901</v>
      </c>
    </row>
    <row r="2820" spans="2:20" x14ac:dyDescent="0.25">
      <c r="B2820" t="s">
        <v>2709</v>
      </c>
      <c r="C2820">
        <v>29242994</v>
      </c>
      <c r="E2820">
        <v>68.819999999999993</v>
      </c>
      <c r="F2820">
        <v>0</v>
      </c>
      <c r="G2820">
        <v>0</v>
      </c>
      <c r="H2820" t="s">
        <v>19447</v>
      </c>
      <c r="I2820" t="s">
        <v>19447</v>
      </c>
      <c r="J2820">
        <v>2</v>
      </c>
      <c r="L2820" t="s">
        <v>2709</v>
      </c>
      <c r="M2820">
        <v>29242994</v>
      </c>
      <c r="O2820" t="s">
        <v>20028</v>
      </c>
      <c r="P2820" t="s">
        <v>19900</v>
      </c>
      <c r="Q2820" t="s">
        <v>19900</v>
      </c>
      <c r="R2820" t="s">
        <v>19447</v>
      </c>
      <c r="S2820" t="s">
        <v>19447</v>
      </c>
      <c r="T2820" t="s">
        <v>19901</v>
      </c>
    </row>
    <row r="2821" spans="2:20" x14ac:dyDescent="0.25">
      <c r="B2821" t="s">
        <v>2709</v>
      </c>
      <c r="C2821">
        <v>29242995</v>
      </c>
      <c r="E2821">
        <v>68.819999999999993</v>
      </c>
      <c r="F2821">
        <v>0</v>
      </c>
      <c r="G2821">
        <v>0</v>
      </c>
      <c r="H2821" t="s">
        <v>19447</v>
      </c>
      <c r="I2821" t="s">
        <v>19447</v>
      </c>
      <c r="J2821">
        <v>2</v>
      </c>
      <c r="L2821" t="s">
        <v>2709</v>
      </c>
      <c r="M2821">
        <v>29242995</v>
      </c>
      <c r="O2821" t="s">
        <v>20028</v>
      </c>
      <c r="P2821" t="s">
        <v>19900</v>
      </c>
      <c r="Q2821" t="s">
        <v>19900</v>
      </c>
      <c r="R2821" t="s">
        <v>19447</v>
      </c>
      <c r="S2821" t="s">
        <v>19447</v>
      </c>
      <c r="T2821" t="s">
        <v>19901</v>
      </c>
    </row>
    <row r="2822" spans="2:20" x14ac:dyDescent="0.25">
      <c r="B2822" t="s">
        <v>2709</v>
      </c>
      <c r="C2822">
        <v>29242996</v>
      </c>
      <c r="E2822">
        <v>68.819999999999993</v>
      </c>
      <c r="F2822">
        <v>0</v>
      </c>
      <c r="G2822">
        <v>0</v>
      </c>
      <c r="H2822" t="s">
        <v>19447</v>
      </c>
      <c r="I2822" t="s">
        <v>19447</v>
      </c>
      <c r="J2822">
        <v>14</v>
      </c>
      <c r="L2822" t="s">
        <v>2709</v>
      </c>
      <c r="M2822">
        <v>29242996</v>
      </c>
      <c r="O2822" t="s">
        <v>20028</v>
      </c>
      <c r="P2822" t="s">
        <v>19900</v>
      </c>
      <c r="Q2822" t="s">
        <v>19900</v>
      </c>
      <c r="R2822" t="s">
        <v>19447</v>
      </c>
      <c r="S2822" t="s">
        <v>19447</v>
      </c>
      <c r="T2822" t="s">
        <v>19911</v>
      </c>
    </row>
    <row r="2823" spans="2:20" x14ac:dyDescent="0.25">
      <c r="B2823" t="s">
        <v>2709</v>
      </c>
      <c r="C2823">
        <v>29242999</v>
      </c>
      <c r="E2823">
        <v>68.819999999999993</v>
      </c>
      <c r="F2823">
        <v>0</v>
      </c>
      <c r="G2823">
        <v>0</v>
      </c>
      <c r="H2823" t="s">
        <v>19447</v>
      </c>
      <c r="I2823" t="s">
        <v>19447</v>
      </c>
      <c r="J2823">
        <v>2</v>
      </c>
      <c r="L2823" t="s">
        <v>2709</v>
      </c>
      <c r="M2823">
        <v>29242999</v>
      </c>
      <c r="O2823" t="s">
        <v>20028</v>
      </c>
      <c r="P2823" t="s">
        <v>19900</v>
      </c>
      <c r="Q2823" t="s">
        <v>19900</v>
      </c>
      <c r="R2823" t="s">
        <v>19447</v>
      </c>
      <c r="S2823" t="s">
        <v>19447</v>
      </c>
      <c r="T2823" t="s">
        <v>19901</v>
      </c>
    </row>
    <row r="2824" spans="2:20" x14ac:dyDescent="0.25">
      <c r="B2824" t="s">
        <v>2709</v>
      </c>
      <c r="C2824">
        <v>29251100</v>
      </c>
      <c r="E2824">
        <v>42.33</v>
      </c>
      <c r="F2824">
        <v>0</v>
      </c>
      <c r="G2824">
        <v>0</v>
      </c>
      <c r="H2824" t="s">
        <v>19447</v>
      </c>
      <c r="I2824" t="s">
        <v>19447</v>
      </c>
      <c r="J2824">
        <v>14</v>
      </c>
      <c r="L2824" t="s">
        <v>2709</v>
      </c>
      <c r="M2824">
        <v>29251100</v>
      </c>
      <c r="O2824" t="s">
        <v>19920</v>
      </c>
      <c r="P2824" t="s">
        <v>19900</v>
      </c>
      <c r="Q2824" t="s">
        <v>19900</v>
      </c>
      <c r="R2824" t="s">
        <v>19447</v>
      </c>
      <c r="S2824" t="s">
        <v>19447</v>
      </c>
      <c r="T2824" t="s">
        <v>19911</v>
      </c>
    </row>
    <row r="2825" spans="2:20" x14ac:dyDescent="0.25">
      <c r="B2825" t="s">
        <v>2709</v>
      </c>
      <c r="C2825">
        <v>29251200</v>
      </c>
      <c r="E2825">
        <v>68.819999999999993</v>
      </c>
      <c r="F2825">
        <v>0</v>
      </c>
      <c r="G2825">
        <v>0</v>
      </c>
      <c r="H2825" t="s">
        <v>19447</v>
      </c>
      <c r="I2825" t="s">
        <v>19447</v>
      </c>
      <c r="J2825">
        <v>2</v>
      </c>
      <c r="L2825" t="s">
        <v>2709</v>
      </c>
      <c r="M2825">
        <v>29251200</v>
      </c>
      <c r="O2825" t="s">
        <v>20028</v>
      </c>
      <c r="P2825" t="s">
        <v>19900</v>
      </c>
      <c r="Q2825" t="s">
        <v>19900</v>
      </c>
      <c r="R2825" t="s">
        <v>19447</v>
      </c>
      <c r="S2825" t="s">
        <v>19447</v>
      </c>
      <c r="T2825" t="s">
        <v>19901</v>
      </c>
    </row>
    <row r="2826" spans="2:20" x14ac:dyDescent="0.25">
      <c r="B2826" t="s">
        <v>2709</v>
      </c>
      <c r="C2826">
        <v>29251910</v>
      </c>
      <c r="E2826">
        <v>68.819999999999993</v>
      </c>
      <c r="F2826">
        <v>0</v>
      </c>
      <c r="G2826">
        <v>0</v>
      </c>
      <c r="H2826" t="s">
        <v>19447</v>
      </c>
      <c r="I2826" t="s">
        <v>19447</v>
      </c>
      <c r="J2826">
        <v>14</v>
      </c>
      <c r="L2826" t="s">
        <v>2709</v>
      </c>
      <c r="M2826">
        <v>29251910</v>
      </c>
      <c r="O2826" t="s">
        <v>20028</v>
      </c>
      <c r="P2826" t="s">
        <v>19900</v>
      </c>
      <c r="Q2826" t="s">
        <v>19900</v>
      </c>
      <c r="R2826" t="s">
        <v>19447</v>
      </c>
      <c r="S2826" t="s">
        <v>19447</v>
      </c>
      <c r="T2826" t="s">
        <v>19911</v>
      </c>
    </row>
    <row r="2827" spans="2:20" x14ac:dyDescent="0.25">
      <c r="B2827" t="s">
        <v>2709</v>
      </c>
      <c r="C2827">
        <v>29251990</v>
      </c>
      <c r="E2827">
        <v>68.819999999999993</v>
      </c>
      <c r="F2827">
        <v>0</v>
      </c>
      <c r="G2827">
        <v>0</v>
      </c>
      <c r="H2827" t="s">
        <v>19447</v>
      </c>
      <c r="I2827" t="s">
        <v>19447</v>
      </c>
      <c r="J2827">
        <v>2</v>
      </c>
      <c r="L2827" t="s">
        <v>2709</v>
      </c>
      <c r="M2827">
        <v>29251990</v>
      </c>
      <c r="O2827" t="s">
        <v>20028</v>
      </c>
      <c r="P2827" t="s">
        <v>19900</v>
      </c>
      <c r="Q2827" t="s">
        <v>19900</v>
      </c>
      <c r="R2827" t="s">
        <v>19447</v>
      </c>
      <c r="S2827" t="s">
        <v>19447</v>
      </c>
      <c r="T2827" t="s">
        <v>19901</v>
      </c>
    </row>
    <row r="2828" spans="2:20" x14ac:dyDescent="0.25">
      <c r="B2828" t="s">
        <v>2709</v>
      </c>
      <c r="C2828">
        <v>29252100</v>
      </c>
      <c r="E2828">
        <v>68.819999999999993</v>
      </c>
      <c r="F2828">
        <v>0</v>
      </c>
      <c r="G2828">
        <v>0</v>
      </c>
      <c r="H2828" t="s">
        <v>19447</v>
      </c>
      <c r="I2828" t="s">
        <v>19447</v>
      </c>
      <c r="J2828">
        <v>2</v>
      </c>
      <c r="L2828" t="s">
        <v>2709</v>
      </c>
      <c r="M2828">
        <v>29252100</v>
      </c>
      <c r="O2828" t="s">
        <v>20028</v>
      </c>
      <c r="P2828" t="s">
        <v>19900</v>
      </c>
      <c r="Q2828" t="s">
        <v>19900</v>
      </c>
      <c r="R2828" t="s">
        <v>19447</v>
      </c>
      <c r="S2828" t="s">
        <v>19447</v>
      </c>
      <c r="T2828" t="s">
        <v>19901</v>
      </c>
    </row>
    <row r="2829" spans="2:20" x14ac:dyDescent="0.25">
      <c r="B2829" t="s">
        <v>2709</v>
      </c>
      <c r="C2829">
        <v>29252911</v>
      </c>
      <c r="E2829">
        <v>68.819999999999993</v>
      </c>
      <c r="F2829">
        <v>0</v>
      </c>
      <c r="G2829">
        <v>0</v>
      </c>
      <c r="H2829" t="s">
        <v>19447</v>
      </c>
      <c r="I2829" t="s">
        <v>19447</v>
      </c>
      <c r="J2829">
        <v>2</v>
      </c>
      <c r="L2829" t="s">
        <v>2709</v>
      </c>
      <c r="M2829">
        <v>29252911</v>
      </c>
      <c r="O2829" t="s">
        <v>20028</v>
      </c>
      <c r="P2829" t="s">
        <v>19900</v>
      </c>
      <c r="Q2829" t="s">
        <v>19900</v>
      </c>
      <c r="R2829" t="s">
        <v>19447</v>
      </c>
      <c r="S2829" t="s">
        <v>19447</v>
      </c>
      <c r="T2829" t="s">
        <v>19901</v>
      </c>
    </row>
    <row r="2830" spans="2:20" x14ac:dyDescent="0.25">
      <c r="B2830" t="s">
        <v>2709</v>
      </c>
      <c r="C2830">
        <v>29252919</v>
      </c>
      <c r="E2830">
        <v>68.819999999999993</v>
      </c>
      <c r="F2830">
        <v>0</v>
      </c>
      <c r="G2830">
        <v>0</v>
      </c>
      <c r="H2830" t="s">
        <v>19447</v>
      </c>
      <c r="I2830" t="s">
        <v>19447</v>
      </c>
      <c r="J2830">
        <v>2</v>
      </c>
      <c r="L2830" t="s">
        <v>2709</v>
      </c>
      <c r="M2830">
        <v>29252919</v>
      </c>
      <c r="O2830" t="s">
        <v>20028</v>
      </c>
      <c r="P2830" t="s">
        <v>19900</v>
      </c>
      <c r="Q2830" t="s">
        <v>19900</v>
      </c>
      <c r="R2830" t="s">
        <v>19447</v>
      </c>
      <c r="S2830" t="s">
        <v>19447</v>
      </c>
      <c r="T2830" t="s">
        <v>19901</v>
      </c>
    </row>
    <row r="2831" spans="2:20" x14ac:dyDescent="0.25">
      <c r="B2831" t="s">
        <v>2709</v>
      </c>
      <c r="C2831">
        <v>29252921</v>
      </c>
      <c r="E2831">
        <v>68.819999999999993</v>
      </c>
      <c r="F2831">
        <v>0</v>
      </c>
      <c r="G2831">
        <v>0</v>
      </c>
      <c r="H2831" t="s">
        <v>19447</v>
      </c>
      <c r="I2831" t="s">
        <v>19447</v>
      </c>
      <c r="J2831">
        <v>2</v>
      </c>
      <c r="L2831" t="s">
        <v>2709</v>
      </c>
      <c r="M2831">
        <v>29252921</v>
      </c>
      <c r="O2831" t="s">
        <v>20028</v>
      </c>
      <c r="P2831" t="s">
        <v>19900</v>
      </c>
      <c r="Q2831" t="s">
        <v>19900</v>
      </c>
      <c r="R2831" t="s">
        <v>19447</v>
      </c>
      <c r="S2831" t="s">
        <v>19447</v>
      </c>
      <c r="T2831" t="s">
        <v>19901</v>
      </c>
    </row>
    <row r="2832" spans="2:20" x14ac:dyDescent="0.25">
      <c r="B2832" t="s">
        <v>2709</v>
      </c>
      <c r="C2832">
        <v>29252922</v>
      </c>
      <c r="E2832">
        <v>68.819999999999993</v>
      </c>
      <c r="F2832">
        <v>0</v>
      </c>
      <c r="G2832">
        <v>0</v>
      </c>
      <c r="H2832" t="s">
        <v>19447</v>
      </c>
      <c r="I2832" t="s">
        <v>19447</v>
      </c>
      <c r="J2832">
        <v>2</v>
      </c>
      <c r="L2832" t="s">
        <v>2709</v>
      </c>
      <c r="M2832">
        <v>29252922</v>
      </c>
      <c r="O2832" t="s">
        <v>20028</v>
      </c>
      <c r="P2832" t="s">
        <v>19900</v>
      </c>
      <c r="Q2832" t="s">
        <v>19900</v>
      </c>
      <c r="R2832" t="s">
        <v>19447</v>
      </c>
      <c r="S2832" t="s">
        <v>19447</v>
      </c>
      <c r="T2832" t="s">
        <v>19901</v>
      </c>
    </row>
    <row r="2833" spans="2:20" x14ac:dyDescent="0.25">
      <c r="B2833" t="s">
        <v>2709</v>
      </c>
      <c r="C2833">
        <v>29252923</v>
      </c>
      <c r="E2833">
        <v>68.819999999999993</v>
      </c>
      <c r="F2833">
        <v>0</v>
      </c>
      <c r="G2833">
        <v>0</v>
      </c>
      <c r="H2833" t="s">
        <v>19447</v>
      </c>
      <c r="I2833" t="s">
        <v>19447</v>
      </c>
      <c r="J2833">
        <v>12</v>
      </c>
      <c r="L2833" t="s">
        <v>2709</v>
      </c>
      <c r="M2833">
        <v>29252923</v>
      </c>
      <c r="O2833" t="s">
        <v>20028</v>
      </c>
      <c r="P2833" t="s">
        <v>19900</v>
      </c>
      <c r="Q2833" t="s">
        <v>19900</v>
      </c>
      <c r="R2833" t="s">
        <v>19447</v>
      </c>
      <c r="S2833" t="s">
        <v>19447</v>
      </c>
      <c r="T2833" t="s">
        <v>19903</v>
      </c>
    </row>
    <row r="2834" spans="2:20" x14ac:dyDescent="0.25">
      <c r="B2834" t="s">
        <v>2709</v>
      </c>
      <c r="C2834">
        <v>29252929</v>
      </c>
      <c r="E2834">
        <v>68.819999999999993</v>
      </c>
      <c r="F2834">
        <v>0</v>
      </c>
      <c r="G2834">
        <v>0</v>
      </c>
      <c r="H2834" t="s">
        <v>19447</v>
      </c>
      <c r="I2834" t="s">
        <v>19447</v>
      </c>
      <c r="J2834">
        <v>2</v>
      </c>
      <c r="L2834" t="s">
        <v>2709</v>
      </c>
      <c r="M2834">
        <v>29252929</v>
      </c>
      <c r="O2834" t="s">
        <v>20028</v>
      </c>
      <c r="P2834" t="s">
        <v>19900</v>
      </c>
      <c r="Q2834" t="s">
        <v>19900</v>
      </c>
      <c r="R2834" t="s">
        <v>19447</v>
      </c>
      <c r="S2834" t="s">
        <v>19447</v>
      </c>
      <c r="T2834" t="s">
        <v>19901</v>
      </c>
    </row>
    <row r="2835" spans="2:20" x14ac:dyDescent="0.25">
      <c r="B2835" t="s">
        <v>2709</v>
      </c>
      <c r="C2835">
        <v>29252930</v>
      </c>
      <c r="E2835">
        <v>68.819999999999993</v>
      </c>
      <c r="F2835">
        <v>0</v>
      </c>
      <c r="G2835">
        <v>0</v>
      </c>
      <c r="H2835" t="s">
        <v>19447</v>
      </c>
      <c r="I2835" t="s">
        <v>19447</v>
      </c>
      <c r="J2835">
        <v>12</v>
      </c>
      <c r="L2835" t="s">
        <v>2709</v>
      </c>
      <c r="M2835">
        <v>29252930</v>
      </c>
      <c r="O2835" t="s">
        <v>20028</v>
      </c>
      <c r="P2835" t="s">
        <v>19900</v>
      </c>
      <c r="Q2835" t="s">
        <v>19900</v>
      </c>
      <c r="R2835" t="s">
        <v>19447</v>
      </c>
      <c r="S2835" t="s">
        <v>19447</v>
      </c>
      <c r="T2835" t="s">
        <v>19903</v>
      </c>
    </row>
    <row r="2836" spans="2:20" x14ac:dyDescent="0.25">
      <c r="B2836" t="s">
        <v>2709</v>
      </c>
      <c r="C2836">
        <v>29252940</v>
      </c>
      <c r="E2836">
        <v>68.819999999999993</v>
      </c>
      <c r="F2836">
        <v>0</v>
      </c>
      <c r="G2836">
        <v>0</v>
      </c>
      <c r="H2836" t="s">
        <v>19447</v>
      </c>
      <c r="I2836" t="s">
        <v>19447</v>
      </c>
      <c r="J2836">
        <v>14</v>
      </c>
      <c r="L2836" t="s">
        <v>2709</v>
      </c>
      <c r="M2836">
        <v>29252940</v>
      </c>
      <c r="O2836" t="s">
        <v>20028</v>
      </c>
      <c r="P2836" t="s">
        <v>19900</v>
      </c>
      <c r="Q2836" t="s">
        <v>19900</v>
      </c>
      <c r="R2836" t="s">
        <v>19447</v>
      </c>
      <c r="S2836" t="s">
        <v>19447</v>
      </c>
      <c r="T2836" t="s">
        <v>19911</v>
      </c>
    </row>
    <row r="2837" spans="2:20" x14ac:dyDescent="0.25">
      <c r="B2837" t="s">
        <v>2709</v>
      </c>
      <c r="C2837">
        <v>29252950</v>
      </c>
      <c r="E2837">
        <v>68.819999999999993</v>
      </c>
      <c r="F2837">
        <v>0</v>
      </c>
      <c r="G2837">
        <v>0</v>
      </c>
      <c r="H2837" t="s">
        <v>19447</v>
      </c>
      <c r="I2837" t="s">
        <v>19447</v>
      </c>
      <c r="J2837">
        <v>12</v>
      </c>
      <c r="L2837" t="s">
        <v>2709</v>
      </c>
      <c r="M2837">
        <v>29252950</v>
      </c>
      <c r="O2837" t="s">
        <v>20028</v>
      </c>
      <c r="P2837" t="s">
        <v>19900</v>
      </c>
      <c r="Q2837" t="s">
        <v>19900</v>
      </c>
      <c r="R2837" t="s">
        <v>19447</v>
      </c>
      <c r="S2837" t="s">
        <v>19447</v>
      </c>
      <c r="T2837" t="s">
        <v>19903</v>
      </c>
    </row>
    <row r="2838" spans="2:20" x14ac:dyDescent="0.25">
      <c r="B2838" t="s">
        <v>2709</v>
      </c>
      <c r="C2838">
        <v>29252990</v>
      </c>
      <c r="E2838">
        <v>68.819999999999993</v>
      </c>
      <c r="F2838">
        <v>0</v>
      </c>
      <c r="G2838">
        <v>0</v>
      </c>
      <c r="H2838" t="s">
        <v>19447</v>
      </c>
      <c r="I2838" t="s">
        <v>19447</v>
      </c>
      <c r="J2838">
        <v>2</v>
      </c>
      <c r="L2838" t="s">
        <v>2709</v>
      </c>
      <c r="M2838">
        <v>29252990</v>
      </c>
      <c r="O2838" t="s">
        <v>20028</v>
      </c>
      <c r="P2838" t="s">
        <v>19900</v>
      </c>
      <c r="Q2838" t="s">
        <v>19900</v>
      </c>
      <c r="R2838" t="s">
        <v>19447</v>
      </c>
      <c r="S2838" t="s">
        <v>19447</v>
      </c>
      <c r="T2838" t="s">
        <v>19901</v>
      </c>
    </row>
    <row r="2839" spans="2:20" x14ac:dyDescent="0.25">
      <c r="B2839" t="s">
        <v>2709</v>
      </c>
      <c r="C2839">
        <v>29261000</v>
      </c>
      <c r="E2839">
        <v>68.819999999999993</v>
      </c>
      <c r="F2839">
        <v>0</v>
      </c>
      <c r="G2839">
        <v>0</v>
      </c>
      <c r="H2839" t="s">
        <v>19447</v>
      </c>
      <c r="I2839" t="s">
        <v>19447</v>
      </c>
      <c r="J2839">
        <v>12</v>
      </c>
      <c r="L2839" t="s">
        <v>2709</v>
      </c>
      <c r="M2839">
        <v>29261000</v>
      </c>
      <c r="O2839" t="s">
        <v>20028</v>
      </c>
      <c r="P2839" t="s">
        <v>19900</v>
      </c>
      <c r="Q2839" t="s">
        <v>19900</v>
      </c>
      <c r="R2839" t="s">
        <v>19447</v>
      </c>
      <c r="S2839" t="s">
        <v>19447</v>
      </c>
      <c r="T2839" t="s">
        <v>19903</v>
      </c>
    </row>
    <row r="2840" spans="2:20" x14ac:dyDescent="0.25">
      <c r="B2840" t="s">
        <v>2709</v>
      </c>
      <c r="C2840">
        <v>29262000</v>
      </c>
      <c r="E2840">
        <v>68.819999999999993</v>
      </c>
      <c r="F2840">
        <v>0</v>
      </c>
      <c r="G2840">
        <v>0</v>
      </c>
      <c r="H2840" t="s">
        <v>19447</v>
      </c>
      <c r="I2840" t="s">
        <v>19447</v>
      </c>
      <c r="J2840">
        <v>2</v>
      </c>
      <c r="L2840" t="s">
        <v>2709</v>
      </c>
      <c r="M2840">
        <v>29262000</v>
      </c>
      <c r="O2840" t="s">
        <v>20028</v>
      </c>
      <c r="P2840" t="s">
        <v>19900</v>
      </c>
      <c r="Q2840" t="s">
        <v>19900</v>
      </c>
      <c r="R2840" t="s">
        <v>19447</v>
      </c>
      <c r="S2840" t="s">
        <v>19447</v>
      </c>
      <c r="T2840" t="s">
        <v>19901</v>
      </c>
    </row>
    <row r="2841" spans="2:20" x14ac:dyDescent="0.25">
      <c r="B2841" t="s">
        <v>2709</v>
      </c>
      <c r="C2841">
        <v>29263011</v>
      </c>
      <c r="E2841">
        <v>68.819999999999993</v>
      </c>
      <c r="F2841">
        <v>0</v>
      </c>
      <c r="G2841">
        <v>0</v>
      </c>
      <c r="H2841" t="s">
        <v>19447</v>
      </c>
      <c r="I2841" t="s">
        <v>19447</v>
      </c>
      <c r="J2841">
        <v>14</v>
      </c>
      <c r="L2841" t="s">
        <v>2709</v>
      </c>
      <c r="M2841">
        <v>29263011</v>
      </c>
      <c r="O2841" t="s">
        <v>20028</v>
      </c>
      <c r="P2841" t="s">
        <v>19900</v>
      </c>
      <c r="Q2841" t="s">
        <v>19900</v>
      </c>
      <c r="R2841" t="s">
        <v>19447</v>
      </c>
      <c r="S2841" t="s">
        <v>19447</v>
      </c>
      <c r="T2841" t="s">
        <v>19911</v>
      </c>
    </row>
    <row r="2842" spans="2:20" x14ac:dyDescent="0.25">
      <c r="B2842" t="s">
        <v>2709</v>
      </c>
      <c r="C2842">
        <v>29263012</v>
      </c>
      <c r="E2842">
        <v>68.819999999999993</v>
      </c>
      <c r="F2842">
        <v>0</v>
      </c>
      <c r="G2842">
        <v>0</v>
      </c>
      <c r="H2842" t="s">
        <v>19447</v>
      </c>
      <c r="I2842" t="s">
        <v>19447</v>
      </c>
      <c r="J2842">
        <v>2</v>
      </c>
      <c r="L2842" t="s">
        <v>2709</v>
      </c>
      <c r="M2842">
        <v>29263012</v>
      </c>
      <c r="O2842" t="s">
        <v>20028</v>
      </c>
      <c r="P2842" t="s">
        <v>19900</v>
      </c>
      <c r="Q2842" t="s">
        <v>19900</v>
      </c>
      <c r="R2842" t="s">
        <v>19447</v>
      </c>
      <c r="S2842" t="s">
        <v>19447</v>
      </c>
      <c r="T2842" t="s">
        <v>19901</v>
      </c>
    </row>
    <row r="2843" spans="2:20" x14ac:dyDescent="0.25">
      <c r="B2843" t="s">
        <v>2709</v>
      </c>
      <c r="C2843">
        <v>29263020</v>
      </c>
      <c r="E2843">
        <v>68.819999999999993</v>
      </c>
      <c r="F2843">
        <v>0</v>
      </c>
      <c r="G2843">
        <v>0</v>
      </c>
      <c r="H2843" t="s">
        <v>19447</v>
      </c>
      <c r="I2843" t="s">
        <v>19447</v>
      </c>
      <c r="J2843">
        <v>2</v>
      </c>
      <c r="L2843" t="s">
        <v>2709</v>
      </c>
      <c r="M2843">
        <v>29263020</v>
      </c>
      <c r="O2843" t="s">
        <v>20028</v>
      </c>
      <c r="P2843" t="s">
        <v>19900</v>
      </c>
      <c r="Q2843" t="s">
        <v>19900</v>
      </c>
      <c r="R2843" t="s">
        <v>19447</v>
      </c>
      <c r="S2843" t="s">
        <v>19447</v>
      </c>
      <c r="T2843" t="s">
        <v>19901</v>
      </c>
    </row>
    <row r="2844" spans="2:20" x14ac:dyDescent="0.25">
      <c r="B2844" t="s">
        <v>2709</v>
      </c>
      <c r="C2844">
        <v>29269011</v>
      </c>
      <c r="E2844">
        <v>68.819999999999993</v>
      </c>
      <c r="F2844">
        <v>0</v>
      </c>
      <c r="G2844">
        <v>0</v>
      </c>
      <c r="H2844" t="s">
        <v>19447</v>
      </c>
      <c r="I2844" t="s">
        <v>19447</v>
      </c>
      <c r="J2844">
        <v>2</v>
      </c>
      <c r="L2844" t="s">
        <v>2709</v>
      </c>
      <c r="M2844">
        <v>29269011</v>
      </c>
      <c r="O2844" t="s">
        <v>20028</v>
      </c>
      <c r="P2844" t="s">
        <v>19900</v>
      </c>
      <c r="Q2844" t="s">
        <v>19900</v>
      </c>
      <c r="R2844" t="s">
        <v>19447</v>
      </c>
      <c r="S2844" t="s">
        <v>19447</v>
      </c>
      <c r="T2844" t="s">
        <v>19901</v>
      </c>
    </row>
    <row r="2845" spans="2:20" x14ac:dyDescent="0.25">
      <c r="B2845" t="s">
        <v>2709</v>
      </c>
      <c r="C2845">
        <v>29269012</v>
      </c>
      <c r="E2845">
        <v>68.819999999999993</v>
      </c>
      <c r="F2845">
        <v>0</v>
      </c>
      <c r="G2845">
        <v>0</v>
      </c>
      <c r="H2845" t="s">
        <v>19447</v>
      </c>
      <c r="I2845" t="s">
        <v>19447</v>
      </c>
      <c r="J2845">
        <v>2</v>
      </c>
      <c r="L2845" t="s">
        <v>2709</v>
      </c>
      <c r="M2845">
        <v>29269012</v>
      </c>
      <c r="O2845" t="s">
        <v>20028</v>
      </c>
      <c r="P2845" t="s">
        <v>19900</v>
      </c>
      <c r="Q2845" t="s">
        <v>19900</v>
      </c>
      <c r="R2845" t="s">
        <v>19447</v>
      </c>
      <c r="S2845" t="s">
        <v>19447</v>
      </c>
      <c r="T2845" t="s">
        <v>19901</v>
      </c>
    </row>
    <row r="2846" spans="2:20" x14ac:dyDescent="0.25">
      <c r="B2846" t="s">
        <v>2709</v>
      </c>
      <c r="C2846">
        <v>29269019</v>
      </c>
      <c r="E2846">
        <v>68.819999999999993</v>
      </c>
      <c r="F2846">
        <v>0</v>
      </c>
      <c r="G2846">
        <v>0</v>
      </c>
      <c r="H2846" t="s">
        <v>19447</v>
      </c>
      <c r="I2846" t="s">
        <v>19447</v>
      </c>
      <c r="J2846">
        <v>2</v>
      </c>
      <c r="L2846" t="s">
        <v>2709</v>
      </c>
      <c r="M2846">
        <v>29269019</v>
      </c>
      <c r="O2846" t="s">
        <v>20028</v>
      </c>
      <c r="P2846" t="s">
        <v>19900</v>
      </c>
      <c r="Q2846" t="s">
        <v>19900</v>
      </c>
      <c r="R2846" t="s">
        <v>19447</v>
      </c>
      <c r="S2846" t="s">
        <v>19447</v>
      </c>
      <c r="T2846" t="s">
        <v>19901</v>
      </c>
    </row>
    <row r="2847" spans="2:20" x14ac:dyDescent="0.25">
      <c r="B2847" t="s">
        <v>2709</v>
      </c>
      <c r="C2847">
        <v>29269021</v>
      </c>
      <c r="E2847">
        <v>68.819999999999993</v>
      </c>
      <c r="F2847">
        <v>0</v>
      </c>
      <c r="G2847">
        <v>0</v>
      </c>
      <c r="H2847" t="s">
        <v>19447</v>
      </c>
      <c r="I2847" t="s">
        <v>19447</v>
      </c>
      <c r="J2847">
        <v>2</v>
      </c>
      <c r="L2847" t="s">
        <v>2709</v>
      </c>
      <c r="M2847">
        <v>29269021</v>
      </c>
      <c r="O2847" t="s">
        <v>20028</v>
      </c>
      <c r="P2847" t="s">
        <v>19900</v>
      </c>
      <c r="Q2847" t="s">
        <v>19900</v>
      </c>
      <c r="R2847" t="s">
        <v>19447</v>
      </c>
      <c r="S2847" t="s">
        <v>19447</v>
      </c>
      <c r="T2847" t="s">
        <v>19901</v>
      </c>
    </row>
    <row r="2848" spans="2:20" x14ac:dyDescent="0.25">
      <c r="B2848" t="s">
        <v>2709</v>
      </c>
      <c r="C2848">
        <v>29269022</v>
      </c>
      <c r="E2848">
        <v>68.819999999999993</v>
      </c>
      <c r="F2848">
        <v>0</v>
      </c>
      <c r="G2848">
        <v>0</v>
      </c>
      <c r="H2848" t="s">
        <v>19447</v>
      </c>
      <c r="I2848" t="s">
        <v>19447</v>
      </c>
      <c r="J2848">
        <v>2</v>
      </c>
      <c r="L2848" t="s">
        <v>2709</v>
      </c>
      <c r="M2848">
        <v>29269022</v>
      </c>
      <c r="O2848" t="s">
        <v>20028</v>
      </c>
      <c r="P2848" t="s">
        <v>19900</v>
      </c>
      <c r="Q2848" t="s">
        <v>19900</v>
      </c>
      <c r="R2848" t="s">
        <v>19447</v>
      </c>
      <c r="S2848" t="s">
        <v>19447</v>
      </c>
      <c r="T2848" t="s">
        <v>19901</v>
      </c>
    </row>
    <row r="2849" spans="2:20" x14ac:dyDescent="0.25">
      <c r="B2849" t="s">
        <v>2709</v>
      </c>
      <c r="C2849">
        <v>29269023</v>
      </c>
      <c r="E2849">
        <v>68.819999999999993</v>
      </c>
      <c r="F2849">
        <v>0</v>
      </c>
      <c r="G2849">
        <v>0</v>
      </c>
      <c r="H2849" t="s">
        <v>19447</v>
      </c>
      <c r="I2849" t="s">
        <v>19447</v>
      </c>
      <c r="J2849">
        <v>14</v>
      </c>
      <c r="L2849" t="s">
        <v>2709</v>
      </c>
      <c r="M2849">
        <v>29269023</v>
      </c>
      <c r="O2849" t="s">
        <v>20028</v>
      </c>
      <c r="P2849" t="s">
        <v>19900</v>
      </c>
      <c r="Q2849" t="s">
        <v>19900</v>
      </c>
      <c r="R2849" t="s">
        <v>19447</v>
      </c>
      <c r="S2849" t="s">
        <v>19447</v>
      </c>
      <c r="T2849" t="s">
        <v>19911</v>
      </c>
    </row>
    <row r="2850" spans="2:20" x14ac:dyDescent="0.25">
      <c r="B2850" t="s">
        <v>2709</v>
      </c>
      <c r="C2850">
        <v>29269024</v>
      </c>
      <c r="E2850">
        <v>68.819999999999993</v>
      </c>
      <c r="F2850">
        <v>0</v>
      </c>
      <c r="G2850">
        <v>0</v>
      </c>
      <c r="H2850" t="s">
        <v>19447</v>
      </c>
      <c r="I2850" t="s">
        <v>19447</v>
      </c>
      <c r="J2850">
        <v>2</v>
      </c>
      <c r="L2850" t="s">
        <v>2709</v>
      </c>
      <c r="M2850">
        <v>29269024</v>
      </c>
      <c r="O2850" t="s">
        <v>20028</v>
      </c>
      <c r="P2850" t="s">
        <v>19900</v>
      </c>
      <c r="Q2850" t="s">
        <v>19900</v>
      </c>
      <c r="R2850" t="s">
        <v>19447</v>
      </c>
      <c r="S2850" t="s">
        <v>19447</v>
      </c>
      <c r="T2850" t="s">
        <v>19901</v>
      </c>
    </row>
    <row r="2851" spans="2:20" x14ac:dyDescent="0.25">
      <c r="B2851" t="s">
        <v>2709</v>
      </c>
      <c r="C2851">
        <v>29269025</v>
      </c>
      <c r="E2851">
        <v>68.819999999999993</v>
      </c>
      <c r="F2851">
        <v>0</v>
      </c>
      <c r="G2851">
        <v>0</v>
      </c>
      <c r="H2851" t="s">
        <v>19447</v>
      </c>
      <c r="I2851" t="s">
        <v>19447</v>
      </c>
      <c r="J2851">
        <v>2</v>
      </c>
      <c r="L2851" t="s">
        <v>2709</v>
      </c>
      <c r="M2851">
        <v>29269025</v>
      </c>
      <c r="O2851" t="s">
        <v>20028</v>
      </c>
      <c r="P2851" t="s">
        <v>19900</v>
      </c>
      <c r="Q2851" t="s">
        <v>19900</v>
      </c>
      <c r="R2851" t="s">
        <v>19447</v>
      </c>
      <c r="S2851" t="s">
        <v>19447</v>
      </c>
      <c r="T2851" t="s">
        <v>19901</v>
      </c>
    </row>
    <row r="2852" spans="2:20" x14ac:dyDescent="0.25">
      <c r="B2852" t="s">
        <v>2709</v>
      </c>
      <c r="C2852">
        <v>29269026</v>
      </c>
      <c r="E2852">
        <v>68.819999999999993</v>
      </c>
      <c r="F2852">
        <v>0</v>
      </c>
      <c r="G2852">
        <v>0</v>
      </c>
      <c r="H2852" t="s">
        <v>19447</v>
      </c>
      <c r="I2852" t="s">
        <v>19447</v>
      </c>
      <c r="J2852">
        <v>2</v>
      </c>
      <c r="L2852" t="s">
        <v>2709</v>
      </c>
      <c r="M2852">
        <v>29269026</v>
      </c>
      <c r="O2852" t="s">
        <v>20028</v>
      </c>
      <c r="P2852" t="s">
        <v>19900</v>
      </c>
      <c r="Q2852" t="s">
        <v>19900</v>
      </c>
      <c r="R2852" t="s">
        <v>19447</v>
      </c>
      <c r="S2852" t="s">
        <v>19447</v>
      </c>
      <c r="T2852" t="s">
        <v>19901</v>
      </c>
    </row>
    <row r="2853" spans="2:20" x14ac:dyDescent="0.25">
      <c r="B2853" t="s">
        <v>2709</v>
      </c>
      <c r="C2853">
        <v>29269029</v>
      </c>
      <c r="E2853">
        <v>68.819999999999993</v>
      </c>
      <c r="F2853">
        <v>0</v>
      </c>
      <c r="G2853">
        <v>0</v>
      </c>
      <c r="H2853" t="s">
        <v>19447</v>
      </c>
      <c r="I2853" t="s">
        <v>19447</v>
      </c>
      <c r="J2853">
        <v>2</v>
      </c>
      <c r="L2853" t="s">
        <v>2709</v>
      </c>
      <c r="M2853">
        <v>29269029</v>
      </c>
      <c r="O2853" t="s">
        <v>20028</v>
      </c>
      <c r="P2853" t="s">
        <v>19900</v>
      </c>
      <c r="Q2853" t="s">
        <v>19900</v>
      </c>
      <c r="R2853" t="s">
        <v>19447</v>
      </c>
      <c r="S2853" t="s">
        <v>19447</v>
      </c>
      <c r="T2853" t="s">
        <v>19901</v>
      </c>
    </row>
    <row r="2854" spans="2:20" x14ac:dyDescent="0.25">
      <c r="B2854" t="s">
        <v>2709</v>
      </c>
      <c r="C2854">
        <v>29269030</v>
      </c>
      <c r="E2854">
        <v>68.819999999999993</v>
      </c>
      <c r="F2854">
        <v>0</v>
      </c>
      <c r="G2854">
        <v>0</v>
      </c>
      <c r="H2854" t="s">
        <v>19447</v>
      </c>
      <c r="I2854" t="s">
        <v>19447</v>
      </c>
      <c r="J2854">
        <v>2</v>
      </c>
      <c r="L2854" t="s">
        <v>2709</v>
      </c>
      <c r="M2854">
        <v>29269030</v>
      </c>
      <c r="O2854" t="s">
        <v>20028</v>
      </c>
      <c r="P2854" t="s">
        <v>19900</v>
      </c>
      <c r="Q2854" t="s">
        <v>19900</v>
      </c>
      <c r="R2854" t="s">
        <v>19447</v>
      </c>
      <c r="S2854" t="s">
        <v>19447</v>
      </c>
      <c r="T2854" t="s">
        <v>19901</v>
      </c>
    </row>
    <row r="2855" spans="2:20" x14ac:dyDescent="0.25">
      <c r="B2855" t="s">
        <v>2709</v>
      </c>
      <c r="C2855">
        <v>29269091</v>
      </c>
      <c r="E2855">
        <v>68.819999999999993</v>
      </c>
      <c r="F2855">
        <v>0</v>
      </c>
      <c r="G2855">
        <v>0</v>
      </c>
      <c r="H2855" t="s">
        <v>19447</v>
      </c>
      <c r="I2855" t="s">
        <v>19447</v>
      </c>
      <c r="J2855">
        <v>2</v>
      </c>
      <c r="L2855" t="s">
        <v>2709</v>
      </c>
      <c r="M2855">
        <v>29269091</v>
      </c>
      <c r="O2855" t="s">
        <v>20028</v>
      </c>
      <c r="P2855" t="s">
        <v>19900</v>
      </c>
      <c r="Q2855" t="s">
        <v>19900</v>
      </c>
      <c r="R2855" t="s">
        <v>19447</v>
      </c>
      <c r="S2855" t="s">
        <v>19447</v>
      </c>
      <c r="T2855" t="s">
        <v>19901</v>
      </c>
    </row>
    <row r="2856" spans="2:20" x14ac:dyDescent="0.25">
      <c r="B2856" t="s">
        <v>2709</v>
      </c>
      <c r="C2856">
        <v>29269092</v>
      </c>
      <c r="E2856">
        <v>68.819999999999993</v>
      </c>
      <c r="F2856">
        <v>0</v>
      </c>
      <c r="G2856">
        <v>0</v>
      </c>
      <c r="H2856" t="s">
        <v>19447</v>
      </c>
      <c r="I2856" t="s">
        <v>19447</v>
      </c>
      <c r="J2856">
        <v>2</v>
      </c>
      <c r="L2856" t="s">
        <v>2709</v>
      </c>
      <c r="M2856">
        <v>29269092</v>
      </c>
      <c r="O2856" t="s">
        <v>20028</v>
      </c>
      <c r="P2856" t="s">
        <v>19900</v>
      </c>
      <c r="Q2856" t="s">
        <v>19900</v>
      </c>
      <c r="R2856" t="s">
        <v>19447</v>
      </c>
      <c r="S2856" t="s">
        <v>19447</v>
      </c>
      <c r="T2856" t="s">
        <v>19901</v>
      </c>
    </row>
    <row r="2857" spans="2:20" x14ac:dyDescent="0.25">
      <c r="B2857" t="s">
        <v>2709</v>
      </c>
      <c r="C2857">
        <v>29269093</v>
      </c>
      <c r="E2857">
        <v>68.819999999999993</v>
      </c>
      <c r="F2857">
        <v>0</v>
      </c>
      <c r="G2857">
        <v>0</v>
      </c>
      <c r="H2857" t="s">
        <v>19447</v>
      </c>
      <c r="I2857" t="s">
        <v>19447</v>
      </c>
      <c r="J2857">
        <v>14</v>
      </c>
      <c r="L2857" t="s">
        <v>2709</v>
      </c>
      <c r="M2857">
        <v>29269093</v>
      </c>
      <c r="O2857" t="s">
        <v>20028</v>
      </c>
      <c r="P2857" t="s">
        <v>19900</v>
      </c>
      <c r="Q2857" t="s">
        <v>19900</v>
      </c>
      <c r="R2857" t="s">
        <v>19447</v>
      </c>
      <c r="S2857" t="s">
        <v>19447</v>
      </c>
      <c r="T2857" t="s">
        <v>19911</v>
      </c>
    </row>
    <row r="2858" spans="2:20" x14ac:dyDescent="0.25">
      <c r="B2858" t="s">
        <v>2709</v>
      </c>
      <c r="C2858">
        <v>29269095</v>
      </c>
      <c r="E2858">
        <v>68.819999999999993</v>
      </c>
      <c r="F2858">
        <v>0</v>
      </c>
      <c r="G2858">
        <v>0</v>
      </c>
      <c r="H2858" t="s">
        <v>19447</v>
      </c>
      <c r="I2858" t="s">
        <v>19447</v>
      </c>
      <c r="J2858">
        <v>2</v>
      </c>
      <c r="L2858" t="s">
        <v>2709</v>
      </c>
      <c r="M2858">
        <v>29269095</v>
      </c>
      <c r="O2858" t="s">
        <v>20028</v>
      </c>
      <c r="P2858" t="s">
        <v>19900</v>
      </c>
      <c r="Q2858" t="s">
        <v>19900</v>
      </c>
      <c r="R2858" t="s">
        <v>19447</v>
      </c>
      <c r="S2858" t="s">
        <v>19447</v>
      </c>
      <c r="T2858" t="s">
        <v>19901</v>
      </c>
    </row>
    <row r="2859" spans="2:20" x14ac:dyDescent="0.25">
      <c r="B2859" t="s">
        <v>2709</v>
      </c>
      <c r="C2859">
        <v>29269096</v>
      </c>
      <c r="E2859">
        <v>68.819999999999993</v>
      </c>
      <c r="F2859">
        <v>0</v>
      </c>
      <c r="G2859">
        <v>0</v>
      </c>
      <c r="H2859" t="s">
        <v>19447</v>
      </c>
      <c r="I2859" t="s">
        <v>19447</v>
      </c>
      <c r="J2859">
        <v>12</v>
      </c>
      <c r="L2859" t="s">
        <v>2709</v>
      </c>
      <c r="M2859">
        <v>29269096</v>
      </c>
      <c r="O2859" t="s">
        <v>20028</v>
      </c>
      <c r="P2859" t="s">
        <v>19900</v>
      </c>
      <c r="Q2859" t="s">
        <v>19900</v>
      </c>
      <c r="R2859" t="s">
        <v>19447</v>
      </c>
      <c r="S2859" t="s">
        <v>19447</v>
      </c>
      <c r="T2859" t="s">
        <v>19903</v>
      </c>
    </row>
    <row r="2860" spans="2:20" x14ac:dyDescent="0.25">
      <c r="B2860" t="s">
        <v>2709</v>
      </c>
      <c r="C2860">
        <v>29269099</v>
      </c>
      <c r="E2860">
        <v>68.819999999999993</v>
      </c>
      <c r="F2860">
        <v>0</v>
      </c>
      <c r="G2860">
        <v>0</v>
      </c>
      <c r="H2860" t="s">
        <v>19447</v>
      </c>
      <c r="I2860" t="s">
        <v>19447</v>
      </c>
      <c r="J2860">
        <v>2</v>
      </c>
      <c r="L2860" t="s">
        <v>2709</v>
      </c>
      <c r="M2860">
        <v>29269099</v>
      </c>
      <c r="O2860" t="s">
        <v>20028</v>
      </c>
      <c r="P2860" t="s">
        <v>19900</v>
      </c>
      <c r="Q2860" t="s">
        <v>19900</v>
      </c>
      <c r="R2860" t="s">
        <v>19447</v>
      </c>
      <c r="S2860" t="s">
        <v>19447</v>
      </c>
      <c r="T2860" t="s">
        <v>19901</v>
      </c>
    </row>
    <row r="2861" spans="2:20" x14ac:dyDescent="0.25">
      <c r="B2861" t="s">
        <v>2709</v>
      </c>
      <c r="C2861">
        <v>29270010</v>
      </c>
      <c r="E2861">
        <v>68.819999999999993</v>
      </c>
      <c r="F2861">
        <v>0</v>
      </c>
      <c r="G2861">
        <v>0</v>
      </c>
      <c r="H2861" t="s">
        <v>19447</v>
      </c>
      <c r="I2861" t="s">
        <v>19447</v>
      </c>
      <c r="J2861">
        <v>2</v>
      </c>
      <c r="L2861" t="s">
        <v>2709</v>
      </c>
      <c r="M2861">
        <v>29270010</v>
      </c>
      <c r="O2861" t="s">
        <v>20028</v>
      </c>
      <c r="P2861" t="s">
        <v>19900</v>
      </c>
      <c r="Q2861" t="s">
        <v>19900</v>
      </c>
      <c r="R2861" t="s">
        <v>19447</v>
      </c>
      <c r="S2861" t="s">
        <v>19447</v>
      </c>
      <c r="T2861" t="s">
        <v>19901</v>
      </c>
    </row>
    <row r="2862" spans="2:20" x14ac:dyDescent="0.25">
      <c r="B2862" t="s">
        <v>2709</v>
      </c>
      <c r="C2862">
        <v>29270021</v>
      </c>
      <c r="E2862">
        <v>68.819999999999993</v>
      </c>
      <c r="F2862">
        <v>0</v>
      </c>
      <c r="G2862">
        <v>0</v>
      </c>
      <c r="H2862" t="s">
        <v>19447</v>
      </c>
      <c r="I2862" t="s">
        <v>19447</v>
      </c>
      <c r="J2862">
        <v>14</v>
      </c>
      <c r="L2862" t="s">
        <v>2709</v>
      </c>
      <c r="M2862">
        <v>29270021</v>
      </c>
      <c r="O2862" t="s">
        <v>20028</v>
      </c>
      <c r="P2862" t="s">
        <v>19900</v>
      </c>
      <c r="Q2862" t="s">
        <v>19900</v>
      </c>
      <c r="R2862" t="s">
        <v>19447</v>
      </c>
      <c r="S2862" t="s">
        <v>19447</v>
      </c>
      <c r="T2862" t="s">
        <v>19911</v>
      </c>
    </row>
    <row r="2863" spans="2:20" x14ac:dyDescent="0.25">
      <c r="B2863" t="s">
        <v>2709</v>
      </c>
      <c r="C2863">
        <v>29270029</v>
      </c>
      <c r="E2863">
        <v>68.819999999999993</v>
      </c>
      <c r="F2863">
        <v>0</v>
      </c>
      <c r="G2863">
        <v>0</v>
      </c>
      <c r="H2863" t="s">
        <v>19447</v>
      </c>
      <c r="I2863" t="s">
        <v>19447</v>
      </c>
      <c r="J2863">
        <v>2</v>
      </c>
      <c r="L2863" t="s">
        <v>2709</v>
      </c>
      <c r="M2863">
        <v>29270029</v>
      </c>
      <c r="O2863" t="s">
        <v>20028</v>
      </c>
      <c r="P2863" t="s">
        <v>19900</v>
      </c>
      <c r="Q2863" t="s">
        <v>19900</v>
      </c>
      <c r="R2863" t="s">
        <v>19447</v>
      </c>
      <c r="S2863" t="s">
        <v>19447</v>
      </c>
      <c r="T2863" t="s">
        <v>19901</v>
      </c>
    </row>
    <row r="2864" spans="2:20" x14ac:dyDescent="0.25">
      <c r="B2864" t="s">
        <v>2709</v>
      </c>
      <c r="C2864">
        <v>29270030</v>
      </c>
      <c r="E2864">
        <v>68.819999999999993</v>
      </c>
      <c r="F2864">
        <v>0</v>
      </c>
      <c r="G2864">
        <v>0</v>
      </c>
      <c r="H2864" t="s">
        <v>19447</v>
      </c>
      <c r="I2864" t="s">
        <v>19447</v>
      </c>
      <c r="J2864">
        <v>2</v>
      </c>
      <c r="L2864" t="s">
        <v>2709</v>
      </c>
      <c r="M2864">
        <v>29270030</v>
      </c>
      <c r="O2864" t="s">
        <v>20028</v>
      </c>
      <c r="P2864" t="s">
        <v>19900</v>
      </c>
      <c r="Q2864" t="s">
        <v>19900</v>
      </c>
      <c r="R2864" t="s">
        <v>19447</v>
      </c>
      <c r="S2864" t="s">
        <v>19447</v>
      </c>
      <c r="T2864" t="s">
        <v>19901</v>
      </c>
    </row>
    <row r="2865" spans="2:20" x14ac:dyDescent="0.25">
      <c r="B2865" t="s">
        <v>2709</v>
      </c>
      <c r="C2865">
        <v>29280011</v>
      </c>
      <c r="E2865">
        <v>68.819999999999993</v>
      </c>
      <c r="F2865">
        <v>0</v>
      </c>
      <c r="G2865">
        <v>0</v>
      </c>
      <c r="H2865" t="s">
        <v>19447</v>
      </c>
      <c r="I2865" t="s">
        <v>19447</v>
      </c>
      <c r="J2865">
        <v>2</v>
      </c>
      <c r="L2865" t="s">
        <v>2709</v>
      </c>
      <c r="M2865">
        <v>29280011</v>
      </c>
      <c r="O2865" t="s">
        <v>20028</v>
      </c>
      <c r="P2865" t="s">
        <v>19900</v>
      </c>
      <c r="Q2865" t="s">
        <v>19900</v>
      </c>
      <c r="R2865" t="s">
        <v>19447</v>
      </c>
      <c r="S2865" t="s">
        <v>19447</v>
      </c>
      <c r="T2865" t="s">
        <v>19901</v>
      </c>
    </row>
    <row r="2866" spans="2:20" x14ac:dyDescent="0.25">
      <c r="B2866" t="s">
        <v>2709</v>
      </c>
      <c r="C2866">
        <v>29280019</v>
      </c>
      <c r="E2866">
        <v>68.819999999999993</v>
      </c>
      <c r="F2866">
        <v>0</v>
      </c>
      <c r="G2866">
        <v>0</v>
      </c>
      <c r="H2866" t="s">
        <v>19447</v>
      </c>
      <c r="I2866" t="s">
        <v>19447</v>
      </c>
      <c r="J2866">
        <v>2</v>
      </c>
      <c r="L2866" t="s">
        <v>2709</v>
      </c>
      <c r="M2866">
        <v>29280019</v>
      </c>
      <c r="O2866" t="s">
        <v>20028</v>
      </c>
      <c r="P2866" t="s">
        <v>19900</v>
      </c>
      <c r="Q2866" t="s">
        <v>19900</v>
      </c>
      <c r="R2866" t="s">
        <v>19447</v>
      </c>
      <c r="S2866" t="s">
        <v>19447</v>
      </c>
      <c r="T2866" t="s">
        <v>19901</v>
      </c>
    </row>
    <row r="2867" spans="2:20" x14ac:dyDescent="0.25">
      <c r="B2867" t="s">
        <v>2709</v>
      </c>
      <c r="C2867">
        <v>29280020</v>
      </c>
      <c r="E2867">
        <v>68.819999999999993</v>
      </c>
      <c r="F2867">
        <v>0</v>
      </c>
      <c r="G2867">
        <v>0</v>
      </c>
      <c r="H2867" t="s">
        <v>19447</v>
      </c>
      <c r="I2867" t="s">
        <v>19447</v>
      </c>
      <c r="J2867">
        <v>2</v>
      </c>
      <c r="L2867" t="s">
        <v>2709</v>
      </c>
      <c r="M2867">
        <v>29280020</v>
      </c>
      <c r="O2867" t="s">
        <v>20028</v>
      </c>
      <c r="P2867" t="s">
        <v>19900</v>
      </c>
      <c r="Q2867" t="s">
        <v>19900</v>
      </c>
      <c r="R2867" t="s">
        <v>19447</v>
      </c>
      <c r="S2867" t="s">
        <v>19447</v>
      </c>
      <c r="T2867" t="s">
        <v>19901</v>
      </c>
    </row>
    <row r="2868" spans="2:20" x14ac:dyDescent="0.25">
      <c r="B2868" t="s">
        <v>2709</v>
      </c>
      <c r="C2868">
        <v>29280030</v>
      </c>
      <c r="E2868">
        <v>68.819999999999993</v>
      </c>
      <c r="F2868">
        <v>0</v>
      </c>
      <c r="G2868">
        <v>0</v>
      </c>
      <c r="H2868" t="s">
        <v>19447</v>
      </c>
      <c r="I2868" t="s">
        <v>19447</v>
      </c>
      <c r="J2868">
        <v>2</v>
      </c>
      <c r="L2868" t="s">
        <v>2709</v>
      </c>
      <c r="M2868">
        <v>29280030</v>
      </c>
      <c r="O2868" t="s">
        <v>20028</v>
      </c>
      <c r="P2868" t="s">
        <v>19900</v>
      </c>
      <c r="Q2868" t="s">
        <v>19900</v>
      </c>
      <c r="R2868" t="s">
        <v>19447</v>
      </c>
      <c r="S2868" t="s">
        <v>19447</v>
      </c>
      <c r="T2868" t="s">
        <v>19901</v>
      </c>
    </row>
    <row r="2869" spans="2:20" x14ac:dyDescent="0.25">
      <c r="B2869" t="s">
        <v>2709</v>
      </c>
      <c r="C2869">
        <v>29280041</v>
      </c>
      <c r="E2869">
        <v>68.819999999999993</v>
      </c>
      <c r="F2869">
        <v>0</v>
      </c>
      <c r="G2869">
        <v>0</v>
      </c>
      <c r="H2869" t="s">
        <v>19447</v>
      </c>
      <c r="I2869" t="s">
        <v>19447</v>
      </c>
      <c r="J2869">
        <v>12</v>
      </c>
      <c r="L2869" t="s">
        <v>2709</v>
      </c>
      <c r="M2869">
        <v>29280041</v>
      </c>
      <c r="O2869" t="s">
        <v>20028</v>
      </c>
      <c r="P2869" t="s">
        <v>19900</v>
      </c>
      <c r="Q2869" t="s">
        <v>19900</v>
      </c>
      <c r="R2869" t="s">
        <v>19447</v>
      </c>
      <c r="S2869" t="s">
        <v>19447</v>
      </c>
      <c r="T2869" t="s">
        <v>19903</v>
      </c>
    </row>
    <row r="2870" spans="2:20" x14ac:dyDescent="0.25">
      <c r="B2870" t="s">
        <v>2709</v>
      </c>
      <c r="C2870">
        <v>29280042</v>
      </c>
      <c r="E2870">
        <v>68.819999999999993</v>
      </c>
      <c r="F2870">
        <v>0</v>
      </c>
      <c r="G2870">
        <v>0</v>
      </c>
      <c r="H2870" t="s">
        <v>19447</v>
      </c>
      <c r="I2870" t="s">
        <v>19447</v>
      </c>
      <c r="J2870">
        <v>12</v>
      </c>
      <c r="L2870" t="s">
        <v>2709</v>
      </c>
      <c r="M2870">
        <v>29280042</v>
      </c>
      <c r="O2870" t="s">
        <v>20028</v>
      </c>
      <c r="P2870" t="s">
        <v>19900</v>
      </c>
      <c r="Q2870" t="s">
        <v>19900</v>
      </c>
      <c r="R2870" t="s">
        <v>19447</v>
      </c>
      <c r="S2870" t="s">
        <v>19447</v>
      </c>
      <c r="T2870" t="s">
        <v>19903</v>
      </c>
    </row>
    <row r="2871" spans="2:20" x14ac:dyDescent="0.25">
      <c r="B2871" t="s">
        <v>2709</v>
      </c>
      <c r="C2871">
        <v>29280090</v>
      </c>
      <c r="E2871">
        <v>68.819999999999993</v>
      </c>
      <c r="F2871">
        <v>0</v>
      </c>
      <c r="G2871">
        <v>0</v>
      </c>
      <c r="H2871" t="s">
        <v>19447</v>
      </c>
      <c r="I2871" t="s">
        <v>19447</v>
      </c>
      <c r="J2871">
        <v>2</v>
      </c>
      <c r="L2871" t="s">
        <v>2709</v>
      </c>
      <c r="M2871">
        <v>29280090</v>
      </c>
      <c r="O2871" t="s">
        <v>20028</v>
      </c>
      <c r="P2871" t="s">
        <v>19900</v>
      </c>
      <c r="Q2871" t="s">
        <v>19900</v>
      </c>
      <c r="R2871" t="s">
        <v>19447</v>
      </c>
      <c r="S2871" t="s">
        <v>19447</v>
      </c>
      <c r="T2871" t="s">
        <v>19901</v>
      </c>
    </row>
    <row r="2872" spans="2:20" x14ac:dyDescent="0.25">
      <c r="B2872" t="s">
        <v>2709</v>
      </c>
      <c r="C2872">
        <v>29291010</v>
      </c>
      <c r="E2872">
        <v>68.819999999999993</v>
      </c>
      <c r="F2872">
        <v>0</v>
      </c>
      <c r="G2872">
        <v>0</v>
      </c>
      <c r="H2872" t="s">
        <v>19447</v>
      </c>
      <c r="I2872" t="s">
        <v>19447</v>
      </c>
      <c r="J2872">
        <v>14</v>
      </c>
      <c r="L2872" t="s">
        <v>2709</v>
      </c>
      <c r="M2872">
        <v>29291010</v>
      </c>
      <c r="O2872" t="s">
        <v>20028</v>
      </c>
      <c r="P2872" t="s">
        <v>19900</v>
      </c>
      <c r="Q2872" t="s">
        <v>19900</v>
      </c>
      <c r="R2872" t="s">
        <v>19447</v>
      </c>
      <c r="S2872" t="s">
        <v>19447</v>
      </c>
      <c r="T2872" t="s">
        <v>19911</v>
      </c>
    </row>
    <row r="2873" spans="2:20" x14ac:dyDescent="0.25">
      <c r="B2873" t="s">
        <v>2709</v>
      </c>
      <c r="C2873">
        <v>29291021</v>
      </c>
      <c r="E2873">
        <v>68.819999999999993</v>
      </c>
      <c r="F2873">
        <v>0</v>
      </c>
      <c r="G2873">
        <v>0</v>
      </c>
      <c r="H2873" t="s">
        <v>19447</v>
      </c>
      <c r="I2873" t="s">
        <v>19447</v>
      </c>
      <c r="J2873">
        <v>2</v>
      </c>
      <c r="L2873" t="s">
        <v>2709</v>
      </c>
      <c r="M2873">
        <v>29291021</v>
      </c>
      <c r="O2873" t="s">
        <v>20028</v>
      </c>
      <c r="P2873" t="s">
        <v>19900</v>
      </c>
      <c r="Q2873" t="s">
        <v>19900</v>
      </c>
      <c r="R2873" t="s">
        <v>19447</v>
      </c>
      <c r="S2873" t="s">
        <v>19447</v>
      </c>
      <c r="T2873" t="s">
        <v>19901</v>
      </c>
    </row>
    <row r="2874" spans="2:20" x14ac:dyDescent="0.25">
      <c r="B2874" t="s">
        <v>2709</v>
      </c>
      <c r="C2874">
        <v>29291029</v>
      </c>
      <c r="E2874">
        <v>68.819999999999993</v>
      </c>
      <c r="F2874">
        <v>0</v>
      </c>
      <c r="G2874">
        <v>0</v>
      </c>
      <c r="H2874" t="s">
        <v>19447</v>
      </c>
      <c r="I2874" t="s">
        <v>19447</v>
      </c>
      <c r="J2874">
        <v>14</v>
      </c>
      <c r="L2874" t="s">
        <v>2709</v>
      </c>
      <c r="M2874">
        <v>29291029</v>
      </c>
      <c r="O2874" t="s">
        <v>20028</v>
      </c>
      <c r="P2874" t="s">
        <v>19900</v>
      </c>
      <c r="Q2874" t="s">
        <v>19900</v>
      </c>
      <c r="R2874" t="s">
        <v>19447</v>
      </c>
      <c r="S2874" t="s">
        <v>19447</v>
      </c>
      <c r="T2874" t="s">
        <v>19911</v>
      </c>
    </row>
    <row r="2875" spans="2:20" x14ac:dyDescent="0.25">
      <c r="B2875" t="s">
        <v>2709</v>
      </c>
      <c r="C2875">
        <v>29291030</v>
      </c>
      <c r="E2875">
        <v>68.819999999999993</v>
      </c>
      <c r="F2875">
        <v>0</v>
      </c>
      <c r="G2875">
        <v>0</v>
      </c>
      <c r="H2875" t="s">
        <v>19447</v>
      </c>
      <c r="I2875" t="s">
        <v>19447</v>
      </c>
      <c r="J2875">
        <v>2</v>
      </c>
      <c r="L2875" t="s">
        <v>2709</v>
      </c>
      <c r="M2875">
        <v>29291030</v>
      </c>
      <c r="O2875" t="s">
        <v>20028</v>
      </c>
      <c r="P2875" t="s">
        <v>19900</v>
      </c>
      <c r="Q2875" t="s">
        <v>19900</v>
      </c>
      <c r="R2875" t="s">
        <v>19447</v>
      </c>
      <c r="S2875" t="s">
        <v>19447</v>
      </c>
      <c r="T2875" t="s">
        <v>19901</v>
      </c>
    </row>
    <row r="2876" spans="2:20" x14ac:dyDescent="0.25">
      <c r="B2876" t="s">
        <v>2709</v>
      </c>
      <c r="C2876">
        <v>29291090</v>
      </c>
      <c r="E2876">
        <v>68.819999999999993</v>
      </c>
      <c r="F2876">
        <v>0</v>
      </c>
      <c r="G2876">
        <v>0</v>
      </c>
      <c r="H2876" t="s">
        <v>19447</v>
      </c>
      <c r="I2876" t="s">
        <v>19447</v>
      </c>
      <c r="J2876">
        <v>2</v>
      </c>
      <c r="L2876" t="s">
        <v>2709</v>
      </c>
      <c r="M2876">
        <v>29291090</v>
      </c>
      <c r="O2876" t="s">
        <v>20028</v>
      </c>
      <c r="P2876" t="s">
        <v>19900</v>
      </c>
      <c r="Q2876" t="s">
        <v>19900</v>
      </c>
      <c r="R2876" t="s">
        <v>19447</v>
      </c>
      <c r="S2876" t="s">
        <v>19447</v>
      </c>
      <c r="T2876" t="s">
        <v>19901</v>
      </c>
    </row>
    <row r="2877" spans="2:20" x14ac:dyDescent="0.25">
      <c r="B2877" t="s">
        <v>2709</v>
      </c>
      <c r="C2877">
        <v>29299011</v>
      </c>
      <c r="E2877">
        <v>42.33</v>
      </c>
      <c r="F2877">
        <v>0</v>
      </c>
      <c r="G2877">
        <v>0</v>
      </c>
      <c r="H2877" t="s">
        <v>19447</v>
      </c>
      <c r="I2877" t="s">
        <v>19447</v>
      </c>
      <c r="J2877">
        <v>12</v>
      </c>
      <c r="L2877" t="s">
        <v>2709</v>
      </c>
      <c r="M2877">
        <v>29299011</v>
      </c>
      <c r="O2877" t="s">
        <v>19920</v>
      </c>
      <c r="P2877" t="s">
        <v>19900</v>
      </c>
      <c r="Q2877" t="s">
        <v>19900</v>
      </c>
      <c r="R2877" t="s">
        <v>19447</v>
      </c>
      <c r="S2877" t="s">
        <v>19447</v>
      </c>
      <c r="T2877" t="s">
        <v>19903</v>
      </c>
    </row>
    <row r="2878" spans="2:20" x14ac:dyDescent="0.25">
      <c r="B2878" t="s">
        <v>2709</v>
      </c>
      <c r="C2878">
        <v>29299012</v>
      </c>
      <c r="E2878">
        <v>68.819999999999993</v>
      </c>
      <c r="F2878">
        <v>0</v>
      </c>
      <c r="G2878">
        <v>0</v>
      </c>
      <c r="H2878" t="s">
        <v>19447</v>
      </c>
      <c r="I2878" t="s">
        <v>19447</v>
      </c>
      <c r="J2878">
        <v>12</v>
      </c>
      <c r="L2878" t="s">
        <v>2709</v>
      </c>
      <c r="M2878">
        <v>29299012</v>
      </c>
      <c r="O2878" t="s">
        <v>20028</v>
      </c>
      <c r="P2878" t="s">
        <v>19900</v>
      </c>
      <c r="Q2878" t="s">
        <v>19900</v>
      </c>
      <c r="R2878" t="s">
        <v>19447</v>
      </c>
      <c r="S2878" t="s">
        <v>19447</v>
      </c>
      <c r="T2878" t="s">
        <v>19903</v>
      </c>
    </row>
    <row r="2879" spans="2:20" x14ac:dyDescent="0.25">
      <c r="B2879" t="s">
        <v>2709</v>
      </c>
      <c r="C2879">
        <v>29299019</v>
      </c>
      <c r="E2879">
        <v>68.819999999999993</v>
      </c>
      <c r="F2879">
        <v>0</v>
      </c>
      <c r="G2879">
        <v>0</v>
      </c>
      <c r="H2879" t="s">
        <v>19447</v>
      </c>
      <c r="I2879" t="s">
        <v>19447</v>
      </c>
      <c r="J2879">
        <v>2</v>
      </c>
      <c r="L2879" t="s">
        <v>2709</v>
      </c>
      <c r="M2879">
        <v>29299019</v>
      </c>
      <c r="O2879" t="s">
        <v>20028</v>
      </c>
      <c r="P2879" t="s">
        <v>19900</v>
      </c>
      <c r="Q2879" t="s">
        <v>19900</v>
      </c>
      <c r="R2879" t="s">
        <v>19447</v>
      </c>
      <c r="S2879" t="s">
        <v>19447</v>
      </c>
      <c r="T2879" t="s">
        <v>19901</v>
      </c>
    </row>
    <row r="2880" spans="2:20" x14ac:dyDescent="0.25">
      <c r="B2880" t="s">
        <v>2709</v>
      </c>
      <c r="C2880">
        <v>29299021</v>
      </c>
      <c r="E2880">
        <v>68.819999999999993</v>
      </c>
      <c r="F2880">
        <v>0</v>
      </c>
      <c r="G2880">
        <v>0</v>
      </c>
      <c r="H2880" t="s">
        <v>19447</v>
      </c>
      <c r="I2880" t="s">
        <v>19447</v>
      </c>
      <c r="J2880">
        <v>2</v>
      </c>
      <c r="L2880" t="s">
        <v>2709</v>
      </c>
      <c r="M2880">
        <v>29299021</v>
      </c>
      <c r="O2880" t="s">
        <v>20028</v>
      </c>
      <c r="P2880" t="s">
        <v>19900</v>
      </c>
      <c r="Q2880" t="s">
        <v>19900</v>
      </c>
      <c r="R2880" t="s">
        <v>19447</v>
      </c>
      <c r="S2880" t="s">
        <v>19447</v>
      </c>
      <c r="T2880" t="s">
        <v>19901</v>
      </c>
    </row>
    <row r="2881" spans="2:20" x14ac:dyDescent="0.25">
      <c r="B2881" t="s">
        <v>2709</v>
      </c>
      <c r="C2881">
        <v>29299022</v>
      </c>
      <c r="E2881">
        <v>68.819999999999993</v>
      </c>
      <c r="F2881">
        <v>0</v>
      </c>
      <c r="G2881">
        <v>0</v>
      </c>
      <c r="H2881" t="s">
        <v>19447</v>
      </c>
      <c r="I2881" t="s">
        <v>19447</v>
      </c>
      <c r="J2881">
        <v>2</v>
      </c>
      <c r="L2881" t="s">
        <v>2709</v>
      </c>
      <c r="M2881">
        <v>29299022</v>
      </c>
      <c r="O2881" t="s">
        <v>20028</v>
      </c>
      <c r="P2881" t="s">
        <v>19900</v>
      </c>
      <c r="Q2881" t="s">
        <v>19900</v>
      </c>
      <c r="R2881" t="s">
        <v>19447</v>
      </c>
      <c r="S2881" t="s">
        <v>19447</v>
      </c>
      <c r="T2881" t="s">
        <v>19901</v>
      </c>
    </row>
    <row r="2882" spans="2:20" x14ac:dyDescent="0.25">
      <c r="B2882" t="s">
        <v>2709</v>
      </c>
      <c r="C2882">
        <v>29299029</v>
      </c>
      <c r="E2882">
        <v>68.819999999999993</v>
      </c>
      <c r="F2882">
        <v>0</v>
      </c>
      <c r="G2882">
        <v>0</v>
      </c>
      <c r="H2882" t="s">
        <v>19447</v>
      </c>
      <c r="I2882" t="s">
        <v>19447</v>
      </c>
      <c r="J2882">
        <v>2</v>
      </c>
      <c r="L2882" t="s">
        <v>2709</v>
      </c>
      <c r="M2882">
        <v>29299029</v>
      </c>
      <c r="O2882" t="s">
        <v>20028</v>
      </c>
      <c r="P2882" t="s">
        <v>19900</v>
      </c>
      <c r="Q2882" t="s">
        <v>19900</v>
      </c>
      <c r="R2882" t="s">
        <v>19447</v>
      </c>
      <c r="S2882" t="s">
        <v>19447</v>
      </c>
      <c r="T2882" t="s">
        <v>19901</v>
      </c>
    </row>
    <row r="2883" spans="2:20" x14ac:dyDescent="0.25">
      <c r="B2883" t="s">
        <v>2709</v>
      </c>
      <c r="C2883">
        <v>29299090</v>
      </c>
      <c r="E2883">
        <v>68.819999999999993</v>
      </c>
      <c r="F2883">
        <v>0</v>
      </c>
      <c r="G2883">
        <v>0</v>
      </c>
      <c r="H2883" t="s">
        <v>19447</v>
      </c>
      <c r="I2883" t="s">
        <v>19447</v>
      </c>
      <c r="J2883">
        <v>2</v>
      </c>
      <c r="L2883" t="s">
        <v>2709</v>
      </c>
      <c r="M2883">
        <v>29299090</v>
      </c>
      <c r="O2883" t="s">
        <v>20028</v>
      </c>
      <c r="P2883" t="s">
        <v>19900</v>
      </c>
      <c r="Q2883" t="s">
        <v>19900</v>
      </c>
      <c r="R2883" t="s">
        <v>19447</v>
      </c>
      <c r="S2883" t="s">
        <v>19447</v>
      </c>
      <c r="T2883" t="s">
        <v>19901</v>
      </c>
    </row>
    <row r="2884" spans="2:20" x14ac:dyDescent="0.25">
      <c r="B2884" t="s">
        <v>2709</v>
      </c>
      <c r="C2884">
        <v>29302011</v>
      </c>
      <c r="E2884">
        <v>68.819999999999993</v>
      </c>
      <c r="F2884">
        <v>0</v>
      </c>
      <c r="G2884">
        <v>0</v>
      </c>
      <c r="H2884" t="s">
        <v>19447</v>
      </c>
      <c r="I2884" t="s">
        <v>19447</v>
      </c>
      <c r="J2884">
        <v>2</v>
      </c>
      <c r="L2884" t="s">
        <v>2709</v>
      </c>
      <c r="M2884">
        <v>29302011</v>
      </c>
      <c r="O2884" t="s">
        <v>20028</v>
      </c>
      <c r="P2884" t="s">
        <v>19900</v>
      </c>
      <c r="Q2884" t="s">
        <v>19900</v>
      </c>
      <c r="R2884" t="s">
        <v>19447</v>
      </c>
      <c r="S2884" t="s">
        <v>19447</v>
      </c>
      <c r="T2884" t="s">
        <v>19901</v>
      </c>
    </row>
    <row r="2885" spans="2:20" x14ac:dyDescent="0.25">
      <c r="B2885" t="s">
        <v>2709</v>
      </c>
      <c r="C2885">
        <v>29302012</v>
      </c>
      <c r="E2885">
        <v>68.819999999999993</v>
      </c>
      <c r="F2885">
        <v>0</v>
      </c>
      <c r="G2885">
        <v>0</v>
      </c>
      <c r="H2885" t="s">
        <v>19447</v>
      </c>
      <c r="I2885" t="s">
        <v>19447</v>
      </c>
      <c r="J2885">
        <v>2</v>
      </c>
      <c r="L2885" t="s">
        <v>2709</v>
      </c>
      <c r="M2885">
        <v>29302012</v>
      </c>
      <c r="O2885" t="s">
        <v>20028</v>
      </c>
      <c r="P2885" t="s">
        <v>19900</v>
      </c>
      <c r="Q2885" t="s">
        <v>19900</v>
      </c>
      <c r="R2885" t="s">
        <v>19447</v>
      </c>
      <c r="S2885" t="s">
        <v>19447</v>
      </c>
      <c r="T2885" t="s">
        <v>19901</v>
      </c>
    </row>
    <row r="2886" spans="2:20" x14ac:dyDescent="0.25">
      <c r="B2886" t="s">
        <v>2709</v>
      </c>
      <c r="C2886">
        <v>29302013</v>
      </c>
      <c r="E2886">
        <v>68.819999999999993</v>
      </c>
      <c r="F2886">
        <v>0</v>
      </c>
      <c r="G2886">
        <v>0</v>
      </c>
      <c r="H2886" t="s">
        <v>19447</v>
      </c>
      <c r="I2886" t="s">
        <v>19447</v>
      </c>
      <c r="J2886">
        <v>2</v>
      </c>
      <c r="L2886" t="s">
        <v>2709</v>
      </c>
      <c r="M2886">
        <v>29302013</v>
      </c>
      <c r="O2886" t="s">
        <v>20028</v>
      </c>
      <c r="P2886" t="s">
        <v>19900</v>
      </c>
      <c r="Q2886" t="s">
        <v>19900</v>
      </c>
      <c r="R2886" t="s">
        <v>19447</v>
      </c>
      <c r="S2886" t="s">
        <v>19447</v>
      </c>
      <c r="T2886" t="s">
        <v>19901</v>
      </c>
    </row>
    <row r="2887" spans="2:20" x14ac:dyDescent="0.25">
      <c r="B2887" t="s">
        <v>2709</v>
      </c>
      <c r="C2887">
        <v>29302019</v>
      </c>
      <c r="E2887">
        <v>68.819999999999993</v>
      </c>
      <c r="F2887">
        <v>0</v>
      </c>
      <c r="G2887">
        <v>0</v>
      </c>
      <c r="H2887" t="s">
        <v>19447</v>
      </c>
      <c r="I2887" t="s">
        <v>19447</v>
      </c>
      <c r="J2887">
        <v>2</v>
      </c>
      <c r="L2887" t="s">
        <v>2709</v>
      </c>
      <c r="M2887">
        <v>29302019</v>
      </c>
      <c r="O2887" t="s">
        <v>20028</v>
      </c>
      <c r="P2887" t="s">
        <v>19900</v>
      </c>
      <c r="Q2887" t="s">
        <v>19900</v>
      </c>
      <c r="R2887" t="s">
        <v>19447</v>
      </c>
      <c r="S2887" t="s">
        <v>19447</v>
      </c>
      <c r="T2887" t="s">
        <v>19901</v>
      </c>
    </row>
    <row r="2888" spans="2:20" x14ac:dyDescent="0.25">
      <c r="B2888" t="s">
        <v>2709</v>
      </c>
      <c r="C2888">
        <v>29302021</v>
      </c>
      <c r="E2888">
        <v>68.819999999999993</v>
      </c>
      <c r="F2888">
        <v>0</v>
      </c>
      <c r="G2888">
        <v>0</v>
      </c>
      <c r="H2888" t="s">
        <v>19447</v>
      </c>
      <c r="I2888" t="s">
        <v>19447</v>
      </c>
      <c r="J2888">
        <v>12</v>
      </c>
      <c r="L2888" t="s">
        <v>2709</v>
      </c>
      <c r="M2888">
        <v>29302021</v>
      </c>
      <c r="O2888" t="s">
        <v>20028</v>
      </c>
      <c r="P2888" t="s">
        <v>19900</v>
      </c>
      <c r="Q2888" t="s">
        <v>19900</v>
      </c>
      <c r="R2888" t="s">
        <v>19447</v>
      </c>
      <c r="S2888" t="s">
        <v>19447</v>
      </c>
      <c r="T2888" t="s">
        <v>19903</v>
      </c>
    </row>
    <row r="2889" spans="2:20" x14ac:dyDescent="0.25">
      <c r="B2889" t="s">
        <v>2709</v>
      </c>
      <c r="C2889">
        <v>29302022</v>
      </c>
      <c r="E2889">
        <v>68.819999999999993</v>
      </c>
      <c r="F2889">
        <v>0</v>
      </c>
      <c r="G2889">
        <v>0</v>
      </c>
      <c r="H2889" t="s">
        <v>19447</v>
      </c>
      <c r="I2889" t="s">
        <v>19447</v>
      </c>
      <c r="J2889">
        <v>12</v>
      </c>
      <c r="L2889" t="s">
        <v>2709</v>
      </c>
      <c r="M2889">
        <v>29302022</v>
      </c>
      <c r="O2889" t="s">
        <v>20028</v>
      </c>
      <c r="P2889" t="s">
        <v>19900</v>
      </c>
      <c r="Q2889" t="s">
        <v>19900</v>
      </c>
      <c r="R2889" t="s">
        <v>19447</v>
      </c>
      <c r="S2889" t="s">
        <v>19447</v>
      </c>
      <c r="T2889" t="s">
        <v>19903</v>
      </c>
    </row>
    <row r="2890" spans="2:20" x14ac:dyDescent="0.25">
      <c r="B2890" t="s">
        <v>2709</v>
      </c>
      <c r="C2890">
        <v>29302023</v>
      </c>
      <c r="E2890">
        <v>68.819999999999993</v>
      </c>
      <c r="F2890">
        <v>0</v>
      </c>
      <c r="G2890">
        <v>0</v>
      </c>
      <c r="H2890" t="s">
        <v>19447</v>
      </c>
      <c r="I2890" t="s">
        <v>19447</v>
      </c>
      <c r="J2890">
        <v>12</v>
      </c>
      <c r="L2890" t="s">
        <v>2709</v>
      </c>
      <c r="M2890">
        <v>29302023</v>
      </c>
      <c r="O2890" t="s">
        <v>20028</v>
      </c>
      <c r="P2890" t="s">
        <v>19900</v>
      </c>
      <c r="Q2890" t="s">
        <v>19900</v>
      </c>
      <c r="R2890" t="s">
        <v>19447</v>
      </c>
      <c r="S2890" t="s">
        <v>19447</v>
      </c>
      <c r="T2890" t="s">
        <v>19903</v>
      </c>
    </row>
    <row r="2891" spans="2:20" x14ac:dyDescent="0.25">
      <c r="B2891" t="s">
        <v>2709</v>
      </c>
      <c r="C2891">
        <v>29302024</v>
      </c>
      <c r="E2891">
        <v>68.819999999999993</v>
      </c>
      <c r="F2891">
        <v>0</v>
      </c>
      <c r="G2891">
        <v>0</v>
      </c>
      <c r="H2891" t="s">
        <v>19447</v>
      </c>
      <c r="I2891" t="s">
        <v>19447</v>
      </c>
      <c r="J2891">
        <v>14</v>
      </c>
      <c r="L2891" t="s">
        <v>2709</v>
      </c>
      <c r="M2891">
        <v>29302024</v>
      </c>
      <c r="O2891" t="s">
        <v>20028</v>
      </c>
      <c r="P2891" t="s">
        <v>19900</v>
      </c>
      <c r="Q2891" t="s">
        <v>19900</v>
      </c>
      <c r="R2891" t="s">
        <v>19447</v>
      </c>
      <c r="S2891" t="s">
        <v>19447</v>
      </c>
      <c r="T2891" t="s">
        <v>19911</v>
      </c>
    </row>
    <row r="2892" spans="2:20" x14ac:dyDescent="0.25">
      <c r="B2892" t="s">
        <v>2709</v>
      </c>
      <c r="C2892">
        <v>29302029</v>
      </c>
      <c r="E2892">
        <v>68.819999999999993</v>
      </c>
      <c r="F2892">
        <v>0</v>
      </c>
      <c r="G2892">
        <v>0</v>
      </c>
      <c r="H2892" t="s">
        <v>19447</v>
      </c>
      <c r="I2892" t="s">
        <v>19447</v>
      </c>
      <c r="J2892">
        <v>2</v>
      </c>
      <c r="L2892" t="s">
        <v>2709</v>
      </c>
      <c r="M2892">
        <v>29302029</v>
      </c>
      <c r="O2892" t="s">
        <v>20028</v>
      </c>
      <c r="P2892" t="s">
        <v>19900</v>
      </c>
      <c r="Q2892" t="s">
        <v>19900</v>
      </c>
      <c r="R2892" t="s">
        <v>19447</v>
      </c>
      <c r="S2892" t="s">
        <v>19447</v>
      </c>
      <c r="T2892" t="s">
        <v>19901</v>
      </c>
    </row>
    <row r="2893" spans="2:20" x14ac:dyDescent="0.25">
      <c r="B2893" t="s">
        <v>2709</v>
      </c>
      <c r="C2893">
        <v>29303011</v>
      </c>
      <c r="E2893">
        <v>68.819999999999993</v>
      </c>
      <c r="F2893">
        <v>0</v>
      </c>
      <c r="G2893">
        <v>0</v>
      </c>
      <c r="H2893" t="s">
        <v>19447</v>
      </c>
      <c r="I2893" t="s">
        <v>19447</v>
      </c>
      <c r="J2893">
        <v>12</v>
      </c>
      <c r="L2893" t="s">
        <v>2709</v>
      </c>
      <c r="M2893">
        <v>29303011</v>
      </c>
      <c r="O2893" t="s">
        <v>20028</v>
      </c>
      <c r="P2893" t="s">
        <v>19900</v>
      </c>
      <c r="Q2893" t="s">
        <v>19900</v>
      </c>
      <c r="R2893" t="s">
        <v>19447</v>
      </c>
      <c r="S2893" t="s">
        <v>19447</v>
      </c>
      <c r="T2893" t="s">
        <v>19903</v>
      </c>
    </row>
    <row r="2894" spans="2:20" x14ac:dyDescent="0.25">
      <c r="B2894" t="s">
        <v>2709</v>
      </c>
      <c r="C2894">
        <v>29303012</v>
      </c>
      <c r="E2894">
        <v>68.819999999999993</v>
      </c>
      <c r="F2894">
        <v>0</v>
      </c>
      <c r="G2894">
        <v>0</v>
      </c>
      <c r="H2894" t="s">
        <v>19447</v>
      </c>
      <c r="I2894" t="s">
        <v>19447</v>
      </c>
      <c r="J2894">
        <v>12</v>
      </c>
      <c r="L2894" t="s">
        <v>2709</v>
      </c>
      <c r="M2894">
        <v>29303012</v>
      </c>
      <c r="O2894" t="s">
        <v>20028</v>
      </c>
      <c r="P2894" t="s">
        <v>19900</v>
      </c>
      <c r="Q2894" t="s">
        <v>19900</v>
      </c>
      <c r="R2894" t="s">
        <v>19447</v>
      </c>
      <c r="S2894" t="s">
        <v>19447</v>
      </c>
      <c r="T2894" t="s">
        <v>19903</v>
      </c>
    </row>
    <row r="2895" spans="2:20" x14ac:dyDescent="0.25">
      <c r="B2895" t="s">
        <v>2709</v>
      </c>
      <c r="C2895">
        <v>29303019</v>
      </c>
      <c r="E2895">
        <v>68.819999999999993</v>
      </c>
      <c r="F2895">
        <v>0</v>
      </c>
      <c r="G2895">
        <v>0</v>
      </c>
      <c r="H2895" t="s">
        <v>19447</v>
      </c>
      <c r="I2895" t="s">
        <v>19447</v>
      </c>
      <c r="J2895">
        <v>2</v>
      </c>
      <c r="L2895" t="s">
        <v>2709</v>
      </c>
      <c r="M2895">
        <v>29303019</v>
      </c>
      <c r="O2895" t="s">
        <v>20028</v>
      </c>
      <c r="P2895" t="s">
        <v>19900</v>
      </c>
      <c r="Q2895" t="s">
        <v>19900</v>
      </c>
      <c r="R2895" t="s">
        <v>19447</v>
      </c>
      <c r="S2895" t="s">
        <v>19447</v>
      </c>
      <c r="T2895" t="s">
        <v>19901</v>
      </c>
    </row>
    <row r="2896" spans="2:20" x14ac:dyDescent="0.25">
      <c r="B2896" t="s">
        <v>2709</v>
      </c>
      <c r="C2896">
        <v>29303021</v>
      </c>
      <c r="E2896">
        <v>68.819999999999993</v>
      </c>
      <c r="F2896">
        <v>0</v>
      </c>
      <c r="G2896">
        <v>0</v>
      </c>
      <c r="H2896" t="s">
        <v>19447</v>
      </c>
      <c r="I2896" t="s">
        <v>19447</v>
      </c>
      <c r="J2896">
        <v>12</v>
      </c>
      <c r="L2896" t="s">
        <v>2709</v>
      </c>
      <c r="M2896">
        <v>29303021</v>
      </c>
      <c r="O2896" t="s">
        <v>20028</v>
      </c>
      <c r="P2896" t="s">
        <v>19900</v>
      </c>
      <c r="Q2896" t="s">
        <v>19900</v>
      </c>
      <c r="R2896" t="s">
        <v>19447</v>
      </c>
      <c r="S2896" t="s">
        <v>19447</v>
      </c>
      <c r="T2896" t="s">
        <v>19903</v>
      </c>
    </row>
    <row r="2897" spans="2:20" x14ac:dyDescent="0.25">
      <c r="B2897" t="s">
        <v>2709</v>
      </c>
      <c r="C2897">
        <v>29303022</v>
      </c>
      <c r="E2897">
        <v>68.819999999999993</v>
      </c>
      <c r="F2897">
        <v>0</v>
      </c>
      <c r="G2897">
        <v>0</v>
      </c>
      <c r="H2897" t="s">
        <v>19447</v>
      </c>
      <c r="I2897" t="s">
        <v>19447</v>
      </c>
      <c r="J2897">
        <v>2</v>
      </c>
      <c r="L2897" t="s">
        <v>2709</v>
      </c>
      <c r="M2897">
        <v>29303022</v>
      </c>
      <c r="O2897" t="s">
        <v>20028</v>
      </c>
      <c r="P2897" t="s">
        <v>19900</v>
      </c>
      <c r="Q2897" t="s">
        <v>19900</v>
      </c>
      <c r="R2897" t="s">
        <v>19447</v>
      </c>
      <c r="S2897" t="s">
        <v>19447</v>
      </c>
      <c r="T2897" t="s">
        <v>19901</v>
      </c>
    </row>
    <row r="2898" spans="2:20" x14ac:dyDescent="0.25">
      <c r="B2898" t="s">
        <v>2709</v>
      </c>
      <c r="C2898">
        <v>29303029</v>
      </c>
      <c r="E2898">
        <v>68.819999999999993</v>
      </c>
      <c r="F2898">
        <v>0</v>
      </c>
      <c r="G2898">
        <v>0</v>
      </c>
      <c r="H2898" t="s">
        <v>19447</v>
      </c>
      <c r="I2898" t="s">
        <v>19447</v>
      </c>
      <c r="J2898">
        <v>2</v>
      </c>
      <c r="L2898" t="s">
        <v>2709</v>
      </c>
      <c r="M2898">
        <v>29303029</v>
      </c>
      <c r="O2898" t="s">
        <v>20028</v>
      </c>
      <c r="P2898" t="s">
        <v>19900</v>
      </c>
      <c r="Q2898" t="s">
        <v>19900</v>
      </c>
      <c r="R2898" t="s">
        <v>19447</v>
      </c>
      <c r="S2898" t="s">
        <v>19447</v>
      </c>
      <c r="T2898" t="s">
        <v>19901</v>
      </c>
    </row>
    <row r="2899" spans="2:20" x14ac:dyDescent="0.25">
      <c r="B2899" t="s">
        <v>2709</v>
      </c>
      <c r="C2899">
        <v>29303090</v>
      </c>
      <c r="E2899">
        <v>68.819999999999993</v>
      </c>
      <c r="F2899">
        <v>0</v>
      </c>
      <c r="G2899">
        <v>0</v>
      </c>
      <c r="H2899" t="s">
        <v>19447</v>
      </c>
      <c r="I2899" t="s">
        <v>19447</v>
      </c>
      <c r="J2899">
        <v>2</v>
      </c>
      <c r="L2899" t="s">
        <v>2709</v>
      </c>
      <c r="M2899">
        <v>29303090</v>
      </c>
      <c r="O2899" t="s">
        <v>20028</v>
      </c>
      <c r="P2899" t="s">
        <v>19900</v>
      </c>
      <c r="Q2899" t="s">
        <v>19900</v>
      </c>
      <c r="R2899" t="s">
        <v>19447</v>
      </c>
      <c r="S2899" t="s">
        <v>19447</v>
      </c>
      <c r="T2899" t="s">
        <v>19901</v>
      </c>
    </row>
    <row r="2900" spans="2:20" x14ac:dyDescent="0.25">
      <c r="B2900" t="s">
        <v>2709</v>
      </c>
      <c r="C2900">
        <v>29304010</v>
      </c>
      <c r="E2900">
        <v>68.819999999999993</v>
      </c>
      <c r="F2900">
        <v>0</v>
      </c>
      <c r="G2900">
        <v>0</v>
      </c>
      <c r="H2900" t="s">
        <v>19447</v>
      </c>
      <c r="I2900" t="s">
        <v>19447</v>
      </c>
      <c r="J2900">
        <v>2</v>
      </c>
      <c r="L2900" t="s">
        <v>2709</v>
      </c>
      <c r="M2900">
        <v>29304010</v>
      </c>
      <c r="O2900" t="s">
        <v>20028</v>
      </c>
      <c r="P2900" t="s">
        <v>19900</v>
      </c>
      <c r="Q2900" t="s">
        <v>19900</v>
      </c>
      <c r="R2900" t="s">
        <v>19447</v>
      </c>
      <c r="S2900" t="s">
        <v>19447</v>
      </c>
      <c r="T2900" t="s">
        <v>19901</v>
      </c>
    </row>
    <row r="2901" spans="2:20" x14ac:dyDescent="0.25">
      <c r="B2901" t="s">
        <v>2709</v>
      </c>
      <c r="C2901">
        <v>29304090</v>
      </c>
      <c r="E2901">
        <v>68.819999999999993</v>
      </c>
      <c r="F2901">
        <v>0</v>
      </c>
      <c r="G2901">
        <v>0</v>
      </c>
      <c r="H2901" t="s">
        <v>19447</v>
      </c>
      <c r="I2901" t="s">
        <v>19447</v>
      </c>
      <c r="J2901">
        <v>2</v>
      </c>
      <c r="L2901" t="s">
        <v>2709</v>
      </c>
      <c r="M2901">
        <v>29304090</v>
      </c>
      <c r="O2901" t="s">
        <v>20028</v>
      </c>
      <c r="P2901" t="s">
        <v>19900</v>
      </c>
      <c r="Q2901" t="s">
        <v>19900</v>
      </c>
      <c r="R2901" t="s">
        <v>19447</v>
      </c>
      <c r="S2901" t="s">
        <v>19447</v>
      </c>
      <c r="T2901" t="s">
        <v>19901</v>
      </c>
    </row>
    <row r="2902" spans="2:20" x14ac:dyDescent="0.25">
      <c r="B2902" t="s">
        <v>2709</v>
      </c>
      <c r="C2902">
        <v>29305010</v>
      </c>
      <c r="E2902">
        <v>68.819999999999993</v>
      </c>
      <c r="F2902">
        <v>0</v>
      </c>
      <c r="G2902">
        <v>0</v>
      </c>
      <c r="H2902" t="s">
        <v>19447</v>
      </c>
      <c r="I2902" t="s">
        <v>19447</v>
      </c>
      <c r="J2902">
        <v>2</v>
      </c>
      <c r="L2902" t="s">
        <v>2709</v>
      </c>
      <c r="M2902">
        <v>29305010</v>
      </c>
      <c r="O2902" t="s">
        <v>20028</v>
      </c>
      <c r="P2902" t="s">
        <v>19900</v>
      </c>
      <c r="Q2902" t="s">
        <v>19900</v>
      </c>
      <c r="R2902" t="s">
        <v>19447</v>
      </c>
      <c r="S2902" t="s">
        <v>19447</v>
      </c>
      <c r="T2902" t="s">
        <v>19901</v>
      </c>
    </row>
    <row r="2903" spans="2:20" x14ac:dyDescent="0.25">
      <c r="B2903" t="s">
        <v>2709</v>
      </c>
      <c r="C2903">
        <v>29305020</v>
      </c>
      <c r="E2903">
        <v>68.819999999999993</v>
      </c>
      <c r="F2903">
        <v>0</v>
      </c>
      <c r="G2903">
        <v>0</v>
      </c>
      <c r="H2903" t="s">
        <v>19447</v>
      </c>
      <c r="I2903" t="s">
        <v>19447</v>
      </c>
      <c r="J2903">
        <v>12</v>
      </c>
      <c r="L2903" t="s">
        <v>2709</v>
      </c>
      <c r="M2903">
        <v>29305020</v>
      </c>
      <c r="O2903" t="s">
        <v>20028</v>
      </c>
      <c r="P2903" t="s">
        <v>19900</v>
      </c>
      <c r="Q2903" t="s">
        <v>19900</v>
      </c>
      <c r="R2903" t="s">
        <v>19447</v>
      </c>
      <c r="S2903" t="s">
        <v>19447</v>
      </c>
      <c r="T2903" t="s">
        <v>19903</v>
      </c>
    </row>
    <row r="2904" spans="2:20" x14ac:dyDescent="0.25">
      <c r="B2904" t="s">
        <v>2709</v>
      </c>
      <c r="C2904">
        <v>29309011</v>
      </c>
      <c r="E2904">
        <v>68.819999999999993</v>
      </c>
      <c r="F2904">
        <v>0</v>
      </c>
      <c r="G2904">
        <v>0</v>
      </c>
      <c r="H2904" t="s">
        <v>19447</v>
      </c>
      <c r="I2904" t="s">
        <v>19447</v>
      </c>
      <c r="J2904">
        <v>2</v>
      </c>
      <c r="L2904" t="s">
        <v>2709</v>
      </c>
      <c r="M2904">
        <v>29309011</v>
      </c>
      <c r="O2904" t="s">
        <v>20028</v>
      </c>
      <c r="P2904" t="s">
        <v>19900</v>
      </c>
      <c r="Q2904" t="s">
        <v>19900</v>
      </c>
      <c r="R2904" t="s">
        <v>19447</v>
      </c>
      <c r="S2904" t="s">
        <v>19447</v>
      </c>
      <c r="T2904" t="s">
        <v>19901</v>
      </c>
    </row>
    <row r="2905" spans="2:20" x14ac:dyDescent="0.25">
      <c r="B2905" t="s">
        <v>2709</v>
      </c>
      <c r="C2905">
        <v>29309012</v>
      </c>
      <c r="E2905">
        <v>68.819999999999993</v>
      </c>
      <c r="F2905">
        <v>0</v>
      </c>
      <c r="G2905">
        <v>0</v>
      </c>
      <c r="H2905" t="s">
        <v>19447</v>
      </c>
      <c r="I2905" t="s">
        <v>19447</v>
      </c>
      <c r="J2905">
        <v>2</v>
      </c>
      <c r="L2905" t="s">
        <v>2709</v>
      </c>
      <c r="M2905">
        <v>29309012</v>
      </c>
      <c r="O2905" t="s">
        <v>20028</v>
      </c>
      <c r="P2905" t="s">
        <v>19900</v>
      </c>
      <c r="Q2905" t="s">
        <v>19900</v>
      </c>
      <c r="R2905" t="s">
        <v>19447</v>
      </c>
      <c r="S2905" t="s">
        <v>19447</v>
      </c>
      <c r="T2905" t="s">
        <v>19901</v>
      </c>
    </row>
    <row r="2906" spans="2:20" x14ac:dyDescent="0.25">
      <c r="B2906" t="s">
        <v>2709</v>
      </c>
      <c r="C2906">
        <v>29309013</v>
      </c>
      <c r="E2906">
        <v>68.819999999999993</v>
      </c>
      <c r="F2906">
        <v>0</v>
      </c>
      <c r="G2906">
        <v>0</v>
      </c>
      <c r="H2906" t="s">
        <v>19447</v>
      </c>
      <c r="I2906" t="s">
        <v>19447</v>
      </c>
      <c r="J2906">
        <v>2</v>
      </c>
      <c r="L2906" t="s">
        <v>2709</v>
      </c>
      <c r="M2906">
        <v>29309013</v>
      </c>
      <c r="O2906" t="s">
        <v>20028</v>
      </c>
      <c r="P2906" t="s">
        <v>19900</v>
      </c>
      <c r="Q2906" t="s">
        <v>19900</v>
      </c>
      <c r="R2906" t="s">
        <v>19447</v>
      </c>
      <c r="S2906" t="s">
        <v>19447</v>
      </c>
      <c r="T2906" t="s">
        <v>19901</v>
      </c>
    </row>
    <row r="2907" spans="2:20" x14ac:dyDescent="0.25">
      <c r="B2907" t="s">
        <v>2709</v>
      </c>
      <c r="C2907">
        <v>29309019</v>
      </c>
      <c r="E2907">
        <v>68.819999999999993</v>
      </c>
      <c r="F2907">
        <v>0</v>
      </c>
      <c r="G2907">
        <v>0</v>
      </c>
      <c r="H2907" t="s">
        <v>19447</v>
      </c>
      <c r="I2907" t="s">
        <v>19447</v>
      </c>
      <c r="J2907">
        <v>2</v>
      </c>
      <c r="L2907" t="s">
        <v>2709</v>
      </c>
      <c r="M2907">
        <v>29309019</v>
      </c>
      <c r="O2907" t="s">
        <v>20028</v>
      </c>
      <c r="P2907" t="s">
        <v>19900</v>
      </c>
      <c r="Q2907" t="s">
        <v>19900</v>
      </c>
      <c r="R2907" t="s">
        <v>19447</v>
      </c>
      <c r="S2907" t="s">
        <v>19447</v>
      </c>
      <c r="T2907" t="s">
        <v>19901</v>
      </c>
    </row>
    <row r="2908" spans="2:20" x14ac:dyDescent="0.25">
      <c r="B2908" t="s">
        <v>2709</v>
      </c>
      <c r="C2908">
        <v>29309021</v>
      </c>
      <c r="E2908">
        <v>68.819999999999993</v>
      </c>
      <c r="F2908">
        <v>0</v>
      </c>
      <c r="G2908">
        <v>0</v>
      </c>
      <c r="H2908" t="s">
        <v>19447</v>
      </c>
      <c r="I2908" t="s">
        <v>19447</v>
      </c>
      <c r="J2908">
        <v>2</v>
      </c>
      <c r="L2908" t="s">
        <v>2709</v>
      </c>
      <c r="M2908">
        <v>29309021</v>
      </c>
      <c r="O2908" t="s">
        <v>20028</v>
      </c>
      <c r="P2908" t="s">
        <v>19900</v>
      </c>
      <c r="Q2908" t="s">
        <v>19900</v>
      </c>
      <c r="R2908" t="s">
        <v>19447</v>
      </c>
      <c r="S2908" t="s">
        <v>19447</v>
      </c>
      <c r="T2908" t="s">
        <v>19901</v>
      </c>
    </row>
    <row r="2909" spans="2:20" x14ac:dyDescent="0.25">
      <c r="B2909" t="s">
        <v>2709</v>
      </c>
      <c r="C2909">
        <v>29309022</v>
      </c>
      <c r="E2909">
        <v>68.819999999999993</v>
      </c>
      <c r="F2909">
        <v>0</v>
      </c>
      <c r="G2909">
        <v>0</v>
      </c>
      <c r="H2909" t="s">
        <v>19447</v>
      </c>
      <c r="I2909" t="s">
        <v>19447</v>
      </c>
      <c r="J2909">
        <v>2</v>
      </c>
      <c r="L2909" t="s">
        <v>2709</v>
      </c>
      <c r="M2909">
        <v>29309022</v>
      </c>
      <c r="O2909" t="s">
        <v>20028</v>
      </c>
      <c r="P2909" t="s">
        <v>19900</v>
      </c>
      <c r="Q2909" t="s">
        <v>19900</v>
      </c>
      <c r="R2909" t="s">
        <v>19447</v>
      </c>
      <c r="S2909" t="s">
        <v>19447</v>
      </c>
      <c r="T2909" t="s">
        <v>19901</v>
      </c>
    </row>
    <row r="2910" spans="2:20" x14ac:dyDescent="0.25">
      <c r="B2910" t="s">
        <v>2709</v>
      </c>
      <c r="C2910">
        <v>29309023</v>
      </c>
      <c r="E2910">
        <v>68.819999999999993</v>
      </c>
      <c r="F2910">
        <v>0</v>
      </c>
      <c r="G2910">
        <v>0</v>
      </c>
      <c r="H2910" t="s">
        <v>19447</v>
      </c>
      <c r="I2910" t="s">
        <v>19447</v>
      </c>
      <c r="J2910">
        <v>2</v>
      </c>
      <c r="L2910" t="s">
        <v>2709</v>
      </c>
      <c r="M2910">
        <v>29309023</v>
      </c>
      <c r="O2910" t="s">
        <v>20028</v>
      </c>
      <c r="P2910" t="s">
        <v>19900</v>
      </c>
      <c r="Q2910" t="s">
        <v>19900</v>
      </c>
      <c r="R2910" t="s">
        <v>19447</v>
      </c>
      <c r="S2910" t="s">
        <v>19447</v>
      </c>
      <c r="T2910" t="s">
        <v>19901</v>
      </c>
    </row>
    <row r="2911" spans="2:20" x14ac:dyDescent="0.25">
      <c r="B2911" t="s">
        <v>2709</v>
      </c>
      <c r="C2911">
        <v>29309029</v>
      </c>
      <c r="E2911">
        <v>68.819999999999993</v>
      </c>
      <c r="F2911">
        <v>0</v>
      </c>
      <c r="G2911">
        <v>0</v>
      </c>
      <c r="H2911" t="s">
        <v>19447</v>
      </c>
      <c r="I2911" t="s">
        <v>19447</v>
      </c>
      <c r="J2911">
        <v>2</v>
      </c>
      <c r="L2911" t="s">
        <v>2709</v>
      </c>
      <c r="M2911">
        <v>29309029</v>
      </c>
      <c r="O2911" t="s">
        <v>20028</v>
      </c>
      <c r="P2911" t="s">
        <v>19900</v>
      </c>
      <c r="Q2911" t="s">
        <v>19900</v>
      </c>
      <c r="R2911" t="s">
        <v>19447</v>
      </c>
      <c r="S2911" t="s">
        <v>19447</v>
      </c>
      <c r="T2911" t="s">
        <v>19901</v>
      </c>
    </row>
    <row r="2912" spans="2:20" x14ac:dyDescent="0.25">
      <c r="B2912" t="s">
        <v>2709</v>
      </c>
      <c r="C2912">
        <v>29309031</v>
      </c>
      <c r="E2912">
        <v>68.819999999999993</v>
      </c>
      <c r="F2912">
        <v>0</v>
      </c>
      <c r="G2912">
        <v>0</v>
      </c>
      <c r="H2912" t="s">
        <v>19447</v>
      </c>
      <c r="I2912" t="s">
        <v>19447</v>
      </c>
      <c r="J2912">
        <v>2</v>
      </c>
      <c r="L2912" t="s">
        <v>2709</v>
      </c>
      <c r="M2912">
        <v>29309031</v>
      </c>
      <c r="O2912" t="s">
        <v>20028</v>
      </c>
      <c r="P2912" t="s">
        <v>19900</v>
      </c>
      <c r="Q2912" t="s">
        <v>19900</v>
      </c>
      <c r="R2912" t="s">
        <v>19447</v>
      </c>
      <c r="S2912" t="s">
        <v>19447</v>
      </c>
      <c r="T2912" t="s">
        <v>19901</v>
      </c>
    </row>
    <row r="2913" spans="2:20" x14ac:dyDescent="0.25">
      <c r="B2913" t="s">
        <v>2709</v>
      </c>
      <c r="C2913">
        <v>29309032</v>
      </c>
      <c r="E2913">
        <v>68.819999999999993</v>
      </c>
      <c r="F2913">
        <v>0</v>
      </c>
      <c r="G2913">
        <v>0</v>
      </c>
      <c r="H2913" t="s">
        <v>19447</v>
      </c>
      <c r="I2913" t="s">
        <v>19447</v>
      </c>
      <c r="J2913">
        <v>2</v>
      </c>
      <c r="L2913" t="s">
        <v>2709</v>
      </c>
      <c r="M2913">
        <v>29309032</v>
      </c>
      <c r="O2913" t="s">
        <v>20028</v>
      </c>
      <c r="P2913" t="s">
        <v>19900</v>
      </c>
      <c r="Q2913" t="s">
        <v>19900</v>
      </c>
      <c r="R2913" t="s">
        <v>19447</v>
      </c>
      <c r="S2913" t="s">
        <v>19447</v>
      </c>
      <c r="T2913" t="s">
        <v>19901</v>
      </c>
    </row>
    <row r="2914" spans="2:20" x14ac:dyDescent="0.25">
      <c r="B2914" t="s">
        <v>2709</v>
      </c>
      <c r="C2914">
        <v>29309033</v>
      </c>
      <c r="E2914">
        <v>68.819999999999993</v>
      </c>
      <c r="F2914">
        <v>0</v>
      </c>
      <c r="G2914">
        <v>0</v>
      </c>
      <c r="H2914" t="s">
        <v>19447</v>
      </c>
      <c r="I2914" t="s">
        <v>19447</v>
      </c>
      <c r="J2914">
        <v>2</v>
      </c>
      <c r="L2914" t="s">
        <v>2709</v>
      </c>
      <c r="M2914">
        <v>29309033</v>
      </c>
      <c r="O2914" t="s">
        <v>20028</v>
      </c>
      <c r="P2914" t="s">
        <v>19900</v>
      </c>
      <c r="Q2914" t="s">
        <v>19900</v>
      </c>
      <c r="R2914" t="s">
        <v>19447</v>
      </c>
      <c r="S2914" t="s">
        <v>19447</v>
      </c>
      <c r="T2914" t="s">
        <v>19901</v>
      </c>
    </row>
    <row r="2915" spans="2:20" x14ac:dyDescent="0.25">
      <c r="B2915" t="s">
        <v>2709</v>
      </c>
      <c r="C2915">
        <v>29309034</v>
      </c>
      <c r="E2915">
        <v>68.819999999999993</v>
      </c>
      <c r="F2915">
        <v>0</v>
      </c>
      <c r="G2915">
        <v>0</v>
      </c>
      <c r="H2915" t="s">
        <v>19447</v>
      </c>
      <c r="I2915" t="s">
        <v>19447</v>
      </c>
      <c r="J2915">
        <v>2</v>
      </c>
      <c r="L2915" t="s">
        <v>2709</v>
      </c>
      <c r="M2915">
        <v>29309034</v>
      </c>
      <c r="O2915" t="s">
        <v>20028</v>
      </c>
      <c r="P2915" t="s">
        <v>19900</v>
      </c>
      <c r="Q2915" t="s">
        <v>19900</v>
      </c>
      <c r="R2915" t="s">
        <v>19447</v>
      </c>
      <c r="S2915" t="s">
        <v>19447</v>
      </c>
      <c r="T2915" t="s">
        <v>19901</v>
      </c>
    </row>
    <row r="2916" spans="2:20" x14ac:dyDescent="0.25">
      <c r="B2916" t="s">
        <v>2709</v>
      </c>
      <c r="C2916">
        <v>29309035</v>
      </c>
      <c r="E2916">
        <v>68.819999999999993</v>
      </c>
      <c r="F2916">
        <v>0</v>
      </c>
      <c r="G2916">
        <v>0</v>
      </c>
      <c r="H2916" t="s">
        <v>19447</v>
      </c>
      <c r="I2916" t="s">
        <v>19447</v>
      </c>
      <c r="J2916">
        <v>2</v>
      </c>
      <c r="L2916" t="s">
        <v>2709</v>
      </c>
      <c r="M2916">
        <v>29309035</v>
      </c>
      <c r="O2916" t="s">
        <v>20028</v>
      </c>
      <c r="P2916" t="s">
        <v>19900</v>
      </c>
      <c r="Q2916" t="s">
        <v>19900</v>
      </c>
      <c r="R2916" t="s">
        <v>19447</v>
      </c>
      <c r="S2916" t="s">
        <v>19447</v>
      </c>
      <c r="T2916" t="s">
        <v>19901</v>
      </c>
    </row>
    <row r="2917" spans="2:20" x14ac:dyDescent="0.25">
      <c r="B2917" t="s">
        <v>2709</v>
      </c>
      <c r="C2917">
        <v>29309036</v>
      </c>
      <c r="E2917">
        <v>68.819999999999993</v>
      </c>
      <c r="F2917">
        <v>0</v>
      </c>
      <c r="G2917">
        <v>0</v>
      </c>
      <c r="H2917" t="s">
        <v>19447</v>
      </c>
      <c r="I2917" t="s">
        <v>19447</v>
      </c>
      <c r="J2917">
        <v>12</v>
      </c>
      <c r="L2917" t="s">
        <v>2709</v>
      </c>
      <c r="M2917">
        <v>29309036</v>
      </c>
      <c r="O2917" t="s">
        <v>20028</v>
      </c>
      <c r="P2917" t="s">
        <v>19900</v>
      </c>
      <c r="Q2917" t="s">
        <v>19900</v>
      </c>
      <c r="R2917" t="s">
        <v>19447</v>
      </c>
      <c r="S2917" t="s">
        <v>19447</v>
      </c>
      <c r="T2917" t="s">
        <v>19903</v>
      </c>
    </row>
    <row r="2918" spans="2:20" x14ac:dyDescent="0.25">
      <c r="B2918" t="s">
        <v>2709</v>
      </c>
      <c r="C2918">
        <v>29309037</v>
      </c>
      <c r="E2918">
        <v>68.819999999999993</v>
      </c>
      <c r="F2918">
        <v>0</v>
      </c>
      <c r="G2918">
        <v>0</v>
      </c>
      <c r="H2918" t="s">
        <v>19447</v>
      </c>
      <c r="I2918" t="s">
        <v>19447</v>
      </c>
      <c r="J2918">
        <v>12</v>
      </c>
      <c r="L2918" t="s">
        <v>2709</v>
      </c>
      <c r="M2918">
        <v>29309037</v>
      </c>
      <c r="O2918" t="s">
        <v>20028</v>
      </c>
      <c r="P2918" t="s">
        <v>19900</v>
      </c>
      <c r="Q2918" t="s">
        <v>19900</v>
      </c>
      <c r="R2918" t="s">
        <v>19447</v>
      </c>
      <c r="S2918" t="s">
        <v>19447</v>
      </c>
      <c r="T2918" t="s">
        <v>19903</v>
      </c>
    </row>
    <row r="2919" spans="2:20" x14ac:dyDescent="0.25">
      <c r="B2919" t="s">
        <v>2709</v>
      </c>
      <c r="C2919">
        <v>29309038</v>
      </c>
      <c r="E2919">
        <v>68.819999999999993</v>
      </c>
      <c r="F2919">
        <v>0</v>
      </c>
      <c r="G2919">
        <v>0</v>
      </c>
      <c r="H2919" t="s">
        <v>19447</v>
      </c>
      <c r="I2919" t="s">
        <v>19447</v>
      </c>
      <c r="J2919">
        <v>2</v>
      </c>
      <c r="L2919" t="s">
        <v>2709</v>
      </c>
      <c r="M2919">
        <v>29309038</v>
      </c>
      <c r="O2919" t="s">
        <v>20028</v>
      </c>
      <c r="P2919" t="s">
        <v>19900</v>
      </c>
      <c r="Q2919" t="s">
        <v>19900</v>
      </c>
      <c r="R2919" t="s">
        <v>19447</v>
      </c>
      <c r="S2919" t="s">
        <v>19447</v>
      </c>
      <c r="T2919" t="s">
        <v>19901</v>
      </c>
    </row>
    <row r="2920" spans="2:20" x14ac:dyDescent="0.25">
      <c r="B2920" t="s">
        <v>2709</v>
      </c>
      <c r="C2920">
        <v>29309039</v>
      </c>
      <c r="E2920">
        <v>68.819999999999993</v>
      </c>
      <c r="F2920">
        <v>0</v>
      </c>
      <c r="G2920">
        <v>0</v>
      </c>
      <c r="H2920" t="s">
        <v>19447</v>
      </c>
      <c r="I2920" t="s">
        <v>19447</v>
      </c>
      <c r="J2920">
        <v>2</v>
      </c>
      <c r="L2920" t="s">
        <v>2709</v>
      </c>
      <c r="M2920">
        <v>29309039</v>
      </c>
      <c r="O2920" t="s">
        <v>20028</v>
      </c>
      <c r="P2920" t="s">
        <v>19900</v>
      </c>
      <c r="Q2920" t="s">
        <v>19900</v>
      </c>
      <c r="R2920" t="s">
        <v>19447</v>
      </c>
      <c r="S2920" t="s">
        <v>19447</v>
      </c>
      <c r="T2920" t="s">
        <v>19901</v>
      </c>
    </row>
    <row r="2921" spans="2:20" x14ac:dyDescent="0.25">
      <c r="B2921" t="s">
        <v>2709</v>
      </c>
      <c r="C2921">
        <v>29309041</v>
      </c>
      <c r="E2921">
        <v>68.819999999999993</v>
      </c>
      <c r="F2921">
        <v>0</v>
      </c>
      <c r="G2921">
        <v>0</v>
      </c>
      <c r="H2921" t="s">
        <v>19447</v>
      </c>
      <c r="I2921" t="s">
        <v>19447</v>
      </c>
      <c r="J2921">
        <v>2</v>
      </c>
      <c r="L2921" t="s">
        <v>2709</v>
      </c>
      <c r="M2921">
        <v>29309041</v>
      </c>
      <c r="O2921" t="s">
        <v>20028</v>
      </c>
      <c r="P2921" t="s">
        <v>19900</v>
      </c>
      <c r="Q2921" t="s">
        <v>19900</v>
      </c>
      <c r="R2921" t="s">
        <v>19447</v>
      </c>
      <c r="S2921" t="s">
        <v>19447</v>
      </c>
      <c r="T2921" t="s">
        <v>19901</v>
      </c>
    </row>
    <row r="2922" spans="2:20" x14ac:dyDescent="0.25">
      <c r="B2922" t="s">
        <v>2709</v>
      </c>
      <c r="C2922">
        <v>29309042</v>
      </c>
      <c r="E2922">
        <v>68.819999999999993</v>
      </c>
      <c r="F2922">
        <v>0</v>
      </c>
      <c r="G2922">
        <v>0</v>
      </c>
      <c r="H2922" t="s">
        <v>19447</v>
      </c>
      <c r="I2922" t="s">
        <v>19447</v>
      </c>
      <c r="J2922">
        <v>2</v>
      </c>
      <c r="L2922" t="s">
        <v>2709</v>
      </c>
      <c r="M2922">
        <v>29309042</v>
      </c>
      <c r="O2922" t="s">
        <v>20028</v>
      </c>
      <c r="P2922" t="s">
        <v>19900</v>
      </c>
      <c r="Q2922" t="s">
        <v>19900</v>
      </c>
      <c r="R2922" t="s">
        <v>19447</v>
      </c>
      <c r="S2922" t="s">
        <v>19447</v>
      </c>
      <c r="T2922" t="s">
        <v>19901</v>
      </c>
    </row>
    <row r="2923" spans="2:20" x14ac:dyDescent="0.25">
      <c r="B2923" t="s">
        <v>2709</v>
      </c>
      <c r="C2923">
        <v>29309043</v>
      </c>
      <c r="E2923">
        <v>68.819999999999993</v>
      </c>
      <c r="F2923">
        <v>0</v>
      </c>
      <c r="G2923">
        <v>0</v>
      </c>
      <c r="H2923" t="s">
        <v>19447</v>
      </c>
      <c r="I2923" t="s">
        <v>19447</v>
      </c>
      <c r="J2923">
        <v>2</v>
      </c>
      <c r="L2923" t="s">
        <v>2709</v>
      </c>
      <c r="M2923">
        <v>29309043</v>
      </c>
      <c r="O2923" t="s">
        <v>20028</v>
      </c>
      <c r="P2923" t="s">
        <v>19900</v>
      </c>
      <c r="Q2923" t="s">
        <v>19900</v>
      </c>
      <c r="R2923" t="s">
        <v>19447</v>
      </c>
      <c r="S2923" t="s">
        <v>19447</v>
      </c>
      <c r="T2923" t="s">
        <v>19901</v>
      </c>
    </row>
    <row r="2924" spans="2:20" x14ac:dyDescent="0.25">
      <c r="B2924" t="s">
        <v>2709</v>
      </c>
      <c r="C2924">
        <v>29309049</v>
      </c>
      <c r="E2924">
        <v>68.819999999999993</v>
      </c>
      <c r="F2924">
        <v>0</v>
      </c>
      <c r="G2924">
        <v>0</v>
      </c>
      <c r="H2924" t="s">
        <v>19447</v>
      </c>
      <c r="I2924" t="s">
        <v>19447</v>
      </c>
      <c r="J2924">
        <v>2</v>
      </c>
      <c r="L2924" t="s">
        <v>2709</v>
      </c>
      <c r="M2924">
        <v>29309049</v>
      </c>
      <c r="O2924" t="s">
        <v>20028</v>
      </c>
      <c r="P2924" t="s">
        <v>19900</v>
      </c>
      <c r="Q2924" t="s">
        <v>19900</v>
      </c>
      <c r="R2924" t="s">
        <v>19447</v>
      </c>
      <c r="S2924" t="s">
        <v>19447</v>
      </c>
      <c r="T2924" t="s">
        <v>19901</v>
      </c>
    </row>
    <row r="2925" spans="2:20" x14ac:dyDescent="0.25">
      <c r="B2925" t="s">
        <v>2709</v>
      </c>
      <c r="C2925">
        <v>29309051</v>
      </c>
      <c r="E2925">
        <v>68.819999999999993</v>
      </c>
      <c r="F2925">
        <v>0</v>
      </c>
      <c r="G2925">
        <v>0</v>
      </c>
      <c r="H2925" t="s">
        <v>19447</v>
      </c>
      <c r="I2925" t="s">
        <v>19447</v>
      </c>
      <c r="J2925">
        <v>2</v>
      </c>
      <c r="L2925" t="s">
        <v>2709</v>
      </c>
      <c r="M2925">
        <v>29309051</v>
      </c>
      <c r="O2925" t="s">
        <v>20028</v>
      </c>
      <c r="P2925" t="s">
        <v>19900</v>
      </c>
      <c r="Q2925" t="s">
        <v>19900</v>
      </c>
      <c r="R2925" t="s">
        <v>19447</v>
      </c>
      <c r="S2925" t="s">
        <v>19447</v>
      </c>
      <c r="T2925" t="s">
        <v>19901</v>
      </c>
    </row>
    <row r="2926" spans="2:20" x14ac:dyDescent="0.25">
      <c r="B2926" t="s">
        <v>2709</v>
      </c>
      <c r="C2926">
        <v>29309052</v>
      </c>
      <c r="E2926">
        <v>68.819999999999993</v>
      </c>
      <c r="F2926">
        <v>0</v>
      </c>
      <c r="G2926">
        <v>0</v>
      </c>
      <c r="H2926" t="s">
        <v>19447</v>
      </c>
      <c r="I2926" t="s">
        <v>19447</v>
      </c>
      <c r="J2926">
        <v>12</v>
      </c>
      <c r="L2926" t="s">
        <v>2709</v>
      </c>
      <c r="M2926">
        <v>29309052</v>
      </c>
      <c r="O2926" t="s">
        <v>20028</v>
      </c>
      <c r="P2926" t="s">
        <v>19900</v>
      </c>
      <c r="Q2926" t="s">
        <v>19900</v>
      </c>
      <c r="R2926" t="s">
        <v>19447</v>
      </c>
      <c r="S2926" t="s">
        <v>19447</v>
      </c>
      <c r="T2926" t="s">
        <v>19903</v>
      </c>
    </row>
    <row r="2927" spans="2:20" x14ac:dyDescent="0.25">
      <c r="B2927" t="s">
        <v>2709</v>
      </c>
      <c r="C2927">
        <v>29309053</v>
      </c>
      <c r="E2927">
        <v>68.819999999999993</v>
      </c>
      <c r="F2927">
        <v>0</v>
      </c>
      <c r="G2927">
        <v>0</v>
      </c>
      <c r="H2927" t="s">
        <v>19447</v>
      </c>
      <c r="I2927" t="s">
        <v>19447</v>
      </c>
      <c r="J2927">
        <v>2</v>
      </c>
      <c r="L2927" t="s">
        <v>2709</v>
      </c>
      <c r="M2927">
        <v>29309053</v>
      </c>
      <c r="O2927" t="s">
        <v>20028</v>
      </c>
      <c r="P2927" t="s">
        <v>19900</v>
      </c>
      <c r="Q2927" t="s">
        <v>19900</v>
      </c>
      <c r="R2927" t="s">
        <v>19447</v>
      </c>
      <c r="S2927" t="s">
        <v>19447</v>
      </c>
      <c r="T2927" t="s">
        <v>19901</v>
      </c>
    </row>
    <row r="2928" spans="2:20" x14ac:dyDescent="0.25">
      <c r="B2928" t="s">
        <v>2709</v>
      </c>
      <c r="C2928">
        <v>29309054</v>
      </c>
      <c r="E2928">
        <v>68.819999999999993</v>
      </c>
      <c r="F2928">
        <v>0</v>
      </c>
      <c r="G2928">
        <v>0</v>
      </c>
      <c r="H2928" t="s">
        <v>19447</v>
      </c>
      <c r="I2928" t="s">
        <v>19447</v>
      </c>
      <c r="J2928">
        <v>2</v>
      </c>
      <c r="L2928" t="s">
        <v>2709</v>
      </c>
      <c r="M2928">
        <v>29309054</v>
      </c>
      <c r="O2928" t="s">
        <v>20028</v>
      </c>
      <c r="P2928" t="s">
        <v>19900</v>
      </c>
      <c r="Q2928" t="s">
        <v>19900</v>
      </c>
      <c r="R2928" t="s">
        <v>19447</v>
      </c>
      <c r="S2928" t="s">
        <v>19447</v>
      </c>
      <c r="T2928" t="s">
        <v>19901</v>
      </c>
    </row>
    <row r="2929" spans="2:20" x14ac:dyDescent="0.25">
      <c r="B2929" t="s">
        <v>2709</v>
      </c>
      <c r="C2929">
        <v>29309057</v>
      </c>
      <c r="E2929">
        <v>68.819999999999993</v>
      </c>
      <c r="F2929">
        <v>0</v>
      </c>
      <c r="G2929">
        <v>0</v>
      </c>
      <c r="H2929" t="s">
        <v>19447</v>
      </c>
      <c r="I2929" t="s">
        <v>19447</v>
      </c>
      <c r="J2929">
        <v>14</v>
      </c>
      <c r="L2929" t="s">
        <v>2709</v>
      </c>
      <c r="M2929">
        <v>29309057</v>
      </c>
      <c r="O2929" t="s">
        <v>20028</v>
      </c>
      <c r="P2929" t="s">
        <v>19900</v>
      </c>
      <c r="Q2929" t="s">
        <v>19900</v>
      </c>
      <c r="R2929" t="s">
        <v>19447</v>
      </c>
      <c r="S2929" t="s">
        <v>19447</v>
      </c>
      <c r="T2929" t="s">
        <v>19911</v>
      </c>
    </row>
    <row r="2930" spans="2:20" x14ac:dyDescent="0.25">
      <c r="B2930" t="s">
        <v>2709</v>
      </c>
      <c r="C2930">
        <v>29309059</v>
      </c>
      <c r="E2930">
        <v>68.819999999999993</v>
      </c>
      <c r="F2930">
        <v>0</v>
      </c>
      <c r="G2930">
        <v>0</v>
      </c>
      <c r="H2930" t="s">
        <v>19447</v>
      </c>
      <c r="I2930" t="s">
        <v>19447</v>
      </c>
      <c r="J2930">
        <v>2</v>
      </c>
      <c r="L2930" t="s">
        <v>2709</v>
      </c>
      <c r="M2930">
        <v>29309059</v>
      </c>
      <c r="O2930" t="s">
        <v>20028</v>
      </c>
      <c r="P2930" t="s">
        <v>19900</v>
      </c>
      <c r="Q2930" t="s">
        <v>19900</v>
      </c>
      <c r="R2930" t="s">
        <v>19447</v>
      </c>
      <c r="S2930" t="s">
        <v>19447</v>
      </c>
      <c r="T2930" t="s">
        <v>19901</v>
      </c>
    </row>
    <row r="2931" spans="2:20" x14ac:dyDescent="0.25">
      <c r="B2931" t="s">
        <v>2709</v>
      </c>
      <c r="C2931">
        <v>29309061</v>
      </c>
      <c r="E2931">
        <v>68.819999999999993</v>
      </c>
      <c r="F2931">
        <v>0</v>
      </c>
      <c r="G2931">
        <v>0</v>
      </c>
      <c r="H2931" t="s">
        <v>19447</v>
      </c>
      <c r="I2931" t="s">
        <v>19447</v>
      </c>
      <c r="J2931">
        <v>12</v>
      </c>
      <c r="L2931" t="s">
        <v>2709</v>
      </c>
      <c r="M2931">
        <v>29309061</v>
      </c>
      <c r="O2931" t="s">
        <v>20028</v>
      </c>
      <c r="P2931" t="s">
        <v>19900</v>
      </c>
      <c r="Q2931" t="s">
        <v>19900</v>
      </c>
      <c r="R2931" t="s">
        <v>19447</v>
      </c>
      <c r="S2931" t="s">
        <v>19447</v>
      </c>
      <c r="T2931" t="s">
        <v>19903</v>
      </c>
    </row>
    <row r="2932" spans="2:20" x14ac:dyDescent="0.25">
      <c r="B2932" t="s">
        <v>2709</v>
      </c>
      <c r="C2932">
        <v>29309069</v>
      </c>
      <c r="E2932">
        <v>68.819999999999993</v>
      </c>
      <c r="F2932">
        <v>0</v>
      </c>
      <c r="G2932">
        <v>0</v>
      </c>
      <c r="H2932" t="s">
        <v>19447</v>
      </c>
      <c r="I2932" t="s">
        <v>19447</v>
      </c>
      <c r="J2932">
        <v>2</v>
      </c>
      <c r="L2932" t="s">
        <v>2709</v>
      </c>
      <c r="M2932">
        <v>29309069</v>
      </c>
      <c r="O2932" t="s">
        <v>20028</v>
      </c>
      <c r="P2932" t="s">
        <v>19900</v>
      </c>
      <c r="Q2932" t="s">
        <v>19900</v>
      </c>
      <c r="R2932" t="s">
        <v>19447</v>
      </c>
      <c r="S2932" t="s">
        <v>19447</v>
      </c>
      <c r="T2932" t="s">
        <v>19901</v>
      </c>
    </row>
    <row r="2933" spans="2:20" x14ac:dyDescent="0.25">
      <c r="B2933" t="s">
        <v>2709</v>
      </c>
      <c r="C2933">
        <v>29309071</v>
      </c>
      <c r="E2933">
        <v>68.819999999999993</v>
      </c>
      <c r="F2933">
        <v>0</v>
      </c>
      <c r="G2933">
        <v>0</v>
      </c>
      <c r="H2933" t="s">
        <v>19447</v>
      </c>
      <c r="I2933" t="s">
        <v>19447</v>
      </c>
      <c r="J2933">
        <v>2</v>
      </c>
      <c r="L2933" t="s">
        <v>2709</v>
      </c>
      <c r="M2933">
        <v>29309071</v>
      </c>
      <c r="O2933" t="s">
        <v>20028</v>
      </c>
      <c r="P2933" t="s">
        <v>19900</v>
      </c>
      <c r="Q2933" t="s">
        <v>19900</v>
      </c>
      <c r="R2933" t="s">
        <v>19447</v>
      </c>
      <c r="S2933" t="s">
        <v>19447</v>
      </c>
      <c r="T2933" t="s">
        <v>19901</v>
      </c>
    </row>
    <row r="2934" spans="2:20" x14ac:dyDescent="0.25">
      <c r="B2934" t="s">
        <v>2709</v>
      </c>
      <c r="C2934">
        <v>29309072</v>
      </c>
      <c r="E2934">
        <v>68.819999999999993</v>
      </c>
      <c r="F2934">
        <v>0</v>
      </c>
      <c r="G2934">
        <v>0</v>
      </c>
      <c r="H2934" t="s">
        <v>19447</v>
      </c>
      <c r="I2934" t="s">
        <v>19447</v>
      </c>
      <c r="J2934">
        <v>14</v>
      </c>
      <c r="L2934" t="s">
        <v>2709</v>
      </c>
      <c r="M2934">
        <v>29309072</v>
      </c>
      <c r="O2934" t="s">
        <v>20028</v>
      </c>
      <c r="P2934" t="s">
        <v>19900</v>
      </c>
      <c r="Q2934" t="s">
        <v>19900</v>
      </c>
      <c r="R2934" t="s">
        <v>19447</v>
      </c>
      <c r="S2934" t="s">
        <v>19447</v>
      </c>
      <c r="T2934" t="s">
        <v>19911</v>
      </c>
    </row>
    <row r="2935" spans="2:20" x14ac:dyDescent="0.25">
      <c r="B2935" t="s">
        <v>2709</v>
      </c>
      <c r="C2935">
        <v>29309079</v>
      </c>
      <c r="E2935">
        <v>68.819999999999993</v>
      </c>
      <c r="F2935">
        <v>0</v>
      </c>
      <c r="G2935">
        <v>0</v>
      </c>
      <c r="H2935" t="s">
        <v>19447</v>
      </c>
      <c r="I2935" t="s">
        <v>19447</v>
      </c>
      <c r="J2935">
        <v>2</v>
      </c>
      <c r="L2935" t="s">
        <v>2709</v>
      </c>
      <c r="M2935">
        <v>29309079</v>
      </c>
      <c r="O2935" t="s">
        <v>20028</v>
      </c>
      <c r="P2935" t="s">
        <v>19900</v>
      </c>
      <c r="Q2935" t="s">
        <v>19900</v>
      </c>
      <c r="R2935" t="s">
        <v>19447</v>
      </c>
      <c r="S2935" t="s">
        <v>19447</v>
      </c>
      <c r="T2935" t="s">
        <v>19901</v>
      </c>
    </row>
    <row r="2936" spans="2:20" x14ac:dyDescent="0.25">
      <c r="B2936" t="s">
        <v>2709</v>
      </c>
      <c r="C2936">
        <v>29309081</v>
      </c>
      <c r="E2936">
        <v>68.819999999999993</v>
      </c>
      <c r="F2936">
        <v>0</v>
      </c>
      <c r="G2936">
        <v>0</v>
      </c>
      <c r="H2936" t="s">
        <v>19447</v>
      </c>
      <c r="I2936" t="s">
        <v>19447</v>
      </c>
      <c r="J2936">
        <v>2</v>
      </c>
      <c r="L2936" t="s">
        <v>2709</v>
      </c>
      <c r="M2936">
        <v>29309081</v>
      </c>
      <c r="O2936" t="s">
        <v>20028</v>
      </c>
      <c r="P2936" t="s">
        <v>19900</v>
      </c>
      <c r="Q2936" t="s">
        <v>19900</v>
      </c>
      <c r="R2936" t="s">
        <v>19447</v>
      </c>
      <c r="S2936" t="s">
        <v>19447</v>
      </c>
      <c r="T2936" t="s">
        <v>19901</v>
      </c>
    </row>
    <row r="2937" spans="2:20" x14ac:dyDescent="0.25">
      <c r="B2937" t="s">
        <v>2709</v>
      </c>
      <c r="C2937">
        <v>29309082</v>
      </c>
      <c r="E2937">
        <v>68.819999999999993</v>
      </c>
      <c r="F2937">
        <v>0</v>
      </c>
      <c r="G2937">
        <v>0</v>
      </c>
      <c r="H2937" t="s">
        <v>19447</v>
      </c>
      <c r="I2937" t="s">
        <v>19447</v>
      </c>
      <c r="J2937">
        <v>2</v>
      </c>
      <c r="L2937" t="s">
        <v>2709</v>
      </c>
      <c r="M2937">
        <v>29309082</v>
      </c>
      <c r="O2937" t="s">
        <v>20028</v>
      </c>
      <c r="P2937" t="s">
        <v>19900</v>
      </c>
      <c r="Q2937" t="s">
        <v>19900</v>
      </c>
      <c r="R2937" t="s">
        <v>19447</v>
      </c>
      <c r="S2937" t="s">
        <v>19447</v>
      </c>
      <c r="T2937" t="s">
        <v>19901</v>
      </c>
    </row>
    <row r="2938" spans="2:20" x14ac:dyDescent="0.25">
      <c r="B2938" t="s">
        <v>2709</v>
      </c>
      <c r="C2938">
        <v>29309083</v>
      </c>
      <c r="E2938">
        <v>68.819999999999993</v>
      </c>
      <c r="F2938">
        <v>0</v>
      </c>
      <c r="G2938">
        <v>0</v>
      </c>
      <c r="H2938" t="s">
        <v>19447</v>
      </c>
      <c r="I2938" t="s">
        <v>19447</v>
      </c>
      <c r="J2938">
        <v>2</v>
      </c>
      <c r="L2938" t="s">
        <v>2709</v>
      </c>
      <c r="M2938">
        <v>29309083</v>
      </c>
      <c r="O2938" t="s">
        <v>20028</v>
      </c>
      <c r="P2938" t="s">
        <v>19900</v>
      </c>
      <c r="Q2938" t="s">
        <v>19900</v>
      </c>
      <c r="R2938" t="s">
        <v>19447</v>
      </c>
      <c r="S2938" t="s">
        <v>19447</v>
      </c>
      <c r="T2938" t="s">
        <v>19901</v>
      </c>
    </row>
    <row r="2939" spans="2:20" x14ac:dyDescent="0.25">
      <c r="B2939" t="s">
        <v>2709</v>
      </c>
      <c r="C2939">
        <v>29309084</v>
      </c>
      <c r="E2939">
        <v>68.819999999999993</v>
      </c>
      <c r="F2939">
        <v>0</v>
      </c>
      <c r="G2939">
        <v>0</v>
      </c>
      <c r="H2939" t="s">
        <v>19447</v>
      </c>
      <c r="I2939" t="s">
        <v>19447</v>
      </c>
      <c r="J2939">
        <v>2</v>
      </c>
      <c r="L2939" t="s">
        <v>2709</v>
      </c>
      <c r="M2939">
        <v>29309084</v>
      </c>
      <c r="O2939" t="s">
        <v>20028</v>
      </c>
      <c r="P2939" t="s">
        <v>19900</v>
      </c>
      <c r="Q2939" t="s">
        <v>19900</v>
      </c>
      <c r="R2939" t="s">
        <v>19447</v>
      </c>
      <c r="S2939" t="s">
        <v>19447</v>
      </c>
      <c r="T2939" t="s">
        <v>19901</v>
      </c>
    </row>
    <row r="2940" spans="2:20" x14ac:dyDescent="0.25">
      <c r="B2940" t="s">
        <v>2709</v>
      </c>
      <c r="C2940">
        <v>29309085</v>
      </c>
      <c r="E2940">
        <v>68.819999999999993</v>
      </c>
      <c r="F2940">
        <v>0</v>
      </c>
      <c r="G2940">
        <v>0</v>
      </c>
      <c r="H2940" t="s">
        <v>19447</v>
      </c>
      <c r="I2940" t="s">
        <v>19447</v>
      </c>
      <c r="J2940">
        <v>2</v>
      </c>
      <c r="L2940" t="s">
        <v>2709</v>
      </c>
      <c r="M2940">
        <v>29309085</v>
      </c>
      <c r="O2940" t="s">
        <v>20028</v>
      </c>
      <c r="P2940" t="s">
        <v>19900</v>
      </c>
      <c r="Q2940" t="s">
        <v>19900</v>
      </c>
      <c r="R2940" t="s">
        <v>19447</v>
      </c>
      <c r="S2940" t="s">
        <v>19447</v>
      </c>
      <c r="T2940" t="s">
        <v>19901</v>
      </c>
    </row>
    <row r="2941" spans="2:20" x14ac:dyDescent="0.25">
      <c r="B2941" t="s">
        <v>2709</v>
      </c>
      <c r="C2941">
        <v>29309086</v>
      </c>
      <c r="E2941">
        <v>68.819999999999993</v>
      </c>
      <c r="F2941">
        <v>0</v>
      </c>
      <c r="G2941">
        <v>0</v>
      </c>
      <c r="H2941" t="s">
        <v>19447</v>
      </c>
      <c r="I2941" t="s">
        <v>19447</v>
      </c>
      <c r="J2941">
        <v>2</v>
      </c>
      <c r="L2941" t="s">
        <v>2709</v>
      </c>
      <c r="M2941">
        <v>29309086</v>
      </c>
      <c r="O2941" t="s">
        <v>20028</v>
      </c>
      <c r="P2941" t="s">
        <v>19900</v>
      </c>
      <c r="Q2941" t="s">
        <v>19900</v>
      </c>
      <c r="R2941" t="s">
        <v>19447</v>
      </c>
      <c r="S2941" t="s">
        <v>19447</v>
      </c>
      <c r="T2941" t="s">
        <v>19901</v>
      </c>
    </row>
    <row r="2942" spans="2:20" x14ac:dyDescent="0.25">
      <c r="B2942" t="s">
        <v>2709</v>
      </c>
      <c r="C2942">
        <v>29309087</v>
      </c>
      <c r="E2942">
        <v>68.819999999999993</v>
      </c>
      <c r="F2942">
        <v>0</v>
      </c>
      <c r="G2942">
        <v>0</v>
      </c>
      <c r="H2942" t="s">
        <v>19447</v>
      </c>
      <c r="I2942" t="s">
        <v>19447</v>
      </c>
      <c r="J2942">
        <v>2</v>
      </c>
      <c r="L2942" t="s">
        <v>2709</v>
      </c>
      <c r="M2942">
        <v>29309087</v>
      </c>
      <c r="O2942" t="s">
        <v>20028</v>
      </c>
      <c r="P2942" t="s">
        <v>19900</v>
      </c>
      <c r="Q2942" t="s">
        <v>19900</v>
      </c>
      <c r="R2942" t="s">
        <v>19447</v>
      </c>
      <c r="S2942" t="s">
        <v>19447</v>
      </c>
      <c r="T2942" t="s">
        <v>19901</v>
      </c>
    </row>
    <row r="2943" spans="2:20" x14ac:dyDescent="0.25">
      <c r="B2943" t="s">
        <v>2709</v>
      </c>
      <c r="C2943">
        <v>29309088</v>
      </c>
      <c r="E2943">
        <v>68.819999999999993</v>
      </c>
      <c r="F2943">
        <v>0</v>
      </c>
      <c r="G2943">
        <v>0</v>
      </c>
      <c r="H2943" t="s">
        <v>19447</v>
      </c>
      <c r="I2943" t="s">
        <v>19447</v>
      </c>
      <c r="J2943">
        <v>2</v>
      </c>
      <c r="L2943" t="s">
        <v>2709</v>
      </c>
      <c r="M2943">
        <v>29309088</v>
      </c>
      <c r="O2943" t="s">
        <v>20028</v>
      </c>
      <c r="P2943" t="s">
        <v>19900</v>
      </c>
      <c r="Q2943" t="s">
        <v>19900</v>
      </c>
      <c r="R2943" t="s">
        <v>19447</v>
      </c>
      <c r="S2943" t="s">
        <v>19447</v>
      </c>
      <c r="T2943" t="s">
        <v>19901</v>
      </c>
    </row>
    <row r="2944" spans="2:20" x14ac:dyDescent="0.25">
      <c r="B2944" t="s">
        <v>2709</v>
      </c>
      <c r="C2944">
        <v>29309089</v>
      </c>
      <c r="E2944">
        <v>68.819999999999993</v>
      </c>
      <c r="F2944">
        <v>0</v>
      </c>
      <c r="G2944">
        <v>0</v>
      </c>
      <c r="H2944" t="s">
        <v>19447</v>
      </c>
      <c r="I2944" t="s">
        <v>19447</v>
      </c>
      <c r="J2944">
        <v>2</v>
      </c>
      <c r="L2944" t="s">
        <v>2709</v>
      </c>
      <c r="M2944">
        <v>29309089</v>
      </c>
      <c r="O2944" t="s">
        <v>20028</v>
      </c>
      <c r="P2944" t="s">
        <v>19900</v>
      </c>
      <c r="Q2944" t="s">
        <v>19900</v>
      </c>
      <c r="R2944" t="s">
        <v>19447</v>
      </c>
      <c r="S2944" t="s">
        <v>19447</v>
      </c>
      <c r="T2944" t="s">
        <v>19901</v>
      </c>
    </row>
    <row r="2945" spans="2:20" x14ac:dyDescent="0.25">
      <c r="B2945" t="s">
        <v>2709</v>
      </c>
      <c r="C2945">
        <v>29309091</v>
      </c>
      <c r="E2945">
        <v>68.819999999999993</v>
      </c>
      <c r="F2945">
        <v>0</v>
      </c>
      <c r="G2945">
        <v>0</v>
      </c>
      <c r="H2945" t="s">
        <v>19447</v>
      </c>
      <c r="I2945" t="s">
        <v>19447</v>
      </c>
      <c r="J2945">
        <v>2</v>
      </c>
      <c r="L2945" t="s">
        <v>2709</v>
      </c>
      <c r="M2945">
        <v>29309091</v>
      </c>
      <c r="O2945" t="s">
        <v>20028</v>
      </c>
      <c r="P2945" t="s">
        <v>19900</v>
      </c>
      <c r="Q2945" t="s">
        <v>19900</v>
      </c>
      <c r="R2945" t="s">
        <v>19447</v>
      </c>
      <c r="S2945" t="s">
        <v>19447</v>
      </c>
      <c r="T2945" t="s">
        <v>19901</v>
      </c>
    </row>
    <row r="2946" spans="2:20" x14ac:dyDescent="0.25">
      <c r="B2946" t="s">
        <v>2709</v>
      </c>
      <c r="C2946">
        <v>29309093</v>
      </c>
      <c r="E2946">
        <v>68.819999999999993</v>
      </c>
      <c r="F2946">
        <v>0</v>
      </c>
      <c r="G2946">
        <v>0</v>
      </c>
      <c r="H2946" t="s">
        <v>19447</v>
      </c>
      <c r="I2946" t="s">
        <v>19447</v>
      </c>
      <c r="J2946">
        <v>12</v>
      </c>
      <c r="L2946" t="s">
        <v>2709</v>
      </c>
      <c r="M2946">
        <v>29309093</v>
      </c>
      <c r="O2946" t="s">
        <v>20028</v>
      </c>
      <c r="P2946" t="s">
        <v>19900</v>
      </c>
      <c r="Q2946" t="s">
        <v>19900</v>
      </c>
      <c r="R2946" t="s">
        <v>19447</v>
      </c>
      <c r="S2946" t="s">
        <v>19447</v>
      </c>
      <c r="T2946" t="s">
        <v>19903</v>
      </c>
    </row>
    <row r="2947" spans="2:20" x14ac:dyDescent="0.25">
      <c r="B2947" t="s">
        <v>2709</v>
      </c>
      <c r="C2947">
        <v>29309094</v>
      </c>
      <c r="E2947">
        <v>68.819999999999993</v>
      </c>
      <c r="F2947">
        <v>0</v>
      </c>
      <c r="G2947">
        <v>0</v>
      </c>
      <c r="H2947" t="s">
        <v>19447</v>
      </c>
      <c r="I2947" t="s">
        <v>19447</v>
      </c>
      <c r="J2947">
        <v>2</v>
      </c>
      <c r="L2947" t="s">
        <v>2709</v>
      </c>
      <c r="M2947">
        <v>29309094</v>
      </c>
      <c r="O2947" t="s">
        <v>20028</v>
      </c>
      <c r="P2947" t="s">
        <v>19900</v>
      </c>
      <c r="Q2947" t="s">
        <v>19900</v>
      </c>
      <c r="R2947" t="s">
        <v>19447</v>
      </c>
      <c r="S2947" t="s">
        <v>19447</v>
      </c>
      <c r="T2947" t="s">
        <v>19901</v>
      </c>
    </row>
    <row r="2948" spans="2:20" x14ac:dyDescent="0.25">
      <c r="B2948" t="s">
        <v>2709</v>
      </c>
      <c r="C2948">
        <v>29309095</v>
      </c>
      <c r="E2948">
        <v>68.819999999999993</v>
      </c>
      <c r="F2948">
        <v>0</v>
      </c>
      <c r="G2948">
        <v>0</v>
      </c>
      <c r="H2948" t="s">
        <v>19447</v>
      </c>
      <c r="I2948" t="s">
        <v>19447</v>
      </c>
      <c r="J2948">
        <v>2</v>
      </c>
      <c r="L2948" t="s">
        <v>2709</v>
      </c>
      <c r="M2948">
        <v>29309095</v>
      </c>
      <c r="O2948" t="s">
        <v>20028</v>
      </c>
      <c r="P2948" t="s">
        <v>19900</v>
      </c>
      <c r="Q2948" t="s">
        <v>19900</v>
      </c>
      <c r="R2948" t="s">
        <v>19447</v>
      </c>
      <c r="S2948" t="s">
        <v>19447</v>
      </c>
      <c r="T2948" t="s">
        <v>19901</v>
      </c>
    </row>
    <row r="2949" spans="2:20" x14ac:dyDescent="0.25">
      <c r="B2949" t="s">
        <v>2709</v>
      </c>
      <c r="C2949">
        <v>29309096</v>
      </c>
      <c r="E2949">
        <v>68.819999999999993</v>
      </c>
      <c r="F2949">
        <v>0</v>
      </c>
      <c r="G2949">
        <v>0</v>
      </c>
      <c r="H2949" t="s">
        <v>19447</v>
      </c>
      <c r="I2949" t="s">
        <v>19447</v>
      </c>
      <c r="J2949">
        <v>12</v>
      </c>
      <c r="L2949" t="s">
        <v>2709</v>
      </c>
      <c r="M2949">
        <v>29309096</v>
      </c>
      <c r="O2949" t="s">
        <v>20028</v>
      </c>
      <c r="P2949" t="s">
        <v>19900</v>
      </c>
      <c r="Q2949" t="s">
        <v>19900</v>
      </c>
      <c r="R2949" t="s">
        <v>19447</v>
      </c>
      <c r="S2949" t="s">
        <v>19447</v>
      </c>
      <c r="T2949" t="s">
        <v>19903</v>
      </c>
    </row>
    <row r="2950" spans="2:20" x14ac:dyDescent="0.25">
      <c r="B2950" t="s">
        <v>2709</v>
      </c>
      <c r="C2950">
        <v>29309097</v>
      </c>
      <c r="E2950">
        <v>68.819999999999993</v>
      </c>
      <c r="F2950">
        <v>0</v>
      </c>
      <c r="G2950">
        <v>0</v>
      </c>
      <c r="H2950" t="s">
        <v>19447</v>
      </c>
      <c r="I2950" t="s">
        <v>19447</v>
      </c>
      <c r="J2950">
        <v>12</v>
      </c>
      <c r="L2950" t="s">
        <v>2709</v>
      </c>
      <c r="M2950">
        <v>29309097</v>
      </c>
      <c r="O2950" t="s">
        <v>20028</v>
      </c>
      <c r="P2950" t="s">
        <v>19900</v>
      </c>
      <c r="Q2950" t="s">
        <v>19900</v>
      </c>
      <c r="R2950" t="s">
        <v>19447</v>
      </c>
      <c r="S2950" t="s">
        <v>19447</v>
      </c>
      <c r="T2950" t="s">
        <v>19903</v>
      </c>
    </row>
    <row r="2951" spans="2:20" x14ac:dyDescent="0.25">
      <c r="B2951" t="s">
        <v>2709</v>
      </c>
      <c r="C2951">
        <v>29309098</v>
      </c>
      <c r="E2951">
        <v>68.819999999999993</v>
      </c>
      <c r="F2951">
        <v>0</v>
      </c>
      <c r="G2951">
        <v>0</v>
      </c>
      <c r="H2951" t="s">
        <v>19447</v>
      </c>
      <c r="I2951" t="s">
        <v>19447</v>
      </c>
      <c r="J2951">
        <v>12</v>
      </c>
      <c r="L2951" t="s">
        <v>2709</v>
      </c>
      <c r="M2951">
        <v>29309098</v>
      </c>
      <c r="O2951" t="s">
        <v>20028</v>
      </c>
      <c r="P2951" t="s">
        <v>19900</v>
      </c>
      <c r="Q2951" t="s">
        <v>19900</v>
      </c>
      <c r="R2951" t="s">
        <v>19447</v>
      </c>
      <c r="S2951" t="s">
        <v>19447</v>
      </c>
      <c r="T2951" t="s">
        <v>19903</v>
      </c>
    </row>
    <row r="2952" spans="2:20" x14ac:dyDescent="0.25">
      <c r="B2952" t="s">
        <v>2709</v>
      </c>
      <c r="C2952">
        <v>29309099</v>
      </c>
      <c r="E2952">
        <v>68.819999999999993</v>
      </c>
      <c r="F2952">
        <v>0</v>
      </c>
      <c r="G2952">
        <v>0</v>
      </c>
      <c r="H2952" t="s">
        <v>19447</v>
      </c>
      <c r="I2952" t="s">
        <v>19447</v>
      </c>
      <c r="J2952">
        <v>2</v>
      </c>
      <c r="L2952" t="s">
        <v>2709</v>
      </c>
      <c r="M2952">
        <v>29309099</v>
      </c>
      <c r="O2952" t="s">
        <v>20028</v>
      </c>
      <c r="P2952" t="s">
        <v>19900</v>
      </c>
      <c r="Q2952" t="s">
        <v>19900</v>
      </c>
      <c r="R2952" t="s">
        <v>19447</v>
      </c>
      <c r="S2952" t="s">
        <v>19447</v>
      </c>
      <c r="T2952" t="s">
        <v>19901</v>
      </c>
    </row>
    <row r="2953" spans="2:20" x14ac:dyDescent="0.25">
      <c r="B2953" t="s">
        <v>2709</v>
      </c>
      <c r="C2953">
        <v>29311000</v>
      </c>
      <c r="E2953">
        <v>68.819999999999993</v>
      </c>
      <c r="F2953">
        <v>0</v>
      </c>
      <c r="G2953">
        <v>0</v>
      </c>
      <c r="H2953" t="s">
        <v>19447</v>
      </c>
      <c r="I2953" t="s">
        <v>19447</v>
      </c>
      <c r="J2953">
        <v>2</v>
      </c>
      <c r="L2953" t="s">
        <v>2709</v>
      </c>
      <c r="M2953">
        <v>29311000</v>
      </c>
      <c r="O2953" t="s">
        <v>20028</v>
      </c>
      <c r="P2953" t="s">
        <v>19900</v>
      </c>
      <c r="Q2953" t="s">
        <v>19900</v>
      </c>
      <c r="R2953" t="s">
        <v>19447</v>
      </c>
      <c r="S2953" t="s">
        <v>19447</v>
      </c>
      <c r="T2953" t="s">
        <v>19901</v>
      </c>
    </row>
    <row r="2954" spans="2:20" x14ac:dyDescent="0.25">
      <c r="B2954" t="s">
        <v>2709</v>
      </c>
      <c r="C2954">
        <v>29312000</v>
      </c>
      <c r="E2954">
        <v>68.819999999999993</v>
      </c>
      <c r="F2954">
        <v>0</v>
      </c>
      <c r="G2954">
        <v>0</v>
      </c>
      <c r="H2954" t="s">
        <v>19447</v>
      </c>
      <c r="I2954" t="s">
        <v>19447</v>
      </c>
      <c r="J2954">
        <v>2</v>
      </c>
      <c r="L2954" t="s">
        <v>2709</v>
      </c>
      <c r="M2954">
        <v>29312000</v>
      </c>
      <c r="O2954" t="s">
        <v>20028</v>
      </c>
      <c r="P2954" t="s">
        <v>19900</v>
      </c>
      <c r="Q2954" t="s">
        <v>19900</v>
      </c>
      <c r="R2954" t="s">
        <v>19447</v>
      </c>
      <c r="S2954" t="s">
        <v>19447</v>
      </c>
      <c r="T2954" t="s">
        <v>19901</v>
      </c>
    </row>
    <row r="2955" spans="2:20" x14ac:dyDescent="0.25">
      <c r="B2955" t="s">
        <v>2709</v>
      </c>
      <c r="C2955">
        <v>29319021</v>
      </c>
      <c r="E2955">
        <v>68.819999999999993</v>
      </c>
      <c r="F2955">
        <v>0</v>
      </c>
      <c r="G2955">
        <v>0</v>
      </c>
      <c r="H2955" t="s">
        <v>19447</v>
      </c>
      <c r="I2955" t="s">
        <v>19447</v>
      </c>
      <c r="J2955">
        <v>2</v>
      </c>
      <c r="L2955" t="s">
        <v>2709</v>
      </c>
      <c r="M2955">
        <v>29319021</v>
      </c>
      <c r="O2955" t="s">
        <v>20028</v>
      </c>
      <c r="P2955" t="s">
        <v>19900</v>
      </c>
      <c r="Q2955" t="s">
        <v>19900</v>
      </c>
      <c r="R2955" t="s">
        <v>19447</v>
      </c>
      <c r="S2955" t="s">
        <v>19447</v>
      </c>
      <c r="T2955" t="s">
        <v>19901</v>
      </c>
    </row>
    <row r="2956" spans="2:20" x14ac:dyDescent="0.25">
      <c r="B2956" t="s">
        <v>2709</v>
      </c>
      <c r="C2956">
        <v>29319029</v>
      </c>
      <c r="E2956">
        <v>68.819999999999993</v>
      </c>
      <c r="F2956">
        <v>0</v>
      </c>
      <c r="G2956">
        <v>0</v>
      </c>
      <c r="H2956" t="s">
        <v>19447</v>
      </c>
      <c r="I2956" t="s">
        <v>19447</v>
      </c>
      <c r="J2956">
        <v>2</v>
      </c>
      <c r="L2956" t="s">
        <v>2709</v>
      </c>
      <c r="M2956">
        <v>29319029</v>
      </c>
      <c r="O2956" t="s">
        <v>20028</v>
      </c>
      <c r="P2956" t="s">
        <v>19900</v>
      </c>
      <c r="Q2956" t="s">
        <v>19900</v>
      </c>
      <c r="R2956" t="s">
        <v>19447</v>
      </c>
      <c r="S2956" t="s">
        <v>19447</v>
      </c>
      <c r="T2956" t="s">
        <v>19901</v>
      </c>
    </row>
    <row r="2957" spans="2:20" x14ac:dyDescent="0.25">
      <c r="B2957" t="s">
        <v>2709</v>
      </c>
      <c r="C2957">
        <v>29319031</v>
      </c>
      <c r="E2957">
        <v>68.819999999999993</v>
      </c>
      <c r="F2957">
        <v>0</v>
      </c>
      <c r="G2957">
        <v>0</v>
      </c>
      <c r="H2957" t="s">
        <v>19447</v>
      </c>
      <c r="I2957" t="s">
        <v>19447</v>
      </c>
      <c r="J2957">
        <v>2</v>
      </c>
      <c r="L2957" t="s">
        <v>2709</v>
      </c>
      <c r="M2957">
        <v>29319031</v>
      </c>
      <c r="O2957" t="s">
        <v>20028</v>
      </c>
      <c r="P2957" t="s">
        <v>19900</v>
      </c>
      <c r="Q2957" t="s">
        <v>19900</v>
      </c>
      <c r="R2957" t="s">
        <v>19447</v>
      </c>
      <c r="S2957" t="s">
        <v>19447</v>
      </c>
      <c r="T2957" t="s">
        <v>19901</v>
      </c>
    </row>
    <row r="2958" spans="2:20" x14ac:dyDescent="0.25">
      <c r="B2958" t="s">
        <v>2709</v>
      </c>
      <c r="C2958">
        <v>29319032</v>
      </c>
      <c r="E2958">
        <v>68.819999999999993</v>
      </c>
      <c r="F2958">
        <v>0</v>
      </c>
      <c r="G2958">
        <v>0</v>
      </c>
      <c r="H2958" t="s">
        <v>19447</v>
      </c>
      <c r="I2958" t="s">
        <v>19447</v>
      </c>
      <c r="J2958">
        <v>12</v>
      </c>
      <c r="L2958" t="s">
        <v>2709</v>
      </c>
      <c r="M2958">
        <v>29319032</v>
      </c>
      <c r="O2958" t="s">
        <v>20028</v>
      </c>
      <c r="P2958" t="s">
        <v>19900</v>
      </c>
      <c r="Q2958" t="s">
        <v>19900</v>
      </c>
      <c r="R2958" t="s">
        <v>19447</v>
      </c>
      <c r="S2958" t="s">
        <v>19447</v>
      </c>
      <c r="T2958" t="s">
        <v>19903</v>
      </c>
    </row>
    <row r="2959" spans="2:20" x14ac:dyDescent="0.25">
      <c r="B2959" t="s">
        <v>2709</v>
      </c>
      <c r="C2959">
        <v>29319033</v>
      </c>
      <c r="E2959">
        <v>68.819999999999993</v>
      </c>
      <c r="F2959">
        <v>0</v>
      </c>
      <c r="G2959">
        <v>0</v>
      </c>
      <c r="H2959" t="s">
        <v>19447</v>
      </c>
      <c r="I2959" t="s">
        <v>19447</v>
      </c>
      <c r="J2959">
        <v>14</v>
      </c>
      <c r="L2959" t="s">
        <v>2709</v>
      </c>
      <c r="M2959">
        <v>29319033</v>
      </c>
      <c r="O2959" t="s">
        <v>20028</v>
      </c>
      <c r="P2959" t="s">
        <v>19900</v>
      </c>
      <c r="Q2959" t="s">
        <v>19900</v>
      </c>
      <c r="R2959" t="s">
        <v>19447</v>
      </c>
      <c r="S2959" t="s">
        <v>19447</v>
      </c>
      <c r="T2959" t="s">
        <v>19911</v>
      </c>
    </row>
    <row r="2960" spans="2:20" x14ac:dyDescent="0.25">
      <c r="B2960" t="s">
        <v>2709</v>
      </c>
      <c r="C2960">
        <v>29319034</v>
      </c>
      <c r="E2960">
        <v>68.819999999999993</v>
      </c>
      <c r="F2960">
        <v>0</v>
      </c>
      <c r="G2960">
        <v>0</v>
      </c>
      <c r="H2960" t="s">
        <v>19447</v>
      </c>
      <c r="I2960" t="s">
        <v>19447</v>
      </c>
      <c r="J2960">
        <v>12</v>
      </c>
      <c r="L2960" t="s">
        <v>2709</v>
      </c>
      <c r="M2960">
        <v>29319034</v>
      </c>
      <c r="O2960" t="s">
        <v>20028</v>
      </c>
      <c r="P2960" t="s">
        <v>19900</v>
      </c>
      <c r="Q2960" t="s">
        <v>19900</v>
      </c>
      <c r="R2960" t="s">
        <v>19447</v>
      </c>
      <c r="S2960" t="s">
        <v>19447</v>
      </c>
      <c r="T2960" t="s">
        <v>19903</v>
      </c>
    </row>
    <row r="2961" spans="2:20" x14ac:dyDescent="0.25">
      <c r="B2961" t="s">
        <v>2709</v>
      </c>
      <c r="C2961">
        <v>29319035</v>
      </c>
      <c r="E2961">
        <v>68.819999999999993</v>
      </c>
      <c r="F2961">
        <v>0</v>
      </c>
      <c r="G2961">
        <v>0</v>
      </c>
      <c r="H2961" t="s">
        <v>19447</v>
      </c>
      <c r="I2961" t="s">
        <v>19447</v>
      </c>
      <c r="J2961">
        <v>2</v>
      </c>
      <c r="L2961" t="s">
        <v>2709</v>
      </c>
      <c r="M2961">
        <v>29319035</v>
      </c>
      <c r="O2961" t="s">
        <v>20028</v>
      </c>
      <c r="P2961" t="s">
        <v>19900</v>
      </c>
      <c r="Q2961" t="s">
        <v>19900</v>
      </c>
      <c r="R2961" t="s">
        <v>19447</v>
      </c>
      <c r="S2961" t="s">
        <v>19447</v>
      </c>
      <c r="T2961" t="s">
        <v>19901</v>
      </c>
    </row>
    <row r="2962" spans="2:20" x14ac:dyDescent="0.25">
      <c r="B2962" t="s">
        <v>2709</v>
      </c>
      <c r="C2962">
        <v>29319036</v>
      </c>
      <c r="E2962">
        <v>68.819999999999993</v>
      </c>
      <c r="F2962">
        <v>0</v>
      </c>
      <c r="G2962">
        <v>0</v>
      </c>
      <c r="H2962" t="s">
        <v>19447</v>
      </c>
      <c r="I2962" t="s">
        <v>19447</v>
      </c>
      <c r="J2962">
        <v>2</v>
      </c>
      <c r="L2962" t="s">
        <v>2709</v>
      </c>
      <c r="M2962">
        <v>29319036</v>
      </c>
      <c r="O2962" t="s">
        <v>20028</v>
      </c>
      <c r="P2962" t="s">
        <v>19900</v>
      </c>
      <c r="Q2962" t="s">
        <v>19900</v>
      </c>
      <c r="R2962" t="s">
        <v>19447</v>
      </c>
      <c r="S2962" t="s">
        <v>19447</v>
      </c>
      <c r="T2962" t="s">
        <v>19901</v>
      </c>
    </row>
    <row r="2963" spans="2:20" x14ac:dyDescent="0.25">
      <c r="B2963" t="s">
        <v>2709</v>
      </c>
      <c r="C2963">
        <v>29319037</v>
      </c>
      <c r="E2963">
        <v>68.819999999999993</v>
      </c>
      <c r="F2963">
        <v>0</v>
      </c>
      <c r="G2963">
        <v>0</v>
      </c>
      <c r="H2963" t="s">
        <v>19447</v>
      </c>
      <c r="I2963" t="s">
        <v>19447</v>
      </c>
      <c r="J2963">
        <v>12</v>
      </c>
      <c r="L2963" t="s">
        <v>2709</v>
      </c>
      <c r="M2963">
        <v>29319037</v>
      </c>
      <c r="O2963" t="s">
        <v>20028</v>
      </c>
      <c r="P2963" t="s">
        <v>19900</v>
      </c>
      <c r="Q2963" t="s">
        <v>19900</v>
      </c>
      <c r="R2963" t="s">
        <v>19447</v>
      </c>
      <c r="S2963" t="s">
        <v>19447</v>
      </c>
      <c r="T2963" t="s">
        <v>19903</v>
      </c>
    </row>
    <row r="2964" spans="2:20" x14ac:dyDescent="0.25">
      <c r="B2964" t="s">
        <v>2709</v>
      </c>
      <c r="C2964">
        <v>29319038</v>
      </c>
      <c r="E2964">
        <v>68.819999999999993</v>
      </c>
      <c r="F2964">
        <v>0</v>
      </c>
      <c r="G2964">
        <v>0</v>
      </c>
      <c r="H2964" t="s">
        <v>19447</v>
      </c>
      <c r="I2964" t="s">
        <v>19447</v>
      </c>
      <c r="J2964">
        <v>2</v>
      </c>
      <c r="L2964" t="s">
        <v>2709</v>
      </c>
      <c r="M2964">
        <v>29319038</v>
      </c>
      <c r="O2964" t="s">
        <v>20028</v>
      </c>
      <c r="P2964" t="s">
        <v>19900</v>
      </c>
      <c r="Q2964" t="s">
        <v>19900</v>
      </c>
      <c r="R2964" t="s">
        <v>19447</v>
      </c>
      <c r="S2964" t="s">
        <v>19447</v>
      </c>
      <c r="T2964" t="s">
        <v>19901</v>
      </c>
    </row>
    <row r="2965" spans="2:20" x14ac:dyDescent="0.25">
      <c r="B2965" t="s">
        <v>2709</v>
      </c>
      <c r="C2965">
        <v>29319041</v>
      </c>
      <c r="E2965">
        <v>68.819999999999993</v>
      </c>
      <c r="F2965">
        <v>0</v>
      </c>
      <c r="G2965">
        <v>0</v>
      </c>
      <c r="H2965" t="s">
        <v>19447</v>
      </c>
      <c r="I2965" t="s">
        <v>19447</v>
      </c>
      <c r="J2965">
        <v>2</v>
      </c>
      <c r="L2965" t="s">
        <v>2709</v>
      </c>
      <c r="M2965">
        <v>29319041</v>
      </c>
      <c r="O2965" t="s">
        <v>20028</v>
      </c>
      <c r="P2965" t="s">
        <v>19900</v>
      </c>
      <c r="Q2965" t="s">
        <v>19900</v>
      </c>
      <c r="R2965" t="s">
        <v>19447</v>
      </c>
      <c r="S2965" t="s">
        <v>19447</v>
      </c>
      <c r="T2965" t="s">
        <v>19901</v>
      </c>
    </row>
    <row r="2966" spans="2:20" x14ac:dyDescent="0.25">
      <c r="B2966" t="s">
        <v>2709</v>
      </c>
      <c r="C2966">
        <v>29319042</v>
      </c>
      <c r="E2966">
        <v>68.819999999999993</v>
      </c>
      <c r="F2966">
        <v>0</v>
      </c>
      <c r="G2966">
        <v>0</v>
      </c>
      <c r="H2966" t="s">
        <v>19447</v>
      </c>
      <c r="I2966" t="s">
        <v>19447</v>
      </c>
      <c r="J2966">
        <v>2</v>
      </c>
      <c r="L2966" t="s">
        <v>2709</v>
      </c>
      <c r="M2966">
        <v>29319042</v>
      </c>
      <c r="O2966" t="s">
        <v>20028</v>
      </c>
      <c r="P2966" t="s">
        <v>19900</v>
      </c>
      <c r="Q2966" t="s">
        <v>19900</v>
      </c>
      <c r="R2966" t="s">
        <v>19447</v>
      </c>
      <c r="S2966" t="s">
        <v>19447</v>
      </c>
      <c r="T2966" t="s">
        <v>19901</v>
      </c>
    </row>
    <row r="2967" spans="2:20" x14ac:dyDescent="0.25">
      <c r="B2967" t="s">
        <v>2709</v>
      </c>
      <c r="C2967">
        <v>29319043</v>
      </c>
      <c r="E2967">
        <v>68.819999999999993</v>
      </c>
      <c r="F2967">
        <v>0</v>
      </c>
      <c r="G2967">
        <v>0</v>
      </c>
      <c r="H2967" t="s">
        <v>19447</v>
      </c>
      <c r="I2967" t="s">
        <v>19447</v>
      </c>
      <c r="J2967">
        <v>2</v>
      </c>
      <c r="L2967" t="s">
        <v>2709</v>
      </c>
      <c r="M2967">
        <v>29319043</v>
      </c>
      <c r="O2967" t="s">
        <v>20028</v>
      </c>
      <c r="P2967" t="s">
        <v>19900</v>
      </c>
      <c r="Q2967" t="s">
        <v>19900</v>
      </c>
      <c r="R2967" t="s">
        <v>19447</v>
      </c>
      <c r="S2967" t="s">
        <v>19447</v>
      </c>
      <c r="T2967" t="s">
        <v>19901</v>
      </c>
    </row>
    <row r="2968" spans="2:20" x14ac:dyDescent="0.25">
      <c r="B2968" t="s">
        <v>2709</v>
      </c>
      <c r="C2968">
        <v>29319044</v>
      </c>
      <c r="E2968">
        <v>68.819999999999993</v>
      </c>
      <c r="F2968">
        <v>0</v>
      </c>
      <c r="G2968">
        <v>0</v>
      </c>
      <c r="H2968" t="s">
        <v>19447</v>
      </c>
      <c r="I2968" t="s">
        <v>19447</v>
      </c>
      <c r="J2968">
        <v>2</v>
      </c>
      <c r="L2968" t="s">
        <v>2709</v>
      </c>
      <c r="M2968">
        <v>29319044</v>
      </c>
      <c r="O2968" t="s">
        <v>20028</v>
      </c>
      <c r="P2968" t="s">
        <v>19900</v>
      </c>
      <c r="Q2968" t="s">
        <v>19900</v>
      </c>
      <c r="R2968" t="s">
        <v>19447</v>
      </c>
      <c r="S2968" t="s">
        <v>19447</v>
      </c>
      <c r="T2968" t="s">
        <v>19901</v>
      </c>
    </row>
    <row r="2969" spans="2:20" x14ac:dyDescent="0.25">
      <c r="B2969" t="s">
        <v>2709</v>
      </c>
      <c r="C2969">
        <v>29319045</v>
      </c>
      <c r="E2969">
        <v>68.819999999999993</v>
      </c>
      <c r="F2969">
        <v>0</v>
      </c>
      <c r="G2969">
        <v>0</v>
      </c>
      <c r="H2969" t="s">
        <v>19447</v>
      </c>
      <c r="I2969" t="s">
        <v>19447</v>
      </c>
      <c r="J2969">
        <v>12</v>
      </c>
      <c r="L2969" t="s">
        <v>2709</v>
      </c>
      <c r="M2969">
        <v>29319045</v>
      </c>
      <c r="O2969" t="s">
        <v>20028</v>
      </c>
      <c r="P2969" t="s">
        <v>19900</v>
      </c>
      <c r="Q2969" t="s">
        <v>19900</v>
      </c>
      <c r="R2969" t="s">
        <v>19447</v>
      </c>
      <c r="S2969" t="s">
        <v>19447</v>
      </c>
      <c r="T2969" t="s">
        <v>19903</v>
      </c>
    </row>
    <row r="2970" spans="2:20" x14ac:dyDescent="0.25">
      <c r="B2970" t="s">
        <v>2709</v>
      </c>
      <c r="C2970">
        <v>29319046</v>
      </c>
      <c r="E2970">
        <v>68.819999999999993</v>
      </c>
      <c r="F2970">
        <v>0</v>
      </c>
      <c r="G2970">
        <v>0</v>
      </c>
      <c r="H2970" t="s">
        <v>19447</v>
      </c>
      <c r="I2970" t="s">
        <v>19447</v>
      </c>
      <c r="J2970">
        <v>12</v>
      </c>
      <c r="L2970" t="s">
        <v>2709</v>
      </c>
      <c r="M2970">
        <v>29319046</v>
      </c>
      <c r="O2970" t="s">
        <v>20028</v>
      </c>
      <c r="P2970" t="s">
        <v>19900</v>
      </c>
      <c r="Q2970" t="s">
        <v>19900</v>
      </c>
      <c r="R2970" t="s">
        <v>19447</v>
      </c>
      <c r="S2970" t="s">
        <v>19447</v>
      </c>
      <c r="T2970" t="s">
        <v>19903</v>
      </c>
    </row>
    <row r="2971" spans="2:20" x14ac:dyDescent="0.25">
      <c r="B2971" t="s">
        <v>2709</v>
      </c>
      <c r="C2971">
        <v>29319049</v>
      </c>
      <c r="E2971">
        <v>68.819999999999993</v>
      </c>
      <c r="F2971">
        <v>0</v>
      </c>
      <c r="G2971">
        <v>0</v>
      </c>
      <c r="H2971" t="s">
        <v>19447</v>
      </c>
      <c r="I2971" t="s">
        <v>19447</v>
      </c>
      <c r="J2971">
        <v>2</v>
      </c>
      <c r="L2971" t="s">
        <v>2709</v>
      </c>
      <c r="M2971">
        <v>29319049</v>
      </c>
      <c r="O2971" t="s">
        <v>20028</v>
      </c>
      <c r="P2971" t="s">
        <v>19900</v>
      </c>
      <c r="Q2971" t="s">
        <v>19900</v>
      </c>
      <c r="R2971" t="s">
        <v>19447</v>
      </c>
      <c r="S2971" t="s">
        <v>19447</v>
      </c>
      <c r="T2971" t="s">
        <v>19901</v>
      </c>
    </row>
    <row r="2972" spans="2:20" x14ac:dyDescent="0.25">
      <c r="B2972" t="s">
        <v>2709</v>
      </c>
      <c r="C2972">
        <v>29319051</v>
      </c>
      <c r="E2972">
        <v>68.819999999999993</v>
      </c>
      <c r="F2972">
        <v>0</v>
      </c>
      <c r="G2972">
        <v>0</v>
      </c>
      <c r="H2972" t="s">
        <v>19447</v>
      </c>
      <c r="I2972" t="s">
        <v>19447</v>
      </c>
      <c r="J2972">
        <v>2</v>
      </c>
      <c r="L2972" t="s">
        <v>2709</v>
      </c>
      <c r="M2972">
        <v>29319051</v>
      </c>
      <c r="O2972" t="s">
        <v>20028</v>
      </c>
      <c r="P2972" t="s">
        <v>19900</v>
      </c>
      <c r="Q2972" t="s">
        <v>19900</v>
      </c>
      <c r="R2972" t="s">
        <v>19447</v>
      </c>
      <c r="S2972" t="s">
        <v>19447</v>
      </c>
      <c r="T2972" t="s">
        <v>19901</v>
      </c>
    </row>
    <row r="2973" spans="2:20" x14ac:dyDescent="0.25">
      <c r="B2973" t="s">
        <v>2709</v>
      </c>
      <c r="C2973">
        <v>29319052</v>
      </c>
      <c r="E2973">
        <v>68.819999999999993</v>
      </c>
      <c r="F2973">
        <v>0</v>
      </c>
      <c r="G2973">
        <v>0</v>
      </c>
      <c r="H2973" t="s">
        <v>19447</v>
      </c>
      <c r="I2973" t="s">
        <v>19447</v>
      </c>
      <c r="J2973">
        <v>2</v>
      </c>
      <c r="L2973" t="s">
        <v>2709</v>
      </c>
      <c r="M2973">
        <v>29319052</v>
      </c>
      <c r="O2973" t="s">
        <v>20028</v>
      </c>
      <c r="P2973" t="s">
        <v>19900</v>
      </c>
      <c r="Q2973" t="s">
        <v>19900</v>
      </c>
      <c r="R2973" t="s">
        <v>19447</v>
      </c>
      <c r="S2973" t="s">
        <v>19447</v>
      </c>
      <c r="T2973" t="s">
        <v>19901</v>
      </c>
    </row>
    <row r="2974" spans="2:20" x14ac:dyDescent="0.25">
      <c r="B2974" t="s">
        <v>2709</v>
      </c>
      <c r="C2974">
        <v>29319053</v>
      </c>
      <c r="E2974">
        <v>68.819999999999993</v>
      </c>
      <c r="F2974">
        <v>0</v>
      </c>
      <c r="G2974">
        <v>0</v>
      </c>
      <c r="H2974" t="s">
        <v>19447</v>
      </c>
      <c r="I2974" t="s">
        <v>19447</v>
      </c>
      <c r="J2974">
        <v>2</v>
      </c>
      <c r="L2974" t="s">
        <v>2709</v>
      </c>
      <c r="M2974">
        <v>29319053</v>
      </c>
      <c r="O2974" t="s">
        <v>20028</v>
      </c>
      <c r="P2974" t="s">
        <v>19900</v>
      </c>
      <c r="Q2974" t="s">
        <v>19900</v>
      </c>
      <c r="R2974" t="s">
        <v>19447</v>
      </c>
      <c r="S2974" t="s">
        <v>19447</v>
      </c>
      <c r="T2974" t="s">
        <v>19901</v>
      </c>
    </row>
    <row r="2975" spans="2:20" x14ac:dyDescent="0.25">
      <c r="B2975" t="s">
        <v>2709</v>
      </c>
      <c r="C2975">
        <v>29319054</v>
      </c>
      <c r="E2975">
        <v>68.819999999999993</v>
      </c>
      <c r="F2975">
        <v>0</v>
      </c>
      <c r="G2975">
        <v>0</v>
      </c>
      <c r="H2975" t="s">
        <v>19447</v>
      </c>
      <c r="I2975" t="s">
        <v>19447</v>
      </c>
      <c r="J2975">
        <v>2</v>
      </c>
      <c r="L2975" t="s">
        <v>2709</v>
      </c>
      <c r="M2975">
        <v>29319054</v>
      </c>
      <c r="O2975" t="s">
        <v>20028</v>
      </c>
      <c r="P2975" t="s">
        <v>19900</v>
      </c>
      <c r="Q2975" t="s">
        <v>19900</v>
      </c>
      <c r="R2975" t="s">
        <v>19447</v>
      </c>
      <c r="S2975" t="s">
        <v>19447</v>
      </c>
      <c r="T2975" t="s">
        <v>19901</v>
      </c>
    </row>
    <row r="2976" spans="2:20" x14ac:dyDescent="0.25">
      <c r="B2976" t="s">
        <v>2709</v>
      </c>
      <c r="C2976">
        <v>29319059</v>
      </c>
      <c r="E2976">
        <v>68.819999999999993</v>
      </c>
      <c r="F2976">
        <v>0</v>
      </c>
      <c r="G2976">
        <v>0</v>
      </c>
      <c r="H2976" t="s">
        <v>19447</v>
      </c>
      <c r="I2976" t="s">
        <v>19447</v>
      </c>
      <c r="J2976">
        <v>2</v>
      </c>
      <c r="L2976" t="s">
        <v>2709</v>
      </c>
      <c r="M2976">
        <v>29319059</v>
      </c>
      <c r="O2976" t="s">
        <v>20028</v>
      </c>
      <c r="P2976" t="s">
        <v>19900</v>
      </c>
      <c r="Q2976" t="s">
        <v>19900</v>
      </c>
      <c r="R2976" t="s">
        <v>19447</v>
      </c>
      <c r="S2976" t="s">
        <v>19447</v>
      </c>
      <c r="T2976" t="s">
        <v>19901</v>
      </c>
    </row>
    <row r="2977" spans="2:20" x14ac:dyDescent="0.25">
      <c r="B2977" t="s">
        <v>2709</v>
      </c>
      <c r="C2977">
        <v>29319061</v>
      </c>
      <c r="E2977">
        <v>68.819999999999993</v>
      </c>
      <c r="F2977">
        <v>0</v>
      </c>
      <c r="G2977">
        <v>0</v>
      </c>
      <c r="H2977" t="s">
        <v>19447</v>
      </c>
      <c r="I2977" t="s">
        <v>19447</v>
      </c>
      <c r="J2977">
        <v>12</v>
      </c>
      <c r="L2977" t="s">
        <v>2709</v>
      </c>
      <c r="M2977">
        <v>29319061</v>
      </c>
      <c r="O2977" t="s">
        <v>20028</v>
      </c>
      <c r="P2977" t="s">
        <v>19900</v>
      </c>
      <c r="Q2977" t="s">
        <v>19900</v>
      </c>
      <c r="R2977" t="s">
        <v>19447</v>
      </c>
      <c r="S2977" t="s">
        <v>19447</v>
      </c>
      <c r="T2977" t="s">
        <v>19903</v>
      </c>
    </row>
    <row r="2978" spans="2:20" x14ac:dyDescent="0.25">
      <c r="B2978" t="s">
        <v>2709</v>
      </c>
      <c r="C2978">
        <v>29319062</v>
      </c>
      <c r="E2978">
        <v>68.819999999999993</v>
      </c>
      <c r="F2978">
        <v>0</v>
      </c>
      <c r="G2978">
        <v>0</v>
      </c>
      <c r="H2978" t="s">
        <v>19447</v>
      </c>
      <c r="I2978" t="s">
        <v>19447</v>
      </c>
      <c r="J2978">
        <v>12</v>
      </c>
      <c r="L2978" t="s">
        <v>2709</v>
      </c>
      <c r="M2978">
        <v>29319062</v>
      </c>
      <c r="O2978" t="s">
        <v>20028</v>
      </c>
      <c r="P2978" t="s">
        <v>19900</v>
      </c>
      <c r="Q2978" t="s">
        <v>19900</v>
      </c>
      <c r="R2978" t="s">
        <v>19447</v>
      </c>
      <c r="S2978" t="s">
        <v>19447</v>
      </c>
      <c r="T2978" t="s">
        <v>19903</v>
      </c>
    </row>
    <row r="2979" spans="2:20" x14ac:dyDescent="0.25">
      <c r="B2979" t="s">
        <v>2709</v>
      </c>
      <c r="C2979">
        <v>29319069</v>
      </c>
      <c r="E2979">
        <v>68.819999999999993</v>
      </c>
      <c r="F2979">
        <v>0</v>
      </c>
      <c r="G2979">
        <v>0</v>
      </c>
      <c r="H2979" t="s">
        <v>19447</v>
      </c>
      <c r="I2979" t="s">
        <v>19447</v>
      </c>
      <c r="J2979">
        <v>2</v>
      </c>
      <c r="L2979" t="s">
        <v>2709</v>
      </c>
      <c r="M2979">
        <v>29319069</v>
      </c>
      <c r="O2979" t="s">
        <v>20028</v>
      </c>
      <c r="P2979" t="s">
        <v>19900</v>
      </c>
      <c r="Q2979" t="s">
        <v>19900</v>
      </c>
      <c r="R2979" t="s">
        <v>19447</v>
      </c>
      <c r="S2979" t="s">
        <v>19447</v>
      </c>
      <c r="T2979" t="s">
        <v>19901</v>
      </c>
    </row>
    <row r="2980" spans="2:20" x14ac:dyDescent="0.25">
      <c r="B2980" t="s">
        <v>2709</v>
      </c>
      <c r="C2980">
        <v>29319071</v>
      </c>
      <c r="E2980">
        <v>68.819999999999993</v>
      </c>
      <c r="F2980">
        <v>0</v>
      </c>
      <c r="G2980">
        <v>0</v>
      </c>
      <c r="H2980" t="s">
        <v>19447</v>
      </c>
      <c r="I2980" t="s">
        <v>19447</v>
      </c>
      <c r="J2980">
        <v>12</v>
      </c>
      <c r="L2980" t="s">
        <v>2709</v>
      </c>
      <c r="M2980">
        <v>29319071</v>
      </c>
      <c r="O2980" t="s">
        <v>20028</v>
      </c>
      <c r="P2980" t="s">
        <v>19900</v>
      </c>
      <c r="Q2980" t="s">
        <v>19900</v>
      </c>
      <c r="R2980" t="s">
        <v>19447</v>
      </c>
      <c r="S2980" t="s">
        <v>19447</v>
      </c>
      <c r="T2980" t="s">
        <v>19903</v>
      </c>
    </row>
    <row r="2981" spans="2:20" x14ac:dyDescent="0.25">
      <c r="B2981" t="s">
        <v>2709</v>
      </c>
      <c r="C2981">
        <v>29319072</v>
      </c>
      <c r="E2981">
        <v>68.819999999999993</v>
      </c>
      <c r="F2981">
        <v>0</v>
      </c>
      <c r="G2981">
        <v>0</v>
      </c>
      <c r="H2981" t="s">
        <v>19447</v>
      </c>
      <c r="I2981" t="s">
        <v>19447</v>
      </c>
      <c r="J2981">
        <v>12</v>
      </c>
      <c r="L2981" t="s">
        <v>2709</v>
      </c>
      <c r="M2981">
        <v>29319072</v>
      </c>
      <c r="O2981" t="s">
        <v>20028</v>
      </c>
      <c r="P2981" t="s">
        <v>19900</v>
      </c>
      <c r="Q2981" t="s">
        <v>19900</v>
      </c>
      <c r="R2981" t="s">
        <v>19447</v>
      </c>
      <c r="S2981" t="s">
        <v>19447</v>
      </c>
      <c r="T2981" t="s">
        <v>19903</v>
      </c>
    </row>
    <row r="2982" spans="2:20" x14ac:dyDescent="0.25">
      <c r="B2982" t="s">
        <v>2709</v>
      </c>
      <c r="C2982">
        <v>29319073</v>
      </c>
      <c r="E2982">
        <v>68.819999999999993</v>
      </c>
      <c r="F2982">
        <v>0</v>
      </c>
      <c r="G2982">
        <v>0</v>
      </c>
      <c r="H2982" t="s">
        <v>19447</v>
      </c>
      <c r="I2982" t="s">
        <v>19447</v>
      </c>
      <c r="J2982">
        <v>12</v>
      </c>
      <c r="L2982" t="s">
        <v>2709</v>
      </c>
      <c r="M2982">
        <v>29319073</v>
      </c>
      <c r="O2982" t="s">
        <v>20028</v>
      </c>
      <c r="P2982" t="s">
        <v>19900</v>
      </c>
      <c r="Q2982" t="s">
        <v>19900</v>
      </c>
      <c r="R2982" t="s">
        <v>19447</v>
      </c>
      <c r="S2982" t="s">
        <v>19447</v>
      </c>
      <c r="T2982" t="s">
        <v>19903</v>
      </c>
    </row>
    <row r="2983" spans="2:20" x14ac:dyDescent="0.25">
      <c r="B2983" t="s">
        <v>2709</v>
      </c>
      <c r="C2983">
        <v>29319074</v>
      </c>
      <c r="E2983">
        <v>68.819999999999993</v>
      </c>
      <c r="F2983">
        <v>0</v>
      </c>
      <c r="G2983">
        <v>0</v>
      </c>
      <c r="H2983" t="s">
        <v>19447</v>
      </c>
      <c r="I2983" t="s">
        <v>19447</v>
      </c>
      <c r="J2983">
        <v>12</v>
      </c>
      <c r="L2983" t="s">
        <v>2709</v>
      </c>
      <c r="M2983">
        <v>29319074</v>
      </c>
      <c r="O2983" t="s">
        <v>20028</v>
      </c>
      <c r="P2983" t="s">
        <v>19900</v>
      </c>
      <c r="Q2983" t="s">
        <v>19900</v>
      </c>
      <c r="R2983" t="s">
        <v>19447</v>
      </c>
      <c r="S2983" t="s">
        <v>19447</v>
      </c>
      <c r="T2983" t="s">
        <v>19903</v>
      </c>
    </row>
    <row r="2984" spans="2:20" x14ac:dyDescent="0.25">
      <c r="B2984" t="s">
        <v>2709</v>
      </c>
      <c r="C2984">
        <v>29319075</v>
      </c>
      <c r="E2984">
        <v>68.819999999999993</v>
      </c>
      <c r="F2984">
        <v>0</v>
      </c>
      <c r="G2984">
        <v>0</v>
      </c>
      <c r="H2984" t="s">
        <v>19447</v>
      </c>
      <c r="I2984" t="s">
        <v>19447</v>
      </c>
      <c r="J2984">
        <v>12</v>
      </c>
      <c r="L2984" t="s">
        <v>2709</v>
      </c>
      <c r="M2984">
        <v>29319075</v>
      </c>
      <c r="O2984" t="s">
        <v>20028</v>
      </c>
      <c r="P2984" t="s">
        <v>19900</v>
      </c>
      <c r="Q2984" t="s">
        <v>19900</v>
      </c>
      <c r="R2984" t="s">
        <v>19447</v>
      </c>
      <c r="S2984" t="s">
        <v>19447</v>
      </c>
      <c r="T2984" t="s">
        <v>19903</v>
      </c>
    </row>
    <row r="2985" spans="2:20" x14ac:dyDescent="0.25">
      <c r="B2985" t="s">
        <v>2709</v>
      </c>
      <c r="C2985">
        <v>29319076</v>
      </c>
      <c r="E2985">
        <v>68.819999999999993</v>
      </c>
      <c r="F2985">
        <v>0</v>
      </c>
      <c r="G2985">
        <v>0</v>
      </c>
      <c r="H2985" t="s">
        <v>19447</v>
      </c>
      <c r="I2985" t="s">
        <v>19447</v>
      </c>
      <c r="J2985">
        <v>12</v>
      </c>
      <c r="L2985" t="s">
        <v>2709</v>
      </c>
      <c r="M2985">
        <v>29319076</v>
      </c>
      <c r="O2985" t="s">
        <v>20028</v>
      </c>
      <c r="P2985" t="s">
        <v>19900</v>
      </c>
      <c r="Q2985" t="s">
        <v>19900</v>
      </c>
      <c r="R2985" t="s">
        <v>19447</v>
      </c>
      <c r="S2985" t="s">
        <v>19447</v>
      </c>
      <c r="T2985" t="s">
        <v>19903</v>
      </c>
    </row>
    <row r="2986" spans="2:20" x14ac:dyDescent="0.25">
      <c r="B2986" t="s">
        <v>2709</v>
      </c>
      <c r="C2986">
        <v>29319077</v>
      </c>
      <c r="E2986">
        <v>68.819999999999993</v>
      </c>
      <c r="F2986">
        <v>0</v>
      </c>
      <c r="G2986">
        <v>0</v>
      </c>
      <c r="H2986" t="s">
        <v>19447</v>
      </c>
      <c r="I2986" t="s">
        <v>19447</v>
      </c>
      <c r="J2986">
        <v>12</v>
      </c>
      <c r="L2986" t="s">
        <v>2709</v>
      </c>
      <c r="M2986">
        <v>29319077</v>
      </c>
      <c r="O2986" t="s">
        <v>20028</v>
      </c>
      <c r="P2986" t="s">
        <v>19900</v>
      </c>
      <c r="Q2986" t="s">
        <v>19900</v>
      </c>
      <c r="R2986" t="s">
        <v>19447</v>
      </c>
      <c r="S2986" t="s">
        <v>19447</v>
      </c>
      <c r="T2986" t="s">
        <v>19903</v>
      </c>
    </row>
    <row r="2987" spans="2:20" x14ac:dyDescent="0.25">
      <c r="B2987" t="s">
        <v>2709</v>
      </c>
      <c r="C2987">
        <v>29319079</v>
      </c>
      <c r="E2987">
        <v>54.07</v>
      </c>
      <c r="F2987">
        <v>0</v>
      </c>
      <c r="G2987">
        <v>0</v>
      </c>
      <c r="H2987" t="s">
        <v>19447</v>
      </c>
      <c r="I2987" t="s">
        <v>19447</v>
      </c>
      <c r="J2987">
        <v>12</v>
      </c>
      <c r="L2987" t="s">
        <v>2709</v>
      </c>
      <c r="M2987">
        <v>29319079</v>
      </c>
      <c r="O2987" t="s">
        <v>20031</v>
      </c>
      <c r="P2987" t="s">
        <v>19900</v>
      </c>
      <c r="Q2987" t="s">
        <v>19900</v>
      </c>
      <c r="R2987" t="s">
        <v>19447</v>
      </c>
      <c r="S2987" t="s">
        <v>19447</v>
      </c>
      <c r="T2987" t="s">
        <v>19903</v>
      </c>
    </row>
    <row r="2988" spans="2:20" x14ac:dyDescent="0.25">
      <c r="B2988" t="s">
        <v>2709</v>
      </c>
      <c r="C2988">
        <v>29319090</v>
      </c>
      <c r="E2988">
        <v>68.819999999999993</v>
      </c>
      <c r="F2988">
        <v>0</v>
      </c>
      <c r="G2988">
        <v>0</v>
      </c>
      <c r="H2988" t="s">
        <v>19447</v>
      </c>
      <c r="I2988" t="s">
        <v>19447</v>
      </c>
      <c r="J2988">
        <v>2</v>
      </c>
      <c r="L2988" t="s">
        <v>2709</v>
      </c>
      <c r="M2988">
        <v>29319090</v>
      </c>
      <c r="O2988" t="s">
        <v>20028</v>
      </c>
      <c r="P2988" t="s">
        <v>19900</v>
      </c>
      <c r="Q2988" t="s">
        <v>19900</v>
      </c>
      <c r="R2988" t="s">
        <v>19447</v>
      </c>
      <c r="S2988" t="s">
        <v>19447</v>
      </c>
      <c r="T2988" t="s">
        <v>19901</v>
      </c>
    </row>
    <row r="2989" spans="2:20" x14ac:dyDescent="0.25">
      <c r="B2989" t="s">
        <v>2709</v>
      </c>
      <c r="C2989">
        <v>29321100</v>
      </c>
      <c r="E2989">
        <v>68.819999999999993</v>
      </c>
      <c r="F2989">
        <v>0</v>
      </c>
      <c r="G2989">
        <v>0</v>
      </c>
      <c r="H2989" t="s">
        <v>19447</v>
      </c>
      <c r="I2989" t="s">
        <v>19447</v>
      </c>
      <c r="J2989">
        <v>2</v>
      </c>
      <c r="L2989" t="s">
        <v>2709</v>
      </c>
      <c r="M2989">
        <v>29321100</v>
      </c>
      <c r="O2989" t="s">
        <v>20028</v>
      </c>
      <c r="P2989" t="s">
        <v>19900</v>
      </c>
      <c r="Q2989" t="s">
        <v>19900</v>
      </c>
      <c r="R2989" t="s">
        <v>19447</v>
      </c>
      <c r="S2989" t="s">
        <v>19447</v>
      </c>
      <c r="T2989" t="s">
        <v>19901</v>
      </c>
    </row>
    <row r="2990" spans="2:20" x14ac:dyDescent="0.25">
      <c r="B2990" t="s">
        <v>2709</v>
      </c>
      <c r="C2990">
        <v>29321200</v>
      </c>
      <c r="E2990">
        <v>68.819999999999993</v>
      </c>
      <c r="F2990">
        <v>0</v>
      </c>
      <c r="G2990">
        <v>0</v>
      </c>
      <c r="H2990" t="s">
        <v>19447</v>
      </c>
      <c r="I2990" t="s">
        <v>19447</v>
      </c>
      <c r="J2990">
        <v>12</v>
      </c>
      <c r="L2990" t="s">
        <v>2709</v>
      </c>
      <c r="M2990">
        <v>29321200</v>
      </c>
      <c r="O2990" t="s">
        <v>20028</v>
      </c>
      <c r="P2990" t="s">
        <v>19900</v>
      </c>
      <c r="Q2990" t="s">
        <v>19900</v>
      </c>
      <c r="R2990" t="s">
        <v>19447</v>
      </c>
      <c r="S2990" t="s">
        <v>19447</v>
      </c>
      <c r="T2990" t="s">
        <v>19903</v>
      </c>
    </row>
    <row r="2991" spans="2:20" x14ac:dyDescent="0.25">
      <c r="B2991" t="s">
        <v>2709</v>
      </c>
      <c r="C2991">
        <v>29321310</v>
      </c>
      <c r="E2991">
        <v>68.819999999999993</v>
      </c>
      <c r="F2991">
        <v>0</v>
      </c>
      <c r="G2991">
        <v>0</v>
      </c>
      <c r="H2991" t="s">
        <v>19447</v>
      </c>
      <c r="I2991" t="s">
        <v>19447</v>
      </c>
      <c r="J2991">
        <v>12</v>
      </c>
      <c r="L2991" t="s">
        <v>2709</v>
      </c>
      <c r="M2991">
        <v>29321310</v>
      </c>
      <c r="O2991" t="s">
        <v>20028</v>
      </c>
      <c r="P2991" t="s">
        <v>19900</v>
      </c>
      <c r="Q2991" t="s">
        <v>19900</v>
      </c>
      <c r="R2991" t="s">
        <v>19447</v>
      </c>
      <c r="S2991" t="s">
        <v>19447</v>
      </c>
      <c r="T2991" t="s">
        <v>19903</v>
      </c>
    </row>
    <row r="2992" spans="2:20" x14ac:dyDescent="0.25">
      <c r="B2992" t="s">
        <v>2709</v>
      </c>
      <c r="C2992">
        <v>29321320</v>
      </c>
      <c r="E2992">
        <v>68.819999999999993</v>
      </c>
      <c r="F2992">
        <v>0</v>
      </c>
      <c r="G2992">
        <v>0</v>
      </c>
      <c r="H2992" t="s">
        <v>19447</v>
      </c>
      <c r="I2992" t="s">
        <v>19447</v>
      </c>
      <c r="J2992">
        <v>2</v>
      </c>
      <c r="L2992" t="s">
        <v>2709</v>
      </c>
      <c r="M2992">
        <v>29321320</v>
      </c>
      <c r="O2992" t="s">
        <v>20028</v>
      </c>
      <c r="P2992" t="s">
        <v>19900</v>
      </c>
      <c r="Q2992" t="s">
        <v>19900</v>
      </c>
      <c r="R2992" t="s">
        <v>19447</v>
      </c>
      <c r="S2992" t="s">
        <v>19447</v>
      </c>
      <c r="T2992" t="s">
        <v>19901</v>
      </c>
    </row>
    <row r="2993" spans="2:20" x14ac:dyDescent="0.25">
      <c r="B2993" t="s">
        <v>2709</v>
      </c>
      <c r="C2993">
        <v>29321910</v>
      </c>
      <c r="E2993">
        <v>68.819999999999993</v>
      </c>
      <c r="F2993">
        <v>0</v>
      </c>
      <c r="G2993">
        <v>0</v>
      </c>
      <c r="H2993" t="s">
        <v>19447</v>
      </c>
      <c r="I2993" t="s">
        <v>19447</v>
      </c>
      <c r="J2993">
        <v>2</v>
      </c>
      <c r="L2993" t="s">
        <v>2709</v>
      </c>
      <c r="M2993">
        <v>29321910</v>
      </c>
      <c r="O2993" t="s">
        <v>20028</v>
      </c>
      <c r="P2993" t="s">
        <v>19900</v>
      </c>
      <c r="Q2993" t="s">
        <v>19900</v>
      </c>
      <c r="R2993" t="s">
        <v>19447</v>
      </c>
      <c r="S2993" t="s">
        <v>19447</v>
      </c>
      <c r="T2993" t="s">
        <v>19901</v>
      </c>
    </row>
    <row r="2994" spans="2:20" x14ac:dyDescent="0.25">
      <c r="B2994" t="s">
        <v>2709</v>
      </c>
      <c r="C2994">
        <v>29321920</v>
      </c>
      <c r="E2994">
        <v>68.819999999999993</v>
      </c>
      <c r="F2994">
        <v>0</v>
      </c>
      <c r="G2994">
        <v>0</v>
      </c>
      <c r="H2994" t="s">
        <v>19447</v>
      </c>
      <c r="I2994" t="s">
        <v>19447</v>
      </c>
      <c r="J2994">
        <v>2</v>
      </c>
      <c r="L2994" t="s">
        <v>2709</v>
      </c>
      <c r="M2994">
        <v>29321920</v>
      </c>
      <c r="O2994" t="s">
        <v>20028</v>
      </c>
      <c r="P2994" t="s">
        <v>19900</v>
      </c>
      <c r="Q2994" t="s">
        <v>19900</v>
      </c>
      <c r="R2994" t="s">
        <v>19447</v>
      </c>
      <c r="S2994" t="s">
        <v>19447</v>
      </c>
      <c r="T2994" t="s">
        <v>19901</v>
      </c>
    </row>
    <row r="2995" spans="2:20" x14ac:dyDescent="0.25">
      <c r="B2995" t="s">
        <v>2709</v>
      </c>
      <c r="C2995">
        <v>29321930</v>
      </c>
      <c r="E2995">
        <v>68.819999999999993</v>
      </c>
      <c r="F2995">
        <v>0</v>
      </c>
      <c r="G2995">
        <v>0</v>
      </c>
      <c r="H2995" t="s">
        <v>19447</v>
      </c>
      <c r="I2995" t="s">
        <v>19447</v>
      </c>
      <c r="J2995">
        <v>14</v>
      </c>
      <c r="L2995" t="s">
        <v>2709</v>
      </c>
      <c r="M2995">
        <v>29321930</v>
      </c>
      <c r="O2995" t="s">
        <v>20028</v>
      </c>
      <c r="P2995" t="s">
        <v>19900</v>
      </c>
      <c r="Q2995" t="s">
        <v>19900</v>
      </c>
      <c r="R2995" t="s">
        <v>19447</v>
      </c>
      <c r="S2995" t="s">
        <v>19447</v>
      </c>
      <c r="T2995" t="s">
        <v>19911</v>
      </c>
    </row>
    <row r="2996" spans="2:20" x14ac:dyDescent="0.25">
      <c r="B2996" t="s">
        <v>2709</v>
      </c>
      <c r="C2996">
        <v>29321940</v>
      </c>
      <c r="E2996">
        <v>68.819999999999993</v>
      </c>
      <c r="F2996">
        <v>0</v>
      </c>
      <c r="G2996">
        <v>0</v>
      </c>
      <c r="H2996" t="s">
        <v>19447</v>
      </c>
      <c r="I2996" t="s">
        <v>19447</v>
      </c>
      <c r="J2996">
        <v>12</v>
      </c>
      <c r="L2996" t="s">
        <v>2709</v>
      </c>
      <c r="M2996">
        <v>29321940</v>
      </c>
      <c r="O2996" t="s">
        <v>20028</v>
      </c>
      <c r="P2996" t="s">
        <v>19900</v>
      </c>
      <c r="Q2996" t="s">
        <v>19900</v>
      </c>
      <c r="R2996" t="s">
        <v>19447</v>
      </c>
      <c r="S2996" t="s">
        <v>19447</v>
      </c>
      <c r="T2996" t="s">
        <v>19903</v>
      </c>
    </row>
    <row r="2997" spans="2:20" x14ac:dyDescent="0.25">
      <c r="B2997" t="s">
        <v>2709</v>
      </c>
      <c r="C2997">
        <v>29321950</v>
      </c>
      <c r="E2997">
        <v>68.819999999999993</v>
      </c>
      <c r="F2997">
        <v>0</v>
      </c>
      <c r="G2997">
        <v>0</v>
      </c>
      <c r="H2997" t="s">
        <v>19447</v>
      </c>
      <c r="I2997" t="s">
        <v>19447</v>
      </c>
      <c r="J2997">
        <v>12</v>
      </c>
      <c r="L2997" t="s">
        <v>2709</v>
      </c>
      <c r="M2997">
        <v>29321950</v>
      </c>
      <c r="O2997" t="s">
        <v>20028</v>
      </c>
      <c r="P2997" t="s">
        <v>19900</v>
      </c>
      <c r="Q2997" t="s">
        <v>19900</v>
      </c>
      <c r="R2997" t="s">
        <v>19447</v>
      </c>
      <c r="S2997" t="s">
        <v>19447</v>
      </c>
      <c r="T2997" t="s">
        <v>19903</v>
      </c>
    </row>
    <row r="2998" spans="2:20" x14ac:dyDescent="0.25">
      <c r="B2998" t="s">
        <v>2709</v>
      </c>
      <c r="C2998">
        <v>29321990</v>
      </c>
      <c r="E2998">
        <v>68.819999999999993</v>
      </c>
      <c r="F2998">
        <v>0</v>
      </c>
      <c r="G2998">
        <v>0</v>
      </c>
      <c r="H2998" t="s">
        <v>19447</v>
      </c>
      <c r="I2998" t="s">
        <v>19447</v>
      </c>
      <c r="J2998">
        <v>2</v>
      </c>
      <c r="L2998" t="s">
        <v>2709</v>
      </c>
      <c r="M2998">
        <v>29321990</v>
      </c>
      <c r="O2998" t="s">
        <v>20028</v>
      </c>
      <c r="P2998" t="s">
        <v>19900</v>
      </c>
      <c r="Q2998" t="s">
        <v>19900</v>
      </c>
      <c r="R2998" t="s">
        <v>19447</v>
      </c>
      <c r="S2998" t="s">
        <v>19447</v>
      </c>
      <c r="T2998" t="s">
        <v>19901</v>
      </c>
    </row>
    <row r="2999" spans="2:20" x14ac:dyDescent="0.25">
      <c r="B2999" t="s">
        <v>2709</v>
      </c>
      <c r="C2999">
        <v>29322000</v>
      </c>
      <c r="E2999">
        <v>68.819999999999993</v>
      </c>
      <c r="F2999">
        <v>0</v>
      </c>
      <c r="G2999">
        <v>0</v>
      </c>
      <c r="H2999" t="s">
        <v>19447</v>
      </c>
      <c r="I2999" t="s">
        <v>19447</v>
      </c>
      <c r="J2999">
        <v>2</v>
      </c>
      <c r="L2999" t="s">
        <v>2709</v>
      </c>
      <c r="M2999">
        <v>29322000</v>
      </c>
      <c r="O2999" t="s">
        <v>20028</v>
      </c>
      <c r="P2999" t="s">
        <v>19900</v>
      </c>
      <c r="Q2999" t="s">
        <v>19900</v>
      </c>
      <c r="R2999" t="s">
        <v>19447</v>
      </c>
      <c r="S2999" t="s">
        <v>19447</v>
      </c>
      <c r="T2999" t="s">
        <v>19901</v>
      </c>
    </row>
    <row r="3000" spans="2:20" x14ac:dyDescent="0.25">
      <c r="B3000" t="s">
        <v>2709</v>
      </c>
      <c r="C3000">
        <v>29329100</v>
      </c>
      <c r="E3000">
        <v>68.819999999999993</v>
      </c>
      <c r="F3000">
        <v>0</v>
      </c>
      <c r="G3000">
        <v>0</v>
      </c>
      <c r="H3000" t="s">
        <v>19447</v>
      </c>
      <c r="I3000" t="s">
        <v>19447</v>
      </c>
      <c r="J3000">
        <v>2</v>
      </c>
      <c r="L3000" t="s">
        <v>2709</v>
      </c>
      <c r="M3000">
        <v>29329100</v>
      </c>
      <c r="O3000" t="s">
        <v>20028</v>
      </c>
      <c r="P3000" t="s">
        <v>19900</v>
      </c>
      <c r="Q3000" t="s">
        <v>19900</v>
      </c>
      <c r="R3000" t="s">
        <v>19447</v>
      </c>
      <c r="S3000" t="s">
        <v>19447</v>
      </c>
      <c r="T3000" t="s">
        <v>19901</v>
      </c>
    </row>
    <row r="3001" spans="2:20" x14ac:dyDescent="0.25">
      <c r="B3001" t="s">
        <v>2709</v>
      </c>
      <c r="C3001">
        <v>29329200</v>
      </c>
      <c r="E3001">
        <v>68.819999999999993</v>
      </c>
      <c r="F3001">
        <v>0</v>
      </c>
      <c r="G3001">
        <v>0</v>
      </c>
      <c r="H3001" t="s">
        <v>19447</v>
      </c>
      <c r="I3001" t="s">
        <v>19447</v>
      </c>
      <c r="J3001">
        <v>2</v>
      </c>
      <c r="L3001" t="s">
        <v>2709</v>
      </c>
      <c r="M3001">
        <v>29329200</v>
      </c>
      <c r="O3001" t="s">
        <v>20028</v>
      </c>
      <c r="P3001" t="s">
        <v>19900</v>
      </c>
      <c r="Q3001" t="s">
        <v>19900</v>
      </c>
      <c r="R3001" t="s">
        <v>19447</v>
      </c>
      <c r="S3001" t="s">
        <v>19447</v>
      </c>
      <c r="T3001" t="s">
        <v>19901</v>
      </c>
    </row>
    <row r="3002" spans="2:20" x14ac:dyDescent="0.25">
      <c r="B3002" t="s">
        <v>2709</v>
      </c>
      <c r="C3002">
        <v>29329300</v>
      </c>
      <c r="E3002">
        <v>68.819999999999993</v>
      </c>
      <c r="F3002">
        <v>0</v>
      </c>
      <c r="G3002">
        <v>0</v>
      </c>
      <c r="H3002" t="s">
        <v>19447</v>
      </c>
      <c r="I3002" t="s">
        <v>19447</v>
      </c>
      <c r="J3002">
        <v>12</v>
      </c>
      <c r="L3002" t="s">
        <v>2709</v>
      </c>
      <c r="M3002">
        <v>29329300</v>
      </c>
      <c r="O3002" t="s">
        <v>20028</v>
      </c>
      <c r="P3002" t="s">
        <v>19900</v>
      </c>
      <c r="Q3002" t="s">
        <v>19900</v>
      </c>
      <c r="R3002" t="s">
        <v>19447</v>
      </c>
      <c r="S3002" t="s">
        <v>19447</v>
      </c>
      <c r="T3002" t="s">
        <v>19903</v>
      </c>
    </row>
    <row r="3003" spans="2:20" x14ac:dyDescent="0.25">
      <c r="B3003" t="s">
        <v>2709</v>
      </c>
      <c r="C3003">
        <v>29329400</v>
      </c>
      <c r="E3003">
        <v>68.819999999999993</v>
      </c>
      <c r="F3003">
        <v>0</v>
      </c>
      <c r="G3003">
        <v>0</v>
      </c>
      <c r="H3003" t="s">
        <v>19447</v>
      </c>
      <c r="I3003" t="s">
        <v>19447</v>
      </c>
      <c r="J3003">
        <v>2</v>
      </c>
      <c r="L3003" t="s">
        <v>2709</v>
      </c>
      <c r="M3003">
        <v>29329400</v>
      </c>
      <c r="O3003" t="s">
        <v>20028</v>
      </c>
      <c r="P3003" t="s">
        <v>19900</v>
      </c>
      <c r="Q3003" t="s">
        <v>19900</v>
      </c>
      <c r="R3003" t="s">
        <v>19447</v>
      </c>
      <c r="S3003" t="s">
        <v>19447</v>
      </c>
      <c r="T3003" t="s">
        <v>19901</v>
      </c>
    </row>
    <row r="3004" spans="2:20" x14ac:dyDescent="0.25">
      <c r="B3004" t="s">
        <v>2709</v>
      </c>
      <c r="C3004">
        <v>29329500</v>
      </c>
      <c r="E3004">
        <v>68.819999999999993</v>
      </c>
      <c r="F3004">
        <v>0</v>
      </c>
      <c r="G3004">
        <v>0</v>
      </c>
      <c r="H3004" t="s">
        <v>19447</v>
      </c>
      <c r="I3004" t="s">
        <v>19447</v>
      </c>
      <c r="J3004">
        <v>2</v>
      </c>
      <c r="L3004" t="s">
        <v>2709</v>
      </c>
      <c r="M3004">
        <v>29329500</v>
      </c>
      <c r="O3004" t="s">
        <v>20028</v>
      </c>
      <c r="P3004" t="s">
        <v>19900</v>
      </c>
      <c r="Q3004" t="s">
        <v>19900</v>
      </c>
      <c r="R3004" t="s">
        <v>19447</v>
      </c>
      <c r="S3004" t="s">
        <v>19447</v>
      </c>
      <c r="T3004" t="s">
        <v>19901</v>
      </c>
    </row>
    <row r="3005" spans="2:20" x14ac:dyDescent="0.25">
      <c r="B3005" t="s">
        <v>2709</v>
      </c>
      <c r="C3005">
        <v>29329911</v>
      </c>
      <c r="E3005">
        <v>68.819999999999993</v>
      </c>
      <c r="F3005">
        <v>0</v>
      </c>
      <c r="G3005">
        <v>0</v>
      </c>
      <c r="H3005" t="s">
        <v>19447</v>
      </c>
      <c r="I3005" t="s">
        <v>19447</v>
      </c>
      <c r="J3005">
        <v>12</v>
      </c>
      <c r="L3005" t="s">
        <v>2709</v>
      </c>
      <c r="M3005">
        <v>29329911</v>
      </c>
      <c r="O3005" t="s">
        <v>20028</v>
      </c>
      <c r="P3005" t="s">
        <v>19900</v>
      </c>
      <c r="Q3005" t="s">
        <v>19900</v>
      </c>
      <c r="R3005" t="s">
        <v>19447</v>
      </c>
      <c r="S3005" t="s">
        <v>19447</v>
      </c>
      <c r="T3005" t="s">
        <v>19903</v>
      </c>
    </row>
    <row r="3006" spans="2:20" x14ac:dyDescent="0.25">
      <c r="B3006" t="s">
        <v>2709</v>
      </c>
      <c r="C3006">
        <v>29329912</v>
      </c>
      <c r="E3006">
        <v>68.819999999999993</v>
      </c>
      <c r="F3006">
        <v>0</v>
      </c>
      <c r="G3006">
        <v>0</v>
      </c>
      <c r="H3006" t="s">
        <v>19447</v>
      </c>
      <c r="I3006" t="s">
        <v>19447</v>
      </c>
      <c r="J3006">
        <v>14</v>
      </c>
      <c r="L3006" t="s">
        <v>2709</v>
      </c>
      <c r="M3006">
        <v>29329912</v>
      </c>
      <c r="O3006" t="s">
        <v>20028</v>
      </c>
      <c r="P3006" t="s">
        <v>19900</v>
      </c>
      <c r="Q3006" t="s">
        <v>19900</v>
      </c>
      <c r="R3006" t="s">
        <v>19447</v>
      </c>
      <c r="S3006" t="s">
        <v>19447</v>
      </c>
      <c r="T3006" t="s">
        <v>19911</v>
      </c>
    </row>
    <row r="3007" spans="2:20" x14ac:dyDescent="0.25">
      <c r="B3007" t="s">
        <v>2709</v>
      </c>
      <c r="C3007">
        <v>29329913</v>
      </c>
      <c r="E3007">
        <v>68.819999999999993</v>
      </c>
      <c r="F3007">
        <v>0</v>
      </c>
      <c r="G3007">
        <v>0</v>
      </c>
      <c r="H3007" t="s">
        <v>19447</v>
      </c>
      <c r="I3007" t="s">
        <v>19447</v>
      </c>
      <c r="J3007">
        <v>2</v>
      </c>
      <c r="L3007" t="s">
        <v>2709</v>
      </c>
      <c r="M3007">
        <v>29329913</v>
      </c>
      <c r="O3007" t="s">
        <v>20028</v>
      </c>
      <c r="P3007" t="s">
        <v>19900</v>
      </c>
      <c r="Q3007" t="s">
        <v>19900</v>
      </c>
      <c r="R3007" t="s">
        <v>19447</v>
      </c>
      <c r="S3007" t="s">
        <v>19447</v>
      </c>
      <c r="T3007" t="s">
        <v>19901</v>
      </c>
    </row>
    <row r="3008" spans="2:20" x14ac:dyDescent="0.25">
      <c r="B3008" t="s">
        <v>2709</v>
      </c>
      <c r="C3008">
        <v>29329914</v>
      </c>
      <c r="E3008">
        <v>68.819999999999993</v>
      </c>
      <c r="F3008">
        <v>0</v>
      </c>
      <c r="G3008">
        <v>0</v>
      </c>
      <c r="H3008" t="s">
        <v>19447</v>
      </c>
      <c r="I3008" t="s">
        <v>19447</v>
      </c>
      <c r="J3008">
        <v>2</v>
      </c>
      <c r="L3008" t="s">
        <v>2709</v>
      </c>
      <c r="M3008">
        <v>29329914</v>
      </c>
      <c r="O3008" t="s">
        <v>20028</v>
      </c>
      <c r="P3008" t="s">
        <v>19900</v>
      </c>
      <c r="Q3008" t="s">
        <v>19900</v>
      </c>
      <c r="R3008" t="s">
        <v>19447</v>
      </c>
      <c r="S3008" t="s">
        <v>19447</v>
      </c>
      <c r="T3008" t="s">
        <v>19901</v>
      </c>
    </row>
    <row r="3009" spans="2:20" x14ac:dyDescent="0.25">
      <c r="B3009" t="s">
        <v>2709</v>
      </c>
      <c r="C3009">
        <v>29329991</v>
      </c>
      <c r="E3009">
        <v>68.819999999999993</v>
      </c>
      <c r="F3009">
        <v>0</v>
      </c>
      <c r="G3009">
        <v>0</v>
      </c>
      <c r="H3009" t="s">
        <v>19447</v>
      </c>
      <c r="I3009" t="s">
        <v>19447</v>
      </c>
      <c r="J3009">
        <v>14</v>
      </c>
      <c r="L3009" t="s">
        <v>2709</v>
      </c>
      <c r="M3009">
        <v>29329991</v>
      </c>
      <c r="O3009" t="s">
        <v>20028</v>
      </c>
      <c r="P3009" t="s">
        <v>19900</v>
      </c>
      <c r="Q3009" t="s">
        <v>19900</v>
      </c>
      <c r="R3009" t="s">
        <v>19447</v>
      </c>
      <c r="S3009" t="s">
        <v>19447</v>
      </c>
      <c r="T3009" t="s">
        <v>19911</v>
      </c>
    </row>
    <row r="3010" spans="2:20" x14ac:dyDescent="0.25">
      <c r="B3010" t="s">
        <v>2709</v>
      </c>
      <c r="C3010">
        <v>29329992</v>
      </c>
      <c r="E3010">
        <v>68.819999999999993</v>
      </c>
      <c r="F3010">
        <v>0</v>
      </c>
      <c r="G3010">
        <v>0</v>
      </c>
      <c r="H3010" t="s">
        <v>19447</v>
      </c>
      <c r="I3010" t="s">
        <v>19447</v>
      </c>
      <c r="J3010">
        <v>12</v>
      </c>
      <c r="L3010" t="s">
        <v>2709</v>
      </c>
      <c r="M3010">
        <v>29329992</v>
      </c>
      <c r="O3010" t="s">
        <v>20028</v>
      </c>
      <c r="P3010" t="s">
        <v>19900</v>
      </c>
      <c r="Q3010" t="s">
        <v>19900</v>
      </c>
      <c r="R3010" t="s">
        <v>19447</v>
      </c>
      <c r="S3010" t="s">
        <v>19447</v>
      </c>
      <c r="T3010" t="s">
        <v>19903</v>
      </c>
    </row>
    <row r="3011" spans="2:20" x14ac:dyDescent="0.25">
      <c r="B3011" t="s">
        <v>2709</v>
      </c>
      <c r="C3011">
        <v>29329993</v>
      </c>
      <c r="E3011">
        <v>68.819999999999993</v>
      </c>
      <c r="F3011">
        <v>0</v>
      </c>
      <c r="G3011">
        <v>0</v>
      </c>
      <c r="H3011" t="s">
        <v>19447</v>
      </c>
      <c r="I3011" t="s">
        <v>19447</v>
      </c>
      <c r="J3011">
        <v>14</v>
      </c>
      <c r="L3011" t="s">
        <v>2709</v>
      </c>
      <c r="M3011">
        <v>29329993</v>
      </c>
      <c r="O3011" t="s">
        <v>20028</v>
      </c>
      <c r="P3011" t="s">
        <v>19900</v>
      </c>
      <c r="Q3011" t="s">
        <v>19900</v>
      </c>
      <c r="R3011" t="s">
        <v>19447</v>
      </c>
      <c r="S3011" t="s">
        <v>19447</v>
      </c>
      <c r="T3011" t="s">
        <v>19911</v>
      </c>
    </row>
    <row r="3012" spans="2:20" x14ac:dyDescent="0.25">
      <c r="B3012" t="s">
        <v>2709</v>
      </c>
      <c r="C3012">
        <v>29329994</v>
      </c>
      <c r="E3012">
        <v>68.819999999999993</v>
      </c>
      <c r="F3012">
        <v>0</v>
      </c>
      <c r="G3012">
        <v>0</v>
      </c>
      <c r="H3012" t="s">
        <v>19447</v>
      </c>
      <c r="I3012" t="s">
        <v>19447</v>
      </c>
      <c r="J3012">
        <v>2</v>
      </c>
      <c r="L3012" t="s">
        <v>2709</v>
      </c>
      <c r="M3012">
        <v>29329994</v>
      </c>
      <c r="O3012" t="s">
        <v>20028</v>
      </c>
      <c r="P3012" t="s">
        <v>19900</v>
      </c>
      <c r="Q3012" t="s">
        <v>19900</v>
      </c>
      <c r="R3012" t="s">
        <v>19447</v>
      </c>
      <c r="S3012" t="s">
        <v>19447</v>
      </c>
      <c r="T3012" t="s">
        <v>19901</v>
      </c>
    </row>
    <row r="3013" spans="2:20" x14ac:dyDescent="0.25">
      <c r="B3013" t="s">
        <v>2709</v>
      </c>
      <c r="C3013">
        <v>29329999</v>
      </c>
      <c r="E3013">
        <v>68.819999999999993</v>
      </c>
      <c r="F3013">
        <v>0</v>
      </c>
      <c r="G3013">
        <v>0</v>
      </c>
      <c r="H3013" t="s">
        <v>19447</v>
      </c>
      <c r="I3013" t="s">
        <v>19447</v>
      </c>
      <c r="J3013">
        <v>2</v>
      </c>
      <c r="L3013" t="s">
        <v>2709</v>
      </c>
      <c r="M3013">
        <v>29329999</v>
      </c>
      <c r="O3013" t="s">
        <v>20028</v>
      </c>
      <c r="P3013" t="s">
        <v>19900</v>
      </c>
      <c r="Q3013" t="s">
        <v>19900</v>
      </c>
      <c r="R3013" t="s">
        <v>19447</v>
      </c>
      <c r="S3013" t="s">
        <v>19447</v>
      </c>
      <c r="T3013" t="s">
        <v>19901</v>
      </c>
    </row>
    <row r="3014" spans="2:20" x14ac:dyDescent="0.25">
      <c r="B3014" t="s">
        <v>2709</v>
      </c>
      <c r="C3014">
        <v>29331111</v>
      </c>
      <c r="E3014">
        <v>68.819999999999993</v>
      </c>
      <c r="F3014">
        <v>0</v>
      </c>
      <c r="G3014">
        <v>0</v>
      </c>
      <c r="H3014" t="s">
        <v>19447</v>
      </c>
      <c r="I3014" t="s">
        <v>19447</v>
      </c>
      <c r="J3014">
        <v>2</v>
      </c>
      <c r="L3014" t="s">
        <v>2709</v>
      </c>
      <c r="M3014">
        <v>29331111</v>
      </c>
      <c r="O3014" t="s">
        <v>20028</v>
      </c>
      <c r="P3014" t="s">
        <v>19900</v>
      </c>
      <c r="Q3014" t="s">
        <v>19900</v>
      </c>
      <c r="R3014" t="s">
        <v>19447</v>
      </c>
      <c r="S3014" t="s">
        <v>19447</v>
      </c>
      <c r="T3014" t="s">
        <v>19901</v>
      </c>
    </row>
    <row r="3015" spans="2:20" x14ac:dyDescent="0.25">
      <c r="B3015" t="s">
        <v>2709</v>
      </c>
      <c r="C3015">
        <v>29331112</v>
      </c>
      <c r="E3015">
        <v>68.819999999999993</v>
      </c>
      <c r="F3015">
        <v>0</v>
      </c>
      <c r="G3015">
        <v>0</v>
      </c>
      <c r="H3015" t="s">
        <v>19447</v>
      </c>
      <c r="I3015" t="s">
        <v>19447</v>
      </c>
      <c r="J3015">
        <v>2</v>
      </c>
      <c r="L3015" t="s">
        <v>2709</v>
      </c>
      <c r="M3015">
        <v>29331112</v>
      </c>
      <c r="O3015" t="s">
        <v>20028</v>
      </c>
      <c r="P3015" t="s">
        <v>19900</v>
      </c>
      <c r="Q3015" t="s">
        <v>19900</v>
      </c>
      <c r="R3015" t="s">
        <v>19447</v>
      </c>
      <c r="S3015" t="s">
        <v>19447</v>
      </c>
      <c r="T3015" t="s">
        <v>19901</v>
      </c>
    </row>
    <row r="3016" spans="2:20" x14ac:dyDescent="0.25">
      <c r="B3016" t="s">
        <v>2709</v>
      </c>
      <c r="C3016">
        <v>29331119</v>
      </c>
      <c r="E3016">
        <v>68.819999999999993</v>
      </c>
      <c r="F3016">
        <v>0</v>
      </c>
      <c r="G3016">
        <v>0</v>
      </c>
      <c r="H3016" t="s">
        <v>19447</v>
      </c>
      <c r="I3016" t="s">
        <v>19447</v>
      </c>
      <c r="J3016">
        <v>2</v>
      </c>
      <c r="L3016" t="s">
        <v>2709</v>
      </c>
      <c r="M3016">
        <v>29331119</v>
      </c>
      <c r="O3016" t="s">
        <v>20028</v>
      </c>
      <c r="P3016" t="s">
        <v>19900</v>
      </c>
      <c r="Q3016" t="s">
        <v>19900</v>
      </c>
      <c r="R3016" t="s">
        <v>19447</v>
      </c>
      <c r="S3016" t="s">
        <v>19447</v>
      </c>
      <c r="T3016" t="s">
        <v>19901</v>
      </c>
    </row>
    <row r="3017" spans="2:20" x14ac:dyDescent="0.25">
      <c r="B3017" t="s">
        <v>2709</v>
      </c>
      <c r="C3017">
        <v>29331120</v>
      </c>
      <c r="E3017">
        <v>68.819999999999993</v>
      </c>
      <c r="F3017">
        <v>0</v>
      </c>
      <c r="G3017">
        <v>0</v>
      </c>
      <c r="H3017" t="s">
        <v>19447</v>
      </c>
      <c r="I3017" t="s">
        <v>19447</v>
      </c>
      <c r="J3017">
        <v>2</v>
      </c>
      <c r="L3017" t="s">
        <v>2709</v>
      </c>
      <c r="M3017">
        <v>29331120</v>
      </c>
      <c r="O3017" t="s">
        <v>20028</v>
      </c>
      <c r="P3017" t="s">
        <v>19900</v>
      </c>
      <c r="Q3017" t="s">
        <v>19900</v>
      </c>
      <c r="R3017" t="s">
        <v>19447</v>
      </c>
      <c r="S3017" t="s">
        <v>19447</v>
      </c>
      <c r="T3017" t="s">
        <v>19901</v>
      </c>
    </row>
    <row r="3018" spans="2:20" x14ac:dyDescent="0.25">
      <c r="B3018" t="s">
        <v>2709</v>
      </c>
      <c r="C3018">
        <v>29331190</v>
      </c>
      <c r="E3018">
        <v>68.819999999999993</v>
      </c>
      <c r="F3018">
        <v>0</v>
      </c>
      <c r="G3018">
        <v>0</v>
      </c>
      <c r="H3018" t="s">
        <v>19447</v>
      </c>
      <c r="I3018" t="s">
        <v>19447</v>
      </c>
      <c r="J3018">
        <v>2</v>
      </c>
      <c r="L3018" t="s">
        <v>2709</v>
      </c>
      <c r="M3018">
        <v>29331190</v>
      </c>
      <c r="O3018" t="s">
        <v>20028</v>
      </c>
      <c r="P3018" t="s">
        <v>19900</v>
      </c>
      <c r="Q3018" t="s">
        <v>19900</v>
      </c>
      <c r="R3018" t="s">
        <v>19447</v>
      </c>
      <c r="S3018" t="s">
        <v>19447</v>
      </c>
      <c r="T3018" t="s">
        <v>19901</v>
      </c>
    </row>
    <row r="3019" spans="2:20" x14ac:dyDescent="0.25">
      <c r="B3019" t="s">
        <v>2709</v>
      </c>
      <c r="C3019">
        <v>29331911</v>
      </c>
      <c r="E3019">
        <v>68.819999999999993</v>
      </c>
      <c r="F3019">
        <v>0</v>
      </c>
      <c r="G3019">
        <v>0</v>
      </c>
      <c r="H3019" t="s">
        <v>19447</v>
      </c>
      <c r="I3019" t="s">
        <v>19447</v>
      </c>
      <c r="J3019">
        <v>2</v>
      </c>
      <c r="L3019" t="s">
        <v>2709</v>
      </c>
      <c r="M3019">
        <v>29331911</v>
      </c>
      <c r="O3019" t="s">
        <v>20028</v>
      </c>
      <c r="P3019" t="s">
        <v>19900</v>
      </c>
      <c r="Q3019" t="s">
        <v>19900</v>
      </c>
      <c r="R3019" t="s">
        <v>19447</v>
      </c>
      <c r="S3019" t="s">
        <v>19447</v>
      </c>
      <c r="T3019" t="s">
        <v>19901</v>
      </c>
    </row>
    <row r="3020" spans="2:20" x14ac:dyDescent="0.25">
      <c r="B3020" t="s">
        <v>2709</v>
      </c>
      <c r="C3020">
        <v>29331919</v>
      </c>
      <c r="E3020">
        <v>68.819999999999993</v>
      </c>
      <c r="F3020">
        <v>0</v>
      </c>
      <c r="G3020">
        <v>0</v>
      </c>
      <c r="H3020" t="s">
        <v>19447</v>
      </c>
      <c r="I3020" t="s">
        <v>19447</v>
      </c>
      <c r="J3020">
        <v>2</v>
      </c>
      <c r="L3020" t="s">
        <v>2709</v>
      </c>
      <c r="M3020">
        <v>29331919</v>
      </c>
      <c r="O3020" t="s">
        <v>20028</v>
      </c>
      <c r="P3020" t="s">
        <v>19900</v>
      </c>
      <c r="Q3020" t="s">
        <v>19900</v>
      </c>
      <c r="R3020" t="s">
        <v>19447</v>
      </c>
      <c r="S3020" t="s">
        <v>19447</v>
      </c>
      <c r="T3020" t="s">
        <v>19901</v>
      </c>
    </row>
    <row r="3021" spans="2:20" x14ac:dyDescent="0.25">
      <c r="B3021" t="s">
        <v>2709</v>
      </c>
      <c r="C3021">
        <v>29331990</v>
      </c>
      <c r="E3021">
        <v>68.819999999999993</v>
      </c>
      <c r="F3021">
        <v>0</v>
      </c>
      <c r="G3021">
        <v>0</v>
      </c>
      <c r="H3021" t="s">
        <v>19447</v>
      </c>
      <c r="I3021" t="s">
        <v>19447</v>
      </c>
      <c r="J3021">
        <v>2</v>
      </c>
      <c r="L3021" t="s">
        <v>2709</v>
      </c>
      <c r="M3021">
        <v>29331990</v>
      </c>
      <c r="O3021" t="s">
        <v>20028</v>
      </c>
      <c r="P3021" t="s">
        <v>19900</v>
      </c>
      <c r="Q3021" t="s">
        <v>19900</v>
      </c>
      <c r="R3021" t="s">
        <v>19447</v>
      </c>
      <c r="S3021" t="s">
        <v>19447</v>
      </c>
      <c r="T3021" t="s">
        <v>19901</v>
      </c>
    </row>
    <row r="3022" spans="2:20" x14ac:dyDescent="0.25">
      <c r="B3022" t="s">
        <v>2709</v>
      </c>
      <c r="C3022">
        <v>29332110</v>
      </c>
      <c r="E3022">
        <v>68.819999999999993</v>
      </c>
      <c r="F3022">
        <v>0</v>
      </c>
      <c r="G3022">
        <v>0</v>
      </c>
      <c r="H3022" t="s">
        <v>19447</v>
      </c>
      <c r="I3022" t="s">
        <v>19447</v>
      </c>
      <c r="J3022">
        <v>2</v>
      </c>
      <c r="L3022" t="s">
        <v>2709</v>
      </c>
      <c r="M3022">
        <v>29332110</v>
      </c>
      <c r="O3022" t="s">
        <v>20028</v>
      </c>
      <c r="P3022" t="s">
        <v>19900</v>
      </c>
      <c r="Q3022" t="s">
        <v>19900</v>
      </c>
      <c r="R3022" t="s">
        <v>19447</v>
      </c>
      <c r="S3022" t="s">
        <v>19447</v>
      </c>
      <c r="T3022" t="s">
        <v>19901</v>
      </c>
    </row>
    <row r="3023" spans="2:20" x14ac:dyDescent="0.25">
      <c r="B3023" t="s">
        <v>2709</v>
      </c>
      <c r="C3023">
        <v>29332121</v>
      </c>
      <c r="E3023">
        <v>68.819999999999993</v>
      </c>
      <c r="F3023">
        <v>0</v>
      </c>
      <c r="G3023">
        <v>0</v>
      </c>
      <c r="H3023" t="s">
        <v>19447</v>
      </c>
      <c r="I3023" t="s">
        <v>19447</v>
      </c>
      <c r="J3023">
        <v>14</v>
      </c>
      <c r="L3023" t="s">
        <v>2709</v>
      </c>
      <c r="M3023">
        <v>29332121</v>
      </c>
      <c r="O3023" t="s">
        <v>20028</v>
      </c>
      <c r="P3023" t="s">
        <v>19900</v>
      </c>
      <c r="Q3023" t="s">
        <v>19900</v>
      </c>
      <c r="R3023" t="s">
        <v>19447</v>
      </c>
      <c r="S3023" t="s">
        <v>19447</v>
      </c>
      <c r="T3023" t="s">
        <v>19911</v>
      </c>
    </row>
    <row r="3024" spans="2:20" x14ac:dyDescent="0.25">
      <c r="B3024" t="s">
        <v>2709</v>
      </c>
      <c r="C3024">
        <v>29332129</v>
      </c>
      <c r="E3024">
        <v>68.819999999999993</v>
      </c>
      <c r="F3024">
        <v>0</v>
      </c>
      <c r="G3024">
        <v>0</v>
      </c>
      <c r="H3024" t="s">
        <v>19447</v>
      </c>
      <c r="I3024" t="s">
        <v>19447</v>
      </c>
      <c r="J3024">
        <v>2</v>
      </c>
      <c r="L3024" t="s">
        <v>2709</v>
      </c>
      <c r="M3024">
        <v>29332129</v>
      </c>
      <c r="O3024" t="s">
        <v>20028</v>
      </c>
      <c r="P3024" t="s">
        <v>19900</v>
      </c>
      <c r="Q3024" t="s">
        <v>19900</v>
      </c>
      <c r="R3024" t="s">
        <v>19447</v>
      </c>
      <c r="S3024" t="s">
        <v>19447</v>
      </c>
      <c r="T3024" t="s">
        <v>19901</v>
      </c>
    </row>
    <row r="3025" spans="2:20" x14ac:dyDescent="0.25">
      <c r="B3025" t="s">
        <v>2709</v>
      </c>
      <c r="C3025">
        <v>29332190</v>
      </c>
      <c r="E3025">
        <v>68.819999999999993</v>
      </c>
      <c r="F3025">
        <v>0</v>
      </c>
      <c r="G3025">
        <v>0</v>
      </c>
      <c r="H3025" t="s">
        <v>19447</v>
      </c>
      <c r="I3025" t="s">
        <v>19447</v>
      </c>
      <c r="J3025">
        <v>2</v>
      </c>
      <c r="L3025" t="s">
        <v>2709</v>
      </c>
      <c r="M3025">
        <v>29332190</v>
      </c>
      <c r="O3025" t="s">
        <v>20028</v>
      </c>
      <c r="P3025" t="s">
        <v>19900</v>
      </c>
      <c r="Q3025" t="s">
        <v>19900</v>
      </c>
      <c r="R3025" t="s">
        <v>19447</v>
      </c>
      <c r="S3025" t="s">
        <v>19447</v>
      </c>
      <c r="T3025" t="s">
        <v>19901</v>
      </c>
    </row>
    <row r="3026" spans="2:20" x14ac:dyDescent="0.25">
      <c r="B3026" t="s">
        <v>2709</v>
      </c>
      <c r="C3026">
        <v>29332911</v>
      </c>
      <c r="E3026">
        <v>68.819999999999993</v>
      </c>
      <c r="F3026">
        <v>0</v>
      </c>
      <c r="G3026">
        <v>0</v>
      </c>
      <c r="H3026" t="s">
        <v>19447</v>
      </c>
      <c r="I3026" t="s">
        <v>19447</v>
      </c>
      <c r="J3026">
        <v>2</v>
      </c>
      <c r="L3026" t="s">
        <v>2709</v>
      </c>
      <c r="M3026">
        <v>29332911</v>
      </c>
      <c r="O3026" t="s">
        <v>20028</v>
      </c>
      <c r="P3026" t="s">
        <v>19900</v>
      </c>
      <c r="Q3026" t="s">
        <v>19900</v>
      </c>
      <c r="R3026" t="s">
        <v>19447</v>
      </c>
      <c r="S3026" t="s">
        <v>19447</v>
      </c>
      <c r="T3026" t="s">
        <v>19901</v>
      </c>
    </row>
    <row r="3027" spans="2:20" x14ac:dyDescent="0.25">
      <c r="B3027" t="s">
        <v>2709</v>
      </c>
      <c r="C3027">
        <v>29332912</v>
      </c>
      <c r="E3027">
        <v>68.819999999999993</v>
      </c>
      <c r="F3027">
        <v>0</v>
      </c>
      <c r="G3027">
        <v>0</v>
      </c>
      <c r="H3027" t="s">
        <v>19447</v>
      </c>
      <c r="I3027" t="s">
        <v>19447</v>
      </c>
      <c r="J3027">
        <v>14</v>
      </c>
      <c r="L3027" t="s">
        <v>2709</v>
      </c>
      <c r="M3027">
        <v>29332912</v>
      </c>
      <c r="O3027" t="s">
        <v>20028</v>
      </c>
      <c r="P3027" t="s">
        <v>19900</v>
      </c>
      <c r="Q3027" t="s">
        <v>19900</v>
      </c>
      <c r="R3027" t="s">
        <v>19447</v>
      </c>
      <c r="S3027" t="s">
        <v>19447</v>
      </c>
      <c r="T3027" t="s">
        <v>19911</v>
      </c>
    </row>
    <row r="3028" spans="2:20" x14ac:dyDescent="0.25">
      <c r="B3028" t="s">
        <v>2709</v>
      </c>
      <c r="C3028">
        <v>29332913</v>
      </c>
      <c r="E3028">
        <v>68.819999999999993</v>
      </c>
      <c r="F3028">
        <v>0</v>
      </c>
      <c r="G3028">
        <v>0</v>
      </c>
      <c r="H3028" t="s">
        <v>19447</v>
      </c>
      <c r="I3028" t="s">
        <v>19447</v>
      </c>
      <c r="J3028">
        <v>14</v>
      </c>
      <c r="L3028" t="s">
        <v>2709</v>
      </c>
      <c r="M3028">
        <v>29332913</v>
      </c>
      <c r="O3028" t="s">
        <v>20028</v>
      </c>
      <c r="P3028" t="s">
        <v>19900</v>
      </c>
      <c r="Q3028" t="s">
        <v>19900</v>
      </c>
      <c r="R3028" t="s">
        <v>19447</v>
      </c>
      <c r="S3028" t="s">
        <v>19447</v>
      </c>
      <c r="T3028" t="s">
        <v>19911</v>
      </c>
    </row>
    <row r="3029" spans="2:20" x14ac:dyDescent="0.25">
      <c r="B3029" t="s">
        <v>2709</v>
      </c>
      <c r="C3029">
        <v>29332919</v>
      </c>
      <c r="E3029">
        <v>68.819999999999993</v>
      </c>
      <c r="F3029">
        <v>0</v>
      </c>
      <c r="G3029">
        <v>0</v>
      </c>
      <c r="H3029" t="s">
        <v>19447</v>
      </c>
      <c r="I3029" t="s">
        <v>19447</v>
      </c>
      <c r="J3029">
        <v>2</v>
      </c>
      <c r="L3029" t="s">
        <v>2709</v>
      </c>
      <c r="M3029">
        <v>29332919</v>
      </c>
      <c r="O3029" t="s">
        <v>20028</v>
      </c>
      <c r="P3029" t="s">
        <v>19900</v>
      </c>
      <c r="Q3029" t="s">
        <v>19900</v>
      </c>
      <c r="R3029" t="s">
        <v>19447</v>
      </c>
      <c r="S3029" t="s">
        <v>19447</v>
      </c>
      <c r="T3029" t="s">
        <v>19901</v>
      </c>
    </row>
    <row r="3030" spans="2:20" x14ac:dyDescent="0.25">
      <c r="B3030" t="s">
        <v>2709</v>
      </c>
      <c r="C3030">
        <v>29332921</v>
      </c>
      <c r="E3030">
        <v>68.819999999999993</v>
      </c>
      <c r="F3030">
        <v>0</v>
      </c>
      <c r="G3030">
        <v>0</v>
      </c>
      <c r="H3030" t="s">
        <v>19447</v>
      </c>
      <c r="I3030" t="s">
        <v>19447</v>
      </c>
      <c r="J3030">
        <v>14</v>
      </c>
      <c r="L3030" t="s">
        <v>2709</v>
      </c>
      <c r="M3030">
        <v>29332921</v>
      </c>
      <c r="O3030" t="s">
        <v>20028</v>
      </c>
      <c r="P3030" t="s">
        <v>19900</v>
      </c>
      <c r="Q3030" t="s">
        <v>19900</v>
      </c>
      <c r="R3030" t="s">
        <v>19447</v>
      </c>
      <c r="S3030" t="s">
        <v>19447</v>
      </c>
      <c r="T3030" t="s">
        <v>19911</v>
      </c>
    </row>
    <row r="3031" spans="2:20" x14ac:dyDescent="0.25">
      <c r="B3031" t="s">
        <v>2709</v>
      </c>
      <c r="C3031">
        <v>29332922</v>
      </c>
      <c r="E3031">
        <v>68.819999999999993</v>
      </c>
      <c r="F3031">
        <v>0</v>
      </c>
      <c r="G3031">
        <v>0</v>
      </c>
      <c r="H3031" t="s">
        <v>19447</v>
      </c>
      <c r="I3031" t="s">
        <v>19447</v>
      </c>
      <c r="J3031">
        <v>14</v>
      </c>
      <c r="L3031" t="s">
        <v>2709</v>
      </c>
      <c r="M3031">
        <v>29332922</v>
      </c>
      <c r="O3031" t="s">
        <v>20028</v>
      </c>
      <c r="P3031" t="s">
        <v>19900</v>
      </c>
      <c r="Q3031" t="s">
        <v>19900</v>
      </c>
      <c r="R3031" t="s">
        <v>19447</v>
      </c>
      <c r="S3031" t="s">
        <v>19447</v>
      </c>
      <c r="T3031" t="s">
        <v>19911</v>
      </c>
    </row>
    <row r="3032" spans="2:20" x14ac:dyDescent="0.25">
      <c r="B3032" t="s">
        <v>2709</v>
      </c>
      <c r="C3032">
        <v>29332923</v>
      </c>
      <c r="E3032">
        <v>68.819999999999993</v>
      </c>
      <c r="F3032">
        <v>0</v>
      </c>
      <c r="G3032">
        <v>0</v>
      </c>
      <c r="H3032" t="s">
        <v>19447</v>
      </c>
      <c r="I3032" t="s">
        <v>19447</v>
      </c>
      <c r="J3032">
        <v>2</v>
      </c>
      <c r="L3032" t="s">
        <v>2709</v>
      </c>
      <c r="M3032">
        <v>29332923</v>
      </c>
      <c r="O3032" t="s">
        <v>20028</v>
      </c>
      <c r="P3032" t="s">
        <v>19900</v>
      </c>
      <c r="Q3032" t="s">
        <v>19900</v>
      </c>
      <c r="R3032" t="s">
        <v>19447</v>
      </c>
      <c r="S3032" t="s">
        <v>19447</v>
      </c>
      <c r="T3032" t="s">
        <v>19901</v>
      </c>
    </row>
    <row r="3033" spans="2:20" x14ac:dyDescent="0.25">
      <c r="B3033" t="s">
        <v>2709</v>
      </c>
      <c r="C3033">
        <v>29332924</v>
      </c>
      <c r="E3033">
        <v>68.819999999999993</v>
      </c>
      <c r="F3033">
        <v>0</v>
      </c>
      <c r="G3033">
        <v>0</v>
      </c>
      <c r="H3033" t="s">
        <v>19447</v>
      </c>
      <c r="I3033" t="s">
        <v>19447</v>
      </c>
      <c r="J3033">
        <v>2</v>
      </c>
      <c r="L3033" t="s">
        <v>2709</v>
      </c>
      <c r="M3033">
        <v>29332924</v>
      </c>
      <c r="O3033" t="s">
        <v>20028</v>
      </c>
      <c r="P3033" t="s">
        <v>19900</v>
      </c>
      <c r="Q3033" t="s">
        <v>19900</v>
      </c>
      <c r="R3033" t="s">
        <v>19447</v>
      </c>
      <c r="S3033" t="s">
        <v>19447</v>
      </c>
      <c r="T3033" t="s">
        <v>19901</v>
      </c>
    </row>
    <row r="3034" spans="2:20" x14ac:dyDescent="0.25">
      <c r="B3034" t="s">
        <v>2709</v>
      </c>
      <c r="C3034">
        <v>29332925</v>
      </c>
      <c r="E3034">
        <v>68.819999999999993</v>
      </c>
      <c r="F3034">
        <v>0</v>
      </c>
      <c r="G3034">
        <v>0</v>
      </c>
      <c r="H3034" t="s">
        <v>19447</v>
      </c>
      <c r="I3034" t="s">
        <v>19447</v>
      </c>
      <c r="J3034">
        <v>2</v>
      </c>
      <c r="L3034" t="s">
        <v>2709</v>
      </c>
      <c r="M3034">
        <v>29332925</v>
      </c>
      <c r="O3034" t="s">
        <v>20028</v>
      </c>
      <c r="P3034" t="s">
        <v>19900</v>
      </c>
      <c r="Q3034" t="s">
        <v>19900</v>
      </c>
      <c r="R3034" t="s">
        <v>19447</v>
      </c>
      <c r="S3034" t="s">
        <v>19447</v>
      </c>
      <c r="T3034" t="s">
        <v>19901</v>
      </c>
    </row>
    <row r="3035" spans="2:20" x14ac:dyDescent="0.25">
      <c r="B3035" t="s">
        <v>2709</v>
      </c>
      <c r="C3035">
        <v>29332929</v>
      </c>
      <c r="E3035">
        <v>68.819999999999993</v>
      </c>
      <c r="F3035">
        <v>0</v>
      </c>
      <c r="G3035">
        <v>0</v>
      </c>
      <c r="H3035" t="s">
        <v>19447</v>
      </c>
      <c r="I3035" t="s">
        <v>19447</v>
      </c>
      <c r="J3035">
        <v>2</v>
      </c>
      <c r="L3035" t="s">
        <v>2709</v>
      </c>
      <c r="M3035">
        <v>29332929</v>
      </c>
      <c r="O3035" t="s">
        <v>20028</v>
      </c>
      <c r="P3035" t="s">
        <v>19900</v>
      </c>
      <c r="Q3035" t="s">
        <v>19900</v>
      </c>
      <c r="R3035" t="s">
        <v>19447</v>
      </c>
      <c r="S3035" t="s">
        <v>19447</v>
      </c>
      <c r="T3035" t="s">
        <v>19901</v>
      </c>
    </row>
    <row r="3036" spans="2:20" x14ac:dyDescent="0.25">
      <c r="B3036" t="s">
        <v>2709</v>
      </c>
      <c r="C3036">
        <v>29332930</v>
      </c>
      <c r="E3036">
        <v>68.819999999999993</v>
      </c>
      <c r="F3036">
        <v>0</v>
      </c>
      <c r="G3036">
        <v>0</v>
      </c>
      <c r="H3036" t="s">
        <v>19447</v>
      </c>
      <c r="I3036" t="s">
        <v>19447</v>
      </c>
      <c r="J3036">
        <v>2</v>
      </c>
      <c r="L3036" t="s">
        <v>2709</v>
      </c>
      <c r="M3036">
        <v>29332930</v>
      </c>
      <c r="O3036" t="s">
        <v>20028</v>
      </c>
      <c r="P3036" t="s">
        <v>19900</v>
      </c>
      <c r="Q3036" t="s">
        <v>19900</v>
      </c>
      <c r="R3036" t="s">
        <v>19447</v>
      </c>
      <c r="S3036" t="s">
        <v>19447</v>
      </c>
      <c r="T3036" t="s">
        <v>19901</v>
      </c>
    </row>
    <row r="3037" spans="2:20" x14ac:dyDescent="0.25">
      <c r="B3037" t="s">
        <v>2709</v>
      </c>
      <c r="C3037">
        <v>29332940</v>
      </c>
      <c r="E3037">
        <v>68.819999999999993</v>
      </c>
      <c r="F3037">
        <v>0</v>
      </c>
      <c r="G3037">
        <v>0</v>
      </c>
      <c r="H3037" t="s">
        <v>19447</v>
      </c>
      <c r="I3037" t="s">
        <v>19447</v>
      </c>
      <c r="J3037">
        <v>12</v>
      </c>
      <c r="L3037" t="s">
        <v>2709</v>
      </c>
      <c r="M3037">
        <v>29332940</v>
      </c>
      <c r="O3037" t="s">
        <v>20028</v>
      </c>
      <c r="P3037" t="s">
        <v>19900</v>
      </c>
      <c r="Q3037" t="s">
        <v>19900</v>
      </c>
      <c r="R3037" t="s">
        <v>19447</v>
      </c>
      <c r="S3037" t="s">
        <v>19447</v>
      </c>
      <c r="T3037" t="s">
        <v>19903</v>
      </c>
    </row>
    <row r="3038" spans="2:20" x14ac:dyDescent="0.25">
      <c r="B3038" t="s">
        <v>2709</v>
      </c>
      <c r="C3038">
        <v>29332991</v>
      </c>
      <c r="E3038">
        <v>68.819999999999993</v>
      </c>
      <c r="F3038">
        <v>0</v>
      </c>
      <c r="G3038">
        <v>0</v>
      </c>
      <c r="H3038" t="s">
        <v>19447</v>
      </c>
      <c r="I3038" t="s">
        <v>19447</v>
      </c>
      <c r="J3038">
        <v>2</v>
      </c>
      <c r="L3038" t="s">
        <v>2709</v>
      </c>
      <c r="M3038">
        <v>29332991</v>
      </c>
      <c r="O3038" t="s">
        <v>20028</v>
      </c>
      <c r="P3038" t="s">
        <v>19900</v>
      </c>
      <c r="Q3038" t="s">
        <v>19900</v>
      </c>
      <c r="R3038" t="s">
        <v>19447</v>
      </c>
      <c r="S3038" t="s">
        <v>19447</v>
      </c>
      <c r="T3038" t="s">
        <v>19901</v>
      </c>
    </row>
    <row r="3039" spans="2:20" x14ac:dyDescent="0.25">
      <c r="B3039" t="s">
        <v>2709</v>
      </c>
      <c r="C3039">
        <v>29332992</v>
      </c>
      <c r="E3039">
        <v>68.819999999999993</v>
      </c>
      <c r="F3039">
        <v>0</v>
      </c>
      <c r="G3039">
        <v>0</v>
      </c>
      <c r="H3039" t="s">
        <v>19447</v>
      </c>
      <c r="I3039" t="s">
        <v>19447</v>
      </c>
      <c r="J3039">
        <v>2</v>
      </c>
      <c r="L3039" t="s">
        <v>2709</v>
      </c>
      <c r="M3039">
        <v>29332992</v>
      </c>
      <c r="O3039" t="s">
        <v>20028</v>
      </c>
      <c r="P3039" t="s">
        <v>19900</v>
      </c>
      <c r="Q3039" t="s">
        <v>19900</v>
      </c>
      <c r="R3039" t="s">
        <v>19447</v>
      </c>
      <c r="S3039" t="s">
        <v>19447</v>
      </c>
      <c r="T3039" t="s">
        <v>19901</v>
      </c>
    </row>
    <row r="3040" spans="2:20" x14ac:dyDescent="0.25">
      <c r="B3040" t="s">
        <v>2709</v>
      </c>
      <c r="C3040">
        <v>29332993</v>
      </c>
      <c r="E3040">
        <v>68.819999999999993</v>
      </c>
      <c r="F3040">
        <v>0</v>
      </c>
      <c r="G3040">
        <v>0</v>
      </c>
      <c r="H3040" t="s">
        <v>19447</v>
      </c>
      <c r="I3040" t="s">
        <v>19447</v>
      </c>
      <c r="J3040">
        <v>2</v>
      </c>
      <c r="L3040" t="s">
        <v>2709</v>
      </c>
      <c r="M3040">
        <v>29332993</v>
      </c>
      <c r="O3040" t="s">
        <v>20028</v>
      </c>
      <c r="P3040" t="s">
        <v>19900</v>
      </c>
      <c r="Q3040" t="s">
        <v>19900</v>
      </c>
      <c r="R3040" t="s">
        <v>19447</v>
      </c>
      <c r="S3040" t="s">
        <v>19447</v>
      </c>
      <c r="T3040" t="s">
        <v>19901</v>
      </c>
    </row>
    <row r="3041" spans="2:20" x14ac:dyDescent="0.25">
      <c r="B3041" t="s">
        <v>2709</v>
      </c>
      <c r="C3041">
        <v>29332994</v>
      </c>
      <c r="E3041">
        <v>68.819999999999993</v>
      </c>
      <c r="F3041">
        <v>0</v>
      </c>
      <c r="G3041">
        <v>0</v>
      </c>
      <c r="H3041" t="s">
        <v>19447</v>
      </c>
      <c r="I3041" t="s">
        <v>19447</v>
      </c>
      <c r="J3041">
        <v>12</v>
      </c>
      <c r="L3041" t="s">
        <v>2709</v>
      </c>
      <c r="M3041">
        <v>29332994</v>
      </c>
      <c r="O3041" t="s">
        <v>20028</v>
      </c>
      <c r="P3041" t="s">
        <v>19900</v>
      </c>
      <c r="Q3041" t="s">
        <v>19900</v>
      </c>
      <c r="R3041" t="s">
        <v>19447</v>
      </c>
      <c r="S3041" t="s">
        <v>19447</v>
      </c>
      <c r="T3041" t="s">
        <v>19903</v>
      </c>
    </row>
    <row r="3042" spans="2:20" x14ac:dyDescent="0.25">
      <c r="B3042" t="s">
        <v>2709</v>
      </c>
      <c r="C3042">
        <v>29332995</v>
      </c>
      <c r="E3042">
        <v>68.819999999999993</v>
      </c>
      <c r="F3042">
        <v>0</v>
      </c>
      <c r="G3042">
        <v>0</v>
      </c>
      <c r="H3042" t="s">
        <v>19447</v>
      </c>
      <c r="I3042" t="s">
        <v>19447</v>
      </c>
      <c r="J3042">
        <v>12</v>
      </c>
      <c r="L3042" t="s">
        <v>2709</v>
      </c>
      <c r="M3042">
        <v>29332995</v>
      </c>
      <c r="O3042" t="s">
        <v>20028</v>
      </c>
      <c r="P3042" t="s">
        <v>19900</v>
      </c>
      <c r="Q3042" t="s">
        <v>19900</v>
      </c>
      <c r="R3042" t="s">
        <v>19447</v>
      </c>
      <c r="S3042" t="s">
        <v>19447</v>
      </c>
      <c r="T3042" t="s">
        <v>19903</v>
      </c>
    </row>
    <row r="3043" spans="2:20" x14ac:dyDescent="0.25">
      <c r="B3043" t="s">
        <v>2709</v>
      </c>
      <c r="C3043">
        <v>29332999</v>
      </c>
      <c r="E3043">
        <v>68.819999999999993</v>
      </c>
      <c r="F3043">
        <v>0</v>
      </c>
      <c r="G3043">
        <v>0</v>
      </c>
      <c r="H3043" t="s">
        <v>19447</v>
      </c>
      <c r="I3043" t="s">
        <v>19447</v>
      </c>
      <c r="J3043">
        <v>2</v>
      </c>
      <c r="L3043" t="s">
        <v>2709</v>
      </c>
      <c r="M3043">
        <v>29332999</v>
      </c>
      <c r="O3043" t="s">
        <v>20028</v>
      </c>
      <c r="P3043" t="s">
        <v>19900</v>
      </c>
      <c r="Q3043" t="s">
        <v>19900</v>
      </c>
      <c r="R3043" t="s">
        <v>19447</v>
      </c>
      <c r="S3043" t="s">
        <v>19447</v>
      </c>
      <c r="T3043" t="s">
        <v>19901</v>
      </c>
    </row>
    <row r="3044" spans="2:20" x14ac:dyDescent="0.25">
      <c r="B3044" t="s">
        <v>2709</v>
      </c>
      <c r="C3044">
        <v>29333110</v>
      </c>
      <c r="E3044">
        <v>68.819999999999993</v>
      </c>
      <c r="F3044">
        <v>0</v>
      </c>
      <c r="G3044">
        <v>0</v>
      </c>
      <c r="H3044" t="s">
        <v>19447</v>
      </c>
      <c r="I3044" t="s">
        <v>19447</v>
      </c>
      <c r="J3044">
        <v>2</v>
      </c>
      <c r="L3044" t="s">
        <v>2709</v>
      </c>
      <c r="M3044">
        <v>29333110</v>
      </c>
      <c r="O3044" t="s">
        <v>20028</v>
      </c>
      <c r="P3044" t="s">
        <v>19900</v>
      </c>
      <c r="Q3044" t="s">
        <v>19900</v>
      </c>
      <c r="R3044" t="s">
        <v>19447</v>
      </c>
      <c r="S3044" t="s">
        <v>19447</v>
      </c>
      <c r="T3044" t="s">
        <v>19901</v>
      </c>
    </row>
    <row r="3045" spans="2:20" x14ac:dyDescent="0.25">
      <c r="B3045" t="s">
        <v>2709</v>
      </c>
      <c r="C3045">
        <v>29333120</v>
      </c>
      <c r="E3045">
        <v>68.819999999999993</v>
      </c>
      <c r="F3045">
        <v>0</v>
      </c>
      <c r="G3045">
        <v>0</v>
      </c>
      <c r="H3045" t="s">
        <v>19447</v>
      </c>
      <c r="I3045" t="s">
        <v>19447</v>
      </c>
      <c r="J3045">
        <v>2</v>
      </c>
      <c r="L3045" t="s">
        <v>2709</v>
      </c>
      <c r="M3045">
        <v>29333120</v>
      </c>
      <c r="O3045" t="s">
        <v>20028</v>
      </c>
      <c r="P3045" t="s">
        <v>19900</v>
      </c>
      <c r="Q3045" t="s">
        <v>19900</v>
      </c>
      <c r="R3045" t="s">
        <v>19447</v>
      </c>
      <c r="S3045" t="s">
        <v>19447</v>
      </c>
      <c r="T3045" t="s">
        <v>19901</v>
      </c>
    </row>
    <row r="3046" spans="2:20" x14ac:dyDescent="0.25">
      <c r="B3046" t="s">
        <v>2709</v>
      </c>
      <c r="C3046">
        <v>29333200</v>
      </c>
      <c r="E3046">
        <v>68.819999999999993</v>
      </c>
      <c r="F3046">
        <v>0</v>
      </c>
      <c r="G3046">
        <v>0</v>
      </c>
      <c r="H3046" t="s">
        <v>19447</v>
      </c>
      <c r="I3046" t="s">
        <v>19447</v>
      </c>
      <c r="J3046">
        <v>2</v>
      </c>
      <c r="L3046" t="s">
        <v>2709</v>
      </c>
      <c r="M3046">
        <v>29333200</v>
      </c>
      <c r="O3046" t="s">
        <v>20028</v>
      </c>
      <c r="P3046" t="s">
        <v>19900</v>
      </c>
      <c r="Q3046" t="s">
        <v>19900</v>
      </c>
      <c r="R3046" t="s">
        <v>19447</v>
      </c>
      <c r="S3046" t="s">
        <v>19447</v>
      </c>
      <c r="T3046" t="s">
        <v>19901</v>
      </c>
    </row>
    <row r="3047" spans="2:20" x14ac:dyDescent="0.25">
      <c r="B3047" t="s">
        <v>2709</v>
      </c>
      <c r="C3047">
        <v>29333311</v>
      </c>
      <c r="E3047">
        <v>68.819999999999993</v>
      </c>
      <c r="F3047">
        <v>0</v>
      </c>
      <c r="G3047">
        <v>0</v>
      </c>
      <c r="H3047" t="s">
        <v>19447</v>
      </c>
      <c r="I3047" t="s">
        <v>19447</v>
      </c>
      <c r="J3047">
        <v>2</v>
      </c>
      <c r="L3047" t="s">
        <v>2709</v>
      </c>
      <c r="M3047">
        <v>29333311</v>
      </c>
      <c r="O3047" t="s">
        <v>20028</v>
      </c>
      <c r="P3047" t="s">
        <v>19900</v>
      </c>
      <c r="Q3047" t="s">
        <v>19900</v>
      </c>
      <c r="R3047" t="s">
        <v>19447</v>
      </c>
      <c r="S3047" t="s">
        <v>19447</v>
      </c>
      <c r="T3047" t="s">
        <v>19901</v>
      </c>
    </row>
    <row r="3048" spans="2:20" x14ac:dyDescent="0.25">
      <c r="B3048" t="s">
        <v>2709</v>
      </c>
      <c r="C3048">
        <v>29333312</v>
      </c>
      <c r="E3048">
        <v>68.819999999999993</v>
      </c>
      <c r="F3048">
        <v>0</v>
      </c>
      <c r="G3048">
        <v>0</v>
      </c>
      <c r="H3048" t="s">
        <v>19447</v>
      </c>
      <c r="I3048" t="s">
        <v>19447</v>
      </c>
      <c r="J3048">
        <v>2</v>
      </c>
      <c r="L3048" t="s">
        <v>2709</v>
      </c>
      <c r="M3048">
        <v>29333312</v>
      </c>
      <c r="O3048" t="s">
        <v>20028</v>
      </c>
      <c r="P3048" t="s">
        <v>19900</v>
      </c>
      <c r="Q3048" t="s">
        <v>19900</v>
      </c>
      <c r="R3048" t="s">
        <v>19447</v>
      </c>
      <c r="S3048" t="s">
        <v>19447</v>
      </c>
      <c r="T3048" t="s">
        <v>19901</v>
      </c>
    </row>
    <row r="3049" spans="2:20" x14ac:dyDescent="0.25">
      <c r="B3049" t="s">
        <v>2709</v>
      </c>
      <c r="C3049">
        <v>29333319</v>
      </c>
      <c r="E3049">
        <v>68.819999999999993</v>
      </c>
      <c r="F3049">
        <v>0</v>
      </c>
      <c r="G3049">
        <v>0</v>
      </c>
      <c r="H3049" t="s">
        <v>19447</v>
      </c>
      <c r="I3049" t="s">
        <v>19447</v>
      </c>
      <c r="J3049">
        <v>2</v>
      </c>
      <c r="L3049" t="s">
        <v>2709</v>
      </c>
      <c r="M3049">
        <v>29333319</v>
      </c>
      <c r="O3049" t="s">
        <v>20028</v>
      </c>
      <c r="P3049" t="s">
        <v>19900</v>
      </c>
      <c r="Q3049" t="s">
        <v>19900</v>
      </c>
      <c r="R3049" t="s">
        <v>19447</v>
      </c>
      <c r="S3049" t="s">
        <v>19447</v>
      </c>
      <c r="T3049" t="s">
        <v>19901</v>
      </c>
    </row>
    <row r="3050" spans="2:20" x14ac:dyDescent="0.25">
      <c r="B3050" t="s">
        <v>2709</v>
      </c>
      <c r="C3050">
        <v>29333321</v>
      </c>
      <c r="E3050">
        <v>68.819999999999993</v>
      </c>
      <c r="F3050">
        <v>0</v>
      </c>
      <c r="G3050">
        <v>0</v>
      </c>
      <c r="H3050" t="s">
        <v>19447</v>
      </c>
      <c r="I3050" t="s">
        <v>19447</v>
      </c>
      <c r="J3050">
        <v>2</v>
      </c>
      <c r="L3050" t="s">
        <v>2709</v>
      </c>
      <c r="M3050">
        <v>29333321</v>
      </c>
      <c r="O3050" t="s">
        <v>20028</v>
      </c>
      <c r="P3050" t="s">
        <v>19900</v>
      </c>
      <c r="Q3050" t="s">
        <v>19900</v>
      </c>
      <c r="R3050" t="s">
        <v>19447</v>
      </c>
      <c r="S3050" t="s">
        <v>19447</v>
      </c>
      <c r="T3050" t="s">
        <v>19901</v>
      </c>
    </row>
    <row r="3051" spans="2:20" x14ac:dyDescent="0.25">
      <c r="B3051" t="s">
        <v>2709</v>
      </c>
      <c r="C3051">
        <v>29333322</v>
      </c>
      <c r="E3051">
        <v>68.819999999999993</v>
      </c>
      <c r="F3051">
        <v>0</v>
      </c>
      <c r="G3051">
        <v>0</v>
      </c>
      <c r="H3051" t="s">
        <v>19447</v>
      </c>
      <c r="I3051" t="s">
        <v>19447</v>
      </c>
      <c r="J3051">
        <v>12</v>
      </c>
      <c r="L3051" t="s">
        <v>2709</v>
      </c>
      <c r="M3051">
        <v>29333322</v>
      </c>
      <c r="O3051" t="s">
        <v>20028</v>
      </c>
      <c r="P3051" t="s">
        <v>19900</v>
      </c>
      <c r="Q3051" t="s">
        <v>19900</v>
      </c>
      <c r="R3051" t="s">
        <v>19447</v>
      </c>
      <c r="S3051" t="s">
        <v>19447</v>
      </c>
      <c r="T3051" t="s">
        <v>19903</v>
      </c>
    </row>
    <row r="3052" spans="2:20" x14ac:dyDescent="0.25">
      <c r="B3052" t="s">
        <v>2709</v>
      </c>
      <c r="C3052">
        <v>29333329</v>
      </c>
      <c r="E3052">
        <v>68.819999999999993</v>
      </c>
      <c r="F3052">
        <v>0</v>
      </c>
      <c r="G3052">
        <v>0</v>
      </c>
      <c r="H3052" t="s">
        <v>19447</v>
      </c>
      <c r="I3052" t="s">
        <v>19447</v>
      </c>
      <c r="J3052">
        <v>2</v>
      </c>
      <c r="L3052" t="s">
        <v>2709</v>
      </c>
      <c r="M3052">
        <v>29333329</v>
      </c>
      <c r="O3052" t="s">
        <v>20028</v>
      </c>
      <c r="P3052" t="s">
        <v>19900</v>
      </c>
      <c r="Q3052" t="s">
        <v>19900</v>
      </c>
      <c r="R3052" t="s">
        <v>19447</v>
      </c>
      <c r="S3052" t="s">
        <v>19447</v>
      </c>
      <c r="T3052" t="s">
        <v>19901</v>
      </c>
    </row>
    <row r="3053" spans="2:20" x14ac:dyDescent="0.25">
      <c r="B3053" t="s">
        <v>2709</v>
      </c>
      <c r="C3053">
        <v>29333330</v>
      </c>
      <c r="E3053">
        <v>68.819999999999993</v>
      </c>
      <c r="F3053">
        <v>0</v>
      </c>
      <c r="G3053">
        <v>0</v>
      </c>
      <c r="H3053" t="s">
        <v>19447</v>
      </c>
      <c r="I3053" t="s">
        <v>19447</v>
      </c>
      <c r="J3053">
        <v>2</v>
      </c>
      <c r="L3053" t="s">
        <v>2709</v>
      </c>
      <c r="M3053">
        <v>29333330</v>
      </c>
      <c r="O3053" t="s">
        <v>20028</v>
      </c>
      <c r="P3053" t="s">
        <v>19900</v>
      </c>
      <c r="Q3053" t="s">
        <v>19900</v>
      </c>
      <c r="R3053" t="s">
        <v>19447</v>
      </c>
      <c r="S3053" t="s">
        <v>19447</v>
      </c>
      <c r="T3053" t="s">
        <v>19901</v>
      </c>
    </row>
    <row r="3054" spans="2:20" x14ac:dyDescent="0.25">
      <c r="B3054" t="s">
        <v>2709</v>
      </c>
      <c r="C3054">
        <v>29333341</v>
      </c>
      <c r="E3054">
        <v>68.819999999999993</v>
      </c>
      <c r="F3054">
        <v>0</v>
      </c>
      <c r="G3054">
        <v>0</v>
      </c>
      <c r="H3054" t="s">
        <v>19447</v>
      </c>
      <c r="I3054" t="s">
        <v>19447</v>
      </c>
      <c r="J3054">
        <v>2</v>
      </c>
      <c r="L3054" t="s">
        <v>2709</v>
      </c>
      <c r="M3054">
        <v>29333341</v>
      </c>
      <c r="O3054" t="s">
        <v>20028</v>
      </c>
      <c r="P3054" t="s">
        <v>19900</v>
      </c>
      <c r="Q3054" t="s">
        <v>19900</v>
      </c>
      <c r="R3054" t="s">
        <v>19447</v>
      </c>
      <c r="S3054" t="s">
        <v>19447</v>
      </c>
      <c r="T3054" t="s">
        <v>19901</v>
      </c>
    </row>
    <row r="3055" spans="2:20" x14ac:dyDescent="0.25">
      <c r="B3055" t="s">
        <v>2709</v>
      </c>
      <c r="C3055">
        <v>29333342</v>
      </c>
      <c r="E3055">
        <v>68.819999999999993</v>
      </c>
      <c r="F3055">
        <v>0</v>
      </c>
      <c r="G3055">
        <v>0</v>
      </c>
      <c r="H3055" t="s">
        <v>19447</v>
      </c>
      <c r="I3055" t="s">
        <v>19447</v>
      </c>
      <c r="J3055">
        <v>14</v>
      </c>
      <c r="L3055" t="s">
        <v>2709</v>
      </c>
      <c r="M3055">
        <v>29333342</v>
      </c>
      <c r="O3055" t="s">
        <v>20028</v>
      </c>
      <c r="P3055" t="s">
        <v>19900</v>
      </c>
      <c r="Q3055" t="s">
        <v>19900</v>
      </c>
      <c r="R3055" t="s">
        <v>19447</v>
      </c>
      <c r="S3055" t="s">
        <v>19447</v>
      </c>
      <c r="T3055" t="s">
        <v>19911</v>
      </c>
    </row>
    <row r="3056" spans="2:20" x14ac:dyDescent="0.25">
      <c r="B3056" t="s">
        <v>2709</v>
      </c>
      <c r="C3056">
        <v>29333349</v>
      </c>
      <c r="E3056">
        <v>68.819999999999993</v>
      </c>
      <c r="F3056">
        <v>0</v>
      </c>
      <c r="G3056">
        <v>0</v>
      </c>
      <c r="H3056" t="s">
        <v>19447</v>
      </c>
      <c r="I3056" t="s">
        <v>19447</v>
      </c>
      <c r="J3056">
        <v>2</v>
      </c>
      <c r="L3056" t="s">
        <v>2709</v>
      </c>
      <c r="M3056">
        <v>29333349</v>
      </c>
      <c r="O3056" t="s">
        <v>20028</v>
      </c>
      <c r="P3056" t="s">
        <v>19900</v>
      </c>
      <c r="Q3056" t="s">
        <v>19900</v>
      </c>
      <c r="R3056" t="s">
        <v>19447</v>
      </c>
      <c r="S3056" t="s">
        <v>19447</v>
      </c>
      <c r="T3056" t="s">
        <v>19901</v>
      </c>
    </row>
    <row r="3057" spans="2:20" x14ac:dyDescent="0.25">
      <c r="B3057" t="s">
        <v>2709</v>
      </c>
      <c r="C3057">
        <v>29333351</v>
      </c>
      <c r="E3057">
        <v>68.819999999999993</v>
      </c>
      <c r="F3057">
        <v>0</v>
      </c>
      <c r="G3057">
        <v>0</v>
      </c>
      <c r="H3057" t="s">
        <v>19447</v>
      </c>
      <c r="I3057" t="s">
        <v>19447</v>
      </c>
      <c r="J3057">
        <v>2</v>
      </c>
      <c r="L3057" t="s">
        <v>2709</v>
      </c>
      <c r="M3057">
        <v>29333351</v>
      </c>
      <c r="O3057" t="s">
        <v>20028</v>
      </c>
      <c r="P3057" t="s">
        <v>19900</v>
      </c>
      <c r="Q3057" t="s">
        <v>19900</v>
      </c>
      <c r="R3057" t="s">
        <v>19447</v>
      </c>
      <c r="S3057" t="s">
        <v>19447</v>
      </c>
      <c r="T3057" t="s">
        <v>19901</v>
      </c>
    </row>
    <row r="3058" spans="2:20" x14ac:dyDescent="0.25">
      <c r="B3058" t="s">
        <v>2709</v>
      </c>
      <c r="C3058">
        <v>29333352</v>
      </c>
      <c r="E3058">
        <v>68.819999999999993</v>
      </c>
      <c r="F3058">
        <v>0</v>
      </c>
      <c r="G3058">
        <v>0</v>
      </c>
      <c r="H3058" t="s">
        <v>19447</v>
      </c>
      <c r="I3058" t="s">
        <v>19447</v>
      </c>
      <c r="J3058">
        <v>2</v>
      </c>
      <c r="L3058" t="s">
        <v>2709</v>
      </c>
      <c r="M3058">
        <v>29333352</v>
      </c>
      <c r="O3058" t="s">
        <v>20028</v>
      </c>
      <c r="P3058" t="s">
        <v>19900</v>
      </c>
      <c r="Q3058" t="s">
        <v>19900</v>
      </c>
      <c r="R3058" t="s">
        <v>19447</v>
      </c>
      <c r="S3058" t="s">
        <v>19447</v>
      </c>
      <c r="T3058" t="s">
        <v>19901</v>
      </c>
    </row>
    <row r="3059" spans="2:20" x14ac:dyDescent="0.25">
      <c r="B3059" t="s">
        <v>2709</v>
      </c>
      <c r="C3059">
        <v>29333359</v>
      </c>
      <c r="E3059">
        <v>68.819999999999993</v>
      </c>
      <c r="F3059">
        <v>0</v>
      </c>
      <c r="G3059">
        <v>0</v>
      </c>
      <c r="H3059" t="s">
        <v>19447</v>
      </c>
      <c r="I3059" t="s">
        <v>19447</v>
      </c>
      <c r="J3059">
        <v>2</v>
      </c>
      <c r="L3059" t="s">
        <v>2709</v>
      </c>
      <c r="M3059">
        <v>29333359</v>
      </c>
      <c r="O3059" t="s">
        <v>20028</v>
      </c>
      <c r="P3059" t="s">
        <v>19900</v>
      </c>
      <c r="Q3059" t="s">
        <v>19900</v>
      </c>
      <c r="R3059" t="s">
        <v>19447</v>
      </c>
      <c r="S3059" t="s">
        <v>19447</v>
      </c>
      <c r="T3059" t="s">
        <v>19901</v>
      </c>
    </row>
    <row r="3060" spans="2:20" x14ac:dyDescent="0.25">
      <c r="B3060" t="s">
        <v>2709</v>
      </c>
      <c r="C3060">
        <v>29333361</v>
      </c>
      <c r="E3060">
        <v>68.819999999999993</v>
      </c>
      <c r="F3060">
        <v>0</v>
      </c>
      <c r="G3060">
        <v>0</v>
      </c>
      <c r="H3060" t="s">
        <v>19447</v>
      </c>
      <c r="I3060" t="s">
        <v>19447</v>
      </c>
      <c r="J3060">
        <v>2</v>
      </c>
      <c r="L3060" t="s">
        <v>2709</v>
      </c>
      <c r="M3060">
        <v>29333361</v>
      </c>
      <c r="O3060" t="s">
        <v>20028</v>
      </c>
      <c r="P3060" t="s">
        <v>19900</v>
      </c>
      <c r="Q3060" t="s">
        <v>19900</v>
      </c>
      <c r="R3060" t="s">
        <v>19447</v>
      </c>
      <c r="S3060" t="s">
        <v>19447</v>
      </c>
      <c r="T3060" t="s">
        <v>19901</v>
      </c>
    </row>
    <row r="3061" spans="2:20" x14ac:dyDescent="0.25">
      <c r="B3061" t="s">
        <v>2709</v>
      </c>
      <c r="C3061">
        <v>29333362</v>
      </c>
      <c r="E3061">
        <v>68.819999999999993</v>
      </c>
      <c r="F3061">
        <v>0</v>
      </c>
      <c r="G3061">
        <v>0</v>
      </c>
      <c r="H3061" t="s">
        <v>19447</v>
      </c>
      <c r="I3061" t="s">
        <v>19447</v>
      </c>
      <c r="J3061">
        <v>2</v>
      </c>
      <c r="L3061" t="s">
        <v>2709</v>
      </c>
      <c r="M3061">
        <v>29333362</v>
      </c>
      <c r="O3061" t="s">
        <v>20028</v>
      </c>
      <c r="P3061" t="s">
        <v>19900</v>
      </c>
      <c r="Q3061" t="s">
        <v>19900</v>
      </c>
      <c r="R3061" t="s">
        <v>19447</v>
      </c>
      <c r="S3061" t="s">
        <v>19447</v>
      </c>
      <c r="T3061" t="s">
        <v>19901</v>
      </c>
    </row>
    <row r="3062" spans="2:20" x14ac:dyDescent="0.25">
      <c r="B3062" t="s">
        <v>2709</v>
      </c>
      <c r="C3062">
        <v>29333363</v>
      </c>
      <c r="E3062">
        <v>68.819999999999993</v>
      </c>
      <c r="F3062">
        <v>0</v>
      </c>
      <c r="G3062">
        <v>0</v>
      </c>
      <c r="H3062" t="s">
        <v>19447</v>
      </c>
      <c r="I3062" t="s">
        <v>19447</v>
      </c>
      <c r="J3062">
        <v>2</v>
      </c>
      <c r="L3062" t="s">
        <v>2709</v>
      </c>
      <c r="M3062">
        <v>29333363</v>
      </c>
      <c r="O3062" t="s">
        <v>20028</v>
      </c>
      <c r="P3062" t="s">
        <v>19900</v>
      </c>
      <c r="Q3062" t="s">
        <v>19900</v>
      </c>
      <c r="R3062" t="s">
        <v>19447</v>
      </c>
      <c r="S3062" t="s">
        <v>19447</v>
      </c>
      <c r="T3062" t="s">
        <v>19901</v>
      </c>
    </row>
    <row r="3063" spans="2:20" x14ac:dyDescent="0.25">
      <c r="B3063" t="s">
        <v>2709</v>
      </c>
      <c r="C3063">
        <v>29333369</v>
      </c>
      <c r="E3063">
        <v>68.819999999999993</v>
      </c>
      <c r="F3063">
        <v>0</v>
      </c>
      <c r="G3063">
        <v>0</v>
      </c>
      <c r="H3063" t="s">
        <v>19447</v>
      </c>
      <c r="I3063" t="s">
        <v>19447</v>
      </c>
      <c r="J3063">
        <v>2</v>
      </c>
      <c r="L3063" t="s">
        <v>2709</v>
      </c>
      <c r="M3063">
        <v>29333369</v>
      </c>
      <c r="O3063" t="s">
        <v>20028</v>
      </c>
      <c r="P3063" t="s">
        <v>19900</v>
      </c>
      <c r="Q3063" t="s">
        <v>19900</v>
      </c>
      <c r="R3063" t="s">
        <v>19447</v>
      </c>
      <c r="S3063" t="s">
        <v>19447</v>
      </c>
      <c r="T3063" t="s">
        <v>19901</v>
      </c>
    </row>
    <row r="3064" spans="2:20" x14ac:dyDescent="0.25">
      <c r="B3064" t="s">
        <v>2709</v>
      </c>
      <c r="C3064">
        <v>29333371</v>
      </c>
      <c r="E3064">
        <v>68.819999999999993</v>
      </c>
      <c r="F3064">
        <v>0</v>
      </c>
      <c r="G3064">
        <v>0</v>
      </c>
      <c r="H3064" t="s">
        <v>19447</v>
      </c>
      <c r="I3064" t="s">
        <v>19447</v>
      </c>
      <c r="J3064">
        <v>2</v>
      </c>
      <c r="L3064" t="s">
        <v>2709</v>
      </c>
      <c r="M3064">
        <v>29333371</v>
      </c>
      <c r="O3064" t="s">
        <v>20028</v>
      </c>
      <c r="P3064" t="s">
        <v>19900</v>
      </c>
      <c r="Q3064" t="s">
        <v>19900</v>
      </c>
      <c r="R3064" t="s">
        <v>19447</v>
      </c>
      <c r="S3064" t="s">
        <v>19447</v>
      </c>
      <c r="T3064" t="s">
        <v>19901</v>
      </c>
    </row>
    <row r="3065" spans="2:20" x14ac:dyDescent="0.25">
      <c r="B3065" t="s">
        <v>2709</v>
      </c>
      <c r="C3065">
        <v>29333372</v>
      </c>
      <c r="E3065">
        <v>68.819999999999993</v>
      </c>
      <c r="F3065">
        <v>0</v>
      </c>
      <c r="G3065">
        <v>0</v>
      </c>
      <c r="H3065" t="s">
        <v>19447</v>
      </c>
      <c r="I3065" t="s">
        <v>19447</v>
      </c>
      <c r="J3065">
        <v>2</v>
      </c>
      <c r="L3065" t="s">
        <v>2709</v>
      </c>
      <c r="M3065">
        <v>29333372</v>
      </c>
      <c r="O3065" t="s">
        <v>20028</v>
      </c>
      <c r="P3065" t="s">
        <v>19900</v>
      </c>
      <c r="Q3065" t="s">
        <v>19900</v>
      </c>
      <c r="R3065" t="s">
        <v>19447</v>
      </c>
      <c r="S3065" t="s">
        <v>19447</v>
      </c>
      <c r="T3065" t="s">
        <v>19901</v>
      </c>
    </row>
    <row r="3066" spans="2:20" x14ac:dyDescent="0.25">
      <c r="B3066" t="s">
        <v>2709</v>
      </c>
      <c r="C3066">
        <v>29333379</v>
      </c>
      <c r="E3066">
        <v>68.819999999999993</v>
      </c>
      <c r="F3066">
        <v>0</v>
      </c>
      <c r="G3066">
        <v>0</v>
      </c>
      <c r="H3066" t="s">
        <v>19447</v>
      </c>
      <c r="I3066" t="s">
        <v>19447</v>
      </c>
      <c r="J3066">
        <v>2</v>
      </c>
      <c r="L3066" t="s">
        <v>2709</v>
      </c>
      <c r="M3066">
        <v>29333379</v>
      </c>
      <c r="O3066" t="s">
        <v>20028</v>
      </c>
      <c r="P3066" t="s">
        <v>19900</v>
      </c>
      <c r="Q3066" t="s">
        <v>19900</v>
      </c>
      <c r="R3066" t="s">
        <v>19447</v>
      </c>
      <c r="S3066" t="s">
        <v>19447</v>
      </c>
      <c r="T3066" t="s">
        <v>19901</v>
      </c>
    </row>
    <row r="3067" spans="2:20" x14ac:dyDescent="0.25">
      <c r="B3067" t="s">
        <v>2709</v>
      </c>
      <c r="C3067">
        <v>29333381</v>
      </c>
      <c r="E3067">
        <v>68.819999999999993</v>
      </c>
      <c r="F3067">
        <v>0</v>
      </c>
      <c r="G3067">
        <v>0</v>
      </c>
      <c r="H3067" t="s">
        <v>19447</v>
      </c>
      <c r="I3067" t="s">
        <v>19447</v>
      </c>
      <c r="J3067">
        <v>2</v>
      </c>
      <c r="L3067" t="s">
        <v>2709</v>
      </c>
      <c r="M3067">
        <v>29333381</v>
      </c>
      <c r="O3067" t="s">
        <v>20028</v>
      </c>
      <c r="P3067" t="s">
        <v>19900</v>
      </c>
      <c r="Q3067" t="s">
        <v>19900</v>
      </c>
      <c r="R3067" t="s">
        <v>19447</v>
      </c>
      <c r="S3067" t="s">
        <v>19447</v>
      </c>
      <c r="T3067" t="s">
        <v>19901</v>
      </c>
    </row>
    <row r="3068" spans="2:20" x14ac:dyDescent="0.25">
      <c r="B3068" t="s">
        <v>2709</v>
      </c>
      <c r="C3068">
        <v>29333382</v>
      </c>
      <c r="E3068">
        <v>68.819999999999993</v>
      </c>
      <c r="F3068">
        <v>0</v>
      </c>
      <c r="G3068">
        <v>0</v>
      </c>
      <c r="H3068" t="s">
        <v>19447</v>
      </c>
      <c r="I3068" t="s">
        <v>19447</v>
      </c>
      <c r="J3068">
        <v>2</v>
      </c>
      <c r="L3068" t="s">
        <v>2709</v>
      </c>
      <c r="M3068">
        <v>29333382</v>
      </c>
      <c r="O3068" t="s">
        <v>20028</v>
      </c>
      <c r="P3068" t="s">
        <v>19900</v>
      </c>
      <c r="Q3068" t="s">
        <v>19900</v>
      </c>
      <c r="R3068" t="s">
        <v>19447</v>
      </c>
      <c r="S3068" t="s">
        <v>19447</v>
      </c>
      <c r="T3068" t="s">
        <v>19901</v>
      </c>
    </row>
    <row r="3069" spans="2:20" x14ac:dyDescent="0.25">
      <c r="B3069" t="s">
        <v>2709</v>
      </c>
      <c r="C3069">
        <v>29333383</v>
      </c>
      <c r="E3069">
        <v>68.819999999999993</v>
      </c>
      <c r="F3069">
        <v>0</v>
      </c>
      <c r="G3069">
        <v>0</v>
      </c>
      <c r="H3069" t="s">
        <v>19447</v>
      </c>
      <c r="I3069" t="s">
        <v>19447</v>
      </c>
      <c r="J3069">
        <v>2</v>
      </c>
      <c r="L3069" t="s">
        <v>2709</v>
      </c>
      <c r="M3069">
        <v>29333383</v>
      </c>
      <c r="O3069" t="s">
        <v>20028</v>
      </c>
      <c r="P3069" t="s">
        <v>19900</v>
      </c>
      <c r="Q3069" t="s">
        <v>19900</v>
      </c>
      <c r="R3069" t="s">
        <v>19447</v>
      </c>
      <c r="S3069" t="s">
        <v>19447</v>
      </c>
      <c r="T3069" t="s">
        <v>19901</v>
      </c>
    </row>
    <row r="3070" spans="2:20" x14ac:dyDescent="0.25">
      <c r="B3070" t="s">
        <v>2709</v>
      </c>
      <c r="C3070">
        <v>29333384</v>
      </c>
      <c r="E3070">
        <v>68.819999999999993</v>
      </c>
      <c r="F3070">
        <v>0</v>
      </c>
      <c r="G3070">
        <v>0</v>
      </c>
      <c r="H3070" t="s">
        <v>19447</v>
      </c>
      <c r="I3070" t="s">
        <v>19447</v>
      </c>
      <c r="J3070">
        <v>14</v>
      </c>
      <c r="L3070" t="s">
        <v>2709</v>
      </c>
      <c r="M3070">
        <v>29333384</v>
      </c>
      <c r="O3070" t="s">
        <v>20028</v>
      </c>
      <c r="P3070" t="s">
        <v>19900</v>
      </c>
      <c r="Q3070" t="s">
        <v>19900</v>
      </c>
      <c r="R3070" t="s">
        <v>19447</v>
      </c>
      <c r="S3070" t="s">
        <v>19447</v>
      </c>
      <c r="T3070" t="s">
        <v>19911</v>
      </c>
    </row>
    <row r="3071" spans="2:20" x14ac:dyDescent="0.25">
      <c r="B3071" t="s">
        <v>2709</v>
      </c>
      <c r="C3071">
        <v>29333389</v>
      </c>
      <c r="E3071">
        <v>68.819999999999993</v>
      </c>
      <c r="F3071">
        <v>0</v>
      </c>
      <c r="G3071">
        <v>0</v>
      </c>
      <c r="H3071" t="s">
        <v>19447</v>
      </c>
      <c r="I3071" t="s">
        <v>19447</v>
      </c>
      <c r="J3071">
        <v>2</v>
      </c>
      <c r="L3071" t="s">
        <v>2709</v>
      </c>
      <c r="M3071">
        <v>29333389</v>
      </c>
      <c r="O3071" t="s">
        <v>20028</v>
      </c>
      <c r="P3071" t="s">
        <v>19900</v>
      </c>
      <c r="Q3071" t="s">
        <v>19900</v>
      </c>
      <c r="R3071" t="s">
        <v>19447</v>
      </c>
      <c r="S3071" t="s">
        <v>19447</v>
      </c>
      <c r="T3071" t="s">
        <v>19901</v>
      </c>
    </row>
    <row r="3072" spans="2:20" x14ac:dyDescent="0.25">
      <c r="B3072" t="s">
        <v>2709</v>
      </c>
      <c r="C3072">
        <v>29333391</v>
      </c>
      <c r="E3072">
        <v>68.819999999999993</v>
      </c>
      <c r="F3072">
        <v>0</v>
      </c>
      <c r="G3072">
        <v>0</v>
      </c>
      <c r="H3072" t="s">
        <v>19447</v>
      </c>
      <c r="I3072" t="s">
        <v>19447</v>
      </c>
      <c r="J3072">
        <v>2</v>
      </c>
      <c r="L3072" t="s">
        <v>2709</v>
      </c>
      <c r="M3072">
        <v>29333391</v>
      </c>
      <c r="O3072" t="s">
        <v>20028</v>
      </c>
      <c r="P3072" t="s">
        <v>19900</v>
      </c>
      <c r="Q3072" t="s">
        <v>19900</v>
      </c>
      <c r="R3072" t="s">
        <v>19447</v>
      </c>
      <c r="S3072" t="s">
        <v>19447</v>
      </c>
      <c r="T3072" t="s">
        <v>19901</v>
      </c>
    </row>
    <row r="3073" spans="2:20" x14ac:dyDescent="0.25">
      <c r="B3073" t="s">
        <v>2709</v>
      </c>
      <c r="C3073">
        <v>29333392</v>
      </c>
      <c r="E3073">
        <v>68.819999999999993</v>
      </c>
      <c r="F3073">
        <v>0</v>
      </c>
      <c r="G3073">
        <v>0</v>
      </c>
      <c r="H3073" t="s">
        <v>19447</v>
      </c>
      <c r="I3073" t="s">
        <v>19447</v>
      </c>
      <c r="J3073">
        <v>2</v>
      </c>
      <c r="L3073" t="s">
        <v>2709</v>
      </c>
      <c r="M3073">
        <v>29333392</v>
      </c>
      <c r="O3073" t="s">
        <v>20028</v>
      </c>
      <c r="P3073" t="s">
        <v>19900</v>
      </c>
      <c r="Q3073" t="s">
        <v>19900</v>
      </c>
      <c r="R3073" t="s">
        <v>19447</v>
      </c>
      <c r="S3073" t="s">
        <v>19447</v>
      </c>
      <c r="T3073" t="s">
        <v>19901</v>
      </c>
    </row>
    <row r="3074" spans="2:20" x14ac:dyDescent="0.25">
      <c r="B3074" t="s">
        <v>2709</v>
      </c>
      <c r="C3074">
        <v>29333393</v>
      </c>
      <c r="E3074">
        <v>68.819999999999993</v>
      </c>
      <c r="F3074">
        <v>0</v>
      </c>
      <c r="G3074">
        <v>0</v>
      </c>
      <c r="H3074" t="s">
        <v>19447</v>
      </c>
      <c r="I3074" t="s">
        <v>19447</v>
      </c>
      <c r="J3074">
        <v>2</v>
      </c>
      <c r="L3074" t="s">
        <v>2709</v>
      </c>
      <c r="M3074">
        <v>29333393</v>
      </c>
      <c r="O3074" t="s">
        <v>20028</v>
      </c>
      <c r="P3074" t="s">
        <v>19900</v>
      </c>
      <c r="Q3074" t="s">
        <v>19900</v>
      </c>
      <c r="R3074" t="s">
        <v>19447</v>
      </c>
      <c r="S3074" t="s">
        <v>19447</v>
      </c>
      <c r="T3074" t="s">
        <v>19901</v>
      </c>
    </row>
    <row r="3075" spans="2:20" x14ac:dyDescent="0.25">
      <c r="B3075" t="s">
        <v>2709</v>
      </c>
      <c r="C3075">
        <v>29333399</v>
      </c>
      <c r="E3075">
        <v>68.819999999999993</v>
      </c>
      <c r="F3075">
        <v>0</v>
      </c>
      <c r="G3075">
        <v>0</v>
      </c>
      <c r="H3075" t="s">
        <v>19447</v>
      </c>
      <c r="I3075" t="s">
        <v>19447</v>
      </c>
      <c r="J3075">
        <v>2</v>
      </c>
      <c r="L3075" t="s">
        <v>2709</v>
      </c>
      <c r="M3075">
        <v>29333399</v>
      </c>
      <c r="O3075" t="s">
        <v>20028</v>
      </c>
      <c r="P3075" t="s">
        <v>19900</v>
      </c>
      <c r="Q3075" t="s">
        <v>19900</v>
      </c>
      <c r="R3075" t="s">
        <v>19447</v>
      </c>
      <c r="S3075" t="s">
        <v>19447</v>
      </c>
      <c r="T3075" t="s">
        <v>19901</v>
      </c>
    </row>
    <row r="3076" spans="2:20" x14ac:dyDescent="0.25">
      <c r="B3076" t="s">
        <v>2709</v>
      </c>
      <c r="C3076">
        <v>29333912</v>
      </c>
      <c r="E3076">
        <v>68.819999999999993</v>
      </c>
      <c r="F3076">
        <v>0</v>
      </c>
      <c r="G3076">
        <v>0</v>
      </c>
      <c r="H3076" t="s">
        <v>19447</v>
      </c>
      <c r="I3076" t="s">
        <v>19447</v>
      </c>
      <c r="J3076">
        <v>12</v>
      </c>
      <c r="L3076" t="s">
        <v>2709</v>
      </c>
      <c r="M3076">
        <v>29333912</v>
      </c>
      <c r="O3076" t="s">
        <v>20028</v>
      </c>
      <c r="P3076" t="s">
        <v>19900</v>
      </c>
      <c r="Q3076" t="s">
        <v>19900</v>
      </c>
      <c r="R3076" t="s">
        <v>19447</v>
      </c>
      <c r="S3076" t="s">
        <v>19447</v>
      </c>
      <c r="T3076" t="s">
        <v>19903</v>
      </c>
    </row>
    <row r="3077" spans="2:20" x14ac:dyDescent="0.25">
      <c r="B3077" t="s">
        <v>2709</v>
      </c>
      <c r="C3077">
        <v>29333913</v>
      </c>
      <c r="E3077">
        <v>68.819999999999993</v>
      </c>
      <c r="F3077">
        <v>0</v>
      </c>
      <c r="G3077">
        <v>0</v>
      </c>
      <c r="H3077" t="s">
        <v>19447</v>
      </c>
      <c r="I3077" t="s">
        <v>19447</v>
      </c>
      <c r="J3077">
        <v>2</v>
      </c>
      <c r="L3077" t="s">
        <v>2709</v>
      </c>
      <c r="M3077">
        <v>29333913</v>
      </c>
      <c r="O3077" t="s">
        <v>20028</v>
      </c>
      <c r="P3077" t="s">
        <v>19900</v>
      </c>
      <c r="Q3077" t="s">
        <v>19900</v>
      </c>
      <c r="R3077" t="s">
        <v>19447</v>
      </c>
      <c r="S3077" t="s">
        <v>19447</v>
      </c>
      <c r="T3077" t="s">
        <v>19901</v>
      </c>
    </row>
    <row r="3078" spans="2:20" x14ac:dyDescent="0.25">
      <c r="B3078" t="s">
        <v>2709</v>
      </c>
      <c r="C3078">
        <v>29333914</v>
      </c>
      <c r="E3078">
        <v>68.819999999999993</v>
      </c>
      <c r="F3078">
        <v>0</v>
      </c>
      <c r="G3078">
        <v>0</v>
      </c>
      <c r="H3078" t="s">
        <v>19447</v>
      </c>
      <c r="I3078" t="s">
        <v>19447</v>
      </c>
      <c r="J3078">
        <v>2</v>
      </c>
      <c r="L3078" t="s">
        <v>2709</v>
      </c>
      <c r="M3078">
        <v>29333914</v>
      </c>
      <c r="O3078" t="s">
        <v>20028</v>
      </c>
      <c r="P3078" t="s">
        <v>19900</v>
      </c>
      <c r="Q3078" t="s">
        <v>19900</v>
      </c>
      <c r="R3078" t="s">
        <v>19447</v>
      </c>
      <c r="S3078" t="s">
        <v>19447</v>
      </c>
      <c r="T3078" t="s">
        <v>19901</v>
      </c>
    </row>
    <row r="3079" spans="2:20" x14ac:dyDescent="0.25">
      <c r="B3079" t="s">
        <v>2709</v>
      </c>
      <c r="C3079">
        <v>29333915</v>
      </c>
      <c r="E3079">
        <v>68.819999999999993</v>
      </c>
      <c r="F3079">
        <v>0</v>
      </c>
      <c r="G3079">
        <v>0</v>
      </c>
      <c r="H3079" t="s">
        <v>19447</v>
      </c>
      <c r="I3079" t="s">
        <v>19447</v>
      </c>
      <c r="J3079">
        <v>2</v>
      </c>
      <c r="L3079" t="s">
        <v>2709</v>
      </c>
      <c r="M3079">
        <v>29333915</v>
      </c>
      <c r="O3079" t="s">
        <v>20028</v>
      </c>
      <c r="P3079" t="s">
        <v>19900</v>
      </c>
      <c r="Q3079" t="s">
        <v>19900</v>
      </c>
      <c r="R3079" t="s">
        <v>19447</v>
      </c>
      <c r="S3079" t="s">
        <v>19447</v>
      </c>
      <c r="T3079" t="s">
        <v>19901</v>
      </c>
    </row>
    <row r="3080" spans="2:20" x14ac:dyDescent="0.25">
      <c r="B3080" t="s">
        <v>2709</v>
      </c>
      <c r="C3080">
        <v>29333919</v>
      </c>
      <c r="E3080">
        <v>68.819999999999993</v>
      </c>
      <c r="F3080">
        <v>0</v>
      </c>
      <c r="G3080">
        <v>0</v>
      </c>
      <c r="H3080" t="s">
        <v>19447</v>
      </c>
      <c r="I3080" t="s">
        <v>19447</v>
      </c>
      <c r="J3080">
        <v>2</v>
      </c>
      <c r="L3080" t="s">
        <v>2709</v>
      </c>
      <c r="M3080">
        <v>29333919</v>
      </c>
      <c r="O3080" t="s">
        <v>20028</v>
      </c>
      <c r="P3080" t="s">
        <v>19900</v>
      </c>
      <c r="Q3080" t="s">
        <v>19900</v>
      </c>
      <c r="R3080" t="s">
        <v>19447</v>
      </c>
      <c r="S3080" t="s">
        <v>19447</v>
      </c>
      <c r="T3080" t="s">
        <v>19901</v>
      </c>
    </row>
    <row r="3081" spans="2:20" x14ac:dyDescent="0.25">
      <c r="B3081" t="s">
        <v>2709</v>
      </c>
      <c r="C3081">
        <v>29333921</v>
      </c>
      <c r="E3081">
        <v>68.819999999999993</v>
      </c>
      <c r="F3081">
        <v>0</v>
      </c>
      <c r="G3081">
        <v>0</v>
      </c>
      <c r="H3081" t="s">
        <v>19447</v>
      </c>
      <c r="I3081" t="s">
        <v>19447</v>
      </c>
      <c r="J3081">
        <v>2</v>
      </c>
      <c r="L3081" t="s">
        <v>2709</v>
      </c>
      <c r="M3081">
        <v>29333921</v>
      </c>
      <c r="O3081" t="s">
        <v>20028</v>
      </c>
      <c r="P3081" t="s">
        <v>19900</v>
      </c>
      <c r="Q3081" t="s">
        <v>19900</v>
      </c>
      <c r="R3081" t="s">
        <v>19447</v>
      </c>
      <c r="S3081" t="s">
        <v>19447</v>
      </c>
      <c r="T3081" t="s">
        <v>19901</v>
      </c>
    </row>
    <row r="3082" spans="2:20" x14ac:dyDescent="0.25">
      <c r="B3082" t="s">
        <v>2709</v>
      </c>
      <c r="C3082">
        <v>29333922</v>
      </c>
      <c r="E3082">
        <v>68.819999999999993</v>
      </c>
      <c r="F3082">
        <v>0</v>
      </c>
      <c r="G3082">
        <v>0</v>
      </c>
      <c r="H3082" t="s">
        <v>19447</v>
      </c>
      <c r="I3082" t="s">
        <v>19447</v>
      </c>
      <c r="J3082">
        <v>2</v>
      </c>
      <c r="L3082" t="s">
        <v>2709</v>
      </c>
      <c r="M3082">
        <v>29333922</v>
      </c>
      <c r="O3082" t="s">
        <v>20028</v>
      </c>
      <c r="P3082" t="s">
        <v>19900</v>
      </c>
      <c r="Q3082" t="s">
        <v>19900</v>
      </c>
      <c r="R3082" t="s">
        <v>19447</v>
      </c>
      <c r="S3082" t="s">
        <v>19447</v>
      </c>
      <c r="T3082" t="s">
        <v>19901</v>
      </c>
    </row>
    <row r="3083" spans="2:20" x14ac:dyDescent="0.25">
      <c r="B3083" t="s">
        <v>2709</v>
      </c>
      <c r="C3083">
        <v>29333923</v>
      </c>
      <c r="E3083">
        <v>68.819999999999993</v>
      </c>
      <c r="F3083">
        <v>0</v>
      </c>
      <c r="G3083">
        <v>0</v>
      </c>
      <c r="H3083" t="s">
        <v>19447</v>
      </c>
      <c r="I3083" t="s">
        <v>19447</v>
      </c>
      <c r="J3083">
        <v>14</v>
      </c>
      <c r="L3083" t="s">
        <v>2709</v>
      </c>
      <c r="M3083">
        <v>29333923</v>
      </c>
      <c r="O3083" t="s">
        <v>20028</v>
      </c>
      <c r="P3083" t="s">
        <v>19900</v>
      </c>
      <c r="Q3083" t="s">
        <v>19900</v>
      </c>
      <c r="R3083" t="s">
        <v>19447</v>
      </c>
      <c r="S3083" t="s">
        <v>19447</v>
      </c>
      <c r="T3083" t="s">
        <v>19911</v>
      </c>
    </row>
    <row r="3084" spans="2:20" x14ac:dyDescent="0.25">
      <c r="B3084" t="s">
        <v>2709</v>
      </c>
      <c r="C3084">
        <v>29333924</v>
      </c>
      <c r="E3084">
        <v>68.819999999999993</v>
      </c>
      <c r="F3084">
        <v>0</v>
      </c>
      <c r="G3084">
        <v>0</v>
      </c>
      <c r="H3084" t="s">
        <v>19447</v>
      </c>
      <c r="I3084" t="s">
        <v>19447</v>
      </c>
      <c r="J3084">
        <v>14</v>
      </c>
      <c r="L3084" t="s">
        <v>2709</v>
      </c>
      <c r="M3084">
        <v>29333924</v>
      </c>
      <c r="O3084" t="s">
        <v>20028</v>
      </c>
      <c r="P3084" t="s">
        <v>19900</v>
      </c>
      <c r="Q3084" t="s">
        <v>19900</v>
      </c>
      <c r="R3084" t="s">
        <v>19447</v>
      </c>
      <c r="S3084" t="s">
        <v>19447</v>
      </c>
      <c r="T3084" t="s">
        <v>19911</v>
      </c>
    </row>
    <row r="3085" spans="2:20" x14ac:dyDescent="0.25">
      <c r="B3085" t="s">
        <v>2709</v>
      </c>
      <c r="C3085">
        <v>29333925</v>
      </c>
      <c r="E3085">
        <v>68.819999999999993</v>
      </c>
      <c r="F3085">
        <v>0</v>
      </c>
      <c r="G3085">
        <v>0</v>
      </c>
      <c r="H3085" t="s">
        <v>19447</v>
      </c>
      <c r="I3085" t="s">
        <v>19447</v>
      </c>
      <c r="J3085">
        <v>14</v>
      </c>
      <c r="L3085" t="s">
        <v>2709</v>
      </c>
      <c r="M3085">
        <v>29333925</v>
      </c>
      <c r="O3085" t="s">
        <v>20028</v>
      </c>
      <c r="P3085" t="s">
        <v>19900</v>
      </c>
      <c r="Q3085" t="s">
        <v>19900</v>
      </c>
      <c r="R3085" t="s">
        <v>19447</v>
      </c>
      <c r="S3085" t="s">
        <v>19447</v>
      </c>
      <c r="T3085" t="s">
        <v>19911</v>
      </c>
    </row>
    <row r="3086" spans="2:20" x14ac:dyDescent="0.25">
      <c r="B3086" t="s">
        <v>2709</v>
      </c>
      <c r="C3086">
        <v>29333929</v>
      </c>
      <c r="E3086">
        <v>68.819999999999993</v>
      </c>
      <c r="F3086">
        <v>0</v>
      </c>
      <c r="G3086">
        <v>0</v>
      </c>
      <c r="H3086" t="s">
        <v>19447</v>
      </c>
      <c r="I3086" t="s">
        <v>19447</v>
      </c>
      <c r="J3086">
        <v>2</v>
      </c>
      <c r="L3086" t="s">
        <v>2709</v>
      </c>
      <c r="M3086">
        <v>29333929</v>
      </c>
      <c r="O3086" t="s">
        <v>20028</v>
      </c>
      <c r="P3086" t="s">
        <v>19900</v>
      </c>
      <c r="Q3086" t="s">
        <v>19900</v>
      </c>
      <c r="R3086" t="s">
        <v>19447</v>
      </c>
      <c r="S3086" t="s">
        <v>19447</v>
      </c>
      <c r="T3086" t="s">
        <v>19901</v>
      </c>
    </row>
    <row r="3087" spans="2:20" x14ac:dyDescent="0.25">
      <c r="B3087" t="s">
        <v>2709</v>
      </c>
      <c r="C3087">
        <v>29333931</v>
      </c>
      <c r="E3087">
        <v>68.819999999999993</v>
      </c>
      <c r="F3087">
        <v>0</v>
      </c>
      <c r="G3087">
        <v>0</v>
      </c>
      <c r="H3087" t="s">
        <v>19447</v>
      </c>
      <c r="I3087" t="s">
        <v>19447</v>
      </c>
      <c r="J3087">
        <v>14</v>
      </c>
      <c r="L3087" t="s">
        <v>2709</v>
      </c>
      <c r="M3087">
        <v>29333931</v>
      </c>
      <c r="O3087" t="s">
        <v>20028</v>
      </c>
      <c r="P3087" t="s">
        <v>19900</v>
      </c>
      <c r="Q3087" t="s">
        <v>19900</v>
      </c>
      <c r="R3087" t="s">
        <v>19447</v>
      </c>
      <c r="S3087" t="s">
        <v>19447</v>
      </c>
      <c r="T3087" t="s">
        <v>19911</v>
      </c>
    </row>
    <row r="3088" spans="2:20" x14ac:dyDescent="0.25">
      <c r="B3088" t="s">
        <v>2709</v>
      </c>
      <c r="C3088">
        <v>29333932</v>
      </c>
      <c r="E3088">
        <v>68.819999999999993</v>
      </c>
      <c r="F3088">
        <v>0</v>
      </c>
      <c r="G3088">
        <v>0</v>
      </c>
      <c r="H3088" t="s">
        <v>19447</v>
      </c>
      <c r="I3088" t="s">
        <v>19447</v>
      </c>
      <c r="J3088">
        <v>2</v>
      </c>
      <c r="L3088" t="s">
        <v>2709</v>
      </c>
      <c r="M3088">
        <v>29333932</v>
      </c>
      <c r="O3088" t="s">
        <v>20028</v>
      </c>
      <c r="P3088" t="s">
        <v>19900</v>
      </c>
      <c r="Q3088" t="s">
        <v>19900</v>
      </c>
      <c r="R3088" t="s">
        <v>19447</v>
      </c>
      <c r="S3088" t="s">
        <v>19447</v>
      </c>
      <c r="T3088" t="s">
        <v>19901</v>
      </c>
    </row>
    <row r="3089" spans="2:20" x14ac:dyDescent="0.25">
      <c r="B3089" t="s">
        <v>2709</v>
      </c>
      <c r="C3089">
        <v>29333933</v>
      </c>
      <c r="E3089">
        <v>68.819999999999993</v>
      </c>
      <c r="F3089">
        <v>0</v>
      </c>
      <c r="G3089">
        <v>0</v>
      </c>
      <c r="H3089" t="s">
        <v>19447</v>
      </c>
      <c r="I3089" t="s">
        <v>19447</v>
      </c>
      <c r="J3089">
        <v>2</v>
      </c>
      <c r="L3089" t="s">
        <v>2709</v>
      </c>
      <c r="M3089">
        <v>29333933</v>
      </c>
      <c r="O3089" t="s">
        <v>20028</v>
      </c>
      <c r="P3089" t="s">
        <v>19900</v>
      </c>
      <c r="Q3089" t="s">
        <v>19900</v>
      </c>
      <c r="R3089" t="s">
        <v>19447</v>
      </c>
      <c r="S3089" t="s">
        <v>19447</v>
      </c>
      <c r="T3089" t="s">
        <v>19901</v>
      </c>
    </row>
    <row r="3090" spans="2:20" x14ac:dyDescent="0.25">
      <c r="B3090" t="s">
        <v>2709</v>
      </c>
      <c r="C3090">
        <v>29333934</v>
      </c>
      <c r="E3090">
        <v>68.819999999999993</v>
      </c>
      <c r="F3090">
        <v>0</v>
      </c>
      <c r="G3090">
        <v>0</v>
      </c>
      <c r="H3090" t="s">
        <v>19447</v>
      </c>
      <c r="I3090" t="s">
        <v>19447</v>
      </c>
      <c r="J3090">
        <v>2</v>
      </c>
      <c r="L3090" t="s">
        <v>2709</v>
      </c>
      <c r="M3090">
        <v>29333934</v>
      </c>
      <c r="O3090" t="s">
        <v>20028</v>
      </c>
      <c r="P3090" t="s">
        <v>19900</v>
      </c>
      <c r="Q3090" t="s">
        <v>19900</v>
      </c>
      <c r="R3090" t="s">
        <v>19447</v>
      </c>
      <c r="S3090" t="s">
        <v>19447</v>
      </c>
      <c r="T3090" t="s">
        <v>19901</v>
      </c>
    </row>
    <row r="3091" spans="2:20" x14ac:dyDescent="0.25">
      <c r="B3091" t="s">
        <v>2709</v>
      </c>
      <c r="C3091">
        <v>29333935</v>
      </c>
      <c r="E3091">
        <v>68.819999999999993</v>
      </c>
      <c r="F3091">
        <v>0</v>
      </c>
      <c r="G3091">
        <v>0</v>
      </c>
      <c r="H3091" t="s">
        <v>19447</v>
      </c>
      <c r="I3091" t="s">
        <v>19447</v>
      </c>
      <c r="J3091">
        <v>14</v>
      </c>
      <c r="L3091" t="s">
        <v>2709</v>
      </c>
      <c r="M3091">
        <v>29333935</v>
      </c>
      <c r="O3091" t="s">
        <v>20028</v>
      </c>
      <c r="P3091" t="s">
        <v>19900</v>
      </c>
      <c r="Q3091" t="s">
        <v>19900</v>
      </c>
      <c r="R3091" t="s">
        <v>19447</v>
      </c>
      <c r="S3091" t="s">
        <v>19447</v>
      </c>
      <c r="T3091" t="s">
        <v>19911</v>
      </c>
    </row>
    <row r="3092" spans="2:20" x14ac:dyDescent="0.25">
      <c r="B3092" t="s">
        <v>2709</v>
      </c>
      <c r="C3092">
        <v>29333936</v>
      </c>
      <c r="E3092">
        <v>68.819999999999993</v>
      </c>
      <c r="F3092">
        <v>0</v>
      </c>
      <c r="G3092">
        <v>0</v>
      </c>
      <c r="H3092" t="s">
        <v>19447</v>
      </c>
      <c r="I3092" t="s">
        <v>19447</v>
      </c>
      <c r="J3092">
        <v>2</v>
      </c>
      <c r="L3092" t="s">
        <v>2709</v>
      </c>
      <c r="M3092">
        <v>29333936</v>
      </c>
      <c r="O3092" t="s">
        <v>20028</v>
      </c>
      <c r="P3092" t="s">
        <v>19900</v>
      </c>
      <c r="Q3092" t="s">
        <v>19900</v>
      </c>
      <c r="R3092" t="s">
        <v>19447</v>
      </c>
      <c r="S3092" t="s">
        <v>19447</v>
      </c>
      <c r="T3092" t="s">
        <v>19901</v>
      </c>
    </row>
    <row r="3093" spans="2:20" x14ac:dyDescent="0.25">
      <c r="B3093" t="s">
        <v>2709</v>
      </c>
      <c r="C3093">
        <v>29333939</v>
      </c>
      <c r="E3093">
        <v>68.819999999999993</v>
      </c>
      <c r="F3093">
        <v>0</v>
      </c>
      <c r="G3093">
        <v>0</v>
      </c>
      <c r="H3093" t="s">
        <v>19447</v>
      </c>
      <c r="I3093" t="s">
        <v>19447</v>
      </c>
      <c r="J3093">
        <v>2</v>
      </c>
      <c r="L3093" t="s">
        <v>2709</v>
      </c>
      <c r="M3093">
        <v>29333939</v>
      </c>
      <c r="O3093" t="s">
        <v>20028</v>
      </c>
      <c r="P3093" t="s">
        <v>19900</v>
      </c>
      <c r="Q3093" t="s">
        <v>19900</v>
      </c>
      <c r="R3093" t="s">
        <v>19447</v>
      </c>
      <c r="S3093" t="s">
        <v>19447</v>
      </c>
      <c r="T3093" t="s">
        <v>19901</v>
      </c>
    </row>
    <row r="3094" spans="2:20" x14ac:dyDescent="0.25">
      <c r="B3094" t="s">
        <v>2709</v>
      </c>
      <c r="C3094">
        <v>29333943</v>
      </c>
      <c r="E3094">
        <v>68.819999999999993</v>
      </c>
      <c r="F3094">
        <v>0</v>
      </c>
      <c r="G3094">
        <v>0</v>
      </c>
      <c r="H3094" t="s">
        <v>19447</v>
      </c>
      <c r="I3094" t="s">
        <v>19447</v>
      </c>
      <c r="J3094">
        <v>14</v>
      </c>
      <c r="L3094" t="s">
        <v>2709</v>
      </c>
      <c r="M3094">
        <v>29333943</v>
      </c>
      <c r="O3094" t="s">
        <v>20028</v>
      </c>
      <c r="P3094" t="s">
        <v>19900</v>
      </c>
      <c r="Q3094" t="s">
        <v>19900</v>
      </c>
      <c r="R3094" t="s">
        <v>19447</v>
      </c>
      <c r="S3094" t="s">
        <v>19447</v>
      </c>
      <c r="T3094" t="s">
        <v>19911</v>
      </c>
    </row>
    <row r="3095" spans="2:20" x14ac:dyDescent="0.25">
      <c r="B3095" t="s">
        <v>2709</v>
      </c>
      <c r="C3095">
        <v>29333944</v>
      </c>
      <c r="E3095">
        <v>68.819999999999993</v>
      </c>
      <c r="F3095">
        <v>0</v>
      </c>
      <c r="G3095">
        <v>0</v>
      </c>
      <c r="H3095" t="s">
        <v>19447</v>
      </c>
      <c r="I3095" t="s">
        <v>19447</v>
      </c>
      <c r="J3095">
        <v>14</v>
      </c>
      <c r="L3095" t="s">
        <v>2709</v>
      </c>
      <c r="M3095">
        <v>29333944</v>
      </c>
      <c r="O3095" t="s">
        <v>20028</v>
      </c>
      <c r="P3095" t="s">
        <v>19900</v>
      </c>
      <c r="Q3095" t="s">
        <v>19900</v>
      </c>
      <c r="R3095" t="s">
        <v>19447</v>
      </c>
      <c r="S3095" t="s">
        <v>19447</v>
      </c>
      <c r="T3095" t="s">
        <v>19911</v>
      </c>
    </row>
    <row r="3096" spans="2:20" x14ac:dyDescent="0.25">
      <c r="B3096" t="s">
        <v>2709</v>
      </c>
      <c r="C3096">
        <v>29333945</v>
      </c>
      <c r="E3096">
        <v>68.819999999999993</v>
      </c>
      <c r="F3096">
        <v>0</v>
      </c>
      <c r="G3096">
        <v>0</v>
      </c>
      <c r="H3096" t="s">
        <v>19447</v>
      </c>
      <c r="I3096" t="s">
        <v>19447</v>
      </c>
      <c r="J3096">
        <v>14</v>
      </c>
      <c r="L3096" t="s">
        <v>2709</v>
      </c>
      <c r="M3096">
        <v>29333945</v>
      </c>
      <c r="O3096" t="s">
        <v>20028</v>
      </c>
      <c r="P3096" t="s">
        <v>19900</v>
      </c>
      <c r="Q3096" t="s">
        <v>19900</v>
      </c>
      <c r="R3096" t="s">
        <v>19447</v>
      </c>
      <c r="S3096" t="s">
        <v>19447</v>
      </c>
      <c r="T3096" t="s">
        <v>19911</v>
      </c>
    </row>
    <row r="3097" spans="2:20" x14ac:dyDescent="0.25">
      <c r="B3097" t="s">
        <v>2709</v>
      </c>
      <c r="C3097">
        <v>29333946</v>
      </c>
      <c r="E3097">
        <v>68.819999999999993</v>
      </c>
      <c r="F3097">
        <v>0</v>
      </c>
      <c r="G3097">
        <v>0</v>
      </c>
      <c r="H3097" t="s">
        <v>19447</v>
      </c>
      <c r="I3097" t="s">
        <v>19447</v>
      </c>
      <c r="J3097">
        <v>2</v>
      </c>
      <c r="L3097" t="s">
        <v>2709</v>
      </c>
      <c r="M3097">
        <v>29333946</v>
      </c>
      <c r="O3097" t="s">
        <v>20028</v>
      </c>
      <c r="P3097" t="s">
        <v>19900</v>
      </c>
      <c r="Q3097" t="s">
        <v>19900</v>
      </c>
      <c r="R3097" t="s">
        <v>19447</v>
      </c>
      <c r="S3097" t="s">
        <v>19447</v>
      </c>
      <c r="T3097" t="s">
        <v>19901</v>
      </c>
    </row>
    <row r="3098" spans="2:20" x14ac:dyDescent="0.25">
      <c r="B3098" t="s">
        <v>2709</v>
      </c>
      <c r="C3098">
        <v>29333947</v>
      </c>
      <c r="E3098">
        <v>68.819999999999993</v>
      </c>
      <c r="F3098">
        <v>0</v>
      </c>
      <c r="G3098">
        <v>0</v>
      </c>
      <c r="H3098" t="s">
        <v>19447</v>
      </c>
      <c r="I3098" t="s">
        <v>19447</v>
      </c>
      <c r="J3098">
        <v>2</v>
      </c>
      <c r="L3098" t="s">
        <v>2709</v>
      </c>
      <c r="M3098">
        <v>29333947</v>
      </c>
      <c r="O3098" t="s">
        <v>20028</v>
      </c>
      <c r="P3098" t="s">
        <v>19900</v>
      </c>
      <c r="Q3098" t="s">
        <v>19900</v>
      </c>
      <c r="R3098" t="s">
        <v>19447</v>
      </c>
      <c r="S3098" t="s">
        <v>19447</v>
      </c>
      <c r="T3098" t="s">
        <v>19901</v>
      </c>
    </row>
    <row r="3099" spans="2:20" x14ac:dyDescent="0.25">
      <c r="B3099" t="s">
        <v>2709</v>
      </c>
      <c r="C3099">
        <v>29333948</v>
      </c>
      <c r="E3099">
        <v>68.819999999999993</v>
      </c>
      <c r="F3099">
        <v>0</v>
      </c>
      <c r="G3099">
        <v>0</v>
      </c>
      <c r="H3099" t="s">
        <v>19447</v>
      </c>
      <c r="I3099" t="s">
        <v>19447</v>
      </c>
      <c r="J3099">
        <v>12</v>
      </c>
      <c r="L3099" t="s">
        <v>2709</v>
      </c>
      <c r="M3099">
        <v>29333948</v>
      </c>
      <c r="O3099" t="s">
        <v>20028</v>
      </c>
      <c r="P3099" t="s">
        <v>19900</v>
      </c>
      <c r="Q3099" t="s">
        <v>19900</v>
      </c>
      <c r="R3099" t="s">
        <v>19447</v>
      </c>
      <c r="S3099" t="s">
        <v>19447</v>
      </c>
      <c r="T3099" t="s">
        <v>19903</v>
      </c>
    </row>
    <row r="3100" spans="2:20" x14ac:dyDescent="0.25">
      <c r="B3100" t="s">
        <v>2709</v>
      </c>
      <c r="C3100">
        <v>29333949</v>
      </c>
      <c r="E3100">
        <v>68.819999999999993</v>
      </c>
      <c r="F3100">
        <v>0</v>
      </c>
      <c r="G3100">
        <v>0</v>
      </c>
      <c r="H3100" t="s">
        <v>19447</v>
      </c>
      <c r="I3100" t="s">
        <v>19447</v>
      </c>
      <c r="J3100">
        <v>2</v>
      </c>
      <c r="L3100" t="s">
        <v>2709</v>
      </c>
      <c r="M3100">
        <v>29333949</v>
      </c>
      <c r="O3100" t="s">
        <v>20028</v>
      </c>
      <c r="P3100" t="s">
        <v>19900</v>
      </c>
      <c r="Q3100" t="s">
        <v>19900</v>
      </c>
      <c r="R3100" t="s">
        <v>19447</v>
      </c>
      <c r="S3100" t="s">
        <v>19447</v>
      </c>
      <c r="T3100" t="s">
        <v>19901</v>
      </c>
    </row>
    <row r="3101" spans="2:20" x14ac:dyDescent="0.25">
      <c r="B3101" t="s">
        <v>2709</v>
      </c>
      <c r="C3101">
        <v>29333981</v>
      </c>
      <c r="E3101">
        <v>68.819999999999993</v>
      </c>
      <c r="F3101">
        <v>0</v>
      </c>
      <c r="G3101">
        <v>0</v>
      </c>
      <c r="H3101" t="s">
        <v>19447</v>
      </c>
      <c r="I3101" t="s">
        <v>19447</v>
      </c>
      <c r="J3101">
        <v>14</v>
      </c>
      <c r="L3101" t="s">
        <v>2709</v>
      </c>
      <c r="M3101">
        <v>29333981</v>
      </c>
      <c r="O3101" t="s">
        <v>20028</v>
      </c>
      <c r="P3101" t="s">
        <v>19900</v>
      </c>
      <c r="Q3101" t="s">
        <v>19900</v>
      </c>
      <c r="R3101" t="s">
        <v>19447</v>
      </c>
      <c r="S3101" t="s">
        <v>19447</v>
      </c>
      <c r="T3101" t="s">
        <v>19911</v>
      </c>
    </row>
    <row r="3102" spans="2:20" x14ac:dyDescent="0.25">
      <c r="B3102" t="s">
        <v>2709</v>
      </c>
      <c r="C3102">
        <v>29333982</v>
      </c>
      <c r="E3102">
        <v>68.819999999999993</v>
      </c>
      <c r="F3102">
        <v>0</v>
      </c>
      <c r="G3102">
        <v>0</v>
      </c>
      <c r="H3102" t="s">
        <v>19447</v>
      </c>
      <c r="I3102" t="s">
        <v>19447</v>
      </c>
      <c r="J3102">
        <v>14</v>
      </c>
      <c r="L3102" t="s">
        <v>2709</v>
      </c>
      <c r="M3102">
        <v>29333982</v>
      </c>
      <c r="O3102" t="s">
        <v>20028</v>
      </c>
      <c r="P3102" t="s">
        <v>19900</v>
      </c>
      <c r="Q3102" t="s">
        <v>19900</v>
      </c>
      <c r="R3102" t="s">
        <v>19447</v>
      </c>
      <c r="S3102" t="s">
        <v>19447</v>
      </c>
      <c r="T3102" t="s">
        <v>19911</v>
      </c>
    </row>
    <row r="3103" spans="2:20" x14ac:dyDescent="0.25">
      <c r="B3103" t="s">
        <v>2709</v>
      </c>
      <c r="C3103">
        <v>29333983</v>
      </c>
      <c r="E3103">
        <v>68.819999999999993</v>
      </c>
      <c r="F3103">
        <v>0</v>
      </c>
      <c r="G3103">
        <v>0</v>
      </c>
      <c r="H3103" t="s">
        <v>19447</v>
      </c>
      <c r="I3103" t="s">
        <v>19447</v>
      </c>
      <c r="J3103">
        <v>14</v>
      </c>
      <c r="L3103" t="s">
        <v>2709</v>
      </c>
      <c r="M3103">
        <v>29333983</v>
      </c>
      <c r="O3103" t="s">
        <v>20028</v>
      </c>
      <c r="P3103" t="s">
        <v>19900</v>
      </c>
      <c r="Q3103" t="s">
        <v>19900</v>
      </c>
      <c r="R3103" t="s">
        <v>19447</v>
      </c>
      <c r="S3103" t="s">
        <v>19447</v>
      </c>
      <c r="T3103" t="s">
        <v>19911</v>
      </c>
    </row>
    <row r="3104" spans="2:20" x14ac:dyDescent="0.25">
      <c r="B3104" t="s">
        <v>2709</v>
      </c>
      <c r="C3104">
        <v>29333984</v>
      </c>
      <c r="E3104">
        <v>68.819999999999993</v>
      </c>
      <c r="F3104">
        <v>0</v>
      </c>
      <c r="G3104">
        <v>0</v>
      </c>
      <c r="H3104" t="s">
        <v>19447</v>
      </c>
      <c r="I3104" t="s">
        <v>19447</v>
      </c>
      <c r="J3104">
        <v>12</v>
      </c>
      <c r="L3104" t="s">
        <v>2709</v>
      </c>
      <c r="M3104">
        <v>29333984</v>
      </c>
      <c r="O3104" t="s">
        <v>20028</v>
      </c>
      <c r="P3104" t="s">
        <v>19900</v>
      </c>
      <c r="Q3104" t="s">
        <v>19900</v>
      </c>
      <c r="R3104" t="s">
        <v>19447</v>
      </c>
      <c r="S3104" t="s">
        <v>19447</v>
      </c>
      <c r="T3104" t="s">
        <v>19903</v>
      </c>
    </row>
    <row r="3105" spans="2:20" x14ac:dyDescent="0.25">
      <c r="B3105" t="s">
        <v>2709</v>
      </c>
      <c r="C3105">
        <v>29333989</v>
      </c>
      <c r="E3105">
        <v>68.819999999999993</v>
      </c>
      <c r="F3105">
        <v>0</v>
      </c>
      <c r="G3105">
        <v>0</v>
      </c>
      <c r="H3105" t="s">
        <v>19447</v>
      </c>
      <c r="I3105" t="s">
        <v>19447</v>
      </c>
      <c r="J3105">
        <v>2</v>
      </c>
      <c r="L3105" t="s">
        <v>2709</v>
      </c>
      <c r="M3105">
        <v>29333989</v>
      </c>
      <c r="O3105" t="s">
        <v>20028</v>
      </c>
      <c r="P3105" t="s">
        <v>19900</v>
      </c>
      <c r="Q3105" t="s">
        <v>19900</v>
      </c>
      <c r="R3105" t="s">
        <v>19447</v>
      </c>
      <c r="S3105" t="s">
        <v>19447</v>
      </c>
      <c r="T3105" t="s">
        <v>19901</v>
      </c>
    </row>
    <row r="3106" spans="2:20" x14ac:dyDescent="0.25">
      <c r="B3106" t="s">
        <v>2709</v>
      </c>
      <c r="C3106">
        <v>29333991</v>
      </c>
      <c r="E3106">
        <v>68.819999999999993</v>
      </c>
      <c r="F3106">
        <v>0</v>
      </c>
      <c r="G3106">
        <v>0</v>
      </c>
      <c r="H3106" t="s">
        <v>19447</v>
      </c>
      <c r="I3106" t="s">
        <v>19447</v>
      </c>
      <c r="J3106">
        <v>2</v>
      </c>
      <c r="L3106" t="s">
        <v>2709</v>
      </c>
      <c r="M3106">
        <v>29333991</v>
      </c>
      <c r="O3106" t="s">
        <v>20028</v>
      </c>
      <c r="P3106" t="s">
        <v>19900</v>
      </c>
      <c r="Q3106" t="s">
        <v>19900</v>
      </c>
      <c r="R3106" t="s">
        <v>19447</v>
      </c>
      <c r="S3106" t="s">
        <v>19447</v>
      </c>
      <c r="T3106" t="s">
        <v>19901</v>
      </c>
    </row>
    <row r="3107" spans="2:20" x14ac:dyDescent="0.25">
      <c r="B3107" t="s">
        <v>2709</v>
      </c>
      <c r="C3107">
        <v>29333992</v>
      </c>
      <c r="E3107">
        <v>68.819999999999993</v>
      </c>
      <c r="F3107">
        <v>0</v>
      </c>
      <c r="G3107">
        <v>0</v>
      </c>
      <c r="H3107" t="s">
        <v>19447</v>
      </c>
      <c r="I3107" t="s">
        <v>19447</v>
      </c>
      <c r="J3107">
        <v>2</v>
      </c>
      <c r="L3107" t="s">
        <v>2709</v>
      </c>
      <c r="M3107">
        <v>29333992</v>
      </c>
      <c r="O3107" t="s">
        <v>20028</v>
      </c>
      <c r="P3107" t="s">
        <v>19900</v>
      </c>
      <c r="Q3107" t="s">
        <v>19900</v>
      </c>
      <c r="R3107" t="s">
        <v>19447</v>
      </c>
      <c r="S3107" t="s">
        <v>19447</v>
      </c>
      <c r="T3107" t="s">
        <v>19901</v>
      </c>
    </row>
    <row r="3108" spans="2:20" x14ac:dyDescent="0.25">
      <c r="B3108" t="s">
        <v>2709</v>
      </c>
      <c r="C3108">
        <v>29333993</v>
      </c>
      <c r="E3108">
        <v>68.819999999999993</v>
      </c>
      <c r="F3108">
        <v>0</v>
      </c>
      <c r="G3108">
        <v>0</v>
      </c>
      <c r="H3108" t="s">
        <v>19447</v>
      </c>
      <c r="I3108" t="s">
        <v>19447</v>
      </c>
      <c r="J3108">
        <v>2</v>
      </c>
      <c r="L3108" t="s">
        <v>2709</v>
      </c>
      <c r="M3108">
        <v>29333993</v>
      </c>
      <c r="O3108" t="s">
        <v>20028</v>
      </c>
      <c r="P3108" t="s">
        <v>19900</v>
      </c>
      <c r="Q3108" t="s">
        <v>19900</v>
      </c>
      <c r="R3108" t="s">
        <v>19447</v>
      </c>
      <c r="S3108" t="s">
        <v>19447</v>
      </c>
      <c r="T3108" t="s">
        <v>19901</v>
      </c>
    </row>
    <row r="3109" spans="2:20" x14ac:dyDescent="0.25">
      <c r="B3109" t="s">
        <v>2709</v>
      </c>
      <c r="C3109">
        <v>29333994</v>
      </c>
      <c r="E3109">
        <v>68.819999999999993</v>
      </c>
      <c r="F3109">
        <v>0</v>
      </c>
      <c r="G3109">
        <v>0</v>
      </c>
      <c r="H3109" t="s">
        <v>19447</v>
      </c>
      <c r="I3109" t="s">
        <v>19447</v>
      </c>
      <c r="J3109">
        <v>2</v>
      </c>
      <c r="L3109" t="s">
        <v>2709</v>
      </c>
      <c r="M3109">
        <v>29333994</v>
      </c>
      <c r="O3109" t="s">
        <v>20028</v>
      </c>
      <c r="P3109" t="s">
        <v>19900</v>
      </c>
      <c r="Q3109" t="s">
        <v>19900</v>
      </c>
      <c r="R3109" t="s">
        <v>19447</v>
      </c>
      <c r="S3109" t="s">
        <v>19447</v>
      </c>
      <c r="T3109" t="s">
        <v>19901</v>
      </c>
    </row>
    <row r="3110" spans="2:20" x14ac:dyDescent="0.25">
      <c r="B3110" t="s">
        <v>2709</v>
      </c>
      <c r="C3110">
        <v>29333999</v>
      </c>
      <c r="E3110">
        <v>68.819999999999993</v>
      </c>
      <c r="F3110">
        <v>0</v>
      </c>
      <c r="G3110">
        <v>0</v>
      </c>
      <c r="H3110" t="s">
        <v>19447</v>
      </c>
      <c r="I3110" t="s">
        <v>19447</v>
      </c>
      <c r="J3110">
        <v>2</v>
      </c>
      <c r="L3110" t="s">
        <v>2709</v>
      </c>
      <c r="M3110">
        <v>29333999</v>
      </c>
      <c r="O3110" t="s">
        <v>20028</v>
      </c>
      <c r="P3110" t="s">
        <v>19900</v>
      </c>
      <c r="Q3110" t="s">
        <v>19900</v>
      </c>
      <c r="R3110" t="s">
        <v>19447</v>
      </c>
      <c r="S3110" t="s">
        <v>19447</v>
      </c>
      <c r="T3110" t="s">
        <v>19901</v>
      </c>
    </row>
    <row r="3111" spans="2:20" x14ac:dyDescent="0.25">
      <c r="B3111" t="s">
        <v>2709</v>
      </c>
      <c r="C3111">
        <v>29334110</v>
      </c>
      <c r="E3111">
        <v>68.819999999999993</v>
      </c>
      <c r="F3111">
        <v>0</v>
      </c>
      <c r="G3111">
        <v>0</v>
      </c>
      <c r="H3111" t="s">
        <v>19447</v>
      </c>
      <c r="I3111" t="s">
        <v>19447</v>
      </c>
      <c r="J3111">
        <v>2</v>
      </c>
      <c r="L3111" t="s">
        <v>2709</v>
      </c>
      <c r="M3111">
        <v>29334110</v>
      </c>
      <c r="O3111" t="s">
        <v>20028</v>
      </c>
      <c r="P3111" t="s">
        <v>19900</v>
      </c>
      <c r="Q3111" t="s">
        <v>19900</v>
      </c>
      <c r="R3111" t="s">
        <v>19447</v>
      </c>
      <c r="S3111" t="s">
        <v>19447</v>
      </c>
      <c r="T3111" t="s">
        <v>19901</v>
      </c>
    </row>
    <row r="3112" spans="2:20" x14ac:dyDescent="0.25">
      <c r="B3112" t="s">
        <v>2709</v>
      </c>
      <c r="C3112">
        <v>29334120</v>
      </c>
      <c r="E3112">
        <v>68.819999999999993</v>
      </c>
      <c r="F3112">
        <v>0</v>
      </c>
      <c r="G3112">
        <v>0</v>
      </c>
      <c r="H3112" t="s">
        <v>19447</v>
      </c>
      <c r="I3112" t="s">
        <v>19447</v>
      </c>
      <c r="J3112">
        <v>2</v>
      </c>
      <c r="L3112" t="s">
        <v>2709</v>
      </c>
      <c r="M3112">
        <v>29334120</v>
      </c>
      <c r="O3112" t="s">
        <v>20028</v>
      </c>
      <c r="P3112" t="s">
        <v>19900</v>
      </c>
      <c r="Q3112" t="s">
        <v>19900</v>
      </c>
      <c r="R3112" t="s">
        <v>19447</v>
      </c>
      <c r="S3112" t="s">
        <v>19447</v>
      </c>
      <c r="T3112" t="s">
        <v>19901</v>
      </c>
    </row>
    <row r="3113" spans="2:20" x14ac:dyDescent="0.25">
      <c r="B3113" t="s">
        <v>2709</v>
      </c>
      <c r="C3113">
        <v>29334911</v>
      </c>
      <c r="E3113">
        <v>68.819999999999993</v>
      </c>
      <c r="F3113">
        <v>0</v>
      </c>
      <c r="G3113">
        <v>0</v>
      </c>
      <c r="H3113" t="s">
        <v>19447</v>
      </c>
      <c r="I3113" t="s">
        <v>19447</v>
      </c>
      <c r="J3113">
        <v>2</v>
      </c>
      <c r="L3113" t="s">
        <v>2709</v>
      </c>
      <c r="M3113">
        <v>29334911</v>
      </c>
      <c r="O3113" t="s">
        <v>20028</v>
      </c>
      <c r="P3113" t="s">
        <v>19900</v>
      </c>
      <c r="Q3113" t="s">
        <v>19900</v>
      </c>
      <c r="R3113" t="s">
        <v>19447</v>
      </c>
      <c r="S3113" t="s">
        <v>19447</v>
      </c>
      <c r="T3113" t="s">
        <v>19901</v>
      </c>
    </row>
    <row r="3114" spans="2:20" x14ac:dyDescent="0.25">
      <c r="B3114" t="s">
        <v>2709</v>
      </c>
      <c r="C3114">
        <v>29334912</v>
      </c>
      <c r="E3114">
        <v>68.819999999999993</v>
      </c>
      <c r="F3114">
        <v>0</v>
      </c>
      <c r="G3114">
        <v>0</v>
      </c>
      <c r="H3114" t="s">
        <v>19447</v>
      </c>
      <c r="I3114" t="s">
        <v>19447</v>
      </c>
      <c r="J3114">
        <v>2</v>
      </c>
      <c r="L3114" t="s">
        <v>2709</v>
      </c>
      <c r="M3114">
        <v>29334912</v>
      </c>
      <c r="O3114" t="s">
        <v>20028</v>
      </c>
      <c r="P3114" t="s">
        <v>19900</v>
      </c>
      <c r="Q3114" t="s">
        <v>19900</v>
      </c>
      <c r="R3114" t="s">
        <v>19447</v>
      </c>
      <c r="S3114" t="s">
        <v>19447</v>
      </c>
      <c r="T3114" t="s">
        <v>19901</v>
      </c>
    </row>
    <row r="3115" spans="2:20" x14ac:dyDescent="0.25">
      <c r="B3115" t="s">
        <v>2709</v>
      </c>
      <c r="C3115">
        <v>29334913</v>
      </c>
      <c r="E3115">
        <v>68.819999999999993</v>
      </c>
      <c r="F3115">
        <v>0</v>
      </c>
      <c r="G3115">
        <v>0</v>
      </c>
      <c r="H3115" t="s">
        <v>19447</v>
      </c>
      <c r="I3115" t="s">
        <v>19447</v>
      </c>
      <c r="J3115">
        <v>14</v>
      </c>
      <c r="L3115" t="s">
        <v>2709</v>
      </c>
      <c r="M3115">
        <v>29334913</v>
      </c>
      <c r="O3115" t="s">
        <v>20028</v>
      </c>
      <c r="P3115" t="s">
        <v>19900</v>
      </c>
      <c r="Q3115" t="s">
        <v>19900</v>
      </c>
      <c r="R3115" t="s">
        <v>19447</v>
      </c>
      <c r="S3115" t="s">
        <v>19447</v>
      </c>
      <c r="T3115" t="s">
        <v>19911</v>
      </c>
    </row>
    <row r="3116" spans="2:20" x14ac:dyDescent="0.25">
      <c r="B3116" t="s">
        <v>2709</v>
      </c>
      <c r="C3116">
        <v>29334919</v>
      </c>
      <c r="E3116">
        <v>68.819999999999993</v>
      </c>
      <c r="F3116">
        <v>0</v>
      </c>
      <c r="G3116">
        <v>0</v>
      </c>
      <c r="H3116" t="s">
        <v>19447</v>
      </c>
      <c r="I3116" t="s">
        <v>19447</v>
      </c>
      <c r="J3116">
        <v>2</v>
      </c>
      <c r="L3116" t="s">
        <v>2709</v>
      </c>
      <c r="M3116">
        <v>29334919</v>
      </c>
      <c r="O3116" t="s">
        <v>20028</v>
      </c>
      <c r="P3116" t="s">
        <v>19900</v>
      </c>
      <c r="Q3116" t="s">
        <v>19900</v>
      </c>
      <c r="R3116" t="s">
        <v>19447</v>
      </c>
      <c r="S3116" t="s">
        <v>19447</v>
      </c>
      <c r="T3116" t="s">
        <v>19901</v>
      </c>
    </row>
    <row r="3117" spans="2:20" x14ac:dyDescent="0.25">
      <c r="B3117" t="s">
        <v>2709</v>
      </c>
      <c r="C3117">
        <v>29334920</v>
      </c>
      <c r="E3117">
        <v>68.819999999999993</v>
      </c>
      <c r="F3117">
        <v>0</v>
      </c>
      <c r="G3117">
        <v>0</v>
      </c>
      <c r="H3117" t="s">
        <v>19447</v>
      </c>
      <c r="I3117" t="s">
        <v>19447</v>
      </c>
      <c r="J3117">
        <v>2</v>
      </c>
      <c r="L3117" t="s">
        <v>2709</v>
      </c>
      <c r="M3117">
        <v>29334920</v>
      </c>
      <c r="O3117" t="s">
        <v>20028</v>
      </c>
      <c r="P3117" t="s">
        <v>19900</v>
      </c>
      <c r="Q3117" t="s">
        <v>19900</v>
      </c>
      <c r="R3117" t="s">
        <v>19447</v>
      </c>
      <c r="S3117" t="s">
        <v>19447</v>
      </c>
      <c r="T3117" t="s">
        <v>19901</v>
      </c>
    </row>
    <row r="3118" spans="2:20" x14ac:dyDescent="0.25">
      <c r="B3118" t="s">
        <v>2709</v>
      </c>
      <c r="C3118">
        <v>29334930</v>
      </c>
      <c r="E3118">
        <v>68.819999999999993</v>
      </c>
      <c r="F3118">
        <v>0</v>
      </c>
      <c r="G3118">
        <v>0</v>
      </c>
      <c r="H3118" t="s">
        <v>19447</v>
      </c>
      <c r="I3118" t="s">
        <v>19447</v>
      </c>
      <c r="J3118">
        <v>2</v>
      </c>
      <c r="L3118" t="s">
        <v>2709</v>
      </c>
      <c r="M3118">
        <v>29334930</v>
      </c>
      <c r="O3118" t="s">
        <v>20028</v>
      </c>
      <c r="P3118" t="s">
        <v>19900</v>
      </c>
      <c r="Q3118" t="s">
        <v>19900</v>
      </c>
      <c r="R3118" t="s">
        <v>19447</v>
      </c>
      <c r="S3118" t="s">
        <v>19447</v>
      </c>
      <c r="T3118" t="s">
        <v>19901</v>
      </c>
    </row>
    <row r="3119" spans="2:20" x14ac:dyDescent="0.25">
      <c r="B3119" t="s">
        <v>2709</v>
      </c>
      <c r="C3119">
        <v>29334940</v>
      </c>
      <c r="E3119">
        <v>68.819999999999993</v>
      </c>
      <c r="F3119">
        <v>0</v>
      </c>
      <c r="G3119">
        <v>0</v>
      </c>
      <c r="H3119" t="s">
        <v>19447</v>
      </c>
      <c r="I3119" t="s">
        <v>19447</v>
      </c>
      <c r="J3119">
        <v>2</v>
      </c>
      <c r="L3119" t="s">
        <v>2709</v>
      </c>
      <c r="M3119">
        <v>29334940</v>
      </c>
      <c r="O3119" t="s">
        <v>20028</v>
      </c>
      <c r="P3119" t="s">
        <v>19900</v>
      </c>
      <c r="Q3119" t="s">
        <v>19900</v>
      </c>
      <c r="R3119" t="s">
        <v>19447</v>
      </c>
      <c r="S3119" t="s">
        <v>19447</v>
      </c>
      <c r="T3119" t="s">
        <v>19901</v>
      </c>
    </row>
    <row r="3120" spans="2:20" x14ac:dyDescent="0.25">
      <c r="B3120" t="s">
        <v>2709</v>
      </c>
      <c r="C3120">
        <v>29334990</v>
      </c>
      <c r="E3120">
        <v>68.819999999999993</v>
      </c>
      <c r="F3120">
        <v>0</v>
      </c>
      <c r="G3120">
        <v>0</v>
      </c>
      <c r="H3120" t="s">
        <v>19447</v>
      </c>
      <c r="I3120" t="s">
        <v>19447</v>
      </c>
      <c r="J3120">
        <v>2</v>
      </c>
      <c r="L3120" t="s">
        <v>2709</v>
      </c>
      <c r="M3120">
        <v>29334990</v>
      </c>
      <c r="O3120" t="s">
        <v>20028</v>
      </c>
      <c r="P3120" t="s">
        <v>19900</v>
      </c>
      <c r="Q3120" t="s">
        <v>19900</v>
      </c>
      <c r="R3120" t="s">
        <v>19447</v>
      </c>
      <c r="S3120" t="s">
        <v>19447</v>
      </c>
      <c r="T3120" t="s">
        <v>19901</v>
      </c>
    </row>
    <row r="3121" spans="2:20" x14ac:dyDescent="0.25">
      <c r="B3121" t="s">
        <v>2709</v>
      </c>
      <c r="C3121">
        <v>29335200</v>
      </c>
      <c r="E3121">
        <v>68.819999999999993</v>
      </c>
      <c r="F3121">
        <v>0</v>
      </c>
      <c r="G3121">
        <v>0</v>
      </c>
      <c r="H3121" t="s">
        <v>19447</v>
      </c>
      <c r="I3121" t="s">
        <v>19447</v>
      </c>
      <c r="J3121">
        <v>2</v>
      </c>
      <c r="L3121" t="s">
        <v>2709</v>
      </c>
      <c r="M3121">
        <v>29335200</v>
      </c>
      <c r="O3121" t="s">
        <v>20028</v>
      </c>
      <c r="P3121" t="s">
        <v>19900</v>
      </c>
      <c r="Q3121" t="s">
        <v>19900</v>
      </c>
      <c r="R3121" t="s">
        <v>19447</v>
      </c>
      <c r="S3121" t="s">
        <v>19447</v>
      </c>
      <c r="T3121" t="s">
        <v>19901</v>
      </c>
    </row>
    <row r="3122" spans="2:20" x14ac:dyDescent="0.25">
      <c r="B3122" t="s">
        <v>2709</v>
      </c>
      <c r="C3122">
        <v>29335311</v>
      </c>
      <c r="E3122">
        <v>68.819999999999993</v>
      </c>
      <c r="F3122">
        <v>0</v>
      </c>
      <c r="G3122">
        <v>0</v>
      </c>
      <c r="H3122" t="s">
        <v>19447</v>
      </c>
      <c r="I3122" t="s">
        <v>19447</v>
      </c>
      <c r="J3122">
        <v>2</v>
      </c>
      <c r="L3122" t="s">
        <v>2709</v>
      </c>
      <c r="M3122">
        <v>29335311</v>
      </c>
      <c r="O3122" t="s">
        <v>20028</v>
      </c>
      <c r="P3122" t="s">
        <v>19900</v>
      </c>
      <c r="Q3122" t="s">
        <v>19900</v>
      </c>
      <c r="R3122" t="s">
        <v>19447</v>
      </c>
      <c r="S3122" t="s">
        <v>19447</v>
      </c>
      <c r="T3122" t="s">
        <v>19901</v>
      </c>
    </row>
    <row r="3123" spans="2:20" x14ac:dyDescent="0.25">
      <c r="B3123" t="s">
        <v>2709</v>
      </c>
      <c r="C3123">
        <v>29335312</v>
      </c>
      <c r="E3123">
        <v>68.819999999999993</v>
      </c>
      <c r="F3123">
        <v>0</v>
      </c>
      <c r="G3123">
        <v>0</v>
      </c>
      <c r="H3123" t="s">
        <v>19447</v>
      </c>
      <c r="I3123" t="s">
        <v>19447</v>
      </c>
      <c r="J3123">
        <v>2</v>
      </c>
      <c r="L3123" t="s">
        <v>2709</v>
      </c>
      <c r="M3123">
        <v>29335312</v>
      </c>
      <c r="O3123" t="s">
        <v>20028</v>
      </c>
      <c r="P3123" t="s">
        <v>19900</v>
      </c>
      <c r="Q3123" t="s">
        <v>19900</v>
      </c>
      <c r="R3123" t="s">
        <v>19447</v>
      </c>
      <c r="S3123" t="s">
        <v>19447</v>
      </c>
      <c r="T3123" t="s">
        <v>19901</v>
      </c>
    </row>
    <row r="3124" spans="2:20" x14ac:dyDescent="0.25">
      <c r="B3124" t="s">
        <v>2709</v>
      </c>
      <c r="C3124">
        <v>29335321</v>
      </c>
      <c r="E3124">
        <v>68.819999999999993</v>
      </c>
      <c r="F3124">
        <v>0</v>
      </c>
      <c r="G3124">
        <v>0</v>
      </c>
      <c r="H3124" t="s">
        <v>19447</v>
      </c>
      <c r="I3124" t="s">
        <v>19447</v>
      </c>
      <c r="J3124">
        <v>2</v>
      </c>
      <c r="L3124" t="s">
        <v>2709</v>
      </c>
      <c r="M3124">
        <v>29335321</v>
      </c>
      <c r="O3124" t="s">
        <v>20028</v>
      </c>
      <c r="P3124" t="s">
        <v>19900</v>
      </c>
      <c r="Q3124" t="s">
        <v>19900</v>
      </c>
      <c r="R3124" t="s">
        <v>19447</v>
      </c>
      <c r="S3124" t="s">
        <v>19447</v>
      </c>
      <c r="T3124" t="s">
        <v>19901</v>
      </c>
    </row>
    <row r="3125" spans="2:20" x14ac:dyDescent="0.25">
      <c r="B3125" t="s">
        <v>2709</v>
      </c>
      <c r="C3125">
        <v>29335322</v>
      </c>
      <c r="E3125">
        <v>68.819999999999993</v>
      </c>
      <c r="F3125">
        <v>0</v>
      </c>
      <c r="G3125">
        <v>0</v>
      </c>
      <c r="H3125" t="s">
        <v>19447</v>
      </c>
      <c r="I3125" t="s">
        <v>19447</v>
      </c>
      <c r="J3125">
        <v>2</v>
      </c>
      <c r="L3125" t="s">
        <v>2709</v>
      </c>
      <c r="M3125">
        <v>29335322</v>
      </c>
      <c r="O3125" t="s">
        <v>20028</v>
      </c>
      <c r="P3125" t="s">
        <v>19900</v>
      </c>
      <c r="Q3125" t="s">
        <v>19900</v>
      </c>
      <c r="R3125" t="s">
        <v>19447</v>
      </c>
      <c r="S3125" t="s">
        <v>19447</v>
      </c>
      <c r="T3125" t="s">
        <v>19901</v>
      </c>
    </row>
    <row r="3126" spans="2:20" x14ac:dyDescent="0.25">
      <c r="B3126" t="s">
        <v>2709</v>
      </c>
      <c r="C3126">
        <v>29335323</v>
      </c>
      <c r="E3126">
        <v>68.819999999999993</v>
      </c>
      <c r="F3126">
        <v>0</v>
      </c>
      <c r="G3126">
        <v>0</v>
      </c>
      <c r="H3126" t="s">
        <v>19447</v>
      </c>
      <c r="I3126" t="s">
        <v>19447</v>
      </c>
      <c r="J3126">
        <v>2</v>
      </c>
      <c r="L3126" t="s">
        <v>2709</v>
      </c>
      <c r="M3126">
        <v>29335323</v>
      </c>
      <c r="O3126" t="s">
        <v>20028</v>
      </c>
      <c r="P3126" t="s">
        <v>19900</v>
      </c>
      <c r="Q3126" t="s">
        <v>19900</v>
      </c>
      <c r="R3126" t="s">
        <v>19447</v>
      </c>
      <c r="S3126" t="s">
        <v>19447</v>
      </c>
      <c r="T3126" t="s">
        <v>19901</v>
      </c>
    </row>
    <row r="3127" spans="2:20" x14ac:dyDescent="0.25">
      <c r="B3127" t="s">
        <v>2709</v>
      </c>
      <c r="C3127">
        <v>29335330</v>
      </c>
      <c r="E3127">
        <v>68.819999999999993</v>
      </c>
      <c r="F3127">
        <v>0</v>
      </c>
      <c r="G3127">
        <v>0</v>
      </c>
      <c r="H3127" t="s">
        <v>19447</v>
      </c>
      <c r="I3127" t="s">
        <v>19447</v>
      </c>
      <c r="J3127">
        <v>2</v>
      </c>
      <c r="L3127" t="s">
        <v>2709</v>
      </c>
      <c r="M3127">
        <v>29335330</v>
      </c>
      <c r="O3127" t="s">
        <v>20028</v>
      </c>
      <c r="P3127" t="s">
        <v>19900</v>
      </c>
      <c r="Q3127" t="s">
        <v>19900</v>
      </c>
      <c r="R3127" t="s">
        <v>19447</v>
      </c>
      <c r="S3127" t="s">
        <v>19447</v>
      </c>
      <c r="T3127" t="s">
        <v>19901</v>
      </c>
    </row>
    <row r="3128" spans="2:20" x14ac:dyDescent="0.25">
      <c r="B3128" t="s">
        <v>2709</v>
      </c>
      <c r="C3128">
        <v>29335340</v>
      </c>
      <c r="E3128">
        <v>68.819999999999993</v>
      </c>
      <c r="F3128">
        <v>0</v>
      </c>
      <c r="G3128">
        <v>0</v>
      </c>
      <c r="H3128" t="s">
        <v>19447</v>
      </c>
      <c r="I3128" t="s">
        <v>19447</v>
      </c>
      <c r="J3128">
        <v>14</v>
      </c>
      <c r="L3128" t="s">
        <v>2709</v>
      </c>
      <c r="M3128">
        <v>29335340</v>
      </c>
      <c r="O3128" t="s">
        <v>20028</v>
      </c>
      <c r="P3128" t="s">
        <v>19900</v>
      </c>
      <c r="Q3128" t="s">
        <v>19900</v>
      </c>
      <c r="R3128" t="s">
        <v>19447</v>
      </c>
      <c r="S3128" t="s">
        <v>19447</v>
      </c>
      <c r="T3128" t="s">
        <v>19911</v>
      </c>
    </row>
    <row r="3129" spans="2:20" x14ac:dyDescent="0.25">
      <c r="B3129" t="s">
        <v>2709</v>
      </c>
      <c r="C3129">
        <v>29335350</v>
      </c>
      <c r="E3129">
        <v>68.819999999999993</v>
      </c>
      <c r="F3129">
        <v>0</v>
      </c>
      <c r="G3129">
        <v>0</v>
      </c>
      <c r="H3129" t="s">
        <v>19447</v>
      </c>
      <c r="I3129" t="s">
        <v>19447</v>
      </c>
      <c r="J3129">
        <v>2</v>
      </c>
      <c r="L3129" t="s">
        <v>2709</v>
      </c>
      <c r="M3129">
        <v>29335350</v>
      </c>
      <c r="O3129" t="s">
        <v>20028</v>
      </c>
      <c r="P3129" t="s">
        <v>19900</v>
      </c>
      <c r="Q3129" t="s">
        <v>19900</v>
      </c>
      <c r="R3129" t="s">
        <v>19447</v>
      </c>
      <c r="S3129" t="s">
        <v>19447</v>
      </c>
      <c r="T3129" t="s">
        <v>19901</v>
      </c>
    </row>
    <row r="3130" spans="2:20" x14ac:dyDescent="0.25">
      <c r="B3130" t="s">
        <v>2709</v>
      </c>
      <c r="C3130">
        <v>29335360</v>
      </c>
      <c r="E3130">
        <v>68.819999999999993</v>
      </c>
      <c r="F3130">
        <v>0</v>
      </c>
      <c r="G3130">
        <v>0</v>
      </c>
      <c r="H3130" t="s">
        <v>19447</v>
      </c>
      <c r="I3130" t="s">
        <v>19447</v>
      </c>
      <c r="J3130">
        <v>2</v>
      </c>
      <c r="L3130" t="s">
        <v>2709</v>
      </c>
      <c r="M3130">
        <v>29335360</v>
      </c>
      <c r="O3130" t="s">
        <v>20028</v>
      </c>
      <c r="P3130" t="s">
        <v>19900</v>
      </c>
      <c r="Q3130" t="s">
        <v>19900</v>
      </c>
      <c r="R3130" t="s">
        <v>19447</v>
      </c>
      <c r="S3130" t="s">
        <v>19447</v>
      </c>
      <c r="T3130" t="s">
        <v>19901</v>
      </c>
    </row>
    <row r="3131" spans="2:20" x14ac:dyDescent="0.25">
      <c r="B3131" t="s">
        <v>2709</v>
      </c>
      <c r="C3131">
        <v>29335371</v>
      </c>
      <c r="E3131">
        <v>68.819999999999993</v>
      </c>
      <c r="F3131">
        <v>0</v>
      </c>
      <c r="G3131">
        <v>0</v>
      </c>
      <c r="H3131" t="s">
        <v>19447</v>
      </c>
      <c r="I3131" t="s">
        <v>19447</v>
      </c>
      <c r="J3131">
        <v>2</v>
      </c>
      <c r="L3131" t="s">
        <v>2709</v>
      </c>
      <c r="M3131">
        <v>29335371</v>
      </c>
      <c r="O3131" t="s">
        <v>20028</v>
      </c>
      <c r="P3131" t="s">
        <v>19900</v>
      </c>
      <c r="Q3131" t="s">
        <v>19900</v>
      </c>
      <c r="R3131" t="s">
        <v>19447</v>
      </c>
      <c r="S3131" t="s">
        <v>19447</v>
      </c>
      <c r="T3131" t="s">
        <v>19901</v>
      </c>
    </row>
    <row r="3132" spans="2:20" x14ac:dyDescent="0.25">
      <c r="B3132" t="s">
        <v>2709</v>
      </c>
      <c r="C3132">
        <v>29335372</v>
      </c>
      <c r="E3132">
        <v>68.819999999999993</v>
      </c>
      <c r="F3132">
        <v>0</v>
      </c>
      <c r="G3132">
        <v>0</v>
      </c>
      <c r="H3132" t="s">
        <v>19447</v>
      </c>
      <c r="I3132" t="s">
        <v>19447</v>
      </c>
      <c r="J3132">
        <v>2</v>
      </c>
      <c r="L3132" t="s">
        <v>2709</v>
      </c>
      <c r="M3132">
        <v>29335372</v>
      </c>
      <c r="O3132" t="s">
        <v>20028</v>
      </c>
      <c r="P3132" t="s">
        <v>19900</v>
      </c>
      <c r="Q3132" t="s">
        <v>19900</v>
      </c>
      <c r="R3132" t="s">
        <v>19447</v>
      </c>
      <c r="S3132" t="s">
        <v>19447</v>
      </c>
      <c r="T3132" t="s">
        <v>19901</v>
      </c>
    </row>
    <row r="3133" spans="2:20" x14ac:dyDescent="0.25">
      <c r="B3133" t="s">
        <v>2709</v>
      </c>
      <c r="C3133">
        <v>29335380</v>
      </c>
      <c r="E3133">
        <v>68.819999999999993</v>
      </c>
      <c r="F3133">
        <v>0</v>
      </c>
      <c r="G3133">
        <v>0</v>
      </c>
      <c r="H3133" t="s">
        <v>19447</v>
      </c>
      <c r="I3133" t="s">
        <v>19447</v>
      </c>
      <c r="J3133">
        <v>2</v>
      </c>
      <c r="L3133" t="s">
        <v>2709</v>
      </c>
      <c r="M3133">
        <v>29335380</v>
      </c>
      <c r="O3133" t="s">
        <v>20028</v>
      </c>
      <c r="P3133" t="s">
        <v>19900</v>
      </c>
      <c r="Q3133" t="s">
        <v>19900</v>
      </c>
      <c r="R3133" t="s">
        <v>19447</v>
      </c>
      <c r="S3133" t="s">
        <v>19447</v>
      </c>
      <c r="T3133" t="s">
        <v>19901</v>
      </c>
    </row>
    <row r="3134" spans="2:20" x14ac:dyDescent="0.25">
      <c r="B3134" t="s">
        <v>2709</v>
      </c>
      <c r="C3134">
        <v>29335400</v>
      </c>
      <c r="E3134">
        <v>68.819999999999993</v>
      </c>
      <c r="F3134">
        <v>0</v>
      </c>
      <c r="G3134">
        <v>0</v>
      </c>
      <c r="H3134" t="s">
        <v>19447</v>
      </c>
      <c r="I3134" t="s">
        <v>19447</v>
      </c>
      <c r="J3134">
        <v>2</v>
      </c>
      <c r="L3134" t="s">
        <v>2709</v>
      </c>
      <c r="M3134">
        <v>29335400</v>
      </c>
      <c r="O3134" t="s">
        <v>20028</v>
      </c>
      <c r="P3134" t="s">
        <v>19900</v>
      </c>
      <c r="Q3134" t="s">
        <v>19900</v>
      </c>
      <c r="R3134" t="s">
        <v>19447</v>
      </c>
      <c r="S3134" t="s">
        <v>19447</v>
      </c>
      <c r="T3134" t="s">
        <v>19901</v>
      </c>
    </row>
    <row r="3135" spans="2:20" x14ac:dyDescent="0.25">
      <c r="B3135" t="s">
        <v>2709</v>
      </c>
      <c r="C3135">
        <v>29335510</v>
      </c>
      <c r="E3135">
        <v>68.819999999999993</v>
      </c>
      <c r="F3135">
        <v>0</v>
      </c>
      <c r="G3135">
        <v>0</v>
      </c>
      <c r="H3135" t="s">
        <v>19447</v>
      </c>
      <c r="I3135" t="s">
        <v>19447</v>
      </c>
      <c r="J3135">
        <v>2</v>
      </c>
      <c r="L3135" t="s">
        <v>2709</v>
      </c>
      <c r="M3135">
        <v>29335510</v>
      </c>
      <c r="O3135" t="s">
        <v>20028</v>
      </c>
      <c r="P3135" t="s">
        <v>19900</v>
      </c>
      <c r="Q3135" t="s">
        <v>19900</v>
      </c>
      <c r="R3135" t="s">
        <v>19447</v>
      </c>
      <c r="S3135" t="s">
        <v>19447</v>
      </c>
      <c r="T3135" t="s">
        <v>19901</v>
      </c>
    </row>
    <row r="3136" spans="2:20" x14ac:dyDescent="0.25">
      <c r="B3136" t="s">
        <v>2709</v>
      </c>
      <c r="C3136">
        <v>29335520</v>
      </c>
      <c r="E3136">
        <v>68.819999999999993</v>
      </c>
      <c r="F3136">
        <v>0</v>
      </c>
      <c r="G3136">
        <v>0</v>
      </c>
      <c r="H3136" t="s">
        <v>19447</v>
      </c>
      <c r="I3136" t="s">
        <v>19447</v>
      </c>
      <c r="J3136">
        <v>2</v>
      </c>
      <c r="L3136" t="s">
        <v>2709</v>
      </c>
      <c r="M3136">
        <v>29335520</v>
      </c>
      <c r="O3136" t="s">
        <v>20028</v>
      </c>
      <c r="P3136" t="s">
        <v>19900</v>
      </c>
      <c r="Q3136" t="s">
        <v>19900</v>
      </c>
      <c r="R3136" t="s">
        <v>19447</v>
      </c>
      <c r="S3136" t="s">
        <v>19447</v>
      </c>
      <c r="T3136" t="s">
        <v>19901</v>
      </c>
    </row>
    <row r="3137" spans="2:20" x14ac:dyDescent="0.25">
      <c r="B3137" t="s">
        <v>2709</v>
      </c>
      <c r="C3137">
        <v>29335530</v>
      </c>
      <c r="E3137">
        <v>68.819999999999993</v>
      </c>
      <c r="F3137">
        <v>0</v>
      </c>
      <c r="G3137">
        <v>0</v>
      </c>
      <c r="H3137" t="s">
        <v>19447</v>
      </c>
      <c r="I3137" t="s">
        <v>19447</v>
      </c>
      <c r="J3137">
        <v>2</v>
      </c>
      <c r="L3137" t="s">
        <v>2709</v>
      </c>
      <c r="M3137">
        <v>29335530</v>
      </c>
      <c r="O3137" t="s">
        <v>20028</v>
      </c>
      <c r="P3137" t="s">
        <v>19900</v>
      </c>
      <c r="Q3137" t="s">
        <v>19900</v>
      </c>
      <c r="R3137" t="s">
        <v>19447</v>
      </c>
      <c r="S3137" t="s">
        <v>19447</v>
      </c>
      <c r="T3137" t="s">
        <v>19901</v>
      </c>
    </row>
    <row r="3138" spans="2:20" x14ac:dyDescent="0.25">
      <c r="B3138" t="s">
        <v>2709</v>
      </c>
      <c r="C3138">
        <v>29335540</v>
      </c>
      <c r="E3138">
        <v>68.819999999999993</v>
      </c>
      <c r="F3138">
        <v>0</v>
      </c>
      <c r="G3138">
        <v>0</v>
      </c>
      <c r="H3138" t="s">
        <v>19447</v>
      </c>
      <c r="I3138" t="s">
        <v>19447</v>
      </c>
      <c r="J3138">
        <v>2</v>
      </c>
      <c r="L3138" t="s">
        <v>2709</v>
      </c>
      <c r="M3138">
        <v>29335540</v>
      </c>
      <c r="O3138" t="s">
        <v>20028</v>
      </c>
      <c r="P3138" t="s">
        <v>19900</v>
      </c>
      <c r="Q3138" t="s">
        <v>19900</v>
      </c>
      <c r="R3138" t="s">
        <v>19447</v>
      </c>
      <c r="S3138" t="s">
        <v>19447</v>
      </c>
      <c r="T3138" t="s">
        <v>19901</v>
      </c>
    </row>
    <row r="3139" spans="2:20" x14ac:dyDescent="0.25">
      <c r="B3139" t="s">
        <v>2709</v>
      </c>
      <c r="C3139">
        <v>29335911</v>
      </c>
      <c r="E3139">
        <v>68.819999999999993</v>
      </c>
      <c r="F3139">
        <v>0</v>
      </c>
      <c r="G3139">
        <v>0</v>
      </c>
      <c r="H3139" t="s">
        <v>19447</v>
      </c>
      <c r="I3139" t="s">
        <v>19447</v>
      </c>
      <c r="J3139">
        <v>2</v>
      </c>
      <c r="L3139" t="s">
        <v>2709</v>
      </c>
      <c r="M3139">
        <v>29335911</v>
      </c>
      <c r="O3139" t="s">
        <v>20028</v>
      </c>
      <c r="P3139" t="s">
        <v>19900</v>
      </c>
      <c r="Q3139" t="s">
        <v>19900</v>
      </c>
      <c r="R3139" t="s">
        <v>19447</v>
      </c>
      <c r="S3139" t="s">
        <v>19447</v>
      </c>
      <c r="T3139" t="s">
        <v>19901</v>
      </c>
    </row>
    <row r="3140" spans="2:20" x14ac:dyDescent="0.25">
      <c r="B3140" t="s">
        <v>2709</v>
      </c>
      <c r="C3140">
        <v>29335912</v>
      </c>
      <c r="E3140">
        <v>68.819999999999993</v>
      </c>
      <c r="F3140">
        <v>0</v>
      </c>
      <c r="G3140">
        <v>0</v>
      </c>
      <c r="H3140" t="s">
        <v>19447</v>
      </c>
      <c r="I3140" t="s">
        <v>19447</v>
      </c>
      <c r="J3140">
        <v>14</v>
      </c>
      <c r="L3140" t="s">
        <v>2709</v>
      </c>
      <c r="M3140">
        <v>29335912</v>
      </c>
      <c r="O3140" t="s">
        <v>20028</v>
      </c>
      <c r="P3140" t="s">
        <v>19900</v>
      </c>
      <c r="Q3140" t="s">
        <v>19900</v>
      </c>
      <c r="R3140" t="s">
        <v>19447</v>
      </c>
      <c r="S3140" t="s">
        <v>19447</v>
      </c>
      <c r="T3140" t="s">
        <v>19911</v>
      </c>
    </row>
    <row r="3141" spans="2:20" x14ac:dyDescent="0.25">
      <c r="B3141" t="s">
        <v>2709</v>
      </c>
      <c r="C3141">
        <v>29335913</v>
      </c>
      <c r="E3141">
        <v>68.819999999999993</v>
      </c>
      <c r="F3141">
        <v>0</v>
      </c>
      <c r="G3141">
        <v>0</v>
      </c>
      <c r="H3141" t="s">
        <v>19447</v>
      </c>
      <c r="I3141" t="s">
        <v>19447</v>
      </c>
      <c r="J3141">
        <v>2</v>
      </c>
      <c r="L3141" t="s">
        <v>2709</v>
      </c>
      <c r="M3141">
        <v>29335913</v>
      </c>
      <c r="O3141" t="s">
        <v>20028</v>
      </c>
      <c r="P3141" t="s">
        <v>19900</v>
      </c>
      <c r="Q3141" t="s">
        <v>19900</v>
      </c>
      <c r="R3141" t="s">
        <v>19447</v>
      </c>
      <c r="S3141" t="s">
        <v>19447</v>
      </c>
      <c r="T3141" t="s">
        <v>19901</v>
      </c>
    </row>
    <row r="3142" spans="2:20" x14ac:dyDescent="0.25">
      <c r="B3142" t="s">
        <v>2709</v>
      </c>
      <c r="C3142">
        <v>29335914</v>
      </c>
      <c r="E3142">
        <v>68.819999999999993</v>
      </c>
      <c r="F3142">
        <v>0</v>
      </c>
      <c r="G3142">
        <v>0</v>
      </c>
      <c r="H3142" t="s">
        <v>19447</v>
      </c>
      <c r="I3142" t="s">
        <v>19447</v>
      </c>
      <c r="J3142">
        <v>2</v>
      </c>
      <c r="L3142" t="s">
        <v>2709</v>
      </c>
      <c r="M3142">
        <v>29335914</v>
      </c>
      <c r="O3142" t="s">
        <v>20028</v>
      </c>
      <c r="P3142" t="s">
        <v>19900</v>
      </c>
      <c r="Q3142" t="s">
        <v>19900</v>
      </c>
      <c r="R3142" t="s">
        <v>19447</v>
      </c>
      <c r="S3142" t="s">
        <v>19447</v>
      </c>
      <c r="T3142" t="s">
        <v>19901</v>
      </c>
    </row>
    <row r="3143" spans="2:20" x14ac:dyDescent="0.25">
      <c r="B3143" t="s">
        <v>2709</v>
      </c>
      <c r="C3143">
        <v>29335915</v>
      </c>
      <c r="E3143">
        <v>68.819999999999993</v>
      </c>
      <c r="F3143">
        <v>0</v>
      </c>
      <c r="G3143">
        <v>0</v>
      </c>
      <c r="H3143" t="s">
        <v>19447</v>
      </c>
      <c r="I3143" t="s">
        <v>19447</v>
      </c>
      <c r="J3143">
        <v>12</v>
      </c>
      <c r="L3143" t="s">
        <v>2709</v>
      </c>
      <c r="M3143">
        <v>29335915</v>
      </c>
      <c r="O3143" t="s">
        <v>20028</v>
      </c>
      <c r="P3143" t="s">
        <v>19900</v>
      </c>
      <c r="Q3143" t="s">
        <v>19900</v>
      </c>
      <c r="R3143" t="s">
        <v>19447</v>
      </c>
      <c r="S3143" t="s">
        <v>19447</v>
      </c>
      <c r="T3143" t="s">
        <v>19903</v>
      </c>
    </row>
    <row r="3144" spans="2:20" x14ac:dyDescent="0.25">
      <c r="B3144" t="s">
        <v>2709</v>
      </c>
      <c r="C3144">
        <v>29335916</v>
      </c>
      <c r="E3144">
        <v>68.819999999999993</v>
      </c>
      <c r="F3144">
        <v>0</v>
      </c>
      <c r="G3144">
        <v>0</v>
      </c>
      <c r="H3144" t="s">
        <v>19447</v>
      </c>
      <c r="I3144" t="s">
        <v>19447</v>
      </c>
      <c r="J3144">
        <v>2</v>
      </c>
      <c r="L3144" t="s">
        <v>2709</v>
      </c>
      <c r="M3144">
        <v>29335916</v>
      </c>
      <c r="O3144" t="s">
        <v>20028</v>
      </c>
      <c r="P3144" t="s">
        <v>19900</v>
      </c>
      <c r="Q3144" t="s">
        <v>19900</v>
      </c>
      <c r="R3144" t="s">
        <v>19447</v>
      </c>
      <c r="S3144" t="s">
        <v>19447</v>
      </c>
      <c r="T3144" t="s">
        <v>19901</v>
      </c>
    </row>
    <row r="3145" spans="2:20" x14ac:dyDescent="0.25">
      <c r="B3145" t="s">
        <v>2709</v>
      </c>
      <c r="C3145">
        <v>29335919</v>
      </c>
      <c r="E3145">
        <v>68.819999999999993</v>
      </c>
      <c r="F3145">
        <v>0</v>
      </c>
      <c r="G3145">
        <v>0</v>
      </c>
      <c r="H3145" t="s">
        <v>19447</v>
      </c>
      <c r="I3145" t="s">
        <v>19447</v>
      </c>
      <c r="J3145">
        <v>2</v>
      </c>
      <c r="L3145" t="s">
        <v>2709</v>
      </c>
      <c r="M3145">
        <v>29335919</v>
      </c>
      <c r="O3145" t="s">
        <v>20028</v>
      </c>
      <c r="P3145" t="s">
        <v>19900</v>
      </c>
      <c r="Q3145" t="s">
        <v>19900</v>
      </c>
      <c r="R3145" t="s">
        <v>19447</v>
      </c>
      <c r="S3145" t="s">
        <v>19447</v>
      </c>
      <c r="T3145" t="s">
        <v>19901</v>
      </c>
    </row>
    <row r="3146" spans="2:20" x14ac:dyDescent="0.25">
      <c r="B3146" t="s">
        <v>2709</v>
      </c>
      <c r="C3146">
        <v>29335921</v>
      </c>
      <c r="E3146">
        <v>68.819999999999993</v>
      </c>
      <c r="F3146">
        <v>0</v>
      </c>
      <c r="G3146">
        <v>0</v>
      </c>
      <c r="H3146" t="s">
        <v>19447</v>
      </c>
      <c r="I3146" t="s">
        <v>19447</v>
      </c>
      <c r="J3146">
        <v>14</v>
      </c>
      <c r="L3146" t="s">
        <v>2709</v>
      </c>
      <c r="M3146">
        <v>29335921</v>
      </c>
      <c r="O3146" t="s">
        <v>20028</v>
      </c>
      <c r="P3146" t="s">
        <v>19900</v>
      </c>
      <c r="Q3146" t="s">
        <v>19900</v>
      </c>
      <c r="R3146" t="s">
        <v>19447</v>
      </c>
      <c r="S3146" t="s">
        <v>19447</v>
      </c>
      <c r="T3146" t="s">
        <v>19911</v>
      </c>
    </row>
    <row r="3147" spans="2:20" x14ac:dyDescent="0.25">
      <c r="B3147" t="s">
        <v>2709</v>
      </c>
      <c r="C3147">
        <v>29335922</v>
      </c>
      <c r="E3147">
        <v>68.819999999999993</v>
      </c>
      <c r="F3147">
        <v>0</v>
      </c>
      <c r="G3147">
        <v>0</v>
      </c>
      <c r="H3147" t="s">
        <v>19447</v>
      </c>
      <c r="I3147" t="s">
        <v>19447</v>
      </c>
      <c r="J3147">
        <v>2</v>
      </c>
      <c r="L3147" t="s">
        <v>2709</v>
      </c>
      <c r="M3147">
        <v>29335922</v>
      </c>
      <c r="O3147" t="s">
        <v>20028</v>
      </c>
      <c r="P3147" t="s">
        <v>19900</v>
      </c>
      <c r="Q3147" t="s">
        <v>19900</v>
      </c>
      <c r="R3147" t="s">
        <v>19447</v>
      </c>
      <c r="S3147" t="s">
        <v>19447</v>
      </c>
      <c r="T3147" t="s">
        <v>19901</v>
      </c>
    </row>
    <row r="3148" spans="2:20" x14ac:dyDescent="0.25">
      <c r="B3148" t="s">
        <v>2709</v>
      </c>
      <c r="C3148">
        <v>29335923</v>
      </c>
      <c r="E3148">
        <v>68.819999999999993</v>
      </c>
      <c r="F3148">
        <v>0</v>
      </c>
      <c r="G3148">
        <v>0</v>
      </c>
      <c r="H3148" t="s">
        <v>19447</v>
      </c>
      <c r="I3148" t="s">
        <v>19447</v>
      </c>
      <c r="J3148">
        <v>2</v>
      </c>
      <c r="L3148" t="s">
        <v>2709</v>
      </c>
      <c r="M3148">
        <v>29335923</v>
      </c>
      <c r="O3148" t="s">
        <v>20028</v>
      </c>
      <c r="P3148" t="s">
        <v>19900</v>
      </c>
      <c r="Q3148" t="s">
        <v>19900</v>
      </c>
      <c r="R3148" t="s">
        <v>19447</v>
      </c>
      <c r="S3148" t="s">
        <v>19447</v>
      </c>
      <c r="T3148" t="s">
        <v>19901</v>
      </c>
    </row>
    <row r="3149" spans="2:20" x14ac:dyDescent="0.25">
      <c r="B3149" t="s">
        <v>2709</v>
      </c>
      <c r="C3149">
        <v>29335929</v>
      </c>
      <c r="E3149">
        <v>68.819999999999993</v>
      </c>
      <c r="F3149">
        <v>0</v>
      </c>
      <c r="G3149">
        <v>0</v>
      </c>
      <c r="H3149" t="s">
        <v>19447</v>
      </c>
      <c r="I3149" t="s">
        <v>19447</v>
      </c>
      <c r="J3149">
        <v>2</v>
      </c>
      <c r="L3149" t="s">
        <v>2709</v>
      </c>
      <c r="M3149">
        <v>29335929</v>
      </c>
      <c r="O3149" t="s">
        <v>20028</v>
      </c>
      <c r="P3149" t="s">
        <v>19900</v>
      </c>
      <c r="Q3149" t="s">
        <v>19900</v>
      </c>
      <c r="R3149" t="s">
        <v>19447</v>
      </c>
      <c r="S3149" t="s">
        <v>19447</v>
      </c>
      <c r="T3149" t="s">
        <v>19901</v>
      </c>
    </row>
    <row r="3150" spans="2:20" x14ac:dyDescent="0.25">
      <c r="B3150" t="s">
        <v>2709</v>
      </c>
      <c r="C3150">
        <v>29335931</v>
      </c>
      <c r="E3150">
        <v>68.819999999999993</v>
      </c>
      <c r="F3150">
        <v>0</v>
      </c>
      <c r="G3150">
        <v>0</v>
      </c>
      <c r="H3150" t="s">
        <v>19447</v>
      </c>
      <c r="I3150" t="s">
        <v>19447</v>
      </c>
      <c r="J3150">
        <v>14</v>
      </c>
      <c r="L3150" t="s">
        <v>2709</v>
      </c>
      <c r="M3150">
        <v>29335931</v>
      </c>
      <c r="O3150" t="s">
        <v>20028</v>
      </c>
      <c r="P3150" t="s">
        <v>19900</v>
      </c>
      <c r="Q3150" t="s">
        <v>19900</v>
      </c>
      <c r="R3150" t="s">
        <v>19447</v>
      </c>
      <c r="S3150" t="s">
        <v>19447</v>
      </c>
      <c r="T3150" t="s">
        <v>19911</v>
      </c>
    </row>
    <row r="3151" spans="2:20" x14ac:dyDescent="0.25">
      <c r="B3151" t="s">
        <v>2709</v>
      </c>
      <c r="C3151">
        <v>29335932</v>
      </c>
      <c r="E3151">
        <v>68.819999999999993</v>
      </c>
      <c r="F3151">
        <v>0</v>
      </c>
      <c r="G3151">
        <v>0</v>
      </c>
      <c r="H3151" t="s">
        <v>19447</v>
      </c>
      <c r="I3151" t="s">
        <v>19447</v>
      </c>
      <c r="J3151">
        <v>2</v>
      </c>
      <c r="L3151" t="s">
        <v>2709</v>
      </c>
      <c r="M3151">
        <v>29335932</v>
      </c>
      <c r="O3151" t="s">
        <v>20028</v>
      </c>
      <c r="P3151" t="s">
        <v>19900</v>
      </c>
      <c r="Q3151" t="s">
        <v>19900</v>
      </c>
      <c r="R3151" t="s">
        <v>19447</v>
      </c>
      <c r="S3151" t="s">
        <v>19447</v>
      </c>
      <c r="T3151" t="s">
        <v>19901</v>
      </c>
    </row>
    <row r="3152" spans="2:20" x14ac:dyDescent="0.25">
      <c r="B3152" t="s">
        <v>2709</v>
      </c>
      <c r="C3152">
        <v>29335933</v>
      </c>
      <c r="E3152">
        <v>68.819999999999993</v>
      </c>
      <c r="F3152">
        <v>0</v>
      </c>
      <c r="G3152">
        <v>0</v>
      </c>
      <c r="H3152" t="s">
        <v>19447</v>
      </c>
      <c r="I3152" t="s">
        <v>19447</v>
      </c>
      <c r="J3152">
        <v>2</v>
      </c>
      <c r="L3152" t="s">
        <v>2709</v>
      </c>
      <c r="M3152">
        <v>29335933</v>
      </c>
      <c r="O3152" t="s">
        <v>20028</v>
      </c>
      <c r="P3152" t="s">
        <v>19900</v>
      </c>
      <c r="Q3152" t="s">
        <v>19900</v>
      </c>
      <c r="R3152" t="s">
        <v>19447</v>
      </c>
      <c r="S3152" t="s">
        <v>19447</v>
      </c>
      <c r="T3152" t="s">
        <v>19901</v>
      </c>
    </row>
    <row r="3153" spans="2:20" x14ac:dyDescent="0.25">
      <c r="B3153" t="s">
        <v>2709</v>
      </c>
      <c r="C3153">
        <v>29335934</v>
      </c>
      <c r="E3153">
        <v>68.819999999999993</v>
      </c>
      <c r="F3153">
        <v>0</v>
      </c>
      <c r="G3153">
        <v>0</v>
      </c>
      <c r="H3153" t="s">
        <v>19447</v>
      </c>
      <c r="I3153" t="s">
        <v>19447</v>
      </c>
      <c r="J3153">
        <v>14</v>
      </c>
      <c r="L3153" t="s">
        <v>2709</v>
      </c>
      <c r="M3153">
        <v>29335934</v>
      </c>
      <c r="O3153" t="s">
        <v>20028</v>
      </c>
      <c r="P3153" t="s">
        <v>19900</v>
      </c>
      <c r="Q3153" t="s">
        <v>19900</v>
      </c>
      <c r="R3153" t="s">
        <v>19447</v>
      </c>
      <c r="S3153" t="s">
        <v>19447</v>
      </c>
      <c r="T3153" t="s">
        <v>19911</v>
      </c>
    </row>
    <row r="3154" spans="2:20" x14ac:dyDescent="0.25">
      <c r="B3154" t="s">
        <v>2709</v>
      </c>
      <c r="C3154">
        <v>29335935</v>
      </c>
      <c r="E3154">
        <v>68.819999999999993</v>
      </c>
      <c r="F3154">
        <v>0</v>
      </c>
      <c r="G3154">
        <v>0</v>
      </c>
      <c r="H3154" t="s">
        <v>19447</v>
      </c>
      <c r="I3154" t="s">
        <v>19447</v>
      </c>
      <c r="J3154">
        <v>14</v>
      </c>
      <c r="L3154" t="s">
        <v>2709</v>
      </c>
      <c r="M3154">
        <v>29335935</v>
      </c>
      <c r="O3154" t="s">
        <v>20028</v>
      </c>
      <c r="P3154" t="s">
        <v>19900</v>
      </c>
      <c r="Q3154" t="s">
        <v>19900</v>
      </c>
      <c r="R3154" t="s">
        <v>19447</v>
      </c>
      <c r="S3154" t="s">
        <v>19447</v>
      </c>
      <c r="T3154" t="s">
        <v>19911</v>
      </c>
    </row>
    <row r="3155" spans="2:20" x14ac:dyDescent="0.25">
      <c r="B3155" t="s">
        <v>2709</v>
      </c>
      <c r="C3155">
        <v>29335939</v>
      </c>
      <c r="E3155">
        <v>68.819999999999993</v>
      </c>
      <c r="F3155">
        <v>0</v>
      </c>
      <c r="G3155">
        <v>0</v>
      </c>
      <c r="H3155" t="s">
        <v>19447</v>
      </c>
      <c r="I3155" t="s">
        <v>19447</v>
      </c>
      <c r="J3155">
        <v>2</v>
      </c>
      <c r="L3155" t="s">
        <v>2709</v>
      </c>
      <c r="M3155">
        <v>29335939</v>
      </c>
      <c r="O3155" t="s">
        <v>20028</v>
      </c>
      <c r="P3155" t="s">
        <v>19900</v>
      </c>
      <c r="Q3155" t="s">
        <v>19900</v>
      </c>
      <c r="R3155" t="s">
        <v>19447</v>
      </c>
      <c r="S3155" t="s">
        <v>19447</v>
      </c>
      <c r="T3155" t="s">
        <v>19901</v>
      </c>
    </row>
    <row r="3156" spans="2:20" x14ac:dyDescent="0.25">
      <c r="B3156" t="s">
        <v>2709</v>
      </c>
      <c r="C3156">
        <v>29335941</v>
      </c>
      <c r="E3156">
        <v>68.819999999999993</v>
      </c>
      <c r="F3156">
        <v>0</v>
      </c>
      <c r="G3156">
        <v>0</v>
      </c>
      <c r="H3156" t="s">
        <v>19447</v>
      </c>
      <c r="I3156" t="s">
        <v>19447</v>
      </c>
      <c r="J3156">
        <v>14</v>
      </c>
      <c r="L3156" t="s">
        <v>2709</v>
      </c>
      <c r="M3156">
        <v>29335941</v>
      </c>
      <c r="O3156" t="s">
        <v>20028</v>
      </c>
      <c r="P3156" t="s">
        <v>19900</v>
      </c>
      <c r="Q3156" t="s">
        <v>19900</v>
      </c>
      <c r="R3156" t="s">
        <v>19447</v>
      </c>
      <c r="S3156" t="s">
        <v>19447</v>
      </c>
      <c r="T3156" t="s">
        <v>19911</v>
      </c>
    </row>
    <row r="3157" spans="2:20" x14ac:dyDescent="0.25">
      <c r="B3157" t="s">
        <v>2709</v>
      </c>
      <c r="C3157">
        <v>29335942</v>
      </c>
      <c r="E3157">
        <v>68.819999999999993</v>
      </c>
      <c r="F3157">
        <v>0</v>
      </c>
      <c r="G3157">
        <v>0</v>
      </c>
      <c r="H3157" t="s">
        <v>19447</v>
      </c>
      <c r="I3157" t="s">
        <v>19447</v>
      </c>
      <c r="J3157">
        <v>2</v>
      </c>
      <c r="L3157" t="s">
        <v>2709</v>
      </c>
      <c r="M3157">
        <v>29335942</v>
      </c>
      <c r="O3157" t="s">
        <v>20028</v>
      </c>
      <c r="P3157" t="s">
        <v>19900</v>
      </c>
      <c r="Q3157" t="s">
        <v>19900</v>
      </c>
      <c r="R3157" t="s">
        <v>19447</v>
      </c>
      <c r="S3157" t="s">
        <v>19447</v>
      </c>
      <c r="T3157" t="s">
        <v>19901</v>
      </c>
    </row>
    <row r="3158" spans="2:20" x14ac:dyDescent="0.25">
      <c r="B3158" t="s">
        <v>2709</v>
      </c>
      <c r="C3158">
        <v>29335943</v>
      </c>
      <c r="E3158">
        <v>68.819999999999993</v>
      </c>
      <c r="F3158">
        <v>0</v>
      </c>
      <c r="G3158">
        <v>0</v>
      </c>
      <c r="H3158" t="s">
        <v>19447</v>
      </c>
      <c r="I3158" t="s">
        <v>19447</v>
      </c>
      <c r="J3158">
        <v>2</v>
      </c>
      <c r="L3158" t="s">
        <v>2709</v>
      </c>
      <c r="M3158">
        <v>29335943</v>
      </c>
      <c r="O3158" t="s">
        <v>20028</v>
      </c>
      <c r="P3158" t="s">
        <v>19900</v>
      </c>
      <c r="Q3158" t="s">
        <v>19900</v>
      </c>
      <c r="R3158" t="s">
        <v>19447</v>
      </c>
      <c r="S3158" t="s">
        <v>19447</v>
      </c>
      <c r="T3158" t="s">
        <v>19901</v>
      </c>
    </row>
    <row r="3159" spans="2:20" x14ac:dyDescent="0.25">
      <c r="B3159" t="s">
        <v>2709</v>
      </c>
      <c r="C3159">
        <v>29335944</v>
      </c>
      <c r="E3159">
        <v>68.819999999999993</v>
      </c>
      <c r="F3159">
        <v>0</v>
      </c>
      <c r="G3159">
        <v>0</v>
      </c>
      <c r="H3159" t="s">
        <v>19447</v>
      </c>
      <c r="I3159" t="s">
        <v>19447</v>
      </c>
      <c r="J3159">
        <v>14</v>
      </c>
      <c r="L3159" t="s">
        <v>2709</v>
      </c>
      <c r="M3159">
        <v>29335944</v>
      </c>
      <c r="O3159" t="s">
        <v>20028</v>
      </c>
      <c r="P3159" t="s">
        <v>19900</v>
      </c>
      <c r="Q3159" t="s">
        <v>19900</v>
      </c>
      <c r="R3159" t="s">
        <v>19447</v>
      </c>
      <c r="S3159" t="s">
        <v>19447</v>
      </c>
      <c r="T3159" t="s">
        <v>19911</v>
      </c>
    </row>
    <row r="3160" spans="2:20" x14ac:dyDescent="0.25">
      <c r="B3160" t="s">
        <v>2709</v>
      </c>
      <c r="C3160">
        <v>29335945</v>
      </c>
      <c r="E3160">
        <v>68.819999999999993</v>
      </c>
      <c r="F3160">
        <v>0</v>
      </c>
      <c r="G3160">
        <v>0</v>
      </c>
      <c r="H3160" t="s">
        <v>19447</v>
      </c>
      <c r="I3160" t="s">
        <v>19447</v>
      </c>
      <c r="J3160">
        <v>8</v>
      </c>
      <c r="L3160" t="s">
        <v>2709</v>
      </c>
      <c r="M3160">
        <v>29335945</v>
      </c>
      <c r="O3160" t="s">
        <v>20028</v>
      </c>
      <c r="P3160" t="s">
        <v>19900</v>
      </c>
      <c r="Q3160" t="s">
        <v>19900</v>
      </c>
      <c r="R3160" t="s">
        <v>19447</v>
      </c>
      <c r="S3160" t="s">
        <v>19447</v>
      </c>
      <c r="T3160" t="s">
        <v>19918</v>
      </c>
    </row>
    <row r="3161" spans="2:20" x14ac:dyDescent="0.25">
      <c r="B3161" t="s">
        <v>2709</v>
      </c>
      <c r="C3161">
        <v>29335949</v>
      </c>
      <c r="E3161">
        <v>68.819999999999993</v>
      </c>
      <c r="F3161">
        <v>0</v>
      </c>
      <c r="G3161">
        <v>0</v>
      </c>
      <c r="H3161" t="s">
        <v>19447</v>
      </c>
      <c r="I3161" t="s">
        <v>19447</v>
      </c>
      <c r="J3161">
        <v>2</v>
      </c>
      <c r="L3161" t="s">
        <v>2709</v>
      </c>
      <c r="M3161">
        <v>29335949</v>
      </c>
      <c r="O3161" t="s">
        <v>20028</v>
      </c>
      <c r="P3161" t="s">
        <v>19900</v>
      </c>
      <c r="Q3161" t="s">
        <v>19900</v>
      </c>
      <c r="R3161" t="s">
        <v>19447</v>
      </c>
      <c r="S3161" t="s">
        <v>19447</v>
      </c>
      <c r="T3161" t="s">
        <v>19901</v>
      </c>
    </row>
    <row r="3162" spans="2:20" x14ac:dyDescent="0.25">
      <c r="B3162" t="s">
        <v>2709</v>
      </c>
      <c r="C3162">
        <v>29335991</v>
      </c>
      <c r="E3162">
        <v>68.819999999999993</v>
      </c>
      <c r="F3162">
        <v>0</v>
      </c>
      <c r="G3162">
        <v>0</v>
      </c>
      <c r="H3162" t="s">
        <v>19447</v>
      </c>
      <c r="I3162" t="s">
        <v>19447</v>
      </c>
      <c r="J3162">
        <v>2</v>
      </c>
      <c r="L3162" t="s">
        <v>2709</v>
      </c>
      <c r="M3162">
        <v>29335991</v>
      </c>
      <c r="O3162" t="s">
        <v>20028</v>
      </c>
      <c r="P3162" t="s">
        <v>19900</v>
      </c>
      <c r="Q3162" t="s">
        <v>19900</v>
      </c>
      <c r="R3162" t="s">
        <v>19447</v>
      </c>
      <c r="S3162" t="s">
        <v>19447</v>
      </c>
      <c r="T3162" t="s">
        <v>19901</v>
      </c>
    </row>
    <row r="3163" spans="2:20" x14ac:dyDescent="0.25">
      <c r="B3163" t="s">
        <v>2709</v>
      </c>
      <c r="C3163">
        <v>29335992</v>
      </c>
      <c r="E3163">
        <v>68.819999999999993</v>
      </c>
      <c r="F3163">
        <v>0</v>
      </c>
      <c r="G3163">
        <v>0</v>
      </c>
      <c r="H3163" t="s">
        <v>19447</v>
      </c>
      <c r="I3163" t="s">
        <v>19447</v>
      </c>
      <c r="J3163">
        <v>14</v>
      </c>
      <c r="L3163" t="s">
        <v>2709</v>
      </c>
      <c r="M3163">
        <v>29335992</v>
      </c>
      <c r="O3163" t="s">
        <v>20028</v>
      </c>
      <c r="P3163" t="s">
        <v>19900</v>
      </c>
      <c r="Q3163" t="s">
        <v>19900</v>
      </c>
      <c r="R3163" t="s">
        <v>19447</v>
      </c>
      <c r="S3163" t="s">
        <v>19447</v>
      </c>
      <c r="T3163" t="s">
        <v>19911</v>
      </c>
    </row>
    <row r="3164" spans="2:20" x14ac:dyDescent="0.25">
      <c r="B3164" t="s">
        <v>2709</v>
      </c>
      <c r="C3164">
        <v>29335999</v>
      </c>
      <c r="E3164">
        <v>68.819999999999993</v>
      </c>
      <c r="F3164">
        <v>0</v>
      </c>
      <c r="G3164">
        <v>0</v>
      </c>
      <c r="H3164" t="s">
        <v>19447</v>
      </c>
      <c r="I3164" t="s">
        <v>19447</v>
      </c>
      <c r="J3164">
        <v>2</v>
      </c>
      <c r="L3164" t="s">
        <v>2709</v>
      </c>
      <c r="M3164">
        <v>29335999</v>
      </c>
      <c r="O3164" t="s">
        <v>20028</v>
      </c>
      <c r="P3164" t="s">
        <v>19900</v>
      </c>
      <c r="Q3164" t="s">
        <v>19900</v>
      </c>
      <c r="R3164" t="s">
        <v>19447</v>
      </c>
      <c r="S3164" t="s">
        <v>19447</v>
      </c>
      <c r="T3164" t="s">
        <v>19901</v>
      </c>
    </row>
    <row r="3165" spans="2:20" x14ac:dyDescent="0.25">
      <c r="B3165" t="s">
        <v>2709</v>
      </c>
      <c r="C3165">
        <v>29336100</v>
      </c>
      <c r="E3165">
        <v>68.819999999999993</v>
      </c>
      <c r="F3165">
        <v>0</v>
      </c>
      <c r="G3165">
        <v>0</v>
      </c>
      <c r="H3165" t="s">
        <v>19447</v>
      </c>
      <c r="I3165" t="s">
        <v>19447</v>
      </c>
      <c r="J3165">
        <v>2</v>
      </c>
      <c r="L3165" t="s">
        <v>2709</v>
      </c>
      <c r="M3165">
        <v>29336100</v>
      </c>
      <c r="O3165" t="s">
        <v>20028</v>
      </c>
      <c r="P3165" t="s">
        <v>19900</v>
      </c>
      <c r="Q3165" t="s">
        <v>19900</v>
      </c>
      <c r="R3165" t="s">
        <v>19447</v>
      </c>
      <c r="S3165" t="s">
        <v>19447</v>
      </c>
      <c r="T3165" t="s">
        <v>19901</v>
      </c>
    </row>
    <row r="3166" spans="2:20" x14ac:dyDescent="0.25">
      <c r="B3166" t="s">
        <v>2709</v>
      </c>
      <c r="C3166">
        <v>29336911</v>
      </c>
      <c r="E3166">
        <v>57.94</v>
      </c>
      <c r="F3166">
        <v>0</v>
      </c>
      <c r="G3166">
        <v>0</v>
      </c>
      <c r="H3166" t="s">
        <v>19447</v>
      </c>
      <c r="I3166" t="s">
        <v>19447</v>
      </c>
      <c r="J3166">
        <v>2</v>
      </c>
      <c r="L3166" t="s">
        <v>2709</v>
      </c>
      <c r="M3166">
        <v>29336911</v>
      </c>
      <c r="O3166" t="s">
        <v>20019</v>
      </c>
      <c r="P3166" t="s">
        <v>19900</v>
      </c>
      <c r="Q3166" t="s">
        <v>19900</v>
      </c>
      <c r="R3166" t="s">
        <v>19447</v>
      </c>
      <c r="S3166" t="s">
        <v>19447</v>
      </c>
      <c r="T3166" t="s">
        <v>19901</v>
      </c>
    </row>
    <row r="3167" spans="2:20" x14ac:dyDescent="0.25">
      <c r="B3167" t="s">
        <v>2709</v>
      </c>
      <c r="C3167">
        <v>29336912</v>
      </c>
      <c r="E3167">
        <v>68.819999999999993</v>
      </c>
      <c r="F3167">
        <v>0</v>
      </c>
      <c r="G3167">
        <v>0</v>
      </c>
      <c r="H3167" t="s">
        <v>19447</v>
      </c>
      <c r="I3167" t="s">
        <v>19447</v>
      </c>
      <c r="J3167">
        <v>2</v>
      </c>
      <c r="L3167" t="s">
        <v>2709</v>
      </c>
      <c r="M3167">
        <v>29336912</v>
      </c>
      <c r="O3167" t="s">
        <v>20028</v>
      </c>
      <c r="P3167" t="s">
        <v>19900</v>
      </c>
      <c r="Q3167" t="s">
        <v>19900</v>
      </c>
      <c r="R3167" t="s">
        <v>19447</v>
      </c>
      <c r="S3167" t="s">
        <v>19447</v>
      </c>
      <c r="T3167" t="s">
        <v>19901</v>
      </c>
    </row>
    <row r="3168" spans="2:20" x14ac:dyDescent="0.25">
      <c r="B3168" t="s">
        <v>2709</v>
      </c>
      <c r="C3168">
        <v>29336913</v>
      </c>
      <c r="E3168">
        <v>68.819999999999993</v>
      </c>
      <c r="F3168">
        <v>0</v>
      </c>
      <c r="G3168">
        <v>0</v>
      </c>
      <c r="H3168" t="s">
        <v>19447</v>
      </c>
      <c r="I3168" t="s">
        <v>19447</v>
      </c>
      <c r="J3168">
        <v>12</v>
      </c>
      <c r="L3168" t="s">
        <v>2709</v>
      </c>
      <c r="M3168">
        <v>29336913</v>
      </c>
      <c r="O3168" t="s">
        <v>20028</v>
      </c>
      <c r="P3168" t="s">
        <v>19900</v>
      </c>
      <c r="Q3168" t="s">
        <v>19900</v>
      </c>
      <c r="R3168" t="s">
        <v>19447</v>
      </c>
      <c r="S3168" t="s">
        <v>19447</v>
      </c>
      <c r="T3168" t="s">
        <v>19903</v>
      </c>
    </row>
    <row r="3169" spans="2:20" x14ac:dyDescent="0.25">
      <c r="B3169" t="s">
        <v>2709</v>
      </c>
      <c r="C3169">
        <v>29336914</v>
      </c>
      <c r="E3169">
        <v>68.819999999999993</v>
      </c>
      <c r="F3169">
        <v>0</v>
      </c>
      <c r="G3169">
        <v>0</v>
      </c>
      <c r="H3169" t="s">
        <v>19447</v>
      </c>
      <c r="I3169" t="s">
        <v>19447</v>
      </c>
      <c r="J3169">
        <v>2</v>
      </c>
      <c r="L3169" t="s">
        <v>2709</v>
      </c>
      <c r="M3169">
        <v>29336914</v>
      </c>
      <c r="O3169" t="s">
        <v>20028</v>
      </c>
      <c r="P3169" t="s">
        <v>19900</v>
      </c>
      <c r="Q3169" t="s">
        <v>19900</v>
      </c>
      <c r="R3169" t="s">
        <v>19447</v>
      </c>
      <c r="S3169" t="s">
        <v>19447</v>
      </c>
      <c r="T3169" t="s">
        <v>19901</v>
      </c>
    </row>
    <row r="3170" spans="2:20" x14ac:dyDescent="0.25">
      <c r="B3170" t="s">
        <v>2709</v>
      </c>
      <c r="C3170">
        <v>29336915</v>
      </c>
      <c r="E3170">
        <v>68.819999999999993</v>
      </c>
      <c r="F3170">
        <v>0</v>
      </c>
      <c r="G3170">
        <v>0</v>
      </c>
      <c r="H3170" t="s">
        <v>19447</v>
      </c>
      <c r="I3170" t="s">
        <v>19447</v>
      </c>
      <c r="J3170">
        <v>2</v>
      </c>
      <c r="L3170" t="s">
        <v>2709</v>
      </c>
      <c r="M3170">
        <v>29336915</v>
      </c>
      <c r="O3170" t="s">
        <v>20028</v>
      </c>
      <c r="P3170" t="s">
        <v>19900</v>
      </c>
      <c r="Q3170" t="s">
        <v>19900</v>
      </c>
      <c r="R3170" t="s">
        <v>19447</v>
      </c>
      <c r="S3170" t="s">
        <v>19447</v>
      </c>
      <c r="T3170" t="s">
        <v>19901</v>
      </c>
    </row>
    <row r="3171" spans="2:20" x14ac:dyDescent="0.25">
      <c r="B3171" t="s">
        <v>2709</v>
      </c>
      <c r="C3171">
        <v>29336916</v>
      </c>
      <c r="E3171">
        <v>68.819999999999993</v>
      </c>
      <c r="F3171">
        <v>0</v>
      </c>
      <c r="G3171">
        <v>0</v>
      </c>
      <c r="H3171" t="s">
        <v>19447</v>
      </c>
      <c r="I3171" t="s">
        <v>19447</v>
      </c>
      <c r="J3171">
        <v>2</v>
      </c>
      <c r="L3171" t="s">
        <v>2709</v>
      </c>
      <c r="M3171">
        <v>29336916</v>
      </c>
      <c r="O3171" t="s">
        <v>20028</v>
      </c>
      <c r="P3171" t="s">
        <v>19900</v>
      </c>
      <c r="Q3171" t="s">
        <v>19900</v>
      </c>
      <c r="R3171" t="s">
        <v>19447</v>
      </c>
      <c r="S3171" t="s">
        <v>19447</v>
      </c>
      <c r="T3171" t="s">
        <v>19901</v>
      </c>
    </row>
    <row r="3172" spans="2:20" x14ac:dyDescent="0.25">
      <c r="B3172" t="s">
        <v>2709</v>
      </c>
      <c r="C3172">
        <v>29336919</v>
      </c>
      <c r="E3172">
        <v>57.94</v>
      </c>
      <c r="F3172">
        <v>0</v>
      </c>
      <c r="G3172">
        <v>0</v>
      </c>
      <c r="H3172" t="s">
        <v>19447</v>
      </c>
      <c r="I3172" t="s">
        <v>19447</v>
      </c>
      <c r="J3172">
        <v>2</v>
      </c>
      <c r="L3172" t="s">
        <v>2709</v>
      </c>
      <c r="M3172">
        <v>29336919</v>
      </c>
      <c r="O3172" t="s">
        <v>20019</v>
      </c>
      <c r="P3172" t="s">
        <v>19900</v>
      </c>
      <c r="Q3172" t="s">
        <v>19900</v>
      </c>
      <c r="R3172" t="s">
        <v>19447</v>
      </c>
      <c r="S3172" t="s">
        <v>19447</v>
      </c>
      <c r="T3172" t="s">
        <v>19901</v>
      </c>
    </row>
    <row r="3173" spans="2:20" x14ac:dyDescent="0.25">
      <c r="B3173" t="s">
        <v>2709</v>
      </c>
      <c r="C3173">
        <v>29336921</v>
      </c>
      <c r="E3173">
        <v>68.819999999999993</v>
      </c>
      <c r="F3173">
        <v>0</v>
      </c>
      <c r="G3173">
        <v>0</v>
      </c>
      <c r="H3173" t="s">
        <v>19447</v>
      </c>
      <c r="I3173" t="s">
        <v>19447</v>
      </c>
      <c r="J3173">
        <v>14</v>
      </c>
      <c r="L3173" t="s">
        <v>2709</v>
      </c>
      <c r="M3173">
        <v>29336921</v>
      </c>
      <c r="O3173" t="s">
        <v>20028</v>
      </c>
      <c r="P3173" t="s">
        <v>19900</v>
      </c>
      <c r="Q3173" t="s">
        <v>19900</v>
      </c>
      <c r="R3173" t="s">
        <v>19447</v>
      </c>
      <c r="S3173" t="s">
        <v>19447</v>
      </c>
      <c r="T3173" t="s">
        <v>19911</v>
      </c>
    </row>
    <row r="3174" spans="2:20" x14ac:dyDescent="0.25">
      <c r="B3174" t="s">
        <v>2709</v>
      </c>
      <c r="C3174">
        <v>29336922</v>
      </c>
      <c r="E3174">
        <v>68.819999999999993</v>
      </c>
      <c r="F3174">
        <v>0</v>
      </c>
      <c r="G3174">
        <v>0</v>
      </c>
      <c r="H3174" t="s">
        <v>19447</v>
      </c>
      <c r="I3174" t="s">
        <v>19447</v>
      </c>
      <c r="J3174">
        <v>0</v>
      </c>
      <c r="L3174" t="s">
        <v>2709</v>
      </c>
      <c r="M3174">
        <v>29336922</v>
      </c>
      <c r="O3174" t="s">
        <v>20028</v>
      </c>
      <c r="P3174" t="s">
        <v>19900</v>
      </c>
      <c r="Q3174" t="s">
        <v>19900</v>
      </c>
      <c r="R3174" t="s">
        <v>19447</v>
      </c>
      <c r="S3174" t="s">
        <v>19447</v>
      </c>
      <c r="T3174" t="s">
        <v>19900</v>
      </c>
    </row>
    <row r="3175" spans="2:20" x14ac:dyDescent="0.25">
      <c r="B3175" t="s">
        <v>2709</v>
      </c>
      <c r="C3175">
        <v>29336923</v>
      </c>
      <c r="E3175">
        <v>68.819999999999993</v>
      </c>
      <c r="F3175">
        <v>0</v>
      </c>
      <c r="G3175">
        <v>0</v>
      </c>
      <c r="H3175" t="s">
        <v>19447</v>
      </c>
      <c r="I3175" t="s">
        <v>19447</v>
      </c>
      <c r="J3175">
        <v>2</v>
      </c>
      <c r="L3175" t="s">
        <v>2709</v>
      </c>
      <c r="M3175">
        <v>29336923</v>
      </c>
      <c r="O3175" t="s">
        <v>20028</v>
      </c>
      <c r="P3175" t="s">
        <v>19900</v>
      </c>
      <c r="Q3175" t="s">
        <v>19900</v>
      </c>
      <c r="R3175" t="s">
        <v>19447</v>
      </c>
      <c r="S3175" t="s">
        <v>19447</v>
      </c>
      <c r="T3175" t="s">
        <v>19901</v>
      </c>
    </row>
    <row r="3176" spans="2:20" x14ac:dyDescent="0.25">
      <c r="B3176" t="s">
        <v>2709</v>
      </c>
      <c r="C3176">
        <v>29336929</v>
      </c>
      <c r="E3176">
        <v>68.819999999999993</v>
      </c>
      <c r="F3176">
        <v>0</v>
      </c>
      <c r="G3176">
        <v>0</v>
      </c>
      <c r="H3176" t="s">
        <v>19447</v>
      </c>
      <c r="I3176" t="s">
        <v>19447</v>
      </c>
      <c r="J3176">
        <v>2</v>
      </c>
      <c r="L3176" t="s">
        <v>2709</v>
      </c>
      <c r="M3176">
        <v>29336929</v>
      </c>
      <c r="O3176" t="s">
        <v>20028</v>
      </c>
      <c r="P3176" t="s">
        <v>19900</v>
      </c>
      <c r="Q3176" t="s">
        <v>19900</v>
      </c>
      <c r="R3176" t="s">
        <v>19447</v>
      </c>
      <c r="S3176" t="s">
        <v>19447</v>
      </c>
      <c r="T3176" t="s">
        <v>19901</v>
      </c>
    </row>
    <row r="3177" spans="2:20" x14ac:dyDescent="0.25">
      <c r="B3177" t="s">
        <v>2709</v>
      </c>
      <c r="C3177">
        <v>29336991</v>
      </c>
      <c r="E3177">
        <v>68.819999999999993</v>
      </c>
      <c r="F3177">
        <v>0</v>
      </c>
      <c r="G3177">
        <v>0</v>
      </c>
      <c r="H3177" t="s">
        <v>19447</v>
      </c>
      <c r="I3177" t="s">
        <v>19447</v>
      </c>
      <c r="J3177">
        <v>2</v>
      </c>
      <c r="L3177" t="s">
        <v>2709</v>
      </c>
      <c r="M3177">
        <v>29336991</v>
      </c>
      <c r="O3177" t="s">
        <v>20028</v>
      </c>
      <c r="P3177" t="s">
        <v>19900</v>
      </c>
      <c r="Q3177" t="s">
        <v>19900</v>
      </c>
      <c r="R3177" t="s">
        <v>19447</v>
      </c>
      <c r="S3177" t="s">
        <v>19447</v>
      </c>
      <c r="T3177" t="s">
        <v>19901</v>
      </c>
    </row>
    <row r="3178" spans="2:20" x14ac:dyDescent="0.25">
      <c r="B3178" t="s">
        <v>2709</v>
      </c>
      <c r="C3178">
        <v>29336992</v>
      </c>
      <c r="E3178">
        <v>68.819999999999993</v>
      </c>
      <c r="F3178">
        <v>0</v>
      </c>
      <c r="G3178">
        <v>0</v>
      </c>
      <c r="H3178" t="s">
        <v>19447</v>
      </c>
      <c r="I3178" t="s">
        <v>19447</v>
      </c>
      <c r="J3178">
        <v>14</v>
      </c>
      <c r="L3178" t="s">
        <v>2709</v>
      </c>
      <c r="M3178">
        <v>29336992</v>
      </c>
      <c r="O3178" t="s">
        <v>20028</v>
      </c>
      <c r="P3178" t="s">
        <v>19900</v>
      </c>
      <c r="Q3178" t="s">
        <v>19900</v>
      </c>
      <c r="R3178" t="s">
        <v>19447</v>
      </c>
      <c r="S3178" t="s">
        <v>19447</v>
      </c>
      <c r="T3178" t="s">
        <v>19911</v>
      </c>
    </row>
    <row r="3179" spans="2:20" x14ac:dyDescent="0.25">
      <c r="B3179" t="s">
        <v>2709</v>
      </c>
      <c r="C3179">
        <v>29336999</v>
      </c>
      <c r="E3179">
        <v>68.819999999999993</v>
      </c>
      <c r="F3179">
        <v>0</v>
      </c>
      <c r="G3179">
        <v>0</v>
      </c>
      <c r="H3179" t="s">
        <v>19447</v>
      </c>
      <c r="I3179" t="s">
        <v>19447</v>
      </c>
      <c r="J3179">
        <v>2</v>
      </c>
      <c r="L3179" t="s">
        <v>2709</v>
      </c>
      <c r="M3179">
        <v>29336999</v>
      </c>
      <c r="O3179" t="s">
        <v>20028</v>
      </c>
      <c r="P3179" t="s">
        <v>19900</v>
      </c>
      <c r="Q3179" t="s">
        <v>19900</v>
      </c>
      <c r="R3179" t="s">
        <v>19447</v>
      </c>
      <c r="S3179" t="s">
        <v>19447</v>
      </c>
      <c r="T3179" t="s">
        <v>19901</v>
      </c>
    </row>
    <row r="3180" spans="2:20" x14ac:dyDescent="0.25">
      <c r="B3180" t="s">
        <v>2709</v>
      </c>
      <c r="C3180">
        <v>29337100</v>
      </c>
      <c r="E3180">
        <v>68.819999999999993</v>
      </c>
      <c r="F3180">
        <v>0</v>
      </c>
      <c r="G3180">
        <v>0</v>
      </c>
      <c r="H3180" t="s">
        <v>19447</v>
      </c>
      <c r="I3180" t="s">
        <v>19447</v>
      </c>
      <c r="J3180">
        <v>2</v>
      </c>
      <c r="L3180" t="s">
        <v>2709</v>
      </c>
      <c r="M3180">
        <v>29337100</v>
      </c>
      <c r="O3180" t="s">
        <v>20028</v>
      </c>
      <c r="P3180" t="s">
        <v>19900</v>
      </c>
      <c r="Q3180" t="s">
        <v>19900</v>
      </c>
      <c r="R3180" t="s">
        <v>19447</v>
      </c>
      <c r="S3180" t="s">
        <v>19447</v>
      </c>
      <c r="T3180" t="s">
        <v>19901</v>
      </c>
    </row>
    <row r="3181" spans="2:20" x14ac:dyDescent="0.25">
      <c r="B3181" t="s">
        <v>2709</v>
      </c>
      <c r="C3181">
        <v>29337210</v>
      </c>
      <c r="E3181">
        <v>68.819999999999993</v>
      </c>
      <c r="F3181">
        <v>0</v>
      </c>
      <c r="G3181">
        <v>0</v>
      </c>
      <c r="H3181" t="s">
        <v>19447</v>
      </c>
      <c r="I3181" t="s">
        <v>19447</v>
      </c>
      <c r="J3181">
        <v>2</v>
      </c>
      <c r="L3181" t="s">
        <v>2709</v>
      </c>
      <c r="M3181">
        <v>29337210</v>
      </c>
      <c r="O3181" t="s">
        <v>20028</v>
      </c>
      <c r="P3181" t="s">
        <v>19900</v>
      </c>
      <c r="Q3181" t="s">
        <v>19900</v>
      </c>
      <c r="R3181" t="s">
        <v>19447</v>
      </c>
      <c r="S3181" t="s">
        <v>19447</v>
      </c>
      <c r="T3181" t="s">
        <v>19901</v>
      </c>
    </row>
    <row r="3182" spans="2:20" x14ac:dyDescent="0.25">
      <c r="B3182" t="s">
        <v>2709</v>
      </c>
      <c r="C3182">
        <v>29337220</v>
      </c>
      <c r="E3182">
        <v>68.819999999999993</v>
      </c>
      <c r="F3182">
        <v>0</v>
      </c>
      <c r="G3182">
        <v>0</v>
      </c>
      <c r="H3182" t="s">
        <v>19447</v>
      </c>
      <c r="I3182" t="s">
        <v>19447</v>
      </c>
      <c r="J3182">
        <v>2</v>
      </c>
      <c r="L3182" t="s">
        <v>2709</v>
      </c>
      <c r="M3182">
        <v>29337220</v>
      </c>
      <c r="O3182" t="s">
        <v>20028</v>
      </c>
      <c r="P3182" t="s">
        <v>19900</v>
      </c>
      <c r="Q3182" t="s">
        <v>19900</v>
      </c>
      <c r="R3182" t="s">
        <v>19447</v>
      </c>
      <c r="S3182" t="s">
        <v>19447</v>
      </c>
      <c r="T3182" t="s">
        <v>19901</v>
      </c>
    </row>
    <row r="3183" spans="2:20" x14ac:dyDescent="0.25">
      <c r="B3183" t="s">
        <v>2709</v>
      </c>
      <c r="C3183">
        <v>29337910</v>
      </c>
      <c r="E3183">
        <v>68.819999999999993</v>
      </c>
      <c r="F3183">
        <v>0</v>
      </c>
      <c r="G3183">
        <v>0</v>
      </c>
      <c r="H3183" t="s">
        <v>19447</v>
      </c>
      <c r="I3183" t="s">
        <v>19447</v>
      </c>
      <c r="J3183">
        <v>2</v>
      </c>
      <c r="L3183" t="s">
        <v>2709</v>
      </c>
      <c r="M3183">
        <v>29337910</v>
      </c>
      <c r="O3183" t="s">
        <v>20028</v>
      </c>
      <c r="P3183" t="s">
        <v>19900</v>
      </c>
      <c r="Q3183" t="s">
        <v>19900</v>
      </c>
      <c r="R3183" t="s">
        <v>19447</v>
      </c>
      <c r="S3183" t="s">
        <v>19447</v>
      </c>
      <c r="T3183" t="s">
        <v>19901</v>
      </c>
    </row>
    <row r="3184" spans="2:20" x14ac:dyDescent="0.25">
      <c r="B3184" t="s">
        <v>2709</v>
      </c>
      <c r="C3184">
        <v>29337990</v>
      </c>
      <c r="E3184">
        <v>68.819999999999993</v>
      </c>
      <c r="F3184">
        <v>0</v>
      </c>
      <c r="G3184">
        <v>0</v>
      </c>
      <c r="H3184" t="s">
        <v>19447</v>
      </c>
      <c r="I3184" t="s">
        <v>19447</v>
      </c>
      <c r="J3184">
        <v>2</v>
      </c>
      <c r="L3184" t="s">
        <v>2709</v>
      </c>
      <c r="M3184">
        <v>29337990</v>
      </c>
      <c r="O3184" t="s">
        <v>20028</v>
      </c>
      <c r="P3184" t="s">
        <v>19900</v>
      </c>
      <c r="Q3184" t="s">
        <v>19900</v>
      </c>
      <c r="R3184" t="s">
        <v>19447</v>
      </c>
      <c r="S3184" t="s">
        <v>19447</v>
      </c>
      <c r="T3184" t="s">
        <v>19901</v>
      </c>
    </row>
    <row r="3185" spans="2:20" x14ac:dyDescent="0.25">
      <c r="B3185" t="s">
        <v>2709</v>
      </c>
      <c r="C3185">
        <v>29339111</v>
      </c>
      <c r="E3185">
        <v>68.819999999999993</v>
      </c>
      <c r="F3185">
        <v>0</v>
      </c>
      <c r="G3185">
        <v>0</v>
      </c>
      <c r="H3185" t="s">
        <v>19447</v>
      </c>
      <c r="I3185" t="s">
        <v>19447</v>
      </c>
      <c r="J3185">
        <v>12</v>
      </c>
      <c r="L3185" t="s">
        <v>2709</v>
      </c>
      <c r="M3185">
        <v>29339111</v>
      </c>
      <c r="O3185" t="s">
        <v>20028</v>
      </c>
      <c r="P3185" t="s">
        <v>19900</v>
      </c>
      <c r="Q3185" t="s">
        <v>19900</v>
      </c>
      <c r="R3185" t="s">
        <v>19447</v>
      </c>
      <c r="S3185" t="s">
        <v>19447</v>
      </c>
      <c r="T3185" t="s">
        <v>19903</v>
      </c>
    </row>
    <row r="3186" spans="2:20" x14ac:dyDescent="0.25">
      <c r="B3186" t="s">
        <v>2709</v>
      </c>
      <c r="C3186">
        <v>29339112</v>
      </c>
      <c r="E3186">
        <v>68.819999999999993</v>
      </c>
      <c r="F3186">
        <v>0</v>
      </c>
      <c r="G3186">
        <v>0</v>
      </c>
      <c r="H3186" t="s">
        <v>19447</v>
      </c>
      <c r="I3186" t="s">
        <v>19447</v>
      </c>
      <c r="J3186">
        <v>2</v>
      </c>
      <c r="L3186" t="s">
        <v>2709</v>
      </c>
      <c r="M3186">
        <v>29339112</v>
      </c>
      <c r="O3186" t="s">
        <v>20028</v>
      </c>
      <c r="P3186" t="s">
        <v>19900</v>
      </c>
      <c r="Q3186" t="s">
        <v>19900</v>
      </c>
      <c r="R3186" t="s">
        <v>19447</v>
      </c>
      <c r="S3186" t="s">
        <v>19447</v>
      </c>
      <c r="T3186" t="s">
        <v>19901</v>
      </c>
    </row>
    <row r="3187" spans="2:20" x14ac:dyDescent="0.25">
      <c r="B3187" t="s">
        <v>2709</v>
      </c>
      <c r="C3187">
        <v>29339113</v>
      </c>
      <c r="E3187">
        <v>68.819999999999993</v>
      </c>
      <c r="F3187">
        <v>0</v>
      </c>
      <c r="G3187">
        <v>0</v>
      </c>
      <c r="H3187" t="s">
        <v>19447</v>
      </c>
      <c r="I3187" t="s">
        <v>19447</v>
      </c>
      <c r="J3187">
        <v>2</v>
      </c>
      <c r="L3187" t="s">
        <v>2709</v>
      </c>
      <c r="M3187">
        <v>29339113</v>
      </c>
      <c r="O3187" t="s">
        <v>20028</v>
      </c>
      <c r="P3187" t="s">
        <v>19900</v>
      </c>
      <c r="Q3187" t="s">
        <v>19900</v>
      </c>
      <c r="R3187" t="s">
        <v>19447</v>
      </c>
      <c r="S3187" t="s">
        <v>19447</v>
      </c>
      <c r="T3187" t="s">
        <v>19901</v>
      </c>
    </row>
    <row r="3188" spans="2:20" x14ac:dyDescent="0.25">
      <c r="B3188" t="s">
        <v>2709</v>
      </c>
      <c r="C3188">
        <v>29339114</v>
      </c>
      <c r="E3188">
        <v>68.819999999999993</v>
      </c>
      <c r="F3188">
        <v>0</v>
      </c>
      <c r="G3188">
        <v>0</v>
      </c>
      <c r="H3188" t="s">
        <v>19447</v>
      </c>
      <c r="I3188" t="s">
        <v>19447</v>
      </c>
      <c r="J3188">
        <v>2</v>
      </c>
      <c r="L3188" t="s">
        <v>2709</v>
      </c>
      <c r="M3188">
        <v>29339114</v>
      </c>
      <c r="O3188" t="s">
        <v>20028</v>
      </c>
      <c r="P3188" t="s">
        <v>19900</v>
      </c>
      <c r="Q3188" t="s">
        <v>19900</v>
      </c>
      <c r="R3188" t="s">
        <v>19447</v>
      </c>
      <c r="S3188" t="s">
        <v>19447</v>
      </c>
      <c r="T3188" t="s">
        <v>19901</v>
      </c>
    </row>
    <row r="3189" spans="2:20" x14ac:dyDescent="0.25">
      <c r="B3189" t="s">
        <v>2709</v>
      </c>
      <c r="C3189">
        <v>29339115</v>
      </c>
      <c r="E3189">
        <v>68.819999999999993</v>
      </c>
      <c r="F3189">
        <v>0</v>
      </c>
      <c r="G3189">
        <v>0</v>
      </c>
      <c r="H3189" t="s">
        <v>19447</v>
      </c>
      <c r="I3189" t="s">
        <v>19447</v>
      </c>
      <c r="J3189">
        <v>12</v>
      </c>
      <c r="L3189" t="s">
        <v>2709</v>
      </c>
      <c r="M3189">
        <v>29339115</v>
      </c>
      <c r="O3189" t="s">
        <v>20028</v>
      </c>
      <c r="P3189" t="s">
        <v>19900</v>
      </c>
      <c r="Q3189" t="s">
        <v>19900</v>
      </c>
      <c r="R3189" t="s">
        <v>19447</v>
      </c>
      <c r="S3189" t="s">
        <v>19447</v>
      </c>
      <c r="T3189" t="s">
        <v>19903</v>
      </c>
    </row>
    <row r="3190" spans="2:20" x14ac:dyDescent="0.25">
      <c r="B3190" t="s">
        <v>2709</v>
      </c>
      <c r="C3190">
        <v>29339119</v>
      </c>
      <c r="E3190">
        <v>68.819999999999993</v>
      </c>
      <c r="F3190">
        <v>0</v>
      </c>
      <c r="G3190">
        <v>0</v>
      </c>
      <c r="H3190" t="s">
        <v>19447</v>
      </c>
      <c r="I3190" t="s">
        <v>19447</v>
      </c>
      <c r="J3190">
        <v>2</v>
      </c>
      <c r="L3190" t="s">
        <v>2709</v>
      </c>
      <c r="M3190">
        <v>29339119</v>
      </c>
      <c r="O3190" t="s">
        <v>20028</v>
      </c>
      <c r="P3190" t="s">
        <v>19900</v>
      </c>
      <c r="Q3190" t="s">
        <v>19900</v>
      </c>
      <c r="R3190" t="s">
        <v>19447</v>
      </c>
      <c r="S3190" t="s">
        <v>19447</v>
      </c>
      <c r="T3190" t="s">
        <v>19901</v>
      </c>
    </row>
    <row r="3191" spans="2:20" x14ac:dyDescent="0.25">
      <c r="B3191" t="s">
        <v>2709</v>
      </c>
      <c r="C3191">
        <v>29339121</v>
      </c>
      <c r="E3191">
        <v>68.819999999999993</v>
      </c>
      <c r="F3191">
        <v>0</v>
      </c>
      <c r="G3191">
        <v>0</v>
      </c>
      <c r="H3191" t="s">
        <v>19447</v>
      </c>
      <c r="I3191" t="s">
        <v>19447</v>
      </c>
      <c r="J3191">
        <v>2</v>
      </c>
      <c r="L3191" t="s">
        <v>2709</v>
      </c>
      <c r="M3191">
        <v>29339121</v>
      </c>
      <c r="O3191" t="s">
        <v>20028</v>
      </c>
      <c r="P3191" t="s">
        <v>19900</v>
      </c>
      <c r="Q3191" t="s">
        <v>19900</v>
      </c>
      <c r="R3191" t="s">
        <v>19447</v>
      </c>
      <c r="S3191" t="s">
        <v>19447</v>
      </c>
      <c r="T3191" t="s">
        <v>19901</v>
      </c>
    </row>
    <row r="3192" spans="2:20" x14ac:dyDescent="0.25">
      <c r="B3192" t="s">
        <v>2709</v>
      </c>
      <c r="C3192">
        <v>29339122</v>
      </c>
      <c r="E3192">
        <v>68.819999999999993</v>
      </c>
      <c r="F3192">
        <v>0</v>
      </c>
      <c r="G3192">
        <v>0</v>
      </c>
      <c r="H3192" t="s">
        <v>19447</v>
      </c>
      <c r="I3192" t="s">
        <v>19447</v>
      </c>
      <c r="J3192">
        <v>14</v>
      </c>
      <c r="L3192" t="s">
        <v>2709</v>
      </c>
      <c r="M3192">
        <v>29339122</v>
      </c>
      <c r="O3192" t="s">
        <v>20028</v>
      </c>
      <c r="P3192" t="s">
        <v>19900</v>
      </c>
      <c r="Q3192" t="s">
        <v>19900</v>
      </c>
      <c r="R3192" t="s">
        <v>19447</v>
      </c>
      <c r="S3192" t="s">
        <v>19447</v>
      </c>
      <c r="T3192" t="s">
        <v>19911</v>
      </c>
    </row>
    <row r="3193" spans="2:20" x14ac:dyDescent="0.25">
      <c r="B3193" t="s">
        <v>2709</v>
      </c>
      <c r="C3193">
        <v>29339123</v>
      </c>
      <c r="E3193">
        <v>68.819999999999993</v>
      </c>
      <c r="F3193">
        <v>0</v>
      </c>
      <c r="G3193">
        <v>0</v>
      </c>
      <c r="H3193" t="s">
        <v>19447</v>
      </c>
      <c r="I3193" t="s">
        <v>19447</v>
      </c>
      <c r="J3193">
        <v>2</v>
      </c>
      <c r="L3193" t="s">
        <v>2709</v>
      </c>
      <c r="M3193">
        <v>29339123</v>
      </c>
      <c r="O3193" t="s">
        <v>20028</v>
      </c>
      <c r="P3193" t="s">
        <v>19900</v>
      </c>
      <c r="Q3193" t="s">
        <v>19900</v>
      </c>
      <c r="R3193" t="s">
        <v>19447</v>
      </c>
      <c r="S3193" t="s">
        <v>19447</v>
      </c>
      <c r="T3193" t="s">
        <v>19901</v>
      </c>
    </row>
    <row r="3194" spans="2:20" x14ac:dyDescent="0.25">
      <c r="B3194" t="s">
        <v>2709</v>
      </c>
      <c r="C3194">
        <v>29339129</v>
      </c>
      <c r="E3194">
        <v>68.819999999999993</v>
      </c>
      <c r="F3194">
        <v>0</v>
      </c>
      <c r="G3194">
        <v>0</v>
      </c>
      <c r="H3194" t="s">
        <v>19447</v>
      </c>
      <c r="I3194" t="s">
        <v>19447</v>
      </c>
      <c r="J3194">
        <v>2</v>
      </c>
      <c r="L3194" t="s">
        <v>2709</v>
      </c>
      <c r="M3194">
        <v>29339129</v>
      </c>
      <c r="O3194" t="s">
        <v>20028</v>
      </c>
      <c r="P3194" t="s">
        <v>19900</v>
      </c>
      <c r="Q3194" t="s">
        <v>19900</v>
      </c>
      <c r="R3194" t="s">
        <v>19447</v>
      </c>
      <c r="S3194" t="s">
        <v>19447</v>
      </c>
      <c r="T3194" t="s">
        <v>19901</v>
      </c>
    </row>
    <row r="3195" spans="2:20" x14ac:dyDescent="0.25">
      <c r="B3195" t="s">
        <v>2709</v>
      </c>
      <c r="C3195">
        <v>29339131</v>
      </c>
      <c r="E3195">
        <v>68.819999999999993</v>
      </c>
      <c r="F3195">
        <v>0</v>
      </c>
      <c r="G3195">
        <v>0</v>
      </c>
      <c r="H3195" t="s">
        <v>19447</v>
      </c>
      <c r="I3195" t="s">
        <v>19447</v>
      </c>
      <c r="J3195">
        <v>2</v>
      </c>
      <c r="L3195" t="s">
        <v>2709</v>
      </c>
      <c r="M3195">
        <v>29339131</v>
      </c>
      <c r="O3195" t="s">
        <v>20028</v>
      </c>
      <c r="P3195" t="s">
        <v>19900</v>
      </c>
      <c r="Q3195" t="s">
        <v>19900</v>
      </c>
      <c r="R3195" t="s">
        <v>19447</v>
      </c>
      <c r="S3195" t="s">
        <v>19447</v>
      </c>
      <c r="T3195" t="s">
        <v>19901</v>
      </c>
    </row>
    <row r="3196" spans="2:20" x14ac:dyDescent="0.25">
      <c r="B3196" t="s">
        <v>2709</v>
      </c>
      <c r="C3196">
        <v>29339132</v>
      </c>
      <c r="E3196">
        <v>68.819999999999993</v>
      </c>
      <c r="F3196">
        <v>0</v>
      </c>
      <c r="G3196">
        <v>0</v>
      </c>
      <c r="H3196" t="s">
        <v>19447</v>
      </c>
      <c r="I3196" t="s">
        <v>19447</v>
      </c>
      <c r="J3196">
        <v>2</v>
      </c>
      <c r="L3196" t="s">
        <v>2709</v>
      </c>
      <c r="M3196">
        <v>29339132</v>
      </c>
      <c r="O3196" t="s">
        <v>20028</v>
      </c>
      <c r="P3196" t="s">
        <v>19900</v>
      </c>
      <c r="Q3196" t="s">
        <v>19900</v>
      </c>
      <c r="R3196" t="s">
        <v>19447</v>
      </c>
      <c r="S3196" t="s">
        <v>19447</v>
      </c>
      <c r="T3196" t="s">
        <v>19901</v>
      </c>
    </row>
    <row r="3197" spans="2:20" x14ac:dyDescent="0.25">
      <c r="B3197" t="s">
        <v>2709</v>
      </c>
      <c r="C3197">
        <v>29339133</v>
      </c>
      <c r="E3197">
        <v>68.819999999999993</v>
      </c>
      <c r="F3197">
        <v>0</v>
      </c>
      <c r="G3197">
        <v>0</v>
      </c>
      <c r="H3197" t="s">
        <v>19447</v>
      </c>
      <c r="I3197" t="s">
        <v>19447</v>
      </c>
      <c r="J3197">
        <v>2</v>
      </c>
      <c r="L3197" t="s">
        <v>2709</v>
      </c>
      <c r="M3197">
        <v>29339133</v>
      </c>
      <c r="O3197" t="s">
        <v>20028</v>
      </c>
      <c r="P3197" t="s">
        <v>19900</v>
      </c>
      <c r="Q3197" t="s">
        <v>19900</v>
      </c>
      <c r="R3197" t="s">
        <v>19447</v>
      </c>
      <c r="S3197" t="s">
        <v>19447</v>
      </c>
      <c r="T3197" t="s">
        <v>19901</v>
      </c>
    </row>
    <row r="3198" spans="2:20" x14ac:dyDescent="0.25">
      <c r="B3198" t="s">
        <v>2709</v>
      </c>
      <c r="C3198">
        <v>29339134</v>
      </c>
      <c r="E3198">
        <v>68.819999999999993</v>
      </c>
      <c r="F3198">
        <v>0</v>
      </c>
      <c r="G3198">
        <v>0</v>
      </c>
      <c r="H3198" t="s">
        <v>19447</v>
      </c>
      <c r="I3198" t="s">
        <v>19447</v>
      </c>
      <c r="J3198">
        <v>2</v>
      </c>
      <c r="L3198" t="s">
        <v>2709</v>
      </c>
      <c r="M3198">
        <v>29339134</v>
      </c>
      <c r="O3198" t="s">
        <v>20028</v>
      </c>
      <c r="P3198" t="s">
        <v>19900</v>
      </c>
      <c r="Q3198" t="s">
        <v>19900</v>
      </c>
      <c r="R3198" t="s">
        <v>19447</v>
      </c>
      <c r="S3198" t="s">
        <v>19447</v>
      </c>
      <c r="T3198" t="s">
        <v>19901</v>
      </c>
    </row>
    <row r="3199" spans="2:20" x14ac:dyDescent="0.25">
      <c r="B3199" t="s">
        <v>2709</v>
      </c>
      <c r="C3199">
        <v>29339139</v>
      </c>
      <c r="E3199">
        <v>68.819999999999993</v>
      </c>
      <c r="F3199">
        <v>0</v>
      </c>
      <c r="G3199">
        <v>0</v>
      </c>
      <c r="H3199" t="s">
        <v>19447</v>
      </c>
      <c r="I3199" t="s">
        <v>19447</v>
      </c>
      <c r="J3199">
        <v>2</v>
      </c>
      <c r="L3199" t="s">
        <v>2709</v>
      </c>
      <c r="M3199">
        <v>29339139</v>
      </c>
      <c r="O3199" t="s">
        <v>20028</v>
      </c>
      <c r="P3199" t="s">
        <v>19900</v>
      </c>
      <c r="Q3199" t="s">
        <v>19900</v>
      </c>
      <c r="R3199" t="s">
        <v>19447</v>
      </c>
      <c r="S3199" t="s">
        <v>19447</v>
      </c>
      <c r="T3199" t="s">
        <v>19901</v>
      </c>
    </row>
    <row r="3200" spans="2:20" x14ac:dyDescent="0.25">
      <c r="B3200" t="s">
        <v>2709</v>
      </c>
      <c r="C3200">
        <v>29339141</v>
      </c>
      <c r="E3200">
        <v>68.819999999999993</v>
      </c>
      <c r="F3200">
        <v>0</v>
      </c>
      <c r="G3200">
        <v>0</v>
      </c>
      <c r="H3200" t="s">
        <v>19447</v>
      </c>
      <c r="I3200" t="s">
        <v>19447</v>
      </c>
      <c r="J3200">
        <v>2</v>
      </c>
      <c r="L3200" t="s">
        <v>2709</v>
      </c>
      <c r="M3200">
        <v>29339141</v>
      </c>
      <c r="O3200" t="s">
        <v>20028</v>
      </c>
      <c r="P3200" t="s">
        <v>19900</v>
      </c>
      <c r="Q3200" t="s">
        <v>19900</v>
      </c>
      <c r="R3200" t="s">
        <v>19447</v>
      </c>
      <c r="S3200" t="s">
        <v>19447</v>
      </c>
      <c r="T3200" t="s">
        <v>19901</v>
      </c>
    </row>
    <row r="3201" spans="2:20" x14ac:dyDescent="0.25">
      <c r="B3201" t="s">
        <v>2709</v>
      </c>
      <c r="C3201">
        <v>29339142</v>
      </c>
      <c r="E3201">
        <v>68.819999999999993</v>
      </c>
      <c r="F3201">
        <v>0</v>
      </c>
      <c r="G3201">
        <v>0</v>
      </c>
      <c r="H3201" t="s">
        <v>19447</v>
      </c>
      <c r="I3201" t="s">
        <v>19447</v>
      </c>
      <c r="J3201">
        <v>2</v>
      </c>
      <c r="L3201" t="s">
        <v>2709</v>
      </c>
      <c r="M3201">
        <v>29339142</v>
      </c>
      <c r="O3201" t="s">
        <v>20028</v>
      </c>
      <c r="P3201" t="s">
        <v>19900</v>
      </c>
      <c r="Q3201" t="s">
        <v>19900</v>
      </c>
      <c r="R3201" t="s">
        <v>19447</v>
      </c>
      <c r="S3201" t="s">
        <v>19447</v>
      </c>
      <c r="T3201" t="s">
        <v>19901</v>
      </c>
    </row>
    <row r="3202" spans="2:20" x14ac:dyDescent="0.25">
      <c r="B3202" t="s">
        <v>2709</v>
      </c>
      <c r="C3202">
        <v>29339143</v>
      </c>
      <c r="E3202">
        <v>68.819999999999993</v>
      </c>
      <c r="F3202">
        <v>0</v>
      </c>
      <c r="G3202">
        <v>0</v>
      </c>
      <c r="H3202" t="s">
        <v>19447</v>
      </c>
      <c r="I3202" t="s">
        <v>19447</v>
      </c>
      <c r="J3202">
        <v>2</v>
      </c>
      <c r="L3202" t="s">
        <v>2709</v>
      </c>
      <c r="M3202">
        <v>29339143</v>
      </c>
      <c r="O3202" t="s">
        <v>20028</v>
      </c>
      <c r="P3202" t="s">
        <v>19900</v>
      </c>
      <c r="Q3202" t="s">
        <v>19900</v>
      </c>
      <c r="R3202" t="s">
        <v>19447</v>
      </c>
      <c r="S3202" t="s">
        <v>19447</v>
      </c>
      <c r="T3202" t="s">
        <v>19901</v>
      </c>
    </row>
    <row r="3203" spans="2:20" x14ac:dyDescent="0.25">
      <c r="B3203" t="s">
        <v>2709</v>
      </c>
      <c r="C3203">
        <v>29339149</v>
      </c>
      <c r="E3203">
        <v>68.819999999999993</v>
      </c>
      <c r="F3203">
        <v>0</v>
      </c>
      <c r="G3203">
        <v>0</v>
      </c>
      <c r="H3203" t="s">
        <v>19447</v>
      </c>
      <c r="I3203" t="s">
        <v>19447</v>
      </c>
      <c r="J3203">
        <v>2</v>
      </c>
      <c r="L3203" t="s">
        <v>2709</v>
      </c>
      <c r="M3203">
        <v>29339149</v>
      </c>
      <c r="O3203" t="s">
        <v>20028</v>
      </c>
      <c r="P3203" t="s">
        <v>19900</v>
      </c>
      <c r="Q3203" t="s">
        <v>19900</v>
      </c>
      <c r="R3203" t="s">
        <v>19447</v>
      </c>
      <c r="S3203" t="s">
        <v>19447</v>
      </c>
      <c r="T3203" t="s">
        <v>19901</v>
      </c>
    </row>
    <row r="3204" spans="2:20" x14ac:dyDescent="0.25">
      <c r="B3204" t="s">
        <v>2709</v>
      </c>
      <c r="C3204">
        <v>29339151</v>
      </c>
      <c r="E3204">
        <v>68.819999999999993</v>
      </c>
      <c r="F3204">
        <v>0</v>
      </c>
      <c r="G3204">
        <v>0</v>
      </c>
      <c r="H3204" t="s">
        <v>19447</v>
      </c>
      <c r="I3204" t="s">
        <v>19447</v>
      </c>
      <c r="J3204">
        <v>14</v>
      </c>
      <c r="L3204" t="s">
        <v>2709</v>
      </c>
      <c r="M3204">
        <v>29339151</v>
      </c>
      <c r="O3204" t="s">
        <v>20028</v>
      </c>
      <c r="P3204" t="s">
        <v>19900</v>
      </c>
      <c r="Q3204" t="s">
        <v>19900</v>
      </c>
      <c r="R3204" t="s">
        <v>19447</v>
      </c>
      <c r="S3204" t="s">
        <v>19447</v>
      </c>
      <c r="T3204" t="s">
        <v>19911</v>
      </c>
    </row>
    <row r="3205" spans="2:20" x14ac:dyDescent="0.25">
      <c r="B3205" t="s">
        <v>2709</v>
      </c>
      <c r="C3205">
        <v>29339152</v>
      </c>
      <c r="E3205">
        <v>68.819999999999993</v>
      </c>
      <c r="F3205">
        <v>0</v>
      </c>
      <c r="G3205">
        <v>0</v>
      </c>
      <c r="H3205" t="s">
        <v>19447</v>
      </c>
      <c r="I3205" t="s">
        <v>19447</v>
      </c>
      <c r="J3205">
        <v>2</v>
      </c>
      <c r="L3205" t="s">
        <v>2709</v>
      </c>
      <c r="M3205">
        <v>29339152</v>
      </c>
      <c r="O3205" t="s">
        <v>20028</v>
      </c>
      <c r="P3205" t="s">
        <v>19900</v>
      </c>
      <c r="Q3205" t="s">
        <v>19900</v>
      </c>
      <c r="R3205" t="s">
        <v>19447</v>
      </c>
      <c r="S3205" t="s">
        <v>19447</v>
      </c>
      <c r="T3205" t="s">
        <v>19901</v>
      </c>
    </row>
    <row r="3206" spans="2:20" x14ac:dyDescent="0.25">
      <c r="B3206" t="s">
        <v>2709</v>
      </c>
      <c r="C3206">
        <v>29339153</v>
      </c>
      <c r="E3206">
        <v>68.819999999999993</v>
      </c>
      <c r="F3206">
        <v>0</v>
      </c>
      <c r="G3206">
        <v>0</v>
      </c>
      <c r="H3206" t="s">
        <v>19447</v>
      </c>
      <c r="I3206" t="s">
        <v>19447</v>
      </c>
      <c r="J3206">
        <v>14</v>
      </c>
      <c r="L3206" t="s">
        <v>2709</v>
      </c>
      <c r="M3206">
        <v>29339153</v>
      </c>
      <c r="O3206" t="s">
        <v>20028</v>
      </c>
      <c r="P3206" t="s">
        <v>19900</v>
      </c>
      <c r="Q3206" t="s">
        <v>19900</v>
      </c>
      <c r="R3206" t="s">
        <v>19447</v>
      </c>
      <c r="S3206" t="s">
        <v>19447</v>
      </c>
      <c r="T3206" t="s">
        <v>19911</v>
      </c>
    </row>
    <row r="3207" spans="2:20" x14ac:dyDescent="0.25">
      <c r="B3207" t="s">
        <v>2709</v>
      </c>
      <c r="C3207">
        <v>29339159</v>
      </c>
      <c r="E3207">
        <v>68.819999999999993</v>
      </c>
      <c r="F3207">
        <v>0</v>
      </c>
      <c r="G3207">
        <v>0</v>
      </c>
      <c r="H3207" t="s">
        <v>19447</v>
      </c>
      <c r="I3207" t="s">
        <v>19447</v>
      </c>
      <c r="J3207">
        <v>2</v>
      </c>
      <c r="L3207" t="s">
        <v>2709</v>
      </c>
      <c r="M3207">
        <v>29339159</v>
      </c>
      <c r="O3207" t="s">
        <v>20028</v>
      </c>
      <c r="P3207" t="s">
        <v>19900</v>
      </c>
      <c r="Q3207" t="s">
        <v>19900</v>
      </c>
      <c r="R3207" t="s">
        <v>19447</v>
      </c>
      <c r="S3207" t="s">
        <v>19447</v>
      </c>
      <c r="T3207" t="s">
        <v>19901</v>
      </c>
    </row>
    <row r="3208" spans="2:20" x14ac:dyDescent="0.25">
      <c r="B3208" t="s">
        <v>2709</v>
      </c>
      <c r="C3208">
        <v>29339161</v>
      </c>
      <c r="E3208">
        <v>68.819999999999993</v>
      </c>
      <c r="F3208">
        <v>0</v>
      </c>
      <c r="G3208">
        <v>0</v>
      </c>
      <c r="H3208" t="s">
        <v>19447</v>
      </c>
      <c r="I3208" t="s">
        <v>19447</v>
      </c>
      <c r="J3208">
        <v>2</v>
      </c>
      <c r="L3208" t="s">
        <v>2709</v>
      </c>
      <c r="M3208">
        <v>29339161</v>
      </c>
      <c r="O3208" t="s">
        <v>20028</v>
      </c>
      <c r="P3208" t="s">
        <v>19900</v>
      </c>
      <c r="Q3208" t="s">
        <v>19900</v>
      </c>
      <c r="R3208" t="s">
        <v>19447</v>
      </c>
      <c r="S3208" t="s">
        <v>19447</v>
      </c>
      <c r="T3208" t="s">
        <v>19901</v>
      </c>
    </row>
    <row r="3209" spans="2:20" x14ac:dyDescent="0.25">
      <c r="B3209" t="s">
        <v>2709</v>
      </c>
      <c r="C3209">
        <v>29339162</v>
      </c>
      <c r="E3209">
        <v>68.819999999999993</v>
      </c>
      <c r="F3209">
        <v>0</v>
      </c>
      <c r="G3209">
        <v>0</v>
      </c>
      <c r="H3209" t="s">
        <v>19447</v>
      </c>
      <c r="I3209" t="s">
        <v>19447</v>
      </c>
      <c r="J3209">
        <v>2</v>
      </c>
      <c r="L3209" t="s">
        <v>2709</v>
      </c>
      <c r="M3209">
        <v>29339162</v>
      </c>
      <c r="O3209" t="s">
        <v>20028</v>
      </c>
      <c r="P3209" t="s">
        <v>19900</v>
      </c>
      <c r="Q3209" t="s">
        <v>19900</v>
      </c>
      <c r="R3209" t="s">
        <v>19447</v>
      </c>
      <c r="S3209" t="s">
        <v>19447</v>
      </c>
      <c r="T3209" t="s">
        <v>19901</v>
      </c>
    </row>
    <row r="3210" spans="2:20" x14ac:dyDescent="0.25">
      <c r="B3210" t="s">
        <v>2709</v>
      </c>
      <c r="C3210">
        <v>29339163</v>
      </c>
      <c r="E3210">
        <v>68.819999999999993</v>
      </c>
      <c r="F3210">
        <v>0</v>
      </c>
      <c r="G3210">
        <v>0</v>
      </c>
      <c r="H3210" t="s">
        <v>19447</v>
      </c>
      <c r="I3210" t="s">
        <v>19447</v>
      </c>
      <c r="J3210">
        <v>2</v>
      </c>
      <c r="L3210" t="s">
        <v>2709</v>
      </c>
      <c r="M3210">
        <v>29339163</v>
      </c>
      <c r="O3210" t="s">
        <v>20028</v>
      </c>
      <c r="P3210" t="s">
        <v>19900</v>
      </c>
      <c r="Q3210" t="s">
        <v>19900</v>
      </c>
      <c r="R3210" t="s">
        <v>19447</v>
      </c>
      <c r="S3210" t="s">
        <v>19447</v>
      </c>
      <c r="T3210" t="s">
        <v>19901</v>
      </c>
    </row>
    <row r="3211" spans="2:20" x14ac:dyDescent="0.25">
      <c r="B3211" t="s">
        <v>2709</v>
      </c>
      <c r="C3211">
        <v>29339164</v>
      </c>
      <c r="E3211">
        <v>68.819999999999993</v>
      </c>
      <c r="F3211">
        <v>0</v>
      </c>
      <c r="G3211">
        <v>0</v>
      </c>
      <c r="H3211" t="s">
        <v>19447</v>
      </c>
      <c r="I3211" t="s">
        <v>19447</v>
      </c>
      <c r="J3211">
        <v>2</v>
      </c>
      <c r="L3211" t="s">
        <v>2709</v>
      </c>
      <c r="M3211">
        <v>29339164</v>
      </c>
      <c r="O3211" t="s">
        <v>20028</v>
      </c>
      <c r="P3211" t="s">
        <v>19900</v>
      </c>
      <c r="Q3211" t="s">
        <v>19900</v>
      </c>
      <c r="R3211" t="s">
        <v>19447</v>
      </c>
      <c r="S3211" t="s">
        <v>19447</v>
      </c>
      <c r="T3211" t="s">
        <v>19901</v>
      </c>
    </row>
    <row r="3212" spans="2:20" x14ac:dyDescent="0.25">
      <c r="B3212" t="s">
        <v>2709</v>
      </c>
      <c r="C3212">
        <v>29339169</v>
      </c>
      <c r="E3212">
        <v>68.819999999999993</v>
      </c>
      <c r="F3212">
        <v>0</v>
      </c>
      <c r="G3212">
        <v>0</v>
      </c>
      <c r="H3212" t="s">
        <v>19447</v>
      </c>
      <c r="I3212" t="s">
        <v>19447</v>
      </c>
      <c r="J3212">
        <v>2</v>
      </c>
      <c r="L3212" t="s">
        <v>2709</v>
      </c>
      <c r="M3212">
        <v>29339169</v>
      </c>
      <c r="O3212" t="s">
        <v>20028</v>
      </c>
      <c r="P3212" t="s">
        <v>19900</v>
      </c>
      <c r="Q3212" t="s">
        <v>19900</v>
      </c>
      <c r="R3212" t="s">
        <v>19447</v>
      </c>
      <c r="S3212" t="s">
        <v>19447</v>
      </c>
      <c r="T3212" t="s">
        <v>19901</v>
      </c>
    </row>
    <row r="3213" spans="2:20" x14ac:dyDescent="0.25">
      <c r="B3213" t="s">
        <v>2709</v>
      </c>
      <c r="C3213">
        <v>29339171</v>
      </c>
      <c r="E3213">
        <v>68.819999999999993</v>
      </c>
      <c r="F3213">
        <v>0</v>
      </c>
      <c r="G3213">
        <v>0</v>
      </c>
      <c r="H3213" t="s">
        <v>19447</v>
      </c>
      <c r="I3213" t="s">
        <v>19447</v>
      </c>
      <c r="J3213">
        <v>2</v>
      </c>
      <c r="L3213" t="s">
        <v>2709</v>
      </c>
      <c r="M3213">
        <v>29339171</v>
      </c>
      <c r="O3213" t="s">
        <v>20028</v>
      </c>
      <c r="P3213" t="s">
        <v>19900</v>
      </c>
      <c r="Q3213" t="s">
        <v>19900</v>
      </c>
      <c r="R3213" t="s">
        <v>19447</v>
      </c>
      <c r="S3213" t="s">
        <v>19447</v>
      </c>
      <c r="T3213" t="s">
        <v>19901</v>
      </c>
    </row>
    <row r="3214" spans="2:20" x14ac:dyDescent="0.25">
      <c r="B3214" t="s">
        <v>2709</v>
      </c>
      <c r="C3214">
        <v>29339172</v>
      </c>
      <c r="E3214">
        <v>68.819999999999993</v>
      </c>
      <c r="F3214">
        <v>0</v>
      </c>
      <c r="G3214">
        <v>0</v>
      </c>
      <c r="H3214" t="s">
        <v>19447</v>
      </c>
      <c r="I3214" t="s">
        <v>19447</v>
      </c>
      <c r="J3214">
        <v>2</v>
      </c>
      <c r="L3214" t="s">
        <v>2709</v>
      </c>
      <c r="M3214">
        <v>29339172</v>
      </c>
      <c r="O3214" t="s">
        <v>20028</v>
      </c>
      <c r="P3214" t="s">
        <v>19900</v>
      </c>
      <c r="Q3214" t="s">
        <v>19900</v>
      </c>
      <c r="R3214" t="s">
        <v>19447</v>
      </c>
      <c r="S3214" t="s">
        <v>19447</v>
      </c>
      <c r="T3214" t="s">
        <v>19901</v>
      </c>
    </row>
    <row r="3215" spans="2:20" x14ac:dyDescent="0.25">
      <c r="B3215" t="s">
        <v>2709</v>
      </c>
      <c r="C3215">
        <v>29339173</v>
      </c>
      <c r="E3215">
        <v>68.819999999999993</v>
      </c>
      <c r="F3215">
        <v>0</v>
      </c>
      <c r="G3215">
        <v>0</v>
      </c>
      <c r="H3215" t="s">
        <v>19447</v>
      </c>
      <c r="I3215" t="s">
        <v>19447</v>
      </c>
      <c r="J3215">
        <v>2</v>
      </c>
      <c r="L3215" t="s">
        <v>2709</v>
      </c>
      <c r="M3215">
        <v>29339173</v>
      </c>
      <c r="O3215" t="s">
        <v>20028</v>
      </c>
      <c r="P3215" t="s">
        <v>19900</v>
      </c>
      <c r="Q3215" t="s">
        <v>19900</v>
      </c>
      <c r="R3215" t="s">
        <v>19447</v>
      </c>
      <c r="S3215" t="s">
        <v>19447</v>
      </c>
      <c r="T3215" t="s">
        <v>19901</v>
      </c>
    </row>
    <row r="3216" spans="2:20" x14ac:dyDescent="0.25">
      <c r="B3216" t="s">
        <v>2709</v>
      </c>
      <c r="C3216">
        <v>29339179</v>
      </c>
      <c r="E3216">
        <v>68.819999999999993</v>
      </c>
      <c r="F3216">
        <v>0</v>
      </c>
      <c r="G3216">
        <v>0</v>
      </c>
      <c r="H3216" t="s">
        <v>19447</v>
      </c>
      <c r="I3216" t="s">
        <v>19447</v>
      </c>
      <c r="J3216">
        <v>2</v>
      </c>
      <c r="L3216" t="s">
        <v>2709</v>
      </c>
      <c r="M3216">
        <v>29339179</v>
      </c>
      <c r="O3216" t="s">
        <v>20028</v>
      </c>
      <c r="P3216" t="s">
        <v>19900</v>
      </c>
      <c r="Q3216" t="s">
        <v>19900</v>
      </c>
      <c r="R3216" t="s">
        <v>19447</v>
      </c>
      <c r="S3216" t="s">
        <v>19447</v>
      </c>
      <c r="T3216" t="s">
        <v>19901</v>
      </c>
    </row>
    <row r="3217" spans="2:20" x14ac:dyDescent="0.25">
      <c r="B3217" t="s">
        <v>2709</v>
      </c>
      <c r="C3217">
        <v>29339181</v>
      </c>
      <c r="E3217">
        <v>68.819999999999993</v>
      </c>
      <c r="F3217">
        <v>0</v>
      </c>
      <c r="G3217">
        <v>0</v>
      </c>
      <c r="H3217" t="s">
        <v>19447</v>
      </c>
      <c r="I3217" t="s">
        <v>19447</v>
      </c>
      <c r="J3217">
        <v>2</v>
      </c>
      <c r="L3217" t="s">
        <v>2709</v>
      </c>
      <c r="M3217">
        <v>29339181</v>
      </c>
      <c r="O3217" t="s">
        <v>20028</v>
      </c>
      <c r="P3217" t="s">
        <v>19900</v>
      </c>
      <c r="Q3217" t="s">
        <v>19900</v>
      </c>
      <c r="R3217" t="s">
        <v>19447</v>
      </c>
      <c r="S3217" t="s">
        <v>19447</v>
      </c>
      <c r="T3217" t="s">
        <v>19901</v>
      </c>
    </row>
    <row r="3218" spans="2:20" x14ac:dyDescent="0.25">
      <c r="B3218" t="s">
        <v>2709</v>
      </c>
      <c r="C3218">
        <v>29339182</v>
      </c>
      <c r="E3218">
        <v>68.819999999999993</v>
      </c>
      <c r="F3218">
        <v>0</v>
      </c>
      <c r="G3218">
        <v>0</v>
      </c>
      <c r="H3218" t="s">
        <v>19447</v>
      </c>
      <c r="I3218" t="s">
        <v>19447</v>
      </c>
      <c r="J3218">
        <v>2</v>
      </c>
      <c r="L3218" t="s">
        <v>2709</v>
      </c>
      <c r="M3218">
        <v>29339182</v>
      </c>
      <c r="O3218" t="s">
        <v>20028</v>
      </c>
      <c r="P3218" t="s">
        <v>19900</v>
      </c>
      <c r="Q3218" t="s">
        <v>19900</v>
      </c>
      <c r="R3218" t="s">
        <v>19447</v>
      </c>
      <c r="S3218" t="s">
        <v>19447</v>
      </c>
      <c r="T3218" t="s">
        <v>19901</v>
      </c>
    </row>
    <row r="3219" spans="2:20" x14ac:dyDescent="0.25">
      <c r="B3219" t="s">
        <v>2709</v>
      </c>
      <c r="C3219">
        <v>29339183</v>
      </c>
      <c r="E3219">
        <v>68.819999999999993</v>
      </c>
      <c r="F3219">
        <v>0</v>
      </c>
      <c r="G3219">
        <v>0</v>
      </c>
      <c r="H3219" t="s">
        <v>19447</v>
      </c>
      <c r="I3219" t="s">
        <v>19447</v>
      </c>
      <c r="J3219">
        <v>12</v>
      </c>
      <c r="L3219" t="s">
        <v>2709</v>
      </c>
      <c r="M3219">
        <v>29339183</v>
      </c>
      <c r="O3219" t="s">
        <v>20028</v>
      </c>
      <c r="P3219" t="s">
        <v>19900</v>
      </c>
      <c r="Q3219" t="s">
        <v>19900</v>
      </c>
      <c r="R3219" t="s">
        <v>19447</v>
      </c>
      <c r="S3219" t="s">
        <v>19447</v>
      </c>
      <c r="T3219" t="s">
        <v>19903</v>
      </c>
    </row>
    <row r="3220" spans="2:20" x14ac:dyDescent="0.25">
      <c r="B3220" t="s">
        <v>2709</v>
      </c>
      <c r="C3220">
        <v>29339189</v>
      </c>
      <c r="E3220">
        <v>68.819999999999993</v>
      </c>
      <c r="F3220">
        <v>0</v>
      </c>
      <c r="G3220">
        <v>0</v>
      </c>
      <c r="H3220" t="s">
        <v>19447</v>
      </c>
      <c r="I3220" t="s">
        <v>19447</v>
      </c>
      <c r="J3220">
        <v>2</v>
      </c>
      <c r="L3220" t="s">
        <v>2709</v>
      </c>
      <c r="M3220">
        <v>29339189</v>
      </c>
      <c r="O3220" t="s">
        <v>20028</v>
      </c>
      <c r="P3220" t="s">
        <v>19900</v>
      </c>
      <c r="Q3220" t="s">
        <v>19900</v>
      </c>
      <c r="R3220" t="s">
        <v>19447</v>
      </c>
      <c r="S3220" t="s">
        <v>19447</v>
      </c>
      <c r="T3220" t="s">
        <v>19901</v>
      </c>
    </row>
    <row r="3221" spans="2:20" x14ac:dyDescent="0.25">
      <c r="B3221" t="s">
        <v>2709</v>
      </c>
      <c r="C3221">
        <v>29339911</v>
      </c>
      <c r="E3221">
        <v>68.819999999999993</v>
      </c>
      <c r="F3221">
        <v>0</v>
      </c>
      <c r="G3221">
        <v>0</v>
      </c>
      <c r="H3221" t="s">
        <v>19447</v>
      </c>
      <c r="I3221" t="s">
        <v>19447</v>
      </c>
      <c r="J3221">
        <v>14</v>
      </c>
      <c r="L3221" t="s">
        <v>2709</v>
      </c>
      <c r="M3221">
        <v>29339911</v>
      </c>
      <c r="O3221" t="s">
        <v>20028</v>
      </c>
      <c r="P3221" t="s">
        <v>19900</v>
      </c>
      <c r="Q3221" t="s">
        <v>19900</v>
      </c>
      <c r="R3221" t="s">
        <v>19447</v>
      </c>
      <c r="S3221" t="s">
        <v>19447</v>
      </c>
      <c r="T3221" t="s">
        <v>19911</v>
      </c>
    </row>
    <row r="3222" spans="2:20" x14ac:dyDescent="0.25">
      <c r="B3222" t="s">
        <v>2709</v>
      </c>
      <c r="C3222">
        <v>29339912</v>
      </c>
      <c r="E3222">
        <v>68.819999999999993</v>
      </c>
      <c r="F3222">
        <v>0</v>
      </c>
      <c r="G3222">
        <v>0</v>
      </c>
      <c r="H3222" t="s">
        <v>19447</v>
      </c>
      <c r="I3222" t="s">
        <v>19447</v>
      </c>
      <c r="J3222">
        <v>2</v>
      </c>
      <c r="L3222" t="s">
        <v>2709</v>
      </c>
      <c r="M3222">
        <v>29339912</v>
      </c>
      <c r="O3222" t="s">
        <v>20028</v>
      </c>
      <c r="P3222" t="s">
        <v>19900</v>
      </c>
      <c r="Q3222" t="s">
        <v>19900</v>
      </c>
      <c r="R3222" t="s">
        <v>19447</v>
      </c>
      <c r="S3222" t="s">
        <v>19447</v>
      </c>
      <c r="T3222" t="s">
        <v>19901</v>
      </c>
    </row>
    <row r="3223" spans="2:20" x14ac:dyDescent="0.25">
      <c r="B3223" t="s">
        <v>2709</v>
      </c>
      <c r="C3223">
        <v>29339913</v>
      </c>
      <c r="E3223">
        <v>68.819999999999993</v>
      </c>
      <c r="F3223">
        <v>0</v>
      </c>
      <c r="G3223">
        <v>0</v>
      </c>
      <c r="H3223" t="s">
        <v>19447</v>
      </c>
      <c r="I3223" t="s">
        <v>19447</v>
      </c>
      <c r="J3223">
        <v>2</v>
      </c>
      <c r="L3223" t="s">
        <v>2709</v>
      </c>
      <c r="M3223">
        <v>29339913</v>
      </c>
      <c r="O3223" t="s">
        <v>20028</v>
      </c>
      <c r="P3223" t="s">
        <v>19900</v>
      </c>
      <c r="Q3223" t="s">
        <v>19900</v>
      </c>
      <c r="R3223" t="s">
        <v>19447</v>
      </c>
      <c r="S3223" t="s">
        <v>19447</v>
      </c>
      <c r="T3223" t="s">
        <v>19901</v>
      </c>
    </row>
    <row r="3224" spans="2:20" x14ac:dyDescent="0.25">
      <c r="B3224" t="s">
        <v>2709</v>
      </c>
      <c r="C3224">
        <v>29339919</v>
      </c>
      <c r="E3224">
        <v>68.819999999999993</v>
      </c>
      <c r="F3224">
        <v>0</v>
      </c>
      <c r="G3224">
        <v>0</v>
      </c>
      <c r="H3224" t="s">
        <v>19447</v>
      </c>
      <c r="I3224" t="s">
        <v>19447</v>
      </c>
      <c r="J3224">
        <v>2</v>
      </c>
      <c r="L3224" t="s">
        <v>2709</v>
      </c>
      <c r="M3224">
        <v>29339919</v>
      </c>
      <c r="O3224" t="s">
        <v>20028</v>
      </c>
      <c r="P3224" t="s">
        <v>19900</v>
      </c>
      <c r="Q3224" t="s">
        <v>19900</v>
      </c>
      <c r="R3224" t="s">
        <v>19447</v>
      </c>
      <c r="S3224" t="s">
        <v>19447</v>
      </c>
      <c r="T3224" t="s">
        <v>19901</v>
      </c>
    </row>
    <row r="3225" spans="2:20" x14ac:dyDescent="0.25">
      <c r="B3225" t="s">
        <v>2709</v>
      </c>
      <c r="C3225">
        <v>29339920</v>
      </c>
      <c r="E3225">
        <v>68.819999999999993</v>
      </c>
      <c r="F3225">
        <v>0</v>
      </c>
      <c r="G3225">
        <v>0</v>
      </c>
      <c r="H3225" t="s">
        <v>19447</v>
      </c>
      <c r="I3225" t="s">
        <v>19447</v>
      </c>
      <c r="J3225">
        <v>2</v>
      </c>
      <c r="L3225" t="s">
        <v>2709</v>
      </c>
      <c r="M3225">
        <v>29339920</v>
      </c>
      <c r="O3225" t="s">
        <v>20028</v>
      </c>
      <c r="P3225" t="s">
        <v>19900</v>
      </c>
      <c r="Q3225" t="s">
        <v>19900</v>
      </c>
      <c r="R3225" t="s">
        <v>19447</v>
      </c>
      <c r="S3225" t="s">
        <v>19447</v>
      </c>
      <c r="T3225" t="s">
        <v>19901</v>
      </c>
    </row>
    <row r="3226" spans="2:20" x14ac:dyDescent="0.25">
      <c r="B3226" t="s">
        <v>2709</v>
      </c>
      <c r="C3226">
        <v>29339931</v>
      </c>
      <c r="E3226">
        <v>68.819999999999993</v>
      </c>
      <c r="F3226">
        <v>0</v>
      </c>
      <c r="G3226">
        <v>0</v>
      </c>
      <c r="H3226" t="s">
        <v>19447</v>
      </c>
      <c r="I3226" t="s">
        <v>19447</v>
      </c>
      <c r="J3226">
        <v>2</v>
      </c>
      <c r="L3226" t="s">
        <v>2709</v>
      </c>
      <c r="M3226">
        <v>29339931</v>
      </c>
      <c r="O3226" t="s">
        <v>20028</v>
      </c>
      <c r="P3226" t="s">
        <v>19900</v>
      </c>
      <c r="Q3226" t="s">
        <v>19900</v>
      </c>
      <c r="R3226" t="s">
        <v>19447</v>
      </c>
      <c r="S3226" t="s">
        <v>19447</v>
      </c>
      <c r="T3226" t="s">
        <v>19901</v>
      </c>
    </row>
    <row r="3227" spans="2:20" x14ac:dyDescent="0.25">
      <c r="B3227" t="s">
        <v>2709</v>
      </c>
      <c r="C3227">
        <v>29339932</v>
      </c>
      <c r="E3227">
        <v>68.819999999999993</v>
      </c>
      <c r="F3227">
        <v>0</v>
      </c>
      <c r="G3227">
        <v>0</v>
      </c>
      <c r="H3227" t="s">
        <v>19447</v>
      </c>
      <c r="I3227" t="s">
        <v>19447</v>
      </c>
      <c r="J3227">
        <v>14</v>
      </c>
      <c r="L3227" t="s">
        <v>2709</v>
      </c>
      <c r="M3227">
        <v>29339932</v>
      </c>
      <c r="O3227" t="s">
        <v>20028</v>
      </c>
      <c r="P3227" t="s">
        <v>19900</v>
      </c>
      <c r="Q3227" t="s">
        <v>19900</v>
      </c>
      <c r="R3227" t="s">
        <v>19447</v>
      </c>
      <c r="S3227" t="s">
        <v>19447</v>
      </c>
      <c r="T3227" t="s">
        <v>19911</v>
      </c>
    </row>
    <row r="3228" spans="2:20" x14ac:dyDescent="0.25">
      <c r="B3228" t="s">
        <v>2709</v>
      </c>
      <c r="C3228">
        <v>29339933</v>
      </c>
      <c r="E3228">
        <v>68.819999999999993</v>
      </c>
      <c r="F3228">
        <v>0</v>
      </c>
      <c r="G3228">
        <v>0</v>
      </c>
      <c r="H3228" t="s">
        <v>19447</v>
      </c>
      <c r="I3228" t="s">
        <v>19447</v>
      </c>
      <c r="J3228">
        <v>2</v>
      </c>
      <c r="L3228" t="s">
        <v>2709</v>
      </c>
      <c r="M3228">
        <v>29339933</v>
      </c>
      <c r="O3228" t="s">
        <v>20028</v>
      </c>
      <c r="P3228" t="s">
        <v>19900</v>
      </c>
      <c r="Q3228" t="s">
        <v>19900</v>
      </c>
      <c r="R3228" t="s">
        <v>19447</v>
      </c>
      <c r="S3228" t="s">
        <v>19447</v>
      </c>
      <c r="T3228" t="s">
        <v>19901</v>
      </c>
    </row>
    <row r="3229" spans="2:20" x14ac:dyDescent="0.25">
      <c r="B3229" t="s">
        <v>2709</v>
      </c>
      <c r="C3229">
        <v>29339934</v>
      </c>
      <c r="E3229">
        <v>68.819999999999993</v>
      </c>
      <c r="F3229">
        <v>0</v>
      </c>
      <c r="G3229">
        <v>0</v>
      </c>
      <c r="H3229" t="s">
        <v>19447</v>
      </c>
      <c r="I3229" t="s">
        <v>19447</v>
      </c>
      <c r="J3229">
        <v>2</v>
      </c>
      <c r="L3229" t="s">
        <v>2709</v>
      </c>
      <c r="M3229">
        <v>29339934</v>
      </c>
      <c r="O3229" t="s">
        <v>20028</v>
      </c>
      <c r="P3229" t="s">
        <v>19900</v>
      </c>
      <c r="Q3229" t="s">
        <v>19900</v>
      </c>
      <c r="R3229" t="s">
        <v>19447</v>
      </c>
      <c r="S3229" t="s">
        <v>19447</v>
      </c>
      <c r="T3229" t="s">
        <v>19901</v>
      </c>
    </row>
    <row r="3230" spans="2:20" x14ac:dyDescent="0.25">
      <c r="B3230" t="s">
        <v>2709</v>
      </c>
      <c r="C3230">
        <v>29339935</v>
      </c>
      <c r="E3230">
        <v>68.819999999999993</v>
      </c>
      <c r="F3230">
        <v>0</v>
      </c>
      <c r="G3230">
        <v>0</v>
      </c>
      <c r="H3230" t="s">
        <v>19447</v>
      </c>
      <c r="I3230" t="s">
        <v>19447</v>
      </c>
      <c r="J3230">
        <v>2</v>
      </c>
      <c r="L3230" t="s">
        <v>2709</v>
      </c>
      <c r="M3230">
        <v>29339935</v>
      </c>
      <c r="O3230" t="s">
        <v>20028</v>
      </c>
      <c r="P3230" t="s">
        <v>19900</v>
      </c>
      <c r="Q3230" t="s">
        <v>19900</v>
      </c>
      <c r="R3230" t="s">
        <v>19447</v>
      </c>
      <c r="S3230" t="s">
        <v>19447</v>
      </c>
      <c r="T3230" t="s">
        <v>19901</v>
      </c>
    </row>
    <row r="3231" spans="2:20" x14ac:dyDescent="0.25">
      <c r="B3231" t="s">
        <v>2709</v>
      </c>
      <c r="C3231">
        <v>29339939</v>
      </c>
      <c r="E3231">
        <v>68.819999999999993</v>
      </c>
      <c r="F3231">
        <v>0</v>
      </c>
      <c r="G3231">
        <v>0</v>
      </c>
      <c r="H3231" t="s">
        <v>19447</v>
      </c>
      <c r="I3231" t="s">
        <v>19447</v>
      </c>
      <c r="J3231">
        <v>2</v>
      </c>
      <c r="L3231" t="s">
        <v>2709</v>
      </c>
      <c r="M3231">
        <v>29339939</v>
      </c>
      <c r="O3231" t="s">
        <v>20028</v>
      </c>
      <c r="P3231" t="s">
        <v>19900</v>
      </c>
      <c r="Q3231" t="s">
        <v>19900</v>
      </c>
      <c r="R3231" t="s">
        <v>19447</v>
      </c>
      <c r="S3231" t="s">
        <v>19447</v>
      </c>
      <c r="T3231" t="s">
        <v>19901</v>
      </c>
    </row>
    <row r="3232" spans="2:20" x14ac:dyDescent="0.25">
      <c r="B3232" t="s">
        <v>2709</v>
      </c>
      <c r="C3232">
        <v>29339941</v>
      </c>
      <c r="E3232">
        <v>68.819999999999993</v>
      </c>
      <c r="F3232">
        <v>0</v>
      </c>
      <c r="G3232">
        <v>0</v>
      </c>
      <c r="H3232" t="s">
        <v>19447</v>
      </c>
      <c r="I3232" t="s">
        <v>19447</v>
      </c>
      <c r="J3232">
        <v>2</v>
      </c>
      <c r="L3232" t="s">
        <v>2709</v>
      </c>
      <c r="M3232">
        <v>29339941</v>
      </c>
      <c r="O3232" t="s">
        <v>20028</v>
      </c>
      <c r="P3232" t="s">
        <v>19900</v>
      </c>
      <c r="Q3232" t="s">
        <v>19900</v>
      </c>
      <c r="R3232" t="s">
        <v>19447</v>
      </c>
      <c r="S3232" t="s">
        <v>19447</v>
      </c>
      <c r="T3232" t="s">
        <v>19901</v>
      </c>
    </row>
    <row r="3233" spans="2:20" x14ac:dyDescent="0.25">
      <c r="B3233" t="s">
        <v>2709</v>
      </c>
      <c r="C3233">
        <v>29339942</v>
      </c>
      <c r="E3233">
        <v>68.819999999999993</v>
      </c>
      <c r="F3233">
        <v>0</v>
      </c>
      <c r="G3233">
        <v>0</v>
      </c>
      <c r="H3233" t="s">
        <v>19447</v>
      </c>
      <c r="I3233" t="s">
        <v>19447</v>
      </c>
      <c r="J3233">
        <v>2</v>
      </c>
      <c r="L3233" t="s">
        <v>2709</v>
      </c>
      <c r="M3233">
        <v>29339942</v>
      </c>
      <c r="O3233" t="s">
        <v>20028</v>
      </c>
      <c r="P3233" t="s">
        <v>19900</v>
      </c>
      <c r="Q3233" t="s">
        <v>19900</v>
      </c>
      <c r="R3233" t="s">
        <v>19447</v>
      </c>
      <c r="S3233" t="s">
        <v>19447</v>
      </c>
      <c r="T3233" t="s">
        <v>19901</v>
      </c>
    </row>
    <row r="3234" spans="2:20" x14ac:dyDescent="0.25">
      <c r="B3234" t="s">
        <v>2709</v>
      </c>
      <c r="C3234">
        <v>29339943</v>
      </c>
      <c r="E3234">
        <v>68.819999999999993</v>
      </c>
      <c r="F3234">
        <v>0</v>
      </c>
      <c r="G3234">
        <v>0</v>
      </c>
      <c r="H3234" t="s">
        <v>19447</v>
      </c>
      <c r="I3234" t="s">
        <v>19447</v>
      </c>
      <c r="J3234">
        <v>2</v>
      </c>
      <c r="L3234" t="s">
        <v>2709</v>
      </c>
      <c r="M3234">
        <v>29339943</v>
      </c>
      <c r="O3234" t="s">
        <v>20028</v>
      </c>
      <c r="P3234" t="s">
        <v>19900</v>
      </c>
      <c r="Q3234" t="s">
        <v>19900</v>
      </c>
      <c r="R3234" t="s">
        <v>19447</v>
      </c>
      <c r="S3234" t="s">
        <v>19447</v>
      </c>
      <c r="T3234" t="s">
        <v>19901</v>
      </c>
    </row>
    <row r="3235" spans="2:20" x14ac:dyDescent="0.25">
      <c r="B3235" t="s">
        <v>2709</v>
      </c>
      <c r="C3235">
        <v>29339944</v>
      </c>
      <c r="E3235">
        <v>68.819999999999993</v>
      </c>
      <c r="F3235">
        <v>0</v>
      </c>
      <c r="G3235">
        <v>0</v>
      </c>
      <c r="H3235" t="s">
        <v>19447</v>
      </c>
      <c r="I3235" t="s">
        <v>19447</v>
      </c>
      <c r="J3235">
        <v>2</v>
      </c>
      <c r="L3235" t="s">
        <v>2709</v>
      </c>
      <c r="M3235">
        <v>29339944</v>
      </c>
      <c r="O3235" t="s">
        <v>20028</v>
      </c>
      <c r="P3235" t="s">
        <v>19900</v>
      </c>
      <c r="Q3235" t="s">
        <v>19900</v>
      </c>
      <c r="R3235" t="s">
        <v>19447</v>
      </c>
      <c r="S3235" t="s">
        <v>19447</v>
      </c>
      <c r="T3235" t="s">
        <v>19901</v>
      </c>
    </row>
    <row r="3236" spans="2:20" x14ac:dyDescent="0.25">
      <c r="B3236" t="s">
        <v>2709</v>
      </c>
      <c r="C3236">
        <v>29339945</v>
      </c>
      <c r="E3236">
        <v>68.819999999999993</v>
      </c>
      <c r="F3236">
        <v>0</v>
      </c>
      <c r="G3236">
        <v>0</v>
      </c>
      <c r="H3236" t="s">
        <v>19447</v>
      </c>
      <c r="I3236" t="s">
        <v>19447</v>
      </c>
      <c r="J3236">
        <v>2</v>
      </c>
      <c r="L3236" t="s">
        <v>2709</v>
      </c>
      <c r="M3236">
        <v>29339945</v>
      </c>
      <c r="O3236" t="s">
        <v>20028</v>
      </c>
      <c r="P3236" t="s">
        <v>19900</v>
      </c>
      <c r="Q3236" t="s">
        <v>19900</v>
      </c>
      <c r="R3236" t="s">
        <v>19447</v>
      </c>
      <c r="S3236" t="s">
        <v>19447</v>
      </c>
      <c r="T3236" t="s">
        <v>19901</v>
      </c>
    </row>
    <row r="3237" spans="2:20" x14ac:dyDescent="0.25">
      <c r="B3237" t="s">
        <v>2709</v>
      </c>
      <c r="C3237">
        <v>29339946</v>
      </c>
      <c r="E3237">
        <v>68.819999999999993</v>
      </c>
      <c r="F3237">
        <v>0</v>
      </c>
      <c r="G3237">
        <v>0</v>
      </c>
      <c r="H3237" t="s">
        <v>19447</v>
      </c>
      <c r="I3237" t="s">
        <v>19447</v>
      </c>
      <c r="J3237">
        <v>14</v>
      </c>
      <c r="L3237" t="s">
        <v>2709</v>
      </c>
      <c r="M3237">
        <v>29339946</v>
      </c>
      <c r="O3237" t="s">
        <v>20028</v>
      </c>
      <c r="P3237" t="s">
        <v>19900</v>
      </c>
      <c r="Q3237" t="s">
        <v>19900</v>
      </c>
      <c r="R3237" t="s">
        <v>19447</v>
      </c>
      <c r="S3237" t="s">
        <v>19447</v>
      </c>
      <c r="T3237" t="s">
        <v>19911</v>
      </c>
    </row>
    <row r="3238" spans="2:20" x14ac:dyDescent="0.25">
      <c r="B3238" t="s">
        <v>2709</v>
      </c>
      <c r="C3238">
        <v>29339947</v>
      </c>
      <c r="E3238">
        <v>68.819999999999993</v>
      </c>
      <c r="F3238">
        <v>0</v>
      </c>
      <c r="G3238">
        <v>0</v>
      </c>
      <c r="H3238" t="s">
        <v>19447</v>
      </c>
      <c r="I3238" t="s">
        <v>19447</v>
      </c>
      <c r="J3238">
        <v>2</v>
      </c>
      <c r="L3238" t="s">
        <v>2709</v>
      </c>
      <c r="M3238">
        <v>29339947</v>
      </c>
      <c r="O3238" t="s">
        <v>20028</v>
      </c>
      <c r="P3238" t="s">
        <v>19900</v>
      </c>
      <c r="Q3238" t="s">
        <v>19900</v>
      </c>
      <c r="R3238" t="s">
        <v>19447</v>
      </c>
      <c r="S3238" t="s">
        <v>19447</v>
      </c>
      <c r="T3238" t="s">
        <v>19901</v>
      </c>
    </row>
    <row r="3239" spans="2:20" x14ac:dyDescent="0.25">
      <c r="B3239" t="s">
        <v>2709</v>
      </c>
      <c r="C3239">
        <v>29339949</v>
      </c>
      <c r="E3239">
        <v>68.819999999999993</v>
      </c>
      <c r="F3239">
        <v>0</v>
      </c>
      <c r="G3239">
        <v>0</v>
      </c>
      <c r="H3239" t="s">
        <v>19447</v>
      </c>
      <c r="I3239" t="s">
        <v>19447</v>
      </c>
      <c r="J3239">
        <v>2</v>
      </c>
      <c r="L3239" t="s">
        <v>2709</v>
      </c>
      <c r="M3239">
        <v>29339949</v>
      </c>
      <c r="O3239" t="s">
        <v>20028</v>
      </c>
      <c r="P3239" t="s">
        <v>19900</v>
      </c>
      <c r="Q3239" t="s">
        <v>19900</v>
      </c>
      <c r="R3239" t="s">
        <v>19447</v>
      </c>
      <c r="S3239" t="s">
        <v>19447</v>
      </c>
      <c r="T3239" t="s">
        <v>19901</v>
      </c>
    </row>
    <row r="3240" spans="2:20" x14ac:dyDescent="0.25">
      <c r="B3240" t="s">
        <v>2709</v>
      </c>
      <c r="C3240">
        <v>29339951</v>
      </c>
      <c r="E3240">
        <v>68.819999999999993</v>
      </c>
      <c r="F3240">
        <v>0</v>
      </c>
      <c r="G3240">
        <v>0</v>
      </c>
      <c r="H3240" t="s">
        <v>19447</v>
      </c>
      <c r="I3240" t="s">
        <v>19447</v>
      </c>
      <c r="J3240">
        <v>2</v>
      </c>
      <c r="L3240" t="s">
        <v>2709</v>
      </c>
      <c r="M3240">
        <v>29339951</v>
      </c>
      <c r="O3240" t="s">
        <v>20028</v>
      </c>
      <c r="P3240" t="s">
        <v>19900</v>
      </c>
      <c r="Q3240" t="s">
        <v>19900</v>
      </c>
      <c r="R3240" t="s">
        <v>19447</v>
      </c>
      <c r="S3240" t="s">
        <v>19447</v>
      </c>
      <c r="T3240" t="s">
        <v>19901</v>
      </c>
    </row>
    <row r="3241" spans="2:20" x14ac:dyDescent="0.25">
      <c r="B3241" t="s">
        <v>2709</v>
      </c>
      <c r="C3241">
        <v>29339952</v>
      </c>
      <c r="E3241">
        <v>68.819999999999993</v>
      </c>
      <c r="F3241">
        <v>0</v>
      </c>
      <c r="G3241">
        <v>0</v>
      </c>
      <c r="H3241" t="s">
        <v>19447</v>
      </c>
      <c r="I3241" t="s">
        <v>19447</v>
      </c>
      <c r="J3241">
        <v>14</v>
      </c>
      <c r="L3241" t="s">
        <v>2709</v>
      </c>
      <c r="M3241">
        <v>29339952</v>
      </c>
      <c r="O3241" t="s">
        <v>20028</v>
      </c>
      <c r="P3241" t="s">
        <v>19900</v>
      </c>
      <c r="Q3241" t="s">
        <v>19900</v>
      </c>
      <c r="R3241" t="s">
        <v>19447</v>
      </c>
      <c r="S3241" t="s">
        <v>19447</v>
      </c>
      <c r="T3241" t="s">
        <v>19911</v>
      </c>
    </row>
    <row r="3242" spans="2:20" x14ac:dyDescent="0.25">
      <c r="B3242" t="s">
        <v>2709</v>
      </c>
      <c r="C3242">
        <v>29339953</v>
      </c>
      <c r="E3242">
        <v>68.819999999999993</v>
      </c>
      <c r="F3242">
        <v>0</v>
      </c>
      <c r="G3242">
        <v>0</v>
      </c>
      <c r="H3242" t="s">
        <v>19447</v>
      </c>
      <c r="I3242" t="s">
        <v>19447</v>
      </c>
      <c r="J3242">
        <v>14</v>
      </c>
      <c r="L3242" t="s">
        <v>2709</v>
      </c>
      <c r="M3242">
        <v>29339953</v>
      </c>
      <c r="O3242" t="s">
        <v>20028</v>
      </c>
      <c r="P3242" t="s">
        <v>19900</v>
      </c>
      <c r="Q3242" t="s">
        <v>19900</v>
      </c>
      <c r="R3242" t="s">
        <v>19447</v>
      </c>
      <c r="S3242" t="s">
        <v>19447</v>
      </c>
      <c r="T3242" t="s">
        <v>19911</v>
      </c>
    </row>
    <row r="3243" spans="2:20" x14ac:dyDescent="0.25">
      <c r="B3243" t="s">
        <v>2709</v>
      </c>
      <c r="C3243">
        <v>29339954</v>
      </c>
      <c r="E3243">
        <v>68.819999999999993</v>
      </c>
      <c r="F3243">
        <v>0</v>
      </c>
      <c r="G3243">
        <v>0</v>
      </c>
      <c r="H3243" t="s">
        <v>19447</v>
      </c>
      <c r="I3243" t="s">
        <v>19447</v>
      </c>
      <c r="J3243">
        <v>14</v>
      </c>
      <c r="L3243" t="s">
        <v>2709</v>
      </c>
      <c r="M3243">
        <v>29339954</v>
      </c>
      <c r="O3243" t="s">
        <v>20028</v>
      </c>
      <c r="P3243" t="s">
        <v>19900</v>
      </c>
      <c r="Q3243" t="s">
        <v>19900</v>
      </c>
      <c r="R3243" t="s">
        <v>19447</v>
      </c>
      <c r="S3243" t="s">
        <v>19447</v>
      </c>
      <c r="T3243" t="s">
        <v>19911</v>
      </c>
    </row>
    <row r="3244" spans="2:20" x14ac:dyDescent="0.25">
      <c r="B3244" t="s">
        <v>2709</v>
      </c>
      <c r="C3244">
        <v>29339955</v>
      </c>
      <c r="E3244">
        <v>68.819999999999993</v>
      </c>
      <c r="F3244">
        <v>0</v>
      </c>
      <c r="G3244">
        <v>0</v>
      </c>
      <c r="H3244" t="s">
        <v>19447</v>
      </c>
      <c r="I3244" t="s">
        <v>19447</v>
      </c>
      <c r="J3244">
        <v>14</v>
      </c>
      <c r="L3244" t="s">
        <v>2709</v>
      </c>
      <c r="M3244">
        <v>29339955</v>
      </c>
      <c r="O3244" t="s">
        <v>20028</v>
      </c>
      <c r="P3244" t="s">
        <v>19900</v>
      </c>
      <c r="Q3244" t="s">
        <v>19900</v>
      </c>
      <c r="R3244" t="s">
        <v>19447</v>
      </c>
      <c r="S3244" t="s">
        <v>19447</v>
      </c>
      <c r="T3244" t="s">
        <v>19911</v>
      </c>
    </row>
    <row r="3245" spans="2:20" x14ac:dyDescent="0.25">
      <c r="B3245" t="s">
        <v>2709</v>
      </c>
      <c r="C3245">
        <v>29339956</v>
      </c>
      <c r="E3245">
        <v>68.819999999999993</v>
      </c>
      <c r="F3245">
        <v>0</v>
      </c>
      <c r="G3245">
        <v>0</v>
      </c>
      <c r="H3245" t="s">
        <v>19447</v>
      </c>
      <c r="I3245" t="s">
        <v>19447</v>
      </c>
      <c r="J3245">
        <v>14</v>
      </c>
      <c r="L3245" t="s">
        <v>2709</v>
      </c>
      <c r="M3245">
        <v>29339956</v>
      </c>
      <c r="O3245" t="s">
        <v>20028</v>
      </c>
      <c r="P3245" t="s">
        <v>19900</v>
      </c>
      <c r="Q3245" t="s">
        <v>19900</v>
      </c>
      <c r="R3245" t="s">
        <v>19447</v>
      </c>
      <c r="S3245" t="s">
        <v>19447</v>
      </c>
      <c r="T3245" t="s">
        <v>19911</v>
      </c>
    </row>
    <row r="3246" spans="2:20" x14ac:dyDescent="0.25">
      <c r="B3246" t="s">
        <v>2709</v>
      </c>
      <c r="C3246">
        <v>29339959</v>
      </c>
      <c r="E3246">
        <v>68.819999999999993</v>
      </c>
      <c r="F3246">
        <v>0</v>
      </c>
      <c r="G3246">
        <v>0</v>
      </c>
      <c r="H3246" t="s">
        <v>19447</v>
      </c>
      <c r="I3246" t="s">
        <v>19447</v>
      </c>
      <c r="J3246">
        <v>2</v>
      </c>
      <c r="L3246" t="s">
        <v>2709</v>
      </c>
      <c r="M3246">
        <v>29339959</v>
      </c>
      <c r="O3246" t="s">
        <v>20028</v>
      </c>
      <c r="P3246" t="s">
        <v>19900</v>
      </c>
      <c r="Q3246" t="s">
        <v>19900</v>
      </c>
      <c r="R3246" t="s">
        <v>19447</v>
      </c>
      <c r="S3246" t="s">
        <v>19447</v>
      </c>
      <c r="T3246" t="s">
        <v>19901</v>
      </c>
    </row>
    <row r="3247" spans="2:20" x14ac:dyDescent="0.25">
      <c r="B3247" t="s">
        <v>2709</v>
      </c>
      <c r="C3247">
        <v>29339961</v>
      </c>
      <c r="E3247">
        <v>68.819999999999993</v>
      </c>
      <c r="F3247">
        <v>0</v>
      </c>
      <c r="G3247">
        <v>0</v>
      </c>
      <c r="H3247" t="s">
        <v>19447</v>
      </c>
      <c r="I3247" t="s">
        <v>19447</v>
      </c>
      <c r="J3247">
        <v>2</v>
      </c>
      <c r="L3247" t="s">
        <v>2709</v>
      </c>
      <c r="M3247">
        <v>29339961</v>
      </c>
      <c r="O3247" t="s">
        <v>20028</v>
      </c>
      <c r="P3247" t="s">
        <v>19900</v>
      </c>
      <c r="Q3247" t="s">
        <v>19900</v>
      </c>
      <c r="R3247" t="s">
        <v>19447</v>
      </c>
      <c r="S3247" t="s">
        <v>19447</v>
      </c>
      <c r="T3247" t="s">
        <v>19901</v>
      </c>
    </row>
    <row r="3248" spans="2:20" x14ac:dyDescent="0.25">
      <c r="B3248" t="s">
        <v>2709</v>
      </c>
      <c r="C3248">
        <v>29339962</v>
      </c>
      <c r="E3248">
        <v>68.819999999999993</v>
      </c>
      <c r="F3248">
        <v>0</v>
      </c>
      <c r="G3248">
        <v>0</v>
      </c>
      <c r="H3248" t="s">
        <v>19447</v>
      </c>
      <c r="I3248" t="s">
        <v>19447</v>
      </c>
      <c r="J3248">
        <v>2</v>
      </c>
      <c r="L3248" t="s">
        <v>2709</v>
      </c>
      <c r="M3248">
        <v>29339962</v>
      </c>
      <c r="O3248" t="s">
        <v>20028</v>
      </c>
      <c r="P3248" t="s">
        <v>19900</v>
      </c>
      <c r="Q3248" t="s">
        <v>19900</v>
      </c>
      <c r="R3248" t="s">
        <v>19447</v>
      </c>
      <c r="S3248" t="s">
        <v>19447</v>
      </c>
      <c r="T3248" t="s">
        <v>19901</v>
      </c>
    </row>
    <row r="3249" spans="2:20" x14ac:dyDescent="0.25">
      <c r="B3249" t="s">
        <v>2709</v>
      </c>
      <c r="C3249">
        <v>29339963</v>
      </c>
      <c r="E3249">
        <v>68.819999999999993</v>
      </c>
      <c r="F3249">
        <v>0</v>
      </c>
      <c r="G3249">
        <v>0</v>
      </c>
      <c r="H3249" t="s">
        <v>19447</v>
      </c>
      <c r="I3249" t="s">
        <v>19447</v>
      </c>
      <c r="J3249">
        <v>2</v>
      </c>
      <c r="L3249" t="s">
        <v>2709</v>
      </c>
      <c r="M3249">
        <v>29339963</v>
      </c>
      <c r="O3249" t="s">
        <v>20028</v>
      </c>
      <c r="P3249" t="s">
        <v>19900</v>
      </c>
      <c r="Q3249" t="s">
        <v>19900</v>
      </c>
      <c r="R3249" t="s">
        <v>19447</v>
      </c>
      <c r="S3249" t="s">
        <v>19447</v>
      </c>
      <c r="T3249" t="s">
        <v>19901</v>
      </c>
    </row>
    <row r="3250" spans="2:20" x14ac:dyDescent="0.25">
      <c r="B3250" t="s">
        <v>2709</v>
      </c>
      <c r="C3250">
        <v>29339969</v>
      </c>
      <c r="E3250">
        <v>68.819999999999993</v>
      </c>
      <c r="F3250">
        <v>0</v>
      </c>
      <c r="G3250">
        <v>0</v>
      </c>
      <c r="H3250" t="s">
        <v>19447</v>
      </c>
      <c r="I3250" t="s">
        <v>19447</v>
      </c>
      <c r="J3250">
        <v>2</v>
      </c>
      <c r="L3250" t="s">
        <v>2709</v>
      </c>
      <c r="M3250">
        <v>29339969</v>
      </c>
      <c r="O3250" t="s">
        <v>20028</v>
      </c>
      <c r="P3250" t="s">
        <v>19900</v>
      </c>
      <c r="Q3250" t="s">
        <v>19900</v>
      </c>
      <c r="R3250" t="s">
        <v>19447</v>
      </c>
      <c r="S3250" t="s">
        <v>19447</v>
      </c>
      <c r="T3250" t="s">
        <v>19901</v>
      </c>
    </row>
    <row r="3251" spans="2:20" x14ac:dyDescent="0.25">
      <c r="B3251" t="s">
        <v>2709</v>
      </c>
      <c r="C3251">
        <v>29339991</v>
      </c>
      <c r="E3251">
        <v>68.819999999999993</v>
      </c>
      <c r="F3251">
        <v>0</v>
      </c>
      <c r="G3251">
        <v>0</v>
      </c>
      <c r="H3251" t="s">
        <v>19447</v>
      </c>
      <c r="I3251" t="s">
        <v>19447</v>
      </c>
      <c r="J3251">
        <v>2</v>
      </c>
      <c r="L3251" t="s">
        <v>2709</v>
      </c>
      <c r="M3251">
        <v>29339991</v>
      </c>
      <c r="O3251" t="s">
        <v>20028</v>
      </c>
      <c r="P3251" t="s">
        <v>19900</v>
      </c>
      <c r="Q3251" t="s">
        <v>19900</v>
      </c>
      <c r="R3251" t="s">
        <v>19447</v>
      </c>
      <c r="S3251" t="s">
        <v>19447</v>
      </c>
      <c r="T3251" t="s">
        <v>19901</v>
      </c>
    </row>
    <row r="3252" spans="2:20" x14ac:dyDescent="0.25">
      <c r="B3252" t="s">
        <v>2709</v>
      </c>
      <c r="C3252">
        <v>29339992</v>
      </c>
      <c r="E3252">
        <v>68.819999999999993</v>
      </c>
      <c r="F3252">
        <v>0</v>
      </c>
      <c r="G3252">
        <v>0</v>
      </c>
      <c r="H3252" t="s">
        <v>19447</v>
      </c>
      <c r="I3252" t="s">
        <v>19447</v>
      </c>
      <c r="J3252">
        <v>2</v>
      </c>
      <c r="L3252" t="s">
        <v>2709</v>
      </c>
      <c r="M3252">
        <v>29339992</v>
      </c>
      <c r="O3252" t="s">
        <v>20028</v>
      </c>
      <c r="P3252" t="s">
        <v>19900</v>
      </c>
      <c r="Q3252" t="s">
        <v>19900</v>
      </c>
      <c r="R3252" t="s">
        <v>19447</v>
      </c>
      <c r="S3252" t="s">
        <v>19447</v>
      </c>
      <c r="T3252" t="s">
        <v>19901</v>
      </c>
    </row>
    <row r="3253" spans="2:20" x14ac:dyDescent="0.25">
      <c r="B3253" t="s">
        <v>2709</v>
      </c>
      <c r="C3253">
        <v>29339993</v>
      </c>
      <c r="E3253">
        <v>68.819999999999993</v>
      </c>
      <c r="F3253">
        <v>0</v>
      </c>
      <c r="G3253">
        <v>0</v>
      </c>
      <c r="H3253" t="s">
        <v>19447</v>
      </c>
      <c r="I3253" t="s">
        <v>19447</v>
      </c>
      <c r="J3253">
        <v>14</v>
      </c>
      <c r="L3253" t="s">
        <v>2709</v>
      </c>
      <c r="M3253">
        <v>29339993</v>
      </c>
      <c r="O3253" t="s">
        <v>20028</v>
      </c>
      <c r="P3253" t="s">
        <v>19900</v>
      </c>
      <c r="Q3253" t="s">
        <v>19900</v>
      </c>
      <c r="R3253" t="s">
        <v>19447</v>
      </c>
      <c r="S3253" t="s">
        <v>19447</v>
      </c>
      <c r="T3253" t="s">
        <v>19911</v>
      </c>
    </row>
    <row r="3254" spans="2:20" x14ac:dyDescent="0.25">
      <c r="B3254" t="s">
        <v>2709</v>
      </c>
      <c r="C3254">
        <v>29339995</v>
      </c>
      <c r="E3254">
        <v>68.819999999999993</v>
      </c>
      <c r="F3254">
        <v>0</v>
      </c>
      <c r="G3254">
        <v>0</v>
      </c>
      <c r="H3254" t="s">
        <v>19447</v>
      </c>
      <c r="I3254" t="s">
        <v>19447</v>
      </c>
      <c r="J3254">
        <v>14</v>
      </c>
      <c r="L3254" t="s">
        <v>2709</v>
      </c>
      <c r="M3254">
        <v>29339995</v>
      </c>
      <c r="O3254" t="s">
        <v>20028</v>
      </c>
      <c r="P3254" t="s">
        <v>19900</v>
      </c>
      <c r="Q3254" t="s">
        <v>19900</v>
      </c>
      <c r="R3254" t="s">
        <v>19447</v>
      </c>
      <c r="S3254" t="s">
        <v>19447</v>
      </c>
      <c r="T3254" t="s">
        <v>19911</v>
      </c>
    </row>
    <row r="3255" spans="2:20" x14ac:dyDescent="0.25">
      <c r="B3255" t="s">
        <v>2709</v>
      </c>
      <c r="C3255">
        <v>29339996</v>
      </c>
      <c r="E3255">
        <v>68.819999999999993</v>
      </c>
      <c r="F3255">
        <v>0</v>
      </c>
      <c r="G3255">
        <v>0</v>
      </c>
      <c r="H3255" t="s">
        <v>19447</v>
      </c>
      <c r="I3255" t="s">
        <v>19447</v>
      </c>
      <c r="J3255">
        <v>12</v>
      </c>
      <c r="L3255" t="s">
        <v>2709</v>
      </c>
      <c r="M3255">
        <v>29339996</v>
      </c>
      <c r="O3255" t="s">
        <v>20028</v>
      </c>
      <c r="P3255" t="s">
        <v>19900</v>
      </c>
      <c r="Q3255" t="s">
        <v>19900</v>
      </c>
      <c r="R3255" t="s">
        <v>19447</v>
      </c>
      <c r="S3255" t="s">
        <v>19447</v>
      </c>
      <c r="T3255" t="s">
        <v>19903</v>
      </c>
    </row>
    <row r="3256" spans="2:20" x14ac:dyDescent="0.25">
      <c r="B3256" t="s">
        <v>2709</v>
      </c>
      <c r="C3256">
        <v>29339999</v>
      </c>
      <c r="E3256">
        <v>68.819999999999993</v>
      </c>
      <c r="F3256">
        <v>0</v>
      </c>
      <c r="G3256">
        <v>0</v>
      </c>
      <c r="H3256" t="s">
        <v>19447</v>
      </c>
      <c r="I3256" t="s">
        <v>19447</v>
      </c>
      <c r="J3256">
        <v>2</v>
      </c>
      <c r="L3256" t="s">
        <v>2709</v>
      </c>
      <c r="M3256">
        <v>29339999</v>
      </c>
      <c r="O3256" t="s">
        <v>20028</v>
      </c>
      <c r="P3256" t="s">
        <v>19900</v>
      </c>
      <c r="Q3256" t="s">
        <v>19900</v>
      </c>
      <c r="R3256" t="s">
        <v>19447</v>
      </c>
      <c r="S3256" t="s">
        <v>19447</v>
      </c>
      <c r="T3256" t="s">
        <v>19901</v>
      </c>
    </row>
    <row r="3257" spans="2:20" x14ac:dyDescent="0.25">
      <c r="B3257" t="s">
        <v>2709</v>
      </c>
      <c r="C3257">
        <v>29341010</v>
      </c>
      <c r="E3257">
        <v>68.819999999999993</v>
      </c>
      <c r="F3257">
        <v>0</v>
      </c>
      <c r="G3257">
        <v>0</v>
      </c>
      <c r="H3257" t="s">
        <v>19447</v>
      </c>
      <c r="I3257" t="s">
        <v>19447</v>
      </c>
      <c r="J3257">
        <v>2</v>
      </c>
      <c r="L3257" t="s">
        <v>2709</v>
      </c>
      <c r="M3257">
        <v>29341010</v>
      </c>
      <c r="O3257" t="s">
        <v>20028</v>
      </c>
      <c r="P3257" t="s">
        <v>19900</v>
      </c>
      <c r="Q3257" t="s">
        <v>19900</v>
      </c>
      <c r="R3257" t="s">
        <v>19447</v>
      </c>
      <c r="S3257" t="s">
        <v>19447</v>
      </c>
      <c r="T3257" t="s">
        <v>19901</v>
      </c>
    </row>
    <row r="3258" spans="2:20" x14ac:dyDescent="0.25">
      <c r="B3258" t="s">
        <v>2709</v>
      </c>
      <c r="C3258">
        <v>29341020</v>
      </c>
      <c r="E3258">
        <v>68.819999999999993</v>
      </c>
      <c r="F3258">
        <v>0</v>
      </c>
      <c r="G3258">
        <v>0</v>
      </c>
      <c r="H3258" t="s">
        <v>19447</v>
      </c>
      <c r="I3258" t="s">
        <v>19447</v>
      </c>
      <c r="J3258">
        <v>14</v>
      </c>
      <c r="L3258" t="s">
        <v>2709</v>
      </c>
      <c r="M3258">
        <v>29341020</v>
      </c>
      <c r="O3258" t="s">
        <v>20028</v>
      </c>
      <c r="P3258" t="s">
        <v>19900</v>
      </c>
      <c r="Q3258" t="s">
        <v>19900</v>
      </c>
      <c r="R3258" t="s">
        <v>19447</v>
      </c>
      <c r="S3258" t="s">
        <v>19447</v>
      </c>
      <c r="T3258" t="s">
        <v>19911</v>
      </c>
    </row>
    <row r="3259" spans="2:20" x14ac:dyDescent="0.25">
      <c r="B3259" t="s">
        <v>2709</v>
      </c>
      <c r="C3259">
        <v>29341030</v>
      </c>
      <c r="E3259">
        <v>68.819999999999993</v>
      </c>
      <c r="F3259">
        <v>0</v>
      </c>
      <c r="G3259">
        <v>0</v>
      </c>
      <c r="H3259" t="s">
        <v>19447</v>
      </c>
      <c r="I3259" t="s">
        <v>19447</v>
      </c>
      <c r="J3259">
        <v>2</v>
      </c>
      <c r="L3259" t="s">
        <v>2709</v>
      </c>
      <c r="M3259">
        <v>29341030</v>
      </c>
      <c r="O3259" t="s">
        <v>20028</v>
      </c>
      <c r="P3259" t="s">
        <v>19900</v>
      </c>
      <c r="Q3259" t="s">
        <v>19900</v>
      </c>
      <c r="R3259" t="s">
        <v>19447</v>
      </c>
      <c r="S3259" t="s">
        <v>19447</v>
      </c>
      <c r="T3259" t="s">
        <v>19901</v>
      </c>
    </row>
    <row r="3260" spans="2:20" x14ac:dyDescent="0.25">
      <c r="B3260" t="s">
        <v>2709</v>
      </c>
      <c r="C3260">
        <v>29341090</v>
      </c>
      <c r="E3260">
        <v>68.819999999999993</v>
      </c>
      <c r="F3260">
        <v>0</v>
      </c>
      <c r="G3260">
        <v>0</v>
      </c>
      <c r="H3260" t="s">
        <v>19447</v>
      </c>
      <c r="I3260" t="s">
        <v>19447</v>
      </c>
      <c r="J3260">
        <v>2</v>
      </c>
      <c r="L3260" t="s">
        <v>2709</v>
      </c>
      <c r="M3260">
        <v>29341090</v>
      </c>
      <c r="O3260" t="s">
        <v>20028</v>
      </c>
      <c r="P3260" t="s">
        <v>19900</v>
      </c>
      <c r="Q3260" t="s">
        <v>19900</v>
      </c>
      <c r="R3260" t="s">
        <v>19447</v>
      </c>
      <c r="S3260" t="s">
        <v>19447</v>
      </c>
      <c r="T3260" t="s">
        <v>19901</v>
      </c>
    </row>
    <row r="3261" spans="2:20" x14ac:dyDescent="0.25">
      <c r="B3261" t="s">
        <v>2709</v>
      </c>
      <c r="C3261">
        <v>29342010</v>
      </c>
      <c r="E3261">
        <v>68.819999999999993</v>
      </c>
      <c r="F3261">
        <v>0</v>
      </c>
      <c r="G3261">
        <v>0</v>
      </c>
      <c r="H3261" t="s">
        <v>19447</v>
      </c>
      <c r="I3261" t="s">
        <v>19447</v>
      </c>
      <c r="J3261">
        <v>14</v>
      </c>
      <c r="L3261" t="s">
        <v>2709</v>
      </c>
      <c r="M3261">
        <v>29342010</v>
      </c>
      <c r="O3261" t="s">
        <v>20028</v>
      </c>
      <c r="P3261" t="s">
        <v>19900</v>
      </c>
      <c r="Q3261" t="s">
        <v>19900</v>
      </c>
      <c r="R3261" t="s">
        <v>19447</v>
      </c>
      <c r="S3261" t="s">
        <v>19447</v>
      </c>
      <c r="T3261" t="s">
        <v>19911</v>
      </c>
    </row>
    <row r="3262" spans="2:20" x14ac:dyDescent="0.25">
      <c r="B3262" t="s">
        <v>2709</v>
      </c>
      <c r="C3262">
        <v>29342020</v>
      </c>
      <c r="E3262">
        <v>68.819999999999993</v>
      </c>
      <c r="F3262">
        <v>0</v>
      </c>
      <c r="G3262">
        <v>0</v>
      </c>
      <c r="H3262" t="s">
        <v>19447</v>
      </c>
      <c r="I3262" t="s">
        <v>19447</v>
      </c>
      <c r="J3262">
        <v>14</v>
      </c>
      <c r="L3262" t="s">
        <v>2709</v>
      </c>
      <c r="M3262">
        <v>29342020</v>
      </c>
      <c r="O3262" t="s">
        <v>20028</v>
      </c>
      <c r="P3262" t="s">
        <v>19900</v>
      </c>
      <c r="Q3262" t="s">
        <v>19900</v>
      </c>
      <c r="R3262" t="s">
        <v>19447</v>
      </c>
      <c r="S3262" t="s">
        <v>19447</v>
      </c>
      <c r="T3262" t="s">
        <v>19911</v>
      </c>
    </row>
    <row r="3263" spans="2:20" x14ac:dyDescent="0.25">
      <c r="B3263" t="s">
        <v>2709</v>
      </c>
      <c r="C3263">
        <v>29342031</v>
      </c>
      <c r="E3263">
        <v>68.819999999999993</v>
      </c>
      <c r="F3263">
        <v>0</v>
      </c>
      <c r="G3263">
        <v>0</v>
      </c>
      <c r="H3263" t="s">
        <v>19447</v>
      </c>
      <c r="I3263" t="s">
        <v>19447</v>
      </c>
      <c r="J3263">
        <v>14</v>
      </c>
      <c r="L3263" t="s">
        <v>2709</v>
      </c>
      <c r="M3263">
        <v>29342031</v>
      </c>
      <c r="O3263" t="s">
        <v>20028</v>
      </c>
      <c r="P3263" t="s">
        <v>19900</v>
      </c>
      <c r="Q3263" t="s">
        <v>19900</v>
      </c>
      <c r="R3263" t="s">
        <v>19447</v>
      </c>
      <c r="S3263" t="s">
        <v>19447</v>
      </c>
      <c r="T3263" t="s">
        <v>19911</v>
      </c>
    </row>
    <row r="3264" spans="2:20" x14ac:dyDescent="0.25">
      <c r="B3264" t="s">
        <v>2709</v>
      </c>
      <c r="C3264">
        <v>29342032</v>
      </c>
      <c r="E3264">
        <v>68.819999999999993</v>
      </c>
      <c r="F3264">
        <v>0</v>
      </c>
      <c r="G3264">
        <v>0</v>
      </c>
      <c r="H3264" t="s">
        <v>19447</v>
      </c>
      <c r="I3264" t="s">
        <v>19447</v>
      </c>
      <c r="J3264">
        <v>14</v>
      </c>
      <c r="L3264" t="s">
        <v>2709</v>
      </c>
      <c r="M3264">
        <v>29342032</v>
      </c>
      <c r="O3264" t="s">
        <v>20028</v>
      </c>
      <c r="P3264" t="s">
        <v>19900</v>
      </c>
      <c r="Q3264" t="s">
        <v>19900</v>
      </c>
      <c r="R3264" t="s">
        <v>19447</v>
      </c>
      <c r="S3264" t="s">
        <v>19447</v>
      </c>
      <c r="T3264" t="s">
        <v>19911</v>
      </c>
    </row>
    <row r="3265" spans="2:20" x14ac:dyDescent="0.25">
      <c r="B3265" t="s">
        <v>2709</v>
      </c>
      <c r="C3265">
        <v>29342033</v>
      </c>
      <c r="E3265">
        <v>68.819999999999993</v>
      </c>
      <c r="F3265">
        <v>0</v>
      </c>
      <c r="G3265">
        <v>0</v>
      </c>
      <c r="H3265" t="s">
        <v>19447</v>
      </c>
      <c r="I3265" t="s">
        <v>19447</v>
      </c>
      <c r="J3265">
        <v>14</v>
      </c>
      <c r="L3265" t="s">
        <v>2709</v>
      </c>
      <c r="M3265">
        <v>29342033</v>
      </c>
      <c r="O3265" t="s">
        <v>20028</v>
      </c>
      <c r="P3265" t="s">
        <v>19900</v>
      </c>
      <c r="Q3265" t="s">
        <v>19900</v>
      </c>
      <c r="R3265" t="s">
        <v>19447</v>
      </c>
      <c r="S3265" t="s">
        <v>19447</v>
      </c>
      <c r="T3265" t="s">
        <v>19911</v>
      </c>
    </row>
    <row r="3266" spans="2:20" x14ac:dyDescent="0.25">
      <c r="B3266" t="s">
        <v>2709</v>
      </c>
      <c r="C3266">
        <v>29342034</v>
      </c>
      <c r="E3266">
        <v>68.819999999999993</v>
      </c>
      <c r="F3266">
        <v>0</v>
      </c>
      <c r="G3266">
        <v>0</v>
      </c>
      <c r="H3266" t="s">
        <v>19447</v>
      </c>
      <c r="I3266" t="s">
        <v>19447</v>
      </c>
      <c r="J3266">
        <v>14</v>
      </c>
      <c r="L3266" t="s">
        <v>2709</v>
      </c>
      <c r="M3266">
        <v>29342034</v>
      </c>
      <c r="O3266" t="s">
        <v>20028</v>
      </c>
      <c r="P3266" t="s">
        <v>19900</v>
      </c>
      <c r="Q3266" t="s">
        <v>19900</v>
      </c>
      <c r="R3266" t="s">
        <v>19447</v>
      </c>
      <c r="S3266" t="s">
        <v>19447</v>
      </c>
      <c r="T3266" t="s">
        <v>19911</v>
      </c>
    </row>
    <row r="3267" spans="2:20" x14ac:dyDescent="0.25">
      <c r="B3267" t="s">
        <v>2709</v>
      </c>
      <c r="C3267">
        <v>29342039</v>
      </c>
      <c r="E3267">
        <v>68.819999999999993</v>
      </c>
      <c r="F3267">
        <v>0</v>
      </c>
      <c r="G3267">
        <v>0</v>
      </c>
      <c r="H3267" t="s">
        <v>19447</v>
      </c>
      <c r="I3267" t="s">
        <v>19447</v>
      </c>
      <c r="J3267">
        <v>14</v>
      </c>
      <c r="L3267" t="s">
        <v>2709</v>
      </c>
      <c r="M3267">
        <v>29342039</v>
      </c>
      <c r="O3267" t="s">
        <v>20028</v>
      </c>
      <c r="P3267" t="s">
        <v>19900</v>
      </c>
      <c r="Q3267" t="s">
        <v>19900</v>
      </c>
      <c r="R3267" t="s">
        <v>19447</v>
      </c>
      <c r="S3267" t="s">
        <v>19447</v>
      </c>
      <c r="T3267" t="s">
        <v>19911</v>
      </c>
    </row>
    <row r="3268" spans="2:20" x14ac:dyDescent="0.25">
      <c r="B3268" t="s">
        <v>2709</v>
      </c>
      <c r="C3268">
        <v>29342040</v>
      </c>
      <c r="E3268">
        <v>68.819999999999993</v>
      </c>
      <c r="F3268">
        <v>0</v>
      </c>
      <c r="G3268">
        <v>0</v>
      </c>
      <c r="H3268" t="s">
        <v>19447</v>
      </c>
      <c r="I3268" t="s">
        <v>19447</v>
      </c>
      <c r="J3268">
        <v>14</v>
      </c>
      <c r="L3268" t="s">
        <v>2709</v>
      </c>
      <c r="M3268">
        <v>29342040</v>
      </c>
      <c r="O3268" t="s">
        <v>20028</v>
      </c>
      <c r="P3268" t="s">
        <v>19900</v>
      </c>
      <c r="Q3268" t="s">
        <v>19900</v>
      </c>
      <c r="R3268" t="s">
        <v>19447</v>
      </c>
      <c r="S3268" t="s">
        <v>19447</v>
      </c>
      <c r="T3268" t="s">
        <v>19911</v>
      </c>
    </row>
    <row r="3269" spans="2:20" x14ac:dyDescent="0.25">
      <c r="B3269" t="s">
        <v>2709</v>
      </c>
      <c r="C3269">
        <v>29342090</v>
      </c>
      <c r="E3269">
        <v>68.819999999999993</v>
      </c>
      <c r="F3269">
        <v>0</v>
      </c>
      <c r="G3269">
        <v>0</v>
      </c>
      <c r="H3269" t="s">
        <v>19447</v>
      </c>
      <c r="I3269" t="s">
        <v>19447</v>
      </c>
      <c r="J3269">
        <v>2</v>
      </c>
      <c r="L3269" t="s">
        <v>2709</v>
      </c>
      <c r="M3269">
        <v>29342090</v>
      </c>
      <c r="O3269" t="s">
        <v>20028</v>
      </c>
      <c r="P3269" t="s">
        <v>19900</v>
      </c>
      <c r="Q3269" t="s">
        <v>19900</v>
      </c>
      <c r="R3269" t="s">
        <v>19447</v>
      </c>
      <c r="S3269" t="s">
        <v>19447</v>
      </c>
      <c r="T3269" t="s">
        <v>19901</v>
      </c>
    </row>
    <row r="3270" spans="2:20" x14ac:dyDescent="0.25">
      <c r="B3270" t="s">
        <v>2709</v>
      </c>
      <c r="C3270">
        <v>29343010</v>
      </c>
      <c r="E3270">
        <v>68.819999999999993</v>
      </c>
      <c r="F3270">
        <v>0</v>
      </c>
      <c r="G3270">
        <v>0</v>
      </c>
      <c r="H3270" t="s">
        <v>19447</v>
      </c>
      <c r="I3270" t="s">
        <v>19447</v>
      </c>
      <c r="J3270">
        <v>2</v>
      </c>
      <c r="L3270" t="s">
        <v>2709</v>
      </c>
      <c r="M3270">
        <v>29343010</v>
      </c>
      <c r="O3270" t="s">
        <v>20028</v>
      </c>
      <c r="P3270" t="s">
        <v>19900</v>
      </c>
      <c r="Q3270" t="s">
        <v>19900</v>
      </c>
      <c r="R3270" t="s">
        <v>19447</v>
      </c>
      <c r="S3270" t="s">
        <v>19447</v>
      </c>
      <c r="T3270" t="s">
        <v>19901</v>
      </c>
    </row>
    <row r="3271" spans="2:20" x14ac:dyDescent="0.25">
      <c r="B3271" t="s">
        <v>2709</v>
      </c>
      <c r="C3271">
        <v>29343020</v>
      </c>
      <c r="E3271">
        <v>68.819999999999993</v>
      </c>
      <c r="F3271">
        <v>0</v>
      </c>
      <c r="G3271">
        <v>0</v>
      </c>
      <c r="H3271" t="s">
        <v>19447</v>
      </c>
      <c r="I3271" t="s">
        <v>19447</v>
      </c>
      <c r="J3271">
        <v>12</v>
      </c>
      <c r="L3271" t="s">
        <v>2709</v>
      </c>
      <c r="M3271">
        <v>29343020</v>
      </c>
      <c r="O3271" t="s">
        <v>20028</v>
      </c>
      <c r="P3271" t="s">
        <v>19900</v>
      </c>
      <c r="Q3271" t="s">
        <v>19900</v>
      </c>
      <c r="R3271" t="s">
        <v>19447</v>
      </c>
      <c r="S3271" t="s">
        <v>19447</v>
      </c>
      <c r="T3271" t="s">
        <v>19903</v>
      </c>
    </row>
    <row r="3272" spans="2:20" x14ac:dyDescent="0.25">
      <c r="B3272" t="s">
        <v>2709</v>
      </c>
      <c r="C3272">
        <v>29343030</v>
      </c>
      <c r="E3272">
        <v>68.819999999999993</v>
      </c>
      <c r="F3272">
        <v>0</v>
      </c>
      <c r="G3272">
        <v>0</v>
      </c>
      <c r="H3272" t="s">
        <v>19447</v>
      </c>
      <c r="I3272" t="s">
        <v>19447</v>
      </c>
      <c r="J3272">
        <v>2</v>
      </c>
      <c r="L3272" t="s">
        <v>2709</v>
      </c>
      <c r="M3272">
        <v>29343030</v>
      </c>
      <c r="O3272" t="s">
        <v>20028</v>
      </c>
      <c r="P3272" t="s">
        <v>19900</v>
      </c>
      <c r="Q3272" t="s">
        <v>19900</v>
      </c>
      <c r="R3272" t="s">
        <v>19447</v>
      </c>
      <c r="S3272" t="s">
        <v>19447</v>
      </c>
      <c r="T3272" t="s">
        <v>19901</v>
      </c>
    </row>
    <row r="3273" spans="2:20" x14ac:dyDescent="0.25">
      <c r="B3273" t="s">
        <v>2709</v>
      </c>
      <c r="C3273">
        <v>29343090</v>
      </c>
      <c r="E3273">
        <v>68.819999999999993</v>
      </c>
      <c r="F3273">
        <v>0</v>
      </c>
      <c r="G3273">
        <v>0</v>
      </c>
      <c r="H3273" t="s">
        <v>19447</v>
      </c>
      <c r="I3273" t="s">
        <v>19447</v>
      </c>
      <c r="J3273">
        <v>2</v>
      </c>
      <c r="L3273" t="s">
        <v>2709</v>
      </c>
      <c r="M3273">
        <v>29343090</v>
      </c>
      <c r="O3273" t="s">
        <v>20028</v>
      </c>
      <c r="P3273" t="s">
        <v>19900</v>
      </c>
      <c r="Q3273" t="s">
        <v>19900</v>
      </c>
      <c r="R3273" t="s">
        <v>19447</v>
      </c>
      <c r="S3273" t="s">
        <v>19447</v>
      </c>
      <c r="T3273" t="s">
        <v>19901</v>
      </c>
    </row>
    <row r="3274" spans="2:20" x14ac:dyDescent="0.25">
      <c r="B3274" t="s">
        <v>2709</v>
      </c>
      <c r="C3274">
        <v>29349111</v>
      </c>
      <c r="E3274">
        <v>68.819999999999993</v>
      </c>
      <c r="F3274">
        <v>0</v>
      </c>
      <c r="G3274">
        <v>0</v>
      </c>
      <c r="H3274" t="s">
        <v>19447</v>
      </c>
      <c r="I3274" t="s">
        <v>19447</v>
      </c>
      <c r="J3274">
        <v>2</v>
      </c>
      <c r="L3274" t="s">
        <v>2709</v>
      </c>
      <c r="M3274">
        <v>29349111</v>
      </c>
      <c r="O3274" t="s">
        <v>20028</v>
      </c>
      <c r="P3274" t="s">
        <v>19900</v>
      </c>
      <c r="Q3274" t="s">
        <v>19900</v>
      </c>
      <c r="R3274" t="s">
        <v>19447</v>
      </c>
      <c r="S3274" t="s">
        <v>19447</v>
      </c>
      <c r="T3274" t="s">
        <v>19901</v>
      </c>
    </row>
    <row r="3275" spans="2:20" x14ac:dyDescent="0.25">
      <c r="B3275" t="s">
        <v>2709</v>
      </c>
      <c r="C3275">
        <v>29349112</v>
      </c>
      <c r="E3275">
        <v>68.819999999999993</v>
      </c>
      <c r="F3275">
        <v>0</v>
      </c>
      <c r="G3275">
        <v>0</v>
      </c>
      <c r="H3275" t="s">
        <v>19447</v>
      </c>
      <c r="I3275" t="s">
        <v>19447</v>
      </c>
      <c r="J3275">
        <v>2</v>
      </c>
      <c r="L3275" t="s">
        <v>2709</v>
      </c>
      <c r="M3275">
        <v>29349112</v>
      </c>
      <c r="O3275" t="s">
        <v>20028</v>
      </c>
      <c r="P3275" t="s">
        <v>19900</v>
      </c>
      <c r="Q3275" t="s">
        <v>19900</v>
      </c>
      <c r="R3275" t="s">
        <v>19447</v>
      </c>
      <c r="S3275" t="s">
        <v>19447</v>
      </c>
      <c r="T3275" t="s">
        <v>19901</v>
      </c>
    </row>
    <row r="3276" spans="2:20" x14ac:dyDescent="0.25">
      <c r="B3276" t="s">
        <v>2709</v>
      </c>
      <c r="C3276">
        <v>29349121</v>
      </c>
      <c r="E3276">
        <v>68.819999999999993</v>
      </c>
      <c r="F3276">
        <v>0</v>
      </c>
      <c r="G3276">
        <v>0</v>
      </c>
      <c r="H3276" t="s">
        <v>19447</v>
      </c>
      <c r="I3276" t="s">
        <v>19447</v>
      </c>
      <c r="J3276">
        <v>2</v>
      </c>
      <c r="L3276" t="s">
        <v>2709</v>
      </c>
      <c r="M3276">
        <v>29349121</v>
      </c>
      <c r="O3276" t="s">
        <v>20028</v>
      </c>
      <c r="P3276" t="s">
        <v>19900</v>
      </c>
      <c r="Q3276" t="s">
        <v>19900</v>
      </c>
      <c r="R3276" t="s">
        <v>19447</v>
      </c>
      <c r="S3276" t="s">
        <v>19447</v>
      </c>
      <c r="T3276" t="s">
        <v>19901</v>
      </c>
    </row>
    <row r="3277" spans="2:20" x14ac:dyDescent="0.25">
      <c r="B3277" t="s">
        <v>2709</v>
      </c>
      <c r="C3277">
        <v>29349122</v>
      </c>
      <c r="E3277">
        <v>68.819999999999993</v>
      </c>
      <c r="F3277">
        <v>0</v>
      </c>
      <c r="G3277">
        <v>0</v>
      </c>
      <c r="H3277" t="s">
        <v>19447</v>
      </c>
      <c r="I3277" t="s">
        <v>19447</v>
      </c>
      <c r="J3277">
        <v>12</v>
      </c>
      <c r="L3277" t="s">
        <v>2709</v>
      </c>
      <c r="M3277">
        <v>29349122</v>
      </c>
      <c r="O3277" t="s">
        <v>20028</v>
      </c>
      <c r="P3277" t="s">
        <v>19900</v>
      </c>
      <c r="Q3277" t="s">
        <v>19900</v>
      </c>
      <c r="R3277" t="s">
        <v>19447</v>
      </c>
      <c r="S3277" t="s">
        <v>19447</v>
      </c>
      <c r="T3277" t="s">
        <v>19903</v>
      </c>
    </row>
    <row r="3278" spans="2:20" x14ac:dyDescent="0.25">
      <c r="B3278" t="s">
        <v>2709</v>
      </c>
      <c r="C3278">
        <v>29349123</v>
      </c>
      <c r="E3278">
        <v>68.819999999999993</v>
      </c>
      <c r="F3278">
        <v>0</v>
      </c>
      <c r="G3278">
        <v>0</v>
      </c>
      <c r="H3278" t="s">
        <v>19447</v>
      </c>
      <c r="I3278" t="s">
        <v>19447</v>
      </c>
      <c r="J3278">
        <v>2</v>
      </c>
      <c r="L3278" t="s">
        <v>2709</v>
      </c>
      <c r="M3278">
        <v>29349123</v>
      </c>
      <c r="O3278" t="s">
        <v>20028</v>
      </c>
      <c r="P3278" t="s">
        <v>19900</v>
      </c>
      <c r="Q3278" t="s">
        <v>19900</v>
      </c>
      <c r="R3278" t="s">
        <v>19447</v>
      </c>
      <c r="S3278" t="s">
        <v>19447</v>
      </c>
      <c r="T3278" t="s">
        <v>19901</v>
      </c>
    </row>
    <row r="3279" spans="2:20" x14ac:dyDescent="0.25">
      <c r="B3279" t="s">
        <v>2709</v>
      </c>
      <c r="C3279">
        <v>29349129</v>
      </c>
      <c r="E3279">
        <v>68.819999999999993</v>
      </c>
      <c r="F3279">
        <v>0</v>
      </c>
      <c r="G3279">
        <v>0</v>
      </c>
      <c r="H3279" t="s">
        <v>19447</v>
      </c>
      <c r="I3279" t="s">
        <v>19447</v>
      </c>
      <c r="J3279">
        <v>2</v>
      </c>
      <c r="L3279" t="s">
        <v>2709</v>
      </c>
      <c r="M3279">
        <v>29349129</v>
      </c>
      <c r="O3279" t="s">
        <v>20028</v>
      </c>
      <c r="P3279" t="s">
        <v>19900</v>
      </c>
      <c r="Q3279" t="s">
        <v>19900</v>
      </c>
      <c r="R3279" t="s">
        <v>19447</v>
      </c>
      <c r="S3279" t="s">
        <v>19447</v>
      </c>
      <c r="T3279" t="s">
        <v>19901</v>
      </c>
    </row>
    <row r="3280" spans="2:20" x14ac:dyDescent="0.25">
      <c r="B3280" t="s">
        <v>2709</v>
      </c>
      <c r="C3280">
        <v>29349131</v>
      </c>
      <c r="E3280">
        <v>68.819999999999993</v>
      </c>
      <c r="F3280">
        <v>0</v>
      </c>
      <c r="G3280">
        <v>0</v>
      </c>
      <c r="H3280" t="s">
        <v>19447</v>
      </c>
      <c r="I3280" t="s">
        <v>19447</v>
      </c>
      <c r="J3280">
        <v>2</v>
      </c>
      <c r="L3280" t="s">
        <v>2709</v>
      </c>
      <c r="M3280">
        <v>29349131</v>
      </c>
      <c r="O3280" t="s">
        <v>20028</v>
      </c>
      <c r="P3280" t="s">
        <v>19900</v>
      </c>
      <c r="Q3280" t="s">
        <v>19900</v>
      </c>
      <c r="R3280" t="s">
        <v>19447</v>
      </c>
      <c r="S3280" t="s">
        <v>19447</v>
      </c>
      <c r="T3280" t="s">
        <v>19901</v>
      </c>
    </row>
    <row r="3281" spans="2:20" x14ac:dyDescent="0.25">
      <c r="B3281" t="s">
        <v>2709</v>
      </c>
      <c r="C3281">
        <v>29349132</v>
      </c>
      <c r="E3281">
        <v>68.819999999999993</v>
      </c>
      <c r="F3281">
        <v>0</v>
      </c>
      <c r="G3281">
        <v>0</v>
      </c>
      <c r="H3281" t="s">
        <v>19447</v>
      </c>
      <c r="I3281" t="s">
        <v>19447</v>
      </c>
      <c r="J3281">
        <v>2</v>
      </c>
      <c r="L3281" t="s">
        <v>2709</v>
      </c>
      <c r="M3281">
        <v>29349132</v>
      </c>
      <c r="O3281" t="s">
        <v>20028</v>
      </c>
      <c r="P3281" t="s">
        <v>19900</v>
      </c>
      <c r="Q3281" t="s">
        <v>19900</v>
      </c>
      <c r="R3281" t="s">
        <v>19447</v>
      </c>
      <c r="S3281" t="s">
        <v>19447</v>
      </c>
      <c r="T3281" t="s">
        <v>19901</v>
      </c>
    </row>
    <row r="3282" spans="2:20" x14ac:dyDescent="0.25">
      <c r="B3282" t="s">
        <v>2709</v>
      </c>
      <c r="C3282">
        <v>29349133</v>
      </c>
      <c r="E3282">
        <v>68.819999999999993</v>
      </c>
      <c r="F3282">
        <v>0</v>
      </c>
      <c r="G3282">
        <v>0</v>
      </c>
      <c r="H3282" t="s">
        <v>19447</v>
      </c>
      <c r="I3282" t="s">
        <v>19447</v>
      </c>
      <c r="J3282">
        <v>2</v>
      </c>
      <c r="L3282" t="s">
        <v>2709</v>
      </c>
      <c r="M3282">
        <v>29349133</v>
      </c>
      <c r="O3282" t="s">
        <v>20028</v>
      </c>
      <c r="P3282" t="s">
        <v>19900</v>
      </c>
      <c r="Q3282" t="s">
        <v>19900</v>
      </c>
      <c r="R3282" t="s">
        <v>19447</v>
      </c>
      <c r="S3282" t="s">
        <v>19447</v>
      </c>
      <c r="T3282" t="s">
        <v>19901</v>
      </c>
    </row>
    <row r="3283" spans="2:20" x14ac:dyDescent="0.25">
      <c r="B3283" t="s">
        <v>2709</v>
      </c>
      <c r="C3283">
        <v>29349141</v>
      </c>
      <c r="E3283">
        <v>68.819999999999993</v>
      </c>
      <c r="F3283">
        <v>0</v>
      </c>
      <c r="G3283">
        <v>0</v>
      </c>
      <c r="H3283" t="s">
        <v>19447</v>
      </c>
      <c r="I3283" t="s">
        <v>19447</v>
      </c>
      <c r="J3283">
        <v>14</v>
      </c>
      <c r="L3283" t="s">
        <v>2709</v>
      </c>
      <c r="M3283">
        <v>29349141</v>
      </c>
      <c r="O3283" t="s">
        <v>20028</v>
      </c>
      <c r="P3283" t="s">
        <v>19900</v>
      </c>
      <c r="Q3283" t="s">
        <v>19900</v>
      </c>
      <c r="R3283" t="s">
        <v>19447</v>
      </c>
      <c r="S3283" t="s">
        <v>19447</v>
      </c>
      <c r="T3283" t="s">
        <v>19911</v>
      </c>
    </row>
    <row r="3284" spans="2:20" x14ac:dyDescent="0.25">
      <c r="B3284" t="s">
        <v>2709</v>
      </c>
      <c r="C3284">
        <v>29349142</v>
      </c>
      <c r="E3284">
        <v>68.819999999999993</v>
      </c>
      <c r="F3284">
        <v>0</v>
      </c>
      <c r="G3284">
        <v>0</v>
      </c>
      <c r="H3284" t="s">
        <v>19447</v>
      </c>
      <c r="I3284" t="s">
        <v>19447</v>
      </c>
      <c r="J3284">
        <v>2</v>
      </c>
      <c r="L3284" t="s">
        <v>2709</v>
      </c>
      <c r="M3284">
        <v>29349142</v>
      </c>
      <c r="O3284" t="s">
        <v>20028</v>
      </c>
      <c r="P3284" t="s">
        <v>19900</v>
      </c>
      <c r="Q3284" t="s">
        <v>19900</v>
      </c>
      <c r="R3284" t="s">
        <v>19447</v>
      </c>
      <c r="S3284" t="s">
        <v>19447</v>
      </c>
      <c r="T3284" t="s">
        <v>19901</v>
      </c>
    </row>
    <row r="3285" spans="2:20" x14ac:dyDescent="0.25">
      <c r="B3285" t="s">
        <v>2709</v>
      </c>
      <c r="C3285">
        <v>29349149</v>
      </c>
      <c r="E3285">
        <v>68.819999999999993</v>
      </c>
      <c r="F3285">
        <v>0</v>
      </c>
      <c r="G3285">
        <v>0</v>
      </c>
      <c r="H3285" t="s">
        <v>19447</v>
      </c>
      <c r="I3285" t="s">
        <v>19447</v>
      </c>
      <c r="J3285">
        <v>2</v>
      </c>
      <c r="L3285" t="s">
        <v>2709</v>
      </c>
      <c r="M3285">
        <v>29349149</v>
      </c>
      <c r="O3285" t="s">
        <v>20028</v>
      </c>
      <c r="P3285" t="s">
        <v>19900</v>
      </c>
      <c r="Q3285" t="s">
        <v>19900</v>
      </c>
      <c r="R3285" t="s">
        <v>19447</v>
      </c>
      <c r="S3285" t="s">
        <v>19447</v>
      </c>
      <c r="T3285" t="s">
        <v>19901</v>
      </c>
    </row>
    <row r="3286" spans="2:20" x14ac:dyDescent="0.25">
      <c r="B3286" t="s">
        <v>2709</v>
      </c>
      <c r="C3286">
        <v>29349150</v>
      </c>
      <c r="E3286">
        <v>68.819999999999993</v>
      </c>
      <c r="F3286">
        <v>0</v>
      </c>
      <c r="G3286">
        <v>0</v>
      </c>
      <c r="H3286" t="s">
        <v>19447</v>
      </c>
      <c r="I3286" t="s">
        <v>19447</v>
      </c>
      <c r="J3286">
        <v>2</v>
      </c>
      <c r="L3286" t="s">
        <v>2709</v>
      </c>
      <c r="M3286">
        <v>29349150</v>
      </c>
      <c r="O3286" t="s">
        <v>20028</v>
      </c>
      <c r="P3286" t="s">
        <v>19900</v>
      </c>
      <c r="Q3286" t="s">
        <v>19900</v>
      </c>
      <c r="R3286" t="s">
        <v>19447</v>
      </c>
      <c r="S3286" t="s">
        <v>19447</v>
      </c>
      <c r="T3286" t="s">
        <v>19901</v>
      </c>
    </row>
    <row r="3287" spans="2:20" x14ac:dyDescent="0.25">
      <c r="B3287" t="s">
        <v>2709</v>
      </c>
      <c r="C3287">
        <v>29349160</v>
      </c>
      <c r="E3287">
        <v>68.819999999999993</v>
      </c>
      <c r="F3287">
        <v>0</v>
      </c>
      <c r="G3287">
        <v>0</v>
      </c>
      <c r="H3287" t="s">
        <v>19447</v>
      </c>
      <c r="I3287" t="s">
        <v>19447</v>
      </c>
      <c r="J3287">
        <v>2</v>
      </c>
      <c r="L3287" t="s">
        <v>2709</v>
      </c>
      <c r="M3287">
        <v>29349160</v>
      </c>
      <c r="O3287" t="s">
        <v>20028</v>
      </c>
      <c r="P3287" t="s">
        <v>19900</v>
      </c>
      <c r="Q3287" t="s">
        <v>19900</v>
      </c>
      <c r="R3287" t="s">
        <v>19447</v>
      </c>
      <c r="S3287" t="s">
        <v>19447</v>
      </c>
      <c r="T3287" t="s">
        <v>19901</v>
      </c>
    </row>
    <row r="3288" spans="2:20" x14ac:dyDescent="0.25">
      <c r="B3288" t="s">
        <v>2709</v>
      </c>
      <c r="C3288">
        <v>29349170</v>
      </c>
      <c r="E3288">
        <v>68.819999999999993</v>
      </c>
      <c r="F3288">
        <v>0</v>
      </c>
      <c r="G3288">
        <v>0</v>
      </c>
      <c r="H3288" t="s">
        <v>19447</v>
      </c>
      <c r="I3288" t="s">
        <v>19447</v>
      </c>
      <c r="J3288">
        <v>2</v>
      </c>
      <c r="L3288" t="s">
        <v>2709</v>
      </c>
      <c r="M3288">
        <v>29349170</v>
      </c>
      <c r="O3288" t="s">
        <v>20028</v>
      </c>
      <c r="P3288" t="s">
        <v>19900</v>
      </c>
      <c r="Q3288" t="s">
        <v>19900</v>
      </c>
      <c r="R3288" t="s">
        <v>19447</v>
      </c>
      <c r="S3288" t="s">
        <v>19447</v>
      </c>
      <c r="T3288" t="s">
        <v>19901</v>
      </c>
    </row>
    <row r="3289" spans="2:20" x14ac:dyDescent="0.25">
      <c r="B3289" t="s">
        <v>2709</v>
      </c>
      <c r="C3289">
        <v>29349911</v>
      </c>
      <c r="E3289">
        <v>68.819999999999993</v>
      </c>
      <c r="F3289">
        <v>0</v>
      </c>
      <c r="G3289">
        <v>0</v>
      </c>
      <c r="H3289" t="s">
        <v>19447</v>
      </c>
      <c r="I3289" t="s">
        <v>19447</v>
      </c>
      <c r="J3289">
        <v>2</v>
      </c>
      <c r="L3289" t="s">
        <v>2709</v>
      </c>
      <c r="M3289">
        <v>29349911</v>
      </c>
      <c r="O3289" t="s">
        <v>20028</v>
      </c>
      <c r="P3289" t="s">
        <v>19900</v>
      </c>
      <c r="Q3289" t="s">
        <v>19900</v>
      </c>
      <c r="R3289" t="s">
        <v>19447</v>
      </c>
      <c r="S3289" t="s">
        <v>19447</v>
      </c>
      <c r="T3289" t="s">
        <v>19901</v>
      </c>
    </row>
    <row r="3290" spans="2:20" x14ac:dyDescent="0.25">
      <c r="B3290" t="s">
        <v>2709</v>
      </c>
      <c r="C3290">
        <v>29349912</v>
      </c>
      <c r="E3290">
        <v>68.819999999999993</v>
      </c>
      <c r="F3290">
        <v>0</v>
      </c>
      <c r="G3290">
        <v>0</v>
      </c>
      <c r="H3290" t="s">
        <v>19447</v>
      </c>
      <c r="I3290" t="s">
        <v>19447</v>
      </c>
      <c r="J3290">
        <v>2</v>
      </c>
      <c r="L3290" t="s">
        <v>2709</v>
      </c>
      <c r="M3290">
        <v>29349912</v>
      </c>
      <c r="O3290" t="s">
        <v>20028</v>
      </c>
      <c r="P3290" t="s">
        <v>19900</v>
      </c>
      <c r="Q3290" t="s">
        <v>19900</v>
      </c>
      <c r="R3290" t="s">
        <v>19447</v>
      </c>
      <c r="S3290" t="s">
        <v>19447</v>
      </c>
      <c r="T3290" t="s">
        <v>19901</v>
      </c>
    </row>
    <row r="3291" spans="2:20" x14ac:dyDescent="0.25">
      <c r="B3291" t="s">
        <v>2709</v>
      </c>
      <c r="C3291">
        <v>29349913</v>
      </c>
      <c r="E3291">
        <v>68.819999999999993</v>
      </c>
      <c r="F3291">
        <v>0</v>
      </c>
      <c r="G3291">
        <v>0</v>
      </c>
      <c r="H3291" t="s">
        <v>19447</v>
      </c>
      <c r="I3291" t="s">
        <v>19447</v>
      </c>
      <c r="J3291">
        <v>2</v>
      </c>
      <c r="L3291" t="s">
        <v>2709</v>
      </c>
      <c r="M3291">
        <v>29349913</v>
      </c>
      <c r="O3291" t="s">
        <v>20028</v>
      </c>
      <c r="P3291" t="s">
        <v>19900</v>
      </c>
      <c r="Q3291" t="s">
        <v>19900</v>
      </c>
      <c r="R3291" t="s">
        <v>19447</v>
      </c>
      <c r="S3291" t="s">
        <v>19447</v>
      </c>
      <c r="T3291" t="s">
        <v>19901</v>
      </c>
    </row>
    <row r="3292" spans="2:20" x14ac:dyDescent="0.25">
      <c r="B3292" t="s">
        <v>2709</v>
      </c>
      <c r="C3292">
        <v>29349914</v>
      </c>
      <c r="E3292">
        <v>68.819999999999993</v>
      </c>
      <c r="F3292">
        <v>0</v>
      </c>
      <c r="G3292">
        <v>0</v>
      </c>
      <c r="H3292" t="s">
        <v>19447</v>
      </c>
      <c r="I3292" t="s">
        <v>19447</v>
      </c>
      <c r="J3292">
        <v>2</v>
      </c>
      <c r="L3292" t="s">
        <v>2709</v>
      </c>
      <c r="M3292">
        <v>29349914</v>
      </c>
      <c r="O3292" t="s">
        <v>20028</v>
      </c>
      <c r="P3292" t="s">
        <v>19900</v>
      </c>
      <c r="Q3292" t="s">
        <v>19900</v>
      </c>
      <c r="R3292" t="s">
        <v>19447</v>
      </c>
      <c r="S3292" t="s">
        <v>19447</v>
      </c>
      <c r="T3292" t="s">
        <v>19901</v>
      </c>
    </row>
    <row r="3293" spans="2:20" x14ac:dyDescent="0.25">
      <c r="B3293" t="s">
        <v>2709</v>
      </c>
      <c r="C3293">
        <v>29349915</v>
      </c>
      <c r="E3293">
        <v>68.819999999999993</v>
      </c>
      <c r="F3293">
        <v>0</v>
      </c>
      <c r="G3293">
        <v>0</v>
      </c>
      <c r="H3293" t="s">
        <v>19447</v>
      </c>
      <c r="I3293" t="s">
        <v>19447</v>
      </c>
      <c r="J3293">
        <v>14</v>
      </c>
      <c r="L3293" t="s">
        <v>2709</v>
      </c>
      <c r="M3293">
        <v>29349915</v>
      </c>
      <c r="O3293" t="s">
        <v>20028</v>
      </c>
      <c r="P3293" t="s">
        <v>19900</v>
      </c>
      <c r="Q3293" t="s">
        <v>19900</v>
      </c>
      <c r="R3293" t="s">
        <v>19447</v>
      </c>
      <c r="S3293" t="s">
        <v>19447</v>
      </c>
      <c r="T3293" t="s">
        <v>19911</v>
      </c>
    </row>
    <row r="3294" spans="2:20" x14ac:dyDescent="0.25">
      <c r="B3294" t="s">
        <v>2709</v>
      </c>
      <c r="C3294">
        <v>29349919</v>
      </c>
      <c r="E3294">
        <v>68.819999999999993</v>
      </c>
      <c r="F3294">
        <v>0</v>
      </c>
      <c r="G3294">
        <v>0</v>
      </c>
      <c r="H3294" t="s">
        <v>19447</v>
      </c>
      <c r="I3294" t="s">
        <v>19447</v>
      </c>
      <c r="J3294">
        <v>2</v>
      </c>
      <c r="L3294" t="s">
        <v>2709</v>
      </c>
      <c r="M3294">
        <v>29349919</v>
      </c>
      <c r="O3294" t="s">
        <v>20028</v>
      </c>
      <c r="P3294" t="s">
        <v>19900</v>
      </c>
      <c r="Q3294" t="s">
        <v>19900</v>
      </c>
      <c r="R3294" t="s">
        <v>19447</v>
      </c>
      <c r="S3294" t="s">
        <v>19447</v>
      </c>
      <c r="T3294" t="s">
        <v>19901</v>
      </c>
    </row>
    <row r="3295" spans="2:20" x14ac:dyDescent="0.25">
      <c r="B3295" t="s">
        <v>2709</v>
      </c>
      <c r="C3295">
        <v>29349922</v>
      </c>
      <c r="E3295">
        <v>68.819999999999993</v>
      </c>
      <c r="F3295">
        <v>0</v>
      </c>
      <c r="G3295">
        <v>0</v>
      </c>
      <c r="H3295" t="s">
        <v>19447</v>
      </c>
      <c r="I3295" t="s">
        <v>19447</v>
      </c>
      <c r="J3295">
        <v>12</v>
      </c>
      <c r="L3295" t="s">
        <v>2709</v>
      </c>
      <c r="M3295">
        <v>29349922</v>
      </c>
      <c r="O3295" t="s">
        <v>20028</v>
      </c>
      <c r="P3295" t="s">
        <v>19900</v>
      </c>
      <c r="Q3295" t="s">
        <v>19900</v>
      </c>
      <c r="R3295" t="s">
        <v>19447</v>
      </c>
      <c r="S3295" t="s">
        <v>19447</v>
      </c>
      <c r="T3295" t="s">
        <v>19903</v>
      </c>
    </row>
    <row r="3296" spans="2:20" x14ac:dyDescent="0.25">
      <c r="B3296" t="s">
        <v>2709</v>
      </c>
      <c r="C3296">
        <v>29349923</v>
      </c>
      <c r="E3296">
        <v>68.819999999999993</v>
      </c>
      <c r="F3296">
        <v>0</v>
      </c>
      <c r="G3296">
        <v>0</v>
      </c>
      <c r="H3296" t="s">
        <v>19447</v>
      </c>
      <c r="I3296" t="s">
        <v>19447</v>
      </c>
      <c r="J3296">
        <v>0</v>
      </c>
      <c r="L3296" t="s">
        <v>2709</v>
      </c>
      <c r="M3296">
        <v>29349923</v>
      </c>
      <c r="O3296" t="s">
        <v>20028</v>
      </c>
      <c r="P3296" t="s">
        <v>19900</v>
      </c>
      <c r="Q3296" t="s">
        <v>19900</v>
      </c>
      <c r="R3296" t="s">
        <v>19447</v>
      </c>
      <c r="S3296" t="s">
        <v>19447</v>
      </c>
      <c r="T3296" t="s">
        <v>19900</v>
      </c>
    </row>
    <row r="3297" spans="2:20" x14ac:dyDescent="0.25">
      <c r="B3297" t="s">
        <v>2709</v>
      </c>
      <c r="C3297">
        <v>29349924</v>
      </c>
      <c r="E3297">
        <v>68.819999999999993</v>
      </c>
      <c r="F3297">
        <v>0</v>
      </c>
      <c r="G3297">
        <v>0</v>
      </c>
      <c r="H3297" t="s">
        <v>19447</v>
      </c>
      <c r="I3297" t="s">
        <v>19447</v>
      </c>
      <c r="J3297">
        <v>12</v>
      </c>
      <c r="L3297" t="s">
        <v>2709</v>
      </c>
      <c r="M3297">
        <v>29349924</v>
      </c>
      <c r="O3297" t="s">
        <v>20028</v>
      </c>
      <c r="P3297" t="s">
        <v>19900</v>
      </c>
      <c r="Q3297" t="s">
        <v>19900</v>
      </c>
      <c r="R3297" t="s">
        <v>19447</v>
      </c>
      <c r="S3297" t="s">
        <v>19447</v>
      </c>
      <c r="T3297" t="s">
        <v>19903</v>
      </c>
    </row>
    <row r="3298" spans="2:20" x14ac:dyDescent="0.25">
      <c r="B3298" t="s">
        <v>2709</v>
      </c>
      <c r="C3298">
        <v>29349925</v>
      </c>
      <c r="E3298">
        <v>68.819999999999993</v>
      </c>
      <c r="F3298">
        <v>0</v>
      </c>
      <c r="G3298">
        <v>0</v>
      </c>
      <c r="H3298" t="s">
        <v>19447</v>
      </c>
      <c r="I3298" t="s">
        <v>19447</v>
      </c>
      <c r="J3298">
        <v>2</v>
      </c>
      <c r="L3298" t="s">
        <v>2709</v>
      </c>
      <c r="M3298">
        <v>29349925</v>
      </c>
      <c r="O3298" t="s">
        <v>20028</v>
      </c>
      <c r="P3298" t="s">
        <v>19900</v>
      </c>
      <c r="Q3298" t="s">
        <v>19900</v>
      </c>
      <c r="R3298" t="s">
        <v>19447</v>
      </c>
      <c r="S3298" t="s">
        <v>19447</v>
      </c>
      <c r="T3298" t="s">
        <v>19901</v>
      </c>
    </row>
    <row r="3299" spans="2:20" x14ac:dyDescent="0.25">
      <c r="B3299" t="s">
        <v>2709</v>
      </c>
      <c r="C3299">
        <v>29349926</v>
      </c>
      <c r="E3299">
        <v>68.819999999999993</v>
      </c>
      <c r="F3299">
        <v>0</v>
      </c>
      <c r="G3299">
        <v>0</v>
      </c>
      <c r="H3299" t="s">
        <v>19447</v>
      </c>
      <c r="I3299" t="s">
        <v>19447</v>
      </c>
      <c r="J3299">
        <v>2</v>
      </c>
      <c r="L3299" t="s">
        <v>2709</v>
      </c>
      <c r="M3299">
        <v>29349926</v>
      </c>
      <c r="O3299" t="s">
        <v>20028</v>
      </c>
      <c r="P3299" t="s">
        <v>19900</v>
      </c>
      <c r="Q3299" t="s">
        <v>19900</v>
      </c>
      <c r="R3299" t="s">
        <v>19447</v>
      </c>
      <c r="S3299" t="s">
        <v>19447</v>
      </c>
      <c r="T3299" t="s">
        <v>19901</v>
      </c>
    </row>
    <row r="3300" spans="2:20" x14ac:dyDescent="0.25">
      <c r="B3300" t="s">
        <v>2709</v>
      </c>
      <c r="C3300">
        <v>29349927</v>
      </c>
      <c r="E3300">
        <v>68.819999999999993</v>
      </c>
      <c r="F3300">
        <v>0</v>
      </c>
      <c r="G3300">
        <v>0</v>
      </c>
      <c r="H3300" t="s">
        <v>19447</v>
      </c>
      <c r="I3300" t="s">
        <v>19447</v>
      </c>
      <c r="J3300">
        <v>12</v>
      </c>
      <c r="L3300" t="s">
        <v>2709</v>
      </c>
      <c r="M3300">
        <v>29349927</v>
      </c>
      <c r="O3300" t="s">
        <v>20028</v>
      </c>
      <c r="P3300" t="s">
        <v>19900</v>
      </c>
      <c r="Q3300" t="s">
        <v>19900</v>
      </c>
      <c r="R3300" t="s">
        <v>19447</v>
      </c>
      <c r="S3300" t="s">
        <v>19447</v>
      </c>
      <c r="T3300" t="s">
        <v>19903</v>
      </c>
    </row>
    <row r="3301" spans="2:20" x14ac:dyDescent="0.25">
      <c r="B3301" t="s">
        <v>2709</v>
      </c>
      <c r="C3301">
        <v>29349929</v>
      </c>
      <c r="E3301">
        <v>68.819999999999993</v>
      </c>
      <c r="F3301">
        <v>0</v>
      </c>
      <c r="G3301">
        <v>0</v>
      </c>
      <c r="H3301" t="s">
        <v>19447</v>
      </c>
      <c r="I3301" t="s">
        <v>19447</v>
      </c>
      <c r="J3301">
        <v>2</v>
      </c>
      <c r="L3301" t="s">
        <v>2709</v>
      </c>
      <c r="M3301">
        <v>29349929</v>
      </c>
      <c r="O3301" t="s">
        <v>20028</v>
      </c>
      <c r="P3301" t="s">
        <v>19900</v>
      </c>
      <c r="Q3301" t="s">
        <v>19900</v>
      </c>
      <c r="R3301" t="s">
        <v>19447</v>
      </c>
      <c r="S3301" t="s">
        <v>19447</v>
      </c>
      <c r="T3301" t="s">
        <v>19901</v>
      </c>
    </row>
    <row r="3302" spans="2:20" x14ac:dyDescent="0.25">
      <c r="B3302" t="s">
        <v>2709</v>
      </c>
      <c r="C3302">
        <v>29349931</v>
      </c>
      <c r="E3302">
        <v>68.819999999999993</v>
      </c>
      <c r="F3302">
        <v>0</v>
      </c>
      <c r="G3302">
        <v>0</v>
      </c>
      <c r="H3302" t="s">
        <v>19447</v>
      </c>
      <c r="I3302" t="s">
        <v>19447</v>
      </c>
      <c r="J3302">
        <v>14</v>
      </c>
      <c r="L3302" t="s">
        <v>2709</v>
      </c>
      <c r="M3302">
        <v>29349931</v>
      </c>
      <c r="O3302" t="s">
        <v>20028</v>
      </c>
      <c r="P3302" t="s">
        <v>19900</v>
      </c>
      <c r="Q3302" t="s">
        <v>19900</v>
      </c>
      <c r="R3302" t="s">
        <v>19447</v>
      </c>
      <c r="S3302" t="s">
        <v>19447</v>
      </c>
      <c r="T3302" t="s">
        <v>19911</v>
      </c>
    </row>
    <row r="3303" spans="2:20" x14ac:dyDescent="0.25">
      <c r="B3303" t="s">
        <v>2709</v>
      </c>
      <c r="C3303">
        <v>29349932</v>
      </c>
      <c r="E3303">
        <v>68.819999999999993</v>
      </c>
      <c r="F3303">
        <v>0</v>
      </c>
      <c r="G3303">
        <v>0</v>
      </c>
      <c r="H3303" t="s">
        <v>19447</v>
      </c>
      <c r="I3303" t="s">
        <v>19447</v>
      </c>
      <c r="J3303">
        <v>2</v>
      </c>
      <c r="L3303" t="s">
        <v>2709</v>
      </c>
      <c r="M3303">
        <v>29349932</v>
      </c>
      <c r="O3303" t="s">
        <v>20028</v>
      </c>
      <c r="P3303" t="s">
        <v>19900</v>
      </c>
      <c r="Q3303" t="s">
        <v>19900</v>
      </c>
      <c r="R3303" t="s">
        <v>19447</v>
      </c>
      <c r="S3303" t="s">
        <v>19447</v>
      </c>
      <c r="T3303" t="s">
        <v>19901</v>
      </c>
    </row>
    <row r="3304" spans="2:20" x14ac:dyDescent="0.25">
      <c r="B3304" t="s">
        <v>2709</v>
      </c>
      <c r="C3304">
        <v>29349933</v>
      </c>
      <c r="E3304">
        <v>68.819999999999993</v>
      </c>
      <c r="F3304">
        <v>0</v>
      </c>
      <c r="G3304">
        <v>0</v>
      </c>
      <c r="H3304" t="s">
        <v>19447</v>
      </c>
      <c r="I3304" t="s">
        <v>19447</v>
      </c>
      <c r="J3304">
        <v>14</v>
      </c>
      <c r="L3304" t="s">
        <v>2709</v>
      </c>
      <c r="M3304">
        <v>29349933</v>
      </c>
      <c r="O3304" t="s">
        <v>20028</v>
      </c>
      <c r="P3304" t="s">
        <v>19900</v>
      </c>
      <c r="Q3304" t="s">
        <v>19900</v>
      </c>
      <c r="R3304" t="s">
        <v>19447</v>
      </c>
      <c r="S3304" t="s">
        <v>19447</v>
      </c>
      <c r="T3304" t="s">
        <v>19911</v>
      </c>
    </row>
    <row r="3305" spans="2:20" x14ac:dyDescent="0.25">
      <c r="B3305" t="s">
        <v>2709</v>
      </c>
      <c r="C3305">
        <v>29349934</v>
      </c>
      <c r="E3305">
        <v>68.819999999999993</v>
      </c>
      <c r="F3305">
        <v>0</v>
      </c>
      <c r="G3305">
        <v>0</v>
      </c>
      <c r="H3305" t="s">
        <v>19447</v>
      </c>
      <c r="I3305" t="s">
        <v>19447</v>
      </c>
      <c r="J3305">
        <v>14</v>
      </c>
      <c r="L3305" t="s">
        <v>2709</v>
      </c>
      <c r="M3305">
        <v>29349934</v>
      </c>
      <c r="O3305" t="s">
        <v>20028</v>
      </c>
      <c r="P3305" t="s">
        <v>19900</v>
      </c>
      <c r="Q3305" t="s">
        <v>19900</v>
      </c>
      <c r="R3305" t="s">
        <v>19447</v>
      </c>
      <c r="S3305" t="s">
        <v>19447</v>
      </c>
      <c r="T3305" t="s">
        <v>19911</v>
      </c>
    </row>
    <row r="3306" spans="2:20" x14ac:dyDescent="0.25">
      <c r="B3306" t="s">
        <v>2709</v>
      </c>
      <c r="C3306">
        <v>29349935</v>
      </c>
      <c r="E3306">
        <v>68.819999999999993</v>
      </c>
      <c r="F3306">
        <v>0</v>
      </c>
      <c r="G3306">
        <v>0</v>
      </c>
      <c r="H3306" t="s">
        <v>19447</v>
      </c>
      <c r="I3306" t="s">
        <v>19447</v>
      </c>
      <c r="J3306">
        <v>14</v>
      </c>
      <c r="L3306" t="s">
        <v>2709</v>
      </c>
      <c r="M3306">
        <v>29349935</v>
      </c>
      <c r="O3306" t="s">
        <v>20028</v>
      </c>
      <c r="P3306" t="s">
        <v>19900</v>
      </c>
      <c r="Q3306" t="s">
        <v>19900</v>
      </c>
      <c r="R3306" t="s">
        <v>19447</v>
      </c>
      <c r="S3306" t="s">
        <v>19447</v>
      </c>
      <c r="T3306" t="s">
        <v>19911</v>
      </c>
    </row>
    <row r="3307" spans="2:20" x14ac:dyDescent="0.25">
      <c r="B3307" t="s">
        <v>2709</v>
      </c>
      <c r="C3307">
        <v>29349939</v>
      </c>
      <c r="E3307">
        <v>68.819999999999993</v>
      </c>
      <c r="F3307">
        <v>0</v>
      </c>
      <c r="G3307">
        <v>0</v>
      </c>
      <c r="H3307" t="s">
        <v>19447</v>
      </c>
      <c r="I3307" t="s">
        <v>19447</v>
      </c>
      <c r="J3307">
        <v>14</v>
      </c>
      <c r="L3307" t="s">
        <v>2709</v>
      </c>
      <c r="M3307">
        <v>29349939</v>
      </c>
      <c r="O3307" t="s">
        <v>20028</v>
      </c>
      <c r="P3307" t="s">
        <v>19900</v>
      </c>
      <c r="Q3307" t="s">
        <v>19900</v>
      </c>
      <c r="R3307" t="s">
        <v>19447</v>
      </c>
      <c r="S3307" t="s">
        <v>19447</v>
      </c>
      <c r="T3307" t="s">
        <v>19911</v>
      </c>
    </row>
    <row r="3308" spans="2:20" x14ac:dyDescent="0.25">
      <c r="B3308" t="s">
        <v>2709</v>
      </c>
      <c r="C3308">
        <v>29349941</v>
      </c>
      <c r="E3308">
        <v>68.819999999999993</v>
      </c>
      <c r="F3308">
        <v>0</v>
      </c>
      <c r="G3308">
        <v>0</v>
      </c>
      <c r="H3308" t="s">
        <v>19447</v>
      </c>
      <c r="I3308" t="s">
        <v>19447</v>
      </c>
      <c r="J3308">
        <v>2</v>
      </c>
      <c r="L3308" t="s">
        <v>2709</v>
      </c>
      <c r="M3308">
        <v>29349941</v>
      </c>
      <c r="O3308" t="s">
        <v>20028</v>
      </c>
      <c r="P3308" t="s">
        <v>19900</v>
      </c>
      <c r="Q3308" t="s">
        <v>19900</v>
      </c>
      <c r="R3308" t="s">
        <v>19447</v>
      </c>
      <c r="S3308" t="s">
        <v>19447</v>
      </c>
      <c r="T3308" t="s">
        <v>19901</v>
      </c>
    </row>
    <row r="3309" spans="2:20" x14ac:dyDescent="0.25">
      <c r="B3309" t="s">
        <v>2709</v>
      </c>
      <c r="C3309">
        <v>29349942</v>
      </c>
      <c r="E3309">
        <v>68.819999999999993</v>
      </c>
      <c r="F3309">
        <v>0</v>
      </c>
      <c r="G3309">
        <v>0</v>
      </c>
      <c r="H3309" t="s">
        <v>19447</v>
      </c>
      <c r="I3309" t="s">
        <v>19447</v>
      </c>
      <c r="J3309">
        <v>4</v>
      </c>
      <c r="L3309" t="s">
        <v>2709</v>
      </c>
      <c r="M3309">
        <v>29349942</v>
      </c>
      <c r="O3309" t="s">
        <v>20028</v>
      </c>
      <c r="P3309" t="s">
        <v>19900</v>
      </c>
      <c r="Q3309" t="s">
        <v>19900</v>
      </c>
      <c r="R3309" t="s">
        <v>19447</v>
      </c>
      <c r="S3309" t="s">
        <v>19447</v>
      </c>
      <c r="T3309" t="s">
        <v>19902</v>
      </c>
    </row>
    <row r="3310" spans="2:20" x14ac:dyDescent="0.25">
      <c r="B3310" t="s">
        <v>2709</v>
      </c>
      <c r="C3310">
        <v>29349943</v>
      </c>
      <c r="E3310">
        <v>68.819999999999993</v>
      </c>
      <c r="F3310">
        <v>0</v>
      </c>
      <c r="G3310">
        <v>0</v>
      </c>
      <c r="H3310" t="s">
        <v>19447</v>
      </c>
      <c r="I3310" t="s">
        <v>19447</v>
      </c>
      <c r="J3310">
        <v>2</v>
      </c>
      <c r="L3310" t="s">
        <v>2709</v>
      </c>
      <c r="M3310">
        <v>29349943</v>
      </c>
      <c r="O3310" t="s">
        <v>20028</v>
      </c>
      <c r="P3310" t="s">
        <v>19900</v>
      </c>
      <c r="Q3310" t="s">
        <v>19900</v>
      </c>
      <c r="R3310" t="s">
        <v>19447</v>
      </c>
      <c r="S3310" t="s">
        <v>19447</v>
      </c>
      <c r="T3310" t="s">
        <v>19901</v>
      </c>
    </row>
    <row r="3311" spans="2:20" x14ac:dyDescent="0.25">
      <c r="B3311" t="s">
        <v>2709</v>
      </c>
      <c r="C3311">
        <v>29349944</v>
      </c>
      <c r="E3311">
        <v>68.819999999999993</v>
      </c>
      <c r="F3311">
        <v>0</v>
      </c>
      <c r="G3311">
        <v>0</v>
      </c>
      <c r="H3311" t="s">
        <v>19447</v>
      </c>
      <c r="I3311" t="s">
        <v>19447</v>
      </c>
      <c r="J3311">
        <v>2</v>
      </c>
      <c r="L3311" t="s">
        <v>2709</v>
      </c>
      <c r="M3311">
        <v>29349944</v>
      </c>
      <c r="O3311" t="s">
        <v>20028</v>
      </c>
      <c r="P3311" t="s">
        <v>19900</v>
      </c>
      <c r="Q3311" t="s">
        <v>19900</v>
      </c>
      <c r="R3311" t="s">
        <v>19447</v>
      </c>
      <c r="S3311" t="s">
        <v>19447</v>
      </c>
      <c r="T3311" t="s">
        <v>19901</v>
      </c>
    </row>
    <row r="3312" spans="2:20" x14ac:dyDescent="0.25">
      <c r="B3312" t="s">
        <v>2709</v>
      </c>
      <c r="C3312">
        <v>29349945</v>
      </c>
      <c r="E3312">
        <v>68.819999999999993</v>
      </c>
      <c r="F3312">
        <v>0</v>
      </c>
      <c r="G3312">
        <v>0</v>
      </c>
      <c r="H3312" t="s">
        <v>19447</v>
      </c>
      <c r="I3312" t="s">
        <v>19447</v>
      </c>
      <c r="J3312">
        <v>2</v>
      </c>
      <c r="L3312" t="s">
        <v>2709</v>
      </c>
      <c r="M3312">
        <v>29349945</v>
      </c>
      <c r="O3312" t="s">
        <v>20028</v>
      </c>
      <c r="P3312" t="s">
        <v>19900</v>
      </c>
      <c r="Q3312" t="s">
        <v>19900</v>
      </c>
      <c r="R3312" t="s">
        <v>19447</v>
      </c>
      <c r="S3312" t="s">
        <v>19447</v>
      </c>
      <c r="T3312" t="s">
        <v>19901</v>
      </c>
    </row>
    <row r="3313" spans="2:20" x14ac:dyDescent="0.25">
      <c r="B3313" t="s">
        <v>2709</v>
      </c>
      <c r="C3313">
        <v>29349946</v>
      </c>
      <c r="E3313">
        <v>68.819999999999993</v>
      </c>
      <c r="F3313">
        <v>0</v>
      </c>
      <c r="G3313">
        <v>0</v>
      </c>
      <c r="H3313" t="s">
        <v>19447</v>
      </c>
      <c r="I3313" t="s">
        <v>19447</v>
      </c>
      <c r="J3313">
        <v>14</v>
      </c>
      <c r="L3313" t="s">
        <v>2709</v>
      </c>
      <c r="M3313">
        <v>29349946</v>
      </c>
      <c r="O3313" t="s">
        <v>20028</v>
      </c>
      <c r="P3313" t="s">
        <v>19900</v>
      </c>
      <c r="Q3313" t="s">
        <v>19900</v>
      </c>
      <c r="R3313" t="s">
        <v>19447</v>
      </c>
      <c r="S3313" t="s">
        <v>19447</v>
      </c>
      <c r="T3313" t="s">
        <v>19911</v>
      </c>
    </row>
    <row r="3314" spans="2:20" x14ac:dyDescent="0.25">
      <c r="B3314" t="s">
        <v>2709</v>
      </c>
      <c r="C3314">
        <v>29349949</v>
      </c>
      <c r="E3314">
        <v>68.819999999999993</v>
      </c>
      <c r="F3314">
        <v>0</v>
      </c>
      <c r="G3314">
        <v>0</v>
      </c>
      <c r="H3314" t="s">
        <v>19447</v>
      </c>
      <c r="I3314" t="s">
        <v>19447</v>
      </c>
      <c r="J3314">
        <v>2</v>
      </c>
      <c r="L3314" t="s">
        <v>2709</v>
      </c>
      <c r="M3314">
        <v>29349949</v>
      </c>
      <c r="O3314" t="s">
        <v>20028</v>
      </c>
      <c r="P3314" t="s">
        <v>19900</v>
      </c>
      <c r="Q3314" t="s">
        <v>19900</v>
      </c>
      <c r="R3314" t="s">
        <v>19447</v>
      </c>
      <c r="S3314" t="s">
        <v>19447</v>
      </c>
      <c r="T3314" t="s">
        <v>19901</v>
      </c>
    </row>
    <row r="3315" spans="2:20" x14ac:dyDescent="0.25">
      <c r="B3315" t="s">
        <v>2709</v>
      </c>
      <c r="C3315">
        <v>29349951</v>
      </c>
      <c r="E3315">
        <v>68.819999999999993</v>
      </c>
      <c r="F3315">
        <v>0</v>
      </c>
      <c r="G3315">
        <v>0</v>
      </c>
      <c r="H3315" t="s">
        <v>19447</v>
      </c>
      <c r="I3315" t="s">
        <v>19447</v>
      </c>
      <c r="J3315">
        <v>2</v>
      </c>
      <c r="L3315" t="s">
        <v>2709</v>
      </c>
      <c r="M3315">
        <v>29349951</v>
      </c>
      <c r="O3315" t="s">
        <v>20028</v>
      </c>
      <c r="P3315" t="s">
        <v>19900</v>
      </c>
      <c r="Q3315" t="s">
        <v>19900</v>
      </c>
      <c r="R3315" t="s">
        <v>19447</v>
      </c>
      <c r="S3315" t="s">
        <v>19447</v>
      </c>
      <c r="T3315" t="s">
        <v>19901</v>
      </c>
    </row>
    <row r="3316" spans="2:20" x14ac:dyDescent="0.25">
      <c r="B3316" t="s">
        <v>2709</v>
      </c>
      <c r="C3316">
        <v>29349952</v>
      </c>
      <c r="E3316">
        <v>68.819999999999993</v>
      </c>
      <c r="F3316">
        <v>0</v>
      </c>
      <c r="G3316">
        <v>0</v>
      </c>
      <c r="H3316" t="s">
        <v>19447</v>
      </c>
      <c r="I3316" t="s">
        <v>19447</v>
      </c>
      <c r="J3316">
        <v>2</v>
      </c>
      <c r="L3316" t="s">
        <v>2709</v>
      </c>
      <c r="M3316">
        <v>29349952</v>
      </c>
      <c r="O3316" t="s">
        <v>20028</v>
      </c>
      <c r="P3316" t="s">
        <v>19900</v>
      </c>
      <c r="Q3316" t="s">
        <v>19900</v>
      </c>
      <c r="R3316" t="s">
        <v>19447</v>
      </c>
      <c r="S3316" t="s">
        <v>19447</v>
      </c>
      <c r="T3316" t="s">
        <v>19901</v>
      </c>
    </row>
    <row r="3317" spans="2:20" x14ac:dyDescent="0.25">
      <c r="B3317" t="s">
        <v>2709</v>
      </c>
      <c r="C3317">
        <v>29349953</v>
      </c>
      <c r="E3317">
        <v>68.819999999999993</v>
      </c>
      <c r="F3317">
        <v>0</v>
      </c>
      <c r="G3317">
        <v>0</v>
      </c>
      <c r="H3317" t="s">
        <v>19447</v>
      </c>
      <c r="I3317" t="s">
        <v>19447</v>
      </c>
      <c r="J3317">
        <v>2</v>
      </c>
      <c r="L3317" t="s">
        <v>2709</v>
      </c>
      <c r="M3317">
        <v>29349953</v>
      </c>
      <c r="O3317" t="s">
        <v>20028</v>
      </c>
      <c r="P3317" t="s">
        <v>19900</v>
      </c>
      <c r="Q3317" t="s">
        <v>19900</v>
      </c>
      <c r="R3317" t="s">
        <v>19447</v>
      </c>
      <c r="S3317" t="s">
        <v>19447</v>
      </c>
      <c r="T3317" t="s">
        <v>19901</v>
      </c>
    </row>
    <row r="3318" spans="2:20" x14ac:dyDescent="0.25">
      <c r="B3318" t="s">
        <v>2709</v>
      </c>
      <c r="C3318">
        <v>29349954</v>
      </c>
      <c r="E3318">
        <v>68.819999999999993</v>
      </c>
      <c r="F3318">
        <v>0</v>
      </c>
      <c r="G3318">
        <v>0</v>
      </c>
      <c r="H3318" t="s">
        <v>19447</v>
      </c>
      <c r="I3318" t="s">
        <v>19447</v>
      </c>
      <c r="J3318">
        <v>14</v>
      </c>
      <c r="L3318" t="s">
        <v>2709</v>
      </c>
      <c r="M3318">
        <v>29349954</v>
      </c>
      <c r="O3318" t="s">
        <v>20028</v>
      </c>
      <c r="P3318" t="s">
        <v>19900</v>
      </c>
      <c r="Q3318" t="s">
        <v>19900</v>
      </c>
      <c r="R3318" t="s">
        <v>19447</v>
      </c>
      <c r="S3318" t="s">
        <v>19447</v>
      </c>
      <c r="T3318" t="s">
        <v>19911</v>
      </c>
    </row>
    <row r="3319" spans="2:20" x14ac:dyDescent="0.25">
      <c r="B3319" t="s">
        <v>2709</v>
      </c>
      <c r="C3319">
        <v>29349959</v>
      </c>
      <c r="E3319">
        <v>68.819999999999993</v>
      </c>
      <c r="F3319">
        <v>0</v>
      </c>
      <c r="G3319">
        <v>0</v>
      </c>
      <c r="H3319" t="s">
        <v>19447</v>
      </c>
      <c r="I3319" t="s">
        <v>19447</v>
      </c>
      <c r="J3319">
        <v>2</v>
      </c>
      <c r="L3319" t="s">
        <v>2709</v>
      </c>
      <c r="M3319">
        <v>29349959</v>
      </c>
      <c r="O3319" t="s">
        <v>20028</v>
      </c>
      <c r="P3319" t="s">
        <v>19900</v>
      </c>
      <c r="Q3319" t="s">
        <v>19900</v>
      </c>
      <c r="R3319" t="s">
        <v>19447</v>
      </c>
      <c r="S3319" t="s">
        <v>19447</v>
      </c>
      <c r="T3319" t="s">
        <v>19901</v>
      </c>
    </row>
    <row r="3320" spans="2:20" x14ac:dyDescent="0.25">
      <c r="B3320" t="s">
        <v>2709</v>
      </c>
      <c r="C3320">
        <v>29349961</v>
      </c>
      <c r="E3320">
        <v>68.819999999999993</v>
      </c>
      <c r="F3320">
        <v>0</v>
      </c>
      <c r="G3320">
        <v>0</v>
      </c>
      <c r="H3320" t="s">
        <v>19447</v>
      </c>
      <c r="I3320" t="s">
        <v>19447</v>
      </c>
      <c r="J3320">
        <v>12</v>
      </c>
      <c r="L3320" t="s">
        <v>2709</v>
      </c>
      <c r="M3320">
        <v>29349961</v>
      </c>
      <c r="O3320" t="s">
        <v>20028</v>
      </c>
      <c r="P3320" t="s">
        <v>19900</v>
      </c>
      <c r="Q3320" t="s">
        <v>19900</v>
      </c>
      <c r="R3320" t="s">
        <v>19447</v>
      </c>
      <c r="S3320" t="s">
        <v>19447</v>
      </c>
      <c r="T3320" t="s">
        <v>19903</v>
      </c>
    </row>
    <row r="3321" spans="2:20" x14ac:dyDescent="0.25">
      <c r="B3321" t="s">
        <v>2709</v>
      </c>
      <c r="C3321">
        <v>29349969</v>
      </c>
      <c r="E3321">
        <v>68.819999999999993</v>
      </c>
      <c r="F3321">
        <v>0</v>
      </c>
      <c r="G3321">
        <v>0</v>
      </c>
      <c r="H3321" t="s">
        <v>19447</v>
      </c>
      <c r="I3321" t="s">
        <v>19447</v>
      </c>
      <c r="J3321">
        <v>2</v>
      </c>
      <c r="L3321" t="s">
        <v>2709</v>
      </c>
      <c r="M3321">
        <v>29349969</v>
      </c>
      <c r="O3321" t="s">
        <v>20028</v>
      </c>
      <c r="P3321" t="s">
        <v>19900</v>
      </c>
      <c r="Q3321" t="s">
        <v>19900</v>
      </c>
      <c r="R3321" t="s">
        <v>19447</v>
      </c>
      <c r="S3321" t="s">
        <v>19447</v>
      </c>
      <c r="T3321" t="s">
        <v>19901</v>
      </c>
    </row>
    <row r="3322" spans="2:20" x14ac:dyDescent="0.25">
      <c r="B3322" t="s">
        <v>2709</v>
      </c>
      <c r="C3322">
        <v>29349991</v>
      </c>
      <c r="E3322">
        <v>68.819999999999993</v>
      </c>
      <c r="F3322">
        <v>0</v>
      </c>
      <c r="G3322">
        <v>0</v>
      </c>
      <c r="H3322" t="s">
        <v>19447</v>
      </c>
      <c r="I3322" t="s">
        <v>19447</v>
      </c>
      <c r="J3322">
        <v>2</v>
      </c>
      <c r="L3322" t="s">
        <v>2709</v>
      </c>
      <c r="M3322">
        <v>29349991</v>
      </c>
      <c r="O3322" t="s">
        <v>20028</v>
      </c>
      <c r="P3322" t="s">
        <v>19900</v>
      </c>
      <c r="Q3322" t="s">
        <v>19900</v>
      </c>
      <c r="R3322" t="s">
        <v>19447</v>
      </c>
      <c r="S3322" t="s">
        <v>19447</v>
      </c>
      <c r="T3322" t="s">
        <v>19901</v>
      </c>
    </row>
    <row r="3323" spans="2:20" x14ac:dyDescent="0.25">
      <c r="B3323" t="s">
        <v>2709</v>
      </c>
      <c r="C3323">
        <v>29349992</v>
      </c>
      <c r="E3323">
        <v>68.819999999999993</v>
      </c>
      <c r="F3323">
        <v>0</v>
      </c>
      <c r="G3323">
        <v>0</v>
      </c>
      <c r="H3323" t="s">
        <v>19447</v>
      </c>
      <c r="I3323" t="s">
        <v>19447</v>
      </c>
      <c r="J3323">
        <v>2</v>
      </c>
      <c r="L3323" t="s">
        <v>2709</v>
      </c>
      <c r="M3323">
        <v>29349992</v>
      </c>
      <c r="O3323" t="s">
        <v>20028</v>
      </c>
      <c r="P3323" t="s">
        <v>19900</v>
      </c>
      <c r="Q3323" t="s">
        <v>19900</v>
      </c>
      <c r="R3323" t="s">
        <v>19447</v>
      </c>
      <c r="S3323" t="s">
        <v>19447</v>
      </c>
      <c r="T3323" t="s">
        <v>19901</v>
      </c>
    </row>
    <row r="3324" spans="2:20" x14ac:dyDescent="0.25">
      <c r="B3324" t="s">
        <v>2709</v>
      </c>
      <c r="C3324">
        <v>29349993</v>
      </c>
      <c r="E3324">
        <v>68.819999999999993</v>
      </c>
      <c r="F3324">
        <v>0</v>
      </c>
      <c r="G3324">
        <v>0</v>
      </c>
      <c r="H3324" t="s">
        <v>19447</v>
      </c>
      <c r="I3324" t="s">
        <v>19447</v>
      </c>
      <c r="J3324">
        <v>12</v>
      </c>
      <c r="L3324" t="s">
        <v>2709</v>
      </c>
      <c r="M3324">
        <v>29349993</v>
      </c>
      <c r="O3324" t="s">
        <v>20028</v>
      </c>
      <c r="P3324" t="s">
        <v>19900</v>
      </c>
      <c r="Q3324" t="s">
        <v>19900</v>
      </c>
      <c r="R3324" t="s">
        <v>19447</v>
      </c>
      <c r="S3324" t="s">
        <v>19447</v>
      </c>
      <c r="T3324" t="s">
        <v>19903</v>
      </c>
    </row>
    <row r="3325" spans="2:20" x14ac:dyDescent="0.25">
      <c r="B3325" t="s">
        <v>2709</v>
      </c>
      <c r="C3325">
        <v>29349999</v>
      </c>
      <c r="E3325">
        <v>68.819999999999993</v>
      </c>
      <c r="F3325">
        <v>0</v>
      </c>
      <c r="G3325">
        <v>0</v>
      </c>
      <c r="H3325" t="s">
        <v>19447</v>
      </c>
      <c r="I3325" t="s">
        <v>19447</v>
      </c>
      <c r="J3325">
        <v>2</v>
      </c>
      <c r="L3325" t="s">
        <v>2709</v>
      </c>
      <c r="M3325">
        <v>29349999</v>
      </c>
      <c r="O3325" t="s">
        <v>20028</v>
      </c>
      <c r="P3325" t="s">
        <v>19900</v>
      </c>
      <c r="Q3325" t="s">
        <v>19900</v>
      </c>
      <c r="R3325" t="s">
        <v>19447</v>
      </c>
      <c r="S3325" t="s">
        <v>19447</v>
      </c>
      <c r="T3325" t="s">
        <v>19901</v>
      </c>
    </row>
    <row r="3326" spans="2:20" x14ac:dyDescent="0.25">
      <c r="B3326" t="s">
        <v>2709</v>
      </c>
      <c r="C3326">
        <v>29350011</v>
      </c>
      <c r="E3326">
        <v>68.819999999999993</v>
      </c>
      <c r="F3326">
        <v>0</v>
      </c>
      <c r="G3326">
        <v>0</v>
      </c>
      <c r="H3326" t="s">
        <v>19447</v>
      </c>
      <c r="I3326" t="s">
        <v>19447</v>
      </c>
      <c r="J3326">
        <v>14</v>
      </c>
      <c r="L3326" t="s">
        <v>2709</v>
      </c>
      <c r="M3326">
        <v>29350011</v>
      </c>
      <c r="O3326" t="s">
        <v>20028</v>
      </c>
      <c r="P3326" t="s">
        <v>19900</v>
      </c>
      <c r="Q3326" t="s">
        <v>19900</v>
      </c>
      <c r="R3326" t="s">
        <v>19447</v>
      </c>
      <c r="S3326" t="s">
        <v>19447</v>
      </c>
      <c r="T3326" t="s">
        <v>19911</v>
      </c>
    </row>
    <row r="3327" spans="2:20" x14ac:dyDescent="0.25">
      <c r="B3327" t="s">
        <v>2709</v>
      </c>
      <c r="C3327">
        <v>29350012</v>
      </c>
      <c r="E3327">
        <v>68.819999999999993</v>
      </c>
      <c r="F3327">
        <v>0</v>
      </c>
      <c r="G3327">
        <v>0</v>
      </c>
      <c r="H3327" t="s">
        <v>19447</v>
      </c>
      <c r="I3327" t="s">
        <v>19447</v>
      </c>
      <c r="J3327">
        <v>2</v>
      </c>
      <c r="L3327" t="s">
        <v>2709</v>
      </c>
      <c r="M3327">
        <v>29350012</v>
      </c>
      <c r="O3327" t="s">
        <v>20028</v>
      </c>
      <c r="P3327" t="s">
        <v>19900</v>
      </c>
      <c r="Q3327" t="s">
        <v>19900</v>
      </c>
      <c r="R3327" t="s">
        <v>19447</v>
      </c>
      <c r="S3327" t="s">
        <v>19447</v>
      </c>
      <c r="T3327" t="s">
        <v>19901</v>
      </c>
    </row>
    <row r="3328" spans="2:20" x14ac:dyDescent="0.25">
      <c r="B3328" t="s">
        <v>2709</v>
      </c>
      <c r="C3328">
        <v>29350013</v>
      </c>
      <c r="E3328">
        <v>68.819999999999993</v>
      </c>
      <c r="F3328">
        <v>0</v>
      </c>
      <c r="G3328">
        <v>0</v>
      </c>
      <c r="H3328" t="s">
        <v>19447</v>
      </c>
      <c r="I3328" t="s">
        <v>19447</v>
      </c>
      <c r="J3328">
        <v>2</v>
      </c>
      <c r="L3328" t="s">
        <v>2709</v>
      </c>
      <c r="M3328">
        <v>29350013</v>
      </c>
      <c r="O3328" t="s">
        <v>20028</v>
      </c>
      <c r="P3328" t="s">
        <v>19900</v>
      </c>
      <c r="Q3328" t="s">
        <v>19900</v>
      </c>
      <c r="R3328" t="s">
        <v>19447</v>
      </c>
      <c r="S3328" t="s">
        <v>19447</v>
      </c>
      <c r="T3328" t="s">
        <v>19901</v>
      </c>
    </row>
    <row r="3329" spans="2:20" x14ac:dyDescent="0.25">
      <c r="B3329" t="s">
        <v>2709</v>
      </c>
      <c r="C3329">
        <v>29350014</v>
      </c>
      <c r="E3329">
        <v>68.819999999999993</v>
      </c>
      <c r="F3329">
        <v>0</v>
      </c>
      <c r="G3329">
        <v>0</v>
      </c>
      <c r="H3329" t="s">
        <v>19447</v>
      </c>
      <c r="I3329" t="s">
        <v>19447</v>
      </c>
      <c r="J3329">
        <v>2</v>
      </c>
      <c r="L3329" t="s">
        <v>2709</v>
      </c>
      <c r="M3329">
        <v>29350014</v>
      </c>
      <c r="O3329" t="s">
        <v>20028</v>
      </c>
      <c r="P3329" t="s">
        <v>19900</v>
      </c>
      <c r="Q3329" t="s">
        <v>19900</v>
      </c>
      <c r="R3329" t="s">
        <v>19447</v>
      </c>
      <c r="S3329" t="s">
        <v>19447</v>
      </c>
      <c r="T3329" t="s">
        <v>19901</v>
      </c>
    </row>
    <row r="3330" spans="2:20" x14ac:dyDescent="0.25">
      <c r="B3330" t="s">
        <v>2709</v>
      </c>
      <c r="C3330">
        <v>29350015</v>
      </c>
      <c r="E3330">
        <v>68.819999999999993</v>
      </c>
      <c r="F3330">
        <v>0</v>
      </c>
      <c r="G3330">
        <v>0</v>
      </c>
      <c r="H3330" t="s">
        <v>19447</v>
      </c>
      <c r="I3330" t="s">
        <v>19447</v>
      </c>
      <c r="J3330">
        <v>2</v>
      </c>
      <c r="L3330" t="s">
        <v>2709</v>
      </c>
      <c r="M3330">
        <v>29350015</v>
      </c>
      <c r="O3330" t="s">
        <v>20028</v>
      </c>
      <c r="P3330" t="s">
        <v>19900</v>
      </c>
      <c r="Q3330" t="s">
        <v>19900</v>
      </c>
      <c r="R3330" t="s">
        <v>19447</v>
      </c>
      <c r="S3330" t="s">
        <v>19447</v>
      </c>
      <c r="T3330" t="s">
        <v>19901</v>
      </c>
    </row>
    <row r="3331" spans="2:20" x14ac:dyDescent="0.25">
      <c r="B3331" t="s">
        <v>2709</v>
      </c>
      <c r="C3331">
        <v>29350019</v>
      </c>
      <c r="E3331">
        <v>68.819999999999993</v>
      </c>
      <c r="F3331">
        <v>0</v>
      </c>
      <c r="G3331">
        <v>0</v>
      </c>
      <c r="H3331" t="s">
        <v>19447</v>
      </c>
      <c r="I3331" t="s">
        <v>19447</v>
      </c>
      <c r="J3331">
        <v>2</v>
      </c>
      <c r="L3331" t="s">
        <v>2709</v>
      </c>
      <c r="M3331">
        <v>29350019</v>
      </c>
      <c r="O3331" t="s">
        <v>20028</v>
      </c>
      <c r="P3331" t="s">
        <v>19900</v>
      </c>
      <c r="Q3331" t="s">
        <v>19900</v>
      </c>
      <c r="R3331" t="s">
        <v>19447</v>
      </c>
      <c r="S3331" t="s">
        <v>19447</v>
      </c>
      <c r="T3331" t="s">
        <v>19901</v>
      </c>
    </row>
    <row r="3332" spans="2:20" x14ac:dyDescent="0.25">
      <c r="B3332" t="s">
        <v>2709</v>
      </c>
      <c r="C3332">
        <v>29350021</v>
      </c>
      <c r="E3332">
        <v>68.819999999999993</v>
      </c>
      <c r="F3332">
        <v>0</v>
      </c>
      <c r="G3332">
        <v>0</v>
      </c>
      <c r="H3332" t="s">
        <v>19447</v>
      </c>
      <c r="I3332" t="s">
        <v>19447</v>
      </c>
      <c r="J3332">
        <v>14</v>
      </c>
      <c r="L3332" t="s">
        <v>2709</v>
      </c>
      <c r="M3332">
        <v>29350021</v>
      </c>
      <c r="O3332" t="s">
        <v>20028</v>
      </c>
      <c r="P3332" t="s">
        <v>19900</v>
      </c>
      <c r="Q3332" t="s">
        <v>19900</v>
      </c>
      <c r="R3332" t="s">
        <v>19447</v>
      </c>
      <c r="S3332" t="s">
        <v>19447</v>
      </c>
      <c r="T3332" t="s">
        <v>19911</v>
      </c>
    </row>
    <row r="3333" spans="2:20" x14ac:dyDescent="0.25">
      <c r="B3333" t="s">
        <v>2709</v>
      </c>
      <c r="C3333">
        <v>29350022</v>
      </c>
      <c r="E3333">
        <v>68.819999999999993</v>
      </c>
      <c r="F3333">
        <v>0</v>
      </c>
      <c r="G3333">
        <v>0</v>
      </c>
      <c r="H3333" t="s">
        <v>19447</v>
      </c>
      <c r="I3333" t="s">
        <v>19447</v>
      </c>
      <c r="J3333">
        <v>14</v>
      </c>
      <c r="L3333" t="s">
        <v>2709</v>
      </c>
      <c r="M3333">
        <v>29350022</v>
      </c>
      <c r="O3333" t="s">
        <v>20028</v>
      </c>
      <c r="P3333" t="s">
        <v>19900</v>
      </c>
      <c r="Q3333" t="s">
        <v>19900</v>
      </c>
      <c r="R3333" t="s">
        <v>19447</v>
      </c>
      <c r="S3333" t="s">
        <v>19447</v>
      </c>
      <c r="T3333" t="s">
        <v>19911</v>
      </c>
    </row>
    <row r="3334" spans="2:20" x14ac:dyDescent="0.25">
      <c r="B3334" t="s">
        <v>2709</v>
      </c>
      <c r="C3334">
        <v>29350023</v>
      </c>
      <c r="E3334">
        <v>68.819999999999993</v>
      </c>
      <c r="F3334">
        <v>0</v>
      </c>
      <c r="G3334">
        <v>0</v>
      </c>
      <c r="H3334" t="s">
        <v>19447</v>
      </c>
      <c r="I3334" t="s">
        <v>19447</v>
      </c>
      <c r="J3334">
        <v>12</v>
      </c>
      <c r="L3334" t="s">
        <v>2709</v>
      </c>
      <c r="M3334">
        <v>29350023</v>
      </c>
      <c r="O3334" t="s">
        <v>20028</v>
      </c>
      <c r="P3334" t="s">
        <v>19900</v>
      </c>
      <c r="Q3334" t="s">
        <v>19900</v>
      </c>
      <c r="R3334" t="s">
        <v>19447</v>
      </c>
      <c r="S3334" t="s">
        <v>19447</v>
      </c>
      <c r="T3334" t="s">
        <v>19903</v>
      </c>
    </row>
    <row r="3335" spans="2:20" x14ac:dyDescent="0.25">
      <c r="B3335" t="s">
        <v>2709</v>
      </c>
      <c r="C3335">
        <v>29350024</v>
      </c>
      <c r="E3335">
        <v>68.819999999999993</v>
      </c>
      <c r="F3335">
        <v>0</v>
      </c>
      <c r="G3335">
        <v>0</v>
      </c>
      <c r="H3335" t="s">
        <v>19447</v>
      </c>
      <c r="I3335" t="s">
        <v>19447</v>
      </c>
      <c r="J3335">
        <v>12</v>
      </c>
      <c r="L3335" t="s">
        <v>2709</v>
      </c>
      <c r="M3335">
        <v>29350024</v>
      </c>
      <c r="O3335" t="s">
        <v>20028</v>
      </c>
      <c r="P3335" t="s">
        <v>19900</v>
      </c>
      <c r="Q3335" t="s">
        <v>19900</v>
      </c>
      <c r="R3335" t="s">
        <v>19447</v>
      </c>
      <c r="S3335" t="s">
        <v>19447</v>
      </c>
      <c r="T3335" t="s">
        <v>19903</v>
      </c>
    </row>
    <row r="3336" spans="2:20" x14ac:dyDescent="0.25">
      <c r="B3336" t="s">
        <v>2709</v>
      </c>
      <c r="C3336">
        <v>29350025</v>
      </c>
      <c r="E3336">
        <v>68.819999999999993</v>
      </c>
      <c r="F3336">
        <v>0</v>
      </c>
      <c r="G3336">
        <v>0</v>
      </c>
      <c r="H3336" t="s">
        <v>19447</v>
      </c>
      <c r="I3336" t="s">
        <v>19447</v>
      </c>
      <c r="J3336">
        <v>14</v>
      </c>
      <c r="L3336" t="s">
        <v>2709</v>
      </c>
      <c r="M3336">
        <v>29350025</v>
      </c>
      <c r="O3336" t="s">
        <v>20028</v>
      </c>
      <c r="P3336" t="s">
        <v>19900</v>
      </c>
      <c r="Q3336" t="s">
        <v>19900</v>
      </c>
      <c r="R3336" t="s">
        <v>19447</v>
      </c>
      <c r="S3336" t="s">
        <v>19447</v>
      </c>
      <c r="T3336" t="s">
        <v>19911</v>
      </c>
    </row>
    <row r="3337" spans="2:20" x14ac:dyDescent="0.25">
      <c r="B3337" t="s">
        <v>2709</v>
      </c>
      <c r="C3337">
        <v>29350029</v>
      </c>
      <c r="E3337">
        <v>68.819999999999993</v>
      </c>
      <c r="F3337">
        <v>0</v>
      </c>
      <c r="G3337">
        <v>0</v>
      </c>
      <c r="H3337" t="s">
        <v>19447</v>
      </c>
      <c r="I3337" t="s">
        <v>19447</v>
      </c>
      <c r="J3337">
        <v>2</v>
      </c>
      <c r="L3337" t="s">
        <v>2709</v>
      </c>
      <c r="M3337">
        <v>29350029</v>
      </c>
      <c r="O3337" t="s">
        <v>20028</v>
      </c>
      <c r="P3337" t="s">
        <v>19900</v>
      </c>
      <c r="Q3337" t="s">
        <v>19900</v>
      </c>
      <c r="R3337" t="s">
        <v>19447</v>
      </c>
      <c r="S3337" t="s">
        <v>19447</v>
      </c>
      <c r="T3337" t="s">
        <v>19901</v>
      </c>
    </row>
    <row r="3338" spans="2:20" x14ac:dyDescent="0.25">
      <c r="B3338" t="s">
        <v>2709</v>
      </c>
      <c r="C3338">
        <v>29350091</v>
      </c>
      <c r="E3338">
        <v>68.819999999999993</v>
      </c>
      <c r="F3338">
        <v>0</v>
      </c>
      <c r="G3338">
        <v>0</v>
      </c>
      <c r="H3338" t="s">
        <v>19447</v>
      </c>
      <c r="I3338" t="s">
        <v>19447</v>
      </c>
      <c r="J3338">
        <v>2</v>
      </c>
      <c r="L3338" t="s">
        <v>2709</v>
      </c>
      <c r="M3338">
        <v>29350091</v>
      </c>
      <c r="O3338" t="s">
        <v>20028</v>
      </c>
      <c r="P3338" t="s">
        <v>19900</v>
      </c>
      <c r="Q3338" t="s">
        <v>19900</v>
      </c>
      <c r="R3338" t="s">
        <v>19447</v>
      </c>
      <c r="S3338" t="s">
        <v>19447</v>
      </c>
      <c r="T3338" t="s">
        <v>19901</v>
      </c>
    </row>
    <row r="3339" spans="2:20" x14ac:dyDescent="0.25">
      <c r="B3339" t="s">
        <v>2709</v>
      </c>
      <c r="C3339">
        <v>29350092</v>
      </c>
      <c r="E3339">
        <v>68.819999999999993</v>
      </c>
      <c r="F3339">
        <v>0</v>
      </c>
      <c r="G3339">
        <v>0</v>
      </c>
      <c r="H3339" t="s">
        <v>19447</v>
      </c>
      <c r="I3339" t="s">
        <v>19447</v>
      </c>
      <c r="J3339">
        <v>14</v>
      </c>
      <c r="L3339" t="s">
        <v>2709</v>
      </c>
      <c r="M3339">
        <v>29350092</v>
      </c>
      <c r="O3339" t="s">
        <v>20028</v>
      </c>
      <c r="P3339" t="s">
        <v>19900</v>
      </c>
      <c r="Q3339" t="s">
        <v>19900</v>
      </c>
      <c r="R3339" t="s">
        <v>19447</v>
      </c>
      <c r="S3339" t="s">
        <v>19447</v>
      </c>
      <c r="T3339" t="s">
        <v>19911</v>
      </c>
    </row>
    <row r="3340" spans="2:20" x14ac:dyDescent="0.25">
      <c r="B3340" t="s">
        <v>2709</v>
      </c>
      <c r="C3340">
        <v>29350093</v>
      </c>
      <c r="E3340">
        <v>68.819999999999993</v>
      </c>
      <c r="F3340">
        <v>0</v>
      </c>
      <c r="G3340">
        <v>0</v>
      </c>
      <c r="H3340" t="s">
        <v>19447</v>
      </c>
      <c r="I3340" t="s">
        <v>19447</v>
      </c>
      <c r="J3340">
        <v>14</v>
      </c>
      <c r="L3340" t="s">
        <v>2709</v>
      </c>
      <c r="M3340">
        <v>29350093</v>
      </c>
      <c r="O3340" t="s">
        <v>20028</v>
      </c>
      <c r="P3340" t="s">
        <v>19900</v>
      </c>
      <c r="Q3340" t="s">
        <v>19900</v>
      </c>
      <c r="R3340" t="s">
        <v>19447</v>
      </c>
      <c r="S3340" t="s">
        <v>19447</v>
      </c>
      <c r="T3340" t="s">
        <v>19911</v>
      </c>
    </row>
    <row r="3341" spans="2:20" x14ac:dyDescent="0.25">
      <c r="B3341" t="s">
        <v>2709</v>
      </c>
      <c r="C3341">
        <v>29350094</v>
      </c>
      <c r="E3341">
        <v>68.819999999999993</v>
      </c>
      <c r="F3341">
        <v>0</v>
      </c>
      <c r="G3341">
        <v>0</v>
      </c>
      <c r="H3341" t="s">
        <v>19447</v>
      </c>
      <c r="I3341" t="s">
        <v>19447</v>
      </c>
      <c r="J3341">
        <v>14</v>
      </c>
      <c r="L3341" t="s">
        <v>2709</v>
      </c>
      <c r="M3341">
        <v>29350094</v>
      </c>
      <c r="O3341" t="s">
        <v>20028</v>
      </c>
      <c r="P3341" t="s">
        <v>19900</v>
      </c>
      <c r="Q3341" t="s">
        <v>19900</v>
      </c>
      <c r="R3341" t="s">
        <v>19447</v>
      </c>
      <c r="S3341" t="s">
        <v>19447</v>
      </c>
      <c r="T3341" t="s">
        <v>19911</v>
      </c>
    </row>
    <row r="3342" spans="2:20" x14ac:dyDescent="0.25">
      <c r="B3342" t="s">
        <v>2709</v>
      </c>
      <c r="C3342">
        <v>29350095</v>
      </c>
      <c r="E3342">
        <v>68.819999999999993</v>
      </c>
      <c r="F3342">
        <v>0</v>
      </c>
      <c r="G3342">
        <v>0</v>
      </c>
      <c r="H3342" t="s">
        <v>19447</v>
      </c>
      <c r="I3342" t="s">
        <v>19447</v>
      </c>
      <c r="J3342">
        <v>2</v>
      </c>
      <c r="L3342" t="s">
        <v>2709</v>
      </c>
      <c r="M3342">
        <v>29350095</v>
      </c>
      <c r="O3342" t="s">
        <v>20028</v>
      </c>
      <c r="P3342" t="s">
        <v>19900</v>
      </c>
      <c r="Q3342" t="s">
        <v>19900</v>
      </c>
      <c r="R3342" t="s">
        <v>19447</v>
      </c>
      <c r="S3342" t="s">
        <v>19447</v>
      </c>
      <c r="T3342" t="s">
        <v>19901</v>
      </c>
    </row>
    <row r="3343" spans="2:20" x14ac:dyDescent="0.25">
      <c r="B3343" t="s">
        <v>2709</v>
      </c>
      <c r="C3343">
        <v>29350096</v>
      </c>
      <c r="E3343">
        <v>68.819999999999993</v>
      </c>
      <c r="F3343">
        <v>0</v>
      </c>
      <c r="G3343">
        <v>0</v>
      </c>
      <c r="H3343" t="s">
        <v>19447</v>
      </c>
      <c r="I3343" t="s">
        <v>19447</v>
      </c>
      <c r="J3343">
        <v>2</v>
      </c>
      <c r="L3343" t="s">
        <v>2709</v>
      </c>
      <c r="M3343">
        <v>29350096</v>
      </c>
      <c r="O3343" t="s">
        <v>20028</v>
      </c>
      <c r="P3343" t="s">
        <v>19900</v>
      </c>
      <c r="Q3343" t="s">
        <v>19900</v>
      </c>
      <c r="R3343" t="s">
        <v>19447</v>
      </c>
      <c r="S3343" t="s">
        <v>19447</v>
      </c>
      <c r="T3343" t="s">
        <v>19901</v>
      </c>
    </row>
    <row r="3344" spans="2:20" x14ac:dyDescent="0.25">
      <c r="B3344" t="s">
        <v>2709</v>
      </c>
      <c r="C3344">
        <v>29350097</v>
      </c>
      <c r="E3344">
        <v>68.819999999999993</v>
      </c>
      <c r="F3344">
        <v>0</v>
      </c>
      <c r="G3344">
        <v>0</v>
      </c>
      <c r="H3344" t="s">
        <v>19447</v>
      </c>
      <c r="I3344" t="s">
        <v>19447</v>
      </c>
      <c r="J3344">
        <v>14</v>
      </c>
      <c r="L3344" t="s">
        <v>2709</v>
      </c>
      <c r="M3344">
        <v>29350097</v>
      </c>
      <c r="O3344" t="s">
        <v>20028</v>
      </c>
      <c r="P3344" t="s">
        <v>19900</v>
      </c>
      <c r="Q3344" t="s">
        <v>19900</v>
      </c>
      <c r="R3344" t="s">
        <v>19447</v>
      </c>
      <c r="S3344" t="s">
        <v>19447</v>
      </c>
      <c r="T3344" t="s">
        <v>19911</v>
      </c>
    </row>
    <row r="3345" spans="2:20" x14ac:dyDescent="0.25">
      <c r="B3345" t="s">
        <v>2709</v>
      </c>
      <c r="C3345">
        <v>29350099</v>
      </c>
      <c r="E3345">
        <v>68.819999999999993</v>
      </c>
      <c r="F3345">
        <v>0</v>
      </c>
      <c r="G3345">
        <v>0</v>
      </c>
      <c r="H3345" t="s">
        <v>19447</v>
      </c>
      <c r="I3345" t="s">
        <v>19447</v>
      </c>
      <c r="J3345">
        <v>2</v>
      </c>
      <c r="L3345" t="s">
        <v>2709</v>
      </c>
      <c r="M3345">
        <v>29350099</v>
      </c>
      <c r="O3345" t="s">
        <v>20028</v>
      </c>
      <c r="P3345" t="s">
        <v>19900</v>
      </c>
      <c r="Q3345" t="s">
        <v>19900</v>
      </c>
      <c r="R3345" t="s">
        <v>19447</v>
      </c>
      <c r="S3345" t="s">
        <v>19447</v>
      </c>
      <c r="T3345" t="s">
        <v>19901</v>
      </c>
    </row>
    <row r="3346" spans="2:20" x14ac:dyDescent="0.25">
      <c r="B3346" t="s">
        <v>2709</v>
      </c>
      <c r="C3346">
        <v>29362111</v>
      </c>
      <c r="E3346">
        <v>286.37</v>
      </c>
      <c r="F3346">
        <v>0</v>
      </c>
      <c r="G3346">
        <v>0</v>
      </c>
      <c r="H3346" t="s">
        <v>19447</v>
      </c>
      <c r="I3346" t="s">
        <v>19447</v>
      </c>
      <c r="J3346">
        <v>2</v>
      </c>
      <c r="L3346" t="s">
        <v>2709</v>
      </c>
      <c r="M3346">
        <v>29362111</v>
      </c>
      <c r="O3346" t="s">
        <v>20032</v>
      </c>
      <c r="P3346" t="s">
        <v>19900</v>
      </c>
      <c r="Q3346" t="s">
        <v>19900</v>
      </c>
      <c r="R3346" t="s">
        <v>19447</v>
      </c>
      <c r="S3346" t="s">
        <v>19447</v>
      </c>
      <c r="T3346" t="s">
        <v>19901</v>
      </c>
    </row>
    <row r="3347" spans="2:20" x14ac:dyDescent="0.25">
      <c r="B3347" t="s">
        <v>2709</v>
      </c>
      <c r="C3347">
        <v>29362112</v>
      </c>
      <c r="E3347">
        <v>286.37</v>
      </c>
      <c r="F3347">
        <v>0</v>
      </c>
      <c r="G3347">
        <v>0</v>
      </c>
      <c r="H3347" t="s">
        <v>19447</v>
      </c>
      <c r="I3347" t="s">
        <v>19447</v>
      </c>
      <c r="J3347">
        <v>2</v>
      </c>
      <c r="L3347" t="s">
        <v>2709</v>
      </c>
      <c r="M3347">
        <v>29362112</v>
      </c>
      <c r="O3347" t="s">
        <v>20032</v>
      </c>
      <c r="P3347" t="s">
        <v>19900</v>
      </c>
      <c r="Q3347" t="s">
        <v>19900</v>
      </c>
      <c r="R3347" t="s">
        <v>19447</v>
      </c>
      <c r="S3347" t="s">
        <v>19447</v>
      </c>
      <c r="T3347" t="s">
        <v>19901</v>
      </c>
    </row>
    <row r="3348" spans="2:20" x14ac:dyDescent="0.25">
      <c r="B3348" t="s">
        <v>2709</v>
      </c>
      <c r="C3348">
        <v>29362113</v>
      </c>
      <c r="E3348">
        <v>286.37</v>
      </c>
      <c r="F3348">
        <v>0</v>
      </c>
      <c r="G3348">
        <v>0</v>
      </c>
      <c r="H3348" t="s">
        <v>19447</v>
      </c>
      <c r="I3348" t="s">
        <v>19447</v>
      </c>
      <c r="J3348">
        <v>2</v>
      </c>
      <c r="L3348" t="s">
        <v>2709</v>
      </c>
      <c r="M3348">
        <v>29362113</v>
      </c>
      <c r="O3348" t="s">
        <v>20032</v>
      </c>
      <c r="P3348" t="s">
        <v>19900</v>
      </c>
      <c r="Q3348" t="s">
        <v>19900</v>
      </c>
      <c r="R3348" t="s">
        <v>19447</v>
      </c>
      <c r="S3348" t="s">
        <v>19447</v>
      </c>
      <c r="T3348" t="s">
        <v>19901</v>
      </c>
    </row>
    <row r="3349" spans="2:20" x14ac:dyDescent="0.25">
      <c r="B3349" t="s">
        <v>2709</v>
      </c>
      <c r="C3349">
        <v>29362119</v>
      </c>
      <c r="E3349">
        <v>286.37</v>
      </c>
      <c r="F3349">
        <v>0</v>
      </c>
      <c r="G3349">
        <v>0</v>
      </c>
      <c r="H3349" t="s">
        <v>19447</v>
      </c>
      <c r="I3349" t="s">
        <v>19447</v>
      </c>
      <c r="J3349">
        <v>2</v>
      </c>
      <c r="L3349" t="s">
        <v>2709</v>
      </c>
      <c r="M3349">
        <v>29362119</v>
      </c>
      <c r="O3349" t="s">
        <v>20032</v>
      </c>
      <c r="P3349" t="s">
        <v>19900</v>
      </c>
      <c r="Q3349" t="s">
        <v>19900</v>
      </c>
      <c r="R3349" t="s">
        <v>19447</v>
      </c>
      <c r="S3349" t="s">
        <v>19447</v>
      </c>
      <c r="T3349" t="s">
        <v>19901</v>
      </c>
    </row>
    <row r="3350" spans="2:20" x14ac:dyDescent="0.25">
      <c r="B3350" t="s">
        <v>2709</v>
      </c>
      <c r="C3350">
        <v>29362190</v>
      </c>
      <c r="E3350">
        <v>286.37</v>
      </c>
      <c r="F3350">
        <v>0</v>
      </c>
      <c r="G3350">
        <v>0</v>
      </c>
      <c r="H3350" t="s">
        <v>19447</v>
      </c>
      <c r="I3350" t="s">
        <v>19447</v>
      </c>
      <c r="J3350">
        <v>2</v>
      </c>
      <c r="L3350" t="s">
        <v>2709</v>
      </c>
      <c r="M3350">
        <v>29362190</v>
      </c>
      <c r="O3350" t="s">
        <v>20032</v>
      </c>
      <c r="P3350" t="s">
        <v>19900</v>
      </c>
      <c r="Q3350" t="s">
        <v>19900</v>
      </c>
      <c r="R3350" t="s">
        <v>19447</v>
      </c>
      <c r="S3350" t="s">
        <v>19447</v>
      </c>
      <c r="T3350" t="s">
        <v>19901</v>
      </c>
    </row>
    <row r="3351" spans="2:20" x14ac:dyDescent="0.25">
      <c r="B3351" t="s">
        <v>2709</v>
      </c>
      <c r="C3351">
        <v>29362210</v>
      </c>
      <c r="E3351">
        <v>286.37</v>
      </c>
      <c r="F3351">
        <v>0</v>
      </c>
      <c r="G3351">
        <v>0</v>
      </c>
      <c r="H3351" t="s">
        <v>19447</v>
      </c>
      <c r="I3351" t="s">
        <v>19447</v>
      </c>
      <c r="J3351">
        <v>2</v>
      </c>
      <c r="L3351" t="s">
        <v>2709</v>
      </c>
      <c r="M3351">
        <v>29362210</v>
      </c>
      <c r="O3351" t="s">
        <v>20032</v>
      </c>
      <c r="P3351" t="s">
        <v>19900</v>
      </c>
      <c r="Q3351" t="s">
        <v>19900</v>
      </c>
      <c r="R3351" t="s">
        <v>19447</v>
      </c>
      <c r="S3351" t="s">
        <v>19447</v>
      </c>
      <c r="T3351" t="s">
        <v>19901</v>
      </c>
    </row>
    <row r="3352" spans="2:20" x14ac:dyDescent="0.25">
      <c r="B3352" t="s">
        <v>2709</v>
      </c>
      <c r="C3352">
        <v>29362220</v>
      </c>
      <c r="E3352">
        <v>286.37</v>
      </c>
      <c r="F3352">
        <v>0</v>
      </c>
      <c r="G3352">
        <v>0</v>
      </c>
      <c r="H3352" t="s">
        <v>19447</v>
      </c>
      <c r="I3352" t="s">
        <v>19447</v>
      </c>
      <c r="J3352">
        <v>2</v>
      </c>
      <c r="L3352" t="s">
        <v>2709</v>
      </c>
      <c r="M3352">
        <v>29362220</v>
      </c>
      <c r="O3352" t="s">
        <v>20032</v>
      </c>
      <c r="P3352" t="s">
        <v>19900</v>
      </c>
      <c r="Q3352" t="s">
        <v>19900</v>
      </c>
      <c r="R3352" t="s">
        <v>19447</v>
      </c>
      <c r="S3352" t="s">
        <v>19447</v>
      </c>
      <c r="T3352" t="s">
        <v>19901</v>
      </c>
    </row>
    <row r="3353" spans="2:20" x14ac:dyDescent="0.25">
      <c r="B3353" t="s">
        <v>2709</v>
      </c>
      <c r="C3353">
        <v>29362290</v>
      </c>
      <c r="E3353">
        <v>286.37</v>
      </c>
      <c r="F3353">
        <v>0</v>
      </c>
      <c r="G3353">
        <v>0</v>
      </c>
      <c r="H3353" t="s">
        <v>19447</v>
      </c>
      <c r="I3353" t="s">
        <v>19447</v>
      </c>
      <c r="J3353">
        <v>2</v>
      </c>
      <c r="L3353" t="s">
        <v>2709</v>
      </c>
      <c r="M3353">
        <v>29362290</v>
      </c>
      <c r="O3353" t="s">
        <v>20032</v>
      </c>
      <c r="P3353" t="s">
        <v>19900</v>
      </c>
      <c r="Q3353" t="s">
        <v>19900</v>
      </c>
      <c r="R3353" t="s">
        <v>19447</v>
      </c>
      <c r="S3353" t="s">
        <v>19447</v>
      </c>
      <c r="T3353" t="s">
        <v>19901</v>
      </c>
    </row>
    <row r="3354" spans="2:20" x14ac:dyDescent="0.25">
      <c r="B3354" t="s">
        <v>2709</v>
      </c>
      <c r="C3354">
        <v>29362310</v>
      </c>
      <c r="E3354">
        <v>286.37</v>
      </c>
      <c r="F3354">
        <v>0</v>
      </c>
      <c r="G3354">
        <v>0</v>
      </c>
      <c r="H3354" t="s">
        <v>19447</v>
      </c>
      <c r="I3354" t="s">
        <v>19447</v>
      </c>
      <c r="J3354">
        <v>2</v>
      </c>
      <c r="L3354" t="s">
        <v>2709</v>
      </c>
      <c r="M3354">
        <v>29362310</v>
      </c>
      <c r="O3354" t="s">
        <v>20032</v>
      </c>
      <c r="P3354" t="s">
        <v>19900</v>
      </c>
      <c r="Q3354" t="s">
        <v>19900</v>
      </c>
      <c r="R3354" t="s">
        <v>19447</v>
      </c>
      <c r="S3354" t="s">
        <v>19447</v>
      </c>
      <c r="T3354" t="s">
        <v>19901</v>
      </c>
    </row>
    <row r="3355" spans="2:20" x14ac:dyDescent="0.25">
      <c r="B3355" t="s">
        <v>2709</v>
      </c>
      <c r="C3355">
        <v>29362320</v>
      </c>
      <c r="E3355">
        <v>286.37</v>
      </c>
      <c r="F3355">
        <v>0</v>
      </c>
      <c r="G3355">
        <v>0</v>
      </c>
      <c r="H3355" t="s">
        <v>19447</v>
      </c>
      <c r="I3355" t="s">
        <v>19447</v>
      </c>
      <c r="J3355">
        <v>2</v>
      </c>
      <c r="L3355" t="s">
        <v>2709</v>
      </c>
      <c r="M3355">
        <v>29362320</v>
      </c>
      <c r="O3355" t="s">
        <v>20032</v>
      </c>
      <c r="P3355" t="s">
        <v>19900</v>
      </c>
      <c r="Q3355" t="s">
        <v>19900</v>
      </c>
      <c r="R3355" t="s">
        <v>19447</v>
      </c>
      <c r="S3355" t="s">
        <v>19447</v>
      </c>
      <c r="T3355" t="s">
        <v>19901</v>
      </c>
    </row>
    <row r="3356" spans="2:20" x14ac:dyDescent="0.25">
      <c r="B3356" t="s">
        <v>2709</v>
      </c>
      <c r="C3356">
        <v>29362390</v>
      </c>
      <c r="E3356">
        <v>286.37</v>
      </c>
      <c r="F3356">
        <v>0</v>
      </c>
      <c r="G3356">
        <v>0</v>
      </c>
      <c r="H3356" t="s">
        <v>19447</v>
      </c>
      <c r="I3356" t="s">
        <v>19447</v>
      </c>
      <c r="J3356">
        <v>2</v>
      </c>
      <c r="L3356" t="s">
        <v>2709</v>
      </c>
      <c r="M3356">
        <v>29362390</v>
      </c>
      <c r="O3356" t="s">
        <v>20032</v>
      </c>
      <c r="P3356" t="s">
        <v>19900</v>
      </c>
      <c r="Q3356" t="s">
        <v>19900</v>
      </c>
      <c r="R3356" t="s">
        <v>19447</v>
      </c>
      <c r="S3356" t="s">
        <v>19447</v>
      </c>
      <c r="T3356" t="s">
        <v>19901</v>
      </c>
    </row>
    <row r="3357" spans="2:20" x14ac:dyDescent="0.25">
      <c r="B3357" t="s">
        <v>2709</v>
      </c>
      <c r="C3357">
        <v>29362410</v>
      </c>
      <c r="E3357">
        <v>286.37</v>
      </c>
      <c r="F3357">
        <v>0</v>
      </c>
      <c r="G3357">
        <v>0</v>
      </c>
      <c r="H3357" t="s">
        <v>19447</v>
      </c>
      <c r="I3357" t="s">
        <v>19447</v>
      </c>
      <c r="J3357">
        <v>2</v>
      </c>
      <c r="L3357" t="s">
        <v>2709</v>
      </c>
      <c r="M3357">
        <v>29362410</v>
      </c>
      <c r="O3357" t="s">
        <v>20032</v>
      </c>
      <c r="P3357" t="s">
        <v>19900</v>
      </c>
      <c r="Q3357" t="s">
        <v>19900</v>
      </c>
      <c r="R3357" t="s">
        <v>19447</v>
      </c>
      <c r="S3357" t="s">
        <v>19447</v>
      </c>
      <c r="T3357" t="s">
        <v>19901</v>
      </c>
    </row>
    <row r="3358" spans="2:20" x14ac:dyDescent="0.25">
      <c r="B3358" t="s">
        <v>2709</v>
      </c>
      <c r="C3358">
        <v>29362490</v>
      </c>
      <c r="E3358">
        <v>286.37</v>
      </c>
      <c r="F3358">
        <v>0</v>
      </c>
      <c r="G3358">
        <v>0</v>
      </c>
      <c r="H3358" t="s">
        <v>19447</v>
      </c>
      <c r="I3358" t="s">
        <v>19447</v>
      </c>
      <c r="J3358">
        <v>2</v>
      </c>
      <c r="L3358" t="s">
        <v>2709</v>
      </c>
      <c r="M3358">
        <v>29362490</v>
      </c>
      <c r="O3358" t="s">
        <v>20032</v>
      </c>
      <c r="P3358" t="s">
        <v>19900</v>
      </c>
      <c r="Q3358" t="s">
        <v>19900</v>
      </c>
      <c r="R3358" t="s">
        <v>19447</v>
      </c>
      <c r="S3358" t="s">
        <v>19447</v>
      </c>
      <c r="T3358" t="s">
        <v>19901</v>
      </c>
    </row>
    <row r="3359" spans="2:20" x14ac:dyDescent="0.25">
      <c r="B3359" t="s">
        <v>2709</v>
      </c>
      <c r="C3359">
        <v>29362510</v>
      </c>
      <c r="E3359">
        <v>286.37</v>
      </c>
      <c r="F3359">
        <v>0</v>
      </c>
      <c r="G3359">
        <v>0</v>
      </c>
      <c r="H3359" t="s">
        <v>19447</v>
      </c>
      <c r="I3359" t="s">
        <v>19447</v>
      </c>
      <c r="J3359">
        <v>2</v>
      </c>
      <c r="L3359" t="s">
        <v>2709</v>
      </c>
      <c r="M3359">
        <v>29362510</v>
      </c>
      <c r="O3359" t="s">
        <v>20032</v>
      </c>
      <c r="P3359" t="s">
        <v>19900</v>
      </c>
      <c r="Q3359" t="s">
        <v>19900</v>
      </c>
      <c r="R3359" t="s">
        <v>19447</v>
      </c>
      <c r="S3359" t="s">
        <v>19447</v>
      </c>
      <c r="T3359" t="s">
        <v>19901</v>
      </c>
    </row>
    <row r="3360" spans="2:20" x14ac:dyDescent="0.25">
      <c r="B3360" t="s">
        <v>2709</v>
      </c>
      <c r="C3360">
        <v>29362520</v>
      </c>
      <c r="E3360">
        <v>286.37</v>
      </c>
      <c r="F3360">
        <v>0</v>
      </c>
      <c r="G3360">
        <v>0</v>
      </c>
      <c r="H3360" t="s">
        <v>19447</v>
      </c>
      <c r="I3360" t="s">
        <v>19447</v>
      </c>
      <c r="J3360">
        <v>2</v>
      </c>
      <c r="L3360" t="s">
        <v>2709</v>
      </c>
      <c r="M3360">
        <v>29362520</v>
      </c>
      <c r="O3360" t="s">
        <v>20032</v>
      </c>
      <c r="P3360" t="s">
        <v>19900</v>
      </c>
      <c r="Q3360" t="s">
        <v>19900</v>
      </c>
      <c r="R3360" t="s">
        <v>19447</v>
      </c>
      <c r="S3360" t="s">
        <v>19447</v>
      </c>
      <c r="T3360" t="s">
        <v>19901</v>
      </c>
    </row>
    <row r="3361" spans="2:20" x14ac:dyDescent="0.25">
      <c r="B3361" t="s">
        <v>2709</v>
      </c>
      <c r="C3361">
        <v>29362590</v>
      </c>
      <c r="E3361">
        <v>286.37</v>
      </c>
      <c r="F3361">
        <v>0</v>
      </c>
      <c r="G3361">
        <v>0</v>
      </c>
      <c r="H3361" t="s">
        <v>19447</v>
      </c>
      <c r="I3361" t="s">
        <v>19447</v>
      </c>
      <c r="J3361">
        <v>2</v>
      </c>
      <c r="L3361" t="s">
        <v>2709</v>
      </c>
      <c r="M3361">
        <v>29362590</v>
      </c>
      <c r="O3361" t="s">
        <v>20032</v>
      </c>
      <c r="P3361" t="s">
        <v>19900</v>
      </c>
      <c r="Q3361" t="s">
        <v>19900</v>
      </c>
      <c r="R3361" t="s">
        <v>19447</v>
      </c>
      <c r="S3361" t="s">
        <v>19447</v>
      </c>
      <c r="T3361" t="s">
        <v>19901</v>
      </c>
    </row>
    <row r="3362" spans="2:20" x14ac:dyDescent="0.25">
      <c r="B3362" t="s">
        <v>2709</v>
      </c>
      <c r="C3362">
        <v>29362610</v>
      </c>
      <c r="E3362">
        <v>286.37</v>
      </c>
      <c r="F3362">
        <v>0</v>
      </c>
      <c r="G3362">
        <v>0</v>
      </c>
      <c r="H3362" t="s">
        <v>19447</v>
      </c>
      <c r="I3362" t="s">
        <v>19447</v>
      </c>
      <c r="J3362">
        <v>14</v>
      </c>
      <c r="L3362" t="s">
        <v>2709</v>
      </c>
      <c r="M3362">
        <v>29362610</v>
      </c>
      <c r="O3362" t="s">
        <v>20032</v>
      </c>
      <c r="P3362" t="s">
        <v>19900</v>
      </c>
      <c r="Q3362" t="s">
        <v>19900</v>
      </c>
      <c r="R3362" t="s">
        <v>19447</v>
      </c>
      <c r="S3362" t="s">
        <v>19447</v>
      </c>
      <c r="T3362" t="s">
        <v>19911</v>
      </c>
    </row>
    <row r="3363" spans="2:20" x14ac:dyDescent="0.25">
      <c r="B3363" t="s">
        <v>2709</v>
      </c>
      <c r="C3363">
        <v>29362620</v>
      </c>
      <c r="E3363">
        <v>286.37</v>
      </c>
      <c r="F3363">
        <v>0</v>
      </c>
      <c r="G3363">
        <v>0</v>
      </c>
      <c r="H3363" t="s">
        <v>19447</v>
      </c>
      <c r="I3363" t="s">
        <v>19447</v>
      </c>
      <c r="J3363">
        <v>2</v>
      </c>
      <c r="L3363" t="s">
        <v>2709</v>
      </c>
      <c r="M3363">
        <v>29362620</v>
      </c>
      <c r="O3363" t="s">
        <v>20032</v>
      </c>
      <c r="P3363" t="s">
        <v>19900</v>
      </c>
      <c r="Q3363" t="s">
        <v>19900</v>
      </c>
      <c r="R3363" t="s">
        <v>19447</v>
      </c>
      <c r="S3363" t="s">
        <v>19447</v>
      </c>
      <c r="T3363" t="s">
        <v>19901</v>
      </c>
    </row>
    <row r="3364" spans="2:20" x14ac:dyDescent="0.25">
      <c r="B3364" t="s">
        <v>2709</v>
      </c>
      <c r="C3364">
        <v>29362630</v>
      </c>
      <c r="E3364">
        <v>286.37</v>
      </c>
      <c r="F3364">
        <v>0</v>
      </c>
      <c r="G3364">
        <v>0</v>
      </c>
      <c r="H3364" t="s">
        <v>19447</v>
      </c>
      <c r="I3364" t="s">
        <v>19447</v>
      </c>
      <c r="J3364">
        <v>14</v>
      </c>
      <c r="L3364" t="s">
        <v>2709</v>
      </c>
      <c r="M3364">
        <v>29362630</v>
      </c>
      <c r="O3364" t="s">
        <v>20032</v>
      </c>
      <c r="P3364" t="s">
        <v>19900</v>
      </c>
      <c r="Q3364" t="s">
        <v>19900</v>
      </c>
      <c r="R3364" t="s">
        <v>19447</v>
      </c>
      <c r="S3364" t="s">
        <v>19447</v>
      </c>
      <c r="T3364" t="s">
        <v>19911</v>
      </c>
    </row>
    <row r="3365" spans="2:20" x14ac:dyDescent="0.25">
      <c r="B3365" t="s">
        <v>2709</v>
      </c>
      <c r="C3365">
        <v>29362690</v>
      </c>
      <c r="E3365">
        <v>286.37</v>
      </c>
      <c r="F3365">
        <v>0</v>
      </c>
      <c r="G3365">
        <v>0</v>
      </c>
      <c r="H3365" t="s">
        <v>19447</v>
      </c>
      <c r="I3365" t="s">
        <v>19447</v>
      </c>
      <c r="J3365">
        <v>2</v>
      </c>
      <c r="L3365" t="s">
        <v>2709</v>
      </c>
      <c r="M3365">
        <v>29362690</v>
      </c>
      <c r="O3365" t="s">
        <v>20032</v>
      </c>
      <c r="P3365" t="s">
        <v>19900</v>
      </c>
      <c r="Q3365" t="s">
        <v>19900</v>
      </c>
      <c r="R3365" t="s">
        <v>19447</v>
      </c>
      <c r="S3365" t="s">
        <v>19447</v>
      </c>
      <c r="T3365" t="s">
        <v>19901</v>
      </c>
    </row>
    <row r="3366" spans="2:20" x14ac:dyDescent="0.25">
      <c r="B3366" t="s">
        <v>2709</v>
      </c>
      <c r="C3366">
        <v>29362710</v>
      </c>
      <c r="E3366">
        <v>286.37</v>
      </c>
      <c r="F3366">
        <v>0</v>
      </c>
      <c r="G3366">
        <v>0</v>
      </c>
      <c r="H3366" t="s">
        <v>19447</v>
      </c>
      <c r="I3366" t="s">
        <v>19447</v>
      </c>
      <c r="J3366">
        <v>2</v>
      </c>
      <c r="L3366" t="s">
        <v>2709</v>
      </c>
      <c r="M3366">
        <v>29362710</v>
      </c>
      <c r="O3366" t="s">
        <v>20032</v>
      </c>
      <c r="P3366" t="s">
        <v>19900</v>
      </c>
      <c r="Q3366" t="s">
        <v>19900</v>
      </c>
      <c r="R3366" t="s">
        <v>19447</v>
      </c>
      <c r="S3366" t="s">
        <v>19447</v>
      </c>
      <c r="T3366" t="s">
        <v>19901</v>
      </c>
    </row>
    <row r="3367" spans="2:20" x14ac:dyDescent="0.25">
      <c r="B3367" t="s">
        <v>2709</v>
      </c>
      <c r="C3367">
        <v>29362720</v>
      </c>
      <c r="E3367">
        <v>286.37</v>
      </c>
      <c r="F3367">
        <v>0</v>
      </c>
      <c r="G3367">
        <v>0</v>
      </c>
      <c r="H3367" t="s">
        <v>19447</v>
      </c>
      <c r="I3367" t="s">
        <v>19447</v>
      </c>
      <c r="J3367">
        <v>2</v>
      </c>
      <c r="L3367" t="s">
        <v>2709</v>
      </c>
      <c r="M3367">
        <v>29362720</v>
      </c>
      <c r="O3367" t="s">
        <v>20032</v>
      </c>
      <c r="P3367" t="s">
        <v>19900</v>
      </c>
      <c r="Q3367" t="s">
        <v>19900</v>
      </c>
      <c r="R3367" t="s">
        <v>19447</v>
      </c>
      <c r="S3367" t="s">
        <v>19447</v>
      </c>
      <c r="T3367" t="s">
        <v>19901</v>
      </c>
    </row>
    <row r="3368" spans="2:20" x14ac:dyDescent="0.25">
      <c r="B3368" t="s">
        <v>2709</v>
      </c>
      <c r="C3368">
        <v>29362790</v>
      </c>
      <c r="E3368">
        <v>286.37</v>
      </c>
      <c r="F3368">
        <v>0</v>
      </c>
      <c r="G3368">
        <v>0</v>
      </c>
      <c r="H3368" t="s">
        <v>19447</v>
      </c>
      <c r="I3368" t="s">
        <v>19447</v>
      </c>
      <c r="J3368">
        <v>2</v>
      </c>
      <c r="L3368" t="s">
        <v>2709</v>
      </c>
      <c r="M3368">
        <v>29362790</v>
      </c>
      <c r="O3368" t="s">
        <v>20032</v>
      </c>
      <c r="P3368" t="s">
        <v>19900</v>
      </c>
      <c r="Q3368" t="s">
        <v>19900</v>
      </c>
      <c r="R3368" t="s">
        <v>19447</v>
      </c>
      <c r="S3368" t="s">
        <v>19447</v>
      </c>
      <c r="T3368" t="s">
        <v>19901</v>
      </c>
    </row>
    <row r="3369" spans="2:20" x14ac:dyDescent="0.25">
      <c r="B3369" t="s">
        <v>2709</v>
      </c>
      <c r="C3369">
        <v>29362811</v>
      </c>
      <c r="E3369">
        <v>286.37</v>
      </c>
      <c r="F3369">
        <v>0</v>
      </c>
      <c r="G3369">
        <v>0</v>
      </c>
      <c r="H3369" t="s">
        <v>19447</v>
      </c>
      <c r="I3369" t="s">
        <v>19447</v>
      </c>
      <c r="J3369">
        <v>0</v>
      </c>
      <c r="L3369" t="s">
        <v>2709</v>
      </c>
      <c r="M3369">
        <v>29362811</v>
      </c>
      <c r="O3369" t="s">
        <v>20032</v>
      </c>
      <c r="P3369" t="s">
        <v>19900</v>
      </c>
      <c r="Q3369" t="s">
        <v>19900</v>
      </c>
      <c r="R3369" t="s">
        <v>19447</v>
      </c>
      <c r="S3369" t="s">
        <v>19447</v>
      </c>
      <c r="T3369" t="s">
        <v>19900</v>
      </c>
    </row>
    <row r="3370" spans="2:20" x14ac:dyDescent="0.25">
      <c r="B3370" t="s">
        <v>2709</v>
      </c>
      <c r="C3370">
        <v>29362812</v>
      </c>
      <c r="E3370">
        <v>286.37</v>
      </c>
      <c r="F3370">
        <v>0</v>
      </c>
      <c r="G3370">
        <v>0</v>
      </c>
      <c r="H3370" t="s">
        <v>19447</v>
      </c>
      <c r="I3370" t="s">
        <v>19447</v>
      </c>
      <c r="J3370">
        <v>0</v>
      </c>
      <c r="L3370" t="s">
        <v>2709</v>
      </c>
      <c r="M3370">
        <v>29362812</v>
      </c>
      <c r="O3370" t="s">
        <v>20032</v>
      </c>
      <c r="P3370" t="s">
        <v>19900</v>
      </c>
      <c r="Q3370" t="s">
        <v>19900</v>
      </c>
      <c r="R3370" t="s">
        <v>19447</v>
      </c>
      <c r="S3370" t="s">
        <v>19447</v>
      </c>
      <c r="T3370" t="s">
        <v>19900</v>
      </c>
    </row>
    <row r="3371" spans="2:20" x14ac:dyDescent="0.25">
      <c r="B3371" t="s">
        <v>2709</v>
      </c>
      <c r="C3371">
        <v>29362819</v>
      </c>
      <c r="E3371">
        <v>286.37</v>
      </c>
      <c r="F3371">
        <v>0</v>
      </c>
      <c r="G3371">
        <v>0</v>
      </c>
      <c r="H3371" t="s">
        <v>19447</v>
      </c>
      <c r="I3371" t="s">
        <v>19447</v>
      </c>
      <c r="J3371">
        <v>0</v>
      </c>
      <c r="L3371" t="s">
        <v>2709</v>
      </c>
      <c r="M3371">
        <v>29362819</v>
      </c>
      <c r="O3371" t="s">
        <v>20032</v>
      </c>
      <c r="P3371" t="s">
        <v>19900</v>
      </c>
      <c r="Q3371" t="s">
        <v>19900</v>
      </c>
      <c r="R3371" t="s">
        <v>19447</v>
      </c>
      <c r="S3371" t="s">
        <v>19447</v>
      </c>
      <c r="T3371" t="s">
        <v>19900</v>
      </c>
    </row>
    <row r="3372" spans="2:20" x14ac:dyDescent="0.25">
      <c r="B3372" t="s">
        <v>2709</v>
      </c>
      <c r="C3372">
        <v>29362890</v>
      </c>
      <c r="E3372">
        <v>286.37</v>
      </c>
      <c r="F3372">
        <v>0</v>
      </c>
      <c r="G3372">
        <v>0</v>
      </c>
      <c r="H3372" t="s">
        <v>19447</v>
      </c>
      <c r="I3372" t="s">
        <v>19447</v>
      </c>
      <c r="J3372">
        <v>2</v>
      </c>
      <c r="L3372" t="s">
        <v>2709</v>
      </c>
      <c r="M3372">
        <v>29362890</v>
      </c>
      <c r="O3372" t="s">
        <v>20032</v>
      </c>
      <c r="P3372" t="s">
        <v>19900</v>
      </c>
      <c r="Q3372" t="s">
        <v>19900</v>
      </c>
      <c r="R3372" t="s">
        <v>19447</v>
      </c>
      <c r="S3372" t="s">
        <v>19447</v>
      </c>
      <c r="T3372" t="s">
        <v>19901</v>
      </c>
    </row>
    <row r="3373" spans="2:20" x14ac:dyDescent="0.25">
      <c r="B3373" t="s">
        <v>2709</v>
      </c>
      <c r="C3373">
        <v>29362911</v>
      </c>
      <c r="E3373">
        <v>286.37</v>
      </c>
      <c r="F3373">
        <v>0</v>
      </c>
      <c r="G3373">
        <v>0</v>
      </c>
      <c r="H3373" t="s">
        <v>19447</v>
      </c>
      <c r="I3373" t="s">
        <v>19447</v>
      </c>
      <c r="J3373">
        <v>2</v>
      </c>
      <c r="L3373" t="s">
        <v>2709</v>
      </c>
      <c r="M3373">
        <v>29362911</v>
      </c>
      <c r="O3373" t="s">
        <v>20032</v>
      </c>
      <c r="P3373" t="s">
        <v>19900</v>
      </c>
      <c r="Q3373" t="s">
        <v>19900</v>
      </c>
      <c r="R3373" t="s">
        <v>19447</v>
      </c>
      <c r="S3373" t="s">
        <v>19447</v>
      </c>
      <c r="T3373" t="s">
        <v>19901</v>
      </c>
    </row>
    <row r="3374" spans="2:20" x14ac:dyDescent="0.25">
      <c r="B3374" t="s">
        <v>2709</v>
      </c>
      <c r="C3374">
        <v>29362919</v>
      </c>
      <c r="E3374">
        <v>286.37</v>
      </c>
      <c r="F3374">
        <v>0</v>
      </c>
      <c r="G3374">
        <v>0</v>
      </c>
      <c r="H3374" t="s">
        <v>19447</v>
      </c>
      <c r="I3374" t="s">
        <v>19447</v>
      </c>
      <c r="J3374">
        <v>2</v>
      </c>
      <c r="L3374" t="s">
        <v>2709</v>
      </c>
      <c r="M3374">
        <v>29362919</v>
      </c>
      <c r="O3374" t="s">
        <v>20032</v>
      </c>
      <c r="P3374" t="s">
        <v>19900</v>
      </c>
      <c r="Q3374" t="s">
        <v>19900</v>
      </c>
      <c r="R3374" t="s">
        <v>19447</v>
      </c>
      <c r="S3374" t="s">
        <v>19447</v>
      </c>
      <c r="T3374" t="s">
        <v>19901</v>
      </c>
    </row>
    <row r="3375" spans="2:20" x14ac:dyDescent="0.25">
      <c r="B3375" t="s">
        <v>2709</v>
      </c>
      <c r="C3375">
        <v>29362921</v>
      </c>
      <c r="E3375">
        <v>286.37</v>
      </c>
      <c r="F3375">
        <v>0</v>
      </c>
      <c r="G3375">
        <v>0</v>
      </c>
      <c r="H3375" t="s">
        <v>19447</v>
      </c>
      <c r="I3375" t="s">
        <v>19447</v>
      </c>
      <c r="J3375">
        <v>2</v>
      </c>
      <c r="L3375" t="s">
        <v>2709</v>
      </c>
      <c r="M3375">
        <v>29362921</v>
      </c>
      <c r="O3375" t="s">
        <v>20032</v>
      </c>
      <c r="P3375" t="s">
        <v>19900</v>
      </c>
      <c r="Q3375" t="s">
        <v>19900</v>
      </c>
      <c r="R3375" t="s">
        <v>19447</v>
      </c>
      <c r="S3375" t="s">
        <v>19447</v>
      </c>
      <c r="T3375" t="s">
        <v>19901</v>
      </c>
    </row>
    <row r="3376" spans="2:20" x14ac:dyDescent="0.25">
      <c r="B3376" t="s">
        <v>2709</v>
      </c>
      <c r="C3376">
        <v>29362929</v>
      </c>
      <c r="E3376">
        <v>286.37</v>
      </c>
      <c r="F3376">
        <v>0</v>
      </c>
      <c r="G3376">
        <v>0</v>
      </c>
      <c r="H3376" t="s">
        <v>19447</v>
      </c>
      <c r="I3376" t="s">
        <v>19447</v>
      </c>
      <c r="J3376">
        <v>2</v>
      </c>
      <c r="L3376" t="s">
        <v>2709</v>
      </c>
      <c r="M3376">
        <v>29362929</v>
      </c>
      <c r="O3376" t="s">
        <v>20032</v>
      </c>
      <c r="P3376" t="s">
        <v>19900</v>
      </c>
      <c r="Q3376" t="s">
        <v>19900</v>
      </c>
      <c r="R3376" t="s">
        <v>19447</v>
      </c>
      <c r="S3376" t="s">
        <v>19447</v>
      </c>
      <c r="T3376" t="s">
        <v>19901</v>
      </c>
    </row>
    <row r="3377" spans="2:20" x14ac:dyDescent="0.25">
      <c r="B3377" t="s">
        <v>2709</v>
      </c>
      <c r="C3377">
        <v>29362931</v>
      </c>
      <c r="E3377">
        <v>286.37</v>
      </c>
      <c r="F3377">
        <v>0</v>
      </c>
      <c r="G3377">
        <v>0</v>
      </c>
      <c r="H3377" t="s">
        <v>19447</v>
      </c>
      <c r="I3377" t="s">
        <v>19447</v>
      </c>
      <c r="J3377">
        <v>0</v>
      </c>
      <c r="L3377" t="s">
        <v>2709</v>
      </c>
      <c r="M3377">
        <v>29362931</v>
      </c>
      <c r="O3377" t="s">
        <v>20032</v>
      </c>
      <c r="P3377" t="s">
        <v>19900</v>
      </c>
      <c r="Q3377" t="s">
        <v>19900</v>
      </c>
      <c r="R3377" t="s">
        <v>19447</v>
      </c>
      <c r="S3377" t="s">
        <v>19447</v>
      </c>
      <c r="T3377" t="s">
        <v>19900</v>
      </c>
    </row>
    <row r="3378" spans="2:20" x14ac:dyDescent="0.25">
      <c r="B3378" t="s">
        <v>2709</v>
      </c>
      <c r="C3378">
        <v>29362939</v>
      </c>
      <c r="E3378">
        <v>286.37</v>
      </c>
      <c r="F3378">
        <v>0</v>
      </c>
      <c r="G3378">
        <v>0</v>
      </c>
      <c r="H3378" t="s">
        <v>19447</v>
      </c>
      <c r="I3378" t="s">
        <v>19447</v>
      </c>
      <c r="J3378">
        <v>2</v>
      </c>
      <c r="L3378" t="s">
        <v>2709</v>
      </c>
      <c r="M3378">
        <v>29362939</v>
      </c>
      <c r="O3378" t="s">
        <v>20032</v>
      </c>
      <c r="P3378" t="s">
        <v>19900</v>
      </c>
      <c r="Q3378" t="s">
        <v>19900</v>
      </c>
      <c r="R3378" t="s">
        <v>19447</v>
      </c>
      <c r="S3378" t="s">
        <v>19447</v>
      </c>
      <c r="T3378" t="s">
        <v>19901</v>
      </c>
    </row>
    <row r="3379" spans="2:20" x14ac:dyDescent="0.25">
      <c r="B3379" t="s">
        <v>2709</v>
      </c>
      <c r="C3379">
        <v>29362940</v>
      </c>
      <c r="E3379">
        <v>286.37</v>
      </c>
      <c r="F3379">
        <v>0</v>
      </c>
      <c r="G3379">
        <v>0</v>
      </c>
      <c r="H3379" t="s">
        <v>19447</v>
      </c>
      <c r="I3379" t="s">
        <v>19447</v>
      </c>
      <c r="J3379">
        <v>2</v>
      </c>
      <c r="L3379" t="s">
        <v>2709</v>
      </c>
      <c r="M3379">
        <v>29362940</v>
      </c>
      <c r="O3379" t="s">
        <v>20032</v>
      </c>
      <c r="P3379" t="s">
        <v>19900</v>
      </c>
      <c r="Q3379" t="s">
        <v>19900</v>
      </c>
      <c r="R3379" t="s">
        <v>19447</v>
      </c>
      <c r="S3379" t="s">
        <v>19447</v>
      </c>
      <c r="T3379" t="s">
        <v>19901</v>
      </c>
    </row>
    <row r="3380" spans="2:20" x14ac:dyDescent="0.25">
      <c r="B3380" t="s">
        <v>2709</v>
      </c>
      <c r="C3380">
        <v>29362951</v>
      </c>
      <c r="E3380">
        <v>286.37</v>
      </c>
      <c r="F3380">
        <v>0</v>
      </c>
      <c r="G3380">
        <v>0</v>
      </c>
      <c r="H3380" t="s">
        <v>19447</v>
      </c>
      <c r="I3380" t="s">
        <v>19447</v>
      </c>
      <c r="J3380">
        <v>2</v>
      </c>
      <c r="L3380" t="s">
        <v>2709</v>
      </c>
      <c r="M3380">
        <v>29362951</v>
      </c>
      <c r="O3380" t="s">
        <v>20032</v>
      </c>
      <c r="P3380" t="s">
        <v>19900</v>
      </c>
      <c r="Q3380" t="s">
        <v>19900</v>
      </c>
      <c r="R3380" t="s">
        <v>19447</v>
      </c>
      <c r="S3380" t="s">
        <v>19447</v>
      </c>
      <c r="T3380" t="s">
        <v>19901</v>
      </c>
    </row>
    <row r="3381" spans="2:20" x14ac:dyDescent="0.25">
      <c r="B3381" t="s">
        <v>2709</v>
      </c>
      <c r="C3381">
        <v>29362952</v>
      </c>
      <c r="E3381">
        <v>286.37</v>
      </c>
      <c r="F3381">
        <v>0</v>
      </c>
      <c r="G3381">
        <v>0</v>
      </c>
      <c r="H3381" t="s">
        <v>19447</v>
      </c>
      <c r="I3381" t="s">
        <v>19447</v>
      </c>
      <c r="J3381">
        <v>14</v>
      </c>
      <c r="L3381" t="s">
        <v>2709</v>
      </c>
      <c r="M3381">
        <v>29362952</v>
      </c>
      <c r="O3381" t="s">
        <v>20032</v>
      </c>
      <c r="P3381" t="s">
        <v>19900</v>
      </c>
      <c r="Q3381" t="s">
        <v>19900</v>
      </c>
      <c r="R3381" t="s">
        <v>19447</v>
      </c>
      <c r="S3381" t="s">
        <v>19447</v>
      </c>
      <c r="T3381" t="s">
        <v>19911</v>
      </c>
    </row>
    <row r="3382" spans="2:20" x14ac:dyDescent="0.25">
      <c r="B3382" t="s">
        <v>2709</v>
      </c>
      <c r="C3382">
        <v>29362953</v>
      </c>
      <c r="E3382">
        <v>286.37</v>
      </c>
      <c r="F3382">
        <v>0</v>
      </c>
      <c r="G3382">
        <v>0</v>
      </c>
      <c r="H3382" t="s">
        <v>19447</v>
      </c>
      <c r="I3382" t="s">
        <v>19447</v>
      </c>
      <c r="J3382">
        <v>2</v>
      </c>
      <c r="L3382" t="s">
        <v>2709</v>
      </c>
      <c r="M3382">
        <v>29362953</v>
      </c>
      <c r="O3382" t="s">
        <v>20032</v>
      </c>
      <c r="P3382" t="s">
        <v>19900</v>
      </c>
      <c r="Q3382" t="s">
        <v>19900</v>
      </c>
      <c r="R3382" t="s">
        <v>19447</v>
      </c>
      <c r="S3382" t="s">
        <v>19447</v>
      </c>
      <c r="T3382" t="s">
        <v>19901</v>
      </c>
    </row>
    <row r="3383" spans="2:20" x14ac:dyDescent="0.25">
      <c r="B3383" t="s">
        <v>2709</v>
      </c>
      <c r="C3383">
        <v>29362959</v>
      </c>
      <c r="E3383">
        <v>286.37</v>
      </c>
      <c r="F3383">
        <v>0</v>
      </c>
      <c r="G3383">
        <v>0</v>
      </c>
      <c r="H3383" t="s">
        <v>19447</v>
      </c>
      <c r="I3383" t="s">
        <v>19447</v>
      </c>
      <c r="J3383">
        <v>14</v>
      </c>
      <c r="L3383" t="s">
        <v>2709</v>
      </c>
      <c r="M3383">
        <v>29362959</v>
      </c>
      <c r="O3383" t="s">
        <v>20032</v>
      </c>
      <c r="P3383" t="s">
        <v>19900</v>
      </c>
      <c r="Q3383" t="s">
        <v>19900</v>
      </c>
      <c r="R3383" t="s">
        <v>19447</v>
      </c>
      <c r="S3383" t="s">
        <v>19447</v>
      </c>
      <c r="T3383" t="s">
        <v>19911</v>
      </c>
    </row>
    <row r="3384" spans="2:20" x14ac:dyDescent="0.25">
      <c r="B3384" t="s">
        <v>2709</v>
      </c>
      <c r="C3384">
        <v>29362990</v>
      </c>
      <c r="E3384">
        <v>286.37</v>
      </c>
      <c r="F3384">
        <v>0</v>
      </c>
      <c r="G3384">
        <v>0</v>
      </c>
      <c r="H3384" t="s">
        <v>19447</v>
      </c>
      <c r="I3384" t="s">
        <v>19447</v>
      </c>
      <c r="J3384">
        <v>2</v>
      </c>
      <c r="L3384" t="s">
        <v>2709</v>
      </c>
      <c r="M3384">
        <v>29362990</v>
      </c>
      <c r="O3384" t="s">
        <v>20032</v>
      </c>
      <c r="P3384" t="s">
        <v>19900</v>
      </c>
      <c r="Q3384" t="s">
        <v>19900</v>
      </c>
      <c r="R3384" t="s">
        <v>19447</v>
      </c>
      <c r="S3384" t="s">
        <v>19447</v>
      </c>
      <c r="T3384" t="s">
        <v>19901</v>
      </c>
    </row>
    <row r="3385" spans="2:20" x14ac:dyDescent="0.25">
      <c r="B3385" t="s">
        <v>2709</v>
      </c>
      <c r="C3385">
        <v>29369000</v>
      </c>
      <c r="E3385">
        <v>286.37</v>
      </c>
      <c r="F3385">
        <v>0</v>
      </c>
      <c r="G3385">
        <v>0</v>
      </c>
      <c r="H3385" t="s">
        <v>19447</v>
      </c>
      <c r="I3385" t="s">
        <v>19447</v>
      </c>
      <c r="J3385">
        <v>2</v>
      </c>
      <c r="L3385" t="s">
        <v>2709</v>
      </c>
      <c r="M3385">
        <v>29369000</v>
      </c>
      <c r="O3385" t="s">
        <v>20032</v>
      </c>
      <c r="P3385" t="s">
        <v>19900</v>
      </c>
      <c r="Q3385" t="s">
        <v>19900</v>
      </c>
      <c r="R3385" t="s">
        <v>19447</v>
      </c>
      <c r="S3385" t="s">
        <v>19447</v>
      </c>
      <c r="T3385" t="s">
        <v>19901</v>
      </c>
    </row>
    <row r="3386" spans="2:20" x14ac:dyDescent="0.25">
      <c r="B3386" t="s">
        <v>2709</v>
      </c>
      <c r="C3386">
        <v>29371100</v>
      </c>
      <c r="E3386">
        <v>68.819999999999993</v>
      </c>
      <c r="F3386">
        <v>0</v>
      </c>
      <c r="G3386">
        <v>0</v>
      </c>
      <c r="H3386" t="s">
        <v>19447</v>
      </c>
      <c r="I3386" t="s">
        <v>19447</v>
      </c>
      <c r="J3386">
        <v>2</v>
      </c>
      <c r="L3386" t="s">
        <v>2709</v>
      </c>
      <c r="M3386">
        <v>29371100</v>
      </c>
      <c r="O3386" t="s">
        <v>20028</v>
      </c>
      <c r="P3386" t="s">
        <v>19900</v>
      </c>
      <c r="Q3386" t="s">
        <v>19900</v>
      </c>
      <c r="R3386" t="s">
        <v>19447</v>
      </c>
      <c r="S3386" t="s">
        <v>19447</v>
      </c>
      <c r="T3386" t="s">
        <v>19901</v>
      </c>
    </row>
    <row r="3387" spans="2:20" x14ac:dyDescent="0.25">
      <c r="B3387" t="s">
        <v>2709</v>
      </c>
      <c r="C3387">
        <v>29371200</v>
      </c>
      <c r="E3387">
        <v>68.819999999999993</v>
      </c>
      <c r="F3387">
        <v>0</v>
      </c>
      <c r="G3387">
        <v>0</v>
      </c>
      <c r="H3387" t="s">
        <v>19447</v>
      </c>
      <c r="I3387" t="s">
        <v>19447</v>
      </c>
      <c r="J3387">
        <v>14</v>
      </c>
      <c r="L3387" t="s">
        <v>2709</v>
      </c>
      <c r="M3387">
        <v>29371200</v>
      </c>
      <c r="O3387" t="s">
        <v>20028</v>
      </c>
      <c r="P3387" t="s">
        <v>19900</v>
      </c>
      <c r="Q3387" t="s">
        <v>19900</v>
      </c>
      <c r="R3387" t="s">
        <v>19447</v>
      </c>
      <c r="S3387" t="s">
        <v>19447</v>
      </c>
      <c r="T3387" t="s">
        <v>19911</v>
      </c>
    </row>
    <row r="3388" spans="2:20" x14ac:dyDescent="0.25">
      <c r="B3388" t="s">
        <v>2709</v>
      </c>
      <c r="C3388">
        <v>29371910</v>
      </c>
      <c r="E3388">
        <v>68.819999999999993</v>
      </c>
      <c r="F3388">
        <v>0</v>
      </c>
      <c r="G3388">
        <v>0</v>
      </c>
      <c r="H3388" t="s">
        <v>19447</v>
      </c>
      <c r="I3388" t="s">
        <v>19447</v>
      </c>
      <c r="J3388">
        <v>2</v>
      </c>
      <c r="L3388" t="s">
        <v>2709</v>
      </c>
      <c r="M3388">
        <v>29371910</v>
      </c>
      <c r="O3388" t="s">
        <v>20028</v>
      </c>
      <c r="P3388" t="s">
        <v>19900</v>
      </c>
      <c r="Q3388" t="s">
        <v>19900</v>
      </c>
      <c r="R3388" t="s">
        <v>19447</v>
      </c>
      <c r="S3388" t="s">
        <v>19447</v>
      </c>
      <c r="T3388" t="s">
        <v>19901</v>
      </c>
    </row>
    <row r="3389" spans="2:20" x14ac:dyDescent="0.25">
      <c r="B3389" t="s">
        <v>2709</v>
      </c>
      <c r="C3389">
        <v>29371920</v>
      </c>
      <c r="E3389">
        <v>68.819999999999993</v>
      </c>
      <c r="F3389">
        <v>0</v>
      </c>
      <c r="G3389">
        <v>0</v>
      </c>
      <c r="H3389" t="s">
        <v>19447</v>
      </c>
      <c r="I3389" t="s">
        <v>19447</v>
      </c>
      <c r="J3389">
        <v>14</v>
      </c>
      <c r="L3389" t="s">
        <v>2709</v>
      </c>
      <c r="M3389">
        <v>29371920</v>
      </c>
      <c r="O3389" t="s">
        <v>20028</v>
      </c>
      <c r="P3389" t="s">
        <v>19900</v>
      </c>
      <c r="Q3389" t="s">
        <v>19900</v>
      </c>
      <c r="R3389" t="s">
        <v>19447</v>
      </c>
      <c r="S3389" t="s">
        <v>19447</v>
      </c>
      <c r="T3389" t="s">
        <v>19911</v>
      </c>
    </row>
    <row r="3390" spans="2:20" x14ac:dyDescent="0.25">
      <c r="B3390" t="s">
        <v>2709</v>
      </c>
      <c r="C3390">
        <v>29371930</v>
      </c>
      <c r="E3390">
        <v>68.819999999999993</v>
      </c>
      <c r="F3390">
        <v>0</v>
      </c>
      <c r="G3390">
        <v>0</v>
      </c>
      <c r="H3390" t="s">
        <v>19447</v>
      </c>
      <c r="I3390" t="s">
        <v>19447</v>
      </c>
      <c r="J3390">
        <v>2</v>
      </c>
      <c r="L3390" t="s">
        <v>2709</v>
      </c>
      <c r="M3390">
        <v>29371930</v>
      </c>
      <c r="O3390" t="s">
        <v>20028</v>
      </c>
      <c r="P3390" t="s">
        <v>19900</v>
      </c>
      <c r="Q3390" t="s">
        <v>19900</v>
      </c>
      <c r="R3390" t="s">
        <v>19447</v>
      </c>
      <c r="S3390" t="s">
        <v>19447</v>
      </c>
      <c r="T3390" t="s">
        <v>19901</v>
      </c>
    </row>
    <row r="3391" spans="2:20" x14ac:dyDescent="0.25">
      <c r="B3391" t="s">
        <v>2709</v>
      </c>
      <c r="C3391">
        <v>29371940</v>
      </c>
      <c r="E3391">
        <v>68.819999999999993</v>
      </c>
      <c r="F3391">
        <v>0</v>
      </c>
      <c r="G3391">
        <v>0</v>
      </c>
      <c r="H3391" t="s">
        <v>19447</v>
      </c>
      <c r="I3391" t="s">
        <v>19447</v>
      </c>
      <c r="J3391">
        <v>14</v>
      </c>
      <c r="L3391" t="s">
        <v>2709</v>
      </c>
      <c r="M3391">
        <v>29371940</v>
      </c>
      <c r="O3391" t="s">
        <v>20028</v>
      </c>
      <c r="P3391" t="s">
        <v>19900</v>
      </c>
      <c r="Q3391" t="s">
        <v>19900</v>
      </c>
      <c r="R3391" t="s">
        <v>19447</v>
      </c>
      <c r="S3391" t="s">
        <v>19447</v>
      </c>
      <c r="T3391" t="s">
        <v>19911</v>
      </c>
    </row>
    <row r="3392" spans="2:20" x14ac:dyDescent="0.25">
      <c r="B3392" t="s">
        <v>2709</v>
      </c>
      <c r="C3392">
        <v>29371950</v>
      </c>
      <c r="E3392">
        <v>68.819999999999993</v>
      </c>
      <c r="F3392">
        <v>0</v>
      </c>
      <c r="G3392">
        <v>0</v>
      </c>
      <c r="H3392" t="s">
        <v>19447</v>
      </c>
      <c r="I3392" t="s">
        <v>19447</v>
      </c>
      <c r="J3392">
        <v>12</v>
      </c>
      <c r="L3392" t="s">
        <v>2709</v>
      </c>
      <c r="M3392">
        <v>29371950</v>
      </c>
      <c r="O3392" t="s">
        <v>20028</v>
      </c>
      <c r="P3392" t="s">
        <v>19900</v>
      </c>
      <c r="Q3392" t="s">
        <v>19900</v>
      </c>
      <c r="R3392" t="s">
        <v>19447</v>
      </c>
      <c r="S3392" t="s">
        <v>19447</v>
      </c>
      <c r="T3392" t="s">
        <v>19903</v>
      </c>
    </row>
    <row r="3393" spans="2:20" x14ac:dyDescent="0.25">
      <c r="B3393" t="s">
        <v>2709</v>
      </c>
      <c r="C3393">
        <v>29371990</v>
      </c>
      <c r="E3393">
        <v>68.819999999999993</v>
      </c>
      <c r="F3393">
        <v>0</v>
      </c>
      <c r="G3393">
        <v>0</v>
      </c>
      <c r="H3393" t="s">
        <v>19447</v>
      </c>
      <c r="I3393" t="s">
        <v>19447</v>
      </c>
      <c r="J3393">
        <v>2</v>
      </c>
      <c r="L3393" t="s">
        <v>2709</v>
      </c>
      <c r="M3393">
        <v>29371990</v>
      </c>
      <c r="O3393" t="s">
        <v>20028</v>
      </c>
      <c r="P3393" t="s">
        <v>19900</v>
      </c>
      <c r="Q3393" t="s">
        <v>19900</v>
      </c>
      <c r="R3393" t="s">
        <v>19447</v>
      </c>
      <c r="S3393" t="s">
        <v>19447</v>
      </c>
      <c r="T3393" t="s">
        <v>19901</v>
      </c>
    </row>
    <row r="3394" spans="2:20" x14ac:dyDescent="0.25">
      <c r="B3394" t="s">
        <v>2709</v>
      </c>
      <c r="C3394">
        <v>29372110</v>
      </c>
      <c r="E3394">
        <v>68.819999999999993</v>
      </c>
      <c r="F3394">
        <v>0</v>
      </c>
      <c r="G3394">
        <v>0</v>
      </c>
      <c r="H3394" t="s">
        <v>19447</v>
      </c>
      <c r="I3394" t="s">
        <v>19447</v>
      </c>
      <c r="J3394">
        <v>2</v>
      </c>
      <c r="L3394" t="s">
        <v>2709</v>
      </c>
      <c r="M3394">
        <v>29372110</v>
      </c>
      <c r="O3394" t="s">
        <v>20028</v>
      </c>
      <c r="P3394" t="s">
        <v>19900</v>
      </c>
      <c r="Q3394" t="s">
        <v>19900</v>
      </c>
      <c r="R3394" t="s">
        <v>19447</v>
      </c>
      <c r="S3394" t="s">
        <v>19447</v>
      </c>
      <c r="T3394" t="s">
        <v>19901</v>
      </c>
    </row>
    <row r="3395" spans="2:20" x14ac:dyDescent="0.25">
      <c r="B3395" t="s">
        <v>2709</v>
      </c>
      <c r="C3395">
        <v>29372120</v>
      </c>
      <c r="E3395">
        <v>68.819999999999993</v>
      </c>
      <c r="F3395">
        <v>0</v>
      </c>
      <c r="G3395">
        <v>0</v>
      </c>
      <c r="H3395" t="s">
        <v>19447</v>
      </c>
      <c r="I3395" t="s">
        <v>19447</v>
      </c>
      <c r="J3395">
        <v>2</v>
      </c>
      <c r="L3395" t="s">
        <v>2709</v>
      </c>
      <c r="M3395">
        <v>29372120</v>
      </c>
      <c r="O3395" t="s">
        <v>20028</v>
      </c>
      <c r="P3395" t="s">
        <v>19900</v>
      </c>
      <c r="Q3395" t="s">
        <v>19900</v>
      </c>
      <c r="R3395" t="s">
        <v>19447</v>
      </c>
      <c r="S3395" t="s">
        <v>19447</v>
      </c>
      <c r="T3395" t="s">
        <v>19901</v>
      </c>
    </row>
    <row r="3396" spans="2:20" x14ac:dyDescent="0.25">
      <c r="B3396" t="s">
        <v>2709</v>
      </c>
      <c r="C3396">
        <v>29372130</v>
      </c>
      <c r="E3396">
        <v>68.819999999999993</v>
      </c>
      <c r="F3396">
        <v>0</v>
      </c>
      <c r="G3396">
        <v>0</v>
      </c>
      <c r="H3396" t="s">
        <v>19447</v>
      </c>
      <c r="I3396" t="s">
        <v>19447</v>
      </c>
      <c r="J3396">
        <v>2</v>
      </c>
      <c r="L3396" t="s">
        <v>2709</v>
      </c>
      <c r="M3396">
        <v>29372130</v>
      </c>
      <c r="O3396" t="s">
        <v>20028</v>
      </c>
      <c r="P3396" t="s">
        <v>19900</v>
      </c>
      <c r="Q3396" t="s">
        <v>19900</v>
      </c>
      <c r="R3396" t="s">
        <v>19447</v>
      </c>
      <c r="S3396" t="s">
        <v>19447</v>
      </c>
      <c r="T3396" t="s">
        <v>19901</v>
      </c>
    </row>
    <row r="3397" spans="2:20" x14ac:dyDescent="0.25">
      <c r="B3397" t="s">
        <v>2709</v>
      </c>
      <c r="C3397">
        <v>29372140</v>
      </c>
      <c r="E3397">
        <v>68.819999999999993</v>
      </c>
      <c r="F3397">
        <v>0</v>
      </c>
      <c r="G3397">
        <v>0</v>
      </c>
      <c r="H3397" t="s">
        <v>19447</v>
      </c>
      <c r="I3397" t="s">
        <v>19447</v>
      </c>
      <c r="J3397">
        <v>2</v>
      </c>
      <c r="L3397" t="s">
        <v>2709</v>
      </c>
      <c r="M3397">
        <v>29372140</v>
      </c>
      <c r="O3397" t="s">
        <v>20028</v>
      </c>
      <c r="P3397" t="s">
        <v>19900</v>
      </c>
      <c r="Q3397" t="s">
        <v>19900</v>
      </c>
      <c r="R3397" t="s">
        <v>19447</v>
      </c>
      <c r="S3397" t="s">
        <v>19447</v>
      </c>
      <c r="T3397" t="s">
        <v>19901</v>
      </c>
    </row>
    <row r="3398" spans="2:20" x14ac:dyDescent="0.25">
      <c r="B3398" t="s">
        <v>2709</v>
      </c>
      <c r="C3398">
        <v>29372210</v>
      </c>
      <c r="E3398">
        <v>68.819999999999993</v>
      </c>
      <c r="F3398">
        <v>0</v>
      </c>
      <c r="G3398">
        <v>0</v>
      </c>
      <c r="H3398" t="s">
        <v>19447</v>
      </c>
      <c r="I3398" t="s">
        <v>19447</v>
      </c>
      <c r="J3398">
        <v>2</v>
      </c>
      <c r="L3398" t="s">
        <v>2709</v>
      </c>
      <c r="M3398">
        <v>29372210</v>
      </c>
      <c r="O3398" t="s">
        <v>20028</v>
      </c>
      <c r="P3398" t="s">
        <v>19900</v>
      </c>
      <c r="Q3398" t="s">
        <v>19900</v>
      </c>
      <c r="R3398" t="s">
        <v>19447</v>
      </c>
      <c r="S3398" t="s">
        <v>19447</v>
      </c>
      <c r="T3398" t="s">
        <v>19901</v>
      </c>
    </row>
    <row r="3399" spans="2:20" x14ac:dyDescent="0.25">
      <c r="B3399" t="s">
        <v>2709</v>
      </c>
      <c r="C3399">
        <v>29372221</v>
      </c>
      <c r="E3399">
        <v>68.819999999999993</v>
      </c>
      <c r="F3399">
        <v>0</v>
      </c>
      <c r="G3399">
        <v>0</v>
      </c>
      <c r="H3399" t="s">
        <v>19447</v>
      </c>
      <c r="I3399" t="s">
        <v>19447</v>
      </c>
      <c r="J3399">
        <v>2</v>
      </c>
      <c r="L3399" t="s">
        <v>2709</v>
      </c>
      <c r="M3399">
        <v>29372221</v>
      </c>
      <c r="O3399" t="s">
        <v>20028</v>
      </c>
      <c r="P3399" t="s">
        <v>19900</v>
      </c>
      <c r="Q3399" t="s">
        <v>19900</v>
      </c>
      <c r="R3399" t="s">
        <v>19447</v>
      </c>
      <c r="S3399" t="s">
        <v>19447</v>
      </c>
      <c r="T3399" t="s">
        <v>19901</v>
      </c>
    </row>
    <row r="3400" spans="2:20" x14ac:dyDescent="0.25">
      <c r="B3400" t="s">
        <v>2709</v>
      </c>
      <c r="C3400">
        <v>29372229</v>
      </c>
      <c r="E3400">
        <v>68.819999999999993</v>
      </c>
      <c r="F3400">
        <v>0</v>
      </c>
      <c r="G3400">
        <v>0</v>
      </c>
      <c r="H3400" t="s">
        <v>19447</v>
      </c>
      <c r="I3400" t="s">
        <v>19447</v>
      </c>
      <c r="J3400">
        <v>2</v>
      </c>
      <c r="L3400" t="s">
        <v>2709</v>
      </c>
      <c r="M3400">
        <v>29372229</v>
      </c>
      <c r="O3400" t="s">
        <v>20028</v>
      </c>
      <c r="P3400" t="s">
        <v>19900</v>
      </c>
      <c r="Q3400" t="s">
        <v>19900</v>
      </c>
      <c r="R3400" t="s">
        <v>19447</v>
      </c>
      <c r="S3400" t="s">
        <v>19447</v>
      </c>
      <c r="T3400" t="s">
        <v>19901</v>
      </c>
    </row>
    <row r="3401" spans="2:20" x14ac:dyDescent="0.25">
      <c r="B3401" t="s">
        <v>2709</v>
      </c>
      <c r="C3401">
        <v>29372231</v>
      </c>
      <c r="E3401">
        <v>68.819999999999993</v>
      </c>
      <c r="F3401">
        <v>0</v>
      </c>
      <c r="G3401">
        <v>0</v>
      </c>
      <c r="H3401" t="s">
        <v>19447</v>
      </c>
      <c r="I3401" t="s">
        <v>19447</v>
      </c>
      <c r="J3401">
        <v>2</v>
      </c>
      <c r="L3401" t="s">
        <v>2709</v>
      </c>
      <c r="M3401">
        <v>29372231</v>
      </c>
      <c r="O3401" t="s">
        <v>20028</v>
      </c>
      <c r="P3401" t="s">
        <v>19900</v>
      </c>
      <c r="Q3401" t="s">
        <v>19900</v>
      </c>
      <c r="R3401" t="s">
        <v>19447</v>
      </c>
      <c r="S3401" t="s">
        <v>19447</v>
      </c>
      <c r="T3401" t="s">
        <v>19901</v>
      </c>
    </row>
    <row r="3402" spans="2:20" x14ac:dyDescent="0.25">
      <c r="B3402" t="s">
        <v>2709</v>
      </c>
      <c r="C3402">
        <v>29372239</v>
      </c>
      <c r="E3402">
        <v>68.819999999999993</v>
      </c>
      <c r="F3402">
        <v>0</v>
      </c>
      <c r="G3402">
        <v>0</v>
      </c>
      <c r="H3402" t="s">
        <v>19447</v>
      </c>
      <c r="I3402" t="s">
        <v>19447</v>
      </c>
      <c r="J3402">
        <v>2</v>
      </c>
      <c r="L3402" t="s">
        <v>2709</v>
      </c>
      <c r="M3402">
        <v>29372239</v>
      </c>
      <c r="O3402" t="s">
        <v>20028</v>
      </c>
      <c r="P3402" t="s">
        <v>19900</v>
      </c>
      <c r="Q3402" t="s">
        <v>19900</v>
      </c>
      <c r="R3402" t="s">
        <v>19447</v>
      </c>
      <c r="S3402" t="s">
        <v>19447</v>
      </c>
      <c r="T3402" t="s">
        <v>19901</v>
      </c>
    </row>
    <row r="3403" spans="2:20" x14ac:dyDescent="0.25">
      <c r="B3403" t="s">
        <v>2709</v>
      </c>
      <c r="C3403">
        <v>29372290</v>
      </c>
      <c r="E3403">
        <v>68.819999999999993</v>
      </c>
      <c r="F3403">
        <v>0</v>
      </c>
      <c r="G3403">
        <v>0</v>
      </c>
      <c r="H3403" t="s">
        <v>19447</v>
      </c>
      <c r="I3403" t="s">
        <v>19447</v>
      </c>
      <c r="J3403">
        <v>2</v>
      </c>
      <c r="L3403" t="s">
        <v>2709</v>
      </c>
      <c r="M3403">
        <v>29372290</v>
      </c>
      <c r="O3403" t="s">
        <v>20028</v>
      </c>
      <c r="P3403" t="s">
        <v>19900</v>
      </c>
      <c r="Q3403" t="s">
        <v>19900</v>
      </c>
      <c r="R3403" t="s">
        <v>19447</v>
      </c>
      <c r="S3403" t="s">
        <v>19447</v>
      </c>
      <c r="T3403" t="s">
        <v>19901</v>
      </c>
    </row>
    <row r="3404" spans="2:20" x14ac:dyDescent="0.25">
      <c r="B3404" t="s">
        <v>2709</v>
      </c>
      <c r="C3404">
        <v>29372310</v>
      </c>
      <c r="E3404">
        <v>68.819999999999993</v>
      </c>
      <c r="F3404">
        <v>0</v>
      </c>
      <c r="G3404">
        <v>0</v>
      </c>
      <c r="H3404" t="s">
        <v>19447</v>
      </c>
      <c r="I3404" t="s">
        <v>19447</v>
      </c>
      <c r="J3404">
        <v>2</v>
      </c>
      <c r="L3404" t="s">
        <v>2709</v>
      </c>
      <c r="M3404">
        <v>29372310</v>
      </c>
      <c r="O3404" t="s">
        <v>20028</v>
      </c>
      <c r="P3404" t="s">
        <v>19900</v>
      </c>
      <c r="Q3404" t="s">
        <v>19900</v>
      </c>
      <c r="R3404" t="s">
        <v>19447</v>
      </c>
      <c r="S3404" t="s">
        <v>19447</v>
      </c>
      <c r="T3404" t="s">
        <v>19901</v>
      </c>
    </row>
    <row r="3405" spans="2:20" x14ac:dyDescent="0.25">
      <c r="B3405" t="s">
        <v>2709</v>
      </c>
      <c r="C3405">
        <v>29372321</v>
      </c>
      <c r="E3405">
        <v>68.819999999999993</v>
      </c>
      <c r="F3405">
        <v>0</v>
      </c>
      <c r="G3405">
        <v>0</v>
      </c>
      <c r="H3405" t="s">
        <v>19447</v>
      </c>
      <c r="I3405" t="s">
        <v>19447</v>
      </c>
      <c r="J3405">
        <v>2</v>
      </c>
      <c r="L3405" t="s">
        <v>2709</v>
      </c>
      <c r="M3405">
        <v>29372321</v>
      </c>
      <c r="O3405" t="s">
        <v>20028</v>
      </c>
      <c r="P3405" t="s">
        <v>19900</v>
      </c>
      <c r="Q3405" t="s">
        <v>19900</v>
      </c>
      <c r="R3405" t="s">
        <v>19447</v>
      </c>
      <c r="S3405" t="s">
        <v>19447</v>
      </c>
      <c r="T3405" t="s">
        <v>19901</v>
      </c>
    </row>
    <row r="3406" spans="2:20" x14ac:dyDescent="0.25">
      <c r="B3406" t="s">
        <v>2709</v>
      </c>
      <c r="C3406">
        <v>29372322</v>
      </c>
      <c r="E3406">
        <v>68.819999999999993</v>
      </c>
      <c r="F3406">
        <v>0</v>
      </c>
      <c r="G3406">
        <v>0</v>
      </c>
      <c r="H3406" t="s">
        <v>19447</v>
      </c>
      <c r="I3406" t="s">
        <v>19447</v>
      </c>
      <c r="J3406">
        <v>2</v>
      </c>
      <c r="L3406" t="s">
        <v>2709</v>
      </c>
      <c r="M3406">
        <v>29372322</v>
      </c>
      <c r="O3406" t="s">
        <v>20028</v>
      </c>
      <c r="P3406" t="s">
        <v>19900</v>
      </c>
      <c r="Q3406" t="s">
        <v>19900</v>
      </c>
      <c r="R3406" t="s">
        <v>19447</v>
      </c>
      <c r="S3406" t="s">
        <v>19447</v>
      </c>
      <c r="T3406" t="s">
        <v>19901</v>
      </c>
    </row>
    <row r="3407" spans="2:20" x14ac:dyDescent="0.25">
      <c r="B3407" t="s">
        <v>2709</v>
      </c>
      <c r="C3407">
        <v>29372329</v>
      </c>
      <c r="E3407">
        <v>68.819999999999993</v>
      </c>
      <c r="F3407">
        <v>0</v>
      </c>
      <c r="G3407">
        <v>0</v>
      </c>
      <c r="H3407" t="s">
        <v>19447</v>
      </c>
      <c r="I3407" t="s">
        <v>19447</v>
      </c>
      <c r="J3407">
        <v>2</v>
      </c>
      <c r="L3407" t="s">
        <v>2709</v>
      </c>
      <c r="M3407">
        <v>29372329</v>
      </c>
      <c r="O3407" t="s">
        <v>20028</v>
      </c>
      <c r="P3407" t="s">
        <v>19900</v>
      </c>
      <c r="Q3407" t="s">
        <v>19900</v>
      </c>
      <c r="R3407" t="s">
        <v>19447</v>
      </c>
      <c r="S3407" t="s">
        <v>19447</v>
      </c>
      <c r="T3407" t="s">
        <v>19901</v>
      </c>
    </row>
    <row r="3408" spans="2:20" x14ac:dyDescent="0.25">
      <c r="B3408" t="s">
        <v>2709</v>
      </c>
      <c r="C3408">
        <v>29372331</v>
      </c>
      <c r="E3408">
        <v>68.819999999999993</v>
      </c>
      <c r="F3408">
        <v>0</v>
      </c>
      <c r="G3408">
        <v>0</v>
      </c>
      <c r="H3408" t="s">
        <v>19447</v>
      </c>
      <c r="I3408" t="s">
        <v>19447</v>
      </c>
      <c r="J3408">
        <v>12</v>
      </c>
      <c r="L3408" t="s">
        <v>2709</v>
      </c>
      <c r="M3408">
        <v>29372331</v>
      </c>
      <c r="O3408" t="s">
        <v>20028</v>
      </c>
      <c r="P3408" t="s">
        <v>19900</v>
      </c>
      <c r="Q3408" t="s">
        <v>19900</v>
      </c>
      <c r="R3408" t="s">
        <v>19447</v>
      </c>
      <c r="S3408" t="s">
        <v>19447</v>
      </c>
      <c r="T3408" t="s">
        <v>19903</v>
      </c>
    </row>
    <row r="3409" spans="2:20" x14ac:dyDescent="0.25">
      <c r="B3409" t="s">
        <v>2709</v>
      </c>
      <c r="C3409">
        <v>29372339</v>
      </c>
      <c r="E3409">
        <v>68.819999999999993</v>
      </c>
      <c r="F3409">
        <v>0</v>
      </c>
      <c r="G3409">
        <v>0</v>
      </c>
      <c r="H3409" t="s">
        <v>19447</v>
      </c>
      <c r="I3409" t="s">
        <v>19447</v>
      </c>
      <c r="J3409">
        <v>2</v>
      </c>
      <c r="L3409" t="s">
        <v>2709</v>
      </c>
      <c r="M3409">
        <v>29372339</v>
      </c>
      <c r="O3409" t="s">
        <v>20028</v>
      </c>
      <c r="P3409" t="s">
        <v>19900</v>
      </c>
      <c r="Q3409" t="s">
        <v>19900</v>
      </c>
      <c r="R3409" t="s">
        <v>19447</v>
      </c>
      <c r="S3409" t="s">
        <v>19447</v>
      </c>
      <c r="T3409" t="s">
        <v>19901</v>
      </c>
    </row>
    <row r="3410" spans="2:20" x14ac:dyDescent="0.25">
      <c r="B3410" t="s">
        <v>2709</v>
      </c>
      <c r="C3410">
        <v>29372341</v>
      </c>
      <c r="E3410">
        <v>68.819999999999993</v>
      </c>
      <c r="F3410">
        <v>0</v>
      </c>
      <c r="G3410">
        <v>0</v>
      </c>
      <c r="H3410" t="s">
        <v>19447</v>
      </c>
      <c r="I3410" t="s">
        <v>19447</v>
      </c>
      <c r="J3410">
        <v>14</v>
      </c>
      <c r="L3410" t="s">
        <v>2709</v>
      </c>
      <c r="M3410">
        <v>29372341</v>
      </c>
      <c r="O3410" t="s">
        <v>20028</v>
      </c>
      <c r="P3410" t="s">
        <v>19900</v>
      </c>
      <c r="Q3410" t="s">
        <v>19900</v>
      </c>
      <c r="R3410" t="s">
        <v>19447</v>
      </c>
      <c r="S3410" t="s">
        <v>19447</v>
      </c>
      <c r="T3410" t="s">
        <v>19911</v>
      </c>
    </row>
    <row r="3411" spans="2:20" x14ac:dyDescent="0.25">
      <c r="B3411" t="s">
        <v>2709</v>
      </c>
      <c r="C3411">
        <v>29372342</v>
      </c>
      <c r="E3411">
        <v>68.819999999999993</v>
      </c>
      <c r="F3411">
        <v>0</v>
      </c>
      <c r="G3411">
        <v>0</v>
      </c>
      <c r="H3411" t="s">
        <v>19447</v>
      </c>
      <c r="I3411" t="s">
        <v>19447</v>
      </c>
      <c r="J3411">
        <v>14</v>
      </c>
      <c r="L3411" t="s">
        <v>2709</v>
      </c>
      <c r="M3411">
        <v>29372342</v>
      </c>
      <c r="O3411" t="s">
        <v>20028</v>
      </c>
      <c r="P3411" t="s">
        <v>19900</v>
      </c>
      <c r="Q3411" t="s">
        <v>19900</v>
      </c>
      <c r="R3411" t="s">
        <v>19447</v>
      </c>
      <c r="S3411" t="s">
        <v>19447</v>
      </c>
      <c r="T3411" t="s">
        <v>19911</v>
      </c>
    </row>
    <row r="3412" spans="2:20" x14ac:dyDescent="0.25">
      <c r="B3412" t="s">
        <v>2709</v>
      </c>
      <c r="C3412">
        <v>29372349</v>
      </c>
      <c r="E3412">
        <v>68.819999999999993</v>
      </c>
      <c r="F3412">
        <v>0</v>
      </c>
      <c r="G3412">
        <v>0</v>
      </c>
      <c r="H3412" t="s">
        <v>19447</v>
      </c>
      <c r="I3412" t="s">
        <v>19447</v>
      </c>
      <c r="J3412">
        <v>2</v>
      </c>
      <c r="L3412" t="s">
        <v>2709</v>
      </c>
      <c r="M3412">
        <v>29372349</v>
      </c>
      <c r="O3412" t="s">
        <v>20028</v>
      </c>
      <c r="P3412" t="s">
        <v>19900</v>
      </c>
      <c r="Q3412" t="s">
        <v>19900</v>
      </c>
      <c r="R3412" t="s">
        <v>19447</v>
      </c>
      <c r="S3412" t="s">
        <v>19447</v>
      </c>
      <c r="T3412" t="s">
        <v>19901</v>
      </c>
    </row>
    <row r="3413" spans="2:20" x14ac:dyDescent="0.25">
      <c r="B3413" t="s">
        <v>2709</v>
      </c>
      <c r="C3413">
        <v>29372351</v>
      </c>
      <c r="E3413">
        <v>68.819999999999993</v>
      </c>
      <c r="F3413">
        <v>0</v>
      </c>
      <c r="G3413">
        <v>0</v>
      </c>
      <c r="H3413" t="s">
        <v>19447</v>
      </c>
      <c r="I3413" t="s">
        <v>19447</v>
      </c>
      <c r="J3413">
        <v>12</v>
      </c>
      <c r="L3413" t="s">
        <v>2709</v>
      </c>
      <c r="M3413">
        <v>29372351</v>
      </c>
      <c r="O3413" t="s">
        <v>20028</v>
      </c>
      <c r="P3413" t="s">
        <v>19900</v>
      </c>
      <c r="Q3413" t="s">
        <v>19900</v>
      </c>
      <c r="R3413" t="s">
        <v>19447</v>
      </c>
      <c r="S3413" t="s">
        <v>19447</v>
      </c>
      <c r="T3413" t="s">
        <v>19903</v>
      </c>
    </row>
    <row r="3414" spans="2:20" x14ac:dyDescent="0.25">
      <c r="B3414" t="s">
        <v>2709</v>
      </c>
      <c r="C3414">
        <v>29372359</v>
      </c>
      <c r="E3414">
        <v>68.819999999999993</v>
      </c>
      <c r="F3414">
        <v>0</v>
      </c>
      <c r="G3414">
        <v>0</v>
      </c>
      <c r="H3414" t="s">
        <v>19447</v>
      </c>
      <c r="I3414" t="s">
        <v>19447</v>
      </c>
      <c r="J3414">
        <v>2</v>
      </c>
      <c r="L3414" t="s">
        <v>2709</v>
      </c>
      <c r="M3414">
        <v>29372359</v>
      </c>
      <c r="O3414" t="s">
        <v>20028</v>
      </c>
      <c r="P3414" t="s">
        <v>19900</v>
      </c>
      <c r="Q3414" t="s">
        <v>19900</v>
      </c>
      <c r="R3414" t="s">
        <v>19447</v>
      </c>
      <c r="S3414" t="s">
        <v>19447</v>
      </c>
      <c r="T3414" t="s">
        <v>19901</v>
      </c>
    </row>
    <row r="3415" spans="2:20" x14ac:dyDescent="0.25">
      <c r="B3415" t="s">
        <v>2709</v>
      </c>
      <c r="C3415">
        <v>29372360</v>
      </c>
      <c r="E3415">
        <v>68.819999999999993</v>
      </c>
      <c r="F3415">
        <v>0</v>
      </c>
      <c r="G3415">
        <v>0</v>
      </c>
      <c r="H3415" t="s">
        <v>19447</v>
      </c>
      <c r="I3415" t="s">
        <v>19447</v>
      </c>
      <c r="J3415">
        <v>12</v>
      </c>
      <c r="L3415" t="s">
        <v>2709</v>
      </c>
      <c r="M3415">
        <v>29372360</v>
      </c>
      <c r="O3415" t="s">
        <v>20028</v>
      </c>
      <c r="P3415" t="s">
        <v>19900</v>
      </c>
      <c r="Q3415" t="s">
        <v>19900</v>
      </c>
      <c r="R3415" t="s">
        <v>19447</v>
      </c>
      <c r="S3415" t="s">
        <v>19447</v>
      </c>
      <c r="T3415" t="s">
        <v>19903</v>
      </c>
    </row>
    <row r="3416" spans="2:20" x14ac:dyDescent="0.25">
      <c r="B3416" t="s">
        <v>2709</v>
      </c>
      <c r="C3416">
        <v>29372370</v>
      </c>
      <c r="E3416">
        <v>68.819999999999993</v>
      </c>
      <c r="F3416">
        <v>0</v>
      </c>
      <c r="G3416">
        <v>0</v>
      </c>
      <c r="H3416" t="s">
        <v>19447</v>
      </c>
      <c r="I3416" t="s">
        <v>19447</v>
      </c>
      <c r="J3416">
        <v>12</v>
      </c>
      <c r="L3416" t="s">
        <v>2709</v>
      </c>
      <c r="M3416">
        <v>29372370</v>
      </c>
      <c r="O3416" t="s">
        <v>20028</v>
      </c>
      <c r="P3416" t="s">
        <v>19900</v>
      </c>
      <c r="Q3416" t="s">
        <v>19900</v>
      </c>
      <c r="R3416" t="s">
        <v>19447</v>
      </c>
      <c r="S3416" t="s">
        <v>19447</v>
      </c>
      <c r="T3416" t="s">
        <v>19903</v>
      </c>
    </row>
    <row r="3417" spans="2:20" x14ac:dyDescent="0.25">
      <c r="B3417" t="s">
        <v>2709</v>
      </c>
      <c r="C3417">
        <v>29372391</v>
      </c>
      <c r="E3417">
        <v>68.819999999999993</v>
      </c>
      <c r="F3417">
        <v>0</v>
      </c>
      <c r="G3417">
        <v>0</v>
      </c>
      <c r="H3417" t="s">
        <v>19447</v>
      </c>
      <c r="I3417" t="s">
        <v>19447</v>
      </c>
      <c r="J3417">
        <v>2</v>
      </c>
      <c r="L3417" t="s">
        <v>2709</v>
      </c>
      <c r="M3417">
        <v>29372391</v>
      </c>
      <c r="O3417" t="s">
        <v>20028</v>
      </c>
      <c r="P3417" t="s">
        <v>19900</v>
      </c>
      <c r="Q3417" t="s">
        <v>19900</v>
      </c>
      <c r="R3417" t="s">
        <v>19447</v>
      </c>
      <c r="S3417" t="s">
        <v>19447</v>
      </c>
      <c r="T3417" t="s">
        <v>19901</v>
      </c>
    </row>
    <row r="3418" spans="2:20" x14ac:dyDescent="0.25">
      <c r="B3418" t="s">
        <v>2709</v>
      </c>
      <c r="C3418">
        <v>29372392</v>
      </c>
      <c r="E3418">
        <v>68.819999999999993</v>
      </c>
      <c r="F3418">
        <v>0</v>
      </c>
      <c r="G3418">
        <v>0</v>
      </c>
      <c r="H3418" t="s">
        <v>19447</v>
      </c>
      <c r="I3418" t="s">
        <v>19447</v>
      </c>
      <c r="J3418">
        <v>14</v>
      </c>
      <c r="L3418" t="s">
        <v>2709</v>
      </c>
      <c r="M3418">
        <v>29372392</v>
      </c>
      <c r="O3418" t="s">
        <v>20028</v>
      </c>
      <c r="P3418" t="s">
        <v>19900</v>
      </c>
      <c r="Q3418" t="s">
        <v>19900</v>
      </c>
      <c r="R3418" t="s">
        <v>19447</v>
      </c>
      <c r="S3418" t="s">
        <v>19447</v>
      </c>
      <c r="T3418" t="s">
        <v>19911</v>
      </c>
    </row>
    <row r="3419" spans="2:20" x14ac:dyDescent="0.25">
      <c r="B3419" t="s">
        <v>2709</v>
      </c>
      <c r="C3419">
        <v>29372399</v>
      </c>
      <c r="E3419">
        <v>68.819999999999993</v>
      </c>
      <c r="F3419">
        <v>0</v>
      </c>
      <c r="G3419">
        <v>0</v>
      </c>
      <c r="H3419" t="s">
        <v>19447</v>
      </c>
      <c r="I3419" t="s">
        <v>19447</v>
      </c>
      <c r="J3419">
        <v>2</v>
      </c>
      <c r="L3419" t="s">
        <v>2709</v>
      </c>
      <c r="M3419">
        <v>29372399</v>
      </c>
      <c r="O3419" t="s">
        <v>20028</v>
      </c>
      <c r="P3419" t="s">
        <v>19900</v>
      </c>
      <c r="Q3419" t="s">
        <v>19900</v>
      </c>
      <c r="R3419" t="s">
        <v>19447</v>
      </c>
      <c r="S3419" t="s">
        <v>19447</v>
      </c>
      <c r="T3419" t="s">
        <v>19901</v>
      </c>
    </row>
    <row r="3420" spans="2:20" x14ac:dyDescent="0.25">
      <c r="B3420" t="s">
        <v>2709</v>
      </c>
      <c r="C3420">
        <v>29372910</v>
      </c>
      <c r="E3420">
        <v>68.819999999999993</v>
      </c>
      <c r="F3420">
        <v>0</v>
      </c>
      <c r="G3420">
        <v>0</v>
      </c>
      <c r="H3420" t="s">
        <v>19447</v>
      </c>
      <c r="I3420" t="s">
        <v>19447</v>
      </c>
      <c r="J3420">
        <v>2</v>
      </c>
      <c r="L3420" t="s">
        <v>2709</v>
      </c>
      <c r="M3420">
        <v>29372910</v>
      </c>
      <c r="O3420" t="s">
        <v>20028</v>
      </c>
      <c r="P3420" t="s">
        <v>19900</v>
      </c>
      <c r="Q3420" t="s">
        <v>19900</v>
      </c>
      <c r="R3420" t="s">
        <v>19447</v>
      </c>
      <c r="S3420" t="s">
        <v>19447</v>
      </c>
      <c r="T3420" t="s">
        <v>19901</v>
      </c>
    </row>
    <row r="3421" spans="2:20" x14ac:dyDescent="0.25">
      <c r="B3421" t="s">
        <v>2709</v>
      </c>
      <c r="C3421">
        <v>29372920</v>
      </c>
      <c r="E3421">
        <v>68.819999999999993</v>
      </c>
      <c r="F3421">
        <v>0</v>
      </c>
      <c r="G3421">
        <v>0</v>
      </c>
      <c r="H3421" t="s">
        <v>19447</v>
      </c>
      <c r="I3421" t="s">
        <v>19447</v>
      </c>
      <c r="J3421">
        <v>2</v>
      </c>
      <c r="L3421" t="s">
        <v>2709</v>
      </c>
      <c r="M3421">
        <v>29372920</v>
      </c>
      <c r="O3421" t="s">
        <v>20028</v>
      </c>
      <c r="P3421" t="s">
        <v>19900</v>
      </c>
      <c r="Q3421" t="s">
        <v>19900</v>
      </c>
      <c r="R3421" t="s">
        <v>19447</v>
      </c>
      <c r="S3421" t="s">
        <v>19447</v>
      </c>
      <c r="T3421" t="s">
        <v>19901</v>
      </c>
    </row>
    <row r="3422" spans="2:20" x14ac:dyDescent="0.25">
      <c r="B3422" t="s">
        <v>2709</v>
      </c>
      <c r="C3422">
        <v>29372931</v>
      </c>
      <c r="E3422">
        <v>68.819999999999993</v>
      </c>
      <c r="F3422">
        <v>0</v>
      </c>
      <c r="G3422">
        <v>0</v>
      </c>
      <c r="H3422" t="s">
        <v>19447</v>
      </c>
      <c r="I3422" t="s">
        <v>19447</v>
      </c>
      <c r="J3422">
        <v>2</v>
      </c>
      <c r="L3422" t="s">
        <v>2709</v>
      </c>
      <c r="M3422">
        <v>29372931</v>
      </c>
      <c r="O3422" t="s">
        <v>20028</v>
      </c>
      <c r="P3422" t="s">
        <v>19900</v>
      </c>
      <c r="Q3422" t="s">
        <v>19900</v>
      </c>
      <c r="R3422" t="s">
        <v>19447</v>
      </c>
      <c r="S3422" t="s">
        <v>19447</v>
      </c>
      <c r="T3422" t="s">
        <v>19901</v>
      </c>
    </row>
    <row r="3423" spans="2:20" x14ac:dyDescent="0.25">
      <c r="B3423" t="s">
        <v>2709</v>
      </c>
      <c r="C3423">
        <v>29372939</v>
      </c>
      <c r="E3423">
        <v>68.819999999999993</v>
      </c>
      <c r="F3423">
        <v>0</v>
      </c>
      <c r="G3423">
        <v>0</v>
      </c>
      <c r="H3423" t="s">
        <v>19447</v>
      </c>
      <c r="I3423" t="s">
        <v>19447</v>
      </c>
      <c r="J3423">
        <v>2</v>
      </c>
      <c r="L3423" t="s">
        <v>2709</v>
      </c>
      <c r="M3423">
        <v>29372939</v>
      </c>
      <c r="O3423" t="s">
        <v>20028</v>
      </c>
      <c r="P3423" t="s">
        <v>19900</v>
      </c>
      <c r="Q3423" t="s">
        <v>19900</v>
      </c>
      <c r="R3423" t="s">
        <v>19447</v>
      </c>
      <c r="S3423" t="s">
        <v>19447</v>
      </c>
      <c r="T3423" t="s">
        <v>19901</v>
      </c>
    </row>
    <row r="3424" spans="2:20" x14ac:dyDescent="0.25">
      <c r="B3424" t="s">
        <v>2709</v>
      </c>
      <c r="C3424">
        <v>29372940</v>
      </c>
      <c r="E3424">
        <v>68.819999999999993</v>
      </c>
      <c r="F3424">
        <v>0</v>
      </c>
      <c r="G3424">
        <v>0</v>
      </c>
      <c r="H3424" t="s">
        <v>19447</v>
      </c>
      <c r="I3424" t="s">
        <v>19447</v>
      </c>
      <c r="J3424">
        <v>2</v>
      </c>
      <c r="L3424" t="s">
        <v>2709</v>
      </c>
      <c r="M3424">
        <v>29372940</v>
      </c>
      <c r="O3424" t="s">
        <v>20028</v>
      </c>
      <c r="P3424" t="s">
        <v>19900</v>
      </c>
      <c r="Q3424" t="s">
        <v>19900</v>
      </c>
      <c r="R3424" t="s">
        <v>19447</v>
      </c>
      <c r="S3424" t="s">
        <v>19447</v>
      </c>
      <c r="T3424" t="s">
        <v>19901</v>
      </c>
    </row>
    <row r="3425" spans="2:20" x14ac:dyDescent="0.25">
      <c r="B3425" t="s">
        <v>2709</v>
      </c>
      <c r="C3425">
        <v>29372950</v>
      </c>
      <c r="E3425">
        <v>68.819999999999993</v>
      </c>
      <c r="F3425">
        <v>0</v>
      </c>
      <c r="G3425">
        <v>0</v>
      </c>
      <c r="H3425" t="s">
        <v>19447</v>
      </c>
      <c r="I3425" t="s">
        <v>19447</v>
      </c>
      <c r="J3425">
        <v>14</v>
      </c>
      <c r="L3425" t="s">
        <v>2709</v>
      </c>
      <c r="M3425">
        <v>29372950</v>
      </c>
      <c r="O3425" t="s">
        <v>20028</v>
      </c>
      <c r="P3425" t="s">
        <v>19900</v>
      </c>
      <c r="Q3425" t="s">
        <v>19900</v>
      </c>
      <c r="R3425" t="s">
        <v>19447</v>
      </c>
      <c r="S3425" t="s">
        <v>19447</v>
      </c>
      <c r="T3425" t="s">
        <v>19911</v>
      </c>
    </row>
    <row r="3426" spans="2:20" x14ac:dyDescent="0.25">
      <c r="B3426" t="s">
        <v>2709</v>
      </c>
      <c r="C3426">
        <v>29372960</v>
      </c>
      <c r="E3426">
        <v>68.819999999999993</v>
      </c>
      <c r="F3426">
        <v>0</v>
      </c>
      <c r="G3426">
        <v>0</v>
      </c>
      <c r="H3426" t="s">
        <v>19447</v>
      </c>
      <c r="I3426" t="s">
        <v>19447</v>
      </c>
      <c r="J3426">
        <v>2</v>
      </c>
      <c r="L3426" t="s">
        <v>2709</v>
      </c>
      <c r="M3426">
        <v>29372960</v>
      </c>
      <c r="O3426" t="s">
        <v>20028</v>
      </c>
      <c r="P3426" t="s">
        <v>19900</v>
      </c>
      <c r="Q3426" t="s">
        <v>19900</v>
      </c>
      <c r="R3426" t="s">
        <v>19447</v>
      </c>
      <c r="S3426" t="s">
        <v>19447</v>
      </c>
      <c r="T3426" t="s">
        <v>19901</v>
      </c>
    </row>
    <row r="3427" spans="2:20" x14ac:dyDescent="0.25">
      <c r="B3427" t="s">
        <v>2709</v>
      </c>
      <c r="C3427">
        <v>29372990</v>
      </c>
      <c r="E3427">
        <v>68.819999999999993</v>
      </c>
      <c r="F3427">
        <v>0</v>
      </c>
      <c r="G3427">
        <v>0</v>
      </c>
      <c r="H3427" t="s">
        <v>19447</v>
      </c>
      <c r="I3427" t="s">
        <v>19447</v>
      </c>
      <c r="J3427">
        <v>2</v>
      </c>
      <c r="L3427" t="s">
        <v>2709</v>
      </c>
      <c r="M3427">
        <v>29372990</v>
      </c>
      <c r="O3427" t="s">
        <v>20028</v>
      </c>
      <c r="P3427" t="s">
        <v>19900</v>
      </c>
      <c r="Q3427" t="s">
        <v>19900</v>
      </c>
      <c r="R3427" t="s">
        <v>19447</v>
      </c>
      <c r="S3427" t="s">
        <v>19447</v>
      </c>
      <c r="T3427" t="s">
        <v>19901</v>
      </c>
    </row>
    <row r="3428" spans="2:20" x14ac:dyDescent="0.25">
      <c r="B3428" t="s">
        <v>2709</v>
      </c>
      <c r="C3428">
        <v>29375000</v>
      </c>
      <c r="E3428">
        <v>68.819999999999993</v>
      </c>
      <c r="F3428">
        <v>0</v>
      </c>
      <c r="G3428">
        <v>0</v>
      </c>
      <c r="H3428" t="s">
        <v>19447</v>
      </c>
      <c r="I3428" t="s">
        <v>19447</v>
      </c>
      <c r="J3428">
        <v>2</v>
      </c>
      <c r="L3428" t="s">
        <v>2709</v>
      </c>
      <c r="M3428">
        <v>29375000</v>
      </c>
      <c r="O3428" t="s">
        <v>20028</v>
      </c>
      <c r="P3428" t="s">
        <v>19900</v>
      </c>
      <c r="Q3428" t="s">
        <v>19900</v>
      </c>
      <c r="R3428" t="s">
        <v>19447</v>
      </c>
      <c r="S3428" t="s">
        <v>19447</v>
      </c>
      <c r="T3428" t="s">
        <v>19901</v>
      </c>
    </row>
    <row r="3429" spans="2:20" x14ac:dyDescent="0.25">
      <c r="B3429" t="s">
        <v>2709</v>
      </c>
      <c r="C3429">
        <v>29379010</v>
      </c>
      <c r="E3429">
        <v>68.819999999999993</v>
      </c>
      <c r="F3429">
        <v>0</v>
      </c>
      <c r="G3429">
        <v>0</v>
      </c>
      <c r="H3429" t="s">
        <v>19447</v>
      </c>
      <c r="I3429" t="s">
        <v>19447</v>
      </c>
      <c r="J3429">
        <v>14</v>
      </c>
      <c r="L3429" t="s">
        <v>2709</v>
      </c>
      <c r="M3429">
        <v>29379010</v>
      </c>
      <c r="O3429" t="s">
        <v>20028</v>
      </c>
      <c r="P3429" t="s">
        <v>19900</v>
      </c>
      <c r="Q3429" t="s">
        <v>19900</v>
      </c>
      <c r="R3429" t="s">
        <v>19447</v>
      </c>
      <c r="S3429" t="s">
        <v>19447</v>
      </c>
      <c r="T3429" t="s">
        <v>19911</v>
      </c>
    </row>
    <row r="3430" spans="2:20" x14ac:dyDescent="0.25">
      <c r="B3430" t="s">
        <v>2709</v>
      </c>
      <c r="C3430">
        <v>29379030</v>
      </c>
      <c r="E3430">
        <v>68.819999999999993</v>
      </c>
      <c r="F3430">
        <v>0</v>
      </c>
      <c r="G3430">
        <v>0</v>
      </c>
      <c r="H3430" t="s">
        <v>19447</v>
      </c>
      <c r="I3430" t="s">
        <v>19447</v>
      </c>
      <c r="J3430">
        <v>12</v>
      </c>
      <c r="L3430" t="s">
        <v>2709</v>
      </c>
      <c r="M3430">
        <v>29379030</v>
      </c>
      <c r="O3430" t="s">
        <v>20028</v>
      </c>
      <c r="P3430" t="s">
        <v>19900</v>
      </c>
      <c r="Q3430" t="s">
        <v>19900</v>
      </c>
      <c r="R3430" t="s">
        <v>19447</v>
      </c>
      <c r="S3430" t="s">
        <v>19447</v>
      </c>
      <c r="T3430" t="s">
        <v>19903</v>
      </c>
    </row>
    <row r="3431" spans="2:20" x14ac:dyDescent="0.25">
      <c r="B3431" t="s">
        <v>2709</v>
      </c>
      <c r="C3431">
        <v>29379040</v>
      </c>
      <c r="E3431">
        <v>68.819999999999993</v>
      </c>
      <c r="F3431">
        <v>0</v>
      </c>
      <c r="G3431">
        <v>0</v>
      </c>
      <c r="H3431" t="s">
        <v>19447</v>
      </c>
      <c r="I3431" t="s">
        <v>19447</v>
      </c>
      <c r="J3431">
        <v>12</v>
      </c>
      <c r="L3431" t="s">
        <v>2709</v>
      </c>
      <c r="M3431">
        <v>29379040</v>
      </c>
      <c r="O3431" t="s">
        <v>20028</v>
      </c>
      <c r="P3431" t="s">
        <v>19900</v>
      </c>
      <c r="Q3431" t="s">
        <v>19900</v>
      </c>
      <c r="R3431" t="s">
        <v>19447</v>
      </c>
      <c r="S3431" t="s">
        <v>19447</v>
      </c>
      <c r="T3431" t="s">
        <v>19903</v>
      </c>
    </row>
    <row r="3432" spans="2:20" x14ac:dyDescent="0.25">
      <c r="B3432" t="s">
        <v>2709</v>
      </c>
      <c r="C3432">
        <v>29379090</v>
      </c>
      <c r="E3432">
        <v>68.819999999999993</v>
      </c>
      <c r="F3432">
        <v>0</v>
      </c>
      <c r="G3432">
        <v>0</v>
      </c>
      <c r="H3432" t="s">
        <v>19447</v>
      </c>
      <c r="I3432" t="s">
        <v>19447</v>
      </c>
      <c r="J3432">
        <v>2</v>
      </c>
      <c r="L3432" t="s">
        <v>2709</v>
      </c>
      <c r="M3432">
        <v>29379090</v>
      </c>
      <c r="O3432" t="s">
        <v>20028</v>
      </c>
      <c r="P3432" t="s">
        <v>19900</v>
      </c>
      <c r="Q3432" t="s">
        <v>19900</v>
      </c>
      <c r="R3432" t="s">
        <v>19447</v>
      </c>
      <c r="S3432" t="s">
        <v>19447</v>
      </c>
      <c r="T3432" t="s">
        <v>19901</v>
      </c>
    </row>
    <row r="3433" spans="2:20" x14ac:dyDescent="0.25">
      <c r="B3433" t="s">
        <v>2709</v>
      </c>
      <c r="C3433">
        <v>29381000</v>
      </c>
      <c r="E3433">
        <v>68.819999999999993</v>
      </c>
      <c r="F3433">
        <v>0</v>
      </c>
      <c r="G3433">
        <v>0</v>
      </c>
      <c r="H3433" t="s">
        <v>19447</v>
      </c>
      <c r="I3433" t="s">
        <v>19447</v>
      </c>
      <c r="J3433">
        <v>12</v>
      </c>
      <c r="L3433" t="s">
        <v>2709</v>
      </c>
      <c r="M3433">
        <v>29381000</v>
      </c>
      <c r="O3433" t="s">
        <v>20028</v>
      </c>
      <c r="P3433" t="s">
        <v>19900</v>
      </c>
      <c r="Q3433" t="s">
        <v>19900</v>
      </c>
      <c r="R3433" t="s">
        <v>19447</v>
      </c>
      <c r="S3433" t="s">
        <v>19447</v>
      </c>
      <c r="T3433" t="s">
        <v>19903</v>
      </c>
    </row>
    <row r="3434" spans="2:20" x14ac:dyDescent="0.25">
      <c r="B3434" t="s">
        <v>2709</v>
      </c>
      <c r="C3434">
        <v>29389010</v>
      </c>
      <c r="E3434">
        <v>68.819999999999993</v>
      </c>
      <c r="F3434">
        <v>0</v>
      </c>
      <c r="G3434">
        <v>0</v>
      </c>
      <c r="H3434" t="s">
        <v>19447</v>
      </c>
      <c r="I3434" t="s">
        <v>19447</v>
      </c>
      <c r="J3434">
        <v>2</v>
      </c>
      <c r="L3434" t="s">
        <v>2709</v>
      </c>
      <c r="M3434">
        <v>29389010</v>
      </c>
      <c r="O3434" t="s">
        <v>20028</v>
      </c>
      <c r="P3434" t="s">
        <v>19900</v>
      </c>
      <c r="Q3434" t="s">
        <v>19900</v>
      </c>
      <c r="R3434" t="s">
        <v>19447</v>
      </c>
      <c r="S3434" t="s">
        <v>19447</v>
      </c>
      <c r="T3434" t="s">
        <v>19901</v>
      </c>
    </row>
    <row r="3435" spans="2:20" x14ac:dyDescent="0.25">
      <c r="B3435" t="s">
        <v>2709</v>
      </c>
      <c r="C3435">
        <v>29389020</v>
      </c>
      <c r="E3435">
        <v>68.819999999999993</v>
      </c>
      <c r="F3435">
        <v>0</v>
      </c>
      <c r="G3435">
        <v>0</v>
      </c>
      <c r="H3435" t="s">
        <v>19447</v>
      </c>
      <c r="I3435" t="s">
        <v>19447</v>
      </c>
      <c r="J3435">
        <v>14</v>
      </c>
      <c r="L3435" t="s">
        <v>2709</v>
      </c>
      <c r="M3435">
        <v>29389020</v>
      </c>
      <c r="O3435" t="s">
        <v>20028</v>
      </c>
      <c r="P3435" t="s">
        <v>19900</v>
      </c>
      <c r="Q3435" t="s">
        <v>19900</v>
      </c>
      <c r="R3435" t="s">
        <v>19447</v>
      </c>
      <c r="S3435" t="s">
        <v>19447</v>
      </c>
      <c r="T3435" t="s">
        <v>19911</v>
      </c>
    </row>
    <row r="3436" spans="2:20" x14ac:dyDescent="0.25">
      <c r="B3436" t="s">
        <v>2709</v>
      </c>
      <c r="C3436">
        <v>29389090</v>
      </c>
      <c r="E3436">
        <v>68.819999999999993</v>
      </c>
      <c r="F3436">
        <v>0</v>
      </c>
      <c r="G3436">
        <v>0</v>
      </c>
      <c r="H3436" t="s">
        <v>19447</v>
      </c>
      <c r="I3436" t="s">
        <v>19447</v>
      </c>
      <c r="J3436">
        <v>2</v>
      </c>
      <c r="L3436" t="s">
        <v>2709</v>
      </c>
      <c r="M3436">
        <v>29389090</v>
      </c>
      <c r="O3436" t="s">
        <v>20028</v>
      </c>
      <c r="P3436" t="s">
        <v>19900</v>
      </c>
      <c r="Q3436" t="s">
        <v>19900</v>
      </c>
      <c r="R3436" t="s">
        <v>19447</v>
      </c>
      <c r="S3436" t="s">
        <v>19447</v>
      </c>
      <c r="T3436" t="s">
        <v>19901</v>
      </c>
    </row>
    <row r="3437" spans="2:20" x14ac:dyDescent="0.25">
      <c r="B3437" t="s">
        <v>2709</v>
      </c>
      <c r="C3437">
        <v>29391110</v>
      </c>
      <c r="E3437">
        <v>68.819999999999993</v>
      </c>
      <c r="F3437">
        <v>0</v>
      </c>
      <c r="G3437">
        <v>0</v>
      </c>
      <c r="H3437" t="s">
        <v>19447</v>
      </c>
      <c r="I3437" t="s">
        <v>19447</v>
      </c>
      <c r="J3437">
        <v>2</v>
      </c>
      <c r="L3437" t="s">
        <v>2709</v>
      </c>
      <c r="M3437">
        <v>29391110</v>
      </c>
      <c r="O3437" t="s">
        <v>20028</v>
      </c>
      <c r="P3437" t="s">
        <v>19900</v>
      </c>
      <c r="Q3437" t="s">
        <v>19900</v>
      </c>
      <c r="R3437" t="s">
        <v>19447</v>
      </c>
      <c r="S3437" t="s">
        <v>19447</v>
      </c>
      <c r="T3437" t="s">
        <v>19901</v>
      </c>
    </row>
    <row r="3438" spans="2:20" x14ac:dyDescent="0.25">
      <c r="B3438" t="s">
        <v>2709</v>
      </c>
      <c r="C3438">
        <v>29391121</v>
      </c>
      <c r="E3438">
        <v>68.819999999999993</v>
      </c>
      <c r="F3438">
        <v>0</v>
      </c>
      <c r="G3438">
        <v>0</v>
      </c>
      <c r="H3438" t="s">
        <v>19447</v>
      </c>
      <c r="I3438" t="s">
        <v>19447</v>
      </c>
      <c r="J3438">
        <v>2</v>
      </c>
      <c r="L3438" t="s">
        <v>2709</v>
      </c>
      <c r="M3438">
        <v>29391121</v>
      </c>
      <c r="O3438" t="s">
        <v>20028</v>
      </c>
      <c r="P3438" t="s">
        <v>19900</v>
      </c>
      <c r="Q3438" t="s">
        <v>19900</v>
      </c>
      <c r="R3438" t="s">
        <v>19447</v>
      </c>
      <c r="S3438" t="s">
        <v>19447</v>
      </c>
      <c r="T3438" t="s">
        <v>19901</v>
      </c>
    </row>
    <row r="3439" spans="2:20" x14ac:dyDescent="0.25">
      <c r="B3439" t="s">
        <v>2709</v>
      </c>
      <c r="C3439">
        <v>29391122</v>
      </c>
      <c r="E3439">
        <v>68.819999999999993</v>
      </c>
      <c r="F3439">
        <v>0</v>
      </c>
      <c r="G3439">
        <v>0</v>
      </c>
      <c r="H3439" t="s">
        <v>19447</v>
      </c>
      <c r="I3439" t="s">
        <v>19447</v>
      </c>
      <c r="J3439">
        <v>12</v>
      </c>
      <c r="L3439" t="s">
        <v>2709</v>
      </c>
      <c r="M3439">
        <v>29391122</v>
      </c>
      <c r="O3439" t="s">
        <v>20028</v>
      </c>
      <c r="P3439" t="s">
        <v>19900</v>
      </c>
      <c r="Q3439" t="s">
        <v>19900</v>
      </c>
      <c r="R3439" t="s">
        <v>19447</v>
      </c>
      <c r="S3439" t="s">
        <v>19447</v>
      </c>
      <c r="T3439" t="s">
        <v>19903</v>
      </c>
    </row>
    <row r="3440" spans="2:20" x14ac:dyDescent="0.25">
      <c r="B3440" t="s">
        <v>2709</v>
      </c>
      <c r="C3440">
        <v>29391123</v>
      </c>
      <c r="E3440">
        <v>68.819999999999993</v>
      </c>
      <c r="F3440">
        <v>0</v>
      </c>
      <c r="G3440">
        <v>0</v>
      </c>
      <c r="H3440" t="s">
        <v>19447</v>
      </c>
      <c r="I3440" t="s">
        <v>19447</v>
      </c>
      <c r="J3440">
        <v>2</v>
      </c>
      <c r="L3440" t="s">
        <v>2709</v>
      </c>
      <c r="M3440">
        <v>29391123</v>
      </c>
      <c r="O3440" t="s">
        <v>20028</v>
      </c>
      <c r="P3440" t="s">
        <v>19900</v>
      </c>
      <c r="Q3440" t="s">
        <v>19900</v>
      </c>
      <c r="R3440" t="s">
        <v>19447</v>
      </c>
      <c r="S3440" t="s">
        <v>19447</v>
      </c>
      <c r="T3440" t="s">
        <v>19901</v>
      </c>
    </row>
    <row r="3441" spans="2:20" x14ac:dyDescent="0.25">
      <c r="B3441" t="s">
        <v>2709</v>
      </c>
      <c r="C3441">
        <v>29391131</v>
      </c>
      <c r="E3441">
        <v>68.819999999999993</v>
      </c>
      <c r="F3441">
        <v>0</v>
      </c>
      <c r="G3441">
        <v>0</v>
      </c>
      <c r="H3441" t="s">
        <v>19447</v>
      </c>
      <c r="I3441" t="s">
        <v>19447</v>
      </c>
      <c r="J3441">
        <v>2</v>
      </c>
      <c r="L3441" t="s">
        <v>2709</v>
      </c>
      <c r="M3441">
        <v>29391131</v>
      </c>
      <c r="O3441" t="s">
        <v>20028</v>
      </c>
      <c r="P3441" t="s">
        <v>19900</v>
      </c>
      <c r="Q3441" t="s">
        <v>19900</v>
      </c>
      <c r="R3441" t="s">
        <v>19447</v>
      </c>
      <c r="S3441" t="s">
        <v>19447</v>
      </c>
      <c r="T3441" t="s">
        <v>19901</v>
      </c>
    </row>
    <row r="3442" spans="2:20" x14ac:dyDescent="0.25">
      <c r="B3442" t="s">
        <v>2709</v>
      </c>
      <c r="C3442">
        <v>29391132</v>
      </c>
      <c r="E3442">
        <v>68.819999999999993</v>
      </c>
      <c r="F3442">
        <v>0</v>
      </c>
      <c r="G3442">
        <v>0</v>
      </c>
      <c r="H3442" t="s">
        <v>19447</v>
      </c>
      <c r="I3442" t="s">
        <v>19447</v>
      </c>
      <c r="J3442">
        <v>2</v>
      </c>
      <c r="L3442" t="s">
        <v>2709</v>
      </c>
      <c r="M3442">
        <v>29391132</v>
      </c>
      <c r="O3442" t="s">
        <v>20028</v>
      </c>
      <c r="P3442" t="s">
        <v>19900</v>
      </c>
      <c r="Q3442" t="s">
        <v>19900</v>
      </c>
      <c r="R3442" t="s">
        <v>19447</v>
      </c>
      <c r="S3442" t="s">
        <v>19447</v>
      </c>
      <c r="T3442" t="s">
        <v>19901</v>
      </c>
    </row>
    <row r="3443" spans="2:20" x14ac:dyDescent="0.25">
      <c r="B3443" t="s">
        <v>2709</v>
      </c>
      <c r="C3443">
        <v>29391140</v>
      </c>
      <c r="E3443">
        <v>68.819999999999993</v>
      </c>
      <c r="F3443">
        <v>0</v>
      </c>
      <c r="G3443">
        <v>0</v>
      </c>
      <c r="H3443" t="s">
        <v>19447</v>
      </c>
      <c r="I3443" t="s">
        <v>19447</v>
      </c>
      <c r="J3443">
        <v>2</v>
      </c>
      <c r="L3443" t="s">
        <v>2709</v>
      </c>
      <c r="M3443">
        <v>29391140</v>
      </c>
      <c r="O3443" t="s">
        <v>20028</v>
      </c>
      <c r="P3443" t="s">
        <v>19900</v>
      </c>
      <c r="Q3443" t="s">
        <v>19900</v>
      </c>
      <c r="R3443" t="s">
        <v>19447</v>
      </c>
      <c r="S3443" t="s">
        <v>19447</v>
      </c>
      <c r="T3443" t="s">
        <v>19901</v>
      </c>
    </row>
    <row r="3444" spans="2:20" x14ac:dyDescent="0.25">
      <c r="B3444" t="s">
        <v>2709</v>
      </c>
      <c r="C3444">
        <v>29391151</v>
      </c>
      <c r="E3444">
        <v>68.819999999999993</v>
      </c>
      <c r="F3444">
        <v>0</v>
      </c>
      <c r="G3444">
        <v>0</v>
      </c>
      <c r="H3444" t="s">
        <v>19447</v>
      </c>
      <c r="I3444" t="s">
        <v>19447</v>
      </c>
      <c r="J3444">
        <v>2</v>
      </c>
      <c r="L3444" t="s">
        <v>2709</v>
      </c>
      <c r="M3444">
        <v>29391151</v>
      </c>
      <c r="O3444" t="s">
        <v>20028</v>
      </c>
      <c r="P3444" t="s">
        <v>19900</v>
      </c>
      <c r="Q3444" t="s">
        <v>19900</v>
      </c>
      <c r="R3444" t="s">
        <v>19447</v>
      </c>
      <c r="S3444" t="s">
        <v>19447</v>
      </c>
      <c r="T3444" t="s">
        <v>19901</v>
      </c>
    </row>
    <row r="3445" spans="2:20" x14ac:dyDescent="0.25">
      <c r="B3445" t="s">
        <v>2709</v>
      </c>
      <c r="C3445">
        <v>29391152</v>
      </c>
      <c r="E3445">
        <v>68.819999999999993</v>
      </c>
      <c r="F3445">
        <v>0</v>
      </c>
      <c r="G3445">
        <v>0</v>
      </c>
      <c r="H3445" t="s">
        <v>19447</v>
      </c>
      <c r="I3445" t="s">
        <v>19447</v>
      </c>
      <c r="J3445">
        <v>2</v>
      </c>
      <c r="L3445" t="s">
        <v>2709</v>
      </c>
      <c r="M3445">
        <v>29391152</v>
      </c>
      <c r="O3445" t="s">
        <v>20028</v>
      </c>
      <c r="P3445" t="s">
        <v>19900</v>
      </c>
      <c r="Q3445" t="s">
        <v>19900</v>
      </c>
      <c r="R3445" t="s">
        <v>19447</v>
      </c>
      <c r="S3445" t="s">
        <v>19447</v>
      </c>
      <c r="T3445" t="s">
        <v>19901</v>
      </c>
    </row>
    <row r="3446" spans="2:20" x14ac:dyDescent="0.25">
      <c r="B3446" t="s">
        <v>2709</v>
      </c>
      <c r="C3446">
        <v>29391153</v>
      </c>
      <c r="E3446">
        <v>68.819999999999993</v>
      </c>
      <c r="F3446">
        <v>0</v>
      </c>
      <c r="G3446">
        <v>0</v>
      </c>
      <c r="H3446" t="s">
        <v>19447</v>
      </c>
      <c r="I3446" t="s">
        <v>19447</v>
      </c>
      <c r="J3446">
        <v>2</v>
      </c>
      <c r="L3446" t="s">
        <v>2709</v>
      </c>
      <c r="M3446">
        <v>29391153</v>
      </c>
      <c r="O3446" t="s">
        <v>20028</v>
      </c>
      <c r="P3446" t="s">
        <v>19900</v>
      </c>
      <c r="Q3446" t="s">
        <v>19900</v>
      </c>
      <c r="R3446" t="s">
        <v>19447</v>
      </c>
      <c r="S3446" t="s">
        <v>19447</v>
      </c>
      <c r="T3446" t="s">
        <v>19901</v>
      </c>
    </row>
    <row r="3447" spans="2:20" x14ac:dyDescent="0.25">
      <c r="B3447" t="s">
        <v>2709</v>
      </c>
      <c r="C3447">
        <v>29391161</v>
      </c>
      <c r="E3447">
        <v>68.819999999999993</v>
      </c>
      <c r="F3447">
        <v>0</v>
      </c>
      <c r="G3447">
        <v>0</v>
      </c>
      <c r="H3447" t="s">
        <v>19447</v>
      </c>
      <c r="I3447" t="s">
        <v>19447</v>
      </c>
      <c r="J3447">
        <v>2</v>
      </c>
      <c r="L3447" t="s">
        <v>2709</v>
      </c>
      <c r="M3447">
        <v>29391161</v>
      </c>
      <c r="O3447" t="s">
        <v>20028</v>
      </c>
      <c r="P3447" t="s">
        <v>19900</v>
      </c>
      <c r="Q3447" t="s">
        <v>19900</v>
      </c>
      <c r="R3447" t="s">
        <v>19447</v>
      </c>
      <c r="S3447" t="s">
        <v>19447</v>
      </c>
      <c r="T3447" t="s">
        <v>19901</v>
      </c>
    </row>
    <row r="3448" spans="2:20" x14ac:dyDescent="0.25">
      <c r="B3448" t="s">
        <v>2709</v>
      </c>
      <c r="C3448">
        <v>29391162</v>
      </c>
      <c r="E3448">
        <v>68.819999999999993</v>
      </c>
      <c r="F3448">
        <v>0</v>
      </c>
      <c r="G3448">
        <v>0</v>
      </c>
      <c r="H3448" t="s">
        <v>19447</v>
      </c>
      <c r="I3448" t="s">
        <v>19447</v>
      </c>
      <c r="J3448">
        <v>2</v>
      </c>
      <c r="L3448" t="s">
        <v>2709</v>
      </c>
      <c r="M3448">
        <v>29391162</v>
      </c>
      <c r="O3448" t="s">
        <v>20028</v>
      </c>
      <c r="P3448" t="s">
        <v>19900</v>
      </c>
      <c r="Q3448" t="s">
        <v>19900</v>
      </c>
      <c r="R3448" t="s">
        <v>19447</v>
      </c>
      <c r="S3448" t="s">
        <v>19447</v>
      </c>
      <c r="T3448" t="s">
        <v>19901</v>
      </c>
    </row>
    <row r="3449" spans="2:20" x14ac:dyDescent="0.25">
      <c r="B3449" t="s">
        <v>2709</v>
      </c>
      <c r="C3449">
        <v>29391169</v>
      </c>
      <c r="E3449">
        <v>68.819999999999993</v>
      </c>
      <c r="F3449">
        <v>0</v>
      </c>
      <c r="G3449">
        <v>0</v>
      </c>
      <c r="H3449" t="s">
        <v>19447</v>
      </c>
      <c r="I3449" t="s">
        <v>19447</v>
      </c>
      <c r="J3449">
        <v>2</v>
      </c>
      <c r="L3449" t="s">
        <v>2709</v>
      </c>
      <c r="M3449">
        <v>29391169</v>
      </c>
      <c r="O3449" t="s">
        <v>20028</v>
      </c>
      <c r="P3449" t="s">
        <v>19900</v>
      </c>
      <c r="Q3449" t="s">
        <v>19900</v>
      </c>
      <c r="R3449" t="s">
        <v>19447</v>
      </c>
      <c r="S3449" t="s">
        <v>19447</v>
      </c>
      <c r="T3449" t="s">
        <v>19901</v>
      </c>
    </row>
    <row r="3450" spans="2:20" x14ac:dyDescent="0.25">
      <c r="B3450" t="s">
        <v>2709</v>
      </c>
      <c r="C3450">
        <v>29391170</v>
      </c>
      <c r="E3450">
        <v>68.819999999999993</v>
      </c>
      <c r="F3450">
        <v>0</v>
      </c>
      <c r="G3450">
        <v>0</v>
      </c>
      <c r="H3450" t="s">
        <v>19447</v>
      </c>
      <c r="I3450" t="s">
        <v>19447</v>
      </c>
      <c r="J3450">
        <v>2</v>
      </c>
      <c r="L3450" t="s">
        <v>2709</v>
      </c>
      <c r="M3450">
        <v>29391170</v>
      </c>
      <c r="O3450" t="s">
        <v>20028</v>
      </c>
      <c r="P3450" t="s">
        <v>19900</v>
      </c>
      <c r="Q3450" t="s">
        <v>19900</v>
      </c>
      <c r="R3450" t="s">
        <v>19447</v>
      </c>
      <c r="S3450" t="s">
        <v>19447</v>
      </c>
      <c r="T3450" t="s">
        <v>19901</v>
      </c>
    </row>
    <row r="3451" spans="2:20" x14ac:dyDescent="0.25">
      <c r="B3451" t="s">
        <v>2709</v>
      </c>
      <c r="C3451">
        <v>29391181</v>
      </c>
      <c r="E3451">
        <v>68.819999999999993</v>
      </c>
      <c r="F3451">
        <v>0</v>
      </c>
      <c r="G3451">
        <v>0</v>
      </c>
      <c r="H3451" t="s">
        <v>19447</v>
      </c>
      <c r="I3451" t="s">
        <v>19447</v>
      </c>
      <c r="J3451">
        <v>2</v>
      </c>
      <c r="L3451" t="s">
        <v>2709</v>
      </c>
      <c r="M3451">
        <v>29391181</v>
      </c>
      <c r="O3451" t="s">
        <v>20028</v>
      </c>
      <c r="P3451" t="s">
        <v>19900</v>
      </c>
      <c r="Q3451" t="s">
        <v>19900</v>
      </c>
      <c r="R3451" t="s">
        <v>19447</v>
      </c>
      <c r="S3451" t="s">
        <v>19447</v>
      </c>
      <c r="T3451" t="s">
        <v>19901</v>
      </c>
    </row>
    <row r="3452" spans="2:20" x14ac:dyDescent="0.25">
      <c r="B3452" t="s">
        <v>2709</v>
      </c>
      <c r="C3452">
        <v>29391182</v>
      </c>
      <c r="E3452">
        <v>68.819999999999993</v>
      </c>
      <c r="F3452">
        <v>0</v>
      </c>
      <c r="G3452">
        <v>0</v>
      </c>
      <c r="H3452" t="s">
        <v>19447</v>
      </c>
      <c r="I3452" t="s">
        <v>19447</v>
      </c>
      <c r="J3452">
        <v>2</v>
      </c>
      <c r="L3452" t="s">
        <v>2709</v>
      </c>
      <c r="M3452">
        <v>29391182</v>
      </c>
      <c r="O3452" t="s">
        <v>20028</v>
      </c>
      <c r="P3452" t="s">
        <v>19900</v>
      </c>
      <c r="Q3452" t="s">
        <v>19900</v>
      </c>
      <c r="R3452" t="s">
        <v>19447</v>
      </c>
      <c r="S3452" t="s">
        <v>19447</v>
      </c>
      <c r="T3452" t="s">
        <v>19901</v>
      </c>
    </row>
    <row r="3453" spans="2:20" x14ac:dyDescent="0.25">
      <c r="B3453" t="s">
        <v>2709</v>
      </c>
      <c r="C3453">
        <v>29391191</v>
      </c>
      <c r="E3453">
        <v>68.819999999999993</v>
      </c>
      <c r="F3453">
        <v>0</v>
      </c>
      <c r="G3453">
        <v>0</v>
      </c>
      <c r="H3453" t="s">
        <v>19447</v>
      </c>
      <c r="I3453" t="s">
        <v>19447</v>
      </c>
      <c r="J3453">
        <v>2</v>
      </c>
      <c r="L3453" t="s">
        <v>2709</v>
      </c>
      <c r="M3453">
        <v>29391191</v>
      </c>
      <c r="O3453" t="s">
        <v>20028</v>
      </c>
      <c r="P3453" t="s">
        <v>19900</v>
      </c>
      <c r="Q3453" t="s">
        <v>19900</v>
      </c>
      <c r="R3453" t="s">
        <v>19447</v>
      </c>
      <c r="S3453" t="s">
        <v>19447</v>
      </c>
      <c r="T3453" t="s">
        <v>19901</v>
      </c>
    </row>
    <row r="3454" spans="2:20" x14ac:dyDescent="0.25">
      <c r="B3454" t="s">
        <v>2709</v>
      </c>
      <c r="C3454">
        <v>29391192</v>
      </c>
      <c r="E3454">
        <v>68.819999999999993</v>
      </c>
      <c r="F3454">
        <v>0</v>
      </c>
      <c r="G3454">
        <v>0</v>
      </c>
      <c r="H3454" t="s">
        <v>19447</v>
      </c>
      <c r="I3454" t="s">
        <v>19447</v>
      </c>
      <c r="J3454">
        <v>2</v>
      </c>
      <c r="L3454" t="s">
        <v>2709</v>
      </c>
      <c r="M3454">
        <v>29391192</v>
      </c>
      <c r="O3454" t="s">
        <v>20028</v>
      </c>
      <c r="P3454" t="s">
        <v>19900</v>
      </c>
      <c r="Q3454" t="s">
        <v>19900</v>
      </c>
      <c r="R3454" t="s">
        <v>19447</v>
      </c>
      <c r="S3454" t="s">
        <v>19447</v>
      </c>
      <c r="T3454" t="s">
        <v>19901</v>
      </c>
    </row>
    <row r="3455" spans="2:20" x14ac:dyDescent="0.25">
      <c r="B3455" t="s">
        <v>2709</v>
      </c>
      <c r="C3455">
        <v>29391900</v>
      </c>
      <c r="E3455">
        <v>68.819999999999993</v>
      </c>
      <c r="F3455">
        <v>0</v>
      </c>
      <c r="G3455">
        <v>0</v>
      </c>
      <c r="H3455" t="s">
        <v>19447</v>
      </c>
      <c r="I3455" t="s">
        <v>19447</v>
      </c>
      <c r="J3455">
        <v>2</v>
      </c>
      <c r="L3455" t="s">
        <v>2709</v>
      </c>
      <c r="M3455">
        <v>29391900</v>
      </c>
      <c r="O3455" t="s">
        <v>20028</v>
      </c>
      <c r="P3455" t="s">
        <v>19900</v>
      </c>
      <c r="Q3455" t="s">
        <v>19900</v>
      </c>
      <c r="R3455" t="s">
        <v>19447</v>
      </c>
      <c r="S3455" t="s">
        <v>19447</v>
      </c>
      <c r="T3455" t="s">
        <v>19901</v>
      </c>
    </row>
    <row r="3456" spans="2:20" x14ac:dyDescent="0.25">
      <c r="B3456" t="s">
        <v>2709</v>
      </c>
      <c r="C3456">
        <v>29392000</v>
      </c>
      <c r="E3456">
        <v>68.819999999999993</v>
      </c>
      <c r="F3456">
        <v>0</v>
      </c>
      <c r="G3456">
        <v>0</v>
      </c>
      <c r="H3456" t="s">
        <v>19447</v>
      </c>
      <c r="I3456" t="s">
        <v>19447</v>
      </c>
      <c r="J3456">
        <v>2</v>
      </c>
      <c r="L3456" t="s">
        <v>2709</v>
      </c>
      <c r="M3456">
        <v>29392000</v>
      </c>
      <c r="O3456" t="s">
        <v>20028</v>
      </c>
      <c r="P3456" t="s">
        <v>19900</v>
      </c>
      <c r="Q3456" t="s">
        <v>19900</v>
      </c>
      <c r="R3456" t="s">
        <v>19447</v>
      </c>
      <c r="S3456" t="s">
        <v>19447</v>
      </c>
      <c r="T3456" t="s">
        <v>19901</v>
      </c>
    </row>
    <row r="3457" spans="2:20" x14ac:dyDescent="0.25">
      <c r="B3457" t="s">
        <v>2709</v>
      </c>
      <c r="C3457">
        <v>29393010</v>
      </c>
      <c r="E3457">
        <v>68.819999999999993</v>
      </c>
      <c r="F3457">
        <v>0</v>
      </c>
      <c r="G3457">
        <v>0</v>
      </c>
      <c r="H3457" t="s">
        <v>19447</v>
      </c>
      <c r="I3457" t="s">
        <v>19447</v>
      </c>
      <c r="J3457">
        <v>2</v>
      </c>
      <c r="L3457" t="s">
        <v>2709</v>
      </c>
      <c r="M3457">
        <v>29393010</v>
      </c>
      <c r="O3457" t="s">
        <v>20028</v>
      </c>
      <c r="P3457" t="s">
        <v>19900</v>
      </c>
      <c r="Q3457" t="s">
        <v>19900</v>
      </c>
      <c r="R3457" t="s">
        <v>19447</v>
      </c>
      <c r="S3457" t="s">
        <v>19447</v>
      </c>
      <c r="T3457" t="s">
        <v>19901</v>
      </c>
    </row>
    <row r="3458" spans="2:20" x14ac:dyDescent="0.25">
      <c r="B3458" t="s">
        <v>2709</v>
      </c>
      <c r="C3458">
        <v>29393020</v>
      </c>
      <c r="E3458">
        <v>68.819999999999993</v>
      </c>
      <c r="F3458">
        <v>0</v>
      </c>
      <c r="G3458">
        <v>0</v>
      </c>
      <c r="H3458" t="s">
        <v>19447</v>
      </c>
      <c r="I3458" t="s">
        <v>19447</v>
      </c>
      <c r="J3458">
        <v>2</v>
      </c>
      <c r="L3458" t="s">
        <v>2709</v>
      </c>
      <c r="M3458">
        <v>29393020</v>
      </c>
      <c r="O3458" t="s">
        <v>20028</v>
      </c>
      <c r="P3458" t="s">
        <v>19900</v>
      </c>
      <c r="Q3458" t="s">
        <v>19900</v>
      </c>
      <c r="R3458" t="s">
        <v>19447</v>
      </c>
      <c r="S3458" t="s">
        <v>19447</v>
      </c>
      <c r="T3458" t="s">
        <v>19901</v>
      </c>
    </row>
    <row r="3459" spans="2:20" x14ac:dyDescent="0.25">
      <c r="B3459" t="s">
        <v>2709</v>
      </c>
      <c r="C3459">
        <v>29394100</v>
      </c>
      <c r="E3459">
        <v>68.819999999999993</v>
      </c>
      <c r="F3459">
        <v>0</v>
      </c>
      <c r="G3459">
        <v>0</v>
      </c>
      <c r="H3459" t="s">
        <v>19447</v>
      </c>
      <c r="I3459" t="s">
        <v>19447</v>
      </c>
      <c r="J3459">
        <v>2</v>
      </c>
      <c r="L3459" t="s">
        <v>2709</v>
      </c>
      <c r="M3459">
        <v>29394100</v>
      </c>
      <c r="O3459" t="s">
        <v>20028</v>
      </c>
      <c r="P3459" t="s">
        <v>19900</v>
      </c>
      <c r="Q3459" t="s">
        <v>19900</v>
      </c>
      <c r="R3459" t="s">
        <v>19447</v>
      </c>
      <c r="S3459" t="s">
        <v>19447</v>
      </c>
      <c r="T3459" t="s">
        <v>19901</v>
      </c>
    </row>
    <row r="3460" spans="2:20" x14ac:dyDescent="0.25">
      <c r="B3460" t="s">
        <v>2709</v>
      </c>
      <c r="C3460">
        <v>29394200</v>
      </c>
      <c r="E3460">
        <v>68.819999999999993</v>
      </c>
      <c r="F3460">
        <v>0</v>
      </c>
      <c r="G3460">
        <v>0</v>
      </c>
      <c r="H3460" t="s">
        <v>19447</v>
      </c>
      <c r="I3460" t="s">
        <v>19447</v>
      </c>
      <c r="J3460">
        <v>2</v>
      </c>
      <c r="L3460" t="s">
        <v>2709</v>
      </c>
      <c r="M3460">
        <v>29394200</v>
      </c>
      <c r="O3460" t="s">
        <v>20028</v>
      </c>
      <c r="P3460" t="s">
        <v>19900</v>
      </c>
      <c r="Q3460" t="s">
        <v>19900</v>
      </c>
      <c r="R3460" t="s">
        <v>19447</v>
      </c>
      <c r="S3460" t="s">
        <v>19447</v>
      </c>
      <c r="T3460" t="s">
        <v>19901</v>
      </c>
    </row>
    <row r="3461" spans="2:20" x14ac:dyDescent="0.25">
      <c r="B3461" t="s">
        <v>2709</v>
      </c>
      <c r="C3461">
        <v>29394300</v>
      </c>
      <c r="E3461">
        <v>68.819999999999993</v>
      </c>
      <c r="F3461">
        <v>0</v>
      </c>
      <c r="G3461">
        <v>0</v>
      </c>
      <c r="H3461" t="s">
        <v>19447</v>
      </c>
      <c r="I3461" t="s">
        <v>19447</v>
      </c>
      <c r="J3461">
        <v>2</v>
      </c>
      <c r="L3461" t="s">
        <v>2709</v>
      </c>
      <c r="M3461">
        <v>29394300</v>
      </c>
      <c r="O3461" t="s">
        <v>20028</v>
      </c>
      <c r="P3461" t="s">
        <v>19900</v>
      </c>
      <c r="Q3461" t="s">
        <v>19900</v>
      </c>
      <c r="R3461" t="s">
        <v>19447</v>
      </c>
      <c r="S3461" t="s">
        <v>19447</v>
      </c>
      <c r="T3461" t="s">
        <v>19901</v>
      </c>
    </row>
    <row r="3462" spans="2:20" x14ac:dyDescent="0.25">
      <c r="B3462" t="s">
        <v>2709</v>
      </c>
      <c r="C3462">
        <v>29394400</v>
      </c>
      <c r="E3462">
        <v>68.819999999999993</v>
      </c>
      <c r="F3462">
        <v>0</v>
      </c>
      <c r="G3462">
        <v>0</v>
      </c>
      <c r="H3462" t="s">
        <v>19447</v>
      </c>
      <c r="I3462" t="s">
        <v>19447</v>
      </c>
      <c r="J3462">
        <v>2</v>
      </c>
      <c r="L3462" t="s">
        <v>2709</v>
      </c>
      <c r="M3462">
        <v>29394400</v>
      </c>
      <c r="O3462" t="s">
        <v>20028</v>
      </c>
      <c r="P3462" t="s">
        <v>19900</v>
      </c>
      <c r="Q3462" t="s">
        <v>19900</v>
      </c>
      <c r="R3462" t="s">
        <v>19447</v>
      </c>
      <c r="S3462" t="s">
        <v>19447</v>
      </c>
      <c r="T3462" t="s">
        <v>19901</v>
      </c>
    </row>
    <row r="3463" spans="2:20" x14ac:dyDescent="0.25">
      <c r="B3463" t="s">
        <v>2709</v>
      </c>
      <c r="C3463">
        <v>29394900</v>
      </c>
      <c r="E3463">
        <v>68.819999999999993</v>
      </c>
      <c r="F3463">
        <v>0</v>
      </c>
      <c r="G3463">
        <v>0</v>
      </c>
      <c r="H3463" t="s">
        <v>19447</v>
      </c>
      <c r="I3463" t="s">
        <v>19447</v>
      </c>
      <c r="J3463">
        <v>2</v>
      </c>
      <c r="L3463" t="s">
        <v>2709</v>
      </c>
      <c r="M3463">
        <v>29394900</v>
      </c>
      <c r="O3463" t="s">
        <v>20028</v>
      </c>
      <c r="P3463" t="s">
        <v>19900</v>
      </c>
      <c r="Q3463" t="s">
        <v>19900</v>
      </c>
      <c r="R3463" t="s">
        <v>19447</v>
      </c>
      <c r="S3463" t="s">
        <v>19447</v>
      </c>
      <c r="T3463" t="s">
        <v>19901</v>
      </c>
    </row>
    <row r="3464" spans="2:20" x14ac:dyDescent="0.25">
      <c r="B3464" t="s">
        <v>2709</v>
      </c>
      <c r="C3464">
        <v>29395100</v>
      </c>
      <c r="E3464">
        <v>68.819999999999993</v>
      </c>
      <c r="F3464">
        <v>0</v>
      </c>
      <c r="G3464">
        <v>0</v>
      </c>
      <c r="H3464" t="s">
        <v>19447</v>
      </c>
      <c r="I3464" t="s">
        <v>19447</v>
      </c>
      <c r="J3464">
        <v>2</v>
      </c>
      <c r="L3464" t="s">
        <v>2709</v>
      </c>
      <c r="M3464">
        <v>29395100</v>
      </c>
      <c r="O3464" t="s">
        <v>20028</v>
      </c>
      <c r="P3464" t="s">
        <v>19900</v>
      </c>
      <c r="Q3464" t="s">
        <v>19900</v>
      </c>
      <c r="R3464" t="s">
        <v>19447</v>
      </c>
      <c r="S3464" t="s">
        <v>19447</v>
      </c>
      <c r="T3464" t="s">
        <v>19901</v>
      </c>
    </row>
    <row r="3465" spans="2:20" x14ac:dyDescent="0.25">
      <c r="B3465" t="s">
        <v>2709</v>
      </c>
      <c r="C3465">
        <v>29395910</v>
      </c>
      <c r="E3465">
        <v>68.819999999999993</v>
      </c>
      <c r="F3465">
        <v>0</v>
      </c>
      <c r="G3465">
        <v>0</v>
      </c>
      <c r="H3465" t="s">
        <v>19447</v>
      </c>
      <c r="I3465" t="s">
        <v>19447</v>
      </c>
      <c r="J3465">
        <v>2</v>
      </c>
      <c r="L3465" t="s">
        <v>2709</v>
      </c>
      <c r="M3465">
        <v>29395910</v>
      </c>
      <c r="O3465" t="s">
        <v>20028</v>
      </c>
      <c r="P3465" t="s">
        <v>19900</v>
      </c>
      <c r="Q3465" t="s">
        <v>19900</v>
      </c>
      <c r="R3465" t="s">
        <v>19447</v>
      </c>
      <c r="S3465" t="s">
        <v>19447</v>
      </c>
      <c r="T3465" t="s">
        <v>19901</v>
      </c>
    </row>
    <row r="3466" spans="2:20" x14ac:dyDescent="0.25">
      <c r="B3466" t="s">
        <v>2709</v>
      </c>
      <c r="C3466">
        <v>29395920</v>
      </c>
      <c r="E3466">
        <v>68.819999999999993</v>
      </c>
      <c r="F3466">
        <v>0</v>
      </c>
      <c r="G3466">
        <v>0</v>
      </c>
      <c r="H3466" t="s">
        <v>19447</v>
      </c>
      <c r="I3466" t="s">
        <v>19447</v>
      </c>
      <c r="J3466">
        <v>2</v>
      </c>
      <c r="L3466" t="s">
        <v>2709</v>
      </c>
      <c r="M3466">
        <v>29395920</v>
      </c>
      <c r="O3466" t="s">
        <v>20028</v>
      </c>
      <c r="P3466" t="s">
        <v>19900</v>
      </c>
      <c r="Q3466" t="s">
        <v>19900</v>
      </c>
      <c r="R3466" t="s">
        <v>19447</v>
      </c>
      <c r="S3466" t="s">
        <v>19447</v>
      </c>
      <c r="T3466" t="s">
        <v>19901</v>
      </c>
    </row>
    <row r="3467" spans="2:20" x14ac:dyDescent="0.25">
      <c r="B3467" t="s">
        <v>2709</v>
      </c>
      <c r="C3467">
        <v>29395990</v>
      </c>
      <c r="E3467">
        <v>68.819999999999993</v>
      </c>
      <c r="F3467">
        <v>0</v>
      </c>
      <c r="G3467">
        <v>0</v>
      </c>
      <c r="H3467" t="s">
        <v>19447</v>
      </c>
      <c r="I3467" t="s">
        <v>19447</v>
      </c>
      <c r="J3467">
        <v>2</v>
      </c>
      <c r="L3467" t="s">
        <v>2709</v>
      </c>
      <c r="M3467">
        <v>29395990</v>
      </c>
      <c r="O3467" t="s">
        <v>20028</v>
      </c>
      <c r="P3467" t="s">
        <v>19900</v>
      </c>
      <c r="Q3467" t="s">
        <v>19900</v>
      </c>
      <c r="R3467" t="s">
        <v>19447</v>
      </c>
      <c r="S3467" t="s">
        <v>19447</v>
      </c>
      <c r="T3467" t="s">
        <v>19901</v>
      </c>
    </row>
    <row r="3468" spans="2:20" x14ac:dyDescent="0.25">
      <c r="B3468" t="s">
        <v>2709</v>
      </c>
      <c r="C3468">
        <v>29396100</v>
      </c>
      <c r="E3468">
        <v>68.819999999999993</v>
      </c>
      <c r="F3468">
        <v>0</v>
      </c>
      <c r="G3468">
        <v>0</v>
      </c>
      <c r="H3468" t="s">
        <v>19447</v>
      </c>
      <c r="I3468" t="s">
        <v>19447</v>
      </c>
      <c r="J3468">
        <v>2</v>
      </c>
      <c r="L3468" t="s">
        <v>2709</v>
      </c>
      <c r="M3468">
        <v>29396100</v>
      </c>
      <c r="O3468" t="s">
        <v>20028</v>
      </c>
      <c r="P3468" t="s">
        <v>19900</v>
      </c>
      <c r="Q3468" t="s">
        <v>19900</v>
      </c>
      <c r="R3468" t="s">
        <v>19447</v>
      </c>
      <c r="S3468" t="s">
        <v>19447</v>
      </c>
      <c r="T3468" t="s">
        <v>19901</v>
      </c>
    </row>
    <row r="3469" spans="2:20" x14ac:dyDescent="0.25">
      <c r="B3469" t="s">
        <v>2709</v>
      </c>
      <c r="C3469">
        <v>29396200</v>
      </c>
      <c r="E3469">
        <v>68.819999999999993</v>
      </c>
      <c r="F3469">
        <v>0</v>
      </c>
      <c r="G3469">
        <v>0</v>
      </c>
      <c r="H3469" t="s">
        <v>19447</v>
      </c>
      <c r="I3469" t="s">
        <v>19447</v>
      </c>
      <c r="J3469">
        <v>2</v>
      </c>
      <c r="L3469" t="s">
        <v>2709</v>
      </c>
      <c r="M3469">
        <v>29396200</v>
      </c>
      <c r="O3469" t="s">
        <v>20028</v>
      </c>
      <c r="P3469" t="s">
        <v>19900</v>
      </c>
      <c r="Q3469" t="s">
        <v>19900</v>
      </c>
      <c r="R3469" t="s">
        <v>19447</v>
      </c>
      <c r="S3469" t="s">
        <v>19447</v>
      </c>
      <c r="T3469" t="s">
        <v>19901</v>
      </c>
    </row>
    <row r="3470" spans="2:20" x14ac:dyDescent="0.25">
      <c r="B3470" t="s">
        <v>2709</v>
      </c>
      <c r="C3470">
        <v>29396300</v>
      </c>
      <c r="E3470">
        <v>68.819999999999993</v>
      </c>
      <c r="F3470">
        <v>0</v>
      </c>
      <c r="G3470">
        <v>0</v>
      </c>
      <c r="H3470" t="s">
        <v>19447</v>
      </c>
      <c r="I3470" t="s">
        <v>19447</v>
      </c>
      <c r="J3470">
        <v>2</v>
      </c>
      <c r="L3470" t="s">
        <v>2709</v>
      </c>
      <c r="M3470">
        <v>29396300</v>
      </c>
      <c r="O3470" t="s">
        <v>20028</v>
      </c>
      <c r="P3470" t="s">
        <v>19900</v>
      </c>
      <c r="Q3470" t="s">
        <v>19900</v>
      </c>
      <c r="R3470" t="s">
        <v>19447</v>
      </c>
      <c r="S3470" t="s">
        <v>19447</v>
      </c>
      <c r="T3470" t="s">
        <v>19901</v>
      </c>
    </row>
    <row r="3471" spans="2:20" x14ac:dyDescent="0.25">
      <c r="B3471" t="s">
        <v>2709</v>
      </c>
      <c r="C3471">
        <v>29396911</v>
      </c>
      <c r="E3471">
        <v>68.819999999999993</v>
      </c>
      <c r="F3471">
        <v>0</v>
      </c>
      <c r="G3471">
        <v>0</v>
      </c>
      <c r="H3471" t="s">
        <v>19447</v>
      </c>
      <c r="I3471" t="s">
        <v>19447</v>
      </c>
      <c r="J3471">
        <v>2</v>
      </c>
      <c r="L3471" t="s">
        <v>2709</v>
      </c>
      <c r="M3471">
        <v>29396911</v>
      </c>
      <c r="O3471" t="s">
        <v>20028</v>
      </c>
      <c r="P3471" t="s">
        <v>19900</v>
      </c>
      <c r="Q3471" t="s">
        <v>19900</v>
      </c>
      <c r="R3471" t="s">
        <v>19447</v>
      </c>
      <c r="S3471" t="s">
        <v>19447</v>
      </c>
      <c r="T3471" t="s">
        <v>19901</v>
      </c>
    </row>
    <row r="3472" spans="2:20" x14ac:dyDescent="0.25">
      <c r="B3472" t="s">
        <v>2709</v>
      </c>
      <c r="C3472">
        <v>29396919</v>
      </c>
      <c r="E3472">
        <v>68.819999999999993</v>
      </c>
      <c r="F3472">
        <v>0</v>
      </c>
      <c r="G3472">
        <v>0</v>
      </c>
      <c r="H3472" t="s">
        <v>19447</v>
      </c>
      <c r="I3472" t="s">
        <v>19447</v>
      </c>
      <c r="J3472">
        <v>2</v>
      </c>
      <c r="L3472" t="s">
        <v>2709</v>
      </c>
      <c r="M3472">
        <v>29396919</v>
      </c>
      <c r="O3472" t="s">
        <v>20028</v>
      </c>
      <c r="P3472" t="s">
        <v>19900</v>
      </c>
      <c r="Q3472" t="s">
        <v>19900</v>
      </c>
      <c r="R3472" t="s">
        <v>19447</v>
      </c>
      <c r="S3472" t="s">
        <v>19447</v>
      </c>
      <c r="T3472" t="s">
        <v>19901</v>
      </c>
    </row>
    <row r="3473" spans="2:20" x14ac:dyDescent="0.25">
      <c r="B3473" t="s">
        <v>2709</v>
      </c>
      <c r="C3473">
        <v>29396921</v>
      </c>
      <c r="E3473">
        <v>68.819999999999993</v>
      </c>
      <c r="F3473">
        <v>0</v>
      </c>
      <c r="G3473">
        <v>0</v>
      </c>
      <c r="H3473" t="s">
        <v>19447</v>
      </c>
      <c r="I3473" t="s">
        <v>19447</v>
      </c>
      <c r="J3473">
        <v>2</v>
      </c>
      <c r="L3473" t="s">
        <v>2709</v>
      </c>
      <c r="M3473">
        <v>29396921</v>
      </c>
      <c r="O3473" t="s">
        <v>20028</v>
      </c>
      <c r="P3473" t="s">
        <v>19900</v>
      </c>
      <c r="Q3473" t="s">
        <v>19900</v>
      </c>
      <c r="R3473" t="s">
        <v>19447</v>
      </c>
      <c r="S3473" t="s">
        <v>19447</v>
      </c>
      <c r="T3473" t="s">
        <v>19901</v>
      </c>
    </row>
    <row r="3474" spans="2:20" x14ac:dyDescent="0.25">
      <c r="B3474" t="s">
        <v>2709</v>
      </c>
      <c r="C3474">
        <v>29396929</v>
      </c>
      <c r="E3474">
        <v>68.819999999999993</v>
      </c>
      <c r="F3474">
        <v>0</v>
      </c>
      <c r="G3474">
        <v>0</v>
      </c>
      <c r="H3474" t="s">
        <v>19447</v>
      </c>
      <c r="I3474" t="s">
        <v>19447</v>
      </c>
      <c r="J3474">
        <v>2</v>
      </c>
      <c r="L3474" t="s">
        <v>2709</v>
      </c>
      <c r="M3474">
        <v>29396929</v>
      </c>
      <c r="O3474" t="s">
        <v>20028</v>
      </c>
      <c r="P3474" t="s">
        <v>19900</v>
      </c>
      <c r="Q3474" t="s">
        <v>19900</v>
      </c>
      <c r="R3474" t="s">
        <v>19447</v>
      </c>
      <c r="S3474" t="s">
        <v>19447</v>
      </c>
      <c r="T3474" t="s">
        <v>19901</v>
      </c>
    </row>
    <row r="3475" spans="2:20" x14ac:dyDescent="0.25">
      <c r="B3475" t="s">
        <v>2709</v>
      </c>
      <c r="C3475">
        <v>29396931</v>
      </c>
      <c r="E3475">
        <v>68.819999999999993</v>
      </c>
      <c r="F3475">
        <v>0</v>
      </c>
      <c r="G3475">
        <v>0</v>
      </c>
      <c r="H3475" t="s">
        <v>19447</v>
      </c>
      <c r="I3475" t="s">
        <v>19447</v>
      </c>
      <c r="J3475">
        <v>2</v>
      </c>
      <c r="L3475" t="s">
        <v>2709</v>
      </c>
      <c r="M3475">
        <v>29396931</v>
      </c>
      <c r="O3475" t="s">
        <v>20028</v>
      </c>
      <c r="P3475" t="s">
        <v>19900</v>
      </c>
      <c r="Q3475" t="s">
        <v>19900</v>
      </c>
      <c r="R3475" t="s">
        <v>19447</v>
      </c>
      <c r="S3475" t="s">
        <v>19447</v>
      </c>
      <c r="T3475" t="s">
        <v>19901</v>
      </c>
    </row>
    <row r="3476" spans="2:20" x14ac:dyDescent="0.25">
      <c r="B3476" t="s">
        <v>2709</v>
      </c>
      <c r="C3476">
        <v>29396939</v>
      </c>
      <c r="E3476">
        <v>68.819999999999993</v>
      </c>
      <c r="F3476">
        <v>0</v>
      </c>
      <c r="G3476">
        <v>0</v>
      </c>
      <c r="H3476" t="s">
        <v>19447</v>
      </c>
      <c r="I3476" t="s">
        <v>19447</v>
      </c>
      <c r="J3476">
        <v>2</v>
      </c>
      <c r="L3476" t="s">
        <v>2709</v>
      </c>
      <c r="M3476">
        <v>29396939</v>
      </c>
      <c r="O3476" t="s">
        <v>20028</v>
      </c>
      <c r="P3476" t="s">
        <v>19900</v>
      </c>
      <c r="Q3476" t="s">
        <v>19900</v>
      </c>
      <c r="R3476" t="s">
        <v>19447</v>
      </c>
      <c r="S3476" t="s">
        <v>19447</v>
      </c>
      <c r="T3476" t="s">
        <v>19901</v>
      </c>
    </row>
    <row r="3477" spans="2:20" x14ac:dyDescent="0.25">
      <c r="B3477" t="s">
        <v>2709</v>
      </c>
      <c r="C3477">
        <v>29396941</v>
      </c>
      <c r="E3477">
        <v>68.819999999999993</v>
      </c>
      <c r="F3477">
        <v>0</v>
      </c>
      <c r="G3477">
        <v>0</v>
      </c>
      <c r="H3477" t="s">
        <v>19447</v>
      </c>
      <c r="I3477" t="s">
        <v>19447</v>
      </c>
      <c r="J3477">
        <v>2</v>
      </c>
      <c r="L3477" t="s">
        <v>2709</v>
      </c>
      <c r="M3477">
        <v>29396941</v>
      </c>
      <c r="O3477" t="s">
        <v>20028</v>
      </c>
      <c r="P3477" t="s">
        <v>19900</v>
      </c>
      <c r="Q3477" t="s">
        <v>19900</v>
      </c>
      <c r="R3477" t="s">
        <v>19447</v>
      </c>
      <c r="S3477" t="s">
        <v>19447</v>
      </c>
      <c r="T3477" t="s">
        <v>19901</v>
      </c>
    </row>
    <row r="3478" spans="2:20" x14ac:dyDescent="0.25">
      <c r="B3478" t="s">
        <v>2709</v>
      </c>
      <c r="C3478">
        <v>29396942</v>
      </c>
      <c r="E3478">
        <v>68.819999999999993</v>
      </c>
      <c r="F3478">
        <v>0</v>
      </c>
      <c r="G3478">
        <v>0</v>
      </c>
      <c r="H3478" t="s">
        <v>19447</v>
      </c>
      <c r="I3478" t="s">
        <v>19447</v>
      </c>
      <c r="J3478">
        <v>2</v>
      </c>
      <c r="L3478" t="s">
        <v>2709</v>
      </c>
      <c r="M3478">
        <v>29396942</v>
      </c>
      <c r="O3478" t="s">
        <v>20028</v>
      </c>
      <c r="P3478" t="s">
        <v>19900</v>
      </c>
      <c r="Q3478" t="s">
        <v>19900</v>
      </c>
      <c r="R3478" t="s">
        <v>19447</v>
      </c>
      <c r="S3478" t="s">
        <v>19447</v>
      </c>
      <c r="T3478" t="s">
        <v>19901</v>
      </c>
    </row>
    <row r="3479" spans="2:20" x14ac:dyDescent="0.25">
      <c r="B3479" t="s">
        <v>2709</v>
      </c>
      <c r="C3479">
        <v>29396949</v>
      </c>
      <c r="E3479">
        <v>68.819999999999993</v>
      </c>
      <c r="F3479">
        <v>0</v>
      </c>
      <c r="G3479">
        <v>0</v>
      </c>
      <c r="H3479" t="s">
        <v>19447</v>
      </c>
      <c r="I3479" t="s">
        <v>19447</v>
      </c>
      <c r="J3479">
        <v>2</v>
      </c>
      <c r="L3479" t="s">
        <v>2709</v>
      </c>
      <c r="M3479">
        <v>29396949</v>
      </c>
      <c r="O3479" t="s">
        <v>20028</v>
      </c>
      <c r="P3479" t="s">
        <v>19900</v>
      </c>
      <c r="Q3479" t="s">
        <v>19900</v>
      </c>
      <c r="R3479" t="s">
        <v>19447</v>
      </c>
      <c r="S3479" t="s">
        <v>19447</v>
      </c>
      <c r="T3479" t="s">
        <v>19901</v>
      </c>
    </row>
    <row r="3480" spans="2:20" x14ac:dyDescent="0.25">
      <c r="B3480" t="s">
        <v>2709</v>
      </c>
      <c r="C3480">
        <v>29396951</v>
      </c>
      <c r="E3480">
        <v>68.819999999999993</v>
      </c>
      <c r="F3480">
        <v>0</v>
      </c>
      <c r="G3480">
        <v>0</v>
      </c>
      <c r="H3480" t="s">
        <v>19447</v>
      </c>
      <c r="I3480" t="s">
        <v>19447</v>
      </c>
      <c r="J3480">
        <v>2</v>
      </c>
      <c r="L3480" t="s">
        <v>2709</v>
      </c>
      <c r="M3480">
        <v>29396951</v>
      </c>
      <c r="O3480" t="s">
        <v>20028</v>
      </c>
      <c r="P3480" t="s">
        <v>19900</v>
      </c>
      <c r="Q3480" t="s">
        <v>19900</v>
      </c>
      <c r="R3480" t="s">
        <v>19447</v>
      </c>
      <c r="S3480" t="s">
        <v>19447</v>
      </c>
      <c r="T3480" t="s">
        <v>19901</v>
      </c>
    </row>
    <row r="3481" spans="2:20" x14ac:dyDescent="0.25">
      <c r="B3481" t="s">
        <v>2709</v>
      </c>
      <c r="C3481">
        <v>29396952</v>
      </c>
      <c r="E3481">
        <v>68.819999999999993</v>
      </c>
      <c r="F3481">
        <v>0</v>
      </c>
      <c r="G3481">
        <v>0</v>
      </c>
      <c r="H3481" t="s">
        <v>19447</v>
      </c>
      <c r="I3481" t="s">
        <v>19447</v>
      </c>
      <c r="J3481">
        <v>2</v>
      </c>
      <c r="L3481" t="s">
        <v>2709</v>
      </c>
      <c r="M3481">
        <v>29396952</v>
      </c>
      <c r="O3481" t="s">
        <v>20028</v>
      </c>
      <c r="P3481" t="s">
        <v>19900</v>
      </c>
      <c r="Q3481" t="s">
        <v>19900</v>
      </c>
      <c r="R3481" t="s">
        <v>19447</v>
      </c>
      <c r="S3481" t="s">
        <v>19447</v>
      </c>
      <c r="T3481" t="s">
        <v>19901</v>
      </c>
    </row>
    <row r="3482" spans="2:20" x14ac:dyDescent="0.25">
      <c r="B3482" t="s">
        <v>2709</v>
      </c>
      <c r="C3482">
        <v>29396959</v>
      </c>
      <c r="E3482">
        <v>68.819999999999993</v>
      </c>
      <c r="F3482">
        <v>0</v>
      </c>
      <c r="G3482">
        <v>0</v>
      </c>
      <c r="H3482" t="s">
        <v>19447</v>
      </c>
      <c r="I3482" t="s">
        <v>19447</v>
      </c>
      <c r="J3482">
        <v>2</v>
      </c>
      <c r="L3482" t="s">
        <v>2709</v>
      </c>
      <c r="M3482">
        <v>29396959</v>
      </c>
      <c r="O3482" t="s">
        <v>20028</v>
      </c>
      <c r="P3482" t="s">
        <v>19900</v>
      </c>
      <c r="Q3482" t="s">
        <v>19900</v>
      </c>
      <c r="R3482" t="s">
        <v>19447</v>
      </c>
      <c r="S3482" t="s">
        <v>19447</v>
      </c>
      <c r="T3482" t="s">
        <v>19901</v>
      </c>
    </row>
    <row r="3483" spans="2:20" x14ac:dyDescent="0.25">
      <c r="B3483" t="s">
        <v>2709</v>
      </c>
      <c r="C3483">
        <v>29396990</v>
      </c>
      <c r="E3483">
        <v>68.819999999999993</v>
      </c>
      <c r="F3483">
        <v>0</v>
      </c>
      <c r="G3483">
        <v>0</v>
      </c>
      <c r="H3483" t="s">
        <v>19447</v>
      </c>
      <c r="I3483" t="s">
        <v>19447</v>
      </c>
      <c r="J3483">
        <v>2</v>
      </c>
      <c r="L3483" t="s">
        <v>2709</v>
      </c>
      <c r="M3483">
        <v>29396990</v>
      </c>
      <c r="O3483" t="s">
        <v>20028</v>
      </c>
      <c r="P3483" t="s">
        <v>19900</v>
      </c>
      <c r="Q3483" t="s">
        <v>19900</v>
      </c>
      <c r="R3483" t="s">
        <v>19447</v>
      </c>
      <c r="S3483" t="s">
        <v>19447</v>
      </c>
      <c r="T3483" t="s">
        <v>19901</v>
      </c>
    </row>
    <row r="3484" spans="2:20" x14ac:dyDescent="0.25">
      <c r="B3484" t="s">
        <v>2709</v>
      </c>
      <c r="C3484">
        <v>29399111</v>
      </c>
      <c r="E3484">
        <v>68.819999999999993</v>
      </c>
      <c r="F3484">
        <v>0</v>
      </c>
      <c r="G3484">
        <v>0</v>
      </c>
      <c r="H3484" t="s">
        <v>19447</v>
      </c>
      <c r="I3484" t="s">
        <v>19447</v>
      </c>
      <c r="J3484">
        <v>2</v>
      </c>
      <c r="L3484" t="s">
        <v>2709</v>
      </c>
      <c r="M3484">
        <v>29399111</v>
      </c>
      <c r="O3484" t="s">
        <v>20028</v>
      </c>
      <c r="P3484" t="s">
        <v>19900</v>
      </c>
      <c r="Q3484" t="s">
        <v>19900</v>
      </c>
      <c r="R3484" t="s">
        <v>19447</v>
      </c>
      <c r="S3484" t="s">
        <v>19447</v>
      </c>
      <c r="T3484" t="s">
        <v>19901</v>
      </c>
    </row>
    <row r="3485" spans="2:20" x14ac:dyDescent="0.25">
      <c r="B3485" t="s">
        <v>2709</v>
      </c>
      <c r="C3485">
        <v>29399112</v>
      </c>
      <c r="E3485">
        <v>68.819999999999993</v>
      </c>
      <c r="F3485">
        <v>0</v>
      </c>
      <c r="G3485">
        <v>0</v>
      </c>
      <c r="H3485" t="s">
        <v>19447</v>
      </c>
      <c r="I3485" t="s">
        <v>19447</v>
      </c>
      <c r="J3485">
        <v>2</v>
      </c>
      <c r="L3485" t="s">
        <v>2709</v>
      </c>
      <c r="M3485">
        <v>29399112</v>
      </c>
      <c r="O3485" t="s">
        <v>20028</v>
      </c>
      <c r="P3485" t="s">
        <v>19900</v>
      </c>
      <c r="Q3485" t="s">
        <v>19900</v>
      </c>
      <c r="R3485" t="s">
        <v>19447</v>
      </c>
      <c r="S3485" t="s">
        <v>19447</v>
      </c>
      <c r="T3485" t="s">
        <v>19901</v>
      </c>
    </row>
    <row r="3486" spans="2:20" x14ac:dyDescent="0.25">
      <c r="B3486" t="s">
        <v>2709</v>
      </c>
      <c r="C3486">
        <v>29399119</v>
      </c>
      <c r="E3486">
        <v>68.819999999999993</v>
      </c>
      <c r="F3486">
        <v>0</v>
      </c>
      <c r="G3486">
        <v>0</v>
      </c>
      <c r="H3486" t="s">
        <v>19447</v>
      </c>
      <c r="I3486" t="s">
        <v>19447</v>
      </c>
      <c r="J3486">
        <v>2</v>
      </c>
      <c r="L3486" t="s">
        <v>2709</v>
      </c>
      <c r="M3486">
        <v>29399119</v>
      </c>
      <c r="O3486" t="s">
        <v>20028</v>
      </c>
      <c r="P3486" t="s">
        <v>19900</v>
      </c>
      <c r="Q3486" t="s">
        <v>19900</v>
      </c>
      <c r="R3486" t="s">
        <v>19447</v>
      </c>
      <c r="S3486" t="s">
        <v>19447</v>
      </c>
      <c r="T3486" t="s">
        <v>19901</v>
      </c>
    </row>
    <row r="3487" spans="2:20" x14ac:dyDescent="0.25">
      <c r="B3487" t="s">
        <v>2709</v>
      </c>
      <c r="C3487">
        <v>29399120</v>
      </c>
      <c r="E3487">
        <v>68.819999999999993</v>
      </c>
      <c r="F3487">
        <v>0</v>
      </c>
      <c r="G3487">
        <v>0</v>
      </c>
      <c r="H3487" t="s">
        <v>19447</v>
      </c>
      <c r="I3487" t="s">
        <v>19447</v>
      </c>
      <c r="J3487">
        <v>2</v>
      </c>
      <c r="L3487" t="s">
        <v>2709</v>
      </c>
      <c r="M3487">
        <v>29399120</v>
      </c>
      <c r="O3487" t="s">
        <v>20028</v>
      </c>
      <c r="P3487" t="s">
        <v>19900</v>
      </c>
      <c r="Q3487" t="s">
        <v>19900</v>
      </c>
      <c r="R3487" t="s">
        <v>19447</v>
      </c>
      <c r="S3487" t="s">
        <v>19447</v>
      </c>
      <c r="T3487" t="s">
        <v>19901</v>
      </c>
    </row>
    <row r="3488" spans="2:20" x14ac:dyDescent="0.25">
      <c r="B3488" t="s">
        <v>2709</v>
      </c>
      <c r="C3488">
        <v>29399130</v>
      </c>
      <c r="E3488">
        <v>68.819999999999993</v>
      </c>
      <c r="F3488">
        <v>0</v>
      </c>
      <c r="G3488">
        <v>0</v>
      </c>
      <c r="H3488" t="s">
        <v>19447</v>
      </c>
      <c r="I3488" t="s">
        <v>19447</v>
      </c>
      <c r="J3488">
        <v>2</v>
      </c>
      <c r="L3488" t="s">
        <v>2709</v>
      </c>
      <c r="M3488">
        <v>29399130</v>
      </c>
      <c r="O3488" t="s">
        <v>20028</v>
      </c>
      <c r="P3488" t="s">
        <v>19900</v>
      </c>
      <c r="Q3488" t="s">
        <v>19900</v>
      </c>
      <c r="R3488" t="s">
        <v>19447</v>
      </c>
      <c r="S3488" t="s">
        <v>19447</v>
      </c>
      <c r="T3488" t="s">
        <v>19901</v>
      </c>
    </row>
    <row r="3489" spans="2:20" x14ac:dyDescent="0.25">
      <c r="B3489" t="s">
        <v>2709</v>
      </c>
      <c r="C3489">
        <v>29399140</v>
      </c>
      <c r="E3489">
        <v>68.819999999999993</v>
      </c>
      <c r="F3489">
        <v>0</v>
      </c>
      <c r="G3489">
        <v>0</v>
      </c>
      <c r="H3489" t="s">
        <v>19447</v>
      </c>
      <c r="I3489" t="s">
        <v>19447</v>
      </c>
      <c r="J3489">
        <v>2</v>
      </c>
      <c r="L3489" t="s">
        <v>2709</v>
      </c>
      <c r="M3489">
        <v>29399140</v>
      </c>
      <c r="O3489" t="s">
        <v>20028</v>
      </c>
      <c r="P3489" t="s">
        <v>19900</v>
      </c>
      <c r="Q3489" t="s">
        <v>19900</v>
      </c>
      <c r="R3489" t="s">
        <v>19447</v>
      </c>
      <c r="S3489" t="s">
        <v>19447</v>
      </c>
      <c r="T3489" t="s">
        <v>19901</v>
      </c>
    </row>
    <row r="3490" spans="2:20" x14ac:dyDescent="0.25">
      <c r="B3490" t="s">
        <v>2709</v>
      </c>
      <c r="C3490">
        <v>29399911</v>
      </c>
      <c r="E3490">
        <v>68.819999999999993</v>
      </c>
      <c r="F3490">
        <v>0</v>
      </c>
      <c r="G3490">
        <v>0</v>
      </c>
      <c r="H3490" t="s">
        <v>19447</v>
      </c>
      <c r="I3490" t="s">
        <v>19447</v>
      </c>
      <c r="J3490">
        <v>2</v>
      </c>
      <c r="L3490" t="s">
        <v>2709</v>
      </c>
      <c r="M3490">
        <v>29399911</v>
      </c>
      <c r="O3490" t="s">
        <v>20028</v>
      </c>
      <c r="P3490" t="s">
        <v>19900</v>
      </c>
      <c r="Q3490" t="s">
        <v>19900</v>
      </c>
      <c r="R3490" t="s">
        <v>19447</v>
      </c>
      <c r="S3490" t="s">
        <v>19447</v>
      </c>
      <c r="T3490" t="s">
        <v>19901</v>
      </c>
    </row>
    <row r="3491" spans="2:20" x14ac:dyDescent="0.25">
      <c r="B3491" t="s">
        <v>2709</v>
      </c>
      <c r="C3491">
        <v>29399919</v>
      </c>
      <c r="E3491">
        <v>68.819999999999993</v>
      </c>
      <c r="F3491">
        <v>0</v>
      </c>
      <c r="G3491">
        <v>0</v>
      </c>
      <c r="H3491" t="s">
        <v>19447</v>
      </c>
      <c r="I3491" t="s">
        <v>19447</v>
      </c>
      <c r="J3491">
        <v>2</v>
      </c>
      <c r="L3491" t="s">
        <v>2709</v>
      </c>
      <c r="M3491">
        <v>29399919</v>
      </c>
      <c r="O3491" t="s">
        <v>20028</v>
      </c>
      <c r="P3491" t="s">
        <v>19900</v>
      </c>
      <c r="Q3491" t="s">
        <v>19900</v>
      </c>
      <c r="R3491" t="s">
        <v>19447</v>
      </c>
      <c r="S3491" t="s">
        <v>19447</v>
      </c>
      <c r="T3491" t="s">
        <v>19901</v>
      </c>
    </row>
    <row r="3492" spans="2:20" x14ac:dyDescent="0.25">
      <c r="B3492" t="s">
        <v>2709</v>
      </c>
      <c r="C3492">
        <v>29399920</v>
      </c>
      <c r="E3492">
        <v>68.819999999999993</v>
      </c>
      <c r="F3492">
        <v>0</v>
      </c>
      <c r="G3492">
        <v>0</v>
      </c>
      <c r="H3492" t="s">
        <v>19447</v>
      </c>
      <c r="I3492" t="s">
        <v>19447</v>
      </c>
      <c r="J3492">
        <v>2</v>
      </c>
      <c r="L3492" t="s">
        <v>2709</v>
      </c>
      <c r="M3492">
        <v>29399920</v>
      </c>
      <c r="O3492" t="s">
        <v>20028</v>
      </c>
      <c r="P3492" t="s">
        <v>19900</v>
      </c>
      <c r="Q3492" t="s">
        <v>19900</v>
      </c>
      <c r="R3492" t="s">
        <v>19447</v>
      </c>
      <c r="S3492" t="s">
        <v>19447</v>
      </c>
      <c r="T3492" t="s">
        <v>19901</v>
      </c>
    </row>
    <row r="3493" spans="2:20" x14ac:dyDescent="0.25">
      <c r="B3493" t="s">
        <v>2709</v>
      </c>
      <c r="C3493">
        <v>29399931</v>
      </c>
      <c r="E3493">
        <v>68.819999999999993</v>
      </c>
      <c r="F3493">
        <v>0</v>
      </c>
      <c r="G3493">
        <v>0</v>
      </c>
      <c r="H3493" t="s">
        <v>19447</v>
      </c>
      <c r="I3493" t="s">
        <v>19447</v>
      </c>
      <c r="J3493">
        <v>14</v>
      </c>
      <c r="L3493" t="s">
        <v>2709</v>
      </c>
      <c r="M3493">
        <v>29399931</v>
      </c>
      <c r="O3493" t="s">
        <v>20028</v>
      </c>
      <c r="P3493" t="s">
        <v>19900</v>
      </c>
      <c r="Q3493" t="s">
        <v>19900</v>
      </c>
      <c r="R3493" t="s">
        <v>19447</v>
      </c>
      <c r="S3493" t="s">
        <v>19447</v>
      </c>
      <c r="T3493" t="s">
        <v>19911</v>
      </c>
    </row>
    <row r="3494" spans="2:20" x14ac:dyDescent="0.25">
      <c r="B3494" t="s">
        <v>2709</v>
      </c>
      <c r="C3494">
        <v>29399939</v>
      </c>
      <c r="E3494">
        <v>68.819999999999993</v>
      </c>
      <c r="F3494">
        <v>0</v>
      </c>
      <c r="G3494">
        <v>0</v>
      </c>
      <c r="H3494" t="s">
        <v>19447</v>
      </c>
      <c r="I3494" t="s">
        <v>19447</v>
      </c>
      <c r="J3494">
        <v>2</v>
      </c>
      <c r="L3494" t="s">
        <v>2709</v>
      </c>
      <c r="M3494">
        <v>29399939</v>
      </c>
      <c r="O3494" t="s">
        <v>20028</v>
      </c>
      <c r="P3494" t="s">
        <v>19900</v>
      </c>
      <c r="Q3494" t="s">
        <v>19900</v>
      </c>
      <c r="R3494" t="s">
        <v>19447</v>
      </c>
      <c r="S3494" t="s">
        <v>19447</v>
      </c>
      <c r="T3494" t="s">
        <v>19901</v>
      </c>
    </row>
    <row r="3495" spans="2:20" x14ac:dyDescent="0.25">
      <c r="B3495" t="s">
        <v>2709</v>
      </c>
      <c r="C3495">
        <v>29399940</v>
      </c>
      <c r="E3495">
        <v>68.819999999999993</v>
      </c>
      <c r="F3495">
        <v>0</v>
      </c>
      <c r="G3495">
        <v>0</v>
      </c>
      <c r="H3495" t="s">
        <v>19447</v>
      </c>
      <c r="I3495" t="s">
        <v>19447</v>
      </c>
      <c r="J3495">
        <v>14</v>
      </c>
      <c r="L3495" t="s">
        <v>2709</v>
      </c>
      <c r="M3495">
        <v>29399940</v>
      </c>
      <c r="O3495" t="s">
        <v>20028</v>
      </c>
      <c r="P3495" t="s">
        <v>19900</v>
      </c>
      <c r="Q3495" t="s">
        <v>19900</v>
      </c>
      <c r="R3495" t="s">
        <v>19447</v>
      </c>
      <c r="S3495" t="s">
        <v>19447</v>
      </c>
      <c r="T3495" t="s">
        <v>19911</v>
      </c>
    </row>
    <row r="3496" spans="2:20" x14ac:dyDescent="0.25">
      <c r="B3496" t="s">
        <v>2709</v>
      </c>
      <c r="C3496">
        <v>29399990</v>
      </c>
      <c r="E3496">
        <v>68.819999999999993</v>
      </c>
      <c r="F3496">
        <v>0</v>
      </c>
      <c r="G3496">
        <v>0</v>
      </c>
      <c r="H3496" t="s">
        <v>19447</v>
      </c>
      <c r="I3496" t="s">
        <v>19447</v>
      </c>
      <c r="J3496">
        <v>2</v>
      </c>
      <c r="L3496" t="s">
        <v>2709</v>
      </c>
      <c r="M3496">
        <v>29399990</v>
      </c>
      <c r="O3496" t="s">
        <v>20028</v>
      </c>
      <c r="P3496" t="s">
        <v>19900</v>
      </c>
      <c r="Q3496" t="s">
        <v>19900</v>
      </c>
      <c r="R3496" t="s">
        <v>19447</v>
      </c>
      <c r="S3496" t="s">
        <v>19447</v>
      </c>
      <c r="T3496" t="s">
        <v>19901</v>
      </c>
    </row>
    <row r="3497" spans="2:20" x14ac:dyDescent="0.25">
      <c r="B3497" t="s">
        <v>2709</v>
      </c>
      <c r="C3497">
        <v>29400011</v>
      </c>
      <c r="E3497">
        <v>68.819999999999993</v>
      </c>
      <c r="F3497">
        <v>0</v>
      </c>
      <c r="G3497">
        <v>0</v>
      </c>
      <c r="H3497" t="s">
        <v>19447</v>
      </c>
      <c r="I3497" t="s">
        <v>19447</v>
      </c>
      <c r="J3497">
        <v>2</v>
      </c>
      <c r="L3497" t="s">
        <v>2709</v>
      </c>
      <c r="M3497">
        <v>29400011</v>
      </c>
      <c r="O3497" t="s">
        <v>20028</v>
      </c>
      <c r="P3497" t="s">
        <v>19900</v>
      </c>
      <c r="Q3497" t="s">
        <v>19900</v>
      </c>
      <c r="R3497" t="s">
        <v>19447</v>
      </c>
      <c r="S3497" t="s">
        <v>19447</v>
      </c>
      <c r="T3497" t="s">
        <v>19901</v>
      </c>
    </row>
    <row r="3498" spans="2:20" x14ac:dyDescent="0.25">
      <c r="B3498" t="s">
        <v>2709</v>
      </c>
      <c r="C3498">
        <v>29400012</v>
      </c>
      <c r="E3498">
        <v>68.819999999999993</v>
      </c>
      <c r="F3498">
        <v>0</v>
      </c>
      <c r="G3498">
        <v>0</v>
      </c>
      <c r="H3498" t="s">
        <v>19447</v>
      </c>
      <c r="I3498" t="s">
        <v>19447</v>
      </c>
      <c r="J3498">
        <v>14</v>
      </c>
      <c r="L3498" t="s">
        <v>2709</v>
      </c>
      <c r="M3498">
        <v>29400012</v>
      </c>
      <c r="O3498" t="s">
        <v>20028</v>
      </c>
      <c r="P3498" t="s">
        <v>19900</v>
      </c>
      <c r="Q3498" t="s">
        <v>19900</v>
      </c>
      <c r="R3498" t="s">
        <v>19447</v>
      </c>
      <c r="S3498" t="s">
        <v>19447</v>
      </c>
      <c r="T3498" t="s">
        <v>19911</v>
      </c>
    </row>
    <row r="3499" spans="2:20" x14ac:dyDescent="0.25">
      <c r="B3499" t="s">
        <v>2709</v>
      </c>
      <c r="C3499">
        <v>29400013</v>
      </c>
      <c r="E3499">
        <v>68.819999999999993</v>
      </c>
      <c r="F3499">
        <v>0</v>
      </c>
      <c r="G3499">
        <v>0</v>
      </c>
      <c r="H3499" t="s">
        <v>19447</v>
      </c>
      <c r="I3499" t="s">
        <v>19447</v>
      </c>
      <c r="J3499">
        <v>14</v>
      </c>
      <c r="L3499" t="s">
        <v>2709</v>
      </c>
      <c r="M3499">
        <v>29400013</v>
      </c>
      <c r="O3499" t="s">
        <v>20028</v>
      </c>
      <c r="P3499" t="s">
        <v>19900</v>
      </c>
      <c r="Q3499" t="s">
        <v>19900</v>
      </c>
      <c r="R3499" t="s">
        <v>19447</v>
      </c>
      <c r="S3499" t="s">
        <v>19447</v>
      </c>
      <c r="T3499" t="s">
        <v>19911</v>
      </c>
    </row>
    <row r="3500" spans="2:20" x14ac:dyDescent="0.25">
      <c r="B3500" t="s">
        <v>2709</v>
      </c>
      <c r="C3500">
        <v>29400019</v>
      </c>
      <c r="E3500">
        <v>68.819999999999993</v>
      </c>
      <c r="F3500">
        <v>0</v>
      </c>
      <c r="G3500">
        <v>0</v>
      </c>
      <c r="H3500" t="s">
        <v>19447</v>
      </c>
      <c r="I3500" t="s">
        <v>19447</v>
      </c>
      <c r="J3500">
        <v>2</v>
      </c>
      <c r="L3500" t="s">
        <v>2709</v>
      </c>
      <c r="M3500">
        <v>29400019</v>
      </c>
      <c r="O3500" t="s">
        <v>20028</v>
      </c>
      <c r="P3500" t="s">
        <v>19900</v>
      </c>
      <c r="Q3500" t="s">
        <v>19900</v>
      </c>
      <c r="R3500" t="s">
        <v>19447</v>
      </c>
      <c r="S3500" t="s">
        <v>19447</v>
      </c>
      <c r="T3500" t="s">
        <v>19901</v>
      </c>
    </row>
    <row r="3501" spans="2:20" x14ac:dyDescent="0.25">
      <c r="B3501" t="s">
        <v>2709</v>
      </c>
      <c r="C3501">
        <v>29400021</v>
      </c>
      <c r="E3501">
        <v>68.819999999999993</v>
      </c>
      <c r="F3501">
        <v>0</v>
      </c>
      <c r="G3501">
        <v>0</v>
      </c>
      <c r="H3501" t="s">
        <v>19447</v>
      </c>
      <c r="I3501" t="s">
        <v>19447</v>
      </c>
      <c r="J3501">
        <v>12</v>
      </c>
      <c r="L3501" t="s">
        <v>2709</v>
      </c>
      <c r="M3501">
        <v>29400021</v>
      </c>
      <c r="O3501" t="s">
        <v>20028</v>
      </c>
      <c r="P3501" t="s">
        <v>19900</v>
      </c>
      <c r="Q3501" t="s">
        <v>19900</v>
      </c>
      <c r="R3501" t="s">
        <v>19447</v>
      </c>
      <c r="S3501" t="s">
        <v>19447</v>
      </c>
      <c r="T3501" t="s">
        <v>19903</v>
      </c>
    </row>
    <row r="3502" spans="2:20" x14ac:dyDescent="0.25">
      <c r="B3502" t="s">
        <v>2709</v>
      </c>
      <c r="C3502">
        <v>29400022</v>
      </c>
      <c r="E3502">
        <v>68.819999999999993</v>
      </c>
      <c r="F3502">
        <v>0</v>
      </c>
      <c r="G3502">
        <v>0</v>
      </c>
      <c r="H3502" t="s">
        <v>19447</v>
      </c>
      <c r="I3502" t="s">
        <v>19447</v>
      </c>
      <c r="J3502">
        <v>12</v>
      </c>
      <c r="L3502" t="s">
        <v>2709</v>
      </c>
      <c r="M3502">
        <v>29400022</v>
      </c>
      <c r="O3502" t="s">
        <v>20028</v>
      </c>
      <c r="P3502" t="s">
        <v>19900</v>
      </c>
      <c r="Q3502" t="s">
        <v>19900</v>
      </c>
      <c r="R3502" t="s">
        <v>19447</v>
      </c>
      <c r="S3502" t="s">
        <v>19447</v>
      </c>
      <c r="T3502" t="s">
        <v>19903</v>
      </c>
    </row>
    <row r="3503" spans="2:20" x14ac:dyDescent="0.25">
      <c r="B3503" t="s">
        <v>2709</v>
      </c>
      <c r="C3503">
        <v>29400023</v>
      </c>
      <c r="E3503">
        <v>68.819999999999993</v>
      </c>
      <c r="F3503">
        <v>0</v>
      </c>
      <c r="G3503">
        <v>0</v>
      </c>
      <c r="H3503" t="s">
        <v>19447</v>
      </c>
      <c r="I3503" t="s">
        <v>19447</v>
      </c>
      <c r="J3503">
        <v>2</v>
      </c>
      <c r="L3503" t="s">
        <v>2709</v>
      </c>
      <c r="M3503">
        <v>29400023</v>
      </c>
      <c r="O3503" t="s">
        <v>20028</v>
      </c>
      <c r="P3503" t="s">
        <v>19900</v>
      </c>
      <c r="Q3503" t="s">
        <v>19900</v>
      </c>
      <c r="R3503" t="s">
        <v>19447</v>
      </c>
      <c r="S3503" t="s">
        <v>19447</v>
      </c>
      <c r="T3503" t="s">
        <v>19901</v>
      </c>
    </row>
    <row r="3504" spans="2:20" x14ac:dyDescent="0.25">
      <c r="B3504" t="s">
        <v>2709</v>
      </c>
      <c r="C3504">
        <v>29400029</v>
      </c>
      <c r="E3504">
        <v>68.819999999999993</v>
      </c>
      <c r="F3504">
        <v>0</v>
      </c>
      <c r="G3504">
        <v>0</v>
      </c>
      <c r="H3504" t="s">
        <v>19447</v>
      </c>
      <c r="I3504" t="s">
        <v>19447</v>
      </c>
      <c r="J3504">
        <v>2</v>
      </c>
      <c r="L3504" t="s">
        <v>2709</v>
      </c>
      <c r="M3504">
        <v>29400029</v>
      </c>
      <c r="O3504" t="s">
        <v>20028</v>
      </c>
      <c r="P3504" t="s">
        <v>19900</v>
      </c>
      <c r="Q3504" t="s">
        <v>19900</v>
      </c>
      <c r="R3504" t="s">
        <v>19447</v>
      </c>
      <c r="S3504" t="s">
        <v>19447</v>
      </c>
      <c r="T3504" t="s">
        <v>19901</v>
      </c>
    </row>
    <row r="3505" spans="2:20" x14ac:dyDescent="0.25">
      <c r="B3505" t="s">
        <v>2709</v>
      </c>
      <c r="C3505">
        <v>29400092</v>
      </c>
      <c r="E3505">
        <v>68.819999999999993</v>
      </c>
      <c r="F3505">
        <v>0</v>
      </c>
      <c r="G3505">
        <v>0</v>
      </c>
      <c r="H3505" t="s">
        <v>19447</v>
      </c>
      <c r="I3505" t="s">
        <v>19447</v>
      </c>
      <c r="J3505">
        <v>2</v>
      </c>
      <c r="L3505" t="s">
        <v>2709</v>
      </c>
      <c r="M3505">
        <v>29400092</v>
      </c>
      <c r="O3505" t="s">
        <v>20028</v>
      </c>
      <c r="P3505" t="s">
        <v>19900</v>
      </c>
      <c r="Q3505" t="s">
        <v>19900</v>
      </c>
      <c r="R3505" t="s">
        <v>19447</v>
      </c>
      <c r="S3505" t="s">
        <v>19447</v>
      </c>
      <c r="T3505" t="s">
        <v>19901</v>
      </c>
    </row>
    <row r="3506" spans="2:20" x14ac:dyDescent="0.25">
      <c r="B3506" t="s">
        <v>2709</v>
      </c>
      <c r="C3506">
        <v>29400093</v>
      </c>
      <c r="E3506">
        <v>42.33</v>
      </c>
      <c r="F3506">
        <v>0</v>
      </c>
      <c r="G3506">
        <v>0</v>
      </c>
      <c r="H3506" t="s">
        <v>19447</v>
      </c>
      <c r="I3506" t="s">
        <v>19447</v>
      </c>
      <c r="J3506">
        <v>14</v>
      </c>
      <c r="L3506" t="s">
        <v>2709</v>
      </c>
      <c r="M3506">
        <v>29400093</v>
      </c>
      <c r="O3506" t="s">
        <v>19920</v>
      </c>
      <c r="P3506" t="s">
        <v>19900</v>
      </c>
      <c r="Q3506" t="s">
        <v>19900</v>
      </c>
      <c r="R3506" t="s">
        <v>19447</v>
      </c>
      <c r="S3506" t="s">
        <v>19447</v>
      </c>
      <c r="T3506" t="s">
        <v>19911</v>
      </c>
    </row>
    <row r="3507" spans="2:20" x14ac:dyDescent="0.25">
      <c r="B3507" t="s">
        <v>2709</v>
      </c>
      <c r="C3507">
        <v>29400094</v>
      </c>
      <c r="E3507">
        <v>68.819999999999993</v>
      </c>
      <c r="F3507">
        <v>0</v>
      </c>
      <c r="G3507">
        <v>0</v>
      </c>
      <c r="H3507" t="s">
        <v>19447</v>
      </c>
      <c r="I3507" t="s">
        <v>19447</v>
      </c>
      <c r="J3507">
        <v>2</v>
      </c>
      <c r="L3507" t="s">
        <v>2709</v>
      </c>
      <c r="M3507">
        <v>29400094</v>
      </c>
      <c r="O3507" t="s">
        <v>20028</v>
      </c>
      <c r="P3507" t="s">
        <v>19900</v>
      </c>
      <c r="Q3507" t="s">
        <v>19900</v>
      </c>
      <c r="R3507" t="s">
        <v>19447</v>
      </c>
      <c r="S3507" t="s">
        <v>19447</v>
      </c>
      <c r="T3507" t="s">
        <v>19901</v>
      </c>
    </row>
    <row r="3508" spans="2:20" x14ac:dyDescent="0.25">
      <c r="B3508" t="s">
        <v>2709</v>
      </c>
      <c r="C3508">
        <v>29400099</v>
      </c>
      <c r="E3508">
        <v>68.819999999999993</v>
      </c>
      <c r="F3508">
        <v>0</v>
      </c>
      <c r="G3508">
        <v>0</v>
      </c>
      <c r="H3508" t="s">
        <v>19447</v>
      </c>
      <c r="I3508" t="s">
        <v>19447</v>
      </c>
      <c r="J3508">
        <v>2</v>
      </c>
      <c r="L3508" t="s">
        <v>2709</v>
      </c>
      <c r="M3508">
        <v>29400099</v>
      </c>
      <c r="O3508" t="s">
        <v>20028</v>
      </c>
      <c r="P3508" t="s">
        <v>19900</v>
      </c>
      <c r="Q3508" t="s">
        <v>19900</v>
      </c>
      <c r="R3508" t="s">
        <v>19447</v>
      </c>
      <c r="S3508" t="s">
        <v>19447</v>
      </c>
      <c r="T3508" t="s">
        <v>19901</v>
      </c>
    </row>
    <row r="3509" spans="2:20" x14ac:dyDescent="0.25">
      <c r="B3509" t="s">
        <v>2709</v>
      </c>
      <c r="C3509">
        <v>29411010</v>
      </c>
      <c r="E3509">
        <v>68.819999999999993</v>
      </c>
      <c r="F3509">
        <v>0</v>
      </c>
      <c r="G3509">
        <v>0</v>
      </c>
      <c r="H3509" t="s">
        <v>19447</v>
      </c>
      <c r="I3509" t="s">
        <v>19447</v>
      </c>
      <c r="J3509">
        <v>2</v>
      </c>
      <c r="L3509" t="s">
        <v>2709</v>
      </c>
      <c r="M3509">
        <v>29411010</v>
      </c>
      <c r="O3509" t="s">
        <v>20028</v>
      </c>
      <c r="P3509" t="s">
        <v>19900</v>
      </c>
      <c r="Q3509" t="s">
        <v>19900</v>
      </c>
      <c r="R3509" t="s">
        <v>19447</v>
      </c>
      <c r="S3509" t="s">
        <v>19447</v>
      </c>
      <c r="T3509" t="s">
        <v>19901</v>
      </c>
    </row>
    <row r="3510" spans="2:20" x14ac:dyDescent="0.25">
      <c r="B3510" t="s">
        <v>2709</v>
      </c>
      <c r="C3510">
        <v>29411020</v>
      </c>
      <c r="E3510">
        <v>68.819999999999993</v>
      </c>
      <c r="F3510">
        <v>0</v>
      </c>
      <c r="G3510">
        <v>0</v>
      </c>
      <c r="H3510" t="s">
        <v>19447</v>
      </c>
      <c r="I3510" t="s">
        <v>19447</v>
      </c>
      <c r="J3510">
        <v>2</v>
      </c>
      <c r="L3510" t="s">
        <v>2709</v>
      </c>
      <c r="M3510">
        <v>29411020</v>
      </c>
      <c r="O3510" t="s">
        <v>20028</v>
      </c>
      <c r="P3510" t="s">
        <v>19900</v>
      </c>
      <c r="Q3510" t="s">
        <v>19900</v>
      </c>
      <c r="R3510" t="s">
        <v>19447</v>
      </c>
      <c r="S3510" t="s">
        <v>19447</v>
      </c>
      <c r="T3510" t="s">
        <v>19901</v>
      </c>
    </row>
    <row r="3511" spans="2:20" x14ac:dyDescent="0.25">
      <c r="B3511" t="s">
        <v>2709</v>
      </c>
      <c r="C3511">
        <v>29411031</v>
      </c>
      <c r="E3511">
        <v>68.819999999999993</v>
      </c>
      <c r="F3511">
        <v>0</v>
      </c>
      <c r="G3511">
        <v>0</v>
      </c>
      <c r="H3511" t="s">
        <v>19447</v>
      </c>
      <c r="I3511" t="s">
        <v>19447</v>
      </c>
      <c r="J3511">
        <v>2</v>
      </c>
      <c r="L3511" t="s">
        <v>2709</v>
      </c>
      <c r="M3511">
        <v>29411031</v>
      </c>
      <c r="O3511" t="s">
        <v>20028</v>
      </c>
      <c r="P3511" t="s">
        <v>19900</v>
      </c>
      <c r="Q3511" t="s">
        <v>19900</v>
      </c>
      <c r="R3511" t="s">
        <v>19447</v>
      </c>
      <c r="S3511" t="s">
        <v>19447</v>
      </c>
      <c r="T3511" t="s">
        <v>19901</v>
      </c>
    </row>
    <row r="3512" spans="2:20" x14ac:dyDescent="0.25">
      <c r="B3512" t="s">
        <v>2709</v>
      </c>
      <c r="C3512">
        <v>29411039</v>
      </c>
      <c r="E3512">
        <v>68.819999999999993</v>
      </c>
      <c r="F3512">
        <v>0</v>
      </c>
      <c r="G3512">
        <v>0</v>
      </c>
      <c r="H3512" t="s">
        <v>19447</v>
      </c>
      <c r="I3512" t="s">
        <v>19447</v>
      </c>
      <c r="J3512">
        <v>2</v>
      </c>
      <c r="L3512" t="s">
        <v>2709</v>
      </c>
      <c r="M3512">
        <v>29411039</v>
      </c>
      <c r="O3512" t="s">
        <v>20028</v>
      </c>
      <c r="P3512" t="s">
        <v>19900</v>
      </c>
      <c r="Q3512" t="s">
        <v>19900</v>
      </c>
      <c r="R3512" t="s">
        <v>19447</v>
      </c>
      <c r="S3512" t="s">
        <v>19447</v>
      </c>
      <c r="T3512" t="s">
        <v>19901</v>
      </c>
    </row>
    <row r="3513" spans="2:20" x14ac:dyDescent="0.25">
      <c r="B3513" t="s">
        <v>2709</v>
      </c>
      <c r="C3513">
        <v>29411041</v>
      </c>
      <c r="E3513">
        <v>68.819999999999993</v>
      </c>
      <c r="F3513">
        <v>0</v>
      </c>
      <c r="G3513">
        <v>0</v>
      </c>
      <c r="H3513" t="s">
        <v>19447</v>
      </c>
      <c r="I3513" t="s">
        <v>19447</v>
      </c>
      <c r="J3513">
        <v>14</v>
      </c>
      <c r="L3513" t="s">
        <v>2709</v>
      </c>
      <c r="M3513">
        <v>29411041</v>
      </c>
      <c r="O3513" t="s">
        <v>20028</v>
      </c>
      <c r="P3513" t="s">
        <v>19900</v>
      </c>
      <c r="Q3513" t="s">
        <v>19900</v>
      </c>
      <c r="R3513" t="s">
        <v>19447</v>
      </c>
      <c r="S3513" t="s">
        <v>19447</v>
      </c>
      <c r="T3513" t="s">
        <v>19911</v>
      </c>
    </row>
    <row r="3514" spans="2:20" x14ac:dyDescent="0.25">
      <c r="B3514" t="s">
        <v>2709</v>
      </c>
      <c r="C3514">
        <v>29411042</v>
      </c>
      <c r="E3514">
        <v>68.819999999999993</v>
      </c>
      <c r="F3514">
        <v>0</v>
      </c>
      <c r="G3514">
        <v>0</v>
      </c>
      <c r="H3514" t="s">
        <v>19447</v>
      </c>
      <c r="I3514" t="s">
        <v>19447</v>
      </c>
      <c r="J3514">
        <v>14</v>
      </c>
      <c r="L3514" t="s">
        <v>2709</v>
      </c>
      <c r="M3514">
        <v>29411042</v>
      </c>
      <c r="O3514" t="s">
        <v>20028</v>
      </c>
      <c r="P3514" t="s">
        <v>19900</v>
      </c>
      <c r="Q3514" t="s">
        <v>19900</v>
      </c>
      <c r="R3514" t="s">
        <v>19447</v>
      </c>
      <c r="S3514" t="s">
        <v>19447</v>
      </c>
      <c r="T3514" t="s">
        <v>19911</v>
      </c>
    </row>
    <row r="3515" spans="2:20" x14ac:dyDescent="0.25">
      <c r="B3515" t="s">
        <v>2709</v>
      </c>
      <c r="C3515">
        <v>29411043</v>
      </c>
      <c r="E3515">
        <v>68.819999999999993</v>
      </c>
      <c r="F3515">
        <v>0</v>
      </c>
      <c r="G3515">
        <v>0</v>
      </c>
      <c r="H3515" t="s">
        <v>19447</v>
      </c>
      <c r="I3515" t="s">
        <v>19447</v>
      </c>
      <c r="J3515">
        <v>14</v>
      </c>
      <c r="L3515" t="s">
        <v>2709</v>
      </c>
      <c r="M3515">
        <v>29411043</v>
      </c>
      <c r="O3515" t="s">
        <v>20028</v>
      </c>
      <c r="P3515" t="s">
        <v>19900</v>
      </c>
      <c r="Q3515" t="s">
        <v>19900</v>
      </c>
      <c r="R3515" t="s">
        <v>19447</v>
      </c>
      <c r="S3515" t="s">
        <v>19447</v>
      </c>
      <c r="T3515" t="s">
        <v>19911</v>
      </c>
    </row>
    <row r="3516" spans="2:20" x14ac:dyDescent="0.25">
      <c r="B3516" t="s">
        <v>2709</v>
      </c>
      <c r="C3516">
        <v>29411049</v>
      </c>
      <c r="E3516">
        <v>68.819999999999993</v>
      </c>
      <c r="F3516">
        <v>0</v>
      </c>
      <c r="G3516">
        <v>0</v>
      </c>
      <c r="H3516" t="s">
        <v>19447</v>
      </c>
      <c r="I3516" t="s">
        <v>19447</v>
      </c>
      <c r="J3516">
        <v>2</v>
      </c>
      <c r="L3516" t="s">
        <v>2709</v>
      </c>
      <c r="M3516">
        <v>29411049</v>
      </c>
      <c r="O3516" t="s">
        <v>20028</v>
      </c>
      <c r="P3516" t="s">
        <v>19900</v>
      </c>
      <c r="Q3516" t="s">
        <v>19900</v>
      </c>
      <c r="R3516" t="s">
        <v>19447</v>
      </c>
      <c r="S3516" t="s">
        <v>19447</v>
      </c>
      <c r="T3516" t="s">
        <v>19901</v>
      </c>
    </row>
    <row r="3517" spans="2:20" x14ac:dyDescent="0.25">
      <c r="B3517" t="s">
        <v>2709</v>
      </c>
      <c r="C3517">
        <v>29411090</v>
      </c>
      <c r="E3517">
        <v>68.819999999999993</v>
      </c>
      <c r="F3517">
        <v>0</v>
      </c>
      <c r="G3517">
        <v>0</v>
      </c>
      <c r="H3517" t="s">
        <v>19447</v>
      </c>
      <c r="I3517" t="s">
        <v>19447</v>
      </c>
      <c r="J3517">
        <v>2</v>
      </c>
      <c r="L3517" t="s">
        <v>2709</v>
      </c>
      <c r="M3517">
        <v>29411090</v>
      </c>
      <c r="O3517" t="s">
        <v>20028</v>
      </c>
      <c r="P3517" t="s">
        <v>19900</v>
      </c>
      <c r="Q3517" t="s">
        <v>19900</v>
      </c>
      <c r="R3517" t="s">
        <v>19447</v>
      </c>
      <c r="S3517" t="s">
        <v>19447</v>
      </c>
      <c r="T3517" t="s">
        <v>19901</v>
      </c>
    </row>
    <row r="3518" spans="2:20" x14ac:dyDescent="0.25">
      <c r="B3518" t="s">
        <v>2709</v>
      </c>
      <c r="C3518">
        <v>29412010</v>
      </c>
      <c r="E3518">
        <v>68.819999999999993</v>
      </c>
      <c r="F3518">
        <v>0</v>
      </c>
      <c r="G3518">
        <v>0</v>
      </c>
      <c r="H3518" t="s">
        <v>19447</v>
      </c>
      <c r="I3518" t="s">
        <v>19447</v>
      </c>
      <c r="J3518">
        <v>2</v>
      </c>
      <c r="L3518" t="s">
        <v>2709</v>
      </c>
      <c r="M3518">
        <v>29412010</v>
      </c>
      <c r="O3518" t="s">
        <v>20028</v>
      </c>
      <c r="P3518" t="s">
        <v>19900</v>
      </c>
      <c r="Q3518" t="s">
        <v>19900</v>
      </c>
      <c r="R3518" t="s">
        <v>19447</v>
      </c>
      <c r="S3518" t="s">
        <v>19447</v>
      </c>
      <c r="T3518" t="s">
        <v>19901</v>
      </c>
    </row>
    <row r="3519" spans="2:20" x14ac:dyDescent="0.25">
      <c r="B3519" t="s">
        <v>2709</v>
      </c>
      <c r="C3519">
        <v>29412090</v>
      </c>
      <c r="E3519">
        <v>68.819999999999993</v>
      </c>
      <c r="F3519">
        <v>0</v>
      </c>
      <c r="G3519">
        <v>0</v>
      </c>
      <c r="H3519" t="s">
        <v>19447</v>
      </c>
      <c r="I3519" t="s">
        <v>19447</v>
      </c>
      <c r="J3519">
        <v>2</v>
      </c>
      <c r="L3519" t="s">
        <v>2709</v>
      </c>
      <c r="M3519">
        <v>29412090</v>
      </c>
      <c r="O3519" t="s">
        <v>20028</v>
      </c>
      <c r="P3519" t="s">
        <v>19900</v>
      </c>
      <c r="Q3519" t="s">
        <v>19900</v>
      </c>
      <c r="R3519" t="s">
        <v>19447</v>
      </c>
      <c r="S3519" t="s">
        <v>19447</v>
      </c>
      <c r="T3519" t="s">
        <v>19901</v>
      </c>
    </row>
    <row r="3520" spans="2:20" x14ac:dyDescent="0.25">
      <c r="B3520" t="s">
        <v>2709</v>
      </c>
      <c r="C3520">
        <v>29413010</v>
      </c>
      <c r="E3520">
        <v>68.819999999999993</v>
      </c>
      <c r="F3520">
        <v>0</v>
      </c>
      <c r="G3520">
        <v>0</v>
      </c>
      <c r="H3520" t="s">
        <v>19447</v>
      </c>
      <c r="I3520" t="s">
        <v>19447</v>
      </c>
      <c r="J3520">
        <v>2</v>
      </c>
      <c r="L3520" t="s">
        <v>2709</v>
      </c>
      <c r="M3520">
        <v>29413010</v>
      </c>
      <c r="O3520" t="s">
        <v>20028</v>
      </c>
      <c r="P3520" t="s">
        <v>19900</v>
      </c>
      <c r="Q3520" t="s">
        <v>19900</v>
      </c>
      <c r="R3520" t="s">
        <v>19447</v>
      </c>
      <c r="S3520" t="s">
        <v>19447</v>
      </c>
      <c r="T3520" t="s">
        <v>19901</v>
      </c>
    </row>
    <row r="3521" spans="2:20" x14ac:dyDescent="0.25">
      <c r="B3521" t="s">
        <v>2709</v>
      </c>
      <c r="C3521">
        <v>29413020</v>
      </c>
      <c r="E3521">
        <v>68.819999999999993</v>
      </c>
      <c r="F3521">
        <v>0</v>
      </c>
      <c r="G3521">
        <v>0</v>
      </c>
      <c r="H3521" t="s">
        <v>19447</v>
      </c>
      <c r="I3521" t="s">
        <v>19447</v>
      </c>
      <c r="J3521">
        <v>2</v>
      </c>
      <c r="L3521" t="s">
        <v>2709</v>
      </c>
      <c r="M3521">
        <v>29413020</v>
      </c>
      <c r="O3521" t="s">
        <v>20028</v>
      </c>
      <c r="P3521" t="s">
        <v>19900</v>
      </c>
      <c r="Q3521" t="s">
        <v>19900</v>
      </c>
      <c r="R3521" t="s">
        <v>19447</v>
      </c>
      <c r="S3521" t="s">
        <v>19447</v>
      </c>
      <c r="T3521" t="s">
        <v>19901</v>
      </c>
    </row>
    <row r="3522" spans="2:20" x14ac:dyDescent="0.25">
      <c r="B3522" t="s">
        <v>2709</v>
      </c>
      <c r="C3522">
        <v>29413031</v>
      </c>
      <c r="E3522">
        <v>68.819999999999993</v>
      </c>
      <c r="F3522">
        <v>0</v>
      </c>
      <c r="G3522">
        <v>0</v>
      </c>
      <c r="H3522" t="s">
        <v>19447</v>
      </c>
      <c r="I3522" t="s">
        <v>19447</v>
      </c>
      <c r="J3522">
        <v>2</v>
      </c>
      <c r="L3522" t="s">
        <v>2709</v>
      </c>
      <c r="M3522">
        <v>29413031</v>
      </c>
      <c r="O3522" t="s">
        <v>20028</v>
      </c>
      <c r="P3522" t="s">
        <v>19900</v>
      </c>
      <c r="Q3522" t="s">
        <v>19900</v>
      </c>
      <c r="R3522" t="s">
        <v>19447</v>
      </c>
      <c r="S3522" t="s">
        <v>19447</v>
      </c>
      <c r="T3522" t="s">
        <v>19901</v>
      </c>
    </row>
    <row r="3523" spans="2:20" x14ac:dyDescent="0.25">
      <c r="B3523" t="s">
        <v>2709</v>
      </c>
      <c r="C3523">
        <v>29413032</v>
      </c>
      <c r="E3523">
        <v>68.819999999999993</v>
      </c>
      <c r="F3523">
        <v>0</v>
      </c>
      <c r="G3523">
        <v>0</v>
      </c>
      <c r="H3523" t="s">
        <v>19447</v>
      </c>
      <c r="I3523" t="s">
        <v>19447</v>
      </c>
      <c r="J3523">
        <v>2</v>
      </c>
      <c r="L3523" t="s">
        <v>2709</v>
      </c>
      <c r="M3523">
        <v>29413032</v>
      </c>
      <c r="O3523" t="s">
        <v>20028</v>
      </c>
      <c r="P3523" t="s">
        <v>19900</v>
      </c>
      <c r="Q3523" t="s">
        <v>19900</v>
      </c>
      <c r="R3523" t="s">
        <v>19447</v>
      </c>
      <c r="S3523" t="s">
        <v>19447</v>
      </c>
      <c r="T3523" t="s">
        <v>19901</v>
      </c>
    </row>
    <row r="3524" spans="2:20" x14ac:dyDescent="0.25">
      <c r="B3524" t="s">
        <v>2709</v>
      </c>
      <c r="C3524">
        <v>29413090</v>
      </c>
      <c r="E3524">
        <v>68.819999999999993</v>
      </c>
      <c r="F3524">
        <v>0</v>
      </c>
      <c r="G3524">
        <v>0</v>
      </c>
      <c r="H3524" t="s">
        <v>19447</v>
      </c>
      <c r="I3524" t="s">
        <v>19447</v>
      </c>
      <c r="J3524">
        <v>2</v>
      </c>
      <c r="L3524" t="s">
        <v>2709</v>
      </c>
      <c r="M3524">
        <v>29413090</v>
      </c>
      <c r="O3524" t="s">
        <v>20028</v>
      </c>
      <c r="P3524" t="s">
        <v>19900</v>
      </c>
      <c r="Q3524" t="s">
        <v>19900</v>
      </c>
      <c r="R3524" t="s">
        <v>19447</v>
      </c>
      <c r="S3524" t="s">
        <v>19447</v>
      </c>
      <c r="T3524" t="s">
        <v>19901</v>
      </c>
    </row>
    <row r="3525" spans="2:20" x14ac:dyDescent="0.25">
      <c r="B3525" t="s">
        <v>2709</v>
      </c>
      <c r="C3525">
        <v>29414011</v>
      </c>
      <c r="E3525">
        <v>68.819999999999993</v>
      </c>
      <c r="F3525">
        <v>0</v>
      </c>
      <c r="G3525">
        <v>0</v>
      </c>
      <c r="H3525" t="s">
        <v>19447</v>
      </c>
      <c r="I3525" t="s">
        <v>19447</v>
      </c>
      <c r="J3525">
        <v>2</v>
      </c>
      <c r="L3525" t="s">
        <v>2709</v>
      </c>
      <c r="M3525">
        <v>29414011</v>
      </c>
      <c r="O3525" t="s">
        <v>20028</v>
      </c>
      <c r="P3525" t="s">
        <v>19900</v>
      </c>
      <c r="Q3525" t="s">
        <v>19900</v>
      </c>
      <c r="R3525" t="s">
        <v>19447</v>
      </c>
      <c r="S3525" t="s">
        <v>19447</v>
      </c>
      <c r="T3525" t="s">
        <v>19901</v>
      </c>
    </row>
    <row r="3526" spans="2:20" x14ac:dyDescent="0.25">
      <c r="B3526" t="s">
        <v>2709</v>
      </c>
      <c r="C3526">
        <v>29414019</v>
      </c>
      <c r="E3526">
        <v>68.819999999999993</v>
      </c>
      <c r="F3526">
        <v>0</v>
      </c>
      <c r="G3526">
        <v>0</v>
      </c>
      <c r="H3526" t="s">
        <v>19447</v>
      </c>
      <c r="I3526" t="s">
        <v>19447</v>
      </c>
      <c r="J3526">
        <v>2</v>
      </c>
      <c r="L3526" t="s">
        <v>2709</v>
      </c>
      <c r="M3526">
        <v>29414019</v>
      </c>
      <c r="O3526" t="s">
        <v>20028</v>
      </c>
      <c r="P3526" t="s">
        <v>19900</v>
      </c>
      <c r="Q3526" t="s">
        <v>19900</v>
      </c>
      <c r="R3526" t="s">
        <v>19447</v>
      </c>
      <c r="S3526" t="s">
        <v>19447</v>
      </c>
      <c r="T3526" t="s">
        <v>19901</v>
      </c>
    </row>
    <row r="3527" spans="2:20" x14ac:dyDescent="0.25">
      <c r="B3527" t="s">
        <v>2709</v>
      </c>
      <c r="C3527">
        <v>29414020</v>
      </c>
      <c r="E3527">
        <v>68.819999999999993</v>
      </c>
      <c r="F3527">
        <v>0</v>
      </c>
      <c r="G3527">
        <v>0</v>
      </c>
      <c r="H3527" t="s">
        <v>19447</v>
      </c>
      <c r="I3527" t="s">
        <v>19447</v>
      </c>
      <c r="J3527">
        <v>2</v>
      </c>
      <c r="L3527" t="s">
        <v>2709</v>
      </c>
      <c r="M3527">
        <v>29414020</v>
      </c>
      <c r="O3527" t="s">
        <v>20028</v>
      </c>
      <c r="P3527" t="s">
        <v>19900</v>
      </c>
      <c r="Q3527" t="s">
        <v>19900</v>
      </c>
      <c r="R3527" t="s">
        <v>19447</v>
      </c>
      <c r="S3527" t="s">
        <v>19447</v>
      </c>
      <c r="T3527" t="s">
        <v>19901</v>
      </c>
    </row>
    <row r="3528" spans="2:20" x14ac:dyDescent="0.25">
      <c r="B3528" t="s">
        <v>2709</v>
      </c>
      <c r="C3528">
        <v>29414090</v>
      </c>
      <c r="E3528">
        <v>68.819999999999993</v>
      </c>
      <c r="F3528">
        <v>0</v>
      </c>
      <c r="G3528">
        <v>0</v>
      </c>
      <c r="H3528" t="s">
        <v>19447</v>
      </c>
      <c r="I3528" t="s">
        <v>19447</v>
      </c>
      <c r="J3528">
        <v>2</v>
      </c>
      <c r="L3528" t="s">
        <v>2709</v>
      </c>
      <c r="M3528">
        <v>29414090</v>
      </c>
      <c r="O3528" t="s">
        <v>20028</v>
      </c>
      <c r="P3528" t="s">
        <v>19900</v>
      </c>
      <c r="Q3528" t="s">
        <v>19900</v>
      </c>
      <c r="R3528" t="s">
        <v>19447</v>
      </c>
      <c r="S3528" t="s">
        <v>19447</v>
      </c>
      <c r="T3528" t="s">
        <v>19901</v>
      </c>
    </row>
    <row r="3529" spans="2:20" x14ac:dyDescent="0.25">
      <c r="B3529" t="s">
        <v>2709</v>
      </c>
      <c r="C3529">
        <v>29415010</v>
      </c>
      <c r="E3529">
        <v>68.819999999999993</v>
      </c>
      <c r="F3529">
        <v>0</v>
      </c>
      <c r="G3529">
        <v>0</v>
      </c>
      <c r="H3529" t="s">
        <v>19447</v>
      </c>
      <c r="I3529" t="s">
        <v>19447</v>
      </c>
      <c r="J3529">
        <v>2</v>
      </c>
      <c r="L3529" t="s">
        <v>2709</v>
      </c>
      <c r="M3529">
        <v>29415010</v>
      </c>
      <c r="O3529" t="s">
        <v>20028</v>
      </c>
      <c r="P3529" t="s">
        <v>19900</v>
      </c>
      <c r="Q3529" t="s">
        <v>19900</v>
      </c>
      <c r="R3529" t="s">
        <v>19447</v>
      </c>
      <c r="S3529" t="s">
        <v>19447</v>
      </c>
      <c r="T3529" t="s">
        <v>19901</v>
      </c>
    </row>
    <row r="3530" spans="2:20" x14ac:dyDescent="0.25">
      <c r="B3530" t="s">
        <v>2709</v>
      </c>
      <c r="C3530">
        <v>29415020</v>
      </c>
      <c r="E3530">
        <v>68.819999999999993</v>
      </c>
      <c r="F3530">
        <v>0</v>
      </c>
      <c r="G3530">
        <v>0</v>
      </c>
      <c r="H3530" t="s">
        <v>19447</v>
      </c>
      <c r="I3530" t="s">
        <v>19447</v>
      </c>
      <c r="J3530">
        <v>14</v>
      </c>
      <c r="L3530" t="s">
        <v>2709</v>
      </c>
      <c r="M3530">
        <v>29415020</v>
      </c>
      <c r="O3530" t="s">
        <v>20028</v>
      </c>
      <c r="P3530" t="s">
        <v>19900</v>
      </c>
      <c r="Q3530" t="s">
        <v>19900</v>
      </c>
      <c r="R3530" t="s">
        <v>19447</v>
      </c>
      <c r="S3530" t="s">
        <v>19447</v>
      </c>
      <c r="T3530" t="s">
        <v>19911</v>
      </c>
    </row>
    <row r="3531" spans="2:20" x14ac:dyDescent="0.25">
      <c r="B3531" t="s">
        <v>2709</v>
      </c>
      <c r="C3531">
        <v>29415090</v>
      </c>
      <c r="E3531">
        <v>68.819999999999993</v>
      </c>
      <c r="F3531">
        <v>0</v>
      </c>
      <c r="G3531">
        <v>0</v>
      </c>
      <c r="H3531" t="s">
        <v>19447</v>
      </c>
      <c r="I3531" t="s">
        <v>19447</v>
      </c>
      <c r="J3531">
        <v>2</v>
      </c>
      <c r="L3531" t="s">
        <v>2709</v>
      </c>
      <c r="M3531">
        <v>29415090</v>
      </c>
      <c r="O3531" t="s">
        <v>20028</v>
      </c>
      <c r="P3531" t="s">
        <v>19900</v>
      </c>
      <c r="Q3531" t="s">
        <v>19900</v>
      </c>
      <c r="R3531" t="s">
        <v>19447</v>
      </c>
      <c r="S3531" t="s">
        <v>19447</v>
      </c>
      <c r="T3531" t="s">
        <v>19901</v>
      </c>
    </row>
    <row r="3532" spans="2:20" x14ac:dyDescent="0.25">
      <c r="B3532" t="s">
        <v>2709</v>
      </c>
      <c r="C3532">
        <v>29419011</v>
      </c>
      <c r="E3532">
        <v>68.819999999999993</v>
      </c>
      <c r="F3532">
        <v>0</v>
      </c>
      <c r="G3532">
        <v>0</v>
      </c>
      <c r="H3532" t="s">
        <v>19447</v>
      </c>
      <c r="I3532" t="s">
        <v>19447</v>
      </c>
      <c r="J3532">
        <v>2</v>
      </c>
      <c r="L3532" t="s">
        <v>2709</v>
      </c>
      <c r="M3532">
        <v>29419011</v>
      </c>
      <c r="O3532" t="s">
        <v>20028</v>
      </c>
      <c r="P3532" t="s">
        <v>19900</v>
      </c>
      <c r="Q3532" t="s">
        <v>19900</v>
      </c>
      <c r="R3532" t="s">
        <v>19447</v>
      </c>
      <c r="S3532" t="s">
        <v>19447</v>
      </c>
      <c r="T3532" t="s">
        <v>19901</v>
      </c>
    </row>
    <row r="3533" spans="2:20" x14ac:dyDescent="0.25">
      <c r="B3533" t="s">
        <v>2709</v>
      </c>
      <c r="C3533">
        <v>29419012</v>
      </c>
      <c r="E3533">
        <v>68.819999999999993</v>
      </c>
      <c r="F3533">
        <v>0</v>
      </c>
      <c r="G3533">
        <v>0</v>
      </c>
      <c r="H3533" t="s">
        <v>19447</v>
      </c>
      <c r="I3533" t="s">
        <v>19447</v>
      </c>
      <c r="J3533">
        <v>2</v>
      </c>
      <c r="L3533" t="s">
        <v>2709</v>
      </c>
      <c r="M3533">
        <v>29419012</v>
      </c>
      <c r="O3533" t="s">
        <v>20028</v>
      </c>
      <c r="P3533" t="s">
        <v>19900</v>
      </c>
      <c r="Q3533" t="s">
        <v>19900</v>
      </c>
      <c r="R3533" t="s">
        <v>19447</v>
      </c>
      <c r="S3533" t="s">
        <v>19447</v>
      </c>
      <c r="T3533" t="s">
        <v>19901</v>
      </c>
    </row>
    <row r="3534" spans="2:20" x14ac:dyDescent="0.25">
      <c r="B3534" t="s">
        <v>2709</v>
      </c>
      <c r="C3534">
        <v>29419013</v>
      </c>
      <c r="E3534">
        <v>68.819999999999993</v>
      </c>
      <c r="F3534">
        <v>0</v>
      </c>
      <c r="G3534">
        <v>0</v>
      </c>
      <c r="H3534" t="s">
        <v>19447</v>
      </c>
      <c r="I3534" t="s">
        <v>19447</v>
      </c>
      <c r="J3534">
        <v>2</v>
      </c>
      <c r="L3534" t="s">
        <v>2709</v>
      </c>
      <c r="M3534">
        <v>29419013</v>
      </c>
      <c r="O3534" t="s">
        <v>20028</v>
      </c>
      <c r="P3534" t="s">
        <v>19900</v>
      </c>
      <c r="Q3534" t="s">
        <v>19900</v>
      </c>
      <c r="R3534" t="s">
        <v>19447</v>
      </c>
      <c r="S3534" t="s">
        <v>19447</v>
      </c>
      <c r="T3534" t="s">
        <v>19901</v>
      </c>
    </row>
    <row r="3535" spans="2:20" x14ac:dyDescent="0.25">
      <c r="B3535" t="s">
        <v>2709</v>
      </c>
      <c r="C3535">
        <v>29419019</v>
      </c>
      <c r="E3535">
        <v>68.819999999999993</v>
      </c>
      <c r="F3535">
        <v>0</v>
      </c>
      <c r="G3535">
        <v>0</v>
      </c>
      <c r="H3535" t="s">
        <v>19447</v>
      </c>
      <c r="I3535" t="s">
        <v>19447</v>
      </c>
      <c r="J3535">
        <v>2</v>
      </c>
      <c r="L3535" t="s">
        <v>2709</v>
      </c>
      <c r="M3535">
        <v>29419019</v>
      </c>
      <c r="O3535" t="s">
        <v>20028</v>
      </c>
      <c r="P3535" t="s">
        <v>19900</v>
      </c>
      <c r="Q3535" t="s">
        <v>19900</v>
      </c>
      <c r="R3535" t="s">
        <v>19447</v>
      </c>
      <c r="S3535" t="s">
        <v>19447</v>
      </c>
      <c r="T3535" t="s">
        <v>19901</v>
      </c>
    </row>
    <row r="3536" spans="2:20" x14ac:dyDescent="0.25">
      <c r="B3536" t="s">
        <v>2709</v>
      </c>
      <c r="C3536">
        <v>29419021</v>
      </c>
      <c r="E3536">
        <v>68.819999999999993</v>
      </c>
      <c r="F3536">
        <v>0</v>
      </c>
      <c r="G3536">
        <v>0</v>
      </c>
      <c r="H3536" t="s">
        <v>19447</v>
      </c>
      <c r="I3536" t="s">
        <v>19447</v>
      </c>
      <c r="J3536">
        <v>2</v>
      </c>
      <c r="L3536" t="s">
        <v>2709</v>
      </c>
      <c r="M3536">
        <v>29419021</v>
      </c>
      <c r="O3536" t="s">
        <v>20028</v>
      </c>
      <c r="P3536" t="s">
        <v>19900</v>
      </c>
      <c r="Q3536" t="s">
        <v>19900</v>
      </c>
      <c r="R3536" t="s">
        <v>19447</v>
      </c>
      <c r="S3536" t="s">
        <v>19447</v>
      </c>
      <c r="T3536" t="s">
        <v>19901</v>
      </c>
    </row>
    <row r="3537" spans="2:20" x14ac:dyDescent="0.25">
      <c r="B3537" t="s">
        <v>2709</v>
      </c>
      <c r="C3537">
        <v>29419022</v>
      </c>
      <c r="E3537">
        <v>68.819999999999993</v>
      </c>
      <c r="F3537">
        <v>0</v>
      </c>
      <c r="G3537">
        <v>0</v>
      </c>
      <c r="H3537" t="s">
        <v>19447</v>
      </c>
      <c r="I3537" t="s">
        <v>19447</v>
      </c>
      <c r="J3537">
        <v>2</v>
      </c>
      <c r="L3537" t="s">
        <v>2709</v>
      </c>
      <c r="M3537">
        <v>29419022</v>
      </c>
      <c r="O3537" t="s">
        <v>20028</v>
      </c>
      <c r="P3537" t="s">
        <v>19900</v>
      </c>
      <c r="Q3537" t="s">
        <v>19900</v>
      </c>
      <c r="R3537" t="s">
        <v>19447</v>
      </c>
      <c r="S3537" t="s">
        <v>19447</v>
      </c>
      <c r="T3537" t="s">
        <v>19901</v>
      </c>
    </row>
    <row r="3538" spans="2:20" x14ac:dyDescent="0.25">
      <c r="B3538" t="s">
        <v>2709</v>
      </c>
      <c r="C3538">
        <v>29419029</v>
      </c>
      <c r="E3538">
        <v>68.819999999999993</v>
      </c>
      <c r="F3538">
        <v>0</v>
      </c>
      <c r="G3538">
        <v>0</v>
      </c>
      <c r="H3538" t="s">
        <v>19447</v>
      </c>
      <c r="I3538" t="s">
        <v>19447</v>
      </c>
      <c r="J3538">
        <v>2</v>
      </c>
      <c r="L3538" t="s">
        <v>2709</v>
      </c>
      <c r="M3538">
        <v>29419029</v>
      </c>
      <c r="O3538" t="s">
        <v>20028</v>
      </c>
      <c r="P3538" t="s">
        <v>19900</v>
      </c>
      <c r="Q3538" t="s">
        <v>19900</v>
      </c>
      <c r="R3538" t="s">
        <v>19447</v>
      </c>
      <c r="S3538" t="s">
        <v>19447</v>
      </c>
      <c r="T3538" t="s">
        <v>19901</v>
      </c>
    </row>
    <row r="3539" spans="2:20" x14ac:dyDescent="0.25">
      <c r="B3539" t="s">
        <v>2709</v>
      </c>
      <c r="C3539">
        <v>29419031</v>
      </c>
      <c r="E3539">
        <v>68.819999999999993</v>
      </c>
      <c r="F3539">
        <v>0</v>
      </c>
      <c r="G3539">
        <v>0</v>
      </c>
      <c r="H3539" t="s">
        <v>19447</v>
      </c>
      <c r="I3539" t="s">
        <v>19447</v>
      </c>
      <c r="J3539">
        <v>2</v>
      </c>
      <c r="L3539" t="s">
        <v>2709</v>
      </c>
      <c r="M3539">
        <v>29419031</v>
      </c>
      <c r="O3539" t="s">
        <v>20028</v>
      </c>
      <c r="P3539" t="s">
        <v>19900</v>
      </c>
      <c r="Q3539" t="s">
        <v>19900</v>
      </c>
      <c r="R3539" t="s">
        <v>19447</v>
      </c>
      <c r="S3539" t="s">
        <v>19447</v>
      </c>
      <c r="T3539" t="s">
        <v>19901</v>
      </c>
    </row>
    <row r="3540" spans="2:20" x14ac:dyDescent="0.25">
      <c r="B3540" t="s">
        <v>2709</v>
      </c>
      <c r="C3540">
        <v>29419032</v>
      </c>
      <c r="E3540">
        <v>68.819999999999993</v>
      </c>
      <c r="F3540">
        <v>0</v>
      </c>
      <c r="G3540">
        <v>0</v>
      </c>
      <c r="H3540" t="s">
        <v>19447</v>
      </c>
      <c r="I3540" t="s">
        <v>19447</v>
      </c>
      <c r="J3540">
        <v>2</v>
      </c>
      <c r="L3540" t="s">
        <v>2709</v>
      </c>
      <c r="M3540">
        <v>29419032</v>
      </c>
      <c r="O3540" t="s">
        <v>20028</v>
      </c>
      <c r="P3540" t="s">
        <v>19900</v>
      </c>
      <c r="Q3540" t="s">
        <v>19900</v>
      </c>
      <c r="R3540" t="s">
        <v>19447</v>
      </c>
      <c r="S3540" t="s">
        <v>19447</v>
      </c>
      <c r="T3540" t="s">
        <v>19901</v>
      </c>
    </row>
    <row r="3541" spans="2:20" x14ac:dyDescent="0.25">
      <c r="B3541" t="s">
        <v>2709</v>
      </c>
      <c r="C3541">
        <v>29419033</v>
      </c>
      <c r="E3541">
        <v>68.819999999999993</v>
      </c>
      <c r="F3541">
        <v>0</v>
      </c>
      <c r="G3541">
        <v>0</v>
      </c>
      <c r="H3541" t="s">
        <v>19447</v>
      </c>
      <c r="I3541" t="s">
        <v>19447</v>
      </c>
      <c r="J3541">
        <v>14</v>
      </c>
      <c r="L3541" t="s">
        <v>2709</v>
      </c>
      <c r="M3541">
        <v>29419033</v>
      </c>
      <c r="O3541" t="s">
        <v>20028</v>
      </c>
      <c r="P3541" t="s">
        <v>19900</v>
      </c>
      <c r="Q3541" t="s">
        <v>19900</v>
      </c>
      <c r="R3541" t="s">
        <v>19447</v>
      </c>
      <c r="S3541" t="s">
        <v>19447</v>
      </c>
      <c r="T3541" t="s">
        <v>19911</v>
      </c>
    </row>
    <row r="3542" spans="2:20" x14ac:dyDescent="0.25">
      <c r="B3542" t="s">
        <v>2709</v>
      </c>
      <c r="C3542">
        <v>29419034</v>
      </c>
      <c r="E3542">
        <v>68.819999999999993</v>
      </c>
      <c r="F3542">
        <v>0</v>
      </c>
      <c r="G3542">
        <v>0</v>
      </c>
      <c r="H3542" t="s">
        <v>19447</v>
      </c>
      <c r="I3542" t="s">
        <v>19447</v>
      </c>
      <c r="J3542">
        <v>2</v>
      </c>
      <c r="L3542" t="s">
        <v>2709</v>
      </c>
      <c r="M3542">
        <v>29419034</v>
      </c>
      <c r="O3542" t="s">
        <v>20028</v>
      </c>
      <c r="P3542" t="s">
        <v>19900</v>
      </c>
      <c r="Q3542" t="s">
        <v>19900</v>
      </c>
      <c r="R3542" t="s">
        <v>19447</v>
      </c>
      <c r="S3542" t="s">
        <v>19447</v>
      </c>
      <c r="T3542" t="s">
        <v>19901</v>
      </c>
    </row>
    <row r="3543" spans="2:20" x14ac:dyDescent="0.25">
      <c r="B3543" t="s">
        <v>2709</v>
      </c>
      <c r="C3543">
        <v>29419035</v>
      </c>
      <c r="E3543">
        <v>68.819999999999993</v>
      </c>
      <c r="F3543">
        <v>0</v>
      </c>
      <c r="G3543">
        <v>0</v>
      </c>
      <c r="H3543" t="s">
        <v>19447</v>
      </c>
      <c r="I3543" t="s">
        <v>19447</v>
      </c>
      <c r="J3543">
        <v>2</v>
      </c>
      <c r="L3543" t="s">
        <v>2709</v>
      </c>
      <c r="M3543">
        <v>29419035</v>
      </c>
      <c r="O3543" t="s">
        <v>20028</v>
      </c>
      <c r="P3543" t="s">
        <v>19900</v>
      </c>
      <c r="Q3543" t="s">
        <v>19900</v>
      </c>
      <c r="R3543" t="s">
        <v>19447</v>
      </c>
      <c r="S3543" t="s">
        <v>19447</v>
      </c>
      <c r="T3543" t="s">
        <v>19901</v>
      </c>
    </row>
    <row r="3544" spans="2:20" x14ac:dyDescent="0.25">
      <c r="B3544" t="s">
        <v>2709</v>
      </c>
      <c r="C3544">
        <v>29419036</v>
      </c>
      <c r="E3544">
        <v>68.819999999999993</v>
      </c>
      <c r="F3544">
        <v>0</v>
      </c>
      <c r="G3544">
        <v>0</v>
      </c>
      <c r="H3544" t="s">
        <v>19447</v>
      </c>
      <c r="I3544" t="s">
        <v>19447</v>
      </c>
      <c r="J3544">
        <v>2</v>
      </c>
      <c r="L3544" t="s">
        <v>2709</v>
      </c>
      <c r="M3544">
        <v>29419036</v>
      </c>
      <c r="O3544" t="s">
        <v>20028</v>
      </c>
      <c r="P3544" t="s">
        <v>19900</v>
      </c>
      <c r="Q3544" t="s">
        <v>19900</v>
      </c>
      <c r="R3544" t="s">
        <v>19447</v>
      </c>
      <c r="S3544" t="s">
        <v>19447</v>
      </c>
      <c r="T3544" t="s">
        <v>19901</v>
      </c>
    </row>
    <row r="3545" spans="2:20" x14ac:dyDescent="0.25">
      <c r="B3545" t="s">
        <v>2709</v>
      </c>
      <c r="C3545">
        <v>29419037</v>
      </c>
      <c r="E3545">
        <v>68.819999999999993</v>
      </c>
      <c r="F3545">
        <v>0</v>
      </c>
      <c r="G3545">
        <v>0</v>
      </c>
      <c r="H3545" t="s">
        <v>19447</v>
      </c>
      <c r="I3545" t="s">
        <v>19447</v>
      </c>
      <c r="J3545">
        <v>2</v>
      </c>
      <c r="L3545" t="s">
        <v>2709</v>
      </c>
      <c r="M3545">
        <v>29419037</v>
      </c>
      <c r="O3545" t="s">
        <v>20028</v>
      </c>
      <c r="P3545" t="s">
        <v>19900</v>
      </c>
      <c r="Q3545" t="s">
        <v>19900</v>
      </c>
      <c r="R3545" t="s">
        <v>19447</v>
      </c>
      <c r="S3545" t="s">
        <v>19447</v>
      </c>
      <c r="T3545" t="s">
        <v>19901</v>
      </c>
    </row>
    <row r="3546" spans="2:20" x14ac:dyDescent="0.25">
      <c r="B3546" t="s">
        <v>2709</v>
      </c>
      <c r="C3546">
        <v>29419039</v>
      </c>
      <c r="E3546">
        <v>68.819999999999993</v>
      </c>
      <c r="F3546">
        <v>0</v>
      </c>
      <c r="G3546">
        <v>0</v>
      </c>
      <c r="H3546" t="s">
        <v>19447</v>
      </c>
      <c r="I3546" t="s">
        <v>19447</v>
      </c>
      <c r="J3546">
        <v>2</v>
      </c>
      <c r="L3546" t="s">
        <v>2709</v>
      </c>
      <c r="M3546">
        <v>29419039</v>
      </c>
      <c r="O3546" t="s">
        <v>20028</v>
      </c>
      <c r="P3546" t="s">
        <v>19900</v>
      </c>
      <c r="Q3546" t="s">
        <v>19900</v>
      </c>
      <c r="R3546" t="s">
        <v>19447</v>
      </c>
      <c r="S3546" t="s">
        <v>19447</v>
      </c>
      <c r="T3546" t="s">
        <v>19901</v>
      </c>
    </row>
    <row r="3547" spans="2:20" x14ac:dyDescent="0.25">
      <c r="B3547" t="s">
        <v>2709</v>
      </c>
      <c r="C3547">
        <v>29419041</v>
      </c>
      <c r="E3547">
        <v>68.819999999999993</v>
      </c>
      <c r="F3547">
        <v>0</v>
      </c>
      <c r="G3547">
        <v>0</v>
      </c>
      <c r="H3547" t="s">
        <v>19447</v>
      </c>
      <c r="I3547" t="s">
        <v>19447</v>
      </c>
      <c r="J3547">
        <v>2</v>
      </c>
      <c r="L3547" t="s">
        <v>2709</v>
      </c>
      <c r="M3547">
        <v>29419041</v>
      </c>
      <c r="O3547" t="s">
        <v>20028</v>
      </c>
      <c r="P3547" t="s">
        <v>19900</v>
      </c>
      <c r="Q3547" t="s">
        <v>19900</v>
      </c>
      <c r="R3547" t="s">
        <v>19447</v>
      </c>
      <c r="S3547" t="s">
        <v>19447</v>
      </c>
      <c r="T3547" t="s">
        <v>19901</v>
      </c>
    </row>
    <row r="3548" spans="2:20" x14ac:dyDescent="0.25">
      <c r="B3548" t="s">
        <v>2709</v>
      </c>
      <c r="C3548">
        <v>29419042</v>
      </c>
      <c r="E3548">
        <v>68.819999999999993</v>
      </c>
      <c r="F3548">
        <v>0</v>
      </c>
      <c r="G3548">
        <v>0</v>
      </c>
      <c r="H3548" t="s">
        <v>19447</v>
      </c>
      <c r="I3548" t="s">
        <v>19447</v>
      </c>
      <c r="J3548">
        <v>2</v>
      </c>
      <c r="L3548" t="s">
        <v>2709</v>
      </c>
      <c r="M3548">
        <v>29419042</v>
      </c>
      <c r="O3548" t="s">
        <v>20028</v>
      </c>
      <c r="P3548" t="s">
        <v>19900</v>
      </c>
      <c r="Q3548" t="s">
        <v>19900</v>
      </c>
      <c r="R3548" t="s">
        <v>19447</v>
      </c>
      <c r="S3548" t="s">
        <v>19447</v>
      </c>
      <c r="T3548" t="s">
        <v>19901</v>
      </c>
    </row>
    <row r="3549" spans="2:20" x14ac:dyDescent="0.25">
      <c r="B3549" t="s">
        <v>2709</v>
      </c>
      <c r="C3549">
        <v>29419043</v>
      </c>
      <c r="E3549">
        <v>68.819999999999993</v>
      </c>
      <c r="F3549">
        <v>0</v>
      </c>
      <c r="G3549">
        <v>0</v>
      </c>
      <c r="H3549" t="s">
        <v>19447</v>
      </c>
      <c r="I3549" t="s">
        <v>19447</v>
      </c>
      <c r="J3549">
        <v>14</v>
      </c>
      <c r="L3549" t="s">
        <v>2709</v>
      </c>
      <c r="M3549">
        <v>29419043</v>
      </c>
      <c r="O3549" t="s">
        <v>20028</v>
      </c>
      <c r="P3549" t="s">
        <v>19900</v>
      </c>
      <c r="Q3549" t="s">
        <v>19900</v>
      </c>
      <c r="R3549" t="s">
        <v>19447</v>
      </c>
      <c r="S3549" t="s">
        <v>19447</v>
      </c>
      <c r="T3549" t="s">
        <v>19911</v>
      </c>
    </row>
    <row r="3550" spans="2:20" x14ac:dyDescent="0.25">
      <c r="B3550" t="s">
        <v>2709</v>
      </c>
      <c r="C3550">
        <v>29419049</v>
      </c>
      <c r="E3550">
        <v>68.819999999999993</v>
      </c>
      <c r="F3550">
        <v>0</v>
      </c>
      <c r="G3550">
        <v>0</v>
      </c>
      <c r="H3550" t="s">
        <v>19447</v>
      </c>
      <c r="I3550" t="s">
        <v>19447</v>
      </c>
      <c r="J3550">
        <v>2</v>
      </c>
      <c r="L3550" t="s">
        <v>2709</v>
      </c>
      <c r="M3550">
        <v>29419049</v>
      </c>
      <c r="O3550" t="s">
        <v>20028</v>
      </c>
      <c r="P3550" t="s">
        <v>19900</v>
      </c>
      <c r="Q3550" t="s">
        <v>19900</v>
      </c>
      <c r="R3550" t="s">
        <v>19447</v>
      </c>
      <c r="S3550" t="s">
        <v>19447</v>
      </c>
      <c r="T3550" t="s">
        <v>19901</v>
      </c>
    </row>
    <row r="3551" spans="2:20" x14ac:dyDescent="0.25">
      <c r="B3551" t="s">
        <v>2709</v>
      </c>
      <c r="C3551">
        <v>29419051</v>
      </c>
      <c r="E3551">
        <v>68.819999999999993</v>
      </c>
      <c r="F3551">
        <v>0</v>
      </c>
      <c r="G3551">
        <v>0</v>
      </c>
      <c r="H3551" t="s">
        <v>19447</v>
      </c>
      <c r="I3551" t="s">
        <v>19447</v>
      </c>
      <c r="J3551">
        <v>2</v>
      </c>
      <c r="L3551" t="s">
        <v>2709</v>
      </c>
      <c r="M3551">
        <v>29419051</v>
      </c>
      <c r="O3551" t="s">
        <v>20028</v>
      </c>
      <c r="P3551" t="s">
        <v>19900</v>
      </c>
      <c r="Q3551" t="s">
        <v>19900</v>
      </c>
      <c r="R3551" t="s">
        <v>19447</v>
      </c>
      <c r="S3551" t="s">
        <v>19447</v>
      </c>
      <c r="T3551" t="s">
        <v>19901</v>
      </c>
    </row>
    <row r="3552" spans="2:20" x14ac:dyDescent="0.25">
      <c r="B3552" t="s">
        <v>2709</v>
      </c>
      <c r="C3552">
        <v>29419059</v>
      </c>
      <c r="E3552">
        <v>68.819999999999993</v>
      </c>
      <c r="F3552">
        <v>0</v>
      </c>
      <c r="G3552">
        <v>0</v>
      </c>
      <c r="H3552" t="s">
        <v>19447</v>
      </c>
      <c r="I3552" t="s">
        <v>19447</v>
      </c>
      <c r="J3552">
        <v>2</v>
      </c>
      <c r="L3552" t="s">
        <v>2709</v>
      </c>
      <c r="M3552">
        <v>29419059</v>
      </c>
      <c r="O3552" t="s">
        <v>20028</v>
      </c>
      <c r="P3552" t="s">
        <v>19900</v>
      </c>
      <c r="Q3552" t="s">
        <v>19900</v>
      </c>
      <c r="R3552" t="s">
        <v>19447</v>
      </c>
      <c r="S3552" t="s">
        <v>19447</v>
      </c>
      <c r="T3552" t="s">
        <v>19901</v>
      </c>
    </row>
    <row r="3553" spans="2:20" x14ac:dyDescent="0.25">
      <c r="B3553" t="s">
        <v>2709</v>
      </c>
      <c r="C3553">
        <v>29419061</v>
      </c>
      <c r="E3553">
        <v>68.819999999999993</v>
      </c>
      <c r="F3553">
        <v>0</v>
      </c>
      <c r="G3553">
        <v>0</v>
      </c>
      <c r="H3553" t="s">
        <v>19447</v>
      </c>
      <c r="I3553" t="s">
        <v>19447</v>
      </c>
      <c r="J3553">
        <v>2</v>
      </c>
      <c r="L3553" t="s">
        <v>2709</v>
      </c>
      <c r="M3553">
        <v>29419061</v>
      </c>
      <c r="O3553" t="s">
        <v>20028</v>
      </c>
      <c r="P3553" t="s">
        <v>19900</v>
      </c>
      <c r="Q3553" t="s">
        <v>19900</v>
      </c>
      <c r="R3553" t="s">
        <v>19447</v>
      </c>
      <c r="S3553" t="s">
        <v>19447</v>
      </c>
      <c r="T3553" t="s">
        <v>19901</v>
      </c>
    </row>
    <row r="3554" spans="2:20" x14ac:dyDescent="0.25">
      <c r="B3554" t="s">
        <v>2709</v>
      </c>
      <c r="C3554">
        <v>29419062</v>
      </c>
      <c r="E3554">
        <v>68.819999999999993</v>
      </c>
      <c r="F3554">
        <v>0</v>
      </c>
      <c r="G3554">
        <v>0</v>
      </c>
      <c r="H3554" t="s">
        <v>19447</v>
      </c>
      <c r="I3554" t="s">
        <v>19447</v>
      </c>
      <c r="J3554">
        <v>2</v>
      </c>
      <c r="L3554" t="s">
        <v>2709</v>
      </c>
      <c r="M3554">
        <v>29419062</v>
      </c>
      <c r="O3554" t="s">
        <v>20028</v>
      </c>
      <c r="P3554" t="s">
        <v>19900</v>
      </c>
      <c r="Q3554" t="s">
        <v>19900</v>
      </c>
      <c r="R3554" t="s">
        <v>19447</v>
      </c>
      <c r="S3554" t="s">
        <v>19447</v>
      </c>
      <c r="T3554" t="s">
        <v>19901</v>
      </c>
    </row>
    <row r="3555" spans="2:20" x14ac:dyDescent="0.25">
      <c r="B3555" t="s">
        <v>2709</v>
      </c>
      <c r="C3555">
        <v>29419069</v>
      </c>
      <c r="E3555">
        <v>68.819999999999993</v>
      </c>
      <c r="F3555">
        <v>0</v>
      </c>
      <c r="G3555">
        <v>0</v>
      </c>
      <c r="H3555" t="s">
        <v>19447</v>
      </c>
      <c r="I3555" t="s">
        <v>19447</v>
      </c>
      <c r="J3555">
        <v>2</v>
      </c>
      <c r="L3555" t="s">
        <v>2709</v>
      </c>
      <c r="M3555">
        <v>29419069</v>
      </c>
      <c r="O3555" t="s">
        <v>20028</v>
      </c>
      <c r="P3555" t="s">
        <v>19900</v>
      </c>
      <c r="Q3555" t="s">
        <v>19900</v>
      </c>
      <c r="R3555" t="s">
        <v>19447</v>
      </c>
      <c r="S3555" t="s">
        <v>19447</v>
      </c>
      <c r="T3555" t="s">
        <v>19901</v>
      </c>
    </row>
    <row r="3556" spans="2:20" x14ac:dyDescent="0.25">
      <c r="B3556" t="s">
        <v>2709</v>
      </c>
      <c r="C3556">
        <v>29419071</v>
      </c>
      <c r="E3556">
        <v>68.819999999999993</v>
      </c>
      <c r="F3556">
        <v>0</v>
      </c>
      <c r="G3556">
        <v>0</v>
      </c>
      <c r="H3556" t="s">
        <v>19447</v>
      </c>
      <c r="I3556" t="s">
        <v>19447</v>
      </c>
      <c r="J3556">
        <v>2</v>
      </c>
      <c r="L3556" t="s">
        <v>2709</v>
      </c>
      <c r="M3556">
        <v>29419071</v>
      </c>
      <c r="O3556" t="s">
        <v>20028</v>
      </c>
      <c r="P3556" t="s">
        <v>19900</v>
      </c>
      <c r="Q3556" t="s">
        <v>19900</v>
      </c>
      <c r="R3556" t="s">
        <v>19447</v>
      </c>
      <c r="S3556" t="s">
        <v>19447</v>
      </c>
      <c r="T3556" t="s">
        <v>19901</v>
      </c>
    </row>
    <row r="3557" spans="2:20" x14ac:dyDescent="0.25">
      <c r="B3557" t="s">
        <v>2709</v>
      </c>
      <c r="C3557">
        <v>29419072</v>
      </c>
      <c r="E3557">
        <v>68.819999999999993</v>
      </c>
      <c r="F3557">
        <v>0</v>
      </c>
      <c r="G3557">
        <v>0</v>
      </c>
      <c r="H3557" t="s">
        <v>19447</v>
      </c>
      <c r="I3557" t="s">
        <v>19447</v>
      </c>
      <c r="J3557">
        <v>2</v>
      </c>
      <c r="L3557" t="s">
        <v>2709</v>
      </c>
      <c r="M3557">
        <v>29419072</v>
      </c>
      <c r="O3557" t="s">
        <v>20028</v>
      </c>
      <c r="P3557" t="s">
        <v>19900</v>
      </c>
      <c r="Q3557" t="s">
        <v>19900</v>
      </c>
      <c r="R3557" t="s">
        <v>19447</v>
      </c>
      <c r="S3557" t="s">
        <v>19447</v>
      </c>
      <c r="T3557" t="s">
        <v>19901</v>
      </c>
    </row>
    <row r="3558" spans="2:20" x14ac:dyDescent="0.25">
      <c r="B3558" t="s">
        <v>2709</v>
      </c>
      <c r="C3558">
        <v>29419073</v>
      </c>
      <c r="E3558">
        <v>68.819999999999993</v>
      </c>
      <c r="F3558">
        <v>0</v>
      </c>
      <c r="G3558">
        <v>0</v>
      </c>
      <c r="H3558" t="s">
        <v>19447</v>
      </c>
      <c r="I3558" t="s">
        <v>19447</v>
      </c>
      <c r="J3558">
        <v>2</v>
      </c>
      <c r="L3558" t="s">
        <v>2709</v>
      </c>
      <c r="M3558">
        <v>29419073</v>
      </c>
      <c r="O3558" t="s">
        <v>20028</v>
      </c>
      <c r="P3558" t="s">
        <v>19900</v>
      </c>
      <c r="Q3558" t="s">
        <v>19900</v>
      </c>
      <c r="R3558" t="s">
        <v>19447</v>
      </c>
      <c r="S3558" t="s">
        <v>19447</v>
      </c>
      <c r="T3558" t="s">
        <v>19901</v>
      </c>
    </row>
    <row r="3559" spans="2:20" x14ac:dyDescent="0.25">
      <c r="B3559" t="s">
        <v>2709</v>
      </c>
      <c r="C3559">
        <v>29419079</v>
      </c>
      <c r="E3559">
        <v>68.819999999999993</v>
      </c>
      <c r="F3559">
        <v>0</v>
      </c>
      <c r="G3559">
        <v>0</v>
      </c>
      <c r="H3559" t="s">
        <v>19447</v>
      </c>
      <c r="I3559" t="s">
        <v>19447</v>
      </c>
      <c r="J3559">
        <v>2</v>
      </c>
      <c r="L3559" t="s">
        <v>2709</v>
      </c>
      <c r="M3559">
        <v>29419079</v>
      </c>
      <c r="O3559" t="s">
        <v>20028</v>
      </c>
      <c r="P3559" t="s">
        <v>19900</v>
      </c>
      <c r="Q3559" t="s">
        <v>19900</v>
      </c>
      <c r="R3559" t="s">
        <v>19447</v>
      </c>
      <c r="S3559" t="s">
        <v>19447</v>
      </c>
      <c r="T3559" t="s">
        <v>19901</v>
      </c>
    </row>
    <row r="3560" spans="2:20" x14ac:dyDescent="0.25">
      <c r="B3560" t="s">
        <v>2709</v>
      </c>
      <c r="C3560">
        <v>29419081</v>
      </c>
      <c r="E3560">
        <v>68.819999999999993</v>
      </c>
      <c r="F3560">
        <v>0</v>
      </c>
      <c r="G3560">
        <v>0</v>
      </c>
      <c r="H3560" t="s">
        <v>19447</v>
      </c>
      <c r="I3560" t="s">
        <v>19447</v>
      </c>
      <c r="J3560">
        <v>2</v>
      </c>
      <c r="L3560" t="s">
        <v>2709</v>
      </c>
      <c r="M3560">
        <v>29419081</v>
      </c>
      <c r="O3560" t="s">
        <v>20028</v>
      </c>
      <c r="P3560" t="s">
        <v>19900</v>
      </c>
      <c r="Q3560" t="s">
        <v>19900</v>
      </c>
      <c r="R3560" t="s">
        <v>19447</v>
      </c>
      <c r="S3560" t="s">
        <v>19447</v>
      </c>
      <c r="T3560" t="s">
        <v>19901</v>
      </c>
    </row>
    <row r="3561" spans="2:20" x14ac:dyDescent="0.25">
      <c r="B3561" t="s">
        <v>2709</v>
      </c>
      <c r="C3561">
        <v>29419082</v>
      </c>
      <c r="E3561">
        <v>68.819999999999993</v>
      </c>
      <c r="F3561">
        <v>0</v>
      </c>
      <c r="G3561">
        <v>0</v>
      </c>
      <c r="H3561" t="s">
        <v>19447</v>
      </c>
      <c r="I3561" t="s">
        <v>19447</v>
      </c>
      <c r="J3561">
        <v>2</v>
      </c>
      <c r="L3561" t="s">
        <v>2709</v>
      </c>
      <c r="M3561">
        <v>29419082</v>
      </c>
      <c r="O3561" t="s">
        <v>20028</v>
      </c>
      <c r="P3561" t="s">
        <v>19900</v>
      </c>
      <c r="Q3561" t="s">
        <v>19900</v>
      </c>
      <c r="R3561" t="s">
        <v>19447</v>
      </c>
      <c r="S3561" t="s">
        <v>19447</v>
      </c>
      <c r="T3561" t="s">
        <v>19901</v>
      </c>
    </row>
    <row r="3562" spans="2:20" x14ac:dyDescent="0.25">
      <c r="B3562" t="s">
        <v>2709</v>
      </c>
      <c r="C3562">
        <v>29419083</v>
      </c>
      <c r="E3562">
        <v>68.819999999999993</v>
      </c>
      <c r="F3562">
        <v>0</v>
      </c>
      <c r="G3562">
        <v>0</v>
      </c>
      <c r="H3562" t="s">
        <v>19447</v>
      </c>
      <c r="I3562" t="s">
        <v>19447</v>
      </c>
      <c r="J3562">
        <v>2</v>
      </c>
      <c r="L3562" t="s">
        <v>2709</v>
      </c>
      <c r="M3562">
        <v>29419083</v>
      </c>
      <c r="O3562" t="s">
        <v>20028</v>
      </c>
      <c r="P3562" t="s">
        <v>19900</v>
      </c>
      <c r="Q3562" t="s">
        <v>19900</v>
      </c>
      <c r="R3562" t="s">
        <v>19447</v>
      </c>
      <c r="S3562" t="s">
        <v>19447</v>
      </c>
      <c r="T3562" t="s">
        <v>19901</v>
      </c>
    </row>
    <row r="3563" spans="2:20" x14ac:dyDescent="0.25">
      <c r="B3563" t="s">
        <v>2709</v>
      </c>
      <c r="C3563">
        <v>29419089</v>
      </c>
      <c r="E3563">
        <v>68.819999999999993</v>
      </c>
      <c r="F3563">
        <v>0</v>
      </c>
      <c r="G3563">
        <v>0</v>
      </c>
      <c r="H3563" t="s">
        <v>19447</v>
      </c>
      <c r="I3563" t="s">
        <v>19447</v>
      </c>
      <c r="J3563">
        <v>2</v>
      </c>
      <c r="L3563" t="s">
        <v>2709</v>
      </c>
      <c r="M3563">
        <v>29419089</v>
      </c>
      <c r="O3563" t="s">
        <v>20028</v>
      </c>
      <c r="P3563" t="s">
        <v>19900</v>
      </c>
      <c r="Q3563" t="s">
        <v>19900</v>
      </c>
      <c r="R3563" t="s">
        <v>19447</v>
      </c>
      <c r="S3563" t="s">
        <v>19447</v>
      </c>
      <c r="T3563" t="s">
        <v>19901</v>
      </c>
    </row>
    <row r="3564" spans="2:20" x14ac:dyDescent="0.25">
      <c r="B3564" t="s">
        <v>2709</v>
      </c>
      <c r="C3564">
        <v>29419091</v>
      </c>
      <c r="E3564">
        <v>68.819999999999993</v>
      </c>
      <c r="F3564">
        <v>0</v>
      </c>
      <c r="G3564">
        <v>0</v>
      </c>
      <c r="H3564" t="s">
        <v>19447</v>
      </c>
      <c r="I3564" t="s">
        <v>19447</v>
      </c>
      <c r="J3564">
        <v>2</v>
      </c>
      <c r="L3564" t="s">
        <v>2709</v>
      </c>
      <c r="M3564">
        <v>29419091</v>
      </c>
      <c r="O3564" t="s">
        <v>20028</v>
      </c>
      <c r="P3564" t="s">
        <v>19900</v>
      </c>
      <c r="Q3564" t="s">
        <v>19900</v>
      </c>
      <c r="R3564" t="s">
        <v>19447</v>
      </c>
      <c r="S3564" t="s">
        <v>19447</v>
      </c>
      <c r="T3564" t="s">
        <v>19901</v>
      </c>
    </row>
    <row r="3565" spans="2:20" x14ac:dyDescent="0.25">
      <c r="B3565" t="s">
        <v>2709</v>
      </c>
      <c r="C3565">
        <v>29419092</v>
      </c>
      <c r="E3565">
        <v>68.819999999999993</v>
      </c>
      <c r="F3565">
        <v>0</v>
      </c>
      <c r="G3565">
        <v>0</v>
      </c>
      <c r="H3565" t="s">
        <v>19447</v>
      </c>
      <c r="I3565" t="s">
        <v>19447</v>
      </c>
      <c r="J3565">
        <v>12</v>
      </c>
      <c r="L3565" t="s">
        <v>2709</v>
      </c>
      <c r="M3565">
        <v>29419092</v>
      </c>
      <c r="O3565" t="s">
        <v>20028</v>
      </c>
      <c r="P3565" t="s">
        <v>19900</v>
      </c>
      <c r="Q3565" t="s">
        <v>19900</v>
      </c>
      <c r="R3565" t="s">
        <v>19447</v>
      </c>
      <c r="S3565" t="s">
        <v>19447</v>
      </c>
      <c r="T3565" t="s">
        <v>19903</v>
      </c>
    </row>
    <row r="3566" spans="2:20" x14ac:dyDescent="0.25">
      <c r="B3566" t="s">
        <v>2709</v>
      </c>
      <c r="C3566">
        <v>29419099</v>
      </c>
      <c r="E3566">
        <v>68.819999999999993</v>
      </c>
      <c r="F3566">
        <v>0</v>
      </c>
      <c r="G3566">
        <v>0</v>
      </c>
      <c r="H3566" t="s">
        <v>19447</v>
      </c>
      <c r="I3566" t="s">
        <v>19447</v>
      </c>
      <c r="J3566">
        <v>2</v>
      </c>
      <c r="L3566" t="s">
        <v>2709</v>
      </c>
      <c r="M3566">
        <v>29419099</v>
      </c>
      <c r="O3566" t="s">
        <v>20028</v>
      </c>
      <c r="P3566" t="s">
        <v>19900</v>
      </c>
      <c r="Q3566" t="s">
        <v>19900</v>
      </c>
      <c r="R3566" t="s">
        <v>19447</v>
      </c>
      <c r="S3566" t="s">
        <v>19447</v>
      </c>
      <c r="T3566" t="s">
        <v>19901</v>
      </c>
    </row>
    <row r="3567" spans="2:20" x14ac:dyDescent="0.25">
      <c r="B3567" t="s">
        <v>2709</v>
      </c>
      <c r="C3567">
        <v>29420000</v>
      </c>
      <c r="E3567">
        <v>68.819999999999993</v>
      </c>
      <c r="F3567">
        <v>0</v>
      </c>
      <c r="G3567">
        <v>0</v>
      </c>
      <c r="H3567" t="s">
        <v>19447</v>
      </c>
      <c r="I3567" t="s">
        <v>19447</v>
      </c>
      <c r="J3567">
        <v>2</v>
      </c>
      <c r="L3567" t="s">
        <v>2709</v>
      </c>
      <c r="M3567">
        <v>29420000</v>
      </c>
      <c r="O3567" t="s">
        <v>20028</v>
      </c>
      <c r="P3567" t="s">
        <v>19900</v>
      </c>
      <c r="Q3567" t="s">
        <v>19900</v>
      </c>
      <c r="R3567" t="s">
        <v>19447</v>
      </c>
      <c r="S3567" t="s">
        <v>19447</v>
      </c>
      <c r="T3567" t="s">
        <v>19901</v>
      </c>
    </row>
    <row r="3568" spans="2:20" x14ac:dyDescent="0.25">
      <c r="B3568" t="s">
        <v>2709</v>
      </c>
      <c r="C3568">
        <v>30012010</v>
      </c>
      <c r="E3568">
        <v>177.19</v>
      </c>
      <c r="F3568">
        <v>0</v>
      </c>
      <c r="G3568">
        <v>0</v>
      </c>
      <c r="H3568">
        <v>9.9</v>
      </c>
      <c r="I3568">
        <v>2.1</v>
      </c>
      <c r="J3568">
        <v>6</v>
      </c>
      <c r="L3568" t="s">
        <v>2709</v>
      </c>
      <c r="M3568">
        <v>30012010</v>
      </c>
      <c r="O3568" t="s">
        <v>19926</v>
      </c>
      <c r="P3568" t="s">
        <v>19900</v>
      </c>
      <c r="Q3568" t="s">
        <v>19900</v>
      </c>
      <c r="R3568" t="s">
        <v>20033</v>
      </c>
      <c r="S3568" t="s">
        <v>20034</v>
      </c>
      <c r="T3568" t="s">
        <v>19907</v>
      </c>
    </row>
    <row r="3569" spans="2:20" x14ac:dyDescent="0.25">
      <c r="B3569" t="s">
        <v>2709</v>
      </c>
      <c r="C3569">
        <v>30012090</v>
      </c>
      <c r="E3569">
        <v>177.19</v>
      </c>
      <c r="F3569">
        <v>0</v>
      </c>
      <c r="G3569">
        <v>0</v>
      </c>
      <c r="H3569">
        <v>9.9</v>
      </c>
      <c r="I3569">
        <v>2.1</v>
      </c>
      <c r="J3569">
        <v>6</v>
      </c>
      <c r="L3569" t="s">
        <v>2709</v>
      </c>
      <c r="M3569">
        <v>30012090</v>
      </c>
      <c r="O3569" t="s">
        <v>19926</v>
      </c>
      <c r="P3569" t="s">
        <v>19900</v>
      </c>
      <c r="Q3569" t="s">
        <v>19900</v>
      </c>
      <c r="R3569" t="s">
        <v>20033</v>
      </c>
      <c r="S3569" t="s">
        <v>20034</v>
      </c>
      <c r="T3569" t="s">
        <v>19907</v>
      </c>
    </row>
    <row r="3570" spans="2:20" x14ac:dyDescent="0.25">
      <c r="B3570" t="s">
        <v>2709</v>
      </c>
      <c r="C3570">
        <v>30019010</v>
      </c>
      <c r="E3570">
        <v>177.19</v>
      </c>
      <c r="F3570">
        <v>0</v>
      </c>
      <c r="G3570">
        <v>0</v>
      </c>
      <c r="H3570">
        <v>9.9</v>
      </c>
      <c r="I3570">
        <v>2.1</v>
      </c>
      <c r="J3570">
        <v>8</v>
      </c>
      <c r="L3570" t="s">
        <v>2709</v>
      </c>
      <c r="M3570">
        <v>30019010</v>
      </c>
      <c r="O3570" t="s">
        <v>19926</v>
      </c>
      <c r="P3570" t="s">
        <v>19900</v>
      </c>
      <c r="Q3570" t="s">
        <v>19900</v>
      </c>
      <c r="R3570" t="s">
        <v>20033</v>
      </c>
      <c r="S3570" t="s">
        <v>20034</v>
      </c>
      <c r="T3570" t="s">
        <v>19918</v>
      </c>
    </row>
    <row r="3571" spans="2:20" x14ac:dyDescent="0.25">
      <c r="B3571" t="s">
        <v>2709</v>
      </c>
      <c r="C3571">
        <v>30019020</v>
      </c>
      <c r="E3571">
        <v>177.19</v>
      </c>
      <c r="F3571">
        <v>0</v>
      </c>
      <c r="G3571">
        <v>0</v>
      </c>
      <c r="H3571">
        <v>9.9</v>
      </c>
      <c r="I3571">
        <v>2.1</v>
      </c>
      <c r="J3571">
        <v>2</v>
      </c>
      <c r="L3571" t="s">
        <v>2709</v>
      </c>
      <c r="M3571">
        <v>30019020</v>
      </c>
      <c r="O3571" t="s">
        <v>19926</v>
      </c>
      <c r="P3571" t="s">
        <v>19900</v>
      </c>
      <c r="Q3571" t="s">
        <v>19900</v>
      </c>
      <c r="R3571" t="s">
        <v>20033</v>
      </c>
      <c r="S3571" t="s">
        <v>20034</v>
      </c>
      <c r="T3571" t="s">
        <v>19901</v>
      </c>
    </row>
    <row r="3572" spans="2:20" x14ac:dyDescent="0.25">
      <c r="B3572" t="s">
        <v>2709</v>
      </c>
      <c r="C3572">
        <v>30019031</v>
      </c>
      <c r="E3572">
        <v>177.19</v>
      </c>
      <c r="F3572">
        <v>0</v>
      </c>
      <c r="G3572">
        <v>0</v>
      </c>
      <c r="H3572">
        <v>9.9</v>
      </c>
      <c r="I3572">
        <v>2.1</v>
      </c>
      <c r="J3572">
        <v>4</v>
      </c>
      <c r="L3572" t="s">
        <v>2709</v>
      </c>
      <c r="M3572">
        <v>30019031</v>
      </c>
      <c r="O3572" t="s">
        <v>19926</v>
      </c>
      <c r="P3572" t="s">
        <v>19900</v>
      </c>
      <c r="Q3572" t="s">
        <v>19900</v>
      </c>
      <c r="R3572" t="s">
        <v>20033</v>
      </c>
      <c r="S3572" t="s">
        <v>20034</v>
      </c>
      <c r="T3572" t="s">
        <v>19902</v>
      </c>
    </row>
    <row r="3573" spans="2:20" x14ac:dyDescent="0.25">
      <c r="B3573" t="s">
        <v>2709</v>
      </c>
      <c r="C3573">
        <v>30019039</v>
      </c>
      <c r="E3573">
        <v>177.19</v>
      </c>
      <c r="F3573">
        <v>0</v>
      </c>
      <c r="G3573">
        <v>0</v>
      </c>
      <c r="H3573">
        <v>9.9</v>
      </c>
      <c r="I3573">
        <v>2.1</v>
      </c>
      <c r="J3573">
        <v>4</v>
      </c>
      <c r="L3573" t="s">
        <v>2709</v>
      </c>
      <c r="M3573">
        <v>30019039</v>
      </c>
      <c r="O3573" t="s">
        <v>19926</v>
      </c>
      <c r="P3573" t="s">
        <v>19900</v>
      </c>
      <c r="Q3573" t="s">
        <v>19900</v>
      </c>
      <c r="R3573" t="s">
        <v>20033</v>
      </c>
      <c r="S3573" t="s">
        <v>20034</v>
      </c>
      <c r="T3573" t="s">
        <v>19902</v>
      </c>
    </row>
    <row r="3574" spans="2:20" x14ac:dyDescent="0.25">
      <c r="B3574" t="s">
        <v>2709</v>
      </c>
      <c r="C3574">
        <v>30019090</v>
      </c>
      <c r="E3574">
        <v>177.19</v>
      </c>
      <c r="F3574">
        <v>0</v>
      </c>
      <c r="G3574">
        <v>0</v>
      </c>
      <c r="H3574">
        <v>9.9</v>
      </c>
      <c r="I3574">
        <v>2.1</v>
      </c>
      <c r="J3574">
        <v>2</v>
      </c>
      <c r="L3574" t="s">
        <v>2709</v>
      </c>
      <c r="M3574">
        <v>30019090</v>
      </c>
      <c r="O3574" t="s">
        <v>19926</v>
      </c>
      <c r="P3574" t="s">
        <v>19900</v>
      </c>
      <c r="Q3574" t="s">
        <v>19900</v>
      </c>
      <c r="R3574" t="s">
        <v>20033</v>
      </c>
      <c r="S3574" t="s">
        <v>20034</v>
      </c>
      <c r="T3574" t="s">
        <v>19901</v>
      </c>
    </row>
    <row r="3575" spans="2:20" x14ac:dyDescent="0.25">
      <c r="B3575" t="s">
        <v>2709</v>
      </c>
      <c r="C3575">
        <v>30021011</v>
      </c>
      <c r="E3575">
        <v>298.8</v>
      </c>
      <c r="F3575">
        <v>0</v>
      </c>
      <c r="G3575">
        <v>0</v>
      </c>
      <c r="H3575">
        <v>9.9</v>
      </c>
      <c r="I3575">
        <v>2.1</v>
      </c>
      <c r="J3575">
        <v>8</v>
      </c>
      <c r="L3575" t="s">
        <v>2709</v>
      </c>
      <c r="M3575">
        <v>30021011</v>
      </c>
      <c r="O3575" t="s">
        <v>20035</v>
      </c>
      <c r="P3575" t="s">
        <v>19900</v>
      </c>
      <c r="Q3575" t="s">
        <v>19900</v>
      </c>
      <c r="R3575" t="s">
        <v>20033</v>
      </c>
      <c r="S3575" t="s">
        <v>20034</v>
      </c>
      <c r="T3575" t="s">
        <v>19918</v>
      </c>
    </row>
    <row r="3576" spans="2:20" x14ac:dyDescent="0.25">
      <c r="B3576" t="s">
        <v>2709</v>
      </c>
      <c r="C3576">
        <v>30021012</v>
      </c>
      <c r="E3576">
        <v>298.8</v>
      </c>
      <c r="F3576">
        <v>0</v>
      </c>
      <c r="G3576">
        <v>0</v>
      </c>
      <c r="H3576">
        <v>9.9</v>
      </c>
      <c r="I3576">
        <v>2.1</v>
      </c>
      <c r="J3576">
        <v>4</v>
      </c>
      <c r="L3576" t="s">
        <v>2709</v>
      </c>
      <c r="M3576">
        <v>30021012</v>
      </c>
      <c r="O3576" t="s">
        <v>20035</v>
      </c>
      <c r="P3576" t="s">
        <v>19900</v>
      </c>
      <c r="Q3576" t="s">
        <v>19900</v>
      </c>
      <c r="R3576" t="s">
        <v>20033</v>
      </c>
      <c r="S3576" t="s">
        <v>20034</v>
      </c>
      <c r="T3576" t="s">
        <v>19902</v>
      </c>
    </row>
    <row r="3577" spans="2:20" x14ac:dyDescent="0.25">
      <c r="B3577" t="s">
        <v>2709</v>
      </c>
      <c r="C3577">
        <v>30021013</v>
      </c>
      <c r="E3577">
        <v>298.8</v>
      </c>
      <c r="F3577">
        <v>0</v>
      </c>
      <c r="G3577">
        <v>0</v>
      </c>
      <c r="H3577">
        <v>9.9</v>
      </c>
      <c r="I3577">
        <v>2.1</v>
      </c>
      <c r="J3577">
        <v>4</v>
      </c>
      <c r="L3577" t="s">
        <v>2709</v>
      </c>
      <c r="M3577">
        <v>30021013</v>
      </c>
      <c r="O3577" t="s">
        <v>20035</v>
      </c>
      <c r="P3577" t="s">
        <v>19900</v>
      </c>
      <c r="Q3577" t="s">
        <v>19900</v>
      </c>
      <c r="R3577" t="s">
        <v>20033</v>
      </c>
      <c r="S3577" t="s">
        <v>20034</v>
      </c>
      <c r="T3577" t="s">
        <v>19902</v>
      </c>
    </row>
    <row r="3578" spans="2:20" x14ac:dyDescent="0.25">
      <c r="B3578" t="s">
        <v>2709</v>
      </c>
      <c r="C3578">
        <v>30021014</v>
      </c>
      <c r="E3578">
        <v>298.8</v>
      </c>
      <c r="F3578">
        <v>0</v>
      </c>
      <c r="G3578">
        <v>0</v>
      </c>
      <c r="H3578">
        <v>9.9</v>
      </c>
      <c r="I3578">
        <v>2.1</v>
      </c>
      <c r="J3578">
        <v>4</v>
      </c>
      <c r="L3578" t="s">
        <v>2709</v>
      </c>
      <c r="M3578">
        <v>30021014</v>
      </c>
      <c r="O3578" t="s">
        <v>20035</v>
      </c>
      <c r="P3578" t="s">
        <v>19900</v>
      </c>
      <c r="Q3578" t="s">
        <v>19900</v>
      </c>
      <c r="R3578" t="s">
        <v>20033</v>
      </c>
      <c r="S3578" t="s">
        <v>20034</v>
      </c>
      <c r="T3578" t="s">
        <v>19902</v>
      </c>
    </row>
    <row r="3579" spans="2:20" x14ac:dyDescent="0.25">
      <c r="B3579" t="s">
        <v>2709</v>
      </c>
      <c r="C3579">
        <v>30021015</v>
      </c>
      <c r="E3579">
        <v>298.8</v>
      </c>
      <c r="F3579">
        <v>0</v>
      </c>
      <c r="G3579">
        <v>0</v>
      </c>
      <c r="H3579">
        <v>9.9</v>
      </c>
      <c r="I3579">
        <v>2.1</v>
      </c>
      <c r="J3579">
        <v>4</v>
      </c>
      <c r="L3579" t="s">
        <v>2709</v>
      </c>
      <c r="M3579">
        <v>30021015</v>
      </c>
      <c r="O3579" t="s">
        <v>20035</v>
      </c>
      <c r="P3579" t="s">
        <v>19900</v>
      </c>
      <c r="Q3579" t="s">
        <v>19900</v>
      </c>
      <c r="R3579" t="s">
        <v>20033</v>
      </c>
      <c r="S3579" t="s">
        <v>20034</v>
      </c>
      <c r="T3579" t="s">
        <v>19902</v>
      </c>
    </row>
    <row r="3580" spans="2:20" x14ac:dyDescent="0.25">
      <c r="B3580" t="s">
        <v>2709</v>
      </c>
      <c r="C3580">
        <v>30021016</v>
      </c>
      <c r="E3580">
        <v>298.8</v>
      </c>
      <c r="F3580">
        <v>0</v>
      </c>
      <c r="G3580">
        <v>0</v>
      </c>
      <c r="H3580">
        <v>9.9</v>
      </c>
      <c r="I3580">
        <v>2.1</v>
      </c>
      <c r="J3580">
        <v>4</v>
      </c>
      <c r="L3580" t="s">
        <v>2709</v>
      </c>
      <c r="M3580">
        <v>30021016</v>
      </c>
      <c r="O3580" t="s">
        <v>20035</v>
      </c>
      <c r="P3580" t="s">
        <v>19900</v>
      </c>
      <c r="Q3580" t="s">
        <v>19900</v>
      </c>
      <c r="R3580" t="s">
        <v>20033</v>
      </c>
      <c r="S3580" t="s">
        <v>20034</v>
      </c>
      <c r="T3580" t="s">
        <v>19902</v>
      </c>
    </row>
    <row r="3581" spans="2:20" x14ac:dyDescent="0.25">
      <c r="B3581" t="s">
        <v>2709</v>
      </c>
      <c r="C3581">
        <v>30021019</v>
      </c>
      <c r="E3581">
        <v>298.8</v>
      </c>
      <c r="F3581">
        <v>0</v>
      </c>
      <c r="G3581">
        <v>0</v>
      </c>
      <c r="H3581">
        <v>9.9</v>
      </c>
      <c r="I3581">
        <v>2.1</v>
      </c>
      <c r="J3581">
        <v>2</v>
      </c>
      <c r="L3581" t="s">
        <v>2709</v>
      </c>
      <c r="M3581">
        <v>30021019</v>
      </c>
      <c r="O3581" t="s">
        <v>20035</v>
      </c>
      <c r="P3581" t="s">
        <v>19900</v>
      </c>
      <c r="Q3581" t="s">
        <v>19900</v>
      </c>
      <c r="R3581" t="s">
        <v>20033</v>
      </c>
      <c r="S3581" t="s">
        <v>20034</v>
      </c>
      <c r="T3581" t="s">
        <v>19901</v>
      </c>
    </row>
    <row r="3582" spans="2:20" x14ac:dyDescent="0.25">
      <c r="B3582" t="s">
        <v>2709</v>
      </c>
      <c r="C3582">
        <v>30021022</v>
      </c>
      <c r="E3582">
        <v>298.8</v>
      </c>
      <c r="F3582">
        <v>0</v>
      </c>
      <c r="G3582">
        <v>0</v>
      </c>
      <c r="H3582">
        <v>9.9</v>
      </c>
      <c r="I3582">
        <v>2.1</v>
      </c>
      <c r="J3582">
        <v>2</v>
      </c>
      <c r="L3582" t="s">
        <v>2709</v>
      </c>
      <c r="M3582">
        <v>30021022</v>
      </c>
      <c r="O3582" t="s">
        <v>20035</v>
      </c>
      <c r="P3582" t="s">
        <v>19900</v>
      </c>
      <c r="Q3582" t="s">
        <v>19900</v>
      </c>
      <c r="R3582" t="s">
        <v>20033</v>
      </c>
      <c r="S3582" t="s">
        <v>20034</v>
      </c>
      <c r="T3582" t="s">
        <v>19901</v>
      </c>
    </row>
    <row r="3583" spans="2:20" x14ac:dyDescent="0.25">
      <c r="B3583" t="s">
        <v>2709</v>
      </c>
      <c r="C3583">
        <v>30021023</v>
      </c>
      <c r="E3583">
        <v>298.8</v>
      </c>
      <c r="F3583">
        <v>0</v>
      </c>
      <c r="G3583">
        <v>0</v>
      </c>
      <c r="H3583">
        <v>9.9</v>
      </c>
      <c r="I3583">
        <v>2.1</v>
      </c>
      <c r="J3583">
        <v>2</v>
      </c>
      <c r="L3583" t="s">
        <v>2709</v>
      </c>
      <c r="M3583">
        <v>30021023</v>
      </c>
      <c r="O3583" t="s">
        <v>20035</v>
      </c>
      <c r="P3583" t="s">
        <v>19900</v>
      </c>
      <c r="Q3583" t="s">
        <v>19900</v>
      </c>
      <c r="R3583" t="s">
        <v>20033</v>
      </c>
      <c r="S3583" t="s">
        <v>20034</v>
      </c>
      <c r="T3583" t="s">
        <v>19901</v>
      </c>
    </row>
    <row r="3584" spans="2:20" x14ac:dyDescent="0.25">
      <c r="B3584" t="s">
        <v>2709</v>
      </c>
      <c r="C3584">
        <v>30021024</v>
      </c>
      <c r="E3584">
        <v>298.8</v>
      </c>
      <c r="F3584">
        <v>0</v>
      </c>
      <c r="G3584">
        <v>0</v>
      </c>
      <c r="H3584">
        <v>9.9</v>
      </c>
      <c r="I3584">
        <v>2.1</v>
      </c>
      <c r="J3584">
        <v>2</v>
      </c>
      <c r="L3584" t="s">
        <v>2709</v>
      </c>
      <c r="M3584">
        <v>30021024</v>
      </c>
      <c r="O3584" t="s">
        <v>20035</v>
      </c>
      <c r="P3584" t="s">
        <v>19900</v>
      </c>
      <c r="Q3584" t="s">
        <v>19900</v>
      </c>
      <c r="R3584" t="s">
        <v>20033</v>
      </c>
      <c r="S3584" t="s">
        <v>20034</v>
      </c>
      <c r="T3584" t="s">
        <v>19901</v>
      </c>
    </row>
    <row r="3585" spans="2:20" x14ac:dyDescent="0.25">
      <c r="B3585" t="s">
        <v>2709</v>
      </c>
      <c r="C3585">
        <v>30021025</v>
      </c>
      <c r="E3585">
        <v>298.8</v>
      </c>
      <c r="F3585">
        <v>0</v>
      </c>
      <c r="G3585">
        <v>0</v>
      </c>
      <c r="H3585">
        <v>9.9</v>
      </c>
      <c r="I3585">
        <v>2.1</v>
      </c>
      <c r="J3585">
        <v>2</v>
      </c>
      <c r="L3585" t="s">
        <v>2709</v>
      </c>
      <c r="M3585">
        <v>30021025</v>
      </c>
      <c r="O3585" t="s">
        <v>20035</v>
      </c>
      <c r="P3585" t="s">
        <v>19900</v>
      </c>
      <c r="Q3585" t="s">
        <v>19900</v>
      </c>
      <c r="R3585" t="s">
        <v>20033</v>
      </c>
      <c r="S3585" t="s">
        <v>20034</v>
      </c>
      <c r="T3585" t="s">
        <v>19901</v>
      </c>
    </row>
    <row r="3586" spans="2:20" x14ac:dyDescent="0.25">
      <c r="B3586" t="s">
        <v>2709</v>
      </c>
      <c r="C3586">
        <v>30021026</v>
      </c>
      <c r="E3586">
        <v>298.8</v>
      </c>
      <c r="F3586">
        <v>0</v>
      </c>
      <c r="G3586">
        <v>0</v>
      </c>
      <c r="H3586">
        <v>9.9</v>
      </c>
      <c r="I3586">
        <v>2.1</v>
      </c>
      <c r="J3586">
        <v>2</v>
      </c>
      <c r="L3586" t="s">
        <v>2709</v>
      </c>
      <c r="M3586">
        <v>30021026</v>
      </c>
      <c r="O3586" t="s">
        <v>20035</v>
      </c>
      <c r="P3586" t="s">
        <v>19900</v>
      </c>
      <c r="Q3586" t="s">
        <v>19900</v>
      </c>
      <c r="R3586" t="s">
        <v>20033</v>
      </c>
      <c r="S3586" t="s">
        <v>20034</v>
      </c>
      <c r="T3586" t="s">
        <v>19901</v>
      </c>
    </row>
    <row r="3587" spans="2:20" x14ac:dyDescent="0.25">
      <c r="B3587" t="s">
        <v>2709</v>
      </c>
      <c r="C3587">
        <v>30021029</v>
      </c>
      <c r="E3587">
        <v>298.8</v>
      </c>
      <c r="F3587">
        <v>0</v>
      </c>
      <c r="G3587">
        <v>0</v>
      </c>
      <c r="H3587">
        <v>9.9</v>
      </c>
      <c r="I3587">
        <v>2.1</v>
      </c>
      <c r="J3587">
        <v>2</v>
      </c>
      <c r="L3587" t="s">
        <v>2709</v>
      </c>
      <c r="M3587">
        <v>30021029</v>
      </c>
      <c r="O3587" t="s">
        <v>20035</v>
      </c>
      <c r="P3587" t="s">
        <v>19900</v>
      </c>
      <c r="Q3587" t="s">
        <v>19900</v>
      </c>
      <c r="R3587" t="s">
        <v>20033</v>
      </c>
      <c r="S3587" t="s">
        <v>20034</v>
      </c>
      <c r="T3587" t="s">
        <v>19901</v>
      </c>
    </row>
    <row r="3588" spans="2:20" x14ac:dyDescent="0.25">
      <c r="B3588" t="s">
        <v>2709</v>
      </c>
      <c r="C3588">
        <v>30021031</v>
      </c>
      <c r="E3588">
        <v>298.8</v>
      </c>
      <c r="F3588">
        <v>0</v>
      </c>
      <c r="G3588">
        <v>0</v>
      </c>
      <c r="H3588">
        <v>9.9</v>
      </c>
      <c r="I3588">
        <v>2.1</v>
      </c>
      <c r="J3588">
        <v>2</v>
      </c>
      <c r="L3588" t="s">
        <v>2709</v>
      </c>
      <c r="M3588">
        <v>30021031</v>
      </c>
      <c r="O3588" t="s">
        <v>20035</v>
      </c>
      <c r="P3588" t="s">
        <v>19900</v>
      </c>
      <c r="Q3588" t="s">
        <v>19900</v>
      </c>
      <c r="R3588" t="s">
        <v>20033</v>
      </c>
      <c r="S3588" t="s">
        <v>20034</v>
      </c>
      <c r="T3588" t="s">
        <v>19901</v>
      </c>
    </row>
    <row r="3589" spans="2:20" x14ac:dyDescent="0.25">
      <c r="B3589" t="s">
        <v>2709</v>
      </c>
      <c r="C3589">
        <v>30021032</v>
      </c>
      <c r="E3589">
        <v>298.8</v>
      </c>
      <c r="F3589">
        <v>0</v>
      </c>
      <c r="G3589">
        <v>0</v>
      </c>
      <c r="H3589">
        <v>9.9</v>
      </c>
      <c r="I3589">
        <v>2.1</v>
      </c>
      <c r="J3589">
        <v>0</v>
      </c>
      <c r="L3589" t="s">
        <v>2709</v>
      </c>
      <c r="M3589">
        <v>30021032</v>
      </c>
      <c r="O3589" t="s">
        <v>20035</v>
      </c>
      <c r="P3589" t="s">
        <v>19900</v>
      </c>
      <c r="Q3589" t="s">
        <v>19900</v>
      </c>
      <c r="R3589" t="s">
        <v>20033</v>
      </c>
      <c r="S3589" t="s">
        <v>20034</v>
      </c>
      <c r="T3589" t="s">
        <v>19900</v>
      </c>
    </row>
    <row r="3590" spans="2:20" x14ac:dyDescent="0.25">
      <c r="B3590" t="s">
        <v>2709</v>
      </c>
      <c r="C3590">
        <v>30021033</v>
      </c>
      <c r="E3590">
        <v>298.8</v>
      </c>
      <c r="F3590">
        <v>0</v>
      </c>
      <c r="G3590">
        <v>0</v>
      </c>
      <c r="H3590">
        <v>9.9</v>
      </c>
      <c r="I3590">
        <v>2.1</v>
      </c>
      <c r="J3590">
        <v>0</v>
      </c>
      <c r="L3590" t="s">
        <v>2709</v>
      </c>
      <c r="M3590">
        <v>30021033</v>
      </c>
      <c r="O3590" t="s">
        <v>20035</v>
      </c>
      <c r="P3590" t="s">
        <v>19900</v>
      </c>
      <c r="Q3590" t="s">
        <v>19900</v>
      </c>
      <c r="R3590" t="s">
        <v>20033</v>
      </c>
      <c r="S3590" t="s">
        <v>20034</v>
      </c>
      <c r="T3590" t="s">
        <v>19900</v>
      </c>
    </row>
    <row r="3591" spans="2:20" x14ac:dyDescent="0.25">
      <c r="B3591" t="s">
        <v>2709</v>
      </c>
      <c r="C3591">
        <v>30021034</v>
      </c>
      <c r="E3591">
        <v>298.8</v>
      </c>
      <c r="F3591">
        <v>0</v>
      </c>
      <c r="G3591">
        <v>0</v>
      </c>
      <c r="H3591">
        <v>9.9</v>
      </c>
      <c r="I3591">
        <v>2.1</v>
      </c>
      <c r="J3591">
        <v>8</v>
      </c>
      <c r="L3591" t="s">
        <v>2709</v>
      </c>
      <c r="M3591">
        <v>30021034</v>
      </c>
      <c r="O3591" t="s">
        <v>20035</v>
      </c>
      <c r="P3591" t="s">
        <v>19900</v>
      </c>
      <c r="Q3591" t="s">
        <v>19900</v>
      </c>
      <c r="R3591" t="s">
        <v>20033</v>
      </c>
      <c r="S3591" t="s">
        <v>20034</v>
      </c>
      <c r="T3591" t="s">
        <v>19918</v>
      </c>
    </row>
    <row r="3592" spans="2:20" x14ac:dyDescent="0.25">
      <c r="B3592" t="s">
        <v>2709</v>
      </c>
      <c r="C3592">
        <v>30021035</v>
      </c>
      <c r="E3592">
        <v>298.8</v>
      </c>
      <c r="F3592">
        <v>0</v>
      </c>
      <c r="G3592">
        <v>0</v>
      </c>
      <c r="H3592">
        <v>9.9</v>
      </c>
      <c r="I3592">
        <v>2.1</v>
      </c>
      <c r="J3592">
        <v>8</v>
      </c>
      <c r="L3592" t="s">
        <v>2709</v>
      </c>
      <c r="M3592">
        <v>30021035</v>
      </c>
      <c r="O3592" t="s">
        <v>20035</v>
      </c>
      <c r="P3592" t="s">
        <v>19900</v>
      </c>
      <c r="Q3592" t="s">
        <v>19900</v>
      </c>
      <c r="R3592" t="s">
        <v>20033</v>
      </c>
      <c r="S3592" t="s">
        <v>20034</v>
      </c>
      <c r="T3592" t="s">
        <v>19918</v>
      </c>
    </row>
    <row r="3593" spans="2:20" x14ac:dyDescent="0.25">
      <c r="B3593" t="s">
        <v>2709</v>
      </c>
      <c r="C3593">
        <v>30021036</v>
      </c>
      <c r="E3593">
        <v>298.8</v>
      </c>
      <c r="F3593">
        <v>0</v>
      </c>
      <c r="G3593">
        <v>0</v>
      </c>
      <c r="H3593">
        <v>9.9</v>
      </c>
      <c r="I3593">
        <v>2.1</v>
      </c>
      <c r="J3593">
        <v>0</v>
      </c>
      <c r="L3593" t="s">
        <v>2709</v>
      </c>
      <c r="M3593">
        <v>30021036</v>
      </c>
      <c r="O3593" t="s">
        <v>20035</v>
      </c>
      <c r="P3593" t="s">
        <v>19900</v>
      </c>
      <c r="Q3593" t="s">
        <v>19900</v>
      </c>
      <c r="R3593" t="s">
        <v>20033</v>
      </c>
      <c r="S3593" t="s">
        <v>20034</v>
      </c>
      <c r="T3593" t="s">
        <v>19900</v>
      </c>
    </row>
    <row r="3594" spans="2:20" x14ac:dyDescent="0.25">
      <c r="B3594" t="s">
        <v>2709</v>
      </c>
      <c r="C3594">
        <v>30021037</v>
      </c>
      <c r="E3594">
        <v>298.8</v>
      </c>
      <c r="F3594">
        <v>0</v>
      </c>
      <c r="G3594">
        <v>0</v>
      </c>
      <c r="H3594">
        <v>9.9</v>
      </c>
      <c r="I3594">
        <v>2.1</v>
      </c>
      <c r="J3594">
        <v>0</v>
      </c>
      <c r="L3594" t="s">
        <v>2709</v>
      </c>
      <c r="M3594">
        <v>30021037</v>
      </c>
      <c r="O3594" t="s">
        <v>20035</v>
      </c>
      <c r="P3594" t="s">
        <v>19900</v>
      </c>
      <c r="Q3594" t="s">
        <v>19900</v>
      </c>
      <c r="R3594" t="s">
        <v>20033</v>
      </c>
      <c r="S3594" t="s">
        <v>20034</v>
      </c>
      <c r="T3594" t="s">
        <v>19900</v>
      </c>
    </row>
    <row r="3595" spans="2:20" x14ac:dyDescent="0.25">
      <c r="B3595" t="s">
        <v>2709</v>
      </c>
      <c r="C3595">
        <v>30021038</v>
      </c>
      <c r="E3595">
        <v>298.8</v>
      </c>
      <c r="F3595">
        <v>0</v>
      </c>
      <c r="G3595">
        <v>0</v>
      </c>
      <c r="H3595">
        <v>9.9</v>
      </c>
      <c r="I3595">
        <v>2.1</v>
      </c>
      <c r="J3595">
        <v>0</v>
      </c>
      <c r="L3595" t="s">
        <v>2709</v>
      </c>
      <c r="M3595">
        <v>30021038</v>
      </c>
      <c r="O3595" t="s">
        <v>20035</v>
      </c>
      <c r="P3595" t="s">
        <v>19900</v>
      </c>
      <c r="Q3595" t="s">
        <v>19900</v>
      </c>
      <c r="R3595" t="s">
        <v>20033</v>
      </c>
      <c r="S3595" t="s">
        <v>20034</v>
      </c>
      <c r="T3595" t="s">
        <v>19900</v>
      </c>
    </row>
    <row r="3596" spans="2:20" x14ac:dyDescent="0.25">
      <c r="B3596" t="s">
        <v>2709</v>
      </c>
      <c r="C3596">
        <v>30021039</v>
      </c>
      <c r="E3596">
        <v>298.8</v>
      </c>
      <c r="F3596">
        <v>0</v>
      </c>
      <c r="G3596">
        <v>0</v>
      </c>
      <c r="H3596">
        <v>9.9</v>
      </c>
      <c r="I3596">
        <v>2.1</v>
      </c>
      <c r="J3596">
        <v>2</v>
      </c>
      <c r="L3596" t="s">
        <v>2709</v>
      </c>
      <c r="M3596">
        <v>30021039</v>
      </c>
      <c r="O3596" t="s">
        <v>20035</v>
      </c>
      <c r="P3596" t="s">
        <v>19900</v>
      </c>
      <c r="Q3596" t="s">
        <v>19900</v>
      </c>
      <c r="R3596" t="s">
        <v>20033</v>
      </c>
      <c r="S3596" t="s">
        <v>20034</v>
      </c>
      <c r="T3596" t="s">
        <v>19901</v>
      </c>
    </row>
    <row r="3597" spans="2:20" x14ac:dyDescent="0.25">
      <c r="B3597" t="s">
        <v>2709</v>
      </c>
      <c r="C3597">
        <v>30022011</v>
      </c>
      <c r="E3597">
        <v>298.8</v>
      </c>
      <c r="F3597">
        <v>0</v>
      </c>
      <c r="G3597">
        <v>0</v>
      </c>
      <c r="H3597">
        <v>9.9</v>
      </c>
      <c r="I3597">
        <v>2.1</v>
      </c>
      <c r="J3597">
        <v>2</v>
      </c>
      <c r="L3597" t="s">
        <v>2709</v>
      </c>
      <c r="M3597">
        <v>30022011</v>
      </c>
      <c r="O3597" t="s">
        <v>20035</v>
      </c>
      <c r="P3597" t="s">
        <v>19900</v>
      </c>
      <c r="Q3597" t="s">
        <v>19900</v>
      </c>
      <c r="R3597" t="s">
        <v>20033</v>
      </c>
      <c r="S3597" t="s">
        <v>20034</v>
      </c>
      <c r="T3597" t="s">
        <v>19901</v>
      </c>
    </row>
    <row r="3598" spans="2:20" x14ac:dyDescent="0.25">
      <c r="B3598" t="s">
        <v>2709</v>
      </c>
      <c r="C3598">
        <v>30022012</v>
      </c>
      <c r="E3598">
        <v>298.8</v>
      </c>
      <c r="F3598">
        <v>0</v>
      </c>
      <c r="G3598">
        <v>0</v>
      </c>
      <c r="H3598">
        <v>9.9</v>
      </c>
      <c r="I3598">
        <v>2.1</v>
      </c>
      <c r="J3598">
        <v>2</v>
      </c>
      <c r="L3598" t="s">
        <v>2709</v>
      </c>
      <c r="M3598">
        <v>30022012</v>
      </c>
      <c r="O3598" t="s">
        <v>20035</v>
      </c>
      <c r="P3598" t="s">
        <v>19900</v>
      </c>
      <c r="Q3598" t="s">
        <v>19900</v>
      </c>
      <c r="R3598" t="s">
        <v>20033</v>
      </c>
      <c r="S3598" t="s">
        <v>20034</v>
      </c>
      <c r="T3598" t="s">
        <v>19901</v>
      </c>
    </row>
    <row r="3599" spans="2:20" x14ac:dyDescent="0.25">
      <c r="B3599" t="s">
        <v>2709</v>
      </c>
      <c r="C3599">
        <v>30022013</v>
      </c>
      <c r="E3599">
        <v>298.8</v>
      </c>
      <c r="F3599">
        <v>0</v>
      </c>
      <c r="G3599">
        <v>0</v>
      </c>
      <c r="H3599">
        <v>9.9</v>
      </c>
      <c r="I3599">
        <v>2.1</v>
      </c>
      <c r="J3599">
        <v>2</v>
      </c>
      <c r="L3599" t="s">
        <v>2709</v>
      </c>
      <c r="M3599">
        <v>30022013</v>
      </c>
      <c r="O3599" t="s">
        <v>20035</v>
      </c>
      <c r="P3599" t="s">
        <v>19900</v>
      </c>
      <c r="Q3599" t="s">
        <v>19900</v>
      </c>
      <c r="R3599" t="s">
        <v>20033</v>
      </c>
      <c r="S3599" t="s">
        <v>20034</v>
      </c>
      <c r="T3599" t="s">
        <v>19901</v>
      </c>
    </row>
    <row r="3600" spans="2:20" x14ac:dyDescent="0.25">
      <c r="B3600" t="s">
        <v>2709</v>
      </c>
      <c r="C3600">
        <v>30022014</v>
      </c>
      <c r="E3600">
        <v>298.8</v>
      </c>
      <c r="F3600">
        <v>0</v>
      </c>
      <c r="G3600">
        <v>0</v>
      </c>
      <c r="H3600">
        <v>9.9</v>
      </c>
      <c r="I3600">
        <v>2.1</v>
      </c>
      <c r="J3600">
        <v>2</v>
      </c>
      <c r="L3600" t="s">
        <v>2709</v>
      </c>
      <c r="M3600">
        <v>30022014</v>
      </c>
      <c r="O3600" t="s">
        <v>20035</v>
      </c>
      <c r="P3600" t="s">
        <v>19900</v>
      </c>
      <c r="Q3600" t="s">
        <v>19900</v>
      </c>
      <c r="R3600" t="s">
        <v>20033</v>
      </c>
      <c r="S3600" t="s">
        <v>20034</v>
      </c>
      <c r="T3600" t="s">
        <v>19901</v>
      </c>
    </row>
    <row r="3601" spans="2:20" x14ac:dyDescent="0.25">
      <c r="B3601" t="s">
        <v>2709</v>
      </c>
      <c r="C3601">
        <v>30022015</v>
      </c>
      <c r="E3601">
        <v>298.8</v>
      </c>
      <c r="F3601">
        <v>0</v>
      </c>
      <c r="G3601">
        <v>0</v>
      </c>
      <c r="H3601">
        <v>9.9</v>
      </c>
      <c r="I3601">
        <v>2.1</v>
      </c>
      <c r="J3601">
        <v>2</v>
      </c>
      <c r="L3601" t="s">
        <v>2709</v>
      </c>
      <c r="M3601">
        <v>30022015</v>
      </c>
      <c r="O3601" t="s">
        <v>20035</v>
      </c>
      <c r="P3601" t="s">
        <v>19900</v>
      </c>
      <c r="Q3601" t="s">
        <v>19900</v>
      </c>
      <c r="R3601" t="s">
        <v>20033</v>
      </c>
      <c r="S3601" t="s">
        <v>20034</v>
      </c>
      <c r="T3601" t="s">
        <v>19901</v>
      </c>
    </row>
    <row r="3602" spans="2:20" x14ac:dyDescent="0.25">
      <c r="B3602" t="s">
        <v>2709</v>
      </c>
      <c r="C3602">
        <v>30022016</v>
      </c>
      <c r="E3602">
        <v>298.8</v>
      </c>
      <c r="F3602">
        <v>0</v>
      </c>
      <c r="G3602">
        <v>0</v>
      </c>
      <c r="H3602">
        <v>9.9</v>
      </c>
      <c r="I3602">
        <v>2.1</v>
      </c>
      <c r="J3602">
        <v>2</v>
      </c>
      <c r="L3602" t="s">
        <v>2709</v>
      </c>
      <c r="M3602">
        <v>30022016</v>
      </c>
      <c r="O3602" t="s">
        <v>20035</v>
      </c>
      <c r="P3602" t="s">
        <v>19900</v>
      </c>
      <c r="Q3602" t="s">
        <v>19900</v>
      </c>
      <c r="R3602" t="s">
        <v>20033</v>
      </c>
      <c r="S3602" t="s">
        <v>20034</v>
      </c>
      <c r="T3602" t="s">
        <v>19901</v>
      </c>
    </row>
    <row r="3603" spans="2:20" x14ac:dyDescent="0.25">
      <c r="B3603" t="s">
        <v>2709</v>
      </c>
      <c r="C3603">
        <v>30022017</v>
      </c>
      <c r="E3603">
        <v>298.8</v>
      </c>
      <c r="F3603">
        <v>0</v>
      </c>
      <c r="G3603">
        <v>0</v>
      </c>
      <c r="H3603">
        <v>9.9</v>
      </c>
      <c r="I3603">
        <v>2.1</v>
      </c>
      <c r="J3603">
        <v>4</v>
      </c>
      <c r="L3603" t="s">
        <v>2709</v>
      </c>
      <c r="M3603">
        <v>30022017</v>
      </c>
      <c r="O3603" t="s">
        <v>20035</v>
      </c>
      <c r="P3603" t="s">
        <v>19900</v>
      </c>
      <c r="Q3603" t="s">
        <v>19900</v>
      </c>
      <c r="R3603" t="s">
        <v>20033</v>
      </c>
      <c r="S3603" t="s">
        <v>20034</v>
      </c>
      <c r="T3603" t="s">
        <v>19902</v>
      </c>
    </row>
    <row r="3604" spans="2:20" x14ac:dyDescent="0.25">
      <c r="B3604" t="s">
        <v>2709</v>
      </c>
      <c r="C3604">
        <v>30022018</v>
      </c>
      <c r="E3604">
        <v>298.8</v>
      </c>
      <c r="F3604">
        <v>0</v>
      </c>
      <c r="G3604">
        <v>0</v>
      </c>
      <c r="H3604">
        <v>9.9</v>
      </c>
      <c r="I3604">
        <v>2.1</v>
      </c>
      <c r="J3604">
        <v>2</v>
      </c>
      <c r="L3604" t="s">
        <v>2709</v>
      </c>
      <c r="M3604">
        <v>30022018</v>
      </c>
      <c r="O3604" t="s">
        <v>20035</v>
      </c>
      <c r="P3604" t="s">
        <v>19900</v>
      </c>
      <c r="Q3604" t="s">
        <v>19900</v>
      </c>
      <c r="R3604" t="s">
        <v>20033</v>
      </c>
      <c r="S3604" t="s">
        <v>20034</v>
      </c>
      <c r="T3604" t="s">
        <v>19901</v>
      </c>
    </row>
    <row r="3605" spans="2:20" x14ac:dyDescent="0.25">
      <c r="B3605" t="s">
        <v>2709</v>
      </c>
      <c r="C3605">
        <v>30022019</v>
      </c>
      <c r="E3605">
        <v>298.8</v>
      </c>
      <c r="F3605">
        <v>0</v>
      </c>
      <c r="G3605">
        <v>0</v>
      </c>
      <c r="H3605">
        <v>9.9</v>
      </c>
      <c r="I3605">
        <v>2.1</v>
      </c>
      <c r="J3605">
        <v>2</v>
      </c>
      <c r="L3605" t="s">
        <v>2709</v>
      </c>
      <c r="M3605">
        <v>30022019</v>
      </c>
      <c r="O3605" t="s">
        <v>20035</v>
      </c>
      <c r="P3605" t="s">
        <v>19900</v>
      </c>
      <c r="Q3605" t="s">
        <v>19900</v>
      </c>
      <c r="R3605" t="s">
        <v>20033</v>
      </c>
      <c r="S3605" t="s">
        <v>20034</v>
      </c>
      <c r="T3605" t="s">
        <v>19901</v>
      </c>
    </row>
    <row r="3606" spans="2:20" x14ac:dyDescent="0.25">
      <c r="B3606" t="s">
        <v>2709</v>
      </c>
      <c r="C3606">
        <v>30022021</v>
      </c>
      <c r="E3606">
        <v>298.8</v>
      </c>
      <c r="F3606">
        <v>0</v>
      </c>
      <c r="G3606">
        <v>0</v>
      </c>
      <c r="H3606">
        <v>9.9</v>
      </c>
      <c r="I3606">
        <v>2.1</v>
      </c>
      <c r="J3606">
        <v>2</v>
      </c>
      <c r="L3606" t="s">
        <v>2709</v>
      </c>
      <c r="M3606">
        <v>30022021</v>
      </c>
      <c r="O3606" t="s">
        <v>20035</v>
      </c>
      <c r="P3606" t="s">
        <v>19900</v>
      </c>
      <c r="Q3606" t="s">
        <v>19900</v>
      </c>
      <c r="R3606" t="s">
        <v>20033</v>
      </c>
      <c r="S3606" t="s">
        <v>20034</v>
      </c>
      <c r="T3606" t="s">
        <v>19901</v>
      </c>
    </row>
    <row r="3607" spans="2:20" x14ac:dyDescent="0.25">
      <c r="B3607" t="s">
        <v>2709</v>
      </c>
      <c r="C3607">
        <v>30022022</v>
      </c>
      <c r="E3607">
        <v>298.8</v>
      </c>
      <c r="F3607">
        <v>0</v>
      </c>
      <c r="G3607">
        <v>0</v>
      </c>
      <c r="H3607">
        <v>9.9</v>
      </c>
      <c r="I3607">
        <v>2.1</v>
      </c>
      <c r="J3607">
        <v>2</v>
      </c>
      <c r="L3607" t="s">
        <v>2709</v>
      </c>
      <c r="M3607">
        <v>30022022</v>
      </c>
      <c r="O3607" t="s">
        <v>20035</v>
      </c>
      <c r="P3607" t="s">
        <v>19900</v>
      </c>
      <c r="Q3607" t="s">
        <v>19900</v>
      </c>
      <c r="R3607" t="s">
        <v>20033</v>
      </c>
      <c r="S3607" t="s">
        <v>20034</v>
      </c>
      <c r="T3607" t="s">
        <v>19901</v>
      </c>
    </row>
    <row r="3608" spans="2:20" x14ac:dyDescent="0.25">
      <c r="B3608" t="s">
        <v>2709</v>
      </c>
      <c r="C3608">
        <v>30022023</v>
      </c>
      <c r="E3608">
        <v>298.8</v>
      </c>
      <c r="F3608">
        <v>0</v>
      </c>
      <c r="G3608">
        <v>0</v>
      </c>
      <c r="H3608">
        <v>9.9</v>
      </c>
      <c r="I3608">
        <v>2.1</v>
      </c>
      <c r="J3608">
        <v>2</v>
      </c>
      <c r="L3608" t="s">
        <v>2709</v>
      </c>
      <c r="M3608">
        <v>30022023</v>
      </c>
      <c r="O3608" t="s">
        <v>20035</v>
      </c>
      <c r="P3608" t="s">
        <v>19900</v>
      </c>
      <c r="Q3608" t="s">
        <v>19900</v>
      </c>
      <c r="R3608" t="s">
        <v>20033</v>
      </c>
      <c r="S3608" t="s">
        <v>20034</v>
      </c>
      <c r="T3608" t="s">
        <v>19901</v>
      </c>
    </row>
    <row r="3609" spans="2:20" x14ac:dyDescent="0.25">
      <c r="B3609" t="s">
        <v>2709</v>
      </c>
      <c r="C3609">
        <v>30022024</v>
      </c>
      <c r="E3609">
        <v>298.8</v>
      </c>
      <c r="F3609">
        <v>0</v>
      </c>
      <c r="G3609">
        <v>0</v>
      </c>
      <c r="H3609">
        <v>9.9</v>
      </c>
      <c r="I3609">
        <v>2.1</v>
      </c>
      <c r="J3609">
        <v>2</v>
      </c>
      <c r="L3609" t="s">
        <v>2709</v>
      </c>
      <c r="M3609">
        <v>30022024</v>
      </c>
      <c r="O3609" t="s">
        <v>20035</v>
      </c>
      <c r="P3609" t="s">
        <v>19900</v>
      </c>
      <c r="Q3609" t="s">
        <v>19900</v>
      </c>
      <c r="R3609" t="s">
        <v>20033</v>
      </c>
      <c r="S3609" t="s">
        <v>20034</v>
      </c>
      <c r="T3609" t="s">
        <v>19901</v>
      </c>
    </row>
    <row r="3610" spans="2:20" x14ac:dyDescent="0.25">
      <c r="B3610" t="s">
        <v>2709</v>
      </c>
      <c r="C3610">
        <v>30022025</v>
      </c>
      <c r="E3610">
        <v>298.8</v>
      </c>
      <c r="F3610">
        <v>0</v>
      </c>
      <c r="G3610">
        <v>0</v>
      </c>
      <c r="H3610">
        <v>9.9</v>
      </c>
      <c r="I3610">
        <v>2.1</v>
      </c>
      <c r="J3610">
        <v>2</v>
      </c>
      <c r="L3610" t="s">
        <v>2709</v>
      </c>
      <c r="M3610">
        <v>30022025</v>
      </c>
      <c r="O3610" t="s">
        <v>20035</v>
      </c>
      <c r="P3610" t="s">
        <v>19900</v>
      </c>
      <c r="Q3610" t="s">
        <v>19900</v>
      </c>
      <c r="R3610" t="s">
        <v>20033</v>
      </c>
      <c r="S3610" t="s">
        <v>20034</v>
      </c>
      <c r="T3610" t="s">
        <v>19901</v>
      </c>
    </row>
    <row r="3611" spans="2:20" x14ac:dyDescent="0.25">
      <c r="B3611" t="s">
        <v>2709</v>
      </c>
      <c r="C3611">
        <v>30022026</v>
      </c>
      <c r="E3611">
        <v>298.8</v>
      </c>
      <c r="F3611">
        <v>0</v>
      </c>
      <c r="G3611">
        <v>0</v>
      </c>
      <c r="H3611">
        <v>9.9</v>
      </c>
      <c r="I3611">
        <v>2.1</v>
      </c>
      <c r="J3611">
        <v>2</v>
      </c>
      <c r="L3611" t="s">
        <v>2709</v>
      </c>
      <c r="M3611">
        <v>30022026</v>
      </c>
      <c r="O3611" t="s">
        <v>20035</v>
      </c>
      <c r="P3611" t="s">
        <v>19900</v>
      </c>
      <c r="Q3611" t="s">
        <v>19900</v>
      </c>
      <c r="R3611" t="s">
        <v>20033</v>
      </c>
      <c r="S3611" t="s">
        <v>20034</v>
      </c>
      <c r="T3611" t="s">
        <v>19901</v>
      </c>
    </row>
    <row r="3612" spans="2:20" x14ac:dyDescent="0.25">
      <c r="B3612" t="s">
        <v>2709</v>
      </c>
      <c r="C3612">
        <v>30022027</v>
      </c>
      <c r="E3612">
        <v>298.8</v>
      </c>
      <c r="F3612">
        <v>0</v>
      </c>
      <c r="G3612">
        <v>0</v>
      </c>
      <c r="H3612">
        <v>9.9</v>
      </c>
      <c r="I3612">
        <v>2.1</v>
      </c>
      <c r="J3612">
        <v>2</v>
      </c>
      <c r="L3612" t="s">
        <v>2709</v>
      </c>
      <c r="M3612">
        <v>30022027</v>
      </c>
      <c r="O3612" t="s">
        <v>20035</v>
      </c>
      <c r="P3612" t="s">
        <v>19900</v>
      </c>
      <c r="Q3612" t="s">
        <v>19900</v>
      </c>
      <c r="R3612" t="s">
        <v>20033</v>
      </c>
      <c r="S3612" t="s">
        <v>20034</v>
      </c>
      <c r="T3612" t="s">
        <v>19901</v>
      </c>
    </row>
    <row r="3613" spans="2:20" x14ac:dyDescent="0.25">
      <c r="B3613" t="s">
        <v>2709</v>
      </c>
      <c r="C3613">
        <v>30022028</v>
      </c>
      <c r="E3613">
        <v>298.8</v>
      </c>
      <c r="F3613">
        <v>0</v>
      </c>
      <c r="G3613">
        <v>0</v>
      </c>
      <c r="H3613">
        <v>9.9</v>
      </c>
      <c r="I3613">
        <v>2.1</v>
      </c>
      <c r="J3613">
        <v>4</v>
      </c>
      <c r="L3613" t="s">
        <v>2709</v>
      </c>
      <c r="M3613">
        <v>30022028</v>
      </c>
      <c r="O3613" t="s">
        <v>20035</v>
      </c>
      <c r="P3613" t="s">
        <v>19900</v>
      </c>
      <c r="Q3613" t="s">
        <v>19900</v>
      </c>
      <c r="R3613" t="s">
        <v>20033</v>
      </c>
      <c r="S3613" t="s">
        <v>20034</v>
      </c>
      <c r="T3613" t="s">
        <v>19902</v>
      </c>
    </row>
    <row r="3614" spans="2:20" x14ac:dyDescent="0.25">
      <c r="B3614" t="s">
        <v>2709</v>
      </c>
      <c r="C3614">
        <v>30022029</v>
      </c>
      <c r="E3614">
        <v>298.8</v>
      </c>
      <c r="F3614">
        <v>0</v>
      </c>
      <c r="G3614">
        <v>0</v>
      </c>
      <c r="H3614">
        <v>9.9</v>
      </c>
      <c r="I3614">
        <v>2.1</v>
      </c>
      <c r="J3614">
        <v>2</v>
      </c>
      <c r="L3614" t="s">
        <v>2709</v>
      </c>
      <c r="M3614">
        <v>30022029</v>
      </c>
      <c r="O3614" t="s">
        <v>20035</v>
      </c>
      <c r="P3614" t="s">
        <v>19900</v>
      </c>
      <c r="Q3614" t="s">
        <v>19900</v>
      </c>
      <c r="R3614" t="s">
        <v>20033</v>
      </c>
      <c r="S3614" t="s">
        <v>20034</v>
      </c>
      <c r="T3614" t="s">
        <v>19901</v>
      </c>
    </row>
    <row r="3615" spans="2:20" x14ac:dyDescent="0.25">
      <c r="B3615" t="s">
        <v>2709</v>
      </c>
      <c r="C3615">
        <v>30023010</v>
      </c>
      <c r="E3615">
        <v>286.37</v>
      </c>
      <c r="F3615">
        <v>0</v>
      </c>
      <c r="G3615">
        <v>0</v>
      </c>
      <c r="H3615" t="s">
        <v>19447</v>
      </c>
      <c r="I3615" t="s">
        <v>19447</v>
      </c>
      <c r="J3615">
        <v>4</v>
      </c>
      <c r="L3615" t="s">
        <v>2709</v>
      </c>
      <c r="M3615">
        <v>30023010</v>
      </c>
      <c r="O3615" t="s">
        <v>20032</v>
      </c>
      <c r="P3615" t="s">
        <v>19900</v>
      </c>
      <c r="Q3615" t="s">
        <v>19900</v>
      </c>
      <c r="R3615" t="s">
        <v>19447</v>
      </c>
      <c r="S3615" t="s">
        <v>19447</v>
      </c>
      <c r="T3615" t="s">
        <v>19902</v>
      </c>
    </row>
    <row r="3616" spans="2:20" x14ac:dyDescent="0.25">
      <c r="B3616" t="s">
        <v>2709</v>
      </c>
      <c r="C3616">
        <v>30023020</v>
      </c>
      <c r="E3616">
        <v>286.37</v>
      </c>
      <c r="F3616">
        <v>0</v>
      </c>
      <c r="G3616">
        <v>0</v>
      </c>
      <c r="H3616" t="s">
        <v>19447</v>
      </c>
      <c r="I3616" t="s">
        <v>19447</v>
      </c>
      <c r="J3616">
        <v>4</v>
      </c>
      <c r="L3616" t="s">
        <v>2709</v>
      </c>
      <c r="M3616">
        <v>30023020</v>
      </c>
      <c r="O3616" t="s">
        <v>20032</v>
      </c>
      <c r="P3616" t="s">
        <v>19900</v>
      </c>
      <c r="Q3616" t="s">
        <v>19900</v>
      </c>
      <c r="R3616" t="s">
        <v>19447</v>
      </c>
      <c r="S3616" t="s">
        <v>19447</v>
      </c>
      <c r="T3616" t="s">
        <v>19902</v>
      </c>
    </row>
    <row r="3617" spans="2:20" x14ac:dyDescent="0.25">
      <c r="B3617" t="s">
        <v>2709</v>
      </c>
      <c r="C3617">
        <v>30023030</v>
      </c>
      <c r="E3617">
        <v>286.37</v>
      </c>
      <c r="F3617">
        <v>0</v>
      </c>
      <c r="G3617">
        <v>0</v>
      </c>
      <c r="H3617" t="s">
        <v>19447</v>
      </c>
      <c r="I3617" t="s">
        <v>19447</v>
      </c>
      <c r="J3617">
        <v>4</v>
      </c>
      <c r="L3617" t="s">
        <v>2709</v>
      </c>
      <c r="M3617">
        <v>30023030</v>
      </c>
      <c r="O3617" t="s">
        <v>20032</v>
      </c>
      <c r="P3617" t="s">
        <v>19900</v>
      </c>
      <c r="Q3617" t="s">
        <v>19900</v>
      </c>
      <c r="R3617" t="s">
        <v>19447</v>
      </c>
      <c r="S3617" t="s">
        <v>19447</v>
      </c>
      <c r="T3617" t="s">
        <v>19902</v>
      </c>
    </row>
    <row r="3618" spans="2:20" x14ac:dyDescent="0.25">
      <c r="B3618" t="s">
        <v>2709</v>
      </c>
      <c r="C3618">
        <v>30023040</v>
      </c>
      <c r="E3618">
        <v>286.37</v>
      </c>
      <c r="F3618">
        <v>0</v>
      </c>
      <c r="G3618">
        <v>0</v>
      </c>
      <c r="H3618" t="s">
        <v>19447</v>
      </c>
      <c r="I3618" t="s">
        <v>19447</v>
      </c>
      <c r="J3618">
        <v>4</v>
      </c>
      <c r="L3618" t="s">
        <v>2709</v>
      </c>
      <c r="M3618">
        <v>30023040</v>
      </c>
      <c r="O3618" t="s">
        <v>20032</v>
      </c>
      <c r="P3618" t="s">
        <v>19900</v>
      </c>
      <c r="Q3618" t="s">
        <v>19900</v>
      </c>
      <c r="R3618" t="s">
        <v>19447</v>
      </c>
      <c r="S3618" t="s">
        <v>19447</v>
      </c>
      <c r="T3618" t="s">
        <v>19902</v>
      </c>
    </row>
    <row r="3619" spans="2:20" x14ac:dyDescent="0.25">
      <c r="B3619" t="s">
        <v>2709</v>
      </c>
      <c r="C3619">
        <v>30023050</v>
      </c>
      <c r="E3619">
        <v>286.37</v>
      </c>
      <c r="F3619">
        <v>0</v>
      </c>
      <c r="G3619">
        <v>0</v>
      </c>
      <c r="H3619" t="s">
        <v>19447</v>
      </c>
      <c r="I3619" t="s">
        <v>19447</v>
      </c>
      <c r="J3619">
        <v>4</v>
      </c>
      <c r="L3619" t="s">
        <v>2709</v>
      </c>
      <c r="M3619">
        <v>30023050</v>
      </c>
      <c r="O3619" t="s">
        <v>20032</v>
      </c>
      <c r="P3619" t="s">
        <v>19900</v>
      </c>
      <c r="Q3619" t="s">
        <v>19900</v>
      </c>
      <c r="R3619" t="s">
        <v>19447</v>
      </c>
      <c r="S3619" t="s">
        <v>19447</v>
      </c>
      <c r="T3619" t="s">
        <v>19902</v>
      </c>
    </row>
    <row r="3620" spans="2:20" x14ac:dyDescent="0.25">
      <c r="B3620" t="s">
        <v>2709</v>
      </c>
      <c r="C3620">
        <v>30023060</v>
      </c>
      <c r="E3620">
        <v>286.37</v>
      </c>
      <c r="F3620">
        <v>0</v>
      </c>
      <c r="G3620">
        <v>0</v>
      </c>
      <c r="H3620" t="s">
        <v>19447</v>
      </c>
      <c r="I3620" t="s">
        <v>19447</v>
      </c>
      <c r="J3620">
        <v>4</v>
      </c>
      <c r="L3620" t="s">
        <v>2709</v>
      </c>
      <c r="M3620">
        <v>30023060</v>
      </c>
      <c r="O3620" t="s">
        <v>20032</v>
      </c>
      <c r="P3620" t="s">
        <v>19900</v>
      </c>
      <c r="Q3620" t="s">
        <v>19900</v>
      </c>
      <c r="R3620" t="s">
        <v>19447</v>
      </c>
      <c r="S3620" t="s">
        <v>19447</v>
      </c>
      <c r="T3620" t="s">
        <v>19902</v>
      </c>
    </row>
    <row r="3621" spans="2:20" x14ac:dyDescent="0.25">
      <c r="B3621" t="s">
        <v>2709</v>
      </c>
      <c r="C3621">
        <v>30023070</v>
      </c>
      <c r="E3621">
        <v>286.37</v>
      </c>
      <c r="F3621">
        <v>0</v>
      </c>
      <c r="G3621">
        <v>0</v>
      </c>
      <c r="H3621" t="s">
        <v>19447</v>
      </c>
      <c r="I3621" t="s">
        <v>19447</v>
      </c>
      <c r="J3621">
        <v>4</v>
      </c>
      <c r="L3621" t="s">
        <v>2709</v>
      </c>
      <c r="M3621">
        <v>30023070</v>
      </c>
      <c r="O3621" t="s">
        <v>20032</v>
      </c>
      <c r="P3621" t="s">
        <v>19900</v>
      </c>
      <c r="Q3621" t="s">
        <v>19900</v>
      </c>
      <c r="R3621" t="s">
        <v>19447</v>
      </c>
      <c r="S3621" t="s">
        <v>19447</v>
      </c>
      <c r="T3621" t="s">
        <v>19902</v>
      </c>
    </row>
    <row r="3622" spans="2:20" x14ac:dyDescent="0.25">
      <c r="B3622" t="s">
        <v>2709</v>
      </c>
      <c r="C3622">
        <v>30023080</v>
      </c>
      <c r="E3622">
        <v>286.37</v>
      </c>
      <c r="F3622">
        <v>0</v>
      </c>
      <c r="G3622">
        <v>0</v>
      </c>
      <c r="H3622" t="s">
        <v>19447</v>
      </c>
      <c r="I3622" t="s">
        <v>19447</v>
      </c>
      <c r="J3622">
        <v>4</v>
      </c>
      <c r="L3622" t="s">
        <v>2709</v>
      </c>
      <c r="M3622">
        <v>30023080</v>
      </c>
      <c r="O3622" t="s">
        <v>20032</v>
      </c>
      <c r="P3622" t="s">
        <v>19900</v>
      </c>
      <c r="Q3622" t="s">
        <v>19900</v>
      </c>
      <c r="R3622" t="s">
        <v>19447</v>
      </c>
      <c r="S3622" t="s">
        <v>19447</v>
      </c>
      <c r="T3622" t="s">
        <v>19902</v>
      </c>
    </row>
    <row r="3623" spans="2:20" x14ac:dyDescent="0.25">
      <c r="B3623" t="s">
        <v>2709</v>
      </c>
      <c r="C3623">
        <v>30023090</v>
      </c>
      <c r="E3623">
        <v>286.37</v>
      </c>
      <c r="F3623">
        <v>0</v>
      </c>
      <c r="G3623">
        <v>0</v>
      </c>
      <c r="H3623" t="s">
        <v>19447</v>
      </c>
      <c r="I3623" t="s">
        <v>19447</v>
      </c>
      <c r="J3623">
        <v>2</v>
      </c>
      <c r="L3623" t="s">
        <v>2709</v>
      </c>
      <c r="M3623">
        <v>30023090</v>
      </c>
      <c r="O3623" t="s">
        <v>20032</v>
      </c>
      <c r="P3623" t="s">
        <v>19900</v>
      </c>
      <c r="Q3623" t="s">
        <v>19900</v>
      </c>
      <c r="R3623" t="s">
        <v>19447</v>
      </c>
      <c r="S3623" t="s">
        <v>19447</v>
      </c>
      <c r="T3623" t="s">
        <v>19901</v>
      </c>
    </row>
    <row r="3624" spans="2:20" x14ac:dyDescent="0.25">
      <c r="B3624" t="s">
        <v>2709</v>
      </c>
      <c r="C3624">
        <v>30029010</v>
      </c>
      <c r="E3624">
        <v>286.37</v>
      </c>
      <c r="F3624">
        <v>0</v>
      </c>
      <c r="G3624">
        <v>0</v>
      </c>
      <c r="H3624" t="s">
        <v>19447</v>
      </c>
      <c r="I3624" t="s">
        <v>19447</v>
      </c>
      <c r="J3624">
        <v>10</v>
      </c>
      <c r="L3624" t="s">
        <v>2709</v>
      </c>
      <c r="M3624">
        <v>30029010</v>
      </c>
      <c r="O3624" t="s">
        <v>20032</v>
      </c>
      <c r="P3624" t="s">
        <v>19900</v>
      </c>
      <c r="Q3624" t="s">
        <v>19900</v>
      </c>
      <c r="R3624" t="s">
        <v>19447</v>
      </c>
      <c r="S3624" t="s">
        <v>19447</v>
      </c>
      <c r="T3624" t="s">
        <v>19904</v>
      </c>
    </row>
    <row r="3625" spans="2:20" x14ac:dyDescent="0.25">
      <c r="B3625" t="s">
        <v>2709</v>
      </c>
      <c r="C3625">
        <v>30029020</v>
      </c>
      <c r="E3625">
        <v>286.37</v>
      </c>
      <c r="F3625">
        <v>0</v>
      </c>
      <c r="G3625">
        <v>0</v>
      </c>
      <c r="H3625">
        <v>9.9</v>
      </c>
      <c r="I3625">
        <v>2.1</v>
      </c>
      <c r="J3625">
        <v>4</v>
      </c>
      <c r="L3625" t="s">
        <v>2709</v>
      </c>
      <c r="M3625">
        <v>30029020</v>
      </c>
      <c r="O3625" t="s">
        <v>20032</v>
      </c>
      <c r="P3625" t="s">
        <v>19900</v>
      </c>
      <c r="Q3625" t="s">
        <v>19900</v>
      </c>
      <c r="R3625" t="s">
        <v>20033</v>
      </c>
      <c r="S3625" t="s">
        <v>20034</v>
      </c>
      <c r="T3625" t="s">
        <v>19902</v>
      </c>
    </row>
    <row r="3626" spans="2:20" x14ac:dyDescent="0.25">
      <c r="B3626" t="s">
        <v>2709</v>
      </c>
      <c r="C3626">
        <v>30029030</v>
      </c>
      <c r="E3626">
        <v>286.37</v>
      </c>
      <c r="F3626">
        <v>0</v>
      </c>
      <c r="G3626">
        <v>0</v>
      </c>
      <c r="H3626">
        <v>7.6</v>
      </c>
      <c r="I3626">
        <v>1.65</v>
      </c>
      <c r="J3626">
        <v>4</v>
      </c>
      <c r="L3626" t="s">
        <v>2709</v>
      </c>
      <c r="M3626">
        <v>30029030</v>
      </c>
      <c r="O3626" t="s">
        <v>20032</v>
      </c>
      <c r="P3626" t="s">
        <v>19900</v>
      </c>
      <c r="Q3626" t="s">
        <v>19900</v>
      </c>
      <c r="R3626" t="s">
        <v>19905</v>
      </c>
      <c r="S3626" t="s">
        <v>19906</v>
      </c>
      <c r="T3626" t="s">
        <v>19902</v>
      </c>
    </row>
    <row r="3627" spans="2:20" x14ac:dyDescent="0.25">
      <c r="B3627" t="s">
        <v>2709</v>
      </c>
      <c r="C3627">
        <v>30029091</v>
      </c>
      <c r="E3627">
        <v>286.37</v>
      </c>
      <c r="F3627">
        <v>0</v>
      </c>
      <c r="G3627">
        <v>0</v>
      </c>
      <c r="H3627">
        <v>7.6</v>
      </c>
      <c r="I3627">
        <v>1.65</v>
      </c>
      <c r="J3627">
        <v>4</v>
      </c>
      <c r="L3627" t="s">
        <v>2709</v>
      </c>
      <c r="M3627">
        <v>30029091</v>
      </c>
      <c r="O3627" t="s">
        <v>20032</v>
      </c>
      <c r="P3627" t="s">
        <v>19900</v>
      </c>
      <c r="Q3627" t="s">
        <v>19900</v>
      </c>
      <c r="R3627" t="s">
        <v>19905</v>
      </c>
      <c r="S3627" t="s">
        <v>19906</v>
      </c>
      <c r="T3627" t="s">
        <v>19902</v>
      </c>
    </row>
    <row r="3628" spans="2:20" x14ac:dyDescent="0.25">
      <c r="B3628" t="s">
        <v>2709</v>
      </c>
      <c r="C3628">
        <v>30029092</v>
      </c>
      <c r="E3628">
        <v>286.37</v>
      </c>
      <c r="F3628">
        <v>0</v>
      </c>
      <c r="G3628">
        <v>0</v>
      </c>
      <c r="H3628">
        <v>9.9</v>
      </c>
      <c r="I3628">
        <v>2.1</v>
      </c>
      <c r="J3628">
        <v>4</v>
      </c>
      <c r="L3628" t="s">
        <v>2709</v>
      </c>
      <c r="M3628">
        <v>30029092</v>
      </c>
      <c r="O3628" t="s">
        <v>20032</v>
      </c>
      <c r="P3628" t="s">
        <v>19900</v>
      </c>
      <c r="Q3628" t="s">
        <v>19900</v>
      </c>
      <c r="R3628" t="s">
        <v>20033</v>
      </c>
      <c r="S3628" t="s">
        <v>20034</v>
      </c>
      <c r="T3628" t="s">
        <v>19902</v>
      </c>
    </row>
    <row r="3629" spans="2:20" x14ac:dyDescent="0.25">
      <c r="B3629" t="s">
        <v>2709</v>
      </c>
      <c r="C3629">
        <v>30029093</v>
      </c>
      <c r="E3629">
        <v>286.37</v>
      </c>
      <c r="F3629">
        <v>0</v>
      </c>
      <c r="G3629">
        <v>0</v>
      </c>
      <c r="H3629">
        <v>7.6</v>
      </c>
      <c r="I3629">
        <v>1.65</v>
      </c>
      <c r="J3629">
        <v>8</v>
      </c>
      <c r="L3629" t="s">
        <v>2709</v>
      </c>
      <c r="M3629">
        <v>30029093</v>
      </c>
      <c r="O3629" t="s">
        <v>20032</v>
      </c>
      <c r="P3629" t="s">
        <v>19900</v>
      </c>
      <c r="Q3629" t="s">
        <v>19900</v>
      </c>
      <c r="R3629" t="s">
        <v>19905</v>
      </c>
      <c r="S3629" t="s">
        <v>19906</v>
      </c>
      <c r="T3629" t="s">
        <v>19918</v>
      </c>
    </row>
    <row r="3630" spans="2:20" x14ac:dyDescent="0.25">
      <c r="B3630" t="s">
        <v>2709</v>
      </c>
      <c r="C3630">
        <v>30029094</v>
      </c>
      <c r="E3630">
        <v>286.37</v>
      </c>
      <c r="F3630">
        <v>0</v>
      </c>
      <c r="G3630">
        <v>0</v>
      </c>
      <c r="H3630">
        <v>7.6</v>
      </c>
      <c r="I3630">
        <v>1.65</v>
      </c>
      <c r="J3630">
        <v>8</v>
      </c>
      <c r="L3630" t="s">
        <v>2709</v>
      </c>
      <c r="M3630">
        <v>30029094</v>
      </c>
      <c r="O3630" t="s">
        <v>20032</v>
      </c>
      <c r="P3630" t="s">
        <v>19900</v>
      </c>
      <c r="Q3630" t="s">
        <v>19900</v>
      </c>
      <c r="R3630" t="s">
        <v>19905</v>
      </c>
      <c r="S3630" t="s">
        <v>19906</v>
      </c>
      <c r="T3630" t="s">
        <v>19918</v>
      </c>
    </row>
    <row r="3631" spans="2:20" x14ac:dyDescent="0.25">
      <c r="B3631" t="s">
        <v>2709</v>
      </c>
      <c r="C3631">
        <v>30029099</v>
      </c>
      <c r="E3631">
        <v>286.37</v>
      </c>
      <c r="F3631">
        <v>0</v>
      </c>
      <c r="G3631">
        <v>0</v>
      </c>
      <c r="H3631">
        <v>9.9</v>
      </c>
      <c r="I3631">
        <v>2.1</v>
      </c>
      <c r="J3631">
        <v>8</v>
      </c>
      <c r="L3631" t="s">
        <v>2709</v>
      </c>
      <c r="M3631">
        <v>30029099</v>
      </c>
      <c r="O3631" t="s">
        <v>20032</v>
      </c>
      <c r="P3631" t="s">
        <v>19900</v>
      </c>
      <c r="Q3631" t="s">
        <v>19900</v>
      </c>
      <c r="R3631" t="s">
        <v>20033</v>
      </c>
      <c r="S3631" t="s">
        <v>20034</v>
      </c>
      <c r="T3631" t="s">
        <v>19918</v>
      </c>
    </row>
    <row r="3632" spans="2:20" x14ac:dyDescent="0.25">
      <c r="B3632" t="s">
        <v>2709</v>
      </c>
      <c r="C3632">
        <v>30031011</v>
      </c>
      <c r="E3632">
        <v>298.8</v>
      </c>
      <c r="F3632">
        <v>7</v>
      </c>
      <c r="G3632">
        <v>0</v>
      </c>
      <c r="H3632">
        <v>9.9</v>
      </c>
      <c r="I3632">
        <v>2.1</v>
      </c>
      <c r="J3632">
        <v>14</v>
      </c>
      <c r="L3632" t="s">
        <v>2709</v>
      </c>
      <c r="M3632">
        <v>30031011</v>
      </c>
      <c r="O3632" t="s">
        <v>20035</v>
      </c>
      <c r="P3632" t="s">
        <v>19908</v>
      </c>
      <c r="Q3632" t="s">
        <v>19900</v>
      </c>
      <c r="R3632" t="s">
        <v>20033</v>
      </c>
      <c r="S3632" t="s">
        <v>20034</v>
      </c>
      <c r="T3632" t="s">
        <v>19911</v>
      </c>
    </row>
    <row r="3633" spans="2:20" x14ac:dyDescent="0.25">
      <c r="B3633" t="s">
        <v>2709</v>
      </c>
      <c r="C3633">
        <v>30031012</v>
      </c>
      <c r="E3633">
        <v>298.8</v>
      </c>
      <c r="F3633">
        <v>7</v>
      </c>
      <c r="G3633">
        <v>0</v>
      </c>
      <c r="H3633">
        <v>9.9</v>
      </c>
      <c r="I3633">
        <v>2.1</v>
      </c>
      <c r="J3633">
        <v>8</v>
      </c>
      <c r="L3633" t="s">
        <v>2709</v>
      </c>
      <c r="M3633">
        <v>30031012</v>
      </c>
      <c r="O3633" t="s">
        <v>20035</v>
      </c>
      <c r="P3633" t="s">
        <v>19908</v>
      </c>
      <c r="Q3633" t="s">
        <v>19900</v>
      </c>
      <c r="R3633" t="s">
        <v>20033</v>
      </c>
      <c r="S3633" t="s">
        <v>20034</v>
      </c>
      <c r="T3633" t="s">
        <v>19918</v>
      </c>
    </row>
    <row r="3634" spans="2:20" x14ac:dyDescent="0.25">
      <c r="B3634" t="s">
        <v>2709</v>
      </c>
      <c r="C3634">
        <v>30031013</v>
      </c>
      <c r="E3634">
        <v>298.8</v>
      </c>
      <c r="F3634">
        <v>7</v>
      </c>
      <c r="G3634">
        <v>0</v>
      </c>
      <c r="H3634">
        <v>9.9</v>
      </c>
      <c r="I3634">
        <v>2.1</v>
      </c>
      <c r="J3634">
        <v>14</v>
      </c>
      <c r="L3634" t="s">
        <v>2709</v>
      </c>
      <c r="M3634">
        <v>30031013</v>
      </c>
      <c r="O3634" t="s">
        <v>20035</v>
      </c>
      <c r="P3634" t="s">
        <v>19908</v>
      </c>
      <c r="Q3634" t="s">
        <v>19900</v>
      </c>
      <c r="R3634" t="s">
        <v>20033</v>
      </c>
      <c r="S3634" t="s">
        <v>20034</v>
      </c>
      <c r="T3634" t="s">
        <v>19911</v>
      </c>
    </row>
    <row r="3635" spans="2:20" x14ac:dyDescent="0.25">
      <c r="B3635" t="s">
        <v>2709</v>
      </c>
      <c r="C3635">
        <v>30031014</v>
      </c>
      <c r="E3635">
        <v>298.8</v>
      </c>
      <c r="F3635">
        <v>7</v>
      </c>
      <c r="G3635">
        <v>0</v>
      </c>
      <c r="H3635">
        <v>9.9</v>
      </c>
      <c r="I3635">
        <v>2.1</v>
      </c>
      <c r="J3635">
        <v>14</v>
      </c>
      <c r="L3635" t="s">
        <v>2709</v>
      </c>
      <c r="M3635">
        <v>30031014</v>
      </c>
      <c r="O3635" t="s">
        <v>20035</v>
      </c>
      <c r="P3635" t="s">
        <v>19908</v>
      </c>
      <c r="Q3635" t="s">
        <v>19900</v>
      </c>
      <c r="R3635" t="s">
        <v>20033</v>
      </c>
      <c r="S3635" t="s">
        <v>20034</v>
      </c>
      <c r="T3635" t="s">
        <v>19911</v>
      </c>
    </row>
    <row r="3636" spans="2:20" x14ac:dyDescent="0.25">
      <c r="B3636" t="s">
        <v>2709</v>
      </c>
      <c r="C3636">
        <v>30031015</v>
      </c>
      <c r="E3636">
        <v>298.8</v>
      </c>
      <c r="F3636">
        <v>7</v>
      </c>
      <c r="G3636">
        <v>0</v>
      </c>
      <c r="H3636">
        <v>9.9</v>
      </c>
      <c r="I3636">
        <v>2.1</v>
      </c>
      <c r="J3636">
        <v>14</v>
      </c>
      <c r="L3636" t="s">
        <v>2709</v>
      </c>
      <c r="M3636">
        <v>30031015</v>
      </c>
      <c r="O3636" t="s">
        <v>20035</v>
      </c>
      <c r="P3636" t="s">
        <v>19908</v>
      </c>
      <c r="Q3636" t="s">
        <v>19900</v>
      </c>
      <c r="R3636" t="s">
        <v>20033</v>
      </c>
      <c r="S3636" t="s">
        <v>20034</v>
      </c>
      <c r="T3636" t="s">
        <v>19911</v>
      </c>
    </row>
    <row r="3637" spans="2:20" x14ac:dyDescent="0.25">
      <c r="B3637" t="s">
        <v>2709</v>
      </c>
      <c r="C3637">
        <v>30031019</v>
      </c>
      <c r="E3637">
        <v>298.8</v>
      </c>
      <c r="F3637">
        <v>7</v>
      </c>
      <c r="G3637">
        <v>0</v>
      </c>
      <c r="H3637">
        <v>9.9</v>
      </c>
      <c r="I3637">
        <v>2.1</v>
      </c>
      <c r="J3637">
        <v>8</v>
      </c>
      <c r="L3637" t="s">
        <v>2709</v>
      </c>
      <c r="M3637">
        <v>30031019</v>
      </c>
      <c r="O3637" t="s">
        <v>20035</v>
      </c>
      <c r="P3637" t="s">
        <v>19908</v>
      </c>
      <c r="Q3637" t="s">
        <v>19900</v>
      </c>
      <c r="R3637" t="s">
        <v>20033</v>
      </c>
      <c r="S3637" t="s">
        <v>20034</v>
      </c>
      <c r="T3637" t="s">
        <v>19918</v>
      </c>
    </row>
    <row r="3638" spans="2:20" x14ac:dyDescent="0.25">
      <c r="B3638" t="s">
        <v>2709</v>
      </c>
      <c r="C3638">
        <v>30031020</v>
      </c>
      <c r="E3638">
        <v>298.8</v>
      </c>
      <c r="F3638">
        <v>7</v>
      </c>
      <c r="G3638">
        <v>0</v>
      </c>
      <c r="H3638">
        <v>9.9</v>
      </c>
      <c r="I3638">
        <v>2.1</v>
      </c>
      <c r="J3638">
        <v>8</v>
      </c>
      <c r="L3638" t="s">
        <v>2709</v>
      </c>
      <c r="M3638">
        <v>30031020</v>
      </c>
      <c r="O3638" t="s">
        <v>20035</v>
      </c>
      <c r="P3638" t="s">
        <v>19908</v>
      </c>
      <c r="Q3638" t="s">
        <v>19900</v>
      </c>
      <c r="R3638" t="s">
        <v>20033</v>
      </c>
      <c r="S3638" t="s">
        <v>20034</v>
      </c>
      <c r="T3638" t="s">
        <v>19918</v>
      </c>
    </row>
    <row r="3639" spans="2:20" x14ac:dyDescent="0.25">
      <c r="B3639" t="s">
        <v>2709</v>
      </c>
      <c r="C3639">
        <v>30032011</v>
      </c>
      <c r="E3639">
        <v>298.8</v>
      </c>
      <c r="F3639">
        <v>7</v>
      </c>
      <c r="G3639">
        <v>0</v>
      </c>
      <c r="H3639">
        <v>9.9</v>
      </c>
      <c r="I3639">
        <v>2.1</v>
      </c>
      <c r="J3639">
        <v>8</v>
      </c>
      <c r="L3639" t="s">
        <v>2709</v>
      </c>
      <c r="M3639">
        <v>30032011</v>
      </c>
      <c r="O3639" t="s">
        <v>20035</v>
      </c>
      <c r="P3639" t="s">
        <v>19908</v>
      </c>
      <c r="Q3639" t="s">
        <v>19900</v>
      </c>
      <c r="R3639" t="s">
        <v>20033</v>
      </c>
      <c r="S3639" t="s">
        <v>20034</v>
      </c>
      <c r="T3639" t="s">
        <v>19918</v>
      </c>
    </row>
    <row r="3640" spans="2:20" x14ac:dyDescent="0.25">
      <c r="B3640" t="s">
        <v>2709</v>
      </c>
      <c r="C3640">
        <v>30032019</v>
      </c>
      <c r="E3640">
        <v>298.8</v>
      </c>
      <c r="F3640">
        <v>7</v>
      </c>
      <c r="G3640">
        <v>0</v>
      </c>
      <c r="H3640">
        <v>9.9</v>
      </c>
      <c r="I3640">
        <v>2.1</v>
      </c>
      <c r="J3640">
        <v>8</v>
      </c>
      <c r="L3640" t="s">
        <v>2709</v>
      </c>
      <c r="M3640">
        <v>30032019</v>
      </c>
      <c r="O3640" t="s">
        <v>20035</v>
      </c>
      <c r="P3640" t="s">
        <v>19908</v>
      </c>
      <c r="Q3640" t="s">
        <v>19900</v>
      </c>
      <c r="R3640" t="s">
        <v>20033</v>
      </c>
      <c r="S3640" t="s">
        <v>20034</v>
      </c>
      <c r="T3640" t="s">
        <v>19918</v>
      </c>
    </row>
    <row r="3641" spans="2:20" x14ac:dyDescent="0.25">
      <c r="B3641" t="s">
        <v>2709</v>
      </c>
      <c r="C3641">
        <v>30032021</v>
      </c>
      <c r="E3641">
        <v>298.8</v>
      </c>
      <c r="F3641">
        <v>7</v>
      </c>
      <c r="G3641">
        <v>0</v>
      </c>
      <c r="H3641">
        <v>9.9</v>
      </c>
      <c r="I3641">
        <v>2.1</v>
      </c>
      <c r="J3641">
        <v>14</v>
      </c>
      <c r="L3641" t="s">
        <v>2709</v>
      </c>
      <c r="M3641">
        <v>30032021</v>
      </c>
      <c r="O3641" t="s">
        <v>20035</v>
      </c>
      <c r="P3641" t="s">
        <v>19908</v>
      </c>
      <c r="Q3641" t="s">
        <v>19900</v>
      </c>
      <c r="R3641" t="s">
        <v>20033</v>
      </c>
      <c r="S3641" t="s">
        <v>20034</v>
      </c>
      <c r="T3641" t="s">
        <v>19911</v>
      </c>
    </row>
    <row r="3642" spans="2:20" x14ac:dyDescent="0.25">
      <c r="B3642" t="s">
        <v>2709</v>
      </c>
      <c r="C3642">
        <v>30032029</v>
      </c>
      <c r="E3642">
        <v>298.8</v>
      </c>
      <c r="F3642">
        <v>7</v>
      </c>
      <c r="G3642">
        <v>0</v>
      </c>
      <c r="H3642">
        <v>9.9</v>
      </c>
      <c r="I3642">
        <v>2.1</v>
      </c>
      <c r="J3642">
        <v>8</v>
      </c>
      <c r="L3642" t="s">
        <v>2709</v>
      </c>
      <c r="M3642">
        <v>30032029</v>
      </c>
      <c r="O3642" t="s">
        <v>20035</v>
      </c>
      <c r="P3642" t="s">
        <v>19908</v>
      </c>
      <c r="Q3642" t="s">
        <v>19900</v>
      </c>
      <c r="R3642" t="s">
        <v>20033</v>
      </c>
      <c r="S3642" t="s">
        <v>20034</v>
      </c>
      <c r="T3642" t="s">
        <v>19918</v>
      </c>
    </row>
    <row r="3643" spans="2:20" x14ac:dyDescent="0.25">
      <c r="B3643" t="s">
        <v>2709</v>
      </c>
      <c r="C3643">
        <v>30032031</v>
      </c>
      <c r="E3643">
        <v>298.8</v>
      </c>
      <c r="F3643">
        <v>7</v>
      </c>
      <c r="G3643">
        <v>0</v>
      </c>
      <c r="H3643">
        <v>9.9</v>
      </c>
      <c r="I3643">
        <v>2.1</v>
      </c>
      <c r="J3643">
        <v>8</v>
      </c>
      <c r="L3643" t="s">
        <v>2709</v>
      </c>
      <c r="M3643">
        <v>30032031</v>
      </c>
      <c r="O3643" t="s">
        <v>20035</v>
      </c>
      <c r="P3643" t="s">
        <v>19908</v>
      </c>
      <c r="Q3643" t="s">
        <v>19900</v>
      </c>
      <c r="R3643" t="s">
        <v>20033</v>
      </c>
      <c r="S3643" t="s">
        <v>20034</v>
      </c>
      <c r="T3643" t="s">
        <v>19918</v>
      </c>
    </row>
    <row r="3644" spans="2:20" x14ac:dyDescent="0.25">
      <c r="B3644" t="s">
        <v>2709</v>
      </c>
      <c r="C3644">
        <v>30032032</v>
      </c>
      <c r="E3644">
        <v>298.8</v>
      </c>
      <c r="F3644">
        <v>7</v>
      </c>
      <c r="G3644">
        <v>0</v>
      </c>
      <c r="H3644">
        <v>9.9</v>
      </c>
      <c r="I3644">
        <v>2.1</v>
      </c>
      <c r="J3644">
        <v>8</v>
      </c>
      <c r="L3644" t="s">
        <v>2709</v>
      </c>
      <c r="M3644">
        <v>30032032</v>
      </c>
      <c r="O3644" t="s">
        <v>20035</v>
      </c>
      <c r="P3644" t="s">
        <v>19908</v>
      </c>
      <c r="Q3644" t="s">
        <v>19900</v>
      </c>
      <c r="R3644" t="s">
        <v>20033</v>
      </c>
      <c r="S3644" t="s">
        <v>20034</v>
      </c>
      <c r="T3644" t="s">
        <v>19918</v>
      </c>
    </row>
    <row r="3645" spans="2:20" x14ac:dyDescent="0.25">
      <c r="B3645" t="s">
        <v>2709</v>
      </c>
      <c r="C3645">
        <v>30032039</v>
      </c>
      <c r="E3645">
        <v>298.8</v>
      </c>
      <c r="F3645">
        <v>7</v>
      </c>
      <c r="G3645">
        <v>0</v>
      </c>
      <c r="H3645">
        <v>9.9</v>
      </c>
      <c r="I3645">
        <v>2.1</v>
      </c>
      <c r="J3645">
        <v>8</v>
      </c>
      <c r="L3645" t="s">
        <v>2709</v>
      </c>
      <c r="M3645">
        <v>30032039</v>
      </c>
      <c r="O3645" t="s">
        <v>20035</v>
      </c>
      <c r="P3645" t="s">
        <v>19908</v>
      </c>
      <c r="Q3645" t="s">
        <v>19900</v>
      </c>
      <c r="R3645" t="s">
        <v>20033</v>
      </c>
      <c r="S3645" t="s">
        <v>20034</v>
      </c>
      <c r="T3645" t="s">
        <v>19918</v>
      </c>
    </row>
    <row r="3646" spans="2:20" x14ac:dyDescent="0.25">
      <c r="B3646" t="s">
        <v>2709</v>
      </c>
      <c r="C3646">
        <v>30032041</v>
      </c>
      <c r="E3646">
        <v>298.8</v>
      </c>
      <c r="F3646">
        <v>7</v>
      </c>
      <c r="G3646">
        <v>0</v>
      </c>
      <c r="H3646">
        <v>9.9</v>
      </c>
      <c r="I3646">
        <v>2.1</v>
      </c>
      <c r="J3646">
        <v>14</v>
      </c>
      <c r="L3646" t="s">
        <v>2709</v>
      </c>
      <c r="M3646">
        <v>30032041</v>
      </c>
      <c r="O3646" t="s">
        <v>20035</v>
      </c>
      <c r="P3646" t="s">
        <v>19908</v>
      </c>
      <c r="Q3646" t="s">
        <v>19900</v>
      </c>
      <c r="R3646" t="s">
        <v>20033</v>
      </c>
      <c r="S3646" t="s">
        <v>20034</v>
      </c>
      <c r="T3646" t="s">
        <v>19911</v>
      </c>
    </row>
    <row r="3647" spans="2:20" x14ac:dyDescent="0.25">
      <c r="B3647" t="s">
        <v>2709</v>
      </c>
      <c r="C3647">
        <v>30032049</v>
      </c>
      <c r="E3647">
        <v>298.8</v>
      </c>
      <c r="F3647">
        <v>7</v>
      </c>
      <c r="G3647">
        <v>0</v>
      </c>
      <c r="H3647">
        <v>9.9</v>
      </c>
      <c r="I3647">
        <v>2.1</v>
      </c>
      <c r="J3647">
        <v>8</v>
      </c>
      <c r="L3647" t="s">
        <v>2709</v>
      </c>
      <c r="M3647">
        <v>30032049</v>
      </c>
      <c r="O3647" t="s">
        <v>20035</v>
      </c>
      <c r="P3647" t="s">
        <v>19908</v>
      </c>
      <c r="Q3647" t="s">
        <v>19900</v>
      </c>
      <c r="R3647" t="s">
        <v>20033</v>
      </c>
      <c r="S3647" t="s">
        <v>20034</v>
      </c>
      <c r="T3647" t="s">
        <v>19918</v>
      </c>
    </row>
    <row r="3648" spans="2:20" x14ac:dyDescent="0.25">
      <c r="B3648" t="s">
        <v>2709</v>
      </c>
      <c r="C3648">
        <v>30032051</v>
      </c>
      <c r="E3648">
        <v>298.8</v>
      </c>
      <c r="F3648">
        <v>7</v>
      </c>
      <c r="G3648">
        <v>0</v>
      </c>
      <c r="H3648">
        <v>9.9</v>
      </c>
      <c r="I3648">
        <v>2.1</v>
      </c>
      <c r="J3648">
        <v>14</v>
      </c>
      <c r="L3648" t="s">
        <v>2709</v>
      </c>
      <c r="M3648">
        <v>30032051</v>
      </c>
      <c r="O3648" t="s">
        <v>20035</v>
      </c>
      <c r="P3648" t="s">
        <v>19908</v>
      </c>
      <c r="Q3648" t="s">
        <v>19900</v>
      </c>
      <c r="R3648" t="s">
        <v>20033</v>
      </c>
      <c r="S3648" t="s">
        <v>20034</v>
      </c>
      <c r="T3648" t="s">
        <v>19911</v>
      </c>
    </row>
    <row r="3649" spans="2:20" x14ac:dyDescent="0.25">
      <c r="B3649" t="s">
        <v>2709</v>
      </c>
      <c r="C3649">
        <v>30032052</v>
      </c>
      <c r="E3649">
        <v>298.8</v>
      </c>
      <c r="F3649">
        <v>7</v>
      </c>
      <c r="G3649">
        <v>0</v>
      </c>
      <c r="H3649">
        <v>9.9</v>
      </c>
      <c r="I3649">
        <v>2.1</v>
      </c>
      <c r="J3649">
        <v>14</v>
      </c>
      <c r="L3649" t="s">
        <v>2709</v>
      </c>
      <c r="M3649">
        <v>30032052</v>
      </c>
      <c r="O3649" t="s">
        <v>20035</v>
      </c>
      <c r="P3649" t="s">
        <v>19908</v>
      </c>
      <c r="Q3649" t="s">
        <v>19900</v>
      </c>
      <c r="R3649" t="s">
        <v>20033</v>
      </c>
      <c r="S3649" t="s">
        <v>20034</v>
      </c>
      <c r="T3649" t="s">
        <v>19911</v>
      </c>
    </row>
    <row r="3650" spans="2:20" x14ac:dyDescent="0.25">
      <c r="B3650" t="s">
        <v>2709</v>
      </c>
      <c r="C3650">
        <v>30032059</v>
      </c>
      <c r="E3650">
        <v>298.8</v>
      </c>
      <c r="F3650">
        <v>7</v>
      </c>
      <c r="G3650">
        <v>0</v>
      </c>
      <c r="H3650">
        <v>9.9</v>
      </c>
      <c r="I3650">
        <v>2.1</v>
      </c>
      <c r="J3650">
        <v>8</v>
      </c>
      <c r="L3650" t="s">
        <v>2709</v>
      </c>
      <c r="M3650">
        <v>30032059</v>
      </c>
      <c r="O3650" t="s">
        <v>20035</v>
      </c>
      <c r="P3650" t="s">
        <v>19908</v>
      </c>
      <c r="Q3650" t="s">
        <v>19900</v>
      </c>
      <c r="R3650" t="s">
        <v>20033</v>
      </c>
      <c r="S3650" t="s">
        <v>20034</v>
      </c>
      <c r="T3650" t="s">
        <v>19918</v>
      </c>
    </row>
    <row r="3651" spans="2:20" x14ac:dyDescent="0.25">
      <c r="B3651" t="s">
        <v>2709</v>
      </c>
      <c r="C3651">
        <v>30032061</v>
      </c>
      <c r="E3651">
        <v>298.8</v>
      </c>
      <c r="F3651">
        <v>7</v>
      </c>
      <c r="G3651">
        <v>0</v>
      </c>
      <c r="H3651">
        <v>9.9</v>
      </c>
      <c r="I3651">
        <v>2.1</v>
      </c>
      <c r="J3651">
        <v>14</v>
      </c>
      <c r="L3651" t="s">
        <v>2709</v>
      </c>
      <c r="M3651">
        <v>30032061</v>
      </c>
      <c r="O3651" t="s">
        <v>20035</v>
      </c>
      <c r="P3651" t="s">
        <v>19908</v>
      </c>
      <c r="Q3651" t="s">
        <v>19900</v>
      </c>
      <c r="R3651" t="s">
        <v>20033</v>
      </c>
      <c r="S3651" t="s">
        <v>20034</v>
      </c>
      <c r="T3651" t="s">
        <v>19911</v>
      </c>
    </row>
    <row r="3652" spans="2:20" x14ac:dyDescent="0.25">
      <c r="B3652" t="s">
        <v>2709</v>
      </c>
      <c r="C3652">
        <v>30032062</v>
      </c>
      <c r="E3652">
        <v>298.8</v>
      </c>
      <c r="F3652">
        <v>7</v>
      </c>
      <c r="G3652">
        <v>0</v>
      </c>
      <c r="H3652">
        <v>9.9</v>
      </c>
      <c r="I3652">
        <v>2.1</v>
      </c>
      <c r="J3652">
        <v>0</v>
      </c>
      <c r="L3652" t="s">
        <v>2709</v>
      </c>
      <c r="M3652">
        <v>30032062</v>
      </c>
      <c r="O3652" t="s">
        <v>20035</v>
      </c>
      <c r="P3652" t="s">
        <v>19908</v>
      </c>
      <c r="Q3652" t="s">
        <v>19900</v>
      </c>
      <c r="R3652" t="s">
        <v>20033</v>
      </c>
      <c r="S3652" t="s">
        <v>20034</v>
      </c>
      <c r="T3652" t="s">
        <v>19900</v>
      </c>
    </row>
    <row r="3653" spans="2:20" x14ac:dyDescent="0.25">
      <c r="B3653" t="s">
        <v>2709</v>
      </c>
      <c r="C3653">
        <v>30032063</v>
      </c>
      <c r="E3653">
        <v>298.8</v>
      </c>
      <c r="F3653">
        <v>7</v>
      </c>
      <c r="G3653">
        <v>0</v>
      </c>
      <c r="H3653">
        <v>9.9</v>
      </c>
      <c r="I3653">
        <v>2.1</v>
      </c>
      <c r="J3653">
        <v>0</v>
      </c>
      <c r="L3653" t="s">
        <v>2709</v>
      </c>
      <c r="M3653">
        <v>30032063</v>
      </c>
      <c r="O3653" t="s">
        <v>20035</v>
      </c>
      <c r="P3653" t="s">
        <v>19908</v>
      </c>
      <c r="Q3653" t="s">
        <v>19900</v>
      </c>
      <c r="R3653" t="s">
        <v>20033</v>
      </c>
      <c r="S3653" t="s">
        <v>20034</v>
      </c>
      <c r="T3653" t="s">
        <v>19900</v>
      </c>
    </row>
    <row r="3654" spans="2:20" x14ac:dyDescent="0.25">
      <c r="B3654" t="s">
        <v>2709</v>
      </c>
      <c r="C3654">
        <v>30032069</v>
      </c>
      <c r="E3654">
        <v>298.8</v>
      </c>
      <c r="F3654">
        <v>7</v>
      </c>
      <c r="G3654">
        <v>0</v>
      </c>
      <c r="H3654">
        <v>9.9</v>
      </c>
      <c r="I3654">
        <v>2.1</v>
      </c>
      <c r="J3654">
        <v>8</v>
      </c>
      <c r="L3654" t="s">
        <v>2709</v>
      </c>
      <c r="M3654">
        <v>30032069</v>
      </c>
      <c r="O3654" t="s">
        <v>20035</v>
      </c>
      <c r="P3654" t="s">
        <v>19908</v>
      </c>
      <c r="Q3654" t="s">
        <v>19900</v>
      </c>
      <c r="R3654" t="s">
        <v>20033</v>
      </c>
      <c r="S3654" t="s">
        <v>20034</v>
      </c>
      <c r="T3654" t="s">
        <v>19918</v>
      </c>
    </row>
    <row r="3655" spans="2:20" x14ac:dyDescent="0.25">
      <c r="B3655" t="s">
        <v>2709</v>
      </c>
      <c r="C3655">
        <v>30032071</v>
      </c>
      <c r="E3655">
        <v>298.8</v>
      </c>
      <c r="F3655">
        <v>7</v>
      </c>
      <c r="G3655">
        <v>0</v>
      </c>
      <c r="H3655">
        <v>9.9</v>
      </c>
      <c r="I3655">
        <v>2.1</v>
      </c>
      <c r="J3655">
        <v>8</v>
      </c>
      <c r="L3655" t="s">
        <v>2709</v>
      </c>
      <c r="M3655">
        <v>30032071</v>
      </c>
      <c r="O3655" t="s">
        <v>20035</v>
      </c>
      <c r="P3655" t="s">
        <v>19908</v>
      </c>
      <c r="Q3655" t="s">
        <v>19900</v>
      </c>
      <c r="R3655" t="s">
        <v>20033</v>
      </c>
      <c r="S3655" t="s">
        <v>20034</v>
      </c>
      <c r="T3655" t="s">
        <v>19918</v>
      </c>
    </row>
    <row r="3656" spans="2:20" x14ac:dyDescent="0.25">
      <c r="B3656" t="s">
        <v>2709</v>
      </c>
      <c r="C3656">
        <v>30032072</v>
      </c>
      <c r="E3656">
        <v>298.8</v>
      </c>
      <c r="F3656">
        <v>7</v>
      </c>
      <c r="G3656">
        <v>0</v>
      </c>
      <c r="H3656">
        <v>9.9</v>
      </c>
      <c r="I3656">
        <v>2.1</v>
      </c>
      <c r="J3656">
        <v>0</v>
      </c>
      <c r="L3656" t="s">
        <v>2709</v>
      </c>
      <c r="M3656">
        <v>30032072</v>
      </c>
      <c r="O3656" t="s">
        <v>20035</v>
      </c>
      <c r="P3656" t="s">
        <v>19908</v>
      </c>
      <c r="Q3656" t="s">
        <v>19900</v>
      </c>
      <c r="R3656" t="s">
        <v>20033</v>
      </c>
      <c r="S3656" t="s">
        <v>20034</v>
      </c>
      <c r="T3656" t="s">
        <v>19900</v>
      </c>
    </row>
    <row r="3657" spans="2:20" x14ac:dyDescent="0.25">
      <c r="B3657" t="s">
        <v>2709</v>
      </c>
      <c r="C3657">
        <v>30032073</v>
      </c>
      <c r="E3657">
        <v>298.8</v>
      </c>
      <c r="F3657">
        <v>7</v>
      </c>
      <c r="G3657">
        <v>0</v>
      </c>
      <c r="H3657">
        <v>9.9</v>
      </c>
      <c r="I3657">
        <v>2.1</v>
      </c>
      <c r="J3657">
        <v>0</v>
      </c>
      <c r="L3657" t="s">
        <v>2709</v>
      </c>
      <c r="M3657">
        <v>30032073</v>
      </c>
      <c r="O3657" t="s">
        <v>20035</v>
      </c>
      <c r="P3657" t="s">
        <v>19908</v>
      </c>
      <c r="Q3657" t="s">
        <v>19900</v>
      </c>
      <c r="R3657" t="s">
        <v>20033</v>
      </c>
      <c r="S3657" t="s">
        <v>20034</v>
      </c>
      <c r="T3657" t="s">
        <v>19900</v>
      </c>
    </row>
    <row r="3658" spans="2:20" x14ac:dyDescent="0.25">
      <c r="B3658" t="s">
        <v>2709</v>
      </c>
      <c r="C3658">
        <v>30032079</v>
      </c>
      <c r="E3658">
        <v>298.8</v>
      </c>
      <c r="F3658">
        <v>7</v>
      </c>
      <c r="G3658">
        <v>0</v>
      </c>
      <c r="H3658">
        <v>9.9</v>
      </c>
      <c r="I3658">
        <v>2.1</v>
      </c>
      <c r="J3658">
        <v>8</v>
      </c>
      <c r="L3658" t="s">
        <v>2709</v>
      </c>
      <c r="M3658">
        <v>30032079</v>
      </c>
      <c r="O3658" t="s">
        <v>20035</v>
      </c>
      <c r="P3658" t="s">
        <v>19908</v>
      </c>
      <c r="Q3658" t="s">
        <v>19900</v>
      </c>
      <c r="R3658" t="s">
        <v>20033</v>
      </c>
      <c r="S3658" t="s">
        <v>20034</v>
      </c>
      <c r="T3658" t="s">
        <v>19918</v>
      </c>
    </row>
    <row r="3659" spans="2:20" x14ac:dyDescent="0.25">
      <c r="B3659" t="s">
        <v>2709</v>
      </c>
      <c r="C3659">
        <v>30032091</v>
      </c>
      <c r="E3659">
        <v>298.8</v>
      </c>
      <c r="F3659">
        <v>7</v>
      </c>
      <c r="G3659">
        <v>0</v>
      </c>
      <c r="H3659">
        <v>9.9</v>
      </c>
      <c r="I3659">
        <v>2.1</v>
      </c>
      <c r="J3659">
        <v>0</v>
      </c>
      <c r="L3659" t="s">
        <v>2709</v>
      </c>
      <c r="M3659">
        <v>30032091</v>
      </c>
      <c r="O3659" t="s">
        <v>20035</v>
      </c>
      <c r="P3659" t="s">
        <v>19908</v>
      </c>
      <c r="Q3659" t="s">
        <v>19900</v>
      </c>
      <c r="R3659" t="s">
        <v>20033</v>
      </c>
      <c r="S3659" t="s">
        <v>20034</v>
      </c>
      <c r="T3659" t="s">
        <v>19900</v>
      </c>
    </row>
    <row r="3660" spans="2:20" x14ac:dyDescent="0.25">
      <c r="B3660" t="s">
        <v>2709</v>
      </c>
      <c r="C3660">
        <v>30032092</v>
      </c>
      <c r="E3660">
        <v>298.8</v>
      </c>
      <c r="F3660">
        <v>7</v>
      </c>
      <c r="G3660">
        <v>0</v>
      </c>
      <c r="H3660">
        <v>9.9</v>
      </c>
      <c r="I3660">
        <v>2.1</v>
      </c>
      <c r="J3660">
        <v>8</v>
      </c>
      <c r="L3660" t="s">
        <v>2709</v>
      </c>
      <c r="M3660">
        <v>30032092</v>
      </c>
      <c r="O3660" t="s">
        <v>20035</v>
      </c>
      <c r="P3660" t="s">
        <v>19908</v>
      </c>
      <c r="Q3660" t="s">
        <v>19900</v>
      </c>
      <c r="R3660" t="s">
        <v>20033</v>
      </c>
      <c r="S3660" t="s">
        <v>20034</v>
      </c>
      <c r="T3660" t="s">
        <v>19918</v>
      </c>
    </row>
    <row r="3661" spans="2:20" x14ac:dyDescent="0.25">
      <c r="B3661" t="s">
        <v>2709</v>
      </c>
      <c r="C3661">
        <v>30032093</v>
      </c>
      <c r="E3661">
        <v>298.8</v>
      </c>
      <c r="F3661">
        <v>0</v>
      </c>
      <c r="G3661">
        <v>0</v>
      </c>
      <c r="H3661">
        <v>9.9</v>
      </c>
      <c r="I3661">
        <v>2.1</v>
      </c>
      <c r="J3661">
        <v>0</v>
      </c>
      <c r="L3661" t="s">
        <v>2709</v>
      </c>
      <c r="M3661">
        <v>30032093</v>
      </c>
      <c r="O3661" t="s">
        <v>20035</v>
      </c>
      <c r="P3661" t="s">
        <v>19900</v>
      </c>
      <c r="Q3661" t="s">
        <v>19900</v>
      </c>
      <c r="R3661" t="s">
        <v>20033</v>
      </c>
      <c r="S3661" t="s">
        <v>20034</v>
      </c>
      <c r="T3661" t="s">
        <v>19900</v>
      </c>
    </row>
    <row r="3662" spans="2:20" x14ac:dyDescent="0.25">
      <c r="B3662" t="s">
        <v>2709</v>
      </c>
      <c r="C3662">
        <v>30032094</v>
      </c>
      <c r="E3662">
        <v>298.8</v>
      </c>
      <c r="F3662">
        <v>7</v>
      </c>
      <c r="G3662">
        <v>0</v>
      </c>
      <c r="H3662">
        <v>9.9</v>
      </c>
      <c r="I3662">
        <v>2.1</v>
      </c>
      <c r="J3662">
        <v>0</v>
      </c>
      <c r="L3662" t="s">
        <v>2709</v>
      </c>
      <c r="M3662">
        <v>30032094</v>
      </c>
      <c r="O3662" t="s">
        <v>20035</v>
      </c>
      <c r="P3662" t="s">
        <v>19908</v>
      </c>
      <c r="Q3662" t="s">
        <v>19900</v>
      </c>
      <c r="R3662" t="s">
        <v>20033</v>
      </c>
      <c r="S3662" t="s">
        <v>20034</v>
      </c>
      <c r="T3662" t="s">
        <v>19900</v>
      </c>
    </row>
    <row r="3663" spans="2:20" x14ac:dyDescent="0.25">
      <c r="B3663" t="s">
        <v>2709</v>
      </c>
      <c r="C3663">
        <v>30032095</v>
      </c>
      <c r="E3663">
        <v>298.8</v>
      </c>
      <c r="F3663">
        <v>7</v>
      </c>
      <c r="G3663">
        <v>0</v>
      </c>
      <c r="H3663">
        <v>9.9</v>
      </c>
      <c r="I3663">
        <v>2.1</v>
      </c>
      <c r="J3663">
        <v>0</v>
      </c>
      <c r="L3663" t="s">
        <v>2709</v>
      </c>
      <c r="M3663">
        <v>30032095</v>
      </c>
      <c r="O3663" t="s">
        <v>20035</v>
      </c>
      <c r="P3663" t="s">
        <v>19908</v>
      </c>
      <c r="Q3663" t="s">
        <v>19900</v>
      </c>
      <c r="R3663" t="s">
        <v>20033</v>
      </c>
      <c r="S3663" t="s">
        <v>20034</v>
      </c>
      <c r="T3663" t="s">
        <v>19900</v>
      </c>
    </row>
    <row r="3664" spans="2:20" x14ac:dyDescent="0.25">
      <c r="B3664" t="s">
        <v>2709</v>
      </c>
      <c r="C3664">
        <v>30032099</v>
      </c>
      <c r="E3664">
        <v>298.8</v>
      </c>
      <c r="F3664">
        <v>7</v>
      </c>
      <c r="G3664">
        <v>0</v>
      </c>
      <c r="H3664">
        <v>9.9</v>
      </c>
      <c r="I3664">
        <v>2.1</v>
      </c>
      <c r="J3664">
        <v>8</v>
      </c>
      <c r="L3664" t="s">
        <v>2709</v>
      </c>
      <c r="M3664">
        <v>30032099</v>
      </c>
      <c r="O3664" t="s">
        <v>20035</v>
      </c>
      <c r="P3664" t="s">
        <v>19908</v>
      </c>
      <c r="Q3664" t="s">
        <v>19900</v>
      </c>
      <c r="R3664" t="s">
        <v>20033</v>
      </c>
      <c r="S3664" t="s">
        <v>20034</v>
      </c>
      <c r="T3664" t="s">
        <v>19918</v>
      </c>
    </row>
    <row r="3665" spans="2:20" x14ac:dyDescent="0.25">
      <c r="B3665" t="s">
        <v>2709</v>
      </c>
      <c r="C3665">
        <v>30033100</v>
      </c>
      <c r="E3665">
        <v>298.8</v>
      </c>
      <c r="F3665">
        <v>7</v>
      </c>
      <c r="G3665">
        <v>0</v>
      </c>
      <c r="H3665">
        <v>9.9</v>
      </c>
      <c r="I3665">
        <v>2.1</v>
      </c>
      <c r="J3665">
        <v>14</v>
      </c>
      <c r="L3665" t="s">
        <v>2709</v>
      </c>
      <c r="M3665">
        <v>30033100</v>
      </c>
      <c r="O3665" t="s">
        <v>20035</v>
      </c>
      <c r="P3665" t="s">
        <v>19908</v>
      </c>
      <c r="Q3665" t="s">
        <v>19900</v>
      </c>
      <c r="R3665" t="s">
        <v>20033</v>
      </c>
      <c r="S3665" t="s">
        <v>20034</v>
      </c>
      <c r="T3665" t="s">
        <v>19911</v>
      </c>
    </row>
    <row r="3666" spans="2:20" x14ac:dyDescent="0.25">
      <c r="B3666" t="s">
        <v>2709</v>
      </c>
      <c r="C3666">
        <v>30033911</v>
      </c>
      <c r="E3666">
        <v>298.8</v>
      </c>
      <c r="F3666">
        <v>7</v>
      </c>
      <c r="G3666">
        <v>0</v>
      </c>
      <c r="H3666">
        <v>9.9</v>
      </c>
      <c r="I3666">
        <v>2.1</v>
      </c>
      <c r="J3666">
        <v>0</v>
      </c>
      <c r="L3666" t="s">
        <v>2709</v>
      </c>
      <c r="M3666">
        <v>30033911</v>
      </c>
      <c r="O3666" t="s">
        <v>20035</v>
      </c>
      <c r="P3666" t="s">
        <v>19908</v>
      </c>
      <c r="Q3666" t="s">
        <v>19900</v>
      </c>
      <c r="R3666" t="s">
        <v>20033</v>
      </c>
      <c r="S3666" t="s">
        <v>20034</v>
      </c>
      <c r="T3666" t="s">
        <v>19900</v>
      </c>
    </row>
    <row r="3667" spans="2:20" x14ac:dyDescent="0.25">
      <c r="B3667" t="s">
        <v>2709</v>
      </c>
      <c r="C3667">
        <v>30033912</v>
      </c>
      <c r="E3667">
        <v>298.8</v>
      </c>
      <c r="F3667">
        <v>7</v>
      </c>
      <c r="G3667">
        <v>0</v>
      </c>
      <c r="H3667">
        <v>9.9</v>
      </c>
      <c r="I3667">
        <v>2.1</v>
      </c>
      <c r="J3667">
        <v>14</v>
      </c>
      <c r="L3667" t="s">
        <v>2709</v>
      </c>
      <c r="M3667">
        <v>30033912</v>
      </c>
      <c r="O3667" t="s">
        <v>20035</v>
      </c>
      <c r="P3667" t="s">
        <v>19908</v>
      </c>
      <c r="Q3667" t="s">
        <v>19900</v>
      </c>
      <c r="R3667" t="s">
        <v>20033</v>
      </c>
      <c r="S3667" t="s">
        <v>20034</v>
      </c>
      <c r="T3667" t="s">
        <v>19911</v>
      </c>
    </row>
    <row r="3668" spans="2:20" x14ac:dyDescent="0.25">
      <c r="B3668" t="s">
        <v>2709</v>
      </c>
      <c r="C3668">
        <v>30033913</v>
      </c>
      <c r="E3668">
        <v>298.8</v>
      </c>
      <c r="F3668">
        <v>7</v>
      </c>
      <c r="G3668">
        <v>0</v>
      </c>
      <c r="H3668">
        <v>9.9</v>
      </c>
      <c r="I3668">
        <v>2.1</v>
      </c>
      <c r="J3668">
        <v>14</v>
      </c>
      <c r="L3668" t="s">
        <v>2709</v>
      </c>
      <c r="M3668">
        <v>30033913</v>
      </c>
      <c r="O3668" t="s">
        <v>20035</v>
      </c>
      <c r="P3668" t="s">
        <v>19908</v>
      </c>
      <c r="Q3668" t="s">
        <v>19900</v>
      </c>
      <c r="R3668" t="s">
        <v>20033</v>
      </c>
      <c r="S3668" t="s">
        <v>20034</v>
      </c>
      <c r="T3668" t="s">
        <v>19911</v>
      </c>
    </row>
    <row r="3669" spans="2:20" x14ac:dyDescent="0.25">
      <c r="B3669" t="s">
        <v>2709</v>
      </c>
      <c r="C3669">
        <v>30033914</v>
      </c>
      <c r="E3669">
        <v>298.8</v>
      </c>
      <c r="F3669">
        <v>7</v>
      </c>
      <c r="G3669">
        <v>0</v>
      </c>
      <c r="H3669">
        <v>9.9</v>
      </c>
      <c r="I3669">
        <v>2.1</v>
      </c>
      <c r="J3669">
        <v>8</v>
      </c>
      <c r="L3669" t="s">
        <v>2709</v>
      </c>
      <c r="M3669">
        <v>30033914</v>
      </c>
      <c r="O3669" t="s">
        <v>20035</v>
      </c>
      <c r="P3669" t="s">
        <v>19908</v>
      </c>
      <c r="Q3669" t="s">
        <v>19900</v>
      </c>
      <c r="R3669" t="s">
        <v>20033</v>
      </c>
      <c r="S3669" t="s">
        <v>20034</v>
      </c>
      <c r="T3669" t="s">
        <v>19918</v>
      </c>
    </row>
    <row r="3670" spans="2:20" x14ac:dyDescent="0.25">
      <c r="B3670" t="s">
        <v>2709</v>
      </c>
      <c r="C3670">
        <v>30033915</v>
      </c>
      <c r="E3670">
        <v>298.8</v>
      </c>
      <c r="F3670">
        <v>7</v>
      </c>
      <c r="G3670">
        <v>0</v>
      </c>
      <c r="H3670">
        <v>9.9</v>
      </c>
      <c r="I3670">
        <v>2.1</v>
      </c>
      <c r="J3670">
        <v>8</v>
      </c>
      <c r="L3670" t="s">
        <v>2709</v>
      </c>
      <c r="M3670">
        <v>30033915</v>
      </c>
      <c r="O3670" t="s">
        <v>20035</v>
      </c>
      <c r="P3670" t="s">
        <v>19908</v>
      </c>
      <c r="Q3670" t="s">
        <v>19900</v>
      </c>
      <c r="R3670" t="s">
        <v>20033</v>
      </c>
      <c r="S3670" t="s">
        <v>20034</v>
      </c>
      <c r="T3670" t="s">
        <v>19918</v>
      </c>
    </row>
    <row r="3671" spans="2:20" x14ac:dyDescent="0.25">
      <c r="B3671" t="s">
        <v>2709</v>
      </c>
      <c r="C3671">
        <v>30033916</v>
      </c>
      <c r="E3671">
        <v>298.8</v>
      </c>
      <c r="F3671">
        <v>7</v>
      </c>
      <c r="G3671">
        <v>0</v>
      </c>
      <c r="H3671">
        <v>9.9</v>
      </c>
      <c r="I3671">
        <v>2.1</v>
      </c>
      <c r="J3671">
        <v>0</v>
      </c>
      <c r="L3671" t="s">
        <v>2709</v>
      </c>
      <c r="M3671">
        <v>30033916</v>
      </c>
      <c r="O3671" t="s">
        <v>20035</v>
      </c>
      <c r="P3671" t="s">
        <v>19908</v>
      </c>
      <c r="Q3671" t="s">
        <v>19900</v>
      </c>
      <c r="R3671" t="s">
        <v>20033</v>
      </c>
      <c r="S3671" t="s">
        <v>20034</v>
      </c>
      <c r="T3671" t="s">
        <v>19900</v>
      </c>
    </row>
    <row r="3672" spans="2:20" x14ac:dyDescent="0.25">
      <c r="B3672" t="s">
        <v>2709</v>
      </c>
      <c r="C3672">
        <v>30033917</v>
      </c>
      <c r="E3672">
        <v>298.8</v>
      </c>
      <c r="F3672">
        <v>7</v>
      </c>
      <c r="G3672">
        <v>0</v>
      </c>
      <c r="H3672">
        <v>9.9</v>
      </c>
      <c r="I3672">
        <v>2.1</v>
      </c>
      <c r="J3672">
        <v>0</v>
      </c>
      <c r="L3672" t="s">
        <v>2709</v>
      </c>
      <c r="M3672">
        <v>30033917</v>
      </c>
      <c r="O3672" t="s">
        <v>20035</v>
      </c>
      <c r="P3672" t="s">
        <v>19908</v>
      </c>
      <c r="Q3672" t="s">
        <v>19900</v>
      </c>
      <c r="R3672" t="s">
        <v>20033</v>
      </c>
      <c r="S3672" t="s">
        <v>20034</v>
      </c>
      <c r="T3672" t="s">
        <v>19900</v>
      </c>
    </row>
    <row r="3673" spans="2:20" x14ac:dyDescent="0.25">
      <c r="B3673" t="s">
        <v>2709</v>
      </c>
      <c r="C3673">
        <v>30033918</v>
      </c>
      <c r="E3673">
        <v>298.8</v>
      </c>
      <c r="F3673">
        <v>7</v>
      </c>
      <c r="G3673">
        <v>0</v>
      </c>
      <c r="H3673">
        <v>9.9</v>
      </c>
      <c r="I3673">
        <v>2.1</v>
      </c>
      <c r="J3673">
        <v>0</v>
      </c>
      <c r="L3673" t="s">
        <v>2709</v>
      </c>
      <c r="M3673">
        <v>30033918</v>
      </c>
      <c r="O3673" t="s">
        <v>20035</v>
      </c>
      <c r="P3673" t="s">
        <v>19908</v>
      </c>
      <c r="Q3673" t="s">
        <v>19900</v>
      </c>
      <c r="R3673" t="s">
        <v>20033</v>
      </c>
      <c r="S3673" t="s">
        <v>20034</v>
      </c>
      <c r="T3673" t="s">
        <v>19900</v>
      </c>
    </row>
    <row r="3674" spans="2:20" x14ac:dyDescent="0.25">
      <c r="B3674" t="s">
        <v>2709</v>
      </c>
      <c r="C3674">
        <v>30033919</v>
      </c>
      <c r="E3674">
        <v>298.8</v>
      </c>
      <c r="F3674">
        <v>7</v>
      </c>
      <c r="G3674">
        <v>0</v>
      </c>
      <c r="H3674">
        <v>9.9</v>
      </c>
      <c r="I3674">
        <v>2.1</v>
      </c>
      <c r="J3674">
        <v>0</v>
      </c>
      <c r="L3674" t="s">
        <v>2709</v>
      </c>
      <c r="M3674">
        <v>30033919</v>
      </c>
      <c r="O3674" t="s">
        <v>20035</v>
      </c>
      <c r="P3674" t="s">
        <v>19908</v>
      </c>
      <c r="Q3674" t="s">
        <v>19900</v>
      </c>
      <c r="R3674" t="s">
        <v>20033</v>
      </c>
      <c r="S3674" t="s">
        <v>20034</v>
      </c>
      <c r="T3674" t="s">
        <v>19900</v>
      </c>
    </row>
    <row r="3675" spans="2:20" x14ac:dyDescent="0.25">
      <c r="B3675" t="s">
        <v>2709</v>
      </c>
      <c r="C3675">
        <v>30033921</v>
      </c>
      <c r="E3675">
        <v>298.8</v>
      </c>
      <c r="F3675">
        <v>7</v>
      </c>
      <c r="G3675">
        <v>0</v>
      </c>
      <c r="H3675">
        <v>9.9</v>
      </c>
      <c r="I3675">
        <v>2.1</v>
      </c>
      <c r="J3675">
        <v>0</v>
      </c>
      <c r="L3675" t="s">
        <v>2709</v>
      </c>
      <c r="M3675">
        <v>30033921</v>
      </c>
      <c r="O3675" t="s">
        <v>20035</v>
      </c>
      <c r="P3675" t="s">
        <v>19908</v>
      </c>
      <c r="Q3675" t="s">
        <v>19900</v>
      </c>
      <c r="R3675" t="s">
        <v>20033</v>
      </c>
      <c r="S3675" t="s">
        <v>20034</v>
      </c>
      <c r="T3675" t="s">
        <v>19900</v>
      </c>
    </row>
    <row r="3676" spans="2:20" x14ac:dyDescent="0.25">
      <c r="B3676" t="s">
        <v>2709</v>
      </c>
      <c r="C3676">
        <v>30033922</v>
      </c>
      <c r="E3676">
        <v>298.8</v>
      </c>
      <c r="F3676">
        <v>7</v>
      </c>
      <c r="G3676">
        <v>0</v>
      </c>
      <c r="H3676">
        <v>9.9</v>
      </c>
      <c r="I3676">
        <v>2.1</v>
      </c>
      <c r="J3676">
        <v>14</v>
      </c>
      <c r="L3676" t="s">
        <v>2709</v>
      </c>
      <c r="M3676">
        <v>30033922</v>
      </c>
      <c r="O3676" t="s">
        <v>20035</v>
      </c>
      <c r="P3676" t="s">
        <v>19908</v>
      </c>
      <c r="Q3676" t="s">
        <v>19900</v>
      </c>
      <c r="R3676" t="s">
        <v>20033</v>
      </c>
      <c r="S3676" t="s">
        <v>20034</v>
      </c>
      <c r="T3676" t="s">
        <v>19911</v>
      </c>
    </row>
    <row r="3677" spans="2:20" x14ac:dyDescent="0.25">
      <c r="B3677" t="s">
        <v>2709</v>
      </c>
      <c r="C3677">
        <v>30033923</v>
      </c>
      <c r="E3677">
        <v>298.8</v>
      </c>
      <c r="F3677">
        <v>7</v>
      </c>
      <c r="G3677">
        <v>0</v>
      </c>
      <c r="H3677">
        <v>9.9</v>
      </c>
      <c r="I3677">
        <v>2.1</v>
      </c>
      <c r="J3677">
        <v>14</v>
      </c>
      <c r="L3677" t="s">
        <v>2709</v>
      </c>
      <c r="M3677">
        <v>30033923</v>
      </c>
      <c r="O3677" t="s">
        <v>20035</v>
      </c>
      <c r="P3677" t="s">
        <v>19908</v>
      </c>
      <c r="Q3677" t="s">
        <v>19900</v>
      </c>
      <c r="R3677" t="s">
        <v>20033</v>
      </c>
      <c r="S3677" t="s">
        <v>20034</v>
      </c>
      <c r="T3677" t="s">
        <v>19911</v>
      </c>
    </row>
    <row r="3678" spans="2:20" x14ac:dyDescent="0.25">
      <c r="B3678" t="s">
        <v>2709</v>
      </c>
      <c r="C3678">
        <v>30033924</v>
      </c>
      <c r="E3678">
        <v>298.8</v>
      </c>
      <c r="F3678">
        <v>7</v>
      </c>
      <c r="G3678">
        <v>0</v>
      </c>
      <c r="H3678">
        <v>9.9</v>
      </c>
      <c r="I3678">
        <v>2.1</v>
      </c>
      <c r="J3678">
        <v>0</v>
      </c>
      <c r="L3678" t="s">
        <v>2709</v>
      </c>
      <c r="M3678">
        <v>30033924</v>
      </c>
      <c r="O3678" t="s">
        <v>20035</v>
      </c>
      <c r="P3678" t="s">
        <v>19908</v>
      </c>
      <c r="Q3678" t="s">
        <v>19900</v>
      </c>
      <c r="R3678" t="s">
        <v>20033</v>
      </c>
      <c r="S3678" t="s">
        <v>20034</v>
      </c>
      <c r="T3678" t="s">
        <v>19900</v>
      </c>
    </row>
    <row r="3679" spans="2:20" x14ac:dyDescent="0.25">
      <c r="B3679" t="s">
        <v>2709</v>
      </c>
      <c r="C3679">
        <v>30033925</v>
      </c>
      <c r="E3679">
        <v>298.8</v>
      </c>
      <c r="F3679">
        <v>0</v>
      </c>
      <c r="G3679">
        <v>0</v>
      </c>
      <c r="H3679">
        <v>9.9</v>
      </c>
      <c r="I3679">
        <v>2.1</v>
      </c>
      <c r="J3679">
        <v>0</v>
      </c>
      <c r="L3679" t="s">
        <v>2709</v>
      </c>
      <c r="M3679">
        <v>30033925</v>
      </c>
      <c r="O3679" t="s">
        <v>20035</v>
      </c>
      <c r="P3679" t="s">
        <v>19900</v>
      </c>
      <c r="Q3679" t="s">
        <v>19900</v>
      </c>
      <c r="R3679" t="s">
        <v>20033</v>
      </c>
      <c r="S3679" t="s">
        <v>20034</v>
      </c>
      <c r="T3679" t="s">
        <v>19900</v>
      </c>
    </row>
    <row r="3680" spans="2:20" x14ac:dyDescent="0.25">
      <c r="B3680" t="s">
        <v>2709</v>
      </c>
      <c r="C3680">
        <v>30033926</v>
      </c>
      <c r="E3680">
        <v>298.8</v>
      </c>
      <c r="F3680">
        <v>0</v>
      </c>
      <c r="G3680">
        <v>0</v>
      </c>
      <c r="H3680">
        <v>9.9</v>
      </c>
      <c r="I3680">
        <v>2.1</v>
      </c>
      <c r="J3680">
        <v>0</v>
      </c>
      <c r="L3680" t="s">
        <v>2709</v>
      </c>
      <c r="M3680">
        <v>30033926</v>
      </c>
      <c r="O3680" t="s">
        <v>20035</v>
      </c>
      <c r="P3680" t="s">
        <v>19900</v>
      </c>
      <c r="Q3680" t="s">
        <v>19900</v>
      </c>
      <c r="R3680" t="s">
        <v>20033</v>
      </c>
      <c r="S3680" t="s">
        <v>20034</v>
      </c>
      <c r="T3680" t="s">
        <v>19900</v>
      </c>
    </row>
    <row r="3681" spans="2:20" x14ac:dyDescent="0.25">
      <c r="B3681" t="s">
        <v>2709</v>
      </c>
      <c r="C3681">
        <v>30033927</v>
      </c>
      <c r="E3681">
        <v>298.8</v>
      </c>
      <c r="F3681">
        <v>7</v>
      </c>
      <c r="G3681">
        <v>0</v>
      </c>
      <c r="H3681">
        <v>9.9</v>
      </c>
      <c r="I3681">
        <v>2.1</v>
      </c>
      <c r="J3681">
        <v>0</v>
      </c>
      <c r="L3681" t="s">
        <v>2709</v>
      </c>
      <c r="M3681">
        <v>30033927</v>
      </c>
      <c r="O3681" t="s">
        <v>20035</v>
      </c>
      <c r="P3681" t="s">
        <v>19908</v>
      </c>
      <c r="Q3681" t="s">
        <v>19900</v>
      </c>
      <c r="R3681" t="s">
        <v>20033</v>
      </c>
      <c r="S3681" t="s">
        <v>20034</v>
      </c>
      <c r="T3681" t="s">
        <v>19900</v>
      </c>
    </row>
    <row r="3682" spans="2:20" x14ac:dyDescent="0.25">
      <c r="B3682" t="s">
        <v>2709</v>
      </c>
      <c r="C3682">
        <v>30033929</v>
      </c>
      <c r="E3682">
        <v>298.8</v>
      </c>
      <c r="F3682">
        <v>7</v>
      </c>
      <c r="G3682">
        <v>0</v>
      </c>
      <c r="H3682">
        <v>9.9</v>
      </c>
      <c r="I3682">
        <v>2.1</v>
      </c>
      <c r="J3682">
        <v>8</v>
      </c>
      <c r="L3682" t="s">
        <v>2709</v>
      </c>
      <c r="M3682">
        <v>30033929</v>
      </c>
      <c r="O3682" t="s">
        <v>20035</v>
      </c>
      <c r="P3682" t="s">
        <v>19908</v>
      </c>
      <c r="Q3682" t="s">
        <v>19900</v>
      </c>
      <c r="R3682" t="s">
        <v>20033</v>
      </c>
      <c r="S3682" t="s">
        <v>20034</v>
      </c>
      <c r="T3682" t="s">
        <v>19918</v>
      </c>
    </row>
    <row r="3683" spans="2:20" x14ac:dyDescent="0.25">
      <c r="B3683" t="s">
        <v>2709</v>
      </c>
      <c r="C3683">
        <v>30033931</v>
      </c>
      <c r="E3683">
        <v>298.8</v>
      </c>
      <c r="F3683">
        <v>7</v>
      </c>
      <c r="G3683">
        <v>0</v>
      </c>
      <c r="H3683">
        <v>9.9</v>
      </c>
      <c r="I3683">
        <v>2.1</v>
      </c>
      <c r="J3683">
        <v>14</v>
      </c>
      <c r="L3683" t="s">
        <v>2709</v>
      </c>
      <c r="M3683">
        <v>30033931</v>
      </c>
      <c r="O3683" t="s">
        <v>20035</v>
      </c>
      <c r="P3683" t="s">
        <v>19908</v>
      </c>
      <c r="Q3683" t="s">
        <v>19900</v>
      </c>
      <c r="R3683" t="s">
        <v>20033</v>
      </c>
      <c r="S3683" t="s">
        <v>20034</v>
      </c>
      <c r="T3683" t="s">
        <v>19911</v>
      </c>
    </row>
    <row r="3684" spans="2:20" x14ac:dyDescent="0.25">
      <c r="B3684" t="s">
        <v>2709</v>
      </c>
      <c r="C3684">
        <v>30033932</v>
      </c>
      <c r="E3684">
        <v>298.8</v>
      </c>
      <c r="F3684">
        <v>7</v>
      </c>
      <c r="G3684">
        <v>0</v>
      </c>
      <c r="H3684">
        <v>9.9</v>
      </c>
      <c r="I3684">
        <v>2.1</v>
      </c>
      <c r="J3684">
        <v>14</v>
      </c>
      <c r="L3684" t="s">
        <v>2709</v>
      </c>
      <c r="M3684">
        <v>30033932</v>
      </c>
      <c r="O3684" t="s">
        <v>20035</v>
      </c>
      <c r="P3684" t="s">
        <v>19908</v>
      </c>
      <c r="Q3684" t="s">
        <v>19900</v>
      </c>
      <c r="R3684" t="s">
        <v>20033</v>
      </c>
      <c r="S3684" t="s">
        <v>20034</v>
      </c>
      <c r="T3684" t="s">
        <v>19911</v>
      </c>
    </row>
    <row r="3685" spans="2:20" x14ac:dyDescent="0.25">
      <c r="B3685" t="s">
        <v>2709</v>
      </c>
      <c r="C3685">
        <v>30033933</v>
      </c>
      <c r="E3685">
        <v>298.8</v>
      </c>
      <c r="F3685">
        <v>7</v>
      </c>
      <c r="G3685">
        <v>0</v>
      </c>
      <c r="H3685">
        <v>9.9</v>
      </c>
      <c r="I3685">
        <v>2.1</v>
      </c>
      <c r="J3685">
        <v>14</v>
      </c>
      <c r="L3685" t="s">
        <v>2709</v>
      </c>
      <c r="M3685">
        <v>30033933</v>
      </c>
      <c r="O3685" t="s">
        <v>20035</v>
      </c>
      <c r="P3685" t="s">
        <v>19908</v>
      </c>
      <c r="Q3685" t="s">
        <v>19900</v>
      </c>
      <c r="R3685" t="s">
        <v>20033</v>
      </c>
      <c r="S3685" t="s">
        <v>20034</v>
      </c>
      <c r="T3685" t="s">
        <v>19911</v>
      </c>
    </row>
    <row r="3686" spans="2:20" x14ac:dyDescent="0.25">
      <c r="B3686" t="s">
        <v>2709</v>
      </c>
      <c r="C3686">
        <v>30033934</v>
      </c>
      <c r="E3686">
        <v>298.8</v>
      </c>
      <c r="F3686">
        <v>7</v>
      </c>
      <c r="G3686">
        <v>0</v>
      </c>
      <c r="H3686">
        <v>9.9</v>
      </c>
      <c r="I3686">
        <v>2.1</v>
      </c>
      <c r="J3686">
        <v>14</v>
      </c>
      <c r="L3686" t="s">
        <v>2709</v>
      </c>
      <c r="M3686">
        <v>30033934</v>
      </c>
      <c r="O3686" t="s">
        <v>20035</v>
      </c>
      <c r="P3686" t="s">
        <v>19908</v>
      </c>
      <c r="Q3686" t="s">
        <v>19900</v>
      </c>
      <c r="R3686" t="s">
        <v>20033</v>
      </c>
      <c r="S3686" t="s">
        <v>20034</v>
      </c>
      <c r="T3686" t="s">
        <v>19911</v>
      </c>
    </row>
    <row r="3687" spans="2:20" x14ac:dyDescent="0.25">
      <c r="B3687" t="s">
        <v>2709</v>
      </c>
      <c r="C3687">
        <v>30033935</v>
      </c>
      <c r="E3687">
        <v>298.8</v>
      </c>
      <c r="F3687">
        <v>7</v>
      </c>
      <c r="G3687">
        <v>0</v>
      </c>
      <c r="H3687">
        <v>9.9</v>
      </c>
      <c r="I3687">
        <v>2.1</v>
      </c>
      <c r="J3687">
        <v>14</v>
      </c>
      <c r="L3687" t="s">
        <v>2709</v>
      </c>
      <c r="M3687">
        <v>30033935</v>
      </c>
      <c r="O3687" t="s">
        <v>20035</v>
      </c>
      <c r="P3687" t="s">
        <v>19908</v>
      </c>
      <c r="Q3687" t="s">
        <v>19900</v>
      </c>
      <c r="R3687" t="s">
        <v>20033</v>
      </c>
      <c r="S3687" t="s">
        <v>20034</v>
      </c>
      <c r="T3687" t="s">
        <v>19911</v>
      </c>
    </row>
    <row r="3688" spans="2:20" x14ac:dyDescent="0.25">
      <c r="B3688" t="s">
        <v>2709</v>
      </c>
      <c r="C3688">
        <v>30033936</v>
      </c>
      <c r="E3688">
        <v>298.8</v>
      </c>
      <c r="F3688">
        <v>0</v>
      </c>
      <c r="G3688">
        <v>0</v>
      </c>
      <c r="H3688">
        <v>9.9</v>
      </c>
      <c r="I3688">
        <v>2.1</v>
      </c>
      <c r="J3688">
        <v>0</v>
      </c>
      <c r="L3688" t="s">
        <v>2709</v>
      </c>
      <c r="M3688">
        <v>30033936</v>
      </c>
      <c r="O3688" t="s">
        <v>20035</v>
      </c>
      <c r="P3688" t="s">
        <v>19900</v>
      </c>
      <c r="Q3688" t="s">
        <v>19900</v>
      </c>
      <c r="R3688" t="s">
        <v>20033</v>
      </c>
      <c r="S3688" t="s">
        <v>20034</v>
      </c>
      <c r="T3688" t="s">
        <v>19900</v>
      </c>
    </row>
    <row r="3689" spans="2:20" x14ac:dyDescent="0.25">
      <c r="B3689" t="s">
        <v>2709</v>
      </c>
      <c r="C3689">
        <v>30033937</v>
      </c>
      <c r="E3689">
        <v>298.8</v>
      </c>
      <c r="F3689">
        <v>7</v>
      </c>
      <c r="G3689">
        <v>0</v>
      </c>
      <c r="H3689">
        <v>9.9</v>
      </c>
      <c r="I3689">
        <v>2.1</v>
      </c>
      <c r="J3689">
        <v>14</v>
      </c>
      <c r="L3689" t="s">
        <v>2709</v>
      </c>
      <c r="M3689">
        <v>30033937</v>
      </c>
      <c r="O3689" t="s">
        <v>20035</v>
      </c>
      <c r="P3689" t="s">
        <v>19908</v>
      </c>
      <c r="Q3689" t="s">
        <v>19900</v>
      </c>
      <c r="R3689" t="s">
        <v>20033</v>
      </c>
      <c r="S3689" t="s">
        <v>20034</v>
      </c>
      <c r="T3689" t="s">
        <v>19911</v>
      </c>
    </row>
    <row r="3690" spans="2:20" x14ac:dyDescent="0.25">
      <c r="B3690" t="s">
        <v>2709</v>
      </c>
      <c r="C3690">
        <v>30033939</v>
      </c>
      <c r="E3690">
        <v>298.8</v>
      </c>
      <c r="F3690">
        <v>7</v>
      </c>
      <c r="G3690">
        <v>0</v>
      </c>
      <c r="H3690">
        <v>9.9</v>
      </c>
      <c r="I3690">
        <v>2.1</v>
      </c>
      <c r="J3690">
        <v>8</v>
      </c>
      <c r="L3690" t="s">
        <v>2709</v>
      </c>
      <c r="M3690">
        <v>30033939</v>
      </c>
      <c r="O3690" t="s">
        <v>20035</v>
      </c>
      <c r="P3690" t="s">
        <v>19908</v>
      </c>
      <c r="Q3690" t="s">
        <v>19900</v>
      </c>
      <c r="R3690" t="s">
        <v>20033</v>
      </c>
      <c r="S3690" t="s">
        <v>20034</v>
      </c>
      <c r="T3690" t="s">
        <v>19918</v>
      </c>
    </row>
    <row r="3691" spans="2:20" x14ac:dyDescent="0.25">
      <c r="B3691" t="s">
        <v>2709</v>
      </c>
      <c r="C3691">
        <v>30033981</v>
      </c>
      <c r="E3691">
        <v>298.8</v>
      </c>
      <c r="F3691">
        <v>7</v>
      </c>
      <c r="G3691">
        <v>0</v>
      </c>
      <c r="H3691">
        <v>9.9</v>
      </c>
      <c r="I3691">
        <v>2.1</v>
      </c>
      <c r="J3691">
        <v>12</v>
      </c>
      <c r="L3691" t="s">
        <v>2709</v>
      </c>
      <c r="M3691">
        <v>30033981</v>
      </c>
      <c r="O3691" t="s">
        <v>20035</v>
      </c>
      <c r="P3691" t="s">
        <v>19908</v>
      </c>
      <c r="Q3691" t="s">
        <v>19900</v>
      </c>
      <c r="R3691" t="s">
        <v>20033</v>
      </c>
      <c r="S3691" t="s">
        <v>20034</v>
      </c>
      <c r="T3691" t="s">
        <v>19903</v>
      </c>
    </row>
    <row r="3692" spans="2:20" x14ac:dyDescent="0.25">
      <c r="B3692" t="s">
        <v>2709</v>
      </c>
      <c r="C3692">
        <v>30033982</v>
      </c>
      <c r="E3692">
        <v>298.8</v>
      </c>
      <c r="F3692">
        <v>7</v>
      </c>
      <c r="G3692">
        <v>0</v>
      </c>
      <c r="H3692">
        <v>9.9</v>
      </c>
      <c r="I3692">
        <v>2.1</v>
      </c>
      <c r="J3692">
        <v>12</v>
      </c>
      <c r="L3692" t="s">
        <v>2709</v>
      </c>
      <c r="M3692">
        <v>30033982</v>
      </c>
      <c r="O3692" t="s">
        <v>20035</v>
      </c>
      <c r="P3692" t="s">
        <v>19908</v>
      </c>
      <c r="Q3692" t="s">
        <v>19900</v>
      </c>
      <c r="R3692" t="s">
        <v>20033</v>
      </c>
      <c r="S3692" t="s">
        <v>20034</v>
      </c>
      <c r="T3692" t="s">
        <v>19903</v>
      </c>
    </row>
    <row r="3693" spans="2:20" x14ac:dyDescent="0.25">
      <c r="B3693" t="s">
        <v>2709</v>
      </c>
      <c r="C3693">
        <v>30033991</v>
      </c>
      <c r="E3693">
        <v>298.8</v>
      </c>
      <c r="F3693">
        <v>7</v>
      </c>
      <c r="G3693">
        <v>0</v>
      </c>
      <c r="H3693">
        <v>9.9</v>
      </c>
      <c r="I3693">
        <v>2.1</v>
      </c>
      <c r="J3693">
        <v>0</v>
      </c>
      <c r="L3693" t="s">
        <v>2709</v>
      </c>
      <c r="M3693">
        <v>30033991</v>
      </c>
      <c r="O3693" t="s">
        <v>20035</v>
      </c>
      <c r="P3693" t="s">
        <v>19908</v>
      </c>
      <c r="Q3693" t="s">
        <v>19900</v>
      </c>
      <c r="R3693" t="s">
        <v>20033</v>
      </c>
      <c r="S3693" t="s">
        <v>20034</v>
      </c>
      <c r="T3693" t="s">
        <v>19900</v>
      </c>
    </row>
    <row r="3694" spans="2:20" x14ac:dyDescent="0.25">
      <c r="B3694" t="s">
        <v>2709</v>
      </c>
      <c r="C3694">
        <v>30033992</v>
      </c>
      <c r="E3694">
        <v>298.8</v>
      </c>
      <c r="F3694">
        <v>7</v>
      </c>
      <c r="G3694">
        <v>0</v>
      </c>
      <c r="H3694">
        <v>9.9</v>
      </c>
      <c r="I3694">
        <v>2.1</v>
      </c>
      <c r="J3694">
        <v>14</v>
      </c>
      <c r="L3694" t="s">
        <v>2709</v>
      </c>
      <c r="M3694">
        <v>30033992</v>
      </c>
      <c r="O3694" t="s">
        <v>20035</v>
      </c>
      <c r="P3694" t="s">
        <v>19908</v>
      </c>
      <c r="Q3694" t="s">
        <v>19900</v>
      </c>
      <c r="R3694" t="s">
        <v>20033</v>
      </c>
      <c r="S3694" t="s">
        <v>20034</v>
      </c>
      <c r="T3694" t="s">
        <v>19911</v>
      </c>
    </row>
    <row r="3695" spans="2:20" x14ac:dyDescent="0.25">
      <c r="B3695" t="s">
        <v>2709</v>
      </c>
      <c r="C3695">
        <v>30033994</v>
      </c>
      <c r="E3695">
        <v>298.8</v>
      </c>
      <c r="F3695">
        <v>7</v>
      </c>
      <c r="G3695">
        <v>0</v>
      </c>
      <c r="H3695">
        <v>9.9</v>
      </c>
      <c r="I3695">
        <v>2.1</v>
      </c>
      <c r="J3695">
        <v>14</v>
      </c>
      <c r="L3695" t="s">
        <v>2709</v>
      </c>
      <c r="M3695">
        <v>30033994</v>
      </c>
      <c r="O3695" t="s">
        <v>20035</v>
      </c>
      <c r="P3695" t="s">
        <v>19908</v>
      </c>
      <c r="Q3695" t="s">
        <v>19900</v>
      </c>
      <c r="R3695" t="s">
        <v>20033</v>
      </c>
      <c r="S3695" t="s">
        <v>20034</v>
      </c>
      <c r="T3695" t="s">
        <v>19911</v>
      </c>
    </row>
    <row r="3696" spans="2:20" x14ac:dyDescent="0.25">
      <c r="B3696" t="s">
        <v>2709</v>
      </c>
      <c r="C3696">
        <v>30033995</v>
      </c>
      <c r="E3696">
        <v>298.8</v>
      </c>
      <c r="F3696">
        <v>7</v>
      </c>
      <c r="G3696">
        <v>0</v>
      </c>
      <c r="H3696">
        <v>9.9</v>
      </c>
      <c r="I3696">
        <v>2.1</v>
      </c>
      <c r="J3696">
        <v>0</v>
      </c>
      <c r="L3696" t="s">
        <v>2709</v>
      </c>
      <c r="M3696">
        <v>30033995</v>
      </c>
      <c r="O3696" t="s">
        <v>20035</v>
      </c>
      <c r="P3696" t="s">
        <v>19908</v>
      </c>
      <c r="Q3696" t="s">
        <v>19900</v>
      </c>
      <c r="R3696" t="s">
        <v>20033</v>
      </c>
      <c r="S3696" t="s">
        <v>20034</v>
      </c>
      <c r="T3696" t="s">
        <v>19900</v>
      </c>
    </row>
    <row r="3697" spans="2:20" x14ac:dyDescent="0.25">
      <c r="B3697" t="s">
        <v>2709</v>
      </c>
      <c r="C3697">
        <v>30033999</v>
      </c>
      <c r="E3697">
        <v>298.8</v>
      </c>
      <c r="F3697">
        <v>7</v>
      </c>
      <c r="G3697">
        <v>0</v>
      </c>
      <c r="H3697">
        <v>9.9</v>
      </c>
      <c r="I3697">
        <v>2.1</v>
      </c>
      <c r="J3697">
        <v>8</v>
      </c>
      <c r="L3697" t="s">
        <v>2709</v>
      </c>
      <c r="M3697">
        <v>30033999</v>
      </c>
      <c r="O3697" t="s">
        <v>20035</v>
      </c>
      <c r="P3697" t="s">
        <v>19908</v>
      </c>
      <c r="Q3697" t="s">
        <v>19900</v>
      </c>
      <c r="R3697" t="s">
        <v>20033</v>
      </c>
      <c r="S3697" t="s">
        <v>20034</v>
      </c>
      <c r="T3697" t="s">
        <v>19918</v>
      </c>
    </row>
    <row r="3698" spans="2:20" x14ac:dyDescent="0.25">
      <c r="B3698" t="s">
        <v>2709</v>
      </c>
      <c r="C3698">
        <v>30034010</v>
      </c>
      <c r="E3698">
        <v>298.8</v>
      </c>
      <c r="F3698">
        <v>0</v>
      </c>
      <c r="G3698">
        <v>0</v>
      </c>
      <c r="H3698">
        <v>9.9</v>
      </c>
      <c r="I3698">
        <v>2.1</v>
      </c>
      <c r="J3698">
        <v>0</v>
      </c>
      <c r="L3698" t="s">
        <v>2709</v>
      </c>
      <c r="M3698">
        <v>30034010</v>
      </c>
      <c r="O3698" t="s">
        <v>20035</v>
      </c>
      <c r="P3698" t="s">
        <v>19900</v>
      </c>
      <c r="Q3698" t="s">
        <v>19900</v>
      </c>
      <c r="R3698" t="s">
        <v>20033</v>
      </c>
      <c r="S3698" t="s">
        <v>20034</v>
      </c>
      <c r="T3698" t="s">
        <v>19900</v>
      </c>
    </row>
    <row r="3699" spans="2:20" x14ac:dyDescent="0.25">
      <c r="B3699" t="s">
        <v>2709</v>
      </c>
      <c r="C3699">
        <v>30034020</v>
      </c>
      <c r="E3699">
        <v>298.8</v>
      </c>
      <c r="F3699">
        <v>7</v>
      </c>
      <c r="G3699">
        <v>0</v>
      </c>
      <c r="H3699">
        <v>9.9</v>
      </c>
      <c r="I3699">
        <v>2.1</v>
      </c>
      <c r="J3699">
        <v>14</v>
      </c>
      <c r="L3699" t="s">
        <v>2709</v>
      </c>
      <c r="M3699">
        <v>30034020</v>
      </c>
      <c r="O3699" t="s">
        <v>20035</v>
      </c>
      <c r="P3699" t="s">
        <v>19908</v>
      </c>
      <c r="Q3699" t="s">
        <v>19900</v>
      </c>
      <c r="R3699" t="s">
        <v>20033</v>
      </c>
      <c r="S3699" t="s">
        <v>20034</v>
      </c>
      <c r="T3699" t="s">
        <v>19911</v>
      </c>
    </row>
    <row r="3700" spans="2:20" x14ac:dyDescent="0.25">
      <c r="B3700" t="s">
        <v>2709</v>
      </c>
      <c r="C3700">
        <v>30034030</v>
      </c>
      <c r="E3700">
        <v>298.8</v>
      </c>
      <c r="F3700">
        <v>7</v>
      </c>
      <c r="G3700">
        <v>0</v>
      </c>
      <c r="H3700">
        <v>9.9</v>
      </c>
      <c r="I3700">
        <v>2.1</v>
      </c>
      <c r="J3700">
        <v>8</v>
      </c>
      <c r="L3700" t="s">
        <v>2709</v>
      </c>
      <c r="M3700">
        <v>30034030</v>
      </c>
      <c r="O3700" t="s">
        <v>20035</v>
      </c>
      <c r="P3700" t="s">
        <v>19908</v>
      </c>
      <c r="Q3700" t="s">
        <v>19900</v>
      </c>
      <c r="R3700" t="s">
        <v>20033</v>
      </c>
      <c r="S3700" t="s">
        <v>20034</v>
      </c>
      <c r="T3700" t="s">
        <v>19918</v>
      </c>
    </row>
    <row r="3701" spans="2:20" x14ac:dyDescent="0.25">
      <c r="B3701" t="s">
        <v>2709</v>
      </c>
      <c r="C3701">
        <v>30034040</v>
      </c>
      <c r="E3701">
        <v>298.8</v>
      </c>
      <c r="F3701">
        <v>7</v>
      </c>
      <c r="G3701">
        <v>0</v>
      </c>
      <c r="H3701">
        <v>9.9</v>
      </c>
      <c r="I3701">
        <v>2.1</v>
      </c>
      <c r="J3701">
        <v>14</v>
      </c>
      <c r="L3701" t="s">
        <v>2709</v>
      </c>
      <c r="M3701">
        <v>30034040</v>
      </c>
      <c r="O3701" t="s">
        <v>20035</v>
      </c>
      <c r="P3701" t="s">
        <v>19908</v>
      </c>
      <c r="Q3701" t="s">
        <v>19900</v>
      </c>
      <c r="R3701" t="s">
        <v>20033</v>
      </c>
      <c r="S3701" t="s">
        <v>20034</v>
      </c>
      <c r="T3701" t="s">
        <v>19911</v>
      </c>
    </row>
    <row r="3702" spans="2:20" x14ac:dyDescent="0.25">
      <c r="B3702" t="s">
        <v>2709</v>
      </c>
      <c r="C3702">
        <v>30034050</v>
      </c>
      <c r="E3702">
        <v>298.8</v>
      </c>
      <c r="F3702">
        <v>7</v>
      </c>
      <c r="G3702">
        <v>0</v>
      </c>
      <c r="H3702">
        <v>9.9</v>
      </c>
      <c r="I3702">
        <v>2.1</v>
      </c>
      <c r="J3702">
        <v>0</v>
      </c>
      <c r="L3702" t="s">
        <v>2709</v>
      </c>
      <c r="M3702">
        <v>30034050</v>
      </c>
      <c r="O3702" t="s">
        <v>20035</v>
      </c>
      <c r="P3702" t="s">
        <v>19908</v>
      </c>
      <c r="Q3702" t="s">
        <v>19900</v>
      </c>
      <c r="R3702" t="s">
        <v>20033</v>
      </c>
      <c r="S3702" t="s">
        <v>20034</v>
      </c>
      <c r="T3702" t="s">
        <v>19900</v>
      </c>
    </row>
    <row r="3703" spans="2:20" x14ac:dyDescent="0.25">
      <c r="B3703" t="s">
        <v>2709</v>
      </c>
      <c r="C3703">
        <v>30034090</v>
      </c>
      <c r="E3703">
        <v>298.8</v>
      </c>
      <c r="F3703">
        <v>7</v>
      </c>
      <c r="G3703">
        <v>0</v>
      </c>
      <c r="H3703">
        <v>9.9</v>
      </c>
      <c r="I3703">
        <v>2.1</v>
      </c>
      <c r="J3703">
        <v>8</v>
      </c>
      <c r="L3703" t="s">
        <v>2709</v>
      </c>
      <c r="M3703">
        <v>30034090</v>
      </c>
      <c r="O3703" t="s">
        <v>20035</v>
      </c>
      <c r="P3703" t="s">
        <v>19908</v>
      </c>
      <c r="Q3703" t="s">
        <v>19900</v>
      </c>
      <c r="R3703" t="s">
        <v>20033</v>
      </c>
      <c r="S3703" t="s">
        <v>20034</v>
      </c>
      <c r="T3703" t="s">
        <v>19918</v>
      </c>
    </row>
    <row r="3704" spans="2:20" x14ac:dyDescent="0.25">
      <c r="B3704" t="s">
        <v>2709</v>
      </c>
      <c r="C3704">
        <v>30039011</v>
      </c>
      <c r="E3704">
        <v>298.8</v>
      </c>
      <c r="F3704">
        <v>7</v>
      </c>
      <c r="G3704">
        <v>0</v>
      </c>
      <c r="H3704">
        <v>9.9</v>
      </c>
      <c r="I3704">
        <v>2.1</v>
      </c>
      <c r="J3704">
        <v>8</v>
      </c>
      <c r="L3704" t="s">
        <v>2709</v>
      </c>
      <c r="M3704">
        <v>30039011</v>
      </c>
      <c r="O3704" t="s">
        <v>20035</v>
      </c>
      <c r="P3704" t="s">
        <v>19908</v>
      </c>
      <c r="Q3704" t="s">
        <v>19900</v>
      </c>
      <c r="R3704" t="s">
        <v>20033</v>
      </c>
      <c r="S3704" t="s">
        <v>20034</v>
      </c>
      <c r="T3704" t="s">
        <v>19918</v>
      </c>
    </row>
    <row r="3705" spans="2:20" x14ac:dyDescent="0.25">
      <c r="B3705" t="s">
        <v>2709</v>
      </c>
      <c r="C3705">
        <v>30039012</v>
      </c>
      <c r="E3705">
        <v>298.8</v>
      </c>
      <c r="F3705">
        <v>7</v>
      </c>
      <c r="G3705">
        <v>0</v>
      </c>
      <c r="H3705">
        <v>9.9</v>
      </c>
      <c r="I3705">
        <v>2.1</v>
      </c>
      <c r="J3705">
        <v>14</v>
      </c>
      <c r="L3705" t="s">
        <v>2709</v>
      </c>
      <c r="M3705">
        <v>30039012</v>
      </c>
      <c r="O3705" t="s">
        <v>20035</v>
      </c>
      <c r="P3705" t="s">
        <v>19908</v>
      </c>
      <c r="Q3705" t="s">
        <v>19900</v>
      </c>
      <c r="R3705" t="s">
        <v>20033</v>
      </c>
      <c r="S3705" t="s">
        <v>20034</v>
      </c>
      <c r="T3705" t="s">
        <v>19911</v>
      </c>
    </row>
    <row r="3706" spans="2:20" x14ac:dyDescent="0.25">
      <c r="B3706" t="s">
        <v>2709</v>
      </c>
      <c r="C3706">
        <v>30039013</v>
      </c>
      <c r="E3706">
        <v>298.8</v>
      </c>
      <c r="F3706">
        <v>7</v>
      </c>
      <c r="G3706">
        <v>0</v>
      </c>
      <c r="H3706">
        <v>9.9</v>
      </c>
      <c r="I3706">
        <v>2.1</v>
      </c>
      <c r="J3706">
        <v>14</v>
      </c>
      <c r="L3706" t="s">
        <v>2709</v>
      </c>
      <c r="M3706">
        <v>30039013</v>
      </c>
      <c r="O3706" t="s">
        <v>20035</v>
      </c>
      <c r="P3706" t="s">
        <v>19908</v>
      </c>
      <c r="Q3706" t="s">
        <v>19900</v>
      </c>
      <c r="R3706" t="s">
        <v>20033</v>
      </c>
      <c r="S3706" t="s">
        <v>20034</v>
      </c>
      <c r="T3706" t="s">
        <v>19911</v>
      </c>
    </row>
    <row r="3707" spans="2:20" x14ac:dyDescent="0.25">
      <c r="B3707" t="s">
        <v>2709</v>
      </c>
      <c r="C3707">
        <v>30039014</v>
      </c>
      <c r="E3707">
        <v>298.8</v>
      </c>
      <c r="F3707">
        <v>7</v>
      </c>
      <c r="G3707">
        <v>0</v>
      </c>
      <c r="H3707">
        <v>9.9</v>
      </c>
      <c r="I3707">
        <v>2.1</v>
      </c>
      <c r="J3707">
        <v>14</v>
      </c>
      <c r="L3707" t="s">
        <v>2709</v>
      </c>
      <c r="M3707">
        <v>30039014</v>
      </c>
      <c r="O3707" t="s">
        <v>20035</v>
      </c>
      <c r="P3707" t="s">
        <v>19908</v>
      </c>
      <c r="Q3707" t="s">
        <v>19900</v>
      </c>
      <c r="R3707" t="s">
        <v>20033</v>
      </c>
      <c r="S3707" t="s">
        <v>20034</v>
      </c>
      <c r="T3707" t="s">
        <v>19911</v>
      </c>
    </row>
    <row r="3708" spans="2:20" x14ac:dyDescent="0.25">
      <c r="B3708" t="s">
        <v>2709</v>
      </c>
      <c r="C3708">
        <v>30039015</v>
      </c>
      <c r="E3708">
        <v>298.8</v>
      </c>
      <c r="F3708">
        <v>7</v>
      </c>
      <c r="G3708">
        <v>0</v>
      </c>
      <c r="H3708">
        <v>9.9</v>
      </c>
      <c r="I3708">
        <v>2.1</v>
      </c>
      <c r="J3708">
        <v>8</v>
      </c>
      <c r="L3708" t="s">
        <v>2709</v>
      </c>
      <c r="M3708">
        <v>30039015</v>
      </c>
      <c r="O3708" t="s">
        <v>20035</v>
      </c>
      <c r="P3708" t="s">
        <v>19908</v>
      </c>
      <c r="Q3708" t="s">
        <v>19900</v>
      </c>
      <c r="R3708" t="s">
        <v>20033</v>
      </c>
      <c r="S3708" t="s">
        <v>20034</v>
      </c>
      <c r="T3708" t="s">
        <v>19918</v>
      </c>
    </row>
    <row r="3709" spans="2:20" x14ac:dyDescent="0.25">
      <c r="B3709" t="s">
        <v>2709</v>
      </c>
      <c r="C3709">
        <v>30039016</v>
      </c>
      <c r="E3709">
        <v>298.8</v>
      </c>
      <c r="F3709">
        <v>7</v>
      </c>
      <c r="G3709">
        <v>0</v>
      </c>
      <c r="H3709">
        <v>9.9</v>
      </c>
      <c r="I3709">
        <v>2.1</v>
      </c>
      <c r="J3709">
        <v>8</v>
      </c>
      <c r="L3709" t="s">
        <v>2709</v>
      </c>
      <c r="M3709">
        <v>30039016</v>
      </c>
      <c r="O3709" t="s">
        <v>20035</v>
      </c>
      <c r="P3709" t="s">
        <v>19908</v>
      </c>
      <c r="Q3709" t="s">
        <v>19900</v>
      </c>
      <c r="R3709" t="s">
        <v>20033</v>
      </c>
      <c r="S3709" t="s">
        <v>20034</v>
      </c>
      <c r="T3709" t="s">
        <v>19918</v>
      </c>
    </row>
    <row r="3710" spans="2:20" x14ac:dyDescent="0.25">
      <c r="B3710" t="s">
        <v>2709</v>
      </c>
      <c r="C3710">
        <v>30039017</v>
      </c>
      <c r="E3710">
        <v>298.8</v>
      </c>
      <c r="F3710">
        <v>7</v>
      </c>
      <c r="G3710">
        <v>0</v>
      </c>
      <c r="H3710">
        <v>9.9</v>
      </c>
      <c r="I3710">
        <v>2.1</v>
      </c>
      <c r="J3710">
        <v>0</v>
      </c>
      <c r="L3710" t="s">
        <v>2709</v>
      </c>
      <c r="M3710">
        <v>30039017</v>
      </c>
      <c r="O3710" t="s">
        <v>20035</v>
      </c>
      <c r="P3710" t="s">
        <v>19908</v>
      </c>
      <c r="Q3710" t="s">
        <v>19900</v>
      </c>
      <c r="R3710" t="s">
        <v>20033</v>
      </c>
      <c r="S3710" t="s">
        <v>20034</v>
      </c>
      <c r="T3710" t="s">
        <v>19900</v>
      </c>
    </row>
    <row r="3711" spans="2:20" x14ac:dyDescent="0.25">
      <c r="B3711" t="s">
        <v>2709</v>
      </c>
      <c r="C3711">
        <v>30039019</v>
      </c>
      <c r="E3711">
        <v>298.8</v>
      </c>
      <c r="F3711">
        <v>7</v>
      </c>
      <c r="G3711">
        <v>0</v>
      </c>
      <c r="H3711">
        <v>9.9</v>
      </c>
      <c r="I3711">
        <v>2.1</v>
      </c>
      <c r="J3711">
        <v>8</v>
      </c>
      <c r="L3711" t="s">
        <v>2709</v>
      </c>
      <c r="M3711">
        <v>30039019</v>
      </c>
      <c r="O3711" t="s">
        <v>20035</v>
      </c>
      <c r="P3711" t="s">
        <v>19908</v>
      </c>
      <c r="Q3711" t="s">
        <v>19900</v>
      </c>
      <c r="R3711" t="s">
        <v>20033</v>
      </c>
      <c r="S3711" t="s">
        <v>20034</v>
      </c>
      <c r="T3711" t="s">
        <v>19918</v>
      </c>
    </row>
    <row r="3712" spans="2:20" x14ac:dyDescent="0.25">
      <c r="B3712" t="s">
        <v>2709</v>
      </c>
      <c r="C3712">
        <v>30039021</v>
      </c>
      <c r="E3712">
        <v>298.8</v>
      </c>
      <c r="F3712">
        <v>7</v>
      </c>
      <c r="G3712">
        <v>0</v>
      </c>
      <c r="H3712">
        <v>9.9</v>
      </c>
      <c r="I3712">
        <v>2.1</v>
      </c>
      <c r="J3712">
        <v>0</v>
      </c>
      <c r="L3712" t="s">
        <v>2709</v>
      </c>
      <c r="M3712">
        <v>30039021</v>
      </c>
      <c r="O3712" t="s">
        <v>20035</v>
      </c>
      <c r="P3712" t="s">
        <v>19908</v>
      </c>
      <c r="Q3712" t="s">
        <v>19900</v>
      </c>
      <c r="R3712" t="s">
        <v>20033</v>
      </c>
      <c r="S3712" t="s">
        <v>20034</v>
      </c>
      <c r="T3712" t="s">
        <v>19900</v>
      </c>
    </row>
    <row r="3713" spans="2:20" x14ac:dyDescent="0.25">
      <c r="B3713" t="s">
        <v>2709</v>
      </c>
      <c r="C3713">
        <v>30039022</v>
      </c>
      <c r="E3713">
        <v>298.8</v>
      </c>
      <c r="F3713">
        <v>0</v>
      </c>
      <c r="G3713">
        <v>0</v>
      </c>
      <c r="H3713">
        <v>9.9</v>
      </c>
      <c r="I3713">
        <v>2.1</v>
      </c>
      <c r="J3713">
        <v>0</v>
      </c>
      <c r="L3713" t="s">
        <v>2709</v>
      </c>
      <c r="M3713">
        <v>30039022</v>
      </c>
      <c r="O3713" t="s">
        <v>20035</v>
      </c>
      <c r="P3713" t="s">
        <v>19900</v>
      </c>
      <c r="Q3713" t="s">
        <v>19900</v>
      </c>
      <c r="R3713" t="s">
        <v>20033</v>
      </c>
      <c r="S3713" t="s">
        <v>20034</v>
      </c>
      <c r="T3713" t="s">
        <v>19900</v>
      </c>
    </row>
    <row r="3714" spans="2:20" x14ac:dyDescent="0.25">
      <c r="B3714" t="s">
        <v>2709</v>
      </c>
      <c r="C3714">
        <v>30039023</v>
      </c>
      <c r="E3714">
        <v>298.8</v>
      </c>
      <c r="F3714">
        <v>7</v>
      </c>
      <c r="G3714">
        <v>0</v>
      </c>
      <c r="H3714">
        <v>9.9</v>
      </c>
      <c r="I3714">
        <v>2.1</v>
      </c>
      <c r="J3714">
        <v>0</v>
      </c>
      <c r="L3714" t="s">
        <v>2709</v>
      </c>
      <c r="M3714">
        <v>30039023</v>
      </c>
      <c r="O3714" t="s">
        <v>20035</v>
      </c>
      <c r="P3714" t="s">
        <v>19908</v>
      </c>
      <c r="Q3714" t="s">
        <v>19900</v>
      </c>
      <c r="R3714" t="s">
        <v>20033</v>
      </c>
      <c r="S3714" t="s">
        <v>20034</v>
      </c>
      <c r="T3714" t="s">
        <v>19900</v>
      </c>
    </row>
    <row r="3715" spans="2:20" x14ac:dyDescent="0.25">
      <c r="B3715" t="s">
        <v>2709</v>
      </c>
      <c r="C3715">
        <v>30039029</v>
      </c>
      <c r="E3715">
        <v>298.8</v>
      </c>
      <c r="F3715">
        <v>7</v>
      </c>
      <c r="G3715">
        <v>0</v>
      </c>
      <c r="H3715">
        <v>9.9</v>
      </c>
      <c r="I3715">
        <v>2.1</v>
      </c>
      <c r="J3715">
        <v>8</v>
      </c>
      <c r="L3715" t="s">
        <v>2709</v>
      </c>
      <c r="M3715">
        <v>30039029</v>
      </c>
      <c r="O3715" t="s">
        <v>20035</v>
      </c>
      <c r="P3715" t="s">
        <v>19908</v>
      </c>
      <c r="Q3715" t="s">
        <v>19900</v>
      </c>
      <c r="R3715" t="s">
        <v>20033</v>
      </c>
      <c r="S3715" t="s">
        <v>20034</v>
      </c>
      <c r="T3715" t="s">
        <v>19918</v>
      </c>
    </row>
    <row r="3716" spans="2:20" x14ac:dyDescent="0.25">
      <c r="B3716" t="s">
        <v>2709</v>
      </c>
      <c r="C3716">
        <v>30039031</v>
      </c>
      <c r="E3716">
        <v>298.8</v>
      </c>
      <c r="F3716">
        <v>7</v>
      </c>
      <c r="G3716">
        <v>0</v>
      </c>
      <c r="H3716">
        <v>9.9</v>
      </c>
      <c r="I3716">
        <v>2.1</v>
      </c>
      <c r="J3716">
        <v>14</v>
      </c>
      <c r="L3716" t="s">
        <v>2709</v>
      </c>
      <c r="M3716">
        <v>30039031</v>
      </c>
      <c r="O3716" t="s">
        <v>20035</v>
      </c>
      <c r="P3716" t="s">
        <v>19908</v>
      </c>
      <c r="Q3716" t="s">
        <v>19900</v>
      </c>
      <c r="R3716" t="s">
        <v>20033</v>
      </c>
      <c r="S3716" t="s">
        <v>20034</v>
      </c>
      <c r="T3716" t="s">
        <v>19911</v>
      </c>
    </row>
    <row r="3717" spans="2:20" x14ac:dyDescent="0.25">
      <c r="B3717" t="s">
        <v>2709</v>
      </c>
      <c r="C3717">
        <v>30039032</v>
      </c>
      <c r="E3717">
        <v>298.8</v>
      </c>
      <c r="F3717">
        <v>7</v>
      </c>
      <c r="G3717">
        <v>0</v>
      </c>
      <c r="H3717">
        <v>9.9</v>
      </c>
      <c r="I3717">
        <v>2.1</v>
      </c>
      <c r="J3717">
        <v>14</v>
      </c>
      <c r="L3717" t="s">
        <v>2709</v>
      </c>
      <c r="M3717">
        <v>30039032</v>
      </c>
      <c r="O3717" t="s">
        <v>20035</v>
      </c>
      <c r="P3717" t="s">
        <v>19908</v>
      </c>
      <c r="Q3717" t="s">
        <v>19900</v>
      </c>
      <c r="R3717" t="s">
        <v>20033</v>
      </c>
      <c r="S3717" t="s">
        <v>20034</v>
      </c>
      <c r="T3717" t="s">
        <v>19911</v>
      </c>
    </row>
    <row r="3718" spans="2:20" x14ac:dyDescent="0.25">
      <c r="B3718" t="s">
        <v>2709</v>
      </c>
      <c r="C3718">
        <v>30039033</v>
      </c>
      <c r="E3718">
        <v>298.8</v>
      </c>
      <c r="F3718">
        <v>7</v>
      </c>
      <c r="G3718">
        <v>0</v>
      </c>
      <c r="H3718">
        <v>9.9</v>
      </c>
      <c r="I3718">
        <v>2.1</v>
      </c>
      <c r="J3718">
        <v>14</v>
      </c>
      <c r="L3718" t="s">
        <v>2709</v>
      </c>
      <c r="M3718">
        <v>30039033</v>
      </c>
      <c r="O3718" t="s">
        <v>20035</v>
      </c>
      <c r="P3718" t="s">
        <v>19908</v>
      </c>
      <c r="Q3718" t="s">
        <v>19900</v>
      </c>
      <c r="R3718" t="s">
        <v>20033</v>
      </c>
      <c r="S3718" t="s">
        <v>20034</v>
      </c>
      <c r="T3718" t="s">
        <v>19911</v>
      </c>
    </row>
    <row r="3719" spans="2:20" x14ac:dyDescent="0.25">
      <c r="B3719" t="s">
        <v>2709</v>
      </c>
      <c r="C3719">
        <v>30039034</v>
      </c>
      <c r="E3719">
        <v>298.8</v>
      </c>
      <c r="F3719">
        <v>7</v>
      </c>
      <c r="G3719">
        <v>0</v>
      </c>
      <c r="H3719">
        <v>9.9</v>
      </c>
      <c r="I3719">
        <v>2.1</v>
      </c>
      <c r="J3719">
        <v>14</v>
      </c>
      <c r="L3719" t="s">
        <v>2709</v>
      </c>
      <c r="M3719">
        <v>30039034</v>
      </c>
      <c r="O3719" t="s">
        <v>20035</v>
      </c>
      <c r="P3719" t="s">
        <v>19908</v>
      </c>
      <c r="Q3719" t="s">
        <v>19900</v>
      </c>
      <c r="R3719" t="s">
        <v>20033</v>
      </c>
      <c r="S3719" t="s">
        <v>20034</v>
      </c>
      <c r="T3719" t="s">
        <v>19911</v>
      </c>
    </row>
    <row r="3720" spans="2:20" x14ac:dyDescent="0.25">
      <c r="B3720" t="s">
        <v>2709</v>
      </c>
      <c r="C3720">
        <v>30039035</v>
      </c>
      <c r="E3720">
        <v>298.8</v>
      </c>
      <c r="F3720">
        <v>7</v>
      </c>
      <c r="G3720">
        <v>0</v>
      </c>
      <c r="H3720">
        <v>9.9</v>
      </c>
      <c r="I3720">
        <v>2.1</v>
      </c>
      <c r="J3720">
        <v>14</v>
      </c>
      <c r="L3720" t="s">
        <v>2709</v>
      </c>
      <c r="M3720">
        <v>30039035</v>
      </c>
      <c r="O3720" t="s">
        <v>20035</v>
      </c>
      <c r="P3720" t="s">
        <v>19908</v>
      </c>
      <c r="Q3720" t="s">
        <v>19900</v>
      </c>
      <c r="R3720" t="s">
        <v>20033</v>
      </c>
      <c r="S3720" t="s">
        <v>20034</v>
      </c>
      <c r="T3720" t="s">
        <v>19911</v>
      </c>
    </row>
    <row r="3721" spans="2:20" x14ac:dyDescent="0.25">
      <c r="B3721" t="s">
        <v>2709</v>
      </c>
      <c r="C3721">
        <v>30039036</v>
      </c>
      <c r="E3721">
        <v>298.8</v>
      </c>
      <c r="F3721">
        <v>7</v>
      </c>
      <c r="G3721">
        <v>0</v>
      </c>
      <c r="H3721">
        <v>9.9</v>
      </c>
      <c r="I3721">
        <v>2.1</v>
      </c>
      <c r="J3721">
        <v>14</v>
      </c>
      <c r="L3721" t="s">
        <v>2709</v>
      </c>
      <c r="M3721">
        <v>30039036</v>
      </c>
      <c r="O3721" t="s">
        <v>20035</v>
      </c>
      <c r="P3721" t="s">
        <v>19908</v>
      </c>
      <c r="Q3721" t="s">
        <v>19900</v>
      </c>
      <c r="R3721" t="s">
        <v>20033</v>
      </c>
      <c r="S3721" t="s">
        <v>20034</v>
      </c>
      <c r="T3721" t="s">
        <v>19911</v>
      </c>
    </row>
    <row r="3722" spans="2:20" x14ac:dyDescent="0.25">
      <c r="B3722" t="s">
        <v>2709</v>
      </c>
      <c r="C3722">
        <v>30039037</v>
      </c>
      <c r="E3722">
        <v>298.8</v>
      </c>
      <c r="F3722">
        <v>7</v>
      </c>
      <c r="G3722">
        <v>0</v>
      </c>
      <c r="H3722">
        <v>9.9</v>
      </c>
      <c r="I3722">
        <v>2.1</v>
      </c>
      <c r="J3722">
        <v>14</v>
      </c>
      <c r="L3722" t="s">
        <v>2709</v>
      </c>
      <c r="M3722">
        <v>30039037</v>
      </c>
      <c r="O3722" t="s">
        <v>20035</v>
      </c>
      <c r="P3722" t="s">
        <v>19908</v>
      </c>
      <c r="Q3722" t="s">
        <v>19900</v>
      </c>
      <c r="R3722" t="s">
        <v>20033</v>
      </c>
      <c r="S3722" t="s">
        <v>20034</v>
      </c>
      <c r="T3722" t="s">
        <v>19911</v>
      </c>
    </row>
    <row r="3723" spans="2:20" x14ac:dyDescent="0.25">
      <c r="B3723" t="s">
        <v>2709</v>
      </c>
      <c r="C3723">
        <v>30039038</v>
      </c>
      <c r="E3723">
        <v>298.8</v>
      </c>
      <c r="F3723">
        <v>7</v>
      </c>
      <c r="G3723">
        <v>0</v>
      </c>
      <c r="H3723">
        <v>9.9</v>
      </c>
      <c r="I3723">
        <v>2.1</v>
      </c>
      <c r="J3723">
        <v>0</v>
      </c>
      <c r="L3723" t="s">
        <v>2709</v>
      </c>
      <c r="M3723">
        <v>30039038</v>
      </c>
      <c r="O3723" t="s">
        <v>20035</v>
      </c>
      <c r="P3723" t="s">
        <v>19908</v>
      </c>
      <c r="Q3723" t="s">
        <v>19900</v>
      </c>
      <c r="R3723" t="s">
        <v>20033</v>
      </c>
      <c r="S3723" t="s">
        <v>20034</v>
      </c>
      <c r="T3723" t="s">
        <v>19900</v>
      </c>
    </row>
    <row r="3724" spans="2:20" x14ac:dyDescent="0.25">
      <c r="B3724" t="s">
        <v>2709</v>
      </c>
      <c r="C3724">
        <v>30039039</v>
      </c>
      <c r="E3724">
        <v>298.8</v>
      </c>
      <c r="F3724">
        <v>7</v>
      </c>
      <c r="G3724">
        <v>0</v>
      </c>
      <c r="H3724">
        <v>9.9</v>
      </c>
      <c r="I3724">
        <v>2.1</v>
      </c>
      <c r="J3724">
        <v>8</v>
      </c>
      <c r="L3724" t="s">
        <v>2709</v>
      </c>
      <c r="M3724">
        <v>30039039</v>
      </c>
      <c r="O3724" t="s">
        <v>20035</v>
      </c>
      <c r="P3724" t="s">
        <v>19908</v>
      </c>
      <c r="Q3724" t="s">
        <v>19900</v>
      </c>
      <c r="R3724" t="s">
        <v>20033</v>
      </c>
      <c r="S3724" t="s">
        <v>20034</v>
      </c>
      <c r="T3724" t="s">
        <v>19918</v>
      </c>
    </row>
    <row r="3725" spans="2:20" x14ac:dyDescent="0.25">
      <c r="B3725" t="s">
        <v>2709</v>
      </c>
      <c r="C3725">
        <v>30039041</v>
      </c>
      <c r="E3725">
        <v>298.8</v>
      </c>
      <c r="F3725">
        <v>7</v>
      </c>
      <c r="G3725">
        <v>0</v>
      </c>
      <c r="H3725">
        <v>9.9</v>
      </c>
      <c r="I3725">
        <v>2.1</v>
      </c>
      <c r="J3725">
        <v>14</v>
      </c>
      <c r="L3725" t="s">
        <v>2709</v>
      </c>
      <c r="M3725">
        <v>30039041</v>
      </c>
      <c r="O3725" t="s">
        <v>20035</v>
      </c>
      <c r="P3725" t="s">
        <v>19908</v>
      </c>
      <c r="Q3725" t="s">
        <v>19900</v>
      </c>
      <c r="R3725" t="s">
        <v>20033</v>
      </c>
      <c r="S3725" t="s">
        <v>20034</v>
      </c>
      <c r="T3725" t="s">
        <v>19911</v>
      </c>
    </row>
    <row r="3726" spans="2:20" x14ac:dyDescent="0.25">
      <c r="B3726" t="s">
        <v>2709</v>
      </c>
      <c r="C3726">
        <v>30039042</v>
      </c>
      <c r="E3726">
        <v>298.8</v>
      </c>
      <c r="F3726">
        <v>7</v>
      </c>
      <c r="G3726">
        <v>0</v>
      </c>
      <c r="H3726">
        <v>9.9</v>
      </c>
      <c r="I3726">
        <v>2.1</v>
      </c>
      <c r="J3726">
        <v>14</v>
      </c>
      <c r="L3726" t="s">
        <v>2709</v>
      </c>
      <c r="M3726">
        <v>30039042</v>
      </c>
      <c r="O3726" t="s">
        <v>20035</v>
      </c>
      <c r="P3726" t="s">
        <v>19908</v>
      </c>
      <c r="Q3726" t="s">
        <v>19900</v>
      </c>
      <c r="R3726" t="s">
        <v>20033</v>
      </c>
      <c r="S3726" t="s">
        <v>20034</v>
      </c>
      <c r="T3726" t="s">
        <v>19911</v>
      </c>
    </row>
    <row r="3727" spans="2:20" x14ac:dyDescent="0.25">
      <c r="B3727" t="s">
        <v>2709</v>
      </c>
      <c r="C3727">
        <v>30039043</v>
      </c>
      <c r="E3727">
        <v>298.8</v>
      </c>
      <c r="F3727">
        <v>7</v>
      </c>
      <c r="G3727">
        <v>0</v>
      </c>
      <c r="H3727">
        <v>9.9</v>
      </c>
      <c r="I3727">
        <v>2.1</v>
      </c>
      <c r="J3727">
        <v>14</v>
      </c>
      <c r="L3727" t="s">
        <v>2709</v>
      </c>
      <c r="M3727">
        <v>30039043</v>
      </c>
      <c r="O3727" t="s">
        <v>20035</v>
      </c>
      <c r="P3727" t="s">
        <v>19908</v>
      </c>
      <c r="Q3727" t="s">
        <v>19900</v>
      </c>
      <c r="R3727" t="s">
        <v>20033</v>
      </c>
      <c r="S3727" t="s">
        <v>20034</v>
      </c>
      <c r="T3727" t="s">
        <v>19911</v>
      </c>
    </row>
    <row r="3728" spans="2:20" x14ac:dyDescent="0.25">
      <c r="B3728" t="s">
        <v>2709</v>
      </c>
      <c r="C3728">
        <v>30039044</v>
      </c>
      <c r="E3728">
        <v>298.8</v>
      </c>
      <c r="F3728">
        <v>7</v>
      </c>
      <c r="G3728">
        <v>0</v>
      </c>
      <c r="H3728">
        <v>9.9</v>
      </c>
      <c r="I3728">
        <v>2.1</v>
      </c>
      <c r="J3728">
        <v>14</v>
      </c>
      <c r="L3728" t="s">
        <v>2709</v>
      </c>
      <c r="M3728">
        <v>30039044</v>
      </c>
      <c r="O3728" t="s">
        <v>20035</v>
      </c>
      <c r="P3728" t="s">
        <v>19908</v>
      </c>
      <c r="Q3728" t="s">
        <v>19900</v>
      </c>
      <c r="R3728" t="s">
        <v>20033</v>
      </c>
      <c r="S3728" t="s">
        <v>20034</v>
      </c>
      <c r="T3728" t="s">
        <v>19911</v>
      </c>
    </row>
    <row r="3729" spans="2:20" x14ac:dyDescent="0.25">
      <c r="B3729" t="s">
        <v>2709</v>
      </c>
      <c r="C3729">
        <v>30039045</v>
      </c>
      <c r="E3729">
        <v>298.8</v>
      </c>
      <c r="F3729">
        <v>7</v>
      </c>
      <c r="G3729">
        <v>0</v>
      </c>
      <c r="H3729">
        <v>9.9</v>
      </c>
      <c r="I3729">
        <v>2.1</v>
      </c>
      <c r="J3729">
        <v>14</v>
      </c>
      <c r="L3729" t="s">
        <v>2709</v>
      </c>
      <c r="M3729">
        <v>30039045</v>
      </c>
      <c r="O3729" t="s">
        <v>20035</v>
      </c>
      <c r="P3729" t="s">
        <v>19908</v>
      </c>
      <c r="Q3729" t="s">
        <v>19900</v>
      </c>
      <c r="R3729" t="s">
        <v>20033</v>
      </c>
      <c r="S3729" t="s">
        <v>20034</v>
      </c>
      <c r="T3729" t="s">
        <v>19911</v>
      </c>
    </row>
    <row r="3730" spans="2:20" x14ac:dyDescent="0.25">
      <c r="B3730" t="s">
        <v>2709</v>
      </c>
      <c r="C3730">
        <v>30039046</v>
      </c>
      <c r="E3730">
        <v>298.8</v>
      </c>
      <c r="F3730">
        <v>7</v>
      </c>
      <c r="G3730">
        <v>0</v>
      </c>
      <c r="H3730">
        <v>9.9</v>
      </c>
      <c r="I3730">
        <v>2.1</v>
      </c>
      <c r="J3730">
        <v>14</v>
      </c>
      <c r="L3730" t="s">
        <v>2709</v>
      </c>
      <c r="M3730">
        <v>30039046</v>
      </c>
      <c r="O3730" t="s">
        <v>20035</v>
      </c>
      <c r="P3730" t="s">
        <v>19908</v>
      </c>
      <c r="Q3730" t="s">
        <v>19900</v>
      </c>
      <c r="R3730" t="s">
        <v>20033</v>
      </c>
      <c r="S3730" t="s">
        <v>20034</v>
      </c>
      <c r="T3730" t="s">
        <v>19911</v>
      </c>
    </row>
    <row r="3731" spans="2:20" x14ac:dyDescent="0.25">
      <c r="B3731" t="s">
        <v>2709</v>
      </c>
      <c r="C3731">
        <v>30039047</v>
      </c>
      <c r="E3731">
        <v>298.8</v>
      </c>
      <c r="F3731">
        <v>7</v>
      </c>
      <c r="G3731">
        <v>0</v>
      </c>
      <c r="H3731">
        <v>9.9</v>
      </c>
      <c r="I3731">
        <v>2.1</v>
      </c>
      <c r="J3731">
        <v>14</v>
      </c>
      <c r="L3731" t="s">
        <v>2709</v>
      </c>
      <c r="M3731">
        <v>30039047</v>
      </c>
      <c r="O3731" t="s">
        <v>20035</v>
      </c>
      <c r="P3731" t="s">
        <v>19908</v>
      </c>
      <c r="Q3731" t="s">
        <v>19900</v>
      </c>
      <c r="R3731" t="s">
        <v>20033</v>
      </c>
      <c r="S3731" t="s">
        <v>20034</v>
      </c>
      <c r="T3731" t="s">
        <v>19911</v>
      </c>
    </row>
    <row r="3732" spans="2:20" x14ac:dyDescent="0.25">
      <c r="B3732" t="s">
        <v>2709</v>
      </c>
      <c r="C3732">
        <v>30039048</v>
      </c>
      <c r="E3732">
        <v>298.8</v>
      </c>
      <c r="F3732">
        <v>0</v>
      </c>
      <c r="G3732">
        <v>0</v>
      </c>
      <c r="H3732">
        <v>9.9</v>
      </c>
      <c r="I3732">
        <v>2.1</v>
      </c>
      <c r="J3732">
        <v>0</v>
      </c>
      <c r="L3732" t="s">
        <v>2709</v>
      </c>
      <c r="M3732">
        <v>30039048</v>
      </c>
      <c r="O3732" t="s">
        <v>20035</v>
      </c>
      <c r="P3732" t="s">
        <v>19900</v>
      </c>
      <c r="Q3732" t="s">
        <v>19900</v>
      </c>
      <c r="R3732" t="s">
        <v>20033</v>
      </c>
      <c r="S3732" t="s">
        <v>20034</v>
      </c>
      <c r="T3732" t="s">
        <v>19900</v>
      </c>
    </row>
    <row r="3733" spans="2:20" x14ac:dyDescent="0.25">
      <c r="B3733" t="s">
        <v>2709</v>
      </c>
      <c r="C3733">
        <v>30039049</v>
      </c>
      <c r="E3733">
        <v>298.8</v>
      </c>
      <c r="F3733">
        <v>0</v>
      </c>
      <c r="G3733">
        <v>0</v>
      </c>
      <c r="H3733">
        <v>9.9</v>
      </c>
      <c r="I3733">
        <v>2.1</v>
      </c>
      <c r="J3733">
        <v>8</v>
      </c>
      <c r="L3733" t="s">
        <v>2709</v>
      </c>
      <c r="M3733">
        <v>30039049</v>
      </c>
      <c r="O3733" t="s">
        <v>20035</v>
      </c>
      <c r="P3733" t="s">
        <v>19900</v>
      </c>
      <c r="Q3733" t="s">
        <v>19900</v>
      </c>
      <c r="R3733" t="s">
        <v>20033</v>
      </c>
      <c r="S3733" t="s">
        <v>20034</v>
      </c>
      <c r="T3733" t="s">
        <v>19918</v>
      </c>
    </row>
    <row r="3734" spans="2:20" x14ac:dyDescent="0.25">
      <c r="B3734" t="s">
        <v>2709</v>
      </c>
      <c r="C3734">
        <v>30039051</v>
      </c>
      <c r="E3734">
        <v>298.8</v>
      </c>
      <c r="F3734">
        <v>7</v>
      </c>
      <c r="G3734">
        <v>0</v>
      </c>
      <c r="H3734">
        <v>9.9</v>
      </c>
      <c r="I3734">
        <v>2.1</v>
      </c>
      <c r="J3734">
        <v>14</v>
      </c>
      <c r="L3734" t="s">
        <v>2709</v>
      </c>
      <c r="M3734">
        <v>30039051</v>
      </c>
      <c r="O3734" t="s">
        <v>20035</v>
      </c>
      <c r="P3734" t="s">
        <v>19908</v>
      </c>
      <c r="Q3734" t="s">
        <v>19900</v>
      </c>
      <c r="R3734" t="s">
        <v>20033</v>
      </c>
      <c r="S3734" t="s">
        <v>20034</v>
      </c>
      <c r="T3734" t="s">
        <v>19911</v>
      </c>
    </row>
    <row r="3735" spans="2:20" x14ac:dyDescent="0.25">
      <c r="B3735" t="s">
        <v>2709</v>
      </c>
      <c r="C3735">
        <v>30039052</v>
      </c>
      <c r="E3735">
        <v>298.8</v>
      </c>
      <c r="F3735">
        <v>7</v>
      </c>
      <c r="G3735">
        <v>0</v>
      </c>
      <c r="H3735">
        <v>9.9</v>
      </c>
      <c r="I3735">
        <v>2.1</v>
      </c>
      <c r="J3735">
        <v>14</v>
      </c>
      <c r="L3735" t="s">
        <v>2709</v>
      </c>
      <c r="M3735">
        <v>30039052</v>
      </c>
      <c r="O3735" t="s">
        <v>20035</v>
      </c>
      <c r="P3735" t="s">
        <v>19908</v>
      </c>
      <c r="Q3735" t="s">
        <v>19900</v>
      </c>
      <c r="R3735" t="s">
        <v>20033</v>
      </c>
      <c r="S3735" t="s">
        <v>20034</v>
      </c>
      <c r="T3735" t="s">
        <v>19911</v>
      </c>
    </row>
    <row r="3736" spans="2:20" x14ac:dyDescent="0.25">
      <c r="B3736" t="s">
        <v>2709</v>
      </c>
      <c r="C3736">
        <v>30039053</v>
      </c>
      <c r="E3736">
        <v>298.8</v>
      </c>
      <c r="F3736">
        <v>7</v>
      </c>
      <c r="G3736">
        <v>0</v>
      </c>
      <c r="H3736">
        <v>9.9</v>
      </c>
      <c r="I3736">
        <v>2.1</v>
      </c>
      <c r="J3736">
        <v>14</v>
      </c>
      <c r="L3736" t="s">
        <v>2709</v>
      </c>
      <c r="M3736">
        <v>30039053</v>
      </c>
      <c r="O3736" t="s">
        <v>20035</v>
      </c>
      <c r="P3736" t="s">
        <v>19908</v>
      </c>
      <c r="Q3736" t="s">
        <v>19900</v>
      </c>
      <c r="R3736" t="s">
        <v>20033</v>
      </c>
      <c r="S3736" t="s">
        <v>20034</v>
      </c>
      <c r="T3736" t="s">
        <v>19911</v>
      </c>
    </row>
    <row r="3737" spans="2:20" x14ac:dyDescent="0.25">
      <c r="B3737" t="s">
        <v>2709</v>
      </c>
      <c r="C3737">
        <v>30039054</v>
      </c>
      <c r="E3737">
        <v>298.8</v>
      </c>
      <c r="F3737">
        <v>7</v>
      </c>
      <c r="G3737">
        <v>0</v>
      </c>
      <c r="H3737">
        <v>9.9</v>
      </c>
      <c r="I3737">
        <v>2.1</v>
      </c>
      <c r="J3737">
        <v>14</v>
      </c>
      <c r="L3737" t="s">
        <v>2709</v>
      </c>
      <c r="M3737">
        <v>30039054</v>
      </c>
      <c r="O3737" t="s">
        <v>20035</v>
      </c>
      <c r="P3737" t="s">
        <v>19908</v>
      </c>
      <c r="Q3737" t="s">
        <v>19900</v>
      </c>
      <c r="R3737" t="s">
        <v>20033</v>
      </c>
      <c r="S3737" t="s">
        <v>20034</v>
      </c>
      <c r="T3737" t="s">
        <v>19911</v>
      </c>
    </row>
    <row r="3738" spans="2:20" x14ac:dyDescent="0.25">
      <c r="B3738" t="s">
        <v>2709</v>
      </c>
      <c r="C3738">
        <v>30039055</v>
      </c>
      <c r="E3738">
        <v>298.8</v>
      </c>
      <c r="F3738">
        <v>7</v>
      </c>
      <c r="G3738">
        <v>0</v>
      </c>
      <c r="H3738">
        <v>9.9</v>
      </c>
      <c r="I3738">
        <v>2.1</v>
      </c>
      <c r="J3738">
        <v>14</v>
      </c>
      <c r="L3738" t="s">
        <v>2709</v>
      </c>
      <c r="M3738">
        <v>30039055</v>
      </c>
      <c r="O3738" t="s">
        <v>20035</v>
      </c>
      <c r="P3738" t="s">
        <v>19908</v>
      </c>
      <c r="Q3738" t="s">
        <v>19900</v>
      </c>
      <c r="R3738" t="s">
        <v>20033</v>
      </c>
      <c r="S3738" t="s">
        <v>20034</v>
      </c>
      <c r="T3738" t="s">
        <v>19911</v>
      </c>
    </row>
    <row r="3739" spans="2:20" x14ac:dyDescent="0.25">
      <c r="B3739" t="s">
        <v>2709</v>
      </c>
      <c r="C3739">
        <v>30039056</v>
      </c>
      <c r="E3739">
        <v>298.8</v>
      </c>
      <c r="F3739">
        <v>7</v>
      </c>
      <c r="G3739">
        <v>0</v>
      </c>
      <c r="H3739">
        <v>9.9</v>
      </c>
      <c r="I3739">
        <v>2.1</v>
      </c>
      <c r="J3739">
        <v>14</v>
      </c>
      <c r="L3739" t="s">
        <v>2709</v>
      </c>
      <c r="M3739">
        <v>30039056</v>
      </c>
      <c r="O3739" t="s">
        <v>20035</v>
      </c>
      <c r="P3739" t="s">
        <v>19908</v>
      </c>
      <c r="Q3739" t="s">
        <v>19900</v>
      </c>
      <c r="R3739" t="s">
        <v>20033</v>
      </c>
      <c r="S3739" t="s">
        <v>20034</v>
      </c>
      <c r="T3739" t="s">
        <v>19911</v>
      </c>
    </row>
    <row r="3740" spans="2:20" x14ac:dyDescent="0.25">
      <c r="B3740" t="s">
        <v>2709</v>
      </c>
      <c r="C3740">
        <v>30039057</v>
      </c>
      <c r="E3740">
        <v>298.8</v>
      </c>
      <c r="F3740">
        <v>7</v>
      </c>
      <c r="G3740">
        <v>0</v>
      </c>
      <c r="H3740">
        <v>9.9</v>
      </c>
      <c r="I3740">
        <v>2.1</v>
      </c>
      <c r="J3740">
        <v>14</v>
      </c>
      <c r="L3740" t="s">
        <v>2709</v>
      </c>
      <c r="M3740">
        <v>30039057</v>
      </c>
      <c r="O3740" t="s">
        <v>20035</v>
      </c>
      <c r="P3740" t="s">
        <v>19908</v>
      </c>
      <c r="Q3740" t="s">
        <v>19900</v>
      </c>
      <c r="R3740" t="s">
        <v>20033</v>
      </c>
      <c r="S3740" t="s">
        <v>20034</v>
      </c>
      <c r="T3740" t="s">
        <v>19911</v>
      </c>
    </row>
    <row r="3741" spans="2:20" x14ac:dyDescent="0.25">
      <c r="B3741" t="s">
        <v>2709</v>
      </c>
      <c r="C3741">
        <v>30039058</v>
      </c>
      <c r="E3741">
        <v>298.8</v>
      </c>
      <c r="F3741">
        <v>0</v>
      </c>
      <c r="G3741">
        <v>0</v>
      </c>
      <c r="H3741">
        <v>9.9</v>
      </c>
      <c r="I3741">
        <v>2.1</v>
      </c>
      <c r="J3741">
        <v>0</v>
      </c>
      <c r="L3741" t="s">
        <v>2709</v>
      </c>
      <c r="M3741">
        <v>30039058</v>
      </c>
      <c r="O3741" t="s">
        <v>20035</v>
      </c>
      <c r="P3741" t="s">
        <v>19900</v>
      </c>
      <c r="Q3741" t="s">
        <v>19900</v>
      </c>
      <c r="R3741" t="s">
        <v>20033</v>
      </c>
      <c r="S3741" t="s">
        <v>20034</v>
      </c>
      <c r="T3741" t="s">
        <v>19900</v>
      </c>
    </row>
    <row r="3742" spans="2:20" x14ac:dyDescent="0.25">
      <c r="B3742" t="s">
        <v>2709</v>
      </c>
      <c r="C3742">
        <v>30039059</v>
      </c>
      <c r="E3742">
        <v>298.8</v>
      </c>
      <c r="F3742">
        <v>7</v>
      </c>
      <c r="G3742">
        <v>0</v>
      </c>
      <c r="H3742">
        <v>9.9</v>
      </c>
      <c r="I3742">
        <v>2.1</v>
      </c>
      <c r="J3742">
        <v>8</v>
      </c>
      <c r="L3742" t="s">
        <v>2709</v>
      </c>
      <c r="M3742">
        <v>30039059</v>
      </c>
      <c r="O3742" t="s">
        <v>20035</v>
      </c>
      <c r="P3742" t="s">
        <v>19908</v>
      </c>
      <c r="Q3742" t="s">
        <v>19900</v>
      </c>
      <c r="R3742" t="s">
        <v>20033</v>
      </c>
      <c r="S3742" t="s">
        <v>20034</v>
      </c>
      <c r="T3742" t="s">
        <v>19918</v>
      </c>
    </row>
    <row r="3743" spans="2:20" x14ac:dyDescent="0.25">
      <c r="B3743" t="s">
        <v>2709</v>
      </c>
      <c r="C3743">
        <v>30039061</v>
      </c>
      <c r="E3743">
        <v>298.8</v>
      </c>
      <c r="F3743">
        <v>7</v>
      </c>
      <c r="G3743">
        <v>0</v>
      </c>
      <c r="H3743">
        <v>9.9</v>
      </c>
      <c r="I3743">
        <v>2.1</v>
      </c>
      <c r="J3743">
        <v>14</v>
      </c>
      <c r="L3743" t="s">
        <v>2709</v>
      </c>
      <c r="M3743">
        <v>30039061</v>
      </c>
      <c r="O3743" t="s">
        <v>20035</v>
      </c>
      <c r="P3743" t="s">
        <v>19908</v>
      </c>
      <c r="Q3743" t="s">
        <v>19900</v>
      </c>
      <c r="R3743" t="s">
        <v>20033</v>
      </c>
      <c r="S3743" t="s">
        <v>20034</v>
      </c>
      <c r="T3743" t="s">
        <v>19911</v>
      </c>
    </row>
    <row r="3744" spans="2:20" x14ac:dyDescent="0.25">
      <c r="B3744" t="s">
        <v>2709</v>
      </c>
      <c r="C3744">
        <v>30039062</v>
      </c>
      <c r="E3744">
        <v>298.8</v>
      </c>
      <c r="F3744">
        <v>7</v>
      </c>
      <c r="G3744">
        <v>0</v>
      </c>
      <c r="H3744">
        <v>9.9</v>
      </c>
      <c r="I3744">
        <v>2.1</v>
      </c>
      <c r="J3744">
        <v>8</v>
      </c>
      <c r="L3744" t="s">
        <v>2709</v>
      </c>
      <c r="M3744">
        <v>30039062</v>
      </c>
      <c r="O3744" t="s">
        <v>20035</v>
      </c>
      <c r="P3744" t="s">
        <v>19908</v>
      </c>
      <c r="Q3744" t="s">
        <v>19900</v>
      </c>
      <c r="R3744" t="s">
        <v>20033</v>
      </c>
      <c r="S3744" t="s">
        <v>20034</v>
      </c>
      <c r="T3744" t="s">
        <v>19918</v>
      </c>
    </row>
    <row r="3745" spans="2:20" x14ac:dyDescent="0.25">
      <c r="B3745" t="s">
        <v>2709</v>
      </c>
      <c r="C3745">
        <v>30039063</v>
      </c>
      <c r="E3745">
        <v>298.8</v>
      </c>
      <c r="F3745">
        <v>7</v>
      </c>
      <c r="G3745">
        <v>0</v>
      </c>
      <c r="H3745">
        <v>9.9</v>
      </c>
      <c r="I3745">
        <v>2.1</v>
      </c>
      <c r="J3745">
        <v>14</v>
      </c>
      <c r="L3745" t="s">
        <v>2709</v>
      </c>
      <c r="M3745">
        <v>30039063</v>
      </c>
      <c r="O3745" t="s">
        <v>20035</v>
      </c>
      <c r="P3745" t="s">
        <v>19908</v>
      </c>
      <c r="Q3745" t="s">
        <v>19900</v>
      </c>
      <c r="R3745" t="s">
        <v>20033</v>
      </c>
      <c r="S3745" t="s">
        <v>20034</v>
      </c>
      <c r="T3745" t="s">
        <v>19911</v>
      </c>
    </row>
    <row r="3746" spans="2:20" x14ac:dyDescent="0.25">
      <c r="B3746" t="s">
        <v>2709</v>
      </c>
      <c r="C3746">
        <v>30039064</v>
      </c>
      <c r="E3746">
        <v>298.8</v>
      </c>
      <c r="F3746">
        <v>7</v>
      </c>
      <c r="G3746">
        <v>0</v>
      </c>
      <c r="H3746">
        <v>9.9</v>
      </c>
      <c r="I3746">
        <v>2.1</v>
      </c>
      <c r="J3746">
        <v>14</v>
      </c>
      <c r="L3746" t="s">
        <v>2709</v>
      </c>
      <c r="M3746">
        <v>30039064</v>
      </c>
      <c r="O3746" t="s">
        <v>20035</v>
      </c>
      <c r="P3746" t="s">
        <v>19908</v>
      </c>
      <c r="Q3746" t="s">
        <v>19900</v>
      </c>
      <c r="R3746" t="s">
        <v>20033</v>
      </c>
      <c r="S3746" t="s">
        <v>20034</v>
      </c>
      <c r="T3746" t="s">
        <v>19911</v>
      </c>
    </row>
    <row r="3747" spans="2:20" x14ac:dyDescent="0.25">
      <c r="B3747" t="s">
        <v>2709</v>
      </c>
      <c r="C3747">
        <v>30039065</v>
      </c>
      <c r="E3747">
        <v>298.8</v>
      </c>
      <c r="F3747">
        <v>7</v>
      </c>
      <c r="G3747">
        <v>0</v>
      </c>
      <c r="H3747">
        <v>9.9</v>
      </c>
      <c r="I3747">
        <v>2.1</v>
      </c>
      <c r="J3747">
        <v>14</v>
      </c>
      <c r="L3747" t="s">
        <v>2709</v>
      </c>
      <c r="M3747">
        <v>30039065</v>
      </c>
      <c r="O3747" t="s">
        <v>20035</v>
      </c>
      <c r="P3747" t="s">
        <v>19908</v>
      </c>
      <c r="Q3747" t="s">
        <v>19900</v>
      </c>
      <c r="R3747" t="s">
        <v>20033</v>
      </c>
      <c r="S3747" t="s">
        <v>20034</v>
      </c>
      <c r="T3747" t="s">
        <v>19911</v>
      </c>
    </row>
    <row r="3748" spans="2:20" x14ac:dyDescent="0.25">
      <c r="B3748" t="s">
        <v>2709</v>
      </c>
      <c r="C3748">
        <v>30039066</v>
      </c>
      <c r="E3748">
        <v>298.8</v>
      </c>
      <c r="F3748">
        <v>7</v>
      </c>
      <c r="G3748">
        <v>0</v>
      </c>
      <c r="H3748">
        <v>9.9</v>
      </c>
      <c r="I3748">
        <v>2.1</v>
      </c>
      <c r="J3748">
        <v>0</v>
      </c>
      <c r="L3748" t="s">
        <v>2709</v>
      </c>
      <c r="M3748">
        <v>30039066</v>
      </c>
      <c r="O3748" t="s">
        <v>20035</v>
      </c>
      <c r="P3748" t="s">
        <v>19908</v>
      </c>
      <c r="Q3748" t="s">
        <v>19900</v>
      </c>
      <c r="R3748" t="s">
        <v>20033</v>
      </c>
      <c r="S3748" t="s">
        <v>20034</v>
      </c>
      <c r="T3748" t="s">
        <v>19900</v>
      </c>
    </row>
    <row r="3749" spans="2:20" x14ac:dyDescent="0.25">
      <c r="B3749" t="s">
        <v>2709</v>
      </c>
      <c r="C3749">
        <v>30039067</v>
      </c>
      <c r="E3749">
        <v>298.8</v>
      </c>
      <c r="F3749">
        <v>7</v>
      </c>
      <c r="G3749">
        <v>0</v>
      </c>
      <c r="H3749">
        <v>9.9</v>
      </c>
      <c r="I3749">
        <v>2.1</v>
      </c>
      <c r="J3749">
        <v>14</v>
      </c>
      <c r="L3749" t="s">
        <v>2709</v>
      </c>
      <c r="M3749">
        <v>30039067</v>
      </c>
      <c r="O3749" t="s">
        <v>20035</v>
      </c>
      <c r="P3749" t="s">
        <v>19908</v>
      </c>
      <c r="Q3749" t="s">
        <v>19900</v>
      </c>
      <c r="R3749" t="s">
        <v>20033</v>
      </c>
      <c r="S3749" t="s">
        <v>20034</v>
      </c>
      <c r="T3749" t="s">
        <v>19911</v>
      </c>
    </row>
    <row r="3750" spans="2:20" x14ac:dyDescent="0.25">
      <c r="B3750" t="s">
        <v>2709</v>
      </c>
      <c r="C3750">
        <v>30039069</v>
      </c>
      <c r="E3750">
        <v>298.8</v>
      </c>
      <c r="F3750">
        <v>0</v>
      </c>
      <c r="G3750">
        <v>0</v>
      </c>
      <c r="H3750">
        <v>9.9</v>
      </c>
      <c r="I3750">
        <v>2.1</v>
      </c>
      <c r="J3750">
        <v>8</v>
      </c>
      <c r="L3750" t="s">
        <v>2709</v>
      </c>
      <c r="M3750">
        <v>30039069</v>
      </c>
      <c r="O3750" t="s">
        <v>20035</v>
      </c>
      <c r="P3750" t="s">
        <v>19900</v>
      </c>
      <c r="Q3750" t="s">
        <v>19900</v>
      </c>
      <c r="R3750" t="s">
        <v>20033</v>
      </c>
      <c r="S3750" t="s">
        <v>20034</v>
      </c>
      <c r="T3750" t="s">
        <v>19918</v>
      </c>
    </row>
    <row r="3751" spans="2:20" x14ac:dyDescent="0.25">
      <c r="B3751" t="s">
        <v>2709</v>
      </c>
      <c r="C3751">
        <v>30039071</v>
      </c>
      <c r="E3751">
        <v>298.8</v>
      </c>
      <c r="F3751">
        <v>7</v>
      </c>
      <c r="G3751">
        <v>0</v>
      </c>
      <c r="H3751">
        <v>9.9</v>
      </c>
      <c r="I3751">
        <v>2.1</v>
      </c>
      <c r="J3751">
        <v>14</v>
      </c>
      <c r="L3751" t="s">
        <v>2709</v>
      </c>
      <c r="M3751">
        <v>30039071</v>
      </c>
      <c r="O3751" t="s">
        <v>20035</v>
      </c>
      <c r="P3751" t="s">
        <v>19908</v>
      </c>
      <c r="Q3751" t="s">
        <v>19900</v>
      </c>
      <c r="R3751" t="s">
        <v>20033</v>
      </c>
      <c r="S3751" t="s">
        <v>20034</v>
      </c>
      <c r="T3751" t="s">
        <v>19911</v>
      </c>
    </row>
    <row r="3752" spans="2:20" x14ac:dyDescent="0.25">
      <c r="B3752" t="s">
        <v>2709</v>
      </c>
      <c r="C3752">
        <v>30039072</v>
      </c>
      <c r="E3752">
        <v>298.8</v>
      </c>
      <c r="F3752">
        <v>7</v>
      </c>
      <c r="G3752">
        <v>0</v>
      </c>
      <c r="H3752">
        <v>9.9</v>
      </c>
      <c r="I3752">
        <v>2.1</v>
      </c>
      <c r="J3752">
        <v>14</v>
      </c>
      <c r="L3752" t="s">
        <v>2709</v>
      </c>
      <c r="M3752">
        <v>30039072</v>
      </c>
      <c r="O3752" t="s">
        <v>20035</v>
      </c>
      <c r="P3752" t="s">
        <v>19908</v>
      </c>
      <c r="Q3752" t="s">
        <v>19900</v>
      </c>
      <c r="R3752" t="s">
        <v>20033</v>
      </c>
      <c r="S3752" t="s">
        <v>20034</v>
      </c>
      <c r="T3752" t="s">
        <v>19911</v>
      </c>
    </row>
    <row r="3753" spans="2:20" x14ac:dyDescent="0.25">
      <c r="B3753" t="s">
        <v>2709</v>
      </c>
      <c r="C3753">
        <v>30039073</v>
      </c>
      <c r="E3753">
        <v>298.8</v>
      </c>
      <c r="F3753">
        <v>7</v>
      </c>
      <c r="G3753">
        <v>0</v>
      </c>
      <c r="H3753">
        <v>9.9</v>
      </c>
      <c r="I3753">
        <v>2.1</v>
      </c>
      <c r="J3753">
        <v>14</v>
      </c>
      <c r="L3753" t="s">
        <v>2709</v>
      </c>
      <c r="M3753">
        <v>30039073</v>
      </c>
      <c r="O3753" t="s">
        <v>20035</v>
      </c>
      <c r="P3753" t="s">
        <v>19908</v>
      </c>
      <c r="Q3753" t="s">
        <v>19900</v>
      </c>
      <c r="R3753" t="s">
        <v>20033</v>
      </c>
      <c r="S3753" t="s">
        <v>20034</v>
      </c>
      <c r="T3753" t="s">
        <v>19911</v>
      </c>
    </row>
    <row r="3754" spans="2:20" x14ac:dyDescent="0.25">
      <c r="B3754" t="s">
        <v>2709</v>
      </c>
      <c r="C3754">
        <v>30039074</v>
      </c>
      <c r="E3754">
        <v>298.8</v>
      </c>
      <c r="F3754">
        <v>7</v>
      </c>
      <c r="G3754">
        <v>0</v>
      </c>
      <c r="H3754">
        <v>9.9</v>
      </c>
      <c r="I3754">
        <v>2.1</v>
      </c>
      <c r="J3754">
        <v>14</v>
      </c>
      <c r="L3754" t="s">
        <v>2709</v>
      </c>
      <c r="M3754">
        <v>30039074</v>
      </c>
      <c r="O3754" t="s">
        <v>20035</v>
      </c>
      <c r="P3754" t="s">
        <v>19908</v>
      </c>
      <c r="Q3754" t="s">
        <v>19900</v>
      </c>
      <c r="R3754" t="s">
        <v>20033</v>
      </c>
      <c r="S3754" t="s">
        <v>20034</v>
      </c>
      <c r="T3754" t="s">
        <v>19911</v>
      </c>
    </row>
    <row r="3755" spans="2:20" x14ac:dyDescent="0.25">
      <c r="B3755" t="s">
        <v>2709</v>
      </c>
      <c r="C3755">
        <v>30039075</v>
      </c>
      <c r="E3755">
        <v>298.8</v>
      </c>
      <c r="F3755">
        <v>7</v>
      </c>
      <c r="G3755">
        <v>0</v>
      </c>
      <c r="H3755">
        <v>9.9</v>
      </c>
      <c r="I3755">
        <v>2.1</v>
      </c>
      <c r="J3755">
        <v>14</v>
      </c>
      <c r="L3755" t="s">
        <v>2709</v>
      </c>
      <c r="M3755">
        <v>30039075</v>
      </c>
      <c r="O3755" t="s">
        <v>20035</v>
      </c>
      <c r="P3755" t="s">
        <v>19908</v>
      </c>
      <c r="Q3755" t="s">
        <v>19900</v>
      </c>
      <c r="R3755" t="s">
        <v>20033</v>
      </c>
      <c r="S3755" t="s">
        <v>20034</v>
      </c>
      <c r="T3755" t="s">
        <v>19911</v>
      </c>
    </row>
    <row r="3756" spans="2:20" x14ac:dyDescent="0.25">
      <c r="B3756" t="s">
        <v>2709</v>
      </c>
      <c r="C3756">
        <v>30039076</v>
      </c>
      <c r="E3756">
        <v>298.8</v>
      </c>
      <c r="F3756">
        <v>0</v>
      </c>
      <c r="G3756">
        <v>0</v>
      </c>
      <c r="H3756">
        <v>9.9</v>
      </c>
      <c r="I3756">
        <v>2.1</v>
      </c>
      <c r="J3756">
        <v>14</v>
      </c>
      <c r="L3756" t="s">
        <v>2709</v>
      </c>
      <c r="M3756">
        <v>30039076</v>
      </c>
      <c r="O3756" t="s">
        <v>20035</v>
      </c>
      <c r="P3756" t="s">
        <v>19900</v>
      </c>
      <c r="Q3756" t="s">
        <v>19900</v>
      </c>
      <c r="R3756" t="s">
        <v>20033</v>
      </c>
      <c r="S3756" t="s">
        <v>20034</v>
      </c>
      <c r="T3756" t="s">
        <v>19911</v>
      </c>
    </row>
    <row r="3757" spans="2:20" x14ac:dyDescent="0.25">
      <c r="B3757" t="s">
        <v>2709</v>
      </c>
      <c r="C3757">
        <v>30039077</v>
      </c>
      <c r="E3757">
        <v>298.8</v>
      </c>
      <c r="F3757">
        <v>7</v>
      </c>
      <c r="G3757">
        <v>0</v>
      </c>
      <c r="H3757">
        <v>9.9</v>
      </c>
      <c r="I3757">
        <v>2.1</v>
      </c>
      <c r="J3757">
        <v>14</v>
      </c>
      <c r="L3757" t="s">
        <v>2709</v>
      </c>
      <c r="M3757">
        <v>30039077</v>
      </c>
      <c r="O3757" t="s">
        <v>20035</v>
      </c>
      <c r="P3757" t="s">
        <v>19908</v>
      </c>
      <c r="Q3757" t="s">
        <v>19900</v>
      </c>
      <c r="R3757" t="s">
        <v>20033</v>
      </c>
      <c r="S3757" t="s">
        <v>20034</v>
      </c>
      <c r="T3757" t="s">
        <v>19911</v>
      </c>
    </row>
    <row r="3758" spans="2:20" x14ac:dyDescent="0.25">
      <c r="B3758" t="s">
        <v>2709</v>
      </c>
      <c r="C3758">
        <v>30039078</v>
      </c>
      <c r="E3758">
        <v>298.8</v>
      </c>
      <c r="F3758">
        <v>0</v>
      </c>
      <c r="G3758">
        <v>0</v>
      </c>
      <c r="H3758">
        <v>9.9</v>
      </c>
      <c r="I3758">
        <v>2.1</v>
      </c>
      <c r="J3758">
        <v>0</v>
      </c>
      <c r="L3758" t="s">
        <v>2709</v>
      </c>
      <c r="M3758">
        <v>30039078</v>
      </c>
      <c r="O3758" t="s">
        <v>20035</v>
      </c>
      <c r="P3758" t="s">
        <v>19900</v>
      </c>
      <c r="Q3758" t="s">
        <v>19900</v>
      </c>
      <c r="R3758" t="s">
        <v>20033</v>
      </c>
      <c r="S3758" t="s">
        <v>20034</v>
      </c>
      <c r="T3758" t="s">
        <v>19900</v>
      </c>
    </row>
    <row r="3759" spans="2:20" x14ac:dyDescent="0.25">
      <c r="B3759" t="s">
        <v>2709</v>
      </c>
      <c r="C3759">
        <v>30039079</v>
      </c>
      <c r="E3759">
        <v>298.8</v>
      </c>
      <c r="F3759">
        <v>0</v>
      </c>
      <c r="G3759">
        <v>0</v>
      </c>
      <c r="H3759">
        <v>9.9</v>
      </c>
      <c r="I3759">
        <v>2.1</v>
      </c>
      <c r="J3759">
        <v>8</v>
      </c>
      <c r="L3759" t="s">
        <v>2709</v>
      </c>
      <c r="M3759">
        <v>30039079</v>
      </c>
      <c r="O3759" t="s">
        <v>20035</v>
      </c>
      <c r="P3759" t="s">
        <v>19900</v>
      </c>
      <c r="Q3759" t="s">
        <v>19900</v>
      </c>
      <c r="R3759" t="s">
        <v>20033</v>
      </c>
      <c r="S3759" t="s">
        <v>20034</v>
      </c>
      <c r="T3759" t="s">
        <v>19918</v>
      </c>
    </row>
    <row r="3760" spans="2:20" x14ac:dyDescent="0.25">
      <c r="B3760" t="s">
        <v>2709</v>
      </c>
      <c r="C3760">
        <v>30039081</v>
      </c>
      <c r="E3760">
        <v>298.8</v>
      </c>
      <c r="F3760">
        <v>7</v>
      </c>
      <c r="G3760">
        <v>0</v>
      </c>
      <c r="H3760">
        <v>9.9</v>
      </c>
      <c r="I3760">
        <v>2.1</v>
      </c>
      <c r="J3760">
        <v>8</v>
      </c>
      <c r="L3760" t="s">
        <v>2709</v>
      </c>
      <c r="M3760">
        <v>30039081</v>
      </c>
      <c r="O3760" t="s">
        <v>20035</v>
      </c>
      <c r="P3760" t="s">
        <v>19908</v>
      </c>
      <c r="Q3760" t="s">
        <v>19900</v>
      </c>
      <c r="R3760" t="s">
        <v>20033</v>
      </c>
      <c r="S3760" t="s">
        <v>20034</v>
      </c>
      <c r="T3760" t="s">
        <v>19918</v>
      </c>
    </row>
    <row r="3761" spans="2:20" x14ac:dyDescent="0.25">
      <c r="B3761" t="s">
        <v>2709</v>
      </c>
      <c r="C3761">
        <v>30039082</v>
      </c>
      <c r="E3761">
        <v>298.8</v>
      </c>
      <c r="F3761">
        <v>7</v>
      </c>
      <c r="G3761">
        <v>0</v>
      </c>
      <c r="H3761">
        <v>9.9</v>
      </c>
      <c r="I3761">
        <v>2.1</v>
      </c>
      <c r="J3761">
        <v>14</v>
      </c>
      <c r="L3761" t="s">
        <v>2709</v>
      </c>
      <c r="M3761">
        <v>30039082</v>
      </c>
      <c r="O3761" t="s">
        <v>20035</v>
      </c>
      <c r="P3761" t="s">
        <v>19908</v>
      </c>
      <c r="Q3761" t="s">
        <v>19900</v>
      </c>
      <c r="R3761" t="s">
        <v>20033</v>
      </c>
      <c r="S3761" t="s">
        <v>20034</v>
      </c>
      <c r="T3761" t="s">
        <v>19911</v>
      </c>
    </row>
    <row r="3762" spans="2:20" x14ac:dyDescent="0.25">
      <c r="B3762" t="s">
        <v>2709</v>
      </c>
      <c r="C3762">
        <v>30039083</v>
      </c>
      <c r="E3762">
        <v>298.8</v>
      </c>
      <c r="F3762">
        <v>7</v>
      </c>
      <c r="G3762">
        <v>0</v>
      </c>
      <c r="H3762">
        <v>9.9</v>
      </c>
      <c r="I3762">
        <v>2.1</v>
      </c>
      <c r="J3762">
        <v>14</v>
      </c>
      <c r="L3762" t="s">
        <v>2709</v>
      </c>
      <c r="M3762">
        <v>30039083</v>
      </c>
      <c r="O3762" t="s">
        <v>20035</v>
      </c>
      <c r="P3762" t="s">
        <v>19908</v>
      </c>
      <c r="Q3762" t="s">
        <v>19900</v>
      </c>
      <c r="R3762" t="s">
        <v>20033</v>
      </c>
      <c r="S3762" t="s">
        <v>20034</v>
      </c>
      <c r="T3762" t="s">
        <v>19911</v>
      </c>
    </row>
    <row r="3763" spans="2:20" x14ac:dyDescent="0.25">
      <c r="B3763" t="s">
        <v>2709</v>
      </c>
      <c r="C3763">
        <v>30039084</v>
      </c>
      <c r="E3763">
        <v>298.8</v>
      </c>
      <c r="F3763">
        <v>7</v>
      </c>
      <c r="G3763">
        <v>0</v>
      </c>
      <c r="H3763">
        <v>9.9</v>
      </c>
      <c r="I3763">
        <v>2.1</v>
      </c>
      <c r="J3763">
        <v>14</v>
      </c>
      <c r="L3763" t="s">
        <v>2709</v>
      </c>
      <c r="M3763">
        <v>30039084</v>
      </c>
      <c r="O3763" t="s">
        <v>20035</v>
      </c>
      <c r="P3763" t="s">
        <v>19908</v>
      </c>
      <c r="Q3763" t="s">
        <v>19900</v>
      </c>
      <c r="R3763" t="s">
        <v>20033</v>
      </c>
      <c r="S3763" t="s">
        <v>20034</v>
      </c>
      <c r="T3763" t="s">
        <v>19911</v>
      </c>
    </row>
    <row r="3764" spans="2:20" x14ac:dyDescent="0.25">
      <c r="B3764" t="s">
        <v>2709</v>
      </c>
      <c r="C3764">
        <v>30039085</v>
      </c>
      <c r="E3764">
        <v>298.8</v>
      </c>
      <c r="F3764">
        <v>7</v>
      </c>
      <c r="G3764">
        <v>0</v>
      </c>
      <c r="H3764">
        <v>9.9</v>
      </c>
      <c r="I3764">
        <v>2.1</v>
      </c>
      <c r="J3764">
        <v>14</v>
      </c>
      <c r="L3764" t="s">
        <v>2709</v>
      </c>
      <c r="M3764">
        <v>30039085</v>
      </c>
      <c r="O3764" t="s">
        <v>20035</v>
      </c>
      <c r="P3764" t="s">
        <v>19908</v>
      </c>
      <c r="Q3764" t="s">
        <v>19900</v>
      </c>
      <c r="R3764" t="s">
        <v>20033</v>
      </c>
      <c r="S3764" t="s">
        <v>20034</v>
      </c>
      <c r="T3764" t="s">
        <v>19911</v>
      </c>
    </row>
    <row r="3765" spans="2:20" x14ac:dyDescent="0.25">
      <c r="B3765" t="s">
        <v>2709</v>
      </c>
      <c r="C3765">
        <v>30039086</v>
      </c>
      <c r="E3765">
        <v>298.8</v>
      </c>
      <c r="F3765">
        <v>7</v>
      </c>
      <c r="G3765">
        <v>0</v>
      </c>
      <c r="H3765">
        <v>9.9</v>
      </c>
      <c r="I3765">
        <v>2.1</v>
      </c>
      <c r="J3765">
        <v>14</v>
      </c>
      <c r="L3765" t="s">
        <v>2709</v>
      </c>
      <c r="M3765">
        <v>30039086</v>
      </c>
      <c r="O3765" t="s">
        <v>20035</v>
      </c>
      <c r="P3765" t="s">
        <v>19908</v>
      </c>
      <c r="Q3765" t="s">
        <v>19900</v>
      </c>
      <c r="R3765" t="s">
        <v>20033</v>
      </c>
      <c r="S3765" t="s">
        <v>20034</v>
      </c>
      <c r="T3765" t="s">
        <v>19911</v>
      </c>
    </row>
    <row r="3766" spans="2:20" x14ac:dyDescent="0.25">
      <c r="B3766" t="s">
        <v>2709</v>
      </c>
      <c r="C3766">
        <v>30039087</v>
      </c>
      <c r="E3766">
        <v>298.8</v>
      </c>
      <c r="F3766">
        <v>7</v>
      </c>
      <c r="G3766">
        <v>0</v>
      </c>
      <c r="H3766">
        <v>9.9</v>
      </c>
      <c r="I3766">
        <v>2.1</v>
      </c>
      <c r="J3766">
        <v>14</v>
      </c>
      <c r="L3766" t="s">
        <v>2709</v>
      </c>
      <c r="M3766">
        <v>30039087</v>
      </c>
      <c r="O3766" t="s">
        <v>20035</v>
      </c>
      <c r="P3766" t="s">
        <v>19908</v>
      </c>
      <c r="Q3766" t="s">
        <v>19900</v>
      </c>
      <c r="R3766" t="s">
        <v>20033</v>
      </c>
      <c r="S3766" t="s">
        <v>20034</v>
      </c>
      <c r="T3766" t="s">
        <v>19911</v>
      </c>
    </row>
    <row r="3767" spans="2:20" x14ac:dyDescent="0.25">
      <c r="B3767" t="s">
        <v>2709</v>
      </c>
      <c r="C3767">
        <v>30039088</v>
      </c>
      <c r="E3767">
        <v>298.8</v>
      </c>
      <c r="F3767">
        <v>0</v>
      </c>
      <c r="G3767">
        <v>0</v>
      </c>
      <c r="H3767">
        <v>9.9</v>
      </c>
      <c r="I3767">
        <v>2.1</v>
      </c>
      <c r="J3767">
        <v>0</v>
      </c>
      <c r="L3767" t="s">
        <v>2709</v>
      </c>
      <c r="M3767">
        <v>30039088</v>
      </c>
      <c r="O3767" t="s">
        <v>20035</v>
      </c>
      <c r="P3767" t="s">
        <v>19900</v>
      </c>
      <c r="Q3767" t="s">
        <v>19900</v>
      </c>
      <c r="R3767" t="s">
        <v>20033</v>
      </c>
      <c r="S3767" t="s">
        <v>20034</v>
      </c>
      <c r="T3767" t="s">
        <v>19900</v>
      </c>
    </row>
    <row r="3768" spans="2:20" x14ac:dyDescent="0.25">
      <c r="B3768" t="s">
        <v>2709</v>
      </c>
      <c r="C3768">
        <v>30039089</v>
      </c>
      <c r="E3768">
        <v>298.8</v>
      </c>
      <c r="F3768">
        <v>0</v>
      </c>
      <c r="G3768">
        <v>0</v>
      </c>
      <c r="H3768">
        <v>9.9</v>
      </c>
      <c r="I3768">
        <v>2.1</v>
      </c>
      <c r="J3768">
        <v>8</v>
      </c>
      <c r="L3768" t="s">
        <v>2709</v>
      </c>
      <c r="M3768">
        <v>30039089</v>
      </c>
      <c r="O3768" t="s">
        <v>20035</v>
      </c>
      <c r="P3768" t="s">
        <v>19900</v>
      </c>
      <c r="Q3768" t="s">
        <v>19900</v>
      </c>
      <c r="R3768" t="s">
        <v>20033</v>
      </c>
      <c r="S3768" t="s">
        <v>20034</v>
      </c>
      <c r="T3768" t="s">
        <v>19918</v>
      </c>
    </row>
    <row r="3769" spans="2:20" x14ac:dyDescent="0.25">
      <c r="B3769" t="s">
        <v>2709</v>
      </c>
      <c r="C3769">
        <v>30039091</v>
      </c>
      <c r="E3769">
        <v>298.8</v>
      </c>
      <c r="F3769">
        <v>7</v>
      </c>
      <c r="G3769">
        <v>0</v>
      </c>
      <c r="H3769">
        <v>9.9</v>
      </c>
      <c r="I3769">
        <v>2.1</v>
      </c>
      <c r="J3769">
        <v>8</v>
      </c>
      <c r="L3769" t="s">
        <v>2709</v>
      </c>
      <c r="M3769">
        <v>30039091</v>
      </c>
      <c r="O3769" t="s">
        <v>20035</v>
      </c>
      <c r="P3769" t="s">
        <v>19908</v>
      </c>
      <c r="Q3769" t="s">
        <v>19900</v>
      </c>
      <c r="R3769" t="s">
        <v>20033</v>
      </c>
      <c r="S3769" t="s">
        <v>20034</v>
      </c>
      <c r="T3769" t="s">
        <v>19918</v>
      </c>
    </row>
    <row r="3770" spans="2:20" x14ac:dyDescent="0.25">
      <c r="B3770" t="s">
        <v>2709</v>
      </c>
      <c r="C3770">
        <v>30039092</v>
      </c>
      <c r="E3770">
        <v>298.8</v>
      </c>
      <c r="F3770">
        <v>7</v>
      </c>
      <c r="G3770">
        <v>0</v>
      </c>
      <c r="H3770">
        <v>9.9</v>
      </c>
      <c r="I3770">
        <v>2.1</v>
      </c>
      <c r="J3770">
        <v>14</v>
      </c>
      <c r="L3770" t="s">
        <v>2709</v>
      </c>
      <c r="M3770">
        <v>30039092</v>
      </c>
      <c r="O3770" t="s">
        <v>20035</v>
      </c>
      <c r="P3770" t="s">
        <v>19908</v>
      </c>
      <c r="Q3770" t="s">
        <v>19900</v>
      </c>
      <c r="R3770" t="s">
        <v>20033</v>
      </c>
      <c r="S3770" t="s">
        <v>20034</v>
      </c>
      <c r="T3770" t="s">
        <v>19911</v>
      </c>
    </row>
    <row r="3771" spans="2:20" x14ac:dyDescent="0.25">
      <c r="B3771" t="s">
        <v>2709</v>
      </c>
      <c r="C3771">
        <v>30039093</v>
      </c>
      <c r="E3771">
        <v>298.8</v>
      </c>
      <c r="F3771">
        <v>7</v>
      </c>
      <c r="G3771">
        <v>0</v>
      </c>
      <c r="H3771">
        <v>9.9</v>
      </c>
      <c r="I3771">
        <v>2.1</v>
      </c>
      <c r="J3771">
        <v>14</v>
      </c>
      <c r="L3771" t="s">
        <v>2709</v>
      </c>
      <c r="M3771">
        <v>30039093</v>
      </c>
      <c r="O3771" t="s">
        <v>20035</v>
      </c>
      <c r="P3771" t="s">
        <v>19908</v>
      </c>
      <c r="Q3771" t="s">
        <v>19900</v>
      </c>
      <c r="R3771" t="s">
        <v>20033</v>
      </c>
      <c r="S3771" t="s">
        <v>20034</v>
      </c>
      <c r="T3771" t="s">
        <v>19911</v>
      </c>
    </row>
    <row r="3772" spans="2:20" x14ac:dyDescent="0.25">
      <c r="B3772" t="s">
        <v>2709</v>
      </c>
      <c r="C3772">
        <v>30039094</v>
      </c>
      <c r="E3772">
        <v>298.8</v>
      </c>
      <c r="F3772">
        <v>7</v>
      </c>
      <c r="G3772">
        <v>0</v>
      </c>
      <c r="H3772">
        <v>9.9</v>
      </c>
      <c r="I3772">
        <v>2.1</v>
      </c>
      <c r="J3772">
        <v>8</v>
      </c>
      <c r="L3772" t="s">
        <v>2709</v>
      </c>
      <c r="M3772">
        <v>30039094</v>
      </c>
      <c r="O3772" t="s">
        <v>20035</v>
      </c>
      <c r="P3772" t="s">
        <v>19908</v>
      </c>
      <c r="Q3772" t="s">
        <v>19900</v>
      </c>
      <c r="R3772" t="s">
        <v>20033</v>
      </c>
      <c r="S3772" t="s">
        <v>20034</v>
      </c>
      <c r="T3772" t="s">
        <v>19918</v>
      </c>
    </row>
    <row r="3773" spans="2:20" x14ac:dyDescent="0.25">
      <c r="B3773" t="s">
        <v>2709</v>
      </c>
      <c r="C3773">
        <v>30039095</v>
      </c>
      <c r="E3773">
        <v>298.8</v>
      </c>
      <c r="F3773">
        <v>7</v>
      </c>
      <c r="G3773">
        <v>0</v>
      </c>
      <c r="H3773">
        <v>9.9</v>
      </c>
      <c r="I3773">
        <v>2.1</v>
      </c>
      <c r="J3773">
        <v>0</v>
      </c>
      <c r="L3773" t="s">
        <v>2709</v>
      </c>
      <c r="M3773">
        <v>30039095</v>
      </c>
      <c r="O3773" t="s">
        <v>20035</v>
      </c>
      <c r="P3773" t="s">
        <v>19908</v>
      </c>
      <c r="Q3773" t="s">
        <v>19900</v>
      </c>
      <c r="R3773" t="s">
        <v>20033</v>
      </c>
      <c r="S3773" t="s">
        <v>20034</v>
      </c>
      <c r="T3773" t="s">
        <v>19900</v>
      </c>
    </row>
    <row r="3774" spans="2:20" x14ac:dyDescent="0.25">
      <c r="B3774" t="s">
        <v>2709</v>
      </c>
      <c r="C3774">
        <v>30039096</v>
      </c>
      <c r="E3774">
        <v>298.8</v>
      </c>
      <c r="F3774">
        <v>7</v>
      </c>
      <c r="G3774">
        <v>0</v>
      </c>
      <c r="H3774">
        <v>9.9</v>
      </c>
      <c r="I3774">
        <v>2.1</v>
      </c>
      <c r="J3774">
        <v>14</v>
      </c>
      <c r="L3774" t="s">
        <v>2709</v>
      </c>
      <c r="M3774">
        <v>30039096</v>
      </c>
      <c r="O3774" t="s">
        <v>20035</v>
      </c>
      <c r="P3774" t="s">
        <v>19908</v>
      </c>
      <c r="Q3774" t="s">
        <v>19900</v>
      </c>
      <c r="R3774" t="s">
        <v>20033</v>
      </c>
      <c r="S3774" t="s">
        <v>20034</v>
      </c>
      <c r="T3774" t="s">
        <v>19911</v>
      </c>
    </row>
    <row r="3775" spans="2:20" x14ac:dyDescent="0.25">
      <c r="B3775" t="s">
        <v>2709</v>
      </c>
      <c r="C3775">
        <v>30039099</v>
      </c>
      <c r="E3775">
        <v>298.8</v>
      </c>
      <c r="F3775">
        <v>0</v>
      </c>
      <c r="G3775">
        <v>0</v>
      </c>
      <c r="H3775">
        <v>9.9</v>
      </c>
      <c r="I3775">
        <v>2.1</v>
      </c>
      <c r="J3775">
        <v>8</v>
      </c>
      <c r="L3775" t="s">
        <v>2709</v>
      </c>
      <c r="M3775">
        <v>30039099</v>
      </c>
      <c r="O3775" t="s">
        <v>20035</v>
      </c>
      <c r="P3775" t="s">
        <v>19900</v>
      </c>
      <c r="Q3775" t="s">
        <v>19900</v>
      </c>
      <c r="R3775" t="s">
        <v>20033</v>
      </c>
      <c r="S3775" t="s">
        <v>20034</v>
      </c>
      <c r="T3775" t="s">
        <v>19918</v>
      </c>
    </row>
    <row r="3776" spans="2:20" x14ac:dyDescent="0.25">
      <c r="B3776" t="s">
        <v>2709</v>
      </c>
      <c r="C3776">
        <v>30041011</v>
      </c>
      <c r="E3776">
        <v>298.8</v>
      </c>
      <c r="F3776">
        <v>0</v>
      </c>
      <c r="G3776">
        <v>0</v>
      </c>
      <c r="H3776">
        <v>9.9</v>
      </c>
      <c r="I3776">
        <v>2.1</v>
      </c>
      <c r="J3776">
        <v>14</v>
      </c>
      <c r="L3776" t="s">
        <v>2709</v>
      </c>
      <c r="M3776">
        <v>30041011</v>
      </c>
      <c r="O3776" t="s">
        <v>20035</v>
      </c>
      <c r="P3776" t="s">
        <v>19900</v>
      </c>
      <c r="Q3776" t="s">
        <v>19900</v>
      </c>
      <c r="R3776" t="s">
        <v>20033</v>
      </c>
      <c r="S3776" t="s">
        <v>20034</v>
      </c>
      <c r="T3776" t="s">
        <v>19911</v>
      </c>
    </row>
    <row r="3777" spans="2:20" x14ac:dyDescent="0.25">
      <c r="B3777" t="s">
        <v>2709</v>
      </c>
      <c r="C3777">
        <v>30041012</v>
      </c>
      <c r="E3777">
        <v>298.8</v>
      </c>
      <c r="F3777">
        <v>7</v>
      </c>
      <c r="G3777">
        <v>0</v>
      </c>
      <c r="H3777">
        <v>9.9</v>
      </c>
      <c r="I3777">
        <v>2.1</v>
      </c>
      <c r="J3777">
        <v>8</v>
      </c>
      <c r="L3777" t="s">
        <v>2709</v>
      </c>
      <c r="M3777">
        <v>30041012</v>
      </c>
      <c r="O3777" t="s">
        <v>20035</v>
      </c>
      <c r="P3777" t="s">
        <v>19908</v>
      </c>
      <c r="Q3777" t="s">
        <v>19900</v>
      </c>
      <c r="R3777" t="s">
        <v>20033</v>
      </c>
      <c r="S3777" t="s">
        <v>20034</v>
      </c>
      <c r="T3777" t="s">
        <v>19918</v>
      </c>
    </row>
    <row r="3778" spans="2:20" x14ac:dyDescent="0.25">
      <c r="B3778" t="s">
        <v>2709</v>
      </c>
      <c r="C3778">
        <v>30041013</v>
      </c>
      <c r="E3778">
        <v>298.8</v>
      </c>
      <c r="F3778">
        <v>0</v>
      </c>
      <c r="G3778">
        <v>0</v>
      </c>
      <c r="H3778">
        <v>9.9</v>
      </c>
      <c r="I3778">
        <v>2.1</v>
      </c>
      <c r="J3778">
        <v>14</v>
      </c>
      <c r="L3778" t="s">
        <v>2709</v>
      </c>
      <c r="M3778">
        <v>30041013</v>
      </c>
      <c r="O3778" t="s">
        <v>20035</v>
      </c>
      <c r="P3778" t="s">
        <v>19900</v>
      </c>
      <c r="Q3778" t="s">
        <v>19900</v>
      </c>
      <c r="R3778" t="s">
        <v>20033</v>
      </c>
      <c r="S3778" t="s">
        <v>20034</v>
      </c>
      <c r="T3778" t="s">
        <v>19911</v>
      </c>
    </row>
    <row r="3779" spans="2:20" x14ac:dyDescent="0.25">
      <c r="B3779" t="s">
        <v>2709</v>
      </c>
      <c r="C3779">
        <v>30041014</v>
      </c>
      <c r="E3779">
        <v>298.8</v>
      </c>
      <c r="F3779">
        <v>0</v>
      </c>
      <c r="G3779">
        <v>0</v>
      </c>
      <c r="H3779">
        <v>9.9</v>
      </c>
      <c r="I3779">
        <v>2.1</v>
      </c>
      <c r="J3779">
        <v>14</v>
      </c>
      <c r="L3779" t="s">
        <v>2709</v>
      </c>
      <c r="M3779">
        <v>30041014</v>
      </c>
      <c r="O3779" t="s">
        <v>20035</v>
      </c>
      <c r="P3779" t="s">
        <v>19900</v>
      </c>
      <c r="Q3779" t="s">
        <v>19900</v>
      </c>
      <c r="R3779" t="s">
        <v>20033</v>
      </c>
      <c r="S3779" t="s">
        <v>20034</v>
      </c>
      <c r="T3779" t="s">
        <v>19911</v>
      </c>
    </row>
    <row r="3780" spans="2:20" x14ac:dyDescent="0.25">
      <c r="B3780" t="s">
        <v>2709</v>
      </c>
      <c r="C3780">
        <v>30041015</v>
      </c>
      <c r="E3780">
        <v>298.8</v>
      </c>
      <c r="F3780">
        <v>0</v>
      </c>
      <c r="G3780">
        <v>0</v>
      </c>
      <c r="H3780">
        <v>9.9</v>
      </c>
      <c r="I3780">
        <v>2.1</v>
      </c>
      <c r="J3780">
        <v>14</v>
      </c>
      <c r="L3780" t="s">
        <v>2709</v>
      </c>
      <c r="M3780">
        <v>30041015</v>
      </c>
      <c r="O3780" t="s">
        <v>20035</v>
      </c>
      <c r="P3780" t="s">
        <v>19900</v>
      </c>
      <c r="Q3780" t="s">
        <v>19900</v>
      </c>
      <c r="R3780" t="s">
        <v>20033</v>
      </c>
      <c r="S3780" t="s">
        <v>20034</v>
      </c>
      <c r="T3780" t="s">
        <v>19911</v>
      </c>
    </row>
    <row r="3781" spans="2:20" x14ac:dyDescent="0.25">
      <c r="B3781" t="s">
        <v>2709</v>
      </c>
      <c r="C3781">
        <v>30041019</v>
      </c>
      <c r="E3781">
        <v>298.8</v>
      </c>
      <c r="F3781">
        <v>0</v>
      </c>
      <c r="G3781">
        <v>0</v>
      </c>
      <c r="H3781">
        <v>9.9</v>
      </c>
      <c r="I3781">
        <v>2.1</v>
      </c>
      <c r="J3781">
        <v>8</v>
      </c>
      <c r="L3781" t="s">
        <v>2709</v>
      </c>
      <c r="M3781">
        <v>30041019</v>
      </c>
      <c r="O3781" t="s">
        <v>20035</v>
      </c>
      <c r="P3781" t="s">
        <v>19900</v>
      </c>
      <c r="Q3781" t="s">
        <v>19900</v>
      </c>
      <c r="R3781" t="s">
        <v>20033</v>
      </c>
      <c r="S3781" t="s">
        <v>20034</v>
      </c>
      <c r="T3781" t="s">
        <v>19918</v>
      </c>
    </row>
    <row r="3782" spans="2:20" x14ac:dyDescent="0.25">
      <c r="B3782" t="s">
        <v>2709</v>
      </c>
      <c r="C3782">
        <v>30041020</v>
      </c>
      <c r="E3782">
        <v>298.8</v>
      </c>
      <c r="F3782">
        <v>0</v>
      </c>
      <c r="G3782">
        <v>0</v>
      </c>
      <c r="H3782">
        <v>9.9</v>
      </c>
      <c r="I3782">
        <v>2.1</v>
      </c>
      <c r="J3782">
        <v>8</v>
      </c>
      <c r="L3782" t="s">
        <v>2709</v>
      </c>
      <c r="M3782">
        <v>30041020</v>
      </c>
      <c r="O3782" t="s">
        <v>20035</v>
      </c>
      <c r="P3782" t="s">
        <v>19900</v>
      </c>
      <c r="Q3782" t="s">
        <v>19900</v>
      </c>
      <c r="R3782" t="s">
        <v>20033</v>
      </c>
      <c r="S3782" t="s">
        <v>20034</v>
      </c>
      <c r="T3782" t="s">
        <v>19918</v>
      </c>
    </row>
    <row r="3783" spans="2:20" x14ac:dyDescent="0.25">
      <c r="B3783" t="s">
        <v>2709</v>
      </c>
      <c r="C3783">
        <v>30042011</v>
      </c>
      <c r="E3783">
        <v>298.8</v>
      </c>
      <c r="F3783">
        <v>0</v>
      </c>
      <c r="G3783">
        <v>0</v>
      </c>
      <c r="H3783">
        <v>9.9</v>
      </c>
      <c r="I3783">
        <v>2.1</v>
      </c>
      <c r="J3783">
        <v>8</v>
      </c>
      <c r="L3783" t="s">
        <v>2709</v>
      </c>
      <c r="M3783">
        <v>30042011</v>
      </c>
      <c r="O3783" t="s">
        <v>20035</v>
      </c>
      <c r="P3783" t="s">
        <v>19900</v>
      </c>
      <c r="Q3783" t="s">
        <v>19900</v>
      </c>
      <c r="R3783" t="s">
        <v>20033</v>
      </c>
      <c r="S3783" t="s">
        <v>20034</v>
      </c>
      <c r="T3783" t="s">
        <v>19918</v>
      </c>
    </row>
    <row r="3784" spans="2:20" x14ac:dyDescent="0.25">
      <c r="B3784" t="s">
        <v>2709</v>
      </c>
      <c r="C3784">
        <v>30042019</v>
      </c>
      <c r="E3784">
        <v>298.8</v>
      </c>
      <c r="F3784">
        <v>0</v>
      </c>
      <c r="G3784">
        <v>0</v>
      </c>
      <c r="H3784">
        <v>9.9</v>
      </c>
      <c r="I3784">
        <v>2.1</v>
      </c>
      <c r="J3784">
        <v>8</v>
      </c>
      <c r="L3784" t="s">
        <v>2709</v>
      </c>
      <c r="M3784">
        <v>30042019</v>
      </c>
      <c r="O3784" t="s">
        <v>20035</v>
      </c>
      <c r="P3784" t="s">
        <v>19900</v>
      </c>
      <c r="Q3784" t="s">
        <v>19900</v>
      </c>
      <c r="R3784" t="s">
        <v>20033</v>
      </c>
      <c r="S3784" t="s">
        <v>20034</v>
      </c>
      <c r="T3784" t="s">
        <v>19918</v>
      </c>
    </row>
    <row r="3785" spans="2:20" x14ac:dyDescent="0.25">
      <c r="B3785" t="s">
        <v>2709</v>
      </c>
      <c r="C3785">
        <v>30042021</v>
      </c>
      <c r="E3785">
        <v>298.8</v>
      </c>
      <c r="F3785">
        <v>0</v>
      </c>
      <c r="G3785">
        <v>0</v>
      </c>
      <c r="H3785">
        <v>9.9</v>
      </c>
      <c r="I3785">
        <v>2.1</v>
      </c>
      <c r="J3785">
        <v>14</v>
      </c>
      <c r="L3785" t="s">
        <v>2709</v>
      </c>
      <c r="M3785">
        <v>30042021</v>
      </c>
      <c r="O3785" t="s">
        <v>20035</v>
      </c>
      <c r="P3785" t="s">
        <v>19900</v>
      </c>
      <c r="Q3785" t="s">
        <v>19900</v>
      </c>
      <c r="R3785" t="s">
        <v>20033</v>
      </c>
      <c r="S3785" t="s">
        <v>20034</v>
      </c>
      <c r="T3785" t="s">
        <v>19911</v>
      </c>
    </row>
    <row r="3786" spans="2:20" x14ac:dyDescent="0.25">
      <c r="B3786" t="s">
        <v>2709</v>
      </c>
      <c r="C3786">
        <v>30042029</v>
      </c>
      <c r="E3786">
        <v>298.8</v>
      </c>
      <c r="F3786">
        <v>0</v>
      </c>
      <c r="G3786">
        <v>0</v>
      </c>
      <c r="H3786">
        <v>9.9</v>
      </c>
      <c r="I3786">
        <v>2.1</v>
      </c>
      <c r="J3786">
        <v>8</v>
      </c>
      <c r="L3786" t="s">
        <v>2709</v>
      </c>
      <c r="M3786">
        <v>30042029</v>
      </c>
      <c r="O3786" t="s">
        <v>20035</v>
      </c>
      <c r="P3786" t="s">
        <v>19900</v>
      </c>
      <c r="Q3786" t="s">
        <v>19900</v>
      </c>
      <c r="R3786" t="s">
        <v>20033</v>
      </c>
      <c r="S3786" t="s">
        <v>20034</v>
      </c>
      <c r="T3786" t="s">
        <v>19918</v>
      </c>
    </row>
    <row r="3787" spans="2:20" x14ac:dyDescent="0.25">
      <c r="B3787" t="s">
        <v>2709</v>
      </c>
      <c r="C3787">
        <v>30042031</v>
      </c>
      <c r="E3787">
        <v>298.8</v>
      </c>
      <c r="F3787">
        <v>0</v>
      </c>
      <c r="G3787">
        <v>0</v>
      </c>
      <c r="H3787">
        <v>9.9</v>
      </c>
      <c r="I3787">
        <v>2.1</v>
      </c>
      <c r="J3787">
        <v>8</v>
      </c>
      <c r="L3787" t="s">
        <v>2709</v>
      </c>
      <c r="M3787">
        <v>30042031</v>
      </c>
      <c r="O3787" t="s">
        <v>20035</v>
      </c>
      <c r="P3787" t="s">
        <v>19900</v>
      </c>
      <c r="Q3787" t="s">
        <v>19900</v>
      </c>
      <c r="R3787" t="s">
        <v>20033</v>
      </c>
      <c r="S3787" t="s">
        <v>20034</v>
      </c>
      <c r="T3787" t="s">
        <v>19918</v>
      </c>
    </row>
    <row r="3788" spans="2:20" x14ac:dyDescent="0.25">
      <c r="B3788" t="s">
        <v>2709</v>
      </c>
      <c r="C3788">
        <v>30042032</v>
      </c>
      <c r="E3788">
        <v>298.8</v>
      </c>
      <c r="F3788">
        <v>0</v>
      </c>
      <c r="G3788">
        <v>0</v>
      </c>
      <c r="H3788">
        <v>9.9</v>
      </c>
      <c r="I3788">
        <v>2.1</v>
      </c>
      <c r="J3788">
        <v>8</v>
      </c>
      <c r="L3788" t="s">
        <v>2709</v>
      </c>
      <c r="M3788">
        <v>30042032</v>
      </c>
      <c r="O3788" t="s">
        <v>20035</v>
      </c>
      <c r="P3788" t="s">
        <v>19900</v>
      </c>
      <c r="Q3788" t="s">
        <v>19900</v>
      </c>
      <c r="R3788" t="s">
        <v>20033</v>
      </c>
      <c r="S3788" t="s">
        <v>20034</v>
      </c>
      <c r="T3788" t="s">
        <v>19918</v>
      </c>
    </row>
    <row r="3789" spans="2:20" x14ac:dyDescent="0.25">
      <c r="B3789" t="s">
        <v>2709</v>
      </c>
      <c r="C3789">
        <v>30042039</v>
      </c>
      <c r="E3789">
        <v>298.8</v>
      </c>
      <c r="F3789">
        <v>0</v>
      </c>
      <c r="G3789">
        <v>0</v>
      </c>
      <c r="H3789">
        <v>9.9</v>
      </c>
      <c r="I3789">
        <v>2.1</v>
      </c>
      <c r="J3789">
        <v>8</v>
      </c>
      <c r="L3789" t="s">
        <v>2709</v>
      </c>
      <c r="M3789">
        <v>30042039</v>
      </c>
      <c r="O3789" t="s">
        <v>20035</v>
      </c>
      <c r="P3789" t="s">
        <v>19900</v>
      </c>
      <c r="Q3789" t="s">
        <v>19900</v>
      </c>
      <c r="R3789" t="s">
        <v>20033</v>
      </c>
      <c r="S3789" t="s">
        <v>20034</v>
      </c>
      <c r="T3789" t="s">
        <v>19918</v>
      </c>
    </row>
    <row r="3790" spans="2:20" x14ac:dyDescent="0.25">
      <c r="B3790" t="s">
        <v>2709</v>
      </c>
      <c r="C3790">
        <v>30042041</v>
      </c>
      <c r="E3790">
        <v>298.8</v>
      </c>
      <c r="F3790">
        <v>0</v>
      </c>
      <c r="G3790">
        <v>0</v>
      </c>
      <c r="H3790">
        <v>9.9</v>
      </c>
      <c r="I3790">
        <v>2.1</v>
      </c>
      <c r="J3790">
        <v>14</v>
      </c>
      <c r="L3790" t="s">
        <v>2709</v>
      </c>
      <c r="M3790">
        <v>30042041</v>
      </c>
      <c r="O3790" t="s">
        <v>20035</v>
      </c>
      <c r="P3790" t="s">
        <v>19900</v>
      </c>
      <c r="Q3790" t="s">
        <v>19900</v>
      </c>
      <c r="R3790" t="s">
        <v>20033</v>
      </c>
      <c r="S3790" t="s">
        <v>20034</v>
      </c>
      <c r="T3790" t="s">
        <v>19911</v>
      </c>
    </row>
    <row r="3791" spans="2:20" x14ac:dyDescent="0.25">
      <c r="B3791" t="s">
        <v>2709</v>
      </c>
      <c r="C3791">
        <v>30042049</v>
      </c>
      <c r="E3791">
        <v>298.8</v>
      </c>
      <c r="F3791">
        <v>0</v>
      </c>
      <c r="G3791">
        <v>0</v>
      </c>
      <c r="H3791">
        <v>9.9</v>
      </c>
      <c r="I3791">
        <v>2.1</v>
      </c>
      <c r="J3791">
        <v>8</v>
      </c>
      <c r="L3791" t="s">
        <v>2709</v>
      </c>
      <c r="M3791">
        <v>30042049</v>
      </c>
      <c r="O3791" t="s">
        <v>20035</v>
      </c>
      <c r="P3791" t="s">
        <v>19900</v>
      </c>
      <c r="Q3791" t="s">
        <v>19900</v>
      </c>
      <c r="R3791" t="s">
        <v>20033</v>
      </c>
      <c r="S3791" t="s">
        <v>20034</v>
      </c>
      <c r="T3791" t="s">
        <v>19918</v>
      </c>
    </row>
    <row r="3792" spans="2:20" x14ac:dyDescent="0.25">
      <c r="B3792" t="s">
        <v>2709</v>
      </c>
      <c r="C3792">
        <v>30042051</v>
      </c>
      <c r="E3792">
        <v>298.8</v>
      </c>
      <c r="F3792">
        <v>0</v>
      </c>
      <c r="G3792">
        <v>0</v>
      </c>
      <c r="H3792">
        <v>9.9</v>
      </c>
      <c r="I3792">
        <v>2.1</v>
      </c>
      <c r="J3792">
        <v>14</v>
      </c>
      <c r="L3792" t="s">
        <v>2709</v>
      </c>
      <c r="M3792">
        <v>30042051</v>
      </c>
      <c r="O3792" t="s">
        <v>20035</v>
      </c>
      <c r="P3792" t="s">
        <v>19900</v>
      </c>
      <c r="Q3792" t="s">
        <v>19900</v>
      </c>
      <c r="R3792" t="s">
        <v>20033</v>
      </c>
      <c r="S3792" t="s">
        <v>20034</v>
      </c>
      <c r="T3792" t="s">
        <v>19911</v>
      </c>
    </row>
    <row r="3793" spans="2:20" x14ac:dyDescent="0.25">
      <c r="B3793" t="s">
        <v>2709</v>
      </c>
      <c r="C3793">
        <v>30042052</v>
      </c>
      <c r="E3793">
        <v>298.8</v>
      </c>
      <c r="F3793">
        <v>0</v>
      </c>
      <c r="G3793">
        <v>0</v>
      </c>
      <c r="H3793">
        <v>9.9</v>
      </c>
      <c r="I3793">
        <v>2.1</v>
      </c>
      <c r="J3793">
        <v>14</v>
      </c>
      <c r="L3793" t="s">
        <v>2709</v>
      </c>
      <c r="M3793">
        <v>30042052</v>
      </c>
      <c r="O3793" t="s">
        <v>20035</v>
      </c>
      <c r="P3793" t="s">
        <v>19900</v>
      </c>
      <c r="Q3793" t="s">
        <v>19900</v>
      </c>
      <c r="R3793" t="s">
        <v>20033</v>
      </c>
      <c r="S3793" t="s">
        <v>20034</v>
      </c>
      <c r="T3793" t="s">
        <v>19911</v>
      </c>
    </row>
    <row r="3794" spans="2:20" x14ac:dyDescent="0.25">
      <c r="B3794" t="s">
        <v>2709</v>
      </c>
      <c r="C3794">
        <v>30042059</v>
      </c>
      <c r="E3794">
        <v>298.8</v>
      </c>
      <c r="F3794">
        <v>0</v>
      </c>
      <c r="G3794">
        <v>0</v>
      </c>
      <c r="H3794">
        <v>9.9</v>
      </c>
      <c r="I3794">
        <v>2.1</v>
      </c>
      <c r="J3794">
        <v>8</v>
      </c>
      <c r="L3794" t="s">
        <v>2709</v>
      </c>
      <c r="M3794">
        <v>30042059</v>
      </c>
      <c r="O3794" t="s">
        <v>20035</v>
      </c>
      <c r="P3794" t="s">
        <v>19900</v>
      </c>
      <c r="Q3794" t="s">
        <v>19900</v>
      </c>
      <c r="R3794" t="s">
        <v>20033</v>
      </c>
      <c r="S3794" t="s">
        <v>20034</v>
      </c>
      <c r="T3794" t="s">
        <v>19918</v>
      </c>
    </row>
    <row r="3795" spans="2:20" x14ac:dyDescent="0.25">
      <c r="B3795" t="s">
        <v>2709</v>
      </c>
      <c r="C3795">
        <v>30042061</v>
      </c>
      <c r="E3795">
        <v>298.8</v>
      </c>
      <c r="F3795">
        <v>0</v>
      </c>
      <c r="G3795">
        <v>0</v>
      </c>
      <c r="H3795">
        <v>9.9</v>
      </c>
      <c r="I3795">
        <v>2.1</v>
      </c>
      <c r="J3795">
        <v>14</v>
      </c>
      <c r="L3795" t="s">
        <v>2709</v>
      </c>
      <c r="M3795">
        <v>30042061</v>
      </c>
      <c r="O3795" t="s">
        <v>20035</v>
      </c>
      <c r="P3795" t="s">
        <v>19900</v>
      </c>
      <c r="Q3795" t="s">
        <v>19900</v>
      </c>
      <c r="R3795" t="s">
        <v>20033</v>
      </c>
      <c r="S3795" t="s">
        <v>20034</v>
      </c>
      <c r="T3795" t="s">
        <v>19911</v>
      </c>
    </row>
    <row r="3796" spans="2:20" x14ac:dyDescent="0.25">
      <c r="B3796" t="s">
        <v>2709</v>
      </c>
      <c r="C3796">
        <v>30042062</v>
      </c>
      <c r="E3796">
        <v>298.8</v>
      </c>
      <c r="F3796">
        <v>0</v>
      </c>
      <c r="G3796">
        <v>0</v>
      </c>
      <c r="H3796">
        <v>9.9</v>
      </c>
      <c r="I3796">
        <v>2.1</v>
      </c>
      <c r="J3796">
        <v>0</v>
      </c>
      <c r="L3796" t="s">
        <v>2709</v>
      </c>
      <c r="M3796">
        <v>30042062</v>
      </c>
      <c r="O3796" t="s">
        <v>20035</v>
      </c>
      <c r="P3796" t="s">
        <v>19900</v>
      </c>
      <c r="Q3796" t="s">
        <v>19900</v>
      </c>
      <c r="R3796" t="s">
        <v>20033</v>
      </c>
      <c r="S3796" t="s">
        <v>20034</v>
      </c>
      <c r="T3796" t="s">
        <v>19900</v>
      </c>
    </row>
    <row r="3797" spans="2:20" x14ac:dyDescent="0.25">
      <c r="B3797" t="s">
        <v>2709</v>
      </c>
      <c r="C3797">
        <v>30042063</v>
      </c>
      <c r="E3797">
        <v>298.8</v>
      </c>
      <c r="F3797">
        <v>0</v>
      </c>
      <c r="G3797">
        <v>0</v>
      </c>
      <c r="H3797">
        <v>9.9</v>
      </c>
      <c r="I3797">
        <v>2.1</v>
      </c>
      <c r="J3797">
        <v>0</v>
      </c>
      <c r="L3797" t="s">
        <v>2709</v>
      </c>
      <c r="M3797">
        <v>30042063</v>
      </c>
      <c r="O3797" t="s">
        <v>20035</v>
      </c>
      <c r="P3797" t="s">
        <v>19900</v>
      </c>
      <c r="Q3797" t="s">
        <v>19900</v>
      </c>
      <c r="R3797" t="s">
        <v>20033</v>
      </c>
      <c r="S3797" t="s">
        <v>20034</v>
      </c>
      <c r="T3797" t="s">
        <v>19900</v>
      </c>
    </row>
    <row r="3798" spans="2:20" x14ac:dyDescent="0.25">
      <c r="B3798" t="s">
        <v>2709</v>
      </c>
      <c r="C3798">
        <v>30042069</v>
      </c>
      <c r="E3798">
        <v>298.8</v>
      </c>
      <c r="F3798">
        <v>0</v>
      </c>
      <c r="G3798">
        <v>0</v>
      </c>
      <c r="H3798">
        <v>9.9</v>
      </c>
      <c r="I3798">
        <v>2.1</v>
      </c>
      <c r="J3798">
        <v>8</v>
      </c>
      <c r="L3798" t="s">
        <v>2709</v>
      </c>
      <c r="M3798">
        <v>30042069</v>
      </c>
      <c r="O3798" t="s">
        <v>20035</v>
      </c>
      <c r="P3798" t="s">
        <v>19900</v>
      </c>
      <c r="Q3798" t="s">
        <v>19900</v>
      </c>
      <c r="R3798" t="s">
        <v>20033</v>
      </c>
      <c r="S3798" t="s">
        <v>20034</v>
      </c>
      <c r="T3798" t="s">
        <v>19918</v>
      </c>
    </row>
    <row r="3799" spans="2:20" x14ac:dyDescent="0.25">
      <c r="B3799" t="s">
        <v>2709</v>
      </c>
      <c r="C3799">
        <v>30042071</v>
      </c>
      <c r="E3799">
        <v>298.8</v>
      </c>
      <c r="F3799">
        <v>0</v>
      </c>
      <c r="G3799">
        <v>0</v>
      </c>
      <c r="H3799">
        <v>9.9</v>
      </c>
      <c r="I3799">
        <v>2.1</v>
      </c>
      <c r="J3799">
        <v>8</v>
      </c>
      <c r="L3799" t="s">
        <v>2709</v>
      </c>
      <c r="M3799">
        <v>30042071</v>
      </c>
      <c r="O3799" t="s">
        <v>20035</v>
      </c>
      <c r="P3799" t="s">
        <v>19900</v>
      </c>
      <c r="Q3799" t="s">
        <v>19900</v>
      </c>
      <c r="R3799" t="s">
        <v>20033</v>
      </c>
      <c r="S3799" t="s">
        <v>20034</v>
      </c>
      <c r="T3799" t="s">
        <v>19918</v>
      </c>
    </row>
    <row r="3800" spans="2:20" x14ac:dyDescent="0.25">
      <c r="B3800" t="s">
        <v>2709</v>
      </c>
      <c r="C3800">
        <v>30042072</v>
      </c>
      <c r="E3800">
        <v>298.8</v>
      </c>
      <c r="F3800">
        <v>0</v>
      </c>
      <c r="G3800">
        <v>0</v>
      </c>
      <c r="H3800">
        <v>9.9</v>
      </c>
      <c r="I3800">
        <v>2.1</v>
      </c>
      <c r="J3800">
        <v>0</v>
      </c>
      <c r="L3800" t="s">
        <v>2709</v>
      </c>
      <c r="M3800">
        <v>30042072</v>
      </c>
      <c r="O3800" t="s">
        <v>20035</v>
      </c>
      <c r="P3800" t="s">
        <v>19900</v>
      </c>
      <c r="Q3800" t="s">
        <v>19900</v>
      </c>
      <c r="R3800" t="s">
        <v>20033</v>
      </c>
      <c r="S3800" t="s">
        <v>20034</v>
      </c>
      <c r="T3800" t="s">
        <v>19900</v>
      </c>
    </row>
    <row r="3801" spans="2:20" x14ac:dyDescent="0.25">
      <c r="B3801" t="s">
        <v>2709</v>
      </c>
      <c r="C3801">
        <v>30042073</v>
      </c>
      <c r="E3801">
        <v>298.8</v>
      </c>
      <c r="F3801">
        <v>0</v>
      </c>
      <c r="G3801">
        <v>0</v>
      </c>
      <c r="H3801">
        <v>9.9</v>
      </c>
      <c r="I3801">
        <v>2.1</v>
      </c>
      <c r="J3801">
        <v>0</v>
      </c>
      <c r="L3801" t="s">
        <v>2709</v>
      </c>
      <c r="M3801">
        <v>30042073</v>
      </c>
      <c r="O3801" t="s">
        <v>20035</v>
      </c>
      <c r="P3801" t="s">
        <v>19900</v>
      </c>
      <c r="Q3801" t="s">
        <v>19900</v>
      </c>
      <c r="R3801" t="s">
        <v>20033</v>
      </c>
      <c r="S3801" t="s">
        <v>20034</v>
      </c>
      <c r="T3801" t="s">
        <v>19900</v>
      </c>
    </row>
    <row r="3802" spans="2:20" x14ac:dyDescent="0.25">
      <c r="B3802" t="s">
        <v>2709</v>
      </c>
      <c r="C3802">
        <v>30042079</v>
      </c>
      <c r="E3802">
        <v>298.8</v>
      </c>
      <c r="F3802">
        <v>0</v>
      </c>
      <c r="G3802">
        <v>0</v>
      </c>
      <c r="H3802">
        <v>9.9</v>
      </c>
      <c r="I3802">
        <v>2.1</v>
      </c>
      <c r="J3802">
        <v>8</v>
      </c>
      <c r="L3802" t="s">
        <v>2709</v>
      </c>
      <c r="M3802">
        <v>30042079</v>
      </c>
      <c r="O3802" t="s">
        <v>20035</v>
      </c>
      <c r="P3802" t="s">
        <v>19900</v>
      </c>
      <c r="Q3802" t="s">
        <v>19900</v>
      </c>
      <c r="R3802" t="s">
        <v>20033</v>
      </c>
      <c r="S3802" t="s">
        <v>20034</v>
      </c>
      <c r="T3802" t="s">
        <v>19918</v>
      </c>
    </row>
    <row r="3803" spans="2:20" x14ac:dyDescent="0.25">
      <c r="B3803" t="s">
        <v>2709</v>
      </c>
      <c r="C3803">
        <v>30042091</v>
      </c>
      <c r="E3803">
        <v>298.8</v>
      </c>
      <c r="F3803">
        <v>0</v>
      </c>
      <c r="G3803">
        <v>0</v>
      </c>
      <c r="H3803">
        <v>9.9</v>
      </c>
      <c r="I3803">
        <v>2.1</v>
      </c>
      <c r="J3803">
        <v>0</v>
      </c>
      <c r="L3803" t="s">
        <v>2709</v>
      </c>
      <c r="M3803">
        <v>30042091</v>
      </c>
      <c r="O3803" t="s">
        <v>20035</v>
      </c>
      <c r="P3803" t="s">
        <v>19900</v>
      </c>
      <c r="Q3803" t="s">
        <v>19900</v>
      </c>
      <c r="R3803" t="s">
        <v>20033</v>
      </c>
      <c r="S3803" t="s">
        <v>20034</v>
      </c>
      <c r="T3803" t="s">
        <v>19900</v>
      </c>
    </row>
    <row r="3804" spans="2:20" x14ac:dyDescent="0.25">
      <c r="B3804" t="s">
        <v>2709</v>
      </c>
      <c r="C3804">
        <v>30042092</v>
      </c>
      <c r="E3804">
        <v>298.8</v>
      </c>
      <c r="F3804">
        <v>0</v>
      </c>
      <c r="G3804">
        <v>0</v>
      </c>
      <c r="H3804">
        <v>9.9</v>
      </c>
      <c r="I3804">
        <v>2.1</v>
      </c>
      <c r="J3804">
        <v>8</v>
      </c>
      <c r="L3804" t="s">
        <v>2709</v>
      </c>
      <c r="M3804">
        <v>30042092</v>
      </c>
      <c r="O3804" t="s">
        <v>20035</v>
      </c>
      <c r="P3804" t="s">
        <v>19900</v>
      </c>
      <c r="Q3804" t="s">
        <v>19900</v>
      </c>
      <c r="R3804" t="s">
        <v>20033</v>
      </c>
      <c r="S3804" t="s">
        <v>20034</v>
      </c>
      <c r="T3804" t="s">
        <v>19918</v>
      </c>
    </row>
    <row r="3805" spans="2:20" x14ac:dyDescent="0.25">
      <c r="B3805" t="s">
        <v>2709</v>
      </c>
      <c r="C3805">
        <v>30042093</v>
      </c>
      <c r="E3805">
        <v>298.8</v>
      </c>
      <c r="F3805">
        <v>0</v>
      </c>
      <c r="G3805">
        <v>0</v>
      </c>
      <c r="H3805">
        <v>9.9</v>
      </c>
      <c r="I3805">
        <v>2.1</v>
      </c>
      <c r="J3805">
        <v>0</v>
      </c>
      <c r="L3805" t="s">
        <v>2709</v>
      </c>
      <c r="M3805">
        <v>30042093</v>
      </c>
      <c r="O3805" t="s">
        <v>20035</v>
      </c>
      <c r="P3805" t="s">
        <v>19900</v>
      </c>
      <c r="Q3805" t="s">
        <v>19900</v>
      </c>
      <c r="R3805" t="s">
        <v>20033</v>
      </c>
      <c r="S3805" t="s">
        <v>20034</v>
      </c>
      <c r="T3805" t="s">
        <v>19900</v>
      </c>
    </row>
    <row r="3806" spans="2:20" x14ac:dyDescent="0.25">
      <c r="B3806" t="s">
        <v>2709</v>
      </c>
      <c r="C3806">
        <v>30042094</v>
      </c>
      <c r="E3806">
        <v>298.8</v>
      </c>
      <c r="F3806">
        <v>0</v>
      </c>
      <c r="G3806">
        <v>0</v>
      </c>
      <c r="H3806">
        <v>9.9</v>
      </c>
      <c r="I3806">
        <v>2.1</v>
      </c>
      <c r="J3806">
        <v>0</v>
      </c>
      <c r="L3806" t="s">
        <v>2709</v>
      </c>
      <c r="M3806">
        <v>30042094</v>
      </c>
      <c r="O3806" t="s">
        <v>20035</v>
      </c>
      <c r="P3806" t="s">
        <v>19900</v>
      </c>
      <c r="Q3806" t="s">
        <v>19900</v>
      </c>
      <c r="R3806" t="s">
        <v>20033</v>
      </c>
      <c r="S3806" t="s">
        <v>20034</v>
      </c>
      <c r="T3806" t="s">
        <v>19900</v>
      </c>
    </row>
    <row r="3807" spans="2:20" x14ac:dyDescent="0.25">
      <c r="B3807" t="s">
        <v>2709</v>
      </c>
      <c r="C3807">
        <v>30042095</v>
      </c>
      <c r="E3807">
        <v>298.8</v>
      </c>
      <c r="F3807">
        <v>0</v>
      </c>
      <c r="G3807">
        <v>0</v>
      </c>
      <c r="H3807">
        <v>9.9</v>
      </c>
      <c r="I3807">
        <v>2.1</v>
      </c>
      <c r="J3807">
        <v>0</v>
      </c>
      <c r="L3807" t="s">
        <v>2709</v>
      </c>
      <c r="M3807">
        <v>30042095</v>
      </c>
      <c r="O3807" t="s">
        <v>20035</v>
      </c>
      <c r="P3807" t="s">
        <v>19900</v>
      </c>
      <c r="Q3807" t="s">
        <v>19900</v>
      </c>
      <c r="R3807" t="s">
        <v>20033</v>
      </c>
      <c r="S3807" t="s">
        <v>20034</v>
      </c>
      <c r="T3807" t="s">
        <v>19900</v>
      </c>
    </row>
    <row r="3808" spans="2:20" x14ac:dyDescent="0.25">
      <c r="B3808" t="s">
        <v>2709</v>
      </c>
      <c r="C3808">
        <v>30042099</v>
      </c>
      <c r="E3808">
        <v>298.8</v>
      </c>
      <c r="F3808">
        <v>7</v>
      </c>
      <c r="G3808">
        <v>0</v>
      </c>
      <c r="H3808">
        <v>9.9</v>
      </c>
      <c r="I3808">
        <v>2.1</v>
      </c>
      <c r="J3808">
        <v>8</v>
      </c>
      <c r="L3808" t="s">
        <v>2709</v>
      </c>
      <c r="M3808">
        <v>30042099</v>
      </c>
      <c r="O3808" t="s">
        <v>20035</v>
      </c>
      <c r="P3808" t="s">
        <v>19908</v>
      </c>
      <c r="Q3808" t="s">
        <v>19900</v>
      </c>
      <c r="R3808" t="s">
        <v>20033</v>
      </c>
      <c r="S3808" t="s">
        <v>20034</v>
      </c>
      <c r="T3808" t="s">
        <v>19918</v>
      </c>
    </row>
    <row r="3809" spans="2:20" x14ac:dyDescent="0.25">
      <c r="B3809" t="s">
        <v>2709</v>
      </c>
      <c r="C3809">
        <v>30043100</v>
      </c>
      <c r="E3809">
        <v>298.8</v>
      </c>
      <c r="F3809">
        <v>0</v>
      </c>
      <c r="G3809">
        <v>0</v>
      </c>
      <c r="H3809">
        <v>9.9</v>
      </c>
      <c r="I3809">
        <v>2.1</v>
      </c>
      <c r="J3809">
        <v>14</v>
      </c>
      <c r="L3809" t="s">
        <v>2709</v>
      </c>
      <c r="M3809">
        <v>30043100</v>
      </c>
      <c r="O3809" t="s">
        <v>20035</v>
      </c>
      <c r="P3809" t="s">
        <v>19900</v>
      </c>
      <c r="Q3809" t="s">
        <v>19900</v>
      </c>
      <c r="R3809" t="s">
        <v>20033</v>
      </c>
      <c r="S3809" t="s">
        <v>20034</v>
      </c>
      <c r="T3809" t="s">
        <v>19911</v>
      </c>
    </row>
    <row r="3810" spans="2:20" x14ac:dyDescent="0.25">
      <c r="B3810" t="s">
        <v>2709</v>
      </c>
      <c r="C3810">
        <v>30043210</v>
      </c>
      <c r="E3810">
        <v>298.8</v>
      </c>
      <c r="F3810">
        <v>0</v>
      </c>
      <c r="G3810">
        <v>0</v>
      </c>
      <c r="H3810">
        <v>9.9</v>
      </c>
      <c r="I3810">
        <v>2.1</v>
      </c>
      <c r="J3810">
        <v>14</v>
      </c>
      <c r="L3810" t="s">
        <v>2709</v>
      </c>
      <c r="M3810">
        <v>30043210</v>
      </c>
      <c r="O3810" t="s">
        <v>20035</v>
      </c>
      <c r="P3810" t="s">
        <v>19900</v>
      </c>
      <c r="Q3810" t="s">
        <v>19900</v>
      </c>
      <c r="R3810" t="s">
        <v>20033</v>
      </c>
      <c r="S3810" t="s">
        <v>20034</v>
      </c>
      <c r="T3810" t="s">
        <v>19911</v>
      </c>
    </row>
    <row r="3811" spans="2:20" x14ac:dyDescent="0.25">
      <c r="B3811" t="s">
        <v>2709</v>
      </c>
      <c r="C3811">
        <v>30043220</v>
      </c>
      <c r="E3811">
        <v>298.8</v>
      </c>
      <c r="F3811">
        <v>0</v>
      </c>
      <c r="G3811">
        <v>0</v>
      </c>
      <c r="H3811">
        <v>9.9</v>
      </c>
      <c r="I3811">
        <v>2.1</v>
      </c>
      <c r="J3811">
        <v>14</v>
      </c>
      <c r="L3811" t="s">
        <v>2709</v>
      </c>
      <c r="M3811">
        <v>30043220</v>
      </c>
      <c r="O3811" t="s">
        <v>20035</v>
      </c>
      <c r="P3811" t="s">
        <v>19900</v>
      </c>
      <c r="Q3811" t="s">
        <v>19900</v>
      </c>
      <c r="R3811" t="s">
        <v>20033</v>
      </c>
      <c r="S3811" t="s">
        <v>20034</v>
      </c>
      <c r="T3811" t="s">
        <v>19911</v>
      </c>
    </row>
    <row r="3812" spans="2:20" x14ac:dyDescent="0.25">
      <c r="B3812" t="s">
        <v>2709</v>
      </c>
      <c r="C3812">
        <v>30043290</v>
      </c>
      <c r="E3812">
        <v>298.8</v>
      </c>
      <c r="F3812">
        <v>0</v>
      </c>
      <c r="G3812">
        <v>0</v>
      </c>
      <c r="H3812">
        <v>9.9</v>
      </c>
      <c r="I3812">
        <v>2.1</v>
      </c>
      <c r="J3812">
        <v>8</v>
      </c>
      <c r="L3812" t="s">
        <v>2709</v>
      </c>
      <c r="M3812">
        <v>30043290</v>
      </c>
      <c r="O3812" t="s">
        <v>20035</v>
      </c>
      <c r="P3812" t="s">
        <v>19900</v>
      </c>
      <c r="Q3812" t="s">
        <v>19900</v>
      </c>
      <c r="R3812" t="s">
        <v>20033</v>
      </c>
      <c r="S3812" t="s">
        <v>20034</v>
      </c>
      <c r="T3812" t="s">
        <v>19918</v>
      </c>
    </row>
    <row r="3813" spans="2:20" x14ac:dyDescent="0.25">
      <c r="B3813" t="s">
        <v>2709</v>
      </c>
      <c r="C3813">
        <v>30043911</v>
      </c>
      <c r="E3813">
        <v>298.8</v>
      </c>
      <c r="F3813">
        <v>0</v>
      </c>
      <c r="G3813">
        <v>0</v>
      </c>
      <c r="H3813">
        <v>9.9</v>
      </c>
      <c r="I3813">
        <v>2.1</v>
      </c>
      <c r="J3813">
        <v>0</v>
      </c>
      <c r="L3813" t="s">
        <v>2709</v>
      </c>
      <c r="M3813">
        <v>30043911</v>
      </c>
      <c r="O3813" t="s">
        <v>20035</v>
      </c>
      <c r="P3813" t="s">
        <v>19900</v>
      </c>
      <c r="Q3813" t="s">
        <v>19900</v>
      </c>
      <c r="R3813" t="s">
        <v>20033</v>
      </c>
      <c r="S3813" t="s">
        <v>20034</v>
      </c>
      <c r="T3813" t="s">
        <v>19900</v>
      </c>
    </row>
    <row r="3814" spans="2:20" x14ac:dyDescent="0.25">
      <c r="B3814" t="s">
        <v>2709</v>
      </c>
      <c r="C3814">
        <v>30043912</v>
      </c>
      <c r="E3814">
        <v>298.8</v>
      </c>
      <c r="F3814">
        <v>0</v>
      </c>
      <c r="G3814">
        <v>0</v>
      </c>
      <c r="H3814">
        <v>9.9</v>
      </c>
      <c r="I3814">
        <v>2.1</v>
      </c>
      <c r="J3814">
        <v>14</v>
      </c>
      <c r="L3814" t="s">
        <v>2709</v>
      </c>
      <c r="M3814">
        <v>30043912</v>
      </c>
      <c r="O3814" t="s">
        <v>20035</v>
      </c>
      <c r="P3814" t="s">
        <v>19900</v>
      </c>
      <c r="Q3814" t="s">
        <v>19900</v>
      </c>
      <c r="R3814" t="s">
        <v>20033</v>
      </c>
      <c r="S3814" t="s">
        <v>20034</v>
      </c>
      <c r="T3814" t="s">
        <v>19911</v>
      </c>
    </row>
    <row r="3815" spans="2:20" x14ac:dyDescent="0.25">
      <c r="B3815" t="s">
        <v>2709</v>
      </c>
      <c r="C3815">
        <v>30043913</v>
      </c>
      <c r="E3815">
        <v>298.8</v>
      </c>
      <c r="F3815">
        <v>0</v>
      </c>
      <c r="G3815">
        <v>0</v>
      </c>
      <c r="H3815">
        <v>9.9</v>
      </c>
      <c r="I3815">
        <v>2.1</v>
      </c>
      <c r="J3815">
        <v>14</v>
      </c>
      <c r="L3815" t="s">
        <v>2709</v>
      </c>
      <c r="M3815">
        <v>30043913</v>
      </c>
      <c r="O3815" t="s">
        <v>20035</v>
      </c>
      <c r="P3815" t="s">
        <v>19900</v>
      </c>
      <c r="Q3815" t="s">
        <v>19900</v>
      </c>
      <c r="R3815" t="s">
        <v>20033</v>
      </c>
      <c r="S3815" t="s">
        <v>20034</v>
      </c>
      <c r="T3815" t="s">
        <v>19911</v>
      </c>
    </row>
    <row r="3816" spans="2:20" x14ac:dyDescent="0.25">
      <c r="B3816" t="s">
        <v>2709</v>
      </c>
      <c r="C3816">
        <v>30043914</v>
      </c>
      <c r="E3816">
        <v>298.8</v>
      </c>
      <c r="F3816">
        <v>0</v>
      </c>
      <c r="G3816">
        <v>0</v>
      </c>
      <c r="H3816">
        <v>9.9</v>
      </c>
      <c r="I3816">
        <v>2.1</v>
      </c>
      <c r="J3816">
        <v>8</v>
      </c>
      <c r="L3816" t="s">
        <v>2709</v>
      </c>
      <c r="M3816">
        <v>30043914</v>
      </c>
      <c r="O3816" t="s">
        <v>20035</v>
      </c>
      <c r="P3816" t="s">
        <v>19900</v>
      </c>
      <c r="Q3816" t="s">
        <v>19900</v>
      </c>
      <c r="R3816" t="s">
        <v>20033</v>
      </c>
      <c r="S3816" t="s">
        <v>20034</v>
      </c>
      <c r="T3816" t="s">
        <v>19918</v>
      </c>
    </row>
    <row r="3817" spans="2:20" x14ac:dyDescent="0.25">
      <c r="B3817" t="s">
        <v>2709</v>
      </c>
      <c r="C3817">
        <v>30043915</v>
      </c>
      <c r="E3817">
        <v>298.8</v>
      </c>
      <c r="F3817">
        <v>0</v>
      </c>
      <c r="G3817">
        <v>0</v>
      </c>
      <c r="H3817">
        <v>9.9</v>
      </c>
      <c r="I3817">
        <v>2.1</v>
      </c>
      <c r="J3817">
        <v>8</v>
      </c>
      <c r="L3817" t="s">
        <v>2709</v>
      </c>
      <c r="M3817">
        <v>30043915</v>
      </c>
      <c r="O3817" t="s">
        <v>20035</v>
      </c>
      <c r="P3817" t="s">
        <v>19900</v>
      </c>
      <c r="Q3817" t="s">
        <v>19900</v>
      </c>
      <c r="R3817" t="s">
        <v>20033</v>
      </c>
      <c r="S3817" t="s">
        <v>20034</v>
      </c>
      <c r="T3817" t="s">
        <v>19918</v>
      </c>
    </row>
    <row r="3818" spans="2:20" x14ac:dyDescent="0.25">
      <c r="B3818" t="s">
        <v>2709</v>
      </c>
      <c r="C3818">
        <v>30043916</v>
      </c>
      <c r="E3818">
        <v>298.8</v>
      </c>
      <c r="F3818">
        <v>0</v>
      </c>
      <c r="G3818">
        <v>0</v>
      </c>
      <c r="H3818">
        <v>9.9</v>
      </c>
      <c r="I3818">
        <v>2.1</v>
      </c>
      <c r="J3818">
        <v>0</v>
      </c>
      <c r="L3818" t="s">
        <v>2709</v>
      </c>
      <c r="M3818">
        <v>30043916</v>
      </c>
      <c r="O3818" t="s">
        <v>20035</v>
      </c>
      <c r="P3818" t="s">
        <v>19900</v>
      </c>
      <c r="Q3818" t="s">
        <v>19900</v>
      </c>
      <c r="R3818" t="s">
        <v>20033</v>
      </c>
      <c r="S3818" t="s">
        <v>20034</v>
      </c>
      <c r="T3818" t="s">
        <v>19900</v>
      </c>
    </row>
    <row r="3819" spans="2:20" x14ac:dyDescent="0.25">
      <c r="B3819" t="s">
        <v>2709</v>
      </c>
      <c r="C3819">
        <v>30043917</v>
      </c>
      <c r="E3819">
        <v>298.8</v>
      </c>
      <c r="F3819">
        <v>0</v>
      </c>
      <c r="G3819">
        <v>0</v>
      </c>
      <c r="H3819">
        <v>9.9</v>
      </c>
      <c r="I3819">
        <v>2.1</v>
      </c>
      <c r="J3819">
        <v>0</v>
      </c>
      <c r="L3819" t="s">
        <v>2709</v>
      </c>
      <c r="M3819">
        <v>30043917</v>
      </c>
      <c r="O3819" t="s">
        <v>20035</v>
      </c>
      <c r="P3819" t="s">
        <v>19900</v>
      </c>
      <c r="Q3819" t="s">
        <v>19900</v>
      </c>
      <c r="R3819" t="s">
        <v>20033</v>
      </c>
      <c r="S3819" t="s">
        <v>20034</v>
      </c>
      <c r="T3819" t="s">
        <v>19900</v>
      </c>
    </row>
    <row r="3820" spans="2:20" x14ac:dyDescent="0.25">
      <c r="B3820" t="s">
        <v>2709</v>
      </c>
      <c r="C3820">
        <v>30043918</v>
      </c>
      <c r="E3820">
        <v>298.8</v>
      </c>
      <c r="F3820">
        <v>0</v>
      </c>
      <c r="G3820">
        <v>0</v>
      </c>
      <c r="H3820">
        <v>9.9</v>
      </c>
      <c r="I3820">
        <v>2.1</v>
      </c>
      <c r="J3820">
        <v>0</v>
      </c>
      <c r="L3820" t="s">
        <v>2709</v>
      </c>
      <c r="M3820">
        <v>30043918</v>
      </c>
      <c r="O3820" t="s">
        <v>20035</v>
      </c>
      <c r="P3820" t="s">
        <v>19900</v>
      </c>
      <c r="Q3820" t="s">
        <v>19900</v>
      </c>
      <c r="R3820" t="s">
        <v>20033</v>
      </c>
      <c r="S3820" t="s">
        <v>20034</v>
      </c>
      <c r="T3820" t="s">
        <v>19900</v>
      </c>
    </row>
    <row r="3821" spans="2:20" x14ac:dyDescent="0.25">
      <c r="B3821" t="s">
        <v>2709</v>
      </c>
      <c r="C3821">
        <v>30043919</v>
      </c>
      <c r="E3821">
        <v>298.8</v>
      </c>
      <c r="F3821">
        <v>0</v>
      </c>
      <c r="G3821">
        <v>0</v>
      </c>
      <c r="H3821">
        <v>9.9</v>
      </c>
      <c r="I3821">
        <v>2.1</v>
      </c>
      <c r="J3821">
        <v>0</v>
      </c>
      <c r="L3821" t="s">
        <v>2709</v>
      </c>
      <c r="M3821">
        <v>30043919</v>
      </c>
      <c r="O3821" t="s">
        <v>20035</v>
      </c>
      <c r="P3821" t="s">
        <v>19900</v>
      </c>
      <c r="Q3821" t="s">
        <v>19900</v>
      </c>
      <c r="R3821" t="s">
        <v>20033</v>
      </c>
      <c r="S3821" t="s">
        <v>20034</v>
      </c>
      <c r="T3821" t="s">
        <v>19900</v>
      </c>
    </row>
    <row r="3822" spans="2:20" x14ac:dyDescent="0.25">
      <c r="B3822" t="s">
        <v>2709</v>
      </c>
      <c r="C3822">
        <v>30043921</v>
      </c>
      <c r="E3822">
        <v>298.8</v>
      </c>
      <c r="F3822">
        <v>0</v>
      </c>
      <c r="G3822">
        <v>0</v>
      </c>
      <c r="H3822">
        <v>9.9</v>
      </c>
      <c r="I3822">
        <v>2.1</v>
      </c>
      <c r="J3822">
        <v>0</v>
      </c>
      <c r="L3822" t="s">
        <v>2709</v>
      </c>
      <c r="M3822">
        <v>30043921</v>
      </c>
      <c r="O3822" t="s">
        <v>20035</v>
      </c>
      <c r="P3822" t="s">
        <v>19900</v>
      </c>
      <c r="Q3822" t="s">
        <v>19900</v>
      </c>
      <c r="R3822" t="s">
        <v>20033</v>
      </c>
      <c r="S3822" t="s">
        <v>20034</v>
      </c>
      <c r="T3822" t="s">
        <v>19900</v>
      </c>
    </row>
    <row r="3823" spans="2:20" x14ac:dyDescent="0.25">
      <c r="B3823" t="s">
        <v>2709</v>
      </c>
      <c r="C3823">
        <v>30043922</v>
      </c>
      <c r="E3823">
        <v>298.8</v>
      </c>
      <c r="F3823">
        <v>0</v>
      </c>
      <c r="G3823">
        <v>0</v>
      </c>
      <c r="H3823">
        <v>9.9</v>
      </c>
      <c r="I3823">
        <v>2.1</v>
      </c>
      <c r="J3823">
        <v>14</v>
      </c>
      <c r="L3823" t="s">
        <v>2709</v>
      </c>
      <c r="M3823">
        <v>30043922</v>
      </c>
      <c r="O3823" t="s">
        <v>20035</v>
      </c>
      <c r="P3823" t="s">
        <v>19900</v>
      </c>
      <c r="Q3823" t="s">
        <v>19900</v>
      </c>
      <c r="R3823" t="s">
        <v>20033</v>
      </c>
      <c r="S3823" t="s">
        <v>20034</v>
      </c>
      <c r="T3823" t="s">
        <v>19911</v>
      </c>
    </row>
    <row r="3824" spans="2:20" x14ac:dyDescent="0.25">
      <c r="B3824" t="s">
        <v>2709</v>
      </c>
      <c r="C3824">
        <v>30043923</v>
      </c>
      <c r="E3824">
        <v>298.8</v>
      </c>
      <c r="F3824">
        <v>0</v>
      </c>
      <c r="G3824">
        <v>0</v>
      </c>
      <c r="H3824">
        <v>9.9</v>
      </c>
      <c r="I3824">
        <v>2.1</v>
      </c>
      <c r="J3824">
        <v>14</v>
      </c>
      <c r="L3824" t="s">
        <v>2709</v>
      </c>
      <c r="M3824">
        <v>30043923</v>
      </c>
      <c r="O3824" t="s">
        <v>20035</v>
      </c>
      <c r="P3824" t="s">
        <v>19900</v>
      </c>
      <c r="Q3824" t="s">
        <v>19900</v>
      </c>
      <c r="R3824" t="s">
        <v>20033</v>
      </c>
      <c r="S3824" t="s">
        <v>20034</v>
      </c>
      <c r="T3824" t="s">
        <v>19911</v>
      </c>
    </row>
    <row r="3825" spans="2:20" x14ac:dyDescent="0.25">
      <c r="B3825" t="s">
        <v>2709</v>
      </c>
      <c r="C3825">
        <v>30043924</v>
      </c>
      <c r="E3825">
        <v>298.8</v>
      </c>
      <c r="F3825">
        <v>0</v>
      </c>
      <c r="G3825">
        <v>0</v>
      </c>
      <c r="H3825">
        <v>9.9</v>
      </c>
      <c r="I3825">
        <v>2.1</v>
      </c>
      <c r="J3825">
        <v>0</v>
      </c>
      <c r="L3825" t="s">
        <v>2709</v>
      </c>
      <c r="M3825">
        <v>30043924</v>
      </c>
      <c r="O3825" t="s">
        <v>20035</v>
      </c>
      <c r="P3825" t="s">
        <v>19900</v>
      </c>
      <c r="Q3825" t="s">
        <v>19900</v>
      </c>
      <c r="R3825" t="s">
        <v>20033</v>
      </c>
      <c r="S3825" t="s">
        <v>20034</v>
      </c>
      <c r="T3825" t="s">
        <v>19900</v>
      </c>
    </row>
    <row r="3826" spans="2:20" x14ac:dyDescent="0.25">
      <c r="B3826" t="s">
        <v>2709</v>
      </c>
      <c r="C3826">
        <v>30043925</v>
      </c>
      <c r="E3826">
        <v>298.8</v>
      </c>
      <c r="F3826">
        <v>0</v>
      </c>
      <c r="G3826">
        <v>0</v>
      </c>
      <c r="H3826">
        <v>9.9</v>
      </c>
      <c r="I3826">
        <v>2.1</v>
      </c>
      <c r="J3826">
        <v>8</v>
      </c>
      <c r="L3826" t="s">
        <v>2709</v>
      </c>
      <c r="M3826">
        <v>30043925</v>
      </c>
      <c r="O3826" t="s">
        <v>20035</v>
      </c>
      <c r="P3826" t="s">
        <v>19900</v>
      </c>
      <c r="Q3826" t="s">
        <v>19900</v>
      </c>
      <c r="R3826" t="s">
        <v>20033</v>
      </c>
      <c r="S3826" t="s">
        <v>20034</v>
      </c>
      <c r="T3826" t="s">
        <v>19918</v>
      </c>
    </row>
    <row r="3827" spans="2:20" x14ac:dyDescent="0.25">
      <c r="B3827" t="s">
        <v>2709</v>
      </c>
      <c r="C3827">
        <v>30043926</v>
      </c>
      <c r="E3827">
        <v>298.8</v>
      </c>
      <c r="F3827">
        <v>0</v>
      </c>
      <c r="G3827">
        <v>0</v>
      </c>
      <c r="H3827">
        <v>9.9</v>
      </c>
      <c r="I3827">
        <v>2.1</v>
      </c>
      <c r="J3827">
        <v>0</v>
      </c>
      <c r="L3827" t="s">
        <v>2709</v>
      </c>
      <c r="M3827">
        <v>30043926</v>
      </c>
      <c r="O3827" t="s">
        <v>20035</v>
      </c>
      <c r="P3827" t="s">
        <v>19900</v>
      </c>
      <c r="Q3827" t="s">
        <v>19900</v>
      </c>
      <c r="R3827" t="s">
        <v>20033</v>
      </c>
      <c r="S3827" t="s">
        <v>20034</v>
      </c>
      <c r="T3827" t="s">
        <v>19900</v>
      </c>
    </row>
    <row r="3828" spans="2:20" x14ac:dyDescent="0.25">
      <c r="B3828" t="s">
        <v>2709</v>
      </c>
      <c r="C3828">
        <v>30043927</v>
      </c>
      <c r="E3828">
        <v>298.8</v>
      </c>
      <c r="F3828">
        <v>0</v>
      </c>
      <c r="G3828">
        <v>0</v>
      </c>
      <c r="H3828">
        <v>9.9</v>
      </c>
      <c r="I3828">
        <v>2.1</v>
      </c>
      <c r="J3828">
        <v>0</v>
      </c>
      <c r="L3828" t="s">
        <v>2709</v>
      </c>
      <c r="M3828">
        <v>30043927</v>
      </c>
      <c r="O3828" t="s">
        <v>20035</v>
      </c>
      <c r="P3828" t="s">
        <v>19900</v>
      </c>
      <c r="Q3828" t="s">
        <v>19900</v>
      </c>
      <c r="R3828" t="s">
        <v>20033</v>
      </c>
      <c r="S3828" t="s">
        <v>20034</v>
      </c>
      <c r="T3828" t="s">
        <v>19900</v>
      </c>
    </row>
    <row r="3829" spans="2:20" x14ac:dyDescent="0.25">
      <c r="B3829" t="s">
        <v>2709</v>
      </c>
      <c r="C3829">
        <v>30043928</v>
      </c>
      <c r="E3829">
        <v>298.8</v>
      </c>
      <c r="F3829">
        <v>0</v>
      </c>
      <c r="G3829">
        <v>0</v>
      </c>
      <c r="H3829">
        <v>9.9</v>
      </c>
      <c r="I3829">
        <v>2.1</v>
      </c>
      <c r="J3829">
        <v>0</v>
      </c>
      <c r="L3829" t="s">
        <v>2709</v>
      </c>
      <c r="M3829">
        <v>30043928</v>
      </c>
      <c r="O3829" t="s">
        <v>20035</v>
      </c>
      <c r="P3829" t="s">
        <v>19900</v>
      </c>
      <c r="Q3829" t="s">
        <v>19900</v>
      </c>
      <c r="R3829" t="s">
        <v>20033</v>
      </c>
      <c r="S3829" t="s">
        <v>20034</v>
      </c>
      <c r="T3829" t="s">
        <v>19900</v>
      </c>
    </row>
    <row r="3830" spans="2:20" x14ac:dyDescent="0.25">
      <c r="B3830" t="s">
        <v>2709</v>
      </c>
      <c r="C3830">
        <v>30043929</v>
      </c>
      <c r="E3830">
        <v>298.8</v>
      </c>
      <c r="F3830">
        <v>0</v>
      </c>
      <c r="G3830">
        <v>0</v>
      </c>
      <c r="H3830">
        <v>9.9</v>
      </c>
      <c r="I3830">
        <v>2.1</v>
      </c>
      <c r="J3830">
        <v>8</v>
      </c>
      <c r="L3830" t="s">
        <v>2709</v>
      </c>
      <c r="M3830">
        <v>30043929</v>
      </c>
      <c r="O3830" t="s">
        <v>20035</v>
      </c>
      <c r="P3830" t="s">
        <v>19900</v>
      </c>
      <c r="Q3830" t="s">
        <v>19900</v>
      </c>
      <c r="R3830" t="s">
        <v>20033</v>
      </c>
      <c r="S3830" t="s">
        <v>20034</v>
      </c>
      <c r="T3830" t="s">
        <v>19918</v>
      </c>
    </row>
    <row r="3831" spans="2:20" x14ac:dyDescent="0.25">
      <c r="B3831" t="s">
        <v>2709</v>
      </c>
      <c r="C3831">
        <v>30043931</v>
      </c>
      <c r="E3831">
        <v>298.8</v>
      </c>
      <c r="F3831">
        <v>0</v>
      </c>
      <c r="G3831">
        <v>0</v>
      </c>
      <c r="H3831">
        <v>9.9</v>
      </c>
      <c r="I3831">
        <v>2.1</v>
      </c>
      <c r="J3831">
        <v>14</v>
      </c>
      <c r="L3831" t="s">
        <v>2709</v>
      </c>
      <c r="M3831">
        <v>30043931</v>
      </c>
      <c r="O3831" t="s">
        <v>20035</v>
      </c>
      <c r="P3831" t="s">
        <v>19900</v>
      </c>
      <c r="Q3831" t="s">
        <v>19900</v>
      </c>
      <c r="R3831" t="s">
        <v>20033</v>
      </c>
      <c r="S3831" t="s">
        <v>20034</v>
      </c>
      <c r="T3831" t="s">
        <v>19911</v>
      </c>
    </row>
    <row r="3832" spans="2:20" x14ac:dyDescent="0.25">
      <c r="B3832" t="s">
        <v>2709</v>
      </c>
      <c r="C3832">
        <v>30043932</v>
      </c>
      <c r="E3832">
        <v>298.8</v>
      </c>
      <c r="F3832">
        <v>0</v>
      </c>
      <c r="G3832">
        <v>0</v>
      </c>
      <c r="H3832">
        <v>9.9</v>
      </c>
      <c r="I3832">
        <v>2.1</v>
      </c>
      <c r="J3832">
        <v>14</v>
      </c>
      <c r="L3832" t="s">
        <v>2709</v>
      </c>
      <c r="M3832">
        <v>30043932</v>
      </c>
      <c r="O3832" t="s">
        <v>20035</v>
      </c>
      <c r="P3832" t="s">
        <v>19900</v>
      </c>
      <c r="Q3832" t="s">
        <v>19900</v>
      </c>
      <c r="R3832" t="s">
        <v>20033</v>
      </c>
      <c r="S3832" t="s">
        <v>20034</v>
      </c>
      <c r="T3832" t="s">
        <v>19911</v>
      </c>
    </row>
    <row r="3833" spans="2:20" x14ac:dyDescent="0.25">
      <c r="B3833" t="s">
        <v>2709</v>
      </c>
      <c r="C3833">
        <v>30043933</v>
      </c>
      <c r="E3833">
        <v>298.8</v>
      </c>
      <c r="F3833">
        <v>0</v>
      </c>
      <c r="G3833">
        <v>0</v>
      </c>
      <c r="H3833">
        <v>9.9</v>
      </c>
      <c r="I3833">
        <v>2.1</v>
      </c>
      <c r="J3833">
        <v>14</v>
      </c>
      <c r="L3833" t="s">
        <v>2709</v>
      </c>
      <c r="M3833">
        <v>30043933</v>
      </c>
      <c r="O3833" t="s">
        <v>20035</v>
      </c>
      <c r="P3833" t="s">
        <v>19900</v>
      </c>
      <c r="Q3833" t="s">
        <v>19900</v>
      </c>
      <c r="R3833" t="s">
        <v>20033</v>
      </c>
      <c r="S3833" t="s">
        <v>20034</v>
      </c>
      <c r="T3833" t="s">
        <v>19911</v>
      </c>
    </row>
    <row r="3834" spans="2:20" x14ac:dyDescent="0.25">
      <c r="B3834" t="s">
        <v>2709</v>
      </c>
      <c r="C3834">
        <v>30043934</v>
      </c>
      <c r="E3834">
        <v>298.8</v>
      </c>
      <c r="F3834">
        <v>0</v>
      </c>
      <c r="G3834">
        <v>0</v>
      </c>
      <c r="H3834">
        <v>9.9</v>
      </c>
      <c r="I3834">
        <v>2.1</v>
      </c>
      <c r="J3834">
        <v>14</v>
      </c>
      <c r="L3834" t="s">
        <v>2709</v>
      </c>
      <c r="M3834">
        <v>30043934</v>
      </c>
      <c r="O3834" t="s">
        <v>20035</v>
      </c>
      <c r="P3834" t="s">
        <v>19900</v>
      </c>
      <c r="Q3834" t="s">
        <v>19900</v>
      </c>
      <c r="R3834" t="s">
        <v>20033</v>
      </c>
      <c r="S3834" t="s">
        <v>20034</v>
      </c>
      <c r="T3834" t="s">
        <v>19911</v>
      </c>
    </row>
    <row r="3835" spans="2:20" x14ac:dyDescent="0.25">
      <c r="B3835" t="s">
        <v>2709</v>
      </c>
      <c r="C3835">
        <v>30043935</v>
      </c>
      <c r="E3835">
        <v>298.8</v>
      </c>
      <c r="F3835">
        <v>0</v>
      </c>
      <c r="G3835">
        <v>0</v>
      </c>
      <c r="H3835">
        <v>9.9</v>
      </c>
      <c r="I3835">
        <v>2.1</v>
      </c>
      <c r="J3835">
        <v>14</v>
      </c>
      <c r="L3835" t="s">
        <v>2709</v>
      </c>
      <c r="M3835">
        <v>30043935</v>
      </c>
      <c r="O3835" t="s">
        <v>20035</v>
      </c>
      <c r="P3835" t="s">
        <v>19900</v>
      </c>
      <c r="Q3835" t="s">
        <v>19900</v>
      </c>
      <c r="R3835" t="s">
        <v>20033</v>
      </c>
      <c r="S3835" t="s">
        <v>20034</v>
      </c>
      <c r="T3835" t="s">
        <v>19911</v>
      </c>
    </row>
    <row r="3836" spans="2:20" x14ac:dyDescent="0.25">
      <c r="B3836" t="s">
        <v>2709</v>
      </c>
      <c r="C3836">
        <v>30043936</v>
      </c>
      <c r="E3836">
        <v>298.8</v>
      </c>
      <c r="F3836">
        <v>0</v>
      </c>
      <c r="G3836">
        <v>0</v>
      </c>
      <c r="H3836">
        <v>9.9</v>
      </c>
      <c r="I3836">
        <v>2.1</v>
      </c>
      <c r="J3836">
        <v>0</v>
      </c>
      <c r="L3836" t="s">
        <v>2709</v>
      </c>
      <c r="M3836">
        <v>30043936</v>
      </c>
      <c r="O3836" t="s">
        <v>20035</v>
      </c>
      <c r="P3836" t="s">
        <v>19900</v>
      </c>
      <c r="Q3836" t="s">
        <v>19900</v>
      </c>
      <c r="R3836" t="s">
        <v>20033</v>
      </c>
      <c r="S3836" t="s">
        <v>20034</v>
      </c>
      <c r="T3836" t="s">
        <v>19900</v>
      </c>
    </row>
    <row r="3837" spans="2:20" x14ac:dyDescent="0.25">
      <c r="B3837" t="s">
        <v>2709</v>
      </c>
      <c r="C3837">
        <v>30043937</v>
      </c>
      <c r="E3837">
        <v>298.8</v>
      </c>
      <c r="F3837">
        <v>0</v>
      </c>
      <c r="G3837">
        <v>0</v>
      </c>
      <c r="H3837">
        <v>9.9</v>
      </c>
      <c r="I3837">
        <v>2.1</v>
      </c>
      <c r="J3837">
        <v>14</v>
      </c>
      <c r="L3837" t="s">
        <v>2709</v>
      </c>
      <c r="M3837">
        <v>30043937</v>
      </c>
      <c r="O3837" t="s">
        <v>20035</v>
      </c>
      <c r="P3837" t="s">
        <v>19900</v>
      </c>
      <c r="Q3837" t="s">
        <v>19900</v>
      </c>
      <c r="R3837" t="s">
        <v>20033</v>
      </c>
      <c r="S3837" t="s">
        <v>20034</v>
      </c>
      <c r="T3837" t="s">
        <v>19911</v>
      </c>
    </row>
    <row r="3838" spans="2:20" x14ac:dyDescent="0.25">
      <c r="B3838" t="s">
        <v>2709</v>
      </c>
      <c r="C3838">
        <v>30043939</v>
      </c>
      <c r="E3838">
        <v>298.8</v>
      </c>
      <c r="F3838">
        <v>0</v>
      </c>
      <c r="G3838">
        <v>0</v>
      </c>
      <c r="H3838">
        <v>9.9</v>
      </c>
      <c r="I3838">
        <v>2.1</v>
      </c>
      <c r="J3838">
        <v>8</v>
      </c>
      <c r="L3838" t="s">
        <v>2709</v>
      </c>
      <c r="M3838">
        <v>30043939</v>
      </c>
      <c r="O3838" t="s">
        <v>20035</v>
      </c>
      <c r="P3838" t="s">
        <v>19900</v>
      </c>
      <c r="Q3838" t="s">
        <v>19900</v>
      </c>
      <c r="R3838" t="s">
        <v>20033</v>
      </c>
      <c r="S3838" t="s">
        <v>20034</v>
      </c>
      <c r="T3838" t="s">
        <v>19918</v>
      </c>
    </row>
    <row r="3839" spans="2:20" x14ac:dyDescent="0.25">
      <c r="B3839" t="s">
        <v>2709</v>
      </c>
      <c r="C3839">
        <v>30043981</v>
      </c>
      <c r="E3839">
        <v>298.8</v>
      </c>
      <c r="F3839">
        <v>0</v>
      </c>
      <c r="G3839">
        <v>0</v>
      </c>
      <c r="H3839">
        <v>9.9</v>
      </c>
      <c r="I3839">
        <v>2.1</v>
      </c>
      <c r="J3839">
        <v>12</v>
      </c>
      <c r="L3839" t="s">
        <v>2709</v>
      </c>
      <c r="M3839">
        <v>30043981</v>
      </c>
      <c r="O3839" t="s">
        <v>20035</v>
      </c>
      <c r="P3839" t="s">
        <v>19900</v>
      </c>
      <c r="Q3839" t="s">
        <v>19900</v>
      </c>
      <c r="R3839" t="s">
        <v>20033</v>
      </c>
      <c r="S3839" t="s">
        <v>20034</v>
      </c>
      <c r="T3839" t="s">
        <v>19903</v>
      </c>
    </row>
    <row r="3840" spans="2:20" x14ac:dyDescent="0.25">
      <c r="B3840" t="s">
        <v>2709</v>
      </c>
      <c r="C3840">
        <v>30043982</v>
      </c>
      <c r="E3840">
        <v>298.8</v>
      </c>
      <c r="F3840">
        <v>0</v>
      </c>
      <c r="G3840">
        <v>0</v>
      </c>
      <c r="H3840">
        <v>9.9</v>
      </c>
      <c r="I3840">
        <v>2.1</v>
      </c>
      <c r="J3840">
        <v>12</v>
      </c>
      <c r="L3840" t="s">
        <v>2709</v>
      </c>
      <c r="M3840">
        <v>30043982</v>
      </c>
      <c r="O3840" t="s">
        <v>20035</v>
      </c>
      <c r="P3840" t="s">
        <v>19900</v>
      </c>
      <c r="Q3840" t="s">
        <v>19900</v>
      </c>
      <c r="R3840" t="s">
        <v>20033</v>
      </c>
      <c r="S3840" t="s">
        <v>20034</v>
      </c>
      <c r="T3840" t="s">
        <v>19903</v>
      </c>
    </row>
    <row r="3841" spans="2:20" x14ac:dyDescent="0.25">
      <c r="B3841" t="s">
        <v>2709</v>
      </c>
      <c r="C3841">
        <v>30043991</v>
      </c>
      <c r="E3841">
        <v>298.8</v>
      </c>
      <c r="F3841">
        <v>0</v>
      </c>
      <c r="G3841">
        <v>0</v>
      </c>
      <c r="H3841">
        <v>9.9</v>
      </c>
      <c r="I3841">
        <v>2.1</v>
      </c>
      <c r="J3841">
        <v>0</v>
      </c>
      <c r="L3841" t="s">
        <v>2709</v>
      </c>
      <c r="M3841">
        <v>30043991</v>
      </c>
      <c r="O3841" t="s">
        <v>20035</v>
      </c>
      <c r="P3841" t="s">
        <v>19900</v>
      </c>
      <c r="Q3841" t="s">
        <v>19900</v>
      </c>
      <c r="R3841" t="s">
        <v>20033</v>
      </c>
      <c r="S3841" t="s">
        <v>20034</v>
      </c>
      <c r="T3841" t="s">
        <v>19900</v>
      </c>
    </row>
    <row r="3842" spans="2:20" x14ac:dyDescent="0.25">
      <c r="B3842" t="s">
        <v>2709</v>
      </c>
      <c r="C3842">
        <v>30043992</v>
      </c>
      <c r="E3842">
        <v>298.8</v>
      </c>
      <c r="F3842">
        <v>0</v>
      </c>
      <c r="G3842">
        <v>0</v>
      </c>
      <c r="H3842">
        <v>9.9</v>
      </c>
      <c r="I3842">
        <v>2.1</v>
      </c>
      <c r="J3842">
        <v>14</v>
      </c>
      <c r="L3842" t="s">
        <v>2709</v>
      </c>
      <c r="M3842">
        <v>30043992</v>
      </c>
      <c r="O3842" t="s">
        <v>20035</v>
      </c>
      <c r="P3842" t="s">
        <v>19900</v>
      </c>
      <c r="Q3842" t="s">
        <v>19900</v>
      </c>
      <c r="R3842" t="s">
        <v>20033</v>
      </c>
      <c r="S3842" t="s">
        <v>20034</v>
      </c>
      <c r="T3842" t="s">
        <v>19911</v>
      </c>
    </row>
    <row r="3843" spans="2:20" x14ac:dyDescent="0.25">
      <c r="B3843" t="s">
        <v>2709</v>
      </c>
      <c r="C3843">
        <v>30043994</v>
      </c>
      <c r="E3843">
        <v>298.8</v>
      </c>
      <c r="F3843">
        <v>0</v>
      </c>
      <c r="G3843">
        <v>0</v>
      </c>
      <c r="H3843">
        <v>9.9</v>
      </c>
      <c r="I3843">
        <v>2.1</v>
      </c>
      <c r="J3843">
        <v>0</v>
      </c>
      <c r="L3843" t="s">
        <v>2709</v>
      </c>
      <c r="M3843">
        <v>30043994</v>
      </c>
      <c r="O3843" t="s">
        <v>20035</v>
      </c>
      <c r="P3843" t="s">
        <v>19900</v>
      </c>
      <c r="Q3843" t="s">
        <v>19900</v>
      </c>
      <c r="R3843" t="s">
        <v>20033</v>
      </c>
      <c r="S3843" t="s">
        <v>20034</v>
      </c>
      <c r="T3843" t="s">
        <v>19900</v>
      </c>
    </row>
    <row r="3844" spans="2:20" x14ac:dyDescent="0.25">
      <c r="B3844" t="s">
        <v>2709</v>
      </c>
      <c r="C3844">
        <v>30043999</v>
      </c>
      <c r="E3844">
        <v>298.8</v>
      </c>
      <c r="F3844">
        <v>7</v>
      </c>
      <c r="G3844">
        <v>0</v>
      </c>
      <c r="H3844">
        <v>9.9</v>
      </c>
      <c r="I3844">
        <v>2.1</v>
      </c>
      <c r="J3844">
        <v>8</v>
      </c>
      <c r="L3844" t="s">
        <v>2709</v>
      </c>
      <c r="M3844">
        <v>30043999</v>
      </c>
      <c r="O3844" t="s">
        <v>20035</v>
      </c>
      <c r="P3844" t="s">
        <v>19908</v>
      </c>
      <c r="Q3844" t="s">
        <v>19900</v>
      </c>
      <c r="R3844" t="s">
        <v>20033</v>
      </c>
      <c r="S3844" t="s">
        <v>20034</v>
      </c>
      <c r="T3844" t="s">
        <v>19918</v>
      </c>
    </row>
    <row r="3845" spans="2:20" x14ac:dyDescent="0.25">
      <c r="B3845" t="s">
        <v>2709</v>
      </c>
      <c r="C3845">
        <v>30044010</v>
      </c>
      <c r="E3845">
        <v>298.8</v>
      </c>
      <c r="F3845">
        <v>0</v>
      </c>
      <c r="G3845">
        <v>0</v>
      </c>
      <c r="H3845">
        <v>9.9</v>
      </c>
      <c r="I3845">
        <v>2.1</v>
      </c>
      <c r="J3845">
        <v>0</v>
      </c>
      <c r="L3845" t="s">
        <v>2709</v>
      </c>
      <c r="M3845">
        <v>30044010</v>
      </c>
      <c r="O3845" t="s">
        <v>20035</v>
      </c>
      <c r="P3845" t="s">
        <v>19900</v>
      </c>
      <c r="Q3845" t="s">
        <v>19900</v>
      </c>
      <c r="R3845" t="s">
        <v>20033</v>
      </c>
      <c r="S3845" t="s">
        <v>20034</v>
      </c>
      <c r="T3845" t="s">
        <v>19900</v>
      </c>
    </row>
    <row r="3846" spans="2:20" x14ac:dyDescent="0.25">
      <c r="B3846" t="s">
        <v>2709</v>
      </c>
      <c r="C3846">
        <v>30044020</v>
      </c>
      <c r="E3846">
        <v>298.8</v>
      </c>
      <c r="F3846">
        <v>0</v>
      </c>
      <c r="G3846">
        <v>0</v>
      </c>
      <c r="H3846">
        <v>9.9</v>
      </c>
      <c r="I3846">
        <v>2.1</v>
      </c>
      <c r="J3846">
        <v>14</v>
      </c>
      <c r="L3846" t="s">
        <v>2709</v>
      </c>
      <c r="M3846">
        <v>30044020</v>
      </c>
      <c r="O3846" t="s">
        <v>20035</v>
      </c>
      <c r="P3846" t="s">
        <v>19900</v>
      </c>
      <c r="Q3846" t="s">
        <v>19900</v>
      </c>
      <c r="R3846" t="s">
        <v>20033</v>
      </c>
      <c r="S3846" t="s">
        <v>20034</v>
      </c>
      <c r="T3846" t="s">
        <v>19911</v>
      </c>
    </row>
    <row r="3847" spans="2:20" x14ac:dyDescent="0.25">
      <c r="B3847" t="s">
        <v>2709</v>
      </c>
      <c r="C3847">
        <v>30044030</v>
      </c>
      <c r="E3847">
        <v>298.8</v>
      </c>
      <c r="F3847">
        <v>0</v>
      </c>
      <c r="G3847">
        <v>0</v>
      </c>
      <c r="H3847">
        <v>9.9</v>
      </c>
      <c r="I3847">
        <v>2.1</v>
      </c>
      <c r="J3847">
        <v>8</v>
      </c>
      <c r="L3847" t="s">
        <v>2709</v>
      </c>
      <c r="M3847">
        <v>30044030</v>
      </c>
      <c r="O3847" t="s">
        <v>20035</v>
      </c>
      <c r="P3847" t="s">
        <v>19900</v>
      </c>
      <c r="Q3847" t="s">
        <v>19900</v>
      </c>
      <c r="R3847" t="s">
        <v>20033</v>
      </c>
      <c r="S3847" t="s">
        <v>20034</v>
      </c>
      <c r="T3847" t="s">
        <v>19918</v>
      </c>
    </row>
    <row r="3848" spans="2:20" x14ac:dyDescent="0.25">
      <c r="B3848" t="s">
        <v>2709</v>
      </c>
      <c r="C3848">
        <v>30044040</v>
      </c>
      <c r="E3848">
        <v>298.8</v>
      </c>
      <c r="F3848">
        <v>0</v>
      </c>
      <c r="G3848">
        <v>0</v>
      </c>
      <c r="H3848">
        <v>9.9</v>
      </c>
      <c r="I3848">
        <v>2.1</v>
      </c>
      <c r="J3848">
        <v>14</v>
      </c>
      <c r="L3848" t="s">
        <v>2709</v>
      </c>
      <c r="M3848">
        <v>30044040</v>
      </c>
      <c r="O3848" t="s">
        <v>20035</v>
      </c>
      <c r="P3848" t="s">
        <v>19900</v>
      </c>
      <c r="Q3848" t="s">
        <v>19900</v>
      </c>
      <c r="R3848" t="s">
        <v>20033</v>
      </c>
      <c r="S3848" t="s">
        <v>20034</v>
      </c>
      <c r="T3848" t="s">
        <v>19911</v>
      </c>
    </row>
    <row r="3849" spans="2:20" x14ac:dyDescent="0.25">
      <c r="B3849" t="s">
        <v>2709</v>
      </c>
      <c r="C3849">
        <v>30044050</v>
      </c>
      <c r="E3849">
        <v>298.8</v>
      </c>
      <c r="F3849">
        <v>0</v>
      </c>
      <c r="G3849">
        <v>0</v>
      </c>
      <c r="H3849">
        <v>9.9</v>
      </c>
      <c r="I3849">
        <v>2.1</v>
      </c>
      <c r="J3849">
        <v>0</v>
      </c>
      <c r="L3849" t="s">
        <v>2709</v>
      </c>
      <c r="M3849">
        <v>30044050</v>
      </c>
      <c r="O3849" t="s">
        <v>20035</v>
      </c>
      <c r="P3849" t="s">
        <v>19900</v>
      </c>
      <c r="Q3849" t="s">
        <v>19900</v>
      </c>
      <c r="R3849" t="s">
        <v>20033</v>
      </c>
      <c r="S3849" t="s">
        <v>20034</v>
      </c>
      <c r="T3849" t="s">
        <v>19900</v>
      </c>
    </row>
    <row r="3850" spans="2:20" x14ac:dyDescent="0.25">
      <c r="B3850" t="s">
        <v>2709</v>
      </c>
      <c r="C3850">
        <v>30044090</v>
      </c>
      <c r="E3850">
        <v>298.8</v>
      </c>
      <c r="F3850">
        <v>0</v>
      </c>
      <c r="G3850">
        <v>0</v>
      </c>
      <c r="H3850">
        <v>9.9</v>
      </c>
      <c r="I3850">
        <v>2.1</v>
      </c>
      <c r="J3850">
        <v>8</v>
      </c>
      <c r="L3850" t="s">
        <v>2709</v>
      </c>
      <c r="M3850">
        <v>30044090</v>
      </c>
      <c r="O3850" t="s">
        <v>20035</v>
      </c>
      <c r="P3850" t="s">
        <v>19900</v>
      </c>
      <c r="Q3850" t="s">
        <v>19900</v>
      </c>
      <c r="R3850" t="s">
        <v>20033</v>
      </c>
      <c r="S3850" t="s">
        <v>20034</v>
      </c>
      <c r="T3850" t="s">
        <v>19918</v>
      </c>
    </row>
    <row r="3851" spans="2:20" x14ac:dyDescent="0.25">
      <c r="B3851" t="s">
        <v>2709</v>
      </c>
      <c r="C3851">
        <v>30045010</v>
      </c>
      <c r="E3851">
        <v>298.8</v>
      </c>
      <c r="F3851">
        <v>0</v>
      </c>
      <c r="G3851">
        <v>0</v>
      </c>
      <c r="H3851">
        <v>9.9</v>
      </c>
      <c r="I3851">
        <v>2.1</v>
      </c>
      <c r="J3851">
        <v>8</v>
      </c>
      <c r="L3851" t="s">
        <v>2709</v>
      </c>
      <c r="M3851">
        <v>30045010</v>
      </c>
      <c r="O3851" t="s">
        <v>20035</v>
      </c>
      <c r="P3851" t="s">
        <v>19900</v>
      </c>
      <c r="Q3851" t="s">
        <v>19900</v>
      </c>
      <c r="R3851" t="s">
        <v>20033</v>
      </c>
      <c r="S3851" t="s">
        <v>20034</v>
      </c>
      <c r="T3851" t="s">
        <v>19918</v>
      </c>
    </row>
    <row r="3852" spans="2:20" x14ac:dyDescent="0.25">
      <c r="B3852" t="s">
        <v>2709</v>
      </c>
      <c r="C3852">
        <v>30045020</v>
      </c>
      <c r="E3852">
        <v>298.8</v>
      </c>
      <c r="F3852">
        <v>0</v>
      </c>
      <c r="G3852">
        <v>0</v>
      </c>
      <c r="H3852">
        <v>9.9</v>
      </c>
      <c r="I3852">
        <v>2.1</v>
      </c>
      <c r="J3852">
        <v>14</v>
      </c>
      <c r="L3852" t="s">
        <v>2709</v>
      </c>
      <c r="M3852">
        <v>30045020</v>
      </c>
      <c r="O3852" t="s">
        <v>20035</v>
      </c>
      <c r="P3852" t="s">
        <v>19900</v>
      </c>
      <c r="Q3852" t="s">
        <v>19900</v>
      </c>
      <c r="R3852" t="s">
        <v>20033</v>
      </c>
      <c r="S3852" t="s">
        <v>20034</v>
      </c>
      <c r="T3852" t="s">
        <v>19911</v>
      </c>
    </row>
    <row r="3853" spans="2:20" x14ac:dyDescent="0.25">
      <c r="B3853" t="s">
        <v>2709</v>
      </c>
      <c r="C3853">
        <v>30045030</v>
      </c>
      <c r="E3853">
        <v>298.8</v>
      </c>
      <c r="F3853">
        <v>0</v>
      </c>
      <c r="G3853">
        <v>0</v>
      </c>
      <c r="H3853">
        <v>9.9</v>
      </c>
      <c r="I3853">
        <v>2.1</v>
      </c>
      <c r="J3853">
        <v>14</v>
      </c>
      <c r="L3853" t="s">
        <v>2709</v>
      </c>
      <c r="M3853">
        <v>30045030</v>
      </c>
      <c r="O3853" t="s">
        <v>20035</v>
      </c>
      <c r="P3853" t="s">
        <v>19900</v>
      </c>
      <c r="Q3853" t="s">
        <v>19900</v>
      </c>
      <c r="R3853" t="s">
        <v>20033</v>
      </c>
      <c r="S3853" t="s">
        <v>20034</v>
      </c>
      <c r="T3853" t="s">
        <v>19911</v>
      </c>
    </row>
    <row r="3854" spans="2:20" x14ac:dyDescent="0.25">
      <c r="B3854" t="s">
        <v>2709</v>
      </c>
      <c r="C3854">
        <v>30045040</v>
      </c>
      <c r="E3854">
        <v>298.8</v>
      </c>
      <c r="F3854">
        <v>0</v>
      </c>
      <c r="G3854">
        <v>0</v>
      </c>
      <c r="H3854">
        <v>9.9</v>
      </c>
      <c r="I3854">
        <v>2.1</v>
      </c>
      <c r="J3854">
        <v>14</v>
      </c>
      <c r="L3854" t="s">
        <v>2709</v>
      </c>
      <c r="M3854">
        <v>30045040</v>
      </c>
      <c r="O3854" t="s">
        <v>20035</v>
      </c>
      <c r="P3854" t="s">
        <v>19900</v>
      </c>
      <c r="Q3854" t="s">
        <v>19900</v>
      </c>
      <c r="R3854" t="s">
        <v>20033</v>
      </c>
      <c r="S3854" t="s">
        <v>20034</v>
      </c>
      <c r="T3854" t="s">
        <v>19911</v>
      </c>
    </row>
    <row r="3855" spans="2:20" x14ac:dyDescent="0.25">
      <c r="B3855" t="s">
        <v>2709</v>
      </c>
      <c r="C3855">
        <v>30045050</v>
      </c>
      <c r="E3855">
        <v>298.8</v>
      </c>
      <c r="F3855">
        <v>0</v>
      </c>
      <c r="G3855">
        <v>0</v>
      </c>
      <c r="H3855">
        <v>9.9</v>
      </c>
      <c r="I3855">
        <v>2.1</v>
      </c>
      <c r="J3855">
        <v>8</v>
      </c>
      <c r="L3855" t="s">
        <v>2709</v>
      </c>
      <c r="M3855">
        <v>30045050</v>
      </c>
      <c r="O3855" t="s">
        <v>20035</v>
      </c>
      <c r="P3855" t="s">
        <v>19900</v>
      </c>
      <c r="Q3855" t="s">
        <v>19900</v>
      </c>
      <c r="R3855" t="s">
        <v>20033</v>
      </c>
      <c r="S3855" t="s">
        <v>20034</v>
      </c>
      <c r="T3855" t="s">
        <v>19918</v>
      </c>
    </row>
    <row r="3856" spans="2:20" x14ac:dyDescent="0.25">
      <c r="B3856" t="s">
        <v>2709</v>
      </c>
      <c r="C3856">
        <v>30045060</v>
      </c>
      <c r="E3856">
        <v>298.8</v>
      </c>
      <c r="F3856">
        <v>0</v>
      </c>
      <c r="G3856">
        <v>0</v>
      </c>
      <c r="H3856">
        <v>9.9</v>
      </c>
      <c r="I3856">
        <v>2.1</v>
      </c>
      <c r="J3856">
        <v>0</v>
      </c>
      <c r="L3856" t="s">
        <v>2709</v>
      </c>
      <c r="M3856">
        <v>30045060</v>
      </c>
      <c r="O3856" t="s">
        <v>20035</v>
      </c>
      <c r="P3856" t="s">
        <v>19900</v>
      </c>
      <c r="Q3856" t="s">
        <v>19900</v>
      </c>
      <c r="R3856" t="s">
        <v>20033</v>
      </c>
      <c r="S3856" t="s">
        <v>20034</v>
      </c>
      <c r="T3856" t="s">
        <v>19900</v>
      </c>
    </row>
    <row r="3857" spans="2:20" x14ac:dyDescent="0.25">
      <c r="B3857" t="s">
        <v>2709</v>
      </c>
      <c r="C3857">
        <v>30045090</v>
      </c>
      <c r="E3857">
        <v>298.8</v>
      </c>
      <c r="F3857">
        <v>0</v>
      </c>
      <c r="G3857">
        <v>0</v>
      </c>
      <c r="H3857">
        <v>9.9</v>
      </c>
      <c r="I3857">
        <v>2.1</v>
      </c>
      <c r="J3857">
        <v>8</v>
      </c>
      <c r="L3857" t="s">
        <v>2709</v>
      </c>
      <c r="M3857">
        <v>30045090</v>
      </c>
      <c r="O3857" t="s">
        <v>20035</v>
      </c>
      <c r="P3857" t="s">
        <v>19900</v>
      </c>
      <c r="Q3857" t="s">
        <v>19900</v>
      </c>
      <c r="R3857" t="s">
        <v>20033</v>
      </c>
      <c r="S3857" t="s">
        <v>20034</v>
      </c>
      <c r="T3857" t="s">
        <v>19918</v>
      </c>
    </row>
    <row r="3858" spans="2:20" x14ac:dyDescent="0.25">
      <c r="B3858" t="s">
        <v>2709</v>
      </c>
      <c r="C3858">
        <v>30049011</v>
      </c>
      <c r="E3858">
        <v>298.8</v>
      </c>
      <c r="F3858">
        <v>0</v>
      </c>
      <c r="G3858">
        <v>0</v>
      </c>
      <c r="H3858">
        <v>9.9</v>
      </c>
      <c r="I3858">
        <v>2.1</v>
      </c>
      <c r="J3858">
        <v>0</v>
      </c>
      <c r="L3858" t="s">
        <v>2709</v>
      </c>
      <c r="M3858">
        <v>30049011</v>
      </c>
      <c r="O3858" t="s">
        <v>20035</v>
      </c>
      <c r="P3858" t="s">
        <v>19900</v>
      </c>
      <c r="Q3858" t="s">
        <v>19900</v>
      </c>
      <c r="R3858" t="s">
        <v>20033</v>
      </c>
      <c r="S3858" t="s">
        <v>20034</v>
      </c>
      <c r="T3858" t="s">
        <v>19900</v>
      </c>
    </row>
    <row r="3859" spans="2:20" x14ac:dyDescent="0.25">
      <c r="B3859" t="s">
        <v>2709</v>
      </c>
      <c r="C3859">
        <v>30049012</v>
      </c>
      <c r="E3859">
        <v>298.8</v>
      </c>
      <c r="F3859">
        <v>0</v>
      </c>
      <c r="G3859">
        <v>0</v>
      </c>
      <c r="H3859">
        <v>9.9</v>
      </c>
      <c r="I3859">
        <v>2.1</v>
      </c>
      <c r="J3859">
        <v>0</v>
      </c>
      <c r="L3859" t="s">
        <v>2709</v>
      </c>
      <c r="M3859">
        <v>30049012</v>
      </c>
      <c r="O3859" t="s">
        <v>20035</v>
      </c>
      <c r="P3859" t="s">
        <v>19900</v>
      </c>
      <c r="Q3859" t="s">
        <v>19900</v>
      </c>
      <c r="R3859" t="s">
        <v>20033</v>
      </c>
      <c r="S3859" t="s">
        <v>20034</v>
      </c>
      <c r="T3859" t="s">
        <v>19900</v>
      </c>
    </row>
    <row r="3860" spans="2:20" x14ac:dyDescent="0.25">
      <c r="B3860" t="s">
        <v>2709</v>
      </c>
      <c r="C3860">
        <v>30049013</v>
      </c>
      <c r="E3860">
        <v>298.8</v>
      </c>
      <c r="F3860">
        <v>0</v>
      </c>
      <c r="G3860">
        <v>0</v>
      </c>
      <c r="H3860">
        <v>9.9</v>
      </c>
      <c r="I3860">
        <v>2.1</v>
      </c>
      <c r="J3860">
        <v>0</v>
      </c>
      <c r="L3860" t="s">
        <v>2709</v>
      </c>
      <c r="M3860">
        <v>30049013</v>
      </c>
      <c r="O3860" t="s">
        <v>20035</v>
      </c>
      <c r="P3860" t="s">
        <v>19900</v>
      </c>
      <c r="Q3860" t="s">
        <v>19900</v>
      </c>
      <c r="R3860" t="s">
        <v>20033</v>
      </c>
      <c r="S3860" t="s">
        <v>20034</v>
      </c>
      <c r="T3860" t="s">
        <v>19900</v>
      </c>
    </row>
    <row r="3861" spans="2:20" x14ac:dyDescent="0.25">
      <c r="B3861" t="s">
        <v>2709</v>
      </c>
      <c r="C3861">
        <v>30049019</v>
      </c>
      <c r="E3861">
        <v>298.8</v>
      </c>
      <c r="F3861">
        <v>0</v>
      </c>
      <c r="G3861">
        <v>0</v>
      </c>
      <c r="H3861">
        <v>9.9</v>
      </c>
      <c r="I3861">
        <v>2.1</v>
      </c>
      <c r="J3861">
        <v>8</v>
      </c>
      <c r="L3861" t="s">
        <v>2709</v>
      </c>
      <c r="M3861">
        <v>30049019</v>
      </c>
      <c r="O3861" t="s">
        <v>20035</v>
      </c>
      <c r="P3861" t="s">
        <v>19900</v>
      </c>
      <c r="Q3861" t="s">
        <v>19900</v>
      </c>
      <c r="R3861" t="s">
        <v>20033</v>
      </c>
      <c r="S3861" t="s">
        <v>20034</v>
      </c>
      <c r="T3861" t="s">
        <v>19918</v>
      </c>
    </row>
    <row r="3862" spans="2:20" x14ac:dyDescent="0.25">
      <c r="B3862" t="s">
        <v>2709</v>
      </c>
      <c r="C3862">
        <v>30049021</v>
      </c>
      <c r="E3862">
        <v>298.8</v>
      </c>
      <c r="F3862">
        <v>0</v>
      </c>
      <c r="G3862">
        <v>0</v>
      </c>
      <c r="H3862">
        <v>9.9</v>
      </c>
      <c r="I3862">
        <v>2.1</v>
      </c>
      <c r="J3862">
        <v>14</v>
      </c>
      <c r="L3862" t="s">
        <v>2709</v>
      </c>
      <c r="M3862">
        <v>30049021</v>
      </c>
      <c r="O3862" t="s">
        <v>20035</v>
      </c>
      <c r="P3862" t="s">
        <v>19900</v>
      </c>
      <c r="Q3862" t="s">
        <v>19900</v>
      </c>
      <c r="R3862" t="s">
        <v>20033</v>
      </c>
      <c r="S3862" t="s">
        <v>20034</v>
      </c>
      <c r="T3862" t="s">
        <v>19911</v>
      </c>
    </row>
    <row r="3863" spans="2:20" x14ac:dyDescent="0.25">
      <c r="B3863" t="s">
        <v>2709</v>
      </c>
      <c r="C3863">
        <v>30049022</v>
      </c>
      <c r="E3863">
        <v>298.8</v>
      </c>
      <c r="F3863">
        <v>0</v>
      </c>
      <c r="G3863">
        <v>0</v>
      </c>
      <c r="H3863">
        <v>9.9</v>
      </c>
      <c r="I3863">
        <v>2.1</v>
      </c>
      <c r="J3863">
        <v>14</v>
      </c>
      <c r="L3863" t="s">
        <v>2709</v>
      </c>
      <c r="M3863">
        <v>30049022</v>
      </c>
      <c r="O3863" t="s">
        <v>20035</v>
      </c>
      <c r="P3863" t="s">
        <v>19900</v>
      </c>
      <c r="Q3863" t="s">
        <v>19900</v>
      </c>
      <c r="R3863" t="s">
        <v>20033</v>
      </c>
      <c r="S3863" t="s">
        <v>20034</v>
      </c>
      <c r="T3863" t="s">
        <v>19911</v>
      </c>
    </row>
    <row r="3864" spans="2:20" x14ac:dyDescent="0.25">
      <c r="B3864" t="s">
        <v>2709</v>
      </c>
      <c r="C3864">
        <v>30049023</v>
      </c>
      <c r="E3864">
        <v>298.8</v>
      </c>
      <c r="F3864">
        <v>0</v>
      </c>
      <c r="G3864">
        <v>0</v>
      </c>
      <c r="H3864">
        <v>9.9</v>
      </c>
      <c r="I3864">
        <v>2.1</v>
      </c>
      <c r="J3864">
        <v>14</v>
      </c>
      <c r="L3864" t="s">
        <v>2709</v>
      </c>
      <c r="M3864">
        <v>30049023</v>
      </c>
      <c r="O3864" t="s">
        <v>20035</v>
      </c>
      <c r="P3864" t="s">
        <v>19900</v>
      </c>
      <c r="Q3864" t="s">
        <v>19900</v>
      </c>
      <c r="R3864" t="s">
        <v>20033</v>
      </c>
      <c r="S3864" t="s">
        <v>20034</v>
      </c>
      <c r="T3864" t="s">
        <v>19911</v>
      </c>
    </row>
    <row r="3865" spans="2:20" x14ac:dyDescent="0.25">
      <c r="B3865" t="s">
        <v>2709</v>
      </c>
      <c r="C3865">
        <v>30049024</v>
      </c>
      <c r="E3865">
        <v>298.8</v>
      </c>
      <c r="F3865">
        <v>0</v>
      </c>
      <c r="G3865">
        <v>0</v>
      </c>
      <c r="H3865">
        <v>9.9</v>
      </c>
      <c r="I3865">
        <v>2.1</v>
      </c>
      <c r="J3865">
        <v>14</v>
      </c>
      <c r="L3865" t="s">
        <v>2709</v>
      </c>
      <c r="M3865">
        <v>30049024</v>
      </c>
      <c r="O3865" t="s">
        <v>20035</v>
      </c>
      <c r="P3865" t="s">
        <v>19900</v>
      </c>
      <c r="Q3865" t="s">
        <v>19900</v>
      </c>
      <c r="R3865" t="s">
        <v>20033</v>
      </c>
      <c r="S3865" t="s">
        <v>20034</v>
      </c>
      <c r="T3865" t="s">
        <v>19911</v>
      </c>
    </row>
    <row r="3866" spans="2:20" x14ac:dyDescent="0.25">
      <c r="B3866" t="s">
        <v>2709</v>
      </c>
      <c r="C3866">
        <v>30049025</v>
      </c>
      <c r="E3866">
        <v>298.8</v>
      </c>
      <c r="F3866">
        <v>0</v>
      </c>
      <c r="G3866">
        <v>0</v>
      </c>
      <c r="H3866">
        <v>9.9</v>
      </c>
      <c r="I3866">
        <v>2.1</v>
      </c>
      <c r="J3866">
        <v>14</v>
      </c>
      <c r="L3866" t="s">
        <v>2709</v>
      </c>
      <c r="M3866">
        <v>30049025</v>
      </c>
      <c r="O3866" t="s">
        <v>20035</v>
      </c>
      <c r="P3866" t="s">
        <v>19900</v>
      </c>
      <c r="Q3866" t="s">
        <v>19900</v>
      </c>
      <c r="R3866" t="s">
        <v>20033</v>
      </c>
      <c r="S3866" t="s">
        <v>20034</v>
      </c>
      <c r="T3866" t="s">
        <v>19911</v>
      </c>
    </row>
    <row r="3867" spans="2:20" x14ac:dyDescent="0.25">
      <c r="B3867" t="s">
        <v>2709</v>
      </c>
      <c r="C3867">
        <v>30049026</v>
      </c>
      <c r="E3867">
        <v>298.8</v>
      </c>
      <c r="F3867">
        <v>0</v>
      </c>
      <c r="G3867">
        <v>0</v>
      </c>
      <c r="H3867">
        <v>9.9</v>
      </c>
      <c r="I3867">
        <v>2.1</v>
      </c>
      <c r="J3867">
        <v>14</v>
      </c>
      <c r="L3867" t="s">
        <v>2709</v>
      </c>
      <c r="M3867">
        <v>30049026</v>
      </c>
      <c r="O3867" t="s">
        <v>20035</v>
      </c>
      <c r="P3867" t="s">
        <v>19900</v>
      </c>
      <c r="Q3867" t="s">
        <v>19900</v>
      </c>
      <c r="R3867" t="s">
        <v>20033</v>
      </c>
      <c r="S3867" t="s">
        <v>20034</v>
      </c>
      <c r="T3867" t="s">
        <v>19911</v>
      </c>
    </row>
    <row r="3868" spans="2:20" x14ac:dyDescent="0.25">
      <c r="B3868" t="s">
        <v>2709</v>
      </c>
      <c r="C3868">
        <v>30049027</v>
      </c>
      <c r="E3868">
        <v>298.8</v>
      </c>
      <c r="F3868">
        <v>0</v>
      </c>
      <c r="G3868">
        <v>0</v>
      </c>
      <c r="H3868">
        <v>9.9</v>
      </c>
      <c r="I3868">
        <v>2.1</v>
      </c>
      <c r="J3868">
        <v>2</v>
      </c>
      <c r="L3868" t="s">
        <v>2709</v>
      </c>
      <c r="M3868">
        <v>30049027</v>
      </c>
      <c r="O3868" t="s">
        <v>20035</v>
      </c>
      <c r="P3868" t="s">
        <v>19900</v>
      </c>
      <c r="Q3868" t="s">
        <v>19900</v>
      </c>
      <c r="R3868" t="s">
        <v>20033</v>
      </c>
      <c r="S3868" t="s">
        <v>20034</v>
      </c>
      <c r="T3868" t="s">
        <v>19901</v>
      </c>
    </row>
    <row r="3869" spans="2:20" x14ac:dyDescent="0.25">
      <c r="B3869" t="s">
        <v>2709</v>
      </c>
      <c r="C3869">
        <v>30049028</v>
      </c>
      <c r="E3869">
        <v>298.8</v>
      </c>
      <c r="F3869">
        <v>0</v>
      </c>
      <c r="G3869">
        <v>0</v>
      </c>
      <c r="H3869">
        <v>9.9</v>
      </c>
      <c r="I3869">
        <v>2.1</v>
      </c>
      <c r="J3869">
        <v>0</v>
      </c>
      <c r="L3869" t="s">
        <v>2709</v>
      </c>
      <c r="M3869">
        <v>30049028</v>
      </c>
      <c r="O3869" t="s">
        <v>20035</v>
      </c>
      <c r="P3869" t="s">
        <v>19900</v>
      </c>
      <c r="Q3869" t="s">
        <v>19900</v>
      </c>
      <c r="R3869" t="s">
        <v>20033</v>
      </c>
      <c r="S3869" t="s">
        <v>20034</v>
      </c>
      <c r="T3869" t="s">
        <v>19900</v>
      </c>
    </row>
    <row r="3870" spans="2:20" x14ac:dyDescent="0.25">
      <c r="B3870" t="s">
        <v>2709</v>
      </c>
      <c r="C3870">
        <v>30049029</v>
      </c>
      <c r="E3870">
        <v>298.8</v>
      </c>
      <c r="F3870">
        <v>0</v>
      </c>
      <c r="G3870">
        <v>0</v>
      </c>
      <c r="H3870">
        <v>9.9</v>
      </c>
      <c r="I3870">
        <v>2.1</v>
      </c>
      <c r="J3870">
        <v>8</v>
      </c>
      <c r="L3870" t="s">
        <v>2709</v>
      </c>
      <c r="M3870">
        <v>30049029</v>
      </c>
      <c r="O3870" t="s">
        <v>20035</v>
      </c>
      <c r="P3870" t="s">
        <v>19900</v>
      </c>
      <c r="Q3870" t="s">
        <v>19900</v>
      </c>
      <c r="R3870" t="s">
        <v>20033</v>
      </c>
      <c r="S3870" t="s">
        <v>20034</v>
      </c>
      <c r="T3870" t="s">
        <v>19918</v>
      </c>
    </row>
    <row r="3871" spans="2:20" x14ac:dyDescent="0.25">
      <c r="B3871" t="s">
        <v>2709</v>
      </c>
      <c r="C3871">
        <v>30049031</v>
      </c>
      <c r="E3871">
        <v>298.8</v>
      </c>
      <c r="F3871">
        <v>0</v>
      </c>
      <c r="G3871">
        <v>0</v>
      </c>
      <c r="H3871">
        <v>9.9</v>
      </c>
      <c r="I3871">
        <v>2.1</v>
      </c>
      <c r="J3871">
        <v>14</v>
      </c>
      <c r="L3871" t="s">
        <v>2709</v>
      </c>
      <c r="M3871">
        <v>30049031</v>
      </c>
      <c r="O3871" t="s">
        <v>20035</v>
      </c>
      <c r="P3871" t="s">
        <v>19900</v>
      </c>
      <c r="Q3871" t="s">
        <v>19900</v>
      </c>
      <c r="R3871" t="s">
        <v>20033</v>
      </c>
      <c r="S3871" t="s">
        <v>20034</v>
      </c>
      <c r="T3871" t="s">
        <v>19911</v>
      </c>
    </row>
    <row r="3872" spans="2:20" x14ac:dyDescent="0.25">
      <c r="B3872" t="s">
        <v>2709</v>
      </c>
      <c r="C3872">
        <v>30049032</v>
      </c>
      <c r="E3872">
        <v>298.8</v>
      </c>
      <c r="F3872">
        <v>0</v>
      </c>
      <c r="G3872">
        <v>0</v>
      </c>
      <c r="H3872">
        <v>9.9</v>
      </c>
      <c r="I3872">
        <v>2.1</v>
      </c>
      <c r="J3872">
        <v>14</v>
      </c>
      <c r="L3872" t="s">
        <v>2709</v>
      </c>
      <c r="M3872">
        <v>30049032</v>
      </c>
      <c r="O3872" t="s">
        <v>20035</v>
      </c>
      <c r="P3872" t="s">
        <v>19900</v>
      </c>
      <c r="Q3872" t="s">
        <v>19900</v>
      </c>
      <c r="R3872" t="s">
        <v>20033</v>
      </c>
      <c r="S3872" t="s">
        <v>20034</v>
      </c>
      <c r="T3872" t="s">
        <v>19911</v>
      </c>
    </row>
    <row r="3873" spans="2:20" x14ac:dyDescent="0.25">
      <c r="B3873" t="s">
        <v>2709</v>
      </c>
      <c r="C3873">
        <v>30049033</v>
      </c>
      <c r="E3873">
        <v>298.8</v>
      </c>
      <c r="F3873">
        <v>0</v>
      </c>
      <c r="G3873">
        <v>0</v>
      </c>
      <c r="H3873">
        <v>9.9</v>
      </c>
      <c r="I3873">
        <v>2.1</v>
      </c>
      <c r="J3873">
        <v>14</v>
      </c>
      <c r="L3873" t="s">
        <v>2709</v>
      </c>
      <c r="M3873">
        <v>30049033</v>
      </c>
      <c r="O3873" t="s">
        <v>20035</v>
      </c>
      <c r="P3873" t="s">
        <v>19900</v>
      </c>
      <c r="Q3873" t="s">
        <v>19900</v>
      </c>
      <c r="R3873" t="s">
        <v>20033</v>
      </c>
      <c r="S3873" t="s">
        <v>20034</v>
      </c>
      <c r="T3873" t="s">
        <v>19911</v>
      </c>
    </row>
    <row r="3874" spans="2:20" x14ac:dyDescent="0.25">
      <c r="B3874" t="s">
        <v>2709</v>
      </c>
      <c r="C3874">
        <v>30049034</v>
      </c>
      <c r="E3874">
        <v>298.8</v>
      </c>
      <c r="F3874">
        <v>0</v>
      </c>
      <c r="G3874">
        <v>0</v>
      </c>
      <c r="H3874">
        <v>9.9</v>
      </c>
      <c r="I3874">
        <v>2.1</v>
      </c>
      <c r="J3874">
        <v>14</v>
      </c>
      <c r="L3874" t="s">
        <v>2709</v>
      </c>
      <c r="M3874">
        <v>30049034</v>
      </c>
      <c r="O3874" t="s">
        <v>20035</v>
      </c>
      <c r="P3874" t="s">
        <v>19900</v>
      </c>
      <c r="Q3874" t="s">
        <v>19900</v>
      </c>
      <c r="R3874" t="s">
        <v>20033</v>
      </c>
      <c r="S3874" t="s">
        <v>20034</v>
      </c>
      <c r="T3874" t="s">
        <v>19911</v>
      </c>
    </row>
    <row r="3875" spans="2:20" x14ac:dyDescent="0.25">
      <c r="B3875" t="s">
        <v>2709</v>
      </c>
      <c r="C3875">
        <v>30049035</v>
      </c>
      <c r="E3875">
        <v>298.8</v>
      </c>
      <c r="F3875">
        <v>0</v>
      </c>
      <c r="G3875">
        <v>0</v>
      </c>
      <c r="H3875">
        <v>9.9</v>
      </c>
      <c r="I3875">
        <v>2.1</v>
      </c>
      <c r="J3875">
        <v>14</v>
      </c>
      <c r="L3875" t="s">
        <v>2709</v>
      </c>
      <c r="M3875">
        <v>30049035</v>
      </c>
      <c r="O3875" t="s">
        <v>20035</v>
      </c>
      <c r="P3875" t="s">
        <v>19900</v>
      </c>
      <c r="Q3875" t="s">
        <v>19900</v>
      </c>
      <c r="R3875" t="s">
        <v>20033</v>
      </c>
      <c r="S3875" t="s">
        <v>20034</v>
      </c>
      <c r="T3875" t="s">
        <v>19911</v>
      </c>
    </row>
    <row r="3876" spans="2:20" x14ac:dyDescent="0.25">
      <c r="B3876" t="s">
        <v>2709</v>
      </c>
      <c r="C3876">
        <v>30049036</v>
      </c>
      <c r="E3876">
        <v>298.8</v>
      </c>
      <c r="F3876">
        <v>0</v>
      </c>
      <c r="G3876">
        <v>0</v>
      </c>
      <c r="H3876">
        <v>9.9</v>
      </c>
      <c r="I3876">
        <v>2.1</v>
      </c>
      <c r="J3876">
        <v>14</v>
      </c>
      <c r="L3876" t="s">
        <v>2709</v>
      </c>
      <c r="M3876">
        <v>30049036</v>
      </c>
      <c r="O3876" t="s">
        <v>20035</v>
      </c>
      <c r="P3876" t="s">
        <v>19900</v>
      </c>
      <c r="Q3876" t="s">
        <v>19900</v>
      </c>
      <c r="R3876" t="s">
        <v>20033</v>
      </c>
      <c r="S3876" t="s">
        <v>20034</v>
      </c>
      <c r="T3876" t="s">
        <v>19911</v>
      </c>
    </row>
    <row r="3877" spans="2:20" x14ac:dyDescent="0.25">
      <c r="B3877" t="s">
        <v>2709</v>
      </c>
      <c r="C3877">
        <v>30049037</v>
      </c>
      <c r="E3877">
        <v>298.8</v>
      </c>
      <c r="F3877">
        <v>0</v>
      </c>
      <c r="G3877">
        <v>0</v>
      </c>
      <c r="H3877">
        <v>9.9</v>
      </c>
      <c r="I3877">
        <v>2.1</v>
      </c>
      <c r="J3877">
        <v>14</v>
      </c>
      <c r="L3877" t="s">
        <v>2709</v>
      </c>
      <c r="M3877">
        <v>30049037</v>
      </c>
      <c r="O3877" t="s">
        <v>20035</v>
      </c>
      <c r="P3877" t="s">
        <v>19900</v>
      </c>
      <c r="Q3877" t="s">
        <v>19900</v>
      </c>
      <c r="R3877" t="s">
        <v>20033</v>
      </c>
      <c r="S3877" t="s">
        <v>20034</v>
      </c>
      <c r="T3877" t="s">
        <v>19911</v>
      </c>
    </row>
    <row r="3878" spans="2:20" x14ac:dyDescent="0.25">
      <c r="B3878" t="s">
        <v>2709</v>
      </c>
      <c r="C3878">
        <v>30049038</v>
      </c>
      <c r="E3878">
        <v>298.8</v>
      </c>
      <c r="F3878">
        <v>0</v>
      </c>
      <c r="G3878">
        <v>0</v>
      </c>
      <c r="H3878">
        <v>9.9</v>
      </c>
      <c r="I3878">
        <v>2.1</v>
      </c>
      <c r="J3878">
        <v>0</v>
      </c>
      <c r="L3878" t="s">
        <v>2709</v>
      </c>
      <c r="M3878">
        <v>30049038</v>
      </c>
      <c r="O3878" t="s">
        <v>20035</v>
      </c>
      <c r="P3878" t="s">
        <v>19900</v>
      </c>
      <c r="Q3878" t="s">
        <v>19900</v>
      </c>
      <c r="R3878" t="s">
        <v>20033</v>
      </c>
      <c r="S3878" t="s">
        <v>20034</v>
      </c>
      <c r="T3878" t="s">
        <v>19900</v>
      </c>
    </row>
    <row r="3879" spans="2:20" x14ac:dyDescent="0.25">
      <c r="B3879" t="s">
        <v>2709</v>
      </c>
      <c r="C3879">
        <v>30049039</v>
      </c>
      <c r="E3879">
        <v>298.8</v>
      </c>
      <c r="F3879">
        <v>7</v>
      </c>
      <c r="G3879">
        <v>0</v>
      </c>
      <c r="H3879">
        <v>9.9</v>
      </c>
      <c r="I3879">
        <v>2.1</v>
      </c>
      <c r="J3879">
        <v>8</v>
      </c>
      <c r="L3879" t="s">
        <v>2709</v>
      </c>
      <c r="M3879">
        <v>30049039</v>
      </c>
      <c r="O3879" t="s">
        <v>20035</v>
      </c>
      <c r="P3879" t="s">
        <v>19908</v>
      </c>
      <c r="Q3879" t="s">
        <v>19900</v>
      </c>
      <c r="R3879" t="s">
        <v>20033</v>
      </c>
      <c r="S3879" t="s">
        <v>20034</v>
      </c>
      <c r="T3879" t="s">
        <v>19918</v>
      </c>
    </row>
    <row r="3880" spans="2:20" x14ac:dyDescent="0.25">
      <c r="B3880" t="s">
        <v>2709</v>
      </c>
      <c r="C3880">
        <v>30049041</v>
      </c>
      <c r="E3880">
        <v>298.8</v>
      </c>
      <c r="F3880">
        <v>0</v>
      </c>
      <c r="G3880">
        <v>0</v>
      </c>
      <c r="H3880">
        <v>9.9</v>
      </c>
      <c r="I3880">
        <v>2.1</v>
      </c>
      <c r="J3880">
        <v>14</v>
      </c>
      <c r="L3880" t="s">
        <v>2709</v>
      </c>
      <c r="M3880">
        <v>30049041</v>
      </c>
      <c r="O3880" t="s">
        <v>20035</v>
      </c>
      <c r="P3880" t="s">
        <v>19900</v>
      </c>
      <c r="Q3880" t="s">
        <v>19900</v>
      </c>
      <c r="R3880" t="s">
        <v>20033</v>
      </c>
      <c r="S3880" t="s">
        <v>20034</v>
      </c>
      <c r="T3880" t="s">
        <v>19911</v>
      </c>
    </row>
    <row r="3881" spans="2:20" x14ac:dyDescent="0.25">
      <c r="B3881" t="s">
        <v>2709</v>
      </c>
      <c r="C3881">
        <v>30049042</v>
      </c>
      <c r="E3881">
        <v>298.8</v>
      </c>
      <c r="F3881">
        <v>0</v>
      </c>
      <c r="G3881">
        <v>0</v>
      </c>
      <c r="H3881">
        <v>9.9</v>
      </c>
      <c r="I3881">
        <v>2.1</v>
      </c>
      <c r="J3881">
        <v>14</v>
      </c>
      <c r="L3881" t="s">
        <v>2709</v>
      </c>
      <c r="M3881">
        <v>30049042</v>
      </c>
      <c r="O3881" t="s">
        <v>20035</v>
      </c>
      <c r="P3881" t="s">
        <v>19900</v>
      </c>
      <c r="Q3881" t="s">
        <v>19900</v>
      </c>
      <c r="R3881" t="s">
        <v>20033</v>
      </c>
      <c r="S3881" t="s">
        <v>20034</v>
      </c>
      <c r="T3881" t="s">
        <v>19911</v>
      </c>
    </row>
    <row r="3882" spans="2:20" x14ac:dyDescent="0.25">
      <c r="B3882" t="s">
        <v>2709</v>
      </c>
      <c r="C3882">
        <v>30049043</v>
      </c>
      <c r="E3882">
        <v>298.8</v>
      </c>
      <c r="F3882">
        <v>0</v>
      </c>
      <c r="G3882">
        <v>0</v>
      </c>
      <c r="H3882">
        <v>9.9</v>
      </c>
      <c r="I3882">
        <v>2.1</v>
      </c>
      <c r="J3882">
        <v>14</v>
      </c>
      <c r="L3882" t="s">
        <v>2709</v>
      </c>
      <c r="M3882">
        <v>30049043</v>
      </c>
      <c r="O3882" t="s">
        <v>20035</v>
      </c>
      <c r="P3882" t="s">
        <v>19900</v>
      </c>
      <c r="Q3882" t="s">
        <v>19900</v>
      </c>
      <c r="R3882" t="s">
        <v>20033</v>
      </c>
      <c r="S3882" t="s">
        <v>20034</v>
      </c>
      <c r="T3882" t="s">
        <v>19911</v>
      </c>
    </row>
    <row r="3883" spans="2:20" x14ac:dyDescent="0.25">
      <c r="B3883" t="s">
        <v>2709</v>
      </c>
      <c r="C3883">
        <v>30049044</v>
      </c>
      <c r="E3883">
        <v>298.8</v>
      </c>
      <c r="F3883">
        <v>0</v>
      </c>
      <c r="G3883">
        <v>0</v>
      </c>
      <c r="H3883">
        <v>9.9</v>
      </c>
      <c r="I3883">
        <v>2.1</v>
      </c>
      <c r="J3883">
        <v>14</v>
      </c>
      <c r="L3883" t="s">
        <v>2709</v>
      </c>
      <c r="M3883">
        <v>30049044</v>
      </c>
      <c r="O3883" t="s">
        <v>20035</v>
      </c>
      <c r="P3883" t="s">
        <v>19900</v>
      </c>
      <c r="Q3883" t="s">
        <v>19900</v>
      </c>
      <c r="R3883" t="s">
        <v>20033</v>
      </c>
      <c r="S3883" t="s">
        <v>20034</v>
      </c>
      <c r="T3883" t="s">
        <v>19911</v>
      </c>
    </row>
    <row r="3884" spans="2:20" x14ac:dyDescent="0.25">
      <c r="B3884" t="s">
        <v>2709</v>
      </c>
      <c r="C3884">
        <v>30049045</v>
      </c>
      <c r="E3884">
        <v>298.8</v>
      </c>
      <c r="F3884">
        <v>7</v>
      </c>
      <c r="G3884">
        <v>0</v>
      </c>
      <c r="H3884">
        <v>9.9</v>
      </c>
      <c r="I3884">
        <v>2.1</v>
      </c>
      <c r="J3884">
        <v>14</v>
      </c>
      <c r="L3884" t="s">
        <v>2709</v>
      </c>
      <c r="M3884">
        <v>30049045</v>
      </c>
      <c r="O3884" t="s">
        <v>20035</v>
      </c>
      <c r="P3884" t="s">
        <v>19908</v>
      </c>
      <c r="Q3884" t="s">
        <v>19900</v>
      </c>
      <c r="R3884" t="s">
        <v>20033</v>
      </c>
      <c r="S3884" t="s">
        <v>20034</v>
      </c>
      <c r="T3884" t="s">
        <v>19911</v>
      </c>
    </row>
    <row r="3885" spans="2:20" x14ac:dyDescent="0.25">
      <c r="B3885" t="s">
        <v>2709</v>
      </c>
      <c r="C3885">
        <v>30049046</v>
      </c>
      <c r="E3885">
        <v>298.8</v>
      </c>
      <c r="F3885">
        <v>0</v>
      </c>
      <c r="G3885">
        <v>0</v>
      </c>
      <c r="H3885">
        <v>9.9</v>
      </c>
      <c r="I3885">
        <v>2.1</v>
      </c>
      <c r="J3885">
        <v>14</v>
      </c>
      <c r="L3885" t="s">
        <v>2709</v>
      </c>
      <c r="M3885">
        <v>30049046</v>
      </c>
      <c r="O3885" t="s">
        <v>20035</v>
      </c>
      <c r="P3885" t="s">
        <v>19900</v>
      </c>
      <c r="Q3885" t="s">
        <v>19900</v>
      </c>
      <c r="R3885" t="s">
        <v>20033</v>
      </c>
      <c r="S3885" t="s">
        <v>20034</v>
      </c>
      <c r="T3885" t="s">
        <v>19911</v>
      </c>
    </row>
    <row r="3886" spans="2:20" x14ac:dyDescent="0.25">
      <c r="B3886" t="s">
        <v>2709</v>
      </c>
      <c r="C3886">
        <v>30049047</v>
      </c>
      <c r="E3886">
        <v>298.8</v>
      </c>
      <c r="F3886">
        <v>0</v>
      </c>
      <c r="G3886">
        <v>0</v>
      </c>
      <c r="H3886">
        <v>9.9</v>
      </c>
      <c r="I3886">
        <v>2.1</v>
      </c>
      <c r="J3886">
        <v>14</v>
      </c>
      <c r="L3886" t="s">
        <v>2709</v>
      </c>
      <c r="M3886">
        <v>30049047</v>
      </c>
      <c r="O3886" t="s">
        <v>20035</v>
      </c>
      <c r="P3886" t="s">
        <v>19900</v>
      </c>
      <c r="Q3886" t="s">
        <v>19900</v>
      </c>
      <c r="R3886" t="s">
        <v>20033</v>
      </c>
      <c r="S3886" t="s">
        <v>20034</v>
      </c>
      <c r="T3886" t="s">
        <v>19911</v>
      </c>
    </row>
    <row r="3887" spans="2:20" x14ac:dyDescent="0.25">
      <c r="B3887" t="s">
        <v>2709</v>
      </c>
      <c r="C3887">
        <v>30049048</v>
      </c>
      <c r="E3887">
        <v>298.8</v>
      </c>
      <c r="F3887">
        <v>0</v>
      </c>
      <c r="G3887">
        <v>0</v>
      </c>
      <c r="H3887">
        <v>9.9</v>
      </c>
      <c r="I3887">
        <v>2.1</v>
      </c>
      <c r="J3887">
        <v>0</v>
      </c>
      <c r="L3887" t="s">
        <v>2709</v>
      </c>
      <c r="M3887">
        <v>30049048</v>
      </c>
      <c r="O3887" t="s">
        <v>20035</v>
      </c>
      <c r="P3887" t="s">
        <v>19900</v>
      </c>
      <c r="Q3887" t="s">
        <v>19900</v>
      </c>
      <c r="R3887" t="s">
        <v>20033</v>
      </c>
      <c r="S3887" t="s">
        <v>20034</v>
      </c>
      <c r="T3887" t="s">
        <v>19900</v>
      </c>
    </row>
    <row r="3888" spans="2:20" x14ac:dyDescent="0.25">
      <c r="B3888" t="s">
        <v>2709</v>
      </c>
      <c r="C3888">
        <v>30049049</v>
      </c>
      <c r="E3888">
        <v>298.8</v>
      </c>
      <c r="F3888">
        <v>0</v>
      </c>
      <c r="G3888">
        <v>0</v>
      </c>
      <c r="H3888">
        <v>9.9</v>
      </c>
      <c r="I3888">
        <v>2.1</v>
      </c>
      <c r="J3888">
        <v>8</v>
      </c>
      <c r="L3888" t="s">
        <v>2709</v>
      </c>
      <c r="M3888">
        <v>30049049</v>
      </c>
      <c r="O3888" t="s">
        <v>20035</v>
      </c>
      <c r="P3888" t="s">
        <v>19900</v>
      </c>
      <c r="Q3888" t="s">
        <v>19900</v>
      </c>
      <c r="R3888" t="s">
        <v>20033</v>
      </c>
      <c r="S3888" t="s">
        <v>20034</v>
      </c>
      <c r="T3888" t="s">
        <v>19918</v>
      </c>
    </row>
    <row r="3889" spans="2:20" x14ac:dyDescent="0.25">
      <c r="B3889" t="s">
        <v>2709</v>
      </c>
      <c r="C3889">
        <v>30049051</v>
      </c>
      <c r="E3889">
        <v>298.8</v>
      </c>
      <c r="F3889">
        <v>0</v>
      </c>
      <c r="G3889">
        <v>0</v>
      </c>
      <c r="H3889">
        <v>9.9</v>
      </c>
      <c r="I3889">
        <v>2.1</v>
      </c>
      <c r="J3889">
        <v>14</v>
      </c>
      <c r="L3889" t="s">
        <v>2709</v>
      </c>
      <c r="M3889">
        <v>30049051</v>
      </c>
      <c r="O3889" t="s">
        <v>20035</v>
      </c>
      <c r="P3889" t="s">
        <v>19900</v>
      </c>
      <c r="Q3889" t="s">
        <v>19900</v>
      </c>
      <c r="R3889" t="s">
        <v>20033</v>
      </c>
      <c r="S3889" t="s">
        <v>20034</v>
      </c>
      <c r="T3889" t="s">
        <v>19911</v>
      </c>
    </row>
    <row r="3890" spans="2:20" x14ac:dyDescent="0.25">
      <c r="B3890" t="s">
        <v>2709</v>
      </c>
      <c r="C3890">
        <v>30049052</v>
      </c>
      <c r="E3890">
        <v>298.8</v>
      </c>
      <c r="F3890">
        <v>0</v>
      </c>
      <c r="G3890">
        <v>0</v>
      </c>
      <c r="H3890">
        <v>9.9</v>
      </c>
      <c r="I3890">
        <v>2.1</v>
      </c>
      <c r="J3890">
        <v>8</v>
      </c>
      <c r="L3890" t="s">
        <v>2709</v>
      </c>
      <c r="M3890">
        <v>30049052</v>
      </c>
      <c r="O3890" t="s">
        <v>20035</v>
      </c>
      <c r="P3890" t="s">
        <v>19900</v>
      </c>
      <c r="Q3890" t="s">
        <v>19900</v>
      </c>
      <c r="R3890" t="s">
        <v>20033</v>
      </c>
      <c r="S3890" t="s">
        <v>20034</v>
      </c>
      <c r="T3890" t="s">
        <v>19918</v>
      </c>
    </row>
    <row r="3891" spans="2:20" x14ac:dyDescent="0.25">
      <c r="B3891" t="s">
        <v>2709</v>
      </c>
      <c r="C3891">
        <v>30049053</v>
      </c>
      <c r="E3891">
        <v>298.8</v>
      </c>
      <c r="F3891">
        <v>0</v>
      </c>
      <c r="G3891">
        <v>0</v>
      </c>
      <c r="H3891">
        <v>9.9</v>
      </c>
      <c r="I3891">
        <v>2.1</v>
      </c>
      <c r="J3891">
        <v>14</v>
      </c>
      <c r="L3891" t="s">
        <v>2709</v>
      </c>
      <c r="M3891">
        <v>30049053</v>
      </c>
      <c r="O3891" t="s">
        <v>20035</v>
      </c>
      <c r="P3891" t="s">
        <v>19900</v>
      </c>
      <c r="Q3891" t="s">
        <v>19900</v>
      </c>
      <c r="R3891" t="s">
        <v>20033</v>
      </c>
      <c r="S3891" t="s">
        <v>20034</v>
      </c>
      <c r="T3891" t="s">
        <v>19911</v>
      </c>
    </row>
    <row r="3892" spans="2:20" x14ac:dyDescent="0.25">
      <c r="B3892" t="s">
        <v>2709</v>
      </c>
      <c r="C3892">
        <v>30049054</v>
      </c>
      <c r="E3892">
        <v>298.8</v>
      </c>
      <c r="F3892">
        <v>0</v>
      </c>
      <c r="G3892">
        <v>0</v>
      </c>
      <c r="H3892">
        <v>9.9</v>
      </c>
      <c r="I3892">
        <v>2.1</v>
      </c>
      <c r="J3892">
        <v>14</v>
      </c>
      <c r="L3892" t="s">
        <v>2709</v>
      </c>
      <c r="M3892">
        <v>30049054</v>
      </c>
      <c r="O3892" t="s">
        <v>20035</v>
      </c>
      <c r="P3892" t="s">
        <v>19900</v>
      </c>
      <c r="Q3892" t="s">
        <v>19900</v>
      </c>
      <c r="R3892" t="s">
        <v>20033</v>
      </c>
      <c r="S3892" t="s">
        <v>20034</v>
      </c>
      <c r="T3892" t="s">
        <v>19911</v>
      </c>
    </row>
    <row r="3893" spans="2:20" x14ac:dyDescent="0.25">
      <c r="B3893" t="s">
        <v>2709</v>
      </c>
      <c r="C3893">
        <v>30049055</v>
      </c>
      <c r="E3893">
        <v>298.8</v>
      </c>
      <c r="F3893">
        <v>0</v>
      </c>
      <c r="G3893">
        <v>0</v>
      </c>
      <c r="H3893">
        <v>9.9</v>
      </c>
      <c r="I3893">
        <v>2.1</v>
      </c>
      <c r="J3893">
        <v>14</v>
      </c>
      <c r="L3893" t="s">
        <v>2709</v>
      </c>
      <c r="M3893">
        <v>30049055</v>
      </c>
      <c r="O3893" t="s">
        <v>20035</v>
      </c>
      <c r="P3893" t="s">
        <v>19900</v>
      </c>
      <c r="Q3893" t="s">
        <v>19900</v>
      </c>
      <c r="R3893" t="s">
        <v>20033</v>
      </c>
      <c r="S3893" t="s">
        <v>20034</v>
      </c>
      <c r="T3893" t="s">
        <v>19911</v>
      </c>
    </row>
    <row r="3894" spans="2:20" x14ac:dyDescent="0.25">
      <c r="B3894" t="s">
        <v>2709</v>
      </c>
      <c r="C3894">
        <v>30049057</v>
      </c>
      <c r="E3894">
        <v>298.8</v>
      </c>
      <c r="F3894">
        <v>0</v>
      </c>
      <c r="G3894">
        <v>0</v>
      </c>
      <c r="H3894">
        <v>9.9</v>
      </c>
      <c r="I3894">
        <v>2.1</v>
      </c>
      <c r="J3894">
        <v>14</v>
      </c>
      <c r="L3894" t="s">
        <v>2709</v>
      </c>
      <c r="M3894">
        <v>30049057</v>
      </c>
      <c r="O3894" t="s">
        <v>20035</v>
      </c>
      <c r="P3894" t="s">
        <v>19900</v>
      </c>
      <c r="Q3894" t="s">
        <v>19900</v>
      </c>
      <c r="R3894" t="s">
        <v>20033</v>
      </c>
      <c r="S3894" t="s">
        <v>20034</v>
      </c>
      <c r="T3894" t="s">
        <v>19911</v>
      </c>
    </row>
    <row r="3895" spans="2:20" x14ac:dyDescent="0.25">
      <c r="B3895" t="s">
        <v>2709</v>
      </c>
      <c r="C3895">
        <v>30049058</v>
      </c>
      <c r="E3895">
        <v>298.8</v>
      </c>
      <c r="F3895">
        <v>0</v>
      </c>
      <c r="G3895">
        <v>0</v>
      </c>
      <c r="H3895">
        <v>9.9</v>
      </c>
      <c r="I3895">
        <v>2.1</v>
      </c>
      <c r="J3895">
        <v>0</v>
      </c>
      <c r="L3895" t="s">
        <v>2709</v>
      </c>
      <c r="M3895">
        <v>30049058</v>
      </c>
      <c r="O3895" t="s">
        <v>20035</v>
      </c>
      <c r="P3895" t="s">
        <v>19900</v>
      </c>
      <c r="Q3895" t="s">
        <v>19900</v>
      </c>
      <c r="R3895" t="s">
        <v>20033</v>
      </c>
      <c r="S3895" t="s">
        <v>20034</v>
      </c>
      <c r="T3895" t="s">
        <v>19900</v>
      </c>
    </row>
    <row r="3896" spans="2:20" x14ac:dyDescent="0.25">
      <c r="B3896" t="s">
        <v>2709</v>
      </c>
      <c r="C3896">
        <v>30049059</v>
      </c>
      <c r="E3896">
        <v>298.8</v>
      </c>
      <c r="F3896">
        <v>0</v>
      </c>
      <c r="G3896">
        <v>0</v>
      </c>
      <c r="H3896">
        <v>9.9</v>
      </c>
      <c r="I3896">
        <v>2.1</v>
      </c>
      <c r="J3896">
        <v>8</v>
      </c>
      <c r="L3896" t="s">
        <v>2709</v>
      </c>
      <c r="M3896">
        <v>30049059</v>
      </c>
      <c r="O3896" t="s">
        <v>20035</v>
      </c>
      <c r="P3896" t="s">
        <v>19900</v>
      </c>
      <c r="Q3896" t="s">
        <v>19900</v>
      </c>
      <c r="R3896" t="s">
        <v>20033</v>
      </c>
      <c r="S3896" t="s">
        <v>20034</v>
      </c>
      <c r="T3896" t="s">
        <v>19918</v>
      </c>
    </row>
    <row r="3897" spans="2:20" x14ac:dyDescent="0.25">
      <c r="B3897" t="s">
        <v>2709</v>
      </c>
      <c r="C3897">
        <v>30049061</v>
      </c>
      <c r="E3897">
        <v>298.8</v>
      </c>
      <c r="F3897">
        <v>0</v>
      </c>
      <c r="G3897">
        <v>0</v>
      </c>
      <c r="H3897">
        <v>9.9</v>
      </c>
      <c r="I3897">
        <v>2.1</v>
      </c>
      <c r="J3897">
        <v>14</v>
      </c>
      <c r="L3897" t="s">
        <v>2709</v>
      </c>
      <c r="M3897">
        <v>30049061</v>
      </c>
      <c r="O3897" t="s">
        <v>20035</v>
      </c>
      <c r="P3897" t="s">
        <v>19900</v>
      </c>
      <c r="Q3897" t="s">
        <v>19900</v>
      </c>
      <c r="R3897" t="s">
        <v>20033</v>
      </c>
      <c r="S3897" t="s">
        <v>20034</v>
      </c>
      <c r="T3897" t="s">
        <v>19911</v>
      </c>
    </row>
    <row r="3898" spans="2:20" x14ac:dyDescent="0.25">
      <c r="B3898" t="s">
        <v>2709</v>
      </c>
      <c r="C3898">
        <v>30049062</v>
      </c>
      <c r="E3898">
        <v>298.8</v>
      </c>
      <c r="F3898">
        <v>0</v>
      </c>
      <c r="G3898">
        <v>0</v>
      </c>
      <c r="H3898">
        <v>9.9</v>
      </c>
      <c r="I3898">
        <v>2.1</v>
      </c>
      <c r="J3898">
        <v>14</v>
      </c>
      <c r="L3898" t="s">
        <v>2709</v>
      </c>
      <c r="M3898">
        <v>30049062</v>
      </c>
      <c r="O3898" t="s">
        <v>20035</v>
      </c>
      <c r="P3898" t="s">
        <v>19900</v>
      </c>
      <c r="Q3898" t="s">
        <v>19900</v>
      </c>
      <c r="R3898" t="s">
        <v>20033</v>
      </c>
      <c r="S3898" t="s">
        <v>20034</v>
      </c>
      <c r="T3898" t="s">
        <v>19911</v>
      </c>
    </row>
    <row r="3899" spans="2:20" x14ac:dyDescent="0.25">
      <c r="B3899" t="s">
        <v>2709</v>
      </c>
      <c r="C3899">
        <v>30049063</v>
      </c>
      <c r="E3899">
        <v>298.8</v>
      </c>
      <c r="F3899">
        <v>0</v>
      </c>
      <c r="G3899">
        <v>0</v>
      </c>
      <c r="H3899">
        <v>9.9</v>
      </c>
      <c r="I3899">
        <v>2.1</v>
      </c>
      <c r="J3899">
        <v>14</v>
      </c>
      <c r="L3899" t="s">
        <v>2709</v>
      </c>
      <c r="M3899">
        <v>30049063</v>
      </c>
      <c r="O3899" t="s">
        <v>20035</v>
      </c>
      <c r="P3899" t="s">
        <v>19900</v>
      </c>
      <c r="Q3899" t="s">
        <v>19900</v>
      </c>
      <c r="R3899" t="s">
        <v>20033</v>
      </c>
      <c r="S3899" t="s">
        <v>20034</v>
      </c>
      <c r="T3899" t="s">
        <v>19911</v>
      </c>
    </row>
    <row r="3900" spans="2:20" x14ac:dyDescent="0.25">
      <c r="B3900" t="s">
        <v>2709</v>
      </c>
      <c r="C3900">
        <v>30049064</v>
      </c>
      <c r="E3900">
        <v>298.8</v>
      </c>
      <c r="F3900">
        <v>0</v>
      </c>
      <c r="G3900">
        <v>0</v>
      </c>
      <c r="H3900">
        <v>9.9</v>
      </c>
      <c r="I3900">
        <v>2.1</v>
      </c>
      <c r="J3900">
        <v>14</v>
      </c>
      <c r="L3900" t="s">
        <v>2709</v>
      </c>
      <c r="M3900">
        <v>30049064</v>
      </c>
      <c r="O3900" t="s">
        <v>20035</v>
      </c>
      <c r="P3900" t="s">
        <v>19900</v>
      </c>
      <c r="Q3900" t="s">
        <v>19900</v>
      </c>
      <c r="R3900" t="s">
        <v>20033</v>
      </c>
      <c r="S3900" t="s">
        <v>20034</v>
      </c>
      <c r="T3900" t="s">
        <v>19911</v>
      </c>
    </row>
    <row r="3901" spans="2:20" x14ac:dyDescent="0.25">
      <c r="B3901" t="s">
        <v>2709</v>
      </c>
      <c r="C3901">
        <v>30049065</v>
      </c>
      <c r="E3901">
        <v>298.8</v>
      </c>
      <c r="F3901">
        <v>0</v>
      </c>
      <c r="G3901">
        <v>0</v>
      </c>
      <c r="H3901">
        <v>9.9</v>
      </c>
      <c r="I3901">
        <v>2.1</v>
      </c>
      <c r="J3901">
        <v>14</v>
      </c>
      <c r="L3901" t="s">
        <v>2709</v>
      </c>
      <c r="M3901">
        <v>30049065</v>
      </c>
      <c r="O3901" t="s">
        <v>20035</v>
      </c>
      <c r="P3901" t="s">
        <v>19900</v>
      </c>
      <c r="Q3901" t="s">
        <v>19900</v>
      </c>
      <c r="R3901" t="s">
        <v>20033</v>
      </c>
      <c r="S3901" t="s">
        <v>20034</v>
      </c>
      <c r="T3901" t="s">
        <v>19911</v>
      </c>
    </row>
    <row r="3902" spans="2:20" x14ac:dyDescent="0.25">
      <c r="B3902" t="s">
        <v>2709</v>
      </c>
      <c r="C3902">
        <v>30049066</v>
      </c>
      <c r="E3902">
        <v>298.8</v>
      </c>
      <c r="F3902">
        <v>0</v>
      </c>
      <c r="G3902">
        <v>0</v>
      </c>
      <c r="H3902">
        <v>9.9</v>
      </c>
      <c r="I3902">
        <v>2.1</v>
      </c>
      <c r="J3902">
        <v>14</v>
      </c>
      <c r="L3902" t="s">
        <v>2709</v>
      </c>
      <c r="M3902">
        <v>30049066</v>
      </c>
      <c r="O3902" t="s">
        <v>20035</v>
      </c>
      <c r="P3902" t="s">
        <v>19900</v>
      </c>
      <c r="Q3902" t="s">
        <v>19900</v>
      </c>
      <c r="R3902" t="s">
        <v>20033</v>
      </c>
      <c r="S3902" t="s">
        <v>20034</v>
      </c>
      <c r="T3902" t="s">
        <v>19911</v>
      </c>
    </row>
    <row r="3903" spans="2:20" x14ac:dyDescent="0.25">
      <c r="B3903" t="s">
        <v>2709</v>
      </c>
      <c r="C3903">
        <v>30049067</v>
      </c>
      <c r="E3903">
        <v>298.8</v>
      </c>
      <c r="F3903">
        <v>0</v>
      </c>
      <c r="G3903">
        <v>0</v>
      </c>
      <c r="H3903">
        <v>9.9</v>
      </c>
      <c r="I3903">
        <v>2.1</v>
      </c>
      <c r="J3903">
        <v>14</v>
      </c>
      <c r="L3903" t="s">
        <v>2709</v>
      </c>
      <c r="M3903">
        <v>30049067</v>
      </c>
      <c r="O3903" t="s">
        <v>20035</v>
      </c>
      <c r="P3903" t="s">
        <v>19900</v>
      </c>
      <c r="Q3903" t="s">
        <v>19900</v>
      </c>
      <c r="R3903" t="s">
        <v>20033</v>
      </c>
      <c r="S3903" t="s">
        <v>20034</v>
      </c>
      <c r="T3903" t="s">
        <v>19911</v>
      </c>
    </row>
    <row r="3904" spans="2:20" x14ac:dyDescent="0.25">
      <c r="B3904" t="s">
        <v>2709</v>
      </c>
      <c r="C3904">
        <v>30049068</v>
      </c>
      <c r="E3904">
        <v>298.8</v>
      </c>
      <c r="F3904">
        <v>0</v>
      </c>
      <c r="G3904">
        <v>0</v>
      </c>
      <c r="H3904">
        <v>9.9</v>
      </c>
      <c r="I3904">
        <v>2.1</v>
      </c>
      <c r="J3904">
        <v>0</v>
      </c>
      <c r="L3904" t="s">
        <v>2709</v>
      </c>
      <c r="M3904">
        <v>30049068</v>
      </c>
      <c r="O3904" t="s">
        <v>20035</v>
      </c>
      <c r="P3904" t="s">
        <v>19900</v>
      </c>
      <c r="Q3904" t="s">
        <v>19900</v>
      </c>
      <c r="R3904" t="s">
        <v>20033</v>
      </c>
      <c r="S3904" t="s">
        <v>20034</v>
      </c>
      <c r="T3904" t="s">
        <v>19900</v>
      </c>
    </row>
    <row r="3905" spans="2:20" x14ac:dyDescent="0.25">
      <c r="B3905" t="s">
        <v>2709</v>
      </c>
      <c r="C3905">
        <v>30049069</v>
      </c>
      <c r="E3905">
        <v>298.8</v>
      </c>
      <c r="F3905">
        <v>0</v>
      </c>
      <c r="G3905">
        <v>0</v>
      </c>
      <c r="H3905">
        <v>9.9</v>
      </c>
      <c r="I3905">
        <v>2.1</v>
      </c>
      <c r="J3905">
        <v>8</v>
      </c>
      <c r="L3905" t="s">
        <v>2709</v>
      </c>
      <c r="M3905">
        <v>30049069</v>
      </c>
      <c r="O3905" t="s">
        <v>20035</v>
      </c>
      <c r="P3905" t="s">
        <v>19900</v>
      </c>
      <c r="Q3905" t="s">
        <v>19900</v>
      </c>
      <c r="R3905" t="s">
        <v>20033</v>
      </c>
      <c r="S3905" t="s">
        <v>20034</v>
      </c>
      <c r="T3905" t="s">
        <v>19918</v>
      </c>
    </row>
    <row r="3906" spans="2:20" x14ac:dyDescent="0.25">
      <c r="B3906" t="s">
        <v>2709</v>
      </c>
      <c r="C3906">
        <v>30049071</v>
      </c>
      <c r="E3906">
        <v>298.8</v>
      </c>
      <c r="F3906">
        <v>0</v>
      </c>
      <c r="G3906">
        <v>0</v>
      </c>
      <c r="H3906">
        <v>9.9</v>
      </c>
      <c r="I3906">
        <v>2.1</v>
      </c>
      <c r="J3906">
        <v>8</v>
      </c>
      <c r="L3906" t="s">
        <v>2709</v>
      </c>
      <c r="M3906">
        <v>30049071</v>
      </c>
      <c r="O3906" t="s">
        <v>20035</v>
      </c>
      <c r="P3906" t="s">
        <v>19900</v>
      </c>
      <c r="Q3906" t="s">
        <v>19900</v>
      </c>
      <c r="R3906" t="s">
        <v>20033</v>
      </c>
      <c r="S3906" t="s">
        <v>20034</v>
      </c>
      <c r="T3906" t="s">
        <v>19918</v>
      </c>
    </row>
    <row r="3907" spans="2:20" x14ac:dyDescent="0.25">
      <c r="B3907" t="s">
        <v>2709</v>
      </c>
      <c r="C3907">
        <v>30049072</v>
      </c>
      <c r="E3907">
        <v>298.8</v>
      </c>
      <c r="F3907">
        <v>0</v>
      </c>
      <c r="G3907">
        <v>0</v>
      </c>
      <c r="H3907">
        <v>9.9</v>
      </c>
      <c r="I3907">
        <v>2.1</v>
      </c>
      <c r="J3907">
        <v>14</v>
      </c>
      <c r="L3907" t="s">
        <v>2709</v>
      </c>
      <c r="M3907">
        <v>30049072</v>
      </c>
      <c r="O3907" t="s">
        <v>20035</v>
      </c>
      <c r="P3907" t="s">
        <v>19900</v>
      </c>
      <c r="Q3907" t="s">
        <v>19900</v>
      </c>
      <c r="R3907" t="s">
        <v>20033</v>
      </c>
      <c r="S3907" t="s">
        <v>20034</v>
      </c>
      <c r="T3907" t="s">
        <v>19911</v>
      </c>
    </row>
    <row r="3908" spans="2:20" x14ac:dyDescent="0.25">
      <c r="B3908" t="s">
        <v>2709</v>
      </c>
      <c r="C3908">
        <v>30049073</v>
      </c>
      <c r="E3908">
        <v>298.8</v>
      </c>
      <c r="F3908">
        <v>0</v>
      </c>
      <c r="G3908">
        <v>0</v>
      </c>
      <c r="H3908">
        <v>9.9</v>
      </c>
      <c r="I3908">
        <v>2.1</v>
      </c>
      <c r="J3908">
        <v>14</v>
      </c>
      <c r="L3908" t="s">
        <v>2709</v>
      </c>
      <c r="M3908">
        <v>30049073</v>
      </c>
      <c r="O3908" t="s">
        <v>20035</v>
      </c>
      <c r="P3908" t="s">
        <v>19900</v>
      </c>
      <c r="Q3908" t="s">
        <v>19900</v>
      </c>
      <c r="R3908" t="s">
        <v>20033</v>
      </c>
      <c r="S3908" t="s">
        <v>20034</v>
      </c>
      <c r="T3908" t="s">
        <v>19911</v>
      </c>
    </row>
    <row r="3909" spans="2:20" x14ac:dyDescent="0.25">
      <c r="B3909" t="s">
        <v>2709</v>
      </c>
      <c r="C3909">
        <v>30049074</v>
      </c>
      <c r="E3909">
        <v>298.8</v>
      </c>
      <c r="F3909">
        <v>0</v>
      </c>
      <c r="G3909">
        <v>0</v>
      </c>
      <c r="H3909">
        <v>9.9</v>
      </c>
      <c r="I3909">
        <v>2.1</v>
      </c>
      <c r="J3909">
        <v>14</v>
      </c>
      <c r="L3909" t="s">
        <v>2709</v>
      </c>
      <c r="M3909">
        <v>30049074</v>
      </c>
      <c r="O3909" t="s">
        <v>20035</v>
      </c>
      <c r="P3909" t="s">
        <v>19900</v>
      </c>
      <c r="Q3909" t="s">
        <v>19900</v>
      </c>
      <c r="R3909" t="s">
        <v>20033</v>
      </c>
      <c r="S3909" t="s">
        <v>20034</v>
      </c>
      <c r="T3909" t="s">
        <v>19911</v>
      </c>
    </row>
    <row r="3910" spans="2:20" x14ac:dyDescent="0.25">
      <c r="B3910" t="s">
        <v>2709</v>
      </c>
      <c r="C3910">
        <v>30049075</v>
      </c>
      <c r="E3910">
        <v>298.8</v>
      </c>
      <c r="F3910">
        <v>0</v>
      </c>
      <c r="G3910">
        <v>0</v>
      </c>
      <c r="H3910">
        <v>9.9</v>
      </c>
      <c r="I3910">
        <v>2.1</v>
      </c>
      <c r="J3910">
        <v>14</v>
      </c>
      <c r="L3910" t="s">
        <v>2709</v>
      </c>
      <c r="M3910">
        <v>30049075</v>
      </c>
      <c r="O3910" t="s">
        <v>20035</v>
      </c>
      <c r="P3910" t="s">
        <v>19900</v>
      </c>
      <c r="Q3910" t="s">
        <v>19900</v>
      </c>
      <c r="R3910" t="s">
        <v>20033</v>
      </c>
      <c r="S3910" t="s">
        <v>20034</v>
      </c>
      <c r="T3910" t="s">
        <v>19911</v>
      </c>
    </row>
    <row r="3911" spans="2:20" x14ac:dyDescent="0.25">
      <c r="B3911" t="s">
        <v>2709</v>
      </c>
      <c r="C3911">
        <v>30049076</v>
      </c>
      <c r="E3911">
        <v>298.8</v>
      </c>
      <c r="F3911">
        <v>0</v>
      </c>
      <c r="G3911">
        <v>0</v>
      </c>
      <c r="H3911">
        <v>9.9</v>
      </c>
      <c r="I3911">
        <v>2.1</v>
      </c>
      <c r="J3911">
        <v>14</v>
      </c>
      <c r="L3911" t="s">
        <v>2709</v>
      </c>
      <c r="M3911">
        <v>30049076</v>
      </c>
      <c r="O3911" t="s">
        <v>20035</v>
      </c>
      <c r="P3911" t="s">
        <v>19900</v>
      </c>
      <c r="Q3911" t="s">
        <v>19900</v>
      </c>
      <c r="R3911" t="s">
        <v>20033</v>
      </c>
      <c r="S3911" t="s">
        <v>20034</v>
      </c>
      <c r="T3911" t="s">
        <v>19911</v>
      </c>
    </row>
    <row r="3912" spans="2:20" x14ac:dyDescent="0.25">
      <c r="B3912" t="s">
        <v>2709</v>
      </c>
      <c r="C3912">
        <v>30049077</v>
      </c>
      <c r="E3912">
        <v>298.8</v>
      </c>
      <c r="F3912">
        <v>0</v>
      </c>
      <c r="G3912">
        <v>0</v>
      </c>
      <c r="H3912">
        <v>9.9</v>
      </c>
      <c r="I3912">
        <v>2.1</v>
      </c>
      <c r="J3912">
        <v>14</v>
      </c>
      <c r="L3912" t="s">
        <v>2709</v>
      </c>
      <c r="M3912">
        <v>30049077</v>
      </c>
      <c r="O3912" t="s">
        <v>20035</v>
      </c>
      <c r="P3912" t="s">
        <v>19900</v>
      </c>
      <c r="Q3912" t="s">
        <v>19900</v>
      </c>
      <c r="R3912" t="s">
        <v>20033</v>
      </c>
      <c r="S3912" t="s">
        <v>20034</v>
      </c>
      <c r="T3912" t="s">
        <v>19911</v>
      </c>
    </row>
    <row r="3913" spans="2:20" x14ac:dyDescent="0.25">
      <c r="B3913" t="s">
        <v>2709</v>
      </c>
      <c r="C3913">
        <v>30049078</v>
      </c>
      <c r="E3913">
        <v>298.8</v>
      </c>
      <c r="F3913">
        <v>0</v>
      </c>
      <c r="G3913">
        <v>0</v>
      </c>
      <c r="H3913">
        <v>9.9</v>
      </c>
      <c r="I3913">
        <v>2.1</v>
      </c>
      <c r="J3913">
        <v>14</v>
      </c>
      <c r="L3913" t="s">
        <v>2709</v>
      </c>
      <c r="M3913">
        <v>30049078</v>
      </c>
      <c r="O3913" t="s">
        <v>20035</v>
      </c>
      <c r="P3913" t="s">
        <v>19900</v>
      </c>
      <c r="Q3913" t="s">
        <v>19900</v>
      </c>
      <c r="R3913" t="s">
        <v>20033</v>
      </c>
      <c r="S3913" t="s">
        <v>20034</v>
      </c>
      <c r="T3913" t="s">
        <v>19911</v>
      </c>
    </row>
    <row r="3914" spans="2:20" x14ac:dyDescent="0.25">
      <c r="B3914" t="s">
        <v>2709</v>
      </c>
      <c r="C3914">
        <v>30049079</v>
      </c>
      <c r="E3914">
        <v>298.8</v>
      </c>
      <c r="F3914">
        <v>0</v>
      </c>
      <c r="G3914">
        <v>0</v>
      </c>
      <c r="H3914">
        <v>9.9</v>
      </c>
      <c r="I3914">
        <v>2.1</v>
      </c>
      <c r="J3914">
        <v>8</v>
      </c>
      <c r="L3914" t="s">
        <v>2709</v>
      </c>
      <c r="M3914">
        <v>30049079</v>
      </c>
      <c r="O3914" t="s">
        <v>20035</v>
      </c>
      <c r="P3914" t="s">
        <v>19900</v>
      </c>
      <c r="Q3914" t="s">
        <v>19900</v>
      </c>
      <c r="R3914" t="s">
        <v>20033</v>
      </c>
      <c r="S3914" t="s">
        <v>20034</v>
      </c>
      <c r="T3914" t="s">
        <v>19918</v>
      </c>
    </row>
    <row r="3915" spans="2:20" x14ac:dyDescent="0.25">
      <c r="B3915" t="s">
        <v>2709</v>
      </c>
      <c r="C3915">
        <v>30049091</v>
      </c>
      <c r="E3915">
        <v>298.8</v>
      </c>
      <c r="F3915">
        <v>0</v>
      </c>
      <c r="G3915">
        <v>0</v>
      </c>
      <c r="H3915">
        <v>9.9</v>
      </c>
      <c r="I3915">
        <v>2.1</v>
      </c>
      <c r="J3915">
        <v>8</v>
      </c>
      <c r="L3915" t="s">
        <v>2709</v>
      </c>
      <c r="M3915">
        <v>30049091</v>
      </c>
      <c r="O3915" t="s">
        <v>20035</v>
      </c>
      <c r="P3915" t="s">
        <v>19900</v>
      </c>
      <c r="Q3915" t="s">
        <v>19900</v>
      </c>
      <c r="R3915" t="s">
        <v>20033</v>
      </c>
      <c r="S3915" t="s">
        <v>20034</v>
      </c>
      <c r="T3915" t="s">
        <v>19918</v>
      </c>
    </row>
    <row r="3916" spans="2:20" x14ac:dyDescent="0.25">
      <c r="B3916" t="s">
        <v>2709</v>
      </c>
      <c r="C3916">
        <v>30049092</v>
      </c>
      <c r="E3916">
        <v>298.8</v>
      </c>
      <c r="F3916">
        <v>0</v>
      </c>
      <c r="G3916">
        <v>0</v>
      </c>
      <c r="H3916">
        <v>9.9</v>
      </c>
      <c r="I3916">
        <v>2.1</v>
      </c>
      <c r="J3916">
        <v>14</v>
      </c>
      <c r="L3916" t="s">
        <v>2709</v>
      </c>
      <c r="M3916">
        <v>30049092</v>
      </c>
      <c r="O3916" t="s">
        <v>20035</v>
      </c>
      <c r="P3916" t="s">
        <v>19900</v>
      </c>
      <c r="Q3916" t="s">
        <v>19900</v>
      </c>
      <c r="R3916" t="s">
        <v>20033</v>
      </c>
      <c r="S3916" t="s">
        <v>20034</v>
      </c>
      <c r="T3916" t="s">
        <v>19911</v>
      </c>
    </row>
    <row r="3917" spans="2:20" x14ac:dyDescent="0.25">
      <c r="B3917" t="s">
        <v>2709</v>
      </c>
      <c r="C3917">
        <v>30049093</v>
      </c>
      <c r="E3917">
        <v>298.8</v>
      </c>
      <c r="F3917">
        <v>0</v>
      </c>
      <c r="G3917">
        <v>0</v>
      </c>
      <c r="H3917">
        <v>9.9</v>
      </c>
      <c r="I3917">
        <v>2.1</v>
      </c>
      <c r="J3917">
        <v>14</v>
      </c>
      <c r="L3917" t="s">
        <v>2709</v>
      </c>
      <c r="M3917">
        <v>30049093</v>
      </c>
      <c r="O3917" t="s">
        <v>20035</v>
      </c>
      <c r="P3917" t="s">
        <v>19900</v>
      </c>
      <c r="Q3917" t="s">
        <v>19900</v>
      </c>
      <c r="R3917" t="s">
        <v>20033</v>
      </c>
      <c r="S3917" t="s">
        <v>20034</v>
      </c>
      <c r="T3917" t="s">
        <v>19911</v>
      </c>
    </row>
    <row r="3918" spans="2:20" x14ac:dyDescent="0.25">
      <c r="B3918" t="s">
        <v>2709</v>
      </c>
      <c r="C3918">
        <v>30049094</v>
      </c>
      <c r="E3918">
        <v>298.8</v>
      </c>
      <c r="F3918">
        <v>0</v>
      </c>
      <c r="G3918">
        <v>0</v>
      </c>
      <c r="H3918">
        <v>9.9</v>
      </c>
      <c r="I3918">
        <v>2.1</v>
      </c>
      <c r="J3918">
        <v>8</v>
      </c>
      <c r="L3918" t="s">
        <v>2709</v>
      </c>
      <c r="M3918">
        <v>30049094</v>
      </c>
      <c r="O3918" t="s">
        <v>20035</v>
      </c>
      <c r="P3918" t="s">
        <v>19900</v>
      </c>
      <c r="Q3918" t="s">
        <v>19900</v>
      </c>
      <c r="R3918" t="s">
        <v>20033</v>
      </c>
      <c r="S3918" t="s">
        <v>20034</v>
      </c>
      <c r="T3918" t="s">
        <v>19918</v>
      </c>
    </row>
    <row r="3919" spans="2:20" x14ac:dyDescent="0.25">
      <c r="B3919" t="s">
        <v>2709</v>
      </c>
      <c r="C3919">
        <v>30049095</v>
      </c>
      <c r="E3919">
        <v>298.8</v>
      </c>
      <c r="F3919">
        <v>0</v>
      </c>
      <c r="G3919">
        <v>0</v>
      </c>
      <c r="H3919">
        <v>9.9</v>
      </c>
      <c r="I3919">
        <v>2.1</v>
      </c>
      <c r="J3919">
        <v>0</v>
      </c>
      <c r="L3919" t="s">
        <v>2709</v>
      </c>
      <c r="M3919">
        <v>30049095</v>
      </c>
      <c r="O3919" t="s">
        <v>20035</v>
      </c>
      <c r="P3919" t="s">
        <v>19900</v>
      </c>
      <c r="Q3919" t="s">
        <v>19900</v>
      </c>
      <c r="R3919" t="s">
        <v>20033</v>
      </c>
      <c r="S3919" t="s">
        <v>20034</v>
      </c>
      <c r="T3919" t="s">
        <v>19900</v>
      </c>
    </row>
    <row r="3920" spans="2:20" x14ac:dyDescent="0.25">
      <c r="B3920" t="s">
        <v>2709</v>
      </c>
      <c r="C3920">
        <v>30049096</v>
      </c>
      <c r="E3920">
        <v>298.8</v>
      </c>
      <c r="F3920">
        <v>0</v>
      </c>
      <c r="G3920">
        <v>0</v>
      </c>
      <c r="H3920">
        <v>9.9</v>
      </c>
      <c r="I3920">
        <v>2.1</v>
      </c>
      <c r="J3920">
        <v>14</v>
      </c>
      <c r="L3920" t="s">
        <v>2709</v>
      </c>
      <c r="M3920">
        <v>30049096</v>
      </c>
      <c r="O3920" t="s">
        <v>20035</v>
      </c>
      <c r="P3920" t="s">
        <v>19900</v>
      </c>
      <c r="Q3920" t="s">
        <v>19900</v>
      </c>
      <c r="R3920" t="s">
        <v>20033</v>
      </c>
      <c r="S3920" t="s">
        <v>20034</v>
      </c>
      <c r="T3920" t="s">
        <v>19911</v>
      </c>
    </row>
    <row r="3921" spans="2:20" x14ac:dyDescent="0.25">
      <c r="B3921" t="s">
        <v>2709</v>
      </c>
      <c r="C3921">
        <v>30049099</v>
      </c>
      <c r="E3921">
        <v>298.8</v>
      </c>
      <c r="F3921">
        <v>12</v>
      </c>
      <c r="G3921">
        <v>0</v>
      </c>
      <c r="H3921">
        <v>9.9</v>
      </c>
      <c r="I3921">
        <v>2.1</v>
      </c>
      <c r="J3921">
        <v>14</v>
      </c>
      <c r="L3921" t="s">
        <v>2709</v>
      </c>
      <c r="M3921">
        <v>30049099</v>
      </c>
      <c r="O3921" t="s">
        <v>20035</v>
      </c>
      <c r="P3921" t="s">
        <v>19903</v>
      </c>
      <c r="Q3921" t="s">
        <v>19900</v>
      </c>
      <c r="R3921" t="s">
        <v>20033</v>
      </c>
      <c r="S3921" t="s">
        <v>20034</v>
      </c>
      <c r="T3921" t="s">
        <v>19911</v>
      </c>
    </row>
    <row r="3922" spans="2:20" x14ac:dyDescent="0.25">
      <c r="B3922" t="s">
        <v>2709</v>
      </c>
      <c r="C3922">
        <v>30051010</v>
      </c>
      <c r="E3922">
        <v>298.8</v>
      </c>
      <c r="F3922">
        <v>0</v>
      </c>
      <c r="G3922">
        <v>0</v>
      </c>
      <c r="H3922">
        <v>9.9</v>
      </c>
      <c r="I3922">
        <v>2.1</v>
      </c>
      <c r="J3922">
        <v>12</v>
      </c>
      <c r="L3922" t="s">
        <v>2709</v>
      </c>
      <c r="M3922">
        <v>30051010</v>
      </c>
      <c r="O3922" t="s">
        <v>20035</v>
      </c>
      <c r="P3922" t="s">
        <v>19900</v>
      </c>
      <c r="Q3922" t="s">
        <v>19900</v>
      </c>
      <c r="R3922" t="s">
        <v>20033</v>
      </c>
      <c r="S3922" t="s">
        <v>20034</v>
      </c>
      <c r="T3922" t="s">
        <v>19903</v>
      </c>
    </row>
    <row r="3923" spans="2:20" x14ac:dyDescent="0.25">
      <c r="B3923" t="s">
        <v>2709</v>
      </c>
      <c r="C3923">
        <v>30051020</v>
      </c>
      <c r="E3923">
        <v>298.8</v>
      </c>
      <c r="F3923">
        <v>0</v>
      </c>
      <c r="G3923">
        <v>0</v>
      </c>
      <c r="H3923">
        <v>7.6</v>
      </c>
      <c r="I3923">
        <v>1.65</v>
      </c>
      <c r="J3923">
        <v>12</v>
      </c>
      <c r="L3923" t="s">
        <v>2709</v>
      </c>
      <c r="M3923">
        <v>30051020</v>
      </c>
      <c r="O3923" t="s">
        <v>20035</v>
      </c>
      <c r="P3923" t="s">
        <v>19900</v>
      </c>
      <c r="Q3923" t="s">
        <v>19900</v>
      </c>
      <c r="R3923" t="s">
        <v>19905</v>
      </c>
      <c r="S3923" t="s">
        <v>19906</v>
      </c>
      <c r="T3923" t="s">
        <v>19903</v>
      </c>
    </row>
    <row r="3924" spans="2:20" x14ac:dyDescent="0.25">
      <c r="B3924" t="s">
        <v>2709</v>
      </c>
      <c r="C3924">
        <v>30051030</v>
      </c>
      <c r="E3924">
        <v>298.8</v>
      </c>
      <c r="F3924">
        <v>0</v>
      </c>
      <c r="G3924">
        <v>0</v>
      </c>
      <c r="H3924">
        <v>7.6</v>
      </c>
      <c r="I3924">
        <v>1.65</v>
      </c>
      <c r="J3924">
        <v>12</v>
      </c>
      <c r="L3924" t="s">
        <v>2709</v>
      </c>
      <c r="M3924">
        <v>30051030</v>
      </c>
      <c r="O3924" t="s">
        <v>20035</v>
      </c>
      <c r="P3924" t="s">
        <v>19900</v>
      </c>
      <c r="Q3924" t="s">
        <v>19900</v>
      </c>
      <c r="R3924" t="s">
        <v>19905</v>
      </c>
      <c r="S3924" t="s">
        <v>19906</v>
      </c>
      <c r="T3924" t="s">
        <v>19903</v>
      </c>
    </row>
    <row r="3925" spans="2:20" x14ac:dyDescent="0.25">
      <c r="B3925" t="s">
        <v>2709</v>
      </c>
      <c r="C3925">
        <v>30051040</v>
      </c>
      <c r="E3925">
        <v>298.8</v>
      </c>
      <c r="F3925">
        <v>0</v>
      </c>
      <c r="G3925">
        <v>0</v>
      </c>
      <c r="H3925">
        <v>7.6</v>
      </c>
      <c r="I3925">
        <v>1.65</v>
      </c>
      <c r="J3925">
        <v>2</v>
      </c>
      <c r="L3925" t="s">
        <v>2709</v>
      </c>
      <c r="M3925">
        <v>30051040</v>
      </c>
      <c r="O3925" t="s">
        <v>20035</v>
      </c>
      <c r="P3925" t="s">
        <v>19900</v>
      </c>
      <c r="Q3925" t="s">
        <v>19900</v>
      </c>
      <c r="R3925" t="s">
        <v>19905</v>
      </c>
      <c r="S3925" t="s">
        <v>19906</v>
      </c>
      <c r="T3925" t="s">
        <v>19901</v>
      </c>
    </row>
    <row r="3926" spans="2:20" x14ac:dyDescent="0.25">
      <c r="B3926" t="s">
        <v>2709</v>
      </c>
      <c r="C3926">
        <v>30051050</v>
      </c>
      <c r="E3926">
        <v>298.8</v>
      </c>
      <c r="F3926">
        <v>0</v>
      </c>
      <c r="G3926">
        <v>0</v>
      </c>
      <c r="H3926">
        <v>7.6</v>
      </c>
      <c r="I3926">
        <v>1.65</v>
      </c>
      <c r="J3926">
        <v>2</v>
      </c>
      <c r="L3926" t="s">
        <v>2709</v>
      </c>
      <c r="M3926">
        <v>30051050</v>
      </c>
      <c r="O3926" t="s">
        <v>20035</v>
      </c>
      <c r="P3926" t="s">
        <v>19900</v>
      </c>
      <c r="Q3926" t="s">
        <v>19900</v>
      </c>
      <c r="R3926" t="s">
        <v>19905</v>
      </c>
      <c r="S3926" t="s">
        <v>19906</v>
      </c>
      <c r="T3926" t="s">
        <v>19901</v>
      </c>
    </row>
    <row r="3927" spans="2:20" x14ac:dyDescent="0.25">
      <c r="B3927" t="s">
        <v>2709</v>
      </c>
      <c r="C3927">
        <v>30051090</v>
      </c>
      <c r="E3927">
        <v>298.8</v>
      </c>
      <c r="F3927">
        <v>0</v>
      </c>
      <c r="G3927">
        <v>0</v>
      </c>
      <c r="H3927">
        <v>7.6</v>
      </c>
      <c r="I3927">
        <v>1.65</v>
      </c>
      <c r="J3927">
        <v>12</v>
      </c>
      <c r="L3927" t="s">
        <v>2709</v>
      </c>
      <c r="M3927">
        <v>30051090</v>
      </c>
      <c r="O3927" t="s">
        <v>20035</v>
      </c>
      <c r="P3927" t="s">
        <v>19900</v>
      </c>
      <c r="Q3927" t="s">
        <v>19900</v>
      </c>
      <c r="R3927" t="s">
        <v>19905</v>
      </c>
      <c r="S3927" t="s">
        <v>19906</v>
      </c>
      <c r="T3927" t="s">
        <v>19903</v>
      </c>
    </row>
    <row r="3928" spans="2:20" x14ac:dyDescent="0.25">
      <c r="B3928" t="s">
        <v>2709</v>
      </c>
      <c r="C3928">
        <v>30059011</v>
      </c>
      <c r="E3928">
        <v>298.8</v>
      </c>
      <c r="F3928">
        <v>0</v>
      </c>
      <c r="G3928">
        <v>0</v>
      </c>
      <c r="H3928">
        <v>7.6</v>
      </c>
      <c r="I3928">
        <v>1.65</v>
      </c>
      <c r="J3928">
        <v>2</v>
      </c>
      <c r="L3928" t="s">
        <v>2709</v>
      </c>
      <c r="M3928">
        <v>30059011</v>
      </c>
      <c r="O3928" t="s">
        <v>20035</v>
      </c>
      <c r="P3928" t="s">
        <v>19900</v>
      </c>
      <c r="Q3928" t="s">
        <v>19900</v>
      </c>
      <c r="R3928" t="s">
        <v>19905</v>
      </c>
      <c r="S3928" t="s">
        <v>19906</v>
      </c>
      <c r="T3928" t="s">
        <v>19901</v>
      </c>
    </row>
    <row r="3929" spans="2:20" x14ac:dyDescent="0.25">
      <c r="B3929" t="s">
        <v>2709</v>
      </c>
      <c r="C3929">
        <v>30059012</v>
      </c>
      <c r="E3929">
        <v>298.8</v>
      </c>
      <c r="F3929">
        <v>0</v>
      </c>
      <c r="G3929">
        <v>0</v>
      </c>
      <c r="H3929">
        <v>7.6</v>
      </c>
      <c r="I3929">
        <v>1.65</v>
      </c>
      <c r="J3929">
        <v>2</v>
      </c>
      <c r="L3929" t="s">
        <v>2709</v>
      </c>
      <c r="M3929">
        <v>30059012</v>
      </c>
      <c r="O3929" t="s">
        <v>20035</v>
      </c>
      <c r="P3929" t="s">
        <v>19900</v>
      </c>
      <c r="Q3929" t="s">
        <v>19900</v>
      </c>
      <c r="R3929" t="s">
        <v>19905</v>
      </c>
      <c r="S3929" t="s">
        <v>19906</v>
      </c>
      <c r="T3929" t="s">
        <v>19901</v>
      </c>
    </row>
    <row r="3930" spans="2:20" x14ac:dyDescent="0.25">
      <c r="B3930" t="s">
        <v>2709</v>
      </c>
      <c r="C3930">
        <v>30059019</v>
      </c>
      <c r="E3930">
        <v>298.8</v>
      </c>
      <c r="F3930">
        <v>0</v>
      </c>
      <c r="G3930">
        <v>0</v>
      </c>
      <c r="H3930">
        <v>7.6</v>
      </c>
      <c r="I3930">
        <v>1.65</v>
      </c>
      <c r="J3930">
        <v>12</v>
      </c>
      <c r="L3930" t="s">
        <v>2709</v>
      </c>
      <c r="M3930">
        <v>30059019</v>
      </c>
      <c r="O3930" t="s">
        <v>20035</v>
      </c>
      <c r="P3930" t="s">
        <v>19900</v>
      </c>
      <c r="Q3930" t="s">
        <v>19900</v>
      </c>
      <c r="R3930" t="s">
        <v>19905</v>
      </c>
      <c r="S3930" t="s">
        <v>19906</v>
      </c>
      <c r="T3930" t="s">
        <v>19903</v>
      </c>
    </row>
    <row r="3931" spans="2:20" x14ac:dyDescent="0.25">
      <c r="B3931" t="s">
        <v>2709</v>
      </c>
      <c r="C3931">
        <v>30059020</v>
      </c>
      <c r="E3931">
        <v>298.8</v>
      </c>
      <c r="F3931">
        <v>0</v>
      </c>
      <c r="G3931">
        <v>0</v>
      </c>
      <c r="H3931">
        <v>7.6</v>
      </c>
      <c r="I3931">
        <v>1.65</v>
      </c>
      <c r="J3931">
        <v>12</v>
      </c>
      <c r="L3931" t="s">
        <v>2709</v>
      </c>
      <c r="M3931">
        <v>30059020</v>
      </c>
      <c r="O3931" t="s">
        <v>20035</v>
      </c>
      <c r="P3931" t="s">
        <v>19900</v>
      </c>
      <c r="Q3931" t="s">
        <v>19900</v>
      </c>
      <c r="R3931" t="s">
        <v>19905</v>
      </c>
      <c r="S3931" t="s">
        <v>19906</v>
      </c>
      <c r="T3931" t="s">
        <v>19903</v>
      </c>
    </row>
    <row r="3932" spans="2:20" x14ac:dyDescent="0.25">
      <c r="B3932" t="s">
        <v>2709</v>
      </c>
      <c r="C3932">
        <v>30059090</v>
      </c>
      <c r="E3932">
        <v>298.8</v>
      </c>
      <c r="F3932">
        <v>0</v>
      </c>
      <c r="G3932">
        <v>0</v>
      </c>
      <c r="H3932">
        <v>7.6</v>
      </c>
      <c r="I3932">
        <v>1.65</v>
      </c>
      <c r="J3932">
        <v>12</v>
      </c>
      <c r="L3932" t="s">
        <v>2709</v>
      </c>
      <c r="M3932">
        <v>30059090</v>
      </c>
      <c r="O3932" t="s">
        <v>20035</v>
      </c>
      <c r="P3932" t="s">
        <v>19900</v>
      </c>
      <c r="Q3932" t="s">
        <v>19900</v>
      </c>
      <c r="R3932" t="s">
        <v>19905</v>
      </c>
      <c r="S3932" t="s">
        <v>19906</v>
      </c>
      <c r="T3932" t="s">
        <v>19903</v>
      </c>
    </row>
    <row r="3933" spans="2:20" x14ac:dyDescent="0.25">
      <c r="B3933" t="s">
        <v>2709</v>
      </c>
      <c r="C3933">
        <v>30061010</v>
      </c>
      <c r="E3933">
        <v>177.19</v>
      </c>
      <c r="F3933">
        <v>0</v>
      </c>
      <c r="G3933">
        <v>0</v>
      </c>
      <c r="H3933" t="s">
        <v>19447</v>
      </c>
      <c r="I3933" t="s">
        <v>19447</v>
      </c>
      <c r="J3933">
        <v>2</v>
      </c>
      <c r="L3933" t="s">
        <v>2709</v>
      </c>
      <c r="M3933">
        <v>30061010</v>
      </c>
      <c r="O3933" t="s">
        <v>19926</v>
      </c>
      <c r="P3933" t="s">
        <v>19900</v>
      </c>
      <c r="Q3933" t="s">
        <v>19900</v>
      </c>
      <c r="R3933" t="s">
        <v>19447</v>
      </c>
      <c r="S3933" t="s">
        <v>19447</v>
      </c>
      <c r="T3933" t="s">
        <v>19901</v>
      </c>
    </row>
    <row r="3934" spans="2:20" x14ac:dyDescent="0.25">
      <c r="B3934" t="s">
        <v>2709</v>
      </c>
      <c r="C3934">
        <v>30061020</v>
      </c>
      <c r="E3934">
        <v>177.19</v>
      </c>
      <c r="F3934">
        <v>0</v>
      </c>
      <c r="G3934">
        <v>0</v>
      </c>
      <c r="H3934" t="s">
        <v>19447</v>
      </c>
      <c r="I3934" t="s">
        <v>19447</v>
      </c>
      <c r="J3934">
        <v>2</v>
      </c>
      <c r="L3934" t="s">
        <v>2709</v>
      </c>
      <c r="M3934">
        <v>30061020</v>
      </c>
      <c r="O3934" t="s">
        <v>19926</v>
      </c>
      <c r="P3934" t="s">
        <v>19900</v>
      </c>
      <c r="Q3934" t="s">
        <v>19900</v>
      </c>
      <c r="R3934" t="s">
        <v>19447</v>
      </c>
      <c r="S3934" t="s">
        <v>19447</v>
      </c>
      <c r="T3934" t="s">
        <v>19901</v>
      </c>
    </row>
    <row r="3935" spans="2:20" x14ac:dyDescent="0.25">
      <c r="B3935" t="s">
        <v>2709</v>
      </c>
      <c r="C3935">
        <v>30061090</v>
      </c>
      <c r="E3935">
        <v>177.19</v>
      </c>
      <c r="F3935">
        <v>0</v>
      </c>
      <c r="G3935">
        <v>0</v>
      </c>
      <c r="H3935" t="s">
        <v>19447</v>
      </c>
      <c r="I3935" t="s">
        <v>19447</v>
      </c>
      <c r="J3935">
        <v>12</v>
      </c>
      <c r="L3935" t="s">
        <v>2709</v>
      </c>
      <c r="M3935">
        <v>30061090</v>
      </c>
      <c r="O3935" t="s">
        <v>19926</v>
      </c>
      <c r="P3935" t="s">
        <v>19900</v>
      </c>
      <c r="Q3935" t="s">
        <v>19900</v>
      </c>
      <c r="R3935" t="s">
        <v>19447</v>
      </c>
      <c r="S3935" t="s">
        <v>19447</v>
      </c>
      <c r="T3935" t="s">
        <v>19903</v>
      </c>
    </row>
    <row r="3936" spans="2:20" x14ac:dyDescent="0.25">
      <c r="B3936" t="s">
        <v>2709</v>
      </c>
      <c r="C3936">
        <v>30062000</v>
      </c>
      <c r="E3936">
        <v>177.19</v>
      </c>
      <c r="F3936">
        <v>0</v>
      </c>
      <c r="G3936">
        <v>0</v>
      </c>
      <c r="H3936" t="s">
        <v>19447</v>
      </c>
      <c r="I3936" t="s">
        <v>19447</v>
      </c>
      <c r="J3936">
        <v>10</v>
      </c>
      <c r="L3936" t="s">
        <v>2709</v>
      </c>
      <c r="M3936">
        <v>30062000</v>
      </c>
      <c r="O3936" t="s">
        <v>19926</v>
      </c>
      <c r="P3936" t="s">
        <v>19900</v>
      </c>
      <c r="Q3936" t="s">
        <v>19900</v>
      </c>
      <c r="R3936" t="s">
        <v>19447</v>
      </c>
      <c r="S3936" t="s">
        <v>19447</v>
      </c>
      <c r="T3936" t="s">
        <v>19904</v>
      </c>
    </row>
    <row r="3937" spans="2:20" x14ac:dyDescent="0.25">
      <c r="B3937" t="s">
        <v>2709</v>
      </c>
      <c r="C3937">
        <v>30063011</v>
      </c>
      <c r="E3937">
        <v>298.8</v>
      </c>
      <c r="F3937">
        <v>0</v>
      </c>
      <c r="G3937">
        <v>0</v>
      </c>
      <c r="H3937">
        <v>9.9</v>
      </c>
      <c r="I3937">
        <v>2.1</v>
      </c>
      <c r="J3937">
        <v>2</v>
      </c>
      <c r="L3937" t="s">
        <v>2709</v>
      </c>
      <c r="M3937">
        <v>30063011</v>
      </c>
      <c r="O3937" t="s">
        <v>20035</v>
      </c>
      <c r="P3937" t="s">
        <v>19900</v>
      </c>
      <c r="Q3937" t="s">
        <v>19900</v>
      </c>
      <c r="R3937" t="s">
        <v>20033</v>
      </c>
      <c r="S3937" t="s">
        <v>20034</v>
      </c>
      <c r="T3937" t="s">
        <v>19901</v>
      </c>
    </row>
    <row r="3938" spans="2:20" x14ac:dyDescent="0.25">
      <c r="B3938" t="s">
        <v>2709</v>
      </c>
      <c r="C3938">
        <v>30063012</v>
      </c>
      <c r="E3938">
        <v>298.8</v>
      </c>
      <c r="F3938">
        <v>0</v>
      </c>
      <c r="G3938">
        <v>0</v>
      </c>
      <c r="H3938">
        <v>9.9</v>
      </c>
      <c r="I3938">
        <v>2.1</v>
      </c>
      <c r="J3938">
        <v>2</v>
      </c>
      <c r="L3938" t="s">
        <v>2709</v>
      </c>
      <c r="M3938">
        <v>30063012</v>
      </c>
      <c r="O3938" t="s">
        <v>20035</v>
      </c>
      <c r="P3938" t="s">
        <v>19900</v>
      </c>
      <c r="Q3938" t="s">
        <v>19900</v>
      </c>
      <c r="R3938" t="s">
        <v>20033</v>
      </c>
      <c r="S3938" t="s">
        <v>20034</v>
      </c>
      <c r="T3938" t="s">
        <v>19901</v>
      </c>
    </row>
    <row r="3939" spans="2:20" x14ac:dyDescent="0.25">
      <c r="B3939" t="s">
        <v>2709</v>
      </c>
      <c r="C3939">
        <v>30063013</v>
      </c>
      <c r="E3939">
        <v>298.8</v>
      </c>
      <c r="F3939">
        <v>0</v>
      </c>
      <c r="G3939">
        <v>0</v>
      </c>
      <c r="H3939">
        <v>9.9</v>
      </c>
      <c r="I3939">
        <v>2.1</v>
      </c>
      <c r="J3939">
        <v>2</v>
      </c>
      <c r="L3939" t="s">
        <v>2709</v>
      </c>
      <c r="M3939">
        <v>30063013</v>
      </c>
      <c r="O3939" t="s">
        <v>20035</v>
      </c>
      <c r="P3939" t="s">
        <v>19900</v>
      </c>
      <c r="Q3939" t="s">
        <v>19900</v>
      </c>
      <c r="R3939" t="s">
        <v>20033</v>
      </c>
      <c r="S3939" t="s">
        <v>20034</v>
      </c>
      <c r="T3939" t="s">
        <v>19901</v>
      </c>
    </row>
    <row r="3940" spans="2:20" x14ac:dyDescent="0.25">
      <c r="B3940" t="s">
        <v>2709</v>
      </c>
      <c r="C3940">
        <v>30063015</v>
      </c>
      <c r="E3940">
        <v>298.8</v>
      </c>
      <c r="F3940">
        <v>0</v>
      </c>
      <c r="G3940">
        <v>0</v>
      </c>
      <c r="H3940">
        <v>9.9</v>
      </c>
      <c r="I3940">
        <v>2.1</v>
      </c>
      <c r="J3940">
        <v>2</v>
      </c>
      <c r="L3940" t="s">
        <v>2709</v>
      </c>
      <c r="M3940">
        <v>30063015</v>
      </c>
      <c r="O3940" t="s">
        <v>20035</v>
      </c>
      <c r="P3940" t="s">
        <v>19900</v>
      </c>
      <c r="Q3940" t="s">
        <v>19900</v>
      </c>
      <c r="R3940" t="s">
        <v>20033</v>
      </c>
      <c r="S3940" t="s">
        <v>20034</v>
      </c>
      <c r="T3940" t="s">
        <v>19901</v>
      </c>
    </row>
    <row r="3941" spans="2:20" x14ac:dyDescent="0.25">
      <c r="B3941" t="s">
        <v>2709</v>
      </c>
      <c r="C3941">
        <v>30063016</v>
      </c>
      <c r="E3941">
        <v>298.8</v>
      </c>
      <c r="F3941">
        <v>0</v>
      </c>
      <c r="G3941">
        <v>0</v>
      </c>
      <c r="H3941">
        <v>9.9</v>
      </c>
      <c r="I3941">
        <v>2.1</v>
      </c>
      <c r="J3941">
        <v>2</v>
      </c>
      <c r="L3941" t="s">
        <v>2709</v>
      </c>
      <c r="M3941">
        <v>30063016</v>
      </c>
      <c r="O3941" t="s">
        <v>20035</v>
      </c>
      <c r="P3941" t="s">
        <v>19900</v>
      </c>
      <c r="Q3941" t="s">
        <v>19900</v>
      </c>
      <c r="R3941" t="s">
        <v>20033</v>
      </c>
      <c r="S3941" t="s">
        <v>20034</v>
      </c>
      <c r="T3941" t="s">
        <v>19901</v>
      </c>
    </row>
    <row r="3942" spans="2:20" x14ac:dyDescent="0.25">
      <c r="B3942" t="s">
        <v>2709</v>
      </c>
      <c r="C3942">
        <v>30063017</v>
      </c>
      <c r="E3942">
        <v>298.8</v>
      </c>
      <c r="F3942">
        <v>0</v>
      </c>
      <c r="G3942">
        <v>0</v>
      </c>
      <c r="H3942">
        <v>9.9</v>
      </c>
      <c r="I3942">
        <v>2.1</v>
      </c>
      <c r="J3942">
        <v>2</v>
      </c>
      <c r="L3942" t="s">
        <v>2709</v>
      </c>
      <c r="M3942">
        <v>30063017</v>
      </c>
      <c r="O3942" t="s">
        <v>20035</v>
      </c>
      <c r="P3942" t="s">
        <v>19900</v>
      </c>
      <c r="Q3942" t="s">
        <v>19900</v>
      </c>
      <c r="R3942" t="s">
        <v>20033</v>
      </c>
      <c r="S3942" t="s">
        <v>20034</v>
      </c>
      <c r="T3942" t="s">
        <v>19901</v>
      </c>
    </row>
    <row r="3943" spans="2:20" x14ac:dyDescent="0.25">
      <c r="B3943" t="s">
        <v>2709</v>
      </c>
      <c r="C3943">
        <v>30063018</v>
      </c>
      <c r="E3943">
        <v>298.8</v>
      </c>
      <c r="F3943">
        <v>0</v>
      </c>
      <c r="G3943">
        <v>0</v>
      </c>
      <c r="H3943">
        <v>9.9</v>
      </c>
      <c r="I3943">
        <v>2.1</v>
      </c>
      <c r="J3943">
        <v>2</v>
      </c>
      <c r="L3943" t="s">
        <v>2709</v>
      </c>
      <c r="M3943">
        <v>30063018</v>
      </c>
      <c r="O3943" t="s">
        <v>20035</v>
      </c>
      <c r="P3943" t="s">
        <v>19900</v>
      </c>
      <c r="Q3943" t="s">
        <v>19900</v>
      </c>
      <c r="R3943" t="s">
        <v>20033</v>
      </c>
      <c r="S3943" t="s">
        <v>20034</v>
      </c>
      <c r="T3943" t="s">
        <v>19901</v>
      </c>
    </row>
    <row r="3944" spans="2:20" x14ac:dyDescent="0.25">
      <c r="B3944" t="s">
        <v>2709</v>
      </c>
      <c r="C3944">
        <v>30063019</v>
      </c>
      <c r="E3944">
        <v>298.8</v>
      </c>
      <c r="F3944">
        <v>0</v>
      </c>
      <c r="G3944">
        <v>0</v>
      </c>
      <c r="H3944">
        <v>9.9</v>
      </c>
      <c r="I3944">
        <v>2.1</v>
      </c>
      <c r="J3944">
        <v>12</v>
      </c>
      <c r="L3944" t="s">
        <v>2709</v>
      </c>
      <c r="M3944">
        <v>30063019</v>
      </c>
      <c r="O3944" t="s">
        <v>20035</v>
      </c>
      <c r="P3944" t="s">
        <v>19900</v>
      </c>
      <c r="Q3944" t="s">
        <v>19900</v>
      </c>
      <c r="R3944" t="s">
        <v>20033</v>
      </c>
      <c r="S3944" t="s">
        <v>20034</v>
      </c>
      <c r="T3944" t="s">
        <v>19903</v>
      </c>
    </row>
    <row r="3945" spans="2:20" x14ac:dyDescent="0.25">
      <c r="B3945" t="s">
        <v>2709</v>
      </c>
      <c r="C3945">
        <v>30063021</v>
      </c>
      <c r="E3945">
        <v>298.8</v>
      </c>
      <c r="F3945">
        <v>0</v>
      </c>
      <c r="G3945">
        <v>0</v>
      </c>
      <c r="H3945">
        <v>9.9</v>
      </c>
      <c r="I3945">
        <v>2.1</v>
      </c>
      <c r="J3945">
        <v>2</v>
      </c>
      <c r="L3945" t="s">
        <v>2709</v>
      </c>
      <c r="M3945">
        <v>30063021</v>
      </c>
      <c r="O3945" t="s">
        <v>20035</v>
      </c>
      <c r="P3945" t="s">
        <v>19900</v>
      </c>
      <c r="Q3945" t="s">
        <v>19900</v>
      </c>
      <c r="R3945" t="s">
        <v>20033</v>
      </c>
      <c r="S3945" t="s">
        <v>20034</v>
      </c>
      <c r="T3945" t="s">
        <v>19901</v>
      </c>
    </row>
    <row r="3946" spans="2:20" x14ac:dyDescent="0.25">
      <c r="B3946" t="s">
        <v>2709</v>
      </c>
      <c r="C3946">
        <v>30063029</v>
      </c>
      <c r="E3946">
        <v>298.8</v>
      </c>
      <c r="F3946">
        <v>0</v>
      </c>
      <c r="G3946">
        <v>0</v>
      </c>
      <c r="H3946">
        <v>9.9</v>
      </c>
      <c r="I3946">
        <v>2.1</v>
      </c>
      <c r="J3946">
        <v>0</v>
      </c>
      <c r="L3946" t="s">
        <v>2709</v>
      </c>
      <c r="M3946">
        <v>30063029</v>
      </c>
      <c r="O3946" t="s">
        <v>20035</v>
      </c>
      <c r="P3946" t="s">
        <v>19900</v>
      </c>
      <c r="Q3946" t="s">
        <v>19900</v>
      </c>
      <c r="R3946" t="s">
        <v>20033</v>
      </c>
      <c r="S3946" t="s">
        <v>20034</v>
      </c>
      <c r="T3946" t="s">
        <v>19900</v>
      </c>
    </row>
    <row r="3947" spans="2:20" x14ac:dyDescent="0.25">
      <c r="B3947" t="s">
        <v>2709</v>
      </c>
      <c r="C3947">
        <v>30064011</v>
      </c>
      <c r="E3947">
        <v>177.19</v>
      </c>
      <c r="F3947">
        <v>0</v>
      </c>
      <c r="G3947">
        <v>0</v>
      </c>
      <c r="H3947" t="s">
        <v>19447</v>
      </c>
      <c r="I3947" t="s">
        <v>19447</v>
      </c>
      <c r="J3947">
        <v>12</v>
      </c>
      <c r="L3947" t="s">
        <v>2709</v>
      </c>
      <c r="M3947">
        <v>30064011</v>
      </c>
      <c r="O3947" t="s">
        <v>19926</v>
      </c>
      <c r="P3947" t="s">
        <v>19900</v>
      </c>
      <c r="Q3947" t="s">
        <v>19900</v>
      </c>
      <c r="R3947" t="s">
        <v>19447</v>
      </c>
      <c r="S3947" t="s">
        <v>19447</v>
      </c>
      <c r="T3947" t="s">
        <v>19903</v>
      </c>
    </row>
    <row r="3948" spans="2:20" x14ac:dyDescent="0.25">
      <c r="B3948" t="s">
        <v>2709</v>
      </c>
      <c r="C3948">
        <v>30064012</v>
      </c>
      <c r="E3948">
        <v>177.19</v>
      </c>
      <c r="F3948">
        <v>0</v>
      </c>
      <c r="G3948">
        <v>0</v>
      </c>
      <c r="H3948" t="s">
        <v>19447</v>
      </c>
      <c r="I3948" t="s">
        <v>19447</v>
      </c>
      <c r="J3948">
        <v>2</v>
      </c>
      <c r="L3948" t="s">
        <v>2709</v>
      </c>
      <c r="M3948">
        <v>30064012</v>
      </c>
      <c r="O3948" t="s">
        <v>19926</v>
      </c>
      <c r="P3948" t="s">
        <v>19900</v>
      </c>
      <c r="Q3948" t="s">
        <v>19900</v>
      </c>
      <c r="R3948" t="s">
        <v>19447</v>
      </c>
      <c r="S3948" t="s">
        <v>19447</v>
      </c>
      <c r="T3948" t="s">
        <v>19901</v>
      </c>
    </row>
    <row r="3949" spans="2:20" x14ac:dyDescent="0.25">
      <c r="B3949" t="s">
        <v>2709</v>
      </c>
      <c r="C3949">
        <v>30064020</v>
      </c>
      <c r="E3949">
        <v>177.19</v>
      </c>
      <c r="F3949">
        <v>0</v>
      </c>
      <c r="G3949">
        <v>0</v>
      </c>
      <c r="H3949" t="s">
        <v>19447</v>
      </c>
      <c r="I3949" t="s">
        <v>19447</v>
      </c>
      <c r="J3949">
        <v>2</v>
      </c>
      <c r="L3949" t="s">
        <v>2709</v>
      </c>
      <c r="M3949">
        <v>30064020</v>
      </c>
      <c r="O3949" t="s">
        <v>19926</v>
      </c>
      <c r="P3949" t="s">
        <v>19900</v>
      </c>
      <c r="Q3949" t="s">
        <v>19900</v>
      </c>
      <c r="R3949" t="s">
        <v>19447</v>
      </c>
      <c r="S3949" t="s">
        <v>19447</v>
      </c>
      <c r="T3949" t="s">
        <v>19901</v>
      </c>
    </row>
    <row r="3950" spans="2:20" x14ac:dyDescent="0.25">
      <c r="B3950" t="s">
        <v>2709</v>
      </c>
      <c r="C3950">
        <v>30065000</v>
      </c>
      <c r="E3950">
        <v>177.19</v>
      </c>
      <c r="F3950">
        <v>0</v>
      </c>
      <c r="G3950">
        <v>0</v>
      </c>
      <c r="H3950">
        <v>7.6</v>
      </c>
      <c r="I3950">
        <v>1.65</v>
      </c>
      <c r="J3950">
        <v>14</v>
      </c>
      <c r="L3950" t="s">
        <v>2709</v>
      </c>
      <c r="M3950">
        <v>30065000</v>
      </c>
      <c r="O3950" t="s">
        <v>19926</v>
      </c>
      <c r="P3950" t="s">
        <v>19900</v>
      </c>
      <c r="Q3950" t="s">
        <v>19900</v>
      </c>
      <c r="R3950" t="s">
        <v>19905</v>
      </c>
      <c r="S3950" t="s">
        <v>19906</v>
      </c>
      <c r="T3950" t="s">
        <v>19911</v>
      </c>
    </row>
    <row r="3951" spans="2:20" x14ac:dyDescent="0.25">
      <c r="B3951" t="s">
        <v>2709</v>
      </c>
      <c r="C3951">
        <v>30066000</v>
      </c>
      <c r="E3951">
        <v>298.8</v>
      </c>
      <c r="F3951">
        <v>0</v>
      </c>
      <c r="G3951">
        <v>0</v>
      </c>
      <c r="H3951">
        <v>9.9</v>
      </c>
      <c r="I3951">
        <v>2.1</v>
      </c>
      <c r="J3951">
        <v>12</v>
      </c>
      <c r="L3951" t="s">
        <v>2709</v>
      </c>
      <c r="M3951">
        <v>30066000</v>
      </c>
      <c r="O3951" t="s">
        <v>20035</v>
      </c>
      <c r="P3951" t="s">
        <v>19900</v>
      </c>
      <c r="Q3951" t="s">
        <v>19900</v>
      </c>
      <c r="R3951" t="s">
        <v>20033</v>
      </c>
      <c r="S3951" t="s">
        <v>20034</v>
      </c>
      <c r="T3951" t="s">
        <v>19903</v>
      </c>
    </row>
    <row r="3952" spans="2:20" x14ac:dyDescent="0.25">
      <c r="B3952" t="s">
        <v>2709</v>
      </c>
      <c r="C3952">
        <v>30067000</v>
      </c>
      <c r="E3952">
        <v>177.19</v>
      </c>
      <c r="F3952">
        <v>0</v>
      </c>
      <c r="G3952">
        <v>0</v>
      </c>
      <c r="H3952" t="s">
        <v>19447</v>
      </c>
      <c r="I3952" t="s">
        <v>19447</v>
      </c>
      <c r="J3952">
        <v>14</v>
      </c>
      <c r="L3952" t="s">
        <v>2709</v>
      </c>
      <c r="M3952">
        <v>30067000</v>
      </c>
      <c r="O3952" t="s">
        <v>19926</v>
      </c>
      <c r="P3952" t="s">
        <v>19900</v>
      </c>
      <c r="Q3952" t="s">
        <v>19900</v>
      </c>
      <c r="R3952" t="s">
        <v>19447</v>
      </c>
      <c r="S3952" t="s">
        <v>19447</v>
      </c>
      <c r="T3952" t="s">
        <v>19911</v>
      </c>
    </row>
    <row r="3953" spans="2:20" x14ac:dyDescent="0.25">
      <c r="B3953" t="s">
        <v>2709</v>
      </c>
      <c r="C3953">
        <v>30069110</v>
      </c>
      <c r="E3953">
        <v>177.19</v>
      </c>
      <c r="F3953">
        <v>0</v>
      </c>
      <c r="G3953">
        <v>0</v>
      </c>
      <c r="H3953" t="s">
        <v>19447</v>
      </c>
      <c r="I3953" t="s">
        <v>19447</v>
      </c>
      <c r="J3953">
        <v>6</v>
      </c>
      <c r="L3953" t="s">
        <v>2709</v>
      </c>
      <c r="M3953">
        <v>30069110</v>
      </c>
      <c r="O3953" t="s">
        <v>19926</v>
      </c>
      <c r="P3953" t="s">
        <v>19900</v>
      </c>
      <c r="Q3953" t="s">
        <v>19900</v>
      </c>
      <c r="R3953" t="s">
        <v>19447</v>
      </c>
      <c r="S3953" t="s">
        <v>19447</v>
      </c>
      <c r="T3953" t="s">
        <v>19907</v>
      </c>
    </row>
    <row r="3954" spans="2:20" x14ac:dyDescent="0.25">
      <c r="B3954" t="s">
        <v>2709</v>
      </c>
      <c r="C3954">
        <v>30069190</v>
      </c>
      <c r="E3954">
        <v>177.19</v>
      </c>
      <c r="F3954">
        <v>0</v>
      </c>
      <c r="G3954">
        <v>0</v>
      </c>
      <c r="H3954" t="s">
        <v>19447</v>
      </c>
      <c r="I3954" t="s">
        <v>19447</v>
      </c>
      <c r="J3954">
        <v>18</v>
      </c>
      <c r="L3954" t="s">
        <v>2709</v>
      </c>
      <c r="M3954">
        <v>30069190</v>
      </c>
      <c r="O3954" t="s">
        <v>19926</v>
      </c>
      <c r="P3954" t="s">
        <v>19900</v>
      </c>
      <c r="Q3954" t="s">
        <v>19900</v>
      </c>
      <c r="R3954" t="s">
        <v>19447</v>
      </c>
      <c r="S3954" t="s">
        <v>19447</v>
      </c>
      <c r="T3954" t="s">
        <v>19899</v>
      </c>
    </row>
    <row r="3955" spans="2:20" x14ac:dyDescent="0.25">
      <c r="B3955" t="s">
        <v>2709</v>
      </c>
      <c r="C3955">
        <v>30069200</v>
      </c>
      <c r="E3955">
        <v>177.19</v>
      </c>
      <c r="F3955">
        <v>0</v>
      </c>
      <c r="G3955">
        <v>0</v>
      </c>
      <c r="H3955">
        <v>7.6</v>
      </c>
      <c r="I3955">
        <v>1.65</v>
      </c>
      <c r="J3955">
        <v>14</v>
      </c>
      <c r="L3955" t="s">
        <v>2709</v>
      </c>
      <c r="M3955">
        <v>30069200</v>
      </c>
      <c r="O3955" t="s">
        <v>19926</v>
      </c>
      <c r="P3955" t="s">
        <v>19900</v>
      </c>
      <c r="Q3955" t="s">
        <v>19900</v>
      </c>
      <c r="R3955" t="s">
        <v>19905</v>
      </c>
      <c r="S3955" t="s">
        <v>19906</v>
      </c>
      <c r="T3955" t="s">
        <v>19911</v>
      </c>
    </row>
    <row r="3956" spans="2:20" x14ac:dyDescent="0.25">
      <c r="B3956" t="s">
        <v>2709</v>
      </c>
      <c r="C3956">
        <v>31010000</v>
      </c>
      <c r="E3956" t="s">
        <v>19447</v>
      </c>
      <c r="F3956">
        <v>0</v>
      </c>
      <c r="G3956">
        <v>0</v>
      </c>
      <c r="H3956" t="s">
        <v>19447</v>
      </c>
      <c r="I3956" t="s">
        <v>19447</v>
      </c>
      <c r="J3956">
        <v>4</v>
      </c>
      <c r="L3956" t="s">
        <v>2709</v>
      </c>
      <c r="M3956">
        <v>31010000</v>
      </c>
      <c r="O3956" t="s">
        <v>19447</v>
      </c>
      <c r="P3956" t="s">
        <v>19900</v>
      </c>
      <c r="Q3956" t="s">
        <v>19900</v>
      </c>
      <c r="R3956" t="s">
        <v>19447</v>
      </c>
      <c r="S3956" t="s">
        <v>19447</v>
      </c>
      <c r="T3956" t="s">
        <v>19902</v>
      </c>
    </row>
    <row r="3957" spans="2:20" x14ac:dyDescent="0.25">
      <c r="B3957" t="s">
        <v>2709</v>
      </c>
      <c r="C3957">
        <v>31021010</v>
      </c>
      <c r="E3957" t="s">
        <v>19447</v>
      </c>
      <c r="F3957">
        <v>0</v>
      </c>
      <c r="G3957">
        <v>0</v>
      </c>
      <c r="H3957" t="s">
        <v>19447</v>
      </c>
      <c r="I3957" t="s">
        <v>19447</v>
      </c>
      <c r="J3957">
        <v>0</v>
      </c>
      <c r="L3957" t="s">
        <v>2709</v>
      </c>
      <c r="M3957">
        <v>31021010</v>
      </c>
      <c r="O3957" t="s">
        <v>19447</v>
      </c>
      <c r="P3957" t="s">
        <v>19900</v>
      </c>
      <c r="Q3957" t="s">
        <v>19900</v>
      </c>
      <c r="R3957" t="s">
        <v>19447</v>
      </c>
      <c r="S3957" t="s">
        <v>19447</v>
      </c>
      <c r="T3957" t="s">
        <v>19900</v>
      </c>
    </row>
    <row r="3958" spans="2:20" x14ac:dyDescent="0.25">
      <c r="B3958" t="s">
        <v>2709</v>
      </c>
      <c r="C3958">
        <v>31021090</v>
      </c>
      <c r="E3958" t="s">
        <v>19447</v>
      </c>
      <c r="F3958">
        <v>0</v>
      </c>
      <c r="G3958">
        <v>0</v>
      </c>
      <c r="H3958" t="s">
        <v>19447</v>
      </c>
      <c r="I3958" t="s">
        <v>19447</v>
      </c>
      <c r="J3958">
        <v>6</v>
      </c>
      <c r="L3958" t="s">
        <v>2709</v>
      </c>
      <c r="M3958">
        <v>31021090</v>
      </c>
      <c r="O3958" t="s">
        <v>19447</v>
      </c>
      <c r="P3958" t="s">
        <v>19900</v>
      </c>
      <c r="Q3958" t="s">
        <v>19900</v>
      </c>
      <c r="R3958" t="s">
        <v>19447</v>
      </c>
      <c r="S3958" t="s">
        <v>19447</v>
      </c>
      <c r="T3958" t="s">
        <v>19907</v>
      </c>
    </row>
    <row r="3959" spans="2:20" x14ac:dyDescent="0.25">
      <c r="B3959" t="s">
        <v>2709</v>
      </c>
      <c r="C3959">
        <v>31022100</v>
      </c>
      <c r="E3959" t="s">
        <v>19447</v>
      </c>
      <c r="F3959">
        <v>0</v>
      </c>
      <c r="G3959">
        <v>0</v>
      </c>
      <c r="H3959" t="s">
        <v>19447</v>
      </c>
      <c r="I3959" t="s">
        <v>19447</v>
      </c>
      <c r="J3959">
        <v>0</v>
      </c>
      <c r="L3959" t="s">
        <v>2709</v>
      </c>
      <c r="M3959">
        <v>31022100</v>
      </c>
      <c r="O3959" t="s">
        <v>19447</v>
      </c>
      <c r="P3959" t="s">
        <v>19900</v>
      </c>
      <c r="Q3959" t="s">
        <v>19900</v>
      </c>
      <c r="R3959" t="s">
        <v>19447</v>
      </c>
      <c r="S3959" t="s">
        <v>19447</v>
      </c>
      <c r="T3959" t="s">
        <v>19900</v>
      </c>
    </row>
    <row r="3960" spans="2:20" x14ac:dyDescent="0.25">
      <c r="B3960" t="s">
        <v>2709</v>
      </c>
      <c r="C3960">
        <v>31022910</v>
      </c>
      <c r="E3960" t="s">
        <v>19447</v>
      </c>
      <c r="F3960">
        <v>0</v>
      </c>
      <c r="G3960">
        <v>0</v>
      </c>
      <c r="H3960" t="s">
        <v>19447</v>
      </c>
      <c r="I3960" t="s">
        <v>19447</v>
      </c>
      <c r="J3960">
        <v>0</v>
      </c>
      <c r="L3960" t="s">
        <v>2709</v>
      </c>
      <c r="M3960">
        <v>31022910</v>
      </c>
      <c r="O3960" t="s">
        <v>19447</v>
      </c>
      <c r="P3960" t="s">
        <v>19900</v>
      </c>
      <c r="Q3960" t="s">
        <v>19900</v>
      </c>
      <c r="R3960" t="s">
        <v>19447</v>
      </c>
      <c r="S3960" t="s">
        <v>19447</v>
      </c>
      <c r="T3960" t="s">
        <v>19900</v>
      </c>
    </row>
    <row r="3961" spans="2:20" x14ac:dyDescent="0.25">
      <c r="B3961" t="s">
        <v>2709</v>
      </c>
      <c r="C3961">
        <v>31022990</v>
      </c>
      <c r="E3961" t="s">
        <v>19447</v>
      </c>
      <c r="F3961">
        <v>0</v>
      </c>
      <c r="G3961">
        <v>0</v>
      </c>
      <c r="H3961" t="s">
        <v>19447</v>
      </c>
      <c r="I3961" t="s">
        <v>19447</v>
      </c>
      <c r="J3961">
        <v>0</v>
      </c>
      <c r="L3961" t="s">
        <v>2709</v>
      </c>
      <c r="M3961">
        <v>31022990</v>
      </c>
      <c r="O3961" t="s">
        <v>19447</v>
      </c>
      <c r="P3961" t="s">
        <v>19900</v>
      </c>
      <c r="Q3961" t="s">
        <v>19900</v>
      </c>
      <c r="R3961" t="s">
        <v>19447</v>
      </c>
      <c r="S3961" t="s">
        <v>19447</v>
      </c>
      <c r="T3961" t="s">
        <v>19900</v>
      </c>
    </row>
    <row r="3962" spans="2:20" x14ac:dyDescent="0.25">
      <c r="B3962" t="s">
        <v>2709</v>
      </c>
      <c r="C3962">
        <v>31023000</v>
      </c>
      <c r="E3962" t="s">
        <v>19447</v>
      </c>
      <c r="F3962">
        <v>0</v>
      </c>
      <c r="G3962">
        <v>0</v>
      </c>
      <c r="H3962" t="s">
        <v>19447</v>
      </c>
      <c r="I3962" t="s">
        <v>19447</v>
      </c>
      <c r="J3962">
        <v>0</v>
      </c>
      <c r="L3962" t="s">
        <v>2709</v>
      </c>
      <c r="M3962">
        <v>31023000</v>
      </c>
      <c r="O3962" t="s">
        <v>19447</v>
      </c>
      <c r="P3962" t="s">
        <v>19900</v>
      </c>
      <c r="Q3962" t="s">
        <v>19900</v>
      </c>
      <c r="R3962" t="s">
        <v>19447</v>
      </c>
      <c r="S3962" t="s">
        <v>19447</v>
      </c>
      <c r="T3962" t="s">
        <v>19900</v>
      </c>
    </row>
    <row r="3963" spans="2:20" x14ac:dyDescent="0.25">
      <c r="B3963" t="s">
        <v>2709</v>
      </c>
      <c r="C3963">
        <v>31024000</v>
      </c>
      <c r="E3963" t="s">
        <v>19447</v>
      </c>
      <c r="F3963">
        <v>0</v>
      </c>
      <c r="G3963">
        <v>0</v>
      </c>
      <c r="H3963" t="s">
        <v>19447</v>
      </c>
      <c r="I3963" t="s">
        <v>19447</v>
      </c>
      <c r="J3963">
        <v>0</v>
      </c>
      <c r="L3963" t="s">
        <v>2709</v>
      </c>
      <c r="M3963">
        <v>31024000</v>
      </c>
      <c r="O3963" t="s">
        <v>19447</v>
      </c>
      <c r="P3963" t="s">
        <v>19900</v>
      </c>
      <c r="Q3963" t="s">
        <v>19900</v>
      </c>
      <c r="R3963" t="s">
        <v>19447</v>
      </c>
      <c r="S3963" t="s">
        <v>19447</v>
      </c>
      <c r="T3963" t="s">
        <v>19900</v>
      </c>
    </row>
    <row r="3964" spans="2:20" x14ac:dyDescent="0.25">
      <c r="B3964" t="s">
        <v>2709</v>
      </c>
      <c r="C3964">
        <v>31025011</v>
      </c>
      <c r="E3964" t="s">
        <v>19447</v>
      </c>
      <c r="F3964">
        <v>0</v>
      </c>
      <c r="G3964">
        <v>0</v>
      </c>
      <c r="H3964" t="s">
        <v>19447</v>
      </c>
      <c r="I3964" t="s">
        <v>19447</v>
      </c>
      <c r="J3964">
        <v>0</v>
      </c>
      <c r="L3964" t="s">
        <v>2709</v>
      </c>
      <c r="M3964">
        <v>31025011</v>
      </c>
      <c r="O3964" t="s">
        <v>19447</v>
      </c>
      <c r="P3964" t="s">
        <v>19900</v>
      </c>
      <c r="Q3964" t="s">
        <v>19900</v>
      </c>
      <c r="R3964" t="s">
        <v>19447</v>
      </c>
      <c r="S3964" t="s">
        <v>19447</v>
      </c>
      <c r="T3964" t="s">
        <v>19900</v>
      </c>
    </row>
    <row r="3965" spans="2:20" x14ac:dyDescent="0.25">
      <c r="B3965" t="s">
        <v>2709</v>
      </c>
      <c r="C3965">
        <v>31025019</v>
      </c>
      <c r="E3965" t="s">
        <v>19447</v>
      </c>
      <c r="F3965">
        <v>0</v>
      </c>
      <c r="G3965">
        <v>0</v>
      </c>
      <c r="H3965" t="s">
        <v>19447</v>
      </c>
      <c r="I3965" t="s">
        <v>19447</v>
      </c>
      <c r="J3965">
        <v>0</v>
      </c>
      <c r="L3965" t="s">
        <v>2709</v>
      </c>
      <c r="M3965">
        <v>31025019</v>
      </c>
      <c r="O3965" t="s">
        <v>19447</v>
      </c>
      <c r="P3965" t="s">
        <v>19900</v>
      </c>
      <c r="Q3965" t="s">
        <v>19900</v>
      </c>
      <c r="R3965" t="s">
        <v>19447</v>
      </c>
      <c r="S3965" t="s">
        <v>19447</v>
      </c>
      <c r="T3965" t="s">
        <v>19900</v>
      </c>
    </row>
    <row r="3966" spans="2:20" x14ac:dyDescent="0.25">
      <c r="B3966" t="s">
        <v>2709</v>
      </c>
      <c r="C3966">
        <v>31025090</v>
      </c>
      <c r="E3966" t="s">
        <v>19447</v>
      </c>
      <c r="F3966">
        <v>0</v>
      </c>
      <c r="G3966">
        <v>0</v>
      </c>
      <c r="H3966" t="s">
        <v>19447</v>
      </c>
      <c r="I3966" t="s">
        <v>19447</v>
      </c>
      <c r="J3966">
        <v>0</v>
      </c>
      <c r="L3966" t="s">
        <v>2709</v>
      </c>
      <c r="M3966">
        <v>31025090</v>
      </c>
      <c r="O3966" t="s">
        <v>19447</v>
      </c>
      <c r="P3966" t="s">
        <v>19900</v>
      </c>
      <c r="Q3966" t="s">
        <v>19900</v>
      </c>
      <c r="R3966" t="s">
        <v>19447</v>
      </c>
      <c r="S3966" t="s">
        <v>19447</v>
      </c>
      <c r="T3966" t="s">
        <v>19900</v>
      </c>
    </row>
    <row r="3967" spans="2:20" x14ac:dyDescent="0.25">
      <c r="B3967" t="s">
        <v>2709</v>
      </c>
      <c r="C3967">
        <v>31025090</v>
      </c>
      <c r="D3967">
        <v>1</v>
      </c>
      <c r="E3967" t="s">
        <v>19447</v>
      </c>
      <c r="F3967">
        <v>18</v>
      </c>
      <c r="G3967">
        <v>0</v>
      </c>
      <c r="H3967">
        <v>7.6</v>
      </c>
      <c r="I3967">
        <v>1.65</v>
      </c>
      <c r="J3967">
        <v>0</v>
      </c>
      <c r="L3967" t="s">
        <v>2709</v>
      </c>
      <c r="M3967">
        <v>31025090</v>
      </c>
      <c r="N3967">
        <v>1</v>
      </c>
      <c r="O3967" t="s">
        <v>19447</v>
      </c>
      <c r="P3967" t="s">
        <v>19899</v>
      </c>
      <c r="Q3967" t="s">
        <v>19900</v>
      </c>
      <c r="R3967" t="s">
        <v>19905</v>
      </c>
      <c r="S3967" t="s">
        <v>19906</v>
      </c>
      <c r="T3967" t="s">
        <v>19900</v>
      </c>
    </row>
    <row r="3968" spans="2:20" x14ac:dyDescent="0.25">
      <c r="B3968" t="s">
        <v>2709</v>
      </c>
      <c r="C3968">
        <v>31026000</v>
      </c>
      <c r="E3968" t="s">
        <v>19447</v>
      </c>
      <c r="F3968">
        <v>0</v>
      </c>
      <c r="G3968">
        <v>0</v>
      </c>
      <c r="H3968" t="s">
        <v>19447</v>
      </c>
      <c r="I3968" t="s">
        <v>19447</v>
      </c>
      <c r="J3968">
        <v>0</v>
      </c>
      <c r="L3968" t="s">
        <v>2709</v>
      </c>
      <c r="M3968">
        <v>31026000</v>
      </c>
      <c r="O3968" t="s">
        <v>19447</v>
      </c>
      <c r="P3968" t="s">
        <v>19900</v>
      </c>
      <c r="Q3968" t="s">
        <v>19900</v>
      </c>
      <c r="R3968" t="s">
        <v>19447</v>
      </c>
      <c r="S3968" t="s">
        <v>19447</v>
      </c>
      <c r="T3968" t="s">
        <v>19900</v>
      </c>
    </row>
    <row r="3969" spans="2:20" x14ac:dyDescent="0.25">
      <c r="B3969" t="s">
        <v>2709</v>
      </c>
      <c r="C3969">
        <v>31028000</v>
      </c>
      <c r="E3969" t="s">
        <v>19447</v>
      </c>
      <c r="F3969">
        <v>0</v>
      </c>
      <c r="G3969">
        <v>0</v>
      </c>
      <c r="H3969" t="s">
        <v>19447</v>
      </c>
      <c r="I3969" t="s">
        <v>19447</v>
      </c>
      <c r="J3969">
        <v>4</v>
      </c>
      <c r="L3969" t="s">
        <v>2709</v>
      </c>
      <c r="M3969">
        <v>31028000</v>
      </c>
      <c r="O3969" t="s">
        <v>19447</v>
      </c>
      <c r="P3969" t="s">
        <v>19900</v>
      </c>
      <c r="Q3969" t="s">
        <v>19900</v>
      </c>
      <c r="R3969" t="s">
        <v>19447</v>
      </c>
      <c r="S3969" t="s">
        <v>19447</v>
      </c>
      <c r="T3969" t="s">
        <v>19902</v>
      </c>
    </row>
    <row r="3970" spans="2:20" x14ac:dyDescent="0.25">
      <c r="B3970" t="s">
        <v>2709</v>
      </c>
      <c r="C3970">
        <v>31029000</v>
      </c>
      <c r="E3970" t="s">
        <v>19447</v>
      </c>
      <c r="F3970">
        <v>0</v>
      </c>
      <c r="G3970">
        <v>0</v>
      </c>
      <c r="H3970" t="s">
        <v>19447</v>
      </c>
      <c r="I3970" t="s">
        <v>19447</v>
      </c>
      <c r="J3970">
        <v>0</v>
      </c>
      <c r="L3970" t="s">
        <v>2709</v>
      </c>
      <c r="M3970">
        <v>31029000</v>
      </c>
      <c r="O3970" t="s">
        <v>19447</v>
      </c>
      <c r="P3970" t="s">
        <v>19900</v>
      </c>
      <c r="Q3970" t="s">
        <v>19900</v>
      </c>
      <c r="R3970" t="s">
        <v>19447</v>
      </c>
      <c r="S3970" t="s">
        <v>19447</v>
      </c>
      <c r="T3970" t="s">
        <v>19900</v>
      </c>
    </row>
    <row r="3971" spans="2:20" x14ac:dyDescent="0.25">
      <c r="B3971" t="s">
        <v>2709</v>
      </c>
      <c r="C3971">
        <v>31029000</v>
      </c>
      <c r="D3971">
        <v>1</v>
      </c>
      <c r="E3971" t="s">
        <v>19447</v>
      </c>
      <c r="F3971">
        <v>18</v>
      </c>
      <c r="G3971">
        <v>0</v>
      </c>
      <c r="H3971">
        <v>7.6</v>
      </c>
      <c r="I3971">
        <v>1.65</v>
      </c>
      <c r="J3971">
        <v>0</v>
      </c>
      <c r="L3971" t="s">
        <v>2709</v>
      </c>
      <c r="M3971">
        <v>31029000</v>
      </c>
      <c r="N3971">
        <v>1</v>
      </c>
      <c r="O3971" t="s">
        <v>19447</v>
      </c>
      <c r="P3971" t="s">
        <v>19899</v>
      </c>
      <c r="Q3971" t="s">
        <v>19900</v>
      </c>
      <c r="R3971" t="s">
        <v>19905</v>
      </c>
      <c r="S3971" t="s">
        <v>19906</v>
      </c>
      <c r="T3971" t="s">
        <v>19900</v>
      </c>
    </row>
    <row r="3972" spans="2:20" x14ac:dyDescent="0.25">
      <c r="B3972" t="s">
        <v>2709</v>
      </c>
      <c r="C3972">
        <v>31031010</v>
      </c>
      <c r="E3972" t="s">
        <v>19447</v>
      </c>
      <c r="F3972">
        <v>0</v>
      </c>
      <c r="G3972">
        <v>0</v>
      </c>
      <c r="H3972" t="s">
        <v>19447</v>
      </c>
      <c r="I3972" t="s">
        <v>19447</v>
      </c>
      <c r="J3972">
        <v>0</v>
      </c>
      <c r="L3972" t="s">
        <v>2709</v>
      </c>
      <c r="M3972">
        <v>31031010</v>
      </c>
      <c r="O3972" t="s">
        <v>19447</v>
      </c>
      <c r="P3972" t="s">
        <v>19900</v>
      </c>
      <c r="Q3972" t="s">
        <v>19900</v>
      </c>
      <c r="R3972" t="s">
        <v>19447</v>
      </c>
      <c r="S3972" t="s">
        <v>19447</v>
      </c>
      <c r="T3972" t="s">
        <v>19900</v>
      </c>
    </row>
    <row r="3973" spans="2:20" x14ac:dyDescent="0.25">
      <c r="B3973" t="s">
        <v>2709</v>
      </c>
      <c r="C3973">
        <v>31031020</v>
      </c>
      <c r="E3973" t="s">
        <v>19447</v>
      </c>
      <c r="F3973">
        <v>0</v>
      </c>
      <c r="G3973">
        <v>0</v>
      </c>
      <c r="H3973" t="s">
        <v>19447</v>
      </c>
      <c r="I3973" t="s">
        <v>19447</v>
      </c>
      <c r="J3973">
        <v>6</v>
      </c>
      <c r="L3973" t="s">
        <v>2709</v>
      </c>
      <c r="M3973">
        <v>31031020</v>
      </c>
      <c r="O3973" t="s">
        <v>19447</v>
      </c>
      <c r="P3973" t="s">
        <v>19900</v>
      </c>
      <c r="Q3973" t="s">
        <v>19900</v>
      </c>
      <c r="R3973" t="s">
        <v>19447</v>
      </c>
      <c r="S3973" t="s">
        <v>19447</v>
      </c>
      <c r="T3973" t="s">
        <v>19907</v>
      </c>
    </row>
    <row r="3974" spans="2:20" x14ac:dyDescent="0.25">
      <c r="B3974" t="s">
        <v>2709</v>
      </c>
      <c r="C3974">
        <v>31031030</v>
      </c>
      <c r="E3974" t="s">
        <v>19447</v>
      </c>
      <c r="F3974">
        <v>0</v>
      </c>
      <c r="G3974">
        <v>0</v>
      </c>
      <c r="H3974" t="s">
        <v>19447</v>
      </c>
      <c r="I3974" t="s">
        <v>19447</v>
      </c>
      <c r="J3974">
        <v>0</v>
      </c>
      <c r="L3974" t="s">
        <v>2709</v>
      </c>
      <c r="M3974">
        <v>31031030</v>
      </c>
      <c r="O3974" t="s">
        <v>19447</v>
      </c>
      <c r="P3974" t="s">
        <v>19900</v>
      </c>
      <c r="Q3974" t="s">
        <v>19900</v>
      </c>
      <c r="R3974" t="s">
        <v>19447</v>
      </c>
      <c r="S3974" t="s">
        <v>19447</v>
      </c>
      <c r="T3974" t="s">
        <v>19900</v>
      </c>
    </row>
    <row r="3975" spans="2:20" x14ac:dyDescent="0.25">
      <c r="B3975" t="s">
        <v>2709</v>
      </c>
      <c r="C3975">
        <v>31039011</v>
      </c>
      <c r="E3975" t="s">
        <v>19447</v>
      </c>
      <c r="F3975">
        <v>0</v>
      </c>
      <c r="G3975">
        <v>0</v>
      </c>
      <c r="H3975" t="s">
        <v>19447</v>
      </c>
      <c r="I3975" t="s">
        <v>19447</v>
      </c>
      <c r="J3975">
        <v>0</v>
      </c>
      <c r="L3975" t="s">
        <v>2709</v>
      </c>
      <c r="M3975">
        <v>31039011</v>
      </c>
      <c r="O3975" t="s">
        <v>19447</v>
      </c>
      <c r="P3975" t="s">
        <v>19900</v>
      </c>
      <c r="Q3975" t="s">
        <v>19900</v>
      </c>
      <c r="R3975" t="s">
        <v>19447</v>
      </c>
      <c r="S3975" t="s">
        <v>19447</v>
      </c>
      <c r="T3975" t="s">
        <v>19900</v>
      </c>
    </row>
    <row r="3976" spans="2:20" x14ac:dyDescent="0.25">
      <c r="B3976" t="s">
        <v>2709</v>
      </c>
      <c r="C3976">
        <v>31039019</v>
      </c>
      <c r="E3976" t="s">
        <v>19447</v>
      </c>
      <c r="F3976">
        <v>0</v>
      </c>
      <c r="G3976">
        <v>0</v>
      </c>
      <c r="H3976" t="s">
        <v>19447</v>
      </c>
      <c r="I3976" t="s">
        <v>19447</v>
      </c>
      <c r="J3976">
        <v>0</v>
      </c>
      <c r="L3976" t="s">
        <v>2709</v>
      </c>
      <c r="M3976">
        <v>31039019</v>
      </c>
      <c r="O3976" t="s">
        <v>19447</v>
      </c>
      <c r="P3976" t="s">
        <v>19900</v>
      </c>
      <c r="Q3976" t="s">
        <v>19900</v>
      </c>
      <c r="R3976" t="s">
        <v>19447</v>
      </c>
      <c r="S3976" t="s">
        <v>19447</v>
      </c>
      <c r="T3976" t="s">
        <v>19900</v>
      </c>
    </row>
    <row r="3977" spans="2:20" x14ac:dyDescent="0.25">
      <c r="B3977" t="s">
        <v>2709</v>
      </c>
      <c r="C3977">
        <v>31039090</v>
      </c>
      <c r="E3977" t="s">
        <v>19447</v>
      </c>
      <c r="F3977">
        <v>0</v>
      </c>
      <c r="G3977">
        <v>0</v>
      </c>
      <c r="H3977" t="s">
        <v>19447</v>
      </c>
      <c r="I3977" t="s">
        <v>19447</v>
      </c>
      <c r="J3977">
        <v>0</v>
      </c>
      <c r="L3977" t="s">
        <v>2709</v>
      </c>
      <c r="M3977">
        <v>31039090</v>
      </c>
      <c r="O3977" t="s">
        <v>19447</v>
      </c>
      <c r="P3977" t="s">
        <v>19900</v>
      </c>
      <c r="Q3977" t="s">
        <v>19900</v>
      </c>
      <c r="R3977" t="s">
        <v>19447</v>
      </c>
      <c r="S3977" t="s">
        <v>19447</v>
      </c>
      <c r="T3977" t="s">
        <v>19900</v>
      </c>
    </row>
    <row r="3978" spans="2:20" x14ac:dyDescent="0.25">
      <c r="B3978" t="s">
        <v>2709</v>
      </c>
      <c r="C3978">
        <v>31042010</v>
      </c>
      <c r="E3978" t="s">
        <v>19447</v>
      </c>
      <c r="F3978">
        <v>0</v>
      </c>
      <c r="G3978">
        <v>0</v>
      </c>
      <c r="H3978" t="s">
        <v>19447</v>
      </c>
      <c r="I3978" t="s">
        <v>19447</v>
      </c>
      <c r="J3978">
        <v>0</v>
      </c>
      <c r="L3978" t="s">
        <v>2709</v>
      </c>
      <c r="M3978">
        <v>31042010</v>
      </c>
      <c r="O3978" t="s">
        <v>19447</v>
      </c>
      <c r="P3978" t="s">
        <v>19900</v>
      </c>
      <c r="Q3978" t="s">
        <v>19900</v>
      </c>
      <c r="R3978" t="s">
        <v>19447</v>
      </c>
      <c r="S3978" t="s">
        <v>19447</v>
      </c>
      <c r="T3978" t="s">
        <v>19900</v>
      </c>
    </row>
    <row r="3979" spans="2:20" x14ac:dyDescent="0.25">
      <c r="B3979" t="s">
        <v>2709</v>
      </c>
      <c r="C3979">
        <v>31042090</v>
      </c>
      <c r="E3979" t="s">
        <v>19447</v>
      </c>
      <c r="F3979">
        <v>0</v>
      </c>
      <c r="G3979">
        <v>0</v>
      </c>
      <c r="H3979" t="s">
        <v>19447</v>
      </c>
      <c r="I3979" t="s">
        <v>19447</v>
      </c>
      <c r="J3979">
        <v>0</v>
      </c>
      <c r="L3979" t="s">
        <v>2709</v>
      </c>
      <c r="M3979">
        <v>31042090</v>
      </c>
      <c r="O3979" t="s">
        <v>19447</v>
      </c>
      <c r="P3979" t="s">
        <v>19900</v>
      </c>
      <c r="Q3979" t="s">
        <v>19900</v>
      </c>
      <c r="R3979" t="s">
        <v>19447</v>
      </c>
      <c r="S3979" t="s">
        <v>19447</v>
      </c>
      <c r="T3979" t="s">
        <v>19900</v>
      </c>
    </row>
    <row r="3980" spans="2:20" x14ac:dyDescent="0.25">
      <c r="B3980" t="s">
        <v>2709</v>
      </c>
      <c r="C3980">
        <v>31043010</v>
      </c>
      <c r="E3980" t="s">
        <v>19447</v>
      </c>
      <c r="F3980">
        <v>0</v>
      </c>
      <c r="G3980">
        <v>0</v>
      </c>
      <c r="H3980" t="s">
        <v>19447</v>
      </c>
      <c r="I3980" t="s">
        <v>19447</v>
      </c>
      <c r="J3980">
        <v>0</v>
      </c>
      <c r="L3980" t="s">
        <v>2709</v>
      </c>
      <c r="M3980">
        <v>31043010</v>
      </c>
      <c r="O3980" t="s">
        <v>19447</v>
      </c>
      <c r="P3980" t="s">
        <v>19900</v>
      </c>
      <c r="Q3980" t="s">
        <v>19900</v>
      </c>
      <c r="R3980" t="s">
        <v>19447</v>
      </c>
      <c r="S3980" t="s">
        <v>19447</v>
      </c>
      <c r="T3980" t="s">
        <v>19900</v>
      </c>
    </row>
    <row r="3981" spans="2:20" x14ac:dyDescent="0.25">
      <c r="B3981" t="s">
        <v>2709</v>
      </c>
      <c r="C3981">
        <v>31043090</v>
      </c>
      <c r="E3981" t="s">
        <v>19447</v>
      </c>
      <c r="F3981">
        <v>0</v>
      </c>
      <c r="G3981">
        <v>0</v>
      </c>
      <c r="H3981" t="s">
        <v>19447</v>
      </c>
      <c r="I3981" t="s">
        <v>19447</v>
      </c>
      <c r="J3981">
        <v>0</v>
      </c>
      <c r="L3981" t="s">
        <v>2709</v>
      </c>
      <c r="M3981">
        <v>31043090</v>
      </c>
      <c r="O3981" t="s">
        <v>19447</v>
      </c>
      <c r="P3981" t="s">
        <v>19900</v>
      </c>
      <c r="Q3981" t="s">
        <v>19900</v>
      </c>
      <c r="R3981" t="s">
        <v>19447</v>
      </c>
      <c r="S3981" t="s">
        <v>19447</v>
      </c>
      <c r="T3981" t="s">
        <v>19900</v>
      </c>
    </row>
    <row r="3982" spans="2:20" x14ac:dyDescent="0.25">
      <c r="B3982" t="s">
        <v>2709</v>
      </c>
      <c r="C3982">
        <v>31049010</v>
      </c>
      <c r="E3982" t="s">
        <v>19447</v>
      </c>
      <c r="F3982">
        <v>0</v>
      </c>
      <c r="G3982">
        <v>0</v>
      </c>
      <c r="H3982" t="s">
        <v>19447</v>
      </c>
      <c r="I3982" t="s">
        <v>19447</v>
      </c>
      <c r="J3982">
        <v>6</v>
      </c>
      <c r="L3982" t="s">
        <v>2709</v>
      </c>
      <c r="M3982">
        <v>31049010</v>
      </c>
      <c r="O3982" t="s">
        <v>19447</v>
      </c>
      <c r="P3982" t="s">
        <v>19900</v>
      </c>
      <c r="Q3982" t="s">
        <v>19900</v>
      </c>
      <c r="R3982" t="s">
        <v>19447</v>
      </c>
      <c r="S3982" t="s">
        <v>19447</v>
      </c>
      <c r="T3982" t="s">
        <v>19907</v>
      </c>
    </row>
    <row r="3983" spans="2:20" x14ac:dyDescent="0.25">
      <c r="B3983" t="s">
        <v>2709</v>
      </c>
      <c r="C3983">
        <v>31049090</v>
      </c>
      <c r="E3983" t="s">
        <v>19447</v>
      </c>
      <c r="F3983">
        <v>0</v>
      </c>
      <c r="G3983">
        <v>0</v>
      </c>
      <c r="H3983" t="s">
        <v>19447</v>
      </c>
      <c r="I3983" t="s">
        <v>19447</v>
      </c>
      <c r="J3983">
        <v>0</v>
      </c>
      <c r="L3983" t="s">
        <v>2709</v>
      </c>
      <c r="M3983">
        <v>31049090</v>
      </c>
      <c r="O3983" t="s">
        <v>19447</v>
      </c>
      <c r="P3983" t="s">
        <v>19900</v>
      </c>
      <c r="Q3983" t="s">
        <v>19900</v>
      </c>
      <c r="R3983" t="s">
        <v>19447</v>
      </c>
      <c r="S3983" t="s">
        <v>19447</v>
      </c>
      <c r="T3983" t="s">
        <v>19900</v>
      </c>
    </row>
    <row r="3984" spans="2:20" x14ac:dyDescent="0.25">
      <c r="B3984" t="s">
        <v>2709</v>
      </c>
      <c r="C3984">
        <v>31051000</v>
      </c>
      <c r="E3984" t="s">
        <v>19447</v>
      </c>
      <c r="F3984">
        <v>0</v>
      </c>
      <c r="G3984">
        <v>0</v>
      </c>
      <c r="H3984" t="s">
        <v>19447</v>
      </c>
      <c r="I3984" t="s">
        <v>19447</v>
      </c>
      <c r="J3984">
        <v>6</v>
      </c>
      <c r="L3984" t="s">
        <v>2709</v>
      </c>
      <c r="M3984">
        <v>31051000</v>
      </c>
      <c r="O3984" t="s">
        <v>19447</v>
      </c>
      <c r="P3984" t="s">
        <v>19900</v>
      </c>
      <c r="Q3984" t="s">
        <v>19900</v>
      </c>
      <c r="R3984" t="s">
        <v>19447</v>
      </c>
      <c r="S3984" t="s">
        <v>19447</v>
      </c>
      <c r="T3984" t="s">
        <v>19907</v>
      </c>
    </row>
    <row r="3985" spans="2:20" x14ac:dyDescent="0.25">
      <c r="B3985" t="s">
        <v>2709</v>
      </c>
      <c r="C3985">
        <v>31051000</v>
      </c>
      <c r="D3985">
        <v>1</v>
      </c>
      <c r="E3985" t="s">
        <v>19447</v>
      </c>
      <c r="F3985">
        <v>18</v>
      </c>
      <c r="G3985">
        <v>0</v>
      </c>
      <c r="H3985">
        <v>7.6</v>
      </c>
      <c r="I3985">
        <v>1.65</v>
      </c>
      <c r="J3985">
        <v>6</v>
      </c>
      <c r="L3985" t="s">
        <v>2709</v>
      </c>
      <c r="M3985">
        <v>31051000</v>
      </c>
      <c r="N3985">
        <v>1</v>
      </c>
      <c r="O3985" t="s">
        <v>19447</v>
      </c>
      <c r="P3985" t="s">
        <v>19899</v>
      </c>
      <c r="Q3985" t="s">
        <v>19900</v>
      </c>
      <c r="R3985" t="s">
        <v>19905</v>
      </c>
      <c r="S3985" t="s">
        <v>19906</v>
      </c>
      <c r="T3985" t="s">
        <v>19907</v>
      </c>
    </row>
    <row r="3986" spans="2:20" x14ac:dyDescent="0.25">
      <c r="B3986" t="s">
        <v>2709</v>
      </c>
      <c r="C3986">
        <v>31051000</v>
      </c>
      <c r="D3986">
        <v>2</v>
      </c>
      <c r="E3986" t="s">
        <v>19447</v>
      </c>
      <c r="F3986">
        <v>18</v>
      </c>
      <c r="G3986">
        <v>0</v>
      </c>
      <c r="H3986">
        <v>7.6</v>
      </c>
      <c r="I3986">
        <v>1.65</v>
      </c>
      <c r="J3986">
        <v>6</v>
      </c>
      <c r="L3986" t="s">
        <v>2709</v>
      </c>
      <c r="M3986">
        <v>31051000</v>
      </c>
      <c r="N3986">
        <v>2</v>
      </c>
      <c r="O3986" t="s">
        <v>19447</v>
      </c>
      <c r="P3986" t="s">
        <v>19899</v>
      </c>
      <c r="Q3986" t="s">
        <v>19900</v>
      </c>
      <c r="R3986" t="s">
        <v>19905</v>
      </c>
      <c r="S3986" t="s">
        <v>19906</v>
      </c>
      <c r="T3986" t="s">
        <v>19907</v>
      </c>
    </row>
    <row r="3987" spans="2:20" x14ac:dyDescent="0.25">
      <c r="B3987" t="s">
        <v>2709</v>
      </c>
      <c r="C3987">
        <v>31051000</v>
      </c>
      <c r="D3987">
        <v>3</v>
      </c>
      <c r="E3987" t="s">
        <v>19447</v>
      </c>
      <c r="F3987">
        <v>18</v>
      </c>
      <c r="G3987">
        <v>0</v>
      </c>
      <c r="H3987">
        <v>7.6</v>
      </c>
      <c r="I3987">
        <v>1.65</v>
      </c>
      <c r="J3987">
        <v>6</v>
      </c>
      <c r="L3987" t="s">
        <v>2709</v>
      </c>
      <c r="M3987">
        <v>31051000</v>
      </c>
      <c r="N3987">
        <v>3</v>
      </c>
      <c r="O3987" t="s">
        <v>19447</v>
      </c>
      <c r="P3987" t="s">
        <v>19899</v>
      </c>
      <c r="Q3987" t="s">
        <v>19900</v>
      </c>
      <c r="R3987" t="s">
        <v>19905</v>
      </c>
      <c r="S3987" t="s">
        <v>19906</v>
      </c>
      <c r="T3987" t="s">
        <v>19907</v>
      </c>
    </row>
    <row r="3988" spans="2:20" x14ac:dyDescent="0.25">
      <c r="B3988" t="s">
        <v>2709</v>
      </c>
      <c r="C3988">
        <v>31051000</v>
      </c>
      <c r="D3988">
        <v>4</v>
      </c>
      <c r="E3988" t="s">
        <v>19447</v>
      </c>
      <c r="F3988">
        <v>18</v>
      </c>
      <c r="G3988">
        <v>0</v>
      </c>
      <c r="H3988">
        <v>7.6</v>
      </c>
      <c r="I3988">
        <v>1.65</v>
      </c>
      <c r="J3988">
        <v>6</v>
      </c>
      <c r="L3988" t="s">
        <v>2709</v>
      </c>
      <c r="M3988">
        <v>31051000</v>
      </c>
      <c r="N3988">
        <v>4</v>
      </c>
      <c r="O3988" t="s">
        <v>19447</v>
      </c>
      <c r="P3988" t="s">
        <v>19899</v>
      </c>
      <c r="Q3988" t="s">
        <v>19900</v>
      </c>
      <c r="R3988" t="s">
        <v>19905</v>
      </c>
      <c r="S3988" t="s">
        <v>19906</v>
      </c>
      <c r="T3988" t="s">
        <v>19907</v>
      </c>
    </row>
    <row r="3989" spans="2:20" x14ac:dyDescent="0.25">
      <c r="B3989" t="s">
        <v>2709</v>
      </c>
      <c r="C3989">
        <v>31052000</v>
      </c>
      <c r="E3989" t="s">
        <v>19447</v>
      </c>
      <c r="F3989">
        <v>0</v>
      </c>
      <c r="G3989">
        <v>0</v>
      </c>
      <c r="H3989" t="s">
        <v>19447</v>
      </c>
      <c r="I3989" t="s">
        <v>19447</v>
      </c>
      <c r="J3989">
        <v>0</v>
      </c>
      <c r="L3989" t="s">
        <v>2709</v>
      </c>
      <c r="M3989">
        <v>31052000</v>
      </c>
      <c r="O3989" t="s">
        <v>19447</v>
      </c>
      <c r="P3989" t="s">
        <v>19900</v>
      </c>
      <c r="Q3989" t="s">
        <v>19900</v>
      </c>
      <c r="R3989" t="s">
        <v>19447</v>
      </c>
      <c r="S3989" t="s">
        <v>19447</v>
      </c>
      <c r="T3989" t="s">
        <v>19900</v>
      </c>
    </row>
    <row r="3990" spans="2:20" x14ac:dyDescent="0.25">
      <c r="B3990" t="s">
        <v>2709</v>
      </c>
      <c r="C3990">
        <v>31053010</v>
      </c>
      <c r="E3990" t="s">
        <v>19447</v>
      </c>
      <c r="F3990">
        <v>0</v>
      </c>
      <c r="G3990">
        <v>0</v>
      </c>
      <c r="H3990" t="s">
        <v>19447</v>
      </c>
      <c r="I3990" t="s">
        <v>19447</v>
      </c>
      <c r="J3990">
        <v>0</v>
      </c>
      <c r="L3990" t="s">
        <v>2709</v>
      </c>
      <c r="M3990">
        <v>31053010</v>
      </c>
      <c r="O3990" t="s">
        <v>19447</v>
      </c>
      <c r="P3990" t="s">
        <v>19900</v>
      </c>
      <c r="Q3990" t="s">
        <v>19900</v>
      </c>
      <c r="R3990" t="s">
        <v>19447</v>
      </c>
      <c r="S3990" t="s">
        <v>19447</v>
      </c>
      <c r="T3990" t="s">
        <v>19900</v>
      </c>
    </row>
    <row r="3991" spans="2:20" x14ac:dyDescent="0.25">
      <c r="B3991" t="s">
        <v>2709</v>
      </c>
      <c r="C3991">
        <v>31053090</v>
      </c>
      <c r="E3991" t="s">
        <v>19447</v>
      </c>
      <c r="F3991">
        <v>0</v>
      </c>
      <c r="G3991">
        <v>0</v>
      </c>
      <c r="H3991" t="s">
        <v>19447</v>
      </c>
      <c r="I3991" t="s">
        <v>19447</v>
      </c>
      <c r="J3991">
        <v>0</v>
      </c>
      <c r="L3991" t="s">
        <v>2709</v>
      </c>
      <c r="M3991">
        <v>31053090</v>
      </c>
      <c r="O3991" t="s">
        <v>19447</v>
      </c>
      <c r="P3991" t="s">
        <v>19900</v>
      </c>
      <c r="Q3991" t="s">
        <v>19900</v>
      </c>
      <c r="R3991" t="s">
        <v>19447</v>
      </c>
      <c r="S3991" t="s">
        <v>19447</v>
      </c>
      <c r="T3991" t="s">
        <v>19900</v>
      </c>
    </row>
    <row r="3992" spans="2:20" x14ac:dyDescent="0.25">
      <c r="B3992" t="s">
        <v>2709</v>
      </c>
      <c r="C3992">
        <v>31054000</v>
      </c>
      <c r="E3992" t="s">
        <v>19447</v>
      </c>
      <c r="F3992">
        <v>0</v>
      </c>
      <c r="G3992">
        <v>0</v>
      </c>
      <c r="H3992" t="s">
        <v>19447</v>
      </c>
      <c r="I3992" t="s">
        <v>19447</v>
      </c>
      <c r="J3992">
        <v>0</v>
      </c>
      <c r="L3992" t="s">
        <v>2709</v>
      </c>
      <c r="M3992">
        <v>31054000</v>
      </c>
      <c r="O3992" t="s">
        <v>19447</v>
      </c>
      <c r="P3992" t="s">
        <v>19900</v>
      </c>
      <c r="Q3992" t="s">
        <v>19900</v>
      </c>
      <c r="R3992" t="s">
        <v>19447</v>
      </c>
      <c r="S3992" t="s">
        <v>19447</v>
      </c>
      <c r="T3992" t="s">
        <v>19900</v>
      </c>
    </row>
    <row r="3993" spans="2:20" x14ac:dyDescent="0.25">
      <c r="B3993" t="s">
        <v>2709</v>
      </c>
      <c r="C3993">
        <v>31055100</v>
      </c>
      <c r="E3993" t="s">
        <v>19447</v>
      </c>
      <c r="F3993">
        <v>0</v>
      </c>
      <c r="G3993">
        <v>0</v>
      </c>
      <c r="H3993" t="s">
        <v>19447</v>
      </c>
      <c r="I3993" t="s">
        <v>19447</v>
      </c>
      <c r="J3993">
        <v>0</v>
      </c>
      <c r="L3993" t="s">
        <v>2709</v>
      </c>
      <c r="M3993">
        <v>31055100</v>
      </c>
      <c r="O3993" t="s">
        <v>19447</v>
      </c>
      <c r="P3993" t="s">
        <v>19900</v>
      </c>
      <c r="Q3993" t="s">
        <v>19900</v>
      </c>
      <c r="R3993" t="s">
        <v>19447</v>
      </c>
      <c r="S3993" t="s">
        <v>19447</v>
      </c>
      <c r="T3993" t="s">
        <v>19900</v>
      </c>
    </row>
    <row r="3994" spans="2:20" x14ac:dyDescent="0.25">
      <c r="B3994" t="s">
        <v>2709</v>
      </c>
      <c r="C3994">
        <v>31055900</v>
      </c>
      <c r="E3994" t="s">
        <v>19447</v>
      </c>
      <c r="F3994">
        <v>0</v>
      </c>
      <c r="G3994">
        <v>0</v>
      </c>
      <c r="H3994" t="s">
        <v>19447</v>
      </c>
      <c r="I3994" t="s">
        <v>19447</v>
      </c>
      <c r="J3994">
        <v>0</v>
      </c>
      <c r="L3994" t="s">
        <v>2709</v>
      </c>
      <c r="M3994">
        <v>31055900</v>
      </c>
      <c r="O3994" t="s">
        <v>19447</v>
      </c>
      <c r="P3994" t="s">
        <v>19900</v>
      </c>
      <c r="Q3994" t="s">
        <v>19900</v>
      </c>
      <c r="R3994" t="s">
        <v>19447</v>
      </c>
      <c r="S3994" t="s">
        <v>19447</v>
      </c>
      <c r="T3994" t="s">
        <v>19900</v>
      </c>
    </row>
    <row r="3995" spans="2:20" x14ac:dyDescent="0.25">
      <c r="B3995" t="s">
        <v>2709</v>
      </c>
      <c r="C3995">
        <v>31056000</v>
      </c>
      <c r="E3995" t="s">
        <v>19447</v>
      </c>
      <c r="F3995">
        <v>0</v>
      </c>
      <c r="G3995">
        <v>0</v>
      </c>
      <c r="H3995" t="s">
        <v>19447</v>
      </c>
      <c r="I3995" t="s">
        <v>19447</v>
      </c>
      <c r="J3995">
        <v>4</v>
      </c>
      <c r="L3995" t="s">
        <v>2709</v>
      </c>
      <c r="M3995">
        <v>31056000</v>
      </c>
      <c r="O3995" t="s">
        <v>19447</v>
      </c>
      <c r="P3995" t="s">
        <v>19900</v>
      </c>
      <c r="Q3995" t="s">
        <v>19900</v>
      </c>
      <c r="R3995" t="s">
        <v>19447</v>
      </c>
      <c r="S3995" t="s">
        <v>19447</v>
      </c>
      <c r="T3995" t="s">
        <v>19902</v>
      </c>
    </row>
    <row r="3996" spans="2:20" x14ac:dyDescent="0.25">
      <c r="B3996" t="s">
        <v>2709</v>
      </c>
      <c r="C3996">
        <v>31059011</v>
      </c>
      <c r="E3996" t="s">
        <v>19447</v>
      </c>
      <c r="F3996">
        <v>0</v>
      </c>
      <c r="G3996">
        <v>0</v>
      </c>
      <c r="H3996" t="s">
        <v>19447</v>
      </c>
      <c r="I3996" t="s">
        <v>19447</v>
      </c>
      <c r="J3996">
        <v>0</v>
      </c>
      <c r="L3996" t="s">
        <v>2709</v>
      </c>
      <c r="M3996">
        <v>31059011</v>
      </c>
      <c r="O3996" t="s">
        <v>19447</v>
      </c>
      <c r="P3996" t="s">
        <v>19900</v>
      </c>
      <c r="Q3996" t="s">
        <v>19900</v>
      </c>
      <c r="R3996" t="s">
        <v>19447</v>
      </c>
      <c r="S3996" t="s">
        <v>19447</v>
      </c>
      <c r="T3996" t="s">
        <v>19900</v>
      </c>
    </row>
    <row r="3997" spans="2:20" x14ac:dyDescent="0.25">
      <c r="B3997" t="s">
        <v>2709</v>
      </c>
      <c r="C3997">
        <v>31059019</v>
      </c>
      <c r="E3997" t="s">
        <v>19447</v>
      </c>
      <c r="F3997">
        <v>0</v>
      </c>
      <c r="G3997">
        <v>0</v>
      </c>
      <c r="H3997" t="s">
        <v>19447</v>
      </c>
      <c r="I3997" t="s">
        <v>19447</v>
      </c>
      <c r="J3997">
        <v>0</v>
      </c>
      <c r="L3997" t="s">
        <v>2709</v>
      </c>
      <c r="M3997">
        <v>31059019</v>
      </c>
      <c r="O3997" t="s">
        <v>19447</v>
      </c>
      <c r="P3997" t="s">
        <v>19900</v>
      </c>
      <c r="Q3997" t="s">
        <v>19900</v>
      </c>
      <c r="R3997" t="s">
        <v>19447</v>
      </c>
      <c r="S3997" t="s">
        <v>19447</v>
      </c>
      <c r="T3997" t="s">
        <v>19900</v>
      </c>
    </row>
    <row r="3998" spans="2:20" x14ac:dyDescent="0.25">
      <c r="B3998" t="s">
        <v>2709</v>
      </c>
      <c r="C3998">
        <v>31059090</v>
      </c>
      <c r="E3998" t="s">
        <v>19447</v>
      </c>
      <c r="F3998">
        <v>0</v>
      </c>
      <c r="G3998">
        <v>0</v>
      </c>
      <c r="H3998" t="s">
        <v>19447</v>
      </c>
      <c r="I3998" t="s">
        <v>19447</v>
      </c>
      <c r="J3998">
        <v>4</v>
      </c>
      <c r="L3998" t="s">
        <v>2709</v>
      </c>
      <c r="M3998">
        <v>31059090</v>
      </c>
      <c r="O3998" t="s">
        <v>19447</v>
      </c>
      <c r="P3998" t="s">
        <v>19900</v>
      </c>
      <c r="Q3998" t="s">
        <v>19900</v>
      </c>
      <c r="R3998" t="s">
        <v>19447</v>
      </c>
      <c r="S3998" t="s">
        <v>19447</v>
      </c>
      <c r="T3998" t="s">
        <v>19902</v>
      </c>
    </row>
    <row r="3999" spans="2:20" x14ac:dyDescent="0.25">
      <c r="B3999" t="s">
        <v>2709</v>
      </c>
      <c r="C3999">
        <v>32011000</v>
      </c>
      <c r="E3999">
        <v>57.6</v>
      </c>
      <c r="F3999">
        <v>18</v>
      </c>
      <c r="G3999">
        <v>0</v>
      </c>
      <c r="H3999">
        <v>7.6</v>
      </c>
      <c r="I3999">
        <v>1.65</v>
      </c>
      <c r="J3999">
        <v>10</v>
      </c>
      <c r="L3999" t="s">
        <v>2709</v>
      </c>
      <c r="M3999">
        <v>32011000</v>
      </c>
      <c r="O3999" t="s">
        <v>20036</v>
      </c>
      <c r="P3999" t="s">
        <v>19899</v>
      </c>
      <c r="Q3999" t="s">
        <v>19900</v>
      </c>
      <c r="R3999" t="s">
        <v>19905</v>
      </c>
      <c r="S3999" t="s">
        <v>19906</v>
      </c>
      <c r="T3999" t="s">
        <v>19904</v>
      </c>
    </row>
    <row r="4000" spans="2:20" x14ac:dyDescent="0.25">
      <c r="B4000" t="s">
        <v>2709</v>
      </c>
      <c r="C4000">
        <v>32012000</v>
      </c>
      <c r="E4000">
        <v>57.6</v>
      </c>
      <c r="F4000">
        <v>18</v>
      </c>
      <c r="G4000">
        <v>0</v>
      </c>
      <c r="H4000">
        <v>7.6</v>
      </c>
      <c r="I4000">
        <v>1.65</v>
      </c>
      <c r="J4000">
        <v>10</v>
      </c>
      <c r="L4000" t="s">
        <v>2709</v>
      </c>
      <c r="M4000">
        <v>32012000</v>
      </c>
      <c r="O4000" t="s">
        <v>20036</v>
      </c>
      <c r="P4000" t="s">
        <v>19899</v>
      </c>
      <c r="Q4000" t="s">
        <v>19900</v>
      </c>
      <c r="R4000" t="s">
        <v>19905</v>
      </c>
      <c r="S4000" t="s">
        <v>19906</v>
      </c>
      <c r="T4000" t="s">
        <v>19904</v>
      </c>
    </row>
    <row r="4001" spans="2:20" x14ac:dyDescent="0.25">
      <c r="B4001" t="s">
        <v>2709</v>
      </c>
      <c r="C4001">
        <v>32019011</v>
      </c>
      <c r="E4001">
        <v>57.6</v>
      </c>
      <c r="F4001">
        <v>18</v>
      </c>
      <c r="G4001">
        <v>0</v>
      </c>
      <c r="H4001">
        <v>7.6</v>
      </c>
      <c r="I4001">
        <v>1.65</v>
      </c>
      <c r="J4001">
        <v>2</v>
      </c>
      <c r="L4001" t="s">
        <v>2709</v>
      </c>
      <c r="M4001">
        <v>32019011</v>
      </c>
      <c r="O4001" t="s">
        <v>20036</v>
      </c>
      <c r="P4001" t="s">
        <v>19899</v>
      </c>
      <c r="Q4001" t="s">
        <v>19900</v>
      </c>
      <c r="R4001" t="s">
        <v>19905</v>
      </c>
      <c r="S4001" t="s">
        <v>19906</v>
      </c>
      <c r="T4001" t="s">
        <v>19901</v>
      </c>
    </row>
    <row r="4002" spans="2:20" x14ac:dyDescent="0.25">
      <c r="B4002" t="s">
        <v>2709</v>
      </c>
      <c r="C4002">
        <v>32019012</v>
      </c>
      <c r="E4002">
        <v>57.6</v>
      </c>
      <c r="F4002">
        <v>18</v>
      </c>
      <c r="G4002">
        <v>0</v>
      </c>
      <c r="H4002">
        <v>7.6</v>
      </c>
      <c r="I4002">
        <v>1.65</v>
      </c>
      <c r="J4002">
        <v>10</v>
      </c>
      <c r="L4002" t="s">
        <v>2709</v>
      </c>
      <c r="M4002">
        <v>32019012</v>
      </c>
      <c r="O4002" t="s">
        <v>20036</v>
      </c>
      <c r="P4002" t="s">
        <v>19899</v>
      </c>
      <c r="Q4002" t="s">
        <v>19900</v>
      </c>
      <c r="R4002" t="s">
        <v>19905</v>
      </c>
      <c r="S4002" t="s">
        <v>19906</v>
      </c>
      <c r="T4002" t="s">
        <v>19904</v>
      </c>
    </row>
    <row r="4003" spans="2:20" x14ac:dyDescent="0.25">
      <c r="B4003" t="s">
        <v>2709</v>
      </c>
      <c r="C4003">
        <v>32019019</v>
      </c>
      <c r="E4003">
        <v>57.6</v>
      </c>
      <c r="F4003">
        <v>18</v>
      </c>
      <c r="G4003">
        <v>0</v>
      </c>
      <c r="H4003">
        <v>7.6</v>
      </c>
      <c r="I4003">
        <v>1.65</v>
      </c>
      <c r="J4003">
        <v>10</v>
      </c>
      <c r="L4003" t="s">
        <v>2709</v>
      </c>
      <c r="M4003">
        <v>32019019</v>
      </c>
      <c r="O4003" t="s">
        <v>20036</v>
      </c>
      <c r="P4003" t="s">
        <v>19899</v>
      </c>
      <c r="Q4003" t="s">
        <v>19900</v>
      </c>
      <c r="R4003" t="s">
        <v>19905</v>
      </c>
      <c r="S4003" t="s">
        <v>19906</v>
      </c>
      <c r="T4003" t="s">
        <v>19904</v>
      </c>
    </row>
    <row r="4004" spans="2:20" x14ac:dyDescent="0.25">
      <c r="B4004" t="s">
        <v>2709</v>
      </c>
      <c r="C4004">
        <v>32019020</v>
      </c>
      <c r="E4004">
        <v>57.6</v>
      </c>
      <c r="F4004">
        <v>18</v>
      </c>
      <c r="G4004">
        <v>0</v>
      </c>
      <c r="H4004">
        <v>7.6</v>
      </c>
      <c r="I4004">
        <v>1.65</v>
      </c>
      <c r="J4004">
        <v>10</v>
      </c>
      <c r="L4004" t="s">
        <v>2709</v>
      </c>
      <c r="M4004">
        <v>32019020</v>
      </c>
      <c r="O4004" t="s">
        <v>20036</v>
      </c>
      <c r="P4004" t="s">
        <v>19899</v>
      </c>
      <c r="Q4004" t="s">
        <v>19900</v>
      </c>
      <c r="R4004" t="s">
        <v>19905</v>
      </c>
      <c r="S4004" t="s">
        <v>19906</v>
      </c>
      <c r="T4004" t="s">
        <v>19904</v>
      </c>
    </row>
    <row r="4005" spans="2:20" x14ac:dyDescent="0.25">
      <c r="B4005" t="s">
        <v>2709</v>
      </c>
      <c r="C4005">
        <v>32019090</v>
      </c>
      <c r="E4005">
        <v>57.6</v>
      </c>
      <c r="F4005">
        <v>18</v>
      </c>
      <c r="G4005">
        <v>0</v>
      </c>
      <c r="H4005">
        <v>7.6</v>
      </c>
      <c r="I4005">
        <v>1.65</v>
      </c>
      <c r="J4005">
        <v>10</v>
      </c>
      <c r="L4005" t="s">
        <v>2709</v>
      </c>
      <c r="M4005">
        <v>32019090</v>
      </c>
      <c r="O4005" t="s">
        <v>20036</v>
      </c>
      <c r="P4005" t="s">
        <v>19899</v>
      </c>
      <c r="Q4005" t="s">
        <v>19900</v>
      </c>
      <c r="R4005" t="s">
        <v>19905</v>
      </c>
      <c r="S4005" t="s">
        <v>19906</v>
      </c>
      <c r="T4005" t="s">
        <v>19904</v>
      </c>
    </row>
    <row r="4006" spans="2:20" x14ac:dyDescent="0.25">
      <c r="B4006" t="s">
        <v>2709</v>
      </c>
      <c r="C4006">
        <v>32021000</v>
      </c>
      <c r="E4006">
        <v>57.6</v>
      </c>
      <c r="F4006">
        <v>18</v>
      </c>
      <c r="G4006">
        <v>0</v>
      </c>
      <c r="H4006">
        <v>7.6</v>
      </c>
      <c r="I4006">
        <v>1.65</v>
      </c>
      <c r="J4006">
        <v>10</v>
      </c>
      <c r="L4006" t="s">
        <v>2709</v>
      </c>
      <c r="M4006">
        <v>32021000</v>
      </c>
      <c r="O4006" t="s">
        <v>20036</v>
      </c>
      <c r="P4006" t="s">
        <v>19899</v>
      </c>
      <c r="Q4006" t="s">
        <v>19900</v>
      </c>
      <c r="R4006" t="s">
        <v>19905</v>
      </c>
      <c r="S4006" t="s">
        <v>19906</v>
      </c>
      <c r="T4006" t="s">
        <v>19904</v>
      </c>
    </row>
    <row r="4007" spans="2:20" x14ac:dyDescent="0.25">
      <c r="B4007" t="s">
        <v>2709</v>
      </c>
      <c r="C4007">
        <v>32029011</v>
      </c>
      <c r="E4007">
        <v>57.6</v>
      </c>
      <c r="F4007">
        <v>18</v>
      </c>
      <c r="G4007">
        <v>0</v>
      </c>
      <c r="H4007">
        <v>7.6</v>
      </c>
      <c r="I4007">
        <v>1.65</v>
      </c>
      <c r="J4007">
        <v>10</v>
      </c>
      <c r="L4007" t="s">
        <v>2709</v>
      </c>
      <c r="M4007">
        <v>32029011</v>
      </c>
      <c r="O4007" t="s">
        <v>20036</v>
      </c>
      <c r="P4007" t="s">
        <v>19899</v>
      </c>
      <c r="Q4007" t="s">
        <v>19900</v>
      </c>
      <c r="R4007" t="s">
        <v>19905</v>
      </c>
      <c r="S4007" t="s">
        <v>19906</v>
      </c>
      <c r="T4007" t="s">
        <v>19904</v>
      </c>
    </row>
    <row r="4008" spans="2:20" x14ac:dyDescent="0.25">
      <c r="B4008" t="s">
        <v>2709</v>
      </c>
      <c r="C4008">
        <v>32029012</v>
      </c>
      <c r="E4008">
        <v>57.6</v>
      </c>
      <c r="F4008">
        <v>18</v>
      </c>
      <c r="G4008">
        <v>0</v>
      </c>
      <c r="H4008">
        <v>7.6</v>
      </c>
      <c r="I4008">
        <v>1.65</v>
      </c>
      <c r="J4008">
        <v>2</v>
      </c>
      <c r="L4008" t="s">
        <v>2709</v>
      </c>
      <c r="M4008">
        <v>32029012</v>
      </c>
      <c r="O4008" t="s">
        <v>20036</v>
      </c>
      <c r="P4008" t="s">
        <v>19899</v>
      </c>
      <c r="Q4008" t="s">
        <v>19900</v>
      </c>
      <c r="R4008" t="s">
        <v>19905</v>
      </c>
      <c r="S4008" t="s">
        <v>19906</v>
      </c>
      <c r="T4008" t="s">
        <v>19901</v>
      </c>
    </row>
    <row r="4009" spans="2:20" x14ac:dyDescent="0.25">
      <c r="B4009" t="s">
        <v>2709</v>
      </c>
      <c r="C4009">
        <v>32029013</v>
      </c>
      <c r="E4009">
        <v>57.6</v>
      </c>
      <c r="F4009">
        <v>18</v>
      </c>
      <c r="G4009">
        <v>0</v>
      </c>
      <c r="H4009">
        <v>7.6</v>
      </c>
      <c r="I4009">
        <v>1.65</v>
      </c>
      <c r="J4009">
        <v>2</v>
      </c>
      <c r="L4009" t="s">
        <v>2709</v>
      </c>
      <c r="M4009">
        <v>32029013</v>
      </c>
      <c r="O4009" t="s">
        <v>20036</v>
      </c>
      <c r="P4009" t="s">
        <v>19899</v>
      </c>
      <c r="Q4009" t="s">
        <v>19900</v>
      </c>
      <c r="R4009" t="s">
        <v>19905</v>
      </c>
      <c r="S4009" t="s">
        <v>19906</v>
      </c>
      <c r="T4009" t="s">
        <v>19901</v>
      </c>
    </row>
    <row r="4010" spans="2:20" x14ac:dyDescent="0.25">
      <c r="B4010" t="s">
        <v>2709</v>
      </c>
      <c r="C4010">
        <v>32029019</v>
      </c>
      <c r="E4010">
        <v>57.6</v>
      </c>
      <c r="F4010">
        <v>18</v>
      </c>
      <c r="G4010">
        <v>0</v>
      </c>
      <c r="H4010">
        <v>7.6</v>
      </c>
      <c r="I4010">
        <v>1.65</v>
      </c>
      <c r="J4010">
        <v>10</v>
      </c>
      <c r="L4010" t="s">
        <v>2709</v>
      </c>
      <c r="M4010">
        <v>32029019</v>
      </c>
      <c r="O4010" t="s">
        <v>20036</v>
      </c>
      <c r="P4010" t="s">
        <v>19899</v>
      </c>
      <c r="Q4010" t="s">
        <v>19900</v>
      </c>
      <c r="R4010" t="s">
        <v>19905</v>
      </c>
      <c r="S4010" t="s">
        <v>19906</v>
      </c>
      <c r="T4010" t="s">
        <v>19904</v>
      </c>
    </row>
    <row r="4011" spans="2:20" x14ac:dyDescent="0.25">
      <c r="B4011" t="s">
        <v>2709</v>
      </c>
      <c r="C4011">
        <v>32029021</v>
      </c>
      <c r="E4011">
        <v>57.6</v>
      </c>
      <c r="F4011">
        <v>18</v>
      </c>
      <c r="G4011">
        <v>0</v>
      </c>
      <c r="H4011">
        <v>7.6</v>
      </c>
      <c r="I4011">
        <v>1.65</v>
      </c>
      <c r="J4011">
        <v>10</v>
      </c>
      <c r="L4011" t="s">
        <v>2709</v>
      </c>
      <c r="M4011">
        <v>32029021</v>
      </c>
      <c r="O4011" t="s">
        <v>20036</v>
      </c>
      <c r="P4011" t="s">
        <v>19899</v>
      </c>
      <c r="Q4011" t="s">
        <v>19900</v>
      </c>
      <c r="R4011" t="s">
        <v>19905</v>
      </c>
      <c r="S4011" t="s">
        <v>19906</v>
      </c>
      <c r="T4011" t="s">
        <v>19904</v>
      </c>
    </row>
    <row r="4012" spans="2:20" x14ac:dyDescent="0.25">
      <c r="B4012" t="s">
        <v>2709</v>
      </c>
      <c r="C4012">
        <v>32029029</v>
      </c>
      <c r="E4012">
        <v>57.6</v>
      </c>
      <c r="F4012">
        <v>18</v>
      </c>
      <c r="G4012">
        <v>0</v>
      </c>
      <c r="H4012">
        <v>7.6</v>
      </c>
      <c r="I4012">
        <v>1.65</v>
      </c>
      <c r="J4012">
        <v>10</v>
      </c>
      <c r="L4012" t="s">
        <v>2709</v>
      </c>
      <c r="M4012">
        <v>32029029</v>
      </c>
      <c r="O4012" t="s">
        <v>20036</v>
      </c>
      <c r="P4012" t="s">
        <v>19899</v>
      </c>
      <c r="Q4012" t="s">
        <v>19900</v>
      </c>
      <c r="R4012" t="s">
        <v>19905</v>
      </c>
      <c r="S4012" t="s">
        <v>19906</v>
      </c>
      <c r="T4012" t="s">
        <v>19904</v>
      </c>
    </row>
    <row r="4013" spans="2:20" x14ac:dyDescent="0.25">
      <c r="B4013" t="s">
        <v>2709</v>
      </c>
      <c r="C4013">
        <v>32029030</v>
      </c>
      <c r="E4013">
        <v>57.6</v>
      </c>
      <c r="F4013">
        <v>18</v>
      </c>
      <c r="G4013">
        <v>0</v>
      </c>
      <c r="H4013">
        <v>7.6</v>
      </c>
      <c r="I4013">
        <v>1.65</v>
      </c>
      <c r="J4013">
        <v>10</v>
      </c>
      <c r="L4013" t="s">
        <v>2709</v>
      </c>
      <c r="M4013">
        <v>32029030</v>
      </c>
      <c r="O4013" t="s">
        <v>20036</v>
      </c>
      <c r="P4013" t="s">
        <v>19899</v>
      </c>
      <c r="Q4013" t="s">
        <v>19900</v>
      </c>
      <c r="R4013" t="s">
        <v>19905</v>
      </c>
      <c r="S4013" t="s">
        <v>19906</v>
      </c>
      <c r="T4013" t="s">
        <v>19904</v>
      </c>
    </row>
    <row r="4014" spans="2:20" x14ac:dyDescent="0.25">
      <c r="B4014" t="s">
        <v>2709</v>
      </c>
      <c r="C4014">
        <v>32030011</v>
      </c>
      <c r="E4014">
        <v>57.6</v>
      </c>
      <c r="F4014">
        <v>18</v>
      </c>
      <c r="G4014">
        <v>0</v>
      </c>
      <c r="H4014">
        <v>7.6</v>
      </c>
      <c r="I4014">
        <v>1.65</v>
      </c>
      <c r="J4014">
        <v>2</v>
      </c>
      <c r="L4014" t="s">
        <v>2709</v>
      </c>
      <c r="M4014">
        <v>32030011</v>
      </c>
      <c r="O4014" t="s">
        <v>20036</v>
      </c>
      <c r="P4014" t="s">
        <v>19899</v>
      </c>
      <c r="Q4014" t="s">
        <v>19900</v>
      </c>
      <c r="R4014" t="s">
        <v>19905</v>
      </c>
      <c r="S4014" t="s">
        <v>19906</v>
      </c>
      <c r="T4014" t="s">
        <v>19901</v>
      </c>
    </row>
    <row r="4015" spans="2:20" x14ac:dyDescent="0.25">
      <c r="B4015" t="s">
        <v>2709</v>
      </c>
      <c r="C4015">
        <v>32030012</v>
      </c>
      <c r="E4015">
        <v>57.6</v>
      </c>
      <c r="F4015">
        <v>18</v>
      </c>
      <c r="G4015">
        <v>0</v>
      </c>
      <c r="H4015">
        <v>7.6</v>
      </c>
      <c r="I4015">
        <v>1.65</v>
      </c>
      <c r="J4015">
        <v>2</v>
      </c>
      <c r="L4015" t="s">
        <v>2709</v>
      </c>
      <c r="M4015">
        <v>32030012</v>
      </c>
      <c r="O4015" t="s">
        <v>20036</v>
      </c>
      <c r="P4015" t="s">
        <v>19899</v>
      </c>
      <c r="Q4015" t="s">
        <v>19900</v>
      </c>
      <c r="R4015" t="s">
        <v>19905</v>
      </c>
      <c r="S4015" t="s">
        <v>19906</v>
      </c>
      <c r="T4015" t="s">
        <v>19901</v>
      </c>
    </row>
    <row r="4016" spans="2:20" x14ac:dyDescent="0.25">
      <c r="B4016" t="s">
        <v>2709</v>
      </c>
      <c r="C4016">
        <v>32030013</v>
      </c>
      <c r="E4016">
        <v>57.6</v>
      </c>
      <c r="F4016">
        <v>18</v>
      </c>
      <c r="G4016">
        <v>0</v>
      </c>
      <c r="H4016">
        <v>7.6</v>
      </c>
      <c r="I4016">
        <v>1.65</v>
      </c>
      <c r="J4016">
        <v>2</v>
      </c>
      <c r="L4016" t="s">
        <v>2709</v>
      </c>
      <c r="M4016">
        <v>32030013</v>
      </c>
      <c r="O4016" t="s">
        <v>20036</v>
      </c>
      <c r="P4016" t="s">
        <v>19899</v>
      </c>
      <c r="Q4016" t="s">
        <v>19900</v>
      </c>
      <c r="R4016" t="s">
        <v>19905</v>
      </c>
      <c r="S4016" t="s">
        <v>19906</v>
      </c>
      <c r="T4016" t="s">
        <v>19901</v>
      </c>
    </row>
    <row r="4017" spans="2:20" x14ac:dyDescent="0.25">
      <c r="B4017" t="s">
        <v>2709</v>
      </c>
      <c r="C4017">
        <v>32030019</v>
      </c>
      <c r="E4017">
        <v>57.6</v>
      </c>
      <c r="F4017">
        <v>18</v>
      </c>
      <c r="G4017">
        <v>0</v>
      </c>
      <c r="H4017">
        <v>7.6</v>
      </c>
      <c r="I4017">
        <v>1.65</v>
      </c>
      <c r="J4017">
        <v>10</v>
      </c>
      <c r="L4017" t="s">
        <v>2709</v>
      </c>
      <c r="M4017">
        <v>32030019</v>
      </c>
      <c r="O4017" t="s">
        <v>20036</v>
      </c>
      <c r="P4017" t="s">
        <v>19899</v>
      </c>
      <c r="Q4017" t="s">
        <v>19900</v>
      </c>
      <c r="R4017" t="s">
        <v>19905</v>
      </c>
      <c r="S4017" t="s">
        <v>19906</v>
      </c>
      <c r="T4017" t="s">
        <v>19904</v>
      </c>
    </row>
    <row r="4018" spans="2:20" x14ac:dyDescent="0.25">
      <c r="B4018" t="s">
        <v>2709</v>
      </c>
      <c r="C4018">
        <v>32030021</v>
      </c>
      <c r="E4018">
        <v>57.6</v>
      </c>
      <c r="F4018">
        <v>18</v>
      </c>
      <c r="G4018">
        <v>0</v>
      </c>
      <c r="H4018">
        <v>7.6</v>
      </c>
      <c r="I4018">
        <v>1.65</v>
      </c>
      <c r="J4018">
        <v>10</v>
      </c>
      <c r="L4018" t="s">
        <v>2709</v>
      </c>
      <c r="M4018">
        <v>32030021</v>
      </c>
      <c r="O4018" t="s">
        <v>20036</v>
      </c>
      <c r="P4018" t="s">
        <v>19899</v>
      </c>
      <c r="Q4018" t="s">
        <v>19900</v>
      </c>
      <c r="R4018" t="s">
        <v>19905</v>
      </c>
      <c r="S4018" t="s">
        <v>19906</v>
      </c>
      <c r="T4018" t="s">
        <v>19904</v>
      </c>
    </row>
    <row r="4019" spans="2:20" x14ac:dyDescent="0.25">
      <c r="B4019" t="s">
        <v>2709</v>
      </c>
      <c r="C4019">
        <v>32030029</v>
      </c>
      <c r="E4019">
        <v>57.6</v>
      </c>
      <c r="F4019">
        <v>18</v>
      </c>
      <c r="G4019">
        <v>0</v>
      </c>
      <c r="H4019">
        <v>7.6</v>
      </c>
      <c r="I4019">
        <v>1.65</v>
      </c>
      <c r="J4019">
        <v>10</v>
      </c>
      <c r="L4019" t="s">
        <v>2709</v>
      </c>
      <c r="M4019">
        <v>32030029</v>
      </c>
      <c r="O4019" t="s">
        <v>20036</v>
      </c>
      <c r="P4019" t="s">
        <v>19899</v>
      </c>
      <c r="Q4019" t="s">
        <v>19900</v>
      </c>
      <c r="R4019" t="s">
        <v>19905</v>
      </c>
      <c r="S4019" t="s">
        <v>19906</v>
      </c>
      <c r="T4019" t="s">
        <v>19904</v>
      </c>
    </row>
    <row r="4020" spans="2:20" x14ac:dyDescent="0.25">
      <c r="B4020" t="s">
        <v>2709</v>
      </c>
      <c r="C4020">
        <v>32030030</v>
      </c>
      <c r="E4020">
        <v>57.6</v>
      </c>
      <c r="F4020">
        <v>18</v>
      </c>
      <c r="G4020">
        <v>0</v>
      </c>
      <c r="H4020">
        <v>7.6</v>
      </c>
      <c r="I4020">
        <v>1.65</v>
      </c>
      <c r="J4020">
        <v>10</v>
      </c>
      <c r="L4020" t="s">
        <v>2709</v>
      </c>
      <c r="M4020">
        <v>32030030</v>
      </c>
      <c r="O4020" t="s">
        <v>20036</v>
      </c>
      <c r="P4020" t="s">
        <v>19899</v>
      </c>
      <c r="Q4020" t="s">
        <v>19900</v>
      </c>
      <c r="R4020" t="s">
        <v>19905</v>
      </c>
      <c r="S4020" t="s">
        <v>19906</v>
      </c>
      <c r="T4020" t="s">
        <v>19904</v>
      </c>
    </row>
    <row r="4021" spans="2:20" x14ac:dyDescent="0.25">
      <c r="B4021" t="s">
        <v>2709</v>
      </c>
      <c r="C4021">
        <v>32041100</v>
      </c>
      <c r="E4021">
        <v>53</v>
      </c>
      <c r="F4021">
        <v>18</v>
      </c>
      <c r="G4021">
        <v>0</v>
      </c>
      <c r="H4021">
        <v>7.6</v>
      </c>
      <c r="I4021">
        <v>1.65</v>
      </c>
      <c r="J4021">
        <v>12</v>
      </c>
      <c r="L4021" t="s">
        <v>2709</v>
      </c>
      <c r="M4021">
        <v>32041100</v>
      </c>
      <c r="O4021" t="s">
        <v>20037</v>
      </c>
      <c r="P4021" t="s">
        <v>19899</v>
      </c>
      <c r="Q4021" t="s">
        <v>19900</v>
      </c>
      <c r="R4021" t="s">
        <v>19905</v>
      </c>
      <c r="S4021" t="s">
        <v>19906</v>
      </c>
      <c r="T4021" t="s">
        <v>19903</v>
      </c>
    </row>
    <row r="4022" spans="2:20" x14ac:dyDescent="0.25">
      <c r="B4022" t="s">
        <v>2709</v>
      </c>
      <c r="C4022">
        <v>32041210</v>
      </c>
      <c r="E4022">
        <v>53</v>
      </c>
      <c r="F4022">
        <v>18</v>
      </c>
      <c r="G4022">
        <v>0</v>
      </c>
      <c r="H4022">
        <v>7.6</v>
      </c>
      <c r="I4022">
        <v>1.65</v>
      </c>
      <c r="J4022">
        <v>14</v>
      </c>
      <c r="L4022" t="s">
        <v>2709</v>
      </c>
      <c r="M4022">
        <v>32041210</v>
      </c>
      <c r="O4022" t="s">
        <v>20037</v>
      </c>
      <c r="P4022" t="s">
        <v>19899</v>
      </c>
      <c r="Q4022" t="s">
        <v>19900</v>
      </c>
      <c r="R4022" t="s">
        <v>19905</v>
      </c>
      <c r="S4022" t="s">
        <v>19906</v>
      </c>
      <c r="T4022" t="s">
        <v>19911</v>
      </c>
    </row>
    <row r="4023" spans="2:20" x14ac:dyDescent="0.25">
      <c r="B4023" t="s">
        <v>2709</v>
      </c>
      <c r="C4023">
        <v>32041220</v>
      </c>
      <c r="E4023">
        <v>53</v>
      </c>
      <c r="F4023">
        <v>18</v>
      </c>
      <c r="G4023">
        <v>0</v>
      </c>
      <c r="H4023">
        <v>7.6</v>
      </c>
      <c r="I4023">
        <v>1.65</v>
      </c>
      <c r="J4023">
        <v>12</v>
      </c>
      <c r="L4023" t="s">
        <v>2709</v>
      </c>
      <c r="M4023">
        <v>32041220</v>
      </c>
      <c r="O4023" t="s">
        <v>20037</v>
      </c>
      <c r="P4023" t="s">
        <v>19899</v>
      </c>
      <c r="Q4023" t="s">
        <v>19900</v>
      </c>
      <c r="R4023" t="s">
        <v>19905</v>
      </c>
      <c r="S4023" t="s">
        <v>19906</v>
      </c>
      <c r="T4023" t="s">
        <v>19903</v>
      </c>
    </row>
    <row r="4024" spans="2:20" x14ac:dyDescent="0.25">
      <c r="B4024" t="s">
        <v>2709</v>
      </c>
      <c r="C4024">
        <v>32041300</v>
      </c>
      <c r="E4024">
        <v>53</v>
      </c>
      <c r="F4024">
        <v>18</v>
      </c>
      <c r="G4024">
        <v>0</v>
      </c>
      <c r="H4024">
        <v>7.6</v>
      </c>
      <c r="I4024">
        <v>1.65</v>
      </c>
      <c r="J4024">
        <v>14</v>
      </c>
      <c r="L4024" t="s">
        <v>2709</v>
      </c>
      <c r="M4024">
        <v>32041300</v>
      </c>
      <c r="O4024" t="s">
        <v>20037</v>
      </c>
      <c r="P4024" t="s">
        <v>19899</v>
      </c>
      <c r="Q4024" t="s">
        <v>19900</v>
      </c>
      <c r="R4024" t="s">
        <v>19905</v>
      </c>
      <c r="S4024" t="s">
        <v>19906</v>
      </c>
      <c r="T4024" t="s">
        <v>19911</v>
      </c>
    </row>
    <row r="4025" spans="2:20" x14ac:dyDescent="0.25">
      <c r="B4025" t="s">
        <v>2709</v>
      </c>
      <c r="C4025">
        <v>32041400</v>
      </c>
      <c r="E4025">
        <v>53</v>
      </c>
      <c r="F4025">
        <v>18</v>
      </c>
      <c r="G4025">
        <v>0</v>
      </c>
      <c r="H4025">
        <v>7.6</v>
      </c>
      <c r="I4025">
        <v>1.65</v>
      </c>
      <c r="J4025">
        <v>14</v>
      </c>
      <c r="L4025" t="s">
        <v>2709</v>
      </c>
      <c r="M4025">
        <v>32041400</v>
      </c>
      <c r="O4025" t="s">
        <v>20037</v>
      </c>
      <c r="P4025" t="s">
        <v>19899</v>
      </c>
      <c r="Q4025" t="s">
        <v>19900</v>
      </c>
      <c r="R4025" t="s">
        <v>19905</v>
      </c>
      <c r="S4025" t="s">
        <v>19906</v>
      </c>
      <c r="T4025" t="s">
        <v>19911</v>
      </c>
    </row>
    <row r="4026" spans="2:20" x14ac:dyDescent="0.25">
      <c r="B4026" t="s">
        <v>2709</v>
      </c>
      <c r="C4026">
        <v>32041510</v>
      </c>
      <c r="E4026">
        <v>53</v>
      </c>
      <c r="F4026">
        <v>18</v>
      </c>
      <c r="G4026">
        <v>0</v>
      </c>
      <c r="H4026">
        <v>7.6</v>
      </c>
      <c r="I4026">
        <v>1.65</v>
      </c>
      <c r="J4026">
        <v>14</v>
      </c>
      <c r="L4026" t="s">
        <v>2709</v>
      </c>
      <c r="M4026">
        <v>32041510</v>
      </c>
      <c r="O4026" t="s">
        <v>20037</v>
      </c>
      <c r="P4026" t="s">
        <v>19899</v>
      </c>
      <c r="Q4026" t="s">
        <v>19900</v>
      </c>
      <c r="R4026" t="s">
        <v>19905</v>
      </c>
      <c r="S4026" t="s">
        <v>19906</v>
      </c>
      <c r="T4026" t="s">
        <v>19911</v>
      </c>
    </row>
    <row r="4027" spans="2:20" x14ac:dyDescent="0.25">
      <c r="B4027" t="s">
        <v>2709</v>
      </c>
      <c r="C4027">
        <v>32041520</v>
      </c>
      <c r="E4027">
        <v>53</v>
      </c>
      <c r="F4027">
        <v>18</v>
      </c>
      <c r="G4027">
        <v>0</v>
      </c>
      <c r="H4027">
        <v>7.6</v>
      </c>
      <c r="I4027">
        <v>1.65</v>
      </c>
      <c r="J4027">
        <v>2</v>
      </c>
      <c r="L4027" t="s">
        <v>2709</v>
      </c>
      <c r="M4027">
        <v>32041520</v>
      </c>
      <c r="O4027" t="s">
        <v>20037</v>
      </c>
      <c r="P4027" t="s">
        <v>19899</v>
      </c>
      <c r="Q4027" t="s">
        <v>19900</v>
      </c>
      <c r="R4027" t="s">
        <v>19905</v>
      </c>
      <c r="S4027" t="s">
        <v>19906</v>
      </c>
      <c r="T4027" t="s">
        <v>19901</v>
      </c>
    </row>
    <row r="4028" spans="2:20" x14ac:dyDescent="0.25">
      <c r="B4028" t="s">
        <v>2709</v>
      </c>
      <c r="C4028">
        <v>32041530</v>
      </c>
      <c r="E4028">
        <v>53</v>
      </c>
      <c r="F4028">
        <v>18</v>
      </c>
      <c r="G4028">
        <v>0</v>
      </c>
      <c r="H4028">
        <v>7.6</v>
      </c>
      <c r="I4028">
        <v>1.65</v>
      </c>
      <c r="J4028">
        <v>2</v>
      </c>
      <c r="L4028" t="s">
        <v>2709</v>
      </c>
      <c r="M4028">
        <v>32041530</v>
      </c>
      <c r="O4028" t="s">
        <v>20037</v>
      </c>
      <c r="P4028" t="s">
        <v>19899</v>
      </c>
      <c r="Q4028" t="s">
        <v>19900</v>
      </c>
      <c r="R4028" t="s">
        <v>19905</v>
      </c>
      <c r="S4028" t="s">
        <v>19906</v>
      </c>
      <c r="T4028" t="s">
        <v>19901</v>
      </c>
    </row>
    <row r="4029" spans="2:20" x14ac:dyDescent="0.25">
      <c r="B4029" t="s">
        <v>2709</v>
      </c>
      <c r="C4029">
        <v>32041590</v>
      </c>
      <c r="E4029">
        <v>53</v>
      </c>
      <c r="F4029">
        <v>18</v>
      </c>
      <c r="G4029">
        <v>0</v>
      </c>
      <c r="H4029">
        <v>7.6</v>
      </c>
      <c r="I4029">
        <v>1.65</v>
      </c>
      <c r="J4029">
        <v>14</v>
      </c>
      <c r="L4029" t="s">
        <v>2709</v>
      </c>
      <c r="M4029">
        <v>32041590</v>
      </c>
      <c r="O4029" t="s">
        <v>20037</v>
      </c>
      <c r="P4029" t="s">
        <v>19899</v>
      </c>
      <c r="Q4029" t="s">
        <v>19900</v>
      </c>
      <c r="R4029" t="s">
        <v>19905</v>
      </c>
      <c r="S4029" t="s">
        <v>19906</v>
      </c>
      <c r="T4029" t="s">
        <v>19911</v>
      </c>
    </row>
    <row r="4030" spans="2:20" x14ac:dyDescent="0.25">
      <c r="B4030" t="s">
        <v>2709</v>
      </c>
      <c r="C4030">
        <v>32041600</v>
      </c>
      <c r="E4030">
        <v>53</v>
      </c>
      <c r="F4030">
        <v>18</v>
      </c>
      <c r="G4030">
        <v>0</v>
      </c>
      <c r="H4030">
        <v>7.6</v>
      </c>
      <c r="I4030">
        <v>1.65</v>
      </c>
      <c r="J4030">
        <v>14</v>
      </c>
      <c r="L4030" t="s">
        <v>2709</v>
      </c>
      <c r="M4030">
        <v>32041600</v>
      </c>
      <c r="O4030" t="s">
        <v>20037</v>
      </c>
      <c r="P4030" t="s">
        <v>19899</v>
      </c>
      <c r="Q4030" t="s">
        <v>19900</v>
      </c>
      <c r="R4030" t="s">
        <v>19905</v>
      </c>
      <c r="S4030" t="s">
        <v>19906</v>
      </c>
      <c r="T4030" t="s">
        <v>19911</v>
      </c>
    </row>
    <row r="4031" spans="2:20" x14ac:dyDescent="0.25">
      <c r="B4031" t="s">
        <v>2709</v>
      </c>
      <c r="C4031">
        <v>32041700</v>
      </c>
      <c r="E4031">
        <v>53</v>
      </c>
      <c r="F4031">
        <v>18</v>
      </c>
      <c r="G4031">
        <v>0</v>
      </c>
      <c r="H4031">
        <v>7.6</v>
      </c>
      <c r="I4031">
        <v>1.65</v>
      </c>
      <c r="J4031">
        <v>14</v>
      </c>
      <c r="L4031" t="s">
        <v>2709</v>
      </c>
      <c r="M4031">
        <v>32041700</v>
      </c>
      <c r="O4031" t="s">
        <v>20037</v>
      </c>
      <c r="P4031" t="s">
        <v>19899</v>
      </c>
      <c r="Q4031" t="s">
        <v>19900</v>
      </c>
      <c r="R4031" t="s">
        <v>19905</v>
      </c>
      <c r="S4031" t="s">
        <v>19906</v>
      </c>
      <c r="T4031" t="s">
        <v>19911</v>
      </c>
    </row>
    <row r="4032" spans="2:20" x14ac:dyDescent="0.25">
      <c r="B4032" t="s">
        <v>2709</v>
      </c>
      <c r="C4032">
        <v>32041911</v>
      </c>
      <c r="E4032">
        <v>53</v>
      </c>
      <c r="F4032">
        <v>18</v>
      </c>
      <c r="G4032">
        <v>0</v>
      </c>
      <c r="H4032">
        <v>7.6</v>
      </c>
      <c r="I4032">
        <v>1.65</v>
      </c>
      <c r="J4032">
        <v>2</v>
      </c>
      <c r="L4032" t="s">
        <v>2709</v>
      </c>
      <c r="M4032">
        <v>32041911</v>
      </c>
      <c r="O4032" t="s">
        <v>20037</v>
      </c>
      <c r="P4032" t="s">
        <v>19899</v>
      </c>
      <c r="Q4032" t="s">
        <v>19900</v>
      </c>
      <c r="R4032" t="s">
        <v>19905</v>
      </c>
      <c r="S4032" t="s">
        <v>19906</v>
      </c>
      <c r="T4032" t="s">
        <v>19901</v>
      </c>
    </row>
    <row r="4033" spans="2:20" x14ac:dyDescent="0.25">
      <c r="B4033" t="s">
        <v>2709</v>
      </c>
      <c r="C4033">
        <v>32041912</v>
      </c>
      <c r="E4033">
        <v>53</v>
      </c>
      <c r="F4033">
        <v>18</v>
      </c>
      <c r="G4033">
        <v>0</v>
      </c>
      <c r="H4033">
        <v>7.6</v>
      </c>
      <c r="I4033">
        <v>1.65</v>
      </c>
      <c r="J4033">
        <v>2</v>
      </c>
      <c r="L4033" t="s">
        <v>2709</v>
      </c>
      <c r="M4033">
        <v>32041912</v>
      </c>
      <c r="O4033" t="s">
        <v>20037</v>
      </c>
      <c r="P4033" t="s">
        <v>19899</v>
      </c>
      <c r="Q4033" t="s">
        <v>19900</v>
      </c>
      <c r="R4033" t="s">
        <v>19905</v>
      </c>
      <c r="S4033" t="s">
        <v>19906</v>
      </c>
      <c r="T4033" t="s">
        <v>19901</v>
      </c>
    </row>
    <row r="4034" spans="2:20" x14ac:dyDescent="0.25">
      <c r="B4034" t="s">
        <v>2709</v>
      </c>
      <c r="C4034">
        <v>32041913</v>
      </c>
      <c r="E4034">
        <v>53</v>
      </c>
      <c r="F4034">
        <v>18</v>
      </c>
      <c r="G4034">
        <v>0</v>
      </c>
      <c r="H4034">
        <v>7.6</v>
      </c>
      <c r="I4034">
        <v>1.65</v>
      </c>
      <c r="J4034">
        <v>12</v>
      </c>
      <c r="L4034" t="s">
        <v>2709</v>
      </c>
      <c r="M4034">
        <v>32041913</v>
      </c>
      <c r="O4034" t="s">
        <v>20037</v>
      </c>
      <c r="P4034" t="s">
        <v>19899</v>
      </c>
      <c r="Q4034" t="s">
        <v>19900</v>
      </c>
      <c r="R4034" t="s">
        <v>19905</v>
      </c>
      <c r="S4034" t="s">
        <v>19906</v>
      </c>
      <c r="T4034" t="s">
        <v>19903</v>
      </c>
    </row>
    <row r="4035" spans="2:20" x14ac:dyDescent="0.25">
      <c r="B4035" t="s">
        <v>2709</v>
      </c>
      <c r="C4035">
        <v>32041919</v>
      </c>
      <c r="E4035">
        <v>53</v>
      </c>
      <c r="F4035">
        <v>18</v>
      </c>
      <c r="G4035">
        <v>0</v>
      </c>
      <c r="H4035">
        <v>7.6</v>
      </c>
      <c r="I4035">
        <v>1.65</v>
      </c>
      <c r="J4035">
        <v>14</v>
      </c>
      <c r="L4035" t="s">
        <v>2709</v>
      </c>
      <c r="M4035">
        <v>32041919</v>
      </c>
      <c r="O4035" t="s">
        <v>20037</v>
      </c>
      <c r="P4035" t="s">
        <v>19899</v>
      </c>
      <c r="Q4035" t="s">
        <v>19900</v>
      </c>
      <c r="R4035" t="s">
        <v>19905</v>
      </c>
      <c r="S4035" t="s">
        <v>19906</v>
      </c>
      <c r="T4035" t="s">
        <v>19911</v>
      </c>
    </row>
    <row r="4036" spans="2:20" x14ac:dyDescent="0.25">
      <c r="B4036" t="s">
        <v>2709</v>
      </c>
      <c r="C4036">
        <v>32041920</v>
      </c>
      <c r="E4036">
        <v>53</v>
      </c>
      <c r="F4036">
        <v>18</v>
      </c>
      <c r="G4036">
        <v>0</v>
      </c>
      <c r="H4036">
        <v>7.6</v>
      </c>
      <c r="I4036">
        <v>1.65</v>
      </c>
      <c r="J4036">
        <v>14</v>
      </c>
      <c r="L4036" t="s">
        <v>2709</v>
      </c>
      <c r="M4036">
        <v>32041920</v>
      </c>
      <c r="O4036" t="s">
        <v>20037</v>
      </c>
      <c r="P4036" t="s">
        <v>19899</v>
      </c>
      <c r="Q4036" t="s">
        <v>19900</v>
      </c>
      <c r="R4036" t="s">
        <v>19905</v>
      </c>
      <c r="S4036" t="s">
        <v>19906</v>
      </c>
      <c r="T4036" t="s">
        <v>19911</v>
      </c>
    </row>
    <row r="4037" spans="2:20" x14ac:dyDescent="0.25">
      <c r="B4037" t="s">
        <v>2709</v>
      </c>
      <c r="C4037">
        <v>32041930</v>
      </c>
      <c r="E4037">
        <v>53</v>
      </c>
      <c r="F4037">
        <v>18</v>
      </c>
      <c r="G4037">
        <v>0</v>
      </c>
      <c r="H4037">
        <v>7.6</v>
      </c>
      <c r="I4037">
        <v>1.65</v>
      </c>
      <c r="J4037">
        <v>14</v>
      </c>
      <c r="L4037" t="s">
        <v>2709</v>
      </c>
      <c r="M4037">
        <v>32041930</v>
      </c>
      <c r="O4037" t="s">
        <v>20037</v>
      </c>
      <c r="P4037" t="s">
        <v>19899</v>
      </c>
      <c r="Q4037" t="s">
        <v>19900</v>
      </c>
      <c r="R4037" t="s">
        <v>19905</v>
      </c>
      <c r="S4037" t="s">
        <v>19906</v>
      </c>
      <c r="T4037" t="s">
        <v>19911</v>
      </c>
    </row>
    <row r="4038" spans="2:20" x14ac:dyDescent="0.25">
      <c r="B4038" t="s">
        <v>2709</v>
      </c>
      <c r="C4038">
        <v>32041990</v>
      </c>
      <c r="E4038">
        <v>53</v>
      </c>
      <c r="F4038">
        <v>18</v>
      </c>
      <c r="G4038">
        <v>0</v>
      </c>
      <c r="H4038">
        <v>7.6</v>
      </c>
      <c r="I4038">
        <v>1.65</v>
      </c>
      <c r="J4038">
        <v>14</v>
      </c>
      <c r="L4038" t="s">
        <v>2709</v>
      </c>
      <c r="M4038">
        <v>32041990</v>
      </c>
      <c r="O4038" t="s">
        <v>20037</v>
      </c>
      <c r="P4038" t="s">
        <v>19899</v>
      </c>
      <c r="Q4038" t="s">
        <v>19900</v>
      </c>
      <c r="R4038" t="s">
        <v>19905</v>
      </c>
      <c r="S4038" t="s">
        <v>19906</v>
      </c>
      <c r="T4038" t="s">
        <v>19911</v>
      </c>
    </row>
    <row r="4039" spans="2:20" x14ac:dyDescent="0.25">
      <c r="B4039" t="s">
        <v>2709</v>
      </c>
      <c r="C4039">
        <v>32042011</v>
      </c>
      <c r="E4039">
        <v>53</v>
      </c>
      <c r="F4039">
        <v>18</v>
      </c>
      <c r="G4039">
        <v>0</v>
      </c>
      <c r="H4039">
        <v>7.6</v>
      </c>
      <c r="I4039">
        <v>1.65</v>
      </c>
      <c r="J4039">
        <v>14</v>
      </c>
      <c r="L4039" t="s">
        <v>2709</v>
      </c>
      <c r="M4039">
        <v>32042011</v>
      </c>
      <c r="O4039" t="s">
        <v>20037</v>
      </c>
      <c r="P4039" t="s">
        <v>19899</v>
      </c>
      <c r="Q4039" t="s">
        <v>19900</v>
      </c>
      <c r="R4039" t="s">
        <v>19905</v>
      </c>
      <c r="S4039" t="s">
        <v>19906</v>
      </c>
      <c r="T4039" t="s">
        <v>19911</v>
      </c>
    </row>
    <row r="4040" spans="2:20" x14ac:dyDescent="0.25">
      <c r="B4040" t="s">
        <v>2709</v>
      </c>
      <c r="C4040">
        <v>32042019</v>
      </c>
      <c r="E4040">
        <v>53</v>
      </c>
      <c r="F4040">
        <v>18</v>
      </c>
      <c r="G4040">
        <v>0</v>
      </c>
      <c r="H4040">
        <v>7.6</v>
      </c>
      <c r="I4040">
        <v>1.65</v>
      </c>
      <c r="J4040">
        <v>14</v>
      </c>
      <c r="L4040" t="s">
        <v>2709</v>
      </c>
      <c r="M4040">
        <v>32042019</v>
      </c>
      <c r="O4040" t="s">
        <v>20037</v>
      </c>
      <c r="P4040" t="s">
        <v>19899</v>
      </c>
      <c r="Q4040" t="s">
        <v>19900</v>
      </c>
      <c r="R4040" t="s">
        <v>19905</v>
      </c>
      <c r="S4040" t="s">
        <v>19906</v>
      </c>
      <c r="T4040" t="s">
        <v>19911</v>
      </c>
    </row>
    <row r="4041" spans="2:20" x14ac:dyDescent="0.25">
      <c r="B4041" t="s">
        <v>2709</v>
      </c>
      <c r="C4041">
        <v>32042090</v>
      </c>
      <c r="E4041">
        <v>53</v>
      </c>
      <c r="F4041">
        <v>18</v>
      </c>
      <c r="G4041">
        <v>0</v>
      </c>
      <c r="H4041">
        <v>7.6</v>
      </c>
      <c r="I4041">
        <v>1.65</v>
      </c>
      <c r="J4041">
        <v>14</v>
      </c>
      <c r="L4041" t="s">
        <v>2709</v>
      </c>
      <c r="M4041">
        <v>32042090</v>
      </c>
      <c r="O4041" t="s">
        <v>20037</v>
      </c>
      <c r="P4041" t="s">
        <v>19899</v>
      </c>
      <c r="Q4041" t="s">
        <v>19900</v>
      </c>
      <c r="R4041" t="s">
        <v>19905</v>
      </c>
      <c r="S4041" t="s">
        <v>19906</v>
      </c>
      <c r="T4041" t="s">
        <v>19911</v>
      </c>
    </row>
    <row r="4042" spans="2:20" x14ac:dyDescent="0.25">
      <c r="B4042" t="s">
        <v>2709</v>
      </c>
      <c r="C4042">
        <v>32049000</v>
      </c>
      <c r="E4042">
        <v>53</v>
      </c>
      <c r="F4042">
        <v>18</v>
      </c>
      <c r="G4042">
        <v>0</v>
      </c>
      <c r="H4042">
        <v>7.6</v>
      </c>
      <c r="I4042">
        <v>1.65</v>
      </c>
      <c r="J4042">
        <v>14</v>
      </c>
      <c r="L4042" t="s">
        <v>2709</v>
      </c>
      <c r="M4042">
        <v>32049000</v>
      </c>
      <c r="O4042" t="s">
        <v>20037</v>
      </c>
      <c r="P4042" t="s">
        <v>19899</v>
      </c>
      <c r="Q4042" t="s">
        <v>19900</v>
      </c>
      <c r="R4042" t="s">
        <v>19905</v>
      </c>
      <c r="S4042" t="s">
        <v>19906</v>
      </c>
      <c r="T4042" t="s">
        <v>19911</v>
      </c>
    </row>
    <row r="4043" spans="2:20" x14ac:dyDescent="0.25">
      <c r="B4043" t="s">
        <v>2709</v>
      </c>
      <c r="C4043">
        <v>32050000</v>
      </c>
      <c r="E4043">
        <v>53</v>
      </c>
      <c r="F4043">
        <v>18</v>
      </c>
      <c r="G4043">
        <v>0</v>
      </c>
      <c r="H4043">
        <v>7.6</v>
      </c>
      <c r="I4043">
        <v>1.65</v>
      </c>
      <c r="J4043">
        <v>12</v>
      </c>
      <c r="L4043" t="s">
        <v>2709</v>
      </c>
      <c r="M4043">
        <v>32050000</v>
      </c>
      <c r="O4043" t="s">
        <v>20037</v>
      </c>
      <c r="P4043" t="s">
        <v>19899</v>
      </c>
      <c r="Q4043" t="s">
        <v>19900</v>
      </c>
      <c r="R4043" t="s">
        <v>19905</v>
      </c>
      <c r="S4043" t="s">
        <v>19906</v>
      </c>
      <c r="T4043" t="s">
        <v>19903</v>
      </c>
    </row>
    <row r="4044" spans="2:20" x14ac:dyDescent="0.25">
      <c r="B4044" t="s">
        <v>2709</v>
      </c>
      <c r="C4044">
        <v>32061111</v>
      </c>
      <c r="E4044">
        <v>53</v>
      </c>
      <c r="F4044">
        <v>18</v>
      </c>
      <c r="G4044">
        <v>0</v>
      </c>
      <c r="H4044">
        <v>7.6</v>
      </c>
      <c r="I4044">
        <v>1.65</v>
      </c>
      <c r="J4044">
        <v>8</v>
      </c>
      <c r="L4044" t="s">
        <v>2709</v>
      </c>
      <c r="M4044">
        <v>32061111</v>
      </c>
      <c r="O4044" t="s">
        <v>20037</v>
      </c>
      <c r="P4044" t="s">
        <v>19899</v>
      </c>
      <c r="Q4044" t="s">
        <v>19900</v>
      </c>
      <c r="R4044" t="s">
        <v>19905</v>
      </c>
      <c r="S4044" t="s">
        <v>19906</v>
      </c>
      <c r="T4044" t="s">
        <v>19918</v>
      </c>
    </row>
    <row r="4045" spans="2:20" x14ac:dyDescent="0.25">
      <c r="B4045" t="s">
        <v>2709</v>
      </c>
      <c r="C4045">
        <v>32061119</v>
      </c>
      <c r="E4045">
        <v>53</v>
      </c>
      <c r="F4045">
        <v>0</v>
      </c>
      <c r="G4045">
        <v>0</v>
      </c>
      <c r="H4045">
        <v>7.6</v>
      </c>
      <c r="I4045">
        <v>1.65</v>
      </c>
      <c r="J4045">
        <v>2</v>
      </c>
      <c r="L4045" t="s">
        <v>2709</v>
      </c>
      <c r="M4045">
        <v>32061119</v>
      </c>
      <c r="O4045" t="s">
        <v>20037</v>
      </c>
      <c r="P4045" t="s">
        <v>19900</v>
      </c>
      <c r="Q4045" t="s">
        <v>19900</v>
      </c>
      <c r="R4045" t="s">
        <v>19905</v>
      </c>
      <c r="S4045" t="s">
        <v>19906</v>
      </c>
      <c r="T4045" t="s">
        <v>19901</v>
      </c>
    </row>
    <row r="4046" spans="2:20" x14ac:dyDescent="0.25">
      <c r="B4046" t="s">
        <v>2709</v>
      </c>
      <c r="C4046">
        <v>32061120</v>
      </c>
      <c r="E4046">
        <v>53</v>
      </c>
      <c r="F4046">
        <v>18</v>
      </c>
      <c r="G4046">
        <v>0</v>
      </c>
      <c r="H4046">
        <v>7.6</v>
      </c>
      <c r="I4046">
        <v>1.65</v>
      </c>
      <c r="J4046">
        <v>12</v>
      </c>
      <c r="L4046" t="s">
        <v>2709</v>
      </c>
      <c r="M4046">
        <v>32061120</v>
      </c>
      <c r="O4046" t="s">
        <v>20037</v>
      </c>
      <c r="P4046" t="s">
        <v>19899</v>
      </c>
      <c r="Q4046" t="s">
        <v>19900</v>
      </c>
      <c r="R4046" t="s">
        <v>19905</v>
      </c>
      <c r="S4046" t="s">
        <v>19906</v>
      </c>
      <c r="T4046" t="s">
        <v>19903</v>
      </c>
    </row>
    <row r="4047" spans="2:20" x14ac:dyDescent="0.25">
      <c r="B4047" t="s">
        <v>2709</v>
      </c>
      <c r="C4047">
        <v>32061130</v>
      </c>
      <c r="E4047">
        <v>53</v>
      </c>
      <c r="F4047">
        <v>18</v>
      </c>
      <c r="G4047">
        <v>0</v>
      </c>
      <c r="H4047">
        <v>7.6</v>
      </c>
      <c r="I4047">
        <v>1.65</v>
      </c>
      <c r="J4047">
        <v>12</v>
      </c>
      <c r="L4047" t="s">
        <v>2709</v>
      </c>
      <c r="M4047">
        <v>32061130</v>
      </c>
      <c r="O4047" t="s">
        <v>20037</v>
      </c>
      <c r="P4047" t="s">
        <v>19899</v>
      </c>
      <c r="Q4047" t="s">
        <v>19900</v>
      </c>
      <c r="R4047" t="s">
        <v>19905</v>
      </c>
      <c r="S4047" t="s">
        <v>19906</v>
      </c>
      <c r="T4047" t="s">
        <v>19903</v>
      </c>
    </row>
    <row r="4048" spans="2:20" x14ac:dyDescent="0.25">
      <c r="B4048" t="s">
        <v>2709</v>
      </c>
      <c r="C4048">
        <v>32061910</v>
      </c>
      <c r="E4048">
        <v>53</v>
      </c>
      <c r="F4048">
        <v>18</v>
      </c>
      <c r="G4048">
        <v>0</v>
      </c>
      <c r="H4048">
        <v>7.6</v>
      </c>
      <c r="I4048">
        <v>1.65</v>
      </c>
      <c r="J4048">
        <v>2</v>
      </c>
      <c r="L4048" t="s">
        <v>2709</v>
      </c>
      <c r="M4048">
        <v>32061910</v>
      </c>
      <c r="O4048" t="s">
        <v>20037</v>
      </c>
      <c r="P4048" t="s">
        <v>19899</v>
      </c>
      <c r="Q4048" t="s">
        <v>19900</v>
      </c>
      <c r="R4048" t="s">
        <v>19905</v>
      </c>
      <c r="S4048" t="s">
        <v>19906</v>
      </c>
      <c r="T4048" t="s">
        <v>19901</v>
      </c>
    </row>
    <row r="4049" spans="2:20" x14ac:dyDescent="0.25">
      <c r="B4049" t="s">
        <v>2709</v>
      </c>
      <c r="C4049">
        <v>32061990</v>
      </c>
      <c r="E4049">
        <v>53</v>
      </c>
      <c r="F4049">
        <v>18</v>
      </c>
      <c r="G4049">
        <v>0</v>
      </c>
      <c r="H4049">
        <v>7.6</v>
      </c>
      <c r="I4049">
        <v>1.65</v>
      </c>
      <c r="J4049">
        <v>12</v>
      </c>
      <c r="L4049" t="s">
        <v>2709</v>
      </c>
      <c r="M4049">
        <v>32061990</v>
      </c>
      <c r="O4049" t="s">
        <v>20037</v>
      </c>
      <c r="P4049" t="s">
        <v>19899</v>
      </c>
      <c r="Q4049" t="s">
        <v>19900</v>
      </c>
      <c r="R4049" t="s">
        <v>19905</v>
      </c>
      <c r="S4049" t="s">
        <v>19906</v>
      </c>
      <c r="T4049" t="s">
        <v>19903</v>
      </c>
    </row>
    <row r="4050" spans="2:20" x14ac:dyDescent="0.25">
      <c r="B4050" t="s">
        <v>2709</v>
      </c>
      <c r="C4050">
        <v>32062000</v>
      </c>
      <c r="E4050">
        <v>53</v>
      </c>
      <c r="F4050">
        <v>18</v>
      </c>
      <c r="G4050">
        <v>0</v>
      </c>
      <c r="H4050">
        <v>7.6</v>
      </c>
      <c r="I4050">
        <v>1.65</v>
      </c>
      <c r="J4050">
        <v>12</v>
      </c>
      <c r="L4050" t="s">
        <v>2709</v>
      </c>
      <c r="M4050">
        <v>32062000</v>
      </c>
      <c r="O4050" t="s">
        <v>20037</v>
      </c>
      <c r="P4050" t="s">
        <v>19899</v>
      </c>
      <c r="Q4050" t="s">
        <v>19900</v>
      </c>
      <c r="R4050" t="s">
        <v>19905</v>
      </c>
      <c r="S4050" t="s">
        <v>19906</v>
      </c>
      <c r="T4050" t="s">
        <v>19903</v>
      </c>
    </row>
    <row r="4051" spans="2:20" x14ac:dyDescent="0.25">
      <c r="B4051" t="s">
        <v>2709</v>
      </c>
      <c r="C4051">
        <v>32064100</v>
      </c>
      <c r="E4051">
        <v>57.6</v>
      </c>
      <c r="F4051">
        <v>18</v>
      </c>
      <c r="G4051">
        <v>0</v>
      </c>
      <c r="H4051">
        <v>7.6</v>
      </c>
      <c r="I4051">
        <v>1.65</v>
      </c>
      <c r="J4051">
        <v>2</v>
      </c>
      <c r="L4051" t="s">
        <v>2709</v>
      </c>
      <c r="M4051">
        <v>32064100</v>
      </c>
      <c r="O4051" t="s">
        <v>20036</v>
      </c>
      <c r="P4051" t="s">
        <v>19899</v>
      </c>
      <c r="Q4051" t="s">
        <v>19900</v>
      </c>
      <c r="R4051" t="s">
        <v>19905</v>
      </c>
      <c r="S4051" t="s">
        <v>19906</v>
      </c>
      <c r="T4051" t="s">
        <v>19901</v>
      </c>
    </row>
    <row r="4052" spans="2:20" x14ac:dyDescent="0.25">
      <c r="B4052" t="s">
        <v>2709</v>
      </c>
      <c r="C4052">
        <v>32064210</v>
      </c>
      <c r="E4052">
        <v>53</v>
      </c>
      <c r="F4052">
        <v>18</v>
      </c>
      <c r="G4052">
        <v>0</v>
      </c>
      <c r="H4052">
        <v>7.6</v>
      </c>
      <c r="I4052">
        <v>1.65</v>
      </c>
      <c r="J4052">
        <v>2</v>
      </c>
      <c r="L4052" t="s">
        <v>2709</v>
      </c>
      <c r="M4052">
        <v>32064210</v>
      </c>
      <c r="O4052" t="s">
        <v>20037</v>
      </c>
      <c r="P4052" t="s">
        <v>19899</v>
      </c>
      <c r="Q4052" t="s">
        <v>19900</v>
      </c>
      <c r="R4052" t="s">
        <v>19905</v>
      </c>
      <c r="S4052" t="s">
        <v>19906</v>
      </c>
      <c r="T4052" t="s">
        <v>19901</v>
      </c>
    </row>
    <row r="4053" spans="2:20" x14ac:dyDescent="0.25">
      <c r="B4053" t="s">
        <v>2709</v>
      </c>
      <c r="C4053">
        <v>32064290</v>
      </c>
      <c r="E4053">
        <v>53</v>
      </c>
      <c r="F4053">
        <v>18</v>
      </c>
      <c r="G4053">
        <v>0</v>
      </c>
      <c r="H4053">
        <v>7.6</v>
      </c>
      <c r="I4053">
        <v>1.65</v>
      </c>
      <c r="J4053">
        <v>12</v>
      </c>
      <c r="L4053" t="s">
        <v>2709</v>
      </c>
      <c r="M4053">
        <v>32064290</v>
      </c>
      <c r="O4053" t="s">
        <v>20037</v>
      </c>
      <c r="P4053" t="s">
        <v>19899</v>
      </c>
      <c r="Q4053" t="s">
        <v>19900</v>
      </c>
      <c r="R4053" t="s">
        <v>19905</v>
      </c>
      <c r="S4053" t="s">
        <v>19906</v>
      </c>
      <c r="T4053" t="s">
        <v>19903</v>
      </c>
    </row>
    <row r="4054" spans="2:20" x14ac:dyDescent="0.25">
      <c r="B4054" t="s">
        <v>2709</v>
      </c>
      <c r="C4054">
        <v>32064910</v>
      </c>
      <c r="E4054">
        <v>53</v>
      </c>
      <c r="F4054">
        <v>18</v>
      </c>
      <c r="G4054">
        <v>0</v>
      </c>
      <c r="H4054">
        <v>7.6</v>
      </c>
      <c r="I4054">
        <v>1.65</v>
      </c>
      <c r="J4054">
        <v>12</v>
      </c>
      <c r="L4054" t="s">
        <v>2709</v>
      </c>
      <c r="M4054">
        <v>32064910</v>
      </c>
      <c r="O4054" t="s">
        <v>20037</v>
      </c>
      <c r="P4054" t="s">
        <v>19899</v>
      </c>
      <c r="Q4054" t="s">
        <v>19900</v>
      </c>
      <c r="R4054" t="s">
        <v>19905</v>
      </c>
      <c r="S4054" t="s">
        <v>19906</v>
      </c>
      <c r="T4054" t="s">
        <v>19903</v>
      </c>
    </row>
    <row r="4055" spans="2:20" x14ac:dyDescent="0.25">
      <c r="B4055" t="s">
        <v>2709</v>
      </c>
      <c r="C4055">
        <v>32064920</v>
      </c>
      <c r="E4055">
        <v>53</v>
      </c>
      <c r="F4055">
        <v>18</v>
      </c>
      <c r="G4055">
        <v>0</v>
      </c>
      <c r="H4055">
        <v>7.6</v>
      </c>
      <c r="I4055">
        <v>1.65</v>
      </c>
      <c r="J4055">
        <v>12</v>
      </c>
      <c r="L4055" t="s">
        <v>2709</v>
      </c>
      <c r="M4055">
        <v>32064920</v>
      </c>
      <c r="O4055" t="s">
        <v>20037</v>
      </c>
      <c r="P4055" t="s">
        <v>19899</v>
      </c>
      <c r="Q4055" t="s">
        <v>19900</v>
      </c>
      <c r="R4055" t="s">
        <v>19905</v>
      </c>
      <c r="S4055" t="s">
        <v>19906</v>
      </c>
      <c r="T4055" t="s">
        <v>19903</v>
      </c>
    </row>
    <row r="4056" spans="2:20" x14ac:dyDescent="0.25">
      <c r="B4056" t="s">
        <v>2709</v>
      </c>
      <c r="C4056">
        <v>32064990</v>
      </c>
      <c r="E4056">
        <v>53</v>
      </c>
      <c r="F4056">
        <v>18</v>
      </c>
      <c r="G4056">
        <v>0</v>
      </c>
      <c r="H4056">
        <v>7.6</v>
      </c>
      <c r="I4056">
        <v>1.65</v>
      </c>
      <c r="J4056">
        <v>12</v>
      </c>
      <c r="L4056" t="s">
        <v>2709</v>
      </c>
      <c r="M4056">
        <v>32064990</v>
      </c>
      <c r="O4056" t="s">
        <v>20037</v>
      </c>
      <c r="P4056" t="s">
        <v>19899</v>
      </c>
      <c r="Q4056" t="s">
        <v>19900</v>
      </c>
      <c r="R4056" t="s">
        <v>19905</v>
      </c>
      <c r="S4056" t="s">
        <v>19906</v>
      </c>
      <c r="T4056" t="s">
        <v>19903</v>
      </c>
    </row>
    <row r="4057" spans="2:20" x14ac:dyDescent="0.25">
      <c r="B4057" t="s">
        <v>2709</v>
      </c>
      <c r="C4057">
        <v>32065011</v>
      </c>
      <c r="E4057">
        <v>53</v>
      </c>
      <c r="F4057">
        <v>18</v>
      </c>
      <c r="G4057">
        <v>0</v>
      </c>
      <c r="H4057">
        <v>7.6</v>
      </c>
      <c r="I4057">
        <v>1.65</v>
      </c>
      <c r="J4057">
        <v>2</v>
      </c>
      <c r="L4057" t="s">
        <v>2709</v>
      </c>
      <c r="M4057">
        <v>32065011</v>
      </c>
      <c r="O4057" t="s">
        <v>20037</v>
      </c>
      <c r="P4057" t="s">
        <v>19899</v>
      </c>
      <c r="Q4057" t="s">
        <v>19900</v>
      </c>
      <c r="R4057" t="s">
        <v>19905</v>
      </c>
      <c r="S4057" t="s">
        <v>19906</v>
      </c>
      <c r="T4057" t="s">
        <v>19901</v>
      </c>
    </row>
    <row r="4058" spans="2:20" x14ac:dyDescent="0.25">
      <c r="B4058" t="s">
        <v>2709</v>
      </c>
      <c r="C4058">
        <v>32065019</v>
      </c>
      <c r="E4058">
        <v>53</v>
      </c>
      <c r="F4058">
        <v>18</v>
      </c>
      <c r="G4058">
        <v>0</v>
      </c>
      <c r="H4058">
        <v>7.6</v>
      </c>
      <c r="I4058">
        <v>1.65</v>
      </c>
      <c r="J4058">
        <v>12</v>
      </c>
      <c r="L4058" t="s">
        <v>2709</v>
      </c>
      <c r="M4058">
        <v>32065019</v>
      </c>
      <c r="O4058" t="s">
        <v>20037</v>
      </c>
      <c r="P4058" t="s">
        <v>19899</v>
      </c>
      <c r="Q4058" t="s">
        <v>19900</v>
      </c>
      <c r="R4058" t="s">
        <v>19905</v>
      </c>
      <c r="S4058" t="s">
        <v>19906</v>
      </c>
      <c r="T4058" t="s">
        <v>19903</v>
      </c>
    </row>
    <row r="4059" spans="2:20" x14ac:dyDescent="0.25">
      <c r="B4059" t="s">
        <v>2709</v>
      </c>
      <c r="C4059">
        <v>32065021</v>
      </c>
      <c r="E4059">
        <v>53</v>
      </c>
      <c r="F4059">
        <v>18</v>
      </c>
      <c r="G4059">
        <v>0</v>
      </c>
      <c r="H4059">
        <v>7.6</v>
      </c>
      <c r="I4059">
        <v>1.65</v>
      </c>
      <c r="J4059">
        <v>2</v>
      </c>
      <c r="L4059" t="s">
        <v>2709</v>
      </c>
      <c r="M4059">
        <v>32065021</v>
      </c>
      <c r="O4059" t="s">
        <v>20037</v>
      </c>
      <c r="P4059" t="s">
        <v>19899</v>
      </c>
      <c r="Q4059" t="s">
        <v>19900</v>
      </c>
      <c r="R4059" t="s">
        <v>19905</v>
      </c>
      <c r="S4059" t="s">
        <v>19906</v>
      </c>
      <c r="T4059" t="s">
        <v>19901</v>
      </c>
    </row>
    <row r="4060" spans="2:20" x14ac:dyDescent="0.25">
      <c r="B4060" t="s">
        <v>2709</v>
      </c>
      <c r="C4060">
        <v>32065029</v>
      </c>
      <c r="E4060">
        <v>53</v>
      </c>
      <c r="F4060">
        <v>18</v>
      </c>
      <c r="G4060">
        <v>0</v>
      </c>
      <c r="H4060">
        <v>7.6</v>
      </c>
      <c r="I4060">
        <v>1.65</v>
      </c>
      <c r="J4060">
        <v>2</v>
      </c>
      <c r="L4060" t="s">
        <v>2709</v>
      </c>
      <c r="M4060">
        <v>32065029</v>
      </c>
      <c r="O4060" t="s">
        <v>20037</v>
      </c>
      <c r="P4060" t="s">
        <v>19899</v>
      </c>
      <c r="Q4060" t="s">
        <v>19900</v>
      </c>
      <c r="R4060" t="s">
        <v>19905</v>
      </c>
      <c r="S4060" t="s">
        <v>19906</v>
      </c>
      <c r="T4060" t="s">
        <v>19901</v>
      </c>
    </row>
    <row r="4061" spans="2:20" x14ac:dyDescent="0.25">
      <c r="B4061" t="s">
        <v>2709</v>
      </c>
      <c r="C4061">
        <v>32071010</v>
      </c>
      <c r="E4061">
        <v>57.6</v>
      </c>
      <c r="F4061">
        <v>18</v>
      </c>
      <c r="G4061">
        <v>0</v>
      </c>
      <c r="H4061">
        <v>7.6</v>
      </c>
      <c r="I4061">
        <v>1.65</v>
      </c>
      <c r="J4061">
        <v>12</v>
      </c>
      <c r="L4061" t="s">
        <v>2709</v>
      </c>
      <c r="M4061">
        <v>32071010</v>
      </c>
      <c r="O4061" t="s">
        <v>20036</v>
      </c>
      <c r="P4061" t="s">
        <v>19899</v>
      </c>
      <c r="Q4061" t="s">
        <v>19900</v>
      </c>
      <c r="R4061" t="s">
        <v>19905</v>
      </c>
      <c r="S4061" t="s">
        <v>19906</v>
      </c>
      <c r="T4061" t="s">
        <v>19903</v>
      </c>
    </row>
    <row r="4062" spans="2:20" x14ac:dyDescent="0.25">
      <c r="B4062" t="s">
        <v>2709</v>
      </c>
      <c r="C4062">
        <v>32071090</v>
      </c>
      <c r="E4062">
        <v>57.6</v>
      </c>
      <c r="F4062">
        <v>18</v>
      </c>
      <c r="G4062">
        <v>0</v>
      </c>
      <c r="H4062">
        <v>7.6</v>
      </c>
      <c r="I4062">
        <v>1.65</v>
      </c>
      <c r="J4062">
        <v>12</v>
      </c>
      <c r="L4062" t="s">
        <v>2709</v>
      </c>
      <c r="M4062">
        <v>32071090</v>
      </c>
      <c r="O4062" t="s">
        <v>20036</v>
      </c>
      <c r="P4062" t="s">
        <v>19899</v>
      </c>
      <c r="Q4062" t="s">
        <v>19900</v>
      </c>
      <c r="R4062" t="s">
        <v>19905</v>
      </c>
      <c r="S4062" t="s">
        <v>19906</v>
      </c>
      <c r="T4062" t="s">
        <v>19903</v>
      </c>
    </row>
    <row r="4063" spans="2:20" x14ac:dyDescent="0.25">
      <c r="B4063" t="s">
        <v>2709</v>
      </c>
      <c r="C4063">
        <v>32072010</v>
      </c>
      <c r="E4063">
        <v>57.6</v>
      </c>
      <c r="F4063">
        <v>18</v>
      </c>
      <c r="G4063">
        <v>0</v>
      </c>
      <c r="H4063">
        <v>7.6</v>
      </c>
      <c r="I4063">
        <v>1.65</v>
      </c>
      <c r="J4063">
        <v>12</v>
      </c>
      <c r="L4063" t="s">
        <v>2709</v>
      </c>
      <c r="M4063">
        <v>32072010</v>
      </c>
      <c r="O4063" t="s">
        <v>20036</v>
      </c>
      <c r="P4063" t="s">
        <v>19899</v>
      </c>
      <c r="Q4063" t="s">
        <v>19900</v>
      </c>
      <c r="R4063" t="s">
        <v>19905</v>
      </c>
      <c r="S4063" t="s">
        <v>19906</v>
      </c>
      <c r="T4063" t="s">
        <v>19903</v>
      </c>
    </row>
    <row r="4064" spans="2:20" x14ac:dyDescent="0.25">
      <c r="B4064" t="s">
        <v>2709</v>
      </c>
      <c r="C4064">
        <v>32072091</v>
      </c>
      <c r="E4064">
        <v>57.6</v>
      </c>
      <c r="F4064">
        <v>18</v>
      </c>
      <c r="G4064">
        <v>0</v>
      </c>
      <c r="H4064">
        <v>7.6</v>
      </c>
      <c r="I4064">
        <v>1.65</v>
      </c>
      <c r="J4064">
        <v>2</v>
      </c>
      <c r="L4064" t="s">
        <v>2709</v>
      </c>
      <c r="M4064">
        <v>32072091</v>
      </c>
      <c r="O4064" t="s">
        <v>20036</v>
      </c>
      <c r="P4064" t="s">
        <v>19899</v>
      </c>
      <c r="Q4064" t="s">
        <v>19900</v>
      </c>
      <c r="R4064" t="s">
        <v>19905</v>
      </c>
      <c r="S4064" t="s">
        <v>19906</v>
      </c>
      <c r="T4064" t="s">
        <v>19901</v>
      </c>
    </row>
    <row r="4065" spans="2:20" x14ac:dyDescent="0.25">
      <c r="B4065" t="s">
        <v>2709</v>
      </c>
      <c r="C4065">
        <v>32072099</v>
      </c>
      <c r="E4065">
        <v>57.6</v>
      </c>
      <c r="F4065">
        <v>18</v>
      </c>
      <c r="G4065">
        <v>0</v>
      </c>
      <c r="H4065">
        <v>7.6</v>
      </c>
      <c r="I4065">
        <v>1.65</v>
      </c>
      <c r="J4065">
        <v>12</v>
      </c>
      <c r="L4065" t="s">
        <v>2709</v>
      </c>
      <c r="M4065">
        <v>32072099</v>
      </c>
      <c r="O4065" t="s">
        <v>20036</v>
      </c>
      <c r="P4065" t="s">
        <v>19899</v>
      </c>
      <c r="Q4065" t="s">
        <v>19900</v>
      </c>
      <c r="R4065" t="s">
        <v>19905</v>
      </c>
      <c r="S4065" t="s">
        <v>19906</v>
      </c>
      <c r="T4065" t="s">
        <v>19903</v>
      </c>
    </row>
    <row r="4066" spans="2:20" x14ac:dyDescent="0.25">
      <c r="B4066" t="s">
        <v>2709</v>
      </c>
      <c r="C4066">
        <v>32073000</v>
      </c>
      <c r="E4066">
        <v>57.6</v>
      </c>
      <c r="F4066">
        <v>18</v>
      </c>
      <c r="G4066">
        <v>0</v>
      </c>
      <c r="H4066">
        <v>7.6</v>
      </c>
      <c r="I4066">
        <v>1.65</v>
      </c>
      <c r="J4066">
        <v>12</v>
      </c>
      <c r="L4066" t="s">
        <v>2709</v>
      </c>
      <c r="M4066">
        <v>32073000</v>
      </c>
      <c r="O4066" t="s">
        <v>20036</v>
      </c>
      <c r="P4066" t="s">
        <v>19899</v>
      </c>
      <c r="Q4066" t="s">
        <v>19900</v>
      </c>
      <c r="R4066" t="s">
        <v>19905</v>
      </c>
      <c r="S4066" t="s">
        <v>19906</v>
      </c>
      <c r="T4066" t="s">
        <v>19903</v>
      </c>
    </row>
    <row r="4067" spans="2:20" x14ac:dyDescent="0.25">
      <c r="B4067" t="s">
        <v>2709</v>
      </c>
      <c r="C4067">
        <v>32074010</v>
      </c>
      <c r="E4067">
        <v>57.6</v>
      </c>
      <c r="F4067">
        <v>18</v>
      </c>
      <c r="G4067">
        <v>0</v>
      </c>
      <c r="H4067" t="s">
        <v>19447</v>
      </c>
      <c r="I4067" t="s">
        <v>19447</v>
      </c>
      <c r="J4067">
        <v>12</v>
      </c>
      <c r="L4067" t="s">
        <v>2709</v>
      </c>
      <c r="M4067">
        <v>32074010</v>
      </c>
      <c r="O4067" t="s">
        <v>20036</v>
      </c>
      <c r="P4067" t="s">
        <v>19899</v>
      </c>
      <c r="Q4067" t="s">
        <v>19900</v>
      </c>
      <c r="R4067" t="s">
        <v>19447</v>
      </c>
      <c r="S4067" t="s">
        <v>19447</v>
      </c>
      <c r="T4067" t="s">
        <v>19903</v>
      </c>
    </row>
    <row r="4068" spans="2:20" x14ac:dyDescent="0.25">
      <c r="B4068" t="s">
        <v>2709</v>
      </c>
      <c r="C4068">
        <v>32074090</v>
      </c>
      <c r="E4068">
        <v>57.6</v>
      </c>
      <c r="F4068">
        <v>18</v>
      </c>
      <c r="G4068">
        <v>0</v>
      </c>
      <c r="H4068">
        <v>7.6</v>
      </c>
      <c r="I4068">
        <v>1.65</v>
      </c>
      <c r="J4068">
        <v>12</v>
      </c>
      <c r="L4068" t="s">
        <v>2709</v>
      </c>
      <c r="M4068">
        <v>32074090</v>
      </c>
      <c r="O4068" t="s">
        <v>20036</v>
      </c>
      <c r="P4068" t="s">
        <v>19899</v>
      </c>
      <c r="Q4068" t="s">
        <v>19900</v>
      </c>
      <c r="R4068" t="s">
        <v>19905</v>
      </c>
      <c r="S4068" t="s">
        <v>19906</v>
      </c>
      <c r="T4068" t="s">
        <v>19903</v>
      </c>
    </row>
    <row r="4069" spans="2:20" x14ac:dyDescent="0.25">
      <c r="B4069" t="s">
        <v>2709</v>
      </c>
      <c r="C4069">
        <v>32081010</v>
      </c>
      <c r="E4069">
        <v>38</v>
      </c>
      <c r="F4069">
        <v>18</v>
      </c>
      <c r="G4069">
        <v>5</v>
      </c>
      <c r="H4069">
        <v>7.6</v>
      </c>
      <c r="I4069">
        <v>1.65</v>
      </c>
      <c r="J4069">
        <v>14</v>
      </c>
      <c r="L4069" t="s">
        <v>2709</v>
      </c>
      <c r="M4069">
        <v>32081010</v>
      </c>
      <c r="O4069" t="s">
        <v>20008</v>
      </c>
      <c r="P4069" t="s">
        <v>19899</v>
      </c>
      <c r="Q4069" t="s">
        <v>19909</v>
      </c>
      <c r="R4069" t="s">
        <v>19905</v>
      </c>
      <c r="S4069" t="s">
        <v>19906</v>
      </c>
      <c r="T4069" t="s">
        <v>19911</v>
      </c>
    </row>
    <row r="4070" spans="2:20" x14ac:dyDescent="0.25">
      <c r="B4070" t="s">
        <v>2709</v>
      </c>
      <c r="C4070">
        <v>32081020</v>
      </c>
      <c r="E4070">
        <v>38</v>
      </c>
      <c r="F4070">
        <v>18</v>
      </c>
      <c r="G4070">
        <v>5</v>
      </c>
      <c r="H4070">
        <v>7.6</v>
      </c>
      <c r="I4070">
        <v>1.65</v>
      </c>
      <c r="J4070">
        <v>14</v>
      </c>
      <c r="L4070" t="s">
        <v>2709</v>
      </c>
      <c r="M4070">
        <v>32081020</v>
      </c>
      <c r="O4070" t="s">
        <v>20008</v>
      </c>
      <c r="P4070" t="s">
        <v>19899</v>
      </c>
      <c r="Q4070" t="s">
        <v>19909</v>
      </c>
      <c r="R4070" t="s">
        <v>19905</v>
      </c>
      <c r="S4070" t="s">
        <v>19906</v>
      </c>
      <c r="T4070" t="s">
        <v>19911</v>
      </c>
    </row>
    <row r="4071" spans="2:20" x14ac:dyDescent="0.25">
      <c r="B4071" t="s">
        <v>2709</v>
      </c>
      <c r="C4071">
        <v>32081030</v>
      </c>
      <c r="E4071">
        <v>38</v>
      </c>
      <c r="F4071">
        <v>18</v>
      </c>
      <c r="G4071">
        <v>5</v>
      </c>
      <c r="H4071">
        <v>7.6</v>
      </c>
      <c r="I4071">
        <v>1.65</v>
      </c>
      <c r="J4071">
        <v>14</v>
      </c>
      <c r="L4071" t="s">
        <v>2709</v>
      </c>
      <c r="M4071">
        <v>32081030</v>
      </c>
      <c r="O4071" t="s">
        <v>20008</v>
      </c>
      <c r="P4071" t="s">
        <v>19899</v>
      </c>
      <c r="Q4071" t="s">
        <v>19909</v>
      </c>
      <c r="R4071" t="s">
        <v>19905</v>
      </c>
      <c r="S4071" t="s">
        <v>19906</v>
      </c>
      <c r="T4071" t="s">
        <v>19911</v>
      </c>
    </row>
    <row r="4072" spans="2:20" x14ac:dyDescent="0.25">
      <c r="B4072" t="s">
        <v>2709</v>
      </c>
      <c r="C4072">
        <v>32082011</v>
      </c>
      <c r="E4072">
        <v>38</v>
      </c>
      <c r="F4072">
        <v>18</v>
      </c>
      <c r="G4072">
        <v>5</v>
      </c>
      <c r="H4072">
        <v>7.6</v>
      </c>
      <c r="I4072">
        <v>1.65</v>
      </c>
      <c r="J4072">
        <v>2</v>
      </c>
      <c r="L4072" t="s">
        <v>2709</v>
      </c>
      <c r="M4072">
        <v>32082011</v>
      </c>
      <c r="O4072" t="s">
        <v>20008</v>
      </c>
      <c r="P4072" t="s">
        <v>19899</v>
      </c>
      <c r="Q4072" t="s">
        <v>19909</v>
      </c>
      <c r="R4072" t="s">
        <v>19905</v>
      </c>
      <c r="S4072" t="s">
        <v>19906</v>
      </c>
      <c r="T4072" t="s">
        <v>19901</v>
      </c>
    </row>
    <row r="4073" spans="2:20" x14ac:dyDescent="0.25">
      <c r="B4073" t="s">
        <v>2709</v>
      </c>
      <c r="C4073">
        <v>32082019</v>
      </c>
      <c r="E4073">
        <v>38</v>
      </c>
      <c r="F4073">
        <v>18</v>
      </c>
      <c r="G4073">
        <v>5</v>
      </c>
      <c r="H4073">
        <v>7.6</v>
      </c>
      <c r="I4073">
        <v>1.65</v>
      </c>
      <c r="J4073">
        <v>14</v>
      </c>
      <c r="L4073" t="s">
        <v>2709</v>
      </c>
      <c r="M4073">
        <v>32082019</v>
      </c>
      <c r="O4073" t="s">
        <v>20008</v>
      </c>
      <c r="P4073" t="s">
        <v>19899</v>
      </c>
      <c r="Q4073" t="s">
        <v>19909</v>
      </c>
      <c r="R4073" t="s">
        <v>19905</v>
      </c>
      <c r="S4073" t="s">
        <v>19906</v>
      </c>
      <c r="T4073" t="s">
        <v>19911</v>
      </c>
    </row>
    <row r="4074" spans="2:20" x14ac:dyDescent="0.25">
      <c r="B4074" t="s">
        <v>2709</v>
      </c>
      <c r="C4074">
        <v>32082020</v>
      </c>
      <c r="E4074">
        <v>38</v>
      </c>
      <c r="F4074">
        <v>18</v>
      </c>
      <c r="G4074">
        <v>5</v>
      </c>
      <c r="H4074">
        <v>7.6</v>
      </c>
      <c r="I4074">
        <v>1.65</v>
      </c>
      <c r="J4074">
        <v>14</v>
      </c>
      <c r="L4074" t="s">
        <v>2709</v>
      </c>
      <c r="M4074">
        <v>32082020</v>
      </c>
      <c r="O4074" t="s">
        <v>20008</v>
      </c>
      <c r="P4074" t="s">
        <v>19899</v>
      </c>
      <c r="Q4074" t="s">
        <v>19909</v>
      </c>
      <c r="R4074" t="s">
        <v>19905</v>
      </c>
      <c r="S4074" t="s">
        <v>19906</v>
      </c>
      <c r="T4074" t="s">
        <v>19911</v>
      </c>
    </row>
    <row r="4075" spans="2:20" x14ac:dyDescent="0.25">
      <c r="B4075" t="s">
        <v>2709</v>
      </c>
      <c r="C4075">
        <v>32082030</v>
      </c>
      <c r="E4075">
        <v>38</v>
      </c>
      <c r="F4075">
        <v>18</v>
      </c>
      <c r="G4075">
        <v>5</v>
      </c>
      <c r="H4075">
        <v>7.6</v>
      </c>
      <c r="I4075">
        <v>1.65</v>
      </c>
      <c r="J4075">
        <v>14</v>
      </c>
      <c r="L4075" t="s">
        <v>2709</v>
      </c>
      <c r="M4075">
        <v>32082030</v>
      </c>
      <c r="O4075" t="s">
        <v>20008</v>
      </c>
      <c r="P4075" t="s">
        <v>19899</v>
      </c>
      <c r="Q4075" t="s">
        <v>19909</v>
      </c>
      <c r="R4075" t="s">
        <v>19905</v>
      </c>
      <c r="S4075" t="s">
        <v>19906</v>
      </c>
      <c r="T4075" t="s">
        <v>19911</v>
      </c>
    </row>
    <row r="4076" spans="2:20" x14ac:dyDescent="0.25">
      <c r="B4076" t="s">
        <v>2709</v>
      </c>
      <c r="C4076">
        <v>32089010</v>
      </c>
      <c r="E4076">
        <v>38</v>
      </c>
      <c r="F4076">
        <v>18</v>
      </c>
      <c r="G4076">
        <v>5</v>
      </c>
      <c r="H4076">
        <v>7.6</v>
      </c>
      <c r="I4076">
        <v>1.65</v>
      </c>
      <c r="J4076">
        <v>14</v>
      </c>
      <c r="L4076" t="s">
        <v>2709</v>
      </c>
      <c r="M4076">
        <v>32089010</v>
      </c>
      <c r="O4076" t="s">
        <v>20008</v>
      </c>
      <c r="P4076" t="s">
        <v>19899</v>
      </c>
      <c r="Q4076" t="s">
        <v>19909</v>
      </c>
      <c r="R4076" t="s">
        <v>19905</v>
      </c>
      <c r="S4076" t="s">
        <v>19906</v>
      </c>
      <c r="T4076" t="s">
        <v>19911</v>
      </c>
    </row>
    <row r="4077" spans="2:20" x14ac:dyDescent="0.25">
      <c r="B4077" t="s">
        <v>2709</v>
      </c>
      <c r="C4077">
        <v>32089021</v>
      </c>
      <c r="E4077">
        <v>38</v>
      </c>
      <c r="F4077">
        <v>18</v>
      </c>
      <c r="G4077">
        <v>5</v>
      </c>
      <c r="H4077">
        <v>7.6</v>
      </c>
      <c r="I4077">
        <v>1.65</v>
      </c>
      <c r="J4077">
        <v>14</v>
      </c>
      <c r="L4077" t="s">
        <v>2709</v>
      </c>
      <c r="M4077">
        <v>32089021</v>
      </c>
      <c r="O4077" t="s">
        <v>20008</v>
      </c>
      <c r="P4077" t="s">
        <v>19899</v>
      </c>
      <c r="Q4077" t="s">
        <v>19909</v>
      </c>
      <c r="R4077" t="s">
        <v>19905</v>
      </c>
      <c r="S4077" t="s">
        <v>19906</v>
      </c>
      <c r="T4077" t="s">
        <v>19911</v>
      </c>
    </row>
    <row r="4078" spans="2:20" x14ac:dyDescent="0.25">
      <c r="B4078" t="s">
        <v>2709</v>
      </c>
      <c r="C4078">
        <v>32089029</v>
      </c>
      <c r="E4078">
        <v>38</v>
      </c>
      <c r="F4078">
        <v>18</v>
      </c>
      <c r="G4078">
        <v>5</v>
      </c>
      <c r="H4078">
        <v>7.6</v>
      </c>
      <c r="I4078">
        <v>1.65</v>
      </c>
      <c r="J4078">
        <v>14</v>
      </c>
      <c r="L4078" t="s">
        <v>2709</v>
      </c>
      <c r="M4078">
        <v>32089029</v>
      </c>
      <c r="O4078" t="s">
        <v>20008</v>
      </c>
      <c r="P4078" t="s">
        <v>19899</v>
      </c>
      <c r="Q4078" t="s">
        <v>19909</v>
      </c>
      <c r="R4078" t="s">
        <v>19905</v>
      </c>
      <c r="S4078" t="s">
        <v>19906</v>
      </c>
      <c r="T4078" t="s">
        <v>19911</v>
      </c>
    </row>
    <row r="4079" spans="2:20" x14ac:dyDescent="0.25">
      <c r="B4079" t="s">
        <v>2709</v>
      </c>
      <c r="C4079">
        <v>32089031</v>
      </c>
      <c r="E4079">
        <v>38</v>
      </c>
      <c r="F4079">
        <v>18</v>
      </c>
      <c r="G4079">
        <v>10</v>
      </c>
      <c r="H4079">
        <v>7.6</v>
      </c>
      <c r="I4079">
        <v>1.65</v>
      </c>
      <c r="J4079">
        <v>14</v>
      </c>
      <c r="L4079" t="s">
        <v>2709</v>
      </c>
      <c r="M4079">
        <v>32089031</v>
      </c>
      <c r="O4079" t="s">
        <v>20008</v>
      </c>
      <c r="P4079" t="s">
        <v>19899</v>
      </c>
      <c r="Q4079" t="s">
        <v>19904</v>
      </c>
      <c r="R4079" t="s">
        <v>19905</v>
      </c>
      <c r="S4079" t="s">
        <v>19906</v>
      </c>
      <c r="T4079" t="s">
        <v>19911</v>
      </c>
    </row>
    <row r="4080" spans="2:20" x14ac:dyDescent="0.25">
      <c r="B4080" t="s">
        <v>2709</v>
      </c>
      <c r="C4080">
        <v>32089039</v>
      </c>
      <c r="E4080">
        <v>38</v>
      </c>
      <c r="F4080">
        <v>18</v>
      </c>
      <c r="G4080">
        <v>10</v>
      </c>
      <c r="H4080">
        <v>7.6</v>
      </c>
      <c r="I4080">
        <v>1.65</v>
      </c>
      <c r="J4080">
        <v>14</v>
      </c>
      <c r="L4080" t="s">
        <v>2709</v>
      </c>
      <c r="M4080">
        <v>32089039</v>
      </c>
      <c r="O4080" t="s">
        <v>20008</v>
      </c>
      <c r="P4080" t="s">
        <v>19899</v>
      </c>
      <c r="Q4080" t="s">
        <v>19904</v>
      </c>
      <c r="R4080" t="s">
        <v>19905</v>
      </c>
      <c r="S4080" t="s">
        <v>19906</v>
      </c>
      <c r="T4080" t="s">
        <v>19911</v>
      </c>
    </row>
    <row r="4081" spans="2:20" x14ac:dyDescent="0.25">
      <c r="B4081" t="s">
        <v>2709</v>
      </c>
      <c r="C4081">
        <v>32091010</v>
      </c>
      <c r="E4081">
        <v>38</v>
      </c>
      <c r="F4081">
        <v>18</v>
      </c>
      <c r="G4081">
        <v>0</v>
      </c>
      <c r="H4081">
        <v>7.6</v>
      </c>
      <c r="I4081">
        <v>1.65</v>
      </c>
      <c r="J4081">
        <v>14</v>
      </c>
      <c r="L4081" t="s">
        <v>2709</v>
      </c>
      <c r="M4081">
        <v>32091010</v>
      </c>
      <c r="O4081" t="s">
        <v>20008</v>
      </c>
      <c r="P4081" t="s">
        <v>19899</v>
      </c>
      <c r="Q4081" t="s">
        <v>19900</v>
      </c>
      <c r="R4081" t="s">
        <v>19905</v>
      </c>
      <c r="S4081" t="s">
        <v>19906</v>
      </c>
      <c r="T4081" t="s">
        <v>19911</v>
      </c>
    </row>
    <row r="4082" spans="2:20" x14ac:dyDescent="0.25">
      <c r="B4082" t="s">
        <v>2709</v>
      </c>
      <c r="C4082">
        <v>32091020</v>
      </c>
      <c r="E4082">
        <v>38</v>
      </c>
      <c r="F4082">
        <v>18</v>
      </c>
      <c r="G4082">
        <v>0</v>
      </c>
      <c r="H4082">
        <v>7.6</v>
      </c>
      <c r="I4082">
        <v>1.65</v>
      </c>
      <c r="J4082">
        <v>14</v>
      </c>
      <c r="L4082" t="s">
        <v>2709</v>
      </c>
      <c r="M4082">
        <v>32091020</v>
      </c>
      <c r="O4082" t="s">
        <v>20008</v>
      </c>
      <c r="P4082" t="s">
        <v>19899</v>
      </c>
      <c r="Q4082" t="s">
        <v>19900</v>
      </c>
      <c r="R4082" t="s">
        <v>19905</v>
      </c>
      <c r="S4082" t="s">
        <v>19906</v>
      </c>
      <c r="T4082" t="s">
        <v>19911</v>
      </c>
    </row>
    <row r="4083" spans="2:20" x14ac:dyDescent="0.25">
      <c r="B4083" t="s">
        <v>2709</v>
      </c>
      <c r="C4083">
        <v>32099011</v>
      </c>
      <c r="E4083">
        <v>38</v>
      </c>
      <c r="F4083">
        <v>18</v>
      </c>
      <c r="G4083">
        <v>0</v>
      </c>
      <c r="H4083">
        <v>7.6</v>
      </c>
      <c r="I4083">
        <v>1.65</v>
      </c>
      <c r="J4083">
        <v>14</v>
      </c>
      <c r="L4083" t="s">
        <v>2709</v>
      </c>
      <c r="M4083">
        <v>32099011</v>
      </c>
      <c r="O4083" t="s">
        <v>20008</v>
      </c>
      <c r="P4083" t="s">
        <v>19899</v>
      </c>
      <c r="Q4083" t="s">
        <v>19900</v>
      </c>
      <c r="R4083" t="s">
        <v>19905</v>
      </c>
      <c r="S4083" t="s">
        <v>19906</v>
      </c>
      <c r="T4083" t="s">
        <v>19911</v>
      </c>
    </row>
    <row r="4084" spans="2:20" x14ac:dyDescent="0.25">
      <c r="B4084" t="s">
        <v>2709</v>
      </c>
      <c r="C4084">
        <v>32099019</v>
      </c>
      <c r="E4084">
        <v>38</v>
      </c>
      <c r="F4084">
        <v>18</v>
      </c>
      <c r="G4084">
        <v>0</v>
      </c>
      <c r="H4084">
        <v>7.6</v>
      </c>
      <c r="I4084">
        <v>1.65</v>
      </c>
      <c r="J4084">
        <v>14</v>
      </c>
      <c r="L4084" t="s">
        <v>2709</v>
      </c>
      <c r="M4084">
        <v>32099019</v>
      </c>
      <c r="O4084" t="s">
        <v>20008</v>
      </c>
      <c r="P4084" t="s">
        <v>19899</v>
      </c>
      <c r="Q4084" t="s">
        <v>19900</v>
      </c>
      <c r="R4084" t="s">
        <v>19905</v>
      </c>
      <c r="S4084" t="s">
        <v>19906</v>
      </c>
      <c r="T4084" t="s">
        <v>19911</v>
      </c>
    </row>
    <row r="4085" spans="2:20" x14ac:dyDescent="0.25">
      <c r="B4085" t="s">
        <v>2709</v>
      </c>
      <c r="C4085">
        <v>32099020</v>
      </c>
      <c r="E4085">
        <v>38</v>
      </c>
      <c r="F4085">
        <v>18</v>
      </c>
      <c r="G4085">
        <v>0</v>
      </c>
      <c r="H4085">
        <v>7.6</v>
      </c>
      <c r="I4085">
        <v>1.65</v>
      </c>
      <c r="J4085">
        <v>14</v>
      </c>
      <c r="L4085" t="s">
        <v>2709</v>
      </c>
      <c r="M4085">
        <v>32099020</v>
      </c>
      <c r="O4085" t="s">
        <v>20008</v>
      </c>
      <c r="P4085" t="s">
        <v>19899</v>
      </c>
      <c r="Q4085" t="s">
        <v>19900</v>
      </c>
      <c r="R4085" t="s">
        <v>19905</v>
      </c>
      <c r="S4085" t="s">
        <v>19906</v>
      </c>
      <c r="T4085" t="s">
        <v>19911</v>
      </c>
    </row>
    <row r="4086" spans="2:20" x14ac:dyDescent="0.25">
      <c r="B4086" t="s">
        <v>2709</v>
      </c>
      <c r="C4086">
        <v>32100010</v>
      </c>
      <c r="E4086">
        <v>38</v>
      </c>
      <c r="F4086">
        <v>18</v>
      </c>
      <c r="G4086">
        <v>10</v>
      </c>
      <c r="H4086">
        <v>7.6</v>
      </c>
      <c r="I4086">
        <v>1.65</v>
      </c>
      <c r="J4086">
        <v>14</v>
      </c>
      <c r="L4086" t="s">
        <v>2709</v>
      </c>
      <c r="M4086">
        <v>32100010</v>
      </c>
      <c r="O4086" t="s">
        <v>20008</v>
      </c>
      <c r="P4086" t="s">
        <v>19899</v>
      </c>
      <c r="Q4086" t="s">
        <v>19904</v>
      </c>
      <c r="R4086" t="s">
        <v>19905</v>
      </c>
      <c r="S4086" t="s">
        <v>19906</v>
      </c>
      <c r="T4086" t="s">
        <v>19911</v>
      </c>
    </row>
    <row r="4087" spans="2:20" x14ac:dyDescent="0.25">
      <c r="B4087" t="s">
        <v>2709</v>
      </c>
      <c r="C4087">
        <v>32100020</v>
      </c>
      <c r="E4087">
        <v>38</v>
      </c>
      <c r="F4087">
        <v>18</v>
      </c>
      <c r="G4087">
        <v>10</v>
      </c>
      <c r="H4087">
        <v>7.6</v>
      </c>
      <c r="I4087">
        <v>1.65</v>
      </c>
      <c r="J4087">
        <v>14</v>
      </c>
      <c r="L4087" t="s">
        <v>2709</v>
      </c>
      <c r="M4087">
        <v>32100020</v>
      </c>
      <c r="O4087" t="s">
        <v>20008</v>
      </c>
      <c r="P4087" t="s">
        <v>19899</v>
      </c>
      <c r="Q4087" t="s">
        <v>19904</v>
      </c>
      <c r="R4087" t="s">
        <v>19905</v>
      </c>
      <c r="S4087" t="s">
        <v>19906</v>
      </c>
      <c r="T4087" t="s">
        <v>19911</v>
      </c>
    </row>
    <row r="4088" spans="2:20" x14ac:dyDescent="0.25">
      <c r="B4088" t="s">
        <v>2709</v>
      </c>
      <c r="C4088">
        <v>32100030</v>
      </c>
      <c r="E4088">
        <v>38</v>
      </c>
      <c r="F4088">
        <v>18</v>
      </c>
      <c r="G4088">
        <v>10</v>
      </c>
      <c r="H4088">
        <v>7.6</v>
      </c>
      <c r="I4088">
        <v>1.65</v>
      </c>
      <c r="J4088">
        <v>14</v>
      </c>
      <c r="L4088" t="s">
        <v>2709</v>
      </c>
      <c r="M4088">
        <v>32100030</v>
      </c>
      <c r="O4088" t="s">
        <v>20008</v>
      </c>
      <c r="P4088" t="s">
        <v>19899</v>
      </c>
      <c r="Q4088" t="s">
        <v>19904</v>
      </c>
      <c r="R4088" t="s">
        <v>19905</v>
      </c>
      <c r="S4088" t="s">
        <v>19906</v>
      </c>
      <c r="T4088" t="s">
        <v>19911</v>
      </c>
    </row>
    <row r="4089" spans="2:20" x14ac:dyDescent="0.25">
      <c r="B4089" t="s">
        <v>2709</v>
      </c>
      <c r="C4089">
        <v>32110000</v>
      </c>
      <c r="E4089">
        <v>38</v>
      </c>
      <c r="F4089">
        <v>18</v>
      </c>
      <c r="G4089">
        <v>10</v>
      </c>
      <c r="H4089">
        <v>7.6</v>
      </c>
      <c r="I4089">
        <v>1.65</v>
      </c>
      <c r="J4089">
        <v>14</v>
      </c>
      <c r="L4089" t="s">
        <v>2709</v>
      </c>
      <c r="M4089">
        <v>32110000</v>
      </c>
      <c r="O4089" t="s">
        <v>20008</v>
      </c>
      <c r="P4089" t="s">
        <v>19899</v>
      </c>
      <c r="Q4089" t="s">
        <v>19904</v>
      </c>
      <c r="R4089" t="s">
        <v>19905</v>
      </c>
      <c r="S4089" t="s">
        <v>19906</v>
      </c>
      <c r="T4089" t="s">
        <v>19911</v>
      </c>
    </row>
    <row r="4090" spans="2:20" x14ac:dyDescent="0.25">
      <c r="B4090" t="s">
        <v>2709</v>
      </c>
      <c r="C4090">
        <v>32121000</v>
      </c>
      <c r="E4090">
        <v>53</v>
      </c>
      <c r="F4090">
        <v>18</v>
      </c>
      <c r="G4090">
        <v>10</v>
      </c>
      <c r="H4090">
        <v>7.6</v>
      </c>
      <c r="I4090">
        <v>1.65</v>
      </c>
      <c r="J4090">
        <v>14</v>
      </c>
      <c r="L4090" t="s">
        <v>2709</v>
      </c>
      <c r="M4090">
        <v>32121000</v>
      </c>
      <c r="O4090" t="s">
        <v>20037</v>
      </c>
      <c r="P4090" t="s">
        <v>19899</v>
      </c>
      <c r="Q4090" t="s">
        <v>19904</v>
      </c>
      <c r="R4090" t="s">
        <v>19905</v>
      </c>
      <c r="S4090" t="s">
        <v>19906</v>
      </c>
      <c r="T4090" t="s">
        <v>19911</v>
      </c>
    </row>
    <row r="4091" spans="2:20" x14ac:dyDescent="0.25">
      <c r="B4091" t="s">
        <v>2709</v>
      </c>
      <c r="C4091">
        <v>32129010</v>
      </c>
      <c r="E4091">
        <v>53</v>
      </c>
      <c r="F4091">
        <v>18</v>
      </c>
      <c r="G4091">
        <v>10</v>
      </c>
      <c r="H4091">
        <v>7.6</v>
      </c>
      <c r="I4091">
        <v>1.65</v>
      </c>
      <c r="J4091">
        <v>14</v>
      </c>
      <c r="L4091" t="s">
        <v>2709</v>
      </c>
      <c r="M4091">
        <v>32129010</v>
      </c>
      <c r="O4091" t="s">
        <v>20037</v>
      </c>
      <c r="P4091" t="s">
        <v>19899</v>
      </c>
      <c r="Q4091" t="s">
        <v>19904</v>
      </c>
      <c r="R4091" t="s">
        <v>19905</v>
      </c>
      <c r="S4091" t="s">
        <v>19906</v>
      </c>
      <c r="T4091" t="s">
        <v>19911</v>
      </c>
    </row>
    <row r="4092" spans="2:20" x14ac:dyDescent="0.25">
      <c r="B4092" t="s">
        <v>2709</v>
      </c>
      <c r="C4092">
        <v>32129090</v>
      </c>
      <c r="E4092">
        <v>53</v>
      </c>
      <c r="F4092">
        <v>18</v>
      </c>
      <c r="G4092">
        <v>10</v>
      </c>
      <c r="H4092">
        <v>7.6</v>
      </c>
      <c r="I4092">
        <v>1.65</v>
      </c>
      <c r="J4092">
        <v>14</v>
      </c>
      <c r="L4092" t="s">
        <v>2709</v>
      </c>
      <c r="M4092">
        <v>32129090</v>
      </c>
      <c r="O4092" t="s">
        <v>20037</v>
      </c>
      <c r="P4092" t="s">
        <v>19899</v>
      </c>
      <c r="Q4092" t="s">
        <v>19904</v>
      </c>
      <c r="R4092" t="s">
        <v>19905</v>
      </c>
      <c r="S4092" t="s">
        <v>19906</v>
      </c>
      <c r="T4092" t="s">
        <v>19911</v>
      </c>
    </row>
    <row r="4093" spans="2:20" x14ac:dyDescent="0.25">
      <c r="B4093" t="s">
        <v>2709</v>
      </c>
      <c r="C4093">
        <v>32131000</v>
      </c>
      <c r="E4093">
        <v>48.43</v>
      </c>
      <c r="F4093">
        <v>18</v>
      </c>
      <c r="G4093">
        <v>10</v>
      </c>
      <c r="H4093">
        <v>7.6</v>
      </c>
      <c r="I4093">
        <v>1.65</v>
      </c>
      <c r="J4093">
        <v>14</v>
      </c>
      <c r="L4093" t="s">
        <v>2709</v>
      </c>
      <c r="M4093">
        <v>32131000</v>
      </c>
      <c r="O4093" t="s">
        <v>20038</v>
      </c>
      <c r="P4093" t="s">
        <v>19899</v>
      </c>
      <c r="Q4093" t="s">
        <v>19904</v>
      </c>
      <c r="R4093" t="s">
        <v>19905</v>
      </c>
      <c r="S4093" t="s">
        <v>19906</v>
      </c>
      <c r="T4093" t="s">
        <v>19911</v>
      </c>
    </row>
    <row r="4094" spans="2:20" x14ac:dyDescent="0.25">
      <c r="B4094" t="s">
        <v>2709</v>
      </c>
      <c r="C4094">
        <v>32139000</v>
      </c>
      <c r="E4094">
        <v>57.6</v>
      </c>
      <c r="F4094">
        <v>18</v>
      </c>
      <c r="G4094">
        <v>10</v>
      </c>
      <c r="H4094">
        <v>7.6</v>
      </c>
      <c r="I4094">
        <v>1.65</v>
      </c>
      <c r="J4094">
        <v>14</v>
      </c>
      <c r="L4094" t="s">
        <v>2709</v>
      </c>
      <c r="M4094">
        <v>32139000</v>
      </c>
      <c r="O4094" t="s">
        <v>20036</v>
      </c>
      <c r="P4094" t="s">
        <v>19899</v>
      </c>
      <c r="Q4094" t="s">
        <v>19904</v>
      </c>
      <c r="R4094" t="s">
        <v>19905</v>
      </c>
      <c r="S4094" t="s">
        <v>19906</v>
      </c>
      <c r="T4094" t="s">
        <v>19911</v>
      </c>
    </row>
    <row r="4095" spans="2:20" x14ac:dyDescent="0.25">
      <c r="B4095" t="s">
        <v>2709</v>
      </c>
      <c r="C4095">
        <v>32141010</v>
      </c>
      <c r="E4095">
        <v>38</v>
      </c>
      <c r="F4095">
        <v>18</v>
      </c>
      <c r="G4095">
        <v>2</v>
      </c>
      <c r="H4095">
        <v>7.6</v>
      </c>
      <c r="I4095">
        <v>1.65</v>
      </c>
      <c r="J4095">
        <v>14</v>
      </c>
      <c r="L4095" t="s">
        <v>2709</v>
      </c>
      <c r="M4095">
        <v>32141010</v>
      </c>
      <c r="O4095" t="s">
        <v>20008</v>
      </c>
      <c r="P4095" t="s">
        <v>19899</v>
      </c>
      <c r="Q4095" t="s">
        <v>19901</v>
      </c>
      <c r="R4095" t="s">
        <v>19905</v>
      </c>
      <c r="S4095" t="s">
        <v>19906</v>
      </c>
      <c r="T4095" t="s">
        <v>19911</v>
      </c>
    </row>
    <row r="4096" spans="2:20" x14ac:dyDescent="0.25">
      <c r="B4096" t="s">
        <v>2709</v>
      </c>
      <c r="C4096">
        <v>32141020</v>
      </c>
      <c r="E4096">
        <v>39</v>
      </c>
      <c r="F4096">
        <v>18</v>
      </c>
      <c r="G4096">
        <v>2</v>
      </c>
      <c r="H4096">
        <v>7.6</v>
      </c>
      <c r="I4096">
        <v>1.65</v>
      </c>
      <c r="J4096">
        <v>14</v>
      </c>
      <c r="L4096" t="s">
        <v>2709</v>
      </c>
      <c r="M4096">
        <v>32141020</v>
      </c>
      <c r="O4096" t="s">
        <v>20039</v>
      </c>
      <c r="P4096" t="s">
        <v>19899</v>
      </c>
      <c r="Q4096" t="s">
        <v>19901</v>
      </c>
      <c r="R4096" t="s">
        <v>19905</v>
      </c>
      <c r="S4096" t="s">
        <v>19906</v>
      </c>
      <c r="T4096" t="s">
        <v>19911</v>
      </c>
    </row>
    <row r="4097" spans="2:20" x14ac:dyDescent="0.25">
      <c r="B4097" t="s">
        <v>2709</v>
      </c>
      <c r="C4097">
        <v>32149000</v>
      </c>
      <c r="E4097">
        <v>41</v>
      </c>
      <c r="F4097">
        <v>12</v>
      </c>
      <c r="G4097">
        <v>0</v>
      </c>
      <c r="H4097">
        <v>7.6</v>
      </c>
      <c r="I4097">
        <v>1.65</v>
      </c>
      <c r="J4097">
        <v>14</v>
      </c>
      <c r="L4097" t="s">
        <v>2709</v>
      </c>
      <c r="M4097">
        <v>32149000</v>
      </c>
      <c r="O4097" t="s">
        <v>20040</v>
      </c>
      <c r="P4097" t="s">
        <v>19903</v>
      </c>
      <c r="Q4097" t="s">
        <v>19900</v>
      </c>
      <c r="R4097" t="s">
        <v>19905</v>
      </c>
      <c r="S4097" t="s">
        <v>19906</v>
      </c>
      <c r="T4097" t="s">
        <v>19911</v>
      </c>
    </row>
    <row r="4098" spans="2:20" x14ac:dyDescent="0.25">
      <c r="B4098" t="s">
        <v>2709</v>
      </c>
      <c r="C4098">
        <v>32151100</v>
      </c>
      <c r="E4098">
        <v>57.6</v>
      </c>
      <c r="F4098">
        <v>18</v>
      </c>
      <c r="G4098">
        <v>0</v>
      </c>
      <c r="H4098">
        <v>7.6</v>
      </c>
      <c r="I4098">
        <v>1.65</v>
      </c>
      <c r="J4098">
        <v>14</v>
      </c>
      <c r="L4098" t="s">
        <v>2709</v>
      </c>
      <c r="M4098">
        <v>32151100</v>
      </c>
      <c r="O4098" t="s">
        <v>20036</v>
      </c>
      <c r="P4098" t="s">
        <v>19899</v>
      </c>
      <c r="Q4098" t="s">
        <v>19900</v>
      </c>
      <c r="R4098" t="s">
        <v>19905</v>
      </c>
      <c r="S4098" t="s">
        <v>19906</v>
      </c>
      <c r="T4098" t="s">
        <v>19911</v>
      </c>
    </row>
    <row r="4099" spans="2:20" x14ac:dyDescent="0.25">
      <c r="B4099" t="s">
        <v>2709</v>
      </c>
      <c r="C4099">
        <v>32151900</v>
      </c>
      <c r="E4099">
        <v>57.6</v>
      </c>
      <c r="F4099">
        <v>18</v>
      </c>
      <c r="G4099">
        <v>0</v>
      </c>
      <c r="H4099">
        <v>7.6</v>
      </c>
      <c r="I4099">
        <v>1.65</v>
      </c>
      <c r="J4099">
        <v>14</v>
      </c>
      <c r="L4099" t="s">
        <v>2709</v>
      </c>
      <c r="M4099">
        <v>32151900</v>
      </c>
      <c r="O4099" t="s">
        <v>20036</v>
      </c>
      <c r="P4099" t="s">
        <v>19899</v>
      </c>
      <c r="Q4099" t="s">
        <v>19900</v>
      </c>
      <c r="R4099" t="s">
        <v>19905</v>
      </c>
      <c r="S4099" t="s">
        <v>19906</v>
      </c>
      <c r="T4099" t="s">
        <v>19911</v>
      </c>
    </row>
    <row r="4100" spans="2:20" x14ac:dyDescent="0.25">
      <c r="B4100" t="s">
        <v>2709</v>
      </c>
      <c r="C4100">
        <v>32159000</v>
      </c>
      <c r="E4100">
        <v>57.6</v>
      </c>
      <c r="F4100">
        <v>18</v>
      </c>
      <c r="G4100">
        <v>0</v>
      </c>
      <c r="H4100">
        <v>7.6</v>
      </c>
      <c r="I4100">
        <v>1.65</v>
      </c>
      <c r="J4100">
        <v>14</v>
      </c>
      <c r="L4100" t="s">
        <v>2709</v>
      </c>
      <c r="M4100">
        <v>32159000</v>
      </c>
      <c r="O4100" t="s">
        <v>20036</v>
      </c>
      <c r="P4100" t="s">
        <v>19899</v>
      </c>
      <c r="Q4100" t="s">
        <v>19900</v>
      </c>
      <c r="R4100" t="s">
        <v>19905</v>
      </c>
      <c r="S4100" t="s">
        <v>19906</v>
      </c>
      <c r="T4100" t="s">
        <v>19911</v>
      </c>
    </row>
    <row r="4101" spans="2:20" x14ac:dyDescent="0.25">
      <c r="B4101" t="s">
        <v>2709</v>
      </c>
      <c r="C4101">
        <v>33011210</v>
      </c>
      <c r="E4101">
        <v>177.19</v>
      </c>
      <c r="F4101">
        <v>18</v>
      </c>
      <c r="G4101">
        <v>5</v>
      </c>
      <c r="H4101">
        <v>7.6</v>
      </c>
      <c r="I4101">
        <v>1.65</v>
      </c>
      <c r="J4101">
        <v>14</v>
      </c>
      <c r="L4101" t="s">
        <v>2709</v>
      </c>
      <c r="M4101">
        <v>33011210</v>
      </c>
      <c r="O4101" t="s">
        <v>19926</v>
      </c>
      <c r="P4101" t="s">
        <v>19899</v>
      </c>
      <c r="Q4101" t="s">
        <v>19909</v>
      </c>
      <c r="R4101" t="s">
        <v>19905</v>
      </c>
      <c r="S4101" t="s">
        <v>19906</v>
      </c>
      <c r="T4101" t="s">
        <v>19911</v>
      </c>
    </row>
    <row r="4102" spans="2:20" x14ac:dyDescent="0.25">
      <c r="B4102" t="s">
        <v>2709</v>
      </c>
      <c r="C4102">
        <v>33011290</v>
      </c>
      <c r="E4102">
        <v>177.19</v>
      </c>
      <c r="F4102">
        <v>18</v>
      </c>
      <c r="G4102">
        <v>5</v>
      </c>
      <c r="H4102">
        <v>7.6</v>
      </c>
      <c r="I4102">
        <v>1.65</v>
      </c>
      <c r="J4102">
        <v>14</v>
      </c>
      <c r="L4102" t="s">
        <v>2709</v>
      </c>
      <c r="M4102">
        <v>33011290</v>
      </c>
      <c r="O4102" t="s">
        <v>19926</v>
      </c>
      <c r="P4102" t="s">
        <v>19899</v>
      </c>
      <c r="Q4102" t="s">
        <v>19909</v>
      </c>
      <c r="R4102" t="s">
        <v>19905</v>
      </c>
      <c r="S4102" t="s">
        <v>19906</v>
      </c>
      <c r="T4102" t="s">
        <v>19911</v>
      </c>
    </row>
    <row r="4103" spans="2:20" x14ac:dyDescent="0.25">
      <c r="B4103" t="s">
        <v>2709</v>
      </c>
      <c r="C4103">
        <v>33011300</v>
      </c>
      <c r="E4103">
        <v>177.19</v>
      </c>
      <c r="F4103">
        <v>18</v>
      </c>
      <c r="G4103">
        <v>5</v>
      </c>
      <c r="H4103">
        <v>7.6</v>
      </c>
      <c r="I4103">
        <v>1.65</v>
      </c>
      <c r="J4103">
        <v>14</v>
      </c>
      <c r="L4103" t="s">
        <v>2709</v>
      </c>
      <c r="M4103">
        <v>33011300</v>
      </c>
      <c r="O4103" t="s">
        <v>19926</v>
      </c>
      <c r="P4103" t="s">
        <v>19899</v>
      </c>
      <c r="Q4103" t="s">
        <v>19909</v>
      </c>
      <c r="R4103" t="s">
        <v>19905</v>
      </c>
      <c r="S4103" t="s">
        <v>19906</v>
      </c>
      <c r="T4103" t="s">
        <v>19911</v>
      </c>
    </row>
    <row r="4104" spans="2:20" x14ac:dyDescent="0.25">
      <c r="B4104" t="s">
        <v>2709</v>
      </c>
      <c r="C4104">
        <v>33011910</v>
      </c>
      <c r="E4104">
        <v>177.19</v>
      </c>
      <c r="F4104">
        <v>18</v>
      </c>
      <c r="G4104">
        <v>5</v>
      </c>
      <c r="H4104">
        <v>7.6</v>
      </c>
      <c r="I4104">
        <v>1.65</v>
      </c>
      <c r="J4104">
        <v>14</v>
      </c>
      <c r="L4104" t="s">
        <v>2709</v>
      </c>
      <c r="M4104">
        <v>33011910</v>
      </c>
      <c r="O4104" t="s">
        <v>19926</v>
      </c>
      <c r="P4104" t="s">
        <v>19899</v>
      </c>
      <c r="Q4104" t="s">
        <v>19909</v>
      </c>
      <c r="R4104" t="s">
        <v>19905</v>
      </c>
      <c r="S4104" t="s">
        <v>19906</v>
      </c>
      <c r="T4104" t="s">
        <v>19911</v>
      </c>
    </row>
    <row r="4105" spans="2:20" x14ac:dyDescent="0.25">
      <c r="B4105" t="s">
        <v>2709</v>
      </c>
      <c r="C4105">
        <v>33011990</v>
      </c>
      <c r="E4105">
        <v>177.19</v>
      </c>
      <c r="F4105">
        <v>18</v>
      </c>
      <c r="G4105">
        <v>5</v>
      </c>
      <c r="H4105">
        <v>7.6</v>
      </c>
      <c r="I4105">
        <v>1.65</v>
      </c>
      <c r="J4105">
        <v>14</v>
      </c>
      <c r="L4105" t="s">
        <v>2709</v>
      </c>
      <c r="M4105">
        <v>33011990</v>
      </c>
      <c r="O4105" t="s">
        <v>19926</v>
      </c>
      <c r="P4105" t="s">
        <v>19899</v>
      </c>
      <c r="Q4105" t="s">
        <v>19909</v>
      </c>
      <c r="R4105" t="s">
        <v>19905</v>
      </c>
      <c r="S4105" t="s">
        <v>19906</v>
      </c>
      <c r="T4105" t="s">
        <v>19911</v>
      </c>
    </row>
    <row r="4106" spans="2:20" x14ac:dyDescent="0.25">
      <c r="B4106" t="s">
        <v>2709</v>
      </c>
      <c r="C4106">
        <v>33012400</v>
      </c>
      <c r="E4106">
        <v>177.19</v>
      </c>
      <c r="F4106">
        <v>18</v>
      </c>
      <c r="G4106">
        <v>5</v>
      </c>
      <c r="H4106">
        <v>7.6</v>
      </c>
      <c r="I4106">
        <v>1.65</v>
      </c>
      <c r="J4106">
        <v>14</v>
      </c>
      <c r="L4106" t="s">
        <v>2709</v>
      </c>
      <c r="M4106">
        <v>33012400</v>
      </c>
      <c r="O4106" t="s">
        <v>19926</v>
      </c>
      <c r="P4106" t="s">
        <v>19899</v>
      </c>
      <c r="Q4106" t="s">
        <v>19909</v>
      </c>
      <c r="R4106" t="s">
        <v>19905</v>
      </c>
      <c r="S4106" t="s">
        <v>19906</v>
      </c>
      <c r="T4106" t="s">
        <v>19911</v>
      </c>
    </row>
    <row r="4107" spans="2:20" x14ac:dyDescent="0.25">
      <c r="B4107" t="s">
        <v>2709</v>
      </c>
      <c r="C4107">
        <v>33012510</v>
      </c>
      <c r="E4107">
        <v>177.19</v>
      </c>
      <c r="F4107">
        <v>18</v>
      </c>
      <c r="G4107">
        <v>5</v>
      </c>
      <c r="H4107">
        <v>7.6</v>
      </c>
      <c r="I4107">
        <v>1.65</v>
      </c>
      <c r="J4107">
        <v>12</v>
      </c>
      <c r="L4107" t="s">
        <v>2709</v>
      </c>
      <c r="M4107">
        <v>33012510</v>
      </c>
      <c r="O4107" t="s">
        <v>19926</v>
      </c>
      <c r="P4107" t="s">
        <v>19899</v>
      </c>
      <c r="Q4107" t="s">
        <v>19909</v>
      </c>
      <c r="R4107" t="s">
        <v>19905</v>
      </c>
      <c r="S4107" t="s">
        <v>19906</v>
      </c>
      <c r="T4107" t="s">
        <v>19903</v>
      </c>
    </row>
    <row r="4108" spans="2:20" x14ac:dyDescent="0.25">
      <c r="B4108" t="s">
        <v>2709</v>
      </c>
      <c r="C4108">
        <v>33012520</v>
      </c>
      <c r="E4108">
        <v>177.19</v>
      </c>
      <c r="F4108">
        <v>18</v>
      </c>
      <c r="G4108">
        <v>5</v>
      </c>
      <c r="H4108">
        <v>7.6</v>
      </c>
      <c r="I4108">
        <v>1.65</v>
      </c>
      <c r="J4108">
        <v>2</v>
      </c>
      <c r="L4108" t="s">
        <v>2709</v>
      </c>
      <c r="M4108">
        <v>33012520</v>
      </c>
      <c r="O4108" t="s">
        <v>19926</v>
      </c>
      <c r="P4108" t="s">
        <v>19899</v>
      </c>
      <c r="Q4108" t="s">
        <v>19909</v>
      </c>
      <c r="R4108" t="s">
        <v>19905</v>
      </c>
      <c r="S4108" t="s">
        <v>19906</v>
      </c>
      <c r="T4108" t="s">
        <v>19901</v>
      </c>
    </row>
    <row r="4109" spans="2:20" x14ac:dyDescent="0.25">
      <c r="B4109" t="s">
        <v>2709</v>
      </c>
      <c r="C4109">
        <v>33012590</v>
      </c>
      <c r="E4109">
        <v>177.19</v>
      </c>
      <c r="F4109">
        <v>18</v>
      </c>
      <c r="G4109">
        <v>5</v>
      </c>
      <c r="H4109">
        <v>7.6</v>
      </c>
      <c r="I4109">
        <v>1.65</v>
      </c>
      <c r="J4109">
        <v>2</v>
      </c>
      <c r="L4109" t="s">
        <v>2709</v>
      </c>
      <c r="M4109">
        <v>33012590</v>
      </c>
      <c r="O4109" t="s">
        <v>19926</v>
      </c>
      <c r="P4109" t="s">
        <v>19899</v>
      </c>
      <c r="Q4109" t="s">
        <v>19909</v>
      </c>
      <c r="R4109" t="s">
        <v>19905</v>
      </c>
      <c r="S4109" t="s">
        <v>19906</v>
      </c>
      <c r="T4109" t="s">
        <v>19901</v>
      </c>
    </row>
    <row r="4110" spans="2:20" x14ac:dyDescent="0.25">
      <c r="B4110" t="s">
        <v>2709</v>
      </c>
      <c r="C4110">
        <v>33012911</v>
      </c>
      <c r="E4110">
        <v>177.19</v>
      </c>
      <c r="F4110">
        <v>18</v>
      </c>
      <c r="G4110">
        <v>5</v>
      </c>
      <c r="H4110">
        <v>7.6</v>
      </c>
      <c r="I4110">
        <v>1.65</v>
      </c>
      <c r="J4110">
        <v>14</v>
      </c>
      <c r="L4110" t="s">
        <v>2709</v>
      </c>
      <c r="M4110">
        <v>33012911</v>
      </c>
      <c r="O4110" t="s">
        <v>19926</v>
      </c>
      <c r="P4110" t="s">
        <v>19899</v>
      </c>
      <c r="Q4110" t="s">
        <v>19909</v>
      </c>
      <c r="R4110" t="s">
        <v>19905</v>
      </c>
      <c r="S4110" t="s">
        <v>19906</v>
      </c>
      <c r="T4110" t="s">
        <v>19911</v>
      </c>
    </row>
    <row r="4111" spans="2:20" x14ac:dyDescent="0.25">
      <c r="B4111" t="s">
        <v>2709</v>
      </c>
      <c r="C4111">
        <v>33012912</v>
      </c>
      <c r="E4111">
        <v>177.19</v>
      </c>
      <c r="F4111">
        <v>18</v>
      </c>
      <c r="G4111">
        <v>5</v>
      </c>
      <c r="H4111">
        <v>7.6</v>
      </c>
      <c r="I4111">
        <v>1.65</v>
      </c>
      <c r="J4111">
        <v>2</v>
      </c>
      <c r="L4111" t="s">
        <v>2709</v>
      </c>
      <c r="M4111">
        <v>33012912</v>
      </c>
      <c r="O4111" t="s">
        <v>19926</v>
      </c>
      <c r="P4111" t="s">
        <v>19899</v>
      </c>
      <c r="Q4111" t="s">
        <v>19909</v>
      </c>
      <c r="R4111" t="s">
        <v>19905</v>
      </c>
      <c r="S4111" t="s">
        <v>19906</v>
      </c>
      <c r="T4111" t="s">
        <v>19901</v>
      </c>
    </row>
    <row r="4112" spans="2:20" x14ac:dyDescent="0.25">
      <c r="B4112" t="s">
        <v>2709</v>
      </c>
      <c r="C4112">
        <v>33012913</v>
      </c>
      <c r="E4112">
        <v>177.19</v>
      </c>
      <c r="F4112">
        <v>18</v>
      </c>
      <c r="G4112">
        <v>5</v>
      </c>
      <c r="H4112">
        <v>7.6</v>
      </c>
      <c r="I4112">
        <v>1.65</v>
      </c>
      <c r="J4112">
        <v>14</v>
      </c>
      <c r="L4112" t="s">
        <v>2709</v>
      </c>
      <c r="M4112">
        <v>33012913</v>
      </c>
      <c r="O4112" t="s">
        <v>19926</v>
      </c>
      <c r="P4112" t="s">
        <v>19899</v>
      </c>
      <c r="Q4112" t="s">
        <v>19909</v>
      </c>
      <c r="R4112" t="s">
        <v>19905</v>
      </c>
      <c r="S4112" t="s">
        <v>19906</v>
      </c>
      <c r="T4112" t="s">
        <v>19911</v>
      </c>
    </row>
    <row r="4113" spans="2:20" x14ac:dyDescent="0.25">
      <c r="B4113" t="s">
        <v>2709</v>
      </c>
      <c r="C4113">
        <v>33012914</v>
      </c>
      <c r="E4113">
        <v>177.19</v>
      </c>
      <c r="F4113">
        <v>18</v>
      </c>
      <c r="G4113">
        <v>5</v>
      </c>
      <c r="H4113">
        <v>7.6</v>
      </c>
      <c r="I4113">
        <v>1.65</v>
      </c>
      <c r="J4113">
        <v>14</v>
      </c>
      <c r="L4113" t="s">
        <v>2709</v>
      </c>
      <c r="M4113">
        <v>33012914</v>
      </c>
      <c r="O4113" t="s">
        <v>19926</v>
      </c>
      <c r="P4113" t="s">
        <v>19899</v>
      </c>
      <c r="Q4113" t="s">
        <v>19909</v>
      </c>
      <c r="R4113" t="s">
        <v>19905</v>
      </c>
      <c r="S4113" t="s">
        <v>19906</v>
      </c>
      <c r="T4113" t="s">
        <v>19911</v>
      </c>
    </row>
    <row r="4114" spans="2:20" x14ac:dyDescent="0.25">
      <c r="B4114" t="s">
        <v>2709</v>
      </c>
      <c r="C4114">
        <v>33012915</v>
      </c>
      <c r="E4114">
        <v>177.19</v>
      </c>
      <c r="F4114">
        <v>18</v>
      </c>
      <c r="G4114">
        <v>5</v>
      </c>
      <c r="H4114">
        <v>7.6</v>
      </c>
      <c r="I4114">
        <v>1.65</v>
      </c>
      <c r="J4114">
        <v>14</v>
      </c>
      <c r="L4114" t="s">
        <v>2709</v>
      </c>
      <c r="M4114">
        <v>33012915</v>
      </c>
      <c r="O4114" t="s">
        <v>19926</v>
      </c>
      <c r="P4114" t="s">
        <v>19899</v>
      </c>
      <c r="Q4114" t="s">
        <v>19909</v>
      </c>
      <c r="R4114" t="s">
        <v>19905</v>
      </c>
      <c r="S4114" t="s">
        <v>19906</v>
      </c>
      <c r="T4114" t="s">
        <v>19911</v>
      </c>
    </row>
    <row r="4115" spans="2:20" x14ac:dyDescent="0.25">
      <c r="B4115" t="s">
        <v>2709</v>
      </c>
      <c r="C4115">
        <v>33012916</v>
      </c>
      <c r="E4115">
        <v>177.19</v>
      </c>
      <c r="F4115">
        <v>18</v>
      </c>
      <c r="G4115">
        <v>5</v>
      </c>
      <c r="H4115">
        <v>7.6</v>
      </c>
      <c r="I4115">
        <v>1.65</v>
      </c>
      <c r="J4115">
        <v>14</v>
      </c>
      <c r="L4115" t="s">
        <v>2709</v>
      </c>
      <c r="M4115">
        <v>33012916</v>
      </c>
      <c r="O4115" t="s">
        <v>19926</v>
      </c>
      <c r="P4115" t="s">
        <v>19899</v>
      </c>
      <c r="Q4115" t="s">
        <v>19909</v>
      </c>
      <c r="R4115" t="s">
        <v>19905</v>
      </c>
      <c r="S4115" t="s">
        <v>19906</v>
      </c>
      <c r="T4115" t="s">
        <v>19911</v>
      </c>
    </row>
    <row r="4116" spans="2:20" x14ac:dyDescent="0.25">
      <c r="B4116" t="s">
        <v>2709</v>
      </c>
      <c r="C4116">
        <v>33012917</v>
      </c>
      <c r="E4116">
        <v>177.19</v>
      </c>
      <c r="F4116">
        <v>18</v>
      </c>
      <c r="G4116">
        <v>5</v>
      </c>
      <c r="H4116">
        <v>7.6</v>
      </c>
      <c r="I4116">
        <v>1.65</v>
      </c>
      <c r="J4116">
        <v>14</v>
      </c>
      <c r="L4116" t="s">
        <v>2709</v>
      </c>
      <c r="M4116">
        <v>33012917</v>
      </c>
      <c r="O4116" t="s">
        <v>19926</v>
      </c>
      <c r="P4116" t="s">
        <v>19899</v>
      </c>
      <c r="Q4116" t="s">
        <v>19909</v>
      </c>
      <c r="R4116" t="s">
        <v>19905</v>
      </c>
      <c r="S4116" t="s">
        <v>19906</v>
      </c>
      <c r="T4116" t="s">
        <v>19911</v>
      </c>
    </row>
    <row r="4117" spans="2:20" x14ac:dyDescent="0.25">
      <c r="B4117" t="s">
        <v>2709</v>
      </c>
      <c r="C4117">
        <v>33012918</v>
      </c>
      <c r="E4117">
        <v>177.19</v>
      </c>
      <c r="F4117">
        <v>18</v>
      </c>
      <c r="G4117">
        <v>5</v>
      </c>
      <c r="H4117">
        <v>7.6</v>
      </c>
      <c r="I4117">
        <v>1.65</v>
      </c>
      <c r="J4117">
        <v>14</v>
      </c>
      <c r="L4117" t="s">
        <v>2709</v>
      </c>
      <c r="M4117">
        <v>33012918</v>
      </c>
      <c r="O4117" t="s">
        <v>19926</v>
      </c>
      <c r="P4117" t="s">
        <v>19899</v>
      </c>
      <c r="Q4117" t="s">
        <v>19909</v>
      </c>
      <c r="R4117" t="s">
        <v>19905</v>
      </c>
      <c r="S4117" t="s">
        <v>19906</v>
      </c>
      <c r="T4117" t="s">
        <v>19911</v>
      </c>
    </row>
    <row r="4118" spans="2:20" x14ac:dyDescent="0.25">
      <c r="B4118" t="s">
        <v>2709</v>
      </c>
      <c r="C4118">
        <v>33012919</v>
      </c>
      <c r="E4118">
        <v>177.19</v>
      </c>
      <c r="F4118">
        <v>18</v>
      </c>
      <c r="G4118">
        <v>5</v>
      </c>
      <c r="H4118">
        <v>7.6</v>
      </c>
      <c r="I4118">
        <v>1.65</v>
      </c>
      <c r="J4118">
        <v>12</v>
      </c>
      <c r="L4118" t="s">
        <v>2709</v>
      </c>
      <c r="M4118">
        <v>33012919</v>
      </c>
      <c r="O4118" t="s">
        <v>19926</v>
      </c>
      <c r="P4118" t="s">
        <v>19899</v>
      </c>
      <c r="Q4118" t="s">
        <v>19909</v>
      </c>
      <c r="R4118" t="s">
        <v>19905</v>
      </c>
      <c r="S4118" t="s">
        <v>19906</v>
      </c>
      <c r="T4118" t="s">
        <v>19903</v>
      </c>
    </row>
    <row r="4119" spans="2:20" x14ac:dyDescent="0.25">
      <c r="B4119" t="s">
        <v>2709</v>
      </c>
      <c r="C4119">
        <v>33012921</v>
      </c>
      <c r="E4119">
        <v>177.19</v>
      </c>
      <c r="F4119">
        <v>18</v>
      </c>
      <c r="G4119">
        <v>5</v>
      </c>
      <c r="H4119">
        <v>7.6</v>
      </c>
      <c r="I4119">
        <v>1.65</v>
      </c>
      <c r="J4119">
        <v>2</v>
      </c>
      <c r="L4119" t="s">
        <v>2709</v>
      </c>
      <c r="M4119">
        <v>33012921</v>
      </c>
      <c r="O4119" t="s">
        <v>19926</v>
      </c>
      <c r="P4119" t="s">
        <v>19899</v>
      </c>
      <c r="Q4119" t="s">
        <v>19909</v>
      </c>
      <c r="R4119" t="s">
        <v>19905</v>
      </c>
      <c r="S4119" t="s">
        <v>19906</v>
      </c>
      <c r="T4119" t="s">
        <v>19901</v>
      </c>
    </row>
    <row r="4120" spans="2:20" x14ac:dyDescent="0.25">
      <c r="B4120" t="s">
        <v>2709</v>
      </c>
      <c r="C4120">
        <v>33012922</v>
      </c>
      <c r="E4120">
        <v>177.19</v>
      </c>
      <c r="F4120">
        <v>18</v>
      </c>
      <c r="G4120">
        <v>5</v>
      </c>
      <c r="H4120">
        <v>7.6</v>
      </c>
      <c r="I4120">
        <v>1.65</v>
      </c>
      <c r="J4120">
        <v>14</v>
      </c>
      <c r="L4120" t="s">
        <v>2709</v>
      </c>
      <c r="M4120">
        <v>33012922</v>
      </c>
      <c r="O4120" t="s">
        <v>19926</v>
      </c>
      <c r="P4120" t="s">
        <v>19899</v>
      </c>
      <c r="Q4120" t="s">
        <v>19909</v>
      </c>
      <c r="R4120" t="s">
        <v>19905</v>
      </c>
      <c r="S4120" t="s">
        <v>19906</v>
      </c>
      <c r="T4120" t="s">
        <v>19911</v>
      </c>
    </row>
    <row r="4121" spans="2:20" x14ac:dyDescent="0.25">
      <c r="B4121" t="s">
        <v>2709</v>
      </c>
      <c r="C4121">
        <v>33012990</v>
      </c>
      <c r="E4121">
        <v>177.19</v>
      </c>
      <c r="F4121">
        <v>18</v>
      </c>
      <c r="G4121">
        <v>5</v>
      </c>
      <c r="H4121">
        <v>7.6</v>
      </c>
      <c r="I4121">
        <v>1.65</v>
      </c>
      <c r="J4121">
        <v>2</v>
      </c>
      <c r="L4121" t="s">
        <v>2709</v>
      </c>
      <c r="M4121">
        <v>33012990</v>
      </c>
      <c r="O4121" t="s">
        <v>19926</v>
      </c>
      <c r="P4121" t="s">
        <v>19899</v>
      </c>
      <c r="Q4121" t="s">
        <v>19909</v>
      </c>
      <c r="R4121" t="s">
        <v>19905</v>
      </c>
      <c r="S4121" t="s">
        <v>19906</v>
      </c>
      <c r="T4121" t="s">
        <v>19901</v>
      </c>
    </row>
    <row r="4122" spans="2:20" x14ac:dyDescent="0.25">
      <c r="B4122" t="s">
        <v>2709</v>
      </c>
      <c r="C4122">
        <v>33013000</v>
      </c>
      <c r="E4122">
        <v>177.19</v>
      </c>
      <c r="F4122">
        <v>18</v>
      </c>
      <c r="G4122">
        <v>5</v>
      </c>
      <c r="H4122">
        <v>7.6</v>
      </c>
      <c r="I4122">
        <v>1.65</v>
      </c>
      <c r="J4122">
        <v>2</v>
      </c>
      <c r="L4122" t="s">
        <v>2709</v>
      </c>
      <c r="M4122">
        <v>33013000</v>
      </c>
      <c r="O4122" t="s">
        <v>19926</v>
      </c>
      <c r="P4122" t="s">
        <v>19899</v>
      </c>
      <c r="Q4122" t="s">
        <v>19909</v>
      </c>
      <c r="R4122" t="s">
        <v>19905</v>
      </c>
      <c r="S4122" t="s">
        <v>19906</v>
      </c>
      <c r="T4122" t="s">
        <v>19901</v>
      </c>
    </row>
    <row r="4123" spans="2:20" x14ac:dyDescent="0.25">
      <c r="B4123" t="s">
        <v>2709</v>
      </c>
      <c r="C4123">
        <v>33019010</v>
      </c>
      <c r="E4123">
        <v>177.19</v>
      </c>
      <c r="F4123">
        <v>18</v>
      </c>
      <c r="G4123">
        <v>5</v>
      </c>
      <c r="H4123">
        <v>7.6</v>
      </c>
      <c r="I4123">
        <v>1.65</v>
      </c>
      <c r="J4123">
        <v>14</v>
      </c>
      <c r="L4123" t="s">
        <v>2709</v>
      </c>
      <c r="M4123">
        <v>33019010</v>
      </c>
      <c r="O4123" t="s">
        <v>19926</v>
      </c>
      <c r="P4123" t="s">
        <v>19899</v>
      </c>
      <c r="Q4123" t="s">
        <v>19909</v>
      </c>
      <c r="R4123" t="s">
        <v>19905</v>
      </c>
      <c r="S4123" t="s">
        <v>19906</v>
      </c>
      <c r="T4123" t="s">
        <v>19911</v>
      </c>
    </row>
    <row r="4124" spans="2:20" x14ac:dyDescent="0.25">
      <c r="B4124" t="s">
        <v>2709</v>
      </c>
      <c r="C4124">
        <v>33019020</v>
      </c>
      <c r="E4124">
        <v>177.19</v>
      </c>
      <c r="F4124">
        <v>18</v>
      </c>
      <c r="G4124">
        <v>5</v>
      </c>
      <c r="H4124">
        <v>7.6</v>
      </c>
      <c r="I4124">
        <v>1.65</v>
      </c>
      <c r="J4124">
        <v>14</v>
      </c>
      <c r="L4124" t="s">
        <v>2709</v>
      </c>
      <c r="M4124">
        <v>33019020</v>
      </c>
      <c r="O4124" t="s">
        <v>19926</v>
      </c>
      <c r="P4124" t="s">
        <v>19899</v>
      </c>
      <c r="Q4124" t="s">
        <v>19909</v>
      </c>
      <c r="R4124" t="s">
        <v>19905</v>
      </c>
      <c r="S4124" t="s">
        <v>19906</v>
      </c>
      <c r="T4124" t="s">
        <v>19911</v>
      </c>
    </row>
    <row r="4125" spans="2:20" x14ac:dyDescent="0.25">
      <c r="B4125" t="s">
        <v>2709</v>
      </c>
      <c r="C4125">
        <v>33019030</v>
      </c>
      <c r="E4125">
        <v>177.19</v>
      </c>
      <c r="F4125">
        <v>18</v>
      </c>
      <c r="G4125">
        <v>5</v>
      </c>
      <c r="H4125">
        <v>7.6</v>
      </c>
      <c r="I4125">
        <v>1.65</v>
      </c>
      <c r="J4125">
        <v>14</v>
      </c>
      <c r="L4125" t="s">
        <v>2709</v>
      </c>
      <c r="M4125">
        <v>33019030</v>
      </c>
      <c r="O4125" t="s">
        <v>19926</v>
      </c>
      <c r="P4125" t="s">
        <v>19899</v>
      </c>
      <c r="Q4125" t="s">
        <v>19909</v>
      </c>
      <c r="R4125" t="s">
        <v>19905</v>
      </c>
      <c r="S4125" t="s">
        <v>19906</v>
      </c>
      <c r="T4125" t="s">
        <v>19911</v>
      </c>
    </row>
    <row r="4126" spans="2:20" x14ac:dyDescent="0.25">
      <c r="B4126" t="s">
        <v>2709</v>
      </c>
      <c r="C4126">
        <v>33019040</v>
      </c>
      <c r="E4126">
        <v>177.19</v>
      </c>
      <c r="F4126">
        <v>18</v>
      </c>
      <c r="G4126">
        <v>5</v>
      </c>
      <c r="H4126">
        <v>7.6</v>
      </c>
      <c r="I4126">
        <v>1.65</v>
      </c>
      <c r="J4126">
        <v>8</v>
      </c>
      <c r="L4126" t="s">
        <v>2709</v>
      </c>
      <c r="M4126">
        <v>33019040</v>
      </c>
      <c r="O4126" t="s">
        <v>19926</v>
      </c>
      <c r="P4126" t="s">
        <v>19899</v>
      </c>
      <c r="Q4126" t="s">
        <v>19909</v>
      </c>
      <c r="R4126" t="s">
        <v>19905</v>
      </c>
      <c r="S4126" t="s">
        <v>19906</v>
      </c>
      <c r="T4126" t="s">
        <v>19918</v>
      </c>
    </row>
    <row r="4127" spans="2:20" x14ac:dyDescent="0.25">
      <c r="B4127" t="s">
        <v>2709</v>
      </c>
      <c r="C4127">
        <v>33021000</v>
      </c>
      <c r="E4127">
        <v>177.19</v>
      </c>
      <c r="F4127">
        <v>18</v>
      </c>
      <c r="G4127">
        <v>5</v>
      </c>
      <c r="H4127">
        <v>7.6</v>
      </c>
      <c r="I4127">
        <v>1.65</v>
      </c>
      <c r="J4127">
        <v>14</v>
      </c>
      <c r="L4127" t="s">
        <v>2709</v>
      </c>
      <c r="M4127">
        <v>33021000</v>
      </c>
      <c r="O4127" t="s">
        <v>19926</v>
      </c>
      <c r="P4127" t="s">
        <v>19899</v>
      </c>
      <c r="Q4127" t="s">
        <v>19909</v>
      </c>
      <c r="R4127" t="s">
        <v>19905</v>
      </c>
      <c r="S4127" t="s">
        <v>19906</v>
      </c>
      <c r="T4127" t="s">
        <v>19911</v>
      </c>
    </row>
    <row r="4128" spans="2:20" x14ac:dyDescent="0.25">
      <c r="B4128" t="s">
        <v>2709</v>
      </c>
      <c r="C4128">
        <v>33029011</v>
      </c>
      <c r="E4128">
        <v>177.19</v>
      </c>
      <c r="F4128">
        <v>18</v>
      </c>
      <c r="G4128">
        <v>5</v>
      </c>
      <c r="H4128">
        <v>7.6</v>
      </c>
      <c r="I4128">
        <v>1.65</v>
      </c>
      <c r="J4128">
        <v>14</v>
      </c>
      <c r="L4128" t="s">
        <v>2709</v>
      </c>
      <c r="M4128">
        <v>33029011</v>
      </c>
      <c r="O4128" t="s">
        <v>19926</v>
      </c>
      <c r="P4128" t="s">
        <v>19899</v>
      </c>
      <c r="Q4128" t="s">
        <v>19909</v>
      </c>
      <c r="R4128" t="s">
        <v>19905</v>
      </c>
      <c r="S4128" t="s">
        <v>19906</v>
      </c>
      <c r="T4128" t="s">
        <v>19911</v>
      </c>
    </row>
    <row r="4129" spans="2:20" x14ac:dyDescent="0.25">
      <c r="B4129" t="s">
        <v>2709</v>
      </c>
      <c r="C4129">
        <v>33029019</v>
      </c>
      <c r="E4129">
        <v>177.19</v>
      </c>
      <c r="F4129">
        <v>18</v>
      </c>
      <c r="G4129">
        <v>5</v>
      </c>
      <c r="H4129">
        <v>7.6</v>
      </c>
      <c r="I4129">
        <v>1.65</v>
      </c>
      <c r="J4129">
        <v>14</v>
      </c>
      <c r="L4129" t="s">
        <v>2709</v>
      </c>
      <c r="M4129">
        <v>33029019</v>
      </c>
      <c r="O4129" t="s">
        <v>19926</v>
      </c>
      <c r="P4129" t="s">
        <v>19899</v>
      </c>
      <c r="Q4129" t="s">
        <v>19909</v>
      </c>
      <c r="R4129" t="s">
        <v>19905</v>
      </c>
      <c r="S4129" t="s">
        <v>19906</v>
      </c>
      <c r="T4129" t="s">
        <v>19911</v>
      </c>
    </row>
    <row r="4130" spans="2:20" x14ac:dyDescent="0.25">
      <c r="B4130" t="s">
        <v>2709</v>
      </c>
      <c r="C4130">
        <v>33029090</v>
      </c>
      <c r="E4130">
        <v>177.19</v>
      </c>
      <c r="F4130">
        <v>18</v>
      </c>
      <c r="G4130">
        <v>5</v>
      </c>
      <c r="H4130">
        <v>7.6</v>
      </c>
      <c r="I4130">
        <v>1.65</v>
      </c>
      <c r="J4130">
        <v>14</v>
      </c>
      <c r="L4130" t="s">
        <v>2709</v>
      </c>
      <c r="M4130">
        <v>33029090</v>
      </c>
      <c r="O4130" t="s">
        <v>19926</v>
      </c>
      <c r="P4130" t="s">
        <v>19899</v>
      </c>
      <c r="Q4130" t="s">
        <v>19909</v>
      </c>
      <c r="R4130" t="s">
        <v>19905</v>
      </c>
      <c r="S4130" t="s">
        <v>19906</v>
      </c>
      <c r="T4130" t="s">
        <v>19911</v>
      </c>
    </row>
    <row r="4131" spans="2:20" x14ac:dyDescent="0.25">
      <c r="B4131" t="s">
        <v>2709</v>
      </c>
      <c r="C4131">
        <v>33030010</v>
      </c>
      <c r="E4131">
        <v>177.19</v>
      </c>
      <c r="F4131">
        <v>25</v>
      </c>
      <c r="G4131">
        <v>42</v>
      </c>
      <c r="H4131">
        <v>10.3</v>
      </c>
      <c r="I4131">
        <v>2.2000000000000002</v>
      </c>
      <c r="J4131">
        <v>18</v>
      </c>
      <c r="L4131" t="s">
        <v>2709</v>
      </c>
      <c r="M4131">
        <v>33030010</v>
      </c>
      <c r="O4131" t="s">
        <v>19926</v>
      </c>
      <c r="P4131" t="s">
        <v>19982</v>
      </c>
      <c r="Q4131" t="s">
        <v>20041</v>
      </c>
      <c r="R4131" t="s">
        <v>20042</v>
      </c>
      <c r="S4131" t="s">
        <v>20043</v>
      </c>
      <c r="T4131" t="s">
        <v>19899</v>
      </c>
    </row>
    <row r="4132" spans="2:20" x14ac:dyDescent="0.25">
      <c r="B4132" t="s">
        <v>2709</v>
      </c>
      <c r="C4132">
        <v>33030020</v>
      </c>
      <c r="E4132">
        <v>177.19</v>
      </c>
      <c r="F4132">
        <v>18</v>
      </c>
      <c r="G4132">
        <v>12</v>
      </c>
      <c r="H4132">
        <v>10.3</v>
      </c>
      <c r="I4132">
        <v>2.2000000000000002</v>
      </c>
      <c r="J4132">
        <v>18</v>
      </c>
      <c r="L4132" t="s">
        <v>2709</v>
      </c>
      <c r="M4132">
        <v>33030020</v>
      </c>
      <c r="O4132" t="s">
        <v>19926</v>
      </c>
      <c r="P4132" t="s">
        <v>19899</v>
      </c>
      <c r="Q4132" t="s">
        <v>19903</v>
      </c>
      <c r="R4132" t="s">
        <v>20042</v>
      </c>
      <c r="S4132" t="s">
        <v>20043</v>
      </c>
      <c r="T4132" t="s">
        <v>19899</v>
      </c>
    </row>
    <row r="4133" spans="2:20" x14ac:dyDescent="0.25">
      <c r="B4133" t="s">
        <v>2709</v>
      </c>
      <c r="C4133">
        <v>33041000</v>
      </c>
      <c r="E4133">
        <v>177.19</v>
      </c>
      <c r="F4133">
        <v>25</v>
      </c>
      <c r="G4133">
        <v>22</v>
      </c>
      <c r="H4133">
        <v>10.3</v>
      </c>
      <c r="I4133">
        <v>2.2000000000000002</v>
      </c>
      <c r="J4133">
        <v>18</v>
      </c>
      <c r="L4133" t="s">
        <v>2709</v>
      </c>
      <c r="M4133">
        <v>33041000</v>
      </c>
      <c r="O4133" t="s">
        <v>19926</v>
      </c>
      <c r="P4133" t="s">
        <v>19982</v>
      </c>
      <c r="Q4133" t="s">
        <v>20044</v>
      </c>
      <c r="R4133" t="s">
        <v>20042</v>
      </c>
      <c r="S4133" t="s">
        <v>20043</v>
      </c>
      <c r="T4133" t="s">
        <v>19899</v>
      </c>
    </row>
    <row r="4134" spans="2:20" x14ac:dyDescent="0.25">
      <c r="B4134" t="s">
        <v>2709</v>
      </c>
      <c r="C4134">
        <v>33042010</v>
      </c>
      <c r="E4134">
        <v>177.19</v>
      </c>
      <c r="F4134">
        <v>25</v>
      </c>
      <c r="G4134">
        <v>22</v>
      </c>
      <c r="H4134">
        <v>10.3</v>
      </c>
      <c r="I4134">
        <v>2.2000000000000002</v>
      </c>
      <c r="J4134">
        <v>18</v>
      </c>
      <c r="L4134" t="s">
        <v>2709</v>
      </c>
      <c r="M4134">
        <v>33042010</v>
      </c>
      <c r="O4134" t="s">
        <v>19926</v>
      </c>
      <c r="P4134" t="s">
        <v>19982</v>
      </c>
      <c r="Q4134" t="s">
        <v>20044</v>
      </c>
      <c r="R4134" t="s">
        <v>20042</v>
      </c>
      <c r="S4134" t="s">
        <v>20043</v>
      </c>
      <c r="T4134" t="s">
        <v>19899</v>
      </c>
    </row>
    <row r="4135" spans="2:20" x14ac:dyDescent="0.25">
      <c r="B4135" t="s">
        <v>2709</v>
      </c>
      <c r="C4135">
        <v>33042090</v>
      </c>
      <c r="E4135">
        <v>177.19</v>
      </c>
      <c r="F4135">
        <v>25</v>
      </c>
      <c r="G4135">
        <v>22</v>
      </c>
      <c r="H4135">
        <v>10.3</v>
      </c>
      <c r="I4135">
        <v>2.2000000000000002</v>
      </c>
      <c r="J4135">
        <v>18</v>
      </c>
      <c r="L4135" t="s">
        <v>2709</v>
      </c>
      <c r="M4135">
        <v>33042090</v>
      </c>
      <c r="O4135" t="s">
        <v>19926</v>
      </c>
      <c r="P4135" t="s">
        <v>19982</v>
      </c>
      <c r="Q4135" t="s">
        <v>20044</v>
      </c>
      <c r="R4135" t="s">
        <v>20042</v>
      </c>
      <c r="S4135" t="s">
        <v>20043</v>
      </c>
      <c r="T4135" t="s">
        <v>19899</v>
      </c>
    </row>
    <row r="4136" spans="2:20" x14ac:dyDescent="0.25">
      <c r="B4136" t="s">
        <v>2709</v>
      </c>
      <c r="C4136">
        <v>33043000</v>
      </c>
      <c r="E4136">
        <v>177.19</v>
      </c>
      <c r="F4136">
        <v>25</v>
      </c>
      <c r="G4136">
        <v>22</v>
      </c>
      <c r="H4136">
        <v>10.3</v>
      </c>
      <c r="I4136">
        <v>2.2000000000000002</v>
      </c>
      <c r="J4136">
        <v>18</v>
      </c>
      <c r="L4136" t="s">
        <v>2709</v>
      </c>
      <c r="M4136">
        <v>33043000</v>
      </c>
      <c r="O4136" t="s">
        <v>19926</v>
      </c>
      <c r="P4136" t="s">
        <v>19982</v>
      </c>
      <c r="Q4136" t="s">
        <v>20044</v>
      </c>
      <c r="R4136" t="s">
        <v>20042</v>
      </c>
      <c r="S4136" t="s">
        <v>20043</v>
      </c>
      <c r="T4136" t="s">
        <v>19899</v>
      </c>
    </row>
    <row r="4137" spans="2:20" x14ac:dyDescent="0.25">
      <c r="B4137" t="s">
        <v>2709</v>
      </c>
      <c r="C4137">
        <v>33049100</v>
      </c>
      <c r="E4137">
        <v>177.19</v>
      </c>
      <c r="F4137">
        <v>25</v>
      </c>
      <c r="G4137">
        <v>22</v>
      </c>
      <c r="H4137">
        <v>10.3</v>
      </c>
      <c r="I4137">
        <v>2.2000000000000002</v>
      </c>
      <c r="J4137">
        <v>18</v>
      </c>
      <c r="L4137" t="s">
        <v>2709</v>
      </c>
      <c r="M4137">
        <v>33049100</v>
      </c>
      <c r="O4137" t="s">
        <v>19926</v>
      </c>
      <c r="P4137" t="s">
        <v>19982</v>
      </c>
      <c r="Q4137" t="s">
        <v>20044</v>
      </c>
      <c r="R4137" t="s">
        <v>20042</v>
      </c>
      <c r="S4137" t="s">
        <v>20043</v>
      </c>
      <c r="T4137" t="s">
        <v>19899</v>
      </c>
    </row>
    <row r="4138" spans="2:20" x14ac:dyDescent="0.25">
      <c r="B4138" t="s">
        <v>2709</v>
      </c>
      <c r="C4138">
        <v>33049100</v>
      </c>
      <c r="D4138">
        <v>1</v>
      </c>
      <c r="E4138" t="s">
        <v>19447</v>
      </c>
      <c r="F4138">
        <v>18</v>
      </c>
      <c r="G4138">
        <v>12</v>
      </c>
      <c r="H4138">
        <v>7.6</v>
      </c>
      <c r="I4138">
        <v>1.65</v>
      </c>
      <c r="J4138">
        <v>18</v>
      </c>
      <c r="L4138" t="s">
        <v>2709</v>
      </c>
      <c r="M4138">
        <v>33049100</v>
      </c>
      <c r="N4138">
        <v>1</v>
      </c>
      <c r="O4138" t="s">
        <v>19447</v>
      </c>
      <c r="P4138" t="s">
        <v>19899</v>
      </c>
      <c r="Q4138" t="s">
        <v>19903</v>
      </c>
      <c r="R4138" t="s">
        <v>19905</v>
      </c>
      <c r="S4138" t="s">
        <v>19906</v>
      </c>
      <c r="T4138" t="s">
        <v>19899</v>
      </c>
    </row>
    <row r="4139" spans="2:20" x14ac:dyDescent="0.25">
      <c r="B4139" t="s">
        <v>2709</v>
      </c>
      <c r="C4139">
        <v>33049910</v>
      </c>
      <c r="E4139">
        <v>177.19</v>
      </c>
      <c r="F4139">
        <v>25</v>
      </c>
      <c r="G4139">
        <v>22</v>
      </c>
      <c r="H4139">
        <v>10.3</v>
      </c>
      <c r="I4139">
        <v>2.2000000000000002</v>
      </c>
      <c r="J4139">
        <v>18</v>
      </c>
      <c r="L4139" t="s">
        <v>2709</v>
      </c>
      <c r="M4139">
        <v>33049910</v>
      </c>
      <c r="O4139" t="s">
        <v>19926</v>
      </c>
      <c r="P4139" t="s">
        <v>19982</v>
      </c>
      <c r="Q4139" t="s">
        <v>20044</v>
      </c>
      <c r="R4139" t="s">
        <v>20042</v>
      </c>
      <c r="S4139" t="s">
        <v>20043</v>
      </c>
      <c r="T4139" t="s">
        <v>19899</v>
      </c>
    </row>
    <row r="4140" spans="2:20" x14ac:dyDescent="0.25">
      <c r="B4140" t="s">
        <v>2709</v>
      </c>
      <c r="C4140">
        <v>33049990</v>
      </c>
      <c r="E4140">
        <v>177.19</v>
      </c>
      <c r="F4140">
        <v>25</v>
      </c>
      <c r="G4140">
        <v>22</v>
      </c>
      <c r="H4140">
        <v>10.3</v>
      </c>
      <c r="I4140">
        <v>2.2000000000000002</v>
      </c>
      <c r="J4140">
        <v>18</v>
      </c>
      <c r="L4140" t="s">
        <v>2709</v>
      </c>
      <c r="M4140">
        <v>33049990</v>
      </c>
      <c r="O4140" t="s">
        <v>19926</v>
      </c>
      <c r="P4140" t="s">
        <v>19982</v>
      </c>
      <c r="Q4140" t="s">
        <v>20044</v>
      </c>
      <c r="R4140" t="s">
        <v>20042</v>
      </c>
      <c r="S4140" t="s">
        <v>20043</v>
      </c>
      <c r="T4140" t="s">
        <v>19899</v>
      </c>
    </row>
    <row r="4141" spans="2:20" x14ac:dyDescent="0.25">
      <c r="B4141" t="s">
        <v>2709</v>
      </c>
      <c r="C4141">
        <v>33049990</v>
      </c>
      <c r="D4141">
        <v>1</v>
      </c>
      <c r="E4141" t="s">
        <v>19447</v>
      </c>
      <c r="F4141">
        <v>18</v>
      </c>
      <c r="G4141">
        <v>12</v>
      </c>
      <c r="H4141">
        <v>7.6</v>
      </c>
      <c r="I4141">
        <v>1.65</v>
      </c>
      <c r="J4141">
        <v>18</v>
      </c>
      <c r="L4141" t="s">
        <v>2709</v>
      </c>
      <c r="M4141">
        <v>33049990</v>
      </c>
      <c r="N4141">
        <v>1</v>
      </c>
      <c r="O4141" t="s">
        <v>19447</v>
      </c>
      <c r="P4141" t="s">
        <v>19899</v>
      </c>
      <c r="Q4141" t="s">
        <v>19903</v>
      </c>
      <c r="R4141" t="s">
        <v>19905</v>
      </c>
      <c r="S4141" t="s">
        <v>19906</v>
      </c>
      <c r="T4141" t="s">
        <v>19899</v>
      </c>
    </row>
    <row r="4142" spans="2:20" x14ac:dyDescent="0.25">
      <c r="B4142" t="s">
        <v>2709</v>
      </c>
      <c r="C4142">
        <v>33049990</v>
      </c>
      <c r="D4142">
        <v>2</v>
      </c>
      <c r="E4142" t="s">
        <v>19447</v>
      </c>
      <c r="F4142">
        <v>18</v>
      </c>
      <c r="G4142">
        <v>0</v>
      </c>
      <c r="H4142">
        <v>7.6</v>
      </c>
      <c r="I4142">
        <v>1.65</v>
      </c>
      <c r="J4142">
        <v>18</v>
      </c>
      <c r="L4142" t="s">
        <v>2709</v>
      </c>
      <c r="M4142">
        <v>33049990</v>
      </c>
      <c r="N4142">
        <v>2</v>
      </c>
      <c r="O4142" t="s">
        <v>19447</v>
      </c>
      <c r="P4142" t="s">
        <v>19899</v>
      </c>
      <c r="Q4142" t="s">
        <v>19900</v>
      </c>
      <c r="R4142" t="s">
        <v>19905</v>
      </c>
      <c r="S4142" t="s">
        <v>19906</v>
      </c>
      <c r="T4142" t="s">
        <v>19899</v>
      </c>
    </row>
    <row r="4143" spans="2:20" x14ac:dyDescent="0.25">
      <c r="B4143" t="s">
        <v>2709</v>
      </c>
      <c r="C4143">
        <v>33051000</v>
      </c>
      <c r="E4143">
        <v>177.19</v>
      </c>
      <c r="F4143">
        <v>25</v>
      </c>
      <c r="G4143">
        <v>7</v>
      </c>
      <c r="H4143">
        <v>10.3</v>
      </c>
      <c r="I4143">
        <v>2.2000000000000002</v>
      </c>
      <c r="J4143">
        <v>18</v>
      </c>
      <c r="L4143" t="s">
        <v>2709</v>
      </c>
      <c r="M4143">
        <v>33051000</v>
      </c>
      <c r="O4143" t="s">
        <v>19926</v>
      </c>
      <c r="P4143" t="s">
        <v>19982</v>
      </c>
      <c r="Q4143" t="s">
        <v>19908</v>
      </c>
      <c r="R4143" t="s">
        <v>20042</v>
      </c>
      <c r="S4143" t="s">
        <v>20043</v>
      </c>
      <c r="T4143" t="s">
        <v>19899</v>
      </c>
    </row>
    <row r="4144" spans="2:20" x14ac:dyDescent="0.25">
      <c r="B4144" t="s">
        <v>2709</v>
      </c>
      <c r="C4144">
        <v>33052000</v>
      </c>
      <c r="E4144">
        <v>177.19</v>
      </c>
      <c r="F4144">
        <v>25</v>
      </c>
      <c r="G4144">
        <v>22</v>
      </c>
      <c r="H4144">
        <v>10.3</v>
      </c>
      <c r="I4144">
        <v>2.2000000000000002</v>
      </c>
      <c r="J4144">
        <v>18</v>
      </c>
      <c r="L4144" t="s">
        <v>2709</v>
      </c>
      <c r="M4144">
        <v>33052000</v>
      </c>
      <c r="O4144" t="s">
        <v>19926</v>
      </c>
      <c r="P4144" t="s">
        <v>19982</v>
      </c>
      <c r="Q4144" t="s">
        <v>20044</v>
      </c>
      <c r="R4144" t="s">
        <v>20042</v>
      </c>
      <c r="S4144" t="s">
        <v>20043</v>
      </c>
      <c r="T4144" t="s">
        <v>19899</v>
      </c>
    </row>
    <row r="4145" spans="2:20" x14ac:dyDescent="0.25">
      <c r="B4145" t="s">
        <v>2709</v>
      </c>
      <c r="C4145">
        <v>33053000</v>
      </c>
      <c r="E4145">
        <v>177.19</v>
      </c>
      <c r="F4145">
        <v>25</v>
      </c>
      <c r="G4145">
        <v>22</v>
      </c>
      <c r="H4145">
        <v>10.3</v>
      </c>
      <c r="I4145">
        <v>2.2000000000000002</v>
      </c>
      <c r="J4145">
        <v>18</v>
      </c>
      <c r="L4145" t="s">
        <v>2709</v>
      </c>
      <c r="M4145">
        <v>33053000</v>
      </c>
      <c r="O4145" t="s">
        <v>19926</v>
      </c>
      <c r="P4145" t="s">
        <v>19982</v>
      </c>
      <c r="Q4145" t="s">
        <v>20044</v>
      </c>
      <c r="R4145" t="s">
        <v>20042</v>
      </c>
      <c r="S4145" t="s">
        <v>20043</v>
      </c>
      <c r="T4145" t="s">
        <v>19899</v>
      </c>
    </row>
    <row r="4146" spans="2:20" x14ac:dyDescent="0.25">
      <c r="B4146" t="s">
        <v>2709</v>
      </c>
      <c r="C4146">
        <v>33059000</v>
      </c>
      <c r="E4146">
        <v>177.19</v>
      </c>
      <c r="F4146">
        <v>25</v>
      </c>
      <c r="G4146">
        <v>22</v>
      </c>
      <c r="H4146">
        <v>10.3</v>
      </c>
      <c r="I4146">
        <v>2.2000000000000002</v>
      </c>
      <c r="J4146">
        <v>18</v>
      </c>
      <c r="L4146" t="s">
        <v>2709</v>
      </c>
      <c r="M4146">
        <v>33059000</v>
      </c>
      <c r="O4146" t="s">
        <v>19926</v>
      </c>
      <c r="P4146" t="s">
        <v>19982</v>
      </c>
      <c r="Q4146" t="s">
        <v>20044</v>
      </c>
      <c r="R4146" t="s">
        <v>20042</v>
      </c>
      <c r="S4146" t="s">
        <v>20043</v>
      </c>
      <c r="T4146" t="s">
        <v>19899</v>
      </c>
    </row>
    <row r="4147" spans="2:20" x14ac:dyDescent="0.25">
      <c r="B4147" t="s">
        <v>2709</v>
      </c>
      <c r="C4147">
        <v>33059000</v>
      </c>
      <c r="D4147">
        <v>1</v>
      </c>
      <c r="E4147" t="s">
        <v>19447</v>
      </c>
      <c r="F4147">
        <v>18</v>
      </c>
      <c r="G4147">
        <v>7</v>
      </c>
      <c r="H4147">
        <v>7.6</v>
      </c>
      <c r="I4147">
        <v>1.65</v>
      </c>
      <c r="J4147">
        <v>18</v>
      </c>
      <c r="L4147" t="s">
        <v>2709</v>
      </c>
      <c r="M4147">
        <v>33059000</v>
      </c>
      <c r="N4147">
        <v>1</v>
      </c>
      <c r="O4147" t="s">
        <v>19447</v>
      </c>
      <c r="P4147" t="s">
        <v>19899</v>
      </c>
      <c r="Q4147" t="s">
        <v>19908</v>
      </c>
      <c r="R4147" t="s">
        <v>19905</v>
      </c>
      <c r="S4147" t="s">
        <v>19906</v>
      </c>
      <c r="T4147" t="s">
        <v>19899</v>
      </c>
    </row>
    <row r="4148" spans="2:20" x14ac:dyDescent="0.25">
      <c r="B4148" t="s">
        <v>2709</v>
      </c>
      <c r="C4148">
        <v>33061000</v>
      </c>
      <c r="E4148">
        <v>177.19</v>
      </c>
      <c r="F4148">
        <v>12</v>
      </c>
      <c r="G4148">
        <v>0</v>
      </c>
      <c r="H4148" t="s">
        <v>19447</v>
      </c>
      <c r="I4148" t="s">
        <v>19447</v>
      </c>
      <c r="J4148">
        <v>18</v>
      </c>
      <c r="L4148" t="s">
        <v>2709</v>
      </c>
      <c r="M4148">
        <v>33061000</v>
      </c>
      <c r="O4148" t="s">
        <v>19926</v>
      </c>
      <c r="P4148" t="s">
        <v>19903</v>
      </c>
      <c r="Q4148" t="s">
        <v>19900</v>
      </c>
      <c r="R4148" t="s">
        <v>19447</v>
      </c>
      <c r="S4148" t="s">
        <v>19447</v>
      </c>
      <c r="T4148" t="s">
        <v>19899</v>
      </c>
    </row>
    <row r="4149" spans="2:20" x14ac:dyDescent="0.25">
      <c r="B4149" t="s">
        <v>2709</v>
      </c>
      <c r="C4149">
        <v>33062000</v>
      </c>
      <c r="E4149">
        <v>177.19</v>
      </c>
      <c r="F4149">
        <v>18</v>
      </c>
      <c r="G4149">
        <v>0</v>
      </c>
      <c r="H4149" t="s">
        <v>19447</v>
      </c>
      <c r="I4149" t="s">
        <v>19447</v>
      </c>
      <c r="J4149">
        <v>16</v>
      </c>
      <c r="L4149" t="s">
        <v>2709</v>
      </c>
      <c r="M4149">
        <v>33062000</v>
      </c>
      <c r="O4149" t="s">
        <v>19926</v>
      </c>
      <c r="P4149" t="s">
        <v>19899</v>
      </c>
      <c r="Q4149" t="s">
        <v>19900</v>
      </c>
      <c r="R4149" t="s">
        <v>19447</v>
      </c>
      <c r="S4149" t="s">
        <v>19447</v>
      </c>
      <c r="T4149" t="s">
        <v>19913</v>
      </c>
    </row>
    <row r="4150" spans="2:20" x14ac:dyDescent="0.25">
      <c r="B4150" t="s">
        <v>2709</v>
      </c>
      <c r="C4150">
        <v>33069000</v>
      </c>
      <c r="E4150">
        <v>177.19</v>
      </c>
      <c r="F4150">
        <v>18</v>
      </c>
      <c r="G4150">
        <v>0</v>
      </c>
      <c r="H4150" t="s">
        <v>19447</v>
      </c>
      <c r="I4150" t="s">
        <v>19447</v>
      </c>
      <c r="J4150">
        <v>18</v>
      </c>
      <c r="L4150" t="s">
        <v>2709</v>
      </c>
      <c r="M4150">
        <v>33069000</v>
      </c>
      <c r="O4150" t="s">
        <v>19926</v>
      </c>
      <c r="P4150" t="s">
        <v>19899</v>
      </c>
      <c r="Q4150" t="s">
        <v>19900</v>
      </c>
      <c r="R4150" t="s">
        <v>19447</v>
      </c>
      <c r="S4150" t="s">
        <v>19447</v>
      </c>
      <c r="T4150" t="s">
        <v>19899</v>
      </c>
    </row>
    <row r="4151" spans="2:20" x14ac:dyDescent="0.25">
      <c r="B4151" t="s">
        <v>2709</v>
      </c>
      <c r="C4151">
        <v>33071000</v>
      </c>
      <c r="E4151">
        <v>177.19</v>
      </c>
      <c r="F4151">
        <v>25</v>
      </c>
      <c r="G4151">
        <v>22</v>
      </c>
      <c r="H4151">
        <v>10.3</v>
      </c>
      <c r="I4151">
        <v>2.2000000000000002</v>
      </c>
      <c r="J4151">
        <v>18</v>
      </c>
      <c r="L4151" t="s">
        <v>2709</v>
      </c>
      <c r="M4151">
        <v>33071000</v>
      </c>
      <c r="O4151" t="s">
        <v>19926</v>
      </c>
      <c r="P4151" t="s">
        <v>19982</v>
      </c>
      <c r="Q4151" t="s">
        <v>20044</v>
      </c>
      <c r="R4151" t="s">
        <v>20042</v>
      </c>
      <c r="S4151" t="s">
        <v>20043</v>
      </c>
      <c r="T4151" t="s">
        <v>19899</v>
      </c>
    </row>
    <row r="4152" spans="2:20" x14ac:dyDescent="0.25">
      <c r="B4152" t="s">
        <v>2709</v>
      </c>
      <c r="C4152">
        <v>33072010</v>
      </c>
      <c r="E4152">
        <v>177.19</v>
      </c>
      <c r="F4152">
        <v>25</v>
      </c>
      <c r="G4152">
        <v>7</v>
      </c>
      <c r="H4152">
        <v>10.3</v>
      </c>
      <c r="I4152">
        <v>2.2000000000000002</v>
      </c>
      <c r="J4152">
        <v>18</v>
      </c>
      <c r="L4152" t="s">
        <v>2709</v>
      </c>
      <c r="M4152">
        <v>33072010</v>
      </c>
      <c r="O4152" t="s">
        <v>19926</v>
      </c>
      <c r="P4152" t="s">
        <v>19982</v>
      </c>
      <c r="Q4152" t="s">
        <v>19908</v>
      </c>
      <c r="R4152" t="s">
        <v>20042</v>
      </c>
      <c r="S4152" t="s">
        <v>20043</v>
      </c>
      <c r="T4152" t="s">
        <v>19899</v>
      </c>
    </row>
    <row r="4153" spans="2:20" x14ac:dyDescent="0.25">
      <c r="B4153" t="s">
        <v>2709</v>
      </c>
      <c r="C4153">
        <v>33072090</v>
      </c>
      <c r="E4153">
        <v>177.19</v>
      </c>
      <c r="F4153">
        <v>25</v>
      </c>
      <c r="G4153">
        <v>7</v>
      </c>
      <c r="H4153">
        <v>10.3</v>
      </c>
      <c r="I4153">
        <v>2.2000000000000002</v>
      </c>
      <c r="J4153">
        <v>18</v>
      </c>
      <c r="L4153" t="s">
        <v>2709</v>
      </c>
      <c r="M4153">
        <v>33072090</v>
      </c>
      <c r="O4153" t="s">
        <v>19926</v>
      </c>
      <c r="P4153" t="s">
        <v>19982</v>
      </c>
      <c r="Q4153" t="s">
        <v>19908</v>
      </c>
      <c r="R4153" t="s">
        <v>20042</v>
      </c>
      <c r="S4153" t="s">
        <v>20043</v>
      </c>
      <c r="T4153" t="s">
        <v>19899</v>
      </c>
    </row>
    <row r="4154" spans="2:20" x14ac:dyDescent="0.25">
      <c r="B4154" t="s">
        <v>2709</v>
      </c>
      <c r="C4154">
        <v>33073000</v>
      </c>
      <c r="E4154">
        <v>177.19</v>
      </c>
      <c r="F4154">
        <v>25</v>
      </c>
      <c r="G4154">
        <v>22</v>
      </c>
      <c r="H4154">
        <v>10.3</v>
      </c>
      <c r="I4154">
        <v>2.2000000000000002</v>
      </c>
      <c r="J4154">
        <v>18</v>
      </c>
      <c r="L4154" t="s">
        <v>2709</v>
      </c>
      <c r="M4154">
        <v>33073000</v>
      </c>
      <c r="O4154" t="s">
        <v>19926</v>
      </c>
      <c r="P4154" t="s">
        <v>19982</v>
      </c>
      <c r="Q4154" t="s">
        <v>20044</v>
      </c>
      <c r="R4154" t="s">
        <v>20042</v>
      </c>
      <c r="S4154" t="s">
        <v>20043</v>
      </c>
      <c r="T4154" t="s">
        <v>19899</v>
      </c>
    </row>
    <row r="4155" spans="2:20" x14ac:dyDescent="0.25">
      <c r="B4155" t="s">
        <v>2709</v>
      </c>
      <c r="C4155">
        <v>33074100</v>
      </c>
      <c r="E4155">
        <v>55.57</v>
      </c>
      <c r="F4155">
        <v>25</v>
      </c>
      <c r="G4155">
        <v>22</v>
      </c>
      <c r="H4155">
        <v>10.3</v>
      </c>
      <c r="I4155">
        <v>2.2000000000000002</v>
      </c>
      <c r="J4155">
        <v>18</v>
      </c>
      <c r="L4155" t="s">
        <v>2709</v>
      </c>
      <c r="M4155">
        <v>33074100</v>
      </c>
      <c r="O4155" t="s">
        <v>20045</v>
      </c>
      <c r="P4155" t="s">
        <v>19982</v>
      </c>
      <c r="Q4155" t="s">
        <v>20044</v>
      </c>
      <c r="R4155" t="s">
        <v>20042</v>
      </c>
      <c r="S4155" t="s">
        <v>20043</v>
      </c>
      <c r="T4155" t="s">
        <v>19899</v>
      </c>
    </row>
    <row r="4156" spans="2:20" x14ac:dyDescent="0.25">
      <c r="B4156" t="s">
        <v>2709</v>
      </c>
      <c r="C4156">
        <v>33074900</v>
      </c>
      <c r="E4156">
        <v>55.57</v>
      </c>
      <c r="F4156">
        <v>25</v>
      </c>
      <c r="G4156">
        <v>22</v>
      </c>
      <c r="H4156">
        <v>10.3</v>
      </c>
      <c r="I4156">
        <v>2.2000000000000002</v>
      </c>
      <c r="J4156">
        <v>18</v>
      </c>
      <c r="L4156" t="s">
        <v>2709</v>
      </c>
      <c r="M4156">
        <v>33074900</v>
      </c>
      <c r="O4156" t="s">
        <v>20045</v>
      </c>
      <c r="P4156" t="s">
        <v>19982</v>
      </c>
      <c r="Q4156" t="s">
        <v>20044</v>
      </c>
      <c r="R4156" t="s">
        <v>20042</v>
      </c>
      <c r="S4156" t="s">
        <v>20043</v>
      </c>
      <c r="T4156" t="s">
        <v>19899</v>
      </c>
    </row>
    <row r="4157" spans="2:20" x14ac:dyDescent="0.25">
      <c r="B4157" t="s">
        <v>2709</v>
      </c>
      <c r="C4157">
        <v>33079000</v>
      </c>
      <c r="E4157">
        <v>177.19</v>
      </c>
      <c r="F4157">
        <v>25</v>
      </c>
      <c r="G4157">
        <v>22</v>
      </c>
      <c r="H4157">
        <v>10.3</v>
      </c>
      <c r="I4157">
        <v>2.2000000000000002</v>
      </c>
      <c r="J4157">
        <v>18</v>
      </c>
      <c r="L4157" t="s">
        <v>2709</v>
      </c>
      <c r="M4157">
        <v>33079000</v>
      </c>
      <c r="O4157" t="s">
        <v>19926</v>
      </c>
      <c r="P4157" t="s">
        <v>19982</v>
      </c>
      <c r="Q4157" t="s">
        <v>20044</v>
      </c>
      <c r="R4157" t="s">
        <v>20042</v>
      </c>
      <c r="S4157" t="s">
        <v>20043</v>
      </c>
      <c r="T4157" t="s">
        <v>19899</v>
      </c>
    </row>
    <row r="4158" spans="2:20" x14ac:dyDescent="0.25">
      <c r="B4158" t="s">
        <v>2709</v>
      </c>
      <c r="C4158">
        <v>33079000</v>
      </c>
      <c r="D4158">
        <v>1</v>
      </c>
      <c r="E4158" t="s">
        <v>19447</v>
      </c>
      <c r="F4158">
        <v>18</v>
      </c>
      <c r="G4158">
        <v>12</v>
      </c>
      <c r="H4158">
        <v>7.6</v>
      </c>
      <c r="I4158">
        <v>1.65</v>
      </c>
      <c r="J4158">
        <v>18</v>
      </c>
      <c r="L4158" t="s">
        <v>2709</v>
      </c>
      <c r="M4158">
        <v>33079000</v>
      </c>
      <c r="N4158">
        <v>1</v>
      </c>
      <c r="O4158" t="s">
        <v>19447</v>
      </c>
      <c r="P4158" t="s">
        <v>19899</v>
      </c>
      <c r="Q4158" t="s">
        <v>19903</v>
      </c>
      <c r="R4158" t="s">
        <v>19905</v>
      </c>
      <c r="S4158" t="s">
        <v>19906</v>
      </c>
      <c r="T4158" t="s">
        <v>19899</v>
      </c>
    </row>
    <row r="4159" spans="2:20" x14ac:dyDescent="0.25">
      <c r="B4159" t="s">
        <v>2709</v>
      </c>
      <c r="C4159">
        <v>34011110</v>
      </c>
      <c r="E4159">
        <v>177.19</v>
      </c>
      <c r="F4159">
        <v>18</v>
      </c>
      <c r="G4159">
        <v>5</v>
      </c>
      <c r="H4159">
        <v>7.6</v>
      </c>
      <c r="I4159">
        <v>1.65</v>
      </c>
      <c r="J4159">
        <v>18</v>
      </c>
      <c r="L4159" t="s">
        <v>2709</v>
      </c>
      <c r="M4159">
        <v>34011110</v>
      </c>
      <c r="O4159" t="s">
        <v>19926</v>
      </c>
      <c r="P4159" t="s">
        <v>19899</v>
      </c>
      <c r="Q4159" t="s">
        <v>19909</v>
      </c>
      <c r="R4159" t="s">
        <v>19905</v>
      </c>
      <c r="S4159" t="s">
        <v>19906</v>
      </c>
      <c r="T4159" t="s">
        <v>19899</v>
      </c>
    </row>
    <row r="4160" spans="2:20" x14ac:dyDescent="0.25">
      <c r="B4160" t="s">
        <v>2709</v>
      </c>
      <c r="C4160">
        <v>34011190</v>
      </c>
      <c r="E4160">
        <v>177.19</v>
      </c>
      <c r="F4160">
        <v>18</v>
      </c>
      <c r="G4160">
        <v>5</v>
      </c>
      <c r="H4160">
        <v>10.3</v>
      </c>
      <c r="I4160">
        <v>2.2000000000000002</v>
      </c>
      <c r="J4160">
        <v>18</v>
      </c>
      <c r="L4160" t="s">
        <v>2709</v>
      </c>
      <c r="M4160">
        <v>34011190</v>
      </c>
      <c r="O4160" t="s">
        <v>19926</v>
      </c>
      <c r="P4160" t="s">
        <v>19899</v>
      </c>
      <c r="Q4160" t="s">
        <v>19909</v>
      </c>
      <c r="R4160" t="s">
        <v>20042</v>
      </c>
      <c r="S4160" t="s">
        <v>20043</v>
      </c>
      <c r="T4160" t="s">
        <v>19899</v>
      </c>
    </row>
    <row r="4161" spans="2:20" x14ac:dyDescent="0.25">
      <c r="B4161" t="s">
        <v>2709</v>
      </c>
      <c r="C4161">
        <v>34011190</v>
      </c>
      <c r="D4161">
        <v>1</v>
      </c>
      <c r="E4161" t="s">
        <v>19447</v>
      </c>
      <c r="F4161">
        <v>18</v>
      </c>
      <c r="G4161">
        <v>0</v>
      </c>
      <c r="H4161">
        <v>7.6</v>
      </c>
      <c r="I4161">
        <v>1.65</v>
      </c>
      <c r="J4161">
        <v>18</v>
      </c>
      <c r="L4161" t="s">
        <v>2709</v>
      </c>
      <c r="M4161">
        <v>34011190</v>
      </c>
      <c r="N4161">
        <v>1</v>
      </c>
      <c r="O4161" t="s">
        <v>19447</v>
      </c>
      <c r="P4161" t="s">
        <v>19899</v>
      </c>
      <c r="Q4161" t="s">
        <v>19900</v>
      </c>
      <c r="R4161" t="s">
        <v>19905</v>
      </c>
      <c r="S4161" t="s">
        <v>19906</v>
      </c>
      <c r="T4161" t="s">
        <v>19899</v>
      </c>
    </row>
    <row r="4162" spans="2:20" x14ac:dyDescent="0.25">
      <c r="B4162" t="s">
        <v>2709</v>
      </c>
      <c r="C4162">
        <v>34011900</v>
      </c>
      <c r="E4162">
        <v>177.19</v>
      </c>
      <c r="F4162">
        <v>18</v>
      </c>
      <c r="G4162">
        <v>5</v>
      </c>
      <c r="H4162">
        <v>7.6</v>
      </c>
      <c r="I4162">
        <v>1.65</v>
      </c>
      <c r="J4162">
        <v>18</v>
      </c>
      <c r="L4162" t="s">
        <v>2709</v>
      </c>
      <c r="M4162">
        <v>34011900</v>
      </c>
      <c r="O4162" t="s">
        <v>19926</v>
      </c>
      <c r="P4162" t="s">
        <v>19899</v>
      </c>
      <c r="Q4162" t="s">
        <v>19909</v>
      </c>
      <c r="R4162" t="s">
        <v>19905</v>
      </c>
      <c r="S4162" t="s">
        <v>19906</v>
      </c>
      <c r="T4162" t="s">
        <v>19899</v>
      </c>
    </row>
    <row r="4163" spans="2:20" x14ac:dyDescent="0.25">
      <c r="B4163" t="s">
        <v>2709</v>
      </c>
      <c r="C4163">
        <v>34011900</v>
      </c>
      <c r="D4163">
        <v>1</v>
      </c>
      <c r="E4163" t="s">
        <v>19447</v>
      </c>
      <c r="F4163">
        <v>18</v>
      </c>
      <c r="G4163">
        <v>10</v>
      </c>
      <c r="H4163">
        <v>7.6</v>
      </c>
      <c r="I4163">
        <v>1.65</v>
      </c>
      <c r="J4163">
        <v>18</v>
      </c>
      <c r="L4163" t="s">
        <v>2709</v>
      </c>
      <c r="M4163">
        <v>34011900</v>
      </c>
      <c r="N4163">
        <v>1</v>
      </c>
      <c r="O4163" t="s">
        <v>19447</v>
      </c>
      <c r="P4163" t="s">
        <v>19899</v>
      </c>
      <c r="Q4163" t="s">
        <v>19904</v>
      </c>
      <c r="R4163" t="s">
        <v>19905</v>
      </c>
      <c r="S4163" t="s">
        <v>19906</v>
      </c>
      <c r="T4163" t="s">
        <v>19899</v>
      </c>
    </row>
    <row r="4164" spans="2:20" x14ac:dyDescent="0.25">
      <c r="B4164" t="s">
        <v>2709</v>
      </c>
      <c r="C4164">
        <v>34011900</v>
      </c>
      <c r="D4164">
        <v>2</v>
      </c>
      <c r="E4164" t="s">
        <v>19447</v>
      </c>
      <c r="F4164">
        <v>18</v>
      </c>
      <c r="G4164">
        <v>10</v>
      </c>
      <c r="H4164">
        <v>7.6</v>
      </c>
      <c r="I4164">
        <v>1.65</v>
      </c>
      <c r="J4164">
        <v>18</v>
      </c>
      <c r="L4164" t="s">
        <v>2709</v>
      </c>
      <c r="M4164">
        <v>34011900</v>
      </c>
      <c r="N4164">
        <v>2</v>
      </c>
      <c r="O4164" t="s">
        <v>19447</v>
      </c>
      <c r="P4164" t="s">
        <v>19899</v>
      </c>
      <c r="Q4164" t="s">
        <v>19904</v>
      </c>
      <c r="R4164" t="s">
        <v>19905</v>
      </c>
      <c r="S4164" t="s">
        <v>19906</v>
      </c>
      <c r="T4164" t="s">
        <v>19899</v>
      </c>
    </row>
    <row r="4165" spans="2:20" x14ac:dyDescent="0.25">
      <c r="B4165" t="s">
        <v>2709</v>
      </c>
      <c r="C4165">
        <v>34011900</v>
      </c>
      <c r="D4165">
        <v>3</v>
      </c>
      <c r="E4165" t="s">
        <v>19447</v>
      </c>
      <c r="F4165">
        <v>18</v>
      </c>
      <c r="G4165">
        <v>0</v>
      </c>
      <c r="H4165">
        <v>7.6</v>
      </c>
      <c r="I4165">
        <v>1.65</v>
      </c>
      <c r="J4165">
        <v>18</v>
      </c>
      <c r="L4165" t="s">
        <v>2709</v>
      </c>
      <c r="M4165">
        <v>34011900</v>
      </c>
      <c r="N4165">
        <v>3</v>
      </c>
      <c r="O4165" t="s">
        <v>19447</v>
      </c>
      <c r="P4165" t="s">
        <v>19899</v>
      </c>
      <c r="Q4165" t="s">
        <v>19900</v>
      </c>
      <c r="R4165" t="s">
        <v>19905</v>
      </c>
      <c r="S4165" t="s">
        <v>19906</v>
      </c>
      <c r="T4165" t="s">
        <v>19899</v>
      </c>
    </row>
    <row r="4166" spans="2:20" x14ac:dyDescent="0.25">
      <c r="B4166" t="s">
        <v>2709</v>
      </c>
      <c r="C4166">
        <v>34012010</v>
      </c>
      <c r="E4166">
        <v>177.19</v>
      </c>
      <c r="F4166">
        <v>18</v>
      </c>
      <c r="G4166">
        <v>5</v>
      </c>
      <c r="H4166">
        <v>10.3</v>
      </c>
      <c r="I4166">
        <v>2.2000000000000002</v>
      </c>
      <c r="J4166">
        <v>18</v>
      </c>
      <c r="L4166" t="s">
        <v>2709</v>
      </c>
      <c r="M4166">
        <v>34012010</v>
      </c>
      <c r="O4166" t="s">
        <v>19926</v>
      </c>
      <c r="P4166" t="s">
        <v>19899</v>
      </c>
      <c r="Q4166" t="s">
        <v>19909</v>
      </c>
      <c r="R4166" t="s">
        <v>20042</v>
      </c>
      <c r="S4166" t="s">
        <v>20043</v>
      </c>
      <c r="T4166" t="s">
        <v>19899</v>
      </c>
    </row>
    <row r="4167" spans="2:20" x14ac:dyDescent="0.25">
      <c r="B4167" t="s">
        <v>2709</v>
      </c>
      <c r="C4167">
        <v>34012090</v>
      </c>
      <c r="E4167">
        <v>20.9</v>
      </c>
      <c r="F4167">
        <v>18</v>
      </c>
      <c r="G4167">
        <v>5</v>
      </c>
      <c r="H4167">
        <v>7.6</v>
      </c>
      <c r="I4167">
        <v>1.65</v>
      </c>
      <c r="J4167">
        <v>18</v>
      </c>
      <c r="L4167" t="s">
        <v>2709</v>
      </c>
      <c r="M4167">
        <v>34012090</v>
      </c>
      <c r="O4167" t="s">
        <v>20046</v>
      </c>
      <c r="P4167" t="s">
        <v>19899</v>
      </c>
      <c r="Q4167" t="s">
        <v>19909</v>
      </c>
      <c r="R4167" t="s">
        <v>19905</v>
      </c>
      <c r="S4167" t="s">
        <v>19906</v>
      </c>
      <c r="T4167" t="s">
        <v>19899</v>
      </c>
    </row>
    <row r="4168" spans="2:20" x14ac:dyDescent="0.25">
      <c r="B4168" t="s">
        <v>2709</v>
      </c>
      <c r="C4168">
        <v>34013000</v>
      </c>
      <c r="E4168">
        <v>177.19</v>
      </c>
      <c r="F4168">
        <v>18</v>
      </c>
      <c r="G4168">
        <v>10</v>
      </c>
      <c r="H4168">
        <v>7.6</v>
      </c>
      <c r="I4168">
        <v>1.65</v>
      </c>
      <c r="J4168">
        <v>18</v>
      </c>
      <c r="L4168" t="s">
        <v>2709</v>
      </c>
      <c r="M4168">
        <v>34013000</v>
      </c>
      <c r="O4168" t="s">
        <v>19926</v>
      </c>
      <c r="P4168" t="s">
        <v>19899</v>
      </c>
      <c r="Q4168" t="s">
        <v>19904</v>
      </c>
      <c r="R4168" t="s">
        <v>19905</v>
      </c>
      <c r="S4168" t="s">
        <v>19906</v>
      </c>
      <c r="T4168" t="s">
        <v>19899</v>
      </c>
    </row>
    <row r="4169" spans="2:20" x14ac:dyDescent="0.25">
      <c r="B4169" t="s">
        <v>2709</v>
      </c>
      <c r="C4169">
        <v>34021110</v>
      </c>
      <c r="E4169">
        <v>29.87</v>
      </c>
      <c r="F4169">
        <v>18</v>
      </c>
      <c r="G4169">
        <v>5</v>
      </c>
      <c r="H4169">
        <v>7.6</v>
      </c>
      <c r="I4169">
        <v>1.65</v>
      </c>
      <c r="J4169">
        <v>2</v>
      </c>
      <c r="L4169" t="s">
        <v>2709</v>
      </c>
      <c r="M4169">
        <v>34021110</v>
      </c>
      <c r="O4169" t="s">
        <v>20047</v>
      </c>
      <c r="P4169" t="s">
        <v>19899</v>
      </c>
      <c r="Q4169" t="s">
        <v>19909</v>
      </c>
      <c r="R4169" t="s">
        <v>19905</v>
      </c>
      <c r="S4169" t="s">
        <v>19906</v>
      </c>
      <c r="T4169" t="s">
        <v>19901</v>
      </c>
    </row>
    <row r="4170" spans="2:20" x14ac:dyDescent="0.25">
      <c r="B4170" t="s">
        <v>2709</v>
      </c>
      <c r="C4170">
        <v>34021120</v>
      </c>
      <c r="E4170">
        <v>29.87</v>
      </c>
      <c r="F4170">
        <v>18</v>
      </c>
      <c r="G4170">
        <v>5</v>
      </c>
      <c r="H4170">
        <v>7.6</v>
      </c>
      <c r="I4170">
        <v>1.65</v>
      </c>
      <c r="J4170">
        <v>2</v>
      </c>
      <c r="L4170" t="s">
        <v>2709</v>
      </c>
      <c r="M4170">
        <v>34021120</v>
      </c>
      <c r="O4170" t="s">
        <v>20047</v>
      </c>
      <c r="P4170" t="s">
        <v>19899</v>
      </c>
      <c r="Q4170" t="s">
        <v>19909</v>
      </c>
      <c r="R4170" t="s">
        <v>19905</v>
      </c>
      <c r="S4170" t="s">
        <v>19906</v>
      </c>
      <c r="T4170" t="s">
        <v>19901</v>
      </c>
    </row>
    <row r="4171" spans="2:20" x14ac:dyDescent="0.25">
      <c r="B4171" t="s">
        <v>2709</v>
      </c>
      <c r="C4171">
        <v>34021130</v>
      </c>
      <c r="E4171">
        <v>29.87</v>
      </c>
      <c r="F4171">
        <v>18</v>
      </c>
      <c r="G4171">
        <v>5</v>
      </c>
      <c r="H4171">
        <v>7.6</v>
      </c>
      <c r="I4171">
        <v>1.65</v>
      </c>
      <c r="J4171">
        <v>2</v>
      </c>
      <c r="L4171" t="s">
        <v>2709</v>
      </c>
      <c r="M4171">
        <v>34021130</v>
      </c>
      <c r="O4171" t="s">
        <v>20047</v>
      </c>
      <c r="P4171" t="s">
        <v>19899</v>
      </c>
      <c r="Q4171" t="s">
        <v>19909</v>
      </c>
      <c r="R4171" t="s">
        <v>19905</v>
      </c>
      <c r="S4171" t="s">
        <v>19906</v>
      </c>
      <c r="T4171" t="s">
        <v>19901</v>
      </c>
    </row>
    <row r="4172" spans="2:20" x14ac:dyDescent="0.25">
      <c r="B4172" t="s">
        <v>2709</v>
      </c>
      <c r="C4172">
        <v>34021140</v>
      </c>
      <c r="E4172">
        <v>29.87</v>
      </c>
      <c r="F4172">
        <v>18</v>
      </c>
      <c r="G4172">
        <v>5</v>
      </c>
      <c r="H4172">
        <v>7.6</v>
      </c>
      <c r="I4172">
        <v>1.65</v>
      </c>
      <c r="J4172">
        <v>14</v>
      </c>
      <c r="L4172" t="s">
        <v>2709</v>
      </c>
      <c r="M4172">
        <v>34021140</v>
      </c>
      <c r="O4172" t="s">
        <v>20047</v>
      </c>
      <c r="P4172" t="s">
        <v>19899</v>
      </c>
      <c r="Q4172" t="s">
        <v>19909</v>
      </c>
      <c r="R4172" t="s">
        <v>19905</v>
      </c>
      <c r="S4172" t="s">
        <v>19906</v>
      </c>
      <c r="T4172" t="s">
        <v>19911</v>
      </c>
    </row>
    <row r="4173" spans="2:20" x14ac:dyDescent="0.25">
      <c r="B4173" t="s">
        <v>2709</v>
      </c>
      <c r="C4173">
        <v>34021190</v>
      </c>
      <c r="E4173">
        <v>29.87</v>
      </c>
      <c r="F4173">
        <v>18</v>
      </c>
      <c r="G4173">
        <v>5</v>
      </c>
      <c r="H4173">
        <v>7.6</v>
      </c>
      <c r="I4173">
        <v>1.65</v>
      </c>
      <c r="J4173">
        <v>14</v>
      </c>
      <c r="L4173" t="s">
        <v>2709</v>
      </c>
      <c r="M4173">
        <v>34021190</v>
      </c>
      <c r="O4173" t="s">
        <v>20047</v>
      </c>
      <c r="P4173" t="s">
        <v>19899</v>
      </c>
      <c r="Q4173" t="s">
        <v>19909</v>
      </c>
      <c r="R4173" t="s">
        <v>19905</v>
      </c>
      <c r="S4173" t="s">
        <v>19906</v>
      </c>
      <c r="T4173" t="s">
        <v>19911</v>
      </c>
    </row>
    <row r="4174" spans="2:20" x14ac:dyDescent="0.25">
      <c r="B4174" t="s">
        <v>2709</v>
      </c>
      <c r="C4174">
        <v>34021210</v>
      </c>
      <c r="E4174">
        <v>29.87</v>
      </c>
      <c r="F4174">
        <v>18</v>
      </c>
      <c r="G4174">
        <v>5</v>
      </c>
      <c r="H4174">
        <v>7.6</v>
      </c>
      <c r="I4174">
        <v>1.65</v>
      </c>
      <c r="J4174">
        <v>2</v>
      </c>
      <c r="L4174" t="s">
        <v>2709</v>
      </c>
      <c r="M4174">
        <v>34021210</v>
      </c>
      <c r="O4174" t="s">
        <v>20047</v>
      </c>
      <c r="P4174" t="s">
        <v>19899</v>
      </c>
      <c r="Q4174" t="s">
        <v>19909</v>
      </c>
      <c r="R4174" t="s">
        <v>19905</v>
      </c>
      <c r="S4174" t="s">
        <v>19906</v>
      </c>
      <c r="T4174" t="s">
        <v>19901</v>
      </c>
    </row>
    <row r="4175" spans="2:20" x14ac:dyDescent="0.25">
      <c r="B4175" t="s">
        <v>2709</v>
      </c>
      <c r="C4175">
        <v>34021290</v>
      </c>
      <c r="E4175">
        <v>29.87</v>
      </c>
      <c r="F4175">
        <v>18</v>
      </c>
      <c r="G4175">
        <v>5</v>
      </c>
      <c r="H4175">
        <v>7.6</v>
      </c>
      <c r="I4175">
        <v>1.65</v>
      </c>
      <c r="J4175">
        <v>14</v>
      </c>
      <c r="L4175" t="s">
        <v>2709</v>
      </c>
      <c r="M4175">
        <v>34021290</v>
      </c>
      <c r="O4175" t="s">
        <v>20047</v>
      </c>
      <c r="P4175" t="s">
        <v>19899</v>
      </c>
      <c r="Q4175" t="s">
        <v>19909</v>
      </c>
      <c r="R4175" t="s">
        <v>19905</v>
      </c>
      <c r="S4175" t="s">
        <v>19906</v>
      </c>
      <c r="T4175" t="s">
        <v>19911</v>
      </c>
    </row>
    <row r="4176" spans="2:20" x14ac:dyDescent="0.25">
      <c r="B4176" t="s">
        <v>2709</v>
      </c>
      <c r="C4176">
        <v>34021300</v>
      </c>
      <c r="E4176">
        <v>29.87</v>
      </c>
      <c r="F4176">
        <v>18</v>
      </c>
      <c r="G4176">
        <v>5</v>
      </c>
      <c r="H4176">
        <v>7.6</v>
      </c>
      <c r="I4176">
        <v>1.65</v>
      </c>
      <c r="J4176">
        <v>14</v>
      </c>
      <c r="L4176" t="s">
        <v>2709</v>
      </c>
      <c r="M4176">
        <v>34021300</v>
      </c>
      <c r="O4176" t="s">
        <v>20047</v>
      </c>
      <c r="P4176" t="s">
        <v>19899</v>
      </c>
      <c r="Q4176" t="s">
        <v>19909</v>
      </c>
      <c r="R4176" t="s">
        <v>19905</v>
      </c>
      <c r="S4176" t="s">
        <v>19906</v>
      </c>
      <c r="T4176" t="s">
        <v>19911</v>
      </c>
    </row>
    <row r="4177" spans="2:20" x14ac:dyDescent="0.25">
      <c r="B4177" t="s">
        <v>2709</v>
      </c>
      <c r="C4177">
        <v>34021900</v>
      </c>
      <c r="E4177">
        <v>29.87</v>
      </c>
      <c r="F4177">
        <v>18</v>
      </c>
      <c r="G4177">
        <v>5</v>
      </c>
      <c r="H4177">
        <v>7.6</v>
      </c>
      <c r="I4177">
        <v>1.65</v>
      </c>
      <c r="J4177">
        <v>14</v>
      </c>
      <c r="L4177" t="s">
        <v>2709</v>
      </c>
      <c r="M4177">
        <v>34021900</v>
      </c>
      <c r="O4177" t="s">
        <v>20047</v>
      </c>
      <c r="P4177" t="s">
        <v>19899</v>
      </c>
      <c r="Q4177" t="s">
        <v>19909</v>
      </c>
      <c r="R4177" t="s">
        <v>19905</v>
      </c>
      <c r="S4177" t="s">
        <v>19906</v>
      </c>
      <c r="T4177" t="s">
        <v>19911</v>
      </c>
    </row>
    <row r="4178" spans="2:20" x14ac:dyDescent="0.25">
      <c r="B4178" t="s">
        <v>2709</v>
      </c>
      <c r="C4178">
        <v>34022000</v>
      </c>
      <c r="E4178">
        <v>29.87</v>
      </c>
      <c r="F4178">
        <v>18</v>
      </c>
      <c r="G4178">
        <v>5</v>
      </c>
      <c r="H4178">
        <v>7.6</v>
      </c>
      <c r="I4178">
        <v>1.65</v>
      </c>
      <c r="J4178">
        <v>18</v>
      </c>
      <c r="L4178" t="s">
        <v>2709</v>
      </c>
      <c r="M4178">
        <v>34022000</v>
      </c>
      <c r="O4178" t="s">
        <v>20047</v>
      </c>
      <c r="P4178" t="s">
        <v>19899</v>
      </c>
      <c r="Q4178" t="s">
        <v>19909</v>
      </c>
      <c r="R4178" t="s">
        <v>19905</v>
      </c>
      <c r="S4178" t="s">
        <v>19906</v>
      </c>
      <c r="T4178" t="s">
        <v>19899</v>
      </c>
    </row>
    <row r="4179" spans="2:20" x14ac:dyDescent="0.25">
      <c r="B4179" t="s">
        <v>2709</v>
      </c>
      <c r="C4179">
        <v>34029011</v>
      </c>
      <c r="E4179">
        <v>29.87</v>
      </c>
      <c r="F4179">
        <v>18</v>
      </c>
      <c r="G4179">
        <v>5</v>
      </c>
      <c r="H4179">
        <v>7.6</v>
      </c>
      <c r="I4179">
        <v>1.65</v>
      </c>
      <c r="J4179">
        <v>14</v>
      </c>
      <c r="L4179" t="s">
        <v>2709</v>
      </c>
      <c r="M4179">
        <v>34029011</v>
      </c>
      <c r="O4179" t="s">
        <v>20047</v>
      </c>
      <c r="P4179" t="s">
        <v>19899</v>
      </c>
      <c r="Q4179" t="s">
        <v>19909</v>
      </c>
      <c r="R4179" t="s">
        <v>19905</v>
      </c>
      <c r="S4179" t="s">
        <v>19906</v>
      </c>
      <c r="T4179" t="s">
        <v>19911</v>
      </c>
    </row>
    <row r="4180" spans="2:20" x14ac:dyDescent="0.25">
      <c r="B4180" t="s">
        <v>2709</v>
      </c>
      <c r="C4180">
        <v>34029019</v>
      </c>
      <c r="E4180">
        <v>29.87</v>
      </c>
      <c r="F4180">
        <v>18</v>
      </c>
      <c r="G4180">
        <v>5</v>
      </c>
      <c r="H4180">
        <v>7.6</v>
      </c>
      <c r="I4180">
        <v>1.65</v>
      </c>
      <c r="J4180">
        <v>14</v>
      </c>
      <c r="L4180" t="s">
        <v>2709</v>
      </c>
      <c r="M4180">
        <v>34029019</v>
      </c>
      <c r="O4180" t="s">
        <v>20047</v>
      </c>
      <c r="P4180" t="s">
        <v>19899</v>
      </c>
      <c r="Q4180" t="s">
        <v>19909</v>
      </c>
      <c r="R4180" t="s">
        <v>19905</v>
      </c>
      <c r="S4180" t="s">
        <v>19906</v>
      </c>
      <c r="T4180" t="s">
        <v>19911</v>
      </c>
    </row>
    <row r="4181" spans="2:20" x14ac:dyDescent="0.25">
      <c r="B4181" t="s">
        <v>2709</v>
      </c>
      <c r="C4181">
        <v>34029021</v>
      </c>
      <c r="E4181">
        <v>29.87</v>
      </c>
      <c r="F4181">
        <v>18</v>
      </c>
      <c r="G4181">
        <v>5</v>
      </c>
      <c r="H4181">
        <v>7.6</v>
      </c>
      <c r="I4181">
        <v>1.65</v>
      </c>
      <c r="J4181">
        <v>2</v>
      </c>
      <c r="L4181" t="s">
        <v>2709</v>
      </c>
      <c r="M4181">
        <v>34029021</v>
      </c>
      <c r="O4181" t="s">
        <v>20047</v>
      </c>
      <c r="P4181" t="s">
        <v>19899</v>
      </c>
      <c r="Q4181" t="s">
        <v>19909</v>
      </c>
      <c r="R4181" t="s">
        <v>19905</v>
      </c>
      <c r="S4181" t="s">
        <v>19906</v>
      </c>
      <c r="T4181" t="s">
        <v>19901</v>
      </c>
    </row>
    <row r="4182" spans="2:20" x14ac:dyDescent="0.25">
      <c r="B4182" t="s">
        <v>2709</v>
      </c>
      <c r="C4182">
        <v>34029022</v>
      </c>
      <c r="E4182">
        <v>29.87</v>
      </c>
      <c r="F4182">
        <v>18</v>
      </c>
      <c r="G4182">
        <v>5</v>
      </c>
      <c r="H4182">
        <v>7.6</v>
      </c>
      <c r="I4182">
        <v>1.65</v>
      </c>
      <c r="J4182">
        <v>2</v>
      </c>
      <c r="L4182" t="s">
        <v>2709</v>
      </c>
      <c r="M4182">
        <v>34029022</v>
      </c>
      <c r="O4182" t="s">
        <v>20047</v>
      </c>
      <c r="P4182" t="s">
        <v>19899</v>
      </c>
      <c r="Q4182" t="s">
        <v>19909</v>
      </c>
      <c r="R4182" t="s">
        <v>19905</v>
      </c>
      <c r="S4182" t="s">
        <v>19906</v>
      </c>
      <c r="T4182" t="s">
        <v>19901</v>
      </c>
    </row>
    <row r="4183" spans="2:20" x14ac:dyDescent="0.25">
      <c r="B4183" t="s">
        <v>2709</v>
      </c>
      <c r="C4183">
        <v>34029023</v>
      </c>
      <c r="E4183">
        <v>29.87</v>
      </c>
      <c r="F4183">
        <v>18</v>
      </c>
      <c r="G4183">
        <v>5</v>
      </c>
      <c r="H4183">
        <v>7.6</v>
      </c>
      <c r="I4183">
        <v>1.65</v>
      </c>
      <c r="J4183">
        <v>2</v>
      </c>
      <c r="L4183" t="s">
        <v>2709</v>
      </c>
      <c r="M4183">
        <v>34029023</v>
      </c>
      <c r="O4183" t="s">
        <v>20047</v>
      </c>
      <c r="P4183" t="s">
        <v>19899</v>
      </c>
      <c r="Q4183" t="s">
        <v>19909</v>
      </c>
      <c r="R4183" t="s">
        <v>19905</v>
      </c>
      <c r="S4183" t="s">
        <v>19906</v>
      </c>
      <c r="T4183" t="s">
        <v>19901</v>
      </c>
    </row>
    <row r="4184" spans="2:20" x14ac:dyDescent="0.25">
      <c r="B4184" t="s">
        <v>2709</v>
      </c>
      <c r="C4184">
        <v>34029029</v>
      </c>
      <c r="E4184">
        <v>29.87</v>
      </c>
      <c r="F4184">
        <v>18</v>
      </c>
      <c r="G4184">
        <v>5</v>
      </c>
      <c r="H4184">
        <v>7.6</v>
      </c>
      <c r="I4184">
        <v>1.65</v>
      </c>
      <c r="J4184">
        <v>18</v>
      </c>
      <c r="L4184" t="s">
        <v>2709</v>
      </c>
      <c r="M4184">
        <v>34029029</v>
      </c>
      <c r="O4184" t="s">
        <v>20047</v>
      </c>
      <c r="P4184" t="s">
        <v>19899</v>
      </c>
      <c r="Q4184" t="s">
        <v>19909</v>
      </c>
      <c r="R4184" t="s">
        <v>19905</v>
      </c>
      <c r="S4184" t="s">
        <v>19906</v>
      </c>
      <c r="T4184" t="s">
        <v>19899</v>
      </c>
    </row>
    <row r="4185" spans="2:20" x14ac:dyDescent="0.25">
      <c r="B4185" t="s">
        <v>2709</v>
      </c>
      <c r="C4185">
        <v>34029031</v>
      </c>
      <c r="E4185">
        <v>29.87</v>
      </c>
      <c r="F4185">
        <v>18</v>
      </c>
      <c r="G4185">
        <v>5</v>
      </c>
      <c r="H4185">
        <v>7.6</v>
      </c>
      <c r="I4185">
        <v>1.65</v>
      </c>
      <c r="J4185">
        <v>18</v>
      </c>
      <c r="L4185" t="s">
        <v>2709</v>
      </c>
      <c r="M4185">
        <v>34029031</v>
      </c>
      <c r="O4185" t="s">
        <v>20047</v>
      </c>
      <c r="P4185" t="s">
        <v>19899</v>
      </c>
      <c r="Q4185" t="s">
        <v>19909</v>
      </c>
      <c r="R4185" t="s">
        <v>19905</v>
      </c>
      <c r="S4185" t="s">
        <v>19906</v>
      </c>
      <c r="T4185" t="s">
        <v>19899</v>
      </c>
    </row>
    <row r="4186" spans="2:20" x14ac:dyDescent="0.25">
      <c r="B4186" t="s">
        <v>2709</v>
      </c>
      <c r="C4186">
        <v>34029039</v>
      </c>
      <c r="E4186">
        <v>65.099999999999994</v>
      </c>
      <c r="F4186">
        <v>18</v>
      </c>
      <c r="G4186">
        <v>5</v>
      </c>
      <c r="H4186">
        <v>7.6</v>
      </c>
      <c r="I4186">
        <v>1.65</v>
      </c>
      <c r="J4186">
        <v>18</v>
      </c>
      <c r="L4186" t="s">
        <v>2709</v>
      </c>
      <c r="M4186">
        <v>34029039</v>
      </c>
      <c r="O4186" t="s">
        <v>20048</v>
      </c>
      <c r="P4186" t="s">
        <v>19899</v>
      </c>
      <c r="Q4186" t="s">
        <v>19909</v>
      </c>
      <c r="R4186" t="s">
        <v>19905</v>
      </c>
      <c r="S4186" t="s">
        <v>19906</v>
      </c>
      <c r="T4186" t="s">
        <v>19899</v>
      </c>
    </row>
    <row r="4187" spans="2:20" x14ac:dyDescent="0.25">
      <c r="B4187" t="s">
        <v>2709</v>
      </c>
      <c r="C4187">
        <v>34029090</v>
      </c>
      <c r="E4187">
        <v>29.87</v>
      </c>
      <c r="F4187">
        <v>18</v>
      </c>
      <c r="G4187">
        <v>5</v>
      </c>
      <c r="H4187">
        <v>7.6</v>
      </c>
      <c r="I4187">
        <v>1.65</v>
      </c>
      <c r="J4187">
        <v>18</v>
      </c>
      <c r="L4187" t="s">
        <v>2709</v>
      </c>
      <c r="M4187">
        <v>34029090</v>
      </c>
      <c r="O4187" t="s">
        <v>20047</v>
      </c>
      <c r="P4187" t="s">
        <v>19899</v>
      </c>
      <c r="Q4187" t="s">
        <v>19909</v>
      </c>
      <c r="R4187" t="s">
        <v>19905</v>
      </c>
      <c r="S4187" t="s">
        <v>19906</v>
      </c>
      <c r="T4187" t="s">
        <v>19899</v>
      </c>
    </row>
    <row r="4188" spans="2:20" x14ac:dyDescent="0.25">
      <c r="B4188" t="s">
        <v>2709</v>
      </c>
      <c r="C4188">
        <v>34031110</v>
      </c>
      <c r="E4188">
        <v>68.73</v>
      </c>
      <c r="F4188">
        <v>18</v>
      </c>
      <c r="G4188">
        <v>15</v>
      </c>
      <c r="H4188">
        <v>7.6</v>
      </c>
      <c r="I4188">
        <v>1.65</v>
      </c>
      <c r="J4188">
        <v>14</v>
      </c>
      <c r="L4188" t="s">
        <v>2709</v>
      </c>
      <c r="M4188">
        <v>34031110</v>
      </c>
      <c r="O4188" t="s">
        <v>20049</v>
      </c>
      <c r="P4188" t="s">
        <v>19899</v>
      </c>
      <c r="Q4188" t="s">
        <v>19983</v>
      </c>
      <c r="R4188" t="s">
        <v>19905</v>
      </c>
      <c r="S4188" t="s">
        <v>19906</v>
      </c>
      <c r="T4188" t="s">
        <v>19911</v>
      </c>
    </row>
    <row r="4189" spans="2:20" x14ac:dyDescent="0.25">
      <c r="B4189" t="s">
        <v>2709</v>
      </c>
      <c r="C4189">
        <v>34031120</v>
      </c>
      <c r="E4189">
        <v>68.73</v>
      </c>
      <c r="F4189">
        <v>18</v>
      </c>
      <c r="G4189">
        <v>15</v>
      </c>
      <c r="H4189">
        <v>7.6</v>
      </c>
      <c r="I4189">
        <v>1.65</v>
      </c>
      <c r="J4189">
        <v>14</v>
      </c>
      <c r="L4189" t="s">
        <v>2709</v>
      </c>
      <c r="M4189">
        <v>34031120</v>
      </c>
      <c r="O4189" t="s">
        <v>20049</v>
      </c>
      <c r="P4189" t="s">
        <v>19899</v>
      </c>
      <c r="Q4189" t="s">
        <v>19983</v>
      </c>
      <c r="R4189" t="s">
        <v>19905</v>
      </c>
      <c r="S4189" t="s">
        <v>19906</v>
      </c>
      <c r="T4189" t="s">
        <v>19911</v>
      </c>
    </row>
    <row r="4190" spans="2:20" x14ac:dyDescent="0.25">
      <c r="B4190" t="s">
        <v>2709</v>
      </c>
      <c r="C4190">
        <v>34031190</v>
      </c>
      <c r="E4190">
        <v>68.73</v>
      </c>
      <c r="F4190">
        <v>18</v>
      </c>
      <c r="G4190">
        <v>15</v>
      </c>
      <c r="H4190">
        <v>7.6</v>
      </c>
      <c r="I4190">
        <v>1.65</v>
      </c>
      <c r="J4190">
        <v>14</v>
      </c>
      <c r="L4190" t="s">
        <v>2709</v>
      </c>
      <c r="M4190">
        <v>34031190</v>
      </c>
      <c r="O4190" t="s">
        <v>20049</v>
      </c>
      <c r="P4190" t="s">
        <v>19899</v>
      </c>
      <c r="Q4190" t="s">
        <v>19983</v>
      </c>
      <c r="R4190" t="s">
        <v>19905</v>
      </c>
      <c r="S4190" t="s">
        <v>19906</v>
      </c>
      <c r="T4190" t="s">
        <v>19911</v>
      </c>
    </row>
    <row r="4191" spans="2:20" x14ac:dyDescent="0.25">
      <c r="B4191" t="s">
        <v>2709</v>
      </c>
      <c r="C4191">
        <v>34031900</v>
      </c>
      <c r="E4191">
        <v>68.73</v>
      </c>
      <c r="F4191">
        <v>18</v>
      </c>
      <c r="G4191">
        <v>15</v>
      </c>
      <c r="H4191">
        <v>7.6</v>
      </c>
      <c r="I4191">
        <v>1.65</v>
      </c>
      <c r="J4191">
        <v>14</v>
      </c>
      <c r="L4191" t="s">
        <v>2709</v>
      </c>
      <c r="M4191">
        <v>34031900</v>
      </c>
      <c r="O4191" t="s">
        <v>20049</v>
      </c>
      <c r="P4191" t="s">
        <v>19899</v>
      </c>
      <c r="Q4191" t="s">
        <v>19983</v>
      </c>
      <c r="R4191" t="s">
        <v>19905</v>
      </c>
      <c r="S4191" t="s">
        <v>19906</v>
      </c>
      <c r="T4191" t="s">
        <v>19911</v>
      </c>
    </row>
    <row r="4192" spans="2:20" x14ac:dyDescent="0.25">
      <c r="B4192" t="s">
        <v>2709</v>
      </c>
      <c r="C4192">
        <v>34039110</v>
      </c>
      <c r="E4192">
        <v>68.73</v>
      </c>
      <c r="F4192">
        <v>18</v>
      </c>
      <c r="G4192">
        <v>15</v>
      </c>
      <c r="H4192">
        <v>7.6</v>
      </c>
      <c r="I4192">
        <v>1.65</v>
      </c>
      <c r="J4192">
        <v>14</v>
      </c>
      <c r="L4192" t="s">
        <v>2709</v>
      </c>
      <c r="M4192">
        <v>34039110</v>
      </c>
      <c r="O4192" t="s">
        <v>20049</v>
      </c>
      <c r="P4192" t="s">
        <v>19899</v>
      </c>
      <c r="Q4192" t="s">
        <v>19983</v>
      </c>
      <c r="R4192" t="s">
        <v>19905</v>
      </c>
      <c r="S4192" t="s">
        <v>19906</v>
      </c>
      <c r="T4192" t="s">
        <v>19911</v>
      </c>
    </row>
    <row r="4193" spans="2:20" x14ac:dyDescent="0.25">
      <c r="B4193" t="s">
        <v>2709</v>
      </c>
      <c r="C4193">
        <v>34039120</v>
      </c>
      <c r="E4193">
        <v>68.73</v>
      </c>
      <c r="F4193">
        <v>18</v>
      </c>
      <c r="G4193">
        <v>15</v>
      </c>
      <c r="H4193">
        <v>7.6</v>
      </c>
      <c r="I4193">
        <v>1.65</v>
      </c>
      <c r="J4193">
        <v>14</v>
      </c>
      <c r="L4193" t="s">
        <v>2709</v>
      </c>
      <c r="M4193">
        <v>34039120</v>
      </c>
      <c r="O4193" t="s">
        <v>20049</v>
      </c>
      <c r="P4193" t="s">
        <v>19899</v>
      </c>
      <c r="Q4193" t="s">
        <v>19983</v>
      </c>
      <c r="R4193" t="s">
        <v>19905</v>
      </c>
      <c r="S4193" t="s">
        <v>19906</v>
      </c>
      <c r="T4193" t="s">
        <v>19911</v>
      </c>
    </row>
    <row r="4194" spans="2:20" x14ac:dyDescent="0.25">
      <c r="B4194" t="s">
        <v>2709</v>
      </c>
      <c r="C4194">
        <v>34039190</v>
      </c>
      <c r="E4194">
        <v>68.73</v>
      </c>
      <c r="F4194">
        <v>18</v>
      </c>
      <c r="G4194">
        <v>15</v>
      </c>
      <c r="H4194">
        <v>7.6</v>
      </c>
      <c r="I4194">
        <v>1.65</v>
      </c>
      <c r="J4194">
        <v>14</v>
      </c>
      <c r="L4194" t="s">
        <v>2709</v>
      </c>
      <c r="M4194">
        <v>34039190</v>
      </c>
      <c r="O4194" t="s">
        <v>20049</v>
      </c>
      <c r="P4194" t="s">
        <v>19899</v>
      </c>
      <c r="Q4194" t="s">
        <v>19983</v>
      </c>
      <c r="R4194" t="s">
        <v>19905</v>
      </c>
      <c r="S4194" t="s">
        <v>19906</v>
      </c>
      <c r="T4194" t="s">
        <v>19911</v>
      </c>
    </row>
    <row r="4195" spans="2:20" x14ac:dyDescent="0.25">
      <c r="B4195" t="s">
        <v>2709</v>
      </c>
      <c r="C4195">
        <v>34039900</v>
      </c>
      <c r="E4195">
        <v>68.73</v>
      </c>
      <c r="F4195">
        <v>18</v>
      </c>
      <c r="G4195">
        <v>15</v>
      </c>
      <c r="H4195">
        <v>7.6</v>
      </c>
      <c r="I4195">
        <v>1.65</v>
      </c>
      <c r="J4195">
        <v>14</v>
      </c>
      <c r="L4195" t="s">
        <v>2709</v>
      </c>
      <c r="M4195">
        <v>34039900</v>
      </c>
      <c r="O4195" t="s">
        <v>20049</v>
      </c>
      <c r="P4195" t="s">
        <v>19899</v>
      </c>
      <c r="Q4195" t="s">
        <v>19983</v>
      </c>
      <c r="R4195" t="s">
        <v>19905</v>
      </c>
      <c r="S4195" t="s">
        <v>19906</v>
      </c>
      <c r="T4195" t="s">
        <v>19911</v>
      </c>
    </row>
    <row r="4196" spans="2:20" x14ac:dyDescent="0.25">
      <c r="B4196" t="s">
        <v>2709</v>
      </c>
      <c r="C4196">
        <v>34042010</v>
      </c>
      <c r="E4196">
        <v>38</v>
      </c>
      <c r="F4196">
        <v>18</v>
      </c>
      <c r="G4196">
        <v>15</v>
      </c>
      <c r="H4196">
        <v>7.6</v>
      </c>
      <c r="I4196">
        <v>1.65</v>
      </c>
      <c r="J4196">
        <v>14</v>
      </c>
      <c r="L4196" t="s">
        <v>2709</v>
      </c>
      <c r="M4196">
        <v>34042010</v>
      </c>
      <c r="O4196" t="s">
        <v>20008</v>
      </c>
      <c r="P4196" t="s">
        <v>19899</v>
      </c>
      <c r="Q4196" t="s">
        <v>19983</v>
      </c>
      <c r="R4196" t="s">
        <v>19905</v>
      </c>
      <c r="S4196" t="s">
        <v>19906</v>
      </c>
      <c r="T4196" t="s">
        <v>19911</v>
      </c>
    </row>
    <row r="4197" spans="2:20" x14ac:dyDescent="0.25">
      <c r="B4197" t="s">
        <v>2709</v>
      </c>
      <c r="C4197">
        <v>34042020</v>
      </c>
      <c r="E4197">
        <v>38</v>
      </c>
      <c r="F4197">
        <v>18</v>
      </c>
      <c r="G4197">
        <v>15</v>
      </c>
      <c r="H4197">
        <v>7.6</v>
      </c>
      <c r="I4197">
        <v>1.65</v>
      </c>
      <c r="J4197">
        <v>14</v>
      </c>
      <c r="L4197" t="s">
        <v>2709</v>
      </c>
      <c r="M4197">
        <v>34042020</v>
      </c>
      <c r="O4197" t="s">
        <v>20008</v>
      </c>
      <c r="P4197" t="s">
        <v>19899</v>
      </c>
      <c r="Q4197" t="s">
        <v>19983</v>
      </c>
      <c r="R4197" t="s">
        <v>19905</v>
      </c>
      <c r="S4197" t="s">
        <v>19906</v>
      </c>
      <c r="T4197" t="s">
        <v>19911</v>
      </c>
    </row>
    <row r="4198" spans="2:20" x14ac:dyDescent="0.25">
      <c r="B4198" t="s">
        <v>2709</v>
      </c>
      <c r="C4198">
        <v>34049011</v>
      </c>
      <c r="E4198">
        <v>38</v>
      </c>
      <c r="F4198">
        <v>18</v>
      </c>
      <c r="G4198">
        <v>15</v>
      </c>
      <c r="H4198">
        <v>7.6</v>
      </c>
      <c r="I4198">
        <v>1.65</v>
      </c>
      <c r="J4198">
        <v>14</v>
      </c>
      <c r="L4198" t="s">
        <v>2709</v>
      </c>
      <c r="M4198">
        <v>34049011</v>
      </c>
      <c r="O4198" t="s">
        <v>20008</v>
      </c>
      <c r="P4198" t="s">
        <v>19899</v>
      </c>
      <c r="Q4198" t="s">
        <v>19983</v>
      </c>
      <c r="R4198" t="s">
        <v>19905</v>
      </c>
      <c r="S4198" t="s">
        <v>19906</v>
      </c>
      <c r="T4198" t="s">
        <v>19911</v>
      </c>
    </row>
    <row r="4199" spans="2:20" x14ac:dyDescent="0.25">
      <c r="B4199" t="s">
        <v>2709</v>
      </c>
      <c r="C4199">
        <v>34049012</v>
      </c>
      <c r="E4199">
        <v>38</v>
      </c>
      <c r="F4199">
        <v>18</v>
      </c>
      <c r="G4199">
        <v>15</v>
      </c>
      <c r="H4199">
        <v>7.6</v>
      </c>
      <c r="I4199">
        <v>1.65</v>
      </c>
      <c r="J4199">
        <v>14</v>
      </c>
      <c r="L4199" t="s">
        <v>2709</v>
      </c>
      <c r="M4199">
        <v>34049012</v>
      </c>
      <c r="O4199" t="s">
        <v>20008</v>
      </c>
      <c r="P4199" t="s">
        <v>19899</v>
      </c>
      <c r="Q4199" t="s">
        <v>19983</v>
      </c>
      <c r="R4199" t="s">
        <v>19905</v>
      </c>
      <c r="S4199" t="s">
        <v>19906</v>
      </c>
      <c r="T4199" t="s">
        <v>19911</v>
      </c>
    </row>
    <row r="4200" spans="2:20" x14ac:dyDescent="0.25">
      <c r="B4200" t="s">
        <v>2709</v>
      </c>
      <c r="C4200">
        <v>34049013</v>
      </c>
      <c r="E4200">
        <v>38</v>
      </c>
      <c r="F4200">
        <v>18</v>
      </c>
      <c r="G4200">
        <v>15</v>
      </c>
      <c r="H4200">
        <v>7.6</v>
      </c>
      <c r="I4200">
        <v>1.65</v>
      </c>
      <c r="J4200">
        <v>14</v>
      </c>
      <c r="L4200" t="s">
        <v>2709</v>
      </c>
      <c r="M4200">
        <v>34049013</v>
      </c>
      <c r="O4200" t="s">
        <v>20008</v>
      </c>
      <c r="P4200" t="s">
        <v>19899</v>
      </c>
      <c r="Q4200" t="s">
        <v>19983</v>
      </c>
      <c r="R4200" t="s">
        <v>19905</v>
      </c>
      <c r="S4200" t="s">
        <v>19906</v>
      </c>
      <c r="T4200" t="s">
        <v>19911</v>
      </c>
    </row>
    <row r="4201" spans="2:20" x14ac:dyDescent="0.25">
      <c r="B4201" t="s">
        <v>2709</v>
      </c>
      <c r="C4201">
        <v>34049014</v>
      </c>
      <c r="E4201">
        <v>38</v>
      </c>
      <c r="F4201">
        <v>18</v>
      </c>
      <c r="G4201">
        <v>15</v>
      </c>
      <c r="H4201">
        <v>7.6</v>
      </c>
      <c r="I4201">
        <v>1.65</v>
      </c>
      <c r="J4201">
        <v>2</v>
      </c>
      <c r="L4201" t="s">
        <v>2709</v>
      </c>
      <c r="M4201">
        <v>34049014</v>
      </c>
      <c r="O4201" t="s">
        <v>20008</v>
      </c>
      <c r="P4201" t="s">
        <v>19899</v>
      </c>
      <c r="Q4201" t="s">
        <v>19983</v>
      </c>
      <c r="R4201" t="s">
        <v>19905</v>
      </c>
      <c r="S4201" t="s">
        <v>19906</v>
      </c>
      <c r="T4201" t="s">
        <v>19901</v>
      </c>
    </row>
    <row r="4202" spans="2:20" x14ac:dyDescent="0.25">
      <c r="B4202" t="s">
        <v>2709</v>
      </c>
      <c r="C4202">
        <v>34049019</v>
      </c>
      <c r="E4202">
        <v>38</v>
      </c>
      <c r="F4202">
        <v>18</v>
      </c>
      <c r="G4202">
        <v>15</v>
      </c>
      <c r="H4202">
        <v>7.6</v>
      </c>
      <c r="I4202">
        <v>1.65</v>
      </c>
      <c r="J4202">
        <v>14</v>
      </c>
      <c r="L4202" t="s">
        <v>2709</v>
      </c>
      <c r="M4202">
        <v>34049019</v>
      </c>
      <c r="O4202" t="s">
        <v>20008</v>
      </c>
      <c r="P4202" t="s">
        <v>19899</v>
      </c>
      <c r="Q4202" t="s">
        <v>19983</v>
      </c>
      <c r="R4202" t="s">
        <v>19905</v>
      </c>
      <c r="S4202" t="s">
        <v>19906</v>
      </c>
      <c r="T4202" t="s">
        <v>19911</v>
      </c>
    </row>
    <row r="4203" spans="2:20" x14ac:dyDescent="0.25">
      <c r="B4203" t="s">
        <v>2709</v>
      </c>
      <c r="C4203">
        <v>34049021</v>
      </c>
      <c r="E4203">
        <v>38</v>
      </c>
      <c r="F4203">
        <v>18</v>
      </c>
      <c r="G4203">
        <v>15</v>
      </c>
      <c r="H4203">
        <v>7.6</v>
      </c>
      <c r="I4203">
        <v>1.65</v>
      </c>
      <c r="J4203">
        <v>2</v>
      </c>
      <c r="L4203" t="s">
        <v>2709</v>
      </c>
      <c r="M4203">
        <v>34049021</v>
      </c>
      <c r="O4203" t="s">
        <v>20008</v>
      </c>
      <c r="P4203" t="s">
        <v>19899</v>
      </c>
      <c r="Q4203" t="s">
        <v>19983</v>
      </c>
      <c r="R4203" t="s">
        <v>19905</v>
      </c>
      <c r="S4203" t="s">
        <v>19906</v>
      </c>
      <c r="T4203" t="s">
        <v>19901</v>
      </c>
    </row>
    <row r="4204" spans="2:20" x14ac:dyDescent="0.25">
      <c r="B4204" t="s">
        <v>2709</v>
      </c>
      <c r="C4204">
        <v>34049029</v>
      </c>
      <c r="E4204">
        <v>38</v>
      </c>
      <c r="F4204">
        <v>18</v>
      </c>
      <c r="G4204">
        <v>15</v>
      </c>
      <c r="H4204">
        <v>7.6</v>
      </c>
      <c r="I4204">
        <v>1.65</v>
      </c>
      <c r="J4204">
        <v>14</v>
      </c>
      <c r="L4204" t="s">
        <v>2709</v>
      </c>
      <c r="M4204">
        <v>34049029</v>
      </c>
      <c r="O4204" t="s">
        <v>20008</v>
      </c>
      <c r="P4204" t="s">
        <v>19899</v>
      </c>
      <c r="Q4204" t="s">
        <v>19983</v>
      </c>
      <c r="R4204" t="s">
        <v>19905</v>
      </c>
      <c r="S4204" t="s">
        <v>19906</v>
      </c>
      <c r="T4204" t="s">
        <v>19911</v>
      </c>
    </row>
    <row r="4205" spans="2:20" x14ac:dyDescent="0.25">
      <c r="B4205" t="s">
        <v>2709</v>
      </c>
      <c r="C4205">
        <v>34051000</v>
      </c>
      <c r="E4205">
        <v>67.5</v>
      </c>
      <c r="F4205">
        <v>18</v>
      </c>
      <c r="G4205">
        <v>10</v>
      </c>
      <c r="H4205">
        <v>7.6</v>
      </c>
      <c r="I4205">
        <v>1.65</v>
      </c>
      <c r="J4205">
        <v>16</v>
      </c>
      <c r="L4205" t="s">
        <v>2709</v>
      </c>
      <c r="M4205">
        <v>34051000</v>
      </c>
      <c r="O4205" t="s">
        <v>20050</v>
      </c>
      <c r="P4205" t="s">
        <v>19899</v>
      </c>
      <c r="Q4205" t="s">
        <v>19904</v>
      </c>
      <c r="R4205" t="s">
        <v>19905</v>
      </c>
      <c r="S4205" t="s">
        <v>19906</v>
      </c>
      <c r="T4205" t="s">
        <v>19913</v>
      </c>
    </row>
    <row r="4206" spans="2:20" x14ac:dyDescent="0.25">
      <c r="B4206" t="s">
        <v>2709</v>
      </c>
      <c r="C4206">
        <v>34052000</v>
      </c>
      <c r="E4206">
        <v>38</v>
      </c>
      <c r="F4206">
        <v>18</v>
      </c>
      <c r="G4206">
        <v>10</v>
      </c>
      <c r="H4206">
        <v>7.6</v>
      </c>
      <c r="I4206">
        <v>1.65</v>
      </c>
      <c r="J4206">
        <v>16</v>
      </c>
      <c r="L4206" t="s">
        <v>2709</v>
      </c>
      <c r="M4206">
        <v>34052000</v>
      </c>
      <c r="O4206" t="s">
        <v>20008</v>
      </c>
      <c r="P4206" t="s">
        <v>19899</v>
      </c>
      <c r="Q4206" t="s">
        <v>19904</v>
      </c>
      <c r="R4206" t="s">
        <v>19905</v>
      </c>
      <c r="S4206" t="s">
        <v>19906</v>
      </c>
      <c r="T4206" t="s">
        <v>19913</v>
      </c>
    </row>
    <row r="4207" spans="2:20" x14ac:dyDescent="0.25">
      <c r="B4207" t="s">
        <v>2709</v>
      </c>
      <c r="C4207">
        <v>34053000</v>
      </c>
      <c r="E4207">
        <v>38</v>
      </c>
      <c r="F4207">
        <v>18</v>
      </c>
      <c r="G4207">
        <v>10</v>
      </c>
      <c r="H4207">
        <v>7.6</v>
      </c>
      <c r="I4207">
        <v>1.65</v>
      </c>
      <c r="J4207">
        <v>16</v>
      </c>
      <c r="L4207" t="s">
        <v>2709</v>
      </c>
      <c r="M4207">
        <v>34053000</v>
      </c>
      <c r="O4207" t="s">
        <v>20008</v>
      </c>
      <c r="P4207" t="s">
        <v>19899</v>
      </c>
      <c r="Q4207" t="s">
        <v>19904</v>
      </c>
      <c r="R4207" t="s">
        <v>19905</v>
      </c>
      <c r="S4207" t="s">
        <v>19906</v>
      </c>
      <c r="T4207" t="s">
        <v>19913</v>
      </c>
    </row>
    <row r="4208" spans="2:20" x14ac:dyDescent="0.25">
      <c r="B4208" t="s">
        <v>2709</v>
      </c>
      <c r="C4208">
        <v>34054000</v>
      </c>
      <c r="E4208">
        <v>56.74</v>
      </c>
      <c r="F4208">
        <v>18</v>
      </c>
      <c r="G4208">
        <v>10</v>
      </c>
      <c r="H4208">
        <v>7.6</v>
      </c>
      <c r="I4208">
        <v>1.65</v>
      </c>
      <c r="J4208">
        <v>16</v>
      </c>
      <c r="L4208" t="s">
        <v>2709</v>
      </c>
      <c r="M4208">
        <v>34054000</v>
      </c>
      <c r="O4208" t="s">
        <v>20051</v>
      </c>
      <c r="P4208" t="s">
        <v>19899</v>
      </c>
      <c r="Q4208" t="s">
        <v>19904</v>
      </c>
      <c r="R4208" t="s">
        <v>19905</v>
      </c>
      <c r="S4208" t="s">
        <v>19906</v>
      </c>
      <c r="T4208" t="s">
        <v>19913</v>
      </c>
    </row>
    <row r="4209" spans="2:20" x14ac:dyDescent="0.25">
      <c r="B4209" t="s">
        <v>2709</v>
      </c>
      <c r="C4209">
        <v>34059000</v>
      </c>
      <c r="E4209">
        <v>38</v>
      </c>
      <c r="F4209">
        <v>18</v>
      </c>
      <c r="G4209">
        <v>10</v>
      </c>
      <c r="H4209">
        <v>7.6</v>
      </c>
      <c r="I4209">
        <v>1.65</v>
      </c>
      <c r="J4209">
        <v>16</v>
      </c>
      <c r="L4209" t="s">
        <v>2709</v>
      </c>
      <c r="M4209">
        <v>34059000</v>
      </c>
      <c r="O4209" t="s">
        <v>20008</v>
      </c>
      <c r="P4209" t="s">
        <v>19899</v>
      </c>
      <c r="Q4209" t="s">
        <v>19904</v>
      </c>
      <c r="R4209" t="s">
        <v>19905</v>
      </c>
      <c r="S4209" t="s">
        <v>19906</v>
      </c>
      <c r="T4209" t="s">
        <v>19913</v>
      </c>
    </row>
    <row r="4210" spans="2:20" x14ac:dyDescent="0.25">
      <c r="B4210" t="s">
        <v>2709</v>
      </c>
      <c r="C4210">
        <v>34060000</v>
      </c>
      <c r="E4210">
        <v>177.19</v>
      </c>
      <c r="F4210">
        <v>18</v>
      </c>
      <c r="G4210">
        <v>0</v>
      </c>
      <c r="H4210">
        <v>7.6</v>
      </c>
      <c r="I4210">
        <v>1.65</v>
      </c>
      <c r="J4210">
        <v>16</v>
      </c>
      <c r="L4210" t="s">
        <v>2709</v>
      </c>
      <c r="M4210">
        <v>34060000</v>
      </c>
      <c r="O4210" t="s">
        <v>19926</v>
      </c>
      <c r="P4210" t="s">
        <v>19899</v>
      </c>
      <c r="Q4210" t="s">
        <v>19900</v>
      </c>
      <c r="R4210" t="s">
        <v>19905</v>
      </c>
      <c r="S4210" t="s">
        <v>19906</v>
      </c>
      <c r="T4210" t="s">
        <v>19913</v>
      </c>
    </row>
    <row r="4211" spans="2:20" x14ac:dyDescent="0.25">
      <c r="B4211" t="s">
        <v>2709</v>
      </c>
      <c r="C4211">
        <v>34070010</v>
      </c>
      <c r="E4211">
        <v>66.3</v>
      </c>
      <c r="F4211">
        <v>18</v>
      </c>
      <c r="G4211">
        <v>10</v>
      </c>
      <c r="H4211">
        <v>7.6</v>
      </c>
      <c r="I4211">
        <v>1.65</v>
      </c>
      <c r="J4211">
        <v>16</v>
      </c>
      <c r="L4211" t="s">
        <v>2709</v>
      </c>
      <c r="M4211">
        <v>34070010</v>
      </c>
      <c r="O4211" t="s">
        <v>20052</v>
      </c>
      <c r="P4211" t="s">
        <v>19899</v>
      </c>
      <c r="Q4211" t="s">
        <v>19904</v>
      </c>
      <c r="R4211" t="s">
        <v>19905</v>
      </c>
      <c r="S4211" t="s">
        <v>19906</v>
      </c>
      <c r="T4211" t="s">
        <v>19913</v>
      </c>
    </row>
    <row r="4212" spans="2:20" x14ac:dyDescent="0.25">
      <c r="B4212" t="s">
        <v>2709</v>
      </c>
      <c r="C4212">
        <v>34070020</v>
      </c>
      <c r="E4212">
        <v>177.19</v>
      </c>
      <c r="F4212">
        <v>18</v>
      </c>
      <c r="G4212">
        <v>10</v>
      </c>
      <c r="H4212">
        <v>7.6</v>
      </c>
      <c r="I4212">
        <v>1.65</v>
      </c>
      <c r="J4212">
        <v>16</v>
      </c>
      <c r="L4212" t="s">
        <v>2709</v>
      </c>
      <c r="M4212">
        <v>34070020</v>
      </c>
      <c r="O4212" t="s">
        <v>19926</v>
      </c>
      <c r="P4212" t="s">
        <v>19899</v>
      </c>
      <c r="Q4212" t="s">
        <v>19904</v>
      </c>
      <c r="R4212" t="s">
        <v>19905</v>
      </c>
      <c r="S4212" t="s">
        <v>19906</v>
      </c>
      <c r="T4212" t="s">
        <v>19913</v>
      </c>
    </row>
    <row r="4213" spans="2:20" x14ac:dyDescent="0.25">
      <c r="B4213" t="s">
        <v>2709</v>
      </c>
      <c r="C4213">
        <v>34070090</v>
      </c>
      <c r="E4213">
        <v>177.19</v>
      </c>
      <c r="F4213">
        <v>18</v>
      </c>
      <c r="G4213">
        <v>10</v>
      </c>
      <c r="H4213">
        <v>7.6</v>
      </c>
      <c r="I4213">
        <v>1.65</v>
      </c>
      <c r="J4213">
        <v>16</v>
      </c>
      <c r="L4213" t="s">
        <v>2709</v>
      </c>
      <c r="M4213">
        <v>34070090</v>
      </c>
      <c r="O4213" t="s">
        <v>19926</v>
      </c>
      <c r="P4213" t="s">
        <v>19899</v>
      </c>
      <c r="Q4213" t="s">
        <v>19904</v>
      </c>
      <c r="R4213" t="s">
        <v>19905</v>
      </c>
      <c r="S4213" t="s">
        <v>19906</v>
      </c>
      <c r="T4213" t="s">
        <v>19913</v>
      </c>
    </row>
    <row r="4214" spans="2:20" x14ac:dyDescent="0.25">
      <c r="B4214" t="s">
        <v>2709</v>
      </c>
      <c r="C4214">
        <v>35011000</v>
      </c>
      <c r="E4214">
        <v>68.040000000000006</v>
      </c>
      <c r="F4214">
        <v>18</v>
      </c>
      <c r="G4214">
        <v>0</v>
      </c>
      <c r="H4214" t="s">
        <v>19447</v>
      </c>
      <c r="I4214" t="s">
        <v>19447</v>
      </c>
      <c r="J4214">
        <v>2</v>
      </c>
      <c r="L4214" t="s">
        <v>2709</v>
      </c>
      <c r="M4214">
        <v>35011000</v>
      </c>
      <c r="O4214" t="s">
        <v>20053</v>
      </c>
      <c r="P4214" t="s">
        <v>19899</v>
      </c>
      <c r="Q4214" t="s">
        <v>19900</v>
      </c>
      <c r="R4214" t="s">
        <v>19447</v>
      </c>
      <c r="S4214" t="s">
        <v>19447</v>
      </c>
      <c r="T4214" t="s">
        <v>19901</v>
      </c>
    </row>
    <row r="4215" spans="2:20" x14ac:dyDescent="0.25">
      <c r="B4215" t="s">
        <v>2709</v>
      </c>
      <c r="C4215">
        <v>35019011</v>
      </c>
      <c r="E4215">
        <v>68.040000000000006</v>
      </c>
      <c r="F4215">
        <v>18</v>
      </c>
      <c r="G4215">
        <v>0</v>
      </c>
      <c r="H4215" t="s">
        <v>19447</v>
      </c>
      <c r="I4215" t="s">
        <v>19447</v>
      </c>
      <c r="J4215">
        <v>14</v>
      </c>
      <c r="L4215" t="s">
        <v>2709</v>
      </c>
      <c r="M4215">
        <v>35019011</v>
      </c>
      <c r="O4215" t="s">
        <v>20053</v>
      </c>
      <c r="P4215" t="s">
        <v>19899</v>
      </c>
      <c r="Q4215" t="s">
        <v>19900</v>
      </c>
      <c r="R4215" t="s">
        <v>19447</v>
      </c>
      <c r="S4215" t="s">
        <v>19447</v>
      </c>
      <c r="T4215" t="s">
        <v>19911</v>
      </c>
    </row>
    <row r="4216" spans="2:20" x14ac:dyDescent="0.25">
      <c r="B4216" t="s">
        <v>2709</v>
      </c>
      <c r="C4216">
        <v>35019019</v>
      </c>
      <c r="E4216">
        <v>68.040000000000006</v>
      </c>
      <c r="F4216">
        <v>18</v>
      </c>
      <c r="G4216">
        <v>0</v>
      </c>
      <c r="H4216" t="s">
        <v>19447</v>
      </c>
      <c r="I4216" t="s">
        <v>19447</v>
      </c>
      <c r="J4216">
        <v>14</v>
      </c>
      <c r="L4216" t="s">
        <v>2709</v>
      </c>
      <c r="M4216">
        <v>35019019</v>
      </c>
      <c r="O4216" t="s">
        <v>20053</v>
      </c>
      <c r="P4216" t="s">
        <v>19899</v>
      </c>
      <c r="Q4216" t="s">
        <v>19900</v>
      </c>
      <c r="R4216" t="s">
        <v>19447</v>
      </c>
      <c r="S4216" t="s">
        <v>19447</v>
      </c>
      <c r="T4216" t="s">
        <v>19911</v>
      </c>
    </row>
    <row r="4217" spans="2:20" x14ac:dyDescent="0.25">
      <c r="B4217" t="s">
        <v>2709</v>
      </c>
      <c r="C4217">
        <v>35019020</v>
      </c>
      <c r="E4217">
        <v>68.040000000000006</v>
      </c>
      <c r="F4217">
        <v>18</v>
      </c>
      <c r="G4217">
        <v>0</v>
      </c>
      <c r="H4217" t="s">
        <v>19447</v>
      </c>
      <c r="I4217" t="s">
        <v>19447</v>
      </c>
      <c r="J4217">
        <v>14</v>
      </c>
      <c r="L4217" t="s">
        <v>2709</v>
      </c>
      <c r="M4217">
        <v>35019020</v>
      </c>
      <c r="O4217" t="s">
        <v>20053</v>
      </c>
      <c r="P4217" t="s">
        <v>19899</v>
      </c>
      <c r="Q4217" t="s">
        <v>19900</v>
      </c>
      <c r="R4217" t="s">
        <v>19447</v>
      </c>
      <c r="S4217" t="s">
        <v>19447</v>
      </c>
      <c r="T4217" t="s">
        <v>19911</v>
      </c>
    </row>
    <row r="4218" spans="2:20" x14ac:dyDescent="0.25">
      <c r="B4218" t="s">
        <v>2709</v>
      </c>
      <c r="C4218">
        <v>35021100</v>
      </c>
      <c r="E4218">
        <v>68.040000000000006</v>
      </c>
      <c r="F4218">
        <v>18</v>
      </c>
      <c r="G4218">
        <v>0</v>
      </c>
      <c r="H4218" t="s">
        <v>19447</v>
      </c>
      <c r="I4218" t="s">
        <v>19447</v>
      </c>
      <c r="J4218">
        <v>14</v>
      </c>
      <c r="L4218" t="s">
        <v>2709</v>
      </c>
      <c r="M4218">
        <v>35021100</v>
      </c>
      <c r="O4218" t="s">
        <v>20053</v>
      </c>
      <c r="P4218" t="s">
        <v>19899</v>
      </c>
      <c r="Q4218" t="s">
        <v>19900</v>
      </c>
      <c r="R4218" t="s">
        <v>19447</v>
      </c>
      <c r="S4218" t="s">
        <v>19447</v>
      </c>
      <c r="T4218" t="s">
        <v>19911</v>
      </c>
    </row>
    <row r="4219" spans="2:20" x14ac:dyDescent="0.25">
      <c r="B4219" t="s">
        <v>2709</v>
      </c>
      <c r="C4219">
        <v>35021900</v>
      </c>
      <c r="E4219">
        <v>68.040000000000006</v>
      </c>
      <c r="F4219">
        <v>18</v>
      </c>
      <c r="G4219">
        <v>0</v>
      </c>
      <c r="H4219" t="s">
        <v>19447</v>
      </c>
      <c r="I4219" t="s">
        <v>19447</v>
      </c>
      <c r="J4219">
        <v>14</v>
      </c>
      <c r="L4219" t="s">
        <v>2709</v>
      </c>
      <c r="M4219">
        <v>35021900</v>
      </c>
      <c r="O4219" t="s">
        <v>20053</v>
      </c>
      <c r="P4219" t="s">
        <v>19899</v>
      </c>
      <c r="Q4219" t="s">
        <v>19900</v>
      </c>
      <c r="R4219" t="s">
        <v>19447</v>
      </c>
      <c r="S4219" t="s">
        <v>19447</v>
      </c>
      <c r="T4219" t="s">
        <v>19911</v>
      </c>
    </row>
    <row r="4220" spans="2:20" x14ac:dyDescent="0.25">
      <c r="B4220" t="s">
        <v>2709</v>
      </c>
      <c r="C4220">
        <v>35022000</v>
      </c>
      <c r="E4220">
        <v>68.040000000000006</v>
      </c>
      <c r="F4220">
        <v>18</v>
      </c>
      <c r="G4220">
        <v>0</v>
      </c>
      <c r="H4220" t="s">
        <v>19447</v>
      </c>
      <c r="I4220" t="s">
        <v>19447</v>
      </c>
      <c r="J4220">
        <v>14</v>
      </c>
      <c r="L4220" t="s">
        <v>2709</v>
      </c>
      <c r="M4220">
        <v>35022000</v>
      </c>
      <c r="O4220" t="s">
        <v>20053</v>
      </c>
      <c r="P4220" t="s">
        <v>19899</v>
      </c>
      <c r="Q4220" t="s">
        <v>19900</v>
      </c>
      <c r="R4220" t="s">
        <v>19447</v>
      </c>
      <c r="S4220" t="s">
        <v>19447</v>
      </c>
      <c r="T4220" t="s">
        <v>19911</v>
      </c>
    </row>
    <row r="4221" spans="2:20" x14ac:dyDescent="0.25">
      <c r="B4221" t="s">
        <v>2709</v>
      </c>
      <c r="C4221">
        <v>35029010</v>
      </c>
      <c r="E4221">
        <v>68.040000000000006</v>
      </c>
      <c r="F4221">
        <v>18</v>
      </c>
      <c r="G4221">
        <v>0</v>
      </c>
      <c r="H4221" t="s">
        <v>19447</v>
      </c>
      <c r="I4221" t="s">
        <v>19447</v>
      </c>
      <c r="J4221">
        <v>2</v>
      </c>
      <c r="L4221" t="s">
        <v>2709</v>
      </c>
      <c r="M4221">
        <v>35029010</v>
      </c>
      <c r="O4221" t="s">
        <v>20053</v>
      </c>
      <c r="P4221" t="s">
        <v>19899</v>
      </c>
      <c r="Q4221" t="s">
        <v>19900</v>
      </c>
      <c r="R4221" t="s">
        <v>19447</v>
      </c>
      <c r="S4221" t="s">
        <v>19447</v>
      </c>
      <c r="T4221" t="s">
        <v>19901</v>
      </c>
    </row>
    <row r="4222" spans="2:20" x14ac:dyDescent="0.25">
      <c r="B4222" t="s">
        <v>2709</v>
      </c>
      <c r="C4222">
        <v>35029090</v>
      </c>
      <c r="E4222">
        <v>68.040000000000006</v>
      </c>
      <c r="F4222">
        <v>18</v>
      </c>
      <c r="G4222">
        <v>0</v>
      </c>
      <c r="H4222" t="s">
        <v>19447</v>
      </c>
      <c r="I4222" t="s">
        <v>19447</v>
      </c>
      <c r="J4222">
        <v>14</v>
      </c>
      <c r="L4222" t="s">
        <v>2709</v>
      </c>
      <c r="M4222">
        <v>35029090</v>
      </c>
      <c r="O4222" t="s">
        <v>20053</v>
      </c>
      <c r="P4222" t="s">
        <v>19899</v>
      </c>
      <c r="Q4222" t="s">
        <v>19900</v>
      </c>
      <c r="R4222" t="s">
        <v>19447</v>
      </c>
      <c r="S4222" t="s">
        <v>19447</v>
      </c>
      <c r="T4222" t="s">
        <v>19911</v>
      </c>
    </row>
    <row r="4223" spans="2:20" x14ac:dyDescent="0.25">
      <c r="B4223" t="s">
        <v>2709</v>
      </c>
      <c r="C4223">
        <v>35030011</v>
      </c>
      <c r="E4223">
        <v>68.040000000000006</v>
      </c>
      <c r="F4223">
        <v>18</v>
      </c>
      <c r="G4223">
        <v>0</v>
      </c>
      <c r="H4223" t="s">
        <v>19447</v>
      </c>
      <c r="I4223" t="s">
        <v>19447</v>
      </c>
      <c r="J4223">
        <v>2</v>
      </c>
      <c r="L4223" t="s">
        <v>2709</v>
      </c>
      <c r="M4223">
        <v>35030011</v>
      </c>
      <c r="O4223" t="s">
        <v>20053</v>
      </c>
      <c r="P4223" t="s">
        <v>19899</v>
      </c>
      <c r="Q4223" t="s">
        <v>19900</v>
      </c>
      <c r="R4223" t="s">
        <v>19447</v>
      </c>
      <c r="S4223" t="s">
        <v>19447</v>
      </c>
      <c r="T4223" t="s">
        <v>19901</v>
      </c>
    </row>
    <row r="4224" spans="2:20" x14ac:dyDescent="0.25">
      <c r="B4224" t="s">
        <v>2709</v>
      </c>
      <c r="C4224">
        <v>35030012</v>
      </c>
      <c r="E4224">
        <v>68.040000000000006</v>
      </c>
      <c r="F4224">
        <v>18</v>
      </c>
      <c r="G4224">
        <v>0</v>
      </c>
      <c r="H4224" t="s">
        <v>19447</v>
      </c>
      <c r="I4224" t="s">
        <v>19447</v>
      </c>
      <c r="J4224">
        <v>14</v>
      </c>
      <c r="L4224" t="s">
        <v>2709</v>
      </c>
      <c r="M4224">
        <v>35030012</v>
      </c>
      <c r="O4224" t="s">
        <v>20053</v>
      </c>
      <c r="P4224" t="s">
        <v>19899</v>
      </c>
      <c r="Q4224" t="s">
        <v>19900</v>
      </c>
      <c r="R4224" t="s">
        <v>19447</v>
      </c>
      <c r="S4224" t="s">
        <v>19447</v>
      </c>
      <c r="T4224" t="s">
        <v>19911</v>
      </c>
    </row>
    <row r="4225" spans="2:20" x14ac:dyDescent="0.25">
      <c r="B4225" t="s">
        <v>2709</v>
      </c>
      <c r="C4225">
        <v>35030019</v>
      </c>
      <c r="E4225">
        <v>68.040000000000006</v>
      </c>
      <c r="F4225">
        <v>18</v>
      </c>
      <c r="G4225">
        <v>0</v>
      </c>
      <c r="H4225" t="s">
        <v>19447</v>
      </c>
      <c r="I4225" t="s">
        <v>19447</v>
      </c>
      <c r="J4225">
        <v>14</v>
      </c>
      <c r="L4225" t="s">
        <v>2709</v>
      </c>
      <c r="M4225">
        <v>35030019</v>
      </c>
      <c r="O4225" t="s">
        <v>20053</v>
      </c>
      <c r="P4225" t="s">
        <v>19899</v>
      </c>
      <c r="Q4225" t="s">
        <v>19900</v>
      </c>
      <c r="R4225" t="s">
        <v>19447</v>
      </c>
      <c r="S4225" t="s">
        <v>19447</v>
      </c>
      <c r="T4225" t="s">
        <v>19911</v>
      </c>
    </row>
    <row r="4226" spans="2:20" x14ac:dyDescent="0.25">
      <c r="B4226" t="s">
        <v>2709</v>
      </c>
      <c r="C4226">
        <v>35030090</v>
      </c>
      <c r="E4226">
        <v>68.040000000000006</v>
      </c>
      <c r="F4226">
        <v>18</v>
      </c>
      <c r="G4226">
        <v>0</v>
      </c>
      <c r="H4226" t="s">
        <v>19447</v>
      </c>
      <c r="I4226" t="s">
        <v>19447</v>
      </c>
      <c r="J4226">
        <v>14</v>
      </c>
      <c r="L4226" t="s">
        <v>2709</v>
      </c>
      <c r="M4226">
        <v>35030090</v>
      </c>
      <c r="O4226" t="s">
        <v>20053</v>
      </c>
      <c r="P4226" t="s">
        <v>19899</v>
      </c>
      <c r="Q4226" t="s">
        <v>19900</v>
      </c>
      <c r="R4226" t="s">
        <v>19447</v>
      </c>
      <c r="S4226" t="s">
        <v>19447</v>
      </c>
      <c r="T4226" t="s">
        <v>19911</v>
      </c>
    </row>
    <row r="4227" spans="2:20" x14ac:dyDescent="0.25">
      <c r="B4227" t="s">
        <v>2709</v>
      </c>
      <c r="C4227">
        <v>35040011</v>
      </c>
      <c r="E4227">
        <v>68.040000000000006</v>
      </c>
      <c r="F4227">
        <v>18</v>
      </c>
      <c r="G4227">
        <v>0</v>
      </c>
      <c r="H4227" t="s">
        <v>19447</v>
      </c>
      <c r="I4227" t="s">
        <v>19447</v>
      </c>
      <c r="J4227">
        <v>14</v>
      </c>
      <c r="L4227" t="s">
        <v>2709</v>
      </c>
      <c r="M4227">
        <v>35040011</v>
      </c>
      <c r="O4227" t="s">
        <v>20053</v>
      </c>
      <c r="P4227" t="s">
        <v>19899</v>
      </c>
      <c r="Q4227" t="s">
        <v>19900</v>
      </c>
      <c r="R4227" t="s">
        <v>19447</v>
      </c>
      <c r="S4227" t="s">
        <v>19447</v>
      </c>
      <c r="T4227" t="s">
        <v>19911</v>
      </c>
    </row>
    <row r="4228" spans="2:20" x14ac:dyDescent="0.25">
      <c r="B4228" t="s">
        <v>2709</v>
      </c>
      <c r="C4228">
        <v>35040019</v>
      </c>
      <c r="E4228">
        <v>68.040000000000006</v>
      </c>
      <c r="F4228">
        <v>18</v>
      </c>
      <c r="G4228">
        <v>0</v>
      </c>
      <c r="H4228" t="s">
        <v>19447</v>
      </c>
      <c r="I4228" t="s">
        <v>19447</v>
      </c>
      <c r="J4228">
        <v>14</v>
      </c>
      <c r="L4228" t="s">
        <v>2709</v>
      </c>
      <c r="M4228">
        <v>35040019</v>
      </c>
      <c r="O4228" t="s">
        <v>20053</v>
      </c>
      <c r="P4228" t="s">
        <v>19899</v>
      </c>
      <c r="Q4228" t="s">
        <v>19900</v>
      </c>
      <c r="R4228" t="s">
        <v>19447</v>
      </c>
      <c r="S4228" t="s">
        <v>19447</v>
      </c>
      <c r="T4228" t="s">
        <v>19911</v>
      </c>
    </row>
    <row r="4229" spans="2:20" x14ac:dyDescent="0.25">
      <c r="B4229" t="s">
        <v>2709</v>
      </c>
      <c r="C4229">
        <v>35040020</v>
      </c>
      <c r="E4229">
        <v>68.040000000000006</v>
      </c>
      <c r="F4229">
        <v>18</v>
      </c>
      <c r="G4229">
        <v>0</v>
      </c>
      <c r="H4229" t="s">
        <v>19447</v>
      </c>
      <c r="I4229" t="s">
        <v>19447</v>
      </c>
      <c r="J4229">
        <v>14</v>
      </c>
      <c r="L4229" t="s">
        <v>2709</v>
      </c>
      <c r="M4229">
        <v>35040020</v>
      </c>
      <c r="O4229" t="s">
        <v>20053</v>
      </c>
      <c r="P4229" t="s">
        <v>19899</v>
      </c>
      <c r="Q4229" t="s">
        <v>19900</v>
      </c>
      <c r="R4229" t="s">
        <v>19447</v>
      </c>
      <c r="S4229" t="s">
        <v>19447</v>
      </c>
      <c r="T4229" t="s">
        <v>19911</v>
      </c>
    </row>
    <row r="4230" spans="2:20" x14ac:dyDescent="0.25">
      <c r="B4230" t="s">
        <v>2709</v>
      </c>
      <c r="C4230">
        <v>35040030</v>
      </c>
      <c r="E4230">
        <v>68.040000000000006</v>
      </c>
      <c r="F4230">
        <v>18</v>
      </c>
      <c r="G4230">
        <v>0</v>
      </c>
      <c r="H4230" t="s">
        <v>19447</v>
      </c>
      <c r="I4230" t="s">
        <v>19447</v>
      </c>
      <c r="J4230">
        <v>2</v>
      </c>
      <c r="L4230" t="s">
        <v>2709</v>
      </c>
      <c r="M4230">
        <v>35040030</v>
      </c>
      <c r="O4230" t="s">
        <v>20053</v>
      </c>
      <c r="P4230" t="s">
        <v>19899</v>
      </c>
      <c r="Q4230" t="s">
        <v>19900</v>
      </c>
      <c r="R4230" t="s">
        <v>19447</v>
      </c>
      <c r="S4230" t="s">
        <v>19447</v>
      </c>
      <c r="T4230" t="s">
        <v>19901</v>
      </c>
    </row>
    <row r="4231" spans="2:20" x14ac:dyDescent="0.25">
      <c r="B4231" t="s">
        <v>2709</v>
      </c>
      <c r="C4231">
        <v>35040090</v>
      </c>
      <c r="E4231">
        <v>68.040000000000006</v>
      </c>
      <c r="F4231">
        <v>0</v>
      </c>
      <c r="G4231">
        <v>0</v>
      </c>
      <c r="H4231" t="s">
        <v>19447</v>
      </c>
      <c r="I4231" t="s">
        <v>19447</v>
      </c>
      <c r="J4231">
        <v>14</v>
      </c>
      <c r="L4231" t="s">
        <v>2709</v>
      </c>
      <c r="M4231">
        <v>35040090</v>
      </c>
      <c r="O4231" t="s">
        <v>20053</v>
      </c>
      <c r="P4231" t="s">
        <v>19900</v>
      </c>
      <c r="Q4231" t="s">
        <v>19900</v>
      </c>
      <c r="R4231" t="s">
        <v>19447</v>
      </c>
      <c r="S4231" t="s">
        <v>19447</v>
      </c>
      <c r="T4231" t="s">
        <v>19911</v>
      </c>
    </row>
    <row r="4232" spans="2:20" x14ac:dyDescent="0.25">
      <c r="B4232" t="s">
        <v>2709</v>
      </c>
      <c r="C4232">
        <v>35051000</v>
      </c>
      <c r="E4232">
        <v>68.040000000000006</v>
      </c>
      <c r="F4232">
        <v>18</v>
      </c>
      <c r="G4232">
        <v>0</v>
      </c>
      <c r="H4232" t="s">
        <v>19447</v>
      </c>
      <c r="I4232" t="s">
        <v>19447</v>
      </c>
      <c r="J4232">
        <v>14</v>
      </c>
      <c r="L4232" t="s">
        <v>2709</v>
      </c>
      <c r="M4232">
        <v>35051000</v>
      </c>
      <c r="O4232" t="s">
        <v>20053</v>
      </c>
      <c r="P4232" t="s">
        <v>19899</v>
      </c>
      <c r="Q4232" t="s">
        <v>19900</v>
      </c>
      <c r="R4232" t="s">
        <v>19447</v>
      </c>
      <c r="S4232" t="s">
        <v>19447</v>
      </c>
      <c r="T4232" t="s">
        <v>19911</v>
      </c>
    </row>
    <row r="4233" spans="2:20" x14ac:dyDescent="0.25">
      <c r="B4233" t="s">
        <v>2709</v>
      </c>
      <c r="C4233">
        <v>35052000</v>
      </c>
      <c r="E4233">
        <v>38</v>
      </c>
      <c r="F4233">
        <v>18</v>
      </c>
      <c r="G4233">
        <v>0</v>
      </c>
      <c r="H4233" t="s">
        <v>19447</v>
      </c>
      <c r="I4233" t="s">
        <v>19447</v>
      </c>
      <c r="J4233">
        <v>14</v>
      </c>
      <c r="L4233" t="s">
        <v>2709</v>
      </c>
      <c r="M4233">
        <v>35052000</v>
      </c>
      <c r="O4233" t="s">
        <v>20008</v>
      </c>
      <c r="P4233" t="s">
        <v>19899</v>
      </c>
      <c r="Q4233" t="s">
        <v>19900</v>
      </c>
      <c r="R4233" t="s">
        <v>19447</v>
      </c>
      <c r="S4233" t="s">
        <v>19447</v>
      </c>
      <c r="T4233" t="s">
        <v>19911</v>
      </c>
    </row>
    <row r="4234" spans="2:20" x14ac:dyDescent="0.25">
      <c r="B4234" t="s">
        <v>2709</v>
      </c>
      <c r="C4234">
        <v>35061010</v>
      </c>
      <c r="E4234">
        <v>38</v>
      </c>
      <c r="F4234">
        <v>18</v>
      </c>
      <c r="G4234">
        <v>0</v>
      </c>
      <c r="H4234" t="s">
        <v>19447</v>
      </c>
      <c r="I4234" t="s">
        <v>19447</v>
      </c>
      <c r="J4234">
        <v>16</v>
      </c>
      <c r="L4234" t="s">
        <v>2709</v>
      </c>
      <c r="M4234">
        <v>35061010</v>
      </c>
      <c r="O4234" t="s">
        <v>20008</v>
      </c>
      <c r="P4234" t="s">
        <v>19899</v>
      </c>
      <c r="Q4234" t="s">
        <v>19900</v>
      </c>
      <c r="R4234" t="s">
        <v>19447</v>
      </c>
      <c r="S4234" t="s">
        <v>19447</v>
      </c>
      <c r="T4234" t="s">
        <v>19913</v>
      </c>
    </row>
    <row r="4235" spans="2:20" x14ac:dyDescent="0.25">
      <c r="B4235" t="s">
        <v>2709</v>
      </c>
      <c r="C4235">
        <v>35061090</v>
      </c>
      <c r="E4235">
        <v>77.63</v>
      </c>
      <c r="F4235">
        <v>18</v>
      </c>
      <c r="G4235">
        <v>0</v>
      </c>
      <c r="H4235" t="s">
        <v>19447</v>
      </c>
      <c r="I4235" t="s">
        <v>19447</v>
      </c>
      <c r="J4235">
        <v>16</v>
      </c>
      <c r="L4235" t="s">
        <v>2709</v>
      </c>
      <c r="M4235">
        <v>35061090</v>
      </c>
      <c r="O4235" t="s">
        <v>20054</v>
      </c>
      <c r="P4235" t="s">
        <v>19899</v>
      </c>
      <c r="Q4235" t="s">
        <v>19900</v>
      </c>
      <c r="R4235" t="s">
        <v>19447</v>
      </c>
      <c r="S4235" t="s">
        <v>19447</v>
      </c>
      <c r="T4235" t="s">
        <v>19913</v>
      </c>
    </row>
    <row r="4236" spans="2:20" x14ac:dyDescent="0.25">
      <c r="B4236" t="s">
        <v>2709</v>
      </c>
      <c r="C4236">
        <v>35069110</v>
      </c>
      <c r="E4236">
        <v>38</v>
      </c>
      <c r="F4236">
        <v>18</v>
      </c>
      <c r="G4236">
        <v>0</v>
      </c>
      <c r="H4236" t="s">
        <v>19447</v>
      </c>
      <c r="I4236" t="s">
        <v>19447</v>
      </c>
      <c r="J4236">
        <v>16</v>
      </c>
      <c r="L4236" t="s">
        <v>2709</v>
      </c>
      <c r="M4236">
        <v>35069110</v>
      </c>
      <c r="O4236" t="s">
        <v>20008</v>
      </c>
      <c r="P4236" t="s">
        <v>19899</v>
      </c>
      <c r="Q4236" t="s">
        <v>19900</v>
      </c>
      <c r="R4236" t="s">
        <v>19447</v>
      </c>
      <c r="S4236" t="s">
        <v>19447</v>
      </c>
      <c r="T4236" t="s">
        <v>19913</v>
      </c>
    </row>
    <row r="4237" spans="2:20" x14ac:dyDescent="0.25">
      <c r="B4237" t="s">
        <v>2709</v>
      </c>
      <c r="C4237">
        <v>35069120</v>
      </c>
      <c r="E4237">
        <v>68.040000000000006</v>
      </c>
      <c r="F4237">
        <v>18</v>
      </c>
      <c r="G4237">
        <v>0</v>
      </c>
      <c r="H4237" t="s">
        <v>19447</v>
      </c>
      <c r="I4237" t="s">
        <v>19447</v>
      </c>
      <c r="J4237">
        <v>16</v>
      </c>
      <c r="L4237" t="s">
        <v>2709</v>
      </c>
      <c r="M4237">
        <v>35069120</v>
      </c>
      <c r="O4237" t="s">
        <v>20053</v>
      </c>
      <c r="P4237" t="s">
        <v>19899</v>
      </c>
      <c r="Q4237" t="s">
        <v>19900</v>
      </c>
      <c r="R4237" t="s">
        <v>19447</v>
      </c>
      <c r="S4237" t="s">
        <v>19447</v>
      </c>
      <c r="T4237" t="s">
        <v>19913</v>
      </c>
    </row>
    <row r="4238" spans="2:20" x14ac:dyDescent="0.25">
      <c r="B4238" t="s">
        <v>2709</v>
      </c>
      <c r="C4238">
        <v>35069190</v>
      </c>
      <c r="E4238">
        <v>77.63</v>
      </c>
      <c r="F4238">
        <v>18</v>
      </c>
      <c r="G4238">
        <v>0</v>
      </c>
      <c r="H4238" t="s">
        <v>19447</v>
      </c>
      <c r="I4238" t="s">
        <v>19447</v>
      </c>
      <c r="J4238">
        <v>16</v>
      </c>
      <c r="L4238" t="s">
        <v>2709</v>
      </c>
      <c r="M4238">
        <v>35069190</v>
      </c>
      <c r="O4238" t="s">
        <v>20054</v>
      </c>
      <c r="P4238" t="s">
        <v>19899</v>
      </c>
      <c r="Q4238" t="s">
        <v>19900</v>
      </c>
      <c r="R4238" t="s">
        <v>19447</v>
      </c>
      <c r="S4238" t="s">
        <v>19447</v>
      </c>
      <c r="T4238" t="s">
        <v>19913</v>
      </c>
    </row>
    <row r="4239" spans="2:20" x14ac:dyDescent="0.25">
      <c r="B4239" t="s">
        <v>2709</v>
      </c>
      <c r="C4239">
        <v>35069900</v>
      </c>
      <c r="E4239">
        <v>38</v>
      </c>
      <c r="F4239">
        <v>18</v>
      </c>
      <c r="G4239">
        <v>0</v>
      </c>
      <c r="H4239" t="s">
        <v>19447</v>
      </c>
      <c r="I4239" t="s">
        <v>19447</v>
      </c>
      <c r="J4239">
        <v>16</v>
      </c>
      <c r="L4239" t="s">
        <v>2709</v>
      </c>
      <c r="M4239">
        <v>35069900</v>
      </c>
      <c r="O4239" t="s">
        <v>20008</v>
      </c>
      <c r="P4239" t="s">
        <v>19899</v>
      </c>
      <c r="Q4239" t="s">
        <v>19900</v>
      </c>
      <c r="R4239" t="s">
        <v>19447</v>
      </c>
      <c r="S4239" t="s">
        <v>19447</v>
      </c>
      <c r="T4239" t="s">
        <v>19913</v>
      </c>
    </row>
    <row r="4240" spans="2:20" x14ac:dyDescent="0.25">
      <c r="B4240" t="s">
        <v>2709</v>
      </c>
      <c r="C4240">
        <v>35071000</v>
      </c>
      <c r="E4240">
        <v>68.040000000000006</v>
      </c>
      <c r="F4240">
        <v>18</v>
      </c>
      <c r="G4240">
        <v>0</v>
      </c>
      <c r="H4240" t="s">
        <v>19447</v>
      </c>
      <c r="I4240" t="s">
        <v>19447</v>
      </c>
      <c r="J4240">
        <v>14</v>
      </c>
      <c r="L4240" t="s">
        <v>2709</v>
      </c>
      <c r="M4240">
        <v>35071000</v>
      </c>
      <c r="O4240" t="s">
        <v>20053</v>
      </c>
      <c r="P4240" t="s">
        <v>19899</v>
      </c>
      <c r="Q4240" t="s">
        <v>19900</v>
      </c>
      <c r="R4240" t="s">
        <v>19447</v>
      </c>
      <c r="S4240" t="s">
        <v>19447</v>
      </c>
      <c r="T4240" t="s">
        <v>19911</v>
      </c>
    </row>
    <row r="4241" spans="2:20" x14ac:dyDescent="0.25">
      <c r="B4241" t="s">
        <v>2709</v>
      </c>
      <c r="C4241">
        <v>35079011</v>
      </c>
      <c r="E4241">
        <v>68.040000000000006</v>
      </c>
      <c r="F4241">
        <v>18</v>
      </c>
      <c r="G4241">
        <v>0</v>
      </c>
      <c r="H4241" t="s">
        <v>19447</v>
      </c>
      <c r="I4241" t="s">
        <v>19447</v>
      </c>
      <c r="J4241">
        <v>14</v>
      </c>
      <c r="L4241" t="s">
        <v>2709</v>
      </c>
      <c r="M4241">
        <v>35079011</v>
      </c>
      <c r="O4241" t="s">
        <v>20053</v>
      </c>
      <c r="P4241" t="s">
        <v>19899</v>
      </c>
      <c r="Q4241" t="s">
        <v>19900</v>
      </c>
      <c r="R4241" t="s">
        <v>19447</v>
      </c>
      <c r="S4241" t="s">
        <v>19447</v>
      </c>
      <c r="T4241" t="s">
        <v>19911</v>
      </c>
    </row>
    <row r="4242" spans="2:20" x14ac:dyDescent="0.25">
      <c r="B4242" t="s">
        <v>2709</v>
      </c>
      <c r="C4242">
        <v>35079019</v>
      </c>
      <c r="E4242">
        <v>68.040000000000006</v>
      </c>
      <c r="F4242">
        <v>18</v>
      </c>
      <c r="G4242">
        <v>0</v>
      </c>
      <c r="H4242" t="s">
        <v>19447</v>
      </c>
      <c r="I4242" t="s">
        <v>19447</v>
      </c>
      <c r="J4242">
        <v>14</v>
      </c>
      <c r="L4242" t="s">
        <v>2709</v>
      </c>
      <c r="M4242">
        <v>35079019</v>
      </c>
      <c r="O4242" t="s">
        <v>20053</v>
      </c>
      <c r="P4242" t="s">
        <v>19899</v>
      </c>
      <c r="Q4242" t="s">
        <v>19900</v>
      </c>
      <c r="R4242" t="s">
        <v>19447</v>
      </c>
      <c r="S4242" t="s">
        <v>19447</v>
      </c>
      <c r="T4242" t="s">
        <v>19911</v>
      </c>
    </row>
    <row r="4243" spans="2:20" x14ac:dyDescent="0.25">
      <c r="B4243" t="s">
        <v>2709</v>
      </c>
      <c r="C4243">
        <v>35079021</v>
      </c>
      <c r="E4243">
        <v>68.040000000000006</v>
      </c>
      <c r="F4243">
        <v>18</v>
      </c>
      <c r="G4243">
        <v>0</v>
      </c>
      <c r="H4243" t="s">
        <v>19447</v>
      </c>
      <c r="I4243" t="s">
        <v>19447</v>
      </c>
      <c r="J4243">
        <v>14</v>
      </c>
      <c r="L4243" t="s">
        <v>2709</v>
      </c>
      <c r="M4243">
        <v>35079021</v>
      </c>
      <c r="O4243" t="s">
        <v>20053</v>
      </c>
      <c r="P4243" t="s">
        <v>19899</v>
      </c>
      <c r="Q4243" t="s">
        <v>19900</v>
      </c>
      <c r="R4243" t="s">
        <v>19447</v>
      </c>
      <c r="S4243" t="s">
        <v>19447</v>
      </c>
      <c r="T4243" t="s">
        <v>19911</v>
      </c>
    </row>
    <row r="4244" spans="2:20" x14ac:dyDescent="0.25">
      <c r="B4244" t="s">
        <v>2709</v>
      </c>
      <c r="C4244">
        <v>35079022</v>
      </c>
      <c r="E4244">
        <v>68.040000000000006</v>
      </c>
      <c r="F4244">
        <v>18</v>
      </c>
      <c r="G4244">
        <v>0</v>
      </c>
      <c r="H4244" t="s">
        <v>19447</v>
      </c>
      <c r="I4244" t="s">
        <v>19447</v>
      </c>
      <c r="J4244">
        <v>2</v>
      </c>
      <c r="L4244" t="s">
        <v>2709</v>
      </c>
      <c r="M4244">
        <v>35079022</v>
      </c>
      <c r="O4244" t="s">
        <v>20053</v>
      </c>
      <c r="P4244" t="s">
        <v>19899</v>
      </c>
      <c r="Q4244" t="s">
        <v>19900</v>
      </c>
      <c r="R4244" t="s">
        <v>19447</v>
      </c>
      <c r="S4244" t="s">
        <v>19447</v>
      </c>
      <c r="T4244" t="s">
        <v>19901</v>
      </c>
    </row>
    <row r="4245" spans="2:20" x14ac:dyDescent="0.25">
      <c r="B4245" t="s">
        <v>2709</v>
      </c>
      <c r="C4245">
        <v>35079023</v>
      </c>
      <c r="E4245">
        <v>68.040000000000006</v>
      </c>
      <c r="F4245">
        <v>18</v>
      </c>
      <c r="G4245">
        <v>0</v>
      </c>
      <c r="H4245" t="s">
        <v>19447</v>
      </c>
      <c r="I4245" t="s">
        <v>19447</v>
      </c>
      <c r="J4245">
        <v>14</v>
      </c>
      <c r="L4245" t="s">
        <v>2709</v>
      </c>
      <c r="M4245">
        <v>35079023</v>
      </c>
      <c r="O4245" t="s">
        <v>20053</v>
      </c>
      <c r="P4245" t="s">
        <v>19899</v>
      </c>
      <c r="Q4245" t="s">
        <v>19900</v>
      </c>
      <c r="R4245" t="s">
        <v>19447</v>
      </c>
      <c r="S4245" t="s">
        <v>19447</v>
      </c>
      <c r="T4245" t="s">
        <v>19911</v>
      </c>
    </row>
    <row r="4246" spans="2:20" x14ac:dyDescent="0.25">
      <c r="B4246" t="s">
        <v>2709</v>
      </c>
      <c r="C4246">
        <v>35079024</v>
      </c>
      <c r="E4246">
        <v>68.040000000000006</v>
      </c>
      <c r="F4246">
        <v>18</v>
      </c>
      <c r="G4246">
        <v>0</v>
      </c>
      <c r="H4246" t="s">
        <v>19447</v>
      </c>
      <c r="I4246" t="s">
        <v>19447</v>
      </c>
      <c r="J4246">
        <v>14</v>
      </c>
      <c r="L4246" t="s">
        <v>2709</v>
      </c>
      <c r="M4246">
        <v>35079024</v>
      </c>
      <c r="O4246" t="s">
        <v>20053</v>
      </c>
      <c r="P4246" t="s">
        <v>19899</v>
      </c>
      <c r="Q4246" t="s">
        <v>19900</v>
      </c>
      <c r="R4246" t="s">
        <v>19447</v>
      </c>
      <c r="S4246" t="s">
        <v>19447</v>
      </c>
      <c r="T4246" t="s">
        <v>19911</v>
      </c>
    </row>
    <row r="4247" spans="2:20" x14ac:dyDescent="0.25">
      <c r="B4247" t="s">
        <v>2709</v>
      </c>
      <c r="C4247">
        <v>35079025</v>
      </c>
      <c r="E4247">
        <v>68.040000000000006</v>
      </c>
      <c r="F4247">
        <v>18</v>
      </c>
      <c r="G4247">
        <v>0</v>
      </c>
      <c r="H4247" t="s">
        <v>19447</v>
      </c>
      <c r="I4247" t="s">
        <v>19447</v>
      </c>
      <c r="J4247">
        <v>14</v>
      </c>
      <c r="L4247" t="s">
        <v>2709</v>
      </c>
      <c r="M4247">
        <v>35079025</v>
      </c>
      <c r="O4247" t="s">
        <v>20053</v>
      </c>
      <c r="P4247" t="s">
        <v>19899</v>
      </c>
      <c r="Q4247" t="s">
        <v>19900</v>
      </c>
      <c r="R4247" t="s">
        <v>19447</v>
      </c>
      <c r="S4247" t="s">
        <v>19447</v>
      </c>
      <c r="T4247" t="s">
        <v>19911</v>
      </c>
    </row>
    <row r="4248" spans="2:20" x14ac:dyDescent="0.25">
      <c r="B4248" t="s">
        <v>2709</v>
      </c>
      <c r="C4248">
        <v>35079026</v>
      </c>
      <c r="E4248">
        <v>68.040000000000006</v>
      </c>
      <c r="F4248">
        <v>18</v>
      </c>
      <c r="G4248">
        <v>0</v>
      </c>
      <c r="H4248" t="s">
        <v>19447</v>
      </c>
      <c r="I4248" t="s">
        <v>19447</v>
      </c>
      <c r="J4248">
        <v>14</v>
      </c>
      <c r="L4248" t="s">
        <v>2709</v>
      </c>
      <c r="M4248">
        <v>35079026</v>
      </c>
      <c r="O4248" t="s">
        <v>20053</v>
      </c>
      <c r="P4248" t="s">
        <v>19899</v>
      </c>
      <c r="Q4248" t="s">
        <v>19900</v>
      </c>
      <c r="R4248" t="s">
        <v>19447</v>
      </c>
      <c r="S4248" t="s">
        <v>19447</v>
      </c>
      <c r="T4248" t="s">
        <v>19911</v>
      </c>
    </row>
    <row r="4249" spans="2:20" x14ac:dyDescent="0.25">
      <c r="B4249" t="s">
        <v>2709</v>
      </c>
      <c r="C4249">
        <v>35079029</v>
      </c>
      <c r="E4249">
        <v>68.040000000000006</v>
      </c>
      <c r="F4249">
        <v>18</v>
      </c>
      <c r="G4249">
        <v>0</v>
      </c>
      <c r="H4249" t="s">
        <v>19447</v>
      </c>
      <c r="I4249" t="s">
        <v>19447</v>
      </c>
      <c r="J4249">
        <v>14</v>
      </c>
      <c r="L4249" t="s">
        <v>2709</v>
      </c>
      <c r="M4249">
        <v>35079029</v>
      </c>
      <c r="O4249" t="s">
        <v>20053</v>
      </c>
      <c r="P4249" t="s">
        <v>19899</v>
      </c>
      <c r="Q4249" t="s">
        <v>19900</v>
      </c>
      <c r="R4249" t="s">
        <v>19447</v>
      </c>
      <c r="S4249" t="s">
        <v>19447</v>
      </c>
      <c r="T4249" t="s">
        <v>19911</v>
      </c>
    </row>
    <row r="4250" spans="2:20" x14ac:dyDescent="0.25">
      <c r="B4250" t="s">
        <v>2709</v>
      </c>
      <c r="C4250">
        <v>35079031</v>
      </c>
      <c r="E4250">
        <v>68.040000000000006</v>
      </c>
      <c r="F4250">
        <v>18</v>
      </c>
      <c r="G4250">
        <v>0</v>
      </c>
      <c r="H4250" t="s">
        <v>19447</v>
      </c>
      <c r="I4250" t="s">
        <v>19447</v>
      </c>
      <c r="J4250">
        <v>2</v>
      </c>
      <c r="L4250" t="s">
        <v>2709</v>
      </c>
      <c r="M4250">
        <v>35079031</v>
      </c>
      <c r="O4250" t="s">
        <v>20053</v>
      </c>
      <c r="P4250" t="s">
        <v>19899</v>
      </c>
      <c r="Q4250" t="s">
        <v>19900</v>
      </c>
      <c r="R4250" t="s">
        <v>19447</v>
      </c>
      <c r="S4250" t="s">
        <v>19447</v>
      </c>
      <c r="T4250" t="s">
        <v>19901</v>
      </c>
    </row>
    <row r="4251" spans="2:20" x14ac:dyDescent="0.25">
      <c r="B4251" t="s">
        <v>2709</v>
      </c>
      <c r="C4251">
        <v>35079032</v>
      </c>
      <c r="E4251">
        <v>68.040000000000006</v>
      </c>
      <c r="F4251">
        <v>18</v>
      </c>
      <c r="G4251">
        <v>0</v>
      </c>
      <c r="H4251" t="s">
        <v>19447</v>
      </c>
      <c r="I4251" t="s">
        <v>19447</v>
      </c>
      <c r="J4251">
        <v>2</v>
      </c>
      <c r="L4251" t="s">
        <v>2709</v>
      </c>
      <c r="M4251">
        <v>35079032</v>
      </c>
      <c r="O4251" t="s">
        <v>20053</v>
      </c>
      <c r="P4251" t="s">
        <v>19899</v>
      </c>
      <c r="Q4251" t="s">
        <v>19900</v>
      </c>
      <c r="R4251" t="s">
        <v>19447</v>
      </c>
      <c r="S4251" t="s">
        <v>19447</v>
      </c>
      <c r="T4251" t="s">
        <v>19901</v>
      </c>
    </row>
    <row r="4252" spans="2:20" x14ac:dyDescent="0.25">
      <c r="B4252" t="s">
        <v>2709</v>
      </c>
      <c r="C4252">
        <v>35079039</v>
      </c>
      <c r="E4252">
        <v>68.040000000000006</v>
      </c>
      <c r="F4252">
        <v>18</v>
      </c>
      <c r="G4252">
        <v>0</v>
      </c>
      <c r="H4252" t="s">
        <v>19447</v>
      </c>
      <c r="I4252" t="s">
        <v>19447</v>
      </c>
      <c r="J4252">
        <v>14</v>
      </c>
      <c r="L4252" t="s">
        <v>2709</v>
      </c>
      <c r="M4252">
        <v>35079039</v>
      </c>
      <c r="O4252" t="s">
        <v>20053</v>
      </c>
      <c r="P4252" t="s">
        <v>19899</v>
      </c>
      <c r="Q4252" t="s">
        <v>19900</v>
      </c>
      <c r="R4252" t="s">
        <v>19447</v>
      </c>
      <c r="S4252" t="s">
        <v>19447</v>
      </c>
      <c r="T4252" t="s">
        <v>19911</v>
      </c>
    </row>
    <row r="4253" spans="2:20" x14ac:dyDescent="0.25">
      <c r="B4253" t="s">
        <v>2709</v>
      </c>
      <c r="C4253">
        <v>35079041</v>
      </c>
      <c r="E4253">
        <v>68.040000000000006</v>
      </c>
      <c r="F4253">
        <v>18</v>
      </c>
      <c r="G4253">
        <v>0</v>
      </c>
      <c r="H4253" t="s">
        <v>19447</v>
      </c>
      <c r="I4253" t="s">
        <v>19447</v>
      </c>
      <c r="J4253">
        <v>14</v>
      </c>
      <c r="L4253" t="s">
        <v>2709</v>
      </c>
      <c r="M4253">
        <v>35079041</v>
      </c>
      <c r="O4253" t="s">
        <v>20053</v>
      </c>
      <c r="P4253" t="s">
        <v>19899</v>
      </c>
      <c r="Q4253" t="s">
        <v>19900</v>
      </c>
      <c r="R4253" t="s">
        <v>19447</v>
      </c>
      <c r="S4253" t="s">
        <v>19447</v>
      </c>
      <c r="T4253" t="s">
        <v>19911</v>
      </c>
    </row>
    <row r="4254" spans="2:20" x14ac:dyDescent="0.25">
      <c r="B4254" t="s">
        <v>2709</v>
      </c>
      <c r="C4254">
        <v>35079042</v>
      </c>
      <c r="E4254">
        <v>68.040000000000006</v>
      </c>
      <c r="F4254">
        <v>0</v>
      </c>
      <c r="G4254">
        <v>0</v>
      </c>
      <c r="H4254" t="s">
        <v>19447</v>
      </c>
      <c r="I4254" t="s">
        <v>19447</v>
      </c>
      <c r="J4254">
        <v>2</v>
      </c>
      <c r="L4254" t="s">
        <v>2709</v>
      </c>
      <c r="M4254">
        <v>35079042</v>
      </c>
      <c r="O4254" t="s">
        <v>20053</v>
      </c>
      <c r="P4254" t="s">
        <v>19900</v>
      </c>
      <c r="Q4254" t="s">
        <v>19900</v>
      </c>
      <c r="R4254" t="s">
        <v>19447</v>
      </c>
      <c r="S4254" t="s">
        <v>19447</v>
      </c>
      <c r="T4254" t="s">
        <v>19901</v>
      </c>
    </row>
    <row r="4255" spans="2:20" x14ac:dyDescent="0.25">
      <c r="B4255" t="s">
        <v>2709</v>
      </c>
      <c r="C4255">
        <v>35079049</v>
      </c>
      <c r="E4255">
        <v>68.040000000000006</v>
      </c>
      <c r="F4255">
        <v>0</v>
      </c>
      <c r="G4255">
        <v>0</v>
      </c>
      <c r="H4255" t="s">
        <v>19447</v>
      </c>
      <c r="I4255" t="s">
        <v>19447</v>
      </c>
      <c r="J4255">
        <v>14</v>
      </c>
      <c r="L4255" t="s">
        <v>2709</v>
      </c>
      <c r="M4255">
        <v>35079049</v>
      </c>
      <c r="O4255" t="s">
        <v>20053</v>
      </c>
      <c r="P4255" t="s">
        <v>19900</v>
      </c>
      <c r="Q4255" t="s">
        <v>19900</v>
      </c>
      <c r="R4255" t="s">
        <v>19447</v>
      </c>
      <c r="S4255" t="s">
        <v>19447</v>
      </c>
      <c r="T4255" t="s">
        <v>19911</v>
      </c>
    </row>
    <row r="4256" spans="2:20" x14ac:dyDescent="0.25">
      <c r="B4256" t="s">
        <v>2709</v>
      </c>
      <c r="C4256">
        <v>36010000</v>
      </c>
      <c r="E4256" t="s">
        <v>19447</v>
      </c>
      <c r="F4256">
        <v>18</v>
      </c>
      <c r="G4256">
        <v>25</v>
      </c>
      <c r="H4256">
        <v>7.6</v>
      </c>
      <c r="I4256">
        <v>1.65</v>
      </c>
      <c r="J4256">
        <v>12</v>
      </c>
      <c r="L4256" t="s">
        <v>2709</v>
      </c>
      <c r="M4256">
        <v>36010000</v>
      </c>
      <c r="O4256" t="s">
        <v>19447</v>
      </c>
      <c r="P4256" t="s">
        <v>19899</v>
      </c>
      <c r="Q4256" t="s">
        <v>19982</v>
      </c>
      <c r="R4256" t="s">
        <v>19905</v>
      </c>
      <c r="S4256" t="s">
        <v>19906</v>
      </c>
      <c r="T4256" t="s">
        <v>19903</v>
      </c>
    </row>
    <row r="4257" spans="2:20" x14ac:dyDescent="0.25">
      <c r="B4257" t="s">
        <v>2709</v>
      </c>
      <c r="C4257">
        <v>36020000</v>
      </c>
      <c r="E4257" t="s">
        <v>19447</v>
      </c>
      <c r="F4257">
        <v>18</v>
      </c>
      <c r="G4257">
        <v>20</v>
      </c>
      <c r="H4257">
        <v>7.6</v>
      </c>
      <c r="I4257">
        <v>1.65</v>
      </c>
      <c r="J4257">
        <v>12</v>
      </c>
      <c r="L4257" t="s">
        <v>2709</v>
      </c>
      <c r="M4257">
        <v>36020000</v>
      </c>
      <c r="O4257" t="s">
        <v>19447</v>
      </c>
      <c r="P4257" t="s">
        <v>19899</v>
      </c>
      <c r="Q4257" t="s">
        <v>19934</v>
      </c>
      <c r="R4257" t="s">
        <v>19905</v>
      </c>
      <c r="S4257" t="s">
        <v>19906</v>
      </c>
      <c r="T4257" t="s">
        <v>19903</v>
      </c>
    </row>
    <row r="4258" spans="2:20" x14ac:dyDescent="0.25">
      <c r="B4258" t="s">
        <v>2709</v>
      </c>
      <c r="C4258">
        <v>36020000</v>
      </c>
      <c r="D4258">
        <v>1</v>
      </c>
      <c r="E4258" t="s">
        <v>19447</v>
      </c>
      <c r="F4258">
        <v>18</v>
      </c>
      <c r="G4258">
        <v>5</v>
      </c>
      <c r="H4258">
        <v>7.6</v>
      </c>
      <c r="I4258">
        <v>1.65</v>
      </c>
      <c r="J4258">
        <v>12</v>
      </c>
      <c r="L4258" t="s">
        <v>2709</v>
      </c>
      <c r="M4258">
        <v>36020000</v>
      </c>
      <c r="N4258">
        <v>1</v>
      </c>
      <c r="O4258" t="s">
        <v>19447</v>
      </c>
      <c r="P4258" t="s">
        <v>19899</v>
      </c>
      <c r="Q4258" t="s">
        <v>19909</v>
      </c>
      <c r="R4258" t="s">
        <v>19905</v>
      </c>
      <c r="S4258" t="s">
        <v>19906</v>
      </c>
      <c r="T4258" t="s">
        <v>19903</v>
      </c>
    </row>
    <row r="4259" spans="2:20" x14ac:dyDescent="0.25">
      <c r="B4259" t="s">
        <v>2709</v>
      </c>
      <c r="C4259">
        <v>36030000</v>
      </c>
      <c r="E4259" t="s">
        <v>19447</v>
      </c>
      <c r="F4259">
        <v>18</v>
      </c>
      <c r="G4259">
        <v>20</v>
      </c>
      <c r="H4259">
        <v>7.6</v>
      </c>
      <c r="I4259">
        <v>1.65</v>
      </c>
      <c r="J4259">
        <v>12</v>
      </c>
      <c r="L4259" t="s">
        <v>2709</v>
      </c>
      <c r="M4259">
        <v>36030000</v>
      </c>
      <c r="O4259" t="s">
        <v>19447</v>
      </c>
      <c r="P4259" t="s">
        <v>19899</v>
      </c>
      <c r="Q4259" t="s">
        <v>19934</v>
      </c>
      <c r="R4259" t="s">
        <v>19905</v>
      </c>
      <c r="S4259" t="s">
        <v>19906</v>
      </c>
      <c r="T4259" t="s">
        <v>19903</v>
      </c>
    </row>
    <row r="4260" spans="2:20" x14ac:dyDescent="0.25">
      <c r="B4260" t="s">
        <v>2709</v>
      </c>
      <c r="C4260">
        <v>36041000</v>
      </c>
      <c r="E4260" t="s">
        <v>19447</v>
      </c>
      <c r="F4260">
        <v>25</v>
      </c>
      <c r="G4260">
        <v>30</v>
      </c>
      <c r="H4260">
        <v>7.6</v>
      </c>
      <c r="I4260">
        <v>1.65</v>
      </c>
      <c r="J4260">
        <v>14</v>
      </c>
      <c r="L4260" t="s">
        <v>2709</v>
      </c>
      <c r="M4260">
        <v>36041000</v>
      </c>
      <c r="O4260" t="s">
        <v>19447</v>
      </c>
      <c r="P4260" t="s">
        <v>19982</v>
      </c>
      <c r="Q4260" t="s">
        <v>19933</v>
      </c>
      <c r="R4260" t="s">
        <v>19905</v>
      </c>
      <c r="S4260" t="s">
        <v>19906</v>
      </c>
      <c r="T4260" t="s">
        <v>19911</v>
      </c>
    </row>
    <row r="4261" spans="2:20" x14ac:dyDescent="0.25">
      <c r="B4261" t="s">
        <v>2709</v>
      </c>
      <c r="C4261">
        <v>36049010</v>
      </c>
      <c r="E4261" t="s">
        <v>19447</v>
      </c>
      <c r="F4261">
        <v>18</v>
      </c>
      <c r="G4261">
        <v>10</v>
      </c>
      <c r="H4261">
        <v>7.6</v>
      </c>
      <c r="I4261">
        <v>1.65</v>
      </c>
      <c r="J4261">
        <v>4</v>
      </c>
      <c r="L4261" t="s">
        <v>2709</v>
      </c>
      <c r="M4261">
        <v>36049010</v>
      </c>
      <c r="O4261" t="s">
        <v>19447</v>
      </c>
      <c r="P4261" t="s">
        <v>19899</v>
      </c>
      <c r="Q4261" t="s">
        <v>19904</v>
      </c>
      <c r="R4261" t="s">
        <v>19905</v>
      </c>
      <c r="S4261" t="s">
        <v>19906</v>
      </c>
      <c r="T4261" t="s">
        <v>19902</v>
      </c>
    </row>
    <row r="4262" spans="2:20" x14ac:dyDescent="0.25">
      <c r="B4262" t="s">
        <v>2709</v>
      </c>
      <c r="C4262">
        <v>36049090</v>
      </c>
      <c r="E4262" t="s">
        <v>19447</v>
      </c>
      <c r="F4262">
        <v>18</v>
      </c>
      <c r="G4262">
        <v>30</v>
      </c>
      <c r="H4262">
        <v>7.6</v>
      </c>
      <c r="I4262">
        <v>1.65</v>
      </c>
      <c r="J4262">
        <v>14</v>
      </c>
      <c r="L4262" t="s">
        <v>2709</v>
      </c>
      <c r="M4262">
        <v>36049090</v>
      </c>
      <c r="O4262" t="s">
        <v>19447</v>
      </c>
      <c r="P4262" t="s">
        <v>19899</v>
      </c>
      <c r="Q4262" t="s">
        <v>19933</v>
      </c>
      <c r="R4262" t="s">
        <v>19905</v>
      </c>
      <c r="S4262" t="s">
        <v>19906</v>
      </c>
      <c r="T4262" t="s">
        <v>19911</v>
      </c>
    </row>
    <row r="4263" spans="2:20" x14ac:dyDescent="0.25">
      <c r="B4263" t="s">
        <v>2709</v>
      </c>
      <c r="C4263">
        <v>36049090</v>
      </c>
      <c r="D4263">
        <v>1</v>
      </c>
      <c r="E4263" t="s">
        <v>19447</v>
      </c>
      <c r="F4263">
        <v>18</v>
      </c>
      <c r="G4263">
        <v>10</v>
      </c>
      <c r="H4263">
        <v>7.6</v>
      </c>
      <c r="I4263">
        <v>1.65</v>
      </c>
      <c r="J4263">
        <v>14</v>
      </c>
      <c r="L4263" t="s">
        <v>2709</v>
      </c>
      <c r="M4263">
        <v>36049090</v>
      </c>
      <c r="N4263">
        <v>1</v>
      </c>
      <c r="O4263" t="s">
        <v>19447</v>
      </c>
      <c r="P4263" t="s">
        <v>19899</v>
      </c>
      <c r="Q4263" t="s">
        <v>19904</v>
      </c>
      <c r="R4263" t="s">
        <v>19905</v>
      </c>
      <c r="S4263" t="s">
        <v>19906</v>
      </c>
      <c r="T4263" t="s">
        <v>19911</v>
      </c>
    </row>
    <row r="4264" spans="2:20" x14ac:dyDescent="0.25">
      <c r="B4264" t="s">
        <v>2709</v>
      </c>
      <c r="C4264">
        <v>36050000</v>
      </c>
      <c r="E4264" t="s">
        <v>19447</v>
      </c>
      <c r="F4264">
        <v>18</v>
      </c>
      <c r="G4264">
        <v>0</v>
      </c>
      <c r="H4264">
        <v>7.6</v>
      </c>
      <c r="I4264">
        <v>1.65</v>
      </c>
      <c r="J4264">
        <v>14</v>
      </c>
      <c r="L4264" t="s">
        <v>2709</v>
      </c>
      <c r="M4264">
        <v>36050000</v>
      </c>
      <c r="O4264" t="s">
        <v>19447</v>
      </c>
      <c r="P4264" t="s">
        <v>19899</v>
      </c>
      <c r="Q4264" t="s">
        <v>19900</v>
      </c>
      <c r="R4264" t="s">
        <v>19905</v>
      </c>
      <c r="S4264" t="s">
        <v>19906</v>
      </c>
      <c r="T4264" t="s">
        <v>19911</v>
      </c>
    </row>
    <row r="4265" spans="2:20" x14ac:dyDescent="0.25">
      <c r="B4265" t="s">
        <v>2709</v>
      </c>
      <c r="C4265">
        <v>36061000</v>
      </c>
      <c r="E4265" t="s">
        <v>19447</v>
      </c>
      <c r="F4265">
        <v>18</v>
      </c>
      <c r="G4265">
        <v>20</v>
      </c>
      <c r="H4265">
        <v>7.6</v>
      </c>
      <c r="I4265">
        <v>1.65</v>
      </c>
      <c r="J4265">
        <v>14</v>
      </c>
      <c r="L4265" t="s">
        <v>2709</v>
      </c>
      <c r="M4265">
        <v>36061000</v>
      </c>
      <c r="O4265" t="s">
        <v>19447</v>
      </c>
      <c r="P4265" t="s">
        <v>19899</v>
      </c>
      <c r="Q4265" t="s">
        <v>19934</v>
      </c>
      <c r="R4265" t="s">
        <v>19905</v>
      </c>
      <c r="S4265" t="s">
        <v>19906</v>
      </c>
      <c r="T4265" t="s">
        <v>19911</v>
      </c>
    </row>
    <row r="4266" spans="2:20" x14ac:dyDescent="0.25">
      <c r="B4266" t="s">
        <v>2709</v>
      </c>
      <c r="C4266">
        <v>36069000</v>
      </c>
      <c r="E4266" t="s">
        <v>19447</v>
      </c>
      <c r="F4266">
        <v>18</v>
      </c>
      <c r="G4266">
        <v>20</v>
      </c>
      <c r="H4266">
        <v>7.6</v>
      </c>
      <c r="I4266">
        <v>1.65</v>
      </c>
      <c r="J4266">
        <v>14</v>
      </c>
      <c r="L4266" t="s">
        <v>2709</v>
      </c>
      <c r="M4266">
        <v>36069000</v>
      </c>
      <c r="O4266" t="s">
        <v>19447</v>
      </c>
      <c r="P4266" t="s">
        <v>19899</v>
      </c>
      <c r="Q4266" t="s">
        <v>19934</v>
      </c>
      <c r="R4266" t="s">
        <v>19905</v>
      </c>
      <c r="S4266" t="s">
        <v>19906</v>
      </c>
      <c r="T4266" t="s">
        <v>19911</v>
      </c>
    </row>
    <row r="4267" spans="2:20" x14ac:dyDescent="0.25">
      <c r="B4267" t="s">
        <v>2709</v>
      </c>
      <c r="C4267">
        <v>37011010</v>
      </c>
      <c r="E4267">
        <v>112.46</v>
      </c>
      <c r="F4267">
        <v>0</v>
      </c>
      <c r="G4267">
        <v>0</v>
      </c>
      <c r="H4267">
        <v>7.6</v>
      </c>
      <c r="I4267">
        <v>1.65</v>
      </c>
      <c r="J4267">
        <v>14</v>
      </c>
      <c r="L4267" t="s">
        <v>2709</v>
      </c>
      <c r="M4267">
        <v>37011010</v>
      </c>
      <c r="O4267" t="s">
        <v>20055</v>
      </c>
      <c r="P4267" t="s">
        <v>19900</v>
      </c>
      <c r="Q4267" t="s">
        <v>19900</v>
      </c>
      <c r="R4267" t="s">
        <v>19905</v>
      </c>
      <c r="S4267" t="s">
        <v>19906</v>
      </c>
      <c r="T4267" t="s">
        <v>19911</v>
      </c>
    </row>
    <row r="4268" spans="2:20" x14ac:dyDescent="0.25">
      <c r="B4268" t="s">
        <v>2709</v>
      </c>
      <c r="C4268">
        <v>37011021</v>
      </c>
      <c r="E4268">
        <v>112.46</v>
      </c>
      <c r="F4268">
        <v>18</v>
      </c>
      <c r="G4268">
        <v>0</v>
      </c>
      <c r="H4268">
        <v>7.6</v>
      </c>
      <c r="I4268">
        <v>1.65</v>
      </c>
      <c r="J4268">
        <v>2</v>
      </c>
      <c r="L4268" t="s">
        <v>2709</v>
      </c>
      <c r="M4268">
        <v>37011021</v>
      </c>
      <c r="O4268" t="s">
        <v>20055</v>
      </c>
      <c r="P4268" t="s">
        <v>19899</v>
      </c>
      <c r="Q4268" t="s">
        <v>19900</v>
      </c>
      <c r="R4268" t="s">
        <v>19905</v>
      </c>
      <c r="S4268" t="s">
        <v>19906</v>
      </c>
      <c r="T4268" t="s">
        <v>19901</v>
      </c>
    </row>
    <row r="4269" spans="2:20" x14ac:dyDescent="0.25">
      <c r="B4269" t="s">
        <v>2709</v>
      </c>
      <c r="C4269">
        <v>37011029</v>
      </c>
      <c r="E4269">
        <v>112.46</v>
      </c>
      <c r="F4269">
        <v>0</v>
      </c>
      <c r="G4269">
        <v>0</v>
      </c>
      <c r="H4269">
        <v>7.6</v>
      </c>
      <c r="I4269">
        <v>1.65</v>
      </c>
      <c r="J4269">
        <v>14</v>
      </c>
      <c r="L4269" t="s">
        <v>2709</v>
      </c>
      <c r="M4269">
        <v>37011029</v>
      </c>
      <c r="O4269" t="s">
        <v>20055</v>
      </c>
      <c r="P4269" t="s">
        <v>19900</v>
      </c>
      <c r="Q4269" t="s">
        <v>19900</v>
      </c>
      <c r="R4269" t="s">
        <v>19905</v>
      </c>
      <c r="S4269" t="s">
        <v>19906</v>
      </c>
      <c r="T4269" t="s">
        <v>19911</v>
      </c>
    </row>
    <row r="4270" spans="2:20" x14ac:dyDescent="0.25">
      <c r="B4270" t="s">
        <v>2709</v>
      </c>
      <c r="C4270">
        <v>37012010</v>
      </c>
      <c r="E4270">
        <v>112.46</v>
      </c>
      <c r="F4270">
        <v>18</v>
      </c>
      <c r="G4270">
        <v>15</v>
      </c>
      <c r="H4270">
        <v>7.6</v>
      </c>
      <c r="I4270">
        <v>1.65</v>
      </c>
      <c r="J4270">
        <v>2</v>
      </c>
      <c r="L4270" t="s">
        <v>2709</v>
      </c>
      <c r="M4270">
        <v>37012010</v>
      </c>
      <c r="O4270" t="s">
        <v>20055</v>
      </c>
      <c r="P4270" t="s">
        <v>19899</v>
      </c>
      <c r="Q4270" t="s">
        <v>19983</v>
      </c>
      <c r="R4270" t="s">
        <v>19905</v>
      </c>
      <c r="S4270" t="s">
        <v>19906</v>
      </c>
      <c r="T4270" t="s">
        <v>19901</v>
      </c>
    </row>
    <row r="4271" spans="2:20" x14ac:dyDescent="0.25">
      <c r="B4271" t="s">
        <v>2709</v>
      </c>
      <c r="C4271">
        <v>37012020</v>
      </c>
      <c r="E4271">
        <v>112.46</v>
      </c>
      <c r="F4271">
        <v>18</v>
      </c>
      <c r="G4271">
        <v>15</v>
      </c>
      <c r="H4271">
        <v>7.6</v>
      </c>
      <c r="I4271">
        <v>1.65</v>
      </c>
      <c r="J4271">
        <v>2</v>
      </c>
      <c r="L4271" t="s">
        <v>2709</v>
      </c>
      <c r="M4271">
        <v>37012020</v>
      </c>
      <c r="O4271" t="s">
        <v>20055</v>
      </c>
      <c r="P4271" t="s">
        <v>19899</v>
      </c>
      <c r="Q4271" t="s">
        <v>19983</v>
      </c>
      <c r="R4271" t="s">
        <v>19905</v>
      </c>
      <c r="S4271" t="s">
        <v>19906</v>
      </c>
      <c r="T4271" t="s">
        <v>19901</v>
      </c>
    </row>
    <row r="4272" spans="2:20" x14ac:dyDescent="0.25">
      <c r="B4272" t="s">
        <v>2709</v>
      </c>
      <c r="C4272">
        <v>37013010</v>
      </c>
      <c r="E4272">
        <v>112.46</v>
      </c>
      <c r="F4272">
        <v>18</v>
      </c>
      <c r="G4272">
        <v>15</v>
      </c>
      <c r="H4272">
        <v>7.6</v>
      </c>
      <c r="I4272">
        <v>1.65</v>
      </c>
      <c r="J4272">
        <v>2</v>
      </c>
      <c r="L4272" t="s">
        <v>2709</v>
      </c>
      <c r="M4272">
        <v>37013010</v>
      </c>
      <c r="O4272" t="s">
        <v>20055</v>
      </c>
      <c r="P4272" t="s">
        <v>19899</v>
      </c>
      <c r="Q4272" t="s">
        <v>19983</v>
      </c>
      <c r="R4272" t="s">
        <v>19905</v>
      </c>
      <c r="S4272" t="s">
        <v>19906</v>
      </c>
      <c r="T4272" t="s">
        <v>19901</v>
      </c>
    </row>
    <row r="4273" spans="2:20" x14ac:dyDescent="0.25">
      <c r="B4273" t="s">
        <v>2709</v>
      </c>
      <c r="C4273">
        <v>37013021</v>
      </c>
      <c r="E4273">
        <v>112.46</v>
      </c>
      <c r="F4273">
        <v>18</v>
      </c>
      <c r="G4273">
        <v>15</v>
      </c>
      <c r="H4273">
        <v>7.6</v>
      </c>
      <c r="I4273">
        <v>1.65</v>
      </c>
      <c r="J4273">
        <v>14</v>
      </c>
      <c r="L4273" t="s">
        <v>2709</v>
      </c>
      <c r="M4273">
        <v>37013021</v>
      </c>
      <c r="O4273" t="s">
        <v>20055</v>
      </c>
      <c r="P4273" t="s">
        <v>19899</v>
      </c>
      <c r="Q4273" t="s">
        <v>19983</v>
      </c>
      <c r="R4273" t="s">
        <v>19905</v>
      </c>
      <c r="S4273" t="s">
        <v>19906</v>
      </c>
      <c r="T4273" t="s">
        <v>19911</v>
      </c>
    </row>
    <row r="4274" spans="2:20" x14ac:dyDescent="0.25">
      <c r="B4274" t="s">
        <v>2709</v>
      </c>
      <c r="C4274">
        <v>37013022</v>
      </c>
      <c r="E4274">
        <v>112.46</v>
      </c>
      <c r="F4274">
        <v>18</v>
      </c>
      <c r="G4274">
        <v>15</v>
      </c>
      <c r="H4274">
        <v>7.6</v>
      </c>
      <c r="I4274">
        <v>1.65</v>
      </c>
      <c r="J4274">
        <v>2</v>
      </c>
      <c r="L4274" t="s">
        <v>2709</v>
      </c>
      <c r="M4274">
        <v>37013022</v>
      </c>
      <c r="O4274" t="s">
        <v>20055</v>
      </c>
      <c r="P4274" t="s">
        <v>19899</v>
      </c>
      <c r="Q4274" t="s">
        <v>19983</v>
      </c>
      <c r="R4274" t="s">
        <v>19905</v>
      </c>
      <c r="S4274" t="s">
        <v>19906</v>
      </c>
      <c r="T4274" t="s">
        <v>19901</v>
      </c>
    </row>
    <row r="4275" spans="2:20" x14ac:dyDescent="0.25">
      <c r="B4275" t="s">
        <v>2709</v>
      </c>
      <c r="C4275">
        <v>37013029</v>
      </c>
      <c r="E4275">
        <v>112.46</v>
      </c>
      <c r="F4275">
        <v>18</v>
      </c>
      <c r="G4275">
        <v>15</v>
      </c>
      <c r="H4275">
        <v>7.6</v>
      </c>
      <c r="I4275">
        <v>1.65</v>
      </c>
      <c r="J4275">
        <v>14</v>
      </c>
      <c r="L4275" t="s">
        <v>2709</v>
      </c>
      <c r="M4275">
        <v>37013029</v>
      </c>
      <c r="O4275" t="s">
        <v>20055</v>
      </c>
      <c r="P4275" t="s">
        <v>19899</v>
      </c>
      <c r="Q4275" t="s">
        <v>19983</v>
      </c>
      <c r="R4275" t="s">
        <v>19905</v>
      </c>
      <c r="S4275" t="s">
        <v>19906</v>
      </c>
      <c r="T4275" t="s">
        <v>19911</v>
      </c>
    </row>
    <row r="4276" spans="2:20" x14ac:dyDescent="0.25">
      <c r="B4276" t="s">
        <v>2709</v>
      </c>
      <c r="C4276">
        <v>37013031</v>
      </c>
      <c r="E4276">
        <v>112.46</v>
      </c>
      <c r="F4276">
        <v>18</v>
      </c>
      <c r="G4276">
        <v>15</v>
      </c>
      <c r="H4276">
        <v>7.6</v>
      </c>
      <c r="I4276">
        <v>1.65</v>
      </c>
      <c r="J4276">
        <v>14</v>
      </c>
      <c r="L4276" t="s">
        <v>2709</v>
      </c>
      <c r="M4276">
        <v>37013031</v>
      </c>
      <c r="O4276" t="s">
        <v>20055</v>
      </c>
      <c r="P4276" t="s">
        <v>19899</v>
      </c>
      <c r="Q4276" t="s">
        <v>19983</v>
      </c>
      <c r="R4276" t="s">
        <v>19905</v>
      </c>
      <c r="S4276" t="s">
        <v>19906</v>
      </c>
      <c r="T4276" t="s">
        <v>19911</v>
      </c>
    </row>
    <row r="4277" spans="2:20" x14ac:dyDescent="0.25">
      <c r="B4277" t="s">
        <v>2709</v>
      </c>
      <c r="C4277">
        <v>37013039</v>
      </c>
      <c r="E4277">
        <v>112.46</v>
      </c>
      <c r="F4277">
        <v>18</v>
      </c>
      <c r="G4277">
        <v>15</v>
      </c>
      <c r="H4277">
        <v>7.6</v>
      </c>
      <c r="I4277">
        <v>1.65</v>
      </c>
      <c r="J4277">
        <v>14</v>
      </c>
      <c r="L4277" t="s">
        <v>2709</v>
      </c>
      <c r="M4277">
        <v>37013039</v>
      </c>
      <c r="O4277" t="s">
        <v>20055</v>
      </c>
      <c r="P4277" t="s">
        <v>19899</v>
      </c>
      <c r="Q4277" t="s">
        <v>19983</v>
      </c>
      <c r="R4277" t="s">
        <v>19905</v>
      </c>
      <c r="S4277" t="s">
        <v>19906</v>
      </c>
      <c r="T4277" t="s">
        <v>19911</v>
      </c>
    </row>
    <row r="4278" spans="2:20" x14ac:dyDescent="0.25">
      <c r="B4278" t="s">
        <v>2709</v>
      </c>
      <c r="C4278">
        <v>37013040</v>
      </c>
      <c r="E4278">
        <v>112.46</v>
      </c>
      <c r="F4278">
        <v>18</v>
      </c>
      <c r="G4278">
        <v>15</v>
      </c>
      <c r="H4278">
        <v>7.6</v>
      </c>
      <c r="I4278">
        <v>1.65</v>
      </c>
      <c r="J4278">
        <v>14</v>
      </c>
      <c r="L4278" t="s">
        <v>2709</v>
      </c>
      <c r="M4278">
        <v>37013040</v>
      </c>
      <c r="O4278" t="s">
        <v>20055</v>
      </c>
      <c r="P4278" t="s">
        <v>19899</v>
      </c>
      <c r="Q4278" t="s">
        <v>19983</v>
      </c>
      <c r="R4278" t="s">
        <v>19905</v>
      </c>
      <c r="S4278" t="s">
        <v>19906</v>
      </c>
      <c r="T4278" t="s">
        <v>19911</v>
      </c>
    </row>
    <row r="4279" spans="2:20" x14ac:dyDescent="0.25">
      <c r="B4279" t="s">
        <v>2709</v>
      </c>
      <c r="C4279">
        <v>37013050</v>
      </c>
      <c r="E4279">
        <v>112.46</v>
      </c>
      <c r="F4279">
        <v>18</v>
      </c>
      <c r="G4279">
        <v>15</v>
      </c>
      <c r="H4279">
        <v>7.6</v>
      </c>
      <c r="I4279">
        <v>1.65</v>
      </c>
      <c r="J4279">
        <v>14</v>
      </c>
      <c r="L4279" t="s">
        <v>2709</v>
      </c>
      <c r="M4279">
        <v>37013050</v>
      </c>
      <c r="O4279" t="s">
        <v>20055</v>
      </c>
      <c r="P4279" t="s">
        <v>19899</v>
      </c>
      <c r="Q4279" t="s">
        <v>19983</v>
      </c>
      <c r="R4279" t="s">
        <v>19905</v>
      </c>
      <c r="S4279" t="s">
        <v>19906</v>
      </c>
      <c r="T4279" t="s">
        <v>19911</v>
      </c>
    </row>
    <row r="4280" spans="2:20" x14ac:dyDescent="0.25">
      <c r="B4280" t="s">
        <v>2709</v>
      </c>
      <c r="C4280">
        <v>37013090</v>
      </c>
      <c r="E4280">
        <v>112.46</v>
      </c>
      <c r="F4280">
        <v>18</v>
      </c>
      <c r="G4280">
        <v>15</v>
      </c>
      <c r="H4280">
        <v>7.6</v>
      </c>
      <c r="I4280">
        <v>1.65</v>
      </c>
      <c r="J4280">
        <v>14</v>
      </c>
      <c r="L4280" t="s">
        <v>2709</v>
      </c>
      <c r="M4280">
        <v>37013090</v>
      </c>
      <c r="O4280" t="s">
        <v>20055</v>
      </c>
      <c r="P4280" t="s">
        <v>19899</v>
      </c>
      <c r="Q4280" t="s">
        <v>19983</v>
      </c>
      <c r="R4280" t="s">
        <v>19905</v>
      </c>
      <c r="S4280" t="s">
        <v>19906</v>
      </c>
      <c r="T4280" t="s">
        <v>19911</v>
      </c>
    </row>
    <row r="4281" spans="2:20" x14ac:dyDescent="0.25">
      <c r="B4281" t="s">
        <v>2709</v>
      </c>
      <c r="C4281">
        <v>37019100</v>
      </c>
      <c r="E4281">
        <v>112.46</v>
      </c>
      <c r="F4281">
        <v>18</v>
      </c>
      <c r="G4281">
        <v>15</v>
      </c>
      <c r="H4281">
        <v>7.6</v>
      </c>
      <c r="I4281">
        <v>1.65</v>
      </c>
      <c r="J4281">
        <v>2</v>
      </c>
      <c r="L4281" t="s">
        <v>2709</v>
      </c>
      <c r="M4281">
        <v>37019100</v>
      </c>
      <c r="O4281" t="s">
        <v>20055</v>
      </c>
      <c r="P4281" t="s">
        <v>19899</v>
      </c>
      <c r="Q4281" t="s">
        <v>19983</v>
      </c>
      <c r="R4281" t="s">
        <v>19905</v>
      </c>
      <c r="S4281" t="s">
        <v>19906</v>
      </c>
      <c r="T4281" t="s">
        <v>19901</v>
      </c>
    </row>
    <row r="4282" spans="2:20" x14ac:dyDescent="0.25">
      <c r="B4282" t="s">
        <v>2709</v>
      </c>
      <c r="C4282">
        <v>37019900</v>
      </c>
      <c r="E4282">
        <v>112.46</v>
      </c>
      <c r="F4282">
        <v>18</v>
      </c>
      <c r="G4282">
        <v>15</v>
      </c>
      <c r="H4282">
        <v>7.6</v>
      </c>
      <c r="I4282">
        <v>1.65</v>
      </c>
      <c r="J4282">
        <v>14</v>
      </c>
      <c r="L4282" t="s">
        <v>2709</v>
      </c>
      <c r="M4282">
        <v>37019900</v>
      </c>
      <c r="O4282" t="s">
        <v>20055</v>
      </c>
      <c r="P4282" t="s">
        <v>19899</v>
      </c>
      <c r="Q4282" t="s">
        <v>19983</v>
      </c>
      <c r="R4282" t="s">
        <v>19905</v>
      </c>
      <c r="S4282" t="s">
        <v>19906</v>
      </c>
      <c r="T4282" t="s">
        <v>19911</v>
      </c>
    </row>
    <row r="4283" spans="2:20" x14ac:dyDescent="0.25">
      <c r="B4283" t="s">
        <v>2709</v>
      </c>
      <c r="C4283">
        <v>37021010</v>
      </c>
      <c r="E4283">
        <v>112.46</v>
      </c>
      <c r="F4283">
        <v>0</v>
      </c>
      <c r="G4283">
        <v>0</v>
      </c>
      <c r="H4283">
        <v>7.6</v>
      </c>
      <c r="I4283">
        <v>1.65</v>
      </c>
      <c r="J4283">
        <v>14</v>
      </c>
      <c r="L4283" t="s">
        <v>2709</v>
      </c>
      <c r="M4283">
        <v>37021010</v>
      </c>
      <c r="O4283" t="s">
        <v>20055</v>
      </c>
      <c r="P4283" t="s">
        <v>19900</v>
      </c>
      <c r="Q4283" t="s">
        <v>19900</v>
      </c>
      <c r="R4283" t="s">
        <v>19905</v>
      </c>
      <c r="S4283" t="s">
        <v>19906</v>
      </c>
      <c r="T4283" t="s">
        <v>19911</v>
      </c>
    </row>
    <row r="4284" spans="2:20" x14ac:dyDescent="0.25">
      <c r="B4284" t="s">
        <v>2709</v>
      </c>
      <c r="C4284">
        <v>37021020</v>
      </c>
      <c r="E4284">
        <v>112.46</v>
      </c>
      <c r="F4284">
        <v>0</v>
      </c>
      <c r="G4284">
        <v>0</v>
      </c>
      <c r="H4284">
        <v>7.6</v>
      </c>
      <c r="I4284">
        <v>1.65</v>
      </c>
      <c r="J4284">
        <v>14</v>
      </c>
      <c r="L4284" t="s">
        <v>2709</v>
      </c>
      <c r="M4284">
        <v>37021020</v>
      </c>
      <c r="O4284" t="s">
        <v>20055</v>
      </c>
      <c r="P4284" t="s">
        <v>19900</v>
      </c>
      <c r="Q4284" t="s">
        <v>19900</v>
      </c>
      <c r="R4284" t="s">
        <v>19905</v>
      </c>
      <c r="S4284" t="s">
        <v>19906</v>
      </c>
      <c r="T4284" t="s">
        <v>19911</v>
      </c>
    </row>
    <row r="4285" spans="2:20" x14ac:dyDescent="0.25">
      <c r="B4285" t="s">
        <v>2709</v>
      </c>
      <c r="C4285">
        <v>37023100</v>
      </c>
      <c r="E4285">
        <v>112.46</v>
      </c>
      <c r="F4285">
        <v>18</v>
      </c>
      <c r="G4285">
        <v>15</v>
      </c>
      <c r="H4285">
        <v>7.6</v>
      </c>
      <c r="I4285">
        <v>1.65</v>
      </c>
      <c r="J4285">
        <v>2</v>
      </c>
      <c r="L4285" t="s">
        <v>2709</v>
      </c>
      <c r="M4285">
        <v>37023100</v>
      </c>
      <c r="O4285" t="s">
        <v>20055</v>
      </c>
      <c r="P4285" t="s">
        <v>19899</v>
      </c>
      <c r="Q4285" t="s">
        <v>19983</v>
      </c>
      <c r="R4285" t="s">
        <v>19905</v>
      </c>
      <c r="S4285" t="s">
        <v>19906</v>
      </c>
      <c r="T4285" t="s">
        <v>19901</v>
      </c>
    </row>
    <row r="4286" spans="2:20" x14ac:dyDescent="0.25">
      <c r="B4286" t="s">
        <v>2709</v>
      </c>
      <c r="C4286">
        <v>37023200</v>
      </c>
      <c r="E4286">
        <v>112.46</v>
      </c>
      <c r="F4286">
        <v>18</v>
      </c>
      <c r="G4286">
        <v>15</v>
      </c>
      <c r="H4286">
        <v>7.6</v>
      </c>
      <c r="I4286">
        <v>1.65</v>
      </c>
      <c r="J4286">
        <v>2</v>
      </c>
      <c r="L4286" t="s">
        <v>2709</v>
      </c>
      <c r="M4286">
        <v>37023200</v>
      </c>
      <c r="O4286" t="s">
        <v>20055</v>
      </c>
      <c r="P4286" t="s">
        <v>19899</v>
      </c>
      <c r="Q4286" t="s">
        <v>19983</v>
      </c>
      <c r="R4286" t="s">
        <v>19905</v>
      </c>
      <c r="S4286" t="s">
        <v>19906</v>
      </c>
      <c r="T4286" t="s">
        <v>19901</v>
      </c>
    </row>
    <row r="4287" spans="2:20" x14ac:dyDescent="0.25">
      <c r="B4287" t="s">
        <v>2709</v>
      </c>
      <c r="C4287">
        <v>37023900</v>
      </c>
      <c r="E4287">
        <v>112.46</v>
      </c>
      <c r="F4287">
        <v>18</v>
      </c>
      <c r="G4287">
        <v>15</v>
      </c>
      <c r="H4287">
        <v>7.6</v>
      </c>
      <c r="I4287">
        <v>1.65</v>
      </c>
      <c r="J4287">
        <v>14</v>
      </c>
      <c r="L4287" t="s">
        <v>2709</v>
      </c>
      <c r="M4287">
        <v>37023900</v>
      </c>
      <c r="O4287" t="s">
        <v>20055</v>
      </c>
      <c r="P4287" t="s">
        <v>19899</v>
      </c>
      <c r="Q4287" t="s">
        <v>19983</v>
      </c>
      <c r="R4287" t="s">
        <v>19905</v>
      </c>
      <c r="S4287" t="s">
        <v>19906</v>
      </c>
      <c r="T4287" t="s">
        <v>19911</v>
      </c>
    </row>
    <row r="4288" spans="2:20" x14ac:dyDescent="0.25">
      <c r="B4288" t="s">
        <v>2709</v>
      </c>
      <c r="C4288">
        <v>37024100</v>
      </c>
      <c r="E4288">
        <v>112.46</v>
      </c>
      <c r="F4288">
        <v>18</v>
      </c>
      <c r="G4288">
        <v>15</v>
      </c>
      <c r="H4288">
        <v>7.6</v>
      </c>
      <c r="I4288">
        <v>1.65</v>
      </c>
      <c r="J4288">
        <v>2</v>
      </c>
      <c r="L4288" t="s">
        <v>2709</v>
      </c>
      <c r="M4288">
        <v>37024100</v>
      </c>
      <c r="O4288" t="s">
        <v>20055</v>
      </c>
      <c r="P4288" t="s">
        <v>19899</v>
      </c>
      <c r="Q4288" t="s">
        <v>19983</v>
      </c>
      <c r="R4288" t="s">
        <v>19905</v>
      </c>
      <c r="S4288" t="s">
        <v>19906</v>
      </c>
      <c r="T4288" t="s">
        <v>19901</v>
      </c>
    </row>
    <row r="4289" spans="2:20" x14ac:dyDescent="0.25">
      <c r="B4289" t="s">
        <v>2709</v>
      </c>
      <c r="C4289">
        <v>37024210</v>
      </c>
      <c r="E4289">
        <v>112.46</v>
      </c>
      <c r="F4289">
        <v>18</v>
      </c>
      <c r="G4289">
        <v>15</v>
      </c>
      <c r="H4289">
        <v>7.6</v>
      </c>
      <c r="I4289">
        <v>1.65</v>
      </c>
      <c r="J4289">
        <v>14</v>
      </c>
      <c r="L4289" t="s">
        <v>2709</v>
      </c>
      <c r="M4289">
        <v>37024210</v>
      </c>
      <c r="O4289" t="s">
        <v>20055</v>
      </c>
      <c r="P4289" t="s">
        <v>19899</v>
      </c>
      <c r="Q4289" t="s">
        <v>19983</v>
      </c>
      <c r="R4289" t="s">
        <v>19905</v>
      </c>
      <c r="S4289" t="s">
        <v>19906</v>
      </c>
      <c r="T4289" t="s">
        <v>19911</v>
      </c>
    </row>
    <row r="4290" spans="2:20" x14ac:dyDescent="0.25">
      <c r="B4290" t="s">
        <v>2709</v>
      </c>
      <c r="C4290">
        <v>37024290</v>
      </c>
      <c r="E4290">
        <v>112.46</v>
      </c>
      <c r="F4290">
        <v>18</v>
      </c>
      <c r="G4290">
        <v>15</v>
      </c>
      <c r="H4290">
        <v>7.6</v>
      </c>
      <c r="I4290">
        <v>1.65</v>
      </c>
      <c r="J4290">
        <v>2</v>
      </c>
      <c r="L4290" t="s">
        <v>2709</v>
      </c>
      <c r="M4290">
        <v>37024290</v>
      </c>
      <c r="O4290" t="s">
        <v>20055</v>
      </c>
      <c r="P4290" t="s">
        <v>19899</v>
      </c>
      <c r="Q4290" t="s">
        <v>19983</v>
      </c>
      <c r="R4290" t="s">
        <v>19905</v>
      </c>
      <c r="S4290" t="s">
        <v>19906</v>
      </c>
      <c r="T4290" t="s">
        <v>19901</v>
      </c>
    </row>
    <row r="4291" spans="2:20" x14ac:dyDescent="0.25">
      <c r="B4291" t="s">
        <v>2709</v>
      </c>
      <c r="C4291">
        <v>37024310</v>
      </c>
      <c r="E4291">
        <v>112.46</v>
      </c>
      <c r="F4291">
        <v>18</v>
      </c>
      <c r="G4291">
        <v>15</v>
      </c>
      <c r="H4291">
        <v>7.6</v>
      </c>
      <c r="I4291">
        <v>1.65</v>
      </c>
      <c r="J4291">
        <v>14</v>
      </c>
      <c r="L4291" t="s">
        <v>2709</v>
      </c>
      <c r="M4291">
        <v>37024310</v>
      </c>
      <c r="O4291" t="s">
        <v>20055</v>
      </c>
      <c r="P4291" t="s">
        <v>19899</v>
      </c>
      <c r="Q4291" t="s">
        <v>19983</v>
      </c>
      <c r="R4291" t="s">
        <v>19905</v>
      </c>
      <c r="S4291" t="s">
        <v>19906</v>
      </c>
      <c r="T4291" t="s">
        <v>19911</v>
      </c>
    </row>
    <row r="4292" spans="2:20" x14ac:dyDescent="0.25">
      <c r="B4292" t="s">
        <v>2709</v>
      </c>
      <c r="C4292">
        <v>37024320</v>
      </c>
      <c r="E4292">
        <v>112.46</v>
      </c>
      <c r="F4292">
        <v>18</v>
      </c>
      <c r="G4292">
        <v>15</v>
      </c>
      <c r="H4292">
        <v>7.6</v>
      </c>
      <c r="I4292">
        <v>1.65</v>
      </c>
      <c r="J4292">
        <v>14</v>
      </c>
      <c r="L4292" t="s">
        <v>2709</v>
      </c>
      <c r="M4292">
        <v>37024320</v>
      </c>
      <c r="O4292" t="s">
        <v>20055</v>
      </c>
      <c r="P4292" t="s">
        <v>19899</v>
      </c>
      <c r="Q4292" t="s">
        <v>19983</v>
      </c>
      <c r="R4292" t="s">
        <v>19905</v>
      </c>
      <c r="S4292" t="s">
        <v>19906</v>
      </c>
      <c r="T4292" t="s">
        <v>19911</v>
      </c>
    </row>
    <row r="4293" spans="2:20" x14ac:dyDescent="0.25">
      <c r="B4293" t="s">
        <v>2709</v>
      </c>
      <c r="C4293">
        <v>37024390</v>
      </c>
      <c r="E4293">
        <v>112.46</v>
      </c>
      <c r="F4293">
        <v>18</v>
      </c>
      <c r="G4293">
        <v>15</v>
      </c>
      <c r="H4293">
        <v>7.6</v>
      </c>
      <c r="I4293">
        <v>1.65</v>
      </c>
      <c r="J4293">
        <v>2</v>
      </c>
      <c r="L4293" t="s">
        <v>2709</v>
      </c>
      <c r="M4293">
        <v>37024390</v>
      </c>
      <c r="O4293" t="s">
        <v>20055</v>
      </c>
      <c r="P4293" t="s">
        <v>19899</v>
      </c>
      <c r="Q4293" t="s">
        <v>19983</v>
      </c>
      <c r="R4293" t="s">
        <v>19905</v>
      </c>
      <c r="S4293" t="s">
        <v>19906</v>
      </c>
      <c r="T4293" t="s">
        <v>19901</v>
      </c>
    </row>
    <row r="4294" spans="2:20" x14ac:dyDescent="0.25">
      <c r="B4294" t="s">
        <v>2709</v>
      </c>
      <c r="C4294">
        <v>37024410</v>
      </c>
      <c r="E4294">
        <v>112.46</v>
      </c>
      <c r="F4294">
        <v>18</v>
      </c>
      <c r="G4294">
        <v>15</v>
      </c>
      <c r="H4294">
        <v>7.6</v>
      </c>
      <c r="I4294">
        <v>1.65</v>
      </c>
      <c r="J4294">
        <v>2</v>
      </c>
      <c r="L4294" t="s">
        <v>2709</v>
      </c>
      <c r="M4294">
        <v>37024410</v>
      </c>
      <c r="O4294" t="s">
        <v>20055</v>
      </c>
      <c r="P4294" t="s">
        <v>19899</v>
      </c>
      <c r="Q4294" t="s">
        <v>19983</v>
      </c>
      <c r="R4294" t="s">
        <v>19905</v>
      </c>
      <c r="S4294" t="s">
        <v>19906</v>
      </c>
      <c r="T4294" t="s">
        <v>19901</v>
      </c>
    </row>
    <row r="4295" spans="2:20" x14ac:dyDescent="0.25">
      <c r="B4295" t="s">
        <v>2709</v>
      </c>
      <c r="C4295">
        <v>37024421</v>
      </c>
      <c r="E4295">
        <v>112.46</v>
      </c>
      <c r="F4295">
        <v>18</v>
      </c>
      <c r="G4295">
        <v>15</v>
      </c>
      <c r="H4295">
        <v>7.6</v>
      </c>
      <c r="I4295">
        <v>1.65</v>
      </c>
      <c r="J4295">
        <v>14</v>
      </c>
      <c r="L4295" t="s">
        <v>2709</v>
      </c>
      <c r="M4295">
        <v>37024421</v>
      </c>
      <c r="O4295" t="s">
        <v>20055</v>
      </c>
      <c r="P4295" t="s">
        <v>19899</v>
      </c>
      <c r="Q4295" t="s">
        <v>19983</v>
      </c>
      <c r="R4295" t="s">
        <v>19905</v>
      </c>
      <c r="S4295" t="s">
        <v>19906</v>
      </c>
      <c r="T4295" t="s">
        <v>19911</v>
      </c>
    </row>
    <row r="4296" spans="2:20" x14ac:dyDescent="0.25">
      <c r="B4296" t="s">
        <v>2709</v>
      </c>
      <c r="C4296">
        <v>37024422</v>
      </c>
      <c r="E4296">
        <v>112.46</v>
      </c>
      <c r="F4296">
        <v>18</v>
      </c>
      <c r="G4296">
        <v>15</v>
      </c>
      <c r="H4296">
        <v>7.6</v>
      </c>
      <c r="I4296">
        <v>1.65</v>
      </c>
      <c r="J4296">
        <v>2</v>
      </c>
      <c r="L4296" t="s">
        <v>2709</v>
      </c>
      <c r="M4296">
        <v>37024422</v>
      </c>
      <c r="O4296" t="s">
        <v>20055</v>
      </c>
      <c r="P4296" t="s">
        <v>19899</v>
      </c>
      <c r="Q4296" t="s">
        <v>19983</v>
      </c>
      <c r="R4296" t="s">
        <v>19905</v>
      </c>
      <c r="S4296" t="s">
        <v>19906</v>
      </c>
      <c r="T4296" t="s">
        <v>19901</v>
      </c>
    </row>
    <row r="4297" spans="2:20" x14ac:dyDescent="0.25">
      <c r="B4297" t="s">
        <v>2709</v>
      </c>
      <c r="C4297">
        <v>37024429</v>
      </c>
      <c r="E4297">
        <v>112.46</v>
      </c>
      <c r="F4297">
        <v>18</v>
      </c>
      <c r="G4297">
        <v>15</v>
      </c>
      <c r="H4297">
        <v>7.6</v>
      </c>
      <c r="I4297">
        <v>1.65</v>
      </c>
      <c r="J4297">
        <v>14</v>
      </c>
      <c r="L4297" t="s">
        <v>2709</v>
      </c>
      <c r="M4297">
        <v>37024429</v>
      </c>
      <c r="O4297" t="s">
        <v>20055</v>
      </c>
      <c r="P4297" t="s">
        <v>19899</v>
      </c>
      <c r="Q4297" t="s">
        <v>19983</v>
      </c>
      <c r="R4297" t="s">
        <v>19905</v>
      </c>
      <c r="S4297" t="s">
        <v>19906</v>
      </c>
      <c r="T4297" t="s">
        <v>19911</v>
      </c>
    </row>
    <row r="4298" spans="2:20" x14ac:dyDescent="0.25">
      <c r="B4298" t="s">
        <v>2709</v>
      </c>
      <c r="C4298">
        <v>37025200</v>
      </c>
      <c r="E4298">
        <v>112.46</v>
      </c>
      <c r="F4298">
        <v>18</v>
      </c>
      <c r="G4298">
        <v>15</v>
      </c>
      <c r="H4298">
        <v>7.6</v>
      </c>
      <c r="I4298">
        <v>1.65</v>
      </c>
      <c r="J4298">
        <v>2</v>
      </c>
      <c r="L4298" t="s">
        <v>2709</v>
      </c>
      <c r="M4298">
        <v>37025200</v>
      </c>
      <c r="O4298" t="s">
        <v>20055</v>
      </c>
      <c r="P4298" t="s">
        <v>19899</v>
      </c>
      <c r="Q4298" t="s">
        <v>19983</v>
      </c>
      <c r="R4298" t="s">
        <v>19905</v>
      </c>
      <c r="S4298" t="s">
        <v>19906</v>
      </c>
      <c r="T4298" t="s">
        <v>19901</v>
      </c>
    </row>
    <row r="4299" spans="2:20" x14ac:dyDescent="0.25">
      <c r="B4299" t="s">
        <v>2709</v>
      </c>
      <c r="C4299">
        <v>37025200</v>
      </c>
      <c r="D4299">
        <v>1</v>
      </c>
      <c r="E4299" t="s">
        <v>19447</v>
      </c>
      <c r="F4299">
        <v>18</v>
      </c>
      <c r="G4299">
        <v>0</v>
      </c>
      <c r="H4299">
        <v>7.6</v>
      </c>
      <c r="I4299">
        <v>1.65</v>
      </c>
      <c r="J4299">
        <v>2</v>
      </c>
      <c r="L4299" t="s">
        <v>2709</v>
      </c>
      <c r="M4299">
        <v>37025200</v>
      </c>
      <c r="N4299">
        <v>1</v>
      </c>
      <c r="O4299" t="s">
        <v>19447</v>
      </c>
      <c r="P4299" t="s">
        <v>19899</v>
      </c>
      <c r="Q4299" t="s">
        <v>19900</v>
      </c>
      <c r="R4299" t="s">
        <v>19905</v>
      </c>
      <c r="S4299" t="s">
        <v>19906</v>
      </c>
      <c r="T4299" t="s">
        <v>19901</v>
      </c>
    </row>
    <row r="4300" spans="2:20" x14ac:dyDescent="0.25">
      <c r="B4300" t="s">
        <v>2709</v>
      </c>
      <c r="C4300">
        <v>37025300</v>
      </c>
      <c r="E4300">
        <v>112.46</v>
      </c>
      <c r="F4300">
        <v>18</v>
      </c>
      <c r="G4300">
        <v>15</v>
      </c>
      <c r="H4300">
        <v>7.6</v>
      </c>
      <c r="I4300">
        <v>1.65</v>
      </c>
      <c r="J4300">
        <v>2</v>
      </c>
      <c r="L4300" t="s">
        <v>2709</v>
      </c>
      <c r="M4300">
        <v>37025300</v>
      </c>
      <c r="O4300" t="s">
        <v>20055</v>
      </c>
      <c r="P4300" t="s">
        <v>19899</v>
      </c>
      <c r="Q4300" t="s">
        <v>19983</v>
      </c>
      <c r="R4300" t="s">
        <v>19905</v>
      </c>
      <c r="S4300" t="s">
        <v>19906</v>
      </c>
      <c r="T4300" t="s">
        <v>19901</v>
      </c>
    </row>
    <row r="4301" spans="2:20" x14ac:dyDescent="0.25">
      <c r="B4301" t="s">
        <v>2709</v>
      </c>
      <c r="C4301">
        <v>37025411</v>
      </c>
      <c r="E4301">
        <v>112.46</v>
      </c>
      <c r="F4301">
        <v>18</v>
      </c>
      <c r="G4301">
        <v>15</v>
      </c>
      <c r="H4301">
        <v>7.6</v>
      </c>
      <c r="I4301">
        <v>1.65</v>
      </c>
      <c r="J4301">
        <v>2</v>
      </c>
      <c r="L4301" t="s">
        <v>2709</v>
      </c>
      <c r="M4301">
        <v>37025411</v>
      </c>
      <c r="O4301" t="s">
        <v>20055</v>
      </c>
      <c r="P4301" t="s">
        <v>19899</v>
      </c>
      <c r="Q4301" t="s">
        <v>19983</v>
      </c>
      <c r="R4301" t="s">
        <v>19905</v>
      </c>
      <c r="S4301" t="s">
        <v>19906</v>
      </c>
      <c r="T4301" t="s">
        <v>19901</v>
      </c>
    </row>
    <row r="4302" spans="2:20" x14ac:dyDescent="0.25">
      <c r="B4302" t="s">
        <v>2709</v>
      </c>
      <c r="C4302">
        <v>37025412</v>
      </c>
      <c r="E4302">
        <v>112.46</v>
      </c>
      <c r="F4302">
        <v>18</v>
      </c>
      <c r="G4302">
        <v>15</v>
      </c>
      <c r="H4302">
        <v>7.6</v>
      </c>
      <c r="I4302">
        <v>1.65</v>
      </c>
      <c r="J4302">
        <v>10</v>
      </c>
      <c r="L4302" t="s">
        <v>2709</v>
      </c>
      <c r="M4302">
        <v>37025412</v>
      </c>
      <c r="O4302" t="s">
        <v>20055</v>
      </c>
      <c r="P4302" t="s">
        <v>19899</v>
      </c>
      <c r="Q4302" t="s">
        <v>19983</v>
      </c>
      <c r="R4302" t="s">
        <v>19905</v>
      </c>
      <c r="S4302" t="s">
        <v>19906</v>
      </c>
      <c r="T4302" t="s">
        <v>19904</v>
      </c>
    </row>
    <row r="4303" spans="2:20" x14ac:dyDescent="0.25">
      <c r="B4303" t="s">
        <v>2709</v>
      </c>
      <c r="C4303">
        <v>37025419</v>
      </c>
      <c r="E4303">
        <v>112.46</v>
      </c>
      <c r="F4303">
        <v>18</v>
      </c>
      <c r="G4303">
        <v>15</v>
      </c>
      <c r="H4303">
        <v>7.6</v>
      </c>
      <c r="I4303">
        <v>1.65</v>
      </c>
      <c r="J4303">
        <v>14</v>
      </c>
      <c r="L4303" t="s">
        <v>2709</v>
      </c>
      <c r="M4303">
        <v>37025419</v>
      </c>
      <c r="O4303" t="s">
        <v>20055</v>
      </c>
      <c r="P4303" t="s">
        <v>19899</v>
      </c>
      <c r="Q4303" t="s">
        <v>19983</v>
      </c>
      <c r="R4303" t="s">
        <v>19905</v>
      </c>
      <c r="S4303" t="s">
        <v>19906</v>
      </c>
      <c r="T4303" t="s">
        <v>19911</v>
      </c>
    </row>
    <row r="4304" spans="2:20" x14ac:dyDescent="0.25">
      <c r="B4304" t="s">
        <v>2709</v>
      </c>
      <c r="C4304">
        <v>37025491</v>
      </c>
      <c r="E4304">
        <v>112.46</v>
      </c>
      <c r="F4304">
        <v>18</v>
      </c>
      <c r="G4304">
        <v>15</v>
      </c>
      <c r="H4304">
        <v>7.6</v>
      </c>
      <c r="I4304">
        <v>1.65</v>
      </c>
      <c r="J4304">
        <v>2</v>
      </c>
      <c r="L4304" t="s">
        <v>2709</v>
      </c>
      <c r="M4304">
        <v>37025491</v>
      </c>
      <c r="O4304" t="s">
        <v>20055</v>
      </c>
      <c r="P4304" t="s">
        <v>19899</v>
      </c>
      <c r="Q4304" t="s">
        <v>19983</v>
      </c>
      <c r="R4304" t="s">
        <v>19905</v>
      </c>
      <c r="S4304" t="s">
        <v>19906</v>
      </c>
      <c r="T4304" t="s">
        <v>19901</v>
      </c>
    </row>
    <row r="4305" spans="2:20" x14ac:dyDescent="0.25">
      <c r="B4305" t="s">
        <v>2709</v>
      </c>
      <c r="C4305">
        <v>37025499</v>
      </c>
      <c r="E4305">
        <v>112.46</v>
      </c>
      <c r="F4305">
        <v>18</v>
      </c>
      <c r="G4305">
        <v>15</v>
      </c>
      <c r="H4305">
        <v>7.6</v>
      </c>
      <c r="I4305">
        <v>1.65</v>
      </c>
      <c r="J4305">
        <v>14</v>
      </c>
      <c r="L4305" t="s">
        <v>2709</v>
      </c>
      <c r="M4305">
        <v>37025499</v>
      </c>
      <c r="O4305" t="s">
        <v>20055</v>
      </c>
      <c r="P4305" t="s">
        <v>19899</v>
      </c>
      <c r="Q4305" t="s">
        <v>19983</v>
      </c>
      <c r="R4305" t="s">
        <v>19905</v>
      </c>
      <c r="S4305" t="s">
        <v>19906</v>
      </c>
      <c r="T4305" t="s">
        <v>19911</v>
      </c>
    </row>
    <row r="4306" spans="2:20" x14ac:dyDescent="0.25">
      <c r="B4306" t="s">
        <v>2709</v>
      </c>
      <c r="C4306">
        <v>37025510</v>
      </c>
      <c r="E4306">
        <v>112.46</v>
      </c>
      <c r="F4306">
        <v>18</v>
      </c>
      <c r="G4306">
        <v>0</v>
      </c>
      <c r="H4306">
        <v>7.6</v>
      </c>
      <c r="I4306">
        <v>1.65</v>
      </c>
      <c r="J4306">
        <v>10</v>
      </c>
      <c r="L4306" t="s">
        <v>2709</v>
      </c>
      <c r="M4306">
        <v>37025510</v>
      </c>
      <c r="O4306" t="s">
        <v>20055</v>
      </c>
      <c r="P4306" t="s">
        <v>19899</v>
      </c>
      <c r="Q4306" t="s">
        <v>19900</v>
      </c>
      <c r="R4306" t="s">
        <v>19905</v>
      </c>
      <c r="S4306" t="s">
        <v>19906</v>
      </c>
      <c r="T4306" t="s">
        <v>19904</v>
      </c>
    </row>
    <row r="4307" spans="2:20" x14ac:dyDescent="0.25">
      <c r="B4307" t="s">
        <v>2709</v>
      </c>
      <c r="C4307">
        <v>37025590</v>
      </c>
      <c r="E4307">
        <v>112.46</v>
      </c>
      <c r="F4307">
        <v>18</v>
      </c>
      <c r="G4307">
        <v>15</v>
      </c>
      <c r="H4307">
        <v>7.6</v>
      </c>
      <c r="I4307">
        <v>1.65</v>
      </c>
      <c r="J4307">
        <v>14</v>
      </c>
      <c r="L4307" t="s">
        <v>2709</v>
      </c>
      <c r="M4307">
        <v>37025590</v>
      </c>
      <c r="O4307" t="s">
        <v>20055</v>
      </c>
      <c r="P4307" t="s">
        <v>19899</v>
      </c>
      <c r="Q4307" t="s">
        <v>19983</v>
      </c>
      <c r="R4307" t="s">
        <v>19905</v>
      </c>
      <c r="S4307" t="s">
        <v>19906</v>
      </c>
      <c r="T4307" t="s">
        <v>19911</v>
      </c>
    </row>
    <row r="4308" spans="2:20" x14ac:dyDescent="0.25">
      <c r="B4308" t="s">
        <v>2709</v>
      </c>
      <c r="C4308">
        <v>37025600</v>
      </c>
      <c r="E4308">
        <v>112.46</v>
      </c>
      <c r="F4308">
        <v>18</v>
      </c>
      <c r="G4308">
        <v>15</v>
      </c>
      <c r="H4308">
        <v>7.6</v>
      </c>
      <c r="I4308">
        <v>1.65</v>
      </c>
      <c r="J4308">
        <v>2</v>
      </c>
      <c r="L4308" t="s">
        <v>2709</v>
      </c>
      <c r="M4308">
        <v>37025600</v>
      </c>
      <c r="O4308" t="s">
        <v>20055</v>
      </c>
      <c r="P4308" t="s">
        <v>19899</v>
      </c>
      <c r="Q4308" t="s">
        <v>19983</v>
      </c>
      <c r="R4308" t="s">
        <v>19905</v>
      </c>
      <c r="S4308" t="s">
        <v>19906</v>
      </c>
      <c r="T4308" t="s">
        <v>19901</v>
      </c>
    </row>
    <row r="4309" spans="2:20" x14ac:dyDescent="0.25">
      <c r="B4309" t="s">
        <v>2709</v>
      </c>
      <c r="C4309">
        <v>37029600</v>
      </c>
      <c r="E4309">
        <v>112.46</v>
      </c>
      <c r="F4309">
        <v>18</v>
      </c>
      <c r="G4309">
        <v>15</v>
      </c>
      <c r="H4309">
        <v>7.6</v>
      </c>
      <c r="I4309">
        <v>1.65</v>
      </c>
      <c r="J4309">
        <v>2</v>
      </c>
      <c r="L4309" t="s">
        <v>2709</v>
      </c>
      <c r="M4309">
        <v>37029600</v>
      </c>
      <c r="O4309" t="s">
        <v>20055</v>
      </c>
      <c r="P4309" t="s">
        <v>19899</v>
      </c>
      <c r="Q4309" t="s">
        <v>19983</v>
      </c>
      <c r="R4309" t="s">
        <v>19905</v>
      </c>
      <c r="S4309" t="s">
        <v>19906</v>
      </c>
      <c r="T4309" t="s">
        <v>19901</v>
      </c>
    </row>
    <row r="4310" spans="2:20" x14ac:dyDescent="0.25">
      <c r="B4310" t="s">
        <v>2709</v>
      </c>
      <c r="C4310">
        <v>37029600</v>
      </c>
      <c r="D4310">
        <v>1</v>
      </c>
      <c r="E4310" t="s">
        <v>19447</v>
      </c>
      <c r="F4310">
        <v>18</v>
      </c>
      <c r="G4310">
        <v>0</v>
      </c>
      <c r="H4310">
        <v>7.6</v>
      </c>
      <c r="I4310">
        <v>1.65</v>
      </c>
      <c r="J4310">
        <v>2</v>
      </c>
      <c r="L4310" t="s">
        <v>2709</v>
      </c>
      <c r="M4310">
        <v>37029600</v>
      </c>
      <c r="N4310">
        <v>1</v>
      </c>
      <c r="O4310" t="s">
        <v>19447</v>
      </c>
      <c r="P4310" t="s">
        <v>19899</v>
      </c>
      <c r="Q4310" t="s">
        <v>19900</v>
      </c>
      <c r="R4310" t="s">
        <v>19905</v>
      </c>
      <c r="S4310" t="s">
        <v>19906</v>
      </c>
      <c r="T4310" t="s">
        <v>19901</v>
      </c>
    </row>
    <row r="4311" spans="2:20" x14ac:dyDescent="0.25">
      <c r="B4311" t="s">
        <v>2709</v>
      </c>
      <c r="C4311">
        <v>37029700</v>
      </c>
      <c r="E4311">
        <v>112.46</v>
      </c>
      <c r="F4311">
        <v>18</v>
      </c>
      <c r="G4311">
        <v>0</v>
      </c>
      <c r="H4311">
        <v>7.6</v>
      </c>
      <c r="I4311">
        <v>1.65</v>
      </c>
      <c r="J4311">
        <v>2</v>
      </c>
      <c r="L4311" t="s">
        <v>2709</v>
      </c>
      <c r="M4311">
        <v>37029700</v>
      </c>
      <c r="O4311" t="s">
        <v>20055</v>
      </c>
      <c r="P4311" t="s">
        <v>19899</v>
      </c>
      <c r="Q4311" t="s">
        <v>19900</v>
      </c>
      <c r="R4311" t="s">
        <v>19905</v>
      </c>
      <c r="S4311" t="s">
        <v>19906</v>
      </c>
      <c r="T4311" t="s">
        <v>19901</v>
      </c>
    </row>
    <row r="4312" spans="2:20" x14ac:dyDescent="0.25">
      <c r="B4312" t="s">
        <v>2709</v>
      </c>
      <c r="C4312">
        <v>37029700</v>
      </c>
      <c r="D4312">
        <v>1</v>
      </c>
      <c r="E4312" t="s">
        <v>19447</v>
      </c>
      <c r="F4312">
        <v>18</v>
      </c>
      <c r="G4312">
        <v>15</v>
      </c>
      <c r="H4312">
        <v>7.6</v>
      </c>
      <c r="I4312">
        <v>1.65</v>
      </c>
      <c r="J4312">
        <v>2</v>
      </c>
      <c r="L4312" t="s">
        <v>2709</v>
      </c>
      <c r="M4312">
        <v>37029700</v>
      </c>
      <c r="N4312">
        <v>1</v>
      </c>
      <c r="O4312" t="s">
        <v>19447</v>
      </c>
      <c r="P4312" t="s">
        <v>19899</v>
      </c>
      <c r="Q4312" t="s">
        <v>19983</v>
      </c>
      <c r="R4312" t="s">
        <v>19905</v>
      </c>
      <c r="S4312" t="s">
        <v>19906</v>
      </c>
      <c r="T4312" t="s">
        <v>19901</v>
      </c>
    </row>
    <row r="4313" spans="2:20" x14ac:dyDescent="0.25">
      <c r="B4313" t="s">
        <v>2709</v>
      </c>
      <c r="C4313">
        <v>37029800</v>
      </c>
      <c r="E4313">
        <v>112.46</v>
      </c>
      <c r="F4313">
        <v>18</v>
      </c>
      <c r="G4313">
        <v>15</v>
      </c>
      <c r="H4313">
        <v>7.6</v>
      </c>
      <c r="I4313">
        <v>1.65</v>
      </c>
      <c r="J4313">
        <v>14</v>
      </c>
      <c r="L4313" t="s">
        <v>2709</v>
      </c>
      <c r="M4313">
        <v>37029800</v>
      </c>
      <c r="O4313" t="s">
        <v>20055</v>
      </c>
      <c r="P4313" t="s">
        <v>19899</v>
      </c>
      <c r="Q4313" t="s">
        <v>19983</v>
      </c>
      <c r="R4313" t="s">
        <v>19905</v>
      </c>
      <c r="S4313" t="s">
        <v>19906</v>
      </c>
      <c r="T4313" t="s">
        <v>19911</v>
      </c>
    </row>
    <row r="4314" spans="2:20" x14ac:dyDescent="0.25">
      <c r="B4314" t="s">
        <v>2709</v>
      </c>
      <c r="C4314">
        <v>37031010</v>
      </c>
      <c r="E4314">
        <v>112.46</v>
      </c>
      <c r="F4314">
        <v>18</v>
      </c>
      <c r="G4314">
        <v>15</v>
      </c>
      <c r="H4314">
        <v>7.6</v>
      </c>
      <c r="I4314">
        <v>1.65</v>
      </c>
      <c r="J4314">
        <v>14</v>
      </c>
      <c r="L4314" t="s">
        <v>2709</v>
      </c>
      <c r="M4314">
        <v>37031010</v>
      </c>
      <c r="O4314" t="s">
        <v>20055</v>
      </c>
      <c r="P4314" t="s">
        <v>19899</v>
      </c>
      <c r="Q4314" t="s">
        <v>19983</v>
      </c>
      <c r="R4314" t="s">
        <v>19905</v>
      </c>
      <c r="S4314" t="s">
        <v>19906</v>
      </c>
      <c r="T4314" t="s">
        <v>19911</v>
      </c>
    </row>
    <row r="4315" spans="2:20" x14ac:dyDescent="0.25">
      <c r="B4315" t="s">
        <v>2709</v>
      </c>
      <c r="C4315">
        <v>37031021</v>
      </c>
      <c r="E4315">
        <v>112.46</v>
      </c>
      <c r="F4315">
        <v>18</v>
      </c>
      <c r="G4315">
        <v>15</v>
      </c>
      <c r="H4315">
        <v>7.6</v>
      </c>
      <c r="I4315">
        <v>1.65</v>
      </c>
      <c r="J4315">
        <v>14</v>
      </c>
      <c r="L4315" t="s">
        <v>2709</v>
      </c>
      <c r="M4315">
        <v>37031021</v>
      </c>
      <c r="O4315" t="s">
        <v>20055</v>
      </c>
      <c r="P4315" t="s">
        <v>19899</v>
      </c>
      <c r="Q4315" t="s">
        <v>19983</v>
      </c>
      <c r="R4315" t="s">
        <v>19905</v>
      </c>
      <c r="S4315" t="s">
        <v>19906</v>
      </c>
      <c r="T4315" t="s">
        <v>19911</v>
      </c>
    </row>
    <row r="4316" spans="2:20" x14ac:dyDescent="0.25">
      <c r="B4316" t="s">
        <v>2709</v>
      </c>
      <c r="C4316">
        <v>37031029</v>
      </c>
      <c r="E4316">
        <v>112.46</v>
      </c>
      <c r="F4316">
        <v>18</v>
      </c>
      <c r="G4316">
        <v>15</v>
      </c>
      <c r="H4316">
        <v>7.6</v>
      </c>
      <c r="I4316">
        <v>1.65</v>
      </c>
      <c r="J4316">
        <v>14</v>
      </c>
      <c r="L4316" t="s">
        <v>2709</v>
      </c>
      <c r="M4316">
        <v>37031029</v>
      </c>
      <c r="O4316" t="s">
        <v>20055</v>
      </c>
      <c r="P4316" t="s">
        <v>19899</v>
      </c>
      <c r="Q4316" t="s">
        <v>19983</v>
      </c>
      <c r="R4316" t="s">
        <v>19905</v>
      </c>
      <c r="S4316" t="s">
        <v>19906</v>
      </c>
      <c r="T4316" t="s">
        <v>19911</v>
      </c>
    </row>
    <row r="4317" spans="2:20" x14ac:dyDescent="0.25">
      <c r="B4317" t="s">
        <v>2709</v>
      </c>
      <c r="C4317">
        <v>37032000</v>
      </c>
      <c r="E4317">
        <v>112.46</v>
      </c>
      <c r="F4317">
        <v>18</v>
      </c>
      <c r="G4317">
        <v>15</v>
      </c>
      <c r="H4317">
        <v>7.6</v>
      </c>
      <c r="I4317">
        <v>1.65</v>
      </c>
      <c r="J4317">
        <v>2</v>
      </c>
      <c r="L4317" t="s">
        <v>2709</v>
      </c>
      <c r="M4317">
        <v>37032000</v>
      </c>
      <c r="O4317" t="s">
        <v>20055</v>
      </c>
      <c r="P4317" t="s">
        <v>19899</v>
      </c>
      <c r="Q4317" t="s">
        <v>19983</v>
      </c>
      <c r="R4317" t="s">
        <v>19905</v>
      </c>
      <c r="S4317" t="s">
        <v>19906</v>
      </c>
      <c r="T4317" t="s">
        <v>19901</v>
      </c>
    </row>
    <row r="4318" spans="2:20" x14ac:dyDescent="0.25">
      <c r="B4318" t="s">
        <v>2709</v>
      </c>
      <c r="C4318">
        <v>37039010</v>
      </c>
      <c r="E4318">
        <v>112.46</v>
      </c>
      <c r="F4318">
        <v>18</v>
      </c>
      <c r="G4318">
        <v>15</v>
      </c>
      <c r="H4318">
        <v>7.6</v>
      </c>
      <c r="I4318">
        <v>1.65</v>
      </c>
      <c r="J4318">
        <v>14</v>
      </c>
      <c r="L4318" t="s">
        <v>2709</v>
      </c>
      <c r="M4318">
        <v>37039010</v>
      </c>
      <c r="O4318" t="s">
        <v>20055</v>
      </c>
      <c r="P4318" t="s">
        <v>19899</v>
      </c>
      <c r="Q4318" t="s">
        <v>19983</v>
      </c>
      <c r="R4318" t="s">
        <v>19905</v>
      </c>
      <c r="S4318" t="s">
        <v>19906</v>
      </c>
      <c r="T4318" t="s">
        <v>19911</v>
      </c>
    </row>
    <row r="4319" spans="2:20" x14ac:dyDescent="0.25">
      <c r="B4319" t="s">
        <v>2709</v>
      </c>
      <c r="C4319">
        <v>37039090</v>
      </c>
      <c r="E4319">
        <v>112.46</v>
      </c>
      <c r="F4319">
        <v>18</v>
      </c>
      <c r="G4319">
        <v>15</v>
      </c>
      <c r="H4319">
        <v>7.6</v>
      </c>
      <c r="I4319">
        <v>1.65</v>
      </c>
      <c r="J4319">
        <v>14</v>
      </c>
      <c r="L4319" t="s">
        <v>2709</v>
      </c>
      <c r="M4319">
        <v>37039090</v>
      </c>
      <c r="O4319" t="s">
        <v>20055</v>
      </c>
      <c r="P4319" t="s">
        <v>19899</v>
      </c>
      <c r="Q4319" t="s">
        <v>19983</v>
      </c>
      <c r="R4319" t="s">
        <v>19905</v>
      </c>
      <c r="S4319" t="s">
        <v>19906</v>
      </c>
      <c r="T4319" t="s">
        <v>19911</v>
      </c>
    </row>
    <row r="4320" spans="2:20" x14ac:dyDescent="0.25">
      <c r="B4320" t="s">
        <v>2709</v>
      </c>
      <c r="C4320">
        <v>37040000</v>
      </c>
      <c r="E4320">
        <v>112.46</v>
      </c>
      <c r="F4320">
        <v>18</v>
      </c>
      <c r="G4320">
        <v>5</v>
      </c>
      <c r="H4320">
        <v>7.6</v>
      </c>
      <c r="I4320">
        <v>1.65</v>
      </c>
      <c r="J4320">
        <v>14</v>
      </c>
      <c r="L4320" t="s">
        <v>2709</v>
      </c>
      <c r="M4320">
        <v>37040000</v>
      </c>
      <c r="O4320" t="s">
        <v>20055</v>
      </c>
      <c r="P4320" t="s">
        <v>19899</v>
      </c>
      <c r="Q4320" t="s">
        <v>19909</v>
      </c>
      <c r="R4320" t="s">
        <v>19905</v>
      </c>
      <c r="S4320" t="s">
        <v>19906</v>
      </c>
      <c r="T4320" t="s">
        <v>19911</v>
      </c>
    </row>
    <row r="4321" spans="2:20" x14ac:dyDescent="0.25">
      <c r="B4321" t="s">
        <v>2709</v>
      </c>
      <c r="C4321">
        <v>37040000</v>
      </c>
      <c r="D4321">
        <v>1</v>
      </c>
      <c r="E4321" t="s">
        <v>19447</v>
      </c>
      <c r="F4321">
        <v>18</v>
      </c>
      <c r="G4321">
        <v>0</v>
      </c>
      <c r="H4321">
        <v>7.6</v>
      </c>
      <c r="I4321">
        <v>1.65</v>
      </c>
      <c r="J4321">
        <v>14</v>
      </c>
      <c r="L4321" t="s">
        <v>2709</v>
      </c>
      <c r="M4321">
        <v>37040000</v>
      </c>
      <c r="N4321">
        <v>1</v>
      </c>
      <c r="O4321" t="s">
        <v>19447</v>
      </c>
      <c r="P4321" t="s">
        <v>19899</v>
      </c>
      <c r="Q4321" t="s">
        <v>19900</v>
      </c>
      <c r="R4321" t="s">
        <v>19905</v>
      </c>
      <c r="S4321" t="s">
        <v>19906</v>
      </c>
      <c r="T4321" t="s">
        <v>19911</v>
      </c>
    </row>
    <row r="4322" spans="2:20" x14ac:dyDescent="0.25">
      <c r="B4322" t="s">
        <v>2709</v>
      </c>
      <c r="C4322">
        <v>37051000</v>
      </c>
      <c r="E4322">
        <v>112.46</v>
      </c>
      <c r="F4322">
        <v>18</v>
      </c>
      <c r="G4322">
        <v>0</v>
      </c>
      <c r="H4322">
        <v>7.6</v>
      </c>
      <c r="I4322">
        <v>1.65</v>
      </c>
      <c r="J4322">
        <v>14</v>
      </c>
      <c r="L4322" t="s">
        <v>2709</v>
      </c>
      <c r="M4322">
        <v>37051000</v>
      </c>
      <c r="O4322" t="s">
        <v>20055</v>
      </c>
      <c r="P4322" t="s">
        <v>19899</v>
      </c>
      <c r="Q4322" t="s">
        <v>19900</v>
      </c>
      <c r="R4322" t="s">
        <v>19905</v>
      </c>
      <c r="S4322" t="s">
        <v>19906</v>
      </c>
      <c r="T4322" t="s">
        <v>19911</v>
      </c>
    </row>
    <row r="4323" spans="2:20" x14ac:dyDescent="0.25">
      <c r="B4323" t="s">
        <v>2709</v>
      </c>
      <c r="C4323">
        <v>37059010</v>
      </c>
      <c r="E4323">
        <v>112.46</v>
      </c>
      <c r="F4323">
        <v>12</v>
      </c>
      <c r="G4323">
        <v>0</v>
      </c>
      <c r="H4323">
        <v>7.6</v>
      </c>
      <c r="I4323">
        <v>1.65</v>
      </c>
      <c r="J4323">
        <v>0</v>
      </c>
      <c r="L4323" t="s">
        <v>2709</v>
      </c>
      <c r="M4323">
        <v>37059010</v>
      </c>
      <c r="O4323" t="s">
        <v>20055</v>
      </c>
      <c r="P4323" t="s">
        <v>19903</v>
      </c>
      <c r="Q4323" t="s">
        <v>19900</v>
      </c>
      <c r="R4323" t="s">
        <v>19905</v>
      </c>
      <c r="S4323" t="s">
        <v>19906</v>
      </c>
      <c r="T4323" t="s">
        <v>19900</v>
      </c>
    </row>
    <row r="4324" spans="2:20" x14ac:dyDescent="0.25">
      <c r="B4324" t="s">
        <v>2709</v>
      </c>
      <c r="C4324">
        <v>37059090</v>
      </c>
      <c r="E4324">
        <v>112.46</v>
      </c>
      <c r="F4324">
        <v>18</v>
      </c>
      <c r="G4324">
        <v>0</v>
      </c>
      <c r="H4324">
        <v>7.6</v>
      </c>
      <c r="I4324">
        <v>1.65</v>
      </c>
      <c r="J4324">
        <v>14</v>
      </c>
      <c r="L4324" t="s">
        <v>2709</v>
      </c>
      <c r="M4324">
        <v>37059090</v>
      </c>
      <c r="O4324" t="s">
        <v>20055</v>
      </c>
      <c r="P4324" t="s">
        <v>19899</v>
      </c>
      <c r="Q4324" t="s">
        <v>19900</v>
      </c>
      <c r="R4324" t="s">
        <v>19905</v>
      </c>
      <c r="S4324" t="s">
        <v>19906</v>
      </c>
      <c r="T4324" t="s">
        <v>19911</v>
      </c>
    </row>
    <row r="4325" spans="2:20" x14ac:dyDescent="0.25">
      <c r="B4325" t="s">
        <v>2709</v>
      </c>
      <c r="C4325">
        <v>37061000</v>
      </c>
      <c r="E4325">
        <v>112.46</v>
      </c>
      <c r="F4325">
        <v>18</v>
      </c>
      <c r="G4325">
        <v>0</v>
      </c>
      <c r="H4325">
        <v>7.6</v>
      </c>
      <c r="I4325">
        <v>1.65</v>
      </c>
      <c r="J4325">
        <v>14</v>
      </c>
      <c r="L4325" t="s">
        <v>2709</v>
      </c>
      <c r="M4325">
        <v>37061000</v>
      </c>
      <c r="O4325" t="s">
        <v>20055</v>
      </c>
      <c r="P4325" t="s">
        <v>19899</v>
      </c>
      <c r="Q4325" t="s">
        <v>19900</v>
      </c>
      <c r="R4325" t="s">
        <v>19905</v>
      </c>
      <c r="S4325" t="s">
        <v>19906</v>
      </c>
      <c r="T4325" t="s">
        <v>19911</v>
      </c>
    </row>
    <row r="4326" spans="2:20" x14ac:dyDescent="0.25">
      <c r="B4326" t="s">
        <v>2709</v>
      </c>
      <c r="C4326">
        <v>37069000</v>
      </c>
      <c r="E4326">
        <v>112.46</v>
      </c>
      <c r="F4326">
        <v>18</v>
      </c>
      <c r="G4326">
        <v>0</v>
      </c>
      <c r="H4326">
        <v>7.6</v>
      </c>
      <c r="I4326">
        <v>1.65</v>
      </c>
      <c r="J4326">
        <v>14</v>
      </c>
      <c r="L4326" t="s">
        <v>2709</v>
      </c>
      <c r="M4326">
        <v>37069000</v>
      </c>
      <c r="O4326" t="s">
        <v>20055</v>
      </c>
      <c r="P4326" t="s">
        <v>19899</v>
      </c>
      <c r="Q4326" t="s">
        <v>19900</v>
      </c>
      <c r="R4326" t="s">
        <v>19905</v>
      </c>
      <c r="S4326" t="s">
        <v>19906</v>
      </c>
      <c r="T4326" t="s">
        <v>19911</v>
      </c>
    </row>
    <row r="4327" spans="2:20" x14ac:dyDescent="0.25">
      <c r="B4327" t="s">
        <v>2709</v>
      </c>
      <c r="C4327">
        <v>37071000</v>
      </c>
      <c r="E4327">
        <v>112.46</v>
      </c>
      <c r="F4327">
        <v>18</v>
      </c>
      <c r="G4327">
        <v>15</v>
      </c>
      <c r="H4327">
        <v>7.6</v>
      </c>
      <c r="I4327">
        <v>1.65</v>
      </c>
      <c r="J4327">
        <v>14</v>
      </c>
      <c r="L4327" t="s">
        <v>2709</v>
      </c>
      <c r="M4327">
        <v>37071000</v>
      </c>
      <c r="O4327" t="s">
        <v>20055</v>
      </c>
      <c r="P4327" t="s">
        <v>19899</v>
      </c>
      <c r="Q4327" t="s">
        <v>19983</v>
      </c>
      <c r="R4327" t="s">
        <v>19905</v>
      </c>
      <c r="S4327" t="s">
        <v>19906</v>
      </c>
      <c r="T4327" t="s">
        <v>19911</v>
      </c>
    </row>
    <row r="4328" spans="2:20" x14ac:dyDescent="0.25">
      <c r="B4328" t="s">
        <v>2709</v>
      </c>
      <c r="C4328">
        <v>37079010</v>
      </c>
      <c r="E4328">
        <v>112.46</v>
      </c>
      <c r="F4328">
        <v>18</v>
      </c>
      <c r="G4328">
        <v>15</v>
      </c>
      <c r="H4328">
        <v>7.6</v>
      </c>
      <c r="I4328">
        <v>1.65</v>
      </c>
      <c r="J4328">
        <v>14</v>
      </c>
      <c r="L4328" t="s">
        <v>2709</v>
      </c>
      <c r="M4328">
        <v>37079010</v>
      </c>
      <c r="O4328" t="s">
        <v>20055</v>
      </c>
      <c r="P4328" t="s">
        <v>19899</v>
      </c>
      <c r="Q4328" t="s">
        <v>19983</v>
      </c>
      <c r="R4328" t="s">
        <v>19905</v>
      </c>
      <c r="S4328" t="s">
        <v>19906</v>
      </c>
      <c r="T4328" t="s">
        <v>19911</v>
      </c>
    </row>
    <row r="4329" spans="2:20" x14ac:dyDescent="0.25">
      <c r="B4329" t="s">
        <v>2709</v>
      </c>
      <c r="C4329">
        <v>37079021</v>
      </c>
      <c r="E4329">
        <v>112.46</v>
      </c>
      <c r="F4329">
        <v>18</v>
      </c>
      <c r="G4329">
        <v>15</v>
      </c>
      <c r="H4329">
        <v>7.6</v>
      </c>
      <c r="I4329">
        <v>1.65</v>
      </c>
      <c r="J4329">
        <v>14</v>
      </c>
      <c r="L4329" t="s">
        <v>2709</v>
      </c>
      <c r="M4329">
        <v>37079021</v>
      </c>
      <c r="O4329" t="s">
        <v>20055</v>
      </c>
      <c r="P4329" t="s">
        <v>19899</v>
      </c>
      <c r="Q4329" t="s">
        <v>19983</v>
      </c>
      <c r="R4329" t="s">
        <v>19905</v>
      </c>
      <c r="S4329" t="s">
        <v>19906</v>
      </c>
      <c r="T4329" t="s">
        <v>19911</v>
      </c>
    </row>
    <row r="4330" spans="2:20" x14ac:dyDescent="0.25">
      <c r="B4330" t="s">
        <v>2709</v>
      </c>
      <c r="C4330">
        <v>37079029</v>
      </c>
      <c r="E4330">
        <v>112.46</v>
      </c>
      <c r="F4330">
        <v>18</v>
      </c>
      <c r="G4330">
        <v>15</v>
      </c>
      <c r="H4330">
        <v>7.6</v>
      </c>
      <c r="I4330">
        <v>1.65</v>
      </c>
      <c r="J4330">
        <v>14</v>
      </c>
      <c r="L4330" t="s">
        <v>2709</v>
      </c>
      <c r="M4330">
        <v>37079029</v>
      </c>
      <c r="O4330" t="s">
        <v>20055</v>
      </c>
      <c r="P4330" t="s">
        <v>19899</v>
      </c>
      <c r="Q4330" t="s">
        <v>19983</v>
      </c>
      <c r="R4330" t="s">
        <v>19905</v>
      </c>
      <c r="S4330" t="s">
        <v>19906</v>
      </c>
      <c r="T4330" t="s">
        <v>19911</v>
      </c>
    </row>
    <row r="4331" spans="2:20" x14ac:dyDescent="0.25">
      <c r="B4331" t="s">
        <v>2709</v>
      </c>
      <c r="C4331">
        <v>37079030</v>
      </c>
      <c r="E4331">
        <v>112.46</v>
      </c>
      <c r="F4331">
        <v>18</v>
      </c>
      <c r="G4331">
        <v>15</v>
      </c>
      <c r="H4331">
        <v>7.6</v>
      </c>
      <c r="I4331">
        <v>1.65</v>
      </c>
      <c r="J4331">
        <v>2</v>
      </c>
      <c r="L4331" t="s">
        <v>2709</v>
      </c>
      <c r="M4331">
        <v>37079030</v>
      </c>
      <c r="O4331" t="s">
        <v>20055</v>
      </c>
      <c r="P4331" t="s">
        <v>19899</v>
      </c>
      <c r="Q4331" t="s">
        <v>19983</v>
      </c>
      <c r="R4331" t="s">
        <v>19905</v>
      </c>
      <c r="S4331" t="s">
        <v>19906</v>
      </c>
      <c r="T4331" t="s">
        <v>19901</v>
      </c>
    </row>
    <row r="4332" spans="2:20" x14ac:dyDescent="0.25">
      <c r="B4332" t="s">
        <v>2709</v>
      </c>
      <c r="C4332">
        <v>37079090</v>
      </c>
      <c r="E4332">
        <v>112.46</v>
      </c>
      <c r="F4332">
        <v>18</v>
      </c>
      <c r="G4332">
        <v>15</v>
      </c>
      <c r="H4332">
        <v>7.6</v>
      </c>
      <c r="I4332">
        <v>1.65</v>
      </c>
      <c r="J4332">
        <v>14</v>
      </c>
      <c r="L4332" t="s">
        <v>2709</v>
      </c>
      <c r="M4332">
        <v>37079090</v>
      </c>
      <c r="O4332" t="s">
        <v>20055</v>
      </c>
      <c r="P4332" t="s">
        <v>19899</v>
      </c>
      <c r="Q4332" t="s">
        <v>19983</v>
      </c>
      <c r="R4332" t="s">
        <v>19905</v>
      </c>
      <c r="S4332" t="s">
        <v>19906</v>
      </c>
      <c r="T4332" t="s">
        <v>19911</v>
      </c>
    </row>
    <row r="4333" spans="2:20" x14ac:dyDescent="0.25">
      <c r="B4333" t="s">
        <v>2709</v>
      </c>
      <c r="C4333">
        <v>38011000</v>
      </c>
      <c r="E4333">
        <v>71.78</v>
      </c>
      <c r="F4333">
        <v>12</v>
      </c>
      <c r="G4333">
        <v>0</v>
      </c>
      <c r="H4333">
        <v>7.6</v>
      </c>
      <c r="I4333">
        <v>1.65</v>
      </c>
      <c r="J4333">
        <v>2</v>
      </c>
      <c r="L4333" t="s">
        <v>2709</v>
      </c>
      <c r="M4333">
        <v>38011000</v>
      </c>
      <c r="O4333" t="s">
        <v>20056</v>
      </c>
      <c r="P4333" t="s">
        <v>19903</v>
      </c>
      <c r="Q4333" t="s">
        <v>19900</v>
      </c>
      <c r="R4333" t="s">
        <v>19905</v>
      </c>
      <c r="S4333" t="s">
        <v>19906</v>
      </c>
      <c r="T4333" t="s">
        <v>19901</v>
      </c>
    </row>
    <row r="4334" spans="2:20" x14ac:dyDescent="0.25">
      <c r="B4334" t="s">
        <v>2709</v>
      </c>
      <c r="C4334">
        <v>38012010</v>
      </c>
      <c r="E4334">
        <v>71.78</v>
      </c>
      <c r="F4334">
        <v>12</v>
      </c>
      <c r="G4334">
        <v>10</v>
      </c>
      <c r="H4334">
        <v>7.6</v>
      </c>
      <c r="I4334">
        <v>1.65</v>
      </c>
      <c r="J4334">
        <v>10</v>
      </c>
      <c r="L4334" t="s">
        <v>2709</v>
      </c>
      <c r="M4334">
        <v>38012010</v>
      </c>
      <c r="O4334" t="s">
        <v>20056</v>
      </c>
      <c r="P4334" t="s">
        <v>19903</v>
      </c>
      <c r="Q4334" t="s">
        <v>19904</v>
      </c>
      <c r="R4334" t="s">
        <v>19905</v>
      </c>
      <c r="S4334" t="s">
        <v>19906</v>
      </c>
      <c r="T4334" t="s">
        <v>19904</v>
      </c>
    </row>
    <row r="4335" spans="2:20" x14ac:dyDescent="0.25">
      <c r="B4335" t="s">
        <v>2709</v>
      </c>
      <c r="C4335">
        <v>38012090</v>
      </c>
      <c r="E4335">
        <v>71.78</v>
      </c>
      <c r="F4335">
        <v>12</v>
      </c>
      <c r="G4335">
        <v>10</v>
      </c>
      <c r="H4335">
        <v>7.6</v>
      </c>
      <c r="I4335">
        <v>1.65</v>
      </c>
      <c r="J4335">
        <v>10</v>
      </c>
      <c r="L4335" t="s">
        <v>2709</v>
      </c>
      <c r="M4335">
        <v>38012090</v>
      </c>
      <c r="O4335" t="s">
        <v>20056</v>
      </c>
      <c r="P4335" t="s">
        <v>19903</v>
      </c>
      <c r="Q4335" t="s">
        <v>19904</v>
      </c>
      <c r="R4335" t="s">
        <v>19905</v>
      </c>
      <c r="S4335" t="s">
        <v>19906</v>
      </c>
      <c r="T4335" t="s">
        <v>19904</v>
      </c>
    </row>
    <row r="4336" spans="2:20" x14ac:dyDescent="0.25">
      <c r="B4336" t="s">
        <v>2709</v>
      </c>
      <c r="C4336">
        <v>38013010</v>
      </c>
      <c r="E4336">
        <v>71.78</v>
      </c>
      <c r="F4336">
        <v>12</v>
      </c>
      <c r="G4336">
        <v>10</v>
      </c>
      <c r="H4336">
        <v>7.6</v>
      </c>
      <c r="I4336">
        <v>1.65</v>
      </c>
      <c r="J4336">
        <v>2</v>
      </c>
      <c r="L4336" t="s">
        <v>2709</v>
      </c>
      <c r="M4336">
        <v>38013010</v>
      </c>
      <c r="O4336" t="s">
        <v>20056</v>
      </c>
      <c r="P4336" t="s">
        <v>19903</v>
      </c>
      <c r="Q4336" t="s">
        <v>19904</v>
      </c>
      <c r="R4336" t="s">
        <v>19905</v>
      </c>
      <c r="S4336" t="s">
        <v>19906</v>
      </c>
      <c r="T4336" t="s">
        <v>19901</v>
      </c>
    </row>
    <row r="4337" spans="2:20" x14ac:dyDescent="0.25">
      <c r="B4337" t="s">
        <v>2709</v>
      </c>
      <c r="C4337">
        <v>38013090</v>
      </c>
      <c r="E4337">
        <v>71.78</v>
      </c>
      <c r="F4337">
        <v>12</v>
      </c>
      <c r="G4337">
        <v>10</v>
      </c>
      <c r="H4337">
        <v>7.6</v>
      </c>
      <c r="I4337">
        <v>1.65</v>
      </c>
      <c r="J4337">
        <v>2</v>
      </c>
      <c r="L4337" t="s">
        <v>2709</v>
      </c>
      <c r="M4337">
        <v>38013090</v>
      </c>
      <c r="O4337" t="s">
        <v>20056</v>
      </c>
      <c r="P4337" t="s">
        <v>19903</v>
      </c>
      <c r="Q4337" t="s">
        <v>19904</v>
      </c>
      <c r="R4337" t="s">
        <v>19905</v>
      </c>
      <c r="S4337" t="s">
        <v>19906</v>
      </c>
      <c r="T4337" t="s">
        <v>19901</v>
      </c>
    </row>
    <row r="4338" spans="2:20" x14ac:dyDescent="0.25">
      <c r="B4338" t="s">
        <v>2709</v>
      </c>
      <c r="C4338">
        <v>38019000</v>
      </c>
      <c r="E4338">
        <v>71.78</v>
      </c>
      <c r="F4338">
        <v>12</v>
      </c>
      <c r="G4338">
        <v>10</v>
      </c>
      <c r="H4338">
        <v>7.6</v>
      </c>
      <c r="I4338">
        <v>1.65</v>
      </c>
      <c r="J4338">
        <v>10</v>
      </c>
      <c r="L4338" t="s">
        <v>2709</v>
      </c>
      <c r="M4338">
        <v>38019000</v>
      </c>
      <c r="O4338" t="s">
        <v>20056</v>
      </c>
      <c r="P4338" t="s">
        <v>19903</v>
      </c>
      <c r="Q4338" t="s">
        <v>19904</v>
      </c>
      <c r="R4338" t="s">
        <v>19905</v>
      </c>
      <c r="S4338" t="s">
        <v>19906</v>
      </c>
      <c r="T4338" t="s">
        <v>19904</v>
      </c>
    </row>
    <row r="4339" spans="2:20" x14ac:dyDescent="0.25">
      <c r="B4339" t="s">
        <v>2709</v>
      </c>
      <c r="C4339">
        <v>38021000</v>
      </c>
      <c r="E4339">
        <v>70.7</v>
      </c>
      <c r="F4339">
        <v>12</v>
      </c>
      <c r="G4339">
        <v>0</v>
      </c>
      <c r="H4339">
        <v>7.6</v>
      </c>
      <c r="I4339">
        <v>1.65</v>
      </c>
      <c r="J4339">
        <v>12</v>
      </c>
      <c r="L4339" t="s">
        <v>2709</v>
      </c>
      <c r="M4339">
        <v>38021000</v>
      </c>
      <c r="O4339" t="s">
        <v>20057</v>
      </c>
      <c r="P4339" t="s">
        <v>19903</v>
      </c>
      <c r="Q4339" t="s">
        <v>19900</v>
      </c>
      <c r="R4339" t="s">
        <v>19905</v>
      </c>
      <c r="S4339" t="s">
        <v>19906</v>
      </c>
      <c r="T4339" t="s">
        <v>19903</v>
      </c>
    </row>
    <row r="4340" spans="2:20" x14ac:dyDescent="0.25">
      <c r="B4340" t="s">
        <v>2709</v>
      </c>
      <c r="C4340">
        <v>38029010</v>
      </c>
      <c r="E4340">
        <v>70.7</v>
      </c>
      <c r="F4340">
        <v>12</v>
      </c>
      <c r="G4340">
        <v>0</v>
      </c>
      <c r="H4340">
        <v>7.6</v>
      </c>
      <c r="I4340">
        <v>1.65</v>
      </c>
      <c r="J4340">
        <v>12</v>
      </c>
      <c r="L4340" t="s">
        <v>2709</v>
      </c>
      <c r="M4340">
        <v>38029010</v>
      </c>
      <c r="O4340" t="s">
        <v>20057</v>
      </c>
      <c r="P4340" t="s">
        <v>19903</v>
      </c>
      <c r="Q4340" t="s">
        <v>19900</v>
      </c>
      <c r="R4340" t="s">
        <v>19905</v>
      </c>
      <c r="S4340" t="s">
        <v>19906</v>
      </c>
      <c r="T4340" t="s">
        <v>19903</v>
      </c>
    </row>
    <row r="4341" spans="2:20" x14ac:dyDescent="0.25">
      <c r="B4341" t="s">
        <v>2709</v>
      </c>
      <c r="C4341">
        <v>38029020</v>
      </c>
      <c r="E4341">
        <v>70.7</v>
      </c>
      <c r="F4341">
        <v>12</v>
      </c>
      <c r="G4341">
        <v>0</v>
      </c>
      <c r="H4341">
        <v>7.6</v>
      </c>
      <c r="I4341">
        <v>1.65</v>
      </c>
      <c r="J4341">
        <v>12</v>
      </c>
      <c r="L4341" t="s">
        <v>2709</v>
      </c>
      <c r="M4341">
        <v>38029020</v>
      </c>
      <c r="O4341" t="s">
        <v>20057</v>
      </c>
      <c r="P4341" t="s">
        <v>19903</v>
      </c>
      <c r="Q4341" t="s">
        <v>19900</v>
      </c>
      <c r="R4341" t="s">
        <v>19905</v>
      </c>
      <c r="S4341" t="s">
        <v>19906</v>
      </c>
      <c r="T4341" t="s">
        <v>19903</v>
      </c>
    </row>
    <row r="4342" spans="2:20" x14ac:dyDescent="0.25">
      <c r="B4342" t="s">
        <v>2709</v>
      </c>
      <c r="C4342">
        <v>38029030</v>
      </c>
      <c r="E4342">
        <v>70.7</v>
      </c>
      <c r="F4342">
        <v>12</v>
      </c>
      <c r="G4342">
        <v>0</v>
      </c>
      <c r="H4342">
        <v>7.6</v>
      </c>
      <c r="I4342">
        <v>1.65</v>
      </c>
      <c r="J4342">
        <v>2</v>
      </c>
      <c r="L4342" t="s">
        <v>2709</v>
      </c>
      <c r="M4342">
        <v>38029030</v>
      </c>
      <c r="O4342" t="s">
        <v>20057</v>
      </c>
      <c r="P4342" t="s">
        <v>19903</v>
      </c>
      <c r="Q4342" t="s">
        <v>19900</v>
      </c>
      <c r="R4342" t="s">
        <v>19905</v>
      </c>
      <c r="S4342" t="s">
        <v>19906</v>
      </c>
      <c r="T4342" t="s">
        <v>19901</v>
      </c>
    </row>
    <row r="4343" spans="2:20" x14ac:dyDescent="0.25">
      <c r="B4343" t="s">
        <v>2709</v>
      </c>
      <c r="C4343">
        <v>38029040</v>
      </c>
      <c r="E4343">
        <v>70.7</v>
      </c>
      <c r="F4343">
        <v>12</v>
      </c>
      <c r="G4343">
        <v>0</v>
      </c>
      <c r="H4343">
        <v>7.6</v>
      </c>
      <c r="I4343">
        <v>1.65</v>
      </c>
      <c r="J4343">
        <v>12</v>
      </c>
      <c r="L4343" t="s">
        <v>2709</v>
      </c>
      <c r="M4343">
        <v>38029040</v>
      </c>
      <c r="O4343" t="s">
        <v>20057</v>
      </c>
      <c r="P4343" t="s">
        <v>19903</v>
      </c>
      <c r="Q4343" t="s">
        <v>19900</v>
      </c>
      <c r="R4343" t="s">
        <v>19905</v>
      </c>
      <c r="S4343" t="s">
        <v>19906</v>
      </c>
      <c r="T4343" t="s">
        <v>19903</v>
      </c>
    </row>
    <row r="4344" spans="2:20" x14ac:dyDescent="0.25">
      <c r="B4344" t="s">
        <v>2709</v>
      </c>
      <c r="C4344">
        <v>38029050</v>
      </c>
      <c r="E4344">
        <v>70.7</v>
      </c>
      <c r="F4344">
        <v>12</v>
      </c>
      <c r="G4344">
        <v>0</v>
      </c>
      <c r="H4344">
        <v>7.6</v>
      </c>
      <c r="I4344">
        <v>1.65</v>
      </c>
      <c r="J4344">
        <v>2</v>
      </c>
      <c r="L4344" t="s">
        <v>2709</v>
      </c>
      <c r="M4344">
        <v>38029050</v>
      </c>
      <c r="O4344" t="s">
        <v>20057</v>
      </c>
      <c r="P4344" t="s">
        <v>19903</v>
      </c>
      <c r="Q4344" t="s">
        <v>19900</v>
      </c>
      <c r="R4344" t="s">
        <v>19905</v>
      </c>
      <c r="S4344" t="s">
        <v>19906</v>
      </c>
      <c r="T4344" t="s">
        <v>19901</v>
      </c>
    </row>
    <row r="4345" spans="2:20" x14ac:dyDescent="0.25">
      <c r="B4345" t="s">
        <v>2709</v>
      </c>
      <c r="C4345">
        <v>38029090</v>
      </c>
      <c r="E4345">
        <v>70.7</v>
      </c>
      <c r="F4345">
        <v>12</v>
      </c>
      <c r="G4345">
        <v>0</v>
      </c>
      <c r="H4345">
        <v>7.6</v>
      </c>
      <c r="I4345">
        <v>1.65</v>
      </c>
      <c r="J4345">
        <v>12</v>
      </c>
      <c r="L4345" t="s">
        <v>2709</v>
      </c>
      <c r="M4345">
        <v>38029090</v>
      </c>
      <c r="O4345" t="s">
        <v>20057</v>
      </c>
      <c r="P4345" t="s">
        <v>19903</v>
      </c>
      <c r="Q4345" t="s">
        <v>19900</v>
      </c>
      <c r="R4345" t="s">
        <v>19905</v>
      </c>
      <c r="S4345" t="s">
        <v>19906</v>
      </c>
      <c r="T4345" t="s">
        <v>19903</v>
      </c>
    </row>
    <row r="4346" spans="2:20" x14ac:dyDescent="0.25">
      <c r="B4346" t="s">
        <v>2709</v>
      </c>
      <c r="C4346">
        <v>38030000</v>
      </c>
      <c r="E4346">
        <v>71.78</v>
      </c>
      <c r="F4346">
        <v>12</v>
      </c>
      <c r="G4346">
        <v>0</v>
      </c>
      <c r="H4346">
        <v>7.6</v>
      </c>
      <c r="I4346">
        <v>1.65</v>
      </c>
      <c r="J4346">
        <v>12</v>
      </c>
      <c r="L4346" t="s">
        <v>2709</v>
      </c>
      <c r="M4346">
        <v>38030000</v>
      </c>
      <c r="O4346" t="s">
        <v>20056</v>
      </c>
      <c r="P4346" t="s">
        <v>19903</v>
      </c>
      <c r="Q4346" t="s">
        <v>19900</v>
      </c>
      <c r="R4346" t="s">
        <v>19905</v>
      </c>
      <c r="S4346" t="s">
        <v>19906</v>
      </c>
      <c r="T4346" t="s">
        <v>19903</v>
      </c>
    </row>
    <row r="4347" spans="2:20" x14ac:dyDescent="0.25">
      <c r="B4347" t="s">
        <v>2709</v>
      </c>
      <c r="C4347">
        <v>38040011</v>
      </c>
      <c r="E4347">
        <v>71.78</v>
      </c>
      <c r="F4347">
        <v>12</v>
      </c>
      <c r="G4347">
        <v>0</v>
      </c>
      <c r="H4347">
        <v>7.6</v>
      </c>
      <c r="I4347">
        <v>1.65</v>
      </c>
      <c r="J4347">
        <v>10</v>
      </c>
      <c r="L4347" t="s">
        <v>2709</v>
      </c>
      <c r="M4347">
        <v>38040011</v>
      </c>
      <c r="O4347" t="s">
        <v>20056</v>
      </c>
      <c r="P4347" t="s">
        <v>19903</v>
      </c>
      <c r="Q4347" t="s">
        <v>19900</v>
      </c>
      <c r="R4347" t="s">
        <v>19905</v>
      </c>
      <c r="S4347" t="s">
        <v>19906</v>
      </c>
      <c r="T4347" t="s">
        <v>19904</v>
      </c>
    </row>
    <row r="4348" spans="2:20" x14ac:dyDescent="0.25">
      <c r="B4348" t="s">
        <v>2709</v>
      </c>
      <c r="C4348">
        <v>38040012</v>
      </c>
      <c r="E4348">
        <v>71.78</v>
      </c>
      <c r="F4348">
        <v>12</v>
      </c>
      <c r="G4348">
        <v>10</v>
      </c>
      <c r="H4348">
        <v>7.6</v>
      </c>
      <c r="I4348">
        <v>1.65</v>
      </c>
      <c r="J4348">
        <v>10</v>
      </c>
      <c r="L4348" t="s">
        <v>2709</v>
      </c>
      <c r="M4348">
        <v>38040012</v>
      </c>
      <c r="O4348" t="s">
        <v>20056</v>
      </c>
      <c r="P4348" t="s">
        <v>19903</v>
      </c>
      <c r="Q4348" t="s">
        <v>19904</v>
      </c>
      <c r="R4348" t="s">
        <v>19905</v>
      </c>
      <c r="S4348" t="s">
        <v>19906</v>
      </c>
      <c r="T4348" t="s">
        <v>19904</v>
      </c>
    </row>
    <row r="4349" spans="2:20" x14ac:dyDescent="0.25">
      <c r="B4349" t="s">
        <v>2709</v>
      </c>
      <c r="C4349">
        <v>38040020</v>
      </c>
      <c r="E4349">
        <v>71.78</v>
      </c>
      <c r="F4349">
        <v>12</v>
      </c>
      <c r="G4349">
        <v>0</v>
      </c>
      <c r="H4349">
        <v>7.6</v>
      </c>
      <c r="I4349">
        <v>1.65</v>
      </c>
      <c r="J4349">
        <v>10</v>
      </c>
      <c r="L4349" t="s">
        <v>2709</v>
      </c>
      <c r="M4349">
        <v>38040020</v>
      </c>
      <c r="O4349" t="s">
        <v>20056</v>
      </c>
      <c r="P4349" t="s">
        <v>19903</v>
      </c>
      <c r="Q4349" t="s">
        <v>19900</v>
      </c>
      <c r="R4349" t="s">
        <v>19905</v>
      </c>
      <c r="S4349" t="s">
        <v>19906</v>
      </c>
      <c r="T4349" t="s">
        <v>19904</v>
      </c>
    </row>
    <row r="4350" spans="2:20" x14ac:dyDescent="0.25">
      <c r="B4350" t="s">
        <v>2709</v>
      </c>
      <c r="C4350">
        <v>38051000</v>
      </c>
      <c r="E4350">
        <v>38</v>
      </c>
      <c r="F4350">
        <v>12</v>
      </c>
      <c r="G4350">
        <v>0</v>
      </c>
      <c r="H4350">
        <v>7.6</v>
      </c>
      <c r="I4350">
        <v>1.65</v>
      </c>
      <c r="J4350">
        <v>14</v>
      </c>
      <c r="L4350" t="s">
        <v>2709</v>
      </c>
      <c r="M4350">
        <v>38051000</v>
      </c>
      <c r="O4350" t="s">
        <v>20008</v>
      </c>
      <c r="P4350" t="s">
        <v>19903</v>
      </c>
      <c r="Q4350" t="s">
        <v>19900</v>
      </c>
      <c r="R4350" t="s">
        <v>19905</v>
      </c>
      <c r="S4350" t="s">
        <v>19906</v>
      </c>
      <c r="T4350" t="s">
        <v>19911</v>
      </c>
    </row>
    <row r="4351" spans="2:20" x14ac:dyDescent="0.25">
      <c r="B4351" t="s">
        <v>2709</v>
      </c>
      <c r="C4351">
        <v>38059010</v>
      </c>
      <c r="E4351">
        <v>38</v>
      </c>
      <c r="F4351">
        <v>12</v>
      </c>
      <c r="G4351">
        <v>10</v>
      </c>
      <c r="H4351">
        <v>7.6</v>
      </c>
      <c r="I4351">
        <v>1.65</v>
      </c>
      <c r="J4351">
        <v>14</v>
      </c>
      <c r="L4351" t="s">
        <v>2709</v>
      </c>
      <c r="M4351">
        <v>38059010</v>
      </c>
      <c r="O4351" t="s">
        <v>20008</v>
      </c>
      <c r="P4351" t="s">
        <v>19903</v>
      </c>
      <c r="Q4351" t="s">
        <v>19904</v>
      </c>
      <c r="R4351" t="s">
        <v>19905</v>
      </c>
      <c r="S4351" t="s">
        <v>19906</v>
      </c>
      <c r="T4351" t="s">
        <v>19911</v>
      </c>
    </row>
    <row r="4352" spans="2:20" x14ac:dyDescent="0.25">
      <c r="B4352" t="s">
        <v>2709</v>
      </c>
      <c r="C4352">
        <v>38059090</v>
      </c>
      <c r="E4352">
        <v>38</v>
      </c>
      <c r="F4352">
        <v>12</v>
      </c>
      <c r="G4352">
        <v>0</v>
      </c>
      <c r="H4352">
        <v>7.6</v>
      </c>
      <c r="I4352">
        <v>1.65</v>
      </c>
      <c r="J4352">
        <v>14</v>
      </c>
      <c r="L4352" t="s">
        <v>2709</v>
      </c>
      <c r="M4352">
        <v>38059090</v>
      </c>
      <c r="O4352" t="s">
        <v>20008</v>
      </c>
      <c r="P4352" t="s">
        <v>19903</v>
      </c>
      <c r="Q4352" t="s">
        <v>19900</v>
      </c>
      <c r="R4352" t="s">
        <v>19905</v>
      </c>
      <c r="S4352" t="s">
        <v>19906</v>
      </c>
      <c r="T4352" t="s">
        <v>19911</v>
      </c>
    </row>
    <row r="4353" spans="2:20" x14ac:dyDescent="0.25">
      <c r="B4353" t="s">
        <v>2709</v>
      </c>
      <c r="C4353">
        <v>38061000</v>
      </c>
      <c r="E4353">
        <v>71.78</v>
      </c>
      <c r="F4353">
        <v>12</v>
      </c>
      <c r="G4353">
        <v>0</v>
      </c>
      <c r="H4353">
        <v>7.6</v>
      </c>
      <c r="I4353">
        <v>1.65</v>
      </c>
      <c r="J4353">
        <v>12</v>
      </c>
      <c r="L4353" t="s">
        <v>2709</v>
      </c>
      <c r="M4353">
        <v>38061000</v>
      </c>
      <c r="O4353" t="s">
        <v>20056</v>
      </c>
      <c r="P4353" t="s">
        <v>19903</v>
      </c>
      <c r="Q4353" t="s">
        <v>19900</v>
      </c>
      <c r="R4353" t="s">
        <v>19905</v>
      </c>
      <c r="S4353" t="s">
        <v>19906</v>
      </c>
      <c r="T4353" t="s">
        <v>19903</v>
      </c>
    </row>
    <row r="4354" spans="2:20" x14ac:dyDescent="0.25">
      <c r="B4354" t="s">
        <v>2709</v>
      </c>
      <c r="C4354">
        <v>38062000</v>
      </c>
      <c r="E4354">
        <v>71.78</v>
      </c>
      <c r="F4354">
        <v>12</v>
      </c>
      <c r="G4354">
        <v>0</v>
      </c>
      <c r="H4354">
        <v>7.6</v>
      </c>
      <c r="I4354">
        <v>1.65</v>
      </c>
      <c r="J4354">
        <v>14</v>
      </c>
      <c r="L4354" t="s">
        <v>2709</v>
      </c>
      <c r="M4354">
        <v>38062000</v>
      </c>
      <c r="O4354" t="s">
        <v>20056</v>
      </c>
      <c r="P4354" t="s">
        <v>19903</v>
      </c>
      <c r="Q4354" t="s">
        <v>19900</v>
      </c>
      <c r="R4354" t="s">
        <v>19905</v>
      </c>
      <c r="S4354" t="s">
        <v>19906</v>
      </c>
      <c r="T4354" t="s">
        <v>19911</v>
      </c>
    </row>
    <row r="4355" spans="2:20" x14ac:dyDescent="0.25">
      <c r="B4355" t="s">
        <v>2709</v>
      </c>
      <c r="C4355">
        <v>38063000</v>
      </c>
      <c r="E4355">
        <v>71.78</v>
      </c>
      <c r="F4355">
        <v>12</v>
      </c>
      <c r="G4355">
        <v>10</v>
      </c>
      <c r="H4355">
        <v>7.6</v>
      </c>
      <c r="I4355">
        <v>1.65</v>
      </c>
      <c r="J4355">
        <v>14</v>
      </c>
      <c r="L4355" t="s">
        <v>2709</v>
      </c>
      <c r="M4355">
        <v>38063000</v>
      </c>
      <c r="O4355" t="s">
        <v>20056</v>
      </c>
      <c r="P4355" t="s">
        <v>19903</v>
      </c>
      <c r="Q4355" t="s">
        <v>19904</v>
      </c>
      <c r="R4355" t="s">
        <v>19905</v>
      </c>
      <c r="S4355" t="s">
        <v>19906</v>
      </c>
      <c r="T4355" t="s">
        <v>19911</v>
      </c>
    </row>
    <row r="4356" spans="2:20" x14ac:dyDescent="0.25">
      <c r="B4356" t="s">
        <v>2709</v>
      </c>
      <c r="C4356">
        <v>38069011</v>
      </c>
      <c r="E4356">
        <v>71.78</v>
      </c>
      <c r="F4356">
        <v>12</v>
      </c>
      <c r="G4356">
        <v>0</v>
      </c>
      <c r="H4356">
        <v>7.6</v>
      </c>
      <c r="I4356">
        <v>1.65</v>
      </c>
      <c r="J4356">
        <v>14</v>
      </c>
      <c r="L4356" t="s">
        <v>2709</v>
      </c>
      <c r="M4356">
        <v>38069011</v>
      </c>
      <c r="O4356" t="s">
        <v>20056</v>
      </c>
      <c r="P4356" t="s">
        <v>19903</v>
      </c>
      <c r="Q4356" t="s">
        <v>19900</v>
      </c>
      <c r="R4356" t="s">
        <v>19905</v>
      </c>
      <c r="S4356" t="s">
        <v>19906</v>
      </c>
      <c r="T4356" t="s">
        <v>19911</v>
      </c>
    </row>
    <row r="4357" spans="2:20" x14ac:dyDescent="0.25">
      <c r="B4357" t="s">
        <v>2709</v>
      </c>
      <c r="C4357">
        <v>38069012</v>
      </c>
      <c r="E4357">
        <v>71.78</v>
      </c>
      <c r="F4357">
        <v>12</v>
      </c>
      <c r="G4357">
        <v>0</v>
      </c>
      <c r="H4357">
        <v>7.6</v>
      </c>
      <c r="I4357">
        <v>1.65</v>
      </c>
      <c r="J4357">
        <v>14</v>
      </c>
      <c r="L4357" t="s">
        <v>2709</v>
      </c>
      <c r="M4357">
        <v>38069012</v>
      </c>
      <c r="O4357" t="s">
        <v>20056</v>
      </c>
      <c r="P4357" t="s">
        <v>19903</v>
      </c>
      <c r="Q4357" t="s">
        <v>19900</v>
      </c>
      <c r="R4357" t="s">
        <v>19905</v>
      </c>
      <c r="S4357" t="s">
        <v>19906</v>
      </c>
      <c r="T4357" t="s">
        <v>19911</v>
      </c>
    </row>
    <row r="4358" spans="2:20" x14ac:dyDescent="0.25">
      <c r="B4358" t="s">
        <v>2709</v>
      </c>
      <c r="C4358">
        <v>38069019</v>
      </c>
      <c r="E4358">
        <v>71.78</v>
      </c>
      <c r="F4358">
        <v>12</v>
      </c>
      <c r="G4358">
        <v>0</v>
      </c>
      <c r="H4358">
        <v>7.6</v>
      </c>
      <c r="I4358">
        <v>1.65</v>
      </c>
      <c r="J4358">
        <v>14</v>
      </c>
      <c r="L4358" t="s">
        <v>2709</v>
      </c>
      <c r="M4358">
        <v>38069019</v>
      </c>
      <c r="O4358" t="s">
        <v>20056</v>
      </c>
      <c r="P4358" t="s">
        <v>19903</v>
      </c>
      <c r="Q4358" t="s">
        <v>19900</v>
      </c>
      <c r="R4358" t="s">
        <v>19905</v>
      </c>
      <c r="S4358" t="s">
        <v>19906</v>
      </c>
      <c r="T4358" t="s">
        <v>19911</v>
      </c>
    </row>
    <row r="4359" spans="2:20" x14ac:dyDescent="0.25">
      <c r="B4359" t="s">
        <v>2709</v>
      </c>
      <c r="C4359">
        <v>38069090</v>
      </c>
      <c r="E4359">
        <v>71.78</v>
      </c>
      <c r="F4359">
        <v>12</v>
      </c>
      <c r="G4359">
        <v>0</v>
      </c>
      <c r="H4359">
        <v>7.6</v>
      </c>
      <c r="I4359">
        <v>1.65</v>
      </c>
      <c r="J4359">
        <v>14</v>
      </c>
      <c r="L4359" t="s">
        <v>2709</v>
      </c>
      <c r="M4359">
        <v>38069090</v>
      </c>
      <c r="O4359" t="s">
        <v>20056</v>
      </c>
      <c r="P4359" t="s">
        <v>19903</v>
      </c>
      <c r="Q4359" t="s">
        <v>19900</v>
      </c>
      <c r="R4359" t="s">
        <v>19905</v>
      </c>
      <c r="S4359" t="s">
        <v>19906</v>
      </c>
      <c r="T4359" t="s">
        <v>19911</v>
      </c>
    </row>
    <row r="4360" spans="2:20" x14ac:dyDescent="0.25">
      <c r="B4360" t="s">
        <v>2709</v>
      </c>
      <c r="C4360">
        <v>38069090</v>
      </c>
      <c r="D4360">
        <v>1</v>
      </c>
      <c r="E4360" t="s">
        <v>19447</v>
      </c>
      <c r="F4360">
        <v>18</v>
      </c>
      <c r="G4360">
        <v>10</v>
      </c>
      <c r="H4360">
        <v>7.6</v>
      </c>
      <c r="I4360">
        <v>1.65</v>
      </c>
      <c r="J4360">
        <v>14</v>
      </c>
      <c r="L4360" t="s">
        <v>2709</v>
      </c>
      <c r="M4360">
        <v>38069090</v>
      </c>
      <c r="N4360">
        <v>1</v>
      </c>
      <c r="O4360" t="s">
        <v>19447</v>
      </c>
      <c r="P4360" t="s">
        <v>19899</v>
      </c>
      <c r="Q4360" t="s">
        <v>19904</v>
      </c>
      <c r="R4360" t="s">
        <v>19905</v>
      </c>
      <c r="S4360" t="s">
        <v>19906</v>
      </c>
      <c r="T4360" t="s">
        <v>19911</v>
      </c>
    </row>
    <row r="4361" spans="2:20" x14ac:dyDescent="0.25">
      <c r="B4361" t="s">
        <v>2709</v>
      </c>
      <c r="C4361">
        <v>38070000</v>
      </c>
      <c r="E4361">
        <v>38</v>
      </c>
      <c r="F4361">
        <v>12</v>
      </c>
      <c r="G4361">
        <v>0</v>
      </c>
      <c r="H4361">
        <v>7.6</v>
      </c>
      <c r="I4361">
        <v>1.65</v>
      </c>
      <c r="J4361">
        <v>14</v>
      </c>
      <c r="L4361" t="s">
        <v>2709</v>
      </c>
      <c r="M4361">
        <v>38070000</v>
      </c>
      <c r="O4361" t="s">
        <v>20008</v>
      </c>
      <c r="P4361" t="s">
        <v>19903</v>
      </c>
      <c r="Q4361" t="s">
        <v>19900</v>
      </c>
      <c r="R4361" t="s">
        <v>19905</v>
      </c>
      <c r="S4361" t="s">
        <v>19906</v>
      </c>
      <c r="T4361" t="s">
        <v>19911</v>
      </c>
    </row>
    <row r="4362" spans="2:20" x14ac:dyDescent="0.25">
      <c r="B4362" t="s">
        <v>2709</v>
      </c>
      <c r="C4362">
        <v>38070000</v>
      </c>
      <c r="D4362">
        <v>1</v>
      </c>
      <c r="E4362" t="s">
        <v>19447</v>
      </c>
      <c r="F4362">
        <v>18</v>
      </c>
      <c r="G4362">
        <v>10</v>
      </c>
      <c r="H4362">
        <v>7.6</v>
      </c>
      <c r="I4362">
        <v>1.65</v>
      </c>
      <c r="J4362">
        <v>14</v>
      </c>
      <c r="L4362" t="s">
        <v>2709</v>
      </c>
      <c r="M4362">
        <v>38070000</v>
      </c>
      <c r="N4362">
        <v>1</v>
      </c>
      <c r="O4362" t="s">
        <v>19447</v>
      </c>
      <c r="P4362" t="s">
        <v>19899</v>
      </c>
      <c r="Q4362" t="s">
        <v>19904</v>
      </c>
      <c r="R4362" t="s">
        <v>19905</v>
      </c>
      <c r="S4362" t="s">
        <v>19906</v>
      </c>
      <c r="T4362" t="s">
        <v>19911</v>
      </c>
    </row>
    <row r="4363" spans="2:20" x14ac:dyDescent="0.25">
      <c r="B4363" t="s">
        <v>2709</v>
      </c>
      <c r="C4363">
        <v>38085010</v>
      </c>
      <c r="E4363">
        <v>38</v>
      </c>
      <c r="F4363">
        <v>12</v>
      </c>
      <c r="G4363">
        <v>0</v>
      </c>
      <c r="H4363" t="s">
        <v>19447</v>
      </c>
      <c r="I4363" t="s">
        <v>19447</v>
      </c>
      <c r="J4363">
        <v>14</v>
      </c>
      <c r="L4363" t="s">
        <v>2709</v>
      </c>
      <c r="M4363">
        <v>38085010</v>
      </c>
      <c r="O4363" t="s">
        <v>20008</v>
      </c>
      <c r="P4363" t="s">
        <v>19903</v>
      </c>
      <c r="Q4363" t="s">
        <v>19900</v>
      </c>
      <c r="R4363" t="s">
        <v>19447</v>
      </c>
      <c r="S4363" t="s">
        <v>19447</v>
      </c>
      <c r="T4363" t="s">
        <v>19911</v>
      </c>
    </row>
    <row r="4364" spans="2:20" x14ac:dyDescent="0.25">
      <c r="B4364" t="s">
        <v>2709</v>
      </c>
      <c r="C4364">
        <v>38085021</v>
      </c>
      <c r="E4364">
        <v>38</v>
      </c>
      <c r="F4364">
        <v>12</v>
      </c>
      <c r="G4364">
        <v>0</v>
      </c>
      <c r="H4364" t="s">
        <v>19447</v>
      </c>
      <c r="I4364" t="s">
        <v>19447</v>
      </c>
      <c r="J4364">
        <v>14</v>
      </c>
      <c r="L4364" t="s">
        <v>2709</v>
      </c>
      <c r="M4364">
        <v>38085021</v>
      </c>
      <c r="O4364" t="s">
        <v>20008</v>
      </c>
      <c r="P4364" t="s">
        <v>19903</v>
      </c>
      <c r="Q4364" t="s">
        <v>19900</v>
      </c>
      <c r="R4364" t="s">
        <v>19447</v>
      </c>
      <c r="S4364" t="s">
        <v>19447</v>
      </c>
      <c r="T4364" t="s">
        <v>19911</v>
      </c>
    </row>
    <row r="4365" spans="2:20" x14ac:dyDescent="0.25">
      <c r="B4365" t="s">
        <v>2709</v>
      </c>
      <c r="C4365">
        <v>38085029</v>
      </c>
      <c r="E4365">
        <v>38</v>
      </c>
      <c r="F4365">
        <v>12</v>
      </c>
      <c r="G4365">
        <v>0</v>
      </c>
      <c r="H4365" t="s">
        <v>19447</v>
      </c>
      <c r="I4365" t="s">
        <v>19447</v>
      </c>
      <c r="J4365">
        <v>8</v>
      </c>
      <c r="L4365" t="s">
        <v>2709</v>
      </c>
      <c r="M4365">
        <v>38085029</v>
      </c>
      <c r="O4365" t="s">
        <v>20008</v>
      </c>
      <c r="P4365" t="s">
        <v>19903</v>
      </c>
      <c r="Q4365" t="s">
        <v>19900</v>
      </c>
      <c r="R4365" t="s">
        <v>19447</v>
      </c>
      <c r="S4365" t="s">
        <v>19447</v>
      </c>
      <c r="T4365" t="s">
        <v>19918</v>
      </c>
    </row>
    <row r="4366" spans="2:20" x14ac:dyDescent="0.25">
      <c r="B4366" t="s">
        <v>2709</v>
      </c>
      <c r="C4366">
        <v>38085029</v>
      </c>
      <c r="D4366">
        <v>1</v>
      </c>
      <c r="E4366" t="s">
        <v>19447</v>
      </c>
      <c r="F4366">
        <v>18</v>
      </c>
      <c r="G4366">
        <v>5</v>
      </c>
      <c r="H4366">
        <v>7.6</v>
      </c>
      <c r="I4366">
        <v>1.65</v>
      </c>
      <c r="J4366">
        <v>8</v>
      </c>
      <c r="L4366" t="s">
        <v>2709</v>
      </c>
      <c r="M4366">
        <v>38085029</v>
      </c>
      <c r="N4366">
        <v>1</v>
      </c>
      <c r="O4366" t="s">
        <v>19447</v>
      </c>
      <c r="P4366" t="s">
        <v>19899</v>
      </c>
      <c r="Q4366" t="s">
        <v>19909</v>
      </c>
      <c r="R4366" t="s">
        <v>19905</v>
      </c>
      <c r="S4366" t="s">
        <v>19906</v>
      </c>
      <c r="T4366" t="s">
        <v>19918</v>
      </c>
    </row>
    <row r="4367" spans="2:20" x14ac:dyDescent="0.25">
      <c r="B4367" t="s">
        <v>2709</v>
      </c>
      <c r="C4367">
        <v>38085029</v>
      </c>
      <c r="D4367">
        <v>2</v>
      </c>
      <c r="E4367" t="s">
        <v>19447</v>
      </c>
      <c r="F4367">
        <v>18</v>
      </c>
      <c r="G4367">
        <v>30</v>
      </c>
      <c r="H4367">
        <v>7.6</v>
      </c>
      <c r="I4367">
        <v>1.65</v>
      </c>
      <c r="J4367">
        <v>8</v>
      </c>
      <c r="L4367" t="s">
        <v>2709</v>
      </c>
      <c r="M4367">
        <v>38085029</v>
      </c>
      <c r="N4367">
        <v>2</v>
      </c>
      <c r="O4367" t="s">
        <v>19447</v>
      </c>
      <c r="P4367" t="s">
        <v>19899</v>
      </c>
      <c r="Q4367" t="s">
        <v>19933</v>
      </c>
      <c r="R4367" t="s">
        <v>19905</v>
      </c>
      <c r="S4367" t="s">
        <v>19906</v>
      </c>
      <c r="T4367" t="s">
        <v>19918</v>
      </c>
    </row>
    <row r="4368" spans="2:20" x14ac:dyDescent="0.25">
      <c r="B4368" t="s">
        <v>2709</v>
      </c>
      <c r="C4368">
        <v>38089111</v>
      </c>
      <c r="E4368">
        <v>38</v>
      </c>
      <c r="F4368">
        <v>0</v>
      </c>
      <c r="G4368">
        <v>0</v>
      </c>
      <c r="H4368" t="s">
        <v>19447</v>
      </c>
      <c r="I4368" t="s">
        <v>19447</v>
      </c>
      <c r="J4368">
        <v>14</v>
      </c>
      <c r="L4368" t="s">
        <v>2709</v>
      </c>
      <c r="M4368">
        <v>38089111</v>
      </c>
      <c r="O4368" t="s">
        <v>20008</v>
      </c>
      <c r="P4368" t="s">
        <v>19900</v>
      </c>
      <c r="Q4368" t="s">
        <v>19900</v>
      </c>
      <c r="R4368" t="s">
        <v>19447</v>
      </c>
      <c r="S4368" t="s">
        <v>19447</v>
      </c>
      <c r="T4368" t="s">
        <v>19911</v>
      </c>
    </row>
    <row r="4369" spans="2:20" x14ac:dyDescent="0.25">
      <c r="B4369" t="s">
        <v>2709</v>
      </c>
      <c r="C4369">
        <v>38089119</v>
      </c>
      <c r="E4369">
        <v>38</v>
      </c>
      <c r="F4369">
        <v>0</v>
      </c>
      <c r="G4369">
        <v>0</v>
      </c>
      <c r="H4369" t="s">
        <v>19447</v>
      </c>
      <c r="I4369" t="s">
        <v>19447</v>
      </c>
      <c r="J4369">
        <v>14</v>
      </c>
      <c r="L4369" t="s">
        <v>2709</v>
      </c>
      <c r="M4369">
        <v>38089119</v>
      </c>
      <c r="O4369" t="s">
        <v>20008</v>
      </c>
      <c r="P4369" t="s">
        <v>19900</v>
      </c>
      <c r="Q4369" t="s">
        <v>19900</v>
      </c>
      <c r="R4369" t="s">
        <v>19447</v>
      </c>
      <c r="S4369" t="s">
        <v>19447</v>
      </c>
      <c r="T4369" t="s">
        <v>19911</v>
      </c>
    </row>
    <row r="4370" spans="2:20" x14ac:dyDescent="0.25">
      <c r="B4370" t="s">
        <v>2709</v>
      </c>
      <c r="C4370">
        <v>38089120</v>
      </c>
      <c r="E4370">
        <v>38</v>
      </c>
      <c r="F4370">
        <v>0</v>
      </c>
      <c r="G4370">
        <v>0</v>
      </c>
      <c r="H4370" t="s">
        <v>19447</v>
      </c>
      <c r="I4370" t="s">
        <v>19447</v>
      </c>
      <c r="J4370">
        <v>14</v>
      </c>
      <c r="L4370" t="s">
        <v>2709</v>
      </c>
      <c r="M4370">
        <v>38089120</v>
      </c>
      <c r="O4370" t="s">
        <v>20008</v>
      </c>
      <c r="P4370" t="s">
        <v>19900</v>
      </c>
      <c r="Q4370" t="s">
        <v>19900</v>
      </c>
      <c r="R4370" t="s">
        <v>19447</v>
      </c>
      <c r="S4370" t="s">
        <v>19447</v>
      </c>
      <c r="T4370" t="s">
        <v>19911</v>
      </c>
    </row>
    <row r="4371" spans="2:20" x14ac:dyDescent="0.25">
      <c r="B4371" t="s">
        <v>2709</v>
      </c>
      <c r="C4371">
        <v>38089191</v>
      </c>
      <c r="E4371">
        <v>38</v>
      </c>
      <c r="F4371">
        <v>0</v>
      </c>
      <c r="G4371">
        <v>0</v>
      </c>
      <c r="H4371" t="s">
        <v>19447</v>
      </c>
      <c r="I4371" t="s">
        <v>19447</v>
      </c>
      <c r="J4371">
        <v>14</v>
      </c>
      <c r="L4371" t="s">
        <v>2709</v>
      </c>
      <c r="M4371">
        <v>38089191</v>
      </c>
      <c r="O4371" t="s">
        <v>20008</v>
      </c>
      <c r="P4371" t="s">
        <v>19900</v>
      </c>
      <c r="Q4371" t="s">
        <v>19900</v>
      </c>
      <c r="R4371" t="s">
        <v>19447</v>
      </c>
      <c r="S4371" t="s">
        <v>19447</v>
      </c>
      <c r="T4371" t="s">
        <v>19911</v>
      </c>
    </row>
    <row r="4372" spans="2:20" x14ac:dyDescent="0.25">
      <c r="B4372" t="s">
        <v>2709</v>
      </c>
      <c r="C4372">
        <v>38089192</v>
      </c>
      <c r="E4372">
        <v>38</v>
      </c>
      <c r="F4372">
        <v>0</v>
      </c>
      <c r="G4372">
        <v>0</v>
      </c>
      <c r="H4372" t="s">
        <v>19447</v>
      </c>
      <c r="I4372" t="s">
        <v>19447</v>
      </c>
      <c r="J4372">
        <v>14</v>
      </c>
      <c r="L4372" t="s">
        <v>2709</v>
      </c>
      <c r="M4372">
        <v>38089192</v>
      </c>
      <c r="O4372" t="s">
        <v>20008</v>
      </c>
      <c r="P4372" t="s">
        <v>19900</v>
      </c>
      <c r="Q4372" t="s">
        <v>19900</v>
      </c>
      <c r="R4372" t="s">
        <v>19447</v>
      </c>
      <c r="S4372" t="s">
        <v>19447</v>
      </c>
      <c r="T4372" t="s">
        <v>19911</v>
      </c>
    </row>
    <row r="4373" spans="2:20" x14ac:dyDescent="0.25">
      <c r="B4373" t="s">
        <v>2709</v>
      </c>
      <c r="C4373">
        <v>38089193</v>
      </c>
      <c r="E4373">
        <v>38</v>
      </c>
      <c r="F4373">
        <v>0</v>
      </c>
      <c r="G4373">
        <v>0</v>
      </c>
      <c r="H4373" t="s">
        <v>19447</v>
      </c>
      <c r="I4373" t="s">
        <v>19447</v>
      </c>
      <c r="J4373">
        <v>14</v>
      </c>
      <c r="L4373" t="s">
        <v>2709</v>
      </c>
      <c r="M4373">
        <v>38089193</v>
      </c>
      <c r="O4373" t="s">
        <v>20008</v>
      </c>
      <c r="P4373" t="s">
        <v>19900</v>
      </c>
      <c r="Q4373" t="s">
        <v>19900</v>
      </c>
      <c r="R4373" t="s">
        <v>19447</v>
      </c>
      <c r="S4373" t="s">
        <v>19447</v>
      </c>
      <c r="T4373" t="s">
        <v>19911</v>
      </c>
    </row>
    <row r="4374" spans="2:20" x14ac:dyDescent="0.25">
      <c r="B4374" t="s">
        <v>2709</v>
      </c>
      <c r="C4374">
        <v>38089194</v>
      </c>
      <c r="E4374">
        <v>38</v>
      </c>
      <c r="F4374">
        <v>0</v>
      </c>
      <c r="G4374">
        <v>0</v>
      </c>
      <c r="H4374" t="s">
        <v>19447</v>
      </c>
      <c r="I4374" t="s">
        <v>19447</v>
      </c>
      <c r="J4374">
        <v>14</v>
      </c>
      <c r="L4374" t="s">
        <v>2709</v>
      </c>
      <c r="M4374">
        <v>38089194</v>
      </c>
      <c r="O4374" t="s">
        <v>20008</v>
      </c>
      <c r="P4374" t="s">
        <v>19900</v>
      </c>
      <c r="Q4374" t="s">
        <v>19900</v>
      </c>
      <c r="R4374" t="s">
        <v>19447</v>
      </c>
      <c r="S4374" t="s">
        <v>19447</v>
      </c>
      <c r="T4374" t="s">
        <v>19911</v>
      </c>
    </row>
    <row r="4375" spans="2:20" x14ac:dyDescent="0.25">
      <c r="B4375" t="s">
        <v>2709</v>
      </c>
      <c r="C4375">
        <v>38089195</v>
      </c>
      <c r="E4375">
        <v>38</v>
      </c>
      <c r="F4375">
        <v>0</v>
      </c>
      <c r="G4375">
        <v>0</v>
      </c>
      <c r="H4375" t="s">
        <v>19447</v>
      </c>
      <c r="I4375" t="s">
        <v>19447</v>
      </c>
      <c r="J4375">
        <v>14</v>
      </c>
      <c r="L4375" t="s">
        <v>2709</v>
      </c>
      <c r="M4375">
        <v>38089195</v>
      </c>
      <c r="O4375" t="s">
        <v>20008</v>
      </c>
      <c r="P4375" t="s">
        <v>19900</v>
      </c>
      <c r="Q4375" t="s">
        <v>19900</v>
      </c>
      <c r="R4375" t="s">
        <v>19447</v>
      </c>
      <c r="S4375" t="s">
        <v>19447</v>
      </c>
      <c r="T4375" t="s">
        <v>19911</v>
      </c>
    </row>
    <row r="4376" spans="2:20" x14ac:dyDescent="0.25">
      <c r="B4376" t="s">
        <v>2709</v>
      </c>
      <c r="C4376">
        <v>38089196</v>
      </c>
      <c r="E4376">
        <v>38</v>
      </c>
      <c r="F4376">
        <v>0</v>
      </c>
      <c r="G4376">
        <v>0</v>
      </c>
      <c r="H4376" t="s">
        <v>19447</v>
      </c>
      <c r="I4376" t="s">
        <v>19447</v>
      </c>
      <c r="J4376">
        <v>14</v>
      </c>
      <c r="L4376" t="s">
        <v>2709</v>
      </c>
      <c r="M4376">
        <v>38089196</v>
      </c>
      <c r="O4376" t="s">
        <v>20008</v>
      </c>
      <c r="P4376" t="s">
        <v>19900</v>
      </c>
      <c r="Q4376" t="s">
        <v>19900</v>
      </c>
      <c r="R4376" t="s">
        <v>19447</v>
      </c>
      <c r="S4376" t="s">
        <v>19447</v>
      </c>
      <c r="T4376" t="s">
        <v>19911</v>
      </c>
    </row>
    <row r="4377" spans="2:20" x14ac:dyDescent="0.25">
      <c r="B4377" t="s">
        <v>2709</v>
      </c>
      <c r="C4377">
        <v>38089197</v>
      </c>
      <c r="E4377">
        <v>38</v>
      </c>
      <c r="F4377">
        <v>0</v>
      </c>
      <c r="G4377">
        <v>0</v>
      </c>
      <c r="H4377" t="s">
        <v>19447</v>
      </c>
      <c r="I4377" t="s">
        <v>19447</v>
      </c>
      <c r="J4377">
        <v>14</v>
      </c>
      <c r="L4377" t="s">
        <v>2709</v>
      </c>
      <c r="M4377">
        <v>38089197</v>
      </c>
      <c r="O4377" t="s">
        <v>20008</v>
      </c>
      <c r="P4377" t="s">
        <v>19900</v>
      </c>
      <c r="Q4377" t="s">
        <v>19900</v>
      </c>
      <c r="R4377" t="s">
        <v>19447</v>
      </c>
      <c r="S4377" t="s">
        <v>19447</v>
      </c>
      <c r="T4377" t="s">
        <v>19911</v>
      </c>
    </row>
    <row r="4378" spans="2:20" x14ac:dyDescent="0.25">
      <c r="B4378" t="s">
        <v>2709</v>
      </c>
      <c r="C4378">
        <v>38089198</v>
      </c>
      <c r="E4378">
        <v>38</v>
      </c>
      <c r="F4378">
        <v>0</v>
      </c>
      <c r="G4378">
        <v>0</v>
      </c>
      <c r="H4378" t="s">
        <v>19447</v>
      </c>
      <c r="I4378" t="s">
        <v>19447</v>
      </c>
      <c r="J4378">
        <v>12</v>
      </c>
      <c r="L4378" t="s">
        <v>2709</v>
      </c>
      <c r="M4378">
        <v>38089198</v>
      </c>
      <c r="O4378" t="s">
        <v>20008</v>
      </c>
      <c r="P4378" t="s">
        <v>19900</v>
      </c>
      <c r="Q4378" t="s">
        <v>19900</v>
      </c>
      <c r="R4378" t="s">
        <v>19447</v>
      </c>
      <c r="S4378" t="s">
        <v>19447</v>
      </c>
      <c r="T4378" t="s">
        <v>19903</v>
      </c>
    </row>
    <row r="4379" spans="2:20" x14ac:dyDescent="0.25">
      <c r="B4379" t="s">
        <v>2709</v>
      </c>
      <c r="C4379">
        <v>38089199</v>
      </c>
      <c r="E4379">
        <v>38</v>
      </c>
      <c r="F4379">
        <v>0</v>
      </c>
      <c r="G4379">
        <v>0</v>
      </c>
      <c r="H4379" t="s">
        <v>19447</v>
      </c>
      <c r="I4379" t="s">
        <v>19447</v>
      </c>
      <c r="J4379">
        <v>0</v>
      </c>
      <c r="L4379" t="s">
        <v>2709</v>
      </c>
      <c r="M4379">
        <v>38089199</v>
      </c>
      <c r="O4379" t="s">
        <v>20008</v>
      </c>
      <c r="P4379" t="s">
        <v>19900</v>
      </c>
      <c r="Q4379" t="s">
        <v>19900</v>
      </c>
      <c r="R4379" t="s">
        <v>19447</v>
      </c>
      <c r="S4379" t="s">
        <v>19447</v>
      </c>
      <c r="T4379" t="s">
        <v>19900</v>
      </c>
    </row>
    <row r="4380" spans="2:20" x14ac:dyDescent="0.25">
      <c r="B4380" t="s">
        <v>2709</v>
      </c>
      <c r="C4380">
        <v>38089211</v>
      </c>
      <c r="E4380">
        <v>68.819999999999993</v>
      </c>
      <c r="F4380">
        <v>0</v>
      </c>
      <c r="G4380">
        <v>0</v>
      </c>
      <c r="H4380" t="s">
        <v>19447</v>
      </c>
      <c r="I4380" t="s">
        <v>19447</v>
      </c>
      <c r="J4380">
        <v>14</v>
      </c>
      <c r="L4380" t="s">
        <v>2709</v>
      </c>
      <c r="M4380">
        <v>38089211</v>
      </c>
      <c r="O4380" t="s">
        <v>20028</v>
      </c>
      <c r="P4380" t="s">
        <v>19900</v>
      </c>
      <c r="Q4380" t="s">
        <v>19900</v>
      </c>
      <c r="R4380" t="s">
        <v>19447</v>
      </c>
      <c r="S4380" t="s">
        <v>19447</v>
      </c>
      <c r="T4380" t="s">
        <v>19911</v>
      </c>
    </row>
    <row r="4381" spans="2:20" x14ac:dyDescent="0.25">
      <c r="B4381" t="s">
        <v>2709</v>
      </c>
      <c r="C4381">
        <v>38089219</v>
      </c>
      <c r="E4381">
        <v>68.819999999999993</v>
      </c>
      <c r="F4381">
        <v>0</v>
      </c>
      <c r="G4381">
        <v>0</v>
      </c>
      <c r="H4381" t="s">
        <v>19447</v>
      </c>
      <c r="I4381" t="s">
        <v>19447</v>
      </c>
      <c r="J4381">
        <v>14</v>
      </c>
      <c r="L4381" t="s">
        <v>2709</v>
      </c>
      <c r="M4381">
        <v>38089219</v>
      </c>
      <c r="O4381" t="s">
        <v>20028</v>
      </c>
      <c r="P4381" t="s">
        <v>19900</v>
      </c>
      <c r="Q4381" t="s">
        <v>19900</v>
      </c>
      <c r="R4381" t="s">
        <v>19447</v>
      </c>
      <c r="S4381" t="s">
        <v>19447</v>
      </c>
      <c r="T4381" t="s">
        <v>19911</v>
      </c>
    </row>
    <row r="4382" spans="2:20" x14ac:dyDescent="0.25">
      <c r="B4382" t="s">
        <v>2709</v>
      </c>
      <c r="C4382">
        <v>38089220</v>
      </c>
      <c r="E4382">
        <v>68.819999999999993</v>
      </c>
      <c r="F4382">
        <v>0</v>
      </c>
      <c r="G4382">
        <v>0</v>
      </c>
      <c r="H4382" t="s">
        <v>19447</v>
      </c>
      <c r="I4382" t="s">
        <v>19447</v>
      </c>
      <c r="J4382">
        <v>14</v>
      </c>
      <c r="L4382" t="s">
        <v>2709</v>
      </c>
      <c r="M4382">
        <v>38089220</v>
      </c>
      <c r="O4382" t="s">
        <v>20028</v>
      </c>
      <c r="P4382" t="s">
        <v>19900</v>
      </c>
      <c r="Q4382" t="s">
        <v>19900</v>
      </c>
      <c r="R4382" t="s">
        <v>19447</v>
      </c>
      <c r="S4382" t="s">
        <v>19447</v>
      </c>
      <c r="T4382" t="s">
        <v>19911</v>
      </c>
    </row>
    <row r="4383" spans="2:20" x14ac:dyDescent="0.25">
      <c r="B4383" t="s">
        <v>2709</v>
      </c>
      <c r="C4383">
        <v>38089291</v>
      </c>
      <c r="E4383">
        <v>68.819999999999993</v>
      </c>
      <c r="F4383">
        <v>0</v>
      </c>
      <c r="G4383">
        <v>0</v>
      </c>
      <c r="H4383" t="s">
        <v>19447</v>
      </c>
      <c r="I4383" t="s">
        <v>19447</v>
      </c>
      <c r="J4383">
        <v>14</v>
      </c>
      <c r="L4383" t="s">
        <v>2709</v>
      </c>
      <c r="M4383">
        <v>38089291</v>
      </c>
      <c r="O4383" t="s">
        <v>20028</v>
      </c>
      <c r="P4383" t="s">
        <v>19900</v>
      </c>
      <c r="Q4383" t="s">
        <v>19900</v>
      </c>
      <c r="R4383" t="s">
        <v>19447</v>
      </c>
      <c r="S4383" t="s">
        <v>19447</v>
      </c>
      <c r="T4383" t="s">
        <v>19911</v>
      </c>
    </row>
    <row r="4384" spans="2:20" x14ac:dyDescent="0.25">
      <c r="B4384" t="s">
        <v>2709</v>
      </c>
      <c r="C4384">
        <v>38089292</v>
      </c>
      <c r="E4384">
        <v>68.819999999999993</v>
      </c>
      <c r="F4384">
        <v>0</v>
      </c>
      <c r="G4384">
        <v>0</v>
      </c>
      <c r="H4384" t="s">
        <v>19447</v>
      </c>
      <c r="I4384" t="s">
        <v>19447</v>
      </c>
      <c r="J4384">
        <v>14</v>
      </c>
      <c r="L4384" t="s">
        <v>2709</v>
      </c>
      <c r="M4384">
        <v>38089292</v>
      </c>
      <c r="O4384" t="s">
        <v>20028</v>
      </c>
      <c r="P4384" t="s">
        <v>19900</v>
      </c>
      <c r="Q4384" t="s">
        <v>19900</v>
      </c>
      <c r="R4384" t="s">
        <v>19447</v>
      </c>
      <c r="S4384" t="s">
        <v>19447</v>
      </c>
      <c r="T4384" t="s">
        <v>19911</v>
      </c>
    </row>
    <row r="4385" spans="2:20" x14ac:dyDescent="0.25">
      <c r="B4385" t="s">
        <v>2709</v>
      </c>
      <c r="C4385">
        <v>38089293</v>
      </c>
      <c r="E4385">
        <v>68.819999999999993</v>
      </c>
      <c r="F4385">
        <v>0</v>
      </c>
      <c r="G4385">
        <v>0</v>
      </c>
      <c r="H4385" t="s">
        <v>19447</v>
      </c>
      <c r="I4385" t="s">
        <v>19447</v>
      </c>
      <c r="J4385">
        <v>14</v>
      </c>
      <c r="L4385" t="s">
        <v>2709</v>
      </c>
      <c r="M4385">
        <v>38089293</v>
      </c>
      <c r="O4385" t="s">
        <v>20028</v>
      </c>
      <c r="P4385" t="s">
        <v>19900</v>
      </c>
      <c r="Q4385" t="s">
        <v>19900</v>
      </c>
      <c r="R4385" t="s">
        <v>19447</v>
      </c>
      <c r="S4385" t="s">
        <v>19447</v>
      </c>
      <c r="T4385" t="s">
        <v>19911</v>
      </c>
    </row>
    <row r="4386" spans="2:20" x14ac:dyDescent="0.25">
      <c r="B4386" t="s">
        <v>2709</v>
      </c>
      <c r="C4386">
        <v>38089294</v>
      </c>
      <c r="E4386">
        <v>68.819999999999993</v>
      </c>
      <c r="F4386">
        <v>0</v>
      </c>
      <c r="G4386">
        <v>0</v>
      </c>
      <c r="H4386" t="s">
        <v>19447</v>
      </c>
      <c r="I4386" t="s">
        <v>19447</v>
      </c>
      <c r="J4386">
        <v>14</v>
      </c>
      <c r="L4386" t="s">
        <v>2709</v>
      </c>
      <c r="M4386">
        <v>38089294</v>
      </c>
      <c r="O4386" t="s">
        <v>20028</v>
      </c>
      <c r="P4386" t="s">
        <v>19900</v>
      </c>
      <c r="Q4386" t="s">
        <v>19900</v>
      </c>
      <c r="R4386" t="s">
        <v>19447</v>
      </c>
      <c r="S4386" t="s">
        <v>19447</v>
      </c>
      <c r="T4386" t="s">
        <v>19911</v>
      </c>
    </row>
    <row r="4387" spans="2:20" x14ac:dyDescent="0.25">
      <c r="B4387" t="s">
        <v>2709</v>
      </c>
      <c r="C4387">
        <v>38089295</v>
      </c>
      <c r="E4387">
        <v>68.819999999999993</v>
      </c>
      <c r="F4387">
        <v>0</v>
      </c>
      <c r="G4387">
        <v>0</v>
      </c>
      <c r="H4387" t="s">
        <v>19447</v>
      </c>
      <c r="I4387" t="s">
        <v>19447</v>
      </c>
      <c r="J4387">
        <v>14</v>
      </c>
      <c r="L4387" t="s">
        <v>2709</v>
      </c>
      <c r="M4387">
        <v>38089295</v>
      </c>
      <c r="O4387" t="s">
        <v>20028</v>
      </c>
      <c r="P4387" t="s">
        <v>19900</v>
      </c>
      <c r="Q4387" t="s">
        <v>19900</v>
      </c>
      <c r="R4387" t="s">
        <v>19447</v>
      </c>
      <c r="S4387" t="s">
        <v>19447</v>
      </c>
      <c r="T4387" t="s">
        <v>19911</v>
      </c>
    </row>
    <row r="4388" spans="2:20" x14ac:dyDescent="0.25">
      <c r="B4388" t="s">
        <v>2709</v>
      </c>
      <c r="C4388">
        <v>38089296</v>
      </c>
      <c r="E4388">
        <v>68.819999999999993</v>
      </c>
      <c r="F4388">
        <v>0</v>
      </c>
      <c r="G4388">
        <v>0</v>
      </c>
      <c r="H4388" t="s">
        <v>19447</v>
      </c>
      <c r="I4388" t="s">
        <v>19447</v>
      </c>
      <c r="J4388">
        <v>14</v>
      </c>
      <c r="L4388" t="s">
        <v>2709</v>
      </c>
      <c r="M4388">
        <v>38089296</v>
      </c>
      <c r="O4388" t="s">
        <v>20028</v>
      </c>
      <c r="P4388" t="s">
        <v>19900</v>
      </c>
      <c r="Q4388" t="s">
        <v>19900</v>
      </c>
      <c r="R4388" t="s">
        <v>19447</v>
      </c>
      <c r="S4388" t="s">
        <v>19447</v>
      </c>
      <c r="T4388" t="s">
        <v>19911</v>
      </c>
    </row>
    <row r="4389" spans="2:20" x14ac:dyDescent="0.25">
      <c r="B4389" t="s">
        <v>2709</v>
      </c>
      <c r="C4389">
        <v>38089297</v>
      </c>
      <c r="E4389">
        <v>68.819999999999993</v>
      </c>
      <c r="F4389">
        <v>0</v>
      </c>
      <c r="G4389">
        <v>0</v>
      </c>
      <c r="H4389" t="s">
        <v>19447</v>
      </c>
      <c r="I4389" t="s">
        <v>19447</v>
      </c>
      <c r="J4389">
        <v>12</v>
      </c>
      <c r="L4389" t="s">
        <v>2709</v>
      </c>
      <c r="M4389">
        <v>38089297</v>
      </c>
      <c r="O4389" t="s">
        <v>20028</v>
      </c>
      <c r="P4389" t="s">
        <v>19900</v>
      </c>
      <c r="Q4389" t="s">
        <v>19900</v>
      </c>
      <c r="R4389" t="s">
        <v>19447</v>
      </c>
      <c r="S4389" t="s">
        <v>19447</v>
      </c>
      <c r="T4389" t="s">
        <v>19903</v>
      </c>
    </row>
    <row r="4390" spans="2:20" x14ac:dyDescent="0.25">
      <c r="B4390" t="s">
        <v>2709</v>
      </c>
      <c r="C4390">
        <v>38089299</v>
      </c>
      <c r="E4390">
        <v>68.819999999999993</v>
      </c>
      <c r="F4390">
        <v>0</v>
      </c>
      <c r="G4390">
        <v>0</v>
      </c>
      <c r="H4390" t="s">
        <v>19447</v>
      </c>
      <c r="I4390" t="s">
        <v>19447</v>
      </c>
      <c r="J4390">
        <v>0</v>
      </c>
      <c r="L4390" t="s">
        <v>2709</v>
      </c>
      <c r="M4390">
        <v>38089299</v>
      </c>
      <c r="O4390" t="s">
        <v>20028</v>
      </c>
      <c r="P4390" t="s">
        <v>19900</v>
      </c>
      <c r="Q4390" t="s">
        <v>19900</v>
      </c>
      <c r="R4390" t="s">
        <v>19447</v>
      </c>
      <c r="S4390" t="s">
        <v>19447</v>
      </c>
      <c r="T4390" t="s">
        <v>19900</v>
      </c>
    </row>
    <row r="4391" spans="2:20" x14ac:dyDescent="0.25">
      <c r="B4391" t="s">
        <v>2709</v>
      </c>
      <c r="C4391">
        <v>38089311</v>
      </c>
      <c r="E4391">
        <v>68.819999999999993</v>
      </c>
      <c r="F4391">
        <v>12</v>
      </c>
      <c r="G4391">
        <v>0</v>
      </c>
      <c r="H4391" t="s">
        <v>19447</v>
      </c>
      <c r="I4391" t="s">
        <v>19447</v>
      </c>
      <c r="J4391">
        <v>14</v>
      </c>
      <c r="L4391" t="s">
        <v>2709</v>
      </c>
      <c r="M4391">
        <v>38089311</v>
      </c>
      <c r="O4391" t="s">
        <v>20028</v>
      </c>
      <c r="P4391" t="s">
        <v>19903</v>
      </c>
      <c r="Q4391" t="s">
        <v>19900</v>
      </c>
      <c r="R4391" t="s">
        <v>19447</v>
      </c>
      <c r="S4391" t="s">
        <v>19447</v>
      </c>
      <c r="T4391" t="s">
        <v>19911</v>
      </c>
    </row>
    <row r="4392" spans="2:20" x14ac:dyDescent="0.25">
      <c r="B4392" t="s">
        <v>2709</v>
      </c>
      <c r="C4392">
        <v>38089319</v>
      </c>
      <c r="E4392">
        <v>68.819999999999993</v>
      </c>
      <c r="F4392">
        <v>12</v>
      </c>
      <c r="G4392">
        <v>0</v>
      </c>
      <c r="H4392" t="s">
        <v>19447</v>
      </c>
      <c r="I4392" t="s">
        <v>19447</v>
      </c>
      <c r="J4392">
        <v>14</v>
      </c>
      <c r="L4392" t="s">
        <v>2709</v>
      </c>
      <c r="M4392">
        <v>38089319</v>
      </c>
      <c r="O4392" t="s">
        <v>20028</v>
      </c>
      <c r="P4392" t="s">
        <v>19903</v>
      </c>
      <c r="Q4392" t="s">
        <v>19900</v>
      </c>
      <c r="R4392" t="s">
        <v>19447</v>
      </c>
      <c r="S4392" t="s">
        <v>19447</v>
      </c>
      <c r="T4392" t="s">
        <v>19911</v>
      </c>
    </row>
    <row r="4393" spans="2:20" x14ac:dyDescent="0.25">
      <c r="B4393" t="s">
        <v>2709</v>
      </c>
      <c r="C4393">
        <v>38089321</v>
      </c>
      <c r="E4393">
        <v>68.819999999999993</v>
      </c>
      <c r="F4393">
        <v>0</v>
      </c>
      <c r="G4393">
        <v>0</v>
      </c>
      <c r="H4393" t="s">
        <v>19447</v>
      </c>
      <c r="I4393" t="s">
        <v>19447</v>
      </c>
      <c r="J4393">
        <v>14</v>
      </c>
      <c r="L4393" t="s">
        <v>2709</v>
      </c>
      <c r="M4393">
        <v>38089321</v>
      </c>
      <c r="O4393" t="s">
        <v>20028</v>
      </c>
      <c r="P4393" t="s">
        <v>19900</v>
      </c>
      <c r="Q4393" t="s">
        <v>19900</v>
      </c>
      <c r="R4393" t="s">
        <v>19447</v>
      </c>
      <c r="S4393" t="s">
        <v>19447</v>
      </c>
      <c r="T4393" t="s">
        <v>19911</v>
      </c>
    </row>
    <row r="4394" spans="2:20" x14ac:dyDescent="0.25">
      <c r="B4394" t="s">
        <v>2709</v>
      </c>
      <c r="C4394">
        <v>38089322</v>
      </c>
      <c r="E4394">
        <v>68.819999999999993</v>
      </c>
      <c r="F4394">
        <v>0</v>
      </c>
      <c r="G4394">
        <v>0</v>
      </c>
      <c r="H4394" t="s">
        <v>19447</v>
      </c>
      <c r="I4394" t="s">
        <v>19447</v>
      </c>
      <c r="J4394">
        <v>14</v>
      </c>
      <c r="L4394" t="s">
        <v>2709</v>
      </c>
      <c r="M4394">
        <v>38089322</v>
      </c>
      <c r="O4394" t="s">
        <v>20028</v>
      </c>
      <c r="P4394" t="s">
        <v>19900</v>
      </c>
      <c r="Q4394" t="s">
        <v>19900</v>
      </c>
      <c r="R4394" t="s">
        <v>19447</v>
      </c>
      <c r="S4394" t="s">
        <v>19447</v>
      </c>
      <c r="T4394" t="s">
        <v>19911</v>
      </c>
    </row>
    <row r="4395" spans="2:20" x14ac:dyDescent="0.25">
      <c r="B4395" t="s">
        <v>2709</v>
      </c>
      <c r="C4395">
        <v>38089323</v>
      </c>
      <c r="E4395">
        <v>68.819999999999993</v>
      </c>
      <c r="F4395">
        <v>0</v>
      </c>
      <c r="G4395">
        <v>0</v>
      </c>
      <c r="H4395" t="s">
        <v>19447</v>
      </c>
      <c r="I4395" t="s">
        <v>19447</v>
      </c>
      <c r="J4395">
        <v>14</v>
      </c>
      <c r="L4395" t="s">
        <v>2709</v>
      </c>
      <c r="M4395">
        <v>38089323</v>
      </c>
      <c r="O4395" t="s">
        <v>20028</v>
      </c>
      <c r="P4395" t="s">
        <v>19900</v>
      </c>
      <c r="Q4395" t="s">
        <v>19900</v>
      </c>
      <c r="R4395" t="s">
        <v>19447</v>
      </c>
      <c r="S4395" t="s">
        <v>19447</v>
      </c>
      <c r="T4395" t="s">
        <v>19911</v>
      </c>
    </row>
    <row r="4396" spans="2:20" x14ac:dyDescent="0.25">
      <c r="B4396" t="s">
        <v>2709</v>
      </c>
      <c r="C4396">
        <v>38089324</v>
      </c>
      <c r="E4396">
        <v>68.819999999999993</v>
      </c>
      <c r="F4396">
        <v>0</v>
      </c>
      <c r="G4396">
        <v>0</v>
      </c>
      <c r="H4396" t="s">
        <v>19447</v>
      </c>
      <c r="I4396" t="s">
        <v>19447</v>
      </c>
      <c r="J4396">
        <v>14</v>
      </c>
      <c r="L4396" t="s">
        <v>2709</v>
      </c>
      <c r="M4396">
        <v>38089324</v>
      </c>
      <c r="O4396" t="s">
        <v>20028</v>
      </c>
      <c r="P4396" t="s">
        <v>19900</v>
      </c>
      <c r="Q4396" t="s">
        <v>19900</v>
      </c>
      <c r="R4396" t="s">
        <v>19447</v>
      </c>
      <c r="S4396" t="s">
        <v>19447</v>
      </c>
      <c r="T4396" t="s">
        <v>19911</v>
      </c>
    </row>
    <row r="4397" spans="2:20" x14ac:dyDescent="0.25">
      <c r="B4397" t="s">
        <v>2709</v>
      </c>
      <c r="C4397">
        <v>38089325</v>
      </c>
      <c r="E4397">
        <v>68.819999999999993</v>
      </c>
      <c r="F4397">
        <v>0</v>
      </c>
      <c r="G4397">
        <v>0</v>
      </c>
      <c r="H4397" t="s">
        <v>19447</v>
      </c>
      <c r="I4397" t="s">
        <v>19447</v>
      </c>
      <c r="J4397">
        <v>14</v>
      </c>
      <c r="L4397" t="s">
        <v>2709</v>
      </c>
      <c r="M4397">
        <v>38089325</v>
      </c>
      <c r="O4397" t="s">
        <v>20028</v>
      </c>
      <c r="P4397" t="s">
        <v>19900</v>
      </c>
      <c r="Q4397" t="s">
        <v>19900</v>
      </c>
      <c r="R4397" t="s">
        <v>19447</v>
      </c>
      <c r="S4397" t="s">
        <v>19447</v>
      </c>
      <c r="T4397" t="s">
        <v>19911</v>
      </c>
    </row>
    <row r="4398" spans="2:20" x14ac:dyDescent="0.25">
      <c r="B4398" t="s">
        <v>2709</v>
      </c>
      <c r="C4398">
        <v>38089326</v>
      </c>
      <c r="E4398">
        <v>68.819999999999993</v>
      </c>
      <c r="F4398">
        <v>0</v>
      </c>
      <c r="G4398">
        <v>0</v>
      </c>
      <c r="H4398" t="s">
        <v>19447</v>
      </c>
      <c r="I4398" t="s">
        <v>19447</v>
      </c>
      <c r="J4398">
        <v>14</v>
      </c>
      <c r="L4398" t="s">
        <v>2709</v>
      </c>
      <c r="M4398">
        <v>38089326</v>
      </c>
      <c r="O4398" t="s">
        <v>20028</v>
      </c>
      <c r="P4398" t="s">
        <v>19900</v>
      </c>
      <c r="Q4398" t="s">
        <v>19900</v>
      </c>
      <c r="R4398" t="s">
        <v>19447</v>
      </c>
      <c r="S4398" t="s">
        <v>19447</v>
      </c>
      <c r="T4398" t="s">
        <v>19911</v>
      </c>
    </row>
    <row r="4399" spans="2:20" x14ac:dyDescent="0.25">
      <c r="B4399" t="s">
        <v>2709</v>
      </c>
      <c r="C4399">
        <v>38089327</v>
      </c>
      <c r="E4399">
        <v>68.819999999999993</v>
      </c>
      <c r="F4399">
        <v>0</v>
      </c>
      <c r="G4399">
        <v>0</v>
      </c>
      <c r="H4399" t="s">
        <v>19447</v>
      </c>
      <c r="I4399" t="s">
        <v>19447</v>
      </c>
      <c r="J4399">
        <v>12</v>
      </c>
      <c r="L4399" t="s">
        <v>2709</v>
      </c>
      <c r="M4399">
        <v>38089327</v>
      </c>
      <c r="O4399" t="s">
        <v>20028</v>
      </c>
      <c r="P4399" t="s">
        <v>19900</v>
      </c>
      <c r="Q4399" t="s">
        <v>19900</v>
      </c>
      <c r="R4399" t="s">
        <v>19447</v>
      </c>
      <c r="S4399" t="s">
        <v>19447</v>
      </c>
      <c r="T4399" t="s">
        <v>19903</v>
      </c>
    </row>
    <row r="4400" spans="2:20" x14ac:dyDescent="0.25">
      <c r="B4400" t="s">
        <v>2709</v>
      </c>
      <c r="C4400">
        <v>38089328</v>
      </c>
      <c r="E4400">
        <v>68.819999999999993</v>
      </c>
      <c r="F4400">
        <v>12</v>
      </c>
      <c r="G4400">
        <v>0</v>
      </c>
      <c r="H4400" t="s">
        <v>19447</v>
      </c>
      <c r="I4400" t="s">
        <v>19447</v>
      </c>
      <c r="J4400">
        <v>8</v>
      </c>
      <c r="L4400" t="s">
        <v>2709</v>
      </c>
      <c r="M4400">
        <v>38089328</v>
      </c>
      <c r="O4400" t="s">
        <v>20028</v>
      </c>
      <c r="P4400" t="s">
        <v>19903</v>
      </c>
      <c r="Q4400" t="s">
        <v>19900</v>
      </c>
      <c r="R4400" t="s">
        <v>19447</v>
      </c>
      <c r="S4400" t="s">
        <v>19447</v>
      </c>
      <c r="T4400" t="s">
        <v>19918</v>
      </c>
    </row>
    <row r="4401" spans="2:20" x14ac:dyDescent="0.25">
      <c r="B4401" t="s">
        <v>2709</v>
      </c>
      <c r="C4401">
        <v>38089329</v>
      </c>
      <c r="E4401">
        <v>68.819999999999993</v>
      </c>
      <c r="F4401">
        <v>0</v>
      </c>
      <c r="G4401">
        <v>0</v>
      </c>
      <c r="H4401" t="s">
        <v>19447</v>
      </c>
      <c r="I4401" t="s">
        <v>19447</v>
      </c>
      <c r="J4401">
        <v>0</v>
      </c>
      <c r="L4401" t="s">
        <v>2709</v>
      </c>
      <c r="M4401">
        <v>38089329</v>
      </c>
      <c r="O4401" t="s">
        <v>20028</v>
      </c>
      <c r="P4401" t="s">
        <v>19900</v>
      </c>
      <c r="Q4401" t="s">
        <v>19900</v>
      </c>
      <c r="R4401" t="s">
        <v>19447</v>
      </c>
      <c r="S4401" t="s">
        <v>19447</v>
      </c>
      <c r="T4401" t="s">
        <v>19900</v>
      </c>
    </row>
    <row r="4402" spans="2:20" x14ac:dyDescent="0.25">
      <c r="B4402" t="s">
        <v>2709</v>
      </c>
      <c r="C4402">
        <v>38089331</v>
      </c>
      <c r="E4402">
        <v>68.819999999999993</v>
      </c>
      <c r="F4402">
        <v>12</v>
      </c>
      <c r="G4402">
        <v>0</v>
      </c>
      <c r="H4402" t="s">
        <v>19447</v>
      </c>
      <c r="I4402" t="s">
        <v>19447</v>
      </c>
      <c r="J4402">
        <v>14</v>
      </c>
      <c r="L4402" t="s">
        <v>2709</v>
      </c>
      <c r="M4402">
        <v>38089331</v>
      </c>
      <c r="O4402" t="s">
        <v>20028</v>
      </c>
      <c r="P4402" t="s">
        <v>19903</v>
      </c>
      <c r="Q4402" t="s">
        <v>19900</v>
      </c>
      <c r="R4402" t="s">
        <v>19447</v>
      </c>
      <c r="S4402" t="s">
        <v>19447</v>
      </c>
      <c r="T4402" t="s">
        <v>19911</v>
      </c>
    </row>
    <row r="4403" spans="2:20" x14ac:dyDescent="0.25">
      <c r="B4403" t="s">
        <v>2709</v>
      </c>
      <c r="C4403">
        <v>38089332</v>
      </c>
      <c r="E4403">
        <v>68.819999999999993</v>
      </c>
      <c r="F4403">
        <v>12</v>
      </c>
      <c r="G4403">
        <v>0</v>
      </c>
      <c r="H4403" t="s">
        <v>19447</v>
      </c>
      <c r="I4403" t="s">
        <v>19447</v>
      </c>
      <c r="J4403">
        <v>14</v>
      </c>
      <c r="L4403" t="s">
        <v>2709</v>
      </c>
      <c r="M4403">
        <v>38089332</v>
      </c>
      <c r="O4403" t="s">
        <v>20028</v>
      </c>
      <c r="P4403" t="s">
        <v>19903</v>
      </c>
      <c r="Q4403" t="s">
        <v>19900</v>
      </c>
      <c r="R4403" t="s">
        <v>19447</v>
      </c>
      <c r="S4403" t="s">
        <v>19447</v>
      </c>
      <c r="T4403" t="s">
        <v>19911</v>
      </c>
    </row>
    <row r="4404" spans="2:20" x14ac:dyDescent="0.25">
      <c r="B4404" t="s">
        <v>2709</v>
      </c>
      <c r="C4404">
        <v>38089333</v>
      </c>
      <c r="E4404">
        <v>68.819999999999993</v>
      </c>
      <c r="F4404">
        <v>12</v>
      </c>
      <c r="G4404">
        <v>0</v>
      </c>
      <c r="H4404" t="s">
        <v>19447</v>
      </c>
      <c r="I4404" t="s">
        <v>19447</v>
      </c>
      <c r="J4404">
        <v>8</v>
      </c>
      <c r="L4404" t="s">
        <v>2709</v>
      </c>
      <c r="M4404">
        <v>38089333</v>
      </c>
      <c r="O4404" t="s">
        <v>20028</v>
      </c>
      <c r="P4404" t="s">
        <v>19903</v>
      </c>
      <c r="Q4404" t="s">
        <v>19900</v>
      </c>
      <c r="R4404" t="s">
        <v>19447</v>
      </c>
      <c r="S4404" t="s">
        <v>19447</v>
      </c>
      <c r="T4404" t="s">
        <v>19918</v>
      </c>
    </row>
    <row r="4405" spans="2:20" x14ac:dyDescent="0.25">
      <c r="B4405" t="s">
        <v>2709</v>
      </c>
      <c r="C4405">
        <v>38089341</v>
      </c>
      <c r="E4405">
        <v>68.819999999999993</v>
      </c>
      <c r="F4405">
        <v>12</v>
      </c>
      <c r="G4405">
        <v>0</v>
      </c>
      <c r="H4405" t="s">
        <v>19447</v>
      </c>
      <c r="I4405" t="s">
        <v>19447</v>
      </c>
      <c r="J4405">
        <v>14</v>
      </c>
      <c r="L4405" t="s">
        <v>2709</v>
      </c>
      <c r="M4405">
        <v>38089341</v>
      </c>
      <c r="O4405" t="s">
        <v>20028</v>
      </c>
      <c r="P4405" t="s">
        <v>19903</v>
      </c>
      <c r="Q4405" t="s">
        <v>19900</v>
      </c>
      <c r="R4405" t="s">
        <v>19447</v>
      </c>
      <c r="S4405" t="s">
        <v>19447</v>
      </c>
      <c r="T4405" t="s">
        <v>19911</v>
      </c>
    </row>
    <row r="4406" spans="2:20" x14ac:dyDescent="0.25">
      <c r="B4406" t="s">
        <v>2709</v>
      </c>
      <c r="C4406">
        <v>38089349</v>
      </c>
      <c r="E4406">
        <v>68.819999999999993</v>
      </c>
      <c r="F4406">
        <v>12</v>
      </c>
      <c r="G4406">
        <v>0</v>
      </c>
      <c r="H4406" t="s">
        <v>19447</v>
      </c>
      <c r="I4406" t="s">
        <v>19447</v>
      </c>
      <c r="J4406">
        <v>14</v>
      </c>
      <c r="L4406" t="s">
        <v>2709</v>
      </c>
      <c r="M4406">
        <v>38089349</v>
      </c>
      <c r="O4406" t="s">
        <v>20028</v>
      </c>
      <c r="P4406" t="s">
        <v>19903</v>
      </c>
      <c r="Q4406" t="s">
        <v>19900</v>
      </c>
      <c r="R4406" t="s">
        <v>19447</v>
      </c>
      <c r="S4406" t="s">
        <v>19447</v>
      </c>
      <c r="T4406" t="s">
        <v>19911</v>
      </c>
    </row>
    <row r="4407" spans="2:20" x14ac:dyDescent="0.25">
      <c r="B4407" t="s">
        <v>2709</v>
      </c>
      <c r="C4407">
        <v>38089351</v>
      </c>
      <c r="E4407">
        <v>68.819999999999993</v>
      </c>
      <c r="F4407">
        <v>12</v>
      </c>
      <c r="G4407">
        <v>0</v>
      </c>
      <c r="H4407" t="s">
        <v>19447</v>
      </c>
      <c r="I4407" t="s">
        <v>19447</v>
      </c>
      <c r="J4407">
        <v>14</v>
      </c>
      <c r="L4407" t="s">
        <v>2709</v>
      </c>
      <c r="M4407">
        <v>38089351</v>
      </c>
      <c r="O4407" t="s">
        <v>20028</v>
      </c>
      <c r="P4407" t="s">
        <v>19903</v>
      </c>
      <c r="Q4407" t="s">
        <v>19900</v>
      </c>
      <c r="R4407" t="s">
        <v>19447</v>
      </c>
      <c r="S4407" t="s">
        <v>19447</v>
      </c>
      <c r="T4407" t="s">
        <v>19911</v>
      </c>
    </row>
    <row r="4408" spans="2:20" x14ac:dyDescent="0.25">
      <c r="B4408" t="s">
        <v>2709</v>
      </c>
      <c r="C4408">
        <v>38089352</v>
      </c>
      <c r="E4408">
        <v>68.819999999999993</v>
      </c>
      <c r="F4408">
        <v>12</v>
      </c>
      <c r="G4408">
        <v>0</v>
      </c>
      <c r="H4408" t="s">
        <v>19447</v>
      </c>
      <c r="I4408" t="s">
        <v>19447</v>
      </c>
      <c r="J4408">
        <v>14</v>
      </c>
      <c r="L4408" t="s">
        <v>2709</v>
      </c>
      <c r="M4408">
        <v>38089352</v>
      </c>
      <c r="O4408" t="s">
        <v>20028</v>
      </c>
      <c r="P4408" t="s">
        <v>19903</v>
      </c>
      <c r="Q4408" t="s">
        <v>19900</v>
      </c>
      <c r="R4408" t="s">
        <v>19447</v>
      </c>
      <c r="S4408" t="s">
        <v>19447</v>
      </c>
      <c r="T4408" t="s">
        <v>19911</v>
      </c>
    </row>
    <row r="4409" spans="2:20" x14ac:dyDescent="0.25">
      <c r="B4409" t="s">
        <v>2709</v>
      </c>
      <c r="C4409">
        <v>38089359</v>
      </c>
      <c r="E4409">
        <v>68.819999999999993</v>
      </c>
      <c r="F4409">
        <v>12</v>
      </c>
      <c r="G4409">
        <v>0</v>
      </c>
      <c r="H4409" t="s">
        <v>19447</v>
      </c>
      <c r="I4409" t="s">
        <v>19447</v>
      </c>
      <c r="J4409">
        <v>8</v>
      </c>
      <c r="L4409" t="s">
        <v>2709</v>
      </c>
      <c r="M4409">
        <v>38089359</v>
      </c>
      <c r="O4409" t="s">
        <v>20028</v>
      </c>
      <c r="P4409" t="s">
        <v>19903</v>
      </c>
      <c r="Q4409" t="s">
        <v>19900</v>
      </c>
      <c r="R4409" t="s">
        <v>19447</v>
      </c>
      <c r="S4409" t="s">
        <v>19447</v>
      </c>
      <c r="T4409" t="s">
        <v>19918</v>
      </c>
    </row>
    <row r="4410" spans="2:20" x14ac:dyDescent="0.25">
      <c r="B4410" t="s">
        <v>2709</v>
      </c>
      <c r="C4410">
        <v>38089411</v>
      </c>
      <c r="E4410">
        <v>68.819999999999993</v>
      </c>
      <c r="F4410">
        <v>0</v>
      </c>
      <c r="G4410">
        <v>5</v>
      </c>
      <c r="H4410" t="s">
        <v>19447</v>
      </c>
      <c r="I4410" t="s">
        <v>19447</v>
      </c>
      <c r="J4410">
        <v>14</v>
      </c>
      <c r="L4410" t="s">
        <v>2709</v>
      </c>
      <c r="M4410">
        <v>38089411</v>
      </c>
      <c r="O4410" t="s">
        <v>20028</v>
      </c>
      <c r="P4410" t="s">
        <v>19900</v>
      </c>
      <c r="Q4410" t="s">
        <v>19909</v>
      </c>
      <c r="R4410" t="s">
        <v>19447</v>
      </c>
      <c r="S4410" t="s">
        <v>19447</v>
      </c>
      <c r="T4410" t="s">
        <v>19911</v>
      </c>
    </row>
    <row r="4411" spans="2:20" x14ac:dyDescent="0.25">
      <c r="B4411" t="s">
        <v>2709</v>
      </c>
      <c r="C4411">
        <v>38089411</v>
      </c>
      <c r="D4411">
        <v>1</v>
      </c>
      <c r="E4411" t="s">
        <v>19447</v>
      </c>
      <c r="F4411">
        <v>18</v>
      </c>
      <c r="G4411">
        <v>30</v>
      </c>
      <c r="H4411">
        <v>7.6</v>
      </c>
      <c r="I4411">
        <v>1.65</v>
      </c>
      <c r="J4411">
        <v>14</v>
      </c>
      <c r="L4411" t="s">
        <v>2709</v>
      </c>
      <c r="M4411">
        <v>38089411</v>
      </c>
      <c r="N4411">
        <v>1</v>
      </c>
      <c r="O4411" t="s">
        <v>19447</v>
      </c>
      <c r="P4411" t="s">
        <v>19899</v>
      </c>
      <c r="Q4411" t="s">
        <v>19933</v>
      </c>
      <c r="R4411" t="s">
        <v>19905</v>
      </c>
      <c r="S4411" t="s">
        <v>19906</v>
      </c>
      <c r="T4411" t="s">
        <v>19911</v>
      </c>
    </row>
    <row r="4412" spans="2:20" x14ac:dyDescent="0.25">
      <c r="B4412" t="s">
        <v>2709</v>
      </c>
      <c r="C4412">
        <v>38089419</v>
      </c>
      <c r="E4412">
        <v>68.819999999999993</v>
      </c>
      <c r="F4412">
        <v>0</v>
      </c>
      <c r="G4412">
        <v>5</v>
      </c>
      <c r="H4412" t="s">
        <v>19447</v>
      </c>
      <c r="I4412" t="s">
        <v>19447</v>
      </c>
      <c r="J4412">
        <v>14</v>
      </c>
      <c r="L4412" t="s">
        <v>2709</v>
      </c>
      <c r="M4412">
        <v>38089419</v>
      </c>
      <c r="O4412" t="s">
        <v>20028</v>
      </c>
      <c r="P4412" t="s">
        <v>19900</v>
      </c>
      <c r="Q4412" t="s">
        <v>19909</v>
      </c>
      <c r="R4412" t="s">
        <v>19447</v>
      </c>
      <c r="S4412" t="s">
        <v>19447</v>
      </c>
      <c r="T4412" t="s">
        <v>19911</v>
      </c>
    </row>
    <row r="4413" spans="2:20" x14ac:dyDescent="0.25">
      <c r="B4413" t="s">
        <v>2709</v>
      </c>
      <c r="C4413">
        <v>38089419</v>
      </c>
      <c r="D4413">
        <v>1</v>
      </c>
      <c r="E4413" t="s">
        <v>19447</v>
      </c>
      <c r="F4413">
        <v>18</v>
      </c>
      <c r="G4413">
        <v>30</v>
      </c>
      <c r="H4413">
        <v>7.6</v>
      </c>
      <c r="I4413">
        <v>1.65</v>
      </c>
      <c r="J4413">
        <v>14</v>
      </c>
      <c r="L4413" t="s">
        <v>2709</v>
      </c>
      <c r="M4413">
        <v>38089419</v>
      </c>
      <c r="N4413">
        <v>1</v>
      </c>
      <c r="O4413" t="s">
        <v>19447</v>
      </c>
      <c r="P4413" t="s">
        <v>19899</v>
      </c>
      <c r="Q4413" t="s">
        <v>19933</v>
      </c>
      <c r="R4413" t="s">
        <v>19905</v>
      </c>
      <c r="S4413" t="s">
        <v>19906</v>
      </c>
      <c r="T4413" t="s">
        <v>19911</v>
      </c>
    </row>
    <row r="4414" spans="2:20" x14ac:dyDescent="0.25">
      <c r="B4414" t="s">
        <v>2709</v>
      </c>
      <c r="C4414">
        <v>38089419</v>
      </c>
      <c r="D4414">
        <v>2</v>
      </c>
      <c r="E4414" t="s">
        <v>19447</v>
      </c>
      <c r="F4414">
        <v>18</v>
      </c>
      <c r="G4414">
        <v>0</v>
      </c>
      <c r="H4414">
        <v>7.6</v>
      </c>
      <c r="I4414">
        <v>1.65</v>
      </c>
      <c r="J4414">
        <v>14</v>
      </c>
      <c r="L4414" t="s">
        <v>2709</v>
      </c>
      <c r="M4414">
        <v>38089419</v>
      </c>
      <c r="N4414">
        <v>2</v>
      </c>
      <c r="O4414" t="s">
        <v>19447</v>
      </c>
      <c r="P4414" t="s">
        <v>19899</v>
      </c>
      <c r="Q4414" t="s">
        <v>19900</v>
      </c>
      <c r="R4414" t="s">
        <v>19905</v>
      </c>
      <c r="S4414" t="s">
        <v>19906</v>
      </c>
      <c r="T4414" t="s">
        <v>19911</v>
      </c>
    </row>
    <row r="4415" spans="2:20" x14ac:dyDescent="0.25">
      <c r="B4415" t="s">
        <v>2709</v>
      </c>
      <c r="C4415">
        <v>38089421</v>
      </c>
      <c r="E4415">
        <v>68.819999999999993</v>
      </c>
      <c r="F4415">
        <v>0</v>
      </c>
      <c r="G4415">
        <v>5</v>
      </c>
      <c r="H4415" t="s">
        <v>19447</v>
      </c>
      <c r="I4415" t="s">
        <v>19447</v>
      </c>
      <c r="J4415">
        <v>14</v>
      </c>
      <c r="L4415" t="s">
        <v>2709</v>
      </c>
      <c r="M4415">
        <v>38089421</v>
      </c>
      <c r="O4415" t="s">
        <v>20028</v>
      </c>
      <c r="P4415" t="s">
        <v>19900</v>
      </c>
      <c r="Q4415" t="s">
        <v>19909</v>
      </c>
      <c r="R4415" t="s">
        <v>19447</v>
      </c>
      <c r="S4415" t="s">
        <v>19447</v>
      </c>
      <c r="T4415" t="s">
        <v>19911</v>
      </c>
    </row>
    <row r="4416" spans="2:20" x14ac:dyDescent="0.25">
      <c r="B4416" t="s">
        <v>2709</v>
      </c>
      <c r="C4416">
        <v>38089421</v>
      </c>
      <c r="D4416">
        <v>1</v>
      </c>
      <c r="E4416" t="s">
        <v>19447</v>
      </c>
      <c r="F4416">
        <v>18</v>
      </c>
      <c r="G4416">
        <v>30</v>
      </c>
      <c r="H4416">
        <v>7.6</v>
      </c>
      <c r="I4416">
        <v>1.65</v>
      </c>
      <c r="J4416">
        <v>14</v>
      </c>
      <c r="L4416" t="s">
        <v>2709</v>
      </c>
      <c r="M4416">
        <v>38089421</v>
      </c>
      <c r="N4416">
        <v>1</v>
      </c>
      <c r="O4416" t="s">
        <v>19447</v>
      </c>
      <c r="P4416" t="s">
        <v>19899</v>
      </c>
      <c r="Q4416" t="s">
        <v>19933</v>
      </c>
      <c r="R4416" t="s">
        <v>19905</v>
      </c>
      <c r="S4416" t="s">
        <v>19906</v>
      </c>
      <c r="T4416" t="s">
        <v>19911</v>
      </c>
    </row>
    <row r="4417" spans="2:20" x14ac:dyDescent="0.25">
      <c r="B4417" t="s">
        <v>2709</v>
      </c>
      <c r="C4417">
        <v>38089422</v>
      </c>
      <c r="E4417">
        <v>68.819999999999993</v>
      </c>
      <c r="F4417">
        <v>0</v>
      </c>
      <c r="G4417">
        <v>5</v>
      </c>
      <c r="H4417" t="s">
        <v>19447</v>
      </c>
      <c r="I4417" t="s">
        <v>19447</v>
      </c>
      <c r="J4417">
        <v>14</v>
      </c>
      <c r="L4417" t="s">
        <v>2709</v>
      </c>
      <c r="M4417">
        <v>38089422</v>
      </c>
      <c r="O4417" t="s">
        <v>20028</v>
      </c>
      <c r="P4417" t="s">
        <v>19900</v>
      </c>
      <c r="Q4417" t="s">
        <v>19909</v>
      </c>
      <c r="R4417" t="s">
        <v>19447</v>
      </c>
      <c r="S4417" t="s">
        <v>19447</v>
      </c>
      <c r="T4417" t="s">
        <v>19911</v>
      </c>
    </row>
    <row r="4418" spans="2:20" x14ac:dyDescent="0.25">
      <c r="B4418" t="s">
        <v>2709</v>
      </c>
      <c r="C4418">
        <v>38089422</v>
      </c>
      <c r="D4418">
        <v>1</v>
      </c>
      <c r="E4418" t="s">
        <v>19447</v>
      </c>
      <c r="F4418">
        <v>18</v>
      </c>
      <c r="G4418">
        <v>30</v>
      </c>
      <c r="H4418">
        <v>7.6</v>
      </c>
      <c r="I4418">
        <v>1.65</v>
      </c>
      <c r="J4418">
        <v>14</v>
      </c>
      <c r="L4418" t="s">
        <v>2709</v>
      </c>
      <c r="M4418">
        <v>38089422</v>
      </c>
      <c r="N4418">
        <v>1</v>
      </c>
      <c r="O4418" t="s">
        <v>19447</v>
      </c>
      <c r="P4418" t="s">
        <v>19899</v>
      </c>
      <c r="Q4418" t="s">
        <v>19933</v>
      </c>
      <c r="R4418" t="s">
        <v>19905</v>
      </c>
      <c r="S4418" t="s">
        <v>19906</v>
      </c>
      <c r="T4418" t="s">
        <v>19911</v>
      </c>
    </row>
    <row r="4419" spans="2:20" x14ac:dyDescent="0.25">
      <c r="B4419" t="s">
        <v>2709</v>
      </c>
      <c r="C4419">
        <v>38089429</v>
      </c>
      <c r="E4419">
        <v>68.819999999999993</v>
      </c>
      <c r="F4419">
        <v>0</v>
      </c>
      <c r="G4419">
        <v>5</v>
      </c>
      <c r="H4419" t="s">
        <v>19447</v>
      </c>
      <c r="I4419" t="s">
        <v>19447</v>
      </c>
      <c r="J4419">
        <v>8</v>
      </c>
      <c r="L4419" t="s">
        <v>2709</v>
      </c>
      <c r="M4419">
        <v>38089429</v>
      </c>
      <c r="O4419" t="s">
        <v>20028</v>
      </c>
      <c r="P4419" t="s">
        <v>19900</v>
      </c>
      <c r="Q4419" t="s">
        <v>19909</v>
      </c>
      <c r="R4419" t="s">
        <v>19447</v>
      </c>
      <c r="S4419" t="s">
        <v>19447</v>
      </c>
      <c r="T4419" t="s">
        <v>19918</v>
      </c>
    </row>
    <row r="4420" spans="2:20" x14ac:dyDescent="0.25">
      <c r="B4420" t="s">
        <v>2709</v>
      </c>
      <c r="C4420">
        <v>38089429</v>
      </c>
      <c r="D4420">
        <v>1</v>
      </c>
      <c r="E4420" t="s">
        <v>19447</v>
      </c>
      <c r="F4420">
        <v>18</v>
      </c>
      <c r="G4420">
        <v>30</v>
      </c>
      <c r="H4420">
        <v>7.6</v>
      </c>
      <c r="I4420">
        <v>1.65</v>
      </c>
      <c r="J4420">
        <v>8</v>
      </c>
      <c r="L4420" t="s">
        <v>2709</v>
      </c>
      <c r="M4420">
        <v>38089429</v>
      </c>
      <c r="N4420">
        <v>1</v>
      </c>
      <c r="O4420" t="s">
        <v>19447</v>
      </c>
      <c r="P4420" t="s">
        <v>19899</v>
      </c>
      <c r="Q4420" t="s">
        <v>19933</v>
      </c>
      <c r="R4420" t="s">
        <v>19905</v>
      </c>
      <c r="S4420" t="s">
        <v>19906</v>
      </c>
      <c r="T4420" t="s">
        <v>19918</v>
      </c>
    </row>
    <row r="4421" spans="2:20" x14ac:dyDescent="0.25">
      <c r="B4421" t="s">
        <v>2709</v>
      </c>
      <c r="C4421">
        <v>38089429</v>
      </c>
      <c r="D4421">
        <v>2</v>
      </c>
      <c r="E4421" t="s">
        <v>19447</v>
      </c>
      <c r="F4421">
        <v>18</v>
      </c>
      <c r="G4421">
        <v>0</v>
      </c>
      <c r="H4421">
        <v>7.6</v>
      </c>
      <c r="I4421">
        <v>1.65</v>
      </c>
      <c r="J4421">
        <v>8</v>
      </c>
      <c r="L4421" t="s">
        <v>2709</v>
      </c>
      <c r="M4421">
        <v>38089429</v>
      </c>
      <c r="N4421">
        <v>2</v>
      </c>
      <c r="O4421" t="s">
        <v>19447</v>
      </c>
      <c r="P4421" t="s">
        <v>19899</v>
      </c>
      <c r="Q4421" t="s">
        <v>19900</v>
      </c>
      <c r="R4421" t="s">
        <v>19905</v>
      </c>
      <c r="S4421" t="s">
        <v>19906</v>
      </c>
      <c r="T4421" t="s">
        <v>19918</v>
      </c>
    </row>
    <row r="4422" spans="2:20" x14ac:dyDescent="0.25">
      <c r="B4422" t="s">
        <v>2709</v>
      </c>
      <c r="C4422">
        <v>38089911</v>
      </c>
      <c r="E4422">
        <v>68.819999999999993</v>
      </c>
      <c r="F4422">
        <v>12</v>
      </c>
      <c r="G4422">
        <v>0</v>
      </c>
      <c r="H4422" t="s">
        <v>19447</v>
      </c>
      <c r="I4422" t="s">
        <v>19447</v>
      </c>
      <c r="J4422">
        <v>14</v>
      </c>
      <c r="L4422" t="s">
        <v>2709</v>
      </c>
      <c r="M4422">
        <v>38089911</v>
      </c>
      <c r="O4422" t="s">
        <v>20028</v>
      </c>
      <c r="P4422" t="s">
        <v>19903</v>
      </c>
      <c r="Q4422" t="s">
        <v>19900</v>
      </c>
      <c r="R4422" t="s">
        <v>19447</v>
      </c>
      <c r="S4422" t="s">
        <v>19447</v>
      </c>
      <c r="T4422" t="s">
        <v>19911</v>
      </c>
    </row>
    <row r="4423" spans="2:20" x14ac:dyDescent="0.25">
      <c r="B4423" t="s">
        <v>2709</v>
      </c>
      <c r="C4423">
        <v>38089919</v>
      </c>
      <c r="E4423">
        <v>68.819999999999993</v>
      </c>
      <c r="F4423">
        <v>12</v>
      </c>
      <c r="G4423">
        <v>0</v>
      </c>
      <c r="H4423" t="s">
        <v>19447</v>
      </c>
      <c r="I4423" t="s">
        <v>19447</v>
      </c>
      <c r="J4423">
        <v>14</v>
      </c>
      <c r="L4423" t="s">
        <v>2709</v>
      </c>
      <c r="M4423">
        <v>38089919</v>
      </c>
      <c r="O4423" t="s">
        <v>20028</v>
      </c>
      <c r="P4423" t="s">
        <v>19903</v>
      </c>
      <c r="Q4423" t="s">
        <v>19900</v>
      </c>
      <c r="R4423" t="s">
        <v>19447</v>
      </c>
      <c r="S4423" t="s">
        <v>19447</v>
      </c>
      <c r="T4423" t="s">
        <v>19911</v>
      </c>
    </row>
    <row r="4424" spans="2:20" x14ac:dyDescent="0.25">
      <c r="B4424" t="s">
        <v>2709</v>
      </c>
      <c r="C4424">
        <v>38089920</v>
      </c>
      <c r="E4424">
        <v>68.819999999999993</v>
      </c>
      <c r="F4424">
        <v>12</v>
      </c>
      <c r="G4424">
        <v>0</v>
      </c>
      <c r="H4424" t="s">
        <v>19447</v>
      </c>
      <c r="I4424" t="s">
        <v>19447</v>
      </c>
      <c r="J4424">
        <v>14</v>
      </c>
      <c r="L4424" t="s">
        <v>2709</v>
      </c>
      <c r="M4424">
        <v>38089920</v>
      </c>
      <c r="O4424" t="s">
        <v>20028</v>
      </c>
      <c r="P4424" t="s">
        <v>19903</v>
      </c>
      <c r="Q4424" t="s">
        <v>19900</v>
      </c>
      <c r="R4424" t="s">
        <v>19447</v>
      </c>
      <c r="S4424" t="s">
        <v>19447</v>
      </c>
      <c r="T4424" t="s">
        <v>19911</v>
      </c>
    </row>
    <row r="4425" spans="2:20" x14ac:dyDescent="0.25">
      <c r="B4425" t="s">
        <v>2709</v>
      </c>
      <c r="C4425">
        <v>38089991</v>
      </c>
      <c r="E4425">
        <v>68.819999999999993</v>
      </c>
      <c r="F4425">
        <v>0</v>
      </c>
      <c r="G4425">
        <v>0</v>
      </c>
      <c r="H4425" t="s">
        <v>19447</v>
      </c>
      <c r="I4425" t="s">
        <v>19447</v>
      </c>
      <c r="J4425">
        <v>14</v>
      </c>
      <c r="L4425" t="s">
        <v>2709</v>
      </c>
      <c r="M4425">
        <v>38089991</v>
      </c>
      <c r="O4425" t="s">
        <v>20028</v>
      </c>
      <c r="P4425" t="s">
        <v>19900</v>
      </c>
      <c r="Q4425" t="s">
        <v>19900</v>
      </c>
      <c r="R4425" t="s">
        <v>19447</v>
      </c>
      <c r="S4425" t="s">
        <v>19447</v>
      </c>
      <c r="T4425" t="s">
        <v>19911</v>
      </c>
    </row>
    <row r="4426" spans="2:20" x14ac:dyDescent="0.25">
      <c r="B4426" t="s">
        <v>2709</v>
      </c>
      <c r="C4426">
        <v>38089992</v>
      </c>
      <c r="E4426">
        <v>68.819999999999993</v>
      </c>
      <c r="F4426">
        <v>0</v>
      </c>
      <c r="G4426">
        <v>0</v>
      </c>
      <c r="H4426" t="s">
        <v>19447</v>
      </c>
      <c r="I4426" t="s">
        <v>19447</v>
      </c>
      <c r="J4426">
        <v>14</v>
      </c>
      <c r="L4426" t="s">
        <v>2709</v>
      </c>
      <c r="M4426">
        <v>38089992</v>
      </c>
      <c r="O4426" t="s">
        <v>20028</v>
      </c>
      <c r="P4426" t="s">
        <v>19900</v>
      </c>
      <c r="Q4426" t="s">
        <v>19900</v>
      </c>
      <c r="R4426" t="s">
        <v>19447</v>
      </c>
      <c r="S4426" t="s">
        <v>19447</v>
      </c>
      <c r="T4426" t="s">
        <v>19911</v>
      </c>
    </row>
    <row r="4427" spans="2:20" x14ac:dyDescent="0.25">
      <c r="B4427" t="s">
        <v>2709</v>
      </c>
      <c r="C4427">
        <v>38089993</v>
      </c>
      <c r="E4427">
        <v>68.819999999999993</v>
      </c>
      <c r="F4427">
        <v>0</v>
      </c>
      <c r="G4427">
        <v>0</v>
      </c>
      <c r="H4427" t="s">
        <v>19447</v>
      </c>
      <c r="I4427" t="s">
        <v>19447</v>
      </c>
      <c r="J4427">
        <v>8</v>
      </c>
      <c r="L4427" t="s">
        <v>2709</v>
      </c>
      <c r="M4427">
        <v>38089993</v>
      </c>
      <c r="O4427" t="s">
        <v>20028</v>
      </c>
      <c r="P4427" t="s">
        <v>19900</v>
      </c>
      <c r="Q4427" t="s">
        <v>19900</v>
      </c>
      <c r="R4427" t="s">
        <v>19447</v>
      </c>
      <c r="S4427" t="s">
        <v>19447</v>
      </c>
      <c r="T4427" t="s">
        <v>19918</v>
      </c>
    </row>
    <row r="4428" spans="2:20" x14ac:dyDescent="0.25">
      <c r="B4428" t="s">
        <v>2709</v>
      </c>
      <c r="C4428">
        <v>38089994</v>
      </c>
      <c r="E4428">
        <v>68.819999999999993</v>
      </c>
      <c r="F4428">
        <v>0</v>
      </c>
      <c r="G4428">
        <v>0</v>
      </c>
      <c r="H4428" t="s">
        <v>19447</v>
      </c>
      <c r="I4428" t="s">
        <v>19447</v>
      </c>
      <c r="J4428">
        <v>14</v>
      </c>
      <c r="L4428" t="s">
        <v>2709</v>
      </c>
      <c r="M4428">
        <v>38089994</v>
      </c>
      <c r="O4428" t="s">
        <v>20028</v>
      </c>
      <c r="P4428" t="s">
        <v>19900</v>
      </c>
      <c r="Q4428" t="s">
        <v>19900</v>
      </c>
      <c r="R4428" t="s">
        <v>19447</v>
      </c>
      <c r="S4428" t="s">
        <v>19447</v>
      </c>
      <c r="T4428" t="s">
        <v>19911</v>
      </c>
    </row>
    <row r="4429" spans="2:20" x14ac:dyDescent="0.25">
      <c r="B4429" t="s">
        <v>2709</v>
      </c>
      <c r="C4429">
        <v>38089995</v>
      </c>
      <c r="E4429">
        <v>68.819999999999993</v>
      </c>
      <c r="F4429">
        <v>0</v>
      </c>
      <c r="G4429">
        <v>0</v>
      </c>
      <c r="H4429" t="s">
        <v>19447</v>
      </c>
      <c r="I4429" t="s">
        <v>19447</v>
      </c>
      <c r="J4429">
        <v>8</v>
      </c>
      <c r="L4429" t="s">
        <v>2709</v>
      </c>
      <c r="M4429">
        <v>38089995</v>
      </c>
      <c r="O4429" t="s">
        <v>20028</v>
      </c>
      <c r="P4429" t="s">
        <v>19900</v>
      </c>
      <c r="Q4429" t="s">
        <v>19900</v>
      </c>
      <c r="R4429" t="s">
        <v>19447</v>
      </c>
      <c r="S4429" t="s">
        <v>19447</v>
      </c>
      <c r="T4429" t="s">
        <v>19918</v>
      </c>
    </row>
    <row r="4430" spans="2:20" x14ac:dyDescent="0.25">
      <c r="B4430" t="s">
        <v>2709</v>
      </c>
      <c r="C4430">
        <v>38089996</v>
      </c>
      <c r="E4430">
        <v>68.819999999999993</v>
      </c>
      <c r="F4430">
        <v>0</v>
      </c>
      <c r="G4430">
        <v>0</v>
      </c>
      <c r="H4430" t="s">
        <v>19447</v>
      </c>
      <c r="I4430" t="s">
        <v>19447</v>
      </c>
      <c r="J4430">
        <v>8</v>
      </c>
      <c r="L4430" t="s">
        <v>2709</v>
      </c>
      <c r="M4430">
        <v>38089996</v>
      </c>
      <c r="O4430" t="s">
        <v>20028</v>
      </c>
      <c r="P4430" t="s">
        <v>19900</v>
      </c>
      <c r="Q4430" t="s">
        <v>19900</v>
      </c>
      <c r="R4430" t="s">
        <v>19447</v>
      </c>
      <c r="S4430" t="s">
        <v>19447</v>
      </c>
      <c r="T4430" t="s">
        <v>19918</v>
      </c>
    </row>
    <row r="4431" spans="2:20" x14ac:dyDescent="0.25">
      <c r="B4431" t="s">
        <v>2709</v>
      </c>
      <c r="C4431">
        <v>38089999</v>
      </c>
      <c r="E4431">
        <v>68.819999999999993</v>
      </c>
      <c r="F4431">
        <v>12</v>
      </c>
      <c r="G4431">
        <v>0</v>
      </c>
      <c r="H4431" t="s">
        <v>19447</v>
      </c>
      <c r="I4431" t="s">
        <v>19447</v>
      </c>
      <c r="J4431">
        <v>8</v>
      </c>
      <c r="L4431" t="s">
        <v>2709</v>
      </c>
      <c r="M4431">
        <v>38089999</v>
      </c>
      <c r="O4431" t="s">
        <v>20028</v>
      </c>
      <c r="P4431" t="s">
        <v>19903</v>
      </c>
      <c r="Q4431" t="s">
        <v>19900</v>
      </c>
      <c r="R4431" t="s">
        <v>19447</v>
      </c>
      <c r="S4431" t="s">
        <v>19447</v>
      </c>
      <c r="T4431" t="s">
        <v>19918</v>
      </c>
    </row>
    <row r="4432" spans="2:20" x14ac:dyDescent="0.25">
      <c r="B4432" t="s">
        <v>2709</v>
      </c>
      <c r="C4432">
        <v>38091010</v>
      </c>
      <c r="E4432">
        <v>71.78</v>
      </c>
      <c r="F4432">
        <v>12</v>
      </c>
      <c r="G4432">
        <v>0</v>
      </c>
      <c r="H4432">
        <v>7.6</v>
      </c>
      <c r="I4432">
        <v>1.65</v>
      </c>
      <c r="J4432">
        <v>14</v>
      </c>
      <c r="L4432" t="s">
        <v>2709</v>
      </c>
      <c r="M4432">
        <v>38091010</v>
      </c>
      <c r="O4432" t="s">
        <v>20056</v>
      </c>
      <c r="P4432" t="s">
        <v>19903</v>
      </c>
      <c r="Q4432" t="s">
        <v>19900</v>
      </c>
      <c r="R4432" t="s">
        <v>19905</v>
      </c>
      <c r="S4432" t="s">
        <v>19906</v>
      </c>
      <c r="T4432" t="s">
        <v>19911</v>
      </c>
    </row>
    <row r="4433" spans="2:20" x14ac:dyDescent="0.25">
      <c r="B4433" t="s">
        <v>2709</v>
      </c>
      <c r="C4433">
        <v>38091090</v>
      </c>
      <c r="E4433">
        <v>71.78</v>
      </c>
      <c r="F4433">
        <v>12</v>
      </c>
      <c r="G4433">
        <v>0</v>
      </c>
      <c r="H4433">
        <v>7.6</v>
      </c>
      <c r="I4433">
        <v>1.65</v>
      </c>
      <c r="J4433">
        <v>14</v>
      </c>
      <c r="L4433" t="s">
        <v>2709</v>
      </c>
      <c r="M4433">
        <v>38091090</v>
      </c>
      <c r="O4433" t="s">
        <v>20056</v>
      </c>
      <c r="P4433" t="s">
        <v>19903</v>
      </c>
      <c r="Q4433" t="s">
        <v>19900</v>
      </c>
      <c r="R4433" t="s">
        <v>19905</v>
      </c>
      <c r="S4433" t="s">
        <v>19906</v>
      </c>
      <c r="T4433" t="s">
        <v>19911</v>
      </c>
    </row>
    <row r="4434" spans="2:20" x14ac:dyDescent="0.25">
      <c r="B4434" t="s">
        <v>2709</v>
      </c>
      <c r="C4434">
        <v>38099110</v>
      </c>
      <c r="E4434">
        <v>71.78</v>
      </c>
      <c r="F4434">
        <v>12</v>
      </c>
      <c r="G4434">
        <v>0</v>
      </c>
      <c r="H4434">
        <v>7.6</v>
      </c>
      <c r="I4434">
        <v>1.65</v>
      </c>
      <c r="J4434">
        <v>14</v>
      </c>
      <c r="L4434" t="s">
        <v>2709</v>
      </c>
      <c r="M4434">
        <v>38099110</v>
      </c>
      <c r="O4434" t="s">
        <v>20056</v>
      </c>
      <c r="P4434" t="s">
        <v>19903</v>
      </c>
      <c r="Q4434" t="s">
        <v>19900</v>
      </c>
      <c r="R4434" t="s">
        <v>19905</v>
      </c>
      <c r="S4434" t="s">
        <v>19906</v>
      </c>
      <c r="T4434" t="s">
        <v>19911</v>
      </c>
    </row>
    <row r="4435" spans="2:20" x14ac:dyDescent="0.25">
      <c r="B4435" t="s">
        <v>2709</v>
      </c>
      <c r="C4435">
        <v>38099120</v>
      </c>
      <c r="E4435">
        <v>71.78</v>
      </c>
      <c r="F4435">
        <v>12</v>
      </c>
      <c r="G4435">
        <v>0</v>
      </c>
      <c r="H4435">
        <v>7.6</v>
      </c>
      <c r="I4435">
        <v>1.65</v>
      </c>
      <c r="J4435">
        <v>14</v>
      </c>
      <c r="L4435" t="s">
        <v>2709</v>
      </c>
      <c r="M4435">
        <v>38099120</v>
      </c>
      <c r="O4435" t="s">
        <v>20056</v>
      </c>
      <c r="P4435" t="s">
        <v>19903</v>
      </c>
      <c r="Q4435" t="s">
        <v>19900</v>
      </c>
      <c r="R4435" t="s">
        <v>19905</v>
      </c>
      <c r="S4435" t="s">
        <v>19906</v>
      </c>
      <c r="T4435" t="s">
        <v>19911</v>
      </c>
    </row>
    <row r="4436" spans="2:20" x14ac:dyDescent="0.25">
      <c r="B4436" t="s">
        <v>2709</v>
      </c>
      <c r="C4436">
        <v>38099130</v>
      </c>
      <c r="E4436">
        <v>71.78</v>
      </c>
      <c r="F4436">
        <v>12</v>
      </c>
      <c r="G4436">
        <v>10</v>
      </c>
      <c r="H4436">
        <v>7.6</v>
      </c>
      <c r="I4436">
        <v>1.65</v>
      </c>
      <c r="J4436">
        <v>14</v>
      </c>
      <c r="L4436" t="s">
        <v>2709</v>
      </c>
      <c r="M4436">
        <v>38099130</v>
      </c>
      <c r="O4436" t="s">
        <v>20056</v>
      </c>
      <c r="P4436" t="s">
        <v>19903</v>
      </c>
      <c r="Q4436" t="s">
        <v>19904</v>
      </c>
      <c r="R4436" t="s">
        <v>19905</v>
      </c>
      <c r="S4436" t="s">
        <v>19906</v>
      </c>
      <c r="T4436" t="s">
        <v>19911</v>
      </c>
    </row>
    <row r="4437" spans="2:20" x14ac:dyDescent="0.25">
      <c r="B4437" t="s">
        <v>2709</v>
      </c>
      <c r="C4437">
        <v>38099141</v>
      </c>
      <c r="E4437">
        <v>71.78</v>
      </c>
      <c r="F4437">
        <v>12</v>
      </c>
      <c r="G4437">
        <v>10</v>
      </c>
      <c r="H4437">
        <v>7.6</v>
      </c>
      <c r="I4437">
        <v>1.65</v>
      </c>
      <c r="J4437">
        <v>14</v>
      </c>
      <c r="L4437" t="s">
        <v>2709</v>
      </c>
      <c r="M4437">
        <v>38099141</v>
      </c>
      <c r="O4437" t="s">
        <v>20056</v>
      </c>
      <c r="P4437" t="s">
        <v>19903</v>
      </c>
      <c r="Q4437" t="s">
        <v>19904</v>
      </c>
      <c r="R4437" t="s">
        <v>19905</v>
      </c>
      <c r="S4437" t="s">
        <v>19906</v>
      </c>
      <c r="T4437" t="s">
        <v>19911</v>
      </c>
    </row>
    <row r="4438" spans="2:20" x14ac:dyDescent="0.25">
      <c r="B4438" t="s">
        <v>2709</v>
      </c>
      <c r="C4438">
        <v>38099149</v>
      </c>
      <c r="E4438">
        <v>71.78</v>
      </c>
      <c r="F4438">
        <v>12</v>
      </c>
      <c r="G4438">
        <v>10</v>
      </c>
      <c r="H4438">
        <v>7.6</v>
      </c>
      <c r="I4438">
        <v>1.65</v>
      </c>
      <c r="J4438">
        <v>14</v>
      </c>
      <c r="L4438" t="s">
        <v>2709</v>
      </c>
      <c r="M4438">
        <v>38099149</v>
      </c>
      <c r="O4438" t="s">
        <v>20056</v>
      </c>
      <c r="P4438" t="s">
        <v>19903</v>
      </c>
      <c r="Q4438" t="s">
        <v>19904</v>
      </c>
      <c r="R4438" t="s">
        <v>19905</v>
      </c>
      <c r="S4438" t="s">
        <v>19906</v>
      </c>
      <c r="T4438" t="s">
        <v>19911</v>
      </c>
    </row>
    <row r="4439" spans="2:20" x14ac:dyDescent="0.25">
      <c r="B4439" t="s">
        <v>2709</v>
      </c>
      <c r="C4439">
        <v>38099190</v>
      </c>
      <c r="E4439">
        <v>68.040000000000006</v>
      </c>
      <c r="F4439">
        <v>12</v>
      </c>
      <c r="G4439">
        <v>0</v>
      </c>
      <c r="H4439">
        <v>7.6</v>
      </c>
      <c r="I4439">
        <v>1.65</v>
      </c>
      <c r="J4439">
        <v>14</v>
      </c>
      <c r="L4439" t="s">
        <v>2709</v>
      </c>
      <c r="M4439">
        <v>38099190</v>
      </c>
      <c r="O4439" t="s">
        <v>20053</v>
      </c>
      <c r="P4439" t="s">
        <v>19903</v>
      </c>
      <c r="Q4439" t="s">
        <v>19900</v>
      </c>
      <c r="R4439" t="s">
        <v>19905</v>
      </c>
      <c r="S4439" t="s">
        <v>19906</v>
      </c>
      <c r="T4439" t="s">
        <v>19911</v>
      </c>
    </row>
    <row r="4440" spans="2:20" x14ac:dyDescent="0.25">
      <c r="B4440" t="s">
        <v>2709</v>
      </c>
      <c r="C4440">
        <v>38099211</v>
      </c>
      <c r="E4440">
        <v>71.78</v>
      </c>
      <c r="F4440">
        <v>12</v>
      </c>
      <c r="G4440">
        <v>10</v>
      </c>
      <c r="H4440">
        <v>7.6</v>
      </c>
      <c r="I4440">
        <v>1.65</v>
      </c>
      <c r="J4440">
        <v>14</v>
      </c>
      <c r="L4440" t="s">
        <v>2709</v>
      </c>
      <c r="M4440">
        <v>38099211</v>
      </c>
      <c r="O4440" t="s">
        <v>20056</v>
      </c>
      <c r="P4440" t="s">
        <v>19903</v>
      </c>
      <c r="Q4440" t="s">
        <v>19904</v>
      </c>
      <c r="R4440" t="s">
        <v>19905</v>
      </c>
      <c r="S4440" t="s">
        <v>19906</v>
      </c>
      <c r="T4440" t="s">
        <v>19911</v>
      </c>
    </row>
    <row r="4441" spans="2:20" x14ac:dyDescent="0.25">
      <c r="B4441" t="s">
        <v>2709</v>
      </c>
      <c r="C4441">
        <v>38099219</v>
      </c>
      <c r="E4441">
        <v>71.78</v>
      </c>
      <c r="F4441">
        <v>12</v>
      </c>
      <c r="G4441">
        <v>10</v>
      </c>
      <c r="H4441">
        <v>7.6</v>
      </c>
      <c r="I4441">
        <v>1.65</v>
      </c>
      <c r="J4441">
        <v>14</v>
      </c>
      <c r="L4441" t="s">
        <v>2709</v>
      </c>
      <c r="M4441">
        <v>38099219</v>
      </c>
      <c r="O4441" t="s">
        <v>20056</v>
      </c>
      <c r="P4441" t="s">
        <v>19903</v>
      </c>
      <c r="Q4441" t="s">
        <v>19904</v>
      </c>
      <c r="R4441" t="s">
        <v>19905</v>
      </c>
      <c r="S4441" t="s">
        <v>19906</v>
      </c>
      <c r="T4441" t="s">
        <v>19911</v>
      </c>
    </row>
    <row r="4442" spans="2:20" x14ac:dyDescent="0.25">
      <c r="B4442" t="s">
        <v>2709</v>
      </c>
      <c r="C4442">
        <v>38099290</v>
      </c>
      <c r="E4442">
        <v>71.78</v>
      </c>
      <c r="F4442">
        <v>12</v>
      </c>
      <c r="G4442">
        <v>0</v>
      </c>
      <c r="H4442">
        <v>7.6</v>
      </c>
      <c r="I4442">
        <v>1.65</v>
      </c>
      <c r="J4442">
        <v>14</v>
      </c>
      <c r="L4442" t="s">
        <v>2709</v>
      </c>
      <c r="M4442">
        <v>38099290</v>
      </c>
      <c r="O4442" t="s">
        <v>20056</v>
      </c>
      <c r="P4442" t="s">
        <v>19903</v>
      </c>
      <c r="Q4442" t="s">
        <v>19900</v>
      </c>
      <c r="R4442" t="s">
        <v>19905</v>
      </c>
      <c r="S4442" t="s">
        <v>19906</v>
      </c>
      <c r="T4442" t="s">
        <v>19911</v>
      </c>
    </row>
    <row r="4443" spans="2:20" x14ac:dyDescent="0.25">
      <c r="B4443" t="s">
        <v>2709</v>
      </c>
      <c r="C4443">
        <v>38099290</v>
      </c>
      <c r="D4443">
        <v>1</v>
      </c>
      <c r="E4443" t="s">
        <v>19447</v>
      </c>
      <c r="F4443">
        <v>18</v>
      </c>
      <c r="G4443">
        <v>10</v>
      </c>
      <c r="H4443">
        <v>7.6</v>
      </c>
      <c r="I4443">
        <v>1.65</v>
      </c>
      <c r="J4443">
        <v>14</v>
      </c>
      <c r="L4443" t="s">
        <v>2709</v>
      </c>
      <c r="M4443">
        <v>38099290</v>
      </c>
      <c r="N4443">
        <v>1</v>
      </c>
      <c r="O4443" t="s">
        <v>19447</v>
      </c>
      <c r="P4443" t="s">
        <v>19899</v>
      </c>
      <c r="Q4443" t="s">
        <v>19904</v>
      </c>
      <c r="R4443" t="s">
        <v>19905</v>
      </c>
      <c r="S4443" t="s">
        <v>19906</v>
      </c>
      <c r="T4443" t="s">
        <v>19911</v>
      </c>
    </row>
    <row r="4444" spans="2:20" x14ac:dyDescent="0.25">
      <c r="B4444" t="s">
        <v>2709</v>
      </c>
      <c r="C4444">
        <v>38099311</v>
      </c>
      <c r="E4444">
        <v>71.78</v>
      </c>
      <c r="F4444">
        <v>12</v>
      </c>
      <c r="G4444">
        <v>10</v>
      </c>
      <c r="H4444">
        <v>7.6</v>
      </c>
      <c r="I4444">
        <v>1.65</v>
      </c>
      <c r="J4444">
        <v>14</v>
      </c>
      <c r="L4444" t="s">
        <v>2709</v>
      </c>
      <c r="M4444">
        <v>38099311</v>
      </c>
      <c r="O4444" t="s">
        <v>20056</v>
      </c>
      <c r="P4444" t="s">
        <v>19903</v>
      </c>
      <c r="Q4444" t="s">
        <v>19904</v>
      </c>
      <c r="R4444" t="s">
        <v>19905</v>
      </c>
      <c r="S4444" t="s">
        <v>19906</v>
      </c>
      <c r="T4444" t="s">
        <v>19911</v>
      </c>
    </row>
    <row r="4445" spans="2:20" x14ac:dyDescent="0.25">
      <c r="B4445" t="s">
        <v>2709</v>
      </c>
      <c r="C4445">
        <v>38099319</v>
      </c>
      <c r="E4445">
        <v>71.78</v>
      </c>
      <c r="F4445">
        <v>12</v>
      </c>
      <c r="G4445">
        <v>10</v>
      </c>
      <c r="H4445">
        <v>7.6</v>
      </c>
      <c r="I4445">
        <v>1.65</v>
      </c>
      <c r="J4445">
        <v>14</v>
      </c>
      <c r="L4445" t="s">
        <v>2709</v>
      </c>
      <c r="M4445">
        <v>38099319</v>
      </c>
      <c r="O4445" t="s">
        <v>20056</v>
      </c>
      <c r="P4445" t="s">
        <v>19903</v>
      </c>
      <c r="Q4445" t="s">
        <v>19904</v>
      </c>
      <c r="R4445" t="s">
        <v>19905</v>
      </c>
      <c r="S4445" t="s">
        <v>19906</v>
      </c>
      <c r="T4445" t="s">
        <v>19911</v>
      </c>
    </row>
    <row r="4446" spans="2:20" x14ac:dyDescent="0.25">
      <c r="B4446" t="s">
        <v>2709</v>
      </c>
      <c r="C4446">
        <v>38099390</v>
      </c>
      <c r="E4446">
        <v>71.78</v>
      </c>
      <c r="F4446">
        <v>12</v>
      </c>
      <c r="G4446">
        <v>0</v>
      </c>
      <c r="H4446">
        <v>7.6</v>
      </c>
      <c r="I4446">
        <v>1.65</v>
      </c>
      <c r="J4446">
        <v>14</v>
      </c>
      <c r="L4446" t="s">
        <v>2709</v>
      </c>
      <c r="M4446">
        <v>38099390</v>
      </c>
      <c r="O4446" t="s">
        <v>20056</v>
      </c>
      <c r="P4446" t="s">
        <v>19903</v>
      </c>
      <c r="Q4446" t="s">
        <v>19900</v>
      </c>
      <c r="R4446" t="s">
        <v>19905</v>
      </c>
      <c r="S4446" t="s">
        <v>19906</v>
      </c>
      <c r="T4446" t="s">
        <v>19911</v>
      </c>
    </row>
    <row r="4447" spans="2:20" x14ac:dyDescent="0.25">
      <c r="B4447" t="s">
        <v>2709</v>
      </c>
      <c r="C4447">
        <v>38099390</v>
      </c>
      <c r="D4447">
        <v>1</v>
      </c>
      <c r="E4447" t="s">
        <v>19447</v>
      </c>
      <c r="F4447">
        <v>18</v>
      </c>
      <c r="G4447">
        <v>10</v>
      </c>
      <c r="H4447">
        <v>7.6</v>
      </c>
      <c r="I4447">
        <v>1.65</v>
      </c>
      <c r="J4447">
        <v>14</v>
      </c>
      <c r="L4447" t="s">
        <v>2709</v>
      </c>
      <c r="M4447">
        <v>38099390</v>
      </c>
      <c r="N4447">
        <v>1</v>
      </c>
      <c r="O4447" t="s">
        <v>19447</v>
      </c>
      <c r="P4447" t="s">
        <v>19899</v>
      </c>
      <c r="Q4447" t="s">
        <v>19904</v>
      </c>
      <c r="R4447" t="s">
        <v>19905</v>
      </c>
      <c r="S4447" t="s">
        <v>19906</v>
      </c>
      <c r="T4447" t="s">
        <v>19911</v>
      </c>
    </row>
    <row r="4448" spans="2:20" x14ac:dyDescent="0.25">
      <c r="B4448" t="s">
        <v>2709</v>
      </c>
      <c r="C4448">
        <v>38101010</v>
      </c>
      <c r="E4448">
        <v>38</v>
      </c>
      <c r="F4448">
        <v>12</v>
      </c>
      <c r="G4448">
        <v>0</v>
      </c>
      <c r="H4448" t="s">
        <v>19447</v>
      </c>
      <c r="I4448" t="s">
        <v>19447</v>
      </c>
      <c r="J4448">
        <v>14</v>
      </c>
      <c r="L4448" t="s">
        <v>2709</v>
      </c>
      <c r="M4448">
        <v>38101010</v>
      </c>
      <c r="O4448" t="s">
        <v>20008</v>
      </c>
      <c r="P4448" t="s">
        <v>19903</v>
      </c>
      <c r="Q4448" t="s">
        <v>19900</v>
      </c>
      <c r="R4448" t="s">
        <v>19447</v>
      </c>
      <c r="S4448" t="s">
        <v>19447</v>
      </c>
      <c r="T4448" t="s">
        <v>19911</v>
      </c>
    </row>
    <row r="4449" spans="2:20" x14ac:dyDescent="0.25">
      <c r="B4449" t="s">
        <v>2709</v>
      </c>
      <c r="C4449">
        <v>38101020</v>
      </c>
      <c r="E4449">
        <v>38</v>
      </c>
      <c r="F4449">
        <v>12</v>
      </c>
      <c r="G4449">
        <v>0</v>
      </c>
      <c r="H4449" t="s">
        <v>19447</v>
      </c>
      <c r="I4449" t="s">
        <v>19447</v>
      </c>
      <c r="J4449">
        <v>14</v>
      </c>
      <c r="L4449" t="s">
        <v>2709</v>
      </c>
      <c r="M4449">
        <v>38101020</v>
      </c>
      <c r="O4449" t="s">
        <v>20008</v>
      </c>
      <c r="P4449" t="s">
        <v>19903</v>
      </c>
      <c r="Q4449" t="s">
        <v>19900</v>
      </c>
      <c r="R4449" t="s">
        <v>19447</v>
      </c>
      <c r="S4449" t="s">
        <v>19447</v>
      </c>
      <c r="T4449" t="s">
        <v>19911</v>
      </c>
    </row>
    <row r="4450" spans="2:20" x14ac:dyDescent="0.25">
      <c r="B4450" t="s">
        <v>2709</v>
      </c>
      <c r="C4450">
        <v>38109000</v>
      </c>
      <c r="E4450">
        <v>38</v>
      </c>
      <c r="F4450">
        <v>12</v>
      </c>
      <c r="G4450">
        <v>0</v>
      </c>
      <c r="H4450" t="s">
        <v>19447</v>
      </c>
      <c r="I4450" t="s">
        <v>19447</v>
      </c>
      <c r="J4450">
        <v>14</v>
      </c>
      <c r="L4450" t="s">
        <v>2709</v>
      </c>
      <c r="M4450">
        <v>38109000</v>
      </c>
      <c r="O4450" t="s">
        <v>20008</v>
      </c>
      <c r="P4450" t="s">
        <v>19903</v>
      </c>
      <c r="Q4450" t="s">
        <v>19900</v>
      </c>
      <c r="R4450" t="s">
        <v>19447</v>
      </c>
      <c r="S4450" t="s">
        <v>19447</v>
      </c>
      <c r="T4450" t="s">
        <v>19911</v>
      </c>
    </row>
    <row r="4451" spans="2:20" x14ac:dyDescent="0.25">
      <c r="B4451" t="s">
        <v>2709</v>
      </c>
      <c r="C4451">
        <v>38111100</v>
      </c>
      <c r="E4451">
        <v>71.78</v>
      </c>
      <c r="F4451">
        <v>12</v>
      </c>
      <c r="G4451">
        <v>8</v>
      </c>
      <c r="H4451">
        <v>7.6</v>
      </c>
      <c r="I4451">
        <v>1.65</v>
      </c>
      <c r="J4451">
        <v>2</v>
      </c>
      <c r="L4451" t="s">
        <v>2709</v>
      </c>
      <c r="M4451">
        <v>38111100</v>
      </c>
      <c r="O4451" t="s">
        <v>20056</v>
      </c>
      <c r="P4451" t="s">
        <v>19903</v>
      </c>
      <c r="Q4451" t="s">
        <v>19918</v>
      </c>
      <c r="R4451" t="s">
        <v>19905</v>
      </c>
      <c r="S4451" t="s">
        <v>19906</v>
      </c>
      <c r="T4451" t="s">
        <v>19901</v>
      </c>
    </row>
    <row r="4452" spans="2:20" x14ac:dyDescent="0.25">
      <c r="B4452" t="s">
        <v>2709</v>
      </c>
      <c r="C4452">
        <v>38111900</v>
      </c>
      <c r="E4452">
        <v>71.78</v>
      </c>
      <c r="F4452">
        <v>12</v>
      </c>
      <c r="G4452">
        <v>8</v>
      </c>
      <c r="H4452">
        <v>7.6</v>
      </c>
      <c r="I4452">
        <v>1.65</v>
      </c>
      <c r="J4452">
        <v>2</v>
      </c>
      <c r="L4452" t="s">
        <v>2709</v>
      </c>
      <c r="M4452">
        <v>38111900</v>
      </c>
      <c r="O4452" t="s">
        <v>20056</v>
      </c>
      <c r="P4452" t="s">
        <v>19903</v>
      </c>
      <c r="Q4452" t="s">
        <v>19918</v>
      </c>
      <c r="R4452" t="s">
        <v>19905</v>
      </c>
      <c r="S4452" t="s">
        <v>19906</v>
      </c>
      <c r="T4452" t="s">
        <v>19901</v>
      </c>
    </row>
    <row r="4453" spans="2:20" x14ac:dyDescent="0.25">
      <c r="B4453" t="s">
        <v>2709</v>
      </c>
      <c r="C4453">
        <v>38112110</v>
      </c>
      <c r="E4453">
        <v>71.78</v>
      </c>
      <c r="F4453">
        <v>12</v>
      </c>
      <c r="G4453">
        <v>8</v>
      </c>
      <c r="H4453">
        <v>7.6</v>
      </c>
      <c r="I4453">
        <v>1.65</v>
      </c>
      <c r="J4453">
        <v>14</v>
      </c>
      <c r="L4453" t="s">
        <v>2709</v>
      </c>
      <c r="M4453">
        <v>38112110</v>
      </c>
      <c r="O4453" t="s">
        <v>20056</v>
      </c>
      <c r="P4453" t="s">
        <v>19903</v>
      </c>
      <c r="Q4453" t="s">
        <v>19918</v>
      </c>
      <c r="R4453" t="s">
        <v>19905</v>
      </c>
      <c r="S4453" t="s">
        <v>19906</v>
      </c>
      <c r="T4453" t="s">
        <v>19911</v>
      </c>
    </row>
    <row r="4454" spans="2:20" x14ac:dyDescent="0.25">
      <c r="B4454" t="s">
        <v>2709</v>
      </c>
      <c r="C4454">
        <v>38112120</v>
      </c>
      <c r="E4454">
        <v>71.78</v>
      </c>
      <c r="F4454">
        <v>12</v>
      </c>
      <c r="G4454">
        <v>8</v>
      </c>
      <c r="H4454">
        <v>7.6</v>
      </c>
      <c r="I4454">
        <v>1.65</v>
      </c>
      <c r="J4454">
        <v>14</v>
      </c>
      <c r="L4454" t="s">
        <v>2709</v>
      </c>
      <c r="M4454">
        <v>38112120</v>
      </c>
      <c r="O4454" t="s">
        <v>20056</v>
      </c>
      <c r="P4454" t="s">
        <v>19903</v>
      </c>
      <c r="Q4454" t="s">
        <v>19918</v>
      </c>
      <c r="R4454" t="s">
        <v>19905</v>
      </c>
      <c r="S4454" t="s">
        <v>19906</v>
      </c>
      <c r="T4454" t="s">
        <v>19911</v>
      </c>
    </row>
    <row r="4455" spans="2:20" x14ac:dyDescent="0.25">
      <c r="B4455" t="s">
        <v>2709</v>
      </c>
      <c r="C4455">
        <v>38112130</v>
      </c>
      <c r="E4455">
        <v>71.78</v>
      </c>
      <c r="F4455">
        <v>12</v>
      </c>
      <c r="G4455">
        <v>8</v>
      </c>
      <c r="H4455">
        <v>7.6</v>
      </c>
      <c r="I4455">
        <v>1.65</v>
      </c>
      <c r="J4455">
        <v>14</v>
      </c>
      <c r="L4455" t="s">
        <v>2709</v>
      </c>
      <c r="M4455">
        <v>38112130</v>
      </c>
      <c r="O4455" t="s">
        <v>20056</v>
      </c>
      <c r="P4455" t="s">
        <v>19903</v>
      </c>
      <c r="Q4455" t="s">
        <v>19918</v>
      </c>
      <c r="R4455" t="s">
        <v>19905</v>
      </c>
      <c r="S4455" t="s">
        <v>19906</v>
      </c>
      <c r="T4455" t="s">
        <v>19911</v>
      </c>
    </row>
    <row r="4456" spans="2:20" x14ac:dyDescent="0.25">
      <c r="B4456" t="s">
        <v>2709</v>
      </c>
      <c r="C4456">
        <v>38112140</v>
      </c>
      <c r="E4456">
        <v>71.78</v>
      </c>
      <c r="F4456">
        <v>12</v>
      </c>
      <c r="G4456">
        <v>8</v>
      </c>
      <c r="H4456">
        <v>7.6</v>
      </c>
      <c r="I4456">
        <v>1.65</v>
      </c>
      <c r="J4456">
        <v>14</v>
      </c>
      <c r="L4456" t="s">
        <v>2709</v>
      </c>
      <c r="M4456">
        <v>38112140</v>
      </c>
      <c r="O4456" t="s">
        <v>20056</v>
      </c>
      <c r="P4456" t="s">
        <v>19903</v>
      </c>
      <c r="Q4456" t="s">
        <v>19918</v>
      </c>
      <c r="R4456" t="s">
        <v>19905</v>
      </c>
      <c r="S4456" t="s">
        <v>19906</v>
      </c>
      <c r="T4456" t="s">
        <v>19911</v>
      </c>
    </row>
    <row r="4457" spans="2:20" x14ac:dyDescent="0.25">
      <c r="B4457" t="s">
        <v>2709</v>
      </c>
      <c r="C4457">
        <v>38112150</v>
      </c>
      <c r="E4457">
        <v>71.78</v>
      </c>
      <c r="F4457">
        <v>12</v>
      </c>
      <c r="G4457">
        <v>8</v>
      </c>
      <c r="H4457">
        <v>7.6</v>
      </c>
      <c r="I4457">
        <v>1.65</v>
      </c>
      <c r="J4457">
        <v>14</v>
      </c>
      <c r="L4457" t="s">
        <v>2709</v>
      </c>
      <c r="M4457">
        <v>38112150</v>
      </c>
      <c r="O4457" t="s">
        <v>20056</v>
      </c>
      <c r="P4457" t="s">
        <v>19903</v>
      </c>
      <c r="Q4457" t="s">
        <v>19918</v>
      </c>
      <c r="R4457" t="s">
        <v>19905</v>
      </c>
      <c r="S4457" t="s">
        <v>19906</v>
      </c>
      <c r="T4457" t="s">
        <v>19911</v>
      </c>
    </row>
    <row r="4458" spans="2:20" x14ac:dyDescent="0.25">
      <c r="B4458" t="s">
        <v>2709</v>
      </c>
      <c r="C4458">
        <v>38112190</v>
      </c>
      <c r="E4458">
        <v>71.78</v>
      </c>
      <c r="F4458">
        <v>12</v>
      </c>
      <c r="G4458">
        <v>8</v>
      </c>
      <c r="H4458">
        <v>7.6</v>
      </c>
      <c r="I4458">
        <v>1.65</v>
      </c>
      <c r="J4458">
        <v>2</v>
      </c>
      <c r="L4458" t="s">
        <v>2709</v>
      </c>
      <c r="M4458">
        <v>38112190</v>
      </c>
      <c r="O4458" t="s">
        <v>20056</v>
      </c>
      <c r="P4458" t="s">
        <v>19903</v>
      </c>
      <c r="Q4458" t="s">
        <v>19918</v>
      </c>
      <c r="R4458" t="s">
        <v>19905</v>
      </c>
      <c r="S4458" t="s">
        <v>19906</v>
      </c>
      <c r="T4458" t="s">
        <v>19901</v>
      </c>
    </row>
    <row r="4459" spans="2:20" x14ac:dyDescent="0.25">
      <c r="B4459" t="s">
        <v>2709</v>
      </c>
      <c r="C4459">
        <v>38112910</v>
      </c>
      <c r="E4459">
        <v>71.78</v>
      </c>
      <c r="F4459">
        <v>12</v>
      </c>
      <c r="G4459">
        <v>8</v>
      </c>
      <c r="H4459">
        <v>7.6</v>
      </c>
      <c r="I4459">
        <v>1.65</v>
      </c>
      <c r="J4459">
        <v>14</v>
      </c>
      <c r="L4459" t="s">
        <v>2709</v>
      </c>
      <c r="M4459">
        <v>38112910</v>
      </c>
      <c r="O4459" t="s">
        <v>20056</v>
      </c>
      <c r="P4459" t="s">
        <v>19903</v>
      </c>
      <c r="Q4459" t="s">
        <v>19918</v>
      </c>
      <c r="R4459" t="s">
        <v>19905</v>
      </c>
      <c r="S4459" t="s">
        <v>19906</v>
      </c>
      <c r="T4459" t="s">
        <v>19911</v>
      </c>
    </row>
    <row r="4460" spans="2:20" x14ac:dyDescent="0.25">
      <c r="B4460" t="s">
        <v>2709</v>
      </c>
      <c r="C4460">
        <v>38112920</v>
      </c>
      <c r="E4460">
        <v>71.78</v>
      </c>
      <c r="F4460">
        <v>12</v>
      </c>
      <c r="G4460">
        <v>8</v>
      </c>
      <c r="H4460">
        <v>7.6</v>
      </c>
      <c r="I4460">
        <v>1.65</v>
      </c>
      <c r="J4460">
        <v>14</v>
      </c>
      <c r="L4460" t="s">
        <v>2709</v>
      </c>
      <c r="M4460">
        <v>38112920</v>
      </c>
      <c r="O4460" t="s">
        <v>20056</v>
      </c>
      <c r="P4460" t="s">
        <v>19903</v>
      </c>
      <c r="Q4460" t="s">
        <v>19918</v>
      </c>
      <c r="R4460" t="s">
        <v>19905</v>
      </c>
      <c r="S4460" t="s">
        <v>19906</v>
      </c>
      <c r="T4460" t="s">
        <v>19911</v>
      </c>
    </row>
    <row r="4461" spans="2:20" x14ac:dyDescent="0.25">
      <c r="B4461" t="s">
        <v>2709</v>
      </c>
      <c r="C4461">
        <v>38112990</v>
      </c>
      <c r="E4461">
        <v>71.78</v>
      </c>
      <c r="F4461">
        <v>12</v>
      </c>
      <c r="G4461">
        <v>8</v>
      </c>
      <c r="H4461">
        <v>7.6</v>
      </c>
      <c r="I4461">
        <v>1.65</v>
      </c>
      <c r="J4461">
        <v>14</v>
      </c>
      <c r="L4461" t="s">
        <v>2709</v>
      </c>
      <c r="M4461">
        <v>38112990</v>
      </c>
      <c r="O4461" t="s">
        <v>20056</v>
      </c>
      <c r="P4461" t="s">
        <v>19903</v>
      </c>
      <c r="Q4461" t="s">
        <v>19918</v>
      </c>
      <c r="R4461" t="s">
        <v>19905</v>
      </c>
      <c r="S4461" t="s">
        <v>19906</v>
      </c>
      <c r="T4461" t="s">
        <v>19911</v>
      </c>
    </row>
    <row r="4462" spans="2:20" x14ac:dyDescent="0.25">
      <c r="B4462" t="s">
        <v>2709</v>
      </c>
      <c r="C4462">
        <v>38119010</v>
      </c>
      <c r="E4462">
        <v>71.78</v>
      </c>
      <c r="F4462">
        <v>12</v>
      </c>
      <c r="G4462">
        <v>8</v>
      </c>
      <c r="H4462">
        <v>7.6</v>
      </c>
      <c r="I4462">
        <v>1.65</v>
      </c>
      <c r="J4462">
        <v>14</v>
      </c>
      <c r="L4462" t="s">
        <v>2709</v>
      </c>
      <c r="M4462">
        <v>38119010</v>
      </c>
      <c r="O4462" t="s">
        <v>20056</v>
      </c>
      <c r="P4462" t="s">
        <v>19903</v>
      </c>
      <c r="Q4462" t="s">
        <v>19918</v>
      </c>
      <c r="R4462" t="s">
        <v>19905</v>
      </c>
      <c r="S4462" t="s">
        <v>19906</v>
      </c>
      <c r="T4462" t="s">
        <v>19911</v>
      </c>
    </row>
    <row r="4463" spans="2:20" x14ac:dyDescent="0.25">
      <c r="B4463" t="s">
        <v>2709</v>
      </c>
      <c r="C4463">
        <v>38119090</v>
      </c>
      <c r="E4463">
        <v>71.78</v>
      </c>
      <c r="F4463">
        <v>12</v>
      </c>
      <c r="G4463">
        <v>8</v>
      </c>
      <c r="H4463">
        <v>7.6</v>
      </c>
      <c r="I4463">
        <v>1.65</v>
      </c>
      <c r="J4463">
        <v>2</v>
      </c>
      <c r="L4463" t="s">
        <v>2709</v>
      </c>
      <c r="M4463">
        <v>38119090</v>
      </c>
      <c r="O4463" t="s">
        <v>20056</v>
      </c>
      <c r="P4463" t="s">
        <v>19903</v>
      </c>
      <c r="Q4463" t="s">
        <v>19918</v>
      </c>
      <c r="R4463" t="s">
        <v>19905</v>
      </c>
      <c r="S4463" t="s">
        <v>19906</v>
      </c>
      <c r="T4463" t="s">
        <v>19901</v>
      </c>
    </row>
    <row r="4464" spans="2:20" x14ac:dyDescent="0.25">
      <c r="B4464" t="s">
        <v>2709</v>
      </c>
      <c r="C4464">
        <v>38121000</v>
      </c>
      <c r="E4464">
        <v>71.78</v>
      </c>
      <c r="F4464">
        <v>12</v>
      </c>
      <c r="G4464">
        <v>10</v>
      </c>
      <c r="H4464">
        <v>7.6</v>
      </c>
      <c r="I4464">
        <v>1.65</v>
      </c>
      <c r="J4464">
        <v>14</v>
      </c>
      <c r="L4464" t="s">
        <v>2709</v>
      </c>
      <c r="M4464">
        <v>38121000</v>
      </c>
      <c r="O4464" t="s">
        <v>20056</v>
      </c>
      <c r="P4464" t="s">
        <v>19903</v>
      </c>
      <c r="Q4464" t="s">
        <v>19904</v>
      </c>
      <c r="R4464" t="s">
        <v>19905</v>
      </c>
      <c r="S4464" t="s">
        <v>19906</v>
      </c>
      <c r="T4464" t="s">
        <v>19911</v>
      </c>
    </row>
    <row r="4465" spans="2:20" x14ac:dyDescent="0.25">
      <c r="B4465" t="s">
        <v>2709</v>
      </c>
      <c r="C4465">
        <v>38122000</v>
      </c>
      <c r="E4465">
        <v>71.78</v>
      </c>
      <c r="F4465">
        <v>12</v>
      </c>
      <c r="G4465">
        <v>10</v>
      </c>
      <c r="H4465">
        <v>7.6</v>
      </c>
      <c r="I4465">
        <v>1.65</v>
      </c>
      <c r="J4465">
        <v>14</v>
      </c>
      <c r="L4465" t="s">
        <v>2709</v>
      </c>
      <c r="M4465">
        <v>38122000</v>
      </c>
      <c r="O4465" t="s">
        <v>20056</v>
      </c>
      <c r="P4465" t="s">
        <v>19903</v>
      </c>
      <c r="Q4465" t="s">
        <v>19904</v>
      </c>
      <c r="R4465" t="s">
        <v>19905</v>
      </c>
      <c r="S4465" t="s">
        <v>19906</v>
      </c>
      <c r="T4465" t="s">
        <v>19911</v>
      </c>
    </row>
    <row r="4466" spans="2:20" x14ac:dyDescent="0.25">
      <c r="B4466" t="s">
        <v>2709</v>
      </c>
      <c r="C4466">
        <v>38123011</v>
      </c>
      <c r="E4466">
        <v>71.78</v>
      </c>
      <c r="F4466">
        <v>12</v>
      </c>
      <c r="G4466">
        <v>10</v>
      </c>
      <c r="H4466">
        <v>7.6</v>
      </c>
      <c r="I4466">
        <v>1.65</v>
      </c>
      <c r="J4466">
        <v>14</v>
      </c>
      <c r="L4466" t="s">
        <v>2709</v>
      </c>
      <c r="M4466">
        <v>38123011</v>
      </c>
      <c r="O4466" t="s">
        <v>20056</v>
      </c>
      <c r="P4466" t="s">
        <v>19903</v>
      </c>
      <c r="Q4466" t="s">
        <v>19904</v>
      </c>
      <c r="R4466" t="s">
        <v>19905</v>
      </c>
      <c r="S4466" t="s">
        <v>19906</v>
      </c>
      <c r="T4466" t="s">
        <v>19911</v>
      </c>
    </row>
    <row r="4467" spans="2:20" x14ac:dyDescent="0.25">
      <c r="B4467" t="s">
        <v>2709</v>
      </c>
      <c r="C4467">
        <v>38123012</v>
      </c>
      <c r="E4467">
        <v>71.78</v>
      </c>
      <c r="F4467">
        <v>12</v>
      </c>
      <c r="G4467">
        <v>10</v>
      </c>
      <c r="H4467">
        <v>7.6</v>
      </c>
      <c r="I4467">
        <v>1.65</v>
      </c>
      <c r="J4467">
        <v>14</v>
      </c>
      <c r="L4467" t="s">
        <v>2709</v>
      </c>
      <c r="M4467">
        <v>38123012</v>
      </c>
      <c r="O4467" t="s">
        <v>20056</v>
      </c>
      <c r="P4467" t="s">
        <v>19903</v>
      </c>
      <c r="Q4467" t="s">
        <v>19904</v>
      </c>
      <c r="R4467" t="s">
        <v>19905</v>
      </c>
      <c r="S4467" t="s">
        <v>19906</v>
      </c>
      <c r="T4467" t="s">
        <v>19911</v>
      </c>
    </row>
    <row r="4468" spans="2:20" x14ac:dyDescent="0.25">
      <c r="B4468" t="s">
        <v>2709</v>
      </c>
      <c r="C4468">
        <v>38123013</v>
      </c>
      <c r="E4468">
        <v>71.78</v>
      </c>
      <c r="F4468">
        <v>12</v>
      </c>
      <c r="G4468">
        <v>10</v>
      </c>
      <c r="H4468">
        <v>7.6</v>
      </c>
      <c r="I4468">
        <v>1.65</v>
      </c>
      <c r="J4468">
        <v>14</v>
      </c>
      <c r="L4468" t="s">
        <v>2709</v>
      </c>
      <c r="M4468">
        <v>38123013</v>
      </c>
      <c r="O4468" t="s">
        <v>20056</v>
      </c>
      <c r="P4468" t="s">
        <v>19903</v>
      </c>
      <c r="Q4468" t="s">
        <v>19904</v>
      </c>
      <c r="R4468" t="s">
        <v>19905</v>
      </c>
      <c r="S4468" t="s">
        <v>19906</v>
      </c>
      <c r="T4468" t="s">
        <v>19911</v>
      </c>
    </row>
    <row r="4469" spans="2:20" x14ac:dyDescent="0.25">
      <c r="B4469" t="s">
        <v>2709</v>
      </c>
      <c r="C4469">
        <v>38123019</v>
      </c>
      <c r="E4469">
        <v>71.78</v>
      </c>
      <c r="F4469">
        <v>12</v>
      </c>
      <c r="G4469">
        <v>10</v>
      </c>
      <c r="H4469">
        <v>7.6</v>
      </c>
      <c r="I4469">
        <v>1.65</v>
      </c>
      <c r="J4469">
        <v>2</v>
      </c>
      <c r="L4469" t="s">
        <v>2709</v>
      </c>
      <c r="M4469">
        <v>38123019</v>
      </c>
      <c r="O4469" t="s">
        <v>20056</v>
      </c>
      <c r="P4469" t="s">
        <v>19903</v>
      </c>
      <c r="Q4469" t="s">
        <v>19904</v>
      </c>
      <c r="R4469" t="s">
        <v>19905</v>
      </c>
      <c r="S4469" t="s">
        <v>19906</v>
      </c>
      <c r="T4469" t="s">
        <v>19901</v>
      </c>
    </row>
    <row r="4470" spans="2:20" x14ac:dyDescent="0.25">
      <c r="B4470" t="s">
        <v>2709</v>
      </c>
      <c r="C4470">
        <v>38123021</v>
      </c>
      <c r="E4470">
        <v>71.78</v>
      </c>
      <c r="F4470">
        <v>12</v>
      </c>
      <c r="G4470">
        <v>10</v>
      </c>
      <c r="H4470">
        <v>7.6</v>
      </c>
      <c r="I4470">
        <v>1.65</v>
      </c>
      <c r="J4470">
        <v>14</v>
      </c>
      <c r="L4470" t="s">
        <v>2709</v>
      </c>
      <c r="M4470">
        <v>38123021</v>
      </c>
      <c r="O4470" t="s">
        <v>20056</v>
      </c>
      <c r="P4470" t="s">
        <v>19903</v>
      </c>
      <c r="Q4470" t="s">
        <v>19904</v>
      </c>
      <c r="R4470" t="s">
        <v>19905</v>
      </c>
      <c r="S4470" t="s">
        <v>19906</v>
      </c>
      <c r="T4470" t="s">
        <v>19911</v>
      </c>
    </row>
    <row r="4471" spans="2:20" x14ac:dyDescent="0.25">
      <c r="B4471" t="s">
        <v>2709</v>
      </c>
      <c r="C4471">
        <v>38123029</v>
      </c>
      <c r="E4471">
        <v>71.78</v>
      </c>
      <c r="F4471">
        <v>12</v>
      </c>
      <c r="G4471">
        <v>10</v>
      </c>
      <c r="H4471">
        <v>7.6</v>
      </c>
      <c r="I4471">
        <v>1.65</v>
      </c>
      <c r="J4471">
        <v>14</v>
      </c>
      <c r="L4471" t="s">
        <v>2709</v>
      </c>
      <c r="M4471">
        <v>38123029</v>
      </c>
      <c r="O4471" t="s">
        <v>20056</v>
      </c>
      <c r="P4471" t="s">
        <v>19903</v>
      </c>
      <c r="Q4471" t="s">
        <v>19904</v>
      </c>
      <c r="R4471" t="s">
        <v>19905</v>
      </c>
      <c r="S4471" t="s">
        <v>19906</v>
      </c>
      <c r="T4471" t="s">
        <v>19911</v>
      </c>
    </row>
    <row r="4472" spans="2:20" x14ac:dyDescent="0.25">
      <c r="B4472" t="s">
        <v>2709</v>
      </c>
      <c r="C4472">
        <v>38130010</v>
      </c>
      <c r="E4472">
        <v>71.78</v>
      </c>
      <c r="F4472">
        <v>12</v>
      </c>
      <c r="G4472">
        <v>8</v>
      </c>
      <c r="H4472">
        <v>7.6</v>
      </c>
      <c r="I4472">
        <v>1.65</v>
      </c>
      <c r="J4472">
        <v>14</v>
      </c>
      <c r="L4472" t="s">
        <v>2709</v>
      </c>
      <c r="M4472">
        <v>38130010</v>
      </c>
      <c r="O4472" t="s">
        <v>20056</v>
      </c>
      <c r="P4472" t="s">
        <v>19903</v>
      </c>
      <c r="Q4472" t="s">
        <v>19918</v>
      </c>
      <c r="R4472" t="s">
        <v>19905</v>
      </c>
      <c r="S4472" t="s">
        <v>19906</v>
      </c>
      <c r="T4472" t="s">
        <v>19911</v>
      </c>
    </row>
    <row r="4473" spans="2:20" x14ac:dyDescent="0.25">
      <c r="B4473" t="s">
        <v>2709</v>
      </c>
      <c r="C4473">
        <v>38130020</v>
      </c>
      <c r="E4473">
        <v>71.78</v>
      </c>
      <c r="F4473">
        <v>12</v>
      </c>
      <c r="G4473">
        <v>8</v>
      </c>
      <c r="H4473">
        <v>7.6</v>
      </c>
      <c r="I4473">
        <v>1.65</v>
      </c>
      <c r="J4473">
        <v>14</v>
      </c>
      <c r="L4473" t="s">
        <v>2709</v>
      </c>
      <c r="M4473">
        <v>38130020</v>
      </c>
      <c r="O4473" t="s">
        <v>20056</v>
      </c>
      <c r="P4473" t="s">
        <v>19903</v>
      </c>
      <c r="Q4473" t="s">
        <v>19918</v>
      </c>
      <c r="R4473" t="s">
        <v>19905</v>
      </c>
      <c r="S4473" t="s">
        <v>19906</v>
      </c>
      <c r="T4473" t="s">
        <v>19911</v>
      </c>
    </row>
    <row r="4474" spans="2:20" x14ac:dyDescent="0.25">
      <c r="B4474" t="s">
        <v>2709</v>
      </c>
      <c r="C4474">
        <v>38130030</v>
      </c>
      <c r="E4474">
        <v>71.78</v>
      </c>
      <c r="F4474">
        <v>12</v>
      </c>
      <c r="G4474">
        <v>8</v>
      </c>
      <c r="H4474">
        <v>7.6</v>
      </c>
      <c r="I4474">
        <v>1.65</v>
      </c>
      <c r="J4474">
        <v>14</v>
      </c>
      <c r="L4474" t="s">
        <v>2709</v>
      </c>
      <c r="M4474">
        <v>38130030</v>
      </c>
      <c r="O4474" t="s">
        <v>20056</v>
      </c>
      <c r="P4474" t="s">
        <v>19903</v>
      </c>
      <c r="Q4474" t="s">
        <v>19918</v>
      </c>
      <c r="R4474" t="s">
        <v>19905</v>
      </c>
      <c r="S4474" t="s">
        <v>19906</v>
      </c>
      <c r="T4474" t="s">
        <v>19911</v>
      </c>
    </row>
    <row r="4475" spans="2:20" x14ac:dyDescent="0.25">
      <c r="B4475" t="s">
        <v>2709</v>
      </c>
      <c r="C4475">
        <v>38130040</v>
      </c>
      <c r="E4475">
        <v>71.78</v>
      </c>
      <c r="F4475">
        <v>12</v>
      </c>
      <c r="G4475">
        <v>8</v>
      </c>
      <c r="H4475">
        <v>7.6</v>
      </c>
      <c r="I4475">
        <v>1.65</v>
      </c>
      <c r="J4475">
        <v>14</v>
      </c>
      <c r="L4475" t="s">
        <v>2709</v>
      </c>
      <c r="M4475">
        <v>38130040</v>
      </c>
      <c r="O4475" t="s">
        <v>20056</v>
      </c>
      <c r="P4475" t="s">
        <v>19903</v>
      </c>
      <c r="Q4475" t="s">
        <v>19918</v>
      </c>
      <c r="R4475" t="s">
        <v>19905</v>
      </c>
      <c r="S4475" t="s">
        <v>19906</v>
      </c>
      <c r="T4475" t="s">
        <v>19911</v>
      </c>
    </row>
    <row r="4476" spans="2:20" x14ac:dyDescent="0.25">
      <c r="B4476" t="s">
        <v>2709</v>
      </c>
      <c r="C4476">
        <v>38130090</v>
      </c>
      <c r="E4476">
        <v>71.78</v>
      </c>
      <c r="F4476">
        <v>12</v>
      </c>
      <c r="G4476">
        <v>8</v>
      </c>
      <c r="H4476">
        <v>7.6</v>
      </c>
      <c r="I4476">
        <v>1.65</v>
      </c>
      <c r="J4476">
        <v>14</v>
      </c>
      <c r="L4476" t="s">
        <v>2709</v>
      </c>
      <c r="M4476">
        <v>38130090</v>
      </c>
      <c r="O4476" t="s">
        <v>20056</v>
      </c>
      <c r="P4476" t="s">
        <v>19903</v>
      </c>
      <c r="Q4476" t="s">
        <v>19918</v>
      </c>
      <c r="R4476" t="s">
        <v>19905</v>
      </c>
      <c r="S4476" t="s">
        <v>19906</v>
      </c>
      <c r="T4476" t="s">
        <v>19911</v>
      </c>
    </row>
    <row r="4477" spans="2:20" x14ac:dyDescent="0.25">
      <c r="B4477" t="s">
        <v>2709</v>
      </c>
      <c r="C4477">
        <v>38140010</v>
      </c>
      <c r="E4477">
        <v>38</v>
      </c>
      <c r="F4477">
        <v>12</v>
      </c>
      <c r="G4477">
        <v>10</v>
      </c>
      <c r="H4477" t="s">
        <v>19447</v>
      </c>
      <c r="I4477" t="s">
        <v>19447</v>
      </c>
      <c r="J4477">
        <v>14</v>
      </c>
      <c r="L4477" t="s">
        <v>2709</v>
      </c>
      <c r="M4477">
        <v>38140010</v>
      </c>
      <c r="O4477" t="s">
        <v>20008</v>
      </c>
      <c r="P4477" t="s">
        <v>19903</v>
      </c>
      <c r="Q4477" t="s">
        <v>19904</v>
      </c>
      <c r="R4477" t="s">
        <v>19447</v>
      </c>
      <c r="S4477" t="s">
        <v>19447</v>
      </c>
      <c r="T4477" t="s">
        <v>19911</v>
      </c>
    </row>
    <row r="4478" spans="2:20" x14ac:dyDescent="0.25">
      <c r="B4478" t="s">
        <v>2709</v>
      </c>
      <c r="C4478">
        <v>38140020</v>
      </c>
      <c r="E4478">
        <v>38</v>
      </c>
      <c r="F4478">
        <v>12</v>
      </c>
      <c r="G4478">
        <v>10</v>
      </c>
      <c r="H4478" t="s">
        <v>19447</v>
      </c>
      <c r="I4478" t="s">
        <v>19447</v>
      </c>
      <c r="J4478">
        <v>14</v>
      </c>
      <c r="L4478" t="s">
        <v>2709</v>
      </c>
      <c r="M4478">
        <v>38140020</v>
      </c>
      <c r="O4478" t="s">
        <v>20008</v>
      </c>
      <c r="P4478" t="s">
        <v>19903</v>
      </c>
      <c r="Q4478" t="s">
        <v>19904</v>
      </c>
      <c r="R4478" t="s">
        <v>19447</v>
      </c>
      <c r="S4478" t="s">
        <v>19447</v>
      </c>
      <c r="T4478" t="s">
        <v>19911</v>
      </c>
    </row>
    <row r="4479" spans="2:20" x14ac:dyDescent="0.25">
      <c r="B4479" t="s">
        <v>2709</v>
      </c>
      <c r="C4479">
        <v>38140030</v>
      </c>
      <c r="E4479">
        <v>38</v>
      </c>
      <c r="F4479">
        <v>12</v>
      </c>
      <c r="G4479">
        <v>10</v>
      </c>
      <c r="H4479" t="s">
        <v>19447</v>
      </c>
      <c r="I4479" t="s">
        <v>19447</v>
      </c>
      <c r="J4479">
        <v>14</v>
      </c>
      <c r="L4479" t="s">
        <v>2709</v>
      </c>
      <c r="M4479">
        <v>38140030</v>
      </c>
      <c r="O4479" t="s">
        <v>20008</v>
      </c>
      <c r="P4479" t="s">
        <v>19903</v>
      </c>
      <c r="Q4479" t="s">
        <v>19904</v>
      </c>
      <c r="R4479" t="s">
        <v>19447</v>
      </c>
      <c r="S4479" t="s">
        <v>19447</v>
      </c>
      <c r="T4479" t="s">
        <v>19911</v>
      </c>
    </row>
    <row r="4480" spans="2:20" x14ac:dyDescent="0.25">
      <c r="B4480" t="s">
        <v>2709</v>
      </c>
      <c r="C4480">
        <v>38140090</v>
      </c>
      <c r="E4480">
        <v>38</v>
      </c>
      <c r="F4480">
        <v>12</v>
      </c>
      <c r="G4480">
        <v>10</v>
      </c>
      <c r="H4480" t="s">
        <v>19447</v>
      </c>
      <c r="I4480" t="s">
        <v>19447</v>
      </c>
      <c r="J4480">
        <v>14</v>
      </c>
      <c r="L4480" t="s">
        <v>2709</v>
      </c>
      <c r="M4480">
        <v>38140090</v>
      </c>
      <c r="O4480" t="s">
        <v>20008</v>
      </c>
      <c r="P4480" t="s">
        <v>19903</v>
      </c>
      <c r="Q4480" t="s">
        <v>19904</v>
      </c>
      <c r="R4480" t="s">
        <v>19447</v>
      </c>
      <c r="S4480" t="s">
        <v>19447</v>
      </c>
      <c r="T4480" t="s">
        <v>19911</v>
      </c>
    </row>
    <row r="4481" spans="2:20" x14ac:dyDescent="0.25">
      <c r="B4481" t="s">
        <v>2709</v>
      </c>
      <c r="C4481">
        <v>38151100</v>
      </c>
      <c r="E4481">
        <v>38</v>
      </c>
      <c r="F4481">
        <v>12</v>
      </c>
      <c r="G4481">
        <v>10</v>
      </c>
      <c r="H4481">
        <v>7.6</v>
      </c>
      <c r="I4481">
        <v>1.65</v>
      </c>
      <c r="J4481">
        <v>2</v>
      </c>
      <c r="L4481" t="s">
        <v>2709</v>
      </c>
      <c r="M4481">
        <v>38151100</v>
      </c>
      <c r="O4481" t="s">
        <v>20008</v>
      </c>
      <c r="P4481" t="s">
        <v>19903</v>
      </c>
      <c r="Q4481" t="s">
        <v>19904</v>
      </c>
      <c r="R4481" t="s">
        <v>19905</v>
      </c>
      <c r="S4481" t="s">
        <v>19906</v>
      </c>
      <c r="T4481" t="s">
        <v>19901</v>
      </c>
    </row>
    <row r="4482" spans="2:20" x14ac:dyDescent="0.25">
      <c r="B4482" t="s">
        <v>2709</v>
      </c>
      <c r="C4482">
        <v>38151210</v>
      </c>
      <c r="E4482">
        <v>71.78</v>
      </c>
      <c r="F4482">
        <v>12</v>
      </c>
      <c r="G4482">
        <v>10</v>
      </c>
      <c r="H4482">
        <v>7.6</v>
      </c>
      <c r="I4482">
        <v>1.65</v>
      </c>
      <c r="J4482">
        <v>12</v>
      </c>
      <c r="L4482" t="s">
        <v>2709</v>
      </c>
      <c r="M4482">
        <v>38151210</v>
      </c>
      <c r="O4482" t="s">
        <v>20056</v>
      </c>
      <c r="P4482" t="s">
        <v>19903</v>
      </c>
      <c r="Q4482" t="s">
        <v>19904</v>
      </c>
      <c r="R4482" t="s">
        <v>19905</v>
      </c>
      <c r="S4482" t="s">
        <v>19906</v>
      </c>
      <c r="T4482" t="s">
        <v>19903</v>
      </c>
    </row>
    <row r="4483" spans="2:20" x14ac:dyDescent="0.25">
      <c r="B4483" t="s">
        <v>2709</v>
      </c>
      <c r="C4483">
        <v>38151220</v>
      </c>
      <c r="E4483">
        <v>38</v>
      </c>
      <c r="F4483">
        <v>12</v>
      </c>
      <c r="G4483">
        <v>10</v>
      </c>
      <c r="H4483">
        <v>7.6</v>
      </c>
      <c r="I4483">
        <v>1.65</v>
      </c>
      <c r="J4483">
        <v>12</v>
      </c>
      <c r="L4483" t="s">
        <v>2709</v>
      </c>
      <c r="M4483">
        <v>38151220</v>
      </c>
      <c r="O4483" t="s">
        <v>20008</v>
      </c>
      <c r="P4483" t="s">
        <v>19903</v>
      </c>
      <c r="Q4483" t="s">
        <v>19904</v>
      </c>
      <c r="R4483" t="s">
        <v>19905</v>
      </c>
      <c r="S4483" t="s">
        <v>19906</v>
      </c>
      <c r="T4483" t="s">
        <v>19903</v>
      </c>
    </row>
    <row r="4484" spans="2:20" x14ac:dyDescent="0.25">
      <c r="B4484" t="s">
        <v>2709</v>
      </c>
      <c r="C4484">
        <v>38151290</v>
      </c>
      <c r="E4484">
        <v>71.78</v>
      </c>
      <c r="F4484">
        <v>12</v>
      </c>
      <c r="G4484">
        <v>10</v>
      </c>
      <c r="H4484">
        <v>7.6</v>
      </c>
      <c r="I4484">
        <v>1.65</v>
      </c>
      <c r="J4484">
        <v>2</v>
      </c>
      <c r="L4484" t="s">
        <v>2709</v>
      </c>
      <c r="M4484">
        <v>38151290</v>
      </c>
      <c r="O4484" t="s">
        <v>20056</v>
      </c>
      <c r="P4484" t="s">
        <v>19903</v>
      </c>
      <c r="Q4484" t="s">
        <v>19904</v>
      </c>
      <c r="R4484" t="s">
        <v>19905</v>
      </c>
      <c r="S4484" t="s">
        <v>19906</v>
      </c>
      <c r="T4484" t="s">
        <v>19901</v>
      </c>
    </row>
    <row r="4485" spans="2:20" x14ac:dyDescent="0.25">
      <c r="B4485" t="s">
        <v>2709</v>
      </c>
      <c r="C4485">
        <v>38151900</v>
      </c>
      <c r="E4485">
        <v>38</v>
      </c>
      <c r="F4485">
        <v>12</v>
      </c>
      <c r="G4485">
        <v>10</v>
      </c>
      <c r="H4485">
        <v>7.6</v>
      </c>
      <c r="I4485">
        <v>1.65</v>
      </c>
      <c r="J4485">
        <v>2</v>
      </c>
      <c r="L4485" t="s">
        <v>2709</v>
      </c>
      <c r="M4485">
        <v>38151900</v>
      </c>
      <c r="O4485" t="s">
        <v>20008</v>
      </c>
      <c r="P4485" t="s">
        <v>19903</v>
      </c>
      <c r="Q4485" t="s">
        <v>19904</v>
      </c>
      <c r="R4485" t="s">
        <v>19905</v>
      </c>
      <c r="S4485" t="s">
        <v>19906</v>
      </c>
      <c r="T4485" t="s">
        <v>19901</v>
      </c>
    </row>
    <row r="4486" spans="2:20" x14ac:dyDescent="0.25">
      <c r="B4486" t="s">
        <v>2709</v>
      </c>
      <c r="C4486">
        <v>38159010</v>
      </c>
      <c r="E4486">
        <v>38</v>
      </c>
      <c r="F4486">
        <v>12</v>
      </c>
      <c r="G4486">
        <v>0</v>
      </c>
      <c r="H4486">
        <v>7.6</v>
      </c>
      <c r="I4486">
        <v>1.65</v>
      </c>
      <c r="J4486">
        <v>4</v>
      </c>
      <c r="L4486" t="s">
        <v>2709</v>
      </c>
      <c r="M4486">
        <v>38159010</v>
      </c>
      <c r="O4486" t="s">
        <v>20008</v>
      </c>
      <c r="P4486" t="s">
        <v>19903</v>
      </c>
      <c r="Q4486" t="s">
        <v>19900</v>
      </c>
      <c r="R4486" t="s">
        <v>19905</v>
      </c>
      <c r="S4486" t="s">
        <v>19906</v>
      </c>
      <c r="T4486" t="s">
        <v>19902</v>
      </c>
    </row>
    <row r="4487" spans="2:20" x14ac:dyDescent="0.25">
      <c r="B4487" t="s">
        <v>2709</v>
      </c>
      <c r="C4487">
        <v>38159091</v>
      </c>
      <c r="E4487">
        <v>38</v>
      </c>
      <c r="F4487">
        <v>12</v>
      </c>
      <c r="G4487">
        <v>10</v>
      </c>
      <c r="H4487">
        <v>7.6</v>
      </c>
      <c r="I4487">
        <v>1.65</v>
      </c>
      <c r="J4487">
        <v>2</v>
      </c>
      <c r="L4487" t="s">
        <v>2709</v>
      </c>
      <c r="M4487">
        <v>38159091</v>
      </c>
      <c r="O4487" t="s">
        <v>20008</v>
      </c>
      <c r="P4487" t="s">
        <v>19903</v>
      </c>
      <c r="Q4487" t="s">
        <v>19904</v>
      </c>
      <c r="R4487" t="s">
        <v>19905</v>
      </c>
      <c r="S4487" t="s">
        <v>19906</v>
      </c>
      <c r="T4487" t="s">
        <v>19901</v>
      </c>
    </row>
    <row r="4488" spans="2:20" x14ac:dyDescent="0.25">
      <c r="B4488" t="s">
        <v>2709</v>
      </c>
      <c r="C4488">
        <v>38159092</v>
      </c>
      <c r="E4488">
        <v>38</v>
      </c>
      <c r="F4488">
        <v>12</v>
      </c>
      <c r="G4488">
        <v>10</v>
      </c>
      <c r="H4488">
        <v>7.6</v>
      </c>
      <c r="I4488">
        <v>1.65</v>
      </c>
      <c r="J4488">
        <v>12</v>
      </c>
      <c r="L4488" t="s">
        <v>2709</v>
      </c>
      <c r="M4488">
        <v>38159092</v>
      </c>
      <c r="O4488" t="s">
        <v>20008</v>
      </c>
      <c r="P4488" t="s">
        <v>19903</v>
      </c>
      <c r="Q4488" t="s">
        <v>19904</v>
      </c>
      <c r="R4488" t="s">
        <v>19905</v>
      </c>
      <c r="S4488" t="s">
        <v>19906</v>
      </c>
      <c r="T4488" t="s">
        <v>19903</v>
      </c>
    </row>
    <row r="4489" spans="2:20" x14ac:dyDescent="0.25">
      <c r="B4489" t="s">
        <v>2709</v>
      </c>
      <c r="C4489">
        <v>38159099</v>
      </c>
      <c r="E4489">
        <v>38</v>
      </c>
      <c r="F4489">
        <v>12</v>
      </c>
      <c r="G4489">
        <v>10</v>
      </c>
      <c r="H4489">
        <v>7.6</v>
      </c>
      <c r="I4489">
        <v>1.65</v>
      </c>
      <c r="J4489">
        <v>4</v>
      </c>
      <c r="L4489" t="s">
        <v>2709</v>
      </c>
      <c r="M4489">
        <v>38159099</v>
      </c>
      <c r="O4489" t="s">
        <v>20008</v>
      </c>
      <c r="P4489" t="s">
        <v>19903</v>
      </c>
      <c r="Q4489" t="s">
        <v>19904</v>
      </c>
      <c r="R4489" t="s">
        <v>19905</v>
      </c>
      <c r="S4489" t="s">
        <v>19906</v>
      </c>
      <c r="T4489" t="s">
        <v>19902</v>
      </c>
    </row>
    <row r="4490" spans="2:20" x14ac:dyDescent="0.25">
      <c r="B4490" t="s">
        <v>2709</v>
      </c>
      <c r="C4490">
        <v>38160011</v>
      </c>
      <c r="E4490">
        <v>39</v>
      </c>
      <c r="F4490">
        <v>12</v>
      </c>
      <c r="G4490">
        <v>5</v>
      </c>
      <c r="H4490">
        <v>7.6</v>
      </c>
      <c r="I4490">
        <v>1.65</v>
      </c>
      <c r="J4490">
        <v>14</v>
      </c>
      <c r="L4490" t="s">
        <v>2709</v>
      </c>
      <c r="M4490">
        <v>38160011</v>
      </c>
      <c r="O4490" t="s">
        <v>20039</v>
      </c>
      <c r="P4490" t="s">
        <v>19903</v>
      </c>
      <c r="Q4490" t="s">
        <v>19909</v>
      </c>
      <c r="R4490" t="s">
        <v>19905</v>
      </c>
      <c r="S4490" t="s">
        <v>19906</v>
      </c>
      <c r="T4490" t="s">
        <v>19911</v>
      </c>
    </row>
    <row r="4491" spans="2:20" x14ac:dyDescent="0.25">
      <c r="B4491" t="s">
        <v>2709</v>
      </c>
      <c r="C4491">
        <v>38160012</v>
      </c>
      <c r="E4491">
        <v>39</v>
      </c>
      <c r="F4491">
        <v>12</v>
      </c>
      <c r="G4491">
        <v>5</v>
      </c>
      <c r="H4491">
        <v>7.6</v>
      </c>
      <c r="I4491">
        <v>1.65</v>
      </c>
      <c r="J4491">
        <v>2</v>
      </c>
      <c r="L4491" t="s">
        <v>2709</v>
      </c>
      <c r="M4491">
        <v>38160012</v>
      </c>
      <c r="O4491" t="s">
        <v>20039</v>
      </c>
      <c r="P4491" t="s">
        <v>19903</v>
      </c>
      <c r="Q4491" t="s">
        <v>19909</v>
      </c>
      <c r="R4491" t="s">
        <v>19905</v>
      </c>
      <c r="S4491" t="s">
        <v>19906</v>
      </c>
      <c r="T4491" t="s">
        <v>19901</v>
      </c>
    </row>
    <row r="4492" spans="2:20" x14ac:dyDescent="0.25">
      <c r="B4492" t="s">
        <v>2709</v>
      </c>
      <c r="C4492">
        <v>38160019</v>
      </c>
      <c r="E4492">
        <v>39</v>
      </c>
      <c r="F4492">
        <v>12</v>
      </c>
      <c r="G4492">
        <v>5</v>
      </c>
      <c r="H4492">
        <v>7.6</v>
      </c>
      <c r="I4492">
        <v>1.65</v>
      </c>
      <c r="J4492">
        <v>14</v>
      </c>
      <c r="L4492" t="s">
        <v>2709</v>
      </c>
      <c r="M4492">
        <v>38160019</v>
      </c>
      <c r="O4492" t="s">
        <v>20039</v>
      </c>
      <c r="P4492" t="s">
        <v>19903</v>
      </c>
      <c r="Q4492" t="s">
        <v>19909</v>
      </c>
      <c r="R4492" t="s">
        <v>19905</v>
      </c>
      <c r="S4492" t="s">
        <v>19906</v>
      </c>
      <c r="T4492" t="s">
        <v>19911</v>
      </c>
    </row>
    <row r="4493" spans="2:20" x14ac:dyDescent="0.25">
      <c r="B4493" t="s">
        <v>2709</v>
      </c>
      <c r="C4493">
        <v>38160021</v>
      </c>
      <c r="E4493">
        <v>71.78</v>
      </c>
      <c r="F4493">
        <v>12</v>
      </c>
      <c r="G4493">
        <v>10</v>
      </c>
      <c r="H4493">
        <v>7.6</v>
      </c>
      <c r="I4493">
        <v>1.65</v>
      </c>
      <c r="J4493">
        <v>2</v>
      </c>
      <c r="L4493" t="s">
        <v>2709</v>
      </c>
      <c r="M4493">
        <v>38160021</v>
      </c>
      <c r="O4493" t="s">
        <v>20056</v>
      </c>
      <c r="P4493" t="s">
        <v>19903</v>
      </c>
      <c r="Q4493" t="s">
        <v>19904</v>
      </c>
      <c r="R4493" t="s">
        <v>19905</v>
      </c>
      <c r="S4493" t="s">
        <v>19906</v>
      </c>
      <c r="T4493" t="s">
        <v>19901</v>
      </c>
    </row>
    <row r="4494" spans="2:20" x14ac:dyDescent="0.25">
      <c r="B4494" t="s">
        <v>2709</v>
      </c>
      <c r="C4494">
        <v>38160029</v>
      </c>
      <c r="E4494">
        <v>71.78</v>
      </c>
      <c r="F4494">
        <v>12</v>
      </c>
      <c r="G4494">
        <v>10</v>
      </c>
      <c r="H4494">
        <v>7.6</v>
      </c>
      <c r="I4494">
        <v>1.65</v>
      </c>
      <c r="J4494">
        <v>14</v>
      </c>
      <c r="L4494" t="s">
        <v>2709</v>
      </c>
      <c r="M4494">
        <v>38160029</v>
      </c>
      <c r="O4494" t="s">
        <v>20056</v>
      </c>
      <c r="P4494" t="s">
        <v>19903</v>
      </c>
      <c r="Q4494" t="s">
        <v>19904</v>
      </c>
      <c r="R4494" t="s">
        <v>19905</v>
      </c>
      <c r="S4494" t="s">
        <v>19906</v>
      </c>
      <c r="T4494" t="s">
        <v>19911</v>
      </c>
    </row>
    <row r="4495" spans="2:20" x14ac:dyDescent="0.25">
      <c r="B4495" t="s">
        <v>2709</v>
      </c>
      <c r="C4495">
        <v>38160090</v>
      </c>
      <c r="E4495">
        <v>71.78</v>
      </c>
      <c r="F4495">
        <v>12</v>
      </c>
      <c r="G4495">
        <v>10</v>
      </c>
      <c r="H4495">
        <v>7.6</v>
      </c>
      <c r="I4495">
        <v>1.65</v>
      </c>
      <c r="J4495">
        <v>14</v>
      </c>
      <c r="L4495" t="s">
        <v>2709</v>
      </c>
      <c r="M4495">
        <v>38160090</v>
      </c>
      <c r="O4495" t="s">
        <v>20056</v>
      </c>
      <c r="P4495" t="s">
        <v>19903</v>
      </c>
      <c r="Q4495" t="s">
        <v>19904</v>
      </c>
      <c r="R4495" t="s">
        <v>19905</v>
      </c>
      <c r="S4495" t="s">
        <v>19906</v>
      </c>
      <c r="T4495" t="s">
        <v>19911</v>
      </c>
    </row>
    <row r="4496" spans="2:20" x14ac:dyDescent="0.25">
      <c r="B4496" t="s">
        <v>2709</v>
      </c>
      <c r="C4496">
        <v>38170010</v>
      </c>
      <c r="E4496">
        <v>71.78</v>
      </c>
      <c r="F4496">
        <v>12</v>
      </c>
      <c r="G4496">
        <v>10</v>
      </c>
      <c r="H4496">
        <v>7.6</v>
      </c>
      <c r="I4496">
        <v>1.65</v>
      </c>
      <c r="J4496">
        <v>12</v>
      </c>
      <c r="L4496" t="s">
        <v>2709</v>
      </c>
      <c r="M4496">
        <v>38170010</v>
      </c>
      <c r="O4496" t="s">
        <v>20056</v>
      </c>
      <c r="P4496" t="s">
        <v>19903</v>
      </c>
      <c r="Q4496" t="s">
        <v>19904</v>
      </c>
      <c r="R4496" t="s">
        <v>19905</v>
      </c>
      <c r="S4496" t="s">
        <v>19906</v>
      </c>
      <c r="T4496" t="s">
        <v>19903</v>
      </c>
    </row>
    <row r="4497" spans="2:20" x14ac:dyDescent="0.25">
      <c r="B4497" t="s">
        <v>2709</v>
      </c>
      <c r="C4497">
        <v>38170020</v>
      </c>
      <c r="E4497">
        <v>71.78</v>
      </c>
      <c r="F4497">
        <v>12</v>
      </c>
      <c r="G4497">
        <v>10</v>
      </c>
      <c r="H4497">
        <v>7.6</v>
      </c>
      <c r="I4497">
        <v>1.65</v>
      </c>
      <c r="J4497">
        <v>14</v>
      </c>
      <c r="L4497" t="s">
        <v>2709</v>
      </c>
      <c r="M4497">
        <v>38170020</v>
      </c>
      <c r="O4497" t="s">
        <v>20056</v>
      </c>
      <c r="P4497" t="s">
        <v>19903</v>
      </c>
      <c r="Q4497" t="s">
        <v>19904</v>
      </c>
      <c r="R4497" t="s">
        <v>19905</v>
      </c>
      <c r="S4497" t="s">
        <v>19906</v>
      </c>
      <c r="T4497" t="s">
        <v>19911</v>
      </c>
    </row>
    <row r="4498" spans="2:20" x14ac:dyDescent="0.25">
      <c r="B4498" t="s">
        <v>2709</v>
      </c>
      <c r="C4498">
        <v>38180010</v>
      </c>
      <c r="E4498">
        <v>71.78</v>
      </c>
      <c r="F4498">
        <v>12</v>
      </c>
      <c r="G4498">
        <v>10</v>
      </c>
      <c r="H4498" t="s">
        <v>19447</v>
      </c>
      <c r="I4498" t="s">
        <v>19447</v>
      </c>
      <c r="J4498">
        <v>2</v>
      </c>
      <c r="L4498" t="s">
        <v>2709</v>
      </c>
      <c r="M4498">
        <v>38180010</v>
      </c>
      <c r="O4498" t="s">
        <v>20056</v>
      </c>
      <c r="P4498" t="s">
        <v>19903</v>
      </c>
      <c r="Q4498" t="s">
        <v>19904</v>
      </c>
      <c r="R4498" t="s">
        <v>19447</v>
      </c>
      <c r="S4498" t="s">
        <v>19447</v>
      </c>
      <c r="T4498" t="s">
        <v>19901</v>
      </c>
    </row>
    <row r="4499" spans="2:20" x14ac:dyDescent="0.25">
      <c r="B4499" t="s">
        <v>2709</v>
      </c>
      <c r="C4499">
        <v>38180090</v>
      </c>
      <c r="E4499">
        <v>71.78</v>
      </c>
      <c r="F4499">
        <v>12</v>
      </c>
      <c r="G4499">
        <v>10</v>
      </c>
      <c r="H4499" t="s">
        <v>19447</v>
      </c>
      <c r="I4499" t="s">
        <v>19447</v>
      </c>
      <c r="J4499">
        <v>2</v>
      </c>
      <c r="L4499" t="s">
        <v>2709</v>
      </c>
      <c r="M4499">
        <v>38180090</v>
      </c>
      <c r="O4499" t="s">
        <v>20056</v>
      </c>
      <c r="P4499" t="s">
        <v>19903</v>
      </c>
      <c r="Q4499" t="s">
        <v>19904</v>
      </c>
      <c r="R4499" t="s">
        <v>19447</v>
      </c>
      <c r="S4499" t="s">
        <v>19447</v>
      </c>
      <c r="T4499" t="s">
        <v>19901</v>
      </c>
    </row>
    <row r="4500" spans="2:20" x14ac:dyDescent="0.25">
      <c r="B4500" t="s">
        <v>2709</v>
      </c>
      <c r="C4500">
        <v>38190000</v>
      </c>
      <c r="E4500">
        <v>71.78</v>
      </c>
      <c r="F4500">
        <v>12</v>
      </c>
      <c r="G4500">
        <v>10</v>
      </c>
      <c r="H4500">
        <v>7.6</v>
      </c>
      <c r="I4500">
        <v>1.65</v>
      </c>
      <c r="J4500">
        <v>14</v>
      </c>
      <c r="L4500" t="s">
        <v>2709</v>
      </c>
      <c r="M4500">
        <v>38190000</v>
      </c>
      <c r="O4500" t="s">
        <v>20056</v>
      </c>
      <c r="P4500" t="s">
        <v>19903</v>
      </c>
      <c r="Q4500" t="s">
        <v>19904</v>
      </c>
      <c r="R4500" t="s">
        <v>19905</v>
      </c>
      <c r="S4500" t="s">
        <v>19906</v>
      </c>
      <c r="T4500" t="s">
        <v>19911</v>
      </c>
    </row>
    <row r="4501" spans="2:20" x14ac:dyDescent="0.25">
      <c r="B4501" t="s">
        <v>2709</v>
      </c>
      <c r="C4501">
        <v>38200000</v>
      </c>
      <c r="E4501">
        <v>71.78</v>
      </c>
      <c r="F4501">
        <v>12</v>
      </c>
      <c r="G4501">
        <v>10</v>
      </c>
      <c r="H4501">
        <v>7.6</v>
      </c>
      <c r="I4501">
        <v>1.65</v>
      </c>
      <c r="J4501">
        <v>14</v>
      </c>
      <c r="L4501" t="s">
        <v>2709</v>
      </c>
      <c r="M4501">
        <v>38200000</v>
      </c>
      <c r="O4501" t="s">
        <v>20056</v>
      </c>
      <c r="P4501" t="s">
        <v>19903</v>
      </c>
      <c r="Q4501" t="s">
        <v>19904</v>
      </c>
      <c r="R4501" t="s">
        <v>19905</v>
      </c>
      <c r="S4501" t="s">
        <v>19906</v>
      </c>
      <c r="T4501" t="s">
        <v>19911</v>
      </c>
    </row>
    <row r="4502" spans="2:20" x14ac:dyDescent="0.25">
      <c r="B4502" t="s">
        <v>2709</v>
      </c>
      <c r="C4502">
        <v>38210000</v>
      </c>
      <c r="E4502">
        <v>71.78</v>
      </c>
      <c r="F4502">
        <v>12</v>
      </c>
      <c r="G4502">
        <v>0</v>
      </c>
      <c r="H4502">
        <v>7.6</v>
      </c>
      <c r="I4502">
        <v>1.65</v>
      </c>
      <c r="J4502">
        <v>0</v>
      </c>
      <c r="L4502" t="s">
        <v>2709</v>
      </c>
      <c r="M4502">
        <v>38210000</v>
      </c>
      <c r="O4502" t="s">
        <v>20056</v>
      </c>
      <c r="P4502" t="s">
        <v>19903</v>
      </c>
      <c r="Q4502" t="s">
        <v>19900</v>
      </c>
      <c r="R4502" t="s">
        <v>19905</v>
      </c>
      <c r="S4502" t="s">
        <v>19906</v>
      </c>
      <c r="T4502" t="s">
        <v>19900</v>
      </c>
    </row>
    <row r="4503" spans="2:20" x14ac:dyDescent="0.25">
      <c r="B4503" t="s">
        <v>2709</v>
      </c>
      <c r="C4503">
        <v>38220010</v>
      </c>
      <c r="E4503">
        <v>71.78</v>
      </c>
      <c r="F4503">
        <v>12</v>
      </c>
      <c r="G4503">
        <v>0</v>
      </c>
      <c r="H4503">
        <v>7.6</v>
      </c>
      <c r="I4503">
        <v>1.65</v>
      </c>
      <c r="J4503">
        <v>2</v>
      </c>
      <c r="L4503" t="s">
        <v>2709</v>
      </c>
      <c r="M4503">
        <v>38220010</v>
      </c>
      <c r="O4503" t="s">
        <v>20056</v>
      </c>
      <c r="P4503" t="s">
        <v>19903</v>
      </c>
      <c r="Q4503" t="s">
        <v>19900</v>
      </c>
      <c r="R4503" t="s">
        <v>19905</v>
      </c>
      <c r="S4503" t="s">
        <v>19906</v>
      </c>
      <c r="T4503" t="s">
        <v>19901</v>
      </c>
    </row>
    <row r="4504" spans="2:20" x14ac:dyDescent="0.25">
      <c r="B4504" t="s">
        <v>2709</v>
      </c>
      <c r="C4504">
        <v>38220090</v>
      </c>
      <c r="E4504">
        <v>62.7</v>
      </c>
      <c r="F4504">
        <v>12</v>
      </c>
      <c r="G4504">
        <v>0</v>
      </c>
      <c r="H4504">
        <v>7.6</v>
      </c>
      <c r="I4504">
        <v>1.65</v>
      </c>
      <c r="J4504">
        <v>0</v>
      </c>
      <c r="L4504" t="s">
        <v>2709</v>
      </c>
      <c r="M4504">
        <v>38220090</v>
      </c>
      <c r="O4504" t="s">
        <v>20058</v>
      </c>
      <c r="P4504" t="s">
        <v>19903</v>
      </c>
      <c r="Q4504" t="s">
        <v>19900</v>
      </c>
      <c r="R4504" t="s">
        <v>19905</v>
      </c>
      <c r="S4504" t="s">
        <v>19906</v>
      </c>
      <c r="T4504" t="s">
        <v>19900</v>
      </c>
    </row>
    <row r="4505" spans="2:20" x14ac:dyDescent="0.25">
      <c r="B4505" t="s">
        <v>2709</v>
      </c>
      <c r="C4505">
        <v>38231100</v>
      </c>
      <c r="E4505">
        <v>71.78</v>
      </c>
      <c r="F4505">
        <v>12</v>
      </c>
      <c r="G4505">
        <v>0</v>
      </c>
      <c r="H4505">
        <v>7.6</v>
      </c>
      <c r="I4505">
        <v>1.65</v>
      </c>
      <c r="J4505">
        <v>6</v>
      </c>
      <c r="L4505" t="s">
        <v>2709</v>
      </c>
      <c r="M4505">
        <v>38231100</v>
      </c>
      <c r="O4505" t="s">
        <v>20056</v>
      </c>
      <c r="P4505" t="s">
        <v>19903</v>
      </c>
      <c r="Q4505" t="s">
        <v>19900</v>
      </c>
      <c r="R4505" t="s">
        <v>19905</v>
      </c>
      <c r="S4505" t="s">
        <v>19906</v>
      </c>
      <c r="T4505" t="s">
        <v>19907</v>
      </c>
    </row>
    <row r="4506" spans="2:20" x14ac:dyDescent="0.25">
      <c r="B4506" t="s">
        <v>2709</v>
      </c>
      <c r="C4506">
        <v>38231200</v>
      </c>
      <c r="E4506">
        <v>71.78</v>
      </c>
      <c r="F4506">
        <v>12</v>
      </c>
      <c r="G4506">
        <v>0</v>
      </c>
      <c r="H4506">
        <v>7.6</v>
      </c>
      <c r="I4506">
        <v>1.65</v>
      </c>
      <c r="J4506">
        <v>6</v>
      </c>
      <c r="L4506" t="s">
        <v>2709</v>
      </c>
      <c r="M4506">
        <v>38231200</v>
      </c>
      <c r="O4506" t="s">
        <v>20056</v>
      </c>
      <c r="P4506" t="s">
        <v>19903</v>
      </c>
      <c r="Q4506" t="s">
        <v>19900</v>
      </c>
      <c r="R4506" t="s">
        <v>19905</v>
      </c>
      <c r="S4506" t="s">
        <v>19906</v>
      </c>
      <c r="T4506" t="s">
        <v>19907</v>
      </c>
    </row>
    <row r="4507" spans="2:20" x14ac:dyDescent="0.25">
      <c r="B4507" t="s">
        <v>2709</v>
      </c>
      <c r="C4507">
        <v>38231300</v>
      </c>
      <c r="E4507">
        <v>71.78</v>
      </c>
      <c r="F4507">
        <v>12</v>
      </c>
      <c r="G4507">
        <v>0</v>
      </c>
      <c r="H4507">
        <v>7.6</v>
      </c>
      <c r="I4507">
        <v>1.65</v>
      </c>
      <c r="J4507">
        <v>2</v>
      </c>
      <c r="L4507" t="s">
        <v>2709</v>
      </c>
      <c r="M4507">
        <v>38231300</v>
      </c>
      <c r="O4507" t="s">
        <v>20056</v>
      </c>
      <c r="P4507" t="s">
        <v>19903</v>
      </c>
      <c r="Q4507" t="s">
        <v>19900</v>
      </c>
      <c r="R4507" t="s">
        <v>19905</v>
      </c>
      <c r="S4507" t="s">
        <v>19906</v>
      </c>
      <c r="T4507" t="s">
        <v>19901</v>
      </c>
    </row>
    <row r="4508" spans="2:20" x14ac:dyDescent="0.25">
      <c r="B4508" t="s">
        <v>2709</v>
      </c>
      <c r="C4508">
        <v>38231900</v>
      </c>
      <c r="E4508">
        <v>71.78</v>
      </c>
      <c r="F4508">
        <v>12</v>
      </c>
      <c r="G4508">
        <v>0</v>
      </c>
      <c r="H4508">
        <v>7.6</v>
      </c>
      <c r="I4508">
        <v>1.65</v>
      </c>
      <c r="J4508">
        <v>20</v>
      </c>
      <c r="L4508" t="s">
        <v>2709</v>
      </c>
      <c r="M4508">
        <v>38231900</v>
      </c>
      <c r="O4508" t="s">
        <v>20056</v>
      </c>
      <c r="P4508" t="s">
        <v>19903</v>
      </c>
      <c r="Q4508" t="s">
        <v>19900</v>
      </c>
      <c r="R4508" t="s">
        <v>19905</v>
      </c>
      <c r="S4508" t="s">
        <v>19906</v>
      </c>
      <c r="T4508" t="s">
        <v>19934</v>
      </c>
    </row>
    <row r="4509" spans="2:20" x14ac:dyDescent="0.25">
      <c r="B4509" t="s">
        <v>2709</v>
      </c>
      <c r="C4509">
        <v>38237010</v>
      </c>
      <c r="E4509">
        <v>71.78</v>
      </c>
      <c r="F4509">
        <v>12</v>
      </c>
      <c r="G4509">
        <v>0</v>
      </c>
      <c r="H4509">
        <v>7.6</v>
      </c>
      <c r="I4509">
        <v>1.65</v>
      </c>
      <c r="J4509">
        <v>14</v>
      </c>
      <c r="L4509" t="s">
        <v>2709</v>
      </c>
      <c r="M4509">
        <v>38237010</v>
      </c>
      <c r="O4509" t="s">
        <v>20056</v>
      </c>
      <c r="P4509" t="s">
        <v>19903</v>
      </c>
      <c r="Q4509" t="s">
        <v>19900</v>
      </c>
      <c r="R4509" t="s">
        <v>19905</v>
      </c>
      <c r="S4509" t="s">
        <v>19906</v>
      </c>
      <c r="T4509" t="s">
        <v>19911</v>
      </c>
    </row>
    <row r="4510" spans="2:20" x14ac:dyDescent="0.25">
      <c r="B4510" t="s">
        <v>2709</v>
      </c>
      <c r="C4510">
        <v>38237020</v>
      </c>
      <c r="E4510">
        <v>71.78</v>
      </c>
      <c r="F4510">
        <v>12</v>
      </c>
      <c r="G4510">
        <v>0</v>
      </c>
      <c r="H4510">
        <v>7.6</v>
      </c>
      <c r="I4510">
        <v>1.65</v>
      </c>
      <c r="J4510">
        <v>14</v>
      </c>
      <c r="L4510" t="s">
        <v>2709</v>
      </c>
      <c r="M4510">
        <v>38237020</v>
      </c>
      <c r="O4510" t="s">
        <v>20056</v>
      </c>
      <c r="P4510" t="s">
        <v>19903</v>
      </c>
      <c r="Q4510" t="s">
        <v>19900</v>
      </c>
      <c r="R4510" t="s">
        <v>19905</v>
      </c>
      <c r="S4510" t="s">
        <v>19906</v>
      </c>
      <c r="T4510" t="s">
        <v>19911</v>
      </c>
    </row>
    <row r="4511" spans="2:20" x14ac:dyDescent="0.25">
      <c r="B4511" t="s">
        <v>2709</v>
      </c>
      <c r="C4511">
        <v>38237030</v>
      </c>
      <c r="E4511">
        <v>71.78</v>
      </c>
      <c r="F4511">
        <v>12</v>
      </c>
      <c r="G4511">
        <v>0</v>
      </c>
      <c r="H4511">
        <v>7.6</v>
      </c>
      <c r="I4511">
        <v>1.65</v>
      </c>
      <c r="J4511">
        <v>2</v>
      </c>
      <c r="L4511" t="s">
        <v>2709</v>
      </c>
      <c r="M4511">
        <v>38237030</v>
      </c>
      <c r="O4511" t="s">
        <v>20056</v>
      </c>
      <c r="P4511" t="s">
        <v>19903</v>
      </c>
      <c r="Q4511" t="s">
        <v>19900</v>
      </c>
      <c r="R4511" t="s">
        <v>19905</v>
      </c>
      <c r="S4511" t="s">
        <v>19906</v>
      </c>
      <c r="T4511" t="s">
        <v>19901</v>
      </c>
    </row>
    <row r="4512" spans="2:20" x14ac:dyDescent="0.25">
      <c r="B4512" t="s">
        <v>2709</v>
      </c>
      <c r="C4512">
        <v>38237090</v>
      </c>
      <c r="E4512">
        <v>71.78</v>
      </c>
      <c r="F4512">
        <v>12</v>
      </c>
      <c r="G4512">
        <v>0</v>
      </c>
      <c r="H4512">
        <v>7.6</v>
      </c>
      <c r="I4512">
        <v>1.65</v>
      </c>
      <c r="J4512">
        <v>2</v>
      </c>
      <c r="L4512" t="s">
        <v>2709</v>
      </c>
      <c r="M4512">
        <v>38237090</v>
      </c>
      <c r="O4512" t="s">
        <v>20056</v>
      </c>
      <c r="P4512" t="s">
        <v>19903</v>
      </c>
      <c r="Q4512" t="s">
        <v>19900</v>
      </c>
      <c r="R4512" t="s">
        <v>19905</v>
      </c>
      <c r="S4512" t="s">
        <v>19906</v>
      </c>
      <c r="T4512" t="s">
        <v>19901</v>
      </c>
    </row>
    <row r="4513" spans="2:20" x14ac:dyDescent="0.25">
      <c r="B4513" t="s">
        <v>2709</v>
      </c>
      <c r="C4513">
        <v>38237090</v>
      </c>
      <c r="D4513">
        <v>1</v>
      </c>
      <c r="E4513" t="s">
        <v>19447</v>
      </c>
      <c r="F4513">
        <v>18</v>
      </c>
      <c r="G4513">
        <v>15</v>
      </c>
      <c r="H4513">
        <v>7.6</v>
      </c>
      <c r="I4513">
        <v>1.65</v>
      </c>
      <c r="J4513">
        <v>2</v>
      </c>
      <c r="L4513" t="s">
        <v>2709</v>
      </c>
      <c r="M4513">
        <v>38237090</v>
      </c>
      <c r="N4513">
        <v>1</v>
      </c>
      <c r="O4513" t="s">
        <v>19447</v>
      </c>
      <c r="P4513" t="s">
        <v>19899</v>
      </c>
      <c r="Q4513" t="s">
        <v>19983</v>
      </c>
      <c r="R4513" t="s">
        <v>19905</v>
      </c>
      <c r="S4513" t="s">
        <v>19906</v>
      </c>
      <c r="T4513" t="s">
        <v>19901</v>
      </c>
    </row>
    <row r="4514" spans="2:20" x14ac:dyDescent="0.25">
      <c r="B4514" t="s">
        <v>2709</v>
      </c>
      <c r="C4514">
        <v>38241000</v>
      </c>
      <c r="E4514">
        <v>38</v>
      </c>
      <c r="F4514">
        <v>12</v>
      </c>
      <c r="G4514">
        <v>10</v>
      </c>
      <c r="H4514">
        <v>7.6</v>
      </c>
      <c r="I4514">
        <v>1.65</v>
      </c>
      <c r="J4514">
        <v>14</v>
      </c>
      <c r="L4514" t="s">
        <v>2709</v>
      </c>
      <c r="M4514">
        <v>38241000</v>
      </c>
      <c r="O4514" t="s">
        <v>20008</v>
      </c>
      <c r="P4514" t="s">
        <v>19903</v>
      </c>
      <c r="Q4514" t="s">
        <v>19904</v>
      </c>
      <c r="R4514" t="s">
        <v>19905</v>
      </c>
      <c r="S4514" t="s">
        <v>19906</v>
      </c>
      <c r="T4514" t="s">
        <v>19911</v>
      </c>
    </row>
    <row r="4515" spans="2:20" x14ac:dyDescent="0.25">
      <c r="B4515" t="s">
        <v>2709</v>
      </c>
      <c r="C4515">
        <v>38243000</v>
      </c>
      <c r="E4515">
        <v>38</v>
      </c>
      <c r="F4515">
        <v>12</v>
      </c>
      <c r="G4515">
        <v>10</v>
      </c>
      <c r="H4515">
        <v>7.6</v>
      </c>
      <c r="I4515">
        <v>1.65</v>
      </c>
      <c r="J4515">
        <v>14</v>
      </c>
      <c r="L4515" t="s">
        <v>2709</v>
      </c>
      <c r="M4515">
        <v>38243000</v>
      </c>
      <c r="O4515" t="s">
        <v>20008</v>
      </c>
      <c r="P4515" t="s">
        <v>19903</v>
      </c>
      <c r="Q4515" t="s">
        <v>19904</v>
      </c>
      <c r="R4515" t="s">
        <v>19905</v>
      </c>
      <c r="S4515" t="s">
        <v>19906</v>
      </c>
      <c r="T4515" t="s">
        <v>19911</v>
      </c>
    </row>
    <row r="4516" spans="2:20" x14ac:dyDescent="0.25">
      <c r="B4516" t="s">
        <v>2709</v>
      </c>
      <c r="C4516">
        <v>38244000</v>
      </c>
      <c r="E4516">
        <v>39</v>
      </c>
      <c r="F4516">
        <v>12</v>
      </c>
      <c r="G4516">
        <v>5</v>
      </c>
      <c r="H4516">
        <v>7.6</v>
      </c>
      <c r="I4516">
        <v>1.65</v>
      </c>
      <c r="J4516">
        <v>14</v>
      </c>
      <c r="L4516" t="s">
        <v>2709</v>
      </c>
      <c r="M4516">
        <v>38244000</v>
      </c>
      <c r="O4516" t="s">
        <v>20039</v>
      </c>
      <c r="P4516" t="s">
        <v>19903</v>
      </c>
      <c r="Q4516" t="s">
        <v>19909</v>
      </c>
      <c r="R4516" t="s">
        <v>19905</v>
      </c>
      <c r="S4516" t="s">
        <v>19906</v>
      </c>
      <c r="T4516" t="s">
        <v>19911</v>
      </c>
    </row>
    <row r="4517" spans="2:20" x14ac:dyDescent="0.25">
      <c r="B4517" t="s">
        <v>2709</v>
      </c>
      <c r="C4517">
        <v>38245000</v>
      </c>
      <c r="E4517">
        <v>39</v>
      </c>
      <c r="F4517">
        <v>12</v>
      </c>
      <c r="G4517">
        <v>0</v>
      </c>
      <c r="H4517">
        <v>7.6</v>
      </c>
      <c r="I4517">
        <v>1.65</v>
      </c>
      <c r="J4517">
        <v>14</v>
      </c>
      <c r="L4517" t="s">
        <v>2709</v>
      </c>
      <c r="M4517">
        <v>38245000</v>
      </c>
      <c r="O4517" t="s">
        <v>20039</v>
      </c>
      <c r="P4517" t="s">
        <v>19903</v>
      </c>
      <c r="Q4517" t="s">
        <v>19900</v>
      </c>
      <c r="R4517" t="s">
        <v>19905</v>
      </c>
      <c r="S4517" t="s">
        <v>19906</v>
      </c>
      <c r="T4517" t="s">
        <v>19911</v>
      </c>
    </row>
    <row r="4518" spans="2:20" x14ac:dyDescent="0.25">
      <c r="B4518" t="s">
        <v>2709</v>
      </c>
      <c r="C4518">
        <v>38246000</v>
      </c>
      <c r="E4518">
        <v>38</v>
      </c>
      <c r="F4518">
        <v>12</v>
      </c>
      <c r="G4518">
        <v>10</v>
      </c>
      <c r="H4518">
        <v>7.6</v>
      </c>
      <c r="I4518">
        <v>1.65</v>
      </c>
      <c r="J4518">
        <v>14</v>
      </c>
      <c r="L4518" t="s">
        <v>2709</v>
      </c>
      <c r="M4518">
        <v>38246000</v>
      </c>
      <c r="O4518" t="s">
        <v>20008</v>
      </c>
      <c r="P4518" t="s">
        <v>19903</v>
      </c>
      <c r="Q4518" t="s">
        <v>19904</v>
      </c>
      <c r="R4518" t="s">
        <v>19905</v>
      </c>
      <c r="S4518" t="s">
        <v>19906</v>
      </c>
      <c r="T4518" t="s">
        <v>19911</v>
      </c>
    </row>
    <row r="4519" spans="2:20" x14ac:dyDescent="0.25">
      <c r="B4519" t="s">
        <v>2709</v>
      </c>
      <c r="C4519">
        <v>38247110</v>
      </c>
      <c r="E4519">
        <v>38</v>
      </c>
      <c r="F4519">
        <v>12</v>
      </c>
      <c r="G4519">
        <v>10</v>
      </c>
      <c r="H4519">
        <v>7.6</v>
      </c>
      <c r="I4519">
        <v>1.65</v>
      </c>
      <c r="J4519">
        <v>2</v>
      </c>
      <c r="L4519" t="s">
        <v>2709</v>
      </c>
      <c r="M4519">
        <v>38247110</v>
      </c>
      <c r="O4519" t="s">
        <v>20008</v>
      </c>
      <c r="P4519" t="s">
        <v>19903</v>
      </c>
      <c r="Q4519" t="s">
        <v>19904</v>
      </c>
      <c r="R4519" t="s">
        <v>19905</v>
      </c>
      <c r="S4519" t="s">
        <v>19906</v>
      </c>
      <c r="T4519" t="s">
        <v>19901</v>
      </c>
    </row>
    <row r="4520" spans="2:20" x14ac:dyDescent="0.25">
      <c r="B4520" t="s">
        <v>2709</v>
      </c>
      <c r="C4520">
        <v>38247190</v>
      </c>
      <c r="E4520">
        <v>38</v>
      </c>
      <c r="F4520">
        <v>12</v>
      </c>
      <c r="G4520">
        <v>10</v>
      </c>
      <c r="H4520">
        <v>7.6</v>
      </c>
      <c r="I4520">
        <v>1.65</v>
      </c>
      <c r="J4520">
        <v>14</v>
      </c>
      <c r="L4520" t="s">
        <v>2709</v>
      </c>
      <c r="M4520">
        <v>38247190</v>
      </c>
      <c r="O4520" t="s">
        <v>20008</v>
      </c>
      <c r="P4520" t="s">
        <v>19903</v>
      </c>
      <c r="Q4520" t="s">
        <v>19904</v>
      </c>
      <c r="R4520" t="s">
        <v>19905</v>
      </c>
      <c r="S4520" t="s">
        <v>19906</v>
      </c>
      <c r="T4520" t="s">
        <v>19911</v>
      </c>
    </row>
    <row r="4521" spans="2:20" x14ac:dyDescent="0.25">
      <c r="B4521" t="s">
        <v>2709</v>
      </c>
      <c r="C4521">
        <v>38247200</v>
      </c>
      <c r="E4521">
        <v>38</v>
      </c>
      <c r="F4521">
        <v>12</v>
      </c>
      <c r="G4521">
        <v>10</v>
      </c>
      <c r="H4521">
        <v>7.6</v>
      </c>
      <c r="I4521">
        <v>1.65</v>
      </c>
      <c r="J4521">
        <v>14</v>
      </c>
      <c r="L4521" t="s">
        <v>2709</v>
      </c>
      <c r="M4521">
        <v>38247200</v>
      </c>
      <c r="O4521" t="s">
        <v>20008</v>
      </c>
      <c r="P4521" t="s">
        <v>19903</v>
      </c>
      <c r="Q4521" t="s">
        <v>19904</v>
      </c>
      <c r="R4521" t="s">
        <v>19905</v>
      </c>
      <c r="S4521" t="s">
        <v>19906</v>
      </c>
      <c r="T4521" t="s">
        <v>19911</v>
      </c>
    </row>
    <row r="4522" spans="2:20" x14ac:dyDescent="0.25">
      <c r="B4522" t="s">
        <v>2709</v>
      </c>
      <c r="C4522">
        <v>38247300</v>
      </c>
      <c r="E4522">
        <v>38</v>
      </c>
      <c r="F4522">
        <v>12</v>
      </c>
      <c r="G4522">
        <v>10</v>
      </c>
      <c r="H4522">
        <v>7.6</v>
      </c>
      <c r="I4522">
        <v>1.65</v>
      </c>
      <c r="J4522">
        <v>14</v>
      </c>
      <c r="L4522" t="s">
        <v>2709</v>
      </c>
      <c r="M4522">
        <v>38247300</v>
      </c>
      <c r="O4522" t="s">
        <v>20008</v>
      </c>
      <c r="P4522" t="s">
        <v>19903</v>
      </c>
      <c r="Q4522" t="s">
        <v>19904</v>
      </c>
      <c r="R4522" t="s">
        <v>19905</v>
      </c>
      <c r="S4522" t="s">
        <v>19906</v>
      </c>
      <c r="T4522" t="s">
        <v>19911</v>
      </c>
    </row>
    <row r="4523" spans="2:20" x14ac:dyDescent="0.25">
      <c r="B4523" t="s">
        <v>2709</v>
      </c>
      <c r="C4523">
        <v>38247410</v>
      </c>
      <c r="E4523">
        <v>38</v>
      </c>
      <c r="F4523">
        <v>12</v>
      </c>
      <c r="G4523">
        <v>10</v>
      </c>
      <c r="H4523">
        <v>7.6</v>
      </c>
      <c r="I4523">
        <v>1.65</v>
      </c>
      <c r="J4523">
        <v>2</v>
      </c>
      <c r="L4523" t="s">
        <v>2709</v>
      </c>
      <c r="M4523">
        <v>38247410</v>
      </c>
      <c r="O4523" t="s">
        <v>20008</v>
      </c>
      <c r="P4523" t="s">
        <v>19903</v>
      </c>
      <c r="Q4523" t="s">
        <v>19904</v>
      </c>
      <c r="R4523" t="s">
        <v>19905</v>
      </c>
      <c r="S4523" t="s">
        <v>19906</v>
      </c>
      <c r="T4523" t="s">
        <v>19901</v>
      </c>
    </row>
    <row r="4524" spans="2:20" x14ac:dyDescent="0.25">
      <c r="B4524" t="s">
        <v>2709</v>
      </c>
      <c r="C4524">
        <v>38247420</v>
      </c>
      <c r="E4524">
        <v>38</v>
      </c>
      <c r="F4524">
        <v>12</v>
      </c>
      <c r="G4524">
        <v>10</v>
      </c>
      <c r="H4524">
        <v>7.6</v>
      </c>
      <c r="I4524">
        <v>1.65</v>
      </c>
      <c r="J4524">
        <v>2</v>
      </c>
      <c r="L4524" t="s">
        <v>2709</v>
      </c>
      <c r="M4524">
        <v>38247420</v>
      </c>
      <c r="O4524" t="s">
        <v>20008</v>
      </c>
      <c r="P4524" t="s">
        <v>19903</v>
      </c>
      <c r="Q4524" t="s">
        <v>19904</v>
      </c>
      <c r="R4524" t="s">
        <v>19905</v>
      </c>
      <c r="S4524" t="s">
        <v>19906</v>
      </c>
      <c r="T4524" t="s">
        <v>19901</v>
      </c>
    </row>
    <row r="4525" spans="2:20" x14ac:dyDescent="0.25">
      <c r="B4525" t="s">
        <v>2709</v>
      </c>
      <c r="C4525">
        <v>38247490</v>
      </c>
      <c r="E4525">
        <v>38</v>
      </c>
      <c r="F4525">
        <v>12</v>
      </c>
      <c r="G4525">
        <v>10</v>
      </c>
      <c r="H4525">
        <v>7.6</v>
      </c>
      <c r="I4525">
        <v>1.65</v>
      </c>
      <c r="J4525">
        <v>14</v>
      </c>
      <c r="L4525" t="s">
        <v>2709</v>
      </c>
      <c r="M4525">
        <v>38247490</v>
      </c>
      <c r="O4525" t="s">
        <v>20008</v>
      </c>
      <c r="P4525" t="s">
        <v>19903</v>
      </c>
      <c r="Q4525" t="s">
        <v>19904</v>
      </c>
      <c r="R4525" t="s">
        <v>19905</v>
      </c>
      <c r="S4525" t="s">
        <v>19906</v>
      </c>
      <c r="T4525" t="s">
        <v>19911</v>
      </c>
    </row>
    <row r="4526" spans="2:20" x14ac:dyDescent="0.25">
      <c r="B4526" t="s">
        <v>2709</v>
      </c>
      <c r="C4526">
        <v>38247500</v>
      </c>
      <c r="E4526">
        <v>38</v>
      </c>
      <c r="F4526">
        <v>12</v>
      </c>
      <c r="G4526">
        <v>10</v>
      </c>
      <c r="H4526">
        <v>7.6</v>
      </c>
      <c r="I4526">
        <v>1.65</v>
      </c>
      <c r="J4526">
        <v>14</v>
      </c>
      <c r="L4526" t="s">
        <v>2709</v>
      </c>
      <c r="M4526">
        <v>38247500</v>
      </c>
      <c r="O4526" t="s">
        <v>20008</v>
      </c>
      <c r="P4526" t="s">
        <v>19903</v>
      </c>
      <c r="Q4526" t="s">
        <v>19904</v>
      </c>
      <c r="R4526" t="s">
        <v>19905</v>
      </c>
      <c r="S4526" t="s">
        <v>19906</v>
      </c>
      <c r="T4526" t="s">
        <v>19911</v>
      </c>
    </row>
    <row r="4527" spans="2:20" x14ac:dyDescent="0.25">
      <c r="B4527" t="s">
        <v>2709</v>
      </c>
      <c r="C4527">
        <v>38247600</v>
      </c>
      <c r="E4527">
        <v>38</v>
      </c>
      <c r="F4527">
        <v>12</v>
      </c>
      <c r="G4527">
        <v>10</v>
      </c>
      <c r="H4527">
        <v>7.6</v>
      </c>
      <c r="I4527">
        <v>1.65</v>
      </c>
      <c r="J4527">
        <v>14</v>
      </c>
      <c r="L4527" t="s">
        <v>2709</v>
      </c>
      <c r="M4527">
        <v>38247600</v>
      </c>
      <c r="O4527" t="s">
        <v>20008</v>
      </c>
      <c r="P4527" t="s">
        <v>19903</v>
      </c>
      <c r="Q4527" t="s">
        <v>19904</v>
      </c>
      <c r="R4527" t="s">
        <v>19905</v>
      </c>
      <c r="S4527" t="s">
        <v>19906</v>
      </c>
      <c r="T4527" t="s">
        <v>19911</v>
      </c>
    </row>
    <row r="4528" spans="2:20" x14ac:dyDescent="0.25">
      <c r="B4528" t="s">
        <v>2709</v>
      </c>
      <c r="C4528">
        <v>38247700</v>
      </c>
      <c r="E4528">
        <v>38</v>
      </c>
      <c r="F4528">
        <v>12</v>
      </c>
      <c r="G4528">
        <v>10</v>
      </c>
      <c r="H4528">
        <v>7.6</v>
      </c>
      <c r="I4528">
        <v>1.65</v>
      </c>
      <c r="J4528">
        <v>14</v>
      </c>
      <c r="L4528" t="s">
        <v>2709</v>
      </c>
      <c r="M4528">
        <v>38247700</v>
      </c>
      <c r="O4528" t="s">
        <v>20008</v>
      </c>
      <c r="P4528" t="s">
        <v>19903</v>
      </c>
      <c r="Q4528" t="s">
        <v>19904</v>
      </c>
      <c r="R4528" t="s">
        <v>19905</v>
      </c>
      <c r="S4528" t="s">
        <v>19906</v>
      </c>
      <c r="T4528" t="s">
        <v>19911</v>
      </c>
    </row>
    <row r="4529" spans="2:20" x14ac:dyDescent="0.25">
      <c r="B4529" t="s">
        <v>2709</v>
      </c>
      <c r="C4529">
        <v>38247810</v>
      </c>
      <c r="E4529">
        <v>38</v>
      </c>
      <c r="F4529">
        <v>12</v>
      </c>
      <c r="G4529">
        <v>10</v>
      </c>
      <c r="H4529">
        <v>7.6</v>
      </c>
      <c r="I4529">
        <v>1.65</v>
      </c>
      <c r="J4529">
        <v>2</v>
      </c>
      <c r="L4529" t="s">
        <v>2709</v>
      </c>
      <c r="M4529">
        <v>38247810</v>
      </c>
      <c r="O4529" t="s">
        <v>20008</v>
      </c>
      <c r="P4529" t="s">
        <v>19903</v>
      </c>
      <c r="Q4529" t="s">
        <v>19904</v>
      </c>
      <c r="R4529" t="s">
        <v>19905</v>
      </c>
      <c r="S4529" t="s">
        <v>19906</v>
      </c>
      <c r="T4529" t="s">
        <v>19901</v>
      </c>
    </row>
    <row r="4530" spans="2:20" x14ac:dyDescent="0.25">
      <c r="B4530" t="s">
        <v>2709</v>
      </c>
      <c r="C4530">
        <v>38247890</v>
      </c>
      <c r="E4530">
        <v>38</v>
      </c>
      <c r="F4530">
        <v>12</v>
      </c>
      <c r="G4530">
        <v>10</v>
      </c>
      <c r="H4530">
        <v>7.6</v>
      </c>
      <c r="I4530">
        <v>1.65</v>
      </c>
      <c r="J4530">
        <v>14</v>
      </c>
      <c r="L4530" t="s">
        <v>2709</v>
      </c>
      <c r="M4530">
        <v>38247890</v>
      </c>
      <c r="O4530" t="s">
        <v>20008</v>
      </c>
      <c r="P4530" t="s">
        <v>19903</v>
      </c>
      <c r="Q4530" t="s">
        <v>19904</v>
      </c>
      <c r="R4530" t="s">
        <v>19905</v>
      </c>
      <c r="S4530" t="s">
        <v>19906</v>
      </c>
      <c r="T4530" t="s">
        <v>19911</v>
      </c>
    </row>
    <row r="4531" spans="2:20" x14ac:dyDescent="0.25">
      <c r="B4531" t="s">
        <v>2709</v>
      </c>
      <c r="C4531">
        <v>38247900</v>
      </c>
      <c r="E4531">
        <v>38</v>
      </c>
      <c r="F4531">
        <v>12</v>
      </c>
      <c r="G4531">
        <v>10</v>
      </c>
      <c r="H4531">
        <v>7.6</v>
      </c>
      <c r="I4531">
        <v>1.65</v>
      </c>
      <c r="J4531">
        <v>14</v>
      </c>
      <c r="L4531" t="s">
        <v>2709</v>
      </c>
      <c r="M4531">
        <v>38247900</v>
      </c>
      <c r="O4531" t="s">
        <v>20008</v>
      </c>
      <c r="P4531" t="s">
        <v>19903</v>
      </c>
      <c r="Q4531" t="s">
        <v>19904</v>
      </c>
      <c r="R4531" t="s">
        <v>19905</v>
      </c>
      <c r="S4531" t="s">
        <v>19906</v>
      </c>
      <c r="T4531" t="s">
        <v>19911</v>
      </c>
    </row>
    <row r="4532" spans="2:20" x14ac:dyDescent="0.25">
      <c r="B4532" t="s">
        <v>2709</v>
      </c>
      <c r="C4532">
        <v>38248110</v>
      </c>
      <c r="E4532">
        <v>38</v>
      </c>
      <c r="F4532">
        <v>12</v>
      </c>
      <c r="G4532">
        <v>10</v>
      </c>
      <c r="H4532">
        <v>7.6</v>
      </c>
      <c r="I4532">
        <v>1.65</v>
      </c>
      <c r="J4532">
        <v>14</v>
      </c>
      <c r="L4532" t="s">
        <v>2709</v>
      </c>
      <c r="M4532">
        <v>38248110</v>
      </c>
      <c r="O4532" t="s">
        <v>20008</v>
      </c>
      <c r="P4532" t="s">
        <v>19903</v>
      </c>
      <c r="Q4532" t="s">
        <v>19904</v>
      </c>
      <c r="R4532" t="s">
        <v>19905</v>
      </c>
      <c r="S4532" t="s">
        <v>19906</v>
      </c>
      <c r="T4532" t="s">
        <v>19911</v>
      </c>
    </row>
    <row r="4533" spans="2:20" x14ac:dyDescent="0.25">
      <c r="B4533" t="s">
        <v>2709</v>
      </c>
      <c r="C4533">
        <v>38248190</v>
      </c>
      <c r="E4533">
        <v>38</v>
      </c>
      <c r="F4533">
        <v>12</v>
      </c>
      <c r="G4533">
        <v>10</v>
      </c>
      <c r="H4533">
        <v>7.6</v>
      </c>
      <c r="I4533">
        <v>1.65</v>
      </c>
      <c r="J4533">
        <v>14</v>
      </c>
      <c r="L4533" t="s">
        <v>2709</v>
      </c>
      <c r="M4533">
        <v>38248190</v>
      </c>
      <c r="O4533" t="s">
        <v>20008</v>
      </c>
      <c r="P4533" t="s">
        <v>19903</v>
      </c>
      <c r="Q4533" t="s">
        <v>19904</v>
      </c>
      <c r="R4533" t="s">
        <v>19905</v>
      </c>
      <c r="S4533" t="s">
        <v>19906</v>
      </c>
      <c r="T4533" t="s">
        <v>19911</v>
      </c>
    </row>
    <row r="4534" spans="2:20" x14ac:dyDescent="0.25">
      <c r="B4534" t="s">
        <v>2709</v>
      </c>
      <c r="C4534">
        <v>38248200</v>
      </c>
      <c r="E4534">
        <v>38</v>
      </c>
      <c r="F4534">
        <v>12</v>
      </c>
      <c r="G4534">
        <v>10</v>
      </c>
      <c r="H4534">
        <v>7.6</v>
      </c>
      <c r="I4534">
        <v>1.65</v>
      </c>
      <c r="J4534">
        <v>14</v>
      </c>
      <c r="L4534" t="s">
        <v>2709</v>
      </c>
      <c r="M4534">
        <v>38248200</v>
      </c>
      <c r="O4534" t="s">
        <v>20008</v>
      </c>
      <c r="P4534" t="s">
        <v>19903</v>
      </c>
      <c r="Q4534" t="s">
        <v>19904</v>
      </c>
      <c r="R4534" t="s">
        <v>19905</v>
      </c>
      <c r="S4534" t="s">
        <v>19906</v>
      </c>
      <c r="T4534" t="s">
        <v>19911</v>
      </c>
    </row>
    <row r="4535" spans="2:20" x14ac:dyDescent="0.25">
      <c r="B4535" t="s">
        <v>2709</v>
      </c>
      <c r="C4535">
        <v>38248300</v>
      </c>
      <c r="E4535">
        <v>38</v>
      </c>
      <c r="F4535">
        <v>12</v>
      </c>
      <c r="G4535">
        <v>10</v>
      </c>
      <c r="H4535">
        <v>7.6</v>
      </c>
      <c r="I4535">
        <v>1.65</v>
      </c>
      <c r="J4535">
        <v>14</v>
      </c>
      <c r="L4535" t="s">
        <v>2709</v>
      </c>
      <c r="M4535">
        <v>38248300</v>
      </c>
      <c r="O4535" t="s">
        <v>20008</v>
      </c>
      <c r="P4535" t="s">
        <v>19903</v>
      </c>
      <c r="Q4535" t="s">
        <v>19904</v>
      </c>
      <c r="R4535" t="s">
        <v>19905</v>
      </c>
      <c r="S4535" t="s">
        <v>19906</v>
      </c>
      <c r="T4535" t="s">
        <v>19911</v>
      </c>
    </row>
    <row r="4536" spans="2:20" x14ac:dyDescent="0.25">
      <c r="B4536" t="s">
        <v>2709</v>
      </c>
      <c r="C4536">
        <v>38249011</v>
      </c>
      <c r="E4536">
        <v>38</v>
      </c>
      <c r="F4536">
        <v>12</v>
      </c>
      <c r="G4536">
        <v>10</v>
      </c>
      <c r="H4536" t="s">
        <v>19447</v>
      </c>
      <c r="I4536" t="s">
        <v>19447</v>
      </c>
      <c r="J4536">
        <v>14</v>
      </c>
      <c r="L4536" t="s">
        <v>2709</v>
      </c>
      <c r="M4536">
        <v>38249011</v>
      </c>
      <c r="O4536" t="s">
        <v>20008</v>
      </c>
      <c r="P4536" t="s">
        <v>19903</v>
      </c>
      <c r="Q4536" t="s">
        <v>19904</v>
      </c>
      <c r="R4536" t="s">
        <v>19447</v>
      </c>
      <c r="S4536" t="s">
        <v>19447</v>
      </c>
      <c r="T4536" t="s">
        <v>19911</v>
      </c>
    </row>
    <row r="4537" spans="2:20" x14ac:dyDescent="0.25">
      <c r="B4537" t="s">
        <v>2709</v>
      </c>
      <c r="C4537">
        <v>38249012</v>
      </c>
      <c r="E4537">
        <v>38</v>
      </c>
      <c r="F4537">
        <v>12</v>
      </c>
      <c r="G4537">
        <v>10</v>
      </c>
      <c r="H4537" t="s">
        <v>19447</v>
      </c>
      <c r="I4537" t="s">
        <v>19447</v>
      </c>
      <c r="J4537">
        <v>2</v>
      </c>
      <c r="L4537" t="s">
        <v>2709</v>
      </c>
      <c r="M4537">
        <v>38249012</v>
      </c>
      <c r="O4537" t="s">
        <v>20008</v>
      </c>
      <c r="P4537" t="s">
        <v>19903</v>
      </c>
      <c r="Q4537" t="s">
        <v>19904</v>
      </c>
      <c r="R4537" t="s">
        <v>19447</v>
      </c>
      <c r="S4537" t="s">
        <v>19447</v>
      </c>
      <c r="T4537" t="s">
        <v>19901</v>
      </c>
    </row>
    <row r="4538" spans="2:20" x14ac:dyDescent="0.25">
      <c r="B4538" t="s">
        <v>2709</v>
      </c>
      <c r="C4538">
        <v>38249013</v>
      </c>
      <c r="E4538">
        <v>38</v>
      </c>
      <c r="F4538">
        <v>12</v>
      </c>
      <c r="G4538">
        <v>10</v>
      </c>
      <c r="H4538" t="s">
        <v>19447</v>
      </c>
      <c r="I4538" t="s">
        <v>19447</v>
      </c>
      <c r="J4538">
        <v>2</v>
      </c>
      <c r="L4538" t="s">
        <v>2709</v>
      </c>
      <c r="M4538">
        <v>38249013</v>
      </c>
      <c r="O4538" t="s">
        <v>20008</v>
      </c>
      <c r="P4538" t="s">
        <v>19903</v>
      </c>
      <c r="Q4538" t="s">
        <v>19904</v>
      </c>
      <c r="R4538" t="s">
        <v>19447</v>
      </c>
      <c r="S4538" t="s">
        <v>19447</v>
      </c>
      <c r="T4538" t="s">
        <v>19901</v>
      </c>
    </row>
    <row r="4539" spans="2:20" x14ac:dyDescent="0.25">
      <c r="B4539" t="s">
        <v>2709</v>
      </c>
      <c r="C4539">
        <v>38249014</v>
      </c>
      <c r="E4539">
        <v>38</v>
      </c>
      <c r="F4539">
        <v>12</v>
      </c>
      <c r="G4539">
        <v>10</v>
      </c>
      <c r="H4539" t="s">
        <v>19447</v>
      </c>
      <c r="I4539" t="s">
        <v>19447</v>
      </c>
      <c r="J4539">
        <v>2</v>
      </c>
      <c r="L4539" t="s">
        <v>2709</v>
      </c>
      <c r="M4539">
        <v>38249014</v>
      </c>
      <c r="O4539" t="s">
        <v>20008</v>
      </c>
      <c r="P4539" t="s">
        <v>19903</v>
      </c>
      <c r="Q4539" t="s">
        <v>19904</v>
      </c>
      <c r="R4539" t="s">
        <v>19447</v>
      </c>
      <c r="S4539" t="s">
        <v>19447</v>
      </c>
      <c r="T4539" t="s">
        <v>19901</v>
      </c>
    </row>
    <row r="4540" spans="2:20" x14ac:dyDescent="0.25">
      <c r="B4540" t="s">
        <v>2709</v>
      </c>
      <c r="C4540">
        <v>38249015</v>
      </c>
      <c r="E4540">
        <v>38</v>
      </c>
      <c r="F4540">
        <v>12</v>
      </c>
      <c r="G4540">
        <v>10</v>
      </c>
      <c r="H4540" t="s">
        <v>19447</v>
      </c>
      <c r="I4540" t="s">
        <v>19447</v>
      </c>
      <c r="J4540">
        <v>2</v>
      </c>
      <c r="L4540" t="s">
        <v>2709</v>
      </c>
      <c r="M4540">
        <v>38249015</v>
      </c>
      <c r="O4540" t="s">
        <v>20008</v>
      </c>
      <c r="P4540" t="s">
        <v>19903</v>
      </c>
      <c r="Q4540" t="s">
        <v>19904</v>
      </c>
      <c r="R4540" t="s">
        <v>19447</v>
      </c>
      <c r="S4540" t="s">
        <v>19447</v>
      </c>
      <c r="T4540" t="s">
        <v>19901</v>
      </c>
    </row>
    <row r="4541" spans="2:20" x14ac:dyDescent="0.25">
      <c r="B4541" t="s">
        <v>2709</v>
      </c>
      <c r="C4541">
        <v>38249019</v>
      </c>
      <c r="E4541">
        <v>38</v>
      </c>
      <c r="F4541">
        <v>12</v>
      </c>
      <c r="G4541">
        <v>10</v>
      </c>
      <c r="H4541" t="s">
        <v>19447</v>
      </c>
      <c r="I4541" t="s">
        <v>19447</v>
      </c>
      <c r="J4541">
        <v>14</v>
      </c>
      <c r="L4541" t="s">
        <v>2709</v>
      </c>
      <c r="M4541">
        <v>38249019</v>
      </c>
      <c r="O4541" t="s">
        <v>20008</v>
      </c>
      <c r="P4541" t="s">
        <v>19903</v>
      </c>
      <c r="Q4541" t="s">
        <v>19904</v>
      </c>
      <c r="R4541" t="s">
        <v>19447</v>
      </c>
      <c r="S4541" t="s">
        <v>19447</v>
      </c>
      <c r="T4541" t="s">
        <v>19911</v>
      </c>
    </row>
    <row r="4542" spans="2:20" x14ac:dyDescent="0.25">
      <c r="B4542" t="s">
        <v>2709</v>
      </c>
      <c r="C4542">
        <v>38249021</v>
      </c>
      <c r="E4542">
        <v>38</v>
      </c>
      <c r="F4542">
        <v>12</v>
      </c>
      <c r="G4542">
        <v>10</v>
      </c>
      <c r="H4542" t="s">
        <v>19447</v>
      </c>
      <c r="I4542" t="s">
        <v>19447</v>
      </c>
      <c r="J4542">
        <v>2</v>
      </c>
      <c r="L4542" t="s">
        <v>2709</v>
      </c>
      <c r="M4542">
        <v>38249021</v>
      </c>
      <c r="O4542" t="s">
        <v>20008</v>
      </c>
      <c r="P4542" t="s">
        <v>19903</v>
      </c>
      <c r="Q4542" t="s">
        <v>19904</v>
      </c>
      <c r="R4542" t="s">
        <v>19447</v>
      </c>
      <c r="S4542" t="s">
        <v>19447</v>
      </c>
      <c r="T4542" t="s">
        <v>19901</v>
      </c>
    </row>
    <row r="4543" spans="2:20" x14ac:dyDescent="0.25">
      <c r="B4543" t="s">
        <v>2709</v>
      </c>
      <c r="C4543">
        <v>38249022</v>
      </c>
      <c r="E4543">
        <v>38</v>
      </c>
      <c r="F4543">
        <v>12</v>
      </c>
      <c r="G4543">
        <v>10</v>
      </c>
      <c r="H4543" t="s">
        <v>19447</v>
      </c>
      <c r="I4543" t="s">
        <v>19447</v>
      </c>
      <c r="J4543">
        <v>2</v>
      </c>
      <c r="L4543" t="s">
        <v>2709</v>
      </c>
      <c r="M4543">
        <v>38249022</v>
      </c>
      <c r="O4543" t="s">
        <v>20008</v>
      </c>
      <c r="P4543" t="s">
        <v>19903</v>
      </c>
      <c r="Q4543" t="s">
        <v>19904</v>
      </c>
      <c r="R4543" t="s">
        <v>19447</v>
      </c>
      <c r="S4543" t="s">
        <v>19447</v>
      </c>
      <c r="T4543" t="s">
        <v>19901</v>
      </c>
    </row>
    <row r="4544" spans="2:20" x14ac:dyDescent="0.25">
      <c r="B4544" t="s">
        <v>2709</v>
      </c>
      <c r="C4544">
        <v>38249023</v>
      </c>
      <c r="E4544">
        <v>38</v>
      </c>
      <c r="F4544">
        <v>12</v>
      </c>
      <c r="G4544">
        <v>10</v>
      </c>
      <c r="H4544" t="s">
        <v>19447</v>
      </c>
      <c r="I4544" t="s">
        <v>19447</v>
      </c>
      <c r="J4544">
        <v>14</v>
      </c>
      <c r="L4544" t="s">
        <v>2709</v>
      </c>
      <c r="M4544">
        <v>38249023</v>
      </c>
      <c r="O4544" t="s">
        <v>20008</v>
      </c>
      <c r="P4544" t="s">
        <v>19903</v>
      </c>
      <c r="Q4544" t="s">
        <v>19904</v>
      </c>
      <c r="R4544" t="s">
        <v>19447</v>
      </c>
      <c r="S4544" t="s">
        <v>19447</v>
      </c>
      <c r="T4544" t="s">
        <v>19911</v>
      </c>
    </row>
    <row r="4545" spans="2:20" x14ac:dyDescent="0.25">
      <c r="B4545" t="s">
        <v>2709</v>
      </c>
      <c r="C4545">
        <v>38249024</v>
      </c>
      <c r="E4545">
        <v>38</v>
      </c>
      <c r="F4545">
        <v>12</v>
      </c>
      <c r="G4545">
        <v>10</v>
      </c>
      <c r="H4545" t="s">
        <v>19447</v>
      </c>
      <c r="I4545" t="s">
        <v>19447</v>
      </c>
      <c r="J4545">
        <v>2</v>
      </c>
      <c r="L4545" t="s">
        <v>2709</v>
      </c>
      <c r="M4545">
        <v>38249024</v>
      </c>
      <c r="O4545" t="s">
        <v>20008</v>
      </c>
      <c r="P4545" t="s">
        <v>19903</v>
      </c>
      <c r="Q4545" t="s">
        <v>19904</v>
      </c>
      <c r="R4545" t="s">
        <v>19447</v>
      </c>
      <c r="S4545" t="s">
        <v>19447</v>
      </c>
      <c r="T4545" t="s">
        <v>19901</v>
      </c>
    </row>
    <row r="4546" spans="2:20" x14ac:dyDescent="0.25">
      <c r="B4546" t="s">
        <v>2709</v>
      </c>
      <c r="C4546">
        <v>38249025</v>
      </c>
      <c r="E4546">
        <v>38</v>
      </c>
      <c r="F4546">
        <v>12</v>
      </c>
      <c r="G4546">
        <v>10</v>
      </c>
      <c r="H4546" t="s">
        <v>19447</v>
      </c>
      <c r="I4546" t="s">
        <v>19447</v>
      </c>
      <c r="J4546">
        <v>2</v>
      </c>
      <c r="L4546" t="s">
        <v>2709</v>
      </c>
      <c r="M4546">
        <v>38249025</v>
      </c>
      <c r="O4546" t="s">
        <v>20008</v>
      </c>
      <c r="P4546" t="s">
        <v>19903</v>
      </c>
      <c r="Q4546" t="s">
        <v>19904</v>
      </c>
      <c r="R4546" t="s">
        <v>19447</v>
      </c>
      <c r="S4546" t="s">
        <v>19447</v>
      </c>
      <c r="T4546" t="s">
        <v>19901</v>
      </c>
    </row>
    <row r="4547" spans="2:20" x14ac:dyDescent="0.25">
      <c r="B4547" t="s">
        <v>2709</v>
      </c>
      <c r="C4547">
        <v>38249029</v>
      </c>
      <c r="E4547">
        <v>41.37</v>
      </c>
      <c r="F4547">
        <v>12</v>
      </c>
      <c r="G4547">
        <v>10</v>
      </c>
      <c r="H4547" t="s">
        <v>19447</v>
      </c>
      <c r="I4547" t="s">
        <v>19447</v>
      </c>
      <c r="J4547">
        <v>14</v>
      </c>
      <c r="L4547" t="s">
        <v>2709</v>
      </c>
      <c r="M4547">
        <v>38249029</v>
      </c>
      <c r="O4547" t="s">
        <v>20059</v>
      </c>
      <c r="P4547" t="s">
        <v>19903</v>
      </c>
      <c r="Q4547" t="s">
        <v>19904</v>
      </c>
      <c r="R4547" t="s">
        <v>19447</v>
      </c>
      <c r="S4547" t="s">
        <v>19447</v>
      </c>
      <c r="T4547" t="s">
        <v>19911</v>
      </c>
    </row>
    <row r="4548" spans="2:20" x14ac:dyDescent="0.25">
      <c r="B4548" t="s">
        <v>2709</v>
      </c>
      <c r="C4548">
        <v>38249031</v>
      </c>
      <c r="E4548">
        <v>38</v>
      </c>
      <c r="F4548">
        <v>12</v>
      </c>
      <c r="G4548">
        <v>10</v>
      </c>
      <c r="H4548" t="s">
        <v>19447</v>
      </c>
      <c r="I4548" t="s">
        <v>19447</v>
      </c>
      <c r="J4548">
        <v>14</v>
      </c>
      <c r="L4548" t="s">
        <v>2709</v>
      </c>
      <c r="M4548">
        <v>38249031</v>
      </c>
      <c r="O4548" t="s">
        <v>20008</v>
      </c>
      <c r="P4548" t="s">
        <v>19903</v>
      </c>
      <c r="Q4548" t="s">
        <v>19904</v>
      </c>
      <c r="R4548" t="s">
        <v>19447</v>
      </c>
      <c r="S4548" t="s">
        <v>19447</v>
      </c>
      <c r="T4548" t="s">
        <v>19911</v>
      </c>
    </row>
    <row r="4549" spans="2:20" x14ac:dyDescent="0.25">
      <c r="B4549" t="s">
        <v>2709</v>
      </c>
      <c r="C4549">
        <v>38249032</v>
      </c>
      <c r="E4549">
        <v>38</v>
      </c>
      <c r="F4549">
        <v>12</v>
      </c>
      <c r="G4549">
        <v>10</v>
      </c>
      <c r="H4549" t="s">
        <v>19447</v>
      </c>
      <c r="I4549" t="s">
        <v>19447</v>
      </c>
      <c r="J4549">
        <v>14</v>
      </c>
      <c r="L4549" t="s">
        <v>2709</v>
      </c>
      <c r="M4549">
        <v>38249032</v>
      </c>
      <c r="O4549" t="s">
        <v>20008</v>
      </c>
      <c r="P4549" t="s">
        <v>19903</v>
      </c>
      <c r="Q4549" t="s">
        <v>19904</v>
      </c>
      <c r="R4549" t="s">
        <v>19447</v>
      </c>
      <c r="S4549" t="s">
        <v>19447</v>
      </c>
      <c r="T4549" t="s">
        <v>19911</v>
      </c>
    </row>
    <row r="4550" spans="2:20" x14ac:dyDescent="0.25">
      <c r="B4550" t="s">
        <v>2709</v>
      </c>
      <c r="C4550">
        <v>38249033</v>
      </c>
      <c r="E4550">
        <v>38</v>
      </c>
      <c r="F4550">
        <v>12</v>
      </c>
      <c r="G4550">
        <v>10</v>
      </c>
      <c r="H4550" t="s">
        <v>19447</v>
      </c>
      <c r="I4550" t="s">
        <v>19447</v>
      </c>
      <c r="J4550">
        <v>2</v>
      </c>
      <c r="L4550" t="s">
        <v>2709</v>
      </c>
      <c r="M4550">
        <v>38249033</v>
      </c>
      <c r="O4550" t="s">
        <v>20008</v>
      </c>
      <c r="P4550" t="s">
        <v>19903</v>
      </c>
      <c r="Q4550" t="s">
        <v>19904</v>
      </c>
      <c r="R4550" t="s">
        <v>19447</v>
      </c>
      <c r="S4550" t="s">
        <v>19447</v>
      </c>
      <c r="T4550" t="s">
        <v>19901</v>
      </c>
    </row>
    <row r="4551" spans="2:20" x14ac:dyDescent="0.25">
      <c r="B4551" t="s">
        <v>2709</v>
      </c>
      <c r="C4551">
        <v>38249034</v>
      </c>
      <c r="E4551">
        <v>38</v>
      </c>
      <c r="F4551">
        <v>12</v>
      </c>
      <c r="G4551">
        <v>10</v>
      </c>
      <c r="H4551" t="s">
        <v>19447</v>
      </c>
      <c r="I4551" t="s">
        <v>19447</v>
      </c>
      <c r="J4551">
        <v>14</v>
      </c>
      <c r="L4551" t="s">
        <v>2709</v>
      </c>
      <c r="M4551">
        <v>38249034</v>
      </c>
      <c r="O4551" t="s">
        <v>20008</v>
      </c>
      <c r="P4551" t="s">
        <v>19903</v>
      </c>
      <c r="Q4551" t="s">
        <v>19904</v>
      </c>
      <c r="R4551" t="s">
        <v>19447</v>
      </c>
      <c r="S4551" t="s">
        <v>19447</v>
      </c>
      <c r="T4551" t="s">
        <v>19911</v>
      </c>
    </row>
    <row r="4552" spans="2:20" x14ac:dyDescent="0.25">
      <c r="B4552" t="s">
        <v>2709</v>
      </c>
      <c r="C4552">
        <v>38249035</v>
      </c>
      <c r="E4552">
        <v>38</v>
      </c>
      <c r="F4552">
        <v>12</v>
      </c>
      <c r="G4552">
        <v>10</v>
      </c>
      <c r="H4552" t="s">
        <v>19447</v>
      </c>
      <c r="I4552" t="s">
        <v>19447</v>
      </c>
      <c r="J4552">
        <v>14</v>
      </c>
      <c r="L4552" t="s">
        <v>2709</v>
      </c>
      <c r="M4552">
        <v>38249035</v>
      </c>
      <c r="O4552" t="s">
        <v>20008</v>
      </c>
      <c r="P4552" t="s">
        <v>19903</v>
      </c>
      <c r="Q4552" t="s">
        <v>19904</v>
      </c>
      <c r="R4552" t="s">
        <v>19447</v>
      </c>
      <c r="S4552" t="s">
        <v>19447</v>
      </c>
      <c r="T4552" t="s">
        <v>19911</v>
      </c>
    </row>
    <row r="4553" spans="2:20" x14ac:dyDescent="0.25">
      <c r="B4553" t="s">
        <v>2709</v>
      </c>
      <c r="C4553">
        <v>38249036</v>
      </c>
      <c r="E4553">
        <v>38</v>
      </c>
      <c r="F4553">
        <v>12</v>
      </c>
      <c r="G4553">
        <v>10</v>
      </c>
      <c r="H4553" t="s">
        <v>19447</v>
      </c>
      <c r="I4553" t="s">
        <v>19447</v>
      </c>
      <c r="J4553">
        <v>2</v>
      </c>
      <c r="L4553" t="s">
        <v>2709</v>
      </c>
      <c r="M4553">
        <v>38249036</v>
      </c>
      <c r="O4553" t="s">
        <v>20008</v>
      </c>
      <c r="P4553" t="s">
        <v>19903</v>
      </c>
      <c r="Q4553" t="s">
        <v>19904</v>
      </c>
      <c r="R4553" t="s">
        <v>19447</v>
      </c>
      <c r="S4553" t="s">
        <v>19447</v>
      </c>
      <c r="T4553" t="s">
        <v>19901</v>
      </c>
    </row>
    <row r="4554" spans="2:20" x14ac:dyDescent="0.25">
      <c r="B4554" t="s">
        <v>2709</v>
      </c>
      <c r="C4554">
        <v>38249039</v>
      </c>
      <c r="E4554">
        <v>38</v>
      </c>
      <c r="F4554">
        <v>12</v>
      </c>
      <c r="G4554">
        <v>10</v>
      </c>
      <c r="H4554" t="s">
        <v>19447</v>
      </c>
      <c r="I4554" t="s">
        <v>19447</v>
      </c>
      <c r="J4554">
        <v>14</v>
      </c>
      <c r="L4554" t="s">
        <v>2709</v>
      </c>
      <c r="M4554">
        <v>38249039</v>
      </c>
      <c r="O4554" t="s">
        <v>20008</v>
      </c>
      <c r="P4554" t="s">
        <v>19903</v>
      </c>
      <c r="Q4554" t="s">
        <v>19904</v>
      </c>
      <c r="R4554" t="s">
        <v>19447</v>
      </c>
      <c r="S4554" t="s">
        <v>19447</v>
      </c>
      <c r="T4554" t="s">
        <v>19911</v>
      </c>
    </row>
    <row r="4555" spans="2:20" x14ac:dyDescent="0.25">
      <c r="B4555" t="s">
        <v>2709</v>
      </c>
      <c r="C4555">
        <v>38249041</v>
      </c>
      <c r="E4555">
        <v>38</v>
      </c>
      <c r="F4555">
        <v>12</v>
      </c>
      <c r="G4555">
        <v>0</v>
      </c>
      <c r="H4555" t="s">
        <v>19447</v>
      </c>
      <c r="I4555" t="s">
        <v>19447</v>
      </c>
      <c r="J4555">
        <v>14</v>
      </c>
      <c r="L4555" t="s">
        <v>2709</v>
      </c>
      <c r="M4555">
        <v>38249041</v>
      </c>
      <c r="O4555" t="s">
        <v>20008</v>
      </c>
      <c r="P4555" t="s">
        <v>19903</v>
      </c>
      <c r="Q4555" t="s">
        <v>19900</v>
      </c>
      <c r="R4555" t="s">
        <v>19447</v>
      </c>
      <c r="S4555" t="s">
        <v>19447</v>
      </c>
      <c r="T4555" t="s">
        <v>19911</v>
      </c>
    </row>
    <row r="4556" spans="2:20" x14ac:dyDescent="0.25">
      <c r="B4556" t="s">
        <v>2709</v>
      </c>
      <c r="C4556">
        <v>38249042</v>
      </c>
      <c r="E4556">
        <v>38</v>
      </c>
      <c r="F4556">
        <v>12</v>
      </c>
      <c r="G4556">
        <v>10</v>
      </c>
      <c r="H4556" t="s">
        <v>19447</v>
      </c>
      <c r="I4556" t="s">
        <v>19447</v>
      </c>
      <c r="J4556">
        <v>8</v>
      </c>
      <c r="L4556" t="s">
        <v>2709</v>
      </c>
      <c r="M4556">
        <v>38249042</v>
      </c>
      <c r="O4556" t="s">
        <v>20008</v>
      </c>
      <c r="P4556" t="s">
        <v>19903</v>
      </c>
      <c r="Q4556" t="s">
        <v>19904</v>
      </c>
      <c r="R4556" t="s">
        <v>19447</v>
      </c>
      <c r="S4556" t="s">
        <v>19447</v>
      </c>
      <c r="T4556" t="s">
        <v>19918</v>
      </c>
    </row>
    <row r="4557" spans="2:20" x14ac:dyDescent="0.25">
      <c r="B4557" t="s">
        <v>2709</v>
      </c>
      <c r="C4557">
        <v>38249043</v>
      </c>
      <c r="E4557">
        <v>38</v>
      </c>
      <c r="F4557">
        <v>12</v>
      </c>
      <c r="G4557">
        <v>10</v>
      </c>
      <c r="H4557" t="s">
        <v>19447</v>
      </c>
      <c r="I4557" t="s">
        <v>19447</v>
      </c>
      <c r="J4557">
        <v>2</v>
      </c>
      <c r="L4557" t="s">
        <v>2709</v>
      </c>
      <c r="M4557">
        <v>38249043</v>
      </c>
      <c r="O4557" t="s">
        <v>20008</v>
      </c>
      <c r="P4557" t="s">
        <v>19903</v>
      </c>
      <c r="Q4557" t="s">
        <v>19904</v>
      </c>
      <c r="R4557" t="s">
        <v>19447</v>
      </c>
      <c r="S4557" t="s">
        <v>19447</v>
      </c>
      <c r="T4557" t="s">
        <v>19901</v>
      </c>
    </row>
    <row r="4558" spans="2:20" x14ac:dyDescent="0.25">
      <c r="B4558" t="s">
        <v>2709</v>
      </c>
      <c r="C4558">
        <v>38249049</v>
      </c>
      <c r="E4558">
        <v>63.33</v>
      </c>
      <c r="F4558">
        <v>12</v>
      </c>
      <c r="G4558">
        <v>10</v>
      </c>
      <c r="H4558" t="s">
        <v>19447</v>
      </c>
      <c r="I4558" t="s">
        <v>19447</v>
      </c>
      <c r="J4558">
        <v>14</v>
      </c>
      <c r="L4558" t="s">
        <v>2709</v>
      </c>
      <c r="M4558">
        <v>38249049</v>
      </c>
      <c r="O4558" t="s">
        <v>20060</v>
      </c>
      <c r="P4558" t="s">
        <v>19903</v>
      </c>
      <c r="Q4558" t="s">
        <v>19904</v>
      </c>
      <c r="R4558" t="s">
        <v>19447</v>
      </c>
      <c r="S4558" t="s">
        <v>19447</v>
      </c>
      <c r="T4558" t="s">
        <v>19911</v>
      </c>
    </row>
    <row r="4559" spans="2:20" x14ac:dyDescent="0.25">
      <c r="B4559" t="s">
        <v>2709</v>
      </c>
      <c r="C4559">
        <v>38249051</v>
      </c>
      <c r="E4559">
        <v>38</v>
      </c>
      <c r="F4559">
        <v>12</v>
      </c>
      <c r="G4559">
        <v>10</v>
      </c>
      <c r="H4559" t="s">
        <v>19447</v>
      </c>
      <c r="I4559" t="s">
        <v>19447</v>
      </c>
      <c r="J4559">
        <v>2</v>
      </c>
      <c r="L4559" t="s">
        <v>2709</v>
      </c>
      <c r="M4559">
        <v>38249051</v>
      </c>
      <c r="O4559" t="s">
        <v>20008</v>
      </c>
      <c r="P4559" t="s">
        <v>19903</v>
      </c>
      <c r="Q4559" t="s">
        <v>19904</v>
      </c>
      <c r="R4559" t="s">
        <v>19447</v>
      </c>
      <c r="S4559" t="s">
        <v>19447</v>
      </c>
      <c r="T4559" t="s">
        <v>19901</v>
      </c>
    </row>
    <row r="4560" spans="2:20" x14ac:dyDescent="0.25">
      <c r="B4560" t="s">
        <v>2709</v>
      </c>
      <c r="C4560">
        <v>38249052</v>
      </c>
      <c r="E4560">
        <v>38</v>
      </c>
      <c r="F4560">
        <v>12</v>
      </c>
      <c r="G4560">
        <v>10</v>
      </c>
      <c r="H4560" t="s">
        <v>19447</v>
      </c>
      <c r="I4560" t="s">
        <v>19447</v>
      </c>
      <c r="J4560">
        <v>14</v>
      </c>
      <c r="L4560" t="s">
        <v>2709</v>
      </c>
      <c r="M4560">
        <v>38249052</v>
      </c>
      <c r="O4560" t="s">
        <v>20008</v>
      </c>
      <c r="P4560" t="s">
        <v>19903</v>
      </c>
      <c r="Q4560" t="s">
        <v>19904</v>
      </c>
      <c r="R4560" t="s">
        <v>19447</v>
      </c>
      <c r="S4560" t="s">
        <v>19447</v>
      </c>
      <c r="T4560" t="s">
        <v>19911</v>
      </c>
    </row>
    <row r="4561" spans="2:20" x14ac:dyDescent="0.25">
      <c r="B4561" t="s">
        <v>2709</v>
      </c>
      <c r="C4561">
        <v>38249053</v>
      </c>
      <c r="E4561">
        <v>38</v>
      </c>
      <c r="F4561">
        <v>12</v>
      </c>
      <c r="G4561">
        <v>10</v>
      </c>
      <c r="H4561" t="s">
        <v>19447</v>
      </c>
      <c r="I4561" t="s">
        <v>19447</v>
      </c>
      <c r="J4561">
        <v>14</v>
      </c>
      <c r="L4561" t="s">
        <v>2709</v>
      </c>
      <c r="M4561">
        <v>38249053</v>
      </c>
      <c r="O4561" t="s">
        <v>20008</v>
      </c>
      <c r="P4561" t="s">
        <v>19903</v>
      </c>
      <c r="Q4561" t="s">
        <v>19904</v>
      </c>
      <c r="R4561" t="s">
        <v>19447</v>
      </c>
      <c r="S4561" t="s">
        <v>19447</v>
      </c>
      <c r="T4561" t="s">
        <v>19911</v>
      </c>
    </row>
    <row r="4562" spans="2:20" x14ac:dyDescent="0.25">
      <c r="B4562" t="s">
        <v>2709</v>
      </c>
      <c r="C4562">
        <v>38249054</v>
      </c>
      <c r="E4562">
        <v>38</v>
      </c>
      <c r="F4562">
        <v>12</v>
      </c>
      <c r="G4562">
        <v>10</v>
      </c>
      <c r="H4562" t="s">
        <v>19447</v>
      </c>
      <c r="I4562" t="s">
        <v>19447</v>
      </c>
      <c r="J4562">
        <v>2</v>
      </c>
      <c r="L4562" t="s">
        <v>2709</v>
      </c>
      <c r="M4562">
        <v>38249054</v>
      </c>
      <c r="O4562" t="s">
        <v>20008</v>
      </c>
      <c r="P4562" t="s">
        <v>19903</v>
      </c>
      <c r="Q4562" t="s">
        <v>19904</v>
      </c>
      <c r="R4562" t="s">
        <v>19447</v>
      </c>
      <c r="S4562" t="s">
        <v>19447</v>
      </c>
      <c r="T4562" t="s">
        <v>19901</v>
      </c>
    </row>
    <row r="4563" spans="2:20" x14ac:dyDescent="0.25">
      <c r="B4563" t="s">
        <v>2709</v>
      </c>
      <c r="C4563">
        <v>38249059</v>
      </c>
      <c r="E4563">
        <v>38</v>
      </c>
      <c r="F4563">
        <v>12</v>
      </c>
      <c r="G4563">
        <v>10</v>
      </c>
      <c r="H4563" t="s">
        <v>19447</v>
      </c>
      <c r="I4563" t="s">
        <v>19447</v>
      </c>
      <c r="J4563">
        <v>14</v>
      </c>
      <c r="L4563" t="s">
        <v>2709</v>
      </c>
      <c r="M4563">
        <v>38249059</v>
      </c>
      <c r="O4563" t="s">
        <v>20008</v>
      </c>
      <c r="P4563" t="s">
        <v>19903</v>
      </c>
      <c r="Q4563" t="s">
        <v>19904</v>
      </c>
      <c r="R4563" t="s">
        <v>19447</v>
      </c>
      <c r="S4563" t="s">
        <v>19447</v>
      </c>
      <c r="T4563" t="s">
        <v>19911</v>
      </c>
    </row>
    <row r="4564" spans="2:20" x14ac:dyDescent="0.25">
      <c r="B4564" t="s">
        <v>2709</v>
      </c>
      <c r="C4564">
        <v>38249071</v>
      </c>
      <c r="E4564">
        <v>38</v>
      </c>
      <c r="F4564">
        <v>12</v>
      </c>
      <c r="G4564">
        <v>10</v>
      </c>
      <c r="H4564" t="s">
        <v>19447</v>
      </c>
      <c r="I4564" t="s">
        <v>19447</v>
      </c>
      <c r="J4564">
        <v>14</v>
      </c>
      <c r="L4564" t="s">
        <v>2709</v>
      </c>
      <c r="M4564">
        <v>38249071</v>
      </c>
      <c r="O4564" t="s">
        <v>20008</v>
      </c>
      <c r="P4564" t="s">
        <v>19903</v>
      </c>
      <c r="Q4564" t="s">
        <v>19904</v>
      </c>
      <c r="R4564" t="s">
        <v>19447</v>
      </c>
      <c r="S4564" t="s">
        <v>19447</v>
      </c>
      <c r="T4564" t="s">
        <v>19911</v>
      </c>
    </row>
    <row r="4565" spans="2:20" x14ac:dyDescent="0.25">
      <c r="B4565" t="s">
        <v>2709</v>
      </c>
      <c r="C4565">
        <v>38249072</v>
      </c>
      <c r="E4565">
        <v>38</v>
      </c>
      <c r="F4565">
        <v>12</v>
      </c>
      <c r="G4565">
        <v>10</v>
      </c>
      <c r="H4565" t="s">
        <v>19447</v>
      </c>
      <c r="I4565" t="s">
        <v>19447</v>
      </c>
      <c r="J4565">
        <v>14</v>
      </c>
      <c r="L4565" t="s">
        <v>2709</v>
      </c>
      <c r="M4565">
        <v>38249072</v>
      </c>
      <c r="O4565" t="s">
        <v>20008</v>
      </c>
      <c r="P4565" t="s">
        <v>19903</v>
      </c>
      <c r="Q4565" t="s">
        <v>19904</v>
      </c>
      <c r="R4565" t="s">
        <v>19447</v>
      </c>
      <c r="S4565" t="s">
        <v>19447</v>
      </c>
      <c r="T4565" t="s">
        <v>19911</v>
      </c>
    </row>
    <row r="4566" spans="2:20" x14ac:dyDescent="0.25">
      <c r="B4566" t="s">
        <v>2709</v>
      </c>
      <c r="C4566">
        <v>38249073</v>
      </c>
      <c r="E4566">
        <v>38</v>
      </c>
      <c r="F4566">
        <v>12</v>
      </c>
      <c r="G4566">
        <v>10</v>
      </c>
      <c r="H4566" t="s">
        <v>19447</v>
      </c>
      <c r="I4566" t="s">
        <v>19447</v>
      </c>
      <c r="J4566">
        <v>2</v>
      </c>
      <c r="L4566" t="s">
        <v>2709</v>
      </c>
      <c r="M4566">
        <v>38249073</v>
      </c>
      <c r="O4566" t="s">
        <v>20008</v>
      </c>
      <c r="P4566" t="s">
        <v>19903</v>
      </c>
      <c r="Q4566" t="s">
        <v>19904</v>
      </c>
      <c r="R4566" t="s">
        <v>19447</v>
      </c>
      <c r="S4566" t="s">
        <v>19447</v>
      </c>
      <c r="T4566" t="s">
        <v>19901</v>
      </c>
    </row>
    <row r="4567" spans="2:20" x14ac:dyDescent="0.25">
      <c r="B4567" t="s">
        <v>2709</v>
      </c>
      <c r="C4567">
        <v>38249074</v>
      </c>
      <c r="E4567">
        <v>38</v>
      </c>
      <c r="F4567">
        <v>12</v>
      </c>
      <c r="G4567">
        <v>10</v>
      </c>
      <c r="H4567" t="s">
        <v>19447</v>
      </c>
      <c r="I4567" t="s">
        <v>19447</v>
      </c>
      <c r="J4567">
        <v>2</v>
      </c>
      <c r="L4567" t="s">
        <v>2709</v>
      </c>
      <c r="M4567">
        <v>38249074</v>
      </c>
      <c r="O4567" t="s">
        <v>20008</v>
      </c>
      <c r="P4567" t="s">
        <v>19903</v>
      </c>
      <c r="Q4567" t="s">
        <v>19904</v>
      </c>
      <c r="R4567" t="s">
        <v>19447</v>
      </c>
      <c r="S4567" t="s">
        <v>19447</v>
      </c>
      <c r="T4567" t="s">
        <v>19901</v>
      </c>
    </row>
    <row r="4568" spans="2:20" x14ac:dyDescent="0.25">
      <c r="B4568" t="s">
        <v>2709</v>
      </c>
      <c r="C4568">
        <v>38249075</v>
      </c>
      <c r="E4568">
        <v>38</v>
      </c>
      <c r="F4568">
        <v>12</v>
      </c>
      <c r="G4568">
        <v>10</v>
      </c>
      <c r="H4568" t="s">
        <v>19447</v>
      </c>
      <c r="I4568" t="s">
        <v>19447</v>
      </c>
      <c r="J4568">
        <v>2</v>
      </c>
      <c r="L4568" t="s">
        <v>2709</v>
      </c>
      <c r="M4568">
        <v>38249075</v>
      </c>
      <c r="O4568" t="s">
        <v>20008</v>
      </c>
      <c r="P4568" t="s">
        <v>19903</v>
      </c>
      <c r="Q4568" t="s">
        <v>19904</v>
      </c>
      <c r="R4568" t="s">
        <v>19447</v>
      </c>
      <c r="S4568" t="s">
        <v>19447</v>
      </c>
      <c r="T4568" t="s">
        <v>19901</v>
      </c>
    </row>
    <row r="4569" spans="2:20" x14ac:dyDescent="0.25">
      <c r="B4569" t="s">
        <v>2709</v>
      </c>
      <c r="C4569">
        <v>38249076</v>
      </c>
      <c r="E4569">
        <v>38</v>
      </c>
      <c r="F4569">
        <v>12</v>
      </c>
      <c r="G4569">
        <v>10</v>
      </c>
      <c r="H4569" t="s">
        <v>19447</v>
      </c>
      <c r="I4569" t="s">
        <v>19447</v>
      </c>
      <c r="J4569">
        <v>2</v>
      </c>
      <c r="L4569" t="s">
        <v>2709</v>
      </c>
      <c r="M4569">
        <v>38249076</v>
      </c>
      <c r="O4569" t="s">
        <v>20008</v>
      </c>
      <c r="P4569" t="s">
        <v>19903</v>
      </c>
      <c r="Q4569" t="s">
        <v>19904</v>
      </c>
      <c r="R4569" t="s">
        <v>19447</v>
      </c>
      <c r="S4569" t="s">
        <v>19447</v>
      </c>
      <c r="T4569" t="s">
        <v>19901</v>
      </c>
    </row>
    <row r="4570" spans="2:20" x14ac:dyDescent="0.25">
      <c r="B4570" t="s">
        <v>2709</v>
      </c>
      <c r="C4570">
        <v>38249077</v>
      </c>
      <c r="E4570">
        <v>38</v>
      </c>
      <c r="F4570">
        <v>12</v>
      </c>
      <c r="G4570">
        <v>0</v>
      </c>
      <c r="H4570" t="s">
        <v>19447</v>
      </c>
      <c r="I4570" t="s">
        <v>19447</v>
      </c>
      <c r="J4570">
        <v>0</v>
      </c>
      <c r="L4570" t="s">
        <v>2709</v>
      </c>
      <c r="M4570">
        <v>38249077</v>
      </c>
      <c r="O4570" t="s">
        <v>20008</v>
      </c>
      <c r="P4570" t="s">
        <v>19903</v>
      </c>
      <c r="Q4570" t="s">
        <v>19900</v>
      </c>
      <c r="R4570" t="s">
        <v>19447</v>
      </c>
      <c r="S4570" t="s">
        <v>19447</v>
      </c>
      <c r="T4570" t="s">
        <v>19900</v>
      </c>
    </row>
    <row r="4571" spans="2:20" x14ac:dyDescent="0.25">
      <c r="B4571" t="s">
        <v>2709</v>
      </c>
      <c r="C4571">
        <v>38249078</v>
      </c>
      <c r="E4571">
        <v>38</v>
      </c>
      <c r="F4571">
        <v>12</v>
      </c>
      <c r="G4571">
        <v>10</v>
      </c>
      <c r="H4571" t="s">
        <v>19447</v>
      </c>
      <c r="I4571" t="s">
        <v>19447</v>
      </c>
      <c r="J4571">
        <v>2</v>
      </c>
      <c r="L4571" t="s">
        <v>2709</v>
      </c>
      <c r="M4571">
        <v>38249078</v>
      </c>
      <c r="O4571" t="s">
        <v>20008</v>
      </c>
      <c r="P4571" t="s">
        <v>19903</v>
      </c>
      <c r="Q4571" t="s">
        <v>19904</v>
      </c>
      <c r="R4571" t="s">
        <v>19447</v>
      </c>
      <c r="S4571" t="s">
        <v>19447</v>
      </c>
      <c r="T4571" t="s">
        <v>19901</v>
      </c>
    </row>
    <row r="4572" spans="2:20" x14ac:dyDescent="0.25">
      <c r="B4572" t="s">
        <v>2709</v>
      </c>
      <c r="C4572">
        <v>38249079</v>
      </c>
      <c r="E4572">
        <v>54.89</v>
      </c>
      <c r="F4572">
        <v>12</v>
      </c>
      <c r="G4572">
        <v>10</v>
      </c>
      <c r="H4572" t="s">
        <v>19447</v>
      </c>
      <c r="I4572" t="s">
        <v>19447</v>
      </c>
      <c r="J4572">
        <v>14</v>
      </c>
      <c r="L4572" t="s">
        <v>2709</v>
      </c>
      <c r="M4572">
        <v>38249079</v>
      </c>
      <c r="O4572" t="s">
        <v>20022</v>
      </c>
      <c r="P4572" t="s">
        <v>19903</v>
      </c>
      <c r="Q4572" t="s">
        <v>19904</v>
      </c>
      <c r="R4572" t="s">
        <v>19447</v>
      </c>
      <c r="S4572" t="s">
        <v>19447</v>
      </c>
      <c r="T4572" t="s">
        <v>19911</v>
      </c>
    </row>
    <row r="4573" spans="2:20" x14ac:dyDescent="0.25">
      <c r="B4573" t="s">
        <v>2709</v>
      </c>
      <c r="C4573">
        <v>38249079</v>
      </c>
      <c r="D4573">
        <v>1</v>
      </c>
      <c r="E4573" t="s">
        <v>19447</v>
      </c>
      <c r="F4573">
        <v>18</v>
      </c>
      <c r="G4573">
        <v>0</v>
      </c>
      <c r="H4573">
        <v>7.6</v>
      </c>
      <c r="I4573">
        <v>1.65</v>
      </c>
      <c r="J4573">
        <v>14</v>
      </c>
      <c r="L4573" t="s">
        <v>2709</v>
      </c>
      <c r="M4573">
        <v>38249079</v>
      </c>
      <c r="N4573">
        <v>1</v>
      </c>
      <c r="O4573" t="s">
        <v>19447</v>
      </c>
      <c r="P4573" t="s">
        <v>19899</v>
      </c>
      <c r="Q4573" t="s">
        <v>19900</v>
      </c>
      <c r="R4573" t="s">
        <v>19905</v>
      </c>
      <c r="S4573" t="s">
        <v>19906</v>
      </c>
      <c r="T4573" t="s">
        <v>19911</v>
      </c>
    </row>
    <row r="4574" spans="2:20" x14ac:dyDescent="0.25">
      <c r="B4574" t="s">
        <v>2709</v>
      </c>
      <c r="C4574">
        <v>38249081</v>
      </c>
      <c r="E4574">
        <v>38</v>
      </c>
      <c r="F4574">
        <v>12</v>
      </c>
      <c r="G4574">
        <v>10</v>
      </c>
      <c r="H4574" t="s">
        <v>19447</v>
      </c>
      <c r="I4574" t="s">
        <v>19447</v>
      </c>
      <c r="J4574">
        <v>14</v>
      </c>
      <c r="L4574" t="s">
        <v>2709</v>
      </c>
      <c r="M4574">
        <v>38249081</v>
      </c>
      <c r="O4574" t="s">
        <v>20008</v>
      </c>
      <c r="P4574" t="s">
        <v>19903</v>
      </c>
      <c r="Q4574" t="s">
        <v>19904</v>
      </c>
      <c r="R4574" t="s">
        <v>19447</v>
      </c>
      <c r="S4574" t="s">
        <v>19447</v>
      </c>
      <c r="T4574" t="s">
        <v>19911</v>
      </c>
    </row>
    <row r="4575" spans="2:20" x14ac:dyDescent="0.25">
      <c r="B4575" t="s">
        <v>2709</v>
      </c>
      <c r="C4575">
        <v>38249082</v>
      </c>
      <c r="E4575">
        <v>38</v>
      </c>
      <c r="F4575">
        <v>12</v>
      </c>
      <c r="G4575">
        <v>10</v>
      </c>
      <c r="H4575" t="s">
        <v>19447</v>
      </c>
      <c r="I4575" t="s">
        <v>19447</v>
      </c>
      <c r="J4575">
        <v>2</v>
      </c>
      <c r="L4575" t="s">
        <v>2709</v>
      </c>
      <c r="M4575">
        <v>38249082</v>
      </c>
      <c r="O4575" t="s">
        <v>20008</v>
      </c>
      <c r="P4575" t="s">
        <v>19903</v>
      </c>
      <c r="Q4575" t="s">
        <v>19904</v>
      </c>
      <c r="R4575" t="s">
        <v>19447</v>
      </c>
      <c r="S4575" t="s">
        <v>19447</v>
      </c>
      <c r="T4575" t="s">
        <v>19901</v>
      </c>
    </row>
    <row r="4576" spans="2:20" x14ac:dyDescent="0.25">
      <c r="B4576" t="s">
        <v>2709</v>
      </c>
      <c r="C4576">
        <v>38249083</v>
      </c>
      <c r="E4576">
        <v>38</v>
      </c>
      <c r="F4576">
        <v>12</v>
      </c>
      <c r="G4576">
        <v>10</v>
      </c>
      <c r="H4576" t="s">
        <v>19447</v>
      </c>
      <c r="I4576" t="s">
        <v>19447</v>
      </c>
      <c r="J4576">
        <v>2</v>
      </c>
      <c r="L4576" t="s">
        <v>2709</v>
      </c>
      <c r="M4576">
        <v>38249083</v>
      </c>
      <c r="O4576" t="s">
        <v>20008</v>
      </c>
      <c r="P4576" t="s">
        <v>19903</v>
      </c>
      <c r="Q4576" t="s">
        <v>19904</v>
      </c>
      <c r="R4576" t="s">
        <v>19447</v>
      </c>
      <c r="S4576" t="s">
        <v>19447</v>
      </c>
      <c r="T4576" t="s">
        <v>19901</v>
      </c>
    </row>
    <row r="4577" spans="2:20" x14ac:dyDescent="0.25">
      <c r="B4577" t="s">
        <v>2709</v>
      </c>
      <c r="C4577">
        <v>38249085</v>
      </c>
      <c r="E4577">
        <v>38</v>
      </c>
      <c r="F4577">
        <v>12</v>
      </c>
      <c r="G4577">
        <v>10</v>
      </c>
      <c r="H4577" t="s">
        <v>19447</v>
      </c>
      <c r="I4577" t="s">
        <v>19447</v>
      </c>
      <c r="J4577">
        <v>14</v>
      </c>
      <c r="L4577" t="s">
        <v>2709</v>
      </c>
      <c r="M4577">
        <v>38249085</v>
      </c>
      <c r="O4577" t="s">
        <v>20008</v>
      </c>
      <c r="P4577" t="s">
        <v>19903</v>
      </c>
      <c r="Q4577" t="s">
        <v>19904</v>
      </c>
      <c r="R4577" t="s">
        <v>19447</v>
      </c>
      <c r="S4577" t="s">
        <v>19447</v>
      </c>
      <c r="T4577" t="s">
        <v>19911</v>
      </c>
    </row>
    <row r="4578" spans="2:20" x14ac:dyDescent="0.25">
      <c r="B4578" t="s">
        <v>2709</v>
      </c>
      <c r="C4578">
        <v>38249086</v>
      </c>
      <c r="E4578">
        <v>38</v>
      </c>
      <c r="F4578">
        <v>12</v>
      </c>
      <c r="G4578">
        <v>10</v>
      </c>
      <c r="H4578" t="s">
        <v>19447</v>
      </c>
      <c r="I4578" t="s">
        <v>19447</v>
      </c>
      <c r="J4578">
        <v>14</v>
      </c>
      <c r="L4578" t="s">
        <v>2709</v>
      </c>
      <c r="M4578">
        <v>38249086</v>
      </c>
      <c r="O4578" t="s">
        <v>20008</v>
      </c>
      <c r="P4578" t="s">
        <v>19903</v>
      </c>
      <c r="Q4578" t="s">
        <v>19904</v>
      </c>
      <c r="R4578" t="s">
        <v>19447</v>
      </c>
      <c r="S4578" t="s">
        <v>19447</v>
      </c>
      <c r="T4578" t="s">
        <v>19911</v>
      </c>
    </row>
    <row r="4579" spans="2:20" x14ac:dyDescent="0.25">
      <c r="B4579" t="s">
        <v>2709</v>
      </c>
      <c r="C4579">
        <v>38249087</v>
      </c>
      <c r="E4579">
        <v>38</v>
      </c>
      <c r="F4579">
        <v>12</v>
      </c>
      <c r="G4579">
        <v>10</v>
      </c>
      <c r="H4579" t="s">
        <v>19447</v>
      </c>
      <c r="I4579" t="s">
        <v>19447</v>
      </c>
      <c r="J4579">
        <v>14</v>
      </c>
      <c r="L4579" t="s">
        <v>2709</v>
      </c>
      <c r="M4579">
        <v>38249087</v>
      </c>
      <c r="O4579" t="s">
        <v>20008</v>
      </c>
      <c r="P4579" t="s">
        <v>19903</v>
      </c>
      <c r="Q4579" t="s">
        <v>19904</v>
      </c>
      <c r="R4579" t="s">
        <v>19447</v>
      </c>
      <c r="S4579" t="s">
        <v>19447</v>
      </c>
      <c r="T4579" t="s">
        <v>19911</v>
      </c>
    </row>
    <row r="4580" spans="2:20" x14ac:dyDescent="0.25">
      <c r="B4580" t="s">
        <v>2709</v>
      </c>
      <c r="C4580">
        <v>38249088</v>
      </c>
      <c r="E4580">
        <v>38</v>
      </c>
      <c r="F4580">
        <v>12</v>
      </c>
      <c r="G4580">
        <v>10</v>
      </c>
      <c r="H4580" t="s">
        <v>19447</v>
      </c>
      <c r="I4580" t="s">
        <v>19447</v>
      </c>
      <c r="J4580">
        <v>14</v>
      </c>
      <c r="L4580" t="s">
        <v>2709</v>
      </c>
      <c r="M4580">
        <v>38249088</v>
      </c>
      <c r="O4580" t="s">
        <v>20008</v>
      </c>
      <c r="P4580" t="s">
        <v>19903</v>
      </c>
      <c r="Q4580" t="s">
        <v>19904</v>
      </c>
      <c r="R4580" t="s">
        <v>19447</v>
      </c>
      <c r="S4580" t="s">
        <v>19447</v>
      </c>
      <c r="T4580" t="s">
        <v>19911</v>
      </c>
    </row>
    <row r="4581" spans="2:20" x14ac:dyDescent="0.25">
      <c r="B4581" t="s">
        <v>2709</v>
      </c>
      <c r="C4581">
        <v>38249089</v>
      </c>
      <c r="E4581">
        <v>38</v>
      </c>
      <c r="F4581">
        <v>12</v>
      </c>
      <c r="G4581">
        <v>10</v>
      </c>
      <c r="H4581" t="s">
        <v>19447</v>
      </c>
      <c r="I4581" t="s">
        <v>19447</v>
      </c>
      <c r="J4581">
        <v>14</v>
      </c>
      <c r="L4581" t="s">
        <v>2709</v>
      </c>
      <c r="M4581">
        <v>38249089</v>
      </c>
      <c r="O4581" t="s">
        <v>20008</v>
      </c>
      <c r="P4581" t="s">
        <v>19903</v>
      </c>
      <c r="Q4581" t="s">
        <v>19904</v>
      </c>
      <c r="R4581" t="s">
        <v>19447</v>
      </c>
      <c r="S4581" t="s">
        <v>19447</v>
      </c>
      <c r="T4581" t="s">
        <v>19911</v>
      </c>
    </row>
    <row r="4582" spans="2:20" x14ac:dyDescent="0.25">
      <c r="B4582" t="s">
        <v>2709</v>
      </c>
      <c r="C4582">
        <v>38251000</v>
      </c>
      <c r="E4582">
        <v>71.78</v>
      </c>
      <c r="F4582">
        <v>12</v>
      </c>
      <c r="G4582">
        <v>0</v>
      </c>
      <c r="H4582">
        <v>7.6</v>
      </c>
      <c r="I4582">
        <v>1.65</v>
      </c>
      <c r="J4582">
        <v>14</v>
      </c>
      <c r="L4582" t="s">
        <v>2709</v>
      </c>
      <c r="M4582">
        <v>38251000</v>
      </c>
      <c r="O4582" t="s">
        <v>20056</v>
      </c>
      <c r="P4582" t="s">
        <v>19903</v>
      </c>
      <c r="Q4582" t="s">
        <v>19900</v>
      </c>
      <c r="R4582" t="s">
        <v>19905</v>
      </c>
      <c r="S4582" t="s">
        <v>19906</v>
      </c>
      <c r="T4582" t="s">
        <v>19911</v>
      </c>
    </row>
    <row r="4583" spans="2:20" x14ac:dyDescent="0.25">
      <c r="B4583" t="s">
        <v>2709</v>
      </c>
      <c r="C4583">
        <v>38252000</v>
      </c>
      <c r="E4583">
        <v>71.78</v>
      </c>
      <c r="F4583">
        <v>12</v>
      </c>
      <c r="G4583">
        <v>0</v>
      </c>
      <c r="H4583">
        <v>7.6</v>
      </c>
      <c r="I4583">
        <v>1.65</v>
      </c>
      <c r="J4583">
        <v>14</v>
      </c>
      <c r="L4583" t="s">
        <v>2709</v>
      </c>
      <c r="M4583">
        <v>38252000</v>
      </c>
      <c r="O4583" t="s">
        <v>20056</v>
      </c>
      <c r="P4583" t="s">
        <v>19903</v>
      </c>
      <c r="Q4583" t="s">
        <v>19900</v>
      </c>
      <c r="R4583" t="s">
        <v>19905</v>
      </c>
      <c r="S4583" t="s">
        <v>19906</v>
      </c>
      <c r="T4583" t="s">
        <v>19911</v>
      </c>
    </row>
    <row r="4584" spans="2:20" x14ac:dyDescent="0.25">
      <c r="B4584" t="s">
        <v>2709</v>
      </c>
      <c r="C4584">
        <v>38253000</v>
      </c>
      <c r="E4584">
        <v>71.78</v>
      </c>
      <c r="F4584">
        <v>12</v>
      </c>
      <c r="G4584">
        <v>0</v>
      </c>
      <c r="H4584">
        <v>7.6</v>
      </c>
      <c r="I4584">
        <v>1.65</v>
      </c>
      <c r="J4584">
        <v>14</v>
      </c>
      <c r="L4584" t="s">
        <v>2709</v>
      </c>
      <c r="M4584">
        <v>38253000</v>
      </c>
      <c r="O4584" t="s">
        <v>20056</v>
      </c>
      <c r="P4584" t="s">
        <v>19903</v>
      </c>
      <c r="Q4584" t="s">
        <v>19900</v>
      </c>
      <c r="R4584" t="s">
        <v>19905</v>
      </c>
      <c r="S4584" t="s">
        <v>19906</v>
      </c>
      <c r="T4584" t="s">
        <v>19911</v>
      </c>
    </row>
    <row r="4585" spans="2:20" x14ac:dyDescent="0.25">
      <c r="B4585" t="s">
        <v>2709</v>
      </c>
      <c r="C4585">
        <v>38254100</v>
      </c>
      <c r="E4585">
        <v>71.78</v>
      </c>
      <c r="F4585">
        <v>12</v>
      </c>
      <c r="G4585">
        <v>0</v>
      </c>
      <c r="H4585">
        <v>7.6</v>
      </c>
      <c r="I4585">
        <v>1.65</v>
      </c>
      <c r="J4585">
        <v>14</v>
      </c>
      <c r="L4585" t="s">
        <v>2709</v>
      </c>
      <c r="M4585">
        <v>38254100</v>
      </c>
      <c r="O4585" t="s">
        <v>20056</v>
      </c>
      <c r="P4585" t="s">
        <v>19903</v>
      </c>
      <c r="Q4585" t="s">
        <v>19900</v>
      </c>
      <c r="R4585" t="s">
        <v>19905</v>
      </c>
      <c r="S4585" t="s">
        <v>19906</v>
      </c>
      <c r="T4585" t="s">
        <v>19911</v>
      </c>
    </row>
    <row r="4586" spans="2:20" x14ac:dyDescent="0.25">
      <c r="B4586" t="s">
        <v>2709</v>
      </c>
      <c r="C4586">
        <v>38254900</v>
      </c>
      <c r="E4586">
        <v>71.78</v>
      </c>
      <c r="F4586">
        <v>12</v>
      </c>
      <c r="G4586">
        <v>0</v>
      </c>
      <c r="H4586">
        <v>7.6</v>
      </c>
      <c r="I4586">
        <v>1.65</v>
      </c>
      <c r="J4586">
        <v>14</v>
      </c>
      <c r="L4586" t="s">
        <v>2709</v>
      </c>
      <c r="M4586">
        <v>38254900</v>
      </c>
      <c r="O4586" t="s">
        <v>20056</v>
      </c>
      <c r="P4586" t="s">
        <v>19903</v>
      </c>
      <c r="Q4586" t="s">
        <v>19900</v>
      </c>
      <c r="R4586" t="s">
        <v>19905</v>
      </c>
      <c r="S4586" t="s">
        <v>19906</v>
      </c>
      <c r="T4586" t="s">
        <v>19911</v>
      </c>
    </row>
    <row r="4587" spans="2:20" x14ac:dyDescent="0.25">
      <c r="B4587" t="s">
        <v>2709</v>
      </c>
      <c r="C4587">
        <v>38255000</v>
      </c>
      <c r="E4587">
        <v>71.78</v>
      </c>
      <c r="F4587">
        <v>12</v>
      </c>
      <c r="G4587">
        <v>0</v>
      </c>
      <c r="H4587">
        <v>7.6</v>
      </c>
      <c r="I4587">
        <v>1.65</v>
      </c>
      <c r="J4587">
        <v>14</v>
      </c>
      <c r="L4587" t="s">
        <v>2709</v>
      </c>
      <c r="M4587">
        <v>38255000</v>
      </c>
      <c r="O4587" t="s">
        <v>20056</v>
      </c>
      <c r="P4587" t="s">
        <v>19903</v>
      </c>
      <c r="Q4587" t="s">
        <v>19900</v>
      </c>
      <c r="R4587" t="s">
        <v>19905</v>
      </c>
      <c r="S4587" t="s">
        <v>19906</v>
      </c>
      <c r="T4587" t="s">
        <v>19911</v>
      </c>
    </row>
    <row r="4588" spans="2:20" x14ac:dyDescent="0.25">
      <c r="B4588" t="s">
        <v>2709</v>
      </c>
      <c r="C4588">
        <v>38256100</v>
      </c>
      <c r="E4588">
        <v>71.78</v>
      </c>
      <c r="F4588">
        <v>12</v>
      </c>
      <c r="G4588">
        <v>0</v>
      </c>
      <c r="H4588">
        <v>7.6</v>
      </c>
      <c r="I4588">
        <v>1.65</v>
      </c>
      <c r="J4588">
        <v>14</v>
      </c>
      <c r="L4588" t="s">
        <v>2709</v>
      </c>
      <c r="M4588">
        <v>38256100</v>
      </c>
      <c r="O4588" t="s">
        <v>20056</v>
      </c>
      <c r="P4588" t="s">
        <v>19903</v>
      </c>
      <c r="Q4588" t="s">
        <v>19900</v>
      </c>
      <c r="R4588" t="s">
        <v>19905</v>
      </c>
      <c r="S4588" t="s">
        <v>19906</v>
      </c>
      <c r="T4588" t="s">
        <v>19911</v>
      </c>
    </row>
    <row r="4589" spans="2:20" x14ac:dyDescent="0.25">
      <c r="B4589" t="s">
        <v>2709</v>
      </c>
      <c r="C4589">
        <v>38256900</v>
      </c>
      <c r="E4589">
        <v>71.78</v>
      </c>
      <c r="F4589">
        <v>12</v>
      </c>
      <c r="G4589">
        <v>0</v>
      </c>
      <c r="H4589">
        <v>7.6</v>
      </c>
      <c r="I4589">
        <v>1.65</v>
      </c>
      <c r="J4589">
        <v>14</v>
      </c>
      <c r="L4589" t="s">
        <v>2709</v>
      </c>
      <c r="M4589">
        <v>38256900</v>
      </c>
      <c r="O4589" t="s">
        <v>20056</v>
      </c>
      <c r="P4589" t="s">
        <v>19903</v>
      </c>
      <c r="Q4589" t="s">
        <v>19900</v>
      </c>
      <c r="R4589" t="s">
        <v>19905</v>
      </c>
      <c r="S4589" t="s">
        <v>19906</v>
      </c>
      <c r="T4589" t="s">
        <v>19911</v>
      </c>
    </row>
    <row r="4590" spans="2:20" x14ac:dyDescent="0.25">
      <c r="B4590" t="s">
        <v>2709</v>
      </c>
      <c r="C4590">
        <v>38259000</v>
      </c>
      <c r="E4590">
        <v>71.78</v>
      </c>
      <c r="F4590">
        <v>12</v>
      </c>
      <c r="G4590">
        <v>0</v>
      </c>
      <c r="H4590">
        <v>7.6</v>
      </c>
      <c r="I4590">
        <v>1.65</v>
      </c>
      <c r="J4590">
        <v>14</v>
      </c>
      <c r="L4590" t="s">
        <v>2709</v>
      </c>
      <c r="M4590">
        <v>38259000</v>
      </c>
      <c r="O4590" t="s">
        <v>20056</v>
      </c>
      <c r="P4590" t="s">
        <v>19903</v>
      </c>
      <c r="Q4590" t="s">
        <v>19900</v>
      </c>
      <c r="R4590" t="s">
        <v>19905</v>
      </c>
      <c r="S4590" t="s">
        <v>19906</v>
      </c>
      <c r="T4590" t="s">
        <v>19911</v>
      </c>
    </row>
    <row r="4591" spans="2:20" x14ac:dyDescent="0.25">
      <c r="B4591" t="s">
        <v>2709</v>
      </c>
      <c r="C4591">
        <v>38260000</v>
      </c>
      <c r="E4591">
        <v>71.78</v>
      </c>
      <c r="F4591">
        <v>12</v>
      </c>
      <c r="G4591">
        <v>10</v>
      </c>
      <c r="H4591">
        <v>28.32</v>
      </c>
      <c r="I4591">
        <v>6.15</v>
      </c>
      <c r="J4591">
        <v>14</v>
      </c>
      <c r="L4591" t="s">
        <v>2709</v>
      </c>
      <c r="M4591">
        <v>38260000</v>
      </c>
      <c r="O4591" t="s">
        <v>20056</v>
      </c>
      <c r="P4591" t="s">
        <v>19903</v>
      </c>
      <c r="Q4591" t="s">
        <v>19904</v>
      </c>
      <c r="R4591" t="s">
        <v>20061</v>
      </c>
      <c r="S4591" t="s">
        <v>20062</v>
      </c>
      <c r="T4591" t="s">
        <v>19911</v>
      </c>
    </row>
    <row r="4592" spans="2:20" x14ac:dyDescent="0.25">
      <c r="B4592" t="s">
        <v>2709</v>
      </c>
      <c r="C4592">
        <v>38260000</v>
      </c>
      <c r="D4592">
        <v>1</v>
      </c>
      <c r="E4592" t="s">
        <v>19447</v>
      </c>
      <c r="F4592">
        <v>18</v>
      </c>
      <c r="G4592">
        <v>0</v>
      </c>
      <c r="H4592">
        <v>7.6</v>
      </c>
      <c r="I4592">
        <v>1.65</v>
      </c>
      <c r="J4592">
        <v>14</v>
      </c>
      <c r="L4592" t="s">
        <v>2709</v>
      </c>
      <c r="M4592">
        <v>38260000</v>
      </c>
      <c r="N4592">
        <v>1</v>
      </c>
      <c r="O4592" t="s">
        <v>19447</v>
      </c>
      <c r="P4592" t="s">
        <v>19899</v>
      </c>
      <c r="Q4592" t="s">
        <v>19900</v>
      </c>
      <c r="R4592" t="s">
        <v>19905</v>
      </c>
      <c r="S4592" t="s">
        <v>19906</v>
      </c>
      <c r="T4592" t="s">
        <v>19911</v>
      </c>
    </row>
    <row r="4593" spans="2:20" x14ac:dyDescent="0.25">
      <c r="B4593" t="s">
        <v>2709</v>
      </c>
      <c r="C4593">
        <v>39011010</v>
      </c>
      <c r="E4593">
        <v>80</v>
      </c>
      <c r="F4593">
        <v>18</v>
      </c>
      <c r="G4593">
        <v>5</v>
      </c>
      <c r="H4593" t="s">
        <v>19447</v>
      </c>
      <c r="I4593" t="s">
        <v>19447</v>
      </c>
      <c r="J4593">
        <v>14</v>
      </c>
      <c r="L4593" t="s">
        <v>2709</v>
      </c>
      <c r="M4593">
        <v>39011010</v>
      </c>
      <c r="O4593" t="s">
        <v>20063</v>
      </c>
      <c r="P4593" t="s">
        <v>19899</v>
      </c>
      <c r="Q4593" t="s">
        <v>19909</v>
      </c>
      <c r="R4593" t="s">
        <v>19447</v>
      </c>
      <c r="S4593" t="s">
        <v>19447</v>
      </c>
      <c r="T4593" t="s">
        <v>19911</v>
      </c>
    </row>
    <row r="4594" spans="2:20" x14ac:dyDescent="0.25">
      <c r="B4594" t="s">
        <v>2709</v>
      </c>
      <c r="C4594">
        <v>39011091</v>
      </c>
      <c r="E4594">
        <v>80</v>
      </c>
      <c r="F4594">
        <v>18</v>
      </c>
      <c r="G4594">
        <v>5</v>
      </c>
      <c r="H4594" t="s">
        <v>19447</v>
      </c>
      <c r="I4594" t="s">
        <v>19447</v>
      </c>
      <c r="J4594">
        <v>14</v>
      </c>
      <c r="L4594" t="s">
        <v>2709</v>
      </c>
      <c r="M4594">
        <v>39011091</v>
      </c>
      <c r="O4594" t="s">
        <v>20063</v>
      </c>
      <c r="P4594" t="s">
        <v>19899</v>
      </c>
      <c r="Q4594" t="s">
        <v>19909</v>
      </c>
      <c r="R4594" t="s">
        <v>19447</v>
      </c>
      <c r="S4594" t="s">
        <v>19447</v>
      </c>
      <c r="T4594" t="s">
        <v>19911</v>
      </c>
    </row>
    <row r="4595" spans="2:20" x14ac:dyDescent="0.25">
      <c r="B4595" t="s">
        <v>2709</v>
      </c>
      <c r="C4595">
        <v>39011092</v>
      </c>
      <c r="E4595">
        <v>80</v>
      </c>
      <c r="F4595">
        <v>18</v>
      </c>
      <c r="G4595">
        <v>5</v>
      </c>
      <c r="H4595" t="s">
        <v>19447</v>
      </c>
      <c r="I4595" t="s">
        <v>19447</v>
      </c>
      <c r="J4595">
        <v>14</v>
      </c>
      <c r="L4595" t="s">
        <v>2709</v>
      </c>
      <c r="M4595">
        <v>39011092</v>
      </c>
      <c r="O4595" t="s">
        <v>20063</v>
      </c>
      <c r="P4595" t="s">
        <v>19899</v>
      </c>
      <c r="Q4595" t="s">
        <v>19909</v>
      </c>
      <c r="R4595" t="s">
        <v>19447</v>
      </c>
      <c r="S4595" t="s">
        <v>19447</v>
      </c>
      <c r="T4595" t="s">
        <v>19911</v>
      </c>
    </row>
    <row r="4596" spans="2:20" x14ac:dyDescent="0.25">
      <c r="B4596" t="s">
        <v>2709</v>
      </c>
      <c r="C4596">
        <v>39012011</v>
      </c>
      <c r="E4596">
        <v>80</v>
      </c>
      <c r="F4596">
        <v>18</v>
      </c>
      <c r="G4596">
        <v>5</v>
      </c>
      <c r="H4596" t="s">
        <v>19447</v>
      </c>
      <c r="I4596" t="s">
        <v>19447</v>
      </c>
      <c r="J4596">
        <v>2</v>
      </c>
      <c r="L4596" t="s">
        <v>2709</v>
      </c>
      <c r="M4596">
        <v>39012011</v>
      </c>
      <c r="O4596" t="s">
        <v>20063</v>
      </c>
      <c r="P4596" t="s">
        <v>19899</v>
      </c>
      <c r="Q4596" t="s">
        <v>19909</v>
      </c>
      <c r="R4596" t="s">
        <v>19447</v>
      </c>
      <c r="S4596" t="s">
        <v>19447</v>
      </c>
      <c r="T4596" t="s">
        <v>19901</v>
      </c>
    </row>
    <row r="4597" spans="2:20" x14ac:dyDescent="0.25">
      <c r="B4597" t="s">
        <v>2709</v>
      </c>
      <c r="C4597">
        <v>39012019</v>
      </c>
      <c r="E4597">
        <v>80</v>
      </c>
      <c r="F4597">
        <v>18</v>
      </c>
      <c r="G4597">
        <v>5</v>
      </c>
      <c r="H4597" t="s">
        <v>19447</v>
      </c>
      <c r="I4597" t="s">
        <v>19447</v>
      </c>
      <c r="J4597">
        <v>14</v>
      </c>
      <c r="L4597" t="s">
        <v>2709</v>
      </c>
      <c r="M4597">
        <v>39012019</v>
      </c>
      <c r="O4597" t="s">
        <v>20063</v>
      </c>
      <c r="P4597" t="s">
        <v>19899</v>
      </c>
      <c r="Q4597" t="s">
        <v>19909</v>
      </c>
      <c r="R4597" t="s">
        <v>19447</v>
      </c>
      <c r="S4597" t="s">
        <v>19447</v>
      </c>
      <c r="T4597" t="s">
        <v>19911</v>
      </c>
    </row>
    <row r="4598" spans="2:20" x14ac:dyDescent="0.25">
      <c r="B4598" t="s">
        <v>2709</v>
      </c>
      <c r="C4598">
        <v>39012021</v>
      </c>
      <c r="E4598">
        <v>80</v>
      </c>
      <c r="F4598">
        <v>18</v>
      </c>
      <c r="G4598">
        <v>5</v>
      </c>
      <c r="H4598" t="s">
        <v>19447</v>
      </c>
      <c r="I4598" t="s">
        <v>19447</v>
      </c>
      <c r="J4598">
        <v>2</v>
      </c>
      <c r="L4598" t="s">
        <v>2709</v>
      </c>
      <c r="M4598">
        <v>39012021</v>
      </c>
      <c r="O4598" t="s">
        <v>20063</v>
      </c>
      <c r="P4598" t="s">
        <v>19899</v>
      </c>
      <c r="Q4598" t="s">
        <v>19909</v>
      </c>
      <c r="R4598" t="s">
        <v>19447</v>
      </c>
      <c r="S4598" t="s">
        <v>19447</v>
      </c>
      <c r="T4598" t="s">
        <v>19901</v>
      </c>
    </row>
    <row r="4599" spans="2:20" x14ac:dyDescent="0.25">
      <c r="B4599" t="s">
        <v>2709</v>
      </c>
      <c r="C4599">
        <v>39012029</v>
      </c>
      <c r="E4599">
        <v>80</v>
      </c>
      <c r="F4599">
        <v>18</v>
      </c>
      <c r="G4599">
        <v>5</v>
      </c>
      <c r="H4599" t="s">
        <v>19447</v>
      </c>
      <c r="I4599" t="s">
        <v>19447</v>
      </c>
      <c r="J4599">
        <v>14</v>
      </c>
      <c r="L4599" t="s">
        <v>2709</v>
      </c>
      <c r="M4599">
        <v>39012029</v>
      </c>
      <c r="O4599" t="s">
        <v>20063</v>
      </c>
      <c r="P4599" t="s">
        <v>19899</v>
      </c>
      <c r="Q4599" t="s">
        <v>19909</v>
      </c>
      <c r="R4599" t="s">
        <v>19447</v>
      </c>
      <c r="S4599" t="s">
        <v>19447</v>
      </c>
      <c r="T4599" t="s">
        <v>19911</v>
      </c>
    </row>
    <row r="4600" spans="2:20" x14ac:dyDescent="0.25">
      <c r="B4600" t="s">
        <v>2709</v>
      </c>
      <c r="C4600">
        <v>39013010</v>
      </c>
      <c r="E4600">
        <v>80</v>
      </c>
      <c r="F4600">
        <v>18</v>
      </c>
      <c r="G4600">
        <v>5</v>
      </c>
      <c r="H4600" t="s">
        <v>19447</v>
      </c>
      <c r="I4600" t="s">
        <v>19447</v>
      </c>
      <c r="J4600">
        <v>14</v>
      </c>
      <c r="L4600" t="s">
        <v>2709</v>
      </c>
      <c r="M4600">
        <v>39013010</v>
      </c>
      <c r="O4600" t="s">
        <v>20063</v>
      </c>
      <c r="P4600" t="s">
        <v>19899</v>
      </c>
      <c r="Q4600" t="s">
        <v>19909</v>
      </c>
      <c r="R4600" t="s">
        <v>19447</v>
      </c>
      <c r="S4600" t="s">
        <v>19447</v>
      </c>
      <c r="T4600" t="s">
        <v>19911</v>
      </c>
    </row>
    <row r="4601" spans="2:20" x14ac:dyDescent="0.25">
      <c r="B4601" t="s">
        <v>2709</v>
      </c>
      <c r="C4601">
        <v>39013090</v>
      </c>
      <c r="E4601">
        <v>80</v>
      </c>
      <c r="F4601">
        <v>18</v>
      </c>
      <c r="G4601">
        <v>5</v>
      </c>
      <c r="H4601" t="s">
        <v>19447</v>
      </c>
      <c r="I4601" t="s">
        <v>19447</v>
      </c>
      <c r="J4601">
        <v>14</v>
      </c>
      <c r="L4601" t="s">
        <v>2709</v>
      </c>
      <c r="M4601">
        <v>39013090</v>
      </c>
      <c r="O4601" t="s">
        <v>20063</v>
      </c>
      <c r="P4601" t="s">
        <v>19899</v>
      </c>
      <c r="Q4601" t="s">
        <v>19909</v>
      </c>
      <c r="R4601" t="s">
        <v>19447</v>
      </c>
      <c r="S4601" t="s">
        <v>19447</v>
      </c>
      <c r="T4601" t="s">
        <v>19911</v>
      </c>
    </row>
    <row r="4602" spans="2:20" x14ac:dyDescent="0.25">
      <c r="B4602" t="s">
        <v>2709</v>
      </c>
      <c r="C4602">
        <v>39019010</v>
      </c>
      <c r="E4602">
        <v>80</v>
      </c>
      <c r="F4602">
        <v>18</v>
      </c>
      <c r="G4602">
        <v>5</v>
      </c>
      <c r="H4602" t="s">
        <v>19447</v>
      </c>
      <c r="I4602" t="s">
        <v>19447</v>
      </c>
      <c r="J4602">
        <v>14</v>
      </c>
      <c r="L4602" t="s">
        <v>2709</v>
      </c>
      <c r="M4602">
        <v>39019010</v>
      </c>
      <c r="O4602" t="s">
        <v>20063</v>
      </c>
      <c r="P4602" t="s">
        <v>19899</v>
      </c>
      <c r="Q4602" t="s">
        <v>19909</v>
      </c>
      <c r="R4602" t="s">
        <v>19447</v>
      </c>
      <c r="S4602" t="s">
        <v>19447</v>
      </c>
      <c r="T4602" t="s">
        <v>19911</v>
      </c>
    </row>
    <row r="4603" spans="2:20" x14ac:dyDescent="0.25">
      <c r="B4603" t="s">
        <v>2709</v>
      </c>
      <c r="C4603">
        <v>39019020</v>
      </c>
      <c r="E4603">
        <v>80</v>
      </c>
      <c r="F4603">
        <v>18</v>
      </c>
      <c r="G4603">
        <v>5</v>
      </c>
      <c r="H4603" t="s">
        <v>19447</v>
      </c>
      <c r="I4603" t="s">
        <v>19447</v>
      </c>
      <c r="J4603">
        <v>14</v>
      </c>
      <c r="L4603" t="s">
        <v>2709</v>
      </c>
      <c r="M4603">
        <v>39019020</v>
      </c>
      <c r="O4603" t="s">
        <v>20063</v>
      </c>
      <c r="P4603" t="s">
        <v>19899</v>
      </c>
      <c r="Q4603" t="s">
        <v>19909</v>
      </c>
      <c r="R4603" t="s">
        <v>19447</v>
      </c>
      <c r="S4603" t="s">
        <v>19447</v>
      </c>
      <c r="T4603" t="s">
        <v>19911</v>
      </c>
    </row>
    <row r="4604" spans="2:20" x14ac:dyDescent="0.25">
      <c r="B4604" t="s">
        <v>2709</v>
      </c>
      <c r="C4604">
        <v>39019030</v>
      </c>
      <c r="E4604">
        <v>80</v>
      </c>
      <c r="F4604">
        <v>18</v>
      </c>
      <c r="G4604">
        <v>5</v>
      </c>
      <c r="H4604" t="s">
        <v>19447</v>
      </c>
      <c r="I4604" t="s">
        <v>19447</v>
      </c>
      <c r="J4604">
        <v>2</v>
      </c>
      <c r="L4604" t="s">
        <v>2709</v>
      </c>
      <c r="M4604">
        <v>39019030</v>
      </c>
      <c r="O4604" t="s">
        <v>20063</v>
      </c>
      <c r="P4604" t="s">
        <v>19899</v>
      </c>
      <c r="Q4604" t="s">
        <v>19909</v>
      </c>
      <c r="R4604" t="s">
        <v>19447</v>
      </c>
      <c r="S4604" t="s">
        <v>19447</v>
      </c>
      <c r="T4604" t="s">
        <v>19901</v>
      </c>
    </row>
    <row r="4605" spans="2:20" x14ac:dyDescent="0.25">
      <c r="B4605" t="s">
        <v>2709</v>
      </c>
      <c r="C4605">
        <v>39019040</v>
      </c>
      <c r="E4605">
        <v>80</v>
      </c>
      <c r="F4605">
        <v>18</v>
      </c>
      <c r="G4605">
        <v>5</v>
      </c>
      <c r="H4605" t="s">
        <v>19447</v>
      </c>
      <c r="I4605" t="s">
        <v>19447</v>
      </c>
      <c r="J4605">
        <v>2</v>
      </c>
      <c r="L4605" t="s">
        <v>2709</v>
      </c>
      <c r="M4605">
        <v>39019040</v>
      </c>
      <c r="O4605" t="s">
        <v>20063</v>
      </c>
      <c r="P4605" t="s">
        <v>19899</v>
      </c>
      <c r="Q4605" t="s">
        <v>19909</v>
      </c>
      <c r="R4605" t="s">
        <v>19447</v>
      </c>
      <c r="S4605" t="s">
        <v>19447</v>
      </c>
      <c r="T4605" t="s">
        <v>19901</v>
      </c>
    </row>
    <row r="4606" spans="2:20" x14ac:dyDescent="0.25">
      <c r="B4606" t="s">
        <v>2709</v>
      </c>
      <c r="C4606">
        <v>39019050</v>
      </c>
      <c r="E4606">
        <v>80</v>
      </c>
      <c r="F4606">
        <v>18</v>
      </c>
      <c r="G4606">
        <v>5</v>
      </c>
      <c r="H4606" t="s">
        <v>19447</v>
      </c>
      <c r="I4606" t="s">
        <v>19447</v>
      </c>
      <c r="J4606">
        <v>2</v>
      </c>
      <c r="L4606" t="s">
        <v>2709</v>
      </c>
      <c r="M4606">
        <v>39019050</v>
      </c>
      <c r="O4606" t="s">
        <v>20063</v>
      </c>
      <c r="P4606" t="s">
        <v>19899</v>
      </c>
      <c r="Q4606" t="s">
        <v>19909</v>
      </c>
      <c r="R4606" t="s">
        <v>19447</v>
      </c>
      <c r="S4606" t="s">
        <v>19447</v>
      </c>
      <c r="T4606" t="s">
        <v>19901</v>
      </c>
    </row>
    <row r="4607" spans="2:20" x14ac:dyDescent="0.25">
      <c r="B4607" t="s">
        <v>2709</v>
      </c>
      <c r="C4607">
        <v>39019090</v>
      </c>
      <c r="E4607">
        <v>80</v>
      </c>
      <c r="F4607">
        <v>18</v>
      </c>
      <c r="G4607">
        <v>5</v>
      </c>
      <c r="H4607" t="s">
        <v>19447</v>
      </c>
      <c r="I4607" t="s">
        <v>19447</v>
      </c>
      <c r="J4607">
        <v>14</v>
      </c>
      <c r="L4607" t="s">
        <v>2709</v>
      </c>
      <c r="M4607">
        <v>39019090</v>
      </c>
      <c r="O4607" t="s">
        <v>20063</v>
      </c>
      <c r="P4607" t="s">
        <v>19899</v>
      </c>
      <c r="Q4607" t="s">
        <v>19909</v>
      </c>
      <c r="R4607" t="s">
        <v>19447</v>
      </c>
      <c r="S4607" t="s">
        <v>19447</v>
      </c>
      <c r="T4607" t="s">
        <v>19911</v>
      </c>
    </row>
    <row r="4608" spans="2:20" x14ac:dyDescent="0.25">
      <c r="B4608" t="s">
        <v>2709</v>
      </c>
      <c r="C4608">
        <v>39021010</v>
      </c>
      <c r="E4608">
        <v>80</v>
      </c>
      <c r="F4608">
        <v>18</v>
      </c>
      <c r="G4608">
        <v>5</v>
      </c>
      <c r="H4608" t="s">
        <v>19447</v>
      </c>
      <c r="I4608" t="s">
        <v>19447</v>
      </c>
      <c r="J4608">
        <v>14</v>
      </c>
      <c r="L4608" t="s">
        <v>2709</v>
      </c>
      <c r="M4608">
        <v>39021010</v>
      </c>
      <c r="O4608" t="s">
        <v>20063</v>
      </c>
      <c r="P4608" t="s">
        <v>19899</v>
      </c>
      <c r="Q4608" t="s">
        <v>19909</v>
      </c>
      <c r="R4608" t="s">
        <v>19447</v>
      </c>
      <c r="S4608" t="s">
        <v>19447</v>
      </c>
      <c r="T4608" t="s">
        <v>19911</v>
      </c>
    </row>
    <row r="4609" spans="2:20" x14ac:dyDescent="0.25">
      <c r="B4609" t="s">
        <v>2709</v>
      </c>
      <c r="C4609">
        <v>39021020</v>
      </c>
      <c r="E4609">
        <v>80</v>
      </c>
      <c r="F4609">
        <v>18</v>
      </c>
      <c r="G4609">
        <v>5</v>
      </c>
      <c r="H4609" t="s">
        <v>19447</v>
      </c>
      <c r="I4609" t="s">
        <v>19447</v>
      </c>
      <c r="J4609">
        <v>14</v>
      </c>
      <c r="L4609" t="s">
        <v>2709</v>
      </c>
      <c r="M4609">
        <v>39021020</v>
      </c>
      <c r="O4609" t="s">
        <v>20063</v>
      </c>
      <c r="P4609" t="s">
        <v>19899</v>
      </c>
      <c r="Q4609" t="s">
        <v>19909</v>
      </c>
      <c r="R4609" t="s">
        <v>19447</v>
      </c>
      <c r="S4609" t="s">
        <v>19447</v>
      </c>
      <c r="T4609" t="s">
        <v>19911</v>
      </c>
    </row>
    <row r="4610" spans="2:20" x14ac:dyDescent="0.25">
      <c r="B4610" t="s">
        <v>2709</v>
      </c>
      <c r="C4610">
        <v>39022000</v>
      </c>
      <c r="E4610">
        <v>80</v>
      </c>
      <c r="F4610">
        <v>18</v>
      </c>
      <c r="G4610">
        <v>5</v>
      </c>
      <c r="H4610" t="s">
        <v>19447</v>
      </c>
      <c r="I4610" t="s">
        <v>19447</v>
      </c>
      <c r="J4610">
        <v>14</v>
      </c>
      <c r="L4610" t="s">
        <v>2709</v>
      </c>
      <c r="M4610">
        <v>39022000</v>
      </c>
      <c r="O4610" t="s">
        <v>20063</v>
      </c>
      <c r="P4610" t="s">
        <v>19899</v>
      </c>
      <c r="Q4610" t="s">
        <v>19909</v>
      </c>
      <c r="R4610" t="s">
        <v>19447</v>
      </c>
      <c r="S4610" t="s">
        <v>19447</v>
      </c>
      <c r="T4610" t="s">
        <v>19911</v>
      </c>
    </row>
    <row r="4611" spans="2:20" x14ac:dyDescent="0.25">
      <c r="B4611" t="s">
        <v>2709</v>
      </c>
      <c r="C4611">
        <v>39023000</v>
      </c>
      <c r="E4611">
        <v>80</v>
      </c>
      <c r="F4611">
        <v>18</v>
      </c>
      <c r="G4611">
        <v>5</v>
      </c>
      <c r="H4611" t="s">
        <v>19447</v>
      </c>
      <c r="I4611" t="s">
        <v>19447</v>
      </c>
      <c r="J4611">
        <v>14</v>
      </c>
      <c r="L4611" t="s">
        <v>2709</v>
      </c>
      <c r="M4611">
        <v>39023000</v>
      </c>
      <c r="O4611" t="s">
        <v>20063</v>
      </c>
      <c r="P4611" t="s">
        <v>19899</v>
      </c>
      <c r="Q4611" t="s">
        <v>19909</v>
      </c>
      <c r="R4611" t="s">
        <v>19447</v>
      </c>
      <c r="S4611" t="s">
        <v>19447</v>
      </c>
      <c r="T4611" t="s">
        <v>19911</v>
      </c>
    </row>
    <row r="4612" spans="2:20" x14ac:dyDescent="0.25">
      <c r="B4612" t="s">
        <v>2709</v>
      </c>
      <c r="C4612">
        <v>39029000</v>
      </c>
      <c r="E4612">
        <v>80</v>
      </c>
      <c r="F4612">
        <v>18</v>
      </c>
      <c r="G4612">
        <v>5</v>
      </c>
      <c r="H4612" t="s">
        <v>19447</v>
      </c>
      <c r="I4612" t="s">
        <v>19447</v>
      </c>
      <c r="J4612">
        <v>14</v>
      </c>
      <c r="L4612" t="s">
        <v>2709</v>
      </c>
      <c r="M4612">
        <v>39029000</v>
      </c>
      <c r="O4612" t="s">
        <v>20063</v>
      </c>
      <c r="P4612" t="s">
        <v>19899</v>
      </c>
      <c r="Q4612" t="s">
        <v>19909</v>
      </c>
      <c r="R4612" t="s">
        <v>19447</v>
      </c>
      <c r="S4612" t="s">
        <v>19447</v>
      </c>
      <c r="T4612" t="s">
        <v>19911</v>
      </c>
    </row>
    <row r="4613" spans="2:20" x14ac:dyDescent="0.25">
      <c r="B4613" t="s">
        <v>2709</v>
      </c>
      <c r="C4613">
        <v>39031110</v>
      </c>
      <c r="E4613">
        <v>80</v>
      </c>
      <c r="F4613">
        <v>18</v>
      </c>
      <c r="G4613">
        <v>5</v>
      </c>
      <c r="H4613" t="s">
        <v>19447</v>
      </c>
      <c r="I4613" t="s">
        <v>19447</v>
      </c>
      <c r="J4613">
        <v>14</v>
      </c>
      <c r="L4613" t="s">
        <v>2709</v>
      </c>
      <c r="M4613">
        <v>39031110</v>
      </c>
      <c r="O4613" t="s">
        <v>20063</v>
      </c>
      <c r="P4613" t="s">
        <v>19899</v>
      </c>
      <c r="Q4613" t="s">
        <v>19909</v>
      </c>
      <c r="R4613" t="s">
        <v>19447</v>
      </c>
      <c r="S4613" t="s">
        <v>19447</v>
      </c>
      <c r="T4613" t="s">
        <v>19911</v>
      </c>
    </row>
    <row r="4614" spans="2:20" x14ac:dyDescent="0.25">
      <c r="B4614" t="s">
        <v>2709</v>
      </c>
      <c r="C4614">
        <v>39031120</v>
      </c>
      <c r="E4614">
        <v>80</v>
      </c>
      <c r="F4614">
        <v>18</v>
      </c>
      <c r="G4614">
        <v>5</v>
      </c>
      <c r="H4614" t="s">
        <v>19447</v>
      </c>
      <c r="I4614" t="s">
        <v>19447</v>
      </c>
      <c r="J4614">
        <v>14</v>
      </c>
      <c r="L4614" t="s">
        <v>2709</v>
      </c>
      <c r="M4614">
        <v>39031120</v>
      </c>
      <c r="O4614" t="s">
        <v>20063</v>
      </c>
      <c r="P4614" t="s">
        <v>19899</v>
      </c>
      <c r="Q4614" t="s">
        <v>19909</v>
      </c>
      <c r="R4614" t="s">
        <v>19447</v>
      </c>
      <c r="S4614" t="s">
        <v>19447</v>
      </c>
      <c r="T4614" t="s">
        <v>19911</v>
      </c>
    </row>
    <row r="4615" spans="2:20" x14ac:dyDescent="0.25">
      <c r="B4615" t="s">
        <v>2709</v>
      </c>
      <c r="C4615">
        <v>39031900</v>
      </c>
      <c r="E4615">
        <v>80</v>
      </c>
      <c r="F4615">
        <v>18</v>
      </c>
      <c r="G4615">
        <v>5</v>
      </c>
      <c r="H4615" t="s">
        <v>19447</v>
      </c>
      <c r="I4615" t="s">
        <v>19447</v>
      </c>
      <c r="J4615">
        <v>14</v>
      </c>
      <c r="L4615" t="s">
        <v>2709</v>
      </c>
      <c r="M4615">
        <v>39031900</v>
      </c>
      <c r="O4615" t="s">
        <v>20063</v>
      </c>
      <c r="P4615" t="s">
        <v>19899</v>
      </c>
      <c r="Q4615" t="s">
        <v>19909</v>
      </c>
      <c r="R4615" t="s">
        <v>19447</v>
      </c>
      <c r="S4615" t="s">
        <v>19447</v>
      </c>
      <c r="T4615" t="s">
        <v>19911</v>
      </c>
    </row>
    <row r="4616" spans="2:20" x14ac:dyDescent="0.25">
      <c r="B4616" t="s">
        <v>2709</v>
      </c>
      <c r="C4616">
        <v>39032000</v>
      </c>
      <c r="E4616">
        <v>80</v>
      </c>
      <c r="F4616">
        <v>18</v>
      </c>
      <c r="G4616">
        <v>5</v>
      </c>
      <c r="H4616" t="s">
        <v>19447</v>
      </c>
      <c r="I4616" t="s">
        <v>19447</v>
      </c>
      <c r="J4616">
        <v>2</v>
      </c>
      <c r="L4616" t="s">
        <v>2709</v>
      </c>
      <c r="M4616">
        <v>39032000</v>
      </c>
      <c r="O4616" t="s">
        <v>20063</v>
      </c>
      <c r="P4616" t="s">
        <v>19899</v>
      </c>
      <c r="Q4616" t="s">
        <v>19909</v>
      </c>
      <c r="R4616" t="s">
        <v>19447</v>
      </c>
      <c r="S4616" t="s">
        <v>19447</v>
      </c>
      <c r="T4616" t="s">
        <v>19901</v>
      </c>
    </row>
    <row r="4617" spans="2:20" x14ac:dyDescent="0.25">
      <c r="B4617" t="s">
        <v>2709</v>
      </c>
      <c r="C4617">
        <v>39033010</v>
      </c>
      <c r="E4617">
        <v>80</v>
      </c>
      <c r="F4617">
        <v>18</v>
      </c>
      <c r="G4617">
        <v>5</v>
      </c>
      <c r="H4617" t="s">
        <v>19447</v>
      </c>
      <c r="I4617" t="s">
        <v>19447</v>
      </c>
      <c r="J4617">
        <v>14</v>
      </c>
      <c r="L4617" t="s">
        <v>2709</v>
      </c>
      <c r="M4617">
        <v>39033010</v>
      </c>
      <c r="O4617" t="s">
        <v>20063</v>
      </c>
      <c r="P4617" t="s">
        <v>19899</v>
      </c>
      <c r="Q4617" t="s">
        <v>19909</v>
      </c>
      <c r="R4617" t="s">
        <v>19447</v>
      </c>
      <c r="S4617" t="s">
        <v>19447</v>
      </c>
      <c r="T4617" t="s">
        <v>19911</v>
      </c>
    </row>
    <row r="4618" spans="2:20" x14ac:dyDescent="0.25">
      <c r="B4618" t="s">
        <v>2709</v>
      </c>
      <c r="C4618">
        <v>39033020</v>
      </c>
      <c r="E4618">
        <v>80</v>
      </c>
      <c r="F4618">
        <v>18</v>
      </c>
      <c r="G4618">
        <v>5</v>
      </c>
      <c r="H4618" t="s">
        <v>19447</v>
      </c>
      <c r="I4618" t="s">
        <v>19447</v>
      </c>
      <c r="J4618">
        <v>2</v>
      </c>
      <c r="L4618" t="s">
        <v>2709</v>
      </c>
      <c r="M4618">
        <v>39033020</v>
      </c>
      <c r="O4618" t="s">
        <v>20063</v>
      </c>
      <c r="P4618" t="s">
        <v>19899</v>
      </c>
      <c r="Q4618" t="s">
        <v>19909</v>
      </c>
      <c r="R4618" t="s">
        <v>19447</v>
      </c>
      <c r="S4618" t="s">
        <v>19447</v>
      </c>
      <c r="T4618" t="s">
        <v>19901</v>
      </c>
    </row>
    <row r="4619" spans="2:20" x14ac:dyDescent="0.25">
      <c r="B4619" t="s">
        <v>2709</v>
      </c>
      <c r="C4619">
        <v>39039010</v>
      </c>
      <c r="E4619">
        <v>80</v>
      </c>
      <c r="F4619">
        <v>18</v>
      </c>
      <c r="G4619">
        <v>5</v>
      </c>
      <c r="H4619" t="s">
        <v>19447</v>
      </c>
      <c r="I4619" t="s">
        <v>19447</v>
      </c>
      <c r="J4619">
        <v>14</v>
      </c>
      <c r="L4619" t="s">
        <v>2709</v>
      </c>
      <c r="M4619">
        <v>39039010</v>
      </c>
      <c r="O4619" t="s">
        <v>20063</v>
      </c>
      <c r="P4619" t="s">
        <v>19899</v>
      </c>
      <c r="Q4619" t="s">
        <v>19909</v>
      </c>
      <c r="R4619" t="s">
        <v>19447</v>
      </c>
      <c r="S4619" t="s">
        <v>19447</v>
      </c>
      <c r="T4619" t="s">
        <v>19911</v>
      </c>
    </row>
    <row r="4620" spans="2:20" x14ac:dyDescent="0.25">
      <c r="B4620" t="s">
        <v>2709</v>
      </c>
      <c r="C4620">
        <v>39039020</v>
      </c>
      <c r="E4620">
        <v>80</v>
      </c>
      <c r="F4620">
        <v>18</v>
      </c>
      <c r="G4620">
        <v>5</v>
      </c>
      <c r="H4620" t="s">
        <v>19447</v>
      </c>
      <c r="I4620" t="s">
        <v>19447</v>
      </c>
      <c r="J4620">
        <v>2</v>
      </c>
      <c r="L4620" t="s">
        <v>2709</v>
      </c>
      <c r="M4620">
        <v>39039020</v>
      </c>
      <c r="O4620" t="s">
        <v>20063</v>
      </c>
      <c r="P4620" t="s">
        <v>19899</v>
      </c>
      <c r="Q4620" t="s">
        <v>19909</v>
      </c>
      <c r="R4620" t="s">
        <v>19447</v>
      </c>
      <c r="S4620" t="s">
        <v>19447</v>
      </c>
      <c r="T4620" t="s">
        <v>19901</v>
      </c>
    </row>
    <row r="4621" spans="2:20" x14ac:dyDescent="0.25">
      <c r="B4621" t="s">
        <v>2709</v>
      </c>
      <c r="C4621">
        <v>39039090</v>
      </c>
      <c r="E4621">
        <v>80</v>
      </c>
      <c r="F4621">
        <v>18</v>
      </c>
      <c r="G4621">
        <v>5</v>
      </c>
      <c r="H4621" t="s">
        <v>19447</v>
      </c>
      <c r="I4621" t="s">
        <v>19447</v>
      </c>
      <c r="J4621">
        <v>14</v>
      </c>
      <c r="L4621" t="s">
        <v>2709</v>
      </c>
      <c r="M4621">
        <v>39039090</v>
      </c>
      <c r="O4621" t="s">
        <v>20063</v>
      </c>
      <c r="P4621" t="s">
        <v>19899</v>
      </c>
      <c r="Q4621" t="s">
        <v>19909</v>
      </c>
      <c r="R4621" t="s">
        <v>19447</v>
      </c>
      <c r="S4621" t="s">
        <v>19447</v>
      </c>
      <c r="T4621" t="s">
        <v>19911</v>
      </c>
    </row>
    <row r="4622" spans="2:20" x14ac:dyDescent="0.25">
      <c r="B4622" t="s">
        <v>2709</v>
      </c>
      <c r="C4622">
        <v>39041010</v>
      </c>
      <c r="E4622">
        <v>80</v>
      </c>
      <c r="F4622">
        <v>18</v>
      </c>
      <c r="G4622">
        <v>5</v>
      </c>
      <c r="H4622" t="s">
        <v>19447</v>
      </c>
      <c r="I4622" t="s">
        <v>19447</v>
      </c>
      <c r="J4622">
        <v>14</v>
      </c>
      <c r="L4622" t="s">
        <v>2709</v>
      </c>
      <c r="M4622">
        <v>39041010</v>
      </c>
      <c r="O4622" t="s">
        <v>20063</v>
      </c>
      <c r="P4622" t="s">
        <v>19899</v>
      </c>
      <c r="Q4622" t="s">
        <v>19909</v>
      </c>
      <c r="R4622" t="s">
        <v>19447</v>
      </c>
      <c r="S4622" t="s">
        <v>19447</v>
      </c>
      <c r="T4622" t="s">
        <v>19911</v>
      </c>
    </row>
    <row r="4623" spans="2:20" x14ac:dyDescent="0.25">
      <c r="B4623" t="s">
        <v>2709</v>
      </c>
      <c r="C4623">
        <v>39041020</v>
      </c>
      <c r="E4623">
        <v>80</v>
      </c>
      <c r="F4623">
        <v>18</v>
      </c>
      <c r="G4623">
        <v>5</v>
      </c>
      <c r="H4623" t="s">
        <v>19447</v>
      </c>
      <c r="I4623" t="s">
        <v>19447</v>
      </c>
      <c r="J4623">
        <v>14</v>
      </c>
      <c r="L4623" t="s">
        <v>2709</v>
      </c>
      <c r="M4623">
        <v>39041020</v>
      </c>
      <c r="O4623" t="s">
        <v>20063</v>
      </c>
      <c r="P4623" t="s">
        <v>19899</v>
      </c>
      <c r="Q4623" t="s">
        <v>19909</v>
      </c>
      <c r="R4623" t="s">
        <v>19447</v>
      </c>
      <c r="S4623" t="s">
        <v>19447</v>
      </c>
      <c r="T4623" t="s">
        <v>19911</v>
      </c>
    </row>
    <row r="4624" spans="2:20" x14ac:dyDescent="0.25">
      <c r="B4624" t="s">
        <v>2709</v>
      </c>
      <c r="C4624">
        <v>39041090</v>
      </c>
      <c r="E4624">
        <v>80</v>
      </c>
      <c r="F4624">
        <v>18</v>
      </c>
      <c r="G4624">
        <v>5</v>
      </c>
      <c r="H4624" t="s">
        <v>19447</v>
      </c>
      <c r="I4624" t="s">
        <v>19447</v>
      </c>
      <c r="J4624">
        <v>14</v>
      </c>
      <c r="L4624" t="s">
        <v>2709</v>
      </c>
      <c r="M4624">
        <v>39041090</v>
      </c>
      <c r="O4624" t="s">
        <v>20063</v>
      </c>
      <c r="P4624" t="s">
        <v>19899</v>
      </c>
      <c r="Q4624" t="s">
        <v>19909</v>
      </c>
      <c r="R4624" t="s">
        <v>19447</v>
      </c>
      <c r="S4624" t="s">
        <v>19447</v>
      </c>
      <c r="T4624" t="s">
        <v>19911</v>
      </c>
    </row>
    <row r="4625" spans="2:20" x14ac:dyDescent="0.25">
      <c r="B4625" t="s">
        <v>2709</v>
      </c>
      <c r="C4625">
        <v>39042100</v>
      </c>
      <c r="E4625">
        <v>80</v>
      </c>
      <c r="F4625">
        <v>18</v>
      </c>
      <c r="G4625">
        <v>5</v>
      </c>
      <c r="H4625" t="s">
        <v>19447</v>
      </c>
      <c r="I4625" t="s">
        <v>19447</v>
      </c>
      <c r="J4625">
        <v>14</v>
      </c>
      <c r="L4625" t="s">
        <v>2709</v>
      </c>
      <c r="M4625">
        <v>39042100</v>
      </c>
      <c r="O4625" t="s">
        <v>20063</v>
      </c>
      <c r="P4625" t="s">
        <v>19899</v>
      </c>
      <c r="Q4625" t="s">
        <v>19909</v>
      </c>
      <c r="R4625" t="s">
        <v>19447</v>
      </c>
      <c r="S4625" t="s">
        <v>19447</v>
      </c>
      <c r="T4625" t="s">
        <v>19911</v>
      </c>
    </row>
    <row r="4626" spans="2:20" x14ac:dyDescent="0.25">
      <c r="B4626" t="s">
        <v>2709</v>
      </c>
      <c r="C4626">
        <v>39042200</v>
      </c>
      <c r="E4626">
        <v>80</v>
      </c>
      <c r="F4626">
        <v>18</v>
      </c>
      <c r="G4626">
        <v>5</v>
      </c>
      <c r="H4626" t="s">
        <v>19447</v>
      </c>
      <c r="I4626" t="s">
        <v>19447</v>
      </c>
      <c r="J4626">
        <v>14</v>
      </c>
      <c r="L4626" t="s">
        <v>2709</v>
      </c>
      <c r="M4626">
        <v>39042200</v>
      </c>
      <c r="O4626" t="s">
        <v>20063</v>
      </c>
      <c r="P4626" t="s">
        <v>19899</v>
      </c>
      <c r="Q4626" t="s">
        <v>19909</v>
      </c>
      <c r="R4626" t="s">
        <v>19447</v>
      </c>
      <c r="S4626" t="s">
        <v>19447</v>
      </c>
      <c r="T4626" t="s">
        <v>19911</v>
      </c>
    </row>
    <row r="4627" spans="2:20" x14ac:dyDescent="0.25">
      <c r="B4627" t="s">
        <v>2709</v>
      </c>
      <c r="C4627">
        <v>39043000</v>
      </c>
      <c r="E4627">
        <v>80</v>
      </c>
      <c r="F4627">
        <v>18</v>
      </c>
      <c r="G4627">
        <v>5</v>
      </c>
      <c r="H4627" t="s">
        <v>19447</v>
      </c>
      <c r="I4627" t="s">
        <v>19447</v>
      </c>
      <c r="J4627">
        <v>2</v>
      </c>
      <c r="L4627" t="s">
        <v>2709</v>
      </c>
      <c r="M4627">
        <v>39043000</v>
      </c>
      <c r="O4627" t="s">
        <v>20063</v>
      </c>
      <c r="P4627" t="s">
        <v>19899</v>
      </c>
      <c r="Q4627" t="s">
        <v>19909</v>
      </c>
      <c r="R4627" t="s">
        <v>19447</v>
      </c>
      <c r="S4627" t="s">
        <v>19447</v>
      </c>
      <c r="T4627" t="s">
        <v>19901</v>
      </c>
    </row>
    <row r="4628" spans="2:20" x14ac:dyDescent="0.25">
      <c r="B4628" t="s">
        <v>2709</v>
      </c>
      <c r="C4628">
        <v>39044010</v>
      </c>
      <c r="E4628">
        <v>80</v>
      </c>
      <c r="F4628">
        <v>18</v>
      </c>
      <c r="G4628">
        <v>5</v>
      </c>
      <c r="H4628" t="s">
        <v>19447</v>
      </c>
      <c r="I4628" t="s">
        <v>19447</v>
      </c>
      <c r="J4628">
        <v>14</v>
      </c>
      <c r="L4628" t="s">
        <v>2709</v>
      </c>
      <c r="M4628">
        <v>39044010</v>
      </c>
      <c r="O4628" t="s">
        <v>20063</v>
      </c>
      <c r="P4628" t="s">
        <v>19899</v>
      </c>
      <c r="Q4628" t="s">
        <v>19909</v>
      </c>
      <c r="R4628" t="s">
        <v>19447</v>
      </c>
      <c r="S4628" t="s">
        <v>19447</v>
      </c>
      <c r="T4628" t="s">
        <v>19911</v>
      </c>
    </row>
    <row r="4629" spans="2:20" x14ac:dyDescent="0.25">
      <c r="B4629" t="s">
        <v>2709</v>
      </c>
      <c r="C4629">
        <v>39044090</v>
      </c>
      <c r="E4629">
        <v>80</v>
      </c>
      <c r="F4629">
        <v>18</v>
      </c>
      <c r="G4629">
        <v>5</v>
      </c>
      <c r="H4629" t="s">
        <v>19447</v>
      </c>
      <c r="I4629" t="s">
        <v>19447</v>
      </c>
      <c r="J4629">
        <v>14</v>
      </c>
      <c r="L4629" t="s">
        <v>2709</v>
      </c>
      <c r="M4629">
        <v>39044090</v>
      </c>
      <c r="O4629" t="s">
        <v>20063</v>
      </c>
      <c r="P4629" t="s">
        <v>19899</v>
      </c>
      <c r="Q4629" t="s">
        <v>19909</v>
      </c>
      <c r="R4629" t="s">
        <v>19447</v>
      </c>
      <c r="S4629" t="s">
        <v>19447</v>
      </c>
      <c r="T4629" t="s">
        <v>19911</v>
      </c>
    </row>
    <row r="4630" spans="2:20" x14ac:dyDescent="0.25">
      <c r="B4630" t="s">
        <v>2709</v>
      </c>
      <c r="C4630">
        <v>39045010</v>
      </c>
      <c r="E4630">
        <v>80</v>
      </c>
      <c r="F4630">
        <v>18</v>
      </c>
      <c r="G4630">
        <v>5</v>
      </c>
      <c r="H4630" t="s">
        <v>19447</v>
      </c>
      <c r="I4630" t="s">
        <v>19447</v>
      </c>
      <c r="J4630">
        <v>2</v>
      </c>
      <c r="L4630" t="s">
        <v>2709</v>
      </c>
      <c r="M4630">
        <v>39045010</v>
      </c>
      <c r="O4630" t="s">
        <v>20063</v>
      </c>
      <c r="P4630" t="s">
        <v>19899</v>
      </c>
      <c r="Q4630" t="s">
        <v>19909</v>
      </c>
      <c r="R4630" t="s">
        <v>19447</v>
      </c>
      <c r="S4630" t="s">
        <v>19447</v>
      </c>
      <c r="T4630" t="s">
        <v>19901</v>
      </c>
    </row>
    <row r="4631" spans="2:20" x14ac:dyDescent="0.25">
      <c r="B4631" t="s">
        <v>2709</v>
      </c>
      <c r="C4631">
        <v>39045090</v>
      </c>
      <c r="E4631">
        <v>80</v>
      </c>
      <c r="F4631">
        <v>18</v>
      </c>
      <c r="G4631">
        <v>5</v>
      </c>
      <c r="H4631" t="s">
        <v>19447</v>
      </c>
      <c r="I4631" t="s">
        <v>19447</v>
      </c>
      <c r="J4631">
        <v>2</v>
      </c>
      <c r="L4631" t="s">
        <v>2709</v>
      </c>
      <c r="M4631">
        <v>39045090</v>
      </c>
      <c r="O4631" t="s">
        <v>20063</v>
      </c>
      <c r="P4631" t="s">
        <v>19899</v>
      </c>
      <c r="Q4631" t="s">
        <v>19909</v>
      </c>
      <c r="R4631" t="s">
        <v>19447</v>
      </c>
      <c r="S4631" t="s">
        <v>19447</v>
      </c>
      <c r="T4631" t="s">
        <v>19901</v>
      </c>
    </row>
    <row r="4632" spans="2:20" x14ac:dyDescent="0.25">
      <c r="B4632" t="s">
        <v>2709</v>
      </c>
      <c r="C4632">
        <v>39046110</v>
      </c>
      <c r="E4632">
        <v>80</v>
      </c>
      <c r="F4632">
        <v>18</v>
      </c>
      <c r="G4632">
        <v>5</v>
      </c>
      <c r="H4632" t="s">
        <v>19447</v>
      </c>
      <c r="I4632" t="s">
        <v>19447</v>
      </c>
      <c r="J4632">
        <v>2</v>
      </c>
      <c r="L4632" t="s">
        <v>2709</v>
      </c>
      <c r="M4632">
        <v>39046110</v>
      </c>
      <c r="O4632" t="s">
        <v>20063</v>
      </c>
      <c r="P4632" t="s">
        <v>19899</v>
      </c>
      <c r="Q4632" t="s">
        <v>19909</v>
      </c>
      <c r="R4632" t="s">
        <v>19447</v>
      </c>
      <c r="S4632" t="s">
        <v>19447</v>
      </c>
      <c r="T4632" t="s">
        <v>19901</v>
      </c>
    </row>
    <row r="4633" spans="2:20" x14ac:dyDescent="0.25">
      <c r="B4633" t="s">
        <v>2709</v>
      </c>
      <c r="C4633">
        <v>39046190</v>
      </c>
      <c r="E4633">
        <v>80</v>
      </c>
      <c r="F4633">
        <v>18</v>
      </c>
      <c r="G4633">
        <v>5</v>
      </c>
      <c r="H4633" t="s">
        <v>19447</v>
      </c>
      <c r="I4633" t="s">
        <v>19447</v>
      </c>
      <c r="J4633">
        <v>2</v>
      </c>
      <c r="L4633" t="s">
        <v>2709</v>
      </c>
      <c r="M4633">
        <v>39046190</v>
      </c>
      <c r="O4633" t="s">
        <v>20063</v>
      </c>
      <c r="P4633" t="s">
        <v>19899</v>
      </c>
      <c r="Q4633" t="s">
        <v>19909</v>
      </c>
      <c r="R4633" t="s">
        <v>19447</v>
      </c>
      <c r="S4633" t="s">
        <v>19447</v>
      </c>
      <c r="T4633" t="s">
        <v>19901</v>
      </c>
    </row>
    <row r="4634" spans="2:20" x14ac:dyDescent="0.25">
      <c r="B4634" t="s">
        <v>2709</v>
      </c>
      <c r="C4634">
        <v>39046910</v>
      </c>
      <c r="E4634">
        <v>80</v>
      </c>
      <c r="F4634">
        <v>18</v>
      </c>
      <c r="G4634">
        <v>5</v>
      </c>
      <c r="H4634" t="s">
        <v>19447</v>
      </c>
      <c r="I4634" t="s">
        <v>19447</v>
      </c>
      <c r="J4634">
        <v>2</v>
      </c>
      <c r="L4634" t="s">
        <v>2709</v>
      </c>
      <c r="M4634">
        <v>39046910</v>
      </c>
      <c r="O4634" t="s">
        <v>20063</v>
      </c>
      <c r="P4634" t="s">
        <v>19899</v>
      </c>
      <c r="Q4634" t="s">
        <v>19909</v>
      </c>
      <c r="R4634" t="s">
        <v>19447</v>
      </c>
      <c r="S4634" t="s">
        <v>19447</v>
      </c>
      <c r="T4634" t="s">
        <v>19901</v>
      </c>
    </row>
    <row r="4635" spans="2:20" x14ac:dyDescent="0.25">
      <c r="B4635" t="s">
        <v>2709</v>
      </c>
      <c r="C4635">
        <v>39046990</v>
      </c>
      <c r="E4635">
        <v>80</v>
      </c>
      <c r="F4635">
        <v>18</v>
      </c>
      <c r="G4635">
        <v>5</v>
      </c>
      <c r="H4635" t="s">
        <v>19447</v>
      </c>
      <c r="I4635" t="s">
        <v>19447</v>
      </c>
      <c r="J4635">
        <v>2</v>
      </c>
      <c r="L4635" t="s">
        <v>2709</v>
      </c>
      <c r="M4635">
        <v>39046990</v>
      </c>
      <c r="O4635" t="s">
        <v>20063</v>
      </c>
      <c r="P4635" t="s">
        <v>19899</v>
      </c>
      <c r="Q4635" t="s">
        <v>19909</v>
      </c>
      <c r="R4635" t="s">
        <v>19447</v>
      </c>
      <c r="S4635" t="s">
        <v>19447</v>
      </c>
      <c r="T4635" t="s">
        <v>19901</v>
      </c>
    </row>
    <row r="4636" spans="2:20" x14ac:dyDescent="0.25">
      <c r="B4636" t="s">
        <v>2709</v>
      </c>
      <c r="C4636">
        <v>39049000</v>
      </c>
      <c r="E4636">
        <v>80</v>
      </c>
      <c r="F4636">
        <v>18</v>
      </c>
      <c r="G4636">
        <v>5</v>
      </c>
      <c r="H4636" t="s">
        <v>19447</v>
      </c>
      <c r="I4636" t="s">
        <v>19447</v>
      </c>
      <c r="J4636">
        <v>14</v>
      </c>
      <c r="L4636" t="s">
        <v>2709</v>
      </c>
      <c r="M4636">
        <v>39049000</v>
      </c>
      <c r="O4636" t="s">
        <v>20063</v>
      </c>
      <c r="P4636" t="s">
        <v>19899</v>
      </c>
      <c r="Q4636" t="s">
        <v>19909</v>
      </c>
      <c r="R4636" t="s">
        <v>19447</v>
      </c>
      <c r="S4636" t="s">
        <v>19447</v>
      </c>
      <c r="T4636" t="s">
        <v>19911</v>
      </c>
    </row>
    <row r="4637" spans="2:20" x14ac:dyDescent="0.25">
      <c r="B4637" t="s">
        <v>2709</v>
      </c>
      <c r="C4637">
        <v>39051200</v>
      </c>
      <c r="E4637">
        <v>68.040000000000006</v>
      </c>
      <c r="F4637">
        <v>18</v>
      </c>
      <c r="G4637">
        <v>5</v>
      </c>
      <c r="H4637" t="s">
        <v>19447</v>
      </c>
      <c r="I4637" t="s">
        <v>19447</v>
      </c>
      <c r="J4637">
        <v>14</v>
      </c>
      <c r="L4637" t="s">
        <v>2709</v>
      </c>
      <c r="M4637">
        <v>39051200</v>
      </c>
      <c r="O4637" t="s">
        <v>20053</v>
      </c>
      <c r="P4637" t="s">
        <v>19899</v>
      </c>
      <c r="Q4637" t="s">
        <v>19909</v>
      </c>
      <c r="R4637" t="s">
        <v>19447</v>
      </c>
      <c r="S4637" t="s">
        <v>19447</v>
      </c>
      <c r="T4637" t="s">
        <v>19911</v>
      </c>
    </row>
    <row r="4638" spans="2:20" x14ac:dyDescent="0.25">
      <c r="B4638" t="s">
        <v>2709</v>
      </c>
      <c r="C4638">
        <v>39051910</v>
      </c>
      <c r="E4638">
        <v>38</v>
      </c>
      <c r="F4638">
        <v>18</v>
      </c>
      <c r="G4638">
        <v>5</v>
      </c>
      <c r="H4638" t="s">
        <v>19447</v>
      </c>
      <c r="I4638" t="s">
        <v>19447</v>
      </c>
      <c r="J4638">
        <v>14</v>
      </c>
      <c r="L4638" t="s">
        <v>2709</v>
      </c>
      <c r="M4638">
        <v>39051910</v>
      </c>
      <c r="O4638" t="s">
        <v>20008</v>
      </c>
      <c r="P4638" t="s">
        <v>19899</v>
      </c>
      <c r="Q4638" t="s">
        <v>19909</v>
      </c>
      <c r="R4638" t="s">
        <v>19447</v>
      </c>
      <c r="S4638" t="s">
        <v>19447</v>
      </c>
      <c r="T4638" t="s">
        <v>19911</v>
      </c>
    </row>
    <row r="4639" spans="2:20" x14ac:dyDescent="0.25">
      <c r="B4639" t="s">
        <v>2709</v>
      </c>
      <c r="C4639">
        <v>39051990</v>
      </c>
      <c r="E4639">
        <v>38</v>
      </c>
      <c r="F4639">
        <v>18</v>
      </c>
      <c r="G4639">
        <v>5</v>
      </c>
      <c r="H4639" t="s">
        <v>19447</v>
      </c>
      <c r="I4639" t="s">
        <v>19447</v>
      </c>
      <c r="J4639">
        <v>14</v>
      </c>
      <c r="L4639" t="s">
        <v>2709</v>
      </c>
      <c r="M4639">
        <v>39051990</v>
      </c>
      <c r="O4639" t="s">
        <v>20008</v>
      </c>
      <c r="P4639" t="s">
        <v>19899</v>
      </c>
      <c r="Q4639" t="s">
        <v>19909</v>
      </c>
      <c r="R4639" t="s">
        <v>19447</v>
      </c>
      <c r="S4639" t="s">
        <v>19447</v>
      </c>
      <c r="T4639" t="s">
        <v>19911</v>
      </c>
    </row>
    <row r="4640" spans="2:20" x14ac:dyDescent="0.25">
      <c r="B4640" t="s">
        <v>2709</v>
      </c>
      <c r="C4640">
        <v>39052100</v>
      </c>
      <c r="E4640">
        <v>38</v>
      </c>
      <c r="F4640">
        <v>18</v>
      </c>
      <c r="G4640">
        <v>5</v>
      </c>
      <c r="H4640" t="s">
        <v>19447</v>
      </c>
      <c r="I4640" t="s">
        <v>19447</v>
      </c>
      <c r="J4640">
        <v>14</v>
      </c>
      <c r="L4640" t="s">
        <v>2709</v>
      </c>
      <c r="M4640">
        <v>39052100</v>
      </c>
      <c r="O4640" t="s">
        <v>20008</v>
      </c>
      <c r="P4640" t="s">
        <v>19899</v>
      </c>
      <c r="Q4640" t="s">
        <v>19909</v>
      </c>
      <c r="R4640" t="s">
        <v>19447</v>
      </c>
      <c r="S4640" t="s">
        <v>19447</v>
      </c>
      <c r="T4640" t="s">
        <v>19911</v>
      </c>
    </row>
    <row r="4641" spans="2:20" x14ac:dyDescent="0.25">
      <c r="B4641" t="s">
        <v>2709</v>
      </c>
      <c r="C4641">
        <v>39052900</v>
      </c>
      <c r="E4641">
        <v>38</v>
      </c>
      <c r="F4641">
        <v>18</v>
      </c>
      <c r="G4641">
        <v>5</v>
      </c>
      <c r="H4641" t="s">
        <v>19447</v>
      </c>
      <c r="I4641" t="s">
        <v>19447</v>
      </c>
      <c r="J4641">
        <v>14</v>
      </c>
      <c r="L4641" t="s">
        <v>2709</v>
      </c>
      <c r="M4641">
        <v>39052900</v>
      </c>
      <c r="O4641" t="s">
        <v>20008</v>
      </c>
      <c r="P4641" t="s">
        <v>19899</v>
      </c>
      <c r="Q4641" t="s">
        <v>19909</v>
      </c>
      <c r="R4641" t="s">
        <v>19447</v>
      </c>
      <c r="S4641" t="s">
        <v>19447</v>
      </c>
      <c r="T4641" t="s">
        <v>19911</v>
      </c>
    </row>
    <row r="4642" spans="2:20" x14ac:dyDescent="0.25">
      <c r="B4642" t="s">
        <v>2709</v>
      </c>
      <c r="C4642">
        <v>39053000</v>
      </c>
      <c r="E4642">
        <v>38</v>
      </c>
      <c r="F4642">
        <v>18</v>
      </c>
      <c r="G4642">
        <v>5</v>
      </c>
      <c r="H4642" t="s">
        <v>19447</v>
      </c>
      <c r="I4642" t="s">
        <v>19447</v>
      </c>
      <c r="J4642">
        <v>2</v>
      </c>
      <c r="L4642" t="s">
        <v>2709</v>
      </c>
      <c r="M4642">
        <v>39053000</v>
      </c>
      <c r="O4642" t="s">
        <v>20008</v>
      </c>
      <c r="P4642" t="s">
        <v>19899</v>
      </c>
      <c r="Q4642" t="s">
        <v>19909</v>
      </c>
      <c r="R4642" t="s">
        <v>19447</v>
      </c>
      <c r="S4642" t="s">
        <v>19447</v>
      </c>
      <c r="T4642" t="s">
        <v>19901</v>
      </c>
    </row>
    <row r="4643" spans="2:20" x14ac:dyDescent="0.25">
      <c r="B4643" t="s">
        <v>2709</v>
      </c>
      <c r="C4643">
        <v>39059130</v>
      </c>
      <c r="E4643">
        <v>38</v>
      </c>
      <c r="F4643">
        <v>18</v>
      </c>
      <c r="G4643">
        <v>5</v>
      </c>
      <c r="H4643" t="s">
        <v>19447</v>
      </c>
      <c r="I4643" t="s">
        <v>19447</v>
      </c>
      <c r="J4643">
        <v>14</v>
      </c>
      <c r="L4643" t="s">
        <v>2709</v>
      </c>
      <c r="M4643">
        <v>39059130</v>
      </c>
      <c r="O4643" t="s">
        <v>20008</v>
      </c>
      <c r="P4643" t="s">
        <v>19899</v>
      </c>
      <c r="Q4643" t="s">
        <v>19909</v>
      </c>
      <c r="R4643" t="s">
        <v>19447</v>
      </c>
      <c r="S4643" t="s">
        <v>19447</v>
      </c>
      <c r="T4643" t="s">
        <v>19911</v>
      </c>
    </row>
    <row r="4644" spans="2:20" x14ac:dyDescent="0.25">
      <c r="B4644" t="s">
        <v>2709</v>
      </c>
      <c r="C4644">
        <v>39059190</v>
      </c>
      <c r="E4644">
        <v>38</v>
      </c>
      <c r="F4644">
        <v>18</v>
      </c>
      <c r="G4644">
        <v>5</v>
      </c>
      <c r="H4644" t="s">
        <v>19447</v>
      </c>
      <c r="I4644" t="s">
        <v>19447</v>
      </c>
      <c r="J4644">
        <v>2</v>
      </c>
      <c r="L4644" t="s">
        <v>2709</v>
      </c>
      <c r="M4644">
        <v>39059190</v>
      </c>
      <c r="O4644" t="s">
        <v>20008</v>
      </c>
      <c r="P4644" t="s">
        <v>19899</v>
      </c>
      <c r="Q4644" t="s">
        <v>19909</v>
      </c>
      <c r="R4644" t="s">
        <v>19447</v>
      </c>
      <c r="S4644" t="s">
        <v>19447</v>
      </c>
      <c r="T4644" t="s">
        <v>19901</v>
      </c>
    </row>
    <row r="4645" spans="2:20" x14ac:dyDescent="0.25">
      <c r="B4645" t="s">
        <v>2709</v>
      </c>
      <c r="C4645">
        <v>39059910</v>
      </c>
      <c r="E4645">
        <v>38</v>
      </c>
      <c r="F4645">
        <v>18</v>
      </c>
      <c r="G4645">
        <v>5</v>
      </c>
      <c r="H4645" t="s">
        <v>19447</v>
      </c>
      <c r="I4645" t="s">
        <v>19447</v>
      </c>
      <c r="J4645">
        <v>2</v>
      </c>
      <c r="L4645" t="s">
        <v>2709</v>
      </c>
      <c r="M4645">
        <v>39059910</v>
      </c>
      <c r="O4645" t="s">
        <v>20008</v>
      </c>
      <c r="P4645" t="s">
        <v>19899</v>
      </c>
      <c r="Q4645" t="s">
        <v>19909</v>
      </c>
      <c r="R4645" t="s">
        <v>19447</v>
      </c>
      <c r="S4645" t="s">
        <v>19447</v>
      </c>
      <c r="T4645" t="s">
        <v>19901</v>
      </c>
    </row>
    <row r="4646" spans="2:20" x14ac:dyDescent="0.25">
      <c r="B4646" t="s">
        <v>2709</v>
      </c>
      <c r="C4646">
        <v>39059920</v>
      </c>
      <c r="E4646">
        <v>38</v>
      </c>
      <c r="F4646">
        <v>18</v>
      </c>
      <c r="G4646">
        <v>5</v>
      </c>
      <c r="H4646" t="s">
        <v>19447</v>
      </c>
      <c r="I4646" t="s">
        <v>19447</v>
      </c>
      <c r="J4646">
        <v>2</v>
      </c>
      <c r="L4646" t="s">
        <v>2709</v>
      </c>
      <c r="M4646">
        <v>39059920</v>
      </c>
      <c r="O4646" t="s">
        <v>20008</v>
      </c>
      <c r="P4646" t="s">
        <v>19899</v>
      </c>
      <c r="Q4646" t="s">
        <v>19909</v>
      </c>
      <c r="R4646" t="s">
        <v>19447</v>
      </c>
      <c r="S4646" t="s">
        <v>19447</v>
      </c>
      <c r="T4646" t="s">
        <v>19901</v>
      </c>
    </row>
    <row r="4647" spans="2:20" x14ac:dyDescent="0.25">
      <c r="B4647" t="s">
        <v>2709</v>
      </c>
      <c r="C4647">
        <v>39059930</v>
      </c>
      <c r="E4647">
        <v>38</v>
      </c>
      <c r="F4647">
        <v>18</v>
      </c>
      <c r="G4647">
        <v>5</v>
      </c>
      <c r="H4647" t="s">
        <v>19447</v>
      </c>
      <c r="I4647" t="s">
        <v>19447</v>
      </c>
      <c r="J4647">
        <v>12</v>
      </c>
      <c r="L4647" t="s">
        <v>2709</v>
      </c>
      <c r="M4647">
        <v>39059930</v>
      </c>
      <c r="O4647" t="s">
        <v>20008</v>
      </c>
      <c r="P4647" t="s">
        <v>19899</v>
      </c>
      <c r="Q4647" t="s">
        <v>19909</v>
      </c>
      <c r="R4647" t="s">
        <v>19447</v>
      </c>
      <c r="S4647" t="s">
        <v>19447</v>
      </c>
      <c r="T4647" t="s">
        <v>19903</v>
      </c>
    </row>
    <row r="4648" spans="2:20" x14ac:dyDescent="0.25">
      <c r="B4648" t="s">
        <v>2709</v>
      </c>
      <c r="C4648">
        <v>39059990</v>
      </c>
      <c r="E4648">
        <v>38</v>
      </c>
      <c r="F4648">
        <v>18</v>
      </c>
      <c r="G4648">
        <v>5</v>
      </c>
      <c r="H4648" t="s">
        <v>19447</v>
      </c>
      <c r="I4648" t="s">
        <v>19447</v>
      </c>
      <c r="J4648">
        <v>2</v>
      </c>
      <c r="L4648" t="s">
        <v>2709</v>
      </c>
      <c r="M4648">
        <v>39059990</v>
      </c>
      <c r="O4648" t="s">
        <v>20008</v>
      </c>
      <c r="P4648" t="s">
        <v>19899</v>
      </c>
      <c r="Q4648" t="s">
        <v>19909</v>
      </c>
      <c r="R4648" t="s">
        <v>19447</v>
      </c>
      <c r="S4648" t="s">
        <v>19447</v>
      </c>
      <c r="T4648" t="s">
        <v>19901</v>
      </c>
    </row>
    <row r="4649" spans="2:20" x14ac:dyDescent="0.25">
      <c r="B4649" t="s">
        <v>2709</v>
      </c>
      <c r="C4649">
        <v>39061000</v>
      </c>
      <c r="E4649">
        <v>80</v>
      </c>
      <c r="F4649">
        <v>18</v>
      </c>
      <c r="G4649">
        <v>5</v>
      </c>
      <c r="H4649" t="s">
        <v>19447</v>
      </c>
      <c r="I4649" t="s">
        <v>19447</v>
      </c>
      <c r="J4649">
        <v>14</v>
      </c>
      <c r="L4649" t="s">
        <v>2709</v>
      </c>
      <c r="M4649">
        <v>39061000</v>
      </c>
      <c r="O4649" t="s">
        <v>20063</v>
      </c>
      <c r="P4649" t="s">
        <v>19899</v>
      </c>
      <c r="Q4649" t="s">
        <v>19909</v>
      </c>
      <c r="R4649" t="s">
        <v>19447</v>
      </c>
      <c r="S4649" t="s">
        <v>19447</v>
      </c>
      <c r="T4649" t="s">
        <v>19911</v>
      </c>
    </row>
    <row r="4650" spans="2:20" x14ac:dyDescent="0.25">
      <c r="B4650" t="s">
        <v>2709</v>
      </c>
      <c r="C4650">
        <v>39061000</v>
      </c>
      <c r="D4650">
        <v>1</v>
      </c>
      <c r="E4650" t="s">
        <v>19447</v>
      </c>
      <c r="F4650">
        <v>18</v>
      </c>
      <c r="G4650">
        <v>0</v>
      </c>
      <c r="H4650">
        <v>7.6</v>
      </c>
      <c r="I4650">
        <v>1.65</v>
      </c>
      <c r="J4650">
        <v>14</v>
      </c>
      <c r="L4650" t="s">
        <v>2709</v>
      </c>
      <c r="M4650">
        <v>39061000</v>
      </c>
      <c r="N4650">
        <v>1</v>
      </c>
      <c r="O4650" t="s">
        <v>19447</v>
      </c>
      <c r="P4650" t="s">
        <v>19899</v>
      </c>
      <c r="Q4650" t="s">
        <v>19900</v>
      </c>
      <c r="R4650" t="s">
        <v>19905</v>
      </c>
      <c r="S4650" t="s">
        <v>19906</v>
      </c>
      <c r="T4650" t="s">
        <v>19911</v>
      </c>
    </row>
    <row r="4651" spans="2:20" x14ac:dyDescent="0.25">
      <c r="B4651" t="s">
        <v>2709</v>
      </c>
      <c r="C4651">
        <v>39069011</v>
      </c>
      <c r="E4651">
        <v>80</v>
      </c>
      <c r="F4651">
        <v>18</v>
      </c>
      <c r="G4651">
        <v>5</v>
      </c>
      <c r="H4651" t="s">
        <v>19447</v>
      </c>
      <c r="I4651" t="s">
        <v>19447</v>
      </c>
      <c r="J4651">
        <v>14</v>
      </c>
      <c r="L4651" t="s">
        <v>2709</v>
      </c>
      <c r="M4651">
        <v>39069011</v>
      </c>
      <c r="O4651" t="s">
        <v>20063</v>
      </c>
      <c r="P4651" t="s">
        <v>19899</v>
      </c>
      <c r="Q4651" t="s">
        <v>19909</v>
      </c>
      <c r="R4651" t="s">
        <v>19447</v>
      </c>
      <c r="S4651" t="s">
        <v>19447</v>
      </c>
      <c r="T4651" t="s">
        <v>19911</v>
      </c>
    </row>
    <row r="4652" spans="2:20" x14ac:dyDescent="0.25">
      <c r="B4652" t="s">
        <v>2709</v>
      </c>
      <c r="C4652">
        <v>39069012</v>
      </c>
      <c r="E4652">
        <v>80</v>
      </c>
      <c r="F4652">
        <v>18</v>
      </c>
      <c r="G4652">
        <v>5</v>
      </c>
      <c r="H4652" t="s">
        <v>19447</v>
      </c>
      <c r="I4652" t="s">
        <v>19447</v>
      </c>
      <c r="J4652">
        <v>14</v>
      </c>
      <c r="L4652" t="s">
        <v>2709</v>
      </c>
      <c r="M4652">
        <v>39069012</v>
      </c>
      <c r="O4652" t="s">
        <v>20063</v>
      </c>
      <c r="P4652" t="s">
        <v>19899</v>
      </c>
      <c r="Q4652" t="s">
        <v>19909</v>
      </c>
      <c r="R4652" t="s">
        <v>19447</v>
      </c>
      <c r="S4652" t="s">
        <v>19447</v>
      </c>
      <c r="T4652" t="s">
        <v>19911</v>
      </c>
    </row>
    <row r="4653" spans="2:20" x14ac:dyDescent="0.25">
      <c r="B4653" t="s">
        <v>2709</v>
      </c>
      <c r="C4653">
        <v>39069019</v>
      </c>
      <c r="E4653">
        <v>80</v>
      </c>
      <c r="F4653">
        <v>18</v>
      </c>
      <c r="G4653">
        <v>5</v>
      </c>
      <c r="H4653" t="s">
        <v>19447</v>
      </c>
      <c r="I4653" t="s">
        <v>19447</v>
      </c>
      <c r="J4653">
        <v>14</v>
      </c>
      <c r="L4653" t="s">
        <v>2709</v>
      </c>
      <c r="M4653">
        <v>39069019</v>
      </c>
      <c r="O4653" t="s">
        <v>20063</v>
      </c>
      <c r="P4653" t="s">
        <v>19899</v>
      </c>
      <c r="Q4653" t="s">
        <v>19909</v>
      </c>
      <c r="R4653" t="s">
        <v>19447</v>
      </c>
      <c r="S4653" t="s">
        <v>19447</v>
      </c>
      <c r="T4653" t="s">
        <v>19911</v>
      </c>
    </row>
    <row r="4654" spans="2:20" x14ac:dyDescent="0.25">
      <c r="B4654" t="s">
        <v>2709</v>
      </c>
      <c r="C4654">
        <v>39069021</v>
      </c>
      <c r="E4654">
        <v>80</v>
      </c>
      <c r="F4654">
        <v>18</v>
      </c>
      <c r="G4654">
        <v>5</v>
      </c>
      <c r="H4654" t="s">
        <v>19447</v>
      </c>
      <c r="I4654" t="s">
        <v>19447</v>
      </c>
      <c r="J4654">
        <v>14</v>
      </c>
      <c r="L4654" t="s">
        <v>2709</v>
      </c>
      <c r="M4654">
        <v>39069021</v>
      </c>
      <c r="O4654" t="s">
        <v>20063</v>
      </c>
      <c r="P4654" t="s">
        <v>19899</v>
      </c>
      <c r="Q4654" t="s">
        <v>19909</v>
      </c>
      <c r="R4654" t="s">
        <v>19447</v>
      </c>
      <c r="S4654" t="s">
        <v>19447</v>
      </c>
      <c r="T4654" t="s">
        <v>19911</v>
      </c>
    </row>
    <row r="4655" spans="2:20" x14ac:dyDescent="0.25">
      <c r="B4655" t="s">
        <v>2709</v>
      </c>
      <c r="C4655">
        <v>39069022</v>
      </c>
      <c r="E4655">
        <v>80</v>
      </c>
      <c r="F4655">
        <v>18</v>
      </c>
      <c r="G4655">
        <v>5</v>
      </c>
      <c r="H4655" t="s">
        <v>19447</v>
      </c>
      <c r="I4655" t="s">
        <v>19447</v>
      </c>
      <c r="J4655">
        <v>2</v>
      </c>
      <c r="L4655" t="s">
        <v>2709</v>
      </c>
      <c r="M4655">
        <v>39069022</v>
      </c>
      <c r="O4655" t="s">
        <v>20063</v>
      </c>
      <c r="P4655" t="s">
        <v>19899</v>
      </c>
      <c r="Q4655" t="s">
        <v>19909</v>
      </c>
      <c r="R4655" t="s">
        <v>19447</v>
      </c>
      <c r="S4655" t="s">
        <v>19447</v>
      </c>
      <c r="T4655" t="s">
        <v>19901</v>
      </c>
    </row>
    <row r="4656" spans="2:20" x14ac:dyDescent="0.25">
      <c r="B4656" t="s">
        <v>2709</v>
      </c>
      <c r="C4656">
        <v>39069029</v>
      </c>
      <c r="E4656">
        <v>80</v>
      </c>
      <c r="F4656">
        <v>18</v>
      </c>
      <c r="G4656">
        <v>5</v>
      </c>
      <c r="H4656" t="s">
        <v>19447</v>
      </c>
      <c r="I4656" t="s">
        <v>19447</v>
      </c>
      <c r="J4656">
        <v>14</v>
      </c>
      <c r="L4656" t="s">
        <v>2709</v>
      </c>
      <c r="M4656">
        <v>39069029</v>
      </c>
      <c r="O4656" t="s">
        <v>20063</v>
      </c>
      <c r="P4656" t="s">
        <v>19899</v>
      </c>
      <c r="Q4656" t="s">
        <v>19909</v>
      </c>
      <c r="R4656" t="s">
        <v>19447</v>
      </c>
      <c r="S4656" t="s">
        <v>19447</v>
      </c>
      <c r="T4656" t="s">
        <v>19911</v>
      </c>
    </row>
    <row r="4657" spans="2:20" x14ac:dyDescent="0.25">
      <c r="B4657" t="s">
        <v>2709</v>
      </c>
      <c r="C4657">
        <v>39069031</v>
      </c>
      <c r="E4657">
        <v>80</v>
      </c>
      <c r="F4657">
        <v>18</v>
      </c>
      <c r="G4657">
        <v>5</v>
      </c>
      <c r="H4657" t="s">
        <v>19447</v>
      </c>
      <c r="I4657" t="s">
        <v>19447</v>
      </c>
      <c r="J4657">
        <v>14</v>
      </c>
      <c r="L4657" t="s">
        <v>2709</v>
      </c>
      <c r="M4657">
        <v>39069031</v>
      </c>
      <c r="O4657" t="s">
        <v>20063</v>
      </c>
      <c r="P4657" t="s">
        <v>19899</v>
      </c>
      <c r="Q4657" t="s">
        <v>19909</v>
      </c>
      <c r="R4657" t="s">
        <v>19447</v>
      </c>
      <c r="S4657" t="s">
        <v>19447</v>
      </c>
      <c r="T4657" t="s">
        <v>19911</v>
      </c>
    </row>
    <row r="4658" spans="2:20" x14ac:dyDescent="0.25">
      <c r="B4658" t="s">
        <v>2709</v>
      </c>
      <c r="C4658">
        <v>39069032</v>
      </c>
      <c r="E4658">
        <v>80</v>
      </c>
      <c r="F4658">
        <v>18</v>
      </c>
      <c r="G4658">
        <v>5</v>
      </c>
      <c r="H4658" t="s">
        <v>19447</v>
      </c>
      <c r="I4658" t="s">
        <v>19447</v>
      </c>
      <c r="J4658">
        <v>14</v>
      </c>
      <c r="L4658" t="s">
        <v>2709</v>
      </c>
      <c r="M4658">
        <v>39069032</v>
      </c>
      <c r="O4658" t="s">
        <v>20063</v>
      </c>
      <c r="P4658" t="s">
        <v>19899</v>
      </c>
      <c r="Q4658" t="s">
        <v>19909</v>
      </c>
      <c r="R4658" t="s">
        <v>19447</v>
      </c>
      <c r="S4658" t="s">
        <v>19447</v>
      </c>
      <c r="T4658" t="s">
        <v>19911</v>
      </c>
    </row>
    <row r="4659" spans="2:20" x14ac:dyDescent="0.25">
      <c r="B4659" t="s">
        <v>2709</v>
      </c>
      <c r="C4659">
        <v>39069039</v>
      </c>
      <c r="E4659">
        <v>80</v>
      </c>
      <c r="F4659">
        <v>18</v>
      </c>
      <c r="G4659">
        <v>5</v>
      </c>
      <c r="H4659" t="s">
        <v>19447</v>
      </c>
      <c r="I4659" t="s">
        <v>19447</v>
      </c>
      <c r="J4659">
        <v>14</v>
      </c>
      <c r="L4659" t="s">
        <v>2709</v>
      </c>
      <c r="M4659">
        <v>39069039</v>
      </c>
      <c r="O4659" t="s">
        <v>20063</v>
      </c>
      <c r="P4659" t="s">
        <v>19899</v>
      </c>
      <c r="Q4659" t="s">
        <v>19909</v>
      </c>
      <c r="R4659" t="s">
        <v>19447</v>
      </c>
      <c r="S4659" t="s">
        <v>19447</v>
      </c>
      <c r="T4659" t="s">
        <v>19911</v>
      </c>
    </row>
    <row r="4660" spans="2:20" x14ac:dyDescent="0.25">
      <c r="B4660" t="s">
        <v>2709</v>
      </c>
      <c r="C4660">
        <v>39069041</v>
      </c>
      <c r="E4660">
        <v>80</v>
      </c>
      <c r="F4660">
        <v>18</v>
      </c>
      <c r="G4660">
        <v>5</v>
      </c>
      <c r="H4660" t="s">
        <v>19447</v>
      </c>
      <c r="I4660" t="s">
        <v>19447</v>
      </c>
      <c r="J4660">
        <v>14</v>
      </c>
      <c r="L4660" t="s">
        <v>2709</v>
      </c>
      <c r="M4660">
        <v>39069041</v>
      </c>
      <c r="O4660" t="s">
        <v>20063</v>
      </c>
      <c r="P4660" t="s">
        <v>19899</v>
      </c>
      <c r="Q4660" t="s">
        <v>19909</v>
      </c>
      <c r="R4660" t="s">
        <v>19447</v>
      </c>
      <c r="S4660" t="s">
        <v>19447</v>
      </c>
      <c r="T4660" t="s">
        <v>19911</v>
      </c>
    </row>
    <row r="4661" spans="2:20" x14ac:dyDescent="0.25">
      <c r="B4661" t="s">
        <v>2709</v>
      </c>
      <c r="C4661">
        <v>39069041</v>
      </c>
      <c r="D4661">
        <v>1</v>
      </c>
      <c r="E4661" t="s">
        <v>19447</v>
      </c>
      <c r="F4661">
        <v>18</v>
      </c>
      <c r="G4661">
        <v>0</v>
      </c>
      <c r="H4661">
        <v>7.6</v>
      </c>
      <c r="I4661">
        <v>1.65</v>
      </c>
      <c r="J4661">
        <v>14</v>
      </c>
      <c r="L4661" t="s">
        <v>2709</v>
      </c>
      <c r="M4661">
        <v>39069041</v>
      </c>
      <c r="N4661">
        <v>1</v>
      </c>
      <c r="O4661" t="s">
        <v>19447</v>
      </c>
      <c r="P4661" t="s">
        <v>19899</v>
      </c>
      <c r="Q4661" t="s">
        <v>19900</v>
      </c>
      <c r="R4661" t="s">
        <v>19905</v>
      </c>
      <c r="S4661" t="s">
        <v>19906</v>
      </c>
      <c r="T4661" t="s">
        <v>19911</v>
      </c>
    </row>
    <row r="4662" spans="2:20" x14ac:dyDescent="0.25">
      <c r="B4662" t="s">
        <v>2709</v>
      </c>
      <c r="C4662">
        <v>39069042</v>
      </c>
      <c r="E4662">
        <v>80</v>
      </c>
      <c r="F4662">
        <v>18</v>
      </c>
      <c r="G4662">
        <v>5</v>
      </c>
      <c r="H4662" t="s">
        <v>19447</v>
      </c>
      <c r="I4662" t="s">
        <v>19447</v>
      </c>
      <c r="J4662">
        <v>14</v>
      </c>
      <c r="L4662" t="s">
        <v>2709</v>
      </c>
      <c r="M4662">
        <v>39069042</v>
      </c>
      <c r="O4662" t="s">
        <v>20063</v>
      </c>
      <c r="P4662" t="s">
        <v>19899</v>
      </c>
      <c r="Q4662" t="s">
        <v>19909</v>
      </c>
      <c r="R4662" t="s">
        <v>19447</v>
      </c>
      <c r="S4662" t="s">
        <v>19447</v>
      </c>
      <c r="T4662" t="s">
        <v>19911</v>
      </c>
    </row>
    <row r="4663" spans="2:20" x14ac:dyDescent="0.25">
      <c r="B4663" t="s">
        <v>2709</v>
      </c>
      <c r="C4663">
        <v>39069043</v>
      </c>
      <c r="E4663">
        <v>80</v>
      </c>
      <c r="F4663">
        <v>18</v>
      </c>
      <c r="G4663">
        <v>5</v>
      </c>
      <c r="H4663" t="s">
        <v>19447</v>
      </c>
      <c r="I4663" t="s">
        <v>19447</v>
      </c>
      <c r="J4663">
        <v>2</v>
      </c>
      <c r="L4663" t="s">
        <v>2709</v>
      </c>
      <c r="M4663">
        <v>39069043</v>
      </c>
      <c r="O4663" t="s">
        <v>20063</v>
      </c>
      <c r="P4663" t="s">
        <v>19899</v>
      </c>
      <c r="Q4663" t="s">
        <v>19909</v>
      </c>
      <c r="R4663" t="s">
        <v>19447</v>
      </c>
      <c r="S4663" t="s">
        <v>19447</v>
      </c>
      <c r="T4663" t="s">
        <v>19901</v>
      </c>
    </row>
    <row r="4664" spans="2:20" x14ac:dyDescent="0.25">
      <c r="B4664" t="s">
        <v>2709</v>
      </c>
      <c r="C4664">
        <v>39069044</v>
      </c>
      <c r="E4664">
        <v>80</v>
      </c>
      <c r="F4664">
        <v>18</v>
      </c>
      <c r="G4664">
        <v>5</v>
      </c>
      <c r="H4664" t="s">
        <v>19447</v>
      </c>
      <c r="I4664" t="s">
        <v>19447</v>
      </c>
      <c r="J4664">
        <v>2</v>
      </c>
      <c r="L4664" t="s">
        <v>2709</v>
      </c>
      <c r="M4664">
        <v>39069044</v>
      </c>
      <c r="O4664" t="s">
        <v>20063</v>
      </c>
      <c r="P4664" t="s">
        <v>19899</v>
      </c>
      <c r="Q4664" t="s">
        <v>19909</v>
      </c>
      <c r="R4664" t="s">
        <v>19447</v>
      </c>
      <c r="S4664" t="s">
        <v>19447</v>
      </c>
      <c r="T4664" t="s">
        <v>19901</v>
      </c>
    </row>
    <row r="4665" spans="2:20" x14ac:dyDescent="0.25">
      <c r="B4665" t="s">
        <v>2709</v>
      </c>
      <c r="C4665">
        <v>39069045</v>
      </c>
      <c r="E4665">
        <v>80</v>
      </c>
      <c r="F4665">
        <v>18</v>
      </c>
      <c r="G4665">
        <v>5</v>
      </c>
      <c r="H4665" t="s">
        <v>19447</v>
      </c>
      <c r="I4665" t="s">
        <v>19447</v>
      </c>
      <c r="J4665">
        <v>2</v>
      </c>
      <c r="L4665" t="s">
        <v>2709</v>
      </c>
      <c r="M4665">
        <v>39069045</v>
      </c>
      <c r="O4665" t="s">
        <v>20063</v>
      </c>
      <c r="P4665" t="s">
        <v>19899</v>
      </c>
      <c r="Q4665" t="s">
        <v>19909</v>
      </c>
      <c r="R4665" t="s">
        <v>19447</v>
      </c>
      <c r="S4665" t="s">
        <v>19447</v>
      </c>
      <c r="T4665" t="s">
        <v>19901</v>
      </c>
    </row>
    <row r="4666" spans="2:20" x14ac:dyDescent="0.25">
      <c r="B4666" t="s">
        <v>2709</v>
      </c>
      <c r="C4666">
        <v>39069046</v>
      </c>
      <c r="E4666">
        <v>80</v>
      </c>
      <c r="F4666">
        <v>18</v>
      </c>
      <c r="G4666">
        <v>5</v>
      </c>
      <c r="H4666" t="s">
        <v>19447</v>
      </c>
      <c r="I4666" t="s">
        <v>19447</v>
      </c>
      <c r="J4666">
        <v>2</v>
      </c>
      <c r="L4666" t="s">
        <v>2709</v>
      </c>
      <c r="M4666">
        <v>39069046</v>
      </c>
      <c r="O4666" t="s">
        <v>20063</v>
      </c>
      <c r="P4666" t="s">
        <v>19899</v>
      </c>
      <c r="Q4666" t="s">
        <v>19909</v>
      </c>
      <c r="R4666" t="s">
        <v>19447</v>
      </c>
      <c r="S4666" t="s">
        <v>19447</v>
      </c>
      <c r="T4666" t="s">
        <v>19901</v>
      </c>
    </row>
    <row r="4667" spans="2:20" x14ac:dyDescent="0.25">
      <c r="B4667" t="s">
        <v>2709</v>
      </c>
      <c r="C4667">
        <v>39069047</v>
      </c>
      <c r="E4667">
        <v>80</v>
      </c>
      <c r="F4667">
        <v>18</v>
      </c>
      <c r="G4667">
        <v>5</v>
      </c>
      <c r="H4667" t="s">
        <v>19447</v>
      </c>
      <c r="I4667" t="s">
        <v>19447</v>
      </c>
      <c r="J4667">
        <v>2</v>
      </c>
      <c r="L4667" t="s">
        <v>2709</v>
      </c>
      <c r="M4667">
        <v>39069047</v>
      </c>
      <c r="O4667" t="s">
        <v>20063</v>
      </c>
      <c r="P4667" t="s">
        <v>19899</v>
      </c>
      <c r="Q4667" t="s">
        <v>19909</v>
      </c>
      <c r="R4667" t="s">
        <v>19447</v>
      </c>
      <c r="S4667" t="s">
        <v>19447</v>
      </c>
      <c r="T4667" t="s">
        <v>19901</v>
      </c>
    </row>
    <row r="4668" spans="2:20" x14ac:dyDescent="0.25">
      <c r="B4668" t="s">
        <v>2709</v>
      </c>
      <c r="C4668">
        <v>39069049</v>
      </c>
      <c r="E4668">
        <v>80</v>
      </c>
      <c r="F4668">
        <v>18</v>
      </c>
      <c r="G4668">
        <v>5</v>
      </c>
      <c r="H4668" t="s">
        <v>19447</v>
      </c>
      <c r="I4668" t="s">
        <v>19447</v>
      </c>
      <c r="J4668">
        <v>14</v>
      </c>
      <c r="L4668" t="s">
        <v>2709</v>
      </c>
      <c r="M4668">
        <v>39069049</v>
      </c>
      <c r="O4668" t="s">
        <v>20063</v>
      </c>
      <c r="P4668" t="s">
        <v>19899</v>
      </c>
      <c r="Q4668" t="s">
        <v>19909</v>
      </c>
      <c r="R4668" t="s">
        <v>19447</v>
      </c>
      <c r="S4668" t="s">
        <v>19447</v>
      </c>
      <c r="T4668" t="s">
        <v>19911</v>
      </c>
    </row>
    <row r="4669" spans="2:20" x14ac:dyDescent="0.25">
      <c r="B4669" t="s">
        <v>2709</v>
      </c>
      <c r="C4669">
        <v>39069049</v>
      </c>
      <c r="D4669">
        <v>1</v>
      </c>
      <c r="E4669" t="s">
        <v>19447</v>
      </c>
      <c r="F4669">
        <v>18</v>
      </c>
      <c r="G4669">
        <v>0</v>
      </c>
      <c r="H4669">
        <v>7.6</v>
      </c>
      <c r="I4669">
        <v>1.65</v>
      </c>
      <c r="J4669">
        <v>14</v>
      </c>
      <c r="L4669" t="s">
        <v>2709</v>
      </c>
      <c r="M4669">
        <v>39069049</v>
      </c>
      <c r="N4669">
        <v>1</v>
      </c>
      <c r="O4669" t="s">
        <v>19447</v>
      </c>
      <c r="P4669" t="s">
        <v>19899</v>
      </c>
      <c r="Q4669" t="s">
        <v>19900</v>
      </c>
      <c r="R4669" t="s">
        <v>19905</v>
      </c>
      <c r="S4669" t="s">
        <v>19906</v>
      </c>
      <c r="T4669" t="s">
        <v>19911</v>
      </c>
    </row>
    <row r="4670" spans="2:20" x14ac:dyDescent="0.25">
      <c r="B4670" t="s">
        <v>2709</v>
      </c>
      <c r="C4670">
        <v>39071010</v>
      </c>
      <c r="E4670">
        <v>38</v>
      </c>
      <c r="F4670">
        <v>18</v>
      </c>
      <c r="G4670">
        <v>5</v>
      </c>
      <c r="H4670" t="s">
        <v>19447</v>
      </c>
      <c r="I4670" t="s">
        <v>19447</v>
      </c>
      <c r="J4670">
        <v>14</v>
      </c>
      <c r="L4670" t="s">
        <v>2709</v>
      </c>
      <c r="M4670">
        <v>39071010</v>
      </c>
      <c r="O4670" t="s">
        <v>20008</v>
      </c>
      <c r="P4670" t="s">
        <v>19899</v>
      </c>
      <c r="Q4670" t="s">
        <v>19909</v>
      </c>
      <c r="R4670" t="s">
        <v>19447</v>
      </c>
      <c r="S4670" t="s">
        <v>19447</v>
      </c>
      <c r="T4670" t="s">
        <v>19911</v>
      </c>
    </row>
    <row r="4671" spans="2:20" x14ac:dyDescent="0.25">
      <c r="B4671" t="s">
        <v>2709</v>
      </c>
      <c r="C4671">
        <v>39071020</v>
      </c>
      <c r="E4671">
        <v>38</v>
      </c>
      <c r="F4671">
        <v>18</v>
      </c>
      <c r="G4671">
        <v>5</v>
      </c>
      <c r="H4671" t="s">
        <v>19447</v>
      </c>
      <c r="I4671" t="s">
        <v>19447</v>
      </c>
      <c r="J4671">
        <v>14</v>
      </c>
      <c r="L4671" t="s">
        <v>2709</v>
      </c>
      <c r="M4671">
        <v>39071020</v>
      </c>
      <c r="O4671" t="s">
        <v>20008</v>
      </c>
      <c r="P4671" t="s">
        <v>19899</v>
      </c>
      <c r="Q4671" t="s">
        <v>19909</v>
      </c>
      <c r="R4671" t="s">
        <v>19447</v>
      </c>
      <c r="S4671" t="s">
        <v>19447</v>
      </c>
      <c r="T4671" t="s">
        <v>19911</v>
      </c>
    </row>
    <row r="4672" spans="2:20" x14ac:dyDescent="0.25">
      <c r="B4672" t="s">
        <v>2709</v>
      </c>
      <c r="C4672">
        <v>39071031</v>
      </c>
      <c r="E4672">
        <v>38</v>
      </c>
      <c r="F4672">
        <v>18</v>
      </c>
      <c r="G4672">
        <v>5</v>
      </c>
      <c r="H4672" t="s">
        <v>19447</v>
      </c>
      <c r="I4672" t="s">
        <v>19447</v>
      </c>
      <c r="J4672">
        <v>2</v>
      </c>
      <c r="L4672" t="s">
        <v>2709</v>
      </c>
      <c r="M4672">
        <v>39071031</v>
      </c>
      <c r="O4672" t="s">
        <v>20008</v>
      </c>
      <c r="P4672" t="s">
        <v>19899</v>
      </c>
      <c r="Q4672" t="s">
        <v>19909</v>
      </c>
      <c r="R4672" t="s">
        <v>19447</v>
      </c>
      <c r="S4672" t="s">
        <v>19447</v>
      </c>
      <c r="T4672" t="s">
        <v>19901</v>
      </c>
    </row>
    <row r="4673" spans="2:20" x14ac:dyDescent="0.25">
      <c r="B4673" t="s">
        <v>2709</v>
      </c>
      <c r="C4673">
        <v>39071039</v>
      </c>
      <c r="E4673">
        <v>38</v>
      </c>
      <c r="F4673">
        <v>18</v>
      </c>
      <c r="G4673">
        <v>5</v>
      </c>
      <c r="H4673" t="s">
        <v>19447</v>
      </c>
      <c r="I4673" t="s">
        <v>19447</v>
      </c>
      <c r="J4673">
        <v>14</v>
      </c>
      <c r="L4673" t="s">
        <v>2709</v>
      </c>
      <c r="M4673">
        <v>39071039</v>
      </c>
      <c r="O4673" t="s">
        <v>20008</v>
      </c>
      <c r="P4673" t="s">
        <v>19899</v>
      </c>
      <c r="Q4673" t="s">
        <v>19909</v>
      </c>
      <c r="R4673" t="s">
        <v>19447</v>
      </c>
      <c r="S4673" t="s">
        <v>19447</v>
      </c>
      <c r="T4673" t="s">
        <v>19911</v>
      </c>
    </row>
    <row r="4674" spans="2:20" x14ac:dyDescent="0.25">
      <c r="B4674" t="s">
        <v>2709</v>
      </c>
      <c r="C4674">
        <v>39071041</v>
      </c>
      <c r="E4674">
        <v>38</v>
      </c>
      <c r="F4674">
        <v>18</v>
      </c>
      <c r="G4674">
        <v>5</v>
      </c>
      <c r="H4674" t="s">
        <v>19447</v>
      </c>
      <c r="I4674" t="s">
        <v>19447</v>
      </c>
      <c r="J4674">
        <v>2</v>
      </c>
      <c r="L4674" t="s">
        <v>2709</v>
      </c>
      <c r="M4674">
        <v>39071041</v>
      </c>
      <c r="O4674" t="s">
        <v>20008</v>
      </c>
      <c r="P4674" t="s">
        <v>19899</v>
      </c>
      <c r="Q4674" t="s">
        <v>19909</v>
      </c>
      <c r="R4674" t="s">
        <v>19447</v>
      </c>
      <c r="S4674" t="s">
        <v>19447</v>
      </c>
      <c r="T4674" t="s">
        <v>19901</v>
      </c>
    </row>
    <row r="4675" spans="2:20" x14ac:dyDescent="0.25">
      <c r="B4675" t="s">
        <v>2709</v>
      </c>
      <c r="C4675">
        <v>39071042</v>
      </c>
      <c r="E4675">
        <v>38</v>
      </c>
      <c r="F4675">
        <v>18</v>
      </c>
      <c r="G4675">
        <v>5</v>
      </c>
      <c r="H4675" t="s">
        <v>19447</v>
      </c>
      <c r="I4675" t="s">
        <v>19447</v>
      </c>
      <c r="J4675">
        <v>2</v>
      </c>
      <c r="L4675" t="s">
        <v>2709</v>
      </c>
      <c r="M4675">
        <v>39071042</v>
      </c>
      <c r="O4675" t="s">
        <v>20008</v>
      </c>
      <c r="P4675" t="s">
        <v>19899</v>
      </c>
      <c r="Q4675" t="s">
        <v>19909</v>
      </c>
      <c r="R4675" t="s">
        <v>19447</v>
      </c>
      <c r="S4675" t="s">
        <v>19447</v>
      </c>
      <c r="T4675" t="s">
        <v>19901</v>
      </c>
    </row>
    <row r="4676" spans="2:20" x14ac:dyDescent="0.25">
      <c r="B4676" t="s">
        <v>2709</v>
      </c>
      <c r="C4676">
        <v>39071049</v>
      </c>
      <c r="E4676">
        <v>38</v>
      </c>
      <c r="F4676">
        <v>18</v>
      </c>
      <c r="G4676">
        <v>5</v>
      </c>
      <c r="H4676" t="s">
        <v>19447</v>
      </c>
      <c r="I4676" t="s">
        <v>19447</v>
      </c>
      <c r="J4676">
        <v>2</v>
      </c>
      <c r="L4676" t="s">
        <v>2709</v>
      </c>
      <c r="M4676">
        <v>39071049</v>
      </c>
      <c r="O4676" t="s">
        <v>20008</v>
      </c>
      <c r="P4676" t="s">
        <v>19899</v>
      </c>
      <c r="Q4676" t="s">
        <v>19909</v>
      </c>
      <c r="R4676" t="s">
        <v>19447</v>
      </c>
      <c r="S4676" t="s">
        <v>19447</v>
      </c>
      <c r="T4676" t="s">
        <v>19901</v>
      </c>
    </row>
    <row r="4677" spans="2:20" x14ac:dyDescent="0.25">
      <c r="B4677" t="s">
        <v>2709</v>
      </c>
      <c r="C4677">
        <v>39071091</v>
      </c>
      <c r="E4677">
        <v>38</v>
      </c>
      <c r="F4677">
        <v>18</v>
      </c>
      <c r="G4677">
        <v>5</v>
      </c>
      <c r="H4677" t="s">
        <v>19447</v>
      </c>
      <c r="I4677" t="s">
        <v>19447</v>
      </c>
      <c r="J4677">
        <v>14</v>
      </c>
      <c r="L4677" t="s">
        <v>2709</v>
      </c>
      <c r="M4677">
        <v>39071091</v>
      </c>
      <c r="O4677" t="s">
        <v>20008</v>
      </c>
      <c r="P4677" t="s">
        <v>19899</v>
      </c>
      <c r="Q4677" t="s">
        <v>19909</v>
      </c>
      <c r="R4677" t="s">
        <v>19447</v>
      </c>
      <c r="S4677" t="s">
        <v>19447</v>
      </c>
      <c r="T4677" t="s">
        <v>19911</v>
      </c>
    </row>
    <row r="4678" spans="2:20" x14ac:dyDescent="0.25">
      <c r="B4678" t="s">
        <v>2709</v>
      </c>
      <c r="C4678">
        <v>39071099</v>
      </c>
      <c r="E4678">
        <v>38</v>
      </c>
      <c r="F4678">
        <v>18</v>
      </c>
      <c r="G4678">
        <v>5</v>
      </c>
      <c r="H4678" t="s">
        <v>19447</v>
      </c>
      <c r="I4678" t="s">
        <v>19447</v>
      </c>
      <c r="J4678">
        <v>14</v>
      </c>
      <c r="L4678" t="s">
        <v>2709</v>
      </c>
      <c r="M4678">
        <v>39071099</v>
      </c>
      <c r="O4678" t="s">
        <v>20008</v>
      </c>
      <c r="P4678" t="s">
        <v>19899</v>
      </c>
      <c r="Q4678" t="s">
        <v>19909</v>
      </c>
      <c r="R4678" t="s">
        <v>19447</v>
      </c>
      <c r="S4678" t="s">
        <v>19447</v>
      </c>
      <c r="T4678" t="s">
        <v>19911</v>
      </c>
    </row>
    <row r="4679" spans="2:20" x14ac:dyDescent="0.25">
      <c r="B4679" t="s">
        <v>2709</v>
      </c>
      <c r="C4679">
        <v>39072011</v>
      </c>
      <c r="E4679">
        <v>38</v>
      </c>
      <c r="F4679">
        <v>18</v>
      </c>
      <c r="G4679">
        <v>5</v>
      </c>
      <c r="H4679" t="s">
        <v>19447</v>
      </c>
      <c r="I4679" t="s">
        <v>19447</v>
      </c>
      <c r="J4679">
        <v>14</v>
      </c>
      <c r="L4679" t="s">
        <v>2709</v>
      </c>
      <c r="M4679">
        <v>39072011</v>
      </c>
      <c r="O4679" t="s">
        <v>20008</v>
      </c>
      <c r="P4679" t="s">
        <v>19899</v>
      </c>
      <c r="Q4679" t="s">
        <v>19909</v>
      </c>
      <c r="R4679" t="s">
        <v>19447</v>
      </c>
      <c r="S4679" t="s">
        <v>19447</v>
      </c>
      <c r="T4679" t="s">
        <v>19911</v>
      </c>
    </row>
    <row r="4680" spans="2:20" x14ac:dyDescent="0.25">
      <c r="B4680" t="s">
        <v>2709</v>
      </c>
      <c r="C4680">
        <v>39072012</v>
      </c>
      <c r="E4680">
        <v>38</v>
      </c>
      <c r="F4680">
        <v>18</v>
      </c>
      <c r="G4680">
        <v>5</v>
      </c>
      <c r="H4680" t="s">
        <v>19447</v>
      </c>
      <c r="I4680" t="s">
        <v>19447</v>
      </c>
      <c r="J4680">
        <v>2</v>
      </c>
      <c r="L4680" t="s">
        <v>2709</v>
      </c>
      <c r="M4680">
        <v>39072012</v>
      </c>
      <c r="O4680" t="s">
        <v>20008</v>
      </c>
      <c r="P4680" t="s">
        <v>19899</v>
      </c>
      <c r="Q4680" t="s">
        <v>19909</v>
      </c>
      <c r="R4680" t="s">
        <v>19447</v>
      </c>
      <c r="S4680" t="s">
        <v>19447</v>
      </c>
      <c r="T4680" t="s">
        <v>19901</v>
      </c>
    </row>
    <row r="4681" spans="2:20" x14ac:dyDescent="0.25">
      <c r="B4681" t="s">
        <v>2709</v>
      </c>
      <c r="C4681">
        <v>39072020</v>
      </c>
      <c r="E4681">
        <v>38</v>
      </c>
      <c r="F4681">
        <v>18</v>
      </c>
      <c r="G4681">
        <v>5</v>
      </c>
      <c r="H4681" t="s">
        <v>19447</v>
      </c>
      <c r="I4681" t="s">
        <v>19447</v>
      </c>
      <c r="J4681">
        <v>2</v>
      </c>
      <c r="L4681" t="s">
        <v>2709</v>
      </c>
      <c r="M4681">
        <v>39072020</v>
      </c>
      <c r="O4681" t="s">
        <v>20008</v>
      </c>
      <c r="P4681" t="s">
        <v>19899</v>
      </c>
      <c r="Q4681" t="s">
        <v>19909</v>
      </c>
      <c r="R4681" t="s">
        <v>19447</v>
      </c>
      <c r="S4681" t="s">
        <v>19447</v>
      </c>
      <c r="T4681" t="s">
        <v>19901</v>
      </c>
    </row>
    <row r="4682" spans="2:20" x14ac:dyDescent="0.25">
      <c r="B4682" t="s">
        <v>2709</v>
      </c>
      <c r="C4682">
        <v>39072031</v>
      </c>
      <c r="E4682">
        <v>38</v>
      </c>
      <c r="F4682">
        <v>18</v>
      </c>
      <c r="G4682">
        <v>5</v>
      </c>
      <c r="H4682" t="s">
        <v>19447</v>
      </c>
      <c r="I4682" t="s">
        <v>19447</v>
      </c>
      <c r="J4682">
        <v>14</v>
      </c>
      <c r="L4682" t="s">
        <v>2709</v>
      </c>
      <c r="M4682">
        <v>39072031</v>
      </c>
      <c r="O4682" t="s">
        <v>20008</v>
      </c>
      <c r="P4682" t="s">
        <v>19899</v>
      </c>
      <c r="Q4682" t="s">
        <v>19909</v>
      </c>
      <c r="R4682" t="s">
        <v>19447</v>
      </c>
      <c r="S4682" t="s">
        <v>19447</v>
      </c>
      <c r="T4682" t="s">
        <v>19911</v>
      </c>
    </row>
    <row r="4683" spans="2:20" x14ac:dyDescent="0.25">
      <c r="B4683" t="s">
        <v>2709</v>
      </c>
      <c r="C4683">
        <v>39072039</v>
      </c>
      <c r="E4683">
        <v>38</v>
      </c>
      <c r="F4683">
        <v>18</v>
      </c>
      <c r="G4683">
        <v>5</v>
      </c>
      <c r="H4683" t="s">
        <v>19447</v>
      </c>
      <c r="I4683" t="s">
        <v>19447</v>
      </c>
      <c r="J4683">
        <v>14</v>
      </c>
      <c r="L4683" t="s">
        <v>2709</v>
      </c>
      <c r="M4683">
        <v>39072039</v>
      </c>
      <c r="O4683" t="s">
        <v>20008</v>
      </c>
      <c r="P4683" t="s">
        <v>19899</v>
      </c>
      <c r="Q4683" t="s">
        <v>19909</v>
      </c>
      <c r="R4683" t="s">
        <v>19447</v>
      </c>
      <c r="S4683" t="s">
        <v>19447</v>
      </c>
      <c r="T4683" t="s">
        <v>19911</v>
      </c>
    </row>
    <row r="4684" spans="2:20" x14ac:dyDescent="0.25">
      <c r="B4684" t="s">
        <v>2709</v>
      </c>
      <c r="C4684">
        <v>39072041</v>
      </c>
      <c r="E4684">
        <v>38</v>
      </c>
      <c r="F4684">
        <v>18</v>
      </c>
      <c r="G4684">
        <v>5</v>
      </c>
      <c r="H4684" t="s">
        <v>19447</v>
      </c>
      <c r="I4684" t="s">
        <v>19447</v>
      </c>
      <c r="J4684">
        <v>2</v>
      </c>
      <c r="L4684" t="s">
        <v>2709</v>
      </c>
      <c r="M4684">
        <v>39072041</v>
      </c>
      <c r="O4684" t="s">
        <v>20008</v>
      </c>
      <c r="P4684" t="s">
        <v>19899</v>
      </c>
      <c r="Q4684" t="s">
        <v>19909</v>
      </c>
      <c r="R4684" t="s">
        <v>19447</v>
      </c>
      <c r="S4684" t="s">
        <v>19447</v>
      </c>
      <c r="T4684" t="s">
        <v>19901</v>
      </c>
    </row>
    <row r="4685" spans="2:20" x14ac:dyDescent="0.25">
      <c r="B4685" t="s">
        <v>2709</v>
      </c>
      <c r="C4685">
        <v>39072042</v>
      </c>
      <c r="E4685">
        <v>38</v>
      </c>
      <c r="F4685">
        <v>18</v>
      </c>
      <c r="G4685">
        <v>5</v>
      </c>
      <c r="H4685" t="s">
        <v>19447</v>
      </c>
      <c r="I4685" t="s">
        <v>19447</v>
      </c>
      <c r="J4685">
        <v>2</v>
      </c>
      <c r="L4685" t="s">
        <v>2709</v>
      </c>
      <c r="M4685">
        <v>39072042</v>
      </c>
      <c r="O4685" t="s">
        <v>20008</v>
      </c>
      <c r="P4685" t="s">
        <v>19899</v>
      </c>
      <c r="Q4685" t="s">
        <v>19909</v>
      </c>
      <c r="R4685" t="s">
        <v>19447</v>
      </c>
      <c r="S4685" t="s">
        <v>19447</v>
      </c>
      <c r="T4685" t="s">
        <v>19901</v>
      </c>
    </row>
    <row r="4686" spans="2:20" x14ac:dyDescent="0.25">
      <c r="B4686" t="s">
        <v>2709</v>
      </c>
      <c r="C4686">
        <v>39072049</v>
      </c>
      <c r="E4686">
        <v>38</v>
      </c>
      <c r="F4686">
        <v>18</v>
      </c>
      <c r="G4686">
        <v>5</v>
      </c>
      <c r="H4686" t="s">
        <v>19447</v>
      </c>
      <c r="I4686" t="s">
        <v>19447</v>
      </c>
      <c r="J4686">
        <v>14</v>
      </c>
      <c r="L4686" t="s">
        <v>2709</v>
      </c>
      <c r="M4686">
        <v>39072049</v>
      </c>
      <c r="O4686" t="s">
        <v>20008</v>
      </c>
      <c r="P4686" t="s">
        <v>19899</v>
      </c>
      <c r="Q4686" t="s">
        <v>19909</v>
      </c>
      <c r="R4686" t="s">
        <v>19447</v>
      </c>
      <c r="S4686" t="s">
        <v>19447</v>
      </c>
      <c r="T4686" t="s">
        <v>19911</v>
      </c>
    </row>
    <row r="4687" spans="2:20" x14ac:dyDescent="0.25">
      <c r="B4687" t="s">
        <v>2709</v>
      </c>
      <c r="C4687">
        <v>39072090</v>
      </c>
      <c r="E4687">
        <v>38</v>
      </c>
      <c r="F4687">
        <v>18</v>
      </c>
      <c r="G4687">
        <v>5</v>
      </c>
      <c r="H4687" t="s">
        <v>19447</v>
      </c>
      <c r="I4687" t="s">
        <v>19447</v>
      </c>
      <c r="J4687">
        <v>14</v>
      </c>
      <c r="L4687" t="s">
        <v>2709</v>
      </c>
      <c r="M4687">
        <v>39072090</v>
      </c>
      <c r="O4687" t="s">
        <v>20008</v>
      </c>
      <c r="P4687" t="s">
        <v>19899</v>
      </c>
      <c r="Q4687" t="s">
        <v>19909</v>
      </c>
      <c r="R4687" t="s">
        <v>19447</v>
      </c>
      <c r="S4687" t="s">
        <v>19447</v>
      </c>
      <c r="T4687" t="s">
        <v>19911</v>
      </c>
    </row>
    <row r="4688" spans="2:20" x14ac:dyDescent="0.25">
      <c r="B4688" t="s">
        <v>2709</v>
      </c>
      <c r="C4688">
        <v>39073011</v>
      </c>
      <c r="E4688">
        <v>38</v>
      </c>
      <c r="F4688">
        <v>18</v>
      </c>
      <c r="G4688">
        <v>5</v>
      </c>
      <c r="H4688" t="s">
        <v>19447</v>
      </c>
      <c r="I4688" t="s">
        <v>19447</v>
      </c>
      <c r="J4688">
        <v>14</v>
      </c>
      <c r="L4688" t="s">
        <v>2709</v>
      </c>
      <c r="M4688">
        <v>39073011</v>
      </c>
      <c r="O4688" t="s">
        <v>20008</v>
      </c>
      <c r="P4688" t="s">
        <v>19899</v>
      </c>
      <c r="Q4688" t="s">
        <v>19909</v>
      </c>
      <c r="R4688" t="s">
        <v>19447</v>
      </c>
      <c r="S4688" t="s">
        <v>19447</v>
      </c>
      <c r="T4688" t="s">
        <v>19911</v>
      </c>
    </row>
    <row r="4689" spans="2:20" x14ac:dyDescent="0.25">
      <c r="B4689" t="s">
        <v>2709</v>
      </c>
      <c r="C4689">
        <v>39073019</v>
      </c>
      <c r="E4689">
        <v>38</v>
      </c>
      <c r="F4689">
        <v>18</v>
      </c>
      <c r="G4689">
        <v>5</v>
      </c>
      <c r="H4689" t="s">
        <v>19447</v>
      </c>
      <c r="I4689" t="s">
        <v>19447</v>
      </c>
      <c r="J4689">
        <v>14</v>
      </c>
      <c r="L4689" t="s">
        <v>2709</v>
      </c>
      <c r="M4689">
        <v>39073019</v>
      </c>
      <c r="O4689" t="s">
        <v>20008</v>
      </c>
      <c r="P4689" t="s">
        <v>19899</v>
      </c>
      <c r="Q4689" t="s">
        <v>19909</v>
      </c>
      <c r="R4689" t="s">
        <v>19447</v>
      </c>
      <c r="S4689" t="s">
        <v>19447</v>
      </c>
      <c r="T4689" t="s">
        <v>19911</v>
      </c>
    </row>
    <row r="4690" spans="2:20" x14ac:dyDescent="0.25">
      <c r="B4690" t="s">
        <v>2709</v>
      </c>
      <c r="C4690">
        <v>39073021</v>
      </c>
      <c r="E4690">
        <v>38</v>
      </c>
      <c r="F4690">
        <v>18</v>
      </c>
      <c r="G4690">
        <v>5</v>
      </c>
      <c r="H4690" t="s">
        <v>19447</v>
      </c>
      <c r="I4690" t="s">
        <v>19447</v>
      </c>
      <c r="J4690">
        <v>14</v>
      </c>
      <c r="L4690" t="s">
        <v>2709</v>
      </c>
      <c r="M4690">
        <v>39073021</v>
      </c>
      <c r="O4690" t="s">
        <v>20008</v>
      </c>
      <c r="P4690" t="s">
        <v>19899</v>
      </c>
      <c r="Q4690" t="s">
        <v>19909</v>
      </c>
      <c r="R4690" t="s">
        <v>19447</v>
      </c>
      <c r="S4690" t="s">
        <v>19447</v>
      </c>
      <c r="T4690" t="s">
        <v>19911</v>
      </c>
    </row>
    <row r="4691" spans="2:20" x14ac:dyDescent="0.25">
      <c r="B4691" t="s">
        <v>2709</v>
      </c>
      <c r="C4691">
        <v>39073022</v>
      </c>
      <c r="E4691">
        <v>38</v>
      </c>
      <c r="F4691">
        <v>18</v>
      </c>
      <c r="G4691">
        <v>5</v>
      </c>
      <c r="H4691" t="s">
        <v>19447</v>
      </c>
      <c r="I4691" t="s">
        <v>19447</v>
      </c>
      <c r="J4691">
        <v>14</v>
      </c>
      <c r="L4691" t="s">
        <v>2709</v>
      </c>
      <c r="M4691">
        <v>39073022</v>
      </c>
      <c r="O4691" t="s">
        <v>20008</v>
      </c>
      <c r="P4691" t="s">
        <v>19899</v>
      </c>
      <c r="Q4691" t="s">
        <v>19909</v>
      </c>
      <c r="R4691" t="s">
        <v>19447</v>
      </c>
      <c r="S4691" t="s">
        <v>19447</v>
      </c>
      <c r="T4691" t="s">
        <v>19911</v>
      </c>
    </row>
    <row r="4692" spans="2:20" x14ac:dyDescent="0.25">
      <c r="B4692" t="s">
        <v>2709</v>
      </c>
      <c r="C4692">
        <v>39073029</v>
      </c>
      <c r="E4692">
        <v>38</v>
      </c>
      <c r="F4692">
        <v>18</v>
      </c>
      <c r="G4692">
        <v>5</v>
      </c>
      <c r="H4692" t="s">
        <v>19447</v>
      </c>
      <c r="I4692" t="s">
        <v>19447</v>
      </c>
      <c r="J4692">
        <v>14</v>
      </c>
      <c r="L4692" t="s">
        <v>2709</v>
      </c>
      <c r="M4692">
        <v>39073029</v>
      </c>
      <c r="O4692" t="s">
        <v>20008</v>
      </c>
      <c r="P4692" t="s">
        <v>19899</v>
      </c>
      <c r="Q4692" t="s">
        <v>19909</v>
      </c>
      <c r="R4692" t="s">
        <v>19447</v>
      </c>
      <c r="S4692" t="s">
        <v>19447</v>
      </c>
      <c r="T4692" t="s">
        <v>19911</v>
      </c>
    </row>
    <row r="4693" spans="2:20" x14ac:dyDescent="0.25">
      <c r="B4693" t="s">
        <v>2709</v>
      </c>
      <c r="C4693">
        <v>39074010</v>
      </c>
      <c r="E4693">
        <v>38</v>
      </c>
      <c r="F4693">
        <v>18</v>
      </c>
      <c r="G4693">
        <v>5</v>
      </c>
      <c r="H4693" t="s">
        <v>19447</v>
      </c>
      <c r="I4693" t="s">
        <v>19447</v>
      </c>
      <c r="J4693">
        <v>2</v>
      </c>
      <c r="L4693" t="s">
        <v>2709</v>
      </c>
      <c r="M4693">
        <v>39074010</v>
      </c>
      <c r="O4693" t="s">
        <v>20008</v>
      </c>
      <c r="P4693" t="s">
        <v>19899</v>
      </c>
      <c r="Q4693" t="s">
        <v>19909</v>
      </c>
      <c r="R4693" t="s">
        <v>19447</v>
      </c>
      <c r="S4693" t="s">
        <v>19447</v>
      </c>
      <c r="T4693" t="s">
        <v>19901</v>
      </c>
    </row>
    <row r="4694" spans="2:20" x14ac:dyDescent="0.25">
      <c r="B4694" t="s">
        <v>2709</v>
      </c>
      <c r="C4694">
        <v>39074090</v>
      </c>
      <c r="E4694">
        <v>38</v>
      </c>
      <c r="F4694">
        <v>18</v>
      </c>
      <c r="G4694">
        <v>5</v>
      </c>
      <c r="H4694" t="s">
        <v>19447</v>
      </c>
      <c r="I4694" t="s">
        <v>19447</v>
      </c>
      <c r="J4694">
        <v>14</v>
      </c>
      <c r="L4694" t="s">
        <v>2709</v>
      </c>
      <c r="M4694">
        <v>39074090</v>
      </c>
      <c r="O4694" t="s">
        <v>20008</v>
      </c>
      <c r="P4694" t="s">
        <v>19899</v>
      </c>
      <c r="Q4694" t="s">
        <v>19909</v>
      </c>
      <c r="R4694" t="s">
        <v>19447</v>
      </c>
      <c r="S4694" t="s">
        <v>19447</v>
      </c>
      <c r="T4694" t="s">
        <v>19911</v>
      </c>
    </row>
    <row r="4695" spans="2:20" x14ac:dyDescent="0.25">
      <c r="B4695" t="s">
        <v>2709</v>
      </c>
      <c r="C4695">
        <v>39075010</v>
      </c>
      <c r="E4695">
        <v>38</v>
      </c>
      <c r="F4695">
        <v>18</v>
      </c>
      <c r="G4695">
        <v>5</v>
      </c>
      <c r="H4695" t="s">
        <v>19447</v>
      </c>
      <c r="I4695" t="s">
        <v>19447</v>
      </c>
      <c r="J4695">
        <v>14</v>
      </c>
      <c r="L4695" t="s">
        <v>2709</v>
      </c>
      <c r="M4695">
        <v>39075010</v>
      </c>
      <c r="O4695" t="s">
        <v>20008</v>
      </c>
      <c r="P4695" t="s">
        <v>19899</v>
      </c>
      <c r="Q4695" t="s">
        <v>19909</v>
      </c>
      <c r="R4695" t="s">
        <v>19447</v>
      </c>
      <c r="S4695" t="s">
        <v>19447</v>
      </c>
      <c r="T4695" t="s">
        <v>19911</v>
      </c>
    </row>
    <row r="4696" spans="2:20" x14ac:dyDescent="0.25">
      <c r="B4696" t="s">
        <v>2709</v>
      </c>
      <c r="C4696">
        <v>39075090</v>
      </c>
      <c r="E4696">
        <v>38</v>
      </c>
      <c r="F4696">
        <v>18</v>
      </c>
      <c r="G4696">
        <v>5</v>
      </c>
      <c r="H4696" t="s">
        <v>19447</v>
      </c>
      <c r="I4696" t="s">
        <v>19447</v>
      </c>
      <c r="J4696">
        <v>14</v>
      </c>
      <c r="L4696" t="s">
        <v>2709</v>
      </c>
      <c r="M4696">
        <v>39075090</v>
      </c>
      <c r="O4696" t="s">
        <v>20008</v>
      </c>
      <c r="P4696" t="s">
        <v>19899</v>
      </c>
      <c r="Q4696" t="s">
        <v>19909</v>
      </c>
      <c r="R4696" t="s">
        <v>19447</v>
      </c>
      <c r="S4696" t="s">
        <v>19447</v>
      </c>
      <c r="T4696" t="s">
        <v>19911</v>
      </c>
    </row>
    <row r="4697" spans="2:20" x14ac:dyDescent="0.25">
      <c r="B4697" t="s">
        <v>2709</v>
      </c>
      <c r="C4697">
        <v>39076000</v>
      </c>
      <c r="E4697">
        <v>38</v>
      </c>
      <c r="F4697">
        <v>18</v>
      </c>
      <c r="G4697">
        <v>5</v>
      </c>
      <c r="H4697" t="s">
        <v>19447</v>
      </c>
      <c r="I4697" t="s">
        <v>19447</v>
      </c>
      <c r="J4697">
        <v>14</v>
      </c>
      <c r="L4697" t="s">
        <v>2709</v>
      </c>
      <c r="M4697">
        <v>39076000</v>
      </c>
      <c r="O4697" t="s">
        <v>20008</v>
      </c>
      <c r="P4697" t="s">
        <v>19899</v>
      </c>
      <c r="Q4697" t="s">
        <v>19909</v>
      </c>
      <c r="R4697" t="s">
        <v>19447</v>
      </c>
      <c r="S4697" t="s">
        <v>19447</v>
      </c>
      <c r="T4697" t="s">
        <v>19911</v>
      </c>
    </row>
    <row r="4698" spans="2:20" x14ac:dyDescent="0.25">
      <c r="B4698" t="s">
        <v>2709</v>
      </c>
      <c r="C4698">
        <v>39077000</v>
      </c>
      <c r="E4698">
        <v>38</v>
      </c>
      <c r="F4698">
        <v>18</v>
      </c>
      <c r="G4698">
        <v>5</v>
      </c>
      <c r="H4698" t="s">
        <v>19447</v>
      </c>
      <c r="I4698" t="s">
        <v>19447</v>
      </c>
      <c r="J4698">
        <v>14</v>
      </c>
      <c r="L4698" t="s">
        <v>2709</v>
      </c>
      <c r="M4698">
        <v>39077000</v>
      </c>
      <c r="O4698" t="s">
        <v>20008</v>
      </c>
      <c r="P4698" t="s">
        <v>19899</v>
      </c>
      <c r="Q4698" t="s">
        <v>19909</v>
      </c>
      <c r="R4698" t="s">
        <v>19447</v>
      </c>
      <c r="S4698" t="s">
        <v>19447</v>
      </c>
      <c r="T4698" t="s">
        <v>19911</v>
      </c>
    </row>
    <row r="4699" spans="2:20" x14ac:dyDescent="0.25">
      <c r="B4699" t="s">
        <v>2709</v>
      </c>
      <c r="C4699">
        <v>39079100</v>
      </c>
      <c r="E4699">
        <v>38</v>
      </c>
      <c r="F4699">
        <v>18</v>
      </c>
      <c r="G4699">
        <v>5</v>
      </c>
      <c r="H4699" t="s">
        <v>19447</v>
      </c>
      <c r="I4699" t="s">
        <v>19447</v>
      </c>
      <c r="J4699">
        <v>14</v>
      </c>
      <c r="L4699" t="s">
        <v>2709</v>
      </c>
      <c r="M4699">
        <v>39079100</v>
      </c>
      <c r="O4699" t="s">
        <v>20008</v>
      </c>
      <c r="P4699" t="s">
        <v>19899</v>
      </c>
      <c r="Q4699" t="s">
        <v>19909</v>
      </c>
      <c r="R4699" t="s">
        <v>19447</v>
      </c>
      <c r="S4699" t="s">
        <v>19447</v>
      </c>
      <c r="T4699" t="s">
        <v>19911</v>
      </c>
    </row>
    <row r="4700" spans="2:20" x14ac:dyDescent="0.25">
      <c r="B4700" t="s">
        <v>2709</v>
      </c>
      <c r="C4700">
        <v>39079911</v>
      </c>
      <c r="E4700">
        <v>38</v>
      </c>
      <c r="F4700">
        <v>18</v>
      </c>
      <c r="G4700">
        <v>5</v>
      </c>
      <c r="H4700" t="s">
        <v>19447</v>
      </c>
      <c r="I4700" t="s">
        <v>19447</v>
      </c>
      <c r="J4700">
        <v>14</v>
      </c>
      <c r="L4700" t="s">
        <v>2709</v>
      </c>
      <c r="M4700">
        <v>39079911</v>
      </c>
      <c r="O4700" t="s">
        <v>20008</v>
      </c>
      <c r="P4700" t="s">
        <v>19899</v>
      </c>
      <c r="Q4700" t="s">
        <v>19909</v>
      </c>
      <c r="R4700" t="s">
        <v>19447</v>
      </c>
      <c r="S4700" t="s">
        <v>19447</v>
      </c>
      <c r="T4700" t="s">
        <v>19911</v>
      </c>
    </row>
    <row r="4701" spans="2:20" x14ac:dyDescent="0.25">
      <c r="B4701" t="s">
        <v>2709</v>
      </c>
      <c r="C4701">
        <v>39079912</v>
      </c>
      <c r="E4701">
        <v>38</v>
      </c>
      <c r="F4701">
        <v>18</v>
      </c>
      <c r="G4701">
        <v>5</v>
      </c>
      <c r="H4701" t="s">
        <v>19447</v>
      </c>
      <c r="I4701" t="s">
        <v>19447</v>
      </c>
      <c r="J4701">
        <v>2</v>
      </c>
      <c r="L4701" t="s">
        <v>2709</v>
      </c>
      <c r="M4701">
        <v>39079912</v>
      </c>
      <c r="O4701" t="s">
        <v>20008</v>
      </c>
      <c r="P4701" t="s">
        <v>19899</v>
      </c>
      <c r="Q4701" t="s">
        <v>19909</v>
      </c>
      <c r="R4701" t="s">
        <v>19447</v>
      </c>
      <c r="S4701" t="s">
        <v>19447</v>
      </c>
      <c r="T4701" t="s">
        <v>19901</v>
      </c>
    </row>
    <row r="4702" spans="2:20" x14ac:dyDescent="0.25">
      <c r="B4702" t="s">
        <v>2709</v>
      </c>
      <c r="C4702">
        <v>39079919</v>
      </c>
      <c r="E4702">
        <v>38</v>
      </c>
      <c r="F4702">
        <v>18</v>
      </c>
      <c r="G4702">
        <v>5</v>
      </c>
      <c r="H4702" t="s">
        <v>19447</v>
      </c>
      <c r="I4702" t="s">
        <v>19447</v>
      </c>
      <c r="J4702">
        <v>2</v>
      </c>
      <c r="L4702" t="s">
        <v>2709</v>
      </c>
      <c r="M4702">
        <v>39079919</v>
      </c>
      <c r="O4702" t="s">
        <v>20008</v>
      </c>
      <c r="P4702" t="s">
        <v>19899</v>
      </c>
      <c r="Q4702" t="s">
        <v>19909</v>
      </c>
      <c r="R4702" t="s">
        <v>19447</v>
      </c>
      <c r="S4702" t="s">
        <v>19447</v>
      </c>
      <c r="T4702" t="s">
        <v>19901</v>
      </c>
    </row>
    <row r="4703" spans="2:20" x14ac:dyDescent="0.25">
      <c r="B4703" t="s">
        <v>2709</v>
      </c>
      <c r="C4703">
        <v>39079991</v>
      </c>
      <c r="E4703">
        <v>38</v>
      </c>
      <c r="F4703">
        <v>18</v>
      </c>
      <c r="G4703">
        <v>5</v>
      </c>
      <c r="H4703" t="s">
        <v>19447</v>
      </c>
      <c r="I4703" t="s">
        <v>19447</v>
      </c>
      <c r="J4703">
        <v>14</v>
      </c>
      <c r="L4703" t="s">
        <v>2709</v>
      </c>
      <c r="M4703">
        <v>39079991</v>
      </c>
      <c r="O4703" t="s">
        <v>20008</v>
      </c>
      <c r="P4703" t="s">
        <v>19899</v>
      </c>
      <c r="Q4703" t="s">
        <v>19909</v>
      </c>
      <c r="R4703" t="s">
        <v>19447</v>
      </c>
      <c r="S4703" t="s">
        <v>19447</v>
      </c>
      <c r="T4703" t="s">
        <v>19911</v>
      </c>
    </row>
    <row r="4704" spans="2:20" x14ac:dyDescent="0.25">
      <c r="B4704" t="s">
        <v>2709</v>
      </c>
      <c r="C4704">
        <v>39079992</v>
      </c>
      <c r="E4704">
        <v>38</v>
      </c>
      <c r="F4704">
        <v>18</v>
      </c>
      <c r="G4704">
        <v>5</v>
      </c>
      <c r="H4704" t="s">
        <v>19447</v>
      </c>
      <c r="I4704" t="s">
        <v>19447</v>
      </c>
      <c r="J4704">
        <v>2</v>
      </c>
      <c r="L4704" t="s">
        <v>2709</v>
      </c>
      <c r="M4704">
        <v>39079992</v>
      </c>
      <c r="O4704" t="s">
        <v>20008</v>
      </c>
      <c r="P4704" t="s">
        <v>19899</v>
      </c>
      <c r="Q4704" t="s">
        <v>19909</v>
      </c>
      <c r="R4704" t="s">
        <v>19447</v>
      </c>
      <c r="S4704" t="s">
        <v>19447</v>
      </c>
      <c r="T4704" t="s">
        <v>19901</v>
      </c>
    </row>
    <row r="4705" spans="2:20" x14ac:dyDescent="0.25">
      <c r="B4705" t="s">
        <v>2709</v>
      </c>
      <c r="C4705">
        <v>39079999</v>
      </c>
      <c r="E4705">
        <v>38</v>
      </c>
      <c r="F4705">
        <v>18</v>
      </c>
      <c r="G4705">
        <v>5</v>
      </c>
      <c r="H4705" t="s">
        <v>19447</v>
      </c>
      <c r="I4705" t="s">
        <v>19447</v>
      </c>
      <c r="J4705">
        <v>14</v>
      </c>
      <c r="L4705" t="s">
        <v>2709</v>
      </c>
      <c r="M4705">
        <v>39079999</v>
      </c>
      <c r="O4705" t="s">
        <v>20008</v>
      </c>
      <c r="P4705" t="s">
        <v>19899</v>
      </c>
      <c r="Q4705" t="s">
        <v>19909</v>
      </c>
      <c r="R4705" t="s">
        <v>19447</v>
      </c>
      <c r="S4705" t="s">
        <v>19447</v>
      </c>
      <c r="T4705" t="s">
        <v>19911</v>
      </c>
    </row>
    <row r="4706" spans="2:20" x14ac:dyDescent="0.25">
      <c r="B4706" t="s">
        <v>2709</v>
      </c>
      <c r="C4706">
        <v>39081011</v>
      </c>
      <c r="E4706">
        <v>80</v>
      </c>
      <c r="F4706">
        <v>18</v>
      </c>
      <c r="G4706">
        <v>5</v>
      </c>
      <c r="H4706" t="s">
        <v>19447</v>
      </c>
      <c r="I4706" t="s">
        <v>19447</v>
      </c>
      <c r="J4706">
        <v>2</v>
      </c>
      <c r="L4706" t="s">
        <v>2709</v>
      </c>
      <c r="M4706">
        <v>39081011</v>
      </c>
      <c r="O4706" t="s">
        <v>20063</v>
      </c>
      <c r="P4706" t="s">
        <v>19899</v>
      </c>
      <c r="Q4706" t="s">
        <v>19909</v>
      </c>
      <c r="R4706" t="s">
        <v>19447</v>
      </c>
      <c r="S4706" t="s">
        <v>19447</v>
      </c>
      <c r="T4706" t="s">
        <v>19901</v>
      </c>
    </row>
    <row r="4707" spans="2:20" x14ac:dyDescent="0.25">
      <c r="B4707" t="s">
        <v>2709</v>
      </c>
      <c r="C4707">
        <v>39081012</v>
      </c>
      <c r="E4707">
        <v>80</v>
      </c>
      <c r="F4707">
        <v>18</v>
      </c>
      <c r="G4707">
        <v>5</v>
      </c>
      <c r="H4707" t="s">
        <v>19447</v>
      </c>
      <c r="I4707" t="s">
        <v>19447</v>
      </c>
      <c r="J4707">
        <v>2</v>
      </c>
      <c r="L4707" t="s">
        <v>2709</v>
      </c>
      <c r="M4707">
        <v>39081012</v>
      </c>
      <c r="O4707" t="s">
        <v>20063</v>
      </c>
      <c r="P4707" t="s">
        <v>19899</v>
      </c>
      <c r="Q4707" t="s">
        <v>19909</v>
      </c>
      <c r="R4707" t="s">
        <v>19447</v>
      </c>
      <c r="S4707" t="s">
        <v>19447</v>
      </c>
      <c r="T4707" t="s">
        <v>19901</v>
      </c>
    </row>
    <row r="4708" spans="2:20" x14ac:dyDescent="0.25">
      <c r="B4708" t="s">
        <v>2709</v>
      </c>
      <c r="C4708">
        <v>39081013</v>
      </c>
      <c r="E4708">
        <v>80</v>
      </c>
      <c r="F4708">
        <v>18</v>
      </c>
      <c r="G4708">
        <v>5</v>
      </c>
      <c r="H4708" t="s">
        <v>19447</v>
      </c>
      <c r="I4708" t="s">
        <v>19447</v>
      </c>
      <c r="J4708">
        <v>14</v>
      </c>
      <c r="L4708" t="s">
        <v>2709</v>
      </c>
      <c r="M4708">
        <v>39081013</v>
      </c>
      <c r="O4708" t="s">
        <v>20063</v>
      </c>
      <c r="P4708" t="s">
        <v>19899</v>
      </c>
      <c r="Q4708" t="s">
        <v>19909</v>
      </c>
      <c r="R4708" t="s">
        <v>19447</v>
      </c>
      <c r="S4708" t="s">
        <v>19447</v>
      </c>
      <c r="T4708" t="s">
        <v>19911</v>
      </c>
    </row>
    <row r="4709" spans="2:20" x14ac:dyDescent="0.25">
      <c r="B4709" t="s">
        <v>2709</v>
      </c>
      <c r="C4709">
        <v>39081014</v>
      </c>
      <c r="E4709">
        <v>80</v>
      </c>
      <c r="F4709">
        <v>18</v>
      </c>
      <c r="G4709">
        <v>5</v>
      </c>
      <c r="H4709" t="s">
        <v>19447</v>
      </c>
      <c r="I4709" t="s">
        <v>19447</v>
      </c>
      <c r="J4709">
        <v>14</v>
      </c>
      <c r="L4709" t="s">
        <v>2709</v>
      </c>
      <c r="M4709">
        <v>39081014</v>
      </c>
      <c r="O4709" t="s">
        <v>20063</v>
      </c>
      <c r="P4709" t="s">
        <v>19899</v>
      </c>
      <c r="Q4709" t="s">
        <v>19909</v>
      </c>
      <c r="R4709" t="s">
        <v>19447</v>
      </c>
      <c r="S4709" t="s">
        <v>19447</v>
      </c>
      <c r="T4709" t="s">
        <v>19911</v>
      </c>
    </row>
    <row r="4710" spans="2:20" x14ac:dyDescent="0.25">
      <c r="B4710" t="s">
        <v>2709</v>
      </c>
      <c r="C4710">
        <v>39081019</v>
      </c>
      <c r="E4710">
        <v>80</v>
      </c>
      <c r="F4710">
        <v>18</v>
      </c>
      <c r="G4710">
        <v>5</v>
      </c>
      <c r="H4710" t="s">
        <v>19447</v>
      </c>
      <c r="I4710" t="s">
        <v>19447</v>
      </c>
      <c r="J4710">
        <v>2</v>
      </c>
      <c r="L4710" t="s">
        <v>2709</v>
      </c>
      <c r="M4710">
        <v>39081019</v>
      </c>
      <c r="O4710" t="s">
        <v>20063</v>
      </c>
      <c r="P4710" t="s">
        <v>19899</v>
      </c>
      <c r="Q4710" t="s">
        <v>19909</v>
      </c>
      <c r="R4710" t="s">
        <v>19447</v>
      </c>
      <c r="S4710" t="s">
        <v>19447</v>
      </c>
      <c r="T4710" t="s">
        <v>19901</v>
      </c>
    </row>
    <row r="4711" spans="2:20" x14ac:dyDescent="0.25">
      <c r="B4711" t="s">
        <v>2709</v>
      </c>
      <c r="C4711">
        <v>39081021</v>
      </c>
      <c r="E4711">
        <v>80</v>
      </c>
      <c r="F4711">
        <v>18</v>
      </c>
      <c r="G4711">
        <v>5</v>
      </c>
      <c r="H4711" t="s">
        <v>19447</v>
      </c>
      <c r="I4711" t="s">
        <v>19447</v>
      </c>
      <c r="J4711">
        <v>2</v>
      </c>
      <c r="L4711" t="s">
        <v>2709</v>
      </c>
      <c r="M4711">
        <v>39081021</v>
      </c>
      <c r="O4711" t="s">
        <v>20063</v>
      </c>
      <c r="P4711" t="s">
        <v>19899</v>
      </c>
      <c r="Q4711" t="s">
        <v>19909</v>
      </c>
      <c r="R4711" t="s">
        <v>19447</v>
      </c>
      <c r="S4711" t="s">
        <v>19447</v>
      </c>
      <c r="T4711" t="s">
        <v>19901</v>
      </c>
    </row>
    <row r="4712" spans="2:20" x14ac:dyDescent="0.25">
      <c r="B4712" t="s">
        <v>2709</v>
      </c>
      <c r="C4712">
        <v>39081022</v>
      </c>
      <c r="E4712">
        <v>80</v>
      </c>
      <c r="F4712">
        <v>18</v>
      </c>
      <c r="G4712">
        <v>5</v>
      </c>
      <c r="H4712" t="s">
        <v>19447</v>
      </c>
      <c r="I4712" t="s">
        <v>19447</v>
      </c>
      <c r="J4712">
        <v>2</v>
      </c>
      <c r="L4712" t="s">
        <v>2709</v>
      </c>
      <c r="M4712">
        <v>39081022</v>
      </c>
      <c r="O4712" t="s">
        <v>20063</v>
      </c>
      <c r="P4712" t="s">
        <v>19899</v>
      </c>
      <c r="Q4712" t="s">
        <v>19909</v>
      </c>
      <c r="R4712" t="s">
        <v>19447</v>
      </c>
      <c r="S4712" t="s">
        <v>19447</v>
      </c>
      <c r="T4712" t="s">
        <v>19901</v>
      </c>
    </row>
    <row r="4713" spans="2:20" x14ac:dyDescent="0.25">
      <c r="B4713" t="s">
        <v>2709</v>
      </c>
      <c r="C4713">
        <v>39081023</v>
      </c>
      <c r="E4713">
        <v>80</v>
      </c>
      <c r="F4713">
        <v>18</v>
      </c>
      <c r="G4713">
        <v>5</v>
      </c>
      <c r="H4713" t="s">
        <v>19447</v>
      </c>
      <c r="I4713" t="s">
        <v>19447</v>
      </c>
      <c r="J4713">
        <v>14</v>
      </c>
      <c r="L4713" t="s">
        <v>2709</v>
      </c>
      <c r="M4713">
        <v>39081023</v>
      </c>
      <c r="O4713" t="s">
        <v>20063</v>
      </c>
      <c r="P4713" t="s">
        <v>19899</v>
      </c>
      <c r="Q4713" t="s">
        <v>19909</v>
      </c>
      <c r="R4713" t="s">
        <v>19447</v>
      </c>
      <c r="S4713" t="s">
        <v>19447</v>
      </c>
      <c r="T4713" t="s">
        <v>19911</v>
      </c>
    </row>
    <row r="4714" spans="2:20" x14ac:dyDescent="0.25">
      <c r="B4714" t="s">
        <v>2709</v>
      </c>
      <c r="C4714">
        <v>39081024</v>
      </c>
      <c r="E4714">
        <v>80</v>
      </c>
      <c r="F4714">
        <v>18</v>
      </c>
      <c r="G4714">
        <v>5</v>
      </c>
      <c r="H4714" t="s">
        <v>19447</v>
      </c>
      <c r="I4714" t="s">
        <v>19447</v>
      </c>
      <c r="J4714">
        <v>14</v>
      </c>
      <c r="L4714" t="s">
        <v>2709</v>
      </c>
      <c r="M4714">
        <v>39081024</v>
      </c>
      <c r="O4714" t="s">
        <v>20063</v>
      </c>
      <c r="P4714" t="s">
        <v>19899</v>
      </c>
      <c r="Q4714" t="s">
        <v>19909</v>
      </c>
      <c r="R4714" t="s">
        <v>19447</v>
      </c>
      <c r="S4714" t="s">
        <v>19447</v>
      </c>
      <c r="T4714" t="s">
        <v>19911</v>
      </c>
    </row>
    <row r="4715" spans="2:20" x14ac:dyDescent="0.25">
      <c r="B4715" t="s">
        <v>2709</v>
      </c>
      <c r="C4715">
        <v>39081029</v>
      </c>
      <c r="E4715">
        <v>80</v>
      </c>
      <c r="F4715">
        <v>18</v>
      </c>
      <c r="G4715">
        <v>5</v>
      </c>
      <c r="H4715" t="s">
        <v>19447</v>
      </c>
      <c r="I4715" t="s">
        <v>19447</v>
      </c>
      <c r="J4715">
        <v>2</v>
      </c>
      <c r="L4715" t="s">
        <v>2709</v>
      </c>
      <c r="M4715">
        <v>39081029</v>
      </c>
      <c r="O4715" t="s">
        <v>20063</v>
      </c>
      <c r="P4715" t="s">
        <v>19899</v>
      </c>
      <c r="Q4715" t="s">
        <v>19909</v>
      </c>
      <c r="R4715" t="s">
        <v>19447</v>
      </c>
      <c r="S4715" t="s">
        <v>19447</v>
      </c>
      <c r="T4715" t="s">
        <v>19901</v>
      </c>
    </row>
    <row r="4716" spans="2:20" x14ac:dyDescent="0.25">
      <c r="B4716" t="s">
        <v>2709</v>
      </c>
      <c r="C4716">
        <v>39089010</v>
      </c>
      <c r="E4716">
        <v>80</v>
      </c>
      <c r="F4716">
        <v>18</v>
      </c>
      <c r="G4716">
        <v>5</v>
      </c>
      <c r="H4716" t="s">
        <v>19447</v>
      </c>
      <c r="I4716" t="s">
        <v>19447</v>
      </c>
      <c r="J4716">
        <v>2</v>
      </c>
      <c r="L4716" t="s">
        <v>2709</v>
      </c>
      <c r="M4716">
        <v>39089010</v>
      </c>
      <c r="O4716" t="s">
        <v>20063</v>
      </c>
      <c r="P4716" t="s">
        <v>19899</v>
      </c>
      <c r="Q4716" t="s">
        <v>19909</v>
      </c>
      <c r="R4716" t="s">
        <v>19447</v>
      </c>
      <c r="S4716" t="s">
        <v>19447</v>
      </c>
      <c r="T4716" t="s">
        <v>19901</v>
      </c>
    </row>
    <row r="4717" spans="2:20" x14ac:dyDescent="0.25">
      <c r="B4717" t="s">
        <v>2709</v>
      </c>
      <c r="C4717">
        <v>39089020</v>
      </c>
      <c r="E4717">
        <v>80</v>
      </c>
      <c r="F4717">
        <v>18</v>
      </c>
      <c r="G4717">
        <v>5</v>
      </c>
      <c r="H4717" t="s">
        <v>19447</v>
      </c>
      <c r="I4717" t="s">
        <v>19447</v>
      </c>
      <c r="J4717">
        <v>14</v>
      </c>
      <c r="L4717" t="s">
        <v>2709</v>
      </c>
      <c r="M4717">
        <v>39089020</v>
      </c>
      <c r="O4717" t="s">
        <v>20063</v>
      </c>
      <c r="P4717" t="s">
        <v>19899</v>
      </c>
      <c r="Q4717" t="s">
        <v>19909</v>
      </c>
      <c r="R4717" t="s">
        <v>19447</v>
      </c>
      <c r="S4717" t="s">
        <v>19447</v>
      </c>
      <c r="T4717" t="s">
        <v>19911</v>
      </c>
    </row>
    <row r="4718" spans="2:20" x14ac:dyDescent="0.25">
      <c r="B4718" t="s">
        <v>2709</v>
      </c>
      <c r="C4718">
        <v>39089090</v>
      </c>
      <c r="E4718">
        <v>80</v>
      </c>
      <c r="F4718">
        <v>18</v>
      </c>
      <c r="G4718">
        <v>5</v>
      </c>
      <c r="H4718" t="s">
        <v>19447</v>
      </c>
      <c r="I4718" t="s">
        <v>19447</v>
      </c>
      <c r="J4718">
        <v>2</v>
      </c>
      <c r="L4718" t="s">
        <v>2709</v>
      </c>
      <c r="M4718">
        <v>39089090</v>
      </c>
      <c r="O4718" t="s">
        <v>20063</v>
      </c>
      <c r="P4718" t="s">
        <v>19899</v>
      </c>
      <c r="Q4718" t="s">
        <v>19909</v>
      </c>
      <c r="R4718" t="s">
        <v>19447</v>
      </c>
      <c r="S4718" t="s">
        <v>19447</v>
      </c>
      <c r="T4718" t="s">
        <v>19901</v>
      </c>
    </row>
    <row r="4719" spans="2:20" x14ac:dyDescent="0.25">
      <c r="B4719" t="s">
        <v>2709</v>
      </c>
      <c r="C4719">
        <v>39091000</v>
      </c>
      <c r="E4719">
        <v>38</v>
      </c>
      <c r="F4719">
        <v>18</v>
      </c>
      <c r="G4719">
        <v>5</v>
      </c>
      <c r="H4719" t="s">
        <v>19447</v>
      </c>
      <c r="I4719" t="s">
        <v>19447</v>
      </c>
      <c r="J4719">
        <v>14</v>
      </c>
      <c r="L4719" t="s">
        <v>2709</v>
      </c>
      <c r="M4719">
        <v>39091000</v>
      </c>
      <c r="O4719" t="s">
        <v>20008</v>
      </c>
      <c r="P4719" t="s">
        <v>19899</v>
      </c>
      <c r="Q4719" t="s">
        <v>19909</v>
      </c>
      <c r="R4719" t="s">
        <v>19447</v>
      </c>
      <c r="S4719" t="s">
        <v>19447</v>
      </c>
      <c r="T4719" t="s">
        <v>19911</v>
      </c>
    </row>
    <row r="4720" spans="2:20" x14ac:dyDescent="0.25">
      <c r="B4720" t="s">
        <v>2709</v>
      </c>
      <c r="C4720">
        <v>39092011</v>
      </c>
      <c r="E4720">
        <v>38</v>
      </c>
      <c r="F4720">
        <v>18</v>
      </c>
      <c r="G4720">
        <v>5</v>
      </c>
      <c r="H4720" t="s">
        <v>19447</v>
      </c>
      <c r="I4720" t="s">
        <v>19447</v>
      </c>
      <c r="J4720">
        <v>14</v>
      </c>
      <c r="L4720" t="s">
        <v>2709</v>
      </c>
      <c r="M4720">
        <v>39092011</v>
      </c>
      <c r="O4720" t="s">
        <v>20008</v>
      </c>
      <c r="P4720" t="s">
        <v>19899</v>
      </c>
      <c r="Q4720" t="s">
        <v>19909</v>
      </c>
      <c r="R4720" t="s">
        <v>19447</v>
      </c>
      <c r="S4720" t="s">
        <v>19447</v>
      </c>
      <c r="T4720" t="s">
        <v>19911</v>
      </c>
    </row>
    <row r="4721" spans="2:20" x14ac:dyDescent="0.25">
      <c r="B4721" t="s">
        <v>2709</v>
      </c>
      <c r="C4721">
        <v>39092019</v>
      </c>
      <c r="E4721">
        <v>38</v>
      </c>
      <c r="F4721">
        <v>18</v>
      </c>
      <c r="G4721">
        <v>5</v>
      </c>
      <c r="H4721" t="s">
        <v>19447</v>
      </c>
      <c r="I4721" t="s">
        <v>19447</v>
      </c>
      <c r="J4721">
        <v>14</v>
      </c>
      <c r="L4721" t="s">
        <v>2709</v>
      </c>
      <c r="M4721">
        <v>39092019</v>
      </c>
      <c r="O4721" t="s">
        <v>20008</v>
      </c>
      <c r="P4721" t="s">
        <v>19899</v>
      </c>
      <c r="Q4721" t="s">
        <v>19909</v>
      </c>
      <c r="R4721" t="s">
        <v>19447</v>
      </c>
      <c r="S4721" t="s">
        <v>19447</v>
      </c>
      <c r="T4721" t="s">
        <v>19911</v>
      </c>
    </row>
    <row r="4722" spans="2:20" x14ac:dyDescent="0.25">
      <c r="B4722" t="s">
        <v>2709</v>
      </c>
      <c r="C4722">
        <v>39092021</v>
      </c>
      <c r="E4722">
        <v>38</v>
      </c>
      <c r="F4722">
        <v>18</v>
      </c>
      <c r="G4722">
        <v>5</v>
      </c>
      <c r="H4722" t="s">
        <v>19447</v>
      </c>
      <c r="I4722" t="s">
        <v>19447</v>
      </c>
      <c r="J4722">
        <v>14</v>
      </c>
      <c r="L4722" t="s">
        <v>2709</v>
      </c>
      <c r="M4722">
        <v>39092021</v>
      </c>
      <c r="O4722" t="s">
        <v>20008</v>
      </c>
      <c r="P4722" t="s">
        <v>19899</v>
      </c>
      <c r="Q4722" t="s">
        <v>19909</v>
      </c>
      <c r="R4722" t="s">
        <v>19447</v>
      </c>
      <c r="S4722" t="s">
        <v>19447</v>
      </c>
      <c r="T4722" t="s">
        <v>19911</v>
      </c>
    </row>
    <row r="4723" spans="2:20" x14ac:dyDescent="0.25">
      <c r="B4723" t="s">
        <v>2709</v>
      </c>
      <c r="C4723">
        <v>39092029</v>
      </c>
      <c r="E4723">
        <v>38</v>
      </c>
      <c r="F4723">
        <v>18</v>
      </c>
      <c r="G4723">
        <v>5</v>
      </c>
      <c r="H4723" t="s">
        <v>19447</v>
      </c>
      <c r="I4723" t="s">
        <v>19447</v>
      </c>
      <c r="J4723">
        <v>14</v>
      </c>
      <c r="L4723" t="s">
        <v>2709</v>
      </c>
      <c r="M4723">
        <v>39092029</v>
      </c>
      <c r="O4723" t="s">
        <v>20008</v>
      </c>
      <c r="P4723" t="s">
        <v>19899</v>
      </c>
      <c r="Q4723" t="s">
        <v>19909</v>
      </c>
      <c r="R4723" t="s">
        <v>19447</v>
      </c>
      <c r="S4723" t="s">
        <v>19447</v>
      </c>
      <c r="T4723" t="s">
        <v>19911</v>
      </c>
    </row>
    <row r="4724" spans="2:20" x14ac:dyDescent="0.25">
      <c r="B4724" t="s">
        <v>2709</v>
      </c>
      <c r="C4724">
        <v>39093010</v>
      </c>
      <c r="E4724">
        <v>38</v>
      </c>
      <c r="F4724">
        <v>18</v>
      </c>
      <c r="G4724">
        <v>5</v>
      </c>
      <c r="H4724" t="s">
        <v>19447</v>
      </c>
      <c r="I4724" t="s">
        <v>19447</v>
      </c>
      <c r="J4724">
        <v>14</v>
      </c>
      <c r="L4724" t="s">
        <v>2709</v>
      </c>
      <c r="M4724">
        <v>39093010</v>
      </c>
      <c r="O4724" t="s">
        <v>20008</v>
      </c>
      <c r="P4724" t="s">
        <v>19899</v>
      </c>
      <c r="Q4724" t="s">
        <v>19909</v>
      </c>
      <c r="R4724" t="s">
        <v>19447</v>
      </c>
      <c r="S4724" t="s">
        <v>19447</v>
      </c>
      <c r="T4724" t="s">
        <v>19911</v>
      </c>
    </row>
    <row r="4725" spans="2:20" x14ac:dyDescent="0.25">
      <c r="B4725" t="s">
        <v>2709</v>
      </c>
      <c r="C4725">
        <v>39093020</v>
      </c>
      <c r="E4725">
        <v>38</v>
      </c>
      <c r="F4725">
        <v>18</v>
      </c>
      <c r="G4725">
        <v>5</v>
      </c>
      <c r="H4725" t="s">
        <v>19447</v>
      </c>
      <c r="I4725" t="s">
        <v>19447</v>
      </c>
      <c r="J4725">
        <v>14</v>
      </c>
      <c r="L4725" t="s">
        <v>2709</v>
      </c>
      <c r="M4725">
        <v>39093020</v>
      </c>
      <c r="O4725" t="s">
        <v>20008</v>
      </c>
      <c r="P4725" t="s">
        <v>19899</v>
      </c>
      <c r="Q4725" t="s">
        <v>19909</v>
      </c>
      <c r="R4725" t="s">
        <v>19447</v>
      </c>
      <c r="S4725" t="s">
        <v>19447</v>
      </c>
      <c r="T4725" t="s">
        <v>19911</v>
      </c>
    </row>
    <row r="4726" spans="2:20" x14ac:dyDescent="0.25">
      <c r="B4726" t="s">
        <v>2709</v>
      </c>
      <c r="C4726">
        <v>39094011</v>
      </c>
      <c r="E4726">
        <v>38</v>
      </c>
      <c r="F4726">
        <v>18</v>
      </c>
      <c r="G4726">
        <v>5</v>
      </c>
      <c r="H4726" t="s">
        <v>19447</v>
      </c>
      <c r="I4726" t="s">
        <v>19447</v>
      </c>
      <c r="J4726">
        <v>14</v>
      </c>
      <c r="L4726" t="s">
        <v>2709</v>
      </c>
      <c r="M4726">
        <v>39094011</v>
      </c>
      <c r="O4726" t="s">
        <v>20008</v>
      </c>
      <c r="P4726" t="s">
        <v>19899</v>
      </c>
      <c r="Q4726" t="s">
        <v>19909</v>
      </c>
      <c r="R4726" t="s">
        <v>19447</v>
      </c>
      <c r="S4726" t="s">
        <v>19447</v>
      </c>
      <c r="T4726" t="s">
        <v>19911</v>
      </c>
    </row>
    <row r="4727" spans="2:20" x14ac:dyDescent="0.25">
      <c r="B4727" t="s">
        <v>2709</v>
      </c>
      <c r="C4727">
        <v>39094019</v>
      </c>
      <c r="E4727">
        <v>38</v>
      </c>
      <c r="F4727">
        <v>18</v>
      </c>
      <c r="G4727">
        <v>5</v>
      </c>
      <c r="H4727" t="s">
        <v>19447</v>
      </c>
      <c r="I4727" t="s">
        <v>19447</v>
      </c>
      <c r="J4727">
        <v>14</v>
      </c>
      <c r="L4727" t="s">
        <v>2709</v>
      </c>
      <c r="M4727">
        <v>39094019</v>
      </c>
      <c r="O4727" t="s">
        <v>20008</v>
      </c>
      <c r="P4727" t="s">
        <v>19899</v>
      </c>
      <c r="Q4727" t="s">
        <v>19909</v>
      </c>
      <c r="R4727" t="s">
        <v>19447</v>
      </c>
      <c r="S4727" t="s">
        <v>19447</v>
      </c>
      <c r="T4727" t="s">
        <v>19911</v>
      </c>
    </row>
    <row r="4728" spans="2:20" x14ac:dyDescent="0.25">
      <c r="B4728" t="s">
        <v>2709</v>
      </c>
      <c r="C4728">
        <v>39094091</v>
      </c>
      <c r="E4728">
        <v>38</v>
      </c>
      <c r="F4728">
        <v>18</v>
      </c>
      <c r="G4728">
        <v>5</v>
      </c>
      <c r="H4728" t="s">
        <v>19447</v>
      </c>
      <c r="I4728" t="s">
        <v>19447</v>
      </c>
      <c r="J4728">
        <v>14</v>
      </c>
      <c r="L4728" t="s">
        <v>2709</v>
      </c>
      <c r="M4728">
        <v>39094091</v>
      </c>
      <c r="O4728" t="s">
        <v>20008</v>
      </c>
      <c r="P4728" t="s">
        <v>19899</v>
      </c>
      <c r="Q4728" t="s">
        <v>19909</v>
      </c>
      <c r="R4728" t="s">
        <v>19447</v>
      </c>
      <c r="S4728" t="s">
        <v>19447</v>
      </c>
      <c r="T4728" t="s">
        <v>19911</v>
      </c>
    </row>
    <row r="4729" spans="2:20" x14ac:dyDescent="0.25">
      <c r="B4729" t="s">
        <v>2709</v>
      </c>
      <c r="C4729">
        <v>39094099</v>
      </c>
      <c r="E4729">
        <v>38</v>
      </c>
      <c r="F4729">
        <v>18</v>
      </c>
      <c r="G4729">
        <v>5</v>
      </c>
      <c r="H4729" t="s">
        <v>19447</v>
      </c>
      <c r="I4729" t="s">
        <v>19447</v>
      </c>
      <c r="J4729">
        <v>14</v>
      </c>
      <c r="L4729" t="s">
        <v>2709</v>
      </c>
      <c r="M4729">
        <v>39094099</v>
      </c>
      <c r="O4729" t="s">
        <v>20008</v>
      </c>
      <c r="P4729" t="s">
        <v>19899</v>
      </c>
      <c r="Q4729" t="s">
        <v>19909</v>
      </c>
      <c r="R4729" t="s">
        <v>19447</v>
      </c>
      <c r="S4729" t="s">
        <v>19447</v>
      </c>
      <c r="T4729" t="s">
        <v>19911</v>
      </c>
    </row>
    <row r="4730" spans="2:20" x14ac:dyDescent="0.25">
      <c r="B4730" t="s">
        <v>2709</v>
      </c>
      <c r="C4730">
        <v>39095011</v>
      </c>
      <c r="E4730">
        <v>38</v>
      </c>
      <c r="F4730">
        <v>18</v>
      </c>
      <c r="G4730">
        <v>5</v>
      </c>
      <c r="H4730" t="s">
        <v>19447</v>
      </c>
      <c r="I4730" t="s">
        <v>19447</v>
      </c>
      <c r="J4730">
        <v>14</v>
      </c>
      <c r="L4730" t="s">
        <v>2709</v>
      </c>
      <c r="M4730">
        <v>39095011</v>
      </c>
      <c r="O4730" t="s">
        <v>20008</v>
      </c>
      <c r="P4730" t="s">
        <v>19899</v>
      </c>
      <c r="Q4730" t="s">
        <v>19909</v>
      </c>
      <c r="R4730" t="s">
        <v>19447</v>
      </c>
      <c r="S4730" t="s">
        <v>19447</v>
      </c>
      <c r="T4730" t="s">
        <v>19911</v>
      </c>
    </row>
    <row r="4731" spans="2:20" x14ac:dyDescent="0.25">
      <c r="B4731" t="s">
        <v>2709</v>
      </c>
      <c r="C4731">
        <v>39095012</v>
      </c>
      <c r="E4731">
        <v>38</v>
      </c>
      <c r="F4731">
        <v>18</v>
      </c>
      <c r="G4731">
        <v>5</v>
      </c>
      <c r="H4731" t="s">
        <v>19447</v>
      </c>
      <c r="I4731" t="s">
        <v>19447</v>
      </c>
      <c r="J4731">
        <v>2</v>
      </c>
      <c r="L4731" t="s">
        <v>2709</v>
      </c>
      <c r="M4731">
        <v>39095012</v>
      </c>
      <c r="O4731" t="s">
        <v>20008</v>
      </c>
      <c r="P4731" t="s">
        <v>19899</v>
      </c>
      <c r="Q4731" t="s">
        <v>19909</v>
      </c>
      <c r="R4731" t="s">
        <v>19447</v>
      </c>
      <c r="S4731" t="s">
        <v>19447</v>
      </c>
      <c r="T4731" t="s">
        <v>19901</v>
      </c>
    </row>
    <row r="4732" spans="2:20" x14ac:dyDescent="0.25">
      <c r="B4732" t="s">
        <v>2709</v>
      </c>
      <c r="C4732">
        <v>39095019</v>
      </c>
      <c r="E4732">
        <v>38</v>
      </c>
      <c r="F4732">
        <v>18</v>
      </c>
      <c r="G4732">
        <v>5</v>
      </c>
      <c r="H4732" t="s">
        <v>19447</v>
      </c>
      <c r="I4732" t="s">
        <v>19447</v>
      </c>
      <c r="J4732">
        <v>14</v>
      </c>
      <c r="L4732" t="s">
        <v>2709</v>
      </c>
      <c r="M4732">
        <v>39095019</v>
      </c>
      <c r="O4732" t="s">
        <v>20008</v>
      </c>
      <c r="P4732" t="s">
        <v>19899</v>
      </c>
      <c r="Q4732" t="s">
        <v>19909</v>
      </c>
      <c r="R4732" t="s">
        <v>19447</v>
      </c>
      <c r="S4732" t="s">
        <v>19447</v>
      </c>
      <c r="T4732" t="s">
        <v>19911</v>
      </c>
    </row>
    <row r="4733" spans="2:20" x14ac:dyDescent="0.25">
      <c r="B4733" t="s">
        <v>2709</v>
      </c>
      <c r="C4733">
        <v>39095021</v>
      </c>
      <c r="E4733">
        <v>38</v>
      </c>
      <c r="F4733">
        <v>18</v>
      </c>
      <c r="G4733">
        <v>5</v>
      </c>
      <c r="H4733" t="s">
        <v>19447</v>
      </c>
      <c r="I4733" t="s">
        <v>19447</v>
      </c>
      <c r="J4733">
        <v>2</v>
      </c>
      <c r="L4733" t="s">
        <v>2709</v>
      </c>
      <c r="M4733">
        <v>39095021</v>
      </c>
      <c r="O4733" t="s">
        <v>20008</v>
      </c>
      <c r="P4733" t="s">
        <v>19899</v>
      </c>
      <c r="Q4733" t="s">
        <v>19909</v>
      </c>
      <c r="R4733" t="s">
        <v>19447</v>
      </c>
      <c r="S4733" t="s">
        <v>19447</v>
      </c>
      <c r="T4733" t="s">
        <v>19901</v>
      </c>
    </row>
    <row r="4734" spans="2:20" x14ac:dyDescent="0.25">
      <c r="B4734" t="s">
        <v>2709</v>
      </c>
      <c r="C4734">
        <v>39095029</v>
      </c>
      <c r="E4734">
        <v>38</v>
      </c>
      <c r="F4734">
        <v>18</v>
      </c>
      <c r="G4734">
        <v>5</v>
      </c>
      <c r="H4734" t="s">
        <v>19447</v>
      </c>
      <c r="I4734" t="s">
        <v>19447</v>
      </c>
      <c r="J4734">
        <v>14</v>
      </c>
      <c r="L4734" t="s">
        <v>2709</v>
      </c>
      <c r="M4734">
        <v>39095029</v>
      </c>
      <c r="O4734" t="s">
        <v>20008</v>
      </c>
      <c r="P4734" t="s">
        <v>19899</v>
      </c>
      <c r="Q4734" t="s">
        <v>19909</v>
      </c>
      <c r="R4734" t="s">
        <v>19447</v>
      </c>
      <c r="S4734" t="s">
        <v>19447</v>
      </c>
      <c r="T4734" t="s">
        <v>19911</v>
      </c>
    </row>
    <row r="4735" spans="2:20" x14ac:dyDescent="0.25">
      <c r="B4735" t="s">
        <v>2709</v>
      </c>
      <c r="C4735">
        <v>39100011</v>
      </c>
      <c r="E4735">
        <v>57</v>
      </c>
      <c r="F4735">
        <v>18</v>
      </c>
      <c r="G4735">
        <v>5</v>
      </c>
      <c r="H4735" t="s">
        <v>19447</v>
      </c>
      <c r="I4735" t="s">
        <v>19447</v>
      </c>
      <c r="J4735">
        <v>2</v>
      </c>
      <c r="L4735" t="s">
        <v>2709</v>
      </c>
      <c r="M4735">
        <v>39100011</v>
      </c>
      <c r="O4735" t="s">
        <v>20064</v>
      </c>
      <c r="P4735" t="s">
        <v>19899</v>
      </c>
      <c r="Q4735" t="s">
        <v>19909</v>
      </c>
      <c r="R4735" t="s">
        <v>19447</v>
      </c>
      <c r="S4735" t="s">
        <v>19447</v>
      </c>
      <c r="T4735" t="s">
        <v>19901</v>
      </c>
    </row>
    <row r="4736" spans="2:20" x14ac:dyDescent="0.25">
      <c r="B4736" t="s">
        <v>2709</v>
      </c>
      <c r="C4736">
        <v>39100012</v>
      </c>
      <c r="E4736">
        <v>57</v>
      </c>
      <c r="F4736">
        <v>18</v>
      </c>
      <c r="G4736">
        <v>5</v>
      </c>
      <c r="H4736" t="s">
        <v>19447</v>
      </c>
      <c r="I4736" t="s">
        <v>19447</v>
      </c>
      <c r="J4736">
        <v>14</v>
      </c>
      <c r="L4736" t="s">
        <v>2709</v>
      </c>
      <c r="M4736">
        <v>39100012</v>
      </c>
      <c r="O4736" t="s">
        <v>20064</v>
      </c>
      <c r="P4736" t="s">
        <v>19899</v>
      </c>
      <c r="Q4736" t="s">
        <v>19909</v>
      </c>
      <c r="R4736" t="s">
        <v>19447</v>
      </c>
      <c r="S4736" t="s">
        <v>19447</v>
      </c>
      <c r="T4736" t="s">
        <v>19911</v>
      </c>
    </row>
    <row r="4737" spans="2:20" x14ac:dyDescent="0.25">
      <c r="B4737" t="s">
        <v>2709</v>
      </c>
      <c r="C4737">
        <v>39100013</v>
      </c>
      <c r="E4737">
        <v>57</v>
      </c>
      <c r="F4737">
        <v>18</v>
      </c>
      <c r="G4737">
        <v>5</v>
      </c>
      <c r="H4737" t="s">
        <v>19447</v>
      </c>
      <c r="I4737" t="s">
        <v>19447</v>
      </c>
      <c r="J4737">
        <v>2</v>
      </c>
      <c r="L4737" t="s">
        <v>2709</v>
      </c>
      <c r="M4737">
        <v>39100013</v>
      </c>
      <c r="O4737" t="s">
        <v>20064</v>
      </c>
      <c r="P4737" t="s">
        <v>19899</v>
      </c>
      <c r="Q4737" t="s">
        <v>19909</v>
      </c>
      <c r="R4737" t="s">
        <v>19447</v>
      </c>
      <c r="S4737" t="s">
        <v>19447</v>
      </c>
      <c r="T4737" t="s">
        <v>19901</v>
      </c>
    </row>
    <row r="4738" spans="2:20" x14ac:dyDescent="0.25">
      <c r="B4738" t="s">
        <v>2709</v>
      </c>
      <c r="C4738">
        <v>39100019</v>
      </c>
      <c r="E4738">
        <v>57</v>
      </c>
      <c r="F4738">
        <v>18</v>
      </c>
      <c r="G4738">
        <v>5</v>
      </c>
      <c r="H4738" t="s">
        <v>19447</v>
      </c>
      <c r="I4738" t="s">
        <v>19447</v>
      </c>
      <c r="J4738">
        <v>14</v>
      </c>
      <c r="L4738" t="s">
        <v>2709</v>
      </c>
      <c r="M4738">
        <v>39100019</v>
      </c>
      <c r="O4738" t="s">
        <v>20064</v>
      </c>
      <c r="P4738" t="s">
        <v>19899</v>
      </c>
      <c r="Q4738" t="s">
        <v>19909</v>
      </c>
      <c r="R4738" t="s">
        <v>19447</v>
      </c>
      <c r="S4738" t="s">
        <v>19447</v>
      </c>
      <c r="T4738" t="s">
        <v>19911</v>
      </c>
    </row>
    <row r="4739" spans="2:20" x14ac:dyDescent="0.25">
      <c r="B4739" t="s">
        <v>2709</v>
      </c>
      <c r="C4739">
        <v>39100021</v>
      </c>
      <c r="E4739">
        <v>57</v>
      </c>
      <c r="F4739">
        <v>18</v>
      </c>
      <c r="G4739">
        <v>5</v>
      </c>
      <c r="H4739" t="s">
        <v>19447</v>
      </c>
      <c r="I4739" t="s">
        <v>19447</v>
      </c>
      <c r="J4739">
        <v>2</v>
      </c>
      <c r="L4739" t="s">
        <v>2709</v>
      </c>
      <c r="M4739">
        <v>39100021</v>
      </c>
      <c r="O4739" t="s">
        <v>20064</v>
      </c>
      <c r="P4739" t="s">
        <v>19899</v>
      </c>
      <c r="Q4739" t="s">
        <v>19909</v>
      </c>
      <c r="R4739" t="s">
        <v>19447</v>
      </c>
      <c r="S4739" t="s">
        <v>19447</v>
      </c>
      <c r="T4739" t="s">
        <v>19901</v>
      </c>
    </row>
    <row r="4740" spans="2:20" x14ac:dyDescent="0.25">
      <c r="B4740" t="s">
        <v>2709</v>
      </c>
      <c r="C4740">
        <v>39100029</v>
      </c>
      <c r="E4740">
        <v>57</v>
      </c>
      <c r="F4740">
        <v>18</v>
      </c>
      <c r="G4740">
        <v>5</v>
      </c>
      <c r="H4740" t="s">
        <v>19447</v>
      </c>
      <c r="I4740" t="s">
        <v>19447</v>
      </c>
      <c r="J4740">
        <v>14</v>
      </c>
      <c r="L4740" t="s">
        <v>2709</v>
      </c>
      <c r="M4740">
        <v>39100029</v>
      </c>
      <c r="O4740" t="s">
        <v>20064</v>
      </c>
      <c r="P4740" t="s">
        <v>19899</v>
      </c>
      <c r="Q4740" t="s">
        <v>19909</v>
      </c>
      <c r="R4740" t="s">
        <v>19447</v>
      </c>
      <c r="S4740" t="s">
        <v>19447</v>
      </c>
      <c r="T4740" t="s">
        <v>19911</v>
      </c>
    </row>
    <row r="4741" spans="2:20" x14ac:dyDescent="0.25">
      <c r="B4741" t="s">
        <v>2709</v>
      </c>
      <c r="C4741">
        <v>39100030</v>
      </c>
      <c r="E4741">
        <v>57</v>
      </c>
      <c r="F4741">
        <v>18</v>
      </c>
      <c r="G4741">
        <v>5</v>
      </c>
      <c r="H4741" t="s">
        <v>19447</v>
      </c>
      <c r="I4741" t="s">
        <v>19447</v>
      </c>
      <c r="J4741">
        <v>14</v>
      </c>
      <c r="L4741" t="s">
        <v>2709</v>
      </c>
      <c r="M4741">
        <v>39100030</v>
      </c>
      <c r="O4741" t="s">
        <v>20064</v>
      </c>
      <c r="P4741" t="s">
        <v>19899</v>
      </c>
      <c r="Q4741" t="s">
        <v>19909</v>
      </c>
      <c r="R4741" t="s">
        <v>19447</v>
      </c>
      <c r="S4741" t="s">
        <v>19447</v>
      </c>
      <c r="T4741" t="s">
        <v>19911</v>
      </c>
    </row>
    <row r="4742" spans="2:20" x14ac:dyDescent="0.25">
      <c r="B4742" t="s">
        <v>2709</v>
      </c>
      <c r="C4742">
        <v>39100090</v>
      </c>
      <c r="E4742">
        <v>57</v>
      </c>
      <c r="F4742">
        <v>18</v>
      </c>
      <c r="G4742">
        <v>5</v>
      </c>
      <c r="H4742" t="s">
        <v>19447</v>
      </c>
      <c r="I4742" t="s">
        <v>19447</v>
      </c>
      <c r="J4742">
        <v>14</v>
      </c>
      <c r="L4742" t="s">
        <v>2709</v>
      </c>
      <c r="M4742">
        <v>39100090</v>
      </c>
      <c r="O4742" t="s">
        <v>20064</v>
      </c>
      <c r="P4742" t="s">
        <v>19899</v>
      </c>
      <c r="Q4742" t="s">
        <v>19909</v>
      </c>
      <c r="R4742" t="s">
        <v>19447</v>
      </c>
      <c r="S4742" t="s">
        <v>19447</v>
      </c>
      <c r="T4742" t="s">
        <v>19911</v>
      </c>
    </row>
    <row r="4743" spans="2:20" x14ac:dyDescent="0.25">
      <c r="B4743" t="s">
        <v>2709</v>
      </c>
      <c r="C4743">
        <v>39111010</v>
      </c>
      <c r="E4743">
        <v>38</v>
      </c>
      <c r="F4743">
        <v>18</v>
      </c>
      <c r="G4743">
        <v>5</v>
      </c>
      <c r="H4743" t="s">
        <v>19447</v>
      </c>
      <c r="I4743" t="s">
        <v>19447</v>
      </c>
      <c r="J4743">
        <v>14</v>
      </c>
      <c r="L4743" t="s">
        <v>2709</v>
      </c>
      <c r="M4743">
        <v>39111010</v>
      </c>
      <c r="O4743" t="s">
        <v>20008</v>
      </c>
      <c r="P4743" t="s">
        <v>19899</v>
      </c>
      <c r="Q4743" t="s">
        <v>19909</v>
      </c>
      <c r="R4743" t="s">
        <v>19447</v>
      </c>
      <c r="S4743" t="s">
        <v>19447</v>
      </c>
      <c r="T4743" t="s">
        <v>19911</v>
      </c>
    </row>
    <row r="4744" spans="2:20" x14ac:dyDescent="0.25">
      <c r="B4744" t="s">
        <v>2709</v>
      </c>
      <c r="C4744">
        <v>39111021</v>
      </c>
      <c r="E4744">
        <v>38</v>
      </c>
      <c r="F4744">
        <v>18</v>
      </c>
      <c r="G4744">
        <v>5</v>
      </c>
      <c r="H4744" t="s">
        <v>19447</v>
      </c>
      <c r="I4744" t="s">
        <v>19447</v>
      </c>
      <c r="J4744">
        <v>2</v>
      </c>
      <c r="L4744" t="s">
        <v>2709</v>
      </c>
      <c r="M4744">
        <v>39111021</v>
      </c>
      <c r="O4744" t="s">
        <v>20008</v>
      </c>
      <c r="P4744" t="s">
        <v>19899</v>
      </c>
      <c r="Q4744" t="s">
        <v>19909</v>
      </c>
      <c r="R4744" t="s">
        <v>19447</v>
      </c>
      <c r="S4744" t="s">
        <v>19447</v>
      </c>
      <c r="T4744" t="s">
        <v>19901</v>
      </c>
    </row>
    <row r="4745" spans="2:20" x14ac:dyDescent="0.25">
      <c r="B4745" t="s">
        <v>2709</v>
      </c>
      <c r="C4745">
        <v>39111029</v>
      </c>
      <c r="E4745">
        <v>38</v>
      </c>
      <c r="F4745">
        <v>18</v>
      </c>
      <c r="G4745">
        <v>5</v>
      </c>
      <c r="H4745" t="s">
        <v>19447</v>
      </c>
      <c r="I4745" t="s">
        <v>19447</v>
      </c>
      <c r="J4745">
        <v>14</v>
      </c>
      <c r="L4745" t="s">
        <v>2709</v>
      </c>
      <c r="M4745">
        <v>39111029</v>
      </c>
      <c r="O4745" t="s">
        <v>20008</v>
      </c>
      <c r="P4745" t="s">
        <v>19899</v>
      </c>
      <c r="Q4745" t="s">
        <v>19909</v>
      </c>
      <c r="R4745" t="s">
        <v>19447</v>
      </c>
      <c r="S4745" t="s">
        <v>19447</v>
      </c>
      <c r="T4745" t="s">
        <v>19911</v>
      </c>
    </row>
    <row r="4746" spans="2:20" x14ac:dyDescent="0.25">
      <c r="B4746" t="s">
        <v>2709</v>
      </c>
      <c r="C4746">
        <v>39119011</v>
      </c>
      <c r="E4746">
        <v>38</v>
      </c>
      <c r="F4746">
        <v>18</v>
      </c>
      <c r="G4746">
        <v>5</v>
      </c>
      <c r="H4746" t="s">
        <v>19447</v>
      </c>
      <c r="I4746" t="s">
        <v>19447</v>
      </c>
      <c r="J4746">
        <v>14</v>
      </c>
      <c r="L4746" t="s">
        <v>2709</v>
      </c>
      <c r="M4746">
        <v>39119011</v>
      </c>
      <c r="O4746" t="s">
        <v>20008</v>
      </c>
      <c r="P4746" t="s">
        <v>19899</v>
      </c>
      <c r="Q4746" t="s">
        <v>19909</v>
      </c>
      <c r="R4746" t="s">
        <v>19447</v>
      </c>
      <c r="S4746" t="s">
        <v>19447</v>
      </c>
      <c r="T4746" t="s">
        <v>19911</v>
      </c>
    </row>
    <row r="4747" spans="2:20" x14ac:dyDescent="0.25">
      <c r="B4747" t="s">
        <v>2709</v>
      </c>
      <c r="C4747">
        <v>39119012</v>
      </c>
      <c r="E4747">
        <v>38</v>
      </c>
      <c r="F4747">
        <v>18</v>
      </c>
      <c r="G4747">
        <v>5</v>
      </c>
      <c r="H4747" t="s">
        <v>19447</v>
      </c>
      <c r="I4747" t="s">
        <v>19447</v>
      </c>
      <c r="J4747">
        <v>2</v>
      </c>
      <c r="L4747" t="s">
        <v>2709</v>
      </c>
      <c r="M4747">
        <v>39119012</v>
      </c>
      <c r="O4747" t="s">
        <v>20008</v>
      </c>
      <c r="P4747" t="s">
        <v>19899</v>
      </c>
      <c r="Q4747" t="s">
        <v>19909</v>
      </c>
      <c r="R4747" t="s">
        <v>19447</v>
      </c>
      <c r="S4747" t="s">
        <v>19447</v>
      </c>
      <c r="T4747" t="s">
        <v>19901</v>
      </c>
    </row>
    <row r="4748" spans="2:20" x14ac:dyDescent="0.25">
      <c r="B4748" t="s">
        <v>2709</v>
      </c>
      <c r="C4748">
        <v>39119013</v>
      </c>
      <c r="E4748">
        <v>38</v>
      </c>
      <c r="F4748">
        <v>18</v>
      </c>
      <c r="G4748">
        <v>5</v>
      </c>
      <c r="H4748" t="s">
        <v>19447</v>
      </c>
      <c r="I4748" t="s">
        <v>19447</v>
      </c>
      <c r="J4748">
        <v>2</v>
      </c>
      <c r="L4748" t="s">
        <v>2709</v>
      </c>
      <c r="M4748">
        <v>39119013</v>
      </c>
      <c r="O4748" t="s">
        <v>20008</v>
      </c>
      <c r="P4748" t="s">
        <v>19899</v>
      </c>
      <c r="Q4748" t="s">
        <v>19909</v>
      </c>
      <c r="R4748" t="s">
        <v>19447</v>
      </c>
      <c r="S4748" t="s">
        <v>19447</v>
      </c>
      <c r="T4748" t="s">
        <v>19901</v>
      </c>
    </row>
    <row r="4749" spans="2:20" x14ac:dyDescent="0.25">
      <c r="B4749" t="s">
        <v>2709</v>
      </c>
      <c r="C4749">
        <v>39119014</v>
      </c>
      <c r="E4749">
        <v>38</v>
      </c>
      <c r="F4749">
        <v>18</v>
      </c>
      <c r="G4749">
        <v>5</v>
      </c>
      <c r="H4749" t="s">
        <v>19447</v>
      </c>
      <c r="I4749" t="s">
        <v>19447</v>
      </c>
      <c r="J4749">
        <v>2</v>
      </c>
      <c r="L4749" t="s">
        <v>2709</v>
      </c>
      <c r="M4749">
        <v>39119014</v>
      </c>
      <c r="O4749" t="s">
        <v>20008</v>
      </c>
      <c r="P4749" t="s">
        <v>19899</v>
      </c>
      <c r="Q4749" t="s">
        <v>19909</v>
      </c>
      <c r="R4749" t="s">
        <v>19447</v>
      </c>
      <c r="S4749" t="s">
        <v>19447</v>
      </c>
      <c r="T4749" t="s">
        <v>19901</v>
      </c>
    </row>
    <row r="4750" spans="2:20" x14ac:dyDescent="0.25">
      <c r="B4750" t="s">
        <v>2709</v>
      </c>
      <c r="C4750">
        <v>39119019</v>
      </c>
      <c r="E4750">
        <v>38</v>
      </c>
      <c r="F4750">
        <v>18</v>
      </c>
      <c r="G4750">
        <v>5</v>
      </c>
      <c r="H4750" t="s">
        <v>19447</v>
      </c>
      <c r="I4750" t="s">
        <v>19447</v>
      </c>
      <c r="J4750">
        <v>14</v>
      </c>
      <c r="L4750" t="s">
        <v>2709</v>
      </c>
      <c r="M4750">
        <v>39119019</v>
      </c>
      <c r="O4750" t="s">
        <v>20008</v>
      </c>
      <c r="P4750" t="s">
        <v>19899</v>
      </c>
      <c r="Q4750" t="s">
        <v>19909</v>
      </c>
      <c r="R4750" t="s">
        <v>19447</v>
      </c>
      <c r="S4750" t="s">
        <v>19447</v>
      </c>
      <c r="T4750" t="s">
        <v>19911</v>
      </c>
    </row>
    <row r="4751" spans="2:20" x14ac:dyDescent="0.25">
      <c r="B4751" t="s">
        <v>2709</v>
      </c>
      <c r="C4751">
        <v>39119021</v>
      </c>
      <c r="E4751">
        <v>38</v>
      </c>
      <c r="F4751">
        <v>18</v>
      </c>
      <c r="G4751">
        <v>5</v>
      </c>
      <c r="H4751" t="s">
        <v>19447</v>
      </c>
      <c r="I4751" t="s">
        <v>19447</v>
      </c>
      <c r="J4751">
        <v>14</v>
      </c>
      <c r="L4751" t="s">
        <v>2709</v>
      </c>
      <c r="M4751">
        <v>39119021</v>
      </c>
      <c r="O4751" t="s">
        <v>20008</v>
      </c>
      <c r="P4751" t="s">
        <v>19899</v>
      </c>
      <c r="Q4751" t="s">
        <v>19909</v>
      </c>
      <c r="R4751" t="s">
        <v>19447</v>
      </c>
      <c r="S4751" t="s">
        <v>19447</v>
      </c>
      <c r="T4751" t="s">
        <v>19911</v>
      </c>
    </row>
    <row r="4752" spans="2:20" x14ac:dyDescent="0.25">
      <c r="B4752" t="s">
        <v>2709</v>
      </c>
      <c r="C4752">
        <v>39119022</v>
      </c>
      <c r="E4752">
        <v>38</v>
      </c>
      <c r="F4752">
        <v>18</v>
      </c>
      <c r="G4752">
        <v>5</v>
      </c>
      <c r="H4752" t="s">
        <v>19447</v>
      </c>
      <c r="I4752" t="s">
        <v>19447</v>
      </c>
      <c r="J4752">
        <v>2</v>
      </c>
      <c r="L4752" t="s">
        <v>2709</v>
      </c>
      <c r="M4752">
        <v>39119022</v>
      </c>
      <c r="O4752" t="s">
        <v>20008</v>
      </c>
      <c r="P4752" t="s">
        <v>19899</v>
      </c>
      <c r="Q4752" t="s">
        <v>19909</v>
      </c>
      <c r="R4752" t="s">
        <v>19447</v>
      </c>
      <c r="S4752" t="s">
        <v>19447</v>
      </c>
      <c r="T4752" t="s">
        <v>19901</v>
      </c>
    </row>
    <row r="4753" spans="2:20" x14ac:dyDescent="0.25">
      <c r="B4753" t="s">
        <v>2709</v>
      </c>
      <c r="C4753">
        <v>39119023</v>
      </c>
      <c r="E4753">
        <v>38</v>
      </c>
      <c r="F4753">
        <v>18</v>
      </c>
      <c r="G4753">
        <v>5</v>
      </c>
      <c r="H4753" t="s">
        <v>19447</v>
      </c>
      <c r="I4753" t="s">
        <v>19447</v>
      </c>
      <c r="J4753">
        <v>2</v>
      </c>
      <c r="L4753" t="s">
        <v>2709</v>
      </c>
      <c r="M4753">
        <v>39119023</v>
      </c>
      <c r="O4753" t="s">
        <v>20008</v>
      </c>
      <c r="P4753" t="s">
        <v>19899</v>
      </c>
      <c r="Q4753" t="s">
        <v>19909</v>
      </c>
      <c r="R4753" t="s">
        <v>19447</v>
      </c>
      <c r="S4753" t="s">
        <v>19447</v>
      </c>
      <c r="T4753" t="s">
        <v>19901</v>
      </c>
    </row>
    <row r="4754" spans="2:20" x14ac:dyDescent="0.25">
      <c r="B4754" t="s">
        <v>2709</v>
      </c>
      <c r="C4754">
        <v>39119024</v>
      </c>
      <c r="E4754">
        <v>38</v>
      </c>
      <c r="F4754">
        <v>18</v>
      </c>
      <c r="G4754">
        <v>5</v>
      </c>
      <c r="H4754" t="s">
        <v>19447</v>
      </c>
      <c r="I4754" t="s">
        <v>19447</v>
      </c>
      <c r="J4754">
        <v>2</v>
      </c>
      <c r="L4754" t="s">
        <v>2709</v>
      </c>
      <c r="M4754">
        <v>39119024</v>
      </c>
      <c r="O4754" t="s">
        <v>20008</v>
      </c>
      <c r="P4754" t="s">
        <v>19899</v>
      </c>
      <c r="Q4754" t="s">
        <v>19909</v>
      </c>
      <c r="R4754" t="s">
        <v>19447</v>
      </c>
      <c r="S4754" t="s">
        <v>19447</v>
      </c>
      <c r="T4754" t="s">
        <v>19901</v>
      </c>
    </row>
    <row r="4755" spans="2:20" x14ac:dyDescent="0.25">
      <c r="B4755" t="s">
        <v>2709</v>
      </c>
      <c r="C4755">
        <v>39119025</v>
      </c>
      <c r="E4755">
        <v>38</v>
      </c>
      <c r="F4755">
        <v>18</v>
      </c>
      <c r="G4755">
        <v>5</v>
      </c>
      <c r="H4755" t="s">
        <v>19447</v>
      </c>
      <c r="I4755" t="s">
        <v>19447</v>
      </c>
      <c r="J4755">
        <v>2</v>
      </c>
      <c r="L4755" t="s">
        <v>2709</v>
      </c>
      <c r="M4755">
        <v>39119025</v>
      </c>
      <c r="O4755" t="s">
        <v>20008</v>
      </c>
      <c r="P4755" t="s">
        <v>19899</v>
      </c>
      <c r="Q4755" t="s">
        <v>19909</v>
      </c>
      <c r="R4755" t="s">
        <v>19447</v>
      </c>
      <c r="S4755" t="s">
        <v>19447</v>
      </c>
      <c r="T4755" t="s">
        <v>19901</v>
      </c>
    </row>
    <row r="4756" spans="2:20" x14ac:dyDescent="0.25">
      <c r="B4756" t="s">
        <v>2709</v>
      </c>
      <c r="C4756">
        <v>39119026</v>
      </c>
      <c r="E4756">
        <v>38</v>
      </c>
      <c r="F4756">
        <v>18</v>
      </c>
      <c r="G4756">
        <v>5</v>
      </c>
      <c r="H4756" t="s">
        <v>19447</v>
      </c>
      <c r="I4756" t="s">
        <v>19447</v>
      </c>
      <c r="J4756">
        <v>2</v>
      </c>
      <c r="L4756" t="s">
        <v>2709</v>
      </c>
      <c r="M4756">
        <v>39119026</v>
      </c>
      <c r="O4756" t="s">
        <v>20008</v>
      </c>
      <c r="P4756" t="s">
        <v>19899</v>
      </c>
      <c r="Q4756" t="s">
        <v>19909</v>
      </c>
      <c r="R4756" t="s">
        <v>19447</v>
      </c>
      <c r="S4756" t="s">
        <v>19447</v>
      </c>
      <c r="T4756" t="s">
        <v>19901</v>
      </c>
    </row>
    <row r="4757" spans="2:20" x14ac:dyDescent="0.25">
      <c r="B4757" t="s">
        <v>2709</v>
      </c>
      <c r="C4757">
        <v>39119029</v>
      </c>
      <c r="E4757">
        <v>38</v>
      </c>
      <c r="F4757">
        <v>18</v>
      </c>
      <c r="G4757">
        <v>5</v>
      </c>
      <c r="H4757" t="s">
        <v>19447</v>
      </c>
      <c r="I4757" t="s">
        <v>19447</v>
      </c>
      <c r="J4757">
        <v>14</v>
      </c>
      <c r="L4757" t="s">
        <v>2709</v>
      </c>
      <c r="M4757">
        <v>39119029</v>
      </c>
      <c r="O4757" t="s">
        <v>20008</v>
      </c>
      <c r="P4757" t="s">
        <v>19899</v>
      </c>
      <c r="Q4757" t="s">
        <v>19909</v>
      </c>
      <c r="R4757" t="s">
        <v>19447</v>
      </c>
      <c r="S4757" t="s">
        <v>19447</v>
      </c>
      <c r="T4757" t="s">
        <v>19911</v>
      </c>
    </row>
    <row r="4758" spans="2:20" x14ac:dyDescent="0.25">
      <c r="B4758" t="s">
        <v>2709</v>
      </c>
      <c r="C4758">
        <v>39121110</v>
      </c>
      <c r="E4758">
        <v>80</v>
      </c>
      <c r="F4758">
        <v>18</v>
      </c>
      <c r="G4758">
        <v>5</v>
      </c>
      <c r="H4758" t="s">
        <v>19447</v>
      </c>
      <c r="I4758" t="s">
        <v>19447</v>
      </c>
      <c r="J4758">
        <v>8</v>
      </c>
      <c r="L4758" t="s">
        <v>2709</v>
      </c>
      <c r="M4758">
        <v>39121110</v>
      </c>
      <c r="O4758" t="s">
        <v>20063</v>
      </c>
      <c r="P4758" t="s">
        <v>19899</v>
      </c>
      <c r="Q4758" t="s">
        <v>19909</v>
      </c>
      <c r="R4758" t="s">
        <v>19447</v>
      </c>
      <c r="S4758" t="s">
        <v>19447</v>
      </c>
      <c r="T4758" t="s">
        <v>19918</v>
      </c>
    </row>
    <row r="4759" spans="2:20" x14ac:dyDescent="0.25">
      <c r="B4759" t="s">
        <v>2709</v>
      </c>
      <c r="C4759">
        <v>39121120</v>
      </c>
      <c r="E4759">
        <v>80</v>
      </c>
      <c r="F4759">
        <v>18</v>
      </c>
      <c r="G4759">
        <v>5</v>
      </c>
      <c r="H4759" t="s">
        <v>19447</v>
      </c>
      <c r="I4759" t="s">
        <v>19447</v>
      </c>
      <c r="J4759">
        <v>2</v>
      </c>
      <c r="L4759" t="s">
        <v>2709</v>
      </c>
      <c r="M4759">
        <v>39121120</v>
      </c>
      <c r="O4759" t="s">
        <v>20063</v>
      </c>
      <c r="P4759" t="s">
        <v>19899</v>
      </c>
      <c r="Q4759" t="s">
        <v>19909</v>
      </c>
      <c r="R4759" t="s">
        <v>19447</v>
      </c>
      <c r="S4759" t="s">
        <v>19447</v>
      </c>
      <c r="T4759" t="s">
        <v>19901</v>
      </c>
    </row>
    <row r="4760" spans="2:20" x14ac:dyDescent="0.25">
      <c r="B4760" t="s">
        <v>2709</v>
      </c>
      <c r="C4760">
        <v>39121200</v>
      </c>
      <c r="E4760">
        <v>80</v>
      </c>
      <c r="F4760">
        <v>18</v>
      </c>
      <c r="G4760">
        <v>5</v>
      </c>
      <c r="H4760" t="s">
        <v>19447</v>
      </c>
      <c r="I4760" t="s">
        <v>19447</v>
      </c>
      <c r="J4760">
        <v>2</v>
      </c>
      <c r="L4760" t="s">
        <v>2709</v>
      </c>
      <c r="M4760">
        <v>39121200</v>
      </c>
      <c r="O4760" t="s">
        <v>20063</v>
      </c>
      <c r="P4760" t="s">
        <v>19899</v>
      </c>
      <c r="Q4760" t="s">
        <v>19909</v>
      </c>
      <c r="R4760" t="s">
        <v>19447</v>
      </c>
      <c r="S4760" t="s">
        <v>19447</v>
      </c>
      <c r="T4760" t="s">
        <v>19901</v>
      </c>
    </row>
    <row r="4761" spans="2:20" x14ac:dyDescent="0.25">
      <c r="B4761" t="s">
        <v>2709</v>
      </c>
      <c r="C4761">
        <v>39122010</v>
      </c>
      <c r="E4761">
        <v>80</v>
      </c>
      <c r="F4761">
        <v>18</v>
      </c>
      <c r="G4761">
        <v>5</v>
      </c>
      <c r="H4761" t="s">
        <v>19447</v>
      </c>
      <c r="I4761" t="s">
        <v>19447</v>
      </c>
      <c r="J4761">
        <v>14</v>
      </c>
      <c r="L4761" t="s">
        <v>2709</v>
      </c>
      <c r="M4761">
        <v>39122010</v>
      </c>
      <c r="O4761" t="s">
        <v>20063</v>
      </c>
      <c r="P4761" t="s">
        <v>19899</v>
      </c>
      <c r="Q4761" t="s">
        <v>19909</v>
      </c>
      <c r="R4761" t="s">
        <v>19447</v>
      </c>
      <c r="S4761" t="s">
        <v>19447</v>
      </c>
      <c r="T4761" t="s">
        <v>19911</v>
      </c>
    </row>
    <row r="4762" spans="2:20" x14ac:dyDescent="0.25">
      <c r="B4762" t="s">
        <v>2709</v>
      </c>
      <c r="C4762">
        <v>39122021</v>
      </c>
      <c r="E4762">
        <v>80</v>
      </c>
      <c r="F4762">
        <v>18</v>
      </c>
      <c r="G4762">
        <v>5</v>
      </c>
      <c r="H4762" t="s">
        <v>19447</v>
      </c>
      <c r="I4762" t="s">
        <v>19447</v>
      </c>
      <c r="J4762">
        <v>14</v>
      </c>
      <c r="L4762" t="s">
        <v>2709</v>
      </c>
      <c r="M4762">
        <v>39122021</v>
      </c>
      <c r="O4762" t="s">
        <v>20063</v>
      </c>
      <c r="P4762" t="s">
        <v>19899</v>
      </c>
      <c r="Q4762" t="s">
        <v>19909</v>
      </c>
      <c r="R4762" t="s">
        <v>19447</v>
      </c>
      <c r="S4762" t="s">
        <v>19447</v>
      </c>
      <c r="T4762" t="s">
        <v>19911</v>
      </c>
    </row>
    <row r="4763" spans="2:20" x14ac:dyDescent="0.25">
      <c r="B4763" t="s">
        <v>2709</v>
      </c>
      <c r="C4763">
        <v>39122029</v>
      </c>
      <c r="E4763">
        <v>80</v>
      </c>
      <c r="F4763">
        <v>18</v>
      </c>
      <c r="G4763">
        <v>5</v>
      </c>
      <c r="H4763" t="s">
        <v>19447</v>
      </c>
      <c r="I4763" t="s">
        <v>19447</v>
      </c>
      <c r="J4763">
        <v>14</v>
      </c>
      <c r="L4763" t="s">
        <v>2709</v>
      </c>
      <c r="M4763">
        <v>39122029</v>
      </c>
      <c r="O4763" t="s">
        <v>20063</v>
      </c>
      <c r="P4763" t="s">
        <v>19899</v>
      </c>
      <c r="Q4763" t="s">
        <v>19909</v>
      </c>
      <c r="R4763" t="s">
        <v>19447</v>
      </c>
      <c r="S4763" t="s">
        <v>19447</v>
      </c>
      <c r="T4763" t="s">
        <v>19911</v>
      </c>
    </row>
    <row r="4764" spans="2:20" x14ac:dyDescent="0.25">
      <c r="B4764" t="s">
        <v>2709</v>
      </c>
      <c r="C4764">
        <v>39123111</v>
      </c>
      <c r="E4764">
        <v>80</v>
      </c>
      <c r="F4764">
        <v>18</v>
      </c>
      <c r="G4764">
        <v>5</v>
      </c>
      <c r="H4764" t="s">
        <v>19447</v>
      </c>
      <c r="I4764" t="s">
        <v>19447</v>
      </c>
      <c r="J4764">
        <v>14</v>
      </c>
      <c r="L4764" t="s">
        <v>2709</v>
      </c>
      <c r="M4764">
        <v>39123111</v>
      </c>
      <c r="O4764" t="s">
        <v>20063</v>
      </c>
      <c r="P4764" t="s">
        <v>19899</v>
      </c>
      <c r="Q4764" t="s">
        <v>19909</v>
      </c>
      <c r="R4764" t="s">
        <v>19447</v>
      </c>
      <c r="S4764" t="s">
        <v>19447</v>
      </c>
      <c r="T4764" t="s">
        <v>19911</v>
      </c>
    </row>
    <row r="4765" spans="2:20" x14ac:dyDescent="0.25">
      <c r="B4765" t="s">
        <v>2709</v>
      </c>
      <c r="C4765">
        <v>39123119</v>
      </c>
      <c r="E4765">
        <v>80</v>
      </c>
      <c r="F4765">
        <v>18</v>
      </c>
      <c r="G4765">
        <v>5</v>
      </c>
      <c r="H4765" t="s">
        <v>19447</v>
      </c>
      <c r="I4765" t="s">
        <v>19447</v>
      </c>
      <c r="J4765">
        <v>14</v>
      </c>
      <c r="L4765" t="s">
        <v>2709</v>
      </c>
      <c r="M4765">
        <v>39123119</v>
      </c>
      <c r="O4765" t="s">
        <v>20063</v>
      </c>
      <c r="P4765" t="s">
        <v>19899</v>
      </c>
      <c r="Q4765" t="s">
        <v>19909</v>
      </c>
      <c r="R4765" t="s">
        <v>19447</v>
      </c>
      <c r="S4765" t="s">
        <v>19447</v>
      </c>
      <c r="T4765" t="s">
        <v>19911</v>
      </c>
    </row>
    <row r="4766" spans="2:20" x14ac:dyDescent="0.25">
      <c r="B4766" t="s">
        <v>2709</v>
      </c>
      <c r="C4766">
        <v>39123121</v>
      </c>
      <c r="E4766">
        <v>80</v>
      </c>
      <c r="F4766">
        <v>18</v>
      </c>
      <c r="G4766">
        <v>5</v>
      </c>
      <c r="H4766" t="s">
        <v>19447</v>
      </c>
      <c r="I4766" t="s">
        <v>19447</v>
      </c>
      <c r="J4766">
        <v>14</v>
      </c>
      <c r="L4766" t="s">
        <v>2709</v>
      </c>
      <c r="M4766">
        <v>39123121</v>
      </c>
      <c r="O4766" t="s">
        <v>20063</v>
      </c>
      <c r="P4766" t="s">
        <v>19899</v>
      </c>
      <c r="Q4766" t="s">
        <v>19909</v>
      </c>
      <c r="R4766" t="s">
        <v>19447</v>
      </c>
      <c r="S4766" t="s">
        <v>19447</v>
      </c>
      <c r="T4766" t="s">
        <v>19911</v>
      </c>
    </row>
    <row r="4767" spans="2:20" x14ac:dyDescent="0.25">
      <c r="B4767" t="s">
        <v>2709</v>
      </c>
      <c r="C4767">
        <v>39123129</v>
      </c>
      <c r="E4767">
        <v>80</v>
      </c>
      <c r="F4767">
        <v>18</v>
      </c>
      <c r="G4767">
        <v>5</v>
      </c>
      <c r="H4767" t="s">
        <v>19447</v>
      </c>
      <c r="I4767" t="s">
        <v>19447</v>
      </c>
      <c r="J4767">
        <v>14</v>
      </c>
      <c r="L4767" t="s">
        <v>2709</v>
      </c>
      <c r="M4767">
        <v>39123129</v>
      </c>
      <c r="O4767" t="s">
        <v>20063</v>
      </c>
      <c r="P4767" t="s">
        <v>19899</v>
      </c>
      <c r="Q4767" t="s">
        <v>19909</v>
      </c>
      <c r="R4767" t="s">
        <v>19447</v>
      </c>
      <c r="S4767" t="s">
        <v>19447</v>
      </c>
      <c r="T4767" t="s">
        <v>19911</v>
      </c>
    </row>
    <row r="4768" spans="2:20" x14ac:dyDescent="0.25">
      <c r="B4768" t="s">
        <v>2709</v>
      </c>
      <c r="C4768">
        <v>39123910</v>
      </c>
      <c r="E4768">
        <v>80</v>
      </c>
      <c r="F4768">
        <v>18</v>
      </c>
      <c r="G4768">
        <v>5</v>
      </c>
      <c r="H4768" t="s">
        <v>19447</v>
      </c>
      <c r="I4768" t="s">
        <v>19447</v>
      </c>
      <c r="J4768">
        <v>2</v>
      </c>
      <c r="L4768" t="s">
        <v>2709</v>
      </c>
      <c r="M4768">
        <v>39123910</v>
      </c>
      <c r="O4768" t="s">
        <v>20063</v>
      </c>
      <c r="P4768" t="s">
        <v>19899</v>
      </c>
      <c r="Q4768" t="s">
        <v>19909</v>
      </c>
      <c r="R4768" t="s">
        <v>19447</v>
      </c>
      <c r="S4768" t="s">
        <v>19447</v>
      </c>
      <c r="T4768" t="s">
        <v>19901</v>
      </c>
    </row>
    <row r="4769" spans="2:20" x14ac:dyDescent="0.25">
      <c r="B4769" t="s">
        <v>2709</v>
      </c>
      <c r="C4769">
        <v>39123920</v>
      </c>
      <c r="E4769">
        <v>80</v>
      </c>
      <c r="F4769">
        <v>18</v>
      </c>
      <c r="G4769">
        <v>5</v>
      </c>
      <c r="H4769" t="s">
        <v>19447</v>
      </c>
      <c r="I4769" t="s">
        <v>19447</v>
      </c>
      <c r="J4769">
        <v>2</v>
      </c>
      <c r="L4769" t="s">
        <v>2709</v>
      </c>
      <c r="M4769">
        <v>39123920</v>
      </c>
      <c r="O4769" t="s">
        <v>20063</v>
      </c>
      <c r="P4769" t="s">
        <v>19899</v>
      </c>
      <c r="Q4769" t="s">
        <v>19909</v>
      </c>
      <c r="R4769" t="s">
        <v>19447</v>
      </c>
      <c r="S4769" t="s">
        <v>19447</v>
      </c>
      <c r="T4769" t="s">
        <v>19901</v>
      </c>
    </row>
    <row r="4770" spans="2:20" x14ac:dyDescent="0.25">
      <c r="B4770" t="s">
        <v>2709</v>
      </c>
      <c r="C4770">
        <v>39123930</v>
      </c>
      <c r="E4770">
        <v>80</v>
      </c>
      <c r="F4770">
        <v>18</v>
      </c>
      <c r="G4770">
        <v>5</v>
      </c>
      <c r="H4770" t="s">
        <v>19447</v>
      </c>
      <c r="I4770" t="s">
        <v>19447</v>
      </c>
      <c r="J4770">
        <v>2</v>
      </c>
      <c r="L4770" t="s">
        <v>2709</v>
      </c>
      <c r="M4770">
        <v>39123930</v>
      </c>
      <c r="O4770" t="s">
        <v>20063</v>
      </c>
      <c r="P4770" t="s">
        <v>19899</v>
      </c>
      <c r="Q4770" t="s">
        <v>19909</v>
      </c>
      <c r="R4770" t="s">
        <v>19447</v>
      </c>
      <c r="S4770" t="s">
        <v>19447</v>
      </c>
      <c r="T4770" t="s">
        <v>19901</v>
      </c>
    </row>
    <row r="4771" spans="2:20" x14ac:dyDescent="0.25">
      <c r="B4771" t="s">
        <v>2709</v>
      </c>
      <c r="C4771">
        <v>39123990</v>
      </c>
      <c r="E4771">
        <v>80</v>
      </c>
      <c r="F4771">
        <v>18</v>
      </c>
      <c r="G4771">
        <v>5</v>
      </c>
      <c r="H4771" t="s">
        <v>19447</v>
      </c>
      <c r="I4771" t="s">
        <v>19447</v>
      </c>
      <c r="J4771">
        <v>2</v>
      </c>
      <c r="L4771" t="s">
        <v>2709</v>
      </c>
      <c r="M4771">
        <v>39123990</v>
      </c>
      <c r="O4771" t="s">
        <v>20063</v>
      </c>
      <c r="P4771" t="s">
        <v>19899</v>
      </c>
      <c r="Q4771" t="s">
        <v>19909</v>
      </c>
      <c r="R4771" t="s">
        <v>19447</v>
      </c>
      <c r="S4771" t="s">
        <v>19447</v>
      </c>
      <c r="T4771" t="s">
        <v>19901</v>
      </c>
    </row>
    <row r="4772" spans="2:20" x14ac:dyDescent="0.25">
      <c r="B4772" t="s">
        <v>2709</v>
      </c>
      <c r="C4772">
        <v>39129010</v>
      </c>
      <c r="E4772">
        <v>80</v>
      </c>
      <c r="F4772">
        <v>18</v>
      </c>
      <c r="G4772">
        <v>5</v>
      </c>
      <c r="H4772" t="s">
        <v>19447</v>
      </c>
      <c r="I4772" t="s">
        <v>19447</v>
      </c>
      <c r="J4772">
        <v>2</v>
      </c>
      <c r="L4772" t="s">
        <v>2709</v>
      </c>
      <c r="M4772">
        <v>39129010</v>
      </c>
      <c r="O4772" t="s">
        <v>20063</v>
      </c>
      <c r="P4772" t="s">
        <v>19899</v>
      </c>
      <c r="Q4772" t="s">
        <v>19909</v>
      </c>
      <c r="R4772" t="s">
        <v>19447</v>
      </c>
      <c r="S4772" t="s">
        <v>19447</v>
      </c>
      <c r="T4772" t="s">
        <v>19901</v>
      </c>
    </row>
    <row r="4773" spans="2:20" x14ac:dyDescent="0.25">
      <c r="B4773" t="s">
        <v>2709</v>
      </c>
      <c r="C4773">
        <v>39129020</v>
      </c>
      <c r="E4773">
        <v>80</v>
      </c>
      <c r="F4773">
        <v>18</v>
      </c>
      <c r="G4773">
        <v>5</v>
      </c>
      <c r="H4773" t="s">
        <v>19447</v>
      </c>
      <c r="I4773" t="s">
        <v>19447</v>
      </c>
      <c r="J4773">
        <v>2</v>
      </c>
      <c r="L4773" t="s">
        <v>2709</v>
      </c>
      <c r="M4773">
        <v>39129020</v>
      </c>
      <c r="O4773" t="s">
        <v>20063</v>
      </c>
      <c r="P4773" t="s">
        <v>19899</v>
      </c>
      <c r="Q4773" t="s">
        <v>19909</v>
      </c>
      <c r="R4773" t="s">
        <v>19447</v>
      </c>
      <c r="S4773" t="s">
        <v>19447</v>
      </c>
      <c r="T4773" t="s">
        <v>19901</v>
      </c>
    </row>
    <row r="4774" spans="2:20" x14ac:dyDescent="0.25">
      <c r="B4774" t="s">
        <v>2709</v>
      </c>
      <c r="C4774">
        <v>39129031</v>
      </c>
      <c r="E4774">
        <v>80</v>
      </c>
      <c r="F4774">
        <v>18</v>
      </c>
      <c r="G4774">
        <v>5</v>
      </c>
      <c r="H4774" t="s">
        <v>19447</v>
      </c>
      <c r="I4774" t="s">
        <v>19447</v>
      </c>
      <c r="J4774">
        <v>14</v>
      </c>
      <c r="L4774" t="s">
        <v>2709</v>
      </c>
      <c r="M4774">
        <v>39129031</v>
      </c>
      <c r="O4774" t="s">
        <v>20063</v>
      </c>
      <c r="P4774" t="s">
        <v>19899</v>
      </c>
      <c r="Q4774" t="s">
        <v>19909</v>
      </c>
      <c r="R4774" t="s">
        <v>19447</v>
      </c>
      <c r="S4774" t="s">
        <v>19447</v>
      </c>
      <c r="T4774" t="s">
        <v>19911</v>
      </c>
    </row>
    <row r="4775" spans="2:20" x14ac:dyDescent="0.25">
      <c r="B4775" t="s">
        <v>2709</v>
      </c>
      <c r="C4775">
        <v>39129039</v>
      </c>
      <c r="E4775">
        <v>80</v>
      </c>
      <c r="F4775">
        <v>18</v>
      </c>
      <c r="G4775">
        <v>5</v>
      </c>
      <c r="H4775" t="s">
        <v>19447</v>
      </c>
      <c r="I4775" t="s">
        <v>19447</v>
      </c>
      <c r="J4775">
        <v>14</v>
      </c>
      <c r="L4775" t="s">
        <v>2709</v>
      </c>
      <c r="M4775">
        <v>39129039</v>
      </c>
      <c r="O4775" t="s">
        <v>20063</v>
      </c>
      <c r="P4775" t="s">
        <v>19899</v>
      </c>
      <c r="Q4775" t="s">
        <v>19909</v>
      </c>
      <c r="R4775" t="s">
        <v>19447</v>
      </c>
      <c r="S4775" t="s">
        <v>19447</v>
      </c>
      <c r="T4775" t="s">
        <v>19911</v>
      </c>
    </row>
    <row r="4776" spans="2:20" x14ac:dyDescent="0.25">
      <c r="B4776" t="s">
        <v>2709</v>
      </c>
      <c r="C4776">
        <v>39129040</v>
      </c>
      <c r="E4776">
        <v>80</v>
      </c>
      <c r="F4776">
        <v>18</v>
      </c>
      <c r="G4776">
        <v>5</v>
      </c>
      <c r="H4776" t="s">
        <v>19447</v>
      </c>
      <c r="I4776" t="s">
        <v>19447</v>
      </c>
      <c r="J4776">
        <v>14</v>
      </c>
      <c r="L4776" t="s">
        <v>2709</v>
      </c>
      <c r="M4776">
        <v>39129040</v>
      </c>
      <c r="O4776" t="s">
        <v>20063</v>
      </c>
      <c r="P4776" t="s">
        <v>19899</v>
      </c>
      <c r="Q4776" t="s">
        <v>19909</v>
      </c>
      <c r="R4776" t="s">
        <v>19447</v>
      </c>
      <c r="S4776" t="s">
        <v>19447</v>
      </c>
      <c r="T4776" t="s">
        <v>19911</v>
      </c>
    </row>
    <row r="4777" spans="2:20" x14ac:dyDescent="0.25">
      <c r="B4777" t="s">
        <v>2709</v>
      </c>
      <c r="C4777">
        <v>39129090</v>
      </c>
      <c r="E4777">
        <v>80</v>
      </c>
      <c r="F4777">
        <v>18</v>
      </c>
      <c r="G4777">
        <v>5</v>
      </c>
      <c r="H4777" t="s">
        <v>19447</v>
      </c>
      <c r="I4777" t="s">
        <v>19447</v>
      </c>
      <c r="J4777">
        <v>14</v>
      </c>
      <c r="L4777" t="s">
        <v>2709</v>
      </c>
      <c r="M4777">
        <v>39129090</v>
      </c>
      <c r="O4777" t="s">
        <v>20063</v>
      </c>
      <c r="P4777" t="s">
        <v>19899</v>
      </c>
      <c r="Q4777" t="s">
        <v>19909</v>
      </c>
      <c r="R4777" t="s">
        <v>19447</v>
      </c>
      <c r="S4777" t="s">
        <v>19447</v>
      </c>
      <c r="T4777" t="s">
        <v>19911</v>
      </c>
    </row>
    <row r="4778" spans="2:20" x14ac:dyDescent="0.25">
      <c r="B4778" t="s">
        <v>2709</v>
      </c>
      <c r="C4778">
        <v>39131000</v>
      </c>
      <c r="E4778">
        <v>80</v>
      </c>
      <c r="F4778">
        <v>18</v>
      </c>
      <c r="G4778">
        <v>5</v>
      </c>
      <c r="H4778" t="s">
        <v>19447</v>
      </c>
      <c r="I4778" t="s">
        <v>19447</v>
      </c>
      <c r="J4778">
        <v>2</v>
      </c>
      <c r="L4778" t="s">
        <v>2709</v>
      </c>
      <c r="M4778">
        <v>39131000</v>
      </c>
      <c r="O4778" t="s">
        <v>20063</v>
      </c>
      <c r="P4778" t="s">
        <v>19899</v>
      </c>
      <c r="Q4778" t="s">
        <v>19909</v>
      </c>
      <c r="R4778" t="s">
        <v>19447</v>
      </c>
      <c r="S4778" t="s">
        <v>19447</v>
      </c>
      <c r="T4778" t="s">
        <v>19901</v>
      </c>
    </row>
    <row r="4779" spans="2:20" x14ac:dyDescent="0.25">
      <c r="B4779" t="s">
        <v>2709</v>
      </c>
      <c r="C4779">
        <v>39139011</v>
      </c>
      <c r="E4779">
        <v>80</v>
      </c>
      <c r="F4779">
        <v>18</v>
      </c>
      <c r="G4779">
        <v>5</v>
      </c>
      <c r="H4779" t="s">
        <v>19447</v>
      </c>
      <c r="I4779" t="s">
        <v>19447</v>
      </c>
      <c r="J4779">
        <v>2</v>
      </c>
      <c r="L4779" t="s">
        <v>2709</v>
      </c>
      <c r="M4779">
        <v>39139011</v>
      </c>
      <c r="O4779" t="s">
        <v>20063</v>
      </c>
      <c r="P4779" t="s">
        <v>19899</v>
      </c>
      <c r="Q4779" t="s">
        <v>19909</v>
      </c>
      <c r="R4779" t="s">
        <v>19447</v>
      </c>
      <c r="S4779" t="s">
        <v>19447</v>
      </c>
      <c r="T4779" t="s">
        <v>19901</v>
      </c>
    </row>
    <row r="4780" spans="2:20" x14ac:dyDescent="0.25">
      <c r="B4780" t="s">
        <v>2709</v>
      </c>
      <c r="C4780">
        <v>39139012</v>
      </c>
      <c r="E4780">
        <v>80</v>
      </c>
      <c r="F4780">
        <v>18</v>
      </c>
      <c r="G4780">
        <v>5</v>
      </c>
      <c r="H4780" t="s">
        <v>19447</v>
      </c>
      <c r="I4780" t="s">
        <v>19447</v>
      </c>
      <c r="J4780">
        <v>2</v>
      </c>
      <c r="L4780" t="s">
        <v>2709</v>
      </c>
      <c r="M4780">
        <v>39139012</v>
      </c>
      <c r="O4780" t="s">
        <v>20063</v>
      </c>
      <c r="P4780" t="s">
        <v>19899</v>
      </c>
      <c r="Q4780" t="s">
        <v>19909</v>
      </c>
      <c r="R4780" t="s">
        <v>19447</v>
      </c>
      <c r="S4780" t="s">
        <v>19447</v>
      </c>
      <c r="T4780" t="s">
        <v>19901</v>
      </c>
    </row>
    <row r="4781" spans="2:20" x14ac:dyDescent="0.25">
      <c r="B4781" t="s">
        <v>2709</v>
      </c>
      <c r="C4781">
        <v>39139019</v>
      </c>
      <c r="E4781">
        <v>80</v>
      </c>
      <c r="F4781">
        <v>18</v>
      </c>
      <c r="G4781">
        <v>5</v>
      </c>
      <c r="H4781" t="s">
        <v>19447</v>
      </c>
      <c r="I4781" t="s">
        <v>19447</v>
      </c>
      <c r="J4781">
        <v>2</v>
      </c>
      <c r="L4781" t="s">
        <v>2709</v>
      </c>
      <c r="M4781">
        <v>39139019</v>
      </c>
      <c r="O4781" t="s">
        <v>20063</v>
      </c>
      <c r="P4781" t="s">
        <v>19899</v>
      </c>
      <c r="Q4781" t="s">
        <v>19909</v>
      </c>
      <c r="R4781" t="s">
        <v>19447</v>
      </c>
      <c r="S4781" t="s">
        <v>19447</v>
      </c>
      <c r="T4781" t="s">
        <v>19901</v>
      </c>
    </row>
    <row r="4782" spans="2:20" x14ac:dyDescent="0.25">
      <c r="B4782" t="s">
        <v>2709</v>
      </c>
      <c r="C4782">
        <v>39139020</v>
      </c>
      <c r="E4782">
        <v>80</v>
      </c>
      <c r="F4782">
        <v>18</v>
      </c>
      <c r="G4782">
        <v>5</v>
      </c>
      <c r="H4782" t="s">
        <v>19447</v>
      </c>
      <c r="I4782" t="s">
        <v>19447</v>
      </c>
      <c r="J4782">
        <v>2</v>
      </c>
      <c r="L4782" t="s">
        <v>2709</v>
      </c>
      <c r="M4782">
        <v>39139020</v>
      </c>
      <c r="O4782" t="s">
        <v>20063</v>
      </c>
      <c r="P4782" t="s">
        <v>19899</v>
      </c>
      <c r="Q4782" t="s">
        <v>19909</v>
      </c>
      <c r="R4782" t="s">
        <v>19447</v>
      </c>
      <c r="S4782" t="s">
        <v>19447</v>
      </c>
      <c r="T4782" t="s">
        <v>19901</v>
      </c>
    </row>
    <row r="4783" spans="2:20" x14ac:dyDescent="0.25">
      <c r="B4783" t="s">
        <v>2709</v>
      </c>
      <c r="C4783">
        <v>39139030</v>
      </c>
      <c r="E4783">
        <v>80</v>
      </c>
      <c r="F4783">
        <v>18</v>
      </c>
      <c r="G4783">
        <v>5</v>
      </c>
      <c r="H4783" t="s">
        <v>19447</v>
      </c>
      <c r="I4783" t="s">
        <v>19447</v>
      </c>
      <c r="J4783">
        <v>2</v>
      </c>
      <c r="L4783" t="s">
        <v>2709</v>
      </c>
      <c r="M4783">
        <v>39139030</v>
      </c>
      <c r="O4783" t="s">
        <v>20063</v>
      </c>
      <c r="P4783" t="s">
        <v>19899</v>
      </c>
      <c r="Q4783" t="s">
        <v>19909</v>
      </c>
      <c r="R4783" t="s">
        <v>19447</v>
      </c>
      <c r="S4783" t="s">
        <v>19447</v>
      </c>
      <c r="T4783" t="s">
        <v>19901</v>
      </c>
    </row>
    <row r="4784" spans="2:20" x14ac:dyDescent="0.25">
      <c r="B4784" t="s">
        <v>2709</v>
      </c>
      <c r="C4784">
        <v>39139040</v>
      </c>
      <c r="E4784">
        <v>80</v>
      </c>
      <c r="F4784">
        <v>18</v>
      </c>
      <c r="G4784">
        <v>5</v>
      </c>
      <c r="H4784" t="s">
        <v>19447</v>
      </c>
      <c r="I4784" t="s">
        <v>19447</v>
      </c>
      <c r="J4784">
        <v>2</v>
      </c>
      <c r="L4784" t="s">
        <v>2709</v>
      </c>
      <c r="M4784">
        <v>39139040</v>
      </c>
      <c r="O4784" t="s">
        <v>20063</v>
      </c>
      <c r="P4784" t="s">
        <v>19899</v>
      </c>
      <c r="Q4784" t="s">
        <v>19909</v>
      </c>
      <c r="R4784" t="s">
        <v>19447</v>
      </c>
      <c r="S4784" t="s">
        <v>19447</v>
      </c>
      <c r="T4784" t="s">
        <v>19901</v>
      </c>
    </row>
    <row r="4785" spans="2:20" x14ac:dyDescent="0.25">
      <c r="B4785" t="s">
        <v>2709</v>
      </c>
      <c r="C4785">
        <v>39139050</v>
      </c>
      <c r="E4785">
        <v>80</v>
      </c>
      <c r="F4785">
        <v>18</v>
      </c>
      <c r="G4785">
        <v>5</v>
      </c>
      <c r="H4785" t="s">
        <v>19447</v>
      </c>
      <c r="I4785" t="s">
        <v>19447</v>
      </c>
      <c r="J4785">
        <v>14</v>
      </c>
      <c r="L4785" t="s">
        <v>2709</v>
      </c>
      <c r="M4785">
        <v>39139050</v>
      </c>
      <c r="O4785" t="s">
        <v>20063</v>
      </c>
      <c r="P4785" t="s">
        <v>19899</v>
      </c>
      <c r="Q4785" t="s">
        <v>19909</v>
      </c>
      <c r="R4785" t="s">
        <v>19447</v>
      </c>
      <c r="S4785" t="s">
        <v>19447</v>
      </c>
      <c r="T4785" t="s">
        <v>19911</v>
      </c>
    </row>
    <row r="4786" spans="2:20" x14ac:dyDescent="0.25">
      <c r="B4786" t="s">
        <v>2709</v>
      </c>
      <c r="C4786">
        <v>39139060</v>
      </c>
      <c r="E4786">
        <v>80</v>
      </c>
      <c r="F4786">
        <v>18</v>
      </c>
      <c r="G4786">
        <v>5</v>
      </c>
      <c r="H4786" t="s">
        <v>19447</v>
      </c>
      <c r="I4786" t="s">
        <v>19447</v>
      </c>
      <c r="J4786">
        <v>14</v>
      </c>
      <c r="L4786" t="s">
        <v>2709</v>
      </c>
      <c r="M4786">
        <v>39139060</v>
      </c>
      <c r="O4786" t="s">
        <v>20063</v>
      </c>
      <c r="P4786" t="s">
        <v>19899</v>
      </c>
      <c r="Q4786" t="s">
        <v>19909</v>
      </c>
      <c r="R4786" t="s">
        <v>19447</v>
      </c>
      <c r="S4786" t="s">
        <v>19447</v>
      </c>
      <c r="T4786" t="s">
        <v>19911</v>
      </c>
    </row>
    <row r="4787" spans="2:20" x14ac:dyDescent="0.25">
      <c r="B4787" t="s">
        <v>2709</v>
      </c>
      <c r="C4787">
        <v>39139090</v>
      </c>
      <c r="E4787">
        <v>80</v>
      </c>
      <c r="F4787">
        <v>18</v>
      </c>
      <c r="G4787">
        <v>5</v>
      </c>
      <c r="H4787" t="s">
        <v>19447</v>
      </c>
      <c r="I4787" t="s">
        <v>19447</v>
      </c>
      <c r="J4787">
        <v>2</v>
      </c>
      <c r="L4787" t="s">
        <v>2709</v>
      </c>
      <c r="M4787">
        <v>39139090</v>
      </c>
      <c r="O4787" t="s">
        <v>20063</v>
      </c>
      <c r="P4787" t="s">
        <v>19899</v>
      </c>
      <c r="Q4787" t="s">
        <v>19909</v>
      </c>
      <c r="R4787" t="s">
        <v>19447</v>
      </c>
      <c r="S4787" t="s">
        <v>19447</v>
      </c>
      <c r="T4787" t="s">
        <v>19901</v>
      </c>
    </row>
    <row r="4788" spans="2:20" x14ac:dyDescent="0.25">
      <c r="B4788" t="s">
        <v>2709</v>
      </c>
      <c r="C4788">
        <v>39140011</v>
      </c>
      <c r="E4788">
        <v>80</v>
      </c>
      <c r="F4788">
        <v>18</v>
      </c>
      <c r="G4788">
        <v>5</v>
      </c>
      <c r="H4788" t="s">
        <v>19447</v>
      </c>
      <c r="I4788" t="s">
        <v>19447</v>
      </c>
      <c r="J4788">
        <v>2</v>
      </c>
      <c r="L4788" t="s">
        <v>2709</v>
      </c>
      <c r="M4788">
        <v>39140011</v>
      </c>
      <c r="O4788" t="s">
        <v>20063</v>
      </c>
      <c r="P4788" t="s">
        <v>19899</v>
      </c>
      <c r="Q4788" t="s">
        <v>19909</v>
      </c>
      <c r="R4788" t="s">
        <v>19447</v>
      </c>
      <c r="S4788" t="s">
        <v>19447</v>
      </c>
      <c r="T4788" t="s">
        <v>19901</v>
      </c>
    </row>
    <row r="4789" spans="2:20" x14ac:dyDescent="0.25">
      <c r="B4789" t="s">
        <v>2709</v>
      </c>
      <c r="C4789">
        <v>39140019</v>
      </c>
      <c r="E4789">
        <v>80</v>
      </c>
      <c r="F4789">
        <v>18</v>
      </c>
      <c r="G4789">
        <v>5</v>
      </c>
      <c r="H4789" t="s">
        <v>19447</v>
      </c>
      <c r="I4789" t="s">
        <v>19447</v>
      </c>
      <c r="J4789">
        <v>2</v>
      </c>
      <c r="L4789" t="s">
        <v>2709</v>
      </c>
      <c r="M4789">
        <v>39140019</v>
      </c>
      <c r="O4789" t="s">
        <v>20063</v>
      </c>
      <c r="P4789" t="s">
        <v>19899</v>
      </c>
      <c r="Q4789" t="s">
        <v>19909</v>
      </c>
      <c r="R4789" t="s">
        <v>19447</v>
      </c>
      <c r="S4789" t="s">
        <v>19447</v>
      </c>
      <c r="T4789" t="s">
        <v>19901</v>
      </c>
    </row>
    <row r="4790" spans="2:20" x14ac:dyDescent="0.25">
      <c r="B4790" t="s">
        <v>2709</v>
      </c>
      <c r="C4790">
        <v>39140090</v>
      </c>
      <c r="E4790">
        <v>80</v>
      </c>
      <c r="F4790">
        <v>18</v>
      </c>
      <c r="G4790">
        <v>5</v>
      </c>
      <c r="H4790" t="s">
        <v>19447</v>
      </c>
      <c r="I4790" t="s">
        <v>19447</v>
      </c>
      <c r="J4790">
        <v>2</v>
      </c>
      <c r="L4790" t="s">
        <v>2709</v>
      </c>
      <c r="M4790">
        <v>39140090</v>
      </c>
      <c r="O4790" t="s">
        <v>20063</v>
      </c>
      <c r="P4790" t="s">
        <v>19899</v>
      </c>
      <c r="Q4790" t="s">
        <v>19909</v>
      </c>
      <c r="R4790" t="s">
        <v>19447</v>
      </c>
      <c r="S4790" t="s">
        <v>19447</v>
      </c>
      <c r="T4790" t="s">
        <v>19901</v>
      </c>
    </row>
    <row r="4791" spans="2:20" x14ac:dyDescent="0.25">
      <c r="B4791" t="s">
        <v>2709</v>
      </c>
      <c r="C4791">
        <v>39151000</v>
      </c>
      <c r="E4791">
        <v>80</v>
      </c>
      <c r="F4791">
        <v>18</v>
      </c>
      <c r="G4791">
        <v>0</v>
      </c>
      <c r="H4791" t="s">
        <v>19447</v>
      </c>
      <c r="I4791" t="s">
        <v>19447</v>
      </c>
      <c r="J4791">
        <v>14</v>
      </c>
      <c r="L4791" t="s">
        <v>2709</v>
      </c>
      <c r="M4791">
        <v>39151000</v>
      </c>
      <c r="O4791" t="s">
        <v>20063</v>
      </c>
      <c r="P4791" t="s">
        <v>19899</v>
      </c>
      <c r="Q4791" t="s">
        <v>19900</v>
      </c>
      <c r="R4791" t="s">
        <v>19447</v>
      </c>
      <c r="S4791" t="s">
        <v>19447</v>
      </c>
      <c r="T4791" t="s">
        <v>19911</v>
      </c>
    </row>
    <row r="4792" spans="2:20" x14ac:dyDescent="0.25">
      <c r="B4792" t="s">
        <v>2709</v>
      </c>
      <c r="C4792">
        <v>39152000</v>
      </c>
      <c r="E4792">
        <v>80</v>
      </c>
      <c r="F4792">
        <v>18</v>
      </c>
      <c r="G4792">
        <v>0</v>
      </c>
      <c r="H4792" t="s">
        <v>19447</v>
      </c>
      <c r="I4792" t="s">
        <v>19447</v>
      </c>
      <c r="J4792">
        <v>14</v>
      </c>
      <c r="L4792" t="s">
        <v>2709</v>
      </c>
      <c r="M4792">
        <v>39152000</v>
      </c>
      <c r="O4792" t="s">
        <v>20063</v>
      </c>
      <c r="P4792" t="s">
        <v>19899</v>
      </c>
      <c r="Q4792" t="s">
        <v>19900</v>
      </c>
      <c r="R4792" t="s">
        <v>19447</v>
      </c>
      <c r="S4792" t="s">
        <v>19447</v>
      </c>
      <c r="T4792" t="s">
        <v>19911</v>
      </c>
    </row>
    <row r="4793" spans="2:20" x14ac:dyDescent="0.25">
      <c r="B4793" t="s">
        <v>2709</v>
      </c>
      <c r="C4793">
        <v>39153000</v>
      </c>
      <c r="E4793">
        <v>80</v>
      </c>
      <c r="F4793">
        <v>18</v>
      </c>
      <c r="G4793">
        <v>0</v>
      </c>
      <c r="H4793" t="s">
        <v>19447</v>
      </c>
      <c r="I4793" t="s">
        <v>19447</v>
      </c>
      <c r="J4793">
        <v>14</v>
      </c>
      <c r="L4793" t="s">
        <v>2709</v>
      </c>
      <c r="M4793">
        <v>39153000</v>
      </c>
      <c r="O4793" t="s">
        <v>20063</v>
      </c>
      <c r="P4793" t="s">
        <v>19899</v>
      </c>
      <c r="Q4793" t="s">
        <v>19900</v>
      </c>
      <c r="R4793" t="s">
        <v>19447</v>
      </c>
      <c r="S4793" t="s">
        <v>19447</v>
      </c>
      <c r="T4793" t="s">
        <v>19911</v>
      </c>
    </row>
    <row r="4794" spans="2:20" x14ac:dyDescent="0.25">
      <c r="B4794" t="s">
        <v>2709</v>
      </c>
      <c r="C4794">
        <v>39159000</v>
      </c>
      <c r="E4794">
        <v>80</v>
      </c>
      <c r="F4794">
        <v>18</v>
      </c>
      <c r="G4794">
        <v>0</v>
      </c>
      <c r="H4794" t="s">
        <v>19447</v>
      </c>
      <c r="I4794" t="s">
        <v>19447</v>
      </c>
      <c r="J4794">
        <v>14</v>
      </c>
      <c r="L4794" t="s">
        <v>2709</v>
      </c>
      <c r="M4794">
        <v>39159000</v>
      </c>
      <c r="O4794" t="s">
        <v>20063</v>
      </c>
      <c r="P4794" t="s">
        <v>19899</v>
      </c>
      <c r="Q4794" t="s">
        <v>19900</v>
      </c>
      <c r="R4794" t="s">
        <v>19447</v>
      </c>
      <c r="S4794" t="s">
        <v>19447</v>
      </c>
      <c r="T4794" t="s">
        <v>19911</v>
      </c>
    </row>
    <row r="4795" spans="2:20" x14ac:dyDescent="0.25">
      <c r="B4795" t="s">
        <v>2709</v>
      </c>
      <c r="C4795">
        <v>39161000</v>
      </c>
      <c r="E4795">
        <v>57</v>
      </c>
      <c r="F4795">
        <v>18</v>
      </c>
      <c r="G4795">
        <v>10</v>
      </c>
      <c r="H4795" t="s">
        <v>19447</v>
      </c>
      <c r="I4795" t="s">
        <v>19447</v>
      </c>
      <c r="J4795">
        <v>16</v>
      </c>
      <c r="L4795" t="s">
        <v>2709</v>
      </c>
      <c r="M4795">
        <v>39161000</v>
      </c>
      <c r="O4795" t="s">
        <v>20064</v>
      </c>
      <c r="P4795" t="s">
        <v>19899</v>
      </c>
      <c r="Q4795" t="s">
        <v>19904</v>
      </c>
      <c r="R4795" t="s">
        <v>19447</v>
      </c>
      <c r="S4795" t="s">
        <v>19447</v>
      </c>
      <c r="T4795" t="s">
        <v>19913</v>
      </c>
    </row>
    <row r="4796" spans="2:20" x14ac:dyDescent="0.25">
      <c r="B4796" t="s">
        <v>2709</v>
      </c>
      <c r="C4796">
        <v>39162000</v>
      </c>
      <c r="E4796">
        <v>112.46</v>
      </c>
      <c r="F4796">
        <v>18</v>
      </c>
      <c r="G4796">
        <v>10</v>
      </c>
      <c r="H4796" t="s">
        <v>19447</v>
      </c>
      <c r="I4796" t="s">
        <v>19447</v>
      </c>
      <c r="J4796">
        <v>16</v>
      </c>
      <c r="L4796" t="s">
        <v>2709</v>
      </c>
      <c r="M4796">
        <v>39162000</v>
      </c>
      <c r="O4796" t="s">
        <v>20055</v>
      </c>
      <c r="P4796" t="s">
        <v>19899</v>
      </c>
      <c r="Q4796" t="s">
        <v>19904</v>
      </c>
      <c r="R4796" t="s">
        <v>19447</v>
      </c>
      <c r="S4796" t="s">
        <v>19447</v>
      </c>
      <c r="T4796" t="s">
        <v>19913</v>
      </c>
    </row>
    <row r="4797" spans="2:20" x14ac:dyDescent="0.25">
      <c r="B4797" t="s">
        <v>2709</v>
      </c>
      <c r="C4797">
        <v>39162000</v>
      </c>
      <c r="D4797">
        <v>1</v>
      </c>
      <c r="E4797" t="s">
        <v>19447</v>
      </c>
      <c r="F4797">
        <v>18</v>
      </c>
      <c r="G4797">
        <v>5</v>
      </c>
      <c r="H4797">
        <v>7.6</v>
      </c>
      <c r="I4797">
        <v>1.65</v>
      </c>
      <c r="J4797">
        <v>16</v>
      </c>
      <c r="L4797" t="s">
        <v>2709</v>
      </c>
      <c r="M4797">
        <v>39162000</v>
      </c>
      <c r="N4797">
        <v>1</v>
      </c>
      <c r="O4797" t="s">
        <v>19447</v>
      </c>
      <c r="P4797" t="s">
        <v>19899</v>
      </c>
      <c r="Q4797" t="s">
        <v>19909</v>
      </c>
      <c r="R4797" t="s">
        <v>19905</v>
      </c>
      <c r="S4797" t="s">
        <v>19906</v>
      </c>
      <c r="T4797" t="s">
        <v>19913</v>
      </c>
    </row>
    <row r="4798" spans="2:20" x14ac:dyDescent="0.25">
      <c r="B4798" t="s">
        <v>2709</v>
      </c>
      <c r="C4798">
        <v>39169010</v>
      </c>
      <c r="E4798">
        <v>57</v>
      </c>
      <c r="F4798">
        <v>18</v>
      </c>
      <c r="G4798">
        <v>10</v>
      </c>
      <c r="H4798" t="s">
        <v>19447</v>
      </c>
      <c r="I4798" t="s">
        <v>19447</v>
      </c>
      <c r="J4798">
        <v>16</v>
      </c>
      <c r="L4798" t="s">
        <v>2709</v>
      </c>
      <c r="M4798">
        <v>39169010</v>
      </c>
      <c r="O4798" t="s">
        <v>20064</v>
      </c>
      <c r="P4798" t="s">
        <v>19899</v>
      </c>
      <c r="Q4798" t="s">
        <v>19904</v>
      </c>
      <c r="R4798" t="s">
        <v>19447</v>
      </c>
      <c r="S4798" t="s">
        <v>19447</v>
      </c>
      <c r="T4798" t="s">
        <v>19913</v>
      </c>
    </row>
    <row r="4799" spans="2:20" x14ac:dyDescent="0.25">
      <c r="B4799" t="s">
        <v>2709</v>
      </c>
      <c r="C4799">
        <v>39169090</v>
      </c>
      <c r="E4799">
        <v>57</v>
      </c>
      <c r="F4799">
        <v>18</v>
      </c>
      <c r="G4799">
        <v>10</v>
      </c>
      <c r="H4799" t="s">
        <v>19447</v>
      </c>
      <c r="I4799" t="s">
        <v>19447</v>
      </c>
      <c r="J4799">
        <v>16</v>
      </c>
      <c r="L4799" t="s">
        <v>2709</v>
      </c>
      <c r="M4799">
        <v>39169090</v>
      </c>
      <c r="O4799" t="s">
        <v>20064</v>
      </c>
      <c r="P4799" t="s">
        <v>19899</v>
      </c>
      <c r="Q4799" t="s">
        <v>19904</v>
      </c>
      <c r="R4799" t="s">
        <v>19447</v>
      </c>
      <c r="S4799" t="s">
        <v>19447</v>
      </c>
      <c r="T4799" t="s">
        <v>19913</v>
      </c>
    </row>
    <row r="4800" spans="2:20" x14ac:dyDescent="0.25">
      <c r="B4800" t="s">
        <v>2709</v>
      </c>
      <c r="C4800">
        <v>39171010</v>
      </c>
      <c r="E4800">
        <v>71.78</v>
      </c>
      <c r="F4800">
        <v>18</v>
      </c>
      <c r="G4800">
        <v>5</v>
      </c>
      <c r="H4800" t="s">
        <v>19447</v>
      </c>
      <c r="I4800" t="s">
        <v>19447</v>
      </c>
      <c r="J4800">
        <v>2</v>
      </c>
      <c r="L4800" t="s">
        <v>2709</v>
      </c>
      <c r="M4800">
        <v>39171010</v>
      </c>
      <c r="O4800" t="s">
        <v>20056</v>
      </c>
      <c r="P4800" t="s">
        <v>19899</v>
      </c>
      <c r="Q4800" t="s">
        <v>19909</v>
      </c>
      <c r="R4800" t="s">
        <v>19447</v>
      </c>
      <c r="S4800" t="s">
        <v>19447</v>
      </c>
      <c r="T4800" t="s">
        <v>19901</v>
      </c>
    </row>
    <row r="4801" spans="2:20" x14ac:dyDescent="0.25">
      <c r="B4801" t="s">
        <v>2709</v>
      </c>
      <c r="C4801">
        <v>39171021</v>
      </c>
      <c r="E4801">
        <v>71.78</v>
      </c>
      <c r="F4801">
        <v>18</v>
      </c>
      <c r="G4801">
        <v>5</v>
      </c>
      <c r="H4801" t="s">
        <v>19447</v>
      </c>
      <c r="I4801" t="s">
        <v>19447</v>
      </c>
      <c r="J4801">
        <v>2</v>
      </c>
      <c r="L4801" t="s">
        <v>2709</v>
      </c>
      <c r="M4801">
        <v>39171021</v>
      </c>
      <c r="O4801" t="s">
        <v>20056</v>
      </c>
      <c r="P4801" t="s">
        <v>19899</v>
      </c>
      <c r="Q4801" t="s">
        <v>19909</v>
      </c>
      <c r="R4801" t="s">
        <v>19447</v>
      </c>
      <c r="S4801" t="s">
        <v>19447</v>
      </c>
      <c r="T4801" t="s">
        <v>19901</v>
      </c>
    </row>
    <row r="4802" spans="2:20" x14ac:dyDescent="0.25">
      <c r="B4802" t="s">
        <v>2709</v>
      </c>
      <c r="C4802">
        <v>39171029</v>
      </c>
      <c r="E4802">
        <v>71.78</v>
      </c>
      <c r="F4802">
        <v>18</v>
      </c>
      <c r="G4802">
        <v>5</v>
      </c>
      <c r="H4802" t="s">
        <v>19447</v>
      </c>
      <c r="I4802" t="s">
        <v>19447</v>
      </c>
      <c r="J4802">
        <v>16</v>
      </c>
      <c r="L4802" t="s">
        <v>2709</v>
      </c>
      <c r="M4802">
        <v>39171029</v>
      </c>
      <c r="O4802" t="s">
        <v>20056</v>
      </c>
      <c r="P4802" t="s">
        <v>19899</v>
      </c>
      <c r="Q4802" t="s">
        <v>19909</v>
      </c>
      <c r="R4802" t="s">
        <v>19447</v>
      </c>
      <c r="S4802" t="s">
        <v>19447</v>
      </c>
      <c r="T4802" t="s">
        <v>19913</v>
      </c>
    </row>
    <row r="4803" spans="2:20" x14ac:dyDescent="0.25">
      <c r="B4803" t="s">
        <v>2709</v>
      </c>
      <c r="C4803">
        <v>39172100</v>
      </c>
      <c r="E4803">
        <v>71.78</v>
      </c>
      <c r="F4803">
        <v>18</v>
      </c>
      <c r="G4803">
        <v>0</v>
      </c>
      <c r="H4803" t="s">
        <v>19447</v>
      </c>
      <c r="I4803" t="s">
        <v>19447</v>
      </c>
      <c r="J4803">
        <v>16</v>
      </c>
      <c r="L4803" t="s">
        <v>2709</v>
      </c>
      <c r="M4803">
        <v>39172100</v>
      </c>
      <c r="O4803" t="s">
        <v>20056</v>
      </c>
      <c r="P4803" t="s">
        <v>19899</v>
      </c>
      <c r="Q4803" t="s">
        <v>19900</v>
      </c>
      <c r="R4803" t="s">
        <v>19447</v>
      </c>
      <c r="S4803" t="s">
        <v>19447</v>
      </c>
      <c r="T4803" t="s">
        <v>19913</v>
      </c>
    </row>
    <row r="4804" spans="2:20" x14ac:dyDescent="0.25">
      <c r="B4804" t="s">
        <v>2709</v>
      </c>
      <c r="C4804">
        <v>39172200</v>
      </c>
      <c r="E4804">
        <v>71.78</v>
      </c>
      <c r="F4804">
        <v>18</v>
      </c>
      <c r="G4804">
        <v>0</v>
      </c>
      <c r="H4804" t="s">
        <v>19447</v>
      </c>
      <c r="I4804" t="s">
        <v>19447</v>
      </c>
      <c r="J4804">
        <v>16</v>
      </c>
      <c r="L4804" t="s">
        <v>2709</v>
      </c>
      <c r="M4804">
        <v>39172200</v>
      </c>
      <c r="O4804" t="s">
        <v>20056</v>
      </c>
      <c r="P4804" t="s">
        <v>19899</v>
      </c>
      <c r="Q4804" t="s">
        <v>19900</v>
      </c>
      <c r="R4804" t="s">
        <v>19447</v>
      </c>
      <c r="S4804" t="s">
        <v>19447</v>
      </c>
      <c r="T4804" t="s">
        <v>19913</v>
      </c>
    </row>
    <row r="4805" spans="2:20" x14ac:dyDescent="0.25">
      <c r="B4805" t="s">
        <v>2709</v>
      </c>
      <c r="C4805">
        <v>39172300</v>
      </c>
      <c r="E4805">
        <v>71.78</v>
      </c>
      <c r="F4805">
        <v>18</v>
      </c>
      <c r="G4805">
        <v>0</v>
      </c>
      <c r="H4805" t="s">
        <v>19447</v>
      </c>
      <c r="I4805" t="s">
        <v>19447</v>
      </c>
      <c r="J4805">
        <v>16</v>
      </c>
      <c r="L4805" t="s">
        <v>2709</v>
      </c>
      <c r="M4805">
        <v>39172300</v>
      </c>
      <c r="O4805" t="s">
        <v>20056</v>
      </c>
      <c r="P4805" t="s">
        <v>19899</v>
      </c>
      <c r="Q4805" t="s">
        <v>19900</v>
      </c>
      <c r="R4805" t="s">
        <v>19447</v>
      </c>
      <c r="S4805" t="s">
        <v>19447</v>
      </c>
      <c r="T4805" t="s">
        <v>19913</v>
      </c>
    </row>
    <row r="4806" spans="2:20" x14ac:dyDescent="0.25">
      <c r="B4806" t="s">
        <v>2709</v>
      </c>
      <c r="C4806">
        <v>39172900</v>
      </c>
      <c r="E4806">
        <v>71.78</v>
      </c>
      <c r="F4806">
        <v>18</v>
      </c>
      <c r="G4806">
        <v>0</v>
      </c>
      <c r="H4806" t="s">
        <v>19447</v>
      </c>
      <c r="I4806" t="s">
        <v>19447</v>
      </c>
      <c r="J4806">
        <v>16</v>
      </c>
      <c r="L4806" t="s">
        <v>2709</v>
      </c>
      <c r="M4806">
        <v>39172900</v>
      </c>
      <c r="O4806" t="s">
        <v>20056</v>
      </c>
      <c r="P4806" t="s">
        <v>19899</v>
      </c>
      <c r="Q4806" t="s">
        <v>19900</v>
      </c>
      <c r="R4806" t="s">
        <v>19447</v>
      </c>
      <c r="S4806" t="s">
        <v>19447</v>
      </c>
      <c r="T4806" t="s">
        <v>19913</v>
      </c>
    </row>
    <row r="4807" spans="2:20" x14ac:dyDescent="0.25">
      <c r="B4807" t="s">
        <v>2709</v>
      </c>
      <c r="C4807">
        <v>39173100</v>
      </c>
      <c r="E4807">
        <v>71.78</v>
      </c>
      <c r="F4807">
        <v>18</v>
      </c>
      <c r="G4807">
        <v>5</v>
      </c>
      <c r="H4807" t="s">
        <v>19447</v>
      </c>
      <c r="I4807" t="s">
        <v>19447</v>
      </c>
      <c r="J4807">
        <v>16</v>
      </c>
      <c r="L4807" t="s">
        <v>2709</v>
      </c>
      <c r="M4807">
        <v>39173100</v>
      </c>
      <c r="O4807" t="s">
        <v>20056</v>
      </c>
      <c r="P4807" t="s">
        <v>19899</v>
      </c>
      <c r="Q4807" t="s">
        <v>19909</v>
      </c>
      <c r="R4807" t="s">
        <v>19447</v>
      </c>
      <c r="S4807" t="s">
        <v>19447</v>
      </c>
      <c r="T4807" t="s">
        <v>19913</v>
      </c>
    </row>
    <row r="4808" spans="2:20" x14ac:dyDescent="0.25">
      <c r="B4808" t="s">
        <v>2709</v>
      </c>
      <c r="C4808">
        <v>39173210</v>
      </c>
      <c r="E4808">
        <v>71.78</v>
      </c>
      <c r="F4808">
        <v>18</v>
      </c>
      <c r="G4808">
        <v>5</v>
      </c>
      <c r="H4808" t="s">
        <v>19447</v>
      </c>
      <c r="I4808" t="s">
        <v>19447</v>
      </c>
      <c r="J4808">
        <v>16</v>
      </c>
      <c r="L4808" t="s">
        <v>2709</v>
      </c>
      <c r="M4808">
        <v>39173210</v>
      </c>
      <c r="O4808" t="s">
        <v>20056</v>
      </c>
      <c r="P4808" t="s">
        <v>19899</v>
      </c>
      <c r="Q4808" t="s">
        <v>19909</v>
      </c>
      <c r="R4808" t="s">
        <v>19447</v>
      </c>
      <c r="S4808" t="s">
        <v>19447</v>
      </c>
      <c r="T4808" t="s">
        <v>19913</v>
      </c>
    </row>
    <row r="4809" spans="2:20" x14ac:dyDescent="0.25">
      <c r="B4809" t="s">
        <v>2709</v>
      </c>
      <c r="C4809">
        <v>39173221</v>
      </c>
      <c r="E4809">
        <v>71.78</v>
      </c>
      <c r="F4809">
        <v>18</v>
      </c>
      <c r="G4809">
        <v>0</v>
      </c>
      <c r="H4809" t="s">
        <v>19447</v>
      </c>
      <c r="I4809" t="s">
        <v>19447</v>
      </c>
      <c r="J4809">
        <v>2</v>
      </c>
      <c r="L4809" t="s">
        <v>2709</v>
      </c>
      <c r="M4809">
        <v>39173221</v>
      </c>
      <c r="O4809" t="s">
        <v>20056</v>
      </c>
      <c r="P4809" t="s">
        <v>19899</v>
      </c>
      <c r="Q4809" t="s">
        <v>19900</v>
      </c>
      <c r="R4809" t="s">
        <v>19447</v>
      </c>
      <c r="S4809" t="s">
        <v>19447</v>
      </c>
      <c r="T4809" t="s">
        <v>19901</v>
      </c>
    </row>
    <row r="4810" spans="2:20" x14ac:dyDescent="0.25">
      <c r="B4810" t="s">
        <v>2709</v>
      </c>
      <c r="C4810">
        <v>39173229</v>
      </c>
      <c r="E4810">
        <v>71.78</v>
      </c>
      <c r="F4810">
        <v>18</v>
      </c>
      <c r="G4810">
        <v>5</v>
      </c>
      <c r="H4810" t="s">
        <v>19447</v>
      </c>
      <c r="I4810" t="s">
        <v>19447</v>
      </c>
      <c r="J4810">
        <v>16</v>
      </c>
      <c r="L4810" t="s">
        <v>2709</v>
      </c>
      <c r="M4810">
        <v>39173229</v>
      </c>
      <c r="O4810" t="s">
        <v>20056</v>
      </c>
      <c r="P4810" t="s">
        <v>19899</v>
      </c>
      <c r="Q4810" t="s">
        <v>19909</v>
      </c>
      <c r="R4810" t="s">
        <v>19447</v>
      </c>
      <c r="S4810" t="s">
        <v>19447</v>
      </c>
      <c r="T4810" t="s">
        <v>19913</v>
      </c>
    </row>
    <row r="4811" spans="2:20" x14ac:dyDescent="0.25">
      <c r="B4811" t="s">
        <v>2709</v>
      </c>
      <c r="C4811">
        <v>39173230</v>
      </c>
      <c r="E4811">
        <v>71.78</v>
      </c>
      <c r="F4811">
        <v>18</v>
      </c>
      <c r="G4811">
        <v>5</v>
      </c>
      <c r="H4811" t="s">
        <v>19447</v>
      </c>
      <c r="I4811" t="s">
        <v>19447</v>
      </c>
      <c r="J4811">
        <v>16</v>
      </c>
      <c r="L4811" t="s">
        <v>2709</v>
      </c>
      <c r="M4811">
        <v>39173230</v>
      </c>
      <c r="O4811" t="s">
        <v>20056</v>
      </c>
      <c r="P4811" t="s">
        <v>19899</v>
      </c>
      <c r="Q4811" t="s">
        <v>19909</v>
      </c>
      <c r="R4811" t="s">
        <v>19447</v>
      </c>
      <c r="S4811" t="s">
        <v>19447</v>
      </c>
      <c r="T4811" t="s">
        <v>19913</v>
      </c>
    </row>
    <row r="4812" spans="2:20" x14ac:dyDescent="0.25">
      <c r="B4812" t="s">
        <v>2709</v>
      </c>
      <c r="C4812">
        <v>39173240</v>
      </c>
      <c r="E4812">
        <v>71.78</v>
      </c>
      <c r="F4812">
        <v>18</v>
      </c>
      <c r="G4812">
        <v>5</v>
      </c>
      <c r="H4812" t="s">
        <v>19447</v>
      </c>
      <c r="I4812" t="s">
        <v>19447</v>
      </c>
      <c r="J4812">
        <v>16</v>
      </c>
      <c r="L4812" t="s">
        <v>2709</v>
      </c>
      <c r="M4812">
        <v>39173240</v>
      </c>
      <c r="O4812" t="s">
        <v>20056</v>
      </c>
      <c r="P4812" t="s">
        <v>19899</v>
      </c>
      <c r="Q4812" t="s">
        <v>19909</v>
      </c>
      <c r="R4812" t="s">
        <v>19447</v>
      </c>
      <c r="S4812" t="s">
        <v>19447</v>
      </c>
      <c r="T4812" t="s">
        <v>19913</v>
      </c>
    </row>
    <row r="4813" spans="2:20" x14ac:dyDescent="0.25">
      <c r="B4813" t="s">
        <v>2709</v>
      </c>
      <c r="C4813">
        <v>39173251</v>
      </c>
      <c r="E4813">
        <v>71.78</v>
      </c>
      <c r="F4813">
        <v>18</v>
      </c>
      <c r="G4813">
        <v>5</v>
      </c>
      <c r="H4813" t="s">
        <v>19447</v>
      </c>
      <c r="I4813" t="s">
        <v>19447</v>
      </c>
      <c r="J4813">
        <v>2</v>
      </c>
      <c r="L4813" t="s">
        <v>2709</v>
      </c>
      <c r="M4813">
        <v>39173251</v>
      </c>
      <c r="O4813" t="s">
        <v>20056</v>
      </c>
      <c r="P4813" t="s">
        <v>19899</v>
      </c>
      <c r="Q4813" t="s">
        <v>19909</v>
      </c>
      <c r="R4813" t="s">
        <v>19447</v>
      </c>
      <c r="S4813" t="s">
        <v>19447</v>
      </c>
      <c r="T4813" t="s">
        <v>19901</v>
      </c>
    </row>
    <row r="4814" spans="2:20" x14ac:dyDescent="0.25">
      <c r="B4814" t="s">
        <v>2709</v>
      </c>
      <c r="C4814">
        <v>39173259</v>
      </c>
      <c r="E4814">
        <v>71.78</v>
      </c>
      <c r="F4814">
        <v>18</v>
      </c>
      <c r="G4814">
        <v>5</v>
      </c>
      <c r="H4814" t="s">
        <v>19447</v>
      </c>
      <c r="I4814" t="s">
        <v>19447</v>
      </c>
      <c r="J4814">
        <v>16</v>
      </c>
      <c r="L4814" t="s">
        <v>2709</v>
      </c>
      <c r="M4814">
        <v>39173259</v>
      </c>
      <c r="O4814" t="s">
        <v>20056</v>
      </c>
      <c r="P4814" t="s">
        <v>19899</v>
      </c>
      <c r="Q4814" t="s">
        <v>19909</v>
      </c>
      <c r="R4814" t="s">
        <v>19447</v>
      </c>
      <c r="S4814" t="s">
        <v>19447</v>
      </c>
      <c r="T4814" t="s">
        <v>19913</v>
      </c>
    </row>
    <row r="4815" spans="2:20" x14ac:dyDescent="0.25">
      <c r="B4815" t="s">
        <v>2709</v>
      </c>
      <c r="C4815">
        <v>39173290</v>
      </c>
      <c r="E4815">
        <v>71.78</v>
      </c>
      <c r="F4815">
        <v>18</v>
      </c>
      <c r="G4815">
        <v>5</v>
      </c>
      <c r="H4815" t="s">
        <v>19447</v>
      </c>
      <c r="I4815" t="s">
        <v>19447</v>
      </c>
      <c r="J4815">
        <v>16</v>
      </c>
      <c r="L4815" t="s">
        <v>2709</v>
      </c>
      <c r="M4815">
        <v>39173290</v>
      </c>
      <c r="O4815" t="s">
        <v>20056</v>
      </c>
      <c r="P4815" t="s">
        <v>19899</v>
      </c>
      <c r="Q4815" t="s">
        <v>19909</v>
      </c>
      <c r="R4815" t="s">
        <v>19447</v>
      </c>
      <c r="S4815" t="s">
        <v>19447</v>
      </c>
      <c r="T4815" t="s">
        <v>19913</v>
      </c>
    </row>
    <row r="4816" spans="2:20" x14ac:dyDescent="0.25">
      <c r="B4816" t="s">
        <v>2709</v>
      </c>
      <c r="C4816">
        <v>39173300</v>
      </c>
      <c r="E4816">
        <v>71.78</v>
      </c>
      <c r="F4816">
        <v>18</v>
      </c>
      <c r="G4816">
        <v>5</v>
      </c>
      <c r="H4816" t="s">
        <v>19447</v>
      </c>
      <c r="I4816" t="s">
        <v>19447</v>
      </c>
      <c r="J4816">
        <v>16</v>
      </c>
      <c r="L4816" t="s">
        <v>2709</v>
      </c>
      <c r="M4816">
        <v>39173300</v>
      </c>
      <c r="O4816" t="s">
        <v>20056</v>
      </c>
      <c r="P4816" t="s">
        <v>19899</v>
      </c>
      <c r="Q4816" t="s">
        <v>19909</v>
      </c>
      <c r="R4816" t="s">
        <v>19447</v>
      </c>
      <c r="S4816" t="s">
        <v>19447</v>
      </c>
      <c r="T4816" t="s">
        <v>19913</v>
      </c>
    </row>
    <row r="4817" spans="2:20" x14ac:dyDescent="0.25">
      <c r="B4817" t="s">
        <v>2709</v>
      </c>
      <c r="C4817">
        <v>39173900</v>
      </c>
      <c r="E4817">
        <v>71.78</v>
      </c>
      <c r="F4817">
        <v>18</v>
      </c>
      <c r="G4817">
        <v>5</v>
      </c>
      <c r="H4817" t="s">
        <v>19447</v>
      </c>
      <c r="I4817" t="s">
        <v>19447</v>
      </c>
      <c r="J4817">
        <v>16</v>
      </c>
      <c r="L4817" t="s">
        <v>2709</v>
      </c>
      <c r="M4817">
        <v>39173900</v>
      </c>
      <c r="O4817" t="s">
        <v>20056</v>
      </c>
      <c r="P4817" t="s">
        <v>19899</v>
      </c>
      <c r="Q4817" t="s">
        <v>19909</v>
      </c>
      <c r="R4817" t="s">
        <v>19447</v>
      </c>
      <c r="S4817" t="s">
        <v>19447</v>
      </c>
      <c r="T4817" t="s">
        <v>19913</v>
      </c>
    </row>
    <row r="4818" spans="2:20" x14ac:dyDescent="0.25">
      <c r="B4818" t="s">
        <v>2709</v>
      </c>
      <c r="C4818">
        <v>39174010</v>
      </c>
      <c r="E4818">
        <v>71.78</v>
      </c>
      <c r="F4818">
        <v>0</v>
      </c>
      <c r="G4818">
        <v>0</v>
      </c>
      <c r="H4818" t="s">
        <v>19447</v>
      </c>
      <c r="I4818" t="s">
        <v>19447</v>
      </c>
      <c r="J4818">
        <v>0</v>
      </c>
      <c r="L4818" t="s">
        <v>2709</v>
      </c>
      <c r="M4818">
        <v>39174010</v>
      </c>
      <c r="O4818" t="s">
        <v>20056</v>
      </c>
      <c r="P4818" t="s">
        <v>19900</v>
      </c>
      <c r="Q4818" t="s">
        <v>19900</v>
      </c>
      <c r="R4818" t="s">
        <v>19447</v>
      </c>
      <c r="S4818" t="s">
        <v>19447</v>
      </c>
      <c r="T4818" t="s">
        <v>19900</v>
      </c>
    </row>
    <row r="4819" spans="2:20" x14ac:dyDescent="0.25">
      <c r="B4819" t="s">
        <v>2709</v>
      </c>
      <c r="C4819">
        <v>39174090</v>
      </c>
      <c r="E4819">
        <v>71.78</v>
      </c>
      <c r="F4819">
        <v>0</v>
      </c>
      <c r="G4819">
        <v>0</v>
      </c>
      <c r="H4819" t="s">
        <v>19447</v>
      </c>
      <c r="I4819" t="s">
        <v>19447</v>
      </c>
      <c r="J4819">
        <v>16</v>
      </c>
      <c r="L4819" t="s">
        <v>2709</v>
      </c>
      <c r="M4819">
        <v>39174090</v>
      </c>
      <c r="O4819" t="s">
        <v>20056</v>
      </c>
      <c r="P4819" t="s">
        <v>19900</v>
      </c>
      <c r="Q4819" t="s">
        <v>19900</v>
      </c>
      <c r="R4819" t="s">
        <v>19447</v>
      </c>
      <c r="S4819" t="s">
        <v>19447</v>
      </c>
      <c r="T4819" t="s">
        <v>19913</v>
      </c>
    </row>
    <row r="4820" spans="2:20" x14ac:dyDescent="0.25">
      <c r="B4820" t="s">
        <v>2709</v>
      </c>
      <c r="C4820">
        <v>39181000</v>
      </c>
      <c r="E4820">
        <v>71.78</v>
      </c>
      <c r="F4820">
        <v>12</v>
      </c>
      <c r="G4820">
        <v>0</v>
      </c>
      <c r="H4820" t="s">
        <v>19447</v>
      </c>
      <c r="I4820" t="s">
        <v>19447</v>
      </c>
      <c r="J4820">
        <v>16</v>
      </c>
      <c r="L4820" t="s">
        <v>2709</v>
      </c>
      <c r="M4820">
        <v>39181000</v>
      </c>
      <c r="O4820" t="s">
        <v>20056</v>
      </c>
      <c r="P4820" t="s">
        <v>19903</v>
      </c>
      <c r="Q4820" t="s">
        <v>19900</v>
      </c>
      <c r="R4820" t="s">
        <v>19447</v>
      </c>
      <c r="S4820" t="s">
        <v>19447</v>
      </c>
      <c r="T4820" t="s">
        <v>19913</v>
      </c>
    </row>
    <row r="4821" spans="2:20" x14ac:dyDescent="0.25">
      <c r="B4821" t="s">
        <v>2709</v>
      </c>
      <c r="C4821">
        <v>39189000</v>
      </c>
      <c r="E4821">
        <v>56</v>
      </c>
      <c r="F4821">
        <v>18</v>
      </c>
      <c r="G4821">
        <v>5</v>
      </c>
      <c r="H4821" t="s">
        <v>19447</v>
      </c>
      <c r="I4821" t="s">
        <v>19447</v>
      </c>
      <c r="J4821">
        <v>16</v>
      </c>
      <c r="L4821" t="s">
        <v>2709</v>
      </c>
      <c r="M4821">
        <v>39189000</v>
      </c>
      <c r="O4821" t="s">
        <v>20065</v>
      </c>
      <c r="P4821" t="s">
        <v>19899</v>
      </c>
      <c r="Q4821" t="s">
        <v>19909</v>
      </c>
      <c r="R4821" t="s">
        <v>19447</v>
      </c>
      <c r="S4821" t="s">
        <v>19447</v>
      </c>
      <c r="T4821" t="s">
        <v>19913</v>
      </c>
    </row>
    <row r="4822" spans="2:20" x14ac:dyDescent="0.25">
      <c r="B4822" t="s">
        <v>2709</v>
      </c>
      <c r="C4822">
        <v>39191000</v>
      </c>
      <c r="E4822">
        <v>71.78</v>
      </c>
      <c r="F4822">
        <v>18</v>
      </c>
      <c r="G4822">
        <v>15</v>
      </c>
      <c r="H4822" t="s">
        <v>19447</v>
      </c>
      <c r="I4822" t="s">
        <v>19447</v>
      </c>
      <c r="J4822">
        <v>16</v>
      </c>
      <c r="L4822" t="s">
        <v>2709</v>
      </c>
      <c r="M4822">
        <v>39191000</v>
      </c>
      <c r="O4822" t="s">
        <v>20056</v>
      </c>
      <c r="P4822" t="s">
        <v>19899</v>
      </c>
      <c r="Q4822" t="s">
        <v>19983</v>
      </c>
      <c r="R4822" t="s">
        <v>19447</v>
      </c>
      <c r="S4822" t="s">
        <v>19447</v>
      </c>
      <c r="T4822" t="s">
        <v>19913</v>
      </c>
    </row>
    <row r="4823" spans="2:20" x14ac:dyDescent="0.25">
      <c r="B4823" t="s">
        <v>2709</v>
      </c>
      <c r="C4823">
        <v>39199000</v>
      </c>
      <c r="E4823">
        <v>71.78</v>
      </c>
      <c r="F4823">
        <v>18</v>
      </c>
      <c r="G4823">
        <v>15</v>
      </c>
      <c r="H4823" t="s">
        <v>19447</v>
      </c>
      <c r="I4823" t="s">
        <v>19447</v>
      </c>
      <c r="J4823">
        <v>16</v>
      </c>
      <c r="L4823" t="s">
        <v>2709</v>
      </c>
      <c r="M4823">
        <v>39199000</v>
      </c>
      <c r="O4823" t="s">
        <v>20056</v>
      </c>
      <c r="P4823" t="s">
        <v>19899</v>
      </c>
      <c r="Q4823" t="s">
        <v>19983</v>
      </c>
      <c r="R4823" t="s">
        <v>19447</v>
      </c>
      <c r="S4823" t="s">
        <v>19447</v>
      </c>
      <c r="T4823" t="s">
        <v>19913</v>
      </c>
    </row>
    <row r="4824" spans="2:20" x14ac:dyDescent="0.25">
      <c r="B4824" t="s">
        <v>2709</v>
      </c>
      <c r="C4824">
        <v>39201010</v>
      </c>
      <c r="E4824">
        <v>52</v>
      </c>
      <c r="F4824">
        <v>18</v>
      </c>
      <c r="G4824">
        <v>15</v>
      </c>
      <c r="H4824" t="s">
        <v>19447</v>
      </c>
      <c r="I4824" t="s">
        <v>19447</v>
      </c>
      <c r="J4824">
        <v>2</v>
      </c>
      <c r="L4824" t="s">
        <v>2709</v>
      </c>
      <c r="M4824">
        <v>39201010</v>
      </c>
      <c r="O4824" t="s">
        <v>20066</v>
      </c>
      <c r="P4824" t="s">
        <v>19899</v>
      </c>
      <c r="Q4824" t="s">
        <v>19983</v>
      </c>
      <c r="R4824" t="s">
        <v>19447</v>
      </c>
      <c r="S4824" t="s">
        <v>19447</v>
      </c>
      <c r="T4824" t="s">
        <v>19901</v>
      </c>
    </row>
    <row r="4825" spans="2:20" x14ac:dyDescent="0.25">
      <c r="B4825" t="s">
        <v>2709</v>
      </c>
      <c r="C4825">
        <v>39201091</v>
      </c>
      <c r="E4825">
        <v>52</v>
      </c>
      <c r="F4825">
        <v>18</v>
      </c>
      <c r="G4825">
        <v>15</v>
      </c>
      <c r="H4825" t="s">
        <v>19447</v>
      </c>
      <c r="I4825" t="s">
        <v>19447</v>
      </c>
      <c r="J4825">
        <v>2</v>
      </c>
      <c r="L4825" t="s">
        <v>2709</v>
      </c>
      <c r="M4825">
        <v>39201091</v>
      </c>
      <c r="O4825" t="s">
        <v>20066</v>
      </c>
      <c r="P4825" t="s">
        <v>19899</v>
      </c>
      <c r="Q4825" t="s">
        <v>19983</v>
      </c>
      <c r="R4825" t="s">
        <v>19447</v>
      </c>
      <c r="S4825" t="s">
        <v>19447</v>
      </c>
      <c r="T4825" t="s">
        <v>19901</v>
      </c>
    </row>
    <row r="4826" spans="2:20" x14ac:dyDescent="0.25">
      <c r="B4826" t="s">
        <v>2709</v>
      </c>
      <c r="C4826">
        <v>39201099</v>
      </c>
      <c r="E4826">
        <v>52</v>
      </c>
      <c r="F4826">
        <v>18</v>
      </c>
      <c r="G4826">
        <v>15</v>
      </c>
      <c r="H4826" t="s">
        <v>19447</v>
      </c>
      <c r="I4826" t="s">
        <v>19447</v>
      </c>
      <c r="J4826">
        <v>16</v>
      </c>
      <c r="L4826" t="s">
        <v>2709</v>
      </c>
      <c r="M4826">
        <v>39201099</v>
      </c>
      <c r="O4826" t="s">
        <v>20066</v>
      </c>
      <c r="P4826" t="s">
        <v>19899</v>
      </c>
      <c r="Q4826" t="s">
        <v>19983</v>
      </c>
      <c r="R4826" t="s">
        <v>19447</v>
      </c>
      <c r="S4826" t="s">
        <v>19447</v>
      </c>
      <c r="T4826" t="s">
        <v>19913</v>
      </c>
    </row>
    <row r="4827" spans="2:20" x14ac:dyDescent="0.25">
      <c r="B4827" t="s">
        <v>2709</v>
      </c>
      <c r="C4827">
        <v>39202011</v>
      </c>
      <c r="E4827">
        <v>52</v>
      </c>
      <c r="F4827">
        <v>18</v>
      </c>
      <c r="G4827">
        <v>15</v>
      </c>
      <c r="H4827" t="s">
        <v>19447</v>
      </c>
      <c r="I4827" t="s">
        <v>19447</v>
      </c>
      <c r="J4827">
        <v>2</v>
      </c>
      <c r="L4827" t="s">
        <v>2709</v>
      </c>
      <c r="M4827">
        <v>39202011</v>
      </c>
      <c r="O4827" t="s">
        <v>20066</v>
      </c>
      <c r="P4827" t="s">
        <v>19899</v>
      </c>
      <c r="Q4827" t="s">
        <v>19983</v>
      </c>
      <c r="R4827" t="s">
        <v>19447</v>
      </c>
      <c r="S4827" t="s">
        <v>19447</v>
      </c>
      <c r="T4827" t="s">
        <v>19901</v>
      </c>
    </row>
    <row r="4828" spans="2:20" x14ac:dyDescent="0.25">
      <c r="B4828" t="s">
        <v>2709</v>
      </c>
      <c r="C4828">
        <v>39202012</v>
      </c>
      <c r="E4828">
        <v>52</v>
      </c>
      <c r="F4828">
        <v>18</v>
      </c>
      <c r="G4828">
        <v>15</v>
      </c>
      <c r="H4828" t="s">
        <v>19447</v>
      </c>
      <c r="I4828" t="s">
        <v>19447</v>
      </c>
      <c r="J4828">
        <v>2</v>
      </c>
      <c r="L4828" t="s">
        <v>2709</v>
      </c>
      <c r="M4828">
        <v>39202012</v>
      </c>
      <c r="O4828" t="s">
        <v>20066</v>
      </c>
      <c r="P4828" t="s">
        <v>19899</v>
      </c>
      <c r="Q4828" t="s">
        <v>19983</v>
      </c>
      <c r="R4828" t="s">
        <v>19447</v>
      </c>
      <c r="S4828" t="s">
        <v>19447</v>
      </c>
      <c r="T4828" t="s">
        <v>19901</v>
      </c>
    </row>
    <row r="4829" spans="2:20" x14ac:dyDescent="0.25">
      <c r="B4829" t="s">
        <v>2709</v>
      </c>
      <c r="C4829">
        <v>39202019</v>
      </c>
      <c r="E4829">
        <v>112.46</v>
      </c>
      <c r="F4829">
        <v>18</v>
      </c>
      <c r="G4829">
        <v>15</v>
      </c>
      <c r="H4829" t="s">
        <v>19447</v>
      </c>
      <c r="I4829" t="s">
        <v>19447</v>
      </c>
      <c r="J4829">
        <v>16</v>
      </c>
      <c r="L4829" t="s">
        <v>2709</v>
      </c>
      <c r="M4829">
        <v>39202019</v>
      </c>
      <c r="O4829" t="s">
        <v>20055</v>
      </c>
      <c r="P4829" t="s">
        <v>19899</v>
      </c>
      <c r="Q4829" t="s">
        <v>19983</v>
      </c>
      <c r="R4829" t="s">
        <v>19447</v>
      </c>
      <c r="S4829" t="s">
        <v>19447</v>
      </c>
      <c r="T4829" t="s">
        <v>19913</v>
      </c>
    </row>
    <row r="4830" spans="2:20" x14ac:dyDescent="0.25">
      <c r="B4830" t="s">
        <v>2709</v>
      </c>
      <c r="C4830">
        <v>39202019</v>
      </c>
      <c r="D4830">
        <v>1</v>
      </c>
      <c r="E4830" t="s">
        <v>19447</v>
      </c>
      <c r="F4830">
        <v>18</v>
      </c>
      <c r="G4830">
        <v>0</v>
      </c>
      <c r="H4830">
        <v>7.6</v>
      </c>
      <c r="I4830">
        <v>1.65</v>
      </c>
      <c r="J4830">
        <v>16</v>
      </c>
      <c r="L4830" t="s">
        <v>2709</v>
      </c>
      <c r="M4830">
        <v>39202019</v>
      </c>
      <c r="N4830">
        <v>1</v>
      </c>
      <c r="O4830" t="s">
        <v>19447</v>
      </c>
      <c r="P4830" t="s">
        <v>19899</v>
      </c>
      <c r="Q4830" t="s">
        <v>19900</v>
      </c>
      <c r="R4830" t="s">
        <v>19905</v>
      </c>
      <c r="S4830" t="s">
        <v>19906</v>
      </c>
      <c r="T4830" t="s">
        <v>19913</v>
      </c>
    </row>
    <row r="4831" spans="2:20" x14ac:dyDescent="0.25">
      <c r="B4831" t="s">
        <v>2709</v>
      </c>
      <c r="C4831">
        <v>39202090</v>
      </c>
      <c r="E4831">
        <v>52</v>
      </c>
      <c r="F4831">
        <v>18</v>
      </c>
      <c r="G4831">
        <v>15</v>
      </c>
      <c r="H4831" t="s">
        <v>19447</v>
      </c>
      <c r="I4831" t="s">
        <v>19447</v>
      </c>
      <c r="J4831">
        <v>16</v>
      </c>
      <c r="L4831" t="s">
        <v>2709</v>
      </c>
      <c r="M4831">
        <v>39202090</v>
      </c>
      <c r="O4831" t="s">
        <v>20066</v>
      </c>
      <c r="P4831" t="s">
        <v>19899</v>
      </c>
      <c r="Q4831" t="s">
        <v>19983</v>
      </c>
      <c r="R4831" t="s">
        <v>19447</v>
      </c>
      <c r="S4831" t="s">
        <v>19447</v>
      </c>
      <c r="T4831" t="s">
        <v>19913</v>
      </c>
    </row>
    <row r="4832" spans="2:20" x14ac:dyDescent="0.25">
      <c r="B4832" t="s">
        <v>2709</v>
      </c>
      <c r="C4832">
        <v>39203000</v>
      </c>
      <c r="E4832">
        <v>52</v>
      </c>
      <c r="F4832">
        <v>18</v>
      </c>
      <c r="G4832">
        <v>15</v>
      </c>
      <c r="H4832" t="s">
        <v>19447</v>
      </c>
      <c r="I4832" t="s">
        <v>19447</v>
      </c>
      <c r="J4832">
        <v>16</v>
      </c>
      <c r="L4832" t="s">
        <v>2709</v>
      </c>
      <c r="M4832">
        <v>39203000</v>
      </c>
      <c r="O4832" t="s">
        <v>20066</v>
      </c>
      <c r="P4832" t="s">
        <v>19899</v>
      </c>
      <c r="Q4832" t="s">
        <v>19983</v>
      </c>
      <c r="R4832" t="s">
        <v>19447</v>
      </c>
      <c r="S4832" t="s">
        <v>19447</v>
      </c>
      <c r="T4832" t="s">
        <v>19913</v>
      </c>
    </row>
    <row r="4833" spans="2:20" x14ac:dyDescent="0.25">
      <c r="B4833" t="s">
        <v>2709</v>
      </c>
      <c r="C4833">
        <v>39203000</v>
      </c>
      <c r="D4833">
        <v>1</v>
      </c>
      <c r="E4833" t="s">
        <v>19447</v>
      </c>
      <c r="F4833">
        <v>18</v>
      </c>
      <c r="G4833">
        <v>4</v>
      </c>
      <c r="H4833">
        <v>7.6</v>
      </c>
      <c r="I4833">
        <v>1.65</v>
      </c>
      <c r="J4833">
        <v>16</v>
      </c>
      <c r="L4833" t="s">
        <v>2709</v>
      </c>
      <c r="M4833">
        <v>39203000</v>
      </c>
      <c r="N4833">
        <v>1</v>
      </c>
      <c r="O4833" t="s">
        <v>19447</v>
      </c>
      <c r="P4833" t="s">
        <v>19899</v>
      </c>
      <c r="Q4833" t="s">
        <v>19902</v>
      </c>
      <c r="R4833" t="s">
        <v>19905</v>
      </c>
      <c r="S4833" t="s">
        <v>19906</v>
      </c>
      <c r="T4833" t="s">
        <v>19913</v>
      </c>
    </row>
    <row r="4834" spans="2:20" x14ac:dyDescent="0.25">
      <c r="B4834" t="s">
        <v>2709</v>
      </c>
      <c r="C4834">
        <v>39204310</v>
      </c>
      <c r="E4834">
        <v>52</v>
      </c>
      <c r="F4834">
        <v>18</v>
      </c>
      <c r="G4834">
        <v>15</v>
      </c>
      <c r="H4834" t="s">
        <v>19447</v>
      </c>
      <c r="I4834" t="s">
        <v>19447</v>
      </c>
      <c r="J4834">
        <v>16</v>
      </c>
      <c r="L4834" t="s">
        <v>2709</v>
      </c>
      <c r="M4834">
        <v>39204310</v>
      </c>
      <c r="O4834" t="s">
        <v>20066</v>
      </c>
      <c r="P4834" t="s">
        <v>19899</v>
      </c>
      <c r="Q4834" t="s">
        <v>19983</v>
      </c>
      <c r="R4834" t="s">
        <v>19447</v>
      </c>
      <c r="S4834" t="s">
        <v>19447</v>
      </c>
      <c r="T4834" t="s">
        <v>19913</v>
      </c>
    </row>
    <row r="4835" spans="2:20" x14ac:dyDescent="0.25">
      <c r="B4835" t="s">
        <v>2709</v>
      </c>
      <c r="C4835">
        <v>39204390</v>
      </c>
      <c r="E4835">
        <v>52</v>
      </c>
      <c r="F4835">
        <v>18</v>
      </c>
      <c r="G4835">
        <v>15</v>
      </c>
      <c r="H4835" t="s">
        <v>19447</v>
      </c>
      <c r="I4835" t="s">
        <v>19447</v>
      </c>
      <c r="J4835">
        <v>16</v>
      </c>
      <c r="L4835" t="s">
        <v>2709</v>
      </c>
      <c r="M4835">
        <v>39204390</v>
      </c>
      <c r="O4835" t="s">
        <v>20066</v>
      </c>
      <c r="P4835" t="s">
        <v>19899</v>
      </c>
      <c r="Q4835" t="s">
        <v>19983</v>
      </c>
      <c r="R4835" t="s">
        <v>19447</v>
      </c>
      <c r="S4835" t="s">
        <v>19447</v>
      </c>
      <c r="T4835" t="s">
        <v>19913</v>
      </c>
    </row>
    <row r="4836" spans="2:20" x14ac:dyDescent="0.25">
      <c r="B4836" t="s">
        <v>2709</v>
      </c>
      <c r="C4836">
        <v>39204900</v>
      </c>
      <c r="E4836">
        <v>52</v>
      </c>
      <c r="F4836">
        <v>18</v>
      </c>
      <c r="G4836">
        <v>15</v>
      </c>
      <c r="H4836" t="s">
        <v>19447</v>
      </c>
      <c r="I4836" t="s">
        <v>19447</v>
      </c>
      <c r="J4836">
        <v>16</v>
      </c>
      <c r="L4836" t="s">
        <v>2709</v>
      </c>
      <c r="M4836">
        <v>39204900</v>
      </c>
      <c r="O4836" t="s">
        <v>20066</v>
      </c>
      <c r="P4836" t="s">
        <v>19899</v>
      </c>
      <c r="Q4836" t="s">
        <v>19983</v>
      </c>
      <c r="R4836" t="s">
        <v>19447</v>
      </c>
      <c r="S4836" t="s">
        <v>19447</v>
      </c>
      <c r="T4836" t="s">
        <v>19913</v>
      </c>
    </row>
    <row r="4837" spans="2:20" x14ac:dyDescent="0.25">
      <c r="B4837" t="s">
        <v>2709</v>
      </c>
      <c r="C4837">
        <v>39204900</v>
      </c>
      <c r="D4837">
        <v>1</v>
      </c>
      <c r="E4837" t="s">
        <v>19447</v>
      </c>
      <c r="F4837">
        <v>18</v>
      </c>
      <c r="G4837">
        <v>4</v>
      </c>
      <c r="H4837">
        <v>7.6</v>
      </c>
      <c r="I4837">
        <v>1.65</v>
      </c>
      <c r="J4837">
        <v>16</v>
      </c>
      <c r="L4837" t="s">
        <v>2709</v>
      </c>
      <c r="M4837">
        <v>39204900</v>
      </c>
      <c r="N4837">
        <v>1</v>
      </c>
      <c r="O4837" t="s">
        <v>19447</v>
      </c>
      <c r="P4837" t="s">
        <v>19899</v>
      </c>
      <c r="Q4837" t="s">
        <v>19902</v>
      </c>
      <c r="R4837" t="s">
        <v>19905</v>
      </c>
      <c r="S4837" t="s">
        <v>19906</v>
      </c>
      <c r="T4837" t="s">
        <v>19913</v>
      </c>
    </row>
    <row r="4838" spans="2:20" x14ac:dyDescent="0.25">
      <c r="B4838" t="s">
        <v>2709</v>
      </c>
      <c r="C4838">
        <v>39205100</v>
      </c>
      <c r="E4838">
        <v>52</v>
      </c>
      <c r="F4838">
        <v>18</v>
      </c>
      <c r="G4838">
        <v>15</v>
      </c>
      <c r="H4838" t="s">
        <v>19447</v>
      </c>
      <c r="I4838" t="s">
        <v>19447</v>
      </c>
      <c r="J4838">
        <v>16</v>
      </c>
      <c r="L4838" t="s">
        <v>2709</v>
      </c>
      <c r="M4838">
        <v>39205100</v>
      </c>
      <c r="O4838" t="s">
        <v>20066</v>
      </c>
      <c r="P4838" t="s">
        <v>19899</v>
      </c>
      <c r="Q4838" t="s">
        <v>19983</v>
      </c>
      <c r="R4838" t="s">
        <v>19447</v>
      </c>
      <c r="S4838" t="s">
        <v>19447</v>
      </c>
      <c r="T4838" t="s">
        <v>19913</v>
      </c>
    </row>
    <row r="4839" spans="2:20" x14ac:dyDescent="0.25">
      <c r="B4839" t="s">
        <v>2709</v>
      </c>
      <c r="C4839">
        <v>39205900</v>
      </c>
      <c r="E4839">
        <v>52</v>
      </c>
      <c r="F4839">
        <v>18</v>
      </c>
      <c r="G4839">
        <v>15</v>
      </c>
      <c r="H4839" t="s">
        <v>19447</v>
      </c>
      <c r="I4839" t="s">
        <v>19447</v>
      </c>
      <c r="J4839">
        <v>16</v>
      </c>
      <c r="L4839" t="s">
        <v>2709</v>
      </c>
      <c r="M4839">
        <v>39205900</v>
      </c>
      <c r="O4839" t="s">
        <v>20066</v>
      </c>
      <c r="P4839" t="s">
        <v>19899</v>
      </c>
      <c r="Q4839" t="s">
        <v>19983</v>
      </c>
      <c r="R4839" t="s">
        <v>19447</v>
      </c>
      <c r="S4839" t="s">
        <v>19447</v>
      </c>
      <c r="T4839" t="s">
        <v>19913</v>
      </c>
    </row>
    <row r="4840" spans="2:20" x14ac:dyDescent="0.25">
      <c r="B4840" t="s">
        <v>2709</v>
      </c>
      <c r="C4840">
        <v>39206100</v>
      </c>
      <c r="E4840">
        <v>52</v>
      </c>
      <c r="F4840">
        <v>18</v>
      </c>
      <c r="G4840">
        <v>15</v>
      </c>
      <c r="H4840" t="s">
        <v>19447</v>
      </c>
      <c r="I4840" t="s">
        <v>19447</v>
      </c>
      <c r="J4840">
        <v>16</v>
      </c>
      <c r="L4840" t="s">
        <v>2709</v>
      </c>
      <c r="M4840">
        <v>39206100</v>
      </c>
      <c r="O4840" t="s">
        <v>20066</v>
      </c>
      <c r="P4840" t="s">
        <v>19899</v>
      </c>
      <c r="Q4840" t="s">
        <v>19983</v>
      </c>
      <c r="R4840" t="s">
        <v>19447</v>
      </c>
      <c r="S4840" t="s">
        <v>19447</v>
      </c>
      <c r="T4840" t="s">
        <v>19913</v>
      </c>
    </row>
    <row r="4841" spans="2:20" x14ac:dyDescent="0.25">
      <c r="B4841" t="s">
        <v>2709</v>
      </c>
      <c r="C4841">
        <v>39206211</v>
      </c>
      <c r="E4841">
        <v>52</v>
      </c>
      <c r="F4841">
        <v>18</v>
      </c>
      <c r="G4841">
        <v>15</v>
      </c>
      <c r="H4841" t="s">
        <v>19447</v>
      </c>
      <c r="I4841" t="s">
        <v>19447</v>
      </c>
      <c r="J4841">
        <v>2</v>
      </c>
      <c r="L4841" t="s">
        <v>2709</v>
      </c>
      <c r="M4841">
        <v>39206211</v>
      </c>
      <c r="O4841" t="s">
        <v>20066</v>
      </c>
      <c r="P4841" t="s">
        <v>19899</v>
      </c>
      <c r="Q4841" t="s">
        <v>19983</v>
      </c>
      <c r="R4841" t="s">
        <v>19447</v>
      </c>
      <c r="S4841" t="s">
        <v>19447</v>
      </c>
      <c r="T4841" t="s">
        <v>19901</v>
      </c>
    </row>
    <row r="4842" spans="2:20" x14ac:dyDescent="0.25">
      <c r="B4842" t="s">
        <v>2709</v>
      </c>
      <c r="C4842">
        <v>39206219</v>
      </c>
      <c r="E4842">
        <v>52</v>
      </c>
      <c r="F4842">
        <v>18</v>
      </c>
      <c r="G4842">
        <v>15</v>
      </c>
      <c r="H4842" t="s">
        <v>19447</v>
      </c>
      <c r="I4842" t="s">
        <v>19447</v>
      </c>
      <c r="J4842">
        <v>16</v>
      </c>
      <c r="L4842" t="s">
        <v>2709</v>
      </c>
      <c r="M4842">
        <v>39206219</v>
      </c>
      <c r="O4842" t="s">
        <v>20066</v>
      </c>
      <c r="P4842" t="s">
        <v>19899</v>
      </c>
      <c r="Q4842" t="s">
        <v>19983</v>
      </c>
      <c r="R4842" t="s">
        <v>19447</v>
      </c>
      <c r="S4842" t="s">
        <v>19447</v>
      </c>
      <c r="T4842" t="s">
        <v>19913</v>
      </c>
    </row>
    <row r="4843" spans="2:20" x14ac:dyDescent="0.25">
      <c r="B4843" t="s">
        <v>2709</v>
      </c>
      <c r="C4843">
        <v>39206291</v>
      </c>
      <c r="E4843">
        <v>52</v>
      </c>
      <c r="F4843">
        <v>18</v>
      </c>
      <c r="G4843">
        <v>15</v>
      </c>
      <c r="H4843" t="s">
        <v>19447</v>
      </c>
      <c r="I4843" t="s">
        <v>19447</v>
      </c>
      <c r="J4843">
        <v>16</v>
      </c>
      <c r="L4843" t="s">
        <v>2709</v>
      </c>
      <c r="M4843">
        <v>39206291</v>
      </c>
      <c r="O4843" t="s">
        <v>20066</v>
      </c>
      <c r="P4843" t="s">
        <v>19899</v>
      </c>
      <c r="Q4843" t="s">
        <v>19983</v>
      </c>
      <c r="R4843" t="s">
        <v>19447</v>
      </c>
      <c r="S4843" t="s">
        <v>19447</v>
      </c>
      <c r="T4843" t="s">
        <v>19913</v>
      </c>
    </row>
    <row r="4844" spans="2:20" x14ac:dyDescent="0.25">
      <c r="B4844" t="s">
        <v>2709</v>
      </c>
      <c r="C4844">
        <v>39206299</v>
      </c>
      <c r="E4844">
        <v>52</v>
      </c>
      <c r="F4844">
        <v>18</v>
      </c>
      <c r="G4844">
        <v>15</v>
      </c>
      <c r="H4844" t="s">
        <v>19447</v>
      </c>
      <c r="I4844" t="s">
        <v>19447</v>
      </c>
      <c r="J4844">
        <v>16</v>
      </c>
      <c r="L4844" t="s">
        <v>2709</v>
      </c>
      <c r="M4844">
        <v>39206299</v>
      </c>
      <c r="O4844" t="s">
        <v>20066</v>
      </c>
      <c r="P4844" t="s">
        <v>19899</v>
      </c>
      <c r="Q4844" t="s">
        <v>19983</v>
      </c>
      <c r="R4844" t="s">
        <v>19447</v>
      </c>
      <c r="S4844" t="s">
        <v>19447</v>
      </c>
      <c r="T4844" t="s">
        <v>19913</v>
      </c>
    </row>
    <row r="4845" spans="2:20" x14ac:dyDescent="0.25">
      <c r="B4845" t="s">
        <v>2709</v>
      </c>
      <c r="C4845">
        <v>39206299</v>
      </c>
      <c r="D4845">
        <v>1</v>
      </c>
      <c r="E4845" t="s">
        <v>19447</v>
      </c>
      <c r="F4845">
        <v>18</v>
      </c>
      <c r="G4845">
        <v>4</v>
      </c>
      <c r="H4845">
        <v>7.6</v>
      </c>
      <c r="I4845">
        <v>1.65</v>
      </c>
      <c r="J4845">
        <v>16</v>
      </c>
      <c r="L4845" t="s">
        <v>2709</v>
      </c>
      <c r="M4845">
        <v>39206299</v>
      </c>
      <c r="N4845">
        <v>1</v>
      </c>
      <c r="O4845" t="s">
        <v>19447</v>
      </c>
      <c r="P4845" t="s">
        <v>19899</v>
      </c>
      <c r="Q4845" t="s">
        <v>19902</v>
      </c>
      <c r="R4845" t="s">
        <v>19905</v>
      </c>
      <c r="S4845" t="s">
        <v>19906</v>
      </c>
      <c r="T4845" t="s">
        <v>19913</v>
      </c>
    </row>
    <row r="4846" spans="2:20" x14ac:dyDescent="0.25">
      <c r="B4846" t="s">
        <v>2709</v>
      </c>
      <c r="C4846">
        <v>39206300</v>
      </c>
      <c r="E4846">
        <v>52</v>
      </c>
      <c r="F4846">
        <v>18</v>
      </c>
      <c r="G4846">
        <v>15</v>
      </c>
      <c r="H4846" t="s">
        <v>19447</v>
      </c>
      <c r="I4846" t="s">
        <v>19447</v>
      </c>
      <c r="J4846">
        <v>16</v>
      </c>
      <c r="L4846" t="s">
        <v>2709</v>
      </c>
      <c r="M4846">
        <v>39206300</v>
      </c>
      <c r="O4846" t="s">
        <v>20066</v>
      </c>
      <c r="P4846" t="s">
        <v>19899</v>
      </c>
      <c r="Q4846" t="s">
        <v>19983</v>
      </c>
      <c r="R4846" t="s">
        <v>19447</v>
      </c>
      <c r="S4846" t="s">
        <v>19447</v>
      </c>
      <c r="T4846" t="s">
        <v>19913</v>
      </c>
    </row>
    <row r="4847" spans="2:20" x14ac:dyDescent="0.25">
      <c r="B4847" t="s">
        <v>2709</v>
      </c>
      <c r="C4847">
        <v>39206900</v>
      </c>
      <c r="E4847">
        <v>52</v>
      </c>
      <c r="F4847">
        <v>18</v>
      </c>
      <c r="G4847">
        <v>15</v>
      </c>
      <c r="H4847" t="s">
        <v>19447</v>
      </c>
      <c r="I4847" t="s">
        <v>19447</v>
      </c>
      <c r="J4847">
        <v>16</v>
      </c>
      <c r="L4847" t="s">
        <v>2709</v>
      </c>
      <c r="M4847">
        <v>39206900</v>
      </c>
      <c r="O4847" t="s">
        <v>20066</v>
      </c>
      <c r="P4847" t="s">
        <v>19899</v>
      </c>
      <c r="Q4847" t="s">
        <v>19983</v>
      </c>
      <c r="R4847" t="s">
        <v>19447</v>
      </c>
      <c r="S4847" t="s">
        <v>19447</v>
      </c>
      <c r="T4847" t="s">
        <v>19913</v>
      </c>
    </row>
    <row r="4848" spans="2:20" x14ac:dyDescent="0.25">
      <c r="B4848" t="s">
        <v>2709</v>
      </c>
      <c r="C4848">
        <v>39207100</v>
      </c>
      <c r="E4848">
        <v>52</v>
      </c>
      <c r="F4848">
        <v>18</v>
      </c>
      <c r="G4848">
        <v>15</v>
      </c>
      <c r="H4848" t="s">
        <v>19447</v>
      </c>
      <c r="I4848" t="s">
        <v>19447</v>
      </c>
      <c r="J4848">
        <v>16</v>
      </c>
      <c r="L4848" t="s">
        <v>2709</v>
      </c>
      <c r="M4848">
        <v>39207100</v>
      </c>
      <c r="O4848" t="s">
        <v>20066</v>
      </c>
      <c r="P4848" t="s">
        <v>19899</v>
      </c>
      <c r="Q4848" t="s">
        <v>19983</v>
      </c>
      <c r="R4848" t="s">
        <v>19447</v>
      </c>
      <c r="S4848" t="s">
        <v>19447</v>
      </c>
      <c r="T4848" t="s">
        <v>19913</v>
      </c>
    </row>
    <row r="4849" spans="2:20" x14ac:dyDescent="0.25">
      <c r="B4849" t="s">
        <v>2709</v>
      </c>
      <c r="C4849">
        <v>39207310</v>
      </c>
      <c r="E4849">
        <v>52</v>
      </c>
      <c r="F4849">
        <v>18</v>
      </c>
      <c r="G4849">
        <v>15</v>
      </c>
      <c r="H4849" t="s">
        <v>19447</v>
      </c>
      <c r="I4849" t="s">
        <v>19447</v>
      </c>
      <c r="J4849">
        <v>16</v>
      </c>
      <c r="L4849" t="s">
        <v>2709</v>
      </c>
      <c r="M4849">
        <v>39207310</v>
      </c>
      <c r="O4849" t="s">
        <v>20066</v>
      </c>
      <c r="P4849" t="s">
        <v>19899</v>
      </c>
      <c r="Q4849" t="s">
        <v>19983</v>
      </c>
      <c r="R4849" t="s">
        <v>19447</v>
      </c>
      <c r="S4849" t="s">
        <v>19447</v>
      </c>
      <c r="T4849" t="s">
        <v>19913</v>
      </c>
    </row>
    <row r="4850" spans="2:20" x14ac:dyDescent="0.25">
      <c r="B4850" t="s">
        <v>2709</v>
      </c>
      <c r="C4850">
        <v>39207390</v>
      </c>
      <c r="E4850">
        <v>52</v>
      </c>
      <c r="F4850">
        <v>18</v>
      </c>
      <c r="G4850">
        <v>15</v>
      </c>
      <c r="H4850" t="s">
        <v>19447</v>
      </c>
      <c r="I4850" t="s">
        <v>19447</v>
      </c>
      <c r="J4850">
        <v>16</v>
      </c>
      <c r="L4850" t="s">
        <v>2709</v>
      </c>
      <c r="M4850">
        <v>39207390</v>
      </c>
      <c r="O4850" t="s">
        <v>20066</v>
      </c>
      <c r="P4850" t="s">
        <v>19899</v>
      </c>
      <c r="Q4850" t="s">
        <v>19983</v>
      </c>
      <c r="R4850" t="s">
        <v>19447</v>
      </c>
      <c r="S4850" t="s">
        <v>19447</v>
      </c>
      <c r="T4850" t="s">
        <v>19913</v>
      </c>
    </row>
    <row r="4851" spans="2:20" x14ac:dyDescent="0.25">
      <c r="B4851" t="s">
        <v>2709</v>
      </c>
      <c r="C4851">
        <v>39207910</v>
      </c>
      <c r="E4851">
        <v>52</v>
      </c>
      <c r="F4851">
        <v>18</v>
      </c>
      <c r="G4851">
        <v>15</v>
      </c>
      <c r="H4851" t="s">
        <v>19447</v>
      </c>
      <c r="I4851" t="s">
        <v>19447</v>
      </c>
      <c r="J4851">
        <v>2</v>
      </c>
      <c r="L4851" t="s">
        <v>2709</v>
      </c>
      <c r="M4851">
        <v>39207910</v>
      </c>
      <c r="O4851" t="s">
        <v>20066</v>
      </c>
      <c r="P4851" t="s">
        <v>19899</v>
      </c>
      <c r="Q4851" t="s">
        <v>19983</v>
      </c>
      <c r="R4851" t="s">
        <v>19447</v>
      </c>
      <c r="S4851" t="s">
        <v>19447</v>
      </c>
      <c r="T4851" t="s">
        <v>19901</v>
      </c>
    </row>
    <row r="4852" spans="2:20" x14ac:dyDescent="0.25">
      <c r="B4852" t="s">
        <v>2709</v>
      </c>
      <c r="C4852">
        <v>39207990</v>
      </c>
      <c r="E4852">
        <v>52</v>
      </c>
      <c r="F4852">
        <v>18</v>
      </c>
      <c r="G4852">
        <v>15</v>
      </c>
      <c r="H4852" t="s">
        <v>19447</v>
      </c>
      <c r="I4852" t="s">
        <v>19447</v>
      </c>
      <c r="J4852">
        <v>16</v>
      </c>
      <c r="L4852" t="s">
        <v>2709</v>
      </c>
      <c r="M4852">
        <v>39207990</v>
      </c>
      <c r="O4852" t="s">
        <v>20066</v>
      </c>
      <c r="P4852" t="s">
        <v>19899</v>
      </c>
      <c r="Q4852" t="s">
        <v>19983</v>
      </c>
      <c r="R4852" t="s">
        <v>19447</v>
      </c>
      <c r="S4852" t="s">
        <v>19447</v>
      </c>
      <c r="T4852" t="s">
        <v>19913</v>
      </c>
    </row>
    <row r="4853" spans="2:20" x14ac:dyDescent="0.25">
      <c r="B4853" t="s">
        <v>2709</v>
      </c>
      <c r="C4853">
        <v>39209100</v>
      </c>
      <c r="E4853">
        <v>52</v>
      </c>
      <c r="F4853">
        <v>18</v>
      </c>
      <c r="G4853">
        <v>15</v>
      </c>
      <c r="H4853" t="s">
        <v>19447</v>
      </c>
      <c r="I4853" t="s">
        <v>19447</v>
      </c>
      <c r="J4853">
        <v>2</v>
      </c>
      <c r="L4853" t="s">
        <v>2709</v>
      </c>
      <c r="M4853">
        <v>39209100</v>
      </c>
      <c r="O4853" t="s">
        <v>20066</v>
      </c>
      <c r="P4853" t="s">
        <v>19899</v>
      </c>
      <c r="Q4853" t="s">
        <v>19983</v>
      </c>
      <c r="R4853" t="s">
        <v>19447</v>
      </c>
      <c r="S4853" t="s">
        <v>19447</v>
      </c>
      <c r="T4853" t="s">
        <v>19901</v>
      </c>
    </row>
    <row r="4854" spans="2:20" x14ac:dyDescent="0.25">
      <c r="B4854" t="s">
        <v>2709</v>
      </c>
      <c r="C4854">
        <v>39209200</v>
      </c>
      <c r="E4854">
        <v>52</v>
      </c>
      <c r="F4854">
        <v>18</v>
      </c>
      <c r="G4854">
        <v>15</v>
      </c>
      <c r="H4854" t="s">
        <v>19447</v>
      </c>
      <c r="I4854" t="s">
        <v>19447</v>
      </c>
      <c r="J4854">
        <v>16</v>
      </c>
      <c r="L4854" t="s">
        <v>2709</v>
      </c>
      <c r="M4854">
        <v>39209200</v>
      </c>
      <c r="O4854" t="s">
        <v>20066</v>
      </c>
      <c r="P4854" t="s">
        <v>19899</v>
      </c>
      <c r="Q4854" t="s">
        <v>19983</v>
      </c>
      <c r="R4854" t="s">
        <v>19447</v>
      </c>
      <c r="S4854" t="s">
        <v>19447</v>
      </c>
      <c r="T4854" t="s">
        <v>19913</v>
      </c>
    </row>
    <row r="4855" spans="2:20" x14ac:dyDescent="0.25">
      <c r="B4855" t="s">
        <v>2709</v>
      </c>
      <c r="C4855">
        <v>39209300</v>
      </c>
      <c r="E4855">
        <v>52</v>
      </c>
      <c r="F4855">
        <v>18</v>
      </c>
      <c r="G4855">
        <v>15</v>
      </c>
      <c r="H4855" t="s">
        <v>19447</v>
      </c>
      <c r="I4855" t="s">
        <v>19447</v>
      </c>
      <c r="J4855">
        <v>16</v>
      </c>
      <c r="L4855" t="s">
        <v>2709</v>
      </c>
      <c r="M4855">
        <v>39209300</v>
      </c>
      <c r="O4855" t="s">
        <v>20066</v>
      </c>
      <c r="P4855" t="s">
        <v>19899</v>
      </c>
      <c r="Q4855" t="s">
        <v>19983</v>
      </c>
      <c r="R4855" t="s">
        <v>19447</v>
      </c>
      <c r="S4855" t="s">
        <v>19447</v>
      </c>
      <c r="T4855" t="s">
        <v>19913</v>
      </c>
    </row>
    <row r="4856" spans="2:20" x14ac:dyDescent="0.25">
      <c r="B4856" t="s">
        <v>2709</v>
      </c>
      <c r="C4856">
        <v>39209400</v>
      </c>
      <c r="E4856">
        <v>52</v>
      </c>
      <c r="F4856">
        <v>18</v>
      </c>
      <c r="G4856">
        <v>15</v>
      </c>
      <c r="H4856" t="s">
        <v>19447</v>
      </c>
      <c r="I4856" t="s">
        <v>19447</v>
      </c>
      <c r="J4856">
        <v>16</v>
      </c>
      <c r="L4856" t="s">
        <v>2709</v>
      </c>
      <c r="M4856">
        <v>39209400</v>
      </c>
      <c r="O4856" t="s">
        <v>20066</v>
      </c>
      <c r="P4856" t="s">
        <v>19899</v>
      </c>
      <c r="Q4856" t="s">
        <v>19983</v>
      </c>
      <c r="R4856" t="s">
        <v>19447</v>
      </c>
      <c r="S4856" t="s">
        <v>19447</v>
      </c>
      <c r="T4856" t="s">
        <v>19913</v>
      </c>
    </row>
    <row r="4857" spans="2:20" x14ac:dyDescent="0.25">
      <c r="B4857" t="s">
        <v>2709</v>
      </c>
      <c r="C4857">
        <v>39209910</v>
      </c>
      <c r="E4857">
        <v>52</v>
      </c>
      <c r="F4857">
        <v>18</v>
      </c>
      <c r="G4857">
        <v>15</v>
      </c>
      <c r="H4857" t="s">
        <v>19447</v>
      </c>
      <c r="I4857" t="s">
        <v>19447</v>
      </c>
      <c r="J4857">
        <v>16</v>
      </c>
      <c r="L4857" t="s">
        <v>2709</v>
      </c>
      <c r="M4857">
        <v>39209910</v>
      </c>
      <c r="O4857" t="s">
        <v>20066</v>
      </c>
      <c r="P4857" t="s">
        <v>19899</v>
      </c>
      <c r="Q4857" t="s">
        <v>19983</v>
      </c>
      <c r="R4857" t="s">
        <v>19447</v>
      </c>
      <c r="S4857" t="s">
        <v>19447</v>
      </c>
      <c r="T4857" t="s">
        <v>19913</v>
      </c>
    </row>
    <row r="4858" spans="2:20" x14ac:dyDescent="0.25">
      <c r="B4858" t="s">
        <v>2709</v>
      </c>
      <c r="C4858">
        <v>39209920</v>
      </c>
      <c r="E4858">
        <v>52</v>
      </c>
      <c r="F4858">
        <v>18</v>
      </c>
      <c r="G4858">
        <v>15</v>
      </c>
      <c r="H4858" t="s">
        <v>19447</v>
      </c>
      <c r="I4858" t="s">
        <v>19447</v>
      </c>
      <c r="J4858">
        <v>16</v>
      </c>
      <c r="L4858" t="s">
        <v>2709</v>
      </c>
      <c r="M4858">
        <v>39209920</v>
      </c>
      <c r="O4858" t="s">
        <v>20066</v>
      </c>
      <c r="P4858" t="s">
        <v>19899</v>
      </c>
      <c r="Q4858" t="s">
        <v>19983</v>
      </c>
      <c r="R4858" t="s">
        <v>19447</v>
      </c>
      <c r="S4858" t="s">
        <v>19447</v>
      </c>
      <c r="T4858" t="s">
        <v>19913</v>
      </c>
    </row>
    <row r="4859" spans="2:20" x14ac:dyDescent="0.25">
      <c r="B4859" t="s">
        <v>2709</v>
      </c>
      <c r="C4859">
        <v>39209930</v>
      </c>
      <c r="E4859">
        <v>52</v>
      </c>
      <c r="F4859">
        <v>18</v>
      </c>
      <c r="G4859">
        <v>15</v>
      </c>
      <c r="H4859" t="s">
        <v>19447</v>
      </c>
      <c r="I4859" t="s">
        <v>19447</v>
      </c>
      <c r="J4859">
        <v>2</v>
      </c>
      <c r="L4859" t="s">
        <v>2709</v>
      </c>
      <c r="M4859">
        <v>39209930</v>
      </c>
      <c r="O4859" t="s">
        <v>20066</v>
      </c>
      <c r="P4859" t="s">
        <v>19899</v>
      </c>
      <c r="Q4859" t="s">
        <v>19983</v>
      </c>
      <c r="R4859" t="s">
        <v>19447</v>
      </c>
      <c r="S4859" t="s">
        <v>19447</v>
      </c>
      <c r="T4859" t="s">
        <v>19901</v>
      </c>
    </row>
    <row r="4860" spans="2:20" x14ac:dyDescent="0.25">
      <c r="B4860" t="s">
        <v>2709</v>
      </c>
      <c r="C4860">
        <v>39209940</v>
      </c>
      <c r="E4860">
        <v>52</v>
      </c>
      <c r="F4860">
        <v>18</v>
      </c>
      <c r="G4860">
        <v>15</v>
      </c>
      <c r="H4860" t="s">
        <v>19447</v>
      </c>
      <c r="I4860" t="s">
        <v>19447</v>
      </c>
      <c r="J4860">
        <v>2</v>
      </c>
      <c r="L4860" t="s">
        <v>2709</v>
      </c>
      <c r="M4860">
        <v>39209940</v>
      </c>
      <c r="O4860" t="s">
        <v>20066</v>
      </c>
      <c r="P4860" t="s">
        <v>19899</v>
      </c>
      <c r="Q4860" t="s">
        <v>19983</v>
      </c>
      <c r="R4860" t="s">
        <v>19447</v>
      </c>
      <c r="S4860" t="s">
        <v>19447</v>
      </c>
      <c r="T4860" t="s">
        <v>19901</v>
      </c>
    </row>
    <row r="4861" spans="2:20" x14ac:dyDescent="0.25">
      <c r="B4861" t="s">
        <v>2709</v>
      </c>
      <c r="C4861">
        <v>39209950</v>
      </c>
      <c r="E4861">
        <v>52</v>
      </c>
      <c r="F4861">
        <v>18</v>
      </c>
      <c r="G4861">
        <v>15</v>
      </c>
      <c r="H4861" t="s">
        <v>19447</v>
      </c>
      <c r="I4861" t="s">
        <v>19447</v>
      </c>
      <c r="J4861">
        <v>2</v>
      </c>
      <c r="L4861" t="s">
        <v>2709</v>
      </c>
      <c r="M4861">
        <v>39209950</v>
      </c>
      <c r="O4861" t="s">
        <v>20066</v>
      </c>
      <c r="P4861" t="s">
        <v>19899</v>
      </c>
      <c r="Q4861" t="s">
        <v>19983</v>
      </c>
      <c r="R4861" t="s">
        <v>19447</v>
      </c>
      <c r="S4861" t="s">
        <v>19447</v>
      </c>
      <c r="T4861" t="s">
        <v>19901</v>
      </c>
    </row>
    <row r="4862" spans="2:20" x14ac:dyDescent="0.25">
      <c r="B4862" t="s">
        <v>2709</v>
      </c>
      <c r="C4862">
        <v>39209990</v>
      </c>
      <c r="E4862">
        <v>52</v>
      </c>
      <c r="F4862">
        <v>18</v>
      </c>
      <c r="G4862">
        <v>15</v>
      </c>
      <c r="H4862" t="s">
        <v>19447</v>
      </c>
      <c r="I4862" t="s">
        <v>19447</v>
      </c>
      <c r="J4862">
        <v>16</v>
      </c>
      <c r="L4862" t="s">
        <v>2709</v>
      </c>
      <c r="M4862">
        <v>39209990</v>
      </c>
      <c r="O4862" t="s">
        <v>20066</v>
      </c>
      <c r="P4862" t="s">
        <v>19899</v>
      </c>
      <c r="Q4862" t="s">
        <v>19983</v>
      </c>
      <c r="R4862" t="s">
        <v>19447</v>
      </c>
      <c r="S4862" t="s">
        <v>19447</v>
      </c>
      <c r="T4862" t="s">
        <v>19913</v>
      </c>
    </row>
    <row r="4863" spans="2:20" x14ac:dyDescent="0.25">
      <c r="B4863" t="s">
        <v>2709</v>
      </c>
      <c r="C4863">
        <v>39211100</v>
      </c>
      <c r="E4863">
        <v>53</v>
      </c>
      <c r="F4863">
        <v>18</v>
      </c>
      <c r="G4863">
        <v>15</v>
      </c>
      <c r="H4863" t="s">
        <v>19447</v>
      </c>
      <c r="I4863" t="s">
        <v>19447</v>
      </c>
      <c r="J4863">
        <v>16</v>
      </c>
      <c r="L4863" t="s">
        <v>2709</v>
      </c>
      <c r="M4863">
        <v>39211100</v>
      </c>
      <c r="O4863" t="s">
        <v>20037</v>
      </c>
      <c r="P4863" t="s">
        <v>19899</v>
      </c>
      <c r="Q4863" t="s">
        <v>19983</v>
      </c>
      <c r="R4863" t="s">
        <v>19447</v>
      </c>
      <c r="S4863" t="s">
        <v>19447</v>
      </c>
      <c r="T4863" t="s">
        <v>19913</v>
      </c>
    </row>
    <row r="4864" spans="2:20" x14ac:dyDescent="0.25">
      <c r="B4864" t="s">
        <v>2709</v>
      </c>
      <c r="C4864">
        <v>39211200</v>
      </c>
      <c r="E4864">
        <v>53</v>
      </c>
      <c r="F4864">
        <v>18</v>
      </c>
      <c r="G4864">
        <v>15</v>
      </c>
      <c r="H4864" t="s">
        <v>19447</v>
      </c>
      <c r="I4864" t="s">
        <v>19447</v>
      </c>
      <c r="J4864">
        <v>16</v>
      </c>
      <c r="L4864" t="s">
        <v>2709</v>
      </c>
      <c r="M4864">
        <v>39211200</v>
      </c>
      <c r="O4864" t="s">
        <v>20037</v>
      </c>
      <c r="P4864" t="s">
        <v>19899</v>
      </c>
      <c r="Q4864" t="s">
        <v>19983</v>
      </c>
      <c r="R4864" t="s">
        <v>19447</v>
      </c>
      <c r="S4864" t="s">
        <v>19447</v>
      </c>
      <c r="T4864" t="s">
        <v>19913</v>
      </c>
    </row>
    <row r="4865" spans="2:20" x14ac:dyDescent="0.25">
      <c r="B4865" t="s">
        <v>2709</v>
      </c>
      <c r="C4865">
        <v>39211310</v>
      </c>
      <c r="E4865">
        <v>53</v>
      </c>
      <c r="F4865">
        <v>18</v>
      </c>
      <c r="G4865">
        <v>15</v>
      </c>
      <c r="H4865" t="s">
        <v>19447</v>
      </c>
      <c r="I4865" t="s">
        <v>19447</v>
      </c>
      <c r="J4865">
        <v>2</v>
      </c>
      <c r="L4865" t="s">
        <v>2709</v>
      </c>
      <c r="M4865">
        <v>39211310</v>
      </c>
      <c r="O4865" t="s">
        <v>20037</v>
      </c>
      <c r="P4865" t="s">
        <v>19899</v>
      </c>
      <c r="Q4865" t="s">
        <v>19983</v>
      </c>
      <c r="R4865" t="s">
        <v>19447</v>
      </c>
      <c r="S4865" t="s">
        <v>19447</v>
      </c>
      <c r="T4865" t="s">
        <v>19901</v>
      </c>
    </row>
    <row r="4866" spans="2:20" x14ac:dyDescent="0.25">
      <c r="B4866" t="s">
        <v>2709</v>
      </c>
      <c r="C4866">
        <v>39211390</v>
      </c>
      <c r="E4866">
        <v>53</v>
      </c>
      <c r="F4866">
        <v>18</v>
      </c>
      <c r="G4866">
        <v>15</v>
      </c>
      <c r="H4866" t="s">
        <v>19447</v>
      </c>
      <c r="I4866" t="s">
        <v>19447</v>
      </c>
      <c r="J4866">
        <v>16</v>
      </c>
      <c r="L4866" t="s">
        <v>2709</v>
      </c>
      <c r="M4866">
        <v>39211390</v>
      </c>
      <c r="O4866" t="s">
        <v>20037</v>
      </c>
      <c r="P4866" t="s">
        <v>19899</v>
      </c>
      <c r="Q4866" t="s">
        <v>19983</v>
      </c>
      <c r="R4866" t="s">
        <v>19447</v>
      </c>
      <c r="S4866" t="s">
        <v>19447</v>
      </c>
      <c r="T4866" t="s">
        <v>19913</v>
      </c>
    </row>
    <row r="4867" spans="2:20" x14ac:dyDescent="0.25">
      <c r="B4867" t="s">
        <v>2709</v>
      </c>
      <c r="C4867">
        <v>39211400</v>
      </c>
      <c r="E4867">
        <v>53</v>
      </c>
      <c r="F4867">
        <v>18</v>
      </c>
      <c r="G4867">
        <v>15</v>
      </c>
      <c r="H4867" t="s">
        <v>19447</v>
      </c>
      <c r="I4867" t="s">
        <v>19447</v>
      </c>
      <c r="J4867">
        <v>16</v>
      </c>
      <c r="L4867" t="s">
        <v>2709</v>
      </c>
      <c r="M4867">
        <v>39211400</v>
      </c>
      <c r="O4867" t="s">
        <v>20037</v>
      </c>
      <c r="P4867" t="s">
        <v>19899</v>
      </c>
      <c r="Q4867" t="s">
        <v>19983</v>
      </c>
      <c r="R4867" t="s">
        <v>19447</v>
      </c>
      <c r="S4867" t="s">
        <v>19447</v>
      </c>
      <c r="T4867" t="s">
        <v>19913</v>
      </c>
    </row>
    <row r="4868" spans="2:20" x14ac:dyDescent="0.25">
      <c r="B4868" t="s">
        <v>2709</v>
      </c>
      <c r="C4868">
        <v>39211900</v>
      </c>
      <c r="E4868">
        <v>53</v>
      </c>
      <c r="F4868">
        <v>18</v>
      </c>
      <c r="G4868">
        <v>15</v>
      </c>
      <c r="H4868" t="s">
        <v>19447</v>
      </c>
      <c r="I4868" t="s">
        <v>19447</v>
      </c>
      <c r="J4868">
        <v>16</v>
      </c>
      <c r="L4868" t="s">
        <v>2709</v>
      </c>
      <c r="M4868">
        <v>39211900</v>
      </c>
      <c r="O4868" t="s">
        <v>20037</v>
      </c>
      <c r="P4868" t="s">
        <v>19899</v>
      </c>
      <c r="Q4868" t="s">
        <v>19983</v>
      </c>
      <c r="R4868" t="s">
        <v>19447</v>
      </c>
      <c r="S4868" t="s">
        <v>19447</v>
      </c>
      <c r="T4868" t="s">
        <v>19913</v>
      </c>
    </row>
    <row r="4869" spans="2:20" x14ac:dyDescent="0.25">
      <c r="B4869" t="s">
        <v>2709</v>
      </c>
      <c r="C4869">
        <v>39219011</v>
      </c>
      <c r="E4869">
        <v>53</v>
      </c>
      <c r="F4869">
        <v>12</v>
      </c>
      <c r="G4869">
        <v>4</v>
      </c>
      <c r="H4869" t="s">
        <v>19447</v>
      </c>
      <c r="I4869" t="s">
        <v>19447</v>
      </c>
      <c r="J4869">
        <v>16</v>
      </c>
      <c r="L4869" t="s">
        <v>2709</v>
      </c>
      <c r="M4869">
        <v>39219011</v>
      </c>
      <c r="O4869" t="s">
        <v>20037</v>
      </c>
      <c r="P4869" t="s">
        <v>19903</v>
      </c>
      <c r="Q4869" t="s">
        <v>19902</v>
      </c>
      <c r="R4869" t="s">
        <v>19447</v>
      </c>
      <c r="S4869" t="s">
        <v>19447</v>
      </c>
      <c r="T4869" t="s">
        <v>19913</v>
      </c>
    </row>
    <row r="4870" spans="2:20" x14ac:dyDescent="0.25">
      <c r="B4870" t="s">
        <v>2709</v>
      </c>
      <c r="C4870">
        <v>39219012</v>
      </c>
      <c r="E4870">
        <v>53</v>
      </c>
      <c r="F4870">
        <v>12</v>
      </c>
      <c r="G4870">
        <v>15</v>
      </c>
      <c r="H4870" t="s">
        <v>19447</v>
      </c>
      <c r="I4870" t="s">
        <v>19447</v>
      </c>
      <c r="J4870">
        <v>2</v>
      </c>
      <c r="L4870" t="s">
        <v>2709</v>
      </c>
      <c r="M4870">
        <v>39219012</v>
      </c>
      <c r="O4870" t="s">
        <v>20037</v>
      </c>
      <c r="P4870" t="s">
        <v>19903</v>
      </c>
      <c r="Q4870" t="s">
        <v>19983</v>
      </c>
      <c r="R4870" t="s">
        <v>19447</v>
      </c>
      <c r="S4870" t="s">
        <v>19447</v>
      </c>
      <c r="T4870" t="s">
        <v>19901</v>
      </c>
    </row>
    <row r="4871" spans="2:20" x14ac:dyDescent="0.25">
      <c r="B4871" t="s">
        <v>2709</v>
      </c>
      <c r="C4871">
        <v>39219019</v>
      </c>
      <c r="E4871">
        <v>53</v>
      </c>
      <c r="F4871">
        <v>12</v>
      </c>
      <c r="G4871">
        <v>15</v>
      </c>
      <c r="H4871" t="s">
        <v>19447</v>
      </c>
      <c r="I4871" t="s">
        <v>19447</v>
      </c>
      <c r="J4871">
        <v>16</v>
      </c>
      <c r="L4871" t="s">
        <v>2709</v>
      </c>
      <c r="M4871">
        <v>39219019</v>
      </c>
      <c r="O4871" t="s">
        <v>20037</v>
      </c>
      <c r="P4871" t="s">
        <v>19903</v>
      </c>
      <c r="Q4871" t="s">
        <v>19983</v>
      </c>
      <c r="R4871" t="s">
        <v>19447</v>
      </c>
      <c r="S4871" t="s">
        <v>19447</v>
      </c>
      <c r="T4871" t="s">
        <v>19913</v>
      </c>
    </row>
    <row r="4872" spans="2:20" x14ac:dyDescent="0.25">
      <c r="B4872" t="s">
        <v>2709</v>
      </c>
      <c r="C4872">
        <v>39219020</v>
      </c>
      <c r="E4872">
        <v>53</v>
      </c>
      <c r="F4872">
        <v>18</v>
      </c>
      <c r="G4872">
        <v>15</v>
      </c>
      <c r="H4872" t="s">
        <v>19447</v>
      </c>
      <c r="I4872" t="s">
        <v>19447</v>
      </c>
      <c r="J4872">
        <v>2</v>
      </c>
      <c r="L4872" t="s">
        <v>2709</v>
      </c>
      <c r="M4872">
        <v>39219020</v>
      </c>
      <c r="O4872" t="s">
        <v>20037</v>
      </c>
      <c r="P4872" t="s">
        <v>19899</v>
      </c>
      <c r="Q4872" t="s">
        <v>19983</v>
      </c>
      <c r="R4872" t="s">
        <v>19447</v>
      </c>
      <c r="S4872" t="s">
        <v>19447</v>
      </c>
      <c r="T4872" t="s">
        <v>19901</v>
      </c>
    </row>
    <row r="4873" spans="2:20" x14ac:dyDescent="0.25">
      <c r="B4873" t="s">
        <v>2709</v>
      </c>
      <c r="C4873">
        <v>39219090</v>
      </c>
      <c r="E4873">
        <v>53</v>
      </c>
      <c r="F4873">
        <v>12</v>
      </c>
      <c r="G4873">
        <v>15</v>
      </c>
      <c r="H4873" t="s">
        <v>19447</v>
      </c>
      <c r="I4873" t="s">
        <v>19447</v>
      </c>
      <c r="J4873">
        <v>16</v>
      </c>
      <c r="L4873" t="s">
        <v>2709</v>
      </c>
      <c r="M4873">
        <v>39219090</v>
      </c>
      <c r="O4873" t="s">
        <v>20037</v>
      </c>
      <c r="P4873" t="s">
        <v>19903</v>
      </c>
      <c r="Q4873" t="s">
        <v>19983</v>
      </c>
      <c r="R4873" t="s">
        <v>19447</v>
      </c>
      <c r="S4873" t="s">
        <v>19447</v>
      </c>
      <c r="T4873" t="s">
        <v>19913</v>
      </c>
    </row>
    <row r="4874" spans="2:20" x14ac:dyDescent="0.25">
      <c r="B4874" t="s">
        <v>2709</v>
      </c>
      <c r="C4874">
        <v>39221000</v>
      </c>
      <c r="E4874">
        <v>49</v>
      </c>
      <c r="F4874">
        <v>18</v>
      </c>
      <c r="G4874">
        <v>0</v>
      </c>
      <c r="H4874" t="s">
        <v>19447</v>
      </c>
      <c r="I4874" t="s">
        <v>19447</v>
      </c>
      <c r="J4874">
        <v>18</v>
      </c>
      <c r="L4874" t="s">
        <v>2709</v>
      </c>
      <c r="M4874">
        <v>39221000</v>
      </c>
      <c r="O4874" t="s">
        <v>20067</v>
      </c>
      <c r="P4874" t="s">
        <v>19899</v>
      </c>
      <c r="Q4874" t="s">
        <v>19900</v>
      </c>
      <c r="R4874" t="s">
        <v>19447</v>
      </c>
      <c r="S4874" t="s">
        <v>19447</v>
      </c>
      <c r="T4874" t="s">
        <v>19899</v>
      </c>
    </row>
    <row r="4875" spans="2:20" x14ac:dyDescent="0.25">
      <c r="B4875" t="s">
        <v>2709</v>
      </c>
      <c r="C4875">
        <v>39222000</v>
      </c>
      <c r="E4875">
        <v>49</v>
      </c>
      <c r="F4875">
        <v>18</v>
      </c>
      <c r="G4875">
        <v>0</v>
      </c>
      <c r="H4875" t="s">
        <v>19447</v>
      </c>
      <c r="I4875" t="s">
        <v>19447</v>
      </c>
      <c r="J4875">
        <v>18</v>
      </c>
      <c r="L4875" t="s">
        <v>2709</v>
      </c>
      <c r="M4875">
        <v>39222000</v>
      </c>
      <c r="O4875" t="s">
        <v>20067</v>
      </c>
      <c r="P4875" t="s">
        <v>19899</v>
      </c>
      <c r="Q4875" t="s">
        <v>19900</v>
      </c>
      <c r="R4875" t="s">
        <v>19447</v>
      </c>
      <c r="S4875" t="s">
        <v>19447</v>
      </c>
      <c r="T4875" t="s">
        <v>19899</v>
      </c>
    </row>
    <row r="4876" spans="2:20" x14ac:dyDescent="0.25">
      <c r="B4876" t="s">
        <v>2709</v>
      </c>
      <c r="C4876">
        <v>39229000</v>
      </c>
      <c r="E4876">
        <v>49</v>
      </c>
      <c r="F4876">
        <v>18</v>
      </c>
      <c r="G4876">
        <v>0</v>
      </c>
      <c r="H4876" t="s">
        <v>19447</v>
      </c>
      <c r="I4876" t="s">
        <v>19447</v>
      </c>
      <c r="J4876">
        <v>18</v>
      </c>
      <c r="L4876" t="s">
        <v>2709</v>
      </c>
      <c r="M4876">
        <v>39229000</v>
      </c>
      <c r="O4876" t="s">
        <v>20067</v>
      </c>
      <c r="P4876" t="s">
        <v>19899</v>
      </c>
      <c r="Q4876" t="s">
        <v>19900</v>
      </c>
      <c r="R4876" t="s">
        <v>19447</v>
      </c>
      <c r="S4876" t="s">
        <v>19447</v>
      </c>
      <c r="T4876" t="s">
        <v>19899</v>
      </c>
    </row>
    <row r="4877" spans="2:20" x14ac:dyDescent="0.25">
      <c r="B4877" t="s">
        <v>2709</v>
      </c>
      <c r="C4877">
        <v>39231010</v>
      </c>
      <c r="E4877">
        <v>80</v>
      </c>
      <c r="F4877">
        <v>18</v>
      </c>
      <c r="G4877">
        <v>15</v>
      </c>
      <c r="H4877" t="s">
        <v>19447</v>
      </c>
      <c r="I4877" t="s">
        <v>19447</v>
      </c>
      <c r="J4877">
        <v>18</v>
      </c>
      <c r="L4877" t="s">
        <v>2709</v>
      </c>
      <c r="M4877">
        <v>39231010</v>
      </c>
      <c r="O4877" t="s">
        <v>20063</v>
      </c>
      <c r="P4877" t="s">
        <v>19899</v>
      </c>
      <c r="Q4877" t="s">
        <v>19983</v>
      </c>
      <c r="R4877" t="s">
        <v>19447</v>
      </c>
      <c r="S4877" t="s">
        <v>19447</v>
      </c>
      <c r="T4877" t="s">
        <v>19899</v>
      </c>
    </row>
    <row r="4878" spans="2:20" x14ac:dyDescent="0.25">
      <c r="B4878" t="s">
        <v>2709</v>
      </c>
      <c r="C4878">
        <v>39231090</v>
      </c>
      <c r="E4878">
        <v>80</v>
      </c>
      <c r="F4878">
        <v>18</v>
      </c>
      <c r="G4878">
        <v>15</v>
      </c>
      <c r="H4878" t="s">
        <v>19447</v>
      </c>
      <c r="I4878" t="s">
        <v>19447</v>
      </c>
      <c r="J4878">
        <v>18</v>
      </c>
      <c r="L4878" t="s">
        <v>2709</v>
      </c>
      <c r="M4878">
        <v>39231090</v>
      </c>
      <c r="O4878" t="s">
        <v>20063</v>
      </c>
      <c r="P4878" t="s">
        <v>19899</v>
      </c>
      <c r="Q4878" t="s">
        <v>19983</v>
      </c>
      <c r="R4878" t="s">
        <v>19447</v>
      </c>
      <c r="S4878" t="s">
        <v>19447</v>
      </c>
      <c r="T4878" t="s">
        <v>19899</v>
      </c>
    </row>
    <row r="4879" spans="2:20" x14ac:dyDescent="0.25">
      <c r="B4879" t="s">
        <v>2709</v>
      </c>
      <c r="C4879">
        <v>39232110</v>
      </c>
      <c r="E4879">
        <v>52.97</v>
      </c>
      <c r="F4879">
        <v>18</v>
      </c>
      <c r="G4879">
        <v>15</v>
      </c>
      <c r="H4879" t="s">
        <v>19447</v>
      </c>
      <c r="I4879" t="s">
        <v>19447</v>
      </c>
      <c r="J4879">
        <v>18</v>
      </c>
      <c r="L4879" t="s">
        <v>2709</v>
      </c>
      <c r="M4879">
        <v>39232110</v>
      </c>
      <c r="O4879" t="s">
        <v>20068</v>
      </c>
      <c r="P4879" t="s">
        <v>19899</v>
      </c>
      <c r="Q4879" t="s">
        <v>19983</v>
      </c>
      <c r="R4879" t="s">
        <v>19447</v>
      </c>
      <c r="S4879" t="s">
        <v>19447</v>
      </c>
      <c r="T4879" t="s">
        <v>19899</v>
      </c>
    </row>
    <row r="4880" spans="2:20" x14ac:dyDescent="0.25">
      <c r="B4880" t="s">
        <v>2709</v>
      </c>
      <c r="C4880">
        <v>39232190</v>
      </c>
      <c r="E4880">
        <v>52.97</v>
      </c>
      <c r="F4880">
        <v>18</v>
      </c>
      <c r="G4880">
        <v>15</v>
      </c>
      <c r="H4880" t="s">
        <v>19447</v>
      </c>
      <c r="I4880" t="s">
        <v>19447</v>
      </c>
      <c r="J4880">
        <v>18</v>
      </c>
      <c r="L4880" t="s">
        <v>2709</v>
      </c>
      <c r="M4880">
        <v>39232190</v>
      </c>
      <c r="O4880" t="s">
        <v>20068</v>
      </c>
      <c r="P4880" t="s">
        <v>19899</v>
      </c>
      <c r="Q4880" t="s">
        <v>19983</v>
      </c>
      <c r="R4880" t="s">
        <v>19447</v>
      </c>
      <c r="S4880" t="s">
        <v>19447</v>
      </c>
      <c r="T4880" t="s">
        <v>19899</v>
      </c>
    </row>
    <row r="4881" spans="2:20" x14ac:dyDescent="0.25">
      <c r="B4881" t="s">
        <v>2709</v>
      </c>
      <c r="C4881">
        <v>39232910</v>
      </c>
      <c r="E4881">
        <v>52.97</v>
      </c>
      <c r="F4881">
        <v>18</v>
      </c>
      <c r="G4881">
        <v>15</v>
      </c>
      <c r="H4881" t="s">
        <v>19447</v>
      </c>
      <c r="I4881" t="s">
        <v>19447</v>
      </c>
      <c r="J4881">
        <v>18</v>
      </c>
      <c r="L4881" t="s">
        <v>2709</v>
      </c>
      <c r="M4881">
        <v>39232910</v>
      </c>
      <c r="O4881" t="s">
        <v>20068</v>
      </c>
      <c r="P4881" t="s">
        <v>19899</v>
      </c>
      <c r="Q4881" t="s">
        <v>19983</v>
      </c>
      <c r="R4881" t="s">
        <v>19447</v>
      </c>
      <c r="S4881" t="s">
        <v>19447</v>
      </c>
      <c r="T4881" t="s">
        <v>19899</v>
      </c>
    </row>
    <row r="4882" spans="2:20" x14ac:dyDescent="0.25">
      <c r="B4882" t="s">
        <v>2709</v>
      </c>
      <c r="C4882">
        <v>39232990</v>
      </c>
      <c r="E4882">
        <v>52.97</v>
      </c>
      <c r="F4882">
        <v>18</v>
      </c>
      <c r="G4882">
        <v>15</v>
      </c>
      <c r="H4882" t="s">
        <v>19447</v>
      </c>
      <c r="I4882" t="s">
        <v>19447</v>
      </c>
      <c r="J4882">
        <v>18</v>
      </c>
      <c r="L4882" t="s">
        <v>2709</v>
      </c>
      <c r="M4882">
        <v>39232990</v>
      </c>
      <c r="O4882" t="s">
        <v>20068</v>
      </c>
      <c r="P4882" t="s">
        <v>19899</v>
      </c>
      <c r="Q4882" t="s">
        <v>19983</v>
      </c>
      <c r="R4882" t="s">
        <v>19447</v>
      </c>
      <c r="S4882" t="s">
        <v>19447</v>
      </c>
      <c r="T4882" t="s">
        <v>19899</v>
      </c>
    </row>
    <row r="4883" spans="2:20" x14ac:dyDescent="0.25">
      <c r="B4883" t="s">
        <v>2709</v>
      </c>
      <c r="C4883">
        <v>39233000</v>
      </c>
      <c r="E4883">
        <v>177.19</v>
      </c>
      <c r="F4883">
        <v>18</v>
      </c>
      <c r="G4883">
        <v>15</v>
      </c>
      <c r="H4883">
        <v>0.04</v>
      </c>
      <c r="I4883">
        <v>0.01</v>
      </c>
      <c r="J4883">
        <v>18</v>
      </c>
      <c r="L4883" t="s">
        <v>2709</v>
      </c>
      <c r="M4883">
        <v>39233000</v>
      </c>
      <c r="O4883" t="s">
        <v>19926</v>
      </c>
      <c r="P4883" t="s">
        <v>19899</v>
      </c>
      <c r="Q4883" t="s">
        <v>19983</v>
      </c>
      <c r="R4883" t="s">
        <v>20069</v>
      </c>
      <c r="S4883" t="s">
        <v>20070</v>
      </c>
      <c r="T4883" t="s">
        <v>19899</v>
      </c>
    </row>
    <row r="4884" spans="2:20" x14ac:dyDescent="0.25">
      <c r="B4884" t="s">
        <v>2709</v>
      </c>
      <c r="C4884">
        <v>39233000</v>
      </c>
      <c r="D4884">
        <v>1</v>
      </c>
      <c r="E4884" t="s">
        <v>19447</v>
      </c>
      <c r="F4884">
        <v>18</v>
      </c>
      <c r="G4884">
        <v>0</v>
      </c>
      <c r="H4884">
        <v>7.6</v>
      </c>
      <c r="I4884">
        <v>1.65</v>
      </c>
      <c r="J4884">
        <v>18</v>
      </c>
      <c r="L4884" t="s">
        <v>2709</v>
      </c>
      <c r="M4884">
        <v>39233000</v>
      </c>
      <c r="N4884">
        <v>1</v>
      </c>
      <c r="O4884" t="s">
        <v>19447</v>
      </c>
      <c r="P4884" t="s">
        <v>19899</v>
      </c>
      <c r="Q4884" t="s">
        <v>19900</v>
      </c>
      <c r="R4884" t="s">
        <v>19905</v>
      </c>
      <c r="S4884" t="s">
        <v>19906</v>
      </c>
      <c r="T4884" t="s">
        <v>19899</v>
      </c>
    </row>
    <row r="4885" spans="2:20" x14ac:dyDescent="0.25">
      <c r="B4885" t="s">
        <v>2709</v>
      </c>
      <c r="C4885">
        <v>39234000</v>
      </c>
      <c r="E4885">
        <v>80</v>
      </c>
      <c r="F4885">
        <v>18</v>
      </c>
      <c r="G4885">
        <v>10</v>
      </c>
      <c r="H4885" t="s">
        <v>19447</v>
      </c>
      <c r="I4885" t="s">
        <v>19447</v>
      </c>
      <c r="J4885">
        <v>18</v>
      </c>
      <c r="L4885" t="s">
        <v>2709</v>
      </c>
      <c r="M4885">
        <v>39234000</v>
      </c>
      <c r="O4885" t="s">
        <v>20063</v>
      </c>
      <c r="P4885" t="s">
        <v>19899</v>
      </c>
      <c r="Q4885" t="s">
        <v>19904</v>
      </c>
      <c r="R4885" t="s">
        <v>19447</v>
      </c>
      <c r="S4885" t="s">
        <v>19447</v>
      </c>
      <c r="T4885" t="s">
        <v>19899</v>
      </c>
    </row>
    <row r="4886" spans="2:20" x14ac:dyDescent="0.25">
      <c r="B4886" t="s">
        <v>2709</v>
      </c>
      <c r="C4886">
        <v>39235000</v>
      </c>
      <c r="E4886">
        <v>80</v>
      </c>
      <c r="F4886">
        <v>18</v>
      </c>
      <c r="G4886">
        <v>5</v>
      </c>
      <c r="H4886" t="s">
        <v>19447</v>
      </c>
      <c r="I4886" t="s">
        <v>19447</v>
      </c>
      <c r="J4886">
        <v>18</v>
      </c>
      <c r="L4886" t="s">
        <v>2709</v>
      </c>
      <c r="M4886">
        <v>39235000</v>
      </c>
      <c r="O4886" t="s">
        <v>20063</v>
      </c>
      <c r="P4886" t="s">
        <v>19899</v>
      </c>
      <c r="Q4886" t="s">
        <v>19909</v>
      </c>
      <c r="R4886" t="s">
        <v>19447</v>
      </c>
      <c r="S4886" t="s">
        <v>19447</v>
      </c>
      <c r="T4886" t="s">
        <v>19899</v>
      </c>
    </row>
    <row r="4887" spans="2:20" x14ac:dyDescent="0.25">
      <c r="B4887" t="s">
        <v>2709</v>
      </c>
      <c r="C4887">
        <v>39239000</v>
      </c>
      <c r="E4887">
        <v>80</v>
      </c>
      <c r="F4887">
        <v>12</v>
      </c>
      <c r="G4887">
        <v>15</v>
      </c>
      <c r="H4887" t="s">
        <v>19447</v>
      </c>
      <c r="I4887" t="s">
        <v>19447</v>
      </c>
      <c r="J4887">
        <v>18</v>
      </c>
      <c r="L4887" t="s">
        <v>2709</v>
      </c>
      <c r="M4887">
        <v>39239000</v>
      </c>
      <c r="O4887" t="s">
        <v>20063</v>
      </c>
      <c r="P4887" t="s">
        <v>19903</v>
      </c>
      <c r="Q4887" t="s">
        <v>19983</v>
      </c>
      <c r="R4887" t="s">
        <v>19447</v>
      </c>
      <c r="S4887" t="s">
        <v>19447</v>
      </c>
      <c r="T4887" t="s">
        <v>19899</v>
      </c>
    </row>
    <row r="4888" spans="2:20" x14ac:dyDescent="0.25">
      <c r="B4888" t="s">
        <v>2709</v>
      </c>
      <c r="C4888">
        <v>39241000</v>
      </c>
      <c r="E4888">
        <v>177.19</v>
      </c>
      <c r="F4888">
        <v>18</v>
      </c>
      <c r="G4888">
        <v>10</v>
      </c>
      <c r="H4888" t="s">
        <v>19447</v>
      </c>
      <c r="I4888" t="s">
        <v>19447</v>
      </c>
      <c r="J4888">
        <v>18</v>
      </c>
      <c r="L4888" t="s">
        <v>2709</v>
      </c>
      <c r="M4888">
        <v>39241000</v>
      </c>
      <c r="O4888" t="s">
        <v>19926</v>
      </c>
      <c r="P4888" t="s">
        <v>19899</v>
      </c>
      <c r="Q4888" t="s">
        <v>19904</v>
      </c>
      <c r="R4888" t="s">
        <v>19447</v>
      </c>
      <c r="S4888" t="s">
        <v>19447</v>
      </c>
      <c r="T4888" t="s">
        <v>19899</v>
      </c>
    </row>
    <row r="4889" spans="2:20" x14ac:dyDescent="0.25">
      <c r="B4889" t="s">
        <v>2709</v>
      </c>
      <c r="C4889">
        <v>39249000</v>
      </c>
      <c r="E4889">
        <v>177.19</v>
      </c>
      <c r="F4889">
        <v>18</v>
      </c>
      <c r="G4889">
        <v>10</v>
      </c>
      <c r="H4889" t="s">
        <v>19447</v>
      </c>
      <c r="I4889" t="s">
        <v>19447</v>
      </c>
      <c r="J4889">
        <v>18</v>
      </c>
      <c r="L4889" t="s">
        <v>2709</v>
      </c>
      <c r="M4889">
        <v>39249000</v>
      </c>
      <c r="O4889" t="s">
        <v>19926</v>
      </c>
      <c r="P4889" t="s">
        <v>19899</v>
      </c>
      <c r="Q4889" t="s">
        <v>19904</v>
      </c>
      <c r="R4889" t="s">
        <v>19447</v>
      </c>
      <c r="S4889" t="s">
        <v>19447</v>
      </c>
      <c r="T4889" t="s">
        <v>19899</v>
      </c>
    </row>
    <row r="4890" spans="2:20" x14ac:dyDescent="0.25">
      <c r="B4890" t="s">
        <v>2709</v>
      </c>
      <c r="C4890">
        <v>39251000</v>
      </c>
      <c r="E4890">
        <v>46</v>
      </c>
      <c r="F4890">
        <v>12</v>
      </c>
      <c r="G4890">
        <v>0</v>
      </c>
      <c r="H4890" t="s">
        <v>19447</v>
      </c>
      <c r="I4890" t="s">
        <v>19447</v>
      </c>
      <c r="J4890">
        <v>18</v>
      </c>
      <c r="L4890" t="s">
        <v>2709</v>
      </c>
      <c r="M4890">
        <v>39251000</v>
      </c>
      <c r="O4890" t="s">
        <v>20071</v>
      </c>
      <c r="P4890" t="s">
        <v>19903</v>
      </c>
      <c r="Q4890" t="s">
        <v>19900</v>
      </c>
      <c r="R4890" t="s">
        <v>19447</v>
      </c>
      <c r="S4890" t="s">
        <v>19447</v>
      </c>
      <c r="T4890" t="s">
        <v>19899</v>
      </c>
    </row>
    <row r="4891" spans="2:20" x14ac:dyDescent="0.25">
      <c r="B4891" t="s">
        <v>2709</v>
      </c>
      <c r="C4891">
        <v>39252000</v>
      </c>
      <c r="E4891">
        <v>43</v>
      </c>
      <c r="F4891">
        <v>18</v>
      </c>
      <c r="G4891">
        <v>0</v>
      </c>
      <c r="H4891" t="s">
        <v>19447</v>
      </c>
      <c r="I4891" t="s">
        <v>19447</v>
      </c>
      <c r="J4891">
        <v>18</v>
      </c>
      <c r="L4891" t="s">
        <v>2709</v>
      </c>
      <c r="M4891">
        <v>39252000</v>
      </c>
      <c r="O4891" t="s">
        <v>20001</v>
      </c>
      <c r="P4891" t="s">
        <v>19899</v>
      </c>
      <c r="Q4891" t="s">
        <v>19900</v>
      </c>
      <c r="R4891" t="s">
        <v>19447</v>
      </c>
      <c r="S4891" t="s">
        <v>19447</v>
      </c>
      <c r="T4891" t="s">
        <v>19899</v>
      </c>
    </row>
    <row r="4892" spans="2:20" x14ac:dyDescent="0.25">
      <c r="B4892" t="s">
        <v>2709</v>
      </c>
      <c r="C4892">
        <v>39253000</v>
      </c>
      <c r="E4892">
        <v>75</v>
      </c>
      <c r="F4892">
        <v>18</v>
      </c>
      <c r="G4892">
        <v>5</v>
      </c>
      <c r="H4892" t="s">
        <v>19447</v>
      </c>
      <c r="I4892" t="s">
        <v>19447</v>
      </c>
      <c r="J4892">
        <v>18</v>
      </c>
      <c r="L4892" t="s">
        <v>2709</v>
      </c>
      <c r="M4892">
        <v>39253000</v>
      </c>
      <c r="O4892" t="s">
        <v>20072</v>
      </c>
      <c r="P4892" t="s">
        <v>19899</v>
      </c>
      <c r="Q4892" t="s">
        <v>19909</v>
      </c>
      <c r="R4892" t="s">
        <v>19447</v>
      </c>
      <c r="S4892" t="s">
        <v>19447</v>
      </c>
      <c r="T4892" t="s">
        <v>19899</v>
      </c>
    </row>
    <row r="4893" spans="2:20" x14ac:dyDescent="0.25">
      <c r="B4893" t="s">
        <v>2709</v>
      </c>
      <c r="C4893">
        <v>39259010</v>
      </c>
      <c r="E4893">
        <v>46</v>
      </c>
      <c r="F4893">
        <v>18</v>
      </c>
      <c r="G4893">
        <v>5</v>
      </c>
      <c r="H4893" t="s">
        <v>19447</v>
      </c>
      <c r="I4893" t="s">
        <v>19447</v>
      </c>
      <c r="J4893">
        <v>18</v>
      </c>
      <c r="L4893" t="s">
        <v>2709</v>
      </c>
      <c r="M4893">
        <v>39259010</v>
      </c>
      <c r="O4893" t="s">
        <v>20071</v>
      </c>
      <c r="P4893" t="s">
        <v>19899</v>
      </c>
      <c r="Q4893" t="s">
        <v>19909</v>
      </c>
      <c r="R4893" t="s">
        <v>19447</v>
      </c>
      <c r="S4893" t="s">
        <v>19447</v>
      </c>
      <c r="T4893" t="s">
        <v>19899</v>
      </c>
    </row>
    <row r="4894" spans="2:20" x14ac:dyDescent="0.25">
      <c r="B4894" t="s">
        <v>2709</v>
      </c>
      <c r="C4894">
        <v>39259090</v>
      </c>
      <c r="E4894">
        <v>46</v>
      </c>
      <c r="F4894">
        <v>18</v>
      </c>
      <c r="G4894">
        <v>5</v>
      </c>
      <c r="H4894" t="s">
        <v>19447</v>
      </c>
      <c r="I4894" t="s">
        <v>19447</v>
      </c>
      <c r="J4894">
        <v>18</v>
      </c>
      <c r="L4894" t="s">
        <v>2709</v>
      </c>
      <c r="M4894">
        <v>39259090</v>
      </c>
      <c r="O4894" t="s">
        <v>20071</v>
      </c>
      <c r="P4894" t="s">
        <v>19899</v>
      </c>
      <c r="Q4894" t="s">
        <v>19909</v>
      </c>
      <c r="R4894" t="s">
        <v>19447</v>
      </c>
      <c r="S4894" t="s">
        <v>19447</v>
      </c>
      <c r="T4894" t="s">
        <v>19899</v>
      </c>
    </row>
    <row r="4895" spans="2:20" x14ac:dyDescent="0.25">
      <c r="B4895" t="s">
        <v>2709</v>
      </c>
      <c r="C4895">
        <v>39261000</v>
      </c>
      <c r="E4895">
        <v>94.34</v>
      </c>
      <c r="F4895">
        <v>18</v>
      </c>
      <c r="G4895">
        <v>15</v>
      </c>
      <c r="H4895" t="s">
        <v>19447</v>
      </c>
      <c r="I4895" t="s">
        <v>19447</v>
      </c>
      <c r="J4895">
        <v>18</v>
      </c>
      <c r="L4895" t="s">
        <v>2709</v>
      </c>
      <c r="M4895">
        <v>39261000</v>
      </c>
      <c r="O4895" t="s">
        <v>20073</v>
      </c>
      <c r="P4895" t="s">
        <v>19899</v>
      </c>
      <c r="Q4895" t="s">
        <v>19983</v>
      </c>
      <c r="R4895" t="s">
        <v>19447</v>
      </c>
      <c r="S4895" t="s">
        <v>19447</v>
      </c>
      <c r="T4895" t="s">
        <v>19899</v>
      </c>
    </row>
    <row r="4896" spans="2:20" x14ac:dyDescent="0.25">
      <c r="B4896" t="s">
        <v>2709</v>
      </c>
      <c r="C4896">
        <v>39262000</v>
      </c>
      <c r="E4896">
        <v>112.46</v>
      </c>
      <c r="F4896">
        <v>18</v>
      </c>
      <c r="G4896">
        <v>5</v>
      </c>
      <c r="H4896" t="s">
        <v>19447</v>
      </c>
      <c r="I4896" t="s">
        <v>19447</v>
      </c>
      <c r="J4896">
        <v>18</v>
      </c>
      <c r="L4896" t="s">
        <v>2709</v>
      </c>
      <c r="M4896">
        <v>39262000</v>
      </c>
      <c r="O4896" t="s">
        <v>20055</v>
      </c>
      <c r="P4896" t="s">
        <v>19899</v>
      </c>
      <c r="Q4896" t="s">
        <v>19909</v>
      </c>
      <c r="R4896" t="s">
        <v>19447</v>
      </c>
      <c r="S4896" t="s">
        <v>19447</v>
      </c>
      <c r="T4896" t="s">
        <v>19899</v>
      </c>
    </row>
    <row r="4897" spans="2:20" x14ac:dyDescent="0.25">
      <c r="B4897" t="s">
        <v>2709</v>
      </c>
      <c r="C4897">
        <v>39262000</v>
      </c>
      <c r="D4897">
        <v>1</v>
      </c>
      <c r="E4897" t="s">
        <v>19447</v>
      </c>
      <c r="F4897">
        <v>18</v>
      </c>
      <c r="G4897">
        <v>10</v>
      </c>
      <c r="H4897">
        <v>7.6</v>
      </c>
      <c r="I4897">
        <v>1.65</v>
      </c>
      <c r="J4897">
        <v>18</v>
      </c>
      <c r="L4897" t="s">
        <v>2709</v>
      </c>
      <c r="M4897">
        <v>39262000</v>
      </c>
      <c r="N4897">
        <v>1</v>
      </c>
      <c r="O4897" t="s">
        <v>19447</v>
      </c>
      <c r="P4897" t="s">
        <v>19899</v>
      </c>
      <c r="Q4897" t="s">
        <v>19904</v>
      </c>
      <c r="R4897" t="s">
        <v>19905</v>
      </c>
      <c r="S4897" t="s">
        <v>19906</v>
      </c>
      <c r="T4897" t="s">
        <v>19899</v>
      </c>
    </row>
    <row r="4898" spans="2:20" x14ac:dyDescent="0.25">
      <c r="B4898" t="s">
        <v>2709</v>
      </c>
      <c r="C4898">
        <v>39263000</v>
      </c>
      <c r="E4898">
        <v>71.78</v>
      </c>
      <c r="F4898">
        <v>18</v>
      </c>
      <c r="G4898">
        <v>5</v>
      </c>
      <c r="H4898" t="s">
        <v>19447</v>
      </c>
      <c r="I4898" t="s">
        <v>19447</v>
      </c>
      <c r="J4898">
        <v>18</v>
      </c>
      <c r="L4898" t="s">
        <v>2709</v>
      </c>
      <c r="M4898">
        <v>39263000</v>
      </c>
      <c r="O4898" t="s">
        <v>20056</v>
      </c>
      <c r="P4898" t="s">
        <v>19899</v>
      </c>
      <c r="Q4898" t="s">
        <v>19909</v>
      </c>
      <c r="R4898" t="s">
        <v>19447</v>
      </c>
      <c r="S4898" t="s">
        <v>19447</v>
      </c>
      <c r="T4898" t="s">
        <v>19899</v>
      </c>
    </row>
    <row r="4899" spans="2:20" x14ac:dyDescent="0.25">
      <c r="B4899" t="s">
        <v>2709</v>
      </c>
      <c r="C4899">
        <v>39264000</v>
      </c>
      <c r="E4899">
        <v>112.46</v>
      </c>
      <c r="F4899">
        <v>18</v>
      </c>
      <c r="G4899">
        <v>20</v>
      </c>
      <c r="H4899" t="s">
        <v>19447</v>
      </c>
      <c r="I4899" t="s">
        <v>19447</v>
      </c>
      <c r="J4899">
        <v>18</v>
      </c>
      <c r="L4899" t="s">
        <v>2709</v>
      </c>
      <c r="M4899">
        <v>39264000</v>
      </c>
      <c r="O4899" t="s">
        <v>20055</v>
      </c>
      <c r="P4899" t="s">
        <v>19899</v>
      </c>
      <c r="Q4899" t="s">
        <v>19934</v>
      </c>
      <c r="R4899" t="s">
        <v>19447</v>
      </c>
      <c r="S4899" t="s">
        <v>19447</v>
      </c>
      <c r="T4899" t="s">
        <v>19899</v>
      </c>
    </row>
    <row r="4900" spans="2:20" x14ac:dyDescent="0.25">
      <c r="B4900" t="s">
        <v>2709</v>
      </c>
      <c r="C4900">
        <v>39269010</v>
      </c>
      <c r="E4900">
        <v>45</v>
      </c>
      <c r="F4900">
        <v>18</v>
      </c>
      <c r="G4900">
        <v>10</v>
      </c>
      <c r="H4900" t="s">
        <v>19447</v>
      </c>
      <c r="I4900" t="s">
        <v>19447</v>
      </c>
      <c r="J4900">
        <v>18</v>
      </c>
      <c r="L4900" t="s">
        <v>2709</v>
      </c>
      <c r="M4900">
        <v>39269010</v>
      </c>
      <c r="O4900" t="s">
        <v>19999</v>
      </c>
      <c r="P4900" t="s">
        <v>19899</v>
      </c>
      <c r="Q4900" t="s">
        <v>19904</v>
      </c>
      <c r="R4900" t="s">
        <v>19447</v>
      </c>
      <c r="S4900" t="s">
        <v>19447</v>
      </c>
      <c r="T4900" t="s">
        <v>19899</v>
      </c>
    </row>
    <row r="4901" spans="2:20" x14ac:dyDescent="0.25">
      <c r="B4901" t="s">
        <v>2709</v>
      </c>
      <c r="C4901">
        <v>39269021</v>
      </c>
      <c r="E4901">
        <v>45</v>
      </c>
      <c r="F4901">
        <v>18</v>
      </c>
      <c r="G4901">
        <v>10</v>
      </c>
      <c r="H4901" t="s">
        <v>19447</v>
      </c>
      <c r="I4901" t="s">
        <v>19447</v>
      </c>
      <c r="J4901">
        <v>18</v>
      </c>
      <c r="L4901" t="s">
        <v>2709</v>
      </c>
      <c r="M4901">
        <v>39269021</v>
      </c>
      <c r="O4901" t="s">
        <v>19999</v>
      </c>
      <c r="P4901" t="s">
        <v>19899</v>
      </c>
      <c r="Q4901" t="s">
        <v>19904</v>
      </c>
      <c r="R4901" t="s">
        <v>19447</v>
      </c>
      <c r="S4901" t="s">
        <v>19447</v>
      </c>
      <c r="T4901" t="s">
        <v>19899</v>
      </c>
    </row>
    <row r="4902" spans="2:20" x14ac:dyDescent="0.25">
      <c r="B4902" t="s">
        <v>2709</v>
      </c>
      <c r="C4902">
        <v>39269022</v>
      </c>
      <c r="E4902">
        <v>45</v>
      </c>
      <c r="F4902">
        <v>18</v>
      </c>
      <c r="G4902">
        <v>10</v>
      </c>
      <c r="H4902" t="s">
        <v>19447</v>
      </c>
      <c r="I4902" t="s">
        <v>19447</v>
      </c>
      <c r="J4902">
        <v>18</v>
      </c>
      <c r="L4902" t="s">
        <v>2709</v>
      </c>
      <c r="M4902">
        <v>39269022</v>
      </c>
      <c r="O4902" t="s">
        <v>19999</v>
      </c>
      <c r="P4902" t="s">
        <v>19899</v>
      </c>
      <c r="Q4902" t="s">
        <v>19904</v>
      </c>
      <c r="R4902" t="s">
        <v>19447</v>
      </c>
      <c r="S4902" t="s">
        <v>19447</v>
      </c>
      <c r="T4902" t="s">
        <v>19899</v>
      </c>
    </row>
    <row r="4903" spans="2:20" x14ac:dyDescent="0.25">
      <c r="B4903" t="s">
        <v>2709</v>
      </c>
      <c r="C4903">
        <v>39269030</v>
      </c>
      <c r="E4903">
        <v>45</v>
      </c>
      <c r="F4903">
        <v>18</v>
      </c>
      <c r="G4903">
        <v>0</v>
      </c>
      <c r="H4903" t="s">
        <v>19447</v>
      </c>
      <c r="I4903" t="s">
        <v>19447</v>
      </c>
      <c r="J4903">
        <v>0</v>
      </c>
      <c r="L4903" t="s">
        <v>2709</v>
      </c>
      <c r="M4903">
        <v>39269030</v>
      </c>
      <c r="O4903" t="s">
        <v>19999</v>
      </c>
      <c r="P4903" t="s">
        <v>19899</v>
      </c>
      <c r="Q4903" t="s">
        <v>19900</v>
      </c>
      <c r="R4903" t="s">
        <v>19447</v>
      </c>
      <c r="S4903" t="s">
        <v>19447</v>
      </c>
      <c r="T4903" t="s">
        <v>19900</v>
      </c>
    </row>
    <row r="4904" spans="2:20" x14ac:dyDescent="0.25">
      <c r="B4904" t="s">
        <v>2709</v>
      </c>
      <c r="C4904">
        <v>39269040</v>
      </c>
      <c r="E4904">
        <v>45</v>
      </c>
      <c r="F4904">
        <v>18</v>
      </c>
      <c r="G4904">
        <v>10</v>
      </c>
      <c r="H4904" t="s">
        <v>19447</v>
      </c>
      <c r="I4904" t="s">
        <v>19447</v>
      </c>
      <c r="J4904">
        <v>18</v>
      </c>
      <c r="L4904" t="s">
        <v>2709</v>
      </c>
      <c r="M4904">
        <v>39269040</v>
      </c>
      <c r="O4904" t="s">
        <v>19999</v>
      </c>
      <c r="P4904" t="s">
        <v>19899</v>
      </c>
      <c r="Q4904" t="s">
        <v>19904</v>
      </c>
      <c r="R4904" t="s">
        <v>19447</v>
      </c>
      <c r="S4904" t="s">
        <v>19447</v>
      </c>
      <c r="T4904" t="s">
        <v>19899</v>
      </c>
    </row>
    <row r="4905" spans="2:20" x14ac:dyDescent="0.25">
      <c r="B4905" t="s">
        <v>2709</v>
      </c>
      <c r="C4905">
        <v>39269040</v>
      </c>
      <c r="D4905">
        <v>1</v>
      </c>
      <c r="E4905" t="s">
        <v>19447</v>
      </c>
      <c r="F4905">
        <v>18</v>
      </c>
      <c r="G4905">
        <v>0</v>
      </c>
      <c r="H4905">
        <v>7.6</v>
      </c>
      <c r="I4905">
        <v>1.65</v>
      </c>
      <c r="J4905">
        <v>18</v>
      </c>
      <c r="L4905" t="s">
        <v>2709</v>
      </c>
      <c r="M4905">
        <v>39269040</v>
      </c>
      <c r="N4905">
        <v>1</v>
      </c>
      <c r="O4905" t="s">
        <v>19447</v>
      </c>
      <c r="P4905" t="s">
        <v>19899</v>
      </c>
      <c r="Q4905" t="s">
        <v>19900</v>
      </c>
      <c r="R4905" t="s">
        <v>19905</v>
      </c>
      <c r="S4905" t="s">
        <v>19906</v>
      </c>
      <c r="T4905" t="s">
        <v>19899</v>
      </c>
    </row>
    <row r="4906" spans="2:20" x14ac:dyDescent="0.25">
      <c r="B4906" t="s">
        <v>2709</v>
      </c>
      <c r="C4906">
        <v>39269050</v>
      </c>
      <c r="E4906">
        <v>45</v>
      </c>
      <c r="F4906">
        <v>18</v>
      </c>
      <c r="G4906">
        <v>15</v>
      </c>
      <c r="H4906" t="s">
        <v>19447</v>
      </c>
      <c r="I4906" t="s">
        <v>19447</v>
      </c>
      <c r="J4906">
        <v>0</v>
      </c>
      <c r="L4906" t="s">
        <v>2709</v>
      </c>
      <c r="M4906">
        <v>39269050</v>
      </c>
      <c r="O4906" t="s">
        <v>19999</v>
      </c>
      <c r="P4906" t="s">
        <v>19899</v>
      </c>
      <c r="Q4906" t="s">
        <v>19983</v>
      </c>
      <c r="R4906" t="s">
        <v>19447</v>
      </c>
      <c r="S4906" t="s">
        <v>19447</v>
      </c>
      <c r="T4906" t="s">
        <v>19900</v>
      </c>
    </row>
    <row r="4907" spans="2:20" x14ac:dyDescent="0.25">
      <c r="B4907" t="s">
        <v>2709</v>
      </c>
      <c r="C4907">
        <v>39269061</v>
      </c>
      <c r="E4907">
        <v>45</v>
      </c>
      <c r="F4907">
        <v>18</v>
      </c>
      <c r="G4907">
        <v>15</v>
      </c>
      <c r="H4907" t="s">
        <v>19447</v>
      </c>
      <c r="I4907" t="s">
        <v>19447</v>
      </c>
      <c r="J4907">
        <v>2</v>
      </c>
      <c r="L4907" t="s">
        <v>2709</v>
      </c>
      <c r="M4907">
        <v>39269061</v>
      </c>
      <c r="O4907" t="s">
        <v>19999</v>
      </c>
      <c r="P4907" t="s">
        <v>19899</v>
      </c>
      <c r="Q4907" t="s">
        <v>19983</v>
      </c>
      <c r="R4907" t="s">
        <v>19447</v>
      </c>
      <c r="S4907" t="s">
        <v>19447</v>
      </c>
      <c r="T4907" t="s">
        <v>19901</v>
      </c>
    </row>
    <row r="4908" spans="2:20" x14ac:dyDescent="0.25">
      <c r="B4908" t="s">
        <v>2709</v>
      </c>
      <c r="C4908">
        <v>39269069</v>
      </c>
      <c r="E4908">
        <v>45</v>
      </c>
      <c r="F4908">
        <v>18</v>
      </c>
      <c r="G4908">
        <v>15</v>
      </c>
      <c r="H4908" t="s">
        <v>19447</v>
      </c>
      <c r="I4908" t="s">
        <v>19447</v>
      </c>
      <c r="J4908">
        <v>18</v>
      </c>
      <c r="L4908" t="s">
        <v>2709</v>
      </c>
      <c r="M4908">
        <v>39269069</v>
      </c>
      <c r="O4908" t="s">
        <v>19999</v>
      </c>
      <c r="P4908" t="s">
        <v>19899</v>
      </c>
      <c r="Q4908" t="s">
        <v>19983</v>
      </c>
      <c r="R4908" t="s">
        <v>19447</v>
      </c>
      <c r="S4908" t="s">
        <v>19447</v>
      </c>
      <c r="T4908" t="s">
        <v>19899</v>
      </c>
    </row>
    <row r="4909" spans="2:20" x14ac:dyDescent="0.25">
      <c r="B4909" t="s">
        <v>2709</v>
      </c>
      <c r="C4909">
        <v>39269090</v>
      </c>
      <c r="E4909">
        <v>112.46</v>
      </c>
      <c r="F4909">
        <v>18</v>
      </c>
      <c r="G4909">
        <v>15</v>
      </c>
      <c r="H4909" t="s">
        <v>19447</v>
      </c>
      <c r="I4909" t="s">
        <v>19447</v>
      </c>
      <c r="J4909">
        <v>18</v>
      </c>
      <c r="L4909" t="s">
        <v>2709</v>
      </c>
      <c r="M4909">
        <v>39269090</v>
      </c>
      <c r="O4909" t="s">
        <v>20055</v>
      </c>
      <c r="P4909" t="s">
        <v>19899</v>
      </c>
      <c r="Q4909" t="s">
        <v>19983</v>
      </c>
      <c r="R4909" t="s">
        <v>19447</v>
      </c>
      <c r="S4909" t="s">
        <v>19447</v>
      </c>
      <c r="T4909" t="s">
        <v>19899</v>
      </c>
    </row>
    <row r="4910" spans="2:20" x14ac:dyDescent="0.25">
      <c r="B4910" t="s">
        <v>2709</v>
      </c>
      <c r="C4910">
        <v>39269090</v>
      </c>
      <c r="D4910">
        <v>1</v>
      </c>
      <c r="E4910" t="s">
        <v>19447</v>
      </c>
      <c r="F4910">
        <v>18</v>
      </c>
      <c r="G4910">
        <v>0</v>
      </c>
      <c r="H4910">
        <v>7.6</v>
      </c>
      <c r="I4910">
        <v>1.65</v>
      </c>
      <c r="J4910">
        <v>18</v>
      </c>
      <c r="L4910" t="s">
        <v>2709</v>
      </c>
      <c r="M4910">
        <v>39269090</v>
      </c>
      <c r="N4910">
        <v>1</v>
      </c>
      <c r="O4910" t="s">
        <v>19447</v>
      </c>
      <c r="P4910" t="s">
        <v>19899</v>
      </c>
      <c r="Q4910" t="s">
        <v>19900</v>
      </c>
      <c r="R4910" t="s">
        <v>19905</v>
      </c>
      <c r="S4910" t="s">
        <v>19906</v>
      </c>
      <c r="T4910" t="s">
        <v>19899</v>
      </c>
    </row>
    <row r="4911" spans="2:20" x14ac:dyDescent="0.25">
      <c r="B4911" t="s">
        <v>2709</v>
      </c>
      <c r="C4911">
        <v>39269090</v>
      </c>
      <c r="D4911">
        <v>2</v>
      </c>
      <c r="E4911" t="s">
        <v>19447</v>
      </c>
      <c r="F4911">
        <v>18</v>
      </c>
      <c r="G4911">
        <v>0</v>
      </c>
      <c r="H4911">
        <v>7.6</v>
      </c>
      <c r="I4911">
        <v>1.65</v>
      </c>
      <c r="J4911">
        <v>18</v>
      </c>
      <c r="L4911" t="s">
        <v>2709</v>
      </c>
      <c r="M4911">
        <v>39269090</v>
      </c>
      <c r="N4911">
        <v>2</v>
      </c>
      <c r="O4911" t="s">
        <v>19447</v>
      </c>
      <c r="P4911" t="s">
        <v>19899</v>
      </c>
      <c r="Q4911" t="s">
        <v>19900</v>
      </c>
      <c r="R4911" t="s">
        <v>19905</v>
      </c>
      <c r="S4911" t="s">
        <v>19906</v>
      </c>
      <c r="T4911" t="s">
        <v>19899</v>
      </c>
    </row>
    <row r="4912" spans="2:20" x14ac:dyDescent="0.25">
      <c r="B4912" t="s">
        <v>2709</v>
      </c>
      <c r="C4912">
        <v>39269090</v>
      </c>
      <c r="D4912">
        <v>3</v>
      </c>
      <c r="E4912" t="s">
        <v>19447</v>
      </c>
      <c r="F4912">
        <v>18</v>
      </c>
      <c r="G4912">
        <v>8</v>
      </c>
      <c r="H4912">
        <v>7.6</v>
      </c>
      <c r="I4912">
        <v>1.65</v>
      </c>
      <c r="J4912">
        <v>18</v>
      </c>
      <c r="L4912" t="s">
        <v>2709</v>
      </c>
      <c r="M4912">
        <v>39269090</v>
      </c>
      <c r="N4912">
        <v>3</v>
      </c>
      <c r="O4912" t="s">
        <v>19447</v>
      </c>
      <c r="P4912" t="s">
        <v>19899</v>
      </c>
      <c r="Q4912" t="s">
        <v>19918</v>
      </c>
      <c r="R4912" t="s">
        <v>19905</v>
      </c>
      <c r="S4912" t="s">
        <v>19906</v>
      </c>
      <c r="T4912" t="s">
        <v>19899</v>
      </c>
    </row>
    <row r="4913" spans="2:20" x14ac:dyDescent="0.25">
      <c r="B4913" t="s">
        <v>2709</v>
      </c>
      <c r="C4913">
        <v>39269090</v>
      </c>
      <c r="D4913">
        <v>4</v>
      </c>
      <c r="E4913" t="s">
        <v>19447</v>
      </c>
      <c r="F4913">
        <v>18</v>
      </c>
      <c r="G4913">
        <v>10</v>
      </c>
      <c r="H4913">
        <v>7.6</v>
      </c>
      <c r="I4913">
        <v>1.65</v>
      </c>
      <c r="J4913">
        <v>18</v>
      </c>
      <c r="L4913" t="s">
        <v>2709</v>
      </c>
      <c r="M4913">
        <v>39269090</v>
      </c>
      <c r="N4913">
        <v>4</v>
      </c>
      <c r="O4913" t="s">
        <v>19447</v>
      </c>
      <c r="P4913" t="s">
        <v>19899</v>
      </c>
      <c r="Q4913" t="s">
        <v>19904</v>
      </c>
      <c r="R4913" t="s">
        <v>19905</v>
      </c>
      <c r="S4913" t="s">
        <v>19906</v>
      </c>
      <c r="T4913" t="s">
        <v>19899</v>
      </c>
    </row>
    <row r="4914" spans="2:20" x14ac:dyDescent="0.25">
      <c r="B4914" t="s">
        <v>2709</v>
      </c>
      <c r="C4914">
        <v>39269090</v>
      </c>
      <c r="D4914">
        <v>5</v>
      </c>
      <c r="E4914" t="s">
        <v>19447</v>
      </c>
      <c r="F4914">
        <v>18</v>
      </c>
      <c r="G4914">
        <v>10</v>
      </c>
      <c r="H4914">
        <v>7.6</v>
      </c>
      <c r="I4914">
        <v>1.65</v>
      </c>
      <c r="J4914">
        <v>18</v>
      </c>
      <c r="L4914" t="s">
        <v>2709</v>
      </c>
      <c r="M4914">
        <v>39269090</v>
      </c>
      <c r="N4914">
        <v>5</v>
      </c>
      <c r="O4914" t="s">
        <v>19447</v>
      </c>
      <c r="P4914" t="s">
        <v>19899</v>
      </c>
      <c r="Q4914" t="s">
        <v>19904</v>
      </c>
      <c r="R4914" t="s">
        <v>19905</v>
      </c>
      <c r="S4914" t="s">
        <v>19906</v>
      </c>
      <c r="T4914" t="s">
        <v>19899</v>
      </c>
    </row>
    <row r="4915" spans="2:20" x14ac:dyDescent="0.25">
      <c r="B4915" t="s">
        <v>2709</v>
      </c>
      <c r="C4915">
        <v>39269090</v>
      </c>
      <c r="D4915">
        <v>6</v>
      </c>
      <c r="E4915" t="s">
        <v>19447</v>
      </c>
      <c r="F4915">
        <v>18</v>
      </c>
      <c r="G4915">
        <v>10</v>
      </c>
      <c r="H4915">
        <v>7.6</v>
      </c>
      <c r="I4915">
        <v>1.65</v>
      </c>
      <c r="J4915">
        <v>18</v>
      </c>
      <c r="L4915" t="s">
        <v>2709</v>
      </c>
      <c r="M4915">
        <v>39269090</v>
      </c>
      <c r="N4915">
        <v>6</v>
      </c>
      <c r="O4915" t="s">
        <v>19447</v>
      </c>
      <c r="P4915" t="s">
        <v>19899</v>
      </c>
      <c r="Q4915" t="s">
        <v>19904</v>
      </c>
      <c r="R4915" t="s">
        <v>19905</v>
      </c>
      <c r="S4915" t="s">
        <v>19906</v>
      </c>
      <c r="T4915" t="s">
        <v>19899</v>
      </c>
    </row>
    <row r="4916" spans="2:20" x14ac:dyDescent="0.25">
      <c r="B4916" t="s">
        <v>2709</v>
      </c>
      <c r="C4916">
        <v>39269090</v>
      </c>
      <c r="D4916">
        <v>7</v>
      </c>
      <c r="E4916" t="s">
        <v>19447</v>
      </c>
      <c r="F4916">
        <v>18</v>
      </c>
      <c r="G4916">
        <v>10</v>
      </c>
      <c r="H4916">
        <v>7.6</v>
      </c>
      <c r="I4916">
        <v>1.65</v>
      </c>
      <c r="J4916">
        <v>18</v>
      </c>
      <c r="L4916" t="s">
        <v>2709</v>
      </c>
      <c r="M4916">
        <v>39269090</v>
      </c>
      <c r="N4916">
        <v>7</v>
      </c>
      <c r="O4916" t="s">
        <v>19447</v>
      </c>
      <c r="P4916" t="s">
        <v>19899</v>
      </c>
      <c r="Q4916" t="s">
        <v>19904</v>
      </c>
      <c r="R4916" t="s">
        <v>19905</v>
      </c>
      <c r="S4916" t="s">
        <v>19906</v>
      </c>
      <c r="T4916" t="s">
        <v>19899</v>
      </c>
    </row>
    <row r="4917" spans="2:20" x14ac:dyDescent="0.25">
      <c r="B4917" t="s">
        <v>2709</v>
      </c>
      <c r="C4917">
        <v>39269090</v>
      </c>
      <c r="D4917">
        <v>8</v>
      </c>
      <c r="E4917" t="s">
        <v>19447</v>
      </c>
      <c r="F4917">
        <v>18</v>
      </c>
      <c r="G4917">
        <v>20</v>
      </c>
      <c r="H4917">
        <v>7.6</v>
      </c>
      <c r="I4917">
        <v>1.65</v>
      </c>
      <c r="J4917">
        <v>18</v>
      </c>
      <c r="L4917" t="s">
        <v>2709</v>
      </c>
      <c r="M4917">
        <v>39269090</v>
      </c>
      <c r="N4917">
        <v>8</v>
      </c>
      <c r="O4917" t="s">
        <v>19447</v>
      </c>
      <c r="P4917" t="s">
        <v>19899</v>
      </c>
      <c r="Q4917" t="s">
        <v>19934</v>
      </c>
      <c r="R4917" t="s">
        <v>19905</v>
      </c>
      <c r="S4917" t="s">
        <v>19906</v>
      </c>
      <c r="T4917" t="s">
        <v>19899</v>
      </c>
    </row>
    <row r="4918" spans="2:20" x14ac:dyDescent="0.25">
      <c r="B4918" t="s">
        <v>2709</v>
      </c>
      <c r="C4918">
        <v>39269090</v>
      </c>
      <c r="D4918">
        <v>9</v>
      </c>
      <c r="E4918" t="s">
        <v>19447</v>
      </c>
      <c r="F4918">
        <v>18</v>
      </c>
      <c r="G4918">
        <v>20</v>
      </c>
      <c r="H4918">
        <v>7.6</v>
      </c>
      <c r="I4918">
        <v>1.65</v>
      </c>
      <c r="J4918">
        <v>18</v>
      </c>
      <c r="L4918" t="s">
        <v>2709</v>
      </c>
      <c r="M4918">
        <v>39269090</v>
      </c>
      <c r="N4918">
        <v>9</v>
      </c>
      <c r="O4918" t="s">
        <v>19447</v>
      </c>
      <c r="P4918" t="s">
        <v>19899</v>
      </c>
      <c r="Q4918" t="s">
        <v>19934</v>
      </c>
      <c r="R4918" t="s">
        <v>19905</v>
      </c>
      <c r="S4918" t="s">
        <v>19906</v>
      </c>
      <c r="T4918" t="s">
        <v>19899</v>
      </c>
    </row>
    <row r="4919" spans="2:20" x14ac:dyDescent="0.25">
      <c r="B4919" t="s">
        <v>2709</v>
      </c>
      <c r="C4919">
        <v>39269090</v>
      </c>
      <c r="D4919">
        <v>10</v>
      </c>
      <c r="E4919" t="s">
        <v>19447</v>
      </c>
      <c r="F4919">
        <v>18</v>
      </c>
      <c r="G4919">
        <v>0</v>
      </c>
      <c r="H4919">
        <v>7.6</v>
      </c>
      <c r="I4919">
        <v>1.65</v>
      </c>
      <c r="J4919">
        <v>18</v>
      </c>
      <c r="L4919" t="s">
        <v>2709</v>
      </c>
      <c r="M4919">
        <v>39269090</v>
      </c>
      <c r="N4919">
        <v>10</v>
      </c>
      <c r="O4919" t="s">
        <v>19447</v>
      </c>
      <c r="P4919" t="s">
        <v>19899</v>
      </c>
      <c r="Q4919" t="s">
        <v>19900</v>
      </c>
      <c r="R4919" t="s">
        <v>19905</v>
      </c>
      <c r="S4919" t="s">
        <v>19906</v>
      </c>
      <c r="T4919" t="s">
        <v>19899</v>
      </c>
    </row>
    <row r="4920" spans="2:20" x14ac:dyDescent="0.25">
      <c r="B4920" t="s">
        <v>2709</v>
      </c>
      <c r="C4920">
        <v>39269090</v>
      </c>
      <c r="D4920">
        <v>11</v>
      </c>
      <c r="E4920" t="s">
        <v>19447</v>
      </c>
      <c r="F4920">
        <v>18</v>
      </c>
      <c r="G4920">
        <v>0</v>
      </c>
      <c r="H4920">
        <v>7.6</v>
      </c>
      <c r="I4920">
        <v>1.65</v>
      </c>
      <c r="J4920">
        <v>18</v>
      </c>
      <c r="L4920" t="s">
        <v>2709</v>
      </c>
      <c r="M4920">
        <v>39269090</v>
      </c>
      <c r="N4920">
        <v>11</v>
      </c>
      <c r="O4920" t="s">
        <v>19447</v>
      </c>
      <c r="P4920" t="s">
        <v>19899</v>
      </c>
      <c r="Q4920" t="s">
        <v>19900</v>
      </c>
      <c r="R4920" t="s">
        <v>19905</v>
      </c>
      <c r="S4920" t="s">
        <v>19906</v>
      </c>
      <c r="T4920" t="s">
        <v>19899</v>
      </c>
    </row>
    <row r="4921" spans="2:20" x14ac:dyDescent="0.25">
      <c r="B4921" t="s">
        <v>2709</v>
      </c>
      <c r="C4921">
        <v>40011000</v>
      </c>
      <c r="E4921">
        <v>177.19</v>
      </c>
      <c r="F4921">
        <v>0</v>
      </c>
      <c r="G4921">
        <v>0</v>
      </c>
      <c r="H4921" t="s">
        <v>19447</v>
      </c>
      <c r="I4921" t="s">
        <v>19447</v>
      </c>
      <c r="J4921">
        <v>4</v>
      </c>
      <c r="L4921" t="s">
        <v>2709</v>
      </c>
      <c r="M4921">
        <v>40011000</v>
      </c>
      <c r="O4921" t="s">
        <v>19926</v>
      </c>
      <c r="P4921" t="s">
        <v>19900</v>
      </c>
      <c r="Q4921" t="s">
        <v>19900</v>
      </c>
      <c r="R4921" t="s">
        <v>19447</v>
      </c>
      <c r="S4921" t="s">
        <v>19447</v>
      </c>
      <c r="T4921" t="s">
        <v>19902</v>
      </c>
    </row>
    <row r="4922" spans="2:20" x14ac:dyDescent="0.25">
      <c r="B4922" t="s">
        <v>2709</v>
      </c>
      <c r="C4922">
        <v>40012100</v>
      </c>
      <c r="E4922">
        <v>177.19</v>
      </c>
      <c r="F4922">
        <v>0</v>
      </c>
      <c r="G4922">
        <v>0</v>
      </c>
      <c r="H4922" t="s">
        <v>19447</v>
      </c>
      <c r="I4922" t="s">
        <v>19447</v>
      </c>
      <c r="J4922">
        <v>4</v>
      </c>
      <c r="L4922" t="s">
        <v>2709</v>
      </c>
      <c r="M4922">
        <v>40012100</v>
      </c>
      <c r="O4922" t="s">
        <v>19926</v>
      </c>
      <c r="P4922" t="s">
        <v>19900</v>
      </c>
      <c r="Q4922" t="s">
        <v>19900</v>
      </c>
      <c r="R4922" t="s">
        <v>19447</v>
      </c>
      <c r="S4922" t="s">
        <v>19447</v>
      </c>
      <c r="T4922" t="s">
        <v>19902</v>
      </c>
    </row>
    <row r="4923" spans="2:20" x14ac:dyDescent="0.25">
      <c r="B4923" t="s">
        <v>2709</v>
      </c>
      <c r="C4923">
        <v>40012200</v>
      </c>
      <c r="E4923">
        <v>177.19</v>
      </c>
      <c r="F4923">
        <v>0</v>
      </c>
      <c r="G4923">
        <v>0</v>
      </c>
      <c r="H4923" t="s">
        <v>19447</v>
      </c>
      <c r="I4923" t="s">
        <v>19447</v>
      </c>
      <c r="J4923">
        <v>4</v>
      </c>
      <c r="L4923" t="s">
        <v>2709</v>
      </c>
      <c r="M4923">
        <v>40012200</v>
      </c>
      <c r="O4923" t="s">
        <v>19926</v>
      </c>
      <c r="P4923" t="s">
        <v>19900</v>
      </c>
      <c r="Q4923" t="s">
        <v>19900</v>
      </c>
      <c r="R4923" t="s">
        <v>19447</v>
      </c>
      <c r="S4923" t="s">
        <v>19447</v>
      </c>
      <c r="T4923" t="s">
        <v>19902</v>
      </c>
    </row>
    <row r="4924" spans="2:20" x14ac:dyDescent="0.25">
      <c r="B4924" t="s">
        <v>2709</v>
      </c>
      <c r="C4924">
        <v>40012910</v>
      </c>
      <c r="E4924">
        <v>177.19</v>
      </c>
      <c r="F4924">
        <v>0</v>
      </c>
      <c r="G4924">
        <v>0</v>
      </c>
      <c r="H4924" t="s">
        <v>19447</v>
      </c>
      <c r="I4924" t="s">
        <v>19447</v>
      </c>
      <c r="J4924">
        <v>4</v>
      </c>
      <c r="L4924" t="s">
        <v>2709</v>
      </c>
      <c r="M4924">
        <v>40012910</v>
      </c>
      <c r="O4924" t="s">
        <v>19926</v>
      </c>
      <c r="P4924" t="s">
        <v>19900</v>
      </c>
      <c r="Q4924" t="s">
        <v>19900</v>
      </c>
      <c r="R4924" t="s">
        <v>19447</v>
      </c>
      <c r="S4924" t="s">
        <v>19447</v>
      </c>
      <c r="T4924" t="s">
        <v>19902</v>
      </c>
    </row>
    <row r="4925" spans="2:20" x14ac:dyDescent="0.25">
      <c r="B4925" t="s">
        <v>2709</v>
      </c>
      <c r="C4925">
        <v>40012920</v>
      </c>
      <c r="E4925">
        <v>177.19</v>
      </c>
      <c r="F4925">
        <v>0</v>
      </c>
      <c r="G4925">
        <v>0</v>
      </c>
      <c r="H4925" t="s">
        <v>19447</v>
      </c>
      <c r="I4925" t="s">
        <v>19447</v>
      </c>
      <c r="J4925">
        <v>4</v>
      </c>
      <c r="L4925" t="s">
        <v>2709</v>
      </c>
      <c r="M4925">
        <v>40012920</v>
      </c>
      <c r="O4925" t="s">
        <v>19926</v>
      </c>
      <c r="P4925" t="s">
        <v>19900</v>
      </c>
      <c r="Q4925" t="s">
        <v>19900</v>
      </c>
      <c r="R4925" t="s">
        <v>19447</v>
      </c>
      <c r="S4925" t="s">
        <v>19447</v>
      </c>
      <c r="T4925" t="s">
        <v>19902</v>
      </c>
    </row>
    <row r="4926" spans="2:20" x14ac:dyDescent="0.25">
      <c r="B4926" t="s">
        <v>2709</v>
      </c>
      <c r="C4926">
        <v>40012990</v>
      </c>
      <c r="E4926">
        <v>177.19</v>
      </c>
      <c r="F4926">
        <v>0</v>
      </c>
      <c r="G4926">
        <v>0</v>
      </c>
      <c r="H4926" t="s">
        <v>19447</v>
      </c>
      <c r="I4926" t="s">
        <v>19447</v>
      </c>
      <c r="J4926">
        <v>4</v>
      </c>
      <c r="L4926" t="s">
        <v>2709</v>
      </c>
      <c r="M4926">
        <v>40012990</v>
      </c>
      <c r="O4926" t="s">
        <v>19926</v>
      </c>
      <c r="P4926" t="s">
        <v>19900</v>
      </c>
      <c r="Q4926" t="s">
        <v>19900</v>
      </c>
      <c r="R4926" t="s">
        <v>19447</v>
      </c>
      <c r="S4926" t="s">
        <v>19447</v>
      </c>
      <c r="T4926" t="s">
        <v>19902</v>
      </c>
    </row>
    <row r="4927" spans="2:20" x14ac:dyDescent="0.25">
      <c r="B4927" t="s">
        <v>2709</v>
      </c>
      <c r="C4927">
        <v>40013000</v>
      </c>
      <c r="E4927">
        <v>177.19</v>
      </c>
      <c r="F4927">
        <v>0</v>
      </c>
      <c r="G4927">
        <v>0</v>
      </c>
      <c r="H4927" t="s">
        <v>19447</v>
      </c>
      <c r="I4927" t="s">
        <v>19447</v>
      </c>
      <c r="J4927">
        <v>4</v>
      </c>
      <c r="L4927" t="s">
        <v>2709</v>
      </c>
      <c r="M4927">
        <v>40013000</v>
      </c>
      <c r="O4927" t="s">
        <v>19926</v>
      </c>
      <c r="P4927" t="s">
        <v>19900</v>
      </c>
      <c r="Q4927" t="s">
        <v>19900</v>
      </c>
      <c r="R4927" t="s">
        <v>19447</v>
      </c>
      <c r="S4927" t="s">
        <v>19447</v>
      </c>
      <c r="T4927" t="s">
        <v>19902</v>
      </c>
    </row>
    <row r="4928" spans="2:20" x14ac:dyDescent="0.25">
      <c r="B4928" t="s">
        <v>2709</v>
      </c>
      <c r="C4928">
        <v>40021110</v>
      </c>
      <c r="E4928">
        <v>177.19</v>
      </c>
      <c r="F4928">
        <v>0</v>
      </c>
      <c r="G4928">
        <v>5</v>
      </c>
      <c r="H4928" t="s">
        <v>19447</v>
      </c>
      <c r="I4928" t="s">
        <v>19447</v>
      </c>
      <c r="J4928">
        <v>12</v>
      </c>
      <c r="L4928" t="s">
        <v>2709</v>
      </c>
      <c r="M4928">
        <v>40021110</v>
      </c>
      <c r="O4928" t="s">
        <v>19926</v>
      </c>
      <c r="P4928" t="s">
        <v>19900</v>
      </c>
      <c r="Q4928" t="s">
        <v>19909</v>
      </c>
      <c r="R4928" t="s">
        <v>19447</v>
      </c>
      <c r="S4928" t="s">
        <v>19447</v>
      </c>
      <c r="T4928" t="s">
        <v>19903</v>
      </c>
    </row>
    <row r="4929" spans="2:20" x14ac:dyDescent="0.25">
      <c r="B4929" t="s">
        <v>2709</v>
      </c>
      <c r="C4929">
        <v>40021120</v>
      </c>
      <c r="E4929">
        <v>177.19</v>
      </c>
      <c r="F4929">
        <v>0</v>
      </c>
      <c r="G4929">
        <v>5</v>
      </c>
      <c r="H4929" t="s">
        <v>19447</v>
      </c>
      <c r="I4929" t="s">
        <v>19447</v>
      </c>
      <c r="J4929">
        <v>12</v>
      </c>
      <c r="L4929" t="s">
        <v>2709</v>
      </c>
      <c r="M4929">
        <v>40021120</v>
      </c>
      <c r="O4929" t="s">
        <v>19926</v>
      </c>
      <c r="P4929" t="s">
        <v>19900</v>
      </c>
      <c r="Q4929" t="s">
        <v>19909</v>
      </c>
      <c r="R4929" t="s">
        <v>19447</v>
      </c>
      <c r="S4929" t="s">
        <v>19447</v>
      </c>
      <c r="T4929" t="s">
        <v>19903</v>
      </c>
    </row>
    <row r="4930" spans="2:20" x14ac:dyDescent="0.25">
      <c r="B4930" t="s">
        <v>2709</v>
      </c>
      <c r="C4930">
        <v>40021911</v>
      </c>
      <c r="E4930">
        <v>177.19</v>
      </c>
      <c r="F4930">
        <v>0</v>
      </c>
      <c r="G4930">
        <v>5</v>
      </c>
      <c r="H4930" t="s">
        <v>19447</v>
      </c>
      <c r="I4930" t="s">
        <v>19447</v>
      </c>
      <c r="J4930">
        <v>12</v>
      </c>
      <c r="L4930" t="s">
        <v>2709</v>
      </c>
      <c r="M4930">
        <v>40021911</v>
      </c>
      <c r="O4930" t="s">
        <v>19926</v>
      </c>
      <c r="P4930" t="s">
        <v>19900</v>
      </c>
      <c r="Q4930" t="s">
        <v>19909</v>
      </c>
      <c r="R4930" t="s">
        <v>19447</v>
      </c>
      <c r="S4930" t="s">
        <v>19447</v>
      </c>
      <c r="T4930" t="s">
        <v>19903</v>
      </c>
    </row>
    <row r="4931" spans="2:20" x14ac:dyDescent="0.25">
      <c r="B4931" t="s">
        <v>2709</v>
      </c>
      <c r="C4931">
        <v>40021912</v>
      </c>
      <c r="E4931">
        <v>177.19</v>
      </c>
      <c r="F4931">
        <v>0</v>
      </c>
      <c r="G4931">
        <v>5</v>
      </c>
      <c r="H4931" t="s">
        <v>19447</v>
      </c>
      <c r="I4931" t="s">
        <v>19447</v>
      </c>
      <c r="J4931">
        <v>12</v>
      </c>
      <c r="L4931" t="s">
        <v>2709</v>
      </c>
      <c r="M4931">
        <v>40021912</v>
      </c>
      <c r="O4931" t="s">
        <v>19926</v>
      </c>
      <c r="P4931" t="s">
        <v>19900</v>
      </c>
      <c r="Q4931" t="s">
        <v>19909</v>
      </c>
      <c r="R4931" t="s">
        <v>19447</v>
      </c>
      <c r="S4931" t="s">
        <v>19447</v>
      </c>
      <c r="T4931" t="s">
        <v>19903</v>
      </c>
    </row>
    <row r="4932" spans="2:20" x14ac:dyDescent="0.25">
      <c r="B4932" t="s">
        <v>2709</v>
      </c>
      <c r="C4932">
        <v>40021919</v>
      </c>
      <c r="E4932">
        <v>177.19</v>
      </c>
      <c r="F4932">
        <v>0</v>
      </c>
      <c r="G4932">
        <v>5</v>
      </c>
      <c r="H4932" t="s">
        <v>19447</v>
      </c>
      <c r="I4932" t="s">
        <v>19447</v>
      </c>
      <c r="J4932">
        <v>12</v>
      </c>
      <c r="L4932" t="s">
        <v>2709</v>
      </c>
      <c r="M4932">
        <v>40021919</v>
      </c>
      <c r="O4932" t="s">
        <v>19926</v>
      </c>
      <c r="P4932" t="s">
        <v>19900</v>
      </c>
      <c r="Q4932" t="s">
        <v>19909</v>
      </c>
      <c r="R4932" t="s">
        <v>19447</v>
      </c>
      <c r="S4932" t="s">
        <v>19447</v>
      </c>
      <c r="T4932" t="s">
        <v>19903</v>
      </c>
    </row>
    <row r="4933" spans="2:20" x14ac:dyDescent="0.25">
      <c r="B4933" t="s">
        <v>2709</v>
      </c>
      <c r="C4933">
        <v>40021920</v>
      </c>
      <c r="E4933">
        <v>177.19</v>
      </c>
      <c r="F4933">
        <v>0</v>
      </c>
      <c r="G4933">
        <v>5</v>
      </c>
      <c r="H4933" t="s">
        <v>19447</v>
      </c>
      <c r="I4933" t="s">
        <v>19447</v>
      </c>
      <c r="J4933">
        <v>12</v>
      </c>
      <c r="L4933" t="s">
        <v>2709</v>
      </c>
      <c r="M4933">
        <v>40021920</v>
      </c>
      <c r="O4933" t="s">
        <v>19926</v>
      </c>
      <c r="P4933" t="s">
        <v>19900</v>
      </c>
      <c r="Q4933" t="s">
        <v>19909</v>
      </c>
      <c r="R4933" t="s">
        <v>19447</v>
      </c>
      <c r="S4933" t="s">
        <v>19447</v>
      </c>
      <c r="T4933" t="s">
        <v>19903</v>
      </c>
    </row>
    <row r="4934" spans="2:20" x14ac:dyDescent="0.25">
      <c r="B4934" t="s">
        <v>2709</v>
      </c>
      <c r="C4934">
        <v>40022010</v>
      </c>
      <c r="E4934">
        <v>177.19</v>
      </c>
      <c r="F4934">
        <v>0</v>
      </c>
      <c r="G4934">
        <v>5</v>
      </c>
      <c r="H4934" t="s">
        <v>19447</v>
      </c>
      <c r="I4934" t="s">
        <v>19447</v>
      </c>
      <c r="J4934">
        <v>2</v>
      </c>
      <c r="L4934" t="s">
        <v>2709</v>
      </c>
      <c r="M4934">
        <v>40022010</v>
      </c>
      <c r="O4934" t="s">
        <v>19926</v>
      </c>
      <c r="P4934" t="s">
        <v>19900</v>
      </c>
      <c r="Q4934" t="s">
        <v>19909</v>
      </c>
      <c r="R4934" t="s">
        <v>19447</v>
      </c>
      <c r="S4934" t="s">
        <v>19447</v>
      </c>
      <c r="T4934" t="s">
        <v>19901</v>
      </c>
    </row>
    <row r="4935" spans="2:20" x14ac:dyDescent="0.25">
      <c r="B4935" t="s">
        <v>2709</v>
      </c>
      <c r="C4935">
        <v>40022090</v>
      </c>
      <c r="E4935">
        <v>177.19</v>
      </c>
      <c r="F4935">
        <v>0</v>
      </c>
      <c r="G4935">
        <v>5</v>
      </c>
      <c r="H4935" t="s">
        <v>19447</v>
      </c>
      <c r="I4935" t="s">
        <v>19447</v>
      </c>
      <c r="J4935">
        <v>12</v>
      </c>
      <c r="L4935" t="s">
        <v>2709</v>
      </c>
      <c r="M4935">
        <v>40022090</v>
      </c>
      <c r="O4935" t="s">
        <v>19926</v>
      </c>
      <c r="P4935" t="s">
        <v>19900</v>
      </c>
      <c r="Q4935" t="s">
        <v>19909</v>
      </c>
      <c r="R4935" t="s">
        <v>19447</v>
      </c>
      <c r="S4935" t="s">
        <v>19447</v>
      </c>
      <c r="T4935" t="s">
        <v>19903</v>
      </c>
    </row>
    <row r="4936" spans="2:20" x14ac:dyDescent="0.25">
      <c r="B4936" t="s">
        <v>2709</v>
      </c>
      <c r="C4936">
        <v>40023100</v>
      </c>
      <c r="E4936">
        <v>177.19</v>
      </c>
      <c r="F4936">
        <v>0</v>
      </c>
      <c r="G4936">
        <v>5</v>
      </c>
      <c r="H4936" t="s">
        <v>19447</v>
      </c>
      <c r="I4936" t="s">
        <v>19447</v>
      </c>
      <c r="J4936">
        <v>2</v>
      </c>
      <c r="L4936" t="s">
        <v>2709</v>
      </c>
      <c r="M4936">
        <v>40023100</v>
      </c>
      <c r="O4936" t="s">
        <v>19926</v>
      </c>
      <c r="P4936" t="s">
        <v>19900</v>
      </c>
      <c r="Q4936" t="s">
        <v>19909</v>
      </c>
      <c r="R4936" t="s">
        <v>19447</v>
      </c>
      <c r="S4936" t="s">
        <v>19447</v>
      </c>
      <c r="T4936" t="s">
        <v>19901</v>
      </c>
    </row>
    <row r="4937" spans="2:20" x14ac:dyDescent="0.25">
      <c r="B4937" t="s">
        <v>2709</v>
      </c>
      <c r="C4937">
        <v>40023900</v>
      </c>
      <c r="E4937">
        <v>177.19</v>
      </c>
      <c r="F4937">
        <v>0</v>
      </c>
      <c r="G4937">
        <v>5</v>
      </c>
      <c r="H4937" t="s">
        <v>19447</v>
      </c>
      <c r="I4937" t="s">
        <v>19447</v>
      </c>
      <c r="J4937">
        <v>2</v>
      </c>
      <c r="L4937" t="s">
        <v>2709</v>
      </c>
      <c r="M4937">
        <v>40023900</v>
      </c>
      <c r="O4937" t="s">
        <v>19926</v>
      </c>
      <c r="P4937" t="s">
        <v>19900</v>
      </c>
      <c r="Q4937" t="s">
        <v>19909</v>
      </c>
      <c r="R4937" t="s">
        <v>19447</v>
      </c>
      <c r="S4937" t="s">
        <v>19447</v>
      </c>
      <c r="T4937" t="s">
        <v>19901</v>
      </c>
    </row>
    <row r="4938" spans="2:20" x14ac:dyDescent="0.25">
      <c r="B4938" t="s">
        <v>2709</v>
      </c>
      <c r="C4938">
        <v>40024100</v>
      </c>
      <c r="E4938">
        <v>177.19</v>
      </c>
      <c r="F4938">
        <v>0</v>
      </c>
      <c r="G4938">
        <v>5</v>
      </c>
      <c r="H4938" t="s">
        <v>19447</v>
      </c>
      <c r="I4938" t="s">
        <v>19447</v>
      </c>
      <c r="J4938">
        <v>2</v>
      </c>
      <c r="L4938" t="s">
        <v>2709</v>
      </c>
      <c r="M4938">
        <v>40024100</v>
      </c>
      <c r="O4938" t="s">
        <v>19926</v>
      </c>
      <c r="P4938" t="s">
        <v>19900</v>
      </c>
      <c r="Q4938" t="s">
        <v>19909</v>
      </c>
      <c r="R4938" t="s">
        <v>19447</v>
      </c>
      <c r="S4938" t="s">
        <v>19447</v>
      </c>
      <c r="T4938" t="s">
        <v>19901</v>
      </c>
    </row>
    <row r="4939" spans="2:20" x14ac:dyDescent="0.25">
      <c r="B4939" t="s">
        <v>2709</v>
      </c>
      <c r="C4939">
        <v>40024900</v>
      </c>
      <c r="E4939">
        <v>177.19</v>
      </c>
      <c r="F4939">
        <v>0</v>
      </c>
      <c r="G4939">
        <v>5</v>
      </c>
      <c r="H4939" t="s">
        <v>19447</v>
      </c>
      <c r="I4939" t="s">
        <v>19447</v>
      </c>
      <c r="J4939">
        <v>2</v>
      </c>
      <c r="L4939" t="s">
        <v>2709</v>
      </c>
      <c r="M4939">
        <v>40024900</v>
      </c>
      <c r="O4939" t="s">
        <v>19926</v>
      </c>
      <c r="P4939" t="s">
        <v>19900</v>
      </c>
      <c r="Q4939" t="s">
        <v>19909</v>
      </c>
      <c r="R4939" t="s">
        <v>19447</v>
      </c>
      <c r="S4939" t="s">
        <v>19447</v>
      </c>
      <c r="T4939" t="s">
        <v>19901</v>
      </c>
    </row>
    <row r="4940" spans="2:20" x14ac:dyDescent="0.25">
      <c r="B4940" t="s">
        <v>2709</v>
      </c>
      <c r="C4940">
        <v>40025100</v>
      </c>
      <c r="E4940">
        <v>177.19</v>
      </c>
      <c r="F4940">
        <v>0</v>
      </c>
      <c r="G4940">
        <v>5</v>
      </c>
      <c r="H4940" t="s">
        <v>19447</v>
      </c>
      <c r="I4940" t="s">
        <v>19447</v>
      </c>
      <c r="J4940">
        <v>12</v>
      </c>
      <c r="L4940" t="s">
        <v>2709</v>
      </c>
      <c r="M4940">
        <v>40025100</v>
      </c>
      <c r="O4940" t="s">
        <v>19926</v>
      </c>
      <c r="P4940" t="s">
        <v>19900</v>
      </c>
      <c r="Q4940" t="s">
        <v>19909</v>
      </c>
      <c r="R4940" t="s">
        <v>19447</v>
      </c>
      <c r="S4940" t="s">
        <v>19447</v>
      </c>
      <c r="T4940" t="s">
        <v>19903</v>
      </c>
    </row>
    <row r="4941" spans="2:20" x14ac:dyDescent="0.25">
      <c r="B4941" t="s">
        <v>2709</v>
      </c>
      <c r="C4941">
        <v>40025900</v>
      </c>
      <c r="E4941">
        <v>177.19</v>
      </c>
      <c r="F4941">
        <v>0</v>
      </c>
      <c r="G4941">
        <v>5</v>
      </c>
      <c r="H4941" t="s">
        <v>19447</v>
      </c>
      <c r="I4941" t="s">
        <v>19447</v>
      </c>
      <c r="J4941">
        <v>25</v>
      </c>
      <c r="L4941" t="s">
        <v>2709</v>
      </c>
      <c r="M4941">
        <v>40025900</v>
      </c>
      <c r="O4941" t="s">
        <v>19926</v>
      </c>
      <c r="P4941" t="s">
        <v>19900</v>
      </c>
      <c r="Q4941" t="s">
        <v>19909</v>
      </c>
      <c r="R4941" t="s">
        <v>19447</v>
      </c>
      <c r="S4941" t="s">
        <v>19447</v>
      </c>
      <c r="T4941" t="s">
        <v>19982</v>
      </c>
    </row>
    <row r="4942" spans="2:20" x14ac:dyDescent="0.25">
      <c r="B4942" t="s">
        <v>2709</v>
      </c>
      <c r="C4942">
        <v>40026000</v>
      </c>
      <c r="E4942">
        <v>177.19</v>
      </c>
      <c r="F4942">
        <v>0</v>
      </c>
      <c r="G4942">
        <v>5</v>
      </c>
      <c r="H4942" t="s">
        <v>19447</v>
      </c>
      <c r="I4942" t="s">
        <v>19447</v>
      </c>
      <c r="J4942">
        <v>2</v>
      </c>
      <c r="L4942" t="s">
        <v>2709</v>
      </c>
      <c r="M4942">
        <v>40026000</v>
      </c>
      <c r="O4942" t="s">
        <v>19926</v>
      </c>
      <c r="P4942" t="s">
        <v>19900</v>
      </c>
      <c r="Q4942" t="s">
        <v>19909</v>
      </c>
      <c r="R4942" t="s">
        <v>19447</v>
      </c>
      <c r="S4942" t="s">
        <v>19447</v>
      </c>
      <c r="T4942" t="s">
        <v>19901</v>
      </c>
    </row>
    <row r="4943" spans="2:20" x14ac:dyDescent="0.25">
      <c r="B4943" t="s">
        <v>2709</v>
      </c>
      <c r="C4943">
        <v>40027000</v>
      </c>
      <c r="E4943">
        <v>177.19</v>
      </c>
      <c r="F4943">
        <v>0</v>
      </c>
      <c r="G4943">
        <v>5</v>
      </c>
      <c r="H4943" t="s">
        <v>19447</v>
      </c>
      <c r="I4943" t="s">
        <v>19447</v>
      </c>
      <c r="J4943">
        <v>12</v>
      </c>
      <c r="L4943" t="s">
        <v>2709</v>
      </c>
      <c r="M4943">
        <v>40027000</v>
      </c>
      <c r="O4943" t="s">
        <v>19926</v>
      </c>
      <c r="P4943" t="s">
        <v>19900</v>
      </c>
      <c r="Q4943" t="s">
        <v>19909</v>
      </c>
      <c r="R4943" t="s">
        <v>19447</v>
      </c>
      <c r="S4943" t="s">
        <v>19447</v>
      </c>
      <c r="T4943" t="s">
        <v>19903</v>
      </c>
    </row>
    <row r="4944" spans="2:20" x14ac:dyDescent="0.25">
      <c r="B4944" t="s">
        <v>2709</v>
      </c>
      <c r="C4944">
        <v>40028000</v>
      </c>
      <c r="E4944">
        <v>177.19</v>
      </c>
      <c r="F4944">
        <v>0</v>
      </c>
      <c r="G4944">
        <v>5</v>
      </c>
      <c r="H4944" t="s">
        <v>19447</v>
      </c>
      <c r="I4944" t="s">
        <v>19447</v>
      </c>
      <c r="J4944">
        <v>12</v>
      </c>
      <c r="L4944" t="s">
        <v>2709</v>
      </c>
      <c r="M4944">
        <v>40028000</v>
      </c>
      <c r="O4944" t="s">
        <v>19926</v>
      </c>
      <c r="P4944" t="s">
        <v>19900</v>
      </c>
      <c r="Q4944" t="s">
        <v>19909</v>
      </c>
      <c r="R4944" t="s">
        <v>19447</v>
      </c>
      <c r="S4944" t="s">
        <v>19447</v>
      </c>
      <c r="T4944" t="s">
        <v>19903</v>
      </c>
    </row>
    <row r="4945" spans="2:20" x14ac:dyDescent="0.25">
      <c r="B4945" t="s">
        <v>2709</v>
      </c>
      <c r="C4945">
        <v>40029100</v>
      </c>
      <c r="E4945">
        <v>177.19</v>
      </c>
      <c r="F4945">
        <v>0</v>
      </c>
      <c r="G4945">
        <v>5</v>
      </c>
      <c r="H4945" t="s">
        <v>19447</v>
      </c>
      <c r="I4945" t="s">
        <v>19447</v>
      </c>
      <c r="J4945">
        <v>12</v>
      </c>
      <c r="L4945" t="s">
        <v>2709</v>
      </c>
      <c r="M4945">
        <v>40029100</v>
      </c>
      <c r="O4945" t="s">
        <v>19926</v>
      </c>
      <c r="P4945" t="s">
        <v>19900</v>
      </c>
      <c r="Q4945" t="s">
        <v>19909</v>
      </c>
      <c r="R4945" t="s">
        <v>19447</v>
      </c>
      <c r="S4945" t="s">
        <v>19447</v>
      </c>
      <c r="T4945" t="s">
        <v>19903</v>
      </c>
    </row>
    <row r="4946" spans="2:20" x14ac:dyDescent="0.25">
      <c r="B4946" t="s">
        <v>2709</v>
      </c>
      <c r="C4946">
        <v>40029910</v>
      </c>
      <c r="E4946">
        <v>177.19</v>
      </c>
      <c r="F4946">
        <v>0</v>
      </c>
      <c r="G4946">
        <v>5</v>
      </c>
      <c r="H4946" t="s">
        <v>19447</v>
      </c>
      <c r="I4946" t="s">
        <v>19447</v>
      </c>
      <c r="J4946">
        <v>12</v>
      </c>
      <c r="L4946" t="s">
        <v>2709</v>
      </c>
      <c r="M4946">
        <v>40029910</v>
      </c>
      <c r="O4946" t="s">
        <v>19926</v>
      </c>
      <c r="P4946" t="s">
        <v>19900</v>
      </c>
      <c r="Q4946" t="s">
        <v>19909</v>
      </c>
      <c r="R4946" t="s">
        <v>19447</v>
      </c>
      <c r="S4946" t="s">
        <v>19447</v>
      </c>
      <c r="T4946" t="s">
        <v>19903</v>
      </c>
    </row>
    <row r="4947" spans="2:20" x14ac:dyDescent="0.25">
      <c r="B4947" t="s">
        <v>2709</v>
      </c>
      <c r="C4947">
        <v>40029920</v>
      </c>
      <c r="E4947">
        <v>177.19</v>
      </c>
      <c r="F4947">
        <v>0</v>
      </c>
      <c r="G4947">
        <v>5</v>
      </c>
      <c r="H4947" t="s">
        <v>19447</v>
      </c>
      <c r="I4947" t="s">
        <v>19447</v>
      </c>
      <c r="J4947">
        <v>2</v>
      </c>
      <c r="L4947" t="s">
        <v>2709</v>
      </c>
      <c r="M4947">
        <v>40029920</v>
      </c>
      <c r="O4947" t="s">
        <v>19926</v>
      </c>
      <c r="P4947" t="s">
        <v>19900</v>
      </c>
      <c r="Q4947" t="s">
        <v>19909</v>
      </c>
      <c r="R4947" t="s">
        <v>19447</v>
      </c>
      <c r="S4947" t="s">
        <v>19447</v>
      </c>
      <c r="T4947" t="s">
        <v>19901</v>
      </c>
    </row>
    <row r="4948" spans="2:20" x14ac:dyDescent="0.25">
      <c r="B4948" t="s">
        <v>2709</v>
      </c>
      <c r="C4948">
        <v>40029930</v>
      </c>
      <c r="E4948">
        <v>177.19</v>
      </c>
      <c r="F4948">
        <v>0</v>
      </c>
      <c r="G4948">
        <v>5</v>
      </c>
      <c r="H4948" t="s">
        <v>19447</v>
      </c>
      <c r="I4948" t="s">
        <v>19447</v>
      </c>
      <c r="J4948">
        <v>2</v>
      </c>
      <c r="L4948" t="s">
        <v>2709</v>
      </c>
      <c r="M4948">
        <v>40029930</v>
      </c>
      <c r="O4948" t="s">
        <v>19926</v>
      </c>
      <c r="P4948" t="s">
        <v>19900</v>
      </c>
      <c r="Q4948" t="s">
        <v>19909</v>
      </c>
      <c r="R4948" t="s">
        <v>19447</v>
      </c>
      <c r="S4948" t="s">
        <v>19447</v>
      </c>
      <c r="T4948" t="s">
        <v>19901</v>
      </c>
    </row>
    <row r="4949" spans="2:20" x14ac:dyDescent="0.25">
      <c r="B4949" t="s">
        <v>2709</v>
      </c>
      <c r="C4949">
        <v>40029990</v>
      </c>
      <c r="E4949">
        <v>177.19</v>
      </c>
      <c r="F4949">
        <v>0</v>
      </c>
      <c r="G4949">
        <v>5</v>
      </c>
      <c r="H4949" t="s">
        <v>19447</v>
      </c>
      <c r="I4949" t="s">
        <v>19447</v>
      </c>
      <c r="J4949">
        <v>12</v>
      </c>
      <c r="L4949" t="s">
        <v>2709</v>
      </c>
      <c r="M4949">
        <v>40029990</v>
      </c>
      <c r="O4949" t="s">
        <v>19926</v>
      </c>
      <c r="P4949" t="s">
        <v>19900</v>
      </c>
      <c r="Q4949" t="s">
        <v>19909</v>
      </c>
      <c r="R4949" t="s">
        <v>19447</v>
      </c>
      <c r="S4949" t="s">
        <v>19447</v>
      </c>
      <c r="T4949" t="s">
        <v>19903</v>
      </c>
    </row>
    <row r="4950" spans="2:20" x14ac:dyDescent="0.25">
      <c r="B4950" t="s">
        <v>2709</v>
      </c>
      <c r="C4950">
        <v>40030000</v>
      </c>
      <c r="E4950">
        <v>177.19</v>
      </c>
      <c r="F4950">
        <v>0</v>
      </c>
      <c r="G4950">
        <v>5</v>
      </c>
      <c r="H4950" t="s">
        <v>19447</v>
      </c>
      <c r="I4950" t="s">
        <v>19447</v>
      </c>
      <c r="J4950">
        <v>12</v>
      </c>
      <c r="L4950" t="s">
        <v>2709</v>
      </c>
      <c r="M4950">
        <v>40030000</v>
      </c>
      <c r="O4950" t="s">
        <v>19926</v>
      </c>
      <c r="P4950" t="s">
        <v>19900</v>
      </c>
      <c r="Q4950" t="s">
        <v>19909</v>
      </c>
      <c r="R4950" t="s">
        <v>19447</v>
      </c>
      <c r="S4950" t="s">
        <v>19447</v>
      </c>
      <c r="T4950" t="s">
        <v>19903</v>
      </c>
    </row>
    <row r="4951" spans="2:20" x14ac:dyDescent="0.25">
      <c r="B4951" t="s">
        <v>2709</v>
      </c>
      <c r="C4951">
        <v>40040000</v>
      </c>
      <c r="E4951">
        <v>177.19</v>
      </c>
      <c r="F4951">
        <v>0</v>
      </c>
      <c r="G4951">
        <v>0</v>
      </c>
      <c r="H4951" t="s">
        <v>19447</v>
      </c>
      <c r="I4951" t="s">
        <v>19447</v>
      </c>
      <c r="J4951">
        <v>12</v>
      </c>
      <c r="L4951" t="s">
        <v>2709</v>
      </c>
      <c r="M4951">
        <v>40040000</v>
      </c>
      <c r="O4951" t="s">
        <v>19926</v>
      </c>
      <c r="P4951" t="s">
        <v>19900</v>
      </c>
      <c r="Q4951" t="s">
        <v>19900</v>
      </c>
      <c r="R4951" t="s">
        <v>19447</v>
      </c>
      <c r="S4951" t="s">
        <v>19447</v>
      </c>
      <c r="T4951" t="s">
        <v>19903</v>
      </c>
    </row>
    <row r="4952" spans="2:20" x14ac:dyDescent="0.25">
      <c r="B4952" t="s">
        <v>2709</v>
      </c>
      <c r="C4952">
        <v>40051010</v>
      </c>
      <c r="E4952">
        <v>177.19</v>
      </c>
      <c r="F4952">
        <v>0</v>
      </c>
      <c r="G4952">
        <v>5</v>
      </c>
      <c r="H4952" t="s">
        <v>19447</v>
      </c>
      <c r="I4952" t="s">
        <v>19447</v>
      </c>
      <c r="J4952">
        <v>2</v>
      </c>
      <c r="L4952" t="s">
        <v>2709</v>
      </c>
      <c r="M4952">
        <v>40051010</v>
      </c>
      <c r="O4952" t="s">
        <v>19926</v>
      </c>
      <c r="P4952" t="s">
        <v>19900</v>
      </c>
      <c r="Q4952" t="s">
        <v>19909</v>
      </c>
      <c r="R4952" t="s">
        <v>19447</v>
      </c>
      <c r="S4952" t="s">
        <v>19447</v>
      </c>
      <c r="T4952" t="s">
        <v>19901</v>
      </c>
    </row>
    <row r="4953" spans="2:20" x14ac:dyDescent="0.25">
      <c r="B4953" t="s">
        <v>2709</v>
      </c>
      <c r="C4953">
        <v>40051090</v>
      </c>
      <c r="E4953">
        <v>177.19</v>
      </c>
      <c r="F4953">
        <v>0</v>
      </c>
      <c r="G4953">
        <v>5</v>
      </c>
      <c r="H4953" t="s">
        <v>19447</v>
      </c>
      <c r="I4953" t="s">
        <v>19447</v>
      </c>
      <c r="J4953">
        <v>14</v>
      </c>
      <c r="L4953" t="s">
        <v>2709</v>
      </c>
      <c r="M4953">
        <v>40051090</v>
      </c>
      <c r="O4953" t="s">
        <v>19926</v>
      </c>
      <c r="P4953" t="s">
        <v>19900</v>
      </c>
      <c r="Q4953" t="s">
        <v>19909</v>
      </c>
      <c r="R4953" t="s">
        <v>19447</v>
      </c>
      <c r="S4953" t="s">
        <v>19447</v>
      </c>
      <c r="T4953" t="s">
        <v>19911</v>
      </c>
    </row>
    <row r="4954" spans="2:20" x14ac:dyDescent="0.25">
      <c r="B4954" t="s">
        <v>2709</v>
      </c>
      <c r="C4954">
        <v>40052000</v>
      </c>
      <c r="E4954">
        <v>177.19</v>
      </c>
      <c r="F4954">
        <v>0</v>
      </c>
      <c r="G4954">
        <v>5</v>
      </c>
      <c r="H4954" t="s">
        <v>19447</v>
      </c>
      <c r="I4954" t="s">
        <v>19447</v>
      </c>
      <c r="J4954">
        <v>14</v>
      </c>
      <c r="L4954" t="s">
        <v>2709</v>
      </c>
      <c r="M4954">
        <v>40052000</v>
      </c>
      <c r="O4954" t="s">
        <v>19926</v>
      </c>
      <c r="P4954" t="s">
        <v>19900</v>
      </c>
      <c r="Q4954" t="s">
        <v>19909</v>
      </c>
      <c r="R4954" t="s">
        <v>19447</v>
      </c>
      <c r="S4954" t="s">
        <v>19447</v>
      </c>
      <c r="T4954" t="s">
        <v>19911</v>
      </c>
    </row>
    <row r="4955" spans="2:20" x14ac:dyDescent="0.25">
      <c r="B4955" t="s">
        <v>2709</v>
      </c>
      <c r="C4955">
        <v>40059110</v>
      </c>
      <c r="E4955">
        <v>177.19</v>
      </c>
      <c r="F4955">
        <v>0</v>
      </c>
      <c r="G4955">
        <v>5</v>
      </c>
      <c r="H4955" t="s">
        <v>19447</v>
      </c>
      <c r="I4955" t="s">
        <v>19447</v>
      </c>
      <c r="J4955">
        <v>14</v>
      </c>
      <c r="L4955" t="s">
        <v>2709</v>
      </c>
      <c r="M4955">
        <v>40059110</v>
      </c>
      <c r="O4955" t="s">
        <v>19926</v>
      </c>
      <c r="P4955" t="s">
        <v>19900</v>
      </c>
      <c r="Q4955" t="s">
        <v>19909</v>
      </c>
      <c r="R4955" t="s">
        <v>19447</v>
      </c>
      <c r="S4955" t="s">
        <v>19447</v>
      </c>
      <c r="T4955" t="s">
        <v>19911</v>
      </c>
    </row>
    <row r="4956" spans="2:20" x14ac:dyDescent="0.25">
      <c r="B4956" t="s">
        <v>2709</v>
      </c>
      <c r="C4956">
        <v>40059190</v>
      </c>
      <c r="E4956">
        <v>35</v>
      </c>
      <c r="F4956">
        <v>0</v>
      </c>
      <c r="G4956">
        <v>5</v>
      </c>
      <c r="H4956" t="s">
        <v>19447</v>
      </c>
      <c r="I4956" t="s">
        <v>19447</v>
      </c>
      <c r="J4956">
        <v>14</v>
      </c>
      <c r="L4956" t="s">
        <v>2709</v>
      </c>
      <c r="M4956">
        <v>40059190</v>
      </c>
      <c r="O4956" t="s">
        <v>19919</v>
      </c>
      <c r="P4956" t="s">
        <v>19900</v>
      </c>
      <c r="Q4956" t="s">
        <v>19909</v>
      </c>
      <c r="R4956" t="s">
        <v>19447</v>
      </c>
      <c r="S4956" t="s">
        <v>19447</v>
      </c>
      <c r="T4956" t="s">
        <v>19911</v>
      </c>
    </row>
    <row r="4957" spans="2:20" x14ac:dyDescent="0.25">
      <c r="B4957" t="s">
        <v>2709</v>
      </c>
      <c r="C4957">
        <v>40059910</v>
      </c>
      <c r="E4957">
        <v>177.19</v>
      </c>
      <c r="F4957">
        <v>0</v>
      </c>
      <c r="G4957">
        <v>5</v>
      </c>
      <c r="H4957" t="s">
        <v>19447</v>
      </c>
      <c r="I4957" t="s">
        <v>19447</v>
      </c>
      <c r="J4957">
        <v>14</v>
      </c>
      <c r="L4957" t="s">
        <v>2709</v>
      </c>
      <c r="M4957">
        <v>40059910</v>
      </c>
      <c r="O4957" t="s">
        <v>19926</v>
      </c>
      <c r="P4957" t="s">
        <v>19900</v>
      </c>
      <c r="Q4957" t="s">
        <v>19909</v>
      </c>
      <c r="R4957" t="s">
        <v>19447</v>
      </c>
      <c r="S4957" t="s">
        <v>19447</v>
      </c>
      <c r="T4957" t="s">
        <v>19911</v>
      </c>
    </row>
    <row r="4958" spans="2:20" x14ac:dyDescent="0.25">
      <c r="B4958" t="s">
        <v>2709</v>
      </c>
      <c r="C4958">
        <v>40059990</v>
      </c>
      <c r="E4958">
        <v>177.19</v>
      </c>
      <c r="F4958">
        <v>0</v>
      </c>
      <c r="G4958">
        <v>5</v>
      </c>
      <c r="H4958" t="s">
        <v>19447</v>
      </c>
      <c r="I4958" t="s">
        <v>19447</v>
      </c>
      <c r="J4958">
        <v>14</v>
      </c>
      <c r="L4958" t="s">
        <v>2709</v>
      </c>
      <c r="M4958">
        <v>40059990</v>
      </c>
      <c r="O4958" t="s">
        <v>19926</v>
      </c>
      <c r="P4958" t="s">
        <v>19900</v>
      </c>
      <c r="Q4958" t="s">
        <v>19909</v>
      </c>
      <c r="R4958" t="s">
        <v>19447</v>
      </c>
      <c r="S4958" t="s">
        <v>19447</v>
      </c>
      <c r="T4958" t="s">
        <v>19911</v>
      </c>
    </row>
    <row r="4959" spans="2:20" x14ac:dyDescent="0.25">
      <c r="B4959" t="s">
        <v>2709</v>
      </c>
      <c r="C4959">
        <v>40061000</v>
      </c>
      <c r="E4959">
        <v>177.19</v>
      </c>
      <c r="F4959">
        <v>0</v>
      </c>
      <c r="G4959">
        <v>5</v>
      </c>
      <c r="H4959" t="s">
        <v>19447</v>
      </c>
      <c r="I4959" t="s">
        <v>19447</v>
      </c>
      <c r="J4959">
        <v>14</v>
      </c>
      <c r="L4959" t="s">
        <v>2709</v>
      </c>
      <c r="M4959">
        <v>40061000</v>
      </c>
      <c r="O4959" t="s">
        <v>19926</v>
      </c>
      <c r="P4959" t="s">
        <v>19900</v>
      </c>
      <c r="Q4959" t="s">
        <v>19909</v>
      </c>
      <c r="R4959" t="s">
        <v>19447</v>
      </c>
      <c r="S4959" t="s">
        <v>19447</v>
      </c>
      <c r="T4959" t="s">
        <v>19911</v>
      </c>
    </row>
    <row r="4960" spans="2:20" x14ac:dyDescent="0.25">
      <c r="B4960" t="s">
        <v>2709</v>
      </c>
      <c r="C4960">
        <v>40069000</v>
      </c>
      <c r="E4960">
        <v>177.19</v>
      </c>
      <c r="F4960">
        <v>0</v>
      </c>
      <c r="G4960">
        <v>5</v>
      </c>
      <c r="H4960" t="s">
        <v>19447</v>
      </c>
      <c r="I4960" t="s">
        <v>19447</v>
      </c>
      <c r="J4960">
        <v>14</v>
      </c>
      <c r="L4960" t="s">
        <v>2709</v>
      </c>
      <c r="M4960">
        <v>40069000</v>
      </c>
      <c r="O4960" t="s">
        <v>19926</v>
      </c>
      <c r="P4960" t="s">
        <v>19900</v>
      </c>
      <c r="Q4960" t="s">
        <v>19909</v>
      </c>
      <c r="R4960" t="s">
        <v>19447</v>
      </c>
      <c r="S4960" t="s">
        <v>19447</v>
      </c>
      <c r="T4960" t="s">
        <v>19911</v>
      </c>
    </row>
    <row r="4961" spans="2:20" x14ac:dyDescent="0.25">
      <c r="B4961" t="s">
        <v>2709</v>
      </c>
      <c r="C4961">
        <v>40070011</v>
      </c>
      <c r="E4961">
        <v>177.19</v>
      </c>
      <c r="F4961">
        <v>0</v>
      </c>
      <c r="G4961">
        <v>0</v>
      </c>
      <c r="H4961" t="s">
        <v>19447</v>
      </c>
      <c r="I4961" t="s">
        <v>19447</v>
      </c>
      <c r="J4961">
        <v>14</v>
      </c>
      <c r="L4961" t="s">
        <v>2709</v>
      </c>
      <c r="M4961">
        <v>40070011</v>
      </c>
      <c r="O4961" t="s">
        <v>19926</v>
      </c>
      <c r="P4961" t="s">
        <v>19900</v>
      </c>
      <c r="Q4961" t="s">
        <v>19900</v>
      </c>
      <c r="R4961" t="s">
        <v>19447</v>
      </c>
      <c r="S4961" t="s">
        <v>19447</v>
      </c>
      <c r="T4961" t="s">
        <v>19911</v>
      </c>
    </row>
    <row r="4962" spans="2:20" x14ac:dyDescent="0.25">
      <c r="B4962" t="s">
        <v>2709</v>
      </c>
      <c r="C4962">
        <v>40070019</v>
      </c>
      <c r="E4962">
        <v>177.19</v>
      </c>
      <c r="F4962">
        <v>0</v>
      </c>
      <c r="G4962">
        <v>0</v>
      </c>
      <c r="H4962" t="s">
        <v>19447</v>
      </c>
      <c r="I4962" t="s">
        <v>19447</v>
      </c>
      <c r="J4962">
        <v>14</v>
      </c>
      <c r="L4962" t="s">
        <v>2709</v>
      </c>
      <c r="M4962">
        <v>40070019</v>
      </c>
      <c r="O4962" t="s">
        <v>19926</v>
      </c>
      <c r="P4962" t="s">
        <v>19900</v>
      </c>
      <c r="Q4962" t="s">
        <v>19900</v>
      </c>
      <c r="R4962" t="s">
        <v>19447</v>
      </c>
      <c r="S4962" t="s">
        <v>19447</v>
      </c>
      <c r="T4962" t="s">
        <v>19911</v>
      </c>
    </row>
    <row r="4963" spans="2:20" x14ac:dyDescent="0.25">
      <c r="B4963" t="s">
        <v>2709</v>
      </c>
      <c r="C4963">
        <v>40070020</v>
      </c>
      <c r="E4963">
        <v>177.19</v>
      </c>
      <c r="F4963">
        <v>0</v>
      </c>
      <c r="G4963">
        <v>0</v>
      </c>
      <c r="H4963" t="s">
        <v>19447</v>
      </c>
      <c r="I4963" t="s">
        <v>19447</v>
      </c>
      <c r="J4963">
        <v>14</v>
      </c>
      <c r="L4963" t="s">
        <v>2709</v>
      </c>
      <c r="M4963">
        <v>40070020</v>
      </c>
      <c r="O4963" t="s">
        <v>19926</v>
      </c>
      <c r="P4963" t="s">
        <v>19900</v>
      </c>
      <c r="Q4963" t="s">
        <v>19900</v>
      </c>
      <c r="R4963" t="s">
        <v>19447</v>
      </c>
      <c r="S4963" t="s">
        <v>19447</v>
      </c>
      <c r="T4963" t="s">
        <v>19911</v>
      </c>
    </row>
    <row r="4964" spans="2:20" x14ac:dyDescent="0.25">
      <c r="B4964" t="s">
        <v>2709</v>
      </c>
      <c r="C4964">
        <v>40081100</v>
      </c>
      <c r="E4964">
        <v>71.78</v>
      </c>
      <c r="F4964">
        <v>0</v>
      </c>
      <c r="G4964">
        <v>10</v>
      </c>
      <c r="H4964" t="s">
        <v>19447</v>
      </c>
      <c r="I4964" t="s">
        <v>19447</v>
      </c>
      <c r="J4964">
        <v>14</v>
      </c>
      <c r="L4964" t="s">
        <v>2709</v>
      </c>
      <c r="M4964">
        <v>40081100</v>
      </c>
      <c r="O4964" t="s">
        <v>20056</v>
      </c>
      <c r="P4964" t="s">
        <v>19900</v>
      </c>
      <c r="Q4964" t="s">
        <v>19904</v>
      </c>
      <c r="R4964" t="s">
        <v>19447</v>
      </c>
      <c r="S4964" t="s">
        <v>19447</v>
      </c>
      <c r="T4964" t="s">
        <v>19911</v>
      </c>
    </row>
    <row r="4965" spans="2:20" x14ac:dyDescent="0.25">
      <c r="B4965" t="s">
        <v>2709</v>
      </c>
      <c r="C4965">
        <v>40081900</v>
      </c>
      <c r="E4965">
        <v>177.19</v>
      </c>
      <c r="F4965">
        <v>0</v>
      </c>
      <c r="G4965">
        <v>10</v>
      </c>
      <c r="H4965" t="s">
        <v>19447</v>
      </c>
      <c r="I4965" t="s">
        <v>19447</v>
      </c>
      <c r="J4965">
        <v>14</v>
      </c>
      <c r="L4965" t="s">
        <v>2709</v>
      </c>
      <c r="M4965">
        <v>40081900</v>
      </c>
      <c r="O4965" t="s">
        <v>19926</v>
      </c>
      <c r="P4965" t="s">
        <v>19900</v>
      </c>
      <c r="Q4965" t="s">
        <v>19904</v>
      </c>
      <c r="R4965" t="s">
        <v>19447</v>
      </c>
      <c r="S4965" t="s">
        <v>19447</v>
      </c>
      <c r="T4965" t="s">
        <v>19911</v>
      </c>
    </row>
    <row r="4966" spans="2:20" x14ac:dyDescent="0.25">
      <c r="B4966" t="s">
        <v>2709</v>
      </c>
      <c r="C4966">
        <v>40082100</v>
      </c>
      <c r="E4966">
        <v>177.19</v>
      </c>
      <c r="F4966">
        <v>0</v>
      </c>
      <c r="G4966">
        <v>10</v>
      </c>
      <c r="H4966" t="s">
        <v>19447</v>
      </c>
      <c r="I4966" t="s">
        <v>19447</v>
      </c>
      <c r="J4966">
        <v>14</v>
      </c>
      <c r="L4966" t="s">
        <v>2709</v>
      </c>
      <c r="M4966">
        <v>40082100</v>
      </c>
      <c r="O4966" t="s">
        <v>19926</v>
      </c>
      <c r="P4966" t="s">
        <v>19900</v>
      </c>
      <c r="Q4966" t="s">
        <v>19904</v>
      </c>
      <c r="R4966" t="s">
        <v>19447</v>
      </c>
      <c r="S4966" t="s">
        <v>19447</v>
      </c>
      <c r="T4966" t="s">
        <v>19911</v>
      </c>
    </row>
    <row r="4967" spans="2:20" x14ac:dyDescent="0.25">
      <c r="B4967" t="s">
        <v>2709</v>
      </c>
      <c r="C4967">
        <v>40082100</v>
      </c>
      <c r="D4967">
        <v>1</v>
      </c>
      <c r="E4967" t="s">
        <v>19447</v>
      </c>
      <c r="F4967">
        <v>18</v>
      </c>
      <c r="G4967">
        <v>5</v>
      </c>
      <c r="H4967">
        <v>7.6</v>
      </c>
      <c r="I4967">
        <v>1.65</v>
      </c>
      <c r="J4967">
        <v>14</v>
      </c>
      <c r="L4967" t="s">
        <v>2709</v>
      </c>
      <c r="M4967">
        <v>40082100</v>
      </c>
      <c r="N4967">
        <v>1</v>
      </c>
      <c r="O4967" t="s">
        <v>19447</v>
      </c>
      <c r="P4967" t="s">
        <v>19899</v>
      </c>
      <c r="Q4967" t="s">
        <v>19909</v>
      </c>
      <c r="R4967" t="s">
        <v>19905</v>
      </c>
      <c r="S4967" t="s">
        <v>19906</v>
      </c>
      <c r="T4967" t="s">
        <v>19911</v>
      </c>
    </row>
    <row r="4968" spans="2:20" x14ac:dyDescent="0.25">
      <c r="B4968" t="s">
        <v>2709</v>
      </c>
      <c r="C4968">
        <v>40082900</v>
      </c>
      <c r="E4968">
        <v>177.19</v>
      </c>
      <c r="F4968">
        <v>0</v>
      </c>
      <c r="G4968">
        <v>10</v>
      </c>
      <c r="H4968" t="s">
        <v>19447</v>
      </c>
      <c r="I4968" t="s">
        <v>19447</v>
      </c>
      <c r="J4968">
        <v>14</v>
      </c>
      <c r="L4968" t="s">
        <v>2709</v>
      </c>
      <c r="M4968">
        <v>40082900</v>
      </c>
      <c r="O4968" t="s">
        <v>19926</v>
      </c>
      <c r="P4968" t="s">
        <v>19900</v>
      </c>
      <c r="Q4968" t="s">
        <v>19904</v>
      </c>
      <c r="R4968" t="s">
        <v>19447</v>
      </c>
      <c r="S4968" t="s">
        <v>19447</v>
      </c>
      <c r="T4968" t="s">
        <v>19911</v>
      </c>
    </row>
    <row r="4969" spans="2:20" x14ac:dyDescent="0.25">
      <c r="B4969" t="s">
        <v>2709</v>
      </c>
      <c r="C4969">
        <v>40091100</v>
      </c>
      <c r="E4969">
        <v>71.78</v>
      </c>
      <c r="F4969">
        <v>0</v>
      </c>
      <c r="G4969">
        <v>10</v>
      </c>
      <c r="H4969">
        <v>10.8</v>
      </c>
      <c r="I4969">
        <v>2.2999999999999998</v>
      </c>
      <c r="J4969">
        <v>14</v>
      </c>
      <c r="L4969" t="s">
        <v>2709</v>
      </c>
      <c r="M4969">
        <v>40091100</v>
      </c>
      <c r="O4969" t="s">
        <v>20056</v>
      </c>
      <c r="P4969" t="s">
        <v>19900</v>
      </c>
      <c r="Q4969" t="s">
        <v>19904</v>
      </c>
      <c r="R4969" t="s">
        <v>20074</v>
      </c>
      <c r="S4969" t="s">
        <v>20075</v>
      </c>
      <c r="T4969" t="s">
        <v>19911</v>
      </c>
    </row>
    <row r="4970" spans="2:20" x14ac:dyDescent="0.25">
      <c r="B4970" t="s">
        <v>2709</v>
      </c>
      <c r="C4970">
        <v>40091210</v>
      </c>
      <c r="E4970">
        <v>71.78</v>
      </c>
      <c r="F4970">
        <v>0</v>
      </c>
      <c r="G4970">
        <v>10</v>
      </c>
      <c r="H4970">
        <v>10.8</v>
      </c>
      <c r="I4970">
        <v>2.2999999999999998</v>
      </c>
      <c r="J4970">
        <v>14</v>
      </c>
      <c r="L4970" t="s">
        <v>2709</v>
      </c>
      <c r="M4970">
        <v>40091210</v>
      </c>
      <c r="O4970" t="s">
        <v>20056</v>
      </c>
      <c r="P4970" t="s">
        <v>19900</v>
      </c>
      <c r="Q4970" t="s">
        <v>19904</v>
      </c>
      <c r="R4970" t="s">
        <v>20074</v>
      </c>
      <c r="S4970" t="s">
        <v>20075</v>
      </c>
      <c r="T4970" t="s">
        <v>19911</v>
      </c>
    </row>
    <row r="4971" spans="2:20" x14ac:dyDescent="0.25">
      <c r="B4971" t="s">
        <v>2709</v>
      </c>
      <c r="C4971">
        <v>40091290</v>
      </c>
      <c r="E4971">
        <v>71.78</v>
      </c>
      <c r="F4971">
        <v>0</v>
      </c>
      <c r="G4971">
        <v>10</v>
      </c>
      <c r="H4971">
        <v>10.8</v>
      </c>
      <c r="I4971">
        <v>2.2999999999999998</v>
      </c>
      <c r="J4971">
        <v>14</v>
      </c>
      <c r="L4971" t="s">
        <v>2709</v>
      </c>
      <c r="M4971">
        <v>40091290</v>
      </c>
      <c r="O4971" t="s">
        <v>20056</v>
      </c>
      <c r="P4971" t="s">
        <v>19900</v>
      </c>
      <c r="Q4971" t="s">
        <v>19904</v>
      </c>
      <c r="R4971" t="s">
        <v>20074</v>
      </c>
      <c r="S4971" t="s">
        <v>20075</v>
      </c>
      <c r="T4971" t="s">
        <v>19911</v>
      </c>
    </row>
    <row r="4972" spans="2:20" x14ac:dyDescent="0.25">
      <c r="B4972" t="s">
        <v>2709</v>
      </c>
      <c r="C4972">
        <v>40092110</v>
      </c>
      <c r="E4972">
        <v>71.78</v>
      </c>
      <c r="F4972">
        <v>0</v>
      </c>
      <c r="G4972">
        <v>10</v>
      </c>
      <c r="H4972">
        <v>10.8</v>
      </c>
      <c r="I4972">
        <v>2.2999999999999998</v>
      </c>
      <c r="J4972">
        <v>14</v>
      </c>
      <c r="L4972" t="s">
        <v>2709</v>
      </c>
      <c r="M4972">
        <v>40092110</v>
      </c>
      <c r="O4972" t="s">
        <v>20056</v>
      </c>
      <c r="P4972" t="s">
        <v>19900</v>
      </c>
      <c r="Q4972" t="s">
        <v>19904</v>
      </c>
      <c r="R4972" t="s">
        <v>20074</v>
      </c>
      <c r="S4972" t="s">
        <v>20075</v>
      </c>
      <c r="T4972" t="s">
        <v>19911</v>
      </c>
    </row>
    <row r="4973" spans="2:20" x14ac:dyDescent="0.25">
      <c r="B4973" t="s">
        <v>2709</v>
      </c>
      <c r="C4973">
        <v>40092190</v>
      </c>
      <c r="E4973">
        <v>71.78</v>
      </c>
      <c r="F4973">
        <v>0</v>
      </c>
      <c r="G4973">
        <v>10</v>
      </c>
      <c r="H4973">
        <v>10.8</v>
      </c>
      <c r="I4973">
        <v>2.2999999999999998</v>
      </c>
      <c r="J4973">
        <v>14</v>
      </c>
      <c r="L4973" t="s">
        <v>2709</v>
      </c>
      <c r="M4973">
        <v>40092190</v>
      </c>
      <c r="O4973" t="s">
        <v>20056</v>
      </c>
      <c r="P4973" t="s">
        <v>19900</v>
      </c>
      <c r="Q4973" t="s">
        <v>19904</v>
      </c>
      <c r="R4973" t="s">
        <v>20074</v>
      </c>
      <c r="S4973" t="s">
        <v>20075</v>
      </c>
      <c r="T4973" t="s">
        <v>19911</v>
      </c>
    </row>
    <row r="4974" spans="2:20" x14ac:dyDescent="0.25">
      <c r="B4974" t="s">
        <v>2709</v>
      </c>
      <c r="C4974">
        <v>40092210</v>
      </c>
      <c r="E4974">
        <v>71.78</v>
      </c>
      <c r="F4974">
        <v>0</v>
      </c>
      <c r="G4974">
        <v>10</v>
      </c>
      <c r="H4974">
        <v>10.8</v>
      </c>
      <c r="I4974">
        <v>2.2999999999999998</v>
      </c>
      <c r="J4974">
        <v>14</v>
      </c>
      <c r="L4974" t="s">
        <v>2709</v>
      </c>
      <c r="M4974">
        <v>40092210</v>
      </c>
      <c r="O4974" t="s">
        <v>20056</v>
      </c>
      <c r="P4974" t="s">
        <v>19900</v>
      </c>
      <c r="Q4974" t="s">
        <v>19904</v>
      </c>
      <c r="R4974" t="s">
        <v>20074</v>
      </c>
      <c r="S4974" t="s">
        <v>20075</v>
      </c>
      <c r="T4974" t="s">
        <v>19911</v>
      </c>
    </row>
    <row r="4975" spans="2:20" x14ac:dyDescent="0.25">
      <c r="B4975" t="s">
        <v>2709</v>
      </c>
      <c r="C4975">
        <v>40092290</v>
      </c>
      <c r="E4975">
        <v>71.78</v>
      </c>
      <c r="F4975">
        <v>0</v>
      </c>
      <c r="G4975">
        <v>10</v>
      </c>
      <c r="H4975">
        <v>10.8</v>
      </c>
      <c r="I4975">
        <v>2.2999999999999998</v>
      </c>
      <c r="J4975">
        <v>14</v>
      </c>
      <c r="L4975" t="s">
        <v>2709</v>
      </c>
      <c r="M4975">
        <v>40092290</v>
      </c>
      <c r="O4975" t="s">
        <v>20056</v>
      </c>
      <c r="P4975" t="s">
        <v>19900</v>
      </c>
      <c r="Q4975" t="s">
        <v>19904</v>
      </c>
      <c r="R4975" t="s">
        <v>20074</v>
      </c>
      <c r="S4975" t="s">
        <v>20075</v>
      </c>
      <c r="T4975" t="s">
        <v>19911</v>
      </c>
    </row>
    <row r="4976" spans="2:20" x14ac:dyDescent="0.25">
      <c r="B4976" t="s">
        <v>2709</v>
      </c>
      <c r="C4976">
        <v>40093100</v>
      </c>
      <c r="E4976">
        <v>71.78</v>
      </c>
      <c r="F4976">
        <v>0</v>
      </c>
      <c r="G4976">
        <v>10</v>
      </c>
      <c r="H4976">
        <v>10.8</v>
      </c>
      <c r="I4976">
        <v>2.2999999999999998</v>
      </c>
      <c r="J4976">
        <v>14</v>
      </c>
      <c r="L4976" t="s">
        <v>2709</v>
      </c>
      <c r="M4976">
        <v>40093100</v>
      </c>
      <c r="O4976" t="s">
        <v>20056</v>
      </c>
      <c r="P4976" t="s">
        <v>19900</v>
      </c>
      <c r="Q4976" t="s">
        <v>19904</v>
      </c>
      <c r="R4976" t="s">
        <v>20074</v>
      </c>
      <c r="S4976" t="s">
        <v>20075</v>
      </c>
      <c r="T4976" t="s">
        <v>19911</v>
      </c>
    </row>
    <row r="4977" spans="2:20" x14ac:dyDescent="0.25">
      <c r="B4977" t="s">
        <v>2709</v>
      </c>
      <c r="C4977">
        <v>40093210</v>
      </c>
      <c r="E4977">
        <v>71.78</v>
      </c>
      <c r="F4977">
        <v>0</v>
      </c>
      <c r="G4977">
        <v>10</v>
      </c>
      <c r="H4977">
        <v>10.8</v>
      </c>
      <c r="I4977">
        <v>2.2999999999999998</v>
      </c>
      <c r="J4977">
        <v>14</v>
      </c>
      <c r="L4977" t="s">
        <v>2709</v>
      </c>
      <c r="M4977">
        <v>40093210</v>
      </c>
      <c r="O4977" t="s">
        <v>20056</v>
      </c>
      <c r="P4977" t="s">
        <v>19900</v>
      </c>
      <c r="Q4977" t="s">
        <v>19904</v>
      </c>
      <c r="R4977" t="s">
        <v>20074</v>
      </c>
      <c r="S4977" t="s">
        <v>20075</v>
      </c>
      <c r="T4977" t="s">
        <v>19911</v>
      </c>
    </row>
    <row r="4978" spans="2:20" x14ac:dyDescent="0.25">
      <c r="B4978" t="s">
        <v>2709</v>
      </c>
      <c r="C4978">
        <v>40093290</v>
      </c>
      <c r="E4978">
        <v>71.78</v>
      </c>
      <c r="F4978">
        <v>0</v>
      </c>
      <c r="G4978">
        <v>10</v>
      </c>
      <c r="H4978">
        <v>10.8</v>
      </c>
      <c r="I4978">
        <v>2.2999999999999998</v>
      </c>
      <c r="J4978">
        <v>14</v>
      </c>
      <c r="L4978" t="s">
        <v>2709</v>
      </c>
      <c r="M4978">
        <v>40093290</v>
      </c>
      <c r="O4978" t="s">
        <v>20056</v>
      </c>
      <c r="P4978" t="s">
        <v>19900</v>
      </c>
      <c r="Q4978" t="s">
        <v>19904</v>
      </c>
      <c r="R4978" t="s">
        <v>20074</v>
      </c>
      <c r="S4978" t="s">
        <v>20075</v>
      </c>
      <c r="T4978" t="s">
        <v>19911</v>
      </c>
    </row>
    <row r="4979" spans="2:20" x14ac:dyDescent="0.25">
      <c r="B4979" t="s">
        <v>2709</v>
      </c>
      <c r="C4979">
        <v>40094100</v>
      </c>
      <c r="E4979">
        <v>71.78</v>
      </c>
      <c r="F4979">
        <v>0</v>
      </c>
      <c r="G4979">
        <v>10</v>
      </c>
      <c r="H4979">
        <v>10.8</v>
      </c>
      <c r="I4979">
        <v>2.2999999999999998</v>
      </c>
      <c r="J4979">
        <v>14</v>
      </c>
      <c r="L4979" t="s">
        <v>2709</v>
      </c>
      <c r="M4979">
        <v>40094100</v>
      </c>
      <c r="O4979" t="s">
        <v>20056</v>
      </c>
      <c r="P4979" t="s">
        <v>19900</v>
      </c>
      <c r="Q4979" t="s">
        <v>19904</v>
      </c>
      <c r="R4979" t="s">
        <v>20074</v>
      </c>
      <c r="S4979" t="s">
        <v>20075</v>
      </c>
      <c r="T4979" t="s">
        <v>19911</v>
      </c>
    </row>
    <row r="4980" spans="2:20" x14ac:dyDescent="0.25">
      <c r="B4980" t="s">
        <v>2709</v>
      </c>
      <c r="C4980">
        <v>40094210</v>
      </c>
      <c r="E4980">
        <v>71.78</v>
      </c>
      <c r="F4980">
        <v>0</v>
      </c>
      <c r="G4980">
        <v>10</v>
      </c>
      <c r="H4980">
        <v>10.8</v>
      </c>
      <c r="I4980">
        <v>2.2999999999999998</v>
      </c>
      <c r="J4980">
        <v>14</v>
      </c>
      <c r="L4980" t="s">
        <v>2709</v>
      </c>
      <c r="M4980">
        <v>40094210</v>
      </c>
      <c r="O4980" t="s">
        <v>20056</v>
      </c>
      <c r="P4980" t="s">
        <v>19900</v>
      </c>
      <c r="Q4980" t="s">
        <v>19904</v>
      </c>
      <c r="R4980" t="s">
        <v>20074</v>
      </c>
      <c r="S4980" t="s">
        <v>20075</v>
      </c>
      <c r="T4980" t="s">
        <v>19911</v>
      </c>
    </row>
    <row r="4981" spans="2:20" x14ac:dyDescent="0.25">
      <c r="B4981" t="s">
        <v>2709</v>
      </c>
      <c r="C4981">
        <v>40094290</v>
      </c>
      <c r="E4981">
        <v>71.78</v>
      </c>
      <c r="F4981">
        <v>0</v>
      </c>
      <c r="G4981">
        <v>10</v>
      </c>
      <c r="H4981">
        <v>10.8</v>
      </c>
      <c r="I4981">
        <v>2.2999999999999998</v>
      </c>
      <c r="J4981">
        <v>14</v>
      </c>
      <c r="L4981" t="s">
        <v>2709</v>
      </c>
      <c r="M4981">
        <v>40094290</v>
      </c>
      <c r="O4981" t="s">
        <v>20056</v>
      </c>
      <c r="P4981" t="s">
        <v>19900</v>
      </c>
      <c r="Q4981" t="s">
        <v>19904</v>
      </c>
      <c r="R4981" t="s">
        <v>20074</v>
      </c>
      <c r="S4981" t="s">
        <v>20075</v>
      </c>
      <c r="T4981" t="s">
        <v>19911</v>
      </c>
    </row>
    <row r="4982" spans="2:20" x14ac:dyDescent="0.25">
      <c r="B4982" t="s">
        <v>2709</v>
      </c>
      <c r="C4982">
        <v>40101100</v>
      </c>
      <c r="E4982">
        <v>177.19</v>
      </c>
      <c r="F4982">
        <v>0</v>
      </c>
      <c r="G4982">
        <v>10</v>
      </c>
      <c r="H4982" t="s">
        <v>19447</v>
      </c>
      <c r="I4982" t="s">
        <v>19447</v>
      </c>
      <c r="J4982">
        <v>14</v>
      </c>
      <c r="L4982" t="s">
        <v>2709</v>
      </c>
      <c r="M4982">
        <v>40101100</v>
      </c>
      <c r="O4982" t="s">
        <v>19926</v>
      </c>
      <c r="P4982" t="s">
        <v>19900</v>
      </c>
      <c r="Q4982" t="s">
        <v>19904</v>
      </c>
      <c r="R4982" t="s">
        <v>19447</v>
      </c>
      <c r="S4982" t="s">
        <v>19447</v>
      </c>
      <c r="T4982" t="s">
        <v>19911</v>
      </c>
    </row>
    <row r="4983" spans="2:20" x14ac:dyDescent="0.25">
      <c r="B4983" t="s">
        <v>2709</v>
      </c>
      <c r="C4983">
        <v>40101200</v>
      </c>
      <c r="E4983">
        <v>177.19</v>
      </c>
      <c r="F4983">
        <v>0</v>
      </c>
      <c r="G4983">
        <v>10</v>
      </c>
      <c r="H4983" t="s">
        <v>19447</v>
      </c>
      <c r="I4983" t="s">
        <v>19447</v>
      </c>
      <c r="J4983">
        <v>14</v>
      </c>
      <c r="L4983" t="s">
        <v>2709</v>
      </c>
      <c r="M4983">
        <v>40101200</v>
      </c>
      <c r="O4983" t="s">
        <v>19926</v>
      </c>
      <c r="P4983" t="s">
        <v>19900</v>
      </c>
      <c r="Q4983" t="s">
        <v>19904</v>
      </c>
      <c r="R4983" t="s">
        <v>19447</v>
      </c>
      <c r="S4983" t="s">
        <v>19447</v>
      </c>
      <c r="T4983" t="s">
        <v>19911</v>
      </c>
    </row>
    <row r="4984" spans="2:20" x14ac:dyDescent="0.25">
      <c r="B4984" t="s">
        <v>2709</v>
      </c>
      <c r="C4984">
        <v>40101900</v>
      </c>
      <c r="E4984">
        <v>177.19</v>
      </c>
      <c r="F4984">
        <v>0</v>
      </c>
      <c r="G4984">
        <v>10</v>
      </c>
      <c r="H4984" t="s">
        <v>19447</v>
      </c>
      <c r="I4984" t="s">
        <v>19447</v>
      </c>
      <c r="J4984">
        <v>14</v>
      </c>
      <c r="L4984" t="s">
        <v>2709</v>
      </c>
      <c r="M4984">
        <v>40101900</v>
      </c>
      <c r="O4984" t="s">
        <v>19926</v>
      </c>
      <c r="P4984" t="s">
        <v>19900</v>
      </c>
      <c r="Q4984" t="s">
        <v>19904</v>
      </c>
      <c r="R4984" t="s">
        <v>19447</v>
      </c>
      <c r="S4984" t="s">
        <v>19447</v>
      </c>
      <c r="T4984" t="s">
        <v>19911</v>
      </c>
    </row>
    <row r="4985" spans="2:20" x14ac:dyDescent="0.25">
      <c r="B4985" t="s">
        <v>2709</v>
      </c>
      <c r="C4985">
        <v>40103100</v>
      </c>
      <c r="E4985">
        <v>71.78</v>
      </c>
      <c r="F4985">
        <v>0</v>
      </c>
      <c r="G4985">
        <v>10</v>
      </c>
      <c r="H4985" t="s">
        <v>19447</v>
      </c>
      <c r="I4985" t="s">
        <v>19447</v>
      </c>
      <c r="J4985">
        <v>14</v>
      </c>
      <c r="L4985" t="s">
        <v>2709</v>
      </c>
      <c r="M4985">
        <v>40103100</v>
      </c>
      <c r="O4985" t="s">
        <v>20056</v>
      </c>
      <c r="P4985" t="s">
        <v>19900</v>
      </c>
      <c r="Q4985" t="s">
        <v>19904</v>
      </c>
      <c r="R4985" t="s">
        <v>19447</v>
      </c>
      <c r="S4985" t="s">
        <v>19447</v>
      </c>
      <c r="T4985" t="s">
        <v>19911</v>
      </c>
    </row>
    <row r="4986" spans="2:20" x14ac:dyDescent="0.25">
      <c r="B4986" t="s">
        <v>2709</v>
      </c>
      <c r="C4986">
        <v>40103200</v>
      </c>
      <c r="E4986">
        <v>71.78</v>
      </c>
      <c r="F4986">
        <v>0</v>
      </c>
      <c r="G4986">
        <v>10</v>
      </c>
      <c r="H4986" t="s">
        <v>19447</v>
      </c>
      <c r="I4986" t="s">
        <v>19447</v>
      </c>
      <c r="J4986">
        <v>14</v>
      </c>
      <c r="L4986" t="s">
        <v>2709</v>
      </c>
      <c r="M4986">
        <v>40103200</v>
      </c>
      <c r="O4986" t="s">
        <v>20056</v>
      </c>
      <c r="P4986" t="s">
        <v>19900</v>
      </c>
      <c r="Q4986" t="s">
        <v>19904</v>
      </c>
      <c r="R4986" t="s">
        <v>19447</v>
      </c>
      <c r="S4986" t="s">
        <v>19447</v>
      </c>
      <c r="T4986" t="s">
        <v>19911</v>
      </c>
    </row>
    <row r="4987" spans="2:20" x14ac:dyDescent="0.25">
      <c r="B4987" t="s">
        <v>2709</v>
      </c>
      <c r="C4987">
        <v>40103300</v>
      </c>
      <c r="E4987">
        <v>71.78</v>
      </c>
      <c r="F4987">
        <v>0</v>
      </c>
      <c r="G4987">
        <v>10</v>
      </c>
      <c r="H4987" t="s">
        <v>19447</v>
      </c>
      <c r="I4987" t="s">
        <v>19447</v>
      </c>
      <c r="J4987">
        <v>14</v>
      </c>
      <c r="L4987" t="s">
        <v>2709</v>
      </c>
      <c r="M4987">
        <v>40103300</v>
      </c>
      <c r="O4987" t="s">
        <v>20056</v>
      </c>
      <c r="P4987" t="s">
        <v>19900</v>
      </c>
      <c r="Q4987" t="s">
        <v>19904</v>
      </c>
      <c r="R4987" t="s">
        <v>19447</v>
      </c>
      <c r="S4987" t="s">
        <v>19447</v>
      </c>
      <c r="T4987" t="s">
        <v>19911</v>
      </c>
    </row>
    <row r="4988" spans="2:20" x14ac:dyDescent="0.25">
      <c r="B4988" t="s">
        <v>2709</v>
      </c>
      <c r="C4988">
        <v>40103400</v>
      </c>
      <c r="E4988">
        <v>71.78</v>
      </c>
      <c r="F4988">
        <v>0</v>
      </c>
      <c r="G4988">
        <v>10</v>
      </c>
      <c r="H4988" t="s">
        <v>19447</v>
      </c>
      <c r="I4988" t="s">
        <v>19447</v>
      </c>
      <c r="J4988">
        <v>14</v>
      </c>
      <c r="L4988" t="s">
        <v>2709</v>
      </c>
      <c r="M4988">
        <v>40103400</v>
      </c>
      <c r="O4988" t="s">
        <v>20056</v>
      </c>
      <c r="P4988" t="s">
        <v>19900</v>
      </c>
      <c r="Q4988" t="s">
        <v>19904</v>
      </c>
      <c r="R4988" t="s">
        <v>19447</v>
      </c>
      <c r="S4988" t="s">
        <v>19447</v>
      </c>
      <c r="T4988" t="s">
        <v>19911</v>
      </c>
    </row>
    <row r="4989" spans="2:20" x14ac:dyDescent="0.25">
      <c r="B4989" t="s">
        <v>2709</v>
      </c>
      <c r="C4989">
        <v>40103500</v>
      </c>
      <c r="E4989">
        <v>71.78</v>
      </c>
      <c r="F4989">
        <v>0</v>
      </c>
      <c r="G4989">
        <v>10</v>
      </c>
      <c r="H4989" t="s">
        <v>19447</v>
      </c>
      <c r="I4989" t="s">
        <v>19447</v>
      </c>
      <c r="J4989">
        <v>14</v>
      </c>
      <c r="L4989" t="s">
        <v>2709</v>
      </c>
      <c r="M4989">
        <v>40103500</v>
      </c>
      <c r="O4989" t="s">
        <v>20056</v>
      </c>
      <c r="P4989" t="s">
        <v>19900</v>
      </c>
      <c r="Q4989" t="s">
        <v>19904</v>
      </c>
      <c r="R4989" t="s">
        <v>19447</v>
      </c>
      <c r="S4989" t="s">
        <v>19447</v>
      </c>
      <c r="T4989" t="s">
        <v>19911</v>
      </c>
    </row>
    <row r="4990" spans="2:20" x14ac:dyDescent="0.25">
      <c r="B4990" t="s">
        <v>2709</v>
      </c>
      <c r="C4990">
        <v>40103600</v>
      </c>
      <c r="E4990">
        <v>71.78</v>
      </c>
      <c r="F4990">
        <v>0</v>
      </c>
      <c r="G4990">
        <v>10</v>
      </c>
      <c r="H4990" t="s">
        <v>19447</v>
      </c>
      <c r="I4990" t="s">
        <v>19447</v>
      </c>
      <c r="J4990">
        <v>14</v>
      </c>
      <c r="L4990" t="s">
        <v>2709</v>
      </c>
      <c r="M4990">
        <v>40103600</v>
      </c>
      <c r="O4990" t="s">
        <v>20056</v>
      </c>
      <c r="P4990" t="s">
        <v>19900</v>
      </c>
      <c r="Q4990" t="s">
        <v>19904</v>
      </c>
      <c r="R4990" t="s">
        <v>19447</v>
      </c>
      <c r="S4990" t="s">
        <v>19447</v>
      </c>
      <c r="T4990" t="s">
        <v>19911</v>
      </c>
    </row>
    <row r="4991" spans="2:20" x14ac:dyDescent="0.25">
      <c r="B4991" t="s">
        <v>2709</v>
      </c>
      <c r="C4991">
        <v>40103900</v>
      </c>
      <c r="E4991">
        <v>71.78</v>
      </c>
      <c r="F4991">
        <v>0</v>
      </c>
      <c r="G4991">
        <v>10</v>
      </c>
      <c r="H4991" t="s">
        <v>19447</v>
      </c>
      <c r="I4991" t="s">
        <v>19447</v>
      </c>
      <c r="J4991">
        <v>14</v>
      </c>
      <c r="L4991" t="s">
        <v>2709</v>
      </c>
      <c r="M4991">
        <v>40103900</v>
      </c>
      <c r="O4991" t="s">
        <v>20056</v>
      </c>
      <c r="P4991" t="s">
        <v>19900</v>
      </c>
      <c r="Q4991" t="s">
        <v>19904</v>
      </c>
      <c r="R4991" t="s">
        <v>19447</v>
      </c>
      <c r="S4991" t="s">
        <v>19447</v>
      </c>
      <c r="T4991" t="s">
        <v>19911</v>
      </c>
    </row>
    <row r="4992" spans="2:20" x14ac:dyDescent="0.25">
      <c r="B4992" t="s">
        <v>2709</v>
      </c>
      <c r="C4992">
        <v>40111000</v>
      </c>
      <c r="E4992">
        <v>65.23</v>
      </c>
      <c r="F4992">
        <v>0</v>
      </c>
      <c r="G4992">
        <v>15</v>
      </c>
      <c r="H4992">
        <v>9.5</v>
      </c>
      <c r="I4992">
        <v>2</v>
      </c>
      <c r="J4992">
        <v>16</v>
      </c>
      <c r="L4992" t="s">
        <v>2709</v>
      </c>
      <c r="M4992">
        <v>40111000</v>
      </c>
      <c r="O4992" t="s">
        <v>20076</v>
      </c>
      <c r="P4992" t="s">
        <v>19900</v>
      </c>
      <c r="Q4992" t="s">
        <v>19983</v>
      </c>
      <c r="R4992" t="s">
        <v>20077</v>
      </c>
      <c r="S4992" t="s">
        <v>19901</v>
      </c>
      <c r="T4992" t="s">
        <v>19913</v>
      </c>
    </row>
    <row r="4993" spans="2:20" x14ac:dyDescent="0.25">
      <c r="B4993" t="s">
        <v>2709</v>
      </c>
      <c r="C4993">
        <v>40112010</v>
      </c>
      <c r="E4993">
        <v>65.23</v>
      </c>
      <c r="F4993">
        <v>0</v>
      </c>
      <c r="G4993">
        <v>2</v>
      </c>
      <c r="H4993">
        <v>9.5</v>
      </c>
      <c r="I4993">
        <v>2</v>
      </c>
      <c r="J4993">
        <v>16</v>
      </c>
      <c r="L4993" t="s">
        <v>2709</v>
      </c>
      <c r="M4993">
        <v>40112010</v>
      </c>
      <c r="O4993" t="s">
        <v>20076</v>
      </c>
      <c r="P4993" t="s">
        <v>19900</v>
      </c>
      <c r="Q4993" t="s">
        <v>19901</v>
      </c>
      <c r="R4993" t="s">
        <v>20077</v>
      </c>
      <c r="S4993" t="s">
        <v>19901</v>
      </c>
      <c r="T4993" t="s">
        <v>19913</v>
      </c>
    </row>
    <row r="4994" spans="2:20" x14ac:dyDescent="0.25">
      <c r="B4994" t="s">
        <v>2709</v>
      </c>
      <c r="C4994">
        <v>40112090</v>
      </c>
      <c r="E4994">
        <v>65.23</v>
      </c>
      <c r="F4994">
        <v>0</v>
      </c>
      <c r="G4994">
        <v>2</v>
      </c>
      <c r="H4994">
        <v>9.5</v>
      </c>
      <c r="I4994">
        <v>2</v>
      </c>
      <c r="J4994">
        <v>16</v>
      </c>
      <c r="L4994" t="s">
        <v>2709</v>
      </c>
      <c r="M4994">
        <v>40112090</v>
      </c>
      <c r="O4994" t="s">
        <v>20076</v>
      </c>
      <c r="P4994" t="s">
        <v>19900</v>
      </c>
      <c r="Q4994" t="s">
        <v>19901</v>
      </c>
      <c r="R4994" t="s">
        <v>20077</v>
      </c>
      <c r="S4994" t="s">
        <v>19901</v>
      </c>
      <c r="T4994" t="s">
        <v>19913</v>
      </c>
    </row>
    <row r="4995" spans="2:20" x14ac:dyDescent="0.25">
      <c r="B4995" t="s">
        <v>2709</v>
      </c>
      <c r="C4995">
        <v>40113000</v>
      </c>
      <c r="E4995">
        <v>65.23</v>
      </c>
      <c r="F4995">
        <v>0</v>
      </c>
      <c r="G4995">
        <v>0</v>
      </c>
      <c r="H4995">
        <v>9.5</v>
      </c>
      <c r="I4995">
        <v>2</v>
      </c>
      <c r="J4995">
        <v>0</v>
      </c>
      <c r="L4995" t="s">
        <v>2709</v>
      </c>
      <c r="M4995">
        <v>40113000</v>
      </c>
      <c r="O4995" t="s">
        <v>20076</v>
      </c>
      <c r="P4995" t="s">
        <v>19900</v>
      </c>
      <c r="Q4995" t="s">
        <v>19900</v>
      </c>
      <c r="R4995" t="s">
        <v>20077</v>
      </c>
      <c r="S4995" t="s">
        <v>19901</v>
      </c>
      <c r="T4995" t="s">
        <v>19900</v>
      </c>
    </row>
    <row r="4996" spans="2:20" x14ac:dyDescent="0.25">
      <c r="B4996" t="s">
        <v>2709</v>
      </c>
      <c r="C4996">
        <v>40114000</v>
      </c>
      <c r="E4996">
        <v>65.23</v>
      </c>
      <c r="F4996">
        <v>0</v>
      </c>
      <c r="G4996">
        <v>15</v>
      </c>
      <c r="H4996">
        <v>9.5</v>
      </c>
      <c r="I4996">
        <v>2</v>
      </c>
      <c r="J4996">
        <v>16</v>
      </c>
      <c r="L4996" t="s">
        <v>2709</v>
      </c>
      <c r="M4996">
        <v>40114000</v>
      </c>
      <c r="O4996" t="s">
        <v>20076</v>
      </c>
      <c r="P4996" t="s">
        <v>19900</v>
      </c>
      <c r="Q4996" t="s">
        <v>19983</v>
      </c>
      <c r="R4996" t="s">
        <v>20077</v>
      </c>
      <c r="S4996" t="s">
        <v>19901</v>
      </c>
      <c r="T4996" t="s">
        <v>19913</v>
      </c>
    </row>
    <row r="4997" spans="2:20" x14ac:dyDescent="0.25">
      <c r="B4997" t="s">
        <v>2709</v>
      </c>
      <c r="C4997">
        <v>40115000</v>
      </c>
      <c r="E4997">
        <v>105</v>
      </c>
      <c r="F4997">
        <v>0</v>
      </c>
      <c r="G4997">
        <v>15</v>
      </c>
      <c r="H4997">
        <v>9.5</v>
      </c>
      <c r="I4997">
        <v>2</v>
      </c>
      <c r="J4997">
        <v>16</v>
      </c>
      <c r="L4997" t="s">
        <v>2709</v>
      </c>
      <c r="M4997">
        <v>40115000</v>
      </c>
      <c r="O4997" t="s">
        <v>20078</v>
      </c>
      <c r="P4997" t="s">
        <v>19900</v>
      </c>
      <c r="Q4997" t="s">
        <v>19983</v>
      </c>
      <c r="R4997" t="s">
        <v>20077</v>
      </c>
      <c r="S4997" t="s">
        <v>19901</v>
      </c>
      <c r="T4997" t="s">
        <v>19913</v>
      </c>
    </row>
    <row r="4998" spans="2:20" x14ac:dyDescent="0.25">
      <c r="B4998" t="s">
        <v>2709</v>
      </c>
      <c r="C4998">
        <v>40116100</v>
      </c>
      <c r="E4998">
        <v>65.23</v>
      </c>
      <c r="F4998">
        <v>0</v>
      </c>
      <c r="G4998">
        <v>15</v>
      </c>
      <c r="H4998">
        <v>9.5</v>
      </c>
      <c r="I4998">
        <v>2</v>
      </c>
      <c r="J4998">
        <v>16</v>
      </c>
      <c r="L4998" t="s">
        <v>2709</v>
      </c>
      <c r="M4998">
        <v>40116100</v>
      </c>
      <c r="O4998" t="s">
        <v>20076</v>
      </c>
      <c r="P4998" t="s">
        <v>19900</v>
      </c>
      <c r="Q4998" t="s">
        <v>19983</v>
      </c>
      <c r="R4998" t="s">
        <v>20077</v>
      </c>
      <c r="S4998" t="s">
        <v>19901</v>
      </c>
      <c r="T4998" t="s">
        <v>19913</v>
      </c>
    </row>
    <row r="4999" spans="2:20" x14ac:dyDescent="0.25">
      <c r="B4999" t="s">
        <v>2709</v>
      </c>
      <c r="C4999">
        <v>40116100</v>
      </c>
      <c r="D4999">
        <v>1</v>
      </c>
      <c r="E4999" t="s">
        <v>19447</v>
      </c>
      <c r="F4999">
        <v>18</v>
      </c>
      <c r="G4999">
        <v>2</v>
      </c>
      <c r="H4999">
        <v>7.6</v>
      </c>
      <c r="I4999">
        <v>1.65</v>
      </c>
      <c r="J4999">
        <v>16</v>
      </c>
      <c r="L4999" t="s">
        <v>2709</v>
      </c>
      <c r="M4999">
        <v>40116100</v>
      </c>
      <c r="N4999">
        <v>1</v>
      </c>
      <c r="O4999" t="s">
        <v>19447</v>
      </c>
      <c r="P4999" t="s">
        <v>19899</v>
      </c>
      <c r="Q4999" t="s">
        <v>19901</v>
      </c>
      <c r="R4999" t="s">
        <v>19905</v>
      </c>
      <c r="S4999" t="s">
        <v>19906</v>
      </c>
      <c r="T4999" t="s">
        <v>19913</v>
      </c>
    </row>
    <row r="5000" spans="2:20" x14ac:dyDescent="0.25">
      <c r="B5000" t="s">
        <v>2709</v>
      </c>
      <c r="C5000">
        <v>40116200</v>
      </c>
      <c r="E5000">
        <v>65.23</v>
      </c>
      <c r="F5000">
        <v>0</v>
      </c>
      <c r="G5000">
        <v>15</v>
      </c>
      <c r="H5000">
        <v>9.5</v>
      </c>
      <c r="I5000">
        <v>2</v>
      </c>
      <c r="J5000">
        <v>16</v>
      </c>
      <c r="L5000" t="s">
        <v>2709</v>
      </c>
      <c r="M5000">
        <v>40116200</v>
      </c>
      <c r="O5000" t="s">
        <v>20076</v>
      </c>
      <c r="P5000" t="s">
        <v>19900</v>
      </c>
      <c r="Q5000" t="s">
        <v>19983</v>
      </c>
      <c r="R5000" t="s">
        <v>20077</v>
      </c>
      <c r="S5000" t="s">
        <v>19901</v>
      </c>
      <c r="T5000" t="s">
        <v>19913</v>
      </c>
    </row>
    <row r="5001" spans="2:20" x14ac:dyDescent="0.25">
      <c r="B5001" t="s">
        <v>2709</v>
      </c>
      <c r="C5001">
        <v>40116310</v>
      </c>
      <c r="E5001">
        <v>65.23</v>
      </c>
      <c r="F5001">
        <v>0</v>
      </c>
      <c r="G5001">
        <v>15</v>
      </c>
      <c r="H5001">
        <v>9.5</v>
      </c>
      <c r="I5001">
        <v>2</v>
      </c>
      <c r="J5001">
        <v>2</v>
      </c>
      <c r="L5001" t="s">
        <v>2709</v>
      </c>
      <c r="M5001">
        <v>40116310</v>
      </c>
      <c r="O5001" t="s">
        <v>20076</v>
      </c>
      <c r="P5001" t="s">
        <v>19900</v>
      </c>
      <c r="Q5001" t="s">
        <v>19983</v>
      </c>
      <c r="R5001" t="s">
        <v>20077</v>
      </c>
      <c r="S5001" t="s">
        <v>19901</v>
      </c>
      <c r="T5001" t="s">
        <v>19901</v>
      </c>
    </row>
    <row r="5002" spans="2:20" x14ac:dyDescent="0.25">
      <c r="B5002" t="s">
        <v>2709</v>
      </c>
      <c r="C5002">
        <v>40116320</v>
      </c>
      <c r="E5002">
        <v>65.23</v>
      </c>
      <c r="F5002">
        <v>0</v>
      </c>
      <c r="G5002">
        <v>15</v>
      </c>
      <c r="H5002">
        <v>9.5</v>
      </c>
      <c r="I5002">
        <v>2</v>
      </c>
      <c r="J5002">
        <v>2</v>
      </c>
      <c r="L5002" t="s">
        <v>2709</v>
      </c>
      <c r="M5002">
        <v>40116320</v>
      </c>
      <c r="O5002" t="s">
        <v>20076</v>
      </c>
      <c r="P5002" t="s">
        <v>19900</v>
      </c>
      <c r="Q5002" t="s">
        <v>19983</v>
      </c>
      <c r="R5002" t="s">
        <v>20077</v>
      </c>
      <c r="S5002" t="s">
        <v>19901</v>
      </c>
      <c r="T5002" t="s">
        <v>19901</v>
      </c>
    </row>
    <row r="5003" spans="2:20" x14ac:dyDescent="0.25">
      <c r="B5003" t="s">
        <v>2709</v>
      </c>
      <c r="C5003">
        <v>40116390</v>
      </c>
      <c r="E5003">
        <v>65.23</v>
      </c>
      <c r="F5003">
        <v>0</v>
      </c>
      <c r="G5003">
        <v>15</v>
      </c>
      <c r="H5003">
        <v>9.5</v>
      </c>
      <c r="I5003">
        <v>2</v>
      </c>
      <c r="J5003">
        <v>16</v>
      </c>
      <c r="L5003" t="s">
        <v>2709</v>
      </c>
      <c r="M5003">
        <v>40116390</v>
      </c>
      <c r="O5003" t="s">
        <v>20076</v>
      </c>
      <c r="P5003" t="s">
        <v>19900</v>
      </c>
      <c r="Q5003" t="s">
        <v>19983</v>
      </c>
      <c r="R5003" t="s">
        <v>20077</v>
      </c>
      <c r="S5003" t="s">
        <v>19901</v>
      </c>
      <c r="T5003" t="s">
        <v>19913</v>
      </c>
    </row>
    <row r="5004" spans="2:20" x14ac:dyDescent="0.25">
      <c r="B5004" t="s">
        <v>2709</v>
      </c>
      <c r="C5004">
        <v>40116910</v>
      </c>
      <c r="E5004">
        <v>65.23</v>
      </c>
      <c r="F5004">
        <v>0</v>
      </c>
      <c r="G5004">
        <v>15</v>
      </c>
      <c r="H5004">
        <v>9.5</v>
      </c>
      <c r="I5004">
        <v>2</v>
      </c>
      <c r="J5004">
        <v>2</v>
      </c>
      <c r="L5004" t="s">
        <v>2709</v>
      </c>
      <c r="M5004">
        <v>40116910</v>
      </c>
      <c r="O5004" t="s">
        <v>20076</v>
      </c>
      <c r="P5004" t="s">
        <v>19900</v>
      </c>
      <c r="Q5004" t="s">
        <v>19983</v>
      </c>
      <c r="R5004" t="s">
        <v>20077</v>
      </c>
      <c r="S5004" t="s">
        <v>19901</v>
      </c>
      <c r="T5004" t="s">
        <v>19901</v>
      </c>
    </row>
    <row r="5005" spans="2:20" x14ac:dyDescent="0.25">
      <c r="B5005" t="s">
        <v>2709</v>
      </c>
      <c r="C5005">
        <v>40116990</v>
      </c>
      <c r="E5005">
        <v>65.23</v>
      </c>
      <c r="F5005">
        <v>0</v>
      </c>
      <c r="G5005">
        <v>15</v>
      </c>
      <c r="H5005">
        <v>9.5</v>
      </c>
      <c r="I5005">
        <v>2</v>
      </c>
      <c r="J5005">
        <v>16</v>
      </c>
      <c r="L5005" t="s">
        <v>2709</v>
      </c>
      <c r="M5005">
        <v>40116990</v>
      </c>
      <c r="O5005" t="s">
        <v>20076</v>
      </c>
      <c r="P5005" t="s">
        <v>19900</v>
      </c>
      <c r="Q5005" t="s">
        <v>19983</v>
      </c>
      <c r="R5005" t="s">
        <v>20077</v>
      </c>
      <c r="S5005" t="s">
        <v>19901</v>
      </c>
      <c r="T5005" t="s">
        <v>19913</v>
      </c>
    </row>
    <row r="5006" spans="2:20" x14ac:dyDescent="0.25">
      <c r="B5006" t="s">
        <v>2709</v>
      </c>
      <c r="C5006">
        <v>40119210</v>
      </c>
      <c r="E5006">
        <v>65.23</v>
      </c>
      <c r="F5006">
        <v>0</v>
      </c>
      <c r="G5006">
        <v>15</v>
      </c>
      <c r="H5006">
        <v>9.5</v>
      </c>
      <c r="I5006">
        <v>2</v>
      </c>
      <c r="J5006">
        <v>16</v>
      </c>
      <c r="L5006" t="s">
        <v>2709</v>
      </c>
      <c r="M5006">
        <v>40119210</v>
      </c>
      <c r="O5006" t="s">
        <v>20076</v>
      </c>
      <c r="P5006" t="s">
        <v>19900</v>
      </c>
      <c r="Q5006" t="s">
        <v>19983</v>
      </c>
      <c r="R5006" t="s">
        <v>20077</v>
      </c>
      <c r="S5006" t="s">
        <v>19901</v>
      </c>
      <c r="T5006" t="s">
        <v>19913</v>
      </c>
    </row>
    <row r="5007" spans="2:20" x14ac:dyDescent="0.25">
      <c r="B5007" t="s">
        <v>2709</v>
      </c>
      <c r="C5007">
        <v>40119290</v>
      </c>
      <c r="E5007">
        <v>65.23</v>
      </c>
      <c r="F5007">
        <v>0</v>
      </c>
      <c r="G5007">
        <v>15</v>
      </c>
      <c r="H5007">
        <v>9.5</v>
      </c>
      <c r="I5007">
        <v>2</v>
      </c>
      <c r="J5007">
        <v>16</v>
      </c>
      <c r="L5007" t="s">
        <v>2709</v>
      </c>
      <c r="M5007">
        <v>40119290</v>
      </c>
      <c r="O5007" t="s">
        <v>20076</v>
      </c>
      <c r="P5007" t="s">
        <v>19900</v>
      </c>
      <c r="Q5007" t="s">
        <v>19983</v>
      </c>
      <c r="R5007" t="s">
        <v>20077</v>
      </c>
      <c r="S5007" t="s">
        <v>19901</v>
      </c>
      <c r="T5007" t="s">
        <v>19913</v>
      </c>
    </row>
    <row r="5008" spans="2:20" x14ac:dyDescent="0.25">
      <c r="B5008" t="s">
        <v>2709</v>
      </c>
      <c r="C5008">
        <v>40119300</v>
      </c>
      <c r="E5008">
        <v>65.23</v>
      </c>
      <c r="F5008">
        <v>0</v>
      </c>
      <c r="G5008">
        <v>15</v>
      </c>
      <c r="H5008">
        <v>9.5</v>
      </c>
      <c r="I5008">
        <v>2</v>
      </c>
      <c r="J5008">
        <v>16</v>
      </c>
      <c r="L5008" t="s">
        <v>2709</v>
      </c>
      <c r="M5008">
        <v>40119300</v>
      </c>
      <c r="O5008" t="s">
        <v>20076</v>
      </c>
      <c r="P5008" t="s">
        <v>19900</v>
      </c>
      <c r="Q5008" t="s">
        <v>19983</v>
      </c>
      <c r="R5008" t="s">
        <v>20077</v>
      </c>
      <c r="S5008" t="s">
        <v>19901</v>
      </c>
      <c r="T5008" t="s">
        <v>19913</v>
      </c>
    </row>
    <row r="5009" spans="2:20" x14ac:dyDescent="0.25">
      <c r="B5009" t="s">
        <v>2709</v>
      </c>
      <c r="C5009">
        <v>40119410</v>
      </c>
      <c r="E5009">
        <v>65.23</v>
      </c>
      <c r="F5009">
        <v>0</v>
      </c>
      <c r="G5009">
        <v>15</v>
      </c>
      <c r="H5009">
        <v>9.5</v>
      </c>
      <c r="I5009">
        <v>2</v>
      </c>
      <c r="J5009">
        <v>2</v>
      </c>
      <c r="L5009" t="s">
        <v>2709</v>
      </c>
      <c r="M5009">
        <v>40119410</v>
      </c>
      <c r="O5009" t="s">
        <v>20076</v>
      </c>
      <c r="P5009" t="s">
        <v>19900</v>
      </c>
      <c r="Q5009" t="s">
        <v>19983</v>
      </c>
      <c r="R5009" t="s">
        <v>20077</v>
      </c>
      <c r="S5009" t="s">
        <v>19901</v>
      </c>
      <c r="T5009" t="s">
        <v>19901</v>
      </c>
    </row>
    <row r="5010" spans="2:20" x14ac:dyDescent="0.25">
      <c r="B5010" t="s">
        <v>2709</v>
      </c>
      <c r="C5010">
        <v>40119420</v>
      </c>
      <c r="E5010">
        <v>65.23</v>
      </c>
      <c r="F5010">
        <v>0</v>
      </c>
      <c r="G5010">
        <v>15</v>
      </c>
      <c r="H5010">
        <v>9.5</v>
      </c>
      <c r="I5010">
        <v>2</v>
      </c>
      <c r="J5010">
        <v>2</v>
      </c>
      <c r="L5010" t="s">
        <v>2709</v>
      </c>
      <c r="M5010">
        <v>40119420</v>
      </c>
      <c r="O5010" t="s">
        <v>20076</v>
      </c>
      <c r="P5010" t="s">
        <v>19900</v>
      </c>
      <c r="Q5010" t="s">
        <v>19983</v>
      </c>
      <c r="R5010" t="s">
        <v>20077</v>
      </c>
      <c r="S5010" t="s">
        <v>19901</v>
      </c>
      <c r="T5010" t="s">
        <v>19901</v>
      </c>
    </row>
    <row r="5011" spans="2:20" x14ac:dyDescent="0.25">
      <c r="B5011" t="s">
        <v>2709</v>
      </c>
      <c r="C5011">
        <v>40119490</v>
      </c>
      <c r="E5011">
        <v>65.23</v>
      </c>
      <c r="F5011">
        <v>0</v>
      </c>
      <c r="G5011">
        <v>15</v>
      </c>
      <c r="H5011">
        <v>9.5</v>
      </c>
      <c r="I5011">
        <v>2</v>
      </c>
      <c r="J5011">
        <v>16</v>
      </c>
      <c r="L5011" t="s">
        <v>2709</v>
      </c>
      <c r="M5011">
        <v>40119490</v>
      </c>
      <c r="O5011" t="s">
        <v>20076</v>
      </c>
      <c r="P5011" t="s">
        <v>19900</v>
      </c>
      <c r="Q5011" t="s">
        <v>19983</v>
      </c>
      <c r="R5011" t="s">
        <v>20077</v>
      </c>
      <c r="S5011" t="s">
        <v>19901</v>
      </c>
      <c r="T5011" t="s">
        <v>19913</v>
      </c>
    </row>
    <row r="5012" spans="2:20" x14ac:dyDescent="0.25">
      <c r="B5012" t="s">
        <v>2709</v>
      </c>
      <c r="C5012">
        <v>40119910</v>
      </c>
      <c r="E5012">
        <v>65.23</v>
      </c>
      <c r="F5012">
        <v>0</v>
      </c>
      <c r="G5012">
        <v>15</v>
      </c>
      <c r="H5012">
        <v>9.5</v>
      </c>
      <c r="I5012">
        <v>2</v>
      </c>
      <c r="J5012">
        <v>2</v>
      </c>
      <c r="L5012" t="s">
        <v>2709</v>
      </c>
      <c r="M5012">
        <v>40119910</v>
      </c>
      <c r="O5012" t="s">
        <v>20076</v>
      </c>
      <c r="P5012" t="s">
        <v>19900</v>
      </c>
      <c r="Q5012" t="s">
        <v>19983</v>
      </c>
      <c r="R5012" t="s">
        <v>20077</v>
      </c>
      <c r="S5012" t="s">
        <v>19901</v>
      </c>
      <c r="T5012" t="s">
        <v>19901</v>
      </c>
    </row>
    <row r="5013" spans="2:20" x14ac:dyDescent="0.25">
      <c r="B5013" t="s">
        <v>2709</v>
      </c>
      <c r="C5013">
        <v>40119990</v>
      </c>
      <c r="E5013">
        <v>65.23</v>
      </c>
      <c r="F5013">
        <v>0</v>
      </c>
      <c r="G5013">
        <v>15</v>
      </c>
      <c r="H5013">
        <v>9.5</v>
      </c>
      <c r="I5013">
        <v>2</v>
      </c>
      <c r="J5013">
        <v>16</v>
      </c>
      <c r="L5013" t="s">
        <v>2709</v>
      </c>
      <c r="M5013">
        <v>40119990</v>
      </c>
      <c r="O5013" t="s">
        <v>20076</v>
      </c>
      <c r="P5013" t="s">
        <v>19900</v>
      </c>
      <c r="Q5013" t="s">
        <v>19983</v>
      </c>
      <c r="R5013" t="s">
        <v>20077</v>
      </c>
      <c r="S5013" t="s">
        <v>19901</v>
      </c>
      <c r="T5013" t="s">
        <v>19913</v>
      </c>
    </row>
    <row r="5014" spans="2:20" x14ac:dyDescent="0.25">
      <c r="B5014" t="s">
        <v>2709</v>
      </c>
      <c r="C5014">
        <v>40121100</v>
      </c>
      <c r="E5014">
        <v>177.19</v>
      </c>
      <c r="F5014">
        <v>0</v>
      </c>
      <c r="G5014">
        <v>0</v>
      </c>
      <c r="H5014" t="s">
        <v>19447</v>
      </c>
      <c r="I5014" t="s">
        <v>19447</v>
      </c>
      <c r="J5014">
        <v>16</v>
      </c>
      <c r="L5014" t="s">
        <v>2709</v>
      </c>
      <c r="M5014">
        <v>40121100</v>
      </c>
      <c r="O5014" t="s">
        <v>19926</v>
      </c>
      <c r="P5014" t="s">
        <v>19900</v>
      </c>
      <c r="Q5014" t="s">
        <v>19900</v>
      </c>
      <c r="R5014" t="s">
        <v>19447</v>
      </c>
      <c r="S5014" t="s">
        <v>19447</v>
      </c>
      <c r="T5014" t="s">
        <v>19913</v>
      </c>
    </row>
    <row r="5015" spans="2:20" x14ac:dyDescent="0.25">
      <c r="B5015" t="s">
        <v>2709</v>
      </c>
      <c r="C5015">
        <v>40121100</v>
      </c>
      <c r="D5015">
        <v>1</v>
      </c>
      <c r="E5015" t="s">
        <v>19447</v>
      </c>
      <c r="F5015">
        <v>18</v>
      </c>
      <c r="G5015">
        <v>15</v>
      </c>
      <c r="H5015">
        <v>7.6</v>
      </c>
      <c r="I5015">
        <v>1.65</v>
      </c>
      <c r="J5015">
        <v>16</v>
      </c>
      <c r="L5015" t="s">
        <v>2709</v>
      </c>
      <c r="M5015">
        <v>40121100</v>
      </c>
      <c r="N5015">
        <v>1</v>
      </c>
      <c r="O5015" t="s">
        <v>19447</v>
      </c>
      <c r="P5015" t="s">
        <v>19899</v>
      </c>
      <c r="Q5015" t="s">
        <v>19983</v>
      </c>
      <c r="R5015" t="s">
        <v>19905</v>
      </c>
      <c r="S5015" t="s">
        <v>19906</v>
      </c>
      <c r="T5015" t="s">
        <v>19913</v>
      </c>
    </row>
    <row r="5016" spans="2:20" x14ac:dyDescent="0.25">
      <c r="B5016" t="s">
        <v>2709</v>
      </c>
      <c r="C5016">
        <v>40121200</v>
      </c>
      <c r="E5016">
        <v>177.19</v>
      </c>
      <c r="F5016">
        <v>0</v>
      </c>
      <c r="G5016">
        <v>0</v>
      </c>
      <c r="H5016" t="s">
        <v>19447</v>
      </c>
      <c r="I5016" t="s">
        <v>19447</v>
      </c>
      <c r="J5016">
        <v>16</v>
      </c>
      <c r="L5016" t="s">
        <v>2709</v>
      </c>
      <c r="M5016">
        <v>40121200</v>
      </c>
      <c r="O5016" t="s">
        <v>19926</v>
      </c>
      <c r="P5016" t="s">
        <v>19900</v>
      </c>
      <c r="Q5016" t="s">
        <v>19900</v>
      </c>
      <c r="R5016" t="s">
        <v>19447</v>
      </c>
      <c r="S5016" t="s">
        <v>19447</v>
      </c>
      <c r="T5016" t="s">
        <v>19913</v>
      </c>
    </row>
    <row r="5017" spans="2:20" x14ac:dyDescent="0.25">
      <c r="B5017" t="s">
        <v>2709</v>
      </c>
      <c r="C5017">
        <v>40121200</v>
      </c>
      <c r="D5017">
        <v>1</v>
      </c>
      <c r="E5017" t="s">
        <v>19447</v>
      </c>
      <c r="F5017">
        <v>18</v>
      </c>
      <c r="G5017">
        <v>2</v>
      </c>
      <c r="H5017">
        <v>7.6</v>
      </c>
      <c r="I5017">
        <v>1.65</v>
      </c>
      <c r="J5017">
        <v>16</v>
      </c>
      <c r="L5017" t="s">
        <v>2709</v>
      </c>
      <c r="M5017">
        <v>40121200</v>
      </c>
      <c r="N5017">
        <v>1</v>
      </c>
      <c r="O5017" t="s">
        <v>19447</v>
      </c>
      <c r="P5017" t="s">
        <v>19899</v>
      </c>
      <c r="Q5017" t="s">
        <v>19901</v>
      </c>
      <c r="R5017" t="s">
        <v>19905</v>
      </c>
      <c r="S5017" t="s">
        <v>19906</v>
      </c>
      <c r="T5017" t="s">
        <v>19913</v>
      </c>
    </row>
    <row r="5018" spans="2:20" x14ac:dyDescent="0.25">
      <c r="B5018" t="s">
        <v>2709</v>
      </c>
      <c r="C5018">
        <v>40121300</v>
      </c>
      <c r="E5018">
        <v>177.19</v>
      </c>
      <c r="F5018">
        <v>0</v>
      </c>
      <c r="G5018">
        <v>0</v>
      </c>
      <c r="H5018" t="s">
        <v>19447</v>
      </c>
      <c r="I5018" t="s">
        <v>19447</v>
      </c>
      <c r="J5018">
        <v>16</v>
      </c>
      <c r="L5018" t="s">
        <v>2709</v>
      </c>
      <c r="M5018">
        <v>40121300</v>
      </c>
      <c r="O5018" t="s">
        <v>19926</v>
      </c>
      <c r="P5018" t="s">
        <v>19900</v>
      </c>
      <c r="Q5018" t="s">
        <v>19900</v>
      </c>
      <c r="R5018" t="s">
        <v>19447</v>
      </c>
      <c r="S5018" t="s">
        <v>19447</v>
      </c>
      <c r="T5018" t="s">
        <v>19913</v>
      </c>
    </row>
    <row r="5019" spans="2:20" x14ac:dyDescent="0.25">
      <c r="B5019" t="s">
        <v>2709</v>
      </c>
      <c r="C5019">
        <v>40121900</v>
      </c>
      <c r="E5019">
        <v>177.19</v>
      </c>
      <c r="F5019">
        <v>0</v>
      </c>
      <c r="G5019">
        <v>0</v>
      </c>
      <c r="H5019" t="s">
        <v>19447</v>
      </c>
      <c r="I5019" t="s">
        <v>19447</v>
      </c>
      <c r="J5019">
        <v>16</v>
      </c>
      <c r="L5019" t="s">
        <v>2709</v>
      </c>
      <c r="M5019">
        <v>40121900</v>
      </c>
      <c r="O5019" t="s">
        <v>19926</v>
      </c>
      <c r="P5019" t="s">
        <v>19900</v>
      </c>
      <c r="Q5019" t="s">
        <v>19900</v>
      </c>
      <c r="R5019" t="s">
        <v>19447</v>
      </c>
      <c r="S5019" t="s">
        <v>19447</v>
      </c>
      <c r="T5019" t="s">
        <v>19913</v>
      </c>
    </row>
    <row r="5020" spans="2:20" x14ac:dyDescent="0.25">
      <c r="B5020" t="s">
        <v>2709</v>
      </c>
      <c r="C5020">
        <v>40121900</v>
      </c>
      <c r="D5020">
        <v>1</v>
      </c>
      <c r="E5020" t="s">
        <v>19447</v>
      </c>
      <c r="F5020">
        <v>18</v>
      </c>
      <c r="G5020">
        <v>15</v>
      </c>
      <c r="H5020">
        <v>7.6</v>
      </c>
      <c r="I5020">
        <v>1.65</v>
      </c>
      <c r="J5020">
        <v>16</v>
      </c>
      <c r="L5020" t="s">
        <v>2709</v>
      </c>
      <c r="M5020">
        <v>40121900</v>
      </c>
      <c r="N5020">
        <v>1</v>
      </c>
      <c r="O5020" t="s">
        <v>19447</v>
      </c>
      <c r="P5020" t="s">
        <v>19899</v>
      </c>
      <c r="Q5020" t="s">
        <v>19983</v>
      </c>
      <c r="R5020" t="s">
        <v>19905</v>
      </c>
      <c r="S5020" t="s">
        <v>19906</v>
      </c>
      <c r="T5020" t="s">
        <v>19913</v>
      </c>
    </row>
    <row r="5021" spans="2:20" x14ac:dyDescent="0.25">
      <c r="B5021" t="s">
        <v>2709</v>
      </c>
      <c r="C5021">
        <v>40121900</v>
      </c>
      <c r="D5021">
        <v>2</v>
      </c>
      <c r="E5021" t="s">
        <v>19447</v>
      </c>
      <c r="F5021">
        <v>18</v>
      </c>
      <c r="G5021">
        <v>2</v>
      </c>
      <c r="H5021">
        <v>7.6</v>
      </c>
      <c r="I5021">
        <v>1.65</v>
      </c>
      <c r="J5021">
        <v>16</v>
      </c>
      <c r="L5021" t="s">
        <v>2709</v>
      </c>
      <c r="M5021">
        <v>40121900</v>
      </c>
      <c r="N5021">
        <v>2</v>
      </c>
      <c r="O5021" t="s">
        <v>19447</v>
      </c>
      <c r="P5021" t="s">
        <v>19899</v>
      </c>
      <c r="Q5021" t="s">
        <v>19901</v>
      </c>
      <c r="R5021" t="s">
        <v>19905</v>
      </c>
      <c r="S5021" t="s">
        <v>19906</v>
      </c>
      <c r="T5021" t="s">
        <v>19913</v>
      </c>
    </row>
    <row r="5022" spans="2:20" x14ac:dyDescent="0.25">
      <c r="B5022" t="s">
        <v>2709</v>
      </c>
      <c r="C5022">
        <v>40122000</v>
      </c>
      <c r="E5022">
        <v>177.19</v>
      </c>
      <c r="F5022">
        <v>0</v>
      </c>
      <c r="G5022">
        <v>0</v>
      </c>
      <c r="H5022" t="s">
        <v>19447</v>
      </c>
      <c r="I5022" t="s">
        <v>19447</v>
      </c>
      <c r="J5022">
        <v>16</v>
      </c>
      <c r="L5022" t="s">
        <v>2709</v>
      </c>
      <c r="M5022">
        <v>40122000</v>
      </c>
      <c r="O5022" t="s">
        <v>19926</v>
      </c>
      <c r="P5022" t="s">
        <v>19900</v>
      </c>
      <c r="Q5022" t="s">
        <v>19900</v>
      </c>
      <c r="R5022" t="s">
        <v>19447</v>
      </c>
      <c r="S5022" t="s">
        <v>19447</v>
      </c>
      <c r="T5022" t="s">
        <v>19913</v>
      </c>
    </row>
    <row r="5023" spans="2:20" x14ac:dyDescent="0.25">
      <c r="B5023" t="s">
        <v>2709</v>
      </c>
      <c r="C5023">
        <v>40129010</v>
      </c>
      <c r="E5023">
        <v>51.31</v>
      </c>
      <c r="F5023">
        <v>0</v>
      </c>
      <c r="G5023">
        <v>0</v>
      </c>
      <c r="H5023" t="s">
        <v>19447</v>
      </c>
      <c r="I5023" t="s">
        <v>19447</v>
      </c>
      <c r="J5023">
        <v>16</v>
      </c>
      <c r="L5023" t="s">
        <v>2709</v>
      </c>
      <c r="M5023">
        <v>40129010</v>
      </c>
      <c r="O5023" t="s">
        <v>20079</v>
      </c>
      <c r="P5023" t="s">
        <v>19900</v>
      </c>
      <c r="Q5023" t="s">
        <v>19900</v>
      </c>
      <c r="R5023" t="s">
        <v>19447</v>
      </c>
      <c r="S5023" t="s">
        <v>19447</v>
      </c>
      <c r="T5023" t="s">
        <v>19913</v>
      </c>
    </row>
    <row r="5024" spans="2:20" x14ac:dyDescent="0.25">
      <c r="B5024" t="s">
        <v>2709</v>
      </c>
      <c r="C5024">
        <v>40129090</v>
      </c>
      <c r="E5024">
        <v>51.31</v>
      </c>
      <c r="F5024">
        <v>0</v>
      </c>
      <c r="G5024">
        <v>0</v>
      </c>
      <c r="H5024" t="s">
        <v>19447</v>
      </c>
      <c r="I5024" t="s">
        <v>19447</v>
      </c>
      <c r="J5024">
        <v>16</v>
      </c>
      <c r="L5024" t="s">
        <v>2709</v>
      </c>
      <c r="M5024">
        <v>40129090</v>
      </c>
      <c r="O5024" t="s">
        <v>20079</v>
      </c>
      <c r="P5024" t="s">
        <v>19900</v>
      </c>
      <c r="Q5024" t="s">
        <v>19900</v>
      </c>
      <c r="R5024" t="s">
        <v>19447</v>
      </c>
      <c r="S5024" t="s">
        <v>19447</v>
      </c>
      <c r="T5024" t="s">
        <v>19913</v>
      </c>
    </row>
    <row r="5025" spans="2:20" x14ac:dyDescent="0.25">
      <c r="B5025" t="s">
        <v>2709</v>
      </c>
      <c r="C5025">
        <v>40131010</v>
      </c>
      <c r="E5025">
        <v>51.31</v>
      </c>
      <c r="F5025">
        <v>0</v>
      </c>
      <c r="G5025">
        <v>2</v>
      </c>
      <c r="H5025">
        <v>9.5</v>
      </c>
      <c r="I5025">
        <v>2</v>
      </c>
      <c r="J5025">
        <v>16</v>
      </c>
      <c r="L5025" t="s">
        <v>2709</v>
      </c>
      <c r="M5025">
        <v>40131010</v>
      </c>
      <c r="O5025" t="s">
        <v>20079</v>
      </c>
      <c r="P5025" t="s">
        <v>19900</v>
      </c>
      <c r="Q5025" t="s">
        <v>19901</v>
      </c>
      <c r="R5025" t="s">
        <v>20077</v>
      </c>
      <c r="S5025" t="s">
        <v>19901</v>
      </c>
      <c r="T5025" t="s">
        <v>19913</v>
      </c>
    </row>
    <row r="5026" spans="2:20" x14ac:dyDescent="0.25">
      <c r="B5026" t="s">
        <v>2709</v>
      </c>
      <c r="C5026">
        <v>40131090</v>
      </c>
      <c r="E5026">
        <v>51.31</v>
      </c>
      <c r="F5026">
        <v>0</v>
      </c>
      <c r="G5026">
        <v>15</v>
      </c>
      <c r="H5026">
        <v>9.5</v>
      </c>
      <c r="I5026">
        <v>2</v>
      </c>
      <c r="J5026">
        <v>16</v>
      </c>
      <c r="L5026" t="s">
        <v>2709</v>
      </c>
      <c r="M5026">
        <v>40131090</v>
      </c>
      <c r="O5026" t="s">
        <v>20079</v>
      </c>
      <c r="P5026" t="s">
        <v>19900</v>
      </c>
      <c r="Q5026" t="s">
        <v>19983</v>
      </c>
      <c r="R5026" t="s">
        <v>20077</v>
      </c>
      <c r="S5026" t="s">
        <v>19901</v>
      </c>
      <c r="T5026" t="s">
        <v>19913</v>
      </c>
    </row>
    <row r="5027" spans="2:20" x14ac:dyDescent="0.25">
      <c r="B5027" t="s">
        <v>2709</v>
      </c>
      <c r="C5027">
        <v>40131090</v>
      </c>
      <c r="D5027">
        <v>1</v>
      </c>
      <c r="E5027" t="s">
        <v>19447</v>
      </c>
      <c r="F5027">
        <v>18</v>
      </c>
      <c r="G5027">
        <v>2</v>
      </c>
      <c r="H5027">
        <v>7.6</v>
      </c>
      <c r="I5027">
        <v>1.65</v>
      </c>
      <c r="J5027">
        <v>16</v>
      </c>
      <c r="L5027" t="s">
        <v>2709</v>
      </c>
      <c r="M5027">
        <v>40131090</v>
      </c>
      <c r="N5027">
        <v>1</v>
      </c>
      <c r="O5027" t="s">
        <v>19447</v>
      </c>
      <c r="P5027" t="s">
        <v>19899</v>
      </c>
      <c r="Q5027" t="s">
        <v>19901</v>
      </c>
      <c r="R5027" t="s">
        <v>19905</v>
      </c>
      <c r="S5027" t="s">
        <v>19906</v>
      </c>
      <c r="T5027" t="s">
        <v>19913</v>
      </c>
    </row>
    <row r="5028" spans="2:20" x14ac:dyDescent="0.25">
      <c r="B5028" t="s">
        <v>2709</v>
      </c>
      <c r="C5028">
        <v>40132000</v>
      </c>
      <c r="E5028">
        <v>105</v>
      </c>
      <c r="F5028">
        <v>0</v>
      </c>
      <c r="G5028">
        <v>15</v>
      </c>
      <c r="H5028">
        <v>9.5</v>
      </c>
      <c r="I5028">
        <v>2</v>
      </c>
      <c r="J5028">
        <v>16</v>
      </c>
      <c r="L5028" t="s">
        <v>2709</v>
      </c>
      <c r="M5028">
        <v>40132000</v>
      </c>
      <c r="O5028" t="s">
        <v>20078</v>
      </c>
      <c r="P5028" t="s">
        <v>19900</v>
      </c>
      <c r="Q5028" t="s">
        <v>19983</v>
      </c>
      <c r="R5028" t="s">
        <v>20077</v>
      </c>
      <c r="S5028" t="s">
        <v>19901</v>
      </c>
      <c r="T5028" t="s">
        <v>19913</v>
      </c>
    </row>
    <row r="5029" spans="2:20" x14ac:dyDescent="0.25">
      <c r="B5029" t="s">
        <v>2709</v>
      </c>
      <c r="C5029">
        <v>40139000</v>
      </c>
      <c r="E5029">
        <v>51.31</v>
      </c>
      <c r="F5029">
        <v>0</v>
      </c>
      <c r="G5029">
        <v>15</v>
      </c>
      <c r="H5029">
        <v>9.5</v>
      </c>
      <c r="I5029">
        <v>2</v>
      </c>
      <c r="J5029">
        <v>16</v>
      </c>
      <c r="L5029" t="s">
        <v>2709</v>
      </c>
      <c r="M5029">
        <v>40139000</v>
      </c>
      <c r="O5029" t="s">
        <v>20079</v>
      </c>
      <c r="P5029" t="s">
        <v>19900</v>
      </c>
      <c r="Q5029" t="s">
        <v>19983</v>
      </c>
      <c r="R5029" t="s">
        <v>20077</v>
      </c>
      <c r="S5029" t="s">
        <v>19901</v>
      </c>
      <c r="T5029" t="s">
        <v>19913</v>
      </c>
    </row>
    <row r="5030" spans="2:20" x14ac:dyDescent="0.25">
      <c r="B5030" t="s">
        <v>2709</v>
      </c>
      <c r="C5030">
        <v>40139000</v>
      </c>
      <c r="D5030">
        <v>1</v>
      </c>
      <c r="E5030" t="s">
        <v>19447</v>
      </c>
      <c r="F5030">
        <v>18</v>
      </c>
      <c r="G5030">
        <v>2</v>
      </c>
      <c r="H5030">
        <v>7.6</v>
      </c>
      <c r="I5030">
        <v>1.65</v>
      </c>
      <c r="J5030">
        <v>16</v>
      </c>
      <c r="L5030" t="s">
        <v>2709</v>
      </c>
      <c r="M5030">
        <v>40139000</v>
      </c>
      <c r="N5030">
        <v>1</v>
      </c>
      <c r="O5030" t="s">
        <v>19447</v>
      </c>
      <c r="P5030" t="s">
        <v>19899</v>
      </c>
      <c r="Q5030" t="s">
        <v>19901</v>
      </c>
      <c r="R5030" t="s">
        <v>19905</v>
      </c>
      <c r="S5030" t="s">
        <v>19906</v>
      </c>
      <c r="T5030" t="s">
        <v>19913</v>
      </c>
    </row>
    <row r="5031" spans="2:20" x14ac:dyDescent="0.25">
      <c r="B5031" t="s">
        <v>2709</v>
      </c>
      <c r="C5031">
        <v>40141000</v>
      </c>
      <c r="E5031">
        <v>286.37</v>
      </c>
      <c r="F5031">
        <v>7</v>
      </c>
      <c r="G5031">
        <v>0</v>
      </c>
      <c r="H5031" t="s">
        <v>19447</v>
      </c>
      <c r="I5031" t="s">
        <v>19447</v>
      </c>
      <c r="J5031">
        <v>10</v>
      </c>
      <c r="L5031" t="s">
        <v>2709</v>
      </c>
      <c r="M5031">
        <v>40141000</v>
      </c>
      <c r="O5031" t="s">
        <v>20032</v>
      </c>
      <c r="P5031" t="s">
        <v>19908</v>
      </c>
      <c r="Q5031" t="s">
        <v>19900</v>
      </c>
      <c r="R5031" t="s">
        <v>19447</v>
      </c>
      <c r="S5031" t="s">
        <v>19447</v>
      </c>
      <c r="T5031" t="s">
        <v>19904</v>
      </c>
    </row>
    <row r="5032" spans="2:20" x14ac:dyDescent="0.25">
      <c r="B5032" t="s">
        <v>2709</v>
      </c>
      <c r="C5032">
        <v>40149010</v>
      </c>
      <c r="E5032">
        <v>177.19</v>
      </c>
      <c r="F5032">
        <v>0</v>
      </c>
      <c r="G5032">
        <v>15</v>
      </c>
      <c r="H5032" t="s">
        <v>19447</v>
      </c>
      <c r="I5032" t="s">
        <v>19447</v>
      </c>
      <c r="J5032">
        <v>16</v>
      </c>
      <c r="L5032" t="s">
        <v>2709</v>
      </c>
      <c r="M5032">
        <v>40149010</v>
      </c>
      <c r="O5032" t="s">
        <v>19926</v>
      </c>
      <c r="P5032" t="s">
        <v>19900</v>
      </c>
      <c r="Q5032" t="s">
        <v>19983</v>
      </c>
      <c r="R5032" t="s">
        <v>19447</v>
      </c>
      <c r="S5032" t="s">
        <v>19447</v>
      </c>
      <c r="T5032" t="s">
        <v>19913</v>
      </c>
    </row>
    <row r="5033" spans="2:20" x14ac:dyDescent="0.25">
      <c r="B5033" t="s">
        <v>2709</v>
      </c>
      <c r="C5033">
        <v>40149090</v>
      </c>
      <c r="E5033">
        <v>177.19</v>
      </c>
      <c r="F5033">
        <v>0</v>
      </c>
      <c r="G5033">
        <v>15</v>
      </c>
      <c r="H5033" t="s">
        <v>19447</v>
      </c>
      <c r="I5033" t="s">
        <v>19447</v>
      </c>
      <c r="J5033">
        <v>16</v>
      </c>
      <c r="L5033" t="s">
        <v>2709</v>
      </c>
      <c r="M5033">
        <v>40149090</v>
      </c>
      <c r="O5033" t="s">
        <v>19926</v>
      </c>
      <c r="P5033" t="s">
        <v>19900</v>
      </c>
      <c r="Q5033" t="s">
        <v>19983</v>
      </c>
      <c r="R5033" t="s">
        <v>19447</v>
      </c>
      <c r="S5033" t="s">
        <v>19447</v>
      </c>
      <c r="T5033" t="s">
        <v>19913</v>
      </c>
    </row>
    <row r="5034" spans="2:20" x14ac:dyDescent="0.25">
      <c r="B5034" t="s">
        <v>2709</v>
      </c>
      <c r="C5034">
        <v>40151100</v>
      </c>
      <c r="E5034">
        <v>68.540000000000006</v>
      </c>
      <c r="F5034">
        <v>0</v>
      </c>
      <c r="G5034">
        <v>0</v>
      </c>
      <c r="H5034" t="s">
        <v>19447</v>
      </c>
      <c r="I5034" t="s">
        <v>19447</v>
      </c>
      <c r="J5034">
        <v>16</v>
      </c>
      <c r="L5034" t="s">
        <v>2709</v>
      </c>
      <c r="M5034">
        <v>40151100</v>
      </c>
      <c r="O5034" t="s">
        <v>20080</v>
      </c>
      <c r="P5034" t="s">
        <v>19900</v>
      </c>
      <c r="Q5034" t="s">
        <v>19900</v>
      </c>
      <c r="R5034" t="s">
        <v>19447</v>
      </c>
      <c r="S5034" t="s">
        <v>19447</v>
      </c>
      <c r="T5034" t="s">
        <v>19913</v>
      </c>
    </row>
    <row r="5035" spans="2:20" x14ac:dyDescent="0.25">
      <c r="B5035" t="s">
        <v>2709</v>
      </c>
      <c r="C5035">
        <v>40151900</v>
      </c>
      <c r="E5035">
        <v>68.540000000000006</v>
      </c>
      <c r="F5035">
        <v>0</v>
      </c>
      <c r="G5035">
        <v>15</v>
      </c>
      <c r="H5035" t="s">
        <v>19447</v>
      </c>
      <c r="I5035" t="s">
        <v>19447</v>
      </c>
      <c r="J5035">
        <v>35</v>
      </c>
      <c r="L5035" t="s">
        <v>2709</v>
      </c>
      <c r="M5035">
        <v>40151900</v>
      </c>
      <c r="O5035" t="s">
        <v>20080</v>
      </c>
      <c r="P5035" t="s">
        <v>19900</v>
      </c>
      <c r="Q5035" t="s">
        <v>19983</v>
      </c>
      <c r="R5035" t="s">
        <v>19447</v>
      </c>
      <c r="S5035" t="s">
        <v>19447</v>
      </c>
      <c r="T5035" t="s">
        <v>19919</v>
      </c>
    </row>
    <row r="5036" spans="2:20" x14ac:dyDescent="0.25">
      <c r="B5036" t="s">
        <v>2709</v>
      </c>
      <c r="C5036">
        <v>40151900</v>
      </c>
      <c r="D5036">
        <v>1</v>
      </c>
      <c r="E5036" t="s">
        <v>19447</v>
      </c>
      <c r="F5036">
        <v>18</v>
      </c>
      <c r="G5036">
        <v>0</v>
      </c>
      <c r="H5036">
        <v>7.6</v>
      </c>
      <c r="I5036">
        <v>1.65</v>
      </c>
      <c r="J5036">
        <v>35</v>
      </c>
      <c r="L5036" t="s">
        <v>2709</v>
      </c>
      <c r="M5036">
        <v>40151900</v>
      </c>
      <c r="N5036">
        <v>1</v>
      </c>
      <c r="O5036" t="s">
        <v>19447</v>
      </c>
      <c r="P5036" t="s">
        <v>19899</v>
      </c>
      <c r="Q5036" t="s">
        <v>19900</v>
      </c>
      <c r="R5036" t="s">
        <v>19905</v>
      </c>
      <c r="S5036" t="s">
        <v>19906</v>
      </c>
      <c r="T5036" t="s">
        <v>19919</v>
      </c>
    </row>
    <row r="5037" spans="2:20" x14ac:dyDescent="0.25">
      <c r="B5037" t="s">
        <v>2709</v>
      </c>
      <c r="C5037">
        <v>40159000</v>
      </c>
      <c r="E5037">
        <v>177.19</v>
      </c>
      <c r="F5037">
        <v>0</v>
      </c>
      <c r="G5037">
        <v>15</v>
      </c>
      <c r="H5037" t="s">
        <v>19447</v>
      </c>
      <c r="I5037" t="s">
        <v>19447</v>
      </c>
      <c r="J5037">
        <v>16</v>
      </c>
      <c r="L5037" t="s">
        <v>2709</v>
      </c>
      <c r="M5037">
        <v>40159000</v>
      </c>
      <c r="O5037" t="s">
        <v>19926</v>
      </c>
      <c r="P5037" t="s">
        <v>19900</v>
      </c>
      <c r="Q5037" t="s">
        <v>19983</v>
      </c>
      <c r="R5037" t="s">
        <v>19447</v>
      </c>
      <c r="S5037" t="s">
        <v>19447</v>
      </c>
      <c r="T5037" t="s">
        <v>19913</v>
      </c>
    </row>
    <row r="5038" spans="2:20" x14ac:dyDescent="0.25">
      <c r="B5038" t="s">
        <v>2709</v>
      </c>
      <c r="C5038">
        <v>40159000</v>
      </c>
      <c r="D5038">
        <v>1</v>
      </c>
      <c r="E5038" t="s">
        <v>19447</v>
      </c>
      <c r="F5038">
        <v>18</v>
      </c>
      <c r="G5038">
        <v>0</v>
      </c>
      <c r="H5038">
        <v>7.6</v>
      </c>
      <c r="I5038">
        <v>1.65</v>
      </c>
      <c r="J5038">
        <v>16</v>
      </c>
      <c r="L5038" t="s">
        <v>2709</v>
      </c>
      <c r="M5038">
        <v>40159000</v>
      </c>
      <c r="N5038">
        <v>1</v>
      </c>
      <c r="O5038" t="s">
        <v>19447</v>
      </c>
      <c r="P5038" t="s">
        <v>19899</v>
      </c>
      <c r="Q5038" t="s">
        <v>19900</v>
      </c>
      <c r="R5038" t="s">
        <v>19905</v>
      </c>
      <c r="S5038" t="s">
        <v>19906</v>
      </c>
      <c r="T5038" t="s">
        <v>19913</v>
      </c>
    </row>
    <row r="5039" spans="2:20" x14ac:dyDescent="0.25">
      <c r="B5039" t="s">
        <v>2709</v>
      </c>
      <c r="C5039">
        <v>40161010</v>
      </c>
      <c r="E5039">
        <v>71.78</v>
      </c>
      <c r="F5039">
        <v>0</v>
      </c>
      <c r="G5039">
        <v>18</v>
      </c>
      <c r="H5039">
        <v>10.8</v>
      </c>
      <c r="I5039">
        <v>2.2999999999999998</v>
      </c>
      <c r="J5039">
        <v>16</v>
      </c>
      <c r="L5039" t="s">
        <v>2709</v>
      </c>
      <c r="M5039">
        <v>40161010</v>
      </c>
      <c r="O5039" t="s">
        <v>20056</v>
      </c>
      <c r="P5039" t="s">
        <v>19900</v>
      </c>
      <c r="Q5039" t="s">
        <v>19899</v>
      </c>
      <c r="R5039" t="s">
        <v>20074</v>
      </c>
      <c r="S5039" t="s">
        <v>20075</v>
      </c>
      <c r="T5039" t="s">
        <v>19913</v>
      </c>
    </row>
    <row r="5040" spans="2:20" x14ac:dyDescent="0.25">
      <c r="B5040" t="s">
        <v>2709</v>
      </c>
      <c r="C5040">
        <v>40161090</v>
      </c>
      <c r="E5040">
        <v>177.19</v>
      </c>
      <c r="F5040">
        <v>0</v>
      </c>
      <c r="G5040">
        <v>18</v>
      </c>
      <c r="H5040" t="s">
        <v>19447</v>
      </c>
      <c r="I5040" t="s">
        <v>19447</v>
      </c>
      <c r="J5040">
        <v>16</v>
      </c>
      <c r="L5040" t="s">
        <v>2709</v>
      </c>
      <c r="M5040">
        <v>40161090</v>
      </c>
      <c r="O5040" t="s">
        <v>19926</v>
      </c>
      <c r="P5040" t="s">
        <v>19900</v>
      </c>
      <c r="Q5040" t="s">
        <v>19899</v>
      </c>
      <c r="R5040" t="s">
        <v>19447</v>
      </c>
      <c r="S5040" t="s">
        <v>19447</v>
      </c>
      <c r="T5040" t="s">
        <v>19913</v>
      </c>
    </row>
    <row r="5041" spans="2:20" x14ac:dyDescent="0.25">
      <c r="B5041" t="s">
        <v>2709</v>
      </c>
      <c r="C5041">
        <v>40169100</v>
      </c>
      <c r="E5041">
        <v>101</v>
      </c>
      <c r="F5041">
        <v>0</v>
      </c>
      <c r="G5041">
        <v>10</v>
      </c>
      <c r="H5041" t="s">
        <v>19447</v>
      </c>
      <c r="I5041" t="s">
        <v>19447</v>
      </c>
      <c r="J5041">
        <v>16</v>
      </c>
      <c r="L5041" t="s">
        <v>2709</v>
      </c>
      <c r="M5041">
        <v>40169100</v>
      </c>
      <c r="O5041" t="s">
        <v>20081</v>
      </c>
      <c r="P5041" t="s">
        <v>19900</v>
      </c>
      <c r="Q5041" t="s">
        <v>19904</v>
      </c>
      <c r="R5041" t="s">
        <v>19447</v>
      </c>
      <c r="S5041" t="s">
        <v>19447</v>
      </c>
      <c r="T5041" t="s">
        <v>19913</v>
      </c>
    </row>
    <row r="5042" spans="2:20" x14ac:dyDescent="0.25">
      <c r="B5042" t="s">
        <v>2709</v>
      </c>
      <c r="C5042">
        <v>40169200</v>
      </c>
      <c r="E5042">
        <v>72.180000000000007</v>
      </c>
      <c r="F5042">
        <v>0</v>
      </c>
      <c r="G5042">
        <v>0</v>
      </c>
      <c r="H5042" t="s">
        <v>19447</v>
      </c>
      <c r="I5042" t="s">
        <v>19447</v>
      </c>
      <c r="J5042">
        <v>16</v>
      </c>
      <c r="L5042" t="s">
        <v>2709</v>
      </c>
      <c r="M5042">
        <v>40169200</v>
      </c>
      <c r="O5042" t="s">
        <v>20082</v>
      </c>
      <c r="P5042" t="s">
        <v>19900</v>
      </c>
      <c r="Q5042" t="s">
        <v>19900</v>
      </c>
      <c r="R5042" t="s">
        <v>19447</v>
      </c>
      <c r="S5042" t="s">
        <v>19447</v>
      </c>
      <c r="T5042" t="s">
        <v>19913</v>
      </c>
    </row>
    <row r="5043" spans="2:20" x14ac:dyDescent="0.25">
      <c r="B5043" t="s">
        <v>2709</v>
      </c>
      <c r="C5043">
        <v>40169300</v>
      </c>
      <c r="E5043">
        <v>74</v>
      </c>
      <c r="F5043">
        <v>0</v>
      </c>
      <c r="G5043">
        <v>8</v>
      </c>
      <c r="H5043" t="s">
        <v>19447</v>
      </c>
      <c r="I5043" t="s">
        <v>19447</v>
      </c>
      <c r="J5043">
        <v>16</v>
      </c>
      <c r="L5043" t="s">
        <v>2709</v>
      </c>
      <c r="M5043">
        <v>40169300</v>
      </c>
      <c r="O5043" t="s">
        <v>20083</v>
      </c>
      <c r="P5043" t="s">
        <v>19900</v>
      </c>
      <c r="Q5043" t="s">
        <v>19918</v>
      </c>
      <c r="R5043" t="s">
        <v>19447</v>
      </c>
      <c r="S5043" t="s">
        <v>19447</v>
      </c>
      <c r="T5043" t="s">
        <v>19913</v>
      </c>
    </row>
    <row r="5044" spans="2:20" x14ac:dyDescent="0.25">
      <c r="B5044" t="s">
        <v>2709</v>
      </c>
      <c r="C5044">
        <v>40169400</v>
      </c>
      <c r="E5044">
        <v>177.19</v>
      </c>
      <c r="F5044">
        <v>0</v>
      </c>
      <c r="G5044">
        <v>8</v>
      </c>
      <c r="H5044" t="s">
        <v>19447</v>
      </c>
      <c r="I5044" t="s">
        <v>19447</v>
      </c>
      <c r="J5044">
        <v>16</v>
      </c>
      <c r="L5044" t="s">
        <v>2709</v>
      </c>
      <c r="M5044">
        <v>40169400</v>
      </c>
      <c r="O5044" t="s">
        <v>19926</v>
      </c>
      <c r="P5044" t="s">
        <v>19900</v>
      </c>
      <c r="Q5044" t="s">
        <v>19918</v>
      </c>
      <c r="R5044" t="s">
        <v>19447</v>
      </c>
      <c r="S5044" t="s">
        <v>19447</v>
      </c>
      <c r="T5044" t="s">
        <v>19913</v>
      </c>
    </row>
    <row r="5045" spans="2:20" x14ac:dyDescent="0.25">
      <c r="B5045" t="s">
        <v>2709</v>
      </c>
      <c r="C5045">
        <v>40169510</v>
      </c>
      <c r="E5045">
        <v>177.19</v>
      </c>
      <c r="F5045">
        <v>0</v>
      </c>
      <c r="G5045">
        <v>15</v>
      </c>
      <c r="H5045" t="s">
        <v>19447</v>
      </c>
      <c r="I5045" t="s">
        <v>19447</v>
      </c>
      <c r="J5045">
        <v>16</v>
      </c>
      <c r="L5045" t="s">
        <v>2709</v>
      </c>
      <c r="M5045">
        <v>40169510</v>
      </c>
      <c r="O5045" t="s">
        <v>19926</v>
      </c>
      <c r="P5045" t="s">
        <v>19900</v>
      </c>
      <c r="Q5045" t="s">
        <v>19983</v>
      </c>
      <c r="R5045" t="s">
        <v>19447</v>
      </c>
      <c r="S5045" t="s">
        <v>19447</v>
      </c>
      <c r="T5045" t="s">
        <v>19913</v>
      </c>
    </row>
    <row r="5046" spans="2:20" x14ac:dyDescent="0.25">
      <c r="B5046" t="s">
        <v>2709</v>
      </c>
      <c r="C5046">
        <v>40169590</v>
      </c>
      <c r="E5046">
        <v>177.19</v>
      </c>
      <c r="F5046">
        <v>0</v>
      </c>
      <c r="G5046">
        <v>15</v>
      </c>
      <c r="H5046" t="s">
        <v>19447</v>
      </c>
      <c r="I5046" t="s">
        <v>19447</v>
      </c>
      <c r="J5046">
        <v>16</v>
      </c>
      <c r="L5046" t="s">
        <v>2709</v>
      </c>
      <c r="M5046">
        <v>40169590</v>
      </c>
      <c r="O5046" t="s">
        <v>19926</v>
      </c>
      <c r="P5046" t="s">
        <v>19900</v>
      </c>
      <c r="Q5046" t="s">
        <v>19983</v>
      </c>
      <c r="R5046" t="s">
        <v>19447</v>
      </c>
      <c r="S5046" t="s">
        <v>19447</v>
      </c>
      <c r="T5046" t="s">
        <v>19913</v>
      </c>
    </row>
    <row r="5047" spans="2:20" x14ac:dyDescent="0.25">
      <c r="B5047" t="s">
        <v>2709</v>
      </c>
      <c r="C5047">
        <v>40169910</v>
      </c>
      <c r="E5047">
        <v>177.19</v>
      </c>
      <c r="F5047">
        <v>0</v>
      </c>
      <c r="G5047">
        <v>18</v>
      </c>
      <c r="H5047" t="s">
        <v>19447</v>
      </c>
      <c r="I5047" t="s">
        <v>19447</v>
      </c>
      <c r="J5047">
        <v>2</v>
      </c>
      <c r="L5047" t="s">
        <v>2709</v>
      </c>
      <c r="M5047">
        <v>40169910</v>
      </c>
      <c r="O5047" t="s">
        <v>19926</v>
      </c>
      <c r="P5047" t="s">
        <v>19900</v>
      </c>
      <c r="Q5047" t="s">
        <v>19899</v>
      </c>
      <c r="R5047" t="s">
        <v>19447</v>
      </c>
      <c r="S5047" t="s">
        <v>19447</v>
      </c>
      <c r="T5047" t="s">
        <v>19901</v>
      </c>
    </row>
    <row r="5048" spans="2:20" x14ac:dyDescent="0.25">
      <c r="B5048" t="s">
        <v>2709</v>
      </c>
      <c r="C5048">
        <v>40169990</v>
      </c>
      <c r="E5048">
        <v>71.78</v>
      </c>
      <c r="F5048">
        <v>0</v>
      </c>
      <c r="G5048">
        <v>18</v>
      </c>
      <c r="H5048" t="s">
        <v>19447</v>
      </c>
      <c r="I5048" t="s">
        <v>19447</v>
      </c>
      <c r="J5048">
        <v>16</v>
      </c>
      <c r="L5048" t="s">
        <v>2709</v>
      </c>
      <c r="M5048">
        <v>40169990</v>
      </c>
      <c r="O5048" t="s">
        <v>20056</v>
      </c>
      <c r="P5048" t="s">
        <v>19900</v>
      </c>
      <c r="Q5048" t="s">
        <v>19899</v>
      </c>
      <c r="R5048" t="s">
        <v>19447</v>
      </c>
      <c r="S5048" t="s">
        <v>19447</v>
      </c>
      <c r="T5048" t="s">
        <v>19913</v>
      </c>
    </row>
    <row r="5049" spans="2:20" x14ac:dyDescent="0.25">
      <c r="B5049" t="s">
        <v>2709</v>
      </c>
      <c r="C5049">
        <v>40169990</v>
      </c>
      <c r="D5049">
        <v>1</v>
      </c>
      <c r="E5049" t="s">
        <v>19447</v>
      </c>
      <c r="F5049">
        <v>18</v>
      </c>
      <c r="G5049">
        <v>0</v>
      </c>
      <c r="H5049">
        <v>7.6</v>
      </c>
      <c r="I5049">
        <v>1.65</v>
      </c>
      <c r="J5049">
        <v>16</v>
      </c>
      <c r="L5049" t="s">
        <v>2709</v>
      </c>
      <c r="M5049">
        <v>40169990</v>
      </c>
      <c r="N5049">
        <v>1</v>
      </c>
      <c r="O5049" t="s">
        <v>19447</v>
      </c>
      <c r="P5049" t="s">
        <v>19899</v>
      </c>
      <c r="Q5049" t="s">
        <v>19900</v>
      </c>
      <c r="R5049" t="s">
        <v>19905</v>
      </c>
      <c r="S5049" t="s">
        <v>19906</v>
      </c>
      <c r="T5049" t="s">
        <v>19913</v>
      </c>
    </row>
    <row r="5050" spans="2:20" x14ac:dyDescent="0.25">
      <c r="B5050" t="s">
        <v>2709</v>
      </c>
      <c r="C5050">
        <v>40169990</v>
      </c>
      <c r="D5050">
        <v>2</v>
      </c>
      <c r="E5050" t="s">
        <v>19447</v>
      </c>
      <c r="F5050">
        <v>18</v>
      </c>
      <c r="G5050">
        <v>0</v>
      </c>
      <c r="H5050">
        <v>7.6</v>
      </c>
      <c r="I5050">
        <v>1.65</v>
      </c>
      <c r="J5050">
        <v>16</v>
      </c>
      <c r="L5050" t="s">
        <v>2709</v>
      </c>
      <c r="M5050">
        <v>40169990</v>
      </c>
      <c r="N5050">
        <v>2</v>
      </c>
      <c r="O5050" t="s">
        <v>19447</v>
      </c>
      <c r="P5050" t="s">
        <v>19899</v>
      </c>
      <c r="Q5050" t="s">
        <v>19900</v>
      </c>
      <c r="R5050" t="s">
        <v>19905</v>
      </c>
      <c r="S5050" t="s">
        <v>19906</v>
      </c>
      <c r="T5050" t="s">
        <v>19913</v>
      </c>
    </row>
    <row r="5051" spans="2:20" x14ac:dyDescent="0.25">
      <c r="B5051" t="s">
        <v>2709</v>
      </c>
      <c r="C5051">
        <v>40169990</v>
      </c>
      <c r="D5051">
        <v>3</v>
      </c>
      <c r="E5051" t="s">
        <v>19447</v>
      </c>
      <c r="F5051">
        <v>18</v>
      </c>
      <c r="G5051">
        <v>3</v>
      </c>
      <c r="H5051">
        <v>7.6</v>
      </c>
      <c r="I5051">
        <v>1.65</v>
      </c>
      <c r="J5051">
        <v>16</v>
      </c>
      <c r="L5051" t="s">
        <v>2709</v>
      </c>
      <c r="M5051">
        <v>40169990</v>
      </c>
      <c r="N5051">
        <v>3</v>
      </c>
      <c r="O5051" t="s">
        <v>19447</v>
      </c>
      <c r="P5051" t="s">
        <v>19899</v>
      </c>
      <c r="Q5051" t="s">
        <v>19997</v>
      </c>
      <c r="R5051" t="s">
        <v>19905</v>
      </c>
      <c r="S5051" t="s">
        <v>19906</v>
      </c>
      <c r="T5051" t="s">
        <v>19913</v>
      </c>
    </row>
    <row r="5052" spans="2:20" x14ac:dyDescent="0.25">
      <c r="B5052" t="s">
        <v>2709</v>
      </c>
      <c r="C5052">
        <v>40169990</v>
      </c>
      <c r="D5052">
        <v>4</v>
      </c>
      <c r="E5052" t="s">
        <v>19447</v>
      </c>
      <c r="F5052">
        <v>18</v>
      </c>
      <c r="G5052">
        <v>5</v>
      </c>
      <c r="H5052">
        <v>7.6</v>
      </c>
      <c r="I5052">
        <v>1.65</v>
      </c>
      <c r="J5052">
        <v>16</v>
      </c>
      <c r="L5052" t="s">
        <v>2709</v>
      </c>
      <c r="M5052">
        <v>40169990</v>
      </c>
      <c r="N5052">
        <v>4</v>
      </c>
      <c r="O5052" t="s">
        <v>19447</v>
      </c>
      <c r="P5052" t="s">
        <v>19899</v>
      </c>
      <c r="Q5052" t="s">
        <v>19909</v>
      </c>
      <c r="R5052" t="s">
        <v>19905</v>
      </c>
      <c r="S5052" t="s">
        <v>19906</v>
      </c>
      <c r="T5052" t="s">
        <v>19913</v>
      </c>
    </row>
    <row r="5053" spans="2:20" x14ac:dyDescent="0.25">
      <c r="B5053" t="s">
        <v>2709</v>
      </c>
      <c r="C5053">
        <v>40169990</v>
      </c>
      <c r="D5053">
        <v>5</v>
      </c>
      <c r="E5053" t="s">
        <v>19447</v>
      </c>
      <c r="F5053">
        <v>18</v>
      </c>
      <c r="G5053">
        <v>15</v>
      </c>
      <c r="H5053">
        <v>7.6</v>
      </c>
      <c r="I5053">
        <v>1.65</v>
      </c>
      <c r="J5053">
        <v>16</v>
      </c>
      <c r="L5053" t="s">
        <v>2709</v>
      </c>
      <c r="M5053">
        <v>40169990</v>
      </c>
      <c r="N5053">
        <v>5</v>
      </c>
      <c r="O5053" t="s">
        <v>19447</v>
      </c>
      <c r="P5053" t="s">
        <v>19899</v>
      </c>
      <c r="Q5053" t="s">
        <v>19983</v>
      </c>
      <c r="R5053" t="s">
        <v>19905</v>
      </c>
      <c r="S5053" t="s">
        <v>19906</v>
      </c>
      <c r="T5053" t="s">
        <v>19913</v>
      </c>
    </row>
    <row r="5054" spans="2:20" x14ac:dyDescent="0.25">
      <c r="B5054" t="s">
        <v>2709</v>
      </c>
      <c r="C5054">
        <v>40170000</v>
      </c>
      <c r="E5054">
        <v>177.19</v>
      </c>
      <c r="F5054">
        <v>0</v>
      </c>
      <c r="G5054">
        <v>18</v>
      </c>
      <c r="H5054" t="s">
        <v>19447</v>
      </c>
      <c r="I5054" t="s">
        <v>19447</v>
      </c>
      <c r="J5054">
        <v>16</v>
      </c>
      <c r="L5054" t="s">
        <v>2709</v>
      </c>
      <c r="M5054">
        <v>40170000</v>
      </c>
      <c r="O5054" t="s">
        <v>19926</v>
      </c>
      <c r="P5054" t="s">
        <v>19900</v>
      </c>
      <c r="Q5054" t="s">
        <v>19899</v>
      </c>
      <c r="R5054" t="s">
        <v>19447</v>
      </c>
      <c r="S5054" t="s">
        <v>19447</v>
      </c>
      <c r="T5054" t="s">
        <v>19913</v>
      </c>
    </row>
    <row r="5055" spans="2:20" x14ac:dyDescent="0.25">
      <c r="B5055" t="s">
        <v>2709</v>
      </c>
      <c r="C5055">
        <v>40170000</v>
      </c>
      <c r="D5055">
        <v>1</v>
      </c>
      <c r="E5055" t="s">
        <v>19447</v>
      </c>
      <c r="F5055">
        <v>18</v>
      </c>
      <c r="G5055">
        <v>4</v>
      </c>
      <c r="H5055">
        <v>7.6</v>
      </c>
      <c r="I5055">
        <v>1.65</v>
      </c>
      <c r="J5055">
        <v>16</v>
      </c>
      <c r="L5055" t="s">
        <v>2709</v>
      </c>
      <c r="M5055">
        <v>40170000</v>
      </c>
      <c r="N5055">
        <v>1</v>
      </c>
      <c r="O5055" t="s">
        <v>19447</v>
      </c>
      <c r="P5055" t="s">
        <v>19899</v>
      </c>
      <c r="Q5055" t="s">
        <v>19902</v>
      </c>
      <c r="R5055" t="s">
        <v>19905</v>
      </c>
      <c r="S5055" t="s">
        <v>19906</v>
      </c>
      <c r="T5055" t="s">
        <v>19913</v>
      </c>
    </row>
    <row r="5056" spans="2:20" x14ac:dyDescent="0.25">
      <c r="B5056" t="s">
        <v>2709</v>
      </c>
      <c r="C5056">
        <v>40170000</v>
      </c>
      <c r="D5056">
        <v>2</v>
      </c>
      <c r="E5056" t="s">
        <v>19447</v>
      </c>
      <c r="F5056">
        <v>18</v>
      </c>
      <c r="G5056">
        <v>4</v>
      </c>
      <c r="H5056">
        <v>7.6</v>
      </c>
      <c r="I5056">
        <v>1.65</v>
      </c>
      <c r="J5056">
        <v>16</v>
      </c>
      <c r="L5056" t="s">
        <v>2709</v>
      </c>
      <c r="M5056">
        <v>40170000</v>
      </c>
      <c r="N5056">
        <v>2</v>
      </c>
      <c r="O5056" t="s">
        <v>19447</v>
      </c>
      <c r="P5056" t="s">
        <v>19899</v>
      </c>
      <c r="Q5056" t="s">
        <v>19902</v>
      </c>
      <c r="R5056" t="s">
        <v>19905</v>
      </c>
      <c r="S5056" t="s">
        <v>19906</v>
      </c>
      <c r="T5056" t="s">
        <v>19913</v>
      </c>
    </row>
    <row r="5057" spans="2:20" x14ac:dyDescent="0.25">
      <c r="B5057" t="s">
        <v>2709</v>
      </c>
      <c r="C5057">
        <v>40170000</v>
      </c>
      <c r="D5057">
        <v>3</v>
      </c>
      <c r="E5057" t="s">
        <v>19447</v>
      </c>
      <c r="F5057">
        <v>18</v>
      </c>
      <c r="G5057">
        <v>15</v>
      </c>
      <c r="H5057">
        <v>7.6</v>
      </c>
      <c r="I5057">
        <v>1.65</v>
      </c>
      <c r="J5057">
        <v>16</v>
      </c>
      <c r="L5057" t="s">
        <v>2709</v>
      </c>
      <c r="M5057">
        <v>40170000</v>
      </c>
      <c r="N5057">
        <v>3</v>
      </c>
      <c r="O5057" t="s">
        <v>19447</v>
      </c>
      <c r="P5057" t="s">
        <v>19899</v>
      </c>
      <c r="Q5057" t="s">
        <v>19983</v>
      </c>
      <c r="R5057" t="s">
        <v>19905</v>
      </c>
      <c r="S5057" t="s">
        <v>19906</v>
      </c>
      <c r="T5057" t="s">
        <v>19913</v>
      </c>
    </row>
    <row r="5058" spans="2:20" x14ac:dyDescent="0.25">
      <c r="B5058" t="s">
        <v>2709</v>
      </c>
      <c r="C5058">
        <v>41012000</v>
      </c>
      <c r="E5058" t="s">
        <v>19447</v>
      </c>
      <c r="F5058">
        <v>18</v>
      </c>
      <c r="G5058">
        <v>0</v>
      </c>
      <c r="H5058">
        <v>7.6</v>
      </c>
      <c r="I5058">
        <v>1.65</v>
      </c>
      <c r="J5058">
        <v>2</v>
      </c>
      <c r="L5058" t="s">
        <v>2709</v>
      </c>
      <c r="M5058">
        <v>41012000</v>
      </c>
      <c r="O5058" t="s">
        <v>19447</v>
      </c>
      <c r="P5058" t="s">
        <v>19899</v>
      </c>
      <c r="Q5058" t="s">
        <v>19900</v>
      </c>
      <c r="R5058" t="s">
        <v>19905</v>
      </c>
      <c r="S5058" t="s">
        <v>19906</v>
      </c>
      <c r="T5058" t="s">
        <v>19901</v>
      </c>
    </row>
    <row r="5059" spans="2:20" x14ac:dyDescent="0.25">
      <c r="B5059" t="s">
        <v>2709</v>
      </c>
      <c r="C5059">
        <v>41015010</v>
      </c>
      <c r="E5059" t="s">
        <v>19447</v>
      </c>
      <c r="F5059">
        <v>18</v>
      </c>
      <c r="G5059">
        <v>0</v>
      </c>
      <c r="H5059">
        <v>7.6</v>
      </c>
      <c r="I5059">
        <v>1.65</v>
      </c>
      <c r="J5059">
        <v>2</v>
      </c>
      <c r="L5059" t="s">
        <v>2709</v>
      </c>
      <c r="M5059">
        <v>41015010</v>
      </c>
      <c r="O5059" t="s">
        <v>19447</v>
      </c>
      <c r="P5059" t="s">
        <v>19899</v>
      </c>
      <c r="Q5059" t="s">
        <v>19900</v>
      </c>
      <c r="R5059" t="s">
        <v>19905</v>
      </c>
      <c r="S5059" t="s">
        <v>19906</v>
      </c>
      <c r="T5059" t="s">
        <v>19901</v>
      </c>
    </row>
    <row r="5060" spans="2:20" x14ac:dyDescent="0.25">
      <c r="B5060" t="s">
        <v>2709</v>
      </c>
      <c r="C5060">
        <v>41015020</v>
      </c>
      <c r="E5060" t="s">
        <v>19447</v>
      </c>
      <c r="F5060">
        <v>18</v>
      </c>
      <c r="G5060">
        <v>0</v>
      </c>
      <c r="H5060">
        <v>7.6</v>
      </c>
      <c r="I5060">
        <v>1.65</v>
      </c>
      <c r="J5060">
        <v>2</v>
      </c>
      <c r="L5060" t="s">
        <v>2709</v>
      </c>
      <c r="M5060">
        <v>41015020</v>
      </c>
      <c r="O5060" t="s">
        <v>19447</v>
      </c>
      <c r="P5060" t="s">
        <v>19899</v>
      </c>
      <c r="Q5060" t="s">
        <v>19900</v>
      </c>
      <c r="R5060" t="s">
        <v>19905</v>
      </c>
      <c r="S5060" t="s">
        <v>19906</v>
      </c>
      <c r="T5060" t="s">
        <v>19901</v>
      </c>
    </row>
    <row r="5061" spans="2:20" x14ac:dyDescent="0.25">
      <c r="B5061" t="s">
        <v>2709</v>
      </c>
      <c r="C5061">
        <v>41015030</v>
      </c>
      <c r="E5061" t="s">
        <v>19447</v>
      </c>
      <c r="F5061">
        <v>18</v>
      </c>
      <c r="G5061">
        <v>0</v>
      </c>
      <c r="H5061">
        <v>7.6</v>
      </c>
      <c r="I5061">
        <v>1.65</v>
      </c>
      <c r="J5061">
        <v>2</v>
      </c>
      <c r="L5061" t="s">
        <v>2709</v>
      </c>
      <c r="M5061">
        <v>41015030</v>
      </c>
      <c r="O5061" t="s">
        <v>19447</v>
      </c>
      <c r="P5061" t="s">
        <v>19899</v>
      </c>
      <c r="Q5061" t="s">
        <v>19900</v>
      </c>
      <c r="R5061" t="s">
        <v>19905</v>
      </c>
      <c r="S5061" t="s">
        <v>19906</v>
      </c>
      <c r="T5061" t="s">
        <v>19901</v>
      </c>
    </row>
    <row r="5062" spans="2:20" x14ac:dyDescent="0.25">
      <c r="B5062" t="s">
        <v>2709</v>
      </c>
      <c r="C5062">
        <v>41019010</v>
      </c>
      <c r="E5062" t="s">
        <v>19447</v>
      </c>
      <c r="F5062">
        <v>18</v>
      </c>
      <c r="G5062">
        <v>0</v>
      </c>
      <c r="H5062">
        <v>7.6</v>
      </c>
      <c r="I5062">
        <v>1.65</v>
      </c>
      <c r="J5062">
        <v>2</v>
      </c>
      <c r="L5062" t="s">
        <v>2709</v>
      </c>
      <c r="M5062">
        <v>41019010</v>
      </c>
      <c r="O5062" t="s">
        <v>19447</v>
      </c>
      <c r="P5062" t="s">
        <v>19899</v>
      </c>
      <c r="Q5062" t="s">
        <v>19900</v>
      </c>
      <c r="R5062" t="s">
        <v>19905</v>
      </c>
      <c r="S5062" t="s">
        <v>19906</v>
      </c>
      <c r="T5062" t="s">
        <v>19901</v>
      </c>
    </row>
    <row r="5063" spans="2:20" x14ac:dyDescent="0.25">
      <c r="B5063" t="s">
        <v>2709</v>
      </c>
      <c r="C5063">
        <v>41019020</v>
      </c>
      <c r="E5063" t="s">
        <v>19447</v>
      </c>
      <c r="F5063">
        <v>18</v>
      </c>
      <c r="G5063">
        <v>0</v>
      </c>
      <c r="H5063">
        <v>7.6</v>
      </c>
      <c r="I5063">
        <v>1.65</v>
      </c>
      <c r="J5063">
        <v>2</v>
      </c>
      <c r="L5063" t="s">
        <v>2709</v>
      </c>
      <c r="M5063">
        <v>41019020</v>
      </c>
      <c r="O5063" t="s">
        <v>19447</v>
      </c>
      <c r="P5063" t="s">
        <v>19899</v>
      </c>
      <c r="Q5063" t="s">
        <v>19900</v>
      </c>
      <c r="R5063" t="s">
        <v>19905</v>
      </c>
      <c r="S5063" t="s">
        <v>19906</v>
      </c>
      <c r="T5063" t="s">
        <v>19901</v>
      </c>
    </row>
    <row r="5064" spans="2:20" x14ac:dyDescent="0.25">
      <c r="B5064" t="s">
        <v>2709</v>
      </c>
      <c r="C5064">
        <v>41019030</v>
      </c>
      <c r="E5064" t="s">
        <v>19447</v>
      </c>
      <c r="F5064">
        <v>18</v>
      </c>
      <c r="G5064">
        <v>0</v>
      </c>
      <c r="H5064">
        <v>7.6</v>
      </c>
      <c r="I5064">
        <v>1.65</v>
      </c>
      <c r="J5064">
        <v>2</v>
      </c>
      <c r="L5064" t="s">
        <v>2709</v>
      </c>
      <c r="M5064">
        <v>41019030</v>
      </c>
      <c r="O5064" t="s">
        <v>19447</v>
      </c>
      <c r="P5064" t="s">
        <v>19899</v>
      </c>
      <c r="Q5064" t="s">
        <v>19900</v>
      </c>
      <c r="R5064" t="s">
        <v>19905</v>
      </c>
      <c r="S5064" t="s">
        <v>19906</v>
      </c>
      <c r="T5064" t="s">
        <v>19901</v>
      </c>
    </row>
    <row r="5065" spans="2:20" x14ac:dyDescent="0.25">
      <c r="B5065" t="s">
        <v>2709</v>
      </c>
      <c r="C5065">
        <v>41021000</v>
      </c>
      <c r="E5065" t="s">
        <v>19447</v>
      </c>
      <c r="F5065">
        <v>18</v>
      </c>
      <c r="G5065">
        <v>0</v>
      </c>
      <c r="H5065">
        <v>7.6</v>
      </c>
      <c r="I5065">
        <v>1.65</v>
      </c>
      <c r="J5065">
        <v>2</v>
      </c>
      <c r="L5065" t="s">
        <v>2709</v>
      </c>
      <c r="M5065">
        <v>41021000</v>
      </c>
      <c r="O5065" t="s">
        <v>19447</v>
      </c>
      <c r="P5065" t="s">
        <v>19899</v>
      </c>
      <c r="Q5065" t="s">
        <v>19900</v>
      </c>
      <c r="R5065" t="s">
        <v>19905</v>
      </c>
      <c r="S5065" t="s">
        <v>19906</v>
      </c>
      <c r="T5065" t="s">
        <v>19901</v>
      </c>
    </row>
    <row r="5066" spans="2:20" x14ac:dyDescent="0.25">
      <c r="B5066" t="s">
        <v>2709</v>
      </c>
      <c r="C5066">
        <v>41022100</v>
      </c>
      <c r="E5066" t="s">
        <v>19447</v>
      </c>
      <c r="F5066">
        <v>18</v>
      </c>
      <c r="G5066">
        <v>0</v>
      </c>
      <c r="H5066">
        <v>7.6</v>
      </c>
      <c r="I5066">
        <v>1.65</v>
      </c>
      <c r="J5066">
        <v>2</v>
      </c>
      <c r="L5066" t="s">
        <v>2709</v>
      </c>
      <c r="M5066">
        <v>41022100</v>
      </c>
      <c r="O5066" t="s">
        <v>19447</v>
      </c>
      <c r="P5066" t="s">
        <v>19899</v>
      </c>
      <c r="Q5066" t="s">
        <v>19900</v>
      </c>
      <c r="R5066" t="s">
        <v>19905</v>
      </c>
      <c r="S5066" t="s">
        <v>19906</v>
      </c>
      <c r="T5066" t="s">
        <v>19901</v>
      </c>
    </row>
    <row r="5067" spans="2:20" x14ac:dyDescent="0.25">
      <c r="B5067" t="s">
        <v>2709</v>
      </c>
      <c r="C5067">
        <v>41022900</v>
      </c>
      <c r="E5067" t="s">
        <v>19447</v>
      </c>
      <c r="F5067">
        <v>18</v>
      </c>
      <c r="G5067">
        <v>0</v>
      </c>
      <c r="H5067">
        <v>7.6</v>
      </c>
      <c r="I5067">
        <v>1.65</v>
      </c>
      <c r="J5067">
        <v>2</v>
      </c>
      <c r="L5067" t="s">
        <v>2709</v>
      </c>
      <c r="M5067">
        <v>41022900</v>
      </c>
      <c r="O5067" t="s">
        <v>19447</v>
      </c>
      <c r="P5067" t="s">
        <v>19899</v>
      </c>
      <c r="Q5067" t="s">
        <v>19900</v>
      </c>
      <c r="R5067" t="s">
        <v>19905</v>
      </c>
      <c r="S5067" t="s">
        <v>19906</v>
      </c>
      <c r="T5067" t="s">
        <v>19901</v>
      </c>
    </row>
    <row r="5068" spans="2:20" x14ac:dyDescent="0.25">
      <c r="B5068" t="s">
        <v>2709</v>
      </c>
      <c r="C5068">
        <v>41032000</v>
      </c>
      <c r="E5068" t="s">
        <v>19447</v>
      </c>
      <c r="F5068">
        <v>18</v>
      </c>
      <c r="G5068">
        <v>0</v>
      </c>
      <c r="H5068">
        <v>7.6</v>
      </c>
      <c r="I5068">
        <v>1.65</v>
      </c>
      <c r="J5068">
        <v>2</v>
      </c>
      <c r="L5068" t="s">
        <v>2709</v>
      </c>
      <c r="M5068">
        <v>41032000</v>
      </c>
      <c r="O5068" t="s">
        <v>19447</v>
      </c>
      <c r="P5068" t="s">
        <v>19899</v>
      </c>
      <c r="Q5068" t="s">
        <v>19900</v>
      </c>
      <c r="R5068" t="s">
        <v>19905</v>
      </c>
      <c r="S5068" t="s">
        <v>19906</v>
      </c>
      <c r="T5068" t="s">
        <v>19901</v>
      </c>
    </row>
    <row r="5069" spans="2:20" x14ac:dyDescent="0.25">
      <c r="B5069" t="s">
        <v>2709</v>
      </c>
      <c r="C5069">
        <v>41033000</v>
      </c>
      <c r="E5069" t="s">
        <v>19447</v>
      </c>
      <c r="F5069">
        <v>18</v>
      </c>
      <c r="G5069">
        <v>0</v>
      </c>
      <c r="H5069">
        <v>7.6</v>
      </c>
      <c r="I5069">
        <v>1.65</v>
      </c>
      <c r="J5069">
        <v>2</v>
      </c>
      <c r="L5069" t="s">
        <v>2709</v>
      </c>
      <c r="M5069">
        <v>41033000</v>
      </c>
      <c r="O5069" t="s">
        <v>19447</v>
      </c>
      <c r="P5069" t="s">
        <v>19899</v>
      </c>
      <c r="Q5069" t="s">
        <v>19900</v>
      </c>
      <c r="R5069" t="s">
        <v>19905</v>
      </c>
      <c r="S5069" t="s">
        <v>19906</v>
      </c>
      <c r="T5069" t="s">
        <v>19901</v>
      </c>
    </row>
    <row r="5070" spans="2:20" x14ac:dyDescent="0.25">
      <c r="B5070" t="s">
        <v>2709</v>
      </c>
      <c r="C5070">
        <v>41039000</v>
      </c>
      <c r="E5070" t="s">
        <v>19447</v>
      </c>
      <c r="F5070">
        <v>18</v>
      </c>
      <c r="G5070">
        <v>0</v>
      </c>
      <c r="H5070">
        <v>7.6</v>
      </c>
      <c r="I5070">
        <v>1.65</v>
      </c>
      <c r="J5070">
        <v>2</v>
      </c>
      <c r="L5070" t="s">
        <v>2709</v>
      </c>
      <c r="M5070">
        <v>41039000</v>
      </c>
      <c r="O5070" t="s">
        <v>19447</v>
      </c>
      <c r="P5070" t="s">
        <v>19899</v>
      </c>
      <c r="Q5070" t="s">
        <v>19900</v>
      </c>
      <c r="R5070" t="s">
        <v>19905</v>
      </c>
      <c r="S5070" t="s">
        <v>19906</v>
      </c>
      <c r="T5070" t="s">
        <v>19901</v>
      </c>
    </row>
    <row r="5071" spans="2:20" x14ac:dyDescent="0.25">
      <c r="B5071" t="s">
        <v>2709</v>
      </c>
      <c r="C5071">
        <v>41041111</v>
      </c>
      <c r="E5071" t="s">
        <v>19447</v>
      </c>
      <c r="F5071">
        <v>18</v>
      </c>
      <c r="G5071">
        <v>0</v>
      </c>
      <c r="H5071">
        <v>7.6</v>
      </c>
      <c r="I5071">
        <v>1.65</v>
      </c>
      <c r="J5071">
        <v>4</v>
      </c>
      <c r="L5071" t="s">
        <v>2709</v>
      </c>
      <c r="M5071">
        <v>41041111</v>
      </c>
      <c r="O5071" t="s">
        <v>19447</v>
      </c>
      <c r="P5071" t="s">
        <v>19899</v>
      </c>
      <c r="Q5071" t="s">
        <v>19900</v>
      </c>
      <c r="R5071" t="s">
        <v>19905</v>
      </c>
      <c r="S5071" t="s">
        <v>19906</v>
      </c>
      <c r="T5071" t="s">
        <v>19902</v>
      </c>
    </row>
    <row r="5072" spans="2:20" x14ac:dyDescent="0.25">
      <c r="B5072" t="s">
        <v>2709</v>
      </c>
      <c r="C5072">
        <v>41041112</v>
      </c>
      <c r="E5072" t="s">
        <v>19447</v>
      </c>
      <c r="F5072">
        <v>18</v>
      </c>
      <c r="G5072">
        <v>0</v>
      </c>
      <c r="H5072">
        <v>7.6</v>
      </c>
      <c r="I5072">
        <v>1.65</v>
      </c>
      <c r="J5072">
        <v>8</v>
      </c>
      <c r="L5072" t="s">
        <v>2709</v>
      </c>
      <c r="M5072">
        <v>41041112</v>
      </c>
      <c r="O5072" t="s">
        <v>19447</v>
      </c>
      <c r="P5072" t="s">
        <v>19899</v>
      </c>
      <c r="Q5072" t="s">
        <v>19900</v>
      </c>
      <c r="R5072" t="s">
        <v>19905</v>
      </c>
      <c r="S5072" t="s">
        <v>19906</v>
      </c>
      <c r="T5072" t="s">
        <v>19918</v>
      </c>
    </row>
    <row r="5073" spans="2:20" x14ac:dyDescent="0.25">
      <c r="B5073" t="s">
        <v>2709</v>
      </c>
      <c r="C5073">
        <v>41041113</v>
      </c>
      <c r="E5073" t="s">
        <v>19447</v>
      </c>
      <c r="F5073">
        <v>18</v>
      </c>
      <c r="G5073">
        <v>0</v>
      </c>
      <c r="H5073">
        <v>7.6</v>
      </c>
      <c r="I5073">
        <v>1.65</v>
      </c>
      <c r="J5073">
        <v>10</v>
      </c>
      <c r="L5073" t="s">
        <v>2709</v>
      </c>
      <c r="M5073">
        <v>41041113</v>
      </c>
      <c r="O5073" t="s">
        <v>19447</v>
      </c>
      <c r="P5073" t="s">
        <v>19899</v>
      </c>
      <c r="Q5073" t="s">
        <v>19900</v>
      </c>
      <c r="R5073" t="s">
        <v>19905</v>
      </c>
      <c r="S5073" t="s">
        <v>19906</v>
      </c>
      <c r="T5073" t="s">
        <v>19904</v>
      </c>
    </row>
    <row r="5074" spans="2:20" x14ac:dyDescent="0.25">
      <c r="B5074" t="s">
        <v>2709</v>
      </c>
      <c r="C5074">
        <v>41041114</v>
      </c>
      <c r="E5074" t="s">
        <v>19447</v>
      </c>
      <c r="F5074">
        <v>18</v>
      </c>
      <c r="G5074">
        <v>0</v>
      </c>
      <c r="H5074">
        <v>7.6</v>
      </c>
      <c r="I5074">
        <v>1.65</v>
      </c>
      <c r="J5074">
        <v>8</v>
      </c>
      <c r="L5074" t="s">
        <v>2709</v>
      </c>
      <c r="M5074">
        <v>41041114</v>
      </c>
      <c r="O5074" t="s">
        <v>19447</v>
      </c>
      <c r="P5074" t="s">
        <v>19899</v>
      </c>
      <c r="Q5074" t="s">
        <v>19900</v>
      </c>
      <c r="R5074" t="s">
        <v>19905</v>
      </c>
      <c r="S5074" t="s">
        <v>19906</v>
      </c>
      <c r="T5074" t="s">
        <v>19918</v>
      </c>
    </row>
    <row r="5075" spans="2:20" x14ac:dyDescent="0.25">
      <c r="B5075" t="s">
        <v>2709</v>
      </c>
      <c r="C5075">
        <v>41041119</v>
      </c>
      <c r="E5075" t="s">
        <v>19447</v>
      </c>
      <c r="F5075">
        <v>18</v>
      </c>
      <c r="G5075">
        <v>0</v>
      </c>
      <c r="H5075">
        <v>7.6</v>
      </c>
      <c r="I5075">
        <v>1.65</v>
      </c>
      <c r="J5075">
        <v>10</v>
      </c>
      <c r="L5075" t="s">
        <v>2709</v>
      </c>
      <c r="M5075">
        <v>41041119</v>
      </c>
      <c r="O5075" t="s">
        <v>19447</v>
      </c>
      <c r="P5075" t="s">
        <v>19899</v>
      </c>
      <c r="Q5075" t="s">
        <v>19900</v>
      </c>
      <c r="R5075" t="s">
        <v>19905</v>
      </c>
      <c r="S5075" t="s">
        <v>19906</v>
      </c>
      <c r="T5075" t="s">
        <v>19904</v>
      </c>
    </row>
    <row r="5076" spans="2:20" x14ac:dyDescent="0.25">
      <c r="B5076" t="s">
        <v>2709</v>
      </c>
      <c r="C5076">
        <v>41041121</v>
      </c>
      <c r="E5076" t="s">
        <v>19447</v>
      </c>
      <c r="F5076">
        <v>18</v>
      </c>
      <c r="G5076">
        <v>0</v>
      </c>
      <c r="H5076">
        <v>7.6</v>
      </c>
      <c r="I5076">
        <v>1.65</v>
      </c>
      <c r="J5076">
        <v>4</v>
      </c>
      <c r="L5076" t="s">
        <v>2709</v>
      </c>
      <c r="M5076">
        <v>41041121</v>
      </c>
      <c r="O5076" t="s">
        <v>19447</v>
      </c>
      <c r="P5076" t="s">
        <v>19899</v>
      </c>
      <c r="Q5076" t="s">
        <v>19900</v>
      </c>
      <c r="R5076" t="s">
        <v>19905</v>
      </c>
      <c r="S5076" t="s">
        <v>19906</v>
      </c>
      <c r="T5076" t="s">
        <v>19902</v>
      </c>
    </row>
    <row r="5077" spans="2:20" x14ac:dyDescent="0.25">
      <c r="B5077" t="s">
        <v>2709</v>
      </c>
      <c r="C5077">
        <v>41041122</v>
      </c>
      <c r="E5077" t="s">
        <v>19447</v>
      </c>
      <c r="F5077">
        <v>18</v>
      </c>
      <c r="G5077">
        <v>0</v>
      </c>
      <c r="H5077">
        <v>7.6</v>
      </c>
      <c r="I5077">
        <v>1.65</v>
      </c>
      <c r="J5077">
        <v>8</v>
      </c>
      <c r="L5077" t="s">
        <v>2709</v>
      </c>
      <c r="M5077">
        <v>41041122</v>
      </c>
      <c r="O5077" t="s">
        <v>19447</v>
      </c>
      <c r="P5077" t="s">
        <v>19899</v>
      </c>
      <c r="Q5077" t="s">
        <v>19900</v>
      </c>
      <c r="R5077" t="s">
        <v>19905</v>
      </c>
      <c r="S5077" t="s">
        <v>19906</v>
      </c>
      <c r="T5077" t="s">
        <v>19918</v>
      </c>
    </row>
    <row r="5078" spans="2:20" x14ac:dyDescent="0.25">
      <c r="B5078" t="s">
        <v>2709</v>
      </c>
      <c r="C5078">
        <v>41041123</v>
      </c>
      <c r="E5078" t="s">
        <v>19447</v>
      </c>
      <c r="F5078">
        <v>18</v>
      </c>
      <c r="G5078">
        <v>0</v>
      </c>
      <c r="H5078">
        <v>7.6</v>
      </c>
      <c r="I5078">
        <v>1.65</v>
      </c>
      <c r="J5078">
        <v>10</v>
      </c>
      <c r="L5078" t="s">
        <v>2709</v>
      </c>
      <c r="M5078">
        <v>41041123</v>
      </c>
      <c r="O5078" t="s">
        <v>19447</v>
      </c>
      <c r="P5078" t="s">
        <v>19899</v>
      </c>
      <c r="Q5078" t="s">
        <v>19900</v>
      </c>
      <c r="R5078" t="s">
        <v>19905</v>
      </c>
      <c r="S5078" t="s">
        <v>19906</v>
      </c>
      <c r="T5078" t="s">
        <v>19904</v>
      </c>
    </row>
    <row r="5079" spans="2:20" x14ac:dyDescent="0.25">
      <c r="B5079" t="s">
        <v>2709</v>
      </c>
      <c r="C5079">
        <v>41041124</v>
      </c>
      <c r="E5079" t="s">
        <v>19447</v>
      </c>
      <c r="F5079">
        <v>18</v>
      </c>
      <c r="G5079">
        <v>0</v>
      </c>
      <c r="H5079">
        <v>7.6</v>
      </c>
      <c r="I5079">
        <v>1.65</v>
      </c>
      <c r="J5079">
        <v>8</v>
      </c>
      <c r="L5079" t="s">
        <v>2709</v>
      </c>
      <c r="M5079">
        <v>41041124</v>
      </c>
      <c r="O5079" t="s">
        <v>19447</v>
      </c>
      <c r="P5079" t="s">
        <v>19899</v>
      </c>
      <c r="Q5079" t="s">
        <v>19900</v>
      </c>
      <c r="R5079" t="s">
        <v>19905</v>
      </c>
      <c r="S5079" t="s">
        <v>19906</v>
      </c>
      <c r="T5079" t="s">
        <v>19918</v>
      </c>
    </row>
    <row r="5080" spans="2:20" x14ac:dyDescent="0.25">
      <c r="B5080" t="s">
        <v>2709</v>
      </c>
      <c r="C5080">
        <v>41041129</v>
      </c>
      <c r="E5080" t="s">
        <v>19447</v>
      </c>
      <c r="F5080">
        <v>18</v>
      </c>
      <c r="G5080">
        <v>0</v>
      </c>
      <c r="H5080">
        <v>7.6</v>
      </c>
      <c r="I5080">
        <v>1.65</v>
      </c>
      <c r="J5080">
        <v>10</v>
      </c>
      <c r="L5080" t="s">
        <v>2709</v>
      </c>
      <c r="M5080">
        <v>41041129</v>
      </c>
      <c r="O5080" t="s">
        <v>19447</v>
      </c>
      <c r="P5080" t="s">
        <v>19899</v>
      </c>
      <c r="Q5080" t="s">
        <v>19900</v>
      </c>
      <c r="R5080" t="s">
        <v>19905</v>
      </c>
      <c r="S5080" t="s">
        <v>19906</v>
      </c>
      <c r="T5080" t="s">
        <v>19904</v>
      </c>
    </row>
    <row r="5081" spans="2:20" x14ac:dyDescent="0.25">
      <c r="B5081" t="s">
        <v>2709</v>
      </c>
      <c r="C5081">
        <v>41041910</v>
      </c>
      <c r="E5081" t="s">
        <v>19447</v>
      </c>
      <c r="F5081">
        <v>18</v>
      </c>
      <c r="G5081">
        <v>0</v>
      </c>
      <c r="H5081">
        <v>7.6</v>
      </c>
      <c r="I5081">
        <v>1.65</v>
      </c>
      <c r="J5081">
        <v>4</v>
      </c>
      <c r="L5081" t="s">
        <v>2709</v>
      </c>
      <c r="M5081">
        <v>41041910</v>
      </c>
      <c r="O5081" t="s">
        <v>19447</v>
      </c>
      <c r="P5081" t="s">
        <v>19899</v>
      </c>
      <c r="Q5081" t="s">
        <v>19900</v>
      </c>
      <c r="R5081" t="s">
        <v>19905</v>
      </c>
      <c r="S5081" t="s">
        <v>19906</v>
      </c>
      <c r="T5081" t="s">
        <v>19902</v>
      </c>
    </row>
    <row r="5082" spans="2:20" x14ac:dyDescent="0.25">
      <c r="B5082" t="s">
        <v>2709</v>
      </c>
      <c r="C5082">
        <v>41041920</v>
      </c>
      <c r="E5082" t="s">
        <v>19447</v>
      </c>
      <c r="F5082">
        <v>18</v>
      </c>
      <c r="G5082">
        <v>0</v>
      </c>
      <c r="H5082">
        <v>7.6</v>
      </c>
      <c r="I5082">
        <v>1.65</v>
      </c>
      <c r="J5082">
        <v>8</v>
      </c>
      <c r="L5082" t="s">
        <v>2709</v>
      </c>
      <c r="M5082">
        <v>41041920</v>
      </c>
      <c r="O5082" t="s">
        <v>19447</v>
      </c>
      <c r="P5082" t="s">
        <v>19899</v>
      </c>
      <c r="Q5082" t="s">
        <v>19900</v>
      </c>
      <c r="R5082" t="s">
        <v>19905</v>
      </c>
      <c r="S5082" t="s">
        <v>19906</v>
      </c>
      <c r="T5082" t="s">
        <v>19918</v>
      </c>
    </row>
    <row r="5083" spans="2:20" x14ac:dyDescent="0.25">
      <c r="B5083" t="s">
        <v>2709</v>
      </c>
      <c r="C5083">
        <v>41041930</v>
      </c>
      <c r="E5083" t="s">
        <v>19447</v>
      </c>
      <c r="F5083">
        <v>18</v>
      </c>
      <c r="G5083">
        <v>0</v>
      </c>
      <c r="H5083">
        <v>7.6</v>
      </c>
      <c r="I5083">
        <v>1.65</v>
      </c>
      <c r="J5083">
        <v>10</v>
      </c>
      <c r="L5083" t="s">
        <v>2709</v>
      </c>
      <c r="M5083">
        <v>41041930</v>
      </c>
      <c r="O5083" t="s">
        <v>19447</v>
      </c>
      <c r="P5083" t="s">
        <v>19899</v>
      </c>
      <c r="Q5083" t="s">
        <v>19900</v>
      </c>
      <c r="R5083" t="s">
        <v>19905</v>
      </c>
      <c r="S5083" t="s">
        <v>19906</v>
      </c>
      <c r="T5083" t="s">
        <v>19904</v>
      </c>
    </row>
    <row r="5084" spans="2:20" x14ac:dyDescent="0.25">
      <c r="B5084" t="s">
        <v>2709</v>
      </c>
      <c r="C5084">
        <v>41041940</v>
      </c>
      <c r="E5084" t="s">
        <v>19447</v>
      </c>
      <c r="F5084">
        <v>18</v>
      </c>
      <c r="G5084">
        <v>0</v>
      </c>
      <c r="H5084">
        <v>7.6</v>
      </c>
      <c r="I5084">
        <v>1.65</v>
      </c>
      <c r="J5084">
        <v>8</v>
      </c>
      <c r="L5084" t="s">
        <v>2709</v>
      </c>
      <c r="M5084">
        <v>41041940</v>
      </c>
      <c r="O5084" t="s">
        <v>19447</v>
      </c>
      <c r="P5084" t="s">
        <v>19899</v>
      </c>
      <c r="Q5084" t="s">
        <v>19900</v>
      </c>
      <c r="R5084" t="s">
        <v>19905</v>
      </c>
      <c r="S5084" t="s">
        <v>19906</v>
      </c>
      <c r="T5084" t="s">
        <v>19918</v>
      </c>
    </row>
    <row r="5085" spans="2:20" x14ac:dyDescent="0.25">
      <c r="B5085" t="s">
        <v>2709</v>
      </c>
      <c r="C5085">
        <v>41041990</v>
      </c>
      <c r="E5085" t="s">
        <v>19447</v>
      </c>
      <c r="F5085">
        <v>18</v>
      </c>
      <c r="G5085">
        <v>0</v>
      </c>
      <c r="H5085">
        <v>7.6</v>
      </c>
      <c r="I5085">
        <v>1.65</v>
      </c>
      <c r="J5085">
        <v>10</v>
      </c>
      <c r="L5085" t="s">
        <v>2709</v>
      </c>
      <c r="M5085">
        <v>41041990</v>
      </c>
      <c r="O5085" t="s">
        <v>19447</v>
      </c>
      <c r="P5085" t="s">
        <v>19899</v>
      </c>
      <c r="Q5085" t="s">
        <v>19900</v>
      </c>
      <c r="R5085" t="s">
        <v>19905</v>
      </c>
      <c r="S5085" t="s">
        <v>19906</v>
      </c>
      <c r="T5085" t="s">
        <v>19904</v>
      </c>
    </row>
    <row r="5086" spans="2:20" x14ac:dyDescent="0.25">
      <c r="B5086" t="s">
        <v>2709</v>
      </c>
      <c r="C5086">
        <v>41044110</v>
      </c>
      <c r="E5086" t="s">
        <v>19447</v>
      </c>
      <c r="F5086">
        <v>18</v>
      </c>
      <c r="G5086">
        <v>0</v>
      </c>
      <c r="H5086">
        <v>7.6</v>
      </c>
      <c r="I5086">
        <v>1.65</v>
      </c>
      <c r="J5086">
        <v>8</v>
      </c>
      <c r="L5086" t="s">
        <v>2709</v>
      </c>
      <c r="M5086">
        <v>41044110</v>
      </c>
      <c r="O5086" t="s">
        <v>19447</v>
      </c>
      <c r="P5086" t="s">
        <v>19899</v>
      </c>
      <c r="Q5086" t="s">
        <v>19900</v>
      </c>
      <c r="R5086" t="s">
        <v>19905</v>
      </c>
      <c r="S5086" t="s">
        <v>19906</v>
      </c>
      <c r="T5086" t="s">
        <v>19918</v>
      </c>
    </row>
    <row r="5087" spans="2:20" x14ac:dyDescent="0.25">
      <c r="B5087" t="s">
        <v>2709</v>
      </c>
      <c r="C5087">
        <v>41044120</v>
      </c>
      <c r="E5087" t="s">
        <v>19447</v>
      </c>
      <c r="F5087">
        <v>18</v>
      </c>
      <c r="G5087">
        <v>0</v>
      </c>
      <c r="H5087">
        <v>7.6</v>
      </c>
      <c r="I5087">
        <v>1.65</v>
      </c>
      <c r="J5087">
        <v>10</v>
      </c>
      <c r="L5087" t="s">
        <v>2709</v>
      </c>
      <c r="M5087">
        <v>41044120</v>
      </c>
      <c r="O5087" t="s">
        <v>19447</v>
      </c>
      <c r="P5087" t="s">
        <v>19899</v>
      </c>
      <c r="Q5087" t="s">
        <v>19900</v>
      </c>
      <c r="R5087" t="s">
        <v>19905</v>
      </c>
      <c r="S5087" t="s">
        <v>19906</v>
      </c>
      <c r="T5087" t="s">
        <v>19904</v>
      </c>
    </row>
    <row r="5088" spans="2:20" x14ac:dyDescent="0.25">
      <c r="B5088" t="s">
        <v>2709</v>
      </c>
      <c r="C5088">
        <v>41044130</v>
      </c>
      <c r="E5088" t="s">
        <v>19447</v>
      </c>
      <c r="F5088">
        <v>18</v>
      </c>
      <c r="G5088">
        <v>0</v>
      </c>
      <c r="H5088">
        <v>7.6</v>
      </c>
      <c r="I5088">
        <v>1.65</v>
      </c>
      <c r="J5088">
        <v>10</v>
      </c>
      <c r="L5088" t="s">
        <v>2709</v>
      </c>
      <c r="M5088">
        <v>41044130</v>
      </c>
      <c r="O5088" t="s">
        <v>19447</v>
      </c>
      <c r="P5088" t="s">
        <v>19899</v>
      </c>
      <c r="Q5088" t="s">
        <v>19900</v>
      </c>
      <c r="R5088" t="s">
        <v>19905</v>
      </c>
      <c r="S5088" t="s">
        <v>19906</v>
      </c>
      <c r="T5088" t="s">
        <v>19904</v>
      </c>
    </row>
    <row r="5089" spans="2:20" x14ac:dyDescent="0.25">
      <c r="B5089" t="s">
        <v>2709</v>
      </c>
      <c r="C5089">
        <v>41044190</v>
      </c>
      <c r="E5089" t="s">
        <v>19447</v>
      </c>
      <c r="F5089">
        <v>18</v>
      </c>
      <c r="G5089">
        <v>0</v>
      </c>
      <c r="H5089">
        <v>7.6</v>
      </c>
      <c r="I5089">
        <v>1.65</v>
      </c>
      <c r="J5089">
        <v>10</v>
      </c>
      <c r="L5089" t="s">
        <v>2709</v>
      </c>
      <c r="M5089">
        <v>41044190</v>
      </c>
      <c r="O5089" t="s">
        <v>19447</v>
      </c>
      <c r="P5089" t="s">
        <v>19899</v>
      </c>
      <c r="Q5089" t="s">
        <v>19900</v>
      </c>
      <c r="R5089" t="s">
        <v>19905</v>
      </c>
      <c r="S5089" t="s">
        <v>19906</v>
      </c>
      <c r="T5089" t="s">
        <v>19904</v>
      </c>
    </row>
    <row r="5090" spans="2:20" x14ac:dyDescent="0.25">
      <c r="B5090" t="s">
        <v>2709</v>
      </c>
      <c r="C5090">
        <v>41044910</v>
      </c>
      <c r="E5090" t="s">
        <v>19447</v>
      </c>
      <c r="F5090">
        <v>18</v>
      </c>
      <c r="G5090">
        <v>0</v>
      </c>
      <c r="H5090">
        <v>7.6</v>
      </c>
      <c r="I5090">
        <v>1.65</v>
      </c>
      <c r="J5090">
        <v>8</v>
      </c>
      <c r="L5090" t="s">
        <v>2709</v>
      </c>
      <c r="M5090">
        <v>41044910</v>
      </c>
      <c r="O5090" t="s">
        <v>19447</v>
      </c>
      <c r="P5090" t="s">
        <v>19899</v>
      </c>
      <c r="Q5090" t="s">
        <v>19900</v>
      </c>
      <c r="R5090" t="s">
        <v>19905</v>
      </c>
      <c r="S5090" t="s">
        <v>19906</v>
      </c>
      <c r="T5090" t="s">
        <v>19918</v>
      </c>
    </row>
    <row r="5091" spans="2:20" x14ac:dyDescent="0.25">
      <c r="B5091" t="s">
        <v>2709</v>
      </c>
      <c r="C5091">
        <v>41044920</v>
      </c>
      <c r="E5091" t="s">
        <v>19447</v>
      </c>
      <c r="F5091">
        <v>18</v>
      </c>
      <c r="G5091">
        <v>0</v>
      </c>
      <c r="H5091">
        <v>7.6</v>
      </c>
      <c r="I5091">
        <v>1.65</v>
      </c>
      <c r="J5091">
        <v>10</v>
      </c>
      <c r="L5091" t="s">
        <v>2709</v>
      </c>
      <c r="M5091">
        <v>41044920</v>
      </c>
      <c r="O5091" t="s">
        <v>19447</v>
      </c>
      <c r="P5091" t="s">
        <v>19899</v>
      </c>
      <c r="Q5091" t="s">
        <v>19900</v>
      </c>
      <c r="R5091" t="s">
        <v>19905</v>
      </c>
      <c r="S5091" t="s">
        <v>19906</v>
      </c>
      <c r="T5091" t="s">
        <v>19904</v>
      </c>
    </row>
    <row r="5092" spans="2:20" x14ac:dyDescent="0.25">
      <c r="B5092" t="s">
        <v>2709</v>
      </c>
      <c r="C5092">
        <v>41044990</v>
      </c>
      <c r="E5092" t="s">
        <v>19447</v>
      </c>
      <c r="F5092">
        <v>18</v>
      </c>
      <c r="G5092">
        <v>0</v>
      </c>
      <c r="H5092">
        <v>7.6</v>
      </c>
      <c r="I5092">
        <v>1.65</v>
      </c>
      <c r="J5092">
        <v>10</v>
      </c>
      <c r="L5092" t="s">
        <v>2709</v>
      </c>
      <c r="M5092">
        <v>41044990</v>
      </c>
      <c r="O5092" t="s">
        <v>19447</v>
      </c>
      <c r="P5092" t="s">
        <v>19899</v>
      </c>
      <c r="Q5092" t="s">
        <v>19900</v>
      </c>
      <c r="R5092" t="s">
        <v>19905</v>
      </c>
      <c r="S5092" t="s">
        <v>19906</v>
      </c>
      <c r="T5092" t="s">
        <v>19904</v>
      </c>
    </row>
    <row r="5093" spans="2:20" x14ac:dyDescent="0.25">
      <c r="B5093" t="s">
        <v>2709</v>
      </c>
      <c r="C5093">
        <v>41051010</v>
      </c>
      <c r="E5093" t="s">
        <v>19447</v>
      </c>
      <c r="F5093">
        <v>18</v>
      </c>
      <c r="G5093">
        <v>0</v>
      </c>
      <c r="H5093">
        <v>7.6</v>
      </c>
      <c r="I5093">
        <v>1.65</v>
      </c>
      <c r="J5093">
        <v>10</v>
      </c>
      <c r="L5093" t="s">
        <v>2709</v>
      </c>
      <c r="M5093">
        <v>41051010</v>
      </c>
      <c r="O5093" t="s">
        <v>19447</v>
      </c>
      <c r="P5093" t="s">
        <v>19899</v>
      </c>
      <c r="Q5093" t="s">
        <v>19900</v>
      </c>
      <c r="R5093" t="s">
        <v>19905</v>
      </c>
      <c r="S5093" t="s">
        <v>19906</v>
      </c>
      <c r="T5093" t="s">
        <v>19904</v>
      </c>
    </row>
    <row r="5094" spans="2:20" x14ac:dyDescent="0.25">
      <c r="B5094" t="s">
        <v>2709</v>
      </c>
      <c r="C5094">
        <v>41051021</v>
      </c>
      <c r="E5094" t="s">
        <v>19447</v>
      </c>
      <c r="F5094">
        <v>18</v>
      </c>
      <c r="G5094">
        <v>0</v>
      </c>
      <c r="H5094">
        <v>7.6</v>
      </c>
      <c r="I5094">
        <v>1.65</v>
      </c>
      <c r="J5094">
        <v>8</v>
      </c>
      <c r="L5094" t="s">
        <v>2709</v>
      </c>
      <c r="M5094">
        <v>41051021</v>
      </c>
      <c r="O5094" t="s">
        <v>19447</v>
      </c>
      <c r="P5094" t="s">
        <v>19899</v>
      </c>
      <c r="Q5094" t="s">
        <v>19900</v>
      </c>
      <c r="R5094" t="s">
        <v>19905</v>
      </c>
      <c r="S5094" t="s">
        <v>19906</v>
      </c>
      <c r="T5094" t="s">
        <v>19918</v>
      </c>
    </row>
    <row r="5095" spans="2:20" x14ac:dyDescent="0.25">
      <c r="B5095" t="s">
        <v>2709</v>
      </c>
      <c r="C5095">
        <v>41051029</v>
      </c>
      <c r="E5095" t="s">
        <v>19447</v>
      </c>
      <c r="F5095">
        <v>18</v>
      </c>
      <c r="G5095">
        <v>0</v>
      </c>
      <c r="H5095">
        <v>7.6</v>
      </c>
      <c r="I5095">
        <v>1.65</v>
      </c>
      <c r="J5095">
        <v>8</v>
      </c>
      <c r="L5095" t="s">
        <v>2709</v>
      </c>
      <c r="M5095">
        <v>41051029</v>
      </c>
      <c r="O5095" t="s">
        <v>19447</v>
      </c>
      <c r="P5095" t="s">
        <v>19899</v>
      </c>
      <c r="Q5095" t="s">
        <v>19900</v>
      </c>
      <c r="R5095" t="s">
        <v>19905</v>
      </c>
      <c r="S5095" t="s">
        <v>19906</v>
      </c>
      <c r="T5095" t="s">
        <v>19918</v>
      </c>
    </row>
    <row r="5096" spans="2:20" x14ac:dyDescent="0.25">
      <c r="B5096" t="s">
        <v>2709</v>
      </c>
      <c r="C5096">
        <v>41051090</v>
      </c>
      <c r="E5096" t="s">
        <v>19447</v>
      </c>
      <c r="F5096">
        <v>18</v>
      </c>
      <c r="G5096">
        <v>0</v>
      </c>
      <c r="H5096">
        <v>7.6</v>
      </c>
      <c r="I5096">
        <v>1.65</v>
      </c>
      <c r="J5096">
        <v>10</v>
      </c>
      <c r="L5096" t="s">
        <v>2709</v>
      </c>
      <c r="M5096">
        <v>41051090</v>
      </c>
      <c r="O5096" t="s">
        <v>19447</v>
      </c>
      <c r="P5096" t="s">
        <v>19899</v>
      </c>
      <c r="Q5096" t="s">
        <v>19900</v>
      </c>
      <c r="R5096" t="s">
        <v>19905</v>
      </c>
      <c r="S5096" t="s">
        <v>19906</v>
      </c>
      <c r="T5096" t="s">
        <v>19904</v>
      </c>
    </row>
    <row r="5097" spans="2:20" x14ac:dyDescent="0.25">
      <c r="B5097" t="s">
        <v>2709</v>
      </c>
      <c r="C5097">
        <v>41053000</v>
      </c>
      <c r="E5097" t="s">
        <v>19447</v>
      </c>
      <c r="F5097">
        <v>18</v>
      </c>
      <c r="G5097">
        <v>0</v>
      </c>
      <c r="H5097">
        <v>7.6</v>
      </c>
      <c r="I5097">
        <v>1.65</v>
      </c>
      <c r="J5097">
        <v>10</v>
      </c>
      <c r="L5097" t="s">
        <v>2709</v>
      </c>
      <c r="M5097">
        <v>41053000</v>
      </c>
      <c r="O5097" t="s">
        <v>19447</v>
      </c>
      <c r="P5097" t="s">
        <v>19899</v>
      </c>
      <c r="Q5097" t="s">
        <v>19900</v>
      </c>
      <c r="R5097" t="s">
        <v>19905</v>
      </c>
      <c r="S5097" t="s">
        <v>19906</v>
      </c>
      <c r="T5097" t="s">
        <v>19904</v>
      </c>
    </row>
    <row r="5098" spans="2:20" x14ac:dyDescent="0.25">
      <c r="B5098" t="s">
        <v>2709</v>
      </c>
      <c r="C5098">
        <v>41062110</v>
      </c>
      <c r="E5098" t="s">
        <v>19447</v>
      </c>
      <c r="F5098">
        <v>18</v>
      </c>
      <c r="G5098">
        <v>0</v>
      </c>
      <c r="H5098">
        <v>7.6</v>
      </c>
      <c r="I5098">
        <v>1.65</v>
      </c>
      <c r="J5098">
        <v>10</v>
      </c>
      <c r="L5098" t="s">
        <v>2709</v>
      </c>
      <c r="M5098">
        <v>41062110</v>
      </c>
      <c r="O5098" t="s">
        <v>19447</v>
      </c>
      <c r="P5098" t="s">
        <v>19899</v>
      </c>
      <c r="Q5098" t="s">
        <v>19900</v>
      </c>
      <c r="R5098" t="s">
        <v>19905</v>
      </c>
      <c r="S5098" t="s">
        <v>19906</v>
      </c>
      <c r="T5098" t="s">
        <v>19904</v>
      </c>
    </row>
    <row r="5099" spans="2:20" x14ac:dyDescent="0.25">
      <c r="B5099" t="s">
        <v>2709</v>
      </c>
      <c r="C5099">
        <v>41062121</v>
      </c>
      <c r="E5099" t="s">
        <v>19447</v>
      </c>
      <c r="F5099">
        <v>18</v>
      </c>
      <c r="G5099">
        <v>0</v>
      </c>
      <c r="H5099">
        <v>7.6</v>
      </c>
      <c r="I5099">
        <v>1.65</v>
      </c>
      <c r="J5099">
        <v>8</v>
      </c>
      <c r="L5099" t="s">
        <v>2709</v>
      </c>
      <c r="M5099">
        <v>41062121</v>
      </c>
      <c r="O5099" t="s">
        <v>19447</v>
      </c>
      <c r="P5099" t="s">
        <v>19899</v>
      </c>
      <c r="Q5099" t="s">
        <v>19900</v>
      </c>
      <c r="R5099" t="s">
        <v>19905</v>
      </c>
      <c r="S5099" t="s">
        <v>19906</v>
      </c>
      <c r="T5099" t="s">
        <v>19918</v>
      </c>
    </row>
    <row r="5100" spans="2:20" x14ac:dyDescent="0.25">
      <c r="B5100" t="s">
        <v>2709</v>
      </c>
      <c r="C5100">
        <v>41062129</v>
      </c>
      <c r="E5100" t="s">
        <v>19447</v>
      </c>
      <c r="F5100">
        <v>18</v>
      </c>
      <c r="G5100">
        <v>0</v>
      </c>
      <c r="H5100">
        <v>7.6</v>
      </c>
      <c r="I5100">
        <v>1.65</v>
      </c>
      <c r="J5100">
        <v>10</v>
      </c>
      <c r="L5100" t="s">
        <v>2709</v>
      </c>
      <c r="M5100">
        <v>41062129</v>
      </c>
      <c r="O5100" t="s">
        <v>19447</v>
      </c>
      <c r="P5100" t="s">
        <v>19899</v>
      </c>
      <c r="Q5100" t="s">
        <v>19900</v>
      </c>
      <c r="R5100" t="s">
        <v>19905</v>
      </c>
      <c r="S5100" t="s">
        <v>19906</v>
      </c>
      <c r="T5100" t="s">
        <v>19904</v>
      </c>
    </row>
    <row r="5101" spans="2:20" x14ac:dyDescent="0.25">
      <c r="B5101" t="s">
        <v>2709</v>
      </c>
      <c r="C5101">
        <v>41062190</v>
      </c>
      <c r="E5101" t="s">
        <v>19447</v>
      </c>
      <c r="F5101">
        <v>18</v>
      </c>
      <c r="G5101">
        <v>0</v>
      </c>
      <c r="H5101">
        <v>7.6</v>
      </c>
      <c r="I5101">
        <v>1.65</v>
      </c>
      <c r="J5101">
        <v>10</v>
      </c>
      <c r="L5101" t="s">
        <v>2709</v>
      </c>
      <c r="M5101">
        <v>41062190</v>
      </c>
      <c r="O5101" t="s">
        <v>19447</v>
      </c>
      <c r="P5101" t="s">
        <v>19899</v>
      </c>
      <c r="Q5101" t="s">
        <v>19900</v>
      </c>
      <c r="R5101" t="s">
        <v>19905</v>
      </c>
      <c r="S5101" t="s">
        <v>19906</v>
      </c>
      <c r="T5101" t="s">
        <v>19904</v>
      </c>
    </row>
    <row r="5102" spans="2:20" x14ac:dyDescent="0.25">
      <c r="B5102" t="s">
        <v>2709</v>
      </c>
      <c r="C5102">
        <v>41062200</v>
      </c>
      <c r="E5102" t="s">
        <v>19447</v>
      </c>
      <c r="F5102">
        <v>18</v>
      </c>
      <c r="G5102">
        <v>0</v>
      </c>
      <c r="H5102">
        <v>7.6</v>
      </c>
      <c r="I5102">
        <v>1.65</v>
      </c>
      <c r="J5102">
        <v>10</v>
      </c>
      <c r="L5102" t="s">
        <v>2709</v>
      </c>
      <c r="M5102">
        <v>41062200</v>
      </c>
      <c r="O5102" t="s">
        <v>19447</v>
      </c>
      <c r="P5102" t="s">
        <v>19899</v>
      </c>
      <c r="Q5102" t="s">
        <v>19900</v>
      </c>
      <c r="R5102" t="s">
        <v>19905</v>
      </c>
      <c r="S5102" t="s">
        <v>19906</v>
      </c>
      <c r="T5102" t="s">
        <v>19904</v>
      </c>
    </row>
    <row r="5103" spans="2:20" x14ac:dyDescent="0.25">
      <c r="B5103" t="s">
        <v>2709</v>
      </c>
      <c r="C5103">
        <v>41063110</v>
      </c>
      <c r="E5103" t="s">
        <v>19447</v>
      </c>
      <c r="F5103">
        <v>18</v>
      </c>
      <c r="G5103">
        <v>0</v>
      </c>
      <c r="H5103">
        <v>7.6</v>
      </c>
      <c r="I5103">
        <v>1.65</v>
      </c>
      <c r="J5103">
        <v>8</v>
      </c>
      <c r="L5103" t="s">
        <v>2709</v>
      </c>
      <c r="M5103">
        <v>41063110</v>
      </c>
      <c r="O5103" t="s">
        <v>19447</v>
      </c>
      <c r="P5103" t="s">
        <v>19899</v>
      </c>
      <c r="Q5103" t="s">
        <v>19900</v>
      </c>
      <c r="R5103" t="s">
        <v>19905</v>
      </c>
      <c r="S5103" t="s">
        <v>19906</v>
      </c>
      <c r="T5103" t="s">
        <v>19918</v>
      </c>
    </row>
    <row r="5104" spans="2:20" x14ac:dyDescent="0.25">
      <c r="B5104" t="s">
        <v>2709</v>
      </c>
      <c r="C5104">
        <v>41063190</v>
      </c>
      <c r="E5104" t="s">
        <v>19447</v>
      </c>
      <c r="F5104">
        <v>18</v>
      </c>
      <c r="G5104">
        <v>0</v>
      </c>
      <c r="H5104">
        <v>7.6</v>
      </c>
      <c r="I5104">
        <v>1.65</v>
      </c>
      <c r="J5104">
        <v>10</v>
      </c>
      <c r="L5104" t="s">
        <v>2709</v>
      </c>
      <c r="M5104">
        <v>41063190</v>
      </c>
      <c r="O5104" t="s">
        <v>19447</v>
      </c>
      <c r="P5104" t="s">
        <v>19899</v>
      </c>
      <c r="Q5104" t="s">
        <v>19900</v>
      </c>
      <c r="R5104" t="s">
        <v>19905</v>
      </c>
      <c r="S5104" t="s">
        <v>19906</v>
      </c>
      <c r="T5104" t="s">
        <v>19904</v>
      </c>
    </row>
    <row r="5105" spans="2:20" x14ac:dyDescent="0.25">
      <c r="B5105" t="s">
        <v>2709</v>
      </c>
      <c r="C5105">
        <v>41063200</v>
      </c>
      <c r="E5105" t="s">
        <v>19447</v>
      </c>
      <c r="F5105">
        <v>18</v>
      </c>
      <c r="G5105">
        <v>0</v>
      </c>
      <c r="H5105">
        <v>7.6</v>
      </c>
      <c r="I5105">
        <v>1.65</v>
      </c>
      <c r="J5105">
        <v>10</v>
      </c>
      <c r="L5105" t="s">
        <v>2709</v>
      </c>
      <c r="M5105">
        <v>41063200</v>
      </c>
      <c r="O5105" t="s">
        <v>19447</v>
      </c>
      <c r="P5105" t="s">
        <v>19899</v>
      </c>
      <c r="Q5105" t="s">
        <v>19900</v>
      </c>
      <c r="R5105" t="s">
        <v>19905</v>
      </c>
      <c r="S5105" t="s">
        <v>19906</v>
      </c>
      <c r="T5105" t="s">
        <v>19904</v>
      </c>
    </row>
    <row r="5106" spans="2:20" x14ac:dyDescent="0.25">
      <c r="B5106" t="s">
        <v>2709</v>
      </c>
      <c r="C5106">
        <v>41064000</v>
      </c>
      <c r="E5106" t="s">
        <v>19447</v>
      </c>
      <c r="F5106">
        <v>18</v>
      </c>
      <c r="G5106">
        <v>0</v>
      </c>
      <c r="H5106">
        <v>7.6</v>
      </c>
      <c r="I5106">
        <v>1.65</v>
      </c>
      <c r="J5106">
        <v>10</v>
      </c>
      <c r="L5106" t="s">
        <v>2709</v>
      </c>
      <c r="M5106">
        <v>41064000</v>
      </c>
      <c r="O5106" t="s">
        <v>19447</v>
      </c>
      <c r="P5106" t="s">
        <v>19899</v>
      </c>
      <c r="Q5106" t="s">
        <v>19900</v>
      </c>
      <c r="R5106" t="s">
        <v>19905</v>
      </c>
      <c r="S5106" t="s">
        <v>19906</v>
      </c>
      <c r="T5106" t="s">
        <v>19904</v>
      </c>
    </row>
    <row r="5107" spans="2:20" x14ac:dyDescent="0.25">
      <c r="B5107" t="s">
        <v>2709</v>
      </c>
      <c r="C5107">
        <v>41069100</v>
      </c>
      <c r="E5107" t="s">
        <v>19447</v>
      </c>
      <c r="F5107">
        <v>18</v>
      </c>
      <c r="G5107">
        <v>0</v>
      </c>
      <c r="H5107">
        <v>7.6</v>
      </c>
      <c r="I5107">
        <v>1.65</v>
      </c>
      <c r="J5107">
        <v>10</v>
      </c>
      <c r="L5107" t="s">
        <v>2709</v>
      </c>
      <c r="M5107">
        <v>41069100</v>
      </c>
      <c r="O5107" t="s">
        <v>19447</v>
      </c>
      <c r="P5107" t="s">
        <v>19899</v>
      </c>
      <c r="Q5107" t="s">
        <v>19900</v>
      </c>
      <c r="R5107" t="s">
        <v>19905</v>
      </c>
      <c r="S5107" t="s">
        <v>19906</v>
      </c>
      <c r="T5107" t="s">
        <v>19904</v>
      </c>
    </row>
    <row r="5108" spans="2:20" x14ac:dyDescent="0.25">
      <c r="B5108" t="s">
        <v>2709</v>
      </c>
      <c r="C5108">
        <v>41069200</v>
      </c>
      <c r="E5108" t="s">
        <v>19447</v>
      </c>
      <c r="F5108">
        <v>18</v>
      </c>
      <c r="G5108">
        <v>0</v>
      </c>
      <c r="H5108">
        <v>7.6</v>
      </c>
      <c r="I5108">
        <v>1.65</v>
      </c>
      <c r="J5108">
        <v>10</v>
      </c>
      <c r="L5108" t="s">
        <v>2709</v>
      </c>
      <c r="M5108">
        <v>41069200</v>
      </c>
      <c r="O5108" t="s">
        <v>19447</v>
      </c>
      <c r="P5108" t="s">
        <v>19899</v>
      </c>
      <c r="Q5108" t="s">
        <v>19900</v>
      </c>
      <c r="R5108" t="s">
        <v>19905</v>
      </c>
      <c r="S5108" t="s">
        <v>19906</v>
      </c>
      <c r="T5108" t="s">
        <v>19904</v>
      </c>
    </row>
    <row r="5109" spans="2:20" x14ac:dyDescent="0.25">
      <c r="B5109" t="s">
        <v>2709</v>
      </c>
      <c r="C5109">
        <v>41071110</v>
      </c>
      <c r="E5109" t="s">
        <v>19447</v>
      </c>
      <c r="F5109">
        <v>18</v>
      </c>
      <c r="G5109">
        <v>0</v>
      </c>
      <c r="H5109">
        <v>7.6</v>
      </c>
      <c r="I5109">
        <v>1.65</v>
      </c>
      <c r="J5109">
        <v>8</v>
      </c>
      <c r="L5109" t="s">
        <v>2709</v>
      </c>
      <c r="M5109">
        <v>41071110</v>
      </c>
      <c r="O5109" t="s">
        <v>19447</v>
      </c>
      <c r="P5109" t="s">
        <v>19899</v>
      </c>
      <c r="Q5109" t="s">
        <v>19900</v>
      </c>
      <c r="R5109" t="s">
        <v>19905</v>
      </c>
      <c r="S5109" t="s">
        <v>19906</v>
      </c>
      <c r="T5109" t="s">
        <v>19918</v>
      </c>
    </row>
    <row r="5110" spans="2:20" x14ac:dyDescent="0.25">
      <c r="B5110" t="s">
        <v>2709</v>
      </c>
      <c r="C5110">
        <v>41071120</v>
      </c>
      <c r="E5110" t="s">
        <v>19447</v>
      </c>
      <c r="F5110">
        <v>18</v>
      </c>
      <c r="G5110">
        <v>0</v>
      </c>
      <c r="H5110">
        <v>7.6</v>
      </c>
      <c r="I5110">
        <v>1.65</v>
      </c>
      <c r="J5110">
        <v>10</v>
      </c>
      <c r="L5110" t="s">
        <v>2709</v>
      </c>
      <c r="M5110">
        <v>41071120</v>
      </c>
      <c r="O5110" t="s">
        <v>19447</v>
      </c>
      <c r="P5110" t="s">
        <v>19899</v>
      </c>
      <c r="Q5110" t="s">
        <v>19900</v>
      </c>
      <c r="R5110" t="s">
        <v>19905</v>
      </c>
      <c r="S5110" t="s">
        <v>19906</v>
      </c>
      <c r="T5110" t="s">
        <v>19904</v>
      </c>
    </row>
    <row r="5111" spans="2:20" x14ac:dyDescent="0.25">
      <c r="B5111" t="s">
        <v>2709</v>
      </c>
      <c r="C5111">
        <v>41071190</v>
      </c>
      <c r="E5111" t="s">
        <v>19447</v>
      </c>
      <c r="F5111">
        <v>18</v>
      </c>
      <c r="G5111">
        <v>0</v>
      </c>
      <c r="H5111">
        <v>7.6</v>
      </c>
      <c r="I5111">
        <v>1.65</v>
      </c>
      <c r="J5111">
        <v>10</v>
      </c>
      <c r="L5111" t="s">
        <v>2709</v>
      </c>
      <c r="M5111">
        <v>41071190</v>
      </c>
      <c r="O5111" t="s">
        <v>19447</v>
      </c>
      <c r="P5111" t="s">
        <v>19899</v>
      </c>
      <c r="Q5111" t="s">
        <v>19900</v>
      </c>
      <c r="R5111" t="s">
        <v>19905</v>
      </c>
      <c r="S5111" t="s">
        <v>19906</v>
      </c>
      <c r="T5111" t="s">
        <v>19904</v>
      </c>
    </row>
    <row r="5112" spans="2:20" x14ac:dyDescent="0.25">
      <c r="B5112" t="s">
        <v>2709</v>
      </c>
      <c r="C5112">
        <v>41071210</v>
      </c>
      <c r="E5112" t="s">
        <v>19447</v>
      </c>
      <c r="F5112">
        <v>18</v>
      </c>
      <c r="G5112">
        <v>0</v>
      </c>
      <c r="H5112">
        <v>7.6</v>
      </c>
      <c r="I5112">
        <v>1.65</v>
      </c>
      <c r="J5112">
        <v>8</v>
      </c>
      <c r="L5112" t="s">
        <v>2709</v>
      </c>
      <c r="M5112">
        <v>41071210</v>
      </c>
      <c r="O5112" t="s">
        <v>19447</v>
      </c>
      <c r="P5112" t="s">
        <v>19899</v>
      </c>
      <c r="Q5112" t="s">
        <v>19900</v>
      </c>
      <c r="R5112" t="s">
        <v>19905</v>
      </c>
      <c r="S5112" t="s">
        <v>19906</v>
      </c>
      <c r="T5112" t="s">
        <v>19918</v>
      </c>
    </row>
    <row r="5113" spans="2:20" x14ac:dyDescent="0.25">
      <c r="B5113" t="s">
        <v>2709</v>
      </c>
      <c r="C5113">
        <v>41071220</v>
      </c>
      <c r="E5113" t="s">
        <v>19447</v>
      </c>
      <c r="F5113">
        <v>18</v>
      </c>
      <c r="G5113">
        <v>0</v>
      </c>
      <c r="H5113">
        <v>7.6</v>
      </c>
      <c r="I5113">
        <v>1.65</v>
      </c>
      <c r="J5113">
        <v>10</v>
      </c>
      <c r="L5113" t="s">
        <v>2709</v>
      </c>
      <c r="M5113">
        <v>41071220</v>
      </c>
      <c r="O5113" t="s">
        <v>19447</v>
      </c>
      <c r="P5113" t="s">
        <v>19899</v>
      </c>
      <c r="Q5113" t="s">
        <v>19900</v>
      </c>
      <c r="R5113" t="s">
        <v>19905</v>
      </c>
      <c r="S5113" t="s">
        <v>19906</v>
      </c>
      <c r="T5113" t="s">
        <v>19904</v>
      </c>
    </row>
    <row r="5114" spans="2:20" x14ac:dyDescent="0.25">
      <c r="B5114" t="s">
        <v>2709</v>
      </c>
      <c r="C5114">
        <v>41071290</v>
      </c>
      <c r="E5114" t="s">
        <v>19447</v>
      </c>
      <c r="F5114">
        <v>18</v>
      </c>
      <c r="G5114">
        <v>0</v>
      </c>
      <c r="H5114">
        <v>7.6</v>
      </c>
      <c r="I5114">
        <v>1.65</v>
      </c>
      <c r="J5114">
        <v>10</v>
      </c>
      <c r="L5114" t="s">
        <v>2709</v>
      </c>
      <c r="M5114">
        <v>41071290</v>
      </c>
      <c r="O5114" t="s">
        <v>19447</v>
      </c>
      <c r="P5114" t="s">
        <v>19899</v>
      </c>
      <c r="Q5114" t="s">
        <v>19900</v>
      </c>
      <c r="R5114" t="s">
        <v>19905</v>
      </c>
      <c r="S5114" t="s">
        <v>19906</v>
      </c>
      <c r="T5114" t="s">
        <v>19904</v>
      </c>
    </row>
    <row r="5115" spans="2:20" x14ac:dyDescent="0.25">
      <c r="B5115" t="s">
        <v>2709</v>
      </c>
      <c r="C5115">
        <v>41071910</v>
      </c>
      <c r="E5115" t="s">
        <v>19447</v>
      </c>
      <c r="F5115">
        <v>18</v>
      </c>
      <c r="G5115">
        <v>0</v>
      </c>
      <c r="H5115">
        <v>7.6</v>
      </c>
      <c r="I5115">
        <v>1.65</v>
      </c>
      <c r="J5115">
        <v>8</v>
      </c>
      <c r="L5115" t="s">
        <v>2709</v>
      </c>
      <c r="M5115">
        <v>41071910</v>
      </c>
      <c r="O5115" t="s">
        <v>19447</v>
      </c>
      <c r="P5115" t="s">
        <v>19899</v>
      </c>
      <c r="Q5115" t="s">
        <v>19900</v>
      </c>
      <c r="R5115" t="s">
        <v>19905</v>
      </c>
      <c r="S5115" t="s">
        <v>19906</v>
      </c>
      <c r="T5115" t="s">
        <v>19918</v>
      </c>
    </row>
    <row r="5116" spans="2:20" x14ac:dyDescent="0.25">
      <c r="B5116" t="s">
        <v>2709</v>
      </c>
      <c r="C5116">
        <v>41071920</v>
      </c>
      <c r="E5116" t="s">
        <v>19447</v>
      </c>
      <c r="F5116">
        <v>18</v>
      </c>
      <c r="G5116">
        <v>0</v>
      </c>
      <c r="H5116">
        <v>7.6</v>
      </c>
      <c r="I5116">
        <v>1.65</v>
      </c>
      <c r="J5116">
        <v>10</v>
      </c>
      <c r="L5116" t="s">
        <v>2709</v>
      </c>
      <c r="M5116">
        <v>41071920</v>
      </c>
      <c r="O5116" t="s">
        <v>19447</v>
      </c>
      <c r="P5116" t="s">
        <v>19899</v>
      </c>
      <c r="Q5116" t="s">
        <v>19900</v>
      </c>
      <c r="R5116" t="s">
        <v>19905</v>
      </c>
      <c r="S5116" t="s">
        <v>19906</v>
      </c>
      <c r="T5116" t="s">
        <v>19904</v>
      </c>
    </row>
    <row r="5117" spans="2:20" x14ac:dyDescent="0.25">
      <c r="B5117" t="s">
        <v>2709</v>
      </c>
      <c r="C5117">
        <v>41071990</v>
      </c>
      <c r="E5117" t="s">
        <v>19447</v>
      </c>
      <c r="F5117">
        <v>18</v>
      </c>
      <c r="G5117">
        <v>0</v>
      </c>
      <c r="H5117">
        <v>7.6</v>
      </c>
      <c r="I5117">
        <v>1.65</v>
      </c>
      <c r="J5117">
        <v>10</v>
      </c>
      <c r="L5117" t="s">
        <v>2709</v>
      </c>
      <c r="M5117">
        <v>41071990</v>
      </c>
      <c r="O5117" t="s">
        <v>19447</v>
      </c>
      <c r="P5117" t="s">
        <v>19899</v>
      </c>
      <c r="Q5117" t="s">
        <v>19900</v>
      </c>
      <c r="R5117" t="s">
        <v>19905</v>
      </c>
      <c r="S5117" t="s">
        <v>19906</v>
      </c>
      <c r="T5117" t="s">
        <v>19904</v>
      </c>
    </row>
    <row r="5118" spans="2:20" x14ac:dyDescent="0.25">
      <c r="B5118" t="s">
        <v>2709</v>
      </c>
      <c r="C5118">
        <v>41079110</v>
      </c>
      <c r="E5118" t="s">
        <v>19447</v>
      </c>
      <c r="F5118">
        <v>18</v>
      </c>
      <c r="G5118">
        <v>0</v>
      </c>
      <c r="H5118">
        <v>7.6</v>
      </c>
      <c r="I5118">
        <v>1.65</v>
      </c>
      <c r="J5118">
        <v>10</v>
      </c>
      <c r="L5118" t="s">
        <v>2709</v>
      </c>
      <c r="M5118">
        <v>41079110</v>
      </c>
      <c r="O5118" t="s">
        <v>19447</v>
      </c>
      <c r="P5118" t="s">
        <v>19899</v>
      </c>
      <c r="Q5118" t="s">
        <v>19900</v>
      </c>
      <c r="R5118" t="s">
        <v>19905</v>
      </c>
      <c r="S5118" t="s">
        <v>19906</v>
      </c>
      <c r="T5118" t="s">
        <v>19904</v>
      </c>
    </row>
    <row r="5119" spans="2:20" x14ac:dyDescent="0.25">
      <c r="B5119" t="s">
        <v>2709</v>
      </c>
      <c r="C5119">
        <v>41079190</v>
      </c>
      <c r="E5119" t="s">
        <v>19447</v>
      </c>
      <c r="F5119">
        <v>18</v>
      </c>
      <c r="G5119">
        <v>0</v>
      </c>
      <c r="H5119">
        <v>7.6</v>
      </c>
      <c r="I5119">
        <v>1.65</v>
      </c>
      <c r="J5119">
        <v>10</v>
      </c>
      <c r="L5119" t="s">
        <v>2709</v>
      </c>
      <c r="M5119">
        <v>41079190</v>
      </c>
      <c r="O5119" t="s">
        <v>19447</v>
      </c>
      <c r="P5119" t="s">
        <v>19899</v>
      </c>
      <c r="Q5119" t="s">
        <v>19900</v>
      </c>
      <c r="R5119" t="s">
        <v>19905</v>
      </c>
      <c r="S5119" t="s">
        <v>19906</v>
      </c>
      <c r="T5119" t="s">
        <v>19904</v>
      </c>
    </row>
    <row r="5120" spans="2:20" x14ac:dyDescent="0.25">
      <c r="B5120" t="s">
        <v>2709</v>
      </c>
      <c r="C5120">
        <v>41079210</v>
      </c>
      <c r="E5120" t="s">
        <v>19447</v>
      </c>
      <c r="F5120">
        <v>18</v>
      </c>
      <c r="G5120">
        <v>0</v>
      </c>
      <c r="H5120">
        <v>7.6</v>
      </c>
      <c r="I5120">
        <v>1.65</v>
      </c>
      <c r="J5120">
        <v>10</v>
      </c>
      <c r="L5120" t="s">
        <v>2709</v>
      </c>
      <c r="M5120">
        <v>41079210</v>
      </c>
      <c r="O5120" t="s">
        <v>19447</v>
      </c>
      <c r="P5120" t="s">
        <v>19899</v>
      </c>
      <c r="Q5120" t="s">
        <v>19900</v>
      </c>
      <c r="R5120" t="s">
        <v>19905</v>
      </c>
      <c r="S5120" t="s">
        <v>19906</v>
      </c>
      <c r="T5120" t="s">
        <v>19904</v>
      </c>
    </row>
    <row r="5121" spans="2:20" x14ac:dyDescent="0.25">
      <c r="B5121" t="s">
        <v>2709</v>
      </c>
      <c r="C5121">
        <v>41079290</v>
      </c>
      <c r="E5121" t="s">
        <v>19447</v>
      </c>
      <c r="F5121">
        <v>18</v>
      </c>
      <c r="G5121">
        <v>0</v>
      </c>
      <c r="H5121">
        <v>7.6</v>
      </c>
      <c r="I5121">
        <v>1.65</v>
      </c>
      <c r="J5121">
        <v>10</v>
      </c>
      <c r="L5121" t="s">
        <v>2709</v>
      </c>
      <c r="M5121">
        <v>41079290</v>
      </c>
      <c r="O5121" t="s">
        <v>19447</v>
      </c>
      <c r="P5121" t="s">
        <v>19899</v>
      </c>
      <c r="Q5121" t="s">
        <v>19900</v>
      </c>
      <c r="R5121" t="s">
        <v>19905</v>
      </c>
      <c r="S5121" t="s">
        <v>19906</v>
      </c>
      <c r="T5121" t="s">
        <v>19904</v>
      </c>
    </row>
    <row r="5122" spans="2:20" x14ac:dyDescent="0.25">
      <c r="B5122" t="s">
        <v>2709</v>
      </c>
      <c r="C5122">
        <v>41079910</v>
      </c>
      <c r="E5122" t="s">
        <v>19447</v>
      </c>
      <c r="F5122">
        <v>18</v>
      </c>
      <c r="G5122">
        <v>0</v>
      </c>
      <c r="H5122">
        <v>7.6</v>
      </c>
      <c r="I5122">
        <v>1.65</v>
      </c>
      <c r="J5122">
        <v>10</v>
      </c>
      <c r="L5122" t="s">
        <v>2709</v>
      </c>
      <c r="M5122">
        <v>41079910</v>
      </c>
      <c r="O5122" t="s">
        <v>19447</v>
      </c>
      <c r="P5122" t="s">
        <v>19899</v>
      </c>
      <c r="Q5122" t="s">
        <v>19900</v>
      </c>
      <c r="R5122" t="s">
        <v>19905</v>
      </c>
      <c r="S5122" t="s">
        <v>19906</v>
      </c>
      <c r="T5122" t="s">
        <v>19904</v>
      </c>
    </row>
    <row r="5123" spans="2:20" x14ac:dyDescent="0.25">
      <c r="B5123" t="s">
        <v>2709</v>
      </c>
      <c r="C5123">
        <v>41079990</v>
      </c>
      <c r="E5123" t="s">
        <v>19447</v>
      </c>
      <c r="F5123">
        <v>18</v>
      </c>
      <c r="G5123">
        <v>0</v>
      </c>
      <c r="H5123">
        <v>7.6</v>
      </c>
      <c r="I5123">
        <v>1.65</v>
      </c>
      <c r="J5123">
        <v>10</v>
      </c>
      <c r="L5123" t="s">
        <v>2709</v>
      </c>
      <c r="M5123">
        <v>41079990</v>
      </c>
      <c r="O5123" t="s">
        <v>19447</v>
      </c>
      <c r="P5123" t="s">
        <v>19899</v>
      </c>
      <c r="Q5123" t="s">
        <v>19900</v>
      </c>
      <c r="R5123" t="s">
        <v>19905</v>
      </c>
      <c r="S5123" t="s">
        <v>19906</v>
      </c>
      <c r="T5123" t="s">
        <v>19904</v>
      </c>
    </row>
    <row r="5124" spans="2:20" x14ac:dyDescent="0.25">
      <c r="B5124" t="s">
        <v>2709</v>
      </c>
      <c r="C5124">
        <v>41120000</v>
      </c>
      <c r="E5124" t="s">
        <v>19447</v>
      </c>
      <c r="F5124">
        <v>18</v>
      </c>
      <c r="G5124">
        <v>0</v>
      </c>
      <c r="H5124">
        <v>7.6</v>
      </c>
      <c r="I5124">
        <v>1.65</v>
      </c>
      <c r="J5124">
        <v>10</v>
      </c>
      <c r="L5124" t="s">
        <v>2709</v>
      </c>
      <c r="M5124">
        <v>41120000</v>
      </c>
      <c r="O5124" t="s">
        <v>19447</v>
      </c>
      <c r="P5124" t="s">
        <v>19899</v>
      </c>
      <c r="Q5124" t="s">
        <v>19900</v>
      </c>
      <c r="R5124" t="s">
        <v>19905</v>
      </c>
      <c r="S5124" t="s">
        <v>19906</v>
      </c>
      <c r="T5124" t="s">
        <v>19904</v>
      </c>
    </row>
    <row r="5125" spans="2:20" x14ac:dyDescent="0.25">
      <c r="B5125" t="s">
        <v>2709</v>
      </c>
      <c r="C5125">
        <v>41131010</v>
      </c>
      <c r="E5125" t="s">
        <v>19447</v>
      </c>
      <c r="F5125">
        <v>18</v>
      </c>
      <c r="G5125">
        <v>0</v>
      </c>
      <c r="H5125">
        <v>7.6</v>
      </c>
      <c r="I5125">
        <v>1.65</v>
      </c>
      <c r="J5125">
        <v>10</v>
      </c>
      <c r="L5125" t="s">
        <v>2709</v>
      </c>
      <c r="M5125">
        <v>41131010</v>
      </c>
      <c r="O5125" t="s">
        <v>19447</v>
      </c>
      <c r="P5125" t="s">
        <v>19899</v>
      </c>
      <c r="Q5125" t="s">
        <v>19900</v>
      </c>
      <c r="R5125" t="s">
        <v>19905</v>
      </c>
      <c r="S5125" t="s">
        <v>19906</v>
      </c>
      <c r="T5125" t="s">
        <v>19904</v>
      </c>
    </row>
    <row r="5126" spans="2:20" x14ac:dyDescent="0.25">
      <c r="B5126" t="s">
        <v>2709</v>
      </c>
      <c r="C5126">
        <v>41131090</v>
      </c>
      <c r="E5126" t="s">
        <v>19447</v>
      </c>
      <c r="F5126">
        <v>18</v>
      </c>
      <c r="G5126">
        <v>0</v>
      </c>
      <c r="H5126">
        <v>7.6</v>
      </c>
      <c r="I5126">
        <v>1.65</v>
      </c>
      <c r="J5126">
        <v>10</v>
      </c>
      <c r="L5126" t="s">
        <v>2709</v>
      </c>
      <c r="M5126">
        <v>41131090</v>
      </c>
      <c r="O5126" t="s">
        <v>19447</v>
      </c>
      <c r="P5126" t="s">
        <v>19899</v>
      </c>
      <c r="Q5126" t="s">
        <v>19900</v>
      </c>
      <c r="R5126" t="s">
        <v>19905</v>
      </c>
      <c r="S5126" t="s">
        <v>19906</v>
      </c>
      <c r="T5126" t="s">
        <v>19904</v>
      </c>
    </row>
    <row r="5127" spans="2:20" x14ac:dyDescent="0.25">
      <c r="B5127" t="s">
        <v>2709</v>
      </c>
      <c r="C5127">
        <v>41132000</v>
      </c>
      <c r="E5127" t="s">
        <v>19447</v>
      </c>
      <c r="F5127">
        <v>18</v>
      </c>
      <c r="G5127">
        <v>0</v>
      </c>
      <c r="H5127">
        <v>7.6</v>
      </c>
      <c r="I5127">
        <v>1.65</v>
      </c>
      <c r="J5127">
        <v>10</v>
      </c>
      <c r="L5127" t="s">
        <v>2709</v>
      </c>
      <c r="M5127">
        <v>41132000</v>
      </c>
      <c r="O5127" t="s">
        <v>19447</v>
      </c>
      <c r="P5127" t="s">
        <v>19899</v>
      </c>
      <c r="Q5127" t="s">
        <v>19900</v>
      </c>
      <c r="R5127" t="s">
        <v>19905</v>
      </c>
      <c r="S5127" t="s">
        <v>19906</v>
      </c>
      <c r="T5127" t="s">
        <v>19904</v>
      </c>
    </row>
    <row r="5128" spans="2:20" x14ac:dyDescent="0.25">
      <c r="B5128" t="s">
        <v>2709</v>
      </c>
      <c r="C5128">
        <v>41133000</v>
      </c>
      <c r="E5128" t="s">
        <v>19447</v>
      </c>
      <c r="F5128">
        <v>18</v>
      </c>
      <c r="G5128">
        <v>0</v>
      </c>
      <c r="H5128">
        <v>7.6</v>
      </c>
      <c r="I5128">
        <v>1.65</v>
      </c>
      <c r="J5128">
        <v>10</v>
      </c>
      <c r="L5128" t="s">
        <v>2709</v>
      </c>
      <c r="M5128">
        <v>41133000</v>
      </c>
      <c r="O5128" t="s">
        <v>19447</v>
      </c>
      <c r="P5128" t="s">
        <v>19899</v>
      </c>
      <c r="Q5128" t="s">
        <v>19900</v>
      </c>
      <c r="R5128" t="s">
        <v>19905</v>
      </c>
      <c r="S5128" t="s">
        <v>19906</v>
      </c>
      <c r="T5128" t="s">
        <v>19904</v>
      </c>
    </row>
    <row r="5129" spans="2:20" x14ac:dyDescent="0.25">
      <c r="B5129" t="s">
        <v>2709</v>
      </c>
      <c r="C5129">
        <v>41139000</v>
      </c>
      <c r="E5129" t="s">
        <v>19447</v>
      </c>
      <c r="F5129">
        <v>18</v>
      </c>
      <c r="G5129">
        <v>0</v>
      </c>
      <c r="H5129">
        <v>7.6</v>
      </c>
      <c r="I5129">
        <v>1.65</v>
      </c>
      <c r="J5129">
        <v>10</v>
      </c>
      <c r="L5129" t="s">
        <v>2709</v>
      </c>
      <c r="M5129">
        <v>41139000</v>
      </c>
      <c r="O5129" t="s">
        <v>19447</v>
      </c>
      <c r="P5129" t="s">
        <v>19899</v>
      </c>
      <c r="Q5129" t="s">
        <v>19900</v>
      </c>
      <c r="R5129" t="s">
        <v>19905</v>
      </c>
      <c r="S5129" t="s">
        <v>19906</v>
      </c>
      <c r="T5129" t="s">
        <v>19904</v>
      </c>
    </row>
    <row r="5130" spans="2:20" x14ac:dyDescent="0.25">
      <c r="B5130" t="s">
        <v>2709</v>
      </c>
      <c r="C5130">
        <v>41141000</v>
      </c>
      <c r="E5130" t="s">
        <v>19447</v>
      </c>
      <c r="F5130">
        <v>18</v>
      </c>
      <c r="G5130">
        <v>0</v>
      </c>
      <c r="H5130">
        <v>7.6</v>
      </c>
      <c r="I5130">
        <v>1.65</v>
      </c>
      <c r="J5130">
        <v>10</v>
      </c>
      <c r="L5130" t="s">
        <v>2709</v>
      </c>
      <c r="M5130">
        <v>41141000</v>
      </c>
      <c r="O5130" t="s">
        <v>19447</v>
      </c>
      <c r="P5130" t="s">
        <v>19899</v>
      </c>
      <c r="Q5130" t="s">
        <v>19900</v>
      </c>
      <c r="R5130" t="s">
        <v>19905</v>
      </c>
      <c r="S5130" t="s">
        <v>19906</v>
      </c>
      <c r="T5130" t="s">
        <v>19904</v>
      </c>
    </row>
    <row r="5131" spans="2:20" x14ac:dyDescent="0.25">
      <c r="B5131" t="s">
        <v>2709</v>
      </c>
      <c r="C5131">
        <v>41142010</v>
      </c>
      <c r="E5131" t="s">
        <v>19447</v>
      </c>
      <c r="F5131">
        <v>18</v>
      </c>
      <c r="G5131">
        <v>0</v>
      </c>
      <c r="H5131">
        <v>7.6</v>
      </c>
      <c r="I5131">
        <v>1.65</v>
      </c>
      <c r="J5131">
        <v>10</v>
      </c>
      <c r="L5131" t="s">
        <v>2709</v>
      </c>
      <c r="M5131">
        <v>41142010</v>
      </c>
      <c r="O5131" t="s">
        <v>19447</v>
      </c>
      <c r="P5131" t="s">
        <v>19899</v>
      </c>
      <c r="Q5131" t="s">
        <v>19900</v>
      </c>
      <c r="R5131" t="s">
        <v>19905</v>
      </c>
      <c r="S5131" t="s">
        <v>19906</v>
      </c>
      <c r="T5131" t="s">
        <v>19904</v>
      </c>
    </row>
    <row r="5132" spans="2:20" x14ac:dyDescent="0.25">
      <c r="B5132" t="s">
        <v>2709</v>
      </c>
      <c r="C5132">
        <v>41142020</v>
      </c>
      <c r="E5132" t="s">
        <v>19447</v>
      </c>
      <c r="F5132">
        <v>18</v>
      </c>
      <c r="G5132">
        <v>0</v>
      </c>
      <c r="H5132">
        <v>7.6</v>
      </c>
      <c r="I5132">
        <v>1.65</v>
      </c>
      <c r="J5132">
        <v>10</v>
      </c>
      <c r="L5132" t="s">
        <v>2709</v>
      </c>
      <c r="M5132">
        <v>41142020</v>
      </c>
      <c r="O5132" t="s">
        <v>19447</v>
      </c>
      <c r="P5132" t="s">
        <v>19899</v>
      </c>
      <c r="Q5132" t="s">
        <v>19900</v>
      </c>
      <c r="R5132" t="s">
        <v>19905</v>
      </c>
      <c r="S5132" t="s">
        <v>19906</v>
      </c>
      <c r="T5132" t="s">
        <v>19904</v>
      </c>
    </row>
    <row r="5133" spans="2:20" x14ac:dyDescent="0.25">
      <c r="B5133" t="s">
        <v>2709</v>
      </c>
      <c r="C5133">
        <v>41151000</v>
      </c>
      <c r="E5133" t="s">
        <v>19447</v>
      </c>
      <c r="F5133">
        <v>18</v>
      </c>
      <c r="G5133">
        <v>0</v>
      </c>
      <c r="H5133">
        <v>7.6</v>
      </c>
      <c r="I5133">
        <v>1.65</v>
      </c>
      <c r="J5133">
        <v>10</v>
      </c>
      <c r="L5133" t="s">
        <v>2709</v>
      </c>
      <c r="M5133">
        <v>41151000</v>
      </c>
      <c r="O5133" t="s">
        <v>19447</v>
      </c>
      <c r="P5133" t="s">
        <v>19899</v>
      </c>
      <c r="Q5133" t="s">
        <v>19900</v>
      </c>
      <c r="R5133" t="s">
        <v>19905</v>
      </c>
      <c r="S5133" t="s">
        <v>19906</v>
      </c>
      <c r="T5133" t="s">
        <v>19904</v>
      </c>
    </row>
    <row r="5134" spans="2:20" x14ac:dyDescent="0.25">
      <c r="B5134" t="s">
        <v>2709</v>
      </c>
      <c r="C5134">
        <v>41152000</v>
      </c>
      <c r="E5134" t="s">
        <v>19447</v>
      </c>
      <c r="F5134">
        <v>18</v>
      </c>
      <c r="G5134">
        <v>0</v>
      </c>
      <c r="H5134">
        <v>7.6</v>
      </c>
      <c r="I5134">
        <v>1.65</v>
      </c>
      <c r="J5134">
        <v>10</v>
      </c>
      <c r="L5134" t="s">
        <v>2709</v>
      </c>
      <c r="M5134">
        <v>41152000</v>
      </c>
      <c r="O5134" t="s">
        <v>19447</v>
      </c>
      <c r="P5134" t="s">
        <v>19899</v>
      </c>
      <c r="Q5134" t="s">
        <v>19900</v>
      </c>
      <c r="R5134" t="s">
        <v>19905</v>
      </c>
      <c r="S5134" t="s">
        <v>19906</v>
      </c>
      <c r="T5134" t="s">
        <v>19904</v>
      </c>
    </row>
    <row r="5135" spans="2:20" x14ac:dyDescent="0.25">
      <c r="B5135" t="s">
        <v>2709</v>
      </c>
      <c r="C5135">
        <v>42010010</v>
      </c>
      <c r="E5135">
        <v>177.19</v>
      </c>
      <c r="F5135">
        <v>18</v>
      </c>
      <c r="G5135">
        <v>0</v>
      </c>
      <c r="H5135">
        <v>7.6</v>
      </c>
      <c r="I5135">
        <v>1.65</v>
      </c>
      <c r="J5135">
        <v>20</v>
      </c>
      <c r="L5135" t="s">
        <v>2709</v>
      </c>
      <c r="M5135">
        <v>42010010</v>
      </c>
      <c r="O5135" t="s">
        <v>19926</v>
      </c>
      <c r="P5135" t="s">
        <v>19899</v>
      </c>
      <c r="Q5135" t="s">
        <v>19900</v>
      </c>
      <c r="R5135" t="s">
        <v>19905</v>
      </c>
      <c r="S5135" t="s">
        <v>19906</v>
      </c>
      <c r="T5135" t="s">
        <v>19934</v>
      </c>
    </row>
    <row r="5136" spans="2:20" x14ac:dyDescent="0.25">
      <c r="B5136" t="s">
        <v>2709</v>
      </c>
      <c r="C5136">
        <v>42010090</v>
      </c>
      <c r="E5136">
        <v>177.19</v>
      </c>
      <c r="F5136">
        <v>18</v>
      </c>
      <c r="G5136">
        <v>0</v>
      </c>
      <c r="H5136">
        <v>7.6</v>
      </c>
      <c r="I5136">
        <v>1.65</v>
      </c>
      <c r="J5136">
        <v>20</v>
      </c>
      <c r="L5136" t="s">
        <v>2709</v>
      </c>
      <c r="M5136">
        <v>42010090</v>
      </c>
      <c r="O5136" t="s">
        <v>19926</v>
      </c>
      <c r="P5136" t="s">
        <v>19899</v>
      </c>
      <c r="Q5136" t="s">
        <v>19900</v>
      </c>
      <c r="R5136" t="s">
        <v>19905</v>
      </c>
      <c r="S5136" t="s">
        <v>19906</v>
      </c>
      <c r="T5136" t="s">
        <v>19934</v>
      </c>
    </row>
    <row r="5137" spans="2:20" x14ac:dyDescent="0.25">
      <c r="B5137" t="s">
        <v>2709</v>
      </c>
      <c r="C5137">
        <v>42021100</v>
      </c>
      <c r="E5137">
        <v>177.19</v>
      </c>
      <c r="F5137">
        <v>18</v>
      </c>
      <c r="G5137">
        <v>10</v>
      </c>
      <c r="H5137">
        <v>7.6</v>
      </c>
      <c r="I5137">
        <v>1.65</v>
      </c>
      <c r="J5137">
        <v>20</v>
      </c>
      <c r="L5137" t="s">
        <v>2709</v>
      </c>
      <c r="M5137">
        <v>42021100</v>
      </c>
      <c r="O5137" t="s">
        <v>19926</v>
      </c>
      <c r="P5137" t="s">
        <v>19899</v>
      </c>
      <c r="Q5137" t="s">
        <v>19904</v>
      </c>
      <c r="R5137" t="s">
        <v>19905</v>
      </c>
      <c r="S5137" t="s">
        <v>19906</v>
      </c>
      <c r="T5137" t="s">
        <v>19934</v>
      </c>
    </row>
    <row r="5138" spans="2:20" x14ac:dyDescent="0.25">
      <c r="B5138" t="s">
        <v>2709</v>
      </c>
      <c r="C5138">
        <v>42021210</v>
      </c>
      <c r="E5138">
        <v>177.19</v>
      </c>
      <c r="F5138">
        <v>18</v>
      </c>
      <c r="G5138">
        <v>10</v>
      </c>
      <c r="H5138">
        <v>7.6</v>
      </c>
      <c r="I5138">
        <v>1.65</v>
      </c>
      <c r="J5138">
        <v>20</v>
      </c>
      <c r="L5138" t="s">
        <v>2709</v>
      </c>
      <c r="M5138">
        <v>42021210</v>
      </c>
      <c r="O5138" t="s">
        <v>19926</v>
      </c>
      <c r="P5138" t="s">
        <v>19899</v>
      </c>
      <c r="Q5138" t="s">
        <v>19904</v>
      </c>
      <c r="R5138" t="s">
        <v>19905</v>
      </c>
      <c r="S5138" t="s">
        <v>19906</v>
      </c>
      <c r="T5138" t="s">
        <v>19934</v>
      </c>
    </row>
    <row r="5139" spans="2:20" x14ac:dyDescent="0.25">
      <c r="B5139" t="s">
        <v>2709</v>
      </c>
      <c r="C5139">
        <v>42021220</v>
      </c>
      <c r="E5139">
        <v>177.19</v>
      </c>
      <c r="F5139">
        <v>18</v>
      </c>
      <c r="G5139">
        <v>10</v>
      </c>
      <c r="H5139">
        <v>7.6</v>
      </c>
      <c r="I5139">
        <v>1.65</v>
      </c>
      <c r="J5139">
        <v>20</v>
      </c>
      <c r="L5139" t="s">
        <v>2709</v>
      </c>
      <c r="M5139">
        <v>42021220</v>
      </c>
      <c r="O5139" t="s">
        <v>19926</v>
      </c>
      <c r="P5139" t="s">
        <v>19899</v>
      </c>
      <c r="Q5139" t="s">
        <v>19904</v>
      </c>
      <c r="R5139" t="s">
        <v>19905</v>
      </c>
      <c r="S5139" t="s">
        <v>19906</v>
      </c>
      <c r="T5139" t="s">
        <v>19934</v>
      </c>
    </row>
    <row r="5140" spans="2:20" x14ac:dyDescent="0.25">
      <c r="B5140" t="s">
        <v>2709</v>
      </c>
      <c r="C5140">
        <v>42021900</v>
      </c>
      <c r="E5140">
        <v>177.19</v>
      </c>
      <c r="F5140">
        <v>18</v>
      </c>
      <c r="G5140">
        <v>10</v>
      </c>
      <c r="H5140">
        <v>7.6</v>
      </c>
      <c r="I5140">
        <v>1.65</v>
      </c>
      <c r="J5140">
        <v>20</v>
      </c>
      <c r="L5140" t="s">
        <v>2709</v>
      </c>
      <c r="M5140">
        <v>42021900</v>
      </c>
      <c r="O5140" t="s">
        <v>19926</v>
      </c>
      <c r="P5140" t="s">
        <v>19899</v>
      </c>
      <c r="Q5140" t="s">
        <v>19904</v>
      </c>
      <c r="R5140" t="s">
        <v>19905</v>
      </c>
      <c r="S5140" t="s">
        <v>19906</v>
      </c>
      <c r="T5140" t="s">
        <v>19934</v>
      </c>
    </row>
    <row r="5141" spans="2:20" x14ac:dyDescent="0.25">
      <c r="B5141" t="s">
        <v>2709</v>
      </c>
      <c r="C5141">
        <v>42022100</v>
      </c>
      <c r="E5141">
        <v>177.19</v>
      </c>
      <c r="F5141">
        <v>18</v>
      </c>
      <c r="G5141">
        <v>10</v>
      </c>
      <c r="H5141">
        <v>7.6</v>
      </c>
      <c r="I5141">
        <v>1.65</v>
      </c>
      <c r="J5141">
        <v>20</v>
      </c>
      <c r="L5141" t="s">
        <v>2709</v>
      </c>
      <c r="M5141">
        <v>42022100</v>
      </c>
      <c r="O5141" t="s">
        <v>19926</v>
      </c>
      <c r="P5141" t="s">
        <v>19899</v>
      </c>
      <c r="Q5141" t="s">
        <v>19904</v>
      </c>
      <c r="R5141" t="s">
        <v>19905</v>
      </c>
      <c r="S5141" t="s">
        <v>19906</v>
      </c>
      <c r="T5141" t="s">
        <v>19934</v>
      </c>
    </row>
    <row r="5142" spans="2:20" x14ac:dyDescent="0.25">
      <c r="B5142" t="s">
        <v>2709</v>
      </c>
      <c r="C5142">
        <v>42022210</v>
      </c>
      <c r="E5142">
        <v>177.19</v>
      </c>
      <c r="F5142">
        <v>18</v>
      </c>
      <c r="G5142">
        <v>10</v>
      </c>
      <c r="H5142">
        <v>7.6</v>
      </c>
      <c r="I5142">
        <v>1.65</v>
      </c>
      <c r="J5142">
        <v>35</v>
      </c>
      <c r="L5142" t="s">
        <v>2709</v>
      </c>
      <c r="M5142">
        <v>42022210</v>
      </c>
      <c r="O5142" t="s">
        <v>19926</v>
      </c>
      <c r="P5142" t="s">
        <v>19899</v>
      </c>
      <c r="Q5142" t="s">
        <v>19904</v>
      </c>
      <c r="R5142" t="s">
        <v>19905</v>
      </c>
      <c r="S5142" t="s">
        <v>19906</v>
      </c>
      <c r="T5142" t="s">
        <v>19919</v>
      </c>
    </row>
    <row r="5143" spans="2:20" x14ac:dyDescent="0.25">
      <c r="B5143" t="s">
        <v>2709</v>
      </c>
      <c r="C5143">
        <v>42022220</v>
      </c>
      <c r="E5143">
        <v>177.19</v>
      </c>
      <c r="F5143">
        <v>18</v>
      </c>
      <c r="G5143">
        <v>10</v>
      </c>
      <c r="H5143">
        <v>7.6</v>
      </c>
      <c r="I5143">
        <v>1.65</v>
      </c>
      <c r="J5143">
        <v>35</v>
      </c>
      <c r="L5143" t="s">
        <v>2709</v>
      </c>
      <c r="M5143">
        <v>42022220</v>
      </c>
      <c r="O5143" t="s">
        <v>19926</v>
      </c>
      <c r="P5143" t="s">
        <v>19899</v>
      </c>
      <c r="Q5143" t="s">
        <v>19904</v>
      </c>
      <c r="R5143" t="s">
        <v>19905</v>
      </c>
      <c r="S5143" t="s">
        <v>19906</v>
      </c>
      <c r="T5143" t="s">
        <v>19919</v>
      </c>
    </row>
    <row r="5144" spans="2:20" x14ac:dyDescent="0.25">
      <c r="B5144" t="s">
        <v>2709</v>
      </c>
      <c r="C5144">
        <v>42022900</v>
      </c>
      <c r="E5144">
        <v>177.19</v>
      </c>
      <c r="F5144">
        <v>18</v>
      </c>
      <c r="G5144">
        <v>10</v>
      </c>
      <c r="H5144">
        <v>7.6</v>
      </c>
      <c r="I5144">
        <v>1.65</v>
      </c>
      <c r="J5144">
        <v>20</v>
      </c>
      <c r="L5144" t="s">
        <v>2709</v>
      </c>
      <c r="M5144">
        <v>42022900</v>
      </c>
      <c r="O5144" t="s">
        <v>19926</v>
      </c>
      <c r="P5144" t="s">
        <v>19899</v>
      </c>
      <c r="Q5144" t="s">
        <v>19904</v>
      </c>
      <c r="R5144" t="s">
        <v>19905</v>
      </c>
      <c r="S5144" t="s">
        <v>19906</v>
      </c>
      <c r="T5144" t="s">
        <v>19934</v>
      </c>
    </row>
    <row r="5145" spans="2:20" x14ac:dyDescent="0.25">
      <c r="B5145" t="s">
        <v>2709</v>
      </c>
      <c r="C5145">
        <v>42023100</v>
      </c>
      <c r="E5145">
        <v>72.02</v>
      </c>
      <c r="F5145">
        <v>18</v>
      </c>
      <c r="G5145">
        <v>10</v>
      </c>
      <c r="H5145">
        <v>7.6</v>
      </c>
      <c r="I5145">
        <v>1.65</v>
      </c>
      <c r="J5145">
        <v>20</v>
      </c>
      <c r="L5145" t="s">
        <v>2709</v>
      </c>
      <c r="M5145">
        <v>42023100</v>
      </c>
      <c r="O5145" t="s">
        <v>20084</v>
      </c>
      <c r="P5145" t="s">
        <v>19899</v>
      </c>
      <c r="Q5145" t="s">
        <v>19904</v>
      </c>
      <c r="R5145" t="s">
        <v>19905</v>
      </c>
      <c r="S5145" t="s">
        <v>19906</v>
      </c>
      <c r="T5145" t="s">
        <v>19934</v>
      </c>
    </row>
    <row r="5146" spans="2:20" x14ac:dyDescent="0.25">
      <c r="B5146" t="s">
        <v>2709</v>
      </c>
      <c r="C5146">
        <v>42023200</v>
      </c>
      <c r="E5146">
        <v>72.02</v>
      </c>
      <c r="F5146">
        <v>18</v>
      </c>
      <c r="G5146">
        <v>10</v>
      </c>
      <c r="H5146">
        <v>7.6</v>
      </c>
      <c r="I5146">
        <v>1.65</v>
      </c>
      <c r="J5146">
        <v>20</v>
      </c>
      <c r="L5146" t="s">
        <v>2709</v>
      </c>
      <c r="M5146">
        <v>42023200</v>
      </c>
      <c r="O5146" t="s">
        <v>20084</v>
      </c>
      <c r="P5146" t="s">
        <v>19899</v>
      </c>
      <c r="Q5146" t="s">
        <v>19904</v>
      </c>
      <c r="R5146" t="s">
        <v>19905</v>
      </c>
      <c r="S5146" t="s">
        <v>19906</v>
      </c>
      <c r="T5146" t="s">
        <v>19934</v>
      </c>
    </row>
    <row r="5147" spans="2:20" x14ac:dyDescent="0.25">
      <c r="B5147" t="s">
        <v>2709</v>
      </c>
      <c r="C5147">
        <v>42023900</v>
      </c>
      <c r="E5147">
        <v>72.02</v>
      </c>
      <c r="F5147">
        <v>18</v>
      </c>
      <c r="G5147">
        <v>10</v>
      </c>
      <c r="H5147">
        <v>7.6</v>
      </c>
      <c r="I5147">
        <v>1.65</v>
      </c>
      <c r="J5147">
        <v>20</v>
      </c>
      <c r="L5147" t="s">
        <v>2709</v>
      </c>
      <c r="M5147">
        <v>42023900</v>
      </c>
      <c r="O5147" t="s">
        <v>20084</v>
      </c>
      <c r="P5147" t="s">
        <v>19899</v>
      </c>
      <c r="Q5147" t="s">
        <v>19904</v>
      </c>
      <c r="R5147" t="s">
        <v>19905</v>
      </c>
      <c r="S5147" t="s">
        <v>19906</v>
      </c>
      <c r="T5147" t="s">
        <v>19934</v>
      </c>
    </row>
    <row r="5148" spans="2:20" x14ac:dyDescent="0.25">
      <c r="B5148" t="s">
        <v>2709</v>
      </c>
      <c r="C5148">
        <v>42029100</v>
      </c>
      <c r="E5148">
        <v>67.19</v>
      </c>
      <c r="F5148">
        <v>18</v>
      </c>
      <c r="G5148">
        <v>10</v>
      </c>
      <c r="H5148">
        <v>7.6</v>
      </c>
      <c r="I5148">
        <v>1.65</v>
      </c>
      <c r="J5148">
        <v>20</v>
      </c>
      <c r="L5148" t="s">
        <v>2709</v>
      </c>
      <c r="M5148">
        <v>42029100</v>
      </c>
      <c r="O5148" t="s">
        <v>20085</v>
      </c>
      <c r="P5148" t="s">
        <v>19899</v>
      </c>
      <c r="Q5148" t="s">
        <v>19904</v>
      </c>
      <c r="R5148" t="s">
        <v>19905</v>
      </c>
      <c r="S5148" t="s">
        <v>19906</v>
      </c>
      <c r="T5148" t="s">
        <v>19934</v>
      </c>
    </row>
    <row r="5149" spans="2:20" x14ac:dyDescent="0.25">
      <c r="B5149" t="s">
        <v>2709</v>
      </c>
      <c r="C5149">
        <v>42029200</v>
      </c>
      <c r="E5149">
        <v>67.19</v>
      </c>
      <c r="F5149">
        <v>18</v>
      </c>
      <c r="G5149">
        <v>10</v>
      </c>
      <c r="H5149">
        <v>7.6</v>
      </c>
      <c r="I5149">
        <v>1.65</v>
      </c>
      <c r="J5149">
        <v>35</v>
      </c>
      <c r="L5149" t="s">
        <v>2709</v>
      </c>
      <c r="M5149">
        <v>42029200</v>
      </c>
      <c r="O5149" t="s">
        <v>20085</v>
      </c>
      <c r="P5149" t="s">
        <v>19899</v>
      </c>
      <c r="Q5149" t="s">
        <v>19904</v>
      </c>
      <c r="R5149" t="s">
        <v>19905</v>
      </c>
      <c r="S5149" t="s">
        <v>19906</v>
      </c>
      <c r="T5149" t="s">
        <v>19919</v>
      </c>
    </row>
    <row r="5150" spans="2:20" x14ac:dyDescent="0.25">
      <c r="B5150" t="s">
        <v>2709</v>
      </c>
      <c r="C5150">
        <v>42029900</v>
      </c>
      <c r="E5150">
        <v>67.19</v>
      </c>
      <c r="F5150">
        <v>18</v>
      </c>
      <c r="G5150">
        <v>10</v>
      </c>
      <c r="H5150">
        <v>7.6</v>
      </c>
      <c r="I5150">
        <v>1.65</v>
      </c>
      <c r="J5150">
        <v>20</v>
      </c>
      <c r="L5150" t="s">
        <v>2709</v>
      </c>
      <c r="M5150">
        <v>42029900</v>
      </c>
      <c r="O5150" t="s">
        <v>20085</v>
      </c>
      <c r="P5150" t="s">
        <v>19899</v>
      </c>
      <c r="Q5150" t="s">
        <v>19904</v>
      </c>
      <c r="R5150" t="s">
        <v>19905</v>
      </c>
      <c r="S5150" t="s">
        <v>19906</v>
      </c>
      <c r="T5150" t="s">
        <v>19934</v>
      </c>
    </row>
    <row r="5151" spans="2:20" x14ac:dyDescent="0.25">
      <c r="B5151" t="s">
        <v>2709</v>
      </c>
      <c r="C5151">
        <v>42031000</v>
      </c>
      <c r="E5151">
        <v>177.19</v>
      </c>
      <c r="F5151">
        <v>18</v>
      </c>
      <c r="G5151">
        <v>10</v>
      </c>
      <c r="H5151">
        <v>7.6</v>
      </c>
      <c r="I5151">
        <v>1.65</v>
      </c>
      <c r="J5151">
        <v>20</v>
      </c>
      <c r="L5151" t="s">
        <v>2709</v>
      </c>
      <c r="M5151">
        <v>42031000</v>
      </c>
      <c r="O5151" t="s">
        <v>19926</v>
      </c>
      <c r="P5151" t="s">
        <v>19899</v>
      </c>
      <c r="Q5151" t="s">
        <v>19904</v>
      </c>
      <c r="R5151" t="s">
        <v>19905</v>
      </c>
      <c r="S5151" t="s">
        <v>19906</v>
      </c>
      <c r="T5151" t="s">
        <v>19934</v>
      </c>
    </row>
    <row r="5152" spans="2:20" x14ac:dyDescent="0.25">
      <c r="B5152" t="s">
        <v>2709</v>
      </c>
      <c r="C5152">
        <v>42032100</v>
      </c>
      <c r="E5152">
        <v>177.19</v>
      </c>
      <c r="F5152">
        <v>18</v>
      </c>
      <c r="G5152">
        <v>10</v>
      </c>
      <c r="H5152">
        <v>7.6</v>
      </c>
      <c r="I5152">
        <v>1.65</v>
      </c>
      <c r="J5152">
        <v>20</v>
      </c>
      <c r="L5152" t="s">
        <v>2709</v>
      </c>
      <c r="M5152">
        <v>42032100</v>
      </c>
      <c r="O5152" t="s">
        <v>19926</v>
      </c>
      <c r="P5152" t="s">
        <v>19899</v>
      </c>
      <c r="Q5152" t="s">
        <v>19904</v>
      </c>
      <c r="R5152" t="s">
        <v>19905</v>
      </c>
      <c r="S5152" t="s">
        <v>19906</v>
      </c>
      <c r="T5152" t="s">
        <v>19934</v>
      </c>
    </row>
    <row r="5153" spans="2:20" x14ac:dyDescent="0.25">
      <c r="B5153" t="s">
        <v>2709</v>
      </c>
      <c r="C5153">
        <v>42032900</v>
      </c>
      <c r="E5153">
        <v>177.19</v>
      </c>
      <c r="F5153">
        <v>18</v>
      </c>
      <c r="G5153">
        <v>10</v>
      </c>
      <c r="H5153">
        <v>7.6</v>
      </c>
      <c r="I5153">
        <v>1.65</v>
      </c>
      <c r="J5153">
        <v>20</v>
      </c>
      <c r="L5153" t="s">
        <v>2709</v>
      </c>
      <c r="M5153">
        <v>42032900</v>
      </c>
      <c r="O5153" t="s">
        <v>19926</v>
      </c>
      <c r="P5153" t="s">
        <v>19899</v>
      </c>
      <c r="Q5153" t="s">
        <v>19904</v>
      </c>
      <c r="R5153" t="s">
        <v>19905</v>
      </c>
      <c r="S5153" t="s">
        <v>19906</v>
      </c>
      <c r="T5153" t="s">
        <v>19934</v>
      </c>
    </row>
    <row r="5154" spans="2:20" x14ac:dyDescent="0.25">
      <c r="B5154" t="s">
        <v>2709</v>
      </c>
      <c r="C5154">
        <v>42032900</v>
      </c>
      <c r="D5154">
        <v>1</v>
      </c>
      <c r="E5154" t="s">
        <v>19447</v>
      </c>
      <c r="F5154">
        <v>18</v>
      </c>
      <c r="G5154">
        <v>0</v>
      </c>
      <c r="H5154">
        <v>7.6</v>
      </c>
      <c r="I5154">
        <v>1.65</v>
      </c>
      <c r="J5154">
        <v>20</v>
      </c>
      <c r="L5154" t="s">
        <v>2709</v>
      </c>
      <c r="M5154">
        <v>42032900</v>
      </c>
      <c r="N5154">
        <v>1</v>
      </c>
      <c r="O5154" t="s">
        <v>19447</v>
      </c>
      <c r="P5154" t="s">
        <v>19899</v>
      </c>
      <c r="Q5154" t="s">
        <v>19900</v>
      </c>
      <c r="R5154" t="s">
        <v>19905</v>
      </c>
      <c r="S5154" t="s">
        <v>19906</v>
      </c>
      <c r="T5154" t="s">
        <v>19934</v>
      </c>
    </row>
    <row r="5155" spans="2:20" x14ac:dyDescent="0.25">
      <c r="B5155" t="s">
        <v>2709</v>
      </c>
      <c r="C5155">
        <v>42033000</v>
      </c>
      <c r="E5155">
        <v>177.19</v>
      </c>
      <c r="F5155">
        <v>18</v>
      </c>
      <c r="G5155">
        <v>10</v>
      </c>
      <c r="H5155">
        <v>7.6</v>
      </c>
      <c r="I5155">
        <v>1.65</v>
      </c>
      <c r="J5155">
        <v>20</v>
      </c>
      <c r="L5155" t="s">
        <v>2709</v>
      </c>
      <c r="M5155">
        <v>42033000</v>
      </c>
      <c r="O5155" t="s">
        <v>19926</v>
      </c>
      <c r="P5155" t="s">
        <v>19899</v>
      </c>
      <c r="Q5155" t="s">
        <v>19904</v>
      </c>
      <c r="R5155" t="s">
        <v>19905</v>
      </c>
      <c r="S5155" t="s">
        <v>19906</v>
      </c>
      <c r="T5155" t="s">
        <v>19934</v>
      </c>
    </row>
    <row r="5156" spans="2:20" x14ac:dyDescent="0.25">
      <c r="B5156" t="s">
        <v>2709</v>
      </c>
      <c r="C5156">
        <v>42034000</v>
      </c>
      <c r="E5156">
        <v>177.19</v>
      </c>
      <c r="F5156">
        <v>18</v>
      </c>
      <c r="G5156">
        <v>10</v>
      </c>
      <c r="H5156">
        <v>7.6</v>
      </c>
      <c r="I5156">
        <v>1.65</v>
      </c>
      <c r="J5156">
        <v>20</v>
      </c>
      <c r="L5156" t="s">
        <v>2709</v>
      </c>
      <c r="M5156">
        <v>42034000</v>
      </c>
      <c r="O5156" t="s">
        <v>19926</v>
      </c>
      <c r="P5156" t="s">
        <v>19899</v>
      </c>
      <c r="Q5156" t="s">
        <v>19904</v>
      </c>
      <c r="R5156" t="s">
        <v>19905</v>
      </c>
      <c r="S5156" t="s">
        <v>19906</v>
      </c>
      <c r="T5156" t="s">
        <v>19934</v>
      </c>
    </row>
    <row r="5157" spans="2:20" x14ac:dyDescent="0.25">
      <c r="B5157" t="s">
        <v>2709</v>
      </c>
      <c r="C5157">
        <v>42050000</v>
      </c>
      <c r="E5157">
        <v>177.19</v>
      </c>
      <c r="F5157">
        <v>18</v>
      </c>
      <c r="G5157">
        <v>10</v>
      </c>
      <c r="H5157">
        <v>7.6</v>
      </c>
      <c r="I5157">
        <v>1.65</v>
      </c>
      <c r="J5157">
        <v>20</v>
      </c>
      <c r="L5157" t="s">
        <v>2709</v>
      </c>
      <c r="M5157">
        <v>42050000</v>
      </c>
      <c r="O5157" t="s">
        <v>19926</v>
      </c>
      <c r="P5157" t="s">
        <v>19899</v>
      </c>
      <c r="Q5157" t="s">
        <v>19904</v>
      </c>
      <c r="R5157" t="s">
        <v>19905</v>
      </c>
      <c r="S5157" t="s">
        <v>19906</v>
      </c>
      <c r="T5157" t="s">
        <v>19934</v>
      </c>
    </row>
    <row r="5158" spans="2:20" x14ac:dyDescent="0.25">
      <c r="B5158" t="s">
        <v>2709</v>
      </c>
      <c r="C5158">
        <v>42060000</v>
      </c>
      <c r="E5158">
        <v>177.19</v>
      </c>
      <c r="F5158">
        <v>18</v>
      </c>
      <c r="G5158">
        <v>10</v>
      </c>
      <c r="H5158">
        <v>7.6</v>
      </c>
      <c r="I5158">
        <v>1.65</v>
      </c>
      <c r="J5158">
        <v>20</v>
      </c>
      <c r="L5158" t="s">
        <v>2709</v>
      </c>
      <c r="M5158">
        <v>42060000</v>
      </c>
      <c r="O5158" t="s">
        <v>19926</v>
      </c>
      <c r="P5158" t="s">
        <v>19899</v>
      </c>
      <c r="Q5158" t="s">
        <v>19904</v>
      </c>
      <c r="R5158" t="s">
        <v>19905</v>
      </c>
      <c r="S5158" t="s">
        <v>19906</v>
      </c>
      <c r="T5158" t="s">
        <v>19934</v>
      </c>
    </row>
    <row r="5159" spans="2:20" x14ac:dyDescent="0.25">
      <c r="B5159" t="s">
        <v>2709</v>
      </c>
      <c r="C5159">
        <v>42060000</v>
      </c>
      <c r="D5159">
        <v>1</v>
      </c>
      <c r="E5159" t="s">
        <v>19447</v>
      </c>
      <c r="F5159">
        <v>18</v>
      </c>
      <c r="G5159">
        <v>0</v>
      </c>
      <c r="H5159">
        <v>7.6</v>
      </c>
      <c r="I5159">
        <v>1.65</v>
      </c>
      <c r="J5159">
        <v>20</v>
      </c>
      <c r="L5159" t="s">
        <v>2709</v>
      </c>
      <c r="M5159">
        <v>42060000</v>
      </c>
      <c r="N5159">
        <v>1</v>
      </c>
      <c r="O5159" t="s">
        <v>19447</v>
      </c>
      <c r="P5159" t="s">
        <v>19899</v>
      </c>
      <c r="Q5159" t="s">
        <v>19900</v>
      </c>
      <c r="R5159" t="s">
        <v>19905</v>
      </c>
      <c r="S5159" t="s">
        <v>19906</v>
      </c>
      <c r="T5159" t="s">
        <v>19934</v>
      </c>
    </row>
    <row r="5160" spans="2:20" x14ac:dyDescent="0.25">
      <c r="B5160" t="s">
        <v>2709</v>
      </c>
      <c r="C5160">
        <v>43011000</v>
      </c>
      <c r="E5160" t="s">
        <v>19447</v>
      </c>
      <c r="F5160">
        <v>25</v>
      </c>
      <c r="G5160">
        <v>0</v>
      </c>
      <c r="H5160">
        <v>7.6</v>
      </c>
      <c r="I5160">
        <v>1.65</v>
      </c>
      <c r="J5160">
        <v>10</v>
      </c>
      <c r="L5160" t="s">
        <v>2709</v>
      </c>
      <c r="M5160">
        <v>43011000</v>
      </c>
      <c r="O5160" t="s">
        <v>19447</v>
      </c>
      <c r="P5160" t="s">
        <v>19982</v>
      </c>
      <c r="Q5160" t="s">
        <v>19900</v>
      </c>
      <c r="R5160" t="s">
        <v>19905</v>
      </c>
      <c r="S5160" t="s">
        <v>19906</v>
      </c>
      <c r="T5160" t="s">
        <v>19904</v>
      </c>
    </row>
    <row r="5161" spans="2:20" x14ac:dyDescent="0.25">
      <c r="B5161" t="s">
        <v>2709</v>
      </c>
      <c r="C5161">
        <v>43013000</v>
      </c>
      <c r="E5161" t="s">
        <v>19447</v>
      </c>
      <c r="F5161">
        <v>25</v>
      </c>
      <c r="G5161">
        <v>0</v>
      </c>
      <c r="H5161">
        <v>7.6</v>
      </c>
      <c r="I5161">
        <v>1.65</v>
      </c>
      <c r="J5161">
        <v>10</v>
      </c>
      <c r="L5161" t="s">
        <v>2709</v>
      </c>
      <c r="M5161">
        <v>43013000</v>
      </c>
      <c r="O5161" t="s">
        <v>19447</v>
      </c>
      <c r="P5161" t="s">
        <v>19982</v>
      </c>
      <c r="Q5161" t="s">
        <v>19900</v>
      </c>
      <c r="R5161" t="s">
        <v>19905</v>
      </c>
      <c r="S5161" t="s">
        <v>19906</v>
      </c>
      <c r="T5161" t="s">
        <v>19904</v>
      </c>
    </row>
    <row r="5162" spans="2:20" x14ac:dyDescent="0.25">
      <c r="B5162" t="s">
        <v>2709</v>
      </c>
      <c r="C5162">
        <v>43016000</v>
      </c>
      <c r="E5162" t="s">
        <v>19447</v>
      </c>
      <c r="F5162">
        <v>25</v>
      </c>
      <c r="G5162">
        <v>0</v>
      </c>
      <c r="H5162">
        <v>7.6</v>
      </c>
      <c r="I5162">
        <v>1.65</v>
      </c>
      <c r="J5162">
        <v>10</v>
      </c>
      <c r="L5162" t="s">
        <v>2709</v>
      </c>
      <c r="M5162">
        <v>43016000</v>
      </c>
      <c r="O5162" t="s">
        <v>19447</v>
      </c>
      <c r="P5162" t="s">
        <v>19982</v>
      </c>
      <c r="Q5162" t="s">
        <v>19900</v>
      </c>
      <c r="R5162" t="s">
        <v>19905</v>
      </c>
      <c r="S5162" t="s">
        <v>19906</v>
      </c>
      <c r="T5162" t="s">
        <v>19904</v>
      </c>
    </row>
    <row r="5163" spans="2:20" x14ac:dyDescent="0.25">
      <c r="B5163" t="s">
        <v>2709</v>
      </c>
      <c r="C5163">
        <v>43018000</v>
      </c>
      <c r="E5163" t="s">
        <v>19447</v>
      </c>
      <c r="F5163">
        <v>25</v>
      </c>
      <c r="G5163">
        <v>0</v>
      </c>
      <c r="H5163">
        <v>7.6</v>
      </c>
      <c r="I5163">
        <v>1.65</v>
      </c>
      <c r="J5163">
        <v>10</v>
      </c>
      <c r="L5163" t="s">
        <v>2709</v>
      </c>
      <c r="M5163">
        <v>43018000</v>
      </c>
      <c r="O5163" t="s">
        <v>19447</v>
      </c>
      <c r="P5163" t="s">
        <v>19982</v>
      </c>
      <c r="Q5163" t="s">
        <v>19900</v>
      </c>
      <c r="R5163" t="s">
        <v>19905</v>
      </c>
      <c r="S5163" t="s">
        <v>19906</v>
      </c>
      <c r="T5163" t="s">
        <v>19904</v>
      </c>
    </row>
    <row r="5164" spans="2:20" x14ac:dyDescent="0.25">
      <c r="B5164" t="s">
        <v>2709</v>
      </c>
      <c r="C5164">
        <v>43019000</v>
      </c>
      <c r="E5164" t="s">
        <v>19447</v>
      </c>
      <c r="F5164">
        <v>25</v>
      </c>
      <c r="G5164">
        <v>0</v>
      </c>
      <c r="H5164">
        <v>7.6</v>
      </c>
      <c r="I5164">
        <v>1.65</v>
      </c>
      <c r="J5164">
        <v>10</v>
      </c>
      <c r="L5164" t="s">
        <v>2709</v>
      </c>
      <c r="M5164">
        <v>43019000</v>
      </c>
      <c r="O5164" t="s">
        <v>19447</v>
      </c>
      <c r="P5164" t="s">
        <v>19982</v>
      </c>
      <c r="Q5164" t="s">
        <v>19900</v>
      </c>
      <c r="R5164" t="s">
        <v>19905</v>
      </c>
      <c r="S5164" t="s">
        <v>19906</v>
      </c>
      <c r="T5164" t="s">
        <v>19904</v>
      </c>
    </row>
    <row r="5165" spans="2:20" x14ac:dyDescent="0.25">
      <c r="B5165" t="s">
        <v>2709</v>
      </c>
      <c r="C5165">
        <v>43021100</v>
      </c>
      <c r="E5165" t="s">
        <v>19447</v>
      </c>
      <c r="F5165">
        <v>25</v>
      </c>
      <c r="G5165">
        <v>60</v>
      </c>
      <c r="H5165">
        <v>7.6</v>
      </c>
      <c r="I5165">
        <v>1.65</v>
      </c>
      <c r="J5165">
        <v>14</v>
      </c>
      <c r="L5165" t="s">
        <v>2709</v>
      </c>
      <c r="M5165">
        <v>43021100</v>
      </c>
      <c r="O5165" t="s">
        <v>19447</v>
      </c>
      <c r="P5165" t="s">
        <v>19982</v>
      </c>
      <c r="Q5165" t="s">
        <v>19993</v>
      </c>
      <c r="R5165" t="s">
        <v>19905</v>
      </c>
      <c r="S5165" t="s">
        <v>19906</v>
      </c>
      <c r="T5165" t="s">
        <v>19911</v>
      </c>
    </row>
    <row r="5166" spans="2:20" x14ac:dyDescent="0.25">
      <c r="B5166" t="s">
        <v>2709</v>
      </c>
      <c r="C5166">
        <v>43021910</v>
      </c>
      <c r="E5166" t="s">
        <v>19447</v>
      </c>
      <c r="F5166">
        <v>25</v>
      </c>
      <c r="G5166">
        <v>10</v>
      </c>
      <c r="H5166">
        <v>7.6</v>
      </c>
      <c r="I5166">
        <v>1.65</v>
      </c>
      <c r="J5166">
        <v>14</v>
      </c>
      <c r="L5166" t="s">
        <v>2709</v>
      </c>
      <c r="M5166">
        <v>43021910</v>
      </c>
      <c r="O5166" t="s">
        <v>19447</v>
      </c>
      <c r="P5166" t="s">
        <v>19982</v>
      </c>
      <c r="Q5166" t="s">
        <v>19904</v>
      </c>
      <c r="R5166" t="s">
        <v>19905</v>
      </c>
      <c r="S5166" t="s">
        <v>19906</v>
      </c>
      <c r="T5166" t="s">
        <v>19911</v>
      </c>
    </row>
    <row r="5167" spans="2:20" x14ac:dyDescent="0.25">
      <c r="B5167" t="s">
        <v>2709</v>
      </c>
      <c r="C5167">
        <v>43021990</v>
      </c>
      <c r="E5167" t="s">
        <v>19447</v>
      </c>
      <c r="F5167">
        <v>25</v>
      </c>
      <c r="G5167">
        <v>10</v>
      </c>
      <c r="H5167">
        <v>7.6</v>
      </c>
      <c r="I5167">
        <v>1.65</v>
      </c>
      <c r="J5167">
        <v>14</v>
      </c>
      <c r="L5167" t="s">
        <v>2709</v>
      </c>
      <c r="M5167">
        <v>43021990</v>
      </c>
      <c r="O5167" t="s">
        <v>19447</v>
      </c>
      <c r="P5167" t="s">
        <v>19982</v>
      </c>
      <c r="Q5167" t="s">
        <v>19904</v>
      </c>
      <c r="R5167" t="s">
        <v>19905</v>
      </c>
      <c r="S5167" t="s">
        <v>19906</v>
      </c>
      <c r="T5167" t="s">
        <v>19911</v>
      </c>
    </row>
    <row r="5168" spans="2:20" x14ac:dyDescent="0.25">
      <c r="B5168" t="s">
        <v>2709</v>
      </c>
      <c r="C5168">
        <v>43022000</v>
      </c>
      <c r="E5168" t="s">
        <v>19447</v>
      </c>
      <c r="F5168">
        <v>25</v>
      </c>
      <c r="G5168">
        <v>60</v>
      </c>
      <c r="H5168">
        <v>7.6</v>
      </c>
      <c r="I5168">
        <v>1.65</v>
      </c>
      <c r="J5168">
        <v>14</v>
      </c>
      <c r="L5168" t="s">
        <v>2709</v>
      </c>
      <c r="M5168">
        <v>43022000</v>
      </c>
      <c r="O5168" t="s">
        <v>19447</v>
      </c>
      <c r="P5168" t="s">
        <v>19982</v>
      </c>
      <c r="Q5168" t="s">
        <v>19993</v>
      </c>
      <c r="R5168" t="s">
        <v>19905</v>
      </c>
      <c r="S5168" t="s">
        <v>19906</v>
      </c>
      <c r="T5168" t="s">
        <v>19911</v>
      </c>
    </row>
    <row r="5169" spans="2:20" x14ac:dyDescent="0.25">
      <c r="B5169" t="s">
        <v>2709</v>
      </c>
      <c r="C5169">
        <v>43022000</v>
      </c>
      <c r="D5169">
        <v>1</v>
      </c>
      <c r="E5169" t="s">
        <v>19447</v>
      </c>
      <c r="F5169">
        <v>18</v>
      </c>
      <c r="G5169">
        <v>10</v>
      </c>
      <c r="H5169">
        <v>7.6</v>
      </c>
      <c r="I5169">
        <v>1.65</v>
      </c>
      <c r="J5169">
        <v>14</v>
      </c>
      <c r="L5169" t="s">
        <v>2709</v>
      </c>
      <c r="M5169">
        <v>43022000</v>
      </c>
      <c r="N5169">
        <v>1</v>
      </c>
      <c r="O5169" t="s">
        <v>19447</v>
      </c>
      <c r="P5169" t="s">
        <v>19899</v>
      </c>
      <c r="Q5169" t="s">
        <v>19904</v>
      </c>
      <c r="R5169" t="s">
        <v>19905</v>
      </c>
      <c r="S5169" t="s">
        <v>19906</v>
      </c>
      <c r="T5169" t="s">
        <v>19911</v>
      </c>
    </row>
    <row r="5170" spans="2:20" x14ac:dyDescent="0.25">
      <c r="B5170" t="s">
        <v>2709</v>
      </c>
      <c r="C5170">
        <v>43022000</v>
      </c>
      <c r="D5170">
        <v>2</v>
      </c>
      <c r="E5170" t="s">
        <v>19447</v>
      </c>
      <c r="F5170">
        <v>18</v>
      </c>
      <c r="G5170">
        <v>10</v>
      </c>
      <c r="H5170">
        <v>7.6</v>
      </c>
      <c r="I5170">
        <v>1.65</v>
      </c>
      <c r="J5170">
        <v>14</v>
      </c>
      <c r="L5170" t="s">
        <v>2709</v>
      </c>
      <c r="M5170">
        <v>43022000</v>
      </c>
      <c r="N5170">
        <v>2</v>
      </c>
      <c r="O5170" t="s">
        <v>19447</v>
      </c>
      <c r="P5170" t="s">
        <v>19899</v>
      </c>
      <c r="Q5170" t="s">
        <v>19904</v>
      </c>
      <c r="R5170" t="s">
        <v>19905</v>
      </c>
      <c r="S5170" t="s">
        <v>19906</v>
      </c>
      <c r="T5170" t="s">
        <v>19911</v>
      </c>
    </row>
    <row r="5171" spans="2:20" x14ac:dyDescent="0.25">
      <c r="B5171" t="s">
        <v>2709</v>
      </c>
      <c r="C5171">
        <v>43023000</v>
      </c>
      <c r="E5171" t="s">
        <v>19447</v>
      </c>
      <c r="F5171">
        <v>25</v>
      </c>
      <c r="G5171">
        <v>60</v>
      </c>
      <c r="H5171">
        <v>7.6</v>
      </c>
      <c r="I5171">
        <v>1.65</v>
      </c>
      <c r="J5171">
        <v>14</v>
      </c>
      <c r="L5171" t="s">
        <v>2709</v>
      </c>
      <c r="M5171">
        <v>43023000</v>
      </c>
      <c r="O5171" t="s">
        <v>19447</v>
      </c>
      <c r="P5171" t="s">
        <v>19982</v>
      </c>
      <c r="Q5171" t="s">
        <v>19993</v>
      </c>
      <c r="R5171" t="s">
        <v>19905</v>
      </c>
      <c r="S5171" t="s">
        <v>19906</v>
      </c>
      <c r="T5171" t="s">
        <v>19911</v>
      </c>
    </row>
    <row r="5172" spans="2:20" x14ac:dyDescent="0.25">
      <c r="B5172" t="s">
        <v>2709</v>
      </c>
      <c r="C5172">
        <v>43023000</v>
      </c>
      <c r="D5172">
        <v>1</v>
      </c>
      <c r="E5172" t="s">
        <v>19447</v>
      </c>
      <c r="F5172">
        <v>18</v>
      </c>
      <c r="G5172">
        <v>10</v>
      </c>
      <c r="H5172">
        <v>7.6</v>
      </c>
      <c r="I5172">
        <v>1.65</v>
      </c>
      <c r="J5172">
        <v>14</v>
      </c>
      <c r="L5172" t="s">
        <v>2709</v>
      </c>
      <c r="M5172">
        <v>43023000</v>
      </c>
      <c r="N5172">
        <v>1</v>
      </c>
      <c r="O5172" t="s">
        <v>19447</v>
      </c>
      <c r="P5172" t="s">
        <v>19899</v>
      </c>
      <c r="Q5172" t="s">
        <v>19904</v>
      </c>
      <c r="R5172" t="s">
        <v>19905</v>
      </c>
      <c r="S5172" t="s">
        <v>19906</v>
      </c>
      <c r="T5172" t="s">
        <v>19911</v>
      </c>
    </row>
    <row r="5173" spans="2:20" x14ac:dyDescent="0.25">
      <c r="B5173" t="s">
        <v>2709</v>
      </c>
      <c r="C5173">
        <v>43023000</v>
      </c>
      <c r="D5173">
        <v>2</v>
      </c>
      <c r="E5173" t="s">
        <v>19447</v>
      </c>
      <c r="F5173">
        <v>18</v>
      </c>
      <c r="G5173">
        <v>40</v>
      </c>
      <c r="H5173">
        <v>7.6</v>
      </c>
      <c r="I5173">
        <v>1.65</v>
      </c>
      <c r="J5173">
        <v>14</v>
      </c>
      <c r="L5173" t="s">
        <v>2709</v>
      </c>
      <c r="M5173">
        <v>43023000</v>
      </c>
      <c r="N5173">
        <v>2</v>
      </c>
      <c r="O5173" t="s">
        <v>19447</v>
      </c>
      <c r="P5173" t="s">
        <v>19899</v>
      </c>
      <c r="Q5173" t="s">
        <v>19922</v>
      </c>
      <c r="R5173" t="s">
        <v>19905</v>
      </c>
      <c r="S5173" t="s">
        <v>19906</v>
      </c>
      <c r="T5173" t="s">
        <v>19911</v>
      </c>
    </row>
    <row r="5174" spans="2:20" x14ac:dyDescent="0.25">
      <c r="B5174" t="s">
        <v>2709</v>
      </c>
      <c r="C5174">
        <v>43031000</v>
      </c>
      <c r="E5174" t="s">
        <v>19447</v>
      </c>
      <c r="F5174">
        <v>25</v>
      </c>
      <c r="G5174">
        <v>40</v>
      </c>
      <c r="H5174">
        <v>7.6</v>
      </c>
      <c r="I5174">
        <v>1.65</v>
      </c>
      <c r="J5174">
        <v>20</v>
      </c>
      <c r="L5174" t="s">
        <v>2709</v>
      </c>
      <c r="M5174">
        <v>43031000</v>
      </c>
      <c r="O5174" t="s">
        <v>19447</v>
      </c>
      <c r="P5174" t="s">
        <v>19982</v>
      </c>
      <c r="Q5174" t="s">
        <v>19922</v>
      </c>
      <c r="R5174" t="s">
        <v>19905</v>
      </c>
      <c r="S5174" t="s">
        <v>19906</v>
      </c>
      <c r="T5174" t="s">
        <v>19934</v>
      </c>
    </row>
    <row r="5175" spans="2:20" x14ac:dyDescent="0.25">
      <c r="B5175" t="s">
        <v>2709</v>
      </c>
      <c r="C5175">
        <v>43031000</v>
      </c>
      <c r="D5175">
        <v>1</v>
      </c>
      <c r="E5175" t="s">
        <v>19447</v>
      </c>
      <c r="F5175">
        <v>18</v>
      </c>
      <c r="G5175">
        <v>10</v>
      </c>
      <c r="H5175">
        <v>7.6</v>
      </c>
      <c r="I5175">
        <v>1.65</v>
      </c>
      <c r="J5175">
        <v>20</v>
      </c>
      <c r="L5175" t="s">
        <v>2709</v>
      </c>
      <c r="M5175">
        <v>43031000</v>
      </c>
      <c r="N5175">
        <v>1</v>
      </c>
      <c r="O5175" t="s">
        <v>19447</v>
      </c>
      <c r="P5175" t="s">
        <v>19899</v>
      </c>
      <c r="Q5175" t="s">
        <v>19904</v>
      </c>
      <c r="R5175" t="s">
        <v>19905</v>
      </c>
      <c r="S5175" t="s">
        <v>19906</v>
      </c>
      <c r="T5175" t="s">
        <v>19934</v>
      </c>
    </row>
    <row r="5176" spans="2:20" x14ac:dyDescent="0.25">
      <c r="B5176" t="s">
        <v>2709</v>
      </c>
      <c r="C5176">
        <v>43039000</v>
      </c>
      <c r="E5176" t="s">
        <v>19447</v>
      </c>
      <c r="F5176">
        <v>25</v>
      </c>
      <c r="G5176">
        <v>40</v>
      </c>
      <c r="H5176">
        <v>7.6</v>
      </c>
      <c r="I5176">
        <v>1.65</v>
      </c>
      <c r="J5176">
        <v>20</v>
      </c>
      <c r="L5176" t="s">
        <v>2709</v>
      </c>
      <c r="M5176">
        <v>43039000</v>
      </c>
      <c r="O5176" t="s">
        <v>19447</v>
      </c>
      <c r="P5176" t="s">
        <v>19982</v>
      </c>
      <c r="Q5176" t="s">
        <v>19922</v>
      </c>
      <c r="R5176" t="s">
        <v>19905</v>
      </c>
      <c r="S5176" t="s">
        <v>19906</v>
      </c>
      <c r="T5176" t="s">
        <v>19934</v>
      </c>
    </row>
    <row r="5177" spans="2:20" x14ac:dyDescent="0.25">
      <c r="B5177" t="s">
        <v>2709</v>
      </c>
      <c r="C5177">
        <v>43039000</v>
      </c>
      <c r="D5177">
        <v>1</v>
      </c>
      <c r="E5177" t="s">
        <v>19447</v>
      </c>
      <c r="F5177">
        <v>18</v>
      </c>
      <c r="G5177">
        <v>10</v>
      </c>
      <c r="H5177">
        <v>7.6</v>
      </c>
      <c r="I5177">
        <v>1.65</v>
      </c>
      <c r="J5177">
        <v>20</v>
      </c>
      <c r="L5177" t="s">
        <v>2709</v>
      </c>
      <c r="M5177">
        <v>43039000</v>
      </c>
      <c r="N5177">
        <v>1</v>
      </c>
      <c r="O5177" t="s">
        <v>19447</v>
      </c>
      <c r="P5177" t="s">
        <v>19899</v>
      </c>
      <c r="Q5177" t="s">
        <v>19904</v>
      </c>
      <c r="R5177" t="s">
        <v>19905</v>
      </c>
      <c r="S5177" t="s">
        <v>19906</v>
      </c>
      <c r="T5177" t="s">
        <v>19934</v>
      </c>
    </row>
    <row r="5178" spans="2:20" x14ac:dyDescent="0.25">
      <c r="B5178" t="s">
        <v>2709</v>
      </c>
      <c r="C5178">
        <v>43040000</v>
      </c>
      <c r="E5178" t="s">
        <v>19447</v>
      </c>
      <c r="F5178">
        <v>25</v>
      </c>
      <c r="G5178">
        <v>10</v>
      </c>
      <c r="H5178">
        <v>7.6</v>
      </c>
      <c r="I5178">
        <v>1.65</v>
      </c>
      <c r="J5178">
        <v>20</v>
      </c>
      <c r="L5178" t="s">
        <v>2709</v>
      </c>
      <c r="M5178">
        <v>43040000</v>
      </c>
      <c r="O5178" t="s">
        <v>19447</v>
      </c>
      <c r="P5178" t="s">
        <v>19982</v>
      </c>
      <c r="Q5178" t="s">
        <v>19904</v>
      </c>
      <c r="R5178" t="s">
        <v>19905</v>
      </c>
      <c r="S5178" t="s">
        <v>19906</v>
      </c>
      <c r="T5178" t="s">
        <v>19934</v>
      </c>
    </row>
    <row r="5179" spans="2:20" x14ac:dyDescent="0.25">
      <c r="B5179" t="s">
        <v>2709</v>
      </c>
      <c r="C5179">
        <v>44011000</v>
      </c>
      <c r="E5179">
        <v>112.46</v>
      </c>
      <c r="F5179">
        <v>18</v>
      </c>
      <c r="G5179">
        <v>0</v>
      </c>
      <c r="H5179">
        <v>7.6</v>
      </c>
      <c r="I5179">
        <v>1.65</v>
      </c>
      <c r="J5179">
        <v>2</v>
      </c>
      <c r="L5179" t="s">
        <v>2709</v>
      </c>
      <c r="M5179">
        <v>44011000</v>
      </c>
      <c r="O5179" t="s">
        <v>20055</v>
      </c>
      <c r="P5179" t="s">
        <v>19899</v>
      </c>
      <c r="Q5179" t="s">
        <v>19900</v>
      </c>
      <c r="R5179" t="s">
        <v>19905</v>
      </c>
      <c r="S5179" t="s">
        <v>19906</v>
      </c>
      <c r="T5179" t="s">
        <v>19901</v>
      </c>
    </row>
    <row r="5180" spans="2:20" x14ac:dyDescent="0.25">
      <c r="B5180" t="s">
        <v>2709</v>
      </c>
      <c r="C5180">
        <v>44012100</v>
      </c>
      <c r="E5180">
        <v>112.46</v>
      </c>
      <c r="F5180">
        <v>18</v>
      </c>
      <c r="G5180">
        <v>0</v>
      </c>
      <c r="H5180">
        <v>7.6</v>
      </c>
      <c r="I5180">
        <v>1.65</v>
      </c>
      <c r="J5180">
        <v>2</v>
      </c>
      <c r="L5180" t="s">
        <v>2709</v>
      </c>
      <c r="M5180">
        <v>44012100</v>
      </c>
      <c r="O5180" t="s">
        <v>20055</v>
      </c>
      <c r="P5180" t="s">
        <v>19899</v>
      </c>
      <c r="Q5180" t="s">
        <v>19900</v>
      </c>
      <c r="R5180" t="s">
        <v>19905</v>
      </c>
      <c r="S5180" t="s">
        <v>19906</v>
      </c>
      <c r="T5180" t="s">
        <v>19901</v>
      </c>
    </row>
    <row r="5181" spans="2:20" x14ac:dyDescent="0.25">
      <c r="B5181" t="s">
        <v>2709</v>
      </c>
      <c r="C5181">
        <v>44012200</v>
      </c>
      <c r="E5181">
        <v>112.46</v>
      </c>
      <c r="F5181">
        <v>18</v>
      </c>
      <c r="G5181">
        <v>0</v>
      </c>
      <c r="H5181">
        <v>7.6</v>
      </c>
      <c r="I5181">
        <v>1.65</v>
      </c>
      <c r="J5181">
        <v>2</v>
      </c>
      <c r="L5181" t="s">
        <v>2709</v>
      </c>
      <c r="M5181">
        <v>44012200</v>
      </c>
      <c r="O5181" t="s">
        <v>20055</v>
      </c>
      <c r="P5181" t="s">
        <v>19899</v>
      </c>
      <c r="Q5181" t="s">
        <v>19900</v>
      </c>
      <c r="R5181" t="s">
        <v>19905</v>
      </c>
      <c r="S5181" t="s">
        <v>19906</v>
      </c>
      <c r="T5181" t="s">
        <v>19901</v>
      </c>
    </row>
    <row r="5182" spans="2:20" x14ac:dyDescent="0.25">
      <c r="B5182" t="s">
        <v>2709</v>
      </c>
      <c r="C5182">
        <v>44013100</v>
      </c>
      <c r="E5182">
        <v>112.46</v>
      </c>
      <c r="F5182">
        <v>18</v>
      </c>
      <c r="G5182">
        <v>0</v>
      </c>
      <c r="H5182">
        <v>7.6</v>
      </c>
      <c r="I5182">
        <v>1.65</v>
      </c>
      <c r="J5182">
        <v>2</v>
      </c>
      <c r="L5182" t="s">
        <v>2709</v>
      </c>
      <c r="M5182">
        <v>44013100</v>
      </c>
      <c r="O5182" t="s">
        <v>20055</v>
      </c>
      <c r="P5182" t="s">
        <v>19899</v>
      </c>
      <c r="Q5182" t="s">
        <v>19900</v>
      </c>
      <c r="R5182" t="s">
        <v>19905</v>
      </c>
      <c r="S5182" t="s">
        <v>19906</v>
      </c>
      <c r="T5182" t="s">
        <v>19901</v>
      </c>
    </row>
    <row r="5183" spans="2:20" x14ac:dyDescent="0.25">
      <c r="B5183" t="s">
        <v>2709</v>
      </c>
      <c r="C5183">
        <v>44013900</v>
      </c>
      <c r="E5183">
        <v>112.46</v>
      </c>
      <c r="F5183">
        <v>18</v>
      </c>
      <c r="G5183">
        <v>0</v>
      </c>
      <c r="H5183">
        <v>7.6</v>
      </c>
      <c r="I5183">
        <v>1.65</v>
      </c>
      <c r="J5183">
        <v>2</v>
      </c>
      <c r="L5183" t="s">
        <v>2709</v>
      </c>
      <c r="M5183">
        <v>44013900</v>
      </c>
      <c r="O5183" t="s">
        <v>20055</v>
      </c>
      <c r="P5183" t="s">
        <v>19899</v>
      </c>
      <c r="Q5183" t="s">
        <v>19900</v>
      </c>
      <c r="R5183" t="s">
        <v>19905</v>
      </c>
      <c r="S5183" t="s">
        <v>19906</v>
      </c>
      <c r="T5183" t="s">
        <v>19901</v>
      </c>
    </row>
    <row r="5184" spans="2:20" x14ac:dyDescent="0.25">
      <c r="B5184" t="s">
        <v>2709</v>
      </c>
      <c r="C5184">
        <v>44021000</v>
      </c>
      <c r="E5184">
        <v>112.46</v>
      </c>
      <c r="F5184">
        <v>18</v>
      </c>
      <c r="G5184">
        <v>0</v>
      </c>
      <c r="H5184">
        <v>7.6</v>
      </c>
      <c r="I5184">
        <v>1.65</v>
      </c>
      <c r="J5184">
        <v>2</v>
      </c>
      <c r="L5184" t="s">
        <v>2709</v>
      </c>
      <c r="M5184">
        <v>44021000</v>
      </c>
      <c r="O5184" t="s">
        <v>20055</v>
      </c>
      <c r="P5184" t="s">
        <v>19899</v>
      </c>
      <c r="Q5184" t="s">
        <v>19900</v>
      </c>
      <c r="R5184" t="s">
        <v>19905</v>
      </c>
      <c r="S5184" t="s">
        <v>19906</v>
      </c>
      <c r="T5184" t="s">
        <v>19901</v>
      </c>
    </row>
    <row r="5185" spans="2:20" x14ac:dyDescent="0.25">
      <c r="B5185" t="s">
        <v>2709</v>
      </c>
      <c r="C5185">
        <v>44029000</v>
      </c>
      <c r="E5185">
        <v>112.46</v>
      </c>
      <c r="F5185">
        <v>18</v>
      </c>
      <c r="G5185">
        <v>0</v>
      </c>
      <c r="H5185">
        <v>7.6</v>
      </c>
      <c r="I5185">
        <v>1.65</v>
      </c>
      <c r="J5185">
        <v>2</v>
      </c>
      <c r="L5185" t="s">
        <v>2709</v>
      </c>
      <c r="M5185">
        <v>44029000</v>
      </c>
      <c r="O5185" t="s">
        <v>20055</v>
      </c>
      <c r="P5185" t="s">
        <v>19899</v>
      </c>
      <c r="Q5185" t="s">
        <v>19900</v>
      </c>
      <c r="R5185" t="s">
        <v>19905</v>
      </c>
      <c r="S5185" t="s">
        <v>19906</v>
      </c>
      <c r="T5185" t="s">
        <v>19901</v>
      </c>
    </row>
    <row r="5186" spans="2:20" x14ac:dyDescent="0.25">
      <c r="B5186" t="s">
        <v>2709</v>
      </c>
      <c r="C5186">
        <v>44031000</v>
      </c>
      <c r="E5186">
        <v>112.46</v>
      </c>
      <c r="F5186">
        <v>18</v>
      </c>
      <c r="G5186">
        <v>0</v>
      </c>
      <c r="H5186">
        <v>7.6</v>
      </c>
      <c r="I5186">
        <v>1.65</v>
      </c>
      <c r="J5186">
        <v>2</v>
      </c>
      <c r="L5186" t="s">
        <v>2709</v>
      </c>
      <c r="M5186">
        <v>44031000</v>
      </c>
      <c r="O5186" t="s">
        <v>20055</v>
      </c>
      <c r="P5186" t="s">
        <v>19899</v>
      </c>
      <c r="Q5186" t="s">
        <v>19900</v>
      </c>
      <c r="R5186" t="s">
        <v>19905</v>
      </c>
      <c r="S5186" t="s">
        <v>19906</v>
      </c>
      <c r="T5186" t="s">
        <v>19901</v>
      </c>
    </row>
    <row r="5187" spans="2:20" x14ac:dyDescent="0.25">
      <c r="B5187" t="s">
        <v>2709</v>
      </c>
      <c r="C5187">
        <v>44031000</v>
      </c>
      <c r="D5187">
        <v>1</v>
      </c>
      <c r="E5187" t="s">
        <v>19447</v>
      </c>
      <c r="F5187">
        <v>18</v>
      </c>
      <c r="G5187">
        <v>0</v>
      </c>
      <c r="H5187">
        <v>7.6</v>
      </c>
      <c r="I5187">
        <v>1.65</v>
      </c>
      <c r="J5187">
        <v>2</v>
      </c>
      <c r="L5187" t="s">
        <v>2709</v>
      </c>
      <c r="M5187">
        <v>44031000</v>
      </c>
      <c r="N5187">
        <v>1</v>
      </c>
      <c r="O5187" t="s">
        <v>19447</v>
      </c>
      <c r="P5187" t="s">
        <v>19899</v>
      </c>
      <c r="Q5187" t="s">
        <v>19900</v>
      </c>
      <c r="R5187" t="s">
        <v>19905</v>
      </c>
      <c r="S5187" t="s">
        <v>19906</v>
      </c>
      <c r="T5187" t="s">
        <v>19901</v>
      </c>
    </row>
    <row r="5188" spans="2:20" x14ac:dyDescent="0.25">
      <c r="B5188" t="s">
        <v>2709</v>
      </c>
      <c r="C5188">
        <v>44032000</v>
      </c>
      <c r="E5188">
        <v>112.46</v>
      </c>
      <c r="F5188">
        <v>18</v>
      </c>
      <c r="G5188">
        <v>0</v>
      </c>
      <c r="H5188">
        <v>7.6</v>
      </c>
      <c r="I5188">
        <v>1.65</v>
      </c>
      <c r="J5188">
        <v>2</v>
      </c>
      <c r="L5188" t="s">
        <v>2709</v>
      </c>
      <c r="M5188">
        <v>44032000</v>
      </c>
      <c r="O5188" t="s">
        <v>20055</v>
      </c>
      <c r="P5188" t="s">
        <v>19899</v>
      </c>
      <c r="Q5188" t="s">
        <v>19900</v>
      </c>
      <c r="R5188" t="s">
        <v>19905</v>
      </c>
      <c r="S5188" t="s">
        <v>19906</v>
      </c>
      <c r="T5188" t="s">
        <v>19901</v>
      </c>
    </row>
    <row r="5189" spans="2:20" x14ac:dyDescent="0.25">
      <c r="B5189" t="s">
        <v>2709</v>
      </c>
      <c r="C5189">
        <v>44032000</v>
      </c>
      <c r="D5189">
        <v>1</v>
      </c>
      <c r="E5189" t="s">
        <v>19447</v>
      </c>
      <c r="F5189">
        <v>18</v>
      </c>
      <c r="G5189">
        <v>0</v>
      </c>
      <c r="H5189">
        <v>7.6</v>
      </c>
      <c r="I5189">
        <v>1.65</v>
      </c>
      <c r="J5189">
        <v>2</v>
      </c>
      <c r="L5189" t="s">
        <v>2709</v>
      </c>
      <c r="M5189">
        <v>44032000</v>
      </c>
      <c r="N5189">
        <v>1</v>
      </c>
      <c r="O5189" t="s">
        <v>19447</v>
      </c>
      <c r="P5189" t="s">
        <v>19899</v>
      </c>
      <c r="Q5189" t="s">
        <v>19900</v>
      </c>
      <c r="R5189" t="s">
        <v>19905</v>
      </c>
      <c r="S5189" t="s">
        <v>19906</v>
      </c>
      <c r="T5189" t="s">
        <v>19901</v>
      </c>
    </row>
    <row r="5190" spans="2:20" x14ac:dyDescent="0.25">
      <c r="B5190" t="s">
        <v>2709</v>
      </c>
      <c r="C5190">
        <v>44034100</v>
      </c>
      <c r="E5190">
        <v>112.46</v>
      </c>
      <c r="F5190">
        <v>18</v>
      </c>
      <c r="G5190">
        <v>0</v>
      </c>
      <c r="H5190">
        <v>7.6</v>
      </c>
      <c r="I5190">
        <v>1.65</v>
      </c>
      <c r="J5190">
        <v>2</v>
      </c>
      <c r="L5190" t="s">
        <v>2709</v>
      </c>
      <c r="M5190">
        <v>44034100</v>
      </c>
      <c r="O5190" t="s">
        <v>20055</v>
      </c>
      <c r="P5190" t="s">
        <v>19899</v>
      </c>
      <c r="Q5190" t="s">
        <v>19900</v>
      </c>
      <c r="R5190" t="s">
        <v>19905</v>
      </c>
      <c r="S5190" t="s">
        <v>19906</v>
      </c>
      <c r="T5190" t="s">
        <v>19901</v>
      </c>
    </row>
    <row r="5191" spans="2:20" x14ac:dyDescent="0.25">
      <c r="B5191" t="s">
        <v>2709</v>
      </c>
      <c r="C5191">
        <v>44034100</v>
      </c>
      <c r="D5191">
        <v>1</v>
      </c>
      <c r="E5191" t="s">
        <v>19447</v>
      </c>
      <c r="F5191">
        <v>18</v>
      </c>
      <c r="G5191">
        <v>0</v>
      </c>
      <c r="H5191">
        <v>7.6</v>
      </c>
      <c r="I5191">
        <v>1.65</v>
      </c>
      <c r="J5191">
        <v>2</v>
      </c>
      <c r="L5191" t="s">
        <v>2709</v>
      </c>
      <c r="M5191">
        <v>44034100</v>
      </c>
      <c r="N5191">
        <v>1</v>
      </c>
      <c r="O5191" t="s">
        <v>19447</v>
      </c>
      <c r="P5191" t="s">
        <v>19899</v>
      </c>
      <c r="Q5191" t="s">
        <v>19900</v>
      </c>
      <c r="R5191" t="s">
        <v>19905</v>
      </c>
      <c r="S5191" t="s">
        <v>19906</v>
      </c>
      <c r="T5191" t="s">
        <v>19901</v>
      </c>
    </row>
    <row r="5192" spans="2:20" x14ac:dyDescent="0.25">
      <c r="B5192" t="s">
        <v>2709</v>
      </c>
      <c r="C5192">
        <v>44034900</v>
      </c>
      <c r="E5192">
        <v>112.46</v>
      </c>
      <c r="F5192">
        <v>18</v>
      </c>
      <c r="G5192">
        <v>0</v>
      </c>
      <c r="H5192">
        <v>7.6</v>
      </c>
      <c r="I5192">
        <v>1.65</v>
      </c>
      <c r="J5192">
        <v>2</v>
      </c>
      <c r="L5192" t="s">
        <v>2709</v>
      </c>
      <c r="M5192">
        <v>44034900</v>
      </c>
      <c r="O5192" t="s">
        <v>20055</v>
      </c>
      <c r="P5192" t="s">
        <v>19899</v>
      </c>
      <c r="Q5192" t="s">
        <v>19900</v>
      </c>
      <c r="R5192" t="s">
        <v>19905</v>
      </c>
      <c r="S5192" t="s">
        <v>19906</v>
      </c>
      <c r="T5192" t="s">
        <v>19901</v>
      </c>
    </row>
    <row r="5193" spans="2:20" x14ac:dyDescent="0.25">
      <c r="B5193" t="s">
        <v>2709</v>
      </c>
      <c r="C5193">
        <v>44034900</v>
      </c>
      <c r="D5193">
        <v>1</v>
      </c>
      <c r="E5193" t="s">
        <v>19447</v>
      </c>
      <c r="F5193">
        <v>18</v>
      </c>
      <c r="G5193">
        <v>0</v>
      </c>
      <c r="H5193">
        <v>7.6</v>
      </c>
      <c r="I5193">
        <v>1.65</v>
      </c>
      <c r="J5193">
        <v>2</v>
      </c>
      <c r="L5193" t="s">
        <v>2709</v>
      </c>
      <c r="M5193">
        <v>44034900</v>
      </c>
      <c r="N5193">
        <v>1</v>
      </c>
      <c r="O5193" t="s">
        <v>19447</v>
      </c>
      <c r="P5193" t="s">
        <v>19899</v>
      </c>
      <c r="Q5193" t="s">
        <v>19900</v>
      </c>
      <c r="R5193" t="s">
        <v>19905</v>
      </c>
      <c r="S5193" t="s">
        <v>19906</v>
      </c>
      <c r="T5193" t="s">
        <v>19901</v>
      </c>
    </row>
    <row r="5194" spans="2:20" x14ac:dyDescent="0.25">
      <c r="B5194" t="s">
        <v>2709</v>
      </c>
      <c r="C5194">
        <v>44039100</v>
      </c>
      <c r="E5194">
        <v>112.46</v>
      </c>
      <c r="F5194">
        <v>18</v>
      </c>
      <c r="G5194">
        <v>0</v>
      </c>
      <c r="H5194">
        <v>7.6</v>
      </c>
      <c r="I5194">
        <v>1.65</v>
      </c>
      <c r="J5194">
        <v>2</v>
      </c>
      <c r="L5194" t="s">
        <v>2709</v>
      </c>
      <c r="M5194">
        <v>44039100</v>
      </c>
      <c r="O5194" t="s">
        <v>20055</v>
      </c>
      <c r="P5194" t="s">
        <v>19899</v>
      </c>
      <c r="Q5194" t="s">
        <v>19900</v>
      </c>
      <c r="R5194" t="s">
        <v>19905</v>
      </c>
      <c r="S5194" t="s">
        <v>19906</v>
      </c>
      <c r="T5194" t="s">
        <v>19901</v>
      </c>
    </row>
    <row r="5195" spans="2:20" x14ac:dyDescent="0.25">
      <c r="B5195" t="s">
        <v>2709</v>
      </c>
      <c r="C5195">
        <v>44039100</v>
      </c>
      <c r="D5195">
        <v>1</v>
      </c>
      <c r="E5195" t="s">
        <v>19447</v>
      </c>
      <c r="F5195">
        <v>18</v>
      </c>
      <c r="G5195">
        <v>0</v>
      </c>
      <c r="H5195">
        <v>7.6</v>
      </c>
      <c r="I5195">
        <v>1.65</v>
      </c>
      <c r="J5195">
        <v>2</v>
      </c>
      <c r="L5195" t="s">
        <v>2709</v>
      </c>
      <c r="M5195">
        <v>44039100</v>
      </c>
      <c r="N5195">
        <v>1</v>
      </c>
      <c r="O5195" t="s">
        <v>19447</v>
      </c>
      <c r="P5195" t="s">
        <v>19899</v>
      </c>
      <c r="Q5195" t="s">
        <v>19900</v>
      </c>
      <c r="R5195" t="s">
        <v>19905</v>
      </c>
      <c r="S5195" t="s">
        <v>19906</v>
      </c>
      <c r="T5195" t="s">
        <v>19901</v>
      </c>
    </row>
    <row r="5196" spans="2:20" x14ac:dyDescent="0.25">
      <c r="B5196" t="s">
        <v>2709</v>
      </c>
      <c r="C5196">
        <v>44039200</v>
      </c>
      <c r="E5196">
        <v>112.46</v>
      </c>
      <c r="F5196">
        <v>18</v>
      </c>
      <c r="G5196">
        <v>0</v>
      </c>
      <c r="H5196">
        <v>7.6</v>
      </c>
      <c r="I5196">
        <v>1.65</v>
      </c>
      <c r="J5196">
        <v>2</v>
      </c>
      <c r="L5196" t="s">
        <v>2709</v>
      </c>
      <c r="M5196">
        <v>44039200</v>
      </c>
      <c r="O5196" t="s">
        <v>20055</v>
      </c>
      <c r="P5196" t="s">
        <v>19899</v>
      </c>
      <c r="Q5196" t="s">
        <v>19900</v>
      </c>
      <c r="R5196" t="s">
        <v>19905</v>
      </c>
      <c r="S5196" t="s">
        <v>19906</v>
      </c>
      <c r="T5196" t="s">
        <v>19901</v>
      </c>
    </row>
    <row r="5197" spans="2:20" x14ac:dyDescent="0.25">
      <c r="B5197" t="s">
        <v>2709</v>
      </c>
      <c r="C5197">
        <v>44039200</v>
      </c>
      <c r="D5197">
        <v>1</v>
      </c>
      <c r="E5197" t="s">
        <v>19447</v>
      </c>
      <c r="F5197">
        <v>18</v>
      </c>
      <c r="G5197">
        <v>0</v>
      </c>
      <c r="H5197">
        <v>7.6</v>
      </c>
      <c r="I5197">
        <v>1.65</v>
      </c>
      <c r="J5197">
        <v>2</v>
      </c>
      <c r="L5197" t="s">
        <v>2709</v>
      </c>
      <c r="M5197">
        <v>44039200</v>
      </c>
      <c r="N5197">
        <v>1</v>
      </c>
      <c r="O5197" t="s">
        <v>19447</v>
      </c>
      <c r="P5197" t="s">
        <v>19899</v>
      </c>
      <c r="Q5197" t="s">
        <v>19900</v>
      </c>
      <c r="R5197" t="s">
        <v>19905</v>
      </c>
      <c r="S5197" t="s">
        <v>19906</v>
      </c>
      <c r="T5197" t="s">
        <v>19901</v>
      </c>
    </row>
    <row r="5198" spans="2:20" x14ac:dyDescent="0.25">
      <c r="B5198" t="s">
        <v>2709</v>
      </c>
      <c r="C5198">
        <v>44039900</v>
      </c>
      <c r="E5198">
        <v>112.46</v>
      </c>
      <c r="F5198">
        <v>18</v>
      </c>
      <c r="G5198">
        <v>0</v>
      </c>
      <c r="H5198">
        <v>7.6</v>
      </c>
      <c r="I5198">
        <v>1.65</v>
      </c>
      <c r="J5198">
        <v>2</v>
      </c>
      <c r="L5198" t="s">
        <v>2709</v>
      </c>
      <c r="M5198">
        <v>44039900</v>
      </c>
      <c r="O5198" t="s">
        <v>20055</v>
      </c>
      <c r="P5198" t="s">
        <v>19899</v>
      </c>
      <c r="Q5198" t="s">
        <v>19900</v>
      </c>
      <c r="R5198" t="s">
        <v>19905</v>
      </c>
      <c r="S5198" t="s">
        <v>19906</v>
      </c>
      <c r="T5198" t="s">
        <v>19901</v>
      </c>
    </row>
    <row r="5199" spans="2:20" x14ac:dyDescent="0.25">
      <c r="B5199" t="s">
        <v>2709</v>
      </c>
      <c r="C5199">
        <v>44039900</v>
      </c>
      <c r="D5199">
        <v>1</v>
      </c>
      <c r="E5199" t="s">
        <v>19447</v>
      </c>
      <c r="F5199">
        <v>18</v>
      </c>
      <c r="G5199">
        <v>0</v>
      </c>
      <c r="H5199">
        <v>7.6</v>
      </c>
      <c r="I5199">
        <v>1.65</v>
      </c>
      <c r="J5199">
        <v>2</v>
      </c>
      <c r="L5199" t="s">
        <v>2709</v>
      </c>
      <c r="M5199">
        <v>44039900</v>
      </c>
      <c r="N5199">
        <v>1</v>
      </c>
      <c r="O5199" t="s">
        <v>19447</v>
      </c>
      <c r="P5199" t="s">
        <v>19899</v>
      </c>
      <c r="Q5199" t="s">
        <v>19900</v>
      </c>
      <c r="R5199" t="s">
        <v>19905</v>
      </c>
      <c r="S5199" t="s">
        <v>19906</v>
      </c>
      <c r="T5199" t="s">
        <v>19901</v>
      </c>
    </row>
    <row r="5200" spans="2:20" x14ac:dyDescent="0.25">
      <c r="B5200" t="s">
        <v>2709</v>
      </c>
      <c r="C5200">
        <v>44041000</v>
      </c>
      <c r="E5200">
        <v>112.46</v>
      </c>
      <c r="F5200">
        <v>18</v>
      </c>
      <c r="G5200">
        <v>0</v>
      </c>
      <c r="H5200">
        <v>7.6</v>
      </c>
      <c r="I5200">
        <v>1.65</v>
      </c>
      <c r="J5200">
        <v>2</v>
      </c>
      <c r="L5200" t="s">
        <v>2709</v>
      </c>
      <c r="M5200">
        <v>44041000</v>
      </c>
      <c r="O5200" t="s">
        <v>20055</v>
      </c>
      <c r="P5200" t="s">
        <v>19899</v>
      </c>
      <c r="Q5200" t="s">
        <v>19900</v>
      </c>
      <c r="R5200" t="s">
        <v>19905</v>
      </c>
      <c r="S5200" t="s">
        <v>19906</v>
      </c>
      <c r="T5200" t="s">
        <v>19901</v>
      </c>
    </row>
    <row r="5201" spans="2:20" x14ac:dyDescent="0.25">
      <c r="B5201" t="s">
        <v>2709</v>
      </c>
      <c r="C5201">
        <v>44042000</v>
      </c>
      <c r="E5201">
        <v>112.46</v>
      </c>
      <c r="F5201">
        <v>18</v>
      </c>
      <c r="G5201">
        <v>0</v>
      </c>
      <c r="H5201">
        <v>7.6</v>
      </c>
      <c r="I5201">
        <v>1.65</v>
      </c>
      <c r="J5201">
        <v>2</v>
      </c>
      <c r="L5201" t="s">
        <v>2709</v>
      </c>
      <c r="M5201">
        <v>44042000</v>
      </c>
      <c r="O5201" t="s">
        <v>20055</v>
      </c>
      <c r="P5201" t="s">
        <v>19899</v>
      </c>
      <c r="Q5201" t="s">
        <v>19900</v>
      </c>
      <c r="R5201" t="s">
        <v>19905</v>
      </c>
      <c r="S5201" t="s">
        <v>19906</v>
      </c>
      <c r="T5201" t="s">
        <v>19901</v>
      </c>
    </row>
    <row r="5202" spans="2:20" x14ac:dyDescent="0.25">
      <c r="B5202" t="s">
        <v>2709</v>
      </c>
      <c r="C5202">
        <v>44050000</v>
      </c>
      <c r="E5202">
        <v>112.46</v>
      </c>
      <c r="F5202">
        <v>18</v>
      </c>
      <c r="G5202">
        <v>0</v>
      </c>
      <c r="H5202">
        <v>7.6</v>
      </c>
      <c r="I5202">
        <v>1.65</v>
      </c>
      <c r="J5202">
        <v>2</v>
      </c>
      <c r="L5202" t="s">
        <v>2709</v>
      </c>
      <c r="M5202">
        <v>44050000</v>
      </c>
      <c r="O5202" t="s">
        <v>20055</v>
      </c>
      <c r="P5202" t="s">
        <v>19899</v>
      </c>
      <c r="Q5202" t="s">
        <v>19900</v>
      </c>
      <c r="R5202" t="s">
        <v>19905</v>
      </c>
      <c r="S5202" t="s">
        <v>19906</v>
      </c>
      <c r="T5202" t="s">
        <v>19901</v>
      </c>
    </row>
    <row r="5203" spans="2:20" x14ac:dyDescent="0.25">
      <c r="B5203" t="s">
        <v>2709</v>
      </c>
      <c r="C5203">
        <v>44061000</v>
      </c>
      <c r="E5203">
        <v>112.46</v>
      </c>
      <c r="F5203">
        <v>18</v>
      </c>
      <c r="G5203">
        <v>0</v>
      </c>
      <c r="H5203">
        <v>7.6</v>
      </c>
      <c r="I5203">
        <v>1.65</v>
      </c>
      <c r="J5203">
        <v>4</v>
      </c>
      <c r="L5203" t="s">
        <v>2709</v>
      </c>
      <c r="M5203">
        <v>44061000</v>
      </c>
      <c r="O5203" t="s">
        <v>20055</v>
      </c>
      <c r="P5203" t="s">
        <v>19899</v>
      </c>
      <c r="Q5203" t="s">
        <v>19900</v>
      </c>
      <c r="R5203" t="s">
        <v>19905</v>
      </c>
      <c r="S5203" t="s">
        <v>19906</v>
      </c>
      <c r="T5203" t="s">
        <v>19902</v>
      </c>
    </row>
    <row r="5204" spans="2:20" x14ac:dyDescent="0.25">
      <c r="B5204" t="s">
        <v>2709</v>
      </c>
      <c r="C5204">
        <v>44069000</v>
      </c>
      <c r="E5204">
        <v>112.46</v>
      </c>
      <c r="F5204">
        <v>18</v>
      </c>
      <c r="G5204">
        <v>0</v>
      </c>
      <c r="H5204">
        <v>7.6</v>
      </c>
      <c r="I5204">
        <v>1.65</v>
      </c>
      <c r="J5204">
        <v>4</v>
      </c>
      <c r="L5204" t="s">
        <v>2709</v>
      </c>
      <c r="M5204">
        <v>44069000</v>
      </c>
      <c r="O5204" t="s">
        <v>20055</v>
      </c>
      <c r="P5204" t="s">
        <v>19899</v>
      </c>
      <c r="Q5204" t="s">
        <v>19900</v>
      </c>
      <c r="R5204" t="s">
        <v>19905</v>
      </c>
      <c r="S5204" t="s">
        <v>19906</v>
      </c>
      <c r="T5204" t="s">
        <v>19902</v>
      </c>
    </row>
    <row r="5205" spans="2:20" x14ac:dyDescent="0.25">
      <c r="B5205" t="s">
        <v>2709</v>
      </c>
      <c r="C5205">
        <v>44071000</v>
      </c>
      <c r="E5205">
        <v>112.46</v>
      </c>
      <c r="F5205">
        <v>18</v>
      </c>
      <c r="G5205">
        <v>0</v>
      </c>
      <c r="H5205">
        <v>7.6</v>
      </c>
      <c r="I5205">
        <v>1.65</v>
      </c>
      <c r="J5205">
        <v>6</v>
      </c>
      <c r="L5205" t="s">
        <v>2709</v>
      </c>
      <c r="M5205">
        <v>44071000</v>
      </c>
      <c r="O5205" t="s">
        <v>20055</v>
      </c>
      <c r="P5205" t="s">
        <v>19899</v>
      </c>
      <c r="Q5205" t="s">
        <v>19900</v>
      </c>
      <c r="R5205" t="s">
        <v>19905</v>
      </c>
      <c r="S5205" t="s">
        <v>19906</v>
      </c>
      <c r="T5205" t="s">
        <v>19907</v>
      </c>
    </row>
    <row r="5206" spans="2:20" x14ac:dyDescent="0.25">
      <c r="B5206" t="s">
        <v>2709</v>
      </c>
      <c r="C5206">
        <v>44072100</v>
      </c>
      <c r="E5206">
        <v>112.46</v>
      </c>
      <c r="F5206">
        <v>18</v>
      </c>
      <c r="G5206">
        <v>0</v>
      </c>
      <c r="H5206">
        <v>7.6</v>
      </c>
      <c r="I5206">
        <v>1.65</v>
      </c>
      <c r="J5206">
        <v>6</v>
      </c>
      <c r="L5206" t="s">
        <v>2709</v>
      </c>
      <c r="M5206">
        <v>44072100</v>
      </c>
      <c r="O5206" t="s">
        <v>20055</v>
      </c>
      <c r="P5206" t="s">
        <v>19899</v>
      </c>
      <c r="Q5206" t="s">
        <v>19900</v>
      </c>
      <c r="R5206" t="s">
        <v>19905</v>
      </c>
      <c r="S5206" t="s">
        <v>19906</v>
      </c>
      <c r="T5206" t="s">
        <v>19907</v>
      </c>
    </row>
    <row r="5207" spans="2:20" x14ac:dyDescent="0.25">
      <c r="B5207" t="s">
        <v>2709</v>
      </c>
      <c r="C5207">
        <v>44072200</v>
      </c>
      <c r="E5207">
        <v>112.46</v>
      </c>
      <c r="F5207">
        <v>18</v>
      </c>
      <c r="G5207">
        <v>0</v>
      </c>
      <c r="H5207">
        <v>7.6</v>
      </c>
      <c r="I5207">
        <v>1.65</v>
      </c>
      <c r="J5207">
        <v>6</v>
      </c>
      <c r="L5207" t="s">
        <v>2709</v>
      </c>
      <c r="M5207">
        <v>44072200</v>
      </c>
      <c r="O5207" t="s">
        <v>20055</v>
      </c>
      <c r="P5207" t="s">
        <v>19899</v>
      </c>
      <c r="Q5207" t="s">
        <v>19900</v>
      </c>
      <c r="R5207" t="s">
        <v>19905</v>
      </c>
      <c r="S5207" t="s">
        <v>19906</v>
      </c>
      <c r="T5207" t="s">
        <v>19907</v>
      </c>
    </row>
    <row r="5208" spans="2:20" x14ac:dyDescent="0.25">
      <c r="B5208" t="s">
        <v>2709</v>
      </c>
      <c r="C5208">
        <v>44072500</v>
      </c>
      <c r="E5208">
        <v>112.46</v>
      </c>
      <c r="F5208">
        <v>18</v>
      </c>
      <c r="G5208">
        <v>0</v>
      </c>
      <c r="H5208">
        <v>7.6</v>
      </c>
      <c r="I5208">
        <v>1.65</v>
      </c>
      <c r="J5208">
        <v>6</v>
      </c>
      <c r="L5208" t="s">
        <v>2709</v>
      </c>
      <c r="M5208">
        <v>44072500</v>
      </c>
      <c r="O5208" t="s">
        <v>20055</v>
      </c>
      <c r="P5208" t="s">
        <v>19899</v>
      </c>
      <c r="Q5208" t="s">
        <v>19900</v>
      </c>
      <c r="R5208" t="s">
        <v>19905</v>
      </c>
      <c r="S5208" t="s">
        <v>19906</v>
      </c>
      <c r="T5208" t="s">
        <v>19907</v>
      </c>
    </row>
    <row r="5209" spans="2:20" x14ac:dyDescent="0.25">
      <c r="B5209" t="s">
        <v>2709</v>
      </c>
      <c r="C5209">
        <v>44072600</v>
      </c>
      <c r="E5209">
        <v>112.46</v>
      </c>
      <c r="F5209">
        <v>18</v>
      </c>
      <c r="G5209">
        <v>0</v>
      </c>
      <c r="H5209">
        <v>7.6</v>
      </c>
      <c r="I5209">
        <v>1.65</v>
      </c>
      <c r="J5209">
        <v>6</v>
      </c>
      <c r="L5209" t="s">
        <v>2709</v>
      </c>
      <c r="M5209">
        <v>44072600</v>
      </c>
      <c r="O5209" t="s">
        <v>20055</v>
      </c>
      <c r="P5209" t="s">
        <v>19899</v>
      </c>
      <c r="Q5209" t="s">
        <v>19900</v>
      </c>
      <c r="R5209" t="s">
        <v>19905</v>
      </c>
      <c r="S5209" t="s">
        <v>19906</v>
      </c>
      <c r="T5209" t="s">
        <v>19907</v>
      </c>
    </row>
    <row r="5210" spans="2:20" x14ac:dyDescent="0.25">
      <c r="B5210" t="s">
        <v>2709</v>
      </c>
      <c r="C5210">
        <v>44072700</v>
      </c>
      <c r="E5210">
        <v>112.46</v>
      </c>
      <c r="F5210">
        <v>18</v>
      </c>
      <c r="G5210">
        <v>0</v>
      </c>
      <c r="H5210">
        <v>7.6</v>
      </c>
      <c r="I5210">
        <v>1.65</v>
      </c>
      <c r="J5210">
        <v>6</v>
      </c>
      <c r="L5210" t="s">
        <v>2709</v>
      </c>
      <c r="M5210">
        <v>44072700</v>
      </c>
      <c r="O5210" t="s">
        <v>20055</v>
      </c>
      <c r="P5210" t="s">
        <v>19899</v>
      </c>
      <c r="Q5210" t="s">
        <v>19900</v>
      </c>
      <c r="R5210" t="s">
        <v>19905</v>
      </c>
      <c r="S5210" t="s">
        <v>19906</v>
      </c>
      <c r="T5210" t="s">
        <v>19907</v>
      </c>
    </row>
    <row r="5211" spans="2:20" x14ac:dyDescent="0.25">
      <c r="B5211" t="s">
        <v>2709</v>
      </c>
      <c r="C5211">
        <v>44072800</v>
      </c>
      <c r="E5211">
        <v>112.46</v>
      </c>
      <c r="F5211">
        <v>18</v>
      </c>
      <c r="G5211">
        <v>0</v>
      </c>
      <c r="H5211">
        <v>7.6</v>
      </c>
      <c r="I5211">
        <v>1.65</v>
      </c>
      <c r="J5211">
        <v>6</v>
      </c>
      <c r="L5211" t="s">
        <v>2709</v>
      </c>
      <c r="M5211">
        <v>44072800</v>
      </c>
      <c r="O5211" t="s">
        <v>20055</v>
      </c>
      <c r="P5211" t="s">
        <v>19899</v>
      </c>
      <c r="Q5211" t="s">
        <v>19900</v>
      </c>
      <c r="R5211" t="s">
        <v>19905</v>
      </c>
      <c r="S5211" t="s">
        <v>19906</v>
      </c>
      <c r="T5211" t="s">
        <v>19907</v>
      </c>
    </row>
    <row r="5212" spans="2:20" x14ac:dyDescent="0.25">
      <c r="B5212" t="s">
        <v>2709</v>
      </c>
      <c r="C5212">
        <v>44072910</v>
      </c>
      <c r="E5212">
        <v>112.46</v>
      </c>
      <c r="F5212">
        <v>18</v>
      </c>
      <c r="G5212">
        <v>0</v>
      </c>
      <c r="H5212">
        <v>7.6</v>
      </c>
      <c r="I5212">
        <v>1.65</v>
      </c>
      <c r="J5212">
        <v>6</v>
      </c>
      <c r="L5212" t="s">
        <v>2709</v>
      </c>
      <c r="M5212">
        <v>44072910</v>
      </c>
      <c r="O5212" t="s">
        <v>20055</v>
      </c>
      <c r="P5212" t="s">
        <v>19899</v>
      </c>
      <c r="Q5212" t="s">
        <v>19900</v>
      </c>
      <c r="R5212" t="s">
        <v>19905</v>
      </c>
      <c r="S5212" t="s">
        <v>19906</v>
      </c>
      <c r="T5212" t="s">
        <v>19907</v>
      </c>
    </row>
    <row r="5213" spans="2:20" x14ac:dyDescent="0.25">
      <c r="B5213" t="s">
        <v>2709</v>
      </c>
      <c r="C5213">
        <v>44072920</v>
      </c>
      <c r="E5213">
        <v>112.46</v>
      </c>
      <c r="F5213">
        <v>18</v>
      </c>
      <c r="G5213">
        <v>0</v>
      </c>
      <c r="H5213">
        <v>7.6</v>
      </c>
      <c r="I5213">
        <v>1.65</v>
      </c>
      <c r="J5213">
        <v>6</v>
      </c>
      <c r="L5213" t="s">
        <v>2709</v>
      </c>
      <c r="M5213">
        <v>44072920</v>
      </c>
      <c r="O5213" t="s">
        <v>20055</v>
      </c>
      <c r="P5213" t="s">
        <v>19899</v>
      </c>
      <c r="Q5213" t="s">
        <v>19900</v>
      </c>
      <c r="R5213" t="s">
        <v>19905</v>
      </c>
      <c r="S5213" t="s">
        <v>19906</v>
      </c>
      <c r="T5213" t="s">
        <v>19907</v>
      </c>
    </row>
    <row r="5214" spans="2:20" x14ac:dyDescent="0.25">
      <c r="B5214" t="s">
        <v>2709</v>
      </c>
      <c r="C5214">
        <v>44072930</v>
      </c>
      <c r="E5214">
        <v>112.46</v>
      </c>
      <c r="F5214">
        <v>18</v>
      </c>
      <c r="G5214">
        <v>0</v>
      </c>
      <c r="H5214">
        <v>7.6</v>
      </c>
      <c r="I5214">
        <v>1.65</v>
      </c>
      <c r="J5214">
        <v>6</v>
      </c>
      <c r="L5214" t="s">
        <v>2709</v>
      </c>
      <c r="M5214">
        <v>44072930</v>
      </c>
      <c r="O5214" t="s">
        <v>20055</v>
      </c>
      <c r="P5214" t="s">
        <v>19899</v>
      </c>
      <c r="Q5214" t="s">
        <v>19900</v>
      </c>
      <c r="R5214" t="s">
        <v>19905</v>
      </c>
      <c r="S5214" t="s">
        <v>19906</v>
      </c>
      <c r="T5214" t="s">
        <v>19907</v>
      </c>
    </row>
    <row r="5215" spans="2:20" x14ac:dyDescent="0.25">
      <c r="B5215" t="s">
        <v>2709</v>
      </c>
      <c r="C5215">
        <v>44072940</v>
      </c>
      <c r="E5215">
        <v>112.46</v>
      </c>
      <c r="F5215">
        <v>18</v>
      </c>
      <c r="G5215">
        <v>0</v>
      </c>
      <c r="H5215">
        <v>7.6</v>
      </c>
      <c r="I5215">
        <v>1.65</v>
      </c>
      <c r="J5215">
        <v>6</v>
      </c>
      <c r="L5215" t="s">
        <v>2709</v>
      </c>
      <c r="M5215">
        <v>44072940</v>
      </c>
      <c r="O5215" t="s">
        <v>20055</v>
      </c>
      <c r="P5215" t="s">
        <v>19899</v>
      </c>
      <c r="Q5215" t="s">
        <v>19900</v>
      </c>
      <c r="R5215" t="s">
        <v>19905</v>
      </c>
      <c r="S5215" t="s">
        <v>19906</v>
      </c>
      <c r="T5215" t="s">
        <v>19907</v>
      </c>
    </row>
    <row r="5216" spans="2:20" x14ac:dyDescent="0.25">
      <c r="B5216" t="s">
        <v>2709</v>
      </c>
      <c r="C5216">
        <v>44072990</v>
      </c>
      <c r="E5216">
        <v>112.46</v>
      </c>
      <c r="F5216">
        <v>18</v>
      </c>
      <c r="G5216">
        <v>0</v>
      </c>
      <c r="H5216">
        <v>7.6</v>
      </c>
      <c r="I5216">
        <v>1.65</v>
      </c>
      <c r="J5216">
        <v>6</v>
      </c>
      <c r="L5216" t="s">
        <v>2709</v>
      </c>
      <c r="M5216">
        <v>44072990</v>
      </c>
      <c r="O5216" t="s">
        <v>20055</v>
      </c>
      <c r="P5216" t="s">
        <v>19899</v>
      </c>
      <c r="Q5216" t="s">
        <v>19900</v>
      </c>
      <c r="R5216" t="s">
        <v>19905</v>
      </c>
      <c r="S5216" t="s">
        <v>19906</v>
      </c>
      <c r="T5216" t="s">
        <v>19907</v>
      </c>
    </row>
    <row r="5217" spans="2:20" x14ac:dyDescent="0.25">
      <c r="B5217" t="s">
        <v>2709</v>
      </c>
      <c r="C5217">
        <v>44079100</v>
      </c>
      <c r="E5217">
        <v>112.46</v>
      </c>
      <c r="F5217">
        <v>18</v>
      </c>
      <c r="G5217">
        <v>0</v>
      </c>
      <c r="H5217">
        <v>7.6</v>
      </c>
      <c r="I5217">
        <v>1.65</v>
      </c>
      <c r="J5217">
        <v>6</v>
      </c>
      <c r="L5217" t="s">
        <v>2709</v>
      </c>
      <c r="M5217">
        <v>44079100</v>
      </c>
      <c r="O5217" t="s">
        <v>20055</v>
      </c>
      <c r="P5217" t="s">
        <v>19899</v>
      </c>
      <c r="Q5217" t="s">
        <v>19900</v>
      </c>
      <c r="R5217" t="s">
        <v>19905</v>
      </c>
      <c r="S5217" t="s">
        <v>19906</v>
      </c>
      <c r="T5217" t="s">
        <v>19907</v>
      </c>
    </row>
    <row r="5218" spans="2:20" x14ac:dyDescent="0.25">
      <c r="B5218" t="s">
        <v>2709</v>
      </c>
      <c r="C5218">
        <v>44079200</v>
      </c>
      <c r="E5218">
        <v>112.46</v>
      </c>
      <c r="F5218">
        <v>18</v>
      </c>
      <c r="G5218">
        <v>0</v>
      </c>
      <c r="H5218">
        <v>7.6</v>
      </c>
      <c r="I5218">
        <v>1.65</v>
      </c>
      <c r="J5218">
        <v>6</v>
      </c>
      <c r="L5218" t="s">
        <v>2709</v>
      </c>
      <c r="M5218">
        <v>44079200</v>
      </c>
      <c r="O5218" t="s">
        <v>20055</v>
      </c>
      <c r="P5218" t="s">
        <v>19899</v>
      </c>
      <c r="Q5218" t="s">
        <v>19900</v>
      </c>
      <c r="R5218" t="s">
        <v>19905</v>
      </c>
      <c r="S5218" t="s">
        <v>19906</v>
      </c>
      <c r="T5218" t="s">
        <v>19907</v>
      </c>
    </row>
    <row r="5219" spans="2:20" x14ac:dyDescent="0.25">
      <c r="B5219" t="s">
        <v>2709</v>
      </c>
      <c r="C5219">
        <v>44079300</v>
      </c>
      <c r="E5219">
        <v>112.46</v>
      </c>
      <c r="F5219">
        <v>18</v>
      </c>
      <c r="G5219">
        <v>0</v>
      </c>
      <c r="H5219">
        <v>7.6</v>
      </c>
      <c r="I5219">
        <v>1.65</v>
      </c>
      <c r="J5219">
        <v>6</v>
      </c>
      <c r="L5219" t="s">
        <v>2709</v>
      </c>
      <c r="M5219">
        <v>44079300</v>
      </c>
      <c r="O5219" t="s">
        <v>20055</v>
      </c>
      <c r="P5219" t="s">
        <v>19899</v>
      </c>
      <c r="Q5219" t="s">
        <v>19900</v>
      </c>
      <c r="R5219" t="s">
        <v>19905</v>
      </c>
      <c r="S5219" t="s">
        <v>19906</v>
      </c>
      <c r="T5219" t="s">
        <v>19907</v>
      </c>
    </row>
    <row r="5220" spans="2:20" x14ac:dyDescent="0.25">
      <c r="B5220" t="s">
        <v>2709</v>
      </c>
      <c r="C5220">
        <v>44079400</v>
      </c>
      <c r="E5220">
        <v>112.46</v>
      </c>
      <c r="F5220">
        <v>18</v>
      </c>
      <c r="G5220">
        <v>0</v>
      </c>
      <c r="H5220">
        <v>7.6</v>
      </c>
      <c r="I5220">
        <v>1.65</v>
      </c>
      <c r="J5220">
        <v>6</v>
      </c>
      <c r="L5220" t="s">
        <v>2709</v>
      </c>
      <c r="M5220">
        <v>44079400</v>
      </c>
      <c r="O5220" t="s">
        <v>20055</v>
      </c>
      <c r="P5220" t="s">
        <v>19899</v>
      </c>
      <c r="Q5220" t="s">
        <v>19900</v>
      </c>
      <c r="R5220" t="s">
        <v>19905</v>
      </c>
      <c r="S5220" t="s">
        <v>19906</v>
      </c>
      <c r="T5220" t="s">
        <v>19907</v>
      </c>
    </row>
    <row r="5221" spans="2:20" x14ac:dyDescent="0.25">
      <c r="B5221" t="s">
        <v>2709</v>
      </c>
      <c r="C5221">
        <v>44079500</v>
      </c>
      <c r="E5221">
        <v>112.46</v>
      </c>
      <c r="F5221">
        <v>18</v>
      </c>
      <c r="G5221">
        <v>0</v>
      </c>
      <c r="H5221">
        <v>7.6</v>
      </c>
      <c r="I5221">
        <v>1.65</v>
      </c>
      <c r="J5221">
        <v>6</v>
      </c>
      <c r="L5221" t="s">
        <v>2709</v>
      </c>
      <c r="M5221">
        <v>44079500</v>
      </c>
      <c r="O5221" t="s">
        <v>20055</v>
      </c>
      <c r="P5221" t="s">
        <v>19899</v>
      </c>
      <c r="Q5221" t="s">
        <v>19900</v>
      </c>
      <c r="R5221" t="s">
        <v>19905</v>
      </c>
      <c r="S5221" t="s">
        <v>19906</v>
      </c>
      <c r="T5221" t="s">
        <v>19907</v>
      </c>
    </row>
    <row r="5222" spans="2:20" x14ac:dyDescent="0.25">
      <c r="B5222" t="s">
        <v>2709</v>
      </c>
      <c r="C5222">
        <v>44079910</v>
      </c>
      <c r="E5222">
        <v>112.46</v>
      </c>
      <c r="F5222">
        <v>18</v>
      </c>
      <c r="G5222">
        <v>0</v>
      </c>
      <c r="H5222">
        <v>7.6</v>
      </c>
      <c r="I5222">
        <v>1.65</v>
      </c>
      <c r="J5222">
        <v>6</v>
      </c>
      <c r="L5222" t="s">
        <v>2709</v>
      </c>
      <c r="M5222">
        <v>44079910</v>
      </c>
      <c r="O5222" t="s">
        <v>20055</v>
      </c>
      <c r="P5222" t="s">
        <v>19899</v>
      </c>
      <c r="Q5222" t="s">
        <v>19900</v>
      </c>
      <c r="R5222" t="s">
        <v>19905</v>
      </c>
      <c r="S5222" t="s">
        <v>19906</v>
      </c>
      <c r="T5222" t="s">
        <v>19907</v>
      </c>
    </row>
    <row r="5223" spans="2:20" x14ac:dyDescent="0.25">
      <c r="B5223" t="s">
        <v>2709</v>
      </c>
      <c r="C5223">
        <v>44079920</v>
      </c>
      <c r="E5223">
        <v>112.46</v>
      </c>
      <c r="F5223">
        <v>18</v>
      </c>
      <c r="G5223">
        <v>0</v>
      </c>
      <c r="H5223">
        <v>7.6</v>
      </c>
      <c r="I5223">
        <v>1.65</v>
      </c>
      <c r="J5223">
        <v>6</v>
      </c>
      <c r="L5223" t="s">
        <v>2709</v>
      </c>
      <c r="M5223">
        <v>44079920</v>
      </c>
      <c r="O5223" t="s">
        <v>20055</v>
      </c>
      <c r="P5223" t="s">
        <v>19899</v>
      </c>
      <c r="Q5223" t="s">
        <v>19900</v>
      </c>
      <c r="R5223" t="s">
        <v>19905</v>
      </c>
      <c r="S5223" t="s">
        <v>19906</v>
      </c>
      <c r="T5223" t="s">
        <v>19907</v>
      </c>
    </row>
    <row r="5224" spans="2:20" x14ac:dyDescent="0.25">
      <c r="B5224" t="s">
        <v>2709</v>
      </c>
      <c r="C5224">
        <v>44079930</v>
      </c>
      <c r="E5224">
        <v>112.46</v>
      </c>
      <c r="F5224">
        <v>18</v>
      </c>
      <c r="G5224">
        <v>0</v>
      </c>
      <c r="H5224">
        <v>7.6</v>
      </c>
      <c r="I5224">
        <v>1.65</v>
      </c>
      <c r="J5224">
        <v>6</v>
      </c>
      <c r="L5224" t="s">
        <v>2709</v>
      </c>
      <c r="M5224">
        <v>44079930</v>
      </c>
      <c r="O5224" t="s">
        <v>20055</v>
      </c>
      <c r="P5224" t="s">
        <v>19899</v>
      </c>
      <c r="Q5224" t="s">
        <v>19900</v>
      </c>
      <c r="R5224" t="s">
        <v>19905</v>
      </c>
      <c r="S5224" t="s">
        <v>19906</v>
      </c>
      <c r="T5224" t="s">
        <v>19907</v>
      </c>
    </row>
    <row r="5225" spans="2:20" x14ac:dyDescent="0.25">
      <c r="B5225" t="s">
        <v>2709</v>
      </c>
      <c r="C5225">
        <v>44079940</v>
      </c>
      <c r="E5225">
        <v>112.46</v>
      </c>
      <c r="F5225">
        <v>18</v>
      </c>
      <c r="G5225">
        <v>0</v>
      </c>
      <c r="H5225">
        <v>7.6</v>
      </c>
      <c r="I5225">
        <v>1.65</v>
      </c>
      <c r="J5225">
        <v>6</v>
      </c>
      <c r="L5225" t="s">
        <v>2709</v>
      </c>
      <c r="M5225">
        <v>44079940</v>
      </c>
      <c r="O5225" t="s">
        <v>20055</v>
      </c>
      <c r="P5225" t="s">
        <v>19899</v>
      </c>
      <c r="Q5225" t="s">
        <v>19900</v>
      </c>
      <c r="R5225" t="s">
        <v>19905</v>
      </c>
      <c r="S5225" t="s">
        <v>19906</v>
      </c>
      <c r="T5225" t="s">
        <v>19907</v>
      </c>
    </row>
    <row r="5226" spans="2:20" x14ac:dyDescent="0.25">
      <c r="B5226" t="s">
        <v>2709</v>
      </c>
      <c r="C5226">
        <v>44079950</v>
      </c>
      <c r="E5226">
        <v>112.46</v>
      </c>
      <c r="F5226">
        <v>18</v>
      </c>
      <c r="G5226">
        <v>0</v>
      </c>
      <c r="H5226">
        <v>7.6</v>
      </c>
      <c r="I5226">
        <v>1.65</v>
      </c>
      <c r="J5226">
        <v>6</v>
      </c>
      <c r="L5226" t="s">
        <v>2709</v>
      </c>
      <c r="M5226">
        <v>44079950</v>
      </c>
      <c r="O5226" t="s">
        <v>20055</v>
      </c>
      <c r="P5226" t="s">
        <v>19899</v>
      </c>
      <c r="Q5226" t="s">
        <v>19900</v>
      </c>
      <c r="R5226" t="s">
        <v>19905</v>
      </c>
      <c r="S5226" t="s">
        <v>19906</v>
      </c>
      <c r="T5226" t="s">
        <v>19907</v>
      </c>
    </row>
    <row r="5227" spans="2:20" x14ac:dyDescent="0.25">
      <c r="B5227" t="s">
        <v>2709</v>
      </c>
      <c r="C5227">
        <v>44079960</v>
      </c>
      <c r="E5227">
        <v>112.46</v>
      </c>
      <c r="F5227">
        <v>18</v>
      </c>
      <c r="G5227">
        <v>0</v>
      </c>
      <c r="H5227">
        <v>7.6</v>
      </c>
      <c r="I5227">
        <v>1.65</v>
      </c>
      <c r="J5227">
        <v>6</v>
      </c>
      <c r="L5227" t="s">
        <v>2709</v>
      </c>
      <c r="M5227">
        <v>44079960</v>
      </c>
      <c r="O5227" t="s">
        <v>20055</v>
      </c>
      <c r="P5227" t="s">
        <v>19899</v>
      </c>
      <c r="Q5227" t="s">
        <v>19900</v>
      </c>
      <c r="R5227" t="s">
        <v>19905</v>
      </c>
      <c r="S5227" t="s">
        <v>19906</v>
      </c>
      <c r="T5227" t="s">
        <v>19907</v>
      </c>
    </row>
    <row r="5228" spans="2:20" x14ac:dyDescent="0.25">
      <c r="B5228" t="s">
        <v>2709</v>
      </c>
      <c r="C5228">
        <v>44079970</v>
      </c>
      <c r="E5228">
        <v>112.46</v>
      </c>
      <c r="F5228">
        <v>18</v>
      </c>
      <c r="G5228">
        <v>0</v>
      </c>
      <c r="H5228">
        <v>7.6</v>
      </c>
      <c r="I5228">
        <v>1.65</v>
      </c>
      <c r="J5228">
        <v>6</v>
      </c>
      <c r="L5228" t="s">
        <v>2709</v>
      </c>
      <c r="M5228">
        <v>44079970</v>
      </c>
      <c r="O5228" t="s">
        <v>20055</v>
      </c>
      <c r="P5228" t="s">
        <v>19899</v>
      </c>
      <c r="Q5228" t="s">
        <v>19900</v>
      </c>
      <c r="R5228" t="s">
        <v>19905</v>
      </c>
      <c r="S5228" t="s">
        <v>19906</v>
      </c>
      <c r="T5228" t="s">
        <v>19907</v>
      </c>
    </row>
    <row r="5229" spans="2:20" x14ac:dyDescent="0.25">
      <c r="B5229" t="s">
        <v>2709</v>
      </c>
      <c r="C5229">
        <v>44079990</v>
      </c>
      <c r="E5229">
        <v>112.46</v>
      </c>
      <c r="F5229">
        <v>18</v>
      </c>
      <c r="G5229">
        <v>0</v>
      </c>
      <c r="H5229">
        <v>7.6</v>
      </c>
      <c r="I5229">
        <v>1.65</v>
      </c>
      <c r="J5229">
        <v>6</v>
      </c>
      <c r="L5229" t="s">
        <v>2709</v>
      </c>
      <c r="M5229">
        <v>44079990</v>
      </c>
      <c r="O5229" t="s">
        <v>20055</v>
      </c>
      <c r="P5229" t="s">
        <v>19899</v>
      </c>
      <c r="Q5229" t="s">
        <v>19900</v>
      </c>
      <c r="R5229" t="s">
        <v>19905</v>
      </c>
      <c r="S5229" t="s">
        <v>19906</v>
      </c>
      <c r="T5229" t="s">
        <v>19907</v>
      </c>
    </row>
    <row r="5230" spans="2:20" x14ac:dyDescent="0.25">
      <c r="B5230" t="s">
        <v>2709</v>
      </c>
      <c r="C5230">
        <v>44081010</v>
      </c>
      <c r="E5230">
        <v>77</v>
      </c>
      <c r="F5230">
        <v>18</v>
      </c>
      <c r="G5230">
        <v>10</v>
      </c>
      <c r="H5230">
        <v>7.6</v>
      </c>
      <c r="I5230">
        <v>1.65</v>
      </c>
      <c r="J5230">
        <v>10</v>
      </c>
      <c r="L5230" t="s">
        <v>2709</v>
      </c>
      <c r="M5230">
        <v>44081010</v>
      </c>
      <c r="O5230" t="s">
        <v>20086</v>
      </c>
      <c r="P5230" t="s">
        <v>19899</v>
      </c>
      <c r="Q5230" t="s">
        <v>19904</v>
      </c>
      <c r="R5230" t="s">
        <v>19905</v>
      </c>
      <c r="S5230" t="s">
        <v>19906</v>
      </c>
      <c r="T5230" t="s">
        <v>19904</v>
      </c>
    </row>
    <row r="5231" spans="2:20" x14ac:dyDescent="0.25">
      <c r="B5231" t="s">
        <v>2709</v>
      </c>
      <c r="C5231">
        <v>44081091</v>
      </c>
      <c r="E5231">
        <v>77</v>
      </c>
      <c r="F5231">
        <v>18</v>
      </c>
      <c r="G5231">
        <v>5</v>
      </c>
      <c r="H5231">
        <v>7.6</v>
      </c>
      <c r="I5231">
        <v>1.65</v>
      </c>
      <c r="J5231">
        <v>6</v>
      </c>
      <c r="L5231" t="s">
        <v>2709</v>
      </c>
      <c r="M5231">
        <v>44081091</v>
      </c>
      <c r="O5231" t="s">
        <v>20086</v>
      </c>
      <c r="P5231" t="s">
        <v>19899</v>
      </c>
      <c r="Q5231" t="s">
        <v>19909</v>
      </c>
      <c r="R5231" t="s">
        <v>19905</v>
      </c>
      <c r="S5231" t="s">
        <v>19906</v>
      </c>
      <c r="T5231" t="s">
        <v>19907</v>
      </c>
    </row>
    <row r="5232" spans="2:20" x14ac:dyDescent="0.25">
      <c r="B5232" t="s">
        <v>2709</v>
      </c>
      <c r="C5232">
        <v>44081099</v>
      </c>
      <c r="E5232">
        <v>77</v>
      </c>
      <c r="F5232">
        <v>18</v>
      </c>
      <c r="G5232">
        <v>5</v>
      </c>
      <c r="H5232">
        <v>7.6</v>
      </c>
      <c r="I5232">
        <v>1.65</v>
      </c>
      <c r="J5232">
        <v>6</v>
      </c>
      <c r="L5232" t="s">
        <v>2709</v>
      </c>
      <c r="M5232">
        <v>44081099</v>
      </c>
      <c r="O5232" t="s">
        <v>20086</v>
      </c>
      <c r="P5232" t="s">
        <v>19899</v>
      </c>
      <c r="Q5232" t="s">
        <v>19909</v>
      </c>
      <c r="R5232" t="s">
        <v>19905</v>
      </c>
      <c r="S5232" t="s">
        <v>19906</v>
      </c>
      <c r="T5232" t="s">
        <v>19907</v>
      </c>
    </row>
    <row r="5233" spans="2:20" x14ac:dyDescent="0.25">
      <c r="B5233" t="s">
        <v>2709</v>
      </c>
      <c r="C5233">
        <v>44083110</v>
      </c>
      <c r="E5233">
        <v>77</v>
      </c>
      <c r="F5233">
        <v>18</v>
      </c>
      <c r="G5233">
        <v>10</v>
      </c>
      <c r="H5233">
        <v>7.6</v>
      </c>
      <c r="I5233">
        <v>1.65</v>
      </c>
      <c r="J5233">
        <v>10</v>
      </c>
      <c r="L5233" t="s">
        <v>2709</v>
      </c>
      <c r="M5233">
        <v>44083110</v>
      </c>
      <c r="O5233" t="s">
        <v>20086</v>
      </c>
      <c r="P5233" t="s">
        <v>19899</v>
      </c>
      <c r="Q5233" t="s">
        <v>19904</v>
      </c>
      <c r="R5233" t="s">
        <v>19905</v>
      </c>
      <c r="S5233" t="s">
        <v>19906</v>
      </c>
      <c r="T5233" t="s">
        <v>19904</v>
      </c>
    </row>
    <row r="5234" spans="2:20" x14ac:dyDescent="0.25">
      <c r="B5234" t="s">
        <v>2709</v>
      </c>
      <c r="C5234">
        <v>44083190</v>
      </c>
      <c r="E5234">
        <v>77</v>
      </c>
      <c r="F5234">
        <v>18</v>
      </c>
      <c r="G5234">
        <v>5</v>
      </c>
      <c r="H5234">
        <v>7.6</v>
      </c>
      <c r="I5234">
        <v>1.65</v>
      </c>
      <c r="J5234">
        <v>6</v>
      </c>
      <c r="L5234" t="s">
        <v>2709</v>
      </c>
      <c r="M5234">
        <v>44083190</v>
      </c>
      <c r="O5234" t="s">
        <v>20086</v>
      </c>
      <c r="P5234" t="s">
        <v>19899</v>
      </c>
      <c r="Q5234" t="s">
        <v>19909</v>
      </c>
      <c r="R5234" t="s">
        <v>19905</v>
      </c>
      <c r="S5234" t="s">
        <v>19906</v>
      </c>
      <c r="T5234" t="s">
        <v>19907</v>
      </c>
    </row>
    <row r="5235" spans="2:20" x14ac:dyDescent="0.25">
      <c r="B5235" t="s">
        <v>2709</v>
      </c>
      <c r="C5235">
        <v>44083910</v>
      </c>
      <c r="E5235">
        <v>77</v>
      </c>
      <c r="F5235">
        <v>18</v>
      </c>
      <c r="G5235">
        <v>10</v>
      </c>
      <c r="H5235">
        <v>7.6</v>
      </c>
      <c r="I5235">
        <v>1.65</v>
      </c>
      <c r="J5235">
        <v>10</v>
      </c>
      <c r="L5235" t="s">
        <v>2709</v>
      </c>
      <c r="M5235">
        <v>44083910</v>
      </c>
      <c r="O5235" t="s">
        <v>20086</v>
      </c>
      <c r="P5235" t="s">
        <v>19899</v>
      </c>
      <c r="Q5235" t="s">
        <v>19904</v>
      </c>
      <c r="R5235" t="s">
        <v>19905</v>
      </c>
      <c r="S5235" t="s">
        <v>19906</v>
      </c>
      <c r="T5235" t="s">
        <v>19904</v>
      </c>
    </row>
    <row r="5236" spans="2:20" x14ac:dyDescent="0.25">
      <c r="B5236" t="s">
        <v>2709</v>
      </c>
      <c r="C5236">
        <v>44083991</v>
      </c>
      <c r="E5236">
        <v>77</v>
      </c>
      <c r="F5236">
        <v>18</v>
      </c>
      <c r="G5236">
        <v>5</v>
      </c>
      <c r="H5236">
        <v>7.6</v>
      </c>
      <c r="I5236">
        <v>1.65</v>
      </c>
      <c r="J5236">
        <v>6</v>
      </c>
      <c r="L5236" t="s">
        <v>2709</v>
      </c>
      <c r="M5236">
        <v>44083991</v>
      </c>
      <c r="O5236" t="s">
        <v>20086</v>
      </c>
      <c r="P5236" t="s">
        <v>19899</v>
      </c>
      <c r="Q5236" t="s">
        <v>19909</v>
      </c>
      <c r="R5236" t="s">
        <v>19905</v>
      </c>
      <c r="S5236" t="s">
        <v>19906</v>
      </c>
      <c r="T5236" t="s">
        <v>19907</v>
      </c>
    </row>
    <row r="5237" spans="2:20" x14ac:dyDescent="0.25">
      <c r="B5237" t="s">
        <v>2709</v>
      </c>
      <c r="C5237">
        <v>44083992</v>
      </c>
      <c r="E5237">
        <v>77</v>
      </c>
      <c r="F5237">
        <v>18</v>
      </c>
      <c r="G5237">
        <v>5</v>
      </c>
      <c r="H5237">
        <v>7.6</v>
      </c>
      <c r="I5237">
        <v>1.65</v>
      </c>
      <c r="J5237">
        <v>6</v>
      </c>
      <c r="L5237" t="s">
        <v>2709</v>
      </c>
      <c r="M5237">
        <v>44083992</v>
      </c>
      <c r="O5237" t="s">
        <v>20086</v>
      </c>
      <c r="P5237" t="s">
        <v>19899</v>
      </c>
      <c r="Q5237" t="s">
        <v>19909</v>
      </c>
      <c r="R5237" t="s">
        <v>19905</v>
      </c>
      <c r="S5237" t="s">
        <v>19906</v>
      </c>
      <c r="T5237" t="s">
        <v>19907</v>
      </c>
    </row>
    <row r="5238" spans="2:20" x14ac:dyDescent="0.25">
      <c r="B5238" t="s">
        <v>2709</v>
      </c>
      <c r="C5238">
        <v>44083999</v>
      </c>
      <c r="E5238">
        <v>77</v>
      </c>
      <c r="F5238">
        <v>18</v>
      </c>
      <c r="G5238">
        <v>5</v>
      </c>
      <c r="H5238">
        <v>7.6</v>
      </c>
      <c r="I5238">
        <v>1.65</v>
      </c>
      <c r="J5238">
        <v>6</v>
      </c>
      <c r="L5238" t="s">
        <v>2709</v>
      </c>
      <c r="M5238">
        <v>44083999</v>
      </c>
      <c r="O5238" t="s">
        <v>20086</v>
      </c>
      <c r="P5238" t="s">
        <v>19899</v>
      </c>
      <c r="Q5238" t="s">
        <v>19909</v>
      </c>
      <c r="R5238" t="s">
        <v>19905</v>
      </c>
      <c r="S5238" t="s">
        <v>19906</v>
      </c>
      <c r="T5238" t="s">
        <v>19907</v>
      </c>
    </row>
    <row r="5239" spans="2:20" x14ac:dyDescent="0.25">
      <c r="B5239" t="s">
        <v>2709</v>
      </c>
      <c r="C5239">
        <v>44089010</v>
      </c>
      <c r="E5239">
        <v>77</v>
      </c>
      <c r="F5239">
        <v>18</v>
      </c>
      <c r="G5239">
        <v>10</v>
      </c>
      <c r="H5239">
        <v>7.6</v>
      </c>
      <c r="I5239">
        <v>1.65</v>
      </c>
      <c r="J5239">
        <v>10</v>
      </c>
      <c r="L5239" t="s">
        <v>2709</v>
      </c>
      <c r="M5239">
        <v>44089010</v>
      </c>
      <c r="O5239" t="s">
        <v>20086</v>
      </c>
      <c r="P5239" t="s">
        <v>19899</v>
      </c>
      <c r="Q5239" t="s">
        <v>19904</v>
      </c>
      <c r="R5239" t="s">
        <v>19905</v>
      </c>
      <c r="S5239" t="s">
        <v>19906</v>
      </c>
      <c r="T5239" t="s">
        <v>19904</v>
      </c>
    </row>
    <row r="5240" spans="2:20" x14ac:dyDescent="0.25">
      <c r="B5240" t="s">
        <v>2709</v>
      </c>
      <c r="C5240">
        <v>44089090</v>
      </c>
      <c r="E5240">
        <v>77</v>
      </c>
      <c r="F5240">
        <v>18</v>
      </c>
      <c r="G5240">
        <v>5</v>
      </c>
      <c r="H5240">
        <v>7.6</v>
      </c>
      <c r="I5240">
        <v>1.65</v>
      </c>
      <c r="J5240">
        <v>6</v>
      </c>
      <c r="L5240" t="s">
        <v>2709</v>
      </c>
      <c r="M5240">
        <v>44089090</v>
      </c>
      <c r="O5240" t="s">
        <v>20086</v>
      </c>
      <c r="P5240" t="s">
        <v>19899</v>
      </c>
      <c r="Q5240" t="s">
        <v>19909</v>
      </c>
      <c r="R5240" t="s">
        <v>19905</v>
      </c>
      <c r="S5240" t="s">
        <v>19906</v>
      </c>
      <c r="T5240" t="s">
        <v>19907</v>
      </c>
    </row>
    <row r="5241" spans="2:20" x14ac:dyDescent="0.25">
      <c r="B5241" t="s">
        <v>2709</v>
      </c>
      <c r="C5241">
        <v>44091000</v>
      </c>
      <c r="E5241">
        <v>36</v>
      </c>
      <c r="F5241">
        <v>18</v>
      </c>
      <c r="G5241">
        <v>10</v>
      </c>
      <c r="H5241">
        <v>7.6</v>
      </c>
      <c r="I5241">
        <v>1.65</v>
      </c>
      <c r="J5241">
        <v>10</v>
      </c>
      <c r="L5241" t="s">
        <v>2709</v>
      </c>
      <c r="M5241">
        <v>44091000</v>
      </c>
      <c r="O5241" t="s">
        <v>20087</v>
      </c>
      <c r="P5241" t="s">
        <v>19899</v>
      </c>
      <c r="Q5241" t="s">
        <v>19904</v>
      </c>
      <c r="R5241" t="s">
        <v>19905</v>
      </c>
      <c r="S5241" t="s">
        <v>19906</v>
      </c>
      <c r="T5241" t="s">
        <v>19904</v>
      </c>
    </row>
    <row r="5242" spans="2:20" x14ac:dyDescent="0.25">
      <c r="B5242" t="s">
        <v>2709</v>
      </c>
      <c r="C5242">
        <v>44092100</v>
      </c>
      <c r="E5242">
        <v>36</v>
      </c>
      <c r="F5242">
        <v>18</v>
      </c>
      <c r="G5242">
        <v>10</v>
      </c>
      <c r="H5242">
        <v>7.6</v>
      </c>
      <c r="I5242">
        <v>1.65</v>
      </c>
      <c r="J5242">
        <v>10</v>
      </c>
      <c r="L5242" t="s">
        <v>2709</v>
      </c>
      <c r="M5242">
        <v>44092100</v>
      </c>
      <c r="O5242" t="s">
        <v>20087</v>
      </c>
      <c r="P5242" t="s">
        <v>19899</v>
      </c>
      <c r="Q5242" t="s">
        <v>19904</v>
      </c>
      <c r="R5242" t="s">
        <v>19905</v>
      </c>
      <c r="S5242" t="s">
        <v>19906</v>
      </c>
      <c r="T5242" t="s">
        <v>19904</v>
      </c>
    </row>
    <row r="5243" spans="2:20" x14ac:dyDescent="0.25">
      <c r="B5243" t="s">
        <v>2709</v>
      </c>
      <c r="C5243">
        <v>44092900</v>
      </c>
      <c r="E5243">
        <v>36</v>
      </c>
      <c r="F5243">
        <v>18</v>
      </c>
      <c r="G5243">
        <v>10</v>
      </c>
      <c r="H5243">
        <v>7.6</v>
      </c>
      <c r="I5243">
        <v>1.65</v>
      </c>
      <c r="J5243">
        <v>10</v>
      </c>
      <c r="L5243" t="s">
        <v>2709</v>
      </c>
      <c r="M5243">
        <v>44092900</v>
      </c>
      <c r="O5243" t="s">
        <v>20087</v>
      </c>
      <c r="P5243" t="s">
        <v>19899</v>
      </c>
      <c r="Q5243" t="s">
        <v>19904</v>
      </c>
      <c r="R5243" t="s">
        <v>19905</v>
      </c>
      <c r="S5243" t="s">
        <v>19906</v>
      </c>
      <c r="T5243" t="s">
        <v>19904</v>
      </c>
    </row>
    <row r="5244" spans="2:20" x14ac:dyDescent="0.25">
      <c r="B5244" t="s">
        <v>2709</v>
      </c>
      <c r="C5244">
        <v>44101110</v>
      </c>
      <c r="E5244">
        <v>112.46</v>
      </c>
      <c r="F5244">
        <v>18</v>
      </c>
      <c r="G5244">
        <v>4</v>
      </c>
      <c r="H5244">
        <v>7.6</v>
      </c>
      <c r="I5244">
        <v>1.65</v>
      </c>
      <c r="J5244">
        <v>10</v>
      </c>
      <c r="L5244" t="s">
        <v>2709</v>
      </c>
      <c r="M5244">
        <v>44101110</v>
      </c>
      <c r="O5244" t="s">
        <v>20055</v>
      </c>
      <c r="P5244" t="s">
        <v>19899</v>
      </c>
      <c r="Q5244" t="s">
        <v>19902</v>
      </c>
      <c r="R5244" t="s">
        <v>19905</v>
      </c>
      <c r="S5244" t="s">
        <v>19906</v>
      </c>
      <c r="T5244" t="s">
        <v>19904</v>
      </c>
    </row>
    <row r="5245" spans="2:20" x14ac:dyDescent="0.25">
      <c r="B5245" t="s">
        <v>2709</v>
      </c>
      <c r="C5245">
        <v>44101121</v>
      </c>
      <c r="E5245">
        <v>43</v>
      </c>
      <c r="F5245">
        <v>18</v>
      </c>
      <c r="G5245">
        <v>0</v>
      </c>
      <c r="H5245">
        <v>7.6</v>
      </c>
      <c r="I5245">
        <v>1.65</v>
      </c>
      <c r="J5245">
        <v>14</v>
      </c>
      <c r="L5245" t="s">
        <v>2709</v>
      </c>
      <c r="M5245">
        <v>44101121</v>
      </c>
      <c r="O5245" t="s">
        <v>20001</v>
      </c>
      <c r="P5245" t="s">
        <v>19899</v>
      </c>
      <c r="Q5245" t="s">
        <v>19900</v>
      </c>
      <c r="R5245" t="s">
        <v>19905</v>
      </c>
      <c r="S5245" t="s">
        <v>19906</v>
      </c>
      <c r="T5245" t="s">
        <v>19911</v>
      </c>
    </row>
    <row r="5246" spans="2:20" x14ac:dyDescent="0.25">
      <c r="B5246" t="s">
        <v>2709</v>
      </c>
      <c r="C5246">
        <v>44101129</v>
      </c>
      <c r="E5246">
        <v>112.46</v>
      </c>
      <c r="F5246">
        <v>18</v>
      </c>
      <c r="G5246">
        <v>4</v>
      </c>
      <c r="H5246">
        <v>7.6</v>
      </c>
      <c r="I5246">
        <v>1.65</v>
      </c>
      <c r="J5246">
        <v>10</v>
      </c>
      <c r="L5246" t="s">
        <v>2709</v>
      </c>
      <c r="M5246">
        <v>44101129</v>
      </c>
      <c r="O5246" t="s">
        <v>20055</v>
      </c>
      <c r="P5246" t="s">
        <v>19899</v>
      </c>
      <c r="Q5246" t="s">
        <v>19902</v>
      </c>
      <c r="R5246" t="s">
        <v>19905</v>
      </c>
      <c r="S5246" t="s">
        <v>19906</v>
      </c>
      <c r="T5246" t="s">
        <v>19904</v>
      </c>
    </row>
    <row r="5247" spans="2:20" x14ac:dyDescent="0.25">
      <c r="B5247" t="s">
        <v>2709</v>
      </c>
      <c r="C5247">
        <v>44101190</v>
      </c>
      <c r="E5247">
        <v>112.46</v>
      </c>
      <c r="F5247">
        <v>18</v>
      </c>
      <c r="G5247">
        <v>4</v>
      </c>
      <c r="H5247">
        <v>7.6</v>
      </c>
      <c r="I5247">
        <v>1.65</v>
      </c>
      <c r="J5247">
        <v>10</v>
      </c>
      <c r="L5247" t="s">
        <v>2709</v>
      </c>
      <c r="M5247">
        <v>44101190</v>
      </c>
      <c r="O5247" t="s">
        <v>20055</v>
      </c>
      <c r="P5247" t="s">
        <v>19899</v>
      </c>
      <c r="Q5247" t="s">
        <v>19902</v>
      </c>
      <c r="R5247" t="s">
        <v>19905</v>
      </c>
      <c r="S5247" t="s">
        <v>19906</v>
      </c>
      <c r="T5247" t="s">
        <v>19904</v>
      </c>
    </row>
    <row r="5248" spans="2:20" x14ac:dyDescent="0.25">
      <c r="B5248" t="s">
        <v>2709</v>
      </c>
      <c r="C5248">
        <v>44101210</v>
      </c>
      <c r="E5248">
        <v>112.46</v>
      </c>
      <c r="F5248">
        <v>18</v>
      </c>
      <c r="G5248">
        <v>4</v>
      </c>
      <c r="H5248">
        <v>7.6</v>
      </c>
      <c r="I5248">
        <v>1.65</v>
      </c>
      <c r="J5248">
        <v>10</v>
      </c>
      <c r="L5248" t="s">
        <v>2709</v>
      </c>
      <c r="M5248">
        <v>44101210</v>
      </c>
      <c r="O5248" t="s">
        <v>20055</v>
      </c>
      <c r="P5248" t="s">
        <v>19899</v>
      </c>
      <c r="Q5248" t="s">
        <v>19902</v>
      </c>
      <c r="R5248" t="s">
        <v>19905</v>
      </c>
      <c r="S5248" t="s">
        <v>19906</v>
      </c>
      <c r="T5248" t="s">
        <v>19904</v>
      </c>
    </row>
    <row r="5249" spans="2:20" x14ac:dyDescent="0.25">
      <c r="B5249" t="s">
        <v>2709</v>
      </c>
      <c r="C5249">
        <v>44101290</v>
      </c>
      <c r="E5249">
        <v>112.46</v>
      </c>
      <c r="F5249">
        <v>18</v>
      </c>
      <c r="G5249">
        <v>4</v>
      </c>
      <c r="H5249">
        <v>7.6</v>
      </c>
      <c r="I5249">
        <v>1.65</v>
      </c>
      <c r="J5249">
        <v>10</v>
      </c>
      <c r="L5249" t="s">
        <v>2709</v>
      </c>
      <c r="M5249">
        <v>44101290</v>
      </c>
      <c r="O5249" t="s">
        <v>20055</v>
      </c>
      <c r="P5249" t="s">
        <v>19899</v>
      </c>
      <c r="Q5249" t="s">
        <v>19902</v>
      </c>
      <c r="R5249" t="s">
        <v>19905</v>
      </c>
      <c r="S5249" t="s">
        <v>19906</v>
      </c>
      <c r="T5249" t="s">
        <v>19904</v>
      </c>
    </row>
    <row r="5250" spans="2:20" x14ac:dyDescent="0.25">
      <c r="B5250" t="s">
        <v>2709</v>
      </c>
      <c r="C5250">
        <v>44101911</v>
      </c>
      <c r="E5250">
        <v>112.46</v>
      </c>
      <c r="F5250">
        <v>18</v>
      </c>
      <c r="G5250">
        <v>4</v>
      </c>
      <c r="H5250">
        <v>7.6</v>
      </c>
      <c r="I5250">
        <v>1.65</v>
      </c>
      <c r="J5250">
        <v>10</v>
      </c>
      <c r="L5250" t="s">
        <v>2709</v>
      </c>
      <c r="M5250">
        <v>44101911</v>
      </c>
      <c r="O5250" t="s">
        <v>20055</v>
      </c>
      <c r="P5250" t="s">
        <v>19899</v>
      </c>
      <c r="Q5250" t="s">
        <v>19902</v>
      </c>
      <c r="R5250" t="s">
        <v>19905</v>
      </c>
      <c r="S5250" t="s">
        <v>19906</v>
      </c>
      <c r="T5250" t="s">
        <v>19904</v>
      </c>
    </row>
    <row r="5251" spans="2:20" x14ac:dyDescent="0.25">
      <c r="B5251" t="s">
        <v>2709</v>
      </c>
      <c r="C5251">
        <v>44101919</v>
      </c>
      <c r="E5251">
        <v>112.46</v>
      </c>
      <c r="F5251">
        <v>18</v>
      </c>
      <c r="G5251">
        <v>4</v>
      </c>
      <c r="H5251">
        <v>7.6</v>
      </c>
      <c r="I5251">
        <v>1.65</v>
      </c>
      <c r="J5251">
        <v>10</v>
      </c>
      <c r="L5251" t="s">
        <v>2709</v>
      </c>
      <c r="M5251">
        <v>44101919</v>
      </c>
      <c r="O5251" t="s">
        <v>20055</v>
      </c>
      <c r="P5251" t="s">
        <v>19899</v>
      </c>
      <c r="Q5251" t="s">
        <v>19902</v>
      </c>
      <c r="R5251" t="s">
        <v>19905</v>
      </c>
      <c r="S5251" t="s">
        <v>19906</v>
      </c>
      <c r="T5251" t="s">
        <v>19904</v>
      </c>
    </row>
    <row r="5252" spans="2:20" x14ac:dyDescent="0.25">
      <c r="B5252" t="s">
        <v>2709</v>
      </c>
      <c r="C5252">
        <v>44101991</v>
      </c>
      <c r="E5252">
        <v>112.46</v>
      </c>
      <c r="F5252">
        <v>18</v>
      </c>
      <c r="G5252">
        <v>4</v>
      </c>
      <c r="H5252">
        <v>7.6</v>
      </c>
      <c r="I5252">
        <v>1.65</v>
      </c>
      <c r="J5252">
        <v>10</v>
      </c>
      <c r="L5252" t="s">
        <v>2709</v>
      </c>
      <c r="M5252">
        <v>44101991</v>
      </c>
      <c r="O5252" t="s">
        <v>20055</v>
      </c>
      <c r="P5252" t="s">
        <v>19899</v>
      </c>
      <c r="Q5252" t="s">
        <v>19902</v>
      </c>
      <c r="R5252" t="s">
        <v>19905</v>
      </c>
      <c r="S5252" t="s">
        <v>19906</v>
      </c>
      <c r="T5252" t="s">
        <v>19904</v>
      </c>
    </row>
    <row r="5253" spans="2:20" x14ac:dyDescent="0.25">
      <c r="B5253" t="s">
        <v>2709</v>
      </c>
      <c r="C5253">
        <v>44101992</v>
      </c>
      <c r="E5253">
        <v>112.46</v>
      </c>
      <c r="F5253">
        <v>18</v>
      </c>
      <c r="G5253">
        <v>4</v>
      </c>
      <c r="H5253">
        <v>7.6</v>
      </c>
      <c r="I5253">
        <v>1.65</v>
      </c>
      <c r="J5253">
        <v>10</v>
      </c>
      <c r="L5253" t="s">
        <v>2709</v>
      </c>
      <c r="M5253">
        <v>44101992</v>
      </c>
      <c r="O5253" t="s">
        <v>20055</v>
      </c>
      <c r="P5253" t="s">
        <v>19899</v>
      </c>
      <c r="Q5253" t="s">
        <v>19902</v>
      </c>
      <c r="R5253" t="s">
        <v>19905</v>
      </c>
      <c r="S5253" t="s">
        <v>19906</v>
      </c>
      <c r="T5253" t="s">
        <v>19904</v>
      </c>
    </row>
    <row r="5254" spans="2:20" x14ac:dyDescent="0.25">
      <c r="B5254" t="s">
        <v>2709</v>
      </c>
      <c r="C5254">
        <v>44101999</v>
      </c>
      <c r="E5254">
        <v>112.46</v>
      </c>
      <c r="F5254">
        <v>18</v>
      </c>
      <c r="G5254">
        <v>5</v>
      </c>
      <c r="H5254">
        <v>7.6</v>
      </c>
      <c r="I5254">
        <v>1.65</v>
      </c>
      <c r="J5254">
        <v>10</v>
      </c>
      <c r="L5254" t="s">
        <v>2709</v>
      </c>
      <c r="M5254">
        <v>44101999</v>
      </c>
      <c r="O5254" t="s">
        <v>20055</v>
      </c>
      <c r="P5254" t="s">
        <v>19899</v>
      </c>
      <c r="Q5254" t="s">
        <v>19909</v>
      </c>
      <c r="R5254" t="s">
        <v>19905</v>
      </c>
      <c r="S5254" t="s">
        <v>19906</v>
      </c>
      <c r="T5254" t="s">
        <v>19904</v>
      </c>
    </row>
    <row r="5255" spans="2:20" x14ac:dyDescent="0.25">
      <c r="B5255" t="s">
        <v>2709</v>
      </c>
      <c r="C5255">
        <v>44109000</v>
      </c>
      <c r="E5255">
        <v>112.46</v>
      </c>
      <c r="F5255">
        <v>12</v>
      </c>
      <c r="G5255">
        <v>5</v>
      </c>
      <c r="H5255">
        <v>7.6</v>
      </c>
      <c r="I5255">
        <v>1.65</v>
      </c>
      <c r="J5255">
        <v>10</v>
      </c>
      <c r="L5255" t="s">
        <v>2709</v>
      </c>
      <c r="M5255">
        <v>44109000</v>
      </c>
      <c r="O5255" t="s">
        <v>20055</v>
      </c>
      <c r="P5255" t="s">
        <v>19903</v>
      </c>
      <c r="Q5255" t="s">
        <v>19909</v>
      </c>
      <c r="R5255" t="s">
        <v>19905</v>
      </c>
      <c r="S5255" t="s">
        <v>19906</v>
      </c>
      <c r="T5255" t="s">
        <v>19904</v>
      </c>
    </row>
    <row r="5256" spans="2:20" x14ac:dyDescent="0.25">
      <c r="B5256" t="s">
        <v>2709</v>
      </c>
      <c r="C5256">
        <v>44111210</v>
      </c>
      <c r="E5256">
        <v>45</v>
      </c>
      <c r="F5256">
        <v>18</v>
      </c>
      <c r="G5256">
        <v>4</v>
      </c>
      <c r="H5256">
        <v>7.6</v>
      </c>
      <c r="I5256">
        <v>1.65</v>
      </c>
      <c r="J5256">
        <v>10</v>
      </c>
      <c r="L5256" t="s">
        <v>2709</v>
      </c>
      <c r="M5256">
        <v>44111210</v>
      </c>
      <c r="O5256" t="s">
        <v>19999</v>
      </c>
      <c r="P5256" t="s">
        <v>19899</v>
      </c>
      <c r="Q5256" t="s">
        <v>19902</v>
      </c>
      <c r="R5256" t="s">
        <v>19905</v>
      </c>
      <c r="S5256" t="s">
        <v>19906</v>
      </c>
      <c r="T5256" t="s">
        <v>19904</v>
      </c>
    </row>
    <row r="5257" spans="2:20" x14ac:dyDescent="0.25">
      <c r="B5257" t="s">
        <v>2709</v>
      </c>
      <c r="C5257">
        <v>44111290</v>
      </c>
      <c r="E5257">
        <v>45</v>
      </c>
      <c r="F5257">
        <v>18</v>
      </c>
      <c r="G5257">
        <v>4</v>
      </c>
      <c r="H5257">
        <v>7.6</v>
      </c>
      <c r="I5257">
        <v>1.65</v>
      </c>
      <c r="J5257">
        <v>10</v>
      </c>
      <c r="L5257" t="s">
        <v>2709</v>
      </c>
      <c r="M5257">
        <v>44111290</v>
      </c>
      <c r="O5257" t="s">
        <v>19999</v>
      </c>
      <c r="P5257" t="s">
        <v>19899</v>
      </c>
      <c r="Q5257" t="s">
        <v>19902</v>
      </c>
      <c r="R5257" t="s">
        <v>19905</v>
      </c>
      <c r="S5257" t="s">
        <v>19906</v>
      </c>
      <c r="T5257" t="s">
        <v>19904</v>
      </c>
    </row>
    <row r="5258" spans="2:20" x14ac:dyDescent="0.25">
      <c r="B5258" t="s">
        <v>2709</v>
      </c>
      <c r="C5258">
        <v>44111310</v>
      </c>
      <c r="E5258">
        <v>45</v>
      </c>
      <c r="F5258">
        <v>18</v>
      </c>
      <c r="G5258">
        <v>4</v>
      </c>
      <c r="H5258">
        <v>7.6</v>
      </c>
      <c r="I5258">
        <v>1.65</v>
      </c>
      <c r="J5258">
        <v>10</v>
      </c>
      <c r="L5258" t="s">
        <v>2709</v>
      </c>
      <c r="M5258">
        <v>44111310</v>
      </c>
      <c r="O5258" t="s">
        <v>19999</v>
      </c>
      <c r="P5258" t="s">
        <v>19899</v>
      </c>
      <c r="Q5258" t="s">
        <v>19902</v>
      </c>
      <c r="R5258" t="s">
        <v>19905</v>
      </c>
      <c r="S5258" t="s">
        <v>19906</v>
      </c>
      <c r="T5258" t="s">
        <v>19904</v>
      </c>
    </row>
    <row r="5259" spans="2:20" x14ac:dyDescent="0.25">
      <c r="B5259" t="s">
        <v>2709</v>
      </c>
      <c r="C5259">
        <v>44111391</v>
      </c>
      <c r="E5259">
        <v>45</v>
      </c>
      <c r="F5259">
        <v>18</v>
      </c>
      <c r="G5259">
        <v>0</v>
      </c>
      <c r="H5259">
        <v>7.6</v>
      </c>
      <c r="I5259">
        <v>1.65</v>
      </c>
      <c r="J5259">
        <v>14</v>
      </c>
      <c r="L5259" t="s">
        <v>2709</v>
      </c>
      <c r="M5259">
        <v>44111391</v>
      </c>
      <c r="O5259" t="s">
        <v>19999</v>
      </c>
      <c r="P5259" t="s">
        <v>19899</v>
      </c>
      <c r="Q5259" t="s">
        <v>19900</v>
      </c>
      <c r="R5259" t="s">
        <v>19905</v>
      </c>
      <c r="S5259" t="s">
        <v>19906</v>
      </c>
      <c r="T5259" t="s">
        <v>19911</v>
      </c>
    </row>
    <row r="5260" spans="2:20" x14ac:dyDescent="0.25">
      <c r="B5260" t="s">
        <v>2709</v>
      </c>
      <c r="C5260">
        <v>44111399</v>
      </c>
      <c r="E5260">
        <v>45</v>
      </c>
      <c r="F5260">
        <v>18</v>
      </c>
      <c r="G5260">
        <v>4</v>
      </c>
      <c r="H5260">
        <v>7.6</v>
      </c>
      <c r="I5260">
        <v>1.65</v>
      </c>
      <c r="J5260">
        <v>10</v>
      </c>
      <c r="L5260" t="s">
        <v>2709</v>
      </c>
      <c r="M5260">
        <v>44111399</v>
      </c>
      <c r="O5260" t="s">
        <v>19999</v>
      </c>
      <c r="P5260" t="s">
        <v>19899</v>
      </c>
      <c r="Q5260" t="s">
        <v>19902</v>
      </c>
      <c r="R5260" t="s">
        <v>19905</v>
      </c>
      <c r="S5260" t="s">
        <v>19906</v>
      </c>
      <c r="T5260" t="s">
        <v>19904</v>
      </c>
    </row>
    <row r="5261" spans="2:20" x14ac:dyDescent="0.25">
      <c r="B5261" t="s">
        <v>2709</v>
      </c>
      <c r="C5261">
        <v>44111410</v>
      </c>
      <c r="E5261">
        <v>45</v>
      </c>
      <c r="F5261">
        <v>18</v>
      </c>
      <c r="G5261">
        <v>4</v>
      </c>
      <c r="H5261">
        <v>7.6</v>
      </c>
      <c r="I5261">
        <v>1.65</v>
      </c>
      <c r="J5261">
        <v>10</v>
      </c>
      <c r="L5261" t="s">
        <v>2709</v>
      </c>
      <c r="M5261">
        <v>44111410</v>
      </c>
      <c r="O5261" t="s">
        <v>19999</v>
      </c>
      <c r="P5261" t="s">
        <v>19899</v>
      </c>
      <c r="Q5261" t="s">
        <v>19902</v>
      </c>
      <c r="R5261" t="s">
        <v>19905</v>
      </c>
      <c r="S5261" t="s">
        <v>19906</v>
      </c>
      <c r="T5261" t="s">
        <v>19904</v>
      </c>
    </row>
    <row r="5262" spans="2:20" x14ac:dyDescent="0.25">
      <c r="B5262" t="s">
        <v>2709</v>
      </c>
      <c r="C5262">
        <v>44111490</v>
      </c>
      <c r="E5262">
        <v>45</v>
      </c>
      <c r="F5262">
        <v>18</v>
      </c>
      <c r="G5262">
        <v>4</v>
      </c>
      <c r="H5262">
        <v>7.6</v>
      </c>
      <c r="I5262">
        <v>1.65</v>
      </c>
      <c r="J5262">
        <v>10</v>
      </c>
      <c r="L5262" t="s">
        <v>2709</v>
      </c>
      <c r="M5262">
        <v>44111490</v>
      </c>
      <c r="O5262" t="s">
        <v>19999</v>
      </c>
      <c r="P5262" t="s">
        <v>19899</v>
      </c>
      <c r="Q5262" t="s">
        <v>19902</v>
      </c>
      <c r="R5262" t="s">
        <v>19905</v>
      </c>
      <c r="S5262" t="s">
        <v>19906</v>
      </c>
      <c r="T5262" t="s">
        <v>19904</v>
      </c>
    </row>
    <row r="5263" spans="2:20" x14ac:dyDescent="0.25">
      <c r="B5263" t="s">
        <v>2709</v>
      </c>
      <c r="C5263">
        <v>44119210</v>
      </c>
      <c r="E5263">
        <v>45</v>
      </c>
      <c r="F5263">
        <v>12</v>
      </c>
      <c r="G5263">
        <v>4</v>
      </c>
      <c r="H5263">
        <v>7.6</v>
      </c>
      <c r="I5263">
        <v>1.65</v>
      </c>
      <c r="J5263">
        <v>10</v>
      </c>
      <c r="L5263" t="s">
        <v>2709</v>
      </c>
      <c r="M5263">
        <v>44119210</v>
      </c>
      <c r="O5263" t="s">
        <v>19999</v>
      </c>
      <c r="P5263" t="s">
        <v>19903</v>
      </c>
      <c r="Q5263" t="s">
        <v>19902</v>
      </c>
      <c r="R5263" t="s">
        <v>19905</v>
      </c>
      <c r="S5263" t="s">
        <v>19906</v>
      </c>
      <c r="T5263" t="s">
        <v>19904</v>
      </c>
    </row>
    <row r="5264" spans="2:20" x14ac:dyDescent="0.25">
      <c r="B5264" t="s">
        <v>2709</v>
      </c>
      <c r="C5264">
        <v>44119290</v>
      </c>
      <c r="E5264">
        <v>45</v>
      </c>
      <c r="F5264">
        <v>12</v>
      </c>
      <c r="G5264">
        <v>4</v>
      </c>
      <c r="H5264">
        <v>7.6</v>
      </c>
      <c r="I5264">
        <v>1.65</v>
      </c>
      <c r="J5264">
        <v>10</v>
      </c>
      <c r="L5264" t="s">
        <v>2709</v>
      </c>
      <c r="M5264">
        <v>44119290</v>
      </c>
      <c r="O5264" t="s">
        <v>19999</v>
      </c>
      <c r="P5264" t="s">
        <v>19903</v>
      </c>
      <c r="Q5264" t="s">
        <v>19902</v>
      </c>
      <c r="R5264" t="s">
        <v>19905</v>
      </c>
      <c r="S5264" t="s">
        <v>19906</v>
      </c>
      <c r="T5264" t="s">
        <v>19904</v>
      </c>
    </row>
    <row r="5265" spans="2:20" x14ac:dyDescent="0.25">
      <c r="B5265" t="s">
        <v>2709</v>
      </c>
      <c r="C5265">
        <v>44119310</v>
      </c>
      <c r="E5265">
        <v>45</v>
      </c>
      <c r="F5265">
        <v>12</v>
      </c>
      <c r="G5265">
        <v>4</v>
      </c>
      <c r="H5265">
        <v>7.6</v>
      </c>
      <c r="I5265">
        <v>1.65</v>
      </c>
      <c r="J5265">
        <v>10</v>
      </c>
      <c r="L5265" t="s">
        <v>2709</v>
      </c>
      <c r="M5265">
        <v>44119310</v>
      </c>
      <c r="O5265" t="s">
        <v>19999</v>
      </c>
      <c r="P5265" t="s">
        <v>19903</v>
      </c>
      <c r="Q5265" t="s">
        <v>19902</v>
      </c>
      <c r="R5265" t="s">
        <v>19905</v>
      </c>
      <c r="S5265" t="s">
        <v>19906</v>
      </c>
      <c r="T5265" t="s">
        <v>19904</v>
      </c>
    </row>
    <row r="5266" spans="2:20" x14ac:dyDescent="0.25">
      <c r="B5266" t="s">
        <v>2709</v>
      </c>
      <c r="C5266">
        <v>44119390</v>
      </c>
      <c r="E5266">
        <v>45</v>
      </c>
      <c r="F5266">
        <v>12</v>
      </c>
      <c r="G5266">
        <v>4</v>
      </c>
      <c r="H5266">
        <v>7.6</v>
      </c>
      <c r="I5266">
        <v>1.65</v>
      </c>
      <c r="J5266">
        <v>10</v>
      </c>
      <c r="L5266" t="s">
        <v>2709</v>
      </c>
      <c r="M5266">
        <v>44119390</v>
      </c>
      <c r="O5266" t="s">
        <v>19999</v>
      </c>
      <c r="P5266" t="s">
        <v>19903</v>
      </c>
      <c r="Q5266" t="s">
        <v>19902</v>
      </c>
      <c r="R5266" t="s">
        <v>19905</v>
      </c>
      <c r="S5266" t="s">
        <v>19906</v>
      </c>
      <c r="T5266" t="s">
        <v>19904</v>
      </c>
    </row>
    <row r="5267" spans="2:20" x14ac:dyDescent="0.25">
      <c r="B5267" t="s">
        <v>2709</v>
      </c>
      <c r="C5267">
        <v>44119410</v>
      </c>
      <c r="E5267">
        <v>45</v>
      </c>
      <c r="F5267">
        <v>18</v>
      </c>
      <c r="G5267">
        <v>4</v>
      </c>
      <c r="H5267">
        <v>7.6</v>
      </c>
      <c r="I5267">
        <v>1.65</v>
      </c>
      <c r="J5267">
        <v>10</v>
      </c>
      <c r="L5267" t="s">
        <v>2709</v>
      </c>
      <c r="M5267">
        <v>44119410</v>
      </c>
      <c r="O5267" t="s">
        <v>19999</v>
      </c>
      <c r="P5267" t="s">
        <v>19899</v>
      </c>
      <c r="Q5267" t="s">
        <v>19902</v>
      </c>
      <c r="R5267" t="s">
        <v>19905</v>
      </c>
      <c r="S5267" t="s">
        <v>19906</v>
      </c>
      <c r="T5267" t="s">
        <v>19904</v>
      </c>
    </row>
    <row r="5268" spans="2:20" x14ac:dyDescent="0.25">
      <c r="B5268" t="s">
        <v>2709</v>
      </c>
      <c r="C5268">
        <v>44119490</v>
      </c>
      <c r="E5268">
        <v>45</v>
      </c>
      <c r="F5268">
        <v>18</v>
      </c>
      <c r="G5268">
        <v>4</v>
      </c>
      <c r="H5268">
        <v>7.6</v>
      </c>
      <c r="I5268">
        <v>1.65</v>
      </c>
      <c r="J5268">
        <v>10</v>
      </c>
      <c r="L5268" t="s">
        <v>2709</v>
      </c>
      <c r="M5268">
        <v>44119490</v>
      </c>
      <c r="O5268" t="s">
        <v>19999</v>
      </c>
      <c r="P5268" t="s">
        <v>19899</v>
      </c>
      <c r="Q5268" t="s">
        <v>19902</v>
      </c>
      <c r="R5268" t="s">
        <v>19905</v>
      </c>
      <c r="S5268" t="s">
        <v>19906</v>
      </c>
      <c r="T5268" t="s">
        <v>19904</v>
      </c>
    </row>
    <row r="5269" spans="2:20" x14ac:dyDescent="0.25">
      <c r="B5269" t="s">
        <v>2709</v>
      </c>
      <c r="C5269">
        <v>44121000</v>
      </c>
      <c r="E5269">
        <v>112.46</v>
      </c>
      <c r="F5269">
        <v>18</v>
      </c>
      <c r="G5269">
        <v>5</v>
      </c>
      <c r="H5269">
        <v>7.6</v>
      </c>
      <c r="I5269">
        <v>1.65</v>
      </c>
      <c r="J5269">
        <v>10</v>
      </c>
      <c r="L5269" t="s">
        <v>2709</v>
      </c>
      <c r="M5269">
        <v>44121000</v>
      </c>
      <c r="O5269" t="s">
        <v>20055</v>
      </c>
      <c r="P5269" t="s">
        <v>19899</v>
      </c>
      <c r="Q5269" t="s">
        <v>19909</v>
      </c>
      <c r="R5269" t="s">
        <v>19905</v>
      </c>
      <c r="S5269" t="s">
        <v>19906</v>
      </c>
      <c r="T5269" t="s">
        <v>19904</v>
      </c>
    </row>
    <row r="5270" spans="2:20" x14ac:dyDescent="0.25">
      <c r="B5270" t="s">
        <v>2709</v>
      </c>
      <c r="C5270">
        <v>44123100</v>
      </c>
      <c r="E5270">
        <v>112.46</v>
      </c>
      <c r="F5270">
        <v>18</v>
      </c>
      <c r="G5270">
        <v>5</v>
      </c>
      <c r="H5270">
        <v>7.6</v>
      </c>
      <c r="I5270">
        <v>1.65</v>
      </c>
      <c r="J5270">
        <v>10</v>
      </c>
      <c r="L5270" t="s">
        <v>2709</v>
      </c>
      <c r="M5270">
        <v>44123100</v>
      </c>
      <c r="O5270" t="s">
        <v>20055</v>
      </c>
      <c r="P5270" t="s">
        <v>19899</v>
      </c>
      <c r="Q5270" t="s">
        <v>19909</v>
      </c>
      <c r="R5270" t="s">
        <v>19905</v>
      </c>
      <c r="S5270" t="s">
        <v>19906</v>
      </c>
      <c r="T5270" t="s">
        <v>19904</v>
      </c>
    </row>
    <row r="5271" spans="2:20" x14ac:dyDescent="0.25">
      <c r="B5271" t="s">
        <v>2709</v>
      </c>
      <c r="C5271">
        <v>44123200</v>
      </c>
      <c r="E5271">
        <v>112.46</v>
      </c>
      <c r="F5271">
        <v>18</v>
      </c>
      <c r="G5271">
        <v>5</v>
      </c>
      <c r="H5271">
        <v>7.6</v>
      </c>
      <c r="I5271">
        <v>1.65</v>
      </c>
      <c r="J5271">
        <v>10</v>
      </c>
      <c r="L5271" t="s">
        <v>2709</v>
      </c>
      <c r="M5271">
        <v>44123200</v>
      </c>
      <c r="O5271" t="s">
        <v>20055</v>
      </c>
      <c r="P5271" t="s">
        <v>19899</v>
      </c>
      <c r="Q5271" t="s">
        <v>19909</v>
      </c>
      <c r="R5271" t="s">
        <v>19905</v>
      </c>
      <c r="S5271" t="s">
        <v>19906</v>
      </c>
      <c r="T5271" t="s">
        <v>19904</v>
      </c>
    </row>
    <row r="5272" spans="2:20" x14ac:dyDescent="0.25">
      <c r="B5272" t="s">
        <v>2709</v>
      </c>
      <c r="C5272">
        <v>44123900</v>
      </c>
      <c r="E5272">
        <v>112.46</v>
      </c>
      <c r="F5272">
        <v>18</v>
      </c>
      <c r="G5272">
        <v>5</v>
      </c>
      <c r="H5272">
        <v>7.6</v>
      </c>
      <c r="I5272">
        <v>1.65</v>
      </c>
      <c r="J5272">
        <v>10</v>
      </c>
      <c r="L5272" t="s">
        <v>2709</v>
      </c>
      <c r="M5272">
        <v>44123900</v>
      </c>
      <c r="O5272" t="s">
        <v>20055</v>
      </c>
      <c r="P5272" t="s">
        <v>19899</v>
      </c>
      <c r="Q5272" t="s">
        <v>19909</v>
      </c>
      <c r="R5272" t="s">
        <v>19905</v>
      </c>
      <c r="S5272" t="s">
        <v>19906</v>
      </c>
      <c r="T5272" t="s">
        <v>19904</v>
      </c>
    </row>
    <row r="5273" spans="2:20" x14ac:dyDescent="0.25">
      <c r="B5273" t="s">
        <v>2709</v>
      </c>
      <c r="C5273">
        <v>44129400</v>
      </c>
      <c r="E5273">
        <v>112.46</v>
      </c>
      <c r="F5273">
        <v>18</v>
      </c>
      <c r="G5273">
        <v>5</v>
      </c>
      <c r="H5273">
        <v>7.6</v>
      </c>
      <c r="I5273">
        <v>1.65</v>
      </c>
      <c r="J5273">
        <v>10</v>
      </c>
      <c r="L5273" t="s">
        <v>2709</v>
      </c>
      <c r="M5273">
        <v>44129400</v>
      </c>
      <c r="O5273" t="s">
        <v>20055</v>
      </c>
      <c r="P5273" t="s">
        <v>19899</v>
      </c>
      <c r="Q5273" t="s">
        <v>19909</v>
      </c>
      <c r="R5273" t="s">
        <v>19905</v>
      </c>
      <c r="S5273" t="s">
        <v>19906</v>
      </c>
      <c r="T5273" t="s">
        <v>19904</v>
      </c>
    </row>
    <row r="5274" spans="2:20" x14ac:dyDescent="0.25">
      <c r="B5274" t="s">
        <v>2709</v>
      </c>
      <c r="C5274">
        <v>44129900</v>
      </c>
      <c r="E5274">
        <v>112.46</v>
      </c>
      <c r="F5274">
        <v>18</v>
      </c>
      <c r="G5274">
        <v>5</v>
      </c>
      <c r="H5274">
        <v>7.6</v>
      </c>
      <c r="I5274">
        <v>1.65</v>
      </c>
      <c r="J5274">
        <v>10</v>
      </c>
      <c r="L5274" t="s">
        <v>2709</v>
      </c>
      <c r="M5274">
        <v>44129900</v>
      </c>
      <c r="O5274" t="s">
        <v>20055</v>
      </c>
      <c r="P5274" t="s">
        <v>19899</v>
      </c>
      <c r="Q5274" t="s">
        <v>19909</v>
      </c>
      <c r="R5274" t="s">
        <v>19905</v>
      </c>
      <c r="S5274" t="s">
        <v>19906</v>
      </c>
      <c r="T5274" t="s">
        <v>19904</v>
      </c>
    </row>
    <row r="5275" spans="2:20" x14ac:dyDescent="0.25">
      <c r="B5275" t="s">
        <v>2709</v>
      </c>
      <c r="C5275">
        <v>44130000</v>
      </c>
      <c r="E5275">
        <v>112.46</v>
      </c>
      <c r="F5275">
        <v>18</v>
      </c>
      <c r="G5275">
        <v>10</v>
      </c>
      <c r="H5275">
        <v>7.6</v>
      </c>
      <c r="I5275">
        <v>1.65</v>
      </c>
      <c r="J5275">
        <v>10</v>
      </c>
      <c r="L5275" t="s">
        <v>2709</v>
      </c>
      <c r="M5275">
        <v>44130000</v>
      </c>
      <c r="O5275" t="s">
        <v>20055</v>
      </c>
      <c r="P5275" t="s">
        <v>19899</v>
      </c>
      <c r="Q5275" t="s">
        <v>19904</v>
      </c>
      <c r="R5275" t="s">
        <v>19905</v>
      </c>
      <c r="S5275" t="s">
        <v>19906</v>
      </c>
      <c r="T5275" t="s">
        <v>19904</v>
      </c>
    </row>
    <row r="5276" spans="2:20" x14ac:dyDescent="0.25">
      <c r="B5276" t="s">
        <v>2709</v>
      </c>
      <c r="C5276">
        <v>44140000</v>
      </c>
      <c r="E5276">
        <v>112.46</v>
      </c>
      <c r="F5276">
        <v>18</v>
      </c>
      <c r="G5276">
        <v>10</v>
      </c>
      <c r="H5276">
        <v>7.6</v>
      </c>
      <c r="I5276">
        <v>1.65</v>
      </c>
      <c r="J5276">
        <v>10</v>
      </c>
      <c r="L5276" t="s">
        <v>2709</v>
      </c>
      <c r="M5276">
        <v>44140000</v>
      </c>
      <c r="O5276" t="s">
        <v>20055</v>
      </c>
      <c r="P5276" t="s">
        <v>19899</v>
      </c>
      <c r="Q5276" t="s">
        <v>19904</v>
      </c>
      <c r="R5276" t="s">
        <v>19905</v>
      </c>
      <c r="S5276" t="s">
        <v>19906</v>
      </c>
      <c r="T5276" t="s">
        <v>19904</v>
      </c>
    </row>
    <row r="5277" spans="2:20" x14ac:dyDescent="0.25">
      <c r="B5277" t="s">
        <v>2709</v>
      </c>
      <c r="C5277">
        <v>44151000</v>
      </c>
      <c r="E5277">
        <v>112.46</v>
      </c>
      <c r="F5277">
        <v>18</v>
      </c>
      <c r="G5277">
        <v>0</v>
      </c>
      <c r="H5277">
        <v>7.6</v>
      </c>
      <c r="I5277">
        <v>1.65</v>
      </c>
      <c r="J5277">
        <v>10</v>
      </c>
      <c r="L5277" t="s">
        <v>2709</v>
      </c>
      <c r="M5277">
        <v>44151000</v>
      </c>
      <c r="O5277" t="s">
        <v>20055</v>
      </c>
      <c r="P5277" t="s">
        <v>19899</v>
      </c>
      <c r="Q5277" t="s">
        <v>19900</v>
      </c>
      <c r="R5277" t="s">
        <v>19905</v>
      </c>
      <c r="S5277" t="s">
        <v>19906</v>
      </c>
      <c r="T5277" t="s">
        <v>19904</v>
      </c>
    </row>
    <row r="5278" spans="2:20" x14ac:dyDescent="0.25">
      <c r="B5278" t="s">
        <v>2709</v>
      </c>
      <c r="C5278">
        <v>44152000</v>
      </c>
      <c r="E5278">
        <v>112.46</v>
      </c>
      <c r="F5278">
        <v>18</v>
      </c>
      <c r="G5278">
        <v>0</v>
      </c>
      <c r="H5278">
        <v>7.6</v>
      </c>
      <c r="I5278">
        <v>1.65</v>
      </c>
      <c r="J5278">
        <v>10</v>
      </c>
      <c r="L5278" t="s">
        <v>2709</v>
      </c>
      <c r="M5278">
        <v>44152000</v>
      </c>
      <c r="O5278" t="s">
        <v>20055</v>
      </c>
      <c r="P5278" t="s">
        <v>19899</v>
      </c>
      <c r="Q5278" t="s">
        <v>19900</v>
      </c>
      <c r="R5278" t="s">
        <v>19905</v>
      </c>
      <c r="S5278" t="s">
        <v>19906</v>
      </c>
      <c r="T5278" t="s">
        <v>19904</v>
      </c>
    </row>
    <row r="5279" spans="2:20" x14ac:dyDescent="0.25">
      <c r="B5279" t="s">
        <v>2709</v>
      </c>
      <c r="C5279">
        <v>44160010</v>
      </c>
      <c r="E5279">
        <v>112.46</v>
      </c>
      <c r="F5279">
        <v>18</v>
      </c>
      <c r="G5279">
        <v>0</v>
      </c>
      <c r="H5279">
        <v>7.6</v>
      </c>
      <c r="I5279">
        <v>1.65</v>
      </c>
      <c r="J5279">
        <v>2</v>
      </c>
      <c r="L5279" t="s">
        <v>2709</v>
      </c>
      <c r="M5279">
        <v>44160010</v>
      </c>
      <c r="O5279" t="s">
        <v>20055</v>
      </c>
      <c r="P5279" t="s">
        <v>19899</v>
      </c>
      <c r="Q5279" t="s">
        <v>19900</v>
      </c>
      <c r="R5279" t="s">
        <v>19905</v>
      </c>
      <c r="S5279" t="s">
        <v>19906</v>
      </c>
      <c r="T5279" t="s">
        <v>19901</v>
      </c>
    </row>
    <row r="5280" spans="2:20" x14ac:dyDescent="0.25">
      <c r="B5280" t="s">
        <v>2709</v>
      </c>
      <c r="C5280">
        <v>44160090</v>
      </c>
      <c r="E5280">
        <v>112.46</v>
      </c>
      <c r="F5280">
        <v>18</v>
      </c>
      <c r="G5280">
        <v>0</v>
      </c>
      <c r="H5280">
        <v>7.6</v>
      </c>
      <c r="I5280">
        <v>1.65</v>
      </c>
      <c r="J5280">
        <v>10</v>
      </c>
      <c r="L5280" t="s">
        <v>2709</v>
      </c>
      <c r="M5280">
        <v>44160090</v>
      </c>
      <c r="O5280" t="s">
        <v>20055</v>
      </c>
      <c r="P5280" t="s">
        <v>19899</v>
      </c>
      <c r="Q5280" t="s">
        <v>19900</v>
      </c>
      <c r="R5280" t="s">
        <v>19905</v>
      </c>
      <c r="S5280" t="s">
        <v>19906</v>
      </c>
      <c r="T5280" t="s">
        <v>19904</v>
      </c>
    </row>
    <row r="5281" spans="2:20" x14ac:dyDescent="0.25">
      <c r="B5281" t="s">
        <v>2709</v>
      </c>
      <c r="C5281">
        <v>44170010</v>
      </c>
      <c r="E5281">
        <v>55</v>
      </c>
      <c r="F5281">
        <v>18</v>
      </c>
      <c r="G5281">
        <v>0</v>
      </c>
      <c r="H5281">
        <v>7.6</v>
      </c>
      <c r="I5281">
        <v>1.65</v>
      </c>
      <c r="J5281">
        <v>10</v>
      </c>
      <c r="L5281" t="s">
        <v>2709</v>
      </c>
      <c r="M5281">
        <v>44170010</v>
      </c>
      <c r="O5281" t="s">
        <v>19921</v>
      </c>
      <c r="P5281" t="s">
        <v>19899</v>
      </c>
      <c r="Q5281" t="s">
        <v>19900</v>
      </c>
      <c r="R5281" t="s">
        <v>19905</v>
      </c>
      <c r="S5281" t="s">
        <v>19906</v>
      </c>
      <c r="T5281" t="s">
        <v>19904</v>
      </c>
    </row>
    <row r="5282" spans="2:20" x14ac:dyDescent="0.25">
      <c r="B5282" t="s">
        <v>2709</v>
      </c>
      <c r="C5282">
        <v>44170020</v>
      </c>
      <c r="E5282">
        <v>112.46</v>
      </c>
      <c r="F5282">
        <v>18</v>
      </c>
      <c r="G5282">
        <v>0</v>
      </c>
      <c r="H5282">
        <v>7.6</v>
      </c>
      <c r="I5282">
        <v>1.65</v>
      </c>
      <c r="J5282">
        <v>10</v>
      </c>
      <c r="L5282" t="s">
        <v>2709</v>
      </c>
      <c r="M5282">
        <v>44170020</v>
      </c>
      <c r="O5282" t="s">
        <v>20055</v>
      </c>
      <c r="P5282" t="s">
        <v>19899</v>
      </c>
      <c r="Q5282" t="s">
        <v>19900</v>
      </c>
      <c r="R5282" t="s">
        <v>19905</v>
      </c>
      <c r="S5282" t="s">
        <v>19906</v>
      </c>
      <c r="T5282" t="s">
        <v>19904</v>
      </c>
    </row>
    <row r="5283" spans="2:20" x14ac:dyDescent="0.25">
      <c r="B5283" t="s">
        <v>2709</v>
      </c>
      <c r="C5283">
        <v>44170090</v>
      </c>
      <c r="E5283">
        <v>55</v>
      </c>
      <c r="F5283">
        <v>18</v>
      </c>
      <c r="G5283">
        <v>0</v>
      </c>
      <c r="H5283">
        <v>7.6</v>
      </c>
      <c r="I5283">
        <v>1.65</v>
      </c>
      <c r="J5283">
        <v>10</v>
      </c>
      <c r="L5283" t="s">
        <v>2709</v>
      </c>
      <c r="M5283">
        <v>44170090</v>
      </c>
      <c r="O5283" t="s">
        <v>19921</v>
      </c>
      <c r="P5283" t="s">
        <v>19899</v>
      </c>
      <c r="Q5283" t="s">
        <v>19900</v>
      </c>
      <c r="R5283" t="s">
        <v>19905</v>
      </c>
      <c r="S5283" t="s">
        <v>19906</v>
      </c>
      <c r="T5283" t="s">
        <v>19904</v>
      </c>
    </row>
    <row r="5284" spans="2:20" x14ac:dyDescent="0.25">
      <c r="B5284" t="s">
        <v>2709</v>
      </c>
      <c r="C5284">
        <v>44181000</v>
      </c>
      <c r="E5284">
        <v>52</v>
      </c>
      <c r="F5284">
        <v>18</v>
      </c>
      <c r="G5284">
        <v>0</v>
      </c>
      <c r="H5284">
        <v>7.6</v>
      </c>
      <c r="I5284">
        <v>1.65</v>
      </c>
      <c r="J5284">
        <v>14</v>
      </c>
      <c r="L5284" t="s">
        <v>2709</v>
      </c>
      <c r="M5284">
        <v>44181000</v>
      </c>
      <c r="O5284" t="s">
        <v>20066</v>
      </c>
      <c r="P5284" t="s">
        <v>19899</v>
      </c>
      <c r="Q5284" t="s">
        <v>19900</v>
      </c>
      <c r="R5284" t="s">
        <v>19905</v>
      </c>
      <c r="S5284" t="s">
        <v>19906</v>
      </c>
      <c r="T5284" t="s">
        <v>19911</v>
      </c>
    </row>
    <row r="5285" spans="2:20" x14ac:dyDescent="0.25">
      <c r="B5285" t="s">
        <v>2709</v>
      </c>
      <c r="C5285">
        <v>44182000</v>
      </c>
      <c r="E5285">
        <v>52</v>
      </c>
      <c r="F5285">
        <v>18</v>
      </c>
      <c r="G5285">
        <v>0</v>
      </c>
      <c r="H5285">
        <v>7.6</v>
      </c>
      <c r="I5285">
        <v>1.65</v>
      </c>
      <c r="J5285">
        <v>14</v>
      </c>
      <c r="L5285" t="s">
        <v>2709</v>
      </c>
      <c r="M5285">
        <v>44182000</v>
      </c>
      <c r="O5285" t="s">
        <v>20066</v>
      </c>
      <c r="P5285" t="s">
        <v>19899</v>
      </c>
      <c r="Q5285" t="s">
        <v>19900</v>
      </c>
      <c r="R5285" t="s">
        <v>19905</v>
      </c>
      <c r="S5285" t="s">
        <v>19906</v>
      </c>
      <c r="T5285" t="s">
        <v>19911</v>
      </c>
    </row>
    <row r="5286" spans="2:20" x14ac:dyDescent="0.25">
      <c r="B5286" t="s">
        <v>2709</v>
      </c>
      <c r="C5286">
        <v>44184000</v>
      </c>
      <c r="E5286">
        <v>52</v>
      </c>
      <c r="F5286">
        <v>18</v>
      </c>
      <c r="G5286">
        <v>5</v>
      </c>
      <c r="H5286">
        <v>7.6</v>
      </c>
      <c r="I5286">
        <v>1.65</v>
      </c>
      <c r="J5286">
        <v>14</v>
      </c>
      <c r="L5286" t="s">
        <v>2709</v>
      </c>
      <c r="M5286">
        <v>44184000</v>
      </c>
      <c r="O5286" t="s">
        <v>20066</v>
      </c>
      <c r="P5286" t="s">
        <v>19899</v>
      </c>
      <c r="Q5286" t="s">
        <v>19909</v>
      </c>
      <c r="R5286" t="s">
        <v>19905</v>
      </c>
      <c r="S5286" t="s">
        <v>19906</v>
      </c>
      <c r="T5286" t="s">
        <v>19911</v>
      </c>
    </row>
    <row r="5287" spans="2:20" x14ac:dyDescent="0.25">
      <c r="B5287" t="s">
        <v>2709</v>
      </c>
      <c r="C5287">
        <v>44185000</v>
      </c>
      <c r="E5287">
        <v>52</v>
      </c>
      <c r="F5287">
        <v>18</v>
      </c>
      <c r="G5287">
        <v>5</v>
      </c>
      <c r="H5287">
        <v>7.6</v>
      </c>
      <c r="I5287">
        <v>1.65</v>
      </c>
      <c r="J5287">
        <v>14</v>
      </c>
      <c r="L5287" t="s">
        <v>2709</v>
      </c>
      <c r="M5287">
        <v>44185000</v>
      </c>
      <c r="O5287" t="s">
        <v>20066</v>
      </c>
      <c r="P5287" t="s">
        <v>19899</v>
      </c>
      <c r="Q5287" t="s">
        <v>19909</v>
      </c>
      <c r="R5287" t="s">
        <v>19905</v>
      </c>
      <c r="S5287" t="s">
        <v>19906</v>
      </c>
      <c r="T5287" t="s">
        <v>19911</v>
      </c>
    </row>
    <row r="5288" spans="2:20" x14ac:dyDescent="0.25">
      <c r="B5288" t="s">
        <v>2709</v>
      </c>
      <c r="C5288">
        <v>44186000</v>
      </c>
      <c r="E5288">
        <v>52</v>
      </c>
      <c r="F5288">
        <v>18</v>
      </c>
      <c r="G5288">
        <v>5</v>
      </c>
      <c r="H5288">
        <v>7.6</v>
      </c>
      <c r="I5288">
        <v>1.65</v>
      </c>
      <c r="J5288">
        <v>14</v>
      </c>
      <c r="L5288" t="s">
        <v>2709</v>
      </c>
      <c r="M5288">
        <v>44186000</v>
      </c>
      <c r="O5288" t="s">
        <v>20066</v>
      </c>
      <c r="P5288" t="s">
        <v>19899</v>
      </c>
      <c r="Q5288" t="s">
        <v>19909</v>
      </c>
      <c r="R5288" t="s">
        <v>19905</v>
      </c>
      <c r="S5288" t="s">
        <v>19906</v>
      </c>
      <c r="T5288" t="s">
        <v>19911</v>
      </c>
    </row>
    <row r="5289" spans="2:20" x14ac:dyDescent="0.25">
      <c r="B5289" t="s">
        <v>2709</v>
      </c>
      <c r="C5289">
        <v>44187100</v>
      </c>
      <c r="E5289">
        <v>52</v>
      </c>
      <c r="F5289">
        <v>18</v>
      </c>
      <c r="G5289">
        <v>0</v>
      </c>
      <c r="H5289">
        <v>7.6</v>
      </c>
      <c r="I5289">
        <v>1.65</v>
      </c>
      <c r="J5289">
        <v>14</v>
      </c>
      <c r="L5289" t="s">
        <v>2709</v>
      </c>
      <c r="M5289">
        <v>44187100</v>
      </c>
      <c r="O5289" t="s">
        <v>20066</v>
      </c>
      <c r="P5289" t="s">
        <v>19899</v>
      </c>
      <c r="Q5289" t="s">
        <v>19900</v>
      </c>
      <c r="R5289" t="s">
        <v>19905</v>
      </c>
      <c r="S5289" t="s">
        <v>19906</v>
      </c>
      <c r="T5289" t="s">
        <v>19911</v>
      </c>
    </row>
    <row r="5290" spans="2:20" x14ac:dyDescent="0.25">
      <c r="B5290" t="s">
        <v>2709</v>
      </c>
      <c r="C5290">
        <v>44187200</v>
      </c>
      <c r="E5290">
        <v>52</v>
      </c>
      <c r="F5290">
        <v>18</v>
      </c>
      <c r="G5290">
        <v>0</v>
      </c>
      <c r="H5290">
        <v>7.6</v>
      </c>
      <c r="I5290">
        <v>1.65</v>
      </c>
      <c r="J5290">
        <v>14</v>
      </c>
      <c r="L5290" t="s">
        <v>2709</v>
      </c>
      <c r="M5290">
        <v>44187200</v>
      </c>
      <c r="O5290" t="s">
        <v>20066</v>
      </c>
      <c r="P5290" t="s">
        <v>19899</v>
      </c>
      <c r="Q5290" t="s">
        <v>19900</v>
      </c>
      <c r="R5290" t="s">
        <v>19905</v>
      </c>
      <c r="S5290" t="s">
        <v>19906</v>
      </c>
      <c r="T5290" t="s">
        <v>19911</v>
      </c>
    </row>
    <row r="5291" spans="2:20" x14ac:dyDescent="0.25">
      <c r="B5291" t="s">
        <v>2709</v>
      </c>
      <c r="C5291">
        <v>44187900</v>
      </c>
      <c r="E5291">
        <v>52</v>
      </c>
      <c r="F5291">
        <v>18</v>
      </c>
      <c r="G5291">
        <v>0</v>
      </c>
      <c r="H5291">
        <v>7.6</v>
      </c>
      <c r="I5291">
        <v>1.65</v>
      </c>
      <c r="J5291">
        <v>14</v>
      </c>
      <c r="L5291" t="s">
        <v>2709</v>
      </c>
      <c r="M5291">
        <v>44187900</v>
      </c>
      <c r="O5291" t="s">
        <v>20066</v>
      </c>
      <c r="P5291" t="s">
        <v>19899</v>
      </c>
      <c r="Q5291" t="s">
        <v>19900</v>
      </c>
      <c r="R5291" t="s">
        <v>19905</v>
      </c>
      <c r="S5291" t="s">
        <v>19906</v>
      </c>
      <c r="T5291" t="s">
        <v>19911</v>
      </c>
    </row>
    <row r="5292" spans="2:20" x14ac:dyDescent="0.25">
      <c r="B5292" t="s">
        <v>2709</v>
      </c>
      <c r="C5292">
        <v>44189000</v>
      </c>
      <c r="E5292">
        <v>52</v>
      </c>
      <c r="F5292">
        <v>18</v>
      </c>
      <c r="G5292">
        <v>5</v>
      </c>
      <c r="H5292">
        <v>7.6</v>
      </c>
      <c r="I5292">
        <v>1.65</v>
      </c>
      <c r="J5292">
        <v>14</v>
      </c>
      <c r="L5292" t="s">
        <v>2709</v>
      </c>
      <c r="M5292">
        <v>44189000</v>
      </c>
      <c r="O5292" t="s">
        <v>20066</v>
      </c>
      <c r="P5292" t="s">
        <v>19899</v>
      </c>
      <c r="Q5292" t="s">
        <v>19909</v>
      </c>
      <c r="R5292" t="s">
        <v>19905</v>
      </c>
      <c r="S5292" t="s">
        <v>19906</v>
      </c>
      <c r="T5292" t="s">
        <v>19911</v>
      </c>
    </row>
    <row r="5293" spans="2:20" x14ac:dyDescent="0.25">
      <c r="B5293" t="s">
        <v>2709</v>
      </c>
      <c r="C5293">
        <v>44190000</v>
      </c>
      <c r="E5293">
        <v>126</v>
      </c>
      <c r="F5293">
        <v>18</v>
      </c>
      <c r="G5293">
        <v>0</v>
      </c>
      <c r="H5293">
        <v>7.6</v>
      </c>
      <c r="I5293">
        <v>1.65</v>
      </c>
      <c r="J5293">
        <v>14</v>
      </c>
      <c r="L5293" t="s">
        <v>2709</v>
      </c>
      <c r="M5293">
        <v>44190000</v>
      </c>
      <c r="O5293" t="s">
        <v>20088</v>
      </c>
      <c r="P5293" t="s">
        <v>19899</v>
      </c>
      <c r="Q5293" t="s">
        <v>19900</v>
      </c>
      <c r="R5293" t="s">
        <v>19905</v>
      </c>
      <c r="S5293" t="s">
        <v>19906</v>
      </c>
      <c r="T5293" t="s">
        <v>19911</v>
      </c>
    </row>
    <row r="5294" spans="2:20" x14ac:dyDescent="0.25">
      <c r="B5294" t="s">
        <v>2709</v>
      </c>
      <c r="C5294">
        <v>44201000</v>
      </c>
      <c r="E5294">
        <v>112.46</v>
      </c>
      <c r="F5294">
        <v>18</v>
      </c>
      <c r="G5294">
        <v>0</v>
      </c>
      <c r="H5294">
        <v>7.6</v>
      </c>
      <c r="I5294">
        <v>1.65</v>
      </c>
      <c r="J5294">
        <v>14</v>
      </c>
      <c r="L5294" t="s">
        <v>2709</v>
      </c>
      <c r="M5294">
        <v>44201000</v>
      </c>
      <c r="O5294" t="s">
        <v>20055</v>
      </c>
      <c r="P5294" t="s">
        <v>19899</v>
      </c>
      <c r="Q5294" t="s">
        <v>19900</v>
      </c>
      <c r="R5294" t="s">
        <v>19905</v>
      </c>
      <c r="S5294" t="s">
        <v>19906</v>
      </c>
      <c r="T5294" t="s">
        <v>19911</v>
      </c>
    </row>
    <row r="5295" spans="2:20" x14ac:dyDescent="0.25">
      <c r="B5295" t="s">
        <v>2709</v>
      </c>
      <c r="C5295">
        <v>44209000</v>
      </c>
      <c r="E5295">
        <v>72.02</v>
      </c>
      <c r="F5295">
        <v>18</v>
      </c>
      <c r="G5295">
        <v>0</v>
      </c>
      <c r="H5295">
        <v>7.6</v>
      </c>
      <c r="I5295">
        <v>1.65</v>
      </c>
      <c r="J5295">
        <v>14</v>
      </c>
      <c r="L5295" t="s">
        <v>2709</v>
      </c>
      <c r="M5295">
        <v>44209000</v>
      </c>
      <c r="O5295" t="s">
        <v>20084</v>
      </c>
      <c r="P5295" t="s">
        <v>19899</v>
      </c>
      <c r="Q5295" t="s">
        <v>19900</v>
      </c>
      <c r="R5295" t="s">
        <v>19905</v>
      </c>
      <c r="S5295" t="s">
        <v>19906</v>
      </c>
      <c r="T5295" t="s">
        <v>19911</v>
      </c>
    </row>
    <row r="5296" spans="2:20" x14ac:dyDescent="0.25">
      <c r="B5296" t="s">
        <v>2709</v>
      </c>
      <c r="C5296">
        <v>44211000</v>
      </c>
      <c r="E5296">
        <v>52</v>
      </c>
      <c r="F5296">
        <v>18</v>
      </c>
      <c r="G5296">
        <v>0</v>
      </c>
      <c r="H5296">
        <v>7.6</v>
      </c>
      <c r="I5296">
        <v>1.65</v>
      </c>
      <c r="J5296">
        <v>14</v>
      </c>
      <c r="L5296" t="s">
        <v>2709</v>
      </c>
      <c r="M5296">
        <v>44211000</v>
      </c>
      <c r="O5296" t="s">
        <v>20066</v>
      </c>
      <c r="P5296" t="s">
        <v>19899</v>
      </c>
      <c r="Q5296" t="s">
        <v>19900</v>
      </c>
      <c r="R5296" t="s">
        <v>19905</v>
      </c>
      <c r="S5296" t="s">
        <v>19906</v>
      </c>
      <c r="T5296" t="s">
        <v>19911</v>
      </c>
    </row>
    <row r="5297" spans="2:20" x14ac:dyDescent="0.25">
      <c r="B5297" t="s">
        <v>2709</v>
      </c>
      <c r="C5297">
        <v>44219000</v>
      </c>
      <c r="E5297">
        <v>112.46</v>
      </c>
      <c r="F5297">
        <v>12</v>
      </c>
      <c r="G5297">
        <v>0</v>
      </c>
      <c r="H5297">
        <v>7.6</v>
      </c>
      <c r="I5297">
        <v>1.65</v>
      </c>
      <c r="J5297">
        <v>14</v>
      </c>
      <c r="L5297" t="s">
        <v>2709</v>
      </c>
      <c r="M5297">
        <v>44219000</v>
      </c>
      <c r="O5297" t="s">
        <v>20055</v>
      </c>
      <c r="P5297" t="s">
        <v>19903</v>
      </c>
      <c r="Q5297" t="s">
        <v>19900</v>
      </c>
      <c r="R5297" t="s">
        <v>19905</v>
      </c>
      <c r="S5297" t="s">
        <v>19906</v>
      </c>
      <c r="T5297" t="s">
        <v>19911</v>
      </c>
    </row>
    <row r="5298" spans="2:20" x14ac:dyDescent="0.25">
      <c r="B5298" t="s">
        <v>2709</v>
      </c>
      <c r="C5298">
        <v>45011000</v>
      </c>
      <c r="E5298" t="s">
        <v>19447</v>
      </c>
      <c r="F5298">
        <v>18</v>
      </c>
      <c r="G5298">
        <v>0</v>
      </c>
      <c r="H5298">
        <v>7.6</v>
      </c>
      <c r="I5298">
        <v>1.65</v>
      </c>
      <c r="J5298">
        <v>2</v>
      </c>
      <c r="L5298" t="s">
        <v>2709</v>
      </c>
      <c r="M5298">
        <v>45011000</v>
      </c>
      <c r="O5298" t="s">
        <v>19447</v>
      </c>
      <c r="P5298" t="s">
        <v>19899</v>
      </c>
      <c r="Q5298" t="s">
        <v>19900</v>
      </c>
      <c r="R5298" t="s">
        <v>19905</v>
      </c>
      <c r="S5298" t="s">
        <v>19906</v>
      </c>
      <c r="T5298" t="s">
        <v>19901</v>
      </c>
    </row>
    <row r="5299" spans="2:20" x14ac:dyDescent="0.25">
      <c r="B5299" t="s">
        <v>2709</v>
      </c>
      <c r="C5299">
        <v>45019000</v>
      </c>
      <c r="E5299" t="s">
        <v>19447</v>
      </c>
      <c r="F5299">
        <v>18</v>
      </c>
      <c r="G5299">
        <v>0</v>
      </c>
      <c r="H5299">
        <v>7.6</v>
      </c>
      <c r="I5299">
        <v>1.65</v>
      </c>
      <c r="J5299">
        <v>2</v>
      </c>
      <c r="L5299" t="s">
        <v>2709</v>
      </c>
      <c r="M5299">
        <v>45019000</v>
      </c>
      <c r="O5299" t="s">
        <v>19447</v>
      </c>
      <c r="P5299" t="s">
        <v>19899</v>
      </c>
      <c r="Q5299" t="s">
        <v>19900</v>
      </c>
      <c r="R5299" t="s">
        <v>19905</v>
      </c>
      <c r="S5299" t="s">
        <v>19906</v>
      </c>
      <c r="T5299" t="s">
        <v>19901</v>
      </c>
    </row>
    <row r="5300" spans="2:20" x14ac:dyDescent="0.25">
      <c r="B5300" t="s">
        <v>2709</v>
      </c>
      <c r="C5300">
        <v>45019000</v>
      </c>
      <c r="D5300">
        <v>1</v>
      </c>
      <c r="E5300" t="s">
        <v>19447</v>
      </c>
      <c r="F5300">
        <v>18</v>
      </c>
      <c r="G5300">
        <v>0</v>
      </c>
      <c r="H5300">
        <v>7.6</v>
      </c>
      <c r="I5300">
        <v>1.65</v>
      </c>
      <c r="J5300">
        <v>2</v>
      </c>
      <c r="L5300" t="s">
        <v>2709</v>
      </c>
      <c r="M5300">
        <v>45019000</v>
      </c>
      <c r="N5300">
        <v>1</v>
      </c>
      <c r="O5300" t="s">
        <v>19447</v>
      </c>
      <c r="P5300" t="s">
        <v>19899</v>
      </c>
      <c r="Q5300" t="s">
        <v>19900</v>
      </c>
      <c r="R5300" t="s">
        <v>19905</v>
      </c>
      <c r="S5300" t="s">
        <v>19906</v>
      </c>
      <c r="T5300" t="s">
        <v>19901</v>
      </c>
    </row>
    <row r="5301" spans="2:20" x14ac:dyDescent="0.25">
      <c r="B5301" t="s">
        <v>2709</v>
      </c>
      <c r="C5301">
        <v>45020000</v>
      </c>
      <c r="E5301" t="s">
        <v>19447</v>
      </c>
      <c r="F5301">
        <v>18</v>
      </c>
      <c r="G5301">
        <v>0</v>
      </c>
      <c r="H5301">
        <v>7.6</v>
      </c>
      <c r="I5301">
        <v>1.65</v>
      </c>
      <c r="J5301">
        <v>4</v>
      </c>
      <c r="L5301" t="s">
        <v>2709</v>
      </c>
      <c r="M5301">
        <v>45020000</v>
      </c>
      <c r="O5301" t="s">
        <v>19447</v>
      </c>
      <c r="P5301" t="s">
        <v>19899</v>
      </c>
      <c r="Q5301" t="s">
        <v>19900</v>
      </c>
      <c r="R5301" t="s">
        <v>19905</v>
      </c>
      <c r="S5301" t="s">
        <v>19906</v>
      </c>
      <c r="T5301" t="s">
        <v>19902</v>
      </c>
    </row>
    <row r="5302" spans="2:20" x14ac:dyDescent="0.25">
      <c r="B5302" t="s">
        <v>2709</v>
      </c>
      <c r="C5302">
        <v>45031000</v>
      </c>
      <c r="E5302" t="s">
        <v>19447</v>
      </c>
      <c r="F5302">
        <v>18</v>
      </c>
      <c r="G5302">
        <v>0</v>
      </c>
      <c r="H5302">
        <v>7.6</v>
      </c>
      <c r="I5302">
        <v>1.65</v>
      </c>
      <c r="J5302">
        <v>10</v>
      </c>
      <c r="L5302" t="s">
        <v>2709</v>
      </c>
      <c r="M5302">
        <v>45031000</v>
      </c>
      <c r="O5302" t="s">
        <v>19447</v>
      </c>
      <c r="P5302" t="s">
        <v>19899</v>
      </c>
      <c r="Q5302" t="s">
        <v>19900</v>
      </c>
      <c r="R5302" t="s">
        <v>19905</v>
      </c>
      <c r="S5302" t="s">
        <v>19906</v>
      </c>
      <c r="T5302" t="s">
        <v>19904</v>
      </c>
    </row>
    <row r="5303" spans="2:20" x14ac:dyDescent="0.25">
      <c r="B5303" t="s">
        <v>2709</v>
      </c>
      <c r="C5303">
        <v>45039000</v>
      </c>
      <c r="E5303" t="s">
        <v>19447</v>
      </c>
      <c r="F5303">
        <v>18</v>
      </c>
      <c r="G5303">
        <v>0</v>
      </c>
      <c r="H5303">
        <v>7.6</v>
      </c>
      <c r="I5303">
        <v>1.65</v>
      </c>
      <c r="J5303">
        <v>10</v>
      </c>
      <c r="L5303" t="s">
        <v>2709</v>
      </c>
      <c r="M5303">
        <v>45039000</v>
      </c>
      <c r="O5303" t="s">
        <v>19447</v>
      </c>
      <c r="P5303" t="s">
        <v>19899</v>
      </c>
      <c r="Q5303" t="s">
        <v>19900</v>
      </c>
      <c r="R5303" t="s">
        <v>19905</v>
      </c>
      <c r="S5303" t="s">
        <v>19906</v>
      </c>
      <c r="T5303" t="s">
        <v>19904</v>
      </c>
    </row>
    <row r="5304" spans="2:20" x14ac:dyDescent="0.25">
      <c r="B5304" t="s">
        <v>2709</v>
      </c>
      <c r="C5304">
        <v>45041000</v>
      </c>
      <c r="E5304">
        <v>71.78</v>
      </c>
      <c r="F5304">
        <v>18</v>
      </c>
      <c r="G5304">
        <v>0</v>
      </c>
      <c r="H5304">
        <v>7.6</v>
      </c>
      <c r="I5304">
        <v>1.65</v>
      </c>
      <c r="J5304">
        <v>10</v>
      </c>
      <c r="L5304" t="s">
        <v>2709</v>
      </c>
      <c r="M5304">
        <v>45041000</v>
      </c>
      <c r="O5304" t="s">
        <v>20056</v>
      </c>
      <c r="P5304" t="s">
        <v>19899</v>
      </c>
      <c r="Q5304" t="s">
        <v>19900</v>
      </c>
      <c r="R5304" t="s">
        <v>19905</v>
      </c>
      <c r="S5304" t="s">
        <v>19906</v>
      </c>
      <c r="T5304" t="s">
        <v>19904</v>
      </c>
    </row>
    <row r="5305" spans="2:20" x14ac:dyDescent="0.25">
      <c r="B5305" t="s">
        <v>2709</v>
      </c>
      <c r="C5305">
        <v>45049000</v>
      </c>
      <c r="E5305">
        <v>71.78</v>
      </c>
      <c r="F5305">
        <v>18</v>
      </c>
      <c r="G5305">
        <v>0</v>
      </c>
      <c r="H5305">
        <v>7.6</v>
      </c>
      <c r="I5305">
        <v>1.65</v>
      </c>
      <c r="J5305">
        <v>10</v>
      </c>
      <c r="L5305" t="s">
        <v>2709</v>
      </c>
      <c r="M5305">
        <v>45049000</v>
      </c>
      <c r="O5305" t="s">
        <v>20056</v>
      </c>
      <c r="P5305" t="s">
        <v>19899</v>
      </c>
      <c r="Q5305" t="s">
        <v>19900</v>
      </c>
      <c r="R5305" t="s">
        <v>19905</v>
      </c>
      <c r="S5305" t="s">
        <v>19906</v>
      </c>
      <c r="T5305" t="s">
        <v>19904</v>
      </c>
    </row>
    <row r="5306" spans="2:20" x14ac:dyDescent="0.25">
      <c r="B5306" t="s">
        <v>2709</v>
      </c>
      <c r="C5306">
        <v>46012100</v>
      </c>
      <c r="E5306" t="s">
        <v>19447</v>
      </c>
      <c r="F5306">
        <v>18</v>
      </c>
      <c r="G5306">
        <v>0</v>
      </c>
      <c r="H5306">
        <v>7.6</v>
      </c>
      <c r="I5306">
        <v>1.65</v>
      </c>
      <c r="J5306">
        <v>12</v>
      </c>
      <c r="L5306" t="s">
        <v>2709</v>
      </c>
      <c r="M5306">
        <v>46012100</v>
      </c>
      <c r="O5306" t="s">
        <v>19447</v>
      </c>
      <c r="P5306" t="s">
        <v>19899</v>
      </c>
      <c r="Q5306" t="s">
        <v>19900</v>
      </c>
      <c r="R5306" t="s">
        <v>19905</v>
      </c>
      <c r="S5306" t="s">
        <v>19906</v>
      </c>
      <c r="T5306" t="s">
        <v>19903</v>
      </c>
    </row>
    <row r="5307" spans="2:20" x14ac:dyDescent="0.25">
      <c r="B5307" t="s">
        <v>2709</v>
      </c>
      <c r="C5307">
        <v>46012200</v>
      </c>
      <c r="E5307" t="s">
        <v>19447</v>
      </c>
      <c r="F5307">
        <v>18</v>
      </c>
      <c r="G5307">
        <v>0</v>
      </c>
      <c r="H5307">
        <v>7.6</v>
      </c>
      <c r="I5307">
        <v>1.65</v>
      </c>
      <c r="J5307">
        <v>12</v>
      </c>
      <c r="L5307" t="s">
        <v>2709</v>
      </c>
      <c r="M5307">
        <v>46012200</v>
      </c>
      <c r="O5307" t="s">
        <v>19447</v>
      </c>
      <c r="P5307" t="s">
        <v>19899</v>
      </c>
      <c r="Q5307" t="s">
        <v>19900</v>
      </c>
      <c r="R5307" t="s">
        <v>19905</v>
      </c>
      <c r="S5307" t="s">
        <v>19906</v>
      </c>
      <c r="T5307" t="s">
        <v>19903</v>
      </c>
    </row>
    <row r="5308" spans="2:20" x14ac:dyDescent="0.25">
      <c r="B5308" t="s">
        <v>2709</v>
      </c>
      <c r="C5308">
        <v>46012900</v>
      </c>
      <c r="E5308" t="s">
        <v>19447</v>
      </c>
      <c r="F5308">
        <v>18</v>
      </c>
      <c r="G5308">
        <v>0</v>
      </c>
      <c r="H5308">
        <v>7.6</v>
      </c>
      <c r="I5308">
        <v>1.65</v>
      </c>
      <c r="J5308">
        <v>12</v>
      </c>
      <c r="L5308" t="s">
        <v>2709</v>
      </c>
      <c r="M5308">
        <v>46012900</v>
      </c>
      <c r="O5308" t="s">
        <v>19447</v>
      </c>
      <c r="P5308" t="s">
        <v>19899</v>
      </c>
      <c r="Q5308" t="s">
        <v>19900</v>
      </c>
      <c r="R5308" t="s">
        <v>19905</v>
      </c>
      <c r="S5308" t="s">
        <v>19906</v>
      </c>
      <c r="T5308" t="s">
        <v>19903</v>
      </c>
    </row>
    <row r="5309" spans="2:20" x14ac:dyDescent="0.25">
      <c r="B5309" t="s">
        <v>2709</v>
      </c>
      <c r="C5309">
        <v>46019200</v>
      </c>
      <c r="E5309" t="s">
        <v>19447</v>
      </c>
      <c r="F5309">
        <v>18</v>
      </c>
      <c r="G5309">
        <v>0</v>
      </c>
      <c r="H5309">
        <v>7.6</v>
      </c>
      <c r="I5309">
        <v>1.65</v>
      </c>
      <c r="J5309">
        <v>12</v>
      </c>
      <c r="L5309" t="s">
        <v>2709</v>
      </c>
      <c r="M5309">
        <v>46019200</v>
      </c>
      <c r="O5309" t="s">
        <v>19447</v>
      </c>
      <c r="P5309" t="s">
        <v>19899</v>
      </c>
      <c r="Q5309" t="s">
        <v>19900</v>
      </c>
      <c r="R5309" t="s">
        <v>19905</v>
      </c>
      <c r="S5309" t="s">
        <v>19906</v>
      </c>
      <c r="T5309" t="s">
        <v>19903</v>
      </c>
    </row>
    <row r="5310" spans="2:20" x14ac:dyDescent="0.25">
      <c r="B5310" t="s">
        <v>2709</v>
      </c>
      <c r="C5310">
        <v>46019300</v>
      </c>
      <c r="E5310" t="s">
        <v>19447</v>
      </c>
      <c r="F5310">
        <v>18</v>
      </c>
      <c r="G5310">
        <v>0</v>
      </c>
      <c r="H5310">
        <v>7.6</v>
      </c>
      <c r="I5310">
        <v>1.65</v>
      </c>
      <c r="J5310">
        <v>12</v>
      </c>
      <c r="L5310" t="s">
        <v>2709</v>
      </c>
      <c r="M5310">
        <v>46019300</v>
      </c>
      <c r="O5310" t="s">
        <v>19447</v>
      </c>
      <c r="P5310" t="s">
        <v>19899</v>
      </c>
      <c r="Q5310" t="s">
        <v>19900</v>
      </c>
      <c r="R5310" t="s">
        <v>19905</v>
      </c>
      <c r="S5310" t="s">
        <v>19906</v>
      </c>
      <c r="T5310" t="s">
        <v>19903</v>
      </c>
    </row>
    <row r="5311" spans="2:20" x14ac:dyDescent="0.25">
      <c r="B5311" t="s">
        <v>2709</v>
      </c>
      <c r="C5311">
        <v>46019400</v>
      </c>
      <c r="E5311" t="s">
        <v>19447</v>
      </c>
      <c r="F5311">
        <v>18</v>
      </c>
      <c r="G5311">
        <v>0</v>
      </c>
      <c r="H5311">
        <v>7.6</v>
      </c>
      <c r="I5311">
        <v>1.65</v>
      </c>
      <c r="J5311">
        <v>12</v>
      </c>
      <c r="L5311" t="s">
        <v>2709</v>
      </c>
      <c r="M5311">
        <v>46019400</v>
      </c>
      <c r="O5311" t="s">
        <v>19447</v>
      </c>
      <c r="P5311" t="s">
        <v>19899</v>
      </c>
      <c r="Q5311" t="s">
        <v>19900</v>
      </c>
      <c r="R5311" t="s">
        <v>19905</v>
      </c>
      <c r="S5311" t="s">
        <v>19906</v>
      </c>
      <c r="T5311" t="s">
        <v>19903</v>
      </c>
    </row>
    <row r="5312" spans="2:20" x14ac:dyDescent="0.25">
      <c r="B5312" t="s">
        <v>2709</v>
      </c>
      <c r="C5312">
        <v>46019900</v>
      </c>
      <c r="E5312" t="s">
        <v>19447</v>
      </c>
      <c r="F5312">
        <v>18</v>
      </c>
      <c r="G5312">
        <v>0</v>
      </c>
      <c r="H5312">
        <v>7.6</v>
      </c>
      <c r="I5312">
        <v>1.65</v>
      </c>
      <c r="J5312">
        <v>12</v>
      </c>
      <c r="L5312" t="s">
        <v>2709</v>
      </c>
      <c r="M5312">
        <v>46019900</v>
      </c>
      <c r="O5312" t="s">
        <v>19447</v>
      </c>
      <c r="P5312" t="s">
        <v>19899</v>
      </c>
      <c r="Q5312" t="s">
        <v>19900</v>
      </c>
      <c r="R5312" t="s">
        <v>19905</v>
      </c>
      <c r="S5312" t="s">
        <v>19906</v>
      </c>
      <c r="T5312" t="s">
        <v>19903</v>
      </c>
    </row>
    <row r="5313" spans="2:20" x14ac:dyDescent="0.25">
      <c r="B5313" t="s">
        <v>2709</v>
      </c>
      <c r="C5313">
        <v>46021100</v>
      </c>
      <c r="E5313" t="s">
        <v>19447</v>
      </c>
      <c r="F5313">
        <v>18</v>
      </c>
      <c r="G5313">
        <v>0</v>
      </c>
      <c r="H5313">
        <v>7.6</v>
      </c>
      <c r="I5313">
        <v>1.65</v>
      </c>
      <c r="J5313">
        <v>12</v>
      </c>
      <c r="L5313" t="s">
        <v>2709</v>
      </c>
      <c r="M5313">
        <v>46021100</v>
      </c>
      <c r="O5313" t="s">
        <v>19447</v>
      </c>
      <c r="P5313" t="s">
        <v>19899</v>
      </c>
      <c r="Q5313" t="s">
        <v>19900</v>
      </c>
      <c r="R5313" t="s">
        <v>19905</v>
      </c>
      <c r="S5313" t="s">
        <v>19906</v>
      </c>
      <c r="T5313" t="s">
        <v>19903</v>
      </c>
    </row>
    <row r="5314" spans="2:20" x14ac:dyDescent="0.25">
      <c r="B5314" t="s">
        <v>2709</v>
      </c>
      <c r="C5314">
        <v>46021200</v>
      </c>
      <c r="E5314" t="s">
        <v>19447</v>
      </c>
      <c r="F5314">
        <v>18</v>
      </c>
      <c r="G5314">
        <v>0</v>
      </c>
      <c r="H5314">
        <v>7.6</v>
      </c>
      <c r="I5314">
        <v>1.65</v>
      </c>
      <c r="J5314">
        <v>12</v>
      </c>
      <c r="L5314" t="s">
        <v>2709</v>
      </c>
      <c r="M5314">
        <v>46021200</v>
      </c>
      <c r="O5314" t="s">
        <v>19447</v>
      </c>
      <c r="P5314" t="s">
        <v>19899</v>
      </c>
      <c r="Q5314" t="s">
        <v>19900</v>
      </c>
      <c r="R5314" t="s">
        <v>19905</v>
      </c>
      <c r="S5314" t="s">
        <v>19906</v>
      </c>
      <c r="T5314" t="s">
        <v>19903</v>
      </c>
    </row>
    <row r="5315" spans="2:20" x14ac:dyDescent="0.25">
      <c r="B5315" t="s">
        <v>2709</v>
      </c>
      <c r="C5315">
        <v>46021900</v>
      </c>
      <c r="E5315" t="s">
        <v>19447</v>
      </c>
      <c r="F5315">
        <v>18</v>
      </c>
      <c r="G5315">
        <v>0</v>
      </c>
      <c r="H5315">
        <v>7.6</v>
      </c>
      <c r="I5315">
        <v>1.65</v>
      </c>
      <c r="J5315">
        <v>12</v>
      </c>
      <c r="L5315" t="s">
        <v>2709</v>
      </c>
      <c r="M5315">
        <v>46021900</v>
      </c>
      <c r="O5315" t="s">
        <v>19447</v>
      </c>
      <c r="P5315" t="s">
        <v>19899</v>
      </c>
      <c r="Q5315" t="s">
        <v>19900</v>
      </c>
      <c r="R5315" t="s">
        <v>19905</v>
      </c>
      <c r="S5315" t="s">
        <v>19906</v>
      </c>
      <c r="T5315" t="s">
        <v>19903</v>
      </c>
    </row>
    <row r="5316" spans="2:20" x14ac:dyDescent="0.25">
      <c r="B5316" t="s">
        <v>2709</v>
      </c>
      <c r="C5316">
        <v>46029000</v>
      </c>
      <c r="E5316" t="s">
        <v>19447</v>
      </c>
      <c r="F5316">
        <v>18</v>
      </c>
      <c r="G5316">
        <v>0</v>
      </c>
      <c r="H5316">
        <v>7.6</v>
      </c>
      <c r="I5316">
        <v>1.65</v>
      </c>
      <c r="J5316">
        <v>12</v>
      </c>
      <c r="L5316" t="s">
        <v>2709</v>
      </c>
      <c r="M5316">
        <v>46029000</v>
      </c>
      <c r="O5316" t="s">
        <v>19447</v>
      </c>
      <c r="P5316" t="s">
        <v>19899</v>
      </c>
      <c r="Q5316" t="s">
        <v>19900</v>
      </c>
      <c r="R5316" t="s">
        <v>19905</v>
      </c>
      <c r="S5316" t="s">
        <v>19906</v>
      </c>
      <c r="T5316" t="s">
        <v>19903</v>
      </c>
    </row>
    <row r="5317" spans="2:20" x14ac:dyDescent="0.25">
      <c r="B5317" t="s">
        <v>2709</v>
      </c>
      <c r="C5317">
        <v>47010000</v>
      </c>
      <c r="E5317" t="s">
        <v>19447</v>
      </c>
      <c r="F5317">
        <v>18</v>
      </c>
      <c r="G5317">
        <v>0</v>
      </c>
      <c r="H5317">
        <v>7.6</v>
      </c>
      <c r="I5317">
        <v>1.65</v>
      </c>
      <c r="J5317">
        <v>4</v>
      </c>
      <c r="L5317" t="s">
        <v>2709</v>
      </c>
      <c r="M5317">
        <v>47010000</v>
      </c>
      <c r="O5317" t="s">
        <v>19447</v>
      </c>
      <c r="P5317" t="s">
        <v>19899</v>
      </c>
      <c r="Q5317" t="s">
        <v>19900</v>
      </c>
      <c r="R5317" t="s">
        <v>19905</v>
      </c>
      <c r="S5317" t="s">
        <v>19906</v>
      </c>
      <c r="T5317" t="s">
        <v>19902</v>
      </c>
    </row>
    <row r="5318" spans="2:20" x14ac:dyDescent="0.25">
      <c r="B5318" t="s">
        <v>2709</v>
      </c>
      <c r="C5318">
        <v>47020000</v>
      </c>
      <c r="E5318" t="s">
        <v>19447</v>
      </c>
      <c r="F5318">
        <v>18</v>
      </c>
      <c r="G5318">
        <v>0</v>
      </c>
      <c r="H5318">
        <v>7.6</v>
      </c>
      <c r="I5318">
        <v>1.65</v>
      </c>
      <c r="J5318">
        <v>4</v>
      </c>
      <c r="L5318" t="s">
        <v>2709</v>
      </c>
      <c r="M5318">
        <v>47020000</v>
      </c>
      <c r="O5318" t="s">
        <v>19447</v>
      </c>
      <c r="P5318" t="s">
        <v>19899</v>
      </c>
      <c r="Q5318" t="s">
        <v>19900</v>
      </c>
      <c r="R5318" t="s">
        <v>19905</v>
      </c>
      <c r="S5318" t="s">
        <v>19906</v>
      </c>
      <c r="T5318" t="s">
        <v>19902</v>
      </c>
    </row>
    <row r="5319" spans="2:20" x14ac:dyDescent="0.25">
      <c r="B5319" t="s">
        <v>2709</v>
      </c>
      <c r="C5319">
        <v>47031100</v>
      </c>
      <c r="E5319" t="s">
        <v>19447</v>
      </c>
      <c r="F5319">
        <v>18</v>
      </c>
      <c r="G5319">
        <v>0</v>
      </c>
      <c r="H5319">
        <v>7.6</v>
      </c>
      <c r="I5319">
        <v>1.65</v>
      </c>
      <c r="J5319">
        <v>4</v>
      </c>
      <c r="L5319" t="s">
        <v>2709</v>
      </c>
      <c r="M5319">
        <v>47031100</v>
      </c>
      <c r="O5319" t="s">
        <v>19447</v>
      </c>
      <c r="P5319" t="s">
        <v>19899</v>
      </c>
      <c r="Q5319" t="s">
        <v>19900</v>
      </c>
      <c r="R5319" t="s">
        <v>19905</v>
      </c>
      <c r="S5319" t="s">
        <v>19906</v>
      </c>
      <c r="T5319" t="s">
        <v>19902</v>
      </c>
    </row>
    <row r="5320" spans="2:20" x14ac:dyDescent="0.25">
      <c r="B5320" t="s">
        <v>2709</v>
      </c>
      <c r="C5320">
        <v>47031900</v>
      </c>
      <c r="E5320" t="s">
        <v>19447</v>
      </c>
      <c r="F5320">
        <v>18</v>
      </c>
      <c r="G5320">
        <v>0</v>
      </c>
      <c r="H5320">
        <v>7.6</v>
      </c>
      <c r="I5320">
        <v>1.65</v>
      </c>
      <c r="J5320">
        <v>4</v>
      </c>
      <c r="L5320" t="s">
        <v>2709</v>
      </c>
      <c r="M5320">
        <v>47031900</v>
      </c>
      <c r="O5320" t="s">
        <v>19447</v>
      </c>
      <c r="P5320" t="s">
        <v>19899</v>
      </c>
      <c r="Q5320" t="s">
        <v>19900</v>
      </c>
      <c r="R5320" t="s">
        <v>19905</v>
      </c>
      <c r="S5320" t="s">
        <v>19906</v>
      </c>
      <c r="T5320" t="s">
        <v>19902</v>
      </c>
    </row>
    <row r="5321" spans="2:20" x14ac:dyDescent="0.25">
      <c r="B5321" t="s">
        <v>2709</v>
      </c>
      <c r="C5321">
        <v>47032100</v>
      </c>
      <c r="E5321" t="s">
        <v>19447</v>
      </c>
      <c r="F5321">
        <v>18</v>
      </c>
      <c r="G5321">
        <v>0</v>
      </c>
      <c r="H5321">
        <v>7.6</v>
      </c>
      <c r="I5321">
        <v>1.65</v>
      </c>
      <c r="J5321">
        <v>4</v>
      </c>
      <c r="L5321" t="s">
        <v>2709</v>
      </c>
      <c r="M5321">
        <v>47032100</v>
      </c>
      <c r="O5321" t="s">
        <v>19447</v>
      </c>
      <c r="P5321" t="s">
        <v>19899</v>
      </c>
      <c r="Q5321" t="s">
        <v>19900</v>
      </c>
      <c r="R5321" t="s">
        <v>19905</v>
      </c>
      <c r="S5321" t="s">
        <v>19906</v>
      </c>
      <c r="T5321" t="s">
        <v>19902</v>
      </c>
    </row>
    <row r="5322" spans="2:20" x14ac:dyDescent="0.25">
      <c r="B5322" t="s">
        <v>2709</v>
      </c>
      <c r="C5322">
        <v>47032900</v>
      </c>
      <c r="E5322" t="s">
        <v>19447</v>
      </c>
      <c r="F5322">
        <v>18</v>
      </c>
      <c r="G5322">
        <v>0</v>
      </c>
      <c r="H5322">
        <v>7.6</v>
      </c>
      <c r="I5322">
        <v>1.65</v>
      </c>
      <c r="J5322">
        <v>4</v>
      </c>
      <c r="L5322" t="s">
        <v>2709</v>
      </c>
      <c r="M5322">
        <v>47032900</v>
      </c>
      <c r="O5322" t="s">
        <v>19447</v>
      </c>
      <c r="P5322" t="s">
        <v>19899</v>
      </c>
      <c r="Q5322" t="s">
        <v>19900</v>
      </c>
      <c r="R5322" t="s">
        <v>19905</v>
      </c>
      <c r="S5322" t="s">
        <v>19906</v>
      </c>
      <c r="T5322" t="s">
        <v>19902</v>
      </c>
    </row>
    <row r="5323" spans="2:20" x14ac:dyDescent="0.25">
      <c r="B5323" t="s">
        <v>2709</v>
      </c>
      <c r="C5323">
        <v>47041100</v>
      </c>
      <c r="E5323" t="s">
        <v>19447</v>
      </c>
      <c r="F5323">
        <v>18</v>
      </c>
      <c r="G5323">
        <v>0</v>
      </c>
      <c r="H5323">
        <v>7.6</v>
      </c>
      <c r="I5323">
        <v>1.65</v>
      </c>
      <c r="J5323">
        <v>4</v>
      </c>
      <c r="L5323" t="s">
        <v>2709</v>
      </c>
      <c r="M5323">
        <v>47041100</v>
      </c>
      <c r="O5323" t="s">
        <v>19447</v>
      </c>
      <c r="P5323" t="s">
        <v>19899</v>
      </c>
      <c r="Q5323" t="s">
        <v>19900</v>
      </c>
      <c r="R5323" t="s">
        <v>19905</v>
      </c>
      <c r="S5323" t="s">
        <v>19906</v>
      </c>
      <c r="T5323" t="s">
        <v>19902</v>
      </c>
    </row>
    <row r="5324" spans="2:20" x14ac:dyDescent="0.25">
      <c r="B5324" t="s">
        <v>2709</v>
      </c>
      <c r="C5324">
        <v>47041900</v>
      </c>
      <c r="E5324" t="s">
        <v>19447</v>
      </c>
      <c r="F5324">
        <v>18</v>
      </c>
      <c r="G5324">
        <v>0</v>
      </c>
      <c r="H5324">
        <v>7.6</v>
      </c>
      <c r="I5324">
        <v>1.65</v>
      </c>
      <c r="J5324">
        <v>4</v>
      </c>
      <c r="L5324" t="s">
        <v>2709</v>
      </c>
      <c r="M5324">
        <v>47041900</v>
      </c>
      <c r="O5324" t="s">
        <v>19447</v>
      </c>
      <c r="P5324" t="s">
        <v>19899</v>
      </c>
      <c r="Q5324" t="s">
        <v>19900</v>
      </c>
      <c r="R5324" t="s">
        <v>19905</v>
      </c>
      <c r="S5324" t="s">
        <v>19906</v>
      </c>
      <c r="T5324" t="s">
        <v>19902</v>
      </c>
    </row>
    <row r="5325" spans="2:20" x14ac:dyDescent="0.25">
      <c r="B5325" t="s">
        <v>2709</v>
      </c>
      <c r="C5325">
        <v>47042100</v>
      </c>
      <c r="E5325" t="s">
        <v>19447</v>
      </c>
      <c r="F5325">
        <v>18</v>
      </c>
      <c r="G5325">
        <v>0</v>
      </c>
      <c r="H5325">
        <v>7.6</v>
      </c>
      <c r="I5325">
        <v>1.65</v>
      </c>
      <c r="J5325">
        <v>4</v>
      </c>
      <c r="L5325" t="s">
        <v>2709</v>
      </c>
      <c r="M5325">
        <v>47042100</v>
      </c>
      <c r="O5325" t="s">
        <v>19447</v>
      </c>
      <c r="P5325" t="s">
        <v>19899</v>
      </c>
      <c r="Q5325" t="s">
        <v>19900</v>
      </c>
      <c r="R5325" t="s">
        <v>19905</v>
      </c>
      <c r="S5325" t="s">
        <v>19906</v>
      </c>
      <c r="T5325" t="s">
        <v>19902</v>
      </c>
    </row>
    <row r="5326" spans="2:20" x14ac:dyDescent="0.25">
      <c r="B5326" t="s">
        <v>2709</v>
      </c>
      <c r="C5326">
        <v>47042900</v>
      </c>
      <c r="E5326" t="s">
        <v>19447</v>
      </c>
      <c r="F5326">
        <v>18</v>
      </c>
      <c r="G5326">
        <v>0</v>
      </c>
      <c r="H5326">
        <v>7.6</v>
      </c>
      <c r="I5326">
        <v>1.65</v>
      </c>
      <c r="J5326">
        <v>4</v>
      </c>
      <c r="L5326" t="s">
        <v>2709</v>
      </c>
      <c r="M5326">
        <v>47042900</v>
      </c>
      <c r="O5326" t="s">
        <v>19447</v>
      </c>
      <c r="P5326" t="s">
        <v>19899</v>
      </c>
      <c r="Q5326" t="s">
        <v>19900</v>
      </c>
      <c r="R5326" t="s">
        <v>19905</v>
      </c>
      <c r="S5326" t="s">
        <v>19906</v>
      </c>
      <c r="T5326" t="s">
        <v>19902</v>
      </c>
    </row>
    <row r="5327" spans="2:20" x14ac:dyDescent="0.25">
      <c r="B5327" t="s">
        <v>2709</v>
      </c>
      <c r="C5327">
        <v>47050000</v>
      </c>
      <c r="E5327" t="s">
        <v>19447</v>
      </c>
      <c r="F5327">
        <v>18</v>
      </c>
      <c r="G5327">
        <v>0</v>
      </c>
      <c r="H5327">
        <v>7.6</v>
      </c>
      <c r="I5327">
        <v>1.65</v>
      </c>
      <c r="J5327">
        <v>4</v>
      </c>
      <c r="L5327" t="s">
        <v>2709</v>
      </c>
      <c r="M5327">
        <v>47050000</v>
      </c>
      <c r="O5327" t="s">
        <v>19447</v>
      </c>
      <c r="P5327" t="s">
        <v>19899</v>
      </c>
      <c r="Q5327" t="s">
        <v>19900</v>
      </c>
      <c r="R5327" t="s">
        <v>19905</v>
      </c>
      <c r="S5327" t="s">
        <v>19906</v>
      </c>
      <c r="T5327" t="s">
        <v>19902</v>
      </c>
    </row>
    <row r="5328" spans="2:20" x14ac:dyDescent="0.25">
      <c r="B5328" t="s">
        <v>2709</v>
      </c>
      <c r="C5328">
        <v>47061000</v>
      </c>
      <c r="E5328" t="s">
        <v>19447</v>
      </c>
      <c r="F5328">
        <v>18</v>
      </c>
      <c r="G5328">
        <v>0</v>
      </c>
      <c r="H5328">
        <v>7.6</v>
      </c>
      <c r="I5328">
        <v>1.65</v>
      </c>
      <c r="J5328">
        <v>4</v>
      </c>
      <c r="L5328" t="s">
        <v>2709</v>
      </c>
      <c r="M5328">
        <v>47061000</v>
      </c>
      <c r="O5328" t="s">
        <v>19447</v>
      </c>
      <c r="P5328" t="s">
        <v>19899</v>
      </c>
      <c r="Q5328" t="s">
        <v>19900</v>
      </c>
      <c r="R5328" t="s">
        <v>19905</v>
      </c>
      <c r="S5328" t="s">
        <v>19906</v>
      </c>
      <c r="T5328" t="s">
        <v>19902</v>
      </c>
    </row>
    <row r="5329" spans="2:20" x14ac:dyDescent="0.25">
      <c r="B5329" t="s">
        <v>2709</v>
      </c>
      <c r="C5329">
        <v>47062000</v>
      </c>
      <c r="E5329" t="s">
        <v>19447</v>
      </c>
      <c r="F5329">
        <v>18</v>
      </c>
      <c r="G5329">
        <v>0</v>
      </c>
      <c r="H5329">
        <v>7.6</v>
      </c>
      <c r="I5329">
        <v>1.65</v>
      </c>
      <c r="J5329">
        <v>4</v>
      </c>
      <c r="L5329" t="s">
        <v>2709</v>
      </c>
      <c r="M5329">
        <v>47062000</v>
      </c>
      <c r="O5329" t="s">
        <v>19447</v>
      </c>
      <c r="P5329" t="s">
        <v>19899</v>
      </c>
      <c r="Q5329" t="s">
        <v>19900</v>
      </c>
      <c r="R5329" t="s">
        <v>19905</v>
      </c>
      <c r="S5329" t="s">
        <v>19906</v>
      </c>
      <c r="T5329" t="s">
        <v>19902</v>
      </c>
    </row>
    <row r="5330" spans="2:20" x14ac:dyDescent="0.25">
      <c r="B5330" t="s">
        <v>2709</v>
      </c>
      <c r="C5330">
        <v>47063000</v>
      </c>
      <c r="E5330" t="s">
        <v>19447</v>
      </c>
      <c r="F5330">
        <v>18</v>
      </c>
      <c r="G5330">
        <v>0</v>
      </c>
      <c r="H5330">
        <v>7.6</v>
      </c>
      <c r="I5330">
        <v>1.65</v>
      </c>
      <c r="J5330">
        <v>4</v>
      </c>
      <c r="L5330" t="s">
        <v>2709</v>
      </c>
      <c r="M5330">
        <v>47063000</v>
      </c>
      <c r="O5330" t="s">
        <v>19447</v>
      </c>
      <c r="P5330" t="s">
        <v>19899</v>
      </c>
      <c r="Q5330" t="s">
        <v>19900</v>
      </c>
      <c r="R5330" t="s">
        <v>19905</v>
      </c>
      <c r="S5330" t="s">
        <v>19906</v>
      </c>
      <c r="T5330" t="s">
        <v>19902</v>
      </c>
    </row>
    <row r="5331" spans="2:20" x14ac:dyDescent="0.25">
      <c r="B5331" t="s">
        <v>2709</v>
      </c>
      <c r="C5331">
        <v>47069100</v>
      </c>
      <c r="E5331" t="s">
        <v>19447</v>
      </c>
      <c r="F5331">
        <v>18</v>
      </c>
      <c r="G5331">
        <v>0</v>
      </c>
      <c r="H5331">
        <v>7.6</v>
      </c>
      <c r="I5331">
        <v>1.65</v>
      </c>
      <c r="J5331">
        <v>4</v>
      </c>
      <c r="L5331" t="s">
        <v>2709</v>
      </c>
      <c r="M5331">
        <v>47069100</v>
      </c>
      <c r="O5331" t="s">
        <v>19447</v>
      </c>
      <c r="P5331" t="s">
        <v>19899</v>
      </c>
      <c r="Q5331" t="s">
        <v>19900</v>
      </c>
      <c r="R5331" t="s">
        <v>19905</v>
      </c>
      <c r="S5331" t="s">
        <v>19906</v>
      </c>
      <c r="T5331" t="s">
        <v>19902</v>
      </c>
    </row>
    <row r="5332" spans="2:20" x14ac:dyDescent="0.25">
      <c r="B5332" t="s">
        <v>2709</v>
      </c>
      <c r="C5332">
        <v>47069200</v>
      </c>
      <c r="E5332" t="s">
        <v>19447</v>
      </c>
      <c r="F5332">
        <v>18</v>
      </c>
      <c r="G5332">
        <v>0</v>
      </c>
      <c r="H5332">
        <v>7.6</v>
      </c>
      <c r="I5332">
        <v>1.65</v>
      </c>
      <c r="J5332">
        <v>4</v>
      </c>
      <c r="L5332" t="s">
        <v>2709</v>
      </c>
      <c r="M5332">
        <v>47069200</v>
      </c>
      <c r="O5332" t="s">
        <v>19447</v>
      </c>
      <c r="P5332" t="s">
        <v>19899</v>
      </c>
      <c r="Q5332" t="s">
        <v>19900</v>
      </c>
      <c r="R5332" t="s">
        <v>19905</v>
      </c>
      <c r="S5332" t="s">
        <v>19906</v>
      </c>
      <c r="T5332" t="s">
        <v>19902</v>
      </c>
    </row>
    <row r="5333" spans="2:20" x14ac:dyDescent="0.25">
      <c r="B5333" t="s">
        <v>2709</v>
      </c>
      <c r="C5333">
        <v>47069300</v>
      </c>
      <c r="E5333" t="s">
        <v>19447</v>
      </c>
      <c r="F5333">
        <v>18</v>
      </c>
      <c r="G5333">
        <v>0</v>
      </c>
      <c r="H5333">
        <v>7.6</v>
      </c>
      <c r="I5333">
        <v>1.65</v>
      </c>
      <c r="J5333">
        <v>4</v>
      </c>
      <c r="L5333" t="s">
        <v>2709</v>
      </c>
      <c r="M5333">
        <v>47069300</v>
      </c>
      <c r="O5333" t="s">
        <v>19447</v>
      </c>
      <c r="P5333" t="s">
        <v>19899</v>
      </c>
      <c r="Q5333" t="s">
        <v>19900</v>
      </c>
      <c r="R5333" t="s">
        <v>19905</v>
      </c>
      <c r="S5333" t="s">
        <v>19906</v>
      </c>
      <c r="T5333" t="s">
        <v>19902</v>
      </c>
    </row>
    <row r="5334" spans="2:20" x14ac:dyDescent="0.25">
      <c r="B5334" t="s">
        <v>2709</v>
      </c>
      <c r="C5334">
        <v>47071000</v>
      </c>
      <c r="E5334" t="s">
        <v>19447</v>
      </c>
      <c r="F5334">
        <v>18</v>
      </c>
      <c r="G5334">
        <v>0</v>
      </c>
      <c r="H5334" t="s">
        <v>19447</v>
      </c>
      <c r="I5334" t="s">
        <v>19447</v>
      </c>
      <c r="J5334">
        <v>2</v>
      </c>
      <c r="L5334" t="s">
        <v>2709</v>
      </c>
      <c r="M5334">
        <v>47071000</v>
      </c>
      <c r="O5334" t="s">
        <v>19447</v>
      </c>
      <c r="P5334" t="s">
        <v>19899</v>
      </c>
      <c r="Q5334" t="s">
        <v>19900</v>
      </c>
      <c r="R5334" t="s">
        <v>19447</v>
      </c>
      <c r="S5334" t="s">
        <v>19447</v>
      </c>
      <c r="T5334" t="s">
        <v>19901</v>
      </c>
    </row>
    <row r="5335" spans="2:20" x14ac:dyDescent="0.25">
      <c r="B5335" t="s">
        <v>2709</v>
      </c>
      <c r="C5335">
        <v>47072000</v>
      </c>
      <c r="E5335" t="s">
        <v>19447</v>
      </c>
      <c r="F5335">
        <v>18</v>
      </c>
      <c r="G5335">
        <v>0</v>
      </c>
      <c r="H5335" t="s">
        <v>19447</v>
      </c>
      <c r="I5335" t="s">
        <v>19447</v>
      </c>
      <c r="J5335">
        <v>2</v>
      </c>
      <c r="L5335" t="s">
        <v>2709</v>
      </c>
      <c r="M5335">
        <v>47072000</v>
      </c>
      <c r="O5335" t="s">
        <v>19447</v>
      </c>
      <c r="P5335" t="s">
        <v>19899</v>
      </c>
      <c r="Q5335" t="s">
        <v>19900</v>
      </c>
      <c r="R5335" t="s">
        <v>19447</v>
      </c>
      <c r="S5335" t="s">
        <v>19447</v>
      </c>
      <c r="T5335" t="s">
        <v>19901</v>
      </c>
    </row>
    <row r="5336" spans="2:20" x14ac:dyDescent="0.25">
      <c r="B5336" t="s">
        <v>2709</v>
      </c>
      <c r="C5336">
        <v>47073000</v>
      </c>
      <c r="E5336" t="s">
        <v>19447</v>
      </c>
      <c r="F5336">
        <v>18</v>
      </c>
      <c r="G5336">
        <v>0</v>
      </c>
      <c r="H5336" t="s">
        <v>19447</v>
      </c>
      <c r="I5336" t="s">
        <v>19447</v>
      </c>
      <c r="J5336">
        <v>2</v>
      </c>
      <c r="L5336" t="s">
        <v>2709</v>
      </c>
      <c r="M5336">
        <v>47073000</v>
      </c>
      <c r="O5336" t="s">
        <v>19447</v>
      </c>
      <c r="P5336" t="s">
        <v>19899</v>
      </c>
      <c r="Q5336" t="s">
        <v>19900</v>
      </c>
      <c r="R5336" t="s">
        <v>19447</v>
      </c>
      <c r="S5336" t="s">
        <v>19447</v>
      </c>
      <c r="T5336" t="s">
        <v>19901</v>
      </c>
    </row>
    <row r="5337" spans="2:20" x14ac:dyDescent="0.25">
      <c r="B5337" t="s">
        <v>2709</v>
      </c>
      <c r="C5337">
        <v>47079000</v>
      </c>
      <c r="E5337" t="s">
        <v>19447</v>
      </c>
      <c r="F5337">
        <v>18</v>
      </c>
      <c r="G5337">
        <v>0</v>
      </c>
      <c r="H5337" t="s">
        <v>19447</v>
      </c>
      <c r="I5337" t="s">
        <v>19447</v>
      </c>
      <c r="J5337">
        <v>2</v>
      </c>
      <c r="L5337" t="s">
        <v>2709</v>
      </c>
      <c r="M5337">
        <v>47079000</v>
      </c>
      <c r="O5337" t="s">
        <v>19447</v>
      </c>
      <c r="P5337" t="s">
        <v>19899</v>
      </c>
      <c r="Q5337" t="s">
        <v>19900</v>
      </c>
      <c r="R5337" t="s">
        <v>19447</v>
      </c>
      <c r="S5337" t="s">
        <v>19447</v>
      </c>
      <c r="T5337" t="s">
        <v>19901</v>
      </c>
    </row>
    <row r="5338" spans="2:20" x14ac:dyDescent="0.25">
      <c r="B5338" t="s">
        <v>2709</v>
      </c>
      <c r="C5338">
        <v>48010010</v>
      </c>
      <c r="E5338">
        <v>177.19</v>
      </c>
      <c r="F5338">
        <v>12</v>
      </c>
      <c r="G5338">
        <v>15</v>
      </c>
      <c r="H5338" t="s">
        <v>19447</v>
      </c>
      <c r="I5338" t="s">
        <v>19447</v>
      </c>
      <c r="J5338">
        <v>6</v>
      </c>
      <c r="L5338" t="s">
        <v>2709</v>
      </c>
      <c r="M5338">
        <v>48010010</v>
      </c>
      <c r="O5338" t="s">
        <v>19926</v>
      </c>
      <c r="P5338" t="s">
        <v>19903</v>
      </c>
      <c r="Q5338" t="s">
        <v>19983</v>
      </c>
      <c r="R5338" t="s">
        <v>19447</v>
      </c>
      <c r="S5338" t="s">
        <v>19447</v>
      </c>
      <c r="T5338" t="s">
        <v>19907</v>
      </c>
    </row>
    <row r="5339" spans="2:20" x14ac:dyDescent="0.25">
      <c r="B5339" t="s">
        <v>2709</v>
      </c>
      <c r="C5339">
        <v>48010090</v>
      </c>
      <c r="E5339">
        <v>177.19</v>
      </c>
      <c r="F5339">
        <v>12</v>
      </c>
      <c r="G5339">
        <v>15</v>
      </c>
      <c r="H5339" t="s">
        <v>19447</v>
      </c>
      <c r="I5339" t="s">
        <v>19447</v>
      </c>
      <c r="J5339">
        <v>12</v>
      </c>
      <c r="L5339" t="s">
        <v>2709</v>
      </c>
      <c r="M5339">
        <v>48010090</v>
      </c>
      <c r="O5339" t="s">
        <v>19926</v>
      </c>
      <c r="P5339" t="s">
        <v>19903</v>
      </c>
      <c r="Q5339" t="s">
        <v>19983</v>
      </c>
      <c r="R5339" t="s">
        <v>19447</v>
      </c>
      <c r="S5339" t="s">
        <v>19447</v>
      </c>
      <c r="T5339" t="s">
        <v>19903</v>
      </c>
    </row>
    <row r="5340" spans="2:20" x14ac:dyDescent="0.25">
      <c r="B5340" t="s">
        <v>2709</v>
      </c>
      <c r="C5340">
        <v>48021000</v>
      </c>
      <c r="E5340">
        <v>177.19</v>
      </c>
      <c r="F5340">
        <v>12</v>
      </c>
      <c r="G5340">
        <v>5</v>
      </c>
      <c r="H5340">
        <v>3.2</v>
      </c>
      <c r="I5340">
        <v>0.8</v>
      </c>
      <c r="J5340">
        <v>12</v>
      </c>
      <c r="L5340" t="s">
        <v>2709</v>
      </c>
      <c r="M5340">
        <v>48021000</v>
      </c>
      <c r="O5340" t="s">
        <v>19926</v>
      </c>
      <c r="P5340" t="s">
        <v>19903</v>
      </c>
      <c r="Q5340" t="s">
        <v>19909</v>
      </c>
      <c r="R5340" t="s">
        <v>20089</v>
      </c>
      <c r="S5340" t="s">
        <v>20090</v>
      </c>
      <c r="T5340" t="s">
        <v>19903</v>
      </c>
    </row>
    <row r="5341" spans="2:20" x14ac:dyDescent="0.25">
      <c r="B5341" t="s">
        <v>2709</v>
      </c>
      <c r="C5341">
        <v>48022010</v>
      </c>
      <c r="E5341">
        <v>112.46</v>
      </c>
      <c r="F5341">
        <v>12</v>
      </c>
      <c r="G5341">
        <v>5</v>
      </c>
      <c r="H5341">
        <v>3.2</v>
      </c>
      <c r="I5341">
        <v>0.8</v>
      </c>
      <c r="J5341">
        <v>16</v>
      </c>
      <c r="L5341" t="s">
        <v>2709</v>
      </c>
      <c r="M5341">
        <v>48022010</v>
      </c>
      <c r="O5341" t="s">
        <v>20055</v>
      </c>
      <c r="P5341" t="s">
        <v>19903</v>
      </c>
      <c r="Q5341" t="s">
        <v>19909</v>
      </c>
      <c r="R5341" t="s">
        <v>20089</v>
      </c>
      <c r="S5341" t="s">
        <v>20090</v>
      </c>
      <c r="T5341" t="s">
        <v>19913</v>
      </c>
    </row>
    <row r="5342" spans="2:20" x14ac:dyDescent="0.25">
      <c r="B5342" t="s">
        <v>2709</v>
      </c>
      <c r="C5342">
        <v>48022090</v>
      </c>
      <c r="E5342">
        <v>112.46</v>
      </c>
      <c r="F5342">
        <v>12</v>
      </c>
      <c r="G5342">
        <v>5</v>
      </c>
      <c r="H5342">
        <v>3.2</v>
      </c>
      <c r="I5342">
        <v>0.8</v>
      </c>
      <c r="J5342">
        <v>12</v>
      </c>
      <c r="L5342" t="s">
        <v>2709</v>
      </c>
      <c r="M5342">
        <v>48022090</v>
      </c>
      <c r="O5342" t="s">
        <v>20055</v>
      </c>
      <c r="P5342" t="s">
        <v>19903</v>
      </c>
      <c r="Q5342" t="s">
        <v>19909</v>
      </c>
      <c r="R5342" t="s">
        <v>20089</v>
      </c>
      <c r="S5342" t="s">
        <v>20090</v>
      </c>
      <c r="T5342" t="s">
        <v>19903</v>
      </c>
    </row>
    <row r="5343" spans="2:20" x14ac:dyDescent="0.25">
      <c r="B5343" t="s">
        <v>2709</v>
      </c>
      <c r="C5343">
        <v>48024010</v>
      </c>
      <c r="E5343">
        <v>177.19</v>
      </c>
      <c r="F5343">
        <v>12</v>
      </c>
      <c r="G5343">
        <v>5</v>
      </c>
      <c r="H5343">
        <v>3.2</v>
      </c>
      <c r="I5343">
        <v>0.8</v>
      </c>
      <c r="J5343">
        <v>16</v>
      </c>
      <c r="L5343" t="s">
        <v>2709</v>
      </c>
      <c r="M5343">
        <v>48024010</v>
      </c>
      <c r="O5343" t="s">
        <v>19926</v>
      </c>
      <c r="P5343" t="s">
        <v>19903</v>
      </c>
      <c r="Q5343" t="s">
        <v>19909</v>
      </c>
      <c r="R5343" t="s">
        <v>20089</v>
      </c>
      <c r="S5343" t="s">
        <v>20090</v>
      </c>
      <c r="T5343" t="s">
        <v>19913</v>
      </c>
    </row>
    <row r="5344" spans="2:20" x14ac:dyDescent="0.25">
      <c r="B5344" t="s">
        <v>2709</v>
      </c>
      <c r="C5344">
        <v>48024090</v>
      </c>
      <c r="E5344">
        <v>177.19</v>
      </c>
      <c r="F5344">
        <v>12</v>
      </c>
      <c r="G5344">
        <v>5</v>
      </c>
      <c r="H5344">
        <v>3.2</v>
      </c>
      <c r="I5344">
        <v>0.8</v>
      </c>
      <c r="J5344">
        <v>12</v>
      </c>
      <c r="L5344" t="s">
        <v>2709</v>
      </c>
      <c r="M5344">
        <v>48024090</v>
      </c>
      <c r="O5344" t="s">
        <v>19926</v>
      </c>
      <c r="P5344" t="s">
        <v>19903</v>
      </c>
      <c r="Q5344" t="s">
        <v>19909</v>
      </c>
      <c r="R5344" t="s">
        <v>20089</v>
      </c>
      <c r="S5344" t="s">
        <v>20090</v>
      </c>
      <c r="T5344" t="s">
        <v>19903</v>
      </c>
    </row>
    <row r="5345" spans="2:20" x14ac:dyDescent="0.25">
      <c r="B5345" t="s">
        <v>2709</v>
      </c>
      <c r="C5345">
        <v>48025410</v>
      </c>
      <c r="E5345">
        <v>177.19</v>
      </c>
      <c r="F5345">
        <v>12</v>
      </c>
      <c r="G5345">
        <v>5</v>
      </c>
      <c r="H5345">
        <v>3.2</v>
      </c>
      <c r="I5345">
        <v>0.8</v>
      </c>
      <c r="J5345">
        <v>16</v>
      </c>
      <c r="L5345" t="s">
        <v>2709</v>
      </c>
      <c r="M5345">
        <v>48025410</v>
      </c>
      <c r="O5345" t="s">
        <v>19926</v>
      </c>
      <c r="P5345" t="s">
        <v>19903</v>
      </c>
      <c r="Q5345" t="s">
        <v>19909</v>
      </c>
      <c r="R5345" t="s">
        <v>20089</v>
      </c>
      <c r="S5345" t="s">
        <v>20090</v>
      </c>
      <c r="T5345" t="s">
        <v>19913</v>
      </c>
    </row>
    <row r="5346" spans="2:20" x14ac:dyDescent="0.25">
      <c r="B5346" t="s">
        <v>2709</v>
      </c>
      <c r="C5346">
        <v>48025491</v>
      </c>
      <c r="E5346">
        <v>112.46</v>
      </c>
      <c r="F5346">
        <v>12</v>
      </c>
      <c r="G5346">
        <v>5</v>
      </c>
      <c r="H5346">
        <v>3.2</v>
      </c>
      <c r="I5346">
        <v>0.8</v>
      </c>
      <c r="J5346">
        <v>2</v>
      </c>
      <c r="L5346" t="s">
        <v>2709</v>
      </c>
      <c r="M5346">
        <v>48025491</v>
      </c>
      <c r="O5346" t="s">
        <v>20055</v>
      </c>
      <c r="P5346" t="s">
        <v>19903</v>
      </c>
      <c r="Q5346" t="s">
        <v>19909</v>
      </c>
      <c r="R5346" t="s">
        <v>20089</v>
      </c>
      <c r="S5346" t="s">
        <v>20090</v>
      </c>
      <c r="T5346" t="s">
        <v>19901</v>
      </c>
    </row>
    <row r="5347" spans="2:20" x14ac:dyDescent="0.25">
      <c r="B5347" t="s">
        <v>2709</v>
      </c>
      <c r="C5347">
        <v>48025499</v>
      </c>
      <c r="E5347">
        <v>112.46</v>
      </c>
      <c r="F5347">
        <v>12</v>
      </c>
      <c r="G5347">
        <v>5</v>
      </c>
      <c r="H5347">
        <v>3.2</v>
      </c>
      <c r="I5347">
        <v>0.8</v>
      </c>
      <c r="J5347">
        <v>12</v>
      </c>
      <c r="L5347" t="s">
        <v>2709</v>
      </c>
      <c r="M5347">
        <v>48025499</v>
      </c>
      <c r="O5347" t="s">
        <v>20055</v>
      </c>
      <c r="P5347" t="s">
        <v>19903</v>
      </c>
      <c r="Q5347" t="s">
        <v>19909</v>
      </c>
      <c r="R5347" t="s">
        <v>20089</v>
      </c>
      <c r="S5347" t="s">
        <v>20090</v>
      </c>
      <c r="T5347" t="s">
        <v>19903</v>
      </c>
    </row>
    <row r="5348" spans="2:20" x14ac:dyDescent="0.25">
      <c r="B5348" t="s">
        <v>2709</v>
      </c>
      <c r="C5348">
        <v>48025510</v>
      </c>
      <c r="E5348">
        <v>177.19</v>
      </c>
      <c r="F5348">
        <v>12</v>
      </c>
      <c r="G5348">
        <v>5</v>
      </c>
      <c r="H5348">
        <v>3.2</v>
      </c>
      <c r="I5348">
        <v>0.8</v>
      </c>
      <c r="J5348">
        <v>16</v>
      </c>
      <c r="L5348" t="s">
        <v>2709</v>
      </c>
      <c r="M5348">
        <v>48025510</v>
      </c>
      <c r="O5348" t="s">
        <v>19926</v>
      </c>
      <c r="P5348" t="s">
        <v>19903</v>
      </c>
      <c r="Q5348" t="s">
        <v>19909</v>
      </c>
      <c r="R5348" t="s">
        <v>20089</v>
      </c>
      <c r="S5348" t="s">
        <v>20090</v>
      </c>
      <c r="T5348" t="s">
        <v>19913</v>
      </c>
    </row>
    <row r="5349" spans="2:20" x14ac:dyDescent="0.25">
      <c r="B5349" t="s">
        <v>2709</v>
      </c>
      <c r="C5349">
        <v>48025591</v>
      </c>
      <c r="E5349">
        <v>177.19</v>
      </c>
      <c r="F5349">
        <v>12</v>
      </c>
      <c r="G5349">
        <v>5</v>
      </c>
      <c r="H5349">
        <v>3.2</v>
      </c>
      <c r="I5349">
        <v>0.8</v>
      </c>
      <c r="J5349">
        <v>12</v>
      </c>
      <c r="L5349" t="s">
        <v>2709</v>
      </c>
      <c r="M5349">
        <v>48025591</v>
      </c>
      <c r="O5349" t="s">
        <v>19926</v>
      </c>
      <c r="P5349" t="s">
        <v>19903</v>
      </c>
      <c r="Q5349" t="s">
        <v>19909</v>
      </c>
      <c r="R5349" t="s">
        <v>20089</v>
      </c>
      <c r="S5349" t="s">
        <v>20090</v>
      </c>
      <c r="T5349" t="s">
        <v>19903</v>
      </c>
    </row>
    <row r="5350" spans="2:20" x14ac:dyDescent="0.25">
      <c r="B5350" t="s">
        <v>2709</v>
      </c>
      <c r="C5350">
        <v>48025592</v>
      </c>
      <c r="E5350">
        <v>177.19</v>
      </c>
      <c r="F5350">
        <v>12</v>
      </c>
      <c r="G5350">
        <v>5</v>
      </c>
      <c r="H5350">
        <v>3.2</v>
      </c>
      <c r="I5350">
        <v>0.8</v>
      </c>
      <c r="J5350">
        <v>12</v>
      </c>
      <c r="L5350" t="s">
        <v>2709</v>
      </c>
      <c r="M5350">
        <v>48025592</v>
      </c>
      <c r="O5350" t="s">
        <v>19926</v>
      </c>
      <c r="P5350" t="s">
        <v>19903</v>
      </c>
      <c r="Q5350" t="s">
        <v>19909</v>
      </c>
      <c r="R5350" t="s">
        <v>20089</v>
      </c>
      <c r="S5350" t="s">
        <v>20090</v>
      </c>
      <c r="T5350" t="s">
        <v>19903</v>
      </c>
    </row>
    <row r="5351" spans="2:20" x14ac:dyDescent="0.25">
      <c r="B5351" t="s">
        <v>2709</v>
      </c>
      <c r="C5351">
        <v>48025599</v>
      </c>
      <c r="E5351">
        <v>177.19</v>
      </c>
      <c r="F5351">
        <v>12</v>
      </c>
      <c r="G5351">
        <v>5</v>
      </c>
      <c r="H5351">
        <v>3.2</v>
      </c>
      <c r="I5351">
        <v>0.8</v>
      </c>
      <c r="J5351">
        <v>12</v>
      </c>
      <c r="L5351" t="s">
        <v>2709</v>
      </c>
      <c r="M5351">
        <v>48025599</v>
      </c>
      <c r="O5351" t="s">
        <v>19926</v>
      </c>
      <c r="P5351" t="s">
        <v>19903</v>
      </c>
      <c r="Q5351" t="s">
        <v>19909</v>
      </c>
      <c r="R5351" t="s">
        <v>20089</v>
      </c>
      <c r="S5351" t="s">
        <v>20090</v>
      </c>
      <c r="T5351" t="s">
        <v>19903</v>
      </c>
    </row>
    <row r="5352" spans="2:20" x14ac:dyDescent="0.25">
      <c r="B5352" t="s">
        <v>2709</v>
      </c>
      <c r="C5352">
        <v>48025610</v>
      </c>
      <c r="E5352">
        <v>37.75</v>
      </c>
      <c r="F5352">
        <v>12</v>
      </c>
      <c r="G5352">
        <v>5</v>
      </c>
      <c r="H5352">
        <v>3.2</v>
      </c>
      <c r="I5352">
        <v>0.8</v>
      </c>
      <c r="J5352">
        <v>16</v>
      </c>
      <c r="L5352" t="s">
        <v>2709</v>
      </c>
      <c r="M5352">
        <v>48025610</v>
      </c>
      <c r="O5352" t="s">
        <v>20091</v>
      </c>
      <c r="P5352" t="s">
        <v>19903</v>
      </c>
      <c r="Q5352" t="s">
        <v>19909</v>
      </c>
      <c r="R5352" t="s">
        <v>20089</v>
      </c>
      <c r="S5352" t="s">
        <v>20090</v>
      </c>
      <c r="T5352" t="s">
        <v>19913</v>
      </c>
    </row>
    <row r="5353" spans="2:20" x14ac:dyDescent="0.25">
      <c r="B5353" t="s">
        <v>2709</v>
      </c>
      <c r="C5353">
        <v>48025691</v>
      </c>
      <c r="E5353">
        <v>57.42</v>
      </c>
      <c r="F5353">
        <v>12</v>
      </c>
      <c r="G5353">
        <v>0</v>
      </c>
      <c r="H5353">
        <v>3.2</v>
      </c>
      <c r="I5353">
        <v>0.8</v>
      </c>
      <c r="J5353">
        <v>6</v>
      </c>
      <c r="L5353" t="s">
        <v>2709</v>
      </c>
      <c r="M5353">
        <v>48025691</v>
      </c>
      <c r="O5353" t="s">
        <v>20092</v>
      </c>
      <c r="P5353" t="s">
        <v>19903</v>
      </c>
      <c r="Q5353" t="s">
        <v>19900</v>
      </c>
      <c r="R5353" t="s">
        <v>20089</v>
      </c>
      <c r="S5353" t="s">
        <v>20090</v>
      </c>
      <c r="T5353" t="s">
        <v>19907</v>
      </c>
    </row>
    <row r="5354" spans="2:20" x14ac:dyDescent="0.25">
      <c r="B5354" t="s">
        <v>2709</v>
      </c>
      <c r="C5354">
        <v>48025692</v>
      </c>
      <c r="E5354">
        <v>57.42</v>
      </c>
      <c r="F5354">
        <v>12</v>
      </c>
      <c r="G5354">
        <v>5</v>
      </c>
      <c r="H5354">
        <v>3.2</v>
      </c>
      <c r="I5354">
        <v>0.8</v>
      </c>
      <c r="J5354">
        <v>12</v>
      </c>
      <c r="L5354" t="s">
        <v>2709</v>
      </c>
      <c r="M5354">
        <v>48025692</v>
      </c>
      <c r="O5354" t="s">
        <v>20092</v>
      </c>
      <c r="P5354" t="s">
        <v>19903</v>
      </c>
      <c r="Q5354" t="s">
        <v>19909</v>
      </c>
      <c r="R5354" t="s">
        <v>20089</v>
      </c>
      <c r="S5354" t="s">
        <v>20090</v>
      </c>
      <c r="T5354" t="s">
        <v>19903</v>
      </c>
    </row>
    <row r="5355" spans="2:20" x14ac:dyDescent="0.25">
      <c r="B5355" t="s">
        <v>2709</v>
      </c>
      <c r="C5355">
        <v>48025693</v>
      </c>
      <c r="E5355">
        <v>57.42</v>
      </c>
      <c r="F5355">
        <v>12</v>
      </c>
      <c r="G5355">
        <v>5</v>
      </c>
      <c r="H5355">
        <v>3.2</v>
      </c>
      <c r="I5355">
        <v>0.8</v>
      </c>
      <c r="J5355">
        <v>12</v>
      </c>
      <c r="L5355" t="s">
        <v>2709</v>
      </c>
      <c r="M5355">
        <v>48025693</v>
      </c>
      <c r="O5355" t="s">
        <v>20092</v>
      </c>
      <c r="P5355" t="s">
        <v>19903</v>
      </c>
      <c r="Q5355" t="s">
        <v>19909</v>
      </c>
      <c r="R5355" t="s">
        <v>20089</v>
      </c>
      <c r="S5355" t="s">
        <v>20090</v>
      </c>
      <c r="T5355" t="s">
        <v>19903</v>
      </c>
    </row>
    <row r="5356" spans="2:20" x14ac:dyDescent="0.25">
      <c r="B5356" t="s">
        <v>2709</v>
      </c>
      <c r="C5356">
        <v>48025699</v>
      </c>
      <c r="E5356">
        <v>57.42</v>
      </c>
      <c r="F5356">
        <v>12</v>
      </c>
      <c r="G5356">
        <v>5</v>
      </c>
      <c r="H5356">
        <v>3.2</v>
      </c>
      <c r="I5356">
        <v>0.8</v>
      </c>
      <c r="J5356">
        <v>12</v>
      </c>
      <c r="L5356" t="s">
        <v>2709</v>
      </c>
      <c r="M5356">
        <v>48025699</v>
      </c>
      <c r="O5356" t="s">
        <v>20092</v>
      </c>
      <c r="P5356" t="s">
        <v>19903</v>
      </c>
      <c r="Q5356" t="s">
        <v>19909</v>
      </c>
      <c r="R5356" t="s">
        <v>20089</v>
      </c>
      <c r="S5356" t="s">
        <v>20090</v>
      </c>
      <c r="T5356" t="s">
        <v>19903</v>
      </c>
    </row>
    <row r="5357" spans="2:20" x14ac:dyDescent="0.25">
      <c r="B5357" t="s">
        <v>2709</v>
      </c>
      <c r="C5357">
        <v>48025710</v>
      </c>
      <c r="E5357">
        <v>177.19</v>
      </c>
      <c r="F5357">
        <v>12</v>
      </c>
      <c r="G5357">
        <v>5</v>
      </c>
      <c r="H5357">
        <v>3.2</v>
      </c>
      <c r="I5357">
        <v>0.8</v>
      </c>
      <c r="J5357">
        <v>16</v>
      </c>
      <c r="L5357" t="s">
        <v>2709</v>
      </c>
      <c r="M5357">
        <v>48025710</v>
      </c>
      <c r="O5357" t="s">
        <v>19926</v>
      </c>
      <c r="P5357" t="s">
        <v>19903</v>
      </c>
      <c r="Q5357" t="s">
        <v>19909</v>
      </c>
      <c r="R5357" t="s">
        <v>20089</v>
      </c>
      <c r="S5357" t="s">
        <v>20090</v>
      </c>
      <c r="T5357" t="s">
        <v>19913</v>
      </c>
    </row>
    <row r="5358" spans="2:20" x14ac:dyDescent="0.25">
      <c r="B5358" t="s">
        <v>2709</v>
      </c>
      <c r="C5358">
        <v>48025791</v>
      </c>
      <c r="E5358">
        <v>57.42</v>
      </c>
      <c r="F5358">
        <v>12</v>
      </c>
      <c r="G5358">
        <v>0</v>
      </c>
      <c r="H5358">
        <v>3.2</v>
      </c>
      <c r="I5358">
        <v>0.8</v>
      </c>
      <c r="J5358">
        <v>6</v>
      </c>
      <c r="L5358" t="s">
        <v>2709</v>
      </c>
      <c r="M5358">
        <v>48025791</v>
      </c>
      <c r="O5358" t="s">
        <v>20092</v>
      </c>
      <c r="P5358" t="s">
        <v>19903</v>
      </c>
      <c r="Q5358" t="s">
        <v>19900</v>
      </c>
      <c r="R5358" t="s">
        <v>20089</v>
      </c>
      <c r="S5358" t="s">
        <v>20090</v>
      </c>
      <c r="T5358" t="s">
        <v>19907</v>
      </c>
    </row>
    <row r="5359" spans="2:20" x14ac:dyDescent="0.25">
      <c r="B5359" t="s">
        <v>2709</v>
      </c>
      <c r="C5359">
        <v>48025792</v>
      </c>
      <c r="E5359">
        <v>57.42</v>
      </c>
      <c r="F5359">
        <v>12</v>
      </c>
      <c r="G5359">
        <v>5</v>
      </c>
      <c r="H5359">
        <v>3.2</v>
      </c>
      <c r="I5359">
        <v>0.8</v>
      </c>
      <c r="J5359">
        <v>12</v>
      </c>
      <c r="L5359" t="s">
        <v>2709</v>
      </c>
      <c r="M5359">
        <v>48025792</v>
      </c>
      <c r="O5359" t="s">
        <v>20092</v>
      </c>
      <c r="P5359" t="s">
        <v>19903</v>
      </c>
      <c r="Q5359" t="s">
        <v>19909</v>
      </c>
      <c r="R5359" t="s">
        <v>20089</v>
      </c>
      <c r="S5359" t="s">
        <v>20090</v>
      </c>
      <c r="T5359" t="s">
        <v>19903</v>
      </c>
    </row>
    <row r="5360" spans="2:20" x14ac:dyDescent="0.25">
      <c r="B5360" t="s">
        <v>2709</v>
      </c>
      <c r="C5360">
        <v>48025793</v>
      </c>
      <c r="E5360">
        <v>57.42</v>
      </c>
      <c r="F5360">
        <v>12</v>
      </c>
      <c r="G5360">
        <v>5</v>
      </c>
      <c r="H5360">
        <v>3.2</v>
      </c>
      <c r="I5360">
        <v>0.8</v>
      </c>
      <c r="J5360">
        <v>12</v>
      </c>
      <c r="L5360" t="s">
        <v>2709</v>
      </c>
      <c r="M5360">
        <v>48025793</v>
      </c>
      <c r="O5360" t="s">
        <v>20092</v>
      </c>
      <c r="P5360" t="s">
        <v>19903</v>
      </c>
      <c r="Q5360" t="s">
        <v>19909</v>
      </c>
      <c r="R5360" t="s">
        <v>20089</v>
      </c>
      <c r="S5360" t="s">
        <v>20090</v>
      </c>
      <c r="T5360" t="s">
        <v>19903</v>
      </c>
    </row>
    <row r="5361" spans="2:20" x14ac:dyDescent="0.25">
      <c r="B5361" t="s">
        <v>2709</v>
      </c>
      <c r="C5361">
        <v>48025799</v>
      </c>
      <c r="E5361">
        <v>69.11</v>
      </c>
      <c r="F5361">
        <v>12</v>
      </c>
      <c r="G5361">
        <v>5</v>
      </c>
      <c r="H5361">
        <v>3.2</v>
      </c>
      <c r="I5361">
        <v>0.8</v>
      </c>
      <c r="J5361">
        <v>12</v>
      </c>
      <c r="L5361" t="s">
        <v>2709</v>
      </c>
      <c r="M5361">
        <v>48025799</v>
      </c>
      <c r="O5361" t="s">
        <v>20093</v>
      </c>
      <c r="P5361" t="s">
        <v>19903</v>
      </c>
      <c r="Q5361" t="s">
        <v>19909</v>
      </c>
      <c r="R5361" t="s">
        <v>20089</v>
      </c>
      <c r="S5361" t="s">
        <v>20090</v>
      </c>
      <c r="T5361" t="s">
        <v>19903</v>
      </c>
    </row>
    <row r="5362" spans="2:20" x14ac:dyDescent="0.25">
      <c r="B5362" t="s">
        <v>2709</v>
      </c>
      <c r="C5362">
        <v>48025810</v>
      </c>
      <c r="E5362">
        <v>177.19</v>
      </c>
      <c r="F5362">
        <v>12</v>
      </c>
      <c r="G5362">
        <v>5</v>
      </c>
      <c r="H5362">
        <v>3.2</v>
      </c>
      <c r="I5362">
        <v>0.8</v>
      </c>
      <c r="J5362">
        <v>16</v>
      </c>
      <c r="L5362" t="s">
        <v>2709</v>
      </c>
      <c r="M5362">
        <v>48025810</v>
      </c>
      <c r="O5362" t="s">
        <v>19926</v>
      </c>
      <c r="P5362" t="s">
        <v>19903</v>
      </c>
      <c r="Q5362" t="s">
        <v>19909</v>
      </c>
      <c r="R5362" t="s">
        <v>20089</v>
      </c>
      <c r="S5362" t="s">
        <v>20090</v>
      </c>
      <c r="T5362" t="s">
        <v>19913</v>
      </c>
    </row>
    <row r="5363" spans="2:20" x14ac:dyDescent="0.25">
      <c r="B5363" t="s">
        <v>2709</v>
      </c>
      <c r="C5363">
        <v>48025891</v>
      </c>
      <c r="E5363">
        <v>57.42</v>
      </c>
      <c r="F5363">
        <v>12</v>
      </c>
      <c r="G5363">
        <v>5</v>
      </c>
      <c r="H5363">
        <v>3.2</v>
      </c>
      <c r="I5363">
        <v>0.8</v>
      </c>
      <c r="J5363">
        <v>12</v>
      </c>
      <c r="L5363" t="s">
        <v>2709</v>
      </c>
      <c r="M5363">
        <v>48025891</v>
      </c>
      <c r="O5363" t="s">
        <v>20092</v>
      </c>
      <c r="P5363" t="s">
        <v>19903</v>
      </c>
      <c r="Q5363" t="s">
        <v>19909</v>
      </c>
      <c r="R5363" t="s">
        <v>20089</v>
      </c>
      <c r="S5363" t="s">
        <v>20090</v>
      </c>
      <c r="T5363" t="s">
        <v>19903</v>
      </c>
    </row>
    <row r="5364" spans="2:20" x14ac:dyDescent="0.25">
      <c r="B5364" t="s">
        <v>2709</v>
      </c>
      <c r="C5364">
        <v>48025892</v>
      </c>
      <c r="E5364">
        <v>57.42</v>
      </c>
      <c r="F5364">
        <v>12</v>
      </c>
      <c r="G5364">
        <v>5</v>
      </c>
      <c r="H5364">
        <v>3.2</v>
      </c>
      <c r="I5364">
        <v>0.8</v>
      </c>
      <c r="J5364">
        <v>12</v>
      </c>
      <c r="L5364" t="s">
        <v>2709</v>
      </c>
      <c r="M5364">
        <v>48025892</v>
      </c>
      <c r="O5364" t="s">
        <v>20092</v>
      </c>
      <c r="P5364" t="s">
        <v>19903</v>
      </c>
      <c r="Q5364" t="s">
        <v>19909</v>
      </c>
      <c r="R5364" t="s">
        <v>20089</v>
      </c>
      <c r="S5364" t="s">
        <v>20090</v>
      </c>
      <c r="T5364" t="s">
        <v>19903</v>
      </c>
    </row>
    <row r="5365" spans="2:20" x14ac:dyDescent="0.25">
      <c r="B5365" t="s">
        <v>2709</v>
      </c>
      <c r="C5365">
        <v>48025899</v>
      </c>
      <c r="E5365">
        <v>57.42</v>
      </c>
      <c r="F5365">
        <v>12</v>
      </c>
      <c r="G5365">
        <v>5</v>
      </c>
      <c r="H5365">
        <v>3.2</v>
      </c>
      <c r="I5365">
        <v>0.8</v>
      </c>
      <c r="J5365">
        <v>12</v>
      </c>
      <c r="L5365" t="s">
        <v>2709</v>
      </c>
      <c r="M5365">
        <v>48025899</v>
      </c>
      <c r="O5365" t="s">
        <v>20092</v>
      </c>
      <c r="P5365" t="s">
        <v>19903</v>
      </c>
      <c r="Q5365" t="s">
        <v>19909</v>
      </c>
      <c r="R5365" t="s">
        <v>20089</v>
      </c>
      <c r="S5365" t="s">
        <v>20090</v>
      </c>
      <c r="T5365" t="s">
        <v>19903</v>
      </c>
    </row>
    <row r="5366" spans="2:20" x14ac:dyDescent="0.25">
      <c r="B5366" t="s">
        <v>2709</v>
      </c>
      <c r="C5366">
        <v>48026110</v>
      </c>
      <c r="E5366">
        <v>177.19</v>
      </c>
      <c r="F5366">
        <v>12</v>
      </c>
      <c r="G5366">
        <v>5</v>
      </c>
      <c r="H5366">
        <v>3.2</v>
      </c>
      <c r="I5366">
        <v>0.8</v>
      </c>
      <c r="J5366">
        <v>16</v>
      </c>
      <c r="L5366" t="s">
        <v>2709</v>
      </c>
      <c r="M5366">
        <v>48026110</v>
      </c>
      <c r="O5366" t="s">
        <v>19926</v>
      </c>
      <c r="P5366" t="s">
        <v>19903</v>
      </c>
      <c r="Q5366" t="s">
        <v>19909</v>
      </c>
      <c r="R5366" t="s">
        <v>20089</v>
      </c>
      <c r="S5366" t="s">
        <v>20090</v>
      </c>
      <c r="T5366" t="s">
        <v>19913</v>
      </c>
    </row>
    <row r="5367" spans="2:20" x14ac:dyDescent="0.25">
      <c r="B5367" t="s">
        <v>2709</v>
      </c>
      <c r="C5367">
        <v>48026191</v>
      </c>
      <c r="E5367">
        <v>177.19</v>
      </c>
      <c r="F5367">
        <v>12</v>
      </c>
      <c r="G5367">
        <v>5</v>
      </c>
      <c r="H5367" t="s">
        <v>19447</v>
      </c>
      <c r="I5367" t="s">
        <v>19447</v>
      </c>
      <c r="J5367">
        <v>6</v>
      </c>
      <c r="L5367" t="s">
        <v>2709</v>
      </c>
      <c r="M5367">
        <v>48026191</v>
      </c>
      <c r="O5367" t="s">
        <v>19926</v>
      </c>
      <c r="P5367" t="s">
        <v>19903</v>
      </c>
      <c r="Q5367" t="s">
        <v>19909</v>
      </c>
      <c r="R5367" t="s">
        <v>19447</v>
      </c>
      <c r="S5367" t="s">
        <v>19447</v>
      </c>
      <c r="T5367" t="s">
        <v>19907</v>
      </c>
    </row>
    <row r="5368" spans="2:20" x14ac:dyDescent="0.25">
      <c r="B5368" t="s">
        <v>2709</v>
      </c>
      <c r="C5368">
        <v>48026192</v>
      </c>
      <c r="E5368">
        <v>177.19</v>
      </c>
      <c r="F5368">
        <v>12</v>
      </c>
      <c r="G5368">
        <v>5</v>
      </c>
      <c r="H5368">
        <v>3.2</v>
      </c>
      <c r="I5368">
        <v>0.8</v>
      </c>
      <c r="J5368">
        <v>12</v>
      </c>
      <c r="L5368" t="s">
        <v>2709</v>
      </c>
      <c r="M5368">
        <v>48026192</v>
      </c>
      <c r="O5368" t="s">
        <v>19926</v>
      </c>
      <c r="P5368" t="s">
        <v>19903</v>
      </c>
      <c r="Q5368" t="s">
        <v>19909</v>
      </c>
      <c r="R5368" t="s">
        <v>20089</v>
      </c>
      <c r="S5368" t="s">
        <v>20090</v>
      </c>
      <c r="T5368" t="s">
        <v>19903</v>
      </c>
    </row>
    <row r="5369" spans="2:20" x14ac:dyDescent="0.25">
      <c r="B5369" t="s">
        <v>2709</v>
      </c>
      <c r="C5369">
        <v>48026199</v>
      </c>
      <c r="E5369">
        <v>177.19</v>
      </c>
      <c r="F5369">
        <v>12</v>
      </c>
      <c r="G5369">
        <v>5</v>
      </c>
      <c r="H5369" t="s">
        <v>19447</v>
      </c>
      <c r="I5369" t="s">
        <v>19447</v>
      </c>
      <c r="J5369">
        <v>12</v>
      </c>
      <c r="L5369" t="s">
        <v>2709</v>
      </c>
      <c r="M5369">
        <v>48026199</v>
      </c>
      <c r="O5369" t="s">
        <v>19926</v>
      </c>
      <c r="P5369" t="s">
        <v>19903</v>
      </c>
      <c r="Q5369" t="s">
        <v>19909</v>
      </c>
      <c r="R5369" t="s">
        <v>19447</v>
      </c>
      <c r="S5369" t="s">
        <v>19447</v>
      </c>
      <c r="T5369" t="s">
        <v>19903</v>
      </c>
    </row>
    <row r="5370" spans="2:20" x14ac:dyDescent="0.25">
      <c r="B5370" t="s">
        <v>2709</v>
      </c>
      <c r="C5370">
        <v>48026210</v>
      </c>
      <c r="E5370">
        <v>177.19</v>
      </c>
      <c r="F5370">
        <v>12</v>
      </c>
      <c r="G5370">
        <v>5</v>
      </c>
      <c r="H5370">
        <v>3.2</v>
      </c>
      <c r="I5370">
        <v>0.8</v>
      </c>
      <c r="J5370">
        <v>16</v>
      </c>
      <c r="L5370" t="s">
        <v>2709</v>
      </c>
      <c r="M5370">
        <v>48026210</v>
      </c>
      <c r="O5370" t="s">
        <v>19926</v>
      </c>
      <c r="P5370" t="s">
        <v>19903</v>
      </c>
      <c r="Q5370" t="s">
        <v>19909</v>
      </c>
      <c r="R5370" t="s">
        <v>20089</v>
      </c>
      <c r="S5370" t="s">
        <v>20090</v>
      </c>
      <c r="T5370" t="s">
        <v>19913</v>
      </c>
    </row>
    <row r="5371" spans="2:20" x14ac:dyDescent="0.25">
      <c r="B5371" t="s">
        <v>2709</v>
      </c>
      <c r="C5371">
        <v>48026291</v>
      </c>
      <c r="E5371">
        <v>177.19</v>
      </c>
      <c r="F5371">
        <v>12</v>
      </c>
      <c r="G5371">
        <v>5</v>
      </c>
      <c r="H5371">
        <v>3.2</v>
      </c>
      <c r="I5371">
        <v>0.8</v>
      </c>
      <c r="J5371">
        <v>6</v>
      </c>
      <c r="L5371" t="s">
        <v>2709</v>
      </c>
      <c r="M5371">
        <v>48026291</v>
      </c>
      <c r="O5371" t="s">
        <v>19926</v>
      </c>
      <c r="P5371" t="s">
        <v>19903</v>
      </c>
      <c r="Q5371" t="s">
        <v>19909</v>
      </c>
      <c r="R5371" t="s">
        <v>20089</v>
      </c>
      <c r="S5371" t="s">
        <v>20090</v>
      </c>
      <c r="T5371" t="s">
        <v>19907</v>
      </c>
    </row>
    <row r="5372" spans="2:20" x14ac:dyDescent="0.25">
      <c r="B5372" t="s">
        <v>2709</v>
      </c>
      <c r="C5372">
        <v>48026292</v>
      </c>
      <c r="E5372">
        <v>177.19</v>
      </c>
      <c r="F5372">
        <v>12</v>
      </c>
      <c r="G5372">
        <v>5</v>
      </c>
      <c r="H5372">
        <v>3.2</v>
      </c>
      <c r="I5372">
        <v>0.8</v>
      </c>
      <c r="J5372">
        <v>12</v>
      </c>
      <c r="L5372" t="s">
        <v>2709</v>
      </c>
      <c r="M5372">
        <v>48026292</v>
      </c>
      <c r="O5372" t="s">
        <v>19926</v>
      </c>
      <c r="P5372" t="s">
        <v>19903</v>
      </c>
      <c r="Q5372" t="s">
        <v>19909</v>
      </c>
      <c r="R5372" t="s">
        <v>20089</v>
      </c>
      <c r="S5372" t="s">
        <v>20090</v>
      </c>
      <c r="T5372" t="s">
        <v>19903</v>
      </c>
    </row>
    <row r="5373" spans="2:20" x14ac:dyDescent="0.25">
      <c r="B5373" t="s">
        <v>2709</v>
      </c>
      <c r="C5373">
        <v>48026299</v>
      </c>
      <c r="E5373">
        <v>177.19</v>
      </c>
      <c r="F5373">
        <v>12</v>
      </c>
      <c r="G5373">
        <v>5</v>
      </c>
      <c r="H5373">
        <v>3.2</v>
      </c>
      <c r="I5373">
        <v>0.8</v>
      </c>
      <c r="J5373">
        <v>12</v>
      </c>
      <c r="L5373" t="s">
        <v>2709</v>
      </c>
      <c r="M5373">
        <v>48026299</v>
      </c>
      <c r="O5373" t="s">
        <v>19926</v>
      </c>
      <c r="P5373" t="s">
        <v>19903</v>
      </c>
      <c r="Q5373" t="s">
        <v>19909</v>
      </c>
      <c r="R5373" t="s">
        <v>20089</v>
      </c>
      <c r="S5373" t="s">
        <v>20090</v>
      </c>
      <c r="T5373" t="s">
        <v>19903</v>
      </c>
    </row>
    <row r="5374" spans="2:20" x14ac:dyDescent="0.25">
      <c r="B5374" t="s">
        <v>2709</v>
      </c>
      <c r="C5374">
        <v>48026910</v>
      </c>
      <c r="E5374">
        <v>177.19</v>
      </c>
      <c r="F5374">
        <v>12</v>
      </c>
      <c r="G5374">
        <v>5</v>
      </c>
      <c r="H5374">
        <v>3.2</v>
      </c>
      <c r="I5374">
        <v>0.8</v>
      </c>
      <c r="J5374">
        <v>16</v>
      </c>
      <c r="L5374" t="s">
        <v>2709</v>
      </c>
      <c r="M5374">
        <v>48026910</v>
      </c>
      <c r="O5374" t="s">
        <v>19926</v>
      </c>
      <c r="P5374" t="s">
        <v>19903</v>
      </c>
      <c r="Q5374" t="s">
        <v>19909</v>
      </c>
      <c r="R5374" t="s">
        <v>20089</v>
      </c>
      <c r="S5374" t="s">
        <v>20090</v>
      </c>
      <c r="T5374" t="s">
        <v>19913</v>
      </c>
    </row>
    <row r="5375" spans="2:20" x14ac:dyDescent="0.25">
      <c r="B5375" t="s">
        <v>2709</v>
      </c>
      <c r="C5375">
        <v>48026991</v>
      </c>
      <c r="E5375">
        <v>177.19</v>
      </c>
      <c r="F5375">
        <v>12</v>
      </c>
      <c r="G5375">
        <v>5</v>
      </c>
      <c r="H5375">
        <v>3.2</v>
      </c>
      <c r="I5375">
        <v>0.8</v>
      </c>
      <c r="J5375">
        <v>6</v>
      </c>
      <c r="L5375" t="s">
        <v>2709</v>
      </c>
      <c r="M5375">
        <v>48026991</v>
      </c>
      <c r="O5375" t="s">
        <v>19926</v>
      </c>
      <c r="P5375" t="s">
        <v>19903</v>
      </c>
      <c r="Q5375" t="s">
        <v>19909</v>
      </c>
      <c r="R5375" t="s">
        <v>20089</v>
      </c>
      <c r="S5375" t="s">
        <v>20090</v>
      </c>
      <c r="T5375" t="s">
        <v>19907</v>
      </c>
    </row>
    <row r="5376" spans="2:20" x14ac:dyDescent="0.25">
      <c r="B5376" t="s">
        <v>2709</v>
      </c>
      <c r="C5376">
        <v>48026992</v>
      </c>
      <c r="E5376">
        <v>177.19</v>
      </c>
      <c r="F5376">
        <v>12</v>
      </c>
      <c r="G5376">
        <v>5</v>
      </c>
      <c r="H5376">
        <v>3.2</v>
      </c>
      <c r="I5376">
        <v>0.8</v>
      </c>
      <c r="J5376">
        <v>12</v>
      </c>
      <c r="L5376" t="s">
        <v>2709</v>
      </c>
      <c r="M5376">
        <v>48026992</v>
      </c>
      <c r="O5376" t="s">
        <v>19926</v>
      </c>
      <c r="P5376" t="s">
        <v>19903</v>
      </c>
      <c r="Q5376" t="s">
        <v>19909</v>
      </c>
      <c r="R5376" t="s">
        <v>20089</v>
      </c>
      <c r="S5376" t="s">
        <v>20090</v>
      </c>
      <c r="T5376" t="s">
        <v>19903</v>
      </c>
    </row>
    <row r="5377" spans="2:20" x14ac:dyDescent="0.25">
      <c r="B5377" t="s">
        <v>2709</v>
      </c>
      <c r="C5377">
        <v>48026999</v>
      </c>
      <c r="E5377">
        <v>177.19</v>
      </c>
      <c r="F5377">
        <v>12</v>
      </c>
      <c r="G5377">
        <v>5</v>
      </c>
      <c r="H5377">
        <v>3.2</v>
      </c>
      <c r="I5377">
        <v>0.8</v>
      </c>
      <c r="J5377">
        <v>12</v>
      </c>
      <c r="L5377" t="s">
        <v>2709</v>
      </c>
      <c r="M5377">
        <v>48026999</v>
      </c>
      <c r="O5377" t="s">
        <v>19926</v>
      </c>
      <c r="P5377" t="s">
        <v>19903</v>
      </c>
      <c r="Q5377" t="s">
        <v>19909</v>
      </c>
      <c r="R5377" t="s">
        <v>20089</v>
      </c>
      <c r="S5377" t="s">
        <v>20090</v>
      </c>
      <c r="T5377" t="s">
        <v>19903</v>
      </c>
    </row>
    <row r="5378" spans="2:20" x14ac:dyDescent="0.25">
      <c r="B5378" t="s">
        <v>2709</v>
      </c>
      <c r="C5378">
        <v>48030010</v>
      </c>
      <c r="E5378">
        <v>177.19</v>
      </c>
      <c r="F5378">
        <v>12</v>
      </c>
      <c r="G5378">
        <v>5</v>
      </c>
      <c r="H5378">
        <v>3.2</v>
      </c>
      <c r="I5378">
        <v>0.8</v>
      </c>
      <c r="J5378">
        <v>12</v>
      </c>
      <c r="L5378" t="s">
        <v>2709</v>
      </c>
      <c r="M5378">
        <v>48030010</v>
      </c>
      <c r="O5378" t="s">
        <v>19926</v>
      </c>
      <c r="P5378" t="s">
        <v>19903</v>
      </c>
      <c r="Q5378" t="s">
        <v>19909</v>
      </c>
      <c r="R5378" t="s">
        <v>20089</v>
      </c>
      <c r="S5378" t="s">
        <v>20090</v>
      </c>
      <c r="T5378" t="s">
        <v>19903</v>
      </c>
    </row>
    <row r="5379" spans="2:20" x14ac:dyDescent="0.25">
      <c r="B5379" t="s">
        <v>2709</v>
      </c>
      <c r="C5379">
        <v>48030090</v>
      </c>
      <c r="E5379">
        <v>177.19</v>
      </c>
      <c r="F5379">
        <v>12</v>
      </c>
      <c r="G5379">
        <v>5</v>
      </c>
      <c r="H5379">
        <v>3.2</v>
      </c>
      <c r="I5379">
        <v>0.8</v>
      </c>
      <c r="J5379">
        <v>12</v>
      </c>
      <c r="L5379" t="s">
        <v>2709</v>
      </c>
      <c r="M5379">
        <v>48030090</v>
      </c>
      <c r="O5379" t="s">
        <v>19926</v>
      </c>
      <c r="P5379" t="s">
        <v>19903</v>
      </c>
      <c r="Q5379" t="s">
        <v>19909</v>
      </c>
      <c r="R5379" t="s">
        <v>20089</v>
      </c>
      <c r="S5379" t="s">
        <v>20090</v>
      </c>
      <c r="T5379" t="s">
        <v>19903</v>
      </c>
    </row>
    <row r="5380" spans="2:20" x14ac:dyDescent="0.25">
      <c r="B5380" t="s">
        <v>2709</v>
      </c>
      <c r="C5380">
        <v>48041100</v>
      </c>
      <c r="E5380">
        <v>177.19</v>
      </c>
      <c r="F5380">
        <v>12</v>
      </c>
      <c r="G5380">
        <v>5</v>
      </c>
      <c r="H5380">
        <v>3.2</v>
      </c>
      <c r="I5380">
        <v>0.8</v>
      </c>
      <c r="J5380">
        <v>12</v>
      </c>
      <c r="L5380" t="s">
        <v>2709</v>
      </c>
      <c r="M5380">
        <v>48041100</v>
      </c>
      <c r="O5380" t="s">
        <v>19926</v>
      </c>
      <c r="P5380" t="s">
        <v>19903</v>
      </c>
      <c r="Q5380" t="s">
        <v>19909</v>
      </c>
      <c r="R5380" t="s">
        <v>20089</v>
      </c>
      <c r="S5380" t="s">
        <v>20090</v>
      </c>
      <c r="T5380" t="s">
        <v>19903</v>
      </c>
    </row>
    <row r="5381" spans="2:20" x14ac:dyDescent="0.25">
      <c r="B5381" t="s">
        <v>2709</v>
      </c>
      <c r="C5381">
        <v>48041900</v>
      </c>
      <c r="E5381">
        <v>177.19</v>
      </c>
      <c r="F5381">
        <v>12</v>
      </c>
      <c r="G5381">
        <v>5</v>
      </c>
      <c r="H5381">
        <v>3.2</v>
      </c>
      <c r="I5381">
        <v>0.8</v>
      </c>
      <c r="J5381">
        <v>12</v>
      </c>
      <c r="L5381" t="s">
        <v>2709</v>
      </c>
      <c r="M5381">
        <v>48041900</v>
      </c>
      <c r="O5381" t="s">
        <v>19926</v>
      </c>
      <c r="P5381" t="s">
        <v>19903</v>
      </c>
      <c r="Q5381" t="s">
        <v>19909</v>
      </c>
      <c r="R5381" t="s">
        <v>20089</v>
      </c>
      <c r="S5381" t="s">
        <v>20090</v>
      </c>
      <c r="T5381" t="s">
        <v>19903</v>
      </c>
    </row>
    <row r="5382" spans="2:20" x14ac:dyDescent="0.25">
      <c r="B5382" t="s">
        <v>2709</v>
      </c>
      <c r="C5382">
        <v>48042100</v>
      </c>
      <c r="E5382">
        <v>177.19</v>
      </c>
      <c r="F5382">
        <v>12</v>
      </c>
      <c r="G5382">
        <v>5</v>
      </c>
      <c r="H5382">
        <v>3.2</v>
      </c>
      <c r="I5382">
        <v>0.8</v>
      </c>
      <c r="J5382">
        <v>12</v>
      </c>
      <c r="L5382" t="s">
        <v>2709</v>
      </c>
      <c r="M5382">
        <v>48042100</v>
      </c>
      <c r="O5382" t="s">
        <v>19926</v>
      </c>
      <c r="P5382" t="s">
        <v>19903</v>
      </c>
      <c r="Q5382" t="s">
        <v>19909</v>
      </c>
      <c r="R5382" t="s">
        <v>20089</v>
      </c>
      <c r="S5382" t="s">
        <v>20090</v>
      </c>
      <c r="T5382" t="s">
        <v>19903</v>
      </c>
    </row>
    <row r="5383" spans="2:20" x14ac:dyDescent="0.25">
      <c r="B5383" t="s">
        <v>2709</v>
      </c>
      <c r="C5383">
        <v>48042900</v>
      </c>
      <c r="E5383">
        <v>177.19</v>
      </c>
      <c r="F5383">
        <v>12</v>
      </c>
      <c r="G5383">
        <v>5</v>
      </c>
      <c r="H5383">
        <v>3.2</v>
      </c>
      <c r="I5383">
        <v>0.8</v>
      </c>
      <c r="J5383">
        <v>12</v>
      </c>
      <c r="L5383" t="s">
        <v>2709</v>
      </c>
      <c r="M5383">
        <v>48042900</v>
      </c>
      <c r="O5383" t="s">
        <v>19926</v>
      </c>
      <c r="P5383" t="s">
        <v>19903</v>
      </c>
      <c r="Q5383" t="s">
        <v>19909</v>
      </c>
      <c r="R5383" t="s">
        <v>20089</v>
      </c>
      <c r="S5383" t="s">
        <v>20090</v>
      </c>
      <c r="T5383" t="s">
        <v>19903</v>
      </c>
    </row>
    <row r="5384" spans="2:20" x14ac:dyDescent="0.25">
      <c r="B5384" t="s">
        <v>2709</v>
      </c>
      <c r="C5384">
        <v>48043110</v>
      </c>
      <c r="E5384">
        <v>177.19</v>
      </c>
      <c r="F5384">
        <v>12</v>
      </c>
      <c r="G5384">
        <v>5</v>
      </c>
      <c r="H5384">
        <v>3.2</v>
      </c>
      <c r="I5384">
        <v>0.8</v>
      </c>
      <c r="J5384">
        <v>2</v>
      </c>
      <c r="L5384" t="s">
        <v>2709</v>
      </c>
      <c r="M5384">
        <v>48043110</v>
      </c>
      <c r="O5384" t="s">
        <v>19926</v>
      </c>
      <c r="P5384" t="s">
        <v>19903</v>
      </c>
      <c r="Q5384" t="s">
        <v>19909</v>
      </c>
      <c r="R5384" t="s">
        <v>20089</v>
      </c>
      <c r="S5384" t="s">
        <v>20090</v>
      </c>
      <c r="T5384" t="s">
        <v>19901</v>
      </c>
    </row>
    <row r="5385" spans="2:20" x14ac:dyDescent="0.25">
      <c r="B5385" t="s">
        <v>2709</v>
      </c>
      <c r="C5385">
        <v>48043190</v>
      </c>
      <c r="E5385">
        <v>177.19</v>
      </c>
      <c r="F5385">
        <v>12</v>
      </c>
      <c r="G5385">
        <v>5</v>
      </c>
      <c r="H5385">
        <v>3.2</v>
      </c>
      <c r="I5385">
        <v>0.8</v>
      </c>
      <c r="J5385">
        <v>12</v>
      </c>
      <c r="L5385" t="s">
        <v>2709</v>
      </c>
      <c r="M5385">
        <v>48043190</v>
      </c>
      <c r="O5385" t="s">
        <v>19926</v>
      </c>
      <c r="P5385" t="s">
        <v>19903</v>
      </c>
      <c r="Q5385" t="s">
        <v>19909</v>
      </c>
      <c r="R5385" t="s">
        <v>20089</v>
      </c>
      <c r="S5385" t="s">
        <v>20090</v>
      </c>
      <c r="T5385" t="s">
        <v>19903</v>
      </c>
    </row>
    <row r="5386" spans="2:20" x14ac:dyDescent="0.25">
      <c r="B5386" t="s">
        <v>2709</v>
      </c>
      <c r="C5386">
        <v>48043910</v>
      </c>
      <c r="E5386">
        <v>177.19</v>
      </c>
      <c r="F5386">
        <v>12</v>
      </c>
      <c r="G5386">
        <v>5</v>
      </c>
      <c r="H5386">
        <v>3.2</v>
      </c>
      <c r="I5386">
        <v>0.8</v>
      </c>
      <c r="J5386">
        <v>2</v>
      </c>
      <c r="L5386" t="s">
        <v>2709</v>
      </c>
      <c r="M5386">
        <v>48043910</v>
      </c>
      <c r="O5386" t="s">
        <v>19926</v>
      </c>
      <c r="P5386" t="s">
        <v>19903</v>
      </c>
      <c r="Q5386" t="s">
        <v>19909</v>
      </c>
      <c r="R5386" t="s">
        <v>20089</v>
      </c>
      <c r="S5386" t="s">
        <v>20090</v>
      </c>
      <c r="T5386" t="s">
        <v>19901</v>
      </c>
    </row>
    <row r="5387" spans="2:20" x14ac:dyDescent="0.25">
      <c r="B5387" t="s">
        <v>2709</v>
      </c>
      <c r="C5387">
        <v>48043990</v>
      </c>
      <c r="E5387">
        <v>177.19</v>
      </c>
      <c r="F5387">
        <v>12</v>
      </c>
      <c r="G5387">
        <v>5</v>
      </c>
      <c r="H5387">
        <v>3.2</v>
      </c>
      <c r="I5387">
        <v>0.8</v>
      </c>
      <c r="J5387">
        <v>12</v>
      </c>
      <c r="L5387" t="s">
        <v>2709</v>
      </c>
      <c r="M5387">
        <v>48043990</v>
      </c>
      <c r="O5387" t="s">
        <v>19926</v>
      </c>
      <c r="P5387" t="s">
        <v>19903</v>
      </c>
      <c r="Q5387" t="s">
        <v>19909</v>
      </c>
      <c r="R5387" t="s">
        <v>20089</v>
      </c>
      <c r="S5387" t="s">
        <v>20090</v>
      </c>
      <c r="T5387" t="s">
        <v>19903</v>
      </c>
    </row>
    <row r="5388" spans="2:20" x14ac:dyDescent="0.25">
      <c r="B5388" t="s">
        <v>2709</v>
      </c>
      <c r="C5388">
        <v>48044100</v>
      </c>
      <c r="E5388">
        <v>177.19</v>
      </c>
      <c r="F5388">
        <v>12</v>
      </c>
      <c r="G5388">
        <v>5</v>
      </c>
      <c r="H5388">
        <v>3.2</v>
      </c>
      <c r="I5388">
        <v>0.8</v>
      </c>
      <c r="J5388">
        <v>12</v>
      </c>
      <c r="L5388" t="s">
        <v>2709</v>
      </c>
      <c r="M5388">
        <v>48044100</v>
      </c>
      <c r="O5388" t="s">
        <v>19926</v>
      </c>
      <c r="P5388" t="s">
        <v>19903</v>
      </c>
      <c r="Q5388" t="s">
        <v>19909</v>
      </c>
      <c r="R5388" t="s">
        <v>20089</v>
      </c>
      <c r="S5388" t="s">
        <v>20090</v>
      </c>
      <c r="T5388" t="s">
        <v>19903</v>
      </c>
    </row>
    <row r="5389" spans="2:20" x14ac:dyDescent="0.25">
      <c r="B5389" t="s">
        <v>2709</v>
      </c>
      <c r="C5389">
        <v>48044200</v>
      </c>
      <c r="E5389">
        <v>177.19</v>
      </c>
      <c r="F5389">
        <v>12</v>
      </c>
      <c r="G5389">
        <v>5</v>
      </c>
      <c r="H5389">
        <v>3.2</v>
      </c>
      <c r="I5389">
        <v>0.8</v>
      </c>
      <c r="J5389">
        <v>12</v>
      </c>
      <c r="L5389" t="s">
        <v>2709</v>
      </c>
      <c r="M5389">
        <v>48044200</v>
      </c>
      <c r="O5389" t="s">
        <v>19926</v>
      </c>
      <c r="P5389" t="s">
        <v>19903</v>
      </c>
      <c r="Q5389" t="s">
        <v>19909</v>
      </c>
      <c r="R5389" t="s">
        <v>20089</v>
      </c>
      <c r="S5389" t="s">
        <v>20090</v>
      </c>
      <c r="T5389" t="s">
        <v>19903</v>
      </c>
    </row>
    <row r="5390" spans="2:20" x14ac:dyDescent="0.25">
      <c r="B5390" t="s">
        <v>2709</v>
      </c>
      <c r="C5390">
        <v>48044900</v>
      </c>
      <c r="E5390">
        <v>177.19</v>
      </c>
      <c r="F5390">
        <v>12</v>
      </c>
      <c r="G5390">
        <v>5</v>
      </c>
      <c r="H5390">
        <v>3.2</v>
      </c>
      <c r="I5390">
        <v>0.8</v>
      </c>
      <c r="J5390">
        <v>12</v>
      </c>
      <c r="L5390" t="s">
        <v>2709</v>
      </c>
      <c r="M5390">
        <v>48044900</v>
      </c>
      <c r="O5390" t="s">
        <v>19926</v>
      </c>
      <c r="P5390" t="s">
        <v>19903</v>
      </c>
      <c r="Q5390" t="s">
        <v>19909</v>
      </c>
      <c r="R5390" t="s">
        <v>20089</v>
      </c>
      <c r="S5390" t="s">
        <v>20090</v>
      </c>
      <c r="T5390" t="s">
        <v>19903</v>
      </c>
    </row>
    <row r="5391" spans="2:20" x14ac:dyDescent="0.25">
      <c r="B5391" t="s">
        <v>2709</v>
      </c>
      <c r="C5391">
        <v>48045100</v>
      </c>
      <c r="E5391">
        <v>177.19</v>
      </c>
      <c r="F5391">
        <v>12</v>
      </c>
      <c r="G5391">
        <v>5</v>
      </c>
      <c r="H5391">
        <v>3.2</v>
      </c>
      <c r="I5391">
        <v>0.8</v>
      </c>
      <c r="J5391">
        <v>12</v>
      </c>
      <c r="L5391" t="s">
        <v>2709</v>
      </c>
      <c r="M5391">
        <v>48045100</v>
      </c>
      <c r="O5391" t="s">
        <v>19926</v>
      </c>
      <c r="P5391" t="s">
        <v>19903</v>
      </c>
      <c r="Q5391" t="s">
        <v>19909</v>
      </c>
      <c r="R5391" t="s">
        <v>20089</v>
      </c>
      <c r="S5391" t="s">
        <v>20090</v>
      </c>
      <c r="T5391" t="s">
        <v>19903</v>
      </c>
    </row>
    <row r="5392" spans="2:20" x14ac:dyDescent="0.25">
      <c r="B5392" t="s">
        <v>2709</v>
      </c>
      <c r="C5392">
        <v>48045200</v>
      </c>
      <c r="E5392">
        <v>177.19</v>
      </c>
      <c r="F5392">
        <v>12</v>
      </c>
      <c r="G5392">
        <v>5</v>
      </c>
      <c r="H5392">
        <v>3.2</v>
      </c>
      <c r="I5392">
        <v>0.8</v>
      </c>
      <c r="J5392">
        <v>12</v>
      </c>
      <c r="L5392" t="s">
        <v>2709</v>
      </c>
      <c r="M5392">
        <v>48045200</v>
      </c>
      <c r="O5392" t="s">
        <v>19926</v>
      </c>
      <c r="P5392" t="s">
        <v>19903</v>
      </c>
      <c r="Q5392" t="s">
        <v>19909</v>
      </c>
      <c r="R5392" t="s">
        <v>20089</v>
      </c>
      <c r="S5392" t="s">
        <v>20090</v>
      </c>
      <c r="T5392" t="s">
        <v>19903</v>
      </c>
    </row>
    <row r="5393" spans="2:20" x14ac:dyDescent="0.25">
      <c r="B5393" t="s">
        <v>2709</v>
      </c>
      <c r="C5393">
        <v>48045910</v>
      </c>
      <c r="E5393">
        <v>177.19</v>
      </c>
      <c r="F5393">
        <v>12</v>
      </c>
      <c r="G5393">
        <v>5</v>
      </c>
      <c r="H5393">
        <v>3.2</v>
      </c>
      <c r="I5393">
        <v>0.8</v>
      </c>
      <c r="J5393">
        <v>2</v>
      </c>
      <c r="L5393" t="s">
        <v>2709</v>
      </c>
      <c r="M5393">
        <v>48045910</v>
      </c>
      <c r="O5393" t="s">
        <v>19926</v>
      </c>
      <c r="P5393" t="s">
        <v>19903</v>
      </c>
      <c r="Q5393" t="s">
        <v>19909</v>
      </c>
      <c r="R5393" t="s">
        <v>20089</v>
      </c>
      <c r="S5393" t="s">
        <v>20090</v>
      </c>
      <c r="T5393" t="s">
        <v>19901</v>
      </c>
    </row>
    <row r="5394" spans="2:20" x14ac:dyDescent="0.25">
      <c r="B5394" t="s">
        <v>2709</v>
      </c>
      <c r="C5394">
        <v>48045990</v>
      </c>
      <c r="E5394">
        <v>177.19</v>
      </c>
      <c r="F5394">
        <v>12</v>
      </c>
      <c r="G5394">
        <v>5</v>
      </c>
      <c r="H5394">
        <v>3.2</v>
      </c>
      <c r="I5394">
        <v>0.8</v>
      </c>
      <c r="J5394">
        <v>12</v>
      </c>
      <c r="L5394" t="s">
        <v>2709</v>
      </c>
      <c r="M5394">
        <v>48045990</v>
      </c>
      <c r="O5394" t="s">
        <v>19926</v>
      </c>
      <c r="P5394" t="s">
        <v>19903</v>
      </c>
      <c r="Q5394" t="s">
        <v>19909</v>
      </c>
      <c r="R5394" t="s">
        <v>20089</v>
      </c>
      <c r="S5394" t="s">
        <v>20090</v>
      </c>
      <c r="T5394" t="s">
        <v>19903</v>
      </c>
    </row>
    <row r="5395" spans="2:20" x14ac:dyDescent="0.25">
      <c r="B5395" t="s">
        <v>2709</v>
      </c>
      <c r="C5395">
        <v>48051100</v>
      </c>
      <c r="E5395">
        <v>177.19</v>
      </c>
      <c r="F5395">
        <v>12</v>
      </c>
      <c r="G5395">
        <v>5</v>
      </c>
      <c r="H5395">
        <v>3.2</v>
      </c>
      <c r="I5395">
        <v>0.8</v>
      </c>
      <c r="J5395">
        <v>12</v>
      </c>
      <c r="L5395" t="s">
        <v>2709</v>
      </c>
      <c r="M5395">
        <v>48051100</v>
      </c>
      <c r="O5395" t="s">
        <v>19926</v>
      </c>
      <c r="P5395" t="s">
        <v>19903</v>
      </c>
      <c r="Q5395" t="s">
        <v>19909</v>
      </c>
      <c r="R5395" t="s">
        <v>20089</v>
      </c>
      <c r="S5395" t="s">
        <v>20090</v>
      </c>
      <c r="T5395" t="s">
        <v>19903</v>
      </c>
    </row>
    <row r="5396" spans="2:20" x14ac:dyDescent="0.25">
      <c r="B5396" t="s">
        <v>2709</v>
      </c>
      <c r="C5396">
        <v>48051200</v>
      </c>
      <c r="E5396">
        <v>177.19</v>
      </c>
      <c r="F5396">
        <v>12</v>
      </c>
      <c r="G5396">
        <v>5</v>
      </c>
      <c r="H5396">
        <v>3.2</v>
      </c>
      <c r="I5396">
        <v>0.8</v>
      </c>
      <c r="J5396">
        <v>12</v>
      </c>
      <c r="L5396" t="s">
        <v>2709</v>
      </c>
      <c r="M5396">
        <v>48051200</v>
      </c>
      <c r="O5396" t="s">
        <v>19926</v>
      </c>
      <c r="P5396" t="s">
        <v>19903</v>
      </c>
      <c r="Q5396" t="s">
        <v>19909</v>
      </c>
      <c r="R5396" t="s">
        <v>20089</v>
      </c>
      <c r="S5396" t="s">
        <v>20090</v>
      </c>
      <c r="T5396" t="s">
        <v>19903</v>
      </c>
    </row>
    <row r="5397" spans="2:20" x14ac:dyDescent="0.25">
      <c r="B5397" t="s">
        <v>2709</v>
      </c>
      <c r="C5397">
        <v>48051900</v>
      </c>
      <c r="E5397">
        <v>177.19</v>
      </c>
      <c r="F5397">
        <v>12</v>
      </c>
      <c r="G5397">
        <v>5</v>
      </c>
      <c r="H5397">
        <v>3.2</v>
      </c>
      <c r="I5397">
        <v>0.8</v>
      </c>
      <c r="J5397">
        <v>12</v>
      </c>
      <c r="L5397" t="s">
        <v>2709</v>
      </c>
      <c r="M5397">
        <v>48051900</v>
      </c>
      <c r="O5397" t="s">
        <v>19926</v>
      </c>
      <c r="P5397" t="s">
        <v>19903</v>
      </c>
      <c r="Q5397" t="s">
        <v>19909</v>
      </c>
      <c r="R5397" t="s">
        <v>20089</v>
      </c>
      <c r="S5397" t="s">
        <v>20090</v>
      </c>
      <c r="T5397" t="s">
        <v>19903</v>
      </c>
    </row>
    <row r="5398" spans="2:20" x14ac:dyDescent="0.25">
      <c r="B5398" t="s">
        <v>2709</v>
      </c>
      <c r="C5398">
        <v>48052400</v>
      </c>
      <c r="E5398">
        <v>177.19</v>
      </c>
      <c r="F5398">
        <v>12</v>
      </c>
      <c r="G5398">
        <v>5</v>
      </c>
      <c r="H5398">
        <v>3.2</v>
      </c>
      <c r="I5398">
        <v>0.8</v>
      </c>
      <c r="J5398">
        <v>12</v>
      </c>
      <c r="L5398" t="s">
        <v>2709</v>
      </c>
      <c r="M5398">
        <v>48052400</v>
      </c>
      <c r="O5398" t="s">
        <v>19926</v>
      </c>
      <c r="P5398" t="s">
        <v>19903</v>
      </c>
      <c r="Q5398" t="s">
        <v>19909</v>
      </c>
      <c r="R5398" t="s">
        <v>20089</v>
      </c>
      <c r="S5398" t="s">
        <v>20090</v>
      </c>
      <c r="T5398" t="s">
        <v>19903</v>
      </c>
    </row>
    <row r="5399" spans="2:20" x14ac:dyDescent="0.25">
      <c r="B5399" t="s">
        <v>2709</v>
      </c>
      <c r="C5399">
        <v>48052500</v>
      </c>
      <c r="E5399">
        <v>177.19</v>
      </c>
      <c r="F5399">
        <v>12</v>
      </c>
      <c r="G5399">
        <v>5</v>
      </c>
      <c r="H5399">
        <v>3.2</v>
      </c>
      <c r="I5399">
        <v>0.8</v>
      </c>
      <c r="J5399">
        <v>12</v>
      </c>
      <c r="L5399" t="s">
        <v>2709</v>
      </c>
      <c r="M5399">
        <v>48052500</v>
      </c>
      <c r="O5399" t="s">
        <v>19926</v>
      </c>
      <c r="P5399" t="s">
        <v>19903</v>
      </c>
      <c r="Q5399" t="s">
        <v>19909</v>
      </c>
      <c r="R5399" t="s">
        <v>20089</v>
      </c>
      <c r="S5399" t="s">
        <v>20090</v>
      </c>
      <c r="T5399" t="s">
        <v>19903</v>
      </c>
    </row>
    <row r="5400" spans="2:20" x14ac:dyDescent="0.25">
      <c r="B5400" t="s">
        <v>2709</v>
      </c>
      <c r="C5400">
        <v>48053000</v>
      </c>
      <c r="E5400">
        <v>177.19</v>
      </c>
      <c r="F5400">
        <v>12</v>
      </c>
      <c r="G5400">
        <v>5</v>
      </c>
      <c r="H5400">
        <v>3.2</v>
      </c>
      <c r="I5400">
        <v>0.8</v>
      </c>
      <c r="J5400">
        <v>12</v>
      </c>
      <c r="L5400" t="s">
        <v>2709</v>
      </c>
      <c r="M5400">
        <v>48053000</v>
      </c>
      <c r="O5400" t="s">
        <v>19926</v>
      </c>
      <c r="P5400" t="s">
        <v>19903</v>
      </c>
      <c r="Q5400" t="s">
        <v>19909</v>
      </c>
      <c r="R5400" t="s">
        <v>20089</v>
      </c>
      <c r="S5400" t="s">
        <v>20090</v>
      </c>
      <c r="T5400" t="s">
        <v>19903</v>
      </c>
    </row>
    <row r="5401" spans="2:20" x14ac:dyDescent="0.25">
      <c r="B5401" t="s">
        <v>2709</v>
      </c>
      <c r="C5401">
        <v>48054010</v>
      </c>
      <c r="E5401">
        <v>177.19</v>
      </c>
      <c r="F5401">
        <v>12</v>
      </c>
      <c r="G5401">
        <v>5</v>
      </c>
      <c r="H5401">
        <v>3.2</v>
      </c>
      <c r="I5401">
        <v>0.8</v>
      </c>
      <c r="J5401">
        <v>2</v>
      </c>
      <c r="L5401" t="s">
        <v>2709</v>
      </c>
      <c r="M5401">
        <v>48054010</v>
      </c>
      <c r="O5401" t="s">
        <v>19926</v>
      </c>
      <c r="P5401" t="s">
        <v>19903</v>
      </c>
      <c r="Q5401" t="s">
        <v>19909</v>
      </c>
      <c r="R5401" t="s">
        <v>20089</v>
      </c>
      <c r="S5401" t="s">
        <v>20090</v>
      </c>
      <c r="T5401" t="s">
        <v>19901</v>
      </c>
    </row>
    <row r="5402" spans="2:20" x14ac:dyDescent="0.25">
      <c r="B5402" t="s">
        <v>2709</v>
      </c>
      <c r="C5402">
        <v>48054090</v>
      </c>
      <c r="E5402">
        <v>177.19</v>
      </c>
      <c r="F5402">
        <v>12</v>
      </c>
      <c r="G5402">
        <v>5</v>
      </c>
      <c r="H5402">
        <v>3.2</v>
      </c>
      <c r="I5402">
        <v>0.8</v>
      </c>
      <c r="J5402">
        <v>12</v>
      </c>
      <c r="L5402" t="s">
        <v>2709</v>
      </c>
      <c r="M5402">
        <v>48054090</v>
      </c>
      <c r="O5402" t="s">
        <v>19926</v>
      </c>
      <c r="P5402" t="s">
        <v>19903</v>
      </c>
      <c r="Q5402" t="s">
        <v>19909</v>
      </c>
      <c r="R5402" t="s">
        <v>20089</v>
      </c>
      <c r="S5402" t="s">
        <v>20090</v>
      </c>
      <c r="T5402" t="s">
        <v>19903</v>
      </c>
    </row>
    <row r="5403" spans="2:20" x14ac:dyDescent="0.25">
      <c r="B5403" t="s">
        <v>2709</v>
      </c>
      <c r="C5403">
        <v>48055000</v>
      </c>
      <c r="E5403">
        <v>177.19</v>
      </c>
      <c r="F5403">
        <v>12</v>
      </c>
      <c r="G5403">
        <v>5</v>
      </c>
      <c r="H5403">
        <v>3.2</v>
      </c>
      <c r="I5403">
        <v>0.8</v>
      </c>
      <c r="J5403">
        <v>12</v>
      </c>
      <c r="L5403" t="s">
        <v>2709</v>
      </c>
      <c r="M5403">
        <v>48055000</v>
      </c>
      <c r="O5403" t="s">
        <v>19926</v>
      </c>
      <c r="P5403" t="s">
        <v>19903</v>
      </c>
      <c r="Q5403" t="s">
        <v>19909</v>
      </c>
      <c r="R5403" t="s">
        <v>20089</v>
      </c>
      <c r="S5403" t="s">
        <v>20090</v>
      </c>
      <c r="T5403" t="s">
        <v>19903</v>
      </c>
    </row>
    <row r="5404" spans="2:20" x14ac:dyDescent="0.25">
      <c r="B5404" t="s">
        <v>2709</v>
      </c>
      <c r="C5404">
        <v>48059100</v>
      </c>
      <c r="E5404">
        <v>177.19</v>
      </c>
      <c r="F5404">
        <v>12</v>
      </c>
      <c r="G5404">
        <v>5</v>
      </c>
      <c r="H5404">
        <v>3.2</v>
      </c>
      <c r="I5404">
        <v>0.8</v>
      </c>
      <c r="J5404">
        <v>12</v>
      </c>
      <c r="L5404" t="s">
        <v>2709</v>
      </c>
      <c r="M5404">
        <v>48059100</v>
      </c>
      <c r="O5404" t="s">
        <v>19926</v>
      </c>
      <c r="P5404" t="s">
        <v>19903</v>
      </c>
      <c r="Q5404" t="s">
        <v>19909</v>
      </c>
      <c r="R5404" t="s">
        <v>20089</v>
      </c>
      <c r="S5404" t="s">
        <v>20090</v>
      </c>
      <c r="T5404" t="s">
        <v>19903</v>
      </c>
    </row>
    <row r="5405" spans="2:20" x14ac:dyDescent="0.25">
      <c r="B5405" t="s">
        <v>2709</v>
      </c>
      <c r="C5405">
        <v>48059210</v>
      </c>
      <c r="E5405">
        <v>177.19</v>
      </c>
      <c r="F5405">
        <v>12</v>
      </c>
      <c r="G5405">
        <v>5</v>
      </c>
      <c r="H5405">
        <v>3.2</v>
      </c>
      <c r="I5405">
        <v>0.8</v>
      </c>
      <c r="J5405">
        <v>12</v>
      </c>
      <c r="L5405" t="s">
        <v>2709</v>
      </c>
      <c r="M5405">
        <v>48059210</v>
      </c>
      <c r="O5405" t="s">
        <v>19926</v>
      </c>
      <c r="P5405" t="s">
        <v>19903</v>
      </c>
      <c r="Q5405" t="s">
        <v>19909</v>
      </c>
      <c r="R5405" t="s">
        <v>20089</v>
      </c>
      <c r="S5405" t="s">
        <v>20090</v>
      </c>
      <c r="T5405" t="s">
        <v>19903</v>
      </c>
    </row>
    <row r="5406" spans="2:20" x14ac:dyDescent="0.25">
      <c r="B5406" t="s">
        <v>2709</v>
      </c>
      <c r="C5406">
        <v>48059290</v>
      </c>
      <c r="E5406">
        <v>177.19</v>
      </c>
      <c r="F5406">
        <v>12</v>
      </c>
      <c r="G5406">
        <v>5</v>
      </c>
      <c r="H5406">
        <v>3.2</v>
      </c>
      <c r="I5406">
        <v>0.8</v>
      </c>
      <c r="J5406">
        <v>12</v>
      </c>
      <c r="L5406" t="s">
        <v>2709</v>
      </c>
      <c r="M5406">
        <v>48059290</v>
      </c>
      <c r="O5406" t="s">
        <v>19926</v>
      </c>
      <c r="P5406" t="s">
        <v>19903</v>
      </c>
      <c r="Q5406" t="s">
        <v>19909</v>
      </c>
      <c r="R5406" t="s">
        <v>20089</v>
      </c>
      <c r="S5406" t="s">
        <v>20090</v>
      </c>
      <c r="T5406" t="s">
        <v>19903</v>
      </c>
    </row>
    <row r="5407" spans="2:20" x14ac:dyDescent="0.25">
      <c r="B5407" t="s">
        <v>2709</v>
      </c>
      <c r="C5407">
        <v>48059300</v>
      </c>
      <c r="E5407">
        <v>177.19</v>
      </c>
      <c r="F5407">
        <v>12</v>
      </c>
      <c r="G5407">
        <v>5</v>
      </c>
      <c r="H5407">
        <v>3.2</v>
      </c>
      <c r="I5407">
        <v>0.8</v>
      </c>
      <c r="J5407">
        <v>12</v>
      </c>
      <c r="L5407" t="s">
        <v>2709</v>
      </c>
      <c r="M5407">
        <v>48059300</v>
      </c>
      <c r="O5407" t="s">
        <v>19926</v>
      </c>
      <c r="P5407" t="s">
        <v>19903</v>
      </c>
      <c r="Q5407" t="s">
        <v>19909</v>
      </c>
      <c r="R5407" t="s">
        <v>20089</v>
      </c>
      <c r="S5407" t="s">
        <v>20090</v>
      </c>
      <c r="T5407" t="s">
        <v>19903</v>
      </c>
    </row>
    <row r="5408" spans="2:20" x14ac:dyDescent="0.25">
      <c r="B5408" t="s">
        <v>2709</v>
      </c>
      <c r="C5408">
        <v>48061000</v>
      </c>
      <c r="E5408">
        <v>177.19</v>
      </c>
      <c r="F5408">
        <v>12</v>
      </c>
      <c r="G5408">
        <v>5</v>
      </c>
      <c r="H5408">
        <v>3.2</v>
      </c>
      <c r="I5408">
        <v>0.8</v>
      </c>
      <c r="J5408">
        <v>12</v>
      </c>
      <c r="L5408" t="s">
        <v>2709</v>
      </c>
      <c r="M5408">
        <v>48061000</v>
      </c>
      <c r="O5408" t="s">
        <v>19926</v>
      </c>
      <c r="P5408" t="s">
        <v>19903</v>
      </c>
      <c r="Q5408" t="s">
        <v>19909</v>
      </c>
      <c r="R5408" t="s">
        <v>20089</v>
      </c>
      <c r="S5408" t="s">
        <v>20090</v>
      </c>
      <c r="T5408" t="s">
        <v>19903</v>
      </c>
    </row>
    <row r="5409" spans="2:20" x14ac:dyDescent="0.25">
      <c r="B5409" t="s">
        <v>2709</v>
      </c>
      <c r="C5409">
        <v>48062000</v>
      </c>
      <c r="E5409">
        <v>112.46</v>
      </c>
      <c r="F5409">
        <v>12</v>
      </c>
      <c r="G5409">
        <v>5</v>
      </c>
      <c r="H5409">
        <v>3.2</v>
      </c>
      <c r="I5409">
        <v>0.8</v>
      </c>
      <c r="J5409">
        <v>12</v>
      </c>
      <c r="L5409" t="s">
        <v>2709</v>
      </c>
      <c r="M5409">
        <v>48062000</v>
      </c>
      <c r="O5409" t="s">
        <v>20055</v>
      </c>
      <c r="P5409" t="s">
        <v>19903</v>
      </c>
      <c r="Q5409" t="s">
        <v>19909</v>
      </c>
      <c r="R5409" t="s">
        <v>20089</v>
      </c>
      <c r="S5409" t="s">
        <v>20090</v>
      </c>
      <c r="T5409" t="s">
        <v>19903</v>
      </c>
    </row>
    <row r="5410" spans="2:20" x14ac:dyDescent="0.25">
      <c r="B5410" t="s">
        <v>2709</v>
      </c>
      <c r="C5410">
        <v>48063000</v>
      </c>
      <c r="E5410">
        <v>177.19</v>
      </c>
      <c r="F5410">
        <v>12</v>
      </c>
      <c r="G5410">
        <v>5</v>
      </c>
      <c r="H5410">
        <v>3.2</v>
      </c>
      <c r="I5410">
        <v>0.8</v>
      </c>
      <c r="J5410">
        <v>12</v>
      </c>
      <c r="L5410" t="s">
        <v>2709</v>
      </c>
      <c r="M5410">
        <v>48063000</v>
      </c>
      <c r="O5410" t="s">
        <v>19926</v>
      </c>
      <c r="P5410" t="s">
        <v>19903</v>
      </c>
      <c r="Q5410" t="s">
        <v>19909</v>
      </c>
      <c r="R5410" t="s">
        <v>20089</v>
      </c>
      <c r="S5410" t="s">
        <v>20090</v>
      </c>
      <c r="T5410" t="s">
        <v>19903</v>
      </c>
    </row>
    <row r="5411" spans="2:20" x14ac:dyDescent="0.25">
      <c r="B5411" t="s">
        <v>2709</v>
      </c>
      <c r="C5411">
        <v>48064000</v>
      </c>
      <c r="E5411">
        <v>177.19</v>
      </c>
      <c r="F5411">
        <v>12</v>
      </c>
      <c r="G5411">
        <v>5</v>
      </c>
      <c r="H5411">
        <v>3.2</v>
      </c>
      <c r="I5411">
        <v>0.8</v>
      </c>
      <c r="J5411">
        <v>12</v>
      </c>
      <c r="L5411" t="s">
        <v>2709</v>
      </c>
      <c r="M5411">
        <v>48064000</v>
      </c>
      <c r="O5411" t="s">
        <v>19926</v>
      </c>
      <c r="P5411" t="s">
        <v>19903</v>
      </c>
      <c r="Q5411" t="s">
        <v>19909</v>
      </c>
      <c r="R5411" t="s">
        <v>20089</v>
      </c>
      <c r="S5411" t="s">
        <v>20090</v>
      </c>
      <c r="T5411" t="s">
        <v>19903</v>
      </c>
    </row>
    <row r="5412" spans="2:20" x14ac:dyDescent="0.25">
      <c r="B5412" t="s">
        <v>2709</v>
      </c>
      <c r="C5412">
        <v>48070000</v>
      </c>
      <c r="E5412">
        <v>177.19</v>
      </c>
      <c r="F5412">
        <v>12</v>
      </c>
      <c r="G5412">
        <v>5</v>
      </c>
      <c r="H5412">
        <v>3.2</v>
      </c>
      <c r="I5412">
        <v>0.8</v>
      </c>
      <c r="J5412">
        <v>12</v>
      </c>
      <c r="L5412" t="s">
        <v>2709</v>
      </c>
      <c r="M5412">
        <v>48070000</v>
      </c>
      <c r="O5412" t="s">
        <v>19926</v>
      </c>
      <c r="P5412" t="s">
        <v>19903</v>
      </c>
      <c r="Q5412" t="s">
        <v>19909</v>
      </c>
      <c r="R5412" t="s">
        <v>20089</v>
      </c>
      <c r="S5412" t="s">
        <v>20090</v>
      </c>
      <c r="T5412" t="s">
        <v>19903</v>
      </c>
    </row>
    <row r="5413" spans="2:20" x14ac:dyDescent="0.25">
      <c r="B5413" t="s">
        <v>2709</v>
      </c>
      <c r="C5413">
        <v>48081000</v>
      </c>
      <c r="E5413">
        <v>112.46</v>
      </c>
      <c r="F5413">
        <v>12</v>
      </c>
      <c r="G5413">
        <v>5</v>
      </c>
      <c r="H5413">
        <v>3.2</v>
      </c>
      <c r="I5413">
        <v>0.8</v>
      </c>
      <c r="J5413">
        <v>12</v>
      </c>
      <c r="L5413" t="s">
        <v>2709</v>
      </c>
      <c r="M5413">
        <v>48081000</v>
      </c>
      <c r="O5413" t="s">
        <v>20055</v>
      </c>
      <c r="P5413" t="s">
        <v>19903</v>
      </c>
      <c r="Q5413" t="s">
        <v>19909</v>
      </c>
      <c r="R5413" t="s">
        <v>20089</v>
      </c>
      <c r="S5413" t="s">
        <v>20090</v>
      </c>
      <c r="T5413" t="s">
        <v>19903</v>
      </c>
    </row>
    <row r="5414" spans="2:20" x14ac:dyDescent="0.25">
      <c r="B5414" t="s">
        <v>2709</v>
      </c>
      <c r="C5414">
        <v>48084000</v>
      </c>
      <c r="E5414">
        <v>177.19</v>
      </c>
      <c r="F5414">
        <v>12</v>
      </c>
      <c r="G5414">
        <v>5</v>
      </c>
      <c r="H5414">
        <v>3.2</v>
      </c>
      <c r="I5414">
        <v>0.8</v>
      </c>
      <c r="J5414">
        <v>12</v>
      </c>
      <c r="L5414" t="s">
        <v>2709</v>
      </c>
      <c r="M5414">
        <v>48084000</v>
      </c>
      <c r="O5414" t="s">
        <v>19926</v>
      </c>
      <c r="P5414" t="s">
        <v>19903</v>
      </c>
      <c r="Q5414" t="s">
        <v>19909</v>
      </c>
      <c r="R5414" t="s">
        <v>20089</v>
      </c>
      <c r="S5414" t="s">
        <v>20090</v>
      </c>
      <c r="T5414" t="s">
        <v>19903</v>
      </c>
    </row>
    <row r="5415" spans="2:20" x14ac:dyDescent="0.25">
      <c r="B5415" t="s">
        <v>2709</v>
      </c>
      <c r="C5415">
        <v>48089000</v>
      </c>
      <c r="E5415">
        <v>177.19</v>
      </c>
      <c r="F5415">
        <v>12</v>
      </c>
      <c r="G5415">
        <v>5</v>
      </c>
      <c r="H5415">
        <v>3.2</v>
      </c>
      <c r="I5415">
        <v>0.8</v>
      </c>
      <c r="J5415">
        <v>12</v>
      </c>
      <c r="L5415" t="s">
        <v>2709</v>
      </c>
      <c r="M5415">
        <v>48089000</v>
      </c>
      <c r="O5415" t="s">
        <v>19926</v>
      </c>
      <c r="P5415" t="s">
        <v>19903</v>
      </c>
      <c r="Q5415" t="s">
        <v>19909</v>
      </c>
      <c r="R5415" t="s">
        <v>20089</v>
      </c>
      <c r="S5415" t="s">
        <v>20090</v>
      </c>
      <c r="T5415" t="s">
        <v>19903</v>
      </c>
    </row>
    <row r="5416" spans="2:20" x14ac:dyDescent="0.25">
      <c r="B5416" t="s">
        <v>2709</v>
      </c>
      <c r="C5416">
        <v>48092000</v>
      </c>
      <c r="E5416">
        <v>64.599999999999994</v>
      </c>
      <c r="F5416">
        <v>12</v>
      </c>
      <c r="G5416">
        <v>5</v>
      </c>
      <c r="H5416">
        <v>3.2</v>
      </c>
      <c r="I5416">
        <v>0.8</v>
      </c>
      <c r="J5416">
        <v>14</v>
      </c>
      <c r="L5416" t="s">
        <v>2709</v>
      </c>
      <c r="M5416">
        <v>48092000</v>
      </c>
      <c r="O5416" t="s">
        <v>20094</v>
      </c>
      <c r="P5416" t="s">
        <v>19903</v>
      </c>
      <c r="Q5416" t="s">
        <v>19909</v>
      </c>
      <c r="R5416" t="s">
        <v>20089</v>
      </c>
      <c r="S5416" t="s">
        <v>20090</v>
      </c>
      <c r="T5416" t="s">
        <v>19911</v>
      </c>
    </row>
    <row r="5417" spans="2:20" x14ac:dyDescent="0.25">
      <c r="B5417" t="s">
        <v>2709</v>
      </c>
      <c r="C5417">
        <v>48099000</v>
      </c>
      <c r="E5417">
        <v>64.599999999999994</v>
      </c>
      <c r="F5417">
        <v>12</v>
      </c>
      <c r="G5417">
        <v>5</v>
      </c>
      <c r="H5417">
        <v>3.2</v>
      </c>
      <c r="I5417">
        <v>0.8</v>
      </c>
      <c r="J5417">
        <v>14</v>
      </c>
      <c r="L5417" t="s">
        <v>2709</v>
      </c>
      <c r="M5417">
        <v>48099000</v>
      </c>
      <c r="O5417" t="s">
        <v>20094</v>
      </c>
      <c r="P5417" t="s">
        <v>19903</v>
      </c>
      <c r="Q5417" t="s">
        <v>19909</v>
      </c>
      <c r="R5417" t="s">
        <v>20089</v>
      </c>
      <c r="S5417" t="s">
        <v>20090</v>
      </c>
      <c r="T5417" t="s">
        <v>19911</v>
      </c>
    </row>
    <row r="5418" spans="2:20" x14ac:dyDescent="0.25">
      <c r="B5418" t="s">
        <v>2709</v>
      </c>
      <c r="C5418">
        <v>48101310</v>
      </c>
      <c r="E5418">
        <v>177.19</v>
      </c>
      <c r="F5418">
        <v>12</v>
      </c>
      <c r="G5418">
        <v>5</v>
      </c>
      <c r="H5418">
        <v>3.2</v>
      </c>
      <c r="I5418">
        <v>0.8</v>
      </c>
      <c r="J5418">
        <v>16</v>
      </c>
      <c r="L5418" t="s">
        <v>2709</v>
      </c>
      <c r="M5418">
        <v>48101310</v>
      </c>
      <c r="O5418" t="s">
        <v>19926</v>
      </c>
      <c r="P5418" t="s">
        <v>19903</v>
      </c>
      <c r="Q5418" t="s">
        <v>19909</v>
      </c>
      <c r="R5418" t="s">
        <v>20089</v>
      </c>
      <c r="S5418" t="s">
        <v>20090</v>
      </c>
      <c r="T5418" t="s">
        <v>19913</v>
      </c>
    </row>
    <row r="5419" spans="2:20" x14ac:dyDescent="0.25">
      <c r="B5419" t="s">
        <v>2709</v>
      </c>
      <c r="C5419">
        <v>48101381</v>
      </c>
      <c r="E5419">
        <v>177.19</v>
      </c>
      <c r="F5419">
        <v>12</v>
      </c>
      <c r="G5419">
        <v>5</v>
      </c>
      <c r="H5419">
        <v>3.2</v>
      </c>
      <c r="I5419">
        <v>0.8</v>
      </c>
      <c r="J5419">
        <v>14</v>
      </c>
      <c r="L5419" t="s">
        <v>2709</v>
      </c>
      <c r="M5419">
        <v>48101381</v>
      </c>
      <c r="O5419" t="s">
        <v>19926</v>
      </c>
      <c r="P5419" t="s">
        <v>19903</v>
      </c>
      <c r="Q5419" t="s">
        <v>19909</v>
      </c>
      <c r="R5419" t="s">
        <v>20089</v>
      </c>
      <c r="S5419" t="s">
        <v>20090</v>
      </c>
      <c r="T5419" t="s">
        <v>19911</v>
      </c>
    </row>
    <row r="5420" spans="2:20" x14ac:dyDescent="0.25">
      <c r="B5420" t="s">
        <v>2709</v>
      </c>
      <c r="C5420">
        <v>48101382</v>
      </c>
      <c r="E5420">
        <v>177.19</v>
      </c>
      <c r="F5420">
        <v>12</v>
      </c>
      <c r="G5420">
        <v>5</v>
      </c>
      <c r="H5420">
        <v>3.2</v>
      </c>
      <c r="I5420">
        <v>0.8</v>
      </c>
      <c r="J5420">
        <v>2</v>
      </c>
      <c r="L5420" t="s">
        <v>2709</v>
      </c>
      <c r="M5420">
        <v>48101382</v>
      </c>
      <c r="O5420" t="s">
        <v>19926</v>
      </c>
      <c r="P5420" t="s">
        <v>19903</v>
      </c>
      <c r="Q5420" t="s">
        <v>19909</v>
      </c>
      <c r="R5420" t="s">
        <v>20089</v>
      </c>
      <c r="S5420" t="s">
        <v>20090</v>
      </c>
      <c r="T5420" t="s">
        <v>19901</v>
      </c>
    </row>
    <row r="5421" spans="2:20" x14ac:dyDescent="0.25">
      <c r="B5421" t="s">
        <v>2709</v>
      </c>
      <c r="C5421">
        <v>48101389</v>
      </c>
      <c r="E5421">
        <v>177.19</v>
      </c>
      <c r="F5421">
        <v>12</v>
      </c>
      <c r="G5421">
        <v>5</v>
      </c>
      <c r="H5421">
        <v>3.2</v>
      </c>
      <c r="I5421">
        <v>0.8</v>
      </c>
      <c r="J5421">
        <v>14</v>
      </c>
      <c r="L5421" t="s">
        <v>2709</v>
      </c>
      <c r="M5421">
        <v>48101389</v>
      </c>
      <c r="O5421" t="s">
        <v>19926</v>
      </c>
      <c r="P5421" t="s">
        <v>19903</v>
      </c>
      <c r="Q5421" t="s">
        <v>19909</v>
      </c>
      <c r="R5421" t="s">
        <v>20089</v>
      </c>
      <c r="S5421" t="s">
        <v>20090</v>
      </c>
      <c r="T5421" t="s">
        <v>19911</v>
      </c>
    </row>
    <row r="5422" spans="2:20" x14ac:dyDescent="0.25">
      <c r="B5422" t="s">
        <v>2709</v>
      </c>
      <c r="C5422">
        <v>48101390</v>
      </c>
      <c r="E5422">
        <v>112.46</v>
      </c>
      <c r="F5422">
        <v>12</v>
      </c>
      <c r="G5422">
        <v>5</v>
      </c>
      <c r="H5422">
        <v>3.2</v>
      </c>
      <c r="I5422">
        <v>0.8</v>
      </c>
      <c r="J5422">
        <v>14</v>
      </c>
      <c r="L5422" t="s">
        <v>2709</v>
      </c>
      <c r="M5422">
        <v>48101390</v>
      </c>
      <c r="O5422" t="s">
        <v>20055</v>
      </c>
      <c r="P5422" t="s">
        <v>19903</v>
      </c>
      <c r="Q5422" t="s">
        <v>19909</v>
      </c>
      <c r="R5422" t="s">
        <v>20089</v>
      </c>
      <c r="S5422" t="s">
        <v>20090</v>
      </c>
      <c r="T5422" t="s">
        <v>19911</v>
      </c>
    </row>
    <row r="5423" spans="2:20" x14ac:dyDescent="0.25">
      <c r="B5423" t="s">
        <v>2709</v>
      </c>
      <c r="C5423">
        <v>48101410</v>
      </c>
      <c r="E5423">
        <v>177.19</v>
      </c>
      <c r="F5423">
        <v>12</v>
      </c>
      <c r="G5423">
        <v>5</v>
      </c>
      <c r="H5423">
        <v>3.2</v>
      </c>
      <c r="I5423">
        <v>0.8</v>
      </c>
      <c r="J5423">
        <v>16</v>
      </c>
      <c r="L5423" t="s">
        <v>2709</v>
      </c>
      <c r="M5423">
        <v>48101410</v>
      </c>
      <c r="O5423" t="s">
        <v>19926</v>
      </c>
      <c r="P5423" t="s">
        <v>19903</v>
      </c>
      <c r="Q5423" t="s">
        <v>19909</v>
      </c>
      <c r="R5423" t="s">
        <v>20089</v>
      </c>
      <c r="S5423" t="s">
        <v>20090</v>
      </c>
      <c r="T5423" t="s">
        <v>19913</v>
      </c>
    </row>
    <row r="5424" spans="2:20" x14ac:dyDescent="0.25">
      <c r="B5424" t="s">
        <v>2709</v>
      </c>
      <c r="C5424">
        <v>48101481</v>
      </c>
      <c r="E5424">
        <v>177.19</v>
      </c>
      <c r="F5424">
        <v>12</v>
      </c>
      <c r="G5424">
        <v>5</v>
      </c>
      <c r="H5424">
        <v>3.2</v>
      </c>
      <c r="I5424">
        <v>0.8</v>
      </c>
      <c r="J5424">
        <v>14</v>
      </c>
      <c r="L5424" t="s">
        <v>2709</v>
      </c>
      <c r="M5424">
        <v>48101481</v>
      </c>
      <c r="O5424" t="s">
        <v>19926</v>
      </c>
      <c r="P5424" t="s">
        <v>19903</v>
      </c>
      <c r="Q5424" t="s">
        <v>19909</v>
      </c>
      <c r="R5424" t="s">
        <v>20089</v>
      </c>
      <c r="S5424" t="s">
        <v>20090</v>
      </c>
      <c r="T5424" t="s">
        <v>19911</v>
      </c>
    </row>
    <row r="5425" spans="2:20" x14ac:dyDescent="0.25">
      <c r="B5425" t="s">
        <v>2709</v>
      </c>
      <c r="C5425">
        <v>48101482</v>
      </c>
      <c r="E5425">
        <v>177.19</v>
      </c>
      <c r="F5425">
        <v>12</v>
      </c>
      <c r="G5425">
        <v>5</v>
      </c>
      <c r="H5425">
        <v>3.2</v>
      </c>
      <c r="I5425">
        <v>0.8</v>
      </c>
      <c r="J5425">
        <v>2</v>
      </c>
      <c r="L5425" t="s">
        <v>2709</v>
      </c>
      <c r="M5425">
        <v>48101482</v>
      </c>
      <c r="O5425" t="s">
        <v>19926</v>
      </c>
      <c r="P5425" t="s">
        <v>19903</v>
      </c>
      <c r="Q5425" t="s">
        <v>19909</v>
      </c>
      <c r="R5425" t="s">
        <v>20089</v>
      </c>
      <c r="S5425" t="s">
        <v>20090</v>
      </c>
      <c r="T5425" t="s">
        <v>19901</v>
      </c>
    </row>
    <row r="5426" spans="2:20" x14ac:dyDescent="0.25">
      <c r="B5426" t="s">
        <v>2709</v>
      </c>
      <c r="C5426">
        <v>48101489</v>
      </c>
      <c r="E5426">
        <v>177.19</v>
      </c>
      <c r="F5426">
        <v>12</v>
      </c>
      <c r="G5426">
        <v>5</v>
      </c>
      <c r="H5426">
        <v>3.2</v>
      </c>
      <c r="I5426">
        <v>0.8</v>
      </c>
      <c r="J5426">
        <v>14</v>
      </c>
      <c r="L5426" t="s">
        <v>2709</v>
      </c>
      <c r="M5426">
        <v>48101489</v>
      </c>
      <c r="O5426" t="s">
        <v>19926</v>
      </c>
      <c r="P5426" t="s">
        <v>19903</v>
      </c>
      <c r="Q5426" t="s">
        <v>19909</v>
      </c>
      <c r="R5426" t="s">
        <v>20089</v>
      </c>
      <c r="S5426" t="s">
        <v>20090</v>
      </c>
      <c r="T5426" t="s">
        <v>19911</v>
      </c>
    </row>
    <row r="5427" spans="2:20" x14ac:dyDescent="0.25">
      <c r="B5427" t="s">
        <v>2709</v>
      </c>
      <c r="C5427">
        <v>48101490</v>
      </c>
      <c r="E5427">
        <v>177.19</v>
      </c>
      <c r="F5427">
        <v>12</v>
      </c>
      <c r="G5427">
        <v>5</v>
      </c>
      <c r="H5427">
        <v>3.2</v>
      </c>
      <c r="I5427">
        <v>0.8</v>
      </c>
      <c r="J5427">
        <v>14</v>
      </c>
      <c r="L5427" t="s">
        <v>2709</v>
      </c>
      <c r="M5427">
        <v>48101490</v>
      </c>
      <c r="O5427" t="s">
        <v>19926</v>
      </c>
      <c r="P5427" t="s">
        <v>19903</v>
      </c>
      <c r="Q5427" t="s">
        <v>19909</v>
      </c>
      <c r="R5427" t="s">
        <v>20089</v>
      </c>
      <c r="S5427" t="s">
        <v>20090</v>
      </c>
      <c r="T5427" t="s">
        <v>19911</v>
      </c>
    </row>
    <row r="5428" spans="2:20" x14ac:dyDescent="0.25">
      <c r="B5428" t="s">
        <v>2709</v>
      </c>
      <c r="C5428">
        <v>48101910</v>
      </c>
      <c r="E5428">
        <v>177.19</v>
      </c>
      <c r="F5428">
        <v>12</v>
      </c>
      <c r="G5428">
        <v>5</v>
      </c>
      <c r="H5428">
        <v>3.2</v>
      </c>
      <c r="I5428">
        <v>0.8</v>
      </c>
      <c r="J5428">
        <v>16</v>
      </c>
      <c r="L5428" t="s">
        <v>2709</v>
      </c>
      <c r="M5428">
        <v>48101910</v>
      </c>
      <c r="O5428" t="s">
        <v>19926</v>
      </c>
      <c r="P5428" t="s">
        <v>19903</v>
      </c>
      <c r="Q5428" t="s">
        <v>19909</v>
      </c>
      <c r="R5428" t="s">
        <v>20089</v>
      </c>
      <c r="S5428" t="s">
        <v>20090</v>
      </c>
      <c r="T5428" t="s">
        <v>19913</v>
      </c>
    </row>
    <row r="5429" spans="2:20" x14ac:dyDescent="0.25">
      <c r="B5429" t="s">
        <v>2709</v>
      </c>
      <c r="C5429">
        <v>48101981</v>
      </c>
      <c r="E5429">
        <v>177.19</v>
      </c>
      <c r="F5429">
        <v>12</v>
      </c>
      <c r="G5429">
        <v>5</v>
      </c>
      <c r="H5429">
        <v>3.2</v>
      </c>
      <c r="I5429">
        <v>0.8</v>
      </c>
      <c r="J5429">
        <v>14</v>
      </c>
      <c r="L5429" t="s">
        <v>2709</v>
      </c>
      <c r="M5429">
        <v>48101981</v>
      </c>
      <c r="O5429" t="s">
        <v>19926</v>
      </c>
      <c r="P5429" t="s">
        <v>19903</v>
      </c>
      <c r="Q5429" t="s">
        <v>19909</v>
      </c>
      <c r="R5429" t="s">
        <v>20089</v>
      </c>
      <c r="S5429" t="s">
        <v>20090</v>
      </c>
      <c r="T5429" t="s">
        <v>19911</v>
      </c>
    </row>
    <row r="5430" spans="2:20" x14ac:dyDescent="0.25">
      <c r="B5430" t="s">
        <v>2709</v>
      </c>
      <c r="C5430">
        <v>48101982</v>
      </c>
      <c r="E5430">
        <v>177.19</v>
      </c>
      <c r="F5430">
        <v>12</v>
      </c>
      <c r="G5430">
        <v>5</v>
      </c>
      <c r="H5430">
        <v>3.2</v>
      </c>
      <c r="I5430">
        <v>0.8</v>
      </c>
      <c r="J5430">
        <v>2</v>
      </c>
      <c r="L5430" t="s">
        <v>2709</v>
      </c>
      <c r="M5430">
        <v>48101982</v>
      </c>
      <c r="O5430" t="s">
        <v>19926</v>
      </c>
      <c r="P5430" t="s">
        <v>19903</v>
      </c>
      <c r="Q5430" t="s">
        <v>19909</v>
      </c>
      <c r="R5430" t="s">
        <v>20089</v>
      </c>
      <c r="S5430" t="s">
        <v>20090</v>
      </c>
      <c r="T5430" t="s">
        <v>19901</v>
      </c>
    </row>
    <row r="5431" spans="2:20" x14ac:dyDescent="0.25">
      <c r="B5431" t="s">
        <v>2709</v>
      </c>
      <c r="C5431">
        <v>48101989</v>
      </c>
      <c r="E5431">
        <v>177.19</v>
      </c>
      <c r="F5431">
        <v>12</v>
      </c>
      <c r="G5431">
        <v>5</v>
      </c>
      <c r="H5431" t="s">
        <v>19447</v>
      </c>
      <c r="I5431" t="s">
        <v>19447</v>
      </c>
      <c r="J5431">
        <v>14</v>
      </c>
      <c r="L5431" t="s">
        <v>2709</v>
      </c>
      <c r="M5431">
        <v>48101989</v>
      </c>
      <c r="O5431" t="s">
        <v>19926</v>
      </c>
      <c r="P5431" t="s">
        <v>19903</v>
      </c>
      <c r="Q5431" t="s">
        <v>19909</v>
      </c>
      <c r="R5431" t="s">
        <v>19447</v>
      </c>
      <c r="S5431" t="s">
        <v>19447</v>
      </c>
      <c r="T5431" t="s">
        <v>19911</v>
      </c>
    </row>
    <row r="5432" spans="2:20" x14ac:dyDescent="0.25">
      <c r="B5432" t="s">
        <v>2709</v>
      </c>
      <c r="C5432">
        <v>48101990</v>
      </c>
      <c r="E5432">
        <v>177.19</v>
      </c>
      <c r="F5432">
        <v>12</v>
      </c>
      <c r="G5432">
        <v>5</v>
      </c>
      <c r="H5432">
        <v>3.2</v>
      </c>
      <c r="I5432">
        <v>0.8</v>
      </c>
      <c r="J5432">
        <v>14</v>
      </c>
      <c r="L5432" t="s">
        <v>2709</v>
      </c>
      <c r="M5432">
        <v>48101990</v>
      </c>
      <c r="O5432" t="s">
        <v>19926</v>
      </c>
      <c r="P5432" t="s">
        <v>19903</v>
      </c>
      <c r="Q5432" t="s">
        <v>19909</v>
      </c>
      <c r="R5432" t="s">
        <v>20089</v>
      </c>
      <c r="S5432" t="s">
        <v>20090</v>
      </c>
      <c r="T5432" t="s">
        <v>19911</v>
      </c>
    </row>
    <row r="5433" spans="2:20" x14ac:dyDescent="0.25">
      <c r="B5433" t="s">
        <v>2709</v>
      </c>
      <c r="C5433">
        <v>48102210</v>
      </c>
      <c r="E5433">
        <v>177.19</v>
      </c>
      <c r="F5433">
        <v>12</v>
      </c>
      <c r="G5433">
        <v>5</v>
      </c>
      <c r="H5433">
        <v>3.2</v>
      </c>
      <c r="I5433">
        <v>0.8</v>
      </c>
      <c r="J5433">
        <v>16</v>
      </c>
      <c r="L5433" t="s">
        <v>2709</v>
      </c>
      <c r="M5433">
        <v>48102210</v>
      </c>
      <c r="O5433" t="s">
        <v>19926</v>
      </c>
      <c r="P5433" t="s">
        <v>19903</v>
      </c>
      <c r="Q5433" t="s">
        <v>19909</v>
      </c>
      <c r="R5433" t="s">
        <v>20089</v>
      </c>
      <c r="S5433" t="s">
        <v>20090</v>
      </c>
      <c r="T5433" t="s">
        <v>19913</v>
      </c>
    </row>
    <row r="5434" spans="2:20" x14ac:dyDescent="0.25">
      <c r="B5434" t="s">
        <v>2709</v>
      </c>
      <c r="C5434">
        <v>48102290</v>
      </c>
      <c r="E5434">
        <v>44.6</v>
      </c>
      <c r="F5434">
        <v>12</v>
      </c>
      <c r="G5434">
        <v>5</v>
      </c>
      <c r="H5434" t="s">
        <v>19447</v>
      </c>
      <c r="I5434" t="s">
        <v>19447</v>
      </c>
      <c r="J5434">
        <v>14</v>
      </c>
      <c r="L5434" t="s">
        <v>2709</v>
      </c>
      <c r="M5434">
        <v>48102290</v>
      </c>
      <c r="O5434" t="s">
        <v>20095</v>
      </c>
      <c r="P5434" t="s">
        <v>19903</v>
      </c>
      <c r="Q5434" t="s">
        <v>19909</v>
      </c>
      <c r="R5434" t="s">
        <v>19447</v>
      </c>
      <c r="S5434" t="s">
        <v>19447</v>
      </c>
      <c r="T5434" t="s">
        <v>19911</v>
      </c>
    </row>
    <row r="5435" spans="2:20" x14ac:dyDescent="0.25">
      <c r="B5435" t="s">
        <v>2709</v>
      </c>
      <c r="C5435">
        <v>48102910</v>
      </c>
      <c r="E5435">
        <v>177.19</v>
      </c>
      <c r="F5435">
        <v>12</v>
      </c>
      <c r="G5435">
        <v>5</v>
      </c>
      <c r="H5435">
        <v>3.2</v>
      </c>
      <c r="I5435">
        <v>0.8</v>
      </c>
      <c r="J5435">
        <v>16</v>
      </c>
      <c r="L5435" t="s">
        <v>2709</v>
      </c>
      <c r="M5435">
        <v>48102910</v>
      </c>
      <c r="O5435" t="s">
        <v>19926</v>
      </c>
      <c r="P5435" t="s">
        <v>19903</v>
      </c>
      <c r="Q5435" t="s">
        <v>19909</v>
      </c>
      <c r="R5435" t="s">
        <v>20089</v>
      </c>
      <c r="S5435" t="s">
        <v>20090</v>
      </c>
      <c r="T5435" t="s">
        <v>19913</v>
      </c>
    </row>
    <row r="5436" spans="2:20" x14ac:dyDescent="0.25">
      <c r="B5436" t="s">
        <v>2709</v>
      </c>
      <c r="C5436">
        <v>48102990</v>
      </c>
      <c r="E5436">
        <v>177.19</v>
      </c>
      <c r="F5436">
        <v>12</v>
      </c>
      <c r="G5436">
        <v>5</v>
      </c>
      <c r="H5436">
        <v>3.2</v>
      </c>
      <c r="I5436">
        <v>0.8</v>
      </c>
      <c r="J5436">
        <v>14</v>
      </c>
      <c r="L5436" t="s">
        <v>2709</v>
      </c>
      <c r="M5436">
        <v>48102990</v>
      </c>
      <c r="O5436" t="s">
        <v>19926</v>
      </c>
      <c r="P5436" t="s">
        <v>19903</v>
      </c>
      <c r="Q5436" t="s">
        <v>19909</v>
      </c>
      <c r="R5436" t="s">
        <v>20089</v>
      </c>
      <c r="S5436" t="s">
        <v>20090</v>
      </c>
      <c r="T5436" t="s">
        <v>19911</v>
      </c>
    </row>
    <row r="5437" spans="2:20" x14ac:dyDescent="0.25">
      <c r="B5437" t="s">
        <v>2709</v>
      </c>
      <c r="C5437">
        <v>48103110</v>
      </c>
      <c r="E5437">
        <v>177.19</v>
      </c>
      <c r="F5437">
        <v>12</v>
      </c>
      <c r="G5437">
        <v>5</v>
      </c>
      <c r="H5437">
        <v>3.2</v>
      </c>
      <c r="I5437">
        <v>0.8</v>
      </c>
      <c r="J5437">
        <v>16</v>
      </c>
      <c r="L5437" t="s">
        <v>2709</v>
      </c>
      <c r="M5437">
        <v>48103110</v>
      </c>
      <c r="O5437" t="s">
        <v>19926</v>
      </c>
      <c r="P5437" t="s">
        <v>19903</v>
      </c>
      <c r="Q5437" t="s">
        <v>19909</v>
      </c>
      <c r="R5437" t="s">
        <v>20089</v>
      </c>
      <c r="S5437" t="s">
        <v>20090</v>
      </c>
      <c r="T5437" t="s">
        <v>19913</v>
      </c>
    </row>
    <row r="5438" spans="2:20" x14ac:dyDescent="0.25">
      <c r="B5438" t="s">
        <v>2709</v>
      </c>
      <c r="C5438">
        <v>48103190</v>
      </c>
      <c r="E5438">
        <v>177.19</v>
      </c>
      <c r="F5438">
        <v>12</v>
      </c>
      <c r="G5438">
        <v>5</v>
      </c>
      <c r="H5438">
        <v>3.2</v>
      </c>
      <c r="I5438">
        <v>0.8</v>
      </c>
      <c r="J5438">
        <v>14</v>
      </c>
      <c r="L5438" t="s">
        <v>2709</v>
      </c>
      <c r="M5438">
        <v>48103190</v>
      </c>
      <c r="O5438" t="s">
        <v>19926</v>
      </c>
      <c r="P5438" t="s">
        <v>19903</v>
      </c>
      <c r="Q5438" t="s">
        <v>19909</v>
      </c>
      <c r="R5438" t="s">
        <v>20089</v>
      </c>
      <c r="S5438" t="s">
        <v>20090</v>
      </c>
      <c r="T5438" t="s">
        <v>19911</v>
      </c>
    </row>
    <row r="5439" spans="2:20" x14ac:dyDescent="0.25">
      <c r="B5439" t="s">
        <v>2709</v>
      </c>
      <c r="C5439">
        <v>48103210</v>
      </c>
      <c r="E5439">
        <v>177.19</v>
      </c>
      <c r="F5439">
        <v>12</v>
      </c>
      <c r="G5439">
        <v>5</v>
      </c>
      <c r="H5439">
        <v>3.2</v>
      </c>
      <c r="I5439">
        <v>0.8</v>
      </c>
      <c r="J5439">
        <v>16</v>
      </c>
      <c r="L5439" t="s">
        <v>2709</v>
      </c>
      <c r="M5439">
        <v>48103210</v>
      </c>
      <c r="O5439" t="s">
        <v>19926</v>
      </c>
      <c r="P5439" t="s">
        <v>19903</v>
      </c>
      <c r="Q5439" t="s">
        <v>19909</v>
      </c>
      <c r="R5439" t="s">
        <v>20089</v>
      </c>
      <c r="S5439" t="s">
        <v>20090</v>
      </c>
      <c r="T5439" t="s">
        <v>19913</v>
      </c>
    </row>
    <row r="5440" spans="2:20" x14ac:dyDescent="0.25">
      <c r="B5440" t="s">
        <v>2709</v>
      </c>
      <c r="C5440">
        <v>48103290</v>
      </c>
      <c r="E5440">
        <v>177.19</v>
      </c>
      <c r="F5440">
        <v>12</v>
      </c>
      <c r="G5440">
        <v>5</v>
      </c>
      <c r="H5440">
        <v>3.2</v>
      </c>
      <c r="I5440">
        <v>0.8</v>
      </c>
      <c r="J5440">
        <v>14</v>
      </c>
      <c r="L5440" t="s">
        <v>2709</v>
      </c>
      <c r="M5440">
        <v>48103290</v>
      </c>
      <c r="O5440" t="s">
        <v>19926</v>
      </c>
      <c r="P5440" t="s">
        <v>19903</v>
      </c>
      <c r="Q5440" t="s">
        <v>19909</v>
      </c>
      <c r="R5440" t="s">
        <v>20089</v>
      </c>
      <c r="S5440" t="s">
        <v>20090</v>
      </c>
      <c r="T5440" t="s">
        <v>19911</v>
      </c>
    </row>
    <row r="5441" spans="2:20" x14ac:dyDescent="0.25">
      <c r="B5441" t="s">
        <v>2709</v>
      </c>
      <c r="C5441">
        <v>48103910</v>
      </c>
      <c r="E5441">
        <v>177.19</v>
      </c>
      <c r="F5441">
        <v>12</v>
      </c>
      <c r="G5441">
        <v>5</v>
      </c>
      <c r="H5441">
        <v>3.2</v>
      </c>
      <c r="I5441">
        <v>0.8</v>
      </c>
      <c r="J5441">
        <v>16</v>
      </c>
      <c r="L5441" t="s">
        <v>2709</v>
      </c>
      <c r="M5441">
        <v>48103910</v>
      </c>
      <c r="O5441" t="s">
        <v>19926</v>
      </c>
      <c r="P5441" t="s">
        <v>19903</v>
      </c>
      <c r="Q5441" t="s">
        <v>19909</v>
      </c>
      <c r="R5441" t="s">
        <v>20089</v>
      </c>
      <c r="S5441" t="s">
        <v>20090</v>
      </c>
      <c r="T5441" t="s">
        <v>19913</v>
      </c>
    </row>
    <row r="5442" spans="2:20" x14ac:dyDescent="0.25">
      <c r="B5442" t="s">
        <v>2709</v>
      </c>
      <c r="C5442">
        <v>48103990</v>
      </c>
      <c r="E5442">
        <v>177.19</v>
      </c>
      <c r="F5442">
        <v>12</v>
      </c>
      <c r="G5442">
        <v>5</v>
      </c>
      <c r="H5442">
        <v>3.2</v>
      </c>
      <c r="I5442">
        <v>0.8</v>
      </c>
      <c r="J5442">
        <v>14</v>
      </c>
      <c r="L5442" t="s">
        <v>2709</v>
      </c>
      <c r="M5442">
        <v>48103990</v>
      </c>
      <c r="O5442" t="s">
        <v>19926</v>
      </c>
      <c r="P5442" t="s">
        <v>19903</v>
      </c>
      <c r="Q5442" t="s">
        <v>19909</v>
      </c>
      <c r="R5442" t="s">
        <v>20089</v>
      </c>
      <c r="S5442" t="s">
        <v>20090</v>
      </c>
      <c r="T5442" t="s">
        <v>19911</v>
      </c>
    </row>
    <row r="5443" spans="2:20" x14ac:dyDescent="0.25">
      <c r="B5443" t="s">
        <v>2709</v>
      </c>
      <c r="C5443">
        <v>48109210</v>
      </c>
      <c r="E5443">
        <v>177.19</v>
      </c>
      <c r="F5443">
        <v>12</v>
      </c>
      <c r="G5443">
        <v>5</v>
      </c>
      <c r="H5443">
        <v>3.2</v>
      </c>
      <c r="I5443">
        <v>0.8</v>
      </c>
      <c r="J5443">
        <v>16</v>
      </c>
      <c r="L5443" t="s">
        <v>2709</v>
      </c>
      <c r="M5443">
        <v>48109210</v>
      </c>
      <c r="O5443" t="s">
        <v>19926</v>
      </c>
      <c r="P5443" t="s">
        <v>19903</v>
      </c>
      <c r="Q5443" t="s">
        <v>19909</v>
      </c>
      <c r="R5443" t="s">
        <v>20089</v>
      </c>
      <c r="S5443" t="s">
        <v>20090</v>
      </c>
      <c r="T5443" t="s">
        <v>19913</v>
      </c>
    </row>
    <row r="5444" spans="2:20" x14ac:dyDescent="0.25">
      <c r="B5444" t="s">
        <v>2709</v>
      </c>
      <c r="C5444">
        <v>48109290</v>
      </c>
      <c r="E5444">
        <v>177.19</v>
      </c>
      <c r="F5444">
        <v>12</v>
      </c>
      <c r="G5444">
        <v>5</v>
      </c>
      <c r="H5444">
        <v>3.2</v>
      </c>
      <c r="I5444">
        <v>0.8</v>
      </c>
      <c r="J5444">
        <v>14</v>
      </c>
      <c r="L5444" t="s">
        <v>2709</v>
      </c>
      <c r="M5444">
        <v>48109290</v>
      </c>
      <c r="O5444" t="s">
        <v>19926</v>
      </c>
      <c r="P5444" t="s">
        <v>19903</v>
      </c>
      <c r="Q5444" t="s">
        <v>19909</v>
      </c>
      <c r="R5444" t="s">
        <v>20089</v>
      </c>
      <c r="S5444" t="s">
        <v>20090</v>
      </c>
      <c r="T5444" t="s">
        <v>19911</v>
      </c>
    </row>
    <row r="5445" spans="2:20" x14ac:dyDescent="0.25">
      <c r="B5445" t="s">
        <v>2709</v>
      </c>
      <c r="C5445">
        <v>48109910</v>
      </c>
      <c r="E5445">
        <v>177.19</v>
      </c>
      <c r="F5445">
        <v>12</v>
      </c>
      <c r="G5445">
        <v>5</v>
      </c>
      <c r="H5445">
        <v>3.2</v>
      </c>
      <c r="I5445">
        <v>0.8</v>
      </c>
      <c r="J5445">
        <v>16</v>
      </c>
      <c r="L5445" t="s">
        <v>2709</v>
      </c>
      <c r="M5445">
        <v>48109910</v>
      </c>
      <c r="O5445" t="s">
        <v>19926</v>
      </c>
      <c r="P5445" t="s">
        <v>19903</v>
      </c>
      <c r="Q5445" t="s">
        <v>19909</v>
      </c>
      <c r="R5445" t="s">
        <v>20089</v>
      </c>
      <c r="S5445" t="s">
        <v>20090</v>
      </c>
      <c r="T5445" t="s">
        <v>19913</v>
      </c>
    </row>
    <row r="5446" spans="2:20" x14ac:dyDescent="0.25">
      <c r="B5446" t="s">
        <v>2709</v>
      </c>
      <c r="C5446">
        <v>48109990</v>
      </c>
      <c r="E5446">
        <v>177.19</v>
      </c>
      <c r="F5446">
        <v>12</v>
      </c>
      <c r="G5446">
        <v>5</v>
      </c>
      <c r="H5446">
        <v>3.2</v>
      </c>
      <c r="I5446">
        <v>0.8</v>
      </c>
      <c r="J5446">
        <v>14</v>
      </c>
      <c r="L5446" t="s">
        <v>2709</v>
      </c>
      <c r="M5446">
        <v>48109990</v>
      </c>
      <c r="O5446" t="s">
        <v>19926</v>
      </c>
      <c r="P5446" t="s">
        <v>19903</v>
      </c>
      <c r="Q5446" t="s">
        <v>19909</v>
      </c>
      <c r="R5446" t="s">
        <v>20089</v>
      </c>
      <c r="S5446" t="s">
        <v>20090</v>
      </c>
      <c r="T5446" t="s">
        <v>19911</v>
      </c>
    </row>
    <row r="5447" spans="2:20" x14ac:dyDescent="0.25">
      <c r="B5447" t="s">
        <v>2709</v>
      </c>
      <c r="C5447">
        <v>48111010</v>
      </c>
      <c r="E5447">
        <v>177.19</v>
      </c>
      <c r="F5447">
        <v>12</v>
      </c>
      <c r="G5447">
        <v>5</v>
      </c>
      <c r="H5447">
        <v>3.2</v>
      </c>
      <c r="I5447">
        <v>0.8</v>
      </c>
      <c r="J5447">
        <v>16</v>
      </c>
      <c r="L5447" t="s">
        <v>2709</v>
      </c>
      <c r="M5447">
        <v>48111010</v>
      </c>
      <c r="O5447" t="s">
        <v>19926</v>
      </c>
      <c r="P5447" t="s">
        <v>19903</v>
      </c>
      <c r="Q5447" t="s">
        <v>19909</v>
      </c>
      <c r="R5447" t="s">
        <v>20089</v>
      </c>
      <c r="S5447" t="s">
        <v>20090</v>
      </c>
      <c r="T5447" t="s">
        <v>19913</v>
      </c>
    </row>
    <row r="5448" spans="2:20" x14ac:dyDescent="0.25">
      <c r="B5448" t="s">
        <v>2709</v>
      </c>
      <c r="C5448">
        <v>48111090</v>
      </c>
      <c r="E5448">
        <v>177.19</v>
      </c>
      <c r="F5448">
        <v>12</v>
      </c>
      <c r="G5448">
        <v>5</v>
      </c>
      <c r="H5448">
        <v>3.2</v>
      </c>
      <c r="I5448">
        <v>0.8</v>
      </c>
      <c r="J5448">
        <v>12</v>
      </c>
      <c r="L5448" t="s">
        <v>2709</v>
      </c>
      <c r="M5448">
        <v>48111090</v>
      </c>
      <c r="O5448" t="s">
        <v>19926</v>
      </c>
      <c r="P5448" t="s">
        <v>19903</v>
      </c>
      <c r="Q5448" t="s">
        <v>19909</v>
      </c>
      <c r="R5448" t="s">
        <v>20089</v>
      </c>
      <c r="S5448" t="s">
        <v>20090</v>
      </c>
      <c r="T5448" t="s">
        <v>19903</v>
      </c>
    </row>
    <row r="5449" spans="2:20" x14ac:dyDescent="0.25">
      <c r="B5449" t="s">
        <v>2709</v>
      </c>
      <c r="C5449">
        <v>48114110</v>
      </c>
      <c r="E5449">
        <v>177.19</v>
      </c>
      <c r="F5449">
        <v>12</v>
      </c>
      <c r="G5449">
        <v>5</v>
      </c>
      <c r="H5449">
        <v>3.2</v>
      </c>
      <c r="I5449">
        <v>0.8</v>
      </c>
      <c r="J5449">
        <v>16</v>
      </c>
      <c r="L5449" t="s">
        <v>2709</v>
      </c>
      <c r="M5449">
        <v>48114110</v>
      </c>
      <c r="O5449" t="s">
        <v>19926</v>
      </c>
      <c r="P5449" t="s">
        <v>19903</v>
      </c>
      <c r="Q5449" t="s">
        <v>19909</v>
      </c>
      <c r="R5449" t="s">
        <v>20089</v>
      </c>
      <c r="S5449" t="s">
        <v>20090</v>
      </c>
      <c r="T5449" t="s">
        <v>19913</v>
      </c>
    </row>
    <row r="5450" spans="2:20" x14ac:dyDescent="0.25">
      <c r="B5450" t="s">
        <v>2709</v>
      </c>
      <c r="C5450">
        <v>48114190</v>
      </c>
      <c r="E5450">
        <v>177.19</v>
      </c>
      <c r="F5450">
        <v>12</v>
      </c>
      <c r="G5450">
        <v>5</v>
      </c>
      <c r="H5450">
        <v>3.2</v>
      </c>
      <c r="I5450">
        <v>0.8</v>
      </c>
      <c r="J5450">
        <v>12</v>
      </c>
      <c r="L5450" t="s">
        <v>2709</v>
      </c>
      <c r="M5450">
        <v>48114190</v>
      </c>
      <c r="O5450" t="s">
        <v>19926</v>
      </c>
      <c r="P5450" t="s">
        <v>19903</v>
      </c>
      <c r="Q5450" t="s">
        <v>19909</v>
      </c>
      <c r="R5450" t="s">
        <v>20089</v>
      </c>
      <c r="S5450" t="s">
        <v>20090</v>
      </c>
      <c r="T5450" t="s">
        <v>19903</v>
      </c>
    </row>
    <row r="5451" spans="2:20" x14ac:dyDescent="0.25">
      <c r="B5451" t="s">
        <v>2709</v>
      </c>
      <c r="C5451">
        <v>48114910</v>
      </c>
      <c r="E5451">
        <v>177.19</v>
      </c>
      <c r="F5451">
        <v>12</v>
      </c>
      <c r="G5451">
        <v>5</v>
      </c>
      <c r="H5451">
        <v>3.2</v>
      </c>
      <c r="I5451">
        <v>0.8</v>
      </c>
      <c r="J5451">
        <v>16</v>
      </c>
      <c r="L5451" t="s">
        <v>2709</v>
      </c>
      <c r="M5451">
        <v>48114910</v>
      </c>
      <c r="O5451" t="s">
        <v>19926</v>
      </c>
      <c r="P5451" t="s">
        <v>19903</v>
      </c>
      <c r="Q5451" t="s">
        <v>19909</v>
      </c>
      <c r="R5451" t="s">
        <v>20089</v>
      </c>
      <c r="S5451" t="s">
        <v>20090</v>
      </c>
      <c r="T5451" t="s">
        <v>19913</v>
      </c>
    </row>
    <row r="5452" spans="2:20" x14ac:dyDescent="0.25">
      <c r="B5452" t="s">
        <v>2709</v>
      </c>
      <c r="C5452">
        <v>48114990</v>
      </c>
      <c r="E5452">
        <v>177.19</v>
      </c>
      <c r="F5452">
        <v>12</v>
      </c>
      <c r="G5452">
        <v>5</v>
      </c>
      <c r="H5452">
        <v>3.2</v>
      </c>
      <c r="I5452">
        <v>0.8</v>
      </c>
      <c r="J5452">
        <v>12</v>
      </c>
      <c r="L5452" t="s">
        <v>2709</v>
      </c>
      <c r="M5452">
        <v>48114990</v>
      </c>
      <c r="O5452" t="s">
        <v>19926</v>
      </c>
      <c r="P5452" t="s">
        <v>19903</v>
      </c>
      <c r="Q5452" t="s">
        <v>19909</v>
      </c>
      <c r="R5452" t="s">
        <v>20089</v>
      </c>
      <c r="S5452" t="s">
        <v>20090</v>
      </c>
      <c r="T5452" t="s">
        <v>19903</v>
      </c>
    </row>
    <row r="5453" spans="2:20" x14ac:dyDescent="0.25">
      <c r="B5453" t="s">
        <v>2709</v>
      </c>
      <c r="C5453">
        <v>48115110</v>
      </c>
      <c r="E5453">
        <v>177.19</v>
      </c>
      <c r="F5453">
        <v>12</v>
      </c>
      <c r="G5453">
        <v>5</v>
      </c>
      <c r="H5453">
        <v>3.2</v>
      </c>
      <c r="I5453">
        <v>0.8</v>
      </c>
      <c r="J5453">
        <v>16</v>
      </c>
      <c r="L5453" t="s">
        <v>2709</v>
      </c>
      <c r="M5453">
        <v>48115110</v>
      </c>
      <c r="O5453" t="s">
        <v>19926</v>
      </c>
      <c r="P5453" t="s">
        <v>19903</v>
      </c>
      <c r="Q5453" t="s">
        <v>19909</v>
      </c>
      <c r="R5453" t="s">
        <v>20089</v>
      </c>
      <c r="S5453" t="s">
        <v>20090</v>
      </c>
      <c r="T5453" t="s">
        <v>19913</v>
      </c>
    </row>
    <row r="5454" spans="2:20" x14ac:dyDescent="0.25">
      <c r="B5454" t="s">
        <v>2709</v>
      </c>
      <c r="C5454">
        <v>48115121</v>
      </c>
      <c r="E5454">
        <v>177.19</v>
      </c>
      <c r="F5454">
        <v>12</v>
      </c>
      <c r="G5454">
        <v>5</v>
      </c>
      <c r="H5454">
        <v>3.2</v>
      </c>
      <c r="I5454">
        <v>0.8</v>
      </c>
      <c r="J5454">
        <v>12</v>
      </c>
      <c r="L5454" t="s">
        <v>2709</v>
      </c>
      <c r="M5454">
        <v>48115121</v>
      </c>
      <c r="O5454" t="s">
        <v>19926</v>
      </c>
      <c r="P5454" t="s">
        <v>19903</v>
      </c>
      <c r="Q5454" t="s">
        <v>19909</v>
      </c>
      <c r="R5454" t="s">
        <v>20089</v>
      </c>
      <c r="S5454" t="s">
        <v>20090</v>
      </c>
      <c r="T5454" t="s">
        <v>19903</v>
      </c>
    </row>
    <row r="5455" spans="2:20" x14ac:dyDescent="0.25">
      <c r="B5455" t="s">
        <v>2709</v>
      </c>
      <c r="C5455">
        <v>48115122</v>
      </c>
      <c r="E5455">
        <v>177.19</v>
      </c>
      <c r="F5455">
        <v>12</v>
      </c>
      <c r="G5455">
        <v>5</v>
      </c>
      <c r="H5455">
        <v>3.2</v>
      </c>
      <c r="I5455">
        <v>0.8</v>
      </c>
      <c r="J5455">
        <v>12</v>
      </c>
      <c r="L5455" t="s">
        <v>2709</v>
      </c>
      <c r="M5455">
        <v>48115122</v>
      </c>
      <c r="O5455" t="s">
        <v>19926</v>
      </c>
      <c r="P5455" t="s">
        <v>19903</v>
      </c>
      <c r="Q5455" t="s">
        <v>19909</v>
      </c>
      <c r="R5455" t="s">
        <v>20089</v>
      </c>
      <c r="S5455" t="s">
        <v>20090</v>
      </c>
      <c r="T5455" t="s">
        <v>19903</v>
      </c>
    </row>
    <row r="5456" spans="2:20" x14ac:dyDescent="0.25">
      <c r="B5456" t="s">
        <v>2709</v>
      </c>
      <c r="C5456">
        <v>48115123</v>
      </c>
      <c r="E5456">
        <v>177.19</v>
      </c>
      <c r="F5456">
        <v>12</v>
      </c>
      <c r="G5456">
        <v>5</v>
      </c>
      <c r="H5456">
        <v>3.2</v>
      </c>
      <c r="I5456">
        <v>0.8</v>
      </c>
      <c r="J5456">
        <v>2</v>
      </c>
      <c r="L5456" t="s">
        <v>2709</v>
      </c>
      <c r="M5456">
        <v>48115123</v>
      </c>
      <c r="O5456" t="s">
        <v>19926</v>
      </c>
      <c r="P5456" t="s">
        <v>19903</v>
      </c>
      <c r="Q5456" t="s">
        <v>19909</v>
      </c>
      <c r="R5456" t="s">
        <v>20089</v>
      </c>
      <c r="S5456" t="s">
        <v>20090</v>
      </c>
      <c r="T5456" t="s">
        <v>19901</v>
      </c>
    </row>
    <row r="5457" spans="2:20" x14ac:dyDescent="0.25">
      <c r="B5457" t="s">
        <v>2709</v>
      </c>
      <c r="C5457">
        <v>48115128</v>
      </c>
      <c r="E5457">
        <v>177.19</v>
      </c>
      <c r="F5457">
        <v>12</v>
      </c>
      <c r="G5457">
        <v>5</v>
      </c>
      <c r="H5457">
        <v>3.2</v>
      </c>
      <c r="I5457">
        <v>0.8</v>
      </c>
      <c r="J5457">
        <v>2</v>
      </c>
      <c r="L5457" t="s">
        <v>2709</v>
      </c>
      <c r="M5457">
        <v>48115128</v>
      </c>
      <c r="O5457" t="s">
        <v>19926</v>
      </c>
      <c r="P5457" t="s">
        <v>19903</v>
      </c>
      <c r="Q5457" t="s">
        <v>19909</v>
      </c>
      <c r="R5457" t="s">
        <v>20089</v>
      </c>
      <c r="S5457" t="s">
        <v>20090</v>
      </c>
      <c r="T5457" t="s">
        <v>19901</v>
      </c>
    </row>
    <row r="5458" spans="2:20" x14ac:dyDescent="0.25">
      <c r="B5458" t="s">
        <v>2709</v>
      </c>
      <c r="C5458">
        <v>48115129</v>
      </c>
      <c r="E5458">
        <v>177.19</v>
      </c>
      <c r="F5458">
        <v>12</v>
      </c>
      <c r="G5458">
        <v>5</v>
      </c>
      <c r="H5458">
        <v>3.2</v>
      </c>
      <c r="I5458">
        <v>0.8</v>
      </c>
      <c r="J5458">
        <v>12</v>
      </c>
      <c r="L5458" t="s">
        <v>2709</v>
      </c>
      <c r="M5458">
        <v>48115129</v>
      </c>
      <c r="O5458" t="s">
        <v>19926</v>
      </c>
      <c r="P5458" t="s">
        <v>19903</v>
      </c>
      <c r="Q5458" t="s">
        <v>19909</v>
      </c>
      <c r="R5458" t="s">
        <v>20089</v>
      </c>
      <c r="S5458" t="s">
        <v>20090</v>
      </c>
      <c r="T5458" t="s">
        <v>19903</v>
      </c>
    </row>
    <row r="5459" spans="2:20" x14ac:dyDescent="0.25">
      <c r="B5459" t="s">
        <v>2709</v>
      </c>
      <c r="C5459">
        <v>48115130</v>
      </c>
      <c r="E5459">
        <v>177.19</v>
      </c>
      <c r="F5459">
        <v>12</v>
      </c>
      <c r="G5459">
        <v>5</v>
      </c>
      <c r="H5459">
        <v>3.2</v>
      </c>
      <c r="I5459">
        <v>0.8</v>
      </c>
      <c r="J5459">
        <v>12</v>
      </c>
      <c r="L5459" t="s">
        <v>2709</v>
      </c>
      <c r="M5459">
        <v>48115130</v>
      </c>
      <c r="O5459" t="s">
        <v>19926</v>
      </c>
      <c r="P5459" t="s">
        <v>19903</v>
      </c>
      <c r="Q5459" t="s">
        <v>19909</v>
      </c>
      <c r="R5459" t="s">
        <v>20089</v>
      </c>
      <c r="S5459" t="s">
        <v>20090</v>
      </c>
      <c r="T5459" t="s">
        <v>19903</v>
      </c>
    </row>
    <row r="5460" spans="2:20" x14ac:dyDescent="0.25">
      <c r="B5460" t="s">
        <v>2709</v>
      </c>
      <c r="C5460">
        <v>48115910</v>
      </c>
      <c r="E5460">
        <v>177.19</v>
      </c>
      <c r="F5460">
        <v>12</v>
      </c>
      <c r="G5460">
        <v>5</v>
      </c>
      <c r="H5460">
        <v>3.2</v>
      </c>
      <c r="I5460">
        <v>0.8</v>
      </c>
      <c r="J5460">
        <v>16</v>
      </c>
      <c r="L5460" t="s">
        <v>2709</v>
      </c>
      <c r="M5460">
        <v>48115910</v>
      </c>
      <c r="O5460" t="s">
        <v>19926</v>
      </c>
      <c r="P5460" t="s">
        <v>19903</v>
      </c>
      <c r="Q5460" t="s">
        <v>19909</v>
      </c>
      <c r="R5460" t="s">
        <v>20089</v>
      </c>
      <c r="S5460" t="s">
        <v>20090</v>
      </c>
      <c r="T5460" t="s">
        <v>19913</v>
      </c>
    </row>
    <row r="5461" spans="2:20" x14ac:dyDescent="0.25">
      <c r="B5461" t="s">
        <v>2709</v>
      </c>
      <c r="C5461">
        <v>48115921</v>
      </c>
      <c r="E5461">
        <v>177.19</v>
      </c>
      <c r="F5461">
        <v>12</v>
      </c>
      <c r="G5461">
        <v>5</v>
      </c>
      <c r="H5461">
        <v>3.2</v>
      </c>
      <c r="I5461">
        <v>0.8</v>
      </c>
      <c r="J5461">
        <v>12</v>
      </c>
      <c r="L5461" t="s">
        <v>2709</v>
      </c>
      <c r="M5461">
        <v>48115921</v>
      </c>
      <c r="O5461" t="s">
        <v>19926</v>
      </c>
      <c r="P5461" t="s">
        <v>19903</v>
      </c>
      <c r="Q5461" t="s">
        <v>19909</v>
      </c>
      <c r="R5461" t="s">
        <v>20089</v>
      </c>
      <c r="S5461" t="s">
        <v>20090</v>
      </c>
      <c r="T5461" t="s">
        <v>19903</v>
      </c>
    </row>
    <row r="5462" spans="2:20" x14ac:dyDescent="0.25">
      <c r="B5462" t="s">
        <v>2709</v>
      </c>
      <c r="C5462">
        <v>48115922</v>
      </c>
      <c r="E5462">
        <v>177.19</v>
      </c>
      <c r="F5462">
        <v>12</v>
      </c>
      <c r="G5462">
        <v>5</v>
      </c>
      <c r="H5462">
        <v>3.2</v>
      </c>
      <c r="I5462">
        <v>0.8</v>
      </c>
      <c r="J5462">
        <v>12</v>
      </c>
      <c r="L5462" t="s">
        <v>2709</v>
      </c>
      <c r="M5462">
        <v>48115922</v>
      </c>
      <c r="O5462" t="s">
        <v>19926</v>
      </c>
      <c r="P5462" t="s">
        <v>19903</v>
      </c>
      <c r="Q5462" t="s">
        <v>19909</v>
      </c>
      <c r="R5462" t="s">
        <v>20089</v>
      </c>
      <c r="S5462" t="s">
        <v>20090</v>
      </c>
      <c r="T5462" t="s">
        <v>19903</v>
      </c>
    </row>
    <row r="5463" spans="2:20" x14ac:dyDescent="0.25">
      <c r="B5463" t="s">
        <v>2709</v>
      </c>
      <c r="C5463">
        <v>48115923</v>
      </c>
      <c r="E5463">
        <v>177.19</v>
      </c>
      <c r="F5463">
        <v>12</v>
      </c>
      <c r="G5463">
        <v>5</v>
      </c>
      <c r="H5463">
        <v>3.2</v>
      </c>
      <c r="I5463">
        <v>0.8</v>
      </c>
      <c r="J5463">
        <v>12</v>
      </c>
      <c r="L5463" t="s">
        <v>2709</v>
      </c>
      <c r="M5463">
        <v>48115923</v>
      </c>
      <c r="O5463" t="s">
        <v>19926</v>
      </c>
      <c r="P5463" t="s">
        <v>19903</v>
      </c>
      <c r="Q5463" t="s">
        <v>19909</v>
      </c>
      <c r="R5463" t="s">
        <v>20089</v>
      </c>
      <c r="S5463" t="s">
        <v>20090</v>
      </c>
      <c r="T5463" t="s">
        <v>19903</v>
      </c>
    </row>
    <row r="5464" spans="2:20" x14ac:dyDescent="0.25">
      <c r="B5464" t="s">
        <v>2709</v>
      </c>
      <c r="C5464">
        <v>48115929</v>
      </c>
      <c r="E5464">
        <v>177.19</v>
      </c>
      <c r="F5464">
        <v>12</v>
      </c>
      <c r="G5464">
        <v>5</v>
      </c>
      <c r="H5464">
        <v>3.2</v>
      </c>
      <c r="I5464">
        <v>0.8</v>
      </c>
      <c r="J5464">
        <v>12</v>
      </c>
      <c r="L5464" t="s">
        <v>2709</v>
      </c>
      <c r="M5464">
        <v>48115929</v>
      </c>
      <c r="O5464" t="s">
        <v>19926</v>
      </c>
      <c r="P5464" t="s">
        <v>19903</v>
      </c>
      <c r="Q5464" t="s">
        <v>19909</v>
      </c>
      <c r="R5464" t="s">
        <v>20089</v>
      </c>
      <c r="S5464" t="s">
        <v>20090</v>
      </c>
      <c r="T5464" t="s">
        <v>19903</v>
      </c>
    </row>
    <row r="5465" spans="2:20" x14ac:dyDescent="0.25">
      <c r="B5465" t="s">
        <v>2709</v>
      </c>
      <c r="C5465">
        <v>48115930</v>
      </c>
      <c r="E5465">
        <v>177.19</v>
      </c>
      <c r="F5465">
        <v>12</v>
      </c>
      <c r="G5465">
        <v>5</v>
      </c>
      <c r="H5465">
        <v>3.2</v>
      </c>
      <c r="I5465">
        <v>0.8</v>
      </c>
      <c r="J5465">
        <v>12</v>
      </c>
      <c r="L5465" t="s">
        <v>2709</v>
      </c>
      <c r="M5465">
        <v>48115930</v>
      </c>
      <c r="O5465" t="s">
        <v>19926</v>
      </c>
      <c r="P5465" t="s">
        <v>19903</v>
      </c>
      <c r="Q5465" t="s">
        <v>19909</v>
      </c>
      <c r="R5465" t="s">
        <v>20089</v>
      </c>
      <c r="S5465" t="s">
        <v>20090</v>
      </c>
      <c r="T5465" t="s">
        <v>19903</v>
      </c>
    </row>
    <row r="5466" spans="2:20" x14ac:dyDescent="0.25">
      <c r="B5466" t="s">
        <v>2709</v>
      </c>
      <c r="C5466">
        <v>48116010</v>
      </c>
      <c r="E5466">
        <v>177.19</v>
      </c>
      <c r="F5466">
        <v>12</v>
      </c>
      <c r="G5466">
        <v>5</v>
      </c>
      <c r="H5466">
        <v>3.2</v>
      </c>
      <c r="I5466">
        <v>0.8</v>
      </c>
      <c r="J5466">
        <v>16</v>
      </c>
      <c r="L5466" t="s">
        <v>2709</v>
      </c>
      <c r="M5466">
        <v>48116010</v>
      </c>
      <c r="O5466" t="s">
        <v>19926</v>
      </c>
      <c r="P5466" t="s">
        <v>19903</v>
      </c>
      <c r="Q5466" t="s">
        <v>19909</v>
      </c>
      <c r="R5466" t="s">
        <v>20089</v>
      </c>
      <c r="S5466" t="s">
        <v>20090</v>
      </c>
      <c r="T5466" t="s">
        <v>19913</v>
      </c>
    </row>
    <row r="5467" spans="2:20" x14ac:dyDescent="0.25">
      <c r="B5467" t="s">
        <v>2709</v>
      </c>
      <c r="C5467">
        <v>48116090</v>
      </c>
      <c r="E5467">
        <v>177.19</v>
      </c>
      <c r="F5467">
        <v>12</v>
      </c>
      <c r="G5467">
        <v>5</v>
      </c>
      <c r="H5467">
        <v>3.2</v>
      </c>
      <c r="I5467">
        <v>0.8</v>
      </c>
      <c r="J5467">
        <v>12</v>
      </c>
      <c r="L5467" t="s">
        <v>2709</v>
      </c>
      <c r="M5467">
        <v>48116090</v>
      </c>
      <c r="O5467" t="s">
        <v>19926</v>
      </c>
      <c r="P5467" t="s">
        <v>19903</v>
      </c>
      <c r="Q5467" t="s">
        <v>19909</v>
      </c>
      <c r="R5467" t="s">
        <v>20089</v>
      </c>
      <c r="S5467" t="s">
        <v>20090</v>
      </c>
      <c r="T5467" t="s">
        <v>19903</v>
      </c>
    </row>
    <row r="5468" spans="2:20" x14ac:dyDescent="0.25">
      <c r="B5468" t="s">
        <v>2709</v>
      </c>
      <c r="C5468">
        <v>48119010</v>
      </c>
      <c r="E5468">
        <v>177.19</v>
      </c>
      <c r="F5468">
        <v>12</v>
      </c>
      <c r="G5468">
        <v>5</v>
      </c>
      <c r="H5468">
        <v>3.2</v>
      </c>
      <c r="I5468">
        <v>0.8</v>
      </c>
      <c r="J5468">
        <v>16</v>
      </c>
      <c r="L5468" t="s">
        <v>2709</v>
      </c>
      <c r="M5468">
        <v>48119010</v>
      </c>
      <c r="O5468" t="s">
        <v>19926</v>
      </c>
      <c r="P5468" t="s">
        <v>19903</v>
      </c>
      <c r="Q5468" t="s">
        <v>19909</v>
      </c>
      <c r="R5468" t="s">
        <v>20089</v>
      </c>
      <c r="S5468" t="s">
        <v>20090</v>
      </c>
      <c r="T5468" t="s">
        <v>19913</v>
      </c>
    </row>
    <row r="5469" spans="2:20" x14ac:dyDescent="0.25">
      <c r="B5469" t="s">
        <v>2709</v>
      </c>
      <c r="C5469">
        <v>48119090</v>
      </c>
      <c r="E5469">
        <v>45.5</v>
      </c>
      <c r="F5469">
        <v>12</v>
      </c>
      <c r="G5469">
        <v>5</v>
      </c>
      <c r="H5469">
        <v>3.2</v>
      </c>
      <c r="I5469">
        <v>0.8</v>
      </c>
      <c r="J5469">
        <v>12</v>
      </c>
      <c r="L5469" t="s">
        <v>2709</v>
      </c>
      <c r="M5469">
        <v>48119090</v>
      </c>
      <c r="O5469" t="s">
        <v>20096</v>
      </c>
      <c r="P5469" t="s">
        <v>19903</v>
      </c>
      <c r="Q5469" t="s">
        <v>19909</v>
      </c>
      <c r="R5469" t="s">
        <v>20089</v>
      </c>
      <c r="S5469" t="s">
        <v>20090</v>
      </c>
      <c r="T5469" t="s">
        <v>19903</v>
      </c>
    </row>
    <row r="5470" spans="2:20" x14ac:dyDescent="0.25">
      <c r="B5470" t="s">
        <v>2709</v>
      </c>
      <c r="C5470">
        <v>48120000</v>
      </c>
      <c r="E5470">
        <v>177.19</v>
      </c>
      <c r="F5470">
        <v>12</v>
      </c>
      <c r="G5470">
        <v>0</v>
      </c>
      <c r="H5470">
        <v>3.2</v>
      </c>
      <c r="I5470">
        <v>0.8</v>
      </c>
      <c r="J5470">
        <v>12</v>
      </c>
      <c r="L5470" t="s">
        <v>2709</v>
      </c>
      <c r="M5470">
        <v>48120000</v>
      </c>
      <c r="O5470" t="s">
        <v>19926</v>
      </c>
      <c r="P5470" t="s">
        <v>19903</v>
      </c>
      <c r="Q5470" t="s">
        <v>19900</v>
      </c>
      <c r="R5470" t="s">
        <v>20089</v>
      </c>
      <c r="S5470" t="s">
        <v>20090</v>
      </c>
      <c r="T5470" t="s">
        <v>19903</v>
      </c>
    </row>
    <row r="5471" spans="2:20" x14ac:dyDescent="0.25">
      <c r="B5471" t="s">
        <v>2709</v>
      </c>
      <c r="C5471">
        <v>48131000</v>
      </c>
      <c r="E5471">
        <v>177.19</v>
      </c>
      <c r="F5471">
        <v>12</v>
      </c>
      <c r="G5471">
        <v>45</v>
      </c>
      <c r="H5471">
        <v>3.2</v>
      </c>
      <c r="I5471">
        <v>0.8</v>
      </c>
      <c r="J5471">
        <v>12</v>
      </c>
      <c r="L5471" t="s">
        <v>2709</v>
      </c>
      <c r="M5471">
        <v>48131000</v>
      </c>
      <c r="O5471" t="s">
        <v>19926</v>
      </c>
      <c r="P5471" t="s">
        <v>19903</v>
      </c>
      <c r="Q5471" t="s">
        <v>19999</v>
      </c>
      <c r="R5471" t="s">
        <v>20089</v>
      </c>
      <c r="S5471" t="s">
        <v>20090</v>
      </c>
      <c r="T5471" t="s">
        <v>19903</v>
      </c>
    </row>
    <row r="5472" spans="2:20" x14ac:dyDescent="0.25">
      <c r="B5472" t="s">
        <v>2709</v>
      </c>
      <c r="C5472">
        <v>48132000</v>
      </c>
      <c r="E5472">
        <v>177.19</v>
      </c>
      <c r="F5472">
        <v>12</v>
      </c>
      <c r="G5472">
        <v>45</v>
      </c>
      <c r="H5472">
        <v>3.2</v>
      </c>
      <c r="I5472">
        <v>0.8</v>
      </c>
      <c r="J5472">
        <v>12</v>
      </c>
      <c r="L5472" t="s">
        <v>2709</v>
      </c>
      <c r="M5472">
        <v>48132000</v>
      </c>
      <c r="O5472" t="s">
        <v>19926</v>
      </c>
      <c r="P5472" t="s">
        <v>19903</v>
      </c>
      <c r="Q5472" t="s">
        <v>19999</v>
      </c>
      <c r="R5472" t="s">
        <v>20089</v>
      </c>
      <c r="S5472" t="s">
        <v>20090</v>
      </c>
      <c r="T5472" t="s">
        <v>19903</v>
      </c>
    </row>
    <row r="5473" spans="2:20" x14ac:dyDescent="0.25">
      <c r="B5473" t="s">
        <v>2709</v>
      </c>
      <c r="C5473">
        <v>48139000</v>
      </c>
      <c r="E5473">
        <v>177.19</v>
      </c>
      <c r="F5473">
        <v>12</v>
      </c>
      <c r="G5473">
        <v>45</v>
      </c>
      <c r="H5473">
        <v>3.2</v>
      </c>
      <c r="I5473">
        <v>0.8</v>
      </c>
      <c r="J5473">
        <v>12</v>
      </c>
      <c r="L5473" t="s">
        <v>2709</v>
      </c>
      <c r="M5473">
        <v>48139000</v>
      </c>
      <c r="O5473" t="s">
        <v>19926</v>
      </c>
      <c r="P5473" t="s">
        <v>19903</v>
      </c>
      <c r="Q5473" t="s">
        <v>19999</v>
      </c>
      <c r="R5473" t="s">
        <v>20089</v>
      </c>
      <c r="S5473" t="s">
        <v>20090</v>
      </c>
      <c r="T5473" t="s">
        <v>19903</v>
      </c>
    </row>
    <row r="5474" spans="2:20" x14ac:dyDescent="0.25">
      <c r="B5474" t="s">
        <v>2709</v>
      </c>
      <c r="C5474">
        <v>48142000</v>
      </c>
      <c r="E5474">
        <v>79</v>
      </c>
      <c r="F5474">
        <v>12</v>
      </c>
      <c r="G5474">
        <v>15</v>
      </c>
      <c r="H5474">
        <v>3.2</v>
      </c>
      <c r="I5474">
        <v>0.8</v>
      </c>
      <c r="J5474">
        <v>14</v>
      </c>
      <c r="L5474" t="s">
        <v>2709</v>
      </c>
      <c r="M5474">
        <v>48142000</v>
      </c>
      <c r="O5474" t="s">
        <v>20097</v>
      </c>
      <c r="P5474" t="s">
        <v>19903</v>
      </c>
      <c r="Q5474" t="s">
        <v>19983</v>
      </c>
      <c r="R5474" t="s">
        <v>20089</v>
      </c>
      <c r="S5474" t="s">
        <v>20090</v>
      </c>
      <c r="T5474" t="s">
        <v>19911</v>
      </c>
    </row>
    <row r="5475" spans="2:20" x14ac:dyDescent="0.25">
      <c r="B5475" t="s">
        <v>2709</v>
      </c>
      <c r="C5475">
        <v>48149000</v>
      </c>
      <c r="E5475">
        <v>79</v>
      </c>
      <c r="F5475">
        <v>12</v>
      </c>
      <c r="G5475">
        <v>20</v>
      </c>
      <c r="H5475">
        <v>3.2</v>
      </c>
      <c r="I5475">
        <v>0.8</v>
      </c>
      <c r="J5475">
        <v>14</v>
      </c>
      <c r="L5475" t="s">
        <v>2709</v>
      </c>
      <c r="M5475">
        <v>48149000</v>
      </c>
      <c r="O5475" t="s">
        <v>20097</v>
      </c>
      <c r="P5475" t="s">
        <v>19903</v>
      </c>
      <c r="Q5475" t="s">
        <v>19934</v>
      </c>
      <c r="R5475" t="s">
        <v>20089</v>
      </c>
      <c r="S5475" t="s">
        <v>20090</v>
      </c>
      <c r="T5475" t="s">
        <v>19911</v>
      </c>
    </row>
    <row r="5476" spans="2:20" x14ac:dyDescent="0.25">
      <c r="B5476" t="s">
        <v>2709</v>
      </c>
      <c r="C5476">
        <v>48162000</v>
      </c>
      <c r="E5476">
        <v>69.11</v>
      </c>
      <c r="F5476">
        <v>12</v>
      </c>
      <c r="G5476">
        <v>5</v>
      </c>
      <c r="H5476">
        <v>3.2</v>
      </c>
      <c r="I5476">
        <v>0.8</v>
      </c>
      <c r="J5476">
        <v>16</v>
      </c>
      <c r="L5476" t="s">
        <v>2709</v>
      </c>
      <c r="M5476">
        <v>48162000</v>
      </c>
      <c r="O5476" t="s">
        <v>20093</v>
      </c>
      <c r="P5476" t="s">
        <v>19903</v>
      </c>
      <c r="Q5476" t="s">
        <v>19909</v>
      </c>
      <c r="R5476" t="s">
        <v>20089</v>
      </c>
      <c r="S5476" t="s">
        <v>20090</v>
      </c>
      <c r="T5476" t="s">
        <v>19913</v>
      </c>
    </row>
    <row r="5477" spans="2:20" x14ac:dyDescent="0.25">
      <c r="B5477" t="s">
        <v>2709</v>
      </c>
      <c r="C5477">
        <v>48169010</v>
      </c>
      <c r="E5477">
        <v>112.46</v>
      </c>
      <c r="F5477">
        <v>12</v>
      </c>
      <c r="G5477">
        <v>15</v>
      </c>
      <c r="H5477">
        <v>3.2</v>
      </c>
      <c r="I5477">
        <v>0.8</v>
      </c>
      <c r="J5477">
        <v>16</v>
      </c>
      <c r="L5477" t="s">
        <v>2709</v>
      </c>
      <c r="M5477">
        <v>48169010</v>
      </c>
      <c r="O5477" t="s">
        <v>20055</v>
      </c>
      <c r="P5477" t="s">
        <v>19903</v>
      </c>
      <c r="Q5477" t="s">
        <v>19983</v>
      </c>
      <c r="R5477" t="s">
        <v>20089</v>
      </c>
      <c r="S5477" t="s">
        <v>20090</v>
      </c>
      <c r="T5477" t="s">
        <v>19913</v>
      </c>
    </row>
    <row r="5478" spans="2:20" x14ac:dyDescent="0.25">
      <c r="B5478" t="s">
        <v>2709</v>
      </c>
      <c r="C5478">
        <v>48169090</v>
      </c>
      <c r="E5478">
        <v>64.599999999999994</v>
      </c>
      <c r="F5478">
        <v>12</v>
      </c>
      <c r="G5478">
        <v>15</v>
      </c>
      <c r="H5478">
        <v>3.2</v>
      </c>
      <c r="I5478">
        <v>0.8</v>
      </c>
      <c r="J5478">
        <v>14</v>
      </c>
      <c r="L5478" t="s">
        <v>2709</v>
      </c>
      <c r="M5478">
        <v>48169090</v>
      </c>
      <c r="O5478" t="s">
        <v>20094</v>
      </c>
      <c r="P5478" t="s">
        <v>19903</v>
      </c>
      <c r="Q5478" t="s">
        <v>19983</v>
      </c>
      <c r="R5478" t="s">
        <v>20089</v>
      </c>
      <c r="S5478" t="s">
        <v>20090</v>
      </c>
      <c r="T5478" t="s">
        <v>19911</v>
      </c>
    </row>
    <row r="5479" spans="2:20" x14ac:dyDescent="0.25">
      <c r="B5479" t="s">
        <v>2709</v>
      </c>
      <c r="C5479">
        <v>48171000</v>
      </c>
      <c r="E5479">
        <v>52.36</v>
      </c>
      <c r="F5479">
        <v>12</v>
      </c>
      <c r="G5479">
        <v>5</v>
      </c>
      <c r="H5479">
        <v>3.2</v>
      </c>
      <c r="I5479">
        <v>0.8</v>
      </c>
      <c r="J5479">
        <v>16</v>
      </c>
      <c r="L5479" t="s">
        <v>2709</v>
      </c>
      <c r="M5479">
        <v>48171000</v>
      </c>
      <c r="O5479" t="s">
        <v>20098</v>
      </c>
      <c r="P5479" t="s">
        <v>19903</v>
      </c>
      <c r="Q5479" t="s">
        <v>19909</v>
      </c>
      <c r="R5479" t="s">
        <v>20089</v>
      </c>
      <c r="S5479" t="s">
        <v>20090</v>
      </c>
      <c r="T5479" t="s">
        <v>19913</v>
      </c>
    </row>
    <row r="5480" spans="2:20" x14ac:dyDescent="0.25">
      <c r="B5480" t="s">
        <v>2709</v>
      </c>
      <c r="C5480">
        <v>48172000</v>
      </c>
      <c r="E5480">
        <v>52.36</v>
      </c>
      <c r="F5480">
        <v>12</v>
      </c>
      <c r="G5480">
        <v>5</v>
      </c>
      <c r="H5480">
        <v>3.2</v>
      </c>
      <c r="I5480">
        <v>0.8</v>
      </c>
      <c r="J5480">
        <v>16</v>
      </c>
      <c r="L5480" t="s">
        <v>2709</v>
      </c>
      <c r="M5480">
        <v>48172000</v>
      </c>
      <c r="O5480" t="s">
        <v>20098</v>
      </c>
      <c r="P5480" t="s">
        <v>19903</v>
      </c>
      <c r="Q5480" t="s">
        <v>19909</v>
      </c>
      <c r="R5480" t="s">
        <v>20089</v>
      </c>
      <c r="S5480" t="s">
        <v>20090</v>
      </c>
      <c r="T5480" t="s">
        <v>19913</v>
      </c>
    </row>
    <row r="5481" spans="2:20" x14ac:dyDescent="0.25">
      <c r="B5481" t="s">
        <v>2709</v>
      </c>
      <c r="C5481">
        <v>48173000</v>
      </c>
      <c r="E5481">
        <v>52.36</v>
      </c>
      <c r="F5481">
        <v>12</v>
      </c>
      <c r="G5481">
        <v>5</v>
      </c>
      <c r="H5481">
        <v>3.2</v>
      </c>
      <c r="I5481">
        <v>0.8</v>
      </c>
      <c r="J5481">
        <v>16</v>
      </c>
      <c r="L5481" t="s">
        <v>2709</v>
      </c>
      <c r="M5481">
        <v>48173000</v>
      </c>
      <c r="O5481" t="s">
        <v>20098</v>
      </c>
      <c r="P5481" t="s">
        <v>19903</v>
      </c>
      <c r="Q5481" t="s">
        <v>19909</v>
      </c>
      <c r="R5481" t="s">
        <v>20089</v>
      </c>
      <c r="S5481" t="s">
        <v>20090</v>
      </c>
      <c r="T5481" t="s">
        <v>19913</v>
      </c>
    </row>
    <row r="5482" spans="2:20" x14ac:dyDescent="0.25">
      <c r="B5482" t="s">
        <v>2709</v>
      </c>
      <c r="C5482">
        <v>48181000</v>
      </c>
      <c r="E5482">
        <v>177.19</v>
      </c>
      <c r="F5482">
        <v>12</v>
      </c>
      <c r="G5482">
        <v>0</v>
      </c>
      <c r="H5482" t="s">
        <v>19447</v>
      </c>
      <c r="I5482" t="s">
        <v>19447</v>
      </c>
      <c r="J5482">
        <v>16</v>
      </c>
      <c r="L5482" t="s">
        <v>2709</v>
      </c>
      <c r="M5482">
        <v>48181000</v>
      </c>
      <c r="O5482" t="s">
        <v>19926</v>
      </c>
      <c r="P5482" t="s">
        <v>19903</v>
      </c>
      <c r="Q5482" t="s">
        <v>19900</v>
      </c>
      <c r="R5482" t="s">
        <v>19447</v>
      </c>
      <c r="S5482" t="s">
        <v>19447</v>
      </c>
      <c r="T5482" t="s">
        <v>19913</v>
      </c>
    </row>
    <row r="5483" spans="2:20" x14ac:dyDescent="0.25">
      <c r="B5483" t="s">
        <v>2709</v>
      </c>
      <c r="C5483">
        <v>48182000</v>
      </c>
      <c r="E5483">
        <v>177.19</v>
      </c>
      <c r="F5483">
        <v>12</v>
      </c>
      <c r="G5483">
        <v>5</v>
      </c>
      <c r="H5483">
        <v>3.2</v>
      </c>
      <c r="I5483">
        <v>0.8</v>
      </c>
      <c r="J5483">
        <v>16</v>
      </c>
      <c r="L5483" t="s">
        <v>2709</v>
      </c>
      <c r="M5483">
        <v>48182000</v>
      </c>
      <c r="O5483" t="s">
        <v>19926</v>
      </c>
      <c r="P5483" t="s">
        <v>19903</v>
      </c>
      <c r="Q5483" t="s">
        <v>19909</v>
      </c>
      <c r="R5483" t="s">
        <v>20089</v>
      </c>
      <c r="S5483" t="s">
        <v>20090</v>
      </c>
      <c r="T5483" t="s">
        <v>19913</v>
      </c>
    </row>
    <row r="5484" spans="2:20" x14ac:dyDescent="0.25">
      <c r="B5484" t="s">
        <v>2709</v>
      </c>
      <c r="C5484">
        <v>48183000</v>
      </c>
      <c r="E5484">
        <v>177.19</v>
      </c>
      <c r="F5484">
        <v>12</v>
      </c>
      <c r="G5484">
        <v>5</v>
      </c>
      <c r="H5484">
        <v>3.2</v>
      </c>
      <c r="I5484">
        <v>0.8</v>
      </c>
      <c r="J5484">
        <v>16</v>
      </c>
      <c r="L5484" t="s">
        <v>2709</v>
      </c>
      <c r="M5484">
        <v>48183000</v>
      </c>
      <c r="O5484" t="s">
        <v>19926</v>
      </c>
      <c r="P5484" t="s">
        <v>19903</v>
      </c>
      <c r="Q5484" t="s">
        <v>19909</v>
      </c>
      <c r="R5484" t="s">
        <v>20089</v>
      </c>
      <c r="S5484" t="s">
        <v>20090</v>
      </c>
      <c r="T5484" t="s">
        <v>19913</v>
      </c>
    </row>
    <row r="5485" spans="2:20" x14ac:dyDescent="0.25">
      <c r="B5485" t="s">
        <v>2709</v>
      </c>
      <c r="C5485">
        <v>48185000</v>
      </c>
      <c r="E5485">
        <v>177.19</v>
      </c>
      <c r="F5485">
        <v>12</v>
      </c>
      <c r="G5485">
        <v>5</v>
      </c>
      <c r="H5485">
        <v>3.2</v>
      </c>
      <c r="I5485">
        <v>0.8</v>
      </c>
      <c r="J5485">
        <v>16</v>
      </c>
      <c r="L5485" t="s">
        <v>2709</v>
      </c>
      <c r="M5485">
        <v>48185000</v>
      </c>
      <c r="O5485" t="s">
        <v>19926</v>
      </c>
      <c r="P5485" t="s">
        <v>19903</v>
      </c>
      <c r="Q5485" t="s">
        <v>19909</v>
      </c>
      <c r="R5485" t="s">
        <v>20089</v>
      </c>
      <c r="S5485" t="s">
        <v>20090</v>
      </c>
      <c r="T5485" t="s">
        <v>19913</v>
      </c>
    </row>
    <row r="5486" spans="2:20" x14ac:dyDescent="0.25">
      <c r="B5486" t="s">
        <v>2709</v>
      </c>
      <c r="C5486">
        <v>48189010</v>
      </c>
      <c r="E5486">
        <v>177.19</v>
      </c>
      <c r="F5486">
        <v>12</v>
      </c>
      <c r="G5486">
        <v>5</v>
      </c>
      <c r="H5486">
        <v>3.2</v>
      </c>
      <c r="I5486">
        <v>0.8</v>
      </c>
      <c r="J5486">
        <v>16</v>
      </c>
      <c r="L5486" t="s">
        <v>2709</v>
      </c>
      <c r="M5486">
        <v>48189010</v>
      </c>
      <c r="O5486" t="s">
        <v>19926</v>
      </c>
      <c r="P5486" t="s">
        <v>19903</v>
      </c>
      <c r="Q5486" t="s">
        <v>19909</v>
      </c>
      <c r="R5486" t="s">
        <v>20089</v>
      </c>
      <c r="S5486" t="s">
        <v>20090</v>
      </c>
      <c r="T5486" t="s">
        <v>19913</v>
      </c>
    </row>
    <row r="5487" spans="2:20" x14ac:dyDescent="0.25">
      <c r="B5487" t="s">
        <v>2709</v>
      </c>
      <c r="C5487">
        <v>48189090</v>
      </c>
      <c r="E5487">
        <v>177.19</v>
      </c>
      <c r="F5487">
        <v>12</v>
      </c>
      <c r="G5487">
        <v>5</v>
      </c>
      <c r="H5487">
        <v>3.2</v>
      </c>
      <c r="I5487">
        <v>0.8</v>
      </c>
      <c r="J5487">
        <v>16</v>
      </c>
      <c r="L5487" t="s">
        <v>2709</v>
      </c>
      <c r="M5487">
        <v>48189090</v>
      </c>
      <c r="O5487" t="s">
        <v>19926</v>
      </c>
      <c r="P5487" t="s">
        <v>19903</v>
      </c>
      <c r="Q5487" t="s">
        <v>19909</v>
      </c>
      <c r="R5487" t="s">
        <v>20089</v>
      </c>
      <c r="S5487" t="s">
        <v>20090</v>
      </c>
      <c r="T5487" t="s">
        <v>19913</v>
      </c>
    </row>
    <row r="5488" spans="2:20" x14ac:dyDescent="0.25">
      <c r="B5488" t="s">
        <v>2709</v>
      </c>
      <c r="C5488">
        <v>48191000</v>
      </c>
      <c r="E5488">
        <v>177.19</v>
      </c>
      <c r="F5488">
        <v>12</v>
      </c>
      <c r="G5488">
        <v>15</v>
      </c>
      <c r="H5488">
        <v>3.2</v>
      </c>
      <c r="I5488">
        <v>0.8</v>
      </c>
      <c r="J5488">
        <v>16</v>
      </c>
      <c r="L5488" t="s">
        <v>2709</v>
      </c>
      <c r="M5488">
        <v>48191000</v>
      </c>
      <c r="O5488" t="s">
        <v>19926</v>
      </c>
      <c r="P5488" t="s">
        <v>19903</v>
      </c>
      <c r="Q5488" t="s">
        <v>19983</v>
      </c>
      <c r="R5488" t="s">
        <v>20089</v>
      </c>
      <c r="S5488" t="s">
        <v>20090</v>
      </c>
      <c r="T5488" t="s">
        <v>19913</v>
      </c>
    </row>
    <row r="5489" spans="2:20" x14ac:dyDescent="0.25">
      <c r="B5489" t="s">
        <v>2709</v>
      </c>
      <c r="C5489">
        <v>48192000</v>
      </c>
      <c r="E5489">
        <v>177.19</v>
      </c>
      <c r="F5489">
        <v>12</v>
      </c>
      <c r="G5489">
        <v>15</v>
      </c>
      <c r="H5489">
        <v>3.2</v>
      </c>
      <c r="I5489">
        <v>0.8</v>
      </c>
      <c r="J5489">
        <v>16</v>
      </c>
      <c r="L5489" t="s">
        <v>2709</v>
      </c>
      <c r="M5489">
        <v>48192000</v>
      </c>
      <c r="O5489" t="s">
        <v>19926</v>
      </c>
      <c r="P5489" t="s">
        <v>19903</v>
      </c>
      <c r="Q5489" t="s">
        <v>19983</v>
      </c>
      <c r="R5489" t="s">
        <v>20089</v>
      </c>
      <c r="S5489" t="s">
        <v>20090</v>
      </c>
      <c r="T5489" t="s">
        <v>19913</v>
      </c>
    </row>
    <row r="5490" spans="2:20" x14ac:dyDescent="0.25">
      <c r="B5490" t="s">
        <v>2709</v>
      </c>
      <c r="C5490">
        <v>48193000</v>
      </c>
      <c r="E5490">
        <v>177.19</v>
      </c>
      <c r="F5490">
        <v>12</v>
      </c>
      <c r="G5490">
        <v>15</v>
      </c>
      <c r="H5490">
        <v>3.2</v>
      </c>
      <c r="I5490">
        <v>0.8</v>
      </c>
      <c r="J5490">
        <v>16</v>
      </c>
      <c r="L5490" t="s">
        <v>2709</v>
      </c>
      <c r="M5490">
        <v>48193000</v>
      </c>
      <c r="O5490" t="s">
        <v>19926</v>
      </c>
      <c r="P5490" t="s">
        <v>19903</v>
      </c>
      <c r="Q5490" t="s">
        <v>19983</v>
      </c>
      <c r="R5490" t="s">
        <v>20089</v>
      </c>
      <c r="S5490" t="s">
        <v>20090</v>
      </c>
      <c r="T5490" t="s">
        <v>19913</v>
      </c>
    </row>
    <row r="5491" spans="2:20" x14ac:dyDescent="0.25">
      <c r="B5491" t="s">
        <v>2709</v>
      </c>
      <c r="C5491">
        <v>48194000</v>
      </c>
      <c r="E5491">
        <v>177.19</v>
      </c>
      <c r="F5491">
        <v>12</v>
      </c>
      <c r="G5491">
        <v>15</v>
      </c>
      <c r="H5491">
        <v>3.2</v>
      </c>
      <c r="I5491">
        <v>0.8</v>
      </c>
      <c r="J5491">
        <v>16</v>
      </c>
      <c r="L5491" t="s">
        <v>2709</v>
      </c>
      <c r="M5491">
        <v>48194000</v>
      </c>
      <c r="O5491" t="s">
        <v>19926</v>
      </c>
      <c r="P5491" t="s">
        <v>19903</v>
      </c>
      <c r="Q5491" t="s">
        <v>19983</v>
      </c>
      <c r="R5491" t="s">
        <v>20089</v>
      </c>
      <c r="S5491" t="s">
        <v>20090</v>
      </c>
      <c r="T5491" t="s">
        <v>19913</v>
      </c>
    </row>
    <row r="5492" spans="2:20" x14ac:dyDescent="0.25">
      <c r="B5492" t="s">
        <v>2709</v>
      </c>
      <c r="C5492">
        <v>48195000</v>
      </c>
      <c r="E5492">
        <v>177.19</v>
      </c>
      <c r="F5492">
        <v>12</v>
      </c>
      <c r="G5492">
        <v>15</v>
      </c>
      <c r="H5492">
        <v>3.2</v>
      </c>
      <c r="I5492">
        <v>0.8</v>
      </c>
      <c r="J5492">
        <v>16</v>
      </c>
      <c r="L5492" t="s">
        <v>2709</v>
      </c>
      <c r="M5492">
        <v>48195000</v>
      </c>
      <c r="O5492" t="s">
        <v>19926</v>
      </c>
      <c r="P5492" t="s">
        <v>19903</v>
      </c>
      <c r="Q5492" t="s">
        <v>19983</v>
      </c>
      <c r="R5492" t="s">
        <v>20089</v>
      </c>
      <c r="S5492" t="s">
        <v>20090</v>
      </c>
      <c r="T5492" t="s">
        <v>19913</v>
      </c>
    </row>
    <row r="5493" spans="2:20" x14ac:dyDescent="0.25">
      <c r="B5493" t="s">
        <v>2709</v>
      </c>
      <c r="C5493">
        <v>48196000</v>
      </c>
      <c r="E5493">
        <v>177.19</v>
      </c>
      <c r="F5493">
        <v>12</v>
      </c>
      <c r="G5493">
        <v>15</v>
      </c>
      <c r="H5493">
        <v>3.2</v>
      </c>
      <c r="I5493">
        <v>0.8</v>
      </c>
      <c r="J5493">
        <v>16</v>
      </c>
      <c r="L5493" t="s">
        <v>2709</v>
      </c>
      <c r="M5493">
        <v>48196000</v>
      </c>
      <c r="O5493" t="s">
        <v>19926</v>
      </c>
      <c r="P5493" t="s">
        <v>19903</v>
      </c>
      <c r="Q5493" t="s">
        <v>19983</v>
      </c>
      <c r="R5493" t="s">
        <v>20089</v>
      </c>
      <c r="S5493" t="s">
        <v>20090</v>
      </c>
      <c r="T5493" t="s">
        <v>19913</v>
      </c>
    </row>
    <row r="5494" spans="2:20" x14ac:dyDescent="0.25">
      <c r="B5494" t="s">
        <v>2709</v>
      </c>
      <c r="C5494">
        <v>48201000</v>
      </c>
      <c r="E5494">
        <v>67.75</v>
      </c>
      <c r="F5494">
        <v>12</v>
      </c>
      <c r="G5494">
        <v>15</v>
      </c>
      <c r="H5494">
        <v>3.2</v>
      </c>
      <c r="I5494">
        <v>0.8</v>
      </c>
      <c r="J5494">
        <v>16</v>
      </c>
      <c r="L5494" t="s">
        <v>2709</v>
      </c>
      <c r="M5494">
        <v>48201000</v>
      </c>
      <c r="O5494" t="s">
        <v>20099</v>
      </c>
      <c r="P5494" t="s">
        <v>19903</v>
      </c>
      <c r="Q5494" t="s">
        <v>19983</v>
      </c>
      <c r="R5494" t="s">
        <v>20089</v>
      </c>
      <c r="S5494" t="s">
        <v>20090</v>
      </c>
      <c r="T5494" t="s">
        <v>19913</v>
      </c>
    </row>
    <row r="5495" spans="2:20" x14ac:dyDescent="0.25">
      <c r="B5495" t="s">
        <v>2709</v>
      </c>
      <c r="C5495">
        <v>48202000</v>
      </c>
      <c r="E5495">
        <v>62.78</v>
      </c>
      <c r="F5495">
        <v>12</v>
      </c>
      <c r="G5495">
        <v>0</v>
      </c>
      <c r="H5495">
        <v>3.2</v>
      </c>
      <c r="I5495">
        <v>0.8</v>
      </c>
      <c r="J5495">
        <v>16</v>
      </c>
      <c r="L5495" t="s">
        <v>2709</v>
      </c>
      <c r="M5495">
        <v>48202000</v>
      </c>
      <c r="O5495" t="s">
        <v>20100</v>
      </c>
      <c r="P5495" t="s">
        <v>19903</v>
      </c>
      <c r="Q5495" t="s">
        <v>19900</v>
      </c>
      <c r="R5495" t="s">
        <v>20089</v>
      </c>
      <c r="S5495" t="s">
        <v>20090</v>
      </c>
      <c r="T5495" t="s">
        <v>19913</v>
      </c>
    </row>
    <row r="5496" spans="2:20" x14ac:dyDescent="0.25">
      <c r="B5496" t="s">
        <v>2709</v>
      </c>
      <c r="C5496">
        <v>48203000</v>
      </c>
      <c r="E5496">
        <v>58.42</v>
      </c>
      <c r="F5496">
        <v>12</v>
      </c>
      <c r="G5496">
        <v>15</v>
      </c>
      <c r="H5496">
        <v>3.2</v>
      </c>
      <c r="I5496">
        <v>0.8</v>
      </c>
      <c r="J5496">
        <v>16</v>
      </c>
      <c r="L5496" t="s">
        <v>2709</v>
      </c>
      <c r="M5496">
        <v>48203000</v>
      </c>
      <c r="O5496" t="s">
        <v>20101</v>
      </c>
      <c r="P5496" t="s">
        <v>19903</v>
      </c>
      <c r="Q5496" t="s">
        <v>19983</v>
      </c>
      <c r="R5496" t="s">
        <v>20089</v>
      </c>
      <c r="S5496" t="s">
        <v>20090</v>
      </c>
      <c r="T5496" t="s">
        <v>19913</v>
      </c>
    </row>
    <row r="5497" spans="2:20" x14ac:dyDescent="0.25">
      <c r="B5497" t="s">
        <v>2709</v>
      </c>
      <c r="C5497">
        <v>48204000</v>
      </c>
      <c r="E5497">
        <v>61.28</v>
      </c>
      <c r="F5497">
        <v>12</v>
      </c>
      <c r="G5497">
        <v>5</v>
      </c>
      <c r="H5497">
        <v>3.2</v>
      </c>
      <c r="I5497">
        <v>0.8</v>
      </c>
      <c r="J5497">
        <v>16</v>
      </c>
      <c r="L5497" t="s">
        <v>2709</v>
      </c>
      <c r="M5497">
        <v>48204000</v>
      </c>
      <c r="O5497" t="s">
        <v>20102</v>
      </c>
      <c r="P5497" t="s">
        <v>19903</v>
      </c>
      <c r="Q5497" t="s">
        <v>19909</v>
      </c>
      <c r="R5497" t="s">
        <v>20089</v>
      </c>
      <c r="S5497" t="s">
        <v>20090</v>
      </c>
      <c r="T5497" t="s">
        <v>19913</v>
      </c>
    </row>
    <row r="5498" spans="2:20" x14ac:dyDescent="0.25">
      <c r="B5498" t="s">
        <v>2709</v>
      </c>
      <c r="C5498">
        <v>48205000</v>
      </c>
      <c r="E5498">
        <v>64.02</v>
      </c>
      <c r="F5498">
        <v>12</v>
      </c>
      <c r="G5498">
        <v>15</v>
      </c>
      <c r="H5498">
        <v>3.2</v>
      </c>
      <c r="I5498">
        <v>0.8</v>
      </c>
      <c r="J5498">
        <v>16</v>
      </c>
      <c r="L5498" t="s">
        <v>2709</v>
      </c>
      <c r="M5498">
        <v>48205000</v>
      </c>
      <c r="O5498" t="s">
        <v>20103</v>
      </c>
      <c r="P5498" t="s">
        <v>19903</v>
      </c>
      <c r="Q5498" t="s">
        <v>19983</v>
      </c>
      <c r="R5498" t="s">
        <v>20089</v>
      </c>
      <c r="S5498" t="s">
        <v>20090</v>
      </c>
      <c r="T5498" t="s">
        <v>19913</v>
      </c>
    </row>
    <row r="5499" spans="2:20" x14ac:dyDescent="0.25">
      <c r="B5499" t="s">
        <v>2709</v>
      </c>
      <c r="C5499">
        <v>48209000</v>
      </c>
      <c r="E5499">
        <v>64.52</v>
      </c>
      <c r="F5499">
        <v>12</v>
      </c>
      <c r="G5499">
        <v>15</v>
      </c>
      <c r="H5499">
        <v>3.2</v>
      </c>
      <c r="I5499">
        <v>0.8</v>
      </c>
      <c r="J5499">
        <v>16</v>
      </c>
      <c r="L5499" t="s">
        <v>2709</v>
      </c>
      <c r="M5499">
        <v>48209000</v>
      </c>
      <c r="O5499" t="s">
        <v>20104</v>
      </c>
      <c r="P5499" t="s">
        <v>19903</v>
      </c>
      <c r="Q5499" t="s">
        <v>19983</v>
      </c>
      <c r="R5499" t="s">
        <v>20089</v>
      </c>
      <c r="S5499" t="s">
        <v>20090</v>
      </c>
      <c r="T5499" t="s">
        <v>19913</v>
      </c>
    </row>
    <row r="5500" spans="2:20" x14ac:dyDescent="0.25">
      <c r="B5500" t="s">
        <v>2709</v>
      </c>
      <c r="C5500">
        <v>48211000</v>
      </c>
      <c r="E5500">
        <v>177.19</v>
      </c>
      <c r="F5500">
        <v>12</v>
      </c>
      <c r="G5500">
        <v>0</v>
      </c>
      <c r="H5500">
        <v>3.2</v>
      </c>
      <c r="I5500">
        <v>0.8</v>
      </c>
      <c r="J5500">
        <v>16</v>
      </c>
      <c r="L5500" t="s">
        <v>2709</v>
      </c>
      <c r="M5500">
        <v>48211000</v>
      </c>
      <c r="O5500" t="s">
        <v>19926</v>
      </c>
      <c r="P5500" t="s">
        <v>19903</v>
      </c>
      <c r="Q5500" t="s">
        <v>19900</v>
      </c>
      <c r="R5500" t="s">
        <v>20089</v>
      </c>
      <c r="S5500" t="s">
        <v>20090</v>
      </c>
      <c r="T5500" t="s">
        <v>19913</v>
      </c>
    </row>
    <row r="5501" spans="2:20" x14ac:dyDescent="0.25">
      <c r="B5501" t="s">
        <v>2709</v>
      </c>
      <c r="C5501">
        <v>48219000</v>
      </c>
      <c r="E5501">
        <v>177.19</v>
      </c>
      <c r="F5501">
        <v>12</v>
      </c>
      <c r="G5501">
        <v>0</v>
      </c>
      <c r="H5501">
        <v>3.2</v>
      </c>
      <c r="I5501">
        <v>0.8</v>
      </c>
      <c r="J5501">
        <v>16</v>
      </c>
      <c r="L5501" t="s">
        <v>2709</v>
      </c>
      <c r="M5501">
        <v>48219000</v>
      </c>
      <c r="O5501" t="s">
        <v>19926</v>
      </c>
      <c r="P5501" t="s">
        <v>19903</v>
      </c>
      <c r="Q5501" t="s">
        <v>19900</v>
      </c>
      <c r="R5501" t="s">
        <v>20089</v>
      </c>
      <c r="S5501" t="s">
        <v>20090</v>
      </c>
      <c r="T5501" t="s">
        <v>19913</v>
      </c>
    </row>
    <row r="5502" spans="2:20" x14ac:dyDescent="0.25">
      <c r="B5502" t="s">
        <v>2709</v>
      </c>
      <c r="C5502">
        <v>48221000</v>
      </c>
      <c r="E5502">
        <v>177.19</v>
      </c>
      <c r="F5502">
        <v>12</v>
      </c>
      <c r="G5502">
        <v>10</v>
      </c>
      <c r="H5502">
        <v>3.2</v>
      </c>
      <c r="I5502">
        <v>0.8</v>
      </c>
      <c r="J5502">
        <v>16</v>
      </c>
      <c r="L5502" t="s">
        <v>2709</v>
      </c>
      <c r="M5502">
        <v>48221000</v>
      </c>
      <c r="O5502" t="s">
        <v>19926</v>
      </c>
      <c r="P5502" t="s">
        <v>19903</v>
      </c>
      <c r="Q5502" t="s">
        <v>19904</v>
      </c>
      <c r="R5502" t="s">
        <v>20089</v>
      </c>
      <c r="S5502" t="s">
        <v>20090</v>
      </c>
      <c r="T5502" t="s">
        <v>19913</v>
      </c>
    </row>
    <row r="5503" spans="2:20" x14ac:dyDescent="0.25">
      <c r="B5503" t="s">
        <v>2709</v>
      </c>
      <c r="C5503">
        <v>48229000</v>
      </c>
      <c r="E5503">
        <v>177.19</v>
      </c>
      <c r="F5503">
        <v>12</v>
      </c>
      <c r="G5503">
        <v>10</v>
      </c>
      <c r="H5503">
        <v>3.2</v>
      </c>
      <c r="I5503">
        <v>0.8</v>
      </c>
      <c r="J5503">
        <v>16</v>
      </c>
      <c r="L5503" t="s">
        <v>2709</v>
      </c>
      <c r="M5503">
        <v>48229000</v>
      </c>
      <c r="O5503" t="s">
        <v>19926</v>
      </c>
      <c r="P5503" t="s">
        <v>19903</v>
      </c>
      <c r="Q5503" t="s">
        <v>19904</v>
      </c>
      <c r="R5503" t="s">
        <v>20089</v>
      </c>
      <c r="S5503" t="s">
        <v>20090</v>
      </c>
      <c r="T5503" t="s">
        <v>19913</v>
      </c>
    </row>
    <row r="5504" spans="2:20" x14ac:dyDescent="0.25">
      <c r="B5504" t="s">
        <v>2709</v>
      </c>
      <c r="C5504">
        <v>48232010</v>
      </c>
      <c r="E5504">
        <v>177.19</v>
      </c>
      <c r="F5504">
        <v>12</v>
      </c>
      <c r="G5504">
        <v>15</v>
      </c>
      <c r="H5504">
        <v>3.2</v>
      </c>
      <c r="I5504">
        <v>0.8</v>
      </c>
      <c r="J5504">
        <v>2</v>
      </c>
      <c r="L5504" t="s">
        <v>2709</v>
      </c>
      <c r="M5504">
        <v>48232010</v>
      </c>
      <c r="O5504" t="s">
        <v>19926</v>
      </c>
      <c r="P5504" t="s">
        <v>19903</v>
      </c>
      <c r="Q5504" t="s">
        <v>19983</v>
      </c>
      <c r="R5504" t="s">
        <v>20089</v>
      </c>
      <c r="S5504" t="s">
        <v>20090</v>
      </c>
      <c r="T5504" t="s">
        <v>19901</v>
      </c>
    </row>
    <row r="5505" spans="2:20" x14ac:dyDescent="0.25">
      <c r="B5505" t="s">
        <v>2709</v>
      </c>
      <c r="C5505">
        <v>48232091</v>
      </c>
      <c r="E5505">
        <v>92</v>
      </c>
      <c r="F5505">
        <v>12</v>
      </c>
      <c r="G5505">
        <v>15</v>
      </c>
      <c r="H5505">
        <v>3.2</v>
      </c>
      <c r="I5505">
        <v>0.8</v>
      </c>
      <c r="J5505">
        <v>12</v>
      </c>
      <c r="L5505" t="s">
        <v>2709</v>
      </c>
      <c r="M5505">
        <v>48232091</v>
      </c>
      <c r="O5505" t="s">
        <v>20105</v>
      </c>
      <c r="P5505" t="s">
        <v>19903</v>
      </c>
      <c r="Q5505" t="s">
        <v>19983</v>
      </c>
      <c r="R5505" t="s">
        <v>20089</v>
      </c>
      <c r="S5505" t="s">
        <v>20090</v>
      </c>
      <c r="T5505" t="s">
        <v>19903</v>
      </c>
    </row>
    <row r="5506" spans="2:20" x14ac:dyDescent="0.25">
      <c r="B5506" t="s">
        <v>2709</v>
      </c>
      <c r="C5506">
        <v>48232099</v>
      </c>
      <c r="E5506">
        <v>92</v>
      </c>
      <c r="F5506">
        <v>12</v>
      </c>
      <c r="G5506">
        <v>15</v>
      </c>
      <c r="H5506">
        <v>3.2</v>
      </c>
      <c r="I5506">
        <v>0.8</v>
      </c>
      <c r="J5506">
        <v>16</v>
      </c>
      <c r="L5506" t="s">
        <v>2709</v>
      </c>
      <c r="M5506">
        <v>48232099</v>
      </c>
      <c r="O5506" t="s">
        <v>20105</v>
      </c>
      <c r="P5506" t="s">
        <v>19903</v>
      </c>
      <c r="Q5506" t="s">
        <v>19983</v>
      </c>
      <c r="R5506" t="s">
        <v>20089</v>
      </c>
      <c r="S5506" t="s">
        <v>20090</v>
      </c>
      <c r="T5506" t="s">
        <v>19913</v>
      </c>
    </row>
    <row r="5507" spans="2:20" x14ac:dyDescent="0.25">
      <c r="B5507" t="s">
        <v>2709</v>
      </c>
      <c r="C5507">
        <v>48234000</v>
      </c>
      <c r="E5507">
        <v>71.78</v>
      </c>
      <c r="F5507">
        <v>12</v>
      </c>
      <c r="G5507">
        <v>15</v>
      </c>
      <c r="H5507">
        <v>3.2</v>
      </c>
      <c r="I5507">
        <v>0.8</v>
      </c>
      <c r="J5507">
        <v>16</v>
      </c>
      <c r="L5507" t="s">
        <v>2709</v>
      </c>
      <c r="M5507">
        <v>48234000</v>
      </c>
      <c r="O5507" t="s">
        <v>20056</v>
      </c>
      <c r="P5507" t="s">
        <v>19903</v>
      </c>
      <c r="Q5507" t="s">
        <v>19983</v>
      </c>
      <c r="R5507" t="s">
        <v>20089</v>
      </c>
      <c r="S5507" t="s">
        <v>20090</v>
      </c>
      <c r="T5507" t="s">
        <v>19913</v>
      </c>
    </row>
    <row r="5508" spans="2:20" x14ac:dyDescent="0.25">
      <c r="B5508" t="s">
        <v>2709</v>
      </c>
      <c r="C5508">
        <v>48236100</v>
      </c>
      <c r="E5508">
        <v>127</v>
      </c>
      <c r="F5508">
        <v>12</v>
      </c>
      <c r="G5508">
        <v>15</v>
      </c>
      <c r="H5508">
        <v>3.2</v>
      </c>
      <c r="I5508">
        <v>0.8</v>
      </c>
      <c r="J5508">
        <v>16</v>
      </c>
      <c r="L5508" t="s">
        <v>2709</v>
      </c>
      <c r="M5508">
        <v>48236100</v>
      </c>
      <c r="O5508" t="s">
        <v>20106</v>
      </c>
      <c r="P5508" t="s">
        <v>19903</v>
      </c>
      <c r="Q5508" t="s">
        <v>19983</v>
      </c>
      <c r="R5508" t="s">
        <v>20089</v>
      </c>
      <c r="S5508" t="s">
        <v>20090</v>
      </c>
      <c r="T5508" t="s">
        <v>19913</v>
      </c>
    </row>
    <row r="5509" spans="2:20" x14ac:dyDescent="0.25">
      <c r="B5509" t="s">
        <v>2709</v>
      </c>
      <c r="C5509">
        <v>48236900</v>
      </c>
      <c r="E5509">
        <v>127</v>
      </c>
      <c r="F5509">
        <v>12</v>
      </c>
      <c r="G5509">
        <v>15</v>
      </c>
      <c r="H5509">
        <v>3.2</v>
      </c>
      <c r="I5509">
        <v>0.8</v>
      </c>
      <c r="J5509">
        <v>16</v>
      </c>
      <c r="L5509" t="s">
        <v>2709</v>
      </c>
      <c r="M5509">
        <v>48236900</v>
      </c>
      <c r="O5509" t="s">
        <v>20106</v>
      </c>
      <c r="P5509" t="s">
        <v>19903</v>
      </c>
      <c r="Q5509" t="s">
        <v>19983</v>
      </c>
      <c r="R5509" t="s">
        <v>20089</v>
      </c>
      <c r="S5509" t="s">
        <v>20090</v>
      </c>
      <c r="T5509" t="s">
        <v>19913</v>
      </c>
    </row>
    <row r="5510" spans="2:20" x14ac:dyDescent="0.25">
      <c r="B5510" t="s">
        <v>2709</v>
      </c>
      <c r="C5510">
        <v>48237000</v>
      </c>
      <c r="E5510">
        <v>177.19</v>
      </c>
      <c r="F5510">
        <v>12</v>
      </c>
      <c r="G5510">
        <v>15</v>
      </c>
      <c r="H5510">
        <v>3.2</v>
      </c>
      <c r="I5510">
        <v>0.8</v>
      </c>
      <c r="J5510">
        <v>16</v>
      </c>
      <c r="L5510" t="s">
        <v>2709</v>
      </c>
      <c r="M5510">
        <v>48237000</v>
      </c>
      <c r="O5510" t="s">
        <v>19926</v>
      </c>
      <c r="P5510" t="s">
        <v>19903</v>
      </c>
      <c r="Q5510" t="s">
        <v>19983</v>
      </c>
      <c r="R5510" t="s">
        <v>20089</v>
      </c>
      <c r="S5510" t="s">
        <v>20090</v>
      </c>
      <c r="T5510" t="s">
        <v>19913</v>
      </c>
    </row>
    <row r="5511" spans="2:20" x14ac:dyDescent="0.25">
      <c r="B5511" t="s">
        <v>2709</v>
      </c>
      <c r="C5511">
        <v>48239010</v>
      </c>
      <c r="E5511">
        <v>177.19</v>
      </c>
      <c r="F5511">
        <v>12</v>
      </c>
      <c r="G5511">
        <v>15</v>
      </c>
      <c r="H5511">
        <v>3.2</v>
      </c>
      <c r="I5511">
        <v>0.8</v>
      </c>
      <c r="J5511">
        <v>2</v>
      </c>
      <c r="L5511" t="s">
        <v>2709</v>
      </c>
      <c r="M5511">
        <v>48239010</v>
      </c>
      <c r="O5511" t="s">
        <v>19926</v>
      </c>
      <c r="P5511" t="s">
        <v>19903</v>
      </c>
      <c r="Q5511" t="s">
        <v>19983</v>
      </c>
      <c r="R5511" t="s">
        <v>20089</v>
      </c>
      <c r="S5511" t="s">
        <v>20090</v>
      </c>
      <c r="T5511" t="s">
        <v>19901</v>
      </c>
    </row>
    <row r="5512" spans="2:20" x14ac:dyDescent="0.25">
      <c r="B5512" t="s">
        <v>2709</v>
      </c>
      <c r="C5512">
        <v>48239020</v>
      </c>
      <c r="E5512">
        <v>177.19</v>
      </c>
      <c r="F5512">
        <v>12</v>
      </c>
      <c r="G5512">
        <v>15</v>
      </c>
      <c r="H5512">
        <v>3.2</v>
      </c>
      <c r="I5512">
        <v>0.8</v>
      </c>
      <c r="J5512">
        <v>2</v>
      </c>
      <c r="L5512" t="s">
        <v>2709</v>
      </c>
      <c r="M5512">
        <v>48239020</v>
      </c>
      <c r="O5512" t="s">
        <v>19926</v>
      </c>
      <c r="P5512" t="s">
        <v>19903</v>
      </c>
      <c r="Q5512" t="s">
        <v>19983</v>
      </c>
      <c r="R5512" t="s">
        <v>20089</v>
      </c>
      <c r="S5512" t="s">
        <v>20090</v>
      </c>
      <c r="T5512" t="s">
        <v>19901</v>
      </c>
    </row>
    <row r="5513" spans="2:20" x14ac:dyDescent="0.25">
      <c r="B5513" t="s">
        <v>2709</v>
      </c>
      <c r="C5513">
        <v>48239091</v>
      </c>
      <c r="E5513">
        <v>71.78</v>
      </c>
      <c r="F5513">
        <v>12</v>
      </c>
      <c r="G5513">
        <v>15</v>
      </c>
      <c r="H5513">
        <v>3.2</v>
      </c>
      <c r="I5513">
        <v>0.8</v>
      </c>
      <c r="J5513">
        <v>12</v>
      </c>
      <c r="L5513" t="s">
        <v>2709</v>
      </c>
      <c r="M5513">
        <v>48239091</v>
      </c>
      <c r="O5513" t="s">
        <v>20056</v>
      </c>
      <c r="P5513" t="s">
        <v>19903</v>
      </c>
      <c r="Q5513" t="s">
        <v>19983</v>
      </c>
      <c r="R5513" t="s">
        <v>20089</v>
      </c>
      <c r="S5513" t="s">
        <v>20090</v>
      </c>
      <c r="T5513" t="s">
        <v>19903</v>
      </c>
    </row>
    <row r="5514" spans="2:20" x14ac:dyDescent="0.25">
      <c r="B5514" t="s">
        <v>2709</v>
      </c>
      <c r="C5514">
        <v>48239099</v>
      </c>
      <c r="E5514">
        <v>71.78</v>
      </c>
      <c r="F5514">
        <v>12</v>
      </c>
      <c r="G5514">
        <v>15</v>
      </c>
      <c r="H5514">
        <v>3.2</v>
      </c>
      <c r="I5514">
        <v>0.8</v>
      </c>
      <c r="J5514">
        <v>16</v>
      </c>
      <c r="L5514" t="s">
        <v>2709</v>
      </c>
      <c r="M5514">
        <v>48239099</v>
      </c>
      <c r="O5514" t="s">
        <v>20056</v>
      </c>
      <c r="P5514" t="s">
        <v>19903</v>
      </c>
      <c r="Q5514" t="s">
        <v>19983</v>
      </c>
      <c r="R5514" t="s">
        <v>20089</v>
      </c>
      <c r="S5514" t="s">
        <v>20090</v>
      </c>
      <c r="T5514" t="s">
        <v>19913</v>
      </c>
    </row>
    <row r="5515" spans="2:20" x14ac:dyDescent="0.25">
      <c r="B5515" t="s">
        <v>2709</v>
      </c>
      <c r="C5515">
        <v>49011000</v>
      </c>
      <c r="E5515">
        <v>126.67</v>
      </c>
      <c r="F5515">
        <v>0</v>
      </c>
      <c r="G5515">
        <v>0</v>
      </c>
      <c r="H5515" t="s">
        <v>19447</v>
      </c>
      <c r="I5515" t="s">
        <v>19447</v>
      </c>
      <c r="J5515">
        <v>0</v>
      </c>
      <c r="L5515" t="s">
        <v>2709</v>
      </c>
      <c r="M5515">
        <v>49011000</v>
      </c>
      <c r="O5515" t="s">
        <v>20107</v>
      </c>
      <c r="P5515" t="s">
        <v>19900</v>
      </c>
      <c r="Q5515" t="s">
        <v>19900</v>
      </c>
      <c r="R5515" t="s">
        <v>19447</v>
      </c>
      <c r="S5515" t="s">
        <v>19447</v>
      </c>
      <c r="T5515" t="s">
        <v>19900</v>
      </c>
    </row>
    <row r="5516" spans="2:20" x14ac:dyDescent="0.25">
      <c r="B5516" t="s">
        <v>2709</v>
      </c>
      <c r="C5516">
        <v>49019100</v>
      </c>
      <c r="E5516">
        <v>126.67</v>
      </c>
      <c r="F5516">
        <v>0</v>
      </c>
      <c r="G5516">
        <v>0</v>
      </c>
      <c r="H5516" t="s">
        <v>19447</v>
      </c>
      <c r="I5516" t="s">
        <v>19447</v>
      </c>
      <c r="J5516">
        <v>0</v>
      </c>
      <c r="L5516" t="s">
        <v>2709</v>
      </c>
      <c r="M5516">
        <v>49019100</v>
      </c>
      <c r="O5516" t="s">
        <v>20107</v>
      </c>
      <c r="P5516" t="s">
        <v>19900</v>
      </c>
      <c r="Q5516" t="s">
        <v>19900</v>
      </c>
      <c r="R5516" t="s">
        <v>19447</v>
      </c>
      <c r="S5516" t="s">
        <v>19447</v>
      </c>
      <c r="T5516" t="s">
        <v>19900</v>
      </c>
    </row>
    <row r="5517" spans="2:20" x14ac:dyDescent="0.25">
      <c r="B5517" t="s">
        <v>2709</v>
      </c>
      <c r="C5517">
        <v>49019900</v>
      </c>
      <c r="E5517">
        <v>126.67</v>
      </c>
      <c r="F5517">
        <v>0</v>
      </c>
      <c r="G5517">
        <v>0</v>
      </c>
      <c r="H5517" t="s">
        <v>19447</v>
      </c>
      <c r="I5517" t="s">
        <v>19447</v>
      </c>
      <c r="J5517">
        <v>0</v>
      </c>
      <c r="L5517" t="s">
        <v>2709</v>
      </c>
      <c r="M5517">
        <v>49019900</v>
      </c>
      <c r="O5517" t="s">
        <v>20107</v>
      </c>
      <c r="P5517" t="s">
        <v>19900</v>
      </c>
      <c r="Q5517" t="s">
        <v>19900</v>
      </c>
      <c r="R5517" t="s">
        <v>19447</v>
      </c>
      <c r="S5517" t="s">
        <v>19447</v>
      </c>
      <c r="T5517" t="s">
        <v>19900</v>
      </c>
    </row>
    <row r="5518" spans="2:20" x14ac:dyDescent="0.25">
      <c r="B5518" t="s">
        <v>2709</v>
      </c>
      <c r="C5518">
        <v>49021000</v>
      </c>
      <c r="E5518">
        <v>126.67</v>
      </c>
      <c r="F5518">
        <v>0</v>
      </c>
      <c r="G5518">
        <v>0</v>
      </c>
      <c r="H5518" t="s">
        <v>19447</v>
      </c>
      <c r="I5518" t="s">
        <v>19447</v>
      </c>
      <c r="J5518">
        <v>0</v>
      </c>
      <c r="L5518" t="s">
        <v>2709</v>
      </c>
      <c r="M5518">
        <v>49021000</v>
      </c>
      <c r="O5518" t="s">
        <v>20107</v>
      </c>
      <c r="P5518" t="s">
        <v>19900</v>
      </c>
      <c r="Q5518" t="s">
        <v>19900</v>
      </c>
      <c r="R5518" t="s">
        <v>19447</v>
      </c>
      <c r="S5518" t="s">
        <v>19447</v>
      </c>
      <c r="T5518" t="s">
        <v>19900</v>
      </c>
    </row>
    <row r="5519" spans="2:20" x14ac:dyDescent="0.25">
      <c r="B5519" t="s">
        <v>2709</v>
      </c>
      <c r="C5519">
        <v>49021000</v>
      </c>
      <c r="D5519">
        <v>1</v>
      </c>
      <c r="E5519" t="s">
        <v>19447</v>
      </c>
      <c r="F5519">
        <v>18</v>
      </c>
      <c r="G5519">
        <v>0</v>
      </c>
      <c r="H5519">
        <v>7.6</v>
      </c>
      <c r="I5519">
        <v>1.65</v>
      </c>
      <c r="J5519">
        <v>0</v>
      </c>
      <c r="L5519" t="s">
        <v>2709</v>
      </c>
      <c r="M5519">
        <v>49021000</v>
      </c>
      <c r="N5519">
        <v>1</v>
      </c>
      <c r="O5519" t="s">
        <v>19447</v>
      </c>
      <c r="P5519" t="s">
        <v>19899</v>
      </c>
      <c r="Q5519" t="s">
        <v>19900</v>
      </c>
      <c r="R5519" t="s">
        <v>19905</v>
      </c>
      <c r="S5519" t="s">
        <v>19906</v>
      </c>
      <c r="T5519" t="s">
        <v>19900</v>
      </c>
    </row>
    <row r="5520" spans="2:20" x14ac:dyDescent="0.25">
      <c r="B5520" t="s">
        <v>2709</v>
      </c>
      <c r="C5520">
        <v>49029000</v>
      </c>
      <c r="E5520">
        <v>126.67</v>
      </c>
      <c r="F5520">
        <v>0</v>
      </c>
      <c r="G5520">
        <v>0</v>
      </c>
      <c r="H5520" t="s">
        <v>19447</v>
      </c>
      <c r="I5520" t="s">
        <v>19447</v>
      </c>
      <c r="J5520">
        <v>0</v>
      </c>
      <c r="L5520" t="s">
        <v>2709</v>
      </c>
      <c r="M5520">
        <v>49029000</v>
      </c>
      <c r="O5520" t="s">
        <v>20107</v>
      </c>
      <c r="P5520" t="s">
        <v>19900</v>
      </c>
      <c r="Q5520" t="s">
        <v>19900</v>
      </c>
      <c r="R5520" t="s">
        <v>19447</v>
      </c>
      <c r="S5520" t="s">
        <v>19447</v>
      </c>
      <c r="T5520" t="s">
        <v>19900</v>
      </c>
    </row>
    <row r="5521" spans="2:20" x14ac:dyDescent="0.25">
      <c r="B5521" t="s">
        <v>2709</v>
      </c>
      <c r="C5521">
        <v>49029000</v>
      </c>
      <c r="D5521">
        <v>1</v>
      </c>
      <c r="E5521" t="s">
        <v>19447</v>
      </c>
      <c r="F5521">
        <v>18</v>
      </c>
      <c r="G5521">
        <v>0</v>
      </c>
      <c r="H5521">
        <v>7.6</v>
      </c>
      <c r="I5521">
        <v>1.65</v>
      </c>
      <c r="J5521">
        <v>0</v>
      </c>
      <c r="L5521" t="s">
        <v>2709</v>
      </c>
      <c r="M5521">
        <v>49029000</v>
      </c>
      <c r="N5521">
        <v>1</v>
      </c>
      <c r="O5521" t="s">
        <v>19447</v>
      </c>
      <c r="P5521" t="s">
        <v>19899</v>
      </c>
      <c r="Q5521" t="s">
        <v>19900</v>
      </c>
      <c r="R5521" t="s">
        <v>19905</v>
      </c>
      <c r="S5521" t="s">
        <v>19906</v>
      </c>
      <c r="T5521" t="s">
        <v>19900</v>
      </c>
    </row>
    <row r="5522" spans="2:20" x14ac:dyDescent="0.25">
      <c r="B5522" t="s">
        <v>2709</v>
      </c>
      <c r="C5522">
        <v>49030000</v>
      </c>
      <c r="E5522">
        <v>126.67</v>
      </c>
      <c r="F5522">
        <v>0</v>
      </c>
      <c r="G5522">
        <v>0</v>
      </c>
      <c r="H5522" t="s">
        <v>19447</v>
      </c>
      <c r="I5522" t="s">
        <v>19447</v>
      </c>
      <c r="J5522">
        <v>16</v>
      </c>
      <c r="L5522" t="s">
        <v>2709</v>
      </c>
      <c r="M5522">
        <v>49030000</v>
      </c>
      <c r="O5522" t="s">
        <v>20107</v>
      </c>
      <c r="P5522" t="s">
        <v>19900</v>
      </c>
      <c r="Q5522" t="s">
        <v>19900</v>
      </c>
      <c r="R5522" t="s">
        <v>19447</v>
      </c>
      <c r="S5522" t="s">
        <v>19447</v>
      </c>
      <c r="T5522" t="s">
        <v>19913</v>
      </c>
    </row>
    <row r="5523" spans="2:20" x14ac:dyDescent="0.25">
      <c r="B5523" t="s">
        <v>2709</v>
      </c>
      <c r="C5523">
        <v>49040000</v>
      </c>
      <c r="E5523">
        <v>126.67</v>
      </c>
      <c r="F5523">
        <v>18</v>
      </c>
      <c r="G5523">
        <v>0</v>
      </c>
      <c r="H5523" t="s">
        <v>19447</v>
      </c>
      <c r="I5523" t="s">
        <v>19447</v>
      </c>
      <c r="J5523">
        <v>0</v>
      </c>
      <c r="L5523" t="s">
        <v>2709</v>
      </c>
      <c r="M5523">
        <v>49040000</v>
      </c>
      <c r="O5523" t="s">
        <v>20107</v>
      </c>
      <c r="P5523" t="s">
        <v>19899</v>
      </c>
      <c r="Q5523" t="s">
        <v>19900</v>
      </c>
      <c r="R5523" t="s">
        <v>19447</v>
      </c>
      <c r="S5523" t="s">
        <v>19447</v>
      </c>
      <c r="T5523" t="s">
        <v>19900</v>
      </c>
    </row>
    <row r="5524" spans="2:20" x14ac:dyDescent="0.25">
      <c r="B5524" t="s">
        <v>2709</v>
      </c>
      <c r="C5524">
        <v>49051000</v>
      </c>
      <c r="E5524">
        <v>126.67</v>
      </c>
      <c r="F5524">
        <v>18</v>
      </c>
      <c r="G5524">
        <v>0</v>
      </c>
      <c r="H5524" t="s">
        <v>19447</v>
      </c>
      <c r="I5524" t="s">
        <v>19447</v>
      </c>
      <c r="J5524">
        <v>4</v>
      </c>
      <c r="L5524" t="s">
        <v>2709</v>
      </c>
      <c r="M5524">
        <v>49051000</v>
      </c>
      <c r="O5524" t="s">
        <v>20107</v>
      </c>
      <c r="P5524" t="s">
        <v>19899</v>
      </c>
      <c r="Q5524" t="s">
        <v>19900</v>
      </c>
      <c r="R5524" t="s">
        <v>19447</v>
      </c>
      <c r="S5524" t="s">
        <v>19447</v>
      </c>
      <c r="T5524" t="s">
        <v>19902</v>
      </c>
    </row>
    <row r="5525" spans="2:20" x14ac:dyDescent="0.25">
      <c r="B5525" t="s">
        <v>2709</v>
      </c>
      <c r="C5525">
        <v>49059100</v>
      </c>
      <c r="E5525">
        <v>126.67</v>
      </c>
      <c r="F5525">
        <v>0</v>
      </c>
      <c r="G5525">
        <v>0</v>
      </c>
      <c r="H5525" t="s">
        <v>19447</v>
      </c>
      <c r="I5525" t="s">
        <v>19447</v>
      </c>
      <c r="J5525">
        <v>2</v>
      </c>
      <c r="L5525" t="s">
        <v>2709</v>
      </c>
      <c r="M5525">
        <v>49059100</v>
      </c>
      <c r="O5525" t="s">
        <v>20107</v>
      </c>
      <c r="P5525" t="s">
        <v>19900</v>
      </c>
      <c r="Q5525" t="s">
        <v>19900</v>
      </c>
      <c r="R5525" t="s">
        <v>19447</v>
      </c>
      <c r="S5525" t="s">
        <v>19447</v>
      </c>
      <c r="T5525" t="s">
        <v>19901</v>
      </c>
    </row>
    <row r="5526" spans="2:20" x14ac:dyDescent="0.25">
      <c r="B5526" t="s">
        <v>2709</v>
      </c>
      <c r="C5526">
        <v>49059900</v>
      </c>
      <c r="E5526">
        <v>126.67</v>
      </c>
      <c r="F5526">
        <v>18</v>
      </c>
      <c r="G5526">
        <v>0</v>
      </c>
      <c r="H5526" t="s">
        <v>19447</v>
      </c>
      <c r="I5526" t="s">
        <v>19447</v>
      </c>
      <c r="J5526">
        <v>4</v>
      </c>
      <c r="L5526" t="s">
        <v>2709</v>
      </c>
      <c r="M5526">
        <v>49059900</v>
      </c>
      <c r="O5526" t="s">
        <v>20107</v>
      </c>
      <c r="P5526" t="s">
        <v>19899</v>
      </c>
      <c r="Q5526" t="s">
        <v>19900</v>
      </c>
      <c r="R5526" t="s">
        <v>19447</v>
      </c>
      <c r="S5526" t="s">
        <v>19447</v>
      </c>
      <c r="T5526" t="s">
        <v>19902</v>
      </c>
    </row>
    <row r="5527" spans="2:20" x14ac:dyDescent="0.25">
      <c r="B5527" t="s">
        <v>2709</v>
      </c>
      <c r="C5527">
        <v>49060000</v>
      </c>
      <c r="E5527">
        <v>126.67</v>
      </c>
      <c r="F5527">
        <v>0</v>
      </c>
      <c r="G5527">
        <v>0</v>
      </c>
      <c r="H5527" t="s">
        <v>19447</v>
      </c>
      <c r="I5527" t="s">
        <v>19447</v>
      </c>
      <c r="J5527">
        <v>4</v>
      </c>
      <c r="L5527" t="s">
        <v>2709</v>
      </c>
      <c r="M5527">
        <v>49060000</v>
      </c>
      <c r="O5527" t="s">
        <v>20107</v>
      </c>
      <c r="P5527" t="s">
        <v>19900</v>
      </c>
      <c r="Q5527" t="s">
        <v>19900</v>
      </c>
      <c r="R5527" t="s">
        <v>19447</v>
      </c>
      <c r="S5527" t="s">
        <v>19447</v>
      </c>
      <c r="T5527" t="s">
        <v>19902</v>
      </c>
    </row>
    <row r="5528" spans="2:20" x14ac:dyDescent="0.25">
      <c r="B5528" t="s">
        <v>2709</v>
      </c>
      <c r="C5528">
        <v>49070010</v>
      </c>
      <c r="E5528">
        <v>126.67</v>
      </c>
      <c r="F5528">
        <v>0</v>
      </c>
      <c r="G5528">
        <v>0</v>
      </c>
      <c r="H5528" t="s">
        <v>19447</v>
      </c>
      <c r="I5528" t="s">
        <v>19447</v>
      </c>
      <c r="J5528">
        <v>0</v>
      </c>
      <c r="L5528" t="s">
        <v>2709</v>
      </c>
      <c r="M5528">
        <v>49070010</v>
      </c>
      <c r="O5528" t="s">
        <v>20107</v>
      </c>
      <c r="P5528" t="s">
        <v>19900</v>
      </c>
      <c r="Q5528" t="s">
        <v>19900</v>
      </c>
      <c r="R5528" t="s">
        <v>19447</v>
      </c>
      <c r="S5528" t="s">
        <v>19447</v>
      </c>
      <c r="T5528" t="s">
        <v>19900</v>
      </c>
    </row>
    <row r="5529" spans="2:20" x14ac:dyDescent="0.25">
      <c r="B5529" t="s">
        <v>2709</v>
      </c>
      <c r="C5529">
        <v>49070020</v>
      </c>
      <c r="E5529">
        <v>126.67</v>
      </c>
      <c r="F5529">
        <v>0</v>
      </c>
      <c r="G5529">
        <v>0</v>
      </c>
      <c r="H5529" t="s">
        <v>19447</v>
      </c>
      <c r="I5529" t="s">
        <v>19447</v>
      </c>
      <c r="J5529">
        <v>0</v>
      </c>
      <c r="L5529" t="s">
        <v>2709</v>
      </c>
      <c r="M5529">
        <v>49070020</v>
      </c>
      <c r="O5529" t="s">
        <v>20107</v>
      </c>
      <c r="P5529" t="s">
        <v>19900</v>
      </c>
      <c r="Q5529" t="s">
        <v>19900</v>
      </c>
      <c r="R5529" t="s">
        <v>19447</v>
      </c>
      <c r="S5529" t="s">
        <v>19447</v>
      </c>
      <c r="T5529" t="s">
        <v>19900</v>
      </c>
    </row>
    <row r="5530" spans="2:20" x14ac:dyDescent="0.25">
      <c r="B5530" t="s">
        <v>2709</v>
      </c>
      <c r="C5530">
        <v>49070030</v>
      </c>
      <c r="E5530">
        <v>126.67</v>
      </c>
      <c r="F5530">
        <v>0</v>
      </c>
      <c r="G5530">
        <v>0</v>
      </c>
      <c r="H5530" t="s">
        <v>19447</v>
      </c>
      <c r="I5530" t="s">
        <v>19447</v>
      </c>
      <c r="J5530">
        <v>0</v>
      </c>
      <c r="L5530" t="s">
        <v>2709</v>
      </c>
      <c r="M5530">
        <v>49070030</v>
      </c>
      <c r="O5530" t="s">
        <v>20107</v>
      </c>
      <c r="P5530" t="s">
        <v>19900</v>
      </c>
      <c r="Q5530" t="s">
        <v>19900</v>
      </c>
      <c r="R5530" t="s">
        <v>19447</v>
      </c>
      <c r="S5530" t="s">
        <v>19447</v>
      </c>
      <c r="T5530" t="s">
        <v>19900</v>
      </c>
    </row>
    <row r="5531" spans="2:20" x14ac:dyDescent="0.25">
      <c r="B5531" t="s">
        <v>2709</v>
      </c>
      <c r="C5531">
        <v>49070090</v>
      </c>
      <c r="E5531">
        <v>126.67</v>
      </c>
      <c r="F5531">
        <v>0</v>
      </c>
      <c r="G5531">
        <v>0</v>
      </c>
      <c r="H5531" t="s">
        <v>19447</v>
      </c>
      <c r="I5531" t="s">
        <v>19447</v>
      </c>
      <c r="J5531">
        <v>16</v>
      </c>
      <c r="L5531" t="s">
        <v>2709</v>
      </c>
      <c r="M5531">
        <v>49070090</v>
      </c>
      <c r="O5531" t="s">
        <v>20107</v>
      </c>
      <c r="P5531" t="s">
        <v>19900</v>
      </c>
      <c r="Q5531" t="s">
        <v>19900</v>
      </c>
      <c r="R5531" t="s">
        <v>19447</v>
      </c>
      <c r="S5531" t="s">
        <v>19447</v>
      </c>
      <c r="T5531" t="s">
        <v>19913</v>
      </c>
    </row>
    <row r="5532" spans="2:20" x14ac:dyDescent="0.25">
      <c r="B5532" t="s">
        <v>2709</v>
      </c>
      <c r="C5532">
        <v>49081000</v>
      </c>
      <c r="E5532">
        <v>126.67</v>
      </c>
      <c r="F5532">
        <v>18</v>
      </c>
      <c r="G5532">
        <v>0</v>
      </c>
      <c r="H5532" t="s">
        <v>19447</v>
      </c>
      <c r="I5532" t="s">
        <v>19447</v>
      </c>
      <c r="J5532">
        <v>16</v>
      </c>
      <c r="L5532" t="s">
        <v>2709</v>
      </c>
      <c r="M5532">
        <v>49081000</v>
      </c>
      <c r="O5532" t="s">
        <v>20107</v>
      </c>
      <c r="P5532" t="s">
        <v>19899</v>
      </c>
      <c r="Q5532" t="s">
        <v>19900</v>
      </c>
      <c r="R5532" t="s">
        <v>19447</v>
      </c>
      <c r="S5532" t="s">
        <v>19447</v>
      </c>
      <c r="T5532" t="s">
        <v>19913</v>
      </c>
    </row>
    <row r="5533" spans="2:20" x14ac:dyDescent="0.25">
      <c r="B5533" t="s">
        <v>2709</v>
      </c>
      <c r="C5533">
        <v>49089000</v>
      </c>
      <c r="E5533">
        <v>126.67</v>
      </c>
      <c r="F5533">
        <v>18</v>
      </c>
      <c r="G5533">
        <v>0</v>
      </c>
      <c r="H5533" t="s">
        <v>19447</v>
      </c>
      <c r="I5533" t="s">
        <v>19447</v>
      </c>
      <c r="J5533">
        <v>16</v>
      </c>
      <c r="L5533" t="s">
        <v>2709</v>
      </c>
      <c r="M5533">
        <v>49089000</v>
      </c>
      <c r="O5533" t="s">
        <v>20107</v>
      </c>
      <c r="P5533" t="s">
        <v>19899</v>
      </c>
      <c r="Q5533" t="s">
        <v>19900</v>
      </c>
      <c r="R5533" t="s">
        <v>19447</v>
      </c>
      <c r="S5533" t="s">
        <v>19447</v>
      </c>
      <c r="T5533" t="s">
        <v>19913</v>
      </c>
    </row>
    <row r="5534" spans="2:20" x14ac:dyDescent="0.25">
      <c r="B5534" t="s">
        <v>2709</v>
      </c>
      <c r="C5534">
        <v>49090000</v>
      </c>
      <c r="E5534">
        <v>126.67</v>
      </c>
      <c r="F5534">
        <v>0</v>
      </c>
      <c r="G5534">
        <v>0</v>
      </c>
      <c r="H5534" t="s">
        <v>19447</v>
      </c>
      <c r="I5534" t="s">
        <v>19447</v>
      </c>
      <c r="J5534">
        <v>16</v>
      </c>
      <c r="L5534" t="s">
        <v>2709</v>
      </c>
      <c r="M5534">
        <v>49090000</v>
      </c>
      <c r="O5534" t="s">
        <v>20107</v>
      </c>
      <c r="P5534" t="s">
        <v>19900</v>
      </c>
      <c r="Q5534" t="s">
        <v>19900</v>
      </c>
      <c r="R5534" t="s">
        <v>19447</v>
      </c>
      <c r="S5534" t="s">
        <v>19447</v>
      </c>
      <c r="T5534" t="s">
        <v>19913</v>
      </c>
    </row>
    <row r="5535" spans="2:20" x14ac:dyDescent="0.25">
      <c r="B5535" t="s">
        <v>2709</v>
      </c>
      <c r="C5535">
        <v>49100000</v>
      </c>
      <c r="E5535">
        <v>126.67</v>
      </c>
      <c r="F5535">
        <v>0</v>
      </c>
      <c r="G5535">
        <v>10</v>
      </c>
      <c r="H5535" t="s">
        <v>19447</v>
      </c>
      <c r="I5535" t="s">
        <v>19447</v>
      </c>
      <c r="J5535">
        <v>16</v>
      </c>
      <c r="L5535" t="s">
        <v>2709</v>
      </c>
      <c r="M5535">
        <v>49100000</v>
      </c>
      <c r="O5535" t="s">
        <v>20107</v>
      </c>
      <c r="P5535" t="s">
        <v>19900</v>
      </c>
      <c r="Q5535" t="s">
        <v>19904</v>
      </c>
      <c r="R5535" t="s">
        <v>19447</v>
      </c>
      <c r="S5535" t="s">
        <v>19447</v>
      </c>
      <c r="T5535" t="s">
        <v>19913</v>
      </c>
    </row>
    <row r="5536" spans="2:20" x14ac:dyDescent="0.25">
      <c r="B5536" t="s">
        <v>2709</v>
      </c>
      <c r="C5536">
        <v>49111010</v>
      </c>
      <c r="E5536">
        <v>71.78</v>
      </c>
      <c r="F5536">
        <v>0</v>
      </c>
      <c r="G5536">
        <v>0</v>
      </c>
      <c r="H5536" t="s">
        <v>19447</v>
      </c>
      <c r="I5536" t="s">
        <v>19447</v>
      </c>
      <c r="J5536">
        <v>0</v>
      </c>
      <c r="L5536" t="s">
        <v>2709</v>
      </c>
      <c r="M5536">
        <v>49111010</v>
      </c>
      <c r="O5536" t="s">
        <v>20056</v>
      </c>
      <c r="P5536" t="s">
        <v>19900</v>
      </c>
      <c r="Q5536" t="s">
        <v>19900</v>
      </c>
      <c r="R5536" t="s">
        <v>19447</v>
      </c>
      <c r="S5536" t="s">
        <v>19447</v>
      </c>
      <c r="T5536" t="s">
        <v>19900</v>
      </c>
    </row>
    <row r="5537" spans="2:20" x14ac:dyDescent="0.25">
      <c r="B5537" t="s">
        <v>2709</v>
      </c>
      <c r="C5537">
        <v>49111090</v>
      </c>
      <c r="E5537">
        <v>126.67</v>
      </c>
      <c r="F5537">
        <v>0</v>
      </c>
      <c r="G5537">
        <v>0</v>
      </c>
      <c r="H5537" t="s">
        <v>19447</v>
      </c>
      <c r="I5537" t="s">
        <v>19447</v>
      </c>
      <c r="J5537">
        <v>16</v>
      </c>
      <c r="L5537" t="s">
        <v>2709</v>
      </c>
      <c r="M5537">
        <v>49111090</v>
      </c>
      <c r="O5537" t="s">
        <v>20107</v>
      </c>
      <c r="P5537" t="s">
        <v>19900</v>
      </c>
      <c r="Q5537" t="s">
        <v>19900</v>
      </c>
      <c r="R5537" t="s">
        <v>19447</v>
      </c>
      <c r="S5537" t="s">
        <v>19447</v>
      </c>
      <c r="T5537" t="s">
        <v>19913</v>
      </c>
    </row>
    <row r="5538" spans="2:20" x14ac:dyDescent="0.25">
      <c r="B5538" t="s">
        <v>2709</v>
      </c>
      <c r="C5538">
        <v>49119100</v>
      </c>
      <c r="E5538">
        <v>126.67</v>
      </c>
      <c r="F5538">
        <v>0</v>
      </c>
      <c r="G5538">
        <v>0</v>
      </c>
      <c r="H5538" t="s">
        <v>19447</v>
      </c>
      <c r="I5538" t="s">
        <v>19447</v>
      </c>
      <c r="J5538">
        <v>16</v>
      </c>
      <c r="L5538" t="s">
        <v>2709</v>
      </c>
      <c r="M5538">
        <v>49119100</v>
      </c>
      <c r="O5538" t="s">
        <v>20107</v>
      </c>
      <c r="P5538" t="s">
        <v>19900</v>
      </c>
      <c r="Q5538" t="s">
        <v>19900</v>
      </c>
      <c r="R5538" t="s">
        <v>19447</v>
      </c>
      <c r="S5538" t="s">
        <v>19447</v>
      </c>
      <c r="T5538" t="s">
        <v>19913</v>
      </c>
    </row>
    <row r="5539" spans="2:20" x14ac:dyDescent="0.25">
      <c r="B5539" t="s">
        <v>2709</v>
      </c>
      <c r="C5539">
        <v>49119100</v>
      </c>
      <c r="D5539">
        <v>1</v>
      </c>
      <c r="E5539" t="s">
        <v>19447</v>
      </c>
      <c r="F5539">
        <v>18</v>
      </c>
      <c r="G5539">
        <v>0</v>
      </c>
      <c r="H5539">
        <v>7.6</v>
      </c>
      <c r="I5539">
        <v>1.65</v>
      </c>
      <c r="J5539">
        <v>16</v>
      </c>
      <c r="L5539" t="s">
        <v>2709</v>
      </c>
      <c r="M5539">
        <v>49119100</v>
      </c>
      <c r="N5539">
        <v>1</v>
      </c>
      <c r="O5539" t="s">
        <v>19447</v>
      </c>
      <c r="P5539" t="s">
        <v>19899</v>
      </c>
      <c r="Q5539" t="s">
        <v>19900</v>
      </c>
      <c r="R5539" t="s">
        <v>19905</v>
      </c>
      <c r="S5539" t="s">
        <v>19906</v>
      </c>
      <c r="T5539" t="s">
        <v>19913</v>
      </c>
    </row>
    <row r="5540" spans="2:20" x14ac:dyDescent="0.25">
      <c r="B5540" t="s">
        <v>2709</v>
      </c>
      <c r="C5540">
        <v>49119900</v>
      </c>
      <c r="E5540">
        <v>126.67</v>
      </c>
      <c r="F5540">
        <v>0</v>
      </c>
      <c r="G5540">
        <v>0</v>
      </c>
      <c r="H5540" t="s">
        <v>19447</v>
      </c>
      <c r="I5540" t="s">
        <v>19447</v>
      </c>
      <c r="J5540">
        <v>16</v>
      </c>
      <c r="L5540" t="s">
        <v>2709</v>
      </c>
      <c r="M5540">
        <v>49119900</v>
      </c>
      <c r="O5540" t="s">
        <v>20107</v>
      </c>
      <c r="P5540" t="s">
        <v>19900</v>
      </c>
      <c r="Q5540" t="s">
        <v>19900</v>
      </c>
      <c r="R5540" t="s">
        <v>19447</v>
      </c>
      <c r="S5540" t="s">
        <v>19447</v>
      </c>
      <c r="T5540" t="s">
        <v>19913</v>
      </c>
    </row>
    <row r="5541" spans="2:20" x14ac:dyDescent="0.25">
      <c r="B5541" t="s">
        <v>2709</v>
      </c>
      <c r="C5541">
        <v>49119900</v>
      </c>
      <c r="D5541">
        <v>1</v>
      </c>
      <c r="E5541" t="s">
        <v>19447</v>
      </c>
      <c r="F5541">
        <v>18</v>
      </c>
      <c r="G5541">
        <v>0</v>
      </c>
      <c r="H5541">
        <v>7.6</v>
      </c>
      <c r="I5541">
        <v>1.65</v>
      </c>
      <c r="J5541">
        <v>16</v>
      </c>
      <c r="L5541" t="s">
        <v>2709</v>
      </c>
      <c r="M5541">
        <v>49119900</v>
      </c>
      <c r="N5541">
        <v>1</v>
      </c>
      <c r="O5541" t="s">
        <v>19447</v>
      </c>
      <c r="P5541" t="s">
        <v>19899</v>
      </c>
      <c r="Q5541" t="s">
        <v>19900</v>
      </c>
      <c r="R5541" t="s">
        <v>19905</v>
      </c>
      <c r="S5541" t="s">
        <v>19906</v>
      </c>
      <c r="T5541" t="s">
        <v>19913</v>
      </c>
    </row>
    <row r="5542" spans="2:20" x14ac:dyDescent="0.25">
      <c r="B5542" t="s">
        <v>2709</v>
      </c>
      <c r="C5542">
        <v>50010000</v>
      </c>
      <c r="E5542" t="s">
        <v>19447</v>
      </c>
      <c r="F5542">
        <v>18</v>
      </c>
      <c r="G5542">
        <v>0</v>
      </c>
      <c r="H5542">
        <v>7.6</v>
      </c>
      <c r="I5542">
        <v>1.65</v>
      </c>
      <c r="J5542">
        <v>4</v>
      </c>
      <c r="L5542" t="s">
        <v>2709</v>
      </c>
      <c r="M5542">
        <v>50010000</v>
      </c>
      <c r="O5542" t="s">
        <v>19447</v>
      </c>
      <c r="P5542" t="s">
        <v>19899</v>
      </c>
      <c r="Q5542" t="s">
        <v>19900</v>
      </c>
      <c r="R5542" t="s">
        <v>19905</v>
      </c>
      <c r="S5542" t="s">
        <v>19906</v>
      </c>
      <c r="T5542" t="s">
        <v>19902</v>
      </c>
    </row>
    <row r="5543" spans="2:20" x14ac:dyDescent="0.25">
      <c r="B5543" t="s">
        <v>2709</v>
      </c>
      <c r="C5543">
        <v>50020000</v>
      </c>
      <c r="E5543" t="s">
        <v>19447</v>
      </c>
      <c r="F5543">
        <v>18</v>
      </c>
      <c r="G5543">
        <v>0</v>
      </c>
      <c r="H5543">
        <v>7.6</v>
      </c>
      <c r="I5543">
        <v>1.65</v>
      </c>
      <c r="J5543">
        <v>4</v>
      </c>
      <c r="L5543" t="s">
        <v>2709</v>
      </c>
      <c r="M5543">
        <v>50020000</v>
      </c>
      <c r="O5543" t="s">
        <v>19447</v>
      </c>
      <c r="P5543" t="s">
        <v>19899</v>
      </c>
      <c r="Q5543" t="s">
        <v>19900</v>
      </c>
      <c r="R5543" t="s">
        <v>19905</v>
      </c>
      <c r="S5543" t="s">
        <v>19906</v>
      </c>
      <c r="T5543" t="s">
        <v>19902</v>
      </c>
    </row>
    <row r="5544" spans="2:20" x14ac:dyDescent="0.25">
      <c r="B5544" t="s">
        <v>2709</v>
      </c>
      <c r="C5544">
        <v>50030010</v>
      </c>
      <c r="E5544" t="s">
        <v>19447</v>
      </c>
      <c r="F5544">
        <v>18</v>
      </c>
      <c r="G5544">
        <v>0</v>
      </c>
      <c r="H5544">
        <v>7.6</v>
      </c>
      <c r="I5544">
        <v>1.65</v>
      </c>
      <c r="J5544">
        <v>4</v>
      </c>
      <c r="L5544" t="s">
        <v>2709</v>
      </c>
      <c r="M5544">
        <v>50030010</v>
      </c>
      <c r="O5544" t="s">
        <v>19447</v>
      </c>
      <c r="P5544" t="s">
        <v>19899</v>
      </c>
      <c r="Q5544" t="s">
        <v>19900</v>
      </c>
      <c r="R5544" t="s">
        <v>19905</v>
      </c>
      <c r="S5544" t="s">
        <v>19906</v>
      </c>
      <c r="T5544" t="s">
        <v>19902</v>
      </c>
    </row>
    <row r="5545" spans="2:20" x14ac:dyDescent="0.25">
      <c r="B5545" t="s">
        <v>2709</v>
      </c>
      <c r="C5545">
        <v>50030090</v>
      </c>
      <c r="E5545" t="s">
        <v>19447</v>
      </c>
      <c r="F5545">
        <v>18</v>
      </c>
      <c r="G5545">
        <v>0</v>
      </c>
      <c r="H5545">
        <v>7.6</v>
      </c>
      <c r="I5545">
        <v>1.65</v>
      </c>
      <c r="J5545">
        <v>4</v>
      </c>
      <c r="L5545" t="s">
        <v>2709</v>
      </c>
      <c r="M5545">
        <v>50030090</v>
      </c>
      <c r="O5545" t="s">
        <v>19447</v>
      </c>
      <c r="P5545" t="s">
        <v>19899</v>
      </c>
      <c r="Q5545" t="s">
        <v>19900</v>
      </c>
      <c r="R5545" t="s">
        <v>19905</v>
      </c>
      <c r="S5545" t="s">
        <v>19906</v>
      </c>
      <c r="T5545" t="s">
        <v>19902</v>
      </c>
    </row>
    <row r="5546" spans="2:20" x14ac:dyDescent="0.25">
      <c r="B5546" t="s">
        <v>2709</v>
      </c>
      <c r="C5546">
        <v>50040000</v>
      </c>
      <c r="E5546" t="s">
        <v>19447</v>
      </c>
      <c r="F5546">
        <v>18</v>
      </c>
      <c r="G5546">
        <v>0</v>
      </c>
      <c r="H5546">
        <v>7.6</v>
      </c>
      <c r="I5546">
        <v>1.65</v>
      </c>
      <c r="J5546">
        <v>18</v>
      </c>
      <c r="L5546" t="s">
        <v>2709</v>
      </c>
      <c r="M5546">
        <v>50040000</v>
      </c>
      <c r="O5546" t="s">
        <v>19447</v>
      </c>
      <c r="P5546" t="s">
        <v>19899</v>
      </c>
      <c r="Q5546" t="s">
        <v>19900</v>
      </c>
      <c r="R5546" t="s">
        <v>19905</v>
      </c>
      <c r="S5546" t="s">
        <v>19906</v>
      </c>
      <c r="T5546" t="s">
        <v>19899</v>
      </c>
    </row>
    <row r="5547" spans="2:20" x14ac:dyDescent="0.25">
      <c r="B5547" t="s">
        <v>2709</v>
      </c>
      <c r="C5547">
        <v>50050000</v>
      </c>
      <c r="E5547" t="s">
        <v>19447</v>
      </c>
      <c r="F5547">
        <v>18</v>
      </c>
      <c r="G5547">
        <v>0</v>
      </c>
      <c r="H5547">
        <v>7.6</v>
      </c>
      <c r="I5547">
        <v>1.65</v>
      </c>
      <c r="J5547">
        <v>18</v>
      </c>
      <c r="L5547" t="s">
        <v>2709</v>
      </c>
      <c r="M5547">
        <v>50050000</v>
      </c>
      <c r="O5547" t="s">
        <v>19447</v>
      </c>
      <c r="P5547" t="s">
        <v>19899</v>
      </c>
      <c r="Q5547" t="s">
        <v>19900</v>
      </c>
      <c r="R5547" t="s">
        <v>19905</v>
      </c>
      <c r="S5547" t="s">
        <v>19906</v>
      </c>
      <c r="T5547" t="s">
        <v>19899</v>
      </c>
    </row>
    <row r="5548" spans="2:20" x14ac:dyDescent="0.25">
      <c r="B5548" t="s">
        <v>2709</v>
      </c>
      <c r="C5548">
        <v>50060000</v>
      </c>
      <c r="E5548" t="s">
        <v>19447</v>
      </c>
      <c r="F5548">
        <v>18</v>
      </c>
      <c r="G5548">
        <v>0</v>
      </c>
      <c r="H5548">
        <v>7.6</v>
      </c>
      <c r="I5548">
        <v>1.65</v>
      </c>
      <c r="J5548">
        <v>18</v>
      </c>
      <c r="L5548" t="s">
        <v>2709</v>
      </c>
      <c r="M5548">
        <v>50060000</v>
      </c>
      <c r="O5548" t="s">
        <v>19447</v>
      </c>
      <c r="P5548" t="s">
        <v>19899</v>
      </c>
      <c r="Q5548" t="s">
        <v>19900</v>
      </c>
      <c r="R5548" t="s">
        <v>19905</v>
      </c>
      <c r="S5548" t="s">
        <v>19906</v>
      </c>
      <c r="T5548" t="s">
        <v>19899</v>
      </c>
    </row>
    <row r="5549" spans="2:20" x14ac:dyDescent="0.25">
      <c r="B5549" t="s">
        <v>2709</v>
      </c>
      <c r="C5549">
        <v>50071010</v>
      </c>
      <c r="E5549" t="s">
        <v>19447</v>
      </c>
      <c r="F5549">
        <v>18</v>
      </c>
      <c r="G5549">
        <v>0</v>
      </c>
      <c r="H5549">
        <v>7.6</v>
      </c>
      <c r="I5549">
        <v>1.65</v>
      </c>
      <c r="J5549">
        <v>26</v>
      </c>
      <c r="L5549" t="s">
        <v>2709</v>
      </c>
      <c r="M5549">
        <v>50071010</v>
      </c>
      <c r="O5549" t="s">
        <v>19447</v>
      </c>
      <c r="P5549" t="s">
        <v>19899</v>
      </c>
      <c r="Q5549" t="s">
        <v>19900</v>
      </c>
      <c r="R5549" t="s">
        <v>19905</v>
      </c>
      <c r="S5549" t="s">
        <v>19906</v>
      </c>
      <c r="T5549" t="s">
        <v>20108</v>
      </c>
    </row>
    <row r="5550" spans="2:20" x14ac:dyDescent="0.25">
      <c r="B5550" t="s">
        <v>2709</v>
      </c>
      <c r="C5550">
        <v>50071090</v>
      </c>
      <c r="E5550" t="s">
        <v>19447</v>
      </c>
      <c r="F5550">
        <v>18</v>
      </c>
      <c r="G5550">
        <v>0</v>
      </c>
      <c r="H5550">
        <v>7.6</v>
      </c>
      <c r="I5550">
        <v>1.65</v>
      </c>
      <c r="J5550">
        <v>26</v>
      </c>
      <c r="L5550" t="s">
        <v>2709</v>
      </c>
      <c r="M5550">
        <v>50071090</v>
      </c>
      <c r="O5550" t="s">
        <v>19447</v>
      </c>
      <c r="P5550" t="s">
        <v>19899</v>
      </c>
      <c r="Q5550" t="s">
        <v>19900</v>
      </c>
      <c r="R5550" t="s">
        <v>19905</v>
      </c>
      <c r="S5550" t="s">
        <v>19906</v>
      </c>
      <c r="T5550" t="s">
        <v>20108</v>
      </c>
    </row>
    <row r="5551" spans="2:20" x14ac:dyDescent="0.25">
      <c r="B5551" t="s">
        <v>2709</v>
      </c>
      <c r="C5551">
        <v>50072010</v>
      </c>
      <c r="E5551" t="s">
        <v>19447</v>
      </c>
      <c r="F5551">
        <v>18</v>
      </c>
      <c r="G5551">
        <v>0</v>
      </c>
      <c r="H5551">
        <v>7.6</v>
      </c>
      <c r="I5551">
        <v>1.65</v>
      </c>
      <c r="J5551">
        <v>26</v>
      </c>
      <c r="L5551" t="s">
        <v>2709</v>
      </c>
      <c r="M5551">
        <v>50072010</v>
      </c>
      <c r="O5551" t="s">
        <v>19447</v>
      </c>
      <c r="P5551" t="s">
        <v>19899</v>
      </c>
      <c r="Q5551" t="s">
        <v>19900</v>
      </c>
      <c r="R5551" t="s">
        <v>19905</v>
      </c>
      <c r="S5551" t="s">
        <v>19906</v>
      </c>
      <c r="T5551" t="s">
        <v>20108</v>
      </c>
    </row>
    <row r="5552" spans="2:20" x14ac:dyDescent="0.25">
      <c r="B5552" t="s">
        <v>2709</v>
      </c>
      <c r="C5552">
        <v>50072090</v>
      </c>
      <c r="E5552" t="s">
        <v>19447</v>
      </c>
      <c r="F5552">
        <v>18</v>
      </c>
      <c r="G5552">
        <v>0</v>
      </c>
      <c r="H5552">
        <v>7.6</v>
      </c>
      <c r="I5552">
        <v>1.65</v>
      </c>
      <c r="J5552">
        <v>26</v>
      </c>
      <c r="L5552" t="s">
        <v>2709</v>
      </c>
      <c r="M5552">
        <v>50072090</v>
      </c>
      <c r="O5552" t="s">
        <v>19447</v>
      </c>
      <c r="P5552" t="s">
        <v>19899</v>
      </c>
      <c r="Q5552" t="s">
        <v>19900</v>
      </c>
      <c r="R5552" t="s">
        <v>19905</v>
      </c>
      <c r="S5552" t="s">
        <v>19906</v>
      </c>
      <c r="T5552" t="s">
        <v>20108</v>
      </c>
    </row>
    <row r="5553" spans="2:20" x14ac:dyDescent="0.25">
      <c r="B5553" t="s">
        <v>2709</v>
      </c>
      <c r="C5553">
        <v>50079000</v>
      </c>
      <c r="E5553" t="s">
        <v>19447</v>
      </c>
      <c r="F5553">
        <v>18</v>
      </c>
      <c r="G5553">
        <v>0</v>
      </c>
      <c r="H5553">
        <v>7.6</v>
      </c>
      <c r="I5553">
        <v>1.65</v>
      </c>
      <c r="J5553">
        <v>26</v>
      </c>
      <c r="L5553" t="s">
        <v>2709</v>
      </c>
      <c r="M5553">
        <v>50079000</v>
      </c>
      <c r="O5553" t="s">
        <v>19447</v>
      </c>
      <c r="P5553" t="s">
        <v>19899</v>
      </c>
      <c r="Q5553" t="s">
        <v>19900</v>
      </c>
      <c r="R5553" t="s">
        <v>19905</v>
      </c>
      <c r="S5553" t="s">
        <v>19906</v>
      </c>
      <c r="T5553" t="s">
        <v>20108</v>
      </c>
    </row>
    <row r="5554" spans="2:20" x14ac:dyDescent="0.25">
      <c r="B5554" t="s">
        <v>2709</v>
      </c>
      <c r="C5554">
        <v>51011110</v>
      </c>
      <c r="E5554" t="s">
        <v>19447</v>
      </c>
      <c r="F5554">
        <v>18</v>
      </c>
      <c r="G5554">
        <v>0</v>
      </c>
      <c r="H5554">
        <v>7.6</v>
      </c>
      <c r="I5554">
        <v>1.65</v>
      </c>
      <c r="J5554">
        <v>8</v>
      </c>
      <c r="L5554" t="s">
        <v>2709</v>
      </c>
      <c r="M5554">
        <v>51011110</v>
      </c>
      <c r="O5554" t="s">
        <v>19447</v>
      </c>
      <c r="P5554" t="s">
        <v>19899</v>
      </c>
      <c r="Q5554" t="s">
        <v>19900</v>
      </c>
      <c r="R5554" t="s">
        <v>19905</v>
      </c>
      <c r="S5554" t="s">
        <v>19906</v>
      </c>
      <c r="T5554" t="s">
        <v>19918</v>
      </c>
    </row>
    <row r="5555" spans="2:20" x14ac:dyDescent="0.25">
      <c r="B5555" t="s">
        <v>2709</v>
      </c>
      <c r="C5555">
        <v>51011190</v>
      </c>
      <c r="E5555" t="s">
        <v>19447</v>
      </c>
      <c r="F5555">
        <v>18</v>
      </c>
      <c r="G5555">
        <v>0</v>
      </c>
      <c r="H5555">
        <v>7.6</v>
      </c>
      <c r="I5555">
        <v>1.65</v>
      </c>
      <c r="J5555">
        <v>8</v>
      </c>
      <c r="L5555" t="s">
        <v>2709</v>
      </c>
      <c r="M5555">
        <v>51011190</v>
      </c>
      <c r="O5555" t="s">
        <v>19447</v>
      </c>
      <c r="P5555" t="s">
        <v>19899</v>
      </c>
      <c r="Q5555" t="s">
        <v>19900</v>
      </c>
      <c r="R5555" t="s">
        <v>19905</v>
      </c>
      <c r="S5555" t="s">
        <v>19906</v>
      </c>
      <c r="T5555" t="s">
        <v>19918</v>
      </c>
    </row>
    <row r="5556" spans="2:20" x14ac:dyDescent="0.25">
      <c r="B5556" t="s">
        <v>2709</v>
      </c>
      <c r="C5556">
        <v>51011900</v>
      </c>
      <c r="E5556" t="s">
        <v>19447</v>
      </c>
      <c r="F5556">
        <v>18</v>
      </c>
      <c r="G5556">
        <v>0</v>
      </c>
      <c r="H5556">
        <v>7.6</v>
      </c>
      <c r="I5556">
        <v>1.65</v>
      </c>
      <c r="J5556">
        <v>8</v>
      </c>
      <c r="L5556" t="s">
        <v>2709</v>
      </c>
      <c r="M5556">
        <v>51011900</v>
      </c>
      <c r="O5556" t="s">
        <v>19447</v>
      </c>
      <c r="P5556" t="s">
        <v>19899</v>
      </c>
      <c r="Q5556" t="s">
        <v>19900</v>
      </c>
      <c r="R5556" t="s">
        <v>19905</v>
      </c>
      <c r="S5556" t="s">
        <v>19906</v>
      </c>
      <c r="T5556" t="s">
        <v>19918</v>
      </c>
    </row>
    <row r="5557" spans="2:20" x14ac:dyDescent="0.25">
      <c r="B5557" t="s">
        <v>2709</v>
      </c>
      <c r="C5557">
        <v>51012100</v>
      </c>
      <c r="E5557" t="s">
        <v>19447</v>
      </c>
      <c r="F5557">
        <v>18</v>
      </c>
      <c r="G5557">
        <v>0</v>
      </c>
      <c r="H5557">
        <v>7.6</v>
      </c>
      <c r="I5557">
        <v>1.65</v>
      </c>
      <c r="J5557">
        <v>8</v>
      </c>
      <c r="L5557" t="s">
        <v>2709</v>
      </c>
      <c r="M5557">
        <v>51012100</v>
      </c>
      <c r="O5557" t="s">
        <v>19447</v>
      </c>
      <c r="P5557" t="s">
        <v>19899</v>
      </c>
      <c r="Q5557" t="s">
        <v>19900</v>
      </c>
      <c r="R5557" t="s">
        <v>19905</v>
      </c>
      <c r="S5557" t="s">
        <v>19906</v>
      </c>
      <c r="T5557" t="s">
        <v>19918</v>
      </c>
    </row>
    <row r="5558" spans="2:20" x14ac:dyDescent="0.25">
      <c r="B5558" t="s">
        <v>2709</v>
      </c>
      <c r="C5558">
        <v>51012900</v>
      </c>
      <c r="E5558" t="s">
        <v>19447</v>
      </c>
      <c r="F5558">
        <v>18</v>
      </c>
      <c r="G5558">
        <v>0</v>
      </c>
      <c r="H5558">
        <v>7.6</v>
      </c>
      <c r="I5558">
        <v>1.65</v>
      </c>
      <c r="J5558">
        <v>8</v>
      </c>
      <c r="L5558" t="s">
        <v>2709</v>
      </c>
      <c r="M5558">
        <v>51012900</v>
      </c>
      <c r="O5558" t="s">
        <v>19447</v>
      </c>
      <c r="P5558" t="s">
        <v>19899</v>
      </c>
      <c r="Q5558" t="s">
        <v>19900</v>
      </c>
      <c r="R5558" t="s">
        <v>19905</v>
      </c>
      <c r="S5558" t="s">
        <v>19906</v>
      </c>
      <c r="T5558" t="s">
        <v>19918</v>
      </c>
    </row>
    <row r="5559" spans="2:20" x14ac:dyDescent="0.25">
      <c r="B5559" t="s">
        <v>2709</v>
      </c>
      <c r="C5559">
        <v>51013000</v>
      </c>
      <c r="E5559" t="s">
        <v>19447</v>
      </c>
      <c r="F5559">
        <v>18</v>
      </c>
      <c r="G5559">
        <v>0</v>
      </c>
      <c r="H5559">
        <v>7.6</v>
      </c>
      <c r="I5559">
        <v>1.65</v>
      </c>
      <c r="J5559">
        <v>8</v>
      </c>
      <c r="L5559" t="s">
        <v>2709</v>
      </c>
      <c r="M5559">
        <v>51013000</v>
      </c>
      <c r="O5559" t="s">
        <v>19447</v>
      </c>
      <c r="P5559" t="s">
        <v>19899</v>
      </c>
      <c r="Q5559" t="s">
        <v>19900</v>
      </c>
      <c r="R5559" t="s">
        <v>19905</v>
      </c>
      <c r="S5559" t="s">
        <v>19906</v>
      </c>
      <c r="T5559" t="s">
        <v>19918</v>
      </c>
    </row>
    <row r="5560" spans="2:20" x14ac:dyDescent="0.25">
      <c r="B5560" t="s">
        <v>2709</v>
      </c>
      <c r="C5560">
        <v>51021100</v>
      </c>
      <c r="E5560" t="s">
        <v>19447</v>
      </c>
      <c r="F5560">
        <v>18</v>
      </c>
      <c r="G5560">
        <v>0</v>
      </c>
      <c r="H5560">
        <v>7.6</v>
      </c>
      <c r="I5560">
        <v>1.65</v>
      </c>
      <c r="J5560">
        <v>8</v>
      </c>
      <c r="L5560" t="s">
        <v>2709</v>
      </c>
      <c r="M5560">
        <v>51021100</v>
      </c>
      <c r="O5560" t="s">
        <v>19447</v>
      </c>
      <c r="P5560" t="s">
        <v>19899</v>
      </c>
      <c r="Q5560" t="s">
        <v>19900</v>
      </c>
      <c r="R5560" t="s">
        <v>19905</v>
      </c>
      <c r="S5560" t="s">
        <v>19906</v>
      </c>
      <c r="T5560" t="s">
        <v>19918</v>
      </c>
    </row>
    <row r="5561" spans="2:20" x14ac:dyDescent="0.25">
      <c r="B5561" t="s">
        <v>2709</v>
      </c>
      <c r="C5561">
        <v>51021900</v>
      </c>
      <c r="E5561" t="s">
        <v>19447</v>
      </c>
      <c r="F5561">
        <v>18</v>
      </c>
      <c r="G5561">
        <v>0</v>
      </c>
      <c r="H5561">
        <v>7.6</v>
      </c>
      <c r="I5561">
        <v>1.65</v>
      </c>
      <c r="J5561">
        <v>8</v>
      </c>
      <c r="L5561" t="s">
        <v>2709</v>
      </c>
      <c r="M5561">
        <v>51021900</v>
      </c>
      <c r="O5561" t="s">
        <v>19447</v>
      </c>
      <c r="P5561" t="s">
        <v>19899</v>
      </c>
      <c r="Q5561" t="s">
        <v>19900</v>
      </c>
      <c r="R5561" t="s">
        <v>19905</v>
      </c>
      <c r="S5561" t="s">
        <v>19906</v>
      </c>
      <c r="T5561" t="s">
        <v>19918</v>
      </c>
    </row>
    <row r="5562" spans="2:20" x14ac:dyDescent="0.25">
      <c r="B5562" t="s">
        <v>2709</v>
      </c>
      <c r="C5562">
        <v>51022000</v>
      </c>
      <c r="E5562" t="s">
        <v>19447</v>
      </c>
      <c r="F5562">
        <v>18</v>
      </c>
      <c r="G5562">
        <v>0</v>
      </c>
      <c r="H5562">
        <v>7.6</v>
      </c>
      <c r="I5562">
        <v>1.65</v>
      </c>
      <c r="J5562">
        <v>8</v>
      </c>
      <c r="L5562" t="s">
        <v>2709</v>
      </c>
      <c r="M5562">
        <v>51022000</v>
      </c>
      <c r="O5562" t="s">
        <v>19447</v>
      </c>
      <c r="P5562" t="s">
        <v>19899</v>
      </c>
      <c r="Q5562" t="s">
        <v>19900</v>
      </c>
      <c r="R5562" t="s">
        <v>19905</v>
      </c>
      <c r="S5562" t="s">
        <v>19906</v>
      </c>
      <c r="T5562" t="s">
        <v>19918</v>
      </c>
    </row>
    <row r="5563" spans="2:20" x14ac:dyDescent="0.25">
      <c r="B5563" t="s">
        <v>2709</v>
      </c>
      <c r="C5563">
        <v>51031000</v>
      </c>
      <c r="E5563" t="s">
        <v>19447</v>
      </c>
      <c r="F5563">
        <v>18</v>
      </c>
      <c r="G5563">
        <v>0</v>
      </c>
      <c r="H5563">
        <v>7.6</v>
      </c>
      <c r="I5563">
        <v>1.65</v>
      </c>
      <c r="J5563">
        <v>6</v>
      </c>
      <c r="L5563" t="s">
        <v>2709</v>
      </c>
      <c r="M5563">
        <v>51031000</v>
      </c>
      <c r="O5563" t="s">
        <v>19447</v>
      </c>
      <c r="P5563" t="s">
        <v>19899</v>
      </c>
      <c r="Q5563" t="s">
        <v>19900</v>
      </c>
      <c r="R5563" t="s">
        <v>19905</v>
      </c>
      <c r="S5563" t="s">
        <v>19906</v>
      </c>
      <c r="T5563" t="s">
        <v>19907</v>
      </c>
    </row>
    <row r="5564" spans="2:20" x14ac:dyDescent="0.25">
      <c r="B5564" t="s">
        <v>2709</v>
      </c>
      <c r="C5564">
        <v>51032000</v>
      </c>
      <c r="E5564" t="s">
        <v>19447</v>
      </c>
      <c r="F5564">
        <v>18</v>
      </c>
      <c r="G5564">
        <v>0</v>
      </c>
      <c r="H5564">
        <v>7.6</v>
      </c>
      <c r="I5564">
        <v>1.65</v>
      </c>
      <c r="J5564">
        <v>6</v>
      </c>
      <c r="L5564" t="s">
        <v>2709</v>
      </c>
      <c r="M5564">
        <v>51032000</v>
      </c>
      <c r="O5564" t="s">
        <v>19447</v>
      </c>
      <c r="P5564" t="s">
        <v>19899</v>
      </c>
      <c r="Q5564" t="s">
        <v>19900</v>
      </c>
      <c r="R5564" t="s">
        <v>19905</v>
      </c>
      <c r="S5564" t="s">
        <v>19906</v>
      </c>
      <c r="T5564" t="s">
        <v>19907</v>
      </c>
    </row>
    <row r="5565" spans="2:20" x14ac:dyDescent="0.25">
      <c r="B5565" t="s">
        <v>2709</v>
      </c>
      <c r="C5565">
        <v>51033000</v>
      </c>
      <c r="E5565" t="s">
        <v>19447</v>
      </c>
      <c r="F5565">
        <v>18</v>
      </c>
      <c r="G5565">
        <v>0</v>
      </c>
      <c r="H5565">
        <v>7.6</v>
      </c>
      <c r="I5565">
        <v>1.65</v>
      </c>
      <c r="J5565">
        <v>6</v>
      </c>
      <c r="L5565" t="s">
        <v>2709</v>
      </c>
      <c r="M5565">
        <v>51033000</v>
      </c>
      <c r="O5565" t="s">
        <v>19447</v>
      </c>
      <c r="P5565" t="s">
        <v>19899</v>
      </c>
      <c r="Q5565" t="s">
        <v>19900</v>
      </c>
      <c r="R5565" t="s">
        <v>19905</v>
      </c>
      <c r="S5565" t="s">
        <v>19906</v>
      </c>
      <c r="T5565" t="s">
        <v>19907</v>
      </c>
    </row>
    <row r="5566" spans="2:20" x14ac:dyDescent="0.25">
      <c r="B5566" t="s">
        <v>2709</v>
      </c>
      <c r="C5566">
        <v>51040000</v>
      </c>
      <c r="E5566" t="s">
        <v>19447</v>
      </c>
      <c r="F5566">
        <v>18</v>
      </c>
      <c r="G5566">
        <v>0</v>
      </c>
      <c r="H5566">
        <v>7.6</v>
      </c>
      <c r="I5566">
        <v>1.65</v>
      </c>
      <c r="J5566">
        <v>6</v>
      </c>
      <c r="L5566" t="s">
        <v>2709</v>
      </c>
      <c r="M5566">
        <v>51040000</v>
      </c>
      <c r="O5566" t="s">
        <v>19447</v>
      </c>
      <c r="P5566" t="s">
        <v>19899</v>
      </c>
      <c r="Q5566" t="s">
        <v>19900</v>
      </c>
      <c r="R5566" t="s">
        <v>19905</v>
      </c>
      <c r="S5566" t="s">
        <v>19906</v>
      </c>
      <c r="T5566" t="s">
        <v>19907</v>
      </c>
    </row>
    <row r="5567" spans="2:20" x14ac:dyDescent="0.25">
      <c r="B5567" t="s">
        <v>2709</v>
      </c>
      <c r="C5567">
        <v>51051000</v>
      </c>
      <c r="E5567" t="s">
        <v>19447</v>
      </c>
      <c r="F5567">
        <v>18</v>
      </c>
      <c r="G5567">
        <v>0</v>
      </c>
      <c r="H5567">
        <v>7.6</v>
      </c>
      <c r="I5567">
        <v>1.65</v>
      </c>
      <c r="J5567">
        <v>10</v>
      </c>
      <c r="L5567" t="s">
        <v>2709</v>
      </c>
      <c r="M5567">
        <v>51051000</v>
      </c>
      <c r="O5567" t="s">
        <v>19447</v>
      </c>
      <c r="P5567" t="s">
        <v>19899</v>
      </c>
      <c r="Q5567" t="s">
        <v>19900</v>
      </c>
      <c r="R5567" t="s">
        <v>19905</v>
      </c>
      <c r="S5567" t="s">
        <v>19906</v>
      </c>
      <c r="T5567" t="s">
        <v>19904</v>
      </c>
    </row>
    <row r="5568" spans="2:20" x14ac:dyDescent="0.25">
      <c r="B5568" t="s">
        <v>2709</v>
      </c>
      <c r="C5568">
        <v>51052100</v>
      </c>
      <c r="E5568" t="s">
        <v>19447</v>
      </c>
      <c r="F5568">
        <v>18</v>
      </c>
      <c r="G5568">
        <v>0</v>
      </c>
      <c r="H5568">
        <v>7.6</v>
      </c>
      <c r="I5568">
        <v>1.65</v>
      </c>
      <c r="J5568">
        <v>10</v>
      </c>
      <c r="L5568" t="s">
        <v>2709</v>
      </c>
      <c r="M5568">
        <v>51052100</v>
      </c>
      <c r="O5568" t="s">
        <v>19447</v>
      </c>
      <c r="P5568" t="s">
        <v>19899</v>
      </c>
      <c r="Q5568" t="s">
        <v>19900</v>
      </c>
      <c r="R5568" t="s">
        <v>19905</v>
      </c>
      <c r="S5568" t="s">
        <v>19906</v>
      </c>
      <c r="T5568" t="s">
        <v>19904</v>
      </c>
    </row>
    <row r="5569" spans="2:20" x14ac:dyDescent="0.25">
      <c r="B5569" t="s">
        <v>2709</v>
      </c>
      <c r="C5569">
        <v>51052910</v>
      </c>
      <c r="E5569" t="s">
        <v>19447</v>
      </c>
      <c r="F5569">
        <v>18</v>
      </c>
      <c r="G5569">
        <v>0</v>
      </c>
      <c r="H5569">
        <v>7.6</v>
      </c>
      <c r="I5569">
        <v>1.65</v>
      </c>
      <c r="J5569">
        <v>10</v>
      </c>
      <c r="L5569" t="s">
        <v>2709</v>
      </c>
      <c r="M5569">
        <v>51052910</v>
      </c>
      <c r="O5569" t="s">
        <v>19447</v>
      </c>
      <c r="P5569" t="s">
        <v>19899</v>
      </c>
      <c r="Q5569" t="s">
        <v>19900</v>
      </c>
      <c r="R5569" t="s">
        <v>19905</v>
      </c>
      <c r="S5569" t="s">
        <v>19906</v>
      </c>
      <c r="T5569" t="s">
        <v>19904</v>
      </c>
    </row>
    <row r="5570" spans="2:20" x14ac:dyDescent="0.25">
      <c r="B5570" t="s">
        <v>2709</v>
      </c>
      <c r="C5570">
        <v>51052991</v>
      </c>
      <c r="E5570" t="s">
        <v>19447</v>
      </c>
      <c r="F5570">
        <v>18</v>
      </c>
      <c r="G5570">
        <v>0</v>
      </c>
      <c r="H5570">
        <v>7.6</v>
      </c>
      <c r="I5570">
        <v>1.65</v>
      </c>
      <c r="J5570">
        <v>10</v>
      </c>
      <c r="L5570" t="s">
        <v>2709</v>
      </c>
      <c r="M5570">
        <v>51052991</v>
      </c>
      <c r="O5570" t="s">
        <v>19447</v>
      </c>
      <c r="P5570" t="s">
        <v>19899</v>
      </c>
      <c r="Q5570" t="s">
        <v>19900</v>
      </c>
      <c r="R5570" t="s">
        <v>19905</v>
      </c>
      <c r="S5570" t="s">
        <v>19906</v>
      </c>
      <c r="T5570" t="s">
        <v>19904</v>
      </c>
    </row>
    <row r="5571" spans="2:20" x14ac:dyDescent="0.25">
      <c r="B5571" t="s">
        <v>2709</v>
      </c>
      <c r="C5571">
        <v>51052999</v>
      </c>
      <c r="E5571" t="s">
        <v>19447</v>
      </c>
      <c r="F5571">
        <v>18</v>
      </c>
      <c r="G5571">
        <v>0</v>
      </c>
      <c r="H5571">
        <v>7.6</v>
      </c>
      <c r="I5571">
        <v>1.65</v>
      </c>
      <c r="J5571">
        <v>10</v>
      </c>
      <c r="L5571" t="s">
        <v>2709</v>
      </c>
      <c r="M5571">
        <v>51052999</v>
      </c>
      <c r="O5571" t="s">
        <v>19447</v>
      </c>
      <c r="P5571" t="s">
        <v>19899</v>
      </c>
      <c r="Q5571" t="s">
        <v>19900</v>
      </c>
      <c r="R5571" t="s">
        <v>19905</v>
      </c>
      <c r="S5571" t="s">
        <v>19906</v>
      </c>
      <c r="T5571" t="s">
        <v>19904</v>
      </c>
    </row>
    <row r="5572" spans="2:20" x14ac:dyDescent="0.25">
      <c r="B5572" t="s">
        <v>2709</v>
      </c>
      <c r="C5572">
        <v>51053100</v>
      </c>
      <c r="E5572" t="s">
        <v>19447</v>
      </c>
      <c r="F5572">
        <v>18</v>
      </c>
      <c r="G5572">
        <v>0</v>
      </c>
      <c r="H5572">
        <v>7.6</v>
      </c>
      <c r="I5572">
        <v>1.65</v>
      </c>
      <c r="J5572">
        <v>10</v>
      </c>
      <c r="L5572" t="s">
        <v>2709</v>
      </c>
      <c r="M5572">
        <v>51053100</v>
      </c>
      <c r="O5572" t="s">
        <v>19447</v>
      </c>
      <c r="P5572" t="s">
        <v>19899</v>
      </c>
      <c r="Q5572" t="s">
        <v>19900</v>
      </c>
      <c r="R5572" t="s">
        <v>19905</v>
      </c>
      <c r="S5572" t="s">
        <v>19906</v>
      </c>
      <c r="T5572" t="s">
        <v>19904</v>
      </c>
    </row>
    <row r="5573" spans="2:20" x14ac:dyDescent="0.25">
      <c r="B5573" t="s">
        <v>2709</v>
      </c>
      <c r="C5573">
        <v>51053900</v>
      </c>
      <c r="E5573" t="s">
        <v>19447</v>
      </c>
      <c r="F5573">
        <v>18</v>
      </c>
      <c r="G5573">
        <v>0</v>
      </c>
      <c r="H5573">
        <v>7.6</v>
      </c>
      <c r="I5573">
        <v>1.65</v>
      </c>
      <c r="J5573">
        <v>10</v>
      </c>
      <c r="L5573" t="s">
        <v>2709</v>
      </c>
      <c r="M5573">
        <v>51053900</v>
      </c>
      <c r="O5573" t="s">
        <v>19447</v>
      </c>
      <c r="P5573" t="s">
        <v>19899</v>
      </c>
      <c r="Q5573" t="s">
        <v>19900</v>
      </c>
      <c r="R5573" t="s">
        <v>19905</v>
      </c>
      <c r="S5573" t="s">
        <v>19906</v>
      </c>
      <c r="T5573" t="s">
        <v>19904</v>
      </c>
    </row>
    <row r="5574" spans="2:20" x14ac:dyDescent="0.25">
      <c r="B5574" t="s">
        <v>2709</v>
      </c>
      <c r="C5574">
        <v>51054000</v>
      </c>
      <c r="E5574" t="s">
        <v>19447</v>
      </c>
      <c r="F5574">
        <v>18</v>
      </c>
      <c r="G5574">
        <v>0</v>
      </c>
      <c r="H5574">
        <v>7.6</v>
      </c>
      <c r="I5574">
        <v>1.65</v>
      </c>
      <c r="J5574">
        <v>10</v>
      </c>
      <c r="L5574" t="s">
        <v>2709</v>
      </c>
      <c r="M5574">
        <v>51054000</v>
      </c>
      <c r="O5574" t="s">
        <v>19447</v>
      </c>
      <c r="P5574" t="s">
        <v>19899</v>
      </c>
      <c r="Q5574" t="s">
        <v>19900</v>
      </c>
      <c r="R5574" t="s">
        <v>19905</v>
      </c>
      <c r="S5574" t="s">
        <v>19906</v>
      </c>
      <c r="T5574" t="s">
        <v>19904</v>
      </c>
    </row>
    <row r="5575" spans="2:20" x14ac:dyDescent="0.25">
      <c r="B5575" t="s">
        <v>2709</v>
      </c>
      <c r="C5575">
        <v>51061000</v>
      </c>
      <c r="E5575" t="s">
        <v>19447</v>
      </c>
      <c r="F5575">
        <v>18</v>
      </c>
      <c r="G5575">
        <v>0</v>
      </c>
      <c r="H5575">
        <v>7.6</v>
      </c>
      <c r="I5575">
        <v>1.65</v>
      </c>
      <c r="J5575">
        <v>18</v>
      </c>
      <c r="L5575" t="s">
        <v>2709</v>
      </c>
      <c r="M5575">
        <v>51061000</v>
      </c>
      <c r="O5575" t="s">
        <v>19447</v>
      </c>
      <c r="P5575" t="s">
        <v>19899</v>
      </c>
      <c r="Q5575" t="s">
        <v>19900</v>
      </c>
      <c r="R5575" t="s">
        <v>19905</v>
      </c>
      <c r="S5575" t="s">
        <v>19906</v>
      </c>
      <c r="T5575" t="s">
        <v>19899</v>
      </c>
    </row>
    <row r="5576" spans="2:20" x14ac:dyDescent="0.25">
      <c r="B5576" t="s">
        <v>2709</v>
      </c>
      <c r="C5576">
        <v>51062000</v>
      </c>
      <c r="E5576" t="s">
        <v>19447</v>
      </c>
      <c r="F5576">
        <v>18</v>
      </c>
      <c r="G5576">
        <v>0</v>
      </c>
      <c r="H5576">
        <v>7.6</v>
      </c>
      <c r="I5576">
        <v>1.65</v>
      </c>
      <c r="J5576">
        <v>18</v>
      </c>
      <c r="L5576" t="s">
        <v>2709</v>
      </c>
      <c r="M5576">
        <v>51062000</v>
      </c>
      <c r="O5576" t="s">
        <v>19447</v>
      </c>
      <c r="P5576" t="s">
        <v>19899</v>
      </c>
      <c r="Q5576" t="s">
        <v>19900</v>
      </c>
      <c r="R5576" t="s">
        <v>19905</v>
      </c>
      <c r="S5576" t="s">
        <v>19906</v>
      </c>
      <c r="T5576" t="s">
        <v>19899</v>
      </c>
    </row>
    <row r="5577" spans="2:20" x14ac:dyDescent="0.25">
      <c r="B5577" t="s">
        <v>2709</v>
      </c>
      <c r="C5577">
        <v>51071011</v>
      </c>
      <c r="E5577" t="s">
        <v>19447</v>
      </c>
      <c r="F5577">
        <v>18</v>
      </c>
      <c r="G5577">
        <v>0</v>
      </c>
      <c r="H5577">
        <v>7.6</v>
      </c>
      <c r="I5577">
        <v>1.65</v>
      </c>
      <c r="J5577">
        <v>18</v>
      </c>
      <c r="L5577" t="s">
        <v>2709</v>
      </c>
      <c r="M5577">
        <v>51071011</v>
      </c>
      <c r="O5577" t="s">
        <v>19447</v>
      </c>
      <c r="P5577" t="s">
        <v>19899</v>
      </c>
      <c r="Q5577" t="s">
        <v>19900</v>
      </c>
      <c r="R5577" t="s">
        <v>19905</v>
      </c>
      <c r="S5577" t="s">
        <v>19906</v>
      </c>
      <c r="T5577" t="s">
        <v>19899</v>
      </c>
    </row>
    <row r="5578" spans="2:20" x14ac:dyDescent="0.25">
      <c r="B5578" t="s">
        <v>2709</v>
      </c>
      <c r="C5578">
        <v>51071019</v>
      </c>
      <c r="E5578" t="s">
        <v>19447</v>
      </c>
      <c r="F5578">
        <v>18</v>
      </c>
      <c r="G5578">
        <v>0</v>
      </c>
      <c r="H5578">
        <v>7.6</v>
      </c>
      <c r="I5578">
        <v>1.65</v>
      </c>
      <c r="J5578">
        <v>18</v>
      </c>
      <c r="L5578" t="s">
        <v>2709</v>
      </c>
      <c r="M5578">
        <v>51071019</v>
      </c>
      <c r="O5578" t="s">
        <v>19447</v>
      </c>
      <c r="P5578" t="s">
        <v>19899</v>
      </c>
      <c r="Q5578" t="s">
        <v>19900</v>
      </c>
      <c r="R5578" t="s">
        <v>19905</v>
      </c>
      <c r="S5578" t="s">
        <v>19906</v>
      </c>
      <c r="T5578" t="s">
        <v>19899</v>
      </c>
    </row>
    <row r="5579" spans="2:20" x14ac:dyDescent="0.25">
      <c r="B5579" t="s">
        <v>2709</v>
      </c>
      <c r="C5579">
        <v>51071090</v>
      </c>
      <c r="E5579" t="s">
        <v>19447</v>
      </c>
      <c r="F5579">
        <v>18</v>
      </c>
      <c r="G5579">
        <v>0</v>
      </c>
      <c r="H5579">
        <v>7.6</v>
      </c>
      <c r="I5579">
        <v>1.65</v>
      </c>
      <c r="J5579">
        <v>18</v>
      </c>
      <c r="L5579" t="s">
        <v>2709</v>
      </c>
      <c r="M5579">
        <v>51071090</v>
      </c>
      <c r="O5579" t="s">
        <v>19447</v>
      </c>
      <c r="P5579" t="s">
        <v>19899</v>
      </c>
      <c r="Q5579" t="s">
        <v>19900</v>
      </c>
      <c r="R5579" t="s">
        <v>19905</v>
      </c>
      <c r="S5579" t="s">
        <v>19906</v>
      </c>
      <c r="T5579" t="s">
        <v>19899</v>
      </c>
    </row>
    <row r="5580" spans="2:20" x14ac:dyDescent="0.25">
      <c r="B5580" t="s">
        <v>2709</v>
      </c>
      <c r="C5580">
        <v>51072000</v>
      </c>
      <c r="E5580" t="s">
        <v>19447</v>
      </c>
      <c r="F5580">
        <v>18</v>
      </c>
      <c r="G5580">
        <v>0</v>
      </c>
      <c r="H5580">
        <v>7.6</v>
      </c>
      <c r="I5580">
        <v>1.65</v>
      </c>
      <c r="J5580">
        <v>18</v>
      </c>
      <c r="L5580" t="s">
        <v>2709</v>
      </c>
      <c r="M5580">
        <v>51072000</v>
      </c>
      <c r="O5580" t="s">
        <v>19447</v>
      </c>
      <c r="P5580" t="s">
        <v>19899</v>
      </c>
      <c r="Q5580" t="s">
        <v>19900</v>
      </c>
      <c r="R5580" t="s">
        <v>19905</v>
      </c>
      <c r="S5580" t="s">
        <v>19906</v>
      </c>
      <c r="T5580" t="s">
        <v>19899</v>
      </c>
    </row>
    <row r="5581" spans="2:20" x14ac:dyDescent="0.25">
      <c r="B5581" t="s">
        <v>2709</v>
      </c>
      <c r="C5581">
        <v>51081000</v>
      </c>
      <c r="E5581" t="s">
        <v>19447</v>
      </c>
      <c r="F5581">
        <v>18</v>
      </c>
      <c r="G5581">
        <v>0</v>
      </c>
      <c r="H5581">
        <v>7.6</v>
      </c>
      <c r="I5581">
        <v>1.65</v>
      </c>
      <c r="J5581">
        <v>18</v>
      </c>
      <c r="L5581" t="s">
        <v>2709</v>
      </c>
      <c r="M5581">
        <v>51081000</v>
      </c>
      <c r="O5581" t="s">
        <v>19447</v>
      </c>
      <c r="P5581" t="s">
        <v>19899</v>
      </c>
      <c r="Q5581" t="s">
        <v>19900</v>
      </c>
      <c r="R5581" t="s">
        <v>19905</v>
      </c>
      <c r="S5581" t="s">
        <v>19906</v>
      </c>
      <c r="T5581" t="s">
        <v>19899</v>
      </c>
    </row>
    <row r="5582" spans="2:20" x14ac:dyDescent="0.25">
      <c r="B5582" t="s">
        <v>2709</v>
      </c>
      <c r="C5582">
        <v>51082000</v>
      </c>
      <c r="E5582" t="s">
        <v>19447</v>
      </c>
      <c r="F5582">
        <v>18</v>
      </c>
      <c r="G5582">
        <v>0</v>
      </c>
      <c r="H5582">
        <v>7.6</v>
      </c>
      <c r="I5582">
        <v>1.65</v>
      </c>
      <c r="J5582">
        <v>18</v>
      </c>
      <c r="L5582" t="s">
        <v>2709</v>
      </c>
      <c r="M5582">
        <v>51082000</v>
      </c>
      <c r="O5582" t="s">
        <v>19447</v>
      </c>
      <c r="P5582" t="s">
        <v>19899</v>
      </c>
      <c r="Q5582" t="s">
        <v>19900</v>
      </c>
      <c r="R5582" t="s">
        <v>19905</v>
      </c>
      <c r="S5582" t="s">
        <v>19906</v>
      </c>
      <c r="T5582" t="s">
        <v>19899</v>
      </c>
    </row>
    <row r="5583" spans="2:20" x14ac:dyDescent="0.25">
      <c r="B5583" t="s">
        <v>2709</v>
      </c>
      <c r="C5583">
        <v>51091000</v>
      </c>
      <c r="E5583" t="s">
        <v>19447</v>
      </c>
      <c r="F5583">
        <v>18</v>
      </c>
      <c r="G5583">
        <v>0</v>
      </c>
      <c r="H5583">
        <v>7.6</v>
      </c>
      <c r="I5583">
        <v>1.65</v>
      </c>
      <c r="J5583">
        <v>18</v>
      </c>
      <c r="L5583" t="s">
        <v>2709</v>
      </c>
      <c r="M5583">
        <v>51091000</v>
      </c>
      <c r="O5583" t="s">
        <v>19447</v>
      </c>
      <c r="P5583" t="s">
        <v>19899</v>
      </c>
      <c r="Q5583" t="s">
        <v>19900</v>
      </c>
      <c r="R5583" t="s">
        <v>19905</v>
      </c>
      <c r="S5583" t="s">
        <v>19906</v>
      </c>
      <c r="T5583" t="s">
        <v>19899</v>
      </c>
    </row>
    <row r="5584" spans="2:20" x14ac:dyDescent="0.25">
      <c r="B5584" t="s">
        <v>2709</v>
      </c>
      <c r="C5584">
        <v>51099000</v>
      </c>
      <c r="E5584" t="s">
        <v>19447</v>
      </c>
      <c r="F5584">
        <v>18</v>
      </c>
      <c r="G5584">
        <v>0</v>
      </c>
      <c r="H5584">
        <v>7.6</v>
      </c>
      <c r="I5584">
        <v>1.65</v>
      </c>
      <c r="J5584">
        <v>18</v>
      </c>
      <c r="L5584" t="s">
        <v>2709</v>
      </c>
      <c r="M5584">
        <v>51099000</v>
      </c>
      <c r="O5584" t="s">
        <v>19447</v>
      </c>
      <c r="P5584" t="s">
        <v>19899</v>
      </c>
      <c r="Q5584" t="s">
        <v>19900</v>
      </c>
      <c r="R5584" t="s">
        <v>19905</v>
      </c>
      <c r="S5584" t="s">
        <v>19906</v>
      </c>
      <c r="T5584" t="s">
        <v>19899</v>
      </c>
    </row>
    <row r="5585" spans="2:20" x14ac:dyDescent="0.25">
      <c r="B5585" t="s">
        <v>2709</v>
      </c>
      <c r="C5585">
        <v>51100000</v>
      </c>
      <c r="E5585" t="s">
        <v>19447</v>
      </c>
      <c r="F5585">
        <v>18</v>
      </c>
      <c r="G5585">
        <v>0</v>
      </c>
      <c r="H5585">
        <v>7.6</v>
      </c>
      <c r="I5585">
        <v>1.65</v>
      </c>
      <c r="J5585">
        <v>18</v>
      </c>
      <c r="L5585" t="s">
        <v>2709</v>
      </c>
      <c r="M5585">
        <v>51100000</v>
      </c>
      <c r="O5585" t="s">
        <v>19447</v>
      </c>
      <c r="P5585" t="s">
        <v>19899</v>
      </c>
      <c r="Q5585" t="s">
        <v>19900</v>
      </c>
      <c r="R5585" t="s">
        <v>19905</v>
      </c>
      <c r="S5585" t="s">
        <v>19906</v>
      </c>
      <c r="T5585" t="s">
        <v>19899</v>
      </c>
    </row>
    <row r="5586" spans="2:20" x14ac:dyDescent="0.25">
      <c r="B5586" t="s">
        <v>2709</v>
      </c>
      <c r="C5586">
        <v>51111110</v>
      </c>
      <c r="E5586" t="s">
        <v>19447</v>
      </c>
      <c r="F5586">
        <v>18</v>
      </c>
      <c r="G5586">
        <v>0</v>
      </c>
      <c r="H5586">
        <v>7.6</v>
      </c>
      <c r="I5586">
        <v>1.65</v>
      </c>
      <c r="J5586">
        <v>26</v>
      </c>
      <c r="L5586" t="s">
        <v>2709</v>
      </c>
      <c r="M5586">
        <v>51111110</v>
      </c>
      <c r="O5586" t="s">
        <v>19447</v>
      </c>
      <c r="P5586" t="s">
        <v>19899</v>
      </c>
      <c r="Q5586" t="s">
        <v>19900</v>
      </c>
      <c r="R5586" t="s">
        <v>19905</v>
      </c>
      <c r="S5586" t="s">
        <v>19906</v>
      </c>
      <c r="T5586" t="s">
        <v>20108</v>
      </c>
    </row>
    <row r="5587" spans="2:20" x14ac:dyDescent="0.25">
      <c r="B5587" t="s">
        <v>2709</v>
      </c>
      <c r="C5587">
        <v>51111120</v>
      </c>
      <c r="E5587" t="s">
        <v>19447</v>
      </c>
      <c r="F5587">
        <v>18</v>
      </c>
      <c r="G5587">
        <v>0</v>
      </c>
      <c r="H5587">
        <v>7.6</v>
      </c>
      <c r="I5587">
        <v>1.65</v>
      </c>
      <c r="J5587">
        <v>26</v>
      </c>
      <c r="L5587" t="s">
        <v>2709</v>
      </c>
      <c r="M5587">
        <v>51111120</v>
      </c>
      <c r="O5587" t="s">
        <v>19447</v>
      </c>
      <c r="P5587" t="s">
        <v>19899</v>
      </c>
      <c r="Q5587" t="s">
        <v>19900</v>
      </c>
      <c r="R5587" t="s">
        <v>19905</v>
      </c>
      <c r="S5587" t="s">
        <v>19906</v>
      </c>
      <c r="T5587" t="s">
        <v>20108</v>
      </c>
    </row>
    <row r="5588" spans="2:20" x14ac:dyDescent="0.25">
      <c r="B5588" t="s">
        <v>2709</v>
      </c>
      <c r="C5588">
        <v>51111900</v>
      </c>
      <c r="E5588" t="s">
        <v>19447</v>
      </c>
      <c r="F5588">
        <v>18</v>
      </c>
      <c r="G5588">
        <v>0</v>
      </c>
      <c r="H5588">
        <v>7.6</v>
      </c>
      <c r="I5588">
        <v>1.65</v>
      </c>
      <c r="J5588">
        <v>26</v>
      </c>
      <c r="L5588" t="s">
        <v>2709</v>
      </c>
      <c r="M5588">
        <v>51111900</v>
      </c>
      <c r="O5588" t="s">
        <v>19447</v>
      </c>
      <c r="P5588" t="s">
        <v>19899</v>
      </c>
      <c r="Q5588" t="s">
        <v>19900</v>
      </c>
      <c r="R5588" t="s">
        <v>19905</v>
      </c>
      <c r="S5588" t="s">
        <v>19906</v>
      </c>
      <c r="T5588" t="s">
        <v>20108</v>
      </c>
    </row>
    <row r="5589" spans="2:20" x14ac:dyDescent="0.25">
      <c r="B5589" t="s">
        <v>2709</v>
      </c>
      <c r="C5589">
        <v>51112000</v>
      </c>
      <c r="E5589" t="s">
        <v>19447</v>
      </c>
      <c r="F5589">
        <v>18</v>
      </c>
      <c r="G5589">
        <v>0</v>
      </c>
      <c r="H5589">
        <v>7.6</v>
      </c>
      <c r="I5589">
        <v>1.65</v>
      </c>
      <c r="J5589">
        <v>26</v>
      </c>
      <c r="L5589" t="s">
        <v>2709</v>
      </c>
      <c r="M5589">
        <v>51112000</v>
      </c>
      <c r="O5589" t="s">
        <v>19447</v>
      </c>
      <c r="P5589" t="s">
        <v>19899</v>
      </c>
      <c r="Q5589" t="s">
        <v>19900</v>
      </c>
      <c r="R5589" t="s">
        <v>19905</v>
      </c>
      <c r="S5589" t="s">
        <v>19906</v>
      </c>
      <c r="T5589" t="s">
        <v>20108</v>
      </c>
    </row>
    <row r="5590" spans="2:20" x14ac:dyDescent="0.25">
      <c r="B5590" t="s">
        <v>2709</v>
      </c>
      <c r="C5590">
        <v>51113010</v>
      </c>
      <c r="E5590" t="s">
        <v>19447</v>
      </c>
      <c r="F5590">
        <v>18</v>
      </c>
      <c r="G5590">
        <v>0</v>
      </c>
      <c r="H5590">
        <v>7.6</v>
      </c>
      <c r="I5590">
        <v>1.65</v>
      </c>
      <c r="J5590">
        <v>2</v>
      </c>
      <c r="L5590" t="s">
        <v>2709</v>
      </c>
      <c r="M5590">
        <v>51113010</v>
      </c>
      <c r="O5590" t="s">
        <v>19447</v>
      </c>
      <c r="P5590" t="s">
        <v>19899</v>
      </c>
      <c r="Q5590" t="s">
        <v>19900</v>
      </c>
      <c r="R5590" t="s">
        <v>19905</v>
      </c>
      <c r="S5590" t="s">
        <v>19906</v>
      </c>
      <c r="T5590" t="s">
        <v>19901</v>
      </c>
    </row>
    <row r="5591" spans="2:20" x14ac:dyDescent="0.25">
      <c r="B5591" t="s">
        <v>2709</v>
      </c>
      <c r="C5591">
        <v>51113090</v>
      </c>
      <c r="E5591" t="s">
        <v>19447</v>
      </c>
      <c r="F5591">
        <v>18</v>
      </c>
      <c r="G5591">
        <v>0</v>
      </c>
      <c r="H5591">
        <v>7.6</v>
      </c>
      <c r="I5591">
        <v>1.65</v>
      </c>
      <c r="J5591">
        <v>26</v>
      </c>
      <c r="L5591" t="s">
        <v>2709</v>
      </c>
      <c r="M5591">
        <v>51113090</v>
      </c>
      <c r="O5591" t="s">
        <v>19447</v>
      </c>
      <c r="P5591" t="s">
        <v>19899</v>
      </c>
      <c r="Q5591" t="s">
        <v>19900</v>
      </c>
      <c r="R5591" t="s">
        <v>19905</v>
      </c>
      <c r="S5591" t="s">
        <v>19906</v>
      </c>
      <c r="T5591" t="s">
        <v>20108</v>
      </c>
    </row>
    <row r="5592" spans="2:20" x14ac:dyDescent="0.25">
      <c r="B5592" t="s">
        <v>2709</v>
      </c>
      <c r="C5592">
        <v>51119000</v>
      </c>
      <c r="E5592" t="s">
        <v>19447</v>
      </c>
      <c r="F5592">
        <v>18</v>
      </c>
      <c r="G5592">
        <v>0</v>
      </c>
      <c r="H5592">
        <v>7.6</v>
      </c>
      <c r="I5592">
        <v>1.65</v>
      </c>
      <c r="J5592">
        <v>26</v>
      </c>
      <c r="L5592" t="s">
        <v>2709</v>
      </c>
      <c r="M5592">
        <v>51119000</v>
      </c>
      <c r="O5592" t="s">
        <v>19447</v>
      </c>
      <c r="P5592" t="s">
        <v>19899</v>
      </c>
      <c r="Q5592" t="s">
        <v>19900</v>
      </c>
      <c r="R5592" t="s">
        <v>19905</v>
      </c>
      <c r="S5592" t="s">
        <v>19906</v>
      </c>
      <c r="T5592" t="s">
        <v>20108</v>
      </c>
    </row>
    <row r="5593" spans="2:20" x14ac:dyDescent="0.25">
      <c r="B5593" t="s">
        <v>2709</v>
      </c>
      <c r="C5593">
        <v>51121100</v>
      </c>
      <c r="E5593" t="s">
        <v>19447</v>
      </c>
      <c r="F5593">
        <v>18</v>
      </c>
      <c r="G5593">
        <v>0</v>
      </c>
      <c r="H5593">
        <v>7.6</v>
      </c>
      <c r="I5593">
        <v>1.65</v>
      </c>
      <c r="J5593">
        <v>26</v>
      </c>
      <c r="L5593" t="s">
        <v>2709</v>
      </c>
      <c r="M5593">
        <v>51121100</v>
      </c>
      <c r="O5593" t="s">
        <v>19447</v>
      </c>
      <c r="P5593" t="s">
        <v>19899</v>
      </c>
      <c r="Q5593" t="s">
        <v>19900</v>
      </c>
      <c r="R5593" t="s">
        <v>19905</v>
      </c>
      <c r="S5593" t="s">
        <v>19906</v>
      </c>
      <c r="T5593" t="s">
        <v>20108</v>
      </c>
    </row>
    <row r="5594" spans="2:20" x14ac:dyDescent="0.25">
      <c r="B5594" t="s">
        <v>2709</v>
      </c>
      <c r="C5594">
        <v>51121910</v>
      </c>
      <c r="E5594" t="s">
        <v>19447</v>
      </c>
      <c r="F5594">
        <v>18</v>
      </c>
      <c r="G5594">
        <v>0</v>
      </c>
      <c r="H5594">
        <v>7.6</v>
      </c>
      <c r="I5594">
        <v>1.65</v>
      </c>
      <c r="J5594">
        <v>26</v>
      </c>
      <c r="L5594" t="s">
        <v>2709</v>
      </c>
      <c r="M5594">
        <v>51121910</v>
      </c>
      <c r="O5594" t="s">
        <v>19447</v>
      </c>
      <c r="P5594" t="s">
        <v>19899</v>
      </c>
      <c r="Q5594" t="s">
        <v>19900</v>
      </c>
      <c r="R5594" t="s">
        <v>19905</v>
      </c>
      <c r="S5594" t="s">
        <v>19906</v>
      </c>
      <c r="T5594" t="s">
        <v>20108</v>
      </c>
    </row>
    <row r="5595" spans="2:20" x14ac:dyDescent="0.25">
      <c r="B5595" t="s">
        <v>2709</v>
      </c>
      <c r="C5595">
        <v>51121920</v>
      </c>
      <c r="E5595" t="s">
        <v>19447</v>
      </c>
      <c r="F5595">
        <v>18</v>
      </c>
      <c r="G5595">
        <v>0</v>
      </c>
      <c r="H5595">
        <v>7.6</v>
      </c>
      <c r="I5595">
        <v>1.65</v>
      </c>
      <c r="J5595">
        <v>26</v>
      </c>
      <c r="L5595" t="s">
        <v>2709</v>
      </c>
      <c r="M5595">
        <v>51121920</v>
      </c>
      <c r="O5595" t="s">
        <v>19447</v>
      </c>
      <c r="P5595" t="s">
        <v>19899</v>
      </c>
      <c r="Q5595" t="s">
        <v>19900</v>
      </c>
      <c r="R5595" t="s">
        <v>19905</v>
      </c>
      <c r="S5595" t="s">
        <v>19906</v>
      </c>
      <c r="T5595" t="s">
        <v>20108</v>
      </c>
    </row>
    <row r="5596" spans="2:20" x14ac:dyDescent="0.25">
      <c r="B5596" t="s">
        <v>2709</v>
      </c>
      <c r="C5596">
        <v>51122010</v>
      </c>
      <c r="E5596" t="s">
        <v>19447</v>
      </c>
      <c r="F5596">
        <v>18</v>
      </c>
      <c r="G5596">
        <v>0</v>
      </c>
      <c r="H5596">
        <v>7.6</v>
      </c>
      <c r="I5596">
        <v>1.65</v>
      </c>
      <c r="J5596">
        <v>26</v>
      </c>
      <c r="L5596" t="s">
        <v>2709</v>
      </c>
      <c r="M5596">
        <v>51122010</v>
      </c>
      <c r="O5596" t="s">
        <v>19447</v>
      </c>
      <c r="P5596" t="s">
        <v>19899</v>
      </c>
      <c r="Q5596" t="s">
        <v>19900</v>
      </c>
      <c r="R5596" t="s">
        <v>19905</v>
      </c>
      <c r="S5596" t="s">
        <v>19906</v>
      </c>
      <c r="T5596" t="s">
        <v>20108</v>
      </c>
    </row>
    <row r="5597" spans="2:20" x14ac:dyDescent="0.25">
      <c r="B5597" t="s">
        <v>2709</v>
      </c>
      <c r="C5597">
        <v>51122020</v>
      </c>
      <c r="E5597" t="s">
        <v>19447</v>
      </c>
      <c r="F5597">
        <v>18</v>
      </c>
      <c r="G5597">
        <v>0</v>
      </c>
      <c r="H5597">
        <v>7.6</v>
      </c>
      <c r="I5597">
        <v>1.65</v>
      </c>
      <c r="J5597">
        <v>26</v>
      </c>
      <c r="L5597" t="s">
        <v>2709</v>
      </c>
      <c r="M5597">
        <v>51122020</v>
      </c>
      <c r="O5597" t="s">
        <v>19447</v>
      </c>
      <c r="P5597" t="s">
        <v>19899</v>
      </c>
      <c r="Q5597" t="s">
        <v>19900</v>
      </c>
      <c r="R5597" t="s">
        <v>19905</v>
      </c>
      <c r="S5597" t="s">
        <v>19906</v>
      </c>
      <c r="T5597" t="s">
        <v>20108</v>
      </c>
    </row>
    <row r="5598" spans="2:20" x14ac:dyDescent="0.25">
      <c r="B5598" t="s">
        <v>2709</v>
      </c>
      <c r="C5598">
        <v>51123010</v>
      </c>
      <c r="E5598" t="s">
        <v>19447</v>
      </c>
      <c r="F5598">
        <v>18</v>
      </c>
      <c r="G5598">
        <v>0</v>
      </c>
      <c r="H5598">
        <v>7.6</v>
      </c>
      <c r="I5598">
        <v>1.65</v>
      </c>
      <c r="J5598">
        <v>26</v>
      </c>
      <c r="L5598" t="s">
        <v>2709</v>
      </c>
      <c r="M5598">
        <v>51123010</v>
      </c>
      <c r="O5598" t="s">
        <v>19447</v>
      </c>
      <c r="P5598" t="s">
        <v>19899</v>
      </c>
      <c r="Q5598" t="s">
        <v>19900</v>
      </c>
      <c r="R5598" t="s">
        <v>19905</v>
      </c>
      <c r="S5598" t="s">
        <v>19906</v>
      </c>
      <c r="T5598" t="s">
        <v>20108</v>
      </c>
    </row>
    <row r="5599" spans="2:20" x14ac:dyDescent="0.25">
      <c r="B5599" t="s">
        <v>2709</v>
      </c>
      <c r="C5599">
        <v>51123020</v>
      </c>
      <c r="E5599" t="s">
        <v>19447</v>
      </c>
      <c r="F5599">
        <v>18</v>
      </c>
      <c r="G5599">
        <v>0</v>
      </c>
      <c r="H5599">
        <v>7.6</v>
      </c>
      <c r="I5599">
        <v>1.65</v>
      </c>
      <c r="J5599">
        <v>26</v>
      </c>
      <c r="L5599" t="s">
        <v>2709</v>
      </c>
      <c r="M5599">
        <v>51123020</v>
      </c>
      <c r="O5599" t="s">
        <v>19447</v>
      </c>
      <c r="P5599" t="s">
        <v>19899</v>
      </c>
      <c r="Q5599" t="s">
        <v>19900</v>
      </c>
      <c r="R5599" t="s">
        <v>19905</v>
      </c>
      <c r="S5599" t="s">
        <v>19906</v>
      </c>
      <c r="T5599" t="s">
        <v>20108</v>
      </c>
    </row>
    <row r="5600" spans="2:20" x14ac:dyDescent="0.25">
      <c r="B5600" t="s">
        <v>2709</v>
      </c>
      <c r="C5600">
        <v>51129000</v>
      </c>
      <c r="E5600" t="s">
        <v>19447</v>
      </c>
      <c r="F5600">
        <v>18</v>
      </c>
      <c r="G5600">
        <v>0</v>
      </c>
      <c r="H5600">
        <v>7.6</v>
      </c>
      <c r="I5600">
        <v>1.65</v>
      </c>
      <c r="J5600">
        <v>26</v>
      </c>
      <c r="L5600" t="s">
        <v>2709</v>
      </c>
      <c r="M5600">
        <v>51129000</v>
      </c>
      <c r="O5600" t="s">
        <v>19447</v>
      </c>
      <c r="P5600" t="s">
        <v>19899</v>
      </c>
      <c r="Q5600" t="s">
        <v>19900</v>
      </c>
      <c r="R5600" t="s">
        <v>19905</v>
      </c>
      <c r="S5600" t="s">
        <v>19906</v>
      </c>
      <c r="T5600" t="s">
        <v>20108</v>
      </c>
    </row>
    <row r="5601" spans="2:20" x14ac:dyDescent="0.25">
      <c r="B5601" t="s">
        <v>2709</v>
      </c>
      <c r="C5601">
        <v>51130011</v>
      </c>
      <c r="E5601" t="s">
        <v>19447</v>
      </c>
      <c r="F5601">
        <v>18</v>
      </c>
      <c r="G5601">
        <v>0</v>
      </c>
      <c r="H5601">
        <v>7.6</v>
      </c>
      <c r="I5601">
        <v>1.65</v>
      </c>
      <c r="J5601">
        <v>26</v>
      </c>
      <c r="L5601" t="s">
        <v>2709</v>
      </c>
      <c r="M5601">
        <v>51130011</v>
      </c>
      <c r="O5601" t="s">
        <v>19447</v>
      </c>
      <c r="P5601" t="s">
        <v>19899</v>
      </c>
      <c r="Q5601" t="s">
        <v>19900</v>
      </c>
      <c r="R5601" t="s">
        <v>19905</v>
      </c>
      <c r="S5601" t="s">
        <v>19906</v>
      </c>
      <c r="T5601" t="s">
        <v>20108</v>
      </c>
    </row>
    <row r="5602" spans="2:20" x14ac:dyDescent="0.25">
      <c r="B5602" t="s">
        <v>2709</v>
      </c>
      <c r="C5602">
        <v>51130012</v>
      </c>
      <c r="E5602" t="s">
        <v>19447</v>
      </c>
      <c r="F5602">
        <v>18</v>
      </c>
      <c r="G5602">
        <v>0</v>
      </c>
      <c r="H5602">
        <v>7.6</v>
      </c>
      <c r="I5602">
        <v>1.65</v>
      </c>
      <c r="J5602">
        <v>26</v>
      </c>
      <c r="L5602" t="s">
        <v>2709</v>
      </c>
      <c r="M5602">
        <v>51130012</v>
      </c>
      <c r="O5602" t="s">
        <v>19447</v>
      </c>
      <c r="P5602" t="s">
        <v>19899</v>
      </c>
      <c r="Q5602" t="s">
        <v>19900</v>
      </c>
      <c r="R5602" t="s">
        <v>19905</v>
      </c>
      <c r="S5602" t="s">
        <v>19906</v>
      </c>
      <c r="T5602" t="s">
        <v>20108</v>
      </c>
    </row>
    <row r="5603" spans="2:20" x14ac:dyDescent="0.25">
      <c r="B5603" t="s">
        <v>2709</v>
      </c>
      <c r="C5603">
        <v>51130013</v>
      </c>
      <c r="E5603" t="s">
        <v>19447</v>
      </c>
      <c r="F5603">
        <v>18</v>
      </c>
      <c r="G5603">
        <v>0</v>
      </c>
      <c r="H5603">
        <v>7.6</v>
      </c>
      <c r="I5603">
        <v>1.65</v>
      </c>
      <c r="J5603">
        <v>26</v>
      </c>
      <c r="L5603" t="s">
        <v>2709</v>
      </c>
      <c r="M5603">
        <v>51130013</v>
      </c>
      <c r="O5603" t="s">
        <v>19447</v>
      </c>
      <c r="P5603" t="s">
        <v>19899</v>
      </c>
      <c r="Q5603" t="s">
        <v>19900</v>
      </c>
      <c r="R5603" t="s">
        <v>19905</v>
      </c>
      <c r="S5603" t="s">
        <v>19906</v>
      </c>
      <c r="T5603" t="s">
        <v>20108</v>
      </c>
    </row>
    <row r="5604" spans="2:20" x14ac:dyDescent="0.25">
      <c r="B5604" t="s">
        <v>2709</v>
      </c>
      <c r="C5604">
        <v>51130020</v>
      </c>
      <c r="E5604" t="s">
        <v>19447</v>
      </c>
      <c r="F5604">
        <v>18</v>
      </c>
      <c r="G5604">
        <v>0</v>
      </c>
      <c r="H5604">
        <v>7.6</v>
      </c>
      <c r="I5604">
        <v>1.65</v>
      </c>
      <c r="J5604">
        <v>26</v>
      </c>
      <c r="L5604" t="s">
        <v>2709</v>
      </c>
      <c r="M5604">
        <v>51130020</v>
      </c>
      <c r="O5604" t="s">
        <v>19447</v>
      </c>
      <c r="P5604" t="s">
        <v>19899</v>
      </c>
      <c r="Q5604" t="s">
        <v>19900</v>
      </c>
      <c r="R5604" t="s">
        <v>19905</v>
      </c>
      <c r="S5604" t="s">
        <v>19906</v>
      </c>
      <c r="T5604" t="s">
        <v>20108</v>
      </c>
    </row>
    <row r="5605" spans="2:20" x14ac:dyDescent="0.25">
      <c r="B5605" t="s">
        <v>2709</v>
      </c>
      <c r="C5605">
        <v>52010010</v>
      </c>
      <c r="E5605">
        <v>112.46</v>
      </c>
      <c r="F5605">
        <v>18</v>
      </c>
      <c r="G5605">
        <v>0</v>
      </c>
      <c r="H5605">
        <v>7.6</v>
      </c>
      <c r="I5605">
        <v>1.65</v>
      </c>
      <c r="J5605">
        <v>6</v>
      </c>
      <c r="L5605" t="s">
        <v>2709</v>
      </c>
      <c r="M5605">
        <v>52010010</v>
      </c>
      <c r="O5605" t="s">
        <v>20055</v>
      </c>
      <c r="P5605" t="s">
        <v>19899</v>
      </c>
      <c r="Q5605" t="s">
        <v>19900</v>
      </c>
      <c r="R5605" t="s">
        <v>19905</v>
      </c>
      <c r="S5605" t="s">
        <v>19906</v>
      </c>
      <c r="T5605" t="s">
        <v>19907</v>
      </c>
    </row>
    <row r="5606" spans="2:20" x14ac:dyDescent="0.25">
      <c r="B5606" t="s">
        <v>2709</v>
      </c>
      <c r="C5606">
        <v>52010020</v>
      </c>
      <c r="E5606">
        <v>112.46</v>
      </c>
      <c r="F5606">
        <v>18</v>
      </c>
      <c r="G5606">
        <v>0</v>
      </c>
      <c r="H5606">
        <v>7.6</v>
      </c>
      <c r="I5606">
        <v>1.65</v>
      </c>
      <c r="J5606">
        <v>10</v>
      </c>
      <c r="L5606" t="s">
        <v>2709</v>
      </c>
      <c r="M5606">
        <v>52010020</v>
      </c>
      <c r="O5606" t="s">
        <v>20055</v>
      </c>
      <c r="P5606" t="s">
        <v>19899</v>
      </c>
      <c r="Q5606" t="s">
        <v>19900</v>
      </c>
      <c r="R5606" t="s">
        <v>19905</v>
      </c>
      <c r="S5606" t="s">
        <v>19906</v>
      </c>
      <c r="T5606" t="s">
        <v>19904</v>
      </c>
    </row>
    <row r="5607" spans="2:20" x14ac:dyDescent="0.25">
      <c r="B5607" t="s">
        <v>2709</v>
      </c>
      <c r="C5607">
        <v>52010090</v>
      </c>
      <c r="E5607">
        <v>112.46</v>
      </c>
      <c r="F5607">
        <v>18</v>
      </c>
      <c r="G5607">
        <v>0</v>
      </c>
      <c r="H5607">
        <v>7.6</v>
      </c>
      <c r="I5607">
        <v>1.65</v>
      </c>
      <c r="J5607">
        <v>10</v>
      </c>
      <c r="L5607" t="s">
        <v>2709</v>
      </c>
      <c r="M5607">
        <v>52010090</v>
      </c>
      <c r="O5607" t="s">
        <v>20055</v>
      </c>
      <c r="P5607" t="s">
        <v>19899</v>
      </c>
      <c r="Q5607" t="s">
        <v>19900</v>
      </c>
      <c r="R5607" t="s">
        <v>19905</v>
      </c>
      <c r="S5607" t="s">
        <v>19906</v>
      </c>
      <c r="T5607" t="s">
        <v>19904</v>
      </c>
    </row>
    <row r="5608" spans="2:20" x14ac:dyDescent="0.25">
      <c r="B5608" t="s">
        <v>2709</v>
      </c>
      <c r="C5608">
        <v>52021000</v>
      </c>
      <c r="E5608">
        <v>112.46</v>
      </c>
      <c r="F5608">
        <v>18</v>
      </c>
      <c r="G5608">
        <v>0</v>
      </c>
      <c r="H5608">
        <v>7.6</v>
      </c>
      <c r="I5608">
        <v>1.65</v>
      </c>
      <c r="J5608">
        <v>6</v>
      </c>
      <c r="L5608" t="s">
        <v>2709</v>
      </c>
      <c r="M5608">
        <v>52021000</v>
      </c>
      <c r="O5608" t="s">
        <v>20055</v>
      </c>
      <c r="P5608" t="s">
        <v>19899</v>
      </c>
      <c r="Q5608" t="s">
        <v>19900</v>
      </c>
      <c r="R5608" t="s">
        <v>19905</v>
      </c>
      <c r="S5608" t="s">
        <v>19906</v>
      </c>
      <c r="T5608" t="s">
        <v>19907</v>
      </c>
    </row>
    <row r="5609" spans="2:20" x14ac:dyDescent="0.25">
      <c r="B5609" t="s">
        <v>2709</v>
      </c>
      <c r="C5609">
        <v>52029100</v>
      </c>
      <c r="E5609">
        <v>112.46</v>
      </c>
      <c r="F5609">
        <v>18</v>
      </c>
      <c r="G5609">
        <v>0</v>
      </c>
      <c r="H5609">
        <v>7.6</v>
      </c>
      <c r="I5609">
        <v>1.65</v>
      </c>
      <c r="J5609">
        <v>6</v>
      </c>
      <c r="L5609" t="s">
        <v>2709</v>
      </c>
      <c r="M5609">
        <v>52029100</v>
      </c>
      <c r="O5609" t="s">
        <v>20055</v>
      </c>
      <c r="P5609" t="s">
        <v>19899</v>
      </c>
      <c r="Q5609" t="s">
        <v>19900</v>
      </c>
      <c r="R5609" t="s">
        <v>19905</v>
      </c>
      <c r="S5609" t="s">
        <v>19906</v>
      </c>
      <c r="T5609" t="s">
        <v>19907</v>
      </c>
    </row>
    <row r="5610" spans="2:20" x14ac:dyDescent="0.25">
      <c r="B5610" t="s">
        <v>2709</v>
      </c>
      <c r="C5610">
        <v>52029900</v>
      </c>
      <c r="E5610">
        <v>112.46</v>
      </c>
      <c r="F5610">
        <v>18</v>
      </c>
      <c r="G5610">
        <v>0</v>
      </c>
      <c r="H5610">
        <v>7.6</v>
      </c>
      <c r="I5610">
        <v>1.65</v>
      </c>
      <c r="J5610">
        <v>6</v>
      </c>
      <c r="L5610" t="s">
        <v>2709</v>
      </c>
      <c r="M5610">
        <v>52029900</v>
      </c>
      <c r="O5610" t="s">
        <v>20055</v>
      </c>
      <c r="P5610" t="s">
        <v>19899</v>
      </c>
      <c r="Q5610" t="s">
        <v>19900</v>
      </c>
      <c r="R5610" t="s">
        <v>19905</v>
      </c>
      <c r="S5610" t="s">
        <v>19906</v>
      </c>
      <c r="T5610" t="s">
        <v>19907</v>
      </c>
    </row>
    <row r="5611" spans="2:20" x14ac:dyDescent="0.25">
      <c r="B5611" t="s">
        <v>2709</v>
      </c>
      <c r="C5611">
        <v>52030000</v>
      </c>
      <c r="E5611">
        <v>112.46</v>
      </c>
      <c r="F5611">
        <v>18</v>
      </c>
      <c r="G5611">
        <v>0</v>
      </c>
      <c r="H5611">
        <v>7.6</v>
      </c>
      <c r="I5611">
        <v>1.65</v>
      </c>
      <c r="J5611">
        <v>8</v>
      </c>
      <c r="L5611" t="s">
        <v>2709</v>
      </c>
      <c r="M5611">
        <v>52030000</v>
      </c>
      <c r="O5611" t="s">
        <v>20055</v>
      </c>
      <c r="P5611" t="s">
        <v>19899</v>
      </c>
      <c r="Q5611" t="s">
        <v>19900</v>
      </c>
      <c r="R5611" t="s">
        <v>19905</v>
      </c>
      <c r="S5611" t="s">
        <v>19906</v>
      </c>
      <c r="T5611" t="s">
        <v>19918</v>
      </c>
    </row>
    <row r="5612" spans="2:20" x14ac:dyDescent="0.25">
      <c r="B5612" t="s">
        <v>2709</v>
      </c>
      <c r="C5612">
        <v>52041111</v>
      </c>
      <c r="E5612">
        <v>112.46</v>
      </c>
      <c r="F5612">
        <v>18</v>
      </c>
      <c r="G5612">
        <v>0</v>
      </c>
      <c r="H5612">
        <v>7.6</v>
      </c>
      <c r="I5612">
        <v>1.65</v>
      </c>
      <c r="J5612">
        <v>18</v>
      </c>
      <c r="L5612" t="s">
        <v>2709</v>
      </c>
      <c r="M5612">
        <v>52041111</v>
      </c>
      <c r="O5612" t="s">
        <v>20055</v>
      </c>
      <c r="P5612" t="s">
        <v>19899</v>
      </c>
      <c r="Q5612" t="s">
        <v>19900</v>
      </c>
      <c r="R5612" t="s">
        <v>19905</v>
      </c>
      <c r="S5612" t="s">
        <v>19906</v>
      </c>
      <c r="T5612" t="s">
        <v>19899</v>
      </c>
    </row>
    <row r="5613" spans="2:20" x14ac:dyDescent="0.25">
      <c r="B5613" t="s">
        <v>2709</v>
      </c>
      <c r="C5613">
        <v>52041112</v>
      </c>
      <c r="E5613">
        <v>112.46</v>
      </c>
      <c r="F5613">
        <v>18</v>
      </c>
      <c r="G5613">
        <v>0</v>
      </c>
      <c r="H5613">
        <v>7.6</v>
      </c>
      <c r="I5613">
        <v>1.65</v>
      </c>
      <c r="J5613">
        <v>18</v>
      </c>
      <c r="L5613" t="s">
        <v>2709</v>
      </c>
      <c r="M5613">
        <v>52041112</v>
      </c>
      <c r="O5613" t="s">
        <v>20055</v>
      </c>
      <c r="P5613" t="s">
        <v>19899</v>
      </c>
      <c r="Q5613" t="s">
        <v>19900</v>
      </c>
      <c r="R5613" t="s">
        <v>19905</v>
      </c>
      <c r="S5613" t="s">
        <v>19906</v>
      </c>
      <c r="T5613" t="s">
        <v>19899</v>
      </c>
    </row>
    <row r="5614" spans="2:20" x14ac:dyDescent="0.25">
      <c r="B5614" t="s">
        <v>2709</v>
      </c>
      <c r="C5614">
        <v>52041120</v>
      </c>
      <c r="E5614">
        <v>112.46</v>
      </c>
      <c r="F5614">
        <v>18</v>
      </c>
      <c r="G5614">
        <v>0</v>
      </c>
      <c r="H5614">
        <v>7.6</v>
      </c>
      <c r="I5614">
        <v>1.65</v>
      </c>
      <c r="J5614">
        <v>18</v>
      </c>
      <c r="L5614" t="s">
        <v>2709</v>
      </c>
      <c r="M5614">
        <v>52041120</v>
      </c>
      <c r="O5614" t="s">
        <v>20055</v>
      </c>
      <c r="P5614" t="s">
        <v>19899</v>
      </c>
      <c r="Q5614" t="s">
        <v>19900</v>
      </c>
      <c r="R5614" t="s">
        <v>19905</v>
      </c>
      <c r="S5614" t="s">
        <v>19906</v>
      </c>
      <c r="T5614" t="s">
        <v>19899</v>
      </c>
    </row>
    <row r="5615" spans="2:20" x14ac:dyDescent="0.25">
      <c r="B5615" t="s">
        <v>2709</v>
      </c>
      <c r="C5615">
        <v>52041131</v>
      </c>
      <c r="E5615">
        <v>112.46</v>
      </c>
      <c r="F5615">
        <v>18</v>
      </c>
      <c r="G5615">
        <v>0</v>
      </c>
      <c r="H5615">
        <v>7.6</v>
      </c>
      <c r="I5615">
        <v>1.65</v>
      </c>
      <c r="J5615">
        <v>18</v>
      </c>
      <c r="L5615" t="s">
        <v>2709</v>
      </c>
      <c r="M5615">
        <v>52041131</v>
      </c>
      <c r="O5615" t="s">
        <v>20055</v>
      </c>
      <c r="P5615" t="s">
        <v>19899</v>
      </c>
      <c r="Q5615" t="s">
        <v>19900</v>
      </c>
      <c r="R5615" t="s">
        <v>19905</v>
      </c>
      <c r="S5615" t="s">
        <v>19906</v>
      </c>
      <c r="T5615" t="s">
        <v>19899</v>
      </c>
    </row>
    <row r="5616" spans="2:20" x14ac:dyDescent="0.25">
      <c r="B5616" t="s">
        <v>2709</v>
      </c>
      <c r="C5616">
        <v>52041132</v>
      </c>
      <c r="E5616">
        <v>112.46</v>
      </c>
      <c r="F5616">
        <v>18</v>
      </c>
      <c r="G5616">
        <v>0</v>
      </c>
      <c r="H5616">
        <v>7.6</v>
      </c>
      <c r="I5616">
        <v>1.65</v>
      </c>
      <c r="J5616">
        <v>18</v>
      </c>
      <c r="L5616" t="s">
        <v>2709</v>
      </c>
      <c r="M5616">
        <v>52041132</v>
      </c>
      <c r="O5616" t="s">
        <v>20055</v>
      </c>
      <c r="P5616" t="s">
        <v>19899</v>
      </c>
      <c r="Q5616" t="s">
        <v>19900</v>
      </c>
      <c r="R5616" t="s">
        <v>19905</v>
      </c>
      <c r="S5616" t="s">
        <v>19906</v>
      </c>
      <c r="T5616" t="s">
        <v>19899</v>
      </c>
    </row>
    <row r="5617" spans="2:20" x14ac:dyDescent="0.25">
      <c r="B5617" t="s">
        <v>2709</v>
      </c>
      <c r="C5617">
        <v>52041140</v>
      </c>
      <c r="E5617">
        <v>112.46</v>
      </c>
      <c r="F5617">
        <v>18</v>
      </c>
      <c r="G5617">
        <v>0</v>
      </c>
      <c r="H5617">
        <v>7.6</v>
      </c>
      <c r="I5617">
        <v>1.65</v>
      </c>
      <c r="J5617">
        <v>18</v>
      </c>
      <c r="L5617" t="s">
        <v>2709</v>
      </c>
      <c r="M5617">
        <v>52041140</v>
      </c>
      <c r="O5617" t="s">
        <v>20055</v>
      </c>
      <c r="P5617" t="s">
        <v>19899</v>
      </c>
      <c r="Q5617" t="s">
        <v>19900</v>
      </c>
      <c r="R5617" t="s">
        <v>19905</v>
      </c>
      <c r="S5617" t="s">
        <v>19906</v>
      </c>
      <c r="T5617" t="s">
        <v>19899</v>
      </c>
    </row>
    <row r="5618" spans="2:20" x14ac:dyDescent="0.25">
      <c r="B5618" t="s">
        <v>2709</v>
      </c>
      <c r="C5618">
        <v>52041911</v>
      </c>
      <c r="E5618">
        <v>112.46</v>
      </c>
      <c r="F5618">
        <v>18</v>
      </c>
      <c r="G5618">
        <v>0</v>
      </c>
      <c r="H5618">
        <v>7.6</v>
      </c>
      <c r="I5618">
        <v>1.65</v>
      </c>
      <c r="J5618">
        <v>18</v>
      </c>
      <c r="L5618" t="s">
        <v>2709</v>
      </c>
      <c r="M5618">
        <v>52041911</v>
      </c>
      <c r="O5618" t="s">
        <v>20055</v>
      </c>
      <c r="P5618" t="s">
        <v>19899</v>
      </c>
      <c r="Q5618" t="s">
        <v>19900</v>
      </c>
      <c r="R5618" t="s">
        <v>19905</v>
      </c>
      <c r="S5618" t="s">
        <v>19906</v>
      </c>
      <c r="T5618" t="s">
        <v>19899</v>
      </c>
    </row>
    <row r="5619" spans="2:20" x14ac:dyDescent="0.25">
      <c r="B5619" t="s">
        <v>2709</v>
      </c>
      <c r="C5619">
        <v>52041912</v>
      </c>
      <c r="E5619">
        <v>112.46</v>
      </c>
      <c r="F5619">
        <v>18</v>
      </c>
      <c r="G5619">
        <v>0</v>
      </c>
      <c r="H5619">
        <v>7.6</v>
      </c>
      <c r="I5619">
        <v>1.65</v>
      </c>
      <c r="J5619">
        <v>18</v>
      </c>
      <c r="L5619" t="s">
        <v>2709</v>
      </c>
      <c r="M5619">
        <v>52041912</v>
      </c>
      <c r="O5619" t="s">
        <v>20055</v>
      </c>
      <c r="P5619" t="s">
        <v>19899</v>
      </c>
      <c r="Q5619" t="s">
        <v>19900</v>
      </c>
      <c r="R5619" t="s">
        <v>19905</v>
      </c>
      <c r="S5619" t="s">
        <v>19906</v>
      </c>
      <c r="T5619" t="s">
        <v>19899</v>
      </c>
    </row>
    <row r="5620" spans="2:20" x14ac:dyDescent="0.25">
      <c r="B5620" t="s">
        <v>2709</v>
      </c>
      <c r="C5620">
        <v>52041920</v>
      </c>
      <c r="E5620">
        <v>112.46</v>
      </c>
      <c r="F5620">
        <v>18</v>
      </c>
      <c r="G5620">
        <v>0</v>
      </c>
      <c r="H5620">
        <v>7.6</v>
      </c>
      <c r="I5620">
        <v>1.65</v>
      </c>
      <c r="J5620">
        <v>18</v>
      </c>
      <c r="L5620" t="s">
        <v>2709</v>
      </c>
      <c r="M5620">
        <v>52041920</v>
      </c>
      <c r="O5620" t="s">
        <v>20055</v>
      </c>
      <c r="P5620" t="s">
        <v>19899</v>
      </c>
      <c r="Q5620" t="s">
        <v>19900</v>
      </c>
      <c r="R5620" t="s">
        <v>19905</v>
      </c>
      <c r="S5620" t="s">
        <v>19906</v>
      </c>
      <c r="T5620" t="s">
        <v>19899</v>
      </c>
    </row>
    <row r="5621" spans="2:20" x14ac:dyDescent="0.25">
      <c r="B5621" t="s">
        <v>2709</v>
      </c>
      <c r="C5621">
        <v>52041931</v>
      </c>
      <c r="E5621">
        <v>112.46</v>
      </c>
      <c r="F5621">
        <v>18</v>
      </c>
      <c r="G5621">
        <v>0</v>
      </c>
      <c r="H5621">
        <v>7.6</v>
      </c>
      <c r="I5621">
        <v>1.65</v>
      </c>
      <c r="J5621">
        <v>18</v>
      </c>
      <c r="L5621" t="s">
        <v>2709</v>
      </c>
      <c r="M5621">
        <v>52041931</v>
      </c>
      <c r="O5621" t="s">
        <v>20055</v>
      </c>
      <c r="P5621" t="s">
        <v>19899</v>
      </c>
      <c r="Q5621" t="s">
        <v>19900</v>
      </c>
      <c r="R5621" t="s">
        <v>19905</v>
      </c>
      <c r="S5621" t="s">
        <v>19906</v>
      </c>
      <c r="T5621" t="s">
        <v>19899</v>
      </c>
    </row>
    <row r="5622" spans="2:20" x14ac:dyDescent="0.25">
      <c r="B5622" t="s">
        <v>2709</v>
      </c>
      <c r="C5622">
        <v>52041932</v>
      </c>
      <c r="E5622">
        <v>112.46</v>
      </c>
      <c r="F5622">
        <v>18</v>
      </c>
      <c r="G5622">
        <v>0</v>
      </c>
      <c r="H5622">
        <v>7.6</v>
      </c>
      <c r="I5622">
        <v>1.65</v>
      </c>
      <c r="J5622">
        <v>18</v>
      </c>
      <c r="L5622" t="s">
        <v>2709</v>
      </c>
      <c r="M5622">
        <v>52041932</v>
      </c>
      <c r="O5622" t="s">
        <v>20055</v>
      </c>
      <c r="P5622" t="s">
        <v>19899</v>
      </c>
      <c r="Q5622" t="s">
        <v>19900</v>
      </c>
      <c r="R5622" t="s">
        <v>19905</v>
      </c>
      <c r="S5622" t="s">
        <v>19906</v>
      </c>
      <c r="T5622" t="s">
        <v>19899</v>
      </c>
    </row>
    <row r="5623" spans="2:20" x14ac:dyDescent="0.25">
      <c r="B5623" t="s">
        <v>2709</v>
      </c>
      <c r="C5623">
        <v>52041940</v>
      </c>
      <c r="E5623">
        <v>112.46</v>
      </c>
      <c r="F5623">
        <v>18</v>
      </c>
      <c r="G5623">
        <v>0</v>
      </c>
      <c r="H5623">
        <v>7.6</v>
      </c>
      <c r="I5623">
        <v>1.65</v>
      </c>
      <c r="J5623">
        <v>18</v>
      </c>
      <c r="L5623" t="s">
        <v>2709</v>
      </c>
      <c r="M5623">
        <v>52041940</v>
      </c>
      <c r="O5623" t="s">
        <v>20055</v>
      </c>
      <c r="P5623" t="s">
        <v>19899</v>
      </c>
      <c r="Q5623" t="s">
        <v>19900</v>
      </c>
      <c r="R5623" t="s">
        <v>19905</v>
      </c>
      <c r="S5623" t="s">
        <v>19906</v>
      </c>
      <c r="T5623" t="s">
        <v>19899</v>
      </c>
    </row>
    <row r="5624" spans="2:20" x14ac:dyDescent="0.25">
      <c r="B5624" t="s">
        <v>2709</v>
      </c>
      <c r="C5624">
        <v>52042000</v>
      </c>
      <c r="E5624">
        <v>112.46</v>
      </c>
      <c r="F5624">
        <v>18</v>
      </c>
      <c r="G5624">
        <v>0</v>
      </c>
      <c r="H5624">
        <v>7.6</v>
      </c>
      <c r="I5624">
        <v>1.65</v>
      </c>
      <c r="J5624">
        <v>18</v>
      </c>
      <c r="L5624" t="s">
        <v>2709</v>
      </c>
      <c r="M5624">
        <v>52042000</v>
      </c>
      <c r="O5624" t="s">
        <v>20055</v>
      </c>
      <c r="P5624" t="s">
        <v>19899</v>
      </c>
      <c r="Q5624" t="s">
        <v>19900</v>
      </c>
      <c r="R5624" t="s">
        <v>19905</v>
      </c>
      <c r="S5624" t="s">
        <v>19906</v>
      </c>
      <c r="T5624" t="s">
        <v>19899</v>
      </c>
    </row>
    <row r="5625" spans="2:20" x14ac:dyDescent="0.25">
      <c r="B5625" t="s">
        <v>2709</v>
      </c>
      <c r="C5625">
        <v>52051100</v>
      </c>
      <c r="E5625">
        <v>112.46</v>
      </c>
      <c r="F5625">
        <v>18</v>
      </c>
      <c r="G5625">
        <v>0</v>
      </c>
      <c r="H5625">
        <v>7.6</v>
      </c>
      <c r="I5625">
        <v>1.65</v>
      </c>
      <c r="J5625">
        <v>18</v>
      </c>
      <c r="L5625" t="s">
        <v>2709</v>
      </c>
      <c r="M5625">
        <v>52051100</v>
      </c>
      <c r="O5625" t="s">
        <v>20055</v>
      </c>
      <c r="P5625" t="s">
        <v>19899</v>
      </c>
      <c r="Q5625" t="s">
        <v>19900</v>
      </c>
      <c r="R5625" t="s">
        <v>19905</v>
      </c>
      <c r="S5625" t="s">
        <v>19906</v>
      </c>
      <c r="T5625" t="s">
        <v>19899</v>
      </c>
    </row>
    <row r="5626" spans="2:20" x14ac:dyDescent="0.25">
      <c r="B5626" t="s">
        <v>2709</v>
      </c>
      <c r="C5626">
        <v>52051200</v>
      </c>
      <c r="E5626">
        <v>112.46</v>
      </c>
      <c r="F5626">
        <v>18</v>
      </c>
      <c r="G5626">
        <v>0</v>
      </c>
      <c r="H5626">
        <v>7.6</v>
      </c>
      <c r="I5626">
        <v>1.65</v>
      </c>
      <c r="J5626">
        <v>18</v>
      </c>
      <c r="L5626" t="s">
        <v>2709</v>
      </c>
      <c r="M5626">
        <v>52051200</v>
      </c>
      <c r="O5626" t="s">
        <v>20055</v>
      </c>
      <c r="P5626" t="s">
        <v>19899</v>
      </c>
      <c r="Q5626" t="s">
        <v>19900</v>
      </c>
      <c r="R5626" t="s">
        <v>19905</v>
      </c>
      <c r="S5626" t="s">
        <v>19906</v>
      </c>
      <c r="T5626" t="s">
        <v>19899</v>
      </c>
    </row>
    <row r="5627" spans="2:20" x14ac:dyDescent="0.25">
      <c r="B5627" t="s">
        <v>2709</v>
      </c>
      <c r="C5627">
        <v>52051310</v>
      </c>
      <c r="E5627">
        <v>112.46</v>
      </c>
      <c r="F5627">
        <v>18</v>
      </c>
      <c r="G5627">
        <v>0</v>
      </c>
      <c r="H5627">
        <v>7.6</v>
      </c>
      <c r="I5627">
        <v>1.65</v>
      </c>
      <c r="J5627">
        <v>18</v>
      </c>
      <c r="L5627" t="s">
        <v>2709</v>
      </c>
      <c r="M5627">
        <v>52051310</v>
      </c>
      <c r="O5627" t="s">
        <v>20055</v>
      </c>
      <c r="P5627" t="s">
        <v>19899</v>
      </c>
      <c r="Q5627" t="s">
        <v>19900</v>
      </c>
      <c r="R5627" t="s">
        <v>19905</v>
      </c>
      <c r="S5627" t="s">
        <v>19906</v>
      </c>
      <c r="T5627" t="s">
        <v>19899</v>
      </c>
    </row>
    <row r="5628" spans="2:20" x14ac:dyDescent="0.25">
      <c r="B5628" t="s">
        <v>2709</v>
      </c>
      <c r="C5628">
        <v>52051390</v>
      </c>
      <c r="E5628">
        <v>112.46</v>
      </c>
      <c r="F5628">
        <v>18</v>
      </c>
      <c r="G5628">
        <v>0</v>
      </c>
      <c r="H5628">
        <v>7.6</v>
      </c>
      <c r="I5628">
        <v>1.65</v>
      </c>
      <c r="J5628">
        <v>18</v>
      </c>
      <c r="L5628" t="s">
        <v>2709</v>
      </c>
      <c r="M5628">
        <v>52051390</v>
      </c>
      <c r="O5628" t="s">
        <v>20055</v>
      </c>
      <c r="P5628" t="s">
        <v>19899</v>
      </c>
      <c r="Q5628" t="s">
        <v>19900</v>
      </c>
      <c r="R5628" t="s">
        <v>19905</v>
      </c>
      <c r="S5628" t="s">
        <v>19906</v>
      </c>
      <c r="T5628" t="s">
        <v>19899</v>
      </c>
    </row>
    <row r="5629" spans="2:20" x14ac:dyDescent="0.25">
      <c r="B5629" t="s">
        <v>2709</v>
      </c>
      <c r="C5629">
        <v>52051400</v>
      </c>
      <c r="E5629">
        <v>112.46</v>
      </c>
      <c r="F5629">
        <v>18</v>
      </c>
      <c r="G5629">
        <v>0</v>
      </c>
      <c r="H5629">
        <v>7.6</v>
      </c>
      <c r="I5629">
        <v>1.65</v>
      </c>
      <c r="J5629">
        <v>18</v>
      </c>
      <c r="L5629" t="s">
        <v>2709</v>
      </c>
      <c r="M5629">
        <v>52051400</v>
      </c>
      <c r="O5629" t="s">
        <v>20055</v>
      </c>
      <c r="P5629" t="s">
        <v>19899</v>
      </c>
      <c r="Q5629" t="s">
        <v>19900</v>
      </c>
      <c r="R5629" t="s">
        <v>19905</v>
      </c>
      <c r="S5629" t="s">
        <v>19906</v>
      </c>
      <c r="T5629" t="s">
        <v>19899</v>
      </c>
    </row>
    <row r="5630" spans="2:20" x14ac:dyDescent="0.25">
      <c r="B5630" t="s">
        <v>2709</v>
      </c>
      <c r="C5630">
        <v>52051500</v>
      </c>
      <c r="E5630">
        <v>112.46</v>
      </c>
      <c r="F5630">
        <v>18</v>
      </c>
      <c r="G5630">
        <v>0</v>
      </c>
      <c r="H5630">
        <v>7.6</v>
      </c>
      <c r="I5630">
        <v>1.65</v>
      </c>
      <c r="J5630">
        <v>18</v>
      </c>
      <c r="L5630" t="s">
        <v>2709</v>
      </c>
      <c r="M5630">
        <v>52051500</v>
      </c>
      <c r="O5630" t="s">
        <v>20055</v>
      </c>
      <c r="P5630" t="s">
        <v>19899</v>
      </c>
      <c r="Q5630" t="s">
        <v>19900</v>
      </c>
      <c r="R5630" t="s">
        <v>19905</v>
      </c>
      <c r="S5630" t="s">
        <v>19906</v>
      </c>
      <c r="T5630" t="s">
        <v>19899</v>
      </c>
    </row>
    <row r="5631" spans="2:20" x14ac:dyDescent="0.25">
      <c r="B5631" t="s">
        <v>2709</v>
      </c>
      <c r="C5631">
        <v>52052100</v>
      </c>
      <c r="E5631">
        <v>112.46</v>
      </c>
      <c r="F5631">
        <v>18</v>
      </c>
      <c r="G5631">
        <v>0</v>
      </c>
      <c r="H5631">
        <v>7.6</v>
      </c>
      <c r="I5631">
        <v>1.65</v>
      </c>
      <c r="J5631">
        <v>18</v>
      </c>
      <c r="L5631" t="s">
        <v>2709</v>
      </c>
      <c r="M5631">
        <v>52052100</v>
      </c>
      <c r="O5631" t="s">
        <v>20055</v>
      </c>
      <c r="P5631" t="s">
        <v>19899</v>
      </c>
      <c r="Q5631" t="s">
        <v>19900</v>
      </c>
      <c r="R5631" t="s">
        <v>19905</v>
      </c>
      <c r="S5631" t="s">
        <v>19906</v>
      </c>
      <c r="T5631" t="s">
        <v>19899</v>
      </c>
    </row>
    <row r="5632" spans="2:20" x14ac:dyDescent="0.25">
      <c r="B5632" t="s">
        <v>2709</v>
      </c>
      <c r="C5632">
        <v>52052200</v>
      </c>
      <c r="E5632">
        <v>112.46</v>
      </c>
      <c r="F5632">
        <v>18</v>
      </c>
      <c r="G5632">
        <v>0</v>
      </c>
      <c r="H5632">
        <v>7.6</v>
      </c>
      <c r="I5632">
        <v>1.65</v>
      </c>
      <c r="J5632">
        <v>18</v>
      </c>
      <c r="L5632" t="s">
        <v>2709</v>
      </c>
      <c r="M5632">
        <v>52052200</v>
      </c>
      <c r="O5632" t="s">
        <v>20055</v>
      </c>
      <c r="P5632" t="s">
        <v>19899</v>
      </c>
      <c r="Q5632" t="s">
        <v>19900</v>
      </c>
      <c r="R5632" t="s">
        <v>19905</v>
      </c>
      <c r="S5632" t="s">
        <v>19906</v>
      </c>
      <c r="T5632" t="s">
        <v>19899</v>
      </c>
    </row>
    <row r="5633" spans="2:20" x14ac:dyDescent="0.25">
      <c r="B5633" t="s">
        <v>2709</v>
      </c>
      <c r="C5633">
        <v>52052310</v>
      </c>
      <c r="E5633">
        <v>112.46</v>
      </c>
      <c r="F5633">
        <v>18</v>
      </c>
      <c r="G5633">
        <v>0</v>
      </c>
      <c r="H5633">
        <v>7.6</v>
      </c>
      <c r="I5633">
        <v>1.65</v>
      </c>
      <c r="J5633">
        <v>18</v>
      </c>
      <c r="L5633" t="s">
        <v>2709</v>
      </c>
      <c r="M5633">
        <v>52052310</v>
      </c>
      <c r="O5633" t="s">
        <v>20055</v>
      </c>
      <c r="P5633" t="s">
        <v>19899</v>
      </c>
      <c r="Q5633" t="s">
        <v>19900</v>
      </c>
      <c r="R5633" t="s">
        <v>19905</v>
      </c>
      <c r="S5633" t="s">
        <v>19906</v>
      </c>
      <c r="T5633" t="s">
        <v>19899</v>
      </c>
    </row>
    <row r="5634" spans="2:20" x14ac:dyDescent="0.25">
      <c r="B5634" t="s">
        <v>2709</v>
      </c>
      <c r="C5634">
        <v>52052390</v>
      </c>
      <c r="E5634">
        <v>112.46</v>
      </c>
      <c r="F5634">
        <v>18</v>
      </c>
      <c r="G5634">
        <v>0</v>
      </c>
      <c r="H5634">
        <v>7.6</v>
      </c>
      <c r="I5634">
        <v>1.65</v>
      </c>
      <c r="J5634">
        <v>18</v>
      </c>
      <c r="L5634" t="s">
        <v>2709</v>
      </c>
      <c r="M5634">
        <v>52052390</v>
      </c>
      <c r="O5634" t="s">
        <v>20055</v>
      </c>
      <c r="P5634" t="s">
        <v>19899</v>
      </c>
      <c r="Q5634" t="s">
        <v>19900</v>
      </c>
      <c r="R5634" t="s">
        <v>19905</v>
      </c>
      <c r="S5634" t="s">
        <v>19906</v>
      </c>
      <c r="T5634" t="s">
        <v>19899</v>
      </c>
    </row>
    <row r="5635" spans="2:20" x14ac:dyDescent="0.25">
      <c r="B5635" t="s">
        <v>2709</v>
      </c>
      <c r="C5635">
        <v>52052400</v>
      </c>
      <c r="E5635">
        <v>112.46</v>
      </c>
      <c r="F5635">
        <v>18</v>
      </c>
      <c r="G5635">
        <v>0</v>
      </c>
      <c r="H5635">
        <v>7.6</v>
      </c>
      <c r="I5635">
        <v>1.65</v>
      </c>
      <c r="J5635">
        <v>18</v>
      </c>
      <c r="L5635" t="s">
        <v>2709</v>
      </c>
      <c r="M5635">
        <v>52052400</v>
      </c>
      <c r="O5635" t="s">
        <v>20055</v>
      </c>
      <c r="P5635" t="s">
        <v>19899</v>
      </c>
      <c r="Q5635" t="s">
        <v>19900</v>
      </c>
      <c r="R5635" t="s">
        <v>19905</v>
      </c>
      <c r="S5635" t="s">
        <v>19906</v>
      </c>
      <c r="T5635" t="s">
        <v>19899</v>
      </c>
    </row>
    <row r="5636" spans="2:20" x14ac:dyDescent="0.25">
      <c r="B5636" t="s">
        <v>2709</v>
      </c>
      <c r="C5636">
        <v>52052600</v>
      </c>
      <c r="E5636">
        <v>112.46</v>
      </c>
      <c r="F5636">
        <v>18</v>
      </c>
      <c r="G5636">
        <v>0</v>
      </c>
      <c r="H5636">
        <v>7.6</v>
      </c>
      <c r="I5636">
        <v>1.65</v>
      </c>
      <c r="J5636">
        <v>18</v>
      </c>
      <c r="L5636" t="s">
        <v>2709</v>
      </c>
      <c r="M5636">
        <v>52052600</v>
      </c>
      <c r="O5636" t="s">
        <v>20055</v>
      </c>
      <c r="P5636" t="s">
        <v>19899</v>
      </c>
      <c r="Q5636" t="s">
        <v>19900</v>
      </c>
      <c r="R5636" t="s">
        <v>19905</v>
      </c>
      <c r="S5636" t="s">
        <v>19906</v>
      </c>
      <c r="T5636" t="s">
        <v>19899</v>
      </c>
    </row>
    <row r="5637" spans="2:20" x14ac:dyDescent="0.25">
      <c r="B5637" t="s">
        <v>2709</v>
      </c>
      <c r="C5637">
        <v>52052700</v>
      </c>
      <c r="E5637">
        <v>112.46</v>
      </c>
      <c r="F5637">
        <v>18</v>
      </c>
      <c r="G5637">
        <v>0</v>
      </c>
      <c r="H5637">
        <v>7.6</v>
      </c>
      <c r="I5637">
        <v>1.65</v>
      </c>
      <c r="J5637">
        <v>18</v>
      </c>
      <c r="L5637" t="s">
        <v>2709</v>
      </c>
      <c r="M5637">
        <v>52052700</v>
      </c>
      <c r="O5637" t="s">
        <v>20055</v>
      </c>
      <c r="P5637" t="s">
        <v>19899</v>
      </c>
      <c r="Q5637" t="s">
        <v>19900</v>
      </c>
      <c r="R5637" t="s">
        <v>19905</v>
      </c>
      <c r="S5637" t="s">
        <v>19906</v>
      </c>
      <c r="T5637" t="s">
        <v>19899</v>
      </c>
    </row>
    <row r="5638" spans="2:20" x14ac:dyDescent="0.25">
      <c r="B5638" t="s">
        <v>2709</v>
      </c>
      <c r="C5638">
        <v>52052800</v>
      </c>
      <c r="E5638">
        <v>112.46</v>
      </c>
      <c r="F5638">
        <v>18</v>
      </c>
      <c r="G5638">
        <v>0</v>
      </c>
      <c r="H5638">
        <v>7.6</v>
      </c>
      <c r="I5638">
        <v>1.65</v>
      </c>
      <c r="J5638">
        <v>18</v>
      </c>
      <c r="L5638" t="s">
        <v>2709</v>
      </c>
      <c r="M5638">
        <v>52052800</v>
      </c>
      <c r="O5638" t="s">
        <v>20055</v>
      </c>
      <c r="P5638" t="s">
        <v>19899</v>
      </c>
      <c r="Q5638" t="s">
        <v>19900</v>
      </c>
      <c r="R5638" t="s">
        <v>19905</v>
      </c>
      <c r="S5638" t="s">
        <v>19906</v>
      </c>
      <c r="T5638" t="s">
        <v>19899</v>
      </c>
    </row>
    <row r="5639" spans="2:20" x14ac:dyDescent="0.25">
      <c r="B5639" t="s">
        <v>2709</v>
      </c>
      <c r="C5639">
        <v>52053100</v>
      </c>
      <c r="E5639">
        <v>112.46</v>
      </c>
      <c r="F5639">
        <v>18</v>
      </c>
      <c r="G5639">
        <v>0</v>
      </c>
      <c r="H5639">
        <v>7.6</v>
      </c>
      <c r="I5639">
        <v>1.65</v>
      </c>
      <c r="J5639">
        <v>18</v>
      </c>
      <c r="L5639" t="s">
        <v>2709</v>
      </c>
      <c r="M5639">
        <v>52053100</v>
      </c>
      <c r="O5639" t="s">
        <v>20055</v>
      </c>
      <c r="P5639" t="s">
        <v>19899</v>
      </c>
      <c r="Q5639" t="s">
        <v>19900</v>
      </c>
      <c r="R5639" t="s">
        <v>19905</v>
      </c>
      <c r="S5639" t="s">
        <v>19906</v>
      </c>
      <c r="T5639" t="s">
        <v>19899</v>
      </c>
    </row>
    <row r="5640" spans="2:20" x14ac:dyDescent="0.25">
      <c r="B5640" t="s">
        <v>2709</v>
      </c>
      <c r="C5640">
        <v>52053200</v>
      </c>
      <c r="E5640">
        <v>112.46</v>
      </c>
      <c r="F5640">
        <v>18</v>
      </c>
      <c r="G5640">
        <v>0</v>
      </c>
      <c r="H5640">
        <v>7.6</v>
      </c>
      <c r="I5640">
        <v>1.65</v>
      </c>
      <c r="J5640">
        <v>18</v>
      </c>
      <c r="L5640" t="s">
        <v>2709</v>
      </c>
      <c r="M5640">
        <v>52053200</v>
      </c>
      <c r="O5640" t="s">
        <v>20055</v>
      </c>
      <c r="P5640" t="s">
        <v>19899</v>
      </c>
      <c r="Q5640" t="s">
        <v>19900</v>
      </c>
      <c r="R5640" t="s">
        <v>19905</v>
      </c>
      <c r="S5640" t="s">
        <v>19906</v>
      </c>
      <c r="T5640" t="s">
        <v>19899</v>
      </c>
    </row>
    <row r="5641" spans="2:20" x14ac:dyDescent="0.25">
      <c r="B5641" t="s">
        <v>2709</v>
      </c>
      <c r="C5641">
        <v>52053300</v>
      </c>
      <c r="E5641">
        <v>112.46</v>
      </c>
      <c r="F5641">
        <v>18</v>
      </c>
      <c r="G5641">
        <v>0</v>
      </c>
      <c r="H5641">
        <v>7.6</v>
      </c>
      <c r="I5641">
        <v>1.65</v>
      </c>
      <c r="J5641">
        <v>18</v>
      </c>
      <c r="L5641" t="s">
        <v>2709</v>
      </c>
      <c r="M5641">
        <v>52053300</v>
      </c>
      <c r="O5641" t="s">
        <v>20055</v>
      </c>
      <c r="P5641" t="s">
        <v>19899</v>
      </c>
      <c r="Q5641" t="s">
        <v>19900</v>
      </c>
      <c r="R5641" t="s">
        <v>19905</v>
      </c>
      <c r="S5641" t="s">
        <v>19906</v>
      </c>
      <c r="T5641" t="s">
        <v>19899</v>
      </c>
    </row>
    <row r="5642" spans="2:20" x14ac:dyDescent="0.25">
      <c r="B5642" t="s">
        <v>2709</v>
      </c>
      <c r="C5642">
        <v>52053400</v>
      </c>
      <c r="E5642">
        <v>112.46</v>
      </c>
      <c r="F5642">
        <v>18</v>
      </c>
      <c r="G5642">
        <v>0</v>
      </c>
      <c r="H5642">
        <v>7.6</v>
      </c>
      <c r="I5642">
        <v>1.65</v>
      </c>
      <c r="J5642">
        <v>18</v>
      </c>
      <c r="L5642" t="s">
        <v>2709</v>
      </c>
      <c r="M5642">
        <v>52053400</v>
      </c>
      <c r="O5642" t="s">
        <v>20055</v>
      </c>
      <c r="P5642" t="s">
        <v>19899</v>
      </c>
      <c r="Q5642" t="s">
        <v>19900</v>
      </c>
      <c r="R5642" t="s">
        <v>19905</v>
      </c>
      <c r="S5642" t="s">
        <v>19906</v>
      </c>
      <c r="T5642" t="s">
        <v>19899</v>
      </c>
    </row>
    <row r="5643" spans="2:20" x14ac:dyDescent="0.25">
      <c r="B5643" t="s">
        <v>2709</v>
      </c>
      <c r="C5643">
        <v>52053500</v>
      </c>
      <c r="E5643">
        <v>112.46</v>
      </c>
      <c r="F5643">
        <v>18</v>
      </c>
      <c r="G5643">
        <v>0</v>
      </c>
      <c r="H5643">
        <v>7.6</v>
      </c>
      <c r="I5643">
        <v>1.65</v>
      </c>
      <c r="J5643">
        <v>18</v>
      </c>
      <c r="L5643" t="s">
        <v>2709</v>
      </c>
      <c r="M5643">
        <v>52053500</v>
      </c>
      <c r="O5643" t="s">
        <v>20055</v>
      </c>
      <c r="P5643" t="s">
        <v>19899</v>
      </c>
      <c r="Q5643" t="s">
        <v>19900</v>
      </c>
      <c r="R5643" t="s">
        <v>19905</v>
      </c>
      <c r="S5643" t="s">
        <v>19906</v>
      </c>
      <c r="T5643" t="s">
        <v>19899</v>
      </c>
    </row>
    <row r="5644" spans="2:20" x14ac:dyDescent="0.25">
      <c r="B5644" t="s">
        <v>2709</v>
      </c>
      <c r="C5644">
        <v>52054100</v>
      </c>
      <c r="E5644">
        <v>112.46</v>
      </c>
      <c r="F5644">
        <v>18</v>
      </c>
      <c r="G5644">
        <v>0</v>
      </c>
      <c r="H5644">
        <v>7.6</v>
      </c>
      <c r="I5644">
        <v>1.65</v>
      </c>
      <c r="J5644">
        <v>18</v>
      </c>
      <c r="L5644" t="s">
        <v>2709</v>
      </c>
      <c r="M5644">
        <v>52054100</v>
      </c>
      <c r="O5644" t="s">
        <v>20055</v>
      </c>
      <c r="P5644" t="s">
        <v>19899</v>
      </c>
      <c r="Q5644" t="s">
        <v>19900</v>
      </c>
      <c r="R5644" t="s">
        <v>19905</v>
      </c>
      <c r="S5644" t="s">
        <v>19906</v>
      </c>
      <c r="T5644" t="s">
        <v>19899</v>
      </c>
    </row>
    <row r="5645" spans="2:20" x14ac:dyDescent="0.25">
      <c r="B5645" t="s">
        <v>2709</v>
      </c>
      <c r="C5645">
        <v>52054200</v>
      </c>
      <c r="E5645">
        <v>112.46</v>
      </c>
      <c r="F5645">
        <v>18</v>
      </c>
      <c r="G5645">
        <v>0</v>
      </c>
      <c r="H5645">
        <v>7.6</v>
      </c>
      <c r="I5645">
        <v>1.65</v>
      </c>
      <c r="J5645">
        <v>18</v>
      </c>
      <c r="L5645" t="s">
        <v>2709</v>
      </c>
      <c r="M5645">
        <v>52054200</v>
      </c>
      <c r="O5645" t="s">
        <v>20055</v>
      </c>
      <c r="P5645" t="s">
        <v>19899</v>
      </c>
      <c r="Q5645" t="s">
        <v>19900</v>
      </c>
      <c r="R5645" t="s">
        <v>19905</v>
      </c>
      <c r="S5645" t="s">
        <v>19906</v>
      </c>
      <c r="T5645" t="s">
        <v>19899</v>
      </c>
    </row>
    <row r="5646" spans="2:20" x14ac:dyDescent="0.25">
      <c r="B5646" t="s">
        <v>2709</v>
      </c>
      <c r="C5646">
        <v>52054300</v>
      </c>
      <c r="E5646">
        <v>112.46</v>
      </c>
      <c r="F5646">
        <v>18</v>
      </c>
      <c r="G5646">
        <v>0</v>
      </c>
      <c r="H5646">
        <v>7.6</v>
      </c>
      <c r="I5646">
        <v>1.65</v>
      </c>
      <c r="J5646">
        <v>18</v>
      </c>
      <c r="L5646" t="s">
        <v>2709</v>
      </c>
      <c r="M5646">
        <v>52054300</v>
      </c>
      <c r="O5646" t="s">
        <v>20055</v>
      </c>
      <c r="P5646" t="s">
        <v>19899</v>
      </c>
      <c r="Q5646" t="s">
        <v>19900</v>
      </c>
      <c r="R5646" t="s">
        <v>19905</v>
      </c>
      <c r="S5646" t="s">
        <v>19906</v>
      </c>
      <c r="T5646" t="s">
        <v>19899</v>
      </c>
    </row>
    <row r="5647" spans="2:20" x14ac:dyDescent="0.25">
      <c r="B5647" t="s">
        <v>2709</v>
      </c>
      <c r="C5647">
        <v>52054400</v>
      </c>
      <c r="E5647">
        <v>112.46</v>
      </c>
      <c r="F5647">
        <v>18</v>
      </c>
      <c r="G5647">
        <v>0</v>
      </c>
      <c r="H5647">
        <v>7.6</v>
      </c>
      <c r="I5647">
        <v>1.65</v>
      </c>
      <c r="J5647">
        <v>18</v>
      </c>
      <c r="L5647" t="s">
        <v>2709</v>
      </c>
      <c r="M5647">
        <v>52054400</v>
      </c>
      <c r="O5647" t="s">
        <v>20055</v>
      </c>
      <c r="P5647" t="s">
        <v>19899</v>
      </c>
      <c r="Q5647" t="s">
        <v>19900</v>
      </c>
      <c r="R5647" t="s">
        <v>19905</v>
      </c>
      <c r="S5647" t="s">
        <v>19906</v>
      </c>
      <c r="T5647" t="s">
        <v>19899</v>
      </c>
    </row>
    <row r="5648" spans="2:20" x14ac:dyDescent="0.25">
      <c r="B5648" t="s">
        <v>2709</v>
      </c>
      <c r="C5648">
        <v>52054600</v>
      </c>
      <c r="E5648">
        <v>112.46</v>
      </c>
      <c r="F5648">
        <v>18</v>
      </c>
      <c r="G5648">
        <v>0</v>
      </c>
      <c r="H5648">
        <v>7.6</v>
      </c>
      <c r="I5648">
        <v>1.65</v>
      </c>
      <c r="J5648">
        <v>18</v>
      </c>
      <c r="L5648" t="s">
        <v>2709</v>
      </c>
      <c r="M5648">
        <v>52054600</v>
      </c>
      <c r="O5648" t="s">
        <v>20055</v>
      </c>
      <c r="P5648" t="s">
        <v>19899</v>
      </c>
      <c r="Q5648" t="s">
        <v>19900</v>
      </c>
      <c r="R5648" t="s">
        <v>19905</v>
      </c>
      <c r="S5648" t="s">
        <v>19906</v>
      </c>
      <c r="T5648" t="s">
        <v>19899</v>
      </c>
    </row>
    <row r="5649" spans="2:20" x14ac:dyDescent="0.25">
      <c r="B5649" t="s">
        <v>2709</v>
      </c>
      <c r="C5649">
        <v>52054700</v>
      </c>
      <c r="E5649">
        <v>112.46</v>
      </c>
      <c r="F5649">
        <v>18</v>
      </c>
      <c r="G5649">
        <v>0</v>
      </c>
      <c r="H5649">
        <v>7.6</v>
      </c>
      <c r="I5649">
        <v>1.65</v>
      </c>
      <c r="J5649">
        <v>18</v>
      </c>
      <c r="L5649" t="s">
        <v>2709</v>
      </c>
      <c r="M5649">
        <v>52054700</v>
      </c>
      <c r="O5649" t="s">
        <v>20055</v>
      </c>
      <c r="P5649" t="s">
        <v>19899</v>
      </c>
      <c r="Q5649" t="s">
        <v>19900</v>
      </c>
      <c r="R5649" t="s">
        <v>19905</v>
      </c>
      <c r="S5649" t="s">
        <v>19906</v>
      </c>
      <c r="T5649" t="s">
        <v>19899</v>
      </c>
    </row>
    <row r="5650" spans="2:20" x14ac:dyDescent="0.25">
      <c r="B5650" t="s">
        <v>2709</v>
      </c>
      <c r="C5650">
        <v>52054800</v>
      </c>
      <c r="E5650">
        <v>112.46</v>
      </c>
      <c r="F5650">
        <v>18</v>
      </c>
      <c r="G5650">
        <v>0</v>
      </c>
      <c r="H5650">
        <v>7.6</v>
      </c>
      <c r="I5650">
        <v>1.65</v>
      </c>
      <c r="J5650">
        <v>18</v>
      </c>
      <c r="L5650" t="s">
        <v>2709</v>
      </c>
      <c r="M5650">
        <v>52054800</v>
      </c>
      <c r="O5650" t="s">
        <v>20055</v>
      </c>
      <c r="P5650" t="s">
        <v>19899</v>
      </c>
      <c r="Q5650" t="s">
        <v>19900</v>
      </c>
      <c r="R5650" t="s">
        <v>19905</v>
      </c>
      <c r="S5650" t="s">
        <v>19906</v>
      </c>
      <c r="T5650" t="s">
        <v>19899</v>
      </c>
    </row>
    <row r="5651" spans="2:20" x14ac:dyDescent="0.25">
      <c r="B5651" t="s">
        <v>2709</v>
      </c>
      <c r="C5651">
        <v>52061100</v>
      </c>
      <c r="E5651">
        <v>112.46</v>
      </c>
      <c r="F5651">
        <v>18</v>
      </c>
      <c r="G5651">
        <v>0</v>
      </c>
      <c r="H5651">
        <v>7.6</v>
      </c>
      <c r="I5651">
        <v>1.65</v>
      </c>
      <c r="J5651">
        <v>18</v>
      </c>
      <c r="L5651" t="s">
        <v>2709</v>
      </c>
      <c r="M5651">
        <v>52061100</v>
      </c>
      <c r="O5651" t="s">
        <v>20055</v>
      </c>
      <c r="P5651" t="s">
        <v>19899</v>
      </c>
      <c r="Q5651" t="s">
        <v>19900</v>
      </c>
      <c r="R5651" t="s">
        <v>19905</v>
      </c>
      <c r="S5651" t="s">
        <v>19906</v>
      </c>
      <c r="T5651" t="s">
        <v>19899</v>
      </c>
    </row>
    <row r="5652" spans="2:20" x14ac:dyDescent="0.25">
      <c r="B5652" t="s">
        <v>2709</v>
      </c>
      <c r="C5652">
        <v>52061200</v>
      </c>
      <c r="E5652">
        <v>112.46</v>
      </c>
      <c r="F5652">
        <v>18</v>
      </c>
      <c r="G5652">
        <v>0</v>
      </c>
      <c r="H5652">
        <v>7.6</v>
      </c>
      <c r="I5652">
        <v>1.65</v>
      </c>
      <c r="J5652">
        <v>18</v>
      </c>
      <c r="L5652" t="s">
        <v>2709</v>
      </c>
      <c r="M5652">
        <v>52061200</v>
      </c>
      <c r="O5652" t="s">
        <v>20055</v>
      </c>
      <c r="P5652" t="s">
        <v>19899</v>
      </c>
      <c r="Q5652" t="s">
        <v>19900</v>
      </c>
      <c r="R5652" t="s">
        <v>19905</v>
      </c>
      <c r="S5652" t="s">
        <v>19906</v>
      </c>
      <c r="T5652" t="s">
        <v>19899</v>
      </c>
    </row>
    <row r="5653" spans="2:20" x14ac:dyDescent="0.25">
      <c r="B5653" t="s">
        <v>2709</v>
      </c>
      <c r="C5653">
        <v>52061300</v>
      </c>
      <c r="E5653">
        <v>112.46</v>
      </c>
      <c r="F5653">
        <v>18</v>
      </c>
      <c r="G5653">
        <v>0</v>
      </c>
      <c r="H5653">
        <v>7.6</v>
      </c>
      <c r="I5653">
        <v>1.65</v>
      </c>
      <c r="J5653">
        <v>18</v>
      </c>
      <c r="L5653" t="s">
        <v>2709</v>
      </c>
      <c r="M5653">
        <v>52061300</v>
      </c>
      <c r="O5653" t="s">
        <v>20055</v>
      </c>
      <c r="P5653" t="s">
        <v>19899</v>
      </c>
      <c r="Q5653" t="s">
        <v>19900</v>
      </c>
      <c r="R5653" t="s">
        <v>19905</v>
      </c>
      <c r="S5653" t="s">
        <v>19906</v>
      </c>
      <c r="T5653" t="s">
        <v>19899</v>
      </c>
    </row>
    <row r="5654" spans="2:20" x14ac:dyDescent="0.25">
      <c r="B5654" t="s">
        <v>2709</v>
      </c>
      <c r="C5654">
        <v>52061400</v>
      </c>
      <c r="E5654">
        <v>112.46</v>
      </c>
      <c r="F5654">
        <v>18</v>
      </c>
      <c r="G5654">
        <v>0</v>
      </c>
      <c r="H5654">
        <v>7.6</v>
      </c>
      <c r="I5654">
        <v>1.65</v>
      </c>
      <c r="J5654">
        <v>18</v>
      </c>
      <c r="L5654" t="s">
        <v>2709</v>
      </c>
      <c r="M5654">
        <v>52061400</v>
      </c>
      <c r="O5654" t="s">
        <v>20055</v>
      </c>
      <c r="P5654" t="s">
        <v>19899</v>
      </c>
      <c r="Q5654" t="s">
        <v>19900</v>
      </c>
      <c r="R5654" t="s">
        <v>19905</v>
      </c>
      <c r="S5654" t="s">
        <v>19906</v>
      </c>
      <c r="T5654" t="s">
        <v>19899</v>
      </c>
    </row>
    <row r="5655" spans="2:20" x14ac:dyDescent="0.25">
      <c r="B5655" t="s">
        <v>2709</v>
      </c>
      <c r="C5655">
        <v>52061500</v>
      </c>
      <c r="E5655">
        <v>112.46</v>
      </c>
      <c r="F5655">
        <v>18</v>
      </c>
      <c r="G5655">
        <v>0</v>
      </c>
      <c r="H5655">
        <v>7.6</v>
      </c>
      <c r="I5655">
        <v>1.65</v>
      </c>
      <c r="J5655">
        <v>18</v>
      </c>
      <c r="L5655" t="s">
        <v>2709</v>
      </c>
      <c r="M5655">
        <v>52061500</v>
      </c>
      <c r="O5655" t="s">
        <v>20055</v>
      </c>
      <c r="P5655" t="s">
        <v>19899</v>
      </c>
      <c r="Q5655" t="s">
        <v>19900</v>
      </c>
      <c r="R5655" t="s">
        <v>19905</v>
      </c>
      <c r="S5655" t="s">
        <v>19906</v>
      </c>
      <c r="T5655" t="s">
        <v>19899</v>
      </c>
    </row>
    <row r="5656" spans="2:20" x14ac:dyDescent="0.25">
      <c r="B5656" t="s">
        <v>2709</v>
      </c>
      <c r="C5656">
        <v>52062100</v>
      </c>
      <c r="E5656">
        <v>112.46</v>
      </c>
      <c r="F5656">
        <v>18</v>
      </c>
      <c r="G5656">
        <v>0</v>
      </c>
      <c r="H5656">
        <v>7.6</v>
      </c>
      <c r="I5656">
        <v>1.65</v>
      </c>
      <c r="J5656">
        <v>18</v>
      </c>
      <c r="L5656" t="s">
        <v>2709</v>
      </c>
      <c r="M5656">
        <v>52062100</v>
      </c>
      <c r="O5656" t="s">
        <v>20055</v>
      </c>
      <c r="P5656" t="s">
        <v>19899</v>
      </c>
      <c r="Q5656" t="s">
        <v>19900</v>
      </c>
      <c r="R5656" t="s">
        <v>19905</v>
      </c>
      <c r="S5656" t="s">
        <v>19906</v>
      </c>
      <c r="T5656" t="s">
        <v>19899</v>
      </c>
    </row>
    <row r="5657" spans="2:20" x14ac:dyDescent="0.25">
      <c r="B5657" t="s">
        <v>2709</v>
      </c>
      <c r="C5657">
        <v>52062200</v>
      </c>
      <c r="E5657">
        <v>112.46</v>
      </c>
      <c r="F5657">
        <v>18</v>
      </c>
      <c r="G5657">
        <v>0</v>
      </c>
      <c r="H5657">
        <v>7.6</v>
      </c>
      <c r="I5657">
        <v>1.65</v>
      </c>
      <c r="J5657">
        <v>18</v>
      </c>
      <c r="L5657" t="s">
        <v>2709</v>
      </c>
      <c r="M5657">
        <v>52062200</v>
      </c>
      <c r="O5657" t="s">
        <v>20055</v>
      </c>
      <c r="P5657" t="s">
        <v>19899</v>
      </c>
      <c r="Q5657" t="s">
        <v>19900</v>
      </c>
      <c r="R5657" t="s">
        <v>19905</v>
      </c>
      <c r="S5657" t="s">
        <v>19906</v>
      </c>
      <c r="T5657" t="s">
        <v>19899</v>
      </c>
    </row>
    <row r="5658" spans="2:20" x14ac:dyDescent="0.25">
      <c r="B5658" t="s">
        <v>2709</v>
      </c>
      <c r="C5658">
        <v>52062300</v>
      </c>
      <c r="E5658">
        <v>112.46</v>
      </c>
      <c r="F5658">
        <v>18</v>
      </c>
      <c r="G5658">
        <v>0</v>
      </c>
      <c r="H5658">
        <v>7.6</v>
      </c>
      <c r="I5658">
        <v>1.65</v>
      </c>
      <c r="J5658">
        <v>18</v>
      </c>
      <c r="L5658" t="s">
        <v>2709</v>
      </c>
      <c r="M5658">
        <v>52062300</v>
      </c>
      <c r="O5658" t="s">
        <v>20055</v>
      </c>
      <c r="P5658" t="s">
        <v>19899</v>
      </c>
      <c r="Q5658" t="s">
        <v>19900</v>
      </c>
      <c r="R5658" t="s">
        <v>19905</v>
      </c>
      <c r="S5658" t="s">
        <v>19906</v>
      </c>
      <c r="T5658" t="s">
        <v>19899</v>
      </c>
    </row>
    <row r="5659" spans="2:20" x14ac:dyDescent="0.25">
      <c r="B5659" t="s">
        <v>2709</v>
      </c>
      <c r="C5659">
        <v>52062400</v>
      </c>
      <c r="E5659">
        <v>112.46</v>
      </c>
      <c r="F5659">
        <v>18</v>
      </c>
      <c r="G5659">
        <v>0</v>
      </c>
      <c r="H5659">
        <v>7.6</v>
      </c>
      <c r="I5659">
        <v>1.65</v>
      </c>
      <c r="J5659">
        <v>18</v>
      </c>
      <c r="L5659" t="s">
        <v>2709</v>
      </c>
      <c r="M5659">
        <v>52062400</v>
      </c>
      <c r="O5659" t="s">
        <v>20055</v>
      </c>
      <c r="P5659" t="s">
        <v>19899</v>
      </c>
      <c r="Q5659" t="s">
        <v>19900</v>
      </c>
      <c r="R5659" t="s">
        <v>19905</v>
      </c>
      <c r="S5659" t="s">
        <v>19906</v>
      </c>
      <c r="T5659" t="s">
        <v>19899</v>
      </c>
    </row>
    <row r="5660" spans="2:20" x14ac:dyDescent="0.25">
      <c r="B5660" t="s">
        <v>2709</v>
      </c>
      <c r="C5660">
        <v>52062500</v>
      </c>
      <c r="E5660">
        <v>112.46</v>
      </c>
      <c r="F5660">
        <v>18</v>
      </c>
      <c r="G5660">
        <v>0</v>
      </c>
      <c r="H5660">
        <v>7.6</v>
      </c>
      <c r="I5660">
        <v>1.65</v>
      </c>
      <c r="J5660">
        <v>18</v>
      </c>
      <c r="L5660" t="s">
        <v>2709</v>
      </c>
      <c r="M5660">
        <v>52062500</v>
      </c>
      <c r="O5660" t="s">
        <v>20055</v>
      </c>
      <c r="P5660" t="s">
        <v>19899</v>
      </c>
      <c r="Q5660" t="s">
        <v>19900</v>
      </c>
      <c r="R5660" t="s">
        <v>19905</v>
      </c>
      <c r="S5660" t="s">
        <v>19906</v>
      </c>
      <c r="T5660" t="s">
        <v>19899</v>
      </c>
    </row>
    <row r="5661" spans="2:20" x14ac:dyDescent="0.25">
      <c r="B5661" t="s">
        <v>2709</v>
      </c>
      <c r="C5661">
        <v>52063100</v>
      </c>
      <c r="E5661">
        <v>112.46</v>
      </c>
      <c r="F5661">
        <v>18</v>
      </c>
      <c r="G5661">
        <v>0</v>
      </c>
      <c r="H5661">
        <v>7.6</v>
      </c>
      <c r="I5661">
        <v>1.65</v>
      </c>
      <c r="J5661">
        <v>18</v>
      </c>
      <c r="L5661" t="s">
        <v>2709</v>
      </c>
      <c r="M5661">
        <v>52063100</v>
      </c>
      <c r="O5661" t="s">
        <v>20055</v>
      </c>
      <c r="P5661" t="s">
        <v>19899</v>
      </c>
      <c r="Q5661" t="s">
        <v>19900</v>
      </c>
      <c r="R5661" t="s">
        <v>19905</v>
      </c>
      <c r="S5661" t="s">
        <v>19906</v>
      </c>
      <c r="T5661" t="s">
        <v>19899</v>
      </c>
    </row>
    <row r="5662" spans="2:20" x14ac:dyDescent="0.25">
      <c r="B5662" t="s">
        <v>2709</v>
      </c>
      <c r="C5662">
        <v>52063200</v>
      </c>
      <c r="E5662">
        <v>112.46</v>
      </c>
      <c r="F5662">
        <v>18</v>
      </c>
      <c r="G5662">
        <v>0</v>
      </c>
      <c r="H5662">
        <v>7.6</v>
      </c>
      <c r="I5662">
        <v>1.65</v>
      </c>
      <c r="J5662">
        <v>18</v>
      </c>
      <c r="L5662" t="s">
        <v>2709</v>
      </c>
      <c r="M5662">
        <v>52063200</v>
      </c>
      <c r="O5662" t="s">
        <v>20055</v>
      </c>
      <c r="P5662" t="s">
        <v>19899</v>
      </c>
      <c r="Q5662" t="s">
        <v>19900</v>
      </c>
      <c r="R5662" t="s">
        <v>19905</v>
      </c>
      <c r="S5662" t="s">
        <v>19906</v>
      </c>
      <c r="T5662" t="s">
        <v>19899</v>
      </c>
    </row>
    <row r="5663" spans="2:20" x14ac:dyDescent="0.25">
      <c r="B5663" t="s">
        <v>2709</v>
      </c>
      <c r="C5663">
        <v>52063300</v>
      </c>
      <c r="E5663">
        <v>112.46</v>
      </c>
      <c r="F5663">
        <v>18</v>
      </c>
      <c r="G5663">
        <v>0</v>
      </c>
      <c r="H5663">
        <v>7.6</v>
      </c>
      <c r="I5663">
        <v>1.65</v>
      </c>
      <c r="J5663">
        <v>18</v>
      </c>
      <c r="L5663" t="s">
        <v>2709</v>
      </c>
      <c r="M5663">
        <v>52063300</v>
      </c>
      <c r="O5663" t="s">
        <v>20055</v>
      </c>
      <c r="P5663" t="s">
        <v>19899</v>
      </c>
      <c r="Q5663" t="s">
        <v>19900</v>
      </c>
      <c r="R5663" t="s">
        <v>19905</v>
      </c>
      <c r="S5663" t="s">
        <v>19906</v>
      </c>
      <c r="T5663" t="s">
        <v>19899</v>
      </c>
    </row>
    <row r="5664" spans="2:20" x14ac:dyDescent="0.25">
      <c r="B5664" t="s">
        <v>2709</v>
      </c>
      <c r="C5664">
        <v>52063400</v>
      </c>
      <c r="E5664">
        <v>112.46</v>
      </c>
      <c r="F5664">
        <v>18</v>
      </c>
      <c r="G5664">
        <v>0</v>
      </c>
      <c r="H5664">
        <v>7.6</v>
      </c>
      <c r="I5664">
        <v>1.65</v>
      </c>
      <c r="J5664">
        <v>18</v>
      </c>
      <c r="L5664" t="s">
        <v>2709</v>
      </c>
      <c r="M5664">
        <v>52063400</v>
      </c>
      <c r="O5664" t="s">
        <v>20055</v>
      </c>
      <c r="P5664" t="s">
        <v>19899</v>
      </c>
      <c r="Q5664" t="s">
        <v>19900</v>
      </c>
      <c r="R5664" t="s">
        <v>19905</v>
      </c>
      <c r="S5664" t="s">
        <v>19906</v>
      </c>
      <c r="T5664" t="s">
        <v>19899</v>
      </c>
    </row>
    <row r="5665" spans="2:20" x14ac:dyDescent="0.25">
      <c r="B5665" t="s">
        <v>2709</v>
      </c>
      <c r="C5665">
        <v>52063500</v>
      </c>
      <c r="E5665">
        <v>112.46</v>
      </c>
      <c r="F5665">
        <v>18</v>
      </c>
      <c r="G5665">
        <v>0</v>
      </c>
      <c r="H5665">
        <v>7.6</v>
      </c>
      <c r="I5665">
        <v>1.65</v>
      </c>
      <c r="J5665">
        <v>18</v>
      </c>
      <c r="L5665" t="s">
        <v>2709</v>
      </c>
      <c r="M5665">
        <v>52063500</v>
      </c>
      <c r="O5665" t="s">
        <v>20055</v>
      </c>
      <c r="P5665" t="s">
        <v>19899</v>
      </c>
      <c r="Q5665" t="s">
        <v>19900</v>
      </c>
      <c r="R5665" t="s">
        <v>19905</v>
      </c>
      <c r="S5665" t="s">
        <v>19906</v>
      </c>
      <c r="T5665" t="s">
        <v>19899</v>
      </c>
    </row>
    <row r="5666" spans="2:20" x14ac:dyDescent="0.25">
      <c r="B5666" t="s">
        <v>2709</v>
      </c>
      <c r="C5666">
        <v>52064100</v>
      </c>
      <c r="E5666">
        <v>112.46</v>
      </c>
      <c r="F5666">
        <v>18</v>
      </c>
      <c r="G5666">
        <v>0</v>
      </c>
      <c r="H5666">
        <v>7.6</v>
      </c>
      <c r="I5666">
        <v>1.65</v>
      </c>
      <c r="J5666">
        <v>18</v>
      </c>
      <c r="L5666" t="s">
        <v>2709</v>
      </c>
      <c r="M5666">
        <v>52064100</v>
      </c>
      <c r="O5666" t="s">
        <v>20055</v>
      </c>
      <c r="P5666" t="s">
        <v>19899</v>
      </c>
      <c r="Q5666" t="s">
        <v>19900</v>
      </c>
      <c r="R5666" t="s">
        <v>19905</v>
      </c>
      <c r="S5666" t="s">
        <v>19906</v>
      </c>
      <c r="T5666" t="s">
        <v>19899</v>
      </c>
    </row>
    <row r="5667" spans="2:20" x14ac:dyDescent="0.25">
      <c r="B5667" t="s">
        <v>2709</v>
      </c>
      <c r="C5667">
        <v>52064200</v>
      </c>
      <c r="E5667">
        <v>112.46</v>
      </c>
      <c r="F5667">
        <v>18</v>
      </c>
      <c r="G5667">
        <v>0</v>
      </c>
      <c r="H5667">
        <v>7.6</v>
      </c>
      <c r="I5667">
        <v>1.65</v>
      </c>
      <c r="J5667">
        <v>18</v>
      </c>
      <c r="L5667" t="s">
        <v>2709</v>
      </c>
      <c r="M5667">
        <v>52064200</v>
      </c>
      <c r="O5667" t="s">
        <v>20055</v>
      </c>
      <c r="P5667" t="s">
        <v>19899</v>
      </c>
      <c r="Q5667" t="s">
        <v>19900</v>
      </c>
      <c r="R5667" t="s">
        <v>19905</v>
      </c>
      <c r="S5667" t="s">
        <v>19906</v>
      </c>
      <c r="T5667" t="s">
        <v>19899</v>
      </c>
    </row>
    <row r="5668" spans="2:20" x14ac:dyDescent="0.25">
      <c r="B5668" t="s">
        <v>2709</v>
      </c>
      <c r="C5668">
        <v>52064300</v>
      </c>
      <c r="E5668">
        <v>112.46</v>
      </c>
      <c r="F5668">
        <v>18</v>
      </c>
      <c r="G5668">
        <v>0</v>
      </c>
      <c r="H5668">
        <v>7.6</v>
      </c>
      <c r="I5668">
        <v>1.65</v>
      </c>
      <c r="J5668">
        <v>18</v>
      </c>
      <c r="L5668" t="s">
        <v>2709</v>
      </c>
      <c r="M5668">
        <v>52064300</v>
      </c>
      <c r="O5668" t="s">
        <v>20055</v>
      </c>
      <c r="P5668" t="s">
        <v>19899</v>
      </c>
      <c r="Q5668" t="s">
        <v>19900</v>
      </c>
      <c r="R5668" t="s">
        <v>19905</v>
      </c>
      <c r="S5668" t="s">
        <v>19906</v>
      </c>
      <c r="T5668" t="s">
        <v>19899</v>
      </c>
    </row>
    <row r="5669" spans="2:20" x14ac:dyDescent="0.25">
      <c r="B5669" t="s">
        <v>2709</v>
      </c>
      <c r="C5669">
        <v>52064400</v>
      </c>
      <c r="E5669">
        <v>112.46</v>
      </c>
      <c r="F5669">
        <v>18</v>
      </c>
      <c r="G5669">
        <v>0</v>
      </c>
      <c r="H5669">
        <v>7.6</v>
      </c>
      <c r="I5669">
        <v>1.65</v>
      </c>
      <c r="J5669">
        <v>18</v>
      </c>
      <c r="L5669" t="s">
        <v>2709</v>
      </c>
      <c r="M5669">
        <v>52064400</v>
      </c>
      <c r="O5669" t="s">
        <v>20055</v>
      </c>
      <c r="P5669" t="s">
        <v>19899</v>
      </c>
      <c r="Q5669" t="s">
        <v>19900</v>
      </c>
      <c r="R5669" t="s">
        <v>19905</v>
      </c>
      <c r="S5669" t="s">
        <v>19906</v>
      </c>
      <c r="T5669" t="s">
        <v>19899</v>
      </c>
    </row>
    <row r="5670" spans="2:20" x14ac:dyDescent="0.25">
      <c r="B5670" t="s">
        <v>2709</v>
      </c>
      <c r="C5670">
        <v>52064500</v>
      </c>
      <c r="E5670">
        <v>112.46</v>
      </c>
      <c r="F5670">
        <v>18</v>
      </c>
      <c r="G5670">
        <v>0</v>
      </c>
      <c r="H5670">
        <v>7.6</v>
      </c>
      <c r="I5670">
        <v>1.65</v>
      </c>
      <c r="J5670">
        <v>18</v>
      </c>
      <c r="L5670" t="s">
        <v>2709</v>
      </c>
      <c r="M5670">
        <v>52064500</v>
      </c>
      <c r="O5670" t="s">
        <v>20055</v>
      </c>
      <c r="P5670" t="s">
        <v>19899</v>
      </c>
      <c r="Q5670" t="s">
        <v>19900</v>
      </c>
      <c r="R5670" t="s">
        <v>19905</v>
      </c>
      <c r="S5670" t="s">
        <v>19906</v>
      </c>
      <c r="T5670" t="s">
        <v>19899</v>
      </c>
    </row>
    <row r="5671" spans="2:20" x14ac:dyDescent="0.25">
      <c r="B5671" t="s">
        <v>2709</v>
      </c>
      <c r="C5671">
        <v>52071000</v>
      </c>
      <c r="E5671">
        <v>112.46</v>
      </c>
      <c r="F5671">
        <v>18</v>
      </c>
      <c r="G5671">
        <v>0</v>
      </c>
      <c r="H5671">
        <v>7.6</v>
      </c>
      <c r="I5671">
        <v>1.65</v>
      </c>
      <c r="J5671">
        <v>18</v>
      </c>
      <c r="L5671" t="s">
        <v>2709</v>
      </c>
      <c r="M5671">
        <v>52071000</v>
      </c>
      <c r="O5671" t="s">
        <v>20055</v>
      </c>
      <c r="P5671" t="s">
        <v>19899</v>
      </c>
      <c r="Q5671" t="s">
        <v>19900</v>
      </c>
      <c r="R5671" t="s">
        <v>19905</v>
      </c>
      <c r="S5671" t="s">
        <v>19906</v>
      </c>
      <c r="T5671" t="s">
        <v>19899</v>
      </c>
    </row>
    <row r="5672" spans="2:20" x14ac:dyDescent="0.25">
      <c r="B5672" t="s">
        <v>2709</v>
      </c>
      <c r="C5672">
        <v>52079000</v>
      </c>
      <c r="E5672">
        <v>112.46</v>
      </c>
      <c r="F5672">
        <v>18</v>
      </c>
      <c r="G5672">
        <v>0</v>
      </c>
      <c r="H5672">
        <v>7.6</v>
      </c>
      <c r="I5672">
        <v>1.65</v>
      </c>
      <c r="J5672">
        <v>18</v>
      </c>
      <c r="L5672" t="s">
        <v>2709</v>
      </c>
      <c r="M5672">
        <v>52079000</v>
      </c>
      <c r="O5672" t="s">
        <v>20055</v>
      </c>
      <c r="P5672" t="s">
        <v>19899</v>
      </c>
      <c r="Q5672" t="s">
        <v>19900</v>
      </c>
      <c r="R5672" t="s">
        <v>19905</v>
      </c>
      <c r="S5672" t="s">
        <v>19906</v>
      </c>
      <c r="T5672" t="s">
        <v>19899</v>
      </c>
    </row>
    <row r="5673" spans="2:20" x14ac:dyDescent="0.25">
      <c r="B5673" t="s">
        <v>2709</v>
      </c>
      <c r="C5673">
        <v>52081100</v>
      </c>
      <c r="E5673">
        <v>112.46</v>
      </c>
      <c r="F5673">
        <v>18</v>
      </c>
      <c r="G5673">
        <v>0</v>
      </c>
      <c r="H5673">
        <v>7.6</v>
      </c>
      <c r="I5673">
        <v>1.65</v>
      </c>
      <c r="J5673">
        <v>26</v>
      </c>
      <c r="L5673" t="s">
        <v>2709</v>
      </c>
      <c r="M5673">
        <v>52081100</v>
      </c>
      <c r="O5673" t="s">
        <v>20055</v>
      </c>
      <c r="P5673" t="s">
        <v>19899</v>
      </c>
      <c r="Q5673" t="s">
        <v>19900</v>
      </c>
      <c r="R5673" t="s">
        <v>19905</v>
      </c>
      <c r="S5673" t="s">
        <v>19906</v>
      </c>
      <c r="T5673" t="s">
        <v>20108</v>
      </c>
    </row>
    <row r="5674" spans="2:20" x14ac:dyDescent="0.25">
      <c r="B5674" t="s">
        <v>2709</v>
      </c>
      <c r="C5674">
        <v>52081200</v>
      </c>
      <c r="E5674">
        <v>112.46</v>
      </c>
      <c r="F5674">
        <v>18</v>
      </c>
      <c r="G5674">
        <v>0</v>
      </c>
      <c r="H5674">
        <v>7.6</v>
      </c>
      <c r="I5674">
        <v>1.65</v>
      </c>
      <c r="J5674">
        <v>26</v>
      </c>
      <c r="L5674" t="s">
        <v>2709</v>
      </c>
      <c r="M5674">
        <v>52081200</v>
      </c>
      <c r="O5674" t="s">
        <v>20055</v>
      </c>
      <c r="P5674" t="s">
        <v>19899</v>
      </c>
      <c r="Q5674" t="s">
        <v>19900</v>
      </c>
      <c r="R5674" t="s">
        <v>19905</v>
      </c>
      <c r="S5674" t="s">
        <v>19906</v>
      </c>
      <c r="T5674" t="s">
        <v>20108</v>
      </c>
    </row>
    <row r="5675" spans="2:20" x14ac:dyDescent="0.25">
      <c r="B5675" t="s">
        <v>2709</v>
      </c>
      <c r="C5675">
        <v>52081300</v>
      </c>
      <c r="E5675">
        <v>112.46</v>
      </c>
      <c r="F5675">
        <v>18</v>
      </c>
      <c r="G5675">
        <v>0</v>
      </c>
      <c r="H5675">
        <v>7.6</v>
      </c>
      <c r="I5675">
        <v>1.65</v>
      </c>
      <c r="J5675">
        <v>26</v>
      </c>
      <c r="L5675" t="s">
        <v>2709</v>
      </c>
      <c r="M5675">
        <v>52081300</v>
      </c>
      <c r="O5675" t="s">
        <v>20055</v>
      </c>
      <c r="P5675" t="s">
        <v>19899</v>
      </c>
      <c r="Q5675" t="s">
        <v>19900</v>
      </c>
      <c r="R5675" t="s">
        <v>19905</v>
      </c>
      <c r="S5675" t="s">
        <v>19906</v>
      </c>
      <c r="T5675" t="s">
        <v>20108</v>
      </c>
    </row>
    <row r="5676" spans="2:20" x14ac:dyDescent="0.25">
      <c r="B5676" t="s">
        <v>2709</v>
      </c>
      <c r="C5676">
        <v>52081900</v>
      </c>
      <c r="E5676">
        <v>112.46</v>
      </c>
      <c r="F5676">
        <v>18</v>
      </c>
      <c r="G5676">
        <v>0</v>
      </c>
      <c r="H5676">
        <v>7.6</v>
      </c>
      <c r="I5676">
        <v>1.65</v>
      </c>
      <c r="J5676">
        <v>26</v>
      </c>
      <c r="L5676" t="s">
        <v>2709</v>
      </c>
      <c r="M5676">
        <v>52081900</v>
      </c>
      <c r="O5676" t="s">
        <v>20055</v>
      </c>
      <c r="P5676" t="s">
        <v>19899</v>
      </c>
      <c r="Q5676" t="s">
        <v>19900</v>
      </c>
      <c r="R5676" t="s">
        <v>19905</v>
      </c>
      <c r="S5676" t="s">
        <v>19906</v>
      </c>
      <c r="T5676" t="s">
        <v>20108</v>
      </c>
    </row>
    <row r="5677" spans="2:20" x14ac:dyDescent="0.25">
      <c r="B5677" t="s">
        <v>2709</v>
      </c>
      <c r="C5677">
        <v>52082100</v>
      </c>
      <c r="E5677">
        <v>112.46</v>
      </c>
      <c r="F5677">
        <v>18</v>
      </c>
      <c r="G5677">
        <v>0</v>
      </c>
      <c r="H5677">
        <v>7.6</v>
      </c>
      <c r="I5677">
        <v>1.65</v>
      </c>
      <c r="J5677">
        <v>26</v>
      </c>
      <c r="L5677" t="s">
        <v>2709</v>
      </c>
      <c r="M5677">
        <v>52082100</v>
      </c>
      <c r="O5677" t="s">
        <v>20055</v>
      </c>
      <c r="P5677" t="s">
        <v>19899</v>
      </c>
      <c r="Q5677" t="s">
        <v>19900</v>
      </c>
      <c r="R5677" t="s">
        <v>19905</v>
      </c>
      <c r="S5677" t="s">
        <v>19906</v>
      </c>
      <c r="T5677" t="s">
        <v>20108</v>
      </c>
    </row>
    <row r="5678" spans="2:20" x14ac:dyDescent="0.25">
      <c r="B5678" t="s">
        <v>2709</v>
      </c>
      <c r="C5678">
        <v>52082200</v>
      </c>
      <c r="E5678">
        <v>112.46</v>
      </c>
      <c r="F5678">
        <v>18</v>
      </c>
      <c r="G5678">
        <v>0</v>
      </c>
      <c r="H5678">
        <v>7.6</v>
      </c>
      <c r="I5678">
        <v>1.65</v>
      </c>
      <c r="J5678">
        <v>26</v>
      </c>
      <c r="L5678" t="s">
        <v>2709</v>
      </c>
      <c r="M5678">
        <v>52082200</v>
      </c>
      <c r="O5678" t="s">
        <v>20055</v>
      </c>
      <c r="P5678" t="s">
        <v>19899</v>
      </c>
      <c r="Q5678" t="s">
        <v>19900</v>
      </c>
      <c r="R5678" t="s">
        <v>19905</v>
      </c>
      <c r="S5678" t="s">
        <v>19906</v>
      </c>
      <c r="T5678" t="s">
        <v>20108</v>
      </c>
    </row>
    <row r="5679" spans="2:20" x14ac:dyDescent="0.25">
      <c r="B5679" t="s">
        <v>2709</v>
      </c>
      <c r="C5679">
        <v>52082300</v>
      </c>
      <c r="E5679">
        <v>112.46</v>
      </c>
      <c r="F5679">
        <v>18</v>
      </c>
      <c r="G5679">
        <v>0</v>
      </c>
      <c r="H5679">
        <v>7.6</v>
      </c>
      <c r="I5679">
        <v>1.65</v>
      </c>
      <c r="J5679">
        <v>26</v>
      </c>
      <c r="L5679" t="s">
        <v>2709</v>
      </c>
      <c r="M5679">
        <v>52082300</v>
      </c>
      <c r="O5679" t="s">
        <v>20055</v>
      </c>
      <c r="P5679" t="s">
        <v>19899</v>
      </c>
      <c r="Q5679" t="s">
        <v>19900</v>
      </c>
      <c r="R5679" t="s">
        <v>19905</v>
      </c>
      <c r="S5679" t="s">
        <v>19906</v>
      </c>
      <c r="T5679" t="s">
        <v>20108</v>
      </c>
    </row>
    <row r="5680" spans="2:20" x14ac:dyDescent="0.25">
      <c r="B5680" t="s">
        <v>2709</v>
      </c>
      <c r="C5680">
        <v>52082900</v>
      </c>
      <c r="E5680">
        <v>112.46</v>
      </c>
      <c r="F5680">
        <v>18</v>
      </c>
      <c r="G5680">
        <v>0</v>
      </c>
      <c r="H5680">
        <v>7.6</v>
      </c>
      <c r="I5680">
        <v>1.65</v>
      </c>
      <c r="J5680">
        <v>26</v>
      </c>
      <c r="L5680" t="s">
        <v>2709</v>
      </c>
      <c r="M5680">
        <v>52082900</v>
      </c>
      <c r="O5680" t="s">
        <v>20055</v>
      </c>
      <c r="P5680" t="s">
        <v>19899</v>
      </c>
      <c r="Q5680" t="s">
        <v>19900</v>
      </c>
      <c r="R5680" t="s">
        <v>19905</v>
      </c>
      <c r="S5680" t="s">
        <v>19906</v>
      </c>
      <c r="T5680" t="s">
        <v>20108</v>
      </c>
    </row>
    <row r="5681" spans="2:20" x14ac:dyDescent="0.25">
      <c r="B5681" t="s">
        <v>2709</v>
      </c>
      <c r="C5681">
        <v>52083100</v>
      </c>
      <c r="E5681">
        <v>112.46</v>
      </c>
      <c r="F5681">
        <v>18</v>
      </c>
      <c r="G5681">
        <v>0</v>
      </c>
      <c r="H5681">
        <v>7.6</v>
      </c>
      <c r="I5681">
        <v>1.65</v>
      </c>
      <c r="J5681">
        <v>26</v>
      </c>
      <c r="L5681" t="s">
        <v>2709</v>
      </c>
      <c r="M5681">
        <v>52083100</v>
      </c>
      <c r="O5681" t="s">
        <v>20055</v>
      </c>
      <c r="P5681" t="s">
        <v>19899</v>
      </c>
      <c r="Q5681" t="s">
        <v>19900</v>
      </c>
      <c r="R5681" t="s">
        <v>19905</v>
      </c>
      <c r="S5681" t="s">
        <v>19906</v>
      </c>
      <c r="T5681" t="s">
        <v>20108</v>
      </c>
    </row>
    <row r="5682" spans="2:20" x14ac:dyDescent="0.25">
      <c r="B5682" t="s">
        <v>2709</v>
      </c>
      <c r="C5682">
        <v>52083200</v>
      </c>
      <c r="E5682">
        <v>112.46</v>
      </c>
      <c r="F5682">
        <v>18</v>
      </c>
      <c r="G5682">
        <v>0</v>
      </c>
      <c r="H5682">
        <v>7.6</v>
      </c>
      <c r="I5682">
        <v>1.65</v>
      </c>
      <c r="J5682">
        <v>26</v>
      </c>
      <c r="L5682" t="s">
        <v>2709</v>
      </c>
      <c r="M5682">
        <v>52083200</v>
      </c>
      <c r="O5682" t="s">
        <v>20055</v>
      </c>
      <c r="P5682" t="s">
        <v>19899</v>
      </c>
      <c r="Q5682" t="s">
        <v>19900</v>
      </c>
      <c r="R5682" t="s">
        <v>19905</v>
      </c>
      <c r="S5682" t="s">
        <v>19906</v>
      </c>
      <c r="T5682" t="s">
        <v>20108</v>
      </c>
    </row>
    <row r="5683" spans="2:20" x14ac:dyDescent="0.25">
      <c r="B5683" t="s">
        <v>2709</v>
      </c>
      <c r="C5683">
        <v>52083300</v>
      </c>
      <c r="E5683">
        <v>112.46</v>
      </c>
      <c r="F5683">
        <v>18</v>
      </c>
      <c r="G5683">
        <v>0</v>
      </c>
      <c r="H5683">
        <v>7.6</v>
      </c>
      <c r="I5683">
        <v>1.65</v>
      </c>
      <c r="J5683">
        <v>26</v>
      </c>
      <c r="L5683" t="s">
        <v>2709</v>
      </c>
      <c r="M5683">
        <v>52083300</v>
      </c>
      <c r="O5683" t="s">
        <v>20055</v>
      </c>
      <c r="P5683" t="s">
        <v>19899</v>
      </c>
      <c r="Q5683" t="s">
        <v>19900</v>
      </c>
      <c r="R5683" t="s">
        <v>19905</v>
      </c>
      <c r="S5683" t="s">
        <v>19906</v>
      </c>
      <c r="T5683" t="s">
        <v>20108</v>
      </c>
    </row>
    <row r="5684" spans="2:20" x14ac:dyDescent="0.25">
      <c r="B5684" t="s">
        <v>2709</v>
      </c>
      <c r="C5684">
        <v>52083900</v>
      </c>
      <c r="E5684">
        <v>112.46</v>
      </c>
      <c r="F5684">
        <v>18</v>
      </c>
      <c r="G5684">
        <v>0</v>
      </c>
      <c r="H5684">
        <v>7.6</v>
      </c>
      <c r="I5684">
        <v>1.65</v>
      </c>
      <c r="J5684">
        <v>26</v>
      </c>
      <c r="L5684" t="s">
        <v>2709</v>
      </c>
      <c r="M5684">
        <v>52083900</v>
      </c>
      <c r="O5684" t="s">
        <v>20055</v>
      </c>
      <c r="P5684" t="s">
        <v>19899</v>
      </c>
      <c r="Q5684" t="s">
        <v>19900</v>
      </c>
      <c r="R5684" t="s">
        <v>19905</v>
      </c>
      <c r="S5684" t="s">
        <v>19906</v>
      </c>
      <c r="T5684" t="s">
        <v>20108</v>
      </c>
    </row>
    <row r="5685" spans="2:20" x14ac:dyDescent="0.25">
      <c r="B5685" t="s">
        <v>2709</v>
      </c>
      <c r="C5685">
        <v>52084100</v>
      </c>
      <c r="E5685">
        <v>112.46</v>
      </c>
      <c r="F5685">
        <v>18</v>
      </c>
      <c r="G5685">
        <v>0</v>
      </c>
      <c r="H5685">
        <v>7.6</v>
      </c>
      <c r="I5685">
        <v>1.65</v>
      </c>
      <c r="J5685">
        <v>26</v>
      </c>
      <c r="L5685" t="s">
        <v>2709</v>
      </c>
      <c r="M5685">
        <v>52084100</v>
      </c>
      <c r="O5685" t="s">
        <v>20055</v>
      </c>
      <c r="P5685" t="s">
        <v>19899</v>
      </c>
      <c r="Q5685" t="s">
        <v>19900</v>
      </c>
      <c r="R5685" t="s">
        <v>19905</v>
      </c>
      <c r="S5685" t="s">
        <v>19906</v>
      </c>
      <c r="T5685" t="s">
        <v>20108</v>
      </c>
    </row>
    <row r="5686" spans="2:20" x14ac:dyDescent="0.25">
      <c r="B5686" t="s">
        <v>2709</v>
      </c>
      <c r="C5686">
        <v>52084200</v>
      </c>
      <c r="E5686">
        <v>112.46</v>
      </c>
      <c r="F5686">
        <v>18</v>
      </c>
      <c r="G5686">
        <v>0</v>
      </c>
      <c r="H5686">
        <v>7.6</v>
      </c>
      <c r="I5686">
        <v>1.65</v>
      </c>
      <c r="J5686">
        <v>26</v>
      </c>
      <c r="L5686" t="s">
        <v>2709</v>
      </c>
      <c r="M5686">
        <v>52084200</v>
      </c>
      <c r="O5686" t="s">
        <v>20055</v>
      </c>
      <c r="P5686" t="s">
        <v>19899</v>
      </c>
      <c r="Q5686" t="s">
        <v>19900</v>
      </c>
      <c r="R5686" t="s">
        <v>19905</v>
      </c>
      <c r="S5686" t="s">
        <v>19906</v>
      </c>
      <c r="T5686" t="s">
        <v>20108</v>
      </c>
    </row>
    <row r="5687" spans="2:20" x14ac:dyDescent="0.25">
      <c r="B5687" t="s">
        <v>2709</v>
      </c>
      <c r="C5687">
        <v>52084300</v>
      </c>
      <c r="E5687">
        <v>112.46</v>
      </c>
      <c r="F5687">
        <v>18</v>
      </c>
      <c r="G5687">
        <v>0</v>
      </c>
      <c r="H5687">
        <v>7.6</v>
      </c>
      <c r="I5687">
        <v>1.65</v>
      </c>
      <c r="J5687">
        <v>26</v>
      </c>
      <c r="L5687" t="s">
        <v>2709</v>
      </c>
      <c r="M5687">
        <v>52084300</v>
      </c>
      <c r="O5687" t="s">
        <v>20055</v>
      </c>
      <c r="P5687" t="s">
        <v>19899</v>
      </c>
      <c r="Q5687" t="s">
        <v>19900</v>
      </c>
      <c r="R5687" t="s">
        <v>19905</v>
      </c>
      <c r="S5687" t="s">
        <v>19906</v>
      </c>
      <c r="T5687" t="s">
        <v>20108</v>
      </c>
    </row>
    <row r="5688" spans="2:20" x14ac:dyDescent="0.25">
      <c r="B5688" t="s">
        <v>2709</v>
      </c>
      <c r="C5688">
        <v>52084900</v>
      </c>
      <c r="E5688">
        <v>112.46</v>
      </c>
      <c r="F5688">
        <v>18</v>
      </c>
      <c r="G5688">
        <v>0</v>
      </c>
      <c r="H5688">
        <v>7.6</v>
      </c>
      <c r="I5688">
        <v>1.65</v>
      </c>
      <c r="J5688">
        <v>26</v>
      </c>
      <c r="L5688" t="s">
        <v>2709</v>
      </c>
      <c r="M5688">
        <v>52084900</v>
      </c>
      <c r="O5688" t="s">
        <v>20055</v>
      </c>
      <c r="P5688" t="s">
        <v>19899</v>
      </c>
      <c r="Q5688" t="s">
        <v>19900</v>
      </c>
      <c r="R5688" t="s">
        <v>19905</v>
      </c>
      <c r="S5688" t="s">
        <v>19906</v>
      </c>
      <c r="T5688" t="s">
        <v>20108</v>
      </c>
    </row>
    <row r="5689" spans="2:20" x14ac:dyDescent="0.25">
      <c r="B5689" t="s">
        <v>2709</v>
      </c>
      <c r="C5689">
        <v>52085100</v>
      </c>
      <c r="E5689">
        <v>112.46</v>
      </c>
      <c r="F5689">
        <v>18</v>
      </c>
      <c r="G5689">
        <v>0</v>
      </c>
      <c r="H5689">
        <v>7.6</v>
      </c>
      <c r="I5689">
        <v>1.65</v>
      </c>
      <c r="J5689">
        <v>26</v>
      </c>
      <c r="L5689" t="s">
        <v>2709</v>
      </c>
      <c r="M5689">
        <v>52085100</v>
      </c>
      <c r="O5689" t="s">
        <v>20055</v>
      </c>
      <c r="P5689" t="s">
        <v>19899</v>
      </c>
      <c r="Q5689" t="s">
        <v>19900</v>
      </c>
      <c r="R5689" t="s">
        <v>19905</v>
      </c>
      <c r="S5689" t="s">
        <v>19906</v>
      </c>
      <c r="T5689" t="s">
        <v>20108</v>
      </c>
    </row>
    <row r="5690" spans="2:20" x14ac:dyDescent="0.25">
      <c r="B5690" t="s">
        <v>2709</v>
      </c>
      <c r="C5690">
        <v>52085200</v>
      </c>
      <c r="E5690">
        <v>112.46</v>
      </c>
      <c r="F5690">
        <v>18</v>
      </c>
      <c r="G5690">
        <v>0</v>
      </c>
      <c r="H5690">
        <v>7.6</v>
      </c>
      <c r="I5690">
        <v>1.65</v>
      </c>
      <c r="J5690">
        <v>26</v>
      </c>
      <c r="L5690" t="s">
        <v>2709</v>
      </c>
      <c r="M5690">
        <v>52085200</v>
      </c>
      <c r="O5690" t="s">
        <v>20055</v>
      </c>
      <c r="P5690" t="s">
        <v>19899</v>
      </c>
      <c r="Q5690" t="s">
        <v>19900</v>
      </c>
      <c r="R5690" t="s">
        <v>19905</v>
      </c>
      <c r="S5690" t="s">
        <v>19906</v>
      </c>
      <c r="T5690" t="s">
        <v>20108</v>
      </c>
    </row>
    <row r="5691" spans="2:20" x14ac:dyDescent="0.25">
      <c r="B5691" t="s">
        <v>2709</v>
      </c>
      <c r="C5691">
        <v>52085910</v>
      </c>
      <c r="E5691">
        <v>112.46</v>
      </c>
      <c r="F5691">
        <v>18</v>
      </c>
      <c r="G5691">
        <v>0</v>
      </c>
      <c r="H5691">
        <v>7.6</v>
      </c>
      <c r="I5691">
        <v>1.65</v>
      </c>
      <c r="J5691">
        <v>26</v>
      </c>
      <c r="L5691" t="s">
        <v>2709</v>
      </c>
      <c r="M5691">
        <v>52085910</v>
      </c>
      <c r="O5691" t="s">
        <v>20055</v>
      </c>
      <c r="P5691" t="s">
        <v>19899</v>
      </c>
      <c r="Q5691" t="s">
        <v>19900</v>
      </c>
      <c r="R5691" t="s">
        <v>19905</v>
      </c>
      <c r="S5691" t="s">
        <v>19906</v>
      </c>
      <c r="T5691" t="s">
        <v>20108</v>
      </c>
    </row>
    <row r="5692" spans="2:20" x14ac:dyDescent="0.25">
      <c r="B5692" t="s">
        <v>2709</v>
      </c>
      <c r="C5692">
        <v>52085990</v>
      </c>
      <c r="E5692">
        <v>112.46</v>
      </c>
      <c r="F5692">
        <v>18</v>
      </c>
      <c r="G5692">
        <v>0</v>
      </c>
      <c r="H5692">
        <v>7.6</v>
      </c>
      <c r="I5692">
        <v>1.65</v>
      </c>
      <c r="J5692">
        <v>26</v>
      </c>
      <c r="L5692" t="s">
        <v>2709</v>
      </c>
      <c r="M5692">
        <v>52085990</v>
      </c>
      <c r="O5692" t="s">
        <v>20055</v>
      </c>
      <c r="P5692" t="s">
        <v>19899</v>
      </c>
      <c r="Q5692" t="s">
        <v>19900</v>
      </c>
      <c r="R5692" t="s">
        <v>19905</v>
      </c>
      <c r="S5692" t="s">
        <v>19906</v>
      </c>
      <c r="T5692" t="s">
        <v>20108</v>
      </c>
    </row>
    <row r="5693" spans="2:20" x14ac:dyDescent="0.25">
      <c r="B5693" t="s">
        <v>2709</v>
      </c>
      <c r="C5693">
        <v>52091100</v>
      </c>
      <c r="E5693">
        <v>112.46</v>
      </c>
      <c r="F5693">
        <v>18</v>
      </c>
      <c r="G5693">
        <v>0</v>
      </c>
      <c r="H5693">
        <v>7.6</v>
      </c>
      <c r="I5693">
        <v>1.65</v>
      </c>
      <c r="J5693">
        <v>26</v>
      </c>
      <c r="L5693" t="s">
        <v>2709</v>
      </c>
      <c r="M5693">
        <v>52091100</v>
      </c>
      <c r="O5693" t="s">
        <v>20055</v>
      </c>
      <c r="P5693" t="s">
        <v>19899</v>
      </c>
      <c r="Q5693" t="s">
        <v>19900</v>
      </c>
      <c r="R5693" t="s">
        <v>19905</v>
      </c>
      <c r="S5693" t="s">
        <v>19906</v>
      </c>
      <c r="T5693" t="s">
        <v>20108</v>
      </c>
    </row>
    <row r="5694" spans="2:20" x14ac:dyDescent="0.25">
      <c r="B5694" t="s">
        <v>2709</v>
      </c>
      <c r="C5694">
        <v>52091200</v>
      </c>
      <c r="E5694">
        <v>112.46</v>
      </c>
      <c r="F5694">
        <v>18</v>
      </c>
      <c r="G5694">
        <v>0</v>
      </c>
      <c r="H5694">
        <v>7.6</v>
      </c>
      <c r="I5694">
        <v>1.65</v>
      </c>
      <c r="J5694">
        <v>26</v>
      </c>
      <c r="L5694" t="s">
        <v>2709</v>
      </c>
      <c r="M5694">
        <v>52091200</v>
      </c>
      <c r="O5694" t="s">
        <v>20055</v>
      </c>
      <c r="P5694" t="s">
        <v>19899</v>
      </c>
      <c r="Q5694" t="s">
        <v>19900</v>
      </c>
      <c r="R5694" t="s">
        <v>19905</v>
      </c>
      <c r="S5694" t="s">
        <v>19906</v>
      </c>
      <c r="T5694" t="s">
        <v>20108</v>
      </c>
    </row>
    <row r="5695" spans="2:20" x14ac:dyDescent="0.25">
      <c r="B5695" t="s">
        <v>2709</v>
      </c>
      <c r="C5695">
        <v>52091900</v>
      </c>
      <c r="E5695">
        <v>112.46</v>
      </c>
      <c r="F5695">
        <v>18</v>
      </c>
      <c r="G5695">
        <v>0</v>
      </c>
      <c r="H5695">
        <v>7.6</v>
      </c>
      <c r="I5695">
        <v>1.65</v>
      </c>
      <c r="J5695">
        <v>26</v>
      </c>
      <c r="L5695" t="s">
        <v>2709</v>
      </c>
      <c r="M5695">
        <v>52091900</v>
      </c>
      <c r="O5695" t="s">
        <v>20055</v>
      </c>
      <c r="P5695" t="s">
        <v>19899</v>
      </c>
      <c r="Q5695" t="s">
        <v>19900</v>
      </c>
      <c r="R5695" t="s">
        <v>19905</v>
      </c>
      <c r="S5695" t="s">
        <v>19906</v>
      </c>
      <c r="T5695" t="s">
        <v>20108</v>
      </c>
    </row>
    <row r="5696" spans="2:20" x14ac:dyDescent="0.25">
      <c r="B5696" t="s">
        <v>2709</v>
      </c>
      <c r="C5696">
        <v>52092100</v>
      </c>
      <c r="E5696">
        <v>112.46</v>
      </c>
      <c r="F5696">
        <v>18</v>
      </c>
      <c r="G5696">
        <v>0</v>
      </c>
      <c r="H5696">
        <v>7.6</v>
      </c>
      <c r="I5696">
        <v>1.65</v>
      </c>
      <c r="J5696">
        <v>26</v>
      </c>
      <c r="L5696" t="s">
        <v>2709</v>
      </c>
      <c r="M5696">
        <v>52092100</v>
      </c>
      <c r="O5696" t="s">
        <v>20055</v>
      </c>
      <c r="P5696" t="s">
        <v>19899</v>
      </c>
      <c r="Q5696" t="s">
        <v>19900</v>
      </c>
      <c r="R5696" t="s">
        <v>19905</v>
      </c>
      <c r="S5696" t="s">
        <v>19906</v>
      </c>
      <c r="T5696" t="s">
        <v>20108</v>
      </c>
    </row>
    <row r="5697" spans="2:20" x14ac:dyDescent="0.25">
      <c r="B5697" t="s">
        <v>2709</v>
      </c>
      <c r="C5697">
        <v>52092200</v>
      </c>
      <c r="E5697">
        <v>112.46</v>
      </c>
      <c r="F5697">
        <v>18</v>
      </c>
      <c r="G5697">
        <v>0</v>
      </c>
      <c r="H5697">
        <v>7.6</v>
      </c>
      <c r="I5697">
        <v>1.65</v>
      </c>
      <c r="J5697">
        <v>26</v>
      </c>
      <c r="L5697" t="s">
        <v>2709</v>
      </c>
      <c r="M5697">
        <v>52092200</v>
      </c>
      <c r="O5697" t="s">
        <v>20055</v>
      </c>
      <c r="P5697" t="s">
        <v>19899</v>
      </c>
      <c r="Q5697" t="s">
        <v>19900</v>
      </c>
      <c r="R5697" t="s">
        <v>19905</v>
      </c>
      <c r="S5697" t="s">
        <v>19906</v>
      </c>
      <c r="T5697" t="s">
        <v>20108</v>
      </c>
    </row>
    <row r="5698" spans="2:20" x14ac:dyDescent="0.25">
      <c r="B5698" t="s">
        <v>2709</v>
      </c>
      <c r="C5698">
        <v>52092900</v>
      </c>
      <c r="E5698">
        <v>112.46</v>
      </c>
      <c r="F5698">
        <v>18</v>
      </c>
      <c r="G5698">
        <v>0</v>
      </c>
      <c r="H5698">
        <v>7.6</v>
      </c>
      <c r="I5698">
        <v>1.65</v>
      </c>
      <c r="J5698">
        <v>26</v>
      </c>
      <c r="L5698" t="s">
        <v>2709</v>
      </c>
      <c r="M5698">
        <v>52092900</v>
      </c>
      <c r="O5698" t="s">
        <v>20055</v>
      </c>
      <c r="P5698" t="s">
        <v>19899</v>
      </c>
      <c r="Q5698" t="s">
        <v>19900</v>
      </c>
      <c r="R5698" t="s">
        <v>19905</v>
      </c>
      <c r="S5698" t="s">
        <v>19906</v>
      </c>
      <c r="T5698" t="s">
        <v>20108</v>
      </c>
    </row>
    <row r="5699" spans="2:20" x14ac:dyDescent="0.25">
      <c r="B5699" t="s">
        <v>2709</v>
      </c>
      <c r="C5699">
        <v>52093100</v>
      </c>
      <c r="E5699">
        <v>112.46</v>
      </c>
      <c r="F5699">
        <v>18</v>
      </c>
      <c r="G5699">
        <v>0</v>
      </c>
      <c r="H5699">
        <v>7.6</v>
      </c>
      <c r="I5699">
        <v>1.65</v>
      </c>
      <c r="J5699">
        <v>26</v>
      </c>
      <c r="L5699" t="s">
        <v>2709</v>
      </c>
      <c r="M5699">
        <v>52093100</v>
      </c>
      <c r="O5699" t="s">
        <v>20055</v>
      </c>
      <c r="P5699" t="s">
        <v>19899</v>
      </c>
      <c r="Q5699" t="s">
        <v>19900</v>
      </c>
      <c r="R5699" t="s">
        <v>19905</v>
      </c>
      <c r="S5699" t="s">
        <v>19906</v>
      </c>
      <c r="T5699" t="s">
        <v>20108</v>
      </c>
    </row>
    <row r="5700" spans="2:20" x14ac:dyDescent="0.25">
      <c r="B5700" t="s">
        <v>2709</v>
      </c>
      <c r="C5700">
        <v>52093200</v>
      </c>
      <c r="E5700">
        <v>112.46</v>
      </c>
      <c r="F5700">
        <v>18</v>
      </c>
      <c r="G5700">
        <v>0</v>
      </c>
      <c r="H5700">
        <v>7.6</v>
      </c>
      <c r="I5700">
        <v>1.65</v>
      </c>
      <c r="J5700">
        <v>26</v>
      </c>
      <c r="L5700" t="s">
        <v>2709</v>
      </c>
      <c r="M5700">
        <v>52093200</v>
      </c>
      <c r="O5700" t="s">
        <v>20055</v>
      </c>
      <c r="P5700" t="s">
        <v>19899</v>
      </c>
      <c r="Q5700" t="s">
        <v>19900</v>
      </c>
      <c r="R5700" t="s">
        <v>19905</v>
      </c>
      <c r="S5700" t="s">
        <v>19906</v>
      </c>
      <c r="T5700" t="s">
        <v>20108</v>
      </c>
    </row>
    <row r="5701" spans="2:20" x14ac:dyDescent="0.25">
      <c r="B5701" t="s">
        <v>2709</v>
      </c>
      <c r="C5701">
        <v>52093900</v>
      </c>
      <c r="E5701">
        <v>112.46</v>
      </c>
      <c r="F5701">
        <v>18</v>
      </c>
      <c r="G5701">
        <v>0</v>
      </c>
      <c r="H5701">
        <v>7.6</v>
      </c>
      <c r="I5701">
        <v>1.65</v>
      </c>
      <c r="J5701">
        <v>26</v>
      </c>
      <c r="L5701" t="s">
        <v>2709</v>
      </c>
      <c r="M5701">
        <v>52093900</v>
      </c>
      <c r="O5701" t="s">
        <v>20055</v>
      </c>
      <c r="P5701" t="s">
        <v>19899</v>
      </c>
      <c r="Q5701" t="s">
        <v>19900</v>
      </c>
      <c r="R5701" t="s">
        <v>19905</v>
      </c>
      <c r="S5701" t="s">
        <v>19906</v>
      </c>
      <c r="T5701" t="s">
        <v>20108</v>
      </c>
    </row>
    <row r="5702" spans="2:20" x14ac:dyDescent="0.25">
      <c r="B5702" t="s">
        <v>2709</v>
      </c>
      <c r="C5702">
        <v>52094100</v>
      </c>
      <c r="E5702">
        <v>112.46</v>
      </c>
      <c r="F5702">
        <v>18</v>
      </c>
      <c r="G5702">
        <v>0</v>
      </c>
      <c r="H5702">
        <v>7.6</v>
      </c>
      <c r="I5702">
        <v>1.65</v>
      </c>
      <c r="J5702">
        <v>26</v>
      </c>
      <c r="L5702" t="s">
        <v>2709</v>
      </c>
      <c r="M5702">
        <v>52094100</v>
      </c>
      <c r="O5702" t="s">
        <v>20055</v>
      </c>
      <c r="P5702" t="s">
        <v>19899</v>
      </c>
      <c r="Q5702" t="s">
        <v>19900</v>
      </c>
      <c r="R5702" t="s">
        <v>19905</v>
      </c>
      <c r="S5702" t="s">
        <v>19906</v>
      </c>
      <c r="T5702" t="s">
        <v>20108</v>
      </c>
    </row>
    <row r="5703" spans="2:20" x14ac:dyDescent="0.25">
      <c r="B5703" t="s">
        <v>2709</v>
      </c>
      <c r="C5703">
        <v>52094210</v>
      </c>
      <c r="E5703">
        <v>112.46</v>
      </c>
      <c r="F5703">
        <v>18</v>
      </c>
      <c r="G5703">
        <v>0</v>
      </c>
      <c r="H5703">
        <v>7.6</v>
      </c>
      <c r="I5703">
        <v>1.65</v>
      </c>
      <c r="J5703">
        <v>26</v>
      </c>
      <c r="L5703" t="s">
        <v>2709</v>
      </c>
      <c r="M5703">
        <v>52094210</v>
      </c>
      <c r="O5703" t="s">
        <v>20055</v>
      </c>
      <c r="P5703" t="s">
        <v>19899</v>
      </c>
      <c r="Q5703" t="s">
        <v>19900</v>
      </c>
      <c r="R5703" t="s">
        <v>19905</v>
      </c>
      <c r="S5703" t="s">
        <v>19906</v>
      </c>
      <c r="T5703" t="s">
        <v>20108</v>
      </c>
    </row>
    <row r="5704" spans="2:20" x14ac:dyDescent="0.25">
      <c r="B5704" t="s">
        <v>2709</v>
      </c>
      <c r="C5704">
        <v>52094290</v>
      </c>
      <c r="E5704">
        <v>112.46</v>
      </c>
      <c r="F5704">
        <v>18</v>
      </c>
      <c r="G5704">
        <v>0</v>
      </c>
      <c r="H5704">
        <v>7.6</v>
      </c>
      <c r="I5704">
        <v>1.65</v>
      </c>
      <c r="J5704">
        <v>26</v>
      </c>
      <c r="L5704" t="s">
        <v>2709</v>
      </c>
      <c r="M5704">
        <v>52094290</v>
      </c>
      <c r="O5704" t="s">
        <v>20055</v>
      </c>
      <c r="P5704" t="s">
        <v>19899</v>
      </c>
      <c r="Q5704" t="s">
        <v>19900</v>
      </c>
      <c r="R5704" t="s">
        <v>19905</v>
      </c>
      <c r="S5704" t="s">
        <v>19906</v>
      </c>
      <c r="T5704" t="s">
        <v>20108</v>
      </c>
    </row>
    <row r="5705" spans="2:20" x14ac:dyDescent="0.25">
      <c r="B5705" t="s">
        <v>2709</v>
      </c>
      <c r="C5705">
        <v>52094300</v>
      </c>
      <c r="E5705">
        <v>112.46</v>
      </c>
      <c r="F5705">
        <v>18</v>
      </c>
      <c r="G5705">
        <v>0</v>
      </c>
      <c r="H5705">
        <v>7.6</v>
      </c>
      <c r="I5705">
        <v>1.65</v>
      </c>
      <c r="J5705">
        <v>26</v>
      </c>
      <c r="L5705" t="s">
        <v>2709</v>
      </c>
      <c r="M5705">
        <v>52094300</v>
      </c>
      <c r="O5705" t="s">
        <v>20055</v>
      </c>
      <c r="P5705" t="s">
        <v>19899</v>
      </c>
      <c r="Q5705" t="s">
        <v>19900</v>
      </c>
      <c r="R5705" t="s">
        <v>19905</v>
      </c>
      <c r="S5705" t="s">
        <v>19906</v>
      </c>
      <c r="T5705" t="s">
        <v>20108</v>
      </c>
    </row>
    <row r="5706" spans="2:20" x14ac:dyDescent="0.25">
      <c r="B5706" t="s">
        <v>2709</v>
      </c>
      <c r="C5706">
        <v>52094900</v>
      </c>
      <c r="E5706">
        <v>112.46</v>
      </c>
      <c r="F5706">
        <v>18</v>
      </c>
      <c r="G5706">
        <v>0</v>
      </c>
      <c r="H5706">
        <v>7.6</v>
      </c>
      <c r="I5706">
        <v>1.65</v>
      </c>
      <c r="J5706">
        <v>26</v>
      </c>
      <c r="L5706" t="s">
        <v>2709</v>
      </c>
      <c r="M5706">
        <v>52094900</v>
      </c>
      <c r="O5706" t="s">
        <v>20055</v>
      </c>
      <c r="P5706" t="s">
        <v>19899</v>
      </c>
      <c r="Q5706" t="s">
        <v>19900</v>
      </c>
      <c r="R5706" t="s">
        <v>19905</v>
      </c>
      <c r="S5706" t="s">
        <v>19906</v>
      </c>
      <c r="T5706" t="s">
        <v>20108</v>
      </c>
    </row>
    <row r="5707" spans="2:20" x14ac:dyDescent="0.25">
      <c r="B5707" t="s">
        <v>2709</v>
      </c>
      <c r="C5707">
        <v>52095100</v>
      </c>
      <c r="E5707">
        <v>112.46</v>
      </c>
      <c r="F5707">
        <v>18</v>
      </c>
      <c r="G5707">
        <v>0</v>
      </c>
      <c r="H5707">
        <v>7.6</v>
      </c>
      <c r="I5707">
        <v>1.65</v>
      </c>
      <c r="J5707">
        <v>26</v>
      </c>
      <c r="L5707" t="s">
        <v>2709</v>
      </c>
      <c r="M5707">
        <v>52095100</v>
      </c>
      <c r="O5707" t="s">
        <v>20055</v>
      </c>
      <c r="P5707" t="s">
        <v>19899</v>
      </c>
      <c r="Q5707" t="s">
        <v>19900</v>
      </c>
      <c r="R5707" t="s">
        <v>19905</v>
      </c>
      <c r="S5707" t="s">
        <v>19906</v>
      </c>
      <c r="T5707" t="s">
        <v>20108</v>
      </c>
    </row>
    <row r="5708" spans="2:20" x14ac:dyDescent="0.25">
      <c r="B5708" t="s">
        <v>2709</v>
      </c>
      <c r="C5708">
        <v>52095200</v>
      </c>
      <c r="E5708">
        <v>112.46</v>
      </c>
      <c r="F5708">
        <v>18</v>
      </c>
      <c r="G5708">
        <v>0</v>
      </c>
      <c r="H5708">
        <v>7.6</v>
      </c>
      <c r="I5708">
        <v>1.65</v>
      </c>
      <c r="J5708">
        <v>26</v>
      </c>
      <c r="L5708" t="s">
        <v>2709</v>
      </c>
      <c r="M5708">
        <v>52095200</v>
      </c>
      <c r="O5708" t="s">
        <v>20055</v>
      </c>
      <c r="P5708" t="s">
        <v>19899</v>
      </c>
      <c r="Q5708" t="s">
        <v>19900</v>
      </c>
      <c r="R5708" t="s">
        <v>19905</v>
      </c>
      <c r="S5708" t="s">
        <v>19906</v>
      </c>
      <c r="T5708" t="s">
        <v>20108</v>
      </c>
    </row>
    <row r="5709" spans="2:20" x14ac:dyDescent="0.25">
      <c r="B5709" t="s">
        <v>2709</v>
      </c>
      <c r="C5709">
        <v>52095900</v>
      </c>
      <c r="E5709">
        <v>112.46</v>
      </c>
      <c r="F5709">
        <v>18</v>
      </c>
      <c r="G5709">
        <v>0</v>
      </c>
      <c r="H5709">
        <v>7.6</v>
      </c>
      <c r="I5709">
        <v>1.65</v>
      </c>
      <c r="J5709">
        <v>26</v>
      </c>
      <c r="L5709" t="s">
        <v>2709</v>
      </c>
      <c r="M5709">
        <v>52095900</v>
      </c>
      <c r="O5709" t="s">
        <v>20055</v>
      </c>
      <c r="P5709" t="s">
        <v>19899</v>
      </c>
      <c r="Q5709" t="s">
        <v>19900</v>
      </c>
      <c r="R5709" t="s">
        <v>19905</v>
      </c>
      <c r="S5709" t="s">
        <v>19906</v>
      </c>
      <c r="T5709" t="s">
        <v>20108</v>
      </c>
    </row>
    <row r="5710" spans="2:20" x14ac:dyDescent="0.25">
      <c r="B5710" t="s">
        <v>2709</v>
      </c>
      <c r="C5710">
        <v>52101100</v>
      </c>
      <c r="E5710">
        <v>112.46</v>
      </c>
      <c r="F5710">
        <v>18</v>
      </c>
      <c r="G5710">
        <v>0</v>
      </c>
      <c r="H5710">
        <v>7.6</v>
      </c>
      <c r="I5710">
        <v>1.65</v>
      </c>
      <c r="J5710">
        <v>26</v>
      </c>
      <c r="L5710" t="s">
        <v>2709</v>
      </c>
      <c r="M5710">
        <v>52101100</v>
      </c>
      <c r="O5710" t="s">
        <v>20055</v>
      </c>
      <c r="P5710" t="s">
        <v>19899</v>
      </c>
      <c r="Q5710" t="s">
        <v>19900</v>
      </c>
      <c r="R5710" t="s">
        <v>19905</v>
      </c>
      <c r="S5710" t="s">
        <v>19906</v>
      </c>
      <c r="T5710" t="s">
        <v>20108</v>
      </c>
    </row>
    <row r="5711" spans="2:20" x14ac:dyDescent="0.25">
      <c r="B5711" t="s">
        <v>2709</v>
      </c>
      <c r="C5711">
        <v>52101910</v>
      </c>
      <c r="E5711">
        <v>112.46</v>
      </c>
      <c r="F5711">
        <v>18</v>
      </c>
      <c r="G5711">
        <v>0</v>
      </c>
      <c r="H5711">
        <v>7.6</v>
      </c>
      <c r="I5711">
        <v>1.65</v>
      </c>
      <c r="J5711">
        <v>26</v>
      </c>
      <c r="L5711" t="s">
        <v>2709</v>
      </c>
      <c r="M5711">
        <v>52101910</v>
      </c>
      <c r="O5711" t="s">
        <v>20055</v>
      </c>
      <c r="P5711" t="s">
        <v>19899</v>
      </c>
      <c r="Q5711" t="s">
        <v>19900</v>
      </c>
      <c r="R5711" t="s">
        <v>19905</v>
      </c>
      <c r="S5711" t="s">
        <v>19906</v>
      </c>
      <c r="T5711" t="s">
        <v>20108</v>
      </c>
    </row>
    <row r="5712" spans="2:20" x14ac:dyDescent="0.25">
      <c r="B5712" t="s">
        <v>2709</v>
      </c>
      <c r="C5712">
        <v>52101990</v>
      </c>
      <c r="E5712">
        <v>112.46</v>
      </c>
      <c r="F5712">
        <v>18</v>
      </c>
      <c r="G5712">
        <v>0</v>
      </c>
      <c r="H5712">
        <v>7.6</v>
      </c>
      <c r="I5712">
        <v>1.65</v>
      </c>
      <c r="J5712">
        <v>26</v>
      </c>
      <c r="L5712" t="s">
        <v>2709</v>
      </c>
      <c r="M5712">
        <v>52101990</v>
      </c>
      <c r="O5712" t="s">
        <v>20055</v>
      </c>
      <c r="P5712" t="s">
        <v>19899</v>
      </c>
      <c r="Q5712" t="s">
        <v>19900</v>
      </c>
      <c r="R5712" t="s">
        <v>19905</v>
      </c>
      <c r="S5712" t="s">
        <v>19906</v>
      </c>
      <c r="T5712" t="s">
        <v>20108</v>
      </c>
    </row>
    <row r="5713" spans="2:20" x14ac:dyDescent="0.25">
      <c r="B5713" t="s">
        <v>2709</v>
      </c>
      <c r="C5713">
        <v>52102100</v>
      </c>
      <c r="E5713">
        <v>112.46</v>
      </c>
      <c r="F5713">
        <v>18</v>
      </c>
      <c r="G5713">
        <v>0</v>
      </c>
      <c r="H5713">
        <v>7.6</v>
      </c>
      <c r="I5713">
        <v>1.65</v>
      </c>
      <c r="J5713">
        <v>26</v>
      </c>
      <c r="L5713" t="s">
        <v>2709</v>
      </c>
      <c r="M5713">
        <v>52102100</v>
      </c>
      <c r="O5713" t="s">
        <v>20055</v>
      </c>
      <c r="P5713" t="s">
        <v>19899</v>
      </c>
      <c r="Q5713" t="s">
        <v>19900</v>
      </c>
      <c r="R5713" t="s">
        <v>19905</v>
      </c>
      <c r="S5713" t="s">
        <v>19906</v>
      </c>
      <c r="T5713" t="s">
        <v>20108</v>
      </c>
    </row>
    <row r="5714" spans="2:20" x14ac:dyDescent="0.25">
      <c r="B5714" t="s">
        <v>2709</v>
      </c>
      <c r="C5714">
        <v>52102910</v>
      </c>
      <c r="E5714">
        <v>112.46</v>
      </c>
      <c r="F5714">
        <v>18</v>
      </c>
      <c r="G5714">
        <v>0</v>
      </c>
      <c r="H5714">
        <v>7.6</v>
      </c>
      <c r="I5714">
        <v>1.65</v>
      </c>
      <c r="J5714">
        <v>26</v>
      </c>
      <c r="L5714" t="s">
        <v>2709</v>
      </c>
      <c r="M5714">
        <v>52102910</v>
      </c>
      <c r="O5714" t="s">
        <v>20055</v>
      </c>
      <c r="P5714" t="s">
        <v>19899</v>
      </c>
      <c r="Q5714" t="s">
        <v>19900</v>
      </c>
      <c r="R5714" t="s">
        <v>19905</v>
      </c>
      <c r="S5714" t="s">
        <v>19906</v>
      </c>
      <c r="T5714" t="s">
        <v>20108</v>
      </c>
    </row>
    <row r="5715" spans="2:20" x14ac:dyDescent="0.25">
      <c r="B5715" t="s">
        <v>2709</v>
      </c>
      <c r="C5715">
        <v>52102990</v>
      </c>
      <c r="E5715">
        <v>112.46</v>
      </c>
      <c r="F5715">
        <v>18</v>
      </c>
      <c r="G5715">
        <v>0</v>
      </c>
      <c r="H5715">
        <v>7.6</v>
      </c>
      <c r="I5715">
        <v>1.65</v>
      </c>
      <c r="J5715">
        <v>26</v>
      </c>
      <c r="L5715" t="s">
        <v>2709</v>
      </c>
      <c r="M5715">
        <v>52102990</v>
      </c>
      <c r="O5715" t="s">
        <v>20055</v>
      </c>
      <c r="P5715" t="s">
        <v>19899</v>
      </c>
      <c r="Q5715" t="s">
        <v>19900</v>
      </c>
      <c r="R5715" t="s">
        <v>19905</v>
      </c>
      <c r="S5715" t="s">
        <v>19906</v>
      </c>
      <c r="T5715" t="s">
        <v>20108</v>
      </c>
    </row>
    <row r="5716" spans="2:20" x14ac:dyDescent="0.25">
      <c r="B5716" t="s">
        <v>2709</v>
      </c>
      <c r="C5716">
        <v>52103100</v>
      </c>
      <c r="E5716">
        <v>112.46</v>
      </c>
      <c r="F5716">
        <v>18</v>
      </c>
      <c r="G5716">
        <v>0</v>
      </c>
      <c r="H5716">
        <v>7.6</v>
      </c>
      <c r="I5716">
        <v>1.65</v>
      </c>
      <c r="J5716">
        <v>26</v>
      </c>
      <c r="L5716" t="s">
        <v>2709</v>
      </c>
      <c r="M5716">
        <v>52103100</v>
      </c>
      <c r="O5716" t="s">
        <v>20055</v>
      </c>
      <c r="P5716" t="s">
        <v>19899</v>
      </c>
      <c r="Q5716" t="s">
        <v>19900</v>
      </c>
      <c r="R5716" t="s">
        <v>19905</v>
      </c>
      <c r="S5716" t="s">
        <v>19906</v>
      </c>
      <c r="T5716" t="s">
        <v>20108</v>
      </c>
    </row>
    <row r="5717" spans="2:20" x14ac:dyDescent="0.25">
      <c r="B5717" t="s">
        <v>2709</v>
      </c>
      <c r="C5717">
        <v>52103200</v>
      </c>
      <c r="E5717">
        <v>112.46</v>
      </c>
      <c r="F5717">
        <v>18</v>
      </c>
      <c r="G5717">
        <v>0</v>
      </c>
      <c r="H5717">
        <v>7.6</v>
      </c>
      <c r="I5717">
        <v>1.65</v>
      </c>
      <c r="J5717">
        <v>26</v>
      </c>
      <c r="L5717" t="s">
        <v>2709</v>
      </c>
      <c r="M5717">
        <v>52103200</v>
      </c>
      <c r="O5717" t="s">
        <v>20055</v>
      </c>
      <c r="P5717" t="s">
        <v>19899</v>
      </c>
      <c r="Q5717" t="s">
        <v>19900</v>
      </c>
      <c r="R5717" t="s">
        <v>19905</v>
      </c>
      <c r="S5717" t="s">
        <v>19906</v>
      </c>
      <c r="T5717" t="s">
        <v>20108</v>
      </c>
    </row>
    <row r="5718" spans="2:20" x14ac:dyDescent="0.25">
      <c r="B5718" t="s">
        <v>2709</v>
      </c>
      <c r="C5718">
        <v>52103900</v>
      </c>
      <c r="E5718">
        <v>112.46</v>
      </c>
      <c r="F5718">
        <v>18</v>
      </c>
      <c r="G5718">
        <v>0</v>
      </c>
      <c r="H5718">
        <v>7.6</v>
      </c>
      <c r="I5718">
        <v>1.65</v>
      </c>
      <c r="J5718">
        <v>26</v>
      </c>
      <c r="L5718" t="s">
        <v>2709</v>
      </c>
      <c r="M5718">
        <v>52103900</v>
      </c>
      <c r="O5718" t="s">
        <v>20055</v>
      </c>
      <c r="P5718" t="s">
        <v>19899</v>
      </c>
      <c r="Q5718" t="s">
        <v>19900</v>
      </c>
      <c r="R5718" t="s">
        <v>19905</v>
      </c>
      <c r="S5718" t="s">
        <v>19906</v>
      </c>
      <c r="T5718" t="s">
        <v>20108</v>
      </c>
    </row>
    <row r="5719" spans="2:20" x14ac:dyDescent="0.25">
      <c r="B5719" t="s">
        <v>2709</v>
      </c>
      <c r="C5719">
        <v>52104100</v>
      </c>
      <c r="E5719">
        <v>112.46</v>
      </c>
      <c r="F5719">
        <v>18</v>
      </c>
      <c r="G5719">
        <v>0</v>
      </c>
      <c r="H5719">
        <v>7.6</v>
      </c>
      <c r="I5719">
        <v>1.65</v>
      </c>
      <c r="J5719">
        <v>26</v>
      </c>
      <c r="L5719" t="s">
        <v>2709</v>
      </c>
      <c r="M5719">
        <v>52104100</v>
      </c>
      <c r="O5719" t="s">
        <v>20055</v>
      </c>
      <c r="P5719" t="s">
        <v>19899</v>
      </c>
      <c r="Q5719" t="s">
        <v>19900</v>
      </c>
      <c r="R5719" t="s">
        <v>19905</v>
      </c>
      <c r="S5719" t="s">
        <v>19906</v>
      </c>
      <c r="T5719" t="s">
        <v>20108</v>
      </c>
    </row>
    <row r="5720" spans="2:20" x14ac:dyDescent="0.25">
      <c r="B5720" t="s">
        <v>2709</v>
      </c>
      <c r="C5720">
        <v>52104910</v>
      </c>
      <c r="E5720">
        <v>112.46</v>
      </c>
      <c r="F5720">
        <v>18</v>
      </c>
      <c r="G5720">
        <v>0</v>
      </c>
      <c r="H5720">
        <v>7.6</v>
      </c>
      <c r="I5720">
        <v>1.65</v>
      </c>
      <c r="J5720">
        <v>26</v>
      </c>
      <c r="L5720" t="s">
        <v>2709</v>
      </c>
      <c r="M5720">
        <v>52104910</v>
      </c>
      <c r="O5720" t="s">
        <v>20055</v>
      </c>
      <c r="P5720" t="s">
        <v>19899</v>
      </c>
      <c r="Q5720" t="s">
        <v>19900</v>
      </c>
      <c r="R5720" t="s">
        <v>19905</v>
      </c>
      <c r="S5720" t="s">
        <v>19906</v>
      </c>
      <c r="T5720" t="s">
        <v>20108</v>
      </c>
    </row>
    <row r="5721" spans="2:20" x14ac:dyDescent="0.25">
      <c r="B5721" t="s">
        <v>2709</v>
      </c>
      <c r="C5721">
        <v>52104990</v>
      </c>
      <c r="E5721">
        <v>112.46</v>
      </c>
      <c r="F5721">
        <v>18</v>
      </c>
      <c r="G5721">
        <v>0</v>
      </c>
      <c r="H5721">
        <v>7.6</v>
      </c>
      <c r="I5721">
        <v>1.65</v>
      </c>
      <c r="J5721">
        <v>26</v>
      </c>
      <c r="L5721" t="s">
        <v>2709</v>
      </c>
      <c r="M5721">
        <v>52104990</v>
      </c>
      <c r="O5721" t="s">
        <v>20055</v>
      </c>
      <c r="P5721" t="s">
        <v>19899</v>
      </c>
      <c r="Q5721" t="s">
        <v>19900</v>
      </c>
      <c r="R5721" t="s">
        <v>19905</v>
      </c>
      <c r="S5721" t="s">
        <v>19906</v>
      </c>
      <c r="T5721" t="s">
        <v>20108</v>
      </c>
    </row>
    <row r="5722" spans="2:20" x14ac:dyDescent="0.25">
      <c r="B5722" t="s">
        <v>2709</v>
      </c>
      <c r="C5722">
        <v>52105100</v>
      </c>
      <c r="E5722">
        <v>112.46</v>
      </c>
      <c r="F5722">
        <v>18</v>
      </c>
      <c r="G5722">
        <v>0</v>
      </c>
      <c r="H5722">
        <v>7.6</v>
      </c>
      <c r="I5722">
        <v>1.65</v>
      </c>
      <c r="J5722">
        <v>26</v>
      </c>
      <c r="L5722" t="s">
        <v>2709</v>
      </c>
      <c r="M5722">
        <v>52105100</v>
      </c>
      <c r="O5722" t="s">
        <v>20055</v>
      </c>
      <c r="P5722" t="s">
        <v>19899</v>
      </c>
      <c r="Q5722" t="s">
        <v>19900</v>
      </c>
      <c r="R5722" t="s">
        <v>19905</v>
      </c>
      <c r="S5722" t="s">
        <v>19906</v>
      </c>
      <c r="T5722" t="s">
        <v>20108</v>
      </c>
    </row>
    <row r="5723" spans="2:20" x14ac:dyDescent="0.25">
      <c r="B5723" t="s">
        <v>2709</v>
      </c>
      <c r="C5723">
        <v>52105910</v>
      </c>
      <c r="E5723">
        <v>112.46</v>
      </c>
      <c r="F5723">
        <v>18</v>
      </c>
      <c r="G5723">
        <v>0</v>
      </c>
      <c r="H5723">
        <v>7.6</v>
      </c>
      <c r="I5723">
        <v>1.65</v>
      </c>
      <c r="J5723">
        <v>26</v>
      </c>
      <c r="L5723" t="s">
        <v>2709</v>
      </c>
      <c r="M5723">
        <v>52105910</v>
      </c>
      <c r="O5723" t="s">
        <v>20055</v>
      </c>
      <c r="P5723" t="s">
        <v>19899</v>
      </c>
      <c r="Q5723" t="s">
        <v>19900</v>
      </c>
      <c r="R5723" t="s">
        <v>19905</v>
      </c>
      <c r="S5723" t="s">
        <v>19906</v>
      </c>
      <c r="T5723" t="s">
        <v>20108</v>
      </c>
    </row>
    <row r="5724" spans="2:20" x14ac:dyDescent="0.25">
      <c r="B5724" t="s">
        <v>2709</v>
      </c>
      <c r="C5724">
        <v>52105990</v>
      </c>
      <c r="E5724">
        <v>112.46</v>
      </c>
      <c r="F5724">
        <v>18</v>
      </c>
      <c r="G5724">
        <v>0</v>
      </c>
      <c r="H5724">
        <v>7.6</v>
      </c>
      <c r="I5724">
        <v>1.65</v>
      </c>
      <c r="J5724">
        <v>26</v>
      </c>
      <c r="L5724" t="s">
        <v>2709</v>
      </c>
      <c r="M5724">
        <v>52105990</v>
      </c>
      <c r="O5724" t="s">
        <v>20055</v>
      </c>
      <c r="P5724" t="s">
        <v>19899</v>
      </c>
      <c r="Q5724" t="s">
        <v>19900</v>
      </c>
      <c r="R5724" t="s">
        <v>19905</v>
      </c>
      <c r="S5724" t="s">
        <v>19906</v>
      </c>
      <c r="T5724" t="s">
        <v>20108</v>
      </c>
    </row>
    <row r="5725" spans="2:20" x14ac:dyDescent="0.25">
      <c r="B5725" t="s">
        <v>2709</v>
      </c>
      <c r="C5725">
        <v>52111100</v>
      </c>
      <c r="E5725">
        <v>112.46</v>
      </c>
      <c r="F5725">
        <v>18</v>
      </c>
      <c r="G5725">
        <v>0</v>
      </c>
      <c r="H5725">
        <v>7.6</v>
      </c>
      <c r="I5725">
        <v>1.65</v>
      </c>
      <c r="J5725">
        <v>26</v>
      </c>
      <c r="L5725" t="s">
        <v>2709</v>
      </c>
      <c r="M5725">
        <v>52111100</v>
      </c>
      <c r="O5725" t="s">
        <v>20055</v>
      </c>
      <c r="P5725" t="s">
        <v>19899</v>
      </c>
      <c r="Q5725" t="s">
        <v>19900</v>
      </c>
      <c r="R5725" t="s">
        <v>19905</v>
      </c>
      <c r="S5725" t="s">
        <v>19906</v>
      </c>
      <c r="T5725" t="s">
        <v>20108</v>
      </c>
    </row>
    <row r="5726" spans="2:20" x14ac:dyDescent="0.25">
      <c r="B5726" t="s">
        <v>2709</v>
      </c>
      <c r="C5726">
        <v>52111200</v>
      </c>
      <c r="E5726">
        <v>112.46</v>
      </c>
      <c r="F5726">
        <v>18</v>
      </c>
      <c r="G5726">
        <v>0</v>
      </c>
      <c r="H5726">
        <v>7.6</v>
      </c>
      <c r="I5726">
        <v>1.65</v>
      </c>
      <c r="J5726">
        <v>26</v>
      </c>
      <c r="L5726" t="s">
        <v>2709</v>
      </c>
      <c r="M5726">
        <v>52111200</v>
      </c>
      <c r="O5726" t="s">
        <v>20055</v>
      </c>
      <c r="P5726" t="s">
        <v>19899</v>
      </c>
      <c r="Q5726" t="s">
        <v>19900</v>
      </c>
      <c r="R5726" t="s">
        <v>19905</v>
      </c>
      <c r="S5726" t="s">
        <v>19906</v>
      </c>
      <c r="T5726" t="s">
        <v>20108</v>
      </c>
    </row>
    <row r="5727" spans="2:20" x14ac:dyDescent="0.25">
      <c r="B5727" t="s">
        <v>2709</v>
      </c>
      <c r="C5727">
        <v>52111900</v>
      </c>
      <c r="E5727">
        <v>112.46</v>
      </c>
      <c r="F5727">
        <v>18</v>
      </c>
      <c r="G5727">
        <v>0</v>
      </c>
      <c r="H5727">
        <v>7.6</v>
      </c>
      <c r="I5727">
        <v>1.65</v>
      </c>
      <c r="J5727">
        <v>26</v>
      </c>
      <c r="L5727" t="s">
        <v>2709</v>
      </c>
      <c r="M5727">
        <v>52111900</v>
      </c>
      <c r="O5727" t="s">
        <v>20055</v>
      </c>
      <c r="P5727" t="s">
        <v>19899</v>
      </c>
      <c r="Q5727" t="s">
        <v>19900</v>
      </c>
      <c r="R5727" t="s">
        <v>19905</v>
      </c>
      <c r="S5727" t="s">
        <v>19906</v>
      </c>
      <c r="T5727" t="s">
        <v>20108</v>
      </c>
    </row>
    <row r="5728" spans="2:20" x14ac:dyDescent="0.25">
      <c r="B5728" t="s">
        <v>2709</v>
      </c>
      <c r="C5728">
        <v>52112010</v>
      </c>
      <c r="E5728">
        <v>112.46</v>
      </c>
      <c r="F5728">
        <v>18</v>
      </c>
      <c r="G5728">
        <v>0</v>
      </c>
      <c r="H5728">
        <v>7.6</v>
      </c>
      <c r="I5728">
        <v>1.65</v>
      </c>
      <c r="J5728">
        <v>26</v>
      </c>
      <c r="L5728" t="s">
        <v>2709</v>
      </c>
      <c r="M5728">
        <v>52112010</v>
      </c>
      <c r="O5728" t="s">
        <v>20055</v>
      </c>
      <c r="P5728" t="s">
        <v>19899</v>
      </c>
      <c r="Q5728" t="s">
        <v>19900</v>
      </c>
      <c r="R5728" t="s">
        <v>19905</v>
      </c>
      <c r="S5728" t="s">
        <v>19906</v>
      </c>
      <c r="T5728" t="s">
        <v>20108</v>
      </c>
    </row>
    <row r="5729" spans="2:20" x14ac:dyDescent="0.25">
      <c r="B5729" t="s">
        <v>2709</v>
      </c>
      <c r="C5729">
        <v>52112020</v>
      </c>
      <c r="E5729">
        <v>112.46</v>
      </c>
      <c r="F5729">
        <v>18</v>
      </c>
      <c r="G5729">
        <v>0</v>
      </c>
      <c r="H5729">
        <v>7.6</v>
      </c>
      <c r="I5729">
        <v>1.65</v>
      </c>
      <c r="J5729">
        <v>26</v>
      </c>
      <c r="L5729" t="s">
        <v>2709</v>
      </c>
      <c r="M5729">
        <v>52112020</v>
      </c>
      <c r="O5729" t="s">
        <v>20055</v>
      </c>
      <c r="P5729" t="s">
        <v>19899</v>
      </c>
      <c r="Q5729" t="s">
        <v>19900</v>
      </c>
      <c r="R5729" t="s">
        <v>19905</v>
      </c>
      <c r="S5729" t="s">
        <v>19906</v>
      </c>
      <c r="T5729" t="s">
        <v>20108</v>
      </c>
    </row>
    <row r="5730" spans="2:20" x14ac:dyDescent="0.25">
      <c r="B5730" t="s">
        <v>2709</v>
      </c>
      <c r="C5730">
        <v>52112090</v>
      </c>
      <c r="E5730">
        <v>112.46</v>
      </c>
      <c r="F5730">
        <v>18</v>
      </c>
      <c r="G5730">
        <v>0</v>
      </c>
      <c r="H5730">
        <v>7.6</v>
      </c>
      <c r="I5730">
        <v>1.65</v>
      </c>
      <c r="J5730">
        <v>26</v>
      </c>
      <c r="L5730" t="s">
        <v>2709</v>
      </c>
      <c r="M5730">
        <v>52112090</v>
      </c>
      <c r="O5730" t="s">
        <v>20055</v>
      </c>
      <c r="P5730" t="s">
        <v>19899</v>
      </c>
      <c r="Q5730" t="s">
        <v>19900</v>
      </c>
      <c r="R5730" t="s">
        <v>19905</v>
      </c>
      <c r="S5730" t="s">
        <v>19906</v>
      </c>
      <c r="T5730" t="s">
        <v>20108</v>
      </c>
    </row>
    <row r="5731" spans="2:20" x14ac:dyDescent="0.25">
      <c r="B5731" t="s">
        <v>2709</v>
      </c>
      <c r="C5731">
        <v>52113100</v>
      </c>
      <c r="E5731">
        <v>112.46</v>
      </c>
      <c r="F5731">
        <v>18</v>
      </c>
      <c r="G5731">
        <v>0</v>
      </c>
      <c r="H5731">
        <v>7.6</v>
      </c>
      <c r="I5731">
        <v>1.65</v>
      </c>
      <c r="J5731">
        <v>26</v>
      </c>
      <c r="L5731" t="s">
        <v>2709</v>
      </c>
      <c r="M5731">
        <v>52113100</v>
      </c>
      <c r="O5731" t="s">
        <v>20055</v>
      </c>
      <c r="P5731" t="s">
        <v>19899</v>
      </c>
      <c r="Q5731" t="s">
        <v>19900</v>
      </c>
      <c r="R5731" t="s">
        <v>19905</v>
      </c>
      <c r="S5731" t="s">
        <v>19906</v>
      </c>
      <c r="T5731" t="s">
        <v>20108</v>
      </c>
    </row>
    <row r="5732" spans="2:20" x14ac:dyDescent="0.25">
      <c r="B5732" t="s">
        <v>2709</v>
      </c>
      <c r="C5732">
        <v>52113200</v>
      </c>
      <c r="E5732">
        <v>112.46</v>
      </c>
      <c r="F5732">
        <v>18</v>
      </c>
      <c r="G5732">
        <v>0</v>
      </c>
      <c r="H5732">
        <v>7.6</v>
      </c>
      <c r="I5732">
        <v>1.65</v>
      </c>
      <c r="J5732">
        <v>26</v>
      </c>
      <c r="L5732" t="s">
        <v>2709</v>
      </c>
      <c r="M5732">
        <v>52113200</v>
      </c>
      <c r="O5732" t="s">
        <v>20055</v>
      </c>
      <c r="P5732" t="s">
        <v>19899</v>
      </c>
      <c r="Q5732" t="s">
        <v>19900</v>
      </c>
      <c r="R5732" t="s">
        <v>19905</v>
      </c>
      <c r="S5732" t="s">
        <v>19906</v>
      </c>
      <c r="T5732" t="s">
        <v>20108</v>
      </c>
    </row>
    <row r="5733" spans="2:20" x14ac:dyDescent="0.25">
      <c r="B5733" t="s">
        <v>2709</v>
      </c>
      <c r="C5733">
        <v>52113900</v>
      </c>
      <c r="E5733">
        <v>112.46</v>
      </c>
      <c r="F5733">
        <v>18</v>
      </c>
      <c r="G5733">
        <v>0</v>
      </c>
      <c r="H5733">
        <v>7.6</v>
      </c>
      <c r="I5733">
        <v>1.65</v>
      </c>
      <c r="J5733">
        <v>26</v>
      </c>
      <c r="L5733" t="s">
        <v>2709</v>
      </c>
      <c r="M5733">
        <v>52113900</v>
      </c>
      <c r="O5733" t="s">
        <v>20055</v>
      </c>
      <c r="P5733" t="s">
        <v>19899</v>
      </c>
      <c r="Q5733" t="s">
        <v>19900</v>
      </c>
      <c r="R5733" t="s">
        <v>19905</v>
      </c>
      <c r="S5733" t="s">
        <v>19906</v>
      </c>
      <c r="T5733" t="s">
        <v>20108</v>
      </c>
    </row>
    <row r="5734" spans="2:20" x14ac:dyDescent="0.25">
      <c r="B5734" t="s">
        <v>2709</v>
      </c>
      <c r="C5734">
        <v>52114100</v>
      </c>
      <c r="E5734">
        <v>112.46</v>
      </c>
      <c r="F5734">
        <v>18</v>
      </c>
      <c r="G5734">
        <v>0</v>
      </c>
      <c r="H5734">
        <v>7.6</v>
      </c>
      <c r="I5734">
        <v>1.65</v>
      </c>
      <c r="J5734">
        <v>26</v>
      </c>
      <c r="L5734" t="s">
        <v>2709</v>
      </c>
      <c r="M5734">
        <v>52114100</v>
      </c>
      <c r="O5734" t="s">
        <v>20055</v>
      </c>
      <c r="P5734" t="s">
        <v>19899</v>
      </c>
      <c r="Q5734" t="s">
        <v>19900</v>
      </c>
      <c r="R5734" t="s">
        <v>19905</v>
      </c>
      <c r="S5734" t="s">
        <v>19906</v>
      </c>
      <c r="T5734" t="s">
        <v>20108</v>
      </c>
    </row>
    <row r="5735" spans="2:20" x14ac:dyDescent="0.25">
      <c r="B5735" t="s">
        <v>2709</v>
      </c>
      <c r="C5735">
        <v>52114210</v>
      </c>
      <c r="E5735">
        <v>112.46</v>
      </c>
      <c r="F5735">
        <v>18</v>
      </c>
      <c r="G5735">
        <v>0</v>
      </c>
      <c r="H5735">
        <v>7.6</v>
      </c>
      <c r="I5735">
        <v>1.65</v>
      </c>
      <c r="J5735">
        <v>26</v>
      </c>
      <c r="L5735" t="s">
        <v>2709</v>
      </c>
      <c r="M5735">
        <v>52114210</v>
      </c>
      <c r="O5735" t="s">
        <v>20055</v>
      </c>
      <c r="P5735" t="s">
        <v>19899</v>
      </c>
      <c r="Q5735" t="s">
        <v>19900</v>
      </c>
      <c r="R5735" t="s">
        <v>19905</v>
      </c>
      <c r="S5735" t="s">
        <v>19906</v>
      </c>
      <c r="T5735" t="s">
        <v>20108</v>
      </c>
    </row>
    <row r="5736" spans="2:20" x14ac:dyDescent="0.25">
      <c r="B5736" t="s">
        <v>2709</v>
      </c>
      <c r="C5736">
        <v>52114290</v>
      </c>
      <c r="E5736">
        <v>112.46</v>
      </c>
      <c r="F5736">
        <v>18</v>
      </c>
      <c r="G5736">
        <v>0</v>
      </c>
      <c r="H5736">
        <v>7.6</v>
      </c>
      <c r="I5736">
        <v>1.65</v>
      </c>
      <c r="J5736">
        <v>26</v>
      </c>
      <c r="L5736" t="s">
        <v>2709</v>
      </c>
      <c r="M5736">
        <v>52114290</v>
      </c>
      <c r="O5736" t="s">
        <v>20055</v>
      </c>
      <c r="P5736" t="s">
        <v>19899</v>
      </c>
      <c r="Q5736" t="s">
        <v>19900</v>
      </c>
      <c r="R5736" t="s">
        <v>19905</v>
      </c>
      <c r="S5736" t="s">
        <v>19906</v>
      </c>
      <c r="T5736" t="s">
        <v>20108</v>
      </c>
    </row>
    <row r="5737" spans="2:20" x14ac:dyDescent="0.25">
      <c r="B5737" t="s">
        <v>2709</v>
      </c>
      <c r="C5737">
        <v>52114300</v>
      </c>
      <c r="E5737">
        <v>112.46</v>
      </c>
      <c r="F5737">
        <v>18</v>
      </c>
      <c r="G5737">
        <v>0</v>
      </c>
      <c r="H5737">
        <v>7.6</v>
      </c>
      <c r="I5737">
        <v>1.65</v>
      </c>
      <c r="J5737">
        <v>26</v>
      </c>
      <c r="L5737" t="s">
        <v>2709</v>
      </c>
      <c r="M5737">
        <v>52114300</v>
      </c>
      <c r="O5737" t="s">
        <v>20055</v>
      </c>
      <c r="P5737" t="s">
        <v>19899</v>
      </c>
      <c r="Q5737" t="s">
        <v>19900</v>
      </c>
      <c r="R5737" t="s">
        <v>19905</v>
      </c>
      <c r="S5737" t="s">
        <v>19906</v>
      </c>
      <c r="T5737" t="s">
        <v>20108</v>
      </c>
    </row>
    <row r="5738" spans="2:20" x14ac:dyDescent="0.25">
      <c r="B5738" t="s">
        <v>2709</v>
      </c>
      <c r="C5738">
        <v>52114900</v>
      </c>
      <c r="E5738">
        <v>112.46</v>
      </c>
      <c r="F5738">
        <v>18</v>
      </c>
      <c r="G5738">
        <v>0</v>
      </c>
      <c r="H5738">
        <v>7.6</v>
      </c>
      <c r="I5738">
        <v>1.65</v>
      </c>
      <c r="J5738">
        <v>26</v>
      </c>
      <c r="L5738" t="s">
        <v>2709</v>
      </c>
      <c r="M5738">
        <v>52114900</v>
      </c>
      <c r="O5738" t="s">
        <v>20055</v>
      </c>
      <c r="P5738" t="s">
        <v>19899</v>
      </c>
      <c r="Q5738" t="s">
        <v>19900</v>
      </c>
      <c r="R5738" t="s">
        <v>19905</v>
      </c>
      <c r="S5738" t="s">
        <v>19906</v>
      </c>
      <c r="T5738" t="s">
        <v>20108</v>
      </c>
    </row>
    <row r="5739" spans="2:20" x14ac:dyDescent="0.25">
      <c r="B5739" t="s">
        <v>2709</v>
      </c>
      <c r="C5739">
        <v>52115100</v>
      </c>
      <c r="E5739">
        <v>112.46</v>
      </c>
      <c r="F5739">
        <v>18</v>
      </c>
      <c r="G5739">
        <v>0</v>
      </c>
      <c r="H5739">
        <v>7.6</v>
      </c>
      <c r="I5739">
        <v>1.65</v>
      </c>
      <c r="J5739">
        <v>26</v>
      </c>
      <c r="L5739" t="s">
        <v>2709</v>
      </c>
      <c r="M5739">
        <v>52115100</v>
      </c>
      <c r="O5739" t="s">
        <v>20055</v>
      </c>
      <c r="P5739" t="s">
        <v>19899</v>
      </c>
      <c r="Q5739" t="s">
        <v>19900</v>
      </c>
      <c r="R5739" t="s">
        <v>19905</v>
      </c>
      <c r="S5739" t="s">
        <v>19906</v>
      </c>
      <c r="T5739" t="s">
        <v>20108</v>
      </c>
    </row>
    <row r="5740" spans="2:20" x14ac:dyDescent="0.25">
      <c r="B5740" t="s">
        <v>2709</v>
      </c>
      <c r="C5740">
        <v>52115200</v>
      </c>
      <c r="E5740">
        <v>112.46</v>
      </c>
      <c r="F5740">
        <v>18</v>
      </c>
      <c r="G5740">
        <v>0</v>
      </c>
      <c r="H5740">
        <v>7.6</v>
      </c>
      <c r="I5740">
        <v>1.65</v>
      </c>
      <c r="J5740">
        <v>26</v>
      </c>
      <c r="L5740" t="s">
        <v>2709</v>
      </c>
      <c r="M5740">
        <v>52115200</v>
      </c>
      <c r="O5740" t="s">
        <v>20055</v>
      </c>
      <c r="P5740" t="s">
        <v>19899</v>
      </c>
      <c r="Q5740" t="s">
        <v>19900</v>
      </c>
      <c r="R5740" t="s">
        <v>19905</v>
      </c>
      <c r="S5740" t="s">
        <v>19906</v>
      </c>
      <c r="T5740" t="s">
        <v>20108</v>
      </c>
    </row>
    <row r="5741" spans="2:20" x14ac:dyDescent="0.25">
      <c r="B5741" t="s">
        <v>2709</v>
      </c>
      <c r="C5741">
        <v>52115900</v>
      </c>
      <c r="E5741">
        <v>112.46</v>
      </c>
      <c r="F5741">
        <v>18</v>
      </c>
      <c r="G5741">
        <v>0</v>
      </c>
      <c r="H5741">
        <v>7.6</v>
      </c>
      <c r="I5741">
        <v>1.65</v>
      </c>
      <c r="J5741">
        <v>26</v>
      </c>
      <c r="L5741" t="s">
        <v>2709</v>
      </c>
      <c r="M5741">
        <v>52115900</v>
      </c>
      <c r="O5741" t="s">
        <v>20055</v>
      </c>
      <c r="P5741" t="s">
        <v>19899</v>
      </c>
      <c r="Q5741" t="s">
        <v>19900</v>
      </c>
      <c r="R5741" t="s">
        <v>19905</v>
      </c>
      <c r="S5741" t="s">
        <v>19906</v>
      </c>
      <c r="T5741" t="s">
        <v>20108</v>
      </c>
    </row>
    <row r="5742" spans="2:20" x14ac:dyDescent="0.25">
      <c r="B5742" t="s">
        <v>2709</v>
      </c>
      <c r="C5742">
        <v>52121100</v>
      </c>
      <c r="E5742">
        <v>112.46</v>
      </c>
      <c r="F5742">
        <v>18</v>
      </c>
      <c r="G5742">
        <v>0</v>
      </c>
      <c r="H5742">
        <v>7.6</v>
      </c>
      <c r="I5742">
        <v>1.65</v>
      </c>
      <c r="J5742">
        <v>26</v>
      </c>
      <c r="L5742" t="s">
        <v>2709</v>
      </c>
      <c r="M5742">
        <v>52121100</v>
      </c>
      <c r="O5742" t="s">
        <v>20055</v>
      </c>
      <c r="P5742" t="s">
        <v>19899</v>
      </c>
      <c r="Q5742" t="s">
        <v>19900</v>
      </c>
      <c r="R5742" t="s">
        <v>19905</v>
      </c>
      <c r="S5742" t="s">
        <v>19906</v>
      </c>
      <c r="T5742" t="s">
        <v>20108</v>
      </c>
    </row>
    <row r="5743" spans="2:20" x14ac:dyDescent="0.25">
      <c r="B5743" t="s">
        <v>2709</v>
      </c>
      <c r="C5743">
        <v>52121200</v>
      </c>
      <c r="E5743">
        <v>112.46</v>
      </c>
      <c r="F5743">
        <v>18</v>
      </c>
      <c r="G5743">
        <v>0</v>
      </c>
      <c r="H5743">
        <v>7.6</v>
      </c>
      <c r="I5743">
        <v>1.65</v>
      </c>
      <c r="J5743">
        <v>26</v>
      </c>
      <c r="L5743" t="s">
        <v>2709</v>
      </c>
      <c r="M5743">
        <v>52121200</v>
      </c>
      <c r="O5743" t="s">
        <v>20055</v>
      </c>
      <c r="P5743" t="s">
        <v>19899</v>
      </c>
      <c r="Q5743" t="s">
        <v>19900</v>
      </c>
      <c r="R5743" t="s">
        <v>19905</v>
      </c>
      <c r="S5743" t="s">
        <v>19906</v>
      </c>
      <c r="T5743" t="s">
        <v>20108</v>
      </c>
    </row>
    <row r="5744" spans="2:20" x14ac:dyDescent="0.25">
      <c r="B5744" t="s">
        <v>2709</v>
      </c>
      <c r="C5744">
        <v>52121300</v>
      </c>
      <c r="E5744">
        <v>112.46</v>
      </c>
      <c r="F5744">
        <v>18</v>
      </c>
      <c r="G5744">
        <v>0</v>
      </c>
      <c r="H5744">
        <v>7.6</v>
      </c>
      <c r="I5744">
        <v>1.65</v>
      </c>
      <c r="J5744">
        <v>26</v>
      </c>
      <c r="L5744" t="s">
        <v>2709</v>
      </c>
      <c r="M5744">
        <v>52121300</v>
      </c>
      <c r="O5744" t="s">
        <v>20055</v>
      </c>
      <c r="P5744" t="s">
        <v>19899</v>
      </c>
      <c r="Q5744" t="s">
        <v>19900</v>
      </c>
      <c r="R5744" t="s">
        <v>19905</v>
      </c>
      <c r="S5744" t="s">
        <v>19906</v>
      </c>
      <c r="T5744" t="s">
        <v>20108</v>
      </c>
    </row>
    <row r="5745" spans="2:20" x14ac:dyDescent="0.25">
      <c r="B5745" t="s">
        <v>2709</v>
      </c>
      <c r="C5745">
        <v>52121400</v>
      </c>
      <c r="E5745">
        <v>112.46</v>
      </c>
      <c r="F5745">
        <v>18</v>
      </c>
      <c r="G5745">
        <v>0</v>
      </c>
      <c r="H5745">
        <v>7.6</v>
      </c>
      <c r="I5745">
        <v>1.65</v>
      </c>
      <c r="J5745">
        <v>26</v>
      </c>
      <c r="L5745" t="s">
        <v>2709</v>
      </c>
      <c r="M5745">
        <v>52121400</v>
      </c>
      <c r="O5745" t="s">
        <v>20055</v>
      </c>
      <c r="P5745" t="s">
        <v>19899</v>
      </c>
      <c r="Q5745" t="s">
        <v>19900</v>
      </c>
      <c r="R5745" t="s">
        <v>19905</v>
      </c>
      <c r="S5745" t="s">
        <v>19906</v>
      </c>
      <c r="T5745" t="s">
        <v>20108</v>
      </c>
    </row>
    <row r="5746" spans="2:20" x14ac:dyDescent="0.25">
      <c r="B5746" t="s">
        <v>2709</v>
      </c>
      <c r="C5746">
        <v>52121500</v>
      </c>
      <c r="E5746">
        <v>112.46</v>
      </c>
      <c r="F5746">
        <v>18</v>
      </c>
      <c r="G5746">
        <v>0</v>
      </c>
      <c r="H5746">
        <v>7.6</v>
      </c>
      <c r="I5746">
        <v>1.65</v>
      </c>
      <c r="J5746">
        <v>26</v>
      </c>
      <c r="L5746" t="s">
        <v>2709</v>
      </c>
      <c r="M5746">
        <v>52121500</v>
      </c>
      <c r="O5746" t="s">
        <v>20055</v>
      </c>
      <c r="P5746" t="s">
        <v>19899</v>
      </c>
      <c r="Q5746" t="s">
        <v>19900</v>
      </c>
      <c r="R5746" t="s">
        <v>19905</v>
      </c>
      <c r="S5746" t="s">
        <v>19906</v>
      </c>
      <c r="T5746" t="s">
        <v>20108</v>
      </c>
    </row>
    <row r="5747" spans="2:20" x14ac:dyDescent="0.25">
      <c r="B5747" t="s">
        <v>2709</v>
      </c>
      <c r="C5747">
        <v>52122100</v>
      </c>
      <c r="E5747">
        <v>112.46</v>
      </c>
      <c r="F5747">
        <v>18</v>
      </c>
      <c r="G5747">
        <v>0</v>
      </c>
      <c r="H5747">
        <v>7.6</v>
      </c>
      <c r="I5747">
        <v>1.65</v>
      </c>
      <c r="J5747">
        <v>26</v>
      </c>
      <c r="L5747" t="s">
        <v>2709</v>
      </c>
      <c r="M5747">
        <v>52122100</v>
      </c>
      <c r="O5747" t="s">
        <v>20055</v>
      </c>
      <c r="P5747" t="s">
        <v>19899</v>
      </c>
      <c r="Q5747" t="s">
        <v>19900</v>
      </c>
      <c r="R5747" t="s">
        <v>19905</v>
      </c>
      <c r="S5747" t="s">
        <v>19906</v>
      </c>
      <c r="T5747" t="s">
        <v>20108</v>
      </c>
    </row>
    <row r="5748" spans="2:20" x14ac:dyDescent="0.25">
      <c r="B5748" t="s">
        <v>2709</v>
      </c>
      <c r="C5748">
        <v>52122200</v>
      </c>
      <c r="E5748">
        <v>112.46</v>
      </c>
      <c r="F5748">
        <v>18</v>
      </c>
      <c r="G5748">
        <v>0</v>
      </c>
      <c r="H5748">
        <v>7.6</v>
      </c>
      <c r="I5748">
        <v>1.65</v>
      </c>
      <c r="J5748">
        <v>26</v>
      </c>
      <c r="L5748" t="s">
        <v>2709</v>
      </c>
      <c r="M5748">
        <v>52122200</v>
      </c>
      <c r="O5748" t="s">
        <v>20055</v>
      </c>
      <c r="P5748" t="s">
        <v>19899</v>
      </c>
      <c r="Q5748" t="s">
        <v>19900</v>
      </c>
      <c r="R5748" t="s">
        <v>19905</v>
      </c>
      <c r="S5748" t="s">
        <v>19906</v>
      </c>
      <c r="T5748" t="s">
        <v>20108</v>
      </c>
    </row>
    <row r="5749" spans="2:20" x14ac:dyDescent="0.25">
      <c r="B5749" t="s">
        <v>2709</v>
      </c>
      <c r="C5749">
        <v>52122300</v>
      </c>
      <c r="E5749">
        <v>112.46</v>
      </c>
      <c r="F5749">
        <v>18</v>
      </c>
      <c r="G5749">
        <v>0</v>
      </c>
      <c r="H5749">
        <v>7.6</v>
      </c>
      <c r="I5749">
        <v>1.65</v>
      </c>
      <c r="J5749">
        <v>26</v>
      </c>
      <c r="L5749" t="s">
        <v>2709</v>
      </c>
      <c r="M5749">
        <v>52122300</v>
      </c>
      <c r="O5749" t="s">
        <v>20055</v>
      </c>
      <c r="P5749" t="s">
        <v>19899</v>
      </c>
      <c r="Q5749" t="s">
        <v>19900</v>
      </c>
      <c r="R5749" t="s">
        <v>19905</v>
      </c>
      <c r="S5749" t="s">
        <v>19906</v>
      </c>
      <c r="T5749" t="s">
        <v>20108</v>
      </c>
    </row>
    <row r="5750" spans="2:20" x14ac:dyDescent="0.25">
      <c r="B5750" t="s">
        <v>2709</v>
      </c>
      <c r="C5750">
        <v>52122400</v>
      </c>
      <c r="E5750">
        <v>112.46</v>
      </c>
      <c r="F5750">
        <v>18</v>
      </c>
      <c r="G5750">
        <v>0</v>
      </c>
      <c r="H5750">
        <v>7.6</v>
      </c>
      <c r="I5750">
        <v>1.65</v>
      </c>
      <c r="J5750">
        <v>26</v>
      </c>
      <c r="L5750" t="s">
        <v>2709</v>
      </c>
      <c r="M5750">
        <v>52122400</v>
      </c>
      <c r="O5750" t="s">
        <v>20055</v>
      </c>
      <c r="P5750" t="s">
        <v>19899</v>
      </c>
      <c r="Q5750" t="s">
        <v>19900</v>
      </c>
      <c r="R5750" t="s">
        <v>19905</v>
      </c>
      <c r="S5750" t="s">
        <v>19906</v>
      </c>
      <c r="T5750" t="s">
        <v>20108</v>
      </c>
    </row>
    <row r="5751" spans="2:20" x14ac:dyDescent="0.25">
      <c r="B5751" t="s">
        <v>2709</v>
      </c>
      <c r="C5751">
        <v>52122500</v>
      </c>
      <c r="E5751">
        <v>112.46</v>
      </c>
      <c r="F5751">
        <v>18</v>
      </c>
      <c r="G5751">
        <v>0</v>
      </c>
      <c r="H5751">
        <v>7.6</v>
      </c>
      <c r="I5751">
        <v>1.65</v>
      </c>
      <c r="J5751">
        <v>26</v>
      </c>
      <c r="L5751" t="s">
        <v>2709</v>
      </c>
      <c r="M5751">
        <v>52122500</v>
      </c>
      <c r="O5751" t="s">
        <v>20055</v>
      </c>
      <c r="P5751" t="s">
        <v>19899</v>
      </c>
      <c r="Q5751" t="s">
        <v>19900</v>
      </c>
      <c r="R5751" t="s">
        <v>19905</v>
      </c>
      <c r="S5751" t="s">
        <v>19906</v>
      </c>
      <c r="T5751" t="s">
        <v>20108</v>
      </c>
    </row>
    <row r="5752" spans="2:20" x14ac:dyDescent="0.25">
      <c r="B5752" t="s">
        <v>2709</v>
      </c>
      <c r="C5752">
        <v>53011000</v>
      </c>
      <c r="E5752" t="s">
        <v>19447</v>
      </c>
      <c r="F5752">
        <v>18</v>
      </c>
      <c r="G5752">
        <v>0</v>
      </c>
      <c r="H5752">
        <v>7.6</v>
      </c>
      <c r="I5752">
        <v>1.65</v>
      </c>
      <c r="J5752">
        <v>6</v>
      </c>
      <c r="L5752" t="s">
        <v>2709</v>
      </c>
      <c r="M5752">
        <v>53011000</v>
      </c>
      <c r="O5752" t="s">
        <v>19447</v>
      </c>
      <c r="P5752" t="s">
        <v>19899</v>
      </c>
      <c r="Q5752" t="s">
        <v>19900</v>
      </c>
      <c r="R5752" t="s">
        <v>19905</v>
      </c>
      <c r="S5752" t="s">
        <v>19906</v>
      </c>
      <c r="T5752" t="s">
        <v>19907</v>
      </c>
    </row>
    <row r="5753" spans="2:20" x14ac:dyDescent="0.25">
      <c r="B5753" t="s">
        <v>2709</v>
      </c>
      <c r="C5753">
        <v>53011000</v>
      </c>
      <c r="D5753">
        <v>1</v>
      </c>
      <c r="E5753" t="s">
        <v>19447</v>
      </c>
      <c r="F5753">
        <v>18</v>
      </c>
      <c r="G5753">
        <v>0</v>
      </c>
      <c r="H5753">
        <v>7.6</v>
      </c>
      <c r="I5753">
        <v>1.65</v>
      </c>
      <c r="J5753">
        <v>6</v>
      </c>
      <c r="L5753" t="s">
        <v>2709</v>
      </c>
      <c r="M5753">
        <v>53011000</v>
      </c>
      <c r="N5753">
        <v>1</v>
      </c>
      <c r="O5753" t="s">
        <v>19447</v>
      </c>
      <c r="P5753" t="s">
        <v>19899</v>
      </c>
      <c r="Q5753" t="s">
        <v>19900</v>
      </c>
      <c r="R5753" t="s">
        <v>19905</v>
      </c>
      <c r="S5753" t="s">
        <v>19906</v>
      </c>
      <c r="T5753" t="s">
        <v>19907</v>
      </c>
    </row>
    <row r="5754" spans="2:20" x14ac:dyDescent="0.25">
      <c r="B5754" t="s">
        <v>2709</v>
      </c>
      <c r="C5754">
        <v>53012110</v>
      </c>
      <c r="E5754" t="s">
        <v>19447</v>
      </c>
      <c r="F5754">
        <v>18</v>
      </c>
      <c r="G5754">
        <v>0</v>
      </c>
      <c r="H5754">
        <v>7.6</v>
      </c>
      <c r="I5754">
        <v>1.65</v>
      </c>
      <c r="J5754">
        <v>6</v>
      </c>
      <c r="L5754" t="s">
        <v>2709</v>
      </c>
      <c r="M5754">
        <v>53012110</v>
      </c>
      <c r="O5754" t="s">
        <v>19447</v>
      </c>
      <c r="P5754" t="s">
        <v>19899</v>
      </c>
      <c r="Q5754" t="s">
        <v>19900</v>
      </c>
      <c r="R5754" t="s">
        <v>19905</v>
      </c>
      <c r="S5754" t="s">
        <v>19906</v>
      </c>
      <c r="T5754" t="s">
        <v>19907</v>
      </c>
    </row>
    <row r="5755" spans="2:20" x14ac:dyDescent="0.25">
      <c r="B5755" t="s">
        <v>2709</v>
      </c>
      <c r="C5755">
        <v>53012120</v>
      </c>
      <c r="E5755" t="s">
        <v>19447</v>
      </c>
      <c r="F5755">
        <v>18</v>
      </c>
      <c r="G5755">
        <v>0</v>
      </c>
      <c r="H5755">
        <v>7.6</v>
      </c>
      <c r="I5755">
        <v>1.65</v>
      </c>
      <c r="J5755">
        <v>6</v>
      </c>
      <c r="L5755" t="s">
        <v>2709</v>
      </c>
      <c r="M5755">
        <v>53012120</v>
      </c>
      <c r="O5755" t="s">
        <v>19447</v>
      </c>
      <c r="P5755" t="s">
        <v>19899</v>
      </c>
      <c r="Q5755" t="s">
        <v>19900</v>
      </c>
      <c r="R5755" t="s">
        <v>19905</v>
      </c>
      <c r="S5755" t="s">
        <v>19906</v>
      </c>
      <c r="T5755" t="s">
        <v>19907</v>
      </c>
    </row>
    <row r="5756" spans="2:20" x14ac:dyDescent="0.25">
      <c r="B5756" t="s">
        <v>2709</v>
      </c>
      <c r="C5756">
        <v>53012910</v>
      </c>
      <c r="E5756" t="s">
        <v>19447</v>
      </c>
      <c r="F5756">
        <v>18</v>
      </c>
      <c r="G5756">
        <v>0</v>
      </c>
      <c r="H5756">
        <v>7.6</v>
      </c>
      <c r="I5756">
        <v>1.65</v>
      </c>
      <c r="J5756">
        <v>6</v>
      </c>
      <c r="L5756" t="s">
        <v>2709</v>
      </c>
      <c r="M5756">
        <v>53012910</v>
      </c>
      <c r="O5756" t="s">
        <v>19447</v>
      </c>
      <c r="P5756" t="s">
        <v>19899</v>
      </c>
      <c r="Q5756" t="s">
        <v>19900</v>
      </c>
      <c r="R5756" t="s">
        <v>19905</v>
      </c>
      <c r="S5756" t="s">
        <v>19906</v>
      </c>
      <c r="T5756" t="s">
        <v>19907</v>
      </c>
    </row>
    <row r="5757" spans="2:20" x14ac:dyDescent="0.25">
      <c r="B5757" t="s">
        <v>2709</v>
      </c>
      <c r="C5757">
        <v>53012990</v>
      </c>
      <c r="E5757" t="s">
        <v>19447</v>
      </c>
      <c r="F5757">
        <v>18</v>
      </c>
      <c r="G5757">
        <v>0</v>
      </c>
      <c r="H5757">
        <v>7.6</v>
      </c>
      <c r="I5757">
        <v>1.65</v>
      </c>
      <c r="J5757">
        <v>6</v>
      </c>
      <c r="L5757" t="s">
        <v>2709</v>
      </c>
      <c r="M5757">
        <v>53012990</v>
      </c>
      <c r="O5757" t="s">
        <v>19447</v>
      </c>
      <c r="P5757" t="s">
        <v>19899</v>
      </c>
      <c r="Q5757" t="s">
        <v>19900</v>
      </c>
      <c r="R5757" t="s">
        <v>19905</v>
      </c>
      <c r="S5757" t="s">
        <v>19906</v>
      </c>
      <c r="T5757" t="s">
        <v>19907</v>
      </c>
    </row>
    <row r="5758" spans="2:20" x14ac:dyDescent="0.25">
      <c r="B5758" t="s">
        <v>2709</v>
      </c>
      <c r="C5758">
        <v>53013000</v>
      </c>
      <c r="E5758" t="s">
        <v>19447</v>
      </c>
      <c r="F5758">
        <v>18</v>
      </c>
      <c r="G5758">
        <v>0</v>
      </c>
      <c r="H5758">
        <v>7.6</v>
      </c>
      <c r="I5758">
        <v>1.65</v>
      </c>
      <c r="J5758">
        <v>6</v>
      </c>
      <c r="L5758" t="s">
        <v>2709</v>
      </c>
      <c r="M5758">
        <v>53013000</v>
      </c>
      <c r="O5758" t="s">
        <v>19447</v>
      </c>
      <c r="P5758" t="s">
        <v>19899</v>
      </c>
      <c r="Q5758" t="s">
        <v>19900</v>
      </c>
      <c r="R5758" t="s">
        <v>19905</v>
      </c>
      <c r="S5758" t="s">
        <v>19906</v>
      </c>
      <c r="T5758" t="s">
        <v>19907</v>
      </c>
    </row>
    <row r="5759" spans="2:20" x14ac:dyDescent="0.25">
      <c r="B5759" t="s">
        <v>2709</v>
      </c>
      <c r="C5759">
        <v>53021000</v>
      </c>
      <c r="E5759" t="s">
        <v>19447</v>
      </c>
      <c r="F5759">
        <v>18</v>
      </c>
      <c r="G5759">
        <v>0</v>
      </c>
      <c r="H5759">
        <v>7.6</v>
      </c>
      <c r="I5759">
        <v>1.65</v>
      </c>
      <c r="J5759">
        <v>6</v>
      </c>
      <c r="L5759" t="s">
        <v>2709</v>
      </c>
      <c r="M5759">
        <v>53021000</v>
      </c>
      <c r="O5759" t="s">
        <v>19447</v>
      </c>
      <c r="P5759" t="s">
        <v>19899</v>
      </c>
      <c r="Q5759" t="s">
        <v>19900</v>
      </c>
      <c r="R5759" t="s">
        <v>19905</v>
      </c>
      <c r="S5759" t="s">
        <v>19906</v>
      </c>
      <c r="T5759" t="s">
        <v>19907</v>
      </c>
    </row>
    <row r="5760" spans="2:20" x14ac:dyDescent="0.25">
      <c r="B5760" t="s">
        <v>2709</v>
      </c>
      <c r="C5760">
        <v>53021000</v>
      </c>
      <c r="D5760">
        <v>1</v>
      </c>
      <c r="E5760" t="s">
        <v>19447</v>
      </c>
      <c r="F5760">
        <v>18</v>
      </c>
      <c r="G5760">
        <v>0</v>
      </c>
      <c r="H5760">
        <v>7.6</v>
      </c>
      <c r="I5760">
        <v>1.65</v>
      </c>
      <c r="J5760">
        <v>6</v>
      </c>
      <c r="L5760" t="s">
        <v>2709</v>
      </c>
      <c r="M5760">
        <v>53021000</v>
      </c>
      <c r="N5760">
        <v>1</v>
      </c>
      <c r="O5760" t="s">
        <v>19447</v>
      </c>
      <c r="P5760" t="s">
        <v>19899</v>
      </c>
      <c r="Q5760" t="s">
        <v>19900</v>
      </c>
      <c r="R5760" t="s">
        <v>19905</v>
      </c>
      <c r="S5760" t="s">
        <v>19906</v>
      </c>
      <c r="T5760" t="s">
        <v>19907</v>
      </c>
    </row>
    <row r="5761" spans="2:20" x14ac:dyDescent="0.25">
      <c r="B5761" t="s">
        <v>2709</v>
      </c>
      <c r="C5761">
        <v>53029000</v>
      </c>
      <c r="E5761" t="s">
        <v>19447</v>
      </c>
      <c r="F5761">
        <v>18</v>
      </c>
      <c r="G5761">
        <v>0</v>
      </c>
      <c r="H5761">
        <v>7.6</v>
      </c>
      <c r="I5761">
        <v>1.65</v>
      </c>
      <c r="J5761">
        <v>6</v>
      </c>
      <c r="L5761" t="s">
        <v>2709</v>
      </c>
      <c r="M5761">
        <v>53029000</v>
      </c>
      <c r="O5761" t="s">
        <v>19447</v>
      </c>
      <c r="P5761" t="s">
        <v>19899</v>
      </c>
      <c r="Q5761" t="s">
        <v>19900</v>
      </c>
      <c r="R5761" t="s">
        <v>19905</v>
      </c>
      <c r="S5761" t="s">
        <v>19906</v>
      </c>
      <c r="T5761" t="s">
        <v>19907</v>
      </c>
    </row>
    <row r="5762" spans="2:20" x14ac:dyDescent="0.25">
      <c r="B5762" t="s">
        <v>2709</v>
      </c>
      <c r="C5762">
        <v>53031010</v>
      </c>
      <c r="E5762" t="s">
        <v>19447</v>
      </c>
      <c r="F5762">
        <v>18</v>
      </c>
      <c r="G5762">
        <v>0</v>
      </c>
      <c r="H5762">
        <v>7.6</v>
      </c>
      <c r="I5762">
        <v>1.65</v>
      </c>
      <c r="J5762">
        <v>8</v>
      </c>
      <c r="L5762" t="s">
        <v>2709</v>
      </c>
      <c r="M5762">
        <v>53031010</v>
      </c>
      <c r="O5762" t="s">
        <v>19447</v>
      </c>
      <c r="P5762" t="s">
        <v>19899</v>
      </c>
      <c r="Q5762" t="s">
        <v>19900</v>
      </c>
      <c r="R5762" t="s">
        <v>19905</v>
      </c>
      <c r="S5762" t="s">
        <v>19906</v>
      </c>
      <c r="T5762" t="s">
        <v>19918</v>
      </c>
    </row>
    <row r="5763" spans="2:20" x14ac:dyDescent="0.25">
      <c r="B5763" t="s">
        <v>2709</v>
      </c>
      <c r="C5763">
        <v>53031010</v>
      </c>
      <c r="D5763">
        <v>1</v>
      </c>
      <c r="E5763" t="s">
        <v>19447</v>
      </c>
      <c r="F5763">
        <v>18</v>
      </c>
      <c r="G5763">
        <v>0</v>
      </c>
      <c r="H5763">
        <v>7.6</v>
      </c>
      <c r="I5763">
        <v>1.65</v>
      </c>
      <c r="J5763">
        <v>8</v>
      </c>
      <c r="L5763" t="s">
        <v>2709</v>
      </c>
      <c r="M5763">
        <v>53031010</v>
      </c>
      <c r="N5763">
        <v>1</v>
      </c>
      <c r="O5763" t="s">
        <v>19447</v>
      </c>
      <c r="P5763" t="s">
        <v>19899</v>
      </c>
      <c r="Q5763" t="s">
        <v>19900</v>
      </c>
      <c r="R5763" t="s">
        <v>19905</v>
      </c>
      <c r="S5763" t="s">
        <v>19906</v>
      </c>
      <c r="T5763" t="s">
        <v>19918</v>
      </c>
    </row>
    <row r="5764" spans="2:20" x14ac:dyDescent="0.25">
      <c r="B5764" t="s">
        <v>2709</v>
      </c>
      <c r="C5764">
        <v>53031090</v>
      </c>
      <c r="E5764" t="s">
        <v>19447</v>
      </c>
      <c r="F5764">
        <v>18</v>
      </c>
      <c r="G5764">
        <v>0</v>
      </c>
      <c r="H5764">
        <v>7.6</v>
      </c>
      <c r="I5764">
        <v>1.65</v>
      </c>
      <c r="J5764">
        <v>8</v>
      </c>
      <c r="L5764" t="s">
        <v>2709</v>
      </c>
      <c r="M5764">
        <v>53031090</v>
      </c>
      <c r="O5764" t="s">
        <v>19447</v>
      </c>
      <c r="P5764" t="s">
        <v>19899</v>
      </c>
      <c r="Q5764" t="s">
        <v>19900</v>
      </c>
      <c r="R5764" t="s">
        <v>19905</v>
      </c>
      <c r="S5764" t="s">
        <v>19906</v>
      </c>
      <c r="T5764" t="s">
        <v>19918</v>
      </c>
    </row>
    <row r="5765" spans="2:20" x14ac:dyDescent="0.25">
      <c r="B5765" t="s">
        <v>2709</v>
      </c>
      <c r="C5765">
        <v>53031090</v>
      </c>
      <c r="D5765">
        <v>1</v>
      </c>
      <c r="E5765" t="s">
        <v>19447</v>
      </c>
      <c r="F5765">
        <v>18</v>
      </c>
      <c r="G5765">
        <v>0</v>
      </c>
      <c r="H5765">
        <v>7.6</v>
      </c>
      <c r="I5765">
        <v>1.65</v>
      </c>
      <c r="J5765">
        <v>8</v>
      </c>
      <c r="L5765" t="s">
        <v>2709</v>
      </c>
      <c r="M5765">
        <v>53031090</v>
      </c>
      <c r="N5765">
        <v>1</v>
      </c>
      <c r="O5765" t="s">
        <v>19447</v>
      </c>
      <c r="P5765" t="s">
        <v>19899</v>
      </c>
      <c r="Q5765" t="s">
        <v>19900</v>
      </c>
      <c r="R5765" t="s">
        <v>19905</v>
      </c>
      <c r="S5765" t="s">
        <v>19906</v>
      </c>
      <c r="T5765" t="s">
        <v>19918</v>
      </c>
    </row>
    <row r="5766" spans="2:20" x14ac:dyDescent="0.25">
      <c r="B5766" t="s">
        <v>2709</v>
      </c>
      <c r="C5766">
        <v>53039010</v>
      </c>
      <c r="E5766" t="s">
        <v>19447</v>
      </c>
      <c r="F5766">
        <v>18</v>
      </c>
      <c r="G5766">
        <v>0</v>
      </c>
      <c r="H5766">
        <v>7.6</v>
      </c>
      <c r="I5766">
        <v>1.65</v>
      </c>
      <c r="J5766">
        <v>8</v>
      </c>
      <c r="L5766" t="s">
        <v>2709</v>
      </c>
      <c r="M5766">
        <v>53039010</v>
      </c>
      <c r="O5766" t="s">
        <v>19447</v>
      </c>
      <c r="P5766" t="s">
        <v>19899</v>
      </c>
      <c r="Q5766" t="s">
        <v>19900</v>
      </c>
      <c r="R5766" t="s">
        <v>19905</v>
      </c>
      <c r="S5766" t="s">
        <v>19906</v>
      </c>
      <c r="T5766" t="s">
        <v>19918</v>
      </c>
    </row>
    <row r="5767" spans="2:20" x14ac:dyDescent="0.25">
      <c r="B5767" t="s">
        <v>2709</v>
      </c>
      <c r="C5767">
        <v>53039090</v>
      </c>
      <c r="E5767" t="s">
        <v>19447</v>
      </c>
      <c r="F5767">
        <v>18</v>
      </c>
      <c r="G5767">
        <v>0</v>
      </c>
      <c r="H5767">
        <v>7.6</v>
      </c>
      <c r="I5767">
        <v>1.65</v>
      </c>
      <c r="J5767">
        <v>8</v>
      </c>
      <c r="L5767" t="s">
        <v>2709</v>
      </c>
      <c r="M5767">
        <v>53039090</v>
      </c>
      <c r="O5767" t="s">
        <v>19447</v>
      </c>
      <c r="P5767" t="s">
        <v>19899</v>
      </c>
      <c r="Q5767" t="s">
        <v>19900</v>
      </c>
      <c r="R5767" t="s">
        <v>19905</v>
      </c>
      <c r="S5767" t="s">
        <v>19906</v>
      </c>
      <c r="T5767" t="s">
        <v>19918</v>
      </c>
    </row>
    <row r="5768" spans="2:20" x14ac:dyDescent="0.25">
      <c r="B5768" t="s">
        <v>2709</v>
      </c>
      <c r="C5768">
        <v>53050010</v>
      </c>
      <c r="E5768" t="s">
        <v>19447</v>
      </c>
      <c r="F5768">
        <v>18</v>
      </c>
      <c r="G5768">
        <v>0</v>
      </c>
      <c r="H5768">
        <v>7.6</v>
      </c>
      <c r="I5768">
        <v>1.65</v>
      </c>
      <c r="J5768">
        <v>6</v>
      </c>
      <c r="L5768" t="s">
        <v>2709</v>
      </c>
      <c r="M5768">
        <v>53050010</v>
      </c>
      <c r="O5768" t="s">
        <v>19447</v>
      </c>
      <c r="P5768" t="s">
        <v>19899</v>
      </c>
      <c r="Q5768" t="s">
        <v>19900</v>
      </c>
      <c r="R5768" t="s">
        <v>19905</v>
      </c>
      <c r="S5768" t="s">
        <v>19906</v>
      </c>
      <c r="T5768" t="s">
        <v>19907</v>
      </c>
    </row>
    <row r="5769" spans="2:20" x14ac:dyDescent="0.25">
      <c r="B5769" t="s">
        <v>2709</v>
      </c>
      <c r="C5769">
        <v>53050090</v>
      </c>
      <c r="E5769" t="s">
        <v>19447</v>
      </c>
      <c r="F5769">
        <v>18</v>
      </c>
      <c r="G5769">
        <v>0</v>
      </c>
      <c r="H5769">
        <v>7.6</v>
      </c>
      <c r="I5769">
        <v>1.65</v>
      </c>
      <c r="J5769">
        <v>6</v>
      </c>
      <c r="L5769" t="s">
        <v>2709</v>
      </c>
      <c r="M5769">
        <v>53050090</v>
      </c>
      <c r="O5769" t="s">
        <v>19447</v>
      </c>
      <c r="P5769" t="s">
        <v>19899</v>
      </c>
      <c r="Q5769" t="s">
        <v>19900</v>
      </c>
      <c r="R5769" t="s">
        <v>19905</v>
      </c>
      <c r="S5769" t="s">
        <v>19906</v>
      </c>
      <c r="T5769" t="s">
        <v>19907</v>
      </c>
    </row>
    <row r="5770" spans="2:20" x14ac:dyDescent="0.25">
      <c r="B5770" t="s">
        <v>2709</v>
      </c>
      <c r="C5770">
        <v>53050090</v>
      </c>
      <c r="D5770">
        <v>1</v>
      </c>
      <c r="E5770" t="s">
        <v>19447</v>
      </c>
      <c r="F5770">
        <v>18</v>
      </c>
      <c r="G5770">
        <v>0</v>
      </c>
      <c r="H5770">
        <v>7.6</v>
      </c>
      <c r="I5770">
        <v>1.65</v>
      </c>
      <c r="J5770">
        <v>6</v>
      </c>
      <c r="L5770" t="s">
        <v>2709</v>
      </c>
      <c r="M5770">
        <v>53050090</v>
      </c>
      <c r="N5770">
        <v>1</v>
      </c>
      <c r="O5770" t="s">
        <v>19447</v>
      </c>
      <c r="P5770" t="s">
        <v>19899</v>
      </c>
      <c r="Q5770" t="s">
        <v>19900</v>
      </c>
      <c r="R5770" t="s">
        <v>19905</v>
      </c>
      <c r="S5770" t="s">
        <v>19906</v>
      </c>
      <c r="T5770" t="s">
        <v>19907</v>
      </c>
    </row>
    <row r="5771" spans="2:20" x14ac:dyDescent="0.25">
      <c r="B5771" t="s">
        <v>2709</v>
      </c>
      <c r="C5771">
        <v>53050090</v>
      </c>
      <c r="D5771">
        <v>2</v>
      </c>
      <c r="E5771" t="s">
        <v>19447</v>
      </c>
      <c r="F5771">
        <v>18</v>
      </c>
      <c r="G5771">
        <v>0</v>
      </c>
      <c r="H5771">
        <v>7.6</v>
      </c>
      <c r="I5771">
        <v>1.65</v>
      </c>
      <c r="J5771">
        <v>6</v>
      </c>
      <c r="L5771" t="s">
        <v>2709</v>
      </c>
      <c r="M5771">
        <v>53050090</v>
      </c>
      <c r="N5771">
        <v>2</v>
      </c>
      <c r="O5771" t="s">
        <v>19447</v>
      </c>
      <c r="P5771" t="s">
        <v>19899</v>
      </c>
      <c r="Q5771" t="s">
        <v>19900</v>
      </c>
      <c r="R5771" t="s">
        <v>19905</v>
      </c>
      <c r="S5771" t="s">
        <v>19906</v>
      </c>
      <c r="T5771" t="s">
        <v>19907</v>
      </c>
    </row>
    <row r="5772" spans="2:20" x14ac:dyDescent="0.25">
      <c r="B5772" t="s">
        <v>2709</v>
      </c>
      <c r="C5772">
        <v>53061000</v>
      </c>
      <c r="E5772" t="s">
        <v>19447</v>
      </c>
      <c r="F5772">
        <v>18</v>
      </c>
      <c r="G5772">
        <v>0</v>
      </c>
      <c r="H5772">
        <v>7.6</v>
      </c>
      <c r="I5772">
        <v>1.65</v>
      </c>
      <c r="J5772">
        <v>18</v>
      </c>
      <c r="L5772" t="s">
        <v>2709</v>
      </c>
      <c r="M5772">
        <v>53061000</v>
      </c>
      <c r="O5772" t="s">
        <v>19447</v>
      </c>
      <c r="P5772" t="s">
        <v>19899</v>
      </c>
      <c r="Q5772" t="s">
        <v>19900</v>
      </c>
      <c r="R5772" t="s">
        <v>19905</v>
      </c>
      <c r="S5772" t="s">
        <v>19906</v>
      </c>
      <c r="T5772" t="s">
        <v>19899</v>
      </c>
    </row>
    <row r="5773" spans="2:20" x14ac:dyDescent="0.25">
      <c r="B5773" t="s">
        <v>2709</v>
      </c>
      <c r="C5773">
        <v>53062000</v>
      </c>
      <c r="E5773" t="s">
        <v>19447</v>
      </c>
      <c r="F5773">
        <v>18</v>
      </c>
      <c r="G5773">
        <v>0</v>
      </c>
      <c r="H5773">
        <v>7.6</v>
      </c>
      <c r="I5773">
        <v>1.65</v>
      </c>
      <c r="J5773">
        <v>18</v>
      </c>
      <c r="L5773" t="s">
        <v>2709</v>
      </c>
      <c r="M5773">
        <v>53062000</v>
      </c>
      <c r="O5773" t="s">
        <v>19447</v>
      </c>
      <c r="P5773" t="s">
        <v>19899</v>
      </c>
      <c r="Q5773" t="s">
        <v>19900</v>
      </c>
      <c r="R5773" t="s">
        <v>19905</v>
      </c>
      <c r="S5773" t="s">
        <v>19906</v>
      </c>
      <c r="T5773" t="s">
        <v>19899</v>
      </c>
    </row>
    <row r="5774" spans="2:20" x14ac:dyDescent="0.25">
      <c r="B5774" t="s">
        <v>2709</v>
      </c>
      <c r="C5774">
        <v>53071010</v>
      </c>
      <c r="E5774" t="s">
        <v>19447</v>
      </c>
      <c r="F5774">
        <v>18</v>
      </c>
      <c r="G5774">
        <v>0</v>
      </c>
      <c r="H5774">
        <v>7.6</v>
      </c>
      <c r="I5774">
        <v>1.65</v>
      </c>
      <c r="J5774">
        <v>18</v>
      </c>
      <c r="L5774" t="s">
        <v>2709</v>
      </c>
      <c r="M5774">
        <v>53071010</v>
      </c>
      <c r="O5774" t="s">
        <v>19447</v>
      </c>
      <c r="P5774" t="s">
        <v>19899</v>
      </c>
      <c r="Q5774" t="s">
        <v>19900</v>
      </c>
      <c r="R5774" t="s">
        <v>19905</v>
      </c>
      <c r="S5774" t="s">
        <v>19906</v>
      </c>
      <c r="T5774" t="s">
        <v>19899</v>
      </c>
    </row>
    <row r="5775" spans="2:20" x14ac:dyDescent="0.25">
      <c r="B5775" t="s">
        <v>2709</v>
      </c>
      <c r="C5775">
        <v>53071090</v>
      </c>
      <c r="E5775" t="s">
        <v>19447</v>
      </c>
      <c r="F5775">
        <v>18</v>
      </c>
      <c r="G5775">
        <v>0</v>
      </c>
      <c r="H5775">
        <v>7.6</v>
      </c>
      <c r="I5775">
        <v>1.65</v>
      </c>
      <c r="J5775">
        <v>18</v>
      </c>
      <c r="L5775" t="s">
        <v>2709</v>
      </c>
      <c r="M5775">
        <v>53071090</v>
      </c>
      <c r="O5775" t="s">
        <v>19447</v>
      </c>
      <c r="P5775" t="s">
        <v>19899</v>
      </c>
      <c r="Q5775" t="s">
        <v>19900</v>
      </c>
      <c r="R5775" t="s">
        <v>19905</v>
      </c>
      <c r="S5775" t="s">
        <v>19906</v>
      </c>
      <c r="T5775" t="s">
        <v>19899</v>
      </c>
    </row>
    <row r="5776" spans="2:20" x14ac:dyDescent="0.25">
      <c r="B5776" t="s">
        <v>2709</v>
      </c>
      <c r="C5776">
        <v>53072010</v>
      </c>
      <c r="E5776" t="s">
        <v>19447</v>
      </c>
      <c r="F5776">
        <v>18</v>
      </c>
      <c r="G5776">
        <v>0</v>
      </c>
      <c r="H5776">
        <v>7.6</v>
      </c>
      <c r="I5776">
        <v>1.65</v>
      </c>
      <c r="J5776">
        <v>18</v>
      </c>
      <c r="L5776" t="s">
        <v>2709</v>
      </c>
      <c r="M5776">
        <v>53072010</v>
      </c>
      <c r="O5776" t="s">
        <v>19447</v>
      </c>
      <c r="P5776" t="s">
        <v>19899</v>
      </c>
      <c r="Q5776" t="s">
        <v>19900</v>
      </c>
      <c r="R5776" t="s">
        <v>19905</v>
      </c>
      <c r="S5776" t="s">
        <v>19906</v>
      </c>
      <c r="T5776" t="s">
        <v>19899</v>
      </c>
    </row>
    <row r="5777" spans="2:20" x14ac:dyDescent="0.25">
      <c r="B5777" t="s">
        <v>2709</v>
      </c>
      <c r="C5777">
        <v>53072090</v>
      </c>
      <c r="E5777" t="s">
        <v>19447</v>
      </c>
      <c r="F5777">
        <v>18</v>
      </c>
      <c r="G5777">
        <v>0</v>
      </c>
      <c r="H5777">
        <v>7.6</v>
      </c>
      <c r="I5777">
        <v>1.65</v>
      </c>
      <c r="J5777">
        <v>18</v>
      </c>
      <c r="L5777" t="s">
        <v>2709</v>
      </c>
      <c r="M5777">
        <v>53072090</v>
      </c>
      <c r="O5777" t="s">
        <v>19447</v>
      </c>
      <c r="P5777" t="s">
        <v>19899</v>
      </c>
      <c r="Q5777" t="s">
        <v>19900</v>
      </c>
      <c r="R5777" t="s">
        <v>19905</v>
      </c>
      <c r="S5777" t="s">
        <v>19906</v>
      </c>
      <c r="T5777" t="s">
        <v>19899</v>
      </c>
    </row>
    <row r="5778" spans="2:20" x14ac:dyDescent="0.25">
      <c r="B5778" t="s">
        <v>2709</v>
      </c>
      <c r="C5778">
        <v>53081000</v>
      </c>
      <c r="E5778" t="s">
        <v>19447</v>
      </c>
      <c r="F5778">
        <v>18</v>
      </c>
      <c r="G5778">
        <v>0</v>
      </c>
      <c r="H5778">
        <v>7.6</v>
      </c>
      <c r="I5778">
        <v>1.65</v>
      </c>
      <c r="J5778">
        <v>18</v>
      </c>
      <c r="L5778" t="s">
        <v>2709</v>
      </c>
      <c r="M5778">
        <v>53081000</v>
      </c>
      <c r="O5778" t="s">
        <v>19447</v>
      </c>
      <c r="P5778" t="s">
        <v>19899</v>
      </c>
      <c r="Q5778" t="s">
        <v>19900</v>
      </c>
      <c r="R5778" t="s">
        <v>19905</v>
      </c>
      <c r="S5778" t="s">
        <v>19906</v>
      </c>
      <c r="T5778" t="s">
        <v>19899</v>
      </c>
    </row>
    <row r="5779" spans="2:20" x14ac:dyDescent="0.25">
      <c r="B5779" t="s">
        <v>2709</v>
      </c>
      <c r="C5779">
        <v>53082000</v>
      </c>
      <c r="E5779" t="s">
        <v>19447</v>
      </c>
      <c r="F5779">
        <v>18</v>
      </c>
      <c r="G5779">
        <v>0</v>
      </c>
      <c r="H5779">
        <v>7.6</v>
      </c>
      <c r="I5779">
        <v>1.65</v>
      </c>
      <c r="J5779">
        <v>18</v>
      </c>
      <c r="L5779" t="s">
        <v>2709</v>
      </c>
      <c r="M5779">
        <v>53082000</v>
      </c>
      <c r="O5779" t="s">
        <v>19447</v>
      </c>
      <c r="P5779" t="s">
        <v>19899</v>
      </c>
      <c r="Q5779" t="s">
        <v>19900</v>
      </c>
      <c r="R5779" t="s">
        <v>19905</v>
      </c>
      <c r="S5779" t="s">
        <v>19906</v>
      </c>
      <c r="T5779" t="s">
        <v>19899</v>
      </c>
    </row>
    <row r="5780" spans="2:20" x14ac:dyDescent="0.25">
      <c r="B5780" t="s">
        <v>2709</v>
      </c>
      <c r="C5780">
        <v>53089000</v>
      </c>
      <c r="E5780" t="s">
        <v>19447</v>
      </c>
      <c r="F5780">
        <v>18</v>
      </c>
      <c r="G5780">
        <v>0</v>
      </c>
      <c r="H5780">
        <v>7.6</v>
      </c>
      <c r="I5780">
        <v>1.65</v>
      </c>
      <c r="J5780">
        <v>18</v>
      </c>
      <c r="L5780" t="s">
        <v>2709</v>
      </c>
      <c r="M5780">
        <v>53089000</v>
      </c>
      <c r="O5780" t="s">
        <v>19447</v>
      </c>
      <c r="P5780" t="s">
        <v>19899</v>
      </c>
      <c r="Q5780" t="s">
        <v>19900</v>
      </c>
      <c r="R5780" t="s">
        <v>19905</v>
      </c>
      <c r="S5780" t="s">
        <v>19906</v>
      </c>
      <c r="T5780" t="s">
        <v>19899</v>
      </c>
    </row>
    <row r="5781" spans="2:20" x14ac:dyDescent="0.25">
      <c r="B5781" t="s">
        <v>2709</v>
      </c>
      <c r="C5781">
        <v>53091100</v>
      </c>
      <c r="E5781" t="s">
        <v>19447</v>
      </c>
      <c r="F5781">
        <v>18</v>
      </c>
      <c r="G5781">
        <v>0</v>
      </c>
      <c r="H5781">
        <v>7.6</v>
      </c>
      <c r="I5781">
        <v>1.65</v>
      </c>
      <c r="J5781">
        <v>26</v>
      </c>
      <c r="L5781" t="s">
        <v>2709</v>
      </c>
      <c r="M5781">
        <v>53091100</v>
      </c>
      <c r="O5781" t="s">
        <v>19447</v>
      </c>
      <c r="P5781" t="s">
        <v>19899</v>
      </c>
      <c r="Q5781" t="s">
        <v>19900</v>
      </c>
      <c r="R5781" t="s">
        <v>19905</v>
      </c>
      <c r="S5781" t="s">
        <v>19906</v>
      </c>
      <c r="T5781" t="s">
        <v>20108</v>
      </c>
    </row>
    <row r="5782" spans="2:20" x14ac:dyDescent="0.25">
      <c r="B5782" t="s">
        <v>2709</v>
      </c>
      <c r="C5782">
        <v>53091900</v>
      </c>
      <c r="E5782" t="s">
        <v>19447</v>
      </c>
      <c r="F5782">
        <v>18</v>
      </c>
      <c r="G5782">
        <v>0</v>
      </c>
      <c r="H5782">
        <v>7.6</v>
      </c>
      <c r="I5782">
        <v>1.65</v>
      </c>
      <c r="J5782">
        <v>26</v>
      </c>
      <c r="L5782" t="s">
        <v>2709</v>
      </c>
      <c r="M5782">
        <v>53091900</v>
      </c>
      <c r="O5782" t="s">
        <v>19447</v>
      </c>
      <c r="P5782" t="s">
        <v>19899</v>
      </c>
      <c r="Q5782" t="s">
        <v>19900</v>
      </c>
      <c r="R5782" t="s">
        <v>19905</v>
      </c>
      <c r="S5782" t="s">
        <v>19906</v>
      </c>
      <c r="T5782" t="s">
        <v>20108</v>
      </c>
    </row>
    <row r="5783" spans="2:20" x14ac:dyDescent="0.25">
      <c r="B5783" t="s">
        <v>2709</v>
      </c>
      <c r="C5783">
        <v>53092100</v>
      </c>
      <c r="E5783" t="s">
        <v>19447</v>
      </c>
      <c r="F5783">
        <v>18</v>
      </c>
      <c r="G5783">
        <v>0</v>
      </c>
      <c r="H5783">
        <v>7.6</v>
      </c>
      <c r="I5783">
        <v>1.65</v>
      </c>
      <c r="J5783">
        <v>26</v>
      </c>
      <c r="L5783" t="s">
        <v>2709</v>
      </c>
      <c r="M5783">
        <v>53092100</v>
      </c>
      <c r="O5783" t="s">
        <v>19447</v>
      </c>
      <c r="P5783" t="s">
        <v>19899</v>
      </c>
      <c r="Q5783" t="s">
        <v>19900</v>
      </c>
      <c r="R5783" t="s">
        <v>19905</v>
      </c>
      <c r="S5783" t="s">
        <v>19906</v>
      </c>
      <c r="T5783" t="s">
        <v>20108</v>
      </c>
    </row>
    <row r="5784" spans="2:20" x14ac:dyDescent="0.25">
      <c r="B5784" t="s">
        <v>2709</v>
      </c>
      <c r="C5784">
        <v>53092900</v>
      </c>
      <c r="E5784" t="s">
        <v>19447</v>
      </c>
      <c r="F5784">
        <v>18</v>
      </c>
      <c r="G5784">
        <v>0</v>
      </c>
      <c r="H5784">
        <v>7.6</v>
      </c>
      <c r="I5784">
        <v>1.65</v>
      </c>
      <c r="J5784">
        <v>26</v>
      </c>
      <c r="L5784" t="s">
        <v>2709</v>
      </c>
      <c r="M5784">
        <v>53092900</v>
      </c>
      <c r="O5784" t="s">
        <v>19447</v>
      </c>
      <c r="P5784" t="s">
        <v>19899</v>
      </c>
      <c r="Q5784" t="s">
        <v>19900</v>
      </c>
      <c r="R5784" t="s">
        <v>19905</v>
      </c>
      <c r="S5784" t="s">
        <v>19906</v>
      </c>
      <c r="T5784" t="s">
        <v>20108</v>
      </c>
    </row>
    <row r="5785" spans="2:20" x14ac:dyDescent="0.25">
      <c r="B5785" t="s">
        <v>2709</v>
      </c>
      <c r="C5785">
        <v>53101010</v>
      </c>
      <c r="E5785" t="s">
        <v>19447</v>
      </c>
      <c r="F5785">
        <v>18</v>
      </c>
      <c r="G5785">
        <v>0</v>
      </c>
      <c r="H5785">
        <v>7.6</v>
      </c>
      <c r="I5785">
        <v>1.65</v>
      </c>
      <c r="J5785">
        <v>26</v>
      </c>
      <c r="L5785" t="s">
        <v>2709</v>
      </c>
      <c r="M5785">
        <v>53101010</v>
      </c>
      <c r="O5785" t="s">
        <v>19447</v>
      </c>
      <c r="P5785" t="s">
        <v>19899</v>
      </c>
      <c r="Q5785" t="s">
        <v>19900</v>
      </c>
      <c r="R5785" t="s">
        <v>19905</v>
      </c>
      <c r="S5785" t="s">
        <v>19906</v>
      </c>
      <c r="T5785" t="s">
        <v>20108</v>
      </c>
    </row>
    <row r="5786" spans="2:20" x14ac:dyDescent="0.25">
      <c r="B5786" t="s">
        <v>2709</v>
      </c>
      <c r="C5786">
        <v>53101090</v>
      </c>
      <c r="E5786" t="s">
        <v>19447</v>
      </c>
      <c r="F5786">
        <v>18</v>
      </c>
      <c r="G5786">
        <v>0</v>
      </c>
      <c r="H5786">
        <v>7.6</v>
      </c>
      <c r="I5786">
        <v>1.65</v>
      </c>
      <c r="J5786">
        <v>26</v>
      </c>
      <c r="L5786" t="s">
        <v>2709</v>
      </c>
      <c r="M5786">
        <v>53101090</v>
      </c>
      <c r="O5786" t="s">
        <v>19447</v>
      </c>
      <c r="P5786" t="s">
        <v>19899</v>
      </c>
      <c r="Q5786" t="s">
        <v>19900</v>
      </c>
      <c r="R5786" t="s">
        <v>19905</v>
      </c>
      <c r="S5786" t="s">
        <v>19906</v>
      </c>
      <c r="T5786" t="s">
        <v>20108</v>
      </c>
    </row>
    <row r="5787" spans="2:20" x14ac:dyDescent="0.25">
      <c r="B5787" t="s">
        <v>2709</v>
      </c>
      <c r="C5787">
        <v>53109000</v>
      </c>
      <c r="E5787" t="s">
        <v>19447</v>
      </c>
      <c r="F5787">
        <v>18</v>
      </c>
      <c r="G5787">
        <v>0</v>
      </c>
      <c r="H5787">
        <v>7.6</v>
      </c>
      <c r="I5787">
        <v>1.65</v>
      </c>
      <c r="J5787">
        <v>26</v>
      </c>
      <c r="L5787" t="s">
        <v>2709</v>
      </c>
      <c r="M5787">
        <v>53109000</v>
      </c>
      <c r="O5787" t="s">
        <v>19447</v>
      </c>
      <c r="P5787" t="s">
        <v>19899</v>
      </c>
      <c r="Q5787" t="s">
        <v>19900</v>
      </c>
      <c r="R5787" t="s">
        <v>19905</v>
      </c>
      <c r="S5787" t="s">
        <v>19906</v>
      </c>
      <c r="T5787" t="s">
        <v>20108</v>
      </c>
    </row>
    <row r="5788" spans="2:20" x14ac:dyDescent="0.25">
      <c r="B5788" t="s">
        <v>2709</v>
      </c>
      <c r="C5788">
        <v>53110000</v>
      </c>
      <c r="E5788" t="s">
        <v>19447</v>
      </c>
      <c r="F5788">
        <v>18</v>
      </c>
      <c r="G5788">
        <v>0</v>
      </c>
      <c r="H5788">
        <v>7.6</v>
      </c>
      <c r="I5788">
        <v>1.65</v>
      </c>
      <c r="J5788">
        <v>26</v>
      </c>
      <c r="L5788" t="s">
        <v>2709</v>
      </c>
      <c r="M5788">
        <v>53110000</v>
      </c>
      <c r="O5788" t="s">
        <v>19447</v>
      </c>
      <c r="P5788" t="s">
        <v>19899</v>
      </c>
      <c r="Q5788" t="s">
        <v>19900</v>
      </c>
      <c r="R5788" t="s">
        <v>19905</v>
      </c>
      <c r="S5788" t="s">
        <v>19906</v>
      </c>
      <c r="T5788" t="s">
        <v>20108</v>
      </c>
    </row>
    <row r="5789" spans="2:20" x14ac:dyDescent="0.25">
      <c r="B5789" t="s">
        <v>2709</v>
      </c>
      <c r="C5789">
        <v>54011011</v>
      </c>
      <c r="E5789" t="s">
        <v>19447</v>
      </c>
      <c r="F5789">
        <v>18</v>
      </c>
      <c r="G5789">
        <v>0</v>
      </c>
      <c r="H5789">
        <v>7.6</v>
      </c>
      <c r="I5789">
        <v>1.65</v>
      </c>
      <c r="J5789">
        <v>18</v>
      </c>
      <c r="L5789" t="s">
        <v>2709</v>
      </c>
      <c r="M5789">
        <v>54011011</v>
      </c>
      <c r="O5789" t="s">
        <v>19447</v>
      </c>
      <c r="P5789" t="s">
        <v>19899</v>
      </c>
      <c r="Q5789" t="s">
        <v>19900</v>
      </c>
      <c r="R5789" t="s">
        <v>19905</v>
      </c>
      <c r="S5789" t="s">
        <v>19906</v>
      </c>
      <c r="T5789" t="s">
        <v>19899</v>
      </c>
    </row>
    <row r="5790" spans="2:20" x14ac:dyDescent="0.25">
      <c r="B5790" t="s">
        <v>2709</v>
      </c>
      <c r="C5790">
        <v>54011012</v>
      </c>
      <c r="E5790" t="s">
        <v>19447</v>
      </c>
      <c r="F5790">
        <v>18</v>
      </c>
      <c r="G5790">
        <v>0</v>
      </c>
      <c r="H5790">
        <v>7.6</v>
      </c>
      <c r="I5790">
        <v>1.65</v>
      </c>
      <c r="J5790">
        <v>18</v>
      </c>
      <c r="L5790" t="s">
        <v>2709</v>
      </c>
      <c r="M5790">
        <v>54011012</v>
      </c>
      <c r="O5790" t="s">
        <v>19447</v>
      </c>
      <c r="P5790" t="s">
        <v>19899</v>
      </c>
      <c r="Q5790" t="s">
        <v>19900</v>
      </c>
      <c r="R5790" t="s">
        <v>19905</v>
      </c>
      <c r="S5790" t="s">
        <v>19906</v>
      </c>
      <c r="T5790" t="s">
        <v>19899</v>
      </c>
    </row>
    <row r="5791" spans="2:20" x14ac:dyDescent="0.25">
      <c r="B5791" t="s">
        <v>2709</v>
      </c>
      <c r="C5791">
        <v>54011090</v>
      </c>
      <c r="E5791" t="s">
        <v>19447</v>
      </c>
      <c r="F5791">
        <v>18</v>
      </c>
      <c r="G5791">
        <v>0</v>
      </c>
      <c r="H5791">
        <v>7.6</v>
      </c>
      <c r="I5791">
        <v>1.65</v>
      </c>
      <c r="J5791">
        <v>18</v>
      </c>
      <c r="L5791" t="s">
        <v>2709</v>
      </c>
      <c r="M5791">
        <v>54011090</v>
      </c>
      <c r="O5791" t="s">
        <v>19447</v>
      </c>
      <c r="P5791" t="s">
        <v>19899</v>
      </c>
      <c r="Q5791" t="s">
        <v>19900</v>
      </c>
      <c r="R5791" t="s">
        <v>19905</v>
      </c>
      <c r="S5791" t="s">
        <v>19906</v>
      </c>
      <c r="T5791" t="s">
        <v>19899</v>
      </c>
    </row>
    <row r="5792" spans="2:20" x14ac:dyDescent="0.25">
      <c r="B5792" t="s">
        <v>2709</v>
      </c>
      <c r="C5792">
        <v>54012011</v>
      </c>
      <c r="E5792" t="s">
        <v>19447</v>
      </c>
      <c r="F5792">
        <v>18</v>
      </c>
      <c r="G5792">
        <v>0</v>
      </c>
      <c r="H5792">
        <v>7.6</v>
      </c>
      <c r="I5792">
        <v>1.65</v>
      </c>
      <c r="J5792">
        <v>18</v>
      </c>
      <c r="L5792" t="s">
        <v>2709</v>
      </c>
      <c r="M5792">
        <v>54012011</v>
      </c>
      <c r="O5792" t="s">
        <v>19447</v>
      </c>
      <c r="P5792" t="s">
        <v>19899</v>
      </c>
      <c r="Q5792" t="s">
        <v>19900</v>
      </c>
      <c r="R5792" t="s">
        <v>19905</v>
      </c>
      <c r="S5792" t="s">
        <v>19906</v>
      </c>
      <c r="T5792" t="s">
        <v>19899</v>
      </c>
    </row>
    <row r="5793" spans="2:20" x14ac:dyDescent="0.25">
      <c r="B5793" t="s">
        <v>2709</v>
      </c>
      <c r="C5793">
        <v>54012012</v>
      </c>
      <c r="E5793" t="s">
        <v>19447</v>
      </c>
      <c r="F5793">
        <v>18</v>
      </c>
      <c r="G5793">
        <v>0</v>
      </c>
      <c r="H5793">
        <v>7.6</v>
      </c>
      <c r="I5793">
        <v>1.65</v>
      </c>
      <c r="J5793">
        <v>18</v>
      </c>
      <c r="L5793" t="s">
        <v>2709</v>
      </c>
      <c r="M5793">
        <v>54012012</v>
      </c>
      <c r="O5793" t="s">
        <v>19447</v>
      </c>
      <c r="P5793" t="s">
        <v>19899</v>
      </c>
      <c r="Q5793" t="s">
        <v>19900</v>
      </c>
      <c r="R5793" t="s">
        <v>19905</v>
      </c>
      <c r="S5793" t="s">
        <v>19906</v>
      </c>
      <c r="T5793" t="s">
        <v>19899</v>
      </c>
    </row>
    <row r="5794" spans="2:20" x14ac:dyDescent="0.25">
      <c r="B5794" t="s">
        <v>2709</v>
      </c>
      <c r="C5794">
        <v>54012090</v>
      </c>
      <c r="E5794" t="s">
        <v>19447</v>
      </c>
      <c r="F5794">
        <v>18</v>
      </c>
      <c r="G5794">
        <v>0</v>
      </c>
      <c r="H5794">
        <v>7.6</v>
      </c>
      <c r="I5794">
        <v>1.65</v>
      </c>
      <c r="J5794">
        <v>18</v>
      </c>
      <c r="L5794" t="s">
        <v>2709</v>
      </c>
      <c r="M5794">
        <v>54012090</v>
      </c>
      <c r="O5794" t="s">
        <v>19447</v>
      </c>
      <c r="P5794" t="s">
        <v>19899</v>
      </c>
      <c r="Q5794" t="s">
        <v>19900</v>
      </c>
      <c r="R5794" t="s">
        <v>19905</v>
      </c>
      <c r="S5794" t="s">
        <v>19906</v>
      </c>
      <c r="T5794" t="s">
        <v>19899</v>
      </c>
    </row>
    <row r="5795" spans="2:20" x14ac:dyDescent="0.25">
      <c r="B5795" t="s">
        <v>2709</v>
      </c>
      <c r="C5795">
        <v>54021100</v>
      </c>
      <c r="E5795" t="s">
        <v>19447</v>
      </c>
      <c r="F5795">
        <v>18</v>
      </c>
      <c r="G5795">
        <v>0</v>
      </c>
      <c r="H5795">
        <v>7.6</v>
      </c>
      <c r="I5795">
        <v>1.65</v>
      </c>
      <c r="J5795">
        <v>2</v>
      </c>
      <c r="L5795" t="s">
        <v>2709</v>
      </c>
      <c r="M5795">
        <v>54021100</v>
      </c>
      <c r="O5795" t="s">
        <v>19447</v>
      </c>
      <c r="P5795" t="s">
        <v>19899</v>
      </c>
      <c r="Q5795" t="s">
        <v>19900</v>
      </c>
      <c r="R5795" t="s">
        <v>19905</v>
      </c>
      <c r="S5795" t="s">
        <v>19906</v>
      </c>
      <c r="T5795" t="s">
        <v>19901</v>
      </c>
    </row>
    <row r="5796" spans="2:20" x14ac:dyDescent="0.25">
      <c r="B5796" t="s">
        <v>2709</v>
      </c>
      <c r="C5796">
        <v>54021910</v>
      </c>
      <c r="E5796" t="s">
        <v>19447</v>
      </c>
      <c r="F5796">
        <v>18</v>
      </c>
      <c r="G5796">
        <v>0</v>
      </c>
      <c r="H5796">
        <v>7.6</v>
      </c>
      <c r="I5796">
        <v>1.65</v>
      </c>
      <c r="J5796">
        <v>18</v>
      </c>
      <c r="L5796" t="s">
        <v>2709</v>
      </c>
      <c r="M5796">
        <v>54021910</v>
      </c>
      <c r="O5796" t="s">
        <v>19447</v>
      </c>
      <c r="P5796" t="s">
        <v>19899</v>
      </c>
      <c r="Q5796" t="s">
        <v>19900</v>
      </c>
      <c r="R5796" t="s">
        <v>19905</v>
      </c>
      <c r="S5796" t="s">
        <v>19906</v>
      </c>
      <c r="T5796" t="s">
        <v>19899</v>
      </c>
    </row>
    <row r="5797" spans="2:20" x14ac:dyDescent="0.25">
      <c r="B5797" t="s">
        <v>2709</v>
      </c>
      <c r="C5797">
        <v>54021990</v>
      </c>
      <c r="E5797" t="s">
        <v>19447</v>
      </c>
      <c r="F5797">
        <v>18</v>
      </c>
      <c r="G5797">
        <v>0</v>
      </c>
      <c r="H5797">
        <v>7.6</v>
      </c>
      <c r="I5797">
        <v>1.65</v>
      </c>
      <c r="J5797">
        <v>18</v>
      </c>
      <c r="L5797" t="s">
        <v>2709</v>
      </c>
      <c r="M5797">
        <v>54021990</v>
      </c>
      <c r="O5797" t="s">
        <v>19447</v>
      </c>
      <c r="P5797" t="s">
        <v>19899</v>
      </c>
      <c r="Q5797" t="s">
        <v>19900</v>
      </c>
      <c r="R5797" t="s">
        <v>19905</v>
      </c>
      <c r="S5797" t="s">
        <v>19906</v>
      </c>
      <c r="T5797" t="s">
        <v>19899</v>
      </c>
    </row>
    <row r="5798" spans="2:20" x14ac:dyDescent="0.25">
      <c r="B5798" t="s">
        <v>2709</v>
      </c>
      <c r="C5798">
        <v>54022000</v>
      </c>
      <c r="E5798" t="s">
        <v>19447</v>
      </c>
      <c r="F5798">
        <v>18</v>
      </c>
      <c r="G5798">
        <v>0</v>
      </c>
      <c r="H5798">
        <v>7.6</v>
      </c>
      <c r="I5798">
        <v>1.65</v>
      </c>
      <c r="J5798">
        <v>18</v>
      </c>
      <c r="L5798" t="s">
        <v>2709</v>
      </c>
      <c r="M5798">
        <v>54022000</v>
      </c>
      <c r="O5798" t="s">
        <v>19447</v>
      </c>
      <c r="P5798" t="s">
        <v>19899</v>
      </c>
      <c r="Q5798" t="s">
        <v>19900</v>
      </c>
      <c r="R5798" t="s">
        <v>19905</v>
      </c>
      <c r="S5798" t="s">
        <v>19906</v>
      </c>
      <c r="T5798" t="s">
        <v>19899</v>
      </c>
    </row>
    <row r="5799" spans="2:20" x14ac:dyDescent="0.25">
      <c r="B5799" t="s">
        <v>2709</v>
      </c>
      <c r="C5799">
        <v>54023111</v>
      </c>
      <c r="E5799" t="s">
        <v>19447</v>
      </c>
      <c r="F5799">
        <v>18</v>
      </c>
      <c r="G5799">
        <v>0</v>
      </c>
      <c r="H5799">
        <v>7.6</v>
      </c>
      <c r="I5799">
        <v>1.65</v>
      </c>
      <c r="J5799">
        <v>18</v>
      </c>
      <c r="L5799" t="s">
        <v>2709</v>
      </c>
      <c r="M5799">
        <v>54023111</v>
      </c>
      <c r="O5799" t="s">
        <v>19447</v>
      </c>
      <c r="P5799" t="s">
        <v>19899</v>
      </c>
      <c r="Q5799" t="s">
        <v>19900</v>
      </c>
      <c r="R5799" t="s">
        <v>19905</v>
      </c>
      <c r="S5799" t="s">
        <v>19906</v>
      </c>
      <c r="T5799" t="s">
        <v>19899</v>
      </c>
    </row>
    <row r="5800" spans="2:20" x14ac:dyDescent="0.25">
      <c r="B5800" t="s">
        <v>2709</v>
      </c>
      <c r="C5800">
        <v>54023119</v>
      </c>
      <c r="E5800" t="s">
        <v>19447</v>
      </c>
      <c r="F5800">
        <v>18</v>
      </c>
      <c r="G5800">
        <v>0</v>
      </c>
      <c r="H5800">
        <v>7.6</v>
      </c>
      <c r="I5800">
        <v>1.65</v>
      </c>
      <c r="J5800">
        <v>18</v>
      </c>
      <c r="L5800" t="s">
        <v>2709</v>
      </c>
      <c r="M5800">
        <v>54023119</v>
      </c>
      <c r="O5800" t="s">
        <v>19447</v>
      </c>
      <c r="P5800" t="s">
        <v>19899</v>
      </c>
      <c r="Q5800" t="s">
        <v>19900</v>
      </c>
      <c r="R5800" t="s">
        <v>19905</v>
      </c>
      <c r="S5800" t="s">
        <v>19906</v>
      </c>
      <c r="T5800" t="s">
        <v>19899</v>
      </c>
    </row>
    <row r="5801" spans="2:20" x14ac:dyDescent="0.25">
      <c r="B5801" t="s">
        <v>2709</v>
      </c>
      <c r="C5801">
        <v>54023190</v>
      </c>
      <c r="E5801" t="s">
        <v>19447</v>
      </c>
      <c r="F5801">
        <v>18</v>
      </c>
      <c r="G5801">
        <v>0</v>
      </c>
      <c r="H5801">
        <v>7.6</v>
      </c>
      <c r="I5801">
        <v>1.65</v>
      </c>
      <c r="J5801">
        <v>18</v>
      </c>
      <c r="L5801" t="s">
        <v>2709</v>
      </c>
      <c r="M5801">
        <v>54023190</v>
      </c>
      <c r="O5801" t="s">
        <v>19447</v>
      </c>
      <c r="P5801" t="s">
        <v>19899</v>
      </c>
      <c r="Q5801" t="s">
        <v>19900</v>
      </c>
      <c r="R5801" t="s">
        <v>19905</v>
      </c>
      <c r="S5801" t="s">
        <v>19906</v>
      </c>
      <c r="T5801" t="s">
        <v>19899</v>
      </c>
    </row>
    <row r="5802" spans="2:20" x14ac:dyDescent="0.25">
      <c r="B5802" t="s">
        <v>2709</v>
      </c>
      <c r="C5802">
        <v>54023211</v>
      </c>
      <c r="E5802" t="s">
        <v>19447</v>
      </c>
      <c r="F5802">
        <v>18</v>
      </c>
      <c r="G5802">
        <v>0</v>
      </c>
      <c r="H5802">
        <v>7.6</v>
      </c>
      <c r="I5802">
        <v>1.65</v>
      </c>
      <c r="J5802">
        <v>18</v>
      </c>
      <c r="L5802" t="s">
        <v>2709</v>
      </c>
      <c r="M5802">
        <v>54023211</v>
      </c>
      <c r="O5802" t="s">
        <v>19447</v>
      </c>
      <c r="P5802" t="s">
        <v>19899</v>
      </c>
      <c r="Q5802" t="s">
        <v>19900</v>
      </c>
      <c r="R5802" t="s">
        <v>19905</v>
      </c>
      <c r="S5802" t="s">
        <v>19906</v>
      </c>
      <c r="T5802" t="s">
        <v>19899</v>
      </c>
    </row>
    <row r="5803" spans="2:20" x14ac:dyDescent="0.25">
      <c r="B5803" t="s">
        <v>2709</v>
      </c>
      <c r="C5803">
        <v>54023219</v>
      </c>
      <c r="E5803" t="s">
        <v>19447</v>
      </c>
      <c r="F5803">
        <v>18</v>
      </c>
      <c r="G5803">
        <v>0</v>
      </c>
      <c r="H5803">
        <v>7.6</v>
      </c>
      <c r="I5803">
        <v>1.65</v>
      </c>
      <c r="J5803">
        <v>18</v>
      </c>
      <c r="L5803" t="s">
        <v>2709</v>
      </c>
      <c r="M5803">
        <v>54023219</v>
      </c>
      <c r="O5803" t="s">
        <v>19447</v>
      </c>
      <c r="P5803" t="s">
        <v>19899</v>
      </c>
      <c r="Q5803" t="s">
        <v>19900</v>
      </c>
      <c r="R5803" t="s">
        <v>19905</v>
      </c>
      <c r="S5803" t="s">
        <v>19906</v>
      </c>
      <c r="T5803" t="s">
        <v>19899</v>
      </c>
    </row>
    <row r="5804" spans="2:20" x14ac:dyDescent="0.25">
      <c r="B5804" t="s">
        <v>2709</v>
      </c>
      <c r="C5804">
        <v>54023290</v>
      </c>
      <c r="E5804" t="s">
        <v>19447</v>
      </c>
      <c r="F5804">
        <v>18</v>
      </c>
      <c r="G5804">
        <v>0</v>
      </c>
      <c r="H5804">
        <v>7.6</v>
      </c>
      <c r="I5804">
        <v>1.65</v>
      </c>
      <c r="J5804">
        <v>18</v>
      </c>
      <c r="L5804" t="s">
        <v>2709</v>
      </c>
      <c r="M5804">
        <v>54023290</v>
      </c>
      <c r="O5804" t="s">
        <v>19447</v>
      </c>
      <c r="P5804" t="s">
        <v>19899</v>
      </c>
      <c r="Q5804" t="s">
        <v>19900</v>
      </c>
      <c r="R5804" t="s">
        <v>19905</v>
      </c>
      <c r="S5804" t="s">
        <v>19906</v>
      </c>
      <c r="T5804" t="s">
        <v>19899</v>
      </c>
    </row>
    <row r="5805" spans="2:20" x14ac:dyDescent="0.25">
      <c r="B5805" t="s">
        <v>2709</v>
      </c>
      <c r="C5805">
        <v>54023310</v>
      </c>
      <c r="E5805" t="s">
        <v>19447</v>
      </c>
      <c r="F5805">
        <v>18</v>
      </c>
      <c r="G5805">
        <v>0</v>
      </c>
      <c r="H5805">
        <v>7.6</v>
      </c>
      <c r="I5805">
        <v>1.65</v>
      </c>
      <c r="J5805">
        <v>18</v>
      </c>
      <c r="L5805" t="s">
        <v>2709</v>
      </c>
      <c r="M5805">
        <v>54023310</v>
      </c>
      <c r="O5805" t="s">
        <v>19447</v>
      </c>
      <c r="P5805" t="s">
        <v>19899</v>
      </c>
      <c r="Q5805" t="s">
        <v>19900</v>
      </c>
      <c r="R5805" t="s">
        <v>19905</v>
      </c>
      <c r="S5805" t="s">
        <v>19906</v>
      </c>
      <c r="T5805" t="s">
        <v>19899</v>
      </c>
    </row>
    <row r="5806" spans="2:20" x14ac:dyDescent="0.25">
      <c r="B5806" t="s">
        <v>2709</v>
      </c>
      <c r="C5806">
        <v>54023320</v>
      </c>
      <c r="E5806" t="s">
        <v>19447</v>
      </c>
      <c r="F5806">
        <v>18</v>
      </c>
      <c r="G5806">
        <v>0</v>
      </c>
      <c r="H5806">
        <v>7.6</v>
      </c>
      <c r="I5806">
        <v>1.65</v>
      </c>
      <c r="J5806">
        <v>18</v>
      </c>
      <c r="L5806" t="s">
        <v>2709</v>
      </c>
      <c r="M5806">
        <v>54023320</v>
      </c>
      <c r="O5806" t="s">
        <v>19447</v>
      </c>
      <c r="P5806" t="s">
        <v>19899</v>
      </c>
      <c r="Q5806" t="s">
        <v>19900</v>
      </c>
      <c r="R5806" t="s">
        <v>19905</v>
      </c>
      <c r="S5806" t="s">
        <v>19906</v>
      </c>
      <c r="T5806" t="s">
        <v>19899</v>
      </c>
    </row>
    <row r="5807" spans="2:20" x14ac:dyDescent="0.25">
      <c r="B5807" t="s">
        <v>2709</v>
      </c>
      <c r="C5807">
        <v>54023390</v>
      </c>
      <c r="E5807" t="s">
        <v>19447</v>
      </c>
      <c r="F5807">
        <v>18</v>
      </c>
      <c r="G5807">
        <v>0</v>
      </c>
      <c r="H5807">
        <v>7.6</v>
      </c>
      <c r="I5807">
        <v>1.65</v>
      </c>
      <c r="J5807">
        <v>18</v>
      </c>
      <c r="L5807" t="s">
        <v>2709</v>
      </c>
      <c r="M5807">
        <v>54023390</v>
      </c>
      <c r="O5807" t="s">
        <v>19447</v>
      </c>
      <c r="P5807" t="s">
        <v>19899</v>
      </c>
      <c r="Q5807" t="s">
        <v>19900</v>
      </c>
      <c r="R5807" t="s">
        <v>19905</v>
      </c>
      <c r="S5807" t="s">
        <v>19906</v>
      </c>
      <c r="T5807" t="s">
        <v>19899</v>
      </c>
    </row>
    <row r="5808" spans="2:20" x14ac:dyDescent="0.25">
      <c r="B5808" t="s">
        <v>2709</v>
      </c>
      <c r="C5808">
        <v>54023400</v>
      </c>
      <c r="E5808" t="s">
        <v>19447</v>
      </c>
      <c r="F5808">
        <v>18</v>
      </c>
      <c r="G5808">
        <v>0</v>
      </c>
      <c r="H5808">
        <v>7.6</v>
      </c>
      <c r="I5808">
        <v>1.65</v>
      </c>
      <c r="J5808">
        <v>18</v>
      </c>
      <c r="L5808" t="s">
        <v>2709</v>
      </c>
      <c r="M5808">
        <v>54023400</v>
      </c>
      <c r="O5808" t="s">
        <v>19447</v>
      </c>
      <c r="P5808" t="s">
        <v>19899</v>
      </c>
      <c r="Q5808" t="s">
        <v>19900</v>
      </c>
      <c r="R5808" t="s">
        <v>19905</v>
      </c>
      <c r="S5808" t="s">
        <v>19906</v>
      </c>
      <c r="T5808" t="s">
        <v>19899</v>
      </c>
    </row>
    <row r="5809" spans="2:20" x14ac:dyDescent="0.25">
      <c r="B5809" t="s">
        <v>2709</v>
      </c>
      <c r="C5809">
        <v>54023900</v>
      </c>
      <c r="E5809" t="s">
        <v>19447</v>
      </c>
      <c r="F5809">
        <v>18</v>
      </c>
      <c r="G5809">
        <v>0</v>
      </c>
      <c r="H5809">
        <v>7.6</v>
      </c>
      <c r="I5809">
        <v>1.65</v>
      </c>
      <c r="J5809">
        <v>18</v>
      </c>
      <c r="L5809" t="s">
        <v>2709</v>
      </c>
      <c r="M5809">
        <v>54023900</v>
      </c>
      <c r="O5809" t="s">
        <v>19447</v>
      </c>
      <c r="P5809" t="s">
        <v>19899</v>
      </c>
      <c r="Q5809" t="s">
        <v>19900</v>
      </c>
      <c r="R5809" t="s">
        <v>19905</v>
      </c>
      <c r="S5809" t="s">
        <v>19906</v>
      </c>
      <c r="T5809" t="s">
        <v>19899</v>
      </c>
    </row>
    <row r="5810" spans="2:20" x14ac:dyDescent="0.25">
      <c r="B5810" t="s">
        <v>2709</v>
      </c>
      <c r="C5810">
        <v>54024400</v>
      </c>
      <c r="E5810" t="s">
        <v>19447</v>
      </c>
      <c r="F5810">
        <v>18</v>
      </c>
      <c r="G5810">
        <v>0</v>
      </c>
      <c r="H5810">
        <v>7.6</v>
      </c>
      <c r="I5810">
        <v>1.65</v>
      </c>
      <c r="J5810">
        <v>18</v>
      </c>
      <c r="L5810" t="s">
        <v>2709</v>
      </c>
      <c r="M5810">
        <v>54024400</v>
      </c>
      <c r="O5810" t="s">
        <v>19447</v>
      </c>
      <c r="P5810" t="s">
        <v>19899</v>
      </c>
      <c r="Q5810" t="s">
        <v>19900</v>
      </c>
      <c r="R5810" t="s">
        <v>19905</v>
      </c>
      <c r="S5810" t="s">
        <v>19906</v>
      </c>
      <c r="T5810" t="s">
        <v>19899</v>
      </c>
    </row>
    <row r="5811" spans="2:20" x14ac:dyDescent="0.25">
      <c r="B5811" t="s">
        <v>2709</v>
      </c>
      <c r="C5811">
        <v>54024510</v>
      </c>
      <c r="E5811" t="s">
        <v>19447</v>
      </c>
      <c r="F5811">
        <v>18</v>
      </c>
      <c r="G5811">
        <v>0</v>
      </c>
      <c r="H5811">
        <v>7.6</v>
      </c>
      <c r="I5811">
        <v>1.65</v>
      </c>
      <c r="J5811">
        <v>2</v>
      </c>
      <c r="L5811" t="s">
        <v>2709</v>
      </c>
      <c r="M5811">
        <v>54024510</v>
      </c>
      <c r="O5811" t="s">
        <v>19447</v>
      </c>
      <c r="P5811" t="s">
        <v>19899</v>
      </c>
      <c r="Q5811" t="s">
        <v>19900</v>
      </c>
      <c r="R5811" t="s">
        <v>19905</v>
      </c>
      <c r="S5811" t="s">
        <v>19906</v>
      </c>
      <c r="T5811" t="s">
        <v>19901</v>
      </c>
    </row>
    <row r="5812" spans="2:20" x14ac:dyDescent="0.25">
      <c r="B5812" t="s">
        <v>2709</v>
      </c>
      <c r="C5812">
        <v>54024520</v>
      </c>
      <c r="E5812" t="s">
        <v>19447</v>
      </c>
      <c r="F5812">
        <v>18</v>
      </c>
      <c r="G5812">
        <v>0</v>
      </c>
      <c r="H5812">
        <v>7.6</v>
      </c>
      <c r="I5812">
        <v>1.65</v>
      </c>
      <c r="J5812">
        <v>18</v>
      </c>
      <c r="L5812" t="s">
        <v>2709</v>
      </c>
      <c r="M5812">
        <v>54024520</v>
      </c>
      <c r="O5812" t="s">
        <v>19447</v>
      </c>
      <c r="P5812" t="s">
        <v>19899</v>
      </c>
      <c r="Q5812" t="s">
        <v>19900</v>
      </c>
      <c r="R5812" t="s">
        <v>19905</v>
      </c>
      <c r="S5812" t="s">
        <v>19906</v>
      </c>
      <c r="T5812" t="s">
        <v>19899</v>
      </c>
    </row>
    <row r="5813" spans="2:20" x14ac:dyDescent="0.25">
      <c r="B5813" t="s">
        <v>2709</v>
      </c>
      <c r="C5813">
        <v>54024590</v>
      </c>
      <c r="E5813" t="s">
        <v>19447</v>
      </c>
      <c r="F5813">
        <v>18</v>
      </c>
      <c r="G5813">
        <v>0</v>
      </c>
      <c r="H5813">
        <v>7.6</v>
      </c>
      <c r="I5813">
        <v>1.65</v>
      </c>
      <c r="J5813">
        <v>18</v>
      </c>
      <c r="L5813" t="s">
        <v>2709</v>
      </c>
      <c r="M5813">
        <v>54024590</v>
      </c>
      <c r="O5813" t="s">
        <v>19447</v>
      </c>
      <c r="P5813" t="s">
        <v>19899</v>
      </c>
      <c r="Q5813" t="s">
        <v>19900</v>
      </c>
      <c r="R5813" t="s">
        <v>19905</v>
      </c>
      <c r="S5813" t="s">
        <v>19906</v>
      </c>
      <c r="T5813" t="s">
        <v>19899</v>
      </c>
    </row>
    <row r="5814" spans="2:20" x14ac:dyDescent="0.25">
      <c r="B5814" t="s">
        <v>2709</v>
      </c>
      <c r="C5814">
        <v>54024600</v>
      </c>
      <c r="E5814" t="s">
        <v>19447</v>
      </c>
      <c r="F5814">
        <v>18</v>
      </c>
      <c r="G5814">
        <v>0</v>
      </c>
      <c r="H5814">
        <v>7.6</v>
      </c>
      <c r="I5814">
        <v>1.65</v>
      </c>
      <c r="J5814">
        <v>18</v>
      </c>
      <c r="L5814" t="s">
        <v>2709</v>
      </c>
      <c r="M5814">
        <v>54024600</v>
      </c>
      <c r="O5814" t="s">
        <v>19447</v>
      </c>
      <c r="P5814" t="s">
        <v>19899</v>
      </c>
      <c r="Q5814" t="s">
        <v>19900</v>
      </c>
      <c r="R5814" t="s">
        <v>19905</v>
      </c>
      <c r="S5814" t="s">
        <v>19906</v>
      </c>
      <c r="T5814" t="s">
        <v>19899</v>
      </c>
    </row>
    <row r="5815" spans="2:20" x14ac:dyDescent="0.25">
      <c r="B5815" t="s">
        <v>2709</v>
      </c>
      <c r="C5815">
        <v>54024700</v>
      </c>
      <c r="E5815" t="s">
        <v>19447</v>
      </c>
      <c r="F5815">
        <v>18</v>
      </c>
      <c r="G5815">
        <v>0</v>
      </c>
      <c r="H5815">
        <v>7.6</v>
      </c>
      <c r="I5815">
        <v>1.65</v>
      </c>
      <c r="J5815">
        <v>18</v>
      </c>
      <c r="L5815" t="s">
        <v>2709</v>
      </c>
      <c r="M5815">
        <v>54024700</v>
      </c>
      <c r="O5815" t="s">
        <v>19447</v>
      </c>
      <c r="P5815" t="s">
        <v>19899</v>
      </c>
      <c r="Q5815" t="s">
        <v>19900</v>
      </c>
      <c r="R5815" t="s">
        <v>19905</v>
      </c>
      <c r="S5815" t="s">
        <v>19906</v>
      </c>
      <c r="T5815" t="s">
        <v>19899</v>
      </c>
    </row>
    <row r="5816" spans="2:20" x14ac:dyDescent="0.25">
      <c r="B5816" t="s">
        <v>2709</v>
      </c>
      <c r="C5816">
        <v>54024800</v>
      </c>
      <c r="E5816" t="s">
        <v>19447</v>
      </c>
      <c r="F5816">
        <v>18</v>
      </c>
      <c r="G5816">
        <v>0</v>
      </c>
      <c r="H5816">
        <v>7.6</v>
      </c>
      <c r="I5816">
        <v>1.65</v>
      </c>
      <c r="J5816">
        <v>18</v>
      </c>
      <c r="L5816" t="s">
        <v>2709</v>
      </c>
      <c r="M5816">
        <v>54024800</v>
      </c>
      <c r="O5816" t="s">
        <v>19447</v>
      </c>
      <c r="P5816" t="s">
        <v>19899</v>
      </c>
      <c r="Q5816" t="s">
        <v>19900</v>
      </c>
      <c r="R5816" t="s">
        <v>19905</v>
      </c>
      <c r="S5816" t="s">
        <v>19906</v>
      </c>
      <c r="T5816" t="s">
        <v>19899</v>
      </c>
    </row>
    <row r="5817" spans="2:20" x14ac:dyDescent="0.25">
      <c r="B5817" t="s">
        <v>2709</v>
      </c>
      <c r="C5817">
        <v>54024910</v>
      </c>
      <c r="E5817" t="s">
        <v>19447</v>
      </c>
      <c r="F5817">
        <v>18</v>
      </c>
      <c r="G5817">
        <v>0</v>
      </c>
      <c r="H5817">
        <v>7.6</v>
      </c>
      <c r="I5817">
        <v>1.65</v>
      </c>
      <c r="J5817">
        <v>2</v>
      </c>
      <c r="L5817" t="s">
        <v>2709</v>
      </c>
      <c r="M5817">
        <v>54024910</v>
      </c>
      <c r="O5817" t="s">
        <v>19447</v>
      </c>
      <c r="P5817" t="s">
        <v>19899</v>
      </c>
      <c r="Q5817" t="s">
        <v>19900</v>
      </c>
      <c r="R5817" t="s">
        <v>19905</v>
      </c>
      <c r="S5817" t="s">
        <v>19906</v>
      </c>
      <c r="T5817" t="s">
        <v>19901</v>
      </c>
    </row>
    <row r="5818" spans="2:20" x14ac:dyDescent="0.25">
      <c r="B5818" t="s">
        <v>2709</v>
      </c>
      <c r="C5818">
        <v>54024990</v>
      </c>
      <c r="E5818" t="s">
        <v>19447</v>
      </c>
      <c r="F5818">
        <v>18</v>
      </c>
      <c r="G5818">
        <v>0</v>
      </c>
      <c r="H5818">
        <v>7.6</v>
      </c>
      <c r="I5818">
        <v>1.65</v>
      </c>
      <c r="J5818">
        <v>18</v>
      </c>
      <c r="L5818" t="s">
        <v>2709</v>
      </c>
      <c r="M5818">
        <v>54024990</v>
      </c>
      <c r="O5818" t="s">
        <v>19447</v>
      </c>
      <c r="P5818" t="s">
        <v>19899</v>
      </c>
      <c r="Q5818" t="s">
        <v>19900</v>
      </c>
      <c r="R5818" t="s">
        <v>19905</v>
      </c>
      <c r="S5818" t="s">
        <v>19906</v>
      </c>
      <c r="T5818" t="s">
        <v>19899</v>
      </c>
    </row>
    <row r="5819" spans="2:20" x14ac:dyDescent="0.25">
      <c r="B5819" t="s">
        <v>2709</v>
      </c>
      <c r="C5819">
        <v>54025110</v>
      </c>
      <c r="E5819" t="s">
        <v>19447</v>
      </c>
      <c r="F5819">
        <v>18</v>
      </c>
      <c r="G5819">
        <v>0</v>
      </c>
      <c r="H5819">
        <v>7.6</v>
      </c>
      <c r="I5819">
        <v>1.65</v>
      </c>
      <c r="J5819">
        <v>2</v>
      </c>
      <c r="L5819" t="s">
        <v>2709</v>
      </c>
      <c r="M5819">
        <v>54025110</v>
      </c>
      <c r="O5819" t="s">
        <v>19447</v>
      </c>
      <c r="P5819" t="s">
        <v>19899</v>
      </c>
      <c r="Q5819" t="s">
        <v>19900</v>
      </c>
      <c r="R5819" t="s">
        <v>19905</v>
      </c>
      <c r="S5819" t="s">
        <v>19906</v>
      </c>
      <c r="T5819" t="s">
        <v>19901</v>
      </c>
    </row>
    <row r="5820" spans="2:20" x14ac:dyDescent="0.25">
      <c r="B5820" t="s">
        <v>2709</v>
      </c>
      <c r="C5820">
        <v>54025190</v>
      </c>
      <c r="E5820" t="s">
        <v>19447</v>
      </c>
      <c r="F5820">
        <v>18</v>
      </c>
      <c r="G5820">
        <v>0</v>
      </c>
      <c r="H5820">
        <v>7.6</v>
      </c>
      <c r="I5820">
        <v>1.65</v>
      </c>
      <c r="J5820">
        <v>18</v>
      </c>
      <c r="L5820" t="s">
        <v>2709</v>
      </c>
      <c r="M5820">
        <v>54025190</v>
      </c>
      <c r="O5820" t="s">
        <v>19447</v>
      </c>
      <c r="P5820" t="s">
        <v>19899</v>
      </c>
      <c r="Q5820" t="s">
        <v>19900</v>
      </c>
      <c r="R5820" t="s">
        <v>19905</v>
      </c>
      <c r="S5820" t="s">
        <v>19906</v>
      </c>
      <c r="T5820" t="s">
        <v>19899</v>
      </c>
    </row>
    <row r="5821" spans="2:20" x14ac:dyDescent="0.25">
      <c r="B5821" t="s">
        <v>2709</v>
      </c>
      <c r="C5821">
        <v>54025200</v>
      </c>
      <c r="E5821" t="s">
        <v>19447</v>
      </c>
      <c r="F5821">
        <v>18</v>
      </c>
      <c r="G5821">
        <v>0</v>
      </c>
      <c r="H5821">
        <v>7.6</v>
      </c>
      <c r="I5821">
        <v>1.65</v>
      </c>
      <c r="J5821">
        <v>18</v>
      </c>
      <c r="L5821" t="s">
        <v>2709</v>
      </c>
      <c r="M5821">
        <v>54025200</v>
      </c>
      <c r="O5821" t="s">
        <v>19447</v>
      </c>
      <c r="P5821" t="s">
        <v>19899</v>
      </c>
      <c r="Q5821" t="s">
        <v>19900</v>
      </c>
      <c r="R5821" t="s">
        <v>19905</v>
      </c>
      <c r="S5821" t="s">
        <v>19906</v>
      </c>
      <c r="T5821" t="s">
        <v>19899</v>
      </c>
    </row>
    <row r="5822" spans="2:20" x14ac:dyDescent="0.25">
      <c r="B5822" t="s">
        <v>2709</v>
      </c>
      <c r="C5822">
        <v>54025900</v>
      </c>
      <c r="E5822" t="s">
        <v>19447</v>
      </c>
      <c r="F5822">
        <v>18</v>
      </c>
      <c r="G5822">
        <v>0</v>
      </c>
      <c r="H5822">
        <v>7.6</v>
      </c>
      <c r="I5822">
        <v>1.65</v>
      </c>
      <c r="J5822">
        <v>18</v>
      </c>
      <c r="L5822" t="s">
        <v>2709</v>
      </c>
      <c r="M5822">
        <v>54025900</v>
      </c>
      <c r="O5822" t="s">
        <v>19447</v>
      </c>
      <c r="P5822" t="s">
        <v>19899</v>
      </c>
      <c r="Q5822" t="s">
        <v>19900</v>
      </c>
      <c r="R5822" t="s">
        <v>19905</v>
      </c>
      <c r="S5822" t="s">
        <v>19906</v>
      </c>
      <c r="T5822" t="s">
        <v>19899</v>
      </c>
    </row>
    <row r="5823" spans="2:20" x14ac:dyDescent="0.25">
      <c r="B5823" t="s">
        <v>2709</v>
      </c>
      <c r="C5823">
        <v>54026110</v>
      </c>
      <c r="E5823" t="s">
        <v>19447</v>
      </c>
      <c r="F5823">
        <v>18</v>
      </c>
      <c r="G5823">
        <v>0</v>
      </c>
      <c r="H5823">
        <v>7.6</v>
      </c>
      <c r="I5823">
        <v>1.65</v>
      </c>
      <c r="J5823">
        <v>2</v>
      </c>
      <c r="L5823" t="s">
        <v>2709</v>
      </c>
      <c r="M5823">
        <v>54026110</v>
      </c>
      <c r="O5823" t="s">
        <v>19447</v>
      </c>
      <c r="P5823" t="s">
        <v>19899</v>
      </c>
      <c r="Q5823" t="s">
        <v>19900</v>
      </c>
      <c r="R5823" t="s">
        <v>19905</v>
      </c>
      <c r="S5823" t="s">
        <v>19906</v>
      </c>
      <c r="T5823" t="s">
        <v>19901</v>
      </c>
    </row>
    <row r="5824" spans="2:20" x14ac:dyDescent="0.25">
      <c r="B5824" t="s">
        <v>2709</v>
      </c>
      <c r="C5824">
        <v>54026190</v>
      </c>
      <c r="E5824" t="s">
        <v>19447</v>
      </c>
      <c r="F5824">
        <v>18</v>
      </c>
      <c r="G5824">
        <v>0</v>
      </c>
      <c r="H5824">
        <v>7.6</v>
      </c>
      <c r="I5824">
        <v>1.65</v>
      </c>
      <c r="J5824">
        <v>18</v>
      </c>
      <c r="L5824" t="s">
        <v>2709</v>
      </c>
      <c r="M5824">
        <v>54026190</v>
      </c>
      <c r="O5824" t="s">
        <v>19447</v>
      </c>
      <c r="P5824" t="s">
        <v>19899</v>
      </c>
      <c r="Q5824" t="s">
        <v>19900</v>
      </c>
      <c r="R5824" t="s">
        <v>19905</v>
      </c>
      <c r="S5824" t="s">
        <v>19906</v>
      </c>
      <c r="T5824" t="s">
        <v>19899</v>
      </c>
    </row>
    <row r="5825" spans="2:20" x14ac:dyDescent="0.25">
      <c r="B5825" t="s">
        <v>2709</v>
      </c>
      <c r="C5825">
        <v>54026200</v>
      </c>
      <c r="E5825" t="s">
        <v>19447</v>
      </c>
      <c r="F5825">
        <v>18</v>
      </c>
      <c r="G5825">
        <v>0</v>
      </c>
      <c r="H5825">
        <v>7.6</v>
      </c>
      <c r="I5825">
        <v>1.65</v>
      </c>
      <c r="J5825">
        <v>18</v>
      </c>
      <c r="L5825" t="s">
        <v>2709</v>
      </c>
      <c r="M5825">
        <v>54026200</v>
      </c>
      <c r="O5825" t="s">
        <v>19447</v>
      </c>
      <c r="P5825" t="s">
        <v>19899</v>
      </c>
      <c r="Q5825" t="s">
        <v>19900</v>
      </c>
      <c r="R5825" t="s">
        <v>19905</v>
      </c>
      <c r="S5825" t="s">
        <v>19906</v>
      </c>
      <c r="T5825" t="s">
        <v>19899</v>
      </c>
    </row>
    <row r="5826" spans="2:20" x14ac:dyDescent="0.25">
      <c r="B5826" t="s">
        <v>2709</v>
      </c>
      <c r="C5826">
        <v>54026900</v>
      </c>
      <c r="E5826" t="s">
        <v>19447</v>
      </c>
      <c r="F5826">
        <v>18</v>
      </c>
      <c r="G5826">
        <v>0</v>
      </c>
      <c r="H5826">
        <v>7.6</v>
      </c>
      <c r="I5826">
        <v>1.65</v>
      </c>
      <c r="J5826">
        <v>18</v>
      </c>
      <c r="L5826" t="s">
        <v>2709</v>
      </c>
      <c r="M5826">
        <v>54026900</v>
      </c>
      <c r="O5826" t="s">
        <v>19447</v>
      </c>
      <c r="P5826" t="s">
        <v>19899</v>
      </c>
      <c r="Q5826" t="s">
        <v>19900</v>
      </c>
      <c r="R5826" t="s">
        <v>19905</v>
      </c>
      <c r="S5826" t="s">
        <v>19906</v>
      </c>
      <c r="T5826" t="s">
        <v>19899</v>
      </c>
    </row>
    <row r="5827" spans="2:20" x14ac:dyDescent="0.25">
      <c r="B5827" t="s">
        <v>2709</v>
      </c>
      <c r="C5827">
        <v>54031000</v>
      </c>
      <c r="E5827" t="s">
        <v>19447</v>
      </c>
      <c r="F5827">
        <v>18</v>
      </c>
      <c r="G5827">
        <v>0</v>
      </c>
      <c r="H5827">
        <v>7.6</v>
      </c>
      <c r="I5827">
        <v>1.65</v>
      </c>
      <c r="J5827">
        <v>18</v>
      </c>
      <c r="L5827" t="s">
        <v>2709</v>
      </c>
      <c r="M5827">
        <v>54031000</v>
      </c>
      <c r="O5827" t="s">
        <v>19447</v>
      </c>
      <c r="P5827" t="s">
        <v>19899</v>
      </c>
      <c r="Q5827" t="s">
        <v>19900</v>
      </c>
      <c r="R5827" t="s">
        <v>19905</v>
      </c>
      <c r="S5827" t="s">
        <v>19906</v>
      </c>
      <c r="T5827" t="s">
        <v>19899</v>
      </c>
    </row>
    <row r="5828" spans="2:20" x14ac:dyDescent="0.25">
      <c r="B5828" t="s">
        <v>2709</v>
      </c>
      <c r="C5828">
        <v>54033100</v>
      </c>
      <c r="E5828" t="s">
        <v>19447</v>
      </c>
      <c r="F5828">
        <v>18</v>
      </c>
      <c r="G5828">
        <v>0</v>
      </c>
      <c r="H5828">
        <v>7.6</v>
      </c>
      <c r="I5828">
        <v>1.65</v>
      </c>
      <c r="J5828">
        <v>18</v>
      </c>
      <c r="L5828" t="s">
        <v>2709</v>
      </c>
      <c r="M5828">
        <v>54033100</v>
      </c>
      <c r="O5828" t="s">
        <v>19447</v>
      </c>
      <c r="P5828" t="s">
        <v>19899</v>
      </c>
      <c r="Q5828" t="s">
        <v>19900</v>
      </c>
      <c r="R5828" t="s">
        <v>19905</v>
      </c>
      <c r="S5828" t="s">
        <v>19906</v>
      </c>
      <c r="T5828" t="s">
        <v>19899</v>
      </c>
    </row>
    <row r="5829" spans="2:20" x14ac:dyDescent="0.25">
      <c r="B5829" t="s">
        <v>2709</v>
      </c>
      <c r="C5829">
        <v>54033200</v>
      </c>
      <c r="E5829" t="s">
        <v>19447</v>
      </c>
      <c r="F5829">
        <v>18</v>
      </c>
      <c r="G5829">
        <v>0</v>
      </c>
      <c r="H5829">
        <v>7.6</v>
      </c>
      <c r="I5829">
        <v>1.65</v>
      </c>
      <c r="J5829">
        <v>18</v>
      </c>
      <c r="L5829" t="s">
        <v>2709</v>
      </c>
      <c r="M5829">
        <v>54033200</v>
      </c>
      <c r="O5829" t="s">
        <v>19447</v>
      </c>
      <c r="P5829" t="s">
        <v>19899</v>
      </c>
      <c r="Q5829" t="s">
        <v>19900</v>
      </c>
      <c r="R5829" t="s">
        <v>19905</v>
      </c>
      <c r="S5829" t="s">
        <v>19906</v>
      </c>
      <c r="T5829" t="s">
        <v>19899</v>
      </c>
    </row>
    <row r="5830" spans="2:20" x14ac:dyDescent="0.25">
      <c r="B5830" t="s">
        <v>2709</v>
      </c>
      <c r="C5830">
        <v>54033300</v>
      </c>
      <c r="E5830" t="s">
        <v>19447</v>
      </c>
      <c r="F5830">
        <v>18</v>
      </c>
      <c r="G5830">
        <v>0</v>
      </c>
      <c r="H5830">
        <v>7.6</v>
      </c>
      <c r="I5830">
        <v>1.65</v>
      </c>
      <c r="J5830">
        <v>18</v>
      </c>
      <c r="L5830" t="s">
        <v>2709</v>
      </c>
      <c r="M5830">
        <v>54033300</v>
      </c>
      <c r="O5830" t="s">
        <v>19447</v>
      </c>
      <c r="P5830" t="s">
        <v>19899</v>
      </c>
      <c r="Q5830" t="s">
        <v>19900</v>
      </c>
      <c r="R5830" t="s">
        <v>19905</v>
      </c>
      <c r="S5830" t="s">
        <v>19906</v>
      </c>
      <c r="T5830" t="s">
        <v>19899</v>
      </c>
    </row>
    <row r="5831" spans="2:20" x14ac:dyDescent="0.25">
      <c r="B5831" t="s">
        <v>2709</v>
      </c>
      <c r="C5831">
        <v>54033900</v>
      </c>
      <c r="E5831" t="s">
        <v>19447</v>
      </c>
      <c r="F5831">
        <v>18</v>
      </c>
      <c r="G5831">
        <v>0</v>
      </c>
      <c r="H5831">
        <v>7.6</v>
      </c>
      <c r="I5831">
        <v>1.65</v>
      </c>
      <c r="J5831">
        <v>18</v>
      </c>
      <c r="L5831" t="s">
        <v>2709</v>
      </c>
      <c r="M5831">
        <v>54033900</v>
      </c>
      <c r="O5831" t="s">
        <v>19447</v>
      </c>
      <c r="P5831" t="s">
        <v>19899</v>
      </c>
      <c r="Q5831" t="s">
        <v>19900</v>
      </c>
      <c r="R5831" t="s">
        <v>19905</v>
      </c>
      <c r="S5831" t="s">
        <v>19906</v>
      </c>
      <c r="T5831" t="s">
        <v>19899</v>
      </c>
    </row>
    <row r="5832" spans="2:20" x14ac:dyDescent="0.25">
      <c r="B5832" t="s">
        <v>2709</v>
      </c>
      <c r="C5832">
        <v>54034100</v>
      </c>
      <c r="E5832" t="s">
        <v>19447</v>
      </c>
      <c r="F5832">
        <v>18</v>
      </c>
      <c r="G5832">
        <v>0</v>
      </c>
      <c r="H5832">
        <v>7.6</v>
      </c>
      <c r="I5832">
        <v>1.65</v>
      </c>
      <c r="J5832">
        <v>18</v>
      </c>
      <c r="L5832" t="s">
        <v>2709</v>
      </c>
      <c r="M5832">
        <v>54034100</v>
      </c>
      <c r="O5832" t="s">
        <v>19447</v>
      </c>
      <c r="P5832" t="s">
        <v>19899</v>
      </c>
      <c r="Q5832" t="s">
        <v>19900</v>
      </c>
      <c r="R5832" t="s">
        <v>19905</v>
      </c>
      <c r="S5832" t="s">
        <v>19906</v>
      </c>
      <c r="T5832" t="s">
        <v>19899</v>
      </c>
    </row>
    <row r="5833" spans="2:20" x14ac:dyDescent="0.25">
      <c r="B5833" t="s">
        <v>2709</v>
      </c>
      <c r="C5833">
        <v>54034200</v>
      </c>
      <c r="E5833" t="s">
        <v>19447</v>
      </c>
      <c r="F5833">
        <v>18</v>
      </c>
      <c r="G5833">
        <v>0</v>
      </c>
      <c r="H5833">
        <v>7.6</v>
      </c>
      <c r="I5833">
        <v>1.65</v>
      </c>
      <c r="J5833">
        <v>18</v>
      </c>
      <c r="L5833" t="s">
        <v>2709</v>
      </c>
      <c r="M5833">
        <v>54034200</v>
      </c>
      <c r="O5833" t="s">
        <v>19447</v>
      </c>
      <c r="P5833" t="s">
        <v>19899</v>
      </c>
      <c r="Q5833" t="s">
        <v>19900</v>
      </c>
      <c r="R5833" t="s">
        <v>19905</v>
      </c>
      <c r="S5833" t="s">
        <v>19906</v>
      </c>
      <c r="T5833" t="s">
        <v>19899</v>
      </c>
    </row>
    <row r="5834" spans="2:20" x14ac:dyDescent="0.25">
      <c r="B5834" t="s">
        <v>2709</v>
      </c>
      <c r="C5834">
        <v>54034900</v>
      </c>
      <c r="E5834" t="s">
        <v>19447</v>
      </c>
      <c r="F5834">
        <v>18</v>
      </c>
      <c r="G5834">
        <v>0</v>
      </c>
      <c r="H5834">
        <v>7.6</v>
      </c>
      <c r="I5834">
        <v>1.65</v>
      </c>
      <c r="J5834">
        <v>18</v>
      </c>
      <c r="L5834" t="s">
        <v>2709</v>
      </c>
      <c r="M5834">
        <v>54034900</v>
      </c>
      <c r="O5834" t="s">
        <v>19447</v>
      </c>
      <c r="P5834" t="s">
        <v>19899</v>
      </c>
      <c r="Q5834" t="s">
        <v>19900</v>
      </c>
      <c r="R5834" t="s">
        <v>19905</v>
      </c>
      <c r="S5834" t="s">
        <v>19906</v>
      </c>
      <c r="T5834" t="s">
        <v>19899</v>
      </c>
    </row>
    <row r="5835" spans="2:20" x14ac:dyDescent="0.25">
      <c r="B5835" t="s">
        <v>2709</v>
      </c>
      <c r="C5835">
        <v>54041100</v>
      </c>
      <c r="E5835" t="s">
        <v>19447</v>
      </c>
      <c r="F5835">
        <v>18</v>
      </c>
      <c r="G5835">
        <v>0</v>
      </c>
      <c r="H5835">
        <v>7.6</v>
      </c>
      <c r="I5835">
        <v>1.65</v>
      </c>
      <c r="J5835">
        <v>18</v>
      </c>
      <c r="L5835" t="s">
        <v>2709</v>
      </c>
      <c r="M5835">
        <v>54041100</v>
      </c>
      <c r="O5835" t="s">
        <v>19447</v>
      </c>
      <c r="P5835" t="s">
        <v>19899</v>
      </c>
      <c r="Q5835" t="s">
        <v>19900</v>
      </c>
      <c r="R5835" t="s">
        <v>19905</v>
      </c>
      <c r="S5835" t="s">
        <v>19906</v>
      </c>
      <c r="T5835" t="s">
        <v>19899</v>
      </c>
    </row>
    <row r="5836" spans="2:20" x14ac:dyDescent="0.25">
      <c r="B5836" t="s">
        <v>2709</v>
      </c>
      <c r="C5836">
        <v>54041200</v>
      </c>
      <c r="E5836" t="s">
        <v>19447</v>
      </c>
      <c r="F5836">
        <v>18</v>
      </c>
      <c r="G5836">
        <v>0</v>
      </c>
      <c r="H5836">
        <v>7.6</v>
      </c>
      <c r="I5836">
        <v>1.65</v>
      </c>
      <c r="J5836">
        <v>18</v>
      </c>
      <c r="L5836" t="s">
        <v>2709</v>
      </c>
      <c r="M5836">
        <v>54041200</v>
      </c>
      <c r="O5836" t="s">
        <v>19447</v>
      </c>
      <c r="P5836" t="s">
        <v>19899</v>
      </c>
      <c r="Q5836" t="s">
        <v>19900</v>
      </c>
      <c r="R5836" t="s">
        <v>19905</v>
      </c>
      <c r="S5836" t="s">
        <v>19906</v>
      </c>
      <c r="T5836" t="s">
        <v>19899</v>
      </c>
    </row>
    <row r="5837" spans="2:20" x14ac:dyDescent="0.25">
      <c r="B5837" t="s">
        <v>2709</v>
      </c>
      <c r="C5837">
        <v>54041911</v>
      </c>
      <c r="E5837" t="s">
        <v>19447</v>
      </c>
      <c r="F5837">
        <v>18</v>
      </c>
      <c r="G5837">
        <v>0</v>
      </c>
      <c r="H5837">
        <v>7.6</v>
      </c>
      <c r="I5837">
        <v>1.65</v>
      </c>
      <c r="J5837">
        <v>2</v>
      </c>
      <c r="L5837" t="s">
        <v>2709</v>
      </c>
      <c r="M5837">
        <v>54041911</v>
      </c>
      <c r="O5837" t="s">
        <v>19447</v>
      </c>
      <c r="P5837" t="s">
        <v>19899</v>
      </c>
      <c r="Q5837" t="s">
        <v>19900</v>
      </c>
      <c r="R5837" t="s">
        <v>19905</v>
      </c>
      <c r="S5837" t="s">
        <v>19906</v>
      </c>
      <c r="T5837" t="s">
        <v>19901</v>
      </c>
    </row>
    <row r="5838" spans="2:20" x14ac:dyDescent="0.25">
      <c r="B5838" t="s">
        <v>2709</v>
      </c>
      <c r="C5838">
        <v>54041919</v>
      </c>
      <c r="E5838" t="s">
        <v>19447</v>
      </c>
      <c r="F5838">
        <v>18</v>
      </c>
      <c r="G5838">
        <v>0</v>
      </c>
      <c r="H5838">
        <v>7.6</v>
      </c>
      <c r="I5838">
        <v>1.65</v>
      </c>
      <c r="J5838">
        <v>18</v>
      </c>
      <c r="L5838" t="s">
        <v>2709</v>
      </c>
      <c r="M5838">
        <v>54041919</v>
      </c>
      <c r="O5838" t="s">
        <v>19447</v>
      </c>
      <c r="P5838" t="s">
        <v>19899</v>
      </c>
      <c r="Q5838" t="s">
        <v>19900</v>
      </c>
      <c r="R5838" t="s">
        <v>19905</v>
      </c>
      <c r="S5838" t="s">
        <v>19906</v>
      </c>
      <c r="T5838" t="s">
        <v>19899</v>
      </c>
    </row>
    <row r="5839" spans="2:20" x14ac:dyDescent="0.25">
      <c r="B5839" t="s">
        <v>2709</v>
      </c>
      <c r="C5839">
        <v>54041990</v>
      </c>
      <c r="E5839" t="s">
        <v>19447</v>
      </c>
      <c r="F5839">
        <v>18</v>
      </c>
      <c r="G5839">
        <v>0</v>
      </c>
      <c r="H5839">
        <v>7.6</v>
      </c>
      <c r="I5839">
        <v>1.65</v>
      </c>
      <c r="J5839">
        <v>18</v>
      </c>
      <c r="L5839" t="s">
        <v>2709</v>
      </c>
      <c r="M5839">
        <v>54041990</v>
      </c>
      <c r="O5839" t="s">
        <v>19447</v>
      </c>
      <c r="P5839" t="s">
        <v>19899</v>
      </c>
      <c r="Q5839" t="s">
        <v>19900</v>
      </c>
      <c r="R5839" t="s">
        <v>19905</v>
      </c>
      <c r="S5839" t="s">
        <v>19906</v>
      </c>
      <c r="T5839" t="s">
        <v>19899</v>
      </c>
    </row>
    <row r="5840" spans="2:20" x14ac:dyDescent="0.25">
      <c r="B5840" t="s">
        <v>2709</v>
      </c>
      <c r="C5840">
        <v>54049000</v>
      </c>
      <c r="E5840" t="s">
        <v>19447</v>
      </c>
      <c r="F5840">
        <v>18</v>
      </c>
      <c r="G5840">
        <v>0</v>
      </c>
      <c r="H5840">
        <v>7.6</v>
      </c>
      <c r="I5840">
        <v>1.65</v>
      </c>
      <c r="J5840">
        <v>18</v>
      </c>
      <c r="L5840" t="s">
        <v>2709</v>
      </c>
      <c r="M5840">
        <v>54049000</v>
      </c>
      <c r="O5840" t="s">
        <v>19447</v>
      </c>
      <c r="P5840" t="s">
        <v>19899</v>
      </c>
      <c r="Q5840" t="s">
        <v>19900</v>
      </c>
      <c r="R5840" t="s">
        <v>19905</v>
      </c>
      <c r="S5840" t="s">
        <v>19906</v>
      </c>
      <c r="T5840" t="s">
        <v>19899</v>
      </c>
    </row>
    <row r="5841" spans="2:20" x14ac:dyDescent="0.25">
      <c r="B5841" t="s">
        <v>2709</v>
      </c>
      <c r="C5841">
        <v>54050000</v>
      </c>
      <c r="E5841" t="s">
        <v>19447</v>
      </c>
      <c r="F5841">
        <v>18</v>
      </c>
      <c r="G5841">
        <v>0</v>
      </c>
      <c r="H5841">
        <v>7.6</v>
      </c>
      <c r="I5841">
        <v>1.65</v>
      </c>
      <c r="J5841">
        <v>18</v>
      </c>
      <c r="L5841" t="s">
        <v>2709</v>
      </c>
      <c r="M5841">
        <v>54050000</v>
      </c>
      <c r="O5841" t="s">
        <v>19447</v>
      </c>
      <c r="P5841" t="s">
        <v>19899</v>
      </c>
      <c r="Q5841" t="s">
        <v>19900</v>
      </c>
      <c r="R5841" t="s">
        <v>19905</v>
      </c>
      <c r="S5841" t="s">
        <v>19906</v>
      </c>
      <c r="T5841" t="s">
        <v>19899</v>
      </c>
    </row>
    <row r="5842" spans="2:20" x14ac:dyDescent="0.25">
      <c r="B5842" t="s">
        <v>2709</v>
      </c>
      <c r="C5842">
        <v>54060010</v>
      </c>
      <c r="E5842" t="s">
        <v>19447</v>
      </c>
      <c r="F5842">
        <v>18</v>
      </c>
      <c r="G5842">
        <v>0</v>
      </c>
      <c r="H5842">
        <v>7.6</v>
      </c>
      <c r="I5842">
        <v>1.65</v>
      </c>
      <c r="J5842">
        <v>18</v>
      </c>
      <c r="L5842" t="s">
        <v>2709</v>
      </c>
      <c r="M5842">
        <v>54060010</v>
      </c>
      <c r="O5842" t="s">
        <v>19447</v>
      </c>
      <c r="P5842" t="s">
        <v>19899</v>
      </c>
      <c r="Q5842" t="s">
        <v>19900</v>
      </c>
      <c r="R5842" t="s">
        <v>19905</v>
      </c>
      <c r="S5842" t="s">
        <v>19906</v>
      </c>
      <c r="T5842" t="s">
        <v>19899</v>
      </c>
    </row>
    <row r="5843" spans="2:20" x14ac:dyDescent="0.25">
      <c r="B5843" t="s">
        <v>2709</v>
      </c>
      <c r="C5843">
        <v>54060020</v>
      </c>
      <c r="E5843" t="s">
        <v>19447</v>
      </c>
      <c r="F5843">
        <v>18</v>
      </c>
      <c r="G5843">
        <v>0</v>
      </c>
      <c r="H5843">
        <v>7.6</v>
      </c>
      <c r="I5843">
        <v>1.65</v>
      </c>
      <c r="J5843">
        <v>18</v>
      </c>
      <c r="L5843" t="s">
        <v>2709</v>
      </c>
      <c r="M5843">
        <v>54060020</v>
      </c>
      <c r="O5843" t="s">
        <v>19447</v>
      </c>
      <c r="P5843" t="s">
        <v>19899</v>
      </c>
      <c r="Q5843" t="s">
        <v>19900</v>
      </c>
      <c r="R5843" t="s">
        <v>19905</v>
      </c>
      <c r="S5843" t="s">
        <v>19906</v>
      </c>
      <c r="T5843" t="s">
        <v>19899</v>
      </c>
    </row>
    <row r="5844" spans="2:20" x14ac:dyDescent="0.25">
      <c r="B5844" t="s">
        <v>2709</v>
      </c>
      <c r="C5844">
        <v>54071011</v>
      </c>
      <c r="E5844" t="s">
        <v>19447</v>
      </c>
      <c r="F5844">
        <v>18</v>
      </c>
      <c r="G5844">
        <v>0</v>
      </c>
      <c r="H5844">
        <v>7.6</v>
      </c>
      <c r="I5844">
        <v>1.65</v>
      </c>
      <c r="J5844">
        <v>2</v>
      </c>
      <c r="L5844" t="s">
        <v>2709</v>
      </c>
      <c r="M5844">
        <v>54071011</v>
      </c>
      <c r="O5844" t="s">
        <v>19447</v>
      </c>
      <c r="P5844" t="s">
        <v>19899</v>
      </c>
      <c r="Q5844" t="s">
        <v>19900</v>
      </c>
      <c r="R5844" t="s">
        <v>19905</v>
      </c>
      <c r="S5844" t="s">
        <v>19906</v>
      </c>
      <c r="T5844" t="s">
        <v>19901</v>
      </c>
    </row>
    <row r="5845" spans="2:20" x14ac:dyDescent="0.25">
      <c r="B5845" t="s">
        <v>2709</v>
      </c>
      <c r="C5845">
        <v>54071019</v>
      </c>
      <c r="E5845" t="s">
        <v>19447</v>
      </c>
      <c r="F5845">
        <v>18</v>
      </c>
      <c r="G5845">
        <v>0</v>
      </c>
      <c r="H5845">
        <v>7.6</v>
      </c>
      <c r="I5845">
        <v>1.65</v>
      </c>
      <c r="J5845">
        <v>26</v>
      </c>
      <c r="L5845" t="s">
        <v>2709</v>
      </c>
      <c r="M5845">
        <v>54071019</v>
      </c>
      <c r="O5845" t="s">
        <v>19447</v>
      </c>
      <c r="P5845" t="s">
        <v>19899</v>
      </c>
      <c r="Q5845" t="s">
        <v>19900</v>
      </c>
      <c r="R5845" t="s">
        <v>19905</v>
      </c>
      <c r="S5845" t="s">
        <v>19906</v>
      </c>
      <c r="T5845" t="s">
        <v>20108</v>
      </c>
    </row>
    <row r="5846" spans="2:20" x14ac:dyDescent="0.25">
      <c r="B5846" t="s">
        <v>2709</v>
      </c>
      <c r="C5846">
        <v>54071021</v>
      </c>
      <c r="E5846" t="s">
        <v>19447</v>
      </c>
      <c r="F5846">
        <v>18</v>
      </c>
      <c r="G5846">
        <v>0</v>
      </c>
      <c r="H5846">
        <v>7.6</v>
      </c>
      <c r="I5846">
        <v>1.65</v>
      </c>
      <c r="J5846">
        <v>2</v>
      </c>
      <c r="L5846" t="s">
        <v>2709</v>
      </c>
      <c r="M5846">
        <v>54071021</v>
      </c>
      <c r="O5846" t="s">
        <v>19447</v>
      </c>
      <c r="P5846" t="s">
        <v>19899</v>
      </c>
      <c r="Q5846" t="s">
        <v>19900</v>
      </c>
      <c r="R5846" t="s">
        <v>19905</v>
      </c>
      <c r="S5846" t="s">
        <v>19906</v>
      </c>
      <c r="T5846" t="s">
        <v>19901</v>
      </c>
    </row>
    <row r="5847" spans="2:20" x14ac:dyDescent="0.25">
      <c r="B5847" t="s">
        <v>2709</v>
      </c>
      <c r="C5847">
        <v>54071029</v>
      </c>
      <c r="E5847" t="s">
        <v>19447</v>
      </c>
      <c r="F5847">
        <v>18</v>
      </c>
      <c r="G5847">
        <v>0</v>
      </c>
      <c r="H5847">
        <v>7.6</v>
      </c>
      <c r="I5847">
        <v>1.65</v>
      </c>
      <c r="J5847">
        <v>26</v>
      </c>
      <c r="L5847" t="s">
        <v>2709</v>
      </c>
      <c r="M5847">
        <v>54071029</v>
      </c>
      <c r="O5847" t="s">
        <v>19447</v>
      </c>
      <c r="P5847" t="s">
        <v>19899</v>
      </c>
      <c r="Q5847" t="s">
        <v>19900</v>
      </c>
      <c r="R5847" t="s">
        <v>19905</v>
      </c>
      <c r="S5847" t="s">
        <v>19906</v>
      </c>
      <c r="T5847" t="s">
        <v>20108</v>
      </c>
    </row>
    <row r="5848" spans="2:20" x14ac:dyDescent="0.25">
      <c r="B5848" t="s">
        <v>2709</v>
      </c>
      <c r="C5848">
        <v>54072000</v>
      </c>
      <c r="E5848" t="s">
        <v>19447</v>
      </c>
      <c r="F5848">
        <v>18</v>
      </c>
      <c r="G5848">
        <v>0</v>
      </c>
      <c r="H5848">
        <v>7.6</v>
      </c>
      <c r="I5848">
        <v>1.65</v>
      </c>
      <c r="J5848">
        <v>26</v>
      </c>
      <c r="L5848" t="s">
        <v>2709</v>
      </c>
      <c r="M5848">
        <v>54072000</v>
      </c>
      <c r="O5848" t="s">
        <v>19447</v>
      </c>
      <c r="P5848" t="s">
        <v>19899</v>
      </c>
      <c r="Q5848" t="s">
        <v>19900</v>
      </c>
      <c r="R5848" t="s">
        <v>19905</v>
      </c>
      <c r="S5848" t="s">
        <v>19906</v>
      </c>
      <c r="T5848" t="s">
        <v>20108</v>
      </c>
    </row>
    <row r="5849" spans="2:20" x14ac:dyDescent="0.25">
      <c r="B5849" t="s">
        <v>2709</v>
      </c>
      <c r="C5849">
        <v>54073000</v>
      </c>
      <c r="E5849" t="s">
        <v>19447</v>
      </c>
      <c r="F5849">
        <v>18</v>
      </c>
      <c r="G5849">
        <v>0</v>
      </c>
      <c r="H5849">
        <v>7.6</v>
      </c>
      <c r="I5849">
        <v>1.65</v>
      </c>
      <c r="J5849">
        <v>26</v>
      </c>
      <c r="L5849" t="s">
        <v>2709</v>
      </c>
      <c r="M5849">
        <v>54073000</v>
      </c>
      <c r="O5849" t="s">
        <v>19447</v>
      </c>
      <c r="P5849" t="s">
        <v>19899</v>
      </c>
      <c r="Q5849" t="s">
        <v>19900</v>
      </c>
      <c r="R5849" t="s">
        <v>19905</v>
      </c>
      <c r="S5849" t="s">
        <v>19906</v>
      </c>
      <c r="T5849" t="s">
        <v>20108</v>
      </c>
    </row>
    <row r="5850" spans="2:20" x14ac:dyDescent="0.25">
      <c r="B5850" t="s">
        <v>2709</v>
      </c>
      <c r="C5850">
        <v>54074100</v>
      </c>
      <c r="E5850" t="s">
        <v>19447</v>
      </c>
      <c r="F5850">
        <v>18</v>
      </c>
      <c r="G5850">
        <v>0</v>
      </c>
      <c r="H5850">
        <v>7.6</v>
      </c>
      <c r="I5850">
        <v>1.65</v>
      </c>
      <c r="J5850">
        <v>26</v>
      </c>
      <c r="L5850" t="s">
        <v>2709</v>
      </c>
      <c r="M5850">
        <v>54074100</v>
      </c>
      <c r="O5850" t="s">
        <v>19447</v>
      </c>
      <c r="P5850" t="s">
        <v>19899</v>
      </c>
      <c r="Q5850" t="s">
        <v>19900</v>
      </c>
      <c r="R5850" t="s">
        <v>19905</v>
      </c>
      <c r="S5850" t="s">
        <v>19906</v>
      </c>
      <c r="T5850" t="s">
        <v>20108</v>
      </c>
    </row>
    <row r="5851" spans="2:20" x14ac:dyDescent="0.25">
      <c r="B5851" t="s">
        <v>2709</v>
      </c>
      <c r="C5851">
        <v>54074200</v>
      </c>
      <c r="E5851" t="s">
        <v>19447</v>
      </c>
      <c r="F5851">
        <v>18</v>
      </c>
      <c r="G5851">
        <v>0</v>
      </c>
      <c r="H5851">
        <v>7.6</v>
      </c>
      <c r="I5851">
        <v>1.65</v>
      </c>
      <c r="J5851">
        <v>26</v>
      </c>
      <c r="L5851" t="s">
        <v>2709</v>
      </c>
      <c r="M5851">
        <v>54074200</v>
      </c>
      <c r="O5851" t="s">
        <v>19447</v>
      </c>
      <c r="P5851" t="s">
        <v>19899</v>
      </c>
      <c r="Q5851" t="s">
        <v>19900</v>
      </c>
      <c r="R5851" t="s">
        <v>19905</v>
      </c>
      <c r="S5851" t="s">
        <v>19906</v>
      </c>
      <c r="T5851" t="s">
        <v>20108</v>
      </c>
    </row>
    <row r="5852" spans="2:20" x14ac:dyDescent="0.25">
      <c r="B5852" t="s">
        <v>2709</v>
      </c>
      <c r="C5852">
        <v>54074300</v>
      </c>
      <c r="E5852" t="s">
        <v>19447</v>
      </c>
      <c r="F5852">
        <v>18</v>
      </c>
      <c r="G5852">
        <v>0</v>
      </c>
      <c r="H5852">
        <v>7.6</v>
      </c>
      <c r="I5852">
        <v>1.65</v>
      </c>
      <c r="J5852">
        <v>26</v>
      </c>
      <c r="L5852" t="s">
        <v>2709</v>
      </c>
      <c r="M5852">
        <v>54074300</v>
      </c>
      <c r="O5852" t="s">
        <v>19447</v>
      </c>
      <c r="P5852" t="s">
        <v>19899</v>
      </c>
      <c r="Q5852" t="s">
        <v>19900</v>
      </c>
      <c r="R5852" t="s">
        <v>19905</v>
      </c>
      <c r="S5852" t="s">
        <v>19906</v>
      </c>
      <c r="T5852" t="s">
        <v>20108</v>
      </c>
    </row>
    <row r="5853" spans="2:20" x14ac:dyDescent="0.25">
      <c r="B5853" t="s">
        <v>2709</v>
      </c>
      <c r="C5853">
        <v>54074400</v>
      </c>
      <c r="E5853" t="s">
        <v>19447</v>
      </c>
      <c r="F5853">
        <v>18</v>
      </c>
      <c r="G5853">
        <v>0</v>
      </c>
      <c r="H5853">
        <v>7.6</v>
      </c>
      <c r="I5853">
        <v>1.65</v>
      </c>
      <c r="J5853">
        <v>26</v>
      </c>
      <c r="L5853" t="s">
        <v>2709</v>
      </c>
      <c r="M5853">
        <v>54074400</v>
      </c>
      <c r="O5853" t="s">
        <v>19447</v>
      </c>
      <c r="P5853" t="s">
        <v>19899</v>
      </c>
      <c r="Q5853" t="s">
        <v>19900</v>
      </c>
      <c r="R5853" t="s">
        <v>19905</v>
      </c>
      <c r="S5853" t="s">
        <v>19906</v>
      </c>
      <c r="T5853" t="s">
        <v>20108</v>
      </c>
    </row>
    <row r="5854" spans="2:20" x14ac:dyDescent="0.25">
      <c r="B5854" t="s">
        <v>2709</v>
      </c>
      <c r="C5854">
        <v>54075100</v>
      </c>
      <c r="E5854" t="s">
        <v>19447</v>
      </c>
      <c r="F5854">
        <v>18</v>
      </c>
      <c r="G5854">
        <v>0</v>
      </c>
      <c r="H5854">
        <v>7.6</v>
      </c>
      <c r="I5854">
        <v>1.65</v>
      </c>
      <c r="J5854">
        <v>26</v>
      </c>
      <c r="L5854" t="s">
        <v>2709</v>
      </c>
      <c r="M5854">
        <v>54075100</v>
      </c>
      <c r="O5854" t="s">
        <v>19447</v>
      </c>
      <c r="P5854" t="s">
        <v>19899</v>
      </c>
      <c r="Q5854" t="s">
        <v>19900</v>
      </c>
      <c r="R5854" t="s">
        <v>19905</v>
      </c>
      <c r="S5854" t="s">
        <v>19906</v>
      </c>
      <c r="T5854" t="s">
        <v>20108</v>
      </c>
    </row>
    <row r="5855" spans="2:20" x14ac:dyDescent="0.25">
      <c r="B5855" t="s">
        <v>2709</v>
      </c>
      <c r="C5855">
        <v>54075210</v>
      </c>
      <c r="E5855" t="s">
        <v>19447</v>
      </c>
      <c r="F5855">
        <v>18</v>
      </c>
      <c r="G5855">
        <v>0</v>
      </c>
      <c r="H5855">
        <v>7.6</v>
      </c>
      <c r="I5855">
        <v>1.65</v>
      </c>
      <c r="J5855">
        <v>26</v>
      </c>
      <c r="L5855" t="s">
        <v>2709</v>
      </c>
      <c r="M5855">
        <v>54075210</v>
      </c>
      <c r="O5855" t="s">
        <v>19447</v>
      </c>
      <c r="P5855" t="s">
        <v>19899</v>
      </c>
      <c r="Q5855" t="s">
        <v>19900</v>
      </c>
      <c r="R5855" t="s">
        <v>19905</v>
      </c>
      <c r="S5855" t="s">
        <v>19906</v>
      </c>
      <c r="T5855" t="s">
        <v>20108</v>
      </c>
    </row>
    <row r="5856" spans="2:20" x14ac:dyDescent="0.25">
      <c r="B5856" t="s">
        <v>2709</v>
      </c>
      <c r="C5856">
        <v>54075220</v>
      </c>
      <c r="E5856" t="s">
        <v>19447</v>
      </c>
      <c r="F5856">
        <v>18</v>
      </c>
      <c r="G5856">
        <v>0</v>
      </c>
      <c r="H5856">
        <v>7.6</v>
      </c>
      <c r="I5856">
        <v>1.65</v>
      </c>
      <c r="J5856">
        <v>26</v>
      </c>
      <c r="L5856" t="s">
        <v>2709</v>
      </c>
      <c r="M5856">
        <v>54075220</v>
      </c>
      <c r="O5856" t="s">
        <v>19447</v>
      </c>
      <c r="P5856" t="s">
        <v>19899</v>
      </c>
      <c r="Q5856" t="s">
        <v>19900</v>
      </c>
      <c r="R5856" t="s">
        <v>19905</v>
      </c>
      <c r="S5856" t="s">
        <v>19906</v>
      </c>
      <c r="T5856" t="s">
        <v>20108</v>
      </c>
    </row>
    <row r="5857" spans="2:20" x14ac:dyDescent="0.25">
      <c r="B5857" t="s">
        <v>2709</v>
      </c>
      <c r="C5857">
        <v>54075300</v>
      </c>
      <c r="E5857" t="s">
        <v>19447</v>
      </c>
      <c r="F5857">
        <v>18</v>
      </c>
      <c r="G5857">
        <v>0</v>
      </c>
      <c r="H5857">
        <v>7.6</v>
      </c>
      <c r="I5857">
        <v>1.65</v>
      </c>
      <c r="J5857">
        <v>26</v>
      </c>
      <c r="L5857" t="s">
        <v>2709</v>
      </c>
      <c r="M5857">
        <v>54075300</v>
      </c>
      <c r="O5857" t="s">
        <v>19447</v>
      </c>
      <c r="P5857" t="s">
        <v>19899</v>
      </c>
      <c r="Q5857" t="s">
        <v>19900</v>
      </c>
      <c r="R5857" t="s">
        <v>19905</v>
      </c>
      <c r="S5857" t="s">
        <v>19906</v>
      </c>
      <c r="T5857" t="s">
        <v>20108</v>
      </c>
    </row>
    <row r="5858" spans="2:20" x14ac:dyDescent="0.25">
      <c r="B5858" t="s">
        <v>2709</v>
      </c>
      <c r="C5858">
        <v>54075400</v>
      </c>
      <c r="E5858" t="s">
        <v>19447</v>
      </c>
      <c r="F5858">
        <v>18</v>
      </c>
      <c r="G5858">
        <v>0</v>
      </c>
      <c r="H5858">
        <v>7.6</v>
      </c>
      <c r="I5858">
        <v>1.65</v>
      </c>
      <c r="J5858">
        <v>26</v>
      </c>
      <c r="L5858" t="s">
        <v>2709</v>
      </c>
      <c r="M5858">
        <v>54075400</v>
      </c>
      <c r="O5858" t="s">
        <v>19447</v>
      </c>
      <c r="P5858" t="s">
        <v>19899</v>
      </c>
      <c r="Q5858" t="s">
        <v>19900</v>
      </c>
      <c r="R5858" t="s">
        <v>19905</v>
      </c>
      <c r="S5858" t="s">
        <v>19906</v>
      </c>
      <c r="T5858" t="s">
        <v>20108</v>
      </c>
    </row>
    <row r="5859" spans="2:20" x14ac:dyDescent="0.25">
      <c r="B5859" t="s">
        <v>2709</v>
      </c>
      <c r="C5859">
        <v>54076100</v>
      </c>
      <c r="E5859" t="s">
        <v>19447</v>
      </c>
      <c r="F5859">
        <v>18</v>
      </c>
      <c r="G5859">
        <v>0</v>
      </c>
      <c r="H5859">
        <v>7.6</v>
      </c>
      <c r="I5859">
        <v>1.65</v>
      </c>
      <c r="J5859">
        <v>26</v>
      </c>
      <c r="L5859" t="s">
        <v>2709</v>
      </c>
      <c r="M5859">
        <v>54076100</v>
      </c>
      <c r="O5859" t="s">
        <v>19447</v>
      </c>
      <c r="P5859" t="s">
        <v>19899</v>
      </c>
      <c r="Q5859" t="s">
        <v>19900</v>
      </c>
      <c r="R5859" t="s">
        <v>19905</v>
      </c>
      <c r="S5859" t="s">
        <v>19906</v>
      </c>
      <c r="T5859" t="s">
        <v>20108</v>
      </c>
    </row>
    <row r="5860" spans="2:20" x14ac:dyDescent="0.25">
      <c r="B5860" t="s">
        <v>2709</v>
      </c>
      <c r="C5860">
        <v>54076900</v>
      </c>
      <c r="E5860" t="s">
        <v>19447</v>
      </c>
      <c r="F5860">
        <v>18</v>
      </c>
      <c r="G5860">
        <v>0</v>
      </c>
      <c r="H5860">
        <v>7.6</v>
      </c>
      <c r="I5860">
        <v>1.65</v>
      </c>
      <c r="J5860">
        <v>26</v>
      </c>
      <c r="L5860" t="s">
        <v>2709</v>
      </c>
      <c r="M5860">
        <v>54076900</v>
      </c>
      <c r="O5860" t="s">
        <v>19447</v>
      </c>
      <c r="P5860" t="s">
        <v>19899</v>
      </c>
      <c r="Q5860" t="s">
        <v>19900</v>
      </c>
      <c r="R5860" t="s">
        <v>19905</v>
      </c>
      <c r="S5860" t="s">
        <v>19906</v>
      </c>
      <c r="T5860" t="s">
        <v>20108</v>
      </c>
    </row>
    <row r="5861" spans="2:20" x14ac:dyDescent="0.25">
      <c r="B5861" t="s">
        <v>2709</v>
      </c>
      <c r="C5861">
        <v>54077100</v>
      </c>
      <c r="E5861" t="s">
        <v>19447</v>
      </c>
      <c r="F5861">
        <v>18</v>
      </c>
      <c r="G5861">
        <v>0</v>
      </c>
      <c r="H5861">
        <v>7.6</v>
      </c>
      <c r="I5861">
        <v>1.65</v>
      </c>
      <c r="J5861">
        <v>26</v>
      </c>
      <c r="L5861" t="s">
        <v>2709</v>
      </c>
      <c r="M5861">
        <v>54077100</v>
      </c>
      <c r="O5861" t="s">
        <v>19447</v>
      </c>
      <c r="P5861" t="s">
        <v>19899</v>
      </c>
      <c r="Q5861" t="s">
        <v>19900</v>
      </c>
      <c r="R5861" t="s">
        <v>19905</v>
      </c>
      <c r="S5861" t="s">
        <v>19906</v>
      </c>
      <c r="T5861" t="s">
        <v>20108</v>
      </c>
    </row>
    <row r="5862" spans="2:20" x14ac:dyDescent="0.25">
      <c r="B5862" t="s">
        <v>2709</v>
      </c>
      <c r="C5862">
        <v>54077200</v>
      </c>
      <c r="E5862" t="s">
        <v>19447</v>
      </c>
      <c r="F5862">
        <v>18</v>
      </c>
      <c r="G5862">
        <v>0</v>
      </c>
      <c r="H5862">
        <v>7.6</v>
      </c>
      <c r="I5862">
        <v>1.65</v>
      </c>
      <c r="J5862">
        <v>26</v>
      </c>
      <c r="L5862" t="s">
        <v>2709</v>
      </c>
      <c r="M5862">
        <v>54077200</v>
      </c>
      <c r="O5862" t="s">
        <v>19447</v>
      </c>
      <c r="P5862" t="s">
        <v>19899</v>
      </c>
      <c r="Q5862" t="s">
        <v>19900</v>
      </c>
      <c r="R5862" t="s">
        <v>19905</v>
      </c>
      <c r="S5862" t="s">
        <v>19906</v>
      </c>
      <c r="T5862" t="s">
        <v>20108</v>
      </c>
    </row>
    <row r="5863" spans="2:20" x14ac:dyDescent="0.25">
      <c r="B5863" t="s">
        <v>2709</v>
      </c>
      <c r="C5863">
        <v>54077300</v>
      </c>
      <c r="E5863" t="s">
        <v>19447</v>
      </c>
      <c r="F5863">
        <v>18</v>
      </c>
      <c r="G5863">
        <v>0</v>
      </c>
      <c r="H5863">
        <v>7.6</v>
      </c>
      <c r="I5863">
        <v>1.65</v>
      </c>
      <c r="J5863">
        <v>26</v>
      </c>
      <c r="L5863" t="s">
        <v>2709</v>
      </c>
      <c r="M5863">
        <v>54077300</v>
      </c>
      <c r="O5863" t="s">
        <v>19447</v>
      </c>
      <c r="P5863" t="s">
        <v>19899</v>
      </c>
      <c r="Q5863" t="s">
        <v>19900</v>
      </c>
      <c r="R5863" t="s">
        <v>19905</v>
      </c>
      <c r="S5863" t="s">
        <v>19906</v>
      </c>
      <c r="T5863" t="s">
        <v>20108</v>
      </c>
    </row>
    <row r="5864" spans="2:20" x14ac:dyDescent="0.25">
      <c r="B5864" t="s">
        <v>2709</v>
      </c>
      <c r="C5864">
        <v>54077400</v>
      </c>
      <c r="E5864" t="s">
        <v>19447</v>
      </c>
      <c r="F5864">
        <v>18</v>
      </c>
      <c r="G5864">
        <v>0</v>
      </c>
      <c r="H5864">
        <v>7.6</v>
      </c>
      <c r="I5864">
        <v>1.65</v>
      </c>
      <c r="J5864">
        <v>26</v>
      </c>
      <c r="L5864" t="s">
        <v>2709</v>
      </c>
      <c r="M5864">
        <v>54077400</v>
      </c>
      <c r="O5864" t="s">
        <v>19447</v>
      </c>
      <c r="P5864" t="s">
        <v>19899</v>
      </c>
      <c r="Q5864" t="s">
        <v>19900</v>
      </c>
      <c r="R5864" t="s">
        <v>19905</v>
      </c>
      <c r="S5864" t="s">
        <v>19906</v>
      </c>
      <c r="T5864" t="s">
        <v>20108</v>
      </c>
    </row>
    <row r="5865" spans="2:20" x14ac:dyDescent="0.25">
      <c r="B5865" t="s">
        <v>2709</v>
      </c>
      <c r="C5865">
        <v>54078100</v>
      </c>
      <c r="E5865" t="s">
        <v>19447</v>
      </c>
      <c r="F5865">
        <v>18</v>
      </c>
      <c r="G5865">
        <v>0</v>
      </c>
      <c r="H5865">
        <v>7.6</v>
      </c>
      <c r="I5865">
        <v>1.65</v>
      </c>
      <c r="J5865">
        <v>26</v>
      </c>
      <c r="L5865" t="s">
        <v>2709</v>
      </c>
      <c r="M5865">
        <v>54078100</v>
      </c>
      <c r="O5865" t="s">
        <v>19447</v>
      </c>
      <c r="P5865" t="s">
        <v>19899</v>
      </c>
      <c r="Q5865" t="s">
        <v>19900</v>
      </c>
      <c r="R5865" t="s">
        <v>19905</v>
      </c>
      <c r="S5865" t="s">
        <v>19906</v>
      </c>
      <c r="T5865" t="s">
        <v>20108</v>
      </c>
    </row>
    <row r="5866" spans="2:20" x14ac:dyDescent="0.25">
      <c r="B5866" t="s">
        <v>2709</v>
      </c>
      <c r="C5866">
        <v>54078200</v>
      </c>
      <c r="E5866" t="s">
        <v>19447</v>
      </c>
      <c r="F5866">
        <v>18</v>
      </c>
      <c r="G5866">
        <v>0</v>
      </c>
      <c r="H5866">
        <v>7.6</v>
      </c>
      <c r="I5866">
        <v>1.65</v>
      </c>
      <c r="J5866">
        <v>26</v>
      </c>
      <c r="L5866" t="s">
        <v>2709</v>
      </c>
      <c r="M5866">
        <v>54078200</v>
      </c>
      <c r="O5866" t="s">
        <v>19447</v>
      </c>
      <c r="P5866" t="s">
        <v>19899</v>
      </c>
      <c r="Q5866" t="s">
        <v>19900</v>
      </c>
      <c r="R5866" t="s">
        <v>19905</v>
      </c>
      <c r="S5866" t="s">
        <v>19906</v>
      </c>
      <c r="T5866" t="s">
        <v>20108</v>
      </c>
    </row>
    <row r="5867" spans="2:20" x14ac:dyDescent="0.25">
      <c r="B5867" t="s">
        <v>2709</v>
      </c>
      <c r="C5867">
        <v>54078300</v>
      </c>
      <c r="E5867" t="s">
        <v>19447</v>
      </c>
      <c r="F5867">
        <v>18</v>
      </c>
      <c r="G5867">
        <v>0</v>
      </c>
      <c r="H5867">
        <v>7.6</v>
      </c>
      <c r="I5867">
        <v>1.65</v>
      </c>
      <c r="J5867">
        <v>26</v>
      </c>
      <c r="L5867" t="s">
        <v>2709</v>
      </c>
      <c r="M5867">
        <v>54078300</v>
      </c>
      <c r="O5867" t="s">
        <v>19447</v>
      </c>
      <c r="P5867" t="s">
        <v>19899</v>
      </c>
      <c r="Q5867" t="s">
        <v>19900</v>
      </c>
      <c r="R5867" t="s">
        <v>19905</v>
      </c>
      <c r="S5867" t="s">
        <v>19906</v>
      </c>
      <c r="T5867" t="s">
        <v>20108</v>
      </c>
    </row>
    <row r="5868" spans="2:20" x14ac:dyDescent="0.25">
      <c r="B5868" t="s">
        <v>2709</v>
      </c>
      <c r="C5868">
        <v>54078400</v>
      </c>
      <c r="E5868" t="s">
        <v>19447</v>
      </c>
      <c r="F5868">
        <v>18</v>
      </c>
      <c r="G5868">
        <v>0</v>
      </c>
      <c r="H5868">
        <v>7.6</v>
      </c>
      <c r="I5868">
        <v>1.65</v>
      </c>
      <c r="J5868">
        <v>26</v>
      </c>
      <c r="L5868" t="s">
        <v>2709</v>
      </c>
      <c r="M5868">
        <v>54078400</v>
      </c>
      <c r="O5868" t="s">
        <v>19447</v>
      </c>
      <c r="P5868" t="s">
        <v>19899</v>
      </c>
      <c r="Q5868" t="s">
        <v>19900</v>
      </c>
      <c r="R5868" t="s">
        <v>19905</v>
      </c>
      <c r="S5868" t="s">
        <v>19906</v>
      </c>
      <c r="T5868" t="s">
        <v>20108</v>
      </c>
    </row>
    <row r="5869" spans="2:20" x14ac:dyDescent="0.25">
      <c r="B5869" t="s">
        <v>2709</v>
      </c>
      <c r="C5869">
        <v>54079100</v>
      </c>
      <c r="E5869" t="s">
        <v>19447</v>
      </c>
      <c r="F5869">
        <v>18</v>
      </c>
      <c r="G5869">
        <v>0</v>
      </c>
      <c r="H5869">
        <v>7.6</v>
      </c>
      <c r="I5869">
        <v>1.65</v>
      </c>
      <c r="J5869">
        <v>26</v>
      </c>
      <c r="L5869" t="s">
        <v>2709</v>
      </c>
      <c r="M5869">
        <v>54079100</v>
      </c>
      <c r="O5869" t="s">
        <v>19447</v>
      </c>
      <c r="P5869" t="s">
        <v>19899</v>
      </c>
      <c r="Q5869" t="s">
        <v>19900</v>
      </c>
      <c r="R5869" t="s">
        <v>19905</v>
      </c>
      <c r="S5869" t="s">
        <v>19906</v>
      </c>
      <c r="T5869" t="s">
        <v>20108</v>
      </c>
    </row>
    <row r="5870" spans="2:20" x14ac:dyDescent="0.25">
      <c r="B5870" t="s">
        <v>2709</v>
      </c>
      <c r="C5870">
        <v>54079200</v>
      </c>
      <c r="E5870" t="s">
        <v>19447</v>
      </c>
      <c r="F5870">
        <v>18</v>
      </c>
      <c r="G5870">
        <v>0</v>
      </c>
      <c r="H5870">
        <v>7.6</v>
      </c>
      <c r="I5870">
        <v>1.65</v>
      </c>
      <c r="J5870">
        <v>26</v>
      </c>
      <c r="L5870" t="s">
        <v>2709</v>
      </c>
      <c r="M5870">
        <v>54079200</v>
      </c>
      <c r="O5870" t="s">
        <v>19447</v>
      </c>
      <c r="P5870" t="s">
        <v>19899</v>
      </c>
      <c r="Q5870" t="s">
        <v>19900</v>
      </c>
      <c r="R5870" t="s">
        <v>19905</v>
      </c>
      <c r="S5870" t="s">
        <v>19906</v>
      </c>
      <c r="T5870" t="s">
        <v>20108</v>
      </c>
    </row>
    <row r="5871" spans="2:20" x14ac:dyDescent="0.25">
      <c r="B5871" t="s">
        <v>2709</v>
      </c>
      <c r="C5871">
        <v>54079300</v>
      </c>
      <c r="E5871" t="s">
        <v>19447</v>
      </c>
      <c r="F5871">
        <v>18</v>
      </c>
      <c r="G5871">
        <v>0</v>
      </c>
      <c r="H5871">
        <v>7.6</v>
      </c>
      <c r="I5871">
        <v>1.65</v>
      </c>
      <c r="J5871">
        <v>26</v>
      </c>
      <c r="L5871" t="s">
        <v>2709</v>
      </c>
      <c r="M5871">
        <v>54079300</v>
      </c>
      <c r="O5871" t="s">
        <v>19447</v>
      </c>
      <c r="P5871" t="s">
        <v>19899</v>
      </c>
      <c r="Q5871" t="s">
        <v>19900</v>
      </c>
      <c r="R5871" t="s">
        <v>19905</v>
      </c>
      <c r="S5871" t="s">
        <v>19906</v>
      </c>
      <c r="T5871" t="s">
        <v>20108</v>
      </c>
    </row>
    <row r="5872" spans="2:20" x14ac:dyDescent="0.25">
      <c r="B5872" t="s">
        <v>2709</v>
      </c>
      <c r="C5872">
        <v>54079400</v>
      </c>
      <c r="E5872" t="s">
        <v>19447</v>
      </c>
      <c r="F5872">
        <v>18</v>
      </c>
      <c r="G5872">
        <v>0</v>
      </c>
      <c r="H5872">
        <v>7.6</v>
      </c>
      <c r="I5872">
        <v>1.65</v>
      </c>
      <c r="J5872">
        <v>26</v>
      </c>
      <c r="L5872" t="s">
        <v>2709</v>
      </c>
      <c r="M5872">
        <v>54079400</v>
      </c>
      <c r="O5872" t="s">
        <v>19447</v>
      </c>
      <c r="P5872" t="s">
        <v>19899</v>
      </c>
      <c r="Q5872" t="s">
        <v>19900</v>
      </c>
      <c r="R5872" t="s">
        <v>19905</v>
      </c>
      <c r="S5872" t="s">
        <v>19906</v>
      </c>
      <c r="T5872" t="s">
        <v>20108</v>
      </c>
    </row>
    <row r="5873" spans="2:20" x14ac:dyDescent="0.25">
      <c r="B5873" t="s">
        <v>2709</v>
      </c>
      <c r="C5873">
        <v>54081000</v>
      </c>
      <c r="E5873" t="s">
        <v>19447</v>
      </c>
      <c r="F5873">
        <v>18</v>
      </c>
      <c r="G5873">
        <v>0</v>
      </c>
      <c r="H5873">
        <v>7.6</v>
      </c>
      <c r="I5873">
        <v>1.65</v>
      </c>
      <c r="J5873">
        <v>26</v>
      </c>
      <c r="L5873" t="s">
        <v>2709</v>
      </c>
      <c r="M5873">
        <v>54081000</v>
      </c>
      <c r="O5873" t="s">
        <v>19447</v>
      </c>
      <c r="P5873" t="s">
        <v>19899</v>
      </c>
      <c r="Q5873" t="s">
        <v>19900</v>
      </c>
      <c r="R5873" t="s">
        <v>19905</v>
      </c>
      <c r="S5873" t="s">
        <v>19906</v>
      </c>
      <c r="T5873" t="s">
        <v>20108</v>
      </c>
    </row>
    <row r="5874" spans="2:20" x14ac:dyDescent="0.25">
      <c r="B5874" t="s">
        <v>2709</v>
      </c>
      <c r="C5874">
        <v>54082100</v>
      </c>
      <c r="E5874" t="s">
        <v>19447</v>
      </c>
      <c r="F5874">
        <v>18</v>
      </c>
      <c r="G5874">
        <v>0</v>
      </c>
      <c r="H5874">
        <v>7.6</v>
      </c>
      <c r="I5874">
        <v>1.65</v>
      </c>
      <c r="J5874">
        <v>26</v>
      </c>
      <c r="L5874" t="s">
        <v>2709</v>
      </c>
      <c r="M5874">
        <v>54082100</v>
      </c>
      <c r="O5874" t="s">
        <v>19447</v>
      </c>
      <c r="P5874" t="s">
        <v>19899</v>
      </c>
      <c r="Q5874" t="s">
        <v>19900</v>
      </c>
      <c r="R5874" t="s">
        <v>19905</v>
      </c>
      <c r="S5874" t="s">
        <v>19906</v>
      </c>
      <c r="T5874" t="s">
        <v>20108</v>
      </c>
    </row>
    <row r="5875" spans="2:20" x14ac:dyDescent="0.25">
      <c r="B5875" t="s">
        <v>2709</v>
      </c>
      <c r="C5875">
        <v>54082200</v>
      </c>
      <c r="E5875" t="s">
        <v>19447</v>
      </c>
      <c r="F5875">
        <v>18</v>
      </c>
      <c r="G5875">
        <v>0</v>
      </c>
      <c r="H5875">
        <v>7.6</v>
      </c>
      <c r="I5875">
        <v>1.65</v>
      </c>
      <c r="J5875">
        <v>26</v>
      </c>
      <c r="L5875" t="s">
        <v>2709</v>
      </c>
      <c r="M5875">
        <v>54082200</v>
      </c>
      <c r="O5875" t="s">
        <v>19447</v>
      </c>
      <c r="P5875" t="s">
        <v>19899</v>
      </c>
      <c r="Q5875" t="s">
        <v>19900</v>
      </c>
      <c r="R5875" t="s">
        <v>19905</v>
      </c>
      <c r="S5875" t="s">
        <v>19906</v>
      </c>
      <c r="T5875" t="s">
        <v>20108</v>
      </c>
    </row>
    <row r="5876" spans="2:20" x14ac:dyDescent="0.25">
      <c r="B5876" t="s">
        <v>2709</v>
      </c>
      <c r="C5876">
        <v>54082300</v>
      </c>
      <c r="E5876" t="s">
        <v>19447</v>
      </c>
      <c r="F5876">
        <v>18</v>
      </c>
      <c r="G5876">
        <v>0</v>
      </c>
      <c r="H5876">
        <v>7.6</v>
      </c>
      <c r="I5876">
        <v>1.65</v>
      </c>
      <c r="J5876">
        <v>26</v>
      </c>
      <c r="L5876" t="s">
        <v>2709</v>
      </c>
      <c r="M5876">
        <v>54082300</v>
      </c>
      <c r="O5876" t="s">
        <v>19447</v>
      </c>
      <c r="P5876" t="s">
        <v>19899</v>
      </c>
      <c r="Q5876" t="s">
        <v>19900</v>
      </c>
      <c r="R5876" t="s">
        <v>19905</v>
      </c>
      <c r="S5876" t="s">
        <v>19906</v>
      </c>
      <c r="T5876" t="s">
        <v>20108</v>
      </c>
    </row>
    <row r="5877" spans="2:20" x14ac:dyDescent="0.25">
      <c r="B5877" t="s">
        <v>2709</v>
      </c>
      <c r="C5877">
        <v>54082400</v>
      </c>
      <c r="E5877" t="s">
        <v>19447</v>
      </c>
      <c r="F5877">
        <v>18</v>
      </c>
      <c r="G5877">
        <v>0</v>
      </c>
      <c r="H5877">
        <v>7.6</v>
      </c>
      <c r="I5877">
        <v>1.65</v>
      </c>
      <c r="J5877">
        <v>26</v>
      </c>
      <c r="L5877" t="s">
        <v>2709</v>
      </c>
      <c r="M5877">
        <v>54082400</v>
      </c>
      <c r="O5877" t="s">
        <v>19447</v>
      </c>
      <c r="P5877" t="s">
        <v>19899</v>
      </c>
      <c r="Q5877" t="s">
        <v>19900</v>
      </c>
      <c r="R5877" t="s">
        <v>19905</v>
      </c>
      <c r="S5877" t="s">
        <v>19906</v>
      </c>
      <c r="T5877" t="s">
        <v>20108</v>
      </c>
    </row>
    <row r="5878" spans="2:20" x14ac:dyDescent="0.25">
      <c r="B5878" t="s">
        <v>2709</v>
      </c>
      <c r="C5878">
        <v>54083100</v>
      </c>
      <c r="E5878" t="s">
        <v>19447</v>
      </c>
      <c r="F5878">
        <v>18</v>
      </c>
      <c r="G5878">
        <v>0</v>
      </c>
      <c r="H5878">
        <v>7.6</v>
      </c>
      <c r="I5878">
        <v>1.65</v>
      </c>
      <c r="J5878">
        <v>26</v>
      </c>
      <c r="L5878" t="s">
        <v>2709</v>
      </c>
      <c r="M5878">
        <v>54083100</v>
      </c>
      <c r="O5878" t="s">
        <v>19447</v>
      </c>
      <c r="P5878" t="s">
        <v>19899</v>
      </c>
      <c r="Q5878" t="s">
        <v>19900</v>
      </c>
      <c r="R5878" t="s">
        <v>19905</v>
      </c>
      <c r="S5878" t="s">
        <v>19906</v>
      </c>
      <c r="T5878" t="s">
        <v>20108</v>
      </c>
    </row>
    <row r="5879" spans="2:20" x14ac:dyDescent="0.25">
      <c r="B5879" t="s">
        <v>2709</v>
      </c>
      <c r="C5879">
        <v>54083200</v>
      </c>
      <c r="E5879" t="s">
        <v>19447</v>
      </c>
      <c r="F5879">
        <v>18</v>
      </c>
      <c r="G5879">
        <v>0</v>
      </c>
      <c r="H5879">
        <v>7.6</v>
      </c>
      <c r="I5879">
        <v>1.65</v>
      </c>
      <c r="J5879">
        <v>26</v>
      </c>
      <c r="L5879" t="s">
        <v>2709</v>
      </c>
      <c r="M5879">
        <v>54083200</v>
      </c>
      <c r="O5879" t="s">
        <v>19447</v>
      </c>
      <c r="P5879" t="s">
        <v>19899</v>
      </c>
      <c r="Q5879" t="s">
        <v>19900</v>
      </c>
      <c r="R5879" t="s">
        <v>19905</v>
      </c>
      <c r="S5879" t="s">
        <v>19906</v>
      </c>
      <c r="T5879" t="s">
        <v>20108</v>
      </c>
    </row>
    <row r="5880" spans="2:20" x14ac:dyDescent="0.25">
      <c r="B5880" t="s">
        <v>2709</v>
      </c>
      <c r="C5880">
        <v>54083300</v>
      </c>
      <c r="E5880" t="s">
        <v>19447</v>
      </c>
      <c r="F5880">
        <v>18</v>
      </c>
      <c r="G5880">
        <v>0</v>
      </c>
      <c r="H5880">
        <v>7.6</v>
      </c>
      <c r="I5880">
        <v>1.65</v>
      </c>
      <c r="J5880">
        <v>26</v>
      </c>
      <c r="L5880" t="s">
        <v>2709</v>
      </c>
      <c r="M5880">
        <v>54083300</v>
      </c>
      <c r="O5880" t="s">
        <v>19447</v>
      </c>
      <c r="P5880" t="s">
        <v>19899</v>
      </c>
      <c r="Q5880" t="s">
        <v>19900</v>
      </c>
      <c r="R5880" t="s">
        <v>19905</v>
      </c>
      <c r="S5880" t="s">
        <v>19906</v>
      </c>
      <c r="T5880" t="s">
        <v>20108</v>
      </c>
    </row>
    <row r="5881" spans="2:20" x14ac:dyDescent="0.25">
      <c r="B5881" t="s">
        <v>2709</v>
      </c>
      <c r="C5881">
        <v>54083400</v>
      </c>
      <c r="E5881" t="s">
        <v>19447</v>
      </c>
      <c r="F5881">
        <v>18</v>
      </c>
      <c r="G5881">
        <v>0</v>
      </c>
      <c r="H5881">
        <v>7.6</v>
      </c>
      <c r="I5881">
        <v>1.65</v>
      </c>
      <c r="J5881">
        <v>26</v>
      </c>
      <c r="L5881" t="s">
        <v>2709</v>
      </c>
      <c r="M5881">
        <v>54083400</v>
      </c>
      <c r="O5881" t="s">
        <v>19447</v>
      </c>
      <c r="P5881" t="s">
        <v>19899</v>
      </c>
      <c r="Q5881" t="s">
        <v>19900</v>
      </c>
      <c r="R5881" t="s">
        <v>19905</v>
      </c>
      <c r="S5881" t="s">
        <v>19906</v>
      </c>
      <c r="T5881" t="s">
        <v>20108</v>
      </c>
    </row>
    <row r="5882" spans="2:20" x14ac:dyDescent="0.25">
      <c r="B5882" t="s">
        <v>2709</v>
      </c>
      <c r="C5882">
        <v>55011000</v>
      </c>
      <c r="E5882" t="s">
        <v>19447</v>
      </c>
      <c r="F5882">
        <v>18</v>
      </c>
      <c r="G5882">
        <v>0</v>
      </c>
      <c r="H5882">
        <v>7.6</v>
      </c>
      <c r="I5882">
        <v>1.65</v>
      </c>
      <c r="J5882">
        <v>16</v>
      </c>
      <c r="L5882" t="s">
        <v>2709</v>
      </c>
      <c r="M5882">
        <v>55011000</v>
      </c>
      <c r="O5882" t="s">
        <v>19447</v>
      </c>
      <c r="P5882" t="s">
        <v>19899</v>
      </c>
      <c r="Q5882" t="s">
        <v>19900</v>
      </c>
      <c r="R5882" t="s">
        <v>19905</v>
      </c>
      <c r="S5882" t="s">
        <v>19906</v>
      </c>
      <c r="T5882" t="s">
        <v>19913</v>
      </c>
    </row>
    <row r="5883" spans="2:20" x14ac:dyDescent="0.25">
      <c r="B5883" t="s">
        <v>2709</v>
      </c>
      <c r="C5883">
        <v>55012000</v>
      </c>
      <c r="E5883" t="s">
        <v>19447</v>
      </c>
      <c r="F5883">
        <v>18</v>
      </c>
      <c r="G5883">
        <v>0</v>
      </c>
      <c r="H5883">
        <v>7.6</v>
      </c>
      <c r="I5883">
        <v>1.65</v>
      </c>
      <c r="J5883">
        <v>16</v>
      </c>
      <c r="L5883" t="s">
        <v>2709</v>
      </c>
      <c r="M5883">
        <v>55012000</v>
      </c>
      <c r="O5883" t="s">
        <v>19447</v>
      </c>
      <c r="P5883" t="s">
        <v>19899</v>
      </c>
      <c r="Q5883" t="s">
        <v>19900</v>
      </c>
      <c r="R5883" t="s">
        <v>19905</v>
      </c>
      <c r="S5883" t="s">
        <v>19906</v>
      </c>
      <c r="T5883" t="s">
        <v>19913</v>
      </c>
    </row>
    <row r="5884" spans="2:20" x14ac:dyDescent="0.25">
      <c r="B5884" t="s">
        <v>2709</v>
      </c>
      <c r="C5884">
        <v>55013000</v>
      </c>
      <c r="E5884" t="s">
        <v>19447</v>
      </c>
      <c r="F5884">
        <v>18</v>
      </c>
      <c r="G5884">
        <v>0</v>
      </c>
      <c r="H5884">
        <v>7.6</v>
      </c>
      <c r="I5884">
        <v>1.65</v>
      </c>
      <c r="J5884">
        <v>16</v>
      </c>
      <c r="L5884" t="s">
        <v>2709</v>
      </c>
      <c r="M5884">
        <v>55013000</v>
      </c>
      <c r="O5884" t="s">
        <v>19447</v>
      </c>
      <c r="P5884" t="s">
        <v>19899</v>
      </c>
      <c r="Q5884" t="s">
        <v>19900</v>
      </c>
      <c r="R5884" t="s">
        <v>19905</v>
      </c>
      <c r="S5884" t="s">
        <v>19906</v>
      </c>
      <c r="T5884" t="s">
        <v>19913</v>
      </c>
    </row>
    <row r="5885" spans="2:20" x14ac:dyDescent="0.25">
      <c r="B5885" t="s">
        <v>2709</v>
      </c>
      <c r="C5885">
        <v>55014000</v>
      </c>
      <c r="E5885" t="s">
        <v>19447</v>
      </c>
      <c r="F5885">
        <v>18</v>
      </c>
      <c r="G5885">
        <v>0</v>
      </c>
      <c r="H5885">
        <v>7.6</v>
      </c>
      <c r="I5885">
        <v>1.65</v>
      </c>
      <c r="J5885">
        <v>16</v>
      </c>
      <c r="L5885" t="s">
        <v>2709</v>
      </c>
      <c r="M5885">
        <v>55014000</v>
      </c>
      <c r="O5885" t="s">
        <v>19447</v>
      </c>
      <c r="P5885" t="s">
        <v>19899</v>
      </c>
      <c r="Q5885" t="s">
        <v>19900</v>
      </c>
      <c r="R5885" t="s">
        <v>19905</v>
      </c>
      <c r="S5885" t="s">
        <v>19906</v>
      </c>
      <c r="T5885" t="s">
        <v>19913</v>
      </c>
    </row>
    <row r="5886" spans="2:20" x14ac:dyDescent="0.25">
      <c r="B5886" t="s">
        <v>2709</v>
      </c>
      <c r="C5886">
        <v>55019000</v>
      </c>
      <c r="E5886" t="s">
        <v>19447</v>
      </c>
      <c r="F5886">
        <v>18</v>
      </c>
      <c r="G5886">
        <v>0</v>
      </c>
      <c r="H5886">
        <v>7.6</v>
      </c>
      <c r="I5886">
        <v>1.65</v>
      </c>
      <c r="J5886">
        <v>16</v>
      </c>
      <c r="L5886" t="s">
        <v>2709</v>
      </c>
      <c r="M5886">
        <v>55019000</v>
      </c>
      <c r="O5886" t="s">
        <v>19447</v>
      </c>
      <c r="P5886" t="s">
        <v>19899</v>
      </c>
      <c r="Q5886" t="s">
        <v>19900</v>
      </c>
      <c r="R5886" t="s">
        <v>19905</v>
      </c>
      <c r="S5886" t="s">
        <v>19906</v>
      </c>
      <c r="T5886" t="s">
        <v>19913</v>
      </c>
    </row>
    <row r="5887" spans="2:20" x14ac:dyDescent="0.25">
      <c r="B5887" t="s">
        <v>2709</v>
      </c>
      <c r="C5887">
        <v>55020010</v>
      </c>
      <c r="E5887" t="s">
        <v>19447</v>
      </c>
      <c r="F5887">
        <v>18</v>
      </c>
      <c r="G5887">
        <v>30</v>
      </c>
      <c r="H5887">
        <v>7.6</v>
      </c>
      <c r="I5887">
        <v>1.65</v>
      </c>
      <c r="J5887">
        <v>18</v>
      </c>
      <c r="L5887" t="s">
        <v>2709</v>
      </c>
      <c r="M5887">
        <v>55020010</v>
      </c>
      <c r="O5887" t="s">
        <v>19447</v>
      </c>
      <c r="P5887" t="s">
        <v>19899</v>
      </c>
      <c r="Q5887" t="s">
        <v>19933</v>
      </c>
      <c r="R5887" t="s">
        <v>19905</v>
      </c>
      <c r="S5887" t="s">
        <v>19906</v>
      </c>
      <c r="T5887" t="s">
        <v>19899</v>
      </c>
    </row>
    <row r="5888" spans="2:20" x14ac:dyDescent="0.25">
      <c r="B5888" t="s">
        <v>2709</v>
      </c>
      <c r="C5888">
        <v>55020020</v>
      </c>
      <c r="E5888" t="s">
        <v>19447</v>
      </c>
      <c r="F5888">
        <v>18</v>
      </c>
      <c r="G5888">
        <v>0</v>
      </c>
      <c r="H5888">
        <v>7.6</v>
      </c>
      <c r="I5888">
        <v>1.65</v>
      </c>
      <c r="J5888">
        <v>2</v>
      </c>
      <c r="L5888" t="s">
        <v>2709</v>
      </c>
      <c r="M5888">
        <v>55020020</v>
      </c>
      <c r="O5888" t="s">
        <v>19447</v>
      </c>
      <c r="P5888" t="s">
        <v>19899</v>
      </c>
      <c r="Q5888" t="s">
        <v>19900</v>
      </c>
      <c r="R5888" t="s">
        <v>19905</v>
      </c>
      <c r="S5888" t="s">
        <v>19906</v>
      </c>
      <c r="T5888" t="s">
        <v>19901</v>
      </c>
    </row>
    <row r="5889" spans="2:20" x14ac:dyDescent="0.25">
      <c r="B5889" t="s">
        <v>2709</v>
      </c>
      <c r="C5889">
        <v>55020090</v>
      </c>
      <c r="E5889" t="s">
        <v>19447</v>
      </c>
      <c r="F5889">
        <v>18</v>
      </c>
      <c r="G5889">
        <v>0</v>
      </c>
      <c r="H5889">
        <v>7.6</v>
      </c>
      <c r="I5889">
        <v>1.65</v>
      </c>
      <c r="J5889">
        <v>12</v>
      </c>
      <c r="L5889" t="s">
        <v>2709</v>
      </c>
      <c r="M5889">
        <v>55020090</v>
      </c>
      <c r="O5889" t="s">
        <v>19447</v>
      </c>
      <c r="P5889" t="s">
        <v>19899</v>
      </c>
      <c r="Q5889" t="s">
        <v>19900</v>
      </c>
      <c r="R5889" t="s">
        <v>19905</v>
      </c>
      <c r="S5889" t="s">
        <v>19906</v>
      </c>
      <c r="T5889" t="s">
        <v>19903</v>
      </c>
    </row>
    <row r="5890" spans="2:20" x14ac:dyDescent="0.25">
      <c r="B5890" t="s">
        <v>2709</v>
      </c>
      <c r="C5890">
        <v>55031100</v>
      </c>
      <c r="E5890" t="s">
        <v>19447</v>
      </c>
      <c r="F5890">
        <v>18</v>
      </c>
      <c r="G5890">
        <v>0</v>
      </c>
      <c r="H5890">
        <v>7.6</v>
      </c>
      <c r="I5890">
        <v>1.65</v>
      </c>
      <c r="J5890">
        <v>2</v>
      </c>
      <c r="L5890" t="s">
        <v>2709</v>
      </c>
      <c r="M5890">
        <v>55031100</v>
      </c>
      <c r="O5890" t="s">
        <v>19447</v>
      </c>
      <c r="P5890" t="s">
        <v>19899</v>
      </c>
      <c r="Q5890" t="s">
        <v>19900</v>
      </c>
      <c r="R5890" t="s">
        <v>19905</v>
      </c>
      <c r="S5890" t="s">
        <v>19906</v>
      </c>
      <c r="T5890" t="s">
        <v>19901</v>
      </c>
    </row>
    <row r="5891" spans="2:20" x14ac:dyDescent="0.25">
      <c r="B5891" t="s">
        <v>2709</v>
      </c>
      <c r="C5891">
        <v>55031910</v>
      </c>
      <c r="E5891" t="s">
        <v>19447</v>
      </c>
      <c r="F5891">
        <v>18</v>
      </c>
      <c r="G5891">
        <v>0</v>
      </c>
      <c r="H5891">
        <v>7.6</v>
      </c>
      <c r="I5891">
        <v>1.65</v>
      </c>
      <c r="J5891">
        <v>2</v>
      </c>
      <c r="L5891" t="s">
        <v>2709</v>
      </c>
      <c r="M5891">
        <v>55031910</v>
      </c>
      <c r="O5891" t="s">
        <v>19447</v>
      </c>
      <c r="P5891" t="s">
        <v>19899</v>
      </c>
      <c r="Q5891" t="s">
        <v>19900</v>
      </c>
      <c r="R5891" t="s">
        <v>19905</v>
      </c>
      <c r="S5891" t="s">
        <v>19906</v>
      </c>
      <c r="T5891" t="s">
        <v>19901</v>
      </c>
    </row>
    <row r="5892" spans="2:20" x14ac:dyDescent="0.25">
      <c r="B5892" t="s">
        <v>2709</v>
      </c>
      <c r="C5892">
        <v>55031990</v>
      </c>
      <c r="E5892" t="s">
        <v>19447</v>
      </c>
      <c r="F5892">
        <v>18</v>
      </c>
      <c r="G5892">
        <v>0</v>
      </c>
      <c r="H5892">
        <v>7.6</v>
      </c>
      <c r="I5892">
        <v>1.65</v>
      </c>
      <c r="J5892">
        <v>16</v>
      </c>
      <c r="L5892" t="s">
        <v>2709</v>
      </c>
      <c r="M5892">
        <v>55031990</v>
      </c>
      <c r="O5892" t="s">
        <v>19447</v>
      </c>
      <c r="P5892" t="s">
        <v>19899</v>
      </c>
      <c r="Q5892" t="s">
        <v>19900</v>
      </c>
      <c r="R5892" t="s">
        <v>19905</v>
      </c>
      <c r="S5892" t="s">
        <v>19906</v>
      </c>
      <c r="T5892" t="s">
        <v>19913</v>
      </c>
    </row>
    <row r="5893" spans="2:20" x14ac:dyDescent="0.25">
      <c r="B5893" t="s">
        <v>2709</v>
      </c>
      <c r="C5893">
        <v>55032010</v>
      </c>
      <c r="E5893" t="s">
        <v>19447</v>
      </c>
      <c r="F5893">
        <v>18</v>
      </c>
      <c r="G5893">
        <v>0</v>
      </c>
      <c r="H5893">
        <v>7.6</v>
      </c>
      <c r="I5893">
        <v>1.65</v>
      </c>
      <c r="J5893">
        <v>2</v>
      </c>
      <c r="L5893" t="s">
        <v>2709</v>
      </c>
      <c r="M5893">
        <v>55032010</v>
      </c>
      <c r="O5893" t="s">
        <v>19447</v>
      </c>
      <c r="P5893" t="s">
        <v>19899</v>
      </c>
      <c r="Q5893" t="s">
        <v>19900</v>
      </c>
      <c r="R5893" t="s">
        <v>19905</v>
      </c>
      <c r="S5893" t="s">
        <v>19906</v>
      </c>
      <c r="T5893" t="s">
        <v>19901</v>
      </c>
    </row>
    <row r="5894" spans="2:20" x14ac:dyDescent="0.25">
      <c r="B5894" t="s">
        <v>2709</v>
      </c>
      <c r="C5894">
        <v>55032090</v>
      </c>
      <c r="E5894" t="s">
        <v>19447</v>
      </c>
      <c r="F5894">
        <v>18</v>
      </c>
      <c r="G5894">
        <v>0</v>
      </c>
      <c r="H5894">
        <v>7.6</v>
      </c>
      <c r="I5894">
        <v>1.65</v>
      </c>
      <c r="J5894">
        <v>16</v>
      </c>
      <c r="L5894" t="s">
        <v>2709</v>
      </c>
      <c r="M5894">
        <v>55032090</v>
      </c>
      <c r="O5894" t="s">
        <v>19447</v>
      </c>
      <c r="P5894" t="s">
        <v>19899</v>
      </c>
      <c r="Q5894" t="s">
        <v>19900</v>
      </c>
      <c r="R5894" t="s">
        <v>19905</v>
      </c>
      <c r="S5894" t="s">
        <v>19906</v>
      </c>
      <c r="T5894" t="s">
        <v>19913</v>
      </c>
    </row>
    <row r="5895" spans="2:20" x14ac:dyDescent="0.25">
      <c r="B5895" t="s">
        <v>2709</v>
      </c>
      <c r="C5895">
        <v>55033000</v>
      </c>
      <c r="E5895" t="s">
        <v>19447</v>
      </c>
      <c r="F5895">
        <v>18</v>
      </c>
      <c r="G5895">
        <v>0</v>
      </c>
      <c r="H5895">
        <v>7.6</v>
      </c>
      <c r="I5895">
        <v>1.65</v>
      </c>
      <c r="J5895">
        <v>16</v>
      </c>
      <c r="L5895" t="s">
        <v>2709</v>
      </c>
      <c r="M5895">
        <v>55033000</v>
      </c>
      <c r="O5895" t="s">
        <v>19447</v>
      </c>
      <c r="P5895" t="s">
        <v>19899</v>
      </c>
      <c r="Q5895" t="s">
        <v>19900</v>
      </c>
      <c r="R5895" t="s">
        <v>19905</v>
      </c>
      <c r="S5895" t="s">
        <v>19906</v>
      </c>
      <c r="T5895" t="s">
        <v>19913</v>
      </c>
    </row>
    <row r="5896" spans="2:20" x14ac:dyDescent="0.25">
      <c r="B5896" t="s">
        <v>2709</v>
      </c>
      <c r="C5896">
        <v>55034000</v>
      </c>
      <c r="E5896" t="s">
        <v>19447</v>
      </c>
      <c r="F5896">
        <v>18</v>
      </c>
      <c r="G5896">
        <v>0</v>
      </c>
      <c r="H5896">
        <v>7.6</v>
      </c>
      <c r="I5896">
        <v>1.65</v>
      </c>
      <c r="J5896">
        <v>16</v>
      </c>
      <c r="L5896" t="s">
        <v>2709</v>
      </c>
      <c r="M5896">
        <v>55034000</v>
      </c>
      <c r="O5896" t="s">
        <v>19447</v>
      </c>
      <c r="P5896" t="s">
        <v>19899</v>
      </c>
      <c r="Q5896" t="s">
        <v>19900</v>
      </c>
      <c r="R5896" t="s">
        <v>19905</v>
      </c>
      <c r="S5896" t="s">
        <v>19906</v>
      </c>
      <c r="T5896" t="s">
        <v>19913</v>
      </c>
    </row>
    <row r="5897" spans="2:20" x14ac:dyDescent="0.25">
      <c r="B5897" t="s">
        <v>2709</v>
      </c>
      <c r="C5897">
        <v>55039010</v>
      </c>
      <c r="E5897" t="s">
        <v>19447</v>
      </c>
      <c r="F5897">
        <v>18</v>
      </c>
      <c r="G5897">
        <v>0</v>
      </c>
      <c r="H5897">
        <v>7.6</v>
      </c>
      <c r="I5897">
        <v>1.65</v>
      </c>
      <c r="J5897">
        <v>2</v>
      </c>
      <c r="L5897" t="s">
        <v>2709</v>
      </c>
      <c r="M5897">
        <v>55039010</v>
      </c>
      <c r="O5897" t="s">
        <v>19447</v>
      </c>
      <c r="P5897" t="s">
        <v>19899</v>
      </c>
      <c r="Q5897" t="s">
        <v>19900</v>
      </c>
      <c r="R5897" t="s">
        <v>19905</v>
      </c>
      <c r="S5897" t="s">
        <v>19906</v>
      </c>
      <c r="T5897" t="s">
        <v>19901</v>
      </c>
    </row>
    <row r="5898" spans="2:20" x14ac:dyDescent="0.25">
      <c r="B5898" t="s">
        <v>2709</v>
      </c>
      <c r="C5898">
        <v>55039020</v>
      </c>
      <c r="E5898" t="s">
        <v>19447</v>
      </c>
      <c r="F5898">
        <v>18</v>
      </c>
      <c r="G5898">
        <v>0</v>
      </c>
      <c r="H5898">
        <v>7.6</v>
      </c>
      <c r="I5898">
        <v>1.65</v>
      </c>
      <c r="J5898">
        <v>2</v>
      </c>
      <c r="L5898" t="s">
        <v>2709</v>
      </c>
      <c r="M5898">
        <v>55039020</v>
      </c>
      <c r="O5898" t="s">
        <v>19447</v>
      </c>
      <c r="P5898" t="s">
        <v>19899</v>
      </c>
      <c r="Q5898" t="s">
        <v>19900</v>
      </c>
      <c r="R5898" t="s">
        <v>19905</v>
      </c>
      <c r="S5898" t="s">
        <v>19906</v>
      </c>
      <c r="T5898" t="s">
        <v>19901</v>
      </c>
    </row>
    <row r="5899" spans="2:20" x14ac:dyDescent="0.25">
      <c r="B5899" t="s">
        <v>2709</v>
      </c>
      <c r="C5899">
        <v>55039090</v>
      </c>
      <c r="E5899" t="s">
        <v>19447</v>
      </c>
      <c r="F5899">
        <v>18</v>
      </c>
      <c r="G5899">
        <v>0</v>
      </c>
      <c r="H5899">
        <v>7.6</v>
      </c>
      <c r="I5899">
        <v>1.65</v>
      </c>
      <c r="J5899">
        <v>16</v>
      </c>
      <c r="L5899" t="s">
        <v>2709</v>
      </c>
      <c r="M5899">
        <v>55039090</v>
      </c>
      <c r="O5899" t="s">
        <v>19447</v>
      </c>
      <c r="P5899" t="s">
        <v>19899</v>
      </c>
      <c r="Q5899" t="s">
        <v>19900</v>
      </c>
      <c r="R5899" t="s">
        <v>19905</v>
      </c>
      <c r="S5899" t="s">
        <v>19906</v>
      </c>
      <c r="T5899" t="s">
        <v>19913</v>
      </c>
    </row>
    <row r="5900" spans="2:20" x14ac:dyDescent="0.25">
      <c r="B5900" t="s">
        <v>2709</v>
      </c>
      <c r="C5900">
        <v>55041000</v>
      </c>
      <c r="E5900" t="s">
        <v>19447</v>
      </c>
      <c r="F5900">
        <v>18</v>
      </c>
      <c r="G5900">
        <v>0</v>
      </c>
      <c r="H5900">
        <v>7.6</v>
      </c>
      <c r="I5900">
        <v>1.65</v>
      </c>
      <c r="J5900">
        <v>2</v>
      </c>
      <c r="L5900" t="s">
        <v>2709</v>
      </c>
      <c r="M5900">
        <v>55041000</v>
      </c>
      <c r="O5900" t="s">
        <v>19447</v>
      </c>
      <c r="P5900" t="s">
        <v>19899</v>
      </c>
      <c r="Q5900" t="s">
        <v>19900</v>
      </c>
      <c r="R5900" t="s">
        <v>19905</v>
      </c>
      <c r="S5900" t="s">
        <v>19906</v>
      </c>
      <c r="T5900" t="s">
        <v>19901</v>
      </c>
    </row>
    <row r="5901" spans="2:20" x14ac:dyDescent="0.25">
      <c r="B5901" t="s">
        <v>2709</v>
      </c>
      <c r="C5901">
        <v>55049010</v>
      </c>
      <c r="E5901" t="s">
        <v>19447</v>
      </c>
      <c r="F5901">
        <v>18</v>
      </c>
      <c r="G5901">
        <v>0</v>
      </c>
      <c r="H5901">
        <v>7.6</v>
      </c>
      <c r="I5901">
        <v>1.65</v>
      </c>
      <c r="J5901">
        <v>2</v>
      </c>
      <c r="L5901" t="s">
        <v>2709</v>
      </c>
      <c r="M5901">
        <v>55049010</v>
      </c>
      <c r="O5901" t="s">
        <v>19447</v>
      </c>
      <c r="P5901" t="s">
        <v>19899</v>
      </c>
      <c r="Q5901" t="s">
        <v>19900</v>
      </c>
      <c r="R5901" t="s">
        <v>19905</v>
      </c>
      <c r="S5901" t="s">
        <v>19906</v>
      </c>
      <c r="T5901" t="s">
        <v>19901</v>
      </c>
    </row>
    <row r="5902" spans="2:20" x14ac:dyDescent="0.25">
      <c r="B5902" t="s">
        <v>2709</v>
      </c>
      <c r="C5902">
        <v>55049090</v>
      </c>
      <c r="E5902" t="s">
        <v>19447</v>
      </c>
      <c r="F5902">
        <v>18</v>
      </c>
      <c r="G5902">
        <v>0</v>
      </c>
      <c r="H5902">
        <v>7.6</v>
      </c>
      <c r="I5902">
        <v>1.65</v>
      </c>
      <c r="J5902">
        <v>12</v>
      </c>
      <c r="L5902" t="s">
        <v>2709</v>
      </c>
      <c r="M5902">
        <v>55049090</v>
      </c>
      <c r="O5902" t="s">
        <v>19447</v>
      </c>
      <c r="P5902" t="s">
        <v>19899</v>
      </c>
      <c r="Q5902" t="s">
        <v>19900</v>
      </c>
      <c r="R5902" t="s">
        <v>19905</v>
      </c>
      <c r="S5902" t="s">
        <v>19906</v>
      </c>
      <c r="T5902" t="s">
        <v>19903</v>
      </c>
    </row>
    <row r="5903" spans="2:20" x14ac:dyDescent="0.25">
      <c r="B5903" t="s">
        <v>2709</v>
      </c>
      <c r="C5903">
        <v>55051000</v>
      </c>
      <c r="E5903" t="s">
        <v>19447</v>
      </c>
      <c r="F5903">
        <v>18</v>
      </c>
      <c r="G5903">
        <v>0</v>
      </c>
      <c r="H5903">
        <v>7.6</v>
      </c>
      <c r="I5903">
        <v>1.65</v>
      </c>
      <c r="J5903">
        <v>16</v>
      </c>
      <c r="L5903" t="s">
        <v>2709</v>
      </c>
      <c r="M5903">
        <v>55051000</v>
      </c>
      <c r="O5903" t="s">
        <v>19447</v>
      </c>
      <c r="P5903" t="s">
        <v>19899</v>
      </c>
      <c r="Q5903" t="s">
        <v>19900</v>
      </c>
      <c r="R5903" t="s">
        <v>19905</v>
      </c>
      <c r="S5903" t="s">
        <v>19906</v>
      </c>
      <c r="T5903" t="s">
        <v>19913</v>
      </c>
    </row>
    <row r="5904" spans="2:20" x14ac:dyDescent="0.25">
      <c r="B5904" t="s">
        <v>2709</v>
      </c>
      <c r="C5904">
        <v>55052000</v>
      </c>
      <c r="E5904" t="s">
        <v>19447</v>
      </c>
      <c r="F5904">
        <v>18</v>
      </c>
      <c r="G5904">
        <v>0</v>
      </c>
      <c r="H5904">
        <v>7.6</v>
      </c>
      <c r="I5904">
        <v>1.65</v>
      </c>
      <c r="J5904">
        <v>12</v>
      </c>
      <c r="L5904" t="s">
        <v>2709</v>
      </c>
      <c r="M5904">
        <v>55052000</v>
      </c>
      <c r="O5904" t="s">
        <v>19447</v>
      </c>
      <c r="P5904" t="s">
        <v>19899</v>
      </c>
      <c r="Q5904" t="s">
        <v>19900</v>
      </c>
      <c r="R5904" t="s">
        <v>19905</v>
      </c>
      <c r="S5904" t="s">
        <v>19906</v>
      </c>
      <c r="T5904" t="s">
        <v>19903</v>
      </c>
    </row>
    <row r="5905" spans="2:20" x14ac:dyDescent="0.25">
      <c r="B5905" t="s">
        <v>2709</v>
      </c>
      <c r="C5905">
        <v>55061000</v>
      </c>
      <c r="E5905" t="s">
        <v>19447</v>
      </c>
      <c r="F5905">
        <v>18</v>
      </c>
      <c r="G5905">
        <v>0</v>
      </c>
      <c r="H5905">
        <v>7.6</v>
      </c>
      <c r="I5905">
        <v>1.65</v>
      </c>
      <c r="J5905">
        <v>16</v>
      </c>
      <c r="L5905" t="s">
        <v>2709</v>
      </c>
      <c r="M5905">
        <v>55061000</v>
      </c>
      <c r="O5905" t="s">
        <v>19447</v>
      </c>
      <c r="P5905" t="s">
        <v>19899</v>
      </c>
      <c r="Q5905" t="s">
        <v>19900</v>
      </c>
      <c r="R5905" t="s">
        <v>19905</v>
      </c>
      <c r="S5905" t="s">
        <v>19906</v>
      </c>
      <c r="T5905" t="s">
        <v>19913</v>
      </c>
    </row>
    <row r="5906" spans="2:20" x14ac:dyDescent="0.25">
      <c r="B5906" t="s">
        <v>2709</v>
      </c>
      <c r="C5906">
        <v>55062000</v>
      </c>
      <c r="E5906" t="s">
        <v>19447</v>
      </c>
      <c r="F5906">
        <v>18</v>
      </c>
      <c r="G5906">
        <v>0</v>
      </c>
      <c r="H5906">
        <v>7.6</v>
      </c>
      <c r="I5906">
        <v>1.65</v>
      </c>
      <c r="J5906">
        <v>16</v>
      </c>
      <c r="L5906" t="s">
        <v>2709</v>
      </c>
      <c r="M5906">
        <v>55062000</v>
      </c>
      <c r="O5906" t="s">
        <v>19447</v>
      </c>
      <c r="P5906" t="s">
        <v>19899</v>
      </c>
      <c r="Q5906" t="s">
        <v>19900</v>
      </c>
      <c r="R5906" t="s">
        <v>19905</v>
      </c>
      <c r="S5906" t="s">
        <v>19906</v>
      </c>
      <c r="T5906" t="s">
        <v>19913</v>
      </c>
    </row>
    <row r="5907" spans="2:20" x14ac:dyDescent="0.25">
      <c r="B5907" t="s">
        <v>2709</v>
      </c>
      <c r="C5907">
        <v>55063000</v>
      </c>
      <c r="E5907" t="s">
        <v>19447</v>
      </c>
      <c r="F5907">
        <v>18</v>
      </c>
      <c r="G5907">
        <v>0</v>
      </c>
      <c r="H5907">
        <v>7.6</v>
      </c>
      <c r="I5907">
        <v>1.65</v>
      </c>
      <c r="J5907">
        <v>16</v>
      </c>
      <c r="L5907" t="s">
        <v>2709</v>
      </c>
      <c r="M5907">
        <v>55063000</v>
      </c>
      <c r="O5907" t="s">
        <v>19447</v>
      </c>
      <c r="P5907" t="s">
        <v>19899</v>
      </c>
      <c r="Q5907" t="s">
        <v>19900</v>
      </c>
      <c r="R5907" t="s">
        <v>19905</v>
      </c>
      <c r="S5907" t="s">
        <v>19906</v>
      </c>
      <c r="T5907" t="s">
        <v>19913</v>
      </c>
    </row>
    <row r="5908" spans="2:20" x14ac:dyDescent="0.25">
      <c r="B5908" t="s">
        <v>2709</v>
      </c>
      <c r="C5908">
        <v>55069000</v>
      </c>
      <c r="E5908" t="s">
        <v>19447</v>
      </c>
      <c r="F5908">
        <v>18</v>
      </c>
      <c r="G5908">
        <v>0</v>
      </c>
      <c r="H5908">
        <v>7.6</v>
      </c>
      <c r="I5908">
        <v>1.65</v>
      </c>
      <c r="J5908">
        <v>16</v>
      </c>
      <c r="L5908" t="s">
        <v>2709</v>
      </c>
      <c r="M5908">
        <v>55069000</v>
      </c>
      <c r="O5908" t="s">
        <v>19447</v>
      </c>
      <c r="P5908" t="s">
        <v>19899</v>
      </c>
      <c r="Q5908" t="s">
        <v>19900</v>
      </c>
      <c r="R5908" t="s">
        <v>19905</v>
      </c>
      <c r="S5908" t="s">
        <v>19906</v>
      </c>
      <c r="T5908" t="s">
        <v>19913</v>
      </c>
    </row>
    <row r="5909" spans="2:20" x14ac:dyDescent="0.25">
      <c r="B5909" t="s">
        <v>2709</v>
      </c>
      <c r="C5909">
        <v>55070000</v>
      </c>
      <c r="E5909" t="s">
        <v>19447</v>
      </c>
      <c r="F5909">
        <v>18</v>
      </c>
      <c r="G5909">
        <v>0</v>
      </c>
      <c r="H5909">
        <v>7.6</v>
      </c>
      <c r="I5909">
        <v>1.65</v>
      </c>
      <c r="J5909">
        <v>12</v>
      </c>
      <c r="L5909" t="s">
        <v>2709</v>
      </c>
      <c r="M5909">
        <v>55070000</v>
      </c>
      <c r="O5909" t="s">
        <v>19447</v>
      </c>
      <c r="P5909" t="s">
        <v>19899</v>
      </c>
      <c r="Q5909" t="s">
        <v>19900</v>
      </c>
      <c r="R5909" t="s">
        <v>19905</v>
      </c>
      <c r="S5909" t="s">
        <v>19906</v>
      </c>
      <c r="T5909" t="s">
        <v>19903</v>
      </c>
    </row>
    <row r="5910" spans="2:20" x14ac:dyDescent="0.25">
      <c r="B5910" t="s">
        <v>2709</v>
      </c>
      <c r="C5910">
        <v>55081000</v>
      </c>
      <c r="E5910" t="s">
        <v>19447</v>
      </c>
      <c r="F5910">
        <v>18</v>
      </c>
      <c r="G5910">
        <v>0</v>
      </c>
      <c r="H5910">
        <v>7.6</v>
      </c>
      <c r="I5910">
        <v>1.65</v>
      </c>
      <c r="J5910">
        <v>18</v>
      </c>
      <c r="L5910" t="s">
        <v>2709</v>
      </c>
      <c r="M5910">
        <v>55081000</v>
      </c>
      <c r="O5910" t="s">
        <v>19447</v>
      </c>
      <c r="P5910" t="s">
        <v>19899</v>
      </c>
      <c r="Q5910" t="s">
        <v>19900</v>
      </c>
      <c r="R5910" t="s">
        <v>19905</v>
      </c>
      <c r="S5910" t="s">
        <v>19906</v>
      </c>
      <c r="T5910" t="s">
        <v>19899</v>
      </c>
    </row>
    <row r="5911" spans="2:20" x14ac:dyDescent="0.25">
      <c r="B5911" t="s">
        <v>2709</v>
      </c>
      <c r="C5911">
        <v>55082000</v>
      </c>
      <c r="E5911" t="s">
        <v>19447</v>
      </c>
      <c r="F5911">
        <v>18</v>
      </c>
      <c r="G5911">
        <v>0</v>
      </c>
      <c r="H5911">
        <v>7.6</v>
      </c>
      <c r="I5911">
        <v>1.65</v>
      </c>
      <c r="J5911">
        <v>18</v>
      </c>
      <c r="L5911" t="s">
        <v>2709</v>
      </c>
      <c r="M5911">
        <v>55082000</v>
      </c>
      <c r="O5911" t="s">
        <v>19447</v>
      </c>
      <c r="P5911" t="s">
        <v>19899</v>
      </c>
      <c r="Q5911" t="s">
        <v>19900</v>
      </c>
      <c r="R5911" t="s">
        <v>19905</v>
      </c>
      <c r="S5911" t="s">
        <v>19906</v>
      </c>
      <c r="T5911" t="s">
        <v>19899</v>
      </c>
    </row>
    <row r="5912" spans="2:20" x14ac:dyDescent="0.25">
      <c r="B5912" t="s">
        <v>2709</v>
      </c>
      <c r="C5912">
        <v>55091100</v>
      </c>
      <c r="E5912" t="s">
        <v>19447</v>
      </c>
      <c r="F5912">
        <v>18</v>
      </c>
      <c r="G5912">
        <v>0</v>
      </c>
      <c r="H5912">
        <v>7.6</v>
      </c>
      <c r="I5912">
        <v>1.65</v>
      </c>
      <c r="J5912">
        <v>18</v>
      </c>
      <c r="L5912" t="s">
        <v>2709</v>
      </c>
      <c r="M5912">
        <v>55091100</v>
      </c>
      <c r="O5912" t="s">
        <v>19447</v>
      </c>
      <c r="P5912" t="s">
        <v>19899</v>
      </c>
      <c r="Q5912" t="s">
        <v>19900</v>
      </c>
      <c r="R5912" t="s">
        <v>19905</v>
      </c>
      <c r="S5912" t="s">
        <v>19906</v>
      </c>
      <c r="T5912" t="s">
        <v>19899</v>
      </c>
    </row>
    <row r="5913" spans="2:20" x14ac:dyDescent="0.25">
      <c r="B5913" t="s">
        <v>2709</v>
      </c>
      <c r="C5913">
        <v>55091210</v>
      </c>
      <c r="E5913" t="s">
        <v>19447</v>
      </c>
      <c r="F5913">
        <v>18</v>
      </c>
      <c r="G5913">
        <v>0</v>
      </c>
      <c r="H5913">
        <v>7.6</v>
      </c>
      <c r="I5913">
        <v>1.65</v>
      </c>
      <c r="J5913">
        <v>2</v>
      </c>
      <c r="L5913" t="s">
        <v>2709</v>
      </c>
      <c r="M5913">
        <v>55091210</v>
      </c>
      <c r="O5913" t="s">
        <v>19447</v>
      </c>
      <c r="P5913" t="s">
        <v>19899</v>
      </c>
      <c r="Q5913" t="s">
        <v>19900</v>
      </c>
      <c r="R5913" t="s">
        <v>19905</v>
      </c>
      <c r="S5913" t="s">
        <v>19906</v>
      </c>
      <c r="T5913" t="s">
        <v>19901</v>
      </c>
    </row>
    <row r="5914" spans="2:20" x14ac:dyDescent="0.25">
      <c r="B5914" t="s">
        <v>2709</v>
      </c>
      <c r="C5914">
        <v>55091290</v>
      </c>
      <c r="E5914" t="s">
        <v>19447</v>
      </c>
      <c r="F5914">
        <v>18</v>
      </c>
      <c r="G5914">
        <v>0</v>
      </c>
      <c r="H5914">
        <v>7.6</v>
      </c>
      <c r="I5914">
        <v>1.65</v>
      </c>
      <c r="J5914">
        <v>18</v>
      </c>
      <c r="L5914" t="s">
        <v>2709</v>
      </c>
      <c r="M5914">
        <v>55091290</v>
      </c>
      <c r="O5914" t="s">
        <v>19447</v>
      </c>
      <c r="P5914" t="s">
        <v>19899</v>
      </c>
      <c r="Q5914" t="s">
        <v>19900</v>
      </c>
      <c r="R5914" t="s">
        <v>19905</v>
      </c>
      <c r="S5914" t="s">
        <v>19906</v>
      </c>
      <c r="T5914" t="s">
        <v>19899</v>
      </c>
    </row>
    <row r="5915" spans="2:20" x14ac:dyDescent="0.25">
      <c r="B5915" t="s">
        <v>2709</v>
      </c>
      <c r="C5915">
        <v>55092100</v>
      </c>
      <c r="E5915" t="s">
        <v>19447</v>
      </c>
      <c r="F5915">
        <v>18</v>
      </c>
      <c r="G5915">
        <v>0</v>
      </c>
      <c r="H5915">
        <v>7.6</v>
      </c>
      <c r="I5915">
        <v>1.65</v>
      </c>
      <c r="J5915">
        <v>18</v>
      </c>
      <c r="L5915" t="s">
        <v>2709</v>
      </c>
      <c r="M5915">
        <v>55092100</v>
      </c>
      <c r="O5915" t="s">
        <v>19447</v>
      </c>
      <c r="P5915" t="s">
        <v>19899</v>
      </c>
      <c r="Q5915" t="s">
        <v>19900</v>
      </c>
      <c r="R5915" t="s">
        <v>19905</v>
      </c>
      <c r="S5915" t="s">
        <v>19906</v>
      </c>
      <c r="T5915" t="s">
        <v>19899</v>
      </c>
    </row>
    <row r="5916" spans="2:20" x14ac:dyDescent="0.25">
      <c r="B5916" t="s">
        <v>2709</v>
      </c>
      <c r="C5916">
        <v>55092200</v>
      </c>
      <c r="E5916" t="s">
        <v>19447</v>
      </c>
      <c r="F5916">
        <v>18</v>
      </c>
      <c r="G5916">
        <v>0</v>
      </c>
      <c r="H5916">
        <v>7.6</v>
      </c>
      <c r="I5916">
        <v>1.65</v>
      </c>
      <c r="J5916">
        <v>18</v>
      </c>
      <c r="L5916" t="s">
        <v>2709</v>
      </c>
      <c r="M5916">
        <v>55092200</v>
      </c>
      <c r="O5916" t="s">
        <v>19447</v>
      </c>
      <c r="P5916" t="s">
        <v>19899</v>
      </c>
      <c r="Q5916" t="s">
        <v>19900</v>
      </c>
      <c r="R5916" t="s">
        <v>19905</v>
      </c>
      <c r="S5916" t="s">
        <v>19906</v>
      </c>
      <c r="T5916" t="s">
        <v>19899</v>
      </c>
    </row>
    <row r="5917" spans="2:20" x14ac:dyDescent="0.25">
      <c r="B5917" t="s">
        <v>2709</v>
      </c>
      <c r="C5917">
        <v>55093100</v>
      </c>
      <c r="E5917" t="s">
        <v>19447</v>
      </c>
      <c r="F5917">
        <v>18</v>
      </c>
      <c r="G5917">
        <v>0</v>
      </c>
      <c r="H5917">
        <v>7.6</v>
      </c>
      <c r="I5917">
        <v>1.65</v>
      </c>
      <c r="J5917">
        <v>18</v>
      </c>
      <c r="L5917" t="s">
        <v>2709</v>
      </c>
      <c r="M5917">
        <v>55093100</v>
      </c>
      <c r="O5917" t="s">
        <v>19447</v>
      </c>
      <c r="P5917" t="s">
        <v>19899</v>
      </c>
      <c r="Q5917" t="s">
        <v>19900</v>
      </c>
      <c r="R5917" t="s">
        <v>19905</v>
      </c>
      <c r="S5917" t="s">
        <v>19906</v>
      </c>
      <c r="T5917" t="s">
        <v>19899</v>
      </c>
    </row>
    <row r="5918" spans="2:20" x14ac:dyDescent="0.25">
      <c r="B5918" t="s">
        <v>2709</v>
      </c>
      <c r="C5918">
        <v>55093200</v>
      </c>
      <c r="E5918" t="s">
        <v>19447</v>
      </c>
      <c r="F5918">
        <v>18</v>
      </c>
      <c r="G5918">
        <v>0</v>
      </c>
      <c r="H5918">
        <v>7.6</v>
      </c>
      <c r="I5918">
        <v>1.65</v>
      </c>
      <c r="J5918">
        <v>18</v>
      </c>
      <c r="L5918" t="s">
        <v>2709</v>
      </c>
      <c r="M5918">
        <v>55093200</v>
      </c>
      <c r="O5918" t="s">
        <v>19447</v>
      </c>
      <c r="P5918" t="s">
        <v>19899</v>
      </c>
      <c r="Q5918" t="s">
        <v>19900</v>
      </c>
      <c r="R5918" t="s">
        <v>19905</v>
      </c>
      <c r="S5918" t="s">
        <v>19906</v>
      </c>
      <c r="T5918" t="s">
        <v>19899</v>
      </c>
    </row>
    <row r="5919" spans="2:20" x14ac:dyDescent="0.25">
      <c r="B5919" t="s">
        <v>2709</v>
      </c>
      <c r="C5919">
        <v>55094100</v>
      </c>
      <c r="E5919" t="s">
        <v>19447</v>
      </c>
      <c r="F5919">
        <v>18</v>
      </c>
      <c r="G5919">
        <v>0</v>
      </c>
      <c r="H5919">
        <v>7.6</v>
      </c>
      <c r="I5919">
        <v>1.65</v>
      </c>
      <c r="J5919">
        <v>18</v>
      </c>
      <c r="L5919" t="s">
        <v>2709</v>
      </c>
      <c r="M5919">
        <v>55094100</v>
      </c>
      <c r="O5919" t="s">
        <v>19447</v>
      </c>
      <c r="P5919" t="s">
        <v>19899</v>
      </c>
      <c r="Q5919" t="s">
        <v>19900</v>
      </c>
      <c r="R5919" t="s">
        <v>19905</v>
      </c>
      <c r="S5919" t="s">
        <v>19906</v>
      </c>
      <c r="T5919" t="s">
        <v>19899</v>
      </c>
    </row>
    <row r="5920" spans="2:20" x14ac:dyDescent="0.25">
      <c r="B5920" t="s">
        <v>2709</v>
      </c>
      <c r="C5920">
        <v>55094200</v>
      </c>
      <c r="E5920" t="s">
        <v>19447</v>
      </c>
      <c r="F5920">
        <v>18</v>
      </c>
      <c r="G5920">
        <v>0</v>
      </c>
      <c r="H5920">
        <v>7.6</v>
      </c>
      <c r="I5920">
        <v>1.65</v>
      </c>
      <c r="J5920">
        <v>18</v>
      </c>
      <c r="L5920" t="s">
        <v>2709</v>
      </c>
      <c r="M5920">
        <v>55094200</v>
      </c>
      <c r="O5920" t="s">
        <v>19447</v>
      </c>
      <c r="P5920" t="s">
        <v>19899</v>
      </c>
      <c r="Q5920" t="s">
        <v>19900</v>
      </c>
      <c r="R5920" t="s">
        <v>19905</v>
      </c>
      <c r="S5920" t="s">
        <v>19906</v>
      </c>
      <c r="T5920" t="s">
        <v>19899</v>
      </c>
    </row>
    <row r="5921" spans="2:20" x14ac:dyDescent="0.25">
      <c r="B5921" t="s">
        <v>2709</v>
      </c>
      <c r="C5921">
        <v>55095100</v>
      </c>
      <c r="E5921" t="s">
        <v>19447</v>
      </c>
      <c r="F5921">
        <v>18</v>
      </c>
      <c r="G5921">
        <v>0</v>
      </c>
      <c r="H5921">
        <v>7.6</v>
      </c>
      <c r="I5921">
        <v>1.65</v>
      </c>
      <c r="J5921">
        <v>18</v>
      </c>
      <c r="L5921" t="s">
        <v>2709</v>
      </c>
      <c r="M5921">
        <v>55095100</v>
      </c>
      <c r="O5921" t="s">
        <v>19447</v>
      </c>
      <c r="P5921" t="s">
        <v>19899</v>
      </c>
      <c r="Q5921" t="s">
        <v>19900</v>
      </c>
      <c r="R5921" t="s">
        <v>19905</v>
      </c>
      <c r="S5921" t="s">
        <v>19906</v>
      </c>
      <c r="T5921" t="s">
        <v>19899</v>
      </c>
    </row>
    <row r="5922" spans="2:20" x14ac:dyDescent="0.25">
      <c r="B5922" t="s">
        <v>2709</v>
      </c>
      <c r="C5922">
        <v>55095200</v>
      </c>
      <c r="E5922" t="s">
        <v>19447</v>
      </c>
      <c r="F5922">
        <v>18</v>
      </c>
      <c r="G5922">
        <v>0</v>
      </c>
      <c r="H5922">
        <v>7.6</v>
      </c>
      <c r="I5922">
        <v>1.65</v>
      </c>
      <c r="J5922">
        <v>18</v>
      </c>
      <c r="L5922" t="s">
        <v>2709</v>
      </c>
      <c r="M5922">
        <v>55095200</v>
      </c>
      <c r="O5922" t="s">
        <v>19447</v>
      </c>
      <c r="P5922" t="s">
        <v>19899</v>
      </c>
      <c r="Q5922" t="s">
        <v>19900</v>
      </c>
      <c r="R5922" t="s">
        <v>19905</v>
      </c>
      <c r="S5922" t="s">
        <v>19906</v>
      </c>
      <c r="T5922" t="s">
        <v>19899</v>
      </c>
    </row>
    <row r="5923" spans="2:20" x14ac:dyDescent="0.25">
      <c r="B5923" t="s">
        <v>2709</v>
      </c>
      <c r="C5923">
        <v>55095300</v>
      </c>
      <c r="E5923">
        <v>112.46</v>
      </c>
      <c r="F5923">
        <v>18</v>
      </c>
      <c r="G5923">
        <v>0</v>
      </c>
      <c r="H5923">
        <v>7.6</v>
      </c>
      <c r="I5923">
        <v>1.65</v>
      </c>
      <c r="J5923">
        <v>18</v>
      </c>
      <c r="L5923" t="s">
        <v>2709</v>
      </c>
      <c r="M5923">
        <v>55095300</v>
      </c>
      <c r="O5923" t="s">
        <v>20055</v>
      </c>
      <c r="P5923" t="s">
        <v>19899</v>
      </c>
      <c r="Q5923" t="s">
        <v>19900</v>
      </c>
      <c r="R5923" t="s">
        <v>19905</v>
      </c>
      <c r="S5923" t="s">
        <v>19906</v>
      </c>
      <c r="T5923" t="s">
        <v>19899</v>
      </c>
    </row>
    <row r="5924" spans="2:20" x14ac:dyDescent="0.25">
      <c r="B5924" t="s">
        <v>2709</v>
      </c>
      <c r="C5924">
        <v>55095900</v>
      </c>
      <c r="E5924" t="s">
        <v>19447</v>
      </c>
      <c r="F5924">
        <v>18</v>
      </c>
      <c r="G5924">
        <v>0</v>
      </c>
      <c r="H5924">
        <v>7.6</v>
      </c>
      <c r="I5924">
        <v>1.65</v>
      </c>
      <c r="J5924">
        <v>18</v>
      </c>
      <c r="L5924" t="s">
        <v>2709</v>
      </c>
      <c r="M5924">
        <v>55095900</v>
      </c>
      <c r="O5924" t="s">
        <v>19447</v>
      </c>
      <c r="P5924" t="s">
        <v>19899</v>
      </c>
      <c r="Q5924" t="s">
        <v>19900</v>
      </c>
      <c r="R5924" t="s">
        <v>19905</v>
      </c>
      <c r="S5924" t="s">
        <v>19906</v>
      </c>
      <c r="T5924" t="s">
        <v>19899</v>
      </c>
    </row>
    <row r="5925" spans="2:20" x14ac:dyDescent="0.25">
      <c r="B5925" t="s">
        <v>2709</v>
      </c>
      <c r="C5925">
        <v>55096100</v>
      </c>
      <c r="E5925" t="s">
        <v>19447</v>
      </c>
      <c r="F5925">
        <v>18</v>
      </c>
      <c r="G5925">
        <v>0</v>
      </c>
      <c r="H5925">
        <v>7.6</v>
      </c>
      <c r="I5925">
        <v>1.65</v>
      </c>
      <c r="J5925">
        <v>18</v>
      </c>
      <c r="L5925" t="s">
        <v>2709</v>
      </c>
      <c r="M5925">
        <v>55096100</v>
      </c>
      <c r="O5925" t="s">
        <v>19447</v>
      </c>
      <c r="P5925" t="s">
        <v>19899</v>
      </c>
      <c r="Q5925" t="s">
        <v>19900</v>
      </c>
      <c r="R5925" t="s">
        <v>19905</v>
      </c>
      <c r="S5925" t="s">
        <v>19906</v>
      </c>
      <c r="T5925" t="s">
        <v>19899</v>
      </c>
    </row>
    <row r="5926" spans="2:20" x14ac:dyDescent="0.25">
      <c r="B5926" t="s">
        <v>2709</v>
      </c>
      <c r="C5926">
        <v>55096200</v>
      </c>
      <c r="E5926" t="s">
        <v>19447</v>
      </c>
      <c r="F5926">
        <v>18</v>
      </c>
      <c r="G5926">
        <v>0</v>
      </c>
      <c r="H5926">
        <v>7.6</v>
      </c>
      <c r="I5926">
        <v>1.65</v>
      </c>
      <c r="J5926">
        <v>18</v>
      </c>
      <c r="L5926" t="s">
        <v>2709</v>
      </c>
      <c r="M5926">
        <v>55096200</v>
      </c>
      <c r="O5926" t="s">
        <v>19447</v>
      </c>
      <c r="P5926" t="s">
        <v>19899</v>
      </c>
      <c r="Q5926" t="s">
        <v>19900</v>
      </c>
      <c r="R5926" t="s">
        <v>19905</v>
      </c>
      <c r="S5926" t="s">
        <v>19906</v>
      </c>
      <c r="T5926" t="s">
        <v>19899</v>
      </c>
    </row>
    <row r="5927" spans="2:20" x14ac:dyDescent="0.25">
      <c r="B5927" t="s">
        <v>2709</v>
      </c>
      <c r="C5927">
        <v>55096900</v>
      </c>
      <c r="E5927" t="s">
        <v>19447</v>
      </c>
      <c r="F5927">
        <v>18</v>
      </c>
      <c r="G5927">
        <v>0</v>
      </c>
      <c r="H5927">
        <v>7.6</v>
      </c>
      <c r="I5927">
        <v>1.65</v>
      </c>
      <c r="J5927">
        <v>18</v>
      </c>
      <c r="L5927" t="s">
        <v>2709</v>
      </c>
      <c r="M5927">
        <v>55096900</v>
      </c>
      <c r="O5927" t="s">
        <v>19447</v>
      </c>
      <c r="P5927" t="s">
        <v>19899</v>
      </c>
      <c r="Q5927" t="s">
        <v>19900</v>
      </c>
      <c r="R5927" t="s">
        <v>19905</v>
      </c>
      <c r="S5927" t="s">
        <v>19906</v>
      </c>
      <c r="T5927" t="s">
        <v>19899</v>
      </c>
    </row>
    <row r="5928" spans="2:20" x14ac:dyDescent="0.25">
      <c r="B5928" t="s">
        <v>2709</v>
      </c>
      <c r="C5928">
        <v>55099100</v>
      </c>
      <c r="E5928" t="s">
        <v>19447</v>
      </c>
      <c r="F5928">
        <v>18</v>
      </c>
      <c r="G5928">
        <v>0</v>
      </c>
      <c r="H5928">
        <v>7.6</v>
      </c>
      <c r="I5928">
        <v>1.65</v>
      </c>
      <c r="J5928">
        <v>18</v>
      </c>
      <c r="L5928" t="s">
        <v>2709</v>
      </c>
      <c r="M5928">
        <v>55099100</v>
      </c>
      <c r="O5928" t="s">
        <v>19447</v>
      </c>
      <c r="P5928" t="s">
        <v>19899</v>
      </c>
      <c r="Q5928" t="s">
        <v>19900</v>
      </c>
      <c r="R5928" t="s">
        <v>19905</v>
      </c>
      <c r="S5928" t="s">
        <v>19906</v>
      </c>
      <c r="T5928" t="s">
        <v>19899</v>
      </c>
    </row>
    <row r="5929" spans="2:20" x14ac:dyDescent="0.25">
      <c r="B5929" t="s">
        <v>2709</v>
      </c>
      <c r="C5929">
        <v>55099200</v>
      </c>
      <c r="E5929" t="s">
        <v>19447</v>
      </c>
      <c r="F5929">
        <v>18</v>
      </c>
      <c r="G5929">
        <v>0</v>
      </c>
      <c r="H5929">
        <v>7.6</v>
      </c>
      <c r="I5929">
        <v>1.65</v>
      </c>
      <c r="J5929">
        <v>18</v>
      </c>
      <c r="L5929" t="s">
        <v>2709</v>
      </c>
      <c r="M5929">
        <v>55099200</v>
      </c>
      <c r="O5929" t="s">
        <v>19447</v>
      </c>
      <c r="P5929" t="s">
        <v>19899</v>
      </c>
      <c r="Q5929" t="s">
        <v>19900</v>
      </c>
      <c r="R5929" t="s">
        <v>19905</v>
      </c>
      <c r="S5929" t="s">
        <v>19906</v>
      </c>
      <c r="T5929" t="s">
        <v>19899</v>
      </c>
    </row>
    <row r="5930" spans="2:20" x14ac:dyDescent="0.25">
      <c r="B5930" t="s">
        <v>2709</v>
      </c>
      <c r="C5930">
        <v>55099900</v>
      </c>
      <c r="E5930" t="s">
        <v>19447</v>
      </c>
      <c r="F5930">
        <v>18</v>
      </c>
      <c r="G5930">
        <v>0</v>
      </c>
      <c r="H5930">
        <v>7.6</v>
      </c>
      <c r="I5930">
        <v>1.65</v>
      </c>
      <c r="J5930">
        <v>18</v>
      </c>
      <c r="L5930" t="s">
        <v>2709</v>
      </c>
      <c r="M5930">
        <v>55099900</v>
      </c>
      <c r="O5930" t="s">
        <v>19447</v>
      </c>
      <c r="P5930" t="s">
        <v>19899</v>
      </c>
      <c r="Q5930" t="s">
        <v>19900</v>
      </c>
      <c r="R5930" t="s">
        <v>19905</v>
      </c>
      <c r="S5930" t="s">
        <v>19906</v>
      </c>
      <c r="T5930" t="s">
        <v>19899</v>
      </c>
    </row>
    <row r="5931" spans="2:20" x14ac:dyDescent="0.25">
      <c r="B5931" t="s">
        <v>2709</v>
      </c>
      <c r="C5931">
        <v>55101100</v>
      </c>
      <c r="E5931" t="s">
        <v>19447</v>
      </c>
      <c r="F5931">
        <v>18</v>
      </c>
      <c r="G5931">
        <v>0</v>
      </c>
      <c r="H5931">
        <v>7.6</v>
      </c>
      <c r="I5931">
        <v>1.65</v>
      </c>
      <c r="J5931">
        <v>18</v>
      </c>
      <c r="L5931" t="s">
        <v>2709</v>
      </c>
      <c r="M5931">
        <v>55101100</v>
      </c>
      <c r="O5931" t="s">
        <v>19447</v>
      </c>
      <c r="P5931" t="s">
        <v>19899</v>
      </c>
      <c r="Q5931" t="s">
        <v>19900</v>
      </c>
      <c r="R5931" t="s">
        <v>19905</v>
      </c>
      <c r="S5931" t="s">
        <v>19906</v>
      </c>
      <c r="T5931" t="s">
        <v>19899</v>
      </c>
    </row>
    <row r="5932" spans="2:20" x14ac:dyDescent="0.25">
      <c r="B5932" t="s">
        <v>2709</v>
      </c>
      <c r="C5932">
        <v>55101200</v>
      </c>
      <c r="E5932" t="s">
        <v>19447</v>
      </c>
      <c r="F5932">
        <v>18</v>
      </c>
      <c r="G5932">
        <v>0</v>
      </c>
      <c r="H5932">
        <v>7.6</v>
      </c>
      <c r="I5932">
        <v>1.65</v>
      </c>
      <c r="J5932">
        <v>18</v>
      </c>
      <c r="L5932" t="s">
        <v>2709</v>
      </c>
      <c r="M5932">
        <v>55101200</v>
      </c>
      <c r="O5932" t="s">
        <v>19447</v>
      </c>
      <c r="P5932" t="s">
        <v>19899</v>
      </c>
      <c r="Q5932" t="s">
        <v>19900</v>
      </c>
      <c r="R5932" t="s">
        <v>19905</v>
      </c>
      <c r="S5932" t="s">
        <v>19906</v>
      </c>
      <c r="T5932" t="s">
        <v>19899</v>
      </c>
    </row>
    <row r="5933" spans="2:20" x14ac:dyDescent="0.25">
      <c r="B5933" t="s">
        <v>2709</v>
      </c>
      <c r="C5933">
        <v>55102000</v>
      </c>
      <c r="E5933" t="s">
        <v>19447</v>
      </c>
      <c r="F5933">
        <v>18</v>
      </c>
      <c r="G5933">
        <v>0</v>
      </c>
      <c r="H5933">
        <v>7.6</v>
      </c>
      <c r="I5933">
        <v>1.65</v>
      </c>
      <c r="J5933">
        <v>18</v>
      </c>
      <c r="L5933" t="s">
        <v>2709</v>
      </c>
      <c r="M5933">
        <v>55102000</v>
      </c>
      <c r="O5933" t="s">
        <v>19447</v>
      </c>
      <c r="P5933" t="s">
        <v>19899</v>
      </c>
      <c r="Q5933" t="s">
        <v>19900</v>
      </c>
      <c r="R5933" t="s">
        <v>19905</v>
      </c>
      <c r="S5933" t="s">
        <v>19906</v>
      </c>
      <c r="T5933" t="s">
        <v>19899</v>
      </c>
    </row>
    <row r="5934" spans="2:20" x14ac:dyDescent="0.25">
      <c r="B5934" t="s">
        <v>2709</v>
      </c>
      <c r="C5934">
        <v>55103000</v>
      </c>
      <c r="E5934" t="s">
        <v>19447</v>
      </c>
      <c r="F5934">
        <v>18</v>
      </c>
      <c r="G5934">
        <v>0</v>
      </c>
      <c r="H5934">
        <v>7.6</v>
      </c>
      <c r="I5934">
        <v>1.65</v>
      </c>
      <c r="J5934">
        <v>18</v>
      </c>
      <c r="L5934" t="s">
        <v>2709</v>
      </c>
      <c r="M5934">
        <v>55103000</v>
      </c>
      <c r="O5934" t="s">
        <v>19447</v>
      </c>
      <c r="P5934" t="s">
        <v>19899</v>
      </c>
      <c r="Q5934" t="s">
        <v>19900</v>
      </c>
      <c r="R5934" t="s">
        <v>19905</v>
      </c>
      <c r="S5934" t="s">
        <v>19906</v>
      </c>
      <c r="T5934" t="s">
        <v>19899</v>
      </c>
    </row>
    <row r="5935" spans="2:20" x14ac:dyDescent="0.25">
      <c r="B5935" t="s">
        <v>2709</v>
      </c>
      <c r="C5935">
        <v>55109000</v>
      </c>
      <c r="E5935" t="s">
        <v>19447</v>
      </c>
      <c r="F5935">
        <v>18</v>
      </c>
      <c r="G5935">
        <v>0</v>
      </c>
      <c r="H5935">
        <v>7.6</v>
      </c>
      <c r="I5935">
        <v>1.65</v>
      </c>
      <c r="J5935">
        <v>18</v>
      </c>
      <c r="L5935" t="s">
        <v>2709</v>
      </c>
      <c r="M5935">
        <v>55109000</v>
      </c>
      <c r="O5935" t="s">
        <v>19447</v>
      </c>
      <c r="P5935" t="s">
        <v>19899</v>
      </c>
      <c r="Q5935" t="s">
        <v>19900</v>
      </c>
      <c r="R5935" t="s">
        <v>19905</v>
      </c>
      <c r="S5935" t="s">
        <v>19906</v>
      </c>
      <c r="T5935" t="s">
        <v>19899</v>
      </c>
    </row>
    <row r="5936" spans="2:20" x14ac:dyDescent="0.25">
      <c r="B5936" t="s">
        <v>2709</v>
      </c>
      <c r="C5936">
        <v>55111000</v>
      </c>
      <c r="E5936" t="s">
        <v>19447</v>
      </c>
      <c r="F5936">
        <v>18</v>
      </c>
      <c r="G5936">
        <v>0</v>
      </c>
      <c r="H5936">
        <v>7.6</v>
      </c>
      <c r="I5936">
        <v>1.65</v>
      </c>
      <c r="J5936">
        <v>18</v>
      </c>
      <c r="L5936" t="s">
        <v>2709</v>
      </c>
      <c r="M5936">
        <v>55111000</v>
      </c>
      <c r="O5936" t="s">
        <v>19447</v>
      </c>
      <c r="P5936" t="s">
        <v>19899</v>
      </c>
      <c r="Q5936" t="s">
        <v>19900</v>
      </c>
      <c r="R5936" t="s">
        <v>19905</v>
      </c>
      <c r="S5936" t="s">
        <v>19906</v>
      </c>
      <c r="T5936" t="s">
        <v>19899</v>
      </c>
    </row>
    <row r="5937" spans="2:20" x14ac:dyDescent="0.25">
      <c r="B5937" t="s">
        <v>2709</v>
      </c>
      <c r="C5937">
        <v>55112000</v>
      </c>
      <c r="E5937" t="s">
        <v>19447</v>
      </c>
      <c r="F5937">
        <v>18</v>
      </c>
      <c r="G5937">
        <v>0</v>
      </c>
      <c r="H5937">
        <v>7.6</v>
      </c>
      <c r="I5937">
        <v>1.65</v>
      </c>
      <c r="J5937">
        <v>18</v>
      </c>
      <c r="L5937" t="s">
        <v>2709</v>
      </c>
      <c r="M5937">
        <v>55112000</v>
      </c>
      <c r="O5937" t="s">
        <v>19447</v>
      </c>
      <c r="P5937" t="s">
        <v>19899</v>
      </c>
      <c r="Q5937" t="s">
        <v>19900</v>
      </c>
      <c r="R5937" t="s">
        <v>19905</v>
      </c>
      <c r="S5937" t="s">
        <v>19906</v>
      </c>
      <c r="T5937" t="s">
        <v>19899</v>
      </c>
    </row>
    <row r="5938" spans="2:20" x14ac:dyDescent="0.25">
      <c r="B5938" t="s">
        <v>2709</v>
      </c>
      <c r="C5938">
        <v>55113000</v>
      </c>
      <c r="E5938" t="s">
        <v>19447</v>
      </c>
      <c r="F5938">
        <v>18</v>
      </c>
      <c r="G5938">
        <v>0</v>
      </c>
      <c r="H5938">
        <v>7.6</v>
      </c>
      <c r="I5938">
        <v>1.65</v>
      </c>
      <c r="J5938">
        <v>18</v>
      </c>
      <c r="L5938" t="s">
        <v>2709</v>
      </c>
      <c r="M5938">
        <v>55113000</v>
      </c>
      <c r="O5938" t="s">
        <v>19447</v>
      </c>
      <c r="P5938" t="s">
        <v>19899</v>
      </c>
      <c r="Q5938" t="s">
        <v>19900</v>
      </c>
      <c r="R5938" t="s">
        <v>19905</v>
      </c>
      <c r="S5938" t="s">
        <v>19906</v>
      </c>
      <c r="T5938" t="s">
        <v>19899</v>
      </c>
    </row>
    <row r="5939" spans="2:20" x14ac:dyDescent="0.25">
      <c r="B5939" t="s">
        <v>2709</v>
      </c>
      <c r="C5939">
        <v>55121100</v>
      </c>
      <c r="E5939" t="s">
        <v>19447</v>
      </c>
      <c r="F5939">
        <v>18</v>
      </c>
      <c r="G5939">
        <v>0</v>
      </c>
      <c r="H5939">
        <v>7.6</v>
      </c>
      <c r="I5939">
        <v>1.65</v>
      </c>
      <c r="J5939">
        <v>26</v>
      </c>
      <c r="L5939" t="s">
        <v>2709</v>
      </c>
      <c r="M5939">
        <v>55121100</v>
      </c>
      <c r="O5939" t="s">
        <v>19447</v>
      </c>
      <c r="P5939" t="s">
        <v>19899</v>
      </c>
      <c r="Q5939" t="s">
        <v>19900</v>
      </c>
      <c r="R5939" t="s">
        <v>19905</v>
      </c>
      <c r="S5939" t="s">
        <v>19906</v>
      </c>
      <c r="T5939" t="s">
        <v>20108</v>
      </c>
    </row>
    <row r="5940" spans="2:20" x14ac:dyDescent="0.25">
      <c r="B5940" t="s">
        <v>2709</v>
      </c>
      <c r="C5940">
        <v>55121900</v>
      </c>
      <c r="E5940" t="s">
        <v>19447</v>
      </c>
      <c r="F5940">
        <v>18</v>
      </c>
      <c r="G5940">
        <v>0</v>
      </c>
      <c r="H5940">
        <v>7.6</v>
      </c>
      <c r="I5940">
        <v>1.65</v>
      </c>
      <c r="J5940">
        <v>26</v>
      </c>
      <c r="L5940" t="s">
        <v>2709</v>
      </c>
      <c r="M5940">
        <v>55121900</v>
      </c>
      <c r="O5940" t="s">
        <v>19447</v>
      </c>
      <c r="P5940" t="s">
        <v>19899</v>
      </c>
      <c r="Q5940" t="s">
        <v>19900</v>
      </c>
      <c r="R5940" t="s">
        <v>19905</v>
      </c>
      <c r="S5940" t="s">
        <v>19906</v>
      </c>
      <c r="T5940" t="s">
        <v>20108</v>
      </c>
    </row>
    <row r="5941" spans="2:20" x14ac:dyDescent="0.25">
      <c r="B5941" t="s">
        <v>2709</v>
      </c>
      <c r="C5941">
        <v>55122100</v>
      </c>
      <c r="E5941" t="s">
        <v>19447</v>
      </c>
      <c r="F5941">
        <v>18</v>
      </c>
      <c r="G5941">
        <v>0</v>
      </c>
      <c r="H5941">
        <v>7.6</v>
      </c>
      <c r="I5941">
        <v>1.65</v>
      </c>
      <c r="J5941">
        <v>26</v>
      </c>
      <c r="L5941" t="s">
        <v>2709</v>
      </c>
      <c r="M5941">
        <v>55122100</v>
      </c>
      <c r="O5941" t="s">
        <v>19447</v>
      </c>
      <c r="P5941" t="s">
        <v>19899</v>
      </c>
      <c r="Q5941" t="s">
        <v>19900</v>
      </c>
      <c r="R5941" t="s">
        <v>19905</v>
      </c>
      <c r="S5941" t="s">
        <v>19906</v>
      </c>
      <c r="T5941" t="s">
        <v>20108</v>
      </c>
    </row>
    <row r="5942" spans="2:20" x14ac:dyDescent="0.25">
      <c r="B5942" t="s">
        <v>2709</v>
      </c>
      <c r="C5942">
        <v>55122900</v>
      </c>
      <c r="E5942" t="s">
        <v>19447</v>
      </c>
      <c r="F5942">
        <v>18</v>
      </c>
      <c r="G5942">
        <v>0</v>
      </c>
      <c r="H5942">
        <v>7.6</v>
      </c>
      <c r="I5942">
        <v>1.65</v>
      </c>
      <c r="J5942">
        <v>26</v>
      </c>
      <c r="L5942" t="s">
        <v>2709</v>
      </c>
      <c r="M5942">
        <v>55122900</v>
      </c>
      <c r="O5942" t="s">
        <v>19447</v>
      </c>
      <c r="P5942" t="s">
        <v>19899</v>
      </c>
      <c r="Q5942" t="s">
        <v>19900</v>
      </c>
      <c r="R5942" t="s">
        <v>19905</v>
      </c>
      <c r="S5942" t="s">
        <v>19906</v>
      </c>
      <c r="T5942" t="s">
        <v>20108</v>
      </c>
    </row>
    <row r="5943" spans="2:20" x14ac:dyDescent="0.25">
      <c r="B5943" t="s">
        <v>2709</v>
      </c>
      <c r="C5943">
        <v>55129110</v>
      </c>
      <c r="E5943" t="s">
        <v>19447</v>
      </c>
      <c r="F5943">
        <v>18</v>
      </c>
      <c r="G5943">
        <v>0</v>
      </c>
      <c r="H5943">
        <v>7.6</v>
      </c>
      <c r="I5943">
        <v>1.65</v>
      </c>
      <c r="J5943">
        <v>2</v>
      </c>
      <c r="L5943" t="s">
        <v>2709</v>
      </c>
      <c r="M5943">
        <v>55129110</v>
      </c>
      <c r="O5943" t="s">
        <v>19447</v>
      </c>
      <c r="P5943" t="s">
        <v>19899</v>
      </c>
      <c r="Q5943" t="s">
        <v>19900</v>
      </c>
      <c r="R5943" t="s">
        <v>19905</v>
      </c>
      <c r="S5943" t="s">
        <v>19906</v>
      </c>
      <c r="T5943" t="s">
        <v>19901</v>
      </c>
    </row>
    <row r="5944" spans="2:20" x14ac:dyDescent="0.25">
      <c r="B5944" t="s">
        <v>2709</v>
      </c>
      <c r="C5944">
        <v>55129190</v>
      </c>
      <c r="E5944" t="s">
        <v>19447</v>
      </c>
      <c r="F5944">
        <v>18</v>
      </c>
      <c r="G5944">
        <v>0</v>
      </c>
      <c r="H5944">
        <v>7.6</v>
      </c>
      <c r="I5944">
        <v>1.65</v>
      </c>
      <c r="J5944">
        <v>26</v>
      </c>
      <c r="L5944" t="s">
        <v>2709</v>
      </c>
      <c r="M5944">
        <v>55129190</v>
      </c>
      <c r="O5944" t="s">
        <v>19447</v>
      </c>
      <c r="P5944" t="s">
        <v>19899</v>
      </c>
      <c r="Q5944" t="s">
        <v>19900</v>
      </c>
      <c r="R5944" t="s">
        <v>19905</v>
      </c>
      <c r="S5944" t="s">
        <v>19906</v>
      </c>
      <c r="T5944" t="s">
        <v>20108</v>
      </c>
    </row>
    <row r="5945" spans="2:20" x14ac:dyDescent="0.25">
      <c r="B5945" t="s">
        <v>2709</v>
      </c>
      <c r="C5945">
        <v>55129910</v>
      </c>
      <c r="E5945" t="s">
        <v>19447</v>
      </c>
      <c r="F5945">
        <v>18</v>
      </c>
      <c r="G5945">
        <v>0</v>
      </c>
      <c r="H5945">
        <v>7.6</v>
      </c>
      <c r="I5945">
        <v>1.65</v>
      </c>
      <c r="J5945">
        <v>2</v>
      </c>
      <c r="L5945" t="s">
        <v>2709</v>
      </c>
      <c r="M5945">
        <v>55129910</v>
      </c>
      <c r="O5945" t="s">
        <v>19447</v>
      </c>
      <c r="P5945" t="s">
        <v>19899</v>
      </c>
      <c r="Q5945" t="s">
        <v>19900</v>
      </c>
      <c r="R5945" t="s">
        <v>19905</v>
      </c>
      <c r="S5945" t="s">
        <v>19906</v>
      </c>
      <c r="T5945" t="s">
        <v>19901</v>
      </c>
    </row>
    <row r="5946" spans="2:20" x14ac:dyDescent="0.25">
      <c r="B5946" t="s">
        <v>2709</v>
      </c>
      <c r="C5946">
        <v>55129990</v>
      </c>
      <c r="E5946" t="s">
        <v>19447</v>
      </c>
      <c r="F5946">
        <v>18</v>
      </c>
      <c r="G5946">
        <v>0</v>
      </c>
      <c r="H5946">
        <v>7.6</v>
      </c>
      <c r="I5946">
        <v>1.65</v>
      </c>
      <c r="J5946">
        <v>26</v>
      </c>
      <c r="L5946" t="s">
        <v>2709</v>
      </c>
      <c r="M5946">
        <v>55129990</v>
      </c>
      <c r="O5946" t="s">
        <v>19447</v>
      </c>
      <c r="P5946" t="s">
        <v>19899</v>
      </c>
      <c r="Q5946" t="s">
        <v>19900</v>
      </c>
      <c r="R5946" t="s">
        <v>19905</v>
      </c>
      <c r="S5946" t="s">
        <v>19906</v>
      </c>
      <c r="T5946" t="s">
        <v>20108</v>
      </c>
    </row>
    <row r="5947" spans="2:20" x14ac:dyDescent="0.25">
      <c r="B5947" t="s">
        <v>2709</v>
      </c>
      <c r="C5947">
        <v>55131100</v>
      </c>
      <c r="E5947" t="s">
        <v>19447</v>
      </c>
      <c r="F5947">
        <v>18</v>
      </c>
      <c r="G5947">
        <v>0</v>
      </c>
      <c r="H5947">
        <v>7.6</v>
      </c>
      <c r="I5947">
        <v>1.65</v>
      </c>
      <c r="J5947">
        <v>26</v>
      </c>
      <c r="L5947" t="s">
        <v>2709</v>
      </c>
      <c r="M5947">
        <v>55131100</v>
      </c>
      <c r="O5947" t="s">
        <v>19447</v>
      </c>
      <c r="P5947" t="s">
        <v>19899</v>
      </c>
      <c r="Q5947" t="s">
        <v>19900</v>
      </c>
      <c r="R5947" t="s">
        <v>19905</v>
      </c>
      <c r="S5947" t="s">
        <v>19906</v>
      </c>
      <c r="T5947" t="s">
        <v>20108</v>
      </c>
    </row>
    <row r="5948" spans="2:20" x14ac:dyDescent="0.25">
      <c r="B5948" t="s">
        <v>2709</v>
      </c>
      <c r="C5948">
        <v>55131200</v>
      </c>
      <c r="E5948" t="s">
        <v>19447</v>
      </c>
      <c r="F5948">
        <v>18</v>
      </c>
      <c r="G5948">
        <v>0</v>
      </c>
      <c r="H5948">
        <v>7.6</v>
      </c>
      <c r="I5948">
        <v>1.65</v>
      </c>
      <c r="J5948">
        <v>26</v>
      </c>
      <c r="L5948" t="s">
        <v>2709</v>
      </c>
      <c r="M5948">
        <v>55131200</v>
      </c>
      <c r="O5948" t="s">
        <v>19447</v>
      </c>
      <c r="P5948" t="s">
        <v>19899</v>
      </c>
      <c r="Q5948" t="s">
        <v>19900</v>
      </c>
      <c r="R5948" t="s">
        <v>19905</v>
      </c>
      <c r="S5948" t="s">
        <v>19906</v>
      </c>
      <c r="T5948" t="s">
        <v>20108</v>
      </c>
    </row>
    <row r="5949" spans="2:20" x14ac:dyDescent="0.25">
      <c r="B5949" t="s">
        <v>2709</v>
      </c>
      <c r="C5949">
        <v>55131300</v>
      </c>
      <c r="E5949" t="s">
        <v>19447</v>
      </c>
      <c r="F5949">
        <v>18</v>
      </c>
      <c r="G5949">
        <v>0</v>
      </c>
      <c r="H5949">
        <v>7.6</v>
      </c>
      <c r="I5949">
        <v>1.65</v>
      </c>
      <c r="J5949">
        <v>26</v>
      </c>
      <c r="L5949" t="s">
        <v>2709</v>
      </c>
      <c r="M5949">
        <v>55131300</v>
      </c>
      <c r="O5949" t="s">
        <v>19447</v>
      </c>
      <c r="P5949" t="s">
        <v>19899</v>
      </c>
      <c r="Q5949" t="s">
        <v>19900</v>
      </c>
      <c r="R5949" t="s">
        <v>19905</v>
      </c>
      <c r="S5949" t="s">
        <v>19906</v>
      </c>
      <c r="T5949" t="s">
        <v>20108</v>
      </c>
    </row>
    <row r="5950" spans="2:20" x14ac:dyDescent="0.25">
      <c r="B5950" t="s">
        <v>2709</v>
      </c>
      <c r="C5950">
        <v>55131900</v>
      </c>
      <c r="E5950" t="s">
        <v>19447</v>
      </c>
      <c r="F5950">
        <v>18</v>
      </c>
      <c r="G5950">
        <v>0</v>
      </c>
      <c r="H5950">
        <v>7.6</v>
      </c>
      <c r="I5950">
        <v>1.65</v>
      </c>
      <c r="J5950">
        <v>26</v>
      </c>
      <c r="L5950" t="s">
        <v>2709</v>
      </c>
      <c r="M5950">
        <v>55131900</v>
      </c>
      <c r="O5950" t="s">
        <v>19447</v>
      </c>
      <c r="P5950" t="s">
        <v>19899</v>
      </c>
      <c r="Q5950" t="s">
        <v>19900</v>
      </c>
      <c r="R5950" t="s">
        <v>19905</v>
      </c>
      <c r="S5950" t="s">
        <v>19906</v>
      </c>
      <c r="T5950" t="s">
        <v>20108</v>
      </c>
    </row>
    <row r="5951" spans="2:20" x14ac:dyDescent="0.25">
      <c r="B5951" t="s">
        <v>2709</v>
      </c>
      <c r="C5951">
        <v>55132100</v>
      </c>
      <c r="E5951" t="s">
        <v>19447</v>
      </c>
      <c r="F5951">
        <v>18</v>
      </c>
      <c r="G5951">
        <v>0</v>
      </c>
      <c r="H5951">
        <v>7.6</v>
      </c>
      <c r="I5951">
        <v>1.65</v>
      </c>
      <c r="J5951">
        <v>26</v>
      </c>
      <c r="L5951" t="s">
        <v>2709</v>
      </c>
      <c r="M5951">
        <v>55132100</v>
      </c>
      <c r="O5951" t="s">
        <v>19447</v>
      </c>
      <c r="P5951" t="s">
        <v>19899</v>
      </c>
      <c r="Q5951" t="s">
        <v>19900</v>
      </c>
      <c r="R5951" t="s">
        <v>19905</v>
      </c>
      <c r="S5951" t="s">
        <v>19906</v>
      </c>
      <c r="T5951" t="s">
        <v>20108</v>
      </c>
    </row>
    <row r="5952" spans="2:20" x14ac:dyDescent="0.25">
      <c r="B5952" t="s">
        <v>2709</v>
      </c>
      <c r="C5952">
        <v>55132310</v>
      </c>
      <c r="E5952" t="s">
        <v>19447</v>
      </c>
      <c r="F5952">
        <v>18</v>
      </c>
      <c r="G5952">
        <v>0</v>
      </c>
      <c r="H5952">
        <v>7.6</v>
      </c>
      <c r="I5952">
        <v>1.65</v>
      </c>
      <c r="J5952">
        <v>26</v>
      </c>
      <c r="L5952" t="s">
        <v>2709</v>
      </c>
      <c r="M5952">
        <v>55132310</v>
      </c>
      <c r="O5952" t="s">
        <v>19447</v>
      </c>
      <c r="P5952" t="s">
        <v>19899</v>
      </c>
      <c r="Q5952" t="s">
        <v>19900</v>
      </c>
      <c r="R5952" t="s">
        <v>19905</v>
      </c>
      <c r="S5952" t="s">
        <v>19906</v>
      </c>
      <c r="T5952" t="s">
        <v>20108</v>
      </c>
    </row>
    <row r="5953" spans="2:20" x14ac:dyDescent="0.25">
      <c r="B5953" t="s">
        <v>2709</v>
      </c>
      <c r="C5953">
        <v>55132390</v>
      </c>
      <c r="E5953" t="s">
        <v>19447</v>
      </c>
      <c r="F5953">
        <v>18</v>
      </c>
      <c r="G5953">
        <v>0</v>
      </c>
      <c r="H5953">
        <v>7.6</v>
      </c>
      <c r="I5953">
        <v>1.65</v>
      </c>
      <c r="J5953">
        <v>26</v>
      </c>
      <c r="L5953" t="s">
        <v>2709</v>
      </c>
      <c r="M5953">
        <v>55132390</v>
      </c>
      <c r="O5953" t="s">
        <v>19447</v>
      </c>
      <c r="P5953" t="s">
        <v>19899</v>
      </c>
      <c r="Q5953" t="s">
        <v>19900</v>
      </c>
      <c r="R5953" t="s">
        <v>19905</v>
      </c>
      <c r="S5953" t="s">
        <v>19906</v>
      </c>
      <c r="T5953" t="s">
        <v>20108</v>
      </c>
    </row>
    <row r="5954" spans="2:20" x14ac:dyDescent="0.25">
      <c r="B5954" t="s">
        <v>2709</v>
      </c>
      <c r="C5954">
        <v>55132900</v>
      </c>
      <c r="E5954" t="s">
        <v>19447</v>
      </c>
      <c r="F5954">
        <v>18</v>
      </c>
      <c r="G5954">
        <v>0</v>
      </c>
      <c r="H5954">
        <v>7.6</v>
      </c>
      <c r="I5954">
        <v>1.65</v>
      </c>
      <c r="J5954">
        <v>26</v>
      </c>
      <c r="L5954" t="s">
        <v>2709</v>
      </c>
      <c r="M5954">
        <v>55132900</v>
      </c>
      <c r="O5954" t="s">
        <v>19447</v>
      </c>
      <c r="P5954" t="s">
        <v>19899</v>
      </c>
      <c r="Q5954" t="s">
        <v>19900</v>
      </c>
      <c r="R5954" t="s">
        <v>19905</v>
      </c>
      <c r="S5954" t="s">
        <v>19906</v>
      </c>
      <c r="T5954" t="s">
        <v>20108</v>
      </c>
    </row>
    <row r="5955" spans="2:20" x14ac:dyDescent="0.25">
      <c r="B5955" t="s">
        <v>2709</v>
      </c>
      <c r="C5955">
        <v>55133100</v>
      </c>
      <c r="E5955" t="s">
        <v>19447</v>
      </c>
      <c r="F5955">
        <v>18</v>
      </c>
      <c r="G5955">
        <v>0</v>
      </c>
      <c r="H5955">
        <v>7.6</v>
      </c>
      <c r="I5955">
        <v>1.65</v>
      </c>
      <c r="J5955">
        <v>26</v>
      </c>
      <c r="L5955" t="s">
        <v>2709</v>
      </c>
      <c r="M5955">
        <v>55133100</v>
      </c>
      <c r="O5955" t="s">
        <v>19447</v>
      </c>
      <c r="P5955" t="s">
        <v>19899</v>
      </c>
      <c r="Q5955" t="s">
        <v>19900</v>
      </c>
      <c r="R5955" t="s">
        <v>19905</v>
      </c>
      <c r="S5955" t="s">
        <v>19906</v>
      </c>
      <c r="T5955" t="s">
        <v>20108</v>
      </c>
    </row>
    <row r="5956" spans="2:20" x14ac:dyDescent="0.25">
      <c r="B5956" t="s">
        <v>2709</v>
      </c>
      <c r="C5956">
        <v>55133911</v>
      </c>
      <c r="E5956" t="s">
        <v>19447</v>
      </c>
      <c r="F5956">
        <v>18</v>
      </c>
      <c r="G5956">
        <v>0</v>
      </c>
      <c r="H5956">
        <v>7.6</v>
      </c>
      <c r="I5956">
        <v>1.65</v>
      </c>
      <c r="J5956">
        <v>26</v>
      </c>
      <c r="L5956" t="s">
        <v>2709</v>
      </c>
      <c r="M5956">
        <v>55133911</v>
      </c>
      <c r="O5956" t="s">
        <v>19447</v>
      </c>
      <c r="P5956" t="s">
        <v>19899</v>
      </c>
      <c r="Q5956" t="s">
        <v>19900</v>
      </c>
      <c r="R5956" t="s">
        <v>19905</v>
      </c>
      <c r="S5956" t="s">
        <v>19906</v>
      </c>
      <c r="T5956" t="s">
        <v>20108</v>
      </c>
    </row>
    <row r="5957" spans="2:20" x14ac:dyDescent="0.25">
      <c r="B5957" t="s">
        <v>2709</v>
      </c>
      <c r="C5957">
        <v>55133919</v>
      </c>
      <c r="E5957" t="s">
        <v>19447</v>
      </c>
      <c r="F5957">
        <v>18</v>
      </c>
      <c r="G5957">
        <v>0</v>
      </c>
      <c r="H5957">
        <v>7.6</v>
      </c>
      <c r="I5957">
        <v>1.65</v>
      </c>
      <c r="J5957">
        <v>26</v>
      </c>
      <c r="L5957" t="s">
        <v>2709</v>
      </c>
      <c r="M5957">
        <v>55133919</v>
      </c>
      <c r="O5957" t="s">
        <v>19447</v>
      </c>
      <c r="P5957" t="s">
        <v>19899</v>
      </c>
      <c r="Q5957" t="s">
        <v>19900</v>
      </c>
      <c r="R5957" t="s">
        <v>19905</v>
      </c>
      <c r="S5957" t="s">
        <v>19906</v>
      </c>
      <c r="T5957" t="s">
        <v>20108</v>
      </c>
    </row>
    <row r="5958" spans="2:20" x14ac:dyDescent="0.25">
      <c r="B5958" t="s">
        <v>2709</v>
      </c>
      <c r="C5958">
        <v>55133990</v>
      </c>
      <c r="E5958" t="s">
        <v>19447</v>
      </c>
      <c r="F5958">
        <v>18</v>
      </c>
      <c r="G5958">
        <v>0</v>
      </c>
      <c r="H5958">
        <v>7.6</v>
      </c>
      <c r="I5958">
        <v>1.65</v>
      </c>
      <c r="J5958">
        <v>26</v>
      </c>
      <c r="L5958" t="s">
        <v>2709</v>
      </c>
      <c r="M5958">
        <v>55133990</v>
      </c>
      <c r="O5958" t="s">
        <v>19447</v>
      </c>
      <c r="P5958" t="s">
        <v>19899</v>
      </c>
      <c r="Q5958" t="s">
        <v>19900</v>
      </c>
      <c r="R5958" t="s">
        <v>19905</v>
      </c>
      <c r="S5958" t="s">
        <v>19906</v>
      </c>
      <c r="T5958" t="s">
        <v>20108</v>
      </c>
    </row>
    <row r="5959" spans="2:20" x14ac:dyDescent="0.25">
      <c r="B5959" t="s">
        <v>2709</v>
      </c>
      <c r="C5959">
        <v>55134100</v>
      </c>
      <c r="E5959" t="s">
        <v>19447</v>
      </c>
      <c r="F5959">
        <v>18</v>
      </c>
      <c r="G5959">
        <v>0</v>
      </c>
      <c r="H5959">
        <v>7.6</v>
      </c>
      <c r="I5959">
        <v>1.65</v>
      </c>
      <c r="J5959">
        <v>26</v>
      </c>
      <c r="L5959" t="s">
        <v>2709</v>
      </c>
      <c r="M5959">
        <v>55134100</v>
      </c>
      <c r="O5959" t="s">
        <v>19447</v>
      </c>
      <c r="P5959" t="s">
        <v>19899</v>
      </c>
      <c r="Q5959" t="s">
        <v>19900</v>
      </c>
      <c r="R5959" t="s">
        <v>19905</v>
      </c>
      <c r="S5959" t="s">
        <v>19906</v>
      </c>
      <c r="T5959" t="s">
        <v>20108</v>
      </c>
    </row>
    <row r="5960" spans="2:20" x14ac:dyDescent="0.25">
      <c r="B5960" t="s">
        <v>2709</v>
      </c>
      <c r="C5960">
        <v>55134911</v>
      </c>
      <c r="E5960" t="s">
        <v>19447</v>
      </c>
      <c r="F5960">
        <v>18</v>
      </c>
      <c r="G5960">
        <v>0</v>
      </c>
      <c r="H5960">
        <v>7.6</v>
      </c>
      <c r="I5960">
        <v>1.65</v>
      </c>
      <c r="J5960">
        <v>26</v>
      </c>
      <c r="L5960" t="s">
        <v>2709</v>
      </c>
      <c r="M5960">
        <v>55134911</v>
      </c>
      <c r="O5960" t="s">
        <v>19447</v>
      </c>
      <c r="P5960" t="s">
        <v>19899</v>
      </c>
      <c r="Q5960" t="s">
        <v>19900</v>
      </c>
      <c r="R5960" t="s">
        <v>19905</v>
      </c>
      <c r="S5960" t="s">
        <v>19906</v>
      </c>
      <c r="T5960" t="s">
        <v>20108</v>
      </c>
    </row>
    <row r="5961" spans="2:20" x14ac:dyDescent="0.25">
      <c r="B5961" t="s">
        <v>2709</v>
      </c>
      <c r="C5961">
        <v>55134919</v>
      </c>
      <c r="E5961" t="s">
        <v>19447</v>
      </c>
      <c r="F5961">
        <v>18</v>
      </c>
      <c r="G5961">
        <v>0</v>
      </c>
      <c r="H5961">
        <v>7.6</v>
      </c>
      <c r="I5961">
        <v>1.65</v>
      </c>
      <c r="J5961">
        <v>26</v>
      </c>
      <c r="L5961" t="s">
        <v>2709</v>
      </c>
      <c r="M5961">
        <v>55134919</v>
      </c>
      <c r="O5961" t="s">
        <v>19447</v>
      </c>
      <c r="P5961" t="s">
        <v>19899</v>
      </c>
      <c r="Q5961" t="s">
        <v>19900</v>
      </c>
      <c r="R5961" t="s">
        <v>19905</v>
      </c>
      <c r="S5961" t="s">
        <v>19906</v>
      </c>
      <c r="T5961" t="s">
        <v>20108</v>
      </c>
    </row>
    <row r="5962" spans="2:20" x14ac:dyDescent="0.25">
      <c r="B5962" t="s">
        <v>2709</v>
      </c>
      <c r="C5962">
        <v>55134990</v>
      </c>
      <c r="E5962" t="s">
        <v>19447</v>
      </c>
      <c r="F5962">
        <v>18</v>
      </c>
      <c r="G5962">
        <v>0</v>
      </c>
      <c r="H5962">
        <v>7.6</v>
      </c>
      <c r="I5962">
        <v>1.65</v>
      </c>
      <c r="J5962">
        <v>26</v>
      </c>
      <c r="L5962" t="s">
        <v>2709</v>
      </c>
      <c r="M5962">
        <v>55134990</v>
      </c>
      <c r="O5962" t="s">
        <v>19447</v>
      </c>
      <c r="P5962" t="s">
        <v>19899</v>
      </c>
      <c r="Q5962" t="s">
        <v>19900</v>
      </c>
      <c r="R5962" t="s">
        <v>19905</v>
      </c>
      <c r="S5962" t="s">
        <v>19906</v>
      </c>
      <c r="T5962" t="s">
        <v>20108</v>
      </c>
    </row>
    <row r="5963" spans="2:20" x14ac:dyDescent="0.25">
      <c r="B5963" t="s">
        <v>2709</v>
      </c>
      <c r="C5963">
        <v>55141100</v>
      </c>
      <c r="E5963" t="s">
        <v>19447</v>
      </c>
      <c r="F5963">
        <v>18</v>
      </c>
      <c r="G5963">
        <v>0</v>
      </c>
      <c r="H5963">
        <v>7.6</v>
      </c>
      <c r="I5963">
        <v>1.65</v>
      </c>
      <c r="J5963">
        <v>26</v>
      </c>
      <c r="L5963" t="s">
        <v>2709</v>
      </c>
      <c r="M5963">
        <v>55141100</v>
      </c>
      <c r="O5963" t="s">
        <v>19447</v>
      </c>
      <c r="P5963" t="s">
        <v>19899</v>
      </c>
      <c r="Q5963" t="s">
        <v>19900</v>
      </c>
      <c r="R5963" t="s">
        <v>19905</v>
      </c>
      <c r="S5963" t="s">
        <v>19906</v>
      </c>
      <c r="T5963" t="s">
        <v>20108</v>
      </c>
    </row>
    <row r="5964" spans="2:20" x14ac:dyDescent="0.25">
      <c r="B5964" t="s">
        <v>2709</v>
      </c>
      <c r="C5964">
        <v>55141200</v>
      </c>
      <c r="E5964" t="s">
        <v>19447</v>
      </c>
      <c r="F5964">
        <v>18</v>
      </c>
      <c r="G5964">
        <v>0</v>
      </c>
      <c r="H5964">
        <v>7.6</v>
      </c>
      <c r="I5964">
        <v>1.65</v>
      </c>
      <c r="J5964">
        <v>26</v>
      </c>
      <c r="L5964" t="s">
        <v>2709</v>
      </c>
      <c r="M5964">
        <v>55141200</v>
      </c>
      <c r="O5964" t="s">
        <v>19447</v>
      </c>
      <c r="P5964" t="s">
        <v>19899</v>
      </c>
      <c r="Q5964" t="s">
        <v>19900</v>
      </c>
      <c r="R5964" t="s">
        <v>19905</v>
      </c>
      <c r="S5964" t="s">
        <v>19906</v>
      </c>
      <c r="T5964" t="s">
        <v>20108</v>
      </c>
    </row>
    <row r="5965" spans="2:20" x14ac:dyDescent="0.25">
      <c r="B5965" t="s">
        <v>2709</v>
      </c>
      <c r="C5965">
        <v>55141910</v>
      </c>
      <c r="E5965" t="s">
        <v>19447</v>
      </c>
      <c r="F5965">
        <v>18</v>
      </c>
      <c r="G5965">
        <v>0</v>
      </c>
      <c r="H5965">
        <v>7.6</v>
      </c>
      <c r="I5965">
        <v>1.65</v>
      </c>
      <c r="J5965">
        <v>26</v>
      </c>
      <c r="L5965" t="s">
        <v>2709</v>
      </c>
      <c r="M5965">
        <v>55141910</v>
      </c>
      <c r="O5965" t="s">
        <v>19447</v>
      </c>
      <c r="P5965" t="s">
        <v>19899</v>
      </c>
      <c r="Q5965" t="s">
        <v>19900</v>
      </c>
      <c r="R5965" t="s">
        <v>19905</v>
      </c>
      <c r="S5965" t="s">
        <v>19906</v>
      </c>
      <c r="T5965" t="s">
        <v>20108</v>
      </c>
    </row>
    <row r="5966" spans="2:20" x14ac:dyDescent="0.25">
      <c r="B5966" t="s">
        <v>2709</v>
      </c>
      <c r="C5966">
        <v>55141990</v>
      </c>
      <c r="E5966" t="s">
        <v>19447</v>
      </c>
      <c r="F5966">
        <v>18</v>
      </c>
      <c r="G5966">
        <v>0</v>
      </c>
      <c r="H5966">
        <v>7.6</v>
      </c>
      <c r="I5966">
        <v>1.65</v>
      </c>
      <c r="J5966">
        <v>26</v>
      </c>
      <c r="L5966" t="s">
        <v>2709</v>
      </c>
      <c r="M5966">
        <v>55141990</v>
      </c>
      <c r="O5966" t="s">
        <v>19447</v>
      </c>
      <c r="P5966" t="s">
        <v>19899</v>
      </c>
      <c r="Q5966" t="s">
        <v>19900</v>
      </c>
      <c r="R5966" t="s">
        <v>19905</v>
      </c>
      <c r="S5966" t="s">
        <v>19906</v>
      </c>
      <c r="T5966" t="s">
        <v>20108</v>
      </c>
    </row>
    <row r="5967" spans="2:20" x14ac:dyDescent="0.25">
      <c r="B5967" t="s">
        <v>2709</v>
      </c>
      <c r="C5967">
        <v>55142100</v>
      </c>
      <c r="E5967" t="s">
        <v>19447</v>
      </c>
      <c r="F5967">
        <v>18</v>
      </c>
      <c r="G5967">
        <v>0</v>
      </c>
      <c r="H5967">
        <v>7.6</v>
      </c>
      <c r="I5967">
        <v>1.65</v>
      </c>
      <c r="J5967">
        <v>26</v>
      </c>
      <c r="L5967" t="s">
        <v>2709</v>
      </c>
      <c r="M5967">
        <v>55142100</v>
      </c>
      <c r="O5967" t="s">
        <v>19447</v>
      </c>
      <c r="P5967" t="s">
        <v>19899</v>
      </c>
      <c r="Q5967" t="s">
        <v>19900</v>
      </c>
      <c r="R5967" t="s">
        <v>19905</v>
      </c>
      <c r="S5967" t="s">
        <v>19906</v>
      </c>
      <c r="T5967" t="s">
        <v>20108</v>
      </c>
    </row>
    <row r="5968" spans="2:20" x14ac:dyDescent="0.25">
      <c r="B5968" t="s">
        <v>2709</v>
      </c>
      <c r="C5968">
        <v>55142200</v>
      </c>
      <c r="E5968" t="s">
        <v>19447</v>
      </c>
      <c r="F5968">
        <v>18</v>
      </c>
      <c r="G5968">
        <v>0</v>
      </c>
      <c r="H5968">
        <v>7.6</v>
      </c>
      <c r="I5968">
        <v>1.65</v>
      </c>
      <c r="J5968">
        <v>26</v>
      </c>
      <c r="L5968" t="s">
        <v>2709</v>
      </c>
      <c r="M5968">
        <v>55142200</v>
      </c>
      <c r="O5968" t="s">
        <v>19447</v>
      </c>
      <c r="P5968" t="s">
        <v>19899</v>
      </c>
      <c r="Q5968" t="s">
        <v>19900</v>
      </c>
      <c r="R5968" t="s">
        <v>19905</v>
      </c>
      <c r="S5968" t="s">
        <v>19906</v>
      </c>
      <c r="T5968" t="s">
        <v>20108</v>
      </c>
    </row>
    <row r="5969" spans="2:20" x14ac:dyDescent="0.25">
      <c r="B5969" t="s">
        <v>2709</v>
      </c>
      <c r="C5969">
        <v>55142300</v>
      </c>
      <c r="E5969" t="s">
        <v>19447</v>
      </c>
      <c r="F5969">
        <v>18</v>
      </c>
      <c r="G5969">
        <v>0</v>
      </c>
      <c r="H5969">
        <v>7.6</v>
      </c>
      <c r="I5969">
        <v>1.65</v>
      </c>
      <c r="J5969">
        <v>26</v>
      </c>
      <c r="L5969" t="s">
        <v>2709</v>
      </c>
      <c r="M5969">
        <v>55142300</v>
      </c>
      <c r="O5969" t="s">
        <v>19447</v>
      </c>
      <c r="P5969" t="s">
        <v>19899</v>
      </c>
      <c r="Q5969" t="s">
        <v>19900</v>
      </c>
      <c r="R5969" t="s">
        <v>19905</v>
      </c>
      <c r="S5969" t="s">
        <v>19906</v>
      </c>
      <c r="T5969" t="s">
        <v>20108</v>
      </c>
    </row>
    <row r="5970" spans="2:20" x14ac:dyDescent="0.25">
      <c r="B5970" t="s">
        <v>2709</v>
      </c>
      <c r="C5970">
        <v>55142900</v>
      </c>
      <c r="E5970" t="s">
        <v>19447</v>
      </c>
      <c r="F5970">
        <v>18</v>
      </c>
      <c r="G5970">
        <v>0</v>
      </c>
      <c r="H5970">
        <v>7.6</v>
      </c>
      <c r="I5970">
        <v>1.65</v>
      </c>
      <c r="J5970">
        <v>26</v>
      </c>
      <c r="L5970" t="s">
        <v>2709</v>
      </c>
      <c r="M5970">
        <v>55142900</v>
      </c>
      <c r="O5970" t="s">
        <v>19447</v>
      </c>
      <c r="P5970" t="s">
        <v>19899</v>
      </c>
      <c r="Q5970" t="s">
        <v>19900</v>
      </c>
      <c r="R5970" t="s">
        <v>19905</v>
      </c>
      <c r="S5970" t="s">
        <v>19906</v>
      </c>
      <c r="T5970" t="s">
        <v>20108</v>
      </c>
    </row>
    <row r="5971" spans="2:20" x14ac:dyDescent="0.25">
      <c r="B5971" t="s">
        <v>2709</v>
      </c>
      <c r="C5971">
        <v>55143011</v>
      </c>
      <c r="E5971" t="s">
        <v>19447</v>
      </c>
      <c r="F5971">
        <v>18</v>
      </c>
      <c r="G5971">
        <v>0</v>
      </c>
      <c r="H5971">
        <v>7.6</v>
      </c>
      <c r="I5971">
        <v>1.65</v>
      </c>
      <c r="J5971">
        <v>26</v>
      </c>
      <c r="L5971" t="s">
        <v>2709</v>
      </c>
      <c r="M5971">
        <v>55143011</v>
      </c>
      <c r="O5971" t="s">
        <v>19447</v>
      </c>
      <c r="P5971" t="s">
        <v>19899</v>
      </c>
      <c r="Q5971" t="s">
        <v>19900</v>
      </c>
      <c r="R5971" t="s">
        <v>19905</v>
      </c>
      <c r="S5971" t="s">
        <v>19906</v>
      </c>
      <c r="T5971" t="s">
        <v>20108</v>
      </c>
    </row>
    <row r="5972" spans="2:20" x14ac:dyDescent="0.25">
      <c r="B5972" t="s">
        <v>2709</v>
      </c>
      <c r="C5972">
        <v>55143012</v>
      </c>
      <c r="E5972" t="s">
        <v>19447</v>
      </c>
      <c r="F5972">
        <v>18</v>
      </c>
      <c r="G5972">
        <v>0</v>
      </c>
      <c r="H5972">
        <v>7.6</v>
      </c>
      <c r="I5972">
        <v>1.65</v>
      </c>
      <c r="J5972">
        <v>26</v>
      </c>
      <c r="L5972" t="s">
        <v>2709</v>
      </c>
      <c r="M5972">
        <v>55143012</v>
      </c>
      <c r="O5972" t="s">
        <v>19447</v>
      </c>
      <c r="P5972" t="s">
        <v>19899</v>
      </c>
      <c r="Q5972" t="s">
        <v>19900</v>
      </c>
      <c r="R5972" t="s">
        <v>19905</v>
      </c>
      <c r="S5972" t="s">
        <v>19906</v>
      </c>
      <c r="T5972" t="s">
        <v>20108</v>
      </c>
    </row>
    <row r="5973" spans="2:20" x14ac:dyDescent="0.25">
      <c r="B5973" t="s">
        <v>2709</v>
      </c>
      <c r="C5973">
        <v>55143019</v>
      </c>
      <c r="E5973" t="s">
        <v>19447</v>
      </c>
      <c r="F5973">
        <v>18</v>
      </c>
      <c r="G5973">
        <v>0</v>
      </c>
      <c r="H5973">
        <v>7.6</v>
      </c>
      <c r="I5973">
        <v>1.65</v>
      </c>
      <c r="J5973">
        <v>26</v>
      </c>
      <c r="L5973" t="s">
        <v>2709</v>
      </c>
      <c r="M5973">
        <v>55143019</v>
      </c>
      <c r="O5973" t="s">
        <v>19447</v>
      </c>
      <c r="P5973" t="s">
        <v>19899</v>
      </c>
      <c r="Q5973" t="s">
        <v>19900</v>
      </c>
      <c r="R5973" t="s">
        <v>19905</v>
      </c>
      <c r="S5973" t="s">
        <v>19906</v>
      </c>
      <c r="T5973" t="s">
        <v>20108</v>
      </c>
    </row>
    <row r="5974" spans="2:20" x14ac:dyDescent="0.25">
      <c r="B5974" t="s">
        <v>2709</v>
      </c>
      <c r="C5974">
        <v>55143090</v>
      </c>
      <c r="E5974" t="s">
        <v>19447</v>
      </c>
      <c r="F5974">
        <v>18</v>
      </c>
      <c r="G5974">
        <v>0</v>
      </c>
      <c r="H5974">
        <v>7.6</v>
      </c>
      <c r="I5974">
        <v>1.65</v>
      </c>
      <c r="J5974">
        <v>26</v>
      </c>
      <c r="L5974" t="s">
        <v>2709</v>
      </c>
      <c r="M5974">
        <v>55143090</v>
      </c>
      <c r="O5974" t="s">
        <v>19447</v>
      </c>
      <c r="P5974" t="s">
        <v>19899</v>
      </c>
      <c r="Q5974" t="s">
        <v>19900</v>
      </c>
      <c r="R5974" t="s">
        <v>19905</v>
      </c>
      <c r="S5974" t="s">
        <v>19906</v>
      </c>
      <c r="T5974" t="s">
        <v>20108</v>
      </c>
    </row>
    <row r="5975" spans="2:20" x14ac:dyDescent="0.25">
      <c r="B5975" t="s">
        <v>2709</v>
      </c>
      <c r="C5975">
        <v>55144100</v>
      </c>
      <c r="E5975" t="s">
        <v>19447</v>
      </c>
      <c r="F5975">
        <v>18</v>
      </c>
      <c r="G5975">
        <v>0</v>
      </c>
      <c r="H5975">
        <v>7.6</v>
      </c>
      <c r="I5975">
        <v>1.65</v>
      </c>
      <c r="J5975">
        <v>26</v>
      </c>
      <c r="L5975" t="s">
        <v>2709</v>
      </c>
      <c r="M5975">
        <v>55144100</v>
      </c>
      <c r="O5975" t="s">
        <v>19447</v>
      </c>
      <c r="P5975" t="s">
        <v>19899</v>
      </c>
      <c r="Q5975" t="s">
        <v>19900</v>
      </c>
      <c r="R5975" t="s">
        <v>19905</v>
      </c>
      <c r="S5975" t="s">
        <v>19906</v>
      </c>
      <c r="T5975" t="s">
        <v>20108</v>
      </c>
    </row>
    <row r="5976" spans="2:20" x14ac:dyDescent="0.25">
      <c r="B5976" t="s">
        <v>2709</v>
      </c>
      <c r="C5976">
        <v>55144200</v>
      </c>
      <c r="E5976" t="s">
        <v>19447</v>
      </c>
      <c r="F5976">
        <v>18</v>
      </c>
      <c r="G5976">
        <v>0</v>
      </c>
      <c r="H5976">
        <v>7.6</v>
      </c>
      <c r="I5976">
        <v>1.65</v>
      </c>
      <c r="J5976">
        <v>26</v>
      </c>
      <c r="L5976" t="s">
        <v>2709</v>
      </c>
      <c r="M5976">
        <v>55144200</v>
      </c>
      <c r="O5976" t="s">
        <v>19447</v>
      </c>
      <c r="P5976" t="s">
        <v>19899</v>
      </c>
      <c r="Q5976" t="s">
        <v>19900</v>
      </c>
      <c r="R5976" t="s">
        <v>19905</v>
      </c>
      <c r="S5976" t="s">
        <v>19906</v>
      </c>
      <c r="T5976" t="s">
        <v>20108</v>
      </c>
    </row>
    <row r="5977" spans="2:20" x14ac:dyDescent="0.25">
      <c r="B5977" t="s">
        <v>2709</v>
      </c>
      <c r="C5977">
        <v>55144300</v>
      </c>
      <c r="E5977" t="s">
        <v>19447</v>
      </c>
      <c r="F5977">
        <v>18</v>
      </c>
      <c r="G5977">
        <v>0</v>
      </c>
      <c r="H5977">
        <v>7.6</v>
      </c>
      <c r="I5977">
        <v>1.65</v>
      </c>
      <c r="J5977">
        <v>26</v>
      </c>
      <c r="L5977" t="s">
        <v>2709</v>
      </c>
      <c r="M5977">
        <v>55144300</v>
      </c>
      <c r="O5977" t="s">
        <v>19447</v>
      </c>
      <c r="P5977" t="s">
        <v>19899</v>
      </c>
      <c r="Q5977" t="s">
        <v>19900</v>
      </c>
      <c r="R5977" t="s">
        <v>19905</v>
      </c>
      <c r="S5977" t="s">
        <v>19906</v>
      </c>
      <c r="T5977" t="s">
        <v>20108</v>
      </c>
    </row>
    <row r="5978" spans="2:20" x14ac:dyDescent="0.25">
      <c r="B5978" t="s">
        <v>2709</v>
      </c>
      <c r="C5978">
        <v>55144900</v>
      </c>
      <c r="E5978" t="s">
        <v>19447</v>
      </c>
      <c r="F5978">
        <v>18</v>
      </c>
      <c r="G5978">
        <v>0</v>
      </c>
      <c r="H5978">
        <v>7.6</v>
      </c>
      <c r="I5978">
        <v>1.65</v>
      </c>
      <c r="J5978">
        <v>26</v>
      </c>
      <c r="L5978" t="s">
        <v>2709</v>
      </c>
      <c r="M5978">
        <v>55144900</v>
      </c>
      <c r="O5978" t="s">
        <v>19447</v>
      </c>
      <c r="P5978" t="s">
        <v>19899</v>
      </c>
      <c r="Q5978" t="s">
        <v>19900</v>
      </c>
      <c r="R5978" t="s">
        <v>19905</v>
      </c>
      <c r="S5978" t="s">
        <v>19906</v>
      </c>
      <c r="T5978" t="s">
        <v>20108</v>
      </c>
    </row>
    <row r="5979" spans="2:20" x14ac:dyDescent="0.25">
      <c r="B5979" t="s">
        <v>2709</v>
      </c>
      <c r="C5979">
        <v>55151100</v>
      </c>
      <c r="E5979" t="s">
        <v>19447</v>
      </c>
      <c r="F5979">
        <v>18</v>
      </c>
      <c r="G5979">
        <v>0</v>
      </c>
      <c r="H5979">
        <v>7.6</v>
      </c>
      <c r="I5979">
        <v>1.65</v>
      </c>
      <c r="J5979">
        <v>26</v>
      </c>
      <c r="L5979" t="s">
        <v>2709</v>
      </c>
      <c r="M5979">
        <v>55151100</v>
      </c>
      <c r="O5979" t="s">
        <v>19447</v>
      </c>
      <c r="P5979" t="s">
        <v>19899</v>
      </c>
      <c r="Q5979" t="s">
        <v>19900</v>
      </c>
      <c r="R5979" t="s">
        <v>19905</v>
      </c>
      <c r="S5979" t="s">
        <v>19906</v>
      </c>
      <c r="T5979" t="s">
        <v>20108</v>
      </c>
    </row>
    <row r="5980" spans="2:20" x14ac:dyDescent="0.25">
      <c r="B5980" t="s">
        <v>2709</v>
      </c>
      <c r="C5980">
        <v>55151200</v>
      </c>
      <c r="E5980" t="s">
        <v>19447</v>
      </c>
      <c r="F5980">
        <v>18</v>
      </c>
      <c r="G5980">
        <v>0</v>
      </c>
      <c r="H5980">
        <v>7.6</v>
      </c>
      <c r="I5980">
        <v>1.65</v>
      </c>
      <c r="J5980">
        <v>26</v>
      </c>
      <c r="L5980" t="s">
        <v>2709</v>
      </c>
      <c r="M5980">
        <v>55151200</v>
      </c>
      <c r="O5980" t="s">
        <v>19447</v>
      </c>
      <c r="P5980" t="s">
        <v>19899</v>
      </c>
      <c r="Q5980" t="s">
        <v>19900</v>
      </c>
      <c r="R5980" t="s">
        <v>19905</v>
      </c>
      <c r="S5980" t="s">
        <v>19906</v>
      </c>
      <c r="T5980" t="s">
        <v>20108</v>
      </c>
    </row>
    <row r="5981" spans="2:20" x14ac:dyDescent="0.25">
      <c r="B5981" t="s">
        <v>2709</v>
      </c>
      <c r="C5981">
        <v>55151300</v>
      </c>
      <c r="E5981" t="s">
        <v>19447</v>
      </c>
      <c r="F5981">
        <v>18</v>
      </c>
      <c r="G5981">
        <v>0</v>
      </c>
      <c r="H5981">
        <v>7.6</v>
      </c>
      <c r="I5981">
        <v>1.65</v>
      </c>
      <c r="J5981">
        <v>26</v>
      </c>
      <c r="L5981" t="s">
        <v>2709</v>
      </c>
      <c r="M5981">
        <v>55151300</v>
      </c>
      <c r="O5981" t="s">
        <v>19447</v>
      </c>
      <c r="P5981" t="s">
        <v>19899</v>
      </c>
      <c r="Q5981" t="s">
        <v>19900</v>
      </c>
      <c r="R5981" t="s">
        <v>19905</v>
      </c>
      <c r="S5981" t="s">
        <v>19906</v>
      </c>
      <c r="T5981" t="s">
        <v>20108</v>
      </c>
    </row>
    <row r="5982" spans="2:20" x14ac:dyDescent="0.25">
      <c r="B5982" t="s">
        <v>2709</v>
      </c>
      <c r="C5982">
        <v>55151900</v>
      </c>
      <c r="E5982" t="s">
        <v>19447</v>
      </c>
      <c r="F5982">
        <v>18</v>
      </c>
      <c r="G5982">
        <v>0</v>
      </c>
      <c r="H5982">
        <v>7.6</v>
      </c>
      <c r="I5982">
        <v>1.65</v>
      </c>
      <c r="J5982">
        <v>26</v>
      </c>
      <c r="L5982" t="s">
        <v>2709</v>
      </c>
      <c r="M5982">
        <v>55151900</v>
      </c>
      <c r="O5982" t="s">
        <v>19447</v>
      </c>
      <c r="P5982" t="s">
        <v>19899</v>
      </c>
      <c r="Q5982" t="s">
        <v>19900</v>
      </c>
      <c r="R5982" t="s">
        <v>19905</v>
      </c>
      <c r="S5982" t="s">
        <v>19906</v>
      </c>
      <c r="T5982" t="s">
        <v>20108</v>
      </c>
    </row>
    <row r="5983" spans="2:20" x14ac:dyDescent="0.25">
      <c r="B5983" t="s">
        <v>2709</v>
      </c>
      <c r="C5983">
        <v>55152100</v>
      </c>
      <c r="E5983" t="s">
        <v>19447</v>
      </c>
      <c r="F5983">
        <v>18</v>
      </c>
      <c r="G5983">
        <v>0</v>
      </c>
      <c r="H5983">
        <v>7.6</v>
      </c>
      <c r="I5983">
        <v>1.65</v>
      </c>
      <c r="J5983">
        <v>26</v>
      </c>
      <c r="L5983" t="s">
        <v>2709</v>
      </c>
      <c r="M5983">
        <v>55152100</v>
      </c>
      <c r="O5983" t="s">
        <v>19447</v>
      </c>
      <c r="P5983" t="s">
        <v>19899</v>
      </c>
      <c r="Q5983" t="s">
        <v>19900</v>
      </c>
      <c r="R5983" t="s">
        <v>19905</v>
      </c>
      <c r="S5983" t="s">
        <v>19906</v>
      </c>
      <c r="T5983" t="s">
        <v>20108</v>
      </c>
    </row>
    <row r="5984" spans="2:20" x14ac:dyDescent="0.25">
      <c r="B5984" t="s">
        <v>2709</v>
      </c>
      <c r="C5984">
        <v>55152200</v>
      </c>
      <c r="E5984" t="s">
        <v>19447</v>
      </c>
      <c r="F5984">
        <v>18</v>
      </c>
      <c r="G5984">
        <v>0</v>
      </c>
      <c r="H5984">
        <v>7.6</v>
      </c>
      <c r="I5984">
        <v>1.65</v>
      </c>
      <c r="J5984">
        <v>26</v>
      </c>
      <c r="L5984" t="s">
        <v>2709</v>
      </c>
      <c r="M5984">
        <v>55152200</v>
      </c>
      <c r="O5984" t="s">
        <v>19447</v>
      </c>
      <c r="P5984" t="s">
        <v>19899</v>
      </c>
      <c r="Q5984" t="s">
        <v>19900</v>
      </c>
      <c r="R5984" t="s">
        <v>19905</v>
      </c>
      <c r="S5984" t="s">
        <v>19906</v>
      </c>
      <c r="T5984" t="s">
        <v>20108</v>
      </c>
    </row>
    <row r="5985" spans="2:20" x14ac:dyDescent="0.25">
      <c r="B5985" t="s">
        <v>2709</v>
      </c>
      <c r="C5985">
        <v>55152900</v>
      </c>
      <c r="E5985" t="s">
        <v>19447</v>
      </c>
      <c r="F5985">
        <v>18</v>
      </c>
      <c r="G5985">
        <v>0</v>
      </c>
      <c r="H5985">
        <v>7.6</v>
      </c>
      <c r="I5985">
        <v>1.65</v>
      </c>
      <c r="J5985">
        <v>26</v>
      </c>
      <c r="L5985" t="s">
        <v>2709</v>
      </c>
      <c r="M5985">
        <v>55152900</v>
      </c>
      <c r="O5985" t="s">
        <v>19447</v>
      </c>
      <c r="P5985" t="s">
        <v>19899</v>
      </c>
      <c r="Q5985" t="s">
        <v>19900</v>
      </c>
      <c r="R5985" t="s">
        <v>19905</v>
      </c>
      <c r="S5985" t="s">
        <v>19906</v>
      </c>
      <c r="T5985" t="s">
        <v>20108</v>
      </c>
    </row>
    <row r="5986" spans="2:20" x14ac:dyDescent="0.25">
      <c r="B5986" t="s">
        <v>2709</v>
      </c>
      <c r="C5986">
        <v>55159100</v>
      </c>
      <c r="E5986" t="s">
        <v>19447</v>
      </c>
      <c r="F5986">
        <v>18</v>
      </c>
      <c r="G5986">
        <v>0</v>
      </c>
      <c r="H5986">
        <v>7.6</v>
      </c>
      <c r="I5986">
        <v>1.65</v>
      </c>
      <c r="J5986">
        <v>26</v>
      </c>
      <c r="L5986" t="s">
        <v>2709</v>
      </c>
      <c r="M5986">
        <v>55159100</v>
      </c>
      <c r="O5986" t="s">
        <v>19447</v>
      </c>
      <c r="P5986" t="s">
        <v>19899</v>
      </c>
      <c r="Q5986" t="s">
        <v>19900</v>
      </c>
      <c r="R5986" t="s">
        <v>19905</v>
      </c>
      <c r="S5986" t="s">
        <v>19906</v>
      </c>
      <c r="T5986" t="s">
        <v>20108</v>
      </c>
    </row>
    <row r="5987" spans="2:20" x14ac:dyDescent="0.25">
      <c r="B5987" t="s">
        <v>2709</v>
      </c>
      <c r="C5987">
        <v>55159910</v>
      </c>
      <c r="E5987" t="s">
        <v>19447</v>
      </c>
      <c r="F5987">
        <v>18</v>
      </c>
      <c r="G5987">
        <v>0</v>
      </c>
      <c r="H5987">
        <v>7.6</v>
      </c>
      <c r="I5987">
        <v>1.65</v>
      </c>
      <c r="J5987">
        <v>26</v>
      </c>
      <c r="L5987" t="s">
        <v>2709</v>
      </c>
      <c r="M5987">
        <v>55159910</v>
      </c>
      <c r="O5987" t="s">
        <v>19447</v>
      </c>
      <c r="P5987" t="s">
        <v>19899</v>
      </c>
      <c r="Q5987" t="s">
        <v>19900</v>
      </c>
      <c r="R5987" t="s">
        <v>19905</v>
      </c>
      <c r="S5987" t="s">
        <v>19906</v>
      </c>
      <c r="T5987" t="s">
        <v>20108</v>
      </c>
    </row>
    <row r="5988" spans="2:20" x14ac:dyDescent="0.25">
      <c r="B5988" t="s">
        <v>2709</v>
      </c>
      <c r="C5988">
        <v>55159990</v>
      </c>
      <c r="E5988" t="s">
        <v>19447</v>
      </c>
      <c r="F5988">
        <v>18</v>
      </c>
      <c r="G5988">
        <v>0</v>
      </c>
      <c r="H5988">
        <v>7.6</v>
      </c>
      <c r="I5988">
        <v>1.65</v>
      </c>
      <c r="J5988">
        <v>26</v>
      </c>
      <c r="L5988" t="s">
        <v>2709</v>
      </c>
      <c r="M5988">
        <v>55159990</v>
      </c>
      <c r="O5988" t="s">
        <v>19447</v>
      </c>
      <c r="P5988" t="s">
        <v>19899</v>
      </c>
      <c r="Q5988" t="s">
        <v>19900</v>
      </c>
      <c r="R5988" t="s">
        <v>19905</v>
      </c>
      <c r="S5988" t="s">
        <v>19906</v>
      </c>
      <c r="T5988" t="s">
        <v>20108</v>
      </c>
    </row>
    <row r="5989" spans="2:20" x14ac:dyDescent="0.25">
      <c r="B5989" t="s">
        <v>2709</v>
      </c>
      <c r="C5989">
        <v>55161100</v>
      </c>
      <c r="E5989" t="s">
        <v>19447</v>
      </c>
      <c r="F5989">
        <v>18</v>
      </c>
      <c r="G5989">
        <v>0</v>
      </c>
      <c r="H5989">
        <v>7.6</v>
      </c>
      <c r="I5989">
        <v>1.65</v>
      </c>
      <c r="J5989">
        <v>26</v>
      </c>
      <c r="L5989" t="s">
        <v>2709</v>
      </c>
      <c r="M5989">
        <v>55161100</v>
      </c>
      <c r="O5989" t="s">
        <v>19447</v>
      </c>
      <c r="P5989" t="s">
        <v>19899</v>
      </c>
      <c r="Q5989" t="s">
        <v>19900</v>
      </c>
      <c r="R5989" t="s">
        <v>19905</v>
      </c>
      <c r="S5989" t="s">
        <v>19906</v>
      </c>
      <c r="T5989" t="s">
        <v>20108</v>
      </c>
    </row>
    <row r="5990" spans="2:20" x14ac:dyDescent="0.25">
      <c r="B5990" t="s">
        <v>2709</v>
      </c>
      <c r="C5990">
        <v>55161200</v>
      </c>
      <c r="E5990" t="s">
        <v>19447</v>
      </c>
      <c r="F5990">
        <v>18</v>
      </c>
      <c r="G5990">
        <v>0</v>
      </c>
      <c r="H5990">
        <v>7.6</v>
      </c>
      <c r="I5990">
        <v>1.65</v>
      </c>
      <c r="J5990">
        <v>26</v>
      </c>
      <c r="L5990" t="s">
        <v>2709</v>
      </c>
      <c r="M5990">
        <v>55161200</v>
      </c>
      <c r="O5990" t="s">
        <v>19447</v>
      </c>
      <c r="P5990" t="s">
        <v>19899</v>
      </c>
      <c r="Q5990" t="s">
        <v>19900</v>
      </c>
      <c r="R5990" t="s">
        <v>19905</v>
      </c>
      <c r="S5990" t="s">
        <v>19906</v>
      </c>
      <c r="T5990" t="s">
        <v>20108</v>
      </c>
    </row>
    <row r="5991" spans="2:20" x14ac:dyDescent="0.25">
      <c r="B5991" t="s">
        <v>2709</v>
      </c>
      <c r="C5991">
        <v>55161300</v>
      </c>
      <c r="E5991" t="s">
        <v>19447</v>
      </c>
      <c r="F5991">
        <v>18</v>
      </c>
      <c r="G5991">
        <v>0</v>
      </c>
      <c r="H5991">
        <v>7.6</v>
      </c>
      <c r="I5991">
        <v>1.65</v>
      </c>
      <c r="J5991">
        <v>26</v>
      </c>
      <c r="L5991" t="s">
        <v>2709</v>
      </c>
      <c r="M5991">
        <v>55161300</v>
      </c>
      <c r="O5991" t="s">
        <v>19447</v>
      </c>
      <c r="P5991" t="s">
        <v>19899</v>
      </c>
      <c r="Q5991" t="s">
        <v>19900</v>
      </c>
      <c r="R5991" t="s">
        <v>19905</v>
      </c>
      <c r="S5991" t="s">
        <v>19906</v>
      </c>
      <c r="T5991" t="s">
        <v>20108</v>
      </c>
    </row>
    <row r="5992" spans="2:20" x14ac:dyDescent="0.25">
      <c r="B5992" t="s">
        <v>2709</v>
      </c>
      <c r="C5992">
        <v>55161400</v>
      </c>
      <c r="E5992" t="s">
        <v>19447</v>
      </c>
      <c r="F5992">
        <v>18</v>
      </c>
      <c r="G5992">
        <v>0</v>
      </c>
      <c r="H5992">
        <v>7.6</v>
      </c>
      <c r="I5992">
        <v>1.65</v>
      </c>
      <c r="J5992">
        <v>26</v>
      </c>
      <c r="L5992" t="s">
        <v>2709</v>
      </c>
      <c r="M5992">
        <v>55161400</v>
      </c>
      <c r="O5992" t="s">
        <v>19447</v>
      </c>
      <c r="P5992" t="s">
        <v>19899</v>
      </c>
      <c r="Q5992" t="s">
        <v>19900</v>
      </c>
      <c r="R5992" t="s">
        <v>19905</v>
      </c>
      <c r="S5992" t="s">
        <v>19906</v>
      </c>
      <c r="T5992" t="s">
        <v>20108</v>
      </c>
    </row>
    <row r="5993" spans="2:20" x14ac:dyDescent="0.25">
      <c r="B5993" t="s">
        <v>2709</v>
      </c>
      <c r="C5993">
        <v>55162100</v>
      </c>
      <c r="E5993" t="s">
        <v>19447</v>
      </c>
      <c r="F5993">
        <v>18</v>
      </c>
      <c r="G5993">
        <v>0</v>
      </c>
      <c r="H5993">
        <v>7.6</v>
      </c>
      <c r="I5993">
        <v>1.65</v>
      </c>
      <c r="J5993">
        <v>26</v>
      </c>
      <c r="L5993" t="s">
        <v>2709</v>
      </c>
      <c r="M5993">
        <v>55162100</v>
      </c>
      <c r="O5993" t="s">
        <v>19447</v>
      </c>
      <c r="P5993" t="s">
        <v>19899</v>
      </c>
      <c r="Q5993" t="s">
        <v>19900</v>
      </c>
      <c r="R5993" t="s">
        <v>19905</v>
      </c>
      <c r="S5993" t="s">
        <v>19906</v>
      </c>
      <c r="T5993" t="s">
        <v>20108</v>
      </c>
    </row>
    <row r="5994" spans="2:20" x14ac:dyDescent="0.25">
      <c r="B5994" t="s">
        <v>2709</v>
      </c>
      <c r="C5994">
        <v>55162200</v>
      </c>
      <c r="E5994" t="s">
        <v>19447</v>
      </c>
      <c r="F5994">
        <v>18</v>
      </c>
      <c r="G5994">
        <v>0</v>
      </c>
      <c r="H5994">
        <v>7.6</v>
      </c>
      <c r="I5994">
        <v>1.65</v>
      </c>
      <c r="J5994">
        <v>26</v>
      </c>
      <c r="L5994" t="s">
        <v>2709</v>
      </c>
      <c r="M5994">
        <v>55162200</v>
      </c>
      <c r="O5994" t="s">
        <v>19447</v>
      </c>
      <c r="P5994" t="s">
        <v>19899</v>
      </c>
      <c r="Q5994" t="s">
        <v>19900</v>
      </c>
      <c r="R5994" t="s">
        <v>19905</v>
      </c>
      <c r="S5994" t="s">
        <v>19906</v>
      </c>
      <c r="T5994" t="s">
        <v>20108</v>
      </c>
    </row>
    <row r="5995" spans="2:20" x14ac:dyDescent="0.25">
      <c r="B5995" t="s">
        <v>2709</v>
      </c>
      <c r="C5995">
        <v>55162300</v>
      </c>
      <c r="E5995" t="s">
        <v>19447</v>
      </c>
      <c r="F5995">
        <v>18</v>
      </c>
      <c r="G5995">
        <v>0</v>
      </c>
      <c r="H5995">
        <v>7.6</v>
      </c>
      <c r="I5995">
        <v>1.65</v>
      </c>
      <c r="J5995">
        <v>26</v>
      </c>
      <c r="L5995" t="s">
        <v>2709</v>
      </c>
      <c r="M5995">
        <v>55162300</v>
      </c>
      <c r="O5995" t="s">
        <v>19447</v>
      </c>
      <c r="P5995" t="s">
        <v>19899</v>
      </c>
      <c r="Q5995" t="s">
        <v>19900</v>
      </c>
      <c r="R5995" t="s">
        <v>19905</v>
      </c>
      <c r="S5995" t="s">
        <v>19906</v>
      </c>
      <c r="T5995" t="s">
        <v>20108</v>
      </c>
    </row>
    <row r="5996" spans="2:20" x14ac:dyDescent="0.25">
      <c r="B5996" t="s">
        <v>2709</v>
      </c>
      <c r="C5996">
        <v>55162400</v>
      </c>
      <c r="E5996" t="s">
        <v>19447</v>
      </c>
      <c r="F5996">
        <v>18</v>
      </c>
      <c r="G5996">
        <v>0</v>
      </c>
      <c r="H5996">
        <v>7.6</v>
      </c>
      <c r="I5996">
        <v>1.65</v>
      </c>
      <c r="J5996">
        <v>26</v>
      </c>
      <c r="L5996" t="s">
        <v>2709</v>
      </c>
      <c r="M5996">
        <v>55162400</v>
      </c>
      <c r="O5996" t="s">
        <v>19447</v>
      </c>
      <c r="P5996" t="s">
        <v>19899</v>
      </c>
      <c r="Q5996" t="s">
        <v>19900</v>
      </c>
      <c r="R5996" t="s">
        <v>19905</v>
      </c>
      <c r="S5996" t="s">
        <v>19906</v>
      </c>
      <c r="T5996" t="s">
        <v>20108</v>
      </c>
    </row>
    <row r="5997" spans="2:20" x14ac:dyDescent="0.25">
      <c r="B5997" t="s">
        <v>2709</v>
      </c>
      <c r="C5997">
        <v>55163100</v>
      </c>
      <c r="E5997" t="s">
        <v>19447</v>
      </c>
      <c r="F5997">
        <v>18</v>
      </c>
      <c r="G5997">
        <v>0</v>
      </c>
      <c r="H5997">
        <v>7.6</v>
      </c>
      <c r="I5997">
        <v>1.65</v>
      </c>
      <c r="J5997">
        <v>26</v>
      </c>
      <c r="L5997" t="s">
        <v>2709</v>
      </c>
      <c r="M5997">
        <v>55163100</v>
      </c>
      <c r="O5997" t="s">
        <v>19447</v>
      </c>
      <c r="P5997" t="s">
        <v>19899</v>
      </c>
      <c r="Q5997" t="s">
        <v>19900</v>
      </c>
      <c r="R5997" t="s">
        <v>19905</v>
      </c>
      <c r="S5997" t="s">
        <v>19906</v>
      </c>
      <c r="T5997" t="s">
        <v>20108</v>
      </c>
    </row>
    <row r="5998" spans="2:20" x14ac:dyDescent="0.25">
      <c r="B5998" t="s">
        <v>2709</v>
      </c>
      <c r="C5998">
        <v>55163200</v>
      </c>
      <c r="E5998" t="s">
        <v>19447</v>
      </c>
      <c r="F5998">
        <v>18</v>
      </c>
      <c r="G5998">
        <v>0</v>
      </c>
      <c r="H5998">
        <v>7.6</v>
      </c>
      <c r="I5998">
        <v>1.65</v>
      </c>
      <c r="J5998">
        <v>26</v>
      </c>
      <c r="L5998" t="s">
        <v>2709</v>
      </c>
      <c r="M5998">
        <v>55163200</v>
      </c>
      <c r="O5998" t="s">
        <v>19447</v>
      </c>
      <c r="P5998" t="s">
        <v>19899</v>
      </c>
      <c r="Q5998" t="s">
        <v>19900</v>
      </c>
      <c r="R5998" t="s">
        <v>19905</v>
      </c>
      <c r="S5998" t="s">
        <v>19906</v>
      </c>
      <c r="T5998" t="s">
        <v>20108</v>
      </c>
    </row>
    <row r="5999" spans="2:20" x14ac:dyDescent="0.25">
      <c r="B5999" t="s">
        <v>2709</v>
      </c>
      <c r="C5999">
        <v>55163300</v>
      </c>
      <c r="E5999" t="s">
        <v>19447</v>
      </c>
      <c r="F5999">
        <v>18</v>
      </c>
      <c r="G5999">
        <v>0</v>
      </c>
      <c r="H5999">
        <v>7.6</v>
      </c>
      <c r="I5999">
        <v>1.65</v>
      </c>
      <c r="J5999">
        <v>26</v>
      </c>
      <c r="L5999" t="s">
        <v>2709</v>
      </c>
      <c r="M5999">
        <v>55163300</v>
      </c>
      <c r="O5999" t="s">
        <v>19447</v>
      </c>
      <c r="P5999" t="s">
        <v>19899</v>
      </c>
      <c r="Q5999" t="s">
        <v>19900</v>
      </c>
      <c r="R5999" t="s">
        <v>19905</v>
      </c>
      <c r="S5999" t="s">
        <v>19906</v>
      </c>
      <c r="T5999" t="s">
        <v>20108</v>
      </c>
    </row>
    <row r="6000" spans="2:20" x14ac:dyDescent="0.25">
      <c r="B6000" t="s">
        <v>2709</v>
      </c>
      <c r="C6000">
        <v>55163400</v>
      </c>
      <c r="E6000" t="s">
        <v>19447</v>
      </c>
      <c r="F6000">
        <v>18</v>
      </c>
      <c r="G6000">
        <v>0</v>
      </c>
      <c r="H6000">
        <v>7.6</v>
      </c>
      <c r="I6000">
        <v>1.65</v>
      </c>
      <c r="J6000">
        <v>26</v>
      </c>
      <c r="L6000" t="s">
        <v>2709</v>
      </c>
      <c r="M6000">
        <v>55163400</v>
      </c>
      <c r="O6000" t="s">
        <v>19447</v>
      </c>
      <c r="P6000" t="s">
        <v>19899</v>
      </c>
      <c r="Q6000" t="s">
        <v>19900</v>
      </c>
      <c r="R6000" t="s">
        <v>19905</v>
      </c>
      <c r="S6000" t="s">
        <v>19906</v>
      </c>
      <c r="T6000" t="s">
        <v>20108</v>
      </c>
    </row>
    <row r="6001" spans="2:20" x14ac:dyDescent="0.25">
      <c r="B6001" t="s">
        <v>2709</v>
      </c>
      <c r="C6001">
        <v>55164100</v>
      </c>
      <c r="E6001" t="s">
        <v>19447</v>
      </c>
      <c r="F6001">
        <v>18</v>
      </c>
      <c r="G6001">
        <v>0</v>
      </c>
      <c r="H6001">
        <v>7.6</v>
      </c>
      <c r="I6001">
        <v>1.65</v>
      </c>
      <c r="J6001">
        <v>26</v>
      </c>
      <c r="L6001" t="s">
        <v>2709</v>
      </c>
      <c r="M6001">
        <v>55164100</v>
      </c>
      <c r="O6001" t="s">
        <v>19447</v>
      </c>
      <c r="P6001" t="s">
        <v>19899</v>
      </c>
      <c r="Q6001" t="s">
        <v>19900</v>
      </c>
      <c r="R6001" t="s">
        <v>19905</v>
      </c>
      <c r="S6001" t="s">
        <v>19906</v>
      </c>
      <c r="T6001" t="s">
        <v>20108</v>
      </c>
    </row>
    <row r="6002" spans="2:20" x14ac:dyDescent="0.25">
      <c r="B6002" t="s">
        <v>2709</v>
      </c>
      <c r="C6002">
        <v>55164200</v>
      </c>
      <c r="E6002" t="s">
        <v>19447</v>
      </c>
      <c r="F6002">
        <v>18</v>
      </c>
      <c r="G6002">
        <v>0</v>
      </c>
      <c r="H6002">
        <v>7.6</v>
      </c>
      <c r="I6002">
        <v>1.65</v>
      </c>
      <c r="J6002">
        <v>26</v>
      </c>
      <c r="L6002" t="s">
        <v>2709</v>
      </c>
      <c r="M6002">
        <v>55164200</v>
      </c>
      <c r="O6002" t="s">
        <v>19447</v>
      </c>
      <c r="P6002" t="s">
        <v>19899</v>
      </c>
      <c r="Q6002" t="s">
        <v>19900</v>
      </c>
      <c r="R6002" t="s">
        <v>19905</v>
      </c>
      <c r="S6002" t="s">
        <v>19906</v>
      </c>
      <c r="T6002" t="s">
        <v>20108</v>
      </c>
    </row>
    <row r="6003" spans="2:20" x14ac:dyDescent="0.25">
      <c r="B6003" t="s">
        <v>2709</v>
      </c>
      <c r="C6003">
        <v>55164300</v>
      </c>
      <c r="E6003" t="s">
        <v>19447</v>
      </c>
      <c r="F6003">
        <v>18</v>
      </c>
      <c r="G6003">
        <v>0</v>
      </c>
      <c r="H6003">
        <v>7.6</v>
      </c>
      <c r="I6003">
        <v>1.65</v>
      </c>
      <c r="J6003">
        <v>26</v>
      </c>
      <c r="L6003" t="s">
        <v>2709</v>
      </c>
      <c r="M6003">
        <v>55164300</v>
      </c>
      <c r="O6003" t="s">
        <v>19447</v>
      </c>
      <c r="P6003" t="s">
        <v>19899</v>
      </c>
      <c r="Q6003" t="s">
        <v>19900</v>
      </c>
      <c r="R6003" t="s">
        <v>19905</v>
      </c>
      <c r="S6003" t="s">
        <v>19906</v>
      </c>
      <c r="T6003" t="s">
        <v>20108</v>
      </c>
    </row>
    <row r="6004" spans="2:20" x14ac:dyDescent="0.25">
      <c r="B6004" t="s">
        <v>2709</v>
      </c>
      <c r="C6004">
        <v>55164400</v>
      </c>
      <c r="E6004" t="s">
        <v>19447</v>
      </c>
      <c r="F6004">
        <v>18</v>
      </c>
      <c r="G6004">
        <v>0</v>
      </c>
      <c r="H6004">
        <v>7.6</v>
      </c>
      <c r="I6004">
        <v>1.65</v>
      </c>
      <c r="J6004">
        <v>26</v>
      </c>
      <c r="L6004" t="s">
        <v>2709</v>
      </c>
      <c r="M6004">
        <v>55164400</v>
      </c>
      <c r="O6004" t="s">
        <v>19447</v>
      </c>
      <c r="P6004" t="s">
        <v>19899</v>
      </c>
      <c r="Q6004" t="s">
        <v>19900</v>
      </c>
      <c r="R6004" t="s">
        <v>19905</v>
      </c>
      <c r="S6004" t="s">
        <v>19906</v>
      </c>
      <c r="T6004" t="s">
        <v>20108</v>
      </c>
    </row>
    <row r="6005" spans="2:20" x14ac:dyDescent="0.25">
      <c r="B6005" t="s">
        <v>2709</v>
      </c>
      <c r="C6005">
        <v>55169100</v>
      </c>
      <c r="E6005" t="s">
        <v>19447</v>
      </c>
      <c r="F6005">
        <v>18</v>
      </c>
      <c r="G6005">
        <v>0</v>
      </c>
      <c r="H6005">
        <v>7.6</v>
      </c>
      <c r="I6005">
        <v>1.65</v>
      </c>
      <c r="J6005">
        <v>26</v>
      </c>
      <c r="L6005" t="s">
        <v>2709</v>
      </c>
      <c r="M6005">
        <v>55169100</v>
      </c>
      <c r="O6005" t="s">
        <v>19447</v>
      </c>
      <c r="P6005" t="s">
        <v>19899</v>
      </c>
      <c r="Q6005" t="s">
        <v>19900</v>
      </c>
      <c r="R6005" t="s">
        <v>19905</v>
      </c>
      <c r="S6005" t="s">
        <v>19906</v>
      </c>
      <c r="T6005" t="s">
        <v>20108</v>
      </c>
    </row>
    <row r="6006" spans="2:20" x14ac:dyDescent="0.25">
      <c r="B6006" t="s">
        <v>2709</v>
      </c>
      <c r="C6006">
        <v>55169200</v>
      </c>
      <c r="E6006" t="s">
        <v>19447</v>
      </c>
      <c r="F6006">
        <v>18</v>
      </c>
      <c r="G6006">
        <v>0</v>
      </c>
      <c r="H6006">
        <v>7.6</v>
      </c>
      <c r="I6006">
        <v>1.65</v>
      </c>
      <c r="J6006">
        <v>26</v>
      </c>
      <c r="L6006" t="s">
        <v>2709</v>
      </c>
      <c r="M6006">
        <v>55169200</v>
      </c>
      <c r="O6006" t="s">
        <v>19447</v>
      </c>
      <c r="P6006" t="s">
        <v>19899</v>
      </c>
      <c r="Q6006" t="s">
        <v>19900</v>
      </c>
      <c r="R6006" t="s">
        <v>19905</v>
      </c>
      <c r="S6006" t="s">
        <v>19906</v>
      </c>
      <c r="T6006" t="s">
        <v>20108</v>
      </c>
    </row>
    <row r="6007" spans="2:20" x14ac:dyDescent="0.25">
      <c r="B6007" t="s">
        <v>2709</v>
      </c>
      <c r="C6007">
        <v>55169300</v>
      </c>
      <c r="E6007" t="s">
        <v>19447</v>
      </c>
      <c r="F6007">
        <v>18</v>
      </c>
      <c r="G6007">
        <v>0</v>
      </c>
      <c r="H6007">
        <v>7.6</v>
      </c>
      <c r="I6007">
        <v>1.65</v>
      </c>
      <c r="J6007">
        <v>26</v>
      </c>
      <c r="L6007" t="s">
        <v>2709</v>
      </c>
      <c r="M6007">
        <v>55169300</v>
      </c>
      <c r="O6007" t="s">
        <v>19447</v>
      </c>
      <c r="P6007" t="s">
        <v>19899</v>
      </c>
      <c r="Q6007" t="s">
        <v>19900</v>
      </c>
      <c r="R6007" t="s">
        <v>19905</v>
      </c>
      <c r="S6007" t="s">
        <v>19906</v>
      </c>
      <c r="T6007" t="s">
        <v>20108</v>
      </c>
    </row>
    <row r="6008" spans="2:20" x14ac:dyDescent="0.25">
      <c r="B6008" t="s">
        <v>2709</v>
      </c>
      <c r="C6008">
        <v>55169400</v>
      </c>
      <c r="E6008" t="s">
        <v>19447</v>
      </c>
      <c r="F6008">
        <v>18</v>
      </c>
      <c r="G6008">
        <v>0</v>
      </c>
      <c r="H6008">
        <v>7.6</v>
      </c>
      <c r="I6008">
        <v>1.65</v>
      </c>
      <c r="J6008">
        <v>26</v>
      </c>
      <c r="L6008" t="s">
        <v>2709</v>
      </c>
      <c r="M6008">
        <v>55169400</v>
      </c>
      <c r="O6008" t="s">
        <v>19447</v>
      </c>
      <c r="P6008" t="s">
        <v>19899</v>
      </c>
      <c r="Q6008" t="s">
        <v>19900</v>
      </c>
      <c r="R6008" t="s">
        <v>19905</v>
      </c>
      <c r="S6008" t="s">
        <v>19906</v>
      </c>
      <c r="T6008" t="s">
        <v>20108</v>
      </c>
    </row>
    <row r="6009" spans="2:20" x14ac:dyDescent="0.25">
      <c r="B6009" t="s">
        <v>2709</v>
      </c>
      <c r="C6009">
        <v>56012110</v>
      </c>
      <c r="E6009">
        <v>286.37</v>
      </c>
      <c r="F6009">
        <v>18</v>
      </c>
      <c r="G6009">
        <v>0</v>
      </c>
      <c r="H6009">
        <v>7.6</v>
      </c>
      <c r="I6009">
        <v>1.65</v>
      </c>
      <c r="J6009">
        <v>18</v>
      </c>
      <c r="L6009" t="s">
        <v>2709</v>
      </c>
      <c r="M6009">
        <v>56012110</v>
      </c>
      <c r="O6009" t="s">
        <v>20032</v>
      </c>
      <c r="P6009" t="s">
        <v>19899</v>
      </c>
      <c r="Q6009" t="s">
        <v>19900</v>
      </c>
      <c r="R6009" t="s">
        <v>19905</v>
      </c>
      <c r="S6009" t="s">
        <v>19906</v>
      </c>
      <c r="T6009" t="s">
        <v>19899</v>
      </c>
    </row>
    <row r="6010" spans="2:20" x14ac:dyDescent="0.25">
      <c r="B6010" t="s">
        <v>2709</v>
      </c>
      <c r="C6010">
        <v>56012190</v>
      </c>
      <c r="E6010">
        <v>177.19</v>
      </c>
      <c r="F6010">
        <v>18</v>
      </c>
      <c r="G6010">
        <v>0</v>
      </c>
      <c r="H6010">
        <v>7.6</v>
      </c>
      <c r="I6010">
        <v>1.65</v>
      </c>
      <c r="J6010">
        <v>18</v>
      </c>
      <c r="L6010" t="s">
        <v>2709</v>
      </c>
      <c r="M6010">
        <v>56012190</v>
      </c>
      <c r="O6010" t="s">
        <v>19926</v>
      </c>
      <c r="P6010" t="s">
        <v>19899</v>
      </c>
      <c r="Q6010" t="s">
        <v>19900</v>
      </c>
      <c r="R6010" t="s">
        <v>19905</v>
      </c>
      <c r="S6010" t="s">
        <v>19906</v>
      </c>
      <c r="T6010" t="s">
        <v>19899</v>
      </c>
    </row>
    <row r="6011" spans="2:20" x14ac:dyDescent="0.25">
      <c r="B6011" t="s">
        <v>2709</v>
      </c>
      <c r="C6011">
        <v>56012211</v>
      </c>
      <c r="E6011">
        <v>286.37</v>
      </c>
      <c r="F6011">
        <v>18</v>
      </c>
      <c r="G6011">
        <v>0</v>
      </c>
      <c r="H6011">
        <v>7.6</v>
      </c>
      <c r="I6011">
        <v>1.65</v>
      </c>
      <c r="J6011">
        <v>2</v>
      </c>
      <c r="L6011" t="s">
        <v>2709</v>
      </c>
      <c r="M6011">
        <v>56012211</v>
      </c>
      <c r="O6011" t="s">
        <v>20032</v>
      </c>
      <c r="P6011" t="s">
        <v>19899</v>
      </c>
      <c r="Q6011" t="s">
        <v>19900</v>
      </c>
      <c r="R6011" t="s">
        <v>19905</v>
      </c>
      <c r="S6011" t="s">
        <v>19906</v>
      </c>
      <c r="T6011" t="s">
        <v>19901</v>
      </c>
    </row>
    <row r="6012" spans="2:20" x14ac:dyDescent="0.25">
      <c r="B6012" t="s">
        <v>2709</v>
      </c>
      <c r="C6012">
        <v>56012219</v>
      </c>
      <c r="E6012">
        <v>71.78</v>
      </c>
      <c r="F6012">
        <v>18</v>
      </c>
      <c r="G6012">
        <v>0</v>
      </c>
      <c r="H6012">
        <v>7.6</v>
      </c>
      <c r="I6012">
        <v>1.65</v>
      </c>
      <c r="J6012">
        <v>18</v>
      </c>
      <c r="L6012" t="s">
        <v>2709</v>
      </c>
      <c r="M6012">
        <v>56012219</v>
      </c>
      <c r="O6012" t="s">
        <v>20056</v>
      </c>
      <c r="P6012" t="s">
        <v>19899</v>
      </c>
      <c r="Q6012" t="s">
        <v>19900</v>
      </c>
      <c r="R6012" t="s">
        <v>19905</v>
      </c>
      <c r="S6012" t="s">
        <v>19906</v>
      </c>
      <c r="T6012" t="s">
        <v>19899</v>
      </c>
    </row>
    <row r="6013" spans="2:20" x14ac:dyDescent="0.25">
      <c r="B6013" t="s">
        <v>2709</v>
      </c>
      <c r="C6013">
        <v>56012291</v>
      </c>
      <c r="E6013">
        <v>286.37</v>
      </c>
      <c r="F6013">
        <v>18</v>
      </c>
      <c r="G6013">
        <v>30</v>
      </c>
      <c r="H6013">
        <v>7.6</v>
      </c>
      <c r="I6013">
        <v>1.65</v>
      </c>
      <c r="J6013">
        <v>18</v>
      </c>
      <c r="L6013" t="s">
        <v>2709</v>
      </c>
      <c r="M6013">
        <v>56012291</v>
      </c>
      <c r="O6013" t="s">
        <v>20032</v>
      </c>
      <c r="P6013" t="s">
        <v>19899</v>
      </c>
      <c r="Q6013" t="s">
        <v>19933</v>
      </c>
      <c r="R6013" t="s">
        <v>19905</v>
      </c>
      <c r="S6013" t="s">
        <v>19906</v>
      </c>
      <c r="T6013" t="s">
        <v>19899</v>
      </c>
    </row>
    <row r="6014" spans="2:20" x14ac:dyDescent="0.25">
      <c r="B6014" t="s">
        <v>2709</v>
      </c>
      <c r="C6014">
        <v>56012299</v>
      </c>
      <c r="E6014">
        <v>286.37</v>
      </c>
      <c r="F6014">
        <v>18</v>
      </c>
      <c r="G6014">
        <v>0</v>
      </c>
      <c r="H6014">
        <v>7.6</v>
      </c>
      <c r="I6014">
        <v>1.65</v>
      </c>
      <c r="J6014">
        <v>18</v>
      </c>
      <c r="L6014" t="s">
        <v>2709</v>
      </c>
      <c r="M6014">
        <v>56012299</v>
      </c>
      <c r="O6014" t="s">
        <v>20032</v>
      </c>
      <c r="P6014" t="s">
        <v>19899</v>
      </c>
      <c r="Q6014" t="s">
        <v>19900</v>
      </c>
      <c r="R6014" t="s">
        <v>19905</v>
      </c>
      <c r="S6014" t="s">
        <v>19906</v>
      </c>
      <c r="T6014" t="s">
        <v>19899</v>
      </c>
    </row>
    <row r="6015" spans="2:20" x14ac:dyDescent="0.25">
      <c r="B6015" t="s">
        <v>2709</v>
      </c>
      <c r="C6015">
        <v>56012900</v>
      </c>
      <c r="E6015">
        <v>286.37</v>
      </c>
      <c r="F6015">
        <v>18</v>
      </c>
      <c r="G6015">
        <v>0</v>
      </c>
      <c r="H6015">
        <v>7.6</v>
      </c>
      <c r="I6015">
        <v>1.65</v>
      </c>
      <c r="J6015">
        <v>18</v>
      </c>
      <c r="L6015" t="s">
        <v>2709</v>
      </c>
      <c r="M6015">
        <v>56012900</v>
      </c>
      <c r="O6015" t="s">
        <v>20032</v>
      </c>
      <c r="P6015" t="s">
        <v>19899</v>
      </c>
      <c r="Q6015" t="s">
        <v>19900</v>
      </c>
      <c r="R6015" t="s">
        <v>19905</v>
      </c>
      <c r="S6015" t="s">
        <v>19906</v>
      </c>
      <c r="T6015" t="s">
        <v>19899</v>
      </c>
    </row>
    <row r="6016" spans="2:20" x14ac:dyDescent="0.25">
      <c r="B6016" t="s">
        <v>2709</v>
      </c>
      <c r="C6016">
        <v>56013010</v>
      </c>
      <c r="E6016">
        <v>286.37</v>
      </c>
      <c r="F6016">
        <v>18</v>
      </c>
      <c r="G6016">
        <v>0</v>
      </c>
      <c r="H6016">
        <v>7.6</v>
      </c>
      <c r="I6016">
        <v>1.65</v>
      </c>
      <c r="J6016">
        <v>2</v>
      </c>
      <c r="L6016" t="s">
        <v>2709</v>
      </c>
      <c r="M6016">
        <v>56013010</v>
      </c>
      <c r="O6016" t="s">
        <v>20032</v>
      </c>
      <c r="P6016" t="s">
        <v>19899</v>
      </c>
      <c r="Q6016" t="s">
        <v>19900</v>
      </c>
      <c r="R6016" t="s">
        <v>19905</v>
      </c>
      <c r="S6016" t="s">
        <v>19906</v>
      </c>
      <c r="T6016" t="s">
        <v>19901</v>
      </c>
    </row>
    <row r="6017" spans="2:20" x14ac:dyDescent="0.25">
      <c r="B6017" t="s">
        <v>2709</v>
      </c>
      <c r="C6017">
        <v>56013090</v>
      </c>
      <c r="E6017">
        <v>286.37</v>
      </c>
      <c r="F6017">
        <v>18</v>
      </c>
      <c r="G6017">
        <v>0</v>
      </c>
      <c r="H6017">
        <v>7.6</v>
      </c>
      <c r="I6017">
        <v>1.65</v>
      </c>
      <c r="J6017">
        <v>18</v>
      </c>
      <c r="L6017" t="s">
        <v>2709</v>
      </c>
      <c r="M6017">
        <v>56013090</v>
      </c>
      <c r="O6017" t="s">
        <v>20032</v>
      </c>
      <c r="P6017" t="s">
        <v>19899</v>
      </c>
      <c r="Q6017" t="s">
        <v>19900</v>
      </c>
      <c r="R6017" t="s">
        <v>19905</v>
      </c>
      <c r="S6017" t="s">
        <v>19906</v>
      </c>
      <c r="T6017" t="s">
        <v>19899</v>
      </c>
    </row>
    <row r="6018" spans="2:20" x14ac:dyDescent="0.25">
      <c r="B6018" t="s">
        <v>2709</v>
      </c>
      <c r="C6018">
        <v>56021000</v>
      </c>
      <c r="E6018">
        <v>177.19</v>
      </c>
      <c r="F6018">
        <v>18</v>
      </c>
      <c r="G6018">
        <v>0</v>
      </c>
      <c r="H6018">
        <v>7.6</v>
      </c>
      <c r="I6018">
        <v>1.65</v>
      </c>
      <c r="J6018">
        <v>26</v>
      </c>
      <c r="L6018" t="s">
        <v>2709</v>
      </c>
      <c r="M6018">
        <v>56021000</v>
      </c>
      <c r="O6018" t="s">
        <v>19926</v>
      </c>
      <c r="P6018" t="s">
        <v>19899</v>
      </c>
      <c r="Q6018" t="s">
        <v>19900</v>
      </c>
      <c r="R6018" t="s">
        <v>19905</v>
      </c>
      <c r="S6018" t="s">
        <v>19906</v>
      </c>
      <c r="T6018" t="s">
        <v>20108</v>
      </c>
    </row>
    <row r="6019" spans="2:20" x14ac:dyDescent="0.25">
      <c r="B6019" t="s">
        <v>2709</v>
      </c>
      <c r="C6019">
        <v>56022100</v>
      </c>
      <c r="E6019">
        <v>177.19</v>
      </c>
      <c r="F6019">
        <v>18</v>
      </c>
      <c r="G6019">
        <v>0</v>
      </c>
      <c r="H6019">
        <v>7.6</v>
      </c>
      <c r="I6019">
        <v>1.65</v>
      </c>
      <c r="J6019">
        <v>26</v>
      </c>
      <c r="L6019" t="s">
        <v>2709</v>
      </c>
      <c r="M6019">
        <v>56022100</v>
      </c>
      <c r="O6019" t="s">
        <v>19926</v>
      </c>
      <c r="P6019" t="s">
        <v>19899</v>
      </c>
      <c r="Q6019" t="s">
        <v>19900</v>
      </c>
      <c r="R6019" t="s">
        <v>19905</v>
      </c>
      <c r="S6019" t="s">
        <v>19906</v>
      </c>
      <c r="T6019" t="s">
        <v>20108</v>
      </c>
    </row>
    <row r="6020" spans="2:20" x14ac:dyDescent="0.25">
      <c r="B6020" t="s">
        <v>2709</v>
      </c>
      <c r="C6020">
        <v>56022900</v>
      </c>
      <c r="E6020">
        <v>177.19</v>
      </c>
      <c r="F6020">
        <v>18</v>
      </c>
      <c r="G6020">
        <v>0</v>
      </c>
      <c r="H6020">
        <v>7.6</v>
      </c>
      <c r="I6020">
        <v>1.65</v>
      </c>
      <c r="J6020">
        <v>26</v>
      </c>
      <c r="L6020" t="s">
        <v>2709</v>
      </c>
      <c r="M6020">
        <v>56022900</v>
      </c>
      <c r="O6020" t="s">
        <v>19926</v>
      </c>
      <c r="P6020" t="s">
        <v>19899</v>
      </c>
      <c r="Q6020" t="s">
        <v>19900</v>
      </c>
      <c r="R6020" t="s">
        <v>19905</v>
      </c>
      <c r="S6020" t="s">
        <v>19906</v>
      </c>
      <c r="T6020" t="s">
        <v>20108</v>
      </c>
    </row>
    <row r="6021" spans="2:20" x14ac:dyDescent="0.25">
      <c r="B6021" t="s">
        <v>2709</v>
      </c>
      <c r="C6021">
        <v>56029000</v>
      </c>
      <c r="E6021">
        <v>177.19</v>
      </c>
      <c r="F6021">
        <v>18</v>
      </c>
      <c r="G6021">
        <v>0</v>
      </c>
      <c r="H6021">
        <v>7.6</v>
      </c>
      <c r="I6021">
        <v>1.65</v>
      </c>
      <c r="J6021">
        <v>26</v>
      </c>
      <c r="L6021" t="s">
        <v>2709</v>
      </c>
      <c r="M6021">
        <v>56029000</v>
      </c>
      <c r="O6021" t="s">
        <v>19926</v>
      </c>
      <c r="P6021" t="s">
        <v>19899</v>
      </c>
      <c r="Q6021" t="s">
        <v>19900</v>
      </c>
      <c r="R6021" t="s">
        <v>19905</v>
      </c>
      <c r="S6021" t="s">
        <v>19906</v>
      </c>
      <c r="T6021" t="s">
        <v>20108</v>
      </c>
    </row>
    <row r="6022" spans="2:20" x14ac:dyDescent="0.25">
      <c r="B6022" t="s">
        <v>2709</v>
      </c>
      <c r="C6022">
        <v>56031110</v>
      </c>
      <c r="E6022">
        <v>177.19</v>
      </c>
      <c r="F6022">
        <v>18</v>
      </c>
      <c r="G6022">
        <v>0</v>
      </c>
      <c r="H6022">
        <v>7.6</v>
      </c>
      <c r="I6022">
        <v>1.65</v>
      </c>
      <c r="J6022">
        <v>2</v>
      </c>
      <c r="L6022" t="s">
        <v>2709</v>
      </c>
      <c r="M6022">
        <v>56031110</v>
      </c>
      <c r="O6022" t="s">
        <v>19926</v>
      </c>
      <c r="P6022" t="s">
        <v>19899</v>
      </c>
      <c r="Q6022" t="s">
        <v>19900</v>
      </c>
      <c r="R6022" t="s">
        <v>19905</v>
      </c>
      <c r="S6022" t="s">
        <v>19906</v>
      </c>
      <c r="T6022" t="s">
        <v>19901</v>
      </c>
    </row>
    <row r="6023" spans="2:20" x14ac:dyDescent="0.25">
      <c r="B6023" t="s">
        <v>2709</v>
      </c>
      <c r="C6023">
        <v>56031120</v>
      </c>
      <c r="E6023">
        <v>177.19</v>
      </c>
      <c r="F6023">
        <v>18</v>
      </c>
      <c r="G6023">
        <v>0</v>
      </c>
      <c r="H6023">
        <v>7.6</v>
      </c>
      <c r="I6023">
        <v>1.65</v>
      </c>
      <c r="J6023">
        <v>26</v>
      </c>
      <c r="L6023" t="s">
        <v>2709</v>
      </c>
      <c r="M6023">
        <v>56031120</v>
      </c>
      <c r="O6023" t="s">
        <v>19926</v>
      </c>
      <c r="P6023" t="s">
        <v>19899</v>
      </c>
      <c r="Q6023" t="s">
        <v>19900</v>
      </c>
      <c r="R6023" t="s">
        <v>19905</v>
      </c>
      <c r="S6023" t="s">
        <v>19906</v>
      </c>
      <c r="T6023" t="s">
        <v>20108</v>
      </c>
    </row>
    <row r="6024" spans="2:20" x14ac:dyDescent="0.25">
      <c r="B6024" t="s">
        <v>2709</v>
      </c>
      <c r="C6024">
        <v>56031130</v>
      </c>
      <c r="E6024">
        <v>177.19</v>
      </c>
      <c r="F6024">
        <v>18</v>
      </c>
      <c r="G6024">
        <v>0</v>
      </c>
      <c r="H6024">
        <v>7.6</v>
      </c>
      <c r="I6024">
        <v>1.65</v>
      </c>
      <c r="J6024">
        <v>26</v>
      </c>
      <c r="L6024" t="s">
        <v>2709</v>
      </c>
      <c r="M6024">
        <v>56031130</v>
      </c>
      <c r="O6024" t="s">
        <v>19926</v>
      </c>
      <c r="P6024" t="s">
        <v>19899</v>
      </c>
      <c r="Q6024" t="s">
        <v>19900</v>
      </c>
      <c r="R6024" t="s">
        <v>19905</v>
      </c>
      <c r="S6024" t="s">
        <v>19906</v>
      </c>
      <c r="T6024" t="s">
        <v>20108</v>
      </c>
    </row>
    <row r="6025" spans="2:20" x14ac:dyDescent="0.25">
      <c r="B6025" t="s">
        <v>2709</v>
      </c>
      <c r="C6025">
        <v>56031140</v>
      </c>
      <c r="E6025">
        <v>177.19</v>
      </c>
      <c r="F6025">
        <v>18</v>
      </c>
      <c r="G6025">
        <v>0</v>
      </c>
      <c r="H6025">
        <v>7.6</v>
      </c>
      <c r="I6025">
        <v>1.65</v>
      </c>
      <c r="J6025">
        <v>26</v>
      </c>
      <c r="L6025" t="s">
        <v>2709</v>
      </c>
      <c r="M6025">
        <v>56031140</v>
      </c>
      <c r="O6025" t="s">
        <v>19926</v>
      </c>
      <c r="P6025" t="s">
        <v>19899</v>
      </c>
      <c r="Q6025" t="s">
        <v>19900</v>
      </c>
      <c r="R6025" t="s">
        <v>19905</v>
      </c>
      <c r="S6025" t="s">
        <v>19906</v>
      </c>
      <c r="T6025" t="s">
        <v>20108</v>
      </c>
    </row>
    <row r="6026" spans="2:20" x14ac:dyDescent="0.25">
      <c r="B6026" t="s">
        <v>2709</v>
      </c>
      <c r="C6026">
        <v>56031190</v>
      </c>
      <c r="E6026">
        <v>177.19</v>
      </c>
      <c r="F6026">
        <v>18</v>
      </c>
      <c r="G6026">
        <v>0</v>
      </c>
      <c r="H6026">
        <v>7.6</v>
      </c>
      <c r="I6026">
        <v>1.65</v>
      </c>
      <c r="J6026">
        <v>26</v>
      </c>
      <c r="L6026" t="s">
        <v>2709</v>
      </c>
      <c r="M6026">
        <v>56031190</v>
      </c>
      <c r="O6026" t="s">
        <v>19926</v>
      </c>
      <c r="P6026" t="s">
        <v>19899</v>
      </c>
      <c r="Q6026" t="s">
        <v>19900</v>
      </c>
      <c r="R6026" t="s">
        <v>19905</v>
      </c>
      <c r="S6026" t="s">
        <v>19906</v>
      </c>
      <c r="T6026" t="s">
        <v>20108</v>
      </c>
    </row>
    <row r="6027" spans="2:20" x14ac:dyDescent="0.25">
      <c r="B6027" t="s">
        <v>2709</v>
      </c>
      <c r="C6027">
        <v>56031210</v>
      </c>
      <c r="E6027">
        <v>177.19</v>
      </c>
      <c r="F6027">
        <v>18</v>
      </c>
      <c r="G6027">
        <v>0</v>
      </c>
      <c r="H6027">
        <v>7.6</v>
      </c>
      <c r="I6027">
        <v>1.65</v>
      </c>
      <c r="J6027">
        <v>26</v>
      </c>
      <c r="L6027" t="s">
        <v>2709</v>
      </c>
      <c r="M6027">
        <v>56031210</v>
      </c>
      <c r="O6027" t="s">
        <v>19926</v>
      </c>
      <c r="P6027" t="s">
        <v>19899</v>
      </c>
      <c r="Q6027" t="s">
        <v>19900</v>
      </c>
      <c r="R6027" t="s">
        <v>19905</v>
      </c>
      <c r="S6027" t="s">
        <v>19906</v>
      </c>
      <c r="T6027" t="s">
        <v>20108</v>
      </c>
    </row>
    <row r="6028" spans="2:20" x14ac:dyDescent="0.25">
      <c r="B6028" t="s">
        <v>2709</v>
      </c>
      <c r="C6028">
        <v>56031220</v>
      </c>
      <c r="E6028">
        <v>177.19</v>
      </c>
      <c r="F6028">
        <v>18</v>
      </c>
      <c r="G6028">
        <v>0</v>
      </c>
      <c r="H6028">
        <v>7.6</v>
      </c>
      <c r="I6028">
        <v>1.65</v>
      </c>
      <c r="J6028">
        <v>2</v>
      </c>
      <c r="L6028" t="s">
        <v>2709</v>
      </c>
      <c r="M6028">
        <v>56031220</v>
      </c>
      <c r="O6028" t="s">
        <v>19926</v>
      </c>
      <c r="P6028" t="s">
        <v>19899</v>
      </c>
      <c r="Q6028" t="s">
        <v>19900</v>
      </c>
      <c r="R6028" t="s">
        <v>19905</v>
      </c>
      <c r="S6028" t="s">
        <v>19906</v>
      </c>
      <c r="T6028" t="s">
        <v>19901</v>
      </c>
    </row>
    <row r="6029" spans="2:20" x14ac:dyDescent="0.25">
      <c r="B6029" t="s">
        <v>2709</v>
      </c>
      <c r="C6029">
        <v>56031230</v>
      </c>
      <c r="E6029">
        <v>177.19</v>
      </c>
      <c r="F6029">
        <v>18</v>
      </c>
      <c r="G6029">
        <v>0</v>
      </c>
      <c r="H6029">
        <v>7.6</v>
      </c>
      <c r="I6029">
        <v>1.65</v>
      </c>
      <c r="J6029">
        <v>26</v>
      </c>
      <c r="L6029" t="s">
        <v>2709</v>
      </c>
      <c r="M6029">
        <v>56031230</v>
      </c>
      <c r="O6029" t="s">
        <v>19926</v>
      </c>
      <c r="P6029" t="s">
        <v>19899</v>
      </c>
      <c r="Q6029" t="s">
        <v>19900</v>
      </c>
      <c r="R6029" t="s">
        <v>19905</v>
      </c>
      <c r="S6029" t="s">
        <v>19906</v>
      </c>
      <c r="T6029" t="s">
        <v>20108</v>
      </c>
    </row>
    <row r="6030" spans="2:20" x14ac:dyDescent="0.25">
      <c r="B6030" t="s">
        <v>2709</v>
      </c>
      <c r="C6030">
        <v>56031240</v>
      </c>
      <c r="E6030">
        <v>177.19</v>
      </c>
      <c r="F6030">
        <v>18</v>
      </c>
      <c r="G6030">
        <v>0</v>
      </c>
      <c r="H6030">
        <v>7.6</v>
      </c>
      <c r="I6030">
        <v>1.65</v>
      </c>
      <c r="J6030">
        <v>26</v>
      </c>
      <c r="L6030" t="s">
        <v>2709</v>
      </c>
      <c r="M6030">
        <v>56031240</v>
      </c>
      <c r="O6030" t="s">
        <v>19926</v>
      </c>
      <c r="P6030" t="s">
        <v>19899</v>
      </c>
      <c r="Q6030" t="s">
        <v>19900</v>
      </c>
      <c r="R6030" t="s">
        <v>19905</v>
      </c>
      <c r="S6030" t="s">
        <v>19906</v>
      </c>
      <c r="T6030" t="s">
        <v>20108</v>
      </c>
    </row>
    <row r="6031" spans="2:20" x14ac:dyDescent="0.25">
      <c r="B6031" t="s">
        <v>2709</v>
      </c>
      <c r="C6031">
        <v>56031250</v>
      </c>
      <c r="E6031">
        <v>177.19</v>
      </c>
      <c r="F6031">
        <v>18</v>
      </c>
      <c r="G6031">
        <v>0</v>
      </c>
      <c r="H6031">
        <v>7.6</v>
      </c>
      <c r="I6031">
        <v>1.65</v>
      </c>
      <c r="J6031">
        <v>26</v>
      </c>
      <c r="L6031" t="s">
        <v>2709</v>
      </c>
      <c r="M6031">
        <v>56031250</v>
      </c>
      <c r="O6031" t="s">
        <v>19926</v>
      </c>
      <c r="P6031" t="s">
        <v>19899</v>
      </c>
      <c r="Q6031" t="s">
        <v>19900</v>
      </c>
      <c r="R6031" t="s">
        <v>19905</v>
      </c>
      <c r="S6031" t="s">
        <v>19906</v>
      </c>
      <c r="T6031" t="s">
        <v>20108</v>
      </c>
    </row>
    <row r="6032" spans="2:20" x14ac:dyDescent="0.25">
      <c r="B6032" t="s">
        <v>2709</v>
      </c>
      <c r="C6032">
        <v>56031290</v>
      </c>
      <c r="E6032">
        <v>177.19</v>
      </c>
      <c r="F6032">
        <v>18</v>
      </c>
      <c r="G6032">
        <v>0</v>
      </c>
      <c r="H6032">
        <v>7.6</v>
      </c>
      <c r="I6032">
        <v>1.65</v>
      </c>
      <c r="J6032">
        <v>26</v>
      </c>
      <c r="L6032" t="s">
        <v>2709</v>
      </c>
      <c r="M6032">
        <v>56031290</v>
      </c>
      <c r="O6032" t="s">
        <v>19926</v>
      </c>
      <c r="P6032" t="s">
        <v>19899</v>
      </c>
      <c r="Q6032" t="s">
        <v>19900</v>
      </c>
      <c r="R6032" t="s">
        <v>19905</v>
      </c>
      <c r="S6032" t="s">
        <v>19906</v>
      </c>
      <c r="T6032" t="s">
        <v>20108</v>
      </c>
    </row>
    <row r="6033" spans="2:20" x14ac:dyDescent="0.25">
      <c r="B6033" t="s">
        <v>2709</v>
      </c>
      <c r="C6033">
        <v>56031310</v>
      </c>
      <c r="E6033">
        <v>177.19</v>
      </c>
      <c r="F6033">
        <v>18</v>
      </c>
      <c r="G6033">
        <v>0</v>
      </c>
      <c r="H6033">
        <v>7.6</v>
      </c>
      <c r="I6033">
        <v>1.65</v>
      </c>
      <c r="J6033">
        <v>26</v>
      </c>
      <c r="L6033" t="s">
        <v>2709</v>
      </c>
      <c r="M6033">
        <v>56031310</v>
      </c>
      <c r="O6033" t="s">
        <v>19926</v>
      </c>
      <c r="P6033" t="s">
        <v>19899</v>
      </c>
      <c r="Q6033" t="s">
        <v>19900</v>
      </c>
      <c r="R6033" t="s">
        <v>19905</v>
      </c>
      <c r="S6033" t="s">
        <v>19906</v>
      </c>
      <c r="T6033" t="s">
        <v>20108</v>
      </c>
    </row>
    <row r="6034" spans="2:20" x14ac:dyDescent="0.25">
      <c r="B6034" t="s">
        <v>2709</v>
      </c>
      <c r="C6034">
        <v>56031320</v>
      </c>
      <c r="E6034">
        <v>177.19</v>
      </c>
      <c r="F6034">
        <v>18</v>
      </c>
      <c r="G6034">
        <v>0</v>
      </c>
      <c r="H6034">
        <v>7.6</v>
      </c>
      <c r="I6034">
        <v>1.65</v>
      </c>
      <c r="J6034">
        <v>2</v>
      </c>
      <c r="L6034" t="s">
        <v>2709</v>
      </c>
      <c r="M6034">
        <v>56031320</v>
      </c>
      <c r="O6034" t="s">
        <v>19926</v>
      </c>
      <c r="P6034" t="s">
        <v>19899</v>
      </c>
      <c r="Q6034" t="s">
        <v>19900</v>
      </c>
      <c r="R6034" t="s">
        <v>19905</v>
      </c>
      <c r="S6034" t="s">
        <v>19906</v>
      </c>
      <c r="T6034" t="s">
        <v>19901</v>
      </c>
    </row>
    <row r="6035" spans="2:20" x14ac:dyDescent="0.25">
      <c r="B6035" t="s">
        <v>2709</v>
      </c>
      <c r="C6035">
        <v>56031330</v>
      </c>
      <c r="E6035">
        <v>177.19</v>
      </c>
      <c r="F6035">
        <v>18</v>
      </c>
      <c r="G6035">
        <v>0</v>
      </c>
      <c r="H6035">
        <v>7.6</v>
      </c>
      <c r="I6035">
        <v>1.65</v>
      </c>
      <c r="J6035">
        <v>26</v>
      </c>
      <c r="L6035" t="s">
        <v>2709</v>
      </c>
      <c r="M6035">
        <v>56031330</v>
      </c>
      <c r="O6035" t="s">
        <v>19926</v>
      </c>
      <c r="P6035" t="s">
        <v>19899</v>
      </c>
      <c r="Q6035" t="s">
        <v>19900</v>
      </c>
      <c r="R6035" t="s">
        <v>19905</v>
      </c>
      <c r="S6035" t="s">
        <v>19906</v>
      </c>
      <c r="T6035" t="s">
        <v>20108</v>
      </c>
    </row>
    <row r="6036" spans="2:20" x14ac:dyDescent="0.25">
      <c r="B6036" t="s">
        <v>2709</v>
      </c>
      <c r="C6036">
        <v>56031340</v>
      </c>
      <c r="E6036">
        <v>177.19</v>
      </c>
      <c r="F6036">
        <v>18</v>
      </c>
      <c r="G6036">
        <v>0</v>
      </c>
      <c r="H6036">
        <v>7.6</v>
      </c>
      <c r="I6036">
        <v>1.65</v>
      </c>
      <c r="J6036">
        <v>26</v>
      </c>
      <c r="L6036" t="s">
        <v>2709</v>
      </c>
      <c r="M6036">
        <v>56031340</v>
      </c>
      <c r="O6036" t="s">
        <v>19926</v>
      </c>
      <c r="P6036" t="s">
        <v>19899</v>
      </c>
      <c r="Q6036" t="s">
        <v>19900</v>
      </c>
      <c r="R6036" t="s">
        <v>19905</v>
      </c>
      <c r="S6036" t="s">
        <v>19906</v>
      </c>
      <c r="T6036" t="s">
        <v>20108</v>
      </c>
    </row>
    <row r="6037" spans="2:20" x14ac:dyDescent="0.25">
      <c r="B6037" t="s">
        <v>2709</v>
      </c>
      <c r="C6037">
        <v>56031350</v>
      </c>
      <c r="E6037">
        <v>177.19</v>
      </c>
      <c r="F6037">
        <v>18</v>
      </c>
      <c r="G6037">
        <v>0</v>
      </c>
      <c r="H6037">
        <v>7.6</v>
      </c>
      <c r="I6037">
        <v>1.65</v>
      </c>
      <c r="J6037">
        <v>26</v>
      </c>
      <c r="L6037" t="s">
        <v>2709</v>
      </c>
      <c r="M6037">
        <v>56031350</v>
      </c>
      <c r="O6037" t="s">
        <v>19926</v>
      </c>
      <c r="P6037" t="s">
        <v>19899</v>
      </c>
      <c r="Q6037" t="s">
        <v>19900</v>
      </c>
      <c r="R6037" t="s">
        <v>19905</v>
      </c>
      <c r="S6037" t="s">
        <v>19906</v>
      </c>
      <c r="T6037" t="s">
        <v>20108</v>
      </c>
    </row>
    <row r="6038" spans="2:20" x14ac:dyDescent="0.25">
      <c r="B6038" t="s">
        <v>2709</v>
      </c>
      <c r="C6038">
        <v>56031390</v>
      </c>
      <c r="E6038">
        <v>177.19</v>
      </c>
      <c r="F6038">
        <v>18</v>
      </c>
      <c r="G6038">
        <v>0</v>
      </c>
      <c r="H6038">
        <v>7.6</v>
      </c>
      <c r="I6038">
        <v>1.65</v>
      </c>
      <c r="J6038">
        <v>26</v>
      </c>
      <c r="L6038" t="s">
        <v>2709</v>
      </c>
      <c r="M6038">
        <v>56031390</v>
      </c>
      <c r="O6038" t="s">
        <v>19926</v>
      </c>
      <c r="P6038" t="s">
        <v>19899</v>
      </c>
      <c r="Q6038" t="s">
        <v>19900</v>
      </c>
      <c r="R6038" t="s">
        <v>19905</v>
      </c>
      <c r="S6038" t="s">
        <v>19906</v>
      </c>
      <c r="T6038" t="s">
        <v>20108</v>
      </c>
    </row>
    <row r="6039" spans="2:20" x14ac:dyDescent="0.25">
      <c r="B6039" t="s">
        <v>2709</v>
      </c>
      <c r="C6039">
        <v>56031410</v>
      </c>
      <c r="E6039">
        <v>177.19</v>
      </c>
      <c r="F6039">
        <v>18</v>
      </c>
      <c r="G6039">
        <v>0</v>
      </c>
      <c r="H6039">
        <v>7.6</v>
      </c>
      <c r="I6039">
        <v>1.65</v>
      </c>
      <c r="J6039">
        <v>2</v>
      </c>
      <c r="L6039" t="s">
        <v>2709</v>
      </c>
      <c r="M6039">
        <v>56031410</v>
      </c>
      <c r="O6039" t="s">
        <v>19926</v>
      </c>
      <c r="P6039" t="s">
        <v>19899</v>
      </c>
      <c r="Q6039" t="s">
        <v>19900</v>
      </c>
      <c r="R6039" t="s">
        <v>19905</v>
      </c>
      <c r="S6039" t="s">
        <v>19906</v>
      </c>
      <c r="T6039" t="s">
        <v>19901</v>
      </c>
    </row>
    <row r="6040" spans="2:20" x14ac:dyDescent="0.25">
      <c r="B6040" t="s">
        <v>2709</v>
      </c>
      <c r="C6040">
        <v>56031420</v>
      </c>
      <c r="E6040">
        <v>177.19</v>
      </c>
      <c r="F6040">
        <v>18</v>
      </c>
      <c r="G6040">
        <v>0</v>
      </c>
      <c r="H6040">
        <v>7.6</v>
      </c>
      <c r="I6040">
        <v>1.65</v>
      </c>
      <c r="J6040">
        <v>26</v>
      </c>
      <c r="L6040" t="s">
        <v>2709</v>
      </c>
      <c r="M6040">
        <v>56031420</v>
      </c>
      <c r="O6040" t="s">
        <v>19926</v>
      </c>
      <c r="P6040" t="s">
        <v>19899</v>
      </c>
      <c r="Q6040" t="s">
        <v>19900</v>
      </c>
      <c r="R6040" t="s">
        <v>19905</v>
      </c>
      <c r="S6040" t="s">
        <v>19906</v>
      </c>
      <c r="T6040" t="s">
        <v>20108</v>
      </c>
    </row>
    <row r="6041" spans="2:20" x14ac:dyDescent="0.25">
      <c r="B6041" t="s">
        <v>2709</v>
      </c>
      <c r="C6041">
        <v>56031430</v>
      </c>
      <c r="E6041">
        <v>177.19</v>
      </c>
      <c r="F6041">
        <v>18</v>
      </c>
      <c r="G6041">
        <v>0</v>
      </c>
      <c r="H6041">
        <v>7.6</v>
      </c>
      <c r="I6041">
        <v>1.65</v>
      </c>
      <c r="J6041">
        <v>26</v>
      </c>
      <c r="L6041" t="s">
        <v>2709</v>
      </c>
      <c r="M6041">
        <v>56031430</v>
      </c>
      <c r="O6041" t="s">
        <v>19926</v>
      </c>
      <c r="P6041" t="s">
        <v>19899</v>
      </c>
      <c r="Q6041" t="s">
        <v>19900</v>
      </c>
      <c r="R6041" t="s">
        <v>19905</v>
      </c>
      <c r="S6041" t="s">
        <v>19906</v>
      </c>
      <c r="T6041" t="s">
        <v>20108</v>
      </c>
    </row>
    <row r="6042" spans="2:20" x14ac:dyDescent="0.25">
      <c r="B6042" t="s">
        <v>2709</v>
      </c>
      <c r="C6042">
        <v>56031440</v>
      </c>
      <c r="E6042">
        <v>177.19</v>
      </c>
      <c r="F6042">
        <v>18</v>
      </c>
      <c r="G6042">
        <v>0</v>
      </c>
      <c r="H6042">
        <v>7.6</v>
      </c>
      <c r="I6042">
        <v>1.65</v>
      </c>
      <c r="J6042">
        <v>26</v>
      </c>
      <c r="L6042" t="s">
        <v>2709</v>
      </c>
      <c r="M6042">
        <v>56031440</v>
      </c>
      <c r="O6042" t="s">
        <v>19926</v>
      </c>
      <c r="P6042" t="s">
        <v>19899</v>
      </c>
      <c r="Q6042" t="s">
        <v>19900</v>
      </c>
      <c r="R6042" t="s">
        <v>19905</v>
      </c>
      <c r="S6042" t="s">
        <v>19906</v>
      </c>
      <c r="T6042" t="s">
        <v>20108</v>
      </c>
    </row>
    <row r="6043" spans="2:20" x14ac:dyDescent="0.25">
      <c r="B6043" t="s">
        <v>2709</v>
      </c>
      <c r="C6043">
        <v>56031490</v>
      </c>
      <c r="E6043">
        <v>177.19</v>
      </c>
      <c r="F6043">
        <v>18</v>
      </c>
      <c r="G6043">
        <v>0</v>
      </c>
      <c r="H6043">
        <v>7.6</v>
      </c>
      <c r="I6043">
        <v>1.65</v>
      </c>
      <c r="J6043">
        <v>26</v>
      </c>
      <c r="L6043" t="s">
        <v>2709</v>
      </c>
      <c r="M6043">
        <v>56031490</v>
      </c>
      <c r="O6043" t="s">
        <v>19926</v>
      </c>
      <c r="P6043" t="s">
        <v>19899</v>
      </c>
      <c r="Q6043" t="s">
        <v>19900</v>
      </c>
      <c r="R6043" t="s">
        <v>19905</v>
      </c>
      <c r="S6043" t="s">
        <v>19906</v>
      </c>
      <c r="T6043" t="s">
        <v>20108</v>
      </c>
    </row>
    <row r="6044" spans="2:20" x14ac:dyDescent="0.25">
      <c r="B6044" t="s">
        <v>2709</v>
      </c>
      <c r="C6044">
        <v>56039110</v>
      </c>
      <c r="E6044">
        <v>177.19</v>
      </c>
      <c r="F6044">
        <v>18</v>
      </c>
      <c r="G6044">
        <v>0</v>
      </c>
      <c r="H6044">
        <v>7.6</v>
      </c>
      <c r="I6044">
        <v>1.65</v>
      </c>
      <c r="J6044">
        <v>26</v>
      </c>
      <c r="L6044" t="s">
        <v>2709</v>
      </c>
      <c r="M6044">
        <v>56039110</v>
      </c>
      <c r="O6044" t="s">
        <v>19926</v>
      </c>
      <c r="P6044" t="s">
        <v>19899</v>
      </c>
      <c r="Q6044" t="s">
        <v>19900</v>
      </c>
      <c r="R6044" t="s">
        <v>19905</v>
      </c>
      <c r="S6044" t="s">
        <v>19906</v>
      </c>
      <c r="T6044" t="s">
        <v>20108</v>
      </c>
    </row>
    <row r="6045" spans="2:20" x14ac:dyDescent="0.25">
      <c r="B6045" t="s">
        <v>2709</v>
      </c>
      <c r="C6045">
        <v>56039120</v>
      </c>
      <c r="E6045">
        <v>177.19</v>
      </c>
      <c r="F6045">
        <v>18</v>
      </c>
      <c r="G6045">
        <v>0</v>
      </c>
      <c r="H6045">
        <v>7.6</v>
      </c>
      <c r="I6045">
        <v>1.65</v>
      </c>
      <c r="J6045">
        <v>26</v>
      </c>
      <c r="L6045" t="s">
        <v>2709</v>
      </c>
      <c r="M6045">
        <v>56039120</v>
      </c>
      <c r="O6045" t="s">
        <v>19926</v>
      </c>
      <c r="P6045" t="s">
        <v>19899</v>
      </c>
      <c r="Q6045" t="s">
        <v>19900</v>
      </c>
      <c r="R6045" t="s">
        <v>19905</v>
      </c>
      <c r="S6045" t="s">
        <v>19906</v>
      </c>
      <c r="T6045" t="s">
        <v>20108</v>
      </c>
    </row>
    <row r="6046" spans="2:20" x14ac:dyDescent="0.25">
      <c r="B6046" t="s">
        <v>2709</v>
      </c>
      <c r="C6046">
        <v>56039130</v>
      </c>
      <c r="E6046">
        <v>177.19</v>
      </c>
      <c r="F6046">
        <v>18</v>
      </c>
      <c r="G6046">
        <v>0</v>
      </c>
      <c r="H6046">
        <v>7.6</v>
      </c>
      <c r="I6046">
        <v>1.65</v>
      </c>
      <c r="J6046">
        <v>26</v>
      </c>
      <c r="L6046" t="s">
        <v>2709</v>
      </c>
      <c r="M6046">
        <v>56039130</v>
      </c>
      <c r="O6046" t="s">
        <v>19926</v>
      </c>
      <c r="P6046" t="s">
        <v>19899</v>
      </c>
      <c r="Q6046" t="s">
        <v>19900</v>
      </c>
      <c r="R6046" t="s">
        <v>19905</v>
      </c>
      <c r="S6046" t="s">
        <v>19906</v>
      </c>
      <c r="T6046" t="s">
        <v>20108</v>
      </c>
    </row>
    <row r="6047" spans="2:20" x14ac:dyDescent="0.25">
      <c r="B6047" t="s">
        <v>2709</v>
      </c>
      <c r="C6047">
        <v>56039190</v>
      </c>
      <c r="E6047">
        <v>177.19</v>
      </c>
      <c r="F6047">
        <v>18</v>
      </c>
      <c r="G6047">
        <v>0</v>
      </c>
      <c r="H6047">
        <v>7.6</v>
      </c>
      <c r="I6047">
        <v>1.65</v>
      </c>
      <c r="J6047">
        <v>26</v>
      </c>
      <c r="L6047" t="s">
        <v>2709</v>
      </c>
      <c r="M6047">
        <v>56039190</v>
      </c>
      <c r="O6047" t="s">
        <v>19926</v>
      </c>
      <c r="P6047" t="s">
        <v>19899</v>
      </c>
      <c r="Q6047" t="s">
        <v>19900</v>
      </c>
      <c r="R6047" t="s">
        <v>19905</v>
      </c>
      <c r="S6047" t="s">
        <v>19906</v>
      </c>
      <c r="T6047" t="s">
        <v>20108</v>
      </c>
    </row>
    <row r="6048" spans="2:20" x14ac:dyDescent="0.25">
      <c r="B6048" t="s">
        <v>2709</v>
      </c>
      <c r="C6048">
        <v>56039210</v>
      </c>
      <c r="E6048">
        <v>177.19</v>
      </c>
      <c r="F6048">
        <v>18</v>
      </c>
      <c r="G6048">
        <v>0</v>
      </c>
      <c r="H6048">
        <v>7.6</v>
      </c>
      <c r="I6048">
        <v>1.65</v>
      </c>
      <c r="J6048">
        <v>26</v>
      </c>
      <c r="L6048" t="s">
        <v>2709</v>
      </c>
      <c r="M6048">
        <v>56039210</v>
      </c>
      <c r="O6048" t="s">
        <v>19926</v>
      </c>
      <c r="P6048" t="s">
        <v>19899</v>
      </c>
      <c r="Q6048" t="s">
        <v>19900</v>
      </c>
      <c r="R6048" t="s">
        <v>19905</v>
      </c>
      <c r="S6048" t="s">
        <v>19906</v>
      </c>
      <c r="T6048" t="s">
        <v>20108</v>
      </c>
    </row>
    <row r="6049" spans="2:20" x14ac:dyDescent="0.25">
      <c r="B6049" t="s">
        <v>2709</v>
      </c>
      <c r="C6049">
        <v>56039220</v>
      </c>
      <c r="E6049">
        <v>177.19</v>
      </c>
      <c r="F6049">
        <v>18</v>
      </c>
      <c r="G6049">
        <v>0</v>
      </c>
      <c r="H6049">
        <v>7.6</v>
      </c>
      <c r="I6049">
        <v>1.65</v>
      </c>
      <c r="J6049">
        <v>26</v>
      </c>
      <c r="L6049" t="s">
        <v>2709</v>
      </c>
      <c r="M6049">
        <v>56039220</v>
      </c>
      <c r="O6049" t="s">
        <v>19926</v>
      </c>
      <c r="P6049" t="s">
        <v>19899</v>
      </c>
      <c r="Q6049" t="s">
        <v>19900</v>
      </c>
      <c r="R6049" t="s">
        <v>19905</v>
      </c>
      <c r="S6049" t="s">
        <v>19906</v>
      </c>
      <c r="T6049" t="s">
        <v>20108</v>
      </c>
    </row>
    <row r="6050" spans="2:20" x14ac:dyDescent="0.25">
      <c r="B6050" t="s">
        <v>2709</v>
      </c>
      <c r="C6050">
        <v>56039230</v>
      </c>
      <c r="E6050">
        <v>177.19</v>
      </c>
      <c r="F6050">
        <v>18</v>
      </c>
      <c r="G6050">
        <v>0</v>
      </c>
      <c r="H6050">
        <v>7.6</v>
      </c>
      <c r="I6050">
        <v>1.65</v>
      </c>
      <c r="J6050">
        <v>26</v>
      </c>
      <c r="L6050" t="s">
        <v>2709</v>
      </c>
      <c r="M6050">
        <v>56039230</v>
      </c>
      <c r="O6050" t="s">
        <v>19926</v>
      </c>
      <c r="P6050" t="s">
        <v>19899</v>
      </c>
      <c r="Q6050" t="s">
        <v>19900</v>
      </c>
      <c r="R6050" t="s">
        <v>19905</v>
      </c>
      <c r="S6050" t="s">
        <v>19906</v>
      </c>
      <c r="T6050" t="s">
        <v>20108</v>
      </c>
    </row>
    <row r="6051" spans="2:20" x14ac:dyDescent="0.25">
      <c r="B6051" t="s">
        <v>2709</v>
      </c>
      <c r="C6051">
        <v>56039240</v>
      </c>
      <c r="E6051">
        <v>177.19</v>
      </c>
      <c r="F6051">
        <v>18</v>
      </c>
      <c r="G6051">
        <v>0</v>
      </c>
      <c r="H6051">
        <v>7.6</v>
      </c>
      <c r="I6051">
        <v>1.65</v>
      </c>
      <c r="J6051">
        <v>26</v>
      </c>
      <c r="L6051" t="s">
        <v>2709</v>
      </c>
      <c r="M6051">
        <v>56039240</v>
      </c>
      <c r="O6051" t="s">
        <v>19926</v>
      </c>
      <c r="P6051" t="s">
        <v>19899</v>
      </c>
      <c r="Q6051" t="s">
        <v>19900</v>
      </c>
      <c r="R6051" t="s">
        <v>19905</v>
      </c>
      <c r="S6051" t="s">
        <v>19906</v>
      </c>
      <c r="T6051" t="s">
        <v>20108</v>
      </c>
    </row>
    <row r="6052" spans="2:20" x14ac:dyDescent="0.25">
      <c r="B6052" t="s">
        <v>2709</v>
      </c>
      <c r="C6052">
        <v>56039290</v>
      </c>
      <c r="E6052">
        <v>177.19</v>
      </c>
      <c r="F6052">
        <v>18</v>
      </c>
      <c r="G6052">
        <v>0</v>
      </c>
      <c r="H6052">
        <v>7.6</v>
      </c>
      <c r="I6052">
        <v>1.65</v>
      </c>
      <c r="J6052">
        <v>26</v>
      </c>
      <c r="L6052" t="s">
        <v>2709</v>
      </c>
      <c r="M6052">
        <v>56039290</v>
      </c>
      <c r="O6052" t="s">
        <v>19926</v>
      </c>
      <c r="P6052" t="s">
        <v>19899</v>
      </c>
      <c r="Q6052" t="s">
        <v>19900</v>
      </c>
      <c r="R6052" t="s">
        <v>19905</v>
      </c>
      <c r="S6052" t="s">
        <v>19906</v>
      </c>
      <c r="T6052" t="s">
        <v>20108</v>
      </c>
    </row>
    <row r="6053" spans="2:20" x14ac:dyDescent="0.25">
      <c r="B6053" t="s">
        <v>2709</v>
      </c>
      <c r="C6053">
        <v>56039310</v>
      </c>
      <c r="E6053">
        <v>177.19</v>
      </c>
      <c r="F6053">
        <v>18</v>
      </c>
      <c r="G6053">
        <v>0</v>
      </c>
      <c r="H6053">
        <v>7.6</v>
      </c>
      <c r="I6053">
        <v>1.65</v>
      </c>
      <c r="J6053">
        <v>26</v>
      </c>
      <c r="L6053" t="s">
        <v>2709</v>
      </c>
      <c r="M6053">
        <v>56039310</v>
      </c>
      <c r="O6053" t="s">
        <v>19926</v>
      </c>
      <c r="P6053" t="s">
        <v>19899</v>
      </c>
      <c r="Q6053" t="s">
        <v>19900</v>
      </c>
      <c r="R6053" t="s">
        <v>19905</v>
      </c>
      <c r="S6053" t="s">
        <v>19906</v>
      </c>
      <c r="T6053" t="s">
        <v>20108</v>
      </c>
    </row>
    <row r="6054" spans="2:20" x14ac:dyDescent="0.25">
      <c r="B6054" t="s">
        <v>2709</v>
      </c>
      <c r="C6054">
        <v>56039320</v>
      </c>
      <c r="E6054">
        <v>177.19</v>
      </c>
      <c r="F6054">
        <v>18</v>
      </c>
      <c r="G6054">
        <v>0</v>
      </c>
      <c r="H6054">
        <v>7.6</v>
      </c>
      <c r="I6054">
        <v>1.65</v>
      </c>
      <c r="J6054">
        <v>26</v>
      </c>
      <c r="L6054" t="s">
        <v>2709</v>
      </c>
      <c r="M6054">
        <v>56039320</v>
      </c>
      <c r="O6054" t="s">
        <v>19926</v>
      </c>
      <c r="P6054" t="s">
        <v>19899</v>
      </c>
      <c r="Q6054" t="s">
        <v>19900</v>
      </c>
      <c r="R6054" t="s">
        <v>19905</v>
      </c>
      <c r="S6054" t="s">
        <v>19906</v>
      </c>
      <c r="T6054" t="s">
        <v>20108</v>
      </c>
    </row>
    <row r="6055" spans="2:20" x14ac:dyDescent="0.25">
      <c r="B6055" t="s">
        <v>2709</v>
      </c>
      <c r="C6055">
        <v>56039330</v>
      </c>
      <c r="E6055">
        <v>177.19</v>
      </c>
      <c r="F6055">
        <v>18</v>
      </c>
      <c r="G6055">
        <v>0</v>
      </c>
      <c r="H6055">
        <v>7.6</v>
      </c>
      <c r="I6055">
        <v>1.65</v>
      </c>
      <c r="J6055">
        <v>26</v>
      </c>
      <c r="L6055" t="s">
        <v>2709</v>
      </c>
      <c r="M6055">
        <v>56039330</v>
      </c>
      <c r="O6055" t="s">
        <v>19926</v>
      </c>
      <c r="P6055" t="s">
        <v>19899</v>
      </c>
      <c r="Q6055" t="s">
        <v>19900</v>
      </c>
      <c r="R6055" t="s">
        <v>19905</v>
      </c>
      <c r="S6055" t="s">
        <v>19906</v>
      </c>
      <c r="T6055" t="s">
        <v>20108</v>
      </c>
    </row>
    <row r="6056" spans="2:20" x14ac:dyDescent="0.25">
      <c r="B6056" t="s">
        <v>2709</v>
      </c>
      <c r="C6056">
        <v>56039340</v>
      </c>
      <c r="E6056">
        <v>177.19</v>
      </c>
      <c r="F6056">
        <v>18</v>
      </c>
      <c r="G6056">
        <v>0</v>
      </c>
      <c r="H6056">
        <v>7.6</v>
      </c>
      <c r="I6056">
        <v>1.65</v>
      </c>
      <c r="J6056">
        <v>26</v>
      </c>
      <c r="L6056" t="s">
        <v>2709</v>
      </c>
      <c r="M6056">
        <v>56039340</v>
      </c>
      <c r="O6056" t="s">
        <v>19926</v>
      </c>
      <c r="P6056" t="s">
        <v>19899</v>
      </c>
      <c r="Q6056" t="s">
        <v>19900</v>
      </c>
      <c r="R6056" t="s">
        <v>19905</v>
      </c>
      <c r="S6056" t="s">
        <v>19906</v>
      </c>
      <c r="T6056" t="s">
        <v>20108</v>
      </c>
    </row>
    <row r="6057" spans="2:20" x14ac:dyDescent="0.25">
      <c r="B6057" t="s">
        <v>2709</v>
      </c>
      <c r="C6057">
        <v>56039390</v>
      </c>
      <c r="E6057">
        <v>177.19</v>
      </c>
      <c r="F6057">
        <v>18</v>
      </c>
      <c r="G6057">
        <v>0</v>
      </c>
      <c r="H6057">
        <v>7.6</v>
      </c>
      <c r="I6057">
        <v>1.65</v>
      </c>
      <c r="J6057">
        <v>26</v>
      </c>
      <c r="L6057" t="s">
        <v>2709</v>
      </c>
      <c r="M6057">
        <v>56039390</v>
      </c>
      <c r="O6057" t="s">
        <v>19926</v>
      </c>
      <c r="P6057" t="s">
        <v>19899</v>
      </c>
      <c r="Q6057" t="s">
        <v>19900</v>
      </c>
      <c r="R6057" t="s">
        <v>19905</v>
      </c>
      <c r="S6057" t="s">
        <v>19906</v>
      </c>
      <c r="T6057" t="s">
        <v>20108</v>
      </c>
    </row>
    <row r="6058" spans="2:20" x14ac:dyDescent="0.25">
      <c r="B6058" t="s">
        <v>2709</v>
      </c>
      <c r="C6058">
        <v>56039410</v>
      </c>
      <c r="E6058">
        <v>177.19</v>
      </c>
      <c r="F6058">
        <v>18</v>
      </c>
      <c r="G6058">
        <v>0</v>
      </c>
      <c r="H6058">
        <v>7.6</v>
      </c>
      <c r="I6058">
        <v>1.65</v>
      </c>
      <c r="J6058">
        <v>26</v>
      </c>
      <c r="L6058" t="s">
        <v>2709</v>
      </c>
      <c r="M6058">
        <v>56039410</v>
      </c>
      <c r="O6058" t="s">
        <v>19926</v>
      </c>
      <c r="P6058" t="s">
        <v>19899</v>
      </c>
      <c r="Q6058" t="s">
        <v>19900</v>
      </c>
      <c r="R6058" t="s">
        <v>19905</v>
      </c>
      <c r="S6058" t="s">
        <v>19906</v>
      </c>
      <c r="T6058" t="s">
        <v>20108</v>
      </c>
    </row>
    <row r="6059" spans="2:20" x14ac:dyDescent="0.25">
      <c r="B6059" t="s">
        <v>2709</v>
      </c>
      <c r="C6059">
        <v>56039420</v>
      </c>
      <c r="E6059">
        <v>177.19</v>
      </c>
      <c r="F6059">
        <v>18</v>
      </c>
      <c r="G6059">
        <v>0</v>
      </c>
      <c r="H6059">
        <v>7.6</v>
      </c>
      <c r="I6059">
        <v>1.65</v>
      </c>
      <c r="J6059">
        <v>26</v>
      </c>
      <c r="L6059" t="s">
        <v>2709</v>
      </c>
      <c r="M6059">
        <v>56039420</v>
      </c>
      <c r="O6059" t="s">
        <v>19926</v>
      </c>
      <c r="P6059" t="s">
        <v>19899</v>
      </c>
      <c r="Q6059" t="s">
        <v>19900</v>
      </c>
      <c r="R6059" t="s">
        <v>19905</v>
      </c>
      <c r="S6059" t="s">
        <v>19906</v>
      </c>
      <c r="T6059" t="s">
        <v>20108</v>
      </c>
    </row>
    <row r="6060" spans="2:20" x14ac:dyDescent="0.25">
      <c r="B6060" t="s">
        <v>2709</v>
      </c>
      <c r="C6060">
        <v>56039430</v>
      </c>
      <c r="E6060">
        <v>177.19</v>
      </c>
      <c r="F6060">
        <v>18</v>
      </c>
      <c r="G6060">
        <v>0</v>
      </c>
      <c r="H6060">
        <v>7.6</v>
      </c>
      <c r="I6060">
        <v>1.65</v>
      </c>
      <c r="J6060">
        <v>26</v>
      </c>
      <c r="L6060" t="s">
        <v>2709</v>
      </c>
      <c r="M6060">
        <v>56039430</v>
      </c>
      <c r="O6060" t="s">
        <v>19926</v>
      </c>
      <c r="P6060" t="s">
        <v>19899</v>
      </c>
      <c r="Q6060" t="s">
        <v>19900</v>
      </c>
      <c r="R6060" t="s">
        <v>19905</v>
      </c>
      <c r="S6060" t="s">
        <v>19906</v>
      </c>
      <c r="T6060" t="s">
        <v>20108</v>
      </c>
    </row>
    <row r="6061" spans="2:20" x14ac:dyDescent="0.25">
      <c r="B6061" t="s">
        <v>2709</v>
      </c>
      <c r="C6061">
        <v>56039490</v>
      </c>
      <c r="E6061">
        <v>177.19</v>
      </c>
      <c r="F6061">
        <v>18</v>
      </c>
      <c r="G6061">
        <v>0</v>
      </c>
      <c r="H6061">
        <v>7.6</v>
      </c>
      <c r="I6061">
        <v>1.65</v>
      </c>
      <c r="J6061">
        <v>26</v>
      </c>
      <c r="L6061" t="s">
        <v>2709</v>
      </c>
      <c r="M6061">
        <v>56039490</v>
      </c>
      <c r="O6061" t="s">
        <v>19926</v>
      </c>
      <c r="P6061" t="s">
        <v>19899</v>
      </c>
      <c r="Q6061" t="s">
        <v>19900</v>
      </c>
      <c r="R6061" t="s">
        <v>19905</v>
      </c>
      <c r="S6061" t="s">
        <v>19906</v>
      </c>
      <c r="T6061" t="s">
        <v>20108</v>
      </c>
    </row>
    <row r="6062" spans="2:20" x14ac:dyDescent="0.25">
      <c r="B6062" t="s">
        <v>2709</v>
      </c>
      <c r="C6062">
        <v>56041000</v>
      </c>
      <c r="E6062">
        <v>177.19</v>
      </c>
      <c r="F6062">
        <v>18</v>
      </c>
      <c r="G6062">
        <v>0</v>
      </c>
      <c r="H6062">
        <v>7.6</v>
      </c>
      <c r="I6062">
        <v>1.65</v>
      </c>
      <c r="J6062">
        <v>18</v>
      </c>
      <c r="L6062" t="s">
        <v>2709</v>
      </c>
      <c r="M6062">
        <v>56041000</v>
      </c>
      <c r="O6062" t="s">
        <v>19926</v>
      </c>
      <c r="P6062" t="s">
        <v>19899</v>
      </c>
      <c r="Q6062" t="s">
        <v>19900</v>
      </c>
      <c r="R6062" t="s">
        <v>19905</v>
      </c>
      <c r="S6062" t="s">
        <v>19906</v>
      </c>
      <c r="T6062" t="s">
        <v>19899</v>
      </c>
    </row>
    <row r="6063" spans="2:20" x14ac:dyDescent="0.25">
      <c r="B6063" t="s">
        <v>2709</v>
      </c>
      <c r="C6063">
        <v>56049010</v>
      </c>
      <c r="E6063">
        <v>177.19</v>
      </c>
      <c r="F6063">
        <v>18</v>
      </c>
      <c r="G6063">
        <v>0</v>
      </c>
      <c r="H6063">
        <v>7.6</v>
      </c>
      <c r="I6063">
        <v>1.65</v>
      </c>
      <c r="J6063">
        <v>2</v>
      </c>
      <c r="L6063" t="s">
        <v>2709</v>
      </c>
      <c r="M6063">
        <v>56049010</v>
      </c>
      <c r="O6063" t="s">
        <v>19926</v>
      </c>
      <c r="P6063" t="s">
        <v>19899</v>
      </c>
      <c r="Q6063" t="s">
        <v>19900</v>
      </c>
      <c r="R6063" t="s">
        <v>19905</v>
      </c>
      <c r="S6063" t="s">
        <v>19906</v>
      </c>
      <c r="T6063" t="s">
        <v>19901</v>
      </c>
    </row>
    <row r="6064" spans="2:20" x14ac:dyDescent="0.25">
      <c r="B6064" t="s">
        <v>2709</v>
      </c>
      <c r="C6064">
        <v>56049021</v>
      </c>
      <c r="E6064">
        <v>177.19</v>
      </c>
      <c r="F6064">
        <v>18</v>
      </c>
      <c r="G6064">
        <v>0</v>
      </c>
      <c r="H6064">
        <v>7.6</v>
      </c>
      <c r="I6064">
        <v>1.65</v>
      </c>
      <c r="J6064">
        <v>18</v>
      </c>
      <c r="L6064" t="s">
        <v>2709</v>
      </c>
      <c r="M6064">
        <v>56049021</v>
      </c>
      <c r="O6064" t="s">
        <v>19926</v>
      </c>
      <c r="P6064" t="s">
        <v>19899</v>
      </c>
      <c r="Q6064" t="s">
        <v>19900</v>
      </c>
      <c r="R6064" t="s">
        <v>19905</v>
      </c>
      <c r="S6064" t="s">
        <v>19906</v>
      </c>
      <c r="T6064" t="s">
        <v>19899</v>
      </c>
    </row>
    <row r="6065" spans="2:20" x14ac:dyDescent="0.25">
      <c r="B6065" t="s">
        <v>2709</v>
      </c>
      <c r="C6065">
        <v>56049022</v>
      </c>
      <c r="E6065">
        <v>177.19</v>
      </c>
      <c r="F6065">
        <v>18</v>
      </c>
      <c r="G6065">
        <v>0</v>
      </c>
      <c r="H6065">
        <v>7.6</v>
      </c>
      <c r="I6065">
        <v>1.65</v>
      </c>
      <c r="J6065">
        <v>18</v>
      </c>
      <c r="L6065" t="s">
        <v>2709</v>
      </c>
      <c r="M6065">
        <v>56049022</v>
      </c>
      <c r="O6065" t="s">
        <v>19926</v>
      </c>
      <c r="P6065" t="s">
        <v>19899</v>
      </c>
      <c r="Q6065" t="s">
        <v>19900</v>
      </c>
      <c r="R6065" t="s">
        <v>19905</v>
      </c>
      <c r="S6065" t="s">
        <v>19906</v>
      </c>
      <c r="T6065" t="s">
        <v>19899</v>
      </c>
    </row>
    <row r="6066" spans="2:20" x14ac:dyDescent="0.25">
      <c r="B6066" t="s">
        <v>2709</v>
      </c>
      <c r="C6066">
        <v>56049090</v>
      </c>
      <c r="E6066">
        <v>52</v>
      </c>
      <c r="F6066">
        <v>18</v>
      </c>
      <c r="G6066">
        <v>0</v>
      </c>
      <c r="H6066">
        <v>7.6</v>
      </c>
      <c r="I6066">
        <v>1.65</v>
      </c>
      <c r="J6066">
        <v>18</v>
      </c>
      <c r="L6066" t="s">
        <v>2709</v>
      </c>
      <c r="M6066">
        <v>56049090</v>
      </c>
      <c r="O6066" t="s">
        <v>20066</v>
      </c>
      <c r="P6066" t="s">
        <v>19899</v>
      </c>
      <c r="Q6066" t="s">
        <v>19900</v>
      </c>
      <c r="R6066" t="s">
        <v>19905</v>
      </c>
      <c r="S6066" t="s">
        <v>19906</v>
      </c>
      <c r="T6066" t="s">
        <v>19899</v>
      </c>
    </row>
    <row r="6067" spans="2:20" x14ac:dyDescent="0.25">
      <c r="B6067" t="s">
        <v>2709</v>
      </c>
      <c r="C6067">
        <v>56050010</v>
      </c>
      <c r="E6067">
        <v>177.19</v>
      </c>
      <c r="F6067">
        <v>18</v>
      </c>
      <c r="G6067">
        <v>0</v>
      </c>
      <c r="H6067">
        <v>7.6</v>
      </c>
      <c r="I6067">
        <v>1.65</v>
      </c>
      <c r="J6067">
        <v>18</v>
      </c>
      <c r="L6067" t="s">
        <v>2709</v>
      </c>
      <c r="M6067">
        <v>56050010</v>
      </c>
      <c r="O6067" t="s">
        <v>19926</v>
      </c>
      <c r="P6067" t="s">
        <v>19899</v>
      </c>
      <c r="Q6067" t="s">
        <v>19900</v>
      </c>
      <c r="R6067" t="s">
        <v>19905</v>
      </c>
      <c r="S6067" t="s">
        <v>19906</v>
      </c>
      <c r="T6067" t="s">
        <v>19899</v>
      </c>
    </row>
    <row r="6068" spans="2:20" x14ac:dyDescent="0.25">
      <c r="B6068" t="s">
        <v>2709</v>
      </c>
      <c r="C6068">
        <v>56050020</v>
      </c>
      <c r="E6068">
        <v>177.19</v>
      </c>
      <c r="F6068">
        <v>18</v>
      </c>
      <c r="G6068">
        <v>0</v>
      </c>
      <c r="H6068">
        <v>7.6</v>
      </c>
      <c r="I6068">
        <v>1.65</v>
      </c>
      <c r="J6068">
        <v>18</v>
      </c>
      <c r="L6068" t="s">
        <v>2709</v>
      </c>
      <c r="M6068">
        <v>56050020</v>
      </c>
      <c r="O6068" t="s">
        <v>19926</v>
      </c>
      <c r="P6068" t="s">
        <v>19899</v>
      </c>
      <c r="Q6068" t="s">
        <v>19900</v>
      </c>
      <c r="R6068" t="s">
        <v>19905</v>
      </c>
      <c r="S6068" t="s">
        <v>19906</v>
      </c>
      <c r="T6068" t="s">
        <v>19899</v>
      </c>
    </row>
    <row r="6069" spans="2:20" x14ac:dyDescent="0.25">
      <c r="B6069" t="s">
        <v>2709</v>
      </c>
      <c r="C6069">
        <v>56050090</v>
      </c>
      <c r="E6069">
        <v>177.19</v>
      </c>
      <c r="F6069">
        <v>18</v>
      </c>
      <c r="G6069">
        <v>0</v>
      </c>
      <c r="H6069">
        <v>7.6</v>
      </c>
      <c r="I6069">
        <v>1.65</v>
      </c>
      <c r="J6069">
        <v>18</v>
      </c>
      <c r="L6069" t="s">
        <v>2709</v>
      </c>
      <c r="M6069">
        <v>56050090</v>
      </c>
      <c r="O6069" t="s">
        <v>19926</v>
      </c>
      <c r="P6069" t="s">
        <v>19899</v>
      </c>
      <c r="Q6069" t="s">
        <v>19900</v>
      </c>
      <c r="R6069" t="s">
        <v>19905</v>
      </c>
      <c r="S6069" t="s">
        <v>19906</v>
      </c>
      <c r="T6069" t="s">
        <v>19899</v>
      </c>
    </row>
    <row r="6070" spans="2:20" x14ac:dyDescent="0.25">
      <c r="B6070" t="s">
        <v>2709</v>
      </c>
      <c r="C6070">
        <v>56060000</v>
      </c>
      <c r="E6070">
        <v>177.19</v>
      </c>
      <c r="F6070">
        <v>18</v>
      </c>
      <c r="G6070">
        <v>0</v>
      </c>
      <c r="H6070">
        <v>7.6</v>
      </c>
      <c r="I6070">
        <v>1.65</v>
      </c>
      <c r="J6070">
        <v>18</v>
      </c>
      <c r="L6070" t="s">
        <v>2709</v>
      </c>
      <c r="M6070">
        <v>56060000</v>
      </c>
      <c r="O6070" t="s">
        <v>19926</v>
      </c>
      <c r="P6070" t="s">
        <v>19899</v>
      </c>
      <c r="Q6070" t="s">
        <v>19900</v>
      </c>
      <c r="R6070" t="s">
        <v>19905</v>
      </c>
      <c r="S6070" t="s">
        <v>19906</v>
      </c>
      <c r="T6070" t="s">
        <v>19899</v>
      </c>
    </row>
    <row r="6071" spans="2:20" x14ac:dyDescent="0.25">
      <c r="B6071" t="s">
        <v>2709</v>
      </c>
      <c r="C6071">
        <v>56072100</v>
      </c>
      <c r="E6071">
        <v>177.19</v>
      </c>
      <c r="F6071">
        <v>18</v>
      </c>
      <c r="G6071">
        <v>0</v>
      </c>
      <c r="H6071">
        <v>7.6</v>
      </c>
      <c r="I6071">
        <v>1.65</v>
      </c>
      <c r="J6071">
        <v>18</v>
      </c>
      <c r="L6071" t="s">
        <v>2709</v>
      </c>
      <c r="M6071">
        <v>56072100</v>
      </c>
      <c r="O6071" t="s">
        <v>19926</v>
      </c>
      <c r="P6071" t="s">
        <v>19899</v>
      </c>
      <c r="Q6071" t="s">
        <v>19900</v>
      </c>
      <c r="R6071" t="s">
        <v>19905</v>
      </c>
      <c r="S6071" t="s">
        <v>19906</v>
      </c>
      <c r="T6071" t="s">
        <v>19899</v>
      </c>
    </row>
    <row r="6072" spans="2:20" x14ac:dyDescent="0.25">
      <c r="B6072" t="s">
        <v>2709</v>
      </c>
      <c r="C6072">
        <v>56072900</v>
      </c>
      <c r="E6072">
        <v>177.19</v>
      </c>
      <c r="F6072">
        <v>18</v>
      </c>
      <c r="G6072">
        <v>0</v>
      </c>
      <c r="H6072">
        <v>7.6</v>
      </c>
      <c r="I6072">
        <v>1.65</v>
      </c>
      <c r="J6072">
        <v>18</v>
      </c>
      <c r="L6072" t="s">
        <v>2709</v>
      </c>
      <c r="M6072">
        <v>56072900</v>
      </c>
      <c r="O6072" t="s">
        <v>19926</v>
      </c>
      <c r="P6072" t="s">
        <v>19899</v>
      </c>
      <c r="Q6072" t="s">
        <v>19900</v>
      </c>
      <c r="R6072" t="s">
        <v>19905</v>
      </c>
      <c r="S6072" t="s">
        <v>19906</v>
      </c>
      <c r="T6072" t="s">
        <v>19899</v>
      </c>
    </row>
    <row r="6073" spans="2:20" x14ac:dyDescent="0.25">
      <c r="B6073" t="s">
        <v>2709</v>
      </c>
      <c r="C6073">
        <v>56074100</v>
      </c>
      <c r="E6073">
        <v>177.19</v>
      </c>
      <c r="F6073">
        <v>18</v>
      </c>
      <c r="G6073">
        <v>0</v>
      </c>
      <c r="H6073">
        <v>7.6</v>
      </c>
      <c r="I6073">
        <v>1.65</v>
      </c>
      <c r="J6073">
        <v>18</v>
      </c>
      <c r="L6073" t="s">
        <v>2709</v>
      </c>
      <c r="M6073">
        <v>56074100</v>
      </c>
      <c r="O6073" t="s">
        <v>19926</v>
      </c>
      <c r="P6073" t="s">
        <v>19899</v>
      </c>
      <c r="Q6073" t="s">
        <v>19900</v>
      </c>
      <c r="R6073" t="s">
        <v>19905</v>
      </c>
      <c r="S6073" t="s">
        <v>19906</v>
      </c>
      <c r="T6073" t="s">
        <v>19899</v>
      </c>
    </row>
    <row r="6074" spans="2:20" x14ac:dyDescent="0.25">
      <c r="B6074" t="s">
        <v>2709</v>
      </c>
      <c r="C6074">
        <v>56074900</v>
      </c>
      <c r="E6074">
        <v>177.19</v>
      </c>
      <c r="F6074">
        <v>18</v>
      </c>
      <c r="G6074">
        <v>0</v>
      </c>
      <c r="H6074">
        <v>7.6</v>
      </c>
      <c r="I6074">
        <v>1.65</v>
      </c>
      <c r="J6074">
        <v>18</v>
      </c>
      <c r="L6074" t="s">
        <v>2709</v>
      </c>
      <c r="M6074">
        <v>56074900</v>
      </c>
      <c r="O6074" t="s">
        <v>19926</v>
      </c>
      <c r="P6074" t="s">
        <v>19899</v>
      </c>
      <c r="Q6074" t="s">
        <v>19900</v>
      </c>
      <c r="R6074" t="s">
        <v>19905</v>
      </c>
      <c r="S6074" t="s">
        <v>19906</v>
      </c>
      <c r="T6074" t="s">
        <v>19899</v>
      </c>
    </row>
    <row r="6075" spans="2:20" x14ac:dyDescent="0.25">
      <c r="B6075" t="s">
        <v>2709</v>
      </c>
      <c r="C6075">
        <v>56075011</v>
      </c>
      <c r="E6075">
        <v>177.19</v>
      </c>
      <c r="F6075">
        <v>18</v>
      </c>
      <c r="G6075">
        <v>0</v>
      </c>
      <c r="H6075">
        <v>7.6</v>
      </c>
      <c r="I6075">
        <v>1.65</v>
      </c>
      <c r="J6075">
        <v>18</v>
      </c>
      <c r="L6075" t="s">
        <v>2709</v>
      </c>
      <c r="M6075">
        <v>56075011</v>
      </c>
      <c r="O6075" t="s">
        <v>19926</v>
      </c>
      <c r="P6075" t="s">
        <v>19899</v>
      </c>
      <c r="Q6075" t="s">
        <v>19900</v>
      </c>
      <c r="R6075" t="s">
        <v>19905</v>
      </c>
      <c r="S6075" t="s">
        <v>19906</v>
      </c>
      <c r="T6075" t="s">
        <v>19899</v>
      </c>
    </row>
    <row r="6076" spans="2:20" x14ac:dyDescent="0.25">
      <c r="B6076" t="s">
        <v>2709</v>
      </c>
      <c r="C6076">
        <v>56075019</v>
      </c>
      <c r="E6076">
        <v>177.19</v>
      </c>
      <c r="F6076">
        <v>18</v>
      </c>
      <c r="G6076">
        <v>0</v>
      </c>
      <c r="H6076">
        <v>7.6</v>
      </c>
      <c r="I6076">
        <v>1.65</v>
      </c>
      <c r="J6076">
        <v>18</v>
      </c>
      <c r="L6076" t="s">
        <v>2709</v>
      </c>
      <c r="M6076">
        <v>56075019</v>
      </c>
      <c r="O6076" t="s">
        <v>19926</v>
      </c>
      <c r="P6076" t="s">
        <v>19899</v>
      </c>
      <c r="Q6076" t="s">
        <v>19900</v>
      </c>
      <c r="R6076" t="s">
        <v>19905</v>
      </c>
      <c r="S6076" t="s">
        <v>19906</v>
      </c>
      <c r="T6076" t="s">
        <v>19899</v>
      </c>
    </row>
    <row r="6077" spans="2:20" x14ac:dyDescent="0.25">
      <c r="B6077" t="s">
        <v>2709</v>
      </c>
      <c r="C6077">
        <v>56075090</v>
      </c>
      <c r="E6077">
        <v>177.19</v>
      </c>
      <c r="F6077">
        <v>18</v>
      </c>
      <c r="G6077">
        <v>0</v>
      </c>
      <c r="H6077">
        <v>7.6</v>
      </c>
      <c r="I6077">
        <v>1.65</v>
      </c>
      <c r="J6077">
        <v>18</v>
      </c>
      <c r="L6077" t="s">
        <v>2709</v>
      </c>
      <c r="M6077">
        <v>56075090</v>
      </c>
      <c r="O6077" t="s">
        <v>19926</v>
      </c>
      <c r="P6077" t="s">
        <v>19899</v>
      </c>
      <c r="Q6077" t="s">
        <v>19900</v>
      </c>
      <c r="R6077" t="s">
        <v>19905</v>
      </c>
      <c r="S6077" t="s">
        <v>19906</v>
      </c>
      <c r="T6077" t="s">
        <v>19899</v>
      </c>
    </row>
    <row r="6078" spans="2:20" x14ac:dyDescent="0.25">
      <c r="B6078" t="s">
        <v>2709</v>
      </c>
      <c r="C6078">
        <v>56079010</v>
      </c>
      <c r="E6078">
        <v>177.19</v>
      </c>
      <c r="F6078">
        <v>18</v>
      </c>
      <c r="G6078">
        <v>0</v>
      </c>
      <c r="H6078">
        <v>7.6</v>
      </c>
      <c r="I6078">
        <v>1.65</v>
      </c>
      <c r="J6078">
        <v>18</v>
      </c>
      <c r="L6078" t="s">
        <v>2709</v>
      </c>
      <c r="M6078">
        <v>56079010</v>
      </c>
      <c r="O6078" t="s">
        <v>19926</v>
      </c>
      <c r="P6078" t="s">
        <v>19899</v>
      </c>
      <c r="Q6078" t="s">
        <v>19900</v>
      </c>
      <c r="R6078" t="s">
        <v>19905</v>
      </c>
      <c r="S6078" t="s">
        <v>19906</v>
      </c>
      <c r="T6078" t="s">
        <v>19899</v>
      </c>
    </row>
    <row r="6079" spans="2:20" x14ac:dyDescent="0.25">
      <c r="B6079" t="s">
        <v>2709</v>
      </c>
      <c r="C6079">
        <v>56079020</v>
      </c>
      <c r="E6079">
        <v>177.19</v>
      </c>
      <c r="F6079">
        <v>18</v>
      </c>
      <c r="G6079">
        <v>0</v>
      </c>
      <c r="H6079">
        <v>7.6</v>
      </c>
      <c r="I6079">
        <v>1.65</v>
      </c>
      <c r="J6079">
        <v>2</v>
      </c>
      <c r="L6079" t="s">
        <v>2709</v>
      </c>
      <c r="M6079">
        <v>56079020</v>
      </c>
      <c r="O6079" t="s">
        <v>19926</v>
      </c>
      <c r="P6079" t="s">
        <v>19899</v>
      </c>
      <c r="Q6079" t="s">
        <v>19900</v>
      </c>
      <c r="R6079" t="s">
        <v>19905</v>
      </c>
      <c r="S6079" t="s">
        <v>19906</v>
      </c>
      <c r="T6079" t="s">
        <v>19901</v>
      </c>
    </row>
    <row r="6080" spans="2:20" x14ac:dyDescent="0.25">
      <c r="B6080" t="s">
        <v>2709</v>
      </c>
      <c r="C6080">
        <v>56079090</v>
      </c>
      <c r="E6080">
        <v>177.19</v>
      </c>
      <c r="F6080">
        <v>18</v>
      </c>
      <c r="G6080">
        <v>0</v>
      </c>
      <c r="H6080">
        <v>7.6</v>
      </c>
      <c r="I6080">
        <v>1.65</v>
      </c>
      <c r="J6080">
        <v>18</v>
      </c>
      <c r="L6080" t="s">
        <v>2709</v>
      </c>
      <c r="M6080">
        <v>56079090</v>
      </c>
      <c r="O6080" t="s">
        <v>19926</v>
      </c>
      <c r="P6080" t="s">
        <v>19899</v>
      </c>
      <c r="Q6080" t="s">
        <v>19900</v>
      </c>
      <c r="R6080" t="s">
        <v>19905</v>
      </c>
      <c r="S6080" t="s">
        <v>19906</v>
      </c>
      <c r="T6080" t="s">
        <v>19899</v>
      </c>
    </row>
    <row r="6081" spans="2:20" x14ac:dyDescent="0.25">
      <c r="B6081" t="s">
        <v>2709</v>
      </c>
      <c r="C6081">
        <v>56081100</v>
      </c>
      <c r="E6081">
        <v>177.19</v>
      </c>
      <c r="F6081">
        <v>18</v>
      </c>
      <c r="G6081">
        <v>0</v>
      </c>
      <c r="H6081">
        <v>7.6</v>
      </c>
      <c r="I6081">
        <v>1.65</v>
      </c>
      <c r="J6081">
        <v>18</v>
      </c>
      <c r="L6081" t="s">
        <v>2709</v>
      </c>
      <c r="M6081">
        <v>56081100</v>
      </c>
      <c r="O6081" t="s">
        <v>19926</v>
      </c>
      <c r="P6081" t="s">
        <v>19899</v>
      </c>
      <c r="Q6081" t="s">
        <v>19900</v>
      </c>
      <c r="R6081" t="s">
        <v>19905</v>
      </c>
      <c r="S6081" t="s">
        <v>19906</v>
      </c>
      <c r="T6081" t="s">
        <v>19899</v>
      </c>
    </row>
    <row r="6082" spans="2:20" x14ac:dyDescent="0.25">
      <c r="B6082" t="s">
        <v>2709</v>
      </c>
      <c r="C6082">
        <v>56081900</v>
      </c>
      <c r="E6082">
        <v>177.19</v>
      </c>
      <c r="F6082">
        <v>18</v>
      </c>
      <c r="G6082">
        <v>0</v>
      </c>
      <c r="H6082">
        <v>7.6</v>
      </c>
      <c r="I6082">
        <v>1.65</v>
      </c>
      <c r="J6082">
        <v>18</v>
      </c>
      <c r="L6082" t="s">
        <v>2709</v>
      </c>
      <c r="M6082">
        <v>56081900</v>
      </c>
      <c r="O6082" t="s">
        <v>19926</v>
      </c>
      <c r="P6082" t="s">
        <v>19899</v>
      </c>
      <c r="Q6082" t="s">
        <v>19900</v>
      </c>
      <c r="R6082" t="s">
        <v>19905</v>
      </c>
      <c r="S6082" t="s">
        <v>19906</v>
      </c>
      <c r="T6082" t="s">
        <v>19899</v>
      </c>
    </row>
    <row r="6083" spans="2:20" x14ac:dyDescent="0.25">
      <c r="B6083" t="s">
        <v>2709</v>
      </c>
      <c r="C6083">
        <v>56089000</v>
      </c>
      <c r="E6083">
        <v>177.19</v>
      </c>
      <c r="F6083">
        <v>18</v>
      </c>
      <c r="G6083">
        <v>0</v>
      </c>
      <c r="H6083">
        <v>7.6</v>
      </c>
      <c r="I6083">
        <v>1.65</v>
      </c>
      <c r="J6083">
        <v>18</v>
      </c>
      <c r="L6083" t="s">
        <v>2709</v>
      </c>
      <c r="M6083">
        <v>56089000</v>
      </c>
      <c r="O6083" t="s">
        <v>19926</v>
      </c>
      <c r="P6083" t="s">
        <v>19899</v>
      </c>
      <c r="Q6083" t="s">
        <v>19900</v>
      </c>
      <c r="R6083" t="s">
        <v>19905</v>
      </c>
      <c r="S6083" t="s">
        <v>19906</v>
      </c>
      <c r="T6083" t="s">
        <v>19899</v>
      </c>
    </row>
    <row r="6084" spans="2:20" x14ac:dyDescent="0.25">
      <c r="B6084" t="s">
        <v>2709</v>
      </c>
      <c r="C6084">
        <v>56090010</v>
      </c>
      <c r="E6084">
        <v>177.19</v>
      </c>
      <c r="F6084">
        <v>18</v>
      </c>
      <c r="G6084">
        <v>0</v>
      </c>
      <c r="H6084">
        <v>7.6</v>
      </c>
      <c r="I6084">
        <v>1.65</v>
      </c>
      <c r="J6084">
        <v>18</v>
      </c>
      <c r="L6084" t="s">
        <v>2709</v>
      </c>
      <c r="M6084">
        <v>56090010</v>
      </c>
      <c r="O6084" t="s">
        <v>19926</v>
      </c>
      <c r="P6084" t="s">
        <v>19899</v>
      </c>
      <c r="Q6084" t="s">
        <v>19900</v>
      </c>
      <c r="R6084" t="s">
        <v>19905</v>
      </c>
      <c r="S6084" t="s">
        <v>19906</v>
      </c>
      <c r="T6084" t="s">
        <v>19899</v>
      </c>
    </row>
    <row r="6085" spans="2:20" x14ac:dyDescent="0.25">
      <c r="B6085" t="s">
        <v>2709</v>
      </c>
      <c r="C6085">
        <v>56090090</v>
      </c>
      <c r="E6085">
        <v>177.19</v>
      </c>
      <c r="F6085">
        <v>18</v>
      </c>
      <c r="G6085">
        <v>0</v>
      </c>
      <c r="H6085">
        <v>7.6</v>
      </c>
      <c r="I6085">
        <v>1.65</v>
      </c>
      <c r="J6085">
        <v>18</v>
      </c>
      <c r="L6085" t="s">
        <v>2709</v>
      </c>
      <c r="M6085">
        <v>56090090</v>
      </c>
      <c r="O6085" t="s">
        <v>19926</v>
      </c>
      <c r="P6085" t="s">
        <v>19899</v>
      </c>
      <c r="Q6085" t="s">
        <v>19900</v>
      </c>
      <c r="R6085" t="s">
        <v>19905</v>
      </c>
      <c r="S6085" t="s">
        <v>19906</v>
      </c>
      <c r="T6085" t="s">
        <v>19899</v>
      </c>
    </row>
    <row r="6086" spans="2:20" x14ac:dyDescent="0.25">
      <c r="B6086" t="s">
        <v>2709</v>
      </c>
      <c r="C6086">
        <v>57011011</v>
      </c>
      <c r="E6086">
        <v>71.78</v>
      </c>
      <c r="F6086">
        <v>18</v>
      </c>
      <c r="G6086">
        <v>10</v>
      </c>
      <c r="H6086">
        <v>7.6</v>
      </c>
      <c r="I6086">
        <v>1.65</v>
      </c>
      <c r="J6086">
        <v>35</v>
      </c>
      <c r="L6086" t="s">
        <v>2709</v>
      </c>
      <c r="M6086">
        <v>57011011</v>
      </c>
      <c r="O6086" t="s">
        <v>20056</v>
      </c>
      <c r="P6086" t="s">
        <v>19899</v>
      </c>
      <c r="Q6086" t="s">
        <v>19904</v>
      </c>
      <c r="R6086" t="s">
        <v>19905</v>
      </c>
      <c r="S6086" t="s">
        <v>19906</v>
      </c>
      <c r="T6086" t="s">
        <v>19919</v>
      </c>
    </row>
    <row r="6087" spans="2:20" x14ac:dyDescent="0.25">
      <c r="B6087" t="s">
        <v>2709</v>
      </c>
      <c r="C6087">
        <v>57011012</v>
      </c>
      <c r="E6087">
        <v>71.78</v>
      </c>
      <c r="F6087">
        <v>18</v>
      </c>
      <c r="G6087">
        <v>10</v>
      </c>
      <c r="H6087">
        <v>7.6</v>
      </c>
      <c r="I6087">
        <v>1.65</v>
      </c>
      <c r="J6087">
        <v>35</v>
      </c>
      <c r="L6087" t="s">
        <v>2709</v>
      </c>
      <c r="M6087">
        <v>57011012</v>
      </c>
      <c r="O6087" t="s">
        <v>20056</v>
      </c>
      <c r="P6087" t="s">
        <v>19899</v>
      </c>
      <c r="Q6087" t="s">
        <v>19904</v>
      </c>
      <c r="R6087" t="s">
        <v>19905</v>
      </c>
      <c r="S6087" t="s">
        <v>19906</v>
      </c>
      <c r="T6087" t="s">
        <v>19919</v>
      </c>
    </row>
    <row r="6088" spans="2:20" x14ac:dyDescent="0.25">
      <c r="B6088" t="s">
        <v>2709</v>
      </c>
      <c r="C6088">
        <v>57011020</v>
      </c>
      <c r="E6088">
        <v>71.78</v>
      </c>
      <c r="F6088">
        <v>18</v>
      </c>
      <c r="G6088">
        <v>10</v>
      </c>
      <c r="H6088">
        <v>7.6</v>
      </c>
      <c r="I6088">
        <v>1.65</v>
      </c>
      <c r="J6088">
        <v>35</v>
      </c>
      <c r="L6088" t="s">
        <v>2709</v>
      </c>
      <c r="M6088">
        <v>57011020</v>
      </c>
      <c r="O6088" t="s">
        <v>20056</v>
      </c>
      <c r="P6088" t="s">
        <v>19899</v>
      </c>
      <c r="Q6088" t="s">
        <v>19904</v>
      </c>
      <c r="R6088" t="s">
        <v>19905</v>
      </c>
      <c r="S6088" t="s">
        <v>19906</v>
      </c>
      <c r="T6088" t="s">
        <v>19919</v>
      </c>
    </row>
    <row r="6089" spans="2:20" x14ac:dyDescent="0.25">
      <c r="B6089" t="s">
        <v>2709</v>
      </c>
      <c r="C6089">
        <v>57019000</v>
      </c>
      <c r="E6089">
        <v>71.78</v>
      </c>
      <c r="F6089">
        <v>18</v>
      </c>
      <c r="G6089">
        <v>10</v>
      </c>
      <c r="H6089">
        <v>7.6</v>
      </c>
      <c r="I6089">
        <v>1.65</v>
      </c>
      <c r="J6089">
        <v>35</v>
      </c>
      <c r="L6089" t="s">
        <v>2709</v>
      </c>
      <c r="M6089">
        <v>57019000</v>
      </c>
      <c r="O6089" t="s">
        <v>20056</v>
      </c>
      <c r="P6089" t="s">
        <v>19899</v>
      </c>
      <c r="Q6089" t="s">
        <v>19904</v>
      </c>
      <c r="R6089" t="s">
        <v>19905</v>
      </c>
      <c r="S6089" t="s">
        <v>19906</v>
      </c>
      <c r="T6089" t="s">
        <v>19919</v>
      </c>
    </row>
    <row r="6090" spans="2:20" x14ac:dyDescent="0.25">
      <c r="B6090" t="s">
        <v>2709</v>
      </c>
      <c r="C6090">
        <v>57021000</v>
      </c>
      <c r="E6090">
        <v>71.78</v>
      </c>
      <c r="F6090">
        <v>18</v>
      </c>
      <c r="G6090">
        <v>10</v>
      </c>
      <c r="H6090">
        <v>7.6</v>
      </c>
      <c r="I6090">
        <v>1.65</v>
      </c>
      <c r="J6090">
        <v>35</v>
      </c>
      <c r="L6090" t="s">
        <v>2709</v>
      </c>
      <c r="M6090">
        <v>57021000</v>
      </c>
      <c r="O6090" t="s">
        <v>20056</v>
      </c>
      <c r="P6090" t="s">
        <v>19899</v>
      </c>
      <c r="Q6090" t="s">
        <v>19904</v>
      </c>
      <c r="R6090" t="s">
        <v>19905</v>
      </c>
      <c r="S6090" t="s">
        <v>19906</v>
      </c>
      <c r="T6090" t="s">
        <v>19919</v>
      </c>
    </row>
    <row r="6091" spans="2:20" x14ac:dyDescent="0.25">
      <c r="B6091" t="s">
        <v>2709</v>
      </c>
      <c r="C6091">
        <v>57022000</v>
      </c>
      <c r="E6091">
        <v>71.78</v>
      </c>
      <c r="F6091">
        <v>18</v>
      </c>
      <c r="G6091">
        <v>10</v>
      </c>
      <c r="H6091">
        <v>7.6</v>
      </c>
      <c r="I6091">
        <v>1.65</v>
      </c>
      <c r="J6091">
        <v>35</v>
      </c>
      <c r="L6091" t="s">
        <v>2709</v>
      </c>
      <c r="M6091">
        <v>57022000</v>
      </c>
      <c r="O6091" t="s">
        <v>20056</v>
      </c>
      <c r="P6091" t="s">
        <v>19899</v>
      </c>
      <c r="Q6091" t="s">
        <v>19904</v>
      </c>
      <c r="R6091" t="s">
        <v>19905</v>
      </c>
      <c r="S6091" t="s">
        <v>19906</v>
      </c>
      <c r="T6091" t="s">
        <v>19919</v>
      </c>
    </row>
    <row r="6092" spans="2:20" x14ac:dyDescent="0.25">
      <c r="B6092" t="s">
        <v>2709</v>
      </c>
      <c r="C6092">
        <v>57023100</v>
      </c>
      <c r="E6092">
        <v>71.78</v>
      </c>
      <c r="F6092">
        <v>18</v>
      </c>
      <c r="G6092">
        <v>10</v>
      </c>
      <c r="H6092">
        <v>7.6</v>
      </c>
      <c r="I6092">
        <v>1.65</v>
      </c>
      <c r="J6092">
        <v>35</v>
      </c>
      <c r="L6092" t="s">
        <v>2709</v>
      </c>
      <c r="M6092">
        <v>57023100</v>
      </c>
      <c r="O6092" t="s">
        <v>20056</v>
      </c>
      <c r="P6092" t="s">
        <v>19899</v>
      </c>
      <c r="Q6092" t="s">
        <v>19904</v>
      </c>
      <c r="R6092" t="s">
        <v>19905</v>
      </c>
      <c r="S6092" t="s">
        <v>19906</v>
      </c>
      <c r="T6092" t="s">
        <v>19919</v>
      </c>
    </row>
    <row r="6093" spans="2:20" x14ac:dyDescent="0.25">
      <c r="B6093" t="s">
        <v>2709</v>
      </c>
      <c r="C6093">
        <v>57023200</v>
      </c>
      <c r="E6093">
        <v>71.78</v>
      </c>
      <c r="F6093">
        <v>18</v>
      </c>
      <c r="G6093">
        <v>10</v>
      </c>
      <c r="H6093">
        <v>7.6</v>
      </c>
      <c r="I6093">
        <v>1.65</v>
      </c>
      <c r="J6093">
        <v>35</v>
      </c>
      <c r="L6093" t="s">
        <v>2709</v>
      </c>
      <c r="M6093">
        <v>57023200</v>
      </c>
      <c r="O6093" t="s">
        <v>20056</v>
      </c>
      <c r="P6093" t="s">
        <v>19899</v>
      </c>
      <c r="Q6093" t="s">
        <v>19904</v>
      </c>
      <c r="R6093" t="s">
        <v>19905</v>
      </c>
      <c r="S6093" t="s">
        <v>19906</v>
      </c>
      <c r="T6093" t="s">
        <v>19919</v>
      </c>
    </row>
    <row r="6094" spans="2:20" x14ac:dyDescent="0.25">
      <c r="B6094" t="s">
        <v>2709</v>
      </c>
      <c r="C6094">
        <v>57023900</v>
      </c>
      <c r="E6094">
        <v>71.78</v>
      </c>
      <c r="F6094">
        <v>18</v>
      </c>
      <c r="G6094">
        <v>10</v>
      </c>
      <c r="H6094">
        <v>7.6</v>
      </c>
      <c r="I6094">
        <v>1.65</v>
      </c>
      <c r="J6094">
        <v>35</v>
      </c>
      <c r="L6094" t="s">
        <v>2709</v>
      </c>
      <c r="M6094">
        <v>57023900</v>
      </c>
      <c r="O6094" t="s">
        <v>20056</v>
      </c>
      <c r="P6094" t="s">
        <v>19899</v>
      </c>
      <c r="Q6094" t="s">
        <v>19904</v>
      </c>
      <c r="R6094" t="s">
        <v>19905</v>
      </c>
      <c r="S6094" t="s">
        <v>19906</v>
      </c>
      <c r="T6094" t="s">
        <v>19919</v>
      </c>
    </row>
    <row r="6095" spans="2:20" x14ac:dyDescent="0.25">
      <c r="B6095" t="s">
        <v>2709</v>
      </c>
      <c r="C6095">
        <v>57024100</v>
      </c>
      <c r="E6095">
        <v>71.78</v>
      </c>
      <c r="F6095">
        <v>18</v>
      </c>
      <c r="G6095">
        <v>10</v>
      </c>
      <c r="H6095">
        <v>7.6</v>
      </c>
      <c r="I6095">
        <v>1.65</v>
      </c>
      <c r="J6095">
        <v>35</v>
      </c>
      <c r="L6095" t="s">
        <v>2709</v>
      </c>
      <c r="M6095">
        <v>57024100</v>
      </c>
      <c r="O6095" t="s">
        <v>20056</v>
      </c>
      <c r="P6095" t="s">
        <v>19899</v>
      </c>
      <c r="Q6095" t="s">
        <v>19904</v>
      </c>
      <c r="R6095" t="s">
        <v>19905</v>
      </c>
      <c r="S6095" t="s">
        <v>19906</v>
      </c>
      <c r="T6095" t="s">
        <v>19919</v>
      </c>
    </row>
    <row r="6096" spans="2:20" x14ac:dyDescent="0.25">
      <c r="B6096" t="s">
        <v>2709</v>
      </c>
      <c r="C6096">
        <v>57024200</v>
      </c>
      <c r="E6096">
        <v>71.78</v>
      </c>
      <c r="F6096">
        <v>18</v>
      </c>
      <c r="G6096">
        <v>10</v>
      </c>
      <c r="H6096">
        <v>7.6</v>
      </c>
      <c r="I6096">
        <v>1.65</v>
      </c>
      <c r="J6096">
        <v>35</v>
      </c>
      <c r="L6096" t="s">
        <v>2709</v>
      </c>
      <c r="M6096">
        <v>57024200</v>
      </c>
      <c r="O6096" t="s">
        <v>20056</v>
      </c>
      <c r="P6096" t="s">
        <v>19899</v>
      </c>
      <c r="Q6096" t="s">
        <v>19904</v>
      </c>
      <c r="R6096" t="s">
        <v>19905</v>
      </c>
      <c r="S6096" t="s">
        <v>19906</v>
      </c>
      <c r="T6096" t="s">
        <v>19919</v>
      </c>
    </row>
    <row r="6097" spans="2:20" x14ac:dyDescent="0.25">
      <c r="B6097" t="s">
        <v>2709</v>
      </c>
      <c r="C6097">
        <v>57024900</v>
      </c>
      <c r="E6097">
        <v>71.78</v>
      </c>
      <c r="F6097">
        <v>18</v>
      </c>
      <c r="G6097">
        <v>10</v>
      </c>
      <c r="H6097">
        <v>7.6</v>
      </c>
      <c r="I6097">
        <v>1.65</v>
      </c>
      <c r="J6097">
        <v>35</v>
      </c>
      <c r="L6097" t="s">
        <v>2709</v>
      </c>
      <c r="M6097">
        <v>57024900</v>
      </c>
      <c r="O6097" t="s">
        <v>20056</v>
      </c>
      <c r="P6097" t="s">
        <v>19899</v>
      </c>
      <c r="Q6097" t="s">
        <v>19904</v>
      </c>
      <c r="R6097" t="s">
        <v>19905</v>
      </c>
      <c r="S6097" t="s">
        <v>19906</v>
      </c>
      <c r="T6097" t="s">
        <v>19919</v>
      </c>
    </row>
    <row r="6098" spans="2:20" x14ac:dyDescent="0.25">
      <c r="B6098" t="s">
        <v>2709</v>
      </c>
      <c r="C6098">
        <v>57025010</v>
      </c>
      <c r="E6098">
        <v>71.78</v>
      </c>
      <c r="F6098">
        <v>18</v>
      </c>
      <c r="G6098">
        <v>10</v>
      </c>
      <c r="H6098">
        <v>7.6</v>
      </c>
      <c r="I6098">
        <v>1.65</v>
      </c>
      <c r="J6098">
        <v>35</v>
      </c>
      <c r="L6098" t="s">
        <v>2709</v>
      </c>
      <c r="M6098">
        <v>57025010</v>
      </c>
      <c r="O6098" t="s">
        <v>20056</v>
      </c>
      <c r="P6098" t="s">
        <v>19899</v>
      </c>
      <c r="Q6098" t="s">
        <v>19904</v>
      </c>
      <c r="R6098" t="s">
        <v>19905</v>
      </c>
      <c r="S6098" t="s">
        <v>19906</v>
      </c>
      <c r="T6098" t="s">
        <v>19919</v>
      </c>
    </row>
    <row r="6099" spans="2:20" x14ac:dyDescent="0.25">
      <c r="B6099" t="s">
        <v>2709</v>
      </c>
      <c r="C6099">
        <v>57025020</v>
      </c>
      <c r="E6099">
        <v>71.78</v>
      </c>
      <c r="F6099">
        <v>18</v>
      </c>
      <c r="G6099">
        <v>10</v>
      </c>
      <c r="H6099">
        <v>7.6</v>
      </c>
      <c r="I6099">
        <v>1.65</v>
      </c>
      <c r="J6099">
        <v>35</v>
      </c>
      <c r="L6099" t="s">
        <v>2709</v>
      </c>
      <c r="M6099">
        <v>57025020</v>
      </c>
      <c r="O6099" t="s">
        <v>20056</v>
      </c>
      <c r="P6099" t="s">
        <v>19899</v>
      </c>
      <c r="Q6099" t="s">
        <v>19904</v>
      </c>
      <c r="R6099" t="s">
        <v>19905</v>
      </c>
      <c r="S6099" t="s">
        <v>19906</v>
      </c>
      <c r="T6099" t="s">
        <v>19919</v>
      </c>
    </row>
    <row r="6100" spans="2:20" x14ac:dyDescent="0.25">
      <c r="B6100" t="s">
        <v>2709</v>
      </c>
      <c r="C6100">
        <v>57025090</v>
      </c>
      <c r="E6100">
        <v>71.78</v>
      </c>
      <c r="F6100">
        <v>18</v>
      </c>
      <c r="G6100">
        <v>10</v>
      </c>
      <c r="H6100">
        <v>7.6</v>
      </c>
      <c r="I6100">
        <v>1.65</v>
      </c>
      <c r="J6100">
        <v>35</v>
      </c>
      <c r="L6100" t="s">
        <v>2709</v>
      </c>
      <c r="M6100">
        <v>57025090</v>
      </c>
      <c r="O6100" t="s">
        <v>20056</v>
      </c>
      <c r="P6100" t="s">
        <v>19899</v>
      </c>
      <c r="Q6100" t="s">
        <v>19904</v>
      </c>
      <c r="R6100" t="s">
        <v>19905</v>
      </c>
      <c r="S6100" t="s">
        <v>19906</v>
      </c>
      <c r="T6100" t="s">
        <v>19919</v>
      </c>
    </row>
    <row r="6101" spans="2:20" x14ac:dyDescent="0.25">
      <c r="B6101" t="s">
        <v>2709</v>
      </c>
      <c r="C6101">
        <v>57029100</v>
      </c>
      <c r="E6101">
        <v>71.78</v>
      </c>
      <c r="F6101">
        <v>18</v>
      </c>
      <c r="G6101">
        <v>10</v>
      </c>
      <c r="H6101">
        <v>7.6</v>
      </c>
      <c r="I6101">
        <v>1.65</v>
      </c>
      <c r="J6101">
        <v>35</v>
      </c>
      <c r="L6101" t="s">
        <v>2709</v>
      </c>
      <c r="M6101">
        <v>57029100</v>
      </c>
      <c r="O6101" t="s">
        <v>20056</v>
      </c>
      <c r="P6101" t="s">
        <v>19899</v>
      </c>
      <c r="Q6101" t="s">
        <v>19904</v>
      </c>
      <c r="R6101" t="s">
        <v>19905</v>
      </c>
      <c r="S6101" t="s">
        <v>19906</v>
      </c>
      <c r="T6101" t="s">
        <v>19919</v>
      </c>
    </row>
    <row r="6102" spans="2:20" x14ac:dyDescent="0.25">
      <c r="B6102" t="s">
        <v>2709</v>
      </c>
      <c r="C6102">
        <v>57029200</v>
      </c>
      <c r="E6102">
        <v>71.78</v>
      </c>
      <c r="F6102">
        <v>18</v>
      </c>
      <c r="G6102">
        <v>10</v>
      </c>
      <c r="H6102">
        <v>7.6</v>
      </c>
      <c r="I6102">
        <v>1.65</v>
      </c>
      <c r="J6102">
        <v>35</v>
      </c>
      <c r="L6102" t="s">
        <v>2709</v>
      </c>
      <c r="M6102">
        <v>57029200</v>
      </c>
      <c r="O6102" t="s">
        <v>20056</v>
      </c>
      <c r="P6102" t="s">
        <v>19899</v>
      </c>
      <c r="Q6102" t="s">
        <v>19904</v>
      </c>
      <c r="R6102" t="s">
        <v>19905</v>
      </c>
      <c r="S6102" t="s">
        <v>19906</v>
      </c>
      <c r="T6102" t="s">
        <v>19919</v>
      </c>
    </row>
    <row r="6103" spans="2:20" x14ac:dyDescent="0.25">
      <c r="B6103" t="s">
        <v>2709</v>
      </c>
      <c r="C6103">
        <v>57029900</v>
      </c>
      <c r="E6103">
        <v>71.78</v>
      </c>
      <c r="F6103">
        <v>18</v>
      </c>
      <c r="G6103">
        <v>10</v>
      </c>
      <c r="H6103">
        <v>7.6</v>
      </c>
      <c r="I6103">
        <v>1.65</v>
      </c>
      <c r="J6103">
        <v>35</v>
      </c>
      <c r="L6103" t="s">
        <v>2709</v>
      </c>
      <c r="M6103">
        <v>57029900</v>
      </c>
      <c r="O6103" t="s">
        <v>20056</v>
      </c>
      <c r="P6103" t="s">
        <v>19899</v>
      </c>
      <c r="Q6103" t="s">
        <v>19904</v>
      </c>
      <c r="R6103" t="s">
        <v>19905</v>
      </c>
      <c r="S6103" t="s">
        <v>19906</v>
      </c>
      <c r="T6103" t="s">
        <v>19919</v>
      </c>
    </row>
    <row r="6104" spans="2:20" x14ac:dyDescent="0.25">
      <c r="B6104" t="s">
        <v>2709</v>
      </c>
      <c r="C6104">
        <v>57031000</v>
      </c>
      <c r="E6104">
        <v>54</v>
      </c>
      <c r="F6104">
        <v>18</v>
      </c>
      <c r="G6104">
        <v>10</v>
      </c>
      <c r="H6104">
        <v>7.6</v>
      </c>
      <c r="I6104">
        <v>1.65</v>
      </c>
      <c r="J6104">
        <v>35</v>
      </c>
      <c r="L6104" t="s">
        <v>2709</v>
      </c>
      <c r="M6104">
        <v>57031000</v>
      </c>
      <c r="O6104" t="s">
        <v>20109</v>
      </c>
      <c r="P6104" t="s">
        <v>19899</v>
      </c>
      <c r="Q6104" t="s">
        <v>19904</v>
      </c>
      <c r="R6104" t="s">
        <v>19905</v>
      </c>
      <c r="S6104" t="s">
        <v>19906</v>
      </c>
      <c r="T6104" t="s">
        <v>19919</v>
      </c>
    </row>
    <row r="6105" spans="2:20" x14ac:dyDescent="0.25">
      <c r="B6105" t="s">
        <v>2709</v>
      </c>
      <c r="C6105">
        <v>57032000</v>
      </c>
      <c r="E6105">
        <v>71.78</v>
      </c>
      <c r="F6105">
        <v>18</v>
      </c>
      <c r="G6105">
        <v>10</v>
      </c>
      <c r="H6105">
        <v>7.6</v>
      </c>
      <c r="I6105">
        <v>1.65</v>
      </c>
      <c r="J6105">
        <v>35</v>
      </c>
      <c r="L6105" t="s">
        <v>2709</v>
      </c>
      <c r="M6105">
        <v>57032000</v>
      </c>
      <c r="O6105" t="s">
        <v>20056</v>
      </c>
      <c r="P6105" t="s">
        <v>19899</v>
      </c>
      <c r="Q6105" t="s">
        <v>19904</v>
      </c>
      <c r="R6105" t="s">
        <v>19905</v>
      </c>
      <c r="S6105" t="s">
        <v>19906</v>
      </c>
      <c r="T6105" t="s">
        <v>19919</v>
      </c>
    </row>
    <row r="6106" spans="2:20" x14ac:dyDescent="0.25">
      <c r="B6106" t="s">
        <v>2709</v>
      </c>
      <c r="C6106">
        <v>57033000</v>
      </c>
      <c r="E6106">
        <v>71.78</v>
      </c>
      <c r="F6106">
        <v>18</v>
      </c>
      <c r="G6106">
        <v>10</v>
      </c>
      <c r="H6106">
        <v>7.6</v>
      </c>
      <c r="I6106">
        <v>1.65</v>
      </c>
      <c r="J6106">
        <v>35</v>
      </c>
      <c r="L6106" t="s">
        <v>2709</v>
      </c>
      <c r="M6106">
        <v>57033000</v>
      </c>
      <c r="O6106" t="s">
        <v>20056</v>
      </c>
      <c r="P6106" t="s">
        <v>19899</v>
      </c>
      <c r="Q6106" t="s">
        <v>19904</v>
      </c>
      <c r="R6106" t="s">
        <v>19905</v>
      </c>
      <c r="S6106" t="s">
        <v>19906</v>
      </c>
      <c r="T6106" t="s">
        <v>19919</v>
      </c>
    </row>
    <row r="6107" spans="2:20" x14ac:dyDescent="0.25">
      <c r="B6107" t="s">
        <v>2709</v>
      </c>
      <c r="C6107">
        <v>57039000</v>
      </c>
      <c r="E6107">
        <v>54</v>
      </c>
      <c r="F6107">
        <v>18</v>
      </c>
      <c r="G6107">
        <v>10</v>
      </c>
      <c r="H6107">
        <v>7.6</v>
      </c>
      <c r="I6107">
        <v>1.65</v>
      </c>
      <c r="J6107">
        <v>35</v>
      </c>
      <c r="L6107" t="s">
        <v>2709</v>
      </c>
      <c r="M6107">
        <v>57039000</v>
      </c>
      <c r="O6107" t="s">
        <v>20109</v>
      </c>
      <c r="P6107" t="s">
        <v>19899</v>
      </c>
      <c r="Q6107" t="s">
        <v>19904</v>
      </c>
      <c r="R6107" t="s">
        <v>19905</v>
      </c>
      <c r="S6107" t="s">
        <v>19906</v>
      </c>
      <c r="T6107" t="s">
        <v>19919</v>
      </c>
    </row>
    <row r="6108" spans="2:20" x14ac:dyDescent="0.25">
      <c r="B6108" t="s">
        <v>2709</v>
      </c>
      <c r="C6108">
        <v>57041000</v>
      </c>
      <c r="E6108">
        <v>46</v>
      </c>
      <c r="F6108">
        <v>18</v>
      </c>
      <c r="G6108">
        <v>10</v>
      </c>
      <c r="H6108">
        <v>7.6</v>
      </c>
      <c r="I6108">
        <v>1.65</v>
      </c>
      <c r="J6108">
        <v>35</v>
      </c>
      <c r="L6108" t="s">
        <v>2709</v>
      </c>
      <c r="M6108">
        <v>57041000</v>
      </c>
      <c r="O6108" t="s">
        <v>20071</v>
      </c>
      <c r="P6108" t="s">
        <v>19899</v>
      </c>
      <c r="Q6108" t="s">
        <v>19904</v>
      </c>
      <c r="R6108" t="s">
        <v>19905</v>
      </c>
      <c r="S6108" t="s">
        <v>19906</v>
      </c>
      <c r="T6108" t="s">
        <v>19919</v>
      </c>
    </row>
    <row r="6109" spans="2:20" x14ac:dyDescent="0.25">
      <c r="B6109" t="s">
        <v>2709</v>
      </c>
      <c r="C6109">
        <v>57049000</v>
      </c>
      <c r="E6109">
        <v>46</v>
      </c>
      <c r="F6109">
        <v>18</v>
      </c>
      <c r="G6109">
        <v>10</v>
      </c>
      <c r="H6109">
        <v>7.6</v>
      </c>
      <c r="I6109">
        <v>1.65</v>
      </c>
      <c r="J6109">
        <v>35</v>
      </c>
      <c r="L6109" t="s">
        <v>2709</v>
      </c>
      <c r="M6109">
        <v>57049000</v>
      </c>
      <c r="O6109" t="s">
        <v>20071</v>
      </c>
      <c r="P6109" t="s">
        <v>19899</v>
      </c>
      <c r="Q6109" t="s">
        <v>19904</v>
      </c>
      <c r="R6109" t="s">
        <v>19905</v>
      </c>
      <c r="S6109" t="s">
        <v>19906</v>
      </c>
      <c r="T6109" t="s">
        <v>19919</v>
      </c>
    </row>
    <row r="6110" spans="2:20" x14ac:dyDescent="0.25">
      <c r="B6110" t="s">
        <v>2709</v>
      </c>
      <c r="C6110">
        <v>57050000</v>
      </c>
      <c r="E6110">
        <v>71.78</v>
      </c>
      <c r="F6110">
        <v>18</v>
      </c>
      <c r="G6110">
        <v>10</v>
      </c>
      <c r="H6110">
        <v>7.6</v>
      </c>
      <c r="I6110">
        <v>1.65</v>
      </c>
      <c r="J6110">
        <v>35</v>
      </c>
      <c r="L6110" t="s">
        <v>2709</v>
      </c>
      <c r="M6110">
        <v>57050000</v>
      </c>
      <c r="O6110" t="s">
        <v>20056</v>
      </c>
      <c r="P6110" t="s">
        <v>19899</v>
      </c>
      <c r="Q6110" t="s">
        <v>19904</v>
      </c>
      <c r="R6110" t="s">
        <v>19905</v>
      </c>
      <c r="S6110" t="s">
        <v>19906</v>
      </c>
      <c r="T6110" t="s">
        <v>19919</v>
      </c>
    </row>
    <row r="6111" spans="2:20" x14ac:dyDescent="0.25">
      <c r="B6111" t="s">
        <v>2709</v>
      </c>
      <c r="C6111">
        <v>58011000</v>
      </c>
      <c r="E6111" t="s">
        <v>19447</v>
      </c>
      <c r="F6111">
        <v>18</v>
      </c>
      <c r="G6111">
        <v>0</v>
      </c>
      <c r="H6111">
        <v>7.6</v>
      </c>
      <c r="I6111">
        <v>1.65</v>
      </c>
      <c r="J6111">
        <v>26</v>
      </c>
      <c r="L6111" t="s">
        <v>2709</v>
      </c>
      <c r="M6111">
        <v>58011000</v>
      </c>
      <c r="O6111" t="s">
        <v>19447</v>
      </c>
      <c r="P6111" t="s">
        <v>19899</v>
      </c>
      <c r="Q6111" t="s">
        <v>19900</v>
      </c>
      <c r="R6111" t="s">
        <v>19905</v>
      </c>
      <c r="S6111" t="s">
        <v>19906</v>
      </c>
      <c r="T6111" t="s">
        <v>20108</v>
      </c>
    </row>
    <row r="6112" spans="2:20" x14ac:dyDescent="0.25">
      <c r="B6112" t="s">
        <v>2709</v>
      </c>
      <c r="C6112">
        <v>58012100</v>
      </c>
      <c r="E6112" t="s">
        <v>19447</v>
      </c>
      <c r="F6112">
        <v>18</v>
      </c>
      <c r="G6112">
        <v>0</v>
      </c>
      <c r="H6112">
        <v>7.6</v>
      </c>
      <c r="I6112">
        <v>1.65</v>
      </c>
      <c r="J6112">
        <v>26</v>
      </c>
      <c r="L6112" t="s">
        <v>2709</v>
      </c>
      <c r="M6112">
        <v>58012100</v>
      </c>
      <c r="O6112" t="s">
        <v>19447</v>
      </c>
      <c r="P6112" t="s">
        <v>19899</v>
      </c>
      <c r="Q6112" t="s">
        <v>19900</v>
      </c>
      <c r="R6112" t="s">
        <v>19905</v>
      </c>
      <c r="S6112" t="s">
        <v>19906</v>
      </c>
      <c r="T6112" t="s">
        <v>20108</v>
      </c>
    </row>
    <row r="6113" spans="2:20" x14ac:dyDescent="0.25">
      <c r="B6113" t="s">
        <v>2709</v>
      </c>
      <c r="C6113">
        <v>58012200</v>
      </c>
      <c r="E6113" t="s">
        <v>19447</v>
      </c>
      <c r="F6113">
        <v>18</v>
      </c>
      <c r="G6113">
        <v>0</v>
      </c>
      <c r="H6113">
        <v>7.6</v>
      </c>
      <c r="I6113">
        <v>1.65</v>
      </c>
      <c r="J6113">
        <v>26</v>
      </c>
      <c r="L6113" t="s">
        <v>2709</v>
      </c>
      <c r="M6113">
        <v>58012200</v>
      </c>
      <c r="O6113" t="s">
        <v>19447</v>
      </c>
      <c r="P6113" t="s">
        <v>19899</v>
      </c>
      <c r="Q6113" t="s">
        <v>19900</v>
      </c>
      <c r="R6113" t="s">
        <v>19905</v>
      </c>
      <c r="S6113" t="s">
        <v>19906</v>
      </c>
      <c r="T6113" t="s">
        <v>20108</v>
      </c>
    </row>
    <row r="6114" spans="2:20" x14ac:dyDescent="0.25">
      <c r="B6114" t="s">
        <v>2709</v>
      </c>
      <c r="C6114">
        <v>58012300</v>
      </c>
      <c r="E6114" t="s">
        <v>19447</v>
      </c>
      <c r="F6114">
        <v>18</v>
      </c>
      <c r="G6114">
        <v>0</v>
      </c>
      <c r="H6114">
        <v>7.6</v>
      </c>
      <c r="I6114">
        <v>1.65</v>
      </c>
      <c r="J6114">
        <v>26</v>
      </c>
      <c r="L6114" t="s">
        <v>2709</v>
      </c>
      <c r="M6114">
        <v>58012300</v>
      </c>
      <c r="O6114" t="s">
        <v>19447</v>
      </c>
      <c r="P6114" t="s">
        <v>19899</v>
      </c>
      <c r="Q6114" t="s">
        <v>19900</v>
      </c>
      <c r="R6114" t="s">
        <v>19905</v>
      </c>
      <c r="S6114" t="s">
        <v>19906</v>
      </c>
      <c r="T6114" t="s">
        <v>20108</v>
      </c>
    </row>
    <row r="6115" spans="2:20" x14ac:dyDescent="0.25">
      <c r="B6115" t="s">
        <v>2709</v>
      </c>
      <c r="C6115">
        <v>58012600</v>
      </c>
      <c r="E6115" t="s">
        <v>19447</v>
      </c>
      <c r="F6115">
        <v>18</v>
      </c>
      <c r="G6115">
        <v>0</v>
      </c>
      <c r="H6115">
        <v>7.6</v>
      </c>
      <c r="I6115">
        <v>1.65</v>
      </c>
      <c r="J6115">
        <v>26</v>
      </c>
      <c r="L6115" t="s">
        <v>2709</v>
      </c>
      <c r="M6115">
        <v>58012600</v>
      </c>
      <c r="O6115" t="s">
        <v>19447</v>
      </c>
      <c r="P6115" t="s">
        <v>19899</v>
      </c>
      <c r="Q6115" t="s">
        <v>19900</v>
      </c>
      <c r="R6115" t="s">
        <v>19905</v>
      </c>
      <c r="S6115" t="s">
        <v>19906</v>
      </c>
      <c r="T6115" t="s">
        <v>20108</v>
      </c>
    </row>
    <row r="6116" spans="2:20" x14ac:dyDescent="0.25">
      <c r="B6116" t="s">
        <v>2709</v>
      </c>
      <c r="C6116">
        <v>58012700</v>
      </c>
      <c r="E6116" t="s">
        <v>19447</v>
      </c>
      <c r="F6116">
        <v>18</v>
      </c>
      <c r="G6116">
        <v>0</v>
      </c>
      <c r="H6116">
        <v>7.6</v>
      </c>
      <c r="I6116">
        <v>1.65</v>
      </c>
      <c r="J6116">
        <v>26</v>
      </c>
      <c r="L6116" t="s">
        <v>2709</v>
      </c>
      <c r="M6116">
        <v>58012700</v>
      </c>
      <c r="O6116" t="s">
        <v>19447</v>
      </c>
      <c r="P6116" t="s">
        <v>19899</v>
      </c>
      <c r="Q6116" t="s">
        <v>19900</v>
      </c>
      <c r="R6116" t="s">
        <v>19905</v>
      </c>
      <c r="S6116" t="s">
        <v>19906</v>
      </c>
      <c r="T6116" t="s">
        <v>20108</v>
      </c>
    </row>
    <row r="6117" spans="2:20" x14ac:dyDescent="0.25">
      <c r="B6117" t="s">
        <v>2709</v>
      </c>
      <c r="C6117">
        <v>58013100</v>
      </c>
      <c r="E6117" t="s">
        <v>19447</v>
      </c>
      <c r="F6117">
        <v>18</v>
      </c>
      <c r="G6117">
        <v>0</v>
      </c>
      <c r="H6117">
        <v>7.6</v>
      </c>
      <c r="I6117">
        <v>1.65</v>
      </c>
      <c r="J6117">
        <v>26</v>
      </c>
      <c r="L6117" t="s">
        <v>2709</v>
      </c>
      <c r="M6117">
        <v>58013100</v>
      </c>
      <c r="O6117" t="s">
        <v>19447</v>
      </c>
      <c r="P6117" t="s">
        <v>19899</v>
      </c>
      <c r="Q6117" t="s">
        <v>19900</v>
      </c>
      <c r="R6117" t="s">
        <v>19905</v>
      </c>
      <c r="S6117" t="s">
        <v>19906</v>
      </c>
      <c r="T6117" t="s">
        <v>20108</v>
      </c>
    </row>
    <row r="6118" spans="2:20" x14ac:dyDescent="0.25">
      <c r="B6118" t="s">
        <v>2709</v>
      </c>
      <c r="C6118">
        <v>58013200</v>
      </c>
      <c r="E6118" t="s">
        <v>19447</v>
      </c>
      <c r="F6118">
        <v>18</v>
      </c>
      <c r="G6118">
        <v>0</v>
      </c>
      <c r="H6118">
        <v>7.6</v>
      </c>
      <c r="I6118">
        <v>1.65</v>
      </c>
      <c r="J6118">
        <v>26</v>
      </c>
      <c r="L6118" t="s">
        <v>2709</v>
      </c>
      <c r="M6118">
        <v>58013200</v>
      </c>
      <c r="O6118" t="s">
        <v>19447</v>
      </c>
      <c r="P6118" t="s">
        <v>19899</v>
      </c>
      <c r="Q6118" t="s">
        <v>19900</v>
      </c>
      <c r="R6118" t="s">
        <v>19905</v>
      </c>
      <c r="S6118" t="s">
        <v>19906</v>
      </c>
      <c r="T6118" t="s">
        <v>20108</v>
      </c>
    </row>
    <row r="6119" spans="2:20" x14ac:dyDescent="0.25">
      <c r="B6119" t="s">
        <v>2709</v>
      </c>
      <c r="C6119">
        <v>58013300</v>
      </c>
      <c r="E6119" t="s">
        <v>19447</v>
      </c>
      <c r="F6119">
        <v>18</v>
      </c>
      <c r="G6119">
        <v>0</v>
      </c>
      <c r="H6119">
        <v>7.6</v>
      </c>
      <c r="I6119">
        <v>1.65</v>
      </c>
      <c r="J6119">
        <v>26</v>
      </c>
      <c r="L6119" t="s">
        <v>2709</v>
      </c>
      <c r="M6119">
        <v>58013300</v>
      </c>
      <c r="O6119" t="s">
        <v>19447</v>
      </c>
      <c r="P6119" t="s">
        <v>19899</v>
      </c>
      <c r="Q6119" t="s">
        <v>19900</v>
      </c>
      <c r="R6119" t="s">
        <v>19905</v>
      </c>
      <c r="S6119" t="s">
        <v>19906</v>
      </c>
      <c r="T6119" t="s">
        <v>20108</v>
      </c>
    </row>
    <row r="6120" spans="2:20" x14ac:dyDescent="0.25">
      <c r="B6120" t="s">
        <v>2709</v>
      </c>
      <c r="C6120">
        <v>58013600</v>
      </c>
      <c r="E6120" t="s">
        <v>19447</v>
      </c>
      <c r="F6120">
        <v>18</v>
      </c>
      <c r="G6120">
        <v>0</v>
      </c>
      <c r="H6120">
        <v>7.6</v>
      </c>
      <c r="I6120">
        <v>1.65</v>
      </c>
      <c r="J6120">
        <v>26</v>
      </c>
      <c r="L6120" t="s">
        <v>2709</v>
      </c>
      <c r="M6120">
        <v>58013600</v>
      </c>
      <c r="O6120" t="s">
        <v>19447</v>
      </c>
      <c r="P6120" t="s">
        <v>19899</v>
      </c>
      <c r="Q6120" t="s">
        <v>19900</v>
      </c>
      <c r="R6120" t="s">
        <v>19905</v>
      </c>
      <c r="S6120" t="s">
        <v>19906</v>
      </c>
      <c r="T6120" t="s">
        <v>20108</v>
      </c>
    </row>
    <row r="6121" spans="2:20" x14ac:dyDescent="0.25">
      <c r="B6121" t="s">
        <v>2709</v>
      </c>
      <c r="C6121">
        <v>58013700</v>
      </c>
      <c r="E6121" t="s">
        <v>19447</v>
      </c>
      <c r="F6121">
        <v>18</v>
      </c>
      <c r="G6121">
        <v>0</v>
      </c>
      <c r="H6121">
        <v>7.6</v>
      </c>
      <c r="I6121">
        <v>1.65</v>
      </c>
      <c r="J6121">
        <v>26</v>
      </c>
      <c r="L6121" t="s">
        <v>2709</v>
      </c>
      <c r="M6121">
        <v>58013700</v>
      </c>
      <c r="O6121" t="s">
        <v>19447</v>
      </c>
      <c r="P6121" t="s">
        <v>19899</v>
      </c>
      <c r="Q6121" t="s">
        <v>19900</v>
      </c>
      <c r="R6121" t="s">
        <v>19905</v>
      </c>
      <c r="S6121" t="s">
        <v>19906</v>
      </c>
      <c r="T6121" t="s">
        <v>20108</v>
      </c>
    </row>
    <row r="6122" spans="2:20" x14ac:dyDescent="0.25">
      <c r="B6122" t="s">
        <v>2709</v>
      </c>
      <c r="C6122">
        <v>58019000</v>
      </c>
      <c r="E6122" t="s">
        <v>19447</v>
      </c>
      <c r="F6122">
        <v>18</v>
      </c>
      <c r="G6122">
        <v>0</v>
      </c>
      <c r="H6122">
        <v>7.6</v>
      </c>
      <c r="I6122">
        <v>1.65</v>
      </c>
      <c r="J6122">
        <v>26</v>
      </c>
      <c r="L6122" t="s">
        <v>2709</v>
      </c>
      <c r="M6122">
        <v>58019000</v>
      </c>
      <c r="O6122" t="s">
        <v>19447</v>
      </c>
      <c r="P6122" t="s">
        <v>19899</v>
      </c>
      <c r="Q6122" t="s">
        <v>19900</v>
      </c>
      <c r="R6122" t="s">
        <v>19905</v>
      </c>
      <c r="S6122" t="s">
        <v>19906</v>
      </c>
      <c r="T6122" t="s">
        <v>20108</v>
      </c>
    </row>
    <row r="6123" spans="2:20" x14ac:dyDescent="0.25">
      <c r="B6123" t="s">
        <v>2709</v>
      </c>
      <c r="C6123">
        <v>58021100</v>
      </c>
      <c r="E6123" t="s">
        <v>19447</v>
      </c>
      <c r="F6123">
        <v>18</v>
      </c>
      <c r="G6123">
        <v>0</v>
      </c>
      <c r="H6123">
        <v>7.6</v>
      </c>
      <c r="I6123">
        <v>1.65</v>
      </c>
      <c r="J6123">
        <v>26</v>
      </c>
      <c r="L6123" t="s">
        <v>2709</v>
      </c>
      <c r="M6123">
        <v>58021100</v>
      </c>
      <c r="O6123" t="s">
        <v>19447</v>
      </c>
      <c r="P6123" t="s">
        <v>19899</v>
      </c>
      <c r="Q6123" t="s">
        <v>19900</v>
      </c>
      <c r="R6123" t="s">
        <v>19905</v>
      </c>
      <c r="S6123" t="s">
        <v>19906</v>
      </c>
      <c r="T6123" t="s">
        <v>20108</v>
      </c>
    </row>
    <row r="6124" spans="2:20" x14ac:dyDescent="0.25">
      <c r="B6124" t="s">
        <v>2709</v>
      </c>
      <c r="C6124">
        <v>58021900</v>
      </c>
      <c r="E6124" t="s">
        <v>19447</v>
      </c>
      <c r="F6124">
        <v>18</v>
      </c>
      <c r="G6124">
        <v>0</v>
      </c>
      <c r="H6124">
        <v>7.6</v>
      </c>
      <c r="I6124">
        <v>1.65</v>
      </c>
      <c r="J6124">
        <v>26</v>
      </c>
      <c r="L6124" t="s">
        <v>2709</v>
      </c>
      <c r="M6124">
        <v>58021900</v>
      </c>
      <c r="O6124" t="s">
        <v>19447</v>
      </c>
      <c r="P6124" t="s">
        <v>19899</v>
      </c>
      <c r="Q6124" t="s">
        <v>19900</v>
      </c>
      <c r="R6124" t="s">
        <v>19905</v>
      </c>
      <c r="S6124" t="s">
        <v>19906</v>
      </c>
      <c r="T6124" t="s">
        <v>20108</v>
      </c>
    </row>
    <row r="6125" spans="2:20" x14ac:dyDescent="0.25">
      <c r="B6125" t="s">
        <v>2709</v>
      </c>
      <c r="C6125">
        <v>58022000</v>
      </c>
      <c r="E6125" t="s">
        <v>19447</v>
      </c>
      <c r="F6125">
        <v>18</v>
      </c>
      <c r="G6125">
        <v>0</v>
      </c>
      <c r="H6125">
        <v>7.6</v>
      </c>
      <c r="I6125">
        <v>1.65</v>
      </c>
      <c r="J6125">
        <v>26</v>
      </c>
      <c r="L6125" t="s">
        <v>2709</v>
      </c>
      <c r="M6125">
        <v>58022000</v>
      </c>
      <c r="O6125" t="s">
        <v>19447</v>
      </c>
      <c r="P6125" t="s">
        <v>19899</v>
      </c>
      <c r="Q6125" t="s">
        <v>19900</v>
      </c>
      <c r="R6125" t="s">
        <v>19905</v>
      </c>
      <c r="S6125" t="s">
        <v>19906</v>
      </c>
      <c r="T6125" t="s">
        <v>20108</v>
      </c>
    </row>
    <row r="6126" spans="2:20" x14ac:dyDescent="0.25">
      <c r="B6126" t="s">
        <v>2709</v>
      </c>
      <c r="C6126">
        <v>58023000</v>
      </c>
      <c r="E6126" t="s">
        <v>19447</v>
      </c>
      <c r="F6126">
        <v>18</v>
      </c>
      <c r="G6126">
        <v>0</v>
      </c>
      <c r="H6126">
        <v>7.6</v>
      </c>
      <c r="I6126">
        <v>1.65</v>
      </c>
      <c r="J6126">
        <v>26</v>
      </c>
      <c r="L6126" t="s">
        <v>2709</v>
      </c>
      <c r="M6126">
        <v>58023000</v>
      </c>
      <c r="O6126" t="s">
        <v>19447</v>
      </c>
      <c r="P6126" t="s">
        <v>19899</v>
      </c>
      <c r="Q6126" t="s">
        <v>19900</v>
      </c>
      <c r="R6126" t="s">
        <v>19905</v>
      </c>
      <c r="S6126" t="s">
        <v>19906</v>
      </c>
      <c r="T6126" t="s">
        <v>20108</v>
      </c>
    </row>
    <row r="6127" spans="2:20" x14ac:dyDescent="0.25">
      <c r="B6127" t="s">
        <v>2709</v>
      </c>
      <c r="C6127">
        <v>58030010</v>
      </c>
      <c r="E6127" t="s">
        <v>19447</v>
      </c>
      <c r="F6127">
        <v>18</v>
      </c>
      <c r="G6127">
        <v>0</v>
      </c>
      <c r="H6127">
        <v>7.6</v>
      </c>
      <c r="I6127">
        <v>1.65</v>
      </c>
      <c r="J6127">
        <v>26</v>
      </c>
      <c r="L6127" t="s">
        <v>2709</v>
      </c>
      <c r="M6127">
        <v>58030010</v>
      </c>
      <c r="O6127" t="s">
        <v>19447</v>
      </c>
      <c r="P6127" t="s">
        <v>19899</v>
      </c>
      <c r="Q6127" t="s">
        <v>19900</v>
      </c>
      <c r="R6127" t="s">
        <v>19905</v>
      </c>
      <c r="S6127" t="s">
        <v>19906</v>
      </c>
      <c r="T6127" t="s">
        <v>20108</v>
      </c>
    </row>
    <row r="6128" spans="2:20" x14ac:dyDescent="0.25">
      <c r="B6128" t="s">
        <v>2709</v>
      </c>
      <c r="C6128">
        <v>58030090</v>
      </c>
      <c r="E6128" t="s">
        <v>19447</v>
      </c>
      <c r="F6128">
        <v>18</v>
      </c>
      <c r="G6128">
        <v>0</v>
      </c>
      <c r="H6128">
        <v>7.6</v>
      </c>
      <c r="I6128">
        <v>1.65</v>
      </c>
      <c r="J6128">
        <v>26</v>
      </c>
      <c r="L6128" t="s">
        <v>2709</v>
      </c>
      <c r="M6128">
        <v>58030090</v>
      </c>
      <c r="O6128" t="s">
        <v>19447</v>
      </c>
      <c r="P6128" t="s">
        <v>19899</v>
      </c>
      <c r="Q6128" t="s">
        <v>19900</v>
      </c>
      <c r="R6128" t="s">
        <v>19905</v>
      </c>
      <c r="S6128" t="s">
        <v>19906</v>
      </c>
      <c r="T6128" t="s">
        <v>20108</v>
      </c>
    </row>
    <row r="6129" spans="2:20" x14ac:dyDescent="0.25">
      <c r="B6129" t="s">
        <v>2709</v>
      </c>
      <c r="C6129">
        <v>58041010</v>
      </c>
      <c r="E6129" t="s">
        <v>19447</v>
      </c>
      <c r="F6129">
        <v>18</v>
      </c>
      <c r="G6129">
        <v>0</v>
      </c>
      <c r="H6129">
        <v>7.6</v>
      </c>
      <c r="I6129">
        <v>1.65</v>
      </c>
      <c r="J6129">
        <v>26</v>
      </c>
      <c r="L6129" t="s">
        <v>2709</v>
      </c>
      <c r="M6129">
        <v>58041010</v>
      </c>
      <c r="O6129" t="s">
        <v>19447</v>
      </c>
      <c r="P6129" t="s">
        <v>19899</v>
      </c>
      <c r="Q6129" t="s">
        <v>19900</v>
      </c>
      <c r="R6129" t="s">
        <v>19905</v>
      </c>
      <c r="S6129" t="s">
        <v>19906</v>
      </c>
      <c r="T6129" t="s">
        <v>20108</v>
      </c>
    </row>
    <row r="6130" spans="2:20" x14ac:dyDescent="0.25">
      <c r="B6130" t="s">
        <v>2709</v>
      </c>
      <c r="C6130">
        <v>58041090</v>
      </c>
      <c r="E6130" t="s">
        <v>19447</v>
      </c>
      <c r="F6130">
        <v>18</v>
      </c>
      <c r="G6130">
        <v>0</v>
      </c>
      <c r="H6130">
        <v>7.6</v>
      </c>
      <c r="I6130">
        <v>1.65</v>
      </c>
      <c r="J6130">
        <v>26</v>
      </c>
      <c r="L6130" t="s">
        <v>2709</v>
      </c>
      <c r="M6130">
        <v>58041090</v>
      </c>
      <c r="O6130" t="s">
        <v>19447</v>
      </c>
      <c r="P6130" t="s">
        <v>19899</v>
      </c>
      <c r="Q6130" t="s">
        <v>19900</v>
      </c>
      <c r="R6130" t="s">
        <v>19905</v>
      </c>
      <c r="S6130" t="s">
        <v>19906</v>
      </c>
      <c r="T6130" t="s">
        <v>20108</v>
      </c>
    </row>
    <row r="6131" spans="2:20" x14ac:dyDescent="0.25">
      <c r="B6131" t="s">
        <v>2709</v>
      </c>
      <c r="C6131">
        <v>58042100</v>
      </c>
      <c r="E6131" t="s">
        <v>19447</v>
      </c>
      <c r="F6131">
        <v>18</v>
      </c>
      <c r="G6131">
        <v>0</v>
      </c>
      <c r="H6131">
        <v>7.6</v>
      </c>
      <c r="I6131">
        <v>1.65</v>
      </c>
      <c r="J6131">
        <v>26</v>
      </c>
      <c r="L6131" t="s">
        <v>2709</v>
      </c>
      <c r="M6131">
        <v>58042100</v>
      </c>
      <c r="O6131" t="s">
        <v>19447</v>
      </c>
      <c r="P6131" t="s">
        <v>19899</v>
      </c>
      <c r="Q6131" t="s">
        <v>19900</v>
      </c>
      <c r="R6131" t="s">
        <v>19905</v>
      </c>
      <c r="S6131" t="s">
        <v>19906</v>
      </c>
      <c r="T6131" t="s">
        <v>20108</v>
      </c>
    </row>
    <row r="6132" spans="2:20" x14ac:dyDescent="0.25">
      <c r="B6132" t="s">
        <v>2709</v>
      </c>
      <c r="C6132">
        <v>58042910</v>
      </c>
      <c r="E6132" t="s">
        <v>19447</v>
      </c>
      <c r="F6132">
        <v>18</v>
      </c>
      <c r="G6132">
        <v>0</v>
      </c>
      <c r="H6132">
        <v>7.6</v>
      </c>
      <c r="I6132">
        <v>1.65</v>
      </c>
      <c r="J6132">
        <v>26</v>
      </c>
      <c r="L6132" t="s">
        <v>2709</v>
      </c>
      <c r="M6132">
        <v>58042910</v>
      </c>
      <c r="O6132" t="s">
        <v>19447</v>
      </c>
      <c r="P6132" t="s">
        <v>19899</v>
      </c>
      <c r="Q6132" t="s">
        <v>19900</v>
      </c>
      <c r="R6132" t="s">
        <v>19905</v>
      </c>
      <c r="S6132" t="s">
        <v>19906</v>
      </c>
      <c r="T6132" t="s">
        <v>20108</v>
      </c>
    </row>
    <row r="6133" spans="2:20" x14ac:dyDescent="0.25">
      <c r="B6133" t="s">
        <v>2709</v>
      </c>
      <c r="C6133">
        <v>58042990</v>
      </c>
      <c r="E6133" t="s">
        <v>19447</v>
      </c>
      <c r="F6133">
        <v>18</v>
      </c>
      <c r="G6133">
        <v>0</v>
      </c>
      <c r="H6133">
        <v>7.6</v>
      </c>
      <c r="I6133">
        <v>1.65</v>
      </c>
      <c r="J6133">
        <v>26</v>
      </c>
      <c r="L6133" t="s">
        <v>2709</v>
      </c>
      <c r="M6133">
        <v>58042990</v>
      </c>
      <c r="O6133" t="s">
        <v>19447</v>
      </c>
      <c r="P6133" t="s">
        <v>19899</v>
      </c>
      <c r="Q6133" t="s">
        <v>19900</v>
      </c>
      <c r="R6133" t="s">
        <v>19905</v>
      </c>
      <c r="S6133" t="s">
        <v>19906</v>
      </c>
      <c r="T6133" t="s">
        <v>20108</v>
      </c>
    </row>
    <row r="6134" spans="2:20" x14ac:dyDescent="0.25">
      <c r="B6134" t="s">
        <v>2709</v>
      </c>
      <c r="C6134">
        <v>58043010</v>
      </c>
      <c r="E6134" t="s">
        <v>19447</v>
      </c>
      <c r="F6134">
        <v>18</v>
      </c>
      <c r="G6134">
        <v>0</v>
      </c>
      <c r="H6134">
        <v>7.6</v>
      </c>
      <c r="I6134">
        <v>1.65</v>
      </c>
      <c r="J6134">
        <v>26</v>
      </c>
      <c r="L6134" t="s">
        <v>2709</v>
      </c>
      <c r="M6134">
        <v>58043010</v>
      </c>
      <c r="O6134" t="s">
        <v>19447</v>
      </c>
      <c r="P6134" t="s">
        <v>19899</v>
      </c>
      <c r="Q6134" t="s">
        <v>19900</v>
      </c>
      <c r="R6134" t="s">
        <v>19905</v>
      </c>
      <c r="S6134" t="s">
        <v>19906</v>
      </c>
      <c r="T6134" t="s">
        <v>20108</v>
      </c>
    </row>
    <row r="6135" spans="2:20" x14ac:dyDescent="0.25">
      <c r="B6135" t="s">
        <v>2709</v>
      </c>
      <c r="C6135">
        <v>58043090</v>
      </c>
      <c r="E6135" t="s">
        <v>19447</v>
      </c>
      <c r="F6135">
        <v>18</v>
      </c>
      <c r="G6135">
        <v>0</v>
      </c>
      <c r="H6135">
        <v>7.6</v>
      </c>
      <c r="I6135">
        <v>1.65</v>
      </c>
      <c r="J6135">
        <v>26</v>
      </c>
      <c r="L6135" t="s">
        <v>2709</v>
      </c>
      <c r="M6135">
        <v>58043090</v>
      </c>
      <c r="O6135" t="s">
        <v>19447</v>
      </c>
      <c r="P6135" t="s">
        <v>19899</v>
      </c>
      <c r="Q6135" t="s">
        <v>19900</v>
      </c>
      <c r="R6135" t="s">
        <v>19905</v>
      </c>
      <c r="S6135" t="s">
        <v>19906</v>
      </c>
      <c r="T6135" t="s">
        <v>20108</v>
      </c>
    </row>
    <row r="6136" spans="2:20" x14ac:dyDescent="0.25">
      <c r="B6136" t="s">
        <v>2709</v>
      </c>
      <c r="C6136">
        <v>58050010</v>
      </c>
      <c r="E6136" t="s">
        <v>19447</v>
      </c>
      <c r="F6136">
        <v>18</v>
      </c>
      <c r="G6136">
        <v>5</v>
      </c>
      <c r="H6136">
        <v>7.6</v>
      </c>
      <c r="I6136">
        <v>1.65</v>
      </c>
      <c r="J6136">
        <v>26</v>
      </c>
      <c r="L6136" t="s">
        <v>2709</v>
      </c>
      <c r="M6136">
        <v>58050010</v>
      </c>
      <c r="O6136" t="s">
        <v>19447</v>
      </c>
      <c r="P6136" t="s">
        <v>19899</v>
      </c>
      <c r="Q6136" t="s">
        <v>19909</v>
      </c>
      <c r="R6136" t="s">
        <v>19905</v>
      </c>
      <c r="S6136" t="s">
        <v>19906</v>
      </c>
      <c r="T6136" t="s">
        <v>20108</v>
      </c>
    </row>
    <row r="6137" spans="2:20" x14ac:dyDescent="0.25">
      <c r="B6137" t="s">
        <v>2709</v>
      </c>
      <c r="C6137">
        <v>58050020</v>
      </c>
      <c r="E6137" t="s">
        <v>19447</v>
      </c>
      <c r="F6137">
        <v>18</v>
      </c>
      <c r="G6137">
        <v>5</v>
      </c>
      <c r="H6137">
        <v>7.6</v>
      </c>
      <c r="I6137">
        <v>1.65</v>
      </c>
      <c r="J6137">
        <v>26</v>
      </c>
      <c r="L6137" t="s">
        <v>2709</v>
      </c>
      <c r="M6137">
        <v>58050020</v>
      </c>
      <c r="O6137" t="s">
        <v>19447</v>
      </c>
      <c r="P6137" t="s">
        <v>19899</v>
      </c>
      <c r="Q6137" t="s">
        <v>19909</v>
      </c>
      <c r="R6137" t="s">
        <v>19905</v>
      </c>
      <c r="S6137" t="s">
        <v>19906</v>
      </c>
      <c r="T6137" t="s">
        <v>20108</v>
      </c>
    </row>
    <row r="6138" spans="2:20" x14ac:dyDescent="0.25">
      <c r="B6138" t="s">
        <v>2709</v>
      </c>
      <c r="C6138">
        <v>58050090</v>
      </c>
      <c r="E6138" t="s">
        <v>19447</v>
      </c>
      <c r="F6138">
        <v>18</v>
      </c>
      <c r="G6138">
        <v>5</v>
      </c>
      <c r="H6138">
        <v>7.6</v>
      </c>
      <c r="I6138">
        <v>1.65</v>
      </c>
      <c r="J6138">
        <v>26</v>
      </c>
      <c r="L6138" t="s">
        <v>2709</v>
      </c>
      <c r="M6138">
        <v>58050090</v>
      </c>
      <c r="O6138" t="s">
        <v>19447</v>
      </c>
      <c r="P6138" t="s">
        <v>19899</v>
      </c>
      <c r="Q6138" t="s">
        <v>19909</v>
      </c>
      <c r="R6138" t="s">
        <v>19905</v>
      </c>
      <c r="S6138" t="s">
        <v>19906</v>
      </c>
      <c r="T6138" t="s">
        <v>20108</v>
      </c>
    </row>
    <row r="6139" spans="2:20" x14ac:dyDescent="0.25">
      <c r="B6139" t="s">
        <v>2709</v>
      </c>
      <c r="C6139">
        <v>58061000</v>
      </c>
      <c r="E6139" t="s">
        <v>19447</v>
      </c>
      <c r="F6139">
        <v>18</v>
      </c>
      <c r="G6139">
        <v>0</v>
      </c>
      <c r="H6139">
        <v>7.6</v>
      </c>
      <c r="I6139">
        <v>1.65</v>
      </c>
      <c r="J6139">
        <v>26</v>
      </c>
      <c r="L6139" t="s">
        <v>2709</v>
      </c>
      <c r="M6139">
        <v>58061000</v>
      </c>
      <c r="O6139" t="s">
        <v>19447</v>
      </c>
      <c r="P6139" t="s">
        <v>19899</v>
      </c>
      <c r="Q6139" t="s">
        <v>19900</v>
      </c>
      <c r="R6139" t="s">
        <v>19905</v>
      </c>
      <c r="S6139" t="s">
        <v>19906</v>
      </c>
      <c r="T6139" t="s">
        <v>20108</v>
      </c>
    </row>
    <row r="6140" spans="2:20" x14ac:dyDescent="0.25">
      <c r="B6140" t="s">
        <v>2709</v>
      </c>
      <c r="C6140">
        <v>58062000</v>
      </c>
      <c r="E6140" t="s">
        <v>19447</v>
      </c>
      <c r="F6140">
        <v>18</v>
      </c>
      <c r="G6140">
        <v>0</v>
      </c>
      <c r="H6140">
        <v>7.6</v>
      </c>
      <c r="I6140">
        <v>1.65</v>
      </c>
      <c r="J6140">
        <v>26</v>
      </c>
      <c r="L6140" t="s">
        <v>2709</v>
      </c>
      <c r="M6140">
        <v>58062000</v>
      </c>
      <c r="O6140" t="s">
        <v>19447</v>
      </c>
      <c r="P6140" t="s">
        <v>19899</v>
      </c>
      <c r="Q6140" t="s">
        <v>19900</v>
      </c>
      <c r="R6140" t="s">
        <v>19905</v>
      </c>
      <c r="S6140" t="s">
        <v>19906</v>
      </c>
      <c r="T6140" t="s">
        <v>20108</v>
      </c>
    </row>
    <row r="6141" spans="2:20" x14ac:dyDescent="0.25">
      <c r="B6141" t="s">
        <v>2709</v>
      </c>
      <c r="C6141">
        <v>58063100</v>
      </c>
      <c r="E6141" t="s">
        <v>19447</v>
      </c>
      <c r="F6141">
        <v>18</v>
      </c>
      <c r="G6141">
        <v>0</v>
      </c>
      <c r="H6141">
        <v>7.6</v>
      </c>
      <c r="I6141">
        <v>1.65</v>
      </c>
      <c r="J6141">
        <v>26</v>
      </c>
      <c r="L6141" t="s">
        <v>2709</v>
      </c>
      <c r="M6141">
        <v>58063100</v>
      </c>
      <c r="O6141" t="s">
        <v>19447</v>
      </c>
      <c r="P6141" t="s">
        <v>19899</v>
      </c>
      <c r="Q6141" t="s">
        <v>19900</v>
      </c>
      <c r="R6141" t="s">
        <v>19905</v>
      </c>
      <c r="S6141" t="s">
        <v>19906</v>
      </c>
      <c r="T6141" t="s">
        <v>20108</v>
      </c>
    </row>
    <row r="6142" spans="2:20" x14ac:dyDescent="0.25">
      <c r="B6142" t="s">
        <v>2709</v>
      </c>
      <c r="C6142">
        <v>58063200</v>
      </c>
      <c r="E6142" t="s">
        <v>19447</v>
      </c>
      <c r="F6142">
        <v>18</v>
      </c>
      <c r="G6142">
        <v>0</v>
      </c>
      <c r="H6142">
        <v>7.6</v>
      </c>
      <c r="I6142">
        <v>1.65</v>
      </c>
      <c r="J6142">
        <v>26</v>
      </c>
      <c r="L6142" t="s">
        <v>2709</v>
      </c>
      <c r="M6142">
        <v>58063200</v>
      </c>
      <c r="O6142" t="s">
        <v>19447</v>
      </c>
      <c r="P6142" t="s">
        <v>19899</v>
      </c>
      <c r="Q6142" t="s">
        <v>19900</v>
      </c>
      <c r="R6142" t="s">
        <v>19905</v>
      </c>
      <c r="S6142" t="s">
        <v>19906</v>
      </c>
      <c r="T6142" t="s">
        <v>20108</v>
      </c>
    </row>
    <row r="6143" spans="2:20" x14ac:dyDescent="0.25">
      <c r="B6143" t="s">
        <v>2709</v>
      </c>
      <c r="C6143">
        <v>58063900</v>
      </c>
      <c r="E6143" t="s">
        <v>19447</v>
      </c>
      <c r="F6143">
        <v>18</v>
      </c>
      <c r="G6143">
        <v>0</v>
      </c>
      <c r="H6143">
        <v>7.6</v>
      </c>
      <c r="I6143">
        <v>1.65</v>
      </c>
      <c r="J6143">
        <v>26</v>
      </c>
      <c r="L6143" t="s">
        <v>2709</v>
      </c>
      <c r="M6143">
        <v>58063900</v>
      </c>
      <c r="O6143" t="s">
        <v>19447</v>
      </c>
      <c r="P6143" t="s">
        <v>19899</v>
      </c>
      <c r="Q6143" t="s">
        <v>19900</v>
      </c>
      <c r="R6143" t="s">
        <v>19905</v>
      </c>
      <c r="S6143" t="s">
        <v>19906</v>
      </c>
      <c r="T6143" t="s">
        <v>20108</v>
      </c>
    </row>
    <row r="6144" spans="2:20" x14ac:dyDescent="0.25">
      <c r="B6144" t="s">
        <v>2709</v>
      </c>
      <c r="C6144">
        <v>58064000</v>
      </c>
      <c r="E6144" t="s">
        <v>19447</v>
      </c>
      <c r="F6144">
        <v>18</v>
      </c>
      <c r="G6144">
        <v>0</v>
      </c>
      <c r="H6144">
        <v>7.6</v>
      </c>
      <c r="I6144">
        <v>1.65</v>
      </c>
      <c r="J6144">
        <v>26</v>
      </c>
      <c r="L6144" t="s">
        <v>2709</v>
      </c>
      <c r="M6144">
        <v>58064000</v>
      </c>
      <c r="O6144" t="s">
        <v>19447</v>
      </c>
      <c r="P6144" t="s">
        <v>19899</v>
      </c>
      <c r="Q6144" t="s">
        <v>19900</v>
      </c>
      <c r="R6144" t="s">
        <v>19905</v>
      </c>
      <c r="S6144" t="s">
        <v>19906</v>
      </c>
      <c r="T6144" t="s">
        <v>20108</v>
      </c>
    </row>
    <row r="6145" spans="2:20" x14ac:dyDescent="0.25">
      <c r="B6145" t="s">
        <v>2709</v>
      </c>
      <c r="C6145">
        <v>58071000</v>
      </c>
      <c r="E6145" t="s">
        <v>19447</v>
      </c>
      <c r="F6145">
        <v>18</v>
      </c>
      <c r="G6145">
        <v>0</v>
      </c>
      <c r="H6145">
        <v>7.6</v>
      </c>
      <c r="I6145">
        <v>1.65</v>
      </c>
      <c r="J6145">
        <v>26</v>
      </c>
      <c r="L6145" t="s">
        <v>2709</v>
      </c>
      <c r="M6145">
        <v>58071000</v>
      </c>
      <c r="O6145" t="s">
        <v>19447</v>
      </c>
      <c r="P6145" t="s">
        <v>19899</v>
      </c>
      <c r="Q6145" t="s">
        <v>19900</v>
      </c>
      <c r="R6145" t="s">
        <v>19905</v>
      </c>
      <c r="S6145" t="s">
        <v>19906</v>
      </c>
      <c r="T6145" t="s">
        <v>20108</v>
      </c>
    </row>
    <row r="6146" spans="2:20" x14ac:dyDescent="0.25">
      <c r="B6146" t="s">
        <v>2709</v>
      </c>
      <c r="C6146">
        <v>58079000</v>
      </c>
      <c r="E6146" t="s">
        <v>19447</v>
      </c>
      <c r="F6146">
        <v>18</v>
      </c>
      <c r="G6146">
        <v>0</v>
      </c>
      <c r="H6146">
        <v>7.6</v>
      </c>
      <c r="I6146">
        <v>1.65</v>
      </c>
      <c r="J6146">
        <v>26</v>
      </c>
      <c r="L6146" t="s">
        <v>2709</v>
      </c>
      <c r="M6146">
        <v>58079000</v>
      </c>
      <c r="O6146" t="s">
        <v>19447</v>
      </c>
      <c r="P6146" t="s">
        <v>19899</v>
      </c>
      <c r="Q6146" t="s">
        <v>19900</v>
      </c>
      <c r="R6146" t="s">
        <v>19905</v>
      </c>
      <c r="S6146" t="s">
        <v>19906</v>
      </c>
      <c r="T6146" t="s">
        <v>20108</v>
      </c>
    </row>
    <row r="6147" spans="2:20" x14ac:dyDescent="0.25">
      <c r="B6147" t="s">
        <v>2709</v>
      </c>
      <c r="C6147">
        <v>58081000</v>
      </c>
      <c r="E6147" t="s">
        <v>19447</v>
      </c>
      <c r="F6147">
        <v>18</v>
      </c>
      <c r="G6147">
        <v>0</v>
      </c>
      <c r="H6147">
        <v>7.6</v>
      </c>
      <c r="I6147">
        <v>1.65</v>
      </c>
      <c r="J6147">
        <v>26</v>
      </c>
      <c r="L6147" t="s">
        <v>2709</v>
      </c>
      <c r="M6147">
        <v>58081000</v>
      </c>
      <c r="O6147" t="s">
        <v>19447</v>
      </c>
      <c r="P6147" t="s">
        <v>19899</v>
      </c>
      <c r="Q6147" t="s">
        <v>19900</v>
      </c>
      <c r="R6147" t="s">
        <v>19905</v>
      </c>
      <c r="S6147" t="s">
        <v>19906</v>
      </c>
      <c r="T6147" t="s">
        <v>20108</v>
      </c>
    </row>
    <row r="6148" spans="2:20" x14ac:dyDescent="0.25">
      <c r="B6148" t="s">
        <v>2709</v>
      </c>
      <c r="C6148">
        <v>58089000</v>
      </c>
      <c r="E6148" t="s">
        <v>19447</v>
      </c>
      <c r="F6148">
        <v>18</v>
      </c>
      <c r="G6148">
        <v>0</v>
      </c>
      <c r="H6148">
        <v>7.6</v>
      </c>
      <c r="I6148">
        <v>1.65</v>
      </c>
      <c r="J6148">
        <v>26</v>
      </c>
      <c r="L6148" t="s">
        <v>2709</v>
      </c>
      <c r="M6148">
        <v>58089000</v>
      </c>
      <c r="O6148" t="s">
        <v>19447</v>
      </c>
      <c r="P6148" t="s">
        <v>19899</v>
      </c>
      <c r="Q6148" t="s">
        <v>19900</v>
      </c>
      <c r="R6148" t="s">
        <v>19905</v>
      </c>
      <c r="S6148" t="s">
        <v>19906</v>
      </c>
      <c r="T6148" t="s">
        <v>20108</v>
      </c>
    </row>
    <row r="6149" spans="2:20" x14ac:dyDescent="0.25">
      <c r="B6149" t="s">
        <v>2709</v>
      </c>
      <c r="C6149">
        <v>58090000</v>
      </c>
      <c r="E6149" t="s">
        <v>19447</v>
      </c>
      <c r="F6149">
        <v>18</v>
      </c>
      <c r="G6149">
        <v>0</v>
      </c>
      <c r="H6149">
        <v>7.6</v>
      </c>
      <c r="I6149">
        <v>1.65</v>
      </c>
      <c r="J6149">
        <v>26</v>
      </c>
      <c r="L6149" t="s">
        <v>2709</v>
      </c>
      <c r="M6149">
        <v>58090000</v>
      </c>
      <c r="O6149" t="s">
        <v>19447</v>
      </c>
      <c r="P6149" t="s">
        <v>19899</v>
      </c>
      <c r="Q6149" t="s">
        <v>19900</v>
      </c>
      <c r="R6149" t="s">
        <v>19905</v>
      </c>
      <c r="S6149" t="s">
        <v>19906</v>
      </c>
      <c r="T6149" t="s">
        <v>20108</v>
      </c>
    </row>
    <row r="6150" spans="2:20" x14ac:dyDescent="0.25">
      <c r="B6150" t="s">
        <v>2709</v>
      </c>
      <c r="C6150">
        <v>58101000</v>
      </c>
      <c r="E6150" t="s">
        <v>19447</v>
      </c>
      <c r="F6150">
        <v>18</v>
      </c>
      <c r="G6150">
        <v>0</v>
      </c>
      <c r="H6150">
        <v>7.6</v>
      </c>
      <c r="I6150">
        <v>1.65</v>
      </c>
      <c r="J6150">
        <v>26</v>
      </c>
      <c r="L6150" t="s">
        <v>2709</v>
      </c>
      <c r="M6150">
        <v>58101000</v>
      </c>
      <c r="O6150" t="s">
        <v>19447</v>
      </c>
      <c r="P6150" t="s">
        <v>19899</v>
      </c>
      <c r="Q6150" t="s">
        <v>19900</v>
      </c>
      <c r="R6150" t="s">
        <v>19905</v>
      </c>
      <c r="S6150" t="s">
        <v>19906</v>
      </c>
      <c r="T6150" t="s">
        <v>20108</v>
      </c>
    </row>
    <row r="6151" spans="2:20" x14ac:dyDescent="0.25">
      <c r="B6151" t="s">
        <v>2709</v>
      </c>
      <c r="C6151">
        <v>58109100</v>
      </c>
      <c r="E6151" t="s">
        <v>19447</v>
      </c>
      <c r="F6151">
        <v>18</v>
      </c>
      <c r="G6151">
        <v>0</v>
      </c>
      <c r="H6151">
        <v>7.6</v>
      </c>
      <c r="I6151">
        <v>1.65</v>
      </c>
      <c r="J6151">
        <v>26</v>
      </c>
      <c r="L6151" t="s">
        <v>2709</v>
      </c>
      <c r="M6151">
        <v>58109100</v>
      </c>
      <c r="O6151" t="s">
        <v>19447</v>
      </c>
      <c r="P6151" t="s">
        <v>19899</v>
      </c>
      <c r="Q6151" t="s">
        <v>19900</v>
      </c>
      <c r="R6151" t="s">
        <v>19905</v>
      </c>
      <c r="S6151" t="s">
        <v>19906</v>
      </c>
      <c r="T6151" t="s">
        <v>20108</v>
      </c>
    </row>
    <row r="6152" spans="2:20" x14ac:dyDescent="0.25">
      <c r="B6152" t="s">
        <v>2709</v>
      </c>
      <c r="C6152">
        <v>58109200</v>
      </c>
      <c r="E6152" t="s">
        <v>19447</v>
      </c>
      <c r="F6152">
        <v>18</v>
      </c>
      <c r="G6152">
        <v>0</v>
      </c>
      <c r="H6152">
        <v>7.6</v>
      </c>
      <c r="I6152">
        <v>1.65</v>
      </c>
      <c r="J6152">
        <v>26</v>
      </c>
      <c r="L6152" t="s">
        <v>2709</v>
      </c>
      <c r="M6152">
        <v>58109200</v>
      </c>
      <c r="O6152" t="s">
        <v>19447</v>
      </c>
      <c r="P6152" t="s">
        <v>19899</v>
      </c>
      <c r="Q6152" t="s">
        <v>19900</v>
      </c>
      <c r="R6152" t="s">
        <v>19905</v>
      </c>
      <c r="S6152" t="s">
        <v>19906</v>
      </c>
      <c r="T6152" t="s">
        <v>20108</v>
      </c>
    </row>
    <row r="6153" spans="2:20" x14ac:dyDescent="0.25">
      <c r="B6153" t="s">
        <v>2709</v>
      </c>
      <c r="C6153">
        <v>58109900</v>
      </c>
      <c r="E6153" t="s">
        <v>19447</v>
      </c>
      <c r="F6153">
        <v>18</v>
      </c>
      <c r="G6153">
        <v>0</v>
      </c>
      <c r="H6153">
        <v>7.6</v>
      </c>
      <c r="I6153">
        <v>1.65</v>
      </c>
      <c r="J6153">
        <v>26</v>
      </c>
      <c r="L6153" t="s">
        <v>2709</v>
      </c>
      <c r="M6153">
        <v>58109900</v>
      </c>
      <c r="O6153" t="s">
        <v>19447</v>
      </c>
      <c r="P6153" t="s">
        <v>19899</v>
      </c>
      <c r="Q6153" t="s">
        <v>19900</v>
      </c>
      <c r="R6153" t="s">
        <v>19905</v>
      </c>
      <c r="S6153" t="s">
        <v>19906</v>
      </c>
      <c r="T6153" t="s">
        <v>20108</v>
      </c>
    </row>
    <row r="6154" spans="2:20" x14ac:dyDescent="0.25">
      <c r="B6154" t="s">
        <v>2709</v>
      </c>
      <c r="C6154">
        <v>58110000</v>
      </c>
      <c r="E6154" t="s">
        <v>19447</v>
      </c>
      <c r="F6154">
        <v>18</v>
      </c>
      <c r="G6154">
        <v>0</v>
      </c>
      <c r="H6154">
        <v>7.6</v>
      </c>
      <c r="I6154">
        <v>1.65</v>
      </c>
      <c r="J6154">
        <v>26</v>
      </c>
      <c r="L6154" t="s">
        <v>2709</v>
      </c>
      <c r="M6154">
        <v>58110000</v>
      </c>
      <c r="O6154" t="s">
        <v>19447</v>
      </c>
      <c r="P6154" t="s">
        <v>19899</v>
      </c>
      <c r="Q6154" t="s">
        <v>19900</v>
      </c>
      <c r="R6154" t="s">
        <v>19905</v>
      </c>
      <c r="S6154" t="s">
        <v>19906</v>
      </c>
      <c r="T6154" t="s">
        <v>20108</v>
      </c>
    </row>
    <row r="6155" spans="2:20" x14ac:dyDescent="0.25">
      <c r="B6155" t="s">
        <v>2709</v>
      </c>
      <c r="C6155">
        <v>59011000</v>
      </c>
      <c r="E6155">
        <v>93</v>
      </c>
      <c r="F6155">
        <v>18</v>
      </c>
      <c r="G6155">
        <v>5</v>
      </c>
      <c r="H6155">
        <v>7.6</v>
      </c>
      <c r="I6155">
        <v>1.65</v>
      </c>
      <c r="J6155">
        <v>16</v>
      </c>
      <c r="L6155" t="s">
        <v>2709</v>
      </c>
      <c r="M6155">
        <v>59011000</v>
      </c>
      <c r="O6155" t="s">
        <v>20110</v>
      </c>
      <c r="P6155" t="s">
        <v>19899</v>
      </c>
      <c r="Q6155" t="s">
        <v>19909</v>
      </c>
      <c r="R6155" t="s">
        <v>19905</v>
      </c>
      <c r="S6155" t="s">
        <v>19906</v>
      </c>
      <c r="T6155" t="s">
        <v>19913</v>
      </c>
    </row>
    <row r="6156" spans="2:20" x14ac:dyDescent="0.25">
      <c r="B6156" t="s">
        <v>2709</v>
      </c>
      <c r="C6156">
        <v>59019000</v>
      </c>
      <c r="E6156">
        <v>93</v>
      </c>
      <c r="F6156">
        <v>18</v>
      </c>
      <c r="G6156">
        <v>5</v>
      </c>
      <c r="H6156">
        <v>7.6</v>
      </c>
      <c r="I6156">
        <v>1.65</v>
      </c>
      <c r="J6156">
        <v>16</v>
      </c>
      <c r="L6156" t="s">
        <v>2709</v>
      </c>
      <c r="M6156">
        <v>59019000</v>
      </c>
      <c r="O6156" t="s">
        <v>20110</v>
      </c>
      <c r="P6156" t="s">
        <v>19899</v>
      </c>
      <c r="Q6156" t="s">
        <v>19909</v>
      </c>
      <c r="R6156" t="s">
        <v>19905</v>
      </c>
      <c r="S6156" t="s">
        <v>19906</v>
      </c>
      <c r="T6156" t="s">
        <v>19913</v>
      </c>
    </row>
    <row r="6157" spans="2:20" x14ac:dyDescent="0.25">
      <c r="B6157" t="s">
        <v>2709</v>
      </c>
      <c r="C6157">
        <v>59021010</v>
      </c>
      <c r="E6157">
        <v>93</v>
      </c>
      <c r="F6157">
        <v>18</v>
      </c>
      <c r="G6157">
        <v>5</v>
      </c>
      <c r="H6157">
        <v>7.6</v>
      </c>
      <c r="I6157">
        <v>1.65</v>
      </c>
      <c r="J6157">
        <v>16</v>
      </c>
      <c r="L6157" t="s">
        <v>2709</v>
      </c>
      <c r="M6157">
        <v>59021010</v>
      </c>
      <c r="O6157" t="s">
        <v>20110</v>
      </c>
      <c r="P6157" t="s">
        <v>19899</v>
      </c>
      <c r="Q6157" t="s">
        <v>19909</v>
      </c>
      <c r="R6157" t="s">
        <v>19905</v>
      </c>
      <c r="S6157" t="s">
        <v>19906</v>
      </c>
      <c r="T6157" t="s">
        <v>19913</v>
      </c>
    </row>
    <row r="6158" spans="2:20" x14ac:dyDescent="0.25">
      <c r="B6158" t="s">
        <v>2709</v>
      </c>
      <c r="C6158">
        <v>59021090</v>
      </c>
      <c r="E6158">
        <v>93</v>
      </c>
      <c r="F6158">
        <v>18</v>
      </c>
      <c r="G6158">
        <v>5</v>
      </c>
      <c r="H6158">
        <v>7.6</v>
      </c>
      <c r="I6158">
        <v>1.65</v>
      </c>
      <c r="J6158">
        <v>14</v>
      </c>
      <c r="L6158" t="s">
        <v>2709</v>
      </c>
      <c r="M6158">
        <v>59021090</v>
      </c>
      <c r="O6158" t="s">
        <v>20110</v>
      </c>
      <c r="P6158" t="s">
        <v>19899</v>
      </c>
      <c r="Q6158" t="s">
        <v>19909</v>
      </c>
      <c r="R6158" t="s">
        <v>19905</v>
      </c>
      <c r="S6158" t="s">
        <v>19906</v>
      </c>
      <c r="T6158" t="s">
        <v>19911</v>
      </c>
    </row>
    <row r="6159" spans="2:20" x14ac:dyDescent="0.25">
      <c r="B6159" t="s">
        <v>2709</v>
      </c>
      <c r="C6159">
        <v>59022000</v>
      </c>
      <c r="E6159">
        <v>93</v>
      </c>
      <c r="F6159">
        <v>18</v>
      </c>
      <c r="G6159">
        <v>5</v>
      </c>
      <c r="H6159">
        <v>7.6</v>
      </c>
      <c r="I6159">
        <v>1.65</v>
      </c>
      <c r="J6159">
        <v>16</v>
      </c>
      <c r="L6159" t="s">
        <v>2709</v>
      </c>
      <c r="M6159">
        <v>59022000</v>
      </c>
      <c r="O6159" t="s">
        <v>20110</v>
      </c>
      <c r="P6159" t="s">
        <v>19899</v>
      </c>
      <c r="Q6159" t="s">
        <v>19909</v>
      </c>
      <c r="R6159" t="s">
        <v>19905</v>
      </c>
      <c r="S6159" t="s">
        <v>19906</v>
      </c>
      <c r="T6159" t="s">
        <v>19913</v>
      </c>
    </row>
    <row r="6160" spans="2:20" x14ac:dyDescent="0.25">
      <c r="B6160" t="s">
        <v>2709</v>
      </c>
      <c r="C6160">
        <v>59029000</v>
      </c>
      <c r="E6160">
        <v>93</v>
      </c>
      <c r="F6160">
        <v>18</v>
      </c>
      <c r="G6160">
        <v>5</v>
      </c>
      <c r="H6160">
        <v>7.6</v>
      </c>
      <c r="I6160">
        <v>1.65</v>
      </c>
      <c r="J6160">
        <v>14</v>
      </c>
      <c r="L6160" t="s">
        <v>2709</v>
      </c>
      <c r="M6160">
        <v>59029000</v>
      </c>
      <c r="O6160" t="s">
        <v>20110</v>
      </c>
      <c r="P6160" t="s">
        <v>19899</v>
      </c>
      <c r="Q6160" t="s">
        <v>19909</v>
      </c>
      <c r="R6160" t="s">
        <v>19905</v>
      </c>
      <c r="S6160" t="s">
        <v>19906</v>
      </c>
      <c r="T6160" t="s">
        <v>19911</v>
      </c>
    </row>
    <row r="6161" spans="2:20" x14ac:dyDescent="0.25">
      <c r="B6161" t="s">
        <v>2709</v>
      </c>
      <c r="C6161">
        <v>59031000</v>
      </c>
      <c r="E6161">
        <v>93</v>
      </c>
      <c r="F6161">
        <v>18</v>
      </c>
      <c r="G6161">
        <v>5</v>
      </c>
      <c r="H6161">
        <v>7.6</v>
      </c>
      <c r="I6161">
        <v>1.65</v>
      </c>
      <c r="J6161">
        <v>26</v>
      </c>
      <c r="L6161" t="s">
        <v>2709</v>
      </c>
      <c r="M6161">
        <v>59031000</v>
      </c>
      <c r="O6161" t="s">
        <v>20110</v>
      </c>
      <c r="P6161" t="s">
        <v>19899</v>
      </c>
      <c r="Q6161" t="s">
        <v>19909</v>
      </c>
      <c r="R6161" t="s">
        <v>19905</v>
      </c>
      <c r="S6161" t="s">
        <v>19906</v>
      </c>
      <c r="T6161" t="s">
        <v>20108</v>
      </c>
    </row>
    <row r="6162" spans="2:20" x14ac:dyDescent="0.25">
      <c r="B6162" t="s">
        <v>2709</v>
      </c>
      <c r="C6162">
        <v>59032000</v>
      </c>
      <c r="E6162">
        <v>93</v>
      </c>
      <c r="F6162">
        <v>18</v>
      </c>
      <c r="G6162">
        <v>5</v>
      </c>
      <c r="H6162">
        <v>7.6</v>
      </c>
      <c r="I6162">
        <v>1.65</v>
      </c>
      <c r="J6162">
        <v>26</v>
      </c>
      <c r="L6162" t="s">
        <v>2709</v>
      </c>
      <c r="M6162">
        <v>59032000</v>
      </c>
      <c r="O6162" t="s">
        <v>20110</v>
      </c>
      <c r="P6162" t="s">
        <v>19899</v>
      </c>
      <c r="Q6162" t="s">
        <v>19909</v>
      </c>
      <c r="R6162" t="s">
        <v>19905</v>
      </c>
      <c r="S6162" t="s">
        <v>19906</v>
      </c>
      <c r="T6162" t="s">
        <v>20108</v>
      </c>
    </row>
    <row r="6163" spans="2:20" x14ac:dyDescent="0.25">
      <c r="B6163" t="s">
        <v>2709</v>
      </c>
      <c r="C6163">
        <v>59039000</v>
      </c>
      <c r="E6163">
        <v>71.78</v>
      </c>
      <c r="F6163">
        <v>18</v>
      </c>
      <c r="G6163">
        <v>5</v>
      </c>
      <c r="H6163">
        <v>7.6</v>
      </c>
      <c r="I6163">
        <v>1.65</v>
      </c>
      <c r="J6163">
        <v>26</v>
      </c>
      <c r="L6163" t="s">
        <v>2709</v>
      </c>
      <c r="M6163">
        <v>59039000</v>
      </c>
      <c r="O6163" t="s">
        <v>20056</v>
      </c>
      <c r="P6163" t="s">
        <v>19899</v>
      </c>
      <c r="Q6163" t="s">
        <v>19909</v>
      </c>
      <c r="R6163" t="s">
        <v>19905</v>
      </c>
      <c r="S6163" t="s">
        <v>19906</v>
      </c>
      <c r="T6163" t="s">
        <v>20108</v>
      </c>
    </row>
    <row r="6164" spans="2:20" x14ac:dyDescent="0.25">
      <c r="B6164" t="s">
        <v>2709</v>
      </c>
      <c r="C6164">
        <v>59041000</v>
      </c>
      <c r="E6164">
        <v>93</v>
      </c>
      <c r="F6164">
        <v>18</v>
      </c>
      <c r="G6164">
        <v>10</v>
      </c>
      <c r="H6164">
        <v>7.6</v>
      </c>
      <c r="I6164">
        <v>1.65</v>
      </c>
      <c r="J6164">
        <v>16</v>
      </c>
      <c r="L6164" t="s">
        <v>2709</v>
      </c>
      <c r="M6164">
        <v>59041000</v>
      </c>
      <c r="O6164" t="s">
        <v>20110</v>
      </c>
      <c r="P6164" t="s">
        <v>19899</v>
      </c>
      <c r="Q6164" t="s">
        <v>19904</v>
      </c>
      <c r="R6164" t="s">
        <v>19905</v>
      </c>
      <c r="S6164" t="s">
        <v>19906</v>
      </c>
      <c r="T6164" t="s">
        <v>19913</v>
      </c>
    </row>
    <row r="6165" spans="2:20" x14ac:dyDescent="0.25">
      <c r="B6165" t="s">
        <v>2709</v>
      </c>
      <c r="C6165">
        <v>59049000</v>
      </c>
      <c r="E6165">
        <v>93</v>
      </c>
      <c r="F6165">
        <v>18</v>
      </c>
      <c r="G6165">
        <v>10</v>
      </c>
      <c r="H6165">
        <v>7.6</v>
      </c>
      <c r="I6165">
        <v>1.65</v>
      </c>
      <c r="J6165">
        <v>16</v>
      </c>
      <c r="L6165" t="s">
        <v>2709</v>
      </c>
      <c r="M6165">
        <v>59049000</v>
      </c>
      <c r="O6165" t="s">
        <v>20110</v>
      </c>
      <c r="P6165" t="s">
        <v>19899</v>
      </c>
      <c r="Q6165" t="s">
        <v>19904</v>
      </c>
      <c r="R6165" t="s">
        <v>19905</v>
      </c>
      <c r="S6165" t="s">
        <v>19906</v>
      </c>
      <c r="T6165" t="s">
        <v>19913</v>
      </c>
    </row>
    <row r="6166" spans="2:20" x14ac:dyDescent="0.25">
      <c r="B6166" t="s">
        <v>2709</v>
      </c>
      <c r="C6166">
        <v>59050000</v>
      </c>
      <c r="E6166">
        <v>93</v>
      </c>
      <c r="F6166">
        <v>18</v>
      </c>
      <c r="G6166">
        <v>10</v>
      </c>
      <c r="H6166">
        <v>7.6</v>
      </c>
      <c r="I6166">
        <v>1.65</v>
      </c>
      <c r="J6166">
        <v>16</v>
      </c>
      <c r="L6166" t="s">
        <v>2709</v>
      </c>
      <c r="M6166">
        <v>59050000</v>
      </c>
      <c r="O6166" t="s">
        <v>20110</v>
      </c>
      <c r="P6166" t="s">
        <v>19899</v>
      </c>
      <c r="Q6166" t="s">
        <v>19904</v>
      </c>
      <c r="R6166" t="s">
        <v>19905</v>
      </c>
      <c r="S6166" t="s">
        <v>19906</v>
      </c>
      <c r="T6166" t="s">
        <v>19913</v>
      </c>
    </row>
    <row r="6167" spans="2:20" x14ac:dyDescent="0.25">
      <c r="B6167" t="s">
        <v>2709</v>
      </c>
      <c r="C6167">
        <v>59061000</v>
      </c>
      <c r="E6167">
        <v>93</v>
      </c>
      <c r="F6167">
        <v>18</v>
      </c>
      <c r="G6167">
        <v>5</v>
      </c>
      <c r="H6167">
        <v>7.6</v>
      </c>
      <c r="I6167">
        <v>1.65</v>
      </c>
      <c r="J6167">
        <v>16</v>
      </c>
      <c r="L6167" t="s">
        <v>2709</v>
      </c>
      <c r="M6167">
        <v>59061000</v>
      </c>
      <c r="O6167" t="s">
        <v>20110</v>
      </c>
      <c r="P6167" t="s">
        <v>19899</v>
      </c>
      <c r="Q6167" t="s">
        <v>19909</v>
      </c>
      <c r="R6167" t="s">
        <v>19905</v>
      </c>
      <c r="S6167" t="s">
        <v>19906</v>
      </c>
      <c r="T6167" t="s">
        <v>19913</v>
      </c>
    </row>
    <row r="6168" spans="2:20" x14ac:dyDescent="0.25">
      <c r="B6168" t="s">
        <v>2709</v>
      </c>
      <c r="C6168">
        <v>59069100</v>
      </c>
      <c r="E6168">
        <v>93</v>
      </c>
      <c r="F6168">
        <v>18</v>
      </c>
      <c r="G6168">
        <v>5</v>
      </c>
      <c r="H6168">
        <v>7.6</v>
      </c>
      <c r="I6168">
        <v>1.65</v>
      </c>
      <c r="J6168">
        <v>16</v>
      </c>
      <c r="L6168" t="s">
        <v>2709</v>
      </c>
      <c r="M6168">
        <v>59069100</v>
      </c>
      <c r="O6168" t="s">
        <v>20110</v>
      </c>
      <c r="P6168" t="s">
        <v>19899</v>
      </c>
      <c r="Q6168" t="s">
        <v>19909</v>
      </c>
      <c r="R6168" t="s">
        <v>19905</v>
      </c>
      <c r="S6168" t="s">
        <v>19906</v>
      </c>
      <c r="T6168" t="s">
        <v>19913</v>
      </c>
    </row>
    <row r="6169" spans="2:20" x14ac:dyDescent="0.25">
      <c r="B6169" t="s">
        <v>2709</v>
      </c>
      <c r="C6169">
        <v>59069900</v>
      </c>
      <c r="E6169">
        <v>93</v>
      </c>
      <c r="F6169">
        <v>18</v>
      </c>
      <c r="G6169">
        <v>5</v>
      </c>
      <c r="H6169">
        <v>7.6</v>
      </c>
      <c r="I6169">
        <v>1.65</v>
      </c>
      <c r="J6169">
        <v>16</v>
      </c>
      <c r="L6169" t="s">
        <v>2709</v>
      </c>
      <c r="M6169">
        <v>59069900</v>
      </c>
      <c r="O6169" t="s">
        <v>20110</v>
      </c>
      <c r="P6169" t="s">
        <v>19899</v>
      </c>
      <c r="Q6169" t="s">
        <v>19909</v>
      </c>
      <c r="R6169" t="s">
        <v>19905</v>
      </c>
      <c r="S6169" t="s">
        <v>19906</v>
      </c>
      <c r="T6169" t="s">
        <v>19913</v>
      </c>
    </row>
    <row r="6170" spans="2:20" x14ac:dyDescent="0.25">
      <c r="B6170" t="s">
        <v>2709</v>
      </c>
      <c r="C6170">
        <v>59070000</v>
      </c>
      <c r="E6170">
        <v>93</v>
      </c>
      <c r="F6170">
        <v>18</v>
      </c>
      <c r="G6170">
        <v>5</v>
      </c>
      <c r="H6170">
        <v>7.6</v>
      </c>
      <c r="I6170">
        <v>1.65</v>
      </c>
      <c r="J6170">
        <v>16</v>
      </c>
      <c r="L6170" t="s">
        <v>2709</v>
      </c>
      <c r="M6170">
        <v>59070000</v>
      </c>
      <c r="O6170" t="s">
        <v>20110</v>
      </c>
      <c r="P6170" t="s">
        <v>19899</v>
      </c>
      <c r="Q6170" t="s">
        <v>19909</v>
      </c>
      <c r="R6170" t="s">
        <v>19905</v>
      </c>
      <c r="S6170" t="s">
        <v>19906</v>
      </c>
      <c r="T6170" t="s">
        <v>19913</v>
      </c>
    </row>
    <row r="6171" spans="2:20" x14ac:dyDescent="0.25">
      <c r="B6171" t="s">
        <v>2709</v>
      </c>
      <c r="C6171">
        <v>59080000</v>
      </c>
      <c r="E6171">
        <v>93</v>
      </c>
      <c r="F6171">
        <v>18</v>
      </c>
      <c r="G6171">
        <v>5</v>
      </c>
      <c r="H6171">
        <v>7.6</v>
      </c>
      <c r="I6171">
        <v>1.65</v>
      </c>
      <c r="J6171">
        <v>16</v>
      </c>
      <c r="L6171" t="s">
        <v>2709</v>
      </c>
      <c r="M6171">
        <v>59080000</v>
      </c>
      <c r="O6171" t="s">
        <v>20110</v>
      </c>
      <c r="P6171" t="s">
        <v>19899</v>
      </c>
      <c r="Q6171" t="s">
        <v>19909</v>
      </c>
      <c r="R6171" t="s">
        <v>19905</v>
      </c>
      <c r="S6171" t="s">
        <v>19906</v>
      </c>
      <c r="T6171" t="s">
        <v>19913</v>
      </c>
    </row>
    <row r="6172" spans="2:20" x14ac:dyDescent="0.25">
      <c r="B6172" t="s">
        <v>2709</v>
      </c>
      <c r="C6172">
        <v>59090000</v>
      </c>
      <c r="E6172">
        <v>71.78</v>
      </c>
      <c r="F6172">
        <v>18</v>
      </c>
      <c r="G6172">
        <v>5</v>
      </c>
      <c r="H6172">
        <v>7.6</v>
      </c>
      <c r="I6172">
        <v>1.65</v>
      </c>
      <c r="J6172">
        <v>16</v>
      </c>
      <c r="L6172" t="s">
        <v>2709</v>
      </c>
      <c r="M6172">
        <v>59090000</v>
      </c>
      <c r="O6172" t="s">
        <v>20056</v>
      </c>
      <c r="P6172" t="s">
        <v>19899</v>
      </c>
      <c r="Q6172" t="s">
        <v>19909</v>
      </c>
      <c r="R6172" t="s">
        <v>19905</v>
      </c>
      <c r="S6172" t="s">
        <v>19906</v>
      </c>
      <c r="T6172" t="s">
        <v>19913</v>
      </c>
    </row>
    <row r="6173" spans="2:20" x14ac:dyDescent="0.25">
      <c r="B6173" t="s">
        <v>2709</v>
      </c>
      <c r="C6173">
        <v>59100000</v>
      </c>
      <c r="E6173">
        <v>71.78</v>
      </c>
      <c r="F6173">
        <v>18</v>
      </c>
      <c r="G6173">
        <v>10</v>
      </c>
      <c r="H6173">
        <v>7.6</v>
      </c>
      <c r="I6173">
        <v>1.65</v>
      </c>
      <c r="J6173">
        <v>16</v>
      </c>
      <c r="L6173" t="s">
        <v>2709</v>
      </c>
      <c r="M6173">
        <v>59100000</v>
      </c>
      <c r="O6173" t="s">
        <v>20056</v>
      </c>
      <c r="P6173" t="s">
        <v>19899</v>
      </c>
      <c r="Q6173" t="s">
        <v>19904</v>
      </c>
      <c r="R6173" t="s">
        <v>19905</v>
      </c>
      <c r="S6173" t="s">
        <v>19906</v>
      </c>
      <c r="T6173" t="s">
        <v>19913</v>
      </c>
    </row>
    <row r="6174" spans="2:20" x14ac:dyDescent="0.25">
      <c r="B6174" t="s">
        <v>2709</v>
      </c>
      <c r="C6174">
        <v>59111000</v>
      </c>
      <c r="E6174">
        <v>93</v>
      </c>
      <c r="F6174">
        <v>18</v>
      </c>
      <c r="G6174">
        <v>5</v>
      </c>
      <c r="H6174">
        <v>7.6</v>
      </c>
      <c r="I6174">
        <v>1.65</v>
      </c>
      <c r="J6174">
        <v>16</v>
      </c>
      <c r="L6174" t="s">
        <v>2709</v>
      </c>
      <c r="M6174">
        <v>59111000</v>
      </c>
      <c r="O6174" t="s">
        <v>20110</v>
      </c>
      <c r="P6174" t="s">
        <v>19899</v>
      </c>
      <c r="Q6174" t="s">
        <v>19909</v>
      </c>
      <c r="R6174" t="s">
        <v>19905</v>
      </c>
      <c r="S6174" t="s">
        <v>19906</v>
      </c>
      <c r="T6174" t="s">
        <v>19913</v>
      </c>
    </row>
    <row r="6175" spans="2:20" x14ac:dyDescent="0.25">
      <c r="B6175" t="s">
        <v>2709</v>
      </c>
      <c r="C6175">
        <v>59112010</v>
      </c>
      <c r="E6175">
        <v>93</v>
      </c>
      <c r="F6175">
        <v>18</v>
      </c>
      <c r="G6175">
        <v>5</v>
      </c>
      <c r="H6175">
        <v>7.6</v>
      </c>
      <c r="I6175">
        <v>1.65</v>
      </c>
      <c r="J6175">
        <v>16</v>
      </c>
      <c r="L6175" t="s">
        <v>2709</v>
      </c>
      <c r="M6175">
        <v>59112010</v>
      </c>
      <c r="O6175" t="s">
        <v>20110</v>
      </c>
      <c r="P6175" t="s">
        <v>19899</v>
      </c>
      <c r="Q6175" t="s">
        <v>19909</v>
      </c>
      <c r="R6175" t="s">
        <v>19905</v>
      </c>
      <c r="S6175" t="s">
        <v>19906</v>
      </c>
      <c r="T6175" t="s">
        <v>19913</v>
      </c>
    </row>
    <row r="6176" spans="2:20" x14ac:dyDescent="0.25">
      <c r="B6176" t="s">
        <v>2709</v>
      </c>
      <c r="C6176">
        <v>59112090</v>
      </c>
      <c r="E6176">
        <v>93</v>
      </c>
      <c r="F6176">
        <v>18</v>
      </c>
      <c r="G6176">
        <v>5</v>
      </c>
      <c r="H6176">
        <v>7.6</v>
      </c>
      <c r="I6176">
        <v>1.65</v>
      </c>
      <c r="J6176">
        <v>16</v>
      </c>
      <c r="L6176" t="s">
        <v>2709</v>
      </c>
      <c r="M6176">
        <v>59112090</v>
      </c>
      <c r="O6176" t="s">
        <v>20110</v>
      </c>
      <c r="P6176" t="s">
        <v>19899</v>
      </c>
      <c r="Q6176" t="s">
        <v>19909</v>
      </c>
      <c r="R6176" t="s">
        <v>19905</v>
      </c>
      <c r="S6176" t="s">
        <v>19906</v>
      </c>
      <c r="T6176" t="s">
        <v>19913</v>
      </c>
    </row>
    <row r="6177" spans="2:20" x14ac:dyDescent="0.25">
      <c r="B6177" t="s">
        <v>2709</v>
      </c>
      <c r="C6177">
        <v>59113100</v>
      </c>
      <c r="E6177">
        <v>93</v>
      </c>
      <c r="F6177">
        <v>18</v>
      </c>
      <c r="G6177">
        <v>5</v>
      </c>
      <c r="H6177">
        <v>7.6</v>
      </c>
      <c r="I6177">
        <v>1.65</v>
      </c>
      <c r="J6177">
        <v>26</v>
      </c>
      <c r="L6177" t="s">
        <v>2709</v>
      </c>
      <c r="M6177">
        <v>59113100</v>
      </c>
      <c r="O6177" t="s">
        <v>20110</v>
      </c>
      <c r="P6177" t="s">
        <v>19899</v>
      </c>
      <c r="Q6177" t="s">
        <v>19909</v>
      </c>
      <c r="R6177" t="s">
        <v>19905</v>
      </c>
      <c r="S6177" t="s">
        <v>19906</v>
      </c>
      <c r="T6177" t="s">
        <v>20108</v>
      </c>
    </row>
    <row r="6178" spans="2:20" x14ac:dyDescent="0.25">
      <c r="B6178" t="s">
        <v>2709</v>
      </c>
      <c r="C6178">
        <v>59113200</v>
      </c>
      <c r="E6178">
        <v>93</v>
      </c>
      <c r="F6178">
        <v>18</v>
      </c>
      <c r="G6178">
        <v>5</v>
      </c>
      <c r="H6178">
        <v>7.6</v>
      </c>
      <c r="I6178">
        <v>1.65</v>
      </c>
      <c r="J6178">
        <v>26</v>
      </c>
      <c r="L6178" t="s">
        <v>2709</v>
      </c>
      <c r="M6178">
        <v>59113200</v>
      </c>
      <c r="O6178" t="s">
        <v>20110</v>
      </c>
      <c r="P6178" t="s">
        <v>19899</v>
      </c>
      <c r="Q6178" t="s">
        <v>19909</v>
      </c>
      <c r="R6178" t="s">
        <v>19905</v>
      </c>
      <c r="S6178" t="s">
        <v>19906</v>
      </c>
      <c r="T6178" t="s">
        <v>20108</v>
      </c>
    </row>
    <row r="6179" spans="2:20" x14ac:dyDescent="0.25">
      <c r="B6179" t="s">
        <v>2709</v>
      </c>
      <c r="C6179">
        <v>59114000</v>
      </c>
      <c r="E6179">
        <v>93</v>
      </c>
      <c r="F6179">
        <v>18</v>
      </c>
      <c r="G6179">
        <v>5</v>
      </c>
      <c r="H6179">
        <v>7.6</v>
      </c>
      <c r="I6179">
        <v>1.65</v>
      </c>
      <c r="J6179">
        <v>26</v>
      </c>
      <c r="L6179" t="s">
        <v>2709</v>
      </c>
      <c r="M6179">
        <v>59114000</v>
      </c>
      <c r="O6179" t="s">
        <v>20110</v>
      </c>
      <c r="P6179" t="s">
        <v>19899</v>
      </c>
      <c r="Q6179" t="s">
        <v>19909</v>
      </c>
      <c r="R6179" t="s">
        <v>19905</v>
      </c>
      <c r="S6179" t="s">
        <v>19906</v>
      </c>
      <c r="T6179" t="s">
        <v>20108</v>
      </c>
    </row>
    <row r="6180" spans="2:20" x14ac:dyDescent="0.25">
      <c r="B6180" t="s">
        <v>2709</v>
      </c>
      <c r="C6180">
        <v>59119000</v>
      </c>
      <c r="E6180">
        <v>71.78</v>
      </c>
      <c r="F6180">
        <v>18</v>
      </c>
      <c r="G6180">
        <v>5</v>
      </c>
      <c r="H6180">
        <v>7.6</v>
      </c>
      <c r="I6180">
        <v>1.65</v>
      </c>
      <c r="J6180">
        <v>26</v>
      </c>
      <c r="L6180" t="s">
        <v>2709</v>
      </c>
      <c r="M6180">
        <v>59119000</v>
      </c>
      <c r="O6180" t="s">
        <v>20056</v>
      </c>
      <c r="P6180" t="s">
        <v>19899</v>
      </c>
      <c r="Q6180" t="s">
        <v>19909</v>
      </c>
      <c r="R6180" t="s">
        <v>19905</v>
      </c>
      <c r="S6180" t="s">
        <v>19906</v>
      </c>
      <c r="T6180" t="s">
        <v>20108</v>
      </c>
    </row>
    <row r="6181" spans="2:20" x14ac:dyDescent="0.25">
      <c r="B6181" t="s">
        <v>2709</v>
      </c>
      <c r="C6181">
        <v>60011010</v>
      </c>
      <c r="E6181" t="s">
        <v>19447</v>
      </c>
      <c r="F6181">
        <v>18</v>
      </c>
      <c r="G6181">
        <v>0</v>
      </c>
      <c r="H6181">
        <v>7.6</v>
      </c>
      <c r="I6181">
        <v>1.65</v>
      </c>
      <c r="J6181">
        <v>26</v>
      </c>
      <c r="L6181" t="s">
        <v>2709</v>
      </c>
      <c r="M6181">
        <v>60011010</v>
      </c>
      <c r="O6181" t="s">
        <v>19447</v>
      </c>
      <c r="P6181" t="s">
        <v>19899</v>
      </c>
      <c r="Q6181" t="s">
        <v>19900</v>
      </c>
      <c r="R6181" t="s">
        <v>19905</v>
      </c>
      <c r="S6181" t="s">
        <v>19906</v>
      </c>
      <c r="T6181" t="s">
        <v>20108</v>
      </c>
    </row>
    <row r="6182" spans="2:20" x14ac:dyDescent="0.25">
      <c r="B6182" t="s">
        <v>2709</v>
      </c>
      <c r="C6182">
        <v>60011020</v>
      </c>
      <c r="E6182" t="s">
        <v>19447</v>
      </c>
      <c r="F6182">
        <v>18</v>
      </c>
      <c r="G6182">
        <v>0</v>
      </c>
      <c r="H6182">
        <v>7.6</v>
      </c>
      <c r="I6182">
        <v>1.65</v>
      </c>
      <c r="J6182">
        <v>26</v>
      </c>
      <c r="L6182" t="s">
        <v>2709</v>
      </c>
      <c r="M6182">
        <v>60011020</v>
      </c>
      <c r="O6182" t="s">
        <v>19447</v>
      </c>
      <c r="P6182" t="s">
        <v>19899</v>
      </c>
      <c r="Q6182" t="s">
        <v>19900</v>
      </c>
      <c r="R6182" t="s">
        <v>19905</v>
      </c>
      <c r="S6182" t="s">
        <v>19906</v>
      </c>
      <c r="T6182" t="s">
        <v>20108</v>
      </c>
    </row>
    <row r="6183" spans="2:20" x14ac:dyDescent="0.25">
      <c r="B6183" t="s">
        <v>2709</v>
      </c>
      <c r="C6183">
        <v>60011090</v>
      </c>
      <c r="E6183" t="s">
        <v>19447</v>
      </c>
      <c r="F6183">
        <v>18</v>
      </c>
      <c r="G6183">
        <v>0</v>
      </c>
      <c r="H6183">
        <v>7.6</v>
      </c>
      <c r="I6183">
        <v>1.65</v>
      </c>
      <c r="J6183">
        <v>26</v>
      </c>
      <c r="L6183" t="s">
        <v>2709</v>
      </c>
      <c r="M6183">
        <v>60011090</v>
      </c>
      <c r="O6183" t="s">
        <v>19447</v>
      </c>
      <c r="P6183" t="s">
        <v>19899</v>
      </c>
      <c r="Q6183" t="s">
        <v>19900</v>
      </c>
      <c r="R6183" t="s">
        <v>19905</v>
      </c>
      <c r="S6183" t="s">
        <v>19906</v>
      </c>
      <c r="T6183" t="s">
        <v>20108</v>
      </c>
    </row>
    <row r="6184" spans="2:20" x14ac:dyDescent="0.25">
      <c r="B6184" t="s">
        <v>2709</v>
      </c>
      <c r="C6184">
        <v>60012100</v>
      </c>
      <c r="E6184" t="s">
        <v>19447</v>
      </c>
      <c r="F6184">
        <v>18</v>
      </c>
      <c r="G6184">
        <v>0</v>
      </c>
      <c r="H6184">
        <v>7.6</v>
      </c>
      <c r="I6184">
        <v>1.65</v>
      </c>
      <c r="J6184">
        <v>26</v>
      </c>
      <c r="L6184" t="s">
        <v>2709</v>
      </c>
      <c r="M6184">
        <v>60012100</v>
      </c>
      <c r="O6184" t="s">
        <v>19447</v>
      </c>
      <c r="P6184" t="s">
        <v>19899</v>
      </c>
      <c r="Q6184" t="s">
        <v>19900</v>
      </c>
      <c r="R6184" t="s">
        <v>19905</v>
      </c>
      <c r="S6184" t="s">
        <v>19906</v>
      </c>
      <c r="T6184" t="s">
        <v>20108</v>
      </c>
    </row>
    <row r="6185" spans="2:20" x14ac:dyDescent="0.25">
      <c r="B6185" t="s">
        <v>2709</v>
      </c>
      <c r="C6185">
        <v>60012200</v>
      </c>
      <c r="E6185" t="s">
        <v>19447</v>
      </c>
      <c r="F6185">
        <v>18</v>
      </c>
      <c r="G6185">
        <v>0</v>
      </c>
      <c r="H6185">
        <v>7.6</v>
      </c>
      <c r="I6185">
        <v>1.65</v>
      </c>
      <c r="J6185">
        <v>26</v>
      </c>
      <c r="L6185" t="s">
        <v>2709</v>
      </c>
      <c r="M6185">
        <v>60012200</v>
      </c>
      <c r="O6185" t="s">
        <v>19447</v>
      </c>
      <c r="P6185" t="s">
        <v>19899</v>
      </c>
      <c r="Q6185" t="s">
        <v>19900</v>
      </c>
      <c r="R6185" t="s">
        <v>19905</v>
      </c>
      <c r="S6185" t="s">
        <v>19906</v>
      </c>
      <c r="T6185" t="s">
        <v>20108</v>
      </c>
    </row>
    <row r="6186" spans="2:20" x14ac:dyDescent="0.25">
      <c r="B6186" t="s">
        <v>2709</v>
      </c>
      <c r="C6186">
        <v>60012900</v>
      </c>
      <c r="E6186" t="s">
        <v>19447</v>
      </c>
      <c r="F6186">
        <v>18</v>
      </c>
      <c r="G6186">
        <v>0</v>
      </c>
      <c r="H6186">
        <v>7.6</v>
      </c>
      <c r="I6186">
        <v>1.65</v>
      </c>
      <c r="J6186">
        <v>26</v>
      </c>
      <c r="L6186" t="s">
        <v>2709</v>
      </c>
      <c r="M6186">
        <v>60012900</v>
      </c>
      <c r="O6186" t="s">
        <v>19447</v>
      </c>
      <c r="P6186" t="s">
        <v>19899</v>
      </c>
      <c r="Q6186" t="s">
        <v>19900</v>
      </c>
      <c r="R6186" t="s">
        <v>19905</v>
      </c>
      <c r="S6186" t="s">
        <v>19906</v>
      </c>
      <c r="T6186" t="s">
        <v>20108</v>
      </c>
    </row>
    <row r="6187" spans="2:20" x14ac:dyDescent="0.25">
      <c r="B6187" t="s">
        <v>2709</v>
      </c>
      <c r="C6187">
        <v>60019100</v>
      </c>
      <c r="E6187" t="s">
        <v>19447</v>
      </c>
      <c r="F6187">
        <v>18</v>
      </c>
      <c r="G6187">
        <v>0</v>
      </c>
      <c r="H6187">
        <v>7.6</v>
      </c>
      <c r="I6187">
        <v>1.65</v>
      </c>
      <c r="J6187">
        <v>26</v>
      </c>
      <c r="L6187" t="s">
        <v>2709</v>
      </c>
      <c r="M6187">
        <v>60019100</v>
      </c>
      <c r="O6187" t="s">
        <v>19447</v>
      </c>
      <c r="P6187" t="s">
        <v>19899</v>
      </c>
      <c r="Q6187" t="s">
        <v>19900</v>
      </c>
      <c r="R6187" t="s">
        <v>19905</v>
      </c>
      <c r="S6187" t="s">
        <v>19906</v>
      </c>
      <c r="T6187" t="s">
        <v>20108</v>
      </c>
    </row>
    <row r="6188" spans="2:20" x14ac:dyDescent="0.25">
      <c r="B6188" t="s">
        <v>2709</v>
      </c>
      <c r="C6188">
        <v>60019200</v>
      </c>
      <c r="E6188" t="s">
        <v>19447</v>
      </c>
      <c r="F6188">
        <v>18</v>
      </c>
      <c r="G6188">
        <v>0</v>
      </c>
      <c r="H6188">
        <v>7.6</v>
      </c>
      <c r="I6188">
        <v>1.65</v>
      </c>
      <c r="J6188">
        <v>26</v>
      </c>
      <c r="L6188" t="s">
        <v>2709</v>
      </c>
      <c r="M6188">
        <v>60019200</v>
      </c>
      <c r="O6188" t="s">
        <v>19447</v>
      </c>
      <c r="P6188" t="s">
        <v>19899</v>
      </c>
      <c r="Q6188" t="s">
        <v>19900</v>
      </c>
      <c r="R6188" t="s">
        <v>19905</v>
      </c>
      <c r="S6188" t="s">
        <v>19906</v>
      </c>
      <c r="T6188" t="s">
        <v>20108</v>
      </c>
    </row>
    <row r="6189" spans="2:20" x14ac:dyDescent="0.25">
      <c r="B6189" t="s">
        <v>2709</v>
      </c>
      <c r="C6189">
        <v>60019900</v>
      </c>
      <c r="E6189" t="s">
        <v>19447</v>
      </c>
      <c r="F6189">
        <v>18</v>
      </c>
      <c r="G6189">
        <v>0</v>
      </c>
      <c r="H6189">
        <v>7.6</v>
      </c>
      <c r="I6189">
        <v>1.65</v>
      </c>
      <c r="J6189">
        <v>26</v>
      </c>
      <c r="L6189" t="s">
        <v>2709</v>
      </c>
      <c r="M6189">
        <v>60019900</v>
      </c>
      <c r="O6189" t="s">
        <v>19447</v>
      </c>
      <c r="P6189" t="s">
        <v>19899</v>
      </c>
      <c r="Q6189" t="s">
        <v>19900</v>
      </c>
      <c r="R6189" t="s">
        <v>19905</v>
      </c>
      <c r="S6189" t="s">
        <v>19906</v>
      </c>
      <c r="T6189" t="s">
        <v>20108</v>
      </c>
    </row>
    <row r="6190" spans="2:20" x14ac:dyDescent="0.25">
      <c r="B6190" t="s">
        <v>2709</v>
      </c>
      <c r="C6190">
        <v>60024010</v>
      </c>
      <c r="E6190" t="s">
        <v>19447</v>
      </c>
      <c r="F6190">
        <v>18</v>
      </c>
      <c r="G6190">
        <v>0</v>
      </c>
      <c r="H6190">
        <v>7.6</v>
      </c>
      <c r="I6190">
        <v>1.65</v>
      </c>
      <c r="J6190">
        <v>26</v>
      </c>
      <c r="L6190" t="s">
        <v>2709</v>
      </c>
      <c r="M6190">
        <v>60024010</v>
      </c>
      <c r="O6190" t="s">
        <v>19447</v>
      </c>
      <c r="P6190" t="s">
        <v>19899</v>
      </c>
      <c r="Q6190" t="s">
        <v>19900</v>
      </c>
      <c r="R6190" t="s">
        <v>19905</v>
      </c>
      <c r="S6190" t="s">
        <v>19906</v>
      </c>
      <c r="T6190" t="s">
        <v>20108</v>
      </c>
    </row>
    <row r="6191" spans="2:20" x14ac:dyDescent="0.25">
      <c r="B6191" t="s">
        <v>2709</v>
      </c>
      <c r="C6191">
        <v>60024020</v>
      </c>
      <c r="E6191" t="s">
        <v>19447</v>
      </c>
      <c r="F6191">
        <v>18</v>
      </c>
      <c r="G6191">
        <v>0</v>
      </c>
      <c r="H6191">
        <v>7.6</v>
      </c>
      <c r="I6191">
        <v>1.65</v>
      </c>
      <c r="J6191">
        <v>26</v>
      </c>
      <c r="L6191" t="s">
        <v>2709</v>
      </c>
      <c r="M6191">
        <v>60024020</v>
      </c>
      <c r="O6191" t="s">
        <v>19447</v>
      </c>
      <c r="P6191" t="s">
        <v>19899</v>
      </c>
      <c r="Q6191" t="s">
        <v>19900</v>
      </c>
      <c r="R6191" t="s">
        <v>19905</v>
      </c>
      <c r="S6191" t="s">
        <v>19906</v>
      </c>
      <c r="T6191" t="s">
        <v>20108</v>
      </c>
    </row>
    <row r="6192" spans="2:20" x14ac:dyDescent="0.25">
      <c r="B6192" t="s">
        <v>2709</v>
      </c>
      <c r="C6192">
        <v>60024090</v>
      </c>
      <c r="E6192" t="s">
        <v>19447</v>
      </c>
      <c r="F6192">
        <v>18</v>
      </c>
      <c r="G6192">
        <v>0</v>
      </c>
      <c r="H6192">
        <v>7.6</v>
      </c>
      <c r="I6192">
        <v>1.65</v>
      </c>
      <c r="J6192">
        <v>26</v>
      </c>
      <c r="L6192" t="s">
        <v>2709</v>
      </c>
      <c r="M6192">
        <v>60024090</v>
      </c>
      <c r="O6192" t="s">
        <v>19447</v>
      </c>
      <c r="P6192" t="s">
        <v>19899</v>
      </c>
      <c r="Q6192" t="s">
        <v>19900</v>
      </c>
      <c r="R6192" t="s">
        <v>19905</v>
      </c>
      <c r="S6192" t="s">
        <v>19906</v>
      </c>
      <c r="T6192" t="s">
        <v>20108</v>
      </c>
    </row>
    <row r="6193" spans="2:20" x14ac:dyDescent="0.25">
      <c r="B6193" t="s">
        <v>2709</v>
      </c>
      <c r="C6193">
        <v>60029010</v>
      </c>
      <c r="E6193" t="s">
        <v>19447</v>
      </c>
      <c r="F6193">
        <v>18</v>
      </c>
      <c r="G6193">
        <v>0</v>
      </c>
      <c r="H6193">
        <v>7.6</v>
      </c>
      <c r="I6193">
        <v>1.65</v>
      </c>
      <c r="J6193">
        <v>26</v>
      </c>
      <c r="L6193" t="s">
        <v>2709</v>
      </c>
      <c r="M6193">
        <v>60029010</v>
      </c>
      <c r="O6193" t="s">
        <v>19447</v>
      </c>
      <c r="P6193" t="s">
        <v>19899</v>
      </c>
      <c r="Q6193" t="s">
        <v>19900</v>
      </c>
      <c r="R6193" t="s">
        <v>19905</v>
      </c>
      <c r="S6193" t="s">
        <v>19906</v>
      </c>
      <c r="T6193" t="s">
        <v>20108</v>
      </c>
    </row>
    <row r="6194" spans="2:20" x14ac:dyDescent="0.25">
      <c r="B6194" t="s">
        <v>2709</v>
      </c>
      <c r="C6194">
        <v>60029020</v>
      </c>
      <c r="E6194" t="s">
        <v>19447</v>
      </c>
      <c r="F6194">
        <v>18</v>
      </c>
      <c r="G6194">
        <v>0</v>
      </c>
      <c r="H6194">
        <v>7.6</v>
      </c>
      <c r="I6194">
        <v>1.65</v>
      </c>
      <c r="J6194">
        <v>26</v>
      </c>
      <c r="L6194" t="s">
        <v>2709</v>
      </c>
      <c r="M6194">
        <v>60029020</v>
      </c>
      <c r="O6194" t="s">
        <v>19447</v>
      </c>
      <c r="P6194" t="s">
        <v>19899</v>
      </c>
      <c r="Q6194" t="s">
        <v>19900</v>
      </c>
      <c r="R6194" t="s">
        <v>19905</v>
      </c>
      <c r="S6194" t="s">
        <v>19906</v>
      </c>
      <c r="T6194" t="s">
        <v>20108</v>
      </c>
    </row>
    <row r="6195" spans="2:20" x14ac:dyDescent="0.25">
      <c r="B6195" t="s">
        <v>2709</v>
      </c>
      <c r="C6195">
        <v>60029090</v>
      </c>
      <c r="E6195" t="s">
        <v>19447</v>
      </c>
      <c r="F6195">
        <v>18</v>
      </c>
      <c r="G6195">
        <v>0</v>
      </c>
      <c r="H6195">
        <v>7.6</v>
      </c>
      <c r="I6195">
        <v>1.65</v>
      </c>
      <c r="J6195">
        <v>26</v>
      </c>
      <c r="L6195" t="s">
        <v>2709</v>
      </c>
      <c r="M6195">
        <v>60029090</v>
      </c>
      <c r="O6195" t="s">
        <v>19447</v>
      </c>
      <c r="P6195" t="s">
        <v>19899</v>
      </c>
      <c r="Q6195" t="s">
        <v>19900</v>
      </c>
      <c r="R6195" t="s">
        <v>19905</v>
      </c>
      <c r="S6195" t="s">
        <v>19906</v>
      </c>
      <c r="T6195" t="s">
        <v>20108</v>
      </c>
    </row>
    <row r="6196" spans="2:20" x14ac:dyDescent="0.25">
      <c r="B6196" t="s">
        <v>2709</v>
      </c>
      <c r="C6196">
        <v>60031000</v>
      </c>
      <c r="E6196" t="s">
        <v>19447</v>
      </c>
      <c r="F6196">
        <v>18</v>
      </c>
      <c r="G6196">
        <v>0</v>
      </c>
      <c r="H6196">
        <v>7.6</v>
      </c>
      <c r="I6196">
        <v>1.65</v>
      </c>
      <c r="J6196">
        <v>26</v>
      </c>
      <c r="L6196" t="s">
        <v>2709</v>
      </c>
      <c r="M6196">
        <v>60031000</v>
      </c>
      <c r="O6196" t="s">
        <v>19447</v>
      </c>
      <c r="P6196" t="s">
        <v>19899</v>
      </c>
      <c r="Q6196" t="s">
        <v>19900</v>
      </c>
      <c r="R6196" t="s">
        <v>19905</v>
      </c>
      <c r="S6196" t="s">
        <v>19906</v>
      </c>
      <c r="T6196" t="s">
        <v>20108</v>
      </c>
    </row>
    <row r="6197" spans="2:20" x14ac:dyDescent="0.25">
      <c r="B6197" t="s">
        <v>2709</v>
      </c>
      <c r="C6197">
        <v>60032000</v>
      </c>
      <c r="E6197" t="s">
        <v>19447</v>
      </c>
      <c r="F6197">
        <v>18</v>
      </c>
      <c r="G6197">
        <v>0</v>
      </c>
      <c r="H6197">
        <v>7.6</v>
      </c>
      <c r="I6197">
        <v>1.65</v>
      </c>
      <c r="J6197">
        <v>26</v>
      </c>
      <c r="L6197" t="s">
        <v>2709</v>
      </c>
      <c r="M6197">
        <v>60032000</v>
      </c>
      <c r="O6197" t="s">
        <v>19447</v>
      </c>
      <c r="P6197" t="s">
        <v>19899</v>
      </c>
      <c r="Q6197" t="s">
        <v>19900</v>
      </c>
      <c r="R6197" t="s">
        <v>19905</v>
      </c>
      <c r="S6197" t="s">
        <v>19906</v>
      </c>
      <c r="T6197" t="s">
        <v>20108</v>
      </c>
    </row>
    <row r="6198" spans="2:20" x14ac:dyDescent="0.25">
      <c r="B6198" t="s">
        <v>2709</v>
      </c>
      <c r="C6198">
        <v>60033000</v>
      </c>
      <c r="E6198" t="s">
        <v>19447</v>
      </c>
      <c r="F6198">
        <v>18</v>
      </c>
      <c r="G6198">
        <v>0</v>
      </c>
      <c r="H6198">
        <v>7.6</v>
      </c>
      <c r="I6198">
        <v>1.65</v>
      </c>
      <c r="J6198">
        <v>26</v>
      </c>
      <c r="L6198" t="s">
        <v>2709</v>
      </c>
      <c r="M6198">
        <v>60033000</v>
      </c>
      <c r="O6198" t="s">
        <v>19447</v>
      </c>
      <c r="P6198" t="s">
        <v>19899</v>
      </c>
      <c r="Q6198" t="s">
        <v>19900</v>
      </c>
      <c r="R6198" t="s">
        <v>19905</v>
      </c>
      <c r="S6198" t="s">
        <v>19906</v>
      </c>
      <c r="T6198" t="s">
        <v>20108</v>
      </c>
    </row>
    <row r="6199" spans="2:20" x14ac:dyDescent="0.25">
      <c r="B6199" t="s">
        <v>2709</v>
      </c>
      <c r="C6199">
        <v>60034000</v>
      </c>
      <c r="E6199" t="s">
        <v>19447</v>
      </c>
      <c r="F6199">
        <v>18</v>
      </c>
      <c r="G6199">
        <v>0</v>
      </c>
      <c r="H6199">
        <v>7.6</v>
      </c>
      <c r="I6199">
        <v>1.65</v>
      </c>
      <c r="J6199">
        <v>26</v>
      </c>
      <c r="L6199" t="s">
        <v>2709</v>
      </c>
      <c r="M6199">
        <v>60034000</v>
      </c>
      <c r="O6199" t="s">
        <v>19447</v>
      </c>
      <c r="P6199" t="s">
        <v>19899</v>
      </c>
      <c r="Q6199" t="s">
        <v>19900</v>
      </c>
      <c r="R6199" t="s">
        <v>19905</v>
      </c>
      <c r="S6199" t="s">
        <v>19906</v>
      </c>
      <c r="T6199" t="s">
        <v>20108</v>
      </c>
    </row>
    <row r="6200" spans="2:20" x14ac:dyDescent="0.25">
      <c r="B6200" t="s">
        <v>2709</v>
      </c>
      <c r="C6200">
        <v>60039000</v>
      </c>
      <c r="E6200" t="s">
        <v>19447</v>
      </c>
      <c r="F6200">
        <v>18</v>
      </c>
      <c r="G6200">
        <v>0</v>
      </c>
      <c r="H6200">
        <v>7.6</v>
      </c>
      <c r="I6200">
        <v>1.65</v>
      </c>
      <c r="J6200">
        <v>26</v>
      </c>
      <c r="L6200" t="s">
        <v>2709</v>
      </c>
      <c r="M6200">
        <v>60039000</v>
      </c>
      <c r="O6200" t="s">
        <v>19447</v>
      </c>
      <c r="P6200" t="s">
        <v>19899</v>
      </c>
      <c r="Q6200" t="s">
        <v>19900</v>
      </c>
      <c r="R6200" t="s">
        <v>19905</v>
      </c>
      <c r="S6200" t="s">
        <v>19906</v>
      </c>
      <c r="T6200" t="s">
        <v>20108</v>
      </c>
    </row>
    <row r="6201" spans="2:20" x14ac:dyDescent="0.25">
      <c r="B6201" t="s">
        <v>2709</v>
      </c>
      <c r="C6201">
        <v>60041011</v>
      </c>
      <c r="E6201" t="s">
        <v>19447</v>
      </c>
      <c r="F6201">
        <v>18</v>
      </c>
      <c r="G6201">
        <v>0</v>
      </c>
      <c r="H6201">
        <v>7.6</v>
      </c>
      <c r="I6201">
        <v>1.65</v>
      </c>
      <c r="J6201">
        <v>26</v>
      </c>
      <c r="L6201" t="s">
        <v>2709</v>
      </c>
      <c r="M6201">
        <v>60041011</v>
      </c>
      <c r="O6201" t="s">
        <v>19447</v>
      </c>
      <c r="P6201" t="s">
        <v>19899</v>
      </c>
      <c r="Q6201" t="s">
        <v>19900</v>
      </c>
      <c r="R6201" t="s">
        <v>19905</v>
      </c>
      <c r="S6201" t="s">
        <v>19906</v>
      </c>
      <c r="T6201" t="s">
        <v>20108</v>
      </c>
    </row>
    <row r="6202" spans="2:20" x14ac:dyDescent="0.25">
      <c r="B6202" t="s">
        <v>2709</v>
      </c>
      <c r="C6202">
        <v>60041012</v>
      </c>
      <c r="E6202" t="s">
        <v>19447</v>
      </c>
      <c r="F6202">
        <v>18</v>
      </c>
      <c r="G6202">
        <v>0</v>
      </c>
      <c r="H6202">
        <v>7.6</v>
      </c>
      <c r="I6202">
        <v>1.65</v>
      </c>
      <c r="J6202">
        <v>26</v>
      </c>
      <c r="L6202" t="s">
        <v>2709</v>
      </c>
      <c r="M6202">
        <v>60041012</v>
      </c>
      <c r="O6202" t="s">
        <v>19447</v>
      </c>
      <c r="P6202" t="s">
        <v>19899</v>
      </c>
      <c r="Q6202" t="s">
        <v>19900</v>
      </c>
      <c r="R6202" t="s">
        <v>19905</v>
      </c>
      <c r="S6202" t="s">
        <v>19906</v>
      </c>
      <c r="T6202" t="s">
        <v>20108</v>
      </c>
    </row>
    <row r="6203" spans="2:20" x14ac:dyDescent="0.25">
      <c r="B6203" t="s">
        <v>2709</v>
      </c>
      <c r="C6203">
        <v>60041013</v>
      </c>
      <c r="E6203" t="s">
        <v>19447</v>
      </c>
      <c r="F6203">
        <v>18</v>
      </c>
      <c r="G6203">
        <v>0</v>
      </c>
      <c r="H6203">
        <v>7.6</v>
      </c>
      <c r="I6203">
        <v>1.65</v>
      </c>
      <c r="J6203">
        <v>26</v>
      </c>
      <c r="L6203" t="s">
        <v>2709</v>
      </c>
      <c r="M6203">
        <v>60041013</v>
      </c>
      <c r="O6203" t="s">
        <v>19447</v>
      </c>
      <c r="P6203" t="s">
        <v>19899</v>
      </c>
      <c r="Q6203" t="s">
        <v>19900</v>
      </c>
      <c r="R6203" t="s">
        <v>19905</v>
      </c>
      <c r="S6203" t="s">
        <v>19906</v>
      </c>
      <c r="T6203" t="s">
        <v>20108</v>
      </c>
    </row>
    <row r="6204" spans="2:20" x14ac:dyDescent="0.25">
      <c r="B6204" t="s">
        <v>2709</v>
      </c>
      <c r="C6204">
        <v>60041014</v>
      </c>
      <c r="E6204" t="s">
        <v>19447</v>
      </c>
      <c r="F6204">
        <v>18</v>
      </c>
      <c r="G6204">
        <v>0</v>
      </c>
      <c r="H6204">
        <v>7.6</v>
      </c>
      <c r="I6204">
        <v>1.65</v>
      </c>
      <c r="J6204">
        <v>26</v>
      </c>
      <c r="L6204" t="s">
        <v>2709</v>
      </c>
      <c r="M6204">
        <v>60041014</v>
      </c>
      <c r="O6204" t="s">
        <v>19447</v>
      </c>
      <c r="P6204" t="s">
        <v>19899</v>
      </c>
      <c r="Q6204" t="s">
        <v>19900</v>
      </c>
      <c r="R6204" t="s">
        <v>19905</v>
      </c>
      <c r="S6204" t="s">
        <v>19906</v>
      </c>
      <c r="T6204" t="s">
        <v>20108</v>
      </c>
    </row>
    <row r="6205" spans="2:20" x14ac:dyDescent="0.25">
      <c r="B6205" t="s">
        <v>2709</v>
      </c>
      <c r="C6205">
        <v>60041031</v>
      </c>
      <c r="E6205" t="s">
        <v>19447</v>
      </c>
      <c r="F6205">
        <v>18</v>
      </c>
      <c r="G6205">
        <v>0</v>
      </c>
      <c r="H6205">
        <v>7.6</v>
      </c>
      <c r="I6205">
        <v>1.65</v>
      </c>
      <c r="J6205">
        <v>26</v>
      </c>
      <c r="L6205" t="s">
        <v>2709</v>
      </c>
      <c r="M6205">
        <v>60041031</v>
      </c>
      <c r="O6205" t="s">
        <v>19447</v>
      </c>
      <c r="P6205" t="s">
        <v>19899</v>
      </c>
      <c r="Q6205" t="s">
        <v>19900</v>
      </c>
      <c r="R6205" t="s">
        <v>19905</v>
      </c>
      <c r="S6205" t="s">
        <v>19906</v>
      </c>
      <c r="T6205" t="s">
        <v>20108</v>
      </c>
    </row>
    <row r="6206" spans="2:20" x14ac:dyDescent="0.25">
      <c r="B6206" t="s">
        <v>2709</v>
      </c>
      <c r="C6206">
        <v>60041032</v>
      </c>
      <c r="E6206" t="s">
        <v>19447</v>
      </c>
      <c r="F6206">
        <v>18</v>
      </c>
      <c r="G6206">
        <v>0</v>
      </c>
      <c r="H6206">
        <v>7.6</v>
      </c>
      <c r="I6206">
        <v>1.65</v>
      </c>
      <c r="J6206">
        <v>26</v>
      </c>
      <c r="L6206" t="s">
        <v>2709</v>
      </c>
      <c r="M6206">
        <v>60041032</v>
      </c>
      <c r="O6206" t="s">
        <v>19447</v>
      </c>
      <c r="P6206" t="s">
        <v>19899</v>
      </c>
      <c r="Q6206" t="s">
        <v>19900</v>
      </c>
      <c r="R6206" t="s">
        <v>19905</v>
      </c>
      <c r="S6206" t="s">
        <v>19906</v>
      </c>
      <c r="T6206" t="s">
        <v>20108</v>
      </c>
    </row>
    <row r="6207" spans="2:20" x14ac:dyDescent="0.25">
      <c r="B6207" t="s">
        <v>2709</v>
      </c>
      <c r="C6207">
        <v>60041033</v>
      </c>
      <c r="E6207" t="s">
        <v>19447</v>
      </c>
      <c r="F6207">
        <v>18</v>
      </c>
      <c r="G6207">
        <v>0</v>
      </c>
      <c r="H6207">
        <v>7.6</v>
      </c>
      <c r="I6207">
        <v>1.65</v>
      </c>
      <c r="J6207">
        <v>26</v>
      </c>
      <c r="L6207" t="s">
        <v>2709</v>
      </c>
      <c r="M6207">
        <v>60041033</v>
      </c>
      <c r="O6207" t="s">
        <v>19447</v>
      </c>
      <c r="P6207" t="s">
        <v>19899</v>
      </c>
      <c r="Q6207" t="s">
        <v>19900</v>
      </c>
      <c r="R6207" t="s">
        <v>19905</v>
      </c>
      <c r="S6207" t="s">
        <v>19906</v>
      </c>
      <c r="T6207" t="s">
        <v>20108</v>
      </c>
    </row>
    <row r="6208" spans="2:20" x14ac:dyDescent="0.25">
      <c r="B6208" t="s">
        <v>2709</v>
      </c>
      <c r="C6208">
        <v>60041034</v>
      </c>
      <c r="E6208" t="s">
        <v>19447</v>
      </c>
      <c r="F6208">
        <v>18</v>
      </c>
      <c r="G6208">
        <v>0</v>
      </c>
      <c r="H6208">
        <v>7.6</v>
      </c>
      <c r="I6208">
        <v>1.65</v>
      </c>
      <c r="J6208">
        <v>26</v>
      </c>
      <c r="L6208" t="s">
        <v>2709</v>
      </c>
      <c r="M6208">
        <v>60041034</v>
      </c>
      <c r="O6208" t="s">
        <v>19447</v>
      </c>
      <c r="P6208" t="s">
        <v>19899</v>
      </c>
      <c r="Q6208" t="s">
        <v>19900</v>
      </c>
      <c r="R6208" t="s">
        <v>19905</v>
      </c>
      <c r="S6208" t="s">
        <v>19906</v>
      </c>
      <c r="T6208" t="s">
        <v>20108</v>
      </c>
    </row>
    <row r="6209" spans="2:20" x14ac:dyDescent="0.25">
      <c r="B6209" t="s">
        <v>2709</v>
      </c>
      <c r="C6209">
        <v>60041041</v>
      </c>
      <c r="E6209" t="s">
        <v>19447</v>
      </c>
      <c r="F6209">
        <v>18</v>
      </c>
      <c r="G6209">
        <v>0</v>
      </c>
      <c r="H6209">
        <v>7.6</v>
      </c>
      <c r="I6209">
        <v>1.65</v>
      </c>
      <c r="J6209">
        <v>26</v>
      </c>
      <c r="L6209" t="s">
        <v>2709</v>
      </c>
      <c r="M6209">
        <v>60041041</v>
      </c>
      <c r="O6209" t="s">
        <v>19447</v>
      </c>
      <c r="P6209" t="s">
        <v>19899</v>
      </c>
      <c r="Q6209" t="s">
        <v>19900</v>
      </c>
      <c r="R6209" t="s">
        <v>19905</v>
      </c>
      <c r="S6209" t="s">
        <v>19906</v>
      </c>
      <c r="T6209" t="s">
        <v>20108</v>
      </c>
    </row>
    <row r="6210" spans="2:20" x14ac:dyDescent="0.25">
      <c r="B6210" t="s">
        <v>2709</v>
      </c>
      <c r="C6210">
        <v>60041042</v>
      </c>
      <c r="E6210" t="s">
        <v>19447</v>
      </c>
      <c r="F6210">
        <v>18</v>
      </c>
      <c r="G6210">
        <v>0</v>
      </c>
      <c r="H6210">
        <v>7.6</v>
      </c>
      <c r="I6210">
        <v>1.65</v>
      </c>
      <c r="J6210">
        <v>26</v>
      </c>
      <c r="L6210" t="s">
        <v>2709</v>
      </c>
      <c r="M6210">
        <v>60041042</v>
      </c>
      <c r="O6210" t="s">
        <v>19447</v>
      </c>
      <c r="P6210" t="s">
        <v>19899</v>
      </c>
      <c r="Q6210" t="s">
        <v>19900</v>
      </c>
      <c r="R6210" t="s">
        <v>19905</v>
      </c>
      <c r="S6210" t="s">
        <v>19906</v>
      </c>
      <c r="T6210" t="s">
        <v>20108</v>
      </c>
    </row>
    <row r="6211" spans="2:20" x14ac:dyDescent="0.25">
      <c r="B6211" t="s">
        <v>2709</v>
      </c>
      <c r="C6211">
        <v>60041043</v>
      </c>
      <c r="E6211" t="s">
        <v>19447</v>
      </c>
      <c r="F6211">
        <v>18</v>
      </c>
      <c r="G6211">
        <v>0</v>
      </c>
      <c r="H6211">
        <v>7.6</v>
      </c>
      <c r="I6211">
        <v>1.65</v>
      </c>
      <c r="J6211">
        <v>26</v>
      </c>
      <c r="L6211" t="s">
        <v>2709</v>
      </c>
      <c r="M6211">
        <v>60041043</v>
      </c>
      <c r="O6211" t="s">
        <v>19447</v>
      </c>
      <c r="P6211" t="s">
        <v>19899</v>
      </c>
      <c r="Q6211" t="s">
        <v>19900</v>
      </c>
      <c r="R6211" t="s">
        <v>19905</v>
      </c>
      <c r="S6211" t="s">
        <v>19906</v>
      </c>
      <c r="T6211" t="s">
        <v>20108</v>
      </c>
    </row>
    <row r="6212" spans="2:20" x14ac:dyDescent="0.25">
      <c r="B6212" t="s">
        <v>2709</v>
      </c>
      <c r="C6212">
        <v>60041044</v>
      </c>
      <c r="E6212" t="s">
        <v>19447</v>
      </c>
      <c r="F6212">
        <v>18</v>
      </c>
      <c r="G6212">
        <v>0</v>
      </c>
      <c r="H6212">
        <v>7.6</v>
      </c>
      <c r="I6212">
        <v>1.65</v>
      </c>
      <c r="J6212">
        <v>26</v>
      </c>
      <c r="L6212" t="s">
        <v>2709</v>
      </c>
      <c r="M6212">
        <v>60041044</v>
      </c>
      <c r="O6212" t="s">
        <v>19447</v>
      </c>
      <c r="P6212" t="s">
        <v>19899</v>
      </c>
      <c r="Q6212" t="s">
        <v>19900</v>
      </c>
      <c r="R6212" t="s">
        <v>19905</v>
      </c>
      <c r="S6212" t="s">
        <v>19906</v>
      </c>
      <c r="T6212" t="s">
        <v>20108</v>
      </c>
    </row>
    <row r="6213" spans="2:20" x14ac:dyDescent="0.25">
      <c r="B6213" t="s">
        <v>2709</v>
      </c>
      <c r="C6213">
        <v>60041091</v>
      </c>
      <c r="E6213" t="s">
        <v>19447</v>
      </c>
      <c r="F6213">
        <v>18</v>
      </c>
      <c r="G6213">
        <v>0</v>
      </c>
      <c r="H6213">
        <v>7.6</v>
      </c>
      <c r="I6213">
        <v>1.65</v>
      </c>
      <c r="J6213">
        <v>26</v>
      </c>
      <c r="L6213" t="s">
        <v>2709</v>
      </c>
      <c r="M6213">
        <v>60041091</v>
      </c>
      <c r="O6213" t="s">
        <v>19447</v>
      </c>
      <c r="P6213" t="s">
        <v>19899</v>
      </c>
      <c r="Q6213" t="s">
        <v>19900</v>
      </c>
      <c r="R6213" t="s">
        <v>19905</v>
      </c>
      <c r="S6213" t="s">
        <v>19906</v>
      </c>
      <c r="T6213" t="s">
        <v>20108</v>
      </c>
    </row>
    <row r="6214" spans="2:20" x14ac:dyDescent="0.25">
      <c r="B6214" t="s">
        <v>2709</v>
      </c>
      <c r="C6214">
        <v>60041092</v>
      </c>
      <c r="E6214" t="s">
        <v>19447</v>
      </c>
      <c r="F6214">
        <v>18</v>
      </c>
      <c r="G6214">
        <v>0</v>
      </c>
      <c r="H6214">
        <v>7.6</v>
      </c>
      <c r="I6214">
        <v>1.65</v>
      </c>
      <c r="J6214">
        <v>26</v>
      </c>
      <c r="L6214" t="s">
        <v>2709</v>
      </c>
      <c r="M6214">
        <v>60041092</v>
      </c>
      <c r="O6214" t="s">
        <v>19447</v>
      </c>
      <c r="P6214" t="s">
        <v>19899</v>
      </c>
      <c r="Q6214" t="s">
        <v>19900</v>
      </c>
      <c r="R6214" t="s">
        <v>19905</v>
      </c>
      <c r="S6214" t="s">
        <v>19906</v>
      </c>
      <c r="T6214" t="s">
        <v>20108</v>
      </c>
    </row>
    <row r="6215" spans="2:20" x14ac:dyDescent="0.25">
      <c r="B6215" t="s">
        <v>2709</v>
      </c>
      <c r="C6215">
        <v>60041093</v>
      </c>
      <c r="E6215" t="s">
        <v>19447</v>
      </c>
      <c r="F6215">
        <v>18</v>
      </c>
      <c r="G6215">
        <v>0</v>
      </c>
      <c r="H6215">
        <v>7.6</v>
      </c>
      <c r="I6215">
        <v>1.65</v>
      </c>
      <c r="J6215">
        <v>26</v>
      </c>
      <c r="L6215" t="s">
        <v>2709</v>
      </c>
      <c r="M6215">
        <v>60041093</v>
      </c>
      <c r="O6215" t="s">
        <v>19447</v>
      </c>
      <c r="P6215" t="s">
        <v>19899</v>
      </c>
      <c r="Q6215" t="s">
        <v>19900</v>
      </c>
      <c r="R6215" t="s">
        <v>19905</v>
      </c>
      <c r="S6215" t="s">
        <v>19906</v>
      </c>
      <c r="T6215" t="s">
        <v>20108</v>
      </c>
    </row>
    <row r="6216" spans="2:20" x14ac:dyDescent="0.25">
      <c r="B6216" t="s">
        <v>2709</v>
      </c>
      <c r="C6216">
        <v>60041094</v>
      </c>
      <c r="E6216" t="s">
        <v>19447</v>
      </c>
      <c r="F6216">
        <v>18</v>
      </c>
      <c r="G6216">
        <v>0</v>
      </c>
      <c r="H6216">
        <v>7.6</v>
      </c>
      <c r="I6216">
        <v>1.65</v>
      </c>
      <c r="J6216">
        <v>26</v>
      </c>
      <c r="L6216" t="s">
        <v>2709</v>
      </c>
      <c r="M6216">
        <v>60041094</v>
      </c>
      <c r="O6216" t="s">
        <v>19447</v>
      </c>
      <c r="P6216" t="s">
        <v>19899</v>
      </c>
      <c r="Q6216" t="s">
        <v>19900</v>
      </c>
      <c r="R6216" t="s">
        <v>19905</v>
      </c>
      <c r="S6216" t="s">
        <v>19906</v>
      </c>
      <c r="T6216" t="s">
        <v>20108</v>
      </c>
    </row>
    <row r="6217" spans="2:20" x14ac:dyDescent="0.25">
      <c r="B6217" t="s">
        <v>2709</v>
      </c>
      <c r="C6217">
        <v>60049010</v>
      </c>
      <c r="E6217" t="s">
        <v>19447</v>
      </c>
      <c r="F6217">
        <v>18</v>
      </c>
      <c r="G6217">
        <v>0</v>
      </c>
      <c r="H6217">
        <v>7.6</v>
      </c>
      <c r="I6217">
        <v>1.65</v>
      </c>
      <c r="J6217">
        <v>26</v>
      </c>
      <c r="L6217" t="s">
        <v>2709</v>
      </c>
      <c r="M6217">
        <v>60049010</v>
      </c>
      <c r="O6217" t="s">
        <v>19447</v>
      </c>
      <c r="P6217" t="s">
        <v>19899</v>
      </c>
      <c r="Q6217" t="s">
        <v>19900</v>
      </c>
      <c r="R6217" t="s">
        <v>19905</v>
      </c>
      <c r="S6217" t="s">
        <v>19906</v>
      </c>
      <c r="T6217" t="s">
        <v>20108</v>
      </c>
    </row>
    <row r="6218" spans="2:20" x14ac:dyDescent="0.25">
      <c r="B6218" t="s">
        <v>2709</v>
      </c>
      <c r="C6218">
        <v>60049030</v>
      </c>
      <c r="E6218" t="s">
        <v>19447</v>
      </c>
      <c r="F6218">
        <v>18</v>
      </c>
      <c r="G6218">
        <v>0</v>
      </c>
      <c r="H6218">
        <v>7.6</v>
      </c>
      <c r="I6218">
        <v>1.65</v>
      </c>
      <c r="J6218">
        <v>26</v>
      </c>
      <c r="L6218" t="s">
        <v>2709</v>
      </c>
      <c r="M6218">
        <v>60049030</v>
      </c>
      <c r="O6218" t="s">
        <v>19447</v>
      </c>
      <c r="P6218" t="s">
        <v>19899</v>
      </c>
      <c r="Q6218" t="s">
        <v>19900</v>
      </c>
      <c r="R6218" t="s">
        <v>19905</v>
      </c>
      <c r="S6218" t="s">
        <v>19906</v>
      </c>
      <c r="T6218" t="s">
        <v>20108</v>
      </c>
    </row>
    <row r="6219" spans="2:20" x14ac:dyDescent="0.25">
      <c r="B6219" t="s">
        <v>2709</v>
      </c>
      <c r="C6219">
        <v>60049040</v>
      </c>
      <c r="E6219" t="s">
        <v>19447</v>
      </c>
      <c r="F6219">
        <v>18</v>
      </c>
      <c r="G6219">
        <v>0</v>
      </c>
      <c r="H6219">
        <v>7.6</v>
      </c>
      <c r="I6219">
        <v>1.65</v>
      </c>
      <c r="J6219">
        <v>26</v>
      </c>
      <c r="L6219" t="s">
        <v>2709</v>
      </c>
      <c r="M6219">
        <v>60049040</v>
      </c>
      <c r="O6219" t="s">
        <v>19447</v>
      </c>
      <c r="P6219" t="s">
        <v>19899</v>
      </c>
      <c r="Q6219" t="s">
        <v>19900</v>
      </c>
      <c r="R6219" t="s">
        <v>19905</v>
      </c>
      <c r="S6219" t="s">
        <v>19906</v>
      </c>
      <c r="T6219" t="s">
        <v>20108</v>
      </c>
    </row>
    <row r="6220" spans="2:20" x14ac:dyDescent="0.25">
      <c r="B6220" t="s">
        <v>2709</v>
      </c>
      <c r="C6220">
        <v>60049090</v>
      </c>
      <c r="E6220" t="s">
        <v>19447</v>
      </c>
      <c r="F6220">
        <v>18</v>
      </c>
      <c r="G6220">
        <v>0</v>
      </c>
      <c r="H6220">
        <v>7.6</v>
      </c>
      <c r="I6220">
        <v>1.65</v>
      </c>
      <c r="J6220">
        <v>26</v>
      </c>
      <c r="L6220" t="s">
        <v>2709</v>
      </c>
      <c r="M6220">
        <v>60049090</v>
      </c>
      <c r="O6220" t="s">
        <v>19447</v>
      </c>
      <c r="P6220" t="s">
        <v>19899</v>
      </c>
      <c r="Q6220" t="s">
        <v>19900</v>
      </c>
      <c r="R6220" t="s">
        <v>19905</v>
      </c>
      <c r="S6220" t="s">
        <v>19906</v>
      </c>
      <c r="T6220" t="s">
        <v>20108</v>
      </c>
    </row>
    <row r="6221" spans="2:20" x14ac:dyDescent="0.25">
      <c r="B6221" t="s">
        <v>2709</v>
      </c>
      <c r="C6221">
        <v>60052100</v>
      </c>
      <c r="E6221" t="s">
        <v>19447</v>
      </c>
      <c r="F6221">
        <v>18</v>
      </c>
      <c r="G6221">
        <v>0</v>
      </c>
      <c r="H6221">
        <v>7.6</v>
      </c>
      <c r="I6221">
        <v>1.65</v>
      </c>
      <c r="J6221">
        <v>26</v>
      </c>
      <c r="L6221" t="s">
        <v>2709</v>
      </c>
      <c r="M6221">
        <v>60052100</v>
      </c>
      <c r="O6221" t="s">
        <v>19447</v>
      </c>
      <c r="P6221" t="s">
        <v>19899</v>
      </c>
      <c r="Q6221" t="s">
        <v>19900</v>
      </c>
      <c r="R6221" t="s">
        <v>19905</v>
      </c>
      <c r="S6221" t="s">
        <v>19906</v>
      </c>
      <c r="T6221" t="s">
        <v>20108</v>
      </c>
    </row>
    <row r="6222" spans="2:20" x14ac:dyDescent="0.25">
      <c r="B6222" t="s">
        <v>2709</v>
      </c>
      <c r="C6222">
        <v>60052200</v>
      </c>
      <c r="E6222" t="s">
        <v>19447</v>
      </c>
      <c r="F6222">
        <v>18</v>
      </c>
      <c r="G6222">
        <v>0</v>
      </c>
      <c r="H6222">
        <v>7.6</v>
      </c>
      <c r="I6222">
        <v>1.65</v>
      </c>
      <c r="J6222">
        <v>26</v>
      </c>
      <c r="L6222" t="s">
        <v>2709</v>
      </c>
      <c r="M6222">
        <v>60052200</v>
      </c>
      <c r="O6222" t="s">
        <v>19447</v>
      </c>
      <c r="P6222" t="s">
        <v>19899</v>
      </c>
      <c r="Q6222" t="s">
        <v>19900</v>
      </c>
      <c r="R6222" t="s">
        <v>19905</v>
      </c>
      <c r="S6222" t="s">
        <v>19906</v>
      </c>
      <c r="T6222" t="s">
        <v>20108</v>
      </c>
    </row>
    <row r="6223" spans="2:20" x14ac:dyDescent="0.25">
      <c r="B6223" t="s">
        <v>2709</v>
      </c>
      <c r="C6223">
        <v>60052300</v>
      </c>
      <c r="E6223" t="s">
        <v>19447</v>
      </c>
      <c r="F6223">
        <v>18</v>
      </c>
      <c r="G6223">
        <v>0</v>
      </c>
      <c r="H6223">
        <v>7.6</v>
      </c>
      <c r="I6223">
        <v>1.65</v>
      </c>
      <c r="J6223">
        <v>26</v>
      </c>
      <c r="L6223" t="s">
        <v>2709</v>
      </c>
      <c r="M6223">
        <v>60052300</v>
      </c>
      <c r="O6223" t="s">
        <v>19447</v>
      </c>
      <c r="P6223" t="s">
        <v>19899</v>
      </c>
      <c r="Q6223" t="s">
        <v>19900</v>
      </c>
      <c r="R6223" t="s">
        <v>19905</v>
      </c>
      <c r="S6223" t="s">
        <v>19906</v>
      </c>
      <c r="T6223" t="s">
        <v>20108</v>
      </c>
    </row>
    <row r="6224" spans="2:20" x14ac:dyDescent="0.25">
      <c r="B6224" t="s">
        <v>2709</v>
      </c>
      <c r="C6224">
        <v>60052400</v>
      </c>
      <c r="E6224" t="s">
        <v>19447</v>
      </c>
      <c r="F6224">
        <v>18</v>
      </c>
      <c r="G6224">
        <v>0</v>
      </c>
      <c r="H6224">
        <v>7.6</v>
      </c>
      <c r="I6224">
        <v>1.65</v>
      </c>
      <c r="J6224">
        <v>26</v>
      </c>
      <c r="L6224" t="s">
        <v>2709</v>
      </c>
      <c r="M6224">
        <v>60052400</v>
      </c>
      <c r="O6224" t="s">
        <v>19447</v>
      </c>
      <c r="P6224" t="s">
        <v>19899</v>
      </c>
      <c r="Q6224" t="s">
        <v>19900</v>
      </c>
      <c r="R6224" t="s">
        <v>19905</v>
      </c>
      <c r="S6224" t="s">
        <v>19906</v>
      </c>
      <c r="T6224" t="s">
        <v>20108</v>
      </c>
    </row>
    <row r="6225" spans="2:20" x14ac:dyDescent="0.25">
      <c r="B6225" t="s">
        <v>2709</v>
      </c>
      <c r="C6225">
        <v>60053100</v>
      </c>
      <c r="E6225" t="s">
        <v>19447</v>
      </c>
      <c r="F6225">
        <v>18</v>
      </c>
      <c r="G6225">
        <v>0</v>
      </c>
      <c r="H6225">
        <v>7.6</v>
      </c>
      <c r="I6225">
        <v>1.65</v>
      </c>
      <c r="J6225">
        <v>26</v>
      </c>
      <c r="L6225" t="s">
        <v>2709</v>
      </c>
      <c r="M6225">
        <v>60053100</v>
      </c>
      <c r="O6225" t="s">
        <v>19447</v>
      </c>
      <c r="P6225" t="s">
        <v>19899</v>
      </c>
      <c r="Q6225" t="s">
        <v>19900</v>
      </c>
      <c r="R6225" t="s">
        <v>19905</v>
      </c>
      <c r="S6225" t="s">
        <v>19906</v>
      </c>
      <c r="T6225" t="s">
        <v>20108</v>
      </c>
    </row>
    <row r="6226" spans="2:20" x14ac:dyDescent="0.25">
      <c r="B6226" t="s">
        <v>2709</v>
      </c>
      <c r="C6226">
        <v>60053200</v>
      </c>
      <c r="E6226" t="s">
        <v>19447</v>
      </c>
      <c r="F6226">
        <v>18</v>
      </c>
      <c r="G6226">
        <v>0</v>
      </c>
      <c r="H6226">
        <v>7.6</v>
      </c>
      <c r="I6226">
        <v>1.65</v>
      </c>
      <c r="J6226">
        <v>26</v>
      </c>
      <c r="L6226" t="s">
        <v>2709</v>
      </c>
      <c r="M6226">
        <v>60053200</v>
      </c>
      <c r="O6226" t="s">
        <v>19447</v>
      </c>
      <c r="P6226" t="s">
        <v>19899</v>
      </c>
      <c r="Q6226" t="s">
        <v>19900</v>
      </c>
      <c r="R6226" t="s">
        <v>19905</v>
      </c>
      <c r="S6226" t="s">
        <v>19906</v>
      </c>
      <c r="T6226" t="s">
        <v>20108</v>
      </c>
    </row>
    <row r="6227" spans="2:20" x14ac:dyDescent="0.25">
      <c r="B6227" t="s">
        <v>2709</v>
      </c>
      <c r="C6227">
        <v>60053300</v>
      </c>
      <c r="E6227" t="s">
        <v>19447</v>
      </c>
      <c r="F6227">
        <v>18</v>
      </c>
      <c r="G6227">
        <v>0</v>
      </c>
      <c r="H6227">
        <v>7.6</v>
      </c>
      <c r="I6227">
        <v>1.65</v>
      </c>
      <c r="J6227">
        <v>26</v>
      </c>
      <c r="L6227" t="s">
        <v>2709</v>
      </c>
      <c r="M6227">
        <v>60053300</v>
      </c>
      <c r="O6227" t="s">
        <v>19447</v>
      </c>
      <c r="P6227" t="s">
        <v>19899</v>
      </c>
      <c r="Q6227" t="s">
        <v>19900</v>
      </c>
      <c r="R6227" t="s">
        <v>19905</v>
      </c>
      <c r="S6227" t="s">
        <v>19906</v>
      </c>
      <c r="T6227" t="s">
        <v>20108</v>
      </c>
    </row>
    <row r="6228" spans="2:20" x14ac:dyDescent="0.25">
      <c r="B6228" t="s">
        <v>2709</v>
      </c>
      <c r="C6228">
        <v>60053400</v>
      </c>
      <c r="E6228" t="s">
        <v>19447</v>
      </c>
      <c r="F6228">
        <v>18</v>
      </c>
      <c r="G6228">
        <v>0</v>
      </c>
      <c r="H6228">
        <v>7.6</v>
      </c>
      <c r="I6228">
        <v>1.65</v>
      </c>
      <c r="J6228">
        <v>26</v>
      </c>
      <c r="L6228" t="s">
        <v>2709</v>
      </c>
      <c r="M6228">
        <v>60053400</v>
      </c>
      <c r="O6228" t="s">
        <v>19447</v>
      </c>
      <c r="P6228" t="s">
        <v>19899</v>
      </c>
      <c r="Q6228" t="s">
        <v>19900</v>
      </c>
      <c r="R6228" t="s">
        <v>19905</v>
      </c>
      <c r="S6228" t="s">
        <v>19906</v>
      </c>
      <c r="T6228" t="s">
        <v>20108</v>
      </c>
    </row>
    <row r="6229" spans="2:20" x14ac:dyDescent="0.25">
      <c r="B6229" t="s">
        <v>2709</v>
      </c>
      <c r="C6229">
        <v>60054100</v>
      </c>
      <c r="E6229" t="s">
        <v>19447</v>
      </c>
      <c r="F6229">
        <v>18</v>
      </c>
      <c r="G6229">
        <v>0</v>
      </c>
      <c r="H6229">
        <v>7.6</v>
      </c>
      <c r="I6229">
        <v>1.65</v>
      </c>
      <c r="J6229">
        <v>26</v>
      </c>
      <c r="L6229" t="s">
        <v>2709</v>
      </c>
      <c r="M6229">
        <v>60054100</v>
      </c>
      <c r="O6229" t="s">
        <v>19447</v>
      </c>
      <c r="P6229" t="s">
        <v>19899</v>
      </c>
      <c r="Q6229" t="s">
        <v>19900</v>
      </c>
      <c r="R6229" t="s">
        <v>19905</v>
      </c>
      <c r="S6229" t="s">
        <v>19906</v>
      </c>
      <c r="T6229" t="s">
        <v>20108</v>
      </c>
    </row>
    <row r="6230" spans="2:20" x14ac:dyDescent="0.25">
      <c r="B6230" t="s">
        <v>2709</v>
      </c>
      <c r="C6230">
        <v>60054200</v>
      </c>
      <c r="E6230" t="s">
        <v>19447</v>
      </c>
      <c r="F6230">
        <v>18</v>
      </c>
      <c r="G6230">
        <v>0</v>
      </c>
      <c r="H6230">
        <v>7.6</v>
      </c>
      <c r="I6230">
        <v>1.65</v>
      </c>
      <c r="J6230">
        <v>26</v>
      </c>
      <c r="L6230" t="s">
        <v>2709</v>
      </c>
      <c r="M6230">
        <v>60054200</v>
      </c>
      <c r="O6230" t="s">
        <v>19447</v>
      </c>
      <c r="P6230" t="s">
        <v>19899</v>
      </c>
      <c r="Q6230" t="s">
        <v>19900</v>
      </c>
      <c r="R6230" t="s">
        <v>19905</v>
      </c>
      <c r="S6230" t="s">
        <v>19906</v>
      </c>
      <c r="T6230" t="s">
        <v>20108</v>
      </c>
    </row>
    <row r="6231" spans="2:20" x14ac:dyDescent="0.25">
      <c r="B6231" t="s">
        <v>2709</v>
      </c>
      <c r="C6231">
        <v>60054300</v>
      </c>
      <c r="E6231" t="s">
        <v>19447</v>
      </c>
      <c r="F6231">
        <v>18</v>
      </c>
      <c r="G6231">
        <v>0</v>
      </c>
      <c r="H6231">
        <v>7.6</v>
      </c>
      <c r="I6231">
        <v>1.65</v>
      </c>
      <c r="J6231">
        <v>26</v>
      </c>
      <c r="L6231" t="s">
        <v>2709</v>
      </c>
      <c r="M6231">
        <v>60054300</v>
      </c>
      <c r="O6231" t="s">
        <v>19447</v>
      </c>
      <c r="P6231" t="s">
        <v>19899</v>
      </c>
      <c r="Q6231" t="s">
        <v>19900</v>
      </c>
      <c r="R6231" t="s">
        <v>19905</v>
      </c>
      <c r="S6231" t="s">
        <v>19906</v>
      </c>
      <c r="T6231" t="s">
        <v>20108</v>
      </c>
    </row>
    <row r="6232" spans="2:20" x14ac:dyDescent="0.25">
      <c r="B6232" t="s">
        <v>2709</v>
      </c>
      <c r="C6232">
        <v>60054400</v>
      </c>
      <c r="E6232" t="s">
        <v>19447</v>
      </c>
      <c r="F6232">
        <v>18</v>
      </c>
      <c r="G6232">
        <v>0</v>
      </c>
      <c r="H6232">
        <v>7.6</v>
      </c>
      <c r="I6232">
        <v>1.65</v>
      </c>
      <c r="J6232">
        <v>26</v>
      </c>
      <c r="L6232" t="s">
        <v>2709</v>
      </c>
      <c r="M6232">
        <v>60054400</v>
      </c>
      <c r="O6232" t="s">
        <v>19447</v>
      </c>
      <c r="P6232" t="s">
        <v>19899</v>
      </c>
      <c r="Q6232" t="s">
        <v>19900</v>
      </c>
      <c r="R6232" t="s">
        <v>19905</v>
      </c>
      <c r="S6232" t="s">
        <v>19906</v>
      </c>
      <c r="T6232" t="s">
        <v>20108</v>
      </c>
    </row>
    <row r="6233" spans="2:20" x14ac:dyDescent="0.25">
      <c r="B6233" t="s">
        <v>2709</v>
      </c>
      <c r="C6233">
        <v>60059010</v>
      </c>
      <c r="E6233" t="s">
        <v>19447</v>
      </c>
      <c r="F6233">
        <v>18</v>
      </c>
      <c r="G6233">
        <v>0</v>
      </c>
      <c r="H6233">
        <v>7.6</v>
      </c>
      <c r="I6233">
        <v>1.65</v>
      </c>
      <c r="J6233">
        <v>26</v>
      </c>
      <c r="L6233" t="s">
        <v>2709</v>
      </c>
      <c r="M6233">
        <v>60059010</v>
      </c>
      <c r="O6233" t="s">
        <v>19447</v>
      </c>
      <c r="P6233" t="s">
        <v>19899</v>
      </c>
      <c r="Q6233" t="s">
        <v>19900</v>
      </c>
      <c r="R6233" t="s">
        <v>19905</v>
      </c>
      <c r="S6233" t="s">
        <v>19906</v>
      </c>
      <c r="T6233" t="s">
        <v>20108</v>
      </c>
    </row>
    <row r="6234" spans="2:20" x14ac:dyDescent="0.25">
      <c r="B6234" t="s">
        <v>2709</v>
      </c>
      <c r="C6234">
        <v>60059090</v>
      </c>
      <c r="E6234" t="s">
        <v>19447</v>
      </c>
      <c r="F6234">
        <v>18</v>
      </c>
      <c r="G6234">
        <v>0</v>
      </c>
      <c r="H6234">
        <v>7.6</v>
      </c>
      <c r="I6234">
        <v>1.65</v>
      </c>
      <c r="J6234">
        <v>26</v>
      </c>
      <c r="L6234" t="s">
        <v>2709</v>
      </c>
      <c r="M6234">
        <v>60059090</v>
      </c>
      <c r="O6234" t="s">
        <v>19447</v>
      </c>
      <c r="P6234" t="s">
        <v>19899</v>
      </c>
      <c r="Q6234" t="s">
        <v>19900</v>
      </c>
      <c r="R6234" t="s">
        <v>19905</v>
      </c>
      <c r="S6234" t="s">
        <v>19906</v>
      </c>
      <c r="T6234" t="s">
        <v>20108</v>
      </c>
    </row>
    <row r="6235" spans="2:20" x14ac:dyDescent="0.25">
      <c r="B6235" t="s">
        <v>2709</v>
      </c>
      <c r="C6235">
        <v>60061000</v>
      </c>
      <c r="E6235" t="s">
        <v>19447</v>
      </c>
      <c r="F6235">
        <v>18</v>
      </c>
      <c r="G6235">
        <v>0</v>
      </c>
      <c r="H6235">
        <v>7.6</v>
      </c>
      <c r="I6235">
        <v>1.65</v>
      </c>
      <c r="J6235">
        <v>26</v>
      </c>
      <c r="L6235" t="s">
        <v>2709</v>
      </c>
      <c r="M6235">
        <v>60061000</v>
      </c>
      <c r="O6235" t="s">
        <v>19447</v>
      </c>
      <c r="P6235" t="s">
        <v>19899</v>
      </c>
      <c r="Q6235" t="s">
        <v>19900</v>
      </c>
      <c r="R6235" t="s">
        <v>19905</v>
      </c>
      <c r="S6235" t="s">
        <v>19906</v>
      </c>
      <c r="T6235" t="s">
        <v>20108</v>
      </c>
    </row>
    <row r="6236" spans="2:20" x14ac:dyDescent="0.25">
      <c r="B6236" t="s">
        <v>2709</v>
      </c>
      <c r="C6236">
        <v>60062100</v>
      </c>
      <c r="E6236" t="s">
        <v>19447</v>
      </c>
      <c r="F6236">
        <v>18</v>
      </c>
      <c r="G6236">
        <v>0</v>
      </c>
      <c r="H6236">
        <v>7.6</v>
      </c>
      <c r="I6236">
        <v>1.65</v>
      </c>
      <c r="J6236">
        <v>26</v>
      </c>
      <c r="L6236" t="s">
        <v>2709</v>
      </c>
      <c r="M6236">
        <v>60062100</v>
      </c>
      <c r="O6236" t="s">
        <v>19447</v>
      </c>
      <c r="P6236" t="s">
        <v>19899</v>
      </c>
      <c r="Q6236" t="s">
        <v>19900</v>
      </c>
      <c r="R6236" t="s">
        <v>19905</v>
      </c>
      <c r="S6236" t="s">
        <v>19906</v>
      </c>
      <c r="T6236" t="s">
        <v>20108</v>
      </c>
    </row>
    <row r="6237" spans="2:20" x14ac:dyDescent="0.25">
      <c r="B6237" t="s">
        <v>2709</v>
      </c>
      <c r="C6237">
        <v>60062200</v>
      </c>
      <c r="E6237" t="s">
        <v>19447</v>
      </c>
      <c r="F6237">
        <v>18</v>
      </c>
      <c r="G6237">
        <v>0</v>
      </c>
      <c r="H6237">
        <v>7.6</v>
      </c>
      <c r="I6237">
        <v>1.65</v>
      </c>
      <c r="J6237">
        <v>26</v>
      </c>
      <c r="L6237" t="s">
        <v>2709</v>
      </c>
      <c r="M6237">
        <v>60062200</v>
      </c>
      <c r="O6237" t="s">
        <v>19447</v>
      </c>
      <c r="P6237" t="s">
        <v>19899</v>
      </c>
      <c r="Q6237" t="s">
        <v>19900</v>
      </c>
      <c r="R6237" t="s">
        <v>19905</v>
      </c>
      <c r="S6237" t="s">
        <v>19906</v>
      </c>
      <c r="T6237" t="s">
        <v>20108</v>
      </c>
    </row>
    <row r="6238" spans="2:20" x14ac:dyDescent="0.25">
      <c r="B6238" t="s">
        <v>2709</v>
      </c>
      <c r="C6238">
        <v>60062300</v>
      </c>
      <c r="E6238" t="s">
        <v>19447</v>
      </c>
      <c r="F6238">
        <v>18</v>
      </c>
      <c r="G6238">
        <v>0</v>
      </c>
      <c r="H6238">
        <v>7.6</v>
      </c>
      <c r="I6238">
        <v>1.65</v>
      </c>
      <c r="J6238">
        <v>26</v>
      </c>
      <c r="L6238" t="s">
        <v>2709</v>
      </c>
      <c r="M6238">
        <v>60062300</v>
      </c>
      <c r="O6238" t="s">
        <v>19447</v>
      </c>
      <c r="P6238" t="s">
        <v>19899</v>
      </c>
      <c r="Q6238" t="s">
        <v>19900</v>
      </c>
      <c r="R6238" t="s">
        <v>19905</v>
      </c>
      <c r="S6238" t="s">
        <v>19906</v>
      </c>
      <c r="T6238" t="s">
        <v>20108</v>
      </c>
    </row>
    <row r="6239" spans="2:20" x14ac:dyDescent="0.25">
      <c r="B6239" t="s">
        <v>2709</v>
      </c>
      <c r="C6239">
        <v>60062400</v>
      </c>
      <c r="E6239" t="s">
        <v>19447</v>
      </c>
      <c r="F6239">
        <v>18</v>
      </c>
      <c r="G6239">
        <v>0</v>
      </c>
      <c r="H6239">
        <v>7.6</v>
      </c>
      <c r="I6239">
        <v>1.65</v>
      </c>
      <c r="J6239">
        <v>26</v>
      </c>
      <c r="L6239" t="s">
        <v>2709</v>
      </c>
      <c r="M6239">
        <v>60062400</v>
      </c>
      <c r="O6239" t="s">
        <v>19447</v>
      </c>
      <c r="P6239" t="s">
        <v>19899</v>
      </c>
      <c r="Q6239" t="s">
        <v>19900</v>
      </c>
      <c r="R6239" t="s">
        <v>19905</v>
      </c>
      <c r="S6239" t="s">
        <v>19906</v>
      </c>
      <c r="T6239" t="s">
        <v>20108</v>
      </c>
    </row>
    <row r="6240" spans="2:20" x14ac:dyDescent="0.25">
      <c r="B6240" t="s">
        <v>2709</v>
      </c>
      <c r="C6240">
        <v>60063100</v>
      </c>
      <c r="E6240" t="s">
        <v>19447</v>
      </c>
      <c r="F6240">
        <v>18</v>
      </c>
      <c r="G6240">
        <v>0</v>
      </c>
      <c r="H6240">
        <v>7.6</v>
      </c>
      <c r="I6240">
        <v>1.65</v>
      </c>
      <c r="J6240">
        <v>26</v>
      </c>
      <c r="L6240" t="s">
        <v>2709</v>
      </c>
      <c r="M6240">
        <v>60063100</v>
      </c>
      <c r="O6240" t="s">
        <v>19447</v>
      </c>
      <c r="P6240" t="s">
        <v>19899</v>
      </c>
      <c r="Q6240" t="s">
        <v>19900</v>
      </c>
      <c r="R6240" t="s">
        <v>19905</v>
      </c>
      <c r="S6240" t="s">
        <v>19906</v>
      </c>
      <c r="T6240" t="s">
        <v>20108</v>
      </c>
    </row>
    <row r="6241" spans="2:20" x14ac:dyDescent="0.25">
      <c r="B6241" t="s">
        <v>2709</v>
      </c>
      <c r="C6241">
        <v>60063200</v>
      </c>
      <c r="E6241" t="s">
        <v>19447</v>
      </c>
      <c r="F6241">
        <v>18</v>
      </c>
      <c r="G6241">
        <v>0</v>
      </c>
      <c r="H6241">
        <v>7.6</v>
      </c>
      <c r="I6241">
        <v>1.65</v>
      </c>
      <c r="J6241">
        <v>26</v>
      </c>
      <c r="L6241" t="s">
        <v>2709</v>
      </c>
      <c r="M6241">
        <v>60063200</v>
      </c>
      <c r="O6241" t="s">
        <v>19447</v>
      </c>
      <c r="P6241" t="s">
        <v>19899</v>
      </c>
      <c r="Q6241" t="s">
        <v>19900</v>
      </c>
      <c r="R6241" t="s">
        <v>19905</v>
      </c>
      <c r="S6241" t="s">
        <v>19906</v>
      </c>
      <c r="T6241" t="s">
        <v>20108</v>
      </c>
    </row>
    <row r="6242" spans="2:20" x14ac:dyDescent="0.25">
      <c r="B6242" t="s">
        <v>2709</v>
      </c>
      <c r="C6242">
        <v>60063300</v>
      </c>
      <c r="E6242" t="s">
        <v>19447</v>
      </c>
      <c r="F6242">
        <v>18</v>
      </c>
      <c r="G6242">
        <v>0</v>
      </c>
      <c r="H6242">
        <v>7.6</v>
      </c>
      <c r="I6242">
        <v>1.65</v>
      </c>
      <c r="J6242">
        <v>26</v>
      </c>
      <c r="L6242" t="s">
        <v>2709</v>
      </c>
      <c r="M6242">
        <v>60063300</v>
      </c>
      <c r="O6242" t="s">
        <v>19447</v>
      </c>
      <c r="P6242" t="s">
        <v>19899</v>
      </c>
      <c r="Q6242" t="s">
        <v>19900</v>
      </c>
      <c r="R6242" t="s">
        <v>19905</v>
      </c>
      <c r="S6242" t="s">
        <v>19906</v>
      </c>
      <c r="T6242" t="s">
        <v>20108</v>
      </c>
    </row>
    <row r="6243" spans="2:20" x14ac:dyDescent="0.25">
      <c r="B6243" t="s">
        <v>2709</v>
      </c>
      <c r="C6243">
        <v>60063400</v>
      </c>
      <c r="E6243" t="s">
        <v>19447</v>
      </c>
      <c r="F6243">
        <v>18</v>
      </c>
      <c r="G6243">
        <v>0</v>
      </c>
      <c r="H6243">
        <v>7.6</v>
      </c>
      <c r="I6243">
        <v>1.65</v>
      </c>
      <c r="J6243">
        <v>26</v>
      </c>
      <c r="L6243" t="s">
        <v>2709</v>
      </c>
      <c r="M6243">
        <v>60063400</v>
      </c>
      <c r="O6243" t="s">
        <v>19447</v>
      </c>
      <c r="P6243" t="s">
        <v>19899</v>
      </c>
      <c r="Q6243" t="s">
        <v>19900</v>
      </c>
      <c r="R6243" t="s">
        <v>19905</v>
      </c>
      <c r="S6243" t="s">
        <v>19906</v>
      </c>
      <c r="T6243" t="s">
        <v>20108</v>
      </c>
    </row>
    <row r="6244" spans="2:20" x14ac:dyDescent="0.25">
      <c r="B6244" t="s">
        <v>2709</v>
      </c>
      <c r="C6244">
        <v>60064100</v>
      </c>
      <c r="E6244" t="s">
        <v>19447</v>
      </c>
      <c r="F6244">
        <v>18</v>
      </c>
      <c r="G6244">
        <v>0</v>
      </c>
      <c r="H6244">
        <v>7.6</v>
      </c>
      <c r="I6244">
        <v>1.65</v>
      </c>
      <c r="J6244">
        <v>26</v>
      </c>
      <c r="L6244" t="s">
        <v>2709</v>
      </c>
      <c r="M6244">
        <v>60064100</v>
      </c>
      <c r="O6244" t="s">
        <v>19447</v>
      </c>
      <c r="P6244" t="s">
        <v>19899</v>
      </c>
      <c r="Q6244" t="s">
        <v>19900</v>
      </c>
      <c r="R6244" t="s">
        <v>19905</v>
      </c>
      <c r="S6244" t="s">
        <v>19906</v>
      </c>
      <c r="T6244" t="s">
        <v>20108</v>
      </c>
    </row>
    <row r="6245" spans="2:20" x14ac:dyDescent="0.25">
      <c r="B6245" t="s">
        <v>2709</v>
      </c>
      <c r="C6245">
        <v>60064200</v>
      </c>
      <c r="E6245" t="s">
        <v>19447</v>
      </c>
      <c r="F6245">
        <v>18</v>
      </c>
      <c r="G6245">
        <v>0</v>
      </c>
      <c r="H6245">
        <v>7.6</v>
      </c>
      <c r="I6245">
        <v>1.65</v>
      </c>
      <c r="J6245">
        <v>26</v>
      </c>
      <c r="L6245" t="s">
        <v>2709</v>
      </c>
      <c r="M6245">
        <v>60064200</v>
      </c>
      <c r="O6245" t="s">
        <v>19447</v>
      </c>
      <c r="P6245" t="s">
        <v>19899</v>
      </c>
      <c r="Q6245" t="s">
        <v>19900</v>
      </c>
      <c r="R6245" t="s">
        <v>19905</v>
      </c>
      <c r="S6245" t="s">
        <v>19906</v>
      </c>
      <c r="T6245" t="s">
        <v>20108</v>
      </c>
    </row>
    <row r="6246" spans="2:20" x14ac:dyDescent="0.25">
      <c r="B6246" t="s">
        <v>2709</v>
      </c>
      <c r="C6246">
        <v>60064300</v>
      </c>
      <c r="E6246" t="s">
        <v>19447</v>
      </c>
      <c r="F6246">
        <v>18</v>
      </c>
      <c r="G6246">
        <v>0</v>
      </c>
      <c r="H6246">
        <v>7.6</v>
      </c>
      <c r="I6246">
        <v>1.65</v>
      </c>
      <c r="J6246">
        <v>26</v>
      </c>
      <c r="L6246" t="s">
        <v>2709</v>
      </c>
      <c r="M6246">
        <v>60064300</v>
      </c>
      <c r="O6246" t="s">
        <v>19447</v>
      </c>
      <c r="P6246" t="s">
        <v>19899</v>
      </c>
      <c r="Q6246" t="s">
        <v>19900</v>
      </c>
      <c r="R6246" t="s">
        <v>19905</v>
      </c>
      <c r="S6246" t="s">
        <v>19906</v>
      </c>
      <c r="T6246" t="s">
        <v>20108</v>
      </c>
    </row>
    <row r="6247" spans="2:20" x14ac:dyDescent="0.25">
      <c r="B6247" t="s">
        <v>2709</v>
      </c>
      <c r="C6247">
        <v>60064400</v>
      </c>
      <c r="E6247" t="s">
        <v>19447</v>
      </c>
      <c r="F6247">
        <v>18</v>
      </c>
      <c r="G6247">
        <v>0</v>
      </c>
      <c r="H6247">
        <v>7.6</v>
      </c>
      <c r="I6247">
        <v>1.65</v>
      </c>
      <c r="J6247">
        <v>26</v>
      </c>
      <c r="L6247" t="s">
        <v>2709</v>
      </c>
      <c r="M6247">
        <v>60064400</v>
      </c>
      <c r="O6247" t="s">
        <v>19447</v>
      </c>
      <c r="P6247" t="s">
        <v>19899</v>
      </c>
      <c r="Q6247" t="s">
        <v>19900</v>
      </c>
      <c r="R6247" t="s">
        <v>19905</v>
      </c>
      <c r="S6247" t="s">
        <v>19906</v>
      </c>
      <c r="T6247" t="s">
        <v>20108</v>
      </c>
    </row>
    <row r="6248" spans="2:20" x14ac:dyDescent="0.25">
      <c r="B6248" t="s">
        <v>2709</v>
      </c>
      <c r="C6248">
        <v>60069000</v>
      </c>
      <c r="E6248" t="s">
        <v>19447</v>
      </c>
      <c r="F6248">
        <v>18</v>
      </c>
      <c r="G6248">
        <v>0</v>
      </c>
      <c r="H6248">
        <v>7.6</v>
      </c>
      <c r="I6248">
        <v>1.65</v>
      </c>
      <c r="J6248">
        <v>26</v>
      </c>
      <c r="L6248" t="s">
        <v>2709</v>
      </c>
      <c r="M6248">
        <v>60069000</v>
      </c>
      <c r="O6248" t="s">
        <v>19447</v>
      </c>
      <c r="P6248" t="s">
        <v>19899</v>
      </c>
      <c r="Q6248" t="s">
        <v>19900</v>
      </c>
      <c r="R6248" t="s">
        <v>19905</v>
      </c>
      <c r="S6248" t="s">
        <v>19906</v>
      </c>
      <c r="T6248" t="s">
        <v>20108</v>
      </c>
    </row>
    <row r="6249" spans="2:20" x14ac:dyDescent="0.25">
      <c r="B6249" t="s">
        <v>2709</v>
      </c>
      <c r="C6249">
        <v>61012000</v>
      </c>
      <c r="E6249">
        <v>0</v>
      </c>
      <c r="F6249">
        <v>18</v>
      </c>
      <c r="G6249">
        <v>0</v>
      </c>
      <c r="H6249">
        <v>7.6</v>
      </c>
      <c r="I6249">
        <v>1.65</v>
      </c>
      <c r="J6249">
        <v>35</v>
      </c>
      <c r="L6249" t="s">
        <v>2709</v>
      </c>
      <c r="M6249">
        <v>61012000</v>
      </c>
      <c r="O6249" t="s">
        <v>19900</v>
      </c>
      <c r="P6249" t="s">
        <v>19899</v>
      </c>
      <c r="Q6249" t="s">
        <v>19900</v>
      </c>
      <c r="R6249" t="s">
        <v>19905</v>
      </c>
      <c r="S6249" t="s">
        <v>19906</v>
      </c>
      <c r="T6249" t="s">
        <v>19919</v>
      </c>
    </row>
    <row r="6250" spans="2:20" x14ac:dyDescent="0.25">
      <c r="B6250" t="s">
        <v>2709</v>
      </c>
      <c r="C6250">
        <v>61013000</v>
      </c>
      <c r="E6250">
        <v>0</v>
      </c>
      <c r="F6250">
        <v>18</v>
      </c>
      <c r="G6250">
        <v>0</v>
      </c>
      <c r="H6250">
        <v>7.6</v>
      </c>
      <c r="I6250">
        <v>1.65</v>
      </c>
      <c r="J6250">
        <v>35</v>
      </c>
      <c r="L6250" t="s">
        <v>2709</v>
      </c>
      <c r="M6250">
        <v>61013000</v>
      </c>
      <c r="O6250" t="s">
        <v>19900</v>
      </c>
      <c r="P6250" t="s">
        <v>19899</v>
      </c>
      <c r="Q6250" t="s">
        <v>19900</v>
      </c>
      <c r="R6250" t="s">
        <v>19905</v>
      </c>
      <c r="S6250" t="s">
        <v>19906</v>
      </c>
      <c r="T6250" t="s">
        <v>19919</v>
      </c>
    </row>
    <row r="6251" spans="2:20" x14ac:dyDescent="0.25">
      <c r="B6251" t="s">
        <v>2709</v>
      </c>
      <c r="C6251">
        <v>61019010</v>
      </c>
      <c r="E6251">
        <v>0</v>
      </c>
      <c r="F6251">
        <v>18</v>
      </c>
      <c r="G6251">
        <v>0</v>
      </c>
      <c r="H6251">
        <v>7.6</v>
      </c>
      <c r="I6251">
        <v>1.65</v>
      </c>
      <c r="J6251">
        <v>35</v>
      </c>
      <c r="L6251" t="s">
        <v>2709</v>
      </c>
      <c r="M6251">
        <v>61019010</v>
      </c>
      <c r="O6251" t="s">
        <v>19900</v>
      </c>
      <c r="P6251" t="s">
        <v>19899</v>
      </c>
      <c r="Q6251" t="s">
        <v>19900</v>
      </c>
      <c r="R6251" t="s">
        <v>19905</v>
      </c>
      <c r="S6251" t="s">
        <v>19906</v>
      </c>
      <c r="T6251" t="s">
        <v>19919</v>
      </c>
    </row>
    <row r="6252" spans="2:20" x14ac:dyDescent="0.25">
      <c r="B6252" t="s">
        <v>2709</v>
      </c>
      <c r="C6252">
        <v>61019090</v>
      </c>
      <c r="E6252">
        <v>0</v>
      </c>
      <c r="F6252">
        <v>18</v>
      </c>
      <c r="G6252">
        <v>0</v>
      </c>
      <c r="H6252">
        <v>7.6</v>
      </c>
      <c r="I6252">
        <v>1.65</v>
      </c>
      <c r="J6252">
        <v>35</v>
      </c>
      <c r="L6252" t="s">
        <v>2709</v>
      </c>
      <c r="M6252">
        <v>61019090</v>
      </c>
      <c r="O6252" t="s">
        <v>19900</v>
      </c>
      <c r="P6252" t="s">
        <v>19899</v>
      </c>
      <c r="Q6252" t="s">
        <v>19900</v>
      </c>
      <c r="R6252" t="s">
        <v>19905</v>
      </c>
      <c r="S6252" t="s">
        <v>19906</v>
      </c>
      <c r="T6252" t="s">
        <v>19919</v>
      </c>
    </row>
    <row r="6253" spans="2:20" x14ac:dyDescent="0.25">
      <c r="B6253" t="s">
        <v>2709</v>
      </c>
      <c r="C6253">
        <v>61021000</v>
      </c>
      <c r="E6253">
        <v>0</v>
      </c>
      <c r="F6253">
        <v>18</v>
      </c>
      <c r="G6253">
        <v>0</v>
      </c>
      <c r="H6253">
        <v>7.6</v>
      </c>
      <c r="I6253">
        <v>1.65</v>
      </c>
      <c r="J6253">
        <v>35</v>
      </c>
      <c r="L6253" t="s">
        <v>2709</v>
      </c>
      <c r="M6253">
        <v>61021000</v>
      </c>
      <c r="O6253" t="s">
        <v>19900</v>
      </c>
      <c r="P6253" t="s">
        <v>19899</v>
      </c>
      <c r="Q6253" t="s">
        <v>19900</v>
      </c>
      <c r="R6253" t="s">
        <v>19905</v>
      </c>
      <c r="S6253" t="s">
        <v>19906</v>
      </c>
      <c r="T6253" t="s">
        <v>19919</v>
      </c>
    </row>
    <row r="6254" spans="2:20" x14ac:dyDescent="0.25">
      <c r="B6254" t="s">
        <v>2709</v>
      </c>
      <c r="C6254">
        <v>61022000</v>
      </c>
      <c r="E6254">
        <v>0</v>
      </c>
      <c r="F6254">
        <v>18</v>
      </c>
      <c r="G6254">
        <v>0</v>
      </c>
      <c r="H6254">
        <v>7.6</v>
      </c>
      <c r="I6254">
        <v>1.65</v>
      </c>
      <c r="J6254">
        <v>35</v>
      </c>
      <c r="L6254" t="s">
        <v>2709</v>
      </c>
      <c r="M6254">
        <v>61022000</v>
      </c>
      <c r="O6254" t="s">
        <v>19900</v>
      </c>
      <c r="P6254" t="s">
        <v>19899</v>
      </c>
      <c r="Q6254" t="s">
        <v>19900</v>
      </c>
      <c r="R6254" t="s">
        <v>19905</v>
      </c>
      <c r="S6254" t="s">
        <v>19906</v>
      </c>
      <c r="T6254" t="s">
        <v>19919</v>
      </c>
    </row>
    <row r="6255" spans="2:20" x14ac:dyDescent="0.25">
      <c r="B6255" t="s">
        <v>2709</v>
      </c>
      <c r="C6255">
        <v>61023000</v>
      </c>
      <c r="E6255">
        <v>0</v>
      </c>
      <c r="F6255">
        <v>18</v>
      </c>
      <c r="G6255">
        <v>0</v>
      </c>
      <c r="H6255">
        <v>7.6</v>
      </c>
      <c r="I6255">
        <v>1.65</v>
      </c>
      <c r="J6255">
        <v>35</v>
      </c>
      <c r="L6255" t="s">
        <v>2709</v>
      </c>
      <c r="M6255">
        <v>61023000</v>
      </c>
      <c r="O6255" t="s">
        <v>19900</v>
      </c>
      <c r="P6255" t="s">
        <v>19899</v>
      </c>
      <c r="Q6255" t="s">
        <v>19900</v>
      </c>
      <c r="R6255" t="s">
        <v>19905</v>
      </c>
      <c r="S6255" t="s">
        <v>19906</v>
      </c>
      <c r="T6255" t="s">
        <v>19919</v>
      </c>
    </row>
    <row r="6256" spans="2:20" x14ac:dyDescent="0.25">
      <c r="B6256" t="s">
        <v>2709</v>
      </c>
      <c r="C6256">
        <v>61029000</v>
      </c>
      <c r="E6256">
        <v>0</v>
      </c>
      <c r="F6256">
        <v>18</v>
      </c>
      <c r="G6256">
        <v>0</v>
      </c>
      <c r="H6256">
        <v>7.6</v>
      </c>
      <c r="I6256">
        <v>1.65</v>
      </c>
      <c r="J6256">
        <v>35</v>
      </c>
      <c r="L6256" t="s">
        <v>2709</v>
      </c>
      <c r="M6256">
        <v>61029000</v>
      </c>
      <c r="O6256" t="s">
        <v>19900</v>
      </c>
      <c r="P6256" t="s">
        <v>19899</v>
      </c>
      <c r="Q6256" t="s">
        <v>19900</v>
      </c>
      <c r="R6256" t="s">
        <v>19905</v>
      </c>
      <c r="S6256" t="s">
        <v>19906</v>
      </c>
      <c r="T6256" t="s">
        <v>19919</v>
      </c>
    </row>
    <row r="6257" spans="2:20" x14ac:dyDescent="0.25">
      <c r="B6257" t="s">
        <v>2709</v>
      </c>
      <c r="C6257">
        <v>61031010</v>
      </c>
      <c r="E6257">
        <v>0</v>
      </c>
      <c r="F6257">
        <v>18</v>
      </c>
      <c r="G6257">
        <v>0</v>
      </c>
      <c r="H6257">
        <v>7.6</v>
      </c>
      <c r="I6257">
        <v>1.65</v>
      </c>
      <c r="J6257">
        <v>35</v>
      </c>
      <c r="L6257" t="s">
        <v>2709</v>
      </c>
      <c r="M6257">
        <v>61031010</v>
      </c>
      <c r="O6257" t="s">
        <v>19900</v>
      </c>
      <c r="P6257" t="s">
        <v>19899</v>
      </c>
      <c r="Q6257" t="s">
        <v>19900</v>
      </c>
      <c r="R6257" t="s">
        <v>19905</v>
      </c>
      <c r="S6257" t="s">
        <v>19906</v>
      </c>
      <c r="T6257" t="s">
        <v>19919</v>
      </c>
    </row>
    <row r="6258" spans="2:20" x14ac:dyDescent="0.25">
      <c r="B6258" t="s">
        <v>2709</v>
      </c>
      <c r="C6258">
        <v>61031020</v>
      </c>
      <c r="E6258">
        <v>0</v>
      </c>
      <c r="F6258">
        <v>18</v>
      </c>
      <c r="G6258">
        <v>0</v>
      </c>
      <c r="H6258">
        <v>7.6</v>
      </c>
      <c r="I6258">
        <v>1.65</v>
      </c>
      <c r="J6258">
        <v>35</v>
      </c>
      <c r="L6258" t="s">
        <v>2709</v>
      </c>
      <c r="M6258">
        <v>61031020</v>
      </c>
      <c r="O6258" t="s">
        <v>19900</v>
      </c>
      <c r="P6258" t="s">
        <v>19899</v>
      </c>
      <c r="Q6258" t="s">
        <v>19900</v>
      </c>
      <c r="R6258" t="s">
        <v>19905</v>
      </c>
      <c r="S6258" t="s">
        <v>19906</v>
      </c>
      <c r="T6258" t="s">
        <v>19919</v>
      </c>
    </row>
    <row r="6259" spans="2:20" x14ac:dyDescent="0.25">
      <c r="B6259" t="s">
        <v>2709</v>
      </c>
      <c r="C6259">
        <v>61031090</v>
      </c>
      <c r="E6259">
        <v>0</v>
      </c>
      <c r="F6259">
        <v>18</v>
      </c>
      <c r="G6259">
        <v>0</v>
      </c>
      <c r="H6259">
        <v>7.6</v>
      </c>
      <c r="I6259">
        <v>1.65</v>
      </c>
      <c r="J6259">
        <v>35</v>
      </c>
      <c r="L6259" t="s">
        <v>2709</v>
      </c>
      <c r="M6259">
        <v>61031090</v>
      </c>
      <c r="O6259" t="s">
        <v>19900</v>
      </c>
      <c r="P6259" t="s">
        <v>19899</v>
      </c>
      <c r="Q6259" t="s">
        <v>19900</v>
      </c>
      <c r="R6259" t="s">
        <v>19905</v>
      </c>
      <c r="S6259" t="s">
        <v>19906</v>
      </c>
      <c r="T6259" t="s">
        <v>19919</v>
      </c>
    </row>
    <row r="6260" spans="2:20" x14ac:dyDescent="0.25">
      <c r="B6260" t="s">
        <v>2709</v>
      </c>
      <c r="C6260">
        <v>61032200</v>
      </c>
      <c r="E6260">
        <v>0</v>
      </c>
      <c r="F6260">
        <v>18</v>
      </c>
      <c r="G6260">
        <v>0</v>
      </c>
      <c r="H6260">
        <v>7.6</v>
      </c>
      <c r="I6260">
        <v>1.65</v>
      </c>
      <c r="J6260">
        <v>35</v>
      </c>
      <c r="L6260" t="s">
        <v>2709</v>
      </c>
      <c r="M6260">
        <v>61032200</v>
      </c>
      <c r="O6260" t="s">
        <v>19900</v>
      </c>
      <c r="P6260" t="s">
        <v>19899</v>
      </c>
      <c r="Q6260" t="s">
        <v>19900</v>
      </c>
      <c r="R6260" t="s">
        <v>19905</v>
      </c>
      <c r="S6260" t="s">
        <v>19906</v>
      </c>
      <c r="T6260" t="s">
        <v>19919</v>
      </c>
    </row>
    <row r="6261" spans="2:20" x14ac:dyDescent="0.25">
      <c r="B6261" t="s">
        <v>2709</v>
      </c>
      <c r="C6261">
        <v>61032300</v>
      </c>
      <c r="E6261">
        <v>0</v>
      </c>
      <c r="F6261">
        <v>18</v>
      </c>
      <c r="G6261">
        <v>0</v>
      </c>
      <c r="H6261">
        <v>7.6</v>
      </c>
      <c r="I6261">
        <v>1.65</v>
      </c>
      <c r="J6261">
        <v>35</v>
      </c>
      <c r="L6261" t="s">
        <v>2709</v>
      </c>
      <c r="M6261">
        <v>61032300</v>
      </c>
      <c r="O6261" t="s">
        <v>19900</v>
      </c>
      <c r="P6261" t="s">
        <v>19899</v>
      </c>
      <c r="Q6261" t="s">
        <v>19900</v>
      </c>
      <c r="R6261" t="s">
        <v>19905</v>
      </c>
      <c r="S6261" t="s">
        <v>19906</v>
      </c>
      <c r="T6261" t="s">
        <v>19919</v>
      </c>
    </row>
    <row r="6262" spans="2:20" x14ac:dyDescent="0.25">
      <c r="B6262" t="s">
        <v>2709</v>
      </c>
      <c r="C6262">
        <v>61032910</v>
      </c>
      <c r="E6262">
        <v>0</v>
      </c>
      <c r="F6262">
        <v>18</v>
      </c>
      <c r="G6262">
        <v>0</v>
      </c>
      <c r="H6262">
        <v>7.6</v>
      </c>
      <c r="I6262">
        <v>1.65</v>
      </c>
      <c r="J6262">
        <v>35</v>
      </c>
      <c r="L6262" t="s">
        <v>2709</v>
      </c>
      <c r="M6262">
        <v>61032910</v>
      </c>
      <c r="O6262" t="s">
        <v>19900</v>
      </c>
      <c r="P6262" t="s">
        <v>19899</v>
      </c>
      <c r="Q6262" t="s">
        <v>19900</v>
      </c>
      <c r="R6262" t="s">
        <v>19905</v>
      </c>
      <c r="S6262" t="s">
        <v>19906</v>
      </c>
      <c r="T6262" t="s">
        <v>19919</v>
      </c>
    </row>
    <row r="6263" spans="2:20" x14ac:dyDescent="0.25">
      <c r="B6263" t="s">
        <v>2709</v>
      </c>
      <c r="C6263">
        <v>61032990</v>
      </c>
      <c r="E6263">
        <v>0</v>
      </c>
      <c r="F6263">
        <v>18</v>
      </c>
      <c r="G6263">
        <v>0</v>
      </c>
      <c r="H6263">
        <v>7.6</v>
      </c>
      <c r="I6263">
        <v>1.65</v>
      </c>
      <c r="J6263">
        <v>35</v>
      </c>
      <c r="L6263" t="s">
        <v>2709</v>
      </c>
      <c r="M6263">
        <v>61032990</v>
      </c>
      <c r="O6263" t="s">
        <v>19900</v>
      </c>
      <c r="P6263" t="s">
        <v>19899</v>
      </c>
      <c r="Q6263" t="s">
        <v>19900</v>
      </c>
      <c r="R6263" t="s">
        <v>19905</v>
      </c>
      <c r="S6263" t="s">
        <v>19906</v>
      </c>
      <c r="T6263" t="s">
        <v>19919</v>
      </c>
    </row>
    <row r="6264" spans="2:20" x14ac:dyDescent="0.25">
      <c r="B6264" t="s">
        <v>2709</v>
      </c>
      <c r="C6264">
        <v>61033100</v>
      </c>
      <c r="E6264">
        <v>0</v>
      </c>
      <c r="F6264">
        <v>18</v>
      </c>
      <c r="G6264">
        <v>0</v>
      </c>
      <c r="H6264">
        <v>7.6</v>
      </c>
      <c r="I6264">
        <v>1.65</v>
      </c>
      <c r="J6264">
        <v>35</v>
      </c>
      <c r="L6264" t="s">
        <v>2709</v>
      </c>
      <c r="M6264">
        <v>61033100</v>
      </c>
      <c r="O6264" t="s">
        <v>19900</v>
      </c>
      <c r="P6264" t="s">
        <v>19899</v>
      </c>
      <c r="Q6264" t="s">
        <v>19900</v>
      </c>
      <c r="R6264" t="s">
        <v>19905</v>
      </c>
      <c r="S6264" t="s">
        <v>19906</v>
      </c>
      <c r="T6264" t="s">
        <v>19919</v>
      </c>
    </row>
    <row r="6265" spans="2:20" x14ac:dyDescent="0.25">
      <c r="B6265" t="s">
        <v>2709</v>
      </c>
      <c r="C6265">
        <v>61033200</v>
      </c>
      <c r="E6265">
        <v>0</v>
      </c>
      <c r="F6265">
        <v>18</v>
      </c>
      <c r="G6265">
        <v>0</v>
      </c>
      <c r="H6265">
        <v>7.6</v>
      </c>
      <c r="I6265">
        <v>1.65</v>
      </c>
      <c r="J6265">
        <v>35</v>
      </c>
      <c r="L6265" t="s">
        <v>2709</v>
      </c>
      <c r="M6265">
        <v>61033200</v>
      </c>
      <c r="O6265" t="s">
        <v>19900</v>
      </c>
      <c r="P6265" t="s">
        <v>19899</v>
      </c>
      <c r="Q6265" t="s">
        <v>19900</v>
      </c>
      <c r="R6265" t="s">
        <v>19905</v>
      </c>
      <c r="S6265" t="s">
        <v>19906</v>
      </c>
      <c r="T6265" t="s">
        <v>19919</v>
      </c>
    </row>
    <row r="6266" spans="2:20" x14ac:dyDescent="0.25">
      <c r="B6266" t="s">
        <v>2709</v>
      </c>
      <c r="C6266">
        <v>61033300</v>
      </c>
      <c r="E6266">
        <v>0</v>
      </c>
      <c r="F6266">
        <v>18</v>
      </c>
      <c r="G6266">
        <v>0</v>
      </c>
      <c r="H6266">
        <v>7.6</v>
      </c>
      <c r="I6266">
        <v>1.65</v>
      </c>
      <c r="J6266">
        <v>35</v>
      </c>
      <c r="L6266" t="s">
        <v>2709</v>
      </c>
      <c r="M6266">
        <v>61033300</v>
      </c>
      <c r="O6266" t="s">
        <v>19900</v>
      </c>
      <c r="P6266" t="s">
        <v>19899</v>
      </c>
      <c r="Q6266" t="s">
        <v>19900</v>
      </c>
      <c r="R6266" t="s">
        <v>19905</v>
      </c>
      <c r="S6266" t="s">
        <v>19906</v>
      </c>
      <c r="T6266" t="s">
        <v>19919</v>
      </c>
    </row>
    <row r="6267" spans="2:20" x14ac:dyDescent="0.25">
      <c r="B6267" t="s">
        <v>2709</v>
      </c>
      <c r="C6267">
        <v>61033900</v>
      </c>
      <c r="E6267">
        <v>0</v>
      </c>
      <c r="F6267">
        <v>18</v>
      </c>
      <c r="G6267">
        <v>0</v>
      </c>
      <c r="H6267">
        <v>7.6</v>
      </c>
      <c r="I6267">
        <v>1.65</v>
      </c>
      <c r="J6267">
        <v>35</v>
      </c>
      <c r="L6267" t="s">
        <v>2709</v>
      </c>
      <c r="M6267">
        <v>61033900</v>
      </c>
      <c r="O6267" t="s">
        <v>19900</v>
      </c>
      <c r="P6267" t="s">
        <v>19899</v>
      </c>
      <c r="Q6267" t="s">
        <v>19900</v>
      </c>
      <c r="R6267" t="s">
        <v>19905</v>
      </c>
      <c r="S6267" t="s">
        <v>19906</v>
      </c>
      <c r="T6267" t="s">
        <v>19919</v>
      </c>
    </row>
    <row r="6268" spans="2:20" x14ac:dyDescent="0.25">
      <c r="B6268" t="s">
        <v>2709</v>
      </c>
      <c r="C6268">
        <v>61034100</v>
      </c>
      <c r="E6268">
        <v>0</v>
      </c>
      <c r="F6268">
        <v>18</v>
      </c>
      <c r="G6268">
        <v>0</v>
      </c>
      <c r="H6268">
        <v>7.6</v>
      </c>
      <c r="I6268">
        <v>1.65</v>
      </c>
      <c r="J6268">
        <v>35</v>
      </c>
      <c r="L6268" t="s">
        <v>2709</v>
      </c>
      <c r="M6268">
        <v>61034100</v>
      </c>
      <c r="O6268" t="s">
        <v>19900</v>
      </c>
      <c r="P6268" t="s">
        <v>19899</v>
      </c>
      <c r="Q6268" t="s">
        <v>19900</v>
      </c>
      <c r="R6268" t="s">
        <v>19905</v>
      </c>
      <c r="S6268" t="s">
        <v>19906</v>
      </c>
      <c r="T6268" t="s">
        <v>19919</v>
      </c>
    </row>
    <row r="6269" spans="2:20" x14ac:dyDescent="0.25">
      <c r="B6269" t="s">
        <v>2709</v>
      </c>
      <c r="C6269">
        <v>61034200</v>
      </c>
      <c r="E6269">
        <v>0</v>
      </c>
      <c r="F6269">
        <v>18</v>
      </c>
      <c r="G6269">
        <v>0</v>
      </c>
      <c r="H6269">
        <v>7.6</v>
      </c>
      <c r="I6269">
        <v>1.65</v>
      </c>
      <c r="J6269">
        <v>35</v>
      </c>
      <c r="L6269" t="s">
        <v>2709</v>
      </c>
      <c r="M6269">
        <v>61034200</v>
      </c>
      <c r="O6269" t="s">
        <v>19900</v>
      </c>
      <c r="P6269" t="s">
        <v>19899</v>
      </c>
      <c r="Q6269" t="s">
        <v>19900</v>
      </c>
      <c r="R6269" t="s">
        <v>19905</v>
      </c>
      <c r="S6269" t="s">
        <v>19906</v>
      </c>
      <c r="T6269" t="s">
        <v>19919</v>
      </c>
    </row>
    <row r="6270" spans="2:20" x14ac:dyDescent="0.25">
      <c r="B6270" t="s">
        <v>2709</v>
      </c>
      <c r="C6270">
        <v>61034300</v>
      </c>
      <c r="E6270">
        <v>0</v>
      </c>
      <c r="F6270">
        <v>18</v>
      </c>
      <c r="G6270">
        <v>0</v>
      </c>
      <c r="H6270">
        <v>7.6</v>
      </c>
      <c r="I6270">
        <v>1.65</v>
      </c>
      <c r="J6270">
        <v>35</v>
      </c>
      <c r="L6270" t="s">
        <v>2709</v>
      </c>
      <c r="M6270">
        <v>61034300</v>
      </c>
      <c r="O6270" t="s">
        <v>19900</v>
      </c>
      <c r="P6270" t="s">
        <v>19899</v>
      </c>
      <c r="Q6270" t="s">
        <v>19900</v>
      </c>
      <c r="R6270" t="s">
        <v>19905</v>
      </c>
      <c r="S6270" t="s">
        <v>19906</v>
      </c>
      <c r="T6270" t="s">
        <v>19919</v>
      </c>
    </row>
    <row r="6271" spans="2:20" x14ac:dyDescent="0.25">
      <c r="B6271" t="s">
        <v>2709</v>
      </c>
      <c r="C6271">
        <v>61034900</v>
      </c>
      <c r="E6271">
        <v>0</v>
      </c>
      <c r="F6271">
        <v>18</v>
      </c>
      <c r="G6271">
        <v>0</v>
      </c>
      <c r="H6271">
        <v>7.6</v>
      </c>
      <c r="I6271">
        <v>1.65</v>
      </c>
      <c r="J6271">
        <v>35</v>
      </c>
      <c r="L6271" t="s">
        <v>2709</v>
      </c>
      <c r="M6271">
        <v>61034900</v>
      </c>
      <c r="O6271" t="s">
        <v>19900</v>
      </c>
      <c r="P6271" t="s">
        <v>19899</v>
      </c>
      <c r="Q6271" t="s">
        <v>19900</v>
      </c>
      <c r="R6271" t="s">
        <v>19905</v>
      </c>
      <c r="S6271" t="s">
        <v>19906</v>
      </c>
      <c r="T6271" t="s">
        <v>19919</v>
      </c>
    </row>
    <row r="6272" spans="2:20" x14ac:dyDescent="0.25">
      <c r="B6272" t="s">
        <v>2709</v>
      </c>
      <c r="C6272">
        <v>61041300</v>
      </c>
      <c r="E6272">
        <v>0</v>
      </c>
      <c r="F6272">
        <v>18</v>
      </c>
      <c r="G6272">
        <v>0</v>
      </c>
      <c r="H6272">
        <v>7.6</v>
      </c>
      <c r="I6272">
        <v>1.65</v>
      </c>
      <c r="J6272">
        <v>35</v>
      </c>
      <c r="L6272" t="s">
        <v>2709</v>
      </c>
      <c r="M6272">
        <v>61041300</v>
      </c>
      <c r="O6272" t="s">
        <v>19900</v>
      </c>
      <c r="P6272" t="s">
        <v>19899</v>
      </c>
      <c r="Q6272" t="s">
        <v>19900</v>
      </c>
      <c r="R6272" t="s">
        <v>19905</v>
      </c>
      <c r="S6272" t="s">
        <v>19906</v>
      </c>
      <c r="T6272" t="s">
        <v>19919</v>
      </c>
    </row>
    <row r="6273" spans="2:20" x14ac:dyDescent="0.25">
      <c r="B6273" t="s">
        <v>2709</v>
      </c>
      <c r="C6273">
        <v>61041910</v>
      </c>
      <c r="E6273">
        <v>0</v>
      </c>
      <c r="F6273">
        <v>18</v>
      </c>
      <c r="G6273">
        <v>0</v>
      </c>
      <c r="H6273">
        <v>7.6</v>
      </c>
      <c r="I6273">
        <v>1.65</v>
      </c>
      <c r="J6273">
        <v>35</v>
      </c>
      <c r="L6273" t="s">
        <v>2709</v>
      </c>
      <c r="M6273">
        <v>61041910</v>
      </c>
      <c r="O6273" t="s">
        <v>19900</v>
      </c>
      <c r="P6273" t="s">
        <v>19899</v>
      </c>
      <c r="Q6273" t="s">
        <v>19900</v>
      </c>
      <c r="R6273" t="s">
        <v>19905</v>
      </c>
      <c r="S6273" t="s">
        <v>19906</v>
      </c>
      <c r="T6273" t="s">
        <v>19919</v>
      </c>
    </row>
    <row r="6274" spans="2:20" x14ac:dyDescent="0.25">
      <c r="B6274" t="s">
        <v>2709</v>
      </c>
      <c r="C6274">
        <v>61041920</v>
      </c>
      <c r="E6274">
        <v>0</v>
      </c>
      <c r="F6274">
        <v>18</v>
      </c>
      <c r="G6274">
        <v>0</v>
      </c>
      <c r="H6274">
        <v>7.6</v>
      </c>
      <c r="I6274">
        <v>1.65</v>
      </c>
      <c r="J6274">
        <v>35</v>
      </c>
      <c r="L6274" t="s">
        <v>2709</v>
      </c>
      <c r="M6274">
        <v>61041920</v>
      </c>
      <c r="O6274" t="s">
        <v>19900</v>
      </c>
      <c r="P6274" t="s">
        <v>19899</v>
      </c>
      <c r="Q6274" t="s">
        <v>19900</v>
      </c>
      <c r="R6274" t="s">
        <v>19905</v>
      </c>
      <c r="S6274" t="s">
        <v>19906</v>
      </c>
      <c r="T6274" t="s">
        <v>19919</v>
      </c>
    </row>
    <row r="6275" spans="2:20" x14ac:dyDescent="0.25">
      <c r="B6275" t="s">
        <v>2709</v>
      </c>
      <c r="C6275">
        <v>61041990</v>
      </c>
      <c r="E6275">
        <v>0</v>
      </c>
      <c r="F6275">
        <v>18</v>
      </c>
      <c r="G6275">
        <v>0</v>
      </c>
      <c r="H6275">
        <v>7.6</v>
      </c>
      <c r="I6275">
        <v>1.65</v>
      </c>
      <c r="J6275">
        <v>35</v>
      </c>
      <c r="L6275" t="s">
        <v>2709</v>
      </c>
      <c r="M6275">
        <v>61041990</v>
      </c>
      <c r="O6275" t="s">
        <v>19900</v>
      </c>
      <c r="P6275" t="s">
        <v>19899</v>
      </c>
      <c r="Q6275" t="s">
        <v>19900</v>
      </c>
      <c r="R6275" t="s">
        <v>19905</v>
      </c>
      <c r="S6275" t="s">
        <v>19906</v>
      </c>
      <c r="T6275" t="s">
        <v>19919</v>
      </c>
    </row>
    <row r="6276" spans="2:20" x14ac:dyDescent="0.25">
      <c r="B6276" t="s">
        <v>2709</v>
      </c>
      <c r="C6276">
        <v>61042200</v>
      </c>
      <c r="E6276">
        <v>0</v>
      </c>
      <c r="F6276">
        <v>18</v>
      </c>
      <c r="G6276">
        <v>0</v>
      </c>
      <c r="H6276">
        <v>7.6</v>
      </c>
      <c r="I6276">
        <v>1.65</v>
      </c>
      <c r="J6276">
        <v>35</v>
      </c>
      <c r="L6276" t="s">
        <v>2709</v>
      </c>
      <c r="M6276">
        <v>61042200</v>
      </c>
      <c r="O6276" t="s">
        <v>19900</v>
      </c>
      <c r="P6276" t="s">
        <v>19899</v>
      </c>
      <c r="Q6276" t="s">
        <v>19900</v>
      </c>
      <c r="R6276" t="s">
        <v>19905</v>
      </c>
      <c r="S6276" t="s">
        <v>19906</v>
      </c>
      <c r="T6276" t="s">
        <v>19919</v>
      </c>
    </row>
    <row r="6277" spans="2:20" x14ac:dyDescent="0.25">
      <c r="B6277" t="s">
        <v>2709</v>
      </c>
      <c r="C6277">
        <v>61042300</v>
      </c>
      <c r="E6277">
        <v>0</v>
      </c>
      <c r="F6277">
        <v>18</v>
      </c>
      <c r="G6277">
        <v>0</v>
      </c>
      <c r="H6277">
        <v>7.6</v>
      </c>
      <c r="I6277">
        <v>1.65</v>
      </c>
      <c r="J6277">
        <v>35</v>
      </c>
      <c r="L6277" t="s">
        <v>2709</v>
      </c>
      <c r="M6277">
        <v>61042300</v>
      </c>
      <c r="O6277" t="s">
        <v>19900</v>
      </c>
      <c r="P6277" t="s">
        <v>19899</v>
      </c>
      <c r="Q6277" t="s">
        <v>19900</v>
      </c>
      <c r="R6277" t="s">
        <v>19905</v>
      </c>
      <c r="S6277" t="s">
        <v>19906</v>
      </c>
      <c r="T6277" t="s">
        <v>19919</v>
      </c>
    </row>
    <row r="6278" spans="2:20" x14ac:dyDescent="0.25">
      <c r="B6278" t="s">
        <v>2709</v>
      </c>
      <c r="C6278">
        <v>61042910</v>
      </c>
      <c r="E6278">
        <v>0</v>
      </c>
      <c r="F6278">
        <v>18</v>
      </c>
      <c r="G6278">
        <v>0</v>
      </c>
      <c r="H6278">
        <v>7.6</v>
      </c>
      <c r="I6278">
        <v>1.65</v>
      </c>
      <c r="J6278">
        <v>35</v>
      </c>
      <c r="L6278" t="s">
        <v>2709</v>
      </c>
      <c r="M6278">
        <v>61042910</v>
      </c>
      <c r="O6278" t="s">
        <v>19900</v>
      </c>
      <c r="P6278" t="s">
        <v>19899</v>
      </c>
      <c r="Q6278" t="s">
        <v>19900</v>
      </c>
      <c r="R6278" t="s">
        <v>19905</v>
      </c>
      <c r="S6278" t="s">
        <v>19906</v>
      </c>
      <c r="T6278" t="s">
        <v>19919</v>
      </c>
    </row>
    <row r="6279" spans="2:20" x14ac:dyDescent="0.25">
      <c r="B6279" t="s">
        <v>2709</v>
      </c>
      <c r="C6279">
        <v>61042990</v>
      </c>
      <c r="E6279">
        <v>0</v>
      </c>
      <c r="F6279">
        <v>18</v>
      </c>
      <c r="G6279">
        <v>0</v>
      </c>
      <c r="H6279">
        <v>7.6</v>
      </c>
      <c r="I6279">
        <v>1.65</v>
      </c>
      <c r="J6279">
        <v>35</v>
      </c>
      <c r="L6279" t="s">
        <v>2709</v>
      </c>
      <c r="M6279">
        <v>61042990</v>
      </c>
      <c r="O6279" t="s">
        <v>19900</v>
      </c>
      <c r="P6279" t="s">
        <v>19899</v>
      </c>
      <c r="Q6279" t="s">
        <v>19900</v>
      </c>
      <c r="R6279" t="s">
        <v>19905</v>
      </c>
      <c r="S6279" t="s">
        <v>19906</v>
      </c>
      <c r="T6279" t="s">
        <v>19919</v>
      </c>
    </row>
    <row r="6280" spans="2:20" x14ac:dyDescent="0.25">
      <c r="B6280" t="s">
        <v>2709</v>
      </c>
      <c r="C6280">
        <v>61043100</v>
      </c>
      <c r="E6280">
        <v>0</v>
      </c>
      <c r="F6280">
        <v>18</v>
      </c>
      <c r="G6280">
        <v>0</v>
      </c>
      <c r="H6280">
        <v>7.6</v>
      </c>
      <c r="I6280">
        <v>1.65</v>
      </c>
      <c r="J6280">
        <v>35</v>
      </c>
      <c r="L6280" t="s">
        <v>2709</v>
      </c>
      <c r="M6280">
        <v>61043100</v>
      </c>
      <c r="O6280" t="s">
        <v>19900</v>
      </c>
      <c r="P6280" t="s">
        <v>19899</v>
      </c>
      <c r="Q6280" t="s">
        <v>19900</v>
      </c>
      <c r="R6280" t="s">
        <v>19905</v>
      </c>
      <c r="S6280" t="s">
        <v>19906</v>
      </c>
      <c r="T6280" t="s">
        <v>19919</v>
      </c>
    </row>
    <row r="6281" spans="2:20" x14ac:dyDescent="0.25">
      <c r="B6281" t="s">
        <v>2709</v>
      </c>
      <c r="C6281">
        <v>61043200</v>
      </c>
      <c r="E6281">
        <v>0</v>
      </c>
      <c r="F6281">
        <v>18</v>
      </c>
      <c r="G6281">
        <v>0</v>
      </c>
      <c r="H6281">
        <v>7.6</v>
      </c>
      <c r="I6281">
        <v>1.65</v>
      </c>
      <c r="J6281">
        <v>35</v>
      </c>
      <c r="L6281" t="s">
        <v>2709</v>
      </c>
      <c r="M6281">
        <v>61043200</v>
      </c>
      <c r="O6281" t="s">
        <v>19900</v>
      </c>
      <c r="P6281" t="s">
        <v>19899</v>
      </c>
      <c r="Q6281" t="s">
        <v>19900</v>
      </c>
      <c r="R6281" t="s">
        <v>19905</v>
      </c>
      <c r="S6281" t="s">
        <v>19906</v>
      </c>
      <c r="T6281" t="s">
        <v>19919</v>
      </c>
    </row>
    <row r="6282" spans="2:20" x14ac:dyDescent="0.25">
      <c r="B6282" t="s">
        <v>2709</v>
      </c>
      <c r="C6282">
        <v>61043300</v>
      </c>
      <c r="E6282">
        <v>0</v>
      </c>
      <c r="F6282">
        <v>18</v>
      </c>
      <c r="G6282">
        <v>0</v>
      </c>
      <c r="H6282">
        <v>7.6</v>
      </c>
      <c r="I6282">
        <v>1.65</v>
      </c>
      <c r="J6282">
        <v>35</v>
      </c>
      <c r="L6282" t="s">
        <v>2709</v>
      </c>
      <c r="M6282">
        <v>61043300</v>
      </c>
      <c r="O6282" t="s">
        <v>19900</v>
      </c>
      <c r="P6282" t="s">
        <v>19899</v>
      </c>
      <c r="Q6282" t="s">
        <v>19900</v>
      </c>
      <c r="R6282" t="s">
        <v>19905</v>
      </c>
      <c r="S6282" t="s">
        <v>19906</v>
      </c>
      <c r="T6282" t="s">
        <v>19919</v>
      </c>
    </row>
    <row r="6283" spans="2:20" x14ac:dyDescent="0.25">
      <c r="B6283" t="s">
        <v>2709</v>
      </c>
      <c r="C6283">
        <v>61043900</v>
      </c>
      <c r="E6283">
        <v>0</v>
      </c>
      <c r="F6283">
        <v>18</v>
      </c>
      <c r="G6283">
        <v>0</v>
      </c>
      <c r="H6283">
        <v>7.6</v>
      </c>
      <c r="I6283">
        <v>1.65</v>
      </c>
      <c r="J6283">
        <v>35</v>
      </c>
      <c r="L6283" t="s">
        <v>2709</v>
      </c>
      <c r="M6283">
        <v>61043900</v>
      </c>
      <c r="O6283" t="s">
        <v>19900</v>
      </c>
      <c r="P6283" t="s">
        <v>19899</v>
      </c>
      <c r="Q6283" t="s">
        <v>19900</v>
      </c>
      <c r="R6283" t="s">
        <v>19905</v>
      </c>
      <c r="S6283" t="s">
        <v>19906</v>
      </c>
      <c r="T6283" t="s">
        <v>19919</v>
      </c>
    </row>
    <row r="6284" spans="2:20" x14ac:dyDescent="0.25">
      <c r="B6284" t="s">
        <v>2709</v>
      </c>
      <c r="C6284">
        <v>61044100</v>
      </c>
      <c r="E6284">
        <v>0</v>
      </c>
      <c r="F6284">
        <v>18</v>
      </c>
      <c r="G6284">
        <v>0</v>
      </c>
      <c r="H6284">
        <v>7.6</v>
      </c>
      <c r="I6284">
        <v>1.65</v>
      </c>
      <c r="J6284">
        <v>35</v>
      </c>
      <c r="L6284" t="s">
        <v>2709</v>
      </c>
      <c r="M6284">
        <v>61044100</v>
      </c>
      <c r="O6284" t="s">
        <v>19900</v>
      </c>
      <c r="P6284" t="s">
        <v>19899</v>
      </c>
      <c r="Q6284" t="s">
        <v>19900</v>
      </c>
      <c r="R6284" t="s">
        <v>19905</v>
      </c>
      <c r="S6284" t="s">
        <v>19906</v>
      </c>
      <c r="T6284" t="s">
        <v>19919</v>
      </c>
    </row>
    <row r="6285" spans="2:20" x14ac:dyDescent="0.25">
      <c r="B6285" t="s">
        <v>2709</v>
      </c>
      <c r="C6285">
        <v>61044200</v>
      </c>
      <c r="E6285">
        <v>0</v>
      </c>
      <c r="F6285">
        <v>18</v>
      </c>
      <c r="G6285">
        <v>0</v>
      </c>
      <c r="H6285">
        <v>7.6</v>
      </c>
      <c r="I6285">
        <v>1.65</v>
      </c>
      <c r="J6285">
        <v>35</v>
      </c>
      <c r="L6285" t="s">
        <v>2709</v>
      </c>
      <c r="M6285">
        <v>61044200</v>
      </c>
      <c r="O6285" t="s">
        <v>19900</v>
      </c>
      <c r="P6285" t="s">
        <v>19899</v>
      </c>
      <c r="Q6285" t="s">
        <v>19900</v>
      </c>
      <c r="R6285" t="s">
        <v>19905</v>
      </c>
      <c r="S6285" t="s">
        <v>19906</v>
      </c>
      <c r="T6285" t="s">
        <v>19919</v>
      </c>
    </row>
    <row r="6286" spans="2:20" x14ac:dyDescent="0.25">
      <c r="B6286" t="s">
        <v>2709</v>
      </c>
      <c r="C6286">
        <v>61044300</v>
      </c>
      <c r="E6286">
        <v>0</v>
      </c>
      <c r="F6286">
        <v>18</v>
      </c>
      <c r="G6286">
        <v>0</v>
      </c>
      <c r="H6286">
        <v>7.6</v>
      </c>
      <c r="I6286">
        <v>1.65</v>
      </c>
      <c r="J6286">
        <v>35</v>
      </c>
      <c r="L6286" t="s">
        <v>2709</v>
      </c>
      <c r="M6286">
        <v>61044300</v>
      </c>
      <c r="O6286" t="s">
        <v>19900</v>
      </c>
      <c r="P6286" t="s">
        <v>19899</v>
      </c>
      <c r="Q6286" t="s">
        <v>19900</v>
      </c>
      <c r="R6286" t="s">
        <v>19905</v>
      </c>
      <c r="S6286" t="s">
        <v>19906</v>
      </c>
      <c r="T6286" t="s">
        <v>19919</v>
      </c>
    </row>
    <row r="6287" spans="2:20" x14ac:dyDescent="0.25">
      <c r="B6287" t="s">
        <v>2709</v>
      </c>
      <c r="C6287">
        <v>61044400</v>
      </c>
      <c r="E6287">
        <v>0</v>
      </c>
      <c r="F6287">
        <v>18</v>
      </c>
      <c r="G6287">
        <v>0</v>
      </c>
      <c r="H6287">
        <v>7.6</v>
      </c>
      <c r="I6287">
        <v>1.65</v>
      </c>
      <c r="J6287">
        <v>35</v>
      </c>
      <c r="L6287" t="s">
        <v>2709</v>
      </c>
      <c r="M6287">
        <v>61044400</v>
      </c>
      <c r="O6287" t="s">
        <v>19900</v>
      </c>
      <c r="P6287" t="s">
        <v>19899</v>
      </c>
      <c r="Q6287" t="s">
        <v>19900</v>
      </c>
      <c r="R6287" t="s">
        <v>19905</v>
      </c>
      <c r="S6287" t="s">
        <v>19906</v>
      </c>
      <c r="T6287" t="s">
        <v>19919</v>
      </c>
    </row>
    <row r="6288" spans="2:20" x14ac:dyDescent="0.25">
      <c r="B6288" t="s">
        <v>2709</v>
      </c>
      <c r="C6288">
        <v>61044900</v>
      </c>
      <c r="E6288">
        <v>0</v>
      </c>
      <c r="F6288">
        <v>18</v>
      </c>
      <c r="G6288">
        <v>0</v>
      </c>
      <c r="H6288">
        <v>7.6</v>
      </c>
      <c r="I6288">
        <v>1.65</v>
      </c>
      <c r="J6288">
        <v>35</v>
      </c>
      <c r="L6288" t="s">
        <v>2709</v>
      </c>
      <c r="M6288">
        <v>61044900</v>
      </c>
      <c r="O6288" t="s">
        <v>19900</v>
      </c>
      <c r="P6288" t="s">
        <v>19899</v>
      </c>
      <c r="Q6288" t="s">
        <v>19900</v>
      </c>
      <c r="R6288" t="s">
        <v>19905</v>
      </c>
      <c r="S6288" t="s">
        <v>19906</v>
      </c>
      <c r="T6288" t="s">
        <v>19919</v>
      </c>
    </row>
    <row r="6289" spans="2:20" x14ac:dyDescent="0.25">
      <c r="B6289" t="s">
        <v>2709</v>
      </c>
      <c r="C6289">
        <v>61045100</v>
      </c>
      <c r="E6289">
        <v>0</v>
      </c>
      <c r="F6289">
        <v>18</v>
      </c>
      <c r="G6289">
        <v>0</v>
      </c>
      <c r="H6289">
        <v>7.6</v>
      </c>
      <c r="I6289">
        <v>1.65</v>
      </c>
      <c r="J6289">
        <v>35</v>
      </c>
      <c r="L6289" t="s">
        <v>2709</v>
      </c>
      <c r="M6289">
        <v>61045100</v>
      </c>
      <c r="O6289" t="s">
        <v>19900</v>
      </c>
      <c r="P6289" t="s">
        <v>19899</v>
      </c>
      <c r="Q6289" t="s">
        <v>19900</v>
      </c>
      <c r="R6289" t="s">
        <v>19905</v>
      </c>
      <c r="S6289" t="s">
        <v>19906</v>
      </c>
      <c r="T6289" t="s">
        <v>19919</v>
      </c>
    </row>
    <row r="6290" spans="2:20" x14ac:dyDescent="0.25">
      <c r="B6290" t="s">
        <v>2709</v>
      </c>
      <c r="C6290">
        <v>61045200</v>
      </c>
      <c r="E6290">
        <v>0</v>
      </c>
      <c r="F6290">
        <v>18</v>
      </c>
      <c r="G6290">
        <v>0</v>
      </c>
      <c r="H6290">
        <v>7.6</v>
      </c>
      <c r="I6290">
        <v>1.65</v>
      </c>
      <c r="J6290">
        <v>35</v>
      </c>
      <c r="L6290" t="s">
        <v>2709</v>
      </c>
      <c r="M6290">
        <v>61045200</v>
      </c>
      <c r="O6290" t="s">
        <v>19900</v>
      </c>
      <c r="P6290" t="s">
        <v>19899</v>
      </c>
      <c r="Q6290" t="s">
        <v>19900</v>
      </c>
      <c r="R6290" t="s">
        <v>19905</v>
      </c>
      <c r="S6290" t="s">
        <v>19906</v>
      </c>
      <c r="T6290" t="s">
        <v>19919</v>
      </c>
    </row>
    <row r="6291" spans="2:20" x14ac:dyDescent="0.25">
      <c r="B6291" t="s">
        <v>2709</v>
      </c>
      <c r="C6291">
        <v>61045300</v>
      </c>
      <c r="E6291">
        <v>0</v>
      </c>
      <c r="F6291">
        <v>18</v>
      </c>
      <c r="G6291">
        <v>0</v>
      </c>
      <c r="H6291">
        <v>7.6</v>
      </c>
      <c r="I6291">
        <v>1.65</v>
      </c>
      <c r="J6291">
        <v>35</v>
      </c>
      <c r="L6291" t="s">
        <v>2709</v>
      </c>
      <c r="M6291">
        <v>61045300</v>
      </c>
      <c r="O6291" t="s">
        <v>19900</v>
      </c>
      <c r="P6291" t="s">
        <v>19899</v>
      </c>
      <c r="Q6291" t="s">
        <v>19900</v>
      </c>
      <c r="R6291" t="s">
        <v>19905</v>
      </c>
      <c r="S6291" t="s">
        <v>19906</v>
      </c>
      <c r="T6291" t="s">
        <v>19919</v>
      </c>
    </row>
    <row r="6292" spans="2:20" x14ac:dyDescent="0.25">
      <c r="B6292" t="s">
        <v>2709</v>
      </c>
      <c r="C6292">
        <v>61045900</v>
      </c>
      <c r="E6292">
        <v>0</v>
      </c>
      <c r="F6292">
        <v>18</v>
      </c>
      <c r="G6292">
        <v>0</v>
      </c>
      <c r="H6292">
        <v>7.6</v>
      </c>
      <c r="I6292">
        <v>1.65</v>
      </c>
      <c r="J6292">
        <v>35</v>
      </c>
      <c r="L6292" t="s">
        <v>2709</v>
      </c>
      <c r="M6292">
        <v>61045900</v>
      </c>
      <c r="O6292" t="s">
        <v>19900</v>
      </c>
      <c r="P6292" t="s">
        <v>19899</v>
      </c>
      <c r="Q6292" t="s">
        <v>19900</v>
      </c>
      <c r="R6292" t="s">
        <v>19905</v>
      </c>
      <c r="S6292" t="s">
        <v>19906</v>
      </c>
      <c r="T6292" t="s">
        <v>19919</v>
      </c>
    </row>
    <row r="6293" spans="2:20" x14ac:dyDescent="0.25">
      <c r="B6293" t="s">
        <v>2709</v>
      </c>
      <c r="C6293">
        <v>61046100</v>
      </c>
      <c r="E6293">
        <v>0</v>
      </c>
      <c r="F6293">
        <v>18</v>
      </c>
      <c r="G6293">
        <v>0</v>
      </c>
      <c r="H6293">
        <v>7.6</v>
      </c>
      <c r="I6293">
        <v>1.65</v>
      </c>
      <c r="J6293">
        <v>35</v>
      </c>
      <c r="L6293" t="s">
        <v>2709</v>
      </c>
      <c r="M6293">
        <v>61046100</v>
      </c>
      <c r="O6293" t="s">
        <v>19900</v>
      </c>
      <c r="P6293" t="s">
        <v>19899</v>
      </c>
      <c r="Q6293" t="s">
        <v>19900</v>
      </c>
      <c r="R6293" t="s">
        <v>19905</v>
      </c>
      <c r="S6293" t="s">
        <v>19906</v>
      </c>
      <c r="T6293" t="s">
        <v>19919</v>
      </c>
    </row>
    <row r="6294" spans="2:20" x14ac:dyDescent="0.25">
      <c r="B6294" t="s">
        <v>2709</v>
      </c>
      <c r="C6294">
        <v>61046200</v>
      </c>
      <c r="E6294">
        <v>0</v>
      </c>
      <c r="F6294">
        <v>18</v>
      </c>
      <c r="G6294">
        <v>0</v>
      </c>
      <c r="H6294">
        <v>7.6</v>
      </c>
      <c r="I6294">
        <v>1.65</v>
      </c>
      <c r="J6294">
        <v>35</v>
      </c>
      <c r="L6294" t="s">
        <v>2709</v>
      </c>
      <c r="M6294">
        <v>61046200</v>
      </c>
      <c r="O6294" t="s">
        <v>19900</v>
      </c>
      <c r="P6294" t="s">
        <v>19899</v>
      </c>
      <c r="Q6294" t="s">
        <v>19900</v>
      </c>
      <c r="R6294" t="s">
        <v>19905</v>
      </c>
      <c r="S6294" t="s">
        <v>19906</v>
      </c>
      <c r="T6294" t="s">
        <v>19919</v>
      </c>
    </row>
    <row r="6295" spans="2:20" x14ac:dyDescent="0.25">
      <c r="B6295" t="s">
        <v>2709</v>
      </c>
      <c r="C6295">
        <v>61046300</v>
      </c>
      <c r="E6295">
        <v>0</v>
      </c>
      <c r="F6295">
        <v>18</v>
      </c>
      <c r="G6295">
        <v>0</v>
      </c>
      <c r="H6295">
        <v>7.6</v>
      </c>
      <c r="I6295">
        <v>1.65</v>
      </c>
      <c r="J6295">
        <v>35</v>
      </c>
      <c r="L6295" t="s">
        <v>2709</v>
      </c>
      <c r="M6295">
        <v>61046300</v>
      </c>
      <c r="O6295" t="s">
        <v>19900</v>
      </c>
      <c r="P6295" t="s">
        <v>19899</v>
      </c>
      <c r="Q6295" t="s">
        <v>19900</v>
      </c>
      <c r="R6295" t="s">
        <v>19905</v>
      </c>
      <c r="S6295" t="s">
        <v>19906</v>
      </c>
      <c r="T6295" t="s">
        <v>19919</v>
      </c>
    </row>
    <row r="6296" spans="2:20" x14ac:dyDescent="0.25">
      <c r="B6296" t="s">
        <v>2709</v>
      </c>
      <c r="C6296">
        <v>61046900</v>
      </c>
      <c r="E6296">
        <v>0</v>
      </c>
      <c r="F6296">
        <v>18</v>
      </c>
      <c r="G6296">
        <v>0</v>
      </c>
      <c r="H6296">
        <v>7.6</v>
      </c>
      <c r="I6296">
        <v>1.65</v>
      </c>
      <c r="J6296">
        <v>35</v>
      </c>
      <c r="L6296" t="s">
        <v>2709</v>
      </c>
      <c r="M6296">
        <v>61046900</v>
      </c>
      <c r="O6296" t="s">
        <v>19900</v>
      </c>
      <c r="P6296" t="s">
        <v>19899</v>
      </c>
      <c r="Q6296" t="s">
        <v>19900</v>
      </c>
      <c r="R6296" t="s">
        <v>19905</v>
      </c>
      <c r="S6296" t="s">
        <v>19906</v>
      </c>
      <c r="T6296" t="s">
        <v>19919</v>
      </c>
    </row>
    <row r="6297" spans="2:20" x14ac:dyDescent="0.25">
      <c r="B6297" t="s">
        <v>2709</v>
      </c>
      <c r="C6297">
        <v>61051000</v>
      </c>
      <c r="E6297">
        <v>0</v>
      </c>
      <c r="F6297">
        <v>18</v>
      </c>
      <c r="G6297">
        <v>0</v>
      </c>
      <c r="H6297">
        <v>7.6</v>
      </c>
      <c r="I6297">
        <v>1.65</v>
      </c>
      <c r="J6297">
        <v>35</v>
      </c>
      <c r="L6297" t="s">
        <v>2709</v>
      </c>
      <c r="M6297">
        <v>61051000</v>
      </c>
      <c r="O6297" t="s">
        <v>19900</v>
      </c>
      <c r="P6297" t="s">
        <v>19899</v>
      </c>
      <c r="Q6297" t="s">
        <v>19900</v>
      </c>
      <c r="R6297" t="s">
        <v>19905</v>
      </c>
      <c r="S6297" t="s">
        <v>19906</v>
      </c>
      <c r="T6297" t="s">
        <v>19919</v>
      </c>
    </row>
    <row r="6298" spans="2:20" x14ac:dyDescent="0.25">
      <c r="B6298" t="s">
        <v>2709</v>
      </c>
      <c r="C6298">
        <v>61052000</v>
      </c>
      <c r="E6298">
        <v>0</v>
      </c>
      <c r="F6298">
        <v>18</v>
      </c>
      <c r="G6298">
        <v>0</v>
      </c>
      <c r="H6298">
        <v>7.6</v>
      </c>
      <c r="I6298">
        <v>1.65</v>
      </c>
      <c r="J6298">
        <v>35</v>
      </c>
      <c r="L6298" t="s">
        <v>2709</v>
      </c>
      <c r="M6298">
        <v>61052000</v>
      </c>
      <c r="O6298" t="s">
        <v>19900</v>
      </c>
      <c r="P6298" t="s">
        <v>19899</v>
      </c>
      <c r="Q6298" t="s">
        <v>19900</v>
      </c>
      <c r="R6298" t="s">
        <v>19905</v>
      </c>
      <c r="S6298" t="s">
        <v>19906</v>
      </c>
      <c r="T6298" t="s">
        <v>19919</v>
      </c>
    </row>
    <row r="6299" spans="2:20" x14ac:dyDescent="0.25">
      <c r="B6299" t="s">
        <v>2709</v>
      </c>
      <c r="C6299">
        <v>61059000</v>
      </c>
      <c r="E6299">
        <v>0</v>
      </c>
      <c r="F6299">
        <v>18</v>
      </c>
      <c r="G6299">
        <v>0</v>
      </c>
      <c r="H6299">
        <v>7.6</v>
      </c>
      <c r="I6299">
        <v>1.65</v>
      </c>
      <c r="J6299">
        <v>35</v>
      </c>
      <c r="L6299" t="s">
        <v>2709</v>
      </c>
      <c r="M6299">
        <v>61059000</v>
      </c>
      <c r="O6299" t="s">
        <v>19900</v>
      </c>
      <c r="P6299" t="s">
        <v>19899</v>
      </c>
      <c r="Q6299" t="s">
        <v>19900</v>
      </c>
      <c r="R6299" t="s">
        <v>19905</v>
      </c>
      <c r="S6299" t="s">
        <v>19906</v>
      </c>
      <c r="T6299" t="s">
        <v>19919</v>
      </c>
    </row>
    <row r="6300" spans="2:20" x14ac:dyDescent="0.25">
      <c r="B6300" t="s">
        <v>2709</v>
      </c>
      <c r="C6300">
        <v>61061000</v>
      </c>
      <c r="E6300">
        <v>0</v>
      </c>
      <c r="F6300">
        <v>18</v>
      </c>
      <c r="G6300">
        <v>0</v>
      </c>
      <c r="H6300">
        <v>7.6</v>
      </c>
      <c r="I6300">
        <v>1.65</v>
      </c>
      <c r="J6300">
        <v>35</v>
      </c>
      <c r="L6300" t="s">
        <v>2709</v>
      </c>
      <c r="M6300">
        <v>61061000</v>
      </c>
      <c r="O6300" t="s">
        <v>19900</v>
      </c>
      <c r="P6300" t="s">
        <v>19899</v>
      </c>
      <c r="Q6300" t="s">
        <v>19900</v>
      </c>
      <c r="R6300" t="s">
        <v>19905</v>
      </c>
      <c r="S6300" t="s">
        <v>19906</v>
      </c>
      <c r="T6300" t="s">
        <v>19919</v>
      </c>
    </row>
    <row r="6301" spans="2:20" x14ac:dyDescent="0.25">
      <c r="B6301" t="s">
        <v>2709</v>
      </c>
      <c r="C6301">
        <v>61062000</v>
      </c>
      <c r="E6301">
        <v>0</v>
      </c>
      <c r="F6301">
        <v>18</v>
      </c>
      <c r="G6301">
        <v>0</v>
      </c>
      <c r="H6301">
        <v>7.6</v>
      </c>
      <c r="I6301">
        <v>1.65</v>
      </c>
      <c r="J6301">
        <v>35</v>
      </c>
      <c r="L6301" t="s">
        <v>2709</v>
      </c>
      <c r="M6301">
        <v>61062000</v>
      </c>
      <c r="O6301" t="s">
        <v>19900</v>
      </c>
      <c r="P6301" t="s">
        <v>19899</v>
      </c>
      <c r="Q6301" t="s">
        <v>19900</v>
      </c>
      <c r="R6301" t="s">
        <v>19905</v>
      </c>
      <c r="S6301" t="s">
        <v>19906</v>
      </c>
      <c r="T6301" t="s">
        <v>19919</v>
      </c>
    </row>
    <row r="6302" spans="2:20" x14ac:dyDescent="0.25">
      <c r="B6302" t="s">
        <v>2709</v>
      </c>
      <c r="C6302">
        <v>61069000</v>
      </c>
      <c r="E6302">
        <v>0</v>
      </c>
      <c r="F6302">
        <v>18</v>
      </c>
      <c r="G6302">
        <v>0</v>
      </c>
      <c r="H6302">
        <v>7.6</v>
      </c>
      <c r="I6302">
        <v>1.65</v>
      </c>
      <c r="J6302">
        <v>35</v>
      </c>
      <c r="L6302" t="s">
        <v>2709</v>
      </c>
      <c r="M6302">
        <v>61069000</v>
      </c>
      <c r="O6302" t="s">
        <v>19900</v>
      </c>
      <c r="P6302" t="s">
        <v>19899</v>
      </c>
      <c r="Q6302" t="s">
        <v>19900</v>
      </c>
      <c r="R6302" t="s">
        <v>19905</v>
      </c>
      <c r="S6302" t="s">
        <v>19906</v>
      </c>
      <c r="T6302" t="s">
        <v>19919</v>
      </c>
    </row>
    <row r="6303" spans="2:20" x14ac:dyDescent="0.25">
      <c r="B6303" t="s">
        <v>2709</v>
      </c>
      <c r="C6303">
        <v>61071100</v>
      </c>
      <c r="E6303">
        <v>0</v>
      </c>
      <c r="F6303">
        <v>18</v>
      </c>
      <c r="G6303">
        <v>0</v>
      </c>
      <c r="H6303">
        <v>7.6</v>
      </c>
      <c r="I6303">
        <v>1.65</v>
      </c>
      <c r="J6303">
        <v>35</v>
      </c>
      <c r="L6303" t="s">
        <v>2709</v>
      </c>
      <c r="M6303">
        <v>61071100</v>
      </c>
      <c r="O6303" t="s">
        <v>19900</v>
      </c>
      <c r="P6303" t="s">
        <v>19899</v>
      </c>
      <c r="Q6303" t="s">
        <v>19900</v>
      </c>
      <c r="R6303" t="s">
        <v>19905</v>
      </c>
      <c r="S6303" t="s">
        <v>19906</v>
      </c>
      <c r="T6303" t="s">
        <v>19919</v>
      </c>
    </row>
    <row r="6304" spans="2:20" x14ac:dyDescent="0.25">
      <c r="B6304" t="s">
        <v>2709</v>
      </c>
      <c r="C6304">
        <v>61071200</v>
      </c>
      <c r="E6304">
        <v>0</v>
      </c>
      <c r="F6304">
        <v>18</v>
      </c>
      <c r="G6304">
        <v>0</v>
      </c>
      <c r="H6304">
        <v>7.6</v>
      </c>
      <c r="I6304">
        <v>1.65</v>
      </c>
      <c r="J6304">
        <v>35</v>
      </c>
      <c r="L6304" t="s">
        <v>2709</v>
      </c>
      <c r="M6304">
        <v>61071200</v>
      </c>
      <c r="O6304" t="s">
        <v>19900</v>
      </c>
      <c r="P6304" t="s">
        <v>19899</v>
      </c>
      <c r="Q6304" t="s">
        <v>19900</v>
      </c>
      <c r="R6304" t="s">
        <v>19905</v>
      </c>
      <c r="S6304" t="s">
        <v>19906</v>
      </c>
      <c r="T6304" t="s">
        <v>19919</v>
      </c>
    </row>
    <row r="6305" spans="2:20" x14ac:dyDescent="0.25">
      <c r="B6305" t="s">
        <v>2709</v>
      </c>
      <c r="C6305">
        <v>61071900</v>
      </c>
      <c r="E6305">
        <v>0</v>
      </c>
      <c r="F6305">
        <v>18</v>
      </c>
      <c r="G6305">
        <v>0</v>
      </c>
      <c r="H6305">
        <v>7.6</v>
      </c>
      <c r="I6305">
        <v>1.65</v>
      </c>
      <c r="J6305">
        <v>35</v>
      </c>
      <c r="L6305" t="s">
        <v>2709</v>
      </c>
      <c r="M6305">
        <v>61071900</v>
      </c>
      <c r="O6305" t="s">
        <v>19900</v>
      </c>
      <c r="P6305" t="s">
        <v>19899</v>
      </c>
      <c r="Q6305" t="s">
        <v>19900</v>
      </c>
      <c r="R6305" t="s">
        <v>19905</v>
      </c>
      <c r="S6305" t="s">
        <v>19906</v>
      </c>
      <c r="T6305" t="s">
        <v>19919</v>
      </c>
    </row>
    <row r="6306" spans="2:20" x14ac:dyDescent="0.25">
      <c r="B6306" t="s">
        <v>2709</v>
      </c>
      <c r="C6306">
        <v>61072100</v>
      </c>
      <c r="E6306">
        <v>0</v>
      </c>
      <c r="F6306">
        <v>18</v>
      </c>
      <c r="G6306">
        <v>0</v>
      </c>
      <c r="H6306">
        <v>7.6</v>
      </c>
      <c r="I6306">
        <v>1.65</v>
      </c>
      <c r="J6306">
        <v>35</v>
      </c>
      <c r="L6306" t="s">
        <v>2709</v>
      </c>
      <c r="M6306">
        <v>61072100</v>
      </c>
      <c r="O6306" t="s">
        <v>19900</v>
      </c>
      <c r="P6306" t="s">
        <v>19899</v>
      </c>
      <c r="Q6306" t="s">
        <v>19900</v>
      </c>
      <c r="R6306" t="s">
        <v>19905</v>
      </c>
      <c r="S6306" t="s">
        <v>19906</v>
      </c>
      <c r="T6306" t="s">
        <v>19919</v>
      </c>
    </row>
    <row r="6307" spans="2:20" x14ac:dyDescent="0.25">
      <c r="B6307" t="s">
        <v>2709</v>
      </c>
      <c r="C6307">
        <v>61072200</v>
      </c>
      <c r="E6307">
        <v>0</v>
      </c>
      <c r="F6307">
        <v>18</v>
      </c>
      <c r="G6307">
        <v>0</v>
      </c>
      <c r="H6307">
        <v>7.6</v>
      </c>
      <c r="I6307">
        <v>1.65</v>
      </c>
      <c r="J6307">
        <v>35</v>
      </c>
      <c r="L6307" t="s">
        <v>2709</v>
      </c>
      <c r="M6307">
        <v>61072200</v>
      </c>
      <c r="O6307" t="s">
        <v>19900</v>
      </c>
      <c r="P6307" t="s">
        <v>19899</v>
      </c>
      <c r="Q6307" t="s">
        <v>19900</v>
      </c>
      <c r="R6307" t="s">
        <v>19905</v>
      </c>
      <c r="S6307" t="s">
        <v>19906</v>
      </c>
      <c r="T6307" t="s">
        <v>19919</v>
      </c>
    </row>
    <row r="6308" spans="2:20" x14ac:dyDescent="0.25">
      <c r="B6308" t="s">
        <v>2709</v>
      </c>
      <c r="C6308">
        <v>61072900</v>
      </c>
      <c r="E6308">
        <v>0</v>
      </c>
      <c r="F6308">
        <v>18</v>
      </c>
      <c r="G6308">
        <v>0</v>
      </c>
      <c r="H6308">
        <v>7.6</v>
      </c>
      <c r="I6308">
        <v>1.65</v>
      </c>
      <c r="J6308">
        <v>35</v>
      </c>
      <c r="L6308" t="s">
        <v>2709</v>
      </c>
      <c r="M6308">
        <v>61072900</v>
      </c>
      <c r="O6308" t="s">
        <v>19900</v>
      </c>
      <c r="P6308" t="s">
        <v>19899</v>
      </c>
      <c r="Q6308" t="s">
        <v>19900</v>
      </c>
      <c r="R6308" t="s">
        <v>19905</v>
      </c>
      <c r="S6308" t="s">
        <v>19906</v>
      </c>
      <c r="T6308" t="s">
        <v>19919</v>
      </c>
    </row>
    <row r="6309" spans="2:20" x14ac:dyDescent="0.25">
      <c r="B6309" t="s">
        <v>2709</v>
      </c>
      <c r="C6309">
        <v>61079100</v>
      </c>
      <c r="E6309">
        <v>0</v>
      </c>
      <c r="F6309">
        <v>18</v>
      </c>
      <c r="G6309">
        <v>0</v>
      </c>
      <c r="H6309">
        <v>7.6</v>
      </c>
      <c r="I6309">
        <v>1.65</v>
      </c>
      <c r="J6309">
        <v>35</v>
      </c>
      <c r="L6309" t="s">
        <v>2709</v>
      </c>
      <c r="M6309">
        <v>61079100</v>
      </c>
      <c r="O6309" t="s">
        <v>19900</v>
      </c>
      <c r="P6309" t="s">
        <v>19899</v>
      </c>
      <c r="Q6309" t="s">
        <v>19900</v>
      </c>
      <c r="R6309" t="s">
        <v>19905</v>
      </c>
      <c r="S6309" t="s">
        <v>19906</v>
      </c>
      <c r="T6309" t="s">
        <v>19919</v>
      </c>
    </row>
    <row r="6310" spans="2:20" x14ac:dyDescent="0.25">
      <c r="B6310" t="s">
        <v>2709</v>
      </c>
      <c r="C6310">
        <v>61079910</v>
      </c>
      <c r="E6310">
        <v>0</v>
      </c>
      <c r="F6310">
        <v>18</v>
      </c>
      <c r="G6310">
        <v>0</v>
      </c>
      <c r="H6310">
        <v>7.6</v>
      </c>
      <c r="I6310">
        <v>1.65</v>
      </c>
      <c r="J6310">
        <v>35</v>
      </c>
      <c r="L6310" t="s">
        <v>2709</v>
      </c>
      <c r="M6310">
        <v>61079910</v>
      </c>
      <c r="O6310" t="s">
        <v>19900</v>
      </c>
      <c r="P6310" t="s">
        <v>19899</v>
      </c>
      <c r="Q6310" t="s">
        <v>19900</v>
      </c>
      <c r="R6310" t="s">
        <v>19905</v>
      </c>
      <c r="S6310" t="s">
        <v>19906</v>
      </c>
      <c r="T6310" t="s">
        <v>19919</v>
      </c>
    </row>
    <row r="6311" spans="2:20" x14ac:dyDescent="0.25">
      <c r="B6311" t="s">
        <v>2709</v>
      </c>
      <c r="C6311">
        <v>61079990</v>
      </c>
      <c r="E6311">
        <v>0</v>
      </c>
      <c r="F6311">
        <v>18</v>
      </c>
      <c r="G6311">
        <v>0</v>
      </c>
      <c r="H6311">
        <v>7.6</v>
      </c>
      <c r="I6311">
        <v>1.65</v>
      </c>
      <c r="J6311">
        <v>35</v>
      </c>
      <c r="L6311" t="s">
        <v>2709</v>
      </c>
      <c r="M6311">
        <v>61079990</v>
      </c>
      <c r="O6311" t="s">
        <v>19900</v>
      </c>
      <c r="P6311" t="s">
        <v>19899</v>
      </c>
      <c r="Q6311" t="s">
        <v>19900</v>
      </c>
      <c r="R6311" t="s">
        <v>19905</v>
      </c>
      <c r="S6311" t="s">
        <v>19906</v>
      </c>
      <c r="T6311" t="s">
        <v>19919</v>
      </c>
    </row>
    <row r="6312" spans="2:20" x14ac:dyDescent="0.25">
      <c r="B6312" t="s">
        <v>2709</v>
      </c>
      <c r="C6312">
        <v>61081100</v>
      </c>
      <c r="E6312">
        <v>0</v>
      </c>
      <c r="F6312">
        <v>18</v>
      </c>
      <c r="G6312">
        <v>0</v>
      </c>
      <c r="H6312">
        <v>7.6</v>
      </c>
      <c r="I6312">
        <v>1.65</v>
      </c>
      <c r="J6312">
        <v>35</v>
      </c>
      <c r="L6312" t="s">
        <v>2709</v>
      </c>
      <c r="M6312">
        <v>61081100</v>
      </c>
      <c r="O6312" t="s">
        <v>19900</v>
      </c>
      <c r="P6312" t="s">
        <v>19899</v>
      </c>
      <c r="Q6312" t="s">
        <v>19900</v>
      </c>
      <c r="R6312" t="s">
        <v>19905</v>
      </c>
      <c r="S6312" t="s">
        <v>19906</v>
      </c>
      <c r="T6312" t="s">
        <v>19919</v>
      </c>
    </row>
    <row r="6313" spans="2:20" x14ac:dyDescent="0.25">
      <c r="B6313" t="s">
        <v>2709</v>
      </c>
      <c r="C6313">
        <v>61081900</v>
      </c>
      <c r="E6313">
        <v>0</v>
      </c>
      <c r="F6313">
        <v>18</v>
      </c>
      <c r="G6313">
        <v>0</v>
      </c>
      <c r="H6313">
        <v>7.6</v>
      </c>
      <c r="I6313">
        <v>1.65</v>
      </c>
      <c r="J6313">
        <v>35</v>
      </c>
      <c r="L6313" t="s">
        <v>2709</v>
      </c>
      <c r="M6313">
        <v>61081900</v>
      </c>
      <c r="O6313" t="s">
        <v>19900</v>
      </c>
      <c r="P6313" t="s">
        <v>19899</v>
      </c>
      <c r="Q6313" t="s">
        <v>19900</v>
      </c>
      <c r="R6313" t="s">
        <v>19905</v>
      </c>
      <c r="S6313" t="s">
        <v>19906</v>
      </c>
      <c r="T6313" t="s">
        <v>19919</v>
      </c>
    </row>
    <row r="6314" spans="2:20" x14ac:dyDescent="0.25">
      <c r="B6314" t="s">
        <v>2709</v>
      </c>
      <c r="C6314">
        <v>61082100</v>
      </c>
      <c r="E6314">
        <v>0</v>
      </c>
      <c r="F6314">
        <v>18</v>
      </c>
      <c r="G6314">
        <v>0</v>
      </c>
      <c r="H6314">
        <v>7.6</v>
      </c>
      <c r="I6314">
        <v>1.65</v>
      </c>
      <c r="J6314">
        <v>35</v>
      </c>
      <c r="L6314" t="s">
        <v>2709</v>
      </c>
      <c r="M6314">
        <v>61082100</v>
      </c>
      <c r="O6314" t="s">
        <v>19900</v>
      </c>
      <c r="P6314" t="s">
        <v>19899</v>
      </c>
      <c r="Q6314" t="s">
        <v>19900</v>
      </c>
      <c r="R6314" t="s">
        <v>19905</v>
      </c>
      <c r="S6314" t="s">
        <v>19906</v>
      </c>
      <c r="T6314" t="s">
        <v>19919</v>
      </c>
    </row>
    <row r="6315" spans="2:20" x14ac:dyDescent="0.25">
      <c r="B6315" t="s">
        <v>2709</v>
      </c>
      <c r="C6315">
        <v>61082200</v>
      </c>
      <c r="E6315">
        <v>0</v>
      </c>
      <c r="F6315">
        <v>18</v>
      </c>
      <c r="G6315">
        <v>0</v>
      </c>
      <c r="H6315">
        <v>7.6</v>
      </c>
      <c r="I6315">
        <v>1.65</v>
      </c>
      <c r="J6315">
        <v>35</v>
      </c>
      <c r="L6315" t="s">
        <v>2709</v>
      </c>
      <c r="M6315">
        <v>61082200</v>
      </c>
      <c r="O6315" t="s">
        <v>19900</v>
      </c>
      <c r="P6315" t="s">
        <v>19899</v>
      </c>
      <c r="Q6315" t="s">
        <v>19900</v>
      </c>
      <c r="R6315" t="s">
        <v>19905</v>
      </c>
      <c r="S6315" t="s">
        <v>19906</v>
      </c>
      <c r="T6315" t="s">
        <v>19919</v>
      </c>
    </row>
    <row r="6316" spans="2:20" x14ac:dyDescent="0.25">
      <c r="B6316" t="s">
        <v>2709</v>
      </c>
      <c r="C6316">
        <v>61082900</v>
      </c>
      <c r="E6316">
        <v>0</v>
      </c>
      <c r="F6316">
        <v>18</v>
      </c>
      <c r="G6316">
        <v>0</v>
      </c>
      <c r="H6316">
        <v>7.6</v>
      </c>
      <c r="I6316">
        <v>1.65</v>
      </c>
      <c r="J6316">
        <v>35</v>
      </c>
      <c r="L6316" t="s">
        <v>2709</v>
      </c>
      <c r="M6316">
        <v>61082900</v>
      </c>
      <c r="O6316" t="s">
        <v>19900</v>
      </c>
      <c r="P6316" t="s">
        <v>19899</v>
      </c>
      <c r="Q6316" t="s">
        <v>19900</v>
      </c>
      <c r="R6316" t="s">
        <v>19905</v>
      </c>
      <c r="S6316" t="s">
        <v>19906</v>
      </c>
      <c r="T6316" t="s">
        <v>19919</v>
      </c>
    </row>
    <row r="6317" spans="2:20" x14ac:dyDescent="0.25">
      <c r="B6317" t="s">
        <v>2709</v>
      </c>
      <c r="C6317">
        <v>61083100</v>
      </c>
      <c r="E6317">
        <v>0</v>
      </c>
      <c r="F6317">
        <v>18</v>
      </c>
      <c r="G6317">
        <v>0</v>
      </c>
      <c r="H6317">
        <v>7.6</v>
      </c>
      <c r="I6317">
        <v>1.65</v>
      </c>
      <c r="J6317">
        <v>35</v>
      </c>
      <c r="L6317" t="s">
        <v>2709</v>
      </c>
      <c r="M6317">
        <v>61083100</v>
      </c>
      <c r="O6317" t="s">
        <v>19900</v>
      </c>
      <c r="P6317" t="s">
        <v>19899</v>
      </c>
      <c r="Q6317" t="s">
        <v>19900</v>
      </c>
      <c r="R6317" t="s">
        <v>19905</v>
      </c>
      <c r="S6317" t="s">
        <v>19906</v>
      </c>
      <c r="T6317" t="s">
        <v>19919</v>
      </c>
    </row>
    <row r="6318" spans="2:20" x14ac:dyDescent="0.25">
      <c r="B6318" t="s">
        <v>2709</v>
      </c>
      <c r="C6318">
        <v>61083200</v>
      </c>
      <c r="E6318">
        <v>0</v>
      </c>
      <c r="F6318">
        <v>18</v>
      </c>
      <c r="G6318">
        <v>0</v>
      </c>
      <c r="H6318">
        <v>7.6</v>
      </c>
      <c r="I6318">
        <v>1.65</v>
      </c>
      <c r="J6318">
        <v>35</v>
      </c>
      <c r="L6318" t="s">
        <v>2709</v>
      </c>
      <c r="M6318">
        <v>61083200</v>
      </c>
      <c r="O6318" t="s">
        <v>19900</v>
      </c>
      <c r="P6318" t="s">
        <v>19899</v>
      </c>
      <c r="Q6318" t="s">
        <v>19900</v>
      </c>
      <c r="R6318" t="s">
        <v>19905</v>
      </c>
      <c r="S6318" t="s">
        <v>19906</v>
      </c>
      <c r="T6318" t="s">
        <v>19919</v>
      </c>
    </row>
    <row r="6319" spans="2:20" x14ac:dyDescent="0.25">
      <c r="B6319" t="s">
        <v>2709</v>
      </c>
      <c r="C6319">
        <v>61083900</v>
      </c>
      <c r="E6319">
        <v>0</v>
      </c>
      <c r="F6319">
        <v>18</v>
      </c>
      <c r="G6319">
        <v>0</v>
      </c>
      <c r="H6319">
        <v>7.6</v>
      </c>
      <c r="I6319">
        <v>1.65</v>
      </c>
      <c r="J6319">
        <v>35</v>
      </c>
      <c r="L6319" t="s">
        <v>2709</v>
      </c>
      <c r="M6319">
        <v>61083900</v>
      </c>
      <c r="O6319" t="s">
        <v>19900</v>
      </c>
      <c r="P6319" t="s">
        <v>19899</v>
      </c>
      <c r="Q6319" t="s">
        <v>19900</v>
      </c>
      <c r="R6319" t="s">
        <v>19905</v>
      </c>
      <c r="S6319" t="s">
        <v>19906</v>
      </c>
      <c r="T6319" t="s">
        <v>19919</v>
      </c>
    </row>
    <row r="6320" spans="2:20" x14ac:dyDescent="0.25">
      <c r="B6320" t="s">
        <v>2709</v>
      </c>
      <c r="C6320">
        <v>61089100</v>
      </c>
      <c r="E6320">
        <v>0</v>
      </c>
      <c r="F6320">
        <v>18</v>
      </c>
      <c r="G6320">
        <v>0</v>
      </c>
      <c r="H6320">
        <v>7.6</v>
      </c>
      <c r="I6320">
        <v>1.65</v>
      </c>
      <c r="J6320">
        <v>35</v>
      </c>
      <c r="L6320" t="s">
        <v>2709</v>
      </c>
      <c r="M6320">
        <v>61089100</v>
      </c>
      <c r="O6320" t="s">
        <v>19900</v>
      </c>
      <c r="P6320" t="s">
        <v>19899</v>
      </c>
      <c r="Q6320" t="s">
        <v>19900</v>
      </c>
      <c r="R6320" t="s">
        <v>19905</v>
      </c>
      <c r="S6320" t="s">
        <v>19906</v>
      </c>
      <c r="T6320" t="s">
        <v>19919</v>
      </c>
    </row>
    <row r="6321" spans="2:20" x14ac:dyDescent="0.25">
      <c r="B6321" t="s">
        <v>2709</v>
      </c>
      <c r="C6321">
        <v>61089200</v>
      </c>
      <c r="E6321">
        <v>0</v>
      </c>
      <c r="F6321">
        <v>18</v>
      </c>
      <c r="G6321">
        <v>0</v>
      </c>
      <c r="H6321">
        <v>7.6</v>
      </c>
      <c r="I6321">
        <v>1.65</v>
      </c>
      <c r="J6321">
        <v>35</v>
      </c>
      <c r="L6321" t="s">
        <v>2709</v>
      </c>
      <c r="M6321">
        <v>61089200</v>
      </c>
      <c r="O6321" t="s">
        <v>19900</v>
      </c>
      <c r="P6321" t="s">
        <v>19899</v>
      </c>
      <c r="Q6321" t="s">
        <v>19900</v>
      </c>
      <c r="R6321" t="s">
        <v>19905</v>
      </c>
      <c r="S6321" t="s">
        <v>19906</v>
      </c>
      <c r="T6321" t="s">
        <v>19919</v>
      </c>
    </row>
    <row r="6322" spans="2:20" x14ac:dyDescent="0.25">
      <c r="B6322" t="s">
        <v>2709</v>
      </c>
      <c r="C6322">
        <v>61089900</v>
      </c>
      <c r="E6322">
        <v>0</v>
      </c>
      <c r="F6322">
        <v>18</v>
      </c>
      <c r="G6322">
        <v>0</v>
      </c>
      <c r="H6322">
        <v>7.6</v>
      </c>
      <c r="I6322">
        <v>1.65</v>
      </c>
      <c r="J6322">
        <v>35</v>
      </c>
      <c r="L6322" t="s">
        <v>2709</v>
      </c>
      <c r="M6322">
        <v>61089900</v>
      </c>
      <c r="O6322" t="s">
        <v>19900</v>
      </c>
      <c r="P6322" t="s">
        <v>19899</v>
      </c>
      <c r="Q6322" t="s">
        <v>19900</v>
      </c>
      <c r="R6322" t="s">
        <v>19905</v>
      </c>
      <c r="S6322" t="s">
        <v>19906</v>
      </c>
      <c r="T6322" t="s">
        <v>19919</v>
      </c>
    </row>
    <row r="6323" spans="2:20" x14ac:dyDescent="0.25">
      <c r="B6323" t="s">
        <v>2709</v>
      </c>
      <c r="C6323">
        <v>61091000</v>
      </c>
      <c r="E6323">
        <v>0</v>
      </c>
      <c r="F6323">
        <v>18</v>
      </c>
      <c r="G6323">
        <v>0</v>
      </c>
      <c r="H6323">
        <v>7.6</v>
      </c>
      <c r="I6323">
        <v>1.65</v>
      </c>
      <c r="J6323">
        <v>35</v>
      </c>
      <c r="L6323" t="s">
        <v>2709</v>
      </c>
      <c r="M6323">
        <v>61091000</v>
      </c>
      <c r="O6323" t="s">
        <v>19900</v>
      </c>
      <c r="P6323" t="s">
        <v>19899</v>
      </c>
      <c r="Q6323" t="s">
        <v>19900</v>
      </c>
      <c r="R6323" t="s">
        <v>19905</v>
      </c>
      <c r="S6323" t="s">
        <v>19906</v>
      </c>
      <c r="T6323" t="s">
        <v>19919</v>
      </c>
    </row>
    <row r="6324" spans="2:20" x14ac:dyDescent="0.25">
      <c r="B6324" t="s">
        <v>2709</v>
      </c>
      <c r="C6324">
        <v>61099000</v>
      </c>
      <c r="E6324">
        <v>0</v>
      </c>
      <c r="F6324">
        <v>18</v>
      </c>
      <c r="G6324">
        <v>0</v>
      </c>
      <c r="H6324">
        <v>7.6</v>
      </c>
      <c r="I6324">
        <v>1.65</v>
      </c>
      <c r="J6324">
        <v>35</v>
      </c>
      <c r="L6324" t="s">
        <v>2709</v>
      </c>
      <c r="M6324">
        <v>61099000</v>
      </c>
      <c r="O6324" t="s">
        <v>19900</v>
      </c>
      <c r="P6324" t="s">
        <v>19899</v>
      </c>
      <c r="Q6324" t="s">
        <v>19900</v>
      </c>
      <c r="R6324" t="s">
        <v>19905</v>
      </c>
      <c r="S6324" t="s">
        <v>19906</v>
      </c>
      <c r="T6324" t="s">
        <v>19919</v>
      </c>
    </row>
    <row r="6325" spans="2:20" x14ac:dyDescent="0.25">
      <c r="B6325" t="s">
        <v>2709</v>
      </c>
      <c r="C6325">
        <v>61101100</v>
      </c>
      <c r="E6325">
        <v>0</v>
      </c>
      <c r="F6325">
        <v>18</v>
      </c>
      <c r="G6325">
        <v>0</v>
      </c>
      <c r="H6325">
        <v>7.6</v>
      </c>
      <c r="I6325">
        <v>1.65</v>
      </c>
      <c r="J6325">
        <v>35</v>
      </c>
      <c r="L6325" t="s">
        <v>2709</v>
      </c>
      <c r="M6325">
        <v>61101100</v>
      </c>
      <c r="O6325" t="s">
        <v>19900</v>
      </c>
      <c r="P6325" t="s">
        <v>19899</v>
      </c>
      <c r="Q6325" t="s">
        <v>19900</v>
      </c>
      <c r="R6325" t="s">
        <v>19905</v>
      </c>
      <c r="S6325" t="s">
        <v>19906</v>
      </c>
      <c r="T6325" t="s">
        <v>19919</v>
      </c>
    </row>
    <row r="6326" spans="2:20" x14ac:dyDescent="0.25">
      <c r="B6326" t="s">
        <v>2709</v>
      </c>
      <c r="C6326">
        <v>61101200</v>
      </c>
      <c r="E6326">
        <v>0</v>
      </c>
      <c r="F6326">
        <v>18</v>
      </c>
      <c r="G6326">
        <v>0</v>
      </c>
      <c r="H6326">
        <v>7.6</v>
      </c>
      <c r="I6326">
        <v>1.65</v>
      </c>
      <c r="J6326">
        <v>35</v>
      </c>
      <c r="L6326" t="s">
        <v>2709</v>
      </c>
      <c r="M6326">
        <v>61101200</v>
      </c>
      <c r="O6326" t="s">
        <v>19900</v>
      </c>
      <c r="P6326" t="s">
        <v>19899</v>
      </c>
      <c r="Q6326" t="s">
        <v>19900</v>
      </c>
      <c r="R6326" t="s">
        <v>19905</v>
      </c>
      <c r="S6326" t="s">
        <v>19906</v>
      </c>
      <c r="T6326" t="s">
        <v>19919</v>
      </c>
    </row>
    <row r="6327" spans="2:20" x14ac:dyDescent="0.25">
      <c r="B6327" t="s">
        <v>2709</v>
      </c>
      <c r="C6327">
        <v>61101900</v>
      </c>
      <c r="E6327">
        <v>0</v>
      </c>
      <c r="F6327">
        <v>18</v>
      </c>
      <c r="G6327">
        <v>0</v>
      </c>
      <c r="H6327">
        <v>7.6</v>
      </c>
      <c r="I6327">
        <v>1.65</v>
      </c>
      <c r="J6327">
        <v>35</v>
      </c>
      <c r="L6327" t="s">
        <v>2709</v>
      </c>
      <c r="M6327">
        <v>61101900</v>
      </c>
      <c r="O6327" t="s">
        <v>19900</v>
      </c>
      <c r="P6327" t="s">
        <v>19899</v>
      </c>
      <c r="Q6327" t="s">
        <v>19900</v>
      </c>
      <c r="R6327" t="s">
        <v>19905</v>
      </c>
      <c r="S6327" t="s">
        <v>19906</v>
      </c>
      <c r="T6327" t="s">
        <v>19919</v>
      </c>
    </row>
    <row r="6328" spans="2:20" x14ac:dyDescent="0.25">
      <c r="B6328" t="s">
        <v>2709</v>
      </c>
      <c r="C6328">
        <v>61102000</v>
      </c>
      <c r="E6328">
        <v>0</v>
      </c>
      <c r="F6328">
        <v>18</v>
      </c>
      <c r="G6328">
        <v>0</v>
      </c>
      <c r="H6328">
        <v>7.6</v>
      </c>
      <c r="I6328">
        <v>1.65</v>
      </c>
      <c r="J6328">
        <v>35</v>
      </c>
      <c r="L6328" t="s">
        <v>2709</v>
      </c>
      <c r="M6328">
        <v>61102000</v>
      </c>
      <c r="O6328" t="s">
        <v>19900</v>
      </c>
      <c r="P6328" t="s">
        <v>19899</v>
      </c>
      <c r="Q6328" t="s">
        <v>19900</v>
      </c>
      <c r="R6328" t="s">
        <v>19905</v>
      </c>
      <c r="S6328" t="s">
        <v>19906</v>
      </c>
      <c r="T6328" t="s">
        <v>19919</v>
      </c>
    </row>
    <row r="6329" spans="2:20" x14ac:dyDescent="0.25">
      <c r="B6329" t="s">
        <v>2709</v>
      </c>
      <c r="C6329">
        <v>61103000</v>
      </c>
      <c r="E6329">
        <v>0</v>
      </c>
      <c r="F6329">
        <v>18</v>
      </c>
      <c r="G6329">
        <v>0</v>
      </c>
      <c r="H6329">
        <v>7.6</v>
      </c>
      <c r="I6329">
        <v>1.65</v>
      </c>
      <c r="J6329">
        <v>35</v>
      </c>
      <c r="L6329" t="s">
        <v>2709</v>
      </c>
      <c r="M6329">
        <v>61103000</v>
      </c>
      <c r="O6329" t="s">
        <v>19900</v>
      </c>
      <c r="P6329" t="s">
        <v>19899</v>
      </c>
      <c r="Q6329" t="s">
        <v>19900</v>
      </c>
      <c r="R6329" t="s">
        <v>19905</v>
      </c>
      <c r="S6329" t="s">
        <v>19906</v>
      </c>
      <c r="T6329" t="s">
        <v>19919</v>
      </c>
    </row>
    <row r="6330" spans="2:20" x14ac:dyDescent="0.25">
      <c r="B6330" t="s">
        <v>2709</v>
      </c>
      <c r="C6330">
        <v>61109000</v>
      </c>
      <c r="E6330">
        <v>0</v>
      </c>
      <c r="F6330">
        <v>18</v>
      </c>
      <c r="G6330">
        <v>0</v>
      </c>
      <c r="H6330">
        <v>7.6</v>
      </c>
      <c r="I6330">
        <v>1.65</v>
      </c>
      <c r="J6330">
        <v>35</v>
      </c>
      <c r="L6330" t="s">
        <v>2709</v>
      </c>
      <c r="M6330">
        <v>61109000</v>
      </c>
      <c r="O6330" t="s">
        <v>19900</v>
      </c>
      <c r="P6330" t="s">
        <v>19899</v>
      </c>
      <c r="Q6330" t="s">
        <v>19900</v>
      </c>
      <c r="R6330" t="s">
        <v>19905</v>
      </c>
      <c r="S6330" t="s">
        <v>19906</v>
      </c>
      <c r="T6330" t="s">
        <v>19919</v>
      </c>
    </row>
    <row r="6331" spans="2:20" x14ac:dyDescent="0.25">
      <c r="B6331" t="s">
        <v>2709</v>
      </c>
      <c r="C6331">
        <v>61112000</v>
      </c>
      <c r="E6331">
        <v>0</v>
      </c>
      <c r="F6331">
        <v>18</v>
      </c>
      <c r="G6331">
        <v>0</v>
      </c>
      <c r="H6331">
        <v>7.6</v>
      </c>
      <c r="I6331">
        <v>1.65</v>
      </c>
      <c r="J6331">
        <v>35</v>
      </c>
      <c r="L6331" t="s">
        <v>2709</v>
      </c>
      <c r="M6331">
        <v>61112000</v>
      </c>
      <c r="O6331" t="s">
        <v>19900</v>
      </c>
      <c r="P6331" t="s">
        <v>19899</v>
      </c>
      <c r="Q6331" t="s">
        <v>19900</v>
      </c>
      <c r="R6331" t="s">
        <v>19905</v>
      </c>
      <c r="S6331" t="s">
        <v>19906</v>
      </c>
      <c r="T6331" t="s">
        <v>19919</v>
      </c>
    </row>
    <row r="6332" spans="2:20" x14ac:dyDescent="0.25">
      <c r="B6332" t="s">
        <v>2709</v>
      </c>
      <c r="C6332">
        <v>61113000</v>
      </c>
      <c r="E6332">
        <v>0</v>
      </c>
      <c r="F6332">
        <v>18</v>
      </c>
      <c r="G6332">
        <v>0</v>
      </c>
      <c r="H6332">
        <v>7.6</v>
      </c>
      <c r="I6332">
        <v>1.65</v>
      </c>
      <c r="J6332">
        <v>35</v>
      </c>
      <c r="L6332" t="s">
        <v>2709</v>
      </c>
      <c r="M6332">
        <v>61113000</v>
      </c>
      <c r="O6332" t="s">
        <v>19900</v>
      </c>
      <c r="P6332" t="s">
        <v>19899</v>
      </c>
      <c r="Q6332" t="s">
        <v>19900</v>
      </c>
      <c r="R6332" t="s">
        <v>19905</v>
      </c>
      <c r="S6332" t="s">
        <v>19906</v>
      </c>
      <c r="T6332" t="s">
        <v>19919</v>
      </c>
    </row>
    <row r="6333" spans="2:20" x14ac:dyDescent="0.25">
      <c r="B6333" t="s">
        <v>2709</v>
      </c>
      <c r="C6333">
        <v>61119010</v>
      </c>
      <c r="E6333">
        <v>0</v>
      </c>
      <c r="F6333">
        <v>18</v>
      </c>
      <c r="G6333">
        <v>0</v>
      </c>
      <c r="H6333">
        <v>7.6</v>
      </c>
      <c r="I6333">
        <v>1.65</v>
      </c>
      <c r="J6333">
        <v>35</v>
      </c>
      <c r="L6333" t="s">
        <v>2709</v>
      </c>
      <c r="M6333">
        <v>61119010</v>
      </c>
      <c r="O6333" t="s">
        <v>19900</v>
      </c>
      <c r="P6333" t="s">
        <v>19899</v>
      </c>
      <c r="Q6333" t="s">
        <v>19900</v>
      </c>
      <c r="R6333" t="s">
        <v>19905</v>
      </c>
      <c r="S6333" t="s">
        <v>19906</v>
      </c>
      <c r="T6333" t="s">
        <v>19919</v>
      </c>
    </row>
    <row r="6334" spans="2:20" x14ac:dyDescent="0.25">
      <c r="B6334" t="s">
        <v>2709</v>
      </c>
      <c r="C6334">
        <v>61119090</v>
      </c>
      <c r="E6334">
        <v>0</v>
      </c>
      <c r="F6334">
        <v>18</v>
      </c>
      <c r="G6334">
        <v>0</v>
      </c>
      <c r="H6334">
        <v>7.6</v>
      </c>
      <c r="I6334">
        <v>1.65</v>
      </c>
      <c r="J6334">
        <v>35</v>
      </c>
      <c r="L6334" t="s">
        <v>2709</v>
      </c>
      <c r="M6334">
        <v>61119090</v>
      </c>
      <c r="O6334" t="s">
        <v>19900</v>
      </c>
      <c r="P6334" t="s">
        <v>19899</v>
      </c>
      <c r="Q6334" t="s">
        <v>19900</v>
      </c>
      <c r="R6334" t="s">
        <v>19905</v>
      </c>
      <c r="S6334" t="s">
        <v>19906</v>
      </c>
      <c r="T6334" t="s">
        <v>19919</v>
      </c>
    </row>
    <row r="6335" spans="2:20" x14ac:dyDescent="0.25">
      <c r="B6335" t="s">
        <v>2709</v>
      </c>
      <c r="C6335">
        <v>61121100</v>
      </c>
      <c r="E6335">
        <v>0</v>
      </c>
      <c r="F6335">
        <v>18</v>
      </c>
      <c r="G6335">
        <v>0</v>
      </c>
      <c r="H6335">
        <v>7.6</v>
      </c>
      <c r="I6335">
        <v>1.65</v>
      </c>
      <c r="J6335">
        <v>35</v>
      </c>
      <c r="L6335" t="s">
        <v>2709</v>
      </c>
      <c r="M6335">
        <v>61121100</v>
      </c>
      <c r="O6335" t="s">
        <v>19900</v>
      </c>
      <c r="P6335" t="s">
        <v>19899</v>
      </c>
      <c r="Q6335" t="s">
        <v>19900</v>
      </c>
      <c r="R6335" t="s">
        <v>19905</v>
      </c>
      <c r="S6335" t="s">
        <v>19906</v>
      </c>
      <c r="T6335" t="s">
        <v>19919</v>
      </c>
    </row>
    <row r="6336" spans="2:20" x14ac:dyDescent="0.25">
      <c r="B6336" t="s">
        <v>2709</v>
      </c>
      <c r="C6336">
        <v>61121200</v>
      </c>
      <c r="E6336">
        <v>0</v>
      </c>
      <c r="F6336">
        <v>18</v>
      </c>
      <c r="G6336">
        <v>0</v>
      </c>
      <c r="H6336">
        <v>7.6</v>
      </c>
      <c r="I6336">
        <v>1.65</v>
      </c>
      <c r="J6336">
        <v>35</v>
      </c>
      <c r="L6336" t="s">
        <v>2709</v>
      </c>
      <c r="M6336">
        <v>61121200</v>
      </c>
      <c r="O6336" t="s">
        <v>19900</v>
      </c>
      <c r="P6336" t="s">
        <v>19899</v>
      </c>
      <c r="Q6336" t="s">
        <v>19900</v>
      </c>
      <c r="R6336" t="s">
        <v>19905</v>
      </c>
      <c r="S6336" t="s">
        <v>19906</v>
      </c>
      <c r="T6336" t="s">
        <v>19919</v>
      </c>
    </row>
    <row r="6337" spans="2:20" x14ac:dyDescent="0.25">
      <c r="B6337" t="s">
        <v>2709</v>
      </c>
      <c r="C6337">
        <v>61121900</v>
      </c>
      <c r="E6337">
        <v>0</v>
      </c>
      <c r="F6337">
        <v>18</v>
      </c>
      <c r="G6337">
        <v>0</v>
      </c>
      <c r="H6337">
        <v>7.6</v>
      </c>
      <c r="I6337">
        <v>1.65</v>
      </c>
      <c r="J6337">
        <v>35</v>
      </c>
      <c r="L6337" t="s">
        <v>2709</v>
      </c>
      <c r="M6337">
        <v>61121900</v>
      </c>
      <c r="O6337" t="s">
        <v>19900</v>
      </c>
      <c r="P6337" t="s">
        <v>19899</v>
      </c>
      <c r="Q6337" t="s">
        <v>19900</v>
      </c>
      <c r="R6337" t="s">
        <v>19905</v>
      </c>
      <c r="S6337" t="s">
        <v>19906</v>
      </c>
      <c r="T6337" t="s">
        <v>19919</v>
      </c>
    </row>
    <row r="6338" spans="2:20" x14ac:dyDescent="0.25">
      <c r="B6338" t="s">
        <v>2709</v>
      </c>
      <c r="C6338">
        <v>61122000</v>
      </c>
      <c r="E6338">
        <v>0</v>
      </c>
      <c r="F6338">
        <v>18</v>
      </c>
      <c r="G6338">
        <v>0</v>
      </c>
      <c r="H6338">
        <v>7.6</v>
      </c>
      <c r="I6338">
        <v>1.65</v>
      </c>
      <c r="J6338">
        <v>35</v>
      </c>
      <c r="L6338" t="s">
        <v>2709</v>
      </c>
      <c r="M6338">
        <v>61122000</v>
      </c>
      <c r="O6338" t="s">
        <v>19900</v>
      </c>
      <c r="P6338" t="s">
        <v>19899</v>
      </c>
      <c r="Q6338" t="s">
        <v>19900</v>
      </c>
      <c r="R6338" t="s">
        <v>19905</v>
      </c>
      <c r="S6338" t="s">
        <v>19906</v>
      </c>
      <c r="T6338" t="s">
        <v>19919</v>
      </c>
    </row>
    <row r="6339" spans="2:20" x14ac:dyDescent="0.25">
      <c r="B6339" t="s">
        <v>2709</v>
      </c>
      <c r="C6339">
        <v>61123100</v>
      </c>
      <c r="E6339">
        <v>0</v>
      </c>
      <c r="F6339">
        <v>18</v>
      </c>
      <c r="G6339">
        <v>0</v>
      </c>
      <c r="H6339">
        <v>7.6</v>
      </c>
      <c r="I6339">
        <v>1.65</v>
      </c>
      <c r="J6339">
        <v>35</v>
      </c>
      <c r="L6339" t="s">
        <v>2709</v>
      </c>
      <c r="M6339">
        <v>61123100</v>
      </c>
      <c r="O6339" t="s">
        <v>19900</v>
      </c>
      <c r="P6339" t="s">
        <v>19899</v>
      </c>
      <c r="Q6339" t="s">
        <v>19900</v>
      </c>
      <c r="R6339" t="s">
        <v>19905</v>
      </c>
      <c r="S6339" t="s">
        <v>19906</v>
      </c>
      <c r="T6339" t="s">
        <v>19919</v>
      </c>
    </row>
    <row r="6340" spans="2:20" x14ac:dyDescent="0.25">
      <c r="B6340" t="s">
        <v>2709</v>
      </c>
      <c r="C6340">
        <v>61123900</v>
      </c>
      <c r="E6340">
        <v>0</v>
      </c>
      <c r="F6340">
        <v>18</v>
      </c>
      <c r="G6340">
        <v>0</v>
      </c>
      <c r="H6340">
        <v>7.6</v>
      </c>
      <c r="I6340">
        <v>1.65</v>
      </c>
      <c r="J6340">
        <v>35</v>
      </c>
      <c r="L6340" t="s">
        <v>2709</v>
      </c>
      <c r="M6340">
        <v>61123900</v>
      </c>
      <c r="O6340" t="s">
        <v>19900</v>
      </c>
      <c r="P6340" t="s">
        <v>19899</v>
      </c>
      <c r="Q6340" t="s">
        <v>19900</v>
      </c>
      <c r="R6340" t="s">
        <v>19905</v>
      </c>
      <c r="S6340" t="s">
        <v>19906</v>
      </c>
      <c r="T6340" t="s">
        <v>19919</v>
      </c>
    </row>
    <row r="6341" spans="2:20" x14ac:dyDescent="0.25">
      <c r="B6341" t="s">
        <v>2709</v>
      </c>
      <c r="C6341">
        <v>61124100</v>
      </c>
      <c r="E6341">
        <v>0</v>
      </c>
      <c r="F6341">
        <v>18</v>
      </c>
      <c r="G6341">
        <v>0</v>
      </c>
      <c r="H6341">
        <v>7.6</v>
      </c>
      <c r="I6341">
        <v>1.65</v>
      </c>
      <c r="J6341">
        <v>35</v>
      </c>
      <c r="L6341" t="s">
        <v>2709</v>
      </c>
      <c r="M6341">
        <v>61124100</v>
      </c>
      <c r="O6341" t="s">
        <v>19900</v>
      </c>
      <c r="P6341" t="s">
        <v>19899</v>
      </c>
      <c r="Q6341" t="s">
        <v>19900</v>
      </c>
      <c r="R6341" t="s">
        <v>19905</v>
      </c>
      <c r="S6341" t="s">
        <v>19906</v>
      </c>
      <c r="T6341" t="s">
        <v>19919</v>
      </c>
    </row>
    <row r="6342" spans="2:20" x14ac:dyDescent="0.25">
      <c r="B6342" t="s">
        <v>2709</v>
      </c>
      <c r="C6342">
        <v>61124900</v>
      </c>
      <c r="E6342">
        <v>0</v>
      </c>
      <c r="F6342">
        <v>18</v>
      </c>
      <c r="G6342">
        <v>0</v>
      </c>
      <c r="H6342">
        <v>7.6</v>
      </c>
      <c r="I6342">
        <v>1.65</v>
      </c>
      <c r="J6342">
        <v>35</v>
      </c>
      <c r="L6342" t="s">
        <v>2709</v>
      </c>
      <c r="M6342">
        <v>61124900</v>
      </c>
      <c r="O6342" t="s">
        <v>19900</v>
      </c>
      <c r="P6342" t="s">
        <v>19899</v>
      </c>
      <c r="Q6342" t="s">
        <v>19900</v>
      </c>
      <c r="R6342" t="s">
        <v>19905</v>
      </c>
      <c r="S6342" t="s">
        <v>19906</v>
      </c>
      <c r="T6342" t="s">
        <v>19919</v>
      </c>
    </row>
    <row r="6343" spans="2:20" x14ac:dyDescent="0.25">
      <c r="B6343" t="s">
        <v>2709</v>
      </c>
      <c r="C6343">
        <v>61130000</v>
      </c>
      <c r="E6343">
        <v>0</v>
      </c>
      <c r="F6343">
        <v>18</v>
      </c>
      <c r="G6343">
        <v>0</v>
      </c>
      <c r="H6343">
        <v>7.6</v>
      </c>
      <c r="I6343">
        <v>1.65</v>
      </c>
      <c r="J6343">
        <v>35</v>
      </c>
      <c r="L6343" t="s">
        <v>2709</v>
      </c>
      <c r="M6343">
        <v>61130000</v>
      </c>
      <c r="O6343" t="s">
        <v>19900</v>
      </c>
      <c r="P6343" t="s">
        <v>19899</v>
      </c>
      <c r="Q6343" t="s">
        <v>19900</v>
      </c>
      <c r="R6343" t="s">
        <v>19905</v>
      </c>
      <c r="S6343" t="s">
        <v>19906</v>
      </c>
      <c r="T6343" t="s">
        <v>19919</v>
      </c>
    </row>
    <row r="6344" spans="2:20" x14ac:dyDescent="0.25">
      <c r="B6344" t="s">
        <v>2709</v>
      </c>
      <c r="C6344">
        <v>61142000</v>
      </c>
      <c r="E6344">
        <v>0</v>
      </c>
      <c r="F6344">
        <v>18</v>
      </c>
      <c r="G6344">
        <v>0</v>
      </c>
      <c r="H6344">
        <v>7.6</v>
      </c>
      <c r="I6344">
        <v>1.65</v>
      </c>
      <c r="J6344">
        <v>35</v>
      </c>
      <c r="L6344" t="s">
        <v>2709</v>
      </c>
      <c r="M6344">
        <v>61142000</v>
      </c>
      <c r="O6344" t="s">
        <v>19900</v>
      </c>
      <c r="P6344" t="s">
        <v>19899</v>
      </c>
      <c r="Q6344" t="s">
        <v>19900</v>
      </c>
      <c r="R6344" t="s">
        <v>19905</v>
      </c>
      <c r="S6344" t="s">
        <v>19906</v>
      </c>
      <c r="T6344" t="s">
        <v>19919</v>
      </c>
    </row>
    <row r="6345" spans="2:20" x14ac:dyDescent="0.25">
      <c r="B6345" t="s">
        <v>2709</v>
      </c>
      <c r="C6345">
        <v>61143000</v>
      </c>
      <c r="E6345">
        <v>0</v>
      </c>
      <c r="F6345">
        <v>18</v>
      </c>
      <c r="G6345">
        <v>0</v>
      </c>
      <c r="H6345">
        <v>7.6</v>
      </c>
      <c r="I6345">
        <v>1.65</v>
      </c>
      <c r="J6345">
        <v>35</v>
      </c>
      <c r="L6345" t="s">
        <v>2709</v>
      </c>
      <c r="M6345">
        <v>61143000</v>
      </c>
      <c r="O6345" t="s">
        <v>19900</v>
      </c>
      <c r="P6345" t="s">
        <v>19899</v>
      </c>
      <c r="Q6345" t="s">
        <v>19900</v>
      </c>
      <c r="R6345" t="s">
        <v>19905</v>
      </c>
      <c r="S6345" t="s">
        <v>19906</v>
      </c>
      <c r="T6345" t="s">
        <v>19919</v>
      </c>
    </row>
    <row r="6346" spans="2:20" x14ac:dyDescent="0.25">
      <c r="B6346" t="s">
        <v>2709</v>
      </c>
      <c r="C6346">
        <v>61149010</v>
      </c>
      <c r="E6346">
        <v>0</v>
      </c>
      <c r="F6346">
        <v>18</v>
      </c>
      <c r="G6346">
        <v>0</v>
      </c>
      <c r="H6346">
        <v>7.6</v>
      </c>
      <c r="I6346">
        <v>1.65</v>
      </c>
      <c r="J6346">
        <v>35</v>
      </c>
      <c r="L6346" t="s">
        <v>2709</v>
      </c>
      <c r="M6346">
        <v>61149010</v>
      </c>
      <c r="O6346" t="s">
        <v>19900</v>
      </c>
      <c r="P6346" t="s">
        <v>19899</v>
      </c>
      <c r="Q6346" t="s">
        <v>19900</v>
      </c>
      <c r="R6346" t="s">
        <v>19905</v>
      </c>
      <c r="S6346" t="s">
        <v>19906</v>
      </c>
      <c r="T6346" t="s">
        <v>19919</v>
      </c>
    </row>
    <row r="6347" spans="2:20" x14ac:dyDescent="0.25">
      <c r="B6347" t="s">
        <v>2709</v>
      </c>
      <c r="C6347">
        <v>61149090</v>
      </c>
      <c r="E6347">
        <v>0</v>
      </c>
      <c r="F6347">
        <v>18</v>
      </c>
      <c r="G6347">
        <v>0</v>
      </c>
      <c r="H6347">
        <v>7.6</v>
      </c>
      <c r="I6347">
        <v>1.65</v>
      </c>
      <c r="J6347">
        <v>35</v>
      </c>
      <c r="L6347" t="s">
        <v>2709</v>
      </c>
      <c r="M6347">
        <v>61149090</v>
      </c>
      <c r="O6347" t="s">
        <v>19900</v>
      </c>
      <c r="P6347" t="s">
        <v>19899</v>
      </c>
      <c r="Q6347" t="s">
        <v>19900</v>
      </c>
      <c r="R6347" t="s">
        <v>19905</v>
      </c>
      <c r="S6347" t="s">
        <v>19906</v>
      </c>
      <c r="T6347" t="s">
        <v>19919</v>
      </c>
    </row>
    <row r="6348" spans="2:20" x14ac:dyDescent="0.25">
      <c r="B6348" t="s">
        <v>2709</v>
      </c>
      <c r="C6348">
        <v>61151011</v>
      </c>
      <c r="E6348">
        <v>0</v>
      </c>
      <c r="F6348">
        <v>18</v>
      </c>
      <c r="G6348">
        <v>0</v>
      </c>
      <c r="H6348">
        <v>7.6</v>
      </c>
      <c r="I6348">
        <v>1.65</v>
      </c>
      <c r="J6348">
        <v>35</v>
      </c>
      <c r="L6348" t="s">
        <v>2709</v>
      </c>
      <c r="M6348">
        <v>61151011</v>
      </c>
      <c r="O6348" t="s">
        <v>19900</v>
      </c>
      <c r="P6348" t="s">
        <v>19899</v>
      </c>
      <c r="Q6348" t="s">
        <v>19900</v>
      </c>
      <c r="R6348" t="s">
        <v>19905</v>
      </c>
      <c r="S6348" t="s">
        <v>19906</v>
      </c>
      <c r="T6348" t="s">
        <v>19919</v>
      </c>
    </row>
    <row r="6349" spans="2:20" x14ac:dyDescent="0.25">
      <c r="B6349" t="s">
        <v>2709</v>
      </c>
      <c r="C6349">
        <v>61151012</v>
      </c>
      <c r="E6349">
        <v>0</v>
      </c>
      <c r="F6349">
        <v>18</v>
      </c>
      <c r="G6349">
        <v>0</v>
      </c>
      <c r="H6349">
        <v>7.6</v>
      </c>
      <c r="I6349">
        <v>1.65</v>
      </c>
      <c r="J6349">
        <v>35</v>
      </c>
      <c r="L6349" t="s">
        <v>2709</v>
      </c>
      <c r="M6349">
        <v>61151012</v>
      </c>
      <c r="O6349" t="s">
        <v>19900</v>
      </c>
      <c r="P6349" t="s">
        <v>19899</v>
      </c>
      <c r="Q6349" t="s">
        <v>19900</v>
      </c>
      <c r="R6349" t="s">
        <v>19905</v>
      </c>
      <c r="S6349" t="s">
        <v>19906</v>
      </c>
      <c r="T6349" t="s">
        <v>19919</v>
      </c>
    </row>
    <row r="6350" spans="2:20" x14ac:dyDescent="0.25">
      <c r="B6350" t="s">
        <v>2709</v>
      </c>
      <c r="C6350">
        <v>61151013</v>
      </c>
      <c r="E6350">
        <v>0</v>
      </c>
      <c r="F6350">
        <v>18</v>
      </c>
      <c r="G6350">
        <v>0</v>
      </c>
      <c r="H6350">
        <v>7.6</v>
      </c>
      <c r="I6350">
        <v>1.65</v>
      </c>
      <c r="J6350">
        <v>35</v>
      </c>
      <c r="L6350" t="s">
        <v>2709</v>
      </c>
      <c r="M6350">
        <v>61151013</v>
      </c>
      <c r="O6350" t="s">
        <v>19900</v>
      </c>
      <c r="P6350" t="s">
        <v>19899</v>
      </c>
      <c r="Q6350" t="s">
        <v>19900</v>
      </c>
      <c r="R6350" t="s">
        <v>19905</v>
      </c>
      <c r="S6350" t="s">
        <v>19906</v>
      </c>
      <c r="T6350" t="s">
        <v>19919</v>
      </c>
    </row>
    <row r="6351" spans="2:20" x14ac:dyDescent="0.25">
      <c r="B6351" t="s">
        <v>2709</v>
      </c>
      <c r="C6351">
        <v>61151014</v>
      </c>
      <c r="E6351">
        <v>0</v>
      </c>
      <c r="F6351">
        <v>18</v>
      </c>
      <c r="G6351">
        <v>0</v>
      </c>
      <c r="H6351">
        <v>7.6</v>
      </c>
      <c r="I6351">
        <v>1.65</v>
      </c>
      <c r="J6351">
        <v>35</v>
      </c>
      <c r="L6351" t="s">
        <v>2709</v>
      </c>
      <c r="M6351">
        <v>61151014</v>
      </c>
      <c r="O6351" t="s">
        <v>19900</v>
      </c>
      <c r="P6351" t="s">
        <v>19899</v>
      </c>
      <c r="Q6351" t="s">
        <v>19900</v>
      </c>
      <c r="R6351" t="s">
        <v>19905</v>
      </c>
      <c r="S6351" t="s">
        <v>19906</v>
      </c>
      <c r="T6351" t="s">
        <v>19919</v>
      </c>
    </row>
    <row r="6352" spans="2:20" x14ac:dyDescent="0.25">
      <c r="B6352" t="s">
        <v>2709</v>
      </c>
      <c r="C6352">
        <v>61151019</v>
      </c>
      <c r="E6352">
        <v>0</v>
      </c>
      <c r="F6352">
        <v>18</v>
      </c>
      <c r="G6352">
        <v>0</v>
      </c>
      <c r="H6352">
        <v>7.6</v>
      </c>
      <c r="I6352">
        <v>1.65</v>
      </c>
      <c r="J6352">
        <v>35</v>
      </c>
      <c r="L6352" t="s">
        <v>2709</v>
      </c>
      <c r="M6352">
        <v>61151019</v>
      </c>
      <c r="O6352" t="s">
        <v>19900</v>
      </c>
      <c r="P6352" t="s">
        <v>19899</v>
      </c>
      <c r="Q6352" t="s">
        <v>19900</v>
      </c>
      <c r="R6352" t="s">
        <v>19905</v>
      </c>
      <c r="S6352" t="s">
        <v>19906</v>
      </c>
      <c r="T6352" t="s">
        <v>19919</v>
      </c>
    </row>
    <row r="6353" spans="2:20" x14ac:dyDescent="0.25">
      <c r="B6353" t="s">
        <v>2709</v>
      </c>
      <c r="C6353">
        <v>61151021</v>
      </c>
      <c r="E6353">
        <v>0</v>
      </c>
      <c r="F6353">
        <v>18</v>
      </c>
      <c r="G6353">
        <v>0</v>
      </c>
      <c r="H6353">
        <v>7.6</v>
      </c>
      <c r="I6353">
        <v>1.65</v>
      </c>
      <c r="J6353">
        <v>35</v>
      </c>
      <c r="L6353" t="s">
        <v>2709</v>
      </c>
      <c r="M6353">
        <v>61151021</v>
      </c>
      <c r="O6353" t="s">
        <v>19900</v>
      </c>
      <c r="P6353" t="s">
        <v>19899</v>
      </c>
      <c r="Q6353" t="s">
        <v>19900</v>
      </c>
      <c r="R6353" t="s">
        <v>19905</v>
      </c>
      <c r="S6353" t="s">
        <v>19906</v>
      </c>
      <c r="T6353" t="s">
        <v>19919</v>
      </c>
    </row>
    <row r="6354" spans="2:20" x14ac:dyDescent="0.25">
      <c r="B6354" t="s">
        <v>2709</v>
      </c>
      <c r="C6354">
        <v>61151022</v>
      </c>
      <c r="E6354">
        <v>0</v>
      </c>
      <c r="F6354">
        <v>18</v>
      </c>
      <c r="G6354">
        <v>0</v>
      </c>
      <c r="H6354">
        <v>7.6</v>
      </c>
      <c r="I6354">
        <v>1.65</v>
      </c>
      <c r="J6354">
        <v>35</v>
      </c>
      <c r="L6354" t="s">
        <v>2709</v>
      </c>
      <c r="M6354">
        <v>61151022</v>
      </c>
      <c r="O6354" t="s">
        <v>19900</v>
      </c>
      <c r="P6354" t="s">
        <v>19899</v>
      </c>
      <c r="Q6354" t="s">
        <v>19900</v>
      </c>
      <c r="R6354" t="s">
        <v>19905</v>
      </c>
      <c r="S6354" t="s">
        <v>19906</v>
      </c>
      <c r="T6354" t="s">
        <v>19919</v>
      </c>
    </row>
    <row r="6355" spans="2:20" x14ac:dyDescent="0.25">
      <c r="B6355" t="s">
        <v>2709</v>
      </c>
      <c r="C6355">
        <v>61151029</v>
      </c>
      <c r="E6355">
        <v>0</v>
      </c>
      <c r="F6355">
        <v>18</v>
      </c>
      <c r="G6355">
        <v>0</v>
      </c>
      <c r="H6355">
        <v>7.6</v>
      </c>
      <c r="I6355">
        <v>1.65</v>
      </c>
      <c r="J6355">
        <v>35</v>
      </c>
      <c r="L6355" t="s">
        <v>2709</v>
      </c>
      <c r="M6355">
        <v>61151029</v>
      </c>
      <c r="O6355" t="s">
        <v>19900</v>
      </c>
      <c r="P6355" t="s">
        <v>19899</v>
      </c>
      <c r="Q6355" t="s">
        <v>19900</v>
      </c>
      <c r="R6355" t="s">
        <v>19905</v>
      </c>
      <c r="S6355" t="s">
        <v>19906</v>
      </c>
      <c r="T6355" t="s">
        <v>19919</v>
      </c>
    </row>
    <row r="6356" spans="2:20" x14ac:dyDescent="0.25">
      <c r="B6356" t="s">
        <v>2709</v>
      </c>
      <c r="C6356">
        <v>61151091</v>
      </c>
      <c r="E6356">
        <v>0</v>
      </c>
      <c r="F6356">
        <v>18</v>
      </c>
      <c r="G6356">
        <v>0</v>
      </c>
      <c r="H6356">
        <v>7.6</v>
      </c>
      <c r="I6356">
        <v>1.65</v>
      </c>
      <c r="J6356">
        <v>35</v>
      </c>
      <c r="L6356" t="s">
        <v>2709</v>
      </c>
      <c r="M6356">
        <v>61151091</v>
      </c>
      <c r="O6356" t="s">
        <v>19900</v>
      </c>
      <c r="P6356" t="s">
        <v>19899</v>
      </c>
      <c r="Q6356" t="s">
        <v>19900</v>
      </c>
      <c r="R6356" t="s">
        <v>19905</v>
      </c>
      <c r="S6356" t="s">
        <v>19906</v>
      </c>
      <c r="T6356" t="s">
        <v>19919</v>
      </c>
    </row>
    <row r="6357" spans="2:20" x14ac:dyDescent="0.25">
      <c r="B6357" t="s">
        <v>2709</v>
      </c>
      <c r="C6357">
        <v>61151092</v>
      </c>
      <c r="E6357">
        <v>0</v>
      </c>
      <c r="F6357">
        <v>18</v>
      </c>
      <c r="G6357">
        <v>0</v>
      </c>
      <c r="H6357">
        <v>7.6</v>
      </c>
      <c r="I6357">
        <v>1.65</v>
      </c>
      <c r="J6357">
        <v>35</v>
      </c>
      <c r="L6357" t="s">
        <v>2709</v>
      </c>
      <c r="M6357">
        <v>61151092</v>
      </c>
      <c r="O6357" t="s">
        <v>19900</v>
      </c>
      <c r="P6357" t="s">
        <v>19899</v>
      </c>
      <c r="Q6357" t="s">
        <v>19900</v>
      </c>
      <c r="R6357" t="s">
        <v>19905</v>
      </c>
      <c r="S6357" t="s">
        <v>19906</v>
      </c>
      <c r="T6357" t="s">
        <v>19919</v>
      </c>
    </row>
    <row r="6358" spans="2:20" x14ac:dyDescent="0.25">
      <c r="B6358" t="s">
        <v>2709</v>
      </c>
      <c r="C6358">
        <v>61151093</v>
      </c>
      <c r="E6358">
        <v>0</v>
      </c>
      <c r="F6358">
        <v>18</v>
      </c>
      <c r="G6358">
        <v>0</v>
      </c>
      <c r="H6358">
        <v>7.6</v>
      </c>
      <c r="I6358">
        <v>1.65</v>
      </c>
      <c r="J6358">
        <v>35</v>
      </c>
      <c r="L6358" t="s">
        <v>2709</v>
      </c>
      <c r="M6358">
        <v>61151093</v>
      </c>
      <c r="O6358" t="s">
        <v>19900</v>
      </c>
      <c r="P6358" t="s">
        <v>19899</v>
      </c>
      <c r="Q6358" t="s">
        <v>19900</v>
      </c>
      <c r="R6358" t="s">
        <v>19905</v>
      </c>
      <c r="S6358" t="s">
        <v>19906</v>
      </c>
      <c r="T6358" t="s">
        <v>19919</v>
      </c>
    </row>
    <row r="6359" spans="2:20" x14ac:dyDescent="0.25">
      <c r="B6359" t="s">
        <v>2709</v>
      </c>
      <c r="C6359">
        <v>61151099</v>
      </c>
      <c r="E6359">
        <v>0</v>
      </c>
      <c r="F6359">
        <v>18</v>
      </c>
      <c r="G6359">
        <v>0</v>
      </c>
      <c r="H6359">
        <v>7.6</v>
      </c>
      <c r="I6359">
        <v>1.65</v>
      </c>
      <c r="J6359">
        <v>35</v>
      </c>
      <c r="L6359" t="s">
        <v>2709</v>
      </c>
      <c r="M6359">
        <v>61151099</v>
      </c>
      <c r="O6359" t="s">
        <v>19900</v>
      </c>
      <c r="P6359" t="s">
        <v>19899</v>
      </c>
      <c r="Q6359" t="s">
        <v>19900</v>
      </c>
      <c r="R6359" t="s">
        <v>19905</v>
      </c>
      <c r="S6359" t="s">
        <v>19906</v>
      </c>
      <c r="T6359" t="s">
        <v>19919</v>
      </c>
    </row>
    <row r="6360" spans="2:20" x14ac:dyDescent="0.25">
      <c r="B6360" t="s">
        <v>2709</v>
      </c>
      <c r="C6360">
        <v>61152100</v>
      </c>
      <c r="E6360">
        <v>0</v>
      </c>
      <c r="F6360">
        <v>18</v>
      </c>
      <c r="G6360">
        <v>0</v>
      </c>
      <c r="H6360">
        <v>7.6</v>
      </c>
      <c r="I6360">
        <v>1.65</v>
      </c>
      <c r="J6360">
        <v>35</v>
      </c>
      <c r="L6360" t="s">
        <v>2709</v>
      </c>
      <c r="M6360">
        <v>61152100</v>
      </c>
      <c r="O6360" t="s">
        <v>19900</v>
      </c>
      <c r="P6360" t="s">
        <v>19899</v>
      </c>
      <c r="Q6360" t="s">
        <v>19900</v>
      </c>
      <c r="R6360" t="s">
        <v>19905</v>
      </c>
      <c r="S6360" t="s">
        <v>19906</v>
      </c>
      <c r="T6360" t="s">
        <v>19919</v>
      </c>
    </row>
    <row r="6361" spans="2:20" x14ac:dyDescent="0.25">
      <c r="B6361" t="s">
        <v>2709</v>
      </c>
      <c r="C6361">
        <v>61152200</v>
      </c>
      <c r="E6361">
        <v>0</v>
      </c>
      <c r="F6361">
        <v>18</v>
      </c>
      <c r="G6361">
        <v>0</v>
      </c>
      <c r="H6361">
        <v>7.6</v>
      </c>
      <c r="I6361">
        <v>1.65</v>
      </c>
      <c r="J6361">
        <v>35</v>
      </c>
      <c r="L6361" t="s">
        <v>2709</v>
      </c>
      <c r="M6361">
        <v>61152200</v>
      </c>
      <c r="O6361" t="s">
        <v>19900</v>
      </c>
      <c r="P6361" t="s">
        <v>19899</v>
      </c>
      <c r="Q6361" t="s">
        <v>19900</v>
      </c>
      <c r="R6361" t="s">
        <v>19905</v>
      </c>
      <c r="S6361" t="s">
        <v>19906</v>
      </c>
      <c r="T6361" t="s">
        <v>19919</v>
      </c>
    </row>
    <row r="6362" spans="2:20" x14ac:dyDescent="0.25">
      <c r="B6362" t="s">
        <v>2709</v>
      </c>
      <c r="C6362">
        <v>61152910</v>
      </c>
      <c r="E6362">
        <v>0</v>
      </c>
      <c r="F6362">
        <v>18</v>
      </c>
      <c r="G6362">
        <v>0</v>
      </c>
      <c r="H6362">
        <v>7.6</v>
      </c>
      <c r="I6362">
        <v>1.65</v>
      </c>
      <c r="J6362">
        <v>35</v>
      </c>
      <c r="L6362" t="s">
        <v>2709</v>
      </c>
      <c r="M6362">
        <v>61152910</v>
      </c>
      <c r="O6362" t="s">
        <v>19900</v>
      </c>
      <c r="P6362" t="s">
        <v>19899</v>
      </c>
      <c r="Q6362" t="s">
        <v>19900</v>
      </c>
      <c r="R6362" t="s">
        <v>19905</v>
      </c>
      <c r="S6362" t="s">
        <v>19906</v>
      </c>
      <c r="T6362" t="s">
        <v>19919</v>
      </c>
    </row>
    <row r="6363" spans="2:20" x14ac:dyDescent="0.25">
      <c r="B6363" t="s">
        <v>2709</v>
      </c>
      <c r="C6363">
        <v>61152920</v>
      </c>
      <c r="E6363">
        <v>0</v>
      </c>
      <c r="F6363">
        <v>18</v>
      </c>
      <c r="G6363">
        <v>0</v>
      </c>
      <c r="H6363">
        <v>7.6</v>
      </c>
      <c r="I6363">
        <v>1.65</v>
      </c>
      <c r="J6363">
        <v>35</v>
      </c>
      <c r="L6363" t="s">
        <v>2709</v>
      </c>
      <c r="M6363">
        <v>61152920</v>
      </c>
      <c r="O6363" t="s">
        <v>19900</v>
      </c>
      <c r="P6363" t="s">
        <v>19899</v>
      </c>
      <c r="Q6363" t="s">
        <v>19900</v>
      </c>
      <c r="R6363" t="s">
        <v>19905</v>
      </c>
      <c r="S6363" t="s">
        <v>19906</v>
      </c>
      <c r="T6363" t="s">
        <v>19919</v>
      </c>
    </row>
    <row r="6364" spans="2:20" x14ac:dyDescent="0.25">
      <c r="B6364" t="s">
        <v>2709</v>
      </c>
      <c r="C6364">
        <v>61152990</v>
      </c>
      <c r="E6364">
        <v>0</v>
      </c>
      <c r="F6364">
        <v>18</v>
      </c>
      <c r="G6364">
        <v>0</v>
      </c>
      <c r="H6364">
        <v>7.6</v>
      </c>
      <c r="I6364">
        <v>1.65</v>
      </c>
      <c r="J6364">
        <v>35</v>
      </c>
      <c r="L6364" t="s">
        <v>2709</v>
      </c>
      <c r="M6364">
        <v>61152990</v>
      </c>
      <c r="O6364" t="s">
        <v>19900</v>
      </c>
      <c r="P6364" t="s">
        <v>19899</v>
      </c>
      <c r="Q6364" t="s">
        <v>19900</v>
      </c>
      <c r="R6364" t="s">
        <v>19905</v>
      </c>
      <c r="S6364" t="s">
        <v>19906</v>
      </c>
      <c r="T6364" t="s">
        <v>19919</v>
      </c>
    </row>
    <row r="6365" spans="2:20" x14ac:dyDescent="0.25">
      <c r="B6365" t="s">
        <v>2709</v>
      </c>
      <c r="C6365">
        <v>61153010</v>
      </c>
      <c r="E6365">
        <v>0</v>
      </c>
      <c r="F6365">
        <v>18</v>
      </c>
      <c r="G6365">
        <v>0</v>
      </c>
      <c r="H6365">
        <v>7.6</v>
      </c>
      <c r="I6365">
        <v>1.65</v>
      </c>
      <c r="J6365">
        <v>35</v>
      </c>
      <c r="L6365" t="s">
        <v>2709</v>
      </c>
      <c r="M6365">
        <v>61153010</v>
      </c>
      <c r="O6365" t="s">
        <v>19900</v>
      </c>
      <c r="P6365" t="s">
        <v>19899</v>
      </c>
      <c r="Q6365" t="s">
        <v>19900</v>
      </c>
      <c r="R6365" t="s">
        <v>19905</v>
      </c>
      <c r="S6365" t="s">
        <v>19906</v>
      </c>
      <c r="T6365" t="s">
        <v>19919</v>
      </c>
    </row>
    <row r="6366" spans="2:20" x14ac:dyDescent="0.25">
      <c r="B6366" t="s">
        <v>2709</v>
      </c>
      <c r="C6366">
        <v>61153020</v>
      </c>
      <c r="E6366">
        <v>0</v>
      </c>
      <c r="F6366">
        <v>18</v>
      </c>
      <c r="G6366">
        <v>0</v>
      </c>
      <c r="H6366">
        <v>7.6</v>
      </c>
      <c r="I6366">
        <v>1.65</v>
      </c>
      <c r="J6366">
        <v>35</v>
      </c>
      <c r="L6366" t="s">
        <v>2709</v>
      </c>
      <c r="M6366">
        <v>61153020</v>
      </c>
      <c r="O6366" t="s">
        <v>19900</v>
      </c>
      <c r="P6366" t="s">
        <v>19899</v>
      </c>
      <c r="Q6366" t="s">
        <v>19900</v>
      </c>
      <c r="R6366" t="s">
        <v>19905</v>
      </c>
      <c r="S6366" t="s">
        <v>19906</v>
      </c>
      <c r="T6366" t="s">
        <v>19919</v>
      </c>
    </row>
    <row r="6367" spans="2:20" x14ac:dyDescent="0.25">
      <c r="B6367" t="s">
        <v>2709</v>
      </c>
      <c r="C6367">
        <v>61153090</v>
      </c>
      <c r="E6367">
        <v>0</v>
      </c>
      <c r="F6367">
        <v>18</v>
      </c>
      <c r="G6367">
        <v>0</v>
      </c>
      <c r="H6367">
        <v>7.6</v>
      </c>
      <c r="I6367">
        <v>1.65</v>
      </c>
      <c r="J6367">
        <v>35</v>
      </c>
      <c r="L6367" t="s">
        <v>2709</v>
      </c>
      <c r="M6367">
        <v>61153090</v>
      </c>
      <c r="O6367" t="s">
        <v>19900</v>
      </c>
      <c r="P6367" t="s">
        <v>19899</v>
      </c>
      <c r="Q6367" t="s">
        <v>19900</v>
      </c>
      <c r="R6367" t="s">
        <v>19905</v>
      </c>
      <c r="S6367" t="s">
        <v>19906</v>
      </c>
      <c r="T6367" t="s">
        <v>19919</v>
      </c>
    </row>
    <row r="6368" spans="2:20" x14ac:dyDescent="0.25">
      <c r="B6368" t="s">
        <v>2709</v>
      </c>
      <c r="C6368">
        <v>61159400</v>
      </c>
      <c r="E6368">
        <v>0</v>
      </c>
      <c r="F6368">
        <v>18</v>
      </c>
      <c r="G6368">
        <v>0</v>
      </c>
      <c r="H6368">
        <v>7.6</v>
      </c>
      <c r="I6368">
        <v>1.65</v>
      </c>
      <c r="J6368">
        <v>35</v>
      </c>
      <c r="L6368" t="s">
        <v>2709</v>
      </c>
      <c r="M6368">
        <v>61159400</v>
      </c>
      <c r="O6368" t="s">
        <v>19900</v>
      </c>
      <c r="P6368" t="s">
        <v>19899</v>
      </c>
      <c r="Q6368" t="s">
        <v>19900</v>
      </c>
      <c r="R6368" t="s">
        <v>19905</v>
      </c>
      <c r="S6368" t="s">
        <v>19906</v>
      </c>
      <c r="T6368" t="s">
        <v>19919</v>
      </c>
    </row>
    <row r="6369" spans="2:20" x14ac:dyDescent="0.25">
      <c r="B6369" t="s">
        <v>2709</v>
      </c>
      <c r="C6369">
        <v>61159500</v>
      </c>
      <c r="E6369">
        <v>0</v>
      </c>
      <c r="F6369">
        <v>18</v>
      </c>
      <c r="G6369">
        <v>0</v>
      </c>
      <c r="H6369">
        <v>7.6</v>
      </c>
      <c r="I6369">
        <v>1.65</v>
      </c>
      <c r="J6369">
        <v>35</v>
      </c>
      <c r="L6369" t="s">
        <v>2709</v>
      </c>
      <c r="M6369">
        <v>61159500</v>
      </c>
      <c r="O6369" t="s">
        <v>19900</v>
      </c>
      <c r="P6369" t="s">
        <v>19899</v>
      </c>
      <c r="Q6369" t="s">
        <v>19900</v>
      </c>
      <c r="R6369" t="s">
        <v>19905</v>
      </c>
      <c r="S6369" t="s">
        <v>19906</v>
      </c>
      <c r="T6369" t="s">
        <v>19919</v>
      </c>
    </row>
    <row r="6370" spans="2:20" x14ac:dyDescent="0.25">
      <c r="B6370" t="s">
        <v>2709</v>
      </c>
      <c r="C6370">
        <v>61159600</v>
      </c>
      <c r="E6370">
        <v>0</v>
      </c>
      <c r="F6370">
        <v>18</v>
      </c>
      <c r="G6370">
        <v>0</v>
      </c>
      <c r="H6370">
        <v>7.6</v>
      </c>
      <c r="I6370">
        <v>1.65</v>
      </c>
      <c r="J6370">
        <v>35</v>
      </c>
      <c r="L6370" t="s">
        <v>2709</v>
      </c>
      <c r="M6370">
        <v>61159600</v>
      </c>
      <c r="O6370" t="s">
        <v>19900</v>
      </c>
      <c r="P6370" t="s">
        <v>19899</v>
      </c>
      <c r="Q6370" t="s">
        <v>19900</v>
      </c>
      <c r="R6370" t="s">
        <v>19905</v>
      </c>
      <c r="S6370" t="s">
        <v>19906</v>
      </c>
      <c r="T6370" t="s">
        <v>19919</v>
      </c>
    </row>
    <row r="6371" spans="2:20" x14ac:dyDescent="0.25">
      <c r="B6371" t="s">
        <v>2709</v>
      </c>
      <c r="C6371">
        <v>61159900</v>
      </c>
      <c r="E6371">
        <v>0</v>
      </c>
      <c r="F6371">
        <v>18</v>
      </c>
      <c r="G6371">
        <v>0</v>
      </c>
      <c r="H6371">
        <v>7.6</v>
      </c>
      <c r="I6371">
        <v>1.65</v>
      </c>
      <c r="J6371">
        <v>35</v>
      </c>
      <c r="L6371" t="s">
        <v>2709</v>
      </c>
      <c r="M6371">
        <v>61159900</v>
      </c>
      <c r="O6371" t="s">
        <v>19900</v>
      </c>
      <c r="P6371" t="s">
        <v>19899</v>
      </c>
      <c r="Q6371" t="s">
        <v>19900</v>
      </c>
      <c r="R6371" t="s">
        <v>19905</v>
      </c>
      <c r="S6371" t="s">
        <v>19906</v>
      </c>
      <c r="T6371" t="s">
        <v>19919</v>
      </c>
    </row>
    <row r="6372" spans="2:20" x14ac:dyDescent="0.25">
      <c r="B6372" t="s">
        <v>2709</v>
      </c>
      <c r="C6372">
        <v>61161000</v>
      </c>
      <c r="E6372">
        <v>0</v>
      </c>
      <c r="F6372">
        <v>18</v>
      </c>
      <c r="G6372">
        <v>0</v>
      </c>
      <c r="H6372">
        <v>7.6</v>
      </c>
      <c r="I6372">
        <v>1.65</v>
      </c>
      <c r="J6372">
        <v>35</v>
      </c>
      <c r="L6372" t="s">
        <v>2709</v>
      </c>
      <c r="M6372">
        <v>61161000</v>
      </c>
      <c r="O6372" t="s">
        <v>19900</v>
      </c>
      <c r="P6372" t="s">
        <v>19899</v>
      </c>
      <c r="Q6372" t="s">
        <v>19900</v>
      </c>
      <c r="R6372" t="s">
        <v>19905</v>
      </c>
      <c r="S6372" t="s">
        <v>19906</v>
      </c>
      <c r="T6372" t="s">
        <v>19919</v>
      </c>
    </row>
    <row r="6373" spans="2:20" x14ac:dyDescent="0.25">
      <c r="B6373" t="s">
        <v>2709</v>
      </c>
      <c r="C6373">
        <v>61169100</v>
      </c>
      <c r="E6373">
        <v>0</v>
      </c>
      <c r="F6373">
        <v>18</v>
      </c>
      <c r="G6373">
        <v>0</v>
      </c>
      <c r="H6373">
        <v>7.6</v>
      </c>
      <c r="I6373">
        <v>1.65</v>
      </c>
      <c r="J6373">
        <v>35</v>
      </c>
      <c r="L6373" t="s">
        <v>2709</v>
      </c>
      <c r="M6373">
        <v>61169100</v>
      </c>
      <c r="O6373" t="s">
        <v>19900</v>
      </c>
      <c r="P6373" t="s">
        <v>19899</v>
      </c>
      <c r="Q6373" t="s">
        <v>19900</v>
      </c>
      <c r="R6373" t="s">
        <v>19905</v>
      </c>
      <c r="S6373" t="s">
        <v>19906</v>
      </c>
      <c r="T6373" t="s">
        <v>19919</v>
      </c>
    </row>
    <row r="6374" spans="2:20" x14ac:dyDescent="0.25">
      <c r="B6374" t="s">
        <v>2709</v>
      </c>
      <c r="C6374">
        <v>61169200</v>
      </c>
      <c r="E6374">
        <v>0</v>
      </c>
      <c r="F6374">
        <v>18</v>
      </c>
      <c r="G6374">
        <v>0</v>
      </c>
      <c r="H6374">
        <v>7.6</v>
      </c>
      <c r="I6374">
        <v>1.65</v>
      </c>
      <c r="J6374">
        <v>35</v>
      </c>
      <c r="L6374" t="s">
        <v>2709</v>
      </c>
      <c r="M6374">
        <v>61169200</v>
      </c>
      <c r="O6374" t="s">
        <v>19900</v>
      </c>
      <c r="P6374" t="s">
        <v>19899</v>
      </c>
      <c r="Q6374" t="s">
        <v>19900</v>
      </c>
      <c r="R6374" t="s">
        <v>19905</v>
      </c>
      <c r="S6374" t="s">
        <v>19906</v>
      </c>
      <c r="T6374" t="s">
        <v>19919</v>
      </c>
    </row>
    <row r="6375" spans="2:20" x14ac:dyDescent="0.25">
      <c r="B6375" t="s">
        <v>2709</v>
      </c>
      <c r="C6375">
        <v>61169300</v>
      </c>
      <c r="E6375">
        <v>0</v>
      </c>
      <c r="F6375">
        <v>18</v>
      </c>
      <c r="G6375">
        <v>0</v>
      </c>
      <c r="H6375">
        <v>7.6</v>
      </c>
      <c r="I6375">
        <v>1.65</v>
      </c>
      <c r="J6375">
        <v>35</v>
      </c>
      <c r="L6375" t="s">
        <v>2709</v>
      </c>
      <c r="M6375">
        <v>61169300</v>
      </c>
      <c r="O6375" t="s">
        <v>19900</v>
      </c>
      <c r="P6375" t="s">
        <v>19899</v>
      </c>
      <c r="Q6375" t="s">
        <v>19900</v>
      </c>
      <c r="R6375" t="s">
        <v>19905</v>
      </c>
      <c r="S6375" t="s">
        <v>19906</v>
      </c>
      <c r="T6375" t="s">
        <v>19919</v>
      </c>
    </row>
    <row r="6376" spans="2:20" x14ac:dyDescent="0.25">
      <c r="B6376" t="s">
        <v>2709</v>
      </c>
      <c r="C6376">
        <v>61169900</v>
      </c>
      <c r="E6376">
        <v>0</v>
      </c>
      <c r="F6376">
        <v>18</v>
      </c>
      <c r="G6376">
        <v>0</v>
      </c>
      <c r="H6376">
        <v>7.6</v>
      </c>
      <c r="I6376">
        <v>1.65</v>
      </c>
      <c r="J6376">
        <v>35</v>
      </c>
      <c r="L6376" t="s">
        <v>2709</v>
      </c>
      <c r="M6376">
        <v>61169900</v>
      </c>
      <c r="O6376" t="s">
        <v>19900</v>
      </c>
      <c r="P6376" t="s">
        <v>19899</v>
      </c>
      <c r="Q6376" t="s">
        <v>19900</v>
      </c>
      <c r="R6376" t="s">
        <v>19905</v>
      </c>
      <c r="S6376" t="s">
        <v>19906</v>
      </c>
      <c r="T6376" t="s">
        <v>19919</v>
      </c>
    </row>
    <row r="6377" spans="2:20" x14ac:dyDescent="0.25">
      <c r="B6377" t="s">
        <v>2709</v>
      </c>
      <c r="C6377">
        <v>61171000</v>
      </c>
      <c r="E6377">
        <v>0</v>
      </c>
      <c r="F6377">
        <v>18</v>
      </c>
      <c r="G6377">
        <v>0</v>
      </c>
      <c r="H6377">
        <v>7.6</v>
      </c>
      <c r="I6377">
        <v>1.65</v>
      </c>
      <c r="J6377">
        <v>35</v>
      </c>
      <c r="L6377" t="s">
        <v>2709</v>
      </c>
      <c r="M6377">
        <v>61171000</v>
      </c>
      <c r="O6377" t="s">
        <v>19900</v>
      </c>
      <c r="P6377" t="s">
        <v>19899</v>
      </c>
      <c r="Q6377" t="s">
        <v>19900</v>
      </c>
      <c r="R6377" t="s">
        <v>19905</v>
      </c>
      <c r="S6377" t="s">
        <v>19906</v>
      </c>
      <c r="T6377" t="s">
        <v>19919</v>
      </c>
    </row>
    <row r="6378" spans="2:20" x14ac:dyDescent="0.25">
      <c r="B6378" t="s">
        <v>2709</v>
      </c>
      <c r="C6378">
        <v>61178010</v>
      </c>
      <c r="E6378">
        <v>0</v>
      </c>
      <c r="F6378">
        <v>18</v>
      </c>
      <c r="G6378">
        <v>0</v>
      </c>
      <c r="H6378">
        <v>7.6</v>
      </c>
      <c r="I6378">
        <v>1.65</v>
      </c>
      <c r="J6378">
        <v>35</v>
      </c>
      <c r="L6378" t="s">
        <v>2709</v>
      </c>
      <c r="M6378">
        <v>61178010</v>
      </c>
      <c r="O6378" t="s">
        <v>19900</v>
      </c>
      <c r="P6378" t="s">
        <v>19899</v>
      </c>
      <c r="Q6378" t="s">
        <v>19900</v>
      </c>
      <c r="R6378" t="s">
        <v>19905</v>
      </c>
      <c r="S6378" t="s">
        <v>19906</v>
      </c>
      <c r="T6378" t="s">
        <v>19919</v>
      </c>
    </row>
    <row r="6379" spans="2:20" x14ac:dyDescent="0.25">
      <c r="B6379" t="s">
        <v>2709</v>
      </c>
      <c r="C6379">
        <v>61178090</v>
      </c>
      <c r="E6379">
        <v>0</v>
      </c>
      <c r="F6379">
        <v>18</v>
      </c>
      <c r="G6379">
        <v>0</v>
      </c>
      <c r="H6379">
        <v>7.6</v>
      </c>
      <c r="I6379">
        <v>1.65</v>
      </c>
      <c r="J6379">
        <v>35</v>
      </c>
      <c r="L6379" t="s">
        <v>2709</v>
      </c>
      <c r="M6379">
        <v>61178090</v>
      </c>
      <c r="O6379" t="s">
        <v>19900</v>
      </c>
      <c r="P6379" t="s">
        <v>19899</v>
      </c>
      <c r="Q6379" t="s">
        <v>19900</v>
      </c>
      <c r="R6379" t="s">
        <v>19905</v>
      </c>
      <c r="S6379" t="s">
        <v>19906</v>
      </c>
      <c r="T6379" t="s">
        <v>19919</v>
      </c>
    </row>
    <row r="6380" spans="2:20" x14ac:dyDescent="0.25">
      <c r="B6380" t="s">
        <v>2709</v>
      </c>
      <c r="C6380">
        <v>61179000</v>
      </c>
      <c r="E6380">
        <v>0</v>
      </c>
      <c r="F6380">
        <v>18</v>
      </c>
      <c r="G6380">
        <v>0</v>
      </c>
      <c r="H6380">
        <v>7.6</v>
      </c>
      <c r="I6380">
        <v>1.65</v>
      </c>
      <c r="J6380">
        <v>35</v>
      </c>
      <c r="L6380" t="s">
        <v>2709</v>
      </c>
      <c r="M6380">
        <v>61179000</v>
      </c>
      <c r="O6380" t="s">
        <v>19900</v>
      </c>
      <c r="P6380" t="s">
        <v>19899</v>
      </c>
      <c r="Q6380" t="s">
        <v>19900</v>
      </c>
      <c r="R6380" t="s">
        <v>19905</v>
      </c>
      <c r="S6380" t="s">
        <v>19906</v>
      </c>
      <c r="T6380" t="s">
        <v>19919</v>
      </c>
    </row>
    <row r="6381" spans="2:20" x14ac:dyDescent="0.25">
      <c r="B6381" t="s">
        <v>2709</v>
      </c>
      <c r="C6381">
        <v>62011100</v>
      </c>
      <c r="E6381">
        <v>0</v>
      </c>
      <c r="F6381">
        <v>18</v>
      </c>
      <c r="G6381">
        <v>0</v>
      </c>
      <c r="H6381">
        <v>7.6</v>
      </c>
      <c r="I6381">
        <v>1.65</v>
      </c>
      <c r="J6381">
        <v>35</v>
      </c>
      <c r="L6381" t="s">
        <v>2709</v>
      </c>
      <c r="M6381">
        <v>62011100</v>
      </c>
      <c r="O6381" t="s">
        <v>19900</v>
      </c>
      <c r="P6381" t="s">
        <v>19899</v>
      </c>
      <c r="Q6381" t="s">
        <v>19900</v>
      </c>
      <c r="R6381" t="s">
        <v>19905</v>
      </c>
      <c r="S6381" t="s">
        <v>19906</v>
      </c>
      <c r="T6381" t="s">
        <v>19919</v>
      </c>
    </row>
    <row r="6382" spans="2:20" x14ac:dyDescent="0.25">
      <c r="B6382" t="s">
        <v>2709</v>
      </c>
      <c r="C6382">
        <v>62011200</v>
      </c>
      <c r="E6382">
        <v>0</v>
      </c>
      <c r="F6382">
        <v>18</v>
      </c>
      <c r="G6382">
        <v>0</v>
      </c>
      <c r="H6382">
        <v>7.6</v>
      </c>
      <c r="I6382">
        <v>1.65</v>
      </c>
      <c r="J6382">
        <v>35</v>
      </c>
      <c r="L6382" t="s">
        <v>2709</v>
      </c>
      <c r="M6382">
        <v>62011200</v>
      </c>
      <c r="O6382" t="s">
        <v>19900</v>
      </c>
      <c r="P6382" t="s">
        <v>19899</v>
      </c>
      <c r="Q6382" t="s">
        <v>19900</v>
      </c>
      <c r="R6382" t="s">
        <v>19905</v>
      </c>
      <c r="S6382" t="s">
        <v>19906</v>
      </c>
      <c r="T6382" t="s">
        <v>19919</v>
      </c>
    </row>
    <row r="6383" spans="2:20" x14ac:dyDescent="0.25">
      <c r="B6383" t="s">
        <v>2709</v>
      </c>
      <c r="C6383">
        <v>62011300</v>
      </c>
      <c r="E6383">
        <v>0</v>
      </c>
      <c r="F6383">
        <v>18</v>
      </c>
      <c r="G6383">
        <v>0</v>
      </c>
      <c r="H6383">
        <v>7.6</v>
      </c>
      <c r="I6383">
        <v>1.65</v>
      </c>
      <c r="J6383">
        <v>35</v>
      </c>
      <c r="L6383" t="s">
        <v>2709</v>
      </c>
      <c r="M6383">
        <v>62011300</v>
      </c>
      <c r="O6383" t="s">
        <v>19900</v>
      </c>
      <c r="P6383" t="s">
        <v>19899</v>
      </c>
      <c r="Q6383" t="s">
        <v>19900</v>
      </c>
      <c r="R6383" t="s">
        <v>19905</v>
      </c>
      <c r="S6383" t="s">
        <v>19906</v>
      </c>
      <c r="T6383" t="s">
        <v>19919</v>
      </c>
    </row>
    <row r="6384" spans="2:20" x14ac:dyDescent="0.25">
      <c r="B6384" t="s">
        <v>2709</v>
      </c>
      <c r="C6384">
        <v>62011900</v>
      </c>
      <c r="E6384">
        <v>0</v>
      </c>
      <c r="F6384">
        <v>18</v>
      </c>
      <c r="G6384">
        <v>0</v>
      </c>
      <c r="H6384">
        <v>7.6</v>
      </c>
      <c r="I6384">
        <v>1.65</v>
      </c>
      <c r="J6384">
        <v>35</v>
      </c>
      <c r="L6384" t="s">
        <v>2709</v>
      </c>
      <c r="M6384">
        <v>62011900</v>
      </c>
      <c r="O6384" t="s">
        <v>19900</v>
      </c>
      <c r="P6384" t="s">
        <v>19899</v>
      </c>
      <c r="Q6384" t="s">
        <v>19900</v>
      </c>
      <c r="R6384" t="s">
        <v>19905</v>
      </c>
      <c r="S6384" t="s">
        <v>19906</v>
      </c>
      <c r="T6384" t="s">
        <v>19919</v>
      </c>
    </row>
    <row r="6385" spans="2:20" x14ac:dyDescent="0.25">
      <c r="B6385" t="s">
        <v>2709</v>
      </c>
      <c r="C6385">
        <v>62019100</v>
      </c>
      <c r="E6385">
        <v>0</v>
      </c>
      <c r="F6385">
        <v>18</v>
      </c>
      <c r="G6385">
        <v>0</v>
      </c>
      <c r="H6385">
        <v>7.6</v>
      </c>
      <c r="I6385">
        <v>1.65</v>
      </c>
      <c r="J6385">
        <v>35</v>
      </c>
      <c r="L6385" t="s">
        <v>2709</v>
      </c>
      <c r="M6385">
        <v>62019100</v>
      </c>
      <c r="O6385" t="s">
        <v>19900</v>
      </c>
      <c r="P6385" t="s">
        <v>19899</v>
      </c>
      <c r="Q6385" t="s">
        <v>19900</v>
      </c>
      <c r="R6385" t="s">
        <v>19905</v>
      </c>
      <c r="S6385" t="s">
        <v>19906</v>
      </c>
      <c r="T6385" t="s">
        <v>19919</v>
      </c>
    </row>
    <row r="6386" spans="2:20" x14ac:dyDescent="0.25">
      <c r="B6386" t="s">
        <v>2709</v>
      </c>
      <c r="C6386">
        <v>62019200</v>
      </c>
      <c r="E6386">
        <v>0</v>
      </c>
      <c r="F6386">
        <v>18</v>
      </c>
      <c r="G6386">
        <v>0</v>
      </c>
      <c r="H6386">
        <v>7.6</v>
      </c>
      <c r="I6386">
        <v>1.65</v>
      </c>
      <c r="J6386">
        <v>35</v>
      </c>
      <c r="L6386" t="s">
        <v>2709</v>
      </c>
      <c r="M6386">
        <v>62019200</v>
      </c>
      <c r="O6386" t="s">
        <v>19900</v>
      </c>
      <c r="P6386" t="s">
        <v>19899</v>
      </c>
      <c r="Q6386" t="s">
        <v>19900</v>
      </c>
      <c r="R6386" t="s">
        <v>19905</v>
      </c>
      <c r="S6386" t="s">
        <v>19906</v>
      </c>
      <c r="T6386" t="s">
        <v>19919</v>
      </c>
    </row>
    <row r="6387" spans="2:20" x14ac:dyDescent="0.25">
      <c r="B6387" t="s">
        <v>2709</v>
      </c>
      <c r="C6387">
        <v>62019300</v>
      </c>
      <c r="E6387">
        <v>0</v>
      </c>
      <c r="F6387">
        <v>18</v>
      </c>
      <c r="G6387">
        <v>0</v>
      </c>
      <c r="H6387">
        <v>7.6</v>
      </c>
      <c r="I6387">
        <v>1.65</v>
      </c>
      <c r="J6387">
        <v>35</v>
      </c>
      <c r="L6387" t="s">
        <v>2709</v>
      </c>
      <c r="M6387">
        <v>62019300</v>
      </c>
      <c r="O6387" t="s">
        <v>19900</v>
      </c>
      <c r="P6387" t="s">
        <v>19899</v>
      </c>
      <c r="Q6387" t="s">
        <v>19900</v>
      </c>
      <c r="R6387" t="s">
        <v>19905</v>
      </c>
      <c r="S6387" t="s">
        <v>19906</v>
      </c>
      <c r="T6387" t="s">
        <v>19919</v>
      </c>
    </row>
    <row r="6388" spans="2:20" x14ac:dyDescent="0.25">
      <c r="B6388" t="s">
        <v>2709</v>
      </c>
      <c r="C6388">
        <v>62019900</v>
      </c>
      <c r="E6388">
        <v>0</v>
      </c>
      <c r="F6388">
        <v>18</v>
      </c>
      <c r="G6388">
        <v>0</v>
      </c>
      <c r="H6388">
        <v>7.6</v>
      </c>
      <c r="I6388">
        <v>1.65</v>
      </c>
      <c r="J6388">
        <v>35</v>
      </c>
      <c r="L6388" t="s">
        <v>2709</v>
      </c>
      <c r="M6388">
        <v>62019900</v>
      </c>
      <c r="O6388" t="s">
        <v>19900</v>
      </c>
      <c r="P6388" t="s">
        <v>19899</v>
      </c>
      <c r="Q6388" t="s">
        <v>19900</v>
      </c>
      <c r="R6388" t="s">
        <v>19905</v>
      </c>
      <c r="S6388" t="s">
        <v>19906</v>
      </c>
      <c r="T6388" t="s">
        <v>19919</v>
      </c>
    </row>
    <row r="6389" spans="2:20" x14ac:dyDescent="0.25">
      <c r="B6389" t="s">
        <v>2709</v>
      </c>
      <c r="C6389">
        <v>62021100</v>
      </c>
      <c r="E6389">
        <v>0</v>
      </c>
      <c r="F6389">
        <v>18</v>
      </c>
      <c r="G6389">
        <v>0</v>
      </c>
      <c r="H6389">
        <v>7.6</v>
      </c>
      <c r="I6389">
        <v>1.65</v>
      </c>
      <c r="J6389">
        <v>35</v>
      </c>
      <c r="L6389" t="s">
        <v>2709</v>
      </c>
      <c r="M6389">
        <v>62021100</v>
      </c>
      <c r="O6389" t="s">
        <v>19900</v>
      </c>
      <c r="P6389" t="s">
        <v>19899</v>
      </c>
      <c r="Q6389" t="s">
        <v>19900</v>
      </c>
      <c r="R6389" t="s">
        <v>19905</v>
      </c>
      <c r="S6389" t="s">
        <v>19906</v>
      </c>
      <c r="T6389" t="s">
        <v>19919</v>
      </c>
    </row>
    <row r="6390" spans="2:20" x14ac:dyDescent="0.25">
      <c r="B6390" t="s">
        <v>2709</v>
      </c>
      <c r="C6390">
        <v>62021200</v>
      </c>
      <c r="E6390">
        <v>0</v>
      </c>
      <c r="F6390">
        <v>18</v>
      </c>
      <c r="G6390">
        <v>0</v>
      </c>
      <c r="H6390">
        <v>7.6</v>
      </c>
      <c r="I6390">
        <v>1.65</v>
      </c>
      <c r="J6390">
        <v>35</v>
      </c>
      <c r="L6390" t="s">
        <v>2709</v>
      </c>
      <c r="M6390">
        <v>62021200</v>
      </c>
      <c r="O6390" t="s">
        <v>19900</v>
      </c>
      <c r="P6390" t="s">
        <v>19899</v>
      </c>
      <c r="Q6390" t="s">
        <v>19900</v>
      </c>
      <c r="R6390" t="s">
        <v>19905</v>
      </c>
      <c r="S6390" t="s">
        <v>19906</v>
      </c>
      <c r="T6390" t="s">
        <v>19919</v>
      </c>
    </row>
    <row r="6391" spans="2:20" x14ac:dyDescent="0.25">
      <c r="B6391" t="s">
        <v>2709</v>
      </c>
      <c r="C6391">
        <v>62021300</v>
      </c>
      <c r="E6391">
        <v>0</v>
      </c>
      <c r="F6391">
        <v>18</v>
      </c>
      <c r="G6391">
        <v>0</v>
      </c>
      <c r="H6391">
        <v>7.6</v>
      </c>
      <c r="I6391">
        <v>1.65</v>
      </c>
      <c r="J6391">
        <v>35</v>
      </c>
      <c r="L6391" t="s">
        <v>2709</v>
      </c>
      <c r="M6391">
        <v>62021300</v>
      </c>
      <c r="O6391" t="s">
        <v>19900</v>
      </c>
      <c r="P6391" t="s">
        <v>19899</v>
      </c>
      <c r="Q6391" t="s">
        <v>19900</v>
      </c>
      <c r="R6391" t="s">
        <v>19905</v>
      </c>
      <c r="S6391" t="s">
        <v>19906</v>
      </c>
      <c r="T6391" t="s">
        <v>19919</v>
      </c>
    </row>
    <row r="6392" spans="2:20" x14ac:dyDescent="0.25">
      <c r="B6392" t="s">
        <v>2709</v>
      </c>
      <c r="C6392">
        <v>62021900</v>
      </c>
      <c r="E6392">
        <v>0</v>
      </c>
      <c r="F6392">
        <v>18</v>
      </c>
      <c r="G6392">
        <v>0</v>
      </c>
      <c r="H6392">
        <v>7.6</v>
      </c>
      <c r="I6392">
        <v>1.65</v>
      </c>
      <c r="J6392">
        <v>35</v>
      </c>
      <c r="L6392" t="s">
        <v>2709</v>
      </c>
      <c r="M6392">
        <v>62021900</v>
      </c>
      <c r="O6392" t="s">
        <v>19900</v>
      </c>
      <c r="P6392" t="s">
        <v>19899</v>
      </c>
      <c r="Q6392" t="s">
        <v>19900</v>
      </c>
      <c r="R6392" t="s">
        <v>19905</v>
      </c>
      <c r="S6392" t="s">
        <v>19906</v>
      </c>
      <c r="T6392" t="s">
        <v>19919</v>
      </c>
    </row>
    <row r="6393" spans="2:20" x14ac:dyDescent="0.25">
      <c r="B6393" t="s">
        <v>2709</v>
      </c>
      <c r="C6393">
        <v>62029100</v>
      </c>
      <c r="E6393">
        <v>0</v>
      </c>
      <c r="F6393">
        <v>18</v>
      </c>
      <c r="G6393">
        <v>0</v>
      </c>
      <c r="H6393">
        <v>7.6</v>
      </c>
      <c r="I6393">
        <v>1.65</v>
      </c>
      <c r="J6393">
        <v>35</v>
      </c>
      <c r="L6393" t="s">
        <v>2709</v>
      </c>
      <c r="M6393">
        <v>62029100</v>
      </c>
      <c r="O6393" t="s">
        <v>19900</v>
      </c>
      <c r="P6393" t="s">
        <v>19899</v>
      </c>
      <c r="Q6393" t="s">
        <v>19900</v>
      </c>
      <c r="R6393" t="s">
        <v>19905</v>
      </c>
      <c r="S6393" t="s">
        <v>19906</v>
      </c>
      <c r="T6393" t="s">
        <v>19919</v>
      </c>
    </row>
    <row r="6394" spans="2:20" x14ac:dyDescent="0.25">
      <c r="B6394" t="s">
        <v>2709</v>
      </c>
      <c r="C6394">
        <v>62029200</v>
      </c>
      <c r="E6394">
        <v>0</v>
      </c>
      <c r="F6394">
        <v>18</v>
      </c>
      <c r="G6394">
        <v>0</v>
      </c>
      <c r="H6394">
        <v>7.6</v>
      </c>
      <c r="I6394">
        <v>1.65</v>
      </c>
      <c r="J6394">
        <v>35</v>
      </c>
      <c r="L6394" t="s">
        <v>2709</v>
      </c>
      <c r="M6394">
        <v>62029200</v>
      </c>
      <c r="O6394" t="s">
        <v>19900</v>
      </c>
      <c r="P6394" t="s">
        <v>19899</v>
      </c>
      <c r="Q6394" t="s">
        <v>19900</v>
      </c>
      <c r="R6394" t="s">
        <v>19905</v>
      </c>
      <c r="S6394" t="s">
        <v>19906</v>
      </c>
      <c r="T6394" t="s">
        <v>19919</v>
      </c>
    </row>
    <row r="6395" spans="2:20" x14ac:dyDescent="0.25">
      <c r="B6395" t="s">
        <v>2709</v>
      </c>
      <c r="C6395">
        <v>62029300</v>
      </c>
      <c r="E6395">
        <v>0</v>
      </c>
      <c r="F6395">
        <v>18</v>
      </c>
      <c r="G6395">
        <v>0</v>
      </c>
      <c r="H6395">
        <v>7.6</v>
      </c>
      <c r="I6395">
        <v>1.65</v>
      </c>
      <c r="J6395">
        <v>35</v>
      </c>
      <c r="L6395" t="s">
        <v>2709</v>
      </c>
      <c r="M6395">
        <v>62029300</v>
      </c>
      <c r="O6395" t="s">
        <v>19900</v>
      </c>
      <c r="P6395" t="s">
        <v>19899</v>
      </c>
      <c r="Q6395" t="s">
        <v>19900</v>
      </c>
      <c r="R6395" t="s">
        <v>19905</v>
      </c>
      <c r="S6395" t="s">
        <v>19906</v>
      </c>
      <c r="T6395" t="s">
        <v>19919</v>
      </c>
    </row>
    <row r="6396" spans="2:20" x14ac:dyDescent="0.25">
      <c r="B6396" t="s">
        <v>2709</v>
      </c>
      <c r="C6396">
        <v>62029900</v>
      </c>
      <c r="E6396">
        <v>0</v>
      </c>
      <c r="F6396">
        <v>18</v>
      </c>
      <c r="G6396">
        <v>0</v>
      </c>
      <c r="H6396">
        <v>7.6</v>
      </c>
      <c r="I6396">
        <v>1.65</v>
      </c>
      <c r="J6396">
        <v>35</v>
      </c>
      <c r="L6396" t="s">
        <v>2709</v>
      </c>
      <c r="M6396">
        <v>62029900</v>
      </c>
      <c r="O6396" t="s">
        <v>19900</v>
      </c>
      <c r="P6396" t="s">
        <v>19899</v>
      </c>
      <c r="Q6396" t="s">
        <v>19900</v>
      </c>
      <c r="R6396" t="s">
        <v>19905</v>
      </c>
      <c r="S6396" t="s">
        <v>19906</v>
      </c>
      <c r="T6396" t="s">
        <v>19919</v>
      </c>
    </row>
    <row r="6397" spans="2:20" x14ac:dyDescent="0.25">
      <c r="B6397" t="s">
        <v>2709</v>
      </c>
      <c r="C6397">
        <v>62031100</v>
      </c>
      <c r="E6397">
        <v>0</v>
      </c>
      <c r="F6397">
        <v>18</v>
      </c>
      <c r="G6397">
        <v>0</v>
      </c>
      <c r="H6397">
        <v>7.6</v>
      </c>
      <c r="I6397">
        <v>1.65</v>
      </c>
      <c r="J6397">
        <v>35</v>
      </c>
      <c r="L6397" t="s">
        <v>2709</v>
      </c>
      <c r="M6397">
        <v>62031100</v>
      </c>
      <c r="O6397" t="s">
        <v>19900</v>
      </c>
      <c r="P6397" t="s">
        <v>19899</v>
      </c>
      <c r="Q6397" t="s">
        <v>19900</v>
      </c>
      <c r="R6397" t="s">
        <v>19905</v>
      </c>
      <c r="S6397" t="s">
        <v>19906</v>
      </c>
      <c r="T6397" t="s">
        <v>19919</v>
      </c>
    </row>
    <row r="6398" spans="2:20" x14ac:dyDescent="0.25">
      <c r="B6398" t="s">
        <v>2709</v>
      </c>
      <c r="C6398">
        <v>62031200</v>
      </c>
      <c r="E6398">
        <v>0</v>
      </c>
      <c r="F6398">
        <v>18</v>
      </c>
      <c r="G6398">
        <v>0</v>
      </c>
      <c r="H6398">
        <v>7.6</v>
      </c>
      <c r="I6398">
        <v>1.65</v>
      </c>
      <c r="J6398">
        <v>35</v>
      </c>
      <c r="L6398" t="s">
        <v>2709</v>
      </c>
      <c r="M6398">
        <v>62031200</v>
      </c>
      <c r="O6398" t="s">
        <v>19900</v>
      </c>
      <c r="P6398" t="s">
        <v>19899</v>
      </c>
      <c r="Q6398" t="s">
        <v>19900</v>
      </c>
      <c r="R6398" t="s">
        <v>19905</v>
      </c>
      <c r="S6398" t="s">
        <v>19906</v>
      </c>
      <c r="T6398" t="s">
        <v>19919</v>
      </c>
    </row>
    <row r="6399" spans="2:20" x14ac:dyDescent="0.25">
      <c r="B6399" t="s">
        <v>2709</v>
      </c>
      <c r="C6399">
        <v>62031900</v>
      </c>
      <c r="E6399">
        <v>0</v>
      </c>
      <c r="F6399">
        <v>18</v>
      </c>
      <c r="G6399">
        <v>0</v>
      </c>
      <c r="H6399">
        <v>7.6</v>
      </c>
      <c r="I6399">
        <v>1.65</v>
      </c>
      <c r="J6399">
        <v>35</v>
      </c>
      <c r="L6399" t="s">
        <v>2709</v>
      </c>
      <c r="M6399">
        <v>62031900</v>
      </c>
      <c r="O6399" t="s">
        <v>19900</v>
      </c>
      <c r="P6399" t="s">
        <v>19899</v>
      </c>
      <c r="Q6399" t="s">
        <v>19900</v>
      </c>
      <c r="R6399" t="s">
        <v>19905</v>
      </c>
      <c r="S6399" t="s">
        <v>19906</v>
      </c>
      <c r="T6399" t="s">
        <v>19919</v>
      </c>
    </row>
    <row r="6400" spans="2:20" x14ac:dyDescent="0.25">
      <c r="B6400" t="s">
        <v>2709</v>
      </c>
      <c r="C6400">
        <v>62032200</v>
      </c>
      <c r="E6400">
        <v>0</v>
      </c>
      <c r="F6400">
        <v>18</v>
      </c>
      <c r="G6400">
        <v>0</v>
      </c>
      <c r="H6400">
        <v>7.6</v>
      </c>
      <c r="I6400">
        <v>1.65</v>
      </c>
      <c r="J6400">
        <v>35</v>
      </c>
      <c r="L6400" t="s">
        <v>2709</v>
      </c>
      <c r="M6400">
        <v>62032200</v>
      </c>
      <c r="O6400" t="s">
        <v>19900</v>
      </c>
      <c r="P6400" t="s">
        <v>19899</v>
      </c>
      <c r="Q6400" t="s">
        <v>19900</v>
      </c>
      <c r="R6400" t="s">
        <v>19905</v>
      </c>
      <c r="S6400" t="s">
        <v>19906</v>
      </c>
      <c r="T6400" t="s">
        <v>19919</v>
      </c>
    </row>
    <row r="6401" spans="2:20" x14ac:dyDescent="0.25">
      <c r="B6401" t="s">
        <v>2709</v>
      </c>
      <c r="C6401">
        <v>62032300</v>
      </c>
      <c r="E6401">
        <v>0</v>
      </c>
      <c r="F6401">
        <v>18</v>
      </c>
      <c r="G6401">
        <v>0</v>
      </c>
      <c r="H6401">
        <v>7.6</v>
      </c>
      <c r="I6401">
        <v>1.65</v>
      </c>
      <c r="J6401">
        <v>35</v>
      </c>
      <c r="L6401" t="s">
        <v>2709</v>
      </c>
      <c r="M6401">
        <v>62032300</v>
      </c>
      <c r="O6401" t="s">
        <v>19900</v>
      </c>
      <c r="P6401" t="s">
        <v>19899</v>
      </c>
      <c r="Q6401" t="s">
        <v>19900</v>
      </c>
      <c r="R6401" t="s">
        <v>19905</v>
      </c>
      <c r="S6401" t="s">
        <v>19906</v>
      </c>
      <c r="T6401" t="s">
        <v>19919</v>
      </c>
    </row>
    <row r="6402" spans="2:20" x14ac:dyDescent="0.25">
      <c r="B6402" t="s">
        <v>2709</v>
      </c>
      <c r="C6402">
        <v>62032910</v>
      </c>
      <c r="E6402">
        <v>0</v>
      </c>
      <c r="F6402">
        <v>18</v>
      </c>
      <c r="G6402">
        <v>0</v>
      </c>
      <c r="H6402">
        <v>7.6</v>
      </c>
      <c r="I6402">
        <v>1.65</v>
      </c>
      <c r="J6402">
        <v>35</v>
      </c>
      <c r="L6402" t="s">
        <v>2709</v>
      </c>
      <c r="M6402">
        <v>62032910</v>
      </c>
      <c r="O6402" t="s">
        <v>19900</v>
      </c>
      <c r="P6402" t="s">
        <v>19899</v>
      </c>
      <c r="Q6402" t="s">
        <v>19900</v>
      </c>
      <c r="R6402" t="s">
        <v>19905</v>
      </c>
      <c r="S6402" t="s">
        <v>19906</v>
      </c>
      <c r="T6402" t="s">
        <v>19919</v>
      </c>
    </row>
    <row r="6403" spans="2:20" x14ac:dyDescent="0.25">
      <c r="B6403" t="s">
        <v>2709</v>
      </c>
      <c r="C6403">
        <v>62032990</v>
      </c>
      <c r="E6403">
        <v>0</v>
      </c>
      <c r="F6403">
        <v>18</v>
      </c>
      <c r="G6403">
        <v>0</v>
      </c>
      <c r="H6403">
        <v>7.6</v>
      </c>
      <c r="I6403">
        <v>1.65</v>
      </c>
      <c r="J6403">
        <v>35</v>
      </c>
      <c r="L6403" t="s">
        <v>2709</v>
      </c>
      <c r="M6403">
        <v>62032990</v>
      </c>
      <c r="O6403" t="s">
        <v>19900</v>
      </c>
      <c r="P6403" t="s">
        <v>19899</v>
      </c>
      <c r="Q6403" t="s">
        <v>19900</v>
      </c>
      <c r="R6403" t="s">
        <v>19905</v>
      </c>
      <c r="S6403" t="s">
        <v>19906</v>
      </c>
      <c r="T6403" t="s">
        <v>19919</v>
      </c>
    </row>
    <row r="6404" spans="2:20" x14ac:dyDescent="0.25">
      <c r="B6404" t="s">
        <v>2709</v>
      </c>
      <c r="C6404">
        <v>62033100</v>
      </c>
      <c r="E6404">
        <v>0</v>
      </c>
      <c r="F6404">
        <v>18</v>
      </c>
      <c r="G6404">
        <v>0</v>
      </c>
      <c r="H6404">
        <v>7.6</v>
      </c>
      <c r="I6404">
        <v>1.65</v>
      </c>
      <c r="J6404">
        <v>35</v>
      </c>
      <c r="L6404" t="s">
        <v>2709</v>
      </c>
      <c r="M6404">
        <v>62033100</v>
      </c>
      <c r="O6404" t="s">
        <v>19900</v>
      </c>
      <c r="P6404" t="s">
        <v>19899</v>
      </c>
      <c r="Q6404" t="s">
        <v>19900</v>
      </c>
      <c r="R6404" t="s">
        <v>19905</v>
      </c>
      <c r="S6404" t="s">
        <v>19906</v>
      </c>
      <c r="T6404" t="s">
        <v>19919</v>
      </c>
    </row>
    <row r="6405" spans="2:20" x14ac:dyDescent="0.25">
      <c r="B6405" t="s">
        <v>2709</v>
      </c>
      <c r="C6405">
        <v>62033200</v>
      </c>
      <c r="E6405">
        <v>0</v>
      </c>
      <c r="F6405">
        <v>18</v>
      </c>
      <c r="G6405">
        <v>0</v>
      </c>
      <c r="H6405">
        <v>7.6</v>
      </c>
      <c r="I6405">
        <v>1.65</v>
      </c>
      <c r="J6405">
        <v>35</v>
      </c>
      <c r="L6405" t="s">
        <v>2709</v>
      </c>
      <c r="M6405">
        <v>62033200</v>
      </c>
      <c r="O6405" t="s">
        <v>19900</v>
      </c>
      <c r="P6405" t="s">
        <v>19899</v>
      </c>
      <c r="Q6405" t="s">
        <v>19900</v>
      </c>
      <c r="R6405" t="s">
        <v>19905</v>
      </c>
      <c r="S6405" t="s">
        <v>19906</v>
      </c>
      <c r="T6405" t="s">
        <v>19919</v>
      </c>
    </row>
    <row r="6406" spans="2:20" x14ac:dyDescent="0.25">
      <c r="B6406" t="s">
        <v>2709</v>
      </c>
      <c r="C6406">
        <v>62033300</v>
      </c>
      <c r="E6406">
        <v>0</v>
      </c>
      <c r="F6406">
        <v>18</v>
      </c>
      <c r="G6406">
        <v>0</v>
      </c>
      <c r="H6406">
        <v>7.6</v>
      </c>
      <c r="I6406">
        <v>1.65</v>
      </c>
      <c r="J6406">
        <v>35</v>
      </c>
      <c r="L6406" t="s">
        <v>2709</v>
      </c>
      <c r="M6406">
        <v>62033300</v>
      </c>
      <c r="O6406" t="s">
        <v>19900</v>
      </c>
      <c r="P6406" t="s">
        <v>19899</v>
      </c>
      <c r="Q6406" t="s">
        <v>19900</v>
      </c>
      <c r="R6406" t="s">
        <v>19905</v>
      </c>
      <c r="S6406" t="s">
        <v>19906</v>
      </c>
      <c r="T6406" t="s">
        <v>19919</v>
      </c>
    </row>
    <row r="6407" spans="2:20" x14ac:dyDescent="0.25">
      <c r="B6407" t="s">
        <v>2709</v>
      </c>
      <c r="C6407">
        <v>62033900</v>
      </c>
      <c r="E6407">
        <v>0</v>
      </c>
      <c r="F6407">
        <v>18</v>
      </c>
      <c r="G6407">
        <v>0</v>
      </c>
      <c r="H6407">
        <v>7.6</v>
      </c>
      <c r="I6407">
        <v>1.65</v>
      </c>
      <c r="J6407">
        <v>35</v>
      </c>
      <c r="L6407" t="s">
        <v>2709</v>
      </c>
      <c r="M6407">
        <v>62033900</v>
      </c>
      <c r="O6407" t="s">
        <v>19900</v>
      </c>
      <c r="P6407" t="s">
        <v>19899</v>
      </c>
      <c r="Q6407" t="s">
        <v>19900</v>
      </c>
      <c r="R6407" t="s">
        <v>19905</v>
      </c>
      <c r="S6407" t="s">
        <v>19906</v>
      </c>
      <c r="T6407" t="s">
        <v>19919</v>
      </c>
    </row>
    <row r="6408" spans="2:20" x14ac:dyDescent="0.25">
      <c r="B6408" t="s">
        <v>2709</v>
      </c>
      <c r="C6408">
        <v>62034100</v>
      </c>
      <c r="E6408">
        <v>0</v>
      </c>
      <c r="F6408">
        <v>18</v>
      </c>
      <c r="G6408">
        <v>0</v>
      </c>
      <c r="H6408">
        <v>7.6</v>
      </c>
      <c r="I6408">
        <v>1.65</v>
      </c>
      <c r="J6408">
        <v>35</v>
      </c>
      <c r="L6408" t="s">
        <v>2709</v>
      </c>
      <c r="M6408">
        <v>62034100</v>
      </c>
      <c r="O6408" t="s">
        <v>19900</v>
      </c>
      <c r="P6408" t="s">
        <v>19899</v>
      </c>
      <c r="Q6408" t="s">
        <v>19900</v>
      </c>
      <c r="R6408" t="s">
        <v>19905</v>
      </c>
      <c r="S6408" t="s">
        <v>19906</v>
      </c>
      <c r="T6408" t="s">
        <v>19919</v>
      </c>
    </row>
    <row r="6409" spans="2:20" x14ac:dyDescent="0.25">
      <c r="B6409" t="s">
        <v>2709</v>
      </c>
      <c r="C6409">
        <v>62034200</v>
      </c>
      <c r="E6409">
        <v>0</v>
      </c>
      <c r="F6409">
        <v>18</v>
      </c>
      <c r="G6409">
        <v>0</v>
      </c>
      <c r="H6409">
        <v>7.6</v>
      </c>
      <c r="I6409">
        <v>1.65</v>
      </c>
      <c r="J6409">
        <v>35</v>
      </c>
      <c r="L6409" t="s">
        <v>2709</v>
      </c>
      <c r="M6409">
        <v>62034200</v>
      </c>
      <c r="O6409" t="s">
        <v>19900</v>
      </c>
      <c r="P6409" t="s">
        <v>19899</v>
      </c>
      <c r="Q6409" t="s">
        <v>19900</v>
      </c>
      <c r="R6409" t="s">
        <v>19905</v>
      </c>
      <c r="S6409" t="s">
        <v>19906</v>
      </c>
      <c r="T6409" t="s">
        <v>19919</v>
      </c>
    </row>
    <row r="6410" spans="2:20" x14ac:dyDescent="0.25">
      <c r="B6410" t="s">
        <v>2709</v>
      </c>
      <c r="C6410">
        <v>62034300</v>
      </c>
      <c r="E6410">
        <v>0</v>
      </c>
      <c r="F6410">
        <v>18</v>
      </c>
      <c r="G6410">
        <v>0</v>
      </c>
      <c r="H6410">
        <v>7.6</v>
      </c>
      <c r="I6410">
        <v>1.65</v>
      </c>
      <c r="J6410">
        <v>35</v>
      </c>
      <c r="L6410" t="s">
        <v>2709</v>
      </c>
      <c r="M6410">
        <v>62034300</v>
      </c>
      <c r="O6410" t="s">
        <v>19900</v>
      </c>
      <c r="P6410" t="s">
        <v>19899</v>
      </c>
      <c r="Q6410" t="s">
        <v>19900</v>
      </c>
      <c r="R6410" t="s">
        <v>19905</v>
      </c>
      <c r="S6410" t="s">
        <v>19906</v>
      </c>
      <c r="T6410" t="s">
        <v>19919</v>
      </c>
    </row>
    <row r="6411" spans="2:20" x14ac:dyDescent="0.25">
      <c r="B6411" t="s">
        <v>2709</v>
      </c>
      <c r="C6411">
        <v>62034900</v>
      </c>
      <c r="E6411">
        <v>0</v>
      </c>
      <c r="F6411">
        <v>18</v>
      </c>
      <c r="G6411">
        <v>0</v>
      </c>
      <c r="H6411">
        <v>7.6</v>
      </c>
      <c r="I6411">
        <v>1.65</v>
      </c>
      <c r="J6411">
        <v>35</v>
      </c>
      <c r="L6411" t="s">
        <v>2709</v>
      </c>
      <c r="M6411">
        <v>62034900</v>
      </c>
      <c r="O6411" t="s">
        <v>19900</v>
      </c>
      <c r="P6411" t="s">
        <v>19899</v>
      </c>
      <c r="Q6411" t="s">
        <v>19900</v>
      </c>
      <c r="R6411" t="s">
        <v>19905</v>
      </c>
      <c r="S6411" t="s">
        <v>19906</v>
      </c>
      <c r="T6411" t="s">
        <v>19919</v>
      </c>
    </row>
    <row r="6412" spans="2:20" x14ac:dyDescent="0.25">
      <c r="B6412" t="s">
        <v>2709</v>
      </c>
      <c r="C6412">
        <v>62041100</v>
      </c>
      <c r="E6412">
        <v>0</v>
      </c>
      <c r="F6412">
        <v>18</v>
      </c>
      <c r="G6412">
        <v>0</v>
      </c>
      <c r="H6412">
        <v>7.6</v>
      </c>
      <c r="I6412">
        <v>1.65</v>
      </c>
      <c r="J6412">
        <v>35</v>
      </c>
      <c r="L6412" t="s">
        <v>2709</v>
      </c>
      <c r="M6412">
        <v>62041100</v>
      </c>
      <c r="O6412" t="s">
        <v>19900</v>
      </c>
      <c r="P6412" t="s">
        <v>19899</v>
      </c>
      <c r="Q6412" t="s">
        <v>19900</v>
      </c>
      <c r="R6412" t="s">
        <v>19905</v>
      </c>
      <c r="S6412" t="s">
        <v>19906</v>
      </c>
      <c r="T6412" t="s">
        <v>19919</v>
      </c>
    </row>
    <row r="6413" spans="2:20" x14ac:dyDescent="0.25">
      <c r="B6413" t="s">
        <v>2709</v>
      </c>
      <c r="C6413">
        <v>62041200</v>
      </c>
      <c r="E6413">
        <v>0</v>
      </c>
      <c r="F6413">
        <v>18</v>
      </c>
      <c r="G6413">
        <v>0</v>
      </c>
      <c r="H6413">
        <v>7.6</v>
      </c>
      <c r="I6413">
        <v>1.65</v>
      </c>
      <c r="J6413">
        <v>35</v>
      </c>
      <c r="L6413" t="s">
        <v>2709</v>
      </c>
      <c r="M6413">
        <v>62041200</v>
      </c>
      <c r="O6413" t="s">
        <v>19900</v>
      </c>
      <c r="P6413" t="s">
        <v>19899</v>
      </c>
      <c r="Q6413" t="s">
        <v>19900</v>
      </c>
      <c r="R6413" t="s">
        <v>19905</v>
      </c>
      <c r="S6413" t="s">
        <v>19906</v>
      </c>
      <c r="T6413" t="s">
        <v>19919</v>
      </c>
    </row>
    <row r="6414" spans="2:20" x14ac:dyDescent="0.25">
      <c r="B6414" t="s">
        <v>2709</v>
      </c>
      <c r="C6414">
        <v>62041300</v>
      </c>
      <c r="E6414">
        <v>0</v>
      </c>
      <c r="F6414">
        <v>18</v>
      </c>
      <c r="G6414">
        <v>0</v>
      </c>
      <c r="H6414">
        <v>7.6</v>
      </c>
      <c r="I6414">
        <v>1.65</v>
      </c>
      <c r="J6414">
        <v>35</v>
      </c>
      <c r="L6414" t="s">
        <v>2709</v>
      </c>
      <c r="M6414">
        <v>62041300</v>
      </c>
      <c r="O6414" t="s">
        <v>19900</v>
      </c>
      <c r="P6414" t="s">
        <v>19899</v>
      </c>
      <c r="Q6414" t="s">
        <v>19900</v>
      </c>
      <c r="R6414" t="s">
        <v>19905</v>
      </c>
      <c r="S6414" t="s">
        <v>19906</v>
      </c>
      <c r="T6414" t="s">
        <v>19919</v>
      </c>
    </row>
    <row r="6415" spans="2:20" x14ac:dyDescent="0.25">
      <c r="B6415" t="s">
        <v>2709</v>
      </c>
      <c r="C6415">
        <v>62041900</v>
      </c>
      <c r="E6415">
        <v>0</v>
      </c>
      <c r="F6415">
        <v>18</v>
      </c>
      <c r="G6415">
        <v>0</v>
      </c>
      <c r="H6415">
        <v>7.6</v>
      </c>
      <c r="I6415">
        <v>1.65</v>
      </c>
      <c r="J6415">
        <v>35</v>
      </c>
      <c r="L6415" t="s">
        <v>2709</v>
      </c>
      <c r="M6415">
        <v>62041900</v>
      </c>
      <c r="O6415" t="s">
        <v>19900</v>
      </c>
      <c r="P6415" t="s">
        <v>19899</v>
      </c>
      <c r="Q6415" t="s">
        <v>19900</v>
      </c>
      <c r="R6415" t="s">
        <v>19905</v>
      </c>
      <c r="S6415" t="s">
        <v>19906</v>
      </c>
      <c r="T6415" t="s">
        <v>19919</v>
      </c>
    </row>
    <row r="6416" spans="2:20" x14ac:dyDescent="0.25">
      <c r="B6416" t="s">
        <v>2709</v>
      </c>
      <c r="C6416">
        <v>62042100</v>
      </c>
      <c r="E6416">
        <v>0</v>
      </c>
      <c r="F6416">
        <v>18</v>
      </c>
      <c r="G6416">
        <v>0</v>
      </c>
      <c r="H6416">
        <v>7.6</v>
      </c>
      <c r="I6416">
        <v>1.65</v>
      </c>
      <c r="J6416">
        <v>35</v>
      </c>
      <c r="L6416" t="s">
        <v>2709</v>
      </c>
      <c r="M6416">
        <v>62042100</v>
      </c>
      <c r="O6416" t="s">
        <v>19900</v>
      </c>
      <c r="P6416" t="s">
        <v>19899</v>
      </c>
      <c r="Q6416" t="s">
        <v>19900</v>
      </c>
      <c r="R6416" t="s">
        <v>19905</v>
      </c>
      <c r="S6416" t="s">
        <v>19906</v>
      </c>
      <c r="T6416" t="s">
        <v>19919</v>
      </c>
    </row>
    <row r="6417" spans="2:20" x14ac:dyDescent="0.25">
      <c r="B6417" t="s">
        <v>2709</v>
      </c>
      <c r="C6417">
        <v>62042200</v>
      </c>
      <c r="E6417">
        <v>0</v>
      </c>
      <c r="F6417">
        <v>18</v>
      </c>
      <c r="G6417">
        <v>0</v>
      </c>
      <c r="H6417">
        <v>7.6</v>
      </c>
      <c r="I6417">
        <v>1.65</v>
      </c>
      <c r="J6417">
        <v>35</v>
      </c>
      <c r="L6417" t="s">
        <v>2709</v>
      </c>
      <c r="M6417">
        <v>62042200</v>
      </c>
      <c r="O6417" t="s">
        <v>19900</v>
      </c>
      <c r="P6417" t="s">
        <v>19899</v>
      </c>
      <c r="Q6417" t="s">
        <v>19900</v>
      </c>
      <c r="R6417" t="s">
        <v>19905</v>
      </c>
      <c r="S6417" t="s">
        <v>19906</v>
      </c>
      <c r="T6417" t="s">
        <v>19919</v>
      </c>
    </row>
    <row r="6418" spans="2:20" x14ac:dyDescent="0.25">
      <c r="B6418" t="s">
        <v>2709</v>
      </c>
      <c r="C6418">
        <v>62042300</v>
      </c>
      <c r="E6418">
        <v>0</v>
      </c>
      <c r="F6418">
        <v>18</v>
      </c>
      <c r="G6418">
        <v>0</v>
      </c>
      <c r="H6418">
        <v>7.6</v>
      </c>
      <c r="I6418">
        <v>1.65</v>
      </c>
      <c r="J6418">
        <v>35</v>
      </c>
      <c r="L6418" t="s">
        <v>2709</v>
      </c>
      <c r="M6418">
        <v>62042300</v>
      </c>
      <c r="O6418" t="s">
        <v>19900</v>
      </c>
      <c r="P6418" t="s">
        <v>19899</v>
      </c>
      <c r="Q6418" t="s">
        <v>19900</v>
      </c>
      <c r="R6418" t="s">
        <v>19905</v>
      </c>
      <c r="S6418" t="s">
        <v>19906</v>
      </c>
      <c r="T6418" t="s">
        <v>19919</v>
      </c>
    </row>
    <row r="6419" spans="2:20" x14ac:dyDescent="0.25">
      <c r="B6419" t="s">
        <v>2709</v>
      </c>
      <c r="C6419">
        <v>62042900</v>
      </c>
      <c r="E6419">
        <v>0</v>
      </c>
      <c r="F6419">
        <v>18</v>
      </c>
      <c r="G6419">
        <v>0</v>
      </c>
      <c r="H6419">
        <v>7.6</v>
      </c>
      <c r="I6419">
        <v>1.65</v>
      </c>
      <c r="J6419">
        <v>35</v>
      </c>
      <c r="L6419" t="s">
        <v>2709</v>
      </c>
      <c r="M6419">
        <v>62042900</v>
      </c>
      <c r="O6419" t="s">
        <v>19900</v>
      </c>
      <c r="P6419" t="s">
        <v>19899</v>
      </c>
      <c r="Q6419" t="s">
        <v>19900</v>
      </c>
      <c r="R6419" t="s">
        <v>19905</v>
      </c>
      <c r="S6419" t="s">
        <v>19906</v>
      </c>
      <c r="T6419" t="s">
        <v>19919</v>
      </c>
    </row>
    <row r="6420" spans="2:20" x14ac:dyDescent="0.25">
      <c r="B6420" t="s">
        <v>2709</v>
      </c>
      <c r="C6420">
        <v>62043100</v>
      </c>
      <c r="E6420">
        <v>0</v>
      </c>
      <c r="F6420">
        <v>18</v>
      </c>
      <c r="G6420">
        <v>0</v>
      </c>
      <c r="H6420">
        <v>7.6</v>
      </c>
      <c r="I6420">
        <v>1.65</v>
      </c>
      <c r="J6420">
        <v>35</v>
      </c>
      <c r="L6420" t="s">
        <v>2709</v>
      </c>
      <c r="M6420">
        <v>62043100</v>
      </c>
      <c r="O6420" t="s">
        <v>19900</v>
      </c>
      <c r="P6420" t="s">
        <v>19899</v>
      </c>
      <c r="Q6420" t="s">
        <v>19900</v>
      </c>
      <c r="R6420" t="s">
        <v>19905</v>
      </c>
      <c r="S6420" t="s">
        <v>19906</v>
      </c>
      <c r="T6420" t="s">
        <v>19919</v>
      </c>
    </row>
    <row r="6421" spans="2:20" x14ac:dyDescent="0.25">
      <c r="B6421" t="s">
        <v>2709</v>
      </c>
      <c r="C6421">
        <v>62043200</v>
      </c>
      <c r="E6421">
        <v>0</v>
      </c>
      <c r="F6421">
        <v>18</v>
      </c>
      <c r="G6421">
        <v>0</v>
      </c>
      <c r="H6421">
        <v>7.6</v>
      </c>
      <c r="I6421">
        <v>1.65</v>
      </c>
      <c r="J6421">
        <v>35</v>
      </c>
      <c r="L6421" t="s">
        <v>2709</v>
      </c>
      <c r="M6421">
        <v>62043200</v>
      </c>
      <c r="O6421" t="s">
        <v>19900</v>
      </c>
      <c r="P6421" t="s">
        <v>19899</v>
      </c>
      <c r="Q6421" t="s">
        <v>19900</v>
      </c>
      <c r="R6421" t="s">
        <v>19905</v>
      </c>
      <c r="S6421" t="s">
        <v>19906</v>
      </c>
      <c r="T6421" t="s">
        <v>19919</v>
      </c>
    </row>
    <row r="6422" spans="2:20" x14ac:dyDescent="0.25">
      <c r="B6422" t="s">
        <v>2709</v>
      </c>
      <c r="C6422">
        <v>62043300</v>
      </c>
      <c r="E6422">
        <v>0</v>
      </c>
      <c r="F6422">
        <v>18</v>
      </c>
      <c r="G6422">
        <v>0</v>
      </c>
      <c r="H6422">
        <v>7.6</v>
      </c>
      <c r="I6422">
        <v>1.65</v>
      </c>
      <c r="J6422">
        <v>35</v>
      </c>
      <c r="L6422" t="s">
        <v>2709</v>
      </c>
      <c r="M6422">
        <v>62043300</v>
      </c>
      <c r="O6422" t="s">
        <v>19900</v>
      </c>
      <c r="P6422" t="s">
        <v>19899</v>
      </c>
      <c r="Q6422" t="s">
        <v>19900</v>
      </c>
      <c r="R6422" t="s">
        <v>19905</v>
      </c>
      <c r="S6422" t="s">
        <v>19906</v>
      </c>
      <c r="T6422" t="s">
        <v>19919</v>
      </c>
    </row>
    <row r="6423" spans="2:20" x14ac:dyDescent="0.25">
      <c r="B6423" t="s">
        <v>2709</v>
      </c>
      <c r="C6423">
        <v>62043900</v>
      </c>
      <c r="E6423">
        <v>0</v>
      </c>
      <c r="F6423">
        <v>18</v>
      </c>
      <c r="G6423">
        <v>0</v>
      </c>
      <c r="H6423">
        <v>7.6</v>
      </c>
      <c r="I6423">
        <v>1.65</v>
      </c>
      <c r="J6423">
        <v>35</v>
      </c>
      <c r="L6423" t="s">
        <v>2709</v>
      </c>
      <c r="M6423">
        <v>62043900</v>
      </c>
      <c r="O6423" t="s">
        <v>19900</v>
      </c>
      <c r="P6423" t="s">
        <v>19899</v>
      </c>
      <c r="Q6423" t="s">
        <v>19900</v>
      </c>
      <c r="R6423" t="s">
        <v>19905</v>
      </c>
      <c r="S6423" t="s">
        <v>19906</v>
      </c>
      <c r="T6423" t="s">
        <v>19919</v>
      </c>
    </row>
    <row r="6424" spans="2:20" x14ac:dyDescent="0.25">
      <c r="B6424" t="s">
        <v>2709</v>
      </c>
      <c r="C6424">
        <v>62044100</v>
      </c>
      <c r="E6424">
        <v>0</v>
      </c>
      <c r="F6424">
        <v>18</v>
      </c>
      <c r="G6424">
        <v>0</v>
      </c>
      <c r="H6424">
        <v>7.6</v>
      </c>
      <c r="I6424">
        <v>1.65</v>
      </c>
      <c r="J6424">
        <v>35</v>
      </c>
      <c r="L6424" t="s">
        <v>2709</v>
      </c>
      <c r="M6424">
        <v>62044100</v>
      </c>
      <c r="O6424" t="s">
        <v>19900</v>
      </c>
      <c r="P6424" t="s">
        <v>19899</v>
      </c>
      <c r="Q6424" t="s">
        <v>19900</v>
      </c>
      <c r="R6424" t="s">
        <v>19905</v>
      </c>
      <c r="S6424" t="s">
        <v>19906</v>
      </c>
      <c r="T6424" t="s">
        <v>19919</v>
      </c>
    </row>
    <row r="6425" spans="2:20" x14ac:dyDescent="0.25">
      <c r="B6425" t="s">
        <v>2709</v>
      </c>
      <c r="C6425">
        <v>62044200</v>
      </c>
      <c r="E6425">
        <v>0</v>
      </c>
      <c r="F6425">
        <v>18</v>
      </c>
      <c r="G6425">
        <v>0</v>
      </c>
      <c r="H6425">
        <v>7.6</v>
      </c>
      <c r="I6425">
        <v>1.65</v>
      </c>
      <c r="J6425">
        <v>35</v>
      </c>
      <c r="L6425" t="s">
        <v>2709</v>
      </c>
      <c r="M6425">
        <v>62044200</v>
      </c>
      <c r="O6425" t="s">
        <v>19900</v>
      </c>
      <c r="P6425" t="s">
        <v>19899</v>
      </c>
      <c r="Q6425" t="s">
        <v>19900</v>
      </c>
      <c r="R6425" t="s">
        <v>19905</v>
      </c>
      <c r="S6425" t="s">
        <v>19906</v>
      </c>
      <c r="T6425" t="s">
        <v>19919</v>
      </c>
    </row>
    <row r="6426" spans="2:20" x14ac:dyDescent="0.25">
      <c r="B6426" t="s">
        <v>2709</v>
      </c>
      <c r="C6426">
        <v>62044300</v>
      </c>
      <c r="E6426">
        <v>0</v>
      </c>
      <c r="F6426">
        <v>18</v>
      </c>
      <c r="G6426">
        <v>0</v>
      </c>
      <c r="H6426">
        <v>7.6</v>
      </c>
      <c r="I6426">
        <v>1.65</v>
      </c>
      <c r="J6426">
        <v>35</v>
      </c>
      <c r="L6426" t="s">
        <v>2709</v>
      </c>
      <c r="M6426">
        <v>62044300</v>
      </c>
      <c r="O6426" t="s">
        <v>19900</v>
      </c>
      <c r="P6426" t="s">
        <v>19899</v>
      </c>
      <c r="Q6426" t="s">
        <v>19900</v>
      </c>
      <c r="R6426" t="s">
        <v>19905</v>
      </c>
      <c r="S6426" t="s">
        <v>19906</v>
      </c>
      <c r="T6426" t="s">
        <v>19919</v>
      </c>
    </row>
    <row r="6427" spans="2:20" x14ac:dyDescent="0.25">
      <c r="B6427" t="s">
        <v>2709</v>
      </c>
      <c r="C6427">
        <v>62044400</v>
      </c>
      <c r="E6427">
        <v>0</v>
      </c>
      <c r="F6427">
        <v>18</v>
      </c>
      <c r="G6427">
        <v>0</v>
      </c>
      <c r="H6427">
        <v>7.6</v>
      </c>
      <c r="I6427">
        <v>1.65</v>
      </c>
      <c r="J6427">
        <v>35</v>
      </c>
      <c r="L6427" t="s">
        <v>2709</v>
      </c>
      <c r="M6427">
        <v>62044400</v>
      </c>
      <c r="O6427" t="s">
        <v>19900</v>
      </c>
      <c r="P6427" t="s">
        <v>19899</v>
      </c>
      <c r="Q6427" t="s">
        <v>19900</v>
      </c>
      <c r="R6427" t="s">
        <v>19905</v>
      </c>
      <c r="S6427" t="s">
        <v>19906</v>
      </c>
      <c r="T6427" t="s">
        <v>19919</v>
      </c>
    </row>
    <row r="6428" spans="2:20" x14ac:dyDescent="0.25">
      <c r="B6428" t="s">
        <v>2709</v>
      </c>
      <c r="C6428">
        <v>62044900</v>
      </c>
      <c r="E6428">
        <v>0</v>
      </c>
      <c r="F6428">
        <v>18</v>
      </c>
      <c r="G6428">
        <v>0</v>
      </c>
      <c r="H6428">
        <v>7.6</v>
      </c>
      <c r="I6428">
        <v>1.65</v>
      </c>
      <c r="J6428">
        <v>35</v>
      </c>
      <c r="L6428" t="s">
        <v>2709</v>
      </c>
      <c r="M6428">
        <v>62044900</v>
      </c>
      <c r="O6428" t="s">
        <v>19900</v>
      </c>
      <c r="P6428" t="s">
        <v>19899</v>
      </c>
      <c r="Q6428" t="s">
        <v>19900</v>
      </c>
      <c r="R6428" t="s">
        <v>19905</v>
      </c>
      <c r="S6428" t="s">
        <v>19906</v>
      </c>
      <c r="T6428" t="s">
        <v>19919</v>
      </c>
    </row>
    <row r="6429" spans="2:20" x14ac:dyDescent="0.25">
      <c r="B6429" t="s">
        <v>2709</v>
      </c>
      <c r="C6429">
        <v>62045100</v>
      </c>
      <c r="E6429">
        <v>0</v>
      </c>
      <c r="F6429">
        <v>18</v>
      </c>
      <c r="G6429">
        <v>0</v>
      </c>
      <c r="H6429">
        <v>7.6</v>
      </c>
      <c r="I6429">
        <v>1.65</v>
      </c>
      <c r="J6429">
        <v>35</v>
      </c>
      <c r="L6429" t="s">
        <v>2709</v>
      </c>
      <c r="M6429">
        <v>62045100</v>
      </c>
      <c r="O6429" t="s">
        <v>19900</v>
      </c>
      <c r="P6429" t="s">
        <v>19899</v>
      </c>
      <c r="Q6429" t="s">
        <v>19900</v>
      </c>
      <c r="R6429" t="s">
        <v>19905</v>
      </c>
      <c r="S6429" t="s">
        <v>19906</v>
      </c>
      <c r="T6429" t="s">
        <v>19919</v>
      </c>
    </row>
    <row r="6430" spans="2:20" x14ac:dyDescent="0.25">
      <c r="B6430" t="s">
        <v>2709</v>
      </c>
      <c r="C6430">
        <v>62045200</v>
      </c>
      <c r="E6430">
        <v>0</v>
      </c>
      <c r="F6430">
        <v>18</v>
      </c>
      <c r="G6430">
        <v>0</v>
      </c>
      <c r="H6430">
        <v>7.6</v>
      </c>
      <c r="I6430">
        <v>1.65</v>
      </c>
      <c r="J6430">
        <v>35</v>
      </c>
      <c r="L6430" t="s">
        <v>2709</v>
      </c>
      <c r="M6430">
        <v>62045200</v>
      </c>
      <c r="O6430" t="s">
        <v>19900</v>
      </c>
      <c r="P6430" t="s">
        <v>19899</v>
      </c>
      <c r="Q6430" t="s">
        <v>19900</v>
      </c>
      <c r="R6430" t="s">
        <v>19905</v>
      </c>
      <c r="S6430" t="s">
        <v>19906</v>
      </c>
      <c r="T6430" t="s">
        <v>19919</v>
      </c>
    </row>
    <row r="6431" spans="2:20" x14ac:dyDescent="0.25">
      <c r="B6431" t="s">
        <v>2709</v>
      </c>
      <c r="C6431">
        <v>62045300</v>
      </c>
      <c r="E6431">
        <v>0</v>
      </c>
      <c r="F6431">
        <v>18</v>
      </c>
      <c r="G6431">
        <v>0</v>
      </c>
      <c r="H6431">
        <v>7.6</v>
      </c>
      <c r="I6431">
        <v>1.65</v>
      </c>
      <c r="J6431">
        <v>35</v>
      </c>
      <c r="L6431" t="s">
        <v>2709</v>
      </c>
      <c r="M6431">
        <v>62045300</v>
      </c>
      <c r="O6431" t="s">
        <v>19900</v>
      </c>
      <c r="P6431" t="s">
        <v>19899</v>
      </c>
      <c r="Q6431" t="s">
        <v>19900</v>
      </c>
      <c r="R6431" t="s">
        <v>19905</v>
      </c>
      <c r="S6431" t="s">
        <v>19906</v>
      </c>
      <c r="T6431" t="s">
        <v>19919</v>
      </c>
    </row>
    <row r="6432" spans="2:20" x14ac:dyDescent="0.25">
      <c r="B6432" t="s">
        <v>2709</v>
      </c>
      <c r="C6432">
        <v>62045900</v>
      </c>
      <c r="E6432">
        <v>0</v>
      </c>
      <c r="F6432">
        <v>18</v>
      </c>
      <c r="G6432">
        <v>0</v>
      </c>
      <c r="H6432">
        <v>7.6</v>
      </c>
      <c r="I6432">
        <v>1.65</v>
      </c>
      <c r="J6432">
        <v>35</v>
      </c>
      <c r="L6432" t="s">
        <v>2709</v>
      </c>
      <c r="M6432">
        <v>62045900</v>
      </c>
      <c r="O6432" t="s">
        <v>19900</v>
      </c>
      <c r="P6432" t="s">
        <v>19899</v>
      </c>
      <c r="Q6432" t="s">
        <v>19900</v>
      </c>
      <c r="R6432" t="s">
        <v>19905</v>
      </c>
      <c r="S6432" t="s">
        <v>19906</v>
      </c>
      <c r="T6432" t="s">
        <v>19919</v>
      </c>
    </row>
    <row r="6433" spans="2:20" x14ac:dyDescent="0.25">
      <c r="B6433" t="s">
        <v>2709</v>
      </c>
      <c r="C6433">
        <v>62046100</v>
      </c>
      <c r="E6433">
        <v>0</v>
      </c>
      <c r="F6433">
        <v>18</v>
      </c>
      <c r="G6433">
        <v>0</v>
      </c>
      <c r="H6433">
        <v>7.6</v>
      </c>
      <c r="I6433">
        <v>1.65</v>
      </c>
      <c r="J6433">
        <v>35</v>
      </c>
      <c r="L6433" t="s">
        <v>2709</v>
      </c>
      <c r="M6433">
        <v>62046100</v>
      </c>
      <c r="O6433" t="s">
        <v>19900</v>
      </c>
      <c r="P6433" t="s">
        <v>19899</v>
      </c>
      <c r="Q6433" t="s">
        <v>19900</v>
      </c>
      <c r="R6433" t="s">
        <v>19905</v>
      </c>
      <c r="S6433" t="s">
        <v>19906</v>
      </c>
      <c r="T6433" t="s">
        <v>19919</v>
      </c>
    </row>
    <row r="6434" spans="2:20" x14ac:dyDescent="0.25">
      <c r="B6434" t="s">
        <v>2709</v>
      </c>
      <c r="C6434">
        <v>62046200</v>
      </c>
      <c r="E6434">
        <v>0</v>
      </c>
      <c r="F6434">
        <v>18</v>
      </c>
      <c r="G6434">
        <v>0</v>
      </c>
      <c r="H6434">
        <v>7.6</v>
      </c>
      <c r="I6434">
        <v>1.65</v>
      </c>
      <c r="J6434">
        <v>35</v>
      </c>
      <c r="L6434" t="s">
        <v>2709</v>
      </c>
      <c r="M6434">
        <v>62046200</v>
      </c>
      <c r="O6434" t="s">
        <v>19900</v>
      </c>
      <c r="P6434" t="s">
        <v>19899</v>
      </c>
      <c r="Q6434" t="s">
        <v>19900</v>
      </c>
      <c r="R6434" t="s">
        <v>19905</v>
      </c>
      <c r="S6434" t="s">
        <v>19906</v>
      </c>
      <c r="T6434" t="s">
        <v>19919</v>
      </c>
    </row>
    <row r="6435" spans="2:20" x14ac:dyDescent="0.25">
      <c r="B6435" t="s">
        <v>2709</v>
      </c>
      <c r="C6435">
        <v>62046300</v>
      </c>
      <c r="E6435">
        <v>0</v>
      </c>
      <c r="F6435">
        <v>18</v>
      </c>
      <c r="G6435">
        <v>0</v>
      </c>
      <c r="H6435">
        <v>7.6</v>
      </c>
      <c r="I6435">
        <v>1.65</v>
      </c>
      <c r="J6435">
        <v>35</v>
      </c>
      <c r="L6435" t="s">
        <v>2709</v>
      </c>
      <c r="M6435">
        <v>62046300</v>
      </c>
      <c r="O6435" t="s">
        <v>19900</v>
      </c>
      <c r="P6435" t="s">
        <v>19899</v>
      </c>
      <c r="Q6435" t="s">
        <v>19900</v>
      </c>
      <c r="R6435" t="s">
        <v>19905</v>
      </c>
      <c r="S6435" t="s">
        <v>19906</v>
      </c>
      <c r="T6435" t="s">
        <v>19919</v>
      </c>
    </row>
    <row r="6436" spans="2:20" x14ac:dyDescent="0.25">
      <c r="B6436" t="s">
        <v>2709</v>
      </c>
      <c r="C6436">
        <v>62046900</v>
      </c>
      <c r="E6436">
        <v>0</v>
      </c>
      <c r="F6436">
        <v>18</v>
      </c>
      <c r="G6436">
        <v>0</v>
      </c>
      <c r="H6436">
        <v>7.6</v>
      </c>
      <c r="I6436">
        <v>1.65</v>
      </c>
      <c r="J6436">
        <v>35</v>
      </c>
      <c r="L6436" t="s">
        <v>2709</v>
      </c>
      <c r="M6436">
        <v>62046900</v>
      </c>
      <c r="O6436" t="s">
        <v>19900</v>
      </c>
      <c r="P6436" t="s">
        <v>19899</v>
      </c>
      <c r="Q6436" t="s">
        <v>19900</v>
      </c>
      <c r="R6436" t="s">
        <v>19905</v>
      </c>
      <c r="S6436" t="s">
        <v>19906</v>
      </c>
      <c r="T6436" t="s">
        <v>19919</v>
      </c>
    </row>
    <row r="6437" spans="2:20" x14ac:dyDescent="0.25">
      <c r="B6437" t="s">
        <v>2709</v>
      </c>
      <c r="C6437">
        <v>62052000</v>
      </c>
      <c r="E6437">
        <v>0</v>
      </c>
      <c r="F6437">
        <v>18</v>
      </c>
      <c r="G6437">
        <v>0</v>
      </c>
      <c r="H6437">
        <v>7.6</v>
      </c>
      <c r="I6437">
        <v>1.65</v>
      </c>
      <c r="J6437">
        <v>35</v>
      </c>
      <c r="L6437" t="s">
        <v>2709</v>
      </c>
      <c r="M6437">
        <v>62052000</v>
      </c>
      <c r="O6437" t="s">
        <v>19900</v>
      </c>
      <c r="P6437" t="s">
        <v>19899</v>
      </c>
      <c r="Q6437" t="s">
        <v>19900</v>
      </c>
      <c r="R6437" t="s">
        <v>19905</v>
      </c>
      <c r="S6437" t="s">
        <v>19906</v>
      </c>
      <c r="T6437" t="s">
        <v>19919</v>
      </c>
    </row>
    <row r="6438" spans="2:20" x14ac:dyDescent="0.25">
      <c r="B6438" t="s">
        <v>2709</v>
      </c>
      <c r="C6438">
        <v>62053000</v>
      </c>
      <c r="E6438">
        <v>0</v>
      </c>
      <c r="F6438">
        <v>18</v>
      </c>
      <c r="G6438">
        <v>0</v>
      </c>
      <c r="H6438">
        <v>7.6</v>
      </c>
      <c r="I6438">
        <v>1.65</v>
      </c>
      <c r="J6438">
        <v>35</v>
      </c>
      <c r="L6438" t="s">
        <v>2709</v>
      </c>
      <c r="M6438">
        <v>62053000</v>
      </c>
      <c r="O6438" t="s">
        <v>19900</v>
      </c>
      <c r="P6438" t="s">
        <v>19899</v>
      </c>
      <c r="Q6438" t="s">
        <v>19900</v>
      </c>
      <c r="R6438" t="s">
        <v>19905</v>
      </c>
      <c r="S6438" t="s">
        <v>19906</v>
      </c>
      <c r="T6438" t="s">
        <v>19919</v>
      </c>
    </row>
    <row r="6439" spans="2:20" x14ac:dyDescent="0.25">
      <c r="B6439" t="s">
        <v>2709</v>
      </c>
      <c r="C6439">
        <v>62059010</v>
      </c>
      <c r="E6439">
        <v>0</v>
      </c>
      <c r="F6439">
        <v>18</v>
      </c>
      <c r="G6439">
        <v>0</v>
      </c>
      <c r="H6439">
        <v>7.6</v>
      </c>
      <c r="I6439">
        <v>1.65</v>
      </c>
      <c r="J6439">
        <v>35</v>
      </c>
      <c r="L6439" t="s">
        <v>2709</v>
      </c>
      <c r="M6439">
        <v>62059010</v>
      </c>
      <c r="O6439" t="s">
        <v>19900</v>
      </c>
      <c r="P6439" t="s">
        <v>19899</v>
      </c>
      <c r="Q6439" t="s">
        <v>19900</v>
      </c>
      <c r="R6439" t="s">
        <v>19905</v>
      </c>
      <c r="S6439" t="s">
        <v>19906</v>
      </c>
      <c r="T6439" t="s">
        <v>19919</v>
      </c>
    </row>
    <row r="6440" spans="2:20" x14ac:dyDescent="0.25">
      <c r="B6440" t="s">
        <v>2709</v>
      </c>
      <c r="C6440">
        <v>62059090</v>
      </c>
      <c r="E6440">
        <v>0</v>
      </c>
      <c r="F6440">
        <v>18</v>
      </c>
      <c r="G6440">
        <v>0</v>
      </c>
      <c r="H6440">
        <v>7.6</v>
      </c>
      <c r="I6440">
        <v>1.65</v>
      </c>
      <c r="J6440">
        <v>35</v>
      </c>
      <c r="L6440" t="s">
        <v>2709</v>
      </c>
      <c r="M6440">
        <v>62059090</v>
      </c>
      <c r="O6440" t="s">
        <v>19900</v>
      </c>
      <c r="P6440" t="s">
        <v>19899</v>
      </c>
      <c r="Q6440" t="s">
        <v>19900</v>
      </c>
      <c r="R6440" t="s">
        <v>19905</v>
      </c>
      <c r="S6440" t="s">
        <v>19906</v>
      </c>
      <c r="T6440" t="s">
        <v>19919</v>
      </c>
    </row>
    <row r="6441" spans="2:20" x14ac:dyDescent="0.25">
      <c r="B6441" t="s">
        <v>2709</v>
      </c>
      <c r="C6441">
        <v>62061000</v>
      </c>
      <c r="E6441">
        <v>0</v>
      </c>
      <c r="F6441">
        <v>18</v>
      </c>
      <c r="G6441">
        <v>0</v>
      </c>
      <c r="H6441">
        <v>7.6</v>
      </c>
      <c r="I6441">
        <v>1.65</v>
      </c>
      <c r="J6441">
        <v>35</v>
      </c>
      <c r="L6441" t="s">
        <v>2709</v>
      </c>
      <c r="M6441">
        <v>62061000</v>
      </c>
      <c r="O6441" t="s">
        <v>19900</v>
      </c>
      <c r="P6441" t="s">
        <v>19899</v>
      </c>
      <c r="Q6441" t="s">
        <v>19900</v>
      </c>
      <c r="R6441" t="s">
        <v>19905</v>
      </c>
      <c r="S6441" t="s">
        <v>19906</v>
      </c>
      <c r="T6441" t="s">
        <v>19919</v>
      </c>
    </row>
    <row r="6442" spans="2:20" x14ac:dyDescent="0.25">
      <c r="B6442" t="s">
        <v>2709</v>
      </c>
      <c r="C6442">
        <v>62062000</v>
      </c>
      <c r="E6442">
        <v>0</v>
      </c>
      <c r="F6442">
        <v>18</v>
      </c>
      <c r="G6442">
        <v>0</v>
      </c>
      <c r="H6442">
        <v>7.6</v>
      </c>
      <c r="I6442">
        <v>1.65</v>
      </c>
      <c r="J6442">
        <v>35</v>
      </c>
      <c r="L6442" t="s">
        <v>2709</v>
      </c>
      <c r="M6442">
        <v>62062000</v>
      </c>
      <c r="O6442" t="s">
        <v>19900</v>
      </c>
      <c r="P6442" t="s">
        <v>19899</v>
      </c>
      <c r="Q6442" t="s">
        <v>19900</v>
      </c>
      <c r="R6442" t="s">
        <v>19905</v>
      </c>
      <c r="S6442" t="s">
        <v>19906</v>
      </c>
      <c r="T6442" t="s">
        <v>19919</v>
      </c>
    </row>
    <row r="6443" spans="2:20" x14ac:dyDescent="0.25">
      <c r="B6443" t="s">
        <v>2709</v>
      </c>
      <c r="C6443">
        <v>62063000</v>
      </c>
      <c r="E6443">
        <v>0</v>
      </c>
      <c r="F6443">
        <v>18</v>
      </c>
      <c r="G6443">
        <v>0</v>
      </c>
      <c r="H6443">
        <v>7.6</v>
      </c>
      <c r="I6443">
        <v>1.65</v>
      </c>
      <c r="J6443">
        <v>35</v>
      </c>
      <c r="L6443" t="s">
        <v>2709</v>
      </c>
      <c r="M6443">
        <v>62063000</v>
      </c>
      <c r="O6443" t="s">
        <v>19900</v>
      </c>
      <c r="P6443" t="s">
        <v>19899</v>
      </c>
      <c r="Q6443" t="s">
        <v>19900</v>
      </c>
      <c r="R6443" t="s">
        <v>19905</v>
      </c>
      <c r="S6443" t="s">
        <v>19906</v>
      </c>
      <c r="T6443" t="s">
        <v>19919</v>
      </c>
    </row>
    <row r="6444" spans="2:20" x14ac:dyDescent="0.25">
      <c r="B6444" t="s">
        <v>2709</v>
      </c>
      <c r="C6444">
        <v>62064000</v>
      </c>
      <c r="E6444">
        <v>0</v>
      </c>
      <c r="F6444">
        <v>18</v>
      </c>
      <c r="G6444">
        <v>0</v>
      </c>
      <c r="H6444">
        <v>7.6</v>
      </c>
      <c r="I6444">
        <v>1.65</v>
      </c>
      <c r="J6444">
        <v>35</v>
      </c>
      <c r="L6444" t="s">
        <v>2709</v>
      </c>
      <c r="M6444">
        <v>62064000</v>
      </c>
      <c r="O6444" t="s">
        <v>19900</v>
      </c>
      <c r="P6444" t="s">
        <v>19899</v>
      </c>
      <c r="Q6444" t="s">
        <v>19900</v>
      </c>
      <c r="R6444" t="s">
        <v>19905</v>
      </c>
      <c r="S6444" t="s">
        <v>19906</v>
      </c>
      <c r="T6444" t="s">
        <v>19919</v>
      </c>
    </row>
    <row r="6445" spans="2:20" x14ac:dyDescent="0.25">
      <c r="B6445" t="s">
        <v>2709</v>
      </c>
      <c r="C6445">
        <v>62069000</v>
      </c>
      <c r="E6445">
        <v>0</v>
      </c>
      <c r="F6445">
        <v>18</v>
      </c>
      <c r="G6445">
        <v>0</v>
      </c>
      <c r="H6445">
        <v>7.6</v>
      </c>
      <c r="I6445">
        <v>1.65</v>
      </c>
      <c r="J6445">
        <v>35</v>
      </c>
      <c r="L6445" t="s">
        <v>2709</v>
      </c>
      <c r="M6445">
        <v>62069000</v>
      </c>
      <c r="O6445" t="s">
        <v>19900</v>
      </c>
      <c r="P6445" t="s">
        <v>19899</v>
      </c>
      <c r="Q6445" t="s">
        <v>19900</v>
      </c>
      <c r="R6445" t="s">
        <v>19905</v>
      </c>
      <c r="S6445" t="s">
        <v>19906</v>
      </c>
      <c r="T6445" t="s">
        <v>19919</v>
      </c>
    </row>
    <row r="6446" spans="2:20" x14ac:dyDescent="0.25">
      <c r="B6446" t="s">
        <v>2709</v>
      </c>
      <c r="C6446">
        <v>62071100</v>
      </c>
      <c r="E6446">
        <v>0</v>
      </c>
      <c r="F6446">
        <v>18</v>
      </c>
      <c r="G6446">
        <v>0</v>
      </c>
      <c r="H6446">
        <v>7.6</v>
      </c>
      <c r="I6446">
        <v>1.65</v>
      </c>
      <c r="J6446">
        <v>35</v>
      </c>
      <c r="L6446" t="s">
        <v>2709</v>
      </c>
      <c r="M6446">
        <v>62071100</v>
      </c>
      <c r="O6446" t="s">
        <v>19900</v>
      </c>
      <c r="P6446" t="s">
        <v>19899</v>
      </c>
      <c r="Q6446" t="s">
        <v>19900</v>
      </c>
      <c r="R6446" t="s">
        <v>19905</v>
      </c>
      <c r="S6446" t="s">
        <v>19906</v>
      </c>
      <c r="T6446" t="s">
        <v>19919</v>
      </c>
    </row>
    <row r="6447" spans="2:20" x14ac:dyDescent="0.25">
      <c r="B6447" t="s">
        <v>2709</v>
      </c>
      <c r="C6447">
        <v>62071900</v>
      </c>
      <c r="E6447">
        <v>0</v>
      </c>
      <c r="F6447">
        <v>18</v>
      </c>
      <c r="G6447">
        <v>0</v>
      </c>
      <c r="H6447">
        <v>7.6</v>
      </c>
      <c r="I6447">
        <v>1.65</v>
      </c>
      <c r="J6447">
        <v>35</v>
      </c>
      <c r="L6447" t="s">
        <v>2709</v>
      </c>
      <c r="M6447">
        <v>62071900</v>
      </c>
      <c r="O6447" t="s">
        <v>19900</v>
      </c>
      <c r="P6447" t="s">
        <v>19899</v>
      </c>
      <c r="Q6447" t="s">
        <v>19900</v>
      </c>
      <c r="R6447" t="s">
        <v>19905</v>
      </c>
      <c r="S6447" t="s">
        <v>19906</v>
      </c>
      <c r="T6447" t="s">
        <v>19919</v>
      </c>
    </row>
    <row r="6448" spans="2:20" x14ac:dyDescent="0.25">
      <c r="B6448" t="s">
        <v>2709</v>
      </c>
      <c r="C6448">
        <v>62072100</v>
      </c>
      <c r="E6448">
        <v>0</v>
      </c>
      <c r="F6448">
        <v>18</v>
      </c>
      <c r="G6448">
        <v>0</v>
      </c>
      <c r="H6448">
        <v>7.6</v>
      </c>
      <c r="I6448">
        <v>1.65</v>
      </c>
      <c r="J6448">
        <v>35</v>
      </c>
      <c r="L6448" t="s">
        <v>2709</v>
      </c>
      <c r="M6448">
        <v>62072100</v>
      </c>
      <c r="O6448" t="s">
        <v>19900</v>
      </c>
      <c r="P6448" t="s">
        <v>19899</v>
      </c>
      <c r="Q6448" t="s">
        <v>19900</v>
      </c>
      <c r="R6448" t="s">
        <v>19905</v>
      </c>
      <c r="S6448" t="s">
        <v>19906</v>
      </c>
      <c r="T6448" t="s">
        <v>19919</v>
      </c>
    </row>
    <row r="6449" spans="2:20" x14ac:dyDescent="0.25">
      <c r="B6449" t="s">
        <v>2709</v>
      </c>
      <c r="C6449">
        <v>62072200</v>
      </c>
      <c r="E6449">
        <v>0</v>
      </c>
      <c r="F6449">
        <v>18</v>
      </c>
      <c r="G6449">
        <v>0</v>
      </c>
      <c r="H6449">
        <v>7.6</v>
      </c>
      <c r="I6449">
        <v>1.65</v>
      </c>
      <c r="J6449">
        <v>35</v>
      </c>
      <c r="L6449" t="s">
        <v>2709</v>
      </c>
      <c r="M6449">
        <v>62072200</v>
      </c>
      <c r="O6449" t="s">
        <v>19900</v>
      </c>
      <c r="P6449" t="s">
        <v>19899</v>
      </c>
      <c r="Q6449" t="s">
        <v>19900</v>
      </c>
      <c r="R6449" t="s">
        <v>19905</v>
      </c>
      <c r="S6449" t="s">
        <v>19906</v>
      </c>
      <c r="T6449" t="s">
        <v>19919</v>
      </c>
    </row>
    <row r="6450" spans="2:20" x14ac:dyDescent="0.25">
      <c r="B6450" t="s">
        <v>2709</v>
      </c>
      <c r="C6450">
        <v>62072900</v>
      </c>
      <c r="E6450">
        <v>0</v>
      </c>
      <c r="F6450">
        <v>18</v>
      </c>
      <c r="G6450">
        <v>0</v>
      </c>
      <c r="H6450">
        <v>7.6</v>
      </c>
      <c r="I6450">
        <v>1.65</v>
      </c>
      <c r="J6450">
        <v>35</v>
      </c>
      <c r="L6450" t="s">
        <v>2709</v>
      </c>
      <c r="M6450">
        <v>62072900</v>
      </c>
      <c r="O6450" t="s">
        <v>19900</v>
      </c>
      <c r="P6450" t="s">
        <v>19899</v>
      </c>
      <c r="Q6450" t="s">
        <v>19900</v>
      </c>
      <c r="R6450" t="s">
        <v>19905</v>
      </c>
      <c r="S6450" t="s">
        <v>19906</v>
      </c>
      <c r="T6450" t="s">
        <v>19919</v>
      </c>
    </row>
    <row r="6451" spans="2:20" x14ac:dyDescent="0.25">
      <c r="B6451" t="s">
        <v>2709</v>
      </c>
      <c r="C6451">
        <v>62079100</v>
      </c>
      <c r="E6451">
        <v>0</v>
      </c>
      <c r="F6451">
        <v>18</v>
      </c>
      <c r="G6451">
        <v>0</v>
      </c>
      <c r="H6451">
        <v>7.6</v>
      </c>
      <c r="I6451">
        <v>1.65</v>
      </c>
      <c r="J6451">
        <v>35</v>
      </c>
      <c r="L6451" t="s">
        <v>2709</v>
      </c>
      <c r="M6451">
        <v>62079100</v>
      </c>
      <c r="O6451" t="s">
        <v>19900</v>
      </c>
      <c r="P6451" t="s">
        <v>19899</v>
      </c>
      <c r="Q6451" t="s">
        <v>19900</v>
      </c>
      <c r="R6451" t="s">
        <v>19905</v>
      </c>
      <c r="S6451" t="s">
        <v>19906</v>
      </c>
      <c r="T6451" t="s">
        <v>19919</v>
      </c>
    </row>
    <row r="6452" spans="2:20" x14ac:dyDescent="0.25">
      <c r="B6452" t="s">
        <v>2709</v>
      </c>
      <c r="C6452">
        <v>62079910</v>
      </c>
      <c r="E6452">
        <v>0</v>
      </c>
      <c r="F6452">
        <v>18</v>
      </c>
      <c r="G6452">
        <v>0</v>
      </c>
      <c r="H6452">
        <v>7.6</v>
      </c>
      <c r="I6452">
        <v>1.65</v>
      </c>
      <c r="J6452">
        <v>35</v>
      </c>
      <c r="L6452" t="s">
        <v>2709</v>
      </c>
      <c r="M6452">
        <v>62079910</v>
      </c>
      <c r="O6452" t="s">
        <v>19900</v>
      </c>
      <c r="P6452" t="s">
        <v>19899</v>
      </c>
      <c r="Q6452" t="s">
        <v>19900</v>
      </c>
      <c r="R6452" t="s">
        <v>19905</v>
      </c>
      <c r="S6452" t="s">
        <v>19906</v>
      </c>
      <c r="T6452" t="s">
        <v>19919</v>
      </c>
    </row>
    <row r="6453" spans="2:20" x14ac:dyDescent="0.25">
      <c r="B6453" t="s">
        <v>2709</v>
      </c>
      <c r="C6453">
        <v>62079990</v>
      </c>
      <c r="E6453">
        <v>0</v>
      </c>
      <c r="F6453">
        <v>18</v>
      </c>
      <c r="G6453">
        <v>0</v>
      </c>
      <c r="H6453">
        <v>7.6</v>
      </c>
      <c r="I6453">
        <v>1.65</v>
      </c>
      <c r="J6453">
        <v>35</v>
      </c>
      <c r="L6453" t="s">
        <v>2709</v>
      </c>
      <c r="M6453">
        <v>62079990</v>
      </c>
      <c r="O6453" t="s">
        <v>19900</v>
      </c>
      <c r="P6453" t="s">
        <v>19899</v>
      </c>
      <c r="Q6453" t="s">
        <v>19900</v>
      </c>
      <c r="R6453" t="s">
        <v>19905</v>
      </c>
      <c r="S6453" t="s">
        <v>19906</v>
      </c>
      <c r="T6453" t="s">
        <v>19919</v>
      </c>
    </row>
    <row r="6454" spans="2:20" x14ac:dyDescent="0.25">
      <c r="B6454" t="s">
        <v>2709</v>
      </c>
      <c r="C6454">
        <v>62081100</v>
      </c>
      <c r="E6454">
        <v>0</v>
      </c>
      <c r="F6454">
        <v>18</v>
      </c>
      <c r="G6454">
        <v>0</v>
      </c>
      <c r="H6454">
        <v>7.6</v>
      </c>
      <c r="I6454">
        <v>1.65</v>
      </c>
      <c r="J6454">
        <v>35</v>
      </c>
      <c r="L6454" t="s">
        <v>2709</v>
      </c>
      <c r="M6454">
        <v>62081100</v>
      </c>
      <c r="O6454" t="s">
        <v>19900</v>
      </c>
      <c r="P6454" t="s">
        <v>19899</v>
      </c>
      <c r="Q6454" t="s">
        <v>19900</v>
      </c>
      <c r="R6454" t="s">
        <v>19905</v>
      </c>
      <c r="S6454" t="s">
        <v>19906</v>
      </c>
      <c r="T6454" t="s">
        <v>19919</v>
      </c>
    </row>
    <row r="6455" spans="2:20" x14ac:dyDescent="0.25">
      <c r="B6455" t="s">
        <v>2709</v>
      </c>
      <c r="C6455">
        <v>62081900</v>
      </c>
      <c r="E6455">
        <v>0</v>
      </c>
      <c r="F6455">
        <v>18</v>
      </c>
      <c r="G6455">
        <v>0</v>
      </c>
      <c r="H6455">
        <v>7.6</v>
      </c>
      <c r="I6455">
        <v>1.65</v>
      </c>
      <c r="J6455">
        <v>35</v>
      </c>
      <c r="L6455" t="s">
        <v>2709</v>
      </c>
      <c r="M6455">
        <v>62081900</v>
      </c>
      <c r="O6455" t="s">
        <v>19900</v>
      </c>
      <c r="P6455" t="s">
        <v>19899</v>
      </c>
      <c r="Q6455" t="s">
        <v>19900</v>
      </c>
      <c r="R6455" t="s">
        <v>19905</v>
      </c>
      <c r="S6455" t="s">
        <v>19906</v>
      </c>
      <c r="T6455" t="s">
        <v>19919</v>
      </c>
    </row>
    <row r="6456" spans="2:20" x14ac:dyDescent="0.25">
      <c r="B6456" t="s">
        <v>2709</v>
      </c>
      <c r="C6456">
        <v>62082100</v>
      </c>
      <c r="E6456">
        <v>0</v>
      </c>
      <c r="F6456">
        <v>18</v>
      </c>
      <c r="G6456">
        <v>0</v>
      </c>
      <c r="H6456">
        <v>7.6</v>
      </c>
      <c r="I6456">
        <v>1.65</v>
      </c>
      <c r="J6456">
        <v>35</v>
      </c>
      <c r="L6456" t="s">
        <v>2709</v>
      </c>
      <c r="M6456">
        <v>62082100</v>
      </c>
      <c r="O6456" t="s">
        <v>19900</v>
      </c>
      <c r="P6456" t="s">
        <v>19899</v>
      </c>
      <c r="Q6456" t="s">
        <v>19900</v>
      </c>
      <c r="R6456" t="s">
        <v>19905</v>
      </c>
      <c r="S6456" t="s">
        <v>19906</v>
      </c>
      <c r="T6456" t="s">
        <v>19919</v>
      </c>
    </row>
    <row r="6457" spans="2:20" x14ac:dyDescent="0.25">
      <c r="B6457" t="s">
        <v>2709</v>
      </c>
      <c r="C6457">
        <v>62082200</v>
      </c>
      <c r="E6457">
        <v>0</v>
      </c>
      <c r="F6457">
        <v>18</v>
      </c>
      <c r="G6457">
        <v>0</v>
      </c>
      <c r="H6457">
        <v>7.6</v>
      </c>
      <c r="I6457">
        <v>1.65</v>
      </c>
      <c r="J6457">
        <v>35</v>
      </c>
      <c r="L6457" t="s">
        <v>2709</v>
      </c>
      <c r="M6457">
        <v>62082200</v>
      </c>
      <c r="O6457" t="s">
        <v>19900</v>
      </c>
      <c r="P6457" t="s">
        <v>19899</v>
      </c>
      <c r="Q6457" t="s">
        <v>19900</v>
      </c>
      <c r="R6457" t="s">
        <v>19905</v>
      </c>
      <c r="S6457" t="s">
        <v>19906</v>
      </c>
      <c r="T6457" t="s">
        <v>19919</v>
      </c>
    </row>
    <row r="6458" spans="2:20" x14ac:dyDescent="0.25">
      <c r="B6458" t="s">
        <v>2709</v>
      </c>
      <c r="C6458">
        <v>62082900</v>
      </c>
      <c r="E6458">
        <v>0</v>
      </c>
      <c r="F6458">
        <v>18</v>
      </c>
      <c r="G6458">
        <v>0</v>
      </c>
      <c r="H6458">
        <v>7.6</v>
      </c>
      <c r="I6458">
        <v>1.65</v>
      </c>
      <c r="J6458">
        <v>35</v>
      </c>
      <c r="L6458" t="s">
        <v>2709</v>
      </c>
      <c r="M6458">
        <v>62082900</v>
      </c>
      <c r="O6458" t="s">
        <v>19900</v>
      </c>
      <c r="P6458" t="s">
        <v>19899</v>
      </c>
      <c r="Q6458" t="s">
        <v>19900</v>
      </c>
      <c r="R6458" t="s">
        <v>19905</v>
      </c>
      <c r="S6458" t="s">
        <v>19906</v>
      </c>
      <c r="T6458" t="s">
        <v>19919</v>
      </c>
    </row>
    <row r="6459" spans="2:20" x14ac:dyDescent="0.25">
      <c r="B6459" t="s">
        <v>2709</v>
      </c>
      <c r="C6459">
        <v>62089100</v>
      </c>
      <c r="E6459">
        <v>0</v>
      </c>
      <c r="F6459">
        <v>18</v>
      </c>
      <c r="G6459">
        <v>0</v>
      </c>
      <c r="H6459">
        <v>7.6</v>
      </c>
      <c r="I6459">
        <v>1.65</v>
      </c>
      <c r="J6459">
        <v>35</v>
      </c>
      <c r="L6459" t="s">
        <v>2709</v>
      </c>
      <c r="M6459">
        <v>62089100</v>
      </c>
      <c r="O6459" t="s">
        <v>19900</v>
      </c>
      <c r="P6459" t="s">
        <v>19899</v>
      </c>
      <c r="Q6459" t="s">
        <v>19900</v>
      </c>
      <c r="R6459" t="s">
        <v>19905</v>
      </c>
      <c r="S6459" t="s">
        <v>19906</v>
      </c>
      <c r="T6459" t="s">
        <v>19919</v>
      </c>
    </row>
    <row r="6460" spans="2:20" x14ac:dyDescent="0.25">
      <c r="B6460" t="s">
        <v>2709</v>
      </c>
      <c r="C6460">
        <v>62089200</v>
      </c>
      <c r="E6460">
        <v>0</v>
      </c>
      <c r="F6460">
        <v>18</v>
      </c>
      <c r="G6460">
        <v>0</v>
      </c>
      <c r="H6460">
        <v>7.6</v>
      </c>
      <c r="I6460">
        <v>1.65</v>
      </c>
      <c r="J6460">
        <v>35</v>
      </c>
      <c r="L6460" t="s">
        <v>2709</v>
      </c>
      <c r="M6460">
        <v>62089200</v>
      </c>
      <c r="O6460" t="s">
        <v>19900</v>
      </c>
      <c r="P6460" t="s">
        <v>19899</v>
      </c>
      <c r="Q6460" t="s">
        <v>19900</v>
      </c>
      <c r="R6460" t="s">
        <v>19905</v>
      </c>
      <c r="S6460" t="s">
        <v>19906</v>
      </c>
      <c r="T6460" t="s">
        <v>19919</v>
      </c>
    </row>
    <row r="6461" spans="2:20" x14ac:dyDescent="0.25">
      <c r="B6461" t="s">
        <v>2709</v>
      </c>
      <c r="C6461">
        <v>62089900</v>
      </c>
      <c r="E6461">
        <v>0</v>
      </c>
      <c r="F6461">
        <v>18</v>
      </c>
      <c r="G6461">
        <v>0</v>
      </c>
      <c r="H6461">
        <v>7.6</v>
      </c>
      <c r="I6461">
        <v>1.65</v>
      </c>
      <c r="J6461">
        <v>35</v>
      </c>
      <c r="L6461" t="s">
        <v>2709</v>
      </c>
      <c r="M6461">
        <v>62089900</v>
      </c>
      <c r="O6461" t="s">
        <v>19900</v>
      </c>
      <c r="P6461" t="s">
        <v>19899</v>
      </c>
      <c r="Q6461" t="s">
        <v>19900</v>
      </c>
      <c r="R6461" t="s">
        <v>19905</v>
      </c>
      <c r="S6461" t="s">
        <v>19906</v>
      </c>
      <c r="T6461" t="s">
        <v>19919</v>
      </c>
    </row>
    <row r="6462" spans="2:20" x14ac:dyDescent="0.25">
      <c r="B6462" t="s">
        <v>2709</v>
      </c>
      <c r="C6462">
        <v>62092000</v>
      </c>
      <c r="E6462">
        <v>0</v>
      </c>
      <c r="F6462">
        <v>18</v>
      </c>
      <c r="G6462">
        <v>0</v>
      </c>
      <c r="H6462">
        <v>7.6</v>
      </c>
      <c r="I6462">
        <v>1.65</v>
      </c>
      <c r="J6462">
        <v>35</v>
      </c>
      <c r="L6462" t="s">
        <v>2709</v>
      </c>
      <c r="M6462">
        <v>62092000</v>
      </c>
      <c r="O6462" t="s">
        <v>19900</v>
      </c>
      <c r="P6462" t="s">
        <v>19899</v>
      </c>
      <c r="Q6462" t="s">
        <v>19900</v>
      </c>
      <c r="R6462" t="s">
        <v>19905</v>
      </c>
      <c r="S6462" t="s">
        <v>19906</v>
      </c>
      <c r="T6462" t="s">
        <v>19919</v>
      </c>
    </row>
    <row r="6463" spans="2:20" x14ac:dyDescent="0.25">
      <c r="B6463" t="s">
        <v>2709</v>
      </c>
      <c r="C6463">
        <v>62093000</v>
      </c>
      <c r="E6463">
        <v>0</v>
      </c>
      <c r="F6463">
        <v>18</v>
      </c>
      <c r="G6463">
        <v>0</v>
      </c>
      <c r="H6463">
        <v>7.6</v>
      </c>
      <c r="I6463">
        <v>1.65</v>
      </c>
      <c r="J6463">
        <v>35</v>
      </c>
      <c r="L6463" t="s">
        <v>2709</v>
      </c>
      <c r="M6463">
        <v>62093000</v>
      </c>
      <c r="O6463" t="s">
        <v>19900</v>
      </c>
      <c r="P6463" t="s">
        <v>19899</v>
      </c>
      <c r="Q6463" t="s">
        <v>19900</v>
      </c>
      <c r="R6463" t="s">
        <v>19905</v>
      </c>
      <c r="S6463" t="s">
        <v>19906</v>
      </c>
      <c r="T6463" t="s">
        <v>19919</v>
      </c>
    </row>
    <row r="6464" spans="2:20" x14ac:dyDescent="0.25">
      <c r="B6464" t="s">
        <v>2709</v>
      </c>
      <c r="C6464">
        <v>62099010</v>
      </c>
      <c r="E6464">
        <v>0</v>
      </c>
      <c r="F6464">
        <v>18</v>
      </c>
      <c r="G6464">
        <v>0</v>
      </c>
      <c r="H6464">
        <v>7.6</v>
      </c>
      <c r="I6464">
        <v>1.65</v>
      </c>
      <c r="J6464">
        <v>35</v>
      </c>
      <c r="L6464" t="s">
        <v>2709</v>
      </c>
      <c r="M6464">
        <v>62099010</v>
      </c>
      <c r="O6464" t="s">
        <v>19900</v>
      </c>
      <c r="P6464" t="s">
        <v>19899</v>
      </c>
      <c r="Q6464" t="s">
        <v>19900</v>
      </c>
      <c r="R6464" t="s">
        <v>19905</v>
      </c>
      <c r="S6464" t="s">
        <v>19906</v>
      </c>
      <c r="T6464" t="s">
        <v>19919</v>
      </c>
    </row>
    <row r="6465" spans="2:20" x14ac:dyDescent="0.25">
      <c r="B6465" t="s">
        <v>2709</v>
      </c>
      <c r="C6465">
        <v>62099090</v>
      </c>
      <c r="E6465">
        <v>0</v>
      </c>
      <c r="F6465">
        <v>18</v>
      </c>
      <c r="G6465">
        <v>0</v>
      </c>
      <c r="H6465">
        <v>7.6</v>
      </c>
      <c r="I6465">
        <v>1.65</v>
      </c>
      <c r="J6465">
        <v>35</v>
      </c>
      <c r="L6465" t="s">
        <v>2709</v>
      </c>
      <c r="M6465">
        <v>62099090</v>
      </c>
      <c r="O6465" t="s">
        <v>19900</v>
      </c>
      <c r="P6465" t="s">
        <v>19899</v>
      </c>
      <c r="Q6465" t="s">
        <v>19900</v>
      </c>
      <c r="R6465" t="s">
        <v>19905</v>
      </c>
      <c r="S6465" t="s">
        <v>19906</v>
      </c>
      <c r="T6465" t="s">
        <v>19919</v>
      </c>
    </row>
    <row r="6466" spans="2:20" x14ac:dyDescent="0.25">
      <c r="B6466" t="s">
        <v>2709</v>
      </c>
      <c r="C6466">
        <v>62101000</v>
      </c>
      <c r="E6466">
        <v>0</v>
      </c>
      <c r="F6466">
        <v>18</v>
      </c>
      <c r="G6466">
        <v>0</v>
      </c>
      <c r="H6466">
        <v>7.6</v>
      </c>
      <c r="I6466">
        <v>1.65</v>
      </c>
      <c r="J6466">
        <v>35</v>
      </c>
      <c r="L6466" t="s">
        <v>2709</v>
      </c>
      <c r="M6466">
        <v>62101000</v>
      </c>
      <c r="O6466" t="s">
        <v>19900</v>
      </c>
      <c r="P6466" t="s">
        <v>19899</v>
      </c>
      <c r="Q6466" t="s">
        <v>19900</v>
      </c>
      <c r="R6466" t="s">
        <v>19905</v>
      </c>
      <c r="S6466" t="s">
        <v>19906</v>
      </c>
      <c r="T6466" t="s">
        <v>19919</v>
      </c>
    </row>
    <row r="6467" spans="2:20" x14ac:dyDescent="0.25">
      <c r="B6467" t="s">
        <v>2709</v>
      </c>
      <c r="C6467">
        <v>62102000</v>
      </c>
      <c r="E6467">
        <v>0</v>
      </c>
      <c r="F6467">
        <v>18</v>
      </c>
      <c r="G6467">
        <v>0</v>
      </c>
      <c r="H6467">
        <v>7.6</v>
      </c>
      <c r="I6467">
        <v>1.65</v>
      </c>
      <c r="J6467">
        <v>35</v>
      </c>
      <c r="L6467" t="s">
        <v>2709</v>
      </c>
      <c r="M6467">
        <v>62102000</v>
      </c>
      <c r="O6467" t="s">
        <v>19900</v>
      </c>
      <c r="P6467" t="s">
        <v>19899</v>
      </c>
      <c r="Q6467" t="s">
        <v>19900</v>
      </c>
      <c r="R6467" t="s">
        <v>19905</v>
      </c>
      <c r="S6467" t="s">
        <v>19906</v>
      </c>
      <c r="T6467" t="s">
        <v>19919</v>
      </c>
    </row>
    <row r="6468" spans="2:20" x14ac:dyDescent="0.25">
      <c r="B6468" t="s">
        <v>2709</v>
      </c>
      <c r="C6468">
        <v>62103000</v>
      </c>
      <c r="E6468">
        <v>0</v>
      </c>
      <c r="F6468">
        <v>18</v>
      </c>
      <c r="G6468">
        <v>0</v>
      </c>
      <c r="H6468">
        <v>7.6</v>
      </c>
      <c r="I6468">
        <v>1.65</v>
      </c>
      <c r="J6468">
        <v>35</v>
      </c>
      <c r="L6468" t="s">
        <v>2709</v>
      </c>
      <c r="M6468">
        <v>62103000</v>
      </c>
      <c r="O6468" t="s">
        <v>19900</v>
      </c>
      <c r="P6468" t="s">
        <v>19899</v>
      </c>
      <c r="Q6468" t="s">
        <v>19900</v>
      </c>
      <c r="R6468" t="s">
        <v>19905</v>
      </c>
      <c r="S6468" t="s">
        <v>19906</v>
      </c>
      <c r="T6468" t="s">
        <v>19919</v>
      </c>
    </row>
    <row r="6469" spans="2:20" x14ac:dyDescent="0.25">
      <c r="B6469" t="s">
        <v>2709</v>
      </c>
      <c r="C6469">
        <v>62104000</v>
      </c>
      <c r="E6469">
        <v>0</v>
      </c>
      <c r="F6469">
        <v>18</v>
      </c>
      <c r="G6469">
        <v>0</v>
      </c>
      <c r="H6469">
        <v>7.6</v>
      </c>
      <c r="I6469">
        <v>1.65</v>
      </c>
      <c r="J6469">
        <v>35</v>
      </c>
      <c r="L6469" t="s">
        <v>2709</v>
      </c>
      <c r="M6469">
        <v>62104000</v>
      </c>
      <c r="O6469" t="s">
        <v>19900</v>
      </c>
      <c r="P6469" t="s">
        <v>19899</v>
      </c>
      <c r="Q6469" t="s">
        <v>19900</v>
      </c>
      <c r="R6469" t="s">
        <v>19905</v>
      </c>
      <c r="S6469" t="s">
        <v>19906</v>
      </c>
      <c r="T6469" t="s">
        <v>19919</v>
      </c>
    </row>
    <row r="6470" spans="2:20" x14ac:dyDescent="0.25">
      <c r="B6470" t="s">
        <v>2709</v>
      </c>
      <c r="C6470">
        <v>62105000</v>
      </c>
      <c r="E6470">
        <v>0</v>
      </c>
      <c r="F6470">
        <v>18</v>
      </c>
      <c r="G6470">
        <v>0</v>
      </c>
      <c r="H6470">
        <v>7.6</v>
      </c>
      <c r="I6470">
        <v>1.65</v>
      </c>
      <c r="J6470">
        <v>35</v>
      </c>
      <c r="L6470" t="s">
        <v>2709</v>
      </c>
      <c r="M6470">
        <v>62105000</v>
      </c>
      <c r="O6470" t="s">
        <v>19900</v>
      </c>
      <c r="P6470" t="s">
        <v>19899</v>
      </c>
      <c r="Q6470" t="s">
        <v>19900</v>
      </c>
      <c r="R6470" t="s">
        <v>19905</v>
      </c>
      <c r="S6470" t="s">
        <v>19906</v>
      </c>
      <c r="T6470" t="s">
        <v>19919</v>
      </c>
    </row>
    <row r="6471" spans="2:20" x14ac:dyDescent="0.25">
      <c r="B6471" t="s">
        <v>2709</v>
      </c>
      <c r="C6471">
        <v>62111100</v>
      </c>
      <c r="E6471">
        <v>0</v>
      </c>
      <c r="F6471">
        <v>18</v>
      </c>
      <c r="G6471">
        <v>0</v>
      </c>
      <c r="H6471">
        <v>7.6</v>
      </c>
      <c r="I6471">
        <v>1.65</v>
      </c>
      <c r="J6471">
        <v>35</v>
      </c>
      <c r="L6471" t="s">
        <v>2709</v>
      </c>
      <c r="M6471">
        <v>62111100</v>
      </c>
      <c r="O6471" t="s">
        <v>19900</v>
      </c>
      <c r="P6471" t="s">
        <v>19899</v>
      </c>
      <c r="Q6471" t="s">
        <v>19900</v>
      </c>
      <c r="R6471" t="s">
        <v>19905</v>
      </c>
      <c r="S6471" t="s">
        <v>19906</v>
      </c>
      <c r="T6471" t="s">
        <v>19919</v>
      </c>
    </row>
    <row r="6472" spans="2:20" x14ac:dyDescent="0.25">
      <c r="B6472" t="s">
        <v>2709</v>
      </c>
      <c r="C6472">
        <v>62111200</v>
      </c>
      <c r="E6472">
        <v>0</v>
      </c>
      <c r="F6472">
        <v>18</v>
      </c>
      <c r="G6472">
        <v>0</v>
      </c>
      <c r="H6472">
        <v>7.6</v>
      </c>
      <c r="I6472">
        <v>1.65</v>
      </c>
      <c r="J6472">
        <v>35</v>
      </c>
      <c r="L6472" t="s">
        <v>2709</v>
      </c>
      <c r="M6472">
        <v>62111200</v>
      </c>
      <c r="O6472" t="s">
        <v>19900</v>
      </c>
      <c r="P6472" t="s">
        <v>19899</v>
      </c>
      <c r="Q6472" t="s">
        <v>19900</v>
      </c>
      <c r="R6472" t="s">
        <v>19905</v>
      </c>
      <c r="S6472" t="s">
        <v>19906</v>
      </c>
      <c r="T6472" t="s">
        <v>19919</v>
      </c>
    </row>
    <row r="6473" spans="2:20" x14ac:dyDescent="0.25">
      <c r="B6473" t="s">
        <v>2709</v>
      </c>
      <c r="C6473">
        <v>62112000</v>
      </c>
      <c r="E6473">
        <v>0</v>
      </c>
      <c r="F6473">
        <v>18</v>
      </c>
      <c r="G6473">
        <v>0</v>
      </c>
      <c r="H6473">
        <v>7.6</v>
      </c>
      <c r="I6473">
        <v>1.65</v>
      </c>
      <c r="J6473">
        <v>35</v>
      </c>
      <c r="L6473" t="s">
        <v>2709</v>
      </c>
      <c r="M6473">
        <v>62112000</v>
      </c>
      <c r="O6473" t="s">
        <v>19900</v>
      </c>
      <c r="P6473" t="s">
        <v>19899</v>
      </c>
      <c r="Q6473" t="s">
        <v>19900</v>
      </c>
      <c r="R6473" t="s">
        <v>19905</v>
      </c>
      <c r="S6473" t="s">
        <v>19906</v>
      </c>
      <c r="T6473" t="s">
        <v>19919</v>
      </c>
    </row>
    <row r="6474" spans="2:20" x14ac:dyDescent="0.25">
      <c r="B6474" t="s">
        <v>2709</v>
      </c>
      <c r="C6474">
        <v>62113200</v>
      </c>
      <c r="E6474">
        <v>0</v>
      </c>
      <c r="F6474">
        <v>18</v>
      </c>
      <c r="G6474">
        <v>0</v>
      </c>
      <c r="H6474">
        <v>7.6</v>
      </c>
      <c r="I6474">
        <v>1.65</v>
      </c>
      <c r="J6474">
        <v>35</v>
      </c>
      <c r="L6474" t="s">
        <v>2709</v>
      </c>
      <c r="M6474">
        <v>62113200</v>
      </c>
      <c r="O6474" t="s">
        <v>19900</v>
      </c>
      <c r="P6474" t="s">
        <v>19899</v>
      </c>
      <c r="Q6474" t="s">
        <v>19900</v>
      </c>
      <c r="R6474" t="s">
        <v>19905</v>
      </c>
      <c r="S6474" t="s">
        <v>19906</v>
      </c>
      <c r="T6474" t="s">
        <v>19919</v>
      </c>
    </row>
    <row r="6475" spans="2:20" x14ac:dyDescent="0.25">
      <c r="B6475" t="s">
        <v>2709</v>
      </c>
      <c r="C6475">
        <v>62113300</v>
      </c>
      <c r="E6475">
        <v>0</v>
      </c>
      <c r="F6475">
        <v>18</v>
      </c>
      <c r="G6475">
        <v>0</v>
      </c>
      <c r="H6475">
        <v>7.6</v>
      </c>
      <c r="I6475">
        <v>1.65</v>
      </c>
      <c r="J6475">
        <v>35</v>
      </c>
      <c r="L6475" t="s">
        <v>2709</v>
      </c>
      <c r="M6475">
        <v>62113300</v>
      </c>
      <c r="O6475" t="s">
        <v>19900</v>
      </c>
      <c r="P6475" t="s">
        <v>19899</v>
      </c>
      <c r="Q6475" t="s">
        <v>19900</v>
      </c>
      <c r="R6475" t="s">
        <v>19905</v>
      </c>
      <c r="S6475" t="s">
        <v>19906</v>
      </c>
      <c r="T6475" t="s">
        <v>19919</v>
      </c>
    </row>
    <row r="6476" spans="2:20" x14ac:dyDescent="0.25">
      <c r="B6476" t="s">
        <v>2709</v>
      </c>
      <c r="C6476">
        <v>62113910</v>
      </c>
      <c r="E6476">
        <v>0</v>
      </c>
      <c r="F6476">
        <v>18</v>
      </c>
      <c r="G6476">
        <v>0</v>
      </c>
      <c r="H6476">
        <v>7.6</v>
      </c>
      <c r="I6476">
        <v>1.65</v>
      </c>
      <c r="J6476">
        <v>35</v>
      </c>
      <c r="L6476" t="s">
        <v>2709</v>
      </c>
      <c r="M6476">
        <v>62113910</v>
      </c>
      <c r="O6476" t="s">
        <v>19900</v>
      </c>
      <c r="P6476" t="s">
        <v>19899</v>
      </c>
      <c r="Q6476" t="s">
        <v>19900</v>
      </c>
      <c r="R6476" t="s">
        <v>19905</v>
      </c>
      <c r="S6476" t="s">
        <v>19906</v>
      </c>
      <c r="T6476" t="s">
        <v>19919</v>
      </c>
    </row>
    <row r="6477" spans="2:20" x14ac:dyDescent="0.25">
      <c r="B6477" t="s">
        <v>2709</v>
      </c>
      <c r="C6477">
        <v>62113990</v>
      </c>
      <c r="E6477">
        <v>0</v>
      </c>
      <c r="F6477">
        <v>18</v>
      </c>
      <c r="G6477">
        <v>0</v>
      </c>
      <c r="H6477">
        <v>7.6</v>
      </c>
      <c r="I6477">
        <v>1.65</v>
      </c>
      <c r="J6477">
        <v>35</v>
      </c>
      <c r="L6477" t="s">
        <v>2709</v>
      </c>
      <c r="M6477">
        <v>62113990</v>
      </c>
      <c r="O6477" t="s">
        <v>19900</v>
      </c>
      <c r="P6477" t="s">
        <v>19899</v>
      </c>
      <c r="Q6477" t="s">
        <v>19900</v>
      </c>
      <c r="R6477" t="s">
        <v>19905</v>
      </c>
      <c r="S6477" t="s">
        <v>19906</v>
      </c>
      <c r="T6477" t="s">
        <v>19919</v>
      </c>
    </row>
    <row r="6478" spans="2:20" x14ac:dyDescent="0.25">
      <c r="B6478" t="s">
        <v>2709</v>
      </c>
      <c r="C6478">
        <v>62114200</v>
      </c>
      <c r="E6478">
        <v>0</v>
      </c>
      <c r="F6478">
        <v>18</v>
      </c>
      <c r="G6478">
        <v>0</v>
      </c>
      <c r="H6478">
        <v>7.6</v>
      </c>
      <c r="I6478">
        <v>1.65</v>
      </c>
      <c r="J6478">
        <v>35</v>
      </c>
      <c r="L6478" t="s">
        <v>2709</v>
      </c>
      <c r="M6478">
        <v>62114200</v>
      </c>
      <c r="O6478" t="s">
        <v>19900</v>
      </c>
      <c r="P6478" t="s">
        <v>19899</v>
      </c>
      <c r="Q6478" t="s">
        <v>19900</v>
      </c>
      <c r="R6478" t="s">
        <v>19905</v>
      </c>
      <c r="S6478" t="s">
        <v>19906</v>
      </c>
      <c r="T6478" t="s">
        <v>19919</v>
      </c>
    </row>
    <row r="6479" spans="2:20" x14ac:dyDescent="0.25">
      <c r="B6479" t="s">
        <v>2709</v>
      </c>
      <c r="C6479">
        <v>62114300</v>
      </c>
      <c r="E6479">
        <v>0</v>
      </c>
      <c r="F6479">
        <v>18</v>
      </c>
      <c r="G6479">
        <v>0</v>
      </c>
      <c r="H6479">
        <v>7.6</v>
      </c>
      <c r="I6479">
        <v>1.65</v>
      </c>
      <c r="J6479">
        <v>35</v>
      </c>
      <c r="L6479" t="s">
        <v>2709</v>
      </c>
      <c r="M6479">
        <v>62114300</v>
      </c>
      <c r="O6479" t="s">
        <v>19900</v>
      </c>
      <c r="P6479" t="s">
        <v>19899</v>
      </c>
      <c r="Q6479" t="s">
        <v>19900</v>
      </c>
      <c r="R6479" t="s">
        <v>19905</v>
      </c>
      <c r="S6479" t="s">
        <v>19906</v>
      </c>
      <c r="T6479" t="s">
        <v>19919</v>
      </c>
    </row>
    <row r="6480" spans="2:20" x14ac:dyDescent="0.25">
      <c r="B6480" t="s">
        <v>2709</v>
      </c>
      <c r="C6480">
        <v>62114900</v>
      </c>
      <c r="E6480">
        <v>0</v>
      </c>
      <c r="F6480">
        <v>18</v>
      </c>
      <c r="G6480">
        <v>0</v>
      </c>
      <c r="H6480">
        <v>7.6</v>
      </c>
      <c r="I6480">
        <v>1.65</v>
      </c>
      <c r="J6480">
        <v>35</v>
      </c>
      <c r="L6480" t="s">
        <v>2709</v>
      </c>
      <c r="M6480">
        <v>62114900</v>
      </c>
      <c r="O6480" t="s">
        <v>19900</v>
      </c>
      <c r="P6480" t="s">
        <v>19899</v>
      </c>
      <c r="Q6480" t="s">
        <v>19900</v>
      </c>
      <c r="R6480" t="s">
        <v>19905</v>
      </c>
      <c r="S6480" t="s">
        <v>19906</v>
      </c>
      <c r="T6480" t="s">
        <v>19919</v>
      </c>
    </row>
    <row r="6481" spans="2:20" x14ac:dyDescent="0.25">
      <c r="B6481" t="s">
        <v>2709</v>
      </c>
      <c r="C6481">
        <v>62121000</v>
      </c>
      <c r="E6481">
        <v>0</v>
      </c>
      <c r="F6481">
        <v>18</v>
      </c>
      <c r="G6481">
        <v>0</v>
      </c>
      <c r="H6481">
        <v>7.6</v>
      </c>
      <c r="I6481">
        <v>1.65</v>
      </c>
      <c r="J6481">
        <v>35</v>
      </c>
      <c r="L6481" t="s">
        <v>2709</v>
      </c>
      <c r="M6481">
        <v>62121000</v>
      </c>
      <c r="O6481" t="s">
        <v>19900</v>
      </c>
      <c r="P6481" t="s">
        <v>19899</v>
      </c>
      <c r="Q6481" t="s">
        <v>19900</v>
      </c>
      <c r="R6481" t="s">
        <v>19905</v>
      </c>
      <c r="S6481" t="s">
        <v>19906</v>
      </c>
      <c r="T6481" t="s">
        <v>19919</v>
      </c>
    </row>
    <row r="6482" spans="2:20" x14ac:dyDescent="0.25">
      <c r="B6482" t="s">
        <v>2709</v>
      </c>
      <c r="C6482">
        <v>62122000</v>
      </c>
      <c r="E6482">
        <v>0</v>
      </c>
      <c r="F6482">
        <v>18</v>
      </c>
      <c r="G6482">
        <v>0</v>
      </c>
      <c r="H6482">
        <v>7.6</v>
      </c>
      <c r="I6482">
        <v>1.65</v>
      </c>
      <c r="J6482">
        <v>35</v>
      </c>
      <c r="L6482" t="s">
        <v>2709</v>
      </c>
      <c r="M6482">
        <v>62122000</v>
      </c>
      <c r="O6482" t="s">
        <v>19900</v>
      </c>
      <c r="P6482" t="s">
        <v>19899</v>
      </c>
      <c r="Q6482" t="s">
        <v>19900</v>
      </c>
      <c r="R6482" t="s">
        <v>19905</v>
      </c>
      <c r="S6482" t="s">
        <v>19906</v>
      </c>
      <c r="T6482" t="s">
        <v>19919</v>
      </c>
    </row>
    <row r="6483" spans="2:20" x14ac:dyDescent="0.25">
      <c r="B6483" t="s">
        <v>2709</v>
      </c>
      <c r="C6483">
        <v>62123000</v>
      </c>
      <c r="E6483">
        <v>0</v>
      </c>
      <c r="F6483">
        <v>18</v>
      </c>
      <c r="G6483">
        <v>0</v>
      </c>
      <c r="H6483">
        <v>7.6</v>
      </c>
      <c r="I6483">
        <v>1.65</v>
      </c>
      <c r="J6483">
        <v>35</v>
      </c>
      <c r="L6483" t="s">
        <v>2709</v>
      </c>
      <c r="M6483">
        <v>62123000</v>
      </c>
      <c r="O6483" t="s">
        <v>19900</v>
      </c>
      <c r="P6483" t="s">
        <v>19899</v>
      </c>
      <c r="Q6483" t="s">
        <v>19900</v>
      </c>
      <c r="R6483" t="s">
        <v>19905</v>
      </c>
      <c r="S6483" t="s">
        <v>19906</v>
      </c>
      <c r="T6483" t="s">
        <v>19919</v>
      </c>
    </row>
    <row r="6484" spans="2:20" x14ac:dyDescent="0.25">
      <c r="B6484" t="s">
        <v>2709</v>
      </c>
      <c r="C6484">
        <v>62129000</v>
      </c>
      <c r="E6484">
        <v>0</v>
      </c>
      <c r="F6484">
        <v>18</v>
      </c>
      <c r="G6484">
        <v>0</v>
      </c>
      <c r="H6484">
        <v>7.6</v>
      </c>
      <c r="I6484">
        <v>1.65</v>
      </c>
      <c r="J6484">
        <v>35</v>
      </c>
      <c r="L6484" t="s">
        <v>2709</v>
      </c>
      <c r="M6484">
        <v>62129000</v>
      </c>
      <c r="O6484" t="s">
        <v>19900</v>
      </c>
      <c r="P6484" t="s">
        <v>19899</v>
      </c>
      <c r="Q6484" t="s">
        <v>19900</v>
      </c>
      <c r="R6484" t="s">
        <v>19905</v>
      </c>
      <c r="S6484" t="s">
        <v>19906</v>
      </c>
      <c r="T6484" t="s">
        <v>19919</v>
      </c>
    </row>
    <row r="6485" spans="2:20" x14ac:dyDescent="0.25">
      <c r="B6485" t="s">
        <v>2709</v>
      </c>
      <c r="C6485">
        <v>62132000</v>
      </c>
      <c r="E6485">
        <v>0</v>
      </c>
      <c r="F6485">
        <v>18</v>
      </c>
      <c r="G6485">
        <v>0</v>
      </c>
      <c r="H6485">
        <v>7.6</v>
      </c>
      <c r="I6485">
        <v>1.65</v>
      </c>
      <c r="J6485">
        <v>35</v>
      </c>
      <c r="L6485" t="s">
        <v>2709</v>
      </c>
      <c r="M6485">
        <v>62132000</v>
      </c>
      <c r="O6485" t="s">
        <v>19900</v>
      </c>
      <c r="P6485" t="s">
        <v>19899</v>
      </c>
      <c r="Q6485" t="s">
        <v>19900</v>
      </c>
      <c r="R6485" t="s">
        <v>19905</v>
      </c>
      <c r="S6485" t="s">
        <v>19906</v>
      </c>
      <c r="T6485" t="s">
        <v>19919</v>
      </c>
    </row>
    <row r="6486" spans="2:20" x14ac:dyDescent="0.25">
      <c r="B6486" t="s">
        <v>2709</v>
      </c>
      <c r="C6486">
        <v>62139010</v>
      </c>
      <c r="E6486">
        <v>0</v>
      </c>
      <c r="F6486">
        <v>18</v>
      </c>
      <c r="G6486">
        <v>0</v>
      </c>
      <c r="H6486">
        <v>7.6</v>
      </c>
      <c r="I6486">
        <v>1.65</v>
      </c>
      <c r="J6486">
        <v>35</v>
      </c>
      <c r="L6486" t="s">
        <v>2709</v>
      </c>
      <c r="M6486">
        <v>62139010</v>
      </c>
      <c r="O6486" t="s">
        <v>19900</v>
      </c>
      <c r="P6486" t="s">
        <v>19899</v>
      </c>
      <c r="Q6486" t="s">
        <v>19900</v>
      </c>
      <c r="R6486" t="s">
        <v>19905</v>
      </c>
      <c r="S6486" t="s">
        <v>19906</v>
      </c>
      <c r="T6486" t="s">
        <v>19919</v>
      </c>
    </row>
    <row r="6487" spans="2:20" x14ac:dyDescent="0.25">
      <c r="B6487" t="s">
        <v>2709</v>
      </c>
      <c r="C6487">
        <v>62139090</v>
      </c>
      <c r="E6487">
        <v>0</v>
      </c>
      <c r="F6487">
        <v>18</v>
      </c>
      <c r="G6487">
        <v>0</v>
      </c>
      <c r="H6487">
        <v>7.6</v>
      </c>
      <c r="I6487">
        <v>1.65</v>
      </c>
      <c r="J6487">
        <v>35</v>
      </c>
      <c r="L6487" t="s">
        <v>2709</v>
      </c>
      <c r="M6487">
        <v>62139090</v>
      </c>
      <c r="O6487" t="s">
        <v>19900</v>
      </c>
      <c r="P6487" t="s">
        <v>19899</v>
      </c>
      <c r="Q6487" t="s">
        <v>19900</v>
      </c>
      <c r="R6487" t="s">
        <v>19905</v>
      </c>
      <c r="S6487" t="s">
        <v>19906</v>
      </c>
      <c r="T6487" t="s">
        <v>19919</v>
      </c>
    </row>
    <row r="6488" spans="2:20" x14ac:dyDescent="0.25">
      <c r="B6488" t="s">
        <v>2709</v>
      </c>
      <c r="C6488">
        <v>62141000</v>
      </c>
      <c r="E6488">
        <v>0</v>
      </c>
      <c r="F6488">
        <v>18</v>
      </c>
      <c r="G6488">
        <v>0</v>
      </c>
      <c r="H6488">
        <v>7.6</v>
      </c>
      <c r="I6488">
        <v>1.65</v>
      </c>
      <c r="J6488">
        <v>35</v>
      </c>
      <c r="L6488" t="s">
        <v>2709</v>
      </c>
      <c r="M6488">
        <v>62141000</v>
      </c>
      <c r="O6488" t="s">
        <v>19900</v>
      </c>
      <c r="P6488" t="s">
        <v>19899</v>
      </c>
      <c r="Q6488" t="s">
        <v>19900</v>
      </c>
      <c r="R6488" t="s">
        <v>19905</v>
      </c>
      <c r="S6488" t="s">
        <v>19906</v>
      </c>
      <c r="T6488" t="s">
        <v>19919</v>
      </c>
    </row>
    <row r="6489" spans="2:20" x14ac:dyDescent="0.25">
      <c r="B6489" t="s">
        <v>2709</v>
      </c>
      <c r="C6489">
        <v>62142000</v>
      </c>
      <c r="E6489">
        <v>0</v>
      </c>
      <c r="F6489">
        <v>18</v>
      </c>
      <c r="G6489">
        <v>0</v>
      </c>
      <c r="H6489">
        <v>7.6</v>
      </c>
      <c r="I6489">
        <v>1.65</v>
      </c>
      <c r="J6489">
        <v>35</v>
      </c>
      <c r="L6489" t="s">
        <v>2709</v>
      </c>
      <c r="M6489">
        <v>62142000</v>
      </c>
      <c r="O6489" t="s">
        <v>19900</v>
      </c>
      <c r="P6489" t="s">
        <v>19899</v>
      </c>
      <c r="Q6489" t="s">
        <v>19900</v>
      </c>
      <c r="R6489" t="s">
        <v>19905</v>
      </c>
      <c r="S6489" t="s">
        <v>19906</v>
      </c>
      <c r="T6489" t="s">
        <v>19919</v>
      </c>
    </row>
    <row r="6490" spans="2:20" x14ac:dyDescent="0.25">
      <c r="B6490" t="s">
        <v>2709</v>
      </c>
      <c r="C6490">
        <v>62143000</v>
      </c>
      <c r="E6490">
        <v>0</v>
      </c>
      <c r="F6490">
        <v>18</v>
      </c>
      <c r="G6490">
        <v>0</v>
      </c>
      <c r="H6490">
        <v>7.6</v>
      </c>
      <c r="I6490">
        <v>1.65</v>
      </c>
      <c r="J6490">
        <v>35</v>
      </c>
      <c r="L6490" t="s">
        <v>2709</v>
      </c>
      <c r="M6490">
        <v>62143000</v>
      </c>
      <c r="O6490" t="s">
        <v>19900</v>
      </c>
      <c r="P6490" t="s">
        <v>19899</v>
      </c>
      <c r="Q6490" t="s">
        <v>19900</v>
      </c>
      <c r="R6490" t="s">
        <v>19905</v>
      </c>
      <c r="S6490" t="s">
        <v>19906</v>
      </c>
      <c r="T6490" t="s">
        <v>19919</v>
      </c>
    </row>
    <row r="6491" spans="2:20" x14ac:dyDescent="0.25">
      <c r="B6491" t="s">
        <v>2709</v>
      </c>
      <c r="C6491">
        <v>62144000</v>
      </c>
      <c r="E6491">
        <v>0</v>
      </c>
      <c r="F6491">
        <v>18</v>
      </c>
      <c r="G6491">
        <v>0</v>
      </c>
      <c r="H6491">
        <v>7.6</v>
      </c>
      <c r="I6491">
        <v>1.65</v>
      </c>
      <c r="J6491">
        <v>35</v>
      </c>
      <c r="L6491" t="s">
        <v>2709</v>
      </c>
      <c r="M6491">
        <v>62144000</v>
      </c>
      <c r="O6491" t="s">
        <v>19900</v>
      </c>
      <c r="P6491" t="s">
        <v>19899</v>
      </c>
      <c r="Q6491" t="s">
        <v>19900</v>
      </c>
      <c r="R6491" t="s">
        <v>19905</v>
      </c>
      <c r="S6491" t="s">
        <v>19906</v>
      </c>
      <c r="T6491" t="s">
        <v>19919</v>
      </c>
    </row>
    <row r="6492" spans="2:20" x14ac:dyDescent="0.25">
      <c r="B6492" t="s">
        <v>2709</v>
      </c>
      <c r="C6492">
        <v>62149010</v>
      </c>
      <c r="E6492">
        <v>0</v>
      </c>
      <c r="F6492">
        <v>18</v>
      </c>
      <c r="G6492">
        <v>0</v>
      </c>
      <c r="H6492">
        <v>7.6</v>
      </c>
      <c r="I6492">
        <v>1.65</v>
      </c>
      <c r="J6492">
        <v>35</v>
      </c>
      <c r="L6492" t="s">
        <v>2709</v>
      </c>
      <c r="M6492">
        <v>62149010</v>
      </c>
      <c r="O6492" t="s">
        <v>19900</v>
      </c>
      <c r="P6492" t="s">
        <v>19899</v>
      </c>
      <c r="Q6492" t="s">
        <v>19900</v>
      </c>
      <c r="R6492" t="s">
        <v>19905</v>
      </c>
      <c r="S6492" t="s">
        <v>19906</v>
      </c>
      <c r="T6492" t="s">
        <v>19919</v>
      </c>
    </row>
    <row r="6493" spans="2:20" x14ac:dyDescent="0.25">
      <c r="B6493" t="s">
        <v>2709</v>
      </c>
      <c r="C6493">
        <v>62149090</v>
      </c>
      <c r="E6493">
        <v>0</v>
      </c>
      <c r="F6493">
        <v>18</v>
      </c>
      <c r="G6493">
        <v>0</v>
      </c>
      <c r="H6493">
        <v>7.6</v>
      </c>
      <c r="I6493">
        <v>1.65</v>
      </c>
      <c r="J6493">
        <v>35</v>
      </c>
      <c r="L6493" t="s">
        <v>2709</v>
      </c>
      <c r="M6493">
        <v>62149090</v>
      </c>
      <c r="O6493" t="s">
        <v>19900</v>
      </c>
      <c r="P6493" t="s">
        <v>19899</v>
      </c>
      <c r="Q6493" t="s">
        <v>19900</v>
      </c>
      <c r="R6493" t="s">
        <v>19905</v>
      </c>
      <c r="S6493" t="s">
        <v>19906</v>
      </c>
      <c r="T6493" t="s">
        <v>19919</v>
      </c>
    </row>
    <row r="6494" spans="2:20" x14ac:dyDescent="0.25">
      <c r="B6494" t="s">
        <v>2709</v>
      </c>
      <c r="C6494">
        <v>62151000</v>
      </c>
      <c r="E6494">
        <v>0</v>
      </c>
      <c r="F6494">
        <v>18</v>
      </c>
      <c r="G6494">
        <v>0</v>
      </c>
      <c r="H6494">
        <v>7.6</v>
      </c>
      <c r="I6494">
        <v>1.65</v>
      </c>
      <c r="J6494">
        <v>35</v>
      </c>
      <c r="L6494" t="s">
        <v>2709</v>
      </c>
      <c r="M6494">
        <v>62151000</v>
      </c>
      <c r="O6494" t="s">
        <v>19900</v>
      </c>
      <c r="P6494" t="s">
        <v>19899</v>
      </c>
      <c r="Q6494" t="s">
        <v>19900</v>
      </c>
      <c r="R6494" t="s">
        <v>19905</v>
      </c>
      <c r="S6494" t="s">
        <v>19906</v>
      </c>
      <c r="T6494" t="s">
        <v>19919</v>
      </c>
    </row>
    <row r="6495" spans="2:20" x14ac:dyDescent="0.25">
      <c r="B6495" t="s">
        <v>2709</v>
      </c>
      <c r="C6495">
        <v>62152000</v>
      </c>
      <c r="E6495">
        <v>0</v>
      </c>
      <c r="F6495">
        <v>18</v>
      </c>
      <c r="G6495">
        <v>0</v>
      </c>
      <c r="H6495">
        <v>7.6</v>
      </c>
      <c r="I6495">
        <v>1.65</v>
      </c>
      <c r="J6495">
        <v>35</v>
      </c>
      <c r="L6495" t="s">
        <v>2709</v>
      </c>
      <c r="M6495">
        <v>62152000</v>
      </c>
      <c r="O6495" t="s">
        <v>19900</v>
      </c>
      <c r="P6495" t="s">
        <v>19899</v>
      </c>
      <c r="Q6495" t="s">
        <v>19900</v>
      </c>
      <c r="R6495" t="s">
        <v>19905</v>
      </c>
      <c r="S6495" t="s">
        <v>19906</v>
      </c>
      <c r="T6495" t="s">
        <v>19919</v>
      </c>
    </row>
    <row r="6496" spans="2:20" x14ac:dyDescent="0.25">
      <c r="B6496" t="s">
        <v>2709</v>
      </c>
      <c r="C6496">
        <v>62159000</v>
      </c>
      <c r="E6496">
        <v>0</v>
      </c>
      <c r="F6496">
        <v>18</v>
      </c>
      <c r="G6496">
        <v>0</v>
      </c>
      <c r="H6496">
        <v>7.6</v>
      </c>
      <c r="I6496">
        <v>1.65</v>
      </c>
      <c r="J6496">
        <v>35</v>
      </c>
      <c r="L6496" t="s">
        <v>2709</v>
      </c>
      <c r="M6496">
        <v>62159000</v>
      </c>
      <c r="O6496" t="s">
        <v>19900</v>
      </c>
      <c r="P6496" t="s">
        <v>19899</v>
      </c>
      <c r="Q6496" t="s">
        <v>19900</v>
      </c>
      <c r="R6496" t="s">
        <v>19905</v>
      </c>
      <c r="S6496" t="s">
        <v>19906</v>
      </c>
      <c r="T6496" t="s">
        <v>19919</v>
      </c>
    </row>
    <row r="6497" spans="2:20" x14ac:dyDescent="0.25">
      <c r="B6497" t="s">
        <v>2709</v>
      </c>
      <c r="C6497">
        <v>62160000</v>
      </c>
      <c r="E6497">
        <v>0</v>
      </c>
      <c r="F6497">
        <v>18</v>
      </c>
      <c r="G6497">
        <v>0</v>
      </c>
      <c r="H6497">
        <v>7.6</v>
      </c>
      <c r="I6497">
        <v>1.65</v>
      </c>
      <c r="J6497">
        <v>35</v>
      </c>
      <c r="L6497" t="s">
        <v>2709</v>
      </c>
      <c r="M6497">
        <v>62160000</v>
      </c>
      <c r="O6497" t="s">
        <v>19900</v>
      </c>
      <c r="P6497" t="s">
        <v>19899</v>
      </c>
      <c r="Q6497" t="s">
        <v>19900</v>
      </c>
      <c r="R6497" t="s">
        <v>19905</v>
      </c>
      <c r="S6497" t="s">
        <v>19906</v>
      </c>
      <c r="T6497" t="s">
        <v>19919</v>
      </c>
    </row>
    <row r="6498" spans="2:20" x14ac:dyDescent="0.25">
      <c r="B6498" t="s">
        <v>2709</v>
      </c>
      <c r="C6498">
        <v>62171000</v>
      </c>
      <c r="E6498">
        <v>0</v>
      </c>
      <c r="F6498">
        <v>18</v>
      </c>
      <c r="G6498">
        <v>0</v>
      </c>
      <c r="H6498">
        <v>7.6</v>
      </c>
      <c r="I6498">
        <v>1.65</v>
      </c>
      <c r="J6498">
        <v>35</v>
      </c>
      <c r="L6498" t="s">
        <v>2709</v>
      </c>
      <c r="M6498">
        <v>62171000</v>
      </c>
      <c r="O6498" t="s">
        <v>19900</v>
      </c>
      <c r="P6498" t="s">
        <v>19899</v>
      </c>
      <c r="Q6498" t="s">
        <v>19900</v>
      </c>
      <c r="R6498" t="s">
        <v>19905</v>
      </c>
      <c r="S6498" t="s">
        <v>19906</v>
      </c>
      <c r="T6498" t="s">
        <v>19919</v>
      </c>
    </row>
    <row r="6499" spans="2:20" x14ac:dyDescent="0.25">
      <c r="B6499" t="s">
        <v>2709</v>
      </c>
      <c r="C6499">
        <v>62179000</v>
      </c>
      <c r="E6499">
        <v>0</v>
      </c>
      <c r="F6499">
        <v>18</v>
      </c>
      <c r="G6499">
        <v>0</v>
      </c>
      <c r="H6499">
        <v>7.6</v>
      </c>
      <c r="I6499">
        <v>1.65</v>
      </c>
      <c r="J6499">
        <v>35</v>
      </c>
      <c r="L6499" t="s">
        <v>2709</v>
      </c>
      <c r="M6499">
        <v>62179000</v>
      </c>
      <c r="O6499" t="s">
        <v>19900</v>
      </c>
      <c r="P6499" t="s">
        <v>19899</v>
      </c>
      <c r="Q6499" t="s">
        <v>19900</v>
      </c>
      <c r="R6499" t="s">
        <v>19905</v>
      </c>
      <c r="S6499" t="s">
        <v>19906</v>
      </c>
      <c r="T6499" t="s">
        <v>19919</v>
      </c>
    </row>
    <row r="6500" spans="2:20" x14ac:dyDescent="0.25">
      <c r="B6500" t="s">
        <v>2709</v>
      </c>
      <c r="C6500">
        <v>63011000</v>
      </c>
      <c r="E6500">
        <v>69.09</v>
      </c>
      <c r="F6500">
        <v>18</v>
      </c>
      <c r="G6500">
        <v>0</v>
      </c>
      <c r="H6500" t="s">
        <v>19447</v>
      </c>
      <c r="I6500" t="s">
        <v>19447</v>
      </c>
      <c r="J6500">
        <v>35</v>
      </c>
      <c r="L6500" t="s">
        <v>2709</v>
      </c>
      <c r="M6500">
        <v>63011000</v>
      </c>
      <c r="O6500" t="s">
        <v>20111</v>
      </c>
      <c r="P6500" t="s">
        <v>19899</v>
      </c>
      <c r="Q6500" t="s">
        <v>19900</v>
      </c>
      <c r="R6500" t="s">
        <v>19447</v>
      </c>
      <c r="S6500" t="s">
        <v>19447</v>
      </c>
      <c r="T6500" t="s">
        <v>19919</v>
      </c>
    </row>
    <row r="6501" spans="2:20" x14ac:dyDescent="0.25">
      <c r="B6501" t="s">
        <v>2709</v>
      </c>
      <c r="C6501">
        <v>63012000</v>
      </c>
      <c r="E6501">
        <v>69.09</v>
      </c>
      <c r="F6501">
        <v>18</v>
      </c>
      <c r="G6501">
        <v>0</v>
      </c>
      <c r="H6501" t="s">
        <v>19447</v>
      </c>
      <c r="I6501" t="s">
        <v>19447</v>
      </c>
      <c r="J6501">
        <v>35</v>
      </c>
      <c r="L6501" t="s">
        <v>2709</v>
      </c>
      <c r="M6501">
        <v>63012000</v>
      </c>
      <c r="O6501" t="s">
        <v>20111</v>
      </c>
      <c r="P6501" t="s">
        <v>19899</v>
      </c>
      <c r="Q6501" t="s">
        <v>19900</v>
      </c>
      <c r="R6501" t="s">
        <v>19447</v>
      </c>
      <c r="S6501" t="s">
        <v>19447</v>
      </c>
      <c r="T6501" t="s">
        <v>19919</v>
      </c>
    </row>
    <row r="6502" spans="2:20" x14ac:dyDescent="0.25">
      <c r="B6502" t="s">
        <v>2709</v>
      </c>
      <c r="C6502">
        <v>63013000</v>
      </c>
      <c r="E6502">
        <v>69.09</v>
      </c>
      <c r="F6502">
        <v>18</v>
      </c>
      <c r="G6502">
        <v>0</v>
      </c>
      <c r="H6502" t="s">
        <v>19447</v>
      </c>
      <c r="I6502" t="s">
        <v>19447</v>
      </c>
      <c r="J6502">
        <v>35</v>
      </c>
      <c r="L6502" t="s">
        <v>2709</v>
      </c>
      <c r="M6502">
        <v>63013000</v>
      </c>
      <c r="O6502" t="s">
        <v>20111</v>
      </c>
      <c r="P6502" t="s">
        <v>19899</v>
      </c>
      <c r="Q6502" t="s">
        <v>19900</v>
      </c>
      <c r="R6502" t="s">
        <v>19447</v>
      </c>
      <c r="S6502" t="s">
        <v>19447</v>
      </c>
      <c r="T6502" t="s">
        <v>19919</v>
      </c>
    </row>
    <row r="6503" spans="2:20" x14ac:dyDescent="0.25">
      <c r="B6503" t="s">
        <v>2709</v>
      </c>
      <c r="C6503">
        <v>63014000</v>
      </c>
      <c r="E6503">
        <v>69.09</v>
      </c>
      <c r="F6503">
        <v>18</v>
      </c>
      <c r="G6503">
        <v>0</v>
      </c>
      <c r="H6503" t="s">
        <v>19447</v>
      </c>
      <c r="I6503" t="s">
        <v>19447</v>
      </c>
      <c r="J6503">
        <v>35</v>
      </c>
      <c r="L6503" t="s">
        <v>2709</v>
      </c>
      <c r="M6503">
        <v>63014000</v>
      </c>
      <c r="O6503" t="s">
        <v>20111</v>
      </c>
      <c r="P6503" t="s">
        <v>19899</v>
      </c>
      <c r="Q6503" t="s">
        <v>19900</v>
      </c>
      <c r="R6503" t="s">
        <v>19447</v>
      </c>
      <c r="S6503" t="s">
        <v>19447</v>
      </c>
      <c r="T6503" t="s">
        <v>19919</v>
      </c>
    </row>
    <row r="6504" spans="2:20" x14ac:dyDescent="0.25">
      <c r="B6504" t="s">
        <v>2709</v>
      </c>
      <c r="C6504">
        <v>63019000</v>
      </c>
      <c r="E6504">
        <v>69.09</v>
      </c>
      <c r="F6504">
        <v>18</v>
      </c>
      <c r="G6504">
        <v>0</v>
      </c>
      <c r="H6504" t="s">
        <v>19447</v>
      </c>
      <c r="I6504" t="s">
        <v>19447</v>
      </c>
      <c r="J6504">
        <v>35</v>
      </c>
      <c r="L6504" t="s">
        <v>2709</v>
      </c>
      <c r="M6504">
        <v>63019000</v>
      </c>
      <c r="O6504" t="s">
        <v>20111</v>
      </c>
      <c r="P6504" t="s">
        <v>19899</v>
      </c>
      <c r="Q6504" t="s">
        <v>19900</v>
      </c>
      <c r="R6504" t="s">
        <v>19447</v>
      </c>
      <c r="S6504" t="s">
        <v>19447</v>
      </c>
      <c r="T6504" t="s">
        <v>19919</v>
      </c>
    </row>
    <row r="6505" spans="2:20" x14ac:dyDescent="0.25">
      <c r="B6505" t="s">
        <v>2709</v>
      </c>
      <c r="C6505">
        <v>63021000</v>
      </c>
      <c r="E6505">
        <v>69.09</v>
      </c>
      <c r="F6505">
        <v>18</v>
      </c>
      <c r="G6505">
        <v>0</v>
      </c>
      <c r="H6505" t="s">
        <v>19447</v>
      </c>
      <c r="I6505" t="s">
        <v>19447</v>
      </c>
      <c r="J6505">
        <v>35</v>
      </c>
      <c r="L6505" t="s">
        <v>2709</v>
      </c>
      <c r="M6505">
        <v>63021000</v>
      </c>
      <c r="O6505" t="s">
        <v>20111</v>
      </c>
      <c r="P6505" t="s">
        <v>19899</v>
      </c>
      <c r="Q6505" t="s">
        <v>19900</v>
      </c>
      <c r="R6505" t="s">
        <v>19447</v>
      </c>
      <c r="S6505" t="s">
        <v>19447</v>
      </c>
      <c r="T6505" t="s">
        <v>19919</v>
      </c>
    </row>
    <row r="6506" spans="2:20" x14ac:dyDescent="0.25">
      <c r="B6506" t="s">
        <v>2709</v>
      </c>
      <c r="C6506">
        <v>63022100</v>
      </c>
      <c r="E6506">
        <v>69.09</v>
      </c>
      <c r="F6506">
        <v>18</v>
      </c>
      <c r="G6506">
        <v>0</v>
      </c>
      <c r="H6506" t="s">
        <v>19447</v>
      </c>
      <c r="I6506" t="s">
        <v>19447</v>
      </c>
      <c r="J6506">
        <v>35</v>
      </c>
      <c r="L6506" t="s">
        <v>2709</v>
      </c>
      <c r="M6506">
        <v>63022100</v>
      </c>
      <c r="O6506" t="s">
        <v>20111</v>
      </c>
      <c r="P6506" t="s">
        <v>19899</v>
      </c>
      <c r="Q6506" t="s">
        <v>19900</v>
      </c>
      <c r="R6506" t="s">
        <v>19447</v>
      </c>
      <c r="S6506" t="s">
        <v>19447</v>
      </c>
      <c r="T6506" t="s">
        <v>19919</v>
      </c>
    </row>
    <row r="6507" spans="2:20" x14ac:dyDescent="0.25">
      <c r="B6507" t="s">
        <v>2709</v>
      </c>
      <c r="C6507">
        <v>63022200</v>
      </c>
      <c r="E6507">
        <v>69.09</v>
      </c>
      <c r="F6507">
        <v>18</v>
      </c>
      <c r="G6507">
        <v>0</v>
      </c>
      <c r="H6507" t="s">
        <v>19447</v>
      </c>
      <c r="I6507" t="s">
        <v>19447</v>
      </c>
      <c r="J6507">
        <v>35</v>
      </c>
      <c r="L6507" t="s">
        <v>2709</v>
      </c>
      <c r="M6507">
        <v>63022200</v>
      </c>
      <c r="O6507" t="s">
        <v>20111</v>
      </c>
      <c r="P6507" t="s">
        <v>19899</v>
      </c>
      <c r="Q6507" t="s">
        <v>19900</v>
      </c>
      <c r="R6507" t="s">
        <v>19447</v>
      </c>
      <c r="S6507" t="s">
        <v>19447</v>
      </c>
      <c r="T6507" t="s">
        <v>19919</v>
      </c>
    </row>
    <row r="6508" spans="2:20" x14ac:dyDescent="0.25">
      <c r="B6508" t="s">
        <v>2709</v>
      </c>
      <c r="C6508">
        <v>63022900</v>
      </c>
      <c r="E6508">
        <v>69.09</v>
      </c>
      <c r="F6508">
        <v>18</v>
      </c>
      <c r="G6508">
        <v>0</v>
      </c>
      <c r="H6508" t="s">
        <v>19447</v>
      </c>
      <c r="I6508" t="s">
        <v>19447</v>
      </c>
      <c r="J6508">
        <v>35</v>
      </c>
      <c r="L6508" t="s">
        <v>2709</v>
      </c>
      <c r="M6508">
        <v>63022900</v>
      </c>
      <c r="O6508" t="s">
        <v>20111</v>
      </c>
      <c r="P6508" t="s">
        <v>19899</v>
      </c>
      <c r="Q6508" t="s">
        <v>19900</v>
      </c>
      <c r="R6508" t="s">
        <v>19447</v>
      </c>
      <c r="S6508" t="s">
        <v>19447</v>
      </c>
      <c r="T6508" t="s">
        <v>19919</v>
      </c>
    </row>
    <row r="6509" spans="2:20" x14ac:dyDescent="0.25">
      <c r="B6509" t="s">
        <v>2709</v>
      </c>
      <c r="C6509">
        <v>63023100</v>
      </c>
      <c r="E6509">
        <v>69.09</v>
      </c>
      <c r="F6509">
        <v>18</v>
      </c>
      <c r="G6509">
        <v>0</v>
      </c>
      <c r="H6509" t="s">
        <v>19447</v>
      </c>
      <c r="I6509" t="s">
        <v>19447</v>
      </c>
      <c r="J6509">
        <v>35</v>
      </c>
      <c r="L6509" t="s">
        <v>2709</v>
      </c>
      <c r="M6509">
        <v>63023100</v>
      </c>
      <c r="O6509" t="s">
        <v>20111</v>
      </c>
      <c r="P6509" t="s">
        <v>19899</v>
      </c>
      <c r="Q6509" t="s">
        <v>19900</v>
      </c>
      <c r="R6509" t="s">
        <v>19447</v>
      </c>
      <c r="S6509" t="s">
        <v>19447</v>
      </c>
      <c r="T6509" t="s">
        <v>19919</v>
      </c>
    </row>
    <row r="6510" spans="2:20" x14ac:dyDescent="0.25">
      <c r="B6510" t="s">
        <v>2709</v>
      </c>
      <c r="C6510">
        <v>63023200</v>
      </c>
      <c r="E6510">
        <v>69.09</v>
      </c>
      <c r="F6510">
        <v>18</v>
      </c>
      <c r="G6510">
        <v>0</v>
      </c>
      <c r="H6510" t="s">
        <v>19447</v>
      </c>
      <c r="I6510" t="s">
        <v>19447</v>
      </c>
      <c r="J6510">
        <v>35</v>
      </c>
      <c r="L6510" t="s">
        <v>2709</v>
      </c>
      <c r="M6510">
        <v>63023200</v>
      </c>
      <c r="O6510" t="s">
        <v>20111</v>
      </c>
      <c r="P6510" t="s">
        <v>19899</v>
      </c>
      <c r="Q6510" t="s">
        <v>19900</v>
      </c>
      <c r="R6510" t="s">
        <v>19447</v>
      </c>
      <c r="S6510" t="s">
        <v>19447</v>
      </c>
      <c r="T6510" t="s">
        <v>19919</v>
      </c>
    </row>
    <row r="6511" spans="2:20" x14ac:dyDescent="0.25">
      <c r="B6511" t="s">
        <v>2709</v>
      </c>
      <c r="C6511">
        <v>63023900</v>
      </c>
      <c r="E6511">
        <v>69.09</v>
      </c>
      <c r="F6511">
        <v>18</v>
      </c>
      <c r="G6511">
        <v>0</v>
      </c>
      <c r="H6511" t="s">
        <v>19447</v>
      </c>
      <c r="I6511" t="s">
        <v>19447</v>
      </c>
      <c r="J6511">
        <v>35</v>
      </c>
      <c r="L6511" t="s">
        <v>2709</v>
      </c>
      <c r="M6511">
        <v>63023900</v>
      </c>
      <c r="O6511" t="s">
        <v>20111</v>
      </c>
      <c r="P6511" t="s">
        <v>19899</v>
      </c>
      <c r="Q6511" t="s">
        <v>19900</v>
      </c>
      <c r="R6511" t="s">
        <v>19447</v>
      </c>
      <c r="S6511" t="s">
        <v>19447</v>
      </c>
      <c r="T6511" t="s">
        <v>19919</v>
      </c>
    </row>
    <row r="6512" spans="2:20" x14ac:dyDescent="0.25">
      <c r="B6512" t="s">
        <v>2709</v>
      </c>
      <c r="C6512">
        <v>63024000</v>
      </c>
      <c r="E6512">
        <v>69.09</v>
      </c>
      <c r="F6512">
        <v>18</v>
      </c>
      <c r="G6512">
        <v>0</v>
      </c>
      <c r="H6512" t="s">
        <v>19447</v>
      </c>
      <c r="I6512" t="s">
        <v>19447</v>
      </c>
      <c r="J6512">
        <v>35</v>
      </c>
      <c r="L6512" t="s">
        <v>2709</v>
      </c>
      <c r="M6512">
        <v>63024000</v>
      </c>
      <c r="O6512" t="s">
        <v>20111</v>
      </c>
      <c r="P6512" t="s">
        <v>19899</v>
      </c>
      <c r="Q6512" t="s">
        <v>19900</v>
      </c>
      <c r="R6512" t="s">
        <v>19447</v>
      </c>
      <c r="S6512" t="s">
        <v>19447</v>
      </c>
      <c r="T6512" t="s">
        <v>19919</v>
      </c>
    </row>
    <row r="6513" spans="2:20" x14ac:dyDescent="0.25">
      <c r="B6513" t="s">
        <v>2709</v>
      </c>
      <c r="C6513">
        <v>63025100</v>
      </c>
      <c r="E6513">
        <v>69.09</v>
      </c>
      <c r="F6513">
        <v>18</v>
      </c>
      <c r="G6513">
        <v>0</v>
      </c>
      <c r="H6513" t="s">
        <v>19447</v>
      </c>
      <c r="I6513" t="s">
        <v>19447</v>
      </c>
      <c r="J6513">
        <v>35</v>
      </c>
      <c r="L6513" t="s">
        <v>2709</v>
      </c>
      <c r="M6513">
        <v>63025100</v>
      </c>
      <c r="O6513" t="s">
        <v>20111</v>
      </c>
      <c r="P6513" t="s">
        <v>19899</v>
      </c>
      <c r="Q6513" t="s">
        <v>19900</v>
      </c>
      <c r="R6513" t="s">
        <v>19447</v>
      </c>
      <c r="S6513" t="s">
        <v>19447</v>
      </c>
      <c r="T6513" t="s">
        <v>19919</v>
      </c>
    </row>
    <row r="6514" spans="2:20" x14ac:dyDescent="0.25">
      <c r="B6514" t="s">
        <v>2709</v>
      </c>
      <c r="C6514">
        <v>63025300</v>
      </c>
      <c r="E6514">
        <v>69.09</v>
      </c>
      <c r="F6514">
        <v>18</v>
      </c>
      <c r="G6514">
        <v>0</v>
      </c>
      <c r="H6514" t="s">
        <v>19447</v>
      </c>
      <c r="I6514" t="s">
        <v>19447</v>
      </c>
      <c r="J6514">
        <v>35</v>
      </c>
      <c r="L6514" t="s">
        <v>2709</v>
      </c>
      <c r="M6514">
        <v>63025300</v>
      </c>
      <c r="O6514" t="s">
        <v>20111</v>
      </c>
      <c r="P6514" t="s">
        <v>19899</v>
      </c>
      <c r="Q6514" t="s">
        <v>19900</v>
      </c>
      <c r="R6514" t="s">
        <v>19447</v>
      </c>
      <c r="S6514" t="s">
        <v>19447</v>
      </c>
      <c r="T6514" t="s">
        <v>19919</v>
      </c>
    </row>
    <row r="6515" spans="2:20" x14ac:dyDescent="0.25">
      <c r="B6515" t="s">
        <v>2709</v>
      </c>
      <c r="C6515">
        <v>63025910</v>
      </c>
      <c r="E6515">
        <v>69.09</v>
      </c>
      <c r="F6515">
        <v>18</v>
      </c>
      <c r="G6515">
        <v>0</v>
      </c>
      <c r="H6515" t="s">
        <v>19447</v>
      </c>
      <c r="I6515" t="s">
        <v>19447</v>
      </c>
      <c r="J6515">
        <v>35</v>
      </c>
      <c r="L6515" t="s">
        <v>2709</v>
      </c>
      <c r="M6515">
        <v>63025910</v>
      </c>
      <c r="O6515" t="s">
        <v>20111</v>
      </c>
      <c r="P6515" t="s">
        <v>19899</v>
      </c>
      <c r="Q6515" t="s">
        <v>19900</v>
      </c>
      <c r="R6515" t="s">
        <v>19447</v>
      </c>
      <c r="S6515" t="s">
        <v>19447</v>
      </c>
      <c r="T6515" t="s">
        <v>19919</v>
      </c>
    </row>
    <row r="6516" spans="2:20" x14ac:dyDescent="0.25">
      <c r="B6516" t="s">
        <v>2709</v>
      </c>
      <c r="C6516">
        <v>63025990</v>
      </c>
      <c r="E6516">
        <v>69.09</v>
      </c>
      <c r="F6516">
        <v>18</v>
      </c>
      <c r="G6516">
        <v>0</v>
      </c>
      <c r="H6516" t="s">
        <v>19447</v>
      </c>
      <c r="I6516" t="s">
        <v>19447</v>
      </c>
      <c r="J6516">
        <v>35</v>
      </c>
      <c r="L6516" t="s">
        <v>2709</v>
      </c>
      <c r="M6516">
        <v>63025990</v>
      </c>
      <c r="O6516" t="s">
        <v>20111</v>
      </c>
      <c r="P6516" t="s">
        <v>19899</v>
      </c>
      <c r="Q6516" t="s">
        <v>19900</v>
      </c>
      <c r="R6516" t="s">
        <v>19447</v>
      </c>
      <c r="S6516" t="s">
        <v>19447</v>
      </c>
      <c r="T6516" t="s">
        <v>19919</v>
      </c>
    </row>
    <row r="6517" spans="2:20" x14ac:dyDescent="0.25">
      <c r="B6517" t="s">
        <v>2709</v>
      </c>
      <c r="C6517">
        <v>63026000</v>
      </c>
      <c r="E6517">
        <v>69.09</v>
      </c>
      <c r="F6517">
        <v>18</v>
      </c>
      <c r="G6517">
        <v>0</v>
      </c>
      <c r="H6517" t="s">
        <v>19447</v>
      </c>
      <c r="I6517" t="s">
        <v>19447</v>
      </c>
      <c r="J6517">
        <v>35</v>
      </c>
      <c r="L6517" t="s">
        <v>2709</v>
      </c>
      <c r="M6517">
        <v>63026000</v>
      </c>
      <c r="O6517" t="s">
        <v>20111</v>
      </c>
      <c r="P6517" t="s">
        <v>19899</v>
      </c>
      <c r="Q6517" t="s">
        <v>19900</v>
      </c>
      <c r="R6517" t="s">
        <v>19447</v>
      </c>
      <c r="S6517" t="s">
        <v>19447</v>
      </c>
      <c r="T6517" t="s">
        <v>19919</v>
      </c>
    </row>
    <row r="6518" spans="2:20" x14ac:dyDescent="0.25">
      <c r="B6518" t="s">
        <v>2709</v>
      </c>
      <c r="C6518">
        <v>63029100</v>
      </c>
      <c r="E6518">
        <v>69.09</v>
      </c>
      <c r="F6518">
        <v>18</v>
      </c>
      <c r="G6518">
        <v>0</v>
      </c>
      <c r="H6518" t="s">
        <v>19447</v>
      </c>
      <c r="I6518" t="s">
        <v>19447</v>
      </c>
      <c r="J6518">
        <v>35</v>
      </c>
      <c r="L6518" t="s">
        <v>2709</v>
      </c>
      <c r="M6518">
        <v>63029100</v>
      </c>
      <c r="O6518" t="s">
        <v>20111</v>
      </c>
      <c r="P6518" t="s">
        <v>19899</v>
      </c>
      <c r="Q6518" t="s">
        <v>19900</v>
      </c>
      <c r="R6518" t="s">
        <v>19447</v>
      </c>
      <c r="S6518" t="s">
        <v>19447</v>
      </c>
      <c r="T6518" t="s">
        <v>19919</v>
      </c>
    </row>
    <row r="6519" spans="2:20" x14ac:dyDescent="0.25">
      <c r="B6519" t="s">
        <v>2709</v>
      </c>
      <c r="C6519">
        <v>63029300</v>
      </c>
      <c r="E6519">
        <v>69.09</v>
      </c>
      <c r="F6519">
        <v>18</v>
      </c>
      <c r="G6519">
        <v>0</v>
      </c>
      <c r="H6519" t="s">
        <v>19447</v>
      </c>
      <c r="I6519" t="s">
        <v>19447</v>
      </c>
      <c r="J6519">
        <v>35</v>
      </c>
      <c r="L6519" t="s">
        <v>2709</v>
      </c>
      <c r="M6519">
        <v>63029300</v>
      </c>
      <c r="O6519" t="s">
        <v>20111</v>
      </c>
      <c r="P6519" t="s">
        <v>19899</v>
      </c>
      <c r="Q6519" t="s">
        <v>19900</v>
      </c>
      <c r="R6519" t="s">
        <v>19447</v>
      </c>
      <c r="S6519" t="s">
        <v>19447</v>
      </c>
      <c r="T6519" t="s">
        <v>19919</v>
      </c>
    </row>
    <row r="6520" spans="2:20" x14ac:dyDescent="0.25">
      <c r="B6520" t="s">
        <v>2709</v>
      </c>
      <c r="C6520">
        <v>63029910</v>
      </c>
      <c r="E6520">
        <v>69.09</v>
      </c>
      <c r="F6520">
        <v>18</v>
      </c>
      <c r="G6520">
        <v>0</v>
      </c>
      <c r="H6520" t="s">
        <v>19447</v>
      </c>
      <c r="I6520" t="s">
        <v>19447</v>
      </c>
      <c r="J6520">
        <v>35</v>
      </c>
      <c r="L6520" t="s">
        <v>2709</v>
      </c>
      <c r="M6520">
        <v>63029910</v>
      </c>
      <c r="O6520" t="s">
        <v>20111</v>
      </c>
      <c r="P6520" t="s">
        <v>19899</v>
      </c>
      <c r="Q6520" t="s">
        <v>19900</v>
      </c>
      <c r="R6520" t="s">
        <v>19447</v>
      </c>
      <c r="S6520" t="s">
        <v>19447</v>
      </c>
      <c r="T6520" t="s">
        <v>19919</v>
      </c>
    </row>
    <row r="6521" spans="2:20" x14ac:dyDescent="0.25">
      <c r="B6521" t="s">
        <v>2709</v>
      </c>
      <c r="C6521">
        <v>63029990</v>
      </c>
      <c r="E6521">
        <v>69.09</v>
      </c>
      <c r="F6521">
        <v>18</v>
      </c>
      <c r="G6521">
        <v>0</v>
      </c>
      <c r="H6521" t="s">
        <v>19447</v>
      </c>
      <c r="I6521" t="s">
        <v>19447</v>
      </c>
      <c r="J6521">
        <v>35</v>
      </c>
      <c r="L6521" t="s">
        <v>2709</v>
      </c>
      <c r="M6521">
        <v>63029990</v>
      </c>
      <c r="O6521" t="s">
        <v>20111</v>
      </c>
      <c r="P6521" t="s">
        <v>19899</v>
      </c>
      <c r="Q6521" t="s">
        <v>19900</v>
      </c>
      <c r="R6521" t="s">
        <v>19447</v>
      </c>
      <c r="S6521" t="s">
        <v>19447</v>
      </c>
      <c r="T6521" t="s">
        <v>19919</v>
      </c>
    </row>
    <row r="6522" spans="2:20" x14ac:dyDescent="0.25">
      <c r="B6522" t="s">
        <v>2709</v>
      </c>
      <c r="C6522">
        <v>63031200</v>
      </c>
      <c r="E6522">
        <v>71.78</v>
      </c>
      <c r="F6522">
        <v>18</v>
      </c>
      <c r="G6522">
        <v>0</v>
      </c>
      <c r="H6522" t="s">
        <v>19447</v>
      </c>
      <c r="I6522" t="s">
        <v>19447</v>
      </c>
      <c r="J6522">
        <v>35</v>
      </c>
      <c r="L6522" t="s">
        <v>2709</v>
      </c>
      <c r="M6522">
        <v>63031200</v>
      </c>
      <c r="O6522" t="s">
        <v>20056</v>
      </c>
      <c r="P6522" t="s">
        <v>19899</v>
      </c>
      <c r="Q6522" t="s">
        <v>19900</v>
      </c>
      <c r="R6522" t="s">
        <v>19447</v>
      </c>
      <c r="S6522" t="s">
        <v>19447</v>
      </c>
      <c r="T6522" t="s">
        <v>19919</v>
      </c>
    </row>
    <row r="6523" spans="2:20" x14ac:dyDescent="0.25">
      <c r="B6523" t="s">
        <v>2709</v>
      </c>
      <c r="C6523">
        <v>63031910</v>
      </c>
      <c r="E6523">
        <v>71.78</v>
      </c>
      <c r="F6523">
        <v>18</v>
      </c>
      <c r="G6523">
        <v>0</v>
      </c>
      <c r="H6523" t="s">
        <v>19447</v>
      </c>
      <c r="I6523" t="s">
        <v>19447</v>
      </c>
      <c r="J6523">
        <v>35</v>
      </c>
      <c r="L6523" t="s">
        <v>2709</v>
      </c>
      <c r="M6523">
        <v>63031910</v>
      </c>
      <c r="O6523" t="s">
        <v>20056</v>
      </c>
      <c r="P6523" t="s">
        <v>19899</v>
      </c>
      <c r="Q6523" t="s">
        <v>19900</v>
      </c>
      <c r="R6523" t="s">
        <v>19447</v>
      </c>
      <c r="S6523" t="s">
        <v>19447</v>
      </c>
      <c r="T6523" t="s">
        <v>19919</v>
      </c>
    </row>
    <row r="6524" spans="2:20" x14ac:dyDescent="0.25">
      <c r="B6524" t="s">
        <v>2709</v>
      </c>
      <c r="C6524">
        <v>63031990</v>
      </c>
      <c r="E6524">
        <v>71.78</v>
      </c>
      <c r="F6524">
        <v>18</v>
      </c>
      <c r="G6524">
        <v>0</v>
      </c>
      <c r="H6524" t="s">
        <v>19447</v>
      </c>
      <c r="I6524" t="s">
        <v>19447</v>
      </c>
      <c r="J6524">
        <v>35</v>
      </c>
      <c r="L6524" t="s">
        <v>2709</v>
      </c>
      <c r="M6524">
        <v>63031990</v>
      </c>
      <c r="O6524" t="s">
        <v>20056</v>
      </c>
      <c r="P6524" t="s">
        <v>19899</v>
      </c>
      <c r="Q6524" t="s">
        <v>19900</v>
      </c>
      <c r="R6524" t="s">
        <v>19447</v>
      </c>
      <c r="S6524" t="s">
        <v>19447</v>
      </c>
      <c r="T6524" t="s">
        <v>19919</v>
      </c>
    </row>
    <row r="6525" spans="2:20" x14ac:dyDescent="0.25">
      <c r="B6525" t="s">
        <v>2709</v>
      </c>
      <c r="C6525">
        <v>63039100</v>
      </c>
      <c r="E6525">
        <v>71.78</v>
      </c>
      <c r="F6525">
        <v>18</v>
      </c>
      <c r="G6525">
        <v>0</v>
      </c>
      <c r="H6525" t="s">
        <v>19447</v>
      </c>
      <c r="I6525" t="s">
        <v>19447</v>
      </c>
      <c r="J6525">
        <v>35</v>
      </c>
      <c r="L6525" t="s">
        <v>2709</v>
      </c>
      <c r="M6525">
        <v>63039100</v>
      </c>
      <c r="O6525" t="s">
        <v>20056</v>
      </c>
      <c r="P6525" t="s">
        <v>19899</v>
      </c>
      <c r="Q6525" t="s">
        <v>19900</v>
      </c>
      <c r="R6525" t="s">
        <v>19447</v>
      </c>
      <c r="S6525" t="s">
        <v>19447</v>
      </c>
      <c r="T6525" t="s">
        <v>19919</v>
      </c>
    </row>
    <row r="6526" spans="2:20" x14ac:dyDescent="0.25">
      <c r="B6526" t="s">
        <v>2709</v>
      </c>
      <c r="C6526">
        <v>63039200</v>
      </c>
      <c r="E6526">
        <v>71.78</v>
      </c>
      <c r="F6526">
        <v>18</v>
      </c>
      <c r="G6526">
        <v>0</v>
      </c>
      <c r="H6526" t="s">
        <v>19447</v>
      </c>
      <c r="I6526" t="s">
        <v>19447</v>
      </c>
      <c r="J6526">
        <v>35</v>
      </c>
      <c r="L6526" t="s">
        <v>2709</v>
      </c>
      <c r="M6526">
        <v>63039200</v>
      </c>
      <c r="O6526" t="s">
        <v>20056</v>
      </c>
      <c r="P6526" t="s">
        <v>19899</v>
      </c>
      <c r="Q6526" t="s">
        <v>19900</v>
      </c>
      <c r="R6526" t="s">
        <v>19447</v>
      </c>
      <c r="S6526" t="s">
        <v>19447</v>
      </c>
      <c r="T6526" t="s">
        <v>19919</v>
      </c>
    </row>
    <row r="6527" spans="2:20" x14ac:dyDescent="0.25">
      <c r="B6527" t="s">
        <v>2709</v>
      </c>
      <c r="C6527">
        <v>63039900</v>
      </c>
      <c r="E6527">
        <v>48</v>
      </c>
      <c r="F6527">
        <v>18</v>
      </c>
      <c r="G6527">
        <v>0</v>
      </c>
      <c r="H6527" t="s">
        <v>19447</v>
      </c>
      <c r="I6527" t="s">
        <v>19447</v>
      </c>
      <c r="J6527">
        <v>35</v>
      </c>
      <c r="L6527" t="s">
        <v>2709</v>
      </c>
      <c r="M6527">
        <v>63039900</v>
      </c>
      <c r="O6527" t="s">
        <v>20112</v>
      </c>
      <c r="P6527" t="s">
        <v>19899</v>
      </c>
      <c r="Q6527" t="s">
        <v>19900</v>
      </c>
      <c r="R6527" t="s">
        <v>19447</v>
      </c>
      <c r="S6527" t="s">
        <v>19447</v>
      </c>
      <c r="T6527" t="s">
        <v>19919</v>
      </c>
    </row>
    <row r="6528" spans="2:20" x14ac:dyDescent="0.25">
      <c r="B6528" t="s">
        <v>2709</v>
      </c>
      <c r="C6528">
        <v>63041100</v>
      </c>
      <c r="E6528">
        <v>69.09</v>
      </c>
      <c r="F6528">
        <v>18</v>
      </c>
      <c r="G6528">
        <v>0</v>
      </c>
      <c r="H6528" t="s">
        <v>19447</v>
      </c>
      <c r="I6528" t="s">
        <v>19447</v>
      </c>
      <c r="J6528">
        <v>35</v>
      </c>
      <c r="L6528" t="s">
        <v>2709</v>
      </c>
      <c r="M6528">
        <v>63041100</v>
      </c>
      <c r="O6528" t="s">
        <v>20111</v>
      </c>
      <c r="P6528" t="s">
        <v>19899</v>
      </c>
      <c r="Q6528" t="s">
        <v>19900</v>
      </c>
      <c r="R6528" t="s">
        <v>19447</v>
      </c>
      <c r="S6528" t="s">
        <v>19447</v>
      </c>
      <c r="T6528" t="s">
        <v>19919</v>
      </c>
    </row>
    <row r="6529" spans="2:20" x14ac:dyDescent="0.25">
      <c r="B6529" t="s">
        <v>2709</v>
      </c>
      <c r="C6529">
        <v>63041910</v>
      </c>
      <c r="E6529">
        <v>69.09</v>
      </c>
      <c r="F6529">
        <v>18</v>
      </c>
      <c r="G6529">
        <v>0</v>
      </c>
      <c r="H6529" t="s">
        <v>19447</v>
      </c>
      <c r="I6529" t="s">
        <v>19447</v>
      </c>
      <c r="J6529">
        <v>35</v>
      </c>
      <c r="L6529" t="s">
        <v>2709</v>
      </c>
      <c r="M6529">
        <v>63041910</v>
      </c>
      <c r="O6529" t="s">
        <v>20111</v>
      </c>
      <c r="P6529" t="s">
        <v>19899</v>
      </c>
      <c r="Q6529" t="s">
        <v>19900</v>
      </c>
      <c r="R6529" t="s">
        <v>19447</v>
      </c>
      <c r="S6529" t="s">
        <v>19447</v>
      </c>
      <c r="T6529" t="s">
        <v>19919</v>
      </c>
    </row>
    <row r="6530" spans="2:20" x14ac:dyDescent="0.25">
      <c r="B6530" t="s">
        <v>2709</v>
      </c>
      <c r="C6530">
        <v>63041990</v>
      </c>
      <c r="E6530">
        <v>69.09</v>
      </c>
      <c r="F6530">
        <v>18</v>
      </c>
      <c r="G6530">
        <v>0</v>
      </c>
      <c r="H6530" t="s">
        <v>19447</v>
      </c>
      <c r="I6530" t="s">
        <v>19447</v>
      </c>
      <c r="J6530">
        <v>35</v>
      </c>
      <c r="L6530" t="s">
        <v>2709</v>
      </c>
      <c r="M6530">
        <v>63041990</v>
      </c>
      <c r="O6530" t="s">
        <v>20111</v>
      </c>
      <c r="P6530" t="s">
        <v>19899</v>
      </c>
      <c r="Q6530" t="s">
        <v>19900</v>
      </c>
      <c r="R6530" t="s">
        <v>19447</v>
      </c>
      <c r="S6530" t="s">
        <v>19447</v>
      </c>
      <c r="T6530" t="s">
        <v>19919</v>
      </c>
    </row>
    <row r="6531" spans="2:20" x14ac:dyDescent="0.25">
      <c r="B6531" t="s">
        <v>2709</v>
      </c>
      <c r="C6531">
        <v>63049100</v>
      </c>
      <c r="E6531">
        <v>69.09</v>
      </c>
      <c r="F6531">
        <v>18</v>
      </c>
      <c r="G6531">
        <v>0</v>
      </c>
      <c r="H6531" t="s">
        <v>19447</v>
      </c>
      <c r="I6531" t="s">
        <v>19447</v>
      </c>
      <c r="J6531">
        <v>35</v>
      </c>
      <c r="L6531" t="s">
        <v>2709</v>
      </c>
      <c r="M6531">
        <v>63049100</v>
      </c>
      <c r="O6531" t="s">
        <v>20111</v>
      </c>
      <c r="P6531" t="s">
        <v>19899</v>
      </c>
      <c r="Q6531" t="s">
        <v>19900</v>
      </c>
      <c r="R6531" t="s">
        <v>19447</v>
      </c>
      <c r="S6531" t="s">
        <v>19447</v>
      </c>
      <c r="T6531" t="s">
        <v>19919</v>
      </c>
    </row>
    <row r="6532" spans="2:20" x14ac:dyDescent="0.25">
      <c r="B6532" t="s">
        <v>2709</v>
      </c>
      <c r="C6532">
        <v>63049200</v>
      </c>
      <c r="E6532">
        <v>69.09</v>
      </c>
      <c r="F6532">
        <v>18</v>
      </c>
      <c r="G6532">
        <v>0</v>
      </c>
      <c r="H6532" t="s">
        <v>19447</v>
      </c>
      <c r="I6532" t="s">
        <v>19447</v>
      </c>
      <c r="J6532">
        <v>35</v>
      </c>
      <c r="L6532" t="s">
        <v>2709</v>
      </c>
      <c r="M6532">
        <v>63049200</v>
      </c>
      <c r="O6532" t="s">
        <v>20111</v>
      </c>
      <c r="P6532" t="s">
        <v>19899</v>
      </c>
      <c r="Q6532" t="s">
        <v>19900</v>
      </c>
      <c r="R6532" t="s">
        <v>19447</v>
      </c>
      <c r="S6532" t="s">
        <v>19447</v>
      </c>
      <c r="T6532" t="s">
        <v>19919</v>
      </c>
    </row>
    <row r="6533" spans="2:20" x14ac:dyDescent="0.25">
      <c r="B6533" t="s">
        <v>2709</v>
      </c>
      <c r="C6533">
        <v>63049300</v>
      </c>
      <c r="E6533">
        <v>69.09</v>
      </c>
      <c r="F6533">
        <v>18</v>
      </c>
      <c r="G6533">
        <v>0</v>
      </c>
      <c r="H6533" t="s">
        <v>19447</v>
      </c>
      <c r="I6533" t="s">
        <v>19447</v>
      </c>
      <c r="J6533">
        <v>35</v>
      </c>
      <c r="L6533" t="s">
        <v>2709</v>
      </c>
      <c r="M6533">
        <v>63049300</v>
      </c>
      <c r="O6533" t="s">
        <v>20111</v>
      </c>
      <c r="P6533" t="s">
        <v>19899</v>
      </c>
      <c r="Q6533" t="s">
        <v>19900</v>
      </c>
      <c r="R6533" t="s">
        <v>19447</v>
      </c>
      <c r="S6533" t="s">
        <v>19447</v>
      </c>
      <c r="T6533" t="s">
        <v>19919</v>
      </c>
    </row>
    <row r="6534" spans="2:20" x14ac:dyDescent="0.25">
      <c r="B6534" t="s">
        <v>2709</v>
      </c>
      <c r="C6534">
        <v>63049900</v>
      </c>
      <c r="E6534">
        <v>69.09</v>
      </c>
      <c r="F6534">
        <v>18</v>
      </c>
      <c r="G6534">
        <v>0</v>
      </c>
      <c r="H6534" t="s">
        <v>19447</v>
      </c>
      <c r="I6534" t="s">
        <v>19447</v>
      </c>
      <c r="J6534">
        <v>35</v>
      </c>
      <c r="L6534" t="s">
        <v>2709</v>
      </c>
      <c r="M6534">
        <v>63049900</v>
      </c>
      <c r="O6534" t="s">
        <v>20111</v>
      </c>
      <c r="P6534" t="s">
        <v>19899</v>
      </c>
      <c r="Q6534" t="s">
        <v>19900</v>
      </c>
      <c r="R6534" t="s">
        <v>19447</v>
      </c>
      <c r="S6534" t="s">
        <v>19447</v>
      </c>
      <c r="T6534" t="s">
        <v>19919</v>
      </c>
    </row>
    <row r="6535" spans="2:20" x14ac:dyDescent="0.25">
      <c r="B6535" t="s">
        <v>2709</v>
      </c>
      <c r="C6535">
        <v>63051000</v>
      </c>
      <c r="E6535">
        <v>69.09</v>
      </c>
      <c r="F6535">
        <v>18</v>
      </c>
      <c r="G6535">
        <v>15</v>
      </c>
      <c r="H6535" t="s">
        <v>19447</v>
      </c>
      <c r="I6535" t="s">
        <v>19447</v>
      </c>
      <c r="J6535">
        <v>35</v>
      </c>
      <c r="L6535" t="s">
        <v>2709</v>
      </c>
      <c r="M6535">
        <v>63051000</v>
      </c>
      <c r="O6535" t="s">
        <v>20111</v>
      </c>
      <c r="P6535" t="s">
        <v>19899</v>
      </c>
      <c r="Q6535" t="s">
        <v>19983</v>
      </c>
      <c r="R6535" t="s">
        <v>19447</v>
      </c>
      <c r="S6535" t="s">
        <v>19447</v>
      </c>
      <c r="T6535" t="s">
        <v>19919</v>
      </c>
    </row>
    <row r="6536" spans="2:20" x14ac:dyDescent="0.25">
      <c r="B6536" t="s">
        <v>2709</v>
      </c>
      <c r="C6536">
        <v>63052000</v>
      </c>
      <c r="E6536">
        <v>69.09</v>
      </c>
      <c r="F6536">
        <v>18</v>
      </c>
      <c r="G6536">
        <v>15</v>
      </c>
      <c r="H6536" t="s">
        <v>19447</v>
      </c>
      <c r="I6536" t="s">
        <v>19447</v>
      </c>
      <c r="J6536">
        <v>35</v>
      </c>
      <c r="L6536" t="s">
        <v>2709</v>
      </c>
      <c r="M6536">
        <v>63052000</v>
      </c>
      <c r="O6536" t="s">
        <v>20111</v>
      </c>
      <c r="P6536" t="s">
        <v>19899</v>
      </c>
      <c r="Q6536" t="s">
        <v>19983</v>
      </c>
      <c r="R6536" t="s">
        <v>19447</v>
      </c>
      <c r="S6536" t="s">
        <v>19447</v>
      </c>
      <c r="T6536" t="s">
        <v>19919</v>
      </c>
    </row>
    <row r="6537" spans="2:20" x14ac:dyDescent="0.25">
      <c r="B6537" t="s">
        <v>2709</v>
      </c>
      <c r="C6537">
        <v>63053200</v>
      </c>
      <c r="E6537">
        <v>69.09</v>
      </c>
      <c r="F6537">
        <v>18</v>
      </c>
      <c r="G6537">
        <v>15</v>
      </c>
      <c r="H6537" t="s">
        <v>19447</v>
      </c>
      <c r="I6537" t="s">
        <v>19447</v>
      </c>
      <c r="J6537">
        <v>35</v>
      </c>
      <c r="L6537" t="s">
        <v>2709</v>
      </c>
      <c r="M6537">
        <v>63053200</v>
      </c>
      <c r="O6537" t="s">
        <v>20111</v>
      </c>
      <c r="P6537" t="s">
        <v>19899</v>
      </c>
      <c r="Q6537" t="s">
        <v>19983</v>
      </c>
      <c r="R6537" t="s">
        <v>19447</v>
      </c>
      <c r="S6537" t="s">
        <v>19447</v>
      </c>
      <c r="T6537" t="s">
        <v>19919</v>
      </c>
    </row>
    <row r="6538" spans="2:20" x14ac:dyDescent="0.25">
      <c r="B6538" t="s">
        <v>2709</v>
      </c>
      <c r="C6538">
        <v>63053310</v>
      </c>
      <c r="E6538">
        <v>69.09</v>
      </c>
      <c r="F6538">
        <v>18</v>
      </c>
      <c r="G6538">
        <v>15</v>
      </c>
      <c r="H6538" t="s">
        <v>19447</v>
      </c>
      <c r="I6538" t="s">
        <v>19447</v>
      </c>
      <c r="J6538">
        <v>35</v>
      </c>
      <c r="L6538" t="s">
        <v>2709</v>
      </c>
      <c r="M6538">
        <v>63053310</v>
      </c>
      <c r="O6538" t="s">
        <v>20111</v>
      </c>
      <c r="P6538" t="s">
        <v>19899</v>
      </c>
      <c r="Q6538" t="s">
        <v>19983</v>
      </c>
      <c r="R6538" t="s">
        <v>19447</v>
      </c>
      <c r="S6538" t="s">
        <v>19447</v>
      </c>
      <c r="T6538" t="s">
        <v>19919</v>
      </c>
    </row>
    <row r="6539" spans="2:20" x14ac:dyDescent="0.25">
      <c r="B6539" t="s">
        <v>2709</v>
      </c>
      <c r="C6539">
        <v>63053390</v>
      </c>
      <c r="E6539">
        <v>69.09</v>
      </c>
      <c r="F6539">
        <v>18</v>
      </c>
      <c r="G6539">
        <v>15</v>
      </c>
      <c r="H6539" t="s">
        <v>19447</v>
      </c>
      <c r="I6539" t="s">
        <v>19447</v>
      </c>
      <c r="J6539">
        <v>35</v>
      </c>
      <c r="L6539" t="s">
        <v>2709</v>
      </c>
      <c r="M6539">
        <v>63053390</v>
      </c>
      <c r="O6539" t="s">
        <v>20111</v>
      </c>
      <c r="P6539" t="s">
        <v>19899</v>
      </c>
      <c r="Q6539" t="s">
        <v>19983</v>
      </c>
      <c r="R6539" t="s">
        <v>19447</v>
      </c>
      <c r="S6539" t="s">
        <v>19447</v>
      </c>
      <c r="T6539" t="s">
        <v>19919</v>
      </c>
    </row>
    <row r="6540" spans="2:20" x14ac:dyDescent="0.25">
      <c r="B6540" t="s">
        <v>2709</v>
      </c>
      <c r="C6540">
        <v>63053900</v>
      </c>
      <c r="E6540">
        <v>69.09</v>
      </c>
      <c r="F6540">
        <v>18</v>
      </c>
      <c r="G6540">
        <v>15</v>
      </c>
      <c r="H6540" t="s">
        <v>19447</v>
      </c>
      <c r="I6540" t="s">
        <v>19447</v>
      </c>
      <c r="J6540">
        <v>35</v>
      </c>
      <c r="L6540" t="s">
        <v>2709</v>
      </c>
      <c r="M6540">
        <v>63053900</v>
      </c>
      <c r="O6540" t="s">
        <v>20111</v>
      </c>
      <c r="P6540" t="s">
        <v>19899</v>
      </c>
      <c r="Q6540" t="s">
        <v>19983</v>
      </c>
      <c r="R6540" t="s">
        <v>19447</v>
      </c>
      <c r="S6540" t="s">
        <v>19447</v>
      </c>
      <c r="T6540" t="s">
        <v>19919</v>
      </c>
    </row>
    <row r="6541" spans="2:20" x14ac:dyDescent="0.25">
      <c r="B6541" t="s">
        <v>2709</v>
      </c>
      <c r="C6541">
        <v>63059000</v>
      </c>
      <c r="E6541">
        <v>69.09</v>
      </c>
      <c r="F6541">
        <v>18</v>
      </c>
      <c r="G6541">
        <v>15</v>
      </c>
      <c r="H6541" t="s">
        <v>19447</v>
      </c>
      <c r="I6541" t="s">
        <v>19447</v>
      </c>
      <c r="J6541">
        <v>35</v>
      </c>
      <c r="L6541" t="s">
        <v>2709</v>
      </c>
      <c r="M6541">
        <v>63059000</v>
      </c>
      <c r="O6541" t="s">
        <v>20111</v>
      </c>
      <c r="P6541" t="s">
        <v>19899</v>
      </c>
      <c r="Q6541" t="s">
        <v>19983</v>
      </c>
      <c r="R6541" t="s">
        <v>19447</v>
      </c>
      <c r="S6541" t="s">
        <v>19447</v>
      </c>
      <c r="T6541" t="s">
        <v>19919</v>
      </c>
    </row>
    <row r="6542" spans="2:20" x14ac:dyDescent="0.25">
      <c r="B6542" t="s">
        <v>2709</v>
      </c>
      <c r="C6542">
        <v>63061200</v>
      </c>
      <c r="E6542">
        <v>71.78</v>
      </c>
      <c r="F6542">
        <v>18</v>
      </c>
      <c r="G6542">
        <v>5</v>
      </c>
      <c r="H6542" t="s">
        <v>19447</v>
      </c>
      <c r="I6542" t="s">
        <v>19447</v>
      </c>
      <c r="J6542">
        <v>35</v>
      </c>
      <c r="L6542" t="s">
        <v>2709</v>
      </c>
      <c r="M6542">
        <v>63061200</v>
      </c>
      <c r="O6542" t="s">
        <v>20056</v>
      </c>
      <c r="P6542" t="s">
        <v>19899</v>
      </c>
      <c r="Q6542" t="s">
        <v>19909</v>
      </c>
      <c r="R6542" t="s">
        <v>19447</v>
      </c>
      <c r="S6542" t="s">
        <v>19447</v>
      </c>
      <c r="T6542" t="s">
        <v>19919</v>
      </c>
    </row>
    <row r="6543" spans="2:20" x14ac:dyDescent="0.25">
      <c r="B6543" t="s">
        <v>2709</v>
      </c>
      <c r="C6543">
        <v>63061910</v>
      </c>
      <c r="E6543">
        <v>71.78</v>
      </c>
      <c r="F6543">
        <v>18</v>
      </c>
      <c r="G6543">
        <v>5</v>
      </c>
      <c r="H6543" t="s">
        <v>19447</v>
      </c>
      <c r="I6543" t="s">
        <v>19447</v>
      </c>
      <c r="J6543">
        <v>35</v>
      </c>
      <c r="L6543" t="s">
        <v>2709</v>
      </c>
      <c r="M6543">
        <v>63061910</v>
      </c>
      <c r="O6543" t="s">
        <v>20056</v>
      </c>
      <c r="P6543" t="s">
        <v>19899</v>
      </c>
      <c r="Q6543" t="s">
        <v>19909</v>
      </c>
      <c r="R6543" t="s">
        <v>19447</v>
      </c>
      <c r="S6543" t="s">
        <v>19447</v>
      </c>
      <c r="T6543" t="s">
        <v>19919</v>
      </c>
    </row>
    <row r="6544" spans="2:20" x14ac:dyDescent="0.25">
      <c r="B6544" t="s">
        <v>2709</v>
      </c>
      <c r="C6544">
        <v>63061990</v>
      </c>
      <c r="E6544">
        <v>71.78</v>
      </c>
      <c r="F6544">
        <v>18</v>
      </c>
      <c r="G6544">
        <v>5</v>
      </c>
      <c r="H6544" t="s">
        <v>19447</v>
      </c>
      <c r="I6544" t="s">
        <v>19447</v>
      </c>
      <c r="J6544">
        <v>35</v>
      </c>
      <c r="L6544" t="s">
        <v>2709</v>
      </c>
      <c r="M6544">
        <v>63061990</v>
      </c>
      <c r="O6544" t="s">
        <v>20056</v>
      </c>
      <c r="P6544" t="s">
        <v>19899</v>
      </c>
      <c r="Q6544" t="s">
        <v>19909</v>
      </c>
      <c r="R6544" t="s">
        <v>19447</v>
      </c>
      <c r="S6544" t="s">
        <v>19447</v>
      </c>
      <c r="T6544" t="s">
        <v>19919</v>
      </c>
    </row>
    <row r="6545" spans="2:20" x14ac:dyDescent="0.25">
      <c r="B6545" t="s">
        <v>2709</v>
      </c>
      <c r="C6545">
        <v>63062200</v>
      </c>
      <c r="E6545">
        <v>69.09</v>
      </c>
      <c r="F6545">
        <v>18</v>
      </c>
      <c r="G6545">
        <v>10</v>
      </c>
      <c r="H6545" t="s">
        <v>19447</v>
      </c>
      <c r="I6545" t="s">
        <v>19447</v>
      </c>
      <c r="J6545">
        <v>35</v>
      </c>
      <c r="L6545" t="s">
        <v>2709</v>
      </c>
      <c r="M6545">
        <v>63062200</v>
      </c>
      <c r="O6545" t="s">
        <v>20111</v>
      </c>
      <c r="P6545" t="s">
        <v>19899</v>
      </c>
      <c r="Q6545" t="s">
        <v>19904</v>
      </c>
      <c r="R6545" t="s">
        <v>19447</v>
      </c>
      <c r="S6545" t="s">
        <v>19447</v>
      </c>
      <c r="T6545" t="s">
        <v>19919</v>
      </c>
    </row>
    <row r="6546" spans="2:20" x14ac:dyDescent="0.25">
      <c r="B6546" t="s">
        <v>2709</v>
      </c>
      <c r="C6546">
        <v>63062910</v>
      </c>
      <c r="E6546">
        <v>69.09</v>
      </c>
      <c r="F6546">
        <v>18</v>
      </c>
      <c r="G6546">
        <v>10</v>
      </c>
      <c r="H6546" t="s">
        <v>19447</v>
      </c>
      <c r="I6546" t="s">
        <v>19447</v>
      </c>
      <c r="J6546">
        <v>35</v>
      </c>
      <c r="L6546" t="s">
        <v>2709</v>
      </c>
      <c r="M6546">
        <v>63062910</v>
      </c>
      <c r="O6546" t="s">
        <v>20111</v>
      </c>
      <c r="P6546" t="s">
        <v>19899</v>
      </c>
      <c r="Q6546" t="s">
        <v>19904</v>
      </c>
      <c r="R6546" t="s">
        <v>19447</v>
      </c>
      <c r="S6546" t="s">
        <v>19447</v>
      </c>
      <c r="T6546" t="s">
        <v>19919</v>
      </c>
    </row>
    <row r="6547" spans="2:20" x14ac:dyDescent="0.25">
      <c r="B6547" t="s">
        <v>2709</v>
      </c>
      <c r="C6547">
        <v>63062990</v>
      </c>
      <c r="E6547">
        <v>69.09</v>
      </c>
      <c r="F6547">
        <v>18</v>
      </c>
      <c r="G6547">
        <v>10</v>
      </c>
      <c r="H6547" t="s">
        <v>19447</v>
      </c>
      <c r="I6547" t="s">
        <v>19447</v>
      </c>
      <c r="J6547">
        <v>35</v>
      </c>
      <c r="L6547" t="s">
        <v>2709</v>
      </c>
      <c r="M6547">
        <v>63062990</v>
      </c>
      <c r="O6547" t="s">
        <v>20111</v>
      </c>
      <c r="P6547" t="s">
        <v>19899</v>
      </c>
      <c r="Q6547" t="s">
        <v>19904</v>
      </c>
      <c r="R6547" t="s">
        <v>19447</v>
      </c>
      <c r="S6547" t="s">
        <v>19447</v>
      </c>
      <c r="T6547" t="s">
        <v>19919</v>
      </c>
    </row>
    <row r="6548" spans="2:20" x14ac:dyDescent="0.25">
      <c r="B6548" t="s">
        <v>2709</v>
      </c>
      <c r="C6548">
        <v>63063010</v>
      </c>
      <c r="E6548">
        <v>69.09</v>
      </c>
      <c r="F6548">
        <v>18</v>
      </c>
      <c r="G6548">
        <v>10</v>
      </c>
      <c r="H6548" t="s">
        <v>19447</v>
      </c>
      <c r="I6548" t="s">
        <v>19447</v>
      </c>
      <c r="J6548">
        <v>35</v>
      </c>
      <c r="L6548" t="s">
        <v>2709</v>
      </c>
      <c r="M6548">
        <v>63063010</v>
      </c>
      <c r="O6548" t="s">
        <v>20111</v>
      </c>
      <c r="P6548" t="s">
        <v>19899</v>
      </c>
      <c r="Q6548" t="s">
        <v>19904</v>
      </c>
      <c r="R6548" t="s">
        <v>19447</v>
      </c>
      <c r="S6548" t="s">
        <v>19447</v>
      </c>
      <c r="T6548" t="s">
        <v>19919</v>
      </c>
    </row>
    <row r="6549" spans="2:20" x14ac:dyDescent="0.25">
      <c r="B6549" t="s">
        <v>2709</v>
      </c>
      <c r="C6549">
        <v>63063090</v>
      </c>
      <c r="E6549">
        <v>69.09</v>
      </c>
      <c r="F6549">
        <v>18</v>
      </c>
      <c r="G6549">
        <v>10</v>
      </c>
      <c r="H6549" t="s">
        <v>19447</v>
      </c>
      <c r="I6549" t="s">
        <v>19447</v>
      </c>
      <c r="J6549">
        <v>35</v>
      </c>
      <c r="L6549" t="s">
        <v>2709</v>
      </c>
      <c r="M6549">
        <v>63063090</v>
      </c>
      <c r="O6549" t="s">
        <v>20111</v>
      </c>
      <c r="P6549" t="s">
        <v>19899</v>
      </c>
      <c r="Q6549" t="s">
        <v>19904</v>
      </c>
      <c r="R6549" t="s">
        <v>19447</v>
      </c>
      <c r="S6549" t="s">
        <v>19447</v>
      </c>
      <c r="T6549" t="s">
        <v>19919</v>
      </c>
    </row>
    <row r="6550" spans="2:20" x14ac:dyDescent="0.25">
      <c r="B6550" t="s">
        <v>2709</v>
      </c>
      <c r="C6550">
        <v>63064010</v>
      </c>
      <c r="E6550">
        <v>69.09</v>
      </c>
      <c r="F6550">
        <v>18</v>
      </c>
      <c r="G6550">
        <v>5</v>
      </c>
      <c r="H6550" t="s">
        <v>19447</v>
      </c>
      <c r="I6550" t="s">
        <v>19447</v>
      </c>
      <c r="J6550">
        <v>35</v>
      </c>
      <c r="L6550" t="s">
        <v>2709</v>
      </c>
      <c r="M6550">
        <v>63064010</v>
      </c>
      <c r="O6550" t="s">
        <v>20111</v>
      </c>
      <c r="P6550" t="s">
        <v>19899</v>
      </c>
      <c r="Q6550" t="s">
        <v>19909</v>
      </c>
      <c r="R6550" t="s">
        <v>19447</v>
      </c>
      <c r="S6550" t="s">
        <v>19447</v>
      </c>
      <c r="T6550" t="s">
        <v>19919</v>
      </c>
    </row>
    <row r="6551" spans="2:20" x14ac:dyDescent="0.25">
      <c r="B6551" t="s">
        <v>2709</v>
      </c>
      <c r="C6551">
        <v>63064090</v>
      </c>
      <c r="E6551">
        <v>69.09</v>
      </c>
      <c r="F6551">
        <v>18</v>
      </c>
      <c r="G6551">
        <v>5</v>
      </c>
      <c r="H6551" t="s">
        <v>19447</v>
      </c>
      <c r="I6551" t="s">
        <v>19447</v>
      </c>
      <c r="J6551">
        <v>35</v>
      </c>
      <c r="L6551" t="s">
        <v>2709</v>
      </c>
      <c r="M6551">
        <v>63064090</v>
      </c>
      <c r="O6551" t="s">
        <v>20111</v>
      </c>
      <c r="P6551" t="s">
        <v>19899</v>
      </c>
      <c r="Q6551" t="s">
        <v>19909</v>
      </c>
      <c r="R6551" t="s">
        <v>19447</v>
      </c>
      <c r="S6551" t="s">
        <v>19447</v>
      </c>
      <c r="T6551" t="s">
        <v>19919</v>
      </c>
    </row>
    <row r="6552" spans="2:20" x14ac:dyDescent="0.25">
      <c r="B6552" t="s">
        <v>2709</v>
      </c>
      <c r="C6552">
        <v>63069000</v>
      </c>
      <c r="E6552">
        <v>69.09</v>
      </c>
      <c r="F6552">
        <v>18</v>
      </c>
      <c r="G6552">
        <v>5</v>
      </c>
      <c r="H6552" t="s">
        <v>19447</v>
      </c>
      <c r="I6552" t="s">
        <v>19447</v>
      </c>
      <c r="J6552">
        <v>35</v>
      </c>
      <c r="L6552" t="s">
        <v>2709</v>
      </c>
      <c r="M6552">
        <v>63069000</v>
      </c>
      <c r="O6552" t="s">
        <v>20111</v>
      </c>
      <c r="P6552" t="s">
        <v>19899</v>
      </c>
      <c r="Q6552" t="s">
        <v>19909</v>
      </c>
      <c r="R6552" t="s">
        <v>19447</v>
      </c>
      <c r="S6552" t="s">
        <v>19447</v>
      </c>
      <c r="T6552" t="s">
        <v>19919</v>
      </c>
    </row>
    <row r="6553" spans="2:20" x14ac:dyDescent="0.25">
      <c r="B6553" t="s">
        <v>2709</v>
      </c>
      <c r="C6553">
        <v>63071000</v>
      </c>
      <c r="E6553">
        <v>69.09</v>
      </c>
      <c r="F6553">
        <v>18</v>
      </c>
      <c r="G6553">
        <v>0</v>
      </c>
      <c r="H6553" t="s">
        <v>19447</v>
      </c>
      <c r="I6553" t="s">
        <v>19447</v>
      </c>
      <c r="J6553">
        <v>35</v>
      </c>
      <c r="L6553" t="s">
        <v>2709</v>
      </c>
      <c r="M6553">
        <v>63071000</v>
      </c>
      <c r="O6553" t="s">
        <v>20111</v>
      </c>
      <c r="P6553" t="s">
        <v>19899</v>
      </c>
      <c r="Q6553" t="s">
        <v>19900</v>
      </c>
      <c r="R6553" t="s">
        <v>19447</v>
      </c>
      <c r="S6553" t="s">
        <v>19447</v>
      </c>
      <c r="T6553" t="s">
        <v>19919</v>
      </c>
    </row>
    <row r="6554" spans="2:20" x14ac:dyDescent="0.25">
      <c r="B6554" t="s">
        <v>2709</v>
      </c>
      <c r="C6554">
        <v>63072000</v>
      </c>
      <c r="E6554">
        <v>69.09</v>
      </c>
      <c r="F6554">
        <v>18</v>
      </c>
      <c r="G6554">
        <v>0</v>
      </c>
      <c r="H6554" t="s">
        <v>19447</v>
      </c>
      <c r="I6554" t="s">
        <v>19447</v>
      </c>
      <c r="J6554">
        <v>35</v>
      </c>
      <c r="L6554" t="s">
        <v>2709</v>
      </c>
      <c r="M6554">
        <v>63072000</v>
      </c>
      <c r="O6554" t="s">
        <v>20111</v>
      </c>
      <c r="P6554" t="s">
        <v>19899</v>
      </c>
      <c r="Q6554" t="s">
        <v>19900</v>
      </c>
      <c r="R6554" t="s">
        <v>19447</v>
      </c>
      <c r="S6554" t="s">
        <v>19447</v>
      </c>
      <c r="T6554" t="s">
        <v>19919</v>
      </c>
    </row>
    <row r="6555" spans="2:20" x14ac:dyDescent="0.25">
      <c r="B6555" t="s">
        <v>2709</v>
      </c>
      <c r="C6555">
        <v>63079010</v>
      </c>
      <c r="E6555">
        <v>69.09</v>
      </c>
      <c r="F6555">
        <v>18</v>
      </c>
      <c r="G6555">
        <v>0</v>
      </c>
      <c r="H6555" t="s">
        <v>19447</v>
      </c>
      <c r="I6555" t="s">
        <v>19447</v>
      </c>
      <c r="J6555">
        <v>35</v>
      </c>
      <c r="L6555" t="s">
        <v>2709</v>
      </c>
      <c r="M6555">
        <v>63079010</v>
      </c>
      <c r="O6555" t="s">
        <v>20111</v>
      </c>
      <c r="P6555" t="s">
        <v>19899</v>
      </c>
      <c r="Q6555" t="s">
        <v>19900</v>
      </c>
      <c r="R6555" t="s">
        <v>19447</v>
      </c>
      <c r="S6555" t="s">
        <v>19447</v>
      </c>
      <c r="T6555" t="s">
        <v>19919</v>
      </c>
    </row>
    <row r="6556" spans="2:20" x14ac:dyDescent="0.25">
      <c r="B6556" t="s">
        <v>2709</v>
      </c>
      <c r="C6556">
        <v>63079020</v>
      </c>
      <c r="E6556">
        <v>69.09</v>
      </c>
      <c r="F6556">
        <v>18</v>
      </c>
      <c r="G6556">
        <v>0</v>
      </c>
      <c r="H6556" t="s">
        <v>19447</v>
      </c>
      <c r="I6556" t="s">
        <v>19447</v>
      </c>
      <c r="J6556">
        <v>2</v>
      </c>
      <c r="L6556" t="s">
        <v>2709</v>
      </c>
      <c r="M6556">
        <v>63079020</v>
      </c>
      <c r="O6556" t="s">
        <v>20111</v>
      </c>
      <c r="P6556" t="s">
        <v>19899</v>
      </c>
      <c r="Q6556" t="s">
        <v>19900</v>
      </c>
      <c r="R6556" t="s">
        <v>19447</v>
      </c>
      <c r="S6556" t="s">
        <v>19447</v>
      </c>
      <c r="T6556" t="s">
        <v>19901</v>
      </c>
    </row>
    <row r="6557" spans="2:20" x14ac:dyDescent="0.25">
      <c r="B6557" t="s">
        <v>2709</v>
      </c>
      <c r="C6557">
        <v>63079090</v>
      </c>
      <c r="E6557">
        <v>69.09</v>
      </c>
      <c r="F6557">
        <v>18</v>
      </c>
      <c r="G6557">
        <v>0</v>
      </c>
      <c r="H6557" t="s">
        <v>19447</v>
      </c>
      <c r="I6557" t="s">
        <v>19447</v>
      </c>
      <c r="J6557">
        <v>35</v>
      </c>
      <c r="L6557" t="s">
        <v>2709</v>
      </c>
      <c r="M6557">
        <v>63079090</v>
      </c>
      <c r="O6557" t="s">
        <v>20111</v>
      </c>
      <c r="P6557" t="s">
        <v>19899</v>
      </c>
      <c r="Q6557" t="s">
        <v>19900</v>
      </c>
      <c r="R6557" t="s">
        <v>19447</v>
      </c>
      <c r="S6557" t="s">
        <v>19447</v>
      </c>
      <c r="T6557" t="s">
        <v>19919</v>
      </c>
    </row>
    <row r="6558" spans="2:20" x14ac:dyDescent="0.25">
      <c r="B6558" t="s">
        <v>2709</v>
      </c>
      <c r="C6558">
        <v>63080000</v>
      </c>
      <c r="E6558">
        <v>69.09</v>
      </c>
      <c r="F6558">
        <v>18</v>
      </c>
      <c r="G6558">
        <v>0</v>
      </c>
      <c r="H6558" t="s">
        <v>19447</v>
      </c>
      <c r="I6558" t="s">
        <v>19447</v>
      </c>
      <c r="J6558">
        <v>35</v>
      </c>
      <c r="L6558" t="s">
        <v>2709</v>
      </c>
      <c r="M6558">
        <v>63080000</v>
      </c>
      <c r="O6558" t="s">
        <v>20111</v>
      </c>
      <c r="P6558" t="s">
        <v>19899</v>
      </c>
      <c r="Q6558" t="s">
        <v>19900</v>
      </c>
      <c r="R6558" t="s">
        <v>19447</v>
      </c>
      <c r="S6558" t="s">
        <v>19447</v>
      </c>
      <c r="T6558" t="s">
        <v>19919</v>
      </c>
    </row>
    <row r="6559" spans="2:20" x14ac:dyDescent="0.25">
      <c r="B6559" t="s">
        <v>2709</v>
      </c>
      <c r="C6559">
        <v>63090010</v>
      </c>
      <c r="E6559">
        <v>69.09</v>
      </c>
      <c r="F6559">
        <v>18</v>
      </c>
      <c r="G6559">
        <v>0</v>
      </c>
      <c r="H6559" t="s">
        <v>19447</v>
      </c>
      <c r="I6559" t="s">
        <v>19447</v>
      </c>
      <c r="J6559">
        <v>35</v>
      </c>
      <c r="L6559" t="s">
        <v>2709</v>
      </c>
      <c r="M6559">
        <v>63090010</v>
      </c>
      <c r="O6559" t="s">
        <v>20111</v>
      </c>
      <c r="P6559" t="s">
        <v>19899</v>
      </c>
      <c r="Q6559" t="s">
        <v>19900</v>
      </c>
      <c r="R6559" t="s">
        <v>19447</v>
      </c>
      <c r="S6559" t="s">
        <v>19447</v>
      </c>
      <c r="T6559" t="s">
        <v>19919</v>
      </c>
    </row>
    <row r="6560" spans="2:20" x14ac:dyDescent="0.25">
      <c r="B6560" t="s">
        <v>2709</v>
      </c>
      <c r="C6560">
        <v>63090090</v>
      </c>
      <c r="E6560">
        <v>69.09</v>
      </c>
      <c r="F6560">
        <v>18</v>
      </c>
      <c r="G6560">
        <v>0</v>
      </c>
      <c r="H6560" t="s">
        <v>19447</v>
      </c>
      <c r="I6560" t="s">
        <v>19447</v>
      </c>
      <c r="J6560">
        <v>35</v>
      </c>
      <c r="L6560" t="s">
        <v>2709</v>
      </c>
      <c r="M6560">
        <v>63090090</v>
      </c>
      <c r="O6560" t="s">
        <v>20111</v>
      </c>
      <c r="P6560" t="s">
        <v>19899</v>
      </c>
      <c r="Q6560" t="s">
        <v>19900</v>
      </c>
      <c r="R6560" t="s">
        <v>19447</v>
      </c>
      <c r="S6560" t="s">
        <v>19447</v>
      </c>
      <c r="T6560" t="s">
        <v>19919</v>
      </c>
    </row>
    <row r="6561" spans="2:20" x14ac:dyDescent="0.25">
      <c r="B6561" t="s">
        <v>2709</v>
      </c>
      <c r="C6561">
        <v>63101000</v>
      </c>
      <c r="E6561">
        <v>69.09</v>
      </c>
      <c r="F6561">
        <v>18</v>
      </c>
      <c r="G6561">
        <v>0</v>
      </c>
      <c r="H6561" t="s">
        <v>19447</v>
      </c>
      <c r="I6561" t="s">
        <v>19447</v>
      </c>
      <c r="J6561">
        <v>35</v>
      </c>
      <c r="L6561" t="s">
        <v>2709</v>
      </c>
      <c r="M6561">
        <v>63101000</v>
      </c>
      <c r="O6561" t="s">
        <v>20111</v>
      </c>
      <c r="P6561" t="s">
        <v>19899</v>
      </c>
      <c r="Q6561" t="s">
        <v>19900</v>
      </c>
      <c r="R6561" t="s">
        <v>19447</v>
      </c>
      <c r="S6561" t="s">
        <v>19447</v>
      </c>
      <c r="T6561" t="s">
        <v>19919</v>
      </c>
    </row>
    <row r="6562" spans="2:20" x14ac:dyDescent="0.25">
      <c r="B6562" t="s">
        <v>2709</v>
      </c>
      <c r="C6562">
        <v>63109000</v>
      </c>
      <c r="E6562">
        <v>69.09</v>
      </c>
      <c r="F6562">
        <v>18</v>
      </c>
      <c r="G6562">
        <v>0</v>
      </c>
      <c r="H6562" t="s">
        <v>19447</v>
      </c>
      <c r="I6562" t="s">
        <v>19447</v>
      </c>
      <c r="J6562">
        <v>35</v>
      </c>
      <c r="L6562" t="s">
        <v>2709</v>
      </c>
      <c r="M6562">
        <v>63109000</v>
      </c>
      <c r="O6562" t="s">
        <v>20111</v>
      </c>
      <c r="P6562" t="s">
        <v>19899</v>
      </c>
      <c r="Q6562" t="s">
        <v>19900</v>
      </c>
      <c r="R6562" t="s">
        <v>19447</v>
      </c>
      <c r="S6562" t="s">
        <v>19447</v>
      </c>
      <c r="T6562" t="s">
        <v>19919</v>
      </c>
    </row>
    <row r="6563" spans="2:20" x14ac:dyDescent="0.25">
      <c r="B6563" t="s">
        <v>2709</v>
      </c>
      <c r="C6563">
        <v>64011000</v>
      </c>
      <c r="E6563" t="s">
        <v>19447</v>
      </c>
      <c r="F6563">
        <v>18</v>
      </c>
      <c r="G6563">
        <v>0</v>
      </c>
      <c r="H6563">
        <v>7.6</v>
      </c>
      <c r="I6563">
        <v>1.65</v>
      </c>
      <c r="J6563">
        <v>35</v>
      </c>
      <c r="L6563" t="s">
        <v>2709</v>
      </c>
      <c r="M6563">
        <v>64011000</v>
      </c>
      <c r="O6563" t="s">
        <v>19447</v>
      </c>
      <c r="P6563" t="s">
        <v>19899</v>
      </c>
      <c r="Q6563" t="s">
        <v>19900</v>
      </c>
      <c r="R6563" t="s">
        <v>19905</v>
      </c>
      <c r="S6563" t="s">
        <v>19906</v>
      </c>
      <c r="T6563" t="s">
        <v>19919</v>
      </c>
    </row>
    <row r="6564" spans="2:20" x14ac:dyDescent="0.25">
      <c r="B6564" t="s">
        <v>2709</v>
      </c>
      <c r="C6564">
        <v>64019200</v>
      </c>
      <c r="E6564" t="s">
        <v>19447</v>
      </c>
      <c r="F6564">
        <v>18</v>
      </c>
      <c r="G6564">
        <v>0</v>
      </c>
      <c r="H6564">
        <v>7.6</v>
      </c>
      <c r="I6564">
        <v>1.65</v>
      </c>
      <c r="J6564">
        <v>35</v>
      </c>
      <c r="L6564" t="s">
        <v>2709</v>
      </c>
      <c r="M6564">
        <v>64019200</v>
      </c>
      <c r="O6564" t="s">
        <v>19447</v>
      </c>
      <c r="P6564" t="s">
        <v>19899</v>
      </c>
      <c r="Q6564" t="s">
        <v>19900</v>
      </c>
      <c r="R6564" t="s">
        <v>19905</v>
      </c>
      <c r="S6564" t="s">
        <v>19906</v>
      </c>
      <c r="T6564" t="s">
        <v>19919</v>
      </c>
    </row>
    <row r="6565" spans="2:20" x14ac:dyDescent="0.25">
      <c r="B6565" t="s">
        <v>2709</v>
      </c>
      <c r="C6565">
        <v>64019910</v>
      </c>
      <c r="E6565" t="s">
        <v>19447</v>
      </c>
      <c r="F6565">
        <v>18</v>
      </c>
      <c r="G6565">
        <v>0</v>
      </c>
      <c r="H6565">
        <v>7.6</v>
      </c>
      <c r="I6565">
        <v>1.65</v>
      </c>
      <c r="J6565">
        <v>35</v>
      </c>
      <c r="L6565" t="s">
        <v>2709</v>
      </c>
      <c r="M6565">
        <v>64019910</v>
      </c>
      <c r="O6565" t="s">
        <v>19447</v>
      </c>
      <c r="P6565" t="s">
        <v>19899</v>
      </c>
      <c r="Q6565" t="s">
        <v>19900</v>
      </c>
      <c r="R6565" t="s">
        <v>19905</v>
      </c>
      <c r="S6565" t="s">
        <v>19906</v>
      </c>
      <c r="T6565" t="s">
        <v>19919</v>
      </c>
    </row>
    <row r="6566" spans="2:20" x14ac:dyDescent="0.25">
      <c r="B6566" t="s">
        <v>2709</v>
      </c>
      <c r="C6566">
        <v>64019990</v>
      </c>
      <c r="E6566" t="s">
        <v>19447</v>
      </c>
      <c r="F6566">
        <v>18</v>
      </c>
      <c r="G6566">
        <v>0</v>
      </c>
      <c r="H6566">
        <v>7.6</v>
      </c>
      <c r="I6566">
        <v>1.65</v>
      </c>
      <c r="J6566">
        <v>35</v>
      </c>
      <c r="L6566" t="s">
        <v>2709</v>
      </c>
      <c r="M6566">
        <v>64019990</v>
      </c>
      <c r="O6566" t="s">
        <v>19447</v>
      </c>
      <c r="P6566" t="s">
        <v>19899</v>
      </c>
      <c r="Q6566" t="s">
        <v>19900</v>
      </c>
      <c r="R6566" t="s">
        <v>19905</v>
      </c>
      <c r="S6566" t="s">
        <v>19906</v>
      </c>
      <c r="T6566" t="s">
        <v>19919</v>
      </c>
    </row>
    <row r="6567" spans="2:20" x14ac:dyDescent="0.25">
      <c r="B6567" t="s">
        <v>2709</v>
      </c>
      <c r="C6567">
        <v>64021200</v>
      </c>
      <c r="E6567" t="s">
        <v>19447</v>
      </c>
      <c r="F6567">
        <v>18</v>
      </c>
      <c r="G6567">
        <v>0</v>
      </c>
      <c r="H6567">
        <v>7.6</v>
      </c>
      <c r="I6567">
        <v>1.65</v>
      </c>
      <c r="J6567">
        <v>20</v>
      </c>
      <c r="L6567" t="s">
        <v>2709</v>
      </c>
      <c r="M6567">
        <v>64021200</v>
      </c>
      <c r="O6567" t="s">
        <v>19447</v>
      </c>
      <c r="P6567" t="s">
        <v>19899</v>
      </c>
      <c r="Q6567" t="s">
        <v>19900</v>
      </c>
      <c r="R6567" t="s">
        <v>19905</v>
      </c>
      <c r="S6567" t="s">
        <v>19906</v>
      </c>
      <c r="T6567" t="s">
        <v>19934</v>
      </c>
    </row>
    <row r="6568" spans="2:20" x14ac:dyDescent="0.25">
      <c r="B6568" t="s">
        <v>2709</v>
      </c>
      <c r="C6568">
        <v>64021900</v>
      </c>
      <c r="E6568" t="s">
        <v>19447</v>
      </c>
      <c r="F6568">
        <v>18</v>
      </c>
      <c r="G6568">
        <v>0</v>
      </c>
      <c r="H6568">
        <v>7.6</v>
      </c>
      <c r="I6568">
        <v>1.65</v>
      </c>
      <c r="J6568">
        <v>35</v>
      </c>
      <c r="L6568" t="s">
        <v>2709</v>
      </c>
      <c r="M6568">
        <v>64021900</v>
      </c>
      <c r="O6568" t="s">
        <v>19447</v>
      </c>
      <c r="P6568" t="s">
        <v>19899</v>
      </c>
      <c r="Q6568" t="s">
        <v>19900</v>
      </c>
      <c r="R6568" t="s">
        <v>19905</v>
      </c>
      <c r="S6568" t="s">
        <v>19906</v>
      </c>
      <c r="T6568" t="s">
        <v>19919</v>
      </c>
    </row>
    <row r="6569" spans="2:20" x14ac:dyDescent="0.25">
      <c r="B6569" t="s">
        <v>2709</v>
      </c>
      <c r="C6569">
        <v>64022000</v>
      </c>
      <c r="E6569" t="s">
        <v>19447</v>
      </c>
      <c r="F6569">
        <v>18</v>
      </c>
      <c r="G6569">
        <v>0</v>
      </c>
      <c r="H6569">
        <v>7.6</v>
      </c>
      <c r="I6569">
        <v>1.65</v>
      </c>
      <c r="J6569">
        <v>35</v>
      </c>
      <c r="L6569" t="s">
        <v>2709</v>
      </c>
      <c r="M6569">
        <v>64022000</v>
      </c>
      <c r="O6569" t="s">
        <v>19447</v>
      </c>
      <c r="P6569" t="s">
        <v>19899</v>
      </c>
      <c r="Q6569" t="s">
        <v>19900</v>
      </c>
      <c r="R6569" t="s">
        <v>19905</v>
      </c>
      <c r="S6569" t="s">
        <v>19906</v>
      </c>
      <c r="T6569" t="s">
        <v>19919</v>
      </c>
    </row>
    <row r="6570" spans="2:20" x14ac:dyDescent="0.25">
      <c r="B6570" t="s">
        <v>2709</v>
      </c>
      <c r="C6570">
        <v>64029110</v>
      </c>
      <c r="E6570" t="s">
        <v>19447</v>
      </c>
      <c r="F6570">
        <v>18</v>
      </c>
      <c r="G6570">
        <v>0</v>
      </c>
      <c r="H6570">
        <v>7.6</v>
      </c>
      <c r="I6570">
        <v>1.65</v>
      </c>
      <c r="J6570">
        <v>35</v>
      </c>
      <c r="L6570" t="s">
        <v>2709</v>
      </c>
      <c r="M6570">
        <v>64029110</v>
      </c>
      <c r="O6570" t="s">
        <v>19447</v>
      </c>
      <c r="P6570" t="s">
        <v>19899</v>
      </c>
      <c r="Q6570" t="s">
        <v>19900</v>
      </c>
      <c r="R6570" t="s">
        <v>19905</v>
      </c>
      <c r="S6570" t="s">
        <v>19906</v>
      </c>
      <c r="T6570" t="s">
        <v>19919</v>
      </c>
    </row>
    <row r="6571" spans="2:20" x14ac:dyDescent="0.25">
      <c r="B6571" t="s">
        <v>2709</v>
      </c>
      <c r="C6571">
        <v>64029190</v>
      </c>
      <c r="E6571" t="s">
        <v>19447</v>
      </c>
      <c r="F6571">
        <v>18</v>
      </c>
      <c r="G6571">
        <v>0</v>
      </c>
      <c r="H6571">
        <v>7.6</v>
      </c>
      <c r="I6571">
        <v>1.65</v>
      </c>
      <c r="J6571">
        <v>35</v>
      </c>
      <c r="L6571" t="s">
        <v>2709</v>
      </c>
      <c r="M6571">
        <v>64029190</v>
      </c>
      <c r="O6571" t="s">
        <v>19447</v>
      </c>
      <c r="P6571" t="s">
        <v>19899</v>
      </c>
      <c r="Q6571" t="s">
        <v>19900</v>
      </c>
      <c r="R6571" t="s">
        <v>19905</v>
      </c>
      <c r="S6571" t="s">
        <v>19906</v>
      </c>
      <c r="T6571" t="s">
        <v>19919</v>
      </c>
    </row>
    <row r="6572" spans="2:20" x14ac:dyDescent="0.25">
      <c r="B6572" t="s">
        <v>2709</v>
      </c>
      <c r="C6572">
        <v>64029910</v>
      </c>
      <c r="E6572" t="s">
        <v>19447</v>
      </c>
      <c r="F6572">
        <v>18</v>
      </c>
      <c r="G6572">
        <v>0</v>
      </c>
      <c r="H6572">
        <v>7.6</v>
      </c>
      <c r="I6572">
        <v>1.65</v>
      </c>
      <c r="J6572">
        <v>35</v>
      </c>
      <c r="L6572" t="s">
        <v>2709</v>
      </c>
      <c r="M6572">
        <v>64029910</v>
      </c>
      <c r="O6572" t="s">
        <v>19447</v>
      </c>
      <c r="P6572" t="s">
        <v>19899</v>
      </c>
      <c r="Q6572" t="s">
        <v>19900</v>
      </c>
      <c r="R6572" t="s">
        <v>19905</v>
      </c>
      <c r="S6572" t="s">
        <v>19906</v>
      </c>
      <c r="T6572" t="s">
        <v>19919</v>
      </c>
    </row>
    <row r="6573" spans="2:20" x14ac:dyDescent="0.25">
      <c r="B6573" t="s">
        <v>2709</v>
      </c>
      <c r="C6573">
        <v>64029990</v>
      </c>
      <c r="E6573" t="s">
        <v>19447</v>
      </c>
      <c r="F6573">
        <v>18</v>
      </c>
      <c r="G6573">
        <v>0</v>
      </c>
      <c r="H6573">
        <v>7.6</v>
      </c>
      <c r="I6573">
        <v>1.65</v>
      </c>
      <c r="J6573">
        <v>35</v>
      </c>
      <c r="L6573" t="s">
        <v>2709</v>
      </c>
      <c r="M6573">
        <v>64029990</v>
      </c>
      <c r="O6573" t="s">
        <v>19447</v>
      </c>
      <c r="P6573" t="s">
        <v>19899</v>
      </c>
      <c r="Q6573" t="s">
        <v>19900</v>
      </c>
      <c r="R6573" t="s">
        <v>19905</v>
      </c>
      <c r="S6573" t="s">
        <v>19906</v>
      </c>
      <c r="T6573" t="s">
        <v>19919</v>
      </c>
    </row>
    <row r="6574" spans="2:20" x14ac:dyDescent="0.25">
      <c r="B6574" t="s">
        <v>2709</v>
      </c>
      <c r="C6574">
        <v>64031200</v>
      </c>
      <c r="E6574" t="s">
        <v>19447</v>
      </c>
      <c r="F6574">
        <v>18</v>
      </c>
      <c r="G6574">
        <v>0</v>
      </c>
      <c r="H6574">
        <v>7.6</v>
      </c>
      <c r="I6574">
        <v>1.65</v>
      </c>
      <c r="J6574">
        <v>20</v>
      </c>
      <c r="L6574" t="s">
        <v>2709</v>
      </c>
      <c r="M6574">
        <v>64031200</v>
      </c>
      <c r="O6574" t="s">
        <v>19447</v>
      </c>
      <c r="P6574" t="s">
        <v>19899</v>
      </c>
      <c r="Q6574" t="s">
        <v>19900</v>
      </c>
      <c r="R6574" t="s">
        <v>19905</v>
      </c>
      <c r="S6574" t="s">
        <v>19906</v>
      </c>
      <c r="T6574" t="s">
        <v>19934</v>
      </c>
    </row>
    <row r="6575" spans="2:20" x14ac:dyDescent="0.25">
      <c r="B6575" t="s">
        <v>2709</v>
      </c>
      <c r="C6575">
        <v>64031900</v>
      </c>
      <c r="E6575" t="s">
        <v>19447</v>
      </c>
      <c r="F6575">
        <v>18</v>
      </c>
      <c r="G6575">
        <v>0</v>
      </c>
      <c r="H6575">
        <v>7.6</v>
      </c>
      <c r="I6575">
        <v>1.65</v>
      </c>
      <c r="J6575">
        <v>35</v>
      </c>
      <c r="L6575" t="s">
        <v>2709</v>
      </c>
      <c r="M6575">
        <v>64031900</v>
      </c>
      <c r="O6575" t="s">
        <v>19447</v>
      </c>
      <c r="P6575" t="s">
        <v>19899</v>
      </c>
      <c r="Q6575" t="s">
        <v>19900</v>
      </c>
      <c r="R6575" t="s">
        <v>19905</v>
      </c>
      <c r="S6575" t="s">
        <v>19906</v>
      </c>
      <c r="T6575" t="s">
        <v>19919</v>
      </c>
    </row>
    <row r="6576" spans="2:20" x14ac:dyDescent="0.25">
      <c r="B6576" t="s">
        <v>2709</v>
      </c>
      <c r="C6576">
        <v>64032000</v>
      </c>
      <c r="E6576" t="s">
        <v>19447</v>
      </c>
      <c r="F6576">
        <v>18</v>
      </c>
      <c r="G6576">
        <v>0</v>
      </c>
      <c r="H6576">
        <v>7.6</v>
      </c>
      <c r="I6576">
        <v>1.65</v>
      </c>
      <c r="J6576">
        <v>35</v>
      </c>
      <c r="L6576" t="s">
        <v>2709</v>
      </c>
      <c r="M6576">
        <v>64032000</v>
      </c>
      <c r="O6576" t="s">
        <v>19447</v>
      </c>
      <c r="P6576" t="s">
        <v>19899</v>
      </c>
      <c r="Q6576" t="s">
        <v>19900</v>
      </c>
      <c r="R6576" t="s">
        <v>19905</v>
      </c>
      <c r="S6576" t="s">
        <v>19906</v>
      </c>
      <c r="T6576" t="s">
        <v>19919</v>
      </c>
    </row>
    <row r="6577" spans="2:20" x14ac:dyDescent="0.25">
      <c r="B6577" t="s">
        <v>2709</v>
      </c>
      <c r="C6577">
        <v>64034000</v>
      </c>
      <c r="E6577" t="s">
        <v>19447</v>
      </c>
      <c r="F6577">
        <v>18</v>
      </c>
      <c r="G6577">
        <v>0</v>
      </c>
      <c r="H6577">
        <v>7.6</v>
      </c>
      <c r="I6577">
        <v>1.65</v>
      </c>
      <c r="J6577">
        <v>35</v>
      </c>
      <c r="L6577" t="s">
        <v>2709</v>
      </c>
      <c r="M6577">
        <v>64034000</v>
      </c>
      <c r="O6577" t="s">
        <v>19447</v>
      </c>
      <c r="P6577" t="s">
        <v>19899</v>
      </c>
      <c r="Q6577" t="s">
        <v>19900</v>
      </c>
      <c r="R6577" t="s">
        <v>19905</v>
      </c>
      <c r="S6577" t="s">
        <v>19906</v>
      </c>
      <c r="T6577" t="s">
        <v>19919</v>
      </c>
    </row>
    <row r="6578" spans="2:20" x14ac:dyDescent="0.25">
      <c r="B6578" t="s">
        <v>2709</v>
      </c>
      <c r="C6578">
        <v>64035110</v>
      </c>
      <c r="E6578" t="s">
        <v>19447</v>
      </c>
      <c r="F6578">
        <v>18</v>
      </c>
      <c r="G6578">
        <v>0</v>
      </c>
      <c r="H6578">
        <v>7.6</v>
      </c>
      <c r="I6578">
        <v>1.65</v>
      </c>
      <c r="J6578">
        <v>35</v>
      </c>
      <c r="L6578" t="s">
        <v>2709</v>
      </c>
      <c r="M6578">
        <v>64035110</v>
      </c>
      <c r="O6578" t="s">
        <v>19447</v>
      </c>
      <c r="P6578" t="s">
        <v>19899</v>
      </c>
      <c r="Q6578" t="s">
        <v>19900</v>
      </c>
      <c r="R6578" t="s">
        <v>19905</v>
      </c>
      <c r="S6578" t="s">
        <v>19906</v>
      </c>
      <c r="T6578" t="s">
        <v>19919</v>
      </c>
    </row>
    <row r="6579" spans="2:20" x14ac:dyDescent="0.25">
      <c r="B6579" t="s">
        <v>2709</v>
      </c>
      <c r="C6579">
        <v>64035190</v>
      </c>
      <c r="E6579" t="s">
        <v>19447</v>
      </c>
      <c r="F6579">
        <v>18</v>
      </c>
      <c r="G6579">
        <v>0</v>
      </c>
      <c r="H6579">
        <v>7.6</v>
      </c>
      <c r="I6579">
        <v>1.65</v>
      </c>
      <c r="J6579">
        <v>35</v>
      </c>
      <c r="L6579" t="s">
        <v>2709</v>
      </c>
      <c r="M6579">
        <v>64035190</v>
      </c>
      <c r="O6579" t="s">
        <v>19447</v>
      </c>
      <c r="P6579" t="s">
        <v>19899</v>
      </c>
      <c r="Q6579" t="s">
        <v>19900</v>
      </c>
      <c r="R6579" t="s">
        <v>19905</v>
      </c>
      <c r="S6579" t="s">
        <v>19906</v>
      </c>
      <c r="T6579" t="s">
        <v>19919</v>
      </c>
    </row>
    <row r="6580" spans="2:20" x14ac:dyDescent="0.25">
      <c r="B6580" t="s">
        <v>2709</v>
      </c>
      <c r="C6580">
        <v>64035910</v>
      </c>
      <c r="E6580" t="s">
        <v>19447</v>
      </c>
      <c r="F6580">
        <v>18</v>
      </c>
      <c r="G6580">
        <v>0</v>
      </c>
      <c r="H6580">
        <v>7.6</v>
      </c>
      <c r="I6580">
        <v>1.65</v>
      </c>
      <c r="J6580">
        <v>35</v>
      </c>
      <c r="L6580" t="s">
        <v>2709</v>
      </c>
      <c r="M6580">
        <v>64035910</v>
      </c>
      <c r="O6580" t="s">
        <v>19447</v>
      </c>
      <c r="P6580" t="s">
        <v>19899</v>
      </c>
      <c r="Q6580" t="s">
        <v>19900</v>
      </c>
      <c r="R6580" t="s">
        <v>19905</v>
      </c>
      <c r="S6580" t="s">
        <v>19906</v>
      </c>
      <c r="T6580" t="s">
        <v>19919</v>
      </c>
    </row>
    <row r="6581" spans="2:20" x14ac:dyDescent="0.25">
      <c r="B6581" t="s">
        <v>2709</v>
      </c>
      <c r="C6581">
        <v>64035990</v>
      </c>
      <c r="E6581" t="s">
        <v>19447</v>
      </c>
      <c r="F6581">
        <v>18</v>
      </c>
      <c r="G6581">
        <v>0</v>
      </c>
      <c r="H6581">
        <v>7.6</v>
      </c>
      <c r="I6581">
        <v>1.65</v>
      </c>
      <c r="J6581">
        <v>35</v>
      </c>
      <c r="L6581" t="s">
        <v>2709</v>
      </c>
      <c r="M6581">
        <v>64035990</v>
      </c>
      <c r="O6581" t="s">
        <v>19447</v>
      </c>
      <c r="P6581" t="s">
        <v>19899</v>
      </c>
      <c r="Q6581" t="s">
        <v>19900</v>
      </c>
      <c r="R6581" t="s">
        <v>19905</v>
      </c>
      <c r="S6581" t="s">
        <v>19906</v>
      </c>
      <c r="T6581" t="s">
        <v>19919</v>
      </c>
    </row>
    <row r="6582" spans="2:20" x14ac:dyDescent="0.25">
      <c r="B6582" t="s">
        <v>2709</v>
      </c>
      <c r="C6582">
        <v>64039110</v>
      </c>
      <c r="E6582" t="s">
        <v>19447</v>
      </c>
      <c r="F6582">
        <v>18</v>
      </c>
      <c r="G6582">
        <v>0</v>
      </c>
      <c r="H6582">
        <v>7.6</v>
      </c>
      <c r="I6582">
        <v>1.65</v>
      </c>
      <c r="J6582">
        <v>35</v>
      </c>
      <c r="L6582" t="s">
        <v>2709</v>
      </c>
      <c r="M6582">
        <v>64039110</v>
      </c>
      <c r="O6582" t="s">
        <v>19447</v>
      </c>
      <c r="P6582" t="s">
        <v>19899</v>
      </c>
      <c r="Q6582" t="s">
        <v>19900</v>
      </c>
      <c r="R6582" t="s">
        <v>19905</v>
      </c>
      <c r="S6582" t="s">
        <v>19906</v>
      </c>
      <c r="T6582" t="s">
        <v>19919</v>
      </c>
    </row>
    <row r="6583" spans="2:20" x14ac:dyDescent="0.25">
      <c r="B6583" t="s">
        <v>2709</v>
      </c>
      <c r="C6583">
        <v>64039190</v>
      </c>
      <c r="E6583" t="s">
        <v>19447</v>
      </c>
      <c r="F6583">
        <v>18</v>
      </c>
      <c r="G6583">
        <v>0</v>
      </c>
      <c r="H6583">
        <v>7.6</v>
      </c>
      <c r="I6583">
        <v>1.65</v>
      </c>
      <c r="J6583">
        <v>35</v>
      </c>
      <c r="L6583" t="s">
        <v>2709</v>
      </c>
      <c r="M6583">
        <v>64039190</v>
      </c>
      <c r="O6583" t="s">
        <v>19447</v>
      </c>
      <c r="P6583" t="s">
        <v>19899</v>
      </c>
      <c r="Q6583" t="s">
        <v>19900</v>
      </c>
      <c r="R6583" t="s">
        <v>19905</v>
      </c>
      <c r="S6583" t="s">
        <v>19906</v>
      </c>
      <c r="T6583" t="s">
        <v>19919</v>
      </c>
    </row>
    <row r="6584" spans="2:20" x14ac:dyDescent="0.25">
      <c r="B6584" t="s">
        <v>2709</v>
      </c>
      <c r="C6584">
        <v>64039910</v>
      </c>
      <c r="E6584" t="s">
        <v>19447</v>
      </c>
      <c r="F6584">
        <v>18</v>
      </c>
      <c r="G6584">
        <v>0</v>
      </c>
      <c r="H6584">
        <v>7.6</v>
      </c>
      <c r="I6584">
        <v>1.65</v>
      </c>
      <c r="J6584">
        <v>35</v>
      </c>
      <c r="L6584" t="s">
        <v>2709</v>
      </c>
      <c r="M6584">
        <v>64039910</v>
      </c>
      <c r="O6584" t="s">
        <v>19447</v>
      </c>
      <c r="P6584" t="s">
        <v>19899</v>
      </c>
      <c r="Q6584" t="s">
        <v>19900</v>
      </c>
      <c r="R6584" t="s">
        <v>19905</v>
      </c>
      <c r="S6584" t="s">
        <v>19906</v>
      </c>
      <c r="T6584" t="s">
        <v>19919</v>
      </c>
    </row>
    <row r="6585" spans="2:20" x14ac:dyDescent="0.25">
      <c r="B6585" t="s">
        <v>2709</v>
      </c>
      <c r="C6585">
        <v>64039990</v>
      </c>
      <c r="E6585" t="s">
        <v>19447</v>
      </c>
      <c r="F6585">
        <v>18</v>
      </c>
      <c r="G6585">
        <v>0</v>
      </c>
      <c r="H6585">
        <v>7.6</v>
      </c>
      <c r="I6585">
        <v>1.65</v>
      </c>
      <c r="J6585">
        <v>35</v>
      </c>
      <c r="L6585" t="s">
        <v>2709</v>
      </c>
      <c r="M6585">
        <v>64039990</v>
      </c>
      <c r="O6585" t="s">
        <v>19447</v>
      </c>
      <c r="P6585" t="s">
        <v>19899</v>
      </c>
      <c r="Q6585" t="s">
        <v>19900</v>
      </c>
      <c r="R6585" t="s">
        <v>19905</v>
      </c>
      <c r="S6585" t="s">
        <v>19906</v>
      </c>
      <c r="T6585" t="s">
        <v>19919</v>
      </c>
    </row>
    <row r="6586" spans="2:20" x14ac:dyDescent="0.25">
      <c r="B6586" t="s">
        <v>2709</v>
      </c>
      <c r="C6586">
        <v>64041100</v>
      </c>
      <c r="E6586" t="s">
        <v>19447</v>
      </c>
      <c r="F6586">
        <v>18</v>
      </c>
      <c r="G6586">
        <v>0</v>
      </c>
      <c r="H6586">
        <v>7.6</v>
      </c>
      <c r="I6586">
        <v>1.65</v>
      </c>
      <c r="J6586">
        <v>35</v>
      </c>
      <c r="L6586" t="s">
        <v>2709</v>
      </c>
      <c r="M6586">
        <v>64041100</v>
      </c>
      <c r="O6586" t="s">
        <v>19447</v>
      </c>
      <c r="P6586" t="s">
        <v>19899</v>
      </c>
      <c r="Q6586" t="s">
        <v>19900</v>
      </c>
      <c r="R6586" t="s">
        <v>19905</v>
      </c>
      <c r="S6586" t="s">
        <v>19906</v>
      </c>
      <c r="T6586" t="s">
        <v>19919</v>
      </c>
    </row>
    <row r="6587" spans="2:20" x14ac:dyDescent="0.25">
      <c r="B6587" t="s">
        <v>2709</v>
      </c>
      <c r="C6587">
        <v>64041900</v>
      </c>
      <c r="E6587" t="s">
        <v>19447</v>
      </c>
      <c r="F6587">
        <v>18</v>
      </c>
      <c r="G6587">
        <v>0</v>
      </c>
      <c r="H6587">
        <v>7.6</v>
      </c>
      <c r="I6587">
        <v>1.65</v>
      </c>
      <c r="J6587">
        <v>35</v>
      </c>
      <c r="L6587" t="s">
        <v>2709</v>
      </c>
      <c r="M6587">
        <v>64041900</v>
      </c>
      <c r="O6587" t="s">
        <v>19447</v>
      </c>
      <c r="P6587" t="s">
        <v>19899</v>
      </c>
      <c r="Q6587" t="s">
        <v>19900</v>
      </c>
      <c r="R6587" t="s">
        <v>19905</v>
      </c>
      <c r="S6587" t="s">
        <v>19906</v>
      </c>
      <c r="T6587" t="s">
        <v>19919</v>
      </c>
    </row>
    <row r="6588" spans="2:20" x14ac:dyDescent="0.25">
      <c r="B6588" t="s">
        <v>2709</v>
      </c>
      <c r="C6588">
        <v>64042000</v>
      </c>
      <c r="E6588" t="s">
        <v>19447</v>
      </c>
      <c r="F6588">
        <v>18</v>
      </c>
      <c r="G6588">
        <v>0</v>
      </c>
      <c r="H6588">
        <v>7.6</v>
      </c>
      <c r="I6588">
        <v>1.65</v>
      </c>
      <c r="J6588">
        <v>35</v>
      </c>
      <c r="L6588" t="s">
        <v>2709</v>
      </c>
      <c r="M6588">
        <v>64042000</v>
      </c>
      <c r="O6588" t="s">
        <v>19447</v>
      </c>
      <c r="P6588" t="s">
        <v>19899</v>
      </c>
      <c r="Q6588" t="s">
        <v>19900</v>
      </c>
      <c r="R6588" t="s">
        <v>19905</v>
      </c>
      <c r="S6588" t="s">
        <v>19906</v>
      </c>
      <c r="T6588" t="s">
        <v>19919</v>
      </c>
    </row>
    <row r="6589" spans="2:20" x14ac:dyDescent="0.25">
      <c r="B6589" t="s">
        <v>2709</v>
      </c>
      <c r="C6589">
        <v>64051010</v>
      </c>
      <c r="E6589" t="s">
        <v>19447</v>
      </c>
      <c r="F6589">
        <v>18</v>
      </c>
      <c r="G6589">
        <v>0</v>
      </c>
      <c r="H6589">
        <v>7.6</v>
      </c>
      <c r="I6589">
        <v>1.65</v>
      </c>
      <c r="J6589">
        <v>35</v>
      </c>
      <c r="L6589" t="s">
        <v>2709</v>
      </c>
      <c r="M6589">
        <v>64051010</v>
      </c>
      <c r="O6589" t="s">
        <v>19447</v>
      </c>
      <c r="P6589" t="s">
        <v>19899</v>
      </c>
      <c r="Q6589" t="s">
        <v>19900</v>
      </c>
      <c r="R6589" t="s">
        <v>19905</v>
      </c>
      <c r="S6589" t="s">
        <v>19906</v>
      </c>
      <c r="T6589" t="s">
        <v>19919</v>
      </c>
    </row>
    <row r="6590" spans="2:20" x14ac:dyDescent="0.25">
      <c r="B6590" t="s">
        <v>2709</v>
      </c>
      <c r="C6590">
        <v>64051020</v>
      </c>
      <c r="E6590" t="s">
        <v>19447</v>
      </c>
      <c r="F6590">
        <v>18</v>
      </c>
      <c r="G6590">
        <v>0</v>
      </c>
      <c r="H6590">
        <v>7.6</v>
      </c>
      <c r="I6590">
        <v>1.65</v>
      </c>
      <c r="J6590">
        <v>35</v>
      </c>
      <c r="L6590" t="s">
        <v>2709</v>
      </c>
      <c r="M6590">
        <v>64051020</v>
      </c>
      <c r="O6590" t="s">
        <v>19447</v>
      </c>
      <c r="P6590" t="s">
        <v>19899</v>
      </c>
      <c r="Q6590" t="s">
        <v>19900</v>
      </c>
      <c r="R6590" t="s">
        <v>19905</v>
      </c>
      <c r="S6590" t="s">
        <v>19906</v>
      </c>
      <c r="T6590" t="s">
        <v>19919</v>
      </c>
    </row>
    <row r="6591" spans="2:20" x14ac:dyDescent="0.25">
      <c r="B6591" t="s">
        <v>2709</v>
      </c>
      <c r="C6591">
        <v>64051090</v>
      </c>
      <c r="E6591" t="s">
        <v>19447</v>
      </c>
      <c r="F6591">
        <v>18</v>
      </c>
      <c r="G6591">
        <v>0</v>
      </c>
      <c r="H6591">
        <v>7.6</v>
      </c>
      <c r="I6591">
        <v>1.65</v>
      </c>
      <c r="J6591">
        <v>35</v>
      </c>
      <c r="L6591" t="s">
        <v>2709</v>
      </c>
      <c r="M6591">
        <v>64051090</v>
      </c>
      <c r="O6591" t="s">
        <v>19447</v>
      </c>
      <c r="P6591" t="s">
        <v>19899</v>
      </c>
      <c r="Q6591" t="s">
        <v>19900</v>
      </c>
      <c r="R6591" t="s">
        <v>19905</v>
      </c>
      <c r="S6591" t="s">
        <v>19906</v>
      </c>
      <c r="T6591" t="s">
        <v>19919</v>
      </c>
    </row>
    <row r="6592" spans="2:20" x14ac:dyDescent="0.25">
      <c r="B6592" t="s">
        <v>2709</v>
      </c>
      <c r="C6592">
        <v>64052000</v>
      </c>
      <c r="E6592" t="s">
        <v>19447</v>
      </c>
      <c r="F6592">
        <v>18</v>
      </c>
      <c r="G6592">
        <v>0</v>
      </c>
      <c r="H6592">
        <v>7.6</v>
      </c>
      <c r="I6592">
        <v>1.65</v>
      </c>
      <c r="J6592">
        <v>35</v>
      </c>
      <c r="L6592" t="s">
        <v>2709</v>
      </c>
      <c r="M6592">
        <v>64052000</v>
      </c>
      <c r="O6592" t="s">
        <v>19447</v>
      </c>
      <c r="P6592" t="s">
        <v>19899</v>
      </c>
      <c r="Q6592" t="s">
        <v>19900</v>
      </c>
      <c r="R6592" t="s">
        <v>19905</v>
      </c>
      <c r="S6592" t="s">
        <v>19906</v>
      </c>
      <c r="T6592" t="s">
        <v>19919</v>
      </c>
    </row>
    <row r="6593" spans="2:20" x14ac:dyDescent="0.25">
      <c r="B6593" t="s">
        <v>2709</v>
      </c>
      <c r="C6593">
        <v>64059000</v>
      </c>
      <c r="E6593" t="s">
        <v>19447</v>
      </c>
      <c r="F6593">
        <v>18</v>
      </c>
      <c r="G6593">
        <v>0</v>
      </c>
      <c r="H6593">
        <v>7.6</v>
      </c>
      <c r="I6593">
        <v>1.65</v>
      </c>
      <c r="J6593">
        <v>35</v>
      </c>
      <c r="L6593" t="s">
        <v>2709</v>
      </c>
      <c r="M6593">
        <v>64059000</v>
      </c>
      <c r="O6593" t="s">
        <v>19447</v>
      </c>
      <c r="P6593" t="s">
        <v>19899</v>
      </c>
      <c r="Q6593" t="s">
        <v>19900</v>
      </c>
      <c r="R6593" t="s">
        <v>19905</v>
      </c>
      <c r="S6593" t="s">
        <v>19906</v>
      </c>
      <c r="T6593" t="s">
        <v>19919</v>
      </c>
    </row>
    <row r="6594" spans="2:20" x14ac:dyDescent="0.25">
      <c r="B6594" t="s">
        <v>2709</v>
      </c>
      <c r="C6594">
        <v>64061000</v>
      </c>
      <c r="E6594" t="s">
        <v>19447</v>
      </c>
      <c r="F6594">
        <v>18</v>
      </c>
      <c r="G6594">
        <v>0</v>
      </c>
      <c r="H6594">
        <v>7.6</v>
      </c>
      <c r="I6594">
        <v>1.65</v>
      </c>
      <c r="J6594">
        <v>18</v>
      </c>
      <c r="L6594" t="s">
        <v>2709</v>
      </c>
      <c r="M6594">
        <v>64061000</v>
      </c>
      <c r="O6594" t="s">
        <v>19447</v>
      </c>
      <c r="P6594" t="s">
        <v>19899</v>
      </c>
      <c r="Q6594" t="s">
        <v>19900</v>
      </c>
      <c r="R6594" t="s">
        <v>19905</v>
      </c>
      <c r="S6594" t="s">
        <v>19906</v>
      </c>
      <c r="T6594" t="s">
        <v>19899</v>
      </c>
    </row>
    <row r="6595" spans="2:20" x14ac:dyDescent="0.25">
      <c r="B6595" t="s">
        <v>2709</v>
      </c>
      <c r="C6595">
        <v>64062000</v>
      </c>
      <c r="E6595" t="s">
        <v>19447</v>
      </c>
      <c r="F6595">
        <v>18</v>
      </c>
      <c r="G6595">
        <v>0</v>
      </c>
      <c r="H6595">
        <v>7.6</v>
      </c>
      <c r="I6595">
        <v>1.65</v>
      </c>
      <c r="J6595">
        <v>18</v>
      </c>
      <c r="L6595" t="s">
        <v>2709</v>
      </c>
      <c r="M6595">
        <v>64062000</v>
      </c>
      <c r="O6595" t="s">
        <v>19447</v>
      </c>
      <c r="P6595" t="s">
        <v>19899</v>
      </c>
      <c r="Q6595" t="s">
        <v>19900</v>
      </c>
      <c r="R6595" t="s">
        <v>19905</v>
      </c>
      <c r="S6595" t="s">
        <v>19906</v>
      </c>
      <c r="T6595" t="s">
        <v>19899</v>
      </c>
    </row>
    <row r="6596" spans="2:20" x14ac:dyDescent="0.25">
      <c r="B6596" t="s">
        <v>2709</v>
      </c>
      <c r="C6596">
        <v>64069010</v>
      </c>
      <c r="E6596" t="s">
        <v>19447</v>
      </c>
      <c r="F6596">
        <v>18</v>
      </c>
      <c r="G6596">
        <v>0</v>
      </c>
      <c r="H6596">
        <v>7.6</v>
      </c>
      <c r="I6596">
        <v>1.65</v>
      </c>
      <c r="J6596">
        <v>18</v>
      </c>
      <c r="L6596" t="s">
        <v>2709</v>
      </c>
      <c r="M6596">
        <v>64069010</v>
      </c>
      <c r="O6596" t="s">
        <v>19447</v>
      </c>
      <c r="P6596" t="s">
        <v>19899</v>
      </c>
      <c r="Q6596" t="s">
        <v>19900</v>
      </c>
      <c r="R6596" t="s">
        <v>19905</v>
      </c>
      <c r="S6596" t="s">
        <v>19906</v>
      </c>
      <c r="T6596" t="s">
        <v>19899</v>
      </c>
    </row>
    <row r="6597" spans="2:20" x14ac:dyDescent="0.25">
      <c r="B6597" t="s">
        <v>2709</v>
      </c>
      <c r="C6597">
        <v>64069020</v>
      </c>
      <c r="E6597" t="s">
        <v>19447</v>
      </c>
      <c r="F6597">
        <v>18</v>
      </c>
      <c r="G6597">
        <v>0</v>
      </c>
      <c r="H6597">
        <v>7.6</v>
      </c>
      <c r="I6597">
        <v>1.65</v>
      </c>
      <c r="J6597">
        <v>18</v>
      </c>
      <c r="L6597" t="s">
        <v>2709</v>
      </c>
      <c r="M6597">
        <v>64069020</v>
      </c>
      <c r="O6597" t="s">
        <v>19447</v>
      </c>
      <c r="P6597" t="s">
        <v>19899</v>
      </c>
      <c r="Q6597" t="s">
        <v>19900</v>
      </c>
      <c r="R6597" t="s">
        <v>19905</v>
      </c>
      <c r="S6597" t="s">
        <v>19906</v>
      </c>
      <c r="T6597" t="s">
        <v>19899</v>
      </c>
    </row>
    <row r="6598" spans="2:20" x14ac:dyDescent="0.25">
      <c r="B6598" t="s">
        <v>2709</v>
      </c>
      <c r="C6598">
        <v>64069090</v>
      </c>
      <c r="E6598" t="s">
        <v>19447</v>
      </c>
      <c r="F6598">
        <v>18</v>
      </c>
      <c r="G6598">
        <v>0</v>
      </c>
      <c r="H6598">
        <v>7.6</v>
      </c>
      <c r="I6598">
        <v>1.65</v>
      </c>
      <c r="J6598">
        <v>18</v>
      </c>
      <c r="L6598" t="s">
        <v>2709</v>
      </c>
      <c r="M6598">
        <v>64069090</v>
      </c>
      <c r="O6598" t="s">
        <v>19447</v>
      </c>
      <c r="P6598" t="s">
        <v>19899</v>
      </c>
      <c r="Q6598" t="s">
        <v>19900</v>
      </c>
      <c r="R6598" t="s">
        <v>19905</v>
      </c>
      <c r="S6598" t="s">
        <v>19906</v>
      </c>
      <c r="T6598" t="s">
        <v>19899</v>
      </c>
    </row>
    <row r="6599" spans="2:20" x14ac:dyDescent="0.25">
      <c r="B6599" t="s">
        <v>2709</v>
      </c>
      <c r="C6599">
        <v>65010000</v>
      </c>
      <c r="E6599" t="s">
        <v>19447</v>
      </c>
      <c r="F6599">
        <v>18</v>
      </c>
      <c r="G6599">
        <v>0</v>
      </c>
      <c r="H6599">
        <v>7.6</v>
      </c>
      <c r="I6599">
        <v>1.65</v>
      </c>
      <c r="J6599">
        <v>18</v>
      </c>
      <c r="L6599" t="s">
        <v>2709</v>
      </c>
      <c r="M6599">
        <v>65010000</v>
      </c>
      <c r="O6599" t="s">
        <v>19447</v>
      </c>
      <c r="P6599" t="s">
        <v>19899</v>
      </c>
      <c r="Q6599" t="s">
        <v>19900</v>
      </c>
      <c r="R6599" t="s">
        <v>19905</v>
      </c>
      <c r="S6599" t="s">
        <v>19906</v>
      </c>
      <c r="T6599" t="s">
        <v>19899</v>
      </c>
    </row>
    <row r="6600" spans="2:20" x14ac:dyDescent="0.25">
      <c r="B6600" t="s">
        <v>2709</v>
      </c>
      <c r="C6600">
        <v>65020010</v>
      </c>
      <c r="E6600" t="s">
        <v>19447</v>
      </c>
      <c r="F6600">
        <v>18</v>
      </c>
      <c r="G6600">
        <v>0</v>
      </c>
      <c r="H6600">
        <v>7.6</v>
      </c>
      <c r="I6600">
        <v>1.65</v>
      </c>
      <c r="J6600">
        <v>18</v>
      </c>
      <c r="L6600" t="s">
        <v>2709</v>
      </c>
      <c r="M6600">
        <v>65020010</v>
      </c>
      <c r="O6600" t="s">
        <v>19447</v>
      </c>
      <c r="P6600" t="s">
        <v>19899</v>
      </c>
      <c r="Q6600" t="s">
        <v>19900</v>
      </c>
      <c r="R6600" t="s">
        <v>19905</v>
      </c>
      <c r="S6600" t="s">
        <v>19906</v>
      </c>
      <c r="T6600" t="s">
        <v>19899</v>
      </c>
    </row>
    <row r="6601" spans="2:20" x14ac:dyDescent="0.25">
      <c r="B6601" t="s">
        <v>2709</v>
      </c>
      <c r="C6601">
        <v>65020090</v>
      </c>
      <c r="E6601" t="s">
        <v>19447</v>
      </c>
      <c r="F6601">
        <v>18</v>
      </c>
      <c r="G6601">
        <v>0</v>
      </c>
      <c r="H6601">
        <v>7.6</v>
      </c>
      <c r="I6601">
        <v>1.65</v>
      </c>
      <c r="J6601">
        <v>18</v>
      </c>
      <c r="L6601" t="s">
        <v>2709</v>
      </c>
      <c r="M6601">
        <v>65020090</v>
      </c>
      <c r="O6601" t="s">
        <v>19447</v>
      </c>
      <c r="P6601" t="s">
        <v>19899</v>
      </c>
      <c r="Q6601" t="s">
        <v>19900</v>
      </c>
      <c r="R6601" t="s">
        <v>19905</v>
      </c>
      <c r="S6601" t="s">
        <v>19906</v>
      </c>
      <c r="T6601" t="s">
        <v>19899</v>
      </c>
    </row>
    <row r="6602" spans="2:20" x14ac:dyDescent="0.25">
      <c r="B6602" t="s">
        <v>2709</v>
      </c>
      <c r="C6602">
        <v>65040010</v>
      </c>
      <c r="E6602" t="s">
        <v>19447</v>
      </c>
      <c r="F6602">
        <v>18</v>
      </c>
      <c r="G6602">
        <v>0</v>
      </c>
      <c r="H6602">
        <v>7.6</v>
      </c>
      <c r="I6602">
        <v>1.65</v>
      </c>
      <c r="J6602">
        <v>20</v>
      </c>
      <c r="L6602" t="s">
        <v>2709</v>
      </c>
      <c r="M6602">
        <v>65040010</v>
      </c>
      <c r="O6602" t="s">
        <v>19447</v>
      </c>
      <c r="P6602" t="s">
        <v>19899</v>
      </c>
      <c r="Q6602" t="s">
        <v>19900</v>
      </c>
      <c r="R6602" t="s">
        <v>19905</v>
      </c>
      <c r="S6602" t="s">
        <v>19906</v>
      </c>
      <c r="T6602" t="s">
        <v>19934</v>
      </c>
    </row>
    <row r="6603" spans="2:20" x14ac:dyDescent="0.25">
      <c r="B6603" t="s">
        <v>2709</v>
      </c>
      <c r="C6603">
        <v>65040090</v>
      </c>
      <c r="E6603" t="s">
        <v>19447</v>
      </c>
      <c r="F6603">
        <v>18</v>
      </c>
      <c r="G6603">
        <v>0</v>
      </c>
      <c r="H6603">
        <v>7.6</v>
      </c>
      <c r="I6603">
        <v>1.65</v>
      </c>
      <c r="J6603">
        <v>20</v>
      </c>
      <c r="L6603" t="s">
        <v>2709</v>
      </c>
      <c r="M6603">
        <v>65040090</v>
      </c>
      <c r="O6603" t="s">
        <v>19447</v>
      </c>
      <c r="P6603" t="s">
        <v>19899</v>
      </c>
      <c r="Q6603" t="s">
        <v>19900</v>
      </c>
      <c r="R6603" t="s">
        <v>19905</v>
      </c>
      <c r="S6603" t="s">
        <v>19906</v>
      </c>
      <c r="T6603" t="s">
        <v>19934</v>
      </c>
    </row>
    <row r="6604" spans="2:20" x14ac:dyDescent="0.25">
      <c r="B6604" t="s">
        <v>2709</v>
      </c>
      <c r="C6604">
        <v>65050011</v>
      </c>
      <c r="E6604" t="s">
        <v>19447</v>
      </c>
      <c r="F6604">
        <v>18</v>
      </c>
      <c r="G6604">
        <v>0</v>
      </c>
      <c r="H6604">
        <v>7.6</v>
      </c>
      <c r="I6604">
        <v>1.65</v>
      </c>
      <c r="J6604">
        <v>20</v>
      </c>
      <c r="L6604" t="s">
        <v>2709</v>
      </c>
      <c r="M6604">
        <v>65050011</v>
      </c>
      <c r="O6604" t="s">
        <v>19447</v>
      </c>
      <c r="P6604" t="s">
        <v>19899</v>
      </c>
      <c r="Q6604" t="s">
        <v>19900</v>
      </c>
      <c r="R6604" t="s">
        <v>19905</v>
      </c>
      <c r="S6604" t="s">
        <v>19906</v>
      </c>
      <c r="T6604" t="s">
        <v>19934</v>
      </c>
    </row>
    <row r="6605" spans="2:20" x14ac:dyDescent="0.25">
      <c r="B6605" t="s">
        <v>2709</v>
      </c>
      <c r="C6605">
        <v>65050012</v>
      </c>
      <c r="E6605" t="s">
        <v>19447</v>
      </c>
      <c r="F6605">
        <v>18</v>
      </c>
      <c r="G6605">
        <v>0</v>
      </c>
      <c r="H6605">
        <v>7.6</v>
      </c>
      <c r="I6605">
        <v>1.65</v>
      </c>
      <c r="J6605">
        <v>20</v>
      </c>
      <c r="L6605" t="s">
        <v>2709</v>
      </c>
      <c r="M6605">
        <v>65050012</v>
      </c>
      <c r="O6605" t="s">
        <v>19447</v>
      </c>
      <c r="P6605" t="s">
        <v>19899</v>
      </c>
      <c r="Q6605" t="s">
        <v>19900</v>
      </c>
      <c r="R6605" t="s">
        <v>19905</v>
      </c>
      <c r="S6605" t="s">
        <v>19906</v>
      </c>
      <c r="T6605" t="s">
        <v>19934</v>
      </c>
    </row>
    <row r="6606" spans="2:20" x14ac:dyDescent="0.25">
      <c r="B6606" t="s">
        <v>2709</v>
      </c>
      <c r="C6606">
        <v>65050019</v>
      </c>
      <c r="E6606" t="s">
        <v>19447</v>
      </c>
      <c r="F6606">
        <v>18</v>
      </c>
      <c r="G6606">
        <v>0</v>
      </c>
      <c r="H6606">
        <v>7.6</v>
      </c>
      <c r="I6606">
        <v>1.65</v>
      </c>
      <c r="J6606">
        <v>20</v>
      </c>
      <c r="L6606" t="s">
        <v>2709</v>
      </c>
      <c r="M6606">
        <v>65050019</v>
      </c>
      <c r="O6606" t="s">
        <v>19447</v>
      </c>
      <c r="P6606" t="s">
        <v>19899</v>
      </c>
      <c r="Q6606" t="s">
        <v>19900</v>
      </c>
      <c r="R6606" t="s">
        <v>19905</v>
      </c>
      <c r="S6606" t="s">
        <v>19906</v>
      </c>
      <c r="T6606" t="s">
        <v>19934</v>
      </c>
    </row>
    <row r="6607" spans="2:20" x14ac:dyDescent="0.25">
      <c r="B6607" t="s">
        <v>2709</v>
      </c>
      <c r="C6607">
        <v>65050021</v>
      </c>
      <c r="E6607" t="s">
        <v>19447</v>
      </c>
      <c r="F6607">
        <v>18</v>
      </c>
      <c r="G6607">
        <v>0</v>
      </c>
      <c r="H6607">
        <v>7.6</v>
      </c>
      <c r="I6607">
        <v>1.65</v>
      </c>
      <c r="J6607">
        <v>20</v>
      </c>
      <c r="L6607" t="s">
        <v>2709</v>
      </c>
      <c r="M6607">
        <v>65050021</v>
      </c>
      <c r="O6607" t="s">
        <v>19447</v>
      </c>
      <c r="P6607" t="s">
        <v>19899</v>
      </c>
      <c r="Q6607" t="s">
        <v>19900</v>
      </c>
      <c r="R6607" t="s">
        <v>19905</v>
      </c>
      <c r="S6607" t="s">
        <v>19906</v>
      </c>
      <c r="T6607" t="s">
        <v>19934</v>
      </c>
    </row>
    <row r="6608" spans="2:20" x14ac:dyDescent="0.25">
      <c r="B6608" t="s">
        <v>2709</v>
      </c>
      <c r="C6608">
        <v>65050022</v>
      </c>
      <c r="E6608" t="s">
        <v>19447</v>
      </c>
      <c r="F6608">
        <v>18</v>
      </c>
      <c r="G6608">
        <v>0</v>
      </c>
      <c r="H6608">
        <v>7.6</v>
      </c>
      <c r="I6608">
        <v>1.65</v>
      </c>
      <c r="J6608">
        <v>20</v>
      </c>
      <c r="L6608" t="s">
        <v>2709</v>
      </c>
      <c r="M6608">
        <v>65050022</v>
      </c>
      <c r="O6608" t="s">
        <v>19447</v>
      </c>
      <c r="P6608" t="s">
        <v>19899</v>
      </c>
      <c r="Q6608" t="s">
        <v>19900</v>
      </c>
      <c r="R6608" t="s">
        <v>19905</v>
      </c>
      <c r="S6608" t="s">
        <v>19906</v>
      </c>
      <c r="T6608" t="s">
        <v>19934</v>
      </c>
    </row>
    <row r="6609" spans="2:20" x14ac:dyDescent="0.25">
      <c r="B6609" t="s">
        <v>2709</v>
      </c>
      <c r="C6609">
        <v>65050029</v>
      </c>
      <c r="E6609" t="s">
        <v>19447</v>
      </c>
      <c r="F6609">
        <v>18</v>
      </c>
      <c r="G6609">
        <v>0</v>
      </c>
      <c r="H6609">
        <v>7.6</v>
      </c>
      <c r="I6609">
        <v>1.65</v>
      </c>
      <c r="J6609">
        <v>20</v>
      </c>
      <c r="L6609" t="s">
        <v>2709</v>
      </c>
      <c r="M6609">
        <v>65050029</v>
      </c>
      <c r="O6609" t="s">
        <v>19447</v>
      </c>
      <c r="P6609" t="s">
        <v>19899</v>
      </c>
      <c r="Q6609" t="s">
        <v>19900</v>
      </c>
      <c r="R6609" t="s">
        <v>19905</v>
      </c>
      <c r="S6609" t="s">
        <v>19906</v>
      </c>
      <c r="T6609" t="s">
        <v>19934</v>
      </c>
    </row>
    <row r="6610" spans="2:20" x14ac:dyDescent="0.25">
      <c r="B6610" t="s">
        <v>2709</v>
      </c>
      <c r="C6610">
        <v>65050031</v>
      </c>
      <c r="E6610" t="s">
        <v>19447</v>
      </c>
      <c r="F6610">
        <v>18</v>
      </c>
      <c r="G6610">
        <v>0</v>
      </c>
      <c r="H6610">
        <v>7.6</v>
      </c>
      <c r="I6610">
        <v>1.65</v>
      </c>
      <c r="J6610">
        <v>20</v>
      </c>
      <c r="L6610" t="s">
        <v>2709</v>
      </c>
      <c r="M6610">
        <v>65050031</v>
      </c>
      <c r="O6610" t="s">
        <v>19447</v>
      </c>
      <c r="P6610" t="s">
        <v>19899</v>
      </c>
      <c r="Q6610" t="s">
        <v>19900</v>
      </c>
      <c r="R6610" t="s">
        <v>19905</v>
      </c>
      <c r="S6610" t="s">
        <v>19906</v>
      </c>
      <c r="T6610" t="s">
        <v>19934</v>
      </c>
    </row>
    <row r="6611" spans="2:20" x14ac:dyDescent="0.25">
      <c r="B6611" t="s">
        <v>2709</v>
      </c>
      <c r="C6611">
        <v>65050032</v>
      </c>
      <c r="E6611" t="s">
        <v>19447</v>
      </c>
      <c r="F6611">
        <v>18</v>
      </c>
      <c r="G6611">
        <v>0</v>
      </c>
      <c r="H6611">
        <v>7.6</v>
      </c>
      <c r="I6611">
        <v>1.65</v>
      </c>
      <c r="J6611">
        <v>20</v>
      </c>
      <c r="L6611" t="s">
        <v>2709</v>
      </c>
      <c r="M6611">
        <v>65050032</v>
      </c>
      <c r="O6611" t="s">
        <v>19447</v>
      </c>
      <c r="P6611" t="s">
        <v>19899</v>
      </c>
      <c r="Q6611" t="s">
        <v>19900</v>
      </c>
      <c r="R6611" t="s">
        <v>19905</v>
      </c>
      <c r="S6611" t="s">
        <v>19906</v>
      </c>
      <c r="T6611" t="s">
        <v>19934</v>
      </c>
    </row>
    <row r="6612" spans="2:20" x14ac:dyDescent="0.25">
      <c r="B6612" t="s">
        <v>2709</v>
      </c>
      <c r="C6612">
        <v>65050039</v>
      </c>
      <c r="E6612" t="s">
        <v>19447</v>
      </c>
      <c r="F6612">
        <v>18</v>
      </c>
      <c r="G6612">
        <v>0</v>
      </c>
      <c r="H6612">
        <v>7.6</v>
      </c>
      <c r="I6612">
        <v>1.65</v>
      </c>
      <c r="J6612">
        <v>20</v>
      </c>
      <c r="L6612" t="s">
        <v>2709</v>
      </c>
      <c r="M6612">
        <v>65050039</v>
      </c>
      <c r="O6612" t="s">
        <v>19447</v>
      </c>
      <c r="P6612" t="s">
        <v>19899</v>
      </c>
      <c r="Q6612" t="s">
        <v>19900</v>
      </c>
      <c r="R6612" t="s">
        <v>19905</v>
      </c>
      <c r="S6612" t="s">
        <v>19906</v>
      </c>
      <c r="T6612" t="s">
        <v>19934</v>
      </c>
    </row>
    <row r="6613" spans="2:20" x14ac:dyDescent="0.25">
      <c r="B6613" t="s">
        <v>2709</v>
      </c>
      <c r="C6613">
        <v>65050090</v>
      </c>
      <c r="E6613" t="s">
        <v>19447</v>
      </c>
      <c r="F6613">
        <v>18</v>
      </c>
      <c r="G6613">
        <v>0</v>
      </c>
      <c r="H6613">
        <v>7.6</v>
      </c>
      <c r="I6613">
        <v>1.65</v>
      </c>
      <c r="J6613">
        <v>20</v>
      </c>
      <c r="L6613" t="s">
        <v>2709</v>
      </c>
      <c r="M6613">
        <v>65050090</v>
      </c>
      <c r="O6613" t="s">
        <v>19447</v>
      </c>
      <c r="P6613" t="s">
        <v>19899</v>
      </c>
      <c r="Q6613" t="s">
        <v>19900</v>
      </c>
      <c r="R6613" t="s">
        <v>19905</v>
      </c>
      <c r="S6613" t="s">
        <v>19906</v>
      </c>
      <c r="T6613" t="s">
        <v>19934</v>
      </c>
    </row>
    <row r="6614" spans="2:20" x14ac:dyDescent="0.25">
      <c r="B6614" t="s">
        <v>2709</v>
      </c>
      <c r="C6614">
        <v>65061000</v>
      </c>
      <c r="E6614">
        <v>71.78</v>
      </c>
      <c r="F6614">
        <v>18</v>
      </c>
      <c r="G6614">
        <v>0</v>
      </c>
      <c r="H6614">
        <v>7.6</v>
      </c>
      <c r="I6614">
        <v>1.65</v>
      </c>
      <c r="J6614">
        <v>20</v>
      </c>
      <c r="L6614" t="s">
        <v>2709</v>
      </c>
      <c r="M6614">
        <v>65061000</v>
      </c>
      <c r="O6614" t="s">
        <v>20056</v>
      </c>
      <c r="P6614" t="s">
        <v>19899</v>
      </c>
      <c r="Q6614" t="s">
        <v>19900</v>
      </c>
      <c r="R6614" t="s">
        <v>19905</v>
      </c>
      <c r="S6614" t="s">
        <v>19906</v>
      </c>
      <c r="T6614" t="s">
        <v>19934</v>
      </c>
    </row>
    <row r="6615" spans="2:20" x14ac:dyDescent="0.25">
      <c r="B6615" t="s">
        <v>2709</v>
      </c>
      <c r="C6615">
        <v>65069100</v>
      </c>
      <c r="E6615" t="s">
        <v>19447</v>
      </c>
      <c r="F6615">
        <v>18</v>
      </c>
      <c r="G6615">
        <v>0</v>
      </c>
      <c r="H6615">
        <v>7.6</v>
      </c>
      <c r="I6615">
        <v>1.65</v>
      </c>
      <c r="J6615">
        <v>20</v>
      </c>
      <c r="L6615" t="s">
        <v>2709</v>
      </c>
      <c r="M6615">
        <v>65069100</v>
      </c>
      <c r="O6615" t="s">
        <v>19447</v>
      </c>
      <c r="P6615" t="s">
        <v>19899</v>
      </c>
      <c r="Q6615" t="s">
        <v>19900</v>
      </c>
      <c r="R6615" t="s">
        <v>19905</v>
      </c>
      <c r="S6615" t="s">
        <v>19906</v>
      </c>
      <c r="T6615" t="s">
        <v>19934</v>
      </c>
    </row>
    <row r="6616" spans="2:20" x14ac:dyDescent="0.25">
      <c r="B6616" t="s">
        <v>2709</v>
      </c>
      <c r="C6616">
        <v>65069900</v>
      </c>
      <c r="E6616" t="s">
        <v>19447</v>
      </c>
      <c r="F6616">
        <v>18</v>
      </c>
      <c r="G6616">
        <v>0</v>
      </c>
      <c r="H6616">
        <v>7.6</v>
      </c>
      <c r="I6616">
        <v>1.65</v>
      </c>
      <c r="J6616">
        <v>20</v>
      </c>
      <c r="L6616" t="s">
        <v>2709</v>
      </c>
      <c r="M6616">
        <v>65069900</v>
      </c>
      <c r="O6616" t="s">
        <v>19447</v>
      </c>
      <c r="P6616" t="s">
        <v>19899</v>
      </c>
      <c r="Q6616" t="s">
        <v>19900</v>
      </c>
      <c r="R6616" t="s">
        <v>19905</v>
      </c>
      <c r="S6616" t="s">
        <v>19906</v>
      </c>
      <c r="T6616" t="s">
        <v>19934</v>
      </c>
    </row>
    <row r="6617" spans="2:20" x14ac:dyDescent="0.25">
      <c r="B6617" t="s">
        <v>2709</v>
      </c>
      <c r="C6617">
        <v>65070000</v>
      </c>
      <c r="E6617" t="s">
        <v>19447</v>
      </c>
      <c r="F6617">
        <v>18</v>
      </c>
      <c r="G6617">
        <v>0</v>
      </c>
      <c r="H6617">
        <v>7.6</v>
      </c>
      <c r="I6617">
        <v>1.65</v>
      </c>
      <c r="J6617">
        <v>18</v>
      </c>
      <c r="L6617" t="s">
        <v>2709</v>
      </c>
      <c r="M6617">
        <v>65070000</v>
      </c>
      <c r="O6617" t="s">
        <v>19447</v>
      </c>
      <c r="P6617" t="s">
        <v>19899</v>
      </c>
      <c r="Q6617" t="s">
        <v>19900</v>
      </c>
      <c r="R6617" t="s">
        <v>19905</v>
      </c>
      <c r="S6617" t="s">
        <v>19906</v>
      </c>
      <c r="T6617" t="s">
        <v>19899</v>
      </c>
    </row>
    <row r="6618" spans="2:20" x14ac:dyDescent="0.25">
      <c r="B6618" t="s">
        <v>2709</v>
      </c>
      <c r="C6618">
        <v>66011000</v>
      </c>
      <c r="E6618" t="s">
        <v>19447</v>
      </c>
      <c r="F6618">
        <v>18</v>
      </c>
      <c r="G6618">
        <v>5</v>
      </c>
      <c r="H6618">
        <v>7.6</v>
      </c>
      <c r="I6618">
        <v>1.65</v>
      </c>
      <c r="J6618">
        <v>20</v>
      </c>
      <c r="L6618" t="s">
        <v>2709</v>
      </c>
      <c r="M6618">
        <v>66011000</v>
      </c>
      <c r="O6618" t="s">
        <v>19447</v>
      </c>
      <c r="P6618" t="s">
        <v>19899</v>
      </c>
      <c r="Q6618" t="s">
        <v>19909</v>
      </c>
      <c r="R6618" t="s">
        <v>19905</v>
      </c>
      <c r="S6618" t="s">
        <v>19906</v>
      </c>
      <c r="T6618" t="s">
        <v>19934</v>
      </c>
    </row>
    <row r="6619" spans="2:20" x14ac:dyDescent="0.25">
      <c r="B6619" t="s">
        <v>2709</v>
      </c>
      <c r="C6619">
        <v>66019110</v>
      </c>
      <c r="E6619" t="s">
        <v>19447</v>
      </c>
      <c r="F6619">
        <v>18</v>
      </c>
      <c r="G6619">
        <v>0</v>
      </c>
      <c r="H6619">
        <v>7.6</v>
      </c>
      <c r="I6619">
        <v>1.65</v>
      </c>
      <c r="J6619">
        <v>20</v>
      </c>
      <c r="L6619" t="s">
        <v>2709</v>
      </c>
      <c r="M6619">
        <v>66019110</v>
      </c>
      <c r="O6619" t="s">
        <v>19447</v>
      </c>
      <c r="P6619" t="s">
        <v>19899</v>
      </c>
      <c r="Q6619" t="s">
        <v>19900</v>
      </c>
      <c r="R6619" t="s">
        <v>19905</v>
      </c>
      <c r="S6619" t="s">
        <v>19906</v>
      </c>
      <c r="T6619" t="s">
        <v>19934</v>
      </c>
    </row>
    <row r="6620" spans="2:20" x14ac:dyDescent="0.25">
      <c r="B6620" t="s">
        <v>2709</v>
      </c>
      <c r="C6620">
        <v>66019190</v>
      </c>
      <c r="E6620" t="s">
        <v>19447</v>
      </c>
      <c r="F6620">
        <v>18</v>
      </c>
      <c r="G6620">
        <v>0</v>
      </c>
      <c r="H6620">
        <v>7.6</v>
      </c>
      <c r="I6620">
        <v>1.65</v>
      </c>
      <c r="J6620">
        <v>20</v>
      </c>
      <c r="L6620" t="s">
        <v>2709</v>
      </c>
      <c r="M6620">
        <v>66019190</v>
      </c>
      <c r="O6620" t="s">
        <v>19447</v>
      </c>
      <c r="P6620" t="s">
        <v>19899</v>
      </c>
      <c r="Q6620" t="s">
        <v>19900</v>
      </c>
      <c r="R6620" t="s">
        <v>19905</v>
      </c>
      <c r="S6620" t="s">
        <v>19906</v>
      </c>
      <c r="T6620" t="s">
        <v>19934</v>
      </c>
    </row>
    <row r="6621" spans="2:20" x14ac:dyDescent="0.25">
      <c r="B6621" t="s">
        <v>2709</v>
      </c>
      <c r="C6621">
        <v>66019900</v>
      </c>
      <c r="E6621" t="s">
        <v>19447</v>
      </c>
      <c r="F6621">
        <v>18</v>
      </c>
      <c r="G6621">
        <v>0</v>
      </c>
      <c r="H6621">
        <v>7.6</v>
      </c>
      <c r="I6621">
        <v>1.65</v>
      </c>
      <c r="J6621">
        <v>20</v>
      </c>
      <c r="L6621" t="s">
        <v>2709</v>
      </c>
      <c r="M6621">
        <v>66019900</v>
      </c>
      <c r="O6621" t="s">
        <v>19447</v>
      </c>
      <c r="P6621" t="s">
        <v>19899</v>
      </c>
      <c r="Q6621" t="s">
        <v>19900</v>
      </c>
      <c r="R6621" t="s">
        <v>19905</v>
      </c>
      <c r="S6621" t="s">
        <v>19906</v>
      </c>
      <c r="T6621" t="s">
        <v>19934</v>
      </c>
    </row>
    <row r="6622" spans="2:20" x14ac:dyDescent="0.25">
      <c r="B6622" t="s">
        <v>2709</v>
      </c>
      <c r="C6622">
        <v>66020000</v>
      </c>
      <c r="E6622" t="s">
        <v>19447</v>
      </c>
      <c r="F6622">
        <v>18</v>
      </c>
      <c r="G6622">
        <v>0</v>
      </c>
      <c r="H6622">
        <v>7.6</v>
      </c>
      <c r="I6622">
        <v>1.65</v>
      </c>
      <c r="J6622">
        <v>20</v>
      </c>
      <c r="L6622" t="s">
        <v>2709</v>
      </c>
      <c r="M6622">
        <v>66020000</v>
      </c>
      <c r="O6622" t="s">
        <v>19447</v>
      </c>
      <c r="P6622" t="s">
        <v>19899</v>
      </c>
      <c r="Q6622" t="s">
        <v>19900</v>
      </c>
      <c r="R6622" t="s">
        <v>19905</v>
      </c>
      <c r="S6622" t="s">
        <v>19906</v>
      </c>
      <c r="T6622" t="s">
        <v>19934</v>
      </c>
    </row>
    <row r="6623" spans="2:20" x14ac:dyDescent="0.25">
      <c r="B6623" t="s">
        <v>2709</v>
      </c>
      <c r="C6623">
        <v>66032000</v>
      </c>
      <c r="E6623" t="s">
        <v>19447</v>
      </c>
      <c r="F6623">
        <v>18</v>
      </c>
      <c r="G6623">
        <v>0</v>
      </c>
      <c r="H6623">
        <v>7.6</v>
      </c>
      <c r="I6623">
        <v>1.65</v>
      </c>
      <c r="J6623">
        <v>18</v>
      </c>
      <c r="L6623" t="s">
        <v>2709</v>
      </c>
      <c r="M6623">
        <v>66032000</v>
      </c>
      <c r="O6623" t="s">
        <v>19447</v>
      </c>
      <c r="P6623" t="s">
        <v>19899</v>
      </c>
      <c r="Q6623" t="s">
        <v>19900</v>
      </c>
      <c r="R6623" t="s">
        <v>19905</v>
      </c>
      <c r="S6623" t="s">
        <v>19906</v>
      </c>
      <c r="T6623" t="s">
        <v>19899</v>
      </c>
    </row>
    <row r="6624" spans="2:20" x14ac:dyDescent="0.25">
      <c r="B6624" t="s">
        <v>2709</v>
      </c>
      <c r="C6624">
        <v>66039000</v>
      </c>
      <c r="E6624" t="s">
        <v>19447</v>
      </c>
      <c r="F6624">
        <v>18</v>
      </c>
      <c r="G6624">
        <v>0</v>
      </c>
      <c r="H6624">
        <v>7.6</v>
      </c>
      <c r="I6624">
        <v>1.65</v>
      </c>
      <c r="J6624">
        <v>18</v>
      </c>
      <c r="L6624" t="s">
        <v>2709</v>
      </c>
      <c r="M6624">
        <v>66039000</v>
      </c>
      <c r="O6624" t="s">
        <v>19447</v>
      </c>
      <c r="P6624" t="s">
        <v>19899</v>
      </c>
      <c r="Q6624" t="s">
        <v>19900</v>
      </c>
      <c r="R6624" t="s">
        <v>19905</v>
      </c>
      <c r="S6624" t="s">
        <v>19906</v>
      </c>
      <c r="T6624" t="s">
        <v>19899</v>
      </c>
    </row>
    <row r="6625" spans="2:20" x14ac:dyDescent="0.25">
      <c r="B6625" t="s">
        <v>2709</v>
      </c>
      <c r="C6625">
        <v>67010000</v>
      </c>
      <c r="E6625" t="s">
        <v>19447</v>
      </c>
      <c r="F6625">
        <v>18</v>
      </c>
      <c r="G6625">
        <v>0</v>
      </c>
      <c r="H6625">
        <v>7.6</v>
      </c>
      <c r="I6625">
        <v>1.65</v>
      </c>
      <c r="J6625">
        <v>16</v>
      </c>
      <c r="L6625" t="s">
        <v>2709</v>
      </c>
      <c r="M6625">
        <v>67010000</v>
      </c>
      <c r="O6625" t="s">
        <v>19447</v>
      </c>
      <c r="P6625" t="s">
        <v>19899</v>
      </c>
      <c r="Q6625" t="s">
        <v>19900</v>
      </c>
      <c r="R6625" t="s">
        <v>19905</v>
      </c>
      <c r="S6625" t="s">
        <v>19906</v>
      </c>
      <c r="T6625" t="s">
        <v>19913</v>
      </c>
    </row>
    <row r="6626" spans="2:20" x14ac:dyDescent="0.25">
      <c r="B6626" t="s">
        <v>2709</v>
      </c>
      <c r="C6626">
        <v>67010000</v>
      </c>
      <c r="D6626">
        <v>1</v>
      </c>
      <c r="E6626" t="s">
        <v>19447</v>
      </c>
      <c r="F6626">
        <v>18</v>
      </c>
      <c r="G6626">
        <v>0</v>
      </c>
      <c r="H6626">
        <v>7.6</v>
      </c>
      <c r="I6626">
        <v>1.65</v>
      </c>
      <c r="J6626">
        <v>16</v>
      </c>
      <c r="L6626" t="s">
        <v>2709</v>
      </c>
      <c r="M6626">
        <v>67010000</v>
      </c>
      <c r="N6626">
        <v>1</v>
      </c>
      <c r="O6626" t="s">
        <v>19447</v>
      </c>
      <c r="P6626" t="s">
        <v>19899</v>
      </c>
      <c r="Q6626" t="s">
        <v>19900</v>
      </c>
      <c r="R6626" t="s">
        <v>19905</v>
      </c>
      <c r="S6626" t="s">
        <v>19906</v>
      </c>
      <c r="T6626" t="s">
        <v>19913</v>
      </c>
    </row>
    <row r="6627" spans="2:20" x14ac:dyDescent="0.25">
      <c r="B6627" t="s">
        <v>2709</v>
      </c>
      <c r="C6627">
        <v>67010000</v>
      </c>
      <c r="D6627">
        <v>2</v>
      </c>
      <c r="E6627" t="s">
        <v>19447</v>
      </c>
      <c r="F6627">
        <v>18</v>
      </c>
      <c r="G6627">
        <v>20</v>
      </c>
      <c r="H6627">
        <v>7.6</v>
      </c>
      <c r="I6627">
        <v>1.65</v>
      </c>
      <c r="J6627">
        <v>16</v>
      </c>
      <c r="L6627" t="s">
        <v>2709</v>
      </c>
      <c r="M6627">
        <v>67010000</v>
      </c>
      <c r="N6627">
        <v>2</v>
      </c>
      <c r="O6627" t="s">
        <v>19447</v>
      </c>
      <c r="P6627" t="s">
        <v>19899</v>
      </c>
      <c r="Q6627" t="s">
        <v>19934</v>
      </c>
      <c r="R6627" t="s">
        <v>19905</v>
      </c>
      <c r="S6627" t="s">
        <v>19906</v>
      </c>
      <c r="T6627" t="s">
        <v>19913</v>
      </c>
    </row>
    <row r="6628" spans="2:20" x14ac:dyDescent="0.25">
      <c r="B6628" t="s">
        <v>2709</v>
      </c>
      <c r="C6628">
        <v>67010000</v>
      </c>
      <c r="D6628">
        <v>3</v>
      </c>
      <c r="E6628" t="s">
        <v>19447</v>
      </c>
      <c r="F6628">
        <v>18</v>
      </c>
      <c r="G6628">
        <v>20</v>
      </c>
      <c r="H6628">
        <v>7.6</v>
      </c>
      <c r="I6628">
        <v>1.65</v>
      </c>
      <c r="J6628">
        <v>16</v>
      </c>
      <c r="L6628" t="s">
        <v>2709</v>
      </c>
      <c r="M6628">
        <v>67010000</v>
      </c>
      <c r="N6628">
        <v>3</v>
      </c>
      <c r="O6628" t="s">
        <v>19447</v>
      </c>
      <c r="P6628" t="s">
        <v>19899</v>
      </c>
      <c r="Q6628" t="s">
        <v>19934</v>
      </c>
      <c r="R6628" t="s">
        <v>19905</v>
      </c>
      <c r="S6628" t="s">
        <v>19906</v>
      </c>
      <c r="T6628" t="s">
        <v>19913</v>
      </c>
    </row>
    <row r="6629" spans="2:20" x14ac:dyDescent="0.25">
      <c r="B6629" t="s">
        <v>2709</v>
      </c>
      <c r="C6629">
        <v>67021000</v>
      </c>
      <c r="E6629" t="s">
        <v>19447</v>
      </c>
      <c r="F6629">
        <v>18</v>
      </c>
      <c r="G6629">
        <v>15</v>
      </c>
      <c r="H6629">
        <v>7.6</v>
      </c>
      <c r="I6629">
        <v>1.65</v>
      </c>
      <c r="J6629">
        <v>16</v>
      </c>
      <c r="L6629" t="s">
        <v>2709</v>
      </c>
      <c r="M6629">
        <v>67021000</v>
      </c>
      <c r="O6629" t="s">
        <v>19447</v>
      </c>
      <c r="P6629" t="s">
        <v>19899</v>
      </c>
      <c r="Q6629" t="s">
        <v>19983</v>
      </c>
      <c r="R6629" t="s">
        <v>19905</v>
      </c>
      <c r="S6629" t="s">
        <v>19906</v>
      </c>
      <c r="T6629" t="s">
        <v>19913</v>
      </c>
    </row>
    <row r="6630" spans="2:20" x14ac:dyDescent="0.25">
      <c r="B6630" t="s">
        <v>2709</v>
      </c>
      <c r="C6630">
        <v>67029000</v>
      </c>
      <c r="E6630" t="s">
        <v>19447</v>
      </c>
      <c r="F6630">
        <v>18</v>
      </c>
      <c r="G6630">
        <v>15</v>
      </c>
      <c r="H6630">
        <v>7.6</v>
      </c>
      <c r="I6630">
        <v>1.65</v>
      </c>
      <c r="J6630">
        <v>16</v>
      </c>
      <c r="L6630" t="s">
        <v>2709</v>
      </c>
      <c r="M6630">
        <v>67029000</v>
      </c>
      <c r="O6630" t="s">
        <v>19447</v>
      </c>
      <c r="P6630" t="s">
        <v>19899</v>
      </c>
      <c r="Q6630" t="s">
        <v>19983</v>
      </c>
      <c r="R6630" t="s">
        <v>19905</v>
      </c>
      <c r="S6630" t="s">
        <v>19906</v>
      </c>
      <c r="T6630" t="s">
        <v>19913</v>
      </c>
    </row>
    <row r="6631" spans="2:20" x14ac:dyDescent="0.25">
      <c r="B6631" t="s">
        <v>2709</v>
      </c>
      <c r="C6631">
        <v>67030000</v>
      </c>
      <c r="E6631" t="s">
        <v>19447</v>
      </c>
      <c r="F6631">
        <v>18</v>
      </c>
      <c r="G6631">
        <v>15</v>
      </c>
      <c r="H6631">
        <v>7.6</v>
      </c>
      <c r="I6631">
        <v>1.65</v>
      </c>
      <c r="J6631">
        <v>16</v>
      </c>
      <c r="L6631" t="s">
        <v>2709</v>
      </c>
      <c r="M6631">
        <v>67030000</v>
      </c>
      <c r="O6631" t="s">
        <v>19447</v>
      </c>
      <c r="P6631" t="s">
        <v>19899</v>
      </c>
      <c r="Q6631" t="s">
        <v>19983</v>
      </c>
      <c r="R6631" t="s">
        <v>19905</v>
      </c>
      <c r="S6631" t="s">
        <v>19906</v>
      </c>
      <c r="T6631" t="s">
        <v>19913</v>
      </c>
    </row>
    <row r="6632" spans="2:20" x14ac:dyDescent="0.25">
      <c r="B6632" t="s">
        <v>2709</v>
      </c>
      <c r="C6632">
        <v>67041100</v>
      </c>
      <c r="E6632" t="s">
        <v>19447</v>
      </c>
      <c r="F6632">
        <v>18</v>
      </c>
      <c r="G6632">
        <v>15</v>
      </c>
      <c r="H6632">
        <v>7.6</v>
      </c>
      <c r="I6632">
        <v>1.65</v>
      </c>
      <c r="J6632">
        <v>16</v>
      </c>
      <c r="L6632" t="s">
        <v>2709</v>
      </c>
      <c r="M6632">
        <v>67041100</v>
      </c>
      <c r="O6632" t="s">
        <v>19447</v>
      </c>
      <c r="P6632" t="s">
        <v>19899</v>
      </c>
      <c r="Q6632" t="s">
        <v>19983</v>
      </c>
      <c r="R6632" t="s">
        <v>19905</v>
      </c>
      <c r="S6632" t="s">
        <v>19906</v>
      </c>
      <c r="T6632" t="s">
        <v>19913</v>
      </c>
    </row>
    <row r="6633" spans="2:20" x14ac:dyDescent="0.25">
      <c r="B6633" t="s">
        <v>2709</v>
      </c>
      <c r="C6633">
        <v>67041900</v>
      </c>
      <c r="E6633" t="s">
        <v>19447</v>
      </c>
      <c r="F6633">
        <v>18</v>
      </c>
      <c r="G6633">
        <v>15</v>
      </c>
      <c r="H6633">
        <v>7.6</v>
      </c>
      <c r="I6633">
        <v>1.65</v>
      </c>
      <c r="J6633">
        <v>16</v>
      </c>
      <c r="L6633" t="s">
        <v>2709</v>
      </c>
      <c r="M6633">
        <v>67041900</v>
      </c>
      <c r="O6633" t="s">
        <v>19447</v>
      </c>
      <c r="P6633" t="s">
        <v>19899</v>
      </c>
      <c r="Q6633" t="s">
        <v>19983</v>
      </c>
      <c r="R6633" t="s">
        <v>19905</v>
      </c>
      <c r="S6633" t="s">
        <v>19906</v>
      </c>
      <c r="T6633" t="s">
        <v>19913</v>
      </c>
    </row>
    <row r="6634" spans="2:20" x14ac:dyDescent="0.25">
      <c r="B6634" t="s">
        <v>2709</v>
      </c>
      <c r="C6634">
        <v>67042000</v>
      </c>
      <c r="E6634" t="s">
        <v>19447</v>
      </c>
      <c r="F6634">
        <v>18</v>
      </c>
      <c r="G6634">
        <v>15</v>
      </c>
      <c r="H6634">
        <v>7.6</v>
      </c>
      <c r="I6634">
        <v>1.65</v>
      </c>
      <c r="J6634">
        <v>16</v>
      </c>
      <c r="L6634" t="s">
        <v>2709</v>
      </c>
      <c r="M6634">
        <v>67042000</v>
      </c>
      <c r="O6634" t="s">
        <v>19447</v>
      </c>
      <c r="P6634" t="s">
        <v>19899</v>
      </c>
      <c r="Q6634" t="s">
        <v>19983</v>
      </c>
      <c r="R6634" t="s">
        <v>19905</v>
      </c>
      <c r="S6634" t="s">
        <v>19906</v>
      </c>
      <c r="T6634" t="s">
        <v>19913</v>
      </c>
    </row>
    <row r="6635" spans="2:20" x14ac:dyDescent="0.25">
      <c r="B6635" t="s">
        <v>2709</v>
      </c>
      <c r="C6635">
        <v>67049000</v>
      </c>
      <c r="E6635" t="s">
        <v>19447</v>
      </c>
      <c r="F6635">
        <v>18</v>
      </c>
      <c r="G6635">
        <v>15</v>
      </c>
      <c r="H6635">
        <v>7.6</v>
      </c>
      <c r="I6635">
        <v>1.65</v>
      </c>
      <c r="J6635">
        <v>16</v>
      </c>
      <c r="L6635" t="s">
        <v>2709</v>
      </c>
      <c r="M6635">
        <v>67049000</v>
      </c>
      <c r="O6635" t="s">
        <v>19447</v>
      </c>
      <c r="P6635" t="s">
        <v>19899</v>
      </c>
      <c r="Q6635" t="s">
        <v>19983</v>
      </c>
      <c r="R6635" t="s">
        <v>19905</v>
      </c>
      <c r="S6635" t="s">
        <v>19906</v>
      </c>
      <c r="T6635" t="s">
        <v>19913</v>
      </c>
    </row>
    <row r="6636" spans="2:20" x14ac:dyDescent="0.25">
      <c r="B6636" t="s">
        <v>2709</v>
      </c>
      <c r="C6636">
        <v>68010000</v>
      </c>
      <c r="E6636">
        <v>71.78</v>
      </c>
      <c r="F6636">
        <v>18</v>
      </c>
      <c r="G6636">
        <v>0</v>
      </c>
      <c r="H6636">
        <v>7.6</v>
      </c>
      <c r="I6636">
        <v>1.65</v>
      </c>
      <c r="J6636">
        <v>6</v>
      </c>
      <c r="L6636" t="s">
        <v>2709</v>
      </c>
      <c r="M6636">
        <v>68010000</v>
      </c>
      <c r="O6636" t="s">
        <v>20056</v>
      </c>
      <c r="P6636" t="s">
        <v>19899</v>
      </c>
      <c r="Q6636" t="s">
        <v>19900</v>
      </c>
      <c r="R6636" t="s">
        <v>19905</v>
      </c>
      <c r="S6636" t="s">
        <v>19906</v>
      </c>
      <c r="T6636" t="s">
        <v>19907</v>
      </c>
    </row>
    <row r="6637" spans="2:20" x14ac:dyDescent="0.25">
      <c r="B6637" t="s">
        <v>2709</v>
      </c>
      <c r="C6637">
        <v>68021000</v>
      </c>
      <c r="E6637">
        <v>71</v>
      </c>
      <c r="F6637">
        <v>18</v>
      </c>
      <c r="G6637">
        <v>5</v>
      </c>
      <c r="H6637">
        <v>7.6</v>
      </c>
      <c r="I6637">
        <v>1.65</v>
      </c>
      <c r="J6637">
        <v>8</v>
      </c>
      <c r="L6637" t="s">
        <v>2709</v>
      </c>
      <c r="M6637">
        <v>68021000</v>
      </c>
      <c r="O6637" t="s">
        <v>20113</v>
      </c>
      <c r="P6637" t="s">
        <v>19899</v>
      </c>
      <c r="Q6637" t="s">
        <v>19909</v>
      </c>
      <c r="R6637" t="s">
        <v>19905</v>
      </c>
      <c r="S6637" t="s">
        <v>19906</v>
      </c>
      <c r="T6637" t="s">
        <v>19918</v>
      </c>
    </row>
    <row r="6638" spans="2:20" x14ac:dyDescent="0.25">
      <c r="B6638" t="s">
        <v>2709</v>
      </c>
      <c r="C6638">
        <v>68022100</v>
      </c>
      <c r="E6638">
        <v>71</v>
      </c>
      <c r="F6638">
        <v>18</v>
      </c>
      <c r="G6638">
        <v>5</v>
      </c>
      <c r="H6638">
        <v>7.6</v>
      </c>
      <c r="I6638">
        <v>1.65</v>
      </c>
      <c r="J6638">
        <v>8</v>
      </c>
      <c r="L6638" t="s">
        <v>2709</v>
      </c>
      <c r="M6638">
        <v>68022100</v>
      </c>
      <c r="O6638" t="s">
        <v>20113</v>
      </c>
      <c r="P6638" t="s">
        <v>19899</v>
      </c>
      <c r="Q6638" t="s">
        <v>19909</v>
      </c>
      <c r="R6638" t="s">
        <v>19905</v>
      </c>
      <c r="S6638" t="s">
        <v>19906</v>
      </c>
      <c r="T6638" t="s">
        <v>19918</v>
      </c>
    </row>
    <row r="6639" spans="2:20" x14ac:dyDescent="0.25">
      <c r="B6639" t="s">
        <v>2709</v>
      </c>
      <c r="C6639">
        <v>68022300</v>
      </c>
      <c r="E6639">
        <v>71</v>
      </c>
      <c r="F6639">
        <v>18</v>
      </c>
      <c r="G6639">
        <v>5</v>
      </c>
      <c r="H6639">
        <v>7.6</v>
      </c>
      <c r="I6639">
        <v>1.65</v>
      </c>
      <c r="J6639">
        <v>6</v>
      </c>
      <c r="L6639" t="s">
        <v>2709</v>
      </c>
      <c r="M6639">
        <v>68022300</v>
      </c>
      <c r="O6639" t="s">
        <v>20113</v>
      </c>
      <c r="P6639" t="s">
        <v>19899</v>
      </c>
      <c r="Q6639" t="s">
        <v>19909</v>
      </c>
      <c r="R6639" t="s">
        <v>19905</v>
      </c>
      <c r="S6639" t="s">
        <v>19906</v>
      </c>
      <c r="T6639" t="s">
        <v>19907</v>
      </c>
    </row>
    <row r="6640" spans="2:20" x14ac:dyDescent="0.25">
      <c r="B6640" t="s">
        <v>2709</v>
      </c>
      <c r="C6640">
        <v>68022900</v>
      </c>
      <c r="E6640">
        <v>71</v>
      </c>
      <c r="F6640">
        <v>18</v>
      </c>
      <c r="G6640">
        <v>5</v>
      </c>
      <c r="H6640">
        <v>7.6</v>
      </c>
      <c r="I6640">
        <v>1.65</v>
      </c>
      <c r="J6640">
        <v>6</v>
      </c>
      <c r="L6640" t="s">
        <v>2709</v>
      </c>
      <c r="M6640">
        <v>68022900</v>
      </c>
      <c r="O6640" t="s">
        <v>20113</v>
      </c>
      <c r="P6640" t="s">
        <v>19899</v>
      </c>
      <c r="Q6640" t="s">
        <v>19909</v>
      </c>
      <c r="R6640" t="s">
        <v>19905</v>
      </c>
      <c r="S6640" t="s">
        <v>19906</v>
      </c>
      <c r="T6640" t="s">
        <v>19907</v>
      </c>
    </row>
    <row r="6641" spans="2:20" x14ac:dyDescent="0.25">
      <c r="B6641" t="s">
        <v>2709</v>
      </c>
      <c r="C6641">
        <v>68029100</v>
      </c>
      <c r="E6641">
        <v>71</v>
      </c>
      <c r="F6641">
        <v>18</v>
      </c>
      <c r="G6641">
        <v>5</v>
      </c>
      <c r="H6641">
        <v>7.6</v>
      </c>
      <c r="I6641">
        <v>1.65</v>
      </c>
      <c r="J6641">
        <v>6</v>
      </c>
      <c r="L6641" t="s">
        <v>2709</v>
      </c>
      <c r="M6641">
        <v>68029100</v>
      </c>
      <c r="O6641" t="s">
        <v>20113</v>
      </c>
      <c r="P6641" t="s">
        <v>19899</v>
      </c>
      <c r="Q6641" t="s">
        <v>19909</v>
      </c>
      <c r="R6641" t="s">
        <v>19905</v>
      </c>
      <c r="S6641" t="s">
        <v>19906</v>
      </c>
      <c r="T6641" t="s">
        <v>19907</v>
      </c>
    </row>
    <row r="6642" spans="2:20" x14ac:dyDescent="0.25">
      <c r="B6642" t="s">
        <v>2709</v>
      </c>
      <c r="C6642">
        <v>68029200</v>
      </c>
      <c r="E6642">
        <v>71</v>
      </c>
      <c r="F6642">
        <v>18</v>
      </c>
      <c r="G6642">
        <v>5</v>
      </c>
      <c r="H6642">
        <v>7.6</v>
      </c>
      <c r="I6642">
        <v>1.65</v>
      </c>
      <c r="J6642">
        <v>6</v>
      </c>
      <c r="L6642" t="s">
        <v>2709</v>
      </c>
      <c r="M6642">
        <v>68029200</v>
      </c>
      <c r="O6642" t="s">
        <v>20113</v>
      </c>
      <c r="P6642" t="s">
        <v>19899</v>
      </c>
      <c r="Q6642" t="s">
        <v>19909</v>
      </c>
      <c r="R6642" t="s">
        <v>19905</v>
      </c>
      <c r="S6642" t="s">
        <v>19906</v>
      </c>
      <c r="T6642" t="s">
        <v>19907</v>
      </c>
    </row>
    <row r="6643" spans="2:20" x14ac:dyDescent="0.25">
      <c r="B6643" t="s">
        <v>2709</v>
      </c>
      <c r="C6643">
        <v>68029310</v>
      </c>
      <c r="E6643">
        <v>71</v>
      </c>
      <c r="F6643">
        <v>18</v>
      </c>
      <c r="G6643">
        <v>5</v>
      </c>
      <c r="H6643">
        <v>7.6</v>
      </c>
      <c r="I6643">
        <v>1.65</v>
      </c>
      <c r="J6643">
        <v>6</v>
      </c>
      <c r="L6643" t="s">
        <v>2709</v>
      </c>
      <c r="M6643">
        <v>68029310</v>
      </c>
      <c r="O6643" t="s">
        <v>20113</v>
      </c>
      <c r="P6643" t="s">
        <v>19899</v>
      </c>
      <c r="Q6643" t="s">
        <v>19909</v>
      </c>
      <c r="R6643" t="s">
        <v>19905</v>
      </c>
      <c r="S6643" t="s">
        <v>19906</v>
      </c>
      <c r="T6643" t="s">
        <v>19907</v>
      </c>
    </row>
    <row r="6644" spans="2:20" x14ac:dyDescent="0.25">
      <c r="B6644" t="s">
        <v>2709</v>
      </c>
      <c r="C6644">
        <v>68029390</v>
      </c>
      <c r="E6644">
        <v>71</v>
      </c>
      <c r="F6644">
        <v>18</v>
      </c>
      <c r="G6644">
        <v>5</v>
      </c>
      <c r="H6644">
        <v>7.6</v>
      </c>
      <c r="I6644">
        <v>1.65</v>
      </c>
      <c r="J6644">
        <v>6</v>
      </c>
      <c r="L6644" t="s">
        <v>2709</v>
      </c>
      <c r="M6644">
        <v>68029390</v>
      </c>
      <c r="O6644" t="s">
        <v>20113</v>
      </c>
      <c r="P6644" t="s">
        <v>19899</v>
      </c>
      <c r="Q6644" t="s">
        <v>19909</v>
      </c>
      <c r="R6644" t="s">
        <v>19905</v>
      </c>
      <c r="S6644" t="s">
        <v>19906</v>
      </c>
      <c r="T6644" t="s">
        <v>19907</v>
      </c>
    </row>
    <row r="6645" spans="2:20" x14ac:dyDescent="0.25">
      <c r="B6645" t="s">
        <v>2709</v>
      </c>
      <c r="C6645">
        <v>68029910</v>
      </c>
      <c r="E6645">
        <v>71</v>
      </c>
      <c r="F6645">
        <v>18</v>
      </c>
      <c r="G6645">
        <v>5</v>
      </c>
      <c r="H6645">
        <v>7.6</v>
      </c>
      <c r="I6645">
        <v>1.65</v>
      </c>
      <c r="J6645">
        <v>6</v>
      </c>
      <c r="L6645" t="s">
        <v>2709</v>
      </c>
      <c r="M6645">
        <v>68029910</v>
      </c>
      <c r="O6645" t="s">
        <v>20113</v>
      </c>
      <c r="P6645" t="s">
        <v>19899</v>
      </c>
      <c r="Q6645" t="s">
        <v>19909</v>
      </c>
      <c r="R6645" t="s">
        <v>19905</v>
      </c>
      <c r="S6645" t="s">
        <v>19906</v>
      </c>
      <c r="T6645" t="s">
        <v>19907</v>
      </c>
    </row>
    <row r="6646" spans="2:20" x14ac:dyDescent="0.25">
      <c r="B6646" t="s">
        <v>2709</v>
      </c>
      <c r="C6646">
        <v>68029990</v>
      </c>
      <c r="E6646">
        <v>71</v>
      </c>
      <c r="F6646">
        <v>18</v>
      </c>
      <c r="G6646">
        <v>5</v>
      </c>
      <c r="H6646">
        <v>7.6</v>
      </c>
      <c r="I6646">
        <v>1.65</v>
      </c>
      <c r="J6646">
        <v>6</v>
      </c>
      <c r="L6646" t="s">
        <v>2709</v>
      </c>
      <c r="M6646">
        <v>68029990</v>
      </c>
      <c r="O6646" t="s">
        <v>20113</v>
      </c>
      <c r="P6646" t="s">
        <v>19899</v>
      </c>
      <c r="Q6646" t="s">
        <v>19909</v>
      </c>
      <c r="R6646" t="s">
        <v>19905</v>
      </c>
      <c r="S6646" t="s">
        <v>19906</v>
      </c>
      <c r="T6646" t="s">
        <v>19907</v>
      </c>
    </row>
    <row r="6647" spans="2:20" x14ac:dyDescent="0.25">
      <c r="B6647" t="s">
        <v>2709</v>
      </c>
      <c r="C6647">
        <v>68030000</v>
      </c>
      <c r="E6647">
        <v>59</v>
      </c>
      <c r="F6647">
        <v>18</v>
      </c>
      <c r="G6647">
        <v>5</v>
      </c>
      <c r="H6647">
        <v>7.6</v>
      </c>
      <c r="I6647">
        <v>1.65</v>
      </c>
      <c r="J6647">
        <v>6</v>
      </c>
      <c r="L6647" t="s">
        <v>2709</v>
      </c>
      <c r="M6647">
        <v>68030000</v>
      </c>
      <c r="O6647" t="s">
        <v>20002</v>
      </c>
      <c r="P6647" t="s">
        <v>19899</v>
      </c>
      <c r="Q6647" t="s">
        <v>19909</v>
      </c>
      <c r="R6647" t="s">
        <v>19905</v>
      </c>
      <c r="S6647" t="s">
        <v>19906</v>
      </c>
      <c r="T6647" t="s">
        <v>19907</v>
      </c>
    </row>
    <row r="6648" spans="2:20" x14ac:dyDescent="0.25">
      <c r="B6648" t="s">
        <v>2709</v>
      </c>
      <c r="C6648">
        <v>68041000</v>
      </c>
      <c r="E6648">
        <v>53</v>
      </c>
      <c r="F6648">
        <v>18</v>
      </c>
      <c r="G6648">
        <v>0</v>
      </c>
      <c r="H6648">
        <v>7.6</v>
      </c>
      <c r="I6648">
        <v>1.65</v>
      </c>
      <c r="J6648">
        <v>6</v>
      </c>
      <c r="L6648" t="s">
        <v>2709</v>
      </c>
      <c r="M6648">
        <v>68041000</v>
      </c>
      <c r="O6648" t="s">
        <v>20037</v>
      </c>
      <c r="P6648" t="s">
        <v>19899</v>
      </c>
      <c r="Q6648" t="s">
        <v>19900</v>
      </c>
      <c r="R6648" t="s">
        <v>19905</v>
      </c>
      <c r="S6648" t="s">
        <v>19906</v>
      </c>
      <c r="T6648" t="s">
        <v>19907</v>
      </c>
    </row>
    <row r="6649" spans="2:20" x14ac:dyDescent="0.25">
      <c r="B6649" t="s">
        <v>2709</v>
      </c>
      <c r="C6649">
        <v>68042111</v>
      </c>
      <c r="E6649">
        <v>53</v>
      </c>
      <c r="F6649">
        <v>18</v>
      </c>
      <c r="G6649">
        <v>0</v>
      </c>
      <c r="H6649">
        <v>7.6</v>
      </c>
      <c r="I6649">
        <v>1.65</v>
      </c>
      <c r="J6649">
        <v>6</v>
      </c>
      <c r="L6649" t="s">
        <v>2709</v>
      </c>
      <c r="M6649">
        <v>68042111</v>
      </c>
      <c r="O6649" t="s">
        <v>20037</v>
      </c>
      <c r="P6649" t="s">
        <v>19899</v>
      </c>
      <c r="Q6649" t="s">
        <v>19900</v>
      </c>
      <c r="R6649" t="s">
        <v>19905</v>
      </c>
      <c r="S6649" t="s">
        <v>19906</v>
      </c>
      <c r="T6649" t="s">
        <v>19907</v>
      </c>
    </row>
    <row r="6650" spans="2:20" x14ac:dyDescent="0.25">
      <c r="B6650" t="s">
        <v>2709</v>
      </c>
      <c r="C6650">
        <v>68042119</v>
      </c>
      <c r="E6650">
        <v>53</v>
      </c>
      <c r="F6650">
        <v>18</v>
      </c>
      <c r="G6650">
        <v>0</v>
      </c>
      <c r="H6650">
        <v>7.6</v>
      </c>
      <c r="I6650">
        <v>1.65</v>
      </c>
      <c r="J6650">
        <v>6</v>
      </c>
      <c r="L6650" t="s">
        <v>2709</v>
      </c>
      <c r="M6650">
        <v>68042119</v>
      </c>
      <c r="O6650" t="s">
        <v>20037</v>
      </c>
      <c r="P6650" t="s">
        <v>19899</v>
      </c>
      <c r="Q6650" t="s">
        <v>19900</v>
      </c>
      <c r="R6650" t="s">
        <v>19905</v>
      </c>
      <c r="S6650" t="s">
        <v>19906</v>
      </c>
      <c r="T6650" t="s">
        <v>19907</v>
      </c>
    </row>
    <row r="6651" spans="2:20" x14ac:dyDescent="0.25">
      <c r="B6651" t="s">
        <v>2709</v>
      </c>
      <c r="C6651">
        <v>68042190</v>
      </c>
      <c r="E6651">
        <v>53</v>
      </c>
      <c r="F6651">
        <v>18</v>
      </c>
      <c r="G6651">
        <v>0</v>
      </c>
      <c r="H6651">
        <v>7.6</v>
      </c>
      <c r="I6651">
        <v>1.65</v>
      </c>
      <c r="J6651">
        <v>6</v>
      </c>
      <c r="L6651" t="s">
        <v>2709</v>
      </c>
      <c r="M6651">
        <v>68042190</v>
      </c>
      <c r="O6651" t="s">
        <v>20037</v>
      </c>
      <c r="P6651" t="s">
        <v>19899</v>
      </c>
      <c r="Q6651" t="s">
        <v>19900</v>
      </c>
      <c r="R6651" t="s">
        <v>19905</v>
      </c>
      <c r="S6651" t="s">
        <v>19906</v>
      </c>
      <c r="T6651" t="s">
        <v>19907</v>
      </c>
    </row>
    <row r="6652" spans="2:20" x14ac:dyDescent="0.25">
      <c r="B6652" t="s">
        <v>2709</v>
      </c>
      <c r="C6652">
        <v>68042211</v>
      </c>
      <c r="E6652">
        <v>53</v>
      </c>
      <c r="F6652">
        <v>18</v>
      </c>
      <c r="G6652">
        <v>0</v>
      </c>
      <c r="H6652">
        <v>7.6</v>
      </c>
      <c r="I6652">
        <v>1.65</v>
      </c>
      <c r="J6652">
        <v>6</v>
      </c>
      <c r="L6652" t="s">
        <v>2709</v>
      </c>
      <c r="M6652">
        <v>68042211</v>
      </c>
      <c r="O6652" t="s">
        <v>20037</v>
      </c>
      <c r="P6652" t="s">
        <v>19899</v>
      </c>
      <c r="Q6652" t="s">
        <v>19900</v>
      </c>
      <c r="R6652" t="s">
        <v>19905</v>
      </c>
      <c r="S6652" t="s">
        <v>19906</v>
      </c>
      <c r="T6652" t="s">
        <v>19907</v>
      </c>
    </row>
    <row r="6653" spans="2:20" x14ac:dyDescent="0.25">
      <c r="B6653" t="s">
        <v>2709</v>
      </c>
      <c r="C6653">
        <v>68042219</v>
      </c>
      <c r="E6653">
        <v>53</v>
      </c>
      <c r="F6653">
        <v>18</v>
      </c>
      <c r="G6653">
        <v>0</v>
      </c>
      <c r="H6653">
        <v>7.6</v>
      </c>
      <c r="I6653">
        <v>1.65</v>
      </c>
      <c r="J6653">
        <v>6</v>
      </c>
      <c r="L6653" t="s">
        <v>2709</v>
      </c>
      <c r="M6653">
        <v>68042219</v>
      </c>
      <c r="O6653" t="s">
        <v>20037</v>
      </c>
      <c r="P6653" t="s">
        <v>19899</v>
      </c>
      <c r="Q6653" t="s">
        <v>19900</v>
      </c>
      <c r="R6653" t="s">
        <v>19905</v>
      </c>
      <c r="S6653" t="s">
        <v>19906</v>
      </c>
      <c r="T6653" t="s">
        <v>19907</v>
      </c>
    </row>
    <row r="6654" spans="2:20" x14ac:dyDescent="0.25">
      <c r="B6654" t="s">
        <v>2709</v>
      </c>
      <c r="C6654">
        <v>68042290</v>
      </c>
      <c r="E6654">
        <v>53</v>
      </c>
      <c r="F6654">
        <v>18</v>
      </c>
      <c r="G6654">
        <v>0</v>
      </c>
      <c r="H6654">
        <v>7.6</v>
      </c>
      <c r="I6654">
        <v>1.65</v>
      </c>
      <c r="J6654">
        <v>6</v>
      </c>
      <c r="L6654" t="s">
        <v>2709</v>
      </c>
      <c r="M6654">
        <v>68042290</v>
      </c>
      <c r="O6654" t="s">
        <v>20037</v>
      </c>
      <c r="P6654" t="s">
        <v>19899</v>
      </c>
      <c r="Q6654" t="s">
        <v>19900</v>
      </c>
      <c r="R6654" t="s">
        <v>19905</v>
      </c>
      <c r="S6654" t="s">
        <v>19906</v>
      </c>
      <c r="T6654" t="s">
        <v>19907</v>
      </c>
    </row>
    <row r="6655" spans="2:20" x14ac:dyDescent="0.25">
      <c r="B6655" t="s">
        <v>2709</v>
      </c>
      <c r="C6655">
        <v>68042300</v>
      </c>
      <c r="E6655">
        <v>53</v>
      </c>
      <c r="F6655">
        <v>18</v>
      </c>
      <c r="G6655">
        <v>0</v>
      </c>
      <c r="H6655">
        <v>7.6</v>
      </c>
      <c r="I6655">
        <v>1.65</v>
      </c>
      <c r="J6655">
        <v>6</v>
      </c>
      <c r="L6655" t="s">
        <v>2709</v>
      </c>
      <c r="M6655">
        <v>68042300</v>
      </c>
      <c r="O6655" t="s">
        <v>20037</v>
      </c>
      <c r="P6655" t="s">
        <v>19899</v>
      </c>
      <c r="Q6655" t="s">
        <v>19900</v>
      </c>
      <c r="R6655" t="s">
        <v>19905</v>
      </c>
      <c r="S6655" t="s">
        <v>19906</v>
      </c>
      <c r="T6655" t="s">
        <v>19907</v>
      </c>
    </row>
    <row r="6656" spans="2:20" x14ac:dyDescent="0.25">
      <c r="B6656" t="s">
        <v>2709</v>
      </c>
      <c r="C6656">
        <v>68043000</v>
      </c>
      <c r="E6656">
        <v>53</v>
      </c>
      <c r="F6656">
        <v>18</v>
      </c>
      <c r="G6656">
        <v>0</v>
      </c>
      <c r="H6656">
        <v>7.6</v>
      </c>
      <c r="I6656">
        <v>1.65</v>
      </c>
      <c r="J6656">
        <v>6</v>
      </c>
      <c r="L6656" t="s">
        <v>2709</v>
      </c>
      <c r="M6656">
        <v>68043000</v>
      </c>
      <c r="O6656" t="s">
        <v>20037</v>
      </c>
      <c r="P6656" t="s">
        <v>19899</v>
      </c>
      <c r="Q6656" t="s">
        <v>19900</v>
      </c>
      <c r="R6656" t="s">
        <v>19905</v>
      </c>
      <c r="S6656" t="s">
        <v>19906</v>
      </c>
      <c r="T6656" t="s">
        <v>19907</v>
      </c>
    </row>
    <row r="6657" spans="2:20" x14ac:dyDescent="0.25">
      <c r="B6657" t="s">
        <v>2709</v>
      </c>
      <c r="C6657">
        <v>68051000</v>
      </c>
      <c r="E6657">
        <v>67</v>
      </c>
      <c r="F6657">
        <v>18</v>
      </c>
      <c r="G6657">
        <v>0</v>
      </c>
      <c r="H6657">
        <v>7.6</v>
      </c>
      <c r="I6657">
        <v>1.65</v>
      </c>
      <c r="J6657">
        <v>10</v>
      </c>
      <c r="L6657" t="s">
        <v>2709</v>
      </c>
      <c r="M6657">
        <v>68051000</v>
      </c>
      <c r="O6657" t="s">
        <v>20114</v>
      </c>
      <c r="P6657" t="s">
        <v>19899</v>
      </c>
      <c r="Q6657" t="s">
        <v>19900</v>
      </c>
      <c r="R6657" t="s">
        <v>19905</v>
      </c>
      <c r="S6657" t="s">
        <v>19906</v>
      </c>
      <c r="T6657" t="s">
        <v>19904</v>
      </c>
    </row>
    <row r="6658" spans="2:20" x14ac:dyDescent="0.25">
      <c r="B6658" t="s">
        <v>2709</v>
      </c>
      <c r="C6658">
        <v>68052000</v>
      </c>
      <c r="E6658">
        <v>67</v>
      </c>
      <c r="F6658">
        <v>18</v>
      </c>
      <c r="G6658">
        <v>0</v>
      </c>
      <c r="H6658">
        <v>7.6</v>
      </c>
      <c r="I6658">
        <v>1.65</v>
      </c>
      <c r="J6658">
        <v>10</v>
      </c>
      <c r="L6658" t="s">
        <v>2709</v>
      </c>
      <c r="M6658">
        <v>68052000</v>
      </c>
      <c r="O6658" t="s">
        <v>20114</v>
      </c>
      <c r="P6658" t="s">
        <v>19899</v>
      </c>
      <c r="Q6658" t="s">
        <v>19900</v>
      </c>
      <c r="R6658" t="s">
        <v>19905</v>
      </c>
      <c r="S6658" t="s">
        <v>19906</v>
      </c>
      <c r="T6658" t="s">
        <v>19904</v>
      </c>
    </row>
    <row r="6659" spans="2:20" x14ac:dyDescent="0.25">
      <c r="B6659" t="s">
        <v>2709</v>
      </c>
      <c r="C6659">
        <v>68053010</v>
      </c>
      <c r="E6659">
        <v>67</v>
      </c>
      <c r="F6659">
        <v>18</v>
      </c>
      <c r="G6659">
        <v>0</v>
      </c>
      <c r="H6659">
        <v>7.6</v>
      </c>
      <c r="I6659">
        <v>1.65</v>
      </c>
      <c r="J6659">
        <v>10</v>
      </c>
      <c r="L6659" t="s">
        <v>2709</v>
      </c>
      <c r="M6659">
        <v>68053010</v>
      </c>
      <c r="O6659" t="s">
        <v>20114</v>
      </c>
      <c r="P6659" t="s">
        <v>19899</v>
      </c>
      <c r="Q6659" t="s">
        <v>19900</v>
      </c>
      <c r="R6659" t="s">
        <v>19905</v>
      </c>
      <c r="S6659" t="s">
        <v>19906</v>
      </c>
      <c r="T6659" t="s">
        <v>19904</v>
      </c>
    </row>
    <row r="6660" spans="2:20" x14ac:dyDescent="0.25">
      <c r="B6660" t="s">
        <v>2709</v>
      </c>
      <c r="C6660">
        <v>68053020</v>
      </c>
      <c r="E6660">
        <v>67</v>
      </c>
      <c r="F6660">
        <v>18</v>
      </c>
      <c r="G6660">
        <v>0</v>
      </c>
      <c r="H6660">
        <v>7.6</v>
      </c>
      <c r="I6660">
        <v>1.65</v>
      </c>
      <c r="J6660">
        <v>10</v>
      </c>
      <c r="L6660" t="s">
        <v>2709</v>
      </c>
      <c r="M6660">
        <v>68053020</v>
      </c>
      <c r="O6660" t="s">
        <v>20114</v>
      </c>
      <c r="P6660" t="s">
        <v>19899</v>
      </c>
      <c r="Q6660" t="s">
        <v>19900</v>
      </c>
      <c r="R6660" t="s">
        <v>19905</v>
      </c>
      <c r="S6660" t="s">
        <v>19906</v>
      </c>
      <c r="T6660" t="s">
        <v>19904</v>
      </c>
    </row>
    <row r="6661" spans="2:20" x14ac:dyDescent="0.25">
      <c r="B6661" t="s">
        <v>2709</v>
      </c>
      <c r="C6661">
        <v>68053090</v>
      </c>
      <c r="E6661">
        <v>67</v>
      </c>
      <c r="F6661">
        <v>18</v>
      </c>
      <c r="G6661">
        <v>0</v>
      </c>
      <c r="H6661">
        <v>7.6</v>
      </c>
      <c r="I6661">
        <v>1.65</v>
      </c>
      <c r="J6661">
        <v>10</v>
      </c>
      <c r="L6661" t="s">
        <v>2709</v>
      </c>
      <c r="M6661">
        <v>68053090</v>
      </c>
      <c r="O6661" t="s">
        <v>20114</v>
      </c>
      <c r="P6661" t="s">
        <v>19899</v>
      </c>
      <c r="Q6661" t="s">
        <v>19900</v>
      </c>
      <c r="R6661" t="s">
        <v>19905</v>
      </c>
      <c r="S6661" t="s">
        <v>19906</v>
      </c>
      <c r="T6661" t="s">
        <v>19904</v>
      </c>
    </row>
    <row r="6662" spans="2:20" x14ac:dyDescent="0.25">
      <c r="B6662" t="s">
        <v>2709</v>
      </c>
      <c r="C6662">
        <v>68061000</v>
      </c>
      <c r="E6662">
        <v>71.78</v>
      </c>
      <c r="F6662">
        <v>18</v>
      </c>
      <c r="G6662">
        <v>0</v>
      </c>
      <c r="H6662">
        <v>7.6</v>
      </c>
      <c r="I6662">
        <v>1.65</v>
      </c>
      <c r="J6662">
        <v>8</v>
      </c>
      <c r="L6662" t="s">
        <v>2709</v>
      </c>
      <c r="M6662">
        <v>68061000</v>
      </c>
      <c r="O6662" t="s">
        <v>20056</v>
      </c>
      <c r="P6662" t="s">
        <v>19899</v>
      </c>
      <c r="Q6662" t="s">
        <v>19900</v>
      </c>
      <c r="R6662" t="s">
        <v>19905</v>
      </c>
      <c r="S6662" t="s">
        <v>19906</v>
      </c>
      <c r="T6662" t="s">
        <v>19918</v>
      </c>
    </row>
    <row r="6663" spans="2:20" x14ac:dyDescent="0.25">
      <c r="B6663" t="s">
        <v>2709</v>
      </c>
      <c r="C6663">
        <v>68061000</v>
      </c>
      <c r="D6663">
        <v>1</v>
      </c>
      <c r="E6663" t="s">
        <v>19447</v>
      </c>
      <c r="F6663">
        <v>18</v>
      </c>
      <c r="G6663">
        <v>10</v>
      </c>
      <c r="H6663">
        <v>7.6</v>
      </c>
      <c r="I6663">
        <v>1.65</v>
      </c>
      <c r="J6663">
        <v>8</v>
      </c>
      <c r="L6663" t="s">
        <v>2709</v>
      </c>
      <c r="M6663">
        <v>68061000</v>
      </c>
      <c r="N6663">
        <v>1</v>
      </c>
      <c r="O6663" t="s">
        <v>19447</v>
      </c>
      <c r="P6663" t="s">
        <v>19899</v>
      </c>
      <c r="Q6663" t="s">
        <v>19904</v>
      </c>
      <c r="R6663" t="s">
        <v>19905</v>
      </c>
      <c r="S6663" t="s">
        <v>19906</v>
      </c>
      <c r="T6663" t="s">
        <v>19918</v>
      </c>
    </row>
    <row r="6664" spans="2:20" x14ac:dyDescent="0.25">
      <c r="B6664" t="s">
        <v>2709</v>
      </c>
      <c r="C6664">
        <v>68062000</v>
      </c>
      <c r="E6664">
        <v>71.78</v>
      </c>
      <c r="F6664">
        <v>18</v>
      </c>
      <c r="G6664">
        <v>0</v>
      </c>
      <c r="H6664">
        <v>7.6</v>
      </c>
      <c r="I6664">
        <v>1.65</v>
      </c>
      <c r="J6664">
        <v>8</v>
      </c>
      <c r="L6664" t="s">
        <v>2709</v>
      </c>
      <c r="M6664">
        <v>68062000</v>
      </c>
      <c r="O6664" t="s">
        <v>20056</v>
      </c>
      <c r="P6664" t="s">
        <v>19899</v>
      </c>
      <c r="Q6664" t="s">
        <v>19900</v>
      </c>
      <c r="R6664" t="s">
        <v>19905</v>
      </c>
      <c r="S6664" t="s">
        <v>19906</v>
      </c>
      <c r="T6664" t="s">
        <v>19918</v>
      </c>
    </row>
    <row r="6665" spans="2:20" x14ac:dyDescent="0.25">
      <c r="B6665" t="s">
        <v>2709</v>
      </c>
      <c r="C6665">
        <v>68069010</v>
      </c>
      <c r="E6665">
        <v>71.78</v>
      </c>
      <c r="F6665">
        <v>18</v>
      </c>
      <c r="G6665">
        <v>0</v>
      </c>
      <c r="H6665">
        <v>7.6</v>
      </c>
      <c r="I6665">
        <v>1.65</v>
      </c>
      <c r="J6665">
        <v>8</v>
      </c>
      <c r="L6665" t="s">
        <v>2709</v>
      </c>
      <c r="M6665">
        <v>68069010</v>
      </c>
      <c r="O6665" t="s">
        <v>20056</v>
      </c>
      <c r="P6665" t="s">
        <v>19899</v>
      </c>
      <c r="Q6665" t="s">
        <v>19900</v>
      </c>
      <c r="R6665" t="s">
        <v>19905</v>
      </c>
      <c r="S6665" t="s">
        <v>19906</v>
      </c>
      <c r="T6665" t="s">
        <v>19918</v>
      </c>
    </row>
    <row r="6666" spans="2:20" x14ac:dyDescent="0.25">
      <c r="B6666" t="s">
        <v>2709</v>
      </c>
      <c r="C6666">
        <v>68069090</v>
      </c>
      <c r="E6666">
        <v>71.78</v>
      </c>
      <c r="F6666">
        <v>18</v>
      </c>
      <c r="G6666">
        <v>0</v>
      </c>
      <c r="H6666">
        <v>7.6</v>
      </c>
      <c r="I6666">
        <v>1.65</v>
      </c>
      <c r="J6666">
        <v>8</v>
      </c>
      <c r="L6666" t="s">
        <v>2709</v>
      </c>
      <c r="M6666">
        <v>68069090</v>
      </c>
      <c r="O6666" t="s">
        <v>20056</v>
      </c>
      <c r="P6666" t="s">
        <v>19899</v>
      </c>
      <c r="Q6666" t="s">
        <v>19900</v>
      </c>
      <c r="R6666" t="s">
        <v>19905</v>
      </c>
      <c r="S6666" t="s">
        <v>19906</v>
      </c>
      <c r="T6666" t="s">
        <v>19918</v>
      </c>
    </row>
    <row r="6667" spans="2:20" x14ac:dyDescent="0.25">
      <c r="B6667" t="s">
        <v>2709</v>
      </c>
      <c r="C6667">
        <v>68069090</v>
      </c>
      <c r="D6667">
        <v>1</v>
      </c>
      <c r="E6667" t="s">
        <v>19447</v>
      </c>
      <c r="F6667">
        <v>18</v>
      </c>
      <c r="G6667">
        <v>10</v>
      </c>
      <c r="H6667">
        <v>7.6</v>
      </c>
      <c r="I6667">
        <v>1.65</v>
      </c>
      <c r="J6667">
        <v>8</v>
      </c>
      <c r="L6667" t="s">
        <v>2709</v>
      </c>
      <c r="M6667">
        <v>68069090</v>
      </c>
      <c r="N6667">
        <v>1</v>
      </c>
      <c r="O6667" t="s">
        <v>19447</v>
      </c>
      <c r="P6667" t="s">
        <v>19899</v>
      </c>
      <c r="Q6667" t="s">
        <v>19904</v>
      </c>
      <c r="R6667" t="s">
        <v>19905</v>
      </c>
      <c r="S6667" t="s">
        <v>19906</v>
      </c>
      <c r="T6667" t="s">
        <v>19918</v>
      </c>
    </row>
    <row r="6668" spans="2:20" x14ac:dyDescent="0.25">
      <c r="B6668" t="s">
        <v>2709</v>
      </c>
      <c r="C6668">
        <v>68071000</v>
      </c>
      <c r="E6668">
        <v>38</v>
      </c>
      <c r="F6668">
        <v>18</v>
      </c>
      <c r="G6668">
        <v>5</v>
      </c>
      <c r="H6668">
        <v>7.6</v>
      </c>
      <c r="I6668">
        <v>1.65</v>
      </c>
      <c r="J6668">
        <v>8</v>
      </c>
      <c r="L6668" t="s">
        <v>2709</v>
      </c>
      <c r="M6668">
        <v>68071000</v>
      </c>
      <c r="O6668" t="s">
        <v>20008</v>
      </c>
      <c r="P6668" t="s">
        <v>19899</v>
      </c>
      <c r="Q6668" t="s">
        <v>19909</v>
      </c>
      <c r="R6668" t="s">
        <v>19905</v>
      </c>
      <c r="S6668" t="s">
        <v>19906</v>
      </c>
      <c r="T6668" t="s">
        <v>19918</v>
      </c>
    </row>
    <row r="6669" spans="2:20" x14ac:dyDescent="0.25">
      <c r="B6669" t="s">
        <v>2709</v>
      </c>
      <c r="C6669">
        <v>68079000</v>
      </c>
      <c r="E6669">
        <v>38</v>
      </c>
      <c r="F6669">
        <v>18</v>
      </c>
      <c r="G6669">
        <v>5</v>
      </c>
      <c r="H6669">
        <v>7.6</v>
      </c>
      <c r="I6669">
        <v>1.65</v>
      </c>
      <c r="J6669">
        <v>8</v>
      </c>
      <c r="L6669" t="s">
        <v>2709</v>
      </c>
      <c r="M6669">
        <v>68079000</v>
      </c>
      <c r="O6669" t="s">
        <v>20008</v>
      </c>
      <c r="P6669" t="s">
        <v>19899</v>
      </c>
      <c r="Q6669" t="s">
        <v>19909</v>
      </c>
      <c r="R6669" t="s">
        <v>19905</v>
      </c>
      <c r="S6669" t="s">
        <v>19906</v>
      </c>
      <c r="T6669" t="s">
        <v>19918</v>
      </c>
    </row>
    <row r="6670" spans="2:20" x14ac:dyDescent="0.25">
      <c r="B6670" t="s">
        <v>2709</v>
      </c>
      <c r="C6670">
        <v>68079000</v>
      </c>
      <c r="D6670">
        <v>1</v>
      </c>
      <c r="E6670" t="s">
        <v>19447</v>
      </c>
      <c r="F6670">
        <v>18</v>
      </c>
      <c r="G6670">
        <v>0</v>
      </c>
      <c r="H6670">
        <v>7.6</v>
      </c>
      <c r="I6670">
        <v>1.65</v>
      </c>
      <c r="J6670">
        <v>8</v>
      </c>
      <c r="L6670" t="s">
        <v>2709</v>
      </c>
      <c r="M6670">
        <v>68079000</v>
      </c>
      <c r="N6670">
        <v>1</v>
      </c>
      <c r="O6670" t="s">
        <v>19447</v>
      </c>
      <c r="P6670" t="s">
        <v>19899</v>
      </c>
      <c r="Q6670" t="s">
        <v>19900</v>
      </c>
      <c r="R6670" t="s">
        <v>19905</v>
      </c>
      <c r="S6670" t="s">
        <v>19906</v>
      </c>
      <c r="T6670" t="s">
        <v>19918</v>
      </c>
    </row>
    <row r="6671" spans="2:20" x14ac:dyDescent="0.25">
      <c r="B6671" t="s">
        <v>2709</v>
      </c>
      <c r="C6671">
        <v>68080000</v>
      </c>
      <c r="E6671">
        <v>101</v>
      </c>
      <c r="F6671">
        <v>18</v>
      </c>
      <c r="G6671">
        <v>10</v>
      </c>
      <c r="H6671">
        <v>7.6</v>
      </c>
      <c r="I6671">
        <v>1.65</v>
      </c>
      <c r="J6671">
        <v>8</v>
      </c>
      <c r="L6671" t="s">
        <v>2709</v>
      </c>
      <c r="M6671">
        <v>68080000</v>
      </c>
      <c r="O6671" t="s">
        <v>20081</v>
      </c>
      <c r="P6671" t="s">
        <v>19899</v>
      </c>
      <c r="Q6671" t="s">
        <v>19904</v>
      </c>
      <c r="R6671" t="s">
        <v>19905</v>
      </c>
      <c r="S6671" t="s">
        <v>19906</v>
      </c>
      <c r="T6671" t="s">
        <v>19918</v>
      </c>
    </row>
    <row r="6672" spans="2:20" x14ac:dyDescent="0.25">
      <c r="B6672" t="s">
        <v>2709</v>
      </c>
      <c r="C6672">
        <v>68091100</v>
      </c>
      <c r="E6672">
        <v>34</v>
      </c>
      <c r="F6672">
        <v>18</v>
      </c>
      <c r="G6672">
        <v>0</v>
      </c>
      <c r="H6672">
        <v>7.6</v>
      </c>
      <c r="I6672">
        <v>1.65</v>
      </c>
      <c r="J6672">
        <v>25</v>
      </c>
      <c r="L6672" t="s">
        <v>2709</v>
      </c>
      <c r="M6672">
        <v>68091100</v>
      </c>
      <c r="O6672" t="s">
        <v>20115</v>
      </c>
      <c r="P6672" t="s">
        <v>19899</v>
      </c>
      <c r="Q6672" t="s">
        <v>19900</v>
      </c>
      <c r="R6672" t="s">
        <v>19905</v>
      </c>
      <c r="S6672" t="s">
        <v>19906</v>
      </c>
      <c r="T6672" t="s">
        <v>19982</v>
      </c>
    </row>
    <row r="6673" spans="2:20" x14ac:dyDescent="0.25">
      <c r="B6673" t="s">
        <v>2709</v>
      </c>
      <c r="C6673">
        <v>68091900</v>
      </c>
      <c r="E6673">
        <v>34</v>
      </c>
      <c r="F6673">
        <v>18</v>
      </c>
      <c r="G6673">
        <v>5</v>
      </c>
      <c r="H6673">
        <v>7.6</v>
      </c>
      <c r="I6673">
        <v>1.65</v>
      </c>
      <c r="J6673">
        <v>8</v>
      </c>
      <c r="L6673" t="s">
        <v>2709</v>
      </c>
      <c r="M6673">
        <v>68091900</v>
      </c>
      <c r="O6673" t="s">
        <v>20115</v>
      </c>
      <c r="P6673" t="s">
        <v>19899</v>
      </c>
      <c r="Q6673" t="s">
        <v>19909</v>
      </c>
      <c r="R6673" t="s">
        <v>19905</v>
      </c>
      <c r="S6673" t="s">
        <v>19906</v>
      </c>
      <c r="T6673" t="s">
        <v>19918</v>
      </c>
    </row>
    <row r="6674" spans="2:20" x14ac:dyDescent="0.25">
      <c r="B6674" t="s">
        <v>2709</v>
      </c>
      <c r="C6674">
        <v>68099000</v>
      </c>
      <c r="E6674">
        <v>34</v>
      </c>
      <c r="F6674">
        <v>18</v>
      </c>
      <c r="G6674">
        <v>5</v>
      </c>
      <c r="H6674">
        <v>7.6</v>
      </c>
      <c r="I6674">
        <v>1.65</v>
      </c>
      <c r="J6674">
        <v>8</v>
      </c>
      <c r="L6674" t="s">
        <v>2709</v>
      </c>
      <c r="M6674">
        <v>68099000</v>
      </c>
      <c r="O6674" t="s">
        <v>20115</v>
      </c>
      <c r="P6674" t="s">
        <v>19899</v>
      </c>
      <c r="Q6674" t="s">
        <v>19909</v>
      </c>
      <c r="R6674" t="s">
        <v>19905</v>
      </c>
      <c r="S6674" t="s">
        <v>19906</v>
      </c>
      <c r="T6674" t="s">
        <v>19918</v>
      </c>
    </row>
    <row r="6675" spans="2:20" x14ac:dyDescent="0.25">
      <c r="B6675" t="s">
        <v>2709</v>
      </c>
      <c r="C6675">
        <v>68101100</v>
      </c>
      <c r="E6675">
        <v>58</v>
      </c>
      <c r="F6675">
        <v>12</v>
      </c>
      <c r="G6675">
        <v>0</v>
      </c>
      <c r="H6675">
        <v>7.6</v>
      </c>
      <c r="I6675">
        <v>1.65</v>
      </c>
      <c r="J6675">
        <v>8</v>
      </c>
      <c r="L6675" t="s">
        <v>2709</v>
      </c>
      <c r="M6675">
        <v>68101100</v>
      </c>
      <c r="O6675" t="s">
        <v>20116</v>
      </c>
      <c r="P6675" t="s">
        <v>19903</v>
      </c>
      <c r="Q6675" t="s">
        <v>19900</v>
      </c>
      <c r="R6675" t="s">
        <v>19905</v>
      </c>
      <c r="S6675" t="s">
        <v>19906</v>
      </c>
      <c r="T6675" t="s">
        <v>19918</v>
      </c>
    </row>
    <row r="6676" spans="2:20" x14ac:dyDescent="0.25">
      <c r="B6676" t="s">
        <v>2709</v>
      </c>
      <c r="C6676">
        <v>68101900</v>
      </c>
      <c r="E6676">
        <v>36</v>
      </c>
      <c r="F6676">
        <v>12</v>
      </c>
      <c r="G6676">
        <v>0</v>
      </c>
      <c r="H6676">
        <v>7.6</v>
      </c>
      <c r="I6676">
        <v>1.65</v>
      </c>
      <c r="J6676">
        <v>8</v>
      </c>
      <c r="L6676" t="s">
        <v>2709</v>
      </c>
      <c r="M6676">
        <v>68101900</v>
      </c>
      <c r="O6676" t="s">
        <v>20087</v>
      </c>
      <c r="P6676" t="s">
        <v>19903</v>
      </c>
      <c r="Q6676" t="s">
        <v>19900</v>
      </c>
      <c r="R6676" t="s">
        <v>19905</v>
      </c>
      <c r="S6676" t="s">
        <v>19906</v>
      </c>
      <c r="T6676" t="s">
        <v>19918</v>
      </c>
    </row>
    <row r="6677" spans="2:20" x14ac:dyDescent="0.25">
      <c r="B6677" t="s">
        <v>2709</v>
      </c>
      <c r="C6677">
        <v>68109100</v>
      </c>
      <c r="E6677">
        <v>58</v>
      </c>
      <c r="F6677">
        <v>12</v>
      </c>
      <c r="G6677">
        <v>0</v>
      </c>
      <c r="H6677">
        <v>7.6</v>
      </c>
      <c r="I6677">
        <v>1.65</v>
      </c>
      <c r="J6677">
        <v>8</v>
      </c>
      <c r="L6677" t="s">
        <v>2709</v>
      </c>
      <c r="M6677">
        <v>68109100</v>
      </c>
      <c r="O6677" t="s">
        <v>20116</v>
      </c>
      <c r="P6677" t="s">
        <v>19903</v>
      </c>
      <c r="Q6677" t="s">
        <v>19900</v>
      </c>
      <c r="R6677" t="s">
        <v>19905</v>
      </c>
      <c r="S6677" t="s">
        <v>19906</v>
      </c>
      <c r="T6677" t="s">
        <v>19918</v>
      </c>
    </row>
    <row r="6678" spans="2:20" x14ac:dyDescent="0.25">
      <c r="B6678" t="s">
        <v>2709</v>
      </c>
      <c r="C6678">
        <v>68109900</v>
      </c>
      <c r="E6678">
        <v>58</v>
      </c>
      <c r="F6678">
        <v>12</v>
      </c>
      <c r="G6678">
        <v>0</v>
      </c>
      <c r="H6678">
        <v>7.6</v>
      </c>
      <c r="I6678">
        <v>1.65</v>
      </c>
      <c r="J6678">
        <v>8</v>
      </c>
      <c r="L6678" t="s">
        <v>2709</v>
      </c>
      <c r="M6678">
        <v>68109900</v>
      </c>
      <c r="O6678" t="s">
        <v>20116</v>
      </c>
      <c r="P6678" t="s">
        <v>19903</v>
      </c>
      <c r="Q6678" t="s">
        <v>19900</v>
      </c>
      <c r="R6678" t="s">
        <v>19905</v>
      </c>
      <c r="S6678" t="s">
        <v>19906</v>
      </c>
      <c r="T6678" t="s">
        <v>19918</v>
      </c>
    </row>
    <row r="6679" spans="2:20" x14ac:dyDescent="0.25">
      <c r="B6679" t="s">
        <v>2709</v>
      </c>
      <c r="C6679">
        <v>68114000</v>
      </c>
      <c r="E6679">
        <v>56</v>
      </c>
      <c r="F6679">
        <v>18</v>
      </c>
      <c r="G6679">
        <v>5</v>
      </c>
      <c r="H6679">
        <v>7.6</v>
      </c>
      <c r="I6679">
        <v>1.65</v>
      </c>
      <c r="J6679">
        <v>8</v>
      </c>
      <c r="L6679" t="s">
        <v>2709</v>
      </c>
      <c r="M6679">
        <v>68114000</v>
      </c>
      <c r="O6679" t="s">
        <v>20065</v>
      </c>
      <c r="P6679" t="s">
        <v>19899</v>
      </c>
      <c r="Q6679" t="s">
        <v>19909</v>
      </c>
      <c r="R6679" t="s">
        <v>19905</v>
      </c>
      <c r="S6679" t="s">
        <v>19906</v>
      </c>
      <c r="T6679" t="s">
        <v>19918</v>
      </c>
    </row>
    <row r="6680" spans="2:20" x14ac:dyDescent="0.25">
      <c r="B6680" t="s">
        <v>2709</v>
      </c>
      <c r="C6680">
        <v>68118100</v>
      </c>
      <c r="E6680">
        <v>56</v>
      </c>
      <c r="F6680">
        <v>12</v>
      </c>
      <c r="G6680">
        <v>5</v>
      </c>
      <c r="H6680">
        <v>7.6</v>
      </c>
      <c r="I6680">
        <v>1.65</v>
      </c>
      <c r="J6680">
        <v>8</v>
      </c>
      <c r="L6680" t="s">
        <v>2709</v>
      </c>
      <c r="M6680">
        <v>68118100</v>
      </c>
      <c r="O6680" t="s">
        <v>20065</v>
      </c>
      <c r="P6680" t="s">
        <v>19903</v>
      </c>
      <c r="Q6680" t="s">
        <v>19909</v>
      </c>
      <c r="R6680" t="s">
        <v>19905</v>
      </c>
      <c r="S6680" t="s">
        <v>19906</v>
      </c>
      <c r="T6680" t="s">
        <v>19918</v>
      </c>
    </row>
    <row r="6681" spans="2:20" x14ac:dyDescent="0.25">
      <c r="B6681" t="s">
        <v>2709</v>
      </c>
      <c r="C6681">
        <v>68118200</v>
      </c>
      <c r="E6681">
        <v>56</v>
      </c>
      <c r="F6681">
        <v>12</v>
      </c>
      <c r="G6681">
        <v>5</v>
      </c>
      <c r="H6681">
        <v>7.6</v>
      </c>
      <c r="I6681">
        <v>1.65</v>
      </c>
      <c r="J6681">
        <v>8</v>
      </c>
      <c r="L6681" t="s">
        <v>2709</v>
      </c>
      <c r="M6681">
        <v>68118200</v>
      </c>
      <c r="O6681" t="s">
        <v>20065</v>
      </c>
      <c r="P6681" t="s">
        <v>19903</v>
      </c>
      <c r="Q6681" t="s">
        <v>19909</v>
      </c>
      <c r="R6681" t="s">
        <v>19905</v>
      </c>
      <c r="S6681" t="s">
        <v>19906</v>
      </c>
      <c r="T6681" t="s">
        <v>19918</v>
      </c>
    </row>
    <row r="6682" spans="2:20" x14ac:dyDescent="0.25">
      <c r="B6682" t="s">
        <v>2709</v>
      </c>
      <c r="C6682">
        <v>68118900</v>
      </c>
      <c r="E6682">
        <v>56</v>
      </c>
      <c r="F6682">
        <v>12</v>
      </c>
      <c r="G6682">
        <v>5</v>
      </c>
      <c r="H6682">
        <v>7.6</v>
      </c>
      <c r="I6682">
        <v>1.65</v>
      </c>
      <c r="J6682">
        <v>8</v>
      </c>
      <c r="L6682" t="s">
        <v>2709</v>
      </c>
      <c r="M6682">
        <v>68118900</v>
      </c>
      <c r="O6682" t="s">
        <v>20065</v>
      </c>
      <c r="P6682" t="s">
        <v>19903</v>
      </c>
      <c r="Q6682" t="s">
        <v>19909</v>
      </c>
      <c r="R6682" t="s">
        <v>19905</v>
      </c>
      <c r="S6682" t="s">
        <v>19906</v>
      </c>
      <c r="T6682" t="s">
        <v>19918</v>
      </c>
    </row>
    <row r="6683" spans="2:20" x14ac:dyDescent="0.25">
      <c r="B6683" t="s">
        <v>2709</v>
      </c>
      <c r="C6683">
        <v>68128000</v>
      </c>
      <c r="E6683">
        <v>71.78</v>
      </c>
      <c r="F6683">
        <v>18</v>
      </c>
      <c r="G6683">
        <v>10</v>
      </c>
      <c r="H6683">
        <v>7.6</v>
      </c>
      <c r="I6683">
        <v>1.65</v>
      </c>
      <c r="J6683">
        <v>14</v>
      </c>
      <c r="L6683" t="s">
        <v>2709</v>
      </c>
      <c r="M6683">
        <v>68128000</v>
      </c>
      <c r="O6683" t="s">
        <v>20056</v>
      </c>
      <c r="P6683" t="s">
        <v>19899</v>
      </c>
      <c r="Q6683" t="s">
        <v>19904</v>
      </c>
      <c r="R6683" t="s">
        <v>19905</v>
      </c>
      <c r="S6683" t="s">
        <v>19906</v>
      </c>
      <c r="T6683" t="s">
        <v>19911</v>
      </c>
    </row>
    <row r="6684" spans="2:20" x14ac:dyDescent="0.25">
      <c r="B6684" t="s">
        <v>2709</v>
      </c>
      <c r="C6684">
        <v>68129100</v>
      </c>
      <c r="E6684">
        <v>71.78</v>
      </c>
      <c r="F6684">
        <v>18</v>
      </c>
      <c r="G6684">
        <v>0</v>
      </c>
      <c r="H6684">
        <v>7.6</v>
      </c>
      <c r="I6684">
        <v>1.65</v>
      </c>
      <c r="J6684">
        <v>14</v>
      </c>
      <c r="L6684" t="s">
        <v>2709</v>
      </c>
      <c r="M6684">
        <v>68129100</v>
      </c>
      <c r="O6684" t="s">
        <v>20056</v>
      </c>
      <c r="P6684" t="s">
        <v>19899</v>
      </c>
      <c r="Q6684" t="s">
        <v>19900</v>
      </c>
      <c r="R6684" t="s">
        <v>19905</v>
      </c>
      <c r="S6684" t="s">
        <v>19906</v>
      </c>
      <c r="T6684" t="s">
        <v>19911</v>
      </c>
    </row>
    <row r="6685" spans="2:20" x14ac:dyDescent="0.25">
      <c r="B6685" t="s">
        <v>2709</v>
      </c>
      <c r="C6685">
        <v>68129200</v>
      </c>
      <c r="E6685">
        <v>71.78</v>
      </c>
      <c r="F6685">
        <v>18</v>
      </c>
      <c r="G6685">
        <v>10</v>
      </c>
      <c r="H6685">
        <v>7.6</v>
      </c>
      <c r="I6685">
        <v>1.65</v>
      </c>
      <c r="J6685">
        <v>14</v>
      </c>
      <c r="L6685" t="s">
        <v>2709</v>
      </c>
      <c r="M6685">
        <v>68129200</v>
      </c>
      <c r="O6685" t="s">
        <v>20056</v>
      </c>
      <c r="P6685" t="s">
        <v>19899</v>
      </c>
      <c r="Q6685" t="s">
        <v>19904</v>
      </c>
      <c r="R6685" t="s">
        <v>19905</v>
      </c>
      <c r="S6685" t="s">
        <v>19906</v>
      </c>
      <c r="T6685" t="s">
        <v>19911</v>
      </c>
    </row>
    <row r="6686" spans="2:20" x14ac:dyDescent="0.25">
      <c r="B6686" t="s">
        <v>2709</v>
      </c>
      <c r="C6686">
        <v>68129300</v>
      </c>
      <c r="E6686">
        <v>71.78</v>
      </c>
      <c r="F6686">
        <v>18</v>
      </c>
      <c r="G6686">
        <v>10</v>
      </c>
      <c r="H6686">
        <v>7.6</v>
      </c>
      <c r="I6686">
        <v>1.65</v>
      </c>
      <c r="J6686">
        <v>14</v>
      </c>
      <c r="L6686" t="s">
        <v>2709</v>
      </c>
      <c r="M6686">
        <v>68129300</v>
      </c>
      <c r="O6686" t="s">
        <v>20056</v>
      </c>
      <c r="P6686" t="s">
        <v>19899</v>
      </c>
      <c r="Q6686" t="s">
        <v>19904</v>
      </c>
      <c r="R6686" t="s">
        <v>19905</v>
      </c>
      <c r="S6686" t="s">
        <v>19906</v>
      </c>
      <c r="T6686" t="s">
        <v>19911</v>
      </c>
    </row>
    <row r="6687" spans="2:20" x14ac:dyDescent="0.25">
      <c r="B6687" t="s">
        <v>2709</v>
      </c>
      <c r="C6687">
        <v>68129910</v>
      </c>
      <c r="E6687">
        <v>71.78</v>
      </c>
      <c r="F6687">
        <v>18</v>
      </c>
      <c r="G6687">
        <v>10</v>
      </c>
      <c r="H6687">
        <v>7.6</v>
      </c>
      <c r="I6687">
        <v>1.65</v>
      </c>
      <c r="J6687">
        <v>14</v>
      </c>
      <c r="L6687" t="s">
        <v>2709</v>
      </c>
      <c r="M6687">
        <v>68129910</v>
      </c>
      <c r="O6687" t="s">
        <v>20056</v>
      </c>
      <c r="P6687" t="s">
        <v>19899</v>
      </c>
      <c r="Q6687" t="s">
        <v>19904</v>
      </c>
      <c r="R6687" t="s">
        <v>19905</v>
      </c>
      <c r="S6687" t="s">
        <v>19906</v>
      </c>
      <c r="T6687" t="s">
        <v>19911</v>
      </c>
    </row>
    <row r="6688" spans="2:20" x14ac:dyDescent="0.25">
      <c r="B6688" t="s">
        <v>2709</v>
      </c>
      <c r="C6688">
        <v>68129920</v>
      </c>
      <c r="E6688">
        <v>71.78</v>
      </c>
      <c r="F6688">
        <v>18</v>
      </c>
      <c r="G6688">
        <v>10</v>
      </c>
      <c r="H6688">
        <v>7.6</v>
      </c>
      <c r="I6688">
        <v>1.65</v>
      </c>
      <c r="J6688">
        <v>12</v>
      </c>
      <c r="L6688" t="s">
        <v>2709</v>
      </c>
      <c r="M6688">
        <v>68129920</v>
      </c>
      <c r="O6688" t="s">
        <v>20056</v>
      </c>
      <c r="P6688" t="s">
        <v>19899</v>
      </c>
      <c r="Q6688" t="s">
        <v>19904</v>
      </c>
      <c r="R6688" t="s">
        <v>19905</v>
      </c>
      <c r="S6688" t="s">
        <v>19906</v>
      </c>
      <c r="T6688" t="s">
        <v>19903</v>
      </c>
    </row>
    <row r="6689" spans="2:20" x14ac:dyDescent="0.25">
      <c r="B6689" t="s">
        <v>2709</v>
      </c>
      <c r="C6689">
        <v>68129930</v>
      </c>
      <c r="E6689">
        <v>71.78</v>
      </c>
      <c r="F6689">
        <v>18</v>
      </c>
      <c r="G6689">
        <v>10</v>
      </c>
      <c r="H6689">
        <v>7.6</v>
      </c>
      <c r="I6689">
        <v>1.65</v>
      </c>
      <c r="J6689">
        <v>12</v>
      </c>
      <c r="L6689" t="s">
        <v>2709</v>
      </c>
      <c r="M6689">
        <v>68129930</v>
      </c>
      <c r="O6689" t="s">
        <v>20056</v>
      </c>
      <c r="P6689" t="s">
        <v>19899</v>
      </c>
      <c r="Q6689" t="s">
        <v>19904</v>
      </c>
      <c r="R6689" t="s">
        <v>19905</v>
      </c>
      <c r="S6689" t="s">
        <v>19906</v>
      </c>
      <c r="T6689" t="s">
        <v>19903</v>
      </c>
    </row>
    <row r="6690" spans="2:20" x14ac:dyDescent="0.25">
      <c r="B6690" t="s">
        <v>2709</v>
      </c>
      <c r="C6690">
        <v>68129990</v>
      </c>
      <c r="E6690">
        <v>71.78</v>
      </c>
      <c r="F6690">
        <v>18</v>
      </c>
      <c r="G6690">
        <v>10</v>
      </c>
      <c r="H6690">
        <v>7.6</v>
      </c>
      <c r="I6690">
        <v>1.65</v>
      </c>
      <c r="J6690">
        <v>14</v>
      </c>
      <c r="L6690" t="s">
        <v>2709</v>
      </c>
      <c r="M6690">
        <v>68129990</v>
      </c>
      <c r="O6690" t="s">
        <v>20056</v>
      </c>
      <c r="P6690" t="s">
        <v>19899</v>
      </c>
      <c r="Q6690" t="s">
        <v>19904</v>
      </c>
      <c r="R6690" t="s">
        <v>19905</v>
      </c>
      <c r="S6690" t="s">
        <v>19906</v>
      </c>
      <c r="T6690" t="s">
        <v>19911</v>
      </c>
    </row>
    <row r="6691" spans="2:20" x14ac:dyDescent="0.25">
      <c r="B6691" t="s">
        <v>2709</v>
      </c>
      <c r="C6691">
        <v>68132000</v>
      </c>
      <c r="E6691">
        <v>71.78</v>
      </c>
      <c r="F6691">
        <v>18</v>
      </c>
      <c r="G6691">
        <v>10</v>
      </c>
      <c r="H6691">
        <v>10.8</v>
      </c>
      <c r="I6691">
        <v>2.2999999999999998</v>
      </c>
      <c r="J6691">
        <v>14</v>
      </c>
      <c r="L6691" t="s">
        <v>2709</v>
      </c>
      <c r="M6691">
        <v>68132000</v>
      </c>
      <c r="O6691" t="s">
        <v>20056</v>
      </c>
      <c r="P6691" t="s">
        <v>19899</v>
      </c>
      <c r="Q6691" t="s">
        <v>19904</v>
      </c>
      <c r="R6691" t="s">
        <v>20074</v>
      </c>
      <c r="S6691" t="s">
        <v>20075</v>
      </c>
      <c r="T6691" t="s">
        <v>19911</v>
      </c>
    </row>
    <row r="6692" spans="2:20" x14ac:dyDescent="0.25">
      <c r="B6692" t="s">
        <v>2709</v>
      </c>
      <c r="C6692">
        <v>68132000</v>
      </c>
      <c r="D6692">
        <v>1</v>
      </c>
      <c r="E6692" t="s">
        <v>19447</v>
      </c>
      <c r="F6692">
        <v>18</v>
      </c>
      <c r="G6692">
        <v>15</v>
      </c>
      <c r="H6692">
        <v>7.6</v>
      </c>
      <c r="I6692">
        <v>1.65</v>
      </c>
      <c r="J6692">
        <v>14</v>
      </c>
      <c r="L6692" t="s">
        <v>2709</v>
      </c>
      <c r="M6692">
        <v>68132000</v>
      </c>
      <c r="N6692">
        <v>1</v>
      </c>
      <c r="O6692" t="s">
        <v>19447</v>
      </c>
      <c r="P6692" t="s">
        <v>19899</v>
      </c>
      <c r="Q6692" t="s">
        <v>19983</v>
      </c>
      <c r="R6692" t="s">
        <v>19905</v>
      </c>
      <c r="S6692" t="s">
        <v>19906</v>
      </c>
      <c r="T6692" t="s">
        <v>19911</v>
      </c>
    </row>
    <row r="6693" spans="2:20" x14ac:dyDescent="0.25">
      <c r="B6693" t="s">
        <v>2709</v>
      </c>
      <c r="C6693">
        <v>68138110</v>
      </c>
      <c r="E6693">
        <v>71.78</v>
      </c>
      <c r="F6693">
        <v>18</v>
      </c>
      <c r="G6693">
        <v>15</v>
      </c>
      <c r="H6693">
        <v>10.8</v>
      </c>
      <c r="I6693">
        <v>2.2999999999999998</v>
      </c>
      <c r="J6693">
        <v>14</v>
      </c>
      <c r="L6693" t="s">
        <v>2709</v>
      </c>
      <c r="M6693">
        <v>68138110</v>
      </c>
      <c r="O6693" t="s">
        <v>20056</v>
      </c>
      <c r="P6693" t="s">
        <v>19899</v>
      </c>
      <c r="Q6693" t="s">
        <v>19983</v>
      </c>
      <c r="R6693" t="s">
        <v>20074</v>
      </c>
      <c r="S6693" t="s">
        <v>20075</v>
      </c>
      <c r="T6693" t="s">
        <v>19911</v>
      </c>
    </row>
    <row r="6694" spans="2:20" x14ac:dyDescent="0.25">
      <c r="B6694" t="s">
        <v>2709</v>
      </c>
      <c r="C6694">
        <v>68138190</v>
      </c>
      <c r="E6694">
        <v>71.78</v>
      </c>
      <c r="F6694">
        <v>18</v>
      </c>
      <c r="G6694">
        <v>15</v>
      </c>
      <c r="H6694">
        <v>10.8</v>
      </c>
      <c r="I6694">
        <v>2.2999999999999998</v>
      </c>
      <c r="J6694">
        <v>14</v>
      </c>
      <c r="L6694" t="s">
        <v>2709</v>
      </c>
      <c r="M6694">
        <v>68138190</v>
      </c>
      <c r="O6694" t="s">
        <v>20056</v>
      </c>
      <c r="P6694" t="s">
        <v>19899</v>
      </c>
      <c r="Q6694" t="s">
        <v>19983</v>
      </c>
      <c r="R6694" t="s">
        <v>20074</v>
      </c>
      <c r="S6694" t="s">
        <v>20075</v>
      </c>
      <c r="T6694" t="s">
        <v>19911</v>
      </c>
    </row>
    <row r="6695" spans="2:20" x14ac:dyDescent="0.25">
      <c r="B6695" t="s">
        <v>2709</v>
      </c>
      <c r="C6695">
        <v>68138910</v>
      </c>
      <c r="E6695">
        <v>71.78</v>
      </c>
      <c r="F6695">
        <v>18</v>
      </c>
      <c r="G6695">
        <v>15</v>
      </c>
      <c r="H6695">
        <v>10.8</v>
      </c>
      <c r="I6695">
        <v>2.2999999999999998</v>
      </c>
      <c r="J6695">
        <v>14</v>
      </c>
      <c r="L6695" t="s">
        <v>2709</v>
      </c>
      <c r="M6695">
        <v>68138910</v>
      </c>
      <c r="O6695" t="s">
        <v>20056</v>
      </c>
      <c r="P6695" t="s">
        <v>19899</v>
      </c>
      <c r="Q6695" t="s">
        <v>19983</v>
      </c>
      <c r="R6695" t="s">
        <v>20074</v>
      </c>
      <c r="S6695" t="s">
        <v>20075</v>
      </c>
      <c r="T6695" t="s">
        <v>19911</v>
      </c>
    </row>
    <row r="6696" spans="2:20" x14ac:dyDescent="0.25">
      <c r="B6696" t="s">
        <v>2709</v>
      </c>
      <c r="C6696">
        <v>68138990</v>
      </c>
      <c r="E6696">
        <v>71.78</v>
      </c>
      <c r="F6696">
        <v>18</v>
      </c>
      <c r="G6696">
        <v>10</v>
      </c>
      <c r="H6696">
        <v>10.8</v>
      </c>
      <c r="I6696">
        <v>2.2999999999999998</v>
      </c>
      <c r="J6696">
        <v>14</v>
      </c>
      <c r="L6696" t="s">
        <v>2709</v>
      </c>
      <c r="M6696">
        <v>68138990</v>
      </c>
      <c r="O6696" t="s">
        <v>20056</v>
      </c>
      <c r="P6696" t="s">
        <v>19899</v>
      </c>
      <c r="Q6696" t="s">
        <v>19904</v>
      </c>
      <c r="R6696" t="s">
        <v>20074</v>
      </c>
      <c r="S6696" t="s">
        <v>20075</v>
      </c>
      <c r="T6696" t="s">
        <v>19911</v>
      </c>
    </row>
    <row r="6697" spans="2:20" x14ac:dyDescent="0.25">
      <c r="B6697" t="s">
        <v>2709</v>
      </c>
      <c r="C6697">
        <v>68141000</v>
      </c>
      <c r="E6697">
        <v>71.78</v>
      </c>
      <c r="F6697">
        <v>18</v>
      </c>
      <c r="G6697">
        <v>0</v>
      </c>
      <c r="H6697">
        <v>7.6</v>
      </c>
      <c r="I6697">
        <v>1.65</v>
      </c>
      <c r="J6697">
        <v>14</v>
      </c>
      <c r="L6697" t="s">
        <v>2709</v>
      </c>
      <c r="M6697">
        <v>68141000</v>
      </c>
      <c r="O6697" t="s">
        <v>20056</v>
      </c>
      <c r="P6697" t="s">
        <v>19899</v>
      </c>
      <c r="Q6697" t="s">
        <v>19900</v>
      </c>
      <c r="R6697" t="s">
        <v>19905</v>
      </c>
      <c r="S6697" t="s">
        <v>19906</v>
      </c>
      <c r="T6697" t="s">
        <v>19911</v>
      </c>
    </row>
    <row r="6698" spans="2:20" x14ac:dyDescent="0.25">
      <c r="B6698" t="s">
        <v>2709</v>
      </c>
      <c r="C6698">
        <v>68149000</v>
      </c>
      <c r="E6698">
        <v>71.78</v>
      </c>
      <c r="F6698">
        <v>18</v>
      </c>
      <c r="G6698">
        <v>0</v>
      </c>
      <c r="H6698">
        <v>7.6</v>
      </c>
      <c r="I6698">
        <v>1.65</v>
      </c>
      <c r="J6698">
        <v>14</v>
      </c>
      <c r="L6698" t="s">
        <v>2709</v>
      </c>
      <c r="M6698">
        <v>68149000</v>
      </c>
      <c r="O6698" t="s">
        <v>20056</v>
      </c>
      <c r="P6698" t="s">
        <v>19899</v>
      </c>
      <c r="Q6698" t="s">
        <v>19900</v>
      </c>
      <c r="R6698" t="s">
        <v>19905</v>
      </c>
      <c r="S6698" t="s">
        <v>19906</v>
      </c>
      <c r="T6698" t="s">
        <v>19911</v>
      </c>
    </row>
    <row r="6699" spans="2:20" x14ac:dyDescent="0.25">
      <c r="B6699" t="s">
        <v>2709</v>
      </c>
      <c r="C6699">
        <v>68151010</v>
      </c>
      <c r="E6699">
        <v>71.78</v>
      </c>
      <c r="F6699">
        <v>18</v>
      </c>
      <c r="G6699">
        <v>10</v>
      </c>
      <c r="H6699">
        <v>7.6</v>
      </c>
      <c r="I6699">
        <v>1.65</v>
      </c>
      <c r="J6699">
        <v>2</v>
      </c>
      <c r="L6699" t="s">
        <v>2709</v>
      </c>
      <c r="M6699">
        <v>68151010</v>
      </c>
      <c r="O6699" t="s">
        <v>20056</v>
      </c>
      <c r="P6699" t="s">
        <v>19899</v>
      </c>
      <c r="Q6699" t="s">
        <v>19904</v>
      </c>
      <c r="R6699" t="s">
        <v>19905</v>
      </c>
      <c r="S6699" t="s">
        <v>19906</v>
      </c>
      <c r="T6699" t="s">
        <v>19901</v>
      </c>
    </row>
    <row r="6700" spans="2:20" x14ac:dyDescent="0.25">
      <c r="B6700" t="s">
        <v>2709</v>
      </c>
      <c r="C6700">
        <v>68151020</v>
      </c>
      <c r="E6700">
        <v>71.78</v>
      </c>
      <c r="F6700">
        <v>18</v>
      </c>
      <c r="G6700">
        <v>10</v>
      </c>
      <c r="H6700">
        <v>7.6</v>
      </c>
      <c r="I6700">
        <v>1.65</v>
      </c>
      <c r="J6700">
        <v>2</v>
      </c>
      <c r="L6700" t="s">
        <v>2709</v>
      </c>
      <c r="M6700">
        <v>68151020</v>
      </c>
      <c r="O6700" t="s">
        <v>20056</v>
      </c>
      <c r="P6700" t="s">
        <v>19899</v>
      </c>
      <c r="Q6700" t="s">
        <v>19904</v>
      </c>
      <c r="R6700" t="s">
        <v>19905</v>
      </c>
      <c r="S6700" t="s">
        <v>19906</v>
      </c>
      <c r="T6700" t="s">
        <v>19901</v>
      </c>
    </row>
    <row r="6701" spans="2:20" x14ac:dyDescent="0.25">
      <c r="B6701" t="s">
        <v>2709</v>
      </c>
      <c r="C6701">
        <v>68151090</v>
      </c>
      <c r="E6701">
        <v>71.78</v>
      </c>
      <c r="F6701">
        <v>18</v>
      </c>
      <c r="G6701">
        <v>10</v>
      </c>
      <c r="H6701">
        <v>7.6</v>
      </c>
      <c r="I6701">
        <v>1.65</v>
      </c>
      <c r="J6701">
        <v>14</v>
      </c>
      <c r="L6701" t="s">
        <v>2709</v>
      </c>
      <c r="M6701">
        <v>68151090</v>
      </c>
      <c r="O6701" t="s">
        <v>20056</v>
      </c>
      <c r="P6701" t="s">
        <v>19899</v>
      </c>
      <c r="Q6701" t="s">
        <v>19904</v>
      </c>
      <c r="R6701" t="s">
        <v>19905</v>
      </c>
      <c r="S6701" t="s">
        <v>19906</v>
      </c>
      <c r="T6701" t="s">
        <v>19911</v>
      </c>
    </row>
    <row r="6702" spans="2:20" x14ac:dyDescent="0.25">
      <c r="B6702" t="s">
        <v>2709</v>
      </c>
      <c r="C6702">
        <v>68152000</v>
      </c>
      <c r="E6702">
        <v>71.78</v>
      </c>
      <c r="F6702">
        <v>18</v>
      </c>
      <c r="G6702">
        <v>10</v>
      </c>
      <c r="H6702">
        <v>7.6</v>
      </c>
      <c r="I6702">
        <v>1.65</v>
      </c>
      <c r="J6702">
        <v>14</v>
      </c>
      <c r="L6702" t="s">
        <v>2709</v>
      </c>
      <c r="M6702">
        <v>68152000</v>
      </c>
      <c r="O6702" t="s">
        <v>20056</v>
      </c>
      <c r="P6702" t="s">
        <v>19899</v>
      </c>
      <c r="Q6702" t="s">
        <v>19904</v>
      </c>
      <c r="R6702" t="s">
        <v>19905</v>
      </c>
      <c r="S6702" t="s">
        <v>19906</v>
      </c>
      <c r="T6702" t="s">
        <v>19911</v>
      </c>
    </row>
    <row r="6703" spans="2:20" x14ac:dyDescent="0.25">
      <c r="B6703" t="s">
        <v>2709</v>
      </c>
      <c r="C6703">
        <v>68159110</v>
      </c>
      <c r="E6703">
        <v>71.78</v>
      </c>
      <c r="F6703">
        <v>18</v>
      </c>
      <c r="G6703">
        <v>10</v>
      </c>
      <c r="H6703">
        <v>7.6</v>
      </c>
      <c r="I6703">
        <v>1.65</v>
      </c>
      <c r="J6703">
        <v>14</v>
      </c>
      <c r="L6703" t="s">
        <v>2709</v>
      </c>
      <c r="M6703">
        <v>68159110</v>
      </c>
      <c r="O6703" t="s">
        <v>20056</v>
      </c>
      <c r="P6703" t="s">
        <v>19899</v>
      </c>
      <c r="Q6703" t="s">
        <v>19904</v>
      </c>
      <c r="R6703" t="s">
        <v>19905</v>
      </c>
      <c r="S6703" t="s">
        <v>19906</v>
      </c>
      <c r="T6703" t="s">
        <v>19911</v>
      </c>
    </row>
    <row r="6704" spans="2:20" x14ac:dyDescent="0.25">
      <c r="B6704" t="s">
        <v>2709</v>
      </c>
      <c r="C6704">
        <v>68159190</v>
      </c>
      <c r="E6704">
        <v>71.78</v>
      </c>
      <c r="F6704">
        <v>18</v>
      </c>
      <c r="G6704">
        <v>10</v>
      </c>
      <c r="H6704">
        <v>7.6</v>
      </c>
      <c r="I6704">
        <v>1.65</v>
      </c>
      <c r="J6704">
        <v>14</v>
      </c>
      <c r="L6704" t="s">
        <v>2709</v>
      </c>
      <c r="M6704">
        <v>68159190</v>
      </c>
      <c r="O6704" t="s">
        <v>20056</v>
      </c>
      <c r="P6704" t="s">
        <v>19899</v>
      </c>
      <c r="Q6704" t="s">
        <v>19904</v>
      </c>
      <c r="R6704" t="s">
        <v>19905</v>
      </c>
      <c r="S6704" t="s">
        <v>19906</v>
      </c>
      <c r="T6704" t="s">
        <v>19911</v>
      </c>
    </row>
    <row r="6705" spans="2:20" x14ac:dyDescent="0.25">
      <c r="B6705" t="s">
        <v>2709</v>
      </c>
      <c r="C6705">
        <v>68159911</v>
      </c>
      <c r="E6705">
        <v>71.78</v>
      </c>
      <c r="F6705">
        <v>18</v>
      </c>
      <c r="G6705">
        <v>10</v>
      </c>
      <c r="H6705">
        <v>7.6</v>
      </c>
      <c r="I6705">
        <v>1.65</v>
      </c>
      <c r="J6705">
        <v>2</v>
      </c>
      <c r="L6705" t="s">
        <v>2709</v>
      </c>
      <c r="M6705">
        <v>68159911</v>
      </c>
      <c r="O6705" t="s">
        <v>20056</v>
      </c>
      <c r="P6705" t="s">
        <v>19899</v>
      </c>
      <c r="Q6705" t="s">
        <v>19904</v>
      </c>
      <c r="R6705" t="s">
        <v>19905</v>
      </c>
      <c r="S6705" t="s">
        <v>19906</v>
      </c>
      <c r="T6705" t="s">
        <v>19901</v>
      </c>
    </row>
    <row r="6706" spans="2:20" x14ac:dyDescent="0.25">
      <c r="B6706" t="s">
        <v>2709</v>
      </c>
      <c r="C6706">
        <v>68159912</v>
      </c>
      <c r="E6706">
        <v>71.78</v>
      </c>
      <c r="F6706">
        <v>18</v>
      </c>
      <c r="G6706">
        <v>10</v>
      </c>
      <c r="H6706">
        <v>7.6</v>
      </c>
      <c r="I6706">
        <v>1.65</v>
      </c>
      <c r="J6706">
        <v>2</v>
      </c>
      <c r="L6706" t="s">
        <v>2709</v>
      </c>
      <c r="M6706">
        <v>68159912</v>
      </c>
      <c r="O6706" t="s">
        <v>20056</v>
      </c>
      <c r="P6706" t="s">
        <v>19899</v>
      </c>
      <c r="Q6706" t="s">
        <v>19904</v>
      </c>
      <c r="R6706" t="s">
        <v>19905</v>
      </c>
      <c r="S6706" t="s">
        <v>19906</v>
      </c>
      <c r="T6706" t="s">
        <v>19901</v>
      </c>
    </row>
    <row r="6707" spans="2:20" x14ac:dyDescent="0.25">
      <c r="B6707" t="s">
        <v>2709</v>
      </c>
      <c r="C6707">
        <v>68159913</v>
      </c>
      <c r="E6707">
        <v>71.78</v>
      </c>
      <c r="F6707">
        <v>18</v>
      </c>
      <c r="G6707">
        <v>10</v>
      </c>
      <c r="H6707">
        <v>7.6</v>
      </c>
      <c r="I6707">
        <v>1.65</v>
      </c>
      <c r="J6707">
        <v>2</v>
      </c>
      <c r="L6707" t="s">
        <v>2709</v>
      </c>
      <c r="M6707">
        <v>68159913</v>
      </c>
      <c r="O6707" t="s">
        <v>20056</v>
      </c>
      <c r="P6707" t="s">
        <v>19899</v>
      </c>
      <c r="Q6707" t="s">
        <v>19904</v>
      </c>
      <c r="R6707" t="s">
        <v>19905</v>
      </c>
      <c r="S6707" t="s">
        <v>19906</v>
      </c>
      <c r="T6707" t="s">
        <v>19901</v>
      </c>
    </row>
    <row r="6708" spans="2:20" x14ac:dyDescent="0.25">
      <c r="B6708" t="s">
        <v>2709</v>
      </c>
      <c r="C6708">
        <v>68159914</v>
      </c>
      <c r="E6708">
        <v>71.78</v>
      </c>
      <c r="F6708">
        <v>18</v>
      </c>
      <c r="G6708">
        <v>10</v>
      </c>
      <c r="H6708">
        <v>7.6</v>
      </c>
      <c r="I6708">
        <v>1.65</v>
      </c>
      <c r="J6708">
        <v>2</v>
      </c>
      <c r="L6708" t="s">
        <v>2709</v>
      </c>
      <c r="M6708">
        <v>68159914</v>
      </c>
      <c r="O6708" t="s">
        <v>20056</v>
      </c>
      <c r="P6708" t="s">
        <v>19899</v>
      </c>
      <c r="Q6708" t="s">
        <v>19904</v>
      </c>
      <c r="R6708" t="s">
        <v>19905</v>
      </c>
      <c r="S6708" t="s">
        <v>19906</v>
      </c>
      <c r="T6708" t="s">
        <v>19901</v>
      </c>
    </row>
    <row r="6709" spans="2:20" x14ac:dyDescent="0.25">
      <c r="B6709" t="s">
        <v>2709</v>
      </c>
      <c r="C6709">
        <v>68159919</v>
      </c>
      <c r="E6709">
        <v>71.78</v>
      </c>
      <c r="F6709">
        <v>18</v>
      </c>
      <c r="G6709">
        <v>10</v>
      </c>
      <c r="H6709">
        <v>7.6</v>
      </c>
      <c r="I6709">
        <v>1.65</v>
      </c>
      <c r="J6709">
        <v>14</v>
      </c>
      <c r="L6709" t="s">
        <v>2709</v>
      </c>
      <c r="M6709">
        <v>68159919</v>
      </c>
      <c r="O6709" t="s">
        <v>20056</v>
      </c>
      <c r="P6709" t="s">
        <v>19899</v>
      </c>
      <c r="Q6709" t="s">
        <v>19904</v>
      </c>
      <c r="R6709" t="s">
        <v>19905</v>
      </c>
      <c r="S6709" t="s">
        <v>19906</v>
      </c>
      <c r="T6709" t="s">
        <v>19911</v>
      </c>
    </row>
    <row r="6710" spans="2:20" x14ac:dyDescent="0.25">
      <c r="B6710" t="s">
        <v>2709</v>
      </c>
      <c r="C6710">
        <v>68159990</v>
      </c>
      <c r="E6710">
        <v>71.78</v>
      </c>
      <c r="F6710">
        <v>18</v>
      </c>
      <c r="G6710">
        <v>10</v>
      </c>
      <c r="H6710">
        <v>7.6</v>
      </c>
      <c r="I6710">
        <v>1.65</v>
      </c>
      <c r="J6710">
        <v>14</v>
      </c>
      <c r="L6710" t="s">
        <v>2709</v>
      </c>
      <c r="M6710">
        <v>68159990</v>
      </c>
      <c r="O6710" t="s">
        <v>20056</v>
      </c>
      <c r="P6710" t="s">
        <v>19899</v>
      </c>
      <c r="Q6710" t="s">
        <v>19904</v>
      </c>
      <c r="R6710" t="s">
        <v>19905</v>
      </c>
      <c r="S6710" t="s">
        <v>19906</v>
      </c>
      <c r="T6710" t="s">
        <v>19911</v>
      </c>
    </row>
    <row r="6711" spans="2:20" x14ac:dyDescent="0.25">
      <c r="B6711" t="s">
        <v>2709</v>
      </c>
      <c r="C6711">
        <v>69010000</v>
      </c>
      <c r="E6711">
        <v>101</v>
      </c>
      <c r="F6711">
        <v>18</v>
      </c>
      <c r="G6711">
        <v>8</v>
      </c>
      <c r="H6711">
        <v>7.6</v>
      </c>
      <c r="I6711">
        <v>1.65</v>
      </c>
      <c r="J6711">
        <v>10</v>
      </c>
      <c r="L6711" t="s">
        <v>2709</v>
      </c>
      <c r="M6711">
        <v>69010000</v>
      </c>
      <c r="O6711" t="s">
        <v>20081</v>
      </c>
      <c r="P6711" t="s">
        <v>19899</v>
      </c>
      <c r="Q6711" t="s">
        <v>19918</v>
      </c>
      <c r="R6711" t="s">
        <v>19905</v>
      </c>
      <c r="S6711" t="s">
        <v>19906</v>
      </c>
      <c r="T6711" t="s">
        <v>19904</v>
      </c>
    </row>
    <row r="6712" spans="2:20" x14ac:dyDescent="0.25">
      <c r="B6712" t="s">
        <v>2709</v>
      </c>
      <c r="C6712">
        <v>69021011</v>
      </c>
      <c r="E6712">
        <v>81</v>
      </c>
      <c r="F6712">
        <v>18</v>
      </c>
      <c r="G6712">
        <v>8</v>
      </c>
      <c r="H6712">
        <v>7.6</v>
      </c>
      <c r="I6712">
        <v>1.65</v>
      </c>
      <c r="J6712">
        <v>2</v>
      </c>
      <c r="L6712" t="s">
        <v>2709</v>
      </c>
      <c r="M6712">
        <v>69021011</v>
      </c>
      <c r="O6712" t="s">
        <v>20117</v>
      </c>
      <c r="P6712" t="s">
        <v>19899</v>
      </c>
      <c r="Q6712" t="s">
        <v>19918</v>
      </c>
      <c r="R6712" t="s">
        <v>19905</v>
      </c>
      <c r="S6712" t="s">
        <v>19906</v>
      </c>
      <c r="T6712" t="s">
        <v>19901</v>
      </c>
    </row>
    <row r="6713" spans="2:20" x14ac:dyDescent="0.25">
      <c r="B6713" t="s">
        <v>2709</v>
      </c>
      <c r="C6713">
        <v>69021018</v>
      </c>
      <c r="E6713">
        <v>81</v>
      </c>
      <c r="F6713">
        <v>18</v>
      </c>
      <c r="G6713">
        <v>8</v>
      </c>
      <c r="H6713">
        <v>7.6</v>
      </c>
      <c r="I6713">
        <v>1.65</v>
      </c>
      <c r="J6713">
        <v>35</v>
      </c>
      <c r="L6713" t="s">
        <v>2709</v>
      </c>
      <c r="M6713">
        <v>69021018</v>
      </c>
      <c r="O6713" t="s">
        <v>20117</v>
      </c>
      <c r="P6713" t="s">
        <v>19899</v>
      </c>
      <c r="Q6713" t="s">
        <v>19918</v>
      </c>
      <c r="R6713" t="s">
        <v>19905</v>
      </c>
      <c r="S6713" t="s">
        <v>19906</v>
      </c>
      <c r="T6713" t="s">
        <v>19919</v>
      </c>
    </row>
    <row r="6714" spans="2:20" x14ac:dyDescent="0.25">
      <c r="B6714" t="s">
        <v>2709</v>
      </c>
      <c r="C6714">
        <v>69021019</v>
      </c>
      <c r="E6714">
        <v>81</v>
      </c>
      <c r="F6714">
        <v>18</v>
      </c>
      <c r="G6714">
        <v>8</v>
      </c>
      <c r="H6714">
        <v>7.6</v>
      </c>
      <c r="I6714">
        <v>1.65</v>
      </c>
      <c r="J6714">
        <v>10</v>
      </c>
      <c r="L6714" t="s">
        <v>2709</v>
      </c>
      <c r="M6714">
        <v>69021019</v>
      </c>
      <c r="O6714" t="s">
        <v>20117</v>
      </c>
      <c r="P6714" t="s">
        <v>19899</v>
      </c>
      <c r="Q6714" t="s">
        <v>19918</v>
      </c>
      <c r="R6714" t="s">
        <v>19905</v>
      </c>
      <c r="S6714" t="s">
        <v>19906</v>
      </c>
      <c r="T6714" t="s">
        <v>19904</v>
      </c>
    </row>
    <row r="6715" spans="2:20" x14ac:dyDescent="0.25">
      <c r="B6715" t="s">
        <v>2709</v>
      </c>
      <c r="C6715">
        <v>69021090</v>
      </c>
      <c r="E6715">
        <v>81</v>
      </c>
      <c r="F6715">
        <v>18</v>
      </c>
      <c r="G6715">
        <v>8</v>
      </c>
      <c r="H6715">
        <v>7.6</v>
      </c>
      <c r="I6715">
        <v>1.65</v>
      </c>
      <c r="J6715">
        <v>10</v>
      </c>
      <c r="L6715" t="s">
        <v>2709</v>
      </c>
      <c r="M6715">
        <v>69021090</v>
      </c>
      <c r="O6715" t="s">
        <v>20117</v>
      </c>
      <c r="P6715" t="s">
        <v>19899</v>
      </c>
      <c r="Q6715" t="s">
        <v>19918</v>
      </c>
      <c r="R6715" t="s">
        <v>19905</v>
      </c>
      <c r="S6715" t="s">
        <v>19906</v>
      </c>
      <c r="T6715" t="s">
        <v>19904</v>
      </c>
    </row>
    <row r="6716" spans="2:20" x14ac:dyDescent="0.25">
      <c r="B6716" t="s">
        <v>2709</v>
      </c>
      <c r="C6716">
        <v>69022010</v>
      </c>
      <c r="E6716">
        <v>81</v>
      </c>
      <c r="F6716">
        <v>18</v>
      </c>
      <c r="G6716">
        <v>8</v>
      </c>
      <c r="H6716">
        <v>7.6</v>
      </c>
      <c r="I6716">
        <v>1.65</v>
      </c>
      <c r="J6716">
        <v>10</v>
      </c>
      <c r="L6716" t="s">
        <v>2709</v>
      </c>
      <c r="M6716">
        <v>69022010</v>
      </c>
      <c r="O6716" t="s">
        <v>20117</v>
      </c>
      <c r="P6716" t="s">
        <v>19899</v>
      </c>
      <c r="Q6716" t="s">
        <v>19918</v>
      </c>
      <c r="R6716" t="s">
        <v>19905</v>
      </c>
      <c r="S6716" t="s">
        <v>19906</v>
      </c>
      <c r="T6716" t="s">
        <v>19904</v>
      </c>
    </row>
    <row r="6717" spans="2:20" x14ac:dyDescent="0.25">
      <c r="B6717" t="s">
        <v>2709</v>
      </c>
      <c r="C6717">
        <v>69022091</v>
      </c>
      <c r="E6717">
        <v>81</v>
      </c>
      <c r="F6717">
        <v>18</v>
      </c>
      <c r="G6717">
        <v>8</v>
      </c>
      <c r="H6717">
        <v>7.6</v>
      </c>
      <c r="I6717">
        <v>1.65</v>
      </c>
      <c r="J6717">
        <v>10</v>
      </c>
      <c r="L6717" t="s">
        <v>2709</v>
      </c>
      <c r="M6717">
        <v>69022091</v>
      </c>
      <c r="O6717" t="s">
        <v>20117</v>
      </c>
      <c r="P6717" t="s">
        <v>19899</v>
      </c>
      <c r="Q6717" t="s">
        <v>19918</v>
      </c>
      <c r="R6717" t="s">
        <v>19905</v>
      </c>
      <c r="S6717" t="s">
        <v>19906</v>
      </c>
      <c r="T6717" t="s">
        <v>19904</v>
      </c>
    </row>
    <row r="6718" spans="2:20" x14ac:dyDescent="0.25">
      <c r="B6718" t="s">
        <v>2709</v>
      </c>
      <c r="C6718">
        <v>69022092</v>
      </c>
      <c r="E6718">
        <v>81</v>
      </c>
      <c r="F6718">
        <v>18</v>
      </c>
      <c r="G6718">
        <v>8</v>
      </c>
      <c r="H6718">
        <v>7.6</v>
      </c>
      <c r="I6718">
        <v>1.65</v>
      </c>
      <c r="J6718">
        <v>10</v>
      </c>
      <c r="L6718" t="s">
        <v>2709</v>
      </c>
      <c r="M6718">
        <v>69022092</v>
      </c>
      <c r="O6718" t="s">
        <v>20117</v>
      </c>
      <c r="P6718" t="s">
        <v>19899</v>
      </c>
      <c r="Q6718" t="s">
        <v>19918</v>
      </c>
      <c r="R6718" t="s">
        <v>19905</v>
      </c>
      <c r="S6718" t="s">
        <v>19906</v>
      </c>
      <c r="T6718" t="s">
        <v>19904</v>
      </c>
    </row>
    <row r="6719" spans="2:20" x14ac:dyDescent="0.25">
      <c r="B6719" t="s">
        <v>2709</v>
      </c>
      <c r="C6719">
        <v>69022093</v>
      </c>
      <c r="E6719">
        <v>81</v>
      </c>
      <c r="F6719">
        <v>18</v>
      </c>
      <c r="G6719">
        <v>8</v>
      </c>
      <c r="H6719">
        <v>7.6</v>
      </c>
      <c r="I6719">
        <v>1.65</v>
      </c>
      <c r="J6719">
        <v>10</v>
      </c>
      <c r="L6719" t="s">
        <v>2709</v>
      </c>
      <c r="M6719">
        <v>69022093</v>
      </c>
      <c r="O6719" t="s">
        <v>20117</v>
      </c>
      <c r="P6719" t="s">
        <v>19899</v>
      </c>
      <c r="Q6719" t="s">
        <v>19918</v>
      </c>
      <c r="R6719" t="s">
        <v>19905</v>
      </c>
      <c r="S6719" t="s">
        <v>19906</v>
      </c>
      <c r="T6719" t="s">
        <v>19904</v>
      </c>
    </row>
    <row r="6720" spans="2:20" x14ac:dyDescent="0.25">
      <c r="B6720" t="s">
        <v>2709</v>
      </c>
      <c r="C6720">
        <v>69022099</v>
      </c>
      <c r="E6720">
        <v>81</v>
      </c>
      <c r="F6720">
        <v>18</v>
      </c>
      <c r="G6720">
        <v>8</v>
      </c>
      <c r="H6720">
        <v>7.6</v>
      </c>
      <c r="I6720">
        <v>1.65</v>
      </c>
      <c r="J6720">
        <v>10</v>
      </c>
      <c r="L6720" t="s">
        <v>2709</v>
      </c>
      <c r="M6720">
        <v>69022099</v>
      </c>
      <c r="O6720" t="s">
        <v>20117</v>
      </c>
      <c r="P6720" t="s">
        <v>19899</v>
      </c>
      <c r="Q6720" t="s">
        <v>19918</v>
      </c>
      <c r="R6720" t="s">
        <v>19905</v>
      </c>
      <c r="S6720" t="s">
        <v>19906</v>
      </c>
      <c r="T6720" t="s">
        <v>19904</v>
      </c>
    </row>
    <row r="6721" spans="2:20" x14ac:dyDescent="0.25">
      <c r="B6721" t="s">
        <v>2709</v>
      </c>
      <c r="C6721">
        <v>69029010</v>
      </c>
      <c r="E6721">
        <v>81</v>
      </c>
      <c r="F6721">
        <v>18</v>
      </c>
      <c r="G6721">
        <v>8</v>
      </c>
      <c r="H6721">
        <v>7.6</v>
      </c>
      <c r="I6721">
        <v>1.65</v>
      </c>
      <c r="J6721">
        <v>10</v>
      </c>
      <c r="L6721" t="s">
        <v>2709</v>
      </c>
      <c r="M6721">
        <v>69029010</v>
      </c>
      <c r="O6721" t="s">
        <v>20117</v>
      </c>
      <c r="P6721" t="s">
        <v>19899</v>
      </c>
      <c r="Q6721" t="s">
        <v>19918</v>
      </c>
      <c r="R6721" t="s">
        <v>19905</v>
      </c>
      <c r="S6721" t="s">
        <v>19906</v>
      </c>
      <c r="T6721" t="s">
        <v>19904</v>
      </c>
    </row>
    <row r="6722" spans="2:20" x14ac:dyDescent="0.25">
      <c r="B6722" t="s">
        <v>2709</v>
      </c>
      <c r="C6722">
        <v>69029020</v>
      </c>
      <c r="E6722">
        <v>81</v>
      </c>
      <c r="F6722">
        <v>18</v>
      </c>
      <c r="G6722">
        <v>8</v>
      </c>
      <c r="H6722">
        <v>7.6</v>
      </c>
      <c r="I6722">
        <v>1.65</v>
      </c>
      <c r="J6722">
        <v>10</v>
      </c>
      <c r="L6722" t="s">
        <v>2709</v>
      </c>
      <c r="M6722">
        <v>69029020</v>
      </c>
      <c r="O6722" t="s">
        <v>20117</v>
      </c>
      <c r="P6722" t="s">
        <v>19899</v>
      </c>
      <c r="Q6722" t="s">
        <v>19918</v>
      </c>
      <c r="R6722" t="s">
        <v>19905</v>
      </c>
      <c r="S6722" t="s">
        <v>19906</v>
      </c>
      <c r="T6722" t="s">
        <v>19904</v>
      </c>
    </row>
    <row r="6723" spans="2:20" x14ac:dyDescent="0.25">
      <c r="B6723" t="s">
        <v>2709</v>
      </c>
      <c r="C6723">
        <v>69029030</v>
      </c>
      <c r="E6723">
        <v>81</v>
      </c>
      <c r="F6723">
        <v>18</v>
      </c>
      <c r="G6723">
        <v>8</v>
      </c>
      <c r="H6723">
        <v>7.6</v>
      </c>
      <c r="I6723">
        <v>1.65</v>
      </c>
      <c r="J6723">
        <v>2</v>
      </c>
      <c r="L6723" t="s">
        <v>2709</v>
      </c>
      <c r="M6723">
        <v>69029030</v>
      </c>
      <c r="O6723" t="s">
        <v>20117</v>
      </c>
      <c r="P6723" t="s">
        <v>19899</v>
      </c>
      <c r="Q6723" t="s">
        <v>19918</v>
      </c>
      <c r="R6723" t="s">
        <v>19905</v>
      </c>
      <c r="S6723" t="s">
        <v>19906</v>
      </c>
      <c r="T6723" t="s">
        <v>19901</v>
      </c>
    </row>
    <row r="6724" spans="2:20" x14ac:dyDescent="0.25">
      <c r="B6724" t="s">
        <v>2709</v>
      </c>
      <c r="C6724">
        <v>69029040</v>
      </c>
      <c r="E6724">
        <v>81</v>
      </c>
      <c r="F6724">
        <v>18</v>
      </c>
      <c r="G6724">
        <v>8</v>
      </c>
      <c r="H6724">
        <v>7.6</v>
      </c>
      <c r="I6724">
        <v>1.65</v>
      </c>
      <c r="J6724">
        <v>10</v>
      </c>
      <c r="L6724" t="s">
        <v>2709</v>
      </c>
      <c r="M6724">
        <v>69029040</v>
      </c>
      <c r="O6724" t="s">
        <v>20117</v>
      </c>
      <c r="P6724" t="s">
        <v>19899</v>
      </c>
      <c r="Q6724" t="s">
        <v>19918</v>
      </c>
      <c r="R6724" t="s">
        <v>19905</v>
      </c>
      <c r="S6724" t="s">
        <v>19906</v>
      </c>
      <c r="T6724" t="s">
        <v>19904</v>
      </c>
    </row>
    <row r="6725" spans="2:20" x14ac:dyDescent="0.25">
      <c r="B6725" t="s">
        <v>2709</v>
      </c>
      <c r="C6725">
        <v>69029090</v>
      </c>
      <c r="E6725">
        <v>81</v>
      </c>
      <c r="F6725">
        <v>18</v>
      </c>
      <c r="G6725">
        <v>8</v>
      </c>
      <c r="H6725">
        <v>7.6</v>
      </c>
      <c r="I6725">
        <v>1.65</v>
      </c>
      <c r="J6725">
        <v>10</v>
      </c>
      <c r="L6725" t="s">
        <v>2709</v>
      </c>
      <c r="M6725">
        <v>69029090</v>
      </c>
      <c r="O6725" t="s">
        <v>20117</v>
      </c>
      <c r="P6725" t="s">
        <v>19899</v>
      </c>
      <c r="Q6725" t="s">
        <v>19918</v>
      </c>
      <c r="R6725" t="s">
        <v>19905</v>
      </c>
      <c r="S6725" t="s">
        <v>19906</v>
      </c>
      <c r="T6725" t="s">
        <v>19904</v>
      </c>
    </row>
    <row r="6726" spans="2:20" x14ac:dyDescent="0.25">
      <c r="B6726" t="s">
        <v>2709</v>
      </c>
      <c r="C6726">
        <v>69031011</v>
      </c>
      <c r="E6726">
        <v>101</v>
      </c>
      <c r="F6726">
        <v>18</v>
      </c>
      <c r="G6726">
        <v>8</v>
      </c>
      <c r="H6726" t="s">
        <v>19447</v>
      </c>
      <c r="I6726" t="s">
        <v>19447</v>
      </c>
      <c r="J6726">
        <v>10</v>
      </c>
      <c r="L6726" t="s">
        <v>2709</v>
      </c>
      <c r="M6726">
        <v>69031011</v>
      </c>
      <c r="O6726" t="s">
        <v>20081</v>
      </c>
      <c r="P6726" t="s">
        <v>19899</v>
      </c>
      <c r="Q6726" t="s">
        <v>19918</v>
      </c>
      <c r="R6726" t="s">
        <v>19447</v>
      </c>
      <c r="S6726" t="s">
        <v>19447</v>
      </c>
      <c r="T6726" t="s">
        <v>19904</v>
      </c>
    </row>
    <row r="6727" spans="2:20" x14ac:dyDescent="0.25">
      <c r="B6727" t="s">
        <v>2709</v>
      </c>
      <c r="C6727">
        <v>69031012</v>
      </c>
      <c r="E6727">
        <v>101</v>
      </c>
      <c r="F6727">
        <v>18</v>
      </c>
      <c r="G6727">
        <v>8</v>
      </c>
      <c r="H6727" t="s">
        <v>19447</v>
      </c>
      <c r="I6727" t="s">
        <v>19447</v>
      </c>
      <c r="J6727">
        <v>10</v>
      </c>
      <c r="L6727" t="s">
        <v>2709</v>
      </c>
      <c r="M6727">
        <v>69031012</v>
      </c>
      <c r="O6727" t="s">
        <v>20081</v>
      </c>
      <c r="P6727" t="s">
        <v>19899</v>
      </c>
      <c r="Q6727" t="s">
        <v>19918</v>
      </c>
      <c r="R6727" t="s">
        <v>19447</v>
      </c>
      <c r="S6727" t="s">
        <v>19447</v>
      </c>
      <c r="T6727" t="s">
        <v>19904</v>
      </c>
    </row>
    <row r="6728" spans="2:20" x14ac:dyDescent="0.25">
      <c r="B6728" t="s">
        <v>2709</v>
      </c>
      <c r="C6728">
        <v>69031019</v>
      </c>
      <c r="E6728">
        <v>101</v>
      </c>
      <c r="F6728">
        <v>18</v>
      </c>
      <c r="G6728">
        <v>8</v>
      </c>
      <c r="H6728" t="s">
        <v>19447</v>
      </c>
      <c r="I6728" t="s">
        <v>19447</v>
      </c>
      <c r="J6728">
        <v>10</v>
      </c>
      <c r="L6728" t="s">
        <v>2709</v>
      </c>
      <c r="M6728">
        <v>69031019</v>
      </c>
      <c r="O6728" t="s">
        <v>20081</v>
      </c>
      <c r="P6728" t="s">
        <v>19899</v>
      </c>
      <c r="Q6728" t="s">
        <v>19918</v>
      </c>
      <c r="R6728" t="s">
        <v>19447</v>
      </c>
      <c r="S6728" t="s">
        <v>19447</v>
      </c>
      <c r="T6728" t="s">
        <v>19904</v>
      </c>
    </row>
    <row r="6729" spans="2:20" x14ac:dyDescent="0.25">
      <c r="B6729" t="s">
        <v>2709</v>
      </c>
      <c r="C6729">
        <v>69031020</v>
      </c>
      <c r="E6729">
        <v>101</v>
      </c>
      <c r="F6729">
        <v>18</v>
      </c>
      <c r="G6729">
        <v>8</v>
      </c>
      <c r="H6729" t="s">
        <v>19447</v>
      </c>
      <c r="I6729" t="s">
        <v>19447</v>
      </c>
      <c r="J6729">
        <v>10</v>
      </c>
      <c r="L6729" t="s">
        <v>2709</v>
      </c>
      <c r="M6729">
        <v>69031020</v>
      </c>
      <c r="O6729" t="s">
        <v>20081</v>
      </c>
      <c r="P6729" t="s">
        <v>19899</v>
      </c>
      <c r="Q6729" t="s">
        <v>19918</v>
      </c>
      <c r="R6729" t="s">
        <v>19447</v>
      </c>
      <c r="S6729" t="s">
        <v>19447</v>
      </c>
      <c r="T6729" t="s">
        <v>19904</v>
      </c>
    </row>
    <row r="6730" spans="2:20" x14ac:dyDescent="0.25">
      <c r="B6730" t="s">
        <v>2709</v>
      </c>
      <c r="C6730">
        <v>69031030</v>
      </c>
      <c r="E6730">
        <v>101</v>
      </c>
      <c r="F6730">
        <v>18</v>
      </c>
      <c r="G6730">
        <v>8</v>
      </c>
      <c r="H6730" t="s">
        <v>19447</v>
      </c>
      <c r="I6730" t="s">
        <v>19447</v>
      </c>
      <c r="J6730">
        <v>10</v>
      </c>
      <c r="L6730" t="s">
        <v>2709</v>
      </c>
      <c r="M6730">
        <v>69031030</v>
      </c>
      <c r="O6730" t="s">
        <v>20081</v>
      </c>
      <c r="P6730" t="s">
        <v>19899</v>
      </c>
      <c r="Q6730" t="s">
        <v>19918</v>
      </c>
      <c r="R6730" t="s">
        <v>19447</v>
      </c>
      <c r="S6730" t="s">
        <v>19447</v>
      </c>
      <c r="T6730" t="s">
        <v>19904</v>
      </c>
    </row>
    <row r="6731" spans="2:20" x14ac:dyDescent="0.25">
      <c r="B6731" t="s">
        <v>2709</v>
      </c>
      <c r="C6731">
        <v>69031040</v>
      </c>
      <c r="E6731">
        <v>101</v>
      </c>
      <c r="F6731">
        <v>18</v>
      </c>
      <c r="G6731">
        <v>8</v>
      </c>
      <c r="H6731" t="s">
        <v>19447</v>
      </c>
      <c r="I6731" t="s">
        <v>19447</v>
      </c>
      <c r="J6731">
        <v>10</v>
      </c>
      <c r="L6731" t="s">
        <v>2709</v>
      </c>
      <c r="M6731">
        <v>69031040</v>
      </c>
      <c r="O6731" t="s">
        <v>20081</v>
      </c>
      <c r="P6731" t="s">
        <v>19899</v>
      </c>
      <c r="Q6731" t="s">
        <v>19918</v>
      </c>
      <c r="R6731" t="s">
        <v>19447</v>
      </c>
      <c r="S6731" t="s">
        <v>19447</v>
      </c>
      <c r="T6731" t="s">
        <v>19904</v>
      </c>
    </row>
    <row r="6732" spans="2:20" x14ac:dyDescent="0.25">
      <c r="B6732" t="s">
        <v>2709</v>
      </c>
      <c r="C6732">
        <v>69031090</v>
      </c>
      <c r="E6732">
        <v>101</v>
      </c>
      <c r="F6732">
        <v>18</v>
      </c>
      <c r="G6732">
        <v>8</v>
      </c>
      <c r="H6732" t="s">
        <v>19447</v>
      </c>
      <c r="I6732" t="s">
        <v>19447</v>
      </c>
      <c r="J6732">
        <v>10</v>
      </c>
      <c r="L6732" t="s">
        <v>2709</v>
      </c>
      <c r="M6732">
        <v>69031090</v>
      </c>
      <c r="O6732" t="s">
        <v>20081</v>
      </c>
      <c r="P6732" t="s">
        <v>19899</v>
      </c>
      <c r="Q6732" t="s">
        <v>19918</v>
      </c>
      <c r="R6732" t="s">
        <v>19447</v>
      </c>
      <c r="S6732" t="s">
        <v>19447</v>
      </c>
      <c r="T6732" t="s">
        <v>19904</v>
      </c>
    </row>
    <row r="6733" spans="2:20" x14ac:dyDescent="0.25">
      <c r="B6733" t="s">
        <v>2709</v>
      </c>
      <c r="C6733">
        <v>69032010</v>
      </c>
      <c r="E6733">
        <v>101</v>
      </c>
      <c r="F6733">
        <v>18</v>
      </c>
      <c r="G6733">
        <v>8</v>
      </c>
      <c r="H6733" t="s">
        <v>19447</v>
      </c>
      <c r="I6733" t="s">
        <v>19447</v>
      </c>
      <c r="J6733">
        <v>10</v>
      </c>
      <c r="L6733" t="s">
        <v>2709</v>
      </c>
      <c r="M6733">
        <v>69032010</v>
      </c>
      <c r="O6733" t="s">
        <v>20081</v>
      </c>
      <c r="P6733" t="s">
        <v>19899</v>
      </c>
      <c r="Q6733" t="s">
        <v>19918</v>
      </c>
      <c r="R6733" t="s">
        <v>19447</v>
      </c>
      <c r="S6733" t="s">
        <v>19447</v>
      </c>
      <c r="T6733" t="s">
        <v>19904</v>
      </c>
    </row>
    <row r="6734" spans="2:20" x14ac:dyDescent="0.25">
      <c r="B6734" t="s">
        <v>2709</v>
      </c>
      <c r="C6734">
        <v>69032020</v>
      </c>
      <c r="E6734">
        <v>101</v>
      </c>
      <c r="F6734">
        <v>18</v>
      </c>
      <c r="G6734">
        <v>8</v>
      </c>
      <c r="H6734" t="s">
        <v>19447</v>
      </c>
      <c r="I6734" t="s">
        <v>19447</v>
      </c>
      <c r="J6734">
        <v>10</v>
      </c>
      <c r="L6734" t="s">
        <v>2709</v>
      </c>
      <c r="M6734">
        <v>69032020</v>
      </c>
      <c r="O6734" t="s">
        <v>20081</v>
      </c>
      <c r="P6734" t="s">
        <v>19899</v>
      </c>
      <c r="Q6734" t="s">
        <v>19918</v>
      </c>
      <c r="R6734" t="s">
        <v>19447</v>
      </c>
      <c r="S6734" t="s">
        <v>19447</v>
      </c>
      <c r="T6734" t="s">
        <v>19904</v>
      </c>
    </row>
    <row r="6735" spans="2:20" x14ac:dyDescent="0.25">
      <c r="B6735" t="s">
        <v>2709</v>
      </c>
      <c r="C6735">
        <v>69032030</v>
      </c>
      <c r="E6735">
        <v>101</v>
      </c>
      <c r="F6735">
        <v>18</v>
      </c>
      <c r="G6735">
        <v>8</v>
      </c>
      <c r="H6735" t="s">
        <v>19447</v>
      </c>
      <c r="I6735" t="s">
        <v>19447</v>
      </c>
      <c r="J6735">
        <v>10</v>
      </c>
      <c r="L6735" t="s">
        <v>2709</v>
      </c>
      <c r="M6735">
        <v>69032030</v>
      </c>
      <c r="O6735" t="s">
        <v>20081</v>
      </c>
      <c r="P6735" t="s">
        <v>19899</v>
      </c>
      <c r="Q6735" t="s">
        <v>19918</v>
      </c>
      <c r="R6735" t="s">
        <v>19447</v>
      </c>
      <c r="S6735" t="s">
        <v>19447</v>
      </c>
      <c r="T6735" t="s">
        <v>19904</v>
      </c>
    </row>
    <row r="6736" spans="2:20" x14ac:dyDescent="0.25">
      <c r="B6736" t="s">
        <v>2709</v>
      </c>
      <c r="C6736">
        <v>69032090</v>
      </c>
      <c r="E6736">
        <v>101</v>
      </c>
      <c r="F6736">
        <v>18</v>
      </c>
      <c r="G6736">
        <v>8</v>
      </c>
      <c r="H6736" t="s">
        <v>19447</v>
      </c>
      <c r="I6736" t="s">
        <v>19447</v>
      </c>
      <c r="J6736">
        <v>10</v>
      </c>
      <c r="L6736" t="s">
        <v>2709</v>
      </c>
      <c r="M6736">
        <v>69032090</v>
      </c>
      <c r="O6736" t="s">
        <v>20081</v>
      </c>
      <c r="P6736" t="s">
        <v>19899</v>
      </c>
      <c r="Q6736" t="s">
        <v>19918</v>
      </c>
      <c r="R6736" t="s">
        <v>19447</v>
      </c>
      <c r="S6736" t="s">
        <v>19447</v>
      </c>
      <c r="T6736" t="s">
        <v>19904</v>
      </c>
    </row>
    <row r="6737" spans="2:20" x14ac:dyDescent="0.25">
      <c r="B6737" t="s">
        <v>2709</v>
      </c>
      <c r="C6737">
        <v>69039011</v>
      </c>
      <c r="E6737">
        <v>101</v>
      </c>
      <c r="F6737">
        <v>18</v>
      </c>
      <c r="G6737">
        <v>8</v>
      </c>
      <c r="H6737" t="s">
        <v>19447</v>
      </c>
      <c r="I6737" t="s">
        <v>19447</v>
      </c>
      <c r="J6737">
        <v>10</v>
      </c>
      <c r="L6737" t="s">
        <v>2709</v>
      </c>
      <c r="M6737">
        <v>69039011</v>
      </c>
      <c r="O6737" t="s">
        <v>20081</v>
      </c>
      <c r="P6737" t="s">
        <v>19899</v>
      </c>
      <c r="Q6737" t="s">
        <v>19918</v>
      </c>
      <c r="R6737" t="s">
        <v>19447</v>
      </c>
      <c r="S6737" t="s">
        <v>19447</v>
      </c>
      <c r="T6737" t="s">
        <v>19904</v>
      </c>
    </row>
    <row r="6738" spans="2:20" x14ac:dyDescent="0.25">
      <c r="B6738" t="s">
        <v>2709</v>
      </c>
      <c r="C6738">
        <v>69039012</v>
      </c>
      <c r="E6738">
        <v>101</v>
      </c>
      <c r="F6738">
        <v>18</v>
      </c>
      <c r="G6738">
        <v>8</v>
      </c>
      <c r="H6738" t="s">
        <v>19447</v>
      </c>
      <c r="I6738" t="s">
        <v>19447</v>
      </c>
      <c r="J6738">
        <v>10</v>
      </c>
      <c r="L6738" t="s">
        <v>2709</v>
      </c>
      <c r="M6738">
        <v>69039012</v>
      </c>
      <c r="O6738" t="s">
        <v>20081</v>
      </c>
      <c r="P6738" t="s">
        <v>19899</v>
      </c>
      <c r="Q6738" t="s">
        <v>19918</v>
      </c>
      <c r="R6738" t="s">
        <v>19447</v>
      </c>
      <c r="S6738" t="s">
        <v>19447</v>
      </c>
      <c r="T6738" t="s">
        <v>19904</v>
      </c>
    </row>
    <row r="6739" spans="2:20" x14ac:dyDescent="0.25">
      <c r="B6739" t="s">
        <v>2709</v>
      </c>
      <c r="C6739">
        <v>69039019</v>
      </c>
      <c r="E6739">
        <v>101</v>
      </c>
      <c r="F6739">
        <v>18</v>
      </c>
      <c r="G6739">
        <v>8</v>
      </c>
      <c r="H6739" t="s">
        <v>19447</v>
      </c>
      <c r="I6739" t="s">
        <v>19447</v>
      </c>
      <c r="J6739">
        <v>10</v>
      </c>
      <c r="L6739" t="s">
        <v>2709</v>
      </c>
      <c r="M6739">
        <v>69039019</v>
      </c>
      <c r="O6739" t="s">
        <v>20081</v>
      </c>
      <c r="P6739" t="s">
        <v>19899</v>
      </c>
      <c r="Q6739" t="s">
        <v>19918</v>
      </c>
      <c r="R6739" t="s">
        <v>19447</v>
      </c>
      <c r="S6739" t="s">
        <v>19447</v>
      </c>
      <c r="T6739" t="s">
        <v>19904</v>
      </c>
    </row>
    <row r="6740" spans="2:20" x14ac:dyDescent="0.25">
      <c r="B6740" t="s">
        <v>2709</v>
      </c>
      <c r="C6740">
        <v>69039091</v>
      </c>
      <c r="E6740">
        <v>101</v>
      </c>
      <c r="F6740">
        <v>18</v>
      </c>
      <c r="G6740">
        <v>8</v>
      </c>
      <c r="H6740" t="s">
        <v>19447</v>
      </c>
      <c r="I6740" t="s">
        <v>19447</v>
      </c>
      <c r="J6740">
        <v>10</v>
      </c>
      <c r="L6740" t="s">
        <v>2709</v>
      </c>
      <c r="M6740">
        <v>69039091</v>
      </c>
      <c r="O6740" t="s">
        <v>20081</v>
      </c>
      <c r="P6740" t="s">
        <v>19899</v>
      </c>
      <c r="Q6740" t="s">
        <v>19918</v>
      </c>
      <c r="R6740" t="s">
        <v>19447</v>
      </c>
      <c r="S6740" t="s">
        <v>19447</v>
      </c>
      <c r="T6740" t="s">
        <v>19904</v>
      </c>
    </row>
    <row r="6741" spans="2:20" x14ac:dyDescent="0.25">
      <c r="B6741" t="s">
        <v>2709</v>
      </c>
      <c r="C6741">
        <v>69039092</v>
      </c>
      <c r="E6741">
        <v>101</v>
      </c>
      <c r="F6741">
        <v>18</v>
      </c>
      <c r="G6741">
        <v>8</v>
      </c>
      <c r="H6741" t="s">
        <v>19447</v>
      </c>
      <c r="I6741" t="s">
        <v>19447</v>
      </c>
      <c r="J6741">
        <v>10</v>
      </c>
      <c r="L6741" t="s">
        <v>2709</v>
      </c>
      <c r="M6741">
        <v>69039092</v>
      </c>
      <c r="O6741" t="s">
        <v>20081</v>
      </c>
      <c r="P6741" t="s">
        <v>19899</v>
      </c>
      <c r="Q6741" t="s">
        <v>19918</v>
      </c>
      <c r="R6741" t="s">
        <v>19447</v>
      </c>
      <c r="S6741" t="s">
        <v>19447</v>
      </c>
      <c r="T6741" t="s">
        <v>19904</v>
      </c>
    </row>
    <row r="6742" spans="2:20" x14ac:dyDescent="0.25">
      <c r="B6742" t="s">
        <v>2709</v>
      </c>
      <c r="C6742">
        <v>69039099</v>
      </c>
      <c r="E6742">
        <v>71.78</v>
      </c>
      <c r="F6742">
        <v>18</v>
      </c>
      <c r="G6742">
        <v>8</v>
      </c>
      <c r="H6742" t="s">
        <v>19447</v>
      </c>
      <c r="I6742" t="s">
        <v>19447</v>
      </c>
      <c r="J6742">
        <v>10</v>
      </c>
      <c r="L6742" t="s">
        <v>2709</v>
      </c>
      <c r="M6742">
        <v>69039099</v>
      </c>
      <c r="O6742" t="s">
        <v>20056</v>
      </c>
      <c r="P6742" t="s">
        <v>19899</v>
      </c>
      <c r="Q6742" t="s">
        <v>19918</v>
      </c>
      <c r="R6742" t="s">
        <v>19447</v>
      </c>
      <c r="S6742" t="s">
        <v>19447</v>
      </c>
      <c r="T6742" t="s">
        <v>19904</v>
      </c>
    </row>
    <row r="6743" spans="2:20" x14ac:dyDescent="0.25">
      <c r="B6743" t="s">
        <v>2709</v>
      </c>
      <c r="C6743">
        <v>69041000</v>
      </c>
      <c r="E6743">
        <v>76</v>
      </c>
      <c r="F6743">
        <v>12</v>
      </c>
      <c r="G6743">
        <v>0</v>
      </c>
      <c r="H6743">
        <v>7.6</v>
      </c>
      <c r="I6743">
        <v>1.65</v>
      </c>
      <c r="J6743">
        <v>12</v>
      </c>
      <c r="L6743" t="s">
        <v>2709</v>
      </c>
      <c r="M6743">
        <v>69041000</v>
      </c>
      <c r="O6743" t="s">
        <v>20118</v>
      </c>
      <c r="P6743" t="s">
        <v>19903</v>
      </c>
      <c r="Q6743" t="s">
        <v>19900</v>
      </c>
      <c r="R6743" t="s">
        <v>19905</v>
      </c>
      <c r="S6743" t="s">
        <v>19906</v>
      </c>
      <c r="T6743" t="s">
        <v>19903</v>
      </c>
    </row>
    <row r="6744" spans="2:20" x14ac:dyDescent="0.25">
      <c r="B6744" t="s">
        <v>2709</v>
      </c>
      <c r="C6744">
        <v>69049000</v>
      </c>
      <c r="E6744">
        <v>76</v>
      </c>
      <c r="F6744">
        <v>12</v>
      </c>
      <c r="G6744">
        <v>0</v>
      </c>
      <c r="H6744">
        <v>7.6</v>
      </c>
      <c r="I6744">
        <v>1.65</v>
      </c>
      <c r="J6744">
        <v>12</v>
      </c>
      <c r="L6744" t="s">
        <v>2709</v>
      </c>
      <c r="M6744">
        <v>69049000</v>
      </c>
      <c r="O6744" t="s">
        <v>20118</v>
      </c>
      <c r="P6744" t="s">
        <v>19903</v>
      </c>
      <c r="Q6744" t="s">
        <v>19900</v>
      </c>
      <c r="R6744" t="s">
        <v>19905</v>
      </c>
      <c r="S6744" t="s">
        <v>19906</v>
      </c>
      <c r="T6744" t="s">
        <v>19903</v>
      </c>
    </row>
    <row r="6745" spans="2:20" x14ac:dyDescent="0.25">
      <c r="B6745" t="s">
        <v>2709</v>
      </c>
      <c r="C6745">
        <v>69051000</v>
      </c>
      <c r="E6745">
        <v>69</v>
      </c>
      <c r="F6745">
        <v>12</v>
      </c>
      <c r="G6745">
        <v>0</v>
      </c>
      <c r="H6745">
        <v>7.6</v>
      </c>
      <c r="I6745">
        <v>1.65</v>
      </c>
      <c r="J6745">
        <v>12</v>
      </c>
      <c r="L6745" t="s">
        <v>2709</v>
      </c>
      <c r="M6745">
        <v>69051000</v>
      </c>
      <c r="O6745" t="s">
        <v>20119</v>
      </c>
      <c r="P6745" t="s">
        <v>19903</v>
      </c>
      <c r="Q6745" t="s">
        <v>19900</v>
      </c>
      <c r="R6745" t="s">
        <v>19905</v>
      </c>
      <c r="S6745" t="s">
        <v>19906</v>
      </c>
      <c r="T6745" t="s">
        <v>19903</v>
      </c>
    </row>
    <row r="6746" spans="2:20" x14ac:dyDescent="0.25">
      <c r="B6746" t="s">
        <v>2709</v>
      </c>
      <c r="C6746">
        <v>69059000</v>
      </c>
      <c r="E6746">
        <v>69</v>
      </c>
      <c r="F6746">
        <v>18</v>
      </c>
      <c r="G6746">
        <v>0</v>
      </c>
      <c r="H6746">
        <v>7.6</v>
      </c>
      <c r="I6746">
        <v>1.65</v>
      </c>
      <c r="J6746">
        <v>12</v>
      </c>
      <c r="L6746" t="s">
        <v>2709</v>
      </c>
      <c r="M6746">
        <v>69059000</v>
      </c>
      <c r="O6746" t="s">
        <v>20119</v>
      </c>
      <c r="P6746" t="s">
        <v>19899</v>
      </c>
      <c r="Q6746" t="s">
        <v>19900</v>
      </c>
      <c r="R6746" t="s">
        <v>19905</v>
      </c>
      <c r="S6746" t="s">
        <v>19906</v>
      </c>
      <c r="T6746" t="s">
        <v>19903</v>
      </c>
    </row>
    <row r="6747" spans="2:20" x14ac:dyDescent="0.25">
      <c r="B6747" t="s">
        <v>2709</v>
      </c>
      <c r="C6747">
        <v>69060000</v>
      </c>
      <c r="E6747">
        <v>91</v>
      </c>
      <c r="F6747">
        <v>12</v>
      </c>
      <c r="G6747">
        <v>0</v>
      </c>
      <c r="H6747">
        <v>7.6</v>
      </c>
      <c r="I6747">
        <v>1.65</v>
      </c>
      <c r="J6747">
        <v>12</v>
      </c>
      <c r="L6747" t="s">
        <v>2709</v>
      </c>
      <c r="M6747">
        <v>69060000</v>
      </c>
      <c r="O6747" t="s">
        <v>20120</v>
      </c>
      <c r="P6747" t="s">
        <v>19903</v>
      </c>
      <c r="Q6747" t="s">
        <v>19900</v>
      </c>
      <c r="R6747" t="s">
        <v>19905</v>
      </c>
      <c r="S6747" t="s">
        <v>19906</v>
      </c>
      <c r="T6747" t="s">
        <v>19903</v>
      </c>
    </row>
    <row r="6748" spans="2:20" x14ac:dyDescent="0.25">
      <c r="B6748" t="s">
        <v>2709</v>
      </c>
      <c r="C6748">
        <v>69071000</v>
      </c>
      <c r="E6748">
        <v>53</v>
      </c>
      <c r="F6748">
        <v>12</v>
      </c>
      <c r="G6748">
        <v>0</v>
      </c>
      <c r="H6748">
        <v>7.6</v>
      </c>
      <c r="I6748">
        <v>1.65</v>
      </c>
      <c r="J6748">
        <v>12</v>
      </c>
      <c r="L6748" t="s">
        <v>2709</v>
      </c>
      <c r="M6748">
        <v>69071000</v>
      </c>
      <c r="O6748" t="s">
        <v>20037</v>
      </c>
      <c r="P6748" t="s">
        <v>19903</v>
      </c>
      <c r="Q6748" t="s">
        <v>19900</v>
      </c>
      <c r="R6748" t="s">
        <v>19905</v>
      </c>
      <c r="S6748" t="s">
        <v>19906</v>
      </c>
      <c r="T6748" t="s">
        <v>19903</v>
      </c>
    </row>
    <row r="6749" spans="2:20" x14ac:dyDescent="0.25">
      <c r="B6749" t="s">
        <v>2709</v>
      </c>
      <c r="C6749">
        <v>69079000</v>
      </c>
      <c r="E6749">
        <v>53</v>
      </c>
      <c r="F6749">
        <v>12</v>
      </c>
      <c r="G6749">
        <v>0</v>
      </c>
      <c r="H6749">
        <v>7.6</v>
      </c>
      <c r="I6749">
        <v>1.65</v>
      </c>
      <c r="J6749">
        <v>12</v>
      </c>
      <c r="L6749" t="s">
        <v>2709</v>
      </c>
      <c r="M6749">
        <v>69079000</v>
      </c>
      <c r="O6749" t="s">
        <v>20037</v>
      </c>
      <c r="P6749" t="s">
        <v>19903</v>
      </c>
      <c r="Q6749" t="s">
        <v>19900</v>
      </c>
      <c r="R6749" t="s">
        <v>19905</v>
      </c>
      <c r="S6749" t="s">
        <v>19906</v>
      </c>
      <c r="T6749" t="s">
        <v>19903</v>
      </c>
    </row>
    <row r="6750" spans="2:20" x14ac:dyDescent="0.25">
      <c r="B6750" t="s">
        <v>2709</v>
      </c>
      <c r="C6750">
        <v>69081000</v>
      </c>
      <c r="E6750">
        <v>53</v>
      </c>
      <c r="F6750">
        <v>12</v>
      </c>
      <c r="G6750">
        <v>0</v>
      </c>
      <c r="H6750">
        <v>7.6</v>
      </c>
      <c r="I6750">
        <v>1.65</v>
      </c>
      <c r="J6750">
        <v>14</v>
      </c>
      <c r="L6750" t="s">
        <v>2709</v>
      </c>
      <c r="M6750">
        <v>69081000</v>
      </c>
      <c r="O6750" t="s">
        <v>20037</v>
      </c>
      <c r="P6750" t="s">
        <v>19903</v>
      </c>
      <c r="Q6750" t="s">
        <v>19900</v>
      </c>
      <c r="R6750" t="s">
        <v>19905</v>
      </c>
      <c r="S6750" t="s">
        <v>19906</v>
      </c>
      <c r="T6750" t="s">
        <v>19911</v>
      </c>
    </row>
    <row r="6751" spans="2:20" x14ac:dyDescent="0.25">
      <c r="B6751" t="s">
        <v>2709</v>
      </c>
      <c r="C6751">
        <v>69089000</v>
      </c>
      <c r="E6751">
        <v>53</v>
      </c>
      <c r="F6751">
        <v>12</v>
      </c>
      <c r="G6751">
        <v>0</v>
      </c>
      <c r="H6751">
        <v>7.6</v>
      </c>
      <c r="I6751">
        <v>1.65</v>
      </c>
      <c r="J6751">
        <v>14</v>
      </c>
      <c r="L6751" t="s">
        <v>2709</v>
      </c>
      <c r="M6751">
        <v>69089000</v>
      </c>
      <c r="O6751" t="s">
        <v>20037</v>
      </c>
      <c r="P6751" t="s">
        <v>19903</v>
      </c>
      <c r="Q6751" t="s">
        <v>19900</v>
      </c>
      <c r="R6751" t="s">
        <v>19905</v>
      </c>
      <c r="S6751" t="s">
        <v>19906</v>
      </c>
      <c r="T6751" t="s">
        <v>19911</v>
      </c>
    </row>
    <row r="6752" spans="2:20" x14ac:dyDescent="0.25">
      <c r="B6752" t="s">
        <v>2709</v>
      </c>
      <c r="C6752">
        <v>69091100</v>
      </c>
      <c r="E6752">
        <v>101</v>
      </c>
      <c r="F6752">
        <v>18</v>
      </c>
      <c r="G6752">
        <v>10</v>
      </c>
      <c r="H6752">
        <v>7.6</v>
      </c>
      <c r="I6752">
        <v>1.65</v>
      </c>
      <c r="J6752">
        <v>12</v>
      </c>
      <c r="L6752" t="s">
        <v>2709</v>
      </c>
      <c r="M6752">
        <v>69091100</v>
      </c>
      <c r="O6752" t="s">
        <v>20081</v>
      </c>
      <c r="P6752" t="s">
        <v>19899</v>
      </c>
      <c r="Q6752" t="s">
        <v>19904</v>
      </c>
      <c r="R6752" t="s">
        <v>19905</v>
      </c>
      <c r="S6752" t="s">
        <v>19906</v>
      </c>
      <c r="T6752" t="s">
        <v>19903</v>
      </c>
    </row>
    <row r="6753" spans="2:20" x14ac:dyDescent="0.25">
      <c r="B6753" t="s">
        <v>2709</v>
      </c>
      <c r="C6753">
        <v>69091210</v>
      </c>
      <c r="E6753">
        <v>101</v>
      </c>
      <c r="F6753">
        <v>18</v>
      </c>
      <c r="G6753">
        <v>10</v>
      </c>
      <c r="H6753">
        <v>7.6</v>
      </c>
      <c r="I6753">
        <v>1.65</v>
      </c>
      <c r="J6753">
        <v>12</v>
      </c>
      <c r="L6753" t="s">
        <v>2709</v>
      </c>
      <c r="M6753">
        <v>69091210</v>
      </c>
      <c r="O6753" t="s">
        <v>20081</v>
      </c>
      <c r="P6753" t="s">
        <v>19899</v>
      </c>
      <c r="Q6753" t="s">
        <v>19904</v>
      </c>
      <c r="R6753" t="s">
        <v>19905</v>
      </c>
      <c r="S6753" t="s">
        <v>19906</v>
      </c>
      <c r="T6753" t="s">
        <v>19903</v>
      </c>
    </row>
    <row r="6754" spans="2:20" x14ac:dyDescent="0.25">
      <c r="B6754" t="s">
        <v>2709</v>
      </c>
      <c r="C6754">
        <v>69091220</v>
      </c>
      <c r="E6754">
        <v>101</v>
      </c>
      <c r="F6754">
        <v>12</v>
      </c>
      <c r="G6754">
        <v>10</v>
      </c>
      <c r="H6754">
        <v>7.6</v>
      </c>
      <c r="I6754">
        <v>1.65</v>
      </c>
      <c r="J6754">
        <v>0</v>
      </c>
      <c r="L6754" t="s">
        <v>2709</v>
      </c>
      <c r="M6754">
        <v>69091220</v>
      </c>
      <c r="O6754" t="s">
        <v>20081</v>
      </c>
      <c r="P6754" t="s">
        <v>19903</v>
      </c>
      <c r="Q6754" t="s">
        <v>19904</v>
      </c>
      <c r="R6754" t="s">
        <v>19905</v>
      </c>
      <c r="S6754" t="s">
        <v>19906</v>
      </c>
      <c r="T6754" t="s">
        <v>19900</v>
      </c>
    </row>
    <row r="6755" spans="2:20" x14ac:dyDescent="0.25">
      <c r="B6755" t="s">
        <v>2709</v>
      </c>
      <c r="C6755">
        <v>69091230</v>
      </c>
      <c r="E6755">
        <v>101</v>
      </c>
      <c r="F6755">
        <v>18</v>
      </c>
      <c r="G6755">
        <v>10</v>
      </c>
      <c r="H6755">
        <v>7.6</v>
      </c>
      <c r="I6755">
        <v>1.65</v>
      </c>
      <c r="J6755">
        <v>2</v>
      </c>
      <c r="L6755" t="s">
        <v>2709</v>
      </c>
      <c r="M6755">
        <v>69091230</v>
      </c>
      <c r="O6755" t="s">
        <v>20081</v>
      </c>
      <c r="P6755" t="s">
        <v>19899</v>
      </c>
      <c r="Q6755" t="s">
        <v>19904</v>
      </c>
      <c r="R6755" t="s">
        <v>19905</v>
      </c>
      <c r="S6755" t="s">
        <v>19906</v>
      </c>
      <c r="T6755" t="s">
        <v>19901</v>
      </c>
    </row>
    <row r="6756" spans="2:20" x14ac:dyDescent="0.25">
      <c r="B6756" t="s">
        <v>2709</v>
      </c>
      <c r="C6756">
        <v>69091290</v>
      </c>
      <c r="E6756">
        <v>101</v>
      </c>
      <c r="F6756">
        <v>18</v>
      </c>
      <c r="G6756">
        <v>10</v>
      </c>
      <c r="H6756">
        <v>7.6</v>
      </c>
      <c r="I6756">
        <v>1.65</v>
      </c>
      <c r="J6756">
        <v>12</v>
      </c>
      <c r="L6756" t="s">
        <v>2709</v>
      </c>
      <c r="M6756">
        <v>69091290</v>
      </c>
      <c r="O6756" t="s">
        <v>20081</v>
      </c>
      <c r="P6756" t="s">
        <v>19899</v>
      </c>
      <c r="Q6756" t="s">
        <v>19904</v>
      </c>
      <c r="R6756" t="s">
        <v>19905</v>
      </c>
      <c r="S6756" t="s">
        <v>19906</v>
      </c>
      <c r="T6756" t="s">
        <v>19903</v>
      </c>
    </row>
    <row r="6757" spans="2:20" x14ac:dyDescent="0.25">
      <c r="B6757" t="s">
        <v>2709</v>
      </c>
      <c r="C6757">
        <v>69091910</v>
      </c>
      <c r="E6757">
        <v>101</v>
      </c>
      <c r="F6757">
        <v>18</v>
      </c>
      <c r="G6757">
        <v>10</v>
      </c>
      <c r="H6757">
        <v>7.6</v>
      </c>
      <c r="I6757">
        <v>1.65</v>
      </c>
      <c r="J6757">
        <v>12</v>
      </c>
      <c r="L6757" t="s">
        <v>2709</v>
      </c>
      <c r="M6757">
        <v>69091910</v>
      </c>
      <c r="O6757" t="s">
        <v>20081</v>
      </c>
      <c r="P6757" t="s">
        <v>19899</v>
      </c>
      <c r="Q6757" t="s">
        <v>19904</v>
      </c>
      <c r="R6757" t="s">
        <v>19905</v>
      </c>
      <c r="S6757" t="s">
        <v>19906</v>
      </c>
      <c r="T6757" t="s">
        <v>19903</v>
      </c>
    </row>
    <row r="6758" spans="2:20" x14ac:dyDescent="0.25">
      <c r="B6758" t="s">
        <v>2709</v>
      </c>
      <c r="C6758">
        <v>69091920</v>
      </c>
      <c r="E6758">
        <v>101</v>
      </c>
      <c r="F6758">
        <v>12</v>
      </c>
      <c r="G6758">
        <v>10</v>
      </c>
      <c r="H6758">
        <v>7.6</v>
      </c>
      <c r="I6758">
        <v>1.65</v>
      </c>
      <c r="J6758">
        <v>0</v>
      </c>
      <c r="L6758" t="s">
        <v>2709</v>
      </c>
      <c r="M6758">
        <v>69091920</v>
      </c>
      <c r="O6758" t="s">
        <v>20081</v>
      </c>
      <c r="P6758" t="s">
        <v>19903</v>
      </c>
      <c r="Q6758" t="s">
        <v>19904</v>
      </c>
      <c r="R6758" t="s">
        <v>19905</v>
      </c>
      <c r="S6758" t="s">
        <v>19906</v>
      </c>
      <c r="T6758" t="s">
        <v>19900</v>
      </c>
    </row>
    <row r="6759" spans="2:20" x14ac:dyDescent="0.25">
      <c r="B6759" t="s">
        <v>2709</v>
      </c>
      <c r="C6759">
        <v>69091930</v>
      </c>
      <c r="E6759">
        <v>101</v>
      </c>
      <c r="F6759">
        <v>18</v>
      </c>
      <c r="G6759">
        <v>10</v>
      </c>
      <c r="H6759">
        <v>7.6</v>
      </c>
      <c r="I6759">
        <v>1.65</v>
      </c>
      <c r="J6759">
        <v>2</v>
      </c>
      <c r="L6759" t="s">
        <v>2709</v>
      </c>
      <c r="M6759">
        <v>69091930</v>
      </c>
      <c r="O6759" t="s">
        <v>20081</v>
      </c>
      <c r="P6759" t="s">
        <v>19899</v>
      </c>
      <c r="Q6759" t="s">
        <v>19904</v>
      </c>
      <c r="R6759" t="s">
        <v>19905</v>
      </c>
      <c r="S6759" t="s">
        <v>19906</v>
      </c>
      <c r="T6759" t="s">
        <v>19901</v>
      </c>
    </row>
    <row r="6760" spans="2:20" x14ac:dyDescent="0.25">
      <c r="B6760" t="s">
        <v>2709</v>
      </c>
      <c r="C6760">
        <v>69091990</v>
      </c>
      <c r="E6760">
        <v>101</v>
      </c>
      <c r="F6760">
        <v>18</v>
      </c>
      <c r="G6760">
        <v>10</v>
      </c>
      <c r="H6760">
        <v>7.6</v>
      </c>
      <c r="I6760">
        <v>1.65</v>
      </c>
      <c r="J6760">
        <v>12</v>
      </c>
      <c r="L6760" t="s">
        <v>2709</v>
      </c>
      <c r="M6760">
        <v>69091990</v>
      </c>
      <c r="O6760" t="s">
        <v>20081</v>
      </c>
      <c r="P6760" t="s">
        <v>19899</v>
      </c>
      <c r="Q6760" t="s">
        <v>19904</v>
      </c>
      <c r="R6760" t="s">
        <v>19905</v>
      </c>
      <c r="S6760" t="s">
        <v>19906</v>
      </c>
      <c r="T6760" t="s">
        <v>19903</v>
      </c>
    </row>
    <row r="6761" spans="2:20" x14ac:dyDescent="0.25">
      <c r="B6761" t="s">
        <v>2709</v>
      </c>
      <c r="C6761">
        <v>69099000</v>
      </c>
      <c r="E6761">
        <v>101</v>
      </c>
      <c r="F6761">
        <v>18</v>
      </c>
      <c r="G6761">
        <v>10</v>
      </c>
      <c r="H6761">
        <v>7.6</v>
      </c>
      <c r="I6761">
        <v>1.65</v>
      </c>
      <c r="J6761">
        <v>12</v>
      </c>
      <c r="L6761" t="s">
        <v>2709</v>
      </c>
      <c r="M6761">
        <v>69099000</v>
      </c>
      <c r="O6761" t="s">
        <v>20081</v>
      </c>
      <c r="P6761" t="s">
        <v>19899</v>
      </c>
      <c r="Q6761" t="s">
        <v>19904</v>
      </c>
      <c r="R6761" t="s">
        <v>19905</v>
      </c>
      <c r="S6761" t="s">
        <v>19906</v>
      </c>
      <c r="T6761" t="s">
        <v>19903</v>
      </c>
    </row>
    <row r="6762" spans="2:20" x14ac:dyDescent="0.25">
      <c r="B6762" t="s">
        <v>2709</v>
      </c>
      <c r="C6762">
        <v>69101000</v>
      </c>
      <c r="E6762">
        <v>40</v>
      </c>
      <c r="F6762">
        <v>12</v>
      </c>
      <c r="G6762">
        <v>0</v>
      </c>
      <c r="H6762">
        <v>7.6</v>
      </c>
      <c r="I6762">
        <v>1.65</v>
      </c>
      <c r="J6762">
        <v>18</v>
      </c>
      <c r="L6762" t="s">
        <v>2709</v>
      </c>
      <c r="M6762">
        <v>69101000</v>
      </c>
      <c r="O6762" t="s">
        <v>19922</v>
      </c>
      <c r="P6762" t="s">
        <v>19903</v>
      </c>
      <c r="Q6762" t="s">
        <v>19900</v>
      </c>
      <c r="R6762" t="s">
        <v>19905</v>
      </c>
      <c r="S6762" t="s">
        <v>19906</v>
      </c>
      <c r="T6762" t="s">
        <v>19899</v>
      </c>
    </row>
    <row r="6763" spans="2:20" x14ac:dyDescent="0.25">
      <c r="B6763" t="s">
        <v>2709</v>
      </c>
      <c r="C6763">
        <v>69109000</v>
      </c>
      <c r="E6763">
        <v>40</v>
      </c>
      <c r="F6763">
        <v>12</v>
      </c>
      <c r="G6763">
        <v>0</v>
      </c>
      <c r="H6763">
        <v>7.6</v>
      </c>
      <c r="I6763">
        <v>1.65</v>
      </c>
      <c r="J6763">
        <v>18</v>
      </c>
      <c r="L6763" t="s">
        <v>2709</v>
      </c>
      <c r="M6763">
        <v>69109000</v>
      </c>
      <c r="O6763" t="s">
        <v>19922</v>
      </c>
      <c r="P6763" t="s">
        <v>19903</v>
      </c>
      <c r="Q6763" t="s">
        <v>19900</v>
      </c>
      <c r="R6763" t="s">
        <v>19905</v>
      </c>
      <c r="S6763" t="s">
        <v>19906</v>
      </c>
      <c r="T6763" t="s">
        <v>19899</v>
      </c>
    </row>
    <row r="6764" spans="2:20" x14ac:dyDescent="0.25">
      <c r="B6764" t="s">
        <v>2709</v>
      </c>
      <c r="C6764">
        <v>69111010</v>
      </c>
      <c r="E6764">
        <v>99</v>
      </c>
      <c r="F6764">
        <v>18</v>
      </c>
      <c r="G6764">
        <v>15</v>
      </c>
      <c r="H6764">
        <v>7.6</v>
      </c>
      <c r="I6764">
        <v>1.65</v>
      </c>
      <c r="J6764">
        <v>20</v>
      </c>
      <c r="L6764" t="s">
        <v>2709</v>
      </c>
      <c r="M6764">
        <v>69111010</v>
      </c>
      <c r="O6764" t="s">
        <v>20121</v>
      </c>
      <c r="P6764" t="s">
        <v>19899</v>
      </c>
      <c r="Q6764" t="s">
        <v>19983</v>
      </c>
      <c r="R6764" t="s">
        <v>19905</v>
      </c>
      <c r="S6764" t="s">
        <v>19906</v>
      </c>
      <c r="T6764" t="s">
        <v>19934</v>
      </c>
    </row>
    <row r="6765" spans="2:20" x14ac:dyDescent="0.25">
      <c r="B6765" t="s">
        <v>2709</v>
      </c>
      <c r="C6765">
        <v>69111090</v>
      </c>
      <c r="E6765">
        <v>99</v>
      </c>
      <c r="F6765">
        <v>18</v>
      </c>
      <c r="G6765">
        <v>15</v>
      </c>
      <c r="H6765">
        <v>7.6</v>
      </c>
      <c r="I6765">
        <v>1.65</v>
      </c>
      <c r="J6765">
        <v>20</v>
      </c>
      <c r="L6765" t="s">
        <v>2709</v>
      </c>
      <c r="M6765">
        <v>69111090</v>
      </c>
      <c r="O6765" t="s">
        <v>20121</v>
      </c>
      <c r="P6765" t="s">
        <v>19899</v>
      </c>
      <c r="Q6765" t="s">
        <v>19983</v>
      </c>
      <c r="R6765" t="s">
        <v>19905</v>
      </c>
      <c r="S6765" t="s">
        <v>19906</v>
      </c>
      <c r="T6765" t="s">
        <v>19934</v>
      </c>
    </row>
    <row r="6766" spans="2:20" x14ac:dyDescent="0.25">
      <c r="B6766" t="s">
        <v>2709</v>
      </c>
      <c r="C6766">
        <v>69119000</v>
      </c>
      <c r="E6766">
        <v>101</v>
      </c>
      <c r="F6766">
        <v>18</v>
      </c>
      <c r="G6766">
        <v>15</v>
      </c>
      <c r="H6766">
        <v>7.6</v>
      </c>
      <c r="I6766">
        <v>1.65</v>
      </c>
      <c r="J6766">
        <v>20</v>
      </c>
      <c r="L6766" t="s">
        <v>2709</v>
      </c>
      <c r="M6766">
        <v>69119000</v>
      </c>
      <c r="O6766" t="s">
        <v>20081</v>
      </c>
      <c r="P6766" t="s">
        <v>19899</v>
      </c>
      <c r="Q6766" t="s">
        <v>19983</v>
      </c>
      <c r="R6766" t="s">
        <v>19905</v>
      </c>
      <c r="S6766" t="s">
        <v>19906</v>
      </c>
      <c r="T6766" t="s">
        <v>19934</v>
      </c>
    </row>
    <row r="6767" spans="2:20" x14ac:dyDescent="0.25">
      <c r="B6767" t="s">
        <v>2709</v>
      </c>
      <c r="C6767">
        <v>69120000</v>
      </c>
      <c r="E6767">
        <v>99</v>
      </c>
      <c r="F6767">
        <v>18</v>
      </c>
      <c r="G6767">
        <v>10</v>
      </c>
      <c r="H6767">
        <v>7.6</v>
      </c>
      <c r="I6767">
        <v>1.65</v>
      </c>
      <c r="J6767">
        <v>20</v>
      </c>
      <c r="L6767" t="s">
        <v>2709</v>
      </c>
      <c r="M6767">
        <v>69120000</v>
      </c>
      <c r="O6767" t="s">
        <v>20121</v>
      </c>
      <c r="P6767" t="s">
        <v>19899</v>
      </c>
      <c r="Q6767" t="s">
        <v>19904</v>
      </c>
      <c r="R6767" t="s">
        <v>19905</v>
      </c>
      <c r="S6767" t="s">
        <v>19906</v>
      </c>
      <c r="T6767" t="s">
        <v>19934</v>
      </c>
    </row>
    <row r="6768" spans="2:20" x14ac:dyDescent="0.25">
      <c r="B6768" t="s">
        <v>2709</v>
      </c>
      <c r="C6768">
        <v>69131000</v>
      </c>
      <c r="E6768">
        <v>101</v>
      </c>
      <c r="F6768">
        <v>18</v>
      </c>
      <c r="G6768">
        <v>20</v>
      </c>
      <c r="H6768">
        <v>7.6</v>
      </c>
      <c r="I6768">
        <v>1.65</v>
      </c>
      <c r="J6768">
        <v>20</v>
      </c>
      <c r="L6768" t="s">
        <v>2709</v>
      </c>
      <c r="M6768">
        <v>69131000</v>
      </c>
      <c r="O6768" t="s">
        <v>20081</v>
      </c>
      <c r="P6768" t="s">
        <v>19899</v>
      </c>
      <c r="Q6768" t="s">
        <v>19934</v>
      </c>
      <c r="R6768" t="s">
        <v>19905</v>
      </c>
      <c r="S6768" t="s">
        <v>19906</v>
      </c>
      <c r="T6768" t="s">
        <v>19934</v>
      </c>
    </row>
    <row r="6769" spans="2:20" x14ac:dyDescent="0.25">
      <c r="B6769" t="s">
        <v>2709</v>
      </c>
      <c r="C6769">
        <v>69139000</v>
      </c>
      <c r="E6769">
        <v>101</v>
      </c>
      <c r="F6769">
        <v>18</v>
      </c>
      <c r="G6769">
        <v>20</v>
      </c>
      <c r="H6769">
        <v>7.6</v>
      </c>
      <c r="I6769">
        <v>1.65</v>
      </c>
      <c r="J6769">
        <v>20</v>
      </c>
      <c r="L6769" t="s">
        <v>2709</v>
      </c>
      <c r="M6769">
        <v>69139000</v>
      </c>
      <c r="O6769" t="s">
        <v>20081</v>
      </c>
      <c r="P6769" t="s">
        <v>19899</v>
      </c>
      <c r="Q6769" t="s">
        <v>19934</v>
      </c>
      <c r="R6769" t="s">
        <v>19905</v>
      </c>
      <c r="S6769" t="s">
        <v>19906</v>
      </c>
      <c r="T6769" t="s">
        <v>19934</v>
      </c>
    </row>
    <row r="6770" spans="2:20" x14ac:dyDescent="0.25">
      <c r="B6770" t="s">
        <v>2709</v>
      </c>
      <c r="C6770">
        <v>69141000</v>
      </c>
      <c r="E6770">
        <v>101</v>
      </c>
      <c r="F6770">
        <v>18</v>
      </c>
      <c r="G6770">
        <v>10</v>
      </c>
      <c r="H6770" t="s">
        <v>19447</v>
      </c>
      <c r="I6770" t="s">
        <v>19447</v>
      </c>
      <c r="J6770">
        <v>20</v>
      </c>
      <c r="L6770" t="s">
        <v>2709</v>
      </c>
      <c r="M6770">
        <v>69141000</v>
      </c>
      <c r="O6770" t="s">
        <v>20081</v>
      </c>
      <c r="P6770" t="s">
        <v>19899</v>
      </c>
      <c r="Q6770" t="s">
        <v>19904</v>
      </c>
      <c r="R6770" t="s">
        <v>19447</v>
      </c>
      <c r="S6770" t="s">
        <v>19447</v>
      </c>
      <c r="T6770" t="s">
        <v>19934</v>
      </c>
    </row>
    <row r="6771" spans="2:20" x14ac:dyDescent="0.25">
      <c r="B6771" t="s">
        <v>2709</v>
      </c>
      <c r="C6771">
        <v>69149000</v>
      </c>
      <c r="E6771">
        <v>101</v>
      </c>
      <c r="F6771">
        <v>18</v>
      </c>
      <c r="G6771">
        <v>10</v>
      </c>
      <c r="H6771" t="s">
        <v>19447</v>
      </c>
      <c r="I6771" t="s">
        <v>19447</v>
      </c>
      <c r="J6771">
        <v>20</v>
      </c>
      <c r="L6771" t="s">
        <v>2709</v>
      </c>
      <c r="M6771">
        <v>69149000</v>
      </c>
      <c r="O6771" t="s">
        <v>20081</v>
      </c>
      <c r="P6771" t="s">
        <v>19899</v>
      </c>
      <c r="Q6771" t="s">
        <v>19904</v>
      </c>
      <c r="R6771" t="s">
        <v>19447</v>
      </c>
      <c r="S6771" t="s">
        <v>19447</v>
      </c>
      <c r="T6771" t="s">
        <v>19934</v>
      </c>
    </row>
    <row r="6772" spans="2:20" x14ac:dyDescent="0.25">
      <c r="B6772" t="s">
        <v>2709</v>
      </c>
      <c r="C6772">
        <v>70010000</v>
      </c>
      <c r="E6772">
        <v>101</v>
      </c>
      <c r="F6772">
        <v>18</v>
      </c>
      <c r="G6772">
        <v>10</v>
      </c>
      <c r="H6772" t="s">
        <v>19447</v>
      </c>
      <c r="I6772" t="s">
        <v>19447</v>
      </c>
      <c r="J6772">
        <v>2</v>
      </c>
      <c r="L6772" t="s">
        <v>2709</v>
      </c>
      <c r="M6772">
        <v>70010000</v>
      </c>
      <c r="O6772" t="s">
        <v>20081</v>
      </c>
      <c r="P6772" t="s">
        <v>19899</v>
      </c>
      <c r="Q6772" t="s">
        <v>19904</v>
      </c>
      <c r="R6772" t="s">
        <v>19447</v>
      </c>
      <c r="S6772" t="s">
        <v>19447</v>
      </c>
      <c r="T6772" t="s">
        <v>19901</v>
      </c>
    </row>
    <row r="6773" spans="2:20" x14ac:dyDescent="0.25">
      <c r="B6773" t="s">
        <v>2709</v>
      </c>
      <c r="C6773">
        <v>70010000</v>
      </c>
      <c r="D6773">
        <v>1</v>
      </c>
      <c r="E6773" t="s">
        <v>19447</v>
      </c>
      <c r="F6773">
        <v>18</v>
      </c>
      <c r="G6773">
        <v>0</v>
      </c>
      <c r="H6773">
        <v>7.6</v>
      </c>
      <c r="I6773">
        <v>1.65</v>
      </c>
      <c r="J6773">
        <v>2</v>
      </c>
      <c r="L6773" t="s">
        <v>2709</v>
      </c>
      <c r="M6773">
        <v>70010000</v>
      </c>
      <c r="N6773">
        <v>1</v>
      </c>
      <c r="O6773" t="s">
        <v>19447</v>
      </c>
      <c r="P6773" t="s">
        <v>19899</v>
      </c>
      <c r="Q6773" t="s">
        <v>19900</v>
      </c>
      <c r="R6773" t="s">
        <v>19905</v>
      </c>
      <c r="S6773" t="s">
        <v>19906</v>
      </c>
      <c r="T6773" t="s">
        <v>19901</v>
      </c>
    </row>
    <row r="6774" spans="2:20" x14ac:dyDescent="0.25">
      <c r="B6774" t="s">
        <v>2709</v>
      </c>
      <c r="C6774">
        <v>70010000</v>
      </c>
      <c r="D6774">
        <v>2</v>
      </c>
      <c r="E6774" t="s">
        <v>19447</v>
      </c>
      <c r="F6774">
        <v>18</v>
      </c>
      <c r="G6774">
        <v>0</v>
      </c>
      <c r="H6774">
        <v>7.6</v>
      </c>
      <c r="I6774">
        <v>1.65</v>
      </c>
      <c r="J6774">
        <v>2</v>
      </c>
      <c r="L6774" t="s">
        <v>2709</v>
      </c>
      <c r="M6774">
        <v>70010000</v>
      </c>
      <c r="N6774">
        <v>2</v>
      </c>
      <c r="O6774" t="s">
        <v>19447</v>
      </c>
      <c r="P6774" t="s">
        <v>19899</v>
      </c>
      <c r="Q6774" t="s">
        <v>19900</v>
      </c>
      <c r="R6774" t="s">
        <v>19905</v>
      </c>
      <c r="S6774" t="s">
        <v>19906</v>
      </c>
      <c r="T6774" t="s">
        <v>19901</v>
      </c>
    </row>
    <row r="6775" spans="2:20" x14ac:dyDescent="0.25">
      <c r="B6775" t="s">
        <v>2709</v>
      </c>
      <c r="C6775">
        <v>70021000</v>
      </c>
      <c r="E6775">
        <v>101</v>
      </c>
      <c r="F6775">
        <v>18</v>
      </c>
      <c r="G6775">
        <v>10</v>
      </c>
      <c r="H6775">
        <v>7.6</v>
      </c>
      <c r="I6775">
        <v>1.65</v>
      </c>
      <c r="J6775">
        <v>4</v>
      </c>
      <c r="L6775" t="s">
        <v>2709</v>
      </c>
      <c r="M6775">
        <v>70021000</v>
      </c>
      <c r="O6775" t="s">
        <v>20081</v>
      </c>
      <c r="P6775" t="s">
        <v>19899</v>
      </c>
      <c r="Q6775" t="s">
        <v>19904</v>
      </c>
      <c r="R6775" t="s">
        <v>19905</v>
      </c>
      <c r="S6775" t="s">
        <v>19906</v>
      </c>
      <c r="T6775" t="s">
        <v>19902</v>
      </c>
    </row>
    <row r="6776" spans="2:20" x14ac:dyDescent="0.25">
      <c r="B6776" t="s">
        <v>2709</v>
      </c>
      <c r="C6776">
        <v>70021000</v>
      </c>
      <c r="D6776">
        <v>1</v>
      </c>
      <c r="E6776" t="s">
        <v>19447</v>
      </c>
      <c r="F6776">
        <v>18</v>
      </c>
      <c r="G6776">
        <v>0</v>
      </c>
      <c r="H6776">
        <v>7.6</v>
      </c>
      <c r="I6776">
        <v>1.65</v>
      </c>
      <c r="J6776">
        <v>4</v>
      </c>
      <c r="L6776" t="s">
        <v>2709</v>
      </c>
      <c r="M6776">
        <v>70021000</v>
      </c>
      <c r="N6776">
        <v>1</v>
      </c>
      <c r="O6776" t="s">
        <v>19447</v>
      </c>
      <c r="P6776" t="s">
        <v>19899</v>
      </c>
      <c r="Q6776" t="s">
        <v>19900</v>
      </c>
      <c r="R6776" t="s">
        <v>19905</v>
      </c>
      <c r="S6776" t="s">
        <v>19906</v>
      </c>
      <c r="T6776" t="s">
        <v>19902</v>
      </c>
    </row>
    <row r="6777" spans="2:20" x14ac:dyDescent="0.25">
      <c r="B6777" t="s">
        <v>2709</v>
      </c>
      <c r="C6777">
        <v>70022000</v>
      </c>
      <c r="E6777">
        <v>101</v>
      </c>
      <c r="F6777">
        <v>18</v>
      </c>
      <c r="G6777">
        <v>10</v>
      </c>
      <c r="H6777">
        <v>7.6</v>
      </c>
      <c r="I6777">
        <v>1.65</v>
      </c>
      <c r="J6777">
        <v>4</v>
      </c>
      <c r="L6777" t="s">
        <v>2709</v>
      </c>
      <c r="M6777">
        <v>70022000</v>
      </c>
      <c r="O6777" t="s">
        <v>20081</v>
      </c>
      <c r="P6777" t="s">
        <v>19899</v>
      </c>
      <c r="Q6777" t="s">
        <v>19904</v>
      </c>
      <c r="R6777" t="s">
        <v>19905</v>
      </c>
      <c r="S6777" t="s">
        <v>19906</v>
      </c>
      <c r="T6777" t="s">
        <v>19902</v>
      </c>
    </row>
    <row r="6778" spans="2:20" x14ac:dyDescent="0.25">
      <c r="B6778" t="s">
        <v>2709</v>
      </c>
      <c r="C6778">
        <v>70022000</v>
      </c>
      <c r="D6778">
        <v>1</v>
      </c>
      <c r="E6778" t="s">
        <v>19447</v>
      </c>
      <c r="F6778">
        <v>18</v>
      </c>
      <c r="G6778">
        <v>0</v>
      </c>
      <c r="H6778">
        <v>7.6</v>
      </c>
      <c r="I6778">
        <v>1.65</v>
      </c>
      <c r="J6778">
        <v>4</v>
      </c>
      <c r="L6778" t="s">
        <v>2709</v>
      </c>
      <c r="M6778">
        <v>70022000</v>
      </c>
      <c r="N6778">
        <v>1</v>
      </c>
      <c r="O6778" t="s">
        <v>19447</v>
      </c>
      <c r="P6778" t="s">
        <v>19899</v>
      </c>
      <c r="Q6778" t="s">
        <v>19900</v>
      </c>
      <c r="R6778" t="s">
        <v>19905</v>
      </c>
      <c r="S6778" t="s">
        <v>19906</v>
      </c>
      <c r="T6778" t="s">
        <v>19902</v>
      </c>
    </row>
    <row r="6779" spans="2:20" x14ac:dyDescent="0.25">
      <c r="B6779" t="s">
        <v>2709</v>
      </c>
      <c r="C6779">
        <v>70023100</v>
      </c>
      <c r="E6779">
        <v>101</v>
      </c>
      <c r="F6779">
        <v>18</v>
      </c>
      <c r="G6779">
        <v>10</v>
      </c>
      <c r="H6779" t="s">
        <v>19447</v>
      </c>
      <c r="I6779" t="s">
        <v>19447</v>
      </c>
      <c r="J6779">
        <v>4</v>
      </c>
      <c r="L6779" t="s">
        <v>2709</v>
      </c>
      <c r="M6779">
        <v>70023100</v>
      </c>
      <c r="O6779" t="s">
        <v>20081</v>
      </c>
      <c r="P6779" t="s">
        <v>19899</v>
      </c>
      <c r="Q6779" t="s">
        <v>19904</v>
      </c>
      <c r="R6779" t="s">
        <v>19447</v>
      </c>
      <c r="S6779" t="s">
        <v>19447</v>
      </c>
      <c r="T6779" t="s">
        <v>19902</v>
      </c>
    </row>
    <row r="6780" spans="2:20" x14ac:dyDescent="0.25">
      <c r="B6780" t="s">
        <v>2709</v>
      </c>
      <c r="C6780">
        <v>70023100</v>
      </c>
      <c r="D6780">
        <v>1</v>
      </c>
      <c r="E6780" t="s">
        <v>19447</v>
      </c>
      <c r="F6780">
        <v>18</v>
      </c>
      <c r="G6780">
        <v>0</v>
      </c>
      <c r="H6780">
        <v>7.6</v>
      </c>
      <c r="I6780">
        <v>1.65</v>
      </c>
      <c r="J6780">
        <v>4</v>
      </c>
      <c r="L6780" t="s">
        <v>2709</v>
      </c>
      <c r="M6780">
        <v>70023100</v>
      </c>
      <c r="N6780">
        <v>1</v>
      </c>
      <c r="O6780" t="s">
        <v>19447</v>
      </c>
      <c r="P6780" t="s">
        <v>19899</v>
      </c>
      <c r="Q6780" t="s">
        <v>19900</v>
      </c>
      <c r="R6780" t="s">
        <v>19905</v>
      </c>
      <c r="S6780" t="s">
        <v>19906</v>
      </c>
      <c r="T6780" t="s">
        <v>19902</v>
      </c>
    </row>
    <row r="6781" spans="2:20" x14ac:dyDescent="0.25">
      <c r="B6781" t="s">
        <v>2709</v>
      </c>
      <c r="C6781">
        <v>70023200</v>
      </c>
      <c r="E6781">
        <v>101</v>
      </c>
      <c r="F6781">
        <v>18</v>
      </c>
      <c r="G6781">
        <v>10</v>
      </c>
      <c r="H6781">
        <v>7.6</v>
      </c>
      <c r="I6781">
        <v>1.65</v>
      </c>
      <c r="J6781">
        <v>4</v>
      </c>
      <c r="L6781" t="s">
        <v>2709</v>
      </c>
      <c r="M6781">
        <v>70023200</v>
      </c>
      <c r="O6781" t="s">
        <v>20081</v>
      </c>
      <c r="P6781" t="s">
        <v>19899</v>
      </c>
      <c r="Q6781" t="s">
        <v>19904</v>
      </c>
      <c r="R6781" t="s">
        <v>19905</v>
      </c>
      <c r="S6781" t="s">
        <v>19906</v>
      </c>
      <c r="T6781" t="s">
        <v>19902</v>
      </c>
    </row>
    <row r="6782" spans="2:20" x14ac:dyDescent="0.25">
      <c r="B6782" t="s">
        <v>2709</v>
      </c>
      <c r="C6782">
        <v>70023200</v>
      </c>
      <c r="D6782">
        <v>1</v>
      </c>
      <c r="E6782" t="s">
        <v>19447</v>
      </c>
      <c r="F6782">
        <v>18</v>
      </c>
      <c r="G6782">
        <v>0</v>
      </c>
      <c r="H6782">
        <v>7.6</v>
      </c>
      <c r="I6782">
        <v>1.65</v>
      </c>
      <c r="J6782">
        <v>4</v>
      </c>
      <c r="L6782" t="s">
        <v>2709</v>
      </c>
      <c r="M6782">
        <v>70023200</v>
      </c>
      <c r="N6782">
        <v>1</v>
      </c>
      <c r="O6782" t="s">
        <v>19447</v>
      </c>
      <c r="P6782" t="s">
        <v>19899</v>
      </c>
      <c r="Q6782" t="s">
        <v>19900</v>
      </c>
      <c r="R6782" t="s">
        <v>19905</v>
      </c>
      <c r="S6782" t="s">
        <v>19906</v>
      </c>
      <c r="T6782" t="s">
        <v>19902</v>
      </c>
    </row>
    <row r="6783" spans="2:20" x14ac:dyDescent="0.25">
      <c r="B6783" t="s">
        <v>2709</v>
      </c>
      <c r="C6783">
        <v>70023900</v>
      </c>
      <c r="E6783">
        <v>101</v>
      </c>
      <c r="F6783">
        <v>18</v>
      </c>
      <c r="G6783">
        <v>10</v>
      </c>
      <c r="H6783">
        <v>7.6</v>
      </c>
      <c r="I6783">
        <v>1.65</v>
      </c>
      <c r="J6783">
        <v>4</v>
      </c>
      <c r="L6783" t="s">
        <v>2709</v>
      </c>
      <c r="M6783">
        <v>70023900</v>
      </c>
      <c r="O6783" t="s">
        <v>20081</v>
      </c>
      <c r="P6783" t="s">
        <v>19899</v>
      </c>
      <c r="Q6783" t="s">
        <v>19904</v>
      </c>
      <c r="R6783" t="s">
        <v>19905</v>
      </c>
      <c r="S6783" t="s">
        <v>19906</v>
      </c>
      <c r="T6783" t="s">
        <v>19902</v>
      </c>
    </row>
    <row r="6784" spans="2:20" x14ac:dyDescent="0.25">
      <c r="B6784" t="s">
        <v>2709</v>
      </c>
      <c r="C6784">
        <v>70023900</v>
      </c>
      <c r="D6784">
        <v>1</v>
      </c>
      <c r="E6784" t="s">
        <v>19447</v>
      </c>
      <c r="F6784">
        <v>18</v>
      </c>
      <c r="G6784">
        <v>0</v>
      </c>
      <c r="H6784">
        <v>7.6</v>
      </c>
      <c r="I6784">
        <v>1.65</v>
      </c>
      <c r="J6784">
        <v>4</v>
      </c>
      <c r="L6784" t="s">
        <v>2709</v>
      </c>
      <c r="M6784">
        <v>70023900</v>
      </c>
      <c r="N6784">
        <v>1</v>
      </c>
      <c r="O6784" t="s">
        <v>19447</v>
      </c>
      <c r="P6784" t="s">
        <v>19899</v>
      </c>
      <c r="Q6784" t="s">
        <v>19900</v>
      </c>
      <c r="R6784" t="s">
        <v>19905</v>
      </c>
      <c r="S6784" t="s">
        <v>19906</v>
      </c>
      <c r="T6784" t="s">
        <v>19902</v>
      </c>
    </row>
    <row r="6785" spans="2:20" x14ac:dyDescent="0.25">
      <c r="B6785" t="s">
        <v>2709</v>
      </c>
      <c r="C6785">
        <v>70031200</v>
      </c>
      <c r="E6785">
        <v>42</v>
      </c>
      <c r="F6785">
        <v>18</v>
      </c>
      <c r="G6785">
        <v>5</v>
      </c>
      <c r="H6785">
        <v>7.6</v>
      </c>
      <c r="I6785">
        <v>1.65</v>
      </c>
      <c r="J6785">
        <v>10</v>
      </c>
      <c r="L6785" t="s">
        <v>2709</v>
      </c>
      <c r="M6785">
        <v>70031200</v>
      </c>
      <c r="O6785" t="s">
        <v>20041</v>
      </c>
      <c r="P6785" t="s">
        <v>19899</v>
      </c>
      <c r="Q6785" t="s">
        <v>19909</v>
      </c>
      <c r="R6785" t="s">
        <v>19905</v>
      </c>
      <c r="S6785" t="s">
        <v>19906</v>
      </c>
      <c r="T6785" t="s">
        <v>19904</v>
      </c>
    </row>
    <row r="6786" spans="2:20" x14ac:dyDescent="0.25">
      <c r="B6786" t="s">
        <v>2709</v>
      </c>
      <c r="C6786">
        <v>70031200</v>
      </c>
      <c r="D6786">
        <v>1</v>
      </c>
      <c r="E6786" t="s">
        <v>19447</v>
      </c>
      <c r="F6786">
        <v>18</v>
      </c>
      <c r="G6786">
        <v>0</v>
      </c>
      <c r="H6786">
        <v>7.6</v>
      </c>
      <c r="I6786">
        <v>1.65</v>
      </c>
      <c r="J6786">
        <v>10</v>
      </c>
      <c r="L6786" t="s">
        <v>2709</v>
      </c>
      <c r="M6786">
        <v>70031200</v>
      </c>
      <c r="N6786">
        <v>1</v>
      </c>
      <c r="O6786" t="s">
        <v>19447</v>
      </c>
      <c r="P6786" t="s">
        <v>19899</v>
      </c>
      <c r="Q6786" t="s">
        <v>19900</v>
      </c>
      <c r="R6786" t="s">
        <v>19905</v>
      </c>
      <c r="S6786" t="s">
        <v>19906</v>
      </c>
      <c r="T6786" t="s">
        <v>19904</v>
      </c>
    </row>
    <row r="6787" spans="2:20" x14ac:dyDescent="0.25">
      <c r="B6787" t="s">
        <v>2709</v>
      </c>
      <c r="C6787">
        <v>70031900</v>
      </c>
      <c r="E6787">
        <v>42</v>
      </c>
      <c r="F6787">
        <v>18</v>
      </c>
      <c r="G6787">
        <v>5</v>
      </c>
      <c r="H6787">
        <v>7.6</v>
      </c>
      <c r="I6787">
        <v>1.65</v>
      </c>
      <c r="J6787">
        <v>10</v>
      </c>
      <c r="L6787" t="s">
        <v>2709</v>
      </c>
      <c r="M6787">
        <v>70031900</v>
      </c>
      <c r="O6787" t="s">
        <v>20041</v>
      </c>
      <c r="P6787" t="s">
        <v>19899</v>
      </c>
      <c r="Q6787" t="s">
        <v>19909</v>
      </c>
      <c r="R6787" t="s">
        <v>19905</v>
      </c>
      <c r="S6787" t="s">
        <v>19906</v>
      </c>
      <c r="T6787" t="s">
        <v>19904</v>
      </c>
    </row>
    <row r="6788" spans="2:20" x14ac:dyDescent="0.25">
      <c r="B6788" t="s">
        <v>2709</v>
      </c>
      <c r="C6788">
        <v>70031900</v>
      </c>
      <c r="D6788">
        <v>1</v>
      </c>
      <c r="E6788" t="s">
        <v>19447</v>
      </c>
      <c r="F6788">
        <v>18</v>
      </c>
      <c r="G6788">
        <v>0</v>
      </c>
      <c r="H6788">
        <v>7.6</v>
      </c>
      <c r="I6788">
        <v>1.65</v>
      </c>
      <c r="J6788">
        <v>10</v>
      </c>
      <c r="L6788" t="s">
        <v>2709</v>
      </c>
      <c r="M6788">
        <v>70031900</v>
      </c>
      <c r="N6788">
        <v>1</v>
      </c>
      <c r="O6788" t="s">
        <v>19447</v>
      </c>
      <c r="P6788" t="s">
        <v>19899</v>
      </c>
      <c r="Q6788" t="s">
        <v>19900</v>
      </c>
      <c r="R6788" t="s">
        <v>19905</v>
      </c>
      <c r="S6788" t="s">
        <v>19906</v>
      </c>
      <c r="T6788" t="s">
        <v>19904</v>
      </c>
    </row>
    <row r="6789" spans="2:20" x14ac:dyDescent="0.25">
      <c r="B6789" t="s">
        <v>2709</v>
      </c>
      <c r="C6789">
        <v>70032000</v>
      </c>
      <c r="E6789">
        <v>42</v>
      </c>
      <c r="F6789">
        <v>18</v>
      </c>
      <c r="G6789">
        <v>10</v>
      </c>
      <c r="H6789">
        <v>7.6</v>
      </c>
      <c r="I6789">
        <v>1.65</v>
      </c>
      <c r="J6789">
        <v>10</v>
      </c>
      <c r="L6789" t="s">
        <v>2709</v>
      </c>
      <c r="M6789">
        <v>70032000</v>
      </c>
      <c r="O6789" t="s">
        <v>20041</v>
      </c>
      <c r="P6789" t="s">
        <v>19899</v>
      </c>
      <c r="Q6789" t="s">
        <v>19904</v>
      </c>
      <c r="R6789" t="s">
        <v>19905</v>
      </c>
      <c r="S6789" t="s">
        <v>19906</v>
      </c>
      <c r="T6789" t="s">
        <v>19904</v>
      </c>
    </row>
    <row r="6790" spans="2:20" x14ac:dyDescent="0.25">
      <c r="B6790" t="s">
        <v>2709</v>
      </c>
      <c r="C6790">
        <v>70033000</v>
      </c>
      <c r="E6790">
        <v>42</v>
      </c>
      <c r="F6790">
        <v>18</v>
      </c>
      <c r="G6790">
        <v>10</v>
      </c>
      <c r="H6790">
        <v>7.6</v>
      </c>
      <c r="I6790">
        <v>1.65</v>
      </c>
      <c r="J6790">
        <v>10</v>
      </c>
      <c r="L6790" t="s">
        <v>2709</v>
      </c>
      <c r="M6790">
        <v>70033000</v>
      </c>
      <c r="O6790" t="s">
        <v>20041</v>
      </c>
      <c r="P6790" t="s">
        <v>19899</v>
      </c>
      <c r="Q6790" t="s">
        <v>19904</v>
      </c>
      <c r="R6790" t="s">
        <v>19905</v>
      </c>
      <c r="S6790" t="s">
        <v>19906</v>
      </c>
      <c r="T6790" t="s">
        <v>19904</v>
      </c>
    </row>
    <row r="6791" spans="2:20" x14ac:dyDescent="0.25">
      <c r="B6791" t="s">
        <v>2709</v>
      </c>
      <c r="C6791">
        <v>70042000</v>
      </c>
      <c r="E6791">
        <v>101</v>
      </c>
      <c r="F6791">
        <v>18</v>
      </c>
      <c r="G6791">
        <v>10</v>
      </c>
      <c r="H6791">
        <v>7.6</v>
      </c>
      <c r="I6791">
        <v>1.65</v>
      </c>
      <c r="J6791">
        <v>10</v>
      </c>
      <c r="L6791" t="s">
        <v>2709</v>
      </c>
      <c r="M6791">
        <v>70042000</v>
      </c>
      <c r="O6791" t="s">
        <v>20081</v>
      </c>
      <c r="P6791" t="s">
        <v>19899</v>
      </c>
      <c r="Q6791" t="s">
        <v>19904</v>
      </c>
      <c r="R6791" t="s">
        <v>19905</v>
      </c>
      <c r="S6791" t="s">
        <v>19906</v>
      </c>
      <c r="T6791" t="s">
        <v>19904</v>
      </c>
    </row>
    <row r="6792" spans="2:20" x14ac:dyDescent="0.25">
      <c r="B6792" t="s">
        <v>2709</v>
      </c>
      <c r="C6792">
        <v>70042000</v>
      </c>
      <c r="D6792">
        <v>1</v>
      </c>
      <c r="E6792" t="s">
        <v>19447</v>
      </c>
      <c r="F6792">
        <v>18</v>
      </c>
      <c r="G6792">
        <v>0</v>
      </c>
      <c r="H6792">
        <v>7.6</v>
      </c>
      <c r="I6792">
        <v>1.65</v>
      </c>
      <c r="J6792">
        <v>10</v>
      </c>
      <c r="L6792" t="s">
        <v>2709</v>
      </c>
      <c r="M6792">
        <v>70042000</v>
      </c>
      <c r="N6792">
        <v>1</v>
      </c>
      <c r="O6792" t="s">
        <v>19447</v>
      </c>
      <c r="P6792" t="s">
        <v>19899</v>
      </c>
      <c r="Q6792" t="s">
        <v>19900</v>
      </c>
      <c r="R6792" t="s">
        <v>19905</v>
      </c>
      <c r="S6792" t="s">
        <v>19906</v>
      </c>
      <c r="T6792" t="s">
        <v>19904</v>
      </c>
    </row>
    <row r="6793" spans="2:20" x14ac:dyDescent="0.25">
      <c r="B6793" t="s">
        <v>2709</v>
      </c>
      <c r="C6793">
        <v>70049000</v>
      </c>
      <c r="E6793">
        <v>101</v>
      </c>
      <c r="F6793">
        <v>18</v>
      </c>
      <c r="G6793">
        <v>10</v>
      </c>
      <c r="H6793">
        <v>7.6</v>
      </c>
      <c r="I6793">
        <v>1.65</v>
      </c>
      <c r="J6793">
        <v>10</v>
      </c>
      <c r="L6793" t="s">
        <v>2709</v>
      </c>
      <c r="M6793">
        <v>70049000</v>
      </c>
      <c r="O6793" t="s">
        <v>20081</v>
      </c>
      <c r="P6793" t="s">
        <v>19899</v>
      </c>
      <c r="Q6793" t="s">
        <v>19904</v>
      </c>
      <c r="R6793" t="s">
        <v>19905</v>
      </c>
      <c r="S6793" t="s">
        <v>19906</v>
      </c>
      <c r="T6793" t="s">
        <v>19904</v>
      </c>
    </row>
    <row r="6794" spans="2:20" x14ac:dyDescent="0.25">
      <c r="B6794" t="s">
        <v>2709</v>
      </c>
      <c r="C6794">
        <v>70049000</v>
      </c>
      <c r="D6794">
        <v>1</v>
      </c>
      <c r="E6794" t="s">
        <v>19447</v>
      </c>
      <c r="F6794">
        <v>18</v>
      </c>
      <c r="G6794">
        <v>0</v>
      </c>
      <c r="H6794">
        <v>7.6</v>
      </c>
      <c r="I6794">
        <v>1.65</v>
      </c>
      <c r="J6794">
        <v>10</v>
      </c>
      <c r="L6794" t="s">
        <v>2709</v>
      </c>
      <c r="M6794">
        <v>70049000</v>
      </c>
      <c r="N6794">
        <v>1</v>
      </c>
      <c r="O6794" t="s">
        <v>19447</v>
      </c>
      <c r="P6794" t="s">
        <v>19899</v>
      </c>
      <c r="Q6794" t="s">
        <v>19900</v>
      </c>
      <c r="R6794" t="s">
        <v>19905</v>
      </c>
      <c r="S6794" t="s">
        <v>19906</v>
      </c>
      <c r="T6794" t="s">
        <v>19904</v>
      </c>
    </row>
    <row r="6795" spans="2:20" x14ac:dyDescent="0.25">
      <c r="B6795" t="s">
        <v>2709</v>
      </c>
      <c r="C6795">
        <v>70051000</v>
      </c>
      <c r="E6795">
        <v>45</v>
      </c>
      <c r="F6795">
        <v>18</v>
      </c>
      <c r="G6795">
        <v>10</v>
      </c>
      <c r="H6795">
        <v>7.6</v>
      </c>
      <c r="I6795">
        <v>1.65</v>
      </c>
      <c r="J6795">
        <v>10</v>
      </c>
      <c r="L6795" t="s">
        <v>2709</v>
      </c>
      <c r="M6795">
        <v>70051000</v>
      </c>
      <c r="O6795" t="s">
        <v>19999</v>
      </c>
      <c r="P6795" t="s">
        <v>19899</v>
      </c>
      <c r="Q6795" t="s">
        <v>19904</v>
      </c>
      <c r="R6795" t="s">
        <v>19905</v>
      </c>
      <c r="S6795" t="s">
        <v>19906</v>
      </c>
      <c r="T6795" t="s">
        <v>19904</v>
      </c>
    </row>
    <row r="6796" spans="2:20" x14ac:dyDescent="0.25">
      <c r="B6796" t="s">
        <v>2709</v>
      </c>
      <c r="C6796">
        <v>70051000</v>
      </c>
      <c r="D6796">
        <v>1</v>
      </c>
      <c r="E6796" t="s">
        <v>19447</v>
      </c>
      <c r="F6796">
        <v>18</v>
      </c>
      <c r="G6796">
        <v>0</v>
      </c>
      <c r="H6796">
        <v>7.6</v>
      </c>
      <c r="I6796">
        <v>1.65</v>
      </c>
      <c r="J6796">
        <v>10</v>
      </c>
      <c r="L6796" t="s">
        <v>2709</v>
      </c>
      <c r="M6796">
        <v>70051000</v>
      </c>
      <c r="N6796">
        <v>1</v>
      </c>
      <c r="O6796" t="s">
        <v>19447</v>
      </c>
      <c r="P6796" t="s">
        <v>19899</v>
      </c>
      <c r="Q6796" t="s">
        <v>19900</v>
      </c>
      <c r="R6796" t="s">
        <v>19905</v>
      </c>
      <c r="S6796" t="s">
        <v>19906</v>
      </c>
      <c r="T6796" t="s">
        <v>19904</v>
      </c>
    </row>
    <row r="6797" spans="2:20" x14ac:dyDescent="0.25">
      <c r="B6797" t="s">
        <v>2709</v>
      </c>
      <c r="C6797">
        <v>70052100</v>
      </c>
      <c r="E6797">
        <v>45</v>
      </c>
      <c r="F6797">
        <v>18</v>
      </c>
      <c r="G6797">
        <v>5</v>
      </c>
      <c r="H6797">
        <v>7.6</v>
      </c>
      <c r="I6797">
        <v>1.65</v>
      </c>
      <c r="J6797">
        <v>10</v>
      </c>
      <c r="L6797" t="s">
        <v>2709</v>
      </c>
      <c r="M6797">
        <v>70052100</v>
      </c>
      <c r="O6797" t="s">
        <v>19999</v>
      </c>
      <c r="P6797" t="s">
        <v>19899</v>
      </c>
      <c r="Q6797" t="s">
        <v>19909</v>
      </c>
      <c r="R6797" t="s">
        <v>19905</v>
      </c>
      <c r="S6797" t="s">
        <v>19906</v>
      </c>
      <c r="T6797" t="s">
        <v>19904</v>
      </c>
    </row>
    <row r="6798" spans="2:20" x14ac:dyDescent="0.25">
      <c r="B6798" t="s">
        <v>2709</v>
      </c>
      <c r="C6798">
        <v>70052100</v>
      </c>
      <c r="D6798">
        <v>1</v>
      </c>
      <c r="E6798" t="s">
        <v>19447</v>
      </c>
      <c r="F6798">
        <v>18</v>
      </c>
      <c r="G6798">
        <v>0</v>
      </c>
      <c r="H6798">
        <v>7.6</v>
      </c>
      <c r="I6798">
        <v>1.65</v>
      </c>
      <c r="J6798">
        <v>10</v>
      </c>
      <c r="L6798" t="s">
        <v>2709</v>
      </c>
      <c r="M6798">
        <v>70052100</v>
      </c>
      <c r="N6798">
        <v>1</v>
      </c>
      <c r="O6798" t="s">
        <v>19447</v>
      </c>
      <c r="P6798" t="s">
        <v>19899</v>
      </c>
      <c r="Q6798" t="s">
        <v>19900</v>
      </c>
      <c r="R6798" t="s">
        <v>19905</v>
      </c>
      <c r="S6798" t="s">
        <v>19906</v>
      </c>
      <c r="T6798" t="s">
        <v>19904</v>
      </c>
    </row>
    <row r="6799" spans="2:20" x14ac:dyDescent="0.25">
      <c r="B6799" t="s">
        <v>2709</v>
      </c>
      <c r="C6799">
        <v>70052900</v>
      </c>
      <c r="E6799">
        <v>45</v>
      </c>
      <c r="F6799">
        <v>18</v>
      </c>
      <c r="G6799">
        <v>5</v>
      </c>
      <c r="H6799">
        <v>7.6</v>
      </c>
      <c r="I6799">
        <v>1.65</v>
      </c>
      <c r="J6799">
        <v>10</v>
      </c>
      <c r="L6799" t="s">
        <v>2709</v>
      </c>
      <c r="M6799">
        <v>70052900</v>
      </c>
      <c r="O6799" t="s">
        <v>19999</v>
      </c>
      <c r="P6799" t="s">
        <v>19899</v>
      </c>
      <c r="Q6799" t="s">
        <v>19909</v>
      </c>
      <c r="R6799" t="s">
        <v>19905</v>
      </c>
      <c r="S6799" t="s">
        <v>19906</v>
      </c>
      <c r="T6799" t="s">
        <v>19904</v>
      </c>
    </row>
    <row r="6800" spans="2:20" x14ac:dyDescent="0.25">
      <c r="B6800" t="s">
        <v>2709</v>
      </c>
      <c r="C6800">
        <v>70052900</v>
      </c>
      <c r="D6800">
        <v>1</v>
      </c>
      <c r="E6800" t="s">
        <v>19447</v>
      </c>
      <c r="F6800">
        <v>18</v>
      </c>
      <c r="G6800">
        <v>0</v>
      </c>
      <c r="H6800">
        <v>7.6</v>
      </c>
      <c r="I6800">
        <v>1.65</v>
      </c>
      <c r="J6800">
        <v>10</v>
      </c>
      <c r="L6800" t="s">
        <v>2709</v>
      </c>
      <c r="M6800">
        <v>70052900</v>
      </c>
      <c r="N6800">
        <v>1</v>
      </c>
      <c r="O6800" t="s">
        <v>19447</v>
      </c>
      <c r="P6800" t="s">
        <v>19899</v>
      </c>
      <c r="Q6800" t="s">
        <v>19900</v>
      </c>
      <c r="R6800" t="s">
        <v>19905</v>
      </c>
      <c r="S6800" t="s">
        <v>19906</v>
      </c>
      <c r="T6800" t="s">
        <v>19904</v>
      </c>
    </row>
    <row r="6801" spans="2:20" x14ac:dyDescent="0.25">
      <c r="B6801" t="s">
        <v>2709</v>
      </c>
      <c r="C6801">
        <v>70053000</v>
      </c>
      <c r="E6801">
        <v>45</v>
      </c>
      <c r="F6801">
        <v>18</v>
      </c>
      <c r="G6801">
        <v>10</v>
      </c>
      <c r="H6801">
        <v>7.6</v>
      </c>
      <c r="I6801">
        <v>1.65</v>
      </c>
      <c r="J6801">
        <v>10</v>
      </c>
      <c r="L6801" t="s">
        <v>2709</v>
      </c>
      <c r="M6801">
        <v>70053000</v>
      </c>
      <c r="O6801" t="s">
        <v>19999</v>
      </c>
      <c r="P6801" t="s">
        <v>19899</v>
      </c>
      <c r="Q6801" t="s">
        <v>19904</v>
      </c>
      <c r="R6801" t="s">
        <v>19905</v>
      </c>
      <c r="S6801" t="s">
        <v>19906</v>
      </c>
      <c r="T6801" t="s">
        <v>19904</v>
      </c>
    </row>
    <row r="6802" spans="2:20" x14ac:dyDescent="0.25">
      <c r="B6802" t="s">
        <v>2709</v>
      </c>
      <c r="C6802">
        <v>70060000</v>
      </c>
      <c r="E6802">
        <v>101</v>
      </c>
      <c r="F6802">
        <v>18</v>
      </c>
      <c r="G6802">
        <v>10</v>
      </c>
      <c r="H6802">
        <v>7.6</v>
      </c>
      <c r="I6802">
        <v>1.65</v>
      </c>
      <c r="J6802">
        <v>12</v>
      </c>
      <c r="L6802" t="s">
        <v>2709</v>
      </c>
      <c r="M6802">
        <v>70060000</v>
      </c>
      <c r="O6802" t="s">
        <v>20081</v>
      </c>
      <c r="P6802" t="s">
        <v>19899</v>
      </c>
      <c r="Q6802" t="s">
        <v>19904</v>
      </c>
      <c r="R6802" t="s">
        <v>19905</v>
      </c>
      <c r="S6802" t="s">
        <v>19906</v>
      </c>
      <c r="T6802" t="s">
        <v>19903</v>
      </c>
    </row>
    <row r="6803" spans="2:20" x14ac:dyDescent="0.25">
      <c r="B6803" t="s">
        <v>2709</v>
      </c>
      <c r="C6803">
        <v>70060000</v>
      </c>
      <c r="D6803">
        <v>1</v>
      </c>
      <c r="E6803" t="s">
        <v>19447</v>
      </c>
      <c r="F6803">
        <v>18</v>
      </c>
      <c r="G6803">
        <v>0</v>
      </c>
      <c r="H6803">
        <v>7.6</v>
      </c>
      <c r="I6803">
        <v>1.65</v>
      </c>
      <c r="J6803">
        <v>12</v>
      </c>
      <c r="L6803" t="s">
        <v>2709</v>
      </c>
      <c r="M6803">
        <v>70060000</v>
      </c>
      <c r="N6803">
        <v>1</v>
      </c>
      <c r="O6803" t="s">
        <v>19447</v>
      </c>
      <c r="P6803" t="s">
        <v>19899</v>
      </c>
      <c r="Q6803" t="s">
        <v>19900</v>
      </c>
      <c r="R6803" t="s">
        <v>19905</v>
      </c>
      <c r="S6803" t="s">
        <v>19906</v>
      </c>
      <c r="T6803" t="s">
        <v>19903</v>
      </c>
    </row>
    <row r="6804" spans="2:20" x14ac:dyDescent="0.25">
      <c r="B6804" t="s">
        <v>2709</v>
      </c>
      <c r="C6804">
        <v>70071100</v>
      </c>
      <c r="E6804">
        <v>71.78</v>
      </c>
      <c r="F6804">
        <v>18</v>
      </c>
      <c r="G6804">
        <v>15</v>
      </c>
      <c r="H6804">
        <v>10.8</v>
      </c>
      <c r="I6804">
        <v>2.2999999999999998</v>
      </c>
      <c r="J6804">
        <v>12</v>
      </c>
      <c r="L6804" t="s">
        <v>2709</v>
      </c>
      <c r="M6804">
        <v>70071100</v>
      </c>
      <c r="O6804" t="s">
        <v>20056</v>
      </c>
      <c r="P6804" t="s">
        <v>19899</v>
      </c>
      <c r="Q6804" t="s">
        <v>19983</v>
      </c>
      <c r="R6804" t="s">
        <v>20074</v>
      </c>
      <c r="S6804" t="s">
        <v>20075</v>
      </c>
      <c r="T6804" t="s">
        <v>19903</v>
      </c>
    </row>
    <row r="6805" spans="2:20" x14ac:dyDescent="0.25">
      <c r="B6805" t="s">
        <v>2709</v>
      </c>
      <c r="C6805">
        <v>70071100</v>
      </c>
      <c r="D6805">
        <v>1</v>
      </c>
      <c r="E6805" t="s">
        <v>19447</v>
      </c>
      <c r="F6805">
        <v>18</v>
      </c>
      <c r="G6805">
        <v>3</v>
      </c>
      <c r="H6805">
        <v>7.6</v>
      </c>
      <c r="I6805">
        <v>1.65</v>
      </c>
      <c r="J6805">
        <v>12</v>
      </c>
      <c r="L6805" t="s">
        <v>2709</v>
      </c>
      <c r="M6805">
        <v>70071100</v>
      </c>
      <c r="N6805">
        <v>1</v>
      </c>
      <c r="O6805" t="s">
        <v>19447</v>
      </c>
      <c r="P6805" t="s">
        <v>19899</v>
      </c>
      <c r="Q6805" t="s">
        <v>19997</v>
      </c>
      <c r="R6805" t="s">
        <v>19905</v>
      </c>
      <c r="S6805" t="s">
        <v>19906</v>
      </c>
      <c r="T6805" t="s">
        <v>19903</v>
      </c>
    </row>
    <row r="6806" spans="2:20" x14ac:dyDescent="0.25">
      <c r="B6806" t="s">
        <v>2709</v>
      </c>
      <c r="C6806">
        <v>70071900</v>
      </c>
      <c r="E6806">
        <v>44</v>
      </c>
      <c r="F6806">
        <v>18</v>
      </c>
      <c r="G6806">
        <v>10</v>
      </c>
      <c r="H6806">
        <v>7.6</v>
      </c>
      <c r="I6806">
        <v>1.65</v>
      </c>
      <c r="J6806">
        <v>12</v>
      </c>
      <c r="L6806" t="s">
        <v>2709</v>
      </c>
      <c r="M6806">
        <v>70071900</v>
      </c>
      <c r="O6806" t="s">
        <v>20122</v>
      </c>
      <c r="P6806" t="s">
        <v>19899</v>
      </c>
      <c r="Q6806" t="s">
        <v>19904</v>
      </c>
      <c r="R6806" t="s">
        <v>19905</v>
      </c>
      <c r="S6806" t="s">
        <v>19906</v>
      </c>
      <c r="T6806" t="s">
        <v>19903</v>
      </c>
    </row>
    <row r="6807" spans="2:20" x14ac:dyDescent="0.25">
      <c r="B6807" t="s">
        <v>2709</v>
      </c>
      <c r="C6807">
        <v>70072100</v>
      </c>
      <c r="E6807">
        <v>71.78</v>
      </c>
      <c r="F6807">
        <v>18</v>
      </c>
      <c r="G6807">
        <v>15</v>
      </c>
      <c r="H6807">
        <v>10.8</v>
      </c>
      <c r="I6807">
        <v>2.2999999999999998</v>
      </c>
      <c r="J6807">
        <v>12</v>
      </c>
      <c r="L6807" t="s">
        <v>2709</v>
      </c>
      <c r="M6807">
        <v>70072100</v>
      </c>
      <c r="O6807" t="s">
        <v>20056</v>
      </c>
      <c r="P6807" t="s">
        <v>19899</v>
      </c>
      <c r="Q6807" t="s">
        <v>19983</v>
      </c>
      <c r="R6807" t="s">
        <v>20074</v>
      </c>
      <c r="S6807" t="s">
        <v>20075</v>
      </c>
      <c r="T6807" t="s">
        <v>19903</v>
      </c>
    </row>
    <row r="6808" spans="2:20" x14ac:dyDescent="0.25">
      <c r="B6808" t="s">
        <v>2709</v>
      </c>
      <c r="C6808">
        <v>70072100</v>
      </c>
      <c r="D6808">
        <v>1</v>
      </c>
      <c r="E6808" t="s">
        <v>19447</v>
      </c>
      <c r="F6808">
        <v>18</v>
      </c>
      <c r="G6808">
        <v>3</v>
      </c>
      <c r="H6808">
        <v>7.6</v>
      </c>
      <c r="I6808">
        <v>1.65</v>
      </c>
      <c r="J6808">
        <v>12</v>
      </c>
      <c r="L6808" t="s">
        <v>2709</v>
      </c>
      <c r="M6808">
        <v>70072100</v>
      </c>
      <c r="N6808">
        <v>1</v>
      </c>
      <c r="O6808" t="s">
        <v>19447</v>
      </c>
      <c r="P6808" t="s">
        <v>19899</v>
      </c>
      <c r="Q6808" t="s">
        <v>19997</v>
      </c>
      <c r="R6808" t="s">
        <v>19905</v>
      </c>
      <c r="S6808" t="s">
        <v>19906</v>
      </c>
      <c r="T6808" t="s">
        <v>19903</v>
      </c>
    </row>
    <row r="6809" spans="2:20" x14ac:dyDescent="0.25">
      <c r="B6809" t="s">
        <v>2709</v>
      </c>
      <c r="C6809">
        <v>70072900</v>
      </c>
      <c r="E6809">
        <v>71.78</v>
      </c>
      <c r="F6809">
        <v>18</v>
      </c>
      <c r="G6809">
        <v>10</v>
      </c>
      <c r="H6809">
        <v>7.6</v>
      </c>
      <c r="I6809">
        <v>1.65</v>
      </c>
      <c r="J6809">
        <v>12</v>
      </c>
      <c r="L6809" t="s">
        <v>2709</v>
      </c>
      <c r="M6809">
        <v>70072900</v>
      </c>
      <c r="O6809" t="s">
        <v>20056</v>
      </c>
      <c r="P6809" t="s">
        <v>19899</v>
      </c>
      <c r="Q6809" t="s">
        <v>19904</v>
      </c>
      <c r="R6809" t="s">
        <v>19905</v>
      </c>
      <c r="S6809" t="s">
        <v>19906</v>
      </c>
      <c r="T6809" t="s">
        <v>19903</v>
      </c>
    </row>
    <row r="6810" spans="2:20" x14ac:dyDescent="0.25">
      <c r="B6810" t="s">
        <v>2709</v>
      </c>
      <c r="C6810">
        <v>70080000</v>
      </c>
      <c r="E6810">
        <v>46</v>
      </c>
      <c r="F6810">
        <v>18</v>
      </c>
      <c r="G6810">
        <v>10</v>
      </c>
      <c r="H6810">
        <v>7.6</v>
      </c>
      <c r="I6810">
        <v>1.65</v>
      </c>
      <c r="J6810">
        <v>12</v>
      </c>
      <c r="L6810" t="s">
        <v>2709</v>
      </c>
      <c r="M6810">
        <v>70080000</v>
      </c>
      <c r="O6810" t="s">
        <v>20071</v>
      </c>
      <c r="P6810" t="s">
        <v>19899</v>
      </c>
      <c r="Q6810" t="s">
        <v>19904</v>
      </c>
      <c r="R6810" t="s">
        <v>19905</v>
      </c>
      <c r="S6810" t="s">
        <v>19906</v>
      </c>
      <c r="T6810" t="s">
        <v>19903</v>
      </c>
    </row>
    <row r="6811" spans="2:20" x14ac:dyDescent="0.25">
      <c r="B6811" t="s">
        <v>2709</v>
      </c>
      <c r="C6811">
        <v>70091000</v>
      </c>
      <c r="E6811">
        <v>71.78</v>
      </c>
      <c r="F6811">
        <v>18</v>
      </c>
      <c r="G6811">
        <v>15</v>
      </c>
      <c r="H6811">
        <v>10.8</v>
      </c>
      <c r="I6811">
        <v>2.2999999999999998</v>
      </c>
      <c r="J6811">
        <v>14</v>
      </c>
      <c r="L6811" t="s">
        <v>2709</v>
      </c>
      <c r="M6811">
        <v>70091000</v>
      </c>
      <c r="O6811" t="s">
        <v>20056</v>
      </c>
      <c r="P6811" t="s">
        <v>19899</v>
      </c>
      <c r="Q6811" t="s">
        <v>19983</v>
      </c>
      <c r="R6811" t="s">
        <v>20074</v>
      </c>
      <c r="S6811" t="s">
        <v>20075</v>
      </c>
      <c r="T6811" t="s">
        <v>19911</v>
      </c>
    </row>
    <row r="6812" spans="2:20" x14ac:dyDescent="0.25">
      <c r="B6812" t="s">
        <v>2709</v>
      </c>
      <c r="C6812">
        <v>70091000</v>
      </c>
      <c r="D6812">
        <v>1</v>
      </c>
      <c r="E6812" t="s">
        <v>19447</v>
      </c>
      <c r="F6812">
        <v>18</v>
      </c>
      <c r="G6812">
        <v>3</v>
      </c>
      <c r="H6812">
        <v>7.6</v>
      </c>
      <c r="I6812">
        <v>1.65</v>
      </c>
      <c r="J6812">
        <v>14</v>
      </c>
      <c r="L6812" t="s">
        <v>2709</v>
      </c>
      <c r="M6812">
        <v>70091000</v>
      </c>
      <c r="N6812">
        <v>1</v>
      </c>
      <c r="O6812" t="s">
        <v>19447</v>
      </c>
      <c r="P6812" t="s">
        <v>19899</v>
      </c>
      <c r="Q6812" t="s">
        <v>19997</v>
      </c>
      <c r="R6812" t="s">
        <v>19905</v>
      </c>
      <c r="S6812" t="s">
        <v>19906</v>
      </c>
      <c r="T6812" t="s">
        <v>19911</v>
      </c>
    </row>
    <row r="6813" spans="2:20" x14ac:dyDescent="0.25">
      <c r="B6813" t="s">
        <v>2709</v>
      </c>
      <c r="C6813">
        <v>70099100</v>
      </c>
      <c r="E6813">
        <v>42</v>
      </c>
      <c r="F6813">
        <v>18</v>
      </c>
      <c r="G6813">
        <v>15</v>
      </c>
      <c r="H6813">
        <v>7.6</v>
      </c>
      <c r="I6813">
        <v>1.65</v>
      </c>
      <c r="J6813">
        <v>14</v>
      </c>
      <c r="L6813" t="s">
        <v>2709</v>
      </c>
      <c r="M6813">
        <v>70099100</v>
      </c>
      <c r="O6813" t="s">
        <v>20041</v>
      </c>
      <c r="P6813" t="s">
        <v>19899</v>
      </c>
      <c r="Q6813" t="s">
        <v>19983</v>
      </c>
      <c r="R6813" t="s">
        <v>19905</v>
      </c>
      <c r="S6813" t="s">
        <v>19906</v>
      </c>
      <c r="T6813" t="s">
        <v>19911</v>
      </c>
    </row>
    <row r="6814" spans="2:20" x14ac:dyDescent="0.25">
      <c r="B6814" t="s">
        <v>2709</v>
      </c>
      <c r="C6814">
        <v>70099200</v>
      </c>
      <c r="E6814">
        <v>42</v>
      </c>
      <c r="F6814">
        <v>18</v>
      </c>
      <c r="G6814">
        <v>15</v>
      </c>
      <c r="H6814">
        <v>7.6</v>
      </c>
      <c r="I6814">
        <v>1.65</v>
      </c>
      <c r="J6814">
        <v>14</v>
      </c>
      <c r="L6814" t="s">
        <v>2709</v>
      </c>
      <c r="M6814">
        <v>70099200</v>
      </c>
      <c r="O6814" t="s">
        <v>20041</v>
      </c>
      <c r="P6814" t="s">
        <v>19899</v>
      </c>
      <c r="Q6814" t="s">
        <v>19983</v>
      </c>
      <c r="R6814" t="s">
        <v>19905</v>
      </c>
      <c r="S6814" t="s">
        <v>19906</v>
      </c>
      <c r="T6814" t="s">
        <v>19911</v>
      </c>
    </row>
    <row r="6815" spans="2:20" x14ac:dyDescent="0.25">
      <c r="B6815" t="s">
        <v>2709</v>
      </c>
      <c r="C6815">
        <v>70101000</v>
      </c>
      <c r="E6815">
        <v>101</v>
      </c>
      <c r="F6815">
        <v>18</v>
      </c>
      <c r="G6815">
        <v>0</v>
      </c>
      <c r="H6815">
        <v>0.04</v>
      </c>
      <c r="I6815">
        <v>0.01</v>
      </c>
      <c r="J6815">
        <v>10</v>
      </c>
      <c r="L6815" t="s">
        <v>2709</v>
      </c>
      <c r="M6815">
        <v>70101000</v>
      </c>
      <c r="O6815" t="s">
        <v>20081</v>
      </c>
      <c r="P6815" t="s">
        <v>19899</v>
      </c>
      <c r="Q6815" t="s">
        <v>19900</v>
      </c>
      <c r="R6815" t="s">
        <v>20069</v>
      </c>
      <c r="S6815" t="s">
        <v>20070</v>
      </c>
      <c r="T6815" t="s">
        <v>19904</v>
      </c>
    </row>
    <row r="6816" spans="2:20" x14ac:dyDescent="0.25">
      <c r="B6816" t="s">
        <v>2709</v>
      </c>
      <c r="C6816">
        <v>70102000</v>
      </c>
      <c r="E6816">
        <v>177.19</v>
      </c>
      <c r="F6816">
        <v>18</v>
      </c>
      <c r="G6816">
        <v>15</v>
      </c>
      <c r="H6816">
        <v>0.04</v>
      </c>
      <c r="I6816">
        <v>0.01</v>
      </c>
      <c r="J6816">
        <v>10</v>
      </c>
      <c r="L6816" t="s">
        <v>2709</v>
      </c>
      <c r="M6816">
        <v>70102000</v>
      </c>
      <c r="O6816" t="s">
        <v>19926</v>
      </c>
      <c r="P6816" t="s">
        <v>19899</v>
      </c>
      <c r="Q6816" t="s">
        <v>19983</v>
      </c>
      <c r="R6816" t="s">
        <v>20069</v>
      </c>
      <c r="S6816" t="s">
        <v>20070</v>
      </c>
      <c r="T6816" t="s">
        <v>19904</v>
      </c>
    </row>
    <row r="6817" spans="2:20" x14ac:dyDescent="0.25">
      <c r="B6817" t="s">
        <v>2709</v>
      </c>
      <c r="C6817">
        <v>70109011</v>
      </c>
      <c r="E6817">
        <v>101</v>
      </c>
      <c r="F6817">
        <v>18</v>
      </c>
      <c r="G6817">
        <v>15</v>
      </c>
      <c r="H6817">
        <v>0.04</v>
      </c>
      <c r="I6817">
        <v>0.01</v>
      </c>
      <c r="J6817">
        <v>10</v>
      </c>
      <c r="L6817" t="s">
        <v>2709</v>
      </c>
      <c r="M6817">
        <v>70109011</v>
      </c>
      <c r="O6817" t="s">
        <v>20081</v>
      </c>
      <c r="P6817" t="s">
        <v>19899</v>
      </c>
      <c r="Q6817" t="s">
        <v>19983</v>
      </c>
      <c r="R6817" t="s">
        <v>20069</v>
      </c>
      <c r="S6817" t="s">
        <v>20070</v>
      </c>
      <c r="T6817" t="s">
        <v>19904</v>
      </c>
    </row>
    <row r="6818" spans="2:20" x14ac:dyDescent="0.25">
      <c r="B6818" t="s">
        <v>2709</v>
      </c>
      <c r="C6818">
        <v>70109012</v>
      </c>
      <c r="E6818">
        <v>101</v>
      </c>
      <c r="F6818">
        <v>18</v>
      </c>
      <c r="G6818">
        <v>15</v>
      </c>
      <c r="H6818">
        <v>0.04</v>
      </c>
      <c r="I6818">
        <v>0.01</v>
      </c>
      <c r="J6818">
        <v>10</v>
      </c>
      <c r="L6818" t="s">
        <v>2709</v>
      </c>
      <c r="M6818">
        <v>70109012</v>
      </c>
      <c r="O6818" t="s">
        <v>20081</v>
      </c>
      <c r="P6818" t="s">
        <v>19899</v>
      </c>
      <c r="Q6818" t="s">
        <v>19983</v>
      </c>
      <c r="R6818" t="s">
        <v>20069</v>
      </c>
      <c r="S6818" t="s">
        <v>20070</v>
      </c>
      <c r="T6818" t="s">
        <v>19904</v>
      </c>
    </row>
    <row r="6819" spans="2:20" x14ac:dyDescent="0.25">
      <c r="B6819" t="s">
        <v>2709</v>
      </c>
      <c r="C6819">
        <v>70109021</v>
      </c>
      <c r="E6819">
        <v>101</v>
      </c>
      <c r="F6819">
        <v>18</v>
      </c>
      <c r="G6819">
        <v>15</v>
      </c>
      <c r="H6819">
        <v>0.75</v>
      </c>
      <c r="I6819">
        <v>0.16</v>
      </c>
      <c r="J6819">
        <v>10</v>
      </c>
      <c r="L6819" t="s">
        <v>2709</v>
      </c>
      <c r="M6819">
        <v>70109021</v>
      </c>
      <c r="O6819" t="s">
        <v>20081</v>
      </c>
      <c r="P6819" t="s">
        <v>19899</v>
      </c>
      <c r="Q6819" t="s">
        <v>19983</v>
      </c>
      <c r="R6819" t="s">
        <v>20123</v>
      </c>
      <c r="S6819" t="s">
        <v>20124</v>
      </c>
      <c r="T6819" t="s">
        <v>19904</v>
      </c>
    </row>
    <row r="6820" spans="2:20" x14ac:dyDescent="0.25">
      <c r="B6820" t="s">
        <v>2709</v>
      </c>
      <c r="C6820">
        <v>70109022</v>
      </c>
      <c r="E6820">
        <v>101</v>
      </c>
      <c r="F6820">
        <v>18</v>
      </c>
      <c r="G6820">
        <v>15</v>
      </c>
      <c r="H6820">
        <v>0.04</v>
      </c>
      <c r="I6820">
        <v>0.01</v>
      </c>
      <c r="J6820">
        <v>10</v>
      </c>
      <c r="L6820" t="s">
        <v>2709</v>
      </c>
      <c r="M6820">
        <v>70109022</v>
      </c>
      <c r="O6820" t="s">
        <v>20081</v>
      </c>
      <c r="P6820" t="s">
        <v>19899</v>
      </c>
      <c r="Q6820" t="s">
        <v>19983</v>
      </c>
      <c r="R6820" t="s">
        <v>20069</v>
      </c>
      <c r="S6820" t="s">
        <v>20070</v>
      </c>
      <c r="T6820" t="s">
        <v>19904</v>
      </c>
    </row>
    <row r="6821" spans="2:20" x14ac:dyDescent="0.25">
      <c r="B6821" t="s">
        <v>2709</v>
      </c>
      <c r="C6821">
        <v>70109090</v>
      </c>
      <c r="E6821">
        <v>101</v>
      </c>
      <c r="F6821">
        <v>18</v>
      </c>
      <c r="G6821">
        <v>15</v>
      </c>
      <c r="H6821">
        <v>0.04</v>
      </c>
      <c r="I6821">
        <v>0.01</v>
      </c>
      <c r="J6821">
        <v>10</v>
      </c>
      <c r="L6821" t="s">
        <v>2709</v>
      </c>
      <c r="M6821">
        <v>70109090</v>
      </c>
      <c r="O6821" t="s">
        <v>20081</v>
      </c>
      <c r="P6821" t="s">
        <v>19899</v>
      </c>
      <c r="Q6821" t="s">
        <v>19983</v>
      </c>
      <c r="R6821" t="s">
        <v>20069</v>
      </c>
      <c r="S6821" t="s">
        <v>20070</v>
      </c>
      <c r="T6821" t="s">
        <v>19904</v>
      </c>
    </row>
    <row r="6822" spans="2:20" x14ac:dyDescent="0.25">
      <c r="B6822" t="s">
        <v>2709</v>
      </c>
      <c r="C6822">
        <v>70111010</v>
      </c>
      <c r="E6822">
        <v>101</v>
      </c>
      <c r="F6822">
        <v>18</v>
      </c>
      <c r="G6822">
        <v>10</v>
      </c>
      <c r="H6822" t="s">
        <v>19447</v>
      </c>
      <c r="I6822" t="s">
        <v>19447</v>
      </c>
      <c r="J6822">
        <v>10</v>
      </c>
      <c r="L6822" t="s">
        <v>2709</v>
      </c>
      <c r="M6822">
        <v>70111010</v>
      </c>
      <c r="O6822" t="s">
        <v>20081</v>
      </c>
      <c r="P6822" t="s">
        <v>19899</v>
      </c>
      <c r="Q6822" t="s">
        <v>19904</v>
      </c>
      <c r="R6822" t="s">
        <v>19447</v>
      </c>
      <c r="S6822" t="s">
        <v>19447</v>
      </c>
      <c r="T6822" t="s">
        <v>19904</v>
      </c>
    </row>
    <row r="6823" spans="2:20" x14ac:dyDescent="0.25">
      <c r="B6823" t="s">
        <v>2709</v>
      </c>
      <c r="C6823">
        <v>70111021</v>
      </c>
      <c r="E6823">
        <v>101</v>
      </c>
      <c r="F6823">
        <v>18</v>
      </c>
      <c r="G6823">
        <v>10</v>
      </c>
      <c r="H6823" t="s">
        <v>19447</v>
      </c>
      <c r="I6823" t="s">
        <v>19447</v>
      </c>
      <c r="J6823">
        <v>10</v>
      </c>
      <c r="L6823" t="s">
        <v>2709</v>
      </c>
      <c r="M6823">
        <v>70111021</v>
      </c>
      <c r="O6823" t="s">
        <v>20081</v>
      </c>
      <c r="P6823" t="s">
        <v>19899</v>
      </c>
      <c r="Q6823" t="s">
        <v>19904</v>
      </c>
      <c r="R6823" t="s">
        <v>19447</v>
      </c>
      <c r="S6823" t="s">
        <v>19447</v>
      </c>
      <c r="T6823" t="s">
        <v>19904</v>
      </c>
    </row>
    <row r="6824" spans="2:20" x14ac:dyDescent="0.25">
      <c r="B6824" t="s">
        <v>2709</v>
      </c>
      <c r="C6824">
        <v>70111029</v>
      </c>
      <c r="E6824">
        <v>101</v>
      </c>
      <c r="F6824">
        <v>18</v>
      </c>
      <c r="G6824">
        <v>10</v>
      </c>
      <c r="H6824" t="s">
        <v>19447</v>
      </c>
      <c r="I6824" t="s">
        <v>19447</v>
      </c>
      <c r="J6824">
        <v>10</v>
      </c>
      <c r="L6824" t="s">
        <v>2709</v>
      </c>
      <c r="M6824">
        <v>70111029</v>
      </c>
      <c r="O6824" t="s">
        <v>20081</v>
      </c>
      <c r="P6824" t="s">
        <v>19899</v>
      </c>
      <c r="Q6824" t="s">
        <v>19904</v>
      </c>
      <c r="R6824" t="s">
        <v>19447</v>
      </c>
      <c r="S6824" t="s">
        <v>19447</v>
      </c>
      <c r="T6824" t="s">
        <v>19904</v>
      </c>
    </row>
    <row r="6825" spans="2:20" x14ac:dyDescent="0.25">
      <c r="B6825" t="s">
        <v>2709</v>
      </c>
      <c r="C6825">
        <v>70111090</v>
      </c>
      <c r="E6825">
        <v>101</v>
      </c>
      <c r="F6825">
        <v>18</v>
      </c>
      <c r="G6825">
        <v>10</v>
      </c>
      <c r="H6825" t="s">
        <v>19447</v>
      </c>
      <c r="I6825" t="s">
        <v>19447</v>
      </c>
      <c r="J6825">
        <v>10</v>
      </c>
      <c r="L6825" t="s">
        <v>2709</v>
      </c>
      <c r="M6825">
        <v>70111090</v>
      </c>
      <c r="O6825" t="s">
        <v>20081</v>
      </c>
      <c r="P6825" t="s">
        <v>19899</v>
      </c>
      <c r="Q6825" t="s">
        <v>19904</v>
      </c>
      <c r="R6825" t="s">
        <v>19447</v>
      </c>
      <c r="S6825" t="s">
        <v>19447</v>
      </c>
      <c r="T6825" t="s">
        <v>19904</v>
      </c>
    </row>
    <row r="6826" spans="2:20" x14ac:dyDescent="0.25">
      <c r="B6826" t="s">
        <v>2709</v>
      </c>
      <c r="C6826">
        <v>70112000</v>
      </c>
      <c r="E6826">
        <v>101</v>
      </c>
      <c r="F6826">
        <v>18</v>
      </c>
      <c r="G6826">
        <v>10</v>
      </c>
      <c r="H6826" t="s">
        <v>19447</v>
      </c>
      <c r="I6826" t="s">
        <v>19447</v>
      </c>
      <c r="J6826">
        <v>10</v>
      </c>
      <c r="L6826" t="s">
        <v>2709</v>
      </c>
      <c r="M6826">
        <v>70112000</v>
      </c>
      <c r="O6826" t="s">
        <v>20081</v>
      </c>
      <c r="P6826" t="s">
        <v>19899</v>
      </c>
      <c r="Q6826" t="s">
        <v>19904</v>
      </c>
      <c r="R6826" t="s">
        <v>19447</v>
      </c>
      <c r="S6826" t="s">
        <v>19447</v>
      </c>
      <c r="T6826" t="s">
        <v>19904</v>
      </c>
    </row>
    <row r="6827" spans="2:20" x14ac:dyDescent="0.25">
      <c r="B6827" t="s">
        <v>2709</v>
      </c>
      <c r="C6827">
        <v>70119000</v>
      </c>
      <c r="E6827">
        <v>101</v>
      </c>
      <c r="F6827">
        <v>18</v>
      </c>
      <c r="G6827">
        <v>10</v>
      </c>
      <c r="H6827" t="s">
        <v>19447</v>
      </c>
      <c r="I6827" t="s">
        <v>19447</v>
      </c>
      <c r="J6827">
        <v>10</v>
      </c>
      <c r="L6827" t="s">
        <v>2709</v>
      </c>
      <c r="M6827">
        <v>70119000</v>
      </c>
      <c r="O6827" t="s">
        <v>20081</v>
      </c>
      <c r="P6827" t="s">
        <v>19899</v>
      </c>
      <c r="Q6827" t="s">
        <v>19904</v>
      </c>
      <c r="R6827" t="s">
        <v>19447</v>
      </c>
      <c r="S6827" t="s">
        <v>19447</v>
      </c>
      <c r="T6827" t="s">
        <v>19904</v>
      </c>
    </row>
    <row r="6828" spans="2:20" x14ac:dyDescent="0.25">
      <c r="B6828" t="s">
        <v>2709</v>
      </c>
      <c r="C6828">
        <v>70131000</v>
      </c>
      <c r="E6828">
        <v>72</v>
      </c>
      <c r="F6828">
        <v>18</v>
      </c>
      <c r="G6828">
        <v>10</v>
      </c>
      <c r="H6828">
        <v>7.6</v>
      </c>
      <c r="I6828">
        <v>1.65</v>
      </c>
      <c r="J6828">
        <v>18</v>
      </c>
      <c r="L6828" t="s">
        <v>2709</v>
      </c>
      <c r="M6828">
        <v>70131000</v>
      </c>
      <c r="O6828" t="s">
        <v>20125</v>
      </c>
      <c r="P6828" t="s">
        <v>19899</v>
      </c>
      <c r="Q6828" t="s">
        <v>19904</v>
      </c>
      <c r="R6828" t="s">
        <v>19905</v>
      </c>
      <c r="S6828" t="s">
        <v>19906</v>
      </c>
      <c r="T6828" t="s">
        <v>19899</v>
      </c>
    </row>
    <row r="6829" spans="2:20" x14ac:dyDescent="0.25">
      <c r="B6829" t="s">
        <v>2709</v>
      </c>
      <c r="C6829">
        <v>70132200</v>
      </c>
      <c r="E6829">
        <v>72</v>
      </c>
      <c r="F6829">
        <v>18</v>
      </c>
      <c r="G6829">
        <v>15</v>
      </c>
      <c r="H6829">
        <v>7.6</v>
      </c>
      <c r="I6829">
        <v>1.65</v>
      </c>
      <c r="J6829">
        <v>18</v>
      </c>
      <c r="L6829" t="s">
        <v>2709</v>
      </c>
      <c r="M6829">
        <v>70132200</v>
      </c>
      <c r="O6829" t="s">
        <v>20125</v>
      </c>
      <c r="P6829" t="s">
        <v>19899</v>
      </c>
      <c r="Q6829" t="s">
        <v>19983</v>
      </c>
      <c r="R6829" t="s">
        <v>19905</v>
      </c>
      <c r="S6829" t="s">
        <v>19906</v>
      </c>
      <c r="T6829" t="s">
        <v>19899</v>
      </c>
    </row>
    <row r="6830" spans="2:20" x14ac:dyDescent="0.25">
      <c r="B6830" t="s">
        <v>2709</v>
      </c>
      <c r="C6830">
        <v>70132800</v>
      </c>
      <c r="E6830">
        <v>72</v>
      </c>
      <c r="F6830">
        <v>18</v>
      </c>
      <c r="G6830">
        <v>15</v>
      </c>
      <c r="H6830">
        <v>7.6</v>
      </c>
      <c r="I6830">
        <v>1.65</v>
      </c>
      <c r="J6830">
        <v>18</v>
      </c>
      <c r="L6830" t="s">
        <v>2709</v>
      </c>
      <c r="M6830">
        <v>70132800</v>
      </c>
      <c r="O6830" t="s">
        <v>20125</v>
      </c>
      <c r="P6830" t="s">
        <v>19899</v>
      </c>
      <c r="Q6830" t="s">
        <v>19983</v>
      </c>
      <c r="R6830" t="s">
        <v>19905</v>
      </c>
      <c r="S6830" t="s">
        <v>19906</v>
      </c>
      <c r="T6830" t="s">
        <v>19899</v>
      </c>
    </row>
    <row r="6831" spans="2:20" x14ac:dyDescent="0.25">
      <c r="B6831" t="s">
        <v>2709</v>
      </c>
      <c r="C6831">
        <v>70133300</v>
      </c>
      <c r="E6831">
        <v>72</v>
      </c>
      <c r="F6831">
        <v>18</v>
      </c>
      <c r="G6831">
        <v>15</v>
      </c>
      <c r="H6831">
        <v>7.6</v>
      </c>
      <c r="I6831">
        <v>1.65</v>
      </c>
      <c r="J6831">
        <v>18</v>
      </c>
      <c r="L6831" t="s">
        <v>2709</v>
      </c>
      <c r="M6831">
        <v>70133300</v>
      </c>
      <c r="O6831" t="s">
        <v>20125</v>
      </c>
      <c r="P6831" t="s">
        <v>19899</v>
      </c>
      <c r="Q6831" t="s">
        <v>19983</v>
      </c>
      <c r="R6831" t="s">
        <v>19905</v>
      </c>
      <c r="S6831" t="s">
        <v>19906</v>
      </c>
      <c r="T6831" t="s">
        <v>19899</v>
      </c>
    </row>
    <row r="6832" spans="2:20" x14ac:dyDescent="0.25">
      <c r="B6832" t="s">
        <v>2709</v>
      </c>
      <c r="C6832">
        <v>70133700</v>
      </c>
      <c r="E6832">
        <v>72</v>
      </c>
      <c r="F6832">
        <v>18</v>
      </c>
      <c r="G6832">
        <v>15</v>
      </c>
      <c r="H6832">
        <v>7.6</v>
      </c>
      <c r="I6832">
        <v>1.65</v>
      </c>
      <c r="J6832">
        <v>18</v>
      </c>
      <c r="L6832" t="s">
        <v>2709</v>
      </c>
      <c r="M6832">
        <v>70133700</v>
      </c>
      <c r="O6832" t="s">
        <v>20125</v>
      </c>
      <c r="P6832" t="s">
        <v>19899</v>
      </c>
      <c r="Q6832" t="s">
        <v>19983</v>
      </c>
      <c r="R6832" t="s">
        <v>19905</v>
      </c>
      <c r="S6832" t="s">
        <v>19906</v>
      </c>
      <c r="T6832" t="s">
        <v>19899</v>
      </c>
    </row>
    <row r="6833" spans="2:20" x14ac:dyDescent="0.25">
      <c r="B6833" t="s">
        <v>2709</v>
      </c>
      <c r="C6833">
        <v>70134100</v>
      </c>
      <c r="E6833">
        <v>72</v>
      </c>
      <c r="F6833">
        <v>18</v>
      </c>
      <c r="G6833">
        <v>10</v>
      </c>
      <c r="H6833">
        <v>7.6</v>
      </c>
      <c r="I6833">
        <v>1.65</v>
      </c>
      <c r="J6833">
        <v>18</v>
      </c>
      <c r="L6833" t="s">
        <v>2709</v>
      </c>
      <c r="M6833">
        <v>70134100</v>
      </c>
      <c r="O6833" t="s">
        <v>20125</v>
      </c>
      <c r="P6833" t="s">
        <v>19899</v>
      </c>
      <c r="Q6833" t="s">
        <v>19904</v>
      </c>
      <c r="R6833" t="s">
        <v>19905</v>
      </c>
      <c r="S6833" t="s">
        <v>19906</v>
      </c>
      <c r="T6833" t="s">
        <v>19899</v>
      </c>
    </row>
    <row r="6834" spans="2:20" x14ac:dyDescent="0.25">
      <c r="B6834" t="s">
        <v>2709</v>
      </c>
      <c r="C6834">
        <v>70134210</v>
      </c>
      <c r="E6834">
        <v>72</v>
      </c>
      <c r="F6834">
        <v>18</v>
      </c>
      <c r="G6834">
        <v>10</v>
      </c>
      <c r="H6834">
        <v>7.6</v>
      </c>
      <c r="I6834">
        <v>1.65</v>
      </c>
      <c r="J6834">
        <v>18</v>
      </c>
      <c r="L6834" t="s">
        <v>2709</v>
      </c>
      <c r="M6834">
        <v>70134210</v>
      </c>
      <c r="O6834" t="s">
        <v>20125</v>
      </c>
      <c r="P6834" t="s">
        <v>19899</v>
      </c>
      <c r="Q6834" t="s">
        <v>19904</v>
      </c>
      <c r="R6834" t="s">
        <v>19905</v>
      </c>
      <c r="S6834" t="s">
        <v>19906</v>
      </c>
      <c r="T6834" t="s">
        <v>19899</v>
      </c>
    </row>
    <row r="6835" spans="2:20" x14ac:dyDescent="0.25">
      <c r="B6835" t="s">
        <v>2709</v>
      </c>
      <c r="C6835">
        <v>70134290</v>
      </c>
      <c r="E6835">
        <v>91</v>
      </c>
      <c r="F6835">
        <v>18</v>
      </c>
      <c r="G6835">
        <v>10</v>
      </c>
      <c r="H6835">
        <v>7.6</v>
      </c>
      <c r="I6835">
        <v>1.65</v>
      </c>
      <c r="J6835">
        <v>18</v>
      </c>
      <c r="L6835" t="s">
        <v>2709</v>
      </c>
      <c r="M6835">
        <v>70134290</v>
      </c>
      <c r="O6835" t="s">
        <v>20120</v>
      </c>
      <c r="P6835" t="s">
        <v>19899</v>
      </c>
      <c r="Q6835" t="s">
        <v>19904</v>
      </c>
      <c r="R6835" t="s">
        <v>19905</v>
      </c>
      <c r="S6835" t="s">
        <v>19906</v>
      </c>
      <c r="T6835" t="s">
        <v>19899</v>
      </c>
    </row>
    <row r="6836" spans="2:20" x14ac:dyDescent="0.25">
      <c r="B6836" t="s">
        <v>2709</v>
      </c>
      <c r="C6836">
        <v>70134290</v>
      </c>
      <c r="D6836">
        <v>1</v>
      </c>
      <c r="E6836" t="s">
        <v>19447</v>
      </c>
      <c r="F6836">
        <v>18</v>
      </c>
      <c r="G6836">
        <v>15</v>
      </c>
      <c r="H6836">
        <v>7.6</v>
      </c>
      <c r="I6836">
        <v>1.65</v>
      </c>
      <c r="J6836">
        <v>18</v>
      </c>
      <c r="L6836" t="s">
        <v>2709</v>
      </c>
      <c r="M6836">
        <v>70134290</v>
      </c>
      <c r="N6836">
        <v>1</v>
      </c>
      <c r="O6836" t="s">
        <v>19447</v>
      </c>
      <c r="P6836" t="s">
        <v>19899</v>
      </c>
      <c r="Q6836" t="s">
        <v>19983</v>
      </c>
      <c r="R6836" t="s">
        <v>19905</v>
      </c>
      <c r="S6836" t="s">
        <v>19906</v>
      </c>
      <c r="T6836" t="s">
        <v>19899</v>
      </c>
    </row>
    <row r="6837" spans="2:20" x14ac:dyDescent="0.25">
      <c r="B6837" t="s">
        <v>2709</v>
      </c>
      <c r="C6837">
        <v>70134900</v>
      </c>
      <c r="E6837">
        <v>72</v>
      </c>
      <c r="F6837">
        <v>18</v>
      </c>
      <c r="G6837">
        <v>10</v>
      </c>
      <c r="H6837">
        <v>7.6</v>
      </c>
      <c r="I6837">
        <v>1.65</v>
      </c>
      <c r="J6837">
        <v>18</v>
      </c>
      <c r="L6837" t="s">
        <v>2709</v>
      </c>
      <c r="M6837">
        <v>70134900</v>
      </c>
      <c r="O6837" t="s">
        <v>20125</v>
      </c>
      <c r="P6837" t="s">
        <v>19899</v>
      </c>
      <c r="Q6837" t="s">
        <v>19904</v>
      </c>
      <c r="R6837" t="s">
        <v>19905</v>
      </c>
      <c r="S6837" t="s">
        <v>19906</v>
      </c>
      <c r="T6837" t="s">
        <v>19899</v>
      </c>
    </row>
    <row r="6838" spans="2:20" x14ac:dyDescent="0.25">
      <c r="B6838" t="s">
        <v>2709</v>
      </c>
      <c r="C6838">
        <v>70134900</v>
      </c>
      <c r="D6838">
        <v>1</v>
      </c>
      <c r="E6838" t="s">
        <v>19447</v>
      </c>
      <c r="F6838">
        <v>18</v>
      </c>
      <c r="G6838">
        <v>15</v>
      </c>
      <c r="H6838">
        <v>7.6</v>
      </c>
      <c r="I6838">
        <v>1.65</v>
      </c>
      <c r="J6838">
        <v>18</v>
      </c>
      <c r="L6838" t="s">
        <v>2709</v>
      </c>
      <c r="M6838">
        <v>70134900</v>
      </c>
      <c r="N6838">
        <v>1</v>
      </c>
      <c r="O6838" t="s">
        <v>19447</v>
      </c>
      <c r="P6838" t="s">
        <v>19899</v>
      </c>
      <c r="Q6838" t="s">
        <v>19983</v>
      </c>
      <c r="R6838" t="s">
        <v>19905</v>
      </c>
      <c r="S6838" t="s">
        <v>19906</v>
      </c>
      <c r="T6838" t="s">
        <v>19899</v>
      </c>
    </row>
    <row r="6839" spans="2:20" x14ac:dyDescent="0.25">
      <c r="B6839" t="s">
        <v>2709</v>
      </c>
      <c r="C6839">
        <v>70139110</v>
      </c>
      <c r="E6839">
        <v>72</v>
      </c>
      <c r="F6839">
        <v>18</v>
      </c>
      <c r="G6839">
        <v>15</v>
      </c>
      <c r="H6839">
        <v>7.6</v>
      </c>
      <c r="I6839">
        <v>1.65</v>
      </c>
      <c r="J6839">
        <v>18</v>
      </c>
      <c r="L6839" t="s">
        <v>2709</v>
      </c>
      <c r="M6839">
        <v>70139110</v>
      </c>
      <c r="O6839" t="s">
        <v>20125</v>
      </c>
      <c r="P6839" t="s">
        <v>19899</v>
      </c>
      <c r="Q6839" t="s">
        <v>19983</v>
      </c>
      <c r="R6839" t="s">
        <v>19905</v>
      </c>
      <c r="S6839" t="s">
        <v>19906</v>
      </c>
      <c r="T6839" t="s">
        <v>19899</v>
      </c>
    </row>
    <row r="6840" spans="2:20" x14ac:dyDescent="0.25">
      <c r="B6840" t="s">
        <v>2709</v>
      </c>
      <c r="C6840">
        <v>70139190</v>
      </c>
      <c r="E6840">
        <v>72</v>
      </c>
      <c r="F6840">
        <v>18</v>
      </c>
      <c r="G6840">
        <v>15</v>
      </c>
      <c r="H6840">
        <v>7.6</v>
      </c>
      <c r="I6840">
        <v>1.65</v>
      </c>
      <c r="J6840">
        <v>18</v>
      </c>
      <c r="L6840" t="s">
        <v>2709</v>
      </c>
      <c r="M6840">
        <v>70139190</v>
      </c>
      <c r="O6840" t="s">
        <v>20125</v>
      </c>
      <c r="P6840" t="s">
        <v>19899</v>
      </c>
      <c r="Q6840" t="s">
        <v>19983</v>
      </c>
      <c r="R6840" t="s">
        <v>19905</v>
      </c>
      <c r="S6840" t="s">
        <v>19906</v>
      </c>
      <c r="T6840" t="s">
        <v>19899</v>
      </c>
    </row>
    <row r="6841" spans="2:20" x14ac:dyDescent="0.25">
      <c r="B6841" t="s">
        <v>2709</v>
      </c>
      <c r="C6841">
        <v>70139900</v>
      </c>
      <c r="E6841">
        <v>72</v>
      </c>
      <c r="F6841">
        <v>18</v>
      </c>
      <c r="G6841">
        <v>15</v>
      </c>
      <c r="H6841">
        <v>7.6</v>
      </c>
      <c r="I6841">
        <v>1.65</v>
      </c>
      <c r="J6841">
        <v>18</v>
      </c>
      <c r="L6841" t="s">
        <v>2709</v>
      </c>
      <c r="M6841">
        <v>70139900</v>
      </c>
      <c r="O6841" t="s">
        <v>20125</v>
      </c>
      <c r="P6841" t="s">
        <v>19899</v>
      </c>
      <c r="Q6841" t="s">
        <v>19983</v>
      </c>
      <c r="R6841" t="s">
        <v>19905</v>
      </c>
      <c r="S6841" t="s">
        <v>19906</v>
      </c>
      <c r="T6841" t="s">
        <v>19899</v>
      </c>
    </row>
    <row r="6842" spans="2:20" x14ac:dyDescent="0.25">
      <c r="B6842" t="s">
        <v>2709</v>
      </c>
      <c r="C6842">
        <v>70140000</v>
      </c>
      <c r="E6842">
        <v>71.78</v>
      </c>
      <c r="F6842">
        <v>18</v>
      </c>
      <c r="G6842">
        <v>15</v>
      </c>
      <c r="H6842">
        <v>7.6</v>
      </c>
      <c r="I6842">
        <v>1.65</v>
      </c>
      <c r="J6842">
        <v>14</v>
      </c>
      <c r="L6842" t="s">
        <v>2709</v>
      </c>
      <c r="M6842">
        <v>70140000</v>
      </c>
      <c r="O6842" t="s">
        <v>20056</v>
      </c>
      <c r="P6842" t="s">
        <v>19899</v>
      </c>
      <c r="Q6842" t="s">
        <v>19983</v>
      </c>
      <c r="R6842" t="s">
        <v>19905</v>
      </c>
      <c r="S6842" t="s">
        <v>19906</v>
      </c>
      <c r="T6842" t="s">
        <v>19911</v>
      </c>
    </row>
    <row r="6843" spans="2:20" x14ac:dyDescent="0.25">
      <c r="B6843" t="s">
        <v>2709</v>
      </c>
      <c r="C6843">
        <v>70140000</v>
      </c>
      <c r="D6843">
        <v>1</v>
      </c>
      <c r="E6843" t="s">
        <v>19447</v>
      </c>
      <c r="F6843">
        <v>18</v>
      </c>
      <c r="G6843">
        <v>0</v>
      </c>
      <c r="H6843">
        <v>7.6</v>
      </c>
      <c r="I6843">
        <v>1.65</v>
      </c>
      <c r="J6843">
        <v>14</v>
      </c>
      <c r="L6843" t="s">
        <v>2709</v>
      </c>
      <c r="M6843">
        <v>70140000</v>
      </c>
      <c r="N6843">
        <v>1</v>
      </c>
      <c r="O6843" t="s">
        <v>19447</v>
      </c>
      <c r="P6843" t="s">
        <v>19899</v>
      </c>
      <c r="Q6843" t="s">
        <v>19900</v>
      </c>
      <c r="R6843" t="s">
        <v>19905</v>
      </c>
      <c r="S6843" t="s">
        <v>19906</v>
      </c>
      <c r="T6843" t="s">
        <v>19911</v>
      </c>
    </row>
    <row r="6844" spans="2:20" x14ac:dyDescent="0.25">
      <c r="B6844" t="s">
        <v>2709</v>
      </c>
      <c r="C6844">
        <v>70151010</v>
      </c>
      <c r="E6844">
        <v>101</v>
      </c>
      <c r="F6844">
        <v>18</v>
      </c>
      <c r="G6844">
        <v>0</v>
      </c>
      <c r="H6844">
        <v>7.6</v>
      </c>
      <c r="I6844">
        <v>1.65</v>
      </c>
      <c r="J6844">
        <v>2</v>
      </c>
      <c r="L6844" t="s">
        <v>2709</v>
      </c>
      <c r="M6844">
        <v>70151010</v>
      </c>
      <c r="O6844" t="s">
        <v>20081</v>
      </c>
      <c r="P6844" t="s">
        <v>19899</v>
      </c>
      <c r="Q6844" t="s">
        <v>19900</v>
      </c>
      <c r="R6844" t="s">
        <v>19905</v>
      </c>
      <c r="S6844" t="s">
        <v>19906</v>
      </c>
      <c r="T6844" t="s">
        <v>19901</v>
      </c>
    </row>
    <row r="6845" spans="2:20" x14ac:dyDescent="0.25">
      <c r="B6845" t="s">
        <v>2709</v>
      </c>
      <c r="C6845">
        <v>70151091</v>
      </c>
      <c r="E6845">
        <v>101</v>
      </c>
      <c r="F6845">
        <v>18</v>
      </c>
      <c r="G6845">
        <v>0</v>
      </c>
      <c r="H6845">
        <v>7.6</v>
      </c>
      <c r="I6845">
        <v>1.65</v>
      </c>
      <c r="J6845">
        <v>2</v>
      </c>
      <c r="L6845" t="s">
        <v>2709</v>
      </c>
      <c r="M6845">
        <v>70151091</v>
      </c>
      <c r="O6845" t="s">
        <v>20081</v>
      </c>
      <c r="P6845" t="s">
        <v>19899</v>
      </c>
      <c r="Q6845" t="s">
        <v>19900</v>
      </c>
      <c r="R6845" t="s">
        <v>19905</v>
      </c>
      <c r="S6845" t="s">
        <v>19906</v>
      </c>
      <c r="T6845" t="s">
        <v>19901</v>
      </c>
    </row>
    <row r="6846" spans="2:20" x14ac:dyDescent="0.25">
      <c r="B6846" t="s">
        <v>2709</v>
      </c>
      <c r="C6846">
        <v>70151092</v>
      </c>
      <c r="E6846">
        <v>101</v>
      </c>
      <c r="F6846">
        <v>18</v>
      </c>
      <c r="G6846">
        <v>0</v>
      </c>
      <c r="H6846">
        <v>7.6</v>
      </c>
      <c r="I6846">
        <v>1.65</v>
      </c>
      <c r="J6846">
        <v>14</v>
      </c>
      <c r="L6846" t="s">
        <v>2709</v>
      </c>
      <c r="M6846">
        <v>70151092</v>
      </c>
      <c r="O6846" t="s">
        <v>20081</v>
      </c>
      <c r="P6846" t="s">
        <v>19899</v>
      </c>
      <c r="Q6846" t="s">
        <v>19900</v>
      </c>
      <c r="R6846" t="s">
        <v>19905</v>
      </c>
      <c r="S6846" t="s">
        <v>19906</v>
      </c>
      <c r="T6846" t="s">
        <v>19911</v>
      </c>
    </row>
    <row r="6847" spans="2:20" x14ac:dyDescent="0.25">
      <c r="B6847" t="s">
        <v>2709</v>
      </c>
      <c r="C6847">
        <v>70159010</v>
      </c>
      <c r="E6847">
        <v>101</v>
      </c>
      <c r="F6847">
        <v>18</v>
      </c>
      <c r="G6847">
        <v>15</v>
      </c>
      <c r="H6847">
        <v>7.6</v>
      </c>
      <c r="I6847">
        <v>1.65</v>
      </c>
      <c r="J6847">
        <v>14</v>
      </c>
      <c r="L6847" t="s">
        <v>2709</v>
      </c>
      <c r="M6847">
        <v>70159010</v>
      </c>
      <c r="O6847" t="s">
        <v>20081</v>
      </c>
      <c r="P6847" t="s">
        <v>19899</v>
      </c>
      <c r="Q6847" t="s">
        <v>19983</v>
      </c>
      <c r="R6847" t="s">
        <v>19905</v>
      </c>
      <c r="S6847" t="s">
        <v>19906</v>
      </c>
      <c r="T6847" t="s">
        <v>19911</v>
      </c>
    </row>
    <row r="6848" spans="2:20" x14ac:dyDescent="0.25">
      <c r="B6848" t="s">
        <v>2709</v>
      </c>
      <c r="C6848">
        <v>70159020</v>
      </c>
      <c r="E6848">
        <v>101</v>
      </c>
      <c r="F6848">
        <v>18</v>
      </c>
      <c r="G6848">
        <v>15</v>
      </c>
      <c r="H6848">
        <v>7.6</v>
      </c>
      <c r="I6848">
        <v>1.65</v>
      </c>
      <c r="J6848">
        <v>14</v>
      </c>
      <c r="L6848" t="s">
        <v>2709</v>
      </c>
      <c r="M6848">
        <v>70159020</v>
      </c>
      <c r="O6848" t="s">
        <v>20081</v>
      </c>
      <c r="P6848" t="s">
        <v>19899</v>
      </c>
      <c r="Q6848" t="s">
        <v>19983</v>
      </c>
      <c r="R6848" t="s">
        <v>19905</v>
      </c>
      <c r="S6848" t="s">
        <v>19906</v>
      </c>
      <c r="T6848" t="s">
        <v>19911</v>
      </c>
    </row>
    <row r="6849" spans="2:20" x14ac:dyDescent="0.25">
      <c r="B6849" t="s">
        <v>2709</v>
      </c>
      <c r="C6849">
        <v>70159030</v>
      </c>
      <c r="E6849">
        <v>101</v>
      </c>
      <c r="F6849">
        <v>18</v>
      </c>
      <c r="G6849">
        <v>15</v>
      </c>
      <c r="H6849">
        <v>7.6</v>
      </c>
      <c r="I6849">
        <v>1.65</v>
      </c>
      <c r="J6849">
        <v>14</v>
      </c>
      <c r="L6849" t="s">
        <v>2709</v>
      </c>
      <c r="M6849">
        <v>70159030</v>
      </c>
      <c r="O6849" t="s">
        <v>20081</v>
      </c>
      <c r="P6849" t="s">
        <v>19899</v>
      </c>
      <c r="Q6849" t="s">
        <v>19983</v>
      </c>
      <c r="R6849" t="s">
        <v>19905</v>
      </c>
      <c r="S6849" t="s">
        <v>19906</v>
      </c>
      <c r="T6849" t="s">
        <v>19911</v>
      </c>
    </row>
    <row r="6850" spans="2:20" x14ac:dyDescent="0.25">
      <c r="B6850" t="s">
        <v>2709</v>
      </c>
      <c r="C6850">
        <v>70159090</v>
      </c>
      <c r="E6850">
        <v>101</v>
      </c>
      <c r="F6850">
        <v>18</v>
      </c>
      <c r="G6850">
        <v>15</v>
      </c>
      <c r="H6850">
        <v>7.6</v>
      </c>
      <c r="I6850">
        <v>1.65</v>
      </c>
      <c r="J6850">
        <v>14</v>
      </c>
      <c r="L6850" t="s">
        <v>2709</v>
      </c>
      <c r="M6850">
        <v>70159090</v>
      </c>
      <c r="O6850" t="s">
        <v>20081</v>
      </c>
      <c r="P6850" t="s">
        <v>19899</v>
      </c>
      <c r="Q6850" t="s">
        <v>19983</v>
      </c>
      <c r="R6850" t="s">
        <v>19905</v>
      </c>
      <c r="S6850" t="s">
        <v>19906</v>
      </c>
      <c r="T6850" t="s">
        <v>19911</v>
      </c>
    </row>
    <row r="6851" spans="2:20" x14ac:dyDescent="0.25">
      <c r="B6851" t="s">
        <v>2709</v>
      </c>
      <c r="C6851">
        <v>70161000</v>
      </c>
      <c r="E6851">
        <v>101</v>
      </c>
      <c r="F6851">
        <v>18</v>
      </c>
      <c r="G6851">
        <v>15</v>
      </c>
      <c r="H6851">
        <v>7.6</v>
      </c>
      <c r="I6851">
        <v>1.65</v>
      </c>
      <c r="J6851">
        <v>14</v>
      </c>
      <c r="L6851" t="s">
        <v>2709</v>
      </c>
      <c r="M6851">
        <v>70161000</v>
      </c>
      <c r="O6851" t="s">
        <v>20081</v>
      </c>
      <c r="P6851" t="s">
        <v>19899</v>
      </c>
      <c r="Q6851" t="s">
        <v>19983</v>
      </c>
      <c r="R6851" t="s">
        <v>19905</v>
      </c>
      <c r="S6851" t="s">
        <v>19906</v>
      </c>
      <c r="T6851" t="s">
        <v>19911</v>
      </c>
    </row>
    <row r="6852" spans="2:20" x14ac:dyDescent="0.25">
      <c r="B6852" t="s">
        <v>2709</v>
      </c>
      <c r="C6852">
        <v>70169000</v>
      </c>
      <c r="E6852">
        <v>101</v>
      </c>
      <c r="F6852">
        <v>18</v>
      </c>
      <c r="G6852">
        <v>15</v>
      </c>
      <c r="H6852">
        <v>7.6</v>
      </c>
      <c r="I6852">
        <v>1.65</v>
      </c>
      <c r="J6852">
        <v>14</v>
      </c>
      <c r="L6852" t="s">
        <v>2709</v>
      </c>
      <c r="M6852">
        <v>70169000</v>
      </c>
      <c r="O6852" t="s">
        <v>20081</v>
      </c>
      <c r="P6852" t="s">
        <v>19899</v>
      </c>
      <c r="Q6852" t="s">
        <v>19983</v>
      </c>
      <c r="R6852" t="s">
        <v>19905</v>
      </c>
      <c r="S6852" t="s">
        <v>19906</v>
      </c>
      <c r="T6852" t="s">
        <v>19911</v>
      </c>
    </row>
    <row r="6853" spans="2:20" x14ac:dyDescent="0.25">
      <c r="B6853" t="s">
        <v>2709</v>
      </c>
      <c r="C6853">
        <v>70171000</v>
      </c>
      <c r="E6853">
        <v>101</v>
      </c>
      <c r="F6853">
        <v>18</v>
      </c>
      <c r="G6853">
        <v>0</v>
      </c>
      <c r="H6853" t="s">
        <v>19447</v>
      </c>
      <c r="I6853" t="s">
        <v>19447</v>
      </c>
      <c r="J6853">
        <v>14</v>
      </c>
      <c r="L6853" t="s">
        <v>2709</v>
      </c>
      <c r="M6853">
        <v>70171000</v>
      </c>
      <c r="O6853" t="s">
        <v>20081</v>
      </c>
      <c r="P6853" t="s">
        <v>19899</v>
      </c>
      <c r="Q6853" t="s">
        <v>19900</v>
      </c>
      <c r="R6853" t="s">
        <v>19447</v>
      </c>
      <c r="S6853" t="s">
        <v>19447</v>
      </c>
      <c r="T6853" t="s">
        <v>19911</v>
      </c>
    </row>
    <row r="6854" spans="2:20" x14ac:dyDescent="0.25">
      <c r="B6854" t="s">
        <v>2709</v>
      </c>
      <c r="C6854">
        <v>70172000</v>
      </c>
      <c r="E6854">
        <v>101</v>
      </c>
      <c r="F6854">
        <v>18</v>
      </c>
      <c r="G6854">
        <v>0</v>
      </c>
      <c r="H6854" t="s">
        <v>19447</v>
      </c>
      <c r="I6854" t="s">
        <v>19447</v>
      </c>
      <c r="J6854">
        <v>14</v>
      </c>
      <c r="L6854" t="s">
        <v>2709</v>
      </c>
      <c r="M6854">
        <v>70172000</v>
      </c>
      <c r="O6854" t="s">
        <v>20081</v>
      </c>
      <c r="P6854" t="s">
        <v>19899</v>
      </c>
      <c r="Q6854" t="s">
        <v>19900</v>
      </c>
      <c r="R6854" t="s">
        <v>19447</v>
      </c>
      <c r="S6854" t="s">
        <v>19447</v>
      </c>
      <c r="T6854" t="s">
        <v>19911</v>
      </c>
    </row>
    <row r="6855" spans="2:20" x14ac:dyDescent="0.25">
      <c r="B6855" t="s">
        <v>2709</v>
      </c>
      <c r="C6855">
        <v>70179000</v>
      </c>
      <c r="E6855">
        <v>101</v>
      </c>
      <c r="F6855">
        <v>18</v>
      </c>
      <c r="G6855">
        <v>0</v>
      </c>
      <c r="H6855" t="s">
        <v>19447</v>
      </c>
      <c r="I6855" t="s">
        <v>19447</v>
      </c>
      <c r="J6855">
        <v>14</v>
      </c>
      <c r="L6855" t="s">
        <v>2709</v>
      </c>
      <c r="M6855">
        <v>70179000</v>
      </c>
      <c r="O6855" t="s">
        <v>20081</v>
      </c>
      <c r="P6855" t="s">
        <v>19899</v>
      </c>
      <c r="Q6855" t="s">
        <v>19900</v>
      </c>
      <c r="R6855" t="s">
        <v>19447</v>
      </c>
      <c r="S6855" t="s">
        <v>19447</v>
      </c>
      <c r="T6855" t="s">
        <v>19911</v>
      </c>
    </row>
    <row r="6856" spans="2:20" x14ac:dyDescent="0.25">
      <c r="B6856" t="s">
        <v>2709</v>
      </c>
      <c r="C6856">
        <v>70181010</v>
      </c>
      <c r="E6856">
        <v>101</v>
      </c>
      <c r="F6856">
        <v>18</v>
      </c>
      <c r="G6856">
        <v>20</v>
      </c>
      <c r="H6856">
        <v>7.6</v>
      </c>
      <c r="I6856">
        <v>1.65</v>
      </c>
      <c r="J6856">
        <v>18</v>
      </c>
      <c r="L6856" t="s">
        <v>2709</v>
      </c>
      <c r="M6856">
        <v>70181010</v>
      </c>
      <c r="O6856" t="s">
        <v>20081</v>
      </c>
      <c r="P6856" t="s">
        <v>19899</v>
      </c>
      <c r="Q6856" t="s">
        <v>19934</v>
      </c>
      <c r="R6856" t="s">
        <v>19905</v>
      </c>
      <c r="S6856" t="s">
        <v>19906</v>
      </c>
      <c r="T6856" t="s">
        <v>19899</v>
      </c>
    </row>
    <row r="6857" spans="2:20" x14ac:dyDescent="0.25">
      <c r="B6857" t="s">
        <v>2709</v>
      </c>
      <c r="C6857">
        <v>70181020</v>
      </c>
      <c r="E6857">
        <v>101</v>
      </c>
      <c r="F6857">
        <v>18</v>
      </c>
      <c r="G6857">
        <v>20</v>
      </c>
      <c r="H6857">
        <v>7.6</v>
      </c>
      <c r="I6857">
        <v>1.65</v>
      </c>
      <c r="J6857">
        <v>18</v>
      </c>
      <c r="L6857" t="s">
        <v>2709</v>
      </c>
      <c r="M6857">
        <v>70181020</v>
      </c>
      <c r="O6857" t="s">
        <v>20081</v>
      </c>
      <c r="P6857" t="s">
        <v>19899</v>
      </c>
      <c r="Q6857" t="s">
        <v>19934</v>
      </c>
      <c r="R6857" t="s">
        <v>19905</v>
      </c>
      <c r="S6857" t="s">
        <v>19906</v>
      </c>
      <c r="T6857" t="s">
        <v>19899</v>
      </c>
    </row>
    <row r="6858" spans="2:20" x14ac:dyDescent="0.25">
      <c r="B6858" t="s">
        <v>2709</v>
      </c>
      <c r="C6858">
        <v>70181090</v>
      </c>
      <c r="E6858">
        <v>101</v>
      </c>
      <c r="F6858">
        <v>18</v>
      </c>
      <c r="G6858">
        <v>20</v>
      </c>
      <c r="H6858">
        <v>7.6</v>
      </c>
      <c r="I6858">
        <v>1.65</v>
      </c>
      <c r="J6858">
        <v>18</v>
      </c>
      <c r="L6858" t="s">
        <v>2709</v>
      </c>
      <c r="M6858">
        <v>70181090</v>
      </c>
      <c r="O6858" t="s">
        <v>20081</v>
      </c>
      <c r="P6858" t="s">
        <v>19899</v>
      </c>
      <c r="Q6858" t="s">
        <v>19934</v>
      </c>
      <c r="R6858" t="s">
        <v>19905</v>
      </c>
      <c r="S6858" t="s">
        <v>19906</v>
      </c>
      <c r="T6858" t="s">
        <v>19899</v>
      </c>
    </row>
    <row r="6859" spans="2:20" x14ac:dyDescent="0.25">
      <c r="B6859" t="s">
        <v>2709</v>
      </c>
      <c r="C6859">
        <v>70182000</v>
      </c>
      <c r="E6859">
        <v>101</v>
      </c>
      <c r="F6859">
        <v>18</v>
      </c>
      <c r="G6859">
        <v>20</v>
      </c>
      <c r="H6859">
        <v>7.6</v>
      </c>
      <c r="I6859">
        <v>1.65</v>
      </c>
      <c r="J6859">
        <v>18</v>
      </c>
      <c r="L6859" t="s">
        <v>2709</v>
      </c>
      <c r="M6859">
        <v>70182000</v>
      </c>
      <c r="O6859" t="s">
        <v>20081</v>
      </c>
      <c r="P6859" t="s">
        <v>19899</v>
      </c>
      <c r="Q6859" t="s">
        <v>19934</v>
      </c>
      <c r="R6859" t="s">
        <v>19905</v>
      </c>
      <c r="S6859" t="s">
        <v>19906</v>
      </c>
      <c r="T6859" t="s">
        <v>19899</v>
      </c>
    </row>
    <row r="6860" spans="2:20" x14ac:dyDescent="0.25">
      <c r="B6860" t="s">
        <v>2709</v>
      </c>
      <c r="C6860">
        <v>70189000</v>
      </c>
      <c r="E6860">
        <v>101</v>
      </c>
      <c r="F6860">
        <v>18</v>
      </c>
      <c r="G6860">
        <v>20</v>
      </c>
      <c r="H6860">
        <v>7.6</v>
      </c>
      <c r="I6860">
        <v>1.65</v>
      </c>
      <c r="J6860">
        <v>18</v>
      </c>
      <c r="L6860" t="s">
        <v>2709</v>
      </c>
      <c r="M6860">
        <v>70189000</v>
      </c>
      <c r="O6860" t="s">
        <v>20081</v>
      </c>
      <c r="P6860" t="s">
        <v>19899</v>
      </c>
      <c r="Q6860" t="s">
        <v>19934</v>
      </c>
      <c r="R6860" t="s">
        <v>19905</v>
      </c>
      <c r="S6860" t="s">
        <v>19906</v>
      </c>
      <c r="T6860" t="s">
        <v>19899</v>
      </c>
    </row>
    <row r="6861" spans="2:20" x14ac:dyDescent="0.25">
      <c r="B6861" t="s">
        <v>2709</v>
      </c>
      <c r="C6861">
        <v>70191100</v>
      </c>
      <c r="E6861">
        <v>101</v>
      </c>
      <c r="F6861">
        <v>18</v>
      </c>
      <c r="G6861">
        <v>10</v>
      </c>
      <c r="H6861">
        <v>7.6</v>
      </c>
      <c r="I6861">
        <v>1.65</v>
      </c>
      <c r="J6861">
        <v>12</v>
      </c>
      <c r="L6861" t="s">
        <v>2709</v>
      </c>
      <c r="M6861">
        <v>70191100</v>
      </c>
      <c r="O6861" t="s">
        <v>20081</v>
      </c>
      <c r="P6861" t="s">
        <v>19899</v>
      </c>
      <c r="Q6861" t="s">
        <v>19904</v>
      </c>
      <c r="R6861" t="s">
        <v>19905</v>
      </c>
      <c r="S6861" t="s">
        <v>19906</v>
      </c>
      <c r="T6861" t="s">
        <v>19903</v>
      </c>
    </row>
    <row r="6862" spans="2:20" x14ac:dyDescent="0.25">
      <c r="B6862" t="s">
        <v>2709</v>
      </c>
      <c r="C6862">
        <v>70191210</v>
      </c>
      <c r="E6862">
        <v>101</v>
      </c>
      <c r="F6862">
        <v>18</v>
      </c>
      <c r="G6862">
        <v>10</v>
      </c>
      <c r="H6862">
        <v>7.6</v>
      </c>
      <c r="I6862">
        <v>1.65</v>
      </c>
      <c r="J6862">
        <v>2</v>
      </c>
      <c r="L6862" t="s">
        <v>2709</v>
      </c>
      <c r="M6862">
        <v>70191210</v>
      </c>
      <c r="O6862" t="s">
        <v>20081</v>
      </c>
      <c r="P6862" t="s">
        <v>19899</v>
      </c>
      <c r="Q6862" t="s">
        <v>19904</v>
      </c>
      <c r="R6862" t="s">
        <v>19905</v>
      </c>
      <c r="S6862" t="s">
        <v>19906</v>
      </c>
      <c r="T6862" t="s">
        <v>19901</v>
      </c>
    </row>
    <row r="6863" spans="2:20" x14ac:dyDescent="0.25">
      <c r="B6863" t="s">
        <v>2709</v>
      </c>
      <c r="C6863">
        <v>70191290</v>
      </c>
      <c r="E6863">
        <v>101</v>
      </c>
      <c r="F6863">
        <v>18</v>
      </c>
      <c r="G6863">
        <v>10</v>
      </c>
      <c r="H6863">
        <v>7.6</v>
      </c>
      <c r="I6863">
        <v>1.65</v>
      </c>
      <c r="J6863">
        <v>12</v>
      </c>
      <c r="L6863" t="s">
        <v>2709</v>
      </c>
      <c r="M6863">
        <v>70191290</v>
      </c>
      <c r="O6863" t="s">
        <v>20081</v>
      </c>
      <c r="P6863" t="s">
        <v>19899</v>
      </c>
      <c r="Q6863" t="s">
        <v>19904</v>
      </c>
      <c r="R6863" t="s">
        <v>19905</v>
      </c>
      <c r="S6863" t="s">
        <v>19906</v>
      </c>
      <c r="T6863" t="s">
        <v>19903</v>
      </c>
    </row>
    <row r="6864" spans="2:20" x14ac:dyDescent="0.25">
      <c r="B6864" t="s">
        <v>2709</v>
      </c>
      <c r="C6864">
        <v>70191900</v>
      </c>
      <c r="E6864">
        <v>101</v>
      </c>
      <c r="F6864">
        <v>18</v>
      </c>
      <c r="G6864">
        <v>10</v>
      </c>
      <c r="H6864">
        <v>7.6</v>
      </c>
      <c r="I6864">
        <v>1.65</v>
      </c>
      <c r="J6864">
        <v>12</v>
      </c>
      <c r="L6864" t="s">
        <v>2709</v>
      </c>
      <c r="M6864">
        <v>70191900</v>
      </c>
      <c r="O6864" t="s">
        <v>20081</v>
      </c>
      <c r="P6864" t="s">
        <v>19899</v>
      </c>
      <c r="Q6864" t="s">
        <v>19904</v>
      </c>
      <c r="R6864" t="s">
        <v>19905</v>
      </c>
      <c r="S6864" t="s">
        <v>19906</v>
      </c>
      <c r="T6864" t="s">
        <v>19903</v>
      </c>
    </row>
    <row r="6865" spans="2:20" x14ac:dyDescent="0.25">
      <c r="B6865" t="s">
        <v>2709</v>
      </c>
      <c r="C6865">
        <v>70193100</v>
      </c>
      <c r="E6865">
        <v>101</v>
      </c>
      <c r="F6865">
        <v>18</v>
      </c>
      <c r="G6865">
        <v>10</v>
      </c>
      <c r="H6865">
        <v>7.6</v>
      </c>
      <c r="I6865">
        <v>1.65</v>
      </c>
      <c r="J6865">
        <v>12</v>
      </c>
      <c r="L6865" t="s">
        <v>2709</v>
      </c>
      <c r="M6865">
        <v>70193100</v>
      </c>
      <c r="O6865" t="s">
        <v>20081</v>
      </c>
      <c r="P6865" t="s">
        <v>19899</v>
      </c>
      <c r="Q6865" t="s">
        <v>19904</v>
      </c>
      <c r="R6865" t="s">
        <v>19905</v>
      </c>
      <c r="S6865" t="s">
        <v>19906</v>
      </c>
      <c r="T6865" t="s">
        <v>19903</v>
      </c>
    </row>
    <row r="6866" spans="2:20" x14ac:dyDescent="0.25">
      <c r="B6866" t="s">
        <v>2709</v>
      </c>
      <c r="C6866">
        <v>70193200</v>
      </c>
      <c r="E6866">
        <v>101</v>
      </c>
      <c r="F6866">
        <v>18</v>
      </c>
      <c r="G6866">
        <v>10</v>
      </c>
      <c r="H6866">
        <v>7.6</v>
      </c>
      <c r="I6866">
        <v>1.65</v>
      </c>
      <c r="J6866">
        <v>12</v>
      </c>
      <c r="L6866" t="s">
        <v>2709</v>
      </c>
      <c r="M6866">
        <v>70193200</v>
      </c>
      <c r="O6866" t="s">
        <v>20081</v>
      </c>
      <c r="P6866" t="s">
        <v>19899</v>
      </c>
      <c r="Q6866" t="s">
        <v>19904</v>
      </c>
      <c r="R6866" t="s">
        <v>19905</v>
      </c>
      <c r="S6866" t="s">
        <v>19906</v>
      </c>
      <c r="T6866" t="s">
        <v>19903</v>
      </c>
    </row>
    <row r="6867" spans="2:20" x14ac:dyDescent="0.25">
      <c r="B6867" t="s">
        <v>2709</v>
      </c>
      <c r="C6867">
        <v>70193900</v>
      </c>
      <c r="E6867">
        <v>101</v>
      </c>
      <c r="F6867">
        <v>18</v>
      </c>
      <c r="G6867">
        <v>10</v>
      </c>
      <c r="H6867">
        <v>7.6</v>
      </c>
      <c r="I6867">
        <v>1.65</v>
      </c>
      <c r="J6867">
        <v>12</v>
      </c>
      <c r="L6867" t="s">
        <v>2709</v>
      </c>
      <c r="M6867">
        <v>70193900</v>
      </c>
      <c r="O6867" t="s">
        <v>20081</v>
      </c>
      <c r="P6867" t="s">
        <v>19899</v>
      </c>
      <c r="Q6867" t="s">
        <v>19904</v>
      </c>
      <c r="R6867" t="s">
        <v>19905</v>
      </c>
      <c r="S6867" t="s">
        <v>19906</v>
      </c>
      <c r="T6867" t="s">
        <v>19903</v>
      </c>
    </row>
    <row r="6868" spans="2:20" x14ac:dyDescent="0.25">
      <c r="B6868" t="s">
        <v>2709</v>
      </c>
      <c r="C6868">
        <v>70194000</v>
      </c>
      <c r="E6868">
        <v>101</v>
      </c>
      <c r="F6868">
        <v>18</v>
      </c>
      <c r="G6868">
        <v>10</v>
      </c>
      <c r="H6868">
        <v>7.6</v>
      </c>
      <c r="I6868">
        <v>1.65</v>
      </c>
      <c r="J6868">
        <v>12</v>
      </c>
      <c r="L6868" t="s">
        <v>2709</v>
      </c>
      <c r="M6868">
        <v>70194000</v>
      </c>
      <c r="O6868" t="s">
        <v>20081</v>
      </c>
      <c r="P6868" t="s">
        <v>19899</v>
      </c>
      <c r="Q6868" t="s">
        <v>19904</v>
      </c>
      <c r="R6868" t="s">
        <v>19905</v>
      </c>
      <c r="S6868" t="s">
        <v>19906</v>
      </c>
      <c r="T6868" t="s">
        <v>19903</v>
      </c>
    </row>
    <row r="6869" spans="2:20" x14ac:dyDescent="0.25">
      <c r="B6869" t="s">
        <v>2709</v>
      </c>
      <c r="C6869">
        <v>70195100</v>
      </c>
      <c r="E6869">
        <v>101</v>
      </c>
      <c r="F6869">
        <v>18</v>
      </c>
      <c r="G6869">
        <v>10</v>
      </c>
      <c r="H6869">
        <v>7.6</v>
      </c>
      <c r="I6869">
        <v>1.65</v>
      </c>
      <c r="J6869">
        <v>12</v>
      </c>
      <c r="L6869" t="s">
        <v>2709</v>
      </c>
      <c r="M6869">
        <v>70195100</v>
      </c>
      <c r="O6869" t="s">
        <v>20081</v>
      </c>
      <c r="P6869" t="s">
        <v>19899</v>
      </c>
      <c r="Q6869" t="s">
        <v>19904</v>
      </c>
      <c r="R6869" t="s">
        <v>19905</v>
      </c>
      <c r="S6869" t="s">
        <v>19906</v>
      </c>
      <c r="T6869" t="s">
        <v>19903</v>
      </c>
    </row>
    <row r="6870" spans="2:20" x14ac:dyDescent="0.25">
      <c r="B6870" t="s">
        <v>2709</v>
      </c>
      <c r="C6870">
        <v>70195210</v>
      </c>
      <c r="E6870">
        <v>101</v>
      </c>
      <c r="F6870">
        <v>18</v>
      </c>
      <c r="G6870">
        <v>10</v>
      </c>
      <c r="H6870">
        <v>7.6</v>
      </c>
      <c r="I6870">
        <v>1.65</v>
      </c>
      <c r="J6870">
        <v>2</v>
      </c>
      <c r="L6870" t="s">
        <v>2709</v>
      </c>
      <c r="M6870">
        <v>70195210</v>
      </c>
      <c r="O6870" t="s">
        <v>20081</v>
      </c>
      <c r="P6870" t="s">
        <v>19899</v>
      </c>
      <c r="Q6870" t="s">
        <v>19904</v>
      </c>
      <c r="R6870" t="s">
        <v>19905</v>
      </c>
      <c r="S6870" t="s">
        <v>19906</v>
      </c>
      <c r="T6870" t="s">
        <v>19901</v>
      </c>
    </row>
    <row r="6871" spans="2:20" x14ac:dyDescent="0.25">
      <c r="B6871" t="s">
        <v>2709</v>
      </c>
      <c r="C6871">
        <v>70195290</v>
      </c>
      <c r="E6871">
        <v>101</v>
      </c>
      <c r="F6871">
        <v>18</v>
      </c>
      <c r="G6871">
        <v>10</v>
      </c>
      <c r="H6871">
        <v>7.6</v>
      </c>
      <c r="I6871">
        <v>1.65</v>
      </c>
      <c r="J6871">
        <v>12</v>
      </c>
      <c r="L6871" t="s">
        <v>2709</v>
      </c>
      <c r="M6871">
        <v>70195290</v>
      </c>
      <c r="O6871" t="s">
        <v>20081</v>
      </c>
      <c r="P6871" t="s">
        <v>19899</v>
      </c>
      <c r="Q6871" t="s">
        <v>19904</v>
      </c>
      <c r="R6871" t="s">
        <v>19905</v>
      </c>
      <c r="S6871" t="s">
        <v>19906</v>
      </c>
      <c r="T6871" t="s">
        <v>19903</v>
      </c>
    </row>
    <row r="6872" spans="2:20" x14ac:dyDescent="0.25">
      <c r="B6872" t="s">
        <v>2709</v>
      </c>
      <c r="C6872">
        <v>70195900</v>
      </c>
      <c r="E6872">
        <v>101</v>
      </c>
      <c r="F6872">
        <v>18</v>
      </c>
      <c r="G6872">
        <v>10</v>
      </c>
      <c r="H6872">
        <v>7.6</v>
      </c>
      <c r="I6872">
        <v>1.65</v>
      </c>
      <c r="J6872">
        <v>12</v>
      </c>
      <c r="L6872" t="s">
        <v>2709</v>
      </c>
      <c r="M6872">
        <v>70195900</v>
      </c>
      <c r="O6872" t="s">
        <v>20081</v>
      </c>
      <c r="P6872" t="s">
        <v>19899</v>
      </c>
      <c r="Q6872" t="s">
        <v>19904</v>
      </c>
      <c r="R6872" t="s">
        <v>19905</v>
      </c>
      <c r="S6872" t="s">
        <v>19906</v>
      </c>
      <c r="T6872" t="s">
        <v>19903</v>
      </c>
    </row>
    <row r="6873" spans="2:20" x14ac:dyDescent="0.25">
      <c r="B6873" t="s">
        <v>2709</v>
      </c>
      <c r="C6873">
        <v>70199010</v>
      </c>
      <c r="E6873">
        <v>101</v>
      </c>
      <c r="F6873">
        <v>18</v>
      </c>
      <c r="G6873">
        <v>10</v>
      </c>
      <c r="H6873">
        <v>7.6</v>
      </c>
      <c r="I6873">
        <v>1.65</v>
      </c>
      <c r="J6873">
        <v>2</v>
      </c>
      <c r="L6873" t="s">
        <v>2709</v>
      </c>
      <c r="M6873">
        <v>70199010</v>
      </c>
      <c r="O6873" t="s">
        <v>20081</v>
      </c>
      <c r="P6873" t="s">
        <v>19899</v>
      </c>
      <c r="Q6873" t="s">
        <v>19904</v>
      </c>
      <c r="R6873" t="s">
        <v>19905</v>
      </c>
      <c r="S6873" t="s">
        <v>19906</v>
      </c>
      <c r="T6873" t="s">
        <v>19901</v>
      </c>
    </row>
    <row r="6874" spans="2:20" x14ac:dyDescent="0.25">
      <c r="B6874" t="s">
        <v>2709</v>
      </c>
      <c r="C6874">
        <v>70199090</v>
      </c>
      <c r="E6874">
        <v>101</v>
      </c>
      <c r="F6874">
        <v>18</v>
      </c>
      <c r="G6874">
        <v>10</v>
      </c>
      <c r="H6874">
        <v>7.6</v>
      </c>
      <c r="I6874">
        <v>1.65</v>
      </c>
      <c r="J6874">
        <v>12</v>
      </c>
      <c r="L6874" t="s">
        <v>2709</v>
      </c>
      <c r="M6874">
        <v>70199090</v>
      </c>
      <c r="O6874" t="s">
        <v>20081</v>
      </c>
      <c r="P6874" t="s">
        <v>19899</v>
      </c>
      <c r="Q6874" t="s">
        <v>19904</v>
      </c>
      <c r="R6874" t="s">
        <v>19905</v>
      </c>
      <c r="S6874" t="s">
        <v>19906</v>
      </c>
      <c r="T6874" t="s">
        <v>19903</v>
      </c>
    </row>
    <row r="6875" spans="2:20" x14ac:dyDescent="0.25">
      <c r="B6875" t="s">
        <v>2709</v>
      </c>
      <c r="C6875">
        <v>70200010</v>
      </c>
      <c r="E6875">
        <v>101</v>
      </c>
      <c r="F6875">
        <v>18</v>
      </c>
      <c r="G6875">
        <v>15</v>
      </c>
      <c r="H6875" t="s">
        <v>19447</v>
      </c>
      <c r="I6875" t="s">
        <v>19447</v>
      </c>
      <c r="J6875">
        <v>10</v>
      </c>
      <c r="L6875" t="s">
        <v>2709</v>
      </c>
      <c r="M6875">
        <v>70200010</v>
      </c>
      <c r="O6875" t="s">
        <v>20081</v>
      </c>
      <c r="P6875" t="s">
        <v>19899</v>
      </c>
      <c r="Q6875" t="s">
        <v>19983</v>
      </c>
      <c r="R6875" t="s">
        <v>19447</v>
      </c>
      <c r="S6875" t="s">
        <v>19447</v>
      </c>
      <c r="T6875" t="s">
        <v>19904</v>
      </c>
    </row>
    <row r="6876" spans="2:20" x14ac:dyDescent="0.25">
      <c r="B6876" t="s">
        <v>2709</v>
      </c>
      <c r="C6876">
        <v>70200090</v>
      </c>
      <c r="E6876">
        <v>101</v>
      </c>
      <c r="F6876">
        <v>18</v>
      </c>
      <c r="G6876">
        <v>15</v>
      </c>
      <c r="H6876" t="s">
        <v>19447</v>
      </c>
      <c r="I6876" t="s">
        <v>19447</v>
      </c>
      <c r="J6876">
        <v>18</v>
      </c>
      <c r="L6876" t="s">
        <v>2709</v>
      </c>
      <c r="M6876">
        <v>70200090</v>
      </c>
      <c r="O6876" t="s">
        <v>20081</v>
      </c>
      <c r="P6876" t="s">
        <v>19899</v>
      </c>
      <c r="Q6876" t="s">
        <v>19983</v>
      </c>
      <c r="R6876" t="s">
        <v>19447</v>
      </c>
      <c r="S6876" t="s">
        <v>19447</v>
      </c>
      <c r="T6876" t="s">
        <v>19899</v>
      </c>
    </row>
    <row r="6877" spans="2:20" x14ac:dyDescent="0.25">
      <c r="B6877" t="s">
        <v>2709</v>
      </c>
      <c r="C6877">
        <v>71011000</v>
      </c>
      <c r="E6877" t="s">
        <v>19447</v>
      </c>
      <c r="F6877">
        <v>18</v>
      </c>
      <c r="G6877">
        <v>30</v>
      </c>
      <c r="H6877">
        <v>7.6</v>
      </c>
      <c r="I6877">
        <v>1.65</v>
      </c>
      <c r="J6877">
        <v>10</v>
      </c>
      <c r="L6877" t="s">
        <v>2709</v>
      </c>
      <c r="M6877">
        <v>71011000</v>
      </c>
      <c r="O6877" t="s">
        <v>19447</v>
      </c>
      <c r="P6877" t="s">
        <v>19899</v>
      </c>
      <c r="Q6877" t="s">
        <v>19933</v>
      </c>
      <c r="R6877" t="s">
        <v>19905</v>
      </c>
      <c r="S6877" t="s">
        <v>19906</v>
      </c>
      <c r="T6877" t="s">
        <v>19904</v>
      </c>
    </row>
    <row r="6878" spans="2:20" x14ac:dyDescent="0.25">
      <c r="B6878" t="s">
        <v>2709</v>
      </c>
      <c r="C6878">
        <v>71012100</v>
      </c>
      <c r="E6878" t="s">
        <v>19447</v>
      </c>
      <c r="F6878">
        <v>18</v>
      </c>
      <c r="G6878">
        <v>30</v>
      </c>
      <c r="H6878">
        <v>7.6</v>
      </c>
      <c r="I6878">
        <v>1.65</v>
      </c>
      <c r="J6878">
        <v>10</v>
      </c>
      <c r="L6878" t="s">
        <v>2709</v>
      </c>
      <c r="M6878">
        <v>71012100</v>
      </c>
      <c r="O6878" t="s">
        <v>19447</v>
      </c>
      <c r="P6878" t="s">
        <v>19899</v>
      </c>
      <c r="Q6878" t="s">
        <v>19933</v>
      </c>
      <c r="R6878" t="s">
        <v>19905</v>
      </c>
      <c r="S6878" t="s">
        <v>19906</v>
      </c>
      <c r="T6878" t="s">
        <v>19904</v>
      </c>
    </row>
    <row r="6879" spans="2:20" x14ac:dyDescent="0.25">
      <c r="B6879" t="s">
        <v>2709</v>
      </c>
      <c r="C6879">
        <v>71012200</v>
      </c>
      <c r="E6879" t="s">
        <v>19447</v>
      </c>
      <c r="F6879">
        <v>18</v>
      </c>
      <c r="G6879">
        <v>30</v>
      </c>
      <c r="H6879">
        <v>7.6</v>
      </c>
      <c r="I6879">
        <v>1.65</v>
      </c>
      <c r="J6879">
        <v>10</v>
      </c>
      <c r="L6879" t="s">
        <v>2709</v>
      </c>
      <c r="M6879">
        <v>71012200</v>
      </c>
      <c r="O6879" t="s">
        <v>19447</v>
      </c>
      <c r="P6879" t="s">
        <v>19899</v>
      </c>
      <c r="Q6879" t="s">
        <v>19933</v>
      </c>
      <c r="R6879" t="s">
        <v>19905</v>
      </c>
      <c r="S6879" t="s">
        <v>19906</v>
      </c>
      <c r="T6879" t="s">
        <v>19904</v>
      </c>
    </row>
    <row r="6880" spans="2:20" x14ac:dyDescent="0.25">
      <c r="B6880" t="s">
        <v>2709</v>
      </c>
      <c r="C6880">
        <v>71021000</v>
      </c>
      <c r="E6880" t="s">
        <v>19447</v>
      </c>
      <c r="F6880">
        <v>18</v>
      </c>
      <c r="G6880">
        <v>0</v>
      </c>
      <c r="H6880">
        <v>7.6</v>
      </c>
      <c r="I6880">
        <v>1.65</v>
      </c>
      <c r="J6880">
        <v>10</v>
      </c>
      <c r="L6880" t="s">
        <v>2709</v>
      </c>
      <c r="M6880">
        <v>71021000</v>
      </c>
      <c r="O6880" t="s">
        <v>19447</v>
      </c>
      <c r="P6880" t="s">
        <v>19899</v>
      </c>
      <c r="Q6880" t="s">
        <v>19900</v>
      </c>
      <c r="R6880" t="s">
        <v>19905</v>
      </c>
      <c r="S6880" t="s">
        <v>19906</v>
      </c>
      <c r="T6880" t="s">
        <v>19904</v>
      </c>
    </row>
    <row r="6881" spans="2:20" x14ac:dyDescent="0.25">
      <c r="B6881" t="s">
        <v>2709</v>
      </c>
      <c r="C6881">
        <v>71021000</v>
      </c>
      <c r="D6881">
        <v>1</v>
      </c>
      <c r="E6881" t="s">
        <v>19447</v>
      </c>
      <c r="F6881">
        <v>18</v>
      </c>
      <c r="G6881">
        <v>0</v>
      </c>
      <c r="H6881">
        <v>7.6</v>
      </c>
      <c r="I6881">
        <v>1.65</v>
      </c>
      <c r="J6881">
        <v>10</v>
      </c>
      <c r="L6881" t="s">
        <v>2709</v>
      </c>
      <c r="M6881">
        <v>71021000</v>
      </c>
      <c r="N6881">
        <v>1</v>
      </c>
      <c r="O6881" t="s">
        <v>19447</v>
      </c>
      <c r="P6881" t="s">
        <v>19899</v>
      </c>
      <c r="Q6881" t="s">
        <v>19900</v>
      </c>
      <c r="R6881" t="s">
        <v>19905</v>
      </c>
      <c r="S6881" t="s">
        <v>19906</v>
      </c>
      <c r="T6881" t="s">
        <v>19904</v>
      </c>
    </row>
    <row r="6882" spans="2:20" x14ac:dyDescent="0.25">
      <c r="B6882" t="s">
        <v>2709</v>
      </c>
      <c r="C6882">
        <v>71022100</v>
      </c>
      <c r="E6882" t="s">
        <v>19447</v>
      </c>
      <c r="F6882">
        <v>18</v>
      </c>
      <c r="G6882">
        <v>0</v>
      </c>
      <c r="H6882">
        <v>7.6</v>
      </c>
      <c r="I6882">
        <v>1.65</v>
      </c>
      <c r="J6882">
        <v>2</v>
      </c>
      <c r="L6882" t="s">
        <v>2709</v>
      </c>
      <c r="M6882">
        <v>71022100</v>
      </c>
      <c r="O6882" t="s">
        <v>19447</v>
      </c>
      <c r="P6882" t="s">
        <v>19899</v>
      </c>
      <c r="Q6882" t="s">
        <v>19900</v>
      </c>
      <c r="R6882" t="s">
        <v>19905</v>
      </c>
      <c r="S6882" t="s">
        <v>19906</v>
      </c>
      <c r="T6882" t="s">
        <v>19901</v>
      </c>
    </row>
    <row r="6883" spans="2:20" x14ac:dyDescent="0.25">
      <c r="B6883" t="s">
        <v>2709</v>
      </c>
      <c r="C6883">
        <v>71022900</v>
      </c>
      <c r="E6883" t="s">
        <v>19447</v>
      </c>
      <c r="F6883">
        <v>18</v>
      </c>
      <c r="G6883">
        <v>0</v>
      </c>
      <c r="H6883">
        <v>7.6</v>
      </c>
      <c r="I6883">
        <v>1.65</v>
      </c>
      <c r="J6883">
        <v>2</v>
      </c>
      <c r="L6883" t="s">
        <v>2709</v>
      </c>
      <c r="M6883">
        <v>71022900</v>
      </c>
      <c r="O6883" t="s">
        <v>19447</v>
      </c>
      <c r="P6883" t="s">
        <v>19899</v>
      </c>
      <c r="Q6883" t="s">
        <v>19900</v>
      </c>
      <c r="R6883" t="s">
        <v>19905</v>
      </c>
      <c r="S6883" t="s">
        <v>19906</v>
      </c>
      <c r="T6883" t="s">
        <v>19901</v>
      </c>
    </row>
    <row r="6884" spans="2:20" x14ac:dyDescent="0.25">
      <c r="B6884" t="s">
        <v>2709</v>
      </c>
      <c r="C6884">
        <v>71023100</v>
      </c>
      <c r="E6884" t="s">
        <v>19447</v>
      </c>
      <c r="F6884">
        <v>18</v>
      </c>
      <c r="G6884">
        <v>0</v>
      </c>
      <c r="H6884">
        <v>7.6</v>
      </c>
      <c r="I6884">
        <v>1.65</v>
      </c>
      <c r="J6884">
        <v>8</v>
      </c>
      <c r="L6884" t="s">
        <v>2709</v>
      </c>
      <c r="M6884">
        <v>71023100</v>
      </c>
      <c r="O6884" t="s">
        <v>19447</v>
      </c>
      <c r="P6884" t="s">
        <v>19899</v>
      </c>
      <c r="Q6884" t="s">
        <v>19900</v>
      </c>
      <c r="R6884" t="s">
        <v>19905</v>
      </c>
      <c r="S6884" t="s">
        <v>19906</v>
      </c>
      <c r="T6884" t="s">
        <v>19918</v>
      </c>
    </row>
    <row r="6885" spans="2:20" x14ac:dyDescent="0.25">
      <c r="B6885" t="s">
        <v>2709</v>
      </c>
      <c r="C6885">
        <v>71023100</v>
      </c>
      <c r="D6885">
        <v>1</v>
      </c>
      <c r="E6885" t="s">
        <v>19447</v>
      </c>
      <c r="F6885">
        <v>18</v>
      </c>
      <c r="G6885">
        <v>0</v>
      </c>
      <c r="H6885">
        <v>7.6</v>
      </c>
      <c r="I6885">
        <v>1.65</v>
      </c>
      <c r="J6885">
        <v>8</v>
      </c>
      <c r="L6885" t="s">
        <v>2709</v>
      </c>
      <c r="M6885">
        <v>71023100</v>
      </c>
      <c r="N6885">
        <v>1</v>
      </c>
      <c r="O6885" t="s">
        <v>19447</v>
      </c>
      <c r="P6885" t="s">
        <v>19899</v>
      </c>
      <c r="Q6885" t="s">
        <v>19900</v>
      </c>
      <c r="R6885" t="s">
        <v>19905</v>
      </c>
      <c r="S6885" t="s">
        <v>19906</v>
      </c>
      <c r="T6885" t="s">
        <v>19918</v>
      </c>
    </row>
    <row r="6886" spans="2:20" x14ac:dyDescent="0.25">
      <c r="B6886" t="s">
        <v>2709</v>
      </c>
      <c r="C6886">
        <v>71023900</v>
      </c>
      <c r="E6886" t="s">
        <v>19447</v>
      </c>
      <c r="F6886">
        <v>18</v>
      </c>
      <c r="G6886">
        <v>0</v>
      </c>
      <c r="H6886">
        <v>7.6</v>
      </c>
      <c r="I6886">
        <v>1.65</v>
      </c>
      <c r="J6886">
        <v>10</v>
      </c>
      <c r="L6886" t="s">
        <v>2709</v>
      </c>
      <c r="M6886">
        <v>71023900</v>
      </c>
      <c r="O6886" t="s">
        <v>19447</v>
      </c>
      <c r="P6886" t="s">
        <v>19899</v>
      </c>
      <c r="Q6886" t="s">
        <v>19900</v>
      </c>
      <c r="R6886" t="s">
        <v>19905</v>
      </c>
      <c r="S6886" t="s">
        <v>19906</v>
      </c>
      <c r="T6886" t="s">
        <v>19904</v>
      </c>
    </row>
    <row r="6887" spans="2:20" x14ac:dyDescent="0.25">
      <c r="B6887" t="s">
        <v>2709</v>
      </c>
      <c r="C6887">
        <v>71031000</v>
      </c>
      <c r="E6887" t="s">
        <v>19447</v>
      </c>
      <c r="F6887">
        <v>18</v>
      </c>
      <c r="G6887">
        <v>0</v>
      </c>
      <c r="H6887">
        <v>7.6</v>
      </c>
      <c r="I6887">
        <v>1.65</v>
      </c>
      <c r="J6887">
        <v>8</v>
      </c>
      <c r="L6887" t="s">
        <v>2709</v>
      </c>
      <c r="M6887">
        <v>71031000</v>
      </c>
      <c r="O6887" t="s">
        <v>19447</v>
      </c>
      <c r="P6887" t="s">
        <v>19899</v>
      </c>
      <c r="Q6887" t="s">
        <v>19900</v>
      </c>
      <c r="R6887" t="s">
        <v>19905</v>
      </c>
      <c r="S6887" t="s">
        <v>19906</v>
      </c>
      <c r="T6887" t="s">
        <v>19918</v>
      </c>
    </row>
    <row r="6888" spans="2:20" x14ac:dyDescent="0.25">
      <c r="B6888" t="s">
        <v>2709</v>
      </c>
      <c r="C6888">
        <v>71039100</v>
      </c>
      <c r="E6888" t="s">
        <v>19447</v>
      </c>
      <c r="F6888">
        <v>18</v>
      </c>
      <c r="G6888">
        <v>0</v>
      </c>
      <c r="H6888" t="s">
        <v>19447</v>
      </c>
      <c r="I6888" t="s">
        <v>19447</v>
      </c>
      <c r="J6888">
        <v>10</v>
      </c>
      <c r="L6888" t="s">
        <v>2709</v>
      </c>
      <c r="M6888">
        <v>71039100</v>
      </c>
      <c r="O6888" t="s">
        <v>19447</v>
      </c>
      <c r="P6888" t="s">
        <v>19899</v>
      </c>
      <c r="Q6888" t="s">
        <v>19900</v>
      </c>
      <c r="R6888" t="s">
        <v>19447</v>
      </c>
      <c r="S6888" t="s">
        <v>19447</v>
      </c>
      <c r="T6888" t="s">
        <v>19904</v>
      </c>
    </row>
    <row r="6889" spans="2:20" x14ac:dyDescent="0.25">
      <c r="B6889" t="s">
        <v>2709</v>
      </c>
      <c r="C6889">
        <v>71039900</v>
      </c>
      <c r="E6889" t="s">
        <v>19447</v>
      </c>
      <c r="F6889">
        <v>18</v>
      </c>
      <c r="G6889">
        <v>0</v>
      </c>
      <c r="H6889">
        <v>7.6</v>
      </c>
      <c r="I6889">
        <v>1.65</v>
      </c>
      <c r="J6889">
        <v>10</v>
      </c>
      <c r="L6889" t="s">
        <v>2709</v>
      </c>
      <c r="M6889">
        <v>71039900</v>
      </c>
      <c r="O6889" t="s">
        <v>19447</v>
      </c>
      <c r="P6889" t="s">
        <v>19899</v>
      </c>
      <c r="Q6889" t="s">
        <v>19900</v>
      </c>
      <c r="R6889" t="s">
        <v>19905</v>
      </c>
      <c r="S6889" t="s">
        <v>19906</v>
      </c>
      <c r="T6889" t="s">
        <v>19904</v>
      </c>
    </row>
    <row r="6890" spans="2:20" x14ac:dyDescent="0.25">
      <c r="B6890" t="s">
        <v>2709</v>
      </c>
      <c r="C6890">
        <v>71041000</v>
      </c>
      <c r="E6890" t="s">
        <v>19447</v>
      </c>
      <c r="F6890">
        <v>18</v>
      </c>
      <c r="G6890">
        <v>12</v>
      </c>
      <c r="H6890">
        <v>7.6</v>
      </c>
      <c r="I6890">
        <v>1.65</v>
      </c>
      <c r="J6890">
        <v>10</v>
      </c>
      <c r="L6890" t="s">
        <v>2709</v>
      </c>
      <c r="M6890">
        <v>71041000</v>
      </c>
      <c r="O6890" t="s">
        <v>19447</v>
      </c>
      <c r="P6890" t="s">
        <v>19899</v>
      </c>
      <c r="Q6890" t="s">
        <v>19903</v>
      </c>
      <c r="R6890" t="s">
        <v>19905</v>
      </c>
      <c r="S6890" t="s">
        <v>19906</v>
      </c>
      <c r="T6890" t="s">
        <v>19904</v>
      </c>
    </row>
    <row r="6891" spans="2:20" x14ac:dyDescent="0.25">
      <c r="B6891" t="s">
        <v>2709</v>
      </c>
      <c r="C6891">
        <v>71042010</v>
      </c>
      <c r="E6891" t="s">
        <v>19447</v>
      </c>
      <c r="F6891">
        <v>18</v>
      </c>
      <c r="G6891">
        <v>12</v>
      </c>
      <c r="H6891" t="s">
        <v>19447</v>
      </c>
      <c r="I6891" t="s">
        <v>19447</v>
      </c>
      <c r="J6891">
        <v>2</v>
      </c>
      <c r="L6891" t="s">
        <v>2709</v>
      </c>
      <c r="M6891">
        <v>71042010</v>
      </c>
      <c r="O6891" t="s">
        <v>19447</v>
      </c>
      <c r="P6891" t="s">
        <v>19899</v>
      </c>
      <c r="Q6891" t="s">
        <v>19903</v>
      </c>
      <c r="R6891" t="s">
        <v>19447</v>
      </c>
      <c r="S6891" t="s">
        <v>19447</v>
      </c>
      <c r="T6891" t="s">
        <v>19901</v>
      </c>
    </row>
    <row r="6892" spans="2:20" x14ac:dyDescent="0.25">
      <c r="B6892" t="s">
        <v>2709</v>
      </c>
      <c r="C6892">
        <v>71042090</v>
      </c>
      <c r="E6892" t="s">
        <v>19447</v>
      </c>
      <c r="F6892">
        <v>18</v>
      </c>
      <c r="G6892">
        <v>12</v>
      </c>
      <c r="H6892" t="s">
        <v>19447</v>
      </c>
      <c r="I6892" t="s">
        <v>19447</v>
      </c>
      <c r="J6892">
        <v>10</v>
      </c>
      <c r="L6892" t="s">
        <v>2709</v>
      </c>
      <c r="M6892">
        <v>71042090</v>
      </c>
      <c r="O6892" t="s">
        <v>19447</v>
      </c>
      <c r="P6892" t="s">
        <v>19899</v>
      </c>
      <c r="Q6892" t="s">
        <v>19903</v>
      </c>
      <c r="R6892" t="s">
        <v>19447</v>
      </c>
      <c r="S6892" t="s">
        <v>19447</v>
      </c>
      <c r="T6892" t="s">
        <v>19904</v>
      </c>
    </row>
    <row r="6893" spans="2:20" x14ac:dyDescent="0.25">
      <c r="B6893" t="s">
        <v>2709</v>
      </c>
      <c r="C6893">
        <v>71049000</v>
      </c>
      <c r="E6893" t="s">
        <v>19447</v>
      </c>
      <c r="F6893">
        <v>18</v>
      </c>
      <c r="G6893">
        <v>12</v>
      </c>
      <c r="H6893">
        <v>7.6</v>
      </c>
      <c r="I6893">
        <v>1.65</v>
      </c>
      <c r="J6893">
        <v>10</v>
      </c>
      <c r="L6893" t="s">
        <v>2709</v>
      </c>
      <c r="M6893">
        <v>71049000</v>
      </c>
      <c r="O6893" t="s">
        <v>19447</v>
      </c>
      <c r="P6893" t="s">
        <v>19899</v>
      </c>
      <c r="Q6893" t="s">
        <v>19903</v>
      </c>
      <c r="R6893" t="s">
        <v>19905</v>
      </c>
      <c r="S6893" t="s">
        <v>19906</v>
      </c>
      <c r="T6893" t="s">
        <v>19904</v>
      </c>
    </row>
    <row r="6894" spans="2:20" x14ac:dyDescent="0.25">
      <c r="B6894" t="s">
        <v>2709</v>
      </c>
      <c r="C6894">
        <v>71051000</v>
      </c>
      <c r="E6894" t="s">
        <v>19447</v>
      </c>
      <c r="F6894">
        <v>18</v>
      </c>
      <c r="G6894">
        <v>0</v>
      </c>
      <c r="H6894" t="s">
        <v>19447</v>
      </c>
      <c r="I6894" t="s">
        <v>19447</v>
      </c>
      <c r="J6894">
        <v>6</v>
      </c>
      <c r="L6894" t="s">
        <v>2709</v>
      </c>
      <c r="M6894">
        <v>71051000</v>
      </c>
      <c r="O6894" t="s">
        <v>19447</v>
      </c>
      <c r="P6894" t="s">
        <v>19899</v>
      </c>
      <c r="Q6894" t="s">
        <v>19900</v>
      </c>
      <c r="R6894" t="s">
        <v>19447</v>
      </c>
      <c r="S6894" t="s">
        <v>19447</v>
      </c>
      <c r="T6894" t="s">
        <v>19907</v>
      </c>
    </row>
    <row r="6895" spans="2:20" x14ac:dyDescent="0.25">
      <c r="B6895" t="s">
        <v>2709</v>
      </c>
      <c r="C6895">
        <v>71059000</v>
      </c>
      <c r="E6895" t="s">
        <v>19447</v>
      </c>
      <c r="F6895">
        <v>18</v>
      </c>
      <c r="G6895">
        <v>0</v>
      </c>
      <c r="H6895" t="s">
        <v>19447</v>
      </c>
      <c r="I6895" t="s">
        <v>19447</v>
      </c>
      <c r="J6895">
        <v>6</v>
      </c>
      <c r="L6895" t="s">
        <v>2709</v>
      </c>
      <c r="M6895">
        <v>71059000</v>
      </c>
      <c r="O6895" t="s">
        <v>19447</v>
      </c>
      <c r="P6895" t="s">
        <v>19899</v>
      </c>
      <c r="Q6895" t="s">
        <v>19900</v>
      </c>
      <c r="R6895" t="s">
        <v>19447</v>
      </c>
      <c r="S6895" t="s">
        <v>19447</v>
      </c>
      <c r="T6895" t="s">
        <v>19907</v>
      </c>
    </row>
    <row r="6896" spans="2:20" x14ac:dyDescent="0.25">
      <c r="B6896" t="s">
        <v>2709</v>
      </c>
      <c r="C6896">
        <v>71061000</v>
      </c>
      <c r="E6896" t="s">
        <v>19447</v>
      </c>
      <c r="F6896">
        <v>18</v>
      </c>
      <c r="G6896">
        <v>0</v>
      </c>
      <c r="H6896">
        <v>7.6</v>
      </c>
      <c r="I6896">
        <v>1.65</v>
      </c>
      <c r="J6896">
        <v>6</v>
      </c>
      <c r="L6896" t="s">
        <v>2709</v>
      </c>
      <c r="M6896">
        <v>71061000</v>
      </c>
      <c r="O6896" t="s">
        <v>19447</v>
      </c>
      <c r="P6896" t="s">
        <v>19899</v>
      </c>
      <c r="Q6896" t="s">
        <v>19900</v>
      </c>
      <c r="R6896" t="s">
        <v>19905</v>
      </c>
      <c r="S6896" t="s">
        <v>19906</v>
      </c>
      <c r="T6896" t="s">
        <v>19907</v>
      </c>
    </row>
    <row r="6897" spans="2:20" x14ac:dyDescent="0.25">
      <c r="B6897" t="s">
        <v>2709</v>
      </c>
      <c r="C6897">
        <v>71069100</v>
      </c>
      <c r="E6897" t="s">
        <v>19447</v>
      </c>
      <c r="F6897">
        <v>18</v>
      </c>
      <c r="G6897">
        <v>0</v>
      </c>
      <c r="H6897">
        <v>7.6</v>
      </c>
      <c r="I6897">
        <v>1.65</v>
      </c>
      <c r="J6897">
        <v>6</v>
      </c>
      <c r="L6897" t="s">
        <v>2709</v>
      </c>
      <c r="M6897">
        <v>71069100</v>
      </c>
      <c r="O6897" t="s">
        <v>19447</v>
      </c>
      <c r="P6897" t="s">
        <v>19899</v>
      </c>
      <c r="Q6897" t="s">
        <v>19900</v>
      </c>
      <c r="R6897" t="s">
        <v>19905</v>
      </c>
      <c r="S6897" t="s">
        <v>19906</v>
      </c>
      <c r="T6897" t="s">
        <v>19907</v>
      </c>
    </row>
    <row r="6898" spans="2:20" x14ac:dyDescent="0.25">
      <c r="B6898" t="s">
        <v>2709</v>
      </c>
      <c r="C6898">
        <v>71069210</v>
      </c>
      <c r="E6898" t="s">
        <v>19447</v>
      </c>
      <c r="F6898">
        <v>18</v>
      </c>
      <c r="G6898">
        <v>0</v>
      </c>
      <c r="H6898">
        <v>7.6</v>
      </c>
      <c r="I6898">
        <v>1.65</v>
      </c>
      <c r="J6898">
        <v>12</v>
      </c>
      <c r="L6898" t="s">
        <v>2709</v>
      </c>
      <c r="M6898">
        <v>71069210</v>
      </c>
      <c r="O6898" t="s">
        <v>19447</v>
      </c>
      <c r="P6898" t="s">
        <v>19899</v>
      </c>
      <c r="Q6898" t="s">
        <v>19900</v>
      </c>
      <c r="R6898" t="s">
        <v>19905</v>
      </c>
      <c r="S6898" t="s">
        <v>19906</v>
      </c>
      <c r="T6898" t="s">
        <v>19903</v>
      </c>
    </row>
    <row r="6899" spans="2:20" x14ac:dyDescent="0.25">
      <c r="B6899" t="s">
        <v>2709</v>
      </c>
      <c r="C6899">
        <v>71069220</v>
      </c>
      <c r="E6899" t="s">
        <v>19447</v>
      </c>
      <c r="F6899">
        <v>18</v>
      </c>
      <c r="G6899">
        <v>0</v>
      </c>
      <c r="H6899">
        <v>7.6</v>
      </c>
      <c r="I6899">
        <v>1.65</v>
      </c>
      <c r="J6899">
        <v>12</v>
      </c>
      <c r="L6899" t="s">
        <v>2709</v>
      </c>
      <c r="M6899">
        <v>71069220</v>
      </c>
      <c r="O6899" t="s">
        <v>19447</v>
      </c>
      <c r="P6899" t="s">
        <v>19899</v>
      </c>
      <c r="Q6899" t="s">
        <v>19900</v>
      </c>
      <c r="R6899" t="s">
        <v>19905</v>
      </c>
      <c r="S6899" t="s">
        <v>19906</v>
      </c>
      <c r="T6899" t="s">
        <v>19903</v>
      </c>
    </row>
    <row r="6900" spans="2:20" x14ac:dyDescent="0.25">
      <c r="B6900" t="s">
        <v>2709</v>
      </c>
      <c r="C6900">
        <v>71069290</v>
      </c>
      <c r="E6900" t="s">
        <v>19447</v>
      </c>
      <c r="F6900">
        <v>18</v>
      </c>
      <c r="G6900">
        <v>0</v>
      </c>
      <c r="H6900">
        <v>7.6</v>
      </c>
      <c r="I6900">
        <v>1.65</v>
      </c>
      <c r="J6900">
        <v>12</v>
      </c>
      <c r="L6900" t="s">
        <v>2709</v>
      </c>
      <c r="M6900">
        <v>71069290</v>
      </c>
      <c r="O6900" t="s">
        <v>19447</v>
      </c>
      <c r="P6900" t="s">
        <v>19899</v>
      </c>
      <c r="Q6900" t="s">
        <v>19900</v>
      </c>
      <c r="R6900" t="s">
        <v>19905</v>
      </c>
      <c r="S6900" t="s">
        <v>19906</v>
      </c>
      <c r="T6900" t="s">
        <v>19903</v>
      </c>
    </row>
    <row r="6901" spans="2:20" x14ac:dyDescent="0.25">
      <c r="B6901" t="s">
        <v>2709</v>
      </c>
      <c r="C6901">
        <v>71070000</v>
      </c>
      <c r="E6901" t="s">
        <v>19447</v>
      </c>
      <c r="F6901">
        <v>18</v>
      </c>
      <c r="G6901">
        <v>10</v>
      </c>
      <c r="H6901">
        <v>7.6</v>
      </c>
      <c r="I6901">
        <v>1.65</v>
      </c>
      <c r="J6901">
        <v>12</v>
      </c>
      <c r="L6901" t="s">
        <v>2709</v>
      </c>
      <c r="M6901">
        <v>71070000</v>
      </c>
      <c r="O6901" t="s">
        <v>19447</v>
      </c>
      <c r="P6901" t="s">
        <v>19899</v>
      </c>
      <c r="Q6901" t="s">
        <v>19904</v>
      </c>
      <c r="R6901" t="s">
        <v>19905</v>
      </c>
      <c r="S6901" t="s">
        <v>19906</v>
      </c>
      <c r="T6901" t="s">
        <v>19903</v>
      </c>
    </row>
    <row r="6902" spans="2:20" x14ac:dyDescent="0.25">
      <c r="B6902" t="s">
        <v>2709</v>
      </c>
      <c r="C6902">
        <v>71081100</v>
      </c>
      <c r="E6902" t="s">
        <v>19447</v>
      </c>
      <c r="F6902">
        <v>18</v>
      </c>
      <c r="G6902">
        <v>0</v>
      </c>
      <c r="H6902" t="s">
        <v>19447</v>
      </c>
      <c r="I6902" t="s">
        <v>19447</v>
      </c>
      <c r="J6902">
        <v>0</v>
      </c>
      <c r="L6902" t="s">
        <v>2709</v>
      </c>
      <c r="M6902">
        <v>71081100</v>
      </c>
      <c r="O6902" t="s">
        <v>19447</v>
      </c>
      <c r="P6902" t="s">
        <v>19899</v>
      </c>
      <c r="Q6902" t="s">
        <v>19900</v>
      </c>
      <c r="R6902" t="s">
        <v>19447</v>
      </c>
      <c r="S6902" t="s">
        <v>19447</v>
      </c>
      <c r="T6902" t="s">
        <v>19900</v>
      </c>
    </row>
    <row r="6903" spans="2:20" x14ac:dyDescent="0.25">
      <c r="B6903" t="s">
        <v>2709</v>
      </c>
      <c r="C6903">
        <v>71081210</v>
      </c>
      <c r="E6903" t="s">
        <v>19447</v>
      </c>
      <c r="F6903">
        <v>18</v>
      </c>
      <c r="G6903">
        <v>0</v>
      </c>
      <c r="H6903" t="s">
        <v>19447</v>
      </c>
      <c r="I6903" t="s">
        <v>19447</v>
      </c>
      <c r="J6903">
        <v>0</v>
      </c>
      <c r="L6903" t="s">
        <v>2709</v>
      </c>
      <c r="M6903">
        <v>71081210</v>
      </c>
      <c r="O6903" t="s">
        <v>19447</v>
      </c>
      <c r="P6903" t="s">
        <v>19899</v>
      </c>
      <c r="Q6903" t="s">
        <v>19900</v>
      </c>
      <c r="R6903" t="s">
        <v>19447</v>
      </c>
      <c r="S6903" t="s">
        <v>19447</v>
      </c>
      <c r="T6903" t="s">
        <v>19900</v>
      </c>
    </row>
    <row r="6904" spans="2:20" x14ac:dyDescent="0.25">
      <c r="B6904" t="s">
        <v>2709</v>
      </c>
      <c r="C6904">
        <v>71081290</v>
      </c>
      <c r="E6904" t="s">
        <v>19447</v>
      </c>
      <c r="F6904">
        <v>18</v>
      </c>
      <c r="G6904">
        <v>0</v>
      </c>
      <c r="H6904" t="s">
        <v>19447</v>
      </c>
      <c r="I6904" t="s">
        <v>19447</v>
      </c>
      <c r="J6904">
        <v>0</v>
      </c>
      <c r="L6904" t="s">
        <v>2709</v>
      </c>
      <c r="M6904">
        <v>71081290</v>
      </c>
      <c r="O6904" t="s">
        <v>19447</v>
      </c>
      <c r="P6904" t="s">
        <v>19899</v>
      </c>
      <c r="Q6904" t="s">
        <v>19900</v>
      </c>
      <c r="R6904" t="s">
        <v>19447</v>
      </c>
      <c r="S6904" t="s">
        <v>19447</v>
      </c>
      <c r="T6904" t="s">
        <v>19900</v>
      </c>
    </row>
    <row r="6905" spans="2:20" x14ac:dyDescent="0.25">
      <c r="B6905" t="s">
        <v>2709</v>
      </c>
      <c r="C6905">
        <v>71081310</v>
      </c>
      <c r="E6905" t="s">
        <v>19447</v>
      </c>
      <c r="F6905">
        <v>18</v>
      </c>
      <c r="G6905">
        <v>0</v>
      </c>
      <c r="H6905" t="s">
        <v>19447</v>
      </c>
      <c r="I6905" t="s">
        <v>19447</v>
      </c>
      <c r="J6905">
        <v>12</v>
      </c>
      <c r="L6905" t="s">
        <v>2709</v>
      </c>
      <c r="M6905">
        <v>71081310</v>
      </c>
      <c r="O6905" t="s">
        <v>19447</v>
      </c>
      <c r="P6905" t="s">
        <v>19899</v>
      </c>
      <c r="Q6905" t="s">
        <v>19900</v>
      </c>
      <c r="R6905" t="s">
        <v>19447</v>
      </c>
      <c r="S6905" t="s">
        <v>19447</v>
      </c>
      <c r="T6905" t="s">
        <v>19903</v>
      </c>
    </row>
    <row r="6906" spans="2:20" x14ac:dyDescent="0.25">
      <c r="B6906" t="s">
        <v>2709</v>
      </c>
      <c r="C6906">
        <v>71081390</v>
      </c>
      <c r="E6906" t="s">
        <v>19447</v>
      </c>
      <c r="F6906">
        <v>18</v>
      </c>
      <c r="G6906">
        <v>0</v>
      </c>
      <c r="H6906" t="s">
        <v>19447</v>
      </c>
      <c r="I6906" t="s">
        <v>19447</v>
      </c>
      <c r="J6906">
        <v>12</v>
      </c>
      <c r="L6906" t="s">
        <v>2709</v>
      </c>
      <c r="M6906">
        <v>71081390</v>
      </c>
      <c r="O6906" t="s">
        <v>19447</v>
      </c>
      <c r="P6906" t="s">
        <v>19899</v>
      </c>
      <c r="Q6906" t="s">
        <v>19900</v>
      </c>
      <c r="R6906" t="s">
        <v>19447</v>
      </c>
      <c r="S6906" t="s">
        <v>19447</v>
      </c>
      <c r="T6906" t="s">
        <v>19903</v>
      </c>
    </row>
    <row r="6907" spans="2:20" x14ac:dyDescent="0.25">
      <c r="B6907" t="s">
        <v>2709</v>
      </c>
      <c r="C6907">
        <v>71082000</v>
      </c>
      <c r="E6907" t="s">
        <v>19447</v>
      </c>
      <c r="F6907">
        <v>18</v>
      </c>
      <c r="G6907">
        <v>0</v>
      </c>
      <c r="H6907" t="s">
        <v>19447</v>
      </c>
      <c r="I6907" t="s">
        <v>19447</v>
      </c>
      <c r="J6907">
        <v>0</v>
      </c>
      <c r="L6907" t="s">
        <v>2709</v>
      </c>
      <c r="M6907">
        <v>71082000</v>
      </c>
      <c r="O6907" t="s">
        <v>19447</v>
      </c>
      <c r="P6907" t="s">
        <v>19899</v>
      </c>
      <c r="Q6907" t="s">
        <v>19900</v>
      </c>
      <c r="R6907" t="s">
        <v>19447</v>
      </c>
      <c r="S6907" t="s">
        <v>19447</v>
      </c>
      <c r="T6907" t="s">
        <v>19900</v>
      </c>
    </row>
    <row r="6908" spans="2:20" x14ac:dyDescent="0.25">
      <c r="B6908" t="s">
        <v>2709</v>
      </c>
      <c r="C6908">
        <v>71090000</v>
      </c>
      <c r="E6908" t="s">
        <v>19447</v>
      </c>
      <c r="F6908">
        <v>18</v>
      </c>
      <c r="G6908">
        <v>10</v>
      </c>
      <c r="H6908">
        <v>7.6</v>
      </c>
      <c r="I6908">
        <v>1.65</v>
      </c>
      <c r="J6908">
        <v>12</v>
      </c>
      <c r="L6908" t="s">
        <v>2709</v>
      </c>
      <c r="M6908">
        <v>71090000</v>
      </c>
      <c r="O6908" t="s">
        <v>19447</v>
      </c>
      <c r="P6908" t="s">
        <v>19899</v>
      </c>
      <c r="Q6908" t="s">
        <v>19904</v>
      </c>
      <c r="R6908" t="s">
        <v>19905</v>
      </c>
      <c r="S6908" t="s">
        <v>19906</v>
      </c>
      <c r="T6908" t="s">
        <v>19903</v>
      </c>
    </row>
    <row r="6909" spans="2:20" x14ac:dyDescent="0.25">
      <c r="B6909" t="s">
        <v>2709</v>
      </c>
      <c r="C6909">
        <v>71101100</v>
      </c>
      <c r="E6909" t="s">
        <v>19447</v>
      </c>
      <c r="F6909">
        <v>18</v>
      </c>
      <c r="G6909">
        <v>0</v>
      </c>
      <c r="H6909" t="s">
        <v>19447</v>
      </c>
      <c r="I6909" t="s">
        <v>19447</v>
      </c>
      <c r="J6909">
        <v>2</v>
      </c>
      <c r="L6909" t="s">
        <v>2709</v>
      </c>
      <c r="M6909">
        <v>71101100</v>
      </c>
      <c r="O6909" t="s">
        <v>19447</v>
      </c>
      <c r="P6909" t="s">
        <v>19899</v>
      </c>
      <c r="Q6909" t="s">
        <v>19900</v>
      </c>
      <c r="R6909" t="s">
        <v>19447</v>
      </c>
      <c r="S6909" t="s">
        <v>19447</v>
      </c>
      <c r="T6909" t="s">
        <v>19901</v>
      </c>
    </row>
    <row r="6910" spans="2:20" x14ac:dyDescent="0.25">
      <c r="B6910" t="s">
        <v>2709</v>
      </c>
      <c r="C6910">
        <v>71101910</v>
      </c>
      <c r="E6910" t="s">
        <v>19447</v>
      </c>
      <c r="F6910">
        <v>18</v>
      </c>
      <c r="G6910">
        <v>0</v>
      </c>
      <c r="H6910" t="s">
        <v>19447</v>
      </c>
      <c r="I6910" t="s">
        <v>19447</v>
      </c>
      <c r="J6910">
        <v>12</v>
      </c>
      <c r="L6910" t="s">
        <v>2709</v>
      </c>
      <c r="M6910">
        <v>71101910</v>
      </c>
      <c r="O6910" t="s">
        <v>19447</v>
      </c>
      <c r="P6910" t="s">
        <v>19899</v>
      </c>
      <c r="Q6910" t="s">
        <v>19900</v>
      </c>
      <c r="R6910" t="s">
        <v>19447</v>
      </c>
      <c r="S6910" t="s">
        <v>19447</v>
      </c>
      <c r="T6910" t="s">
        <v>19903</v>
      </c>
    </row>
    <row r="6911" spans="2:20" x14ac:dyDescent="0.25">
      <c r="B6911" t="s">
        <v>2709</v>
      </c>
      <c r="C6911">
        <v>71101990</v>
      </c>
      <c r="E6911" t="s">
        <v>19447</v>
      </c>
      <c r="F6911">
        <v>18</v>
      </c>
      <c r="G6911">
        <v>0</v>
      </c>
      <c r="H6911" t="s">
        <v>19447</v>
      </c>
      <c r="I6911" t="s">
        <v>19447</v>
      </c>
      <c r="J6911">
        <v>12</v>
      </c>
      <c r="L6911" t="s">
        <v>2709</v>
      </c>
      <c r="M6911">
        <v>71101990</v>
      </c>
      <c r="O6911" t="s">
        <v>19447</v>
      </c>
      <c r="P6911" t="s">
        <v>19899</v>
      </c>
      <c r="Q6911" t="s">
        <v>19900</v>
      </c>
      <c r="R6911" t="s">
        <v>19447</v>
      </c>
      <c r="S6911" t="s">
        <v>19447</v>
      </c>
      <c r="T6911" t="s">
        <v>19903</v>
      </c>
    </row>
    <row r="6912" spans="2:20" x14ac:dyDescent="0.25">
      <c r="B6912" t="s">
        <v>2709</v>
      </c>
      <c r="C6912">
        <v>71102100</v>
      </c>
      <c r="E6912" t="s">
        <v>19447</v>
      </c>
      <c r="F6912">
        <v>18</v>
      </c>
      <c r="G6912">
        <v>0</v>
      </c>
      <c r="H6912" t="s">
        <v>19447</v>
      </c>
      <c r="I6912" t="s">
        <v>19447</v>
      </c>
      <c r="J6912">
        <v>2</v>
      </c>
      <c r="L6912" t="s">
        <v>2709</v>
      </c>
      <c r="M6912">
        <v>71102100</v>
      </c>
      <c r="O6912" t="s">
        <v>19447</v>
      </c>
      <c r="P6912" t="s">
        <v>19899</v>
      </c>
      <c r="Q6912" t="s">
        <v>19900</v>
      </c>
      <c r="R6912" t="s">
        <v>19447</v>
      </c>
      <c r="S6912" t="s">
        <v>19447</v>
      </c>
      <c r="T6912" t="s">
        <v>19901</v>
      </c>
    </row>
    <row r="6913" spans="2:20" x14ac:dyDescent="0.25">
      <c r="B6913" t="s">
        <v>2709</v>
      </c>
      <c r="C6913">
        <v>71102900</v>
      </c>
      <c r="E6913" t="s">
        <v>19447</v>
      </c>
      <c r="F6913">
        <v>18</v>
      </c>
      <c r="G6913">
        <v>0</v>
      </c>
      <c r="H6913" t="s">
        <v>19447</v>
      </c>
      <c r="I6913" t="s">
        <v>19447</v>
      </c>
      <c r="J6913">
        <v>12</v>
      </c>
      <c r="L6913" t="s">
        <v>2709</v>
      </c>
      <c r="M6913">
        <v>71102900</v>
      </c>
      <c r="O6913" t="s">
        <v>19447</v>
      </c>
      <c r="P6913" t="s">
        <v>19899</v>
      </c>
      <c r="Q6913" t="s">
        <v>19900</v>
      </c>
      <c r="R6913" t="s">
        <v>19447</v>
      </c>
      <c r="S6913" t="s">
        <v>19447</v>
      </c>
      <c r="T6913" t="s">
        <v>19903</v>
      </c>
    </row>
    <row r="6914" spans="2:20" x14ac:dyDescent="0.25">
      <c r="B6914" t="s">
        <v>2709</v>
      </c>
      <c r="C6914">
        <v>71103100</v>
      </c>
      <c r="E6914" t="s">
        <v>19447</v>
      </c>
      <c r="F6914">
        <v>18</v>
      </c>
      <c r="G6914">
        <v>0</v>
      </c>
      <c r="H6914">
        <v>7.6</v>
      </c>
      <c r="I6914">
        <v>1.65</v>
      </c>
      <c r="J6914">
        <v>2</v>
      </c>
      <c r="L6914" t="s">
        <v>2709</v>
      </c>
      <c r="M6914">
        <v>71103100</v>
      </c>
      <c r="O6914" t="s">
        <v>19447</v>
      </c>
      <c r="P6914" t="s">
        <v>19899</v>
      </c>
      <c r="Q6914" t="s">
        <v>19900</v>
      </c>
      <c r="R6914" t="s">
        <v>19905</v>
      </c>
      <c r="S6914" t="s">
        <v>19906</v>
      </c>
      <c r="T6914" t="s">
        <v>19901</v>
      </c>
    </row>
    <row r="6915" spans="2:20" x14ac:dyDescent="0.25">
      <c r="B6915" t="s">
        <v>2709</v>
      </c>
      <c r="C6915">
        <v>71103900</v>
      </c>
      <c r="E6915" t="s">
        <v>19447</v>
      </c>
      <c r="F6915">
        <v>18</v>
      </c>
      <c r="G6915">
        <v>0</v>
      </c>
      <c r="H6915">
        <v>7.6</v>
      </c>
      <c r="I6915">
        <v>1.65</v>
      </c>
      <c r="J6915">
        <v>12</v>
      </c>
      <c r="L6915" t="s">
        <v>2709</v>
      </c>
      <c r="M6915">
        <v>71103900</v>
      </c>
      <c r="O6915" t="s">
        <v>19447</v>
      </c>
      <c r="P6915" t="s">
        <v>19899</v>
      </c>
      <c r="Q6915" t="s">
        <v>19900</v>
      </c>
      <c r="R6915" t="s">
        <v>19905</v>
      </c>
      <c r="S6915" t="s">
        <v>19906</v>
      </c>
      <c r="T6915" t="s">
        <v>19903</v>
      </c>
    </row>
    <row r="6916" spans="2:20" x14ac:dyDescent="0.25">
      <c r="B6916" t="s">
        <v>2709</v>
      </c>
      <c r="C6916">
        <v>71104100</v>
      </c>
      <c r="E6916" t="s">
        <v>19447</v>
      </c>
      <c r="F6916">
        <v>18</v>
      </c>
      <c r="G6916">
        <v>0</v>
      </c>
      <c r="H6916">
        <v>7.6</v>
      </c>
      <c r="I6916">
        <v>1.65</v>
      </c>
      <c r="J6916">
        <v>2</v>
      </c>
      <c r="L6916" t="s">
        <v>2709</v>
      </c>
      <c r="M6916">
        <v>71104100</v>
      </c>
      <c r="O6916" t="s">
        <v>19447</v>
      </c>
      <c r="P6916" t="s">
        <v>19899</v>
      </c>
      <c r="Q6916" t="s">
        <v>19900</v>
      </c>
      <c r="R6916" t="s">
        <v>19905</v>
      </c>
      <c r="S6916" t="s">
        <v>19906</v>
      </c>
      <c r="T6916" t="s">
        <v>19901</v>
      </c>
    </row>
    <row r="6917" spans="2:20" x14ac:dyDescent="0.25">
      <c r="B6917" t="s">
        <v>2709</v>
      </c>
      <c r="C6917">
        <v>71104900</v>
      </c>
      <c r="E6917" t="s">
        <v>19447</v>
      </c>
      <c r="F6917">
        <v>18</v>
      </c>
      <c r="G6917">
        <v>0</v>
      </c>
      <c r="H6917">
        <v>7.6</v>
      </c>
      <c r="I6917">
        <v>1.65</v>
      </c>
      <c r="J6917">
        <v>12</v>
      </c>
      <c r="L6917" t="s">
        <v>2709</v>
      </c>
      <c r="M6917">
        <v>71104900</v>
      </c>
      <c r="O6917" t="s">
        <v>19447</v>
      </c>
      <c r="P6917" t="s">
        <v>19899</v>
      </c>
      <c r="Q6917" t="s">
        <v>19900</v>
      </c>
      <c r="R6917" t="s">
        <v>19905</v>
      </c>
      <c r="S6917" t="s">
        <v>19906</v>
      </c>
      <c r="T6917" t="s">
        <v>19903</v>
      </c>
    </row>
    <row r="6918" spans="2:20" x14ac:dyDescent="0.25">
      <c r="B6918" t="s">
        <v>2709</v>
      </c>
      <c r="C6918">
        <v>71110000</v>
      </c>
      <c r="E6918" t="s">
        <v>19447</v>
      </c>
      <c r="F6918">
        <v>18</v>
      </c>
      <c r="G6918">
        <v>10</v>
      </c>
      <c r="H6918">
        <v>7.6</v>
      </c>
      <c r="I6918">
        <v>1.65</v>
      </c>
      <c r="J6918">
        <v>12</v>
      </c>
      <c r="L6918" t="s">
        <v>2709</v>
      </c>
      <c r="M6918">
        <v>71110000</v>
      </c>
      <c r="O6918" t="s">
        <v>19447</v>
      </c>
      <c r="P6918" t="s">
        <v>19899</v>
      </c>
      <c r="Q6918" t="s">
        <v>19904</v>
      </c>
      <c r="R6918" t="s">
        <v>19905</v>
      </c>
      <c r="S6918" t="s">
        <v>19906</v>
      </c>
      <c r="T6918" t="s">
        <v>19903</v>
      </c>
    </row>
    <row r="6919" spans="2:20" x14ac:dyDescent="0.25">
      <c r="B6919" t="s">
        <v>2709</v>
      </c>
      <c r="C6919">
        <v>71123010</v>
      </c>
      <c r="E6919" t="s">
        <v>19447</v>
      </c>
      <c r="F6919">
        <v>18</v>
      </c>
      <c r="G6919">
        <v>0</v>
      </c>
      <c r="H6919">
        <v>7.6</v>
      </c>
      <c r="I6919">
        <v>1.65</v>
      </c>
      <c r="J6919">
        <v>2</v>
      </c>
      <c r="L6919" t="s">
        <v>2709</v>
      </c>
      <c r="M6919">
        <v>71123010</v>
      </c>
      <c r="O6919" t="s">
        <v>19447</v>
      </c>
      <c r="P6919" t="s">
        <v>19899</v>
      </c>
      <c r="Q6919" t="s">
        <v>19900</v>
      </c>
      <c r="R6919" t="s">
        <v>19905</v>
      </c>
      <c r="S6919" t="s">
        <v>19906</v>
      </c>
      <c r="T6919" t="s">
        <v>19901</v>
      </c>
    </row>
    <row r="6920" spans="2:20" x14ac:dyDescent="0.25">
      <c r="B6920" t="s">
        <v>2709</v>
      </c>
      <c r="C6920">
        <v>71123010</v>
      </c>
      <c r="D6920">
        <v>1</v>
      </c>
      <c r="E6920" t="s">
        <v>19447</v>
      </c>
      <c r="F6920">
        <v>18</v>
      </c>
      <c r="G6920">
        <v>0</v>
      </c>
      <c r="H6920">
        <v>7.6</v>
      </c>
      <c r="I6920">
        <v>1.65</v>
      </c>
      <c r="J6920">
        <v>2</v>
      </c>
      <c r="L6920" t="s">
        <v>2709</v>
      </c>
      <c r="M6920">
        <v>71123010</v>
      </c>
      <c r="N6920">
        <v>1</v>
      </c>
      <c r="O6920" t="s">
        <v>19447</v>
      </c>
      <c r="P6920" t="s">
        <v>19899</v>
      </c>
      <c r="Q6920" t="s">
        <v>19900</v>
      </c>
      <c r="R6920" t="s">
        <v>19905</v>
      </c>
      <c r="S6920" t="s">
        <v>19906</v>
      </c>
      <c r="T6920" t="s">
        <v>19901</v>
      </c>
    </row>
    <row r="6921" spans="2:20" x14ac:dyDescent="0.25">
      <c r="B6921" t="s">
        <v>2709</v>
      </c>
      <c r="C6921">
        <v>71123020</v>
      </c>
      <c r="E6921" t="s">
        <v>19447</v>
      </c>
      <c r="F6921">
        <v>18</v>
      </c>
      <c r="G6921">
        <v>0</v>
      </c>
      <c r="H6921">
        <v>7.6</v>
      </c>
      <c r="I6921">
        <v>1.65</v>
      </c>
      <c r="J6921">
        <v>2</v>
      </c>
      <c r="L6921" t="s">
        <v>2709</v>
      </c>
      <c r="M6921">
        <v>71123020</v>
      </c>
      <c r="O6921" t="s">
        <v>19447</v>
      </c>
      <c r="P6921" t="s">
        <v>19899</v>
      </c>
      <c r="Q6921" t="s">
        <v>19900</v>
      </c>
      <c r="R6921" t="s">
        <v>19905</v>
      </c>
      <c r="S6921" t="s">
        <v>19906</v>
      </c>
      <c r="T6921" t="s">
        <v>19901</v>
      </c>
    </row>
    <row r="6922" spans="2:20" x14ac:dyDescent="0.25">
      <c r="B6922" t="s">
        <v>2709</v>
      </c>
      <c r="C6922">
        <v>71123020</v>
      </c>
      <c r="D6922">
        <v>1</v>
      </c>
      <c r="E6922" t="s">
        <v>19447</v>
      </c>
      <c r="F6922">
        <v>18</v>
      </c>
      <c r="G6922">
        <v>0</v>
      </c>
      <c r="H6922">
        <v>7.6</v>
      </c>
      <c r="I6922">
        <v>1.65</v>
      </c>
      <c r="J6922">
        <v>2</v>
      </c>
      <c r="L6922" t="s">
        <v>2709</v>
      </c>
      <c r="M6922">
        <v>71123020</v>
      </c>
      <c r="N6922">
        <v>1</v>
      </c>
      <c r="O6922" t="s">
        <v>19447</v>
      </c>
      <c r="P6922" t="s">
        <v>19899</v>
      </c>
      <c r="Q6922" t="s">
        <v>19900</v>
      </c>
      <c r="R6922" t="s">
        <v>19905</v>
      </c>
      <c r="S6922" t="s">
        <v>19906</v>
      </c>
      <c r="T6922" t="s">
        <v>19901</v>
      </c>
    </row>
    <row r="6923" spans="2:20" x14ac:dyDescent="0.25">
      <c r="B6923" t="s">
        <v>2709</v>
      </c>
      <c r="C6923">
        <v>71123090</v>
      </c>
      <c r="E6923" t="s">
        <v>19447</v>
      </c>
      <c r="F6923">
        <v>18</v>
      </c>
      <c r="G6923">
        <v>0</v>
      </c>
      <c r="H6923">
        <v>7.6</v>
      </c>
      <c r="I6923">
        <v>1.65</v>
      </c>
      <c r="J6923">
        <v>6</v>
      </c>
      <c r="L6923" t="s">
        <v>2709</v>
      </c>
      <c r="M6923">
        <v>71123090</v>
      </c>
      <c r="O6923" t="s">
        <v>19447</v>
      </c>
      <c r="P6923" t="s">
        <v>19899</v>
      </c>
      <c r="Q6923" t="s">
        <v>19900</v>
      </c>
      <c r="R6923" t="s">
        <v>19905</v>
      </c>
      <c r="S6923" t="s">
        <v>19906</v>
      </c>
      <c r="T6923" t="s">
        <v>19907</v>
      </c>
    </row>
    <row r="6924" spans="2:20" x14ac:dyDescent="0.25">
      <c r="B6924" t="s">
        <v>2709</v>
      </c>
      <c r="C6924">
        <v>71123090</v>
      </c>
      <c r="D6924">
        <v>1</v>
      </c>
      <c r="E6924" t="s">
        <v>19447</v>
      </c>
      <c r="F6924">
        <v>18</v>
      </c>
      <c r="G6924">
        <v>0</v>
      </c>
      <c r="H6924">
        <v>7.6</v>
      </c>
      <c r="I6924">
        <v>1.65</v>
      </c>
      <c r="J6924">
        <v>6</v>
      </c>
      <c r="L6924" t="s">
        <v>2709</v>
      </c>
      <c r="M6924">
        <v>71123090</v>
      </c>
      <c r="N6924">
        <v>1</v>
      </c>
      <c r="O6924" t="s">
        <v>19447</v>
      </c>
      <c r="P6924" t="s">
        <v>19899</v>
      </c>
      <c r="Q6924" t="s">
        <v>19900</v>
      </c>
      <c r="R6924" t="s">
        <v>19905</v>
      </c>
      <c r="S6924" t="s">
        <v>19906</v>
      </c>
      <c r="T6924" t="s">
        <v>19907</v>
      </c>
    </row>
    <row r="6925" spans="2:20" x14ac:dyDescent="0.25">
      <c r="B6925" t="s">
        <v>2709</v>
      </c>
      <c r="C6925">
        <v>71129100</v>
      </c>
      <c r="E6925" t="s">
        <v>19447</v>
      </c>
      <c r="F6925">
        <v>18</v>
      </c>
      <c r="G6925">
        <v>0</v>
      </c>
      <c r="H6925">
        <v>7.6</v>
      </c>
      <c r="I6925">
        <v>1.65</v>
      </c>
      <c r="J6925">
        <v>2</v>
      </c>
      <c r="L6925" t="s">
        <v>2709</v>
      </c>
      <c r="M6925">
        <v>71129100</v>
      </c>
      <c r="O6925" t="s">
        <v>19447</v>
      </c>
      <c r="P6925" t="s">
        <v>19899</v>
      </c>
      <c r="Q6925" t="s">
        <v>19900</v>
      </c>
      <c r="R6925" t="s">
        <v>19905</v>
      </c>
      <c r="S6925" t="s">
        <v>19906</v>
      </c>
      <c r="T6925" t="s">
        <v>19901</v>
      </c>
    </row>
    <row r="6926" spans="2:20" x14ac:dyDescent="0.25">
      <c r="B6926" t="s">
        <v>2709</v>
      </c>
      <c r="C6926">
        <v>71129100</v>
      </c>
      <c r="D6926">
        <v>1</v>
      </c>
      <c r="E6926" t="s">
        <v>19447</v>
      </c>
      <c r="F6926">
        <v>18</v>
      </c>
      <c r="G6926">
        <v>0</v>
      </c>
      <c r="H6926">
        <v>7.6</v>
      </c>
      <c r="I6926">
        <v>1.65</v>
      </c>
      <c r="J6926">
        <v>2</v>
      </c>
      <c r="L6926" t="s">
        <v>2709</v>
      </c>
      <c r="M6926">
        <v>71129100</v>
      </c>
      <c r="N6926">
        <v>1</v>
      </c>
      <c r="O6926" t="s">
        <v>19447</v>
      </c>
      <c r="P6926" t="s">
        <v>19899</v>
      </c>
      <c r="Q6926" t="s">
        <v>19900</v>
      </c>
      <c r="R6926" t="s">
        <v>19905</v>
      </c>
      <c r="S6926" t="s">
        <v>19906</v>
      </c>
      <c r="T6926" t="s">
        <v>19901</v>
      </c>
    </row>
    <row r="6927" spans="2:20" x14ac:dyDescent="0.25">
      <c r="B6927" t="s">
        <v>2709</v>
      </c>
      <c r="C6927">
        <v>71129200</v>
      </c>
      <c r="E6927" t="s">
        <v>19447</v>
      </c>
      <c r="F6927">
        <v>18</v>
      </c>
      <c r="G6927">
        <v>0</v>
      </c>
      <c r="H6927">
        <v>7.6</v>
      </c>
      <c r="I6927">
        <v>1.65</v>
      </c>
      <c r="J6927">
        <v>2</v>
      </c>
      <c r="L6927" t="s">
        <v>2709</v>
      </c>
      <c r="M6927">
        <v>71129200</v>
      </c>
      <c r="O6927" t="s">
        <v>19447</v>
      </c>
      <c r="P6927" t="s">
        <v>19899</v>
      </c>
      <c r="Q6927" t="s">
        <v>19900</v>
      </c>
      <c r="R6927" t="s">
        <v>19905</v>
      </c>
      <c r="S6927" t="s">
        <v>19906</v>
      </c>
      <c r="T6927" t="s">
        <v>19901</v>
      </c>
    </row>
    <row r="6928" spans="2:20" x14ac:dyDescent="0.25">
      <c r="B6928" t="s">
        <v>2709</v>
      </c>
      <c r="C6928">
        <v>71129200</v>
      </c>
      <c r="D6928">
        <v>1</v>
      </c>
      <c r="E6928" t="s">
        <v>19447</v>
      </c>
      <c r="F6928">
        <v>18</v>
      </c>
      <c r="G6928">
        <v>0</v>
      </c>
      <c r="H6928">
        <v>7.6</v>
      </c>
      <c r="I6928">
        <v>1.65</v>
      </c>
      <c r="J6928">
        <v>2</v>
      </c>
      <c r="L6928" t="s">
        <v>2709</v>
      </c>
      <c r="M6928">
        <v>71129200</v>
      </c>
      <c r="N6928">
        <v>1</v>
      </c>
      <c r="O6928" t="s">
        <v>19447</v>
      </c>
      <c r="P6928" t="s">
        <v>19899</v>
      </c>
      <c r="Q6928" t="s">
        <v>19900</v>
      </c>
      <c r="R6928" t="s">
        <v>19905</v>
      </c>
      <c r="S6928" t="s">
        <v>19906</v>
      </c>
      <c r="T6928" t="s">
        <v>19901</v>
      </c>
    </row>
    <row r="6929" spans="2:20" x14ac:dyDescent="0.25">
      <c r="B6929" t="s">
        <v>2709</v>
      </c>
      <c r="C6929">
        <v>71129900</v>
      </c>
      <c r="E6929" t="s">
        <v>19447</v>
      </c>
      <c r="F6929">
        <v>18</v>
      </c>
      <c r="G6929">
        <v>0</v>
      </c>
      <c r="H6929">
        <v>7.6</v>
      </c>
      <c r="I6929">
        <v>1.65</v>
      </c>
      <c r="J6929">
        <v>6</v>
      </c>
      <c r="L6929" t="s">
        <v>2709</v>
      </c>
      <c r="M6929">
        <v>71129900</v>
      </c>
      <c r="O6929" t="s">
        <v>19447</v>
      </c>
      <c r="P6929" t="s">
        <v>19899</v>
      </c>
      <c r="Q6929" t="s">
        <v>19900</v>
      </c>
      <c r="R6929" t="s">
        <v>19905</v>
      </c>
      <c r="S6929" t="s">
        <v>19906</v>
      </c>
      <c r="T6929" t="s">
        <v>19907</v>
      </c>
    </row>
    <row r="6930" spans="2:20" x14ac:dyDescent="0.25">
      <c r="B6930" t="s">
        <v>2709</v>
      </c>
      <c r="C6930">
        <v>71129900</v>
      </c>
      <c r="D6930">
        <v>1</v>
      </c>
      <c r="E6930" t="s">
        <v>19447</v>
      </c>
      <c r="F6930">
        <v>18</v>
      </c>
      <c r="G6930">
        <v>0</v>
      </c>
      <c r="H6930">
        <v>7.6</v>
      </c>
      <c r="I6930">
        <v>1.65</v>
      </c>
      <c r="J6930">
        <v>6</v>
      </c>
      <c r="L6930" t="s">
        <v>2709</v>
      </c>
      <c r="M6930">
        <v>71129900</v>
      </c>
      <c r="N6930">
        <v>1</v>
      </c>
      <c r="O6930" t="s">
        <v>19447</v>
      </c>
      <c r="P6930" t="s">
        <v>19899</v>
      </c>
      <c r="Q6930" t="s">
        <v>19900</v>
      </c>
      <c r="R6930" t="s">
        <v>19905</v>
      </c>
      <c r="S6930" t="s">
        <v>19906</v>
      </c>
      <c r="T6930" t="s">
        <v>19907</v>
      </c>
    </row>
    <row r="6931" spans="2:20" x14ac:dyDescent="0.25">
      <c r="B6931" t="s">
        <v>2709</v>
      </c>
      <c r="C6931">
        <v>71131100</v>
      </c>
      <c r="E6931" t="s">
        <v>19447</v>
      </c>
      <c r="F6931">
        <v>18</v>
      </c>
      <c r="G6931">
        <v>12</v>
      </c>
      <c r="H6931">
        <v>7.6</v>
      </c>
      <c r="I6931">
        <v>1.65</v>
      </c>
      <c r="J6931">
        <v>18</v>
      </c>
      <c r="L6931" t="s">
        <v>2709</v>
      </c>
      <c r="M6931">
        <v>71131100</v>
      </c>
      <c r="O6931" t="s">
        <v>19447</v>
      </c>
      <c r="P6931" t="s">
        <v>19899</v>
      </c>
      <c r="Q6931" t="s">
        <v>19903</v>
      </c>
      <c r="R6931" t="s">
        <v>19905</v>
      </c>
      <c r="S6931" t="s">
        <v>19906</v>
      </c>
      <c r="T6931" t="s">
        <v>19899</v>
      </c>
    </row>
    <row r="6932" spans="2:20" x14ac:dyDescent="0.25">
      <c r="B6932" t="s">
        <v>2709</v>
      </c>
      <c r="C6932">
        <v>71131900</v>
      </c>
      <c r="E6932" t="s">
        <v>19447</v>
      </c>
      <c r="F6932">
        <v>18</v>
      </c>
      <c r="G6932">
        <v>12</v>
      </c>
      <c r="H6932">
        <v>7.6</v>
      </c>
      <c r="I6932">
        <v>1.65</v>
      </c>
      <c r="J6932">
        <v>18</v>
      </c>
      <c r="L6932" t="s">
        <v>2709</v>
      </c>
      <c r="M6932">
        <v>71131900</v>
      </c>
      <c r="O6932" t="s">
        <v>19447</v>
      </c>
      <c r="P6932" t="s">
        <v>19899</v>
      </c>
      <c r="Q6932" t="s">
        <v>19903</v>
      </c>
      <c r="R6932" t="s">
        <v>19905</v>
      </c>
      <c r="S6932" t="s">
        <v>19906</v>
      </c>
      <c r="T6932" t="s">
        <v>19899</v>
      </c>
    </row>
    <row r="6933" spans="2:20" x14ac:dyDescent="0.25">
      <c r="B6933" t="s">
        <v>2709</v>
      </c>
      <c r="C6933">
        <v>71132000</v>
      </c>
      <c r="E6933" t="s">
        <v>19447</v>
      </c>
      <c r="F6933">
        <v>18</v>
      </c>
      <c r="G6933">
        <v>12</v>
      </c>
      <c r="H6933">
        <v>7.6</v>
      </c>
      <c r="I6933">
        <v>1.65</v>
      </c>
      <c r="J6933">
        <v>18</v>
      </c>
      <c r="L6933" t="s">
        <v>2709</v>
      </c>
      <c r="M6933">
        <v>71132000</v>
      </c>
      <c r="O6933" t="s">
        <v>19447</v>
      </c>
      <c r="P6933" t="s">
        <v>19899</v>
      </c>
      <c r="Q6933" t="s">
        <v>19903</v>
      </c>
      <c r="R6933" t="s">
        <v>19905</v>
      </c>
      <c r="S6933" t="s">
        <v>19906</v>
      </c>
      <c r="T6933" t="s">
        <v>19899</v>
      </c>
    </row>
    <row r="6934" spans="2:20" x14ac:dyDescent="0.25">
      <c r="B6934" t="s">
        <v>2709</v>
      </c>
      <c r="C6934">
        <v>71141100</v>
      </c>
      <c r="E6934" t="s">
        <v>19447</v>
      </c>
      <c r="F6934">
        <v>18</v>
      </c>
      <c r="G6934">
        <v>12</v>
      </c>
      <c r="H6934">
        <v>7.6</v>
      </c>
      <c r="I6934">
        <v>1.65</v>
      </c>
      <c r="J6934">
        <v>18</v>
      </c>
      <c r="L6934" t="s">
        <v>2709</v>
      </c>
      <c r="M6934">
        <v>71141100</v>
      </c>
      <c r="O6934" t="s">
        <v>19447</v>
      </c>
      <c r="P6934" t="s">
        <v>19899</v>
      </c>
      <c r="Q6934" t="s">
        <v>19903</v>
      </c>
      <c r="R6934" t="s">
        <v>19905</v>
      </c>
      <c r="S6934" t="s">
        <v>19906</v>
      </c>
      <c r="T6934" t="s">
        <v>19899</v>
      </c>
    </row>
    <row r="6935" spans="2:20" x14ac:dyDescent="0.25">
      <c r="B6935" t="s">
        <v>2709</v>
      </c>
      <c r="C6935">
        <v>71141900</v>
      </c>
      <c r="E6935" t="s">
        <v>19447</v>
      </c>
      <c r="F6935">
        <v>18</v>
      </c>
      <c r="G6935">
        <v>12</v>
      </c>
      <c r="H6935">
        <v>7.6</v>
      </c>
      <c r="I6935">
        <v>1.65</v>
      </c>
      <c r="J6935">
        <v>18</v>
      </c>
      <c r="L6935" t="s">
        <v>2709</v>
      </c>
      <c r="M6935">
        <v>71141900</v>
      </c>
      <c r="O6935" t="s">
        <v>19447</v>
      </c>
      <c r="P6935" t="s">
        <v>19899</v>
      </c>
      <c r="Q6935" t="s">
        <v>19903</v>
      </c>
      <c r="R6935" t="s">
        <v>19905</v>
      </c>
      <c r="S6935" t="s">
        <v>19906</v>
      </c>
      <c r="T6935" t="s">
        <v>19899</v>
      </c>
    </row>
    <row r="6936" spans="2:20" x14ac:dyDescent="0.25">
      <c r="B6936" t="s">
        <v>2709</v>
      </c>
      <c r="C6936">
        <v>71142000</v>
      </c>
      <c r="E6936" t="s">
        <v>19447</v>
      </c>
      <c r="F6936">
        <v>18</v>
      </c>
      <c r="G6936">
        <v>12</v>
      </c>
      <c r="H6936">
        <v>7.6</v>
      </c>
      <c r="I6936">
        <v>1.65</v>
      </c>
      <c r="J6936">
        <v>18</v>
      </c>
      <c r="L6936" t="s">
        <v>2709</v>
      </c>
      <c r="M6936">
        <v>71142000</v>
      </c>
      <c r="O6936" t="s">
        <v>19447</v>
      </c>
      <c r="P6936" t="s">
        <v>19899</v>
      </c>
      <c r="Q6936" t="s">
        <v>19903</v>
      </c>
      <c r="R6936" t="s">
        <v>19905</v>
      </c>
      <c r="S6936" t="s">
        <v>19906</v>
      </c>
      <c r="T6936" t="s">
        <v>19899</v>
      </c>
    </row>
    <row r="6937" spans="2:20" x14ac:dyDescent="0.25">
      <c r="B6937" t="s">
        <v>2709</v>
      </c>
      <c r="C6937">
        <v>71151000</v>
      </c>
      <c r="E6937" t="s">
        <v>19447</v>
      </c>
      <c r="F6937">
        <v>18</v>
      </c>
      <c r="G6937">
        <v>10</v>
      </c>
      <c r="H6937">
        <v>7.6</v>
      </c>
      <c r="I6937">
        <v>1.65</v>
      </c>
      <c r="J6937">
        <v>18</v>
      </c>
      <c r="L6937" t="s">
        <v>2709</v>
      </c>
      <c r="M6937">
        <v>71151000</v>
      </c>
      <c r="O6937" t="s">
        <v>19447</v>
      </c>
      <c r="P6937" t="s">
        <v>19899</v>
      </c>
      <c r="Q6937" t="s">
        <v>19904</v>
      </c>
      <c r="R6937" t="s">
        <v>19905</v>
      </c>
      <c r="S6937" t="s">
        <v>19906</v>
      </c>
      <c r="T6937" t="s">
        <v>19899</v>
      </c>
    </row>
    <row r="6938" spans="2:20" x14ac:dyDescent="0.25">
      <c r="B6938" t="s">
        <v>2709</v>
      </c>
      <c r="C6938">
        <v>71159000</v>
      </c>
      <c r="E6938" t="s">
        <v>19447</v>
      </c>
      <c r="F6938">
        <v>18</v>
      </c>
      <c r="G6938">
        <v>10</v>
      </c>
      <c r="H6938">
        <v>7.6</v>
      </c>
      <c r="I6938">
        <v>1.65</v>
      </c>
      <c r="J6938">
        <v>18</v>
      </c>
      <c r="L6938" t="s">
        <v>2709</v>
      </c>
      <c r="M6938">
        <v>71159000</v>
      </c>
      <c r="O6938" t="s">
        <v>19447</v>
      </c>
      <c r="P6938" t="s">
        <v>19899</v>
      </c>
      <c r="Q6938" t="s">
        <v>19904</v>
      </c>
      <c r="R6938" t="s">
        <v>19905</v>
      </c>
      <c r="S6938" t="s">
        <v>19906</v>
      </c>
      <c r="T6938" t="s">
        <v>19899</v>
      </c>
    </row>
    <row r="6939" spans="2:20" x14ac:dyDescent="0.25">
      <c r="B6939" t="s">
        <v>2709</v>
      </c>
      <c r="C6939">
        <v>71161000</v>
      </c>
      <c r="E6939" t="s">
        <v>19447</v>
      </c>
      <c r="F6939">
        <v>18</v>
      </c>
      <c r="G6939">
        <v>12</v>
      </c>
      <c r="H6939">
        <v>7.6</v>
      </c>
      <c r="I6939">
        <v>1.65</v>
      </c>
      <c r="J6939">
        <v>18</v>
      </c>
      <c r="L6939" t="s">
        <v>2709</v>
      </c>
      <c r="M6939">
        <v>71161000</v>
      </c>
      <c r="O6939" t="s">
        <v>19447</v>
      </c>
      <c r="P6939" t="s">
        <v>19899</v>
      </c>
      <c r="Q6939" t="s">
        <v>19903</v>
      </c>
      <c r="R6939" t="s">
        <v>19905</v>
      </c>
      <c r="S6939" t="s">
        <v>19906</v>
      </c>
      <c r="T6939" t="s">
        <v>19899</v>
      </c>
    </row>
    <row r="6940" spans="2:20" x14ac:dyDescent="0.25">
      <c r="B6940" t="s">
        <v>2709</v>
      </c>
      <c r="C6940">
        <v>71162010</v>
      </c>
      <c r="E6940" t="s">
        <v>19447</v>
      </c>
      <c r="F6940">
        <v>18</v>
      </c>
      <c r="G6940">
        <v>12</v>
      </c>
      <c r="H6940">
        <v>7.6</v>
      </c>
      <c r="I6940">
        <v>1.65</v>
      </c>
      <c r="J6940">
        <v>18</v>
      </c>
      <c r="L6940" t="s">
        <v>2709</v>
      </c>
      <c r="M6940">
        <v>71162010</v>
      </c>
      <c r="O6940" t="s">
        <v>19447</v>
      </c>
      <c r="P6940" t="s">
        <v>19899</v>
      </c>
      <c r="Q6940" t="s">
        <v>19903</v>
      </c>
      <c r="R6940" t="s">
        <v>19905</v>
      </c>
      <c r="S6940" t="s">
        <v>19906</v>
      </c>
      <c r="T6940" t="s">
        <v>19899</v>
      </c>
    </row>
    <row r="6941" spans="2:20" x14ac:dyDescent="0.25">
      <c r="B6941" t="s">
        <v>2709</v>
      </c>
      <c r="C6941">
        <v>71162020</v>
      </c>
      <c r="E6941" t="s">
        <v>19447</v>
      </c>
      <c r="F6941">
        <v>12</v>
      </c>
      <c r="G6941">
        <v>12</v>
      </c>
      <c r="H6941">
        <v>7.6</v>
      </c>
      <c r="I6941">
        <v>1.65</v>
      </c>
      <c r="J6941">
        <v>0</v>
      </c>
      <c r="L6941" t="s">
        <v>2709</v>
      </c>
      <c r="M6941">
        <v>71162020</v>
      </c>
      <c r="O6941" t="s">
        <v>19447</v>
      </c>
      <c r="P6941" t="s">
        <v>19903</v>
      </c>
      <c r="Q6941" t="s">
        <v>19903</v>
      </c>
      <c r="R6941" t="s">
        <v>19905</v>
      </c>
      <c r="S6941" t="s">
        <v>19906</v>
      </c>
      <c r="T6941" t="s">
        <v>19900</v>
      </c>
    </row>
    <row r="6942" spans="2:20" x14ac:dyDescent="0.25">
      <c r="B6942" t="s">
        <v>2709</v>
      </c>
      <c r="C6942">
        <v>71162090</v>
      </c>
      <c r="E6942" t="s">
        <v>19447</v>
      </c>
      <c r="F6942">
        <v>18</v>
      </c>
      <c r="G6942">
        <v>12</v>
      </c>
      <c r="H6942">
        <v>7.6</v>
      </c>
      <c r="I6942">
        <v>1.65</v>
      </c>
      <c r="J6942">
        <v>18</v>
      </c>
      <c r="L6942" t="s">
        <v>2709</v>
      </c>
      <c r="M6942">
        <v>71162090</v>
      </c>
      <c r="O6942" t="s">
        <v>19447</v>
      </c>
      <c r="P6942" t="s">
        <v>19899</v>
      </c>
      <c r="Q6942" t="s">
        <v>19903</v>
      </c>
      <c r="R6942" t="s">
        <v>19905</v>
      </c>
      <c r="S6942" t="s">
        <v>19906</v>
      </c>
      <c r="T6942" t="s">
        <v>19899</v>
      </c>
    </row>
    <row r="6943" spans="2:20" x14ac:dyDescent="0.25">
      <c r="B6943" t="s">
        <v>2709</v>
      </c>
      <c r="C6943">
        <v>71171100</v>
      </c>
      <c r="E6943" t="s">
        <v>19447</v>
      </c>
      <c r="F6943">
        <v>18</v>
      </c>
      <c r="G6943">
        <v>12</v>
      </c>
      <c r="H6943">
        <v>7.6</v>
      </c>
      <c r="I6943">
        <v>1.65</v>
      </c>
      <c r="J6943">
        <v>18</v>
      </c>
      <c r="L6943" t="s">
        <v>2709</v>
      </c>
      <c r="M6943">
        <v>71171100</v>
      </c>
      <c r="O6943" t="s">
        <v>19447</v>
      </c>
      <c r="P6943" t="s">
        <v>19899</v>
      </c>
      <c r="Q6943" t="s">
        <v>19903</v>
      </c>
      <c r="R6943" t="s">
        <v>19905</v>
      </c>
      <c r="S6943" t="s">
        <v>19906</v>
      </c>
      <c r="T6943" t="s">
        <v>19899</v>
      </c>
    </row>
    <row r="6944" spans="2:20" x14ac:dyDescent="0.25">
      <c r="B6944" t="s">
        <v>2709</v>
      </c>
      <c r="C6944">
        <v>71171900</v>
      </c>
      <c r="E6944" t="s">
        <v>19447</v>
      </c>
      <c r="F6944">
        <v>18</v>
      </c>
      <c r="G6944">
        <v>12</v>
      </c>
      <c r="H6944">
        <v>7.6</v>
      </c>
      <c r="I6944">
        <v>1.65</v>
      </c>
      <c r="J6944">
        <v>18</v>
      </c>
      <c r="L6944" t="s">
        <v>2709</v>
      </c>
      <c r="M6944">
        <v>71171900</v>
      </c>
      <c r="O6944" t="s">
        <v>19447</v>
      </c>
      <c r="P6944" t="s">
        <v>19899</v>
      </c>
      <c r="Q6944" t="s">
        <v>19903</v>
      </c>
      <c r="R6944" t="s">
        <v>19905</v>
      </c>
      <c r="S6944" t="s">
        <v>19906</v>
      </c>
      <c r="T6944" t="s">
        <v>19899</v>
      </c>
    </row>
    <row r="6945" spans="2:20" x14ac:dyDescent="0.25">
      <c r="B6945" t="s">
        <v>2709</v>
      </c>
      <c r="C6945">
        <v>71179000</v>
      </c>
      <c r="E6945" t="s">
        <v>19447</v>
      </c>
      <c r="F6945">
        <v>18</v>
      </c>
      <c r="G6945">
        <v>12</v>
      </c>
      <c r="H6945">
        <v>7.6</v>
      </c>
      <c r="I6945">
        <v>1.65</v>
      </c>
      <c r="J6945">
        <v>18</v>
      </c>
      <c r="L6945" t="s">
        <v>2709</v>
      </c>
      <c r="M6945">
        <v>71179000</v>
      </c>
      <c r="O6945" t="s">
        <v>19447</v>
      </c>
      <c r="P6945" t="s">
        <v>19899</v>
      </c>
      <c r="Q6945" t="s">
        <v>19903</v>
      </c>
      <c r="R6945" t="s">
        <v>19905</v>
      </c>
      <c r="S6945" t="s">
        <v>19906</v>
      </c>
      <c r="T6945" t="s">
        <v>19899</v>
      </c>
    </row>
    <row r="6946" spans="2:20" x14ac:dyDescent="0.25">
      <c r="B6946" t="s">
        <v>2709</v>
      </c>
      <c r="C6946">
        <v>71181010</v>
      </c>
      <c r="E6946" t="s">
        <v>19447</v>
      </c>
      <c r="F6946">
        <v>18</v>
      </c>
      <c r="G6946">
        <v>0</v>
      </c>
      <c r="H6946">
        <v>7.6</v>
      </c>
      <c r="I6946">
        <v>1.65</v>
      </c>
      <c r="J6946">
        <v>16</v>
      </c>
      <c r="L6946" t="s">
        <v>2709</v>
      </c>
      <c r="M6946">
        <v>71181010</v>
      </c>
      <c r="O6946" t="s">
        <v>19447</v>
      </c>
      <c r="P6946" t="s">
        <v>19899</v>
      </c>
      <c r="Q6946" t="s">
        <v>19900</v>
      </c>
      <c r="R6946" t="s">
        <v>19905</v>
      </c>
      <c r="S6946" t="s">
        <v>19906</v>
      </c>
      <c r="T6946" t="s">
        <v>19913</v>
      </c>
    </row>
    <row r="6947" spans="2:20" x14ac:dyDescent="0.25">
      <c r="B6947" t="s">
        <v>2709</v>
      </c>
      <c r="C6947">
        <v>71181090</v>
      </c>
      <c r="E6947" t="s">
        <v>19447</v>
      </c>
      <c r="F6947">
        <v>18</v>
      </c>
      <c r="G6947">
        <v>0</v>
      </c>
      <c r="H6947">
        <v>7.6</v>
      </c>
      <c r="I6947">
        <v>1.65</v>
      </c>
      <c r="J6947">
        <v>0</v>
      </c>
      <c r="L6947" t="s">
        <v>2709</v>
      </c>
      <c r="M6947">
        <v>71181090</v>
      </c>
      <c r="O6947" t="s">
        <v>19447</v>
      </c>
      <c r="P6947" t="s">
        <v>19899</v>
      </c>
      <c r="Q6947" t="s">
        <v>19900</v>
      </c>
      <c r="R6947" t="s">
        <v>19905</v>
      </c>
      <c r="S6947" t="s">
        <v>19906</v>
      </c>
      <c r="T6947" t="s">
        <v>19900</v>
      </c>
    </row>
    <row r="6948" spans="2:20" x14ac:dyDescent="0.25">
      <c r="B6948" t="s">
        <v>2709</v>
      </c>
      <c r="C6948">
        <v>71189000</v>
      </c>
      <c r="E6948" t="s">
        <v>19447</v>
      </c>
      <c r="F6948">
        <v>18</v>
      </c>
      <c r="G6948">
        <v>0</v>
      </c>
      <c r="H6948">
        <v>7.6</v>
      </c>
      <c r="I6948">
        <v>1.65</v>
      </c>
      <c r="J6948">
        <v>18</v>
      </c>
      <c r="L6948" t="s">
        <v>2709</v>
      </c>
      <c r="M6948">
        <v>71189000</v>
      </c>
      <c r="O6948" t="s">
        <v>19447</v>
      </c>
      <c r="P6948" t="s">
        <v>19899</v>
      </c>
      <c r="Q6948" t="s">
        <v>19900</v>
      </c>
      <c r="R6948" t="s">
        <v>19905</v>
      </c>
      <c r="S6948" t="s">
        <v>19906</v>
      </c>
      <c r="T6948" t="s">
        <v>19899</v>
      </c>
    </row>
    <row r="6949" spans="2:20" x14ac:dyDescent="0.25">
      <c r="B6949" t="s">
        <v>2709</v>
      </c>
      <c r="C6949">
        <v>72011000</v>
      </c>
      <c r="E6949">
        <v>44</v>
      </c>
      <c r="F6949">
        <v>18</v>
      </c>
      <c r="G6949">
        <v>5</v>
      </c>
      <c r="H6949">
        <v>7.6</v>
      </c>
      <c r="I6949">
        <v>1.65</v>
      </c>
      <c r="J6949">
        <v>4</v>
      </c>
      <c r="L6949" t="s">
        <v>2709</v>
      </c>
      <c r="M6949">
        <v>72011000</v>
      </c>
      <c r="O6949" t="s">
        <v>20122</v>
      </c>
      <c r="P6949" t="s">
        <v>19899</v>
      </c>
      <c r="Q6949" t="s">
        <v>19909</v>
      </c>
      <c r="R6949" t="s">
        <v>19905</v>
      </c>
      <c r="S6949" t="s">
        <v>19906</v>
      </c>
      <c r="T6949" t="s">
        <v>19902</v>
      </c>
    </row>
    <row r="6950" spans="2:20" x14ac:dyDescent="0.25">
      <c r="B6950" t="s">
        <v>2709</v>
      </c>
      <c r="C6950">
        <v>72012000</v>
      </c>
      <c r="E6950">
        <v>44</v>
      </c>
      <c r="F6950">
        <v>18</v>
      </c>
      <c r="G6950">
        <v>5</v>
      </c>
      <c r="H6950">
        <v>7.6</v>
      </c>
      <c r="I6950">
        <v>1.65</v>
      </c>
      <c r="J6950">
        <v>4</v>
      </c>
      <c r="L6950" t="s">
        <v>2709</v>
      </c>
      <c r="M6950">
        <v>72012000</v>
      </c>
      <c r="O6950" t="s">
        <v>20122</v>
      </c>
      <c r="P6950" t="s">
        <v>19899</v>
      </c>
      <c r="Q6950" t="s">
        <v>19909</v>
      </c>
      <c r="R6950" t="s">
        <v>19905</v>
      </c>
      <c r="S6950" t="s">
        <v>19906</v>
      </c>
      <c r="T6950" t="s">
        <v>19902</v>
      </c>
    </row>
    <row r="6951" spans="2:20" x14ac:dyDescent="0.25">
      <c r="B6951" t="s">
        <v>2709</v>
      </c>
      <c r="C6951">
        <v>72015000</v>
      </c>
      <c r="E6951">
        <v>44</v>
      </c>
      <c r="F6951">
        <v>18</v>
      </c>
      <c r="G6951">
        <v>5</v>
      </c>
      <c r="H6951">
        <v>7.6</v>
      </c>
      <c r="I6951">
        <v>1.65</v>
      </c>
      <c r="J6951">
        <v>4</v>
      </c>
      <c r="L6951" t="s">
        <v>2709</v>
      </c>
      <c r="M6951">
        <v>72015000</v>
      </c>
      <c r="O6951" t="s">
        <v>20122</v>
      </c>
      <c r="P6951" t="s">
        <v>19899</v>
      </c>
      <c r="Q6951" t="s">
        <v>19909</v>
      </c>
      <c r="R6951" t="s">
        <v>19905</v>
      </c>
      <c r="S6951" t="s">
        <v>19906</v>
      </c>
      <c r="T6951" t="s">
        <v>19902</v>
      </c>
    </row>
    <row r="6952" spans="2:20" x14ac:dyDescent="0.25">
      <c r="B6952" t="s">
        <v>2709</v>
      </c>
      <c r="C6952">
        <v>72021100</v>
      </c>
      <c r="E6952">
        <v>44</v>
      </c>
      <c r="F6952">
        <v>18</v>
      </c>
      <c r="G6952">
        <v>5</v>
      </c>
      <c r="H6952">
        <v>7.6</v>
      </c>
      <c r="I6952">
        <v>1.65</v>
      </c>
      <c r="J6952">
        <v>6</v>
      </c>
      <c r="L6952" t="s">
        <v>2709</v>
      </c>
      <c r="M6952">
        <v>72021100</v>
      </c>
      <c r="O6952" t="s">
        <v>20122</v>
      </c>
      <c r="P6952" t="s">
        <v>19899</v>
      </c>
      <c r="Q6952" t="s">
        <v>19909</v>
      </c>
      <c r="R6952" t="s">
        <v>19905</v>
      </c>
      <c r="S6952" t="s">
        <v>19906</v>
      </c>
      <c r="T6952" t="s">
        <v>19907</v>
      </c>
    </row>
    <row r="6953" spans="2:20" x14ac:dyDescent="0.25">
      <c r="B6953" t="s">
        <v>2709</v>
      </c>
      <c r="C6953">
        <v>72021900</v>
      </c>
      <c r="E6953">
        <v>44</v>
      </c>
      <c r="F6953">
        <v>18</v>
      </c>
      <c r="G6953">
        <v>5</v>
      </c>
      <c r="H6953">
        <v>7.6</v>
      </c>
      <c r="I6953">
        <v>1.65</v>
      </c>
      <c r="J6953">
        <v>6</v>
      </c>
      <c r="L6953" t="s">
        <v>2709</v>
      </c>
      <c r="M6953">
        <v>72021900</v>
      </c>
      <c r="O6953" t="s">
        <v>20122</v>
      </c>
      <c r="P6953" t="s">
        <v>19899</v>
      </c>
      <c r="Q6953" t="s">
        <v>19909</v>
      </c>
      <c r="R6953" t="s">
        <v>19905</v>
      </c>
      <c r="S6953" t="s">
        <v>19906</v>
      </c>
      <c r="T6953" t="s">
        <v>19907</v>
      </c>
    </row>
    <row r="6954" spans="2:20" x14ac:dyDescent="0.25">
      <c r="B6954" t="s">
        <v>2709</v>
      </c>
      <c r="C6954">
        <v>72022100</v>
      </c>
      <c r="E6954">
        <v>44</v>
      </c>
      <c r="F6954">
        <v>18</v>
      </c>
      <c r="G6954">
        <v>5</v>
      </c>
      <c r="H6954">
        <v>7.6</v>
      </c>
      <c r="I6954">
        <v>1.65</v>
      </c>
      <c r="J6954">
        <v>6</v>
      </c>
      <c r="L6954" t="s">
        <v>2709</v>
      </c>
      <c r="M6954">
        <v>72022100</v>
      </c>
      <c r="O6954" t="s">
        <v>20122</v>
      </c>
      <c r="P6954" t="s">
        <v>19899</v>
      </c>
      <c r="Q6954" t="s">
        <v>19909</v>
      </c>
      <c r="R6954" t="s">
        <v>19905</v>
      </c>
      <c r="S6954" t="s">
        <v>19906</v>
      </c>
      <c r="T6954" t="s">
        <v>19907</v>
      </c>
    </row>
    <row r="6955" spans="2:20" x14ac:dyDescent="0.25">
      <c r="B6955" t="s">
        <v>2709</v>
      </c>
      <c r="C6955">
        <v>72022900</v>
      </c>
      <c r="E6955">
        <v>44</v>
      </c>
      <c r="F6955">
        <v>18</v>
      </c>
      <c r="G6955">
        <v>5</v>
      </c>
      <c r="H6955">
        <v>7.6</v>
      </c>
      <c r="I6955">
        <v>1.65</v>
      </c>
      <c r="J6955">
        <v>6</v>
      </c>
      <c r="L6955" t="s">
        <v>2709</v>
      </c>
      <c r="M6955">
        <v>72022900</v>
      </c>
      <c r="O6955" t="s">
        <v>20122</v>
      </c>
      <c r="P6955" t="s">
        <v>19899</v>
      </c>
      <c r="Q6955" t="s">
        <v>19909</v>
      </c>
      <c r="R6955" t="s">
        <v>19905</v>
      </c>
      <c r="S6955" t="s">
        <v>19906</v>
      </c>
      <c r="T6955" t="s">
        <v>19907</v>
      </c>
    </row>
    <row r="6956" spans="2:20" x14ac:dyDescent="0.25">
      <c r="B6956" t="s">
        <v>2709</v>
      </c>
      <c r="C6956">
        <v>72023000</v>
      </c>
      <c r="E6956">
        <v>44</v>
      </c>
      <c r="F6956">
        <v>18</v>
      </c>
      <c r="G6956">
        <v>5</v>
      </c>
      <c r="H6956">
        <v>7.6</v>
      </c>
      <c r="I6956">
        <v>1.65</v>
      </c>
      <c r="J6956">
        <v>6</v>
      </c>
      <c r="L6956" t="s">
        <v>2709</v>
      </c>
      <c r="M6956">
        <v>72023000</v>
      </c>
      <c r="O6956" t="s">
        <v>20122</v>
      </c>
      <c r="P6956" t="s">
        <v>19899</v>
      </c>
      <c r="Q6956" t="s">
        <v>19909</v>
      </c>
      <c r="R6956" t="s">
        <v>19905</v>
      </c>
      <c r="S6956" t="s">
        <v>19906</v>
      </c>
      <c r="T6956" t="s">
        <v>19907</v>
      </c>
    </row>
    <row r="6957" spans="2:20" x14ac:dyDescent="0.25">
      <c r="B6957" t="s">
        <v>2709</v>
      </c>
      <c r="C6957">
        <v>72024100</v>
      </c>
      <c r="E6957">
        <v>44</v>
      </c>
      <c r="F6957">
        <v>18</v>
      </c>
      <c r="G6957">
        <v>5</v>
      </c>
      <c r="H6957">
        <v>7.6</v>
      </c>
      <c r="I6957">
        <v>1.65</v>
      </c>
      <c r="J6957">
        <v>6</v>
      </c>
      <c r="L6957" t="s">
        <v>2709</v>
      </c>
      <c r="M6957">
        <v>72024100</v>
      </c>
      <c r="O6957" t="s">
        <v>20122</v>
      </c>
      <c r="P6957" t="s">
        <v>19899</v>
      </c>
      <c r="Q6957" t="s">
        <v>19909</v>
      </c>
      <c r="R6957" t="s">
        <v>19905</v>
      </c>
      <c r="S6957" t="s">
        <v>19906</v>
      </c>
      <c r="T6957" t="s">
        <v>19907</v>
      </c>
    </row>
    <row r="6958" spans="2:20" x14ac:dyDescent="0.25">
      <c r="B6958" t="s">
        <v>2709</v>
      </c>
      <c r="C6958">
        <v>72024900</v>
      </c>
      <c r="E6958">
        <v>44</v>
      </c>
      <c r="F6958">
        <v>18</v>
      </c>
      <c r="G6958">
        <v>5</v>
      </c>
      <c r="H6958">
        <v>7.6</v>
      </c>
      <c r="I6958">
        <v>1.65</v>
      </c>
      <c r="J6958">
        <v>6</v>
      </c>
      <c r="L6958" t="s">
        <v>2709</v>
      </c>
      <c r="M6958">
        <v>72024900</v>
      </c>
      <c r="O6958" t="s">
        <v>20122</v>
      </c>
      <c r="P6958" t="s">
        <v>19899</v>
      </c>
      <c r="Q6958" t="s">
        <v>19909</v>
      </c>
      <c r="R6958" t="s">
        <v>19905</v>
      </c>
      <c r="S6958" t="s">
        <v>19906</v>
      </c>
      <c r="T6958" t="s">
        <v>19907</v>
      </c>
    </row>
    <row r="6959" spans="2:20" x14ac:dyDescent="0.25">
      <c r="B6959" t="s">
        <v>2709</v>
      </c>
      <c r="C6959">
        <v>72025000</v>
      </c>
      <c r="E6959">
        <v>44</v>
      </c>
      <c r="F6959">
        <v>18</v>
      </c>
      <c r="G6959">
        <v>5</v>
      </c>
      <c r="H6959">
        <v>7.6</v>
      </c>
      <c r="I6959">
        <v>1.65</v>
      </c>
      <c r="J6959">
        <v>6</v>
      </c>
      <c r="L6959" t="s">
        <v>2709</v>
      </c>
      <c r="M6959">
        <v>72025000</v>
      </c>
      <c r="O6959" t="s">
        <v>20122</v>
      </c>
      <c r="P6959" t="s">
        <v>19899</v>
      </c>
      <c r="Q6959" t="s">
        <v>19909</v>
      </c>
      <c r="R6959" t="s">
        <v>19905</v>
      </c>
      <c r="S6959" t="s">
        <v>19906</v>
      </c>
      <c r="T6959" t="s">
        <v>19907</v>
      </c>
    </row>
    <row r="6960" spans="2:20" x14ac:dyDescent="0.25">
      <c r="B6960" t="s">
        <v>2709</v>
      </c>
      <c r="C6960">
        <v>72026000</v>
      </c>
      <c r="E6960">
        <v>44</v>
      </c>
      <c r="F6960">
        <v>18</v>
      </c>
      <c r="G6960">
        <v>5</v>
      </c>
      <c r="H6960">
        <v>7.6</v>
      </c>
      <c r="I6960">
        <v>1.65</v>
      </c>
      <c r="J6960">
        <v>6</v>
      </c>
      <c r="L6960" t="s">
        <v>2709</v>
      </c>
      <c r="M6960">
        <v>72026000</v>
      </c>
      <c r="O6960" t="s">
        <v>20122</v>
      </c>
      <c r="P6960" t="s">
        <v>19899</v>
      </c>
      <c r="Q6960" t="s">
        <v>19909</v>
      </c>
      <c r="R6960" t="s">
        <v>19905</v>
      </c>
      <c r="S6960" t="s">
        <v>19906</v>
      </c>
      <c r="T6960" t="s">
        <v>19907</v>
      </c>
    </row>
    <row r="6961" spans="2:20" x14ac:dyDescent="0.25">
      <c r="B6961" t="s">
        <v>2709</v>
      </c>
      <c r="C6961">
        <v>72027000</v>
      </c>
      <c r="E6961">
        <v>44</v>
      </c>
      <c r="F6961">
        <v>18</v>
      </c>
      <c r="G6961">
        <v>5</v>
      </c>
      <c r="H6961">
        <v>7.6</v>
      </c>
      <c r="I6961">
        <v>1.65</v>
      </c>
      <c r="J6961">
        <v>6</v>
      </c>
      <c r="L6961" t="s">
        <v>2709</v>
      </c>
      <c r="M6961">
        <v>72027000</v>
      </c>
      <c r="O6961" t="s">
        <v>20122</v>
      </c>
      <c r="P6961" t="s">
        <v>19899</v>
      </c>
      <c r="Q6961" t="s">
        <v>19909</v>
      </c>
      <c r="R6961" t="s">
        <v>19905</v>
      </c>
      <c r="S6961" t="s">
        <v>19906</v>
      </c>
      <c r="T6961" t="s">
        <v>19907</v>
      </c>
    </row>
    <row r="6962" spans="2:20" x14ac:dyDescent="0.25">
      <c r="B6962" t="s">
        <v>2709</v>
      </c>
      <c r="C6962">
        <v>72028000</v>
      </c>
      <c r="E6962">
        <v>44</v>
      </c>
      <c r="F6962">
        <v>18</v>
      </c>
      <c r="G6962">
        <v>5</v>
      </c>
      <c r="H6962">
        <v>7.6</v>
      </c>
      <c r="I6962">
        <v>1.65</v>
      </c>
      <c r="J6962">
        <v>6</v>
      </c>
      <c r="L6962" t="s">
        <v>2709</v>
      </c>
      <c r="M6962">
        <v>72028000</v>
      </c>
      <c r="O6962" t="s">
        <v>20122</v>
      </c>
      <c r="P6962" t="s">
        <v>19899</v>
      </c>
      <c r="Q6962" t="s">
        <v>19909</v>
      </c>
      <c r="R6962" t="s">
        <v>19905</v>
      </c>
      <c r="S6962" t="s">
        <v>19906</v>
      </c>
      <c r="T6962" t="s">
        <v>19907</v>
      </c>
    </row>
    <row r="6963" spans="2:20" x14ac:dyDescent="0.25">
      <c r="B6963" t="s">
        <v>2709</v>
      </c>
      <c r="C6963">
        <v>72029100</v>
      </c>
      <c r="E6963">
        <v>44</v>
      </c>
      <c r="F6963">
        <v>18</v>
      </c>
      <c r="G6963">
        <v>5</v>
      </c>
      <c r="H6963">
        <v>7.6</v>
      </c>
      <c r="I6963">
        <v>1.65</v>
      </c>
      <c r="J6963">
        <v>6</v>
      </c>
      <c r="L6963" t="s">
        <v>2709</v>
      </c>
      <c r="M6963">
        <v>72029100</v>
      </c>
      <c r="O6963" t="s">
        <v>20122</v>
      </c>
      <c r="P6963" t="s">
        <v>19899</v>
      </c>
      <c r="Q6963" t="s">
        <v>19909</v>
      </c>
      <c r="R6963" t="s">
        <v>19905</v>
      </c>
      <c r="S6963" t="s">
        <v>19906</v>
      </c>
      <c r="T6963" t="s">
        <v>19907</v>
      </c>
    </row>
    <row r="6964" spans="2:20" x14ac:dyDescent="0.25">
      <c r="B6964" t="s">
        <v>2709</v>
      </c>
      <c r="C6964">
        <v>72029200</v>
      </c>
      <c r="E6964">
        <v>44</v>
      </c>
      <c r="F6964">
        <v>18</v>
      </c>
      <c r="G6964">
        <v>5</v>
      </c>
      <c r="H6964">
        <v>7.6</v>
      </c>
      <c r="I6964">
        <v>1.65</v>
      </c>
      <c r="J6964">
        <v>6</v>
      </c>
      <c r="L6964" t="s">
        <v>2709</v>
      </c>
      <c r="M6964">
        <v>72029200</v>
      </c>
      <c r="O6964" t="s">
        <v>20122</v>
      </c>
      <c r="P6964" t="s">
        <v>19899</v>
      </c>
      <c r="Q6964" t="s">
        <v>19909</v>
      </c>
      <c r="R6964" t="s">
        <v>19905</v>
      </c>
      <c r="S6964" t="s">
        <v>19906</v>
      </c>
      <c r="T6964" t="s">
        <v>19907</v>
      </c>
    </row>
    <row r="6965" spans="2:20" x14ac:dyDescent="0.25">
      <c r="B6965" t="s">
        <v>2709</v>
      </c>
      <c r="C6965">
        <v>72029300</v>
      </c>
      <c r="E6965">
        <v>44</v>
      </c>
      <c r="F6965">
        <v>18</v>
      </c>
      <c r="G6965">
        <v>5</v>
      </c>
      <c r="H6965">
        <v>7.6</v>
      </c>
      <c r="I6965">
        <v>1.65</v>
      </c>
      <c r="J6965">
        <v>6</v>
      </c>
      <c r="L6965" t="s">
        <v>2709</v>
      </c>
      <c r="M6965">
        <v>72029300</v>
      </c>
      <c r="O6965" t="s">
        <v>20122</v>
      </c>
      <c r="P6965" t="s">
        <v>19899</v>
      </c>
      <c r="Q6965" t="s">
        <v>19909</v>
      </c>
      <c r="R6965" t="s">
        <v>19905</v>
      </c>
      <c r="S6965" t="s">
        <v>19906</v>
      </c>
      <c r="T6965" t="s">
        <v>19907</v>
      </c>
    </row>
    <row r="6966" spans="2:20" x14ac:dyDescent="0.25">
      <c r="B6966" t="s">
        <v>2709</v>
      </c>
      <c r="C6966">
        <v>72029910</v>
      </c>
      <c r="E6966">
        <v>44</v>
      </c>
      <c r="F6966">
        <v>18</v>
      </c>
      <c r="G6966">
        <v>5</v>
      </c>
      <c r="H6966">
        <v>7.6</v>
      </c>
      <c r="I6966">
        <v>1.65</v>
      </c>
      <c r="J6966">
        <v>6</v>
      </c>
      <c r="L6966" t="s">
        <v>2709</v>
      </c>
      <c r="M6966">
        <v>72029910</v>
      </c>
      <c r="O6966" t="s">
        <v>20122</v>
      </c>
      <c r="P6966" t="s">
        <v>19899</v>
      </c>
      <c r="Q6966" t="s">
        <v>19909</v>
      </c>
      <c r="R6966" t="s">
        <v>19905</v>
      </c>
      <c r="S6966" t="s">
        <v>19906</v>
      </c>
      <c r="T6966" t="s">
        <v>19907</v>
      </c>
    </row>
    <row r="6967" spans="2:20" x14ac:dyDescent="0.25">
      <c r="B6967" t="s">
        <v>2709</v>
      </c>
      <c r="C6967">
        <v>72029990</v>
      </c>
      <c r="E6967">
        <v>44</v>
      </c>
      <c r="F6967">
        <v>18</v>
      </c>
      <c r="G6967">
        <v>5</v>
      </c>
      <c r="H6967">
        <v>7.6</v>
      </c>
      <c r="I6967">
        <v>1.65</v>
      </c>
      <c r="J6967">
        <v>6</v>
      </c>
      <c r="L6967" t="s">
        <v>2709</v>
      </c>
      <c r="M6967">
        <v>72029990</v>
      </c>
      <c r="O6967" t="s">
        <v>20122</v>
      </c>
      <c r="P6967" t="s">
        <v>19899</v>
      </c>
      <c r="Q6967" t="s">
        <v>19909</v>
      </c>
      <c r="R6967" t="s">
        <v>19905</v>
      </c>
      <c r="S6967" t="s">
        <v>19906</v>
      </c>
      <c r="T6967" t="s">
        <v>19907</v>
      </c>
    </row>
    <row r="6968" spans="2:20" x14ac:dyDescent="0.25">
      <c r="B6968" t="s">
        <v>2709</v>
      </c>
      <c r="C6968">
        <v>72031000</v>
      </c>
      <c r="E6968">
        <v>44</v>
      </c>
      <c r="F6968">
        <v>18</v>
      </c>
      <c r="G6968">
        <v>5</v>
      </c>
      <c r="H6968">
        <v>7.6</v>
      </c>
      <c r="I6968">
        <v>1.65</v>
      </c>
      <c r="J6968">
        <v>2</v>
      </c>
      <c r="L6968" t="s">
        <v>2709</v>
      </c>
      <c r="M6968">
        <v>72031000</v>
      </c>
      <c r="O6968" t="s">
        <v>20122</v>
      </c>
      <c r="P6968" t="s">
        <v>19899</v>
      </c>
      <c r="Q6968" t="s">
        <v>19909</v>
      </c>
      <c r="R6968" t="s">
        <v>19905</v>
      </c>
      <c r="S6968" t="s">
        <v>19906</v>
      </c>
      <c r="T6968" t="s">
        <v>19901</v>
      </c>
    </row>
    <row r="6969" spans="2:20" x14ac:dyDescent="0.25">
      <c r="B6969" t="s">
        <v>2709</v>
      </c>
      <c r="C6969">
        <v>72039000</v>
      </c>
      <c r="E6969">
        <v>44</v>
      </c>
      <c r="F6969">
        <v>18</v>
      </c>
      <c r="G6969">
        <v>5</v>
      </c>
      <c r="H6969">
        <v>7.6</v>
      </c>
      <c r="I6969">
        <v>1.65</v>
      </c>
      <c r="J6969">
        <v>2</v>
      </c>
      <c r="L6969" t="s">
        <v>2709</v>
      </c>
      <c r="M6969">
        <v>72039000</v>
      </c>
      <c r="O6969" t="s">
        <v>20122</v>
      </c>
      <c r="P6969" t="s">
        <v>19899</v>
      </c>
      <c r="Q6969" t="s">
        <v>19909</v>
      </c>
      <c r="R6969" t="s">
        <v>19905</v>
      </c>
      <c r="S6969" t="s">
        <v>19906</v>
      </c>
      <c r="T6969" t="s">
        <v>19901</v>
      </c>
    </row>
    <row r="6970" spans="2:20" x14ac:dyDescent="0.25">
      <c r="B6970" t="s">
        <v>2709</v>
      </c>
      <c r="C6970">
        <v>72041000</v>
      </c>
      <c r="E6970">
        <v>44</v>
      </c>
      <c r="F6970">
        <v>18</v>
      </c>
      <c r="G6970">
        <v>0</v>
      </c>
      <c r="H6970" t="s">
        <v>19447</v>
      </c>
      <c r="I6970" t="s">
        <v>19447</v>
      </c>
      <c r="J6970">
        <v>0</v>
      </c>
      <c r="L6970" t="s">
        <v>2709</v>
      </c>
      <c r="M6970">
        <v>72041000</v>
      </c>
      <c r="O6970" t="s">
        <v>20122</v>
      </c>
      <c r="P6970" t="s">
        <v>19899</v>
      </c>
      <c r="Q6970" t="s">
        <v>19900</v>
      </c>
      <c r="R6970" t="s">
        <v>19447</v>
      </c>
      <c r="S6970" t="s">
        <v>19447</v>
      </c>
      <c r="T6970" t="s">
        <v>19900</v>
      </c>
    </row>
    <row r="6971" spans="2:20" x14ac:dyDescent="0.25">
      <c r="B6971" t="s">
        <v>2709</v>
      </c>
      <c r="C6971">
        <v>72042100</v>
      </c>
      <c r="E6971">
        <v>44</v>
      </c>
      <c r="F6971">
        <v>18</v>
      </c>
      <c r="G6971">
        <v>0</v>
      </c>
      <c r="H6971" t="s">
        <v>19447</v>
      </c>
      <c r="I6971" t="s">
        <v>19447</v>
      </c>
      <c r="J6971">
        <v>0</v>
      </c>
      <c r="L6971" t="s">
        <v>2709</v>
      </c>
      <c r="M6971">
        <v>72042100</v>
      </c>
      <c r="O6971" t="s">
        <v>20122</v>
      </c>
      <c r="P6971" t="s">
        <v>19899</v>
      </c>
      <c r="Q6971" t="s">
        <v>19900</v>
      </c>
      <c r="R6971" t="s">
        <v>19447</v>
      </c>
      <c r="S6971" t="s">
        <v>19447</v>
      </c>
      <c r="T6971" t="s">
        <v>19900</v>
      </c>
    </row>
    <row r="6972" spans="2:20" x14ac:dyDescent="0.25">
      <c r="B6972" t="s">
        <v>2709</v>
      </c>
      <c r="C6972">
        <v>72042900</v>
      </c>
      <c r="E6972">
        <v>44</v>
      </c>
      <c r="F6972">
        <v>18</v>
      </c>
      <c r="G6972">
        <v>0</v>
      </c>
      <c r="H6972" t="s">
        <v>19447</v>
      </c>
      <c r="I6972" t="s">
        <v>19447</v>
      </c>
      <c r="J6972">
        <v>0</v>
      </c>
      <c r="L6972" t="s">
        <v>2709</v>
      </c>
      <c r="M6972">
        <v>72042900</v>
      </c>
      <c r="O6972" t="s">
        <v>20122</v>
      </c>
      <c r="P6972" t="s">
        <v>19899</v>
      </c>
      <c r="Q6972" t="s">
        <v>19900</v>
      </c>
      <c r="R6972" t="s">
        <v>19447</v>
      </c>
      <c r="S6972" t="s">
        <v>19447</v>
      </c>
      <c r="T6972" t="s">
        <v>19900</v>
      </c>
    </row>
    <row r="6973" spans="2:20" x14ac:dyDescent="0.25">
      <c r="B6973" t="s">
        <v>2709</v>
      </c>
      <c r="C6973">
        <v>72043000</v>
      </c>
      <c r="E6973">
        <v>44</v>
      </c>
      <c r="F6973">
        <v>18</v>
      </c>
      <c r="G6973">
        <v>0</v>
      </c>
      <c r="H6973" t="s">
        <v>19447</v>
      </c>
      <c r="I6973" t="s">
        <v>19447</v>
      </c>
      <c r="J6973">
        <v>0</v>
      </c>
      <c r="L6973" t="s">
        <v>2709</v>
      </c>
      <c r="M6973">
        <v>72043000</v>
      </c>
      <c r="O6973" t="s">
        <v>20122</v>
      </c>
      <c r="P6973" t="s">
        <v>19899</v>
      </c>
      <c r="Q6973" t="s">
        <v>19900</v>
      </c>
      <c r="R6973" t="s">
        <v>19447</v>
      </c>
      <c r="S6973" t="s">
        <v>19447</v>
      </c>
      <c r="T6973" t="s">
        <v>19900</v>
      </c>
    </row>
    <row r="6974" spans="2:20" x14ac:dyDescent="0.25">
      <c r="B6974" t="s">
        <v>2709</v>
      </c>
      <c r="C6974">
        <v>72044100</v>
      </c>
      <c r="E6974">
        <v>44</v>
      </c>
      <c r="F6974">
        <v>18</v>
      </c>
      <c r="G6974">
        <v>0</v>
      </c>
      <c r="H6974" t="s">
        <v>19447</v>
      </c>
      <c r="I6974" t="s">
        <v>19447</v>
      </c>
      <c r="J6974">
        <v>0</v>
      </c>
      <c r="L6974" t="s">
        <v>2709</v>
      </c>
      <c r="M6974">
        <v>72044100</v>
      </c>
      <c r="O6974" t="s">
        <v>20122</v>
      </c>
      <c r="P6974" t="s">
        <v>19899</v>
      </c>
      <c r="Q6974" t="s">
        <v>19900</v>
      </c>
      <c r="R6974" t="s">
        <v>19447</v>
      </c>
      <c r="S6974" t="s">
        <v>19447</v>
      </c>
      <c r="T6974" t="s">
        <v>19900</v>
      </c>
    </row>
    <row r="6975" spans="2:20" x14ac:dyDescent="0.25">
      <c r="B6975" t="s">
        <v>2709</v>
      </c>
      <c r="C6975">
        <v>72044900</v>
      </c>
      <c r="E6975">
        <v>44</v>
      </c>
      <c r="F6975">
        <v>18</v>
      </c>
      <c r="G6975">
        <v>0</v>
      </c>
      <c r="H6975" t="s">
        <v>19447</v>
      </c>
      <c r="I6975" t="s">
        <v>19447</v>
      </c>
      <c r="J6975">
        <v>0</v>
      </c>
      <c r="L6975" t="s">
        <v>2709</v>
      </c>
      <c r="M6975">
        <v>72044900</v>
      </c>
      <c r="O6975" t="s">
        <v>20122</v>
      </c>
      <c r="P6975" t="s">
        <v>19899</v>
      </c>
      <c r="Q6975" t="s">
        <v>19900</v>
      </c>
      <c r="R6975" t="s">
        <v>19447</v>
      </c>
      <c r="S6975" t="s">
        <v>19447</v>
      </c>
      <c r="T6975" t="s">
        <v>19900</v>
      </c>
    </row>
    <row r="6976" spans="2:20" x14ac:dyDescent="0.25">
      <c r="B6976" t="s">
        <v>2709</v>
      </c>
      <c r="C6976">
        <v>72045000</v>
      </c>
      <c r="E6976">
        <v>44</v>
      </c>
      <c r="F6976">
        <v>18</v>
      </c>
      <c r="G6976">
        <v>5</v>
      </c>
      <c r="H6976" t="s">
        <v>19447</v>
      </c>
      <c r="I6976" t="s">
        <v>19447</v>
      </c>
      <c r="J6976">
        <v>0</v>
      </c>
      <c r="L6976" t="s">
        <v>2709</v>
      </c>
      <c r="M6976">
        <v>72045000</v>
      </c>
      <c r="O6976" t="s">
        <v>20122</v>
      </c>
      <c r="P6976" t="s">
        <v>19899</v>
      </c>
      <c r="Q6976" t="s">
        <v>19909</v>
      </c>
      <c r="R6976" t="s">
        <v>19447</v>
      </c>
      <c r="S6976" t="s">
        <v>19447</v>
      </c>
      <c r="T6976" t="s">
        <v>19900</v>
      </c>
    </row>
    <row r="6977" spans="2:20" x14ac:dyDescent="0.25">
      <c r="B6977" t="s">
        <v>2709</v>
      </c>
      <c r="C6977">
        <v>72051000</v>
      </c>
      <c r="E6977">
        <v>44</v>
      </c>
      <c r="F6977">
        <v>18</v>
      </c>
      <c r="G6977">
        <v>5</v>
      </c>
      <c r="H6977">
        <v>7.6</v>
      </c>
      <c r="I6977">
        <v>1.65</v>
      </c>
      <c r="J6977">
        <v>6</v>
      </c>
      <c r="L6977" t="s">
        <v>2709</v>
      </c>
      <c r="M6977">
        <v>72051000</v>
      </c>
      <c r="O6977" t="s">
        <v>20122</v>
      </c>
      <c r="P6977" t="s">
        <v>19899</v>
      </c>
      <c r="Q6977" t="s">
        <v>19909</v>
      </c>
      <c r="R6977" t="s">
        <v>19905</v>
      </c>
      <c r="S6977" t="s">
        <v>19906</v>
      </c>
      <c r="T6977" t="s">
        <v>19907</v>
      </c>
    </row>
    <row r="6978" spans="2:20" x14ac:dyDescent="0.25">
      <c r="B6978" t="s">
        <v>2709</v>
      </c>
      <c r="C6978">
        <v>72052100</v>
      </c>
      <c r="E6978">
        <v>44</v>
      </c>
      <c r="F6978">
        <v>18</v>
      </c>
      <c r="G6978">
        <v>5</v>
      </c>
      <c r="H6978">
        <v>7.6</v>
      </c>
      <c r="I6978">
        <v>1.65</v>
      </c>
      <c r="J6978">
        <v>2</v>
      </c>
      <c r="L6978" t="s">
        <v>2709</v>
      </c>
      <c r="M6978">
        <v>72052100</v>
      </c>
      <c r="O6978" t="s">
        <v>20122</v>
      </c>
      <c r="P6978" t="s">
        <v>19899</v>
      </c>
      <c r="Q6978" t="s">
        <v>19909</v>
      </c>
      <c r="R6978" t="s">
        <v>19905</v>
      </c>
      <c r="S6978" t="s">
        <v>19906</v>
      </c>
      <c r="T6978" t="s">
        <v>19901</v>
      </c>
    </row>
    <row r="6979" spans="2:20" x14ac:dyDescent="0.25">
      <c r="B6979" t="s">
        <v>2709</v>
      </c>
      <c r="C6979">
        <v>72052910</v>
      </c>
      <c r="E6979">
        <v>44</v>
      </c>
      <c r="F6979">
        <v>18</v>
      </c>
      <c r="G6979">
        <v>5</v>
      </c>
      <c r="H6979">
        <v>7.6</v>
      </c>
      <c r="I6979">
        <v>1.65</v>
      </c>
      <c r="J6979">
        <v>2</v>
      </c>
      <c r="L6979" t="s">
        <v>2709</v>
      </c>
      <c r="M6979">
        <v>72052910</v>
      </c>
      <c r="O6979" t="s">
        <v>20122</v>
      </c>
      <c r="P6979" t="s">
        <v>19899</v>
      </c>
      <c r="Q6979" t="s">
        <v>19909</v>
      </c>
      <c r="R6979" t="s">
        <v>19905</v>
      </c>
      <c r="S6979" t="s">
        <v>19906</v>
      </c>
      <c r="T6979" t="s">
        <v>19901</v>
      </c>
    </row>
    <row r="6980" spans="2:20" x14ac:dyDescent="0.25">
      <c r="B6980" t="s">
        <v>2709</v>
      </c>
      <c r="C6980">
        <v>72052920</v>
      </c>
      <c r="E6980">
        <v>44</v>
      </c>
      <c r="F6980">
        <v>18</v>
      </c>
      <c r="G6980">
        <v>5</v>
      </c>
      <c r="H6980">
        <v>7.6</v>
      </c>
      <c r="I6980">
        <v>1.65</v>
      </c>
      <c r="J6980">
        <v>2</v>
      </c>
      <c r="L6980" t="s">
        <v>2709</v>
      </c>
      <c r="M6980">
        <v>72052920</v>
      </c>
      <c r="O6980" t="s">
        <v>20122</v>
      </c>
      <c r="P6980" t="s">
        <v>19899</v>
      </c>
      <c r="Q6980" t="s">
        <v>19909</v>
      </c>
      <c r="R6980" t="s">
        <v>19905</v>
      </c>
      <c r="S6980" t="s">
        <v>19906</v>
      </c>
      <c r="T6980" t="s">
        <v>19901</v>
      </c>
    </row>
    <row r="6981" spans="2:20" x14ac:dyDescent="0.25">
      <c r="B6981" t="s">
        <v>2709</v>
      </c>
      <c r="C6981">
        <v>72052990</v>
      </c>
      <c r="E6981">
        <v>44</v>
      </c>
      <c r="F6981">
        <v>18</v>
      </c>
      <c r="G6981">
        <v>5</v>
      </c>
      <c r="H6981">
        <v>7.6</v>
      </c>
      <c r="I6981">
        <v>1.65</v>
      </c>
      <c r="J6981">
        <v>6</v>
      </c>
      <c r="L6981" t="s">
        <v>2709</v>
      </c>
      <c r="M6981">
        <v>72052990</v>
      </c>
      <c r="O6981" t="s">
        <v>20122</v>
      </c>
      <c r="P6981" t="s">
        <v>19899</v>
      </c>
      <c r="Q6981" t="s">
        <v>19909</v>
      </c>
      <c r="R6981" t="s">
        <v>19905</v>
      </c>
      <c r="S6981" t="s">
        <v>19906</v>
      </c>
      <c r="T6981" t="s">
        <v>19907</v>
      </c>
    </row>
    <row r="6982" spans="2:20" x14ac:dyDescent="0.25">
      <c r="B6982" t="s">
        <v>2709</v>
      </c>
      <c r="C6982">
        <v>72061000</v>
      </c>
      <c r="E6982">
        <v>44</v>
      </c>
      <c r="F6982">
        <v>18</v>
      </c>
      <c r="G6982">
        <v>5</v>
      </c>
      <c r="H6982">
        <v>7.6</v>
      </c>
      <c r="I6982">
        <v>1.65</v>
      </c>
      <c r="J6982">
        <v>6</v>
      </c>
      <c r="L6982" t="s">
        <v>2709</v>
      </c>
      <c r="M6982">
        <v>72061000</v>
      </c>
      <c r="O6982" t="s">
        <v>20122</v>
      </c>
      <c r="P6982" t="s">
        <v>19899</v>
      </c>
      <c r="Q6982" t="s">
        <v>19909</v>
      </c>
      <c r="R6982" t="s">
        <v>19905</v>
      </c>
      <c r="S6982" t="s">
        <v>19906</v>
      </c>
      <c r="T6982" t="s">
        <v>19907</v>
      </c>
    </row>
    <row r="6983" spans="2:20" x14ac:dyDescent="0.25">
      <c r="B6983" t="s">
        <v>2709</v>
      </c>
      <c r="C6983">
        <v>72069000</v>
      </c>
      <c r="E6983">
        <v>44</v>
      </c>
      <c r="F6983">
        <v>18</v>
      </c>
      <c r="G6983">
        <v>5</v>
      </c>
      <c r="H6983">
        <v>7.6</v>
      </c>
      <c r="I6983">
        <v>1.65</v>
      </c>
      <c r="J6983">
        <v>6</v>
      </c>
      <c r="L6983" t="s">
        <v>2709</v>
      </c>
      <c r="M6983">
        <v>72069000</v>
      </c>
      <c r="O6983" t="s">
        <v>20122</v>
      </c>
      <c r="P6983" t="s">
        <v>19899</v>
      </c>
      <c r="Q6983" t="s">
        <v>19909</v>
      </c>
      <c r="R6983" t="s">
        <v>19905</v>
      </c>
      <c r="S6983" t="s">
        <v>19906</v>
      </c>
      <c r="T6983" t="s">
        <v>19907</v>
      </c>
    </row>
    <row r="6984" spans="2:20" x14ac:dyDescent="0.25">
      <c r="B6984" t="s">
        <v>2709</v>
      </c>
      <c r="C6984">
        <v>72071110</v>
      </c>
      <c r="E6984">
        <v>44</v>
      </c>
      <c r="F6984">
        <v>18</v>
      </c>
      <c r="G6984">
        <v>5</v>
      </c>
      <c r="H6984">
        <v>7.6</v>
      </c>
      <c r="I6984">
        <v>1.65</v>
      </c>
      <c r="J6984">
        <v>8</v>
      </c>
      <c r="L6984" t="s">
        <v>2709</v>
      </c>
      <c r="M6984">
        <v>72071110</v>
      </c>
      <c r="O6984" t="s">
        <v>20122</v>
      </c>
      <c r="P6984" t="s">
        <v>19899</v>
      </c>
      <c r="Q6984" t="s">
        <v>19909</v>
      </c>
      <c r="R6984" t="s">
        <v>19905</v>
      </c>
      <c r="S6984" t="s">
        <v>19906</v>
      </c>
      <c r="T6984" t="s">
        <v>19918</v>
      </c>
    </row>
    <row r="6985" spans="2:20" x14ac:dyDescent="0.25">
      <c r="B6985" t="s">
        <v>2709</v>
      </c>
      <c r="C6985">
        <v>72071190</v>
      </c>
      <c r="E6985">
        <v>44</v>
      </c>
      <c r="F6985">
        <v>18</v>
      </c>
      <c r="G6985">
        <v>5</v>
      </c>
      <c r="H6985">
        <v>7.6</v>
      </c>
      <c r="I6985">
        <v>1.65</v>
      </c>
      <c r="J6985">
        <v>8</v>
      </c>
      <c r="L6985" t="s">
        <v>2709</v>
      </c>
      <c r="M6985">
        <v>72071190</v>
      </c>
      <c r="O6985" t="s">
        <v>20122</v>
      </c>
      <c r="P6985" t="s">
        <v>19899</v>
      </c>
      <c r="Q6985" t="s">
        <v>19909</v>
      </c>
      <c r="R6985" t="s">
        <v>19905</v>
      </c>
      <c r="S6985" t="s">
        <v>19906</v>
      </c>
      <c r="T6985" t="s">
        <v>19918</v>
      </c>
    </row>
    <row r="6986" spans="2:20" x14ac:dyDescent="0.25">
      <c r="B6986" t="s">
        <v>2709</v>
      </c>
      <c r="C6986">
        <v>72071200</v>
      </c>
      <c r="E6986">
        <v>44</v>
      </c>
      <c r="F6986">
        <v>18</v>
      </c>
      <c r="G6986">
        <v>5</v>
      </c>
      <c r="H6986">
        <v>7.6</v>
      </c>
      <c r="I6986">
        <v>1.65</v>
      </c>
      <c r="J6986">
        <v>8</v>
      </c>
      <c r="L6986" t="s">
        <v>2709</v>
      </c>
      <c r="M6986">
        <v>72071200</v>
      </c>
      <c r="O6986" t="s">
        <v>20122</v>
      </c>
      <c r="P6986" t="s">
        <v>19899</v>
      </c>
      <c r="Q6986" t="s">
        <v>19909</v>
      </c>
      <c r="R6986" t="s">
        <v>19905</v>
      </c>
      <c r="S6986" t="s">
        <v>19906</v>
      </c>
      <c r="T6986" t="s">
        <v>19918</v>
      </c>
    </row>
    <row r="6987" spans="2:20" x14ac:dyDescent="0.25">
      <c r="B6987" t="s">
        <v>2709</v>
      </c>
      <c r="C6987">
        <v>72071900</v>
      </c>
      <c r="E6987">
        <v>44</v>
      </c>
      <c r="F6987">
        <v>18</v>
      </c>
      <c r="G6987">
        <v>5</v>
      </c>
      <c r="H6987">
        <v>7.6</v>
      </c>
      <c r="I6987">
        <v>1.65</v>
      </c>
      <c r="J6987">
        <v>8</v>
      </c>
      <c r="L6987" t="s">
        <v>2709</v>
      </c>
      <c r="M6987">
        <v>72071900</v>
      </c>
      <c r="O6987" t="s">
        <v>20122</v>
      </c>
      <c r="P6987" t="s">
        <v>19899</v>
      </c>
      <c r="Q6987" t="s">
        <v>19909</v>
      </c>
      <c r="R6987" t="s">
        <v>19905</v>
      </c>
      <c r="S6987" t="s">
        <v>19906</v>
      </c>
      <c r="T6987" t="s">
        <v>19918</v>
      </c>
    </row>
    <row r="6988" spans="2:20" x14ac:dyDescent="0.25">
      <c r="B6988" t="s">
        <v>2709</v>
      </c>
      <c r="C6988">
        <v>72072000</v>
      </c>
      <c r="E6988">
        <v>44</v>
      </c>
      <c r="F6988">
        <v>18</v>
      </c>
      <c r="G6988">
        <v>5</v>
      </c>
      <c r="H6988">
        <v>7.6</v>
      </c>
      <c r="I6988">
        <v>1.65</v>
      </c>
      <c r="J6988">
        <v>8</v>
      </c>
      <c r="L6988" t="s">
        <v>2709</v>
      </c>
      <c r="M6988">
        <v>72072000</v>
      </c>
      <c r="O6988" t="s">
        <v>20122</v>
      </c>
      <c r="P6988" t="s">
        <v>19899</v>
      </c>
      <c r="Q6988" t="s">
        <v>19909</v>
      </c>
      <c r="R6988" t="s">
        <v>19905</v>
      </c>
      <c r="S6988" t="s">
        <v>19906</v>
      </c>
      <c r="T6988" t="s">
        <v>19918</v>
      </c>
    </row>
    <row r="6989" spans="2:20" x14ac:dyDescent="0.25">
      <c r="B6989" t="s">
        <v>2709</v>
      </c>
      <c r="C6989">
        <v>72081000</v>
      </c>
      <c r="E6989">
        <v>44</v>
      </c>
      <c r="F6989">
        <v>18</v>
      </c>
      <c r="G6989">
        <v>5</v>
      </c>
      <c r="H6989">
        <v>7.6</v>
      </c>
      <c r="I6989">
        <v>1.65</v>
      </c>
      <c r="J6989">
        <v>12</v>
      </c>
      <c r="L6989" t="s">
        <v>2709</v>
      </c>
      <c r="M6989">
        <v>72081000</v>
      </c>
      <c r="O6989" t="s">
        <v>20122</v>
      </c>
      <c r="P6989" t="s">
        <v>19899</v>
      </c>
      <c r="Q6989" t="s">
        <v>19909</v>
      </c>
      <c r="R6989" t="s">
        <v>19905</v>
      </c>
      <c r="S6989" t="s">
        <v>19906</v>
      </c>
      <c r="T6989" t="s">
        <v>19903</v>
      </c>
    </row>
    <row r="6990" spans="2:20" x14ac:dyDescent="0.25">
      <c r="B6990" t="s">
        <v>2709</v>
      </c>
      <c r="C6990">
        <v>72082500</v>
      </c>
      <c r="E6990">
        <v>44</v>
      </c>
      <c r="F6990">
        <v>18</v>
      </c>
      <c r="G6990">
        <v>5</v>
      </c>
      <c r="H6990">
        <v>7.6</v>
      </c>
      <c r="I6990">
        <v>1.65</v>
      </c>
      <c r="J6990">
        <v>12</v>
      </c>
      <c r="L6990" t="s">
        <v>2709</v>
      </c>
      <c r="M6990">
        <v>72082500</v>
      </c>
      <c r="O6990" t="s">
        <v>20122</v>
      </c>
      <c r="P6990" t="s">
        <v>19899</v>
      </c>
      <c r="Q6990" t="s">
        <v>19909</v>
      </c>
      <c r="R6990" t="s">
        <v>19905</v>
      </c>
      <c r="S6990" t="s">
        <v>19906</v>
      </c>
      <c r="T6990" t="s">
        <v>19903</v>
      </c>
    </row>
    <row r="6991" spans="2:20" x14ac:dyDescent="0.25">
      <c r="B6991" t="s">
        <v>2709</v>
      </c>
      <c r="C6991">
        <v>72082610</v>
      </c>
      <c r="E6991">
        <v>44</v>
      </c>
      <c r="F6991">
        <v>18</v>
      </c>
      <c r="G6991">
        <v>5</v>
      </c>
      <c r="H6991">
        <v>7.6</v>
      </c>
      <c r="I6991">
        <v>1.65</v>
      </c>
      <c r="J6991">
        <v>10</v>
      </c>
      <c r="L6991" t="s">
        <v>2709</v>
      </c>
      <c r="M6991">
        <v>72082610</v>
      </c>
      <c r="O6991" t="s">
        <v>20122</v>
      </c>
      <c r="P6991" t="s">
        <v>19899</v>
      </c>
      <c r="Q6991" t="s">
        <v>19909</v>
      </c>
      <c r="R6991" t="s">
        <v>19905</v>
      </c>
      <c r="S6991" t="s">
        <v>19906</v>
      </c>
      <c r="T6991" t="s">
        <v>19904</v>
      </c>
    </row>
    <row r="6992" spans="2:20" x14ac:dyDescent="0.25">
      <c r="B6992" t="s">
        <v>2709</v>
      </c>
      <c r="C6992">
        <v>72082690</v>
      </c>
      <c r="E6992">
        <v>44</v>
      </c>
      <c r="F6992">
        <v>18</v>
      </c>
      <c r="G6992">
        <v>5</v>
      </c>
      <c r="H6992">
        <v>7.6</v>
      </c>
      <c r="I6992">
        <v>1.65</v>
      </c>
      <c r="J6992">
        <v>12</v>
      </c>
      <c r="L6992" t="s">
        <v>2709</v>
      </c>
      <c r="M6992">
        <v>72082690</v>
      </c>
      <c r="O6992" t="s">
        <v>20122</v>
      </c>
      <c r="P6992" t="s">
        <v>19899</v>
      </c>
      <c r="Q6992" t="s">
        <v>19909</v>
      </c>
      <c r="R6992" t="s">
        <v>19905</v>
      </c>
      <c r="S6992" t="s">
        <v>19906</v>
      </c>
      <c r="T6992" t="s">
        <v>19903</v>
      </c>
    </row>
    <row r="6993" spans="2:20" x14ac:dyDescent="0.25">
      <c r="B6993" t="s">
        <v>2709</v>
      </c>
      <c r="C6993">
        <v>72082710</v>
      </c>
      <c r="E6993">
        <v>44</v>
      </c>
      <c r="F6993">
        <v>18</v>
      </c>
      <c r="G6993">
        <v>5</v>
      </c>
      <c r="H6993">
        <v>7.6</v>
      </c>
      <c r="I6993">
        <v>1.65</v>
      </c>
      <c r="J6993">
        <v>10</v>
      </c>
      <c r="L6993" t="s">
        <v>2709</v>
      </c>
      <c r="M6993">
        <v>72082710</v>
      </c>
      <c r="O6993" t="s">
        <v>20122</v>
      </c>
      <c r="P6993" t="s">
        <v>19899</v>
      </c>
      <c r="Q6993" t="s">
        <v>19909</v>
      </c>
      <c r="R6993" t="s">
        <v>19905</v>
      </c>
      <c r="S6993" t="s">
        <v>19906</v>
      </c>
      <c r="T6993" t="s">
        <v>19904</v>
      </c>
    </row>
    <row r="6994" spans="2:20" x14ac:dyDescent="0.25">
      <c r="B6994" t="s">
        <v>2709</v>
      </c>
      <c r="C6994">
        <v>72082790</v>
      </c>
      <c r="E6994">
        <v>44</v>
      </c>
      <c r="F6994">
        <v>18</v>
      </c>
      <c r="G6994">
        <v>5</v>
      </c>
      <c r="H6994">
        <v>7.6</v>
      </c>
      <c r="I6994">
        <v>1.65</v>
      </c>
      <c r="J6994">
        <v>12</v>
      </c>
      <c r="L6994" t="s">
        <v>2709</v>
      </c>
      <c r="M6994">
        <v>72082790</v>
      </c>
      <c r="O6994" t="s">
        <v>20122</v>
      </c>
      <c r="P6994" t="s">
        <v>19899</v>
      </c>
      <c r="Q6994" t="s">
        <v>19909</v>
      </c>
      <c r="R6994" t="s">
        <v>19905</v>
      </c>
      <c r="S6994" t="s">
        <v>19906</v>
      </c>
      <c r="T6994" t="s">
        <v>19903</v>
      </c>
    </row>
    <row r="6995" spans="2:20" x14ac:dyDescent="0.25">
      <c r="B6995" t="s">
        <v>2709</v>
      </c>
      <c r="C6995">
        <v>72083610</v>
      </c>
      <c r="E6995">
        <v>44</v>
      </c>
      <c r="F6995">
        <v>18</v>
      </c>
      <c r="G6995">
        <v>5</v>
      </c>
      <c r="H6995">
        <v>7.6</v>
      </c>
      <c r="I6995">
        <v>1.65</v>
      </c>
      <c r="J6995">
        <v>10</v>
      </c>
      <c r="L6995" t="s">
        <v>2709</v>
      </c>
      <c r="M6995">
        <v>72083610</v>
      </c>
      <c r="O6995" t="s">
        <v>20122</v>
      </c>
      <c r="P6995" t="s">
        <v>19899</v>
      </c>
      <c r="Q6995" t="s">
        <v>19909</v>
      </c>
      <c r="R6995" t="s">
        <v>19905</v>
      </c>
      <c r="S6995" t="s">
        <v>19906</v>
      </c>
      <c r="T6995" t="s">
        <v>19904</v>
      </c>
    </row>
    <row r="6996" spans="2:20" x14ac:dyDescent="0.25">
      <c r="B6996" t="s">
        <v>2709</v>
      </c>
      <c r="C6996">
        <v>72083690</v>
      </c>
      <c r="E6996">
        <v>44</v>
      </c>
      <c r="F6996">
        <v>18</v>
      </c>
      <c r="G6996">
        <v>5</v>
      </c>
      <c r="H6996">
        <v>7.6</v>
      </c>
      <c r="I6996">
        <v>1.65</v>
      </c>
      <c r="J6996">
        <v>12</v>
      </c>
      <c r="L6996" t="s">
        <v>2709</v>
      </c>
      <c r="M6996">
        <v>72083690</v>
      </c>
      <c r="O6996" t="s">
        <v>20122</v>
      </c>
      <c r="P6996" t="s">
        <v>19899</v>
      </c>
      <c r="Q6996" t="s">
        <v>19909</v>
      </c>
      <c r="R6996" t="s">
        <v>19905</v>
      </c>
      <c r="S6996" t="s">
        <v>19906</v>
      </c>
      <c r="T6996" t="s">
        <v>19903</v>
      </c>
    </row>
    <row r="6997" spans="2:20" x14ac:dyDescent="0.25">
      <c r="B6997" t="s">
        <v>2709</v>
      </c>
      <c r="C6997">
        <v>72083700</v>
      </c>
      <c r="E6997">
        <v>44</v>
      </c>
      <c r="F6997">
        <v>18</v>
      </c>
      <c r="G6997">
        <v>5</v>
      </c>
      <c r="H6997">
        <v>7.6</v>
      </c>
      <c r="I6997">
        <v>1.65</v>
      </c>
      <c r="J6997">
        <v>12</v>
      </c>
      <c r="L6997" t="s">
        <v>2709</v>
      </c>
      <c r="M6997">
        <v>72083700</v>
      </c>
      <c r="O6997" t="s">
        <v>20122</v>
      </c>
      <c r="P6997" t="s">
        <v>19899</v>
      </c>
      <c r="Q6997" t="s">
        <v>19909</v>
      </c>
      <c r="R6997" t="s">
        <v>19905</v>
      </c>
      <c r="S6997" t="s">
        <v>19906</v>
      </c>
      <c r="T6997" t="s">
        <v>19903</v>
      </c>
    </row>
    <row r="6998" spans="2:20" x14ac:dyDescent="0.25">
      <c r="B6998" t="s">
        <v>2709</v>
      </c>
      <c r="C6998">
        <v>72083810</v>
      </c>
      <c r="E6998">
        <v>44</v>
      </c>
      <c r="F6998">
        <v>18</v>
      </c>
      <c r="G6998">
        <v>5</v>
      </c>
      <c r="H6998">
        <v>7.6</v>
      </c>
      <c r="I6998">
        <v>1.65</v>
      </c>
      <c r="J6998">
        <v>10</v>
      </c>
      <c r="L6998" t="s">
        <v>2709</v>
      </c>
      <c r="M6998">
        <v>72083810</v>
      </c>
      <c r="O6998" t="s">
        <v>20122</v>
      </c>
      <c r="P6998" t="s">
        <v>19899</v>
      </c>
      <c r="Q6998" t="s">
        <v>19909</v>
      </c>
      <c r="R6998" t="s">
        <v>19905</v>
      </c>
      <c r="S6998" t="s">
        <v>19906</v>
      </c>
      <c r="T6998" t="s">
        <v>19904</v>
      </c>
    </row>
    <row r="6999" spans="2:20" x14ac:dyDescent="0.25">
      <c r="B6999" t="s">
        <v>2709</v>
      </c>
      <c r="C6999">
        <v>72083890</v>
      </c>
      <c r="E6999">
        <v>44</v>
      </c>
      <c r="F6999">
        <v>18</v>
      </c>
      <c r="G6999">
        <v>5</v>
      </c>
      <c r="H6999">
        <v>7.6</v>
      </c>
      <c r="I6999">
        <v>1.65</v>
      </c>
      <c r="J6999">
        <v>12</v>
      </c>
      <c r="L6999" t="s">
        <v>2709</v>
      </c>
      <c r="M6999">
        <v>72083890</v>
      </c>
      <c r="O6999" t="s">
        <v>20122</v>
      </c>
      <c r="P6999" t="s">
        <v>19899</v>
      </c>
      <c r="Q6999" t="s">
        <v>19909</v>
      </c>
      <c r="R6999" t="s">
        <v>19905</v>
      </c>
      <c r="S6999" t="s">
        <v>19906</v>
      </c>
      <c r="T6999" t="s">
        <v>19903</v>
      </c>
    </row>
    <row r="7000" spans="2:20" x14ac:dyDescent="0.25">
      <c r="B7000" t="s">
        <v>2709</v>
      </c>
      <c r="C7000">
        <v>72083910</v>
      </c>
      <c r="E7000">
        <v>44</v>
      </c>
      <c r="F7000">
        <v>18</v>
      </c>
      <c r="G7000">
        <v>5</v>
      </c>
      <c r="H7000">
        <v>7.6</v>
      </c>
      <c r="I7000">
        <v>1.65</v>
      </c>
      <c r="J7000">
        <v>10</v>
      </c>
      <c r="L7000" t="s">
        <v>2709</v>
      </c>
      <c r="M7000">
        <v>72083910</v>
      </c>
      <c r="O7000" t="s">
        <v>20122</v>
      </c>
      <c r="P7000" t="s">
        <v>19899</v>
      </c>
      <c r="Q7000" t="s">
        <v>19909</v>
      </c>
      <c r="R7000" t="s">
        <v>19905</v>
      </c>
      <c r="S7000" t="s">
        <v>19906</v>
      </c>
      <c r="T7000" t="s">
        <v>19904</v>
      </c>
    </row>
    <row r="7001" spans="2:20" x14ac:dyDescent="0.25">
      <c r="B7001" t="s">
        <v>2709</v>
      </c>
      <c r="C7001">
        <v>72083990</v>
      </c>
      <c r="E7001">
        <v>44</v>
      </c>
      <c r="F7001">
        <v>18</v>
      </c>
      <c r="G7001">
        <v>5</v>
      </c>
      <c r="H7001">
        <v>7.6</v>
      </c>
      <c r="I7001">
        <v>1.65</v>
      </c>
      <c r="J7001">
        <v>12</v>
      </c>
      <c r="L7001" t="s">
        <v>2709</v>
      </c>
      <c r="M7001">
        <v>72083990</v>
      </c>
      <c r="O7001" t="s">
        <v>20122</v>
      </c>
      <c r="P7001" t="s">
        <v>19899</v>
      </c>
      <c r="Q7001" t="s">
        <v>19909</v>
      </c>
      <c r="R7001" t="s">
        <v>19905</v>
      </c>
      <c r="S7001" t="s">
        <v>19906</v>
      </c>
      <c r="T7001" t="s">
        <v>19903</v>
      </c>
    </row>
    <row r="7002" spans="2:20" x14ac:dyDescent="0.25">
      <c r="B7002" t="s">
        <v>2709</v>
      </c>
      <c r="C7002">
        <v>72084000</v>
      </c>
      <c r="E7002">
        <v>44</v>
      </c>
      <c r="F7002">
        <v>18</v>
      </c>
      <c r="G7002">
        <v>5</v>
      </c>
      <c r="H7002">
        <v>7.6</v>
      </c>
      <c r="I7002">
        <v>1.65</v>
      </c>
      <c r="J7002">
        <v>12</v>
      </c>
      <c r="L7002" t="s">
        <v>2709</v>
      </c>
      <c r="M7002">
        <v>72084000</v>
      </c>
      <c r="O7002" t="s">
        <v>20122</v>
      </c>
      <c r="P7002" t="s">
        <v>19899</v>
      </c>
      <c r="Q7002" t="s">
        <v>19909</v>
      </c>
      <c r="R7002" t="s">
        <v>19905</v>
      </c>
      <c r="S7002" t="s">
        <v>19906</v>
      </c>
      <c r="T7002" t="s">
        <v>19903</v>
      </c>
    </row>
    <row r="7003" spans="2:20" x14ac:dyDescent="0.25">
      <c r="B7003" t="s">
        <v>2709</v>
      </c>
      <c r="C7003">
        <v>72085100</v>
      </c>
      <c r="E7003">
        <v>44</v>
      </c>
      <c r="F7003">
        <v>18</v>
      </c>
      <c r="G7003">
        <v>5</v>
      </c>
      <c r="H7003">
        <v>7.6</v>
      </c>
      <c r="I7003">
        <v>1.65</v>
      </c>
      <c r="J7003">
        <v>12</v>
      </c>
      <c r="L7003" t="s">
        <v>2709</v>
      </c>
      <c r="M7003">
        <v>72085100</v>
      </c>
      <c r="O7003" t="s">
        <v>20122</v>
      </c>
      <c r="P7003" t="s">
        <v>19899</v>
      </c>
      <c r="Q7003" t="s">
        <v>19909</v>
      </c>
      <c r="R7003" t="s">
        <v>19905</v>
      </c>
      <c r="S7003" t="s">
        <v>19906</v>
      </c>
      <c r="T7003" t="s">
        <v>19903</v>
      </c>
    </row>
    <row r="7004" spans="2:20" x14ac:dyDescent="0.25">
      <c r="B7004" t="s">
        <v>2709</v>
      </c>
      <c r="C7004">
        <v>72085200</v>
      </c>
      <c r="E7004">
        <v>44</v>
      </c>
      <c r="F7004">
        <v>18</v>
      </c>
      <c r="G7004">
        <v>5</v>
      </c>
      <c r="H7004">
        <v>7.6</v>
      </c>
      <c r="I7004">
        <v>1.65</v>
      </c>
      <c r="J7004">
        <v>12</v>
      </c>
      <c r="L7004" t="s">
        <v>2709</v>
      </c>
      <c r="M7004">
        <v>72085200</v>
      </c>
      <c r="O7004" t="s">
        <v>20122</v>
      </c>
      <c r="P7004" t="s">
        <v>19899</v>
      </c>
      <c r="Q7004" t="s">
        <v>19909</v>
      </c>
      <c r="R7004" t="s">
        <v>19905</v>
      </c>
      <c r="S7004" t="s">
        <v>19906</v>
      </c>
      <c r="T7004" t="s">
        <v>19903</v>
      </c>
    </row>
    <row r="7005" spans="2:20" x14ac:dyDescent="0.25">
      <c r="B7005" t="s">
        <v>2709</v>
      </c>
      <c r="C7005">
        <v>72085300</v>
      </c>
      <c r="E7005">
        <v>44</v>
      </c>
      <c r="F7005">
        <v>18</v>
      </c>
      <c r="G7005">
        <v>5</v>
      </c>
      <c r="H7005">
        <v>7.6</v>
      </c>
      <c r="I7005">
        <v>1.65</v>
      </c>
      <c r="J7005">
        <v>12</v>
      </c>
      <c r="L7005" t="s">
        <v>2709</v>
      </c>
      <c r="M7005">
        <v>72085300</v>
      </c>
      <c r="O7005" t="s">
        <v>20122</v>
      </c>
      <c r="P7005" t="s">
        <v>19899</v>
      </c>
      <c r="Q7005" t="s">
        <v>19909</v>
      </c>
      <c r="R7005" t="s">
        <v>19905</v>
      </c>
      <c r="S7005" t="s">
        <v>19906</v>
      </c>
      <c r="T7005" t="s">
        <v>19903</v>
      </c>
    </row>
    <row r="7006" spans="2:20" x14ac:dyDescent="0.25">
      <c r="B7006" t="s">
        <v>2709</v>
      </c>
      <c r="C7006">
        <v>72085400</v>
      </c>
      <c r="E7006">
        <v>44</v>
      </c>
      <c r="F7006">
        <v>18</v>
      </c>
      <c r="G7006">
        <v>5</v>
      </c>
      <c r="H7006">
        <v>7.6</v>
      </c>
      <c r="I7006">
        <v>1.65</v>
      </c>
      <c r="J7006">
        <v>12</v>
      </c>
      <c r="L7006" t="s">
        <v>2709</v>
      </c>
      <c r="M7006">
        <v>72085400</v>
      </c>
      <c r="O7006" t="s">
        <v>20122</v>
      </c>
      <c r="P7006" t="s">
        <v>19899</v>
      </c>
      <c r="Q7006" t="s">
        <v>19909</v>
      </c>
      <c r="R7006" t="s">
        <v>19905</v>
      </c>
      <c r="S7006" t="s">
        <v>19906</v>
      </c>
      <c r="T7006" t="s">
        <v>19903</v>
      </c>
    </row>
    <row r="7007" spans="2:20" x14ac:dyDescent="0.25">
      <c r="B7007" t="s">
        <v>2709</v>
      </c>
      <c r="C7007">
        <v>72089000</v>
      </c>
      <c r="E7007">
        <v>44</v>
      </c>
      <c r="F7007">
        <v>18</v>
      </c>
      <c r="G7007">
        <v>5</v>
      </c>
      <c r="H7007">
        <v>7.6</v>
      </c>
      <c r="I7007">
        <v>1.65</v>
      </c>
      <c r="J7007">
        <v>12</v>
      </c>
      <c r="L7007" t="s">
        <v>2709</v>
      </c>
      <c r="M7007">
        <v>72089000</v>
      </c>
      <c r="O7007" t="s">
        <v>20122</v>
      </c>
      <c r="P7007" t="s">
        <v>19899</v>
      </c>
      <c r="Q7007" t="s">
        <v>19909</v>
      </c>
      <c r="R7007" t="s">
        <v>19905</v>
      </c>
      <c r="S7007" t="s">
        <v>19906</v>
      </c>
      <c r="T7007" t="s">
        <v>19903</v>
      </c>
    </row>
    <row r="7008" spans="2:20" x14ac:dyDescent="0.25">
      <c r="B7008" t="s">
        <v>2709</v>
      </c>
      <c r="C7008">
        <v>72091500</v>
      </c>
      <c r="E7008">
        <v>44</v>
      </c>
      <c r="F7008">
        <v>18</v>
      </c>
      <c r="G7008">
        <v>5</v>
      </c>
      <c r="H7008">
        <v>7.6</v>
      </c>
      <c r="I7008">
        <v>1.65</v>
      </c>
      <c r="J7008">
        <v>12</v>
      </c>
      <c r="L7008" t="s">
        <v>2709</v>
      </c>
      <c r="M7008">
        <v>72091500</v>
      </c>
      <c r="O7008" t="s">
        <v>20122</v>
      </c>
      <c r="P7008" t="s">
        <v>19899</v>
      </c>
      <c r="Q7008" t="s">
        <v>19909</v>
      </c>
      <c r="R7008" t="s">
        <v>19905</v>
      </c>
      <c r="S7008" t="s">
        <v>19906</v>
      </c>
      <c r="T7008" t="s">
        <v>19903</v>
      </c>
    </row>
    <row r="7009" spans="2:20" x14ac:dyDescent="0.25">
      <c r="B7009" t="s">
        <v>2709</v>
      </c>
      <c r="C7009">
        <v>72091600</v>
      </c>
      <c r="E7009">
        <v>44</v>
      </c>
      <c r="F7009">
        <v>18</v>
      </c>
      <c r="G7009">
        <v>5</v>
      </c>
      <c r="H7009">
        <v>7.6</v>
      </c>
      <c r="I7009">
        <v>1.65</v>
      </c>
      <c r="J7009">
        <v>12</v>
      </c>
      <c r="L7009" t="s">
        <v>2709</v>
      </c>
      <c r="M7009">
        <v>72091600</v>
      </c>
      <c r="O7009" t="s">
        <v>20122</v>
      </c>
      <c r="P7009" t="s">
        <v>19899</v>
      </c>
      <c r="Q7009" t="s">
        <v>19909</v>
      </c>
      <c r="R7009" t="s">
        <v>19905</v>
      </c>
      <c r="S7009" t="s">
        <v>19906</v>
      </c>
      <c r="T7009" t="s">
        <v>19903</v>
      </c>
    </row>
    <row r="7010" spans="2:20" x14ac:dyDescent="0.25">
      <c r="B7010" t="s">
        <v>2709</v>
      </c>
      <c r="C7010">
        <v>72091700</v>
      </c>
      <c r="E7010">
        <v>44</v>
      </c>
      <c r="F7010">
        <v>18</v>
      </c>
      <c r="G7010">
        <v>5</v>
      </c>
      <c r="H7010">
        <v>7.6</v>
      </c>
      <c r="I7010">
        <v>1.65</v>
      </c>
      <c r="J7010">
        <v>12</v>
      </c>
      <c r="L7010" t="s">
        <v>2709</v>
      </c>
      <c r="M7010">
        <v>72091700</v>
      </c>
      <c r="O7010" t="s">
        <v>20122</v>
      </c>
      <c r="P7010" t="s">
        <v>19899</v>
      </c>
      <c r="Q7010" t="s">
        <v>19909</v>
      </c>
      <c r="R7010" t="s">
        <v>19905</v>
      </c>
      <c r="S7010" t="s">
        <v>19906</v>
      </c>
      <c r="T7010" t="s">
        <v>19903</v>
      </c>
    </row>
    <row r="7011" spans="2:20" x14ac:dyDescent="0.25">
      <c r="B7011" t="s">
        <v>2709</v>
      </c>
      <c r="C7011">
        <v>72091800</v>
      </c>
      <c r="E7011">
        <v>44</v>
      </c>
      <c r="F7011">
        <v>18</v>
      </c>
      <c r="G7011">
        <v>5</v>
      </c>
      <c r="H7011">
        <v>7.6</v>
      </c>
      <c r="I7011">
        <v>1.65</v>
      </c>
      <c r="J7011">
        <v>12</v>
      </c>
      <c r="L7011" t="s">
        <v>2709</v>
      </c>
      <c r="M7011">
        <v>72091800</v>
      </c>
      <c r="O7011" t="s">
        <v>20122</v>
      </c>
      <c r="P7011" t="s">
        <v>19899</v>
      </c>
      <c r="Q7011" t="s">
        <v>19909</v>
      </c>
      <c r="R7011" t="s">
        <v>19905</v>
      </c>
      <c r="S7011" t="s">
        <v>19906</v>
      </c>
      <c r="T7011" t="s">
        <v>19903</v>
      </c>
    </row>
    <row r="7012" spans="2:20" x14ac:dyDescent="0.25">
      <c r="B7012" t="s">
        <v>2709</v>
      </c>
      <c r="C7012">
        <v>72092500</v>
      </c>
      <c r="E7012">
        <v>44</v>
      </c>
      <c r="F7012">
        <v>18</v>
      </c>
      <c r="G7012">
        <v>5</v>
      </c>
      <c r="H7012">
        <v>7.6</v>
      </c>
      <c r="I7012">
        <v>1.65</v>
      </c>
      <c r="J7012">
        <v>12</v>
      </c>
      <c r="L7012" t="s">
        <v>2709</v>
      </c>
      <c r="M7012">
        <v>72092500</v>
      </c>
      <c r="O7012" t="s">
        <v>20122</v>
      </c>
      <c r="P7012" t="s">
        <v>19899</v>
      </c>
      <c r="Q7012" t="s">
        <v>19909</v>
      </c>
      <c r="R7012" t="s">
        <v>19905</v>
      </c>
      <c r="S7012" t="s">
        <v>19906</v>
      </c>
      <c r="T7012" t="s">
        <v>19903</v>
      </c>
    </row>
    <row r="7013" spans="2:20" x14ac:dyDescent="0.25">
      <c r="B7013" t="s">
        <v>2709</v>
      </c>
      <c r="C7013">
        <v>72092600</v>
      </c>
      <c r="E7013">
        <v>44</v>
      </c>
      <c r="F7013">
        <v>18</v>
      </c>
      <c r="G7013">
        <v>5</v>
      </c>
      <c r="H7013">
        <v>7.6</v>
      </c>
      <c r="I7013">
        <v>1.65</v>
      </c>
      <c r="J7013">
        <v>12</v>
      </c>
      <c r="L7013" t="s">
        <v>2709</v>
      </c>
      <c r="M7013">
        <v>72092600</v>
      </c>
      <c r="O7013" t="s">
        <v>20122</v>
      </c>
      <c r="P7013" t="s">
        <v>19899</v>
      </c>
      <c r="Q7013" t="s">
        <v>19909</v>
      </c>
      <c r="R7013" t="s">
        <v>19905</v>
      </c>
      <c r="S7013" t="s">
        <v>19906</v>
      </c>
      <c r="T7013" t="s">
        <v>19903</v>
      </c>
    </row>
    <row r="7014" spans="2:20" x14ac:dyDescent="0.25">
      <c r="B7014" t="s">
        <v>2709</v>
      </c>
      <c r="C7014">
        <v>72092700</v>
      </c>
      <c r="E7014">
        <v>44</v>
      </c>
      <c r="F7014">
        <v>18</v>
      </c>
      <c r="G7014">
        <v>5</v>
      </c>
      <c r="H7014">
        <v>7.6</v>
      </c>
      <c r="I7014">
        <v>1.65</v>
      </c>
      <c r="J7014">
        <v>12</v>
      </c>
      <c r="L7014" t="s">
        <v>2709</v>
      </c>
      <c r="M7014">
        <v>72092700</v>
      </c>
      <c r="O7014" t="s">
        <v>20122</v>
      </c>
      <c r="P7014" t="s">
        <v>19899</v>
      </c>
      <c r="Q7014" t="s">
        <v>19909</v>
      </c>
      <c r="R7014" t="s">
        <v>19905</v>
      </c>
      <c r="S7014" t="s">
        <v>19906</v>
      </c>
      <c r="T7014" t="s">
        <v>19903</v>
      </c>
    </row>
    <row r="7015" spans="2:20" x14ac:dyDescent="0.25">
      <c r="B7015" t="s">
        <v>2709</v>
      </c>
      <c r="C7015">
        <v>72092800</v>
      </c>
      <c r="E7015">
        <v>44</v>
      </c>
      <c r="F7015">
        <v>18</v>
      </c>
      <c r="G7015">
        <v>5</v>
      </c>
      <c r="H7015">
        <v>7.6</v>
      </c>
      <c r="I7015">
        <v>1.65</v>
      </c>
      <c r="J7015">
        <v>12</v>
      </c>
      <c r="L7015" t="s">
        <v>2709</v>
      </c>
      <c r="M7015">
        <v>72092800</v>
      </c>
      <c r="O7015" t="s">
        <v>20122</v>
      </c>
      <c r="P7015" t="s">
        <v>19899</v>
      </c>
      <c r="Q7015" t="s">
        <v>19909</v>
      </c>
      <c r="R7015" t="s">
        <v>19905</v>
      </c>
      <c r="S7015" t="s">
        <v>19906</v>
      </c>
      <c r="T7015" t="s">
        <v>19903</v>
      </c>
    </row>
    <row r="7016" spans="2:20" x14ac:dyDescent="0.25">
      <c r="B7016" t="s">
        <v>2709</v>
      </c>
      <c r="C7016">
        <v>72099000</v>
      </c>
      <c r="E7016">
        <v>44</v>
      </c>
      <c r="F7016">
        <v>18</v>
      </c>
      <c r="G7016">
        <v>5</v>
      </c>
      <c r="H7016">
        <v>7.6</v>
      </c>
      <c r="I7016">
        <v>1.65</v>
      </c>
      <c r="J7016">
        <v>12</v>
      </c>
      <c r="L7016" t="s">
        <v>2709</v>
      </c>
      <c r="M7016">
        <v>72099000</v>
      </c>
      <c r="O7016" t="s">
        <v>20122</v>
      </c>
      <c r="P7016" t="s">
        <v>19899</v>
      </c>
      <c r="Q7016" t="s">
        <v>19909</v>
      </c>
      <c r="R7016" t="s">
        <v>19905</v>
      </c>
      <c r="S7016" t="s">
        <v>19906</v>
      </c>
      <c r="T7016" t="s">
        <v>19903</v>
      </c>
    </row>
    <row r="7017" spans="2:20" x14ac:dyDescent="0.25">
      <c r="B7017" t="s">
        <v>2709</v>
      </c>
      <c r="C7017">
        <v>72101100</v>
      </c>
      <c r="E7017">
        <v>44</v>
      </c>
      <c r="F7017">
        <v>18</v>
      </c>
      <c r="G7017">
        <v>5</v>
      </c>
      <c r="H7017">
        <v>7.6</v>
      </c>
      <c r="I7017">
        <v>1.65</v>
      </c>
      <c r="J7017">
        <v>12</v>
      </c>
      <c r="L7017" t="s">
        <v>2709</v>
      </c>
      <c r="M7017">
        <v>72101100</v>
      </c>
      <c r="O7017" t="s">
        <v>20122</v>
      </c>
      <c r="P7017" t="s">
        <v>19899</v>
      </c>
      <c r="Q7017" t="s">
        <v>19909</v>
      </c>
      <c r="R7017" t="s">
        <v>19905</v>
      </c>
      <c r="S7017" t="s">
        <v>19906</v>
      </c>
      <c r="T7017" t="s">
        <v>19903</v>
      </c>
    </row>
    <row r="7018" spans="2:20" x14ac:dyDescent="0.25">
      <c r="B7018" t="s">
        <v>2709</v>
      </c>
      <c r="C7018">
        <v>72101200</v>
      </c>
      <c r="E7018">
        <v>44</v>
      </c>
      <c r="F7018">
        <v>18</v>
      </c>
      <c r="G7018">
        <v>5</v>
      </c>
      <c r="H7018">
        <v>7.6</v>
      </c>
      <c r="I7018">
        <v>1.65</v>
      </c>
      <c r="J7018">
        <v>12</v>
      </c>
      <c r="L7018" t="s">
        <v>2709</v>
      </c>
      <c r="M7018">
        <v>72101200</v>
      </c>
      <c r="O7018" t="s">
        <v>20122</v>
      </c>
      <c r="P7018" t="s">
        <v>19899</v>
      </c>
      <c r="Q7018" t="s">
        <v>19909</v>
      </c>
      <c r="R7018" t="s">
        <v>19905</v>
      </c>
      <c r="S7018" t="s">
        <v>19906</v>
      </c>
      <c r="T7018" t="s">
        <v>19903</v>
      </c>
    </row>
    <row r="7019" spans="2:20" x14ac:dyDescent="0.25">
      <c r="B7019" t="s">
        <v>2709</v>
      </c>
      <c r="C7019">
        <v>72102000</v>
      </c>
      <c r="E7019">
        <v>44</v>
      </c>
      <c r="F7019">
        <v>18</v>
      </c>
      <c r="G7019">
        <v>5</v>
      </c>
      <c r="H7019">
        <v>7.6</v>
      </c>
      <c r="I7019">
        <v>1.65</v>
      </c>
      <c r="J7019">
        <v>12</v>
      </c>
      <c r="L7019" t="s">
        <v>2709</v>
      </c>
      <c r="M7019">
        <v>72102000</v>
      </c>
      <c r="O7019" t="s">
        <v>20122</v>
      </c>
      <c r="P7019" t="s">
        <v>19899</v>
      </c>
      <c r="Q7019" t="s">
        <v>19909</v>
      </c>
      <c r="R7019" t="s">
        <v>19905</v>
      </c>
      <c r="S7019" t="s">
        <v>19906</v>
      </c>
      <c r="T7019" t="s">
        <v>19903</v>
      </c>
    </row>
    <row r="7020" spans="2:20" x14ac:dyDescent="0.25">
      <c r="B7020" t="s">
        <v>2709</v>
      </c>
      <c r="C7020">
        <v>72103010</v>
      </c>
      <c r="E7020">
        <v>44</v>
      </c>
      <c r="F7020">
        <v>18</v>
      </c>
      <c r="G7020">
        <v>5</v>
      </c>
      <c r="H7020">
        <v>7.6</v>
      </c>
      <c r="I7020">
        <v>1.65</v>
      </c>
      <c r="J7020">
        <v>12</v>
      </c>
      <c r="L7020" t="s">
        <v>2709</v>
      </c>
      <c r="M7020">
        <v>72103010</v>
      </c>
      <c r="O7020" t="s">
        <v>20122</v>
      </c>
      <c r="P7020" t="s">
        <v>19899</v>
      </c>
      <c r="Q7020" t="s">
        <v>19909</v>
      </c>
      <c r="R7020" t="s">
        <v>19905</v>
      </c>
      <c r="S7020" t="s">
        <v>19906</v>
      </c>
      <c r="T7020" t="s">
        <v>19903</v>
      </c>
    </row>
    <row r="7021" spans="2:20" x14ac:dyDescent="0.25">
      <c r="B7021" t="s">
        <v>2709</v>
      </c>
      <c r="C7021">
        <v>72103090</v>
      </c>
      <c r="E7021">
        <v>44</v>
      </c>
      <c r="F7021">
        <v>18</v>
      </c>
      <c r="G7021">
        <v>5</v>
      </c>
      <c r="H7021">
        <v>7.6</v>
      </c>
      <c r="I7021">
        <v>1.65</v>
      </c>
      <c r="J7021">
        <v>12</v>
      </c>
      <c r="L7021" t="s">
        <v>2709</v>
      </c>
      <c r="M7021">
        <v>72103090</v>
      </c>
      <c r="O7021" t="s">
        <v>20122</v>
      </c>
      <c r="P7021" t="s">
        <v>19899</v>
      </c>
      <c r="Q7021" t="s">
        <v>19909</v>
      </c>
      <c r="R7021" t="s">
        <v>19905</v>
      </c>
      <c r="S7021" t="s">
        <v>19906</v>
      </c>
      <c r="T7021" t="s">
        <v>19903</v>
      </c>
    </row>
    <row r="7022" spans="2:20" x14ac:dyDescent="0.25">
      <c r="B7022" t="s">
        <v>2709</v>
      </c>
      <c r="C7022">
        <v>72104110</v>
      </c>
      <c r="E7022">
        <v>44</v>
      </c>
      <c r="F7022">
        <v>18</v>
      </c>
      <c r="G7022">
        <v>5</v>
      </c>
      <c r="H7022">
        <v>7.6</v>
      </c>
      <c r="I7022">
        <v>1.65</v>
      </c>
      <c r="J7022">
        <v>12</v>
      </c>
      <c r="L7022" t="s">
        <v>2709</v>
      </c>
      <c r="M7022">
        <v>72104110</v>
      </c>
      <c r="O7022" t="s">
        <v>20122</v>
      </c>
      <c r="P7022" t="s">
        <v>19899</v>
      </c>
      <c r="Q7022" t="s">
        <v>19909</v>
      </c>
      <c r="R7022" t="s">
        <v>19905</v>
      </c>
      <c r="S7022" t="s">
        <v>19906</v>
      </c>
      <c r="T7022" t="s">
        <v>19903</v>
      </c>
    </row>
    <row r="7023" spans="2:20" x14ac:dyDescent="0.25">
      <c r="B7023" t="s">
        <v>2709</v>
      </c>
      <c r="C7023">
        <v>72104190</v>
      </c>
      <c r="E7023">
        <v>44</v>
      </c>
      <c r="F7023">
        <v>18</v>
      </c>
      <c r="G7023">
        <v>5</v>
      </c>
      <c r="H7023">
        <v>7.6</v>
      </c>
      <c r="I7023">
        <v>1.65</v>
      </c>
      <c r="J7023">
        <v>12</v>
      </c>
      <c r="L7023" t="s">
        <v>2709</v>
      </c>
      <c r="M7023">
        <v>72104190</v>
      </c>
      <c r="O7023" t="s">
        <v>20122</v>
      </c>
      <c r="P7023" t="s">
        <v>19899</v>
      </c>
      <c r="Q7023" t="s">
        <v>19909</v>
      </c>
      <c r="R7023" t="s">
        <v>19905</v>
      </c>
      <c r="S7023" t="s">
        <v>19906</v>
      </c>
      <c r="T7023" t="s">
        <v>19903</v>
      </c>
    </row>
    <row r="7024" spans="2:20" x14ac:dyDescent="0.25">
      <c r="B7024" t="s">
        <v>2709</v>
      </c>
      <c r="C7024">
        <v>72104910</v>
      </c>
      <c r="E7024">
        <v>44</v>
      </c>
      <c r="F7024">
        <v>18</v>
      </c>
      <c r="G7024">
        <v>5</v>
      </c>
      <c r="H7024">
        <v>7.6</v>
      </c>
      <c r="I7024">
        <v>1.65</v>
      </c>
      <c r="J7024">
        <v>12</v>
      </c>
      <c r="L7024" t="s">
        <v>2709</v>
      </c>
      <c r="M7024">
        <v>72104910</v>
      </c>
      <c r="O7024" t="s">
        <v>20122</v>
      </c>
      <c r="P7024" t="s">
        <v>19899</v>
      </c>
      <c r="Q7024" t="s">
        <v>19909</v>
      </c>
      <c r="R7024" t="s">
        <v>19905</v>
      </c>
      <c r="S7024" t="s">
        <v>19906</v>
      </c>
      <c r="T7024" t="s">
        <v>19903</v>
      </c>
    </row>
    <row r="7025" spans="2:20" x14ac:dyDescent="0.25">
      <c r="B7025" t="s">
        <v>2709</v>
      </c>
      <c r="C7025">
        <v>72104990</v>
      </c>
      <c r="E7025">
        <v>44</v>
      </c>
      <c r="F7025">
        <v>18</v>
      </c>
      <c r="G7025">
        <v>5</v>
      </c>
      <c r="H7025">
        <v>7.6</v>
      </c>
      <c r="I7025">
        <v>1.65</v>
      </c>
      <c r="J7025">
        <v>12</v>
      </c>
      <c r="L7025" t="s">
        <v>2709</v>
      </c>
      <c r="M7025">
        <v>72104990</v>
      </c>
      <c r="O7025" t="s">
        <v>20122</v>
      </c>
      <c r="P7025" t="s">
        <v>19899</v>
      </c>
      <c r="Q7025" t="s">
        <v>19909</v>
      </c>
      <c r="R7025" t="s">
        <v>19905</v>
      </c>
      <c r="S7025" t="s">
        <v>19906</v>
      </c>
      <c r="T7025" t="s">
        <v>19903</v>
      </c>
    </row>
    <row r="7026" spans="2:20" x14ac:dyDescent="0.25">
      <c r="B7026" t="s">
        <v>2709</v>
      </c>
      <c r="C7026">
        <v>72105000</v>
      </c>
      <c r="E7026">
        <v>44</v>
      </c>
      <c r="F7026">
        <v>18</v>
      </c>
      <c r="G7026">
        <v>5</v>
      </c>
      <c r="H7026">
        <v>7.6</v>
      </c>
      <c r="I7026">
        <v>1.65</v>
      </c>
      <c r="J7026">
        <v>12</v>
      </c>
      <c r="L7026" t="s">
        <v>2709</v>
      </c>
      <c r="M7026">
        <v>72105000</v>
      </c>
      <c r="O7026" t="s">
        <v>20122</v>
      </c>
      <c r="P7026" t="s">
        <v>19899</v>
      </c>
      <c r="Q7026" t="s">
        <v>19909</v>
      </c>
      <c r="R7026" t="s">
        <v>19905</v>
      </c>
      <c r="S7026" t="s">
        <v>19906</v>
      </c>
      <c r="T7026" t="s">
        <v>19903</v>
      </c>
    </row>
    <row r="7027" spans="2:20" x14ac:dyDescent="0.25">
      <c r="B7027" t="s">
        <v>2709</v>
      </c>
      <c r="C7027">
        <v>72106100</v>
      </c>
      <c r="E7027">
        <v>44</v>
      </c>
      <c r="F7027">
        <v>18</v>
      </c>
      <c r="G7027">
        <v>5</v>
      </c>
      <c r="H7027">
        <v>7.6</v>
      </c>
      <c r="I7027">
        <v>1.65</v>
      </c>
      <c r="J7027">
        <v>12</v>
      </c>
      <c r="L7027" t="s">
        <v>2709</v>
      </c>
      <c r="M7027">
        <v>72106100</v>
      </c>
      <c r="O7027" t="s">
        <v>20122</v>
      </c>
      <c r="P7027" t="s">
        <v>19899</v>
      </c>
      <c r="Q7027" t="s">
        <v>19909</v>
      </c>
      <c r="R7027" t="s">
        <v>19905</v>
      </c>
      <c r="S7027" t="s">
        <v>19906</v>
      </c>
      <c r="T7027" t="s">
        <v>19903</v>
      </c>
    </row>
    <row r="7028" spans="2:20" x14ac:dyDescent="0.25">
      <c r="B7028" t="s">
        <v>2709</v>
      </c>
      <c r="C7028">
        <v>72106911</v>
      </c>
      <c r="E7028">
        <v>44</v>
      </c>
      <c r="F7028">
        <v>18</v>
      </c>
      <c r="G7028">
        <v>5</v>
      </c>
      <c r="H7028">
        <v>7.6</v>
      </c>
      <c r="I7028">
        <v>1.65</v>
      </c>
      <c r="J7028">
        <v>2</v>
      </c>
      <c r="L7028" t="s">
        <v>2709</v>
      </c>
      <c r="M7028">
        <v>72106911</v>
      </c>
      <c r="O7028" t="s">
        <v>20122</v>
      </c>
      <c r="P7028" t="s">
        <v>19899</v>
      </c>
      <c r="Q7028" t="s">
        <v>19909</v>
      </c>
      <c r="R7028" t="s">
        <v>19905</v>
      </c>
      <c r="S7028" t="s">
        <v>19906</v>
      </c>
      <c r="T7028" t="s">
        <v>19901</v>
      </c>
    </row>
    <row r="7029" spans="2:20" x14ac:dyDescent="0.25">
      <c r="B7029" t="s">
        <v>2709</v>
      </c>
      <c r="C7029">
        <v>72106919</v>
      </c>
      <c r="E7029">
        <v>44</v>
      </c>
      <c r="F7029">
        <v>18</v>
      </c>
      <c r="G7029">
        <v>5</v>
      </c>
      <c r="H7029">
        <v>7.6</v>
      </c>
      <c r="I7029">
        <v>1.65</v>
      </c>
      <c r="J7029">
        <v>12</v>
      </c>
      <c r="L7029" t="s">
        <v>2709</v>
      </c>
      <c r="M7029">
        <v>72106919</v>
      </c>
      <c r="O7029" t="s">
        <v>20122</v>
      </c>
      <c r="P7029" t="s">
        <v>19899</v>
      </c>
      <c r="Q7029" t="s">
        <v>19909</v>
      </c>
      <c r="R7029" t="s">
        <v>19905</v>
      </c>
      <c r="S7029" t="s">
        <v>19906</v>
      </c>
      <c r="T7029" t="s">
        <v>19903</v>
      </c>
    </row>
    <row r="7030" spans="2:20" x14ac:dyDescent="0.25">
      <c r="B7030" t="s">
        <v>2709</v>
      </c>
      <c r="C7030">
        <v>72106990</v>
      </c>
      <c r="E7030">
        <v>44</v>
      </c>
      <c r="F7030">
        <v>18</v>
      </c>
      <c r="G7030">
        <v>5</v>
      </c>
      <c r="H7030">
        <v>7.6</v>
      </c>
      <c r="I7030">
        <v>1.65</v>
      </c>
      <c r="J7030">
        <v>12</v>
      </c>
      <c r="L7030" t="s">
        <v>2709</v>
      </c>
      <c r="M7030">
        <v>72106990</v>
      </c>
      <c r="O7030" t="s">
        <v>20122</v>
      </c>
      <c r="P7030" t="s">
        <v>19899</v>
      </c>
      <c r="Q7030" t="s">
        <v>19909</v>
      </c>
      <c r="R7030" t="s">
        <v>19905</v>
      </c>
      <c r="S7030" t="s">
        <v>19906</v>
      </c>
      <c r="T7030" t="s">
        <v>19903</v>
      </c>
    </row>
    <row r="7031" spans="2:20" x14ac:dyDescent="0.25">
      <c r="B7031" t="s">
        <v>2709</v>
      </c>
      <c r="C7031">
        <v>72107010</v>
      </c>
      <c r="E7031">
        <v>44</v>
      </c>
      <c r="F7031">
        <v>18</v>
      </c>
      <c r="G7031">
        <v>5</v>
      </c>
      <c r="H7031">
        <v>7.6</v>
      </c>
      <c r="I7031">
        <v>1.65</v>
      </c>
      <c r="J7031">
        <v>12</v>
      </c>
      <c r="L7031" t="s">
        <v>2709</v>
      </c>
      <c r="M7031">
        <v>72107010</v>
      </c>
      <c r="O7031" t="s">
        <v>20122</v>
      </c>
      <c r="P7031" t="s">
        <v>19899</v>
      </c>
      <c r="Q7031" t="s">
        <v>19909</v>
      </c>
      <c r="R7031" t="s">
        <v>19905</v>
      </c>
      <c r="S7031" t="s">
        <v>19906</v>
      </c>
      <c r="T7031" t="s">
        <v>19903</v>
      </c>
    </row>
    <row r="7032" spans="2:20" x14ac:dyDescent="0.25">
      <c r="B7032" t="s">
        <v>2709</v>
      </c>
      <c r="C7032">
        <v>72107020</v>
      </c>
      <c r="E7032">
        <v>44</v>
      </c>
      <c r="F7032">
        <v>18</v>
      </c>
      <c r="G7032">
        <v>5</v>
      </c>
      <c r="H7032">
        <v>7.6</v>
      </c>
      <c r="I7032">
        <v>1.65</v>
      </c>
      <c r="J7032">
        <v>12</v>
      </c>
      <c r="L7032" t="s">
        <v>2709</v>
      </c>
      <c r="M7032">
        <v>72107020</v>
      </c>
      <c r="O7032" t="s">
        <v>20122</v>
      </c>
      <c r="P7032" t="s">
        <v>19899</v>
      </c>
      <c r="Q7032" t="s">
        <v>19909</v>
      </c>
      <c r="R7032" t="s">
        <v>19905</v>
      </c>
      <c r="S7032" t="s">
        <v>19906</v>
      </c>
      <c r="T7032" t="s">
        <v>19903</v>
      </c>
    </row>
    <row r="7033" spans="2:20" x14ac:dyDescent="0.25">
      <c r="B7033" t="s">
        <v>2709</v>
      </c>
      <c r="C7033">
        <v>72109000</v>
      </c>
      <c r="E7033">
        <v>44</v>
      </c>
      <c r="F7033">
        <v>18</v>
      </c>
      <c r="G7033">
        <v>5</v>
      </c>
      <c r="H7033">
        <v>7.6</v>
      </c>
      <c r="I7033">
        <v>1.65</v>
      </c>
      <c r="J7033">
        <v>12</v>
      </c>
      <c r="L7033" t="s">
        <v>2709</v>
      </c>
      <c r="M7033">
        <v>72109000</v>
      </c>
      <c r="O7033" t="s">
        <v>20122</v>
      </c>
      <c r="P7033" t="s">
        <v>19899</v>
      </c>
      <c r="Q7033" t="s">
        <v>19909</v>
      </c>
      <c r="R7033" t="s">
        <v>19905</v>
      </c>
      <c r="S7033" t="s">
        <v>19906</v>
      </c>
      <c r="T7033" t="s">
        <v>19903</v>
      </c>
    </row>
    <row r="7034" spans="2:20" x14ac:dyDescent="0.25">
      <c r="B7034" t="s">
        <v>2709</v>
      </c>
      <c r="C7034">
        <v>72111300</v>
      </c>
      <c r="E7034">
        <v>44</v>
      </c>
      <c r="F7034">
        <v>18</v>
      </c>
      <c r="G7034">
        <v>5</v>
      </c>
      <c r="H7034">
        <v>7.6</v>
      </c>
      <c r="I7034">
        <v>1.65</v>
      </c>
      <c r="J7034">
        <v>12</v>
      </c>
      <c r="L7034" t="s">
        <v>2709</v>
      </c>
      <c r="M7034">
        <v>72111300</v>
      </c>
      <c r="O7034" t="s">
        <v>20122</v>
      </c>
      <c r="P7034" t="s">
        <v>19899</v>
      </c>
      <c r="Q7034" t="s">
        <v>19909</v>
      </c>
      <c r="R7034" t="s">
        <v>19905</v>
      </c>
      <c r="S7034" t="s">
        <v>19906</v>
      </c>
      <c r="T7034" t="s">
        <v>19903</v>
      </c>
    </row>
    <row r="7035" spans="2:20" x14ac:dyDescent="0.25">
      <c r="B7035" t="s">
        <v>2709</v>
      </c>
      <c r="C7035">
        <v>72111400</v>
      </c>
      <c r="E7035">
        <v>44</v>
      </c>
      <c r="F7035">
        <v>18</v>
      </c>
      <c r="G7035">
        <v>5</v>
      </c>
      <c r="H7035">
        <v>7.6</v>
      </c>
      <c r="I7035">
        <v>1.65</v>
      </c>
      <c r="J7035">
        <v>12</v>
      </c>
      <c r="L7035" t="s">
        <v>2709</v>
      </c>
      <c r="M7035">
        <v>72111400</v>
      </c>
      <c r="O7035" t="s">
        <v>20122</v>
      </c>
      <c r="P7035" t="s">
        <v>19899</v>
      </c>
      <c r="Q7035" t="s">
        <v>19909</v>
      </c>
      <c r="R7035" t="s">
        <v>19905</v>
      </c>
      <c r="S7035" t="s">
        <v>19906</v>
      </c>
      <c r="T7035" t="s">
        <v>19903</v>
      </c>
    </row>
    <row r="7036" spans="2:20" x14ac:dyDescent="0.25">
      <c r="B7036" t="s">
        <v>2709</v>
      </c>
      <c r="C7036">
        <v>72111900</v>
      </c>
      <c r="E7036">
        <v>44</v>
      </c>
      <c r="F7036">
        <v>18</v>
      </c>
      <c r="G7036">
        <v>5</v>
      </c>
      <c r="H7036">
        <v>7.6</v>
      </c>
      <c r="I7036">
        <v>1.65</v>
      </c>
      <c r="J7036">
        <v>12</v>
      </c>
      <c r="L7036" t="s">
        <v>2709</v>
      </c>
      <c r="M7036">
        <v>72111900</v>
      </c>
      <c r="O7036" t="s">
        <v>20122</v>
      </c>
      <c r="P7036" t="s">
        <v>19899</v>
      </c>
      <c r="Q7036" t="s">
        <v>19909</v>
      </c>
      <c r="R7036" t="s">
        <v>19905</v>
      </c>
      <c r="S7036" t="s">
        <v>19906</v>
      </c>
      <c r="T7036" t="s">
        <v>19903</v>
      </c>
    </row>
    <row r="7037" spans="2:20" x14ac:dyDescent="0.25">
      <c r="B7037" t="s">
        <v>2709</v>
      </c>
      <c r="C7037">
        <v>72112300</v>
      </c>
      <c r="E7037">
        <v>44</v>
      </c>
      <c r="F7037">
        <v>18</v>
      </c>
      <c r="G7037">
        <v>5</v>
      </c>
      <c r="H7037">
        <v>7.6</v>
      </c>
      <c r="I7037">
        <v>1.65</v>
      </c>
      <c r="J7037">
        <v>12</v>
      </c>
      <c r="L7037" t="s">
        <v>2709</v>
      </c>
      <c r="M7037">
        <v>72112300</v>
      </c>
      <c r="O7037" t="s">
        <v>20122</v>
      </c>
      <c r="P7037" t="s">
        <v>19899</v>
      </c>
      <c r="Q7037" t="s">
        <v>19909</v>
      </c>
      <c r="R7037" t="s">
        <v>19905</v>
      </c>
      <c r="S7037" t="s">
        <v>19906</v>
      </c>
      <c r="T7037" t="s">
        <v>19903</v>
      </c>
    </row>
    <row r="7038" spans="2:20" x14ac:dyDescent="0.25">
      <c r="B7038" t="s">
        <v>2709</v>
      </c>
      <c r="C7038">
        <v>72112910</v>
      </c>
      <c r="E7038">
        <v>44</v>
      </c>
      <c r="F7038">
        <v>18</v>
      </c>
      <c r="G7038">
        <v>5</v>
      </c>
      <c r="H7038">
        <v>7.6</v>
      </c>
      <c r="I7038">
        <v>1.65</v>
      </c>
      <c r="J7038">
        <v>12</v>
      </c>
      <c r="L7038" t="s">
        <v>2709</v>
      </c>
      <c r="M7038">
        <v>72112910</v>
      </c>
      <c r="O7038" t="s">
        <v>20122</v>
      </c>
      <c r="P7038" t="s">
        <v>19899</v>
      </c>
      <c r="Q7038" t="s">
        <v>19909</v>
      </c>
      <c r="R7038" t="s">
        <v>19905</v>
      </c>
      <c r="S7038" t="s">
        <v>19906</v>
      </c>
      <c r="T7038" t="s">
        <v>19903</v>
      </c>
    </row>
    <row r="7039" spans="2:20" x14ac:dyDescent="0.25">
      <c r="B7039" t="s">
        <v>2709</v>
      </c>
      <c r="C7039">
        <v>72112920</v>
      </c>
      <c r="E7039">
        <v>44</v>
      </c>
      <c r="F7039">
        <v>18</v>
      </c>
      <c r="G7039">
        <v>5</v>
      </c>
      <c r="H7039">
        <v>7.6</v>
      </c>
      <c r="I7039">
        <v>1.65</v>
      </c>
      <c r="J7039">
        <v>12</v>
      </c>
      <c r="L7039" t="s">
        <v>2709</v>
      </c>
      <c r="M7039">
        <v>72112920</v>
      </c>
      <c r="O7039" t="s">
        <v>20122</v>
      </c>
      <c r="P7039" t="s">
        <v>19899</v>
      </c>
      <c r="Q7039" t="s">
        <v>19909</v>
      </c>
      <c r="R7039" t="s">
        <v>19905</v>
      </c>
      <c r="S7039" t="s">
        <v>19906</v>
      </c>
      <c r="T7039" t="s">
        <v>19903</v>
      </c>
    </row>
    <row r="7040" spans="2:20" x14ac:dyDescent="0.25">
      <c r="B7040" t="s">
        <v>2709</v>
      </c>
      <c r="C7040">
        <v>72119010</v>
      </c>
      <c r="E7040">
        <v>44</v>
      </c>
      <c r="F7040">
        <v>18</v>
      </c>
      <c r="G7040">
        <v>5</v>
      </c>
      <c r="H7040">
        <v>7.6</v>
      </c>
      <c r="I7040">
        <v>1.65</v>
      </c>
      <c r="J7040">
        <v>12</v>
      </c>
      <c r="L7040" t="s">
        <v>2709</v>
      </c>
      <c r="M7040">
        <v>72119010</v>
      </c>
      <c r="O7040" t="s">
        <v>20122</v>
      </c>
      <c r="P7040" t="s">
        <v>19899</v>
      </c>
      <c r="Q7040" t="s">
        <v>19909</v>
      </c>
      <c r="R7040" t="s">
        <v>19905</v>
      </c>
      <c r="S7040" t="s">
        <v>19906</v>
      </c>
      <c r="T7040" t="s">
        <v>19903</v>
      </c>
    </row>
    <row r="7041" spans="2:20" x14ac:dyDescent="0.25">
      <c r="B7041" t="s">
        <v>2709</v>
      </c>
      <c r="C7041">
        <v>72119090</v>
      </c>
      <c r="E7041">
        <v>44</v>
      </c>
      <c r="F7041">
        <v>18</v>
      </c>
      <c r="G7041">
        <v>5</v>
      </c>
      <c r="H7041">
        <v>7.6</v>
      </c>
      <c r="I7041">
        <v>1.65</v>
      </c>
      <c r="J7041">
        <v>12</v>
      </c>
      <c r="L7041" t="s">
        <v>2709</v>
      </c>
      <c r="M7041">
        <v>72119090</v>
      </c>
      <c r="O7041" t="s">
        <v>20122</v>
      </c>
      <c r="P7041" t="s">
        <v>19899</v>
      </c>
      <c r="Q7041" t="s">
        <v>19909</v>
      </c>
      <c r="R7041" t="s">
        <v>19905</v>
      </c>
      <c r="S7041" t="s">
        <v>19906</v>
      </c>
      <c r="T7041" t="s">
        <v>19903</v>
      </c>
    </row>
    <row r="7042" spans="2:20" x14ac:dyDescent="0.25">
      <c r="B7042" t="s">
        <v>2709</v>
      </c>
      <c r="C7042">
        <v>72121000</v>
      </c>
      <c r="E7042">
        <v>44</v>
      </c>
      <c r="F7042">
        <v>18</v>
      </c>
      <c r="G7042">
        <v>5</v>
      </c>
      <c r="H7042">
        <v>7.6</v>
      </c>
      <c r="I7042">
        <v>1.65</v>
      </c>
      <c r="J7042">
        <v>12</v>
      </c>
      <c r="L7042" t="s">
        <v>2709</v>
      </c>
      <c r="M7042">
        <v>72121000</v>
      </c>
      <c r="O7042" t="s">
        <v>20122</v>
      </c>
      <c r="P7042" t="s">
        <v>19899</v>
      </c>
      <c r="Q7042" t="s">
        <v>19909</v>
      </c>
      <c r="R7042" t="s">
        <v>19905</v>
      </c>
      <c r="S7042" t="s">
        <v>19906</v>
      </c>
      <c r="T7042" t="s">
        <v>19903</v>
      </c>
    </row>
    <row r="7043" spans="2:20" x14ac:dyDescent="0.25">
      <c r="B7043" t="s">
        <v>2709</v>
      </c>
      <c r="C7043">
        <v>72122010</v>
      </c>
      <c r="E7043">
        <v>44</v>
      </c>
      <c r="F7043">
        <v>18</v>
      </c>
      <c r="G7043">
        <v>5</v>
      </c>
      <c r="H7043">
        <v>7.6</v>
      </c>
      <c r="I7043">
        <v>1.65</v>
      </c>
      <c r="J7043">
        <v>12</v>
      </c>
      <c r="L7043" t="s">
        <v>2709</v>
      </c>
      <c r="M7043">
        <v>72122010</v>
      </c>
      <c r="O7043" t="s">
        <v>20122</v>
      </c>
      <c r="P7043" t="s">
        <v>19899</v>
      </c>
      <c r="Q7043" t="s">
        <v>19909</v>
      </c>
      <c r="R7043" t="s">
        <v>19905</v>
      </c>
      <c r="S7043" t="s">
        <v>19906</v>
      </c>
      <c r="T7043" t="s">
        <v>19903</v>
      </c>
    </row>
    <row r="7044" spans="2:20" x14ac:dyDescent="0.25">
      <c r="B7044" t="s">
        <v>2709</v>
      </c>
      <c r="C7044">
        <v>72122090</v>
      </c>
      <c r="E7044">
        <v>44</v>
      </c>
      <c r="F7044">
        <v>18</v>
      </c>
      <c r="G7044">
        <v>5</v>
      </c>
      <c r="H7044">
        <v>7.6</v>
      </c>
      <c r="I7044">
        <v>1.65</v>
      </c>
      <c r="J7044">
        <v>12</v>
      </c>
      <c r="L7044" t="s">
        <v>2709</v>
      </c>
      <c r="M7044">
        <v>72122090</v>
      </c>
      <c r="O7044" t="s">
        <v>20122</v>
      </c>
      <c r="P7044" t="s">
        <v>19899</v>
      </c>
      <c r="Q7044" t="s">
        <v>19909</v>
      </c>
      <c r="R7044" t="s">
        <v>19905</v>
      </c>
      <c r="S7044" t="s">
        <v>19906</v>
      </c>
      <c r="T7044" t="s">
        <v>19903</v>
      </c>
    </row>
    <row r="7045" spans="2:20" x14ac:dyDescent="0.25">
      <c r="B7045" t="s">
        <v>2709</v>
      </c>
      <c r="C7045">
        <v>72123000</v>
      </c>
      <c r="E7045">
        <v>44</v>
      </c>
      <c r="F7045">
        <v>18</v>
      </c>
      <c r="G7045">
        <v>5</v>
      </c>
      <c r="H7045">
        <v>7.6</v>
      </c>
      <c r="I7045">
        <v>1.65</v>
      </c>
      <c r="J7045">
        <v>12</v>
      </c>
      <c r="L7045" t="s">
        <v>2709</v>
      </c>
      <c r="M7045">
        <v>72123000</v>
      </c>
      <c r="O7045" t="s">
        <v>20122</v>
      </c>
      <c r="P7045" t="s">
        <v>19899</v>
      </c>
      <c r="Q7045" t="s">
        <v>19909</v>
      </c>
      <c r="R7045" t="s">
        <v>19905</v>
      </c>
      <c r="S7045" t="s">
        <v>19906</v>
      </c>
      <c r="T7045" t="s">
        <v>19903</v>
      </c>
    </row>
    <row r="7046" spans="2:20" x14ac:dyDescent="0.25">
      <c r="B7046" t="s">
        <v>2709</v>
      </c>
      <c r="C7046">
        <v>72124010</v>
      </c>
      <c r="E7046">
        <v>44</v>
      </c>
      <c r="F7046">
        <v>18</v>
      </c>
      <c r="G7046">
        <v>5</v>
      </c>
      <c r="H7046">
        <v>7.6</v>
      </c>
      <c r="I7046">
        <v>1.65</v>
      </c>
      <c r="J7046">
        <v>12</v>
      </c>
      <c r="L7046" t="s">
        <v>2709</v>
      </c>
      <c r="M7046">
        <v>72124010</v>
      </c>
      <c r="O7046" t="s">
        <v>20122</v>
      </c>
      <c r="P7046" t="s">
        <v>19899</v>
      </c>
      <c r="Q7046" t="s">
        <v>19909</v>
      </c>
      <c r="R7046" t="s">
        <v>19905</v>
      </c>
      <c r="S7046" t="s">
        <v>19906</v>
      </c>
      <c r="T7046" t="s">
        <v>19903</v>
      </c>
    </row>
    <row r="7047" spans="2:20" x14ac:dyDescent="0.25">
      <c r="B7047" t="s">
        <v>2709</v>
      </c>
      <c r="C7047">
        <v>72124021</v>
      </c>
      <c r="E7047">
        <v>44</v>
      </c>
      <c r="F7047">
        <v>18</v>
      </c>
      <c r="G7047">
        <v>5</v>
      </c>
      <c r="H7047">
        <v>7.6</v>
      </c>
      <c r="I7047">
        <v>1.65</v>
      </c>
      <c r="J7047">
        <v>2</v>
      </c>
      <c r="L7047" t="s">
        <v>2709</v>
      </c>
      <c r="M7047">
        <v>72124021</v>
      </c>
      <c r="O7047" t="s">
        <v>20122</v>
      </c>
      <c r="P7047" t="s">
        <v>19899</v>
      </c>
      <c r="Q7047" t="s">
        <v>19909</v>
      </c>
      <c r="R7047" t="s">
        <v>19905</v>
      </c>
      <c r="S7047" t="s">
        <v>19906</v>
      </c>
      <c r="T7047" t="s">
        <v>19901</v>
      </c>
    </row>
    <row r="7048" spans="2:20" x14ac:dyDescent="0.25">
      <c r="B7048" t="s">
        <v>2709</v>
      </c>
      <c r="C7048">
        <v>72124029</v>
      </c>
      <c r="E7048">
        <v>44</v>
      </c>
      <c r="F7048">
        <v>18</v>
      </c>
      <c r="G7048">
        <v>5</v>
      </c>
      <c r="H7048">
        <v>7.6</v>
      </c>
      <c r="I7048">
        <v>1.65</v>
      </c>
      <c r="J7048">
        <v>12</v>
      </c>
      <c r="L7048" t="s">
        <v>2709</v>
      </c>
      <c r="M7048">
        <v>72124029</v>
      </c>
      <c r="O7048" t="s">
        <v>20122</v>
      </c>
      <c r="P7048" t="s">
        <v>19899</v>
      </c>
      <c r="Q7048" t="s">
        <v>19909</v>
      </c>
      <c r="R7048" t="s">
        <v>19905</v>
      </c>
      <c r="S7048" t="s">
        <v>19906</v>
      </c>
      <c r="T7048" t="s">
        <v>19903</v>
      </c>
    </row>
    <row r="7049" spans="2:20" x14ac:dyDescent="0.25">
      <c r="B7049" t="s">
        <v>2709</v>
      </c>
      <c r="C7049">
        <v>72125010</v>
      </c>
      <c r="E7049">
        <v>44</v>
      </c>
      <c r="F7049">
        <v>18</v>
      </c>
      <c r="G7049">
        <v>5</v>
      </c>
      <c r="H7049">
        <v>7.6</v>
      </c>
      <c r="I7049">
        <v>1.65</v>
      </c>
      <c r="J7049">
        <v>2</v>
      </c>
      <c r="L7049" t="s">
        <v>2709</v>
      </c>
      <c r="M7049">
        <v>72125010</v>
      </c>
      <c r="O7049" t="s">
        <v>20122</v>
      </c>
      <c r="P7049" t="s">
        <v>19899</v>
      </c>
      <c r="Q7049" t="s">
        <v>19909</v>
      </c>
      <c r="R7049" t="s">
        <v>19905</v>
      </c>
      <c r="S7049" t="s">
        <v>19906</v>
      </c>
      <c r="T7049" t="s">
        <v>19901</v>
      </c>
    </row>
    <row r="7050" spans="2:20" x14ac:dyDescent="0.25">
      <c r="B7050" t="s">
        <v>2709</v>
      </c>
      <c r="C7050">
        <v>72125090</v>
      </c>
      <c r="E7050">
        <v>44</v>
      </c>
      <c r="F7050">
        <v>18</v>
      </c>
      <c r="G7050">
        <v>5</v>
      </c>
      <c r="H7050">
        <v>7.6</v>
      </c>
      <c r="I7050">
        <v>1.65</v>
      </c>
      <c r="J7050">
        <v>12</v>
      </c>
      <c r="L7050" t="s">
        <v>2709</v>
      </c>
      <c r="M7050">
        <v>72125090</v>
      </c>
      <c r="O7050" t="s">
        <v>20122</v>
      </c>
      <c r="P7050" t="s">
        <v>19899</v>
      </c>
      <c r="Q7050" t="s">
        <v>19909</v>
      </c>
      <c r="R7050" t="s">
        <v>19905</v>
      </c>
      <c r="S7050" t="s">
        <v>19906</v>
      </c>
      <c r="T7050" t="s">
        <v>19903</v>
      </c>
    </row>
    <row r="7051" spans="2:20" x14ac:dyDescent="0.25">
      <c r="B7051" t="s">
        <v>2709</v>
      </c>
      <c r="C7051">
        <v>72126000</v>
      </c>
      <c r="E7051">
        <v>44</v>
      </c>
      <c r="F7051">
        <v>18</v>
      </c>
      <c r="G7051">
        <v>5</v>
      </c>
      <c r="H7051">
        <v>7.6</v>
      </c>
      <c r="I7051">
        <v>1.65</v>
      </c>
      <c r="J7051">
        <v>12</v>
      </c>
      <c r="L7051" t="s">
        <v>2709</v>
      </c>
      <c r="M7051">
        <v>72126000</v>
      </c>
      <c r="O7051" t="s">
        <v>20122</v>
      </c>
      <c r="P7051" t="s">
        <v>19899</v>
      </c>
      <c r="Q7051" t="s">
        <v>19909</v>
      </c>
      <c r="R7051" t="s">
        <v>19905</v>
      </c>
      <c r="S7051" t="s">
        <v>19906</v>
      </c>
      <c r="T7051" t="s">
        <v>19903</v>
      </c>
    </row>
    <row r="7052" spans="2:20" x14ac:dyDescent="0.25">
      <c r="B7052" t="s">
        <v>2709</v>
      </c>
      <c r="C7052">
        <v>72131000</v>
      </c>
      <c r="E7052">
        <v>44</v>
      </c>
      <c r="F7052">
        <v>12</v>
      </c>
      <c r="G7052">
        <v>0</v>
      </c>
      <c r="H7052">
        <v>7.6</v>
      </c>
      <c r="I7052">
        <v>1.65</v>
      </c>
      <c r="J7052">
        <v>12</v>
      </c>
      <c r="L7052" t="s">
        <v>2709</v>
      </c>
      <c r="M7052">
        <v>72131000</v>
      </c>
      <c r="O7052" t="s">
        <v>20122</v>
      </c>
      <c r="P7052" t="s">
        <v>19903</v>
      </c>
      <c r="Q7052" t="s">
        <v>19900</v>
      </c>
      <c r="R7052" t="s">
        <v>19905</v>
      </c>
      <c r="S7052" t="s">
        <v>19906</v>
      </c>
      <c r="T7052" t="s">
        <v>19903</v>
      </c>
    </row>
    <row r="7053" spans="2:20" x14ac:dyDescent="0.25">
      <c r="B7053" t="s">
        <v>2709</v>
      </c>
      <c r="C7053">
        <v>72132000</v>
      </c>
      <c r="E7053">
        <v>44</v>
      </c>
      <c r="F7053">
        <v>12</v>
      </c>
      <c r="G7053">
        <v>0</v>
      </c>
      <c r="H7053">
        <v>7.6</v>
      </c>
      <c r="I7053">
        <v>1.65</v>
      </c>
      <c r="J7053">
        <v>12</v>
      </c>
      <c r="L7053" t="s">
        <v>2709</v>
      </c>
      <c r="M7053">
        <v>72132000</v>
      </c>
      <c r="O7053" t="s">
        <v>20122</v>
      </c>
      <c r="P7053" t="s">
        <v>19903</v>
      </c>
      <c r="Q7053" t="s">
        <v>19900</v>
      </c>
      <c r="R7053" t="s">
        <v>19905</v>
      </c>
      <c r="S7053" t="s">
        <v>19906</v>
      </c>
      <c r="T7053" t="s">
        <v>19903</v>
      </c>
    </row>
    <row r="7054" spans="2:20" x14ac:dyDescent="0.25">
      <c r="B7054" t="s">
        <v>2709</v>
      </c>
      <c r="C7054">
        <v>72139110</v>
      </c>
      <c r="E7054">
        <v>44</v>
      </c>
      <c r="F7054">
        <v>18</v>
      </c>
      <c r="G7054">
        <v>0</v>
      </c>
      <c r="H7054">
        <v>7.6</v>
      </c>
      <c r="I7054">
        <v>1.65</v>
      </c>
      <c r="J7054">
        <v>12</v>
      </c>
      <c r="L7054" t="s">
        <v>2709</v>
      </c>
      <c r="M7054">
        <v>72139110</v>
      </c>
      <c r="O7054" t="s">
        <v>20122</v>
      </c>
      <c r="P7054" t="s">
        <v>19899</v>
      </c>
      <c r="Q7054" t="s">
        <v>19900</v>
      </c>
      <c r="R7054" t="s">
        <v>19905</v>
      </c>
      <c r="S7054" t="s">
        <v>19906</v>
      </c>
      <c r="T7054" t="s">
        <v>19903</v>
      </c>
    </row>
    <row r="7055" spans="2:20" x14ac:dyDescent="0.25">
      <c r="B7055" t="s">
        <v>2709</v>
      </c>
      <c r="C7055">
        <v>72139190</v>
      </c>
      <c r="E7055">
        <v>44</v>
      </c>
      <c r="F7055">
        <v>18</v>
      </c>
      <c r="G7055">
        <v>0</v>
      </c>
      <c r="H7055">
        <v>7.6</v>
      </c>
      <c r="I7055">
        <v>1.65</v>
      </c>
      <c r="J7055">
        <v>12</v>
      </c>
      <c r="L7055" t="s">
        <v>2709</v>
      </c>
      <c r="M7055">
        <v>72139190</v>
      </c>
      <c r="O7055" t="s">
        <v>20122</v>
      </c>
      <c r="P7055" t="s">
        <v>19899</v>
      </c>
      <c r="Q7055" t="s">
        <v>19900</v>
      </c>
      <c r="R7055" t="s">
        <v>19905</v>
      </c>
      <c r="S7055" t="s">
        <v>19906</v>
      </c>
      <c r="T7055" t="s">
        <v>19903</v>
      </c>
    </row>
    <row r="7056" spans="2:20" x14ac:dyDescent="0.25">
      <c r="B7056" t="s">
        <v>2709</v>
      </c>
      <c r="C7056">
        <v>72139910</v>
      </c>
      <c r="E7056">
        <v>44</v>
      </c>
      <c r="F7056">
        <v>18</v>
      </c>
      <c r="G7056">
        <v>0</v>
      </c>
      <c r="H7056">
        <v>7.6</v>
      </c>
      <c r="I7056">
        <v>1.65</v>
      </c>
      <c r="J7056">
        <v>12</v>
      </c>
      <c r="L7056" t="s">
        <v>2709</v>
      </c>
      <c r="M7056">
        <v>72139910</v>
      </c>
      <c r="O7056" t="s">
        <v>20122</v>
      </c>
      <c r="P7056" t="s">
        <v>19899</v>
      </c>
      <c r="Q7056" t="s">
        <v>19900</v>
      </c>
      <c r="R7056" t="s">
        <v>19905</v>
      </c>
      <c r="S7056" t="s">
        <v>19906</v>
      </c>
      <c r="T7056" t="s">
        <v>19903</v>
      </c>
    </row>
    <row r="7057" spans="2:20" x14ac:dyDescent="0.25">
      <c r="B7057" t="s">
        <v>2709</v>
      </c>
      <c r="C7057">
        <v>72139990</v>
      </c>
      <c r="E7057">
        <v>44</v>
      </c>
      <c r="F7057">
        <v>18</v>
      </c>
      <c r="G7057">
        <v>0</v>
      </c>
      <c r="H7057">
        <v>7.6</v>
      </c>
      <c r="I7057">
        <v>1.65</v>
      </c>
      <c r="J7057">
        <v>12</v>
      </c>
      <c r="L7057" t="s">
        <v>2709</v>
      </c>
      <c r="M7057">
        <v>72139990</v>
      </c>
      <c r="O7057" t="s">
        <v>20122</v>
      </c>
      <c r="P7057" t="s">
        <v>19899</v>
      </c>
      <c r="Q7057" t="s">
        <v>19900</v>
      </c>
      <c r="R7057" t="s">
        <v>19905</v>
      </c>
      <c r="S7057" t="s">
        <v>19906</v>
      </c>
      <c r="T7057" t="s">
        <v>19903</v>
      </c>
    </row>
    <row r="7058" spans="2:20" x14ac:dyDescent="0.25">
      <c r="B7058" t="s">
        <v>2709</v>
      </c>
      <c r="C7058">
        <v>72141010</v>
      </c>
      <c r="E7058">
        <v>44</v>
      </c>
      <c r="F7058">
        <v>18</v>
      </c>
      <c r="G7058">
        <v>0</v>
      </c>
      <c r="H7058">
        <v>7.6</v>
      </c>
      <c r="I7058">
        <v>1.65</v>
      </c>
      <c r="J7058">
        <v>12</v>
      </c>
      <c r="L7058" t="s">
        <v>2709</v>
      </c>
      <c r="M7058">
        <v>72141010</v>
      </c>
      <c r="O7058" t="s">
        <v>20122</v>
      </c>
      <c r="P7058" t="s">
        <v>19899</v>
      </c>
      <c r="Q7058" t="s">
        <v>19900</v>
      </c>
      <c r="R7058" t="s">
        <v>19905</v>
      </c>
      <c r="S7058" t="s">
        <v>19906</v>
      </c>
      <c r="T7058" t="s">
        <v>19903</v>
      </c>
    </row>
    <row r="7059" spans="2:20" x14ac:dyDescent="0.25">
      <c r="B7059" t="s">
        <v>2709</v>
      </c>
      <c r="C7059">
        <v>72141090</v>
      </c>
      <c r="E7059">
        <v>44</v>
      </c>
      <c r="F7059">
        <v>18</v>
      </c>
      <c r="G7059">
        <v>0</v>
      </c>
      <c r="H7059">
        <v>7.6</v>
      </c>
      <c r="I7059">
        <v>1.65</v>
      </c>
      <c r="J7059">
        <v>12</v>
      </c>
      <c r="L7059" t="s">
        <v>2709</v>
      </c>
      <c r="M7059">
        <v>72141090</v>
      </c>
      <c r="O7059" t="s">
        <v>20122</v>
      </c>
      <c r="P7059" t="s">
        <v>19899</v>
      </c>
      <c r="Q7059" t="s">
        <v>19900</v>
      </c>
      <c r="R7059" t="s">
        <v>19905</v>
      </c>
      <c r="S7059" t="s">
        <v>19906</v>
      </c>
      <c r="T7059" t="s">
        <v>19903</v>
      </c>
    </row>
    <row r="7060" spans="2:20" x14ac:dyDescent="0.25">
      <c r="B7060" t="s">
        <v>2709</v>
      </c>
      <c r="C7060">
        <v>72142000</v>
      </c>
      <c r="E7060">
        <v>41</v>
      </c>
      <c r="F7060">
        <v>12</v>
      </c>
      <c r="G7060">
        <v>0</v>
      </c>
      <c r="H7060">
        <v>7.6</v>
      </c>
      <c r="I7060">
        <v>1.65</v>
      </c>
      <c r="J7060">
        <v>12</v>
      </c>
      <c r="L7060" t="s">
        <v>2709</v>
      </c>
      <c r="M7060">
        <v>72142000</v>
      </c>
      <c r="O7060" t="s">
        <v>20040</v>
      </c>
      <c r="P7060" t="s">
        <v>19903</v>
      </c>
      <c r="Q7060" t="s">
        <v>19900</v>
      </c>
      <c r="R7060" t="s">
        <v>19905</v>
      </c>
      <c r="S7060" t="s">
        <v>19906</v>
      </c>
      <c r="T7060" t="s">
        <v>19903</v>
      </c>
    </row>
    <row r="7061" spans="2:20" x14ac:dyDescent="0.25">
      <c r="B7061" t="s">
        <v>2709</v>
      </c>
      <c r="C7061">
        <v>72143000</v>
      </c>
      <c r="E7061">
        <v>44</v>
      </c>
      <c r="F7061">
        <v>12</v>
      </c>
      <c r="G7061">
        <v>0</v>
      </c>
      <c r="H7061">
        <v>7.6</v>
      </c>
      <c r="I7061">
        <v>1.65</v>
      </c>
      <c r="J7061">
        <v>12</v>
      </c>
      <c r="L7061" t="s">
        <v>2709</v>
      </c>
      <c r="M7061">
        <v>72143000</v>
      </c>
      <c r="O7061" t="s">
        <v>20122</v>
      </c>
      <c r="P7061" t="s">
        <v>19903</v>
      </c>
      <c r="Q7061" t="s">
        <v>19900</v>
      </c>
      <c r="R7061" t="s">
        <v>19905</v>
      </c>
      <c r="S7061" t="s">
        <v>19906</v>
      </c>
      <c r="T7061" t="s">
        <v>19903</v>
      </c>
    </row>
    <row r="7062" spans="2:20" x14ac:dyDescent="0.25">
      <c r="B7062" t="s">
        <v>2709</v>
      </c>
      <c r="C7062">
        <v>72149100</v>
      </c>
      <c r="E7062">
        <v>44</v>
      </c>
      <c r="F7062">
        <v>12</v>
      </c>
      <c r="G7062">
        <v>0</v>
      </c>
      <c r="H7062">
        <v>7.6</v>
      </c>
      <c r="I7062">
        <v>1.65</v>
      </c>
      <c r="J7062">
        <v>12</v>
      </c>
      <c r="L7062" t="s">
        <v>2709</v>
      </c>
      <c r="M7062">
        <v>72149100</v>
      </c>
      <c r="O7062" t="s">
        <v>20122</v>
      </c>
      <c r="P7062" t="s">
        <v>19903</v>
      </c>
      <c r="Q7062" t="s">
        <v>19900</v>
      </c>
      <c r="R7062" t="s">
        <v>19905</v>
      </c>
      <c r="S7062" t="s">
        <v>19906</v>
      </c>
      <c r="T7062" t="s">
        <v>19903</v>
      </c>
    </row>
    <row r="7063" spans="2:20" x14ac:dyDescent="0.25">
      <c r="B7063" t="s">
        <v>2709</v>
      </c>
      <c r="C7063">
        <v>72149910</v>
      </c>
      <c r="E7063">
        <v>44</v>
      </c>
      <c r="F7063">
        <v>12</v>
      </c>
      <c r="G7063">
        <v>0</v>
      </c>
      <c r="H7063">
        <v>7.6</v>
      </c>
      <c r="I7063">
        <v>1.65</v>
      </c>
      <c r="J7063">
        <v>12</v>
      </c>
      <c r="L7063" t="s">
        <v>2709</v>
      </c>
      <c r="M7063">
        <v>72149910</v>
      </c>
      <c r="O7063" t="s">
        <v>20122</v>
      </c>
      <c r="P7063" t="s">
        <v>19903</v>
      </c>
      <c r="Q7063" t="s">
        <v>19900</v>
      </c>
      <c r="R7063" t="s">
        <v>19905</v>
      </c>
      <c r="S7063" t="s">
        <v>19906</v>
      </c>
      <c r="T7063" t="s">
        <v>19903</v>
      </c>
    </row>
    <row r="7064" spans="2:20" x14ac:dyDescent="0.25">
      <c r="B7064" t="s">
        <v>2709</v>
      </c>
      <c r="C7064">
        <v>72149990</v>
      </c>
      <c r="E7064">
        <v>44</v>
      </c>
      <c r="F7064">
        <v>12</v>
      </c>
      <c r="G7064">
        <v>0</v>
      </c>
      <c r="H7064">
        <v>7.6</v>
      </c>
      <c r="I7064">
        <v>1.65</v>
      </c>
      <c r="J7064">
        <v>12</v>
      </c>
      <c r="L7064" t="s">
        <v>2709</v>
      </c>
      <c r="M7064">
        <v>72149990</v>
      </c>
      <c r="O7064" t="s">
        <v>20122</v>
      </c>
      <c r="P7064" t="s">
        <v>19903</v>
      </c>
      <c r="Q7064" t="s">
        <v>19900</v>
      </c>
      <c r="R7064" t="s">
        <v>19905</v>
      </c>
      <c r="S7064" t="s">
        <v>19906</v>
      </c>
      <c r="T7064" t="s">
        <v>19903</v>
      </c>
    </row>
    <row r="7065" spans="2:20" x14ac:dyDescent="0.25">
      <c r="B7065" t="s">
        <v>2709</v>
      </c>
      <c r="C7065">
        <v>72151000</v>
      </c>
      <c r="E7065">
        <v>44</v>
      </c>
      <c r="F7065">
        <v>12</v>
      </c>
      <c r="G7065">
        <v>5</v>
      </c>
      <c r="H7065">
        <v>7.6</v>
      </c>
      <c r="I7065">
        <v>1.65</v>
      </c>
      <c r="J7065">
        <v>12</v>
      </c>
      <c r="L7065" t="s">
        <v>2709</v>
      </c>
      <c r="M7065">
        <v>72151000</v>
      </c>
      <c r="O7065" t="s">
        <v>20122</v>
      </c>
      <c r="P7065" t="s">
        <v>19903</v>
      </c>
      <c r="Q7065" t="s">
        <v>19909</v>
      </c>
      <c r="R7065" t="s">
        <v>19905</v>
      </c>
      <c r="S7065" t="s">
        <v>19906</v>
      </c>
      <c r="T7065" t="s">
        <v>19903</v>
      </c>
    </row>
    <row r="7066" spans="2:20" x14ac:dyDescent="0.25">
      <c r="B7066" t="s">
        <v>2709</v>
      </c>
      <c r="C7066">
        <v>72155000</v>
      </c>
      <c r="E7066">
        <v>44</v>
      </c>
      <c r="F7066">
        <v>12</v>
      </c>
      <c r="G7066">
        <v>5</v>
      </c>
      <c r="H7066">
        <v>7.6</v>
      </c>
      <c r="I7066">
        <v>1.65</v>
      </c>
      <c r="J7066">
        <v>12</v>
      </c>
      <c r="L7066" t="s">
        <v>2709</v>
      </c>
      <c r="M7066">
        <v>72155000</v>
      </c>
      <c r="O7066" t="s">
        <v>20122</v>
      </c>
      <c r="P7066" t="s">
        <v>19903</v>
      </c>
      <c r="Q7066" t="s">
        <v>19909</v>
      </c>
      <c r="R7066" t="s">
        <v>19905</v>
      </c>
      <c r="S7066" t="s">
        <v>19906</v>
      </c>
      <c r="T7066" t="s">
        <v>19903</v>
      </c>
    </row>
    <row r="7067" spans="2:20" x14ac:dyDescent="0.25">
      <c r="B7067" t="s">
        <v>2709</v>
      </c>
      <c r="C7067">
        <v>72159010</v>
      </c>
      <c r="E7067">
        <v>44</v>
      </c>
      <c r="F7067">
        <v>18</v>
      </c>
      <c r="G7067">
        <v>5</v>
      </c>
      <c r="H7067">
        <v>7.6</v>
      </c>
      <c r="I7067">
        <v>1.65</v>
      </c>
      <c r="J7067">
        <v>12</v>
      </c>
      <c r="L7067" t="s">
        <v>2709</v>
      </c>
      <c r="M7067">
        <v>72159010</v>
      </c>
      <c r="O7067" t="s">
        <v>20122</v>
      </c>
      <c r="P7067" t="s">
        <v>19899</v>
      </c>
      <c r="Q7067" t="s">
        <v>19909</v>
      </c>
      <c r="R7067" t="s">
        <v>19905</v>
      </c>
      <c r="S7067" t="s">
        <v>19906</v>
      </c>
      <c r="T7067" t="s">
        <v>19903</v>
      </c>
    </row>
    <row r="7068" spans="2:20" x14ac:dyDescent="0.25">
      <c r="B7068" t="s">
        <v>2709</v>
      </c>
      <c r="C7068">
        <v>72159090</v>
      </c>
      <c r="E7068">
        <v>44</v>
      </c>
      <c r="F7068">
        <v>18</v>
      </c>
      <c r="G7068">
        <v>5</v>
      </c>
      <c r="H7068">
        <v>7.6</v>
      </c>
      <c r="I7068">
        <v>1.65</v>
      </c>
      <c r="J7068">
        <v>12</v>
      </c>
      <c r="L7068" t="s">
        <v>2709</v>
      </c>
      <c r="M7068">
        <v>72159090</v>
      </c>
      <c r="O7068" t="s">
        <v>20122</v>
      </c>
      <c r="P7068" t="s">
        <v>19899</v>
      </c>
      <c r="Q7068" t="s">
        <v>19909</v>
      </c>
      <c r="R7068" t="s">
        <v>19905</v>
      </c>
      <c r="S7068" t="s">
        <v>19906</v>
      </c>
      <c r="T7068" t="s">
        <v>19903</v>
      </c>
    </row>
    <row r="7069" spans="2:20" x14ac:dyDescent="0.25">
      <c r="B7069" t="s">
        <v>2709</v>
      </c>
      <c r="C7069">
        <v>72161000</v>
      </c>
      <c r="E7069">
        <v>44</v>
      </c>
      <c r="F7069">
        <v>12</v>
      </c>
      <c r="G7069">
        <v>0</v>
      </c>
      <c r="H7069">
        <v>7.6</v>
      </c>
      <c r="I7069">
        <v>1.65</v>
      </c>
      <c r="J7069">
        <v>12</v>
      </c>
      <c r="L7069" t="s">
        <v>2709</v>
      </c>
      <c r="M7069">
        <v>72161000</v>
      </c>
      <c r="O7069" t="s">
        <v>20122</v>
      </c>
      <c r="P7069" t="s">
        <v>19903</v>
      </c>
      <c r="Q7069" t="s">
        <v>19900</v>
      </c>
      <c r="R7069" t="s">
        <v>19905</v>
      </c>
      <c r="S7069" t="s">
        <v>19906</v>
      </c>
      <c r="T7069" t="s">
        <v>19903</v>
      </c>
    </row>
    <row r="7070" spans="2:20" x14ac:dyDescent="0.25">
      <c r="B7070" t="s">
        <v>2709</v>
      </c>
      <c r="C7070">
        <v>72162100</v>
      </c>
      <c r="E7070">
        <v>44</v>
      </c>
      <c r="F7070">
        <v>12</v>
      </c>
      <c r="G7070">
        <v>0</v>
      </c>
      <c r="H7070">
        <v>7.6</v>
      </c>
      <c r="I7070">
        <v>1.65</v>
      </c>
      <c r="J7070">
        <v>12</v>
      </c>
      <c r="L7070" t="s">
        <v>2709</v>
      </c>
      <c r="M7070">
        <v>72162100</v>
      </c>
      <c r="O7070" t="s">
        <v>20122</v>
      </c>
      <c r="P7070" t="s">
        <v>19903</v>
      </c>
      <c r="Q7070" t="s">
        <v>19900</v>
      </c>
      <c r="R7070" t="s">
        <v>19905</v>
      </c>
      <c r="S7070" t="s">
        <v>19906</v>
      </c>
      <c r="T7070" t="s">
        <v>19903</v>
      </c>
    </row>
    <row r="7071" spans="2:20" x14ac:dyDescent="0.25">
      <c r="B7071" t="s">
        <v>2709</v>
      </c>
      <c r="C7071">
        <v>72162200</v>
      </c>
      <c r="E7071">
        <v>44</v>
      </c>
      <c r="F7071">
        <v>12</v>
      </c>
      <c r="G7071">
        <v>0</v>
      </c>
      <c r="H7071">
        <v>7.6</v>
      </c>
      <c r="I7071">
        <v>1.65</v>
      </c>
      <c r="J7071">
        <v>12</v>
      </c>
      <c r="L7071" t="s">
        <v>2709</v>
      </c>
      <c r="M7071">
        <v>72162200</v>
      </c>
      <c r="O7071" t="s">
        <v>20122</v>
      </c>
      <c r="P7071" t="s">
        <v>19903</v>
      </c>
      <c r="Q7071" t="s">
        <v>19900</v>
      </c>
      <c r="R7071" t="s">
        <v>19905</v>
      </c>
      <c r="S7071" t="s">
        <v>19906</v>
      </c>
      <c r="T7071" t="s">
        <v>19903</v>
      </c>
    </row>
    <row r="7072" spans="2:20" x14ac:dyDescent="0.25">
      <c r="B7072" t="s">
        <v>2709</v>
      </c>
      <c r="C7072">
        <v>72163100</v>
      </c>
      <c r="E7072">
        <v>44</v>
      </c>
      <c r="F7072">
        <v>12</v>
      </c>
      <c r="G7072">
        <v>0</v>
      </c>
      <c r="H7072">
        <v>7.6</v>
      </c>
      <c r="I7072">
        <v>1.65</v>
      </c>
      <c r="J7072">
        <v>12</v>
      </c>
      <c r="L7072" t="s">
        <v>2709</v>
      </c>
      <c r="M7072">
        <v>72163100</v>
      </c>
      <c r="O7072" t="s">
        <v>20122</v>
      </c>
      <c r="P7072" t="s">
        <v>19903</v>
      </c>
      <c r="Q7072" t="s">
        <v>19900</v>
      </c>
      <c r="R7072" t="s">
        <v>19905</v>
      </c>
      <c r="S7072" t="s">
        <v>19906</v>
      </c>
      <c r="T7072" t="s">
        <v>19903</v>
      </c>
    </row>
    <row r="7073" spans="2:20" x14ac:dyDescent="0.25">
      <c r="B7073" t="s">
        <v>2709</v>
      </c>
      <c r="C7073">
        <v>72163200</v>
      </c>
      <c r="E7073">
        <v>44</v>
      </c>
      <c r="F7073">
        <v>12</v>
      </c>
      <c r="G7073">
        <v>0</v>
      </c>
      <c r="H7073">
        <v>7.6</v>
      </c>
      <c r="I7073">
        <v>1.65</v>
      </c>
      <c r="J7073">
        <v>12</v>
      </c>
      <c r="L7073" t="s">
        <v>2709</v>
      </c>
      <c r="M7073">
        <v>72163200</v>
      </c>
      <c r="O7073" t="s">
        <v>20122</v>
      </c>
      <c r="P7073" t="s">
        <v>19903</v>
      </c>
      <c r="Q7073" t="s">
        <v>19900</v>
      </c>
      <c r="R7073" t="s">
        <v>19905</v>
      </c>
      <c r="S7073" t="s">
        <v>19906</v>
      </c>
      <c r="T7073" t="s">
        <v>19903</v>
      </c>
    </row>
    <row r="7074" spans="2:20" x14ac:dyDescent="0.25">
      <c r="B7074" t="s">
        <v>2709</v>
      </c>
      <c r="C7074">
        <v>72163300</v>
      </c>
      <c r="E7074">
        <v>44</v>
      </c>
      <c r="F7074">
        <v>18</v>
      </c>
      <c r="G7074">
        <v>0</v>
      </c>
      <c r="H7074">
        <v>7.6</v>
      </c>
      <c r="I7074">
        <v>1.65</v>
      </c>
      <c r="J7074">
        <v>12</v>
      </c>
      <c r="L7074" t="s">
        <v>2709</v>
      </c>
      <c r="M7074">
        <v>72163300</v>
      </c>
      <c r="O7074" t="s">
        <v>20122</v>
      </c>
      <c r="P7074" t="s">
        <v>19899</v>
      </c>
      <c r="Q7074" t="s">
        <v>19900</v>
      </c>
      <c r="R7074" t="s">
        <v>19905</v>
      </c>
      <c r="S7074" t="s">
        <v>19906</v>
      </c>
      <c r="T7074" t="s">
        <v>19903</v>
      </c>
    </row>
    <row r="7075" spans="2:20" x14ac:dyDescent="0.25">
      <c r="B7075" t="s">
        <v>2709</v>
      </c>
      <c r="C7075">
        <v>72164010</v>
      </c>
      <c r="E7075">
        <v>44</v>
      </c>
      <c r="F7075">
        <v>18</v>
      </c>
      <c r="G7075">
        <v>0</v>
      </c>
      <c r="H7075">
        <v>7.6</v>
      </c>
      <c r="I7075">
        <v>1.65</v>
      </c>
      <c r="J7075">
        <v>12</v>
      </c>
      <c r="L7075" t="s">
        <v>2709</v>
      </c>
      <c r="M7075">
        <v>72164010</v>
      </c>
      <c r="O7075" t="s">
        <v>20122</v>
      </c>
      <c r="P7075" t="s">
        <v>19899</v>
      </c>
      <c r="Q7075" t="s">
        <v>19900</v>
      </c>
      <c r="R7075" t="s">
        <v>19905</v>
      </c>
      <c r="S7075" t="s">
        <v>19906</v>
      </c>
      <c r="T7075" t="s">
        <v>19903</v>
      </c>
    </row>
    <row r="7076" spans="2:20" x14ac:dyDescent="0.25">
      <c r="B7076" t="s">
        <v>2709</v>
      </c>
      <c r="C7076">
        <v>72164090</v>
      </c>
      <c r="E7076">
        <v>44</v>
      </c>
      <c r="F7076">
        <v>18</v>
      </c>
      <c r="G7076">
        <v>0</v>
      </c>
      <c r="H7076">
        <v>7.6</v>
      </c>
      <c r="I7076">
        <v>1.65</v>
      </c>
      <c r="J7076">
        <v>12</v>
      </c>
      <c r="L7076" t="s">
        <v>2709</v>
      </c>
      <c r="M7076">
        <v>72164090</v>
      </c>
      <c r="O7076" t="s">
        <v>20122</v>
      </c>
      <c r="P7076" t="s">
        <v>19899</v>
      </c>
      <c r="Q7076" t="s">
        <v>19900</v>
      </c>
      <c r="R7076" t="s">
        <v>19905</v>
      </c>
      <c r="S7076" t="s">
        <v>19906</v>
      </c>
      <c r="T7076" t="s">
        <v>19903</v>
      </c>
    </row>
    <row r="7077" spans="2:20" x14ac:dyDescent="0.25">
      <c r="B7077" t="s">
        <v>2709</v>
      </c>
      <c r="C7077">
        <v>72165000</v>
      </c>
      <c r="E7077">
        <v>44</v>
      </c>
      <c r="F7077">
        <v>18</v>
      </c>
      <c r="G7077">
        <v>0</v>
      </c>
      <c r="H7077">
        <v>7.6</v>
      </c>
      <c r="I7077">
        <v>1.65</v>
      </c>
      <c r="J7077">
        <v>12</v>
      </c>
      <c r="L7077" t="s">
        <v>2709</v>
      </c>
      <c r="M7077">
        <v>72165000</v>
      </c>
      <c r="O7077" t="s">
        <v>20122</v>
      </c>
      <c r="P7077" t="s">
        <v>19899</v>
      </c>
      <c r="Q7077" t="s">
        <v>19900</v>
      </c>
      <c r="R7077" t="s">
        <v>19905</v>
      </c>
      <c r="S7077" t="s">
        <v>19906</v>
      </c>
      <c r="T7077" t="s">
        <v>19903</v>
      </c>
    </row>
    <row r="7078" spans="2:20" x14ac:dyDescent="0.25">
      <c r="B7078" t="s">
        <v>2709</v>
      </c>
      <c r="C7078">
        <v>72166110</v>
      </c>
      <c r="E7078">
        <v>44</v>
      </c>
      <c r="F7078">
        <v>18</v>
      </c>
      <c r="G7078">
        <v>0</v>
      </c>
      <c r="H7078">
        <v>7.6</v>
      </c>
      <c r="I7078">
        <v>1.65</v>
      </c>
      <c r="J7078">
        <v>12</v>
      </c>
      <c r="L7078" t="s">
        <v>2709</v>
      </c>
      <c r="M7078">
        <v>72166110</v>
      </c>
      <c r="O7078" t="s">
        <v>20122</v>
      </c>
      <c r="P7078" t="s">
        <v>19899</v>
      </c>
      <c r="Q7078" t="s">
        <v>19900</v>
      </c>
      <c r="R7078" t="s">
        <v>19905</v>
      </c>
      <c r="S7078" t="s">
        <v>19906</v>
      </c>
      <c r="T7078" t="s">
        <v>19903</v>
      </c>
    </row>
    <row r="7079" spans="2:20" x14ac:dyDescent="0.25">
      <c r="B7079" t="s">
        <v>2709</v>
      </c>
      <c r="C7079">
        <v>72166190</v>
      </c>
      <c r="E7079">
        <v>44</v>
      </c>
      <c r="F7079">
        <v>18</v>
      </c>
      <c r="G7079">
        <v>0</v>
      </c>
      <c r="H7079">
        <v>7.6</v>
      </c>
      <c r="I7079">
        <v>1.65</v>
      </c>
      <c r="J7079">
        <v>12</v>
      </c>
      <c r="L7079" t="s">
        <v>2709</v>
      </c>
      <c r="M7079">
        <v>72166190</v>
      </c>
      <c r="O7079" t="s">
        <v>20122</v>
      </c>
      <c r="P7079" t="s">
        <v>19899</v>
      </c>
      <c r="Q7079" t="s">
        <v>19900</v>
      </c>
      <c r="R7079" t="s">
        <v>19905</v>
      </c>
      <c r="S7079" t="s">
        <v>19906</v>
      </c>
      <c r="T7079" t="s">
        <v>19903</v>
      </c>
    </row>
    <row r="7080" spans="2:20" x14ac:dyDescent="0.25">
      <c r="B7080" t="s">
        <v>2709</v>
      </c>
      <c r="C7080">
        <v>72166910</v>
      </c>
      <c r="E7080">
        <v>44</v>
      </c>
      <c r="F7080">
        <v>18</v>
      </c>
      <c r="G7080">
        <v>0</v>
      </c>
      <c r="H7080">
        <v>7.6</v>
      </c>
      <c r="I7080">
        <v>1.65</v>
      </c>
      <c r="J7080">
        <v>12</v>
      </c>
      <c r="L7080" t="s">
        <v>2709</v>
      </c>
      <c r="M7080">
        <v>72166910</v>
      </c>
      <c r="O7080" t="s">
        <v>20122</v>
      </c>
      <c r="P7080" t="s">
        <v>19899</v>
      </c>
      <c r="Q7080" t="s">
        <v>19900</v>
      </c>
      <c r="R7080" t="s">
        <v>19905</v>
      </c>
      <c r="S7080" t="s">
        <v>19906</v>
      </c>
      <c r="T7080" t="s">
        <v>19903</v>
      </c>
    </row>
    <row r="7081" spans="2:20" x14ac:dyDescent="0.25">
      <c r="B7081" t="s">
        <v>2709</v>
      </c>
      <c r="C7081">
        <v>72166990</v>
      </c>
      <c r="E7081">
        <v>44</v>
      </c>
      <c r="F7081">
        <v>18</v>
      </c>
      <c r="G7081">
        <v>0</v>
      </c>
      <c r="H7081">
        <v>7.6</v>
      </c>
      <c r="I7081">
        <v>1.65</v>
      </c>
      <c r="J7081">
        <v>12</v>
      </c>
      <c r="L7081" t="s">
        <v>2709</v>
      </c>
      <c r="M7081">
        <v>72166990</v>
      </c>
      <c r="O7081" t="s">
        <v>20122</v>
      </c>
      <c r="P7081" t="s">
        <v>19899</v>
      </c>
      <c r="Q7081" t="s">
        <v>19900</v>
      </c>
      <c r="R7081" t="s">
        <v>19905</v>
      </c>
      <c r="S7081" t="s">
        <v>19906</v>
      </c>
      <c r="T7081" t="s">
        <v>19903</v>
      </c>
    </row>
    <row r="7082" spans="2:20" x14ac:dyDescent="0.25">
      <c r="B7082" t="s">
        <v>2709</v>
      </c>
      <c r="C7082">
        <v>72169100</v>
      </c>
      <c r="E7082">
        <v>44</v>
      </c>
      <c r="F7082">
        <v>18</v>
      </c>
      <c r="G7082">
        <v>0</v>
      </c>
      <c r="H7082">
        <v>7.6</v>
      </c>
      <c r="I7082">
        <v>1.65</v>
      </c>
      <c r="J7082">
        <v>12</v>
      </c>
      <c r="L7082" t="s">
        <v>2709</v>
      </c>
      <c r="M7082">
        <v>72169100</v>
      </c>
      <c r="O7082" t="s">
        <v>20122</v>
      </c>
      <c r="P7082" t="s">
        <v>19899</v>
      </c>
      <c r="Q7082" t="s">
        <v>19900</v>
      </c>
      <c r="R7082" t="s">
        <v>19905</v>
      </c>
      <c r="S7082" t="s">
        <v>19906</v>
      </c>
      <c r="T7082" t="s">
        <v>19903</v>
      </c>
    </row>
    <row r="7083" spans="2:20" x14ac:dyDescent="0.25">
      <c r="B7083" t="s">
        <v>2709</v>
      </c>
      <c r="C7083">
        <v>72169900</v>
      </c>
      <c r="E7083">
        <v>44</v>
      </c>
      <c r="F7083">
        <v>18</v>
      </c>
      <c r="G7083">
        <v>0</v>
      </c>
      <c r="H7083">
        <v>7.6</v>
      </c>
      <c r="I7083">
        <v>1.65</v>
      </c>
      <c r="J7083">
        <v>12</v>
      </c>
      <c r="L7083" t="s">
        <v>2709</v>
      </c>
      <c r="M7083">
        <v>72169900</v>
      </c>
      <c r="O7083" t="s">
        <v>20122</v>
      </c>
      <c r="P7083" t="s">
        <v>19899</v>
      </c>
      <c r="Q7083" t="s">
        <v>19900</v>
      </c>
      <c r="R7083" t="s">
        <v>19905</v>
      </c>
      <c r="S7083" t="s">
        <v>19906</v>
      </c>
      <c r="T7083" t="s">
        <v>19903</v>
      </c>
    </row>
    <row r="7084" spans="2:20" x14ac:dyDescent="0.25">
      <c r="B7084" t="s">
        <v>2709</v>
      </c>
      <c r="C7084">
        <v>72171011</v>
      </c>
      <c r="E7084">
        <v>44</v>
      </c>
      <c r="F7084">
        <v>18</v>
      </c>
      <c r="G7084">
        <v>5</v>
      </c>
      <c r="H7084">
        <v>7.6</v>
      </c>
      <c r="I7084">
        <v>1.65</v>
      </c>
      <c r="J7084">
        <v>2</v>
      </c>
      <c r="L7084" t="s">
        <v>2709</v>
      </c>
      <c r="M7084">
        <v>72171011</v>
      </c>
      <c r="O7084" t="s">
        <v>20122</v>
      </c>
      <c r="P7084" t="s">
        <v>19899</v>
      </c>
      <c r="Q7084" t="s">
        <v>19909</v>
      </c>
      <c r="R7084" t="s">
        <v>19905</v>
      </c>
      <c r="S7084" t="s">
        <v>19906</v>
      </c>
      <c r="T7084" t="s">
        <v>19901</v>
      </c>
    </row>
    <row r="7085" spans="2:20" x14ac:dyDescent="0.25">
      <c r="B7085" t="s">
        <v>2709</v>
      </c>
      <c r="C7085">
        <v>72171019</v>
      </c>
      <c r="E7085">
        <v>44</v>
      </c>
      <c r="F7085">
        <v>18</v>
      </c>
      <c r="G7085">
        <v>5</v>
      </c>
      <c r="H7085">
        <v>7.6</v>
      </c>
      <c r="I7085">
        <v>1.65</v>
      </c>
      <c r="J7085">
        <v>12</v>
      </c>
      <c r="L7085" t="s">
        <v>2709</v>
      </c>
      <c r="M7085">
        <v>72171019</v>
      </c>
      <c r="O7085" t="s">
        <v>20122</v>
      </c>
      <c r="P7085" t="s">
        <v>19899</v>
      </c>
      <c r="Q7085" t="s">
        <v>19909</v>
      </c>
      <c r="R7085" t="s">
        <v>19905</v>
      </c>
      <c r="S7085" t="s">
        <v>19906</v>
      </c>
      <c r="T7085" t="s">
        <v>19903</v>
      </c>
    </row>
    <row r="7086" spans="2:20" x14ac:dyDescent="0.25">
      <c r="B7086" t="s">
        <v>2709</v>
      </c>
      <c r="C7086">
        <v>72171090</v>
      </c>
      <c r="E7086">
        <v>44</v>
      </c>
      <c r="F7086">
        <v>12</v>
      </c>
      <c r="G7086">
        <v>5</v>
      </c>
      <c r="H7086">
        <v>7.6</v>
      </c>
      <c r="I7086">
        <v>1.65</v>
      </c>
      <c r="J7086">
        <v>12</v>
      </c>
      <c r="L7086" t="s">
        <v>2709</v>
      </c>
      <c r="M7086">
        <v>72171090</v>
      </c>
      <c r="O7086" t="s">
        <v>20122</v>
      </c>
      <c r="P7086" t="s">
        <v>19903</v>
      </c>
      <c r="Q7086" t="s">
        <v>19909</v>
      </c>
      <c r="R7086" t="s">
        <v>19905</v>
      </c>
      <c r="S7086" t="s">
        <v>19906</v>
      </c>
      <c r="T7086" t="s">
        <v>19903</v>
      </c>
    </row>
    <row r="7087" spans="2:20" x14ac:dyDescent="0.25">
      <c r="B7087" t="s">
        <v>2709</v>
      </c>
      <c r="C7087">
        <v>72172010</v>
      </c>
      <c r="E7087">
        <v>44</v>
      </c>
      <c r="F7087">
        <v>18</v>
      </c>
      <c r="G7087">
        <v>5</v>
      </c>
      <c r="H7087">
        <v>7.6</v>
      </c>
      <c r="I7087">
        <v>1.65</v>
      </c>
      <c r="J7087">
        <v>12</v>
      </c>
      <c r="L7087" t="s">
        <v>2709</v>
      </c>
      <c r="M7087">
        <v>72172010</v>
      </c>
      <c r="O7087" t="s">
        <v>20122</v>
      </c>
      <c r="P7087" t="s">
        <v>19899</v>
      </c>
      <c r="Q7087" t="s">
        <v>19909</v>
      </c>
      <c r="R7087" t="s">
        <v>19905</v>
      </c>
      <c r="S7087" t="s">
        <v>19906</v>
      </c>
      <c r="T7087" t="s">
        <v>19903</v>
      </c>
    </row>
    <row r="7088" spans="2:20" x14ac:dyDescent="0.25">
      <c r="B7088" t="s">
        <v>2709</v>
      </c>
      <c r="C7088">
        <v>72172090</v>
      </c>
      <c r="E7088">
        <v>42</v>
      </c>
      <c r="F7088">
        <v>12</v>
      </c>
      <c r="G7088">
        <v>5</v>
      </c>
      <c r="H7088">
        <v>7.6</v>
      </c>
      <c r="I7088">
        <v>1.65</v>
      </c>
      <c r="J7088">
        <v>12</v>
      </c>
      <c r="L7088" t="s">
        <v>2709</v>
      </c>
      <c r="M7088">
        <v>72172090</v>
      </c>
      <c r="O7088" t="s">
        <v>20041</v>
      </c>
      <c r="P7088" t="s">
        <v>19903</v>
      </c>
      <c r="Q7088" t="s">
        <v>19909</v>
      </c>
      <c r="R7088" t="s">
        <v>19905</v>
      </c>
      <c r="S7088" t="s">
        <v>19906</v>
      </c>
      <c r="T7088" t="s">
        <v>19903</v>
      </c>
    </row>
    <row r="7089" spans="2:20" x14ac:dyDescent="0.25">
      <c r="B7089" t="s">
        <v>2709</v>
      </c>
      <c r="C7089">
        <v>72173010</v>
      </c>
      <c r="E7089">
        <v>44</v>
      </c>
      <c r="F7089">
        <v>18</v>
      </c>
      <c r="G7089">
        <v>5</v>
      </c>
      <c r="H7089">
        <v>7.6</v>
      </c>
      <c r="I7089">
        <v>1.65</v>
      </c>
      <c r="J7089">
        <v>12</v>
      </c>
      <c r="L7089" t="s">
        <v>2709</v>
      </c>
      <c r="M7089">
        <v>72173010</v>
      </c>
      <c r="O7089" t="s">
        <v>20122</v>
      </c>
      <c r="P7089" t="s">
        <v>19899</v>
      </c>
      <c r="Q7089" t="s">
        <v>19909</v>
      </c>
      <c r="R7089" t="s">
        <v>19905</v>
      </c>
      <c r="S7089" t="s">
        <v>19906</v>
      </c>
      <c r="T7089" t="s">
        <v>19903</v>
      </c>
    </row>
    <row r="7090" spans="2:20" x14ac:dyDescent="0.25">
      <c r="B7090" t="s">
        <v>2709</v>
      </c>
      <c r="C7090">
        <v>72173090</v>
      </c>
      <c r="E7090">
        <v>44</v>
      </c>
      <c r="F7090">
        <v>18</v>
      </c>
      <c r="G7090">
        <v>5</v>
      </c>
      <c r="H7090">
        <v>7.6</v>
      </c>
      <c r="I7090">
        <v>1.65</v>
      </c>
      <c r="J7090">
        <v>12</v>
      </c>
      <c r="L7090" t="s">
        <v>2709</v>
      </c>
      <c r="M7090">
        <v>72173090</v>
      </c>
      <c r="O7090" t="s">
        <v>20122</v>
      </c>
      <c r="P7090" t="s">
        <v>19899</v>
      </c>
      <c r="Q7090" t="s">
        <v>19909</v>
      </c>
      <c r="R7090" t="s">
        <v>19905</v>
      </c>
      <c r="S7090" t="s">
        <v>19906</v>
      </c>
      <c r="T7090" t="s">
        <v>19903</v>
      </c>
    </row>
    <row r="7091" spans="2:20" x14ac:dyDescent="0.25">
      <c r="B7091" t="s">
        <v>2709</v>
      </c>
      <c r="C7091">
        <v>72179000</v>
      </c>
      <c r="E7091">
        <v>44</v>
      </c>
      <c r="F7091">
        <v>12</v>
      </c>
      <c r="G7091">
        <v>5</v>
      </c>
      <c r="H7091">
        <v>7.6</v>
      </c>
      <c r="I7091">
        <v>1.65</v>
      </c>
      <c r="J7091">
        <v>12</v>
      </c>
      <c r="L7091" t="s">
        <v>2709</v>
      </c>
      <c r="M7091">
        <v>72179000</v>
      </c>
      <c r="O7091" t="s">
        <v>20122</v>
      </c>
      <c r="P7091" t="s">
        <v>19903</v>
      </c>
      <c r="Q7091" t="s">
        <v>19909</v>
      </c>
      <c r="R7091" t="s">
        <v>19905</v>
      </c>
      <c r="S7091" t="s">
        <v>19906</v>
      </c>
      <c r="T7091" t="s">
        <v>19903</v>
      </c>
    </row>
    <row r="7092" spans="2:20" x14ac:dyDescent="0.25">
      <c r="B7092" t="s">
        <v>2709</v>
      </c>
      <c r="C7092">
        <v>72181000</v>
      </c>
      <c r="E7092">
        <v>44</v>
      </c>
      <c r="F7092">
        <v>18</v>
      </c>
      <c r="G7092">
        <v>5</v>
      </c>
      <c r="H7092">
        <v>7.6</v>
      </c>
      <c r="I7092">
        <v>1.65</v>
      </c>
      <c r="J7092">
        <v>8</v>
      </c>
      <c r="L7092" t="s">
        <v>2709</v>
      </c>
      <c r="M7092">
        <v>72181000</v>
      </c>
      <c r="O7092" t="s">
        <v>20122</v>
      </c>
      <c r="P7092" t="s">
        <v>19899</v>
      </c>
      <c r="Q7092" t="s">
        <v>19909</v>
      </c>
      <c r="R7092" t="s">
        <v>19905</v>
      </c>
      <c r="S7092" t="s">
        <v>19906</v>
      </c>
      <c r="T7092" t="s">
        <v>19918</v>
      </c>
    </row>
    <row r="7093" spans="2:20" x14ac:dyDescent="0.25">
      <c r="B7093" t="s">
        <v>2709</v>
      </c>
      <c r="C7093">
        <v>72189100</v>
      </c>
      <c r="E7093">
        <v>44</v>
      </c>
      <c r="F7093">
        <v>18</v>
      </c>
      <c r="G7093">
        <v>5</v>
      </c>
      <c r="H7093">
        <v>7.6</v>
      </c>
      <c r="I7093">
        <v>1.65</v>
      </c>
      <c r="J7093">
        <v>8</v>
      </c>
      <c r="L7093" t="s">
        <v>2709</v>
      </c>
      <c r="M7093">
        <v>72189100</v>
      </c>
      <c r="O7093" t="s">
        <v>20122</v>
      </c>
      <c r="P7093" t="s">
        <v>19899</v>
      </c>
      <c r="Q7093" t="s">
        <v>19909</v>
      </c>
      <c r="R7093" t="s">
        <v>19905</v>
      </c>
      <c r="S7093" t="s">
        <v>19906</v>
      </c>
      <c r="T7093" t="s">
        <v>19918</v>
      </c>
    </row>
    <row r="7094" spans="2:20" x14ac:dyDescent="0.25">
      <c r="B7094" t="s">
        <v>2709</v>
      </c>
      <c r="C7094">
        <v>72189900</v>
      </c>
      <c r="E7094">
        <v>44</v>
      </c>
      <c r="F7094">
        <v>18</v>
      </c>
      <c r="G7094">
        <v>5</v>
      </c>
      <c r="H7094">
        <v>7.6</v>
      </c>
      <c r="I7094">
        <v>1.65</v>
      </c>
      <c r="J7094">
        <v>8</v>
      </c>
      <c r="L7094" t="s">
        <v>2709</v>
      </c>
      <c r="M7094">
        <v>72189900</v>
      </c>
      <c r="O7094" t="s">
        <v>20122</v>
      </c>
      <c r="P7094" t="s">
        <v>19899</v>
      </c>
      <c r="Q7094" t="s">
        <v>19909</v>
      </c>
      <c r="R7094" t="s">
        <v>19905</v>
      </c>
      <c r="S7094" t="s">
        <v>19906</v>
      </c>
      <c r="T7094" t="s">
        <v>19918</v>
      </c>
    </row>
    <row r="7095" spans="2:20" x14ac:dyDescent="0.25">
      <c r="B7095" t="s">
        <v>2709</v>
      </c>
      <c r="C7095">
        <v>72191100</v>
      </c>
      <c r="E7095">
        <v>44</v>
      </c>
      <c r="F7095">
        <v>18</v>
      </c>
      <c r="G7095">
        <v>5</v>
      </c>
      <c r="H7095">
        <v>7.6</v>
      </c>
      <c r="I7095">
        <v>1.65</v>
      </c>
      <c r="J7095">
        <v>14</v>
      </c>
      <c r="L7095" t="s">
        <v>2709</v>
      </c>
      <c r="M7095">
        <v>72191100</v>
      </c>
      <c r="O7095" t="s">
        <v>20122</v>
      </c>
      <c r="P7095" t="s">
        <v>19899</v>
      </c>
      <c r="Q7095" t="s">
        <v>19909</v>
      </c>
      <c r="R7095" t="s">
        <v>19905</v>
      </c>
      <c r="S7095" t="s">
        <v>19906</v>
      </c>
      <c r="T7095" t="s">
        <v>19911</v>
      </c>
    </row>
    <row r="7096" spans="2:20" x14ac:dyDescent="0.25">
      <c r="B7096" t="s">
        <v>2709</v>
      </c>
      <c r="C7096">
        <v>72191200</v>
      </c>
      <c r="E7096">
        <v>44</v>
      </c>
      <c r="F7096">
        <v>18</v>
      </c>
      <c r="G7096">
        <v>5</v>
      </c>
      <c r="H7096">
        <v>7.6</v>
      </c>
      <c r="I7096">
        <v>1.65</v>
      </c>
      <c r="J7096">
        <v>14</v>
      </c>
      <c r="L7096" t="s">
        <v>2709</v>
      </c>
      <c r="M7096">
        <v>72191200</v>
      </c>
      <c r="O7096" t="s">
        <v>20122</v>
      </c>
      <c r="P7096" t="s">
        <v>19899</v>
      </c>
      <c r="Q7096" t="s">
        <v>19909</v>
      </c>
      <c r="R7096" t="s">
        <v>19905</v>
      </c>
      <c r="S7096" t="s">
        <v>19906</v>
      </c>
      <c r="T7096" t="s">
        <v>19911</v>
      </c>
    </row>
    <row r="7097" spans="2:20" x14ac:dyDescent="0.25">
      <c r="B7097" t="s">
        <v>2709</v>
      </c>
      <c r="C7097">
        <v>72191300</v>
      </c>
      <c r="E7097">
        <v>44</v>
      </c>
      <c r="F7097">
        <v>18</v>
      </c>
      <c r="G7097">
        <v>5</v>
      </c>
      <c r="H7097">
        <v>7.6</v>
      </c>
      <c r="I7097">
        <v>1.65</v>
      </c>
      <c r="J7097">
        <v>14</v>
      </c>
      <c r="L7097" t="s">
        <v>2709</v>
      </c>
      <c r="M7097">
        <v>72191300</v>
      </c>
      <c r="O7097" t="s">
        <v>20122</v>
      </c>
      <c r="P7097" t="s">
        <v>19899</v>
      </c>
      <c r="Q7097" t="s">
        <v>19909</v>
      </c>
      <c r="R7097" t="s">
        <v>19905</v>
      </c>
      <c r="S7097" t="s">
        <v>19906</v>
      </c>
      <c r="T7097" t="s">
        <v>19911</v>
      </c>
    </row>
    <row r="7098" spans="2:20" x14ac:dyDescent="0.25">
      <c r="B7098" t="s">
        <v>2709</v>
      </c>
      <c r="C7098">
        <v>72191400</v>
      </c>
      <c r="E7098">
        <v>44</v>
      </c>
      <c r="F7098">
        <v>18</v>
      </c>
      <c r="G7098">
        <v>5</v>
      </c>
      <c r="H7098">
        <v>7.6</v>
      </c>
      <c r="I7098">
        <v>1.65</v>
      </c>
      <c r="J7098">
        <v>14</v>
      </c>
      <c r="L7098" t="s">
        <v>2709</v>
      </c>
      <c r="M7098">
        <v>72191400</v>
      </c>
      <c r="O7098" t="s">
        <v>20122</v>
      </c>
      <c r="P7098" t="s">
        <v>19899</v>
      </c>
      <c r="Q7098" t="s">
        <v>19909</v>
      </c>
      <c r="R7098" t="s">
        <v>19905</v>
      </c>
      <c r="S7098" t="s">
        <v>19906</v>
      </c>
      <c r="T7098" t="s">
        <v>19911</v>
      </c>
    </row>
    <row r="7099" spans="2:20" x14ac:dyDescent="0.25">
      <c r="B7099" t="s">
        <v>2709</v>
      </c>
      <c r="C7099">
        <v>72192100</v>
      </c>
      <c r="E7099">
        <v>44</v>
      </c>
      <c r="F7099">
        <v>18</v>
      </c>
      <c r="G7099">
        <v>5</v>
      </c>
      <c r="H7099">
        <v>7.6</v>
      </c>
      <c r="I7099">
        <v>1.65</v>
      </c>
      <c r="J7099">
        <v>14</v>
      </c>
      <c r="L7099" t="s">
        <v>2709</v>
      </c>
      <c r="M7099">
        <v>72192100</v>
      </c>
      <c r="O7099" t="s">
        <v>20122</v>
      </c>
      <c r="P7099" t="s">
        <v>19899</v>
      </c>
      <c r="Q7099" t="s">
        <v>19909</v>
      </c>
      <c r="R7099" t="s">
        <v>19905</v>
      </c>
      <c r="S7099" t="s">
        <v>19906</v>
      </c>
      <c r="T7099" t="s">
        <v>19911</v>
      </c>
    </row>
    <row r="7100" spans="2:20" x14ac:dyDescent="0.25">
      <c r="B7100" t="s">
        <v>2709</v>
      </c>
      <c r="C7100">
        <v>72192200</v>
      </c>
      <c r="E7100">
        <v>44</v>
      </c>
      <c r="F7100">
        <v>18</v>
      </c>
      <c r="G7100">
        <v>5</v>
      </c>
      <c r="H7100">
        <v>7.6</v>
      </c>
      <c r="I7100">
        <v>1.65</v>
      </c>
      <c r="J7100">
        <v>14</v>
      </c>
      <c r="L7100" t="s">
        <v>2709</v>
      </c>
      <c r="M7100">
        <v>72192200</v>
      </c>
      <c r="O7100" t="s">
        <v>20122</v>
      </c>
      <c r="P7100" t="s">
        <v>19899</v>
      </c>
      <c r="Q7100" t="s">
        <v>19909</v>
      </c>
      <c r="R7100" t="s">
        <v>19905</v>
      </c>
      <c r="S7100" t="s">
        <v>19906</v>
      </c>
      <c r="T7100" t="s">
        <v>19911</v>
      </c>
    </row>
    <row r="7101" spans="2:20" x14ac:dyDescent="0.25">
      <c r="B7101" t="s">
        <v>2709</v>
      </c>
      <c r="C7101">
        <v>72192300</v>
      </c>
      <c r="E7101">
        <v>44</v>
      </c>
      <c r="F7101">
        <v>18</v>
      </c>
      <c r="G7101">
        <v>5</v>
      </c>
      <c r="H7101">
        <v>7.6</v>
      </c>
      <c r="I7101">
        <v>1.65</v>
      </c>
      <c r="J7101">
        <v>14</v>
      </c>
      <c r="L7101" t="s">
        <v>2709</v>
      </c>
      <c r="M7101">
        <v>72192300</v>
      </c>
      <c r="O7101" t="s">
        <v>20122</v>
      </c>
      <c r="P7101" t="s">
        <v>19899</v>
      </c>
      <c r="Q7101" t="s">
        <v>19909</v>
      </c>
      <c r="R7101" t="s">
        <v>19905</v>
      </c>
      <c r="S7101" t="s">
        <v>19906</v>
      </c>
      <c r="T7101" t="s">
        <v>19911</v>
      </c>
    </row>
    <row r="7102" spans="2:20" x14ac:dyDescent="0.25">
      <c r="B7102" t="s">
        <v>2709</v>
      </c>
      <c r="C7102">
        <v>72192400</v>
      </c>
      <c r="E7102">
        <v>44</v>
      </c>
      <c r="F7102">
        <v>18</v>
      </c>
      <c r="G7102">
        <v>5</v>
      </c>
      <c r="H7102">
        <v>7.6</v>
      </c>
      <c r="I7102">
        <v>1.65</v>
      </c>
      <c r="J7102">
        <v>14</v>
      </c>
      <c r="L7102" t="s">
        <v>2709</v>
      </c>
      <c r="M7102">
        <v>72192400</v>
      </c>
      <c r="O7102" t="s">
        <v>20122</v>
      </c>
      <c r="P7102" t="s">
        <v>19899</v>
      </c>
      <c r="Q7102" t="s">
        <v>19909</v>
      </c>
      <c r="R7102" t="s">
        <v>19905</v>
      </c>
      <c r="S7102" t="s">
        <v>19906</v>
      </c>
      <c r="T7102" t="s">
        <v>19911</v>
      </c>
    </row>
    <row r="7103" spans="2:20" x14ac:dyDescent="0.25">
      <c r="B7103" t="s">
        <v>2709</v>
      </c>
      <c r="C7103">
        <v>72193100</v>
      </c>
      <c r="E7103">
        <v>44</v>
      </c>
      <c r="F7103">
        <v>18</v>
      </c>
      <c r="G7103">
        <v>5</v>
      </c>
      <c r="H7103">
        <v>7.6</v>
      </c>
      <c r="I7103">
        <v>1.65</v>
      </c>
      <c r="J7103">
        <v>14</v>
      </c>
      <c r="L7103" t="s">
        <v>2709</v>
      </c>
      <c r="M7103">
        <v>72193100</v>
      </c>
      <c r="O7103" t="s">
        <v>20122</v>
      </c>
      <c r="P7103" t="s">
        <v>19899</v>
      </c>
      <c r="Q7103" t="s">
        <v>19909</v>
      </c>
      <c r="R7103" t="s">
        <v>19905</v>
      </c>
      <c r="S7103" t="s">
        <v>19906</v>
      </c>
      <c r="T7103" t="s">
        <v>19911</v>
      </c>
    </row>
    <row r="7104" spans="2:20" x14ac:dyDescent="0.25">
      <c r="B7104" t="s">
        <v>2709</v>
      </c>
      <c r="C7104">
        <v>72193200</v>
      </c>
      <c r="E7104">
        <v>44</v>
      </c>
      <c r="F7104">
        <v>18</v>
      </c>
      <c r="G7104">
        <v>5</v>
      </c>
      <c r="H7104">
        <v>7.6</v>
      </c>
      <c r="I7104">
        <v>1.65</v>
      </c>
      <c r="J7104">
        <v>14</v>
      </c>
      <c r="L7104" t="s">
        <v>2709</v>
      </c>
      <c r="M7104">
        <v>72193200</v>
      </c>
      <c r="O7104" t="s">
        <v>20122</v>
      </c>
      <c r="P7104" t="s">
        <v>19899</v>
      </c>
      <c r="Q7104" t="s">
        <v>19909</v>
      </c>
      <c r="R7104" t="s">
        <v>19905</v>
      </c>
      <c r="S7104" t="s">
        <v>19906</v>
      </c>
      <c r="T7104" t="s">
        <v>19911</v>
      </c>
    </row>
    <row r="7105" spans="2:20" x14ac:dyDescent="0.25">
      <c r="B7105" t="s">
        <v>2709</v>
      </c>
      <c r="C7105">
        <v>72193300</v>
      </c>
      <c r="E7105">
        <v>44</v>
      </c>
      <c r="F7105">
        <v>18</v>
      </c>
      <c r="G7105">
        <v>5</v>
      </c>
      <c r="H7105">
        <v>7.6</v>
      </c>
      <c r="I7105">
        <v>1.65</v>
      </c>
      <c r="J7105">
        <v>14</v>
      </c>
      <c r="L7105" t="s">
        <v>2709</v>
      </c>
      <c r="M7105">
        <v>72193300</v>
      </c>
      <c r="O7105" t="s">
        <v>20122</v>
      </c>
      <c r="P7105" t="s">
        <v>19899</v>
      </c>
      <c r="Q7105" t="s">
        <v>19909</v>
      </c>
      <c r="R7105" t="s">
        <v>19905</v>
      </c>
      <c r="S7105" t="s">
        <v>19906</v>
      </c>
      <c r="T7105" t="s">
        <v>19911</v>
      </c>
    </row>
    <row r="7106" spans="2:20" x14ac:dyDescent="0.25">
      <c r="B7106" t="s">
        <v>2709</v>
      </c>
      <c r="C7106">
        <v>72193400</v>
      </c>
      <c r="E7106">
        <v>44</v>
      </c>
      <c r="F7106">
        <v>18</v>
      </c>
      <c r="G7106">
        <v>5</v>
      </c>
      <c r="H7106">
        <v>7.6</v>
      </c>
      <c r="I7106">
        <v>1.65</v>
      </c>
      <c r="J7106">
        <v>14</v>
      </c>
      <c r="L7106" t="s">
        <v>2709</v>
      </c>
      <c r="M7106">
        <v>72193400</v>
      </c>
      <c r="O7106" t="s">
        <v>20122</v>
      </c>
      <c r="P7106" t="s">
        <v>19899</v>
      </c>
      <c r="Q7106" t="s">
        <v>19909</v>
      </c>
      <c r="R7106" t="s">
        <v>19905</v>
      </c>
      <c r="S7106" t="s">
        <v>19906</v>
      </c>
      <c r="T7106" t="s">
        <v>19911</v>
      </c>
    </row>
    <row r="7107" spans="2:20" x14ac:dyDescent="0.25">
      <c r="B7107" t="s">
        <v>2709</v>
      </c>
      <c r="C7107">
        <v>72193500</v>
      </c>
      <c r="E7107">
        <v>44</v>
      </c>
      <c r="F7107">
        <v>18</v>
      </c>
      <c r="G7107">
        <v>5</v>
      </c>
      <c r="H7107">
        <v>7.6</v>
      </c>
      <c r="I7107">
        <v>1.65</v>
      </c>
      <c r="J7107">
        <v>14</v>
      </c>
      <c r="L7107" t="s">
        <v>2709</v>
      </c>
      <c r="M7107">
        <v>72193500</v>
      </c>
      <c r="O7107" t="s">
        <v>20122</v>
      </c>
      <c r="P7107" t="s">
        <v>19899</v>
      </c>
      <c r="Q7107" t="s">
        <v>19909</v>
      </c>
      <c r="R7107" t="s">
        <v>19905</v>
      </c>
      <c r="S7107" t="s">
        <v>19906</v>
      </c>
      <c r="T7107" t="s">
        <v>19911</v>
      </c>
    </row>
    <row r="7108" spans="2:20" x14ac:dyDescent="0.25">
      <c r="B7108" t="s">
        <v>2709</v>
      </c>
      <c r="C7108">
        <v>72199010</v>
      </c>
      <c r="E7108">
        <v>44</v>
      </c>
      <c r="F7108">
        <v>18</v>
      </c>
      <c r="G7108">
        <v>5</v>
      </c>
      <c r="H7108">
        <v>7.6</v>
      </c>
      <c r="I7108">
        <v>1.65</v>
      </c>
      <c r="J7108">
        <v>2</v>
      </c>
      <c r="L7108" t="s">
        <v>2709</v>
      </c>
      <c r="M7108">
        <v>72199010</v>
      </c>
      <c r="O7108" t="s">
        <v>20122</v>
      </c>
      <c r="P7108" t="s">
        <v>19899</v>
      </c>
      <c r="Q7108" t="s">
        <v>19909</v>
      </c>
      <c r="R7108" t="s">
        <v>19905</v>
      </c>
      <c r="S7108" t="s">
        <v>19906</v>
      </c>
      <c r="T7108" t="s">
        <v>19901</v>
      </c>
    </row>
    <row r="7109" spans="2:20" x14ac:dyDescent="0.25">
      <c r="B7109" t="s">
        <v>2709</v>
      </c>
      <c r="C7109">
        <v>72199090</v>
      </c>
      <c r="E7109">
        <v>44</v>
      </c>
      <c r="F7109">
        <v>18</v>
      </c>
      <c r="G7109">
        <v>5</v>
      </c>
      <c r="H7109">
        <v>7.6</v>
      </c>
      <c r="I7109">
        <v>1.65</v>
      </c>
      <c r="J7109">
        <v>14</v>
      </c>
      <c r="L7109" t="s">
        <v>2709</v>
      </c>
      <c r="M7109">
        <v>72199090</v>
      </c>
      <c r="O7109" t="s">
        <v>20122</v>
      </c>
      <c r="P7109" t="s">
        <v>19899</v>
      </c>
      <c r="Q7109" t="s">
        <v>19909</v>
      </c>
      <c r="R7109" t="s">
        <v>19905</v>
      </c>
      <c r="S7109" t="s">
        <v>19906</v>
      </c>
      <c r="T7109" t="s">
        <v>19911</v>
      </c>
    </row>
    <row r="7110" spans="2:20" x14ac:dyDescent="0.25">
      <c r="B7110" t="s">
        <v>2709</v>
      </c>
      <c r="C7110">
        <v>72201100</v>
      </c>
      <c r="E7110">
        <v>44</v>
      </c>
      <c r="F7110">
        <v>18</v>
      </c>
      <c r="G7110">
        <v>5</v>
      </c>
      <c r="H7110">
        <v>7.6</v>
      </c>
      <c r="I7110">
        <v>1.65</v>
      </c>
      <c r="J7110">
        <v>14</v>
      </c>
      <c r="L7110" t="s">
        <v>2709</v>
      </c>
      <c r="M7110">
        <v>72201100</v>
      </c>
      <c r="O7110" t="s">
        <v>20122</v>
      </c>
      <c r="P7110" t="s">
        <v>19899</v>
      </c>
      <c r="Q7110" t="s">
        <v>19909</v>
      </c>
      <c r="R7110" t="s">
        <v>19905</v>
      </c>
      <c r="S7110" t="s">
        <v>19906</v>
      </c>
      <c r="T7110" t="s">
        <v>19911</v>
      </c>
    </row>
    <row r="7111" spans="2:20" x14ac:dyDescent="0.25">
      <c r="B7111" t="s">
        <v>2709</v>
      </c>
      <c r="C7111">
        <v>72201210</v>
      </c>
      <c r="E7111">
        <v>44</v>
      </c>
      <c r="F7111">
        <v>18</v>
      </c>
      <c r="G7111">
        <v>5</v>
      </c>
      <c r="H7111">
        <v>7.6</v>
      </c>
      <c r="I7111">
        <v>1.65</v>
      </c>
      <c r="J7111">
        <v>14</v>
      </c>
      <c r="L7111" t="s">
        <v>2709</v>
      </c>
      <c r="M7111">
        <v>72201210</v>
      </c>
      <c r="O7111" t="s">
        <v>20122</v>
      </c>
      <c r="P7111" t="s">
        <v>19899</v>
      </c>
      <c r="Q7111" t="s">
        <v>19909</v>
      </c>
      <c r="R7111" t="s">
        <v>19905</v>
      </c>
      <c r="S7111" t="s">
        <v>19906</v>
      </c>
      <c r="T7111" t="s">
        <v>19911</v>
      </c>
    </row>
    <row r="7112" spans="2:20" x14ac:dyDescent="0.25">
      <c r="B7112" t="s">
        <v>2709</v>
      </c>
      <c r="C7112">
        <v>72201220</v>
      </c>
      <c r="E7112">
        <v>44</v>
      </c>
      <c r="F7112">
        <v>18</v>
      </c>
      <c r="G7112">
        <v>5</v>
      </c>
      <c r="H7112">
        <v>7.6</v>
      </c>
      <c r="I7112">
        <v>1.65</v>
      </c>
      <c r="J7112">
        <v>14</v>
      </c>
      <c r="L7112" t="s">
        <v>2709</v>
      </c>
      <c r="M7112">
        <v>72201220</v>
      </c>
      <c r="O7112" t="s">
        <v>20122</v>
      </c>
      <c r="P7112" t="s">
        <v>19899</v>
      </c>
      <c r="Q7112" t="s">
        <v>19909</v>
      </c>
      <c r="R7112" t="s">
        <v>19905</v>
      </c>
      <c r="S7112" t="s">
        <v>19906</v>
      </c>
      <c r="T7112" t="s">
        <v>19911</v>
      </c>
    </row>
    <row r="7113" spans="2:20" x14ac:dyDescent="0.25">
      <c r="B7113" t="s">
        <v>2709</v>
      </c>
      <c r="C7113">
        <v>72201290</v>
      </c>
      <c r="E7113">
        <v>44</v>
      </c>
      <c r="F7113">
        <v>18</v>
      </c>
      <c r="G7113">
        <v>5</v>
      </c>
      <c r="H7113">
        <v>7.6</v>
      </c>
      <c r="I7113">
        <v>1.65</v>
      </c>
      <c r="J7113">
        <v>14</v>
      </c>
      <c r="L7113" t="s">
        <v>2709</v>
      </c>
      <c r="M7113">
        <v>72201290</v>
      </c>
      <c r="O7113" t="s">
        <v>20122</v>
      </c>
      <c r="P7113" t="s">
        <v>19899</v>
      </c>
      <c r="Q7113" t="s">
        <v>19909</v>
      </c>
      <c r="R7113" t="s">
        <v>19905</v>
      </c>
      <c r="S7113" t="s">
        <v>19906</v>
      </c>
      <c r="T7113" t="s">
        <v>19911</v>
      </c>
    </row>
    <row r="7114" spans="2:20" x14ac:dyDescent="0.25">
      <c r="B7114" t="s">
        <v>2709</v>
      </c>
      <c r="C7114">
        <v>72202010</v>
      </c>
      <c r="E7114">
        <v>44</v>
      </c>
      <c r="F7114">
        <v>18</v>
      </c>
      <c r="G7114">
        <v>5</v>
      </c>
      <c r="H7114">
        <v>7.6</v>
      </c>
      <c r="I7114">
        <v>1.65</v>
      </c>
      <c r="J7114">
        <v>2</v>
      </c>
      <c r="L7114" t="s">
        <v>2709</v>
      </c>
      <c r="M7114">
        <v>72202010</v>
      </c>
      <c r="O7114" t="s">
        <v>20122</v>
      </c>
      <c r="P7114" t="s">
        <v>19899</v>
      </c>
      <c r="Q7114" t="s">
        <v>19909</v>
      </c>
      <c r="R7114" t="s">
        <v>19905</v>
      </c>
      <c r="S7114" t="s">
        <v>19906</v>
      </c>
      <c r="T7114" t="s">
        <v>19901</v>
      </c>
    </row>
    <row r="7115" spans="2:20" x14ac:dyDescent="0.25">
      <c r="B7115" t="s">
        <v>2709</v>
      </c>
      <c r="C7115">
        <v>72202090</v>
      </c>
      <c r="E7115">
        <v>44</v>
      </c>
      <c r="F7115">
        <v>18</v>
      </c>
      <c r="G7115">
        <v>5</v>
      </c>
      <c r="H7115">
        <v>7.6</v>
      </c>
      <c r="I7115">
        <v>1.65</v>
      </c>
      <c r="J7115">
        <v>14</v>
      </c>
      <c r="L7115" t="s">
        <v>2709</v>
      </c>
      <c r="M7115">
        <v>72202090</v>
      </c>
      <c r="O7115" t="s">
        <v>20122</v>
      </c>
      <c r="P7115" t="s">
        <v>19899</v>
      </c>
      <c r="Q7115" t="s">
        <v>19909</v>
      </c>
      <c r="R7115" t="s">
        <v>19905</v>
      </c>
      <c r="S7115" t="s">
        <v>19906</v>
      </c>
      <c r="T7115" t="s">
        <v>19911</v>
      </c>
    </row>
    <row r="7116" spans="2:20" x14ac:dyDescent="0.25">
      <c r="B7116" t="s">
        <v>2709</v>
      </c>
      <c r="C7116">
        <v>72209000</v>
      </c>
      <c r="E7116">
        <v>44</v>
      </c>
      <c r="F7116">
        <v>18</v>
      </c>
      <c r="G7116">
        <v>5</v>
      </c>
      <c r="H7116">
        <v>7.6</v>
      </c>
      <c r="I7116">
        <v>1.65</v>
      </c>
      <c r="J7116">
        <v>14</v>
      </c>
      <c r="L7116" t="s">
        <v>2709</v>
      </c>
      <c r="M7116">
        <v>72209000</v>
      </c>
      <c r="O7116" t="s">
        <v>20122</v>
      </c>
      <c r="P7116" t="s">
        <v>19899</v>
      </c>
      <c r="Q7116" t="s">
        <v>19909</v>
      </c>
      <c r="R7116" t="s">
        <v>19905</v>
      </c>
      <c r="S7116" t="s">
        <v>19906</v>
      </c>
      <c r="T7116" t="s">
        <v>19911</v>
      </c>
    </row>
    <row r="7117" spans="2:20" x14ac:dyDescent="0.25">
      <c r="B7117" t="s">
        <v>2709</v>
      </c>
      <c r="C7117">
        <v>72210000</v>
      </c>
      <c r="E7117">
        <v>44</v>
      </c>
      <c r="F7117">
        <v>18</v>
      </c>
      <c r="G7117">
        <v>5</v>
      </c>
      <c r="H7117">
        <v>7.6</v>
      </c>
      <c r="I7117">
        <v>1.65</v>
      </c>
      <c r="J7117">
        <v>14</v>
      </c>
      <c r="L7117" t="s">
        <v>2709</v>
      </c>
      <c r="M7117">
        <v>72210000</v>
      </c>
      <c r="O7117" t="s">
        <v>20122</v>
      </c>
      <c r="P7117" t="s">
        <v>19899</v>
      </c>
      <c r="Q7117" t="s">
        <v>19909</v>
      </c>
      <c r="R7117" t="s">
        <v>19905</v>
      </c>
      <c r="S7117" t="s">
        <v>19906</v>
      </c>
      <c r="T7117" t="s">
        <v>19911</v>
      </c>
    </row>
    <row r="7118" spans="2:20" x14ac:dyDescent="0.25">
      <c r="B7118" t="s">
        <v>2709</v>
      </c>
      <c r="C7118">
        <v>72221100</v>
      </c>
      <c r="E7118">
        <v>44</v>
      </c>
      <c r="F7118">
        <v>18</v>
      </c>
      <c r="G7118">
        <v>5</v>
      </c>
      <c r="H7118">
        <v>7.6</v>
      </c>
      <c r="I7118">
        <v>1.65</v>
      </c>
      <c r="J7118">
        <v>14</v>
      </c>
      <c r="L7118" t="s">
        <v>2709</v>
      </c>
      <c r="M7118">
        <v>72221100</v>
      </c>
      <c r="O7118" t="s">
        <v>20122</v>
      </c>
      <c r="P7118" t="s">
        <v>19899</v>
      </c>
      <c r="Q7118" t="s">
        <v>19909</v>
      </c>
      <c r="R7118" t="s">
        <v>19905</v>
      </c>
      <c r="S7118" t="s">
        <v>19906</v>
      </c>
      <c r="T7118" t="s">
        <v>19911</v>
      </c>
    </row>
    <row r="7119" spans="2:20" x14ac:dyDescent="0.25">
      <c r="B7119" t="s">
        <v>2709</v>
      </c>
      <c r="C7119">
        <v>72221910</v>
      </c>
      <c r="E7119">
        <v>44</v>
      </c>
      <c r="F7119">
        <v>18</v>
      </c>
      <c r="G7119">
        <v>5</v>
      </c>
      <c r="H7119">
        <v>7.6</v>
      </c>
      <c r="I7119">
        <v>1.65</v>
      </c>
      <c r="J7119">
        <v>14</v>
      </c>
      <c r="L7119" t="s">
        <v>2709</v>
      </c>
      <c r="M7119">
        <v>72221910</v>
      </c>
      <c r="O7119" t="s">
        <v>20122</v>
      </c>
      <c r="P7119" t="s">
        <v>19899</v>
      </c>
      <c r="Q7119" t="s">
        <v>19909</v>
      </c>
      <c r="R7119" t="s">
        <v>19905</v>
      </c>
      <c r="S7119" t="s">
        <v>19906</v>
      </c>
      <c r="T7119" t="s">
        <v>19911</v>
      </c>
    </row>
    <row r="7120" spans="2:20" x14ac:dyDescent="0.25">
      <c r="B7120" t="s">
        <v>2709</v>
      </c>
      <c r="C7120">
        <v>72221990</v>
      </c>
      <c r="E7120">
        <v>44</v>
      </c>
      <c r="F7120">
        <v>18</v>
      </c>
      <c r="G7120">
        <v>5</v>
      </c>
      <c r="H7120">
        <v>7.6</v>
      </c>
      <c r="I7120">
        <v>1.65</v>
      </c>
      <c r="J7120">
        <v>14</v>
      </c>
      <c r="L7120" t="s">
        <v>2709</v>
      </c>
      <c r="M7120">
        <v>72221990</v>
      </c>
      <c r="O7120" t="s">
        <v>20122</v>
      </c>
      <c r="P7120" t="s">
        <v>19899</v>
      </c>
      <c r="Q7120" t="s">
        <v>19909</v>
      </c>
      <c r="R7120" t="s">
        <v>19905</v>
      </c>
      <c r="S7120" t="s">
        <v>19906</v>
      </c>
      <c r="T7120" t="s">
        <v>19911</v>
      </c>
    </row>
    <row r="7121" spans="2:20" x14ac:dyDescent="0.25">
      <c r="B7121" t="s">
        <v>2709</v>
      </c>
      <c r="C7121">
        <v>72222000</v>
      </c>
      <c r="E7121">
        <v>44</v>
      </c>
      <c r="F7121">
        <v>18</v>
      </c>
      <c r="G7121">
        <v>5</v>
      </c>
      <c r="H7121">
        <v>7.6</v>
      </c>
      <c r="I7121">
        <v>1.65</v>
      </c>
      <c r="J7121">
        <v>14</v>
      </c>
      <c r="L7121" t="s">
        <v>2709</v>
      </c>
      <c r="M7121">
        <v>72222000</v>
      </c>
      <c r="O7121" t="s">
        <v>20122</v>
      </c>
      <c r="P7121" t="s">
        <v>19899</v>
      </c>
      <c r="Q7121" t="s">
        <v>19909</v>
      </c>
      <c r="R7121" t="s">
        <v>19905</v>
      </c>
      <c r="S7121" t="s">
        <v>19906</v>
      </c>
      <c r="T7121" t="s">
        <v>19911</v>
      </c>
    </row>
    <row r="7122" spans="2:20" x14ac:dyDescent="0.25">
      <c r="B7122" t="s">
        <v>2709</v>
      </c>
      <c r="C7122">
        <v>72223000</v>
      </c>
      <c r="E7122">
        <v>44</v>
      </c>
      <c r="F7122">
        <v>18</v>
      </c>
      <c r="G7122">
        <v>5</v>
      </c>
      <c r="H7122">
        <v>7.6</v>
      </c>
      <c r="I7122">
        <v>1.65</v>
      </c>
      <c r="J7122">
        <v>14</v>
      </c>
      <c r="L7122" t="s">
        <v>2709</v>
      </c>
      <c r="M7122">
        <v>72223000</v>
      </c>
      <c r="O7122" t="s">
        <v>20122</v>
      </c>
      <c r="P7122" t="s">
        <v>19899</v>
      </c>
      <c r="Q7122" t="s">
        <v>19909</v>
      </c>
      <c r="R7122" t="s">
        <v>19905</v>
      </c>
      <c r="S7122" t="s">
        <v>19906</v>
      </c>
      <c r="T7122" t="s">
        <v>19911</v>
      </c>
    </row>
    <row r="7123" spans="2:20" x14ac:dyDescent="0.25">
      <c r="B7123" t="s">
        <v>2709</v>
      </c>
      <c r="C7123">
        <v>72224010</v>
      </c>
      <c r="E7123">
        <v>44</v>
      </c>
      <c r="F7123">
        <v>18</v>
      </c>
      <c r="G7123">
        <v>5</v>
      </c>
      <c r="H7123">
        <v>7.6</v>
      </c>
      <c r="I7123">
        <v>1.65</v>
      </c>
      <c r="J7123">
        <v>2</v>
      </c>
      <c r="L7123" t="s">
        <v>2709</v>
      </c>
      <c r="M7123">
        <v>72224010</v>
      </c>
      <c r="O7123" t="s">
        <v>20122</v>
      </c>
      <c r="P7123" t="s">
        <v>19899</v>
      </c>
      <c r="Q7123" t="s">
        <v>19909</v>
      </c>
      <c r="R7123" t="s">
        <v>19905</v>
      </c>
      <c r="S7123" t="s">
        <v>19906</v>
      </c>
      <c r="T7123" t="s">
        <v>19901</v>
      </c>
    </row>
    <row r="7124" spans="2:20" x14ac:dyDescent="0.25">
      <c r="B7124" t="s">
        <v>2709</v>
      </c>
      <c r="C7124">
        <v>72224090</v>
      </c>
      <c r="E7124">
        <v>44</v>
      </c>
      <c r="F7124">
        <v>18</v>
      </c>
      <c r="G7124">
        <v>5</v>
      </c>
      <c r="H7124">
        <v>7.6</v>
      </c>
      <c r="I7124">
        <v>1.65</v>
      </c>
      <c r="J7124">
        <v>14</v>
      </c>
      <c r="L7124" t="s">
        <v>2709</v>
      </c>
      <c r="M7124">
        <v>72224090</v>
      </c>
      <c r="O7124" t="s">
        <v>20122</v>
      </c>
      <c r="P7124" t="s">
        <v>19899</v>
      </c>
      <c r="Q7124" t="s">
        <v>19909</v>
      </c>
      <c r="R7124" t="s">
        <v>19905</v>
      </c>
      <c r="S7124" t="s">
        <v>19906</v>
      </c>
      <c r="T7124" t="s">
        <v>19911</v>
      </c>
    </row>
    <row r="7125" spans="2:20" x14ac:dyDescent="0.25">
      <c r="B7125" t="s">
        <v>2709</v>
      </c>
      <c r="C7125">
        <v>72230000</v>
      </c>
      <c r="E7125">
        <v>44</v>
      </c>
      <c r="F7125">
        <v>18</v>
      </c>
      <c r="G7125">
        <v>5</v>
      </c>
      <c r="H7125">
        <v>7.6</v>
      </c>
      <c r="I7125">
        <v>1.65</v>
      </c>
      <c r="J7125">
        <v>14</v>
      </c>
      <c r="L7125" t="s">
        <v>2709</v>
      </c>
      <c r="M7125">
        <v>72230000</v>
      </c>
      <c r="O7125" t="s">
        <v>20122</v>
      </c>
      <c r="P7125" t="s">
        <v>19899</v>
      </c>
      <c r="Q7125" t="s">
        <v>19909</v>
      </c>
      <c r="R7125" t="s">
        <v>19905</v>
      </c>
      <c r="S7125" t="s">
        <v>19906</v>
      </c>
      <c r="T7125" t="s">
        <v>19911</v>
      </c>
    </row>
    <row r="7126" spans="2:20" x14ac:dyDescent="0.25">
      <c r="B7126" t="s">
        <v>2709</v>
      </c>
      <c r="C7126">
        <v>72241000</v>
      </c>
      <c r="E7126">
        <v>44</v>
      </c>
      <c r="F7126">
        <v>18</v>
      </c>
      <c r="G7126">
        <v>5</v>
      </c>
      <c r="H7126">
        <v>7.6</v>
      </c>
      <c r="I7126">
        <v>1.65</v>
      </c>
      <c r="J7126">
        <v>8</v>
      </c>
      <c r="L7126" t="s">
        <v>2709</v>
      </c>
      <c r="M7126">
        <v>72241000</v>
      </c>
      <c r="O7126" t="s">
        <v>20122</v>
      </c>
      <c r="P7126" t="s">
        <v>19899</v>
      </c>
      <c r="Q7126" t="s">
        <v>19909</v>
      </c>
      <c r="R7126" t="s">
        <v>19905</v>
      </c>
      <c r="S7126" t="s">
        <v>19906</v>
      </c>
      <c r="T7126" t="s">
        <v>19918</v>
      </c>
    </row>
    <row r="7127" spans="2:20" x14ac:dyDescent="0.25">
      <c r="B7127" t="s">
        <v>2709</v>
      </c>
      <c r="C7127">
        <v>72249000</v>
      </c>
      <c r="E7127">
        <v>44</v>
      </c>
      <c r="F7127">
        <v>18</v>
      </c>
      <c r="G7127">
        <v>5</v>
      </c>
      <c r="H7127">
        <v>7.6</v>
      </c>
      <c r="I7127">
        <v>1.65</v>
      </c>
      <c r="J7127">
        <v>8</v>
      </c>
      <c r="L7127" t="s">
        <v>2709</v>
      </c>
      <c r="M7127">
        <v>72249000</v>
      </c>
      <c r="O7127" t="s">
        <v>20122</v>
      </c>
      <c r="P7127" t="s">
        <v>19899</v>
      </c>
      <c r="Q7127" t="s">
        <v>19909</v>
      </c>
      <c r="R7127" t="s">
        <v>19905</v>
      </c>
      <c r="S7127" t="s">
        <v>19906</v>
      </c>
      <c r="T7127" t="s">
        <v>19918</v>
      </c>
    </row>
    <row r="7128" spans="2:20" x14ac:dyDescent="0.25">
      <c r="B7128" t="s">
        <v>2709</v>
      </c>
      <c r="C7128">
        <v>72251100</v>
      </c>
      <c r="E7128">
        <v>44</v>
      </c>
      <c r="F7128">
        <v>18</v>
      </c>
      <c r="G7128">
        <v>5</v>
      </c>
      <c r="H7128">
        <v>7.6</v>
      </c>
      <c r="I7128">
        <v>1.65</v>
      </c>
      <c r="J7128">
        <v>14</v>
      </c>
      <c r="L7128" t="s">
        <v>2709</v>
      </c>
      <c r="M7128">
        <v>72251100</v>
      </c>
      <c r="O7128" t="s">
        <v>20122</v>
      </c>
      <c r="P7128" t="s">
        <v>19899</v>
      </c>
      <c r="Q7128" t="s">
        <v>19909</v>
      </c>
      <c r="R7128" t="s">
        <v>19905</v>
      </c>
      <c r="S7128" t="s">
        <v>19906</v>
      </c>
      <c r="T7128" t="s">
        <v>19911</v>
      </c>
    </row>
    <row r="7129" spans="2:20" x14ac:dyDescent="0.25">
      <c r="B7129" t="s">
        <v>2709</v>
      </c>
      <c r="C7129">
        <v>72251900</v>
      </c>
      <c r="E7129">
        <v>44</v>
      </c>
      <c r="F7129">
        <v>18</v>
      </c>
      <c r="G7129">
        <v>5</v>
      </c>
      <c r="H7129">
        <v>7.6</v>
      </c>
      <c r="I7129">
        <v>1.65</v>
      </c>
      <c r="J7129">
        <v>14</v>
      </c>
      <c r="L7129" t="s">
        <v>2709</v>
      </c>
      <c r="M7129">
        <v>72251900</v>
      </c>
      <c r="O7129" t="s">
        <v>20122</v>
      </c>
      <c r="P7129" t="s">
        <v>19899</v>
      </c>
      <c r="Q7129" t="s">
        <v>19909</v>
      </c>
      <c r="R7129" t="s">
        <v>19905</v>
      </c>
      <c r="S7129" t="s">
        <v>19906</v>
      </c>
      <c r="T7129" t="s">
        <v>19911</v>
      </c>
    </row>
    <row r="7130" spans="2:20" x14ac:dyDescent="0.25">
      <c r="B7130" t="s">
        <v>2709</v>
      </c>
      <c r="C7130">
        <v>72253000</v>
      </c>
      <c r="E7130">
        <v>44</v>
      </c>
      <c r="F7130">
        <v>18</v>
      </c>
      <c r="G7130">
        <v>5</v>
      </c>
      <c r="H7130">
        <v>7.6</v>
      </c>
      <c r="I7130">
        <v>1.65</v>
      </c>
      <c r="J7130">
        <v>14</v>
      </c>
      <c r="L7130" t="s">
        <v>2709</v>
      </c>
      <c r="M7130">
        <v>72253000</v>
      </c>
      <c r="O7130" t="s">
        <v>20122</v>
      </c>
      <c r="P7130" t="s">
        <v>19899</v>
      </c>
      <c r="Q7130" t="s">
        <v>19909</v>
      </c>
      <c r="R7130" t="s">
        <v>19905</v>
      </c>
      <c r="S7130" t="s">
        <v>19906</v>
      </c>
      <c r="T7130" t="s">
        <v>19911</v>
      </c>
    </row>
    <row r="7131" spans="2:20" x14ac:dyDescent="0.25">
      <c r="B7131" t="s">
        <v>2709</v>
      </c>
      <c r="C7131">
        <v>72254010</v>
      </c>
      <c r="E7131">
        <v>44</v>
      </c>
      <c r="F7131">
        <v>18</v>
      </c>
      <c r="G7131">
        <v>5</v>
      </c>
      <c r="H7131">
        <v>7.6</v>
      </c>
      <c r="I7131">
        <v>1.65</v>
      </c>
      <c r="J7131">
        <v>2</v>
      </c>
      <c r="L7131" t="s">
        <v>2709</v>
      </c>
      <c r="M7131">
        <v>72254010</v>
      </c>
      <c r="O7131" t="s">
        <v>20122</v>
      </c>
      <c r="P7131" t="s">
        <v>19899</v>
      </c>
      <c r="Q7131" t="s">
        <v>19909</v>
      </c>
      <c r="R7131" t="s">
        <v>19905</v>
      </c>
      <c r="S7131" t="s">
        <v>19906</v>
      </c>
      <c r="T7131" t="s">
        <v>19901</v>
      </c>
    </row>
    <row r="7132" spans="2:20" x14ac:dyDescent="0.25">
      <c r="B7132" t="s">
        <v>2709</v>
      </c>
      <c r="C7132">
        <v>72254020</v>
      </c>
      <c r="E7132">
        <v>44</v>
      </c>
      <c r="F7132">
        <v>18</v>
      </c>
      <c r="G7132">
        <v>5</v>
      </c>
      <c r="H7132">
        <v>7.6</v>
      </c>
      <c r="I7132">
        <v>1.65</v>
      </c>
      <c r="J7132">
        <v>2</v>
      </c>
      <c r="L7132" t="s">
        <v>2709</v>
      </c>
      <c r="M7132">
        <v>72254020</v>
      </c>
      <c r="O7132" t="s">
        <v>20122</v>
      </c>
      <c r="P7132" t="s">
        <v>19899</v>
      </c>
      <c r="Q7132" t="s">
        <v>19909</v>
      </c>
      <c r="R7132" t="s">
        <v>19905</v>
      </c>
      <c r="S7132" t="s">
        <v>19906</v>
      </c>
      <c r="T7132" t="s">
        <v>19901</v>
      </c>
    </row>
    <row r="7133" spans="2:20" x14ac:dyDescent="0.25">
      <c r="B7133" t="s">
        <v>2709</v>
      </c>
      <c r="C7133">
        <v>72254090</v>
      </c>
      <c r="E7133">
        <v>44</v>
      </c>
      <c r="F7133">
        <v>18</v>
      </c>
      <c r="G7133">
        <v>5</v>
      </c>
      <c r="H7133">
        <v>7.6</v>
      </c>
      <c r="I7133">
        <v>1.65</v>
      </c>
      <c r="J7133">
        <v>14</v>
      </c>
      <c r="L7133" t="s">
        <v>2709</v>
      </c>
      <c r="M7133">
        <v>72254090</v>
      </c>
      <c r="O7133" t="s">
        <v>20122</v>
      </c>
      <c r="P7133" t="s">
        <v>19899</v>
      </c>
      <c r="Q7133" t="s">
        <v>19909</v>
      </c>
      <c r="R7133" t="s">
        <v>19905</v>
      </c>
      <c r="S7133" t="s">
        <v>19906</v>
      </c>
      <c r="T7133" t="s">
        <v>19911</v>
      </c>
    </row>
    <row r="7134" spans="2:20" x14ac:dyDescent="0.25">
      <c r="B7134" t="s">
        <v>2709</v>
      </c>
      <c r="C7134">
        <v>72255010</v>
      </c>
      <c r="E7134">
        <v>44</v>
      </c>
      <c r="F7134">
        <v>18</v>
      </c>
      <c r="G7134">
        <v>5</v>
      </c>
      <c r="H7134">
        <v>7.6</v>
      </c>
      <c r="I7134">
        <v>1.65</v>
      </c>
      <c r="J7134">
        <v>2</v>
      </c>
      <c r="L7134" t="s">
        <v>2709</v>
      </c>
      <c r="M7134">
        <v>72255010</v>
      </c>
      <c r="O7134" t="s">
        <v>20122</v>
      </c>
      <c r="P7134" t="s">
        <v>19899</v>
      </c>
      <c r="Q7134" t="s">
        <v>19909</v>
      </c>
      <c r="R7134" t="s">
        <v>19905</v>
      </c>
      <c r="S7134" t="s">
        <v>19906</v>
      </c>
      <c r="T7134" t="s">
        <v>19901</v>
      </c>
    </row>
    <row r="7135" spans="2:20" x14ac:dyDescent="0.25">
      <c r="B7135" t="s">
        <v>2709</v>
      </c>
      <c r="C7135">
        <v>72255090</v>
      </c>
      <c r="E7135">
        <v>44</v>
      </c>
      <c r="F7135">
        <v>18</v>
      </c>
      <c r="G7135">
        <v>5</v>
      </c>
      <c r="H7135">
        <v>7.6</v>
      </c>
      <c r="I7135">
        <v>1.65</v>
      </c>
      <c r="J7135">
        <v>14</v>
      </c>
      <c r="L7135" t="s">
        <v>2709</v>
      </c>
      <c r="M7135">
        <v>72255090</v>
      </c>
      <c r="O7135" t="s">
        <v>20122</v>
      </c>
      <c r="P7135" t="s">
        <v>19899</v>
      </c>
      <c r="Q7135" t="s">
        <v>19909</v>
      </c>
      <c r="R7135" t="s">
        <v>19905</v>
      </c>
      <c r="S7135" t="s">
        <v>19906</v>
      </c>
      <c r="T7135" t="s">
        <v>19911</v>
      </c>
    </row>
    <row r="7136" spans="2:20" x14ac:dyDescent="0.25">
      <c r="B7136" t="s">
        <v>2709</v>
      </c>
      <c r="C7136">
        <v>72259100</v>
      </c>
      <c r="E7136">
        <v>44</v>
      </c>
      <c r="F7136">
        <v>18</v>
      </c>
      <c r="G7136">
        <v>5</v>
      </c>
      <c r="H7136">
        <v>7.6</v>
      </c>
      <c r="I7136">
        <v>1.65</v>
      </c>
      <c r="J7136">
        <v>14</v>
      </c>
      <c r="L7136" t="s">
        <v>2709</v>
      </c>
      <c r="M7136">
        <v>72259100</v>
      </c>
      <c r="O7136" t="s">
        <v>20122</v>
      </c>
      <c r="P7136" t="s">
        <v>19899</v>
      </c>
      <c r="Q7136" t="s">
        <v>19909</v>
      </c>
      <c r="R7136" t="s">
        <v>19905</v>
      </c>
      <c r="S7136" t="s">
        <v>19906</v>
      </c>
      <c r="T7136" t="s">
        <v>19911</v>
      </c>
    </row>
    <row r="7137" spans="2:20" x14ac:dyDescent="0.25">
      <c r="B7137" t="s">
        <v>2709</v>
      </c>
      <c r="C7137">
        <v>72259200</v>
      </c>
      <c r="E7137">
        <v>44</v>
      </c>
      <c r="F7137">
        <v>18</v>
      </c>
      <c r="G7137">
        <v>5</v>
      </c>
      <c r="H7137">
        <v>7.6</v>
      </c>
      <c r="I7137">
        <v>1.65</v>
      </c>
      <c r="J7137">
        <v>14</v>
      </c>
      <c r="L7137" t="s">
        <v>2709</v>
      </c>
      <c r="M7137">
        <v>72259200</v>
      </c>
      <c r="O7137" t="s">
        <v>20122</v>
      </c>
      <c r="P7137" t="s">
        <v>19899</v>
      </c>
      <c r="Q7137" t="s">
        <v>19909</v>
      </c>
      <c r="R7137" t="s">
        <v>19905</v>
      </c>
      <c r="S7137" t="s">
        <v>19906</v>
      </c>
      <c r="T7137" t="s">
        <v>19911</v>
      </c>
    </row>
    <row r="7138" spans="2:20" x14ac:dyDescent="0.25">
      <c r="B7138" t="s">
        <v>2709</v>
      </c>
      <c r="C7138">
        <v>72259910</v>
      </c>
      <c r="E7138">
        <v>44</v>
      </c>
      <c r="F7138">
        <v>18</v>
      </c>
      <c r="G7138">
        <v>5</v>
      </c>
      <c r="H7138">
        <v>7.6</v>
      </c>
      <c r="I7138">
        <v>1.65</v>
      </c>
      <c r="J7138">
        <v>2</v>
      </c>
      <c r="L7138" t="s">
        <v>2709</v>
      </c>
      <c r="M7138">
        <v>72259910</v>
      </c>
      <c r="O7138" t="s">
        <v>20122</v>
      </c>
      <c r="P7138" t="s">
        <v>19899</v>
      </c>
      <c r="Q7138" t="s">
        <v>19909</v>
      </c>
      <c r="R7138" t="s">
        <v>19905</v>
      </c>
      <c r="S7138" t="s">
        <v>19906</v>
      </c>
      <c r="T7138" t="s">
        <v>19901</v>
      </c>
    </row>
    <row r="7139" spans="2:20" x14ac:dyDescent="0.25">
      <c r="B7139" t="s">
        <v>2709</v>
      </c>
      <c r="C7139">
        <v>72259990</v>
      </c>
      <c r="E7139">
        <v>44</v>
      </c>
      <c r="F7139">
        <v>18</v>
      </c>
      <c r="G7139">
        <v>5</v>
      </c>
      <c r="H7139">
        <v>7.6</v>
      </c>
      <c r="I7139">
        <v>1.65</v>
      </c>
      <c r="J7139">
        <v>14</v>
      </c>
      <c r="L7139" t="s">
        <v>2709</v>
      </c>
      <c r="M7139">
        <v>72259990</v>
      </c>
      <c r="O7139" t="s">
        <v>20122</v>
      </c>
      <c r="P7139" t="s">
        <v>19899</v>
      </c>
      <c r="Q7139" t="s">
        <v>19909</v>
      </c>
      <c r="R7139" t="s">
        <v>19905</v>
      </c>
      <c r="S7139" t="s">
        <v>19906</v>
      </c>
      <c r="T7139" t="s">
        <v>19911</v>
      </c>
    </row>
    <row r="7140" spans="2:20" x14ac:dyDescent="0.25">
      <c r="B7140" t="s">
        <v>2709</v>
      </c>
      <c r="C7140">
        <v>72261100</v>
      </c>
      <c r="E7140">
        <v>44</v>
      </c>
      <c r="F7140">
        <v>18</v>
      </c>
      <c r="G7140">
        <v>5</v>
      </c>
      <c r="H7140">
        <v>7.6</v>
      </c>
      <c r="I7140">
        <v>1.65</v>
      </c>
      <c r="J7140">
        <v>14</v>
      </c>
      <c r="L7140" t="s">
        <v>2709</v>
      </c>
      <c r="M7140">
        <v>72261100</v>
      </c>
      <c r="O7140" t="s">
        <v>20122</v>
      </c>
      <c r="P7140" t="s">
        <v>19899</v>
      </c>
      <c r="Q7140" t="s">
        <v>19909</v>
      </c>
      <c r="R7140" t="s">
        <v>19905</v>
      </c>
      <c r="S7140" t="s">
        <v>19906</v>
      </c>
      <c r="T7140" t="s">
        <v>19911</v>
      </c>
    </row>
    <row r="7141" spans="2:20" x14ac:dyDescent="0.25">
      <c r="B7141" t="s">
        <v>2709</v>
      </c>
      <c r="C7141">
        <v>72261900</v>
      </c>
      <c r="E7141">
        <v>44</v>
      </c>
      <c r="F7141">
        <v>18</v>
      </c>
      <c r="G7141">
        <v>5</v>
      </c>
      <c r="H7141">
        <v>7.6</v>
      </c>
      <c r="I7141">
        <v>1.65</v>
      </c>
      <c r="J7141">
        <v>14</v>
      </c>
      <c r="L7141" t="s">
        <v>2709</v>
      </c>
      <c r="M7141">
        <v>72261900</v>
      </c>
      <c r="O7141" t="s">
        <v>20122</v>
      </c>
      <c r="P7141" t="s">
        <v>19899</v>
      </c>
      <c r="Q7141" t="s">
        <v>19909</v>
      </c>
      <c r="R7141" t="s">
        <v>19905</v>
      </c>
      <c r="S7141" t="s">
        <v>19906</v>
      </c>
      <c r="T7141" t="s">
        <v>19911</v>
      </c>
    </row>
    <row r="7142" spans="2:20" x14ac:dyDescent="0.25">
      <c r="B7142" t="s">
        <v>2709</v>
      </c>
      <c r="C7142">
        <v>72262010</v>
      </c>
      <c r="E7142">
        <v>44</v>
      </c>
      <c r="F7142">
        <v>18</v>
      </c>
      <c r="G7142">
        <v>5</v>
      </c>
      <c r="H7142">
        <v>7.6</v>
      </c>
      <c r="I7142">
        <v>1.65</v>
      </c>
      <c r="J7142">
        <v>2</v>
      </c>
      <c r="L7142" t="s">
        <v>2709</v>
      </c>
      <c r="M7142">
        <v>72262010</v>
      </c>
      <c r="O7142" t="s">
        <v>20122</v>
      </c>
      <c r="P7142" t="s">
        <v>19899</v>
      </c>
      <c r="Q7142" t="s">
        <v>19909</v>
      </c>
      <c r="R7142" t="s">
        <v>19905</v>
      </c>
      <c r="S7142" t="s">
        <v>19906</v>
      </c>
      <c r="T7142" t="s">
        <v>19901</v>
      </c>
    </row>
    <row r="7143" spans="2:20" x14ac:dyDescent="0.25">
      <c r="B7143" t="s">
        <v>2709</v>
      </c>
      <c r="C7143">
        <v>72262090</v>
      </c>
      <c r="E7143">
        <v>44</v>
      </c>
      <c r="F7143">
        <v>18</v>
      </c>
      <c r="G7143">
        <v>5</v>
      </c>
      <c r="H7143">
        <v>7.6</v>
      </c>
      <c r="I7143">
        <v>1.65</v>
      </c>
      <c r="J7143">
        <v>14</v>
      </c>
      <c r="L7143" t="s">
        <v>2709</v>
      </c>
      <c r="M7143">
        <v>72262090</v>
      </c>
      <c r="O7143" t="s">
        <v>20122</v>
      </c>
      <c r="P7143" t="s">
        <v>19899</v>
      </c>
      <c r="Q7143" t="s">
        <v>19909</v>
      </c>
      <c r="R7143" t="s">
        <v>19905</v>
      </c>
      <c r="S7143" t="s">
        <v>19906</v>
      </c>
      <c r="T7143" t="s">
        <v>19911</v>
      </c>
    </row>
    <row r="7144" spans="2:20" x14ac:dyDescent="0.25">
      <c r="B7144" t="s">
        <v>2709</v>
      </c>
      <c r="C7144">
        <v>72269100</v>
      </c>
      <c r="E7144">
        <v>44</v>
      </c>
      <c r="F7144">
        <v>18</v>
      </c>
      <c r="G7144">
        <v>5</v>
      </c>
      <c r="H7144">
        <v>7.6</v>
      </c>
      <c r="I7144">
        <v>1.65</v>
      </c>
      <c r="J7144">
        <v>14</v>
      </c>
      <c r="L7144" t="s">
        <v>2709</v>
      </c>
      <c r="M7144">
        <v>72269100</v>
      </c>
      <c r="O7144" t="s">
        <v>20122</v>
      </c>
      <c r="P7144" t="s">
        <v>19899</v>
      </c>
      <c r="Q7144" t="s">
        <v>19909</v>
      </c>
      <c r="R7144" t="s">
        <v>19905</v>
      </c>
      <c r="S7144" t="s">
        <v>19906</v>
      </c>
      <c r="T7144" t="s">
        <v>19911</v>
      </c>
    </row>
    <row r="7145" spans="2:20" x14ac:dyDescent="0.25">
      <c r="B7145" t="s">
        <v>2709</v>
      </c>
      <c r="C7145">
        <v>72269200</v>
      </c>
      <c r="E7145">
        <v>44</v>
      </c>
      <c r="F7145">
        <v>18</v>
      </c>
      <c r="G7145">
        <v>5</v>
      </c>
      <c r="H7145">
        <v>7.6</v>
      </c>
      <c r="I7145">
        <v>1.65</v>
      </c>
      <c r="J7145">
        <v>14</v>
      </c>
      <c r="L7145" t="s">
        <v>2709</v>
      </c>
      <c r="M7145">
        <v>72269200</v>
      </c>
      <c r="O7145" t="s">
        <v>20122</v>
      </c>
      <c r="P7145" t="s">
        <v>19899</v>
      </c>
      <c r="Q7145" t="s">
        <v>19909</v>
      </c>
      <c r="R7145" t="s">
        <v>19905</v>
      </c>
      <c r="S7145" t="s">
        <v>19906</v>
      </c>
      <c r="T7145" t="s">
        <v>19911</v>
      </c>
    </row>
    <row r="7146" spans="2:20" x14ac:dyDescent="0.25">
      <c r="B7146" t="s">
        <v>2709</v>
      </c>
      <c r="C7146">
        <v>72269900</v>
      </c>
      <c r="E7146">
        <v>44</v>
      </c>
      <c r="F7146">
        <v>18</v>
      </c>
      <c r="G7146">
        <v>5</v>
      </c>
      <c r="H7146">
        <v>7.6</v>
      </c>
      <c r="I7146">
        <v>1.65</v>
      </c>
      <c r="J7146">
        <v>14</v>
      </c>
      <c r="L7146" t="s">
        <v>2709</v>
      </c>
      <c r="M7146">
        <v>72269900</v>
      </c>
      <c r="O7146" t="s">
        <v>20122</v>
      </c>
      <c r="P7146" t="s">
        <v>19899</v>
      </c>
      <c r="Q7146" t="s">
        <v>19909</v>
      </c>
      <c r="R7146" t="s">
        <v>19905</v>
      </c>
      <c r="S7146" t="s">
        <v>19906</v>
      </c>
      <c r="T7146" t="s">
        <v>19911</v>
      </c>
    </row>
    <row r="7147" spans="2:20" x14ac:dyDescent="0.25">
      <c r="B7147" t="s">
        <v>2709</v>
      </c>
      <c r="C7147">
        <v>72271000</v>
      </c>
      <c r="E7147">
        <v>44</v>
      </c>
      <c r="F7147">
        <v>18</v>
      </c>
      <c r="G7147">
        <v>5</v>
      </c>
      <c r="H7147">
        <v>7.6</v>
      </c>
      <c r="I7147">
        <v>1.65</v>
      </c>
      <c r="J7147">
        <v>14</v>
      </c>
      <c r="L7147" t="s">
        <v>2709</v>
      </c>
      <c r="M7147">
        <v>72271000</v>
      </c>
      <c r="O7147" t="s">
        <v>20122</v>
      </c>
      <c r="P7147" t="s">
        <v>19899</v>
      </c>
      <c r="Q7147" t="s">
        <v>19909</v>
      </c>
      <c r="R7147" t="s">
        <v>19905</v>
      </c>
      <c r="S7147" t="s">
        <v>19906</v>
      </c>
      <c r="T7147" t="s">
        <v>19911</v>
      </c>
    </row>
    <row r="7148" spans="2:20" x14ac:dyDescent="0.25">
      <c r="B7148" t="s">
        <v>2709</v>
      </c>
      <c r="C7148">
        <v>72272000</v>
      </c>
      <c r="E7148">
        <v>44</v>
      </c>
      <c r="F7148">
        <v>18</v>
      </c>
      <c r="G7148">
        <v>5</v>
      </c>
      <c r="H7148">
        <v>7.6</v>
      </c>
      <c r="I7148">
        <v>1.65</v>
      </c>
      <c r="J7148">
        <v>14</v>
      </c>
      <c r="L7148" t="s">
        <v>2709</v>
      </c>
      <c r="M7148">
        <v>72272000</v>
      </c>
      <c r="O7148" t="s">
        <v>20122</v>
      </c>
      <c r="P7148" t="s">
        <v>19899</v>
      </c>
      <c r="Q7148" t="s">
        <v>19909</v>
      </c>
      <c r="R7148" t="s">
        <v>19905</v>
      </c>
      <c r="S7148" t="s">
        <v>19906</v>
      </c>
      <c r="T7148" t="s">
        <v>19911</v>
      </c>
    </row>
    <row r="7149" spans="2:20" x14ac:dyDescent="0.25">
      <c r="B7149" t="s">
        <v>2709</v>
      </c>
      <c r="C7149">
        <v>72279000</v>
      </c>
      <c r="E7149">
        <v>44</v>
      </c>
      <c r="F7149">
        <v>18</v>
      </c>
      <c r="G7149">
        <v>5</v>
      </c>
      <c r="H7149">
        <v>7.6</v>
      </c>
      <c r="I7149">
        <v>1.65</v>
      </c>
      <c r="J7149">
        <v>14</v>
      </c>
      <c r="L7149" t="s">
        <v>2709</v>
      </c>
      <c r="M7149">
        <v>72279000</v>
      </c>
      <c r="O7149" t="s">
        <v>20122</v>
      </c>
      <c r="P7149" t="s">
        <v>19899</v>
      </c>
      <c r="Q7149" t="s">
        <v>19909</v>
      </c>
      <c r="R7149" t="s">
        <v>19905</v>
      </c>
      <c r="S7149" t="s">
        <v>19906</v>
      </c>
      <c r="T7149" t="s">
        <v>19911</v>
      </c>
    </row>
    <row r="7150" spans="2:20" x14ac:dyDescent="0.25">
      <c r="B7150" t="s">
        <v>2709</v>
      </c>
      <c r="C7150">
        <v>72281010</v>
      </c>
      <c r="E7150">
        <v>44</v>
      </c>
      <c r="F7150">
        <v>18</v>
      </c>
      <c r="G7150">
        <v>5</v>
      </c>
      <c r="H7150">
        <v>7.6</v>
      </c>
      <c r="I7150">
        <v>1.65</v>
      </c>
      <c r="J7150">
        <v>14</v>
      </c>
      <c r="L7150" t="s">
        <v>2709</v>
      </c>
      <c r="M7150">
        <v>72281010</v>
      </c>
      <c r="O7150" t="s">
        <v>20122</v>
      </c>
      <c r="P7150" t="s">
        <v>19899</v>
      </c>
      <c r="Q7150" t="s">
        <v>19909</v>
      </c>
      <c r="R7150" t="s">
        <v>19905</v>
      </c>
      <c r="S7150" t="s">
        <v>19906</v>
      </c>
      <c r="T7150" t="s">
        <v>19911</v>
      </c>
    </row>
    <row r="7151" spans="2:20" x14ac:dyDescent="0.25">
      <c r="B7151" t="s">
        <v>2709</v>
      </c>
      <c r="C7151">
        <v>72281090</v>
      </c>
      <c r="E7151">
        <v>44</v>
      </c>
      <c r="F7151">
        <v>18</v>
      </c>
      <c r="G7151">
        <v>5</v>
      </c>
      <c r="H7151">
        <v>7.6</v>
      </c>
      <c r="I7151">
        <v>1.65</v>
      </c>
      <c r="J7151">
        <v>14</v>
      </c>
      <c r="L7151" t="s">
        <v>2709</v>
      </c>
      <c r="M7151">
        <v>72281090</v>
      </c>
      <c r="O7151" t="s">
        <v>20122</v>
      </c>
      <c r="P7151" t="s">
        <v>19899</v>
      </c>
      <c r="Q7151" t="s">
        <v>19909</v>
      </c>
      <c r="R7151" t="s">
        <v>19905</v>
      </c>
      <c r="S7151" t="s">
        <v>19906</v>
      </c>
      <c r="T7151" t="s">
        <v>19911</v>
      </c>
    </row>
    <row r="7152" spans="2:20" x14ac:dyDescent="0.25">
      <c r="B7152" t="s">
        <v>2709</v>
      </c>
      <c r="C7152">
        <v>72282000</v>
      </c>
      <c r="E7152">
        <v>44</v>
      </c>
      <c r="F7152">
        <v>18</v>
      </c>
      <c r="G7152">
        <v>5</v>
      </c>
      <c r="H7152">
        <v>7.6</v>
      </c>
      <c r="I7152">
        <v>1.65</v>
      </c>
      <c r="J7152">
        <v>14</v>
      </c>
      <c r="L7152" t="s">
        <v>2709</v>
      </c>
      <c r="M7152">
        <v>72282000</v>
      </c>
      <c r="O7152" t="s">
        <v>20122</v>
      </c>
      <c r="P7152" t="s">
        <v>19899</v>
      </c>
      <c r="Q7152" t="s">
        <v>19909</v>
      </c>
      <c r="R7152" t="s">
        <v>19905</v>
      </c>
      <c r="S7152" t="s">
        <v>19906</v>
      </c>
      <c r="T7152" t="s">
        <v>19911</v>
      </c>
    </row>
    <row r="7153" spans="2:20" x14ac:dyDescent="0.25">
      <c r="B7153" t="s">
        <v>2709</v>
      </c>
      <c r="C7153">
        <v>72283000</v>
      </c>
      <c r="E7153">
        <v>44</v>
      </c>
      <c r="F7153">
        <v>12</v>
      </c>
      <c r="G7153">
        <v>5</v>
      </c>
      <c r="H7153">
        <v>7.6</v>
      </c>
      <c r="I7153">
        <v>1.65</v>
      </c>
      <c r="J7153">
        <v>14</v>
      </c>
      <c r="L7153" t="s">
        <v>2709</v>
      </c>
      <c r="M7153">
        <v>72283000</v>
      </c>
      <c r="O7153" t="s">
        <v>20122</v>
      </c>
      <c r="P7153" t="s">
        <v>19903</v>
      </c>
      <c r="Q7153" t="s">
        <v>19909</v>
      </c>
      <c r="R7153" t="s">
        <v>19905</v>
      </c>
      <c r="S7153" t="s">
        <v>19906</v>
      </c>
      <c r="T7153" t="s">
        <v>19911</v>
      </c>
    </row>
    <row r="7154" spans="2:20" x14ac:dyDescent="0.25">
      <c r="B7154" t="s">
        <v>2709</v>
      </c>
      <c r="C7154">
        <v>72284000</v>
      </c>
      <c r="E7154">
        <v>44</v>
      </c>
      <c r="F7154">
        <v>18</v>
      </c>
      <c r="G7154">
        <v>5</v>
      </c>
      <c r="H7154">
        <v>7.6</v>
      </c>
      <c r="I7154">
        <v>1.65</v>
      </c>
      <c r="J7154">
        <v>14</v>
      </c>
      <c r="L7154" t="s">
        <v>2709</v>
      </c>
      <c r="M7154">
        <v>72284000</v>
      </c>
      <c r="O7154" t="s">
        <v>20122</v>
      </c>
      <c r="P7154" t="s">
        <v>19899</v>
      </c>
      <c r="Q7154" t="s">
        <v>19909</v>
      </c>
      <c r="R7154" t="s">
        <v>19905</v>
      </c>
      <c r="S7154" t="s">
        <v>19906</v>
      </c>
      <c r="T7154" t="s">
        <v>19911</v>
      </c>
    </row>
    <row r="7155" spans="2:20" x14ac:dyDescent="0.25">
      <c r="B7155" t="s">
        <v>2709</v>
      </c>
      <c r="C7155">
        <v>72285000</v>
      </c>
      <c r="E7155">
        <v>44</v>
      </c>
      <c r="F7155">
        <v>12</v>
      </c>
      <c r="G7155">
        <v>5</v>
      </c>
      <c r="H7155">
        <v>7.6</v>
      </c>
      <c r="I7155">
        <v>1.65</v>
      </c>
      <c r="J7155">
        <v>14</v>
      </c>
      <c r="L7155" t="s">
        <v>2709</v>
      </c>
      <c r="M7155">
        <v>72285000</v>
      </c>
      <c r="O7155" t="s">
        <v>20122</v>
      </c>
      <c r="P7155" t="s">
        <v>19903</v>
      </c>
      <c r="Q7155" t="s">
        <v>19909</v>
      </c>
      <c r="R7155" t="s">
        <v>19905</v>
      </c>
      <c r="S7155" t="s">
        <v>19906</v>
      </c>
      <c r="T7155" t="s">
        <v>19911</v>
      </c>
    </row>
    <row r="7156" spans="2:20" x14ac:dyDescent="0.25">
      <c r="B7156" t="s">
        <v>2709</v>
      </c>
      <c r="C7156">
        <v>72286000</v>
      </c>
      <c r="E7156">
        <v>44</v>
      </c>
      <c r="F7156">
        <v>18</v>
      </c>
      <c r="G7156">
        <v>5</v>
      </c>
      <c r="H7156">
        <v>7.6</v>
      </c>
      <c r="I7156">
        <v>1.65</v>
      </c>
      <c r="J7156">
        <v>14</v>
      </c>
      <c r="L7156" t="s">
        <v>2709</v>
      </c>
      <c r="M7156">
        <v>72286000</v>
      </c>
      <c r="O7156" t="s">
        <v>20122</v>
      </c>
      <c r="P7156" t="s">
        <v>19899</v>
      </c>
      <c r="Q7156" t="s">
        <v>19909</v>
      </c>
      <c r="R7156" t="s">
        <v>19905</v>
      </c>
      <c r="S7156" t="s">
        <v>19906</v>
      </c>
      <c r="T7156" t="s">
        <v>19911</v>
      </c>
    </row>
    <row r="7157" spans="2:20" x14ac:dyDescent="0.25">
      <c r="B7157" t="s">
        <v>2709</v>
      </c>
      <c r="C7157">
        <v>72287000</v>
      </c>
      <c r="E7157">
        <v>44</v>
      </c>
      <c r="F7157">
        <v>18</v>
      </c>
      <c r="G7157">
        <v>5</v>
      </c>
      <c r="H7157">
        <v>7.6</v>
      </c>
      <c r="I7157">
        <v>1.65</v>
      </c>
      <c r="J7157">
        <v>14</v>
      </c>
      <c r="L7157" t="s">
        <v>2709</v>
      </c>
      <c r="M7157">
        <v>72287000</v>
      </c>
      <c r="O7157" t="s">
        <v>20122</v>
      </c>
      <c r="P7157" t="s">
        <v>19899</v>
      </c>
      <c r="Q7157" t="s">
        <v>19909</v>
      </c>
      <c r="R7157" t="s">
        <v>19905</v>
      </c>
      <c r="S7157" t="s">
        <v>19906</v>
      </c>
      <c r="T7157" t="s">
        <v>19911</v>
      </c>
    </row>
    <row r="7158" spans="2:20" x14ac:dyDescent="0.25">
      <c r="B7158" t="s">
        <v>2709</v>
      </c>
      <c r="C7158">
        <v>72288000</v>
      </c>
      <c r="E7158">
        <v>44</v>
      </c>
      <c r="F7158">
        <v>18</v>
      </c>
      <c r="G7158">
        <v>5</v>
      </c>
      <c r="H7158">
        <v>7.6</v>
      </c>
      <c r="I7158">
        <v>1.65</v>
      </c>
      <c r="J7158">
        <v>14</v>
      </c>
      <c r="L7158" t="s">
        <v>2709</v>
      </c>
      <c r="M7158">
        <v>72288000</v>
      </c>
      <c r="O7158" t="s">
        <v>20122</v>
      </c>
      <c r="P7158" t="s">
        <v>19899</v>
      </c>
      <c r="Q7158" t="s">
        <v>19909</v>
      </c>
      <c r="R7158" t="s">
        <v>19905</v>
      </c>
      <c r="S7158" t="s">
        <v>19906</v>
      </c>
      <c r="T7158" t="s">
        <v>19911</v>
      </c>
    </row>
    <row r="7159" spans="2:20" x14ac:dyDescent="0.25">
      <c r="B7159" t="s">
        <v>2709</v>
      </c>
      <c r="C7159">
        <v>72292000</v>
      </c>
      <c r="E7159">
        <v>44</v>
      </c>
      <c r="F7159">
        <v>18</v>
      </c>
      <c r="G7159">
        <v>5</v>
      </c>
      <c r="H7159">
        <v>7.6</v>
      </c>
      <c r="I7159">
        <v>1.65</v>
      </c>
      <c r="J7159">
        <v>14</v>
      </c>
      <c r="L7159" t="s">
        <v>2709</v>
      </c>
      <c r="M7159">
        <v>72292000</v>
      </c>
      <c r="O7159" t="s">
        <v>20122</v>
      </c>
      <c r="P7159" t="s">
        <v>19899</v>
      </c>
      <c r="Q7159" t="s">
        <v>19909</v>
      </c>
      <c r="R7159" t="s">
        <v>19905</v>
      </c>
      <c r="S7159" t="s">
        <v>19906</v>
      </c>
      <c r="T7159" t="s">
        <v>19911</v>
      </c>
    </row>
    <row r="7160" spans="2:20" x14ac:dyDescent="0.25">
      <c r="B7160" t="s">
        <v>2709</v>
      </c>
      <c r="C7160">
        <v>72299000</v>
      </c>
      <c r="E7160">
        <v>44</v>
      </c>
      <c r="F7160">
        <v>18</v>
      </c>
      <c r="G7160">
        <v>5</v>
      </c>
      <c r="H7160">
        <v>7.6</v>
      </c>
      <c r="I7160">
        <v>1.65</v>
      </c>
      <c r="J7160">
        <v>14</v>
      </c>
      <c r="L7160" t="s">
        <v>2709</v>
      </c>
      <c r="M7160">
        <v>72299000</v>
      </c>
      <c r="O7160" t="s">
        <v>20122</v>
      </c>
      <c r="P7160" t="s">
        <v>19899</v>
      </c>
      <c r="Q7160" t="s">
        <v>19909</v>
      </c>
      <c r="R7160" t="s">
        <v>19905</v>
      </c>
      <c r="S7160" t="s">
        <v>19906</v>
      </c>
      <c r="T7160" t="s">
        <v>19911</v>
      </c>
    </row>
    <row r="7161" spans="2:20" x14ac:dyDescent="0.25">
      <c r="B7161" t="s">
        <v>2709</v>
      </c>
      <c r="C7161">
        <v>73011000</v>
      </c>
      <c r="E7161">
        <v>101</v>
      </c>
      <c r="F7161">
        <v>18</v>
      </c>
      <c r="G7161">
        <v>0</v>
      </c>
      <c r="H7161">
        <v>7.6</v>
      </c>
      <c r="I7161">
        <v>1.65</v>
      </c>
      <c r="J7161">
        <v>10</v>
      </c>
      <c r="L7161" t="s">
        <v>2709</v>
      </c>
      <c r="M7161">
        <v>73011000</v>
      </c>
      <c r="O7161" t="s">
        <v>20081</v>
      </c>
      <c r="P7161" t="s">
        <v>19899</v>
      </c>
      <c r="Q7161" t="s">
        <v>19900</v>
      </c>
      <c r="R7161" t="s">
        <v>19905</v>
      </c>
      <c r="S7161" t="s">
        <v>19906</v>
      </c>
      <c r="T7161" t="s">
        <v>19904</v>
      </c>
    </row>
    <row r="7162" spans="2:20" x14ac:dyDescent="0.25">
      <c r="B7162" t="s">
        <v>2709</v>
      </c>
      <c r="C7162">
        <v>73012000</v>
      </c>
      <c r="E7162">
        <v>101</v>
      </c>
      <c r="F7162">
        <v>18</v>
      </c>
      <c r="G7162">
        <v>10</v>
      </c>
      <c r="H7162">
        <v>7.6</v>
      </c>
      <c r="I7162">
        <v>1.65</v>
      </c>
      <c r="J7162">
        <v>10</v>
      </c>
      <c r="L7162" t="s">
        <v>2709</v>
      </c>
      <c r="M7162">
        <v>73012000</v>
      </c>
      <c r="O7162" t="s">
        <v>20081</v>
      </c>
      <c r="P7162" t="s">
        <v>19899</v>
      </c>
      <c r="Q7162" t="s">
        <v>19904</v>
      </c>
      <c r="R7162" t="s">
        <v>19905</v>
      </c>
      <c r="S7162" t="s">
        <v>19906</v>
      </c>
      <c r="T7162" t="s">
        <v>19904</v>
      </c>
    </row>
    <row r="7163" spans="2:20" x14ac:dyDescent="0.25">
      <c r="B7163" t="s">
        <v>2709</v>
      </c>
      <c r="C7163">
        <v>73021010</v>
      </c>
      <c r="E7163">
        <v>101</v>
      </c>
      <c r="F7163">
        <v>18</v>
      </c>
      <c r="G7163">
        <v>0</v>
      </c>
      <c r="H7163" t="s">
        <v>19447</v>
      </c>
      <c r="I7163" t="s">
        <v>19447</v>
      </c>
      <c r="J7163">
        <v>0</v>
      </c>
      <c r="L7163" t="s">
        <v>2709</v>
      </c>
      <c r="M7163">
        <v>73021010</v>
      </c>
      <c r="O7163" t="s">
        <v>20081</v>
      </c>
      <c r="P7163" t="s">
        <v>19899</v>
      </c>
      <c r="Q7163" t="s">
        <v>19900</v>
      </c>
      <c r="R7163" t="s">
        <v>19447</v>
      </c>
      <c r="S7163" t="s">
        <v>19447</v>
      </c>
      <c r="T7163" t="s">
        <v>19900</v>
      </c>
    </row>
    <row r="7164" spans="2:20" x14ac:dyDescent="0.25">
      <c r="B7164" t="s">
        <v>2709</v>
      </c>
      <c r="C7164">
        <v>73021090</v>
      </c>
      <c r="E7164">
        <v>101</v>
      </c>
      <c r="F7164">
        <v>18</v>
      </c>
      <c r="G7164">
        <v>0</v>
      </c>
      <c r="H7164" t="s">
        <v>19447</v>
      </c>
      <c r="I7164" t="s">
        <v>19447</v>
      </c>
      <c r="J7164">
        <v>12</v>
      </c>
      <c r="L7164" t="s">
        <v>2709</v>
      </c>
      <c r="M7164">
        <v>73021090</v>
      </c>
      <c r="O7164" t="s">
        <v>20081</v>
      </c>
      <c r="P7164" t="s">
        <v>19899</v>
      </c>
      <c r="Q7164" t="s">
        <v>19900</v>
      </c>
      <c r="R7164" t="s">
        <v>19447</v>
      </c>
      <c r="S7164" t="s">
        <v>19447</v>
      </c>
      <c r="T7164" t="s">
        <v>19903</v>
      </c>
    </row>
    <row r="7165" spans="2:20" x14ac:dyDescent="0.25">
      <c r="B7165" t="s">
        <v>2709</v>
      </c>
      <c r="C7165">
        <v>73023000</v>
      </c>
      <c r="E7165">
        <v>101</v>
      </c>
      <c r="F7165">
        <v>18</v>
      </c>
      <c r="G7165">
        <v>0</v>
      </c>
      <c r="H7165" t="s">
        <v>19447</v>
      </c>
      <c r="I7165" t="s">
        <v>19447</v>
      </c>
      <c r="J7165">
        <v>12</v>
      </c>
      <c r="L7165" t="s">
        <v>2709</v>
      </c>
      <c r="M7165">
        <v>73023000</v>
      </c>
      <c r="O7165" t="s">
        <v>20081</v>
      </c>
      <c r="P7165" t="s">
        <v>19899</v>
      </c>
      <c r="Q7165" t="s">
        <v>19900</v>
      </c>
      <c r="R7165" t="s">
        <v>19447</v>
      </c>
      <c r="S7165" t="s">
        <v>19447</v>
      </c>
      <c r="T7165" t="s">
        <v>19903</v>
      </c>
    </row>
    <row r="7166" spans="2:20" x14ac:dyDescent="0.25">
      <c r="B7166" t="s">
        <v>2709</v>
      </c>
      <c r="C7166">
        <v>73024000</v>
      </c>
      <c r="E7166">
        <v>101</v>
      </c>
      <c r="F7166">
        <v>18</v>
      </c>
      <c r="G7166">
        <v>0</v>
      </c>
      <c r="H7166" t="s">
        <v>19447</v>
      </c>
      <c r="I7166" t="s">
        <v>19447</v>
      </c>
      <c r="J7166">
        <v>12</v>
      </c>
      <c r="L7166" t="s">
        <v>2709</v>
      </c>
      <c r="M7166">
        <v>73024000</v>
      </c>
      <c r="O7166" t="s">
        <v>20081</v>
      </c>
      <c r="P7166" t="s">
        <v>19899</v>
      </c>
      <c r="Q7166" t="s">
        <v>19900</v>
      </c>
      <c r="R7166" t="s">
        <v>19447</v>
      </c>
      <c r="S7166" t="s">
        <v>19447</v>
      </c>
      <c r="T7166" t="s">
        <v>19903</v>
      </c>
    </row>
    <row r="7167" spans="2:20" x14ac:dyDescent="0.25">
      <c r="B7167" t="s">
        <v>2709</v>
      </c>
      <c r="C7167">
        <v>73029000</v>
      </c>
      <c r="E7167">
        <v>101</v>
      </c>
      <c r="F7167">
        <v>18</v>
      </c>
      <c r="G7167">
        <v>0</v>
      </c>
      <c r="H7167" t="s">
        <v>19447</v>
      </c>
      <c r="I7167" t="s">
        <v>19447</v>
      </c>
      <c r="J7167">
        <v>12</v>
      </c>
      <c r="L7167" t="s">
        <v>2709</v>
      </c>
      <c r="M7167">
        <v>73029000</v>
      </c>
      <c r="O7167" t="s">
        <v>20081</v>
      </c>
      <c r="P7167" t="s">
        <v>19899</v>
      </c>
      <c r="Q7167" t="s">
        <v>19900</v>
      </c>
      <c r="R7167" t="s">
        <v>19447</v>
      </c>
      <c r="S7167" t="s">
        <v>19447</v>
      </c>
      <c r="T7167" t="s">
        <v>19903</v>
      </c>
    </row>
    <row r="7168" spans="2:20" x14ac:dyDescent="0.25">
      <c r="B7168" t="s">
        <v>2709</v>
      </c>
      <c r="C7168">
        <v>73030000</v>
      </c>
      <c r="E7168">
        <v>101</v>
      </c>
      <c r="F7168">
        <v>18</v>
      </c>
      <c r="G7168">
        <v>5</v>
      </c>
      <c r="H7168">
        <v>7.6</v>
      </c>
      <c r="I7168">
        <v>1.65</v>
      </c>
      <c r="J7168">
        <v>12</v>
      </c>
      <c r="L7168" t="s">
        <v>2709</v>
      </c>
      <c r="M7168">
        <v>73030000</v>
      </c>
      <c r="O7168" t="s">
        <v>20081</v>
      </c>
      <c r="P7168" t="s">
        <v>19899</v>
      </c>
      <c r="Q7168" t="s">
        <v>19909</v>
      </c>
      <c r="R7168" t="s">
        <v>19905</v>
      </c>
      <c r="S7168" t="s">
        <v>19906</v>
      </c>
      <c r="T7168" t="s">
        <v>19903</v>
      </c>
    </row>
    <row r="7169" spans="2:20" x14ac:dyDescent="0.25">
      <c r="B7169" t="s">
        <v>2709</v>
      </c>
      <c r="C7169">
        <v>73041100</v>
      </c>
      <c r="E7169">
        <v>101</v>
      </c>
      <c r="F7169">
        <v>18</v>
      </c>
      <c r="G7169">
        <v>0</v>
      </c>
      <c r="H7169" t="s">
        <v>19447</v>
      </c>
      <c r="I7169" t="s">
        <v>19447</v>
      </c>
      <c r="J7169">
        <v>16</v>
      </c>
      <c r="L7169" t="s">
        <v>2709</v>
      </c>
      <c r="M7169">
        <v>73041100</v>
      </c>
      <c r="O7169" t="s">
        <v>20081</v>
      </c>
      <c r="P7169" t="s">
        <v>19899</v>
      </c>
      <c r="Q7169" t="s">
        <v>19900</v>
      </c>
      <c r="R7169" t="s">
        <v>19447</v>
      </c>
      <c r="S7169" t="s">
        <v>19447</v>
      </c>
      <c r="T7169" t="s">
        <v>19913</v>
      </c>
    </row>
    <row r="7170" spans="2:20" x14ac:dyDescent="0.25">
      <c r="B7170" t="s">
        <v>2709</v>
      </c>
      <c r="C7170">
        <v>73041900</v>
      </c>
      <c r="E7170">
        <v>101</v>
      </c>
      <c r="F7170">
        <v>18</v>
      </c>
      <c r="G7170">
        <v>0</v>
      </c>
      <c r="H7170" t="s">
        <v>19447</v>
      </c>
      <c r="I7170" t="s">
        <v>19447</v>
      </c>
      <c r="J7170">
        <v>16</v>
      </c>
      <c r="L7170" t="s">
        <v>2709</v>
      </c>
      <c r="M7170">
        <v>73041900</v>
      </c>
      <c r="O7170" t="s">
        <v>20081</v>
      </c>
      <c r="P7170" t="s">
        <v>19899</v>
      </c>
      <c r="Q7170" t="s">
        <v>19900</v>
      </c>
      <c r="R7170" t="s">
        <v>19447</v>
      </c>
      <c r="S7170" t="s">
        <v>19447</v>
      </c>
      <c r="T7170" t="s">
        <v>19913</v>
      </c>
    </row>
    <row r="7171" spans="2:20" x14ac:dyDescent="0.25">
      <c r="B7171" t="s">
        <v>2709</v>
      </c>
      <c r="C7171">
        <v>73042200</v>
      </c>
      <c r="E7171">
        <v>101</v>
      </c>
      <c r="F7171">
        <v>18</v>
      </c>
      <c r="G7171">
        <v>0</v>
      </c>
      <c r="H7171" t="s">
        <v>19447</v>
      </c>
      <c r="I7171" t="s">
        <v>19447</v>
      </c>
      <c r="J7171">
        <v>16</v>
      </c>
      <c r="L7171" t="s">
        <v>2709</v>
      </c>
      <c r="M7171">
        <v>73042200</v>
      </c>
      <c r="O7171" t="s">
        <v>20081</v>
      </c>
      <c r="P7171" t="s">
        <v>19899</v>
      </c>
      <c r="Q7171" t="s">
        <v>19900</v>
      </c>
      <c r="R7171" t="s">
        <v>19447</v>
      </c>
      <c r="S7171" t="s">
        <v>19447</v>
      </c>
      <c r="T7171" t="s">
        <v>19913</v>
      </c>
    </row>
    <row r="7172" spans="2:20" x14ac:dyDescent="0.25">
      <c r="B7172" t="s">
        <v>2709</v>
      </c>
      <c r="C7172">
        <v>73042310</v>
      </c>
      <c r="E7172">
        <v>101</v>
      </c>
      <c r="F7172">
        <v>18</v>
      </c>
      <c r="G7172">
        <v>0</v>
      </c>
      <c r="H7172" t="s">
        <v>19447</v>
      </c>
      <c r="I7172" t="s">
        <v>19447</v>
      </c>
      <c r="J7172">
        <v>16</v>
      </c>
      <c r="L7172" t="s">
        <v>2709</v>
      </c>
      <c r="M7172">
        <v>73042310</v>
      </c>
      <c r="O7172" t="s">
        <v>20081</v>
      </c>
      <c r="P7172" t="s">
        <v>19899</v>
      </c>
      <c r="Q7172" t="s">
        <v>19900</v>
      </c>
      <c r="R7172" t="s">
        <v>19447</v>
      </c>
      <c r="S7172" t="s">
        <v>19447</v>
      </c>
      <c r="T7172" t="s">
        <v>19913</v>
      </c>
    </row>
    <row r="7173" spans="2:20" x14ac:dyDescent="0.25">
      <c r="B7173" t="s">
        <v>2709</v>
      </c>
      <c r="C7173">
        <v>73042390</v>
      </c>
      <c r="E7173">
        <v>101</v>
      </c>
      <c r="F7173">
        <v>18</v>
      </c>
      <c r="G7173">
        <v>0</v>
      </c>
      <c r="H7173" t="s">
        <v>19447</v>
      </c>
      <c r="I7173" t="s">
        <v>19447</v>
      </c>
      <c r="J7173">
        <v>16</v>
      </c>
      <c r="L7173" t="s">
        <v>2709</v>
      </c>
      <c r="M7173">
        <v>73042390</v>
      </c>
      <c r="O7173" t="s">
        <v>20081</v>
      </c>
      <c r="P7173" t="s">
        <v>19899</v>
      </c>
      <c r="Q7173" t="s">
        <v>19900</v>
      </c>
      <c r="R7173" t="s">
        <v>19447</v>
      </c>
      <c r="S7173" t="s">
        <v>19447</v>
      </c>
      <c r="T7173" t="s">
        <v>19913</v>
      </c>
    </row>
    <row r="7174" spans="2:20" x14ac:dyDescent="0.25">
      <c r="B7174" t="s">
        <v>2709</v>
      </c>
      <c r="C7174">
        <v>73042400</v>
      </c>
      <c r="E7174">
        <v>101</v>
      </c>
      <c r="F7174">
        <v>18</v>
      </c>
      <c r="G7174">
        <v>0</v>
      </c>
      <c r="H7174" t="s">
        <v>19447</v>
      </c>
      <c r="I7174" t="s">
        <v>19447</v>
      </c>
      <c r="J7174">
        <v>16</v>
      </c>
      <c r="L7174" t="s">
        <v>2709</v>
      </c>
      <c r="M7174">
        <v>73042400</v>
      </c>
      <c r="O7174" t="s">
        <v>20081</v>
      </c>
      <c r="P7174" t="s">
        <v>19899</v>
      </c>
      <c r="Q7174" t="s">
        <v>19900</v>
      </c>
      <c r="R7174" t="s">
        <v>19447</v>
      </c>
      <c r="S7174" t="s">
        <v>19447</v>
      </c>
      <c r="T7174" t="s">
        <v>19913</v>
      </c>
    </row>
    <row r="7175" spans="2:20" x14ac:dyDescent="0.25">
      <c r="B7175" t="s">
        <v>2709</v>
      </c>
      <c r="C7175">
        <v>73042910</v>
      </c>
      <c r="E7175">
        <v>101</v>
      </c>
      <c r="F7175">
        <v>18</v>
      </c>
      <c r="G7175">
        <v>0</v>
      </c>
      <c r="H7175" t="s">
        <v>19447</v>
      </c>
      <c r="I7175" t="s">
        <v>19447</v>
      </c>
      <c r="J7175">
        <v>16</v>
      </c>
      <c r="L7175" t="s">
        <v>2709</v>
      </c>
      <c r="M7175">
        <v>73042910</v>
      </c>
      <c r="O7175" t="s">
        <v>20081</v>
      </c>
      <c r="P7175" t="s">
        <v>19899</v>
      </c>
      <c r="Q7175" t="s">
        <v>19900</v>
      </c>
      <c r="R7175" t="s">
        <v>19447</v>
      </c>
      <c r="S7175" t="s">
        <v>19447</v>
      </c>
      <c r="T7175" t="s">
        <v>19913</v>
      </c>
    </row>
    <row r="7176" spans="2:20" x14ac:dyDescent="0.25">
      <c r="B7176" t="s">
        <v>2709</v>
      </c>
      <c r="C7176">
        <v>73042931</v>
      </c>
      <c r="E7176">
        <v>101</v>
      </c>
      <c r="F7176">
        <v>18</v>
      </c>
      <c r="G7176">
        <v>0</v>
      </c>
      <c r="H7176" t="s">
        <v>19447</v>
      </c>
      <c r="I7176" t="s">
        <v>19447</v>
      </c>
      <c r="J7176">
        <v>16</v>
      </c>
      <c r="L7176" t="s">
        <v>2709</v>
      </c>
      <c r="M7176">
        <v>73042931</v>
      </c>
      <c r="O7176" t="s">
        <v>20081</v>
      </c>
      <c r="P7176" t="s">
        <v>19899</v>
      </c>
      <c r="Q7176" t="s">
        <v>19900</v>
      </c>
      <c r="R7176" t="s">
        <v>19447</v>
      </c>
      <c r="S7176" t="s">
        <v>19447</v>
      </c>
      <c r="T7176" t="s">
        <v>19913</v>
      </c>
    </row>
    <row r="7177" spans="2:20" x14ac:dyDescent="0.25">
      <c r="B7177" t="s">
        <v>2709</v>
      </c>
      <c r="C7177">
        <v>73042939</v>
      </c>
      <c r="E7177">
        <v>101</v>
      </c>
      <c r="F7177">
        <v>18</v>
      </c>
      <c r="G7177">
        <v>0</v>
      </c>
      <c r="H7177" t="s">
        <v>19447</v>
      </c>
      <c r="I7177" t="s">
        <v>19447</v>
      </c>
      <c r="J7177">
        <v>16</v>
      </c>
      <c r="L7177" t="s">
        <v>2709</v>
      </c>
      <c r="M7177">
        <v>73042939</v>
      </c>
      <c r="O7177" t="s">
        <v>20081</v>
      </c>
      <c r="P7177" t="s">
        <v>19899</v>
      </c>
      <c r="Q7177" t="s">
        <v>19900</v>
      </c>
      <c r="R7177" t="s">
        <v>19447</v>
      </c>
      <c r="S7177" t="s">
        <v>19447</v>
      </c>
      <c r="T7177" t="s">
        <v>19913</v>
      </c>
    </row>
    <row r="7178" spans="2:20" x14ac:dyDescent="0.25">
      <c r="B7178" t="s">
        <v>2709</v>
      </c>
      <c r="C7178">
        <v>73042990</v>
      </c>
      <c r="E7178">
        <v>101</v>
      </c>
      <c r="F7178">
        <v>18</v>
      </c>
      <c r="G7178">
        <v>0</v>
      </c>
      <c r="H7178" t="s">
        <v>19447</v>
      </c>
      <c r="I7178" t="s">
        <v>19447</v>
      </c>
      <c r="J7178">
        <v>16</v>
      </c>
      <c r="L7178" t="s">
        <v>2709</v>
      </c>
      <c r="M7178">
        <v>73042990</v>
      </c>
      <c r="O7178" t="s">
        <v>20081</v>
      </c>
      <c r="P7178" t="s">
        <v>19899</v>
      </c>
      <c r="Q7178" t="s">
        <v>19900</v>
      </c>
      <c r="R7178" t="s">
        <v>19447</v>
      </c>
      <c r="S7178" t="s">
        <v>19447</v>
      </c>
      <c r="T7178" t="s">
        <v>19913</v>
      </c>
    </row>
    <row r="7179" spans="2:20" x14ac:dyDescent="0.25">
      <c r="B7179" t="s">
        <v>2709</v>
      </c>
      <c r="C7179">
        <v>73043110</v>
      </c>
      <c r="E7179">
        <v>101</v>
      </c>
      <c r="F7179">
        <v>18</v>
      </c>
      <c r="G7179">
        <v>5</v>
      </c>
      <c r="H7179" t="s">
        <v>19447</v>
      </c>
      <c r="I7179" t="s">
        <v>19447</v>
      </c>
      <c r="J7179">
        <v>16</v>
      </c>
      <c r="L7179" t="s">
        <v>2709</v>
      </c>
      <c r="M7179">
        <v>73043110</v>
      </c>
      <c r="O7179" t="s">
        <v>20081</v>
      </c>
      <c r="P7179" t="s">
        <v>19899</v>
      </c>
      <c r="Q7179" t="s">
        <v>19909</v>
      </c>
      <c r="R7179" t="s">
        <v>19447</v>
      </c>
      <c r="S7179" t="s">
        <v>19447</v>
      </c>
      <c r="T7179" t="s">
        <v>19913</v>
      </c>
    </row>
    <row r="7180" spans="2:20" x14ac:dyDescent="0.25">
      <c r="B7180" t="s">
        <v>2709</v>
      </c>
      <c r="C7180">
        <v>73043190</v>
      </c>
      <c r="E7180">
        <v>101</v>
      </c>
      <c r="F7180">
        <v>18</v>
      </c>
      <c r="G7180">
        <v>5</v>
      </c>
      <c r="H7180" t="s">
        <v>19447</v>
      </c>
      <c r="I7180" t="s">
        <v>19447</v>
      </c>
      <c r="J7180">
        <v>16</v>
      </c>
      <c r="L7180" t="s">
        <v>2709</v>
      </c>
      <c r="M7180">
        <v>73043190</v>
      </c>
      <c r="O7180" t="s">
        <v>20081</v>
      </c>
      <c r="P7180" t="s">
        <v>19899</v>
      </c>
      <c r="Q7180" t="s">
        <v>19909</v>
      </c>
      <c r="R7180" t="s">
        <v>19447</v>
      </c>
      <c r="S7180" t="s">
        <v>19447</v>
      </c>
      <c r="T7180" t="s">
        <v>19913</v>
      </c>
    </row>
    <row r="7181" spans="2:20" x14ac:dyDescent="0.25">
      <c r="B7181" t="s">
        <v>2709</v>
      </c>
      <c r="C7181">
        <v>73043910</v>
      </c>
      <c r="E7181">
        <v>101</v>
      </c>
      <c r="F7181">
        <v>18</v>
      </c>
      <c r="G7181">
        <v>5</v>
      </c>
      <c r="H7181" t="s">
        <v>19447</v>
      </c>
      <c r="I7181" t="s">
        <v>19447</v>
      </c>
      <c r="J7181">
        <v>16</v>
      </c>
      <c r="L7181" t="s">
        <v>2709</v>
      </c>
      <c r="M7181">
        <v>73043910</v>
      </c>
      <c r="O7181" t="s">
        <v>20081</v>
      </c>
      <c r="P7181" t="s">
        <v>19899</v>
      </c>
      <c r="Q7181" t="s">
        <v>19909</v>
      </c>
      <c r="R7181" t="s">
        <v>19447</v>
      </c>
      <c r="S7181" t="s">
        <v>19447</v>
      </c>
      <c r="T7181" t="s">
        <v>19913</v>
      </c>
    </row>
    <row r="7182" spans="2:20" x14ac:dyDescent="0.25">
      <c r="B7182" t="s">
        <v>2709</v>
      </c>
      <c r="C7182">
        <v>73043920</v>
      </c>
      <c r="E7182">
        <v>101</v>
      </c>
      <c r="F7182">
        <v>18</v>
      </c>
      <c r="G7182">
        <v>5</v>
      </c>
      <c r="H7182" t="s">
        <v>19447</v>
      </c>
      <c r="I7182" t="s">
        <v>19447</v>
      </c>
      <c r="J7182">
        <v>16</v>
      </c>
      <c r="L7182" t="s">
        <v>2709</v>
      </c>
      <c r="M7182">
        <v>73043920</v>
      </c>
      <c r="O7182" t="s">
        <v>20081</v>
      </c>
      <c r="P7182" t="s">
        <v>19899</v>
      </c>
      <c r="Q7182" t="s">
        <v>19909</v>
      </c>
      <c r="R7182" t="s">
        <v>19447</v>
      </c>
      <c r="S7182" t="s">
        <v>19447</v>
      </c>
      <c r="T7182" t="s">
        <v>19913</v>
      </c>
    </row>
    <row r="7183" spans="2:20" x14ac:dyDescent="0.25">
      <c r="B7183" t="s">
        <v>2709</v>
      </c>
      <c r="C7183">
        <v>73043990</v>
      </c>
      <c r="E7183">
        <v>101</v>
      </c>
      <c r="F7183">
        <v>18</v>
      </c>
      <c r="G7183">
        <v>5</v>
      </c>
      <c r="H7183" t="s">
        <v>19447</v>
      </c>
      <c r="I7183" t="s">
        <v>19447</v>
      </c>
      <c r="J7183">
        <v>16</v>
      </c>
      <c r="L7183" t="s">
        <v>2709</v>
      </c>
      <c r="M7183">
        <v>73043990</v>
      </c>
      <c r="O7183" t="s">
        <v>20081</v>
      </c>
      <c r="P7183" t="s">
        <v>19899</v>
      </c>
      <c r="Q7183" t="s">
        <v>19909</v>
      </c>
      <c r="R7183" t="s">
        <v>19447</v>
      </c>
      <c r="S7183" t="s">
        <v>19447</v>
      </c>
      <c r="T7183" t="s">
        <v>19913</v>
      </c>
    </row>
    <row r="7184" spans="2:20" x14ac:dyDescent="0.25">
      <c r="B7184" t="s">
        <v>2709</v>
      </c>
      <c r="C7184">
        <v>73044110</v>
      </c>
      <c r="E7184">
        <v>101</v>
      </c>
      <c r="F7184">
        <v>18</v>
      </c>
      <c r="G7184">
        <v>5</v>
      </c>
      <c r="H7184" t="s">
        <v>19447</v>
      </c>
      <c r="I7184" t="s">
        <v>19447</v>
      </c>
      <c r="J7184">
        <v>2</v>
      </c>
      <c r="L7184" t="s">
        <v>2709</v>
      </c>
      <c r="M7184">
        <v>73044110</v>
      </c>
      <c r="O7184" t="s">
        <v>20081</v>
      </c>
      <c r="P7184" t="s">
        <v>19899</v>
      </c>
      <c r="Q7184" t="s">
        <v>19909</v>
      </c>
      <c r="R7184" t="s">
        <v>19447</v>
      </c>
      <c r="S7184" t="s">
        <v>19447</v>
      </c>
      <c r="T7184" t="s">
        <v>19901</v>
      </c>
    </row>
    <row r="7185" spans="2:20" x14ac:dyDescent="0.25">
      <c r="B7185" t="s">
        <v>2709</v>
      </c>
      <c r="C7185">
        <v>73044190</v>
      </c>
      <c r="E7185">
        <v>101</v>
      </c>
      <c r="F7185">
        <v>18</v>
      </c>
      <c r="G7185">
        <v>5</v>
      </c>
      <c r="H7185" t="s">
        <v>19447</v>
      </c>
      <c r="I7185" t="s">
        <v>19447</v>
      </c>
      <c r="J7185">
        <v>16</v>
      </c>
      <c r="L7185" t="s">
        <v>2709</v>
      </c>
      <c r="M7185">
        <v>73044190</v>
      </c>
      <c r="O7185" t="s">
        <v>20081</v>
      </c>
      <c r="P7185" t="s">
        <v>19899</v>
      </c>
      <c r="Q7185" t="s">
        <v>19909</v>
      </c>
      <c r="R7185" t="s">
        <v>19447</v>
      </c>
      <c r="S7185" t="s">
        <v>19447</v>
      </c>
      <c r="T7185" t="s">
        <v>19913</v>
      </c>
    </row>
    <row r="7186" spans="2:20" x14ac:dyDescent="0.25">
      <c r="B7186" t="s">
        <v>2709</v>
      </c>
      <c r="C7186">
        <v>73044900</v>
      </c>
      <c r="E7186">
        <v>101</v>
      </c>
      <c r="F7186">
        <v>18</v>
      </c>
      <c r="G7186">
        <v>5</v>
      </c>
      <c r="H7186" t="s">
        <v>19447</v>
      </c>
      <c r="I7186" t="s">
        <v>19447</v>
      </c>
      <c r="J7186">
        <v>16</v>
      </c>
      <c r="L7186" t="s">
        <v>2709</v>
      </c>
      <c r="M7186">
        <v>73044900</v>
      </c>
      <c r="O7186" t="s">
        <v>20081</v>
      </c>
      <c r="P7186" t="s">
        <v>19899</v>
      </c>
      <c r="Q7186" t="s">
        <v>19909</v>
      </c>
      <c r="R7186" t="s">
        <v>19447</v>
      </c>
      <c r="S7186" t="s">
        <v>19447</v>
      </c>
      <c r="T7186" t="s">
        <v>19913</v>
      </c>
    </row>
    <row r="7187" spans="2:20" x14ac:dyDescent="0.25">
      <c r="B7187" t="s">
        <v>2709</v>
      </c>
      <c r="C7187">
        <v>73045111</v>
      </c>
      <c r="E7187">
        <v>101</v>
      </c>
      <c r="F7187">
        <v>18</v>
      </c>
      <c r="G7187">
        <v>5</v>
      </c>
      <c r="H7187" t="s">
        <v>19447</v>
      </c>
      <c r="I7187" t="s">
        <v>19447</v>
      </c>
      <c r="J7187">
        <v>2</v>
      </c>
      <c r="L7187" t="s">
        <v>2709</v>
      </c>
      <c r="M7187">
        <v>73045111</v>
      </c>
      <c r="O7187" t="s">
        <v>20081</v>
      </c>
      <c r="P7187" t="s">
        <v>19899</v>
      </c>
      <c r="Q7187" t="s">
        <v>19909</v>
      </c>
      <c r="R7187" t="s">
        <v>19447</v>
      </c>
      <c r="S7187" t="s">
        <v>19447</v>
      </c>
      <c r="T7187" t="s">
        <v>19901</v>
      </c>
    </row>
    <row r="7188" spans="2:20" x14ac:dyDescent="0.25">
      <c r="B7188" t="s">
        <v>2709</v>
      </c>
      <c r="C7188">
        <v>73045119</v>
      </c>
      <c r="E7188">
        <v>101</v>
      </c>
      <c r="F7188">
        <v>18</v>
      </c>
      <c r="G7188">
        <v>5</v>
      </c>
      <c r="H7188" t="s">
        <v>19447</v>
      </c>
      <c r="I7188" t="s">
        <v>19447</v>
      </c>
      <c r="J7188">
        <v>16</v>
      </c>
      <c r="L7188" t="s">
        <v>2709</v>
      </c>
      <c r="M7188">
        <v>73045119</v>
      </c>
      <c r="O7188" t="s">
        <v>20081</v>
      </c>
      <c r="P7188" t="s">
        <v>19899</v>
      </c>
      <c r="Q7188" t="s">
        <v>19909</v>
      </c>
      <c r="R7188" t="s">
        <v>19447</v>
      </c>
      <c r="S7188" t="s">
        <v>19447</v>
      </c>
      <c r="T7188" t="s">
        <v>19913</v>
      </c>
    </row>
    <row r="7189" spans="2:20" x14ac:dyDescent="0.25">
      <c r="B7189" t="s">
        <v>2709</v>
      </c>
      <c r="C7189">
        <v>73045190</v>
      </c>
      <c r="E7189">
        <v>101</v>
      </c>
      <c r="F7189">
        <v>18</v>
      </c>
      <c r="G7189">
        <v>5</v>
      </c>
      <c r="H7189" t="s">
        <v>19447</v>
      </c>
      <c r="I7189" t="s">
        <v>19447</v>
      </c>
      <c r="J7189">
        <v>16</v>
      </c>
      <c r="L7189" t="s">
        <v>2709</v>
      </c>
      <c r="M7189">
        <v>73045190</v>
      </c>
      <c r="O7189" t="s">
        <v>20081</v>
      </c>
      <c r="P7189" t="s">
        <v>19899</v>
      </c>
      <c r="Q7189" t="s">
        <v>19909</v>
      </c>
      <c r="R7189" t="s">
        <v>19447</v>
      </c>
      <c r="S7189" t="s">
        <v>19447</v>
      </c>
      <c r="T7189" t="s">
        <v>19913</v>
      </c>
    </row>
    <row r="7190" spans="2:20" x14ac:dyDescent="0.25">
      <c r="B7190" t="s">
        <v>2709</v>
      </c>
      <c r="C7190">
        <v>73045911</v>
      </c>
      <c r="E7190">
        <v>101</v>
      </c>
      <c r="F7190">
        <v>18</v>
      </c>
      <c r="G7190">
        <v>5</v>
      </c>
      <c r="H7190" t="s">
        <v>19447</v>
      </c>
      <c r="I7190" t="s">
        <v>19447</v>
      </c>
      <c r="J7190">
        <v>2</v>
      </c>
      <c r="L7190" t="s">
        <v>2709</v>
      </c>
      <c r="M7190">
        <v>73045911</v>
      </c>
      <c r="O7190" t="s">
        <v>20081</v>
      </c>
      <c r="P7190" t="s">
        <v>19899</v>
      </c>
      <c r="Q7190" t="s">
        <v>19909</v>
      </c>
      <c r="R7190" t="s">
        <v>19447</v>
      </c>
      <c r="S7190" t="s">
        <v>19447</v>
      </c>
      <c r="T7190" t="s">
        <v>19901</v>
      </c>
    </row>
    <row r="7191" spans="2:20" x14ac:dyDescent="0.25">
      <c r="B7191" t="s">
        <v>2709</v>
      </c>
      <c r="C7191">
        <v>73045919</v>
      </c>
      <c r="E7191">
        <v>101</v>
      </c>
      <c r="F7191">
        <v>18</v>
      </c>
      <c r="G7191">
        <v>5</v>
      </c>
      <c r="H7191" t="s">
        <v>19447</v>
      </c>
      <c r="I7191" t="s">
        <v>19447</v>
      </c>
      <c r="J7191">
        <v>16</v>
      </c>
      <c r="L7191" t="s">
        <v>2709</v>
      </c>
      <c r="M7191">
        <v>73045919</v>
      </c>
      <c r="O7191" t="s">
        <v>20081</v>
      </c>
      <c r="P7191" t="s">
        <v>19899</v>
      </c>
      <c r="Q7191" t="s">
        <v>19909</v>
      </c>
      <c r="R7191" t="s">
        <v>19447</v>
      </c>
      <c r="S7191" t="s">
        <v>19447</v>
      </c>
      <c r="T7191" t="s">
        <v>19913</v>
      </c>
    </row>
    <row r="7192" spans="2:20" x14ac:dyDescent="0.25">
      <c r="B7192" t="s">
        <v>2709</v>
      </c>
      <c r="C7192">
        <v>73045990</v>
      </c>
      <c r="E7192">
        <v>101</v>
      </c>
      <c r="F7192">
        <v>18</v>
      </c>
      <c r="G7192">
        <v>5</v>
      </c>
      <c r="H7192" t="s">
        <v>19447</v>
      </c>
      <c r="I7192" t="s">
        <v>19447</v>
      </c>
      <c r="J7192">
        <v>16</v>
      </c>
      <c r="L7192" t="s">
        <v>2709</v>
      </c>
      <c r="M7192">
        <v>73045990</v>
      </c>
      <c r="O7192" t="s">
        <v>20081</v>
      </c>
      <c r="P7192" t="s">
        <v>19899</v>
      </c>
      <c r="Q7192" t="s">
        <v>19909</v>
      </c>
      <c r="R7192" t="s">
        <v>19447</v>
      </c>
      <c r="S7192" t="s">
        <v>19447</v>
      </c>
      <c r="T7192" t="s">
        <v>19913</v>
      </c>
    </row>
    <row r="7193" spans="2:20" x14ac:dyDescent="0.25">
      <c r="B7193" t="s">
        <v>2709</v>
      </c>
      <c r="C7193">
        <v>73049011</v>
      </c>
      <c r="E7193">
        <v>101</v>
      </c>
      <c r="F7193">
        <v>18</v>
      </c>
      <c r="G7193">
        <v>5</v>
      </c>
      <c r="H7193" t="s">
        <v>19447</v>
      </c>
      <c r="I7193" t="s">
        <v>19447</v>
      </c>
      <c r="J7193">
        <v>16</v>
      </c>
      <c r="L7193" t="s">
        <v>2709</v>
      </c>
      <c r="M7193">
        <v>73049011</v>
      </c>
      <c r="O7193" t="s">
        <v>20081</v>
      </c>
      <c r="P7193" t="s">
        <v>19899</v>
      </c>
      <c r="Q7193" t="s">
        <v>19909</v>
      </c>
      <c r="R7193" t="s">
        <v>19447</v>
      </c>
      <c r="S7193" t="s">
        <v>19447</v>
      </c>
      <c r="T7193" t="s">
        <v>19913</v>
      </c>
    </row>
    <row r="7194" spans="2:20" x14ac:dyDescent="0.25">
      <c r="B7194" t="s">
        <v>2709</v>
      </c>
      <c r="C7194">
        <v>73049019</v>
      </c>
      <c r="E7194">
        <v>101</v>
      </c>
      <c r="F7194">
        <v>18</v>
      </c>
      <c r="G7194">
        <v>5</v>
      </c>
      <c r="H7194" t="s">
        <v>19447</v>
      </c>
      <c r="I7194" t="s">
        <v>19447</v>
      </c>
      <c r="J7194">
        <v>16</v>
      </c>
      <c r="L7194" t="s">
        <v>2709</v>
      </c>
      <c r="M7194">
        <v>73049019</v>
      </c>
      <c r="O7194" t="s">
        <v>20081</v>
      </c>
      <c r="P7194" t="s">
        <v>19899</v>
      </c>
      <c r="Q7194" t="s">
        <v>19909</v>
      </c>
      <c r="R7194" t="s">
        <v>19447</v>
      </c>
      <c r="S7194" t="s">
        <v>19447</v>
      </c>
      <c r="T7194" t="s">
        <v>19913</v>
      </c>
    </row>
    <row r="7195" spans="2:20" x14ac:dyDescent="0.25">
      <c r="B7195" t="s">
        <v>2709</v>
      </c>
      <c r="C7195">
        <v>73049090</v>
      </c>
      <c r="E7195">
        <v>101</v>
      </c>
      <c r="F7195">
        <v>18</v>
      </c>
      <c r="G7195">
        <v>5</v>
      </c>
      <c r="H7195" t="s">
        <v>19447</v>
      </c>
      <c r="I7195" t="s">
        <v>19447</v>
      </c>
      <c r="J7195">
        <v>16</v>
      </c>
      <c r="L7195" t="s">
        <v>2709</v>
      </c>
      <c r="M7195">
        <v>73049090</v>
      </c>
      <c r="O7195" t="s">
        <v>20081</v>
      </c>
      <c r="P7195" t="s">
        <v>19899</v>
      </c>
      <c r="Q7195" t="s">
        <v>19909</v>
      </c>
      <c r="R7195" t="s">
        <v>19447</v>
      </c>
      <c r="S7195" t="s">
        <v>19447</v>
      </c>
      <c r="T7195" t="s">
        <v>19913</v>
      </c>
    </row>
    <row r="7196" spans="2:20" x14ac:dyDescent="0.25">
      <c r="B7196" t="s">
        <v>2709</v>
      </c>
      <c r="C7196">
        <v>73051100</v>
      </c>
      <c r="E7196">
        <v>101</v>
      </c>
      <c r="F7196">
        <v>18</v>
      </c>
      <c r="G7196">
        <v>0</v>
      </c>
      <c r="H7196" t="s">
        <v>19447</v>
      </c>
      <c r="I7196" t="s">
        <v>19447</v>
      </c>
      <c r="J7196">
        <v>14</v>
      </c>
      <c r="L7196" t="s">
        <v>2709</v>
      </c>
      <c r="M7196">
        <v>73051100</v>
      </c>
      <c r="O7196" t="s">
        <v>20081</v>
      </c>
      <c r="P7196" t="s">
        <v>19899</v>
      </c>
      <c r="Q7196" t="s">
        <v>19900</v>
      </c>
      <c r="R7196" t="s">
        <v>19447</v>
      </c>
      <c r="S7196" t="s">
        <v>19447</v>
      </c>
      <c r="T7196" t="s">
        <v>19911</v>
      </c>
    </row>
    <row r="7197" spans="2:20" x14ac:dyDescent="0.25">
      <c r="B7197" t="s">
        <v>2709</v>
      </c>
      <c r="C7197">
        <v>73051200</v>
      </c>
      <c r="E7197">
        <v>101</v>
      </c>
      <c r="F7197">
        <v>18</v>
      </c>
      <c r="G7197">
        <v>0</v>
      </c>
      <c r="H7197" t="s">
        <v>19447</v>
      </c>
      <c r="I7197" t="s">
        <v>19447</v>
      </c>
      <c r="J7197">
        <v>14</v>
      </c>
      <c r="L7197" t="s">
        <v>2709</v>
      </c>
      <c r="M7197">
        <v>73051200</v>
      </c>
      <c r="O7197" t="s">
        <v>20081</v>
      </c>
      <c r="P7197" t="s">
        <v>19899</v>
      </c>
      <c r="Q7197" t="s">
        <v>19900</v>
      </c>
      <c r="R7197" t="s">
        <v>19447</v>
      </c>
      <c r="S7197" t="s">
        <v>19447</v>
      </c>
      <c r="T7197" t="s">
        <v>19911</v>
      </c>
    </row>
    <row r="7198" spans="2:20" x14ac:dyDescent="0.25">
      <c r="B7198" t="s">
        <v>2709</v>
      </c>
      <c r="C7198">
        <v>73051900</v>
      </c>
      <c r="E7198">
        <v>101</v>
      </c>
      <c r="F7198">
        <v>18</v>
      </c>
      <c r="G7198">
        <v>0</v>
      </c>
      <c r="H7198" t="s">
        <v>19447</v>
      </c>
      <c r="I7198" t="s">
        <v>19447</v>
      </c>
      <c r="J7198">
        <v>14</v>
      </c>
      <c r="L7198" t="s">
        <v>2709</v>
      </c>
      <c r="M7198">
        <v>73051900</v>
      </c>
      <c r="O7198" t="s">
        <v>20081</v>
      </c>
      <c r="P7198" t="s">
        <v>19899</v>
      </c>
      <c r="Q7198" t="s">
        <v>19900</v>
      </c>
      <c r="R7198" t="s">
        <v>19447</v>
      </c>
      <c r="S7198" t="s">
        <v>19447</v>
      </c>
      <c r="T7198" t="s">
        <v>19911</v>
      </c>
    </row>
    <row r="7199" spans="2:20" x14ac:dyDescent="0.25">
      <c r="B7199" t="s">
        <v>2709</v>
      </c>
      <c r="C7199">
        <v>73052000</v>
      </c>
      <c r="E7199">
        <v>101</v>
      </c>
      <c r="F7199">
        <v>18</v>
      </c>
      <c r="G7199">
        <v>0</v>
      </c>
      <c r="H7199" t="s">
        <v>19447</v>
      </c>
      <c r="I7199" t="s">
        <v>19447</v>
      </c>
      <c r="J7199">
        <v>14</v>
      </c>
      <c r="L7199" t="s">
        <v>2709</v>
      </c>
      <c r="M7199">
        <v>73052000</v>
      </c>
      <c r="O7199" t="s">
        <v>20081</v>
      </c>
      <c r="P7199" t="s">
        <v>19899</v>
      </c>
      <c r="Q7199" t="s">
        <v>19900</v>
      </c>
      <c r="R7199" t="s">
        <v>19447</v>
      </c>
      <c r="S7199" t="s">
        <v>19447</v>
      </c>
      <c r="T7199" t="s">
        <v>19911</v>
      </c>
    </row>
    <row r="7200" spans="2:20" x14ac:dyDescent="0.25">
      <c r="B7200" t="s">
        <v>2709</v>
      </c>
      <c r="C7200">
        <v>73053100</v>
      </c>
      <c r="E7200">
        <v>101</v>
      </c>
      <c r="F7200">
        <v>18</v>
      </c>
      <c r="G7200">
        <v>5</v>
      </c>
      <c r="H7200">
        <v>7.6</v>
      </c>
      <c r="I7200">
        <v>1.65</v>
      </c>
      <c r="J7200">
        <v>14</v>
      </c>
      <c r="L7200" t="s">
        <v>2709</v>
      </c>
      <c r="M7200">
        <v>73053100</v>
      </c>
      <c r="O7200" t="s">
        <v>20081</v>
      </c>
      <c r="P7200" t="s">
        <v>19899</v>
      </c>
      <c r="Q7200" t="s">
        <v>19909</v>
      </c>
      <c r="R7200" t="s">
        <v>19905</v>
      </c>
      <c r="S7200" t="s">
        <v>19906</v>
      </c>
      <c r="T7200" t="s">
        <v>19911</v>
      </c>
    </row>
    <row r="7201" spans="2:20" x14ac:dyDescent="0.25">
      <c r="B7201" t="s">
        <v>2709</v>
      </c>
      <c r="C7201">
        <v>73053900</v>
      </c>
      <c r="E7201">
        <v>101</v>
      </c>
      <c r="F7201">
        <v>18</v>
      </c>
      <c r="G7201">
        <v>5</v>
      </c>
      <c r="H7201">
        <v>7.6</v>
      </c>
      <c r="I7201">
        <v>1.65</v>
      </c>
      <c r="J7201">
        <v>14</v>
      </c>
      <c r="L7201" t="s">
        <v>2709</v>
      </c>
      <c r="M7201">
        <v>73053900</v>
      </c>
      <c r="O7201" t="s">
        <v>20081</v>
      </c>
      <c r="P7201" t="s">
        <v>19899</v>
      </c>
      <c r="Q7201" t="s">
        <v>19909</v>
      </c>
      <c r="R7201" t="s">
        <v>19905</v>
      </c>
      <c r="S7201" t="s">
        <v>19906</v>
      </c>
      <c r="T7201" t="s">
        <v>19911</v>
      </c>
    </row>
    <row r="7202" spans="2:20" x14ac:dyDescent="0.25">
      <c r="B7202" t="s">
        <v>2709</v>
      </c>
      <c r="C7202">
        <v>73059000</v>
      </c>
      <c r="E7202">
        <v>101</v>
      </c>
      <c r="F7202">
        <v>18</v>
      </c>
      <c r="G7202">
        <v>5</v>
      </c>
      <c r="H7202">
        <v>7.6</v>
      </c>
      <c r="I7202">
        <v>1.65</v>
      </c>
      <c r="J7202">
        <v>14</v>
      </c>
      <c r="L7202" t="s">
        <v>2709</v>
      </c>
      <c r="M7202">
        <v>73059000</v>
      </c>
      <c r="O7202" t="s">
        <v>20081</v>
      </c>
      <c r="P7202" t="s">
        <v>19899</v>
      </c>
      <c r="Q7202" t="s">
        <v>19909</v>
      </c>
      <c r="R7202" t="s">
        <v>19905</v>
      </c>
      <c r="S7202" t="s">
        <v>19906</v>
      </c>
      <c r="T7202" t="s">
        <v>19911</v>
      </c>
    </row>
    <row r="7203" spans="2:20" x14ac:dyDescent="0.25">
      <c r="B7203" t="s">
        <v>2709</v>
      </c>
      <c r="C7203">
        <v>73061100</v>
      </c>
      <c r="E7203">
        <v>101</v>
      </c>
      <c r="F7203">
        <v>18</v>
      </c>
      <c r="G7203">
        <v>0</v>
      </c>
      <c r="H7203" t="s">
        <v>19447</v>
      </c>
      <c r="I7203" t="s">
        <v>19447</v>
      </c>
      <c r="J7203">
        <v>14</v>
      </c>
      <c r="L7203" t="s">
        <v>2709</v>
      </c>
      <c r="M7203">
        <v>73061100</v>
      </c>
      <c r="O7203" t="s">
        <v>20081</v>
      </c>
      <c r="P7203" t="s">
        <v>19899</v>
      </c>
      <c r="Q7203" t="s">
        <v>19900</v>
      </c>
      <c r="R7203" t="s">
        <v>19447</v>
      </c>
      <c r="S7203" t="s">
        <v>19447</v>
      </c>
      <c r="T7203" t="s">
        <v>19911</v>
      </c>
    </row>
    <row r="7204" spans="2:20" x14ac:dyDescent="0.25">
      <c r="B7204" t="s">
        <v>2709</v>
      </c>
      <c r="C7204">
        <v>73061900</v>
      </c>
      <c r="E7204">
        <v>101</v>
      </c>
      <c r="F7204">
        <v>18</v>
      </c>
      <c r="G7204">
        <v>0</v>
      </c>
      <c r="H7204" t="s">
        <v>19447</v>
      </c>
      <c r="I7204" t="s">
        <v>19447</v>
      </c>
      <c r="J7204">
        <v>14</v>
      </c>
      <c r="L7204" t="s">
        <v>2709</v>
      </c>
      <c r="M7204">
        <v>73061900</v>
      </c>
      <c r="O7204" t="s">
        <v>20081</v>
      </c>
      <c r="P7204" t="s">
        <v>19899</v>
      </c>
      <c r="Q7204" t="s">
        <v>19900</v>
      </c>
      <c r="R7204" t="s">
        <v>19447</v>
      </c>
      <c r="S7204" t="s">
        <v>19447</v>
      </c>
      <c r="T7204" t="s">
        <v>19911</v>
      </c>
    </row>
    <row r="7205" spans="2:20" x14ac:dyDescent="0.25">
      <c r="B7205" t="s">
        <v>2709</v>
      </c>
      <c r="C7205">
        <v>73062100</v>
      </c>
      <c r="E7205">
        <v>101</v>
      </c>
      <c r="F7205">
        <v>18</v>
      </c>
      <c r="G7205">
        <v>0</v>
      </c>
      <c r="H7205" t="s">
        <v>19447</v>
      </c>
      <c r="I7205" t="s">
        <v>19447</v>
      </c>
      <c r="J7205">
        <v>14</v>
      </c>
      <c r="L7205" t="s">
        <v>2709</v>
      </c>
      <c r="M7205">
        <v>73062100</v>
      </c>
      <c r="O7205" t="s">
        <v>20081</v>
      </c>
      <c r="P7205" t="s">
        <v>19899</v>
      </c>
      <c r="Q7205" t="s">
        <v>19900</v>
      </c>
      <c r="R7205" t="s">
        <v>19447</v>
      </c>
      <c r="S7205" t="s">
        <v>19447</v>
      </c>
      <c r="T7205" t="s">
        <v>19911</v>
      </c>
    </row>
    <row r="7206" spans="2:20" x14ac:dyDescent="0.25">
      <c r="B7206" t="s">
        <v>2709</v>
      </c>
      <c r="C7206">
        <v>73062900</v>
      </c>
      <c r="E7206">
        <v>101</v>
      </c>
      <c r="F7206">
        <v>18</v>
      </c>
      <c r="G7206">
        <v>0</v>
      </c>
      <c r="H7206" t="s">
        <v>19447</v>
      </c>
      <c r="I7206" t="s">
        <v>19447</v>
      </c>
      <c r="J7206">
        <v>14</v>
      </c>
      <c r="L7206" t="s">
        <v>2709</v>
      </c>
      <c r="M7206">
        <v>73062900</v>
      </c>
      <c r="O7206" t="s">
        <v>20081</v>
      </c>
      <c r="P7206" t="s">
        <v>19899</v>
      </c>
      <c r="Q7206" t="s">
        <v>19900</v>
      </c>
      <c r="R7206" t="s">
        <v>19447</v>
      </c>
      <c r="S7206" t="s">
        <v>19447</v>
      </c>
      <c r="T7206" t="s">
        <v>19911</v>
      </c>
    </row>
    <row r="7207" spans="2:20" x14ac:dyDescent="0.25">
      <c r="B7207" t="s">
        <v>2709</v>
      </c>
      <c r="C7207">
        <v>73063000</v>
      </c>
      <c r="E7207">
        <v>101</v>
      </c>
      <c r="F7207">
        <v>18</v>
      </c>
      <c r="G7207">
        <v>5</v>
      </c>
      <c r="H7207">
        <v>7.6</v>
      </c>
      <c r="I7207">
        <v>1.65</v>
      </c>
      <c r="J7207">
        <v>14</v>
      </c>
      <c r="L7207" t="s">
        <v>2709</v>
      </c>
      <c r="M7207">
        <v>73063000</v>
      </c>
      <c r="O7207" t="s">
        <v>20081</v>
      </c>
      <c r="P7207" t="s">
        <v>19899</v>
      </c>
      <c r="Q7207" t="s">
        <v>19909</v>
      </c>
      <c r="R7207" t="s">
        <v>19905</v>
      </c>
      <c r="S7207" t="s">
        <v>19906</v>
      </c>
      <c r="T7207" t="s">
        <v>19911</v>
      </c>
    </row>
    <row r="7208" spans="2:20" x14ac:dyDescent="0.25">
      <c r="B7208" t="s">
        <v>2709</v>
      </c>
      <c r="C7208">
        <v>73064000</v>
      </c>
      <c r="E7208">
        <v>101</v>
      </c>
      <c r="F7208">
        <v>18</v>
      </c>
      <c r="G7208">
        <v>5</v>
      </c>
      <c r="H7208">
        <v>7.6</v>
      </c>
      <c r="I7208">
        <v>1.65</v>
      </c>
      <c r="J7208">
        <v>14</v>
      </c>
      <c r="L7208" t="s">
        <v>2709</v>
      </c>
      <c r="M7208">
        <v>73064000</v>
      </c>
      <c r="O7208" t="s">
        <v>20081</v>
      </c>
      <c r="P7208" t="s">
        <v>19899</v>
      </c>
      <c r="Q7208" t="s">
        <v>19909</v>
      </c>
      <c r="R7208" t="s">
        <v>19905</v>
      </c>
      <c r="S7208" t="s">
        <v>19906</v>
      </c>
      <c r="T7208" t="s">
        <v>19911</v>
      </c>
    </row>
    <row r="7209" spans="2:20" x14ac:dyDescent="0.25">
      <c r="B7209" t="s">
        <v>2709</v>
      </c>
      <c r="C7209">
        <v>73065000</v>
      </c>
      <c r="E7209">
        <v>101</v>
      </c>
      <c r="F7209">
        <v>18</v>
      </c>
      <c r="G7209">
        <v>5</v>
      </c>
      <c r="H7209">
        <v>7.6</v>
      </c>
      <c r="I7209">
        <v>1.65</v>
      </c>
      <c r="J7209">
        <v>14</v>
      </c>
      <c r="L7209" t="s">
        <v>2709</v>
      </c>
      <c r="M7209">
        <v>73065000</v>
      </c>
      <c r="O7209" t="s">
        <v>20081</v>
      </c>
      <c r="P7209" t="s">
        <v>19899</v>
      </c>
      <c r="Q7209" t="s">
        <v>19909</v>
      </c>
      <c r="R7209" t="s">
        <v>19905</v>
      </c>
      <c r="S7209" t="s">
        <v>19906</v>
      </c>
      <c r="T7209" t="s">
        <v>19911</v>
      </c>
    </row>
    <row r="7210" spans="2:20" x14ac:dyDescent="0.25">
      <c r="B7210" t="s">
        <v>2709</v>
      </c>
      <c r="C7210">
        <v>73066100</v>
      </c>
      <c r="E7210">
        <v>101</v>
      </c>
      <c r="F7210">
        <v>18</v>
      </c>
      <c r="G7210">
        <v>5</v>
      </c>
      <c r="H7210">
        <v>7.6</v>
      </c>
      <c r="I7210">
        <v>1.65</v>
      </c>
      <c r="J7210">
        <v>14</v>
      </c>
      <c r="L7210" t="s">
        <v>2709</v>
      </c>
      <c r="M7210">
        <v>73066100</v>
      </c>
      <c r="O7210" t="s">
        <v>20081</v>
      </c>
      <c r="P7210" t="s">
        <v>19899</v>
      </c>
      <c r="Q7210" t="s">
        <v>19909</v>
      </c>
      <c r="R7210" t="s">
        <v>19905</v>
      </c>
      <c r="S7210" t="s">
        <v>19906</v>
      </c>
      <c r="T7210" t="s">
        <v>19911</v>
      </c>
    </row>
    <row r="7211" spans="2:20" x14ac:dyDescent="0.25">
      <c r="B7211" t="s">
        <v>2709</v>
      </c>
      <c r="C7211">
        <v>73066900</v>
      </c>
      <c r="E7211">
        <v>101</v>
      </c>
      <c r="F7211">
        <v>18</v>
      </c>
      <c r="G7211">
        <v>5</v>
      </c>
      <c r="H7211">
        <v>7.6</v>
      </c>
      <c r="I7211">
        <v>1.65</v>
      </c>
      <c r="J7211">
        <v>14</v>
      </c>
      <c r="L7211" t="s">
        <v>2709</v>
      </c>
      <c r="M7211">
        <v>73066900</v>
      </c>
      <c r="O7211" t="s">
        <v>20081</v>
      </c>
      <c r="P7211" t="s">
        <v>19899</v>
      </c>
      <c r="Q7211" t="s">
        <v>19909</v>
      </c>
      <c r="R7211" t="s">
        <v>19905</v>
      </c>
      <c r="S7211" t="s">
        <v>19906</v>
      </c>
      <c r="T7211" t="s">
        <v>19911</v>
      </c>
    </row>
    <row r="7212" spans="2:20" x14ac:dyDescent="0.25">
      <c r="B7212" t="s">
        <v>2709</v>
      </c>
      <c r="C7212">
        <v>73069010</v>
      </c>
      <c r="E7212">
        <v>101</v>
      </c>
      <c r="F7212">
        <v>18</v>
      </c>
      <c r="G7212">
        <v>5</v>
      </c>
      <c r="H7212">
        <v>7.6</v>
      </c>
      <c r="I7212">
        <v>1.65</v>
      </c>
      <c r="J7212">
        <v>14</v>
      </c>
      <c r="L7212" t="s">
        <v>2709</v>
      </c>
      <c r="M7212">
        <v>73069010</v>
      </c>
      <c r="O7212" t="s">
        <v>20081</v>
      </c>
      <c r="P7212" t="s">
        <v>19899</v>
      </c>
      <c r="Q7212" t="s">
        <v>19909</v>
      </c>
      <c r="R7212" t="s">
        <v>19905</v>
      </c>
      <c r="S7212" t="s">
        <v>19906</v>
      </c>
      <c r="T7212" t="s">
        <v>19911</v>
      </c>
    </row>
    <row r="7213" spans="2:20" x14ac:dyDescent="0.25">
      <c r="B7213" t="s">
        <v>2709</v>
      </c>
      <c r="C7213">
        <v>73069020</v>
      </c>
      <c r="E7213">
        <v>101</v>
      </c>
      <c r="F7213">
        <v>18</v>
      </c>
      <c r="G7213">
        <v>5</v>
      </c>
      <c r="H7213">
        <v>7.6</v>
      </c>
      <c r="I7213">
        <v>1.65</v>
      </c>
      <c r="J7213">
        <v>14</v>
      </c>
      <c r="L7213" t="s">
        <v>2709</v>
      </c>
      <c r="M7213">
        <v>73069020</v>
      </c>
      <c r="O7213" t="s">
        <v>20081</v>
      </c>
      <c r="P7213" t="s">
        <v>19899</v>
      </c>
      <c r="Q7213" t="s">
        <v>19909</v>
      </c>
      <c r="R7213" t="s">
        <v>19905</v>
      </c>
      <c r="S7213" t="s">
        <v>19906</v>
      </c>
      <c r="T7213" t="s">
        <v>19911</v>
      </c>
    </row>
    <row r="7214" spans="2:20" x14ac:dyDescent="0.25">
      <c r="B7214" t="s">
        <v>2709</v>
      </c>
      <c r="C7214">
        <v>73069090</v>
      </c>
      <c r="E7214">
        <v>101</v>
      </c>
      <c r="F7214">
        <v>18</v>
      </c>
      <c r="G7214">
        <v>5</v>
      </c>
      <c r="H7214">
        <v>7.6</v>
      </c>
      <c r="I7214">
        <v>1.65</v>
      </c>
      <c r="J7214">
        <v>14</v>
      </c>
      <c r="L7214" t="s">
        <v>2709</v>
      </c>
      <c r="M7214">
        <v>73069090</v>
      </c>
      <c r="O7214" t="s">
        <v>20081</v>
      </c>
      <c r="P7214" t="s">
        <v>19899</v>
      </c>
      <c r="Q7214" t="s">
        <v>19909</v>
      </c>
      <c r="R7214" t="s">
        <v>19905</v>
      </c>
      <c r="S7214" t="s">
        <v>19906</v>
      </c>
      <c r="T7214" t="s">
        <v>19911</v>
      </c>
    </row>
    <row r="7215" spans="2:20" x14ac:dyDescent="0.25">
      <c r="B7215" t="s">
        <v>2709</v>
      </c>
      <c r="C7215">
        <v>73071100</v>
      </c>
      <c r="E7215">
        <v>37</v>
      </c>
      <c r="F7215">
        <v>18</v>
      </c>
      <c r="G7215">
        <v>5</v>
      </c>
      <c r="H7215" t="s">
        <v>19447</v>
      </c>
      <c r="I7215" t="s">
        <v>19447</v>
      </c>
      <c r="J7215">
        <v>14</v>
      </c>
      <c r="L7215" t="s">
        <v>2709</v>
      </c>
      <c r="M7215">
        <v>73071100</v>
      </c>
      <c r="O7215" t="s">
        <v>20126</v>
      </c>
      <c r="P7215" t="s">
        <v>19899</v>
      </c>
      <c r="Q7215" t="s">
        <v>19909</v>
      </c>
      <c r="R7215" t="s">
        <v>19447</v>
      </c>
      <c r="S7215" t="s">
        <v>19447</v>
      </c>
      <c r="T7215" t="s">
        <v>19911</v>
      </c>
    </row>
    <row r="7216" spans="2:20" x14ac:dyDescent="0.25">
      <c r="B7216" t="s">
        <v>2709</v>
      </c>
      <c r="C7216">
        <v>73071910</v>
      </c>
      <c r="E7216">
        <v>37</v>
      </c>
      <c r="F7216">
        <v>18</v>
      </c>
      <c r="G7216">
        <v>5</v>
      </c>
      <c r="H7216" t="s">
        <v>19447</v>
      </c>
      <c r="I7216" t="s">
        <v>19447</v>
      </c>
      <c r="J7216">
        <v>14</v>
      </c>
      <c r="L7216" t="s">
        <v>2709</v>
      </c>
      <c r="M7216">
        <v>73071910</v>
      </c>
      <c r="O7216" t="s">
        <v>20126</v>
      </c>
      <c r="P7216" t="s">
        <v>19899</v>
      </c>
      <c r="Q7216" t="s">
        <v>19909</v>
      </c>
      <c r="R7216" t="s">
        <v>19447</v>
      </c>
      <c r="S7216" t="s">
        <v>19447</v>
      </c>
      <c r="T7216" t="s">
        <v>19911</v>
      </c>
    </row>
    <row r="7217" spans="2:20" x14ac:dyDescent="0.25">
      <c r="B7217" t="s">
        <v>2709</v>
      </c>
      <c r="C7217">
        <v>73071920</v>
      </c>
      <c r="E7217">
        <v>37</v>
      </c>
      <c r="F7217">
        <v>8.8000000000000007</v>
      </c>
      <c r="G7217">
        <v>5</v>
      </c>
      <c r="H7217" t="s">
        <v>19447</v>
      </c>
      <c r="I7217" t="s">
        <v>19447</v>
      </c>
      <c r="J7217">
        <v>14</v>
      </c>
      <c r="L7217" t="s">
        <v>2709</v>
      </c>
      <c r="M7217">
        <v>73071920</v>
      </c>
      <c r="O7217" t="s">
        <v>20126</v>
      </c>
      <c r="P7217" t="s">
        <v>20127</v>
      </c>
      <c r="Q7217" t="s">
        <v>19909</v>
      </c>
      <c r="R7217" t="s">
        <v>19447</v>
      </c>
      <c r="S7217" t="s">
        <v>19447</v>
      </c>
      <c r="T7217" t="s">
        <v>19911</v>
      </c>
    </row>
    <row r="7218" spans="2:20" x14ac:dyDescent="0.25">
      <c r="B7218" t="s">
        <v>2709</v>
      </c>
      <c r="C7218">
        <v>73071990</v>
      </c>
      <c r="E7218">
        <v>37</v>
      </c>
      <c r="F7218">
        <v>18</v>
      </c>
      <c r="G7218">
        <v>5</v>
      </c>
      <c r="H7218" t="s">
        <v>19447</v>
      </c>
      <c r="I7218" t="s">
        <v>19447</v>
      </c>
      <c r="J7218">
        <v>14</v>
      </c>
      <c r="L7218" t="s">
        <v>2709</v>
      </c>
      <c r="M7218">
        <v>73071990</v>
      </c>
      <c r="O7218" t="s">
        <v>20126</v>
      </c>
      <c r="P7218" t="s">
        <v>19899</v>
      </c>
      <c r="Q7218" t="s">
        <v>19909</v>
      </c>
      <c r="R7218" t="s">
        <v>19447</v>
      </c>
      <c r="S7218" t="s">
        <v>19447</v>
      </c>
      <c r="T7218" t="s">
        <v>19911</v>
      </c>
    </row>
    <row r="7219" spans="2:20" x14ac:dyDescent="0.25">
      <c r="B7219" t="s">
        <v>2709</v>
      </c>
      <c r="C7219">
        <v>73072100</v>
      </c>
      <c r="E7219">
        <v>37</v>
      </c>
      <c r="F7219">
        <v>18</v>
      </c>
      <c r="G7219">
        <v>5</v>
      </c>
      <c r="H7219" t="s">
        <v>19447</v>
      </c>
      <c r="I7219" t="s">
        <v>19447</v>
      </c>
      <c r="J7219">
        <v>14</v>
      </c>
      <c r="L7219" t="s">
        <v>2709</v>
      </c>
      <c r="M7219">
        <v>73072100</v>
      </c>
      <c r="O7219" t="s">
        <v>20126</v>
      </c>
      <c r="P7219" t="s">
        <v>19899</v>
      </c>
      <c r="Q7219" t="s">
        <v>19909</v>
      </c>
      <c r="R7219" t="s">
        <v>19447</v>
      </c>
      <c r="S7219" t="s">
        <v>19447</v>
      </c>
      <c r="T7219" t="s">
        <v>19911</v>
      </c>
    </row>
    <row r="7220" spans="2:20" x14ac:dyDescent="0.25">
      <c r="B7220" t="s">
        <v>2709</v>
      </c>
      <c r="C7220">
        <v>73072200</v>
      </c>
      <c r="E7220">
        <v>37</v>
      </c>
      <c r="F7220">
        <v>18</v>
      </c>
      <c r="G7220">
        <v>5</v>
      </c>
      <c r="H7220" t="s">
        <v>19447</v>
      </c>
      <c r="I7220" t="s">
        <v>19447</v>
      </c>
      <c r="J7220">
        <v>14</v>
      </c>
      <c r="L7220" t="s">
        <v>2709</v>
      </c>
      <c r="M7220">
        <v>73072200</v>
      </c>
      <c r="O7220" t="s">
        <v>20126</v>
      </c>
      <c r="P7220" t="s">
        <v>19899</v>
      </c>
      <c r="Q7220" t="s">
        <v>19909</v>
      </c>
      <c r="R7220" t="s">
        <v>19447</v>
      </c>
      <c r="S7220" t="s">
        <v>19447</v>
      </c>
      <c r="T7220" t="s">
        <v>19911</v>
      </c>
    </row>
    <row r="7221" spans="2:20" x14ac:dyDescent="0.25">
      <c r="B7221" t="s">
        <v>2709</v>
      </c>
      <c r="C7221">
        <v>73072300</v>
      </c>
      <c r="E7221">
        <v>37</v>
      </c>
      <c r="F7221">
        <v>18</v>
      </c>
      <c r="G7221">
        <v>5</v>
      </c>
      <c r="H7221" t="s">
        <v>19447</v>
      </c>
      <c r="I7221" t="s">
        <v>19447</v>
      </c>
      <c r="J7221">
        <v>14</v>
      </c>
      <c r="L7221" t="s">
        <v>2709</v>
      </c>
      <c r="M7221">
        <v>73072300</v>
      </c>
      <c r="O7221" t="s">
        <v>20126</v>
      </c>
      <c r="P7221" t="s">
        <v>19899</v>
      </c>
      <c r="Q7221" t="s">
        <v>19909</v>
      </c>
      <c r="R7221" t="s">
        <v>19447</v>
      </c>
      <c r="S7221" t="s">
        <v>19447</v>
      </c>
      <c r="T7221" t="s">
        <v>19911</v>
      </c>
    </row>
    <row r="7222" spans="2:20" x14ac:dyDescent="0.25">
      <c r="B7222" t="s">
        <v>2709</v>
      </c>
      <c r="C7222">
        <v>73072900</v>
      </c>
      <c r="E7222">
        <v>37</v>
      </c>
      <c r="F7222">
        <v>18</v>
      </c>
      <c r="G7222">
        <v>5</v>
      </c>
      <c r="H7222" t="s">
        <v>19447</v>
      </c>
      <c r="I7222" t="s">
        <v>19447</v>
      </c>
      <c r="J7222">
        <v>14</v>
      </c>
      <c r="L7222" t="s">
        <v>2709</v>
      </c>
      <c r="M7222">
        <v>73072900</v>
      </c>
      <c r="O7222" t="s">
        <v>20126</v>
      </c>
      <c r="P7222" t="s">
        <v>19899</v>
      </c>
      <c r="Q7222" t="s">
        <v>19909</v>
      </c>
      <c r="R7222" t="s">
        <v>19447</v>
      </c>
      <c r="S7222" t="s">
        <v>19447</v>
      </c>
      <c r="T7222" t="s">
        <v>19911</v>
      </c>
    </row>
    <row r="7223" spans="2:20" x14ac:dyDescent="0.25">
      <c r="B7223" t="s">
        <v>2709</v>
      </c>
      <c r="C7223">
        <v>73079100</v>
      </c>
      <c r="E7223">
        <v>37</v>
      </c>
      <c r="F7223">
        <v>18</v>
      </c>
      <c r="G7223">
        <v>5</v>
      </c>
      <c r="H7223" t="s">
        <v>19447</v>
      </c>
      <c r="I7223" t="s">
        <v>19447</v>
      </c>
      <c r="J7223">
        <v>14</v>
      </c>
      <c r="L7223" t="s">
        <v>2709</v>
      </c>
      <c r="M7223">
        <v>73079100</v>
      </c>
      <c r="O7223" t="s">
        <v>20126</v>
      </c>
      <c r="P7223" t="s">
        <v>19899</v>
      </c>
      <c r="Q7223" t="s">
        <v>19909</v>
      </c>
      <c r="R7223" t="s">
        <v>19447</v>
      </c>
      <c r="S7223" t="s">
        <v>19447</v>
      </c>
      <c r="T7223" t="s">
        <v>19911</v>
      </c>
    </row>
    <row r="7224" spans="2:20" x14ac:dyDescent="0.25">
      <c r="B7224" t="s">
        <v>2709</v>
      </c>
      <c r="C7224">
        <v>73079200</v>
      </c>
      <c r="E7224">
        <v>37</v>
      </c>
      <c r="F7224">
        <v>18</v>
      </c>
      <c r="G7224">
        <v>5</v>
      </c>
      <c r="H7224" t="s">
        <v>19447</v>
      </c>
      <c r="I7224" t="s">
        <v>19447</v>
      </c>
      <c r="J7224">
        <v>14</v>
      </c>
      <c r="L7224" t="s">
        <v>2709</v>
      </c>
      <c r="M7224">
        <v>73079200</v>
      </c>
      <c r="O7224" t="s">
        <v>20126</v>
      </c>
      <c r="P7224" t="s">
        <v>19899</v>
      </c>
      <c r="Q7224" t="s">
        <v>19909</v>
      </c>
      <c r="R7224" t="s">
        <v>19447</v>
      </c>
      <c r="S7224" t="s">
        <v>19447</v>
      </c>
      <c r="T7224" t="s">
        <v>19911</v>
      </c>
    </row>
    <row r="7225" spans="2:20" x14ac:dyDescent="0.25">
      <c r="B7225" t="s">
        <v>2709</v>
      </c>
      <c r="C7225">
        <v>73079300</v>
      </c>
      <c r="E7225">
        <v>37</v>
      </c>
      <c r="F7225">
        <v>18</v>
      </c>
      <c r="G7225">
        <v>5</v>
      </c>
      <c r="H7225" t="s">
        <v>19447</v>
      </c>
      <c r="I7225" t="s">
        <v>19447</v>
      </c>
      <c r="J7225">
        <v>14</v>
      </c>
      <c r="L7225" t="s">
        <v>2709</v>
      </c>
      <c r="M7225">
        <v>73079300</v>
      </c>
      <c r="O7225" t="s">
        <v>20126</v>
      </c>
      <c r="P7225" t="s">
        <v>19899</v>
      </c>
      <c r="Q7225" t="s">
        <v>19909</v>
      </c>
      <c r="R7225" t="s">
        <v>19447</v>
      </c>
      <c r="S7225" t="s">
        <v>19447</v>
      </c>
      <c r="T7225" t="s">
        <v>19911</v>
      </c>
    </row>
    <row r="7226" spans="2:20" x14ac:dyDescent="0.25">
      <c r="B7226" t="s">
        <v>2709</v>
      </c>
      <c r="C7226">
        <v>73079900</v>
      </c>
      <c r="E7226">
        <v>37</v>
      </c>
      <c r="F7226">
        <v>18</v>
      </c>
      <c r="G7226">
        <v>5</v>
      </c>
      <c r="H7226" t="s">
        <v>19447</v>
      </c>
      <c r="I7226" t="s">
        <v>19447</v>
      </c>
      <c r="J7226">
        <v>14</v>
      </c>
      <c r="L7226" t="s">
        <v>2709</v>
      </c>
      <c r="M7226">
        <v>73079900</v>
      </c>
      <c r="O7226" t="s">
        <v>20126</v>
      </c>
      <c r="P7226" t="s">
        <v>19899</v>
      </c>
      <c r="Q7226" t="s">
        <v>19909</v>
      </c>
      <c r="R7226" t="s">
        <v>19447</v>
      </c>
      <c r="S7226" t="s">
        <v>19447</v>
      </c>
      <c r="T7226" t="s">
        <v>19911</v>
      </c>
    </row>
    <row r="7227" spans="2:20" x14ac:dyDescent="0.25">
      <c r="B7227" t="s">
        <v>2709</v>
      </c>
      <c r="C7227">
        <v>73081000</v>
      </c>
      <c r="E7227">
        <v>101</v>
      </c>
      <c r="F7227">
        <v>18</v>
      </c>
      <c r="G7227">
        <v>0</v>
      </c>
      <c r="H7227">
        <v>7.6</v>
      </c>
      <c r="I7227">
        <v>1.65</v>
      </c>
      <c r="J7227">
        <v>14</v>
      </c>
      <c r="L7227" t="s">
        <v>2709</v>
      </c>
      <c r="M7227">
        <v>73081000</v>
      </c>
      <c r="O7227" t="s">
        <v>20081</v>
      </c>
      <c r="P7227" t="s">
        <v>19899</v>
      </c>
      <c r="Q7227" t="s">
        <v>19900</v>
      </c>
      <c r="R7227" t="s">
        <v>19905</v>
      </c>
      <c r="S7227" t="s">
        <v>19906</v>
      </c>
      <c r="T7227" t="s">
        <v>19911</v>
      </c>
    </row>
    <row r="7228" spans="2:20" x14ac:dyDescent="0.25">
      <c r="B7228" t="s">
        <v>2709</v>
      </c>
      <c r="C7228">
        <v>73082000</v>
      </c>
      <c r="E7228">
        <v>101</v>
      </c>
      <c r="F7228">
        <v>0</v>
      </c>
      <c r="G7228">
        <v>0</v>
      </c>
      <c r="H7228">
        <v>7.6</v>
      </c>
      <c r="I7228">
        <v>1.65</v>
      </c>
      <c r="J7228">
        <v>14</v>
      </c>
      <c r="L7228" t="s">
        <v>2709</v>
      </c>
      <c r="M7228">
        <v>73082000</v>
      </c>
      <c r="O7228" t="s">
        <v>20081</v>
      </c>
      <c r="P7228" t="s">
        <v>19900</v>
      </c>
      <c r="Q7228" t="s">
        <v>19900</v>
      </c>
      <c r="R7228" t="s">
        <v>19905</v>
      </c>
      <c r="S7228" t="s">
        <v>19906</v>
      </c>
      <c r="T7228" t="s">
        <v>19911</v>
      </c>
    </row>
    <row r="7229" spans="2:20" x14ac:dyDescent="0.25">
      <c r="B7229" t="s">
        <v>2709</v>
      </c>
      <c r="C7229">
        <v>73083000</v>
      </c>
      <c r="E7229">
        <v>40</v>
      </c>
      <c r="F7229">
        <v>18</v>
      </c>
      <c r="G7229">
        <v>0</v>
      </c>
      <c r="H7229">
        <v>7.6</v>
      </c>
      <c r="I7229">
        <v>1.65</v>
      </c>
      <c r="J7229">
        <v>14</v>
      </c>
      <c r="L7229" t="s">
        <v>2709</v>
      </c>
      <c r="M7229">
        <v>73083000</v>
      </c>
      <c r="O7229" t="s">
        <v>19922</v>
      </c>
      <c r="P7229" t="s">
        <v>19899</v>
      </c>
      <c r="Q7229" t="s">
        <v>19900</v>
      </c>
      <c r="R7229" t="s">
        <v>19905</v>
      </c>
      <c r="S7229" t="s">
        <v>19906</v>
      </c>
      <c r="T7229" t="s">
        <v>19911</v>
      </c>
    </row>
    <row r="7230" spans="2:20" x14ac:dyDescent="0.25">
      <c r="B7230" t="s">
        <v>2709</v>
      </c>
      <c r="C7230">
        <v>73084000</v>
      </c>
      <c r="E7230">
        <v>65</v>
      </c>
      <c r="F7230">
        <v>12</v>
      </c>
      <c r="G7230">
        <v>0</v>
      </c>
      <c r="H7230">
        <v>7.6</v>
      </c>
      <c r="I7230">
        <v>1.65</v>
      </c>
      <c r="J7230">
        <v>14</v>
      </c>
      <c r="L7230" t="s">
        <v>2709</v>
      </c>
      <c r="M7230">
        <v>73084000</v>
      </c>
      <c r="O7230" t="s">
        <v>20128</v>
      </c>
      <c r="P7230" t="s">
        <v>19903</v>
      </c>
      <c r="Q7230" t="s">
        <v>19900</v>
      </c>
      <c r="R7230" t="s">
        <v>19905</v>
      </c>
      <c r="S7230" t="s">
        <v>19906</v>
      </c>
      <c r="T7230" t="s">
        <v>19911</v>
      </c>
    </row>
    <row r="7231" spans="2:20" x14ac:dyDescent="0.25">
      <c r="B7231" t="s">
        <v>2709</v>
      </c>
      <c r="C7231">
        <v>73089010</v>
      </c>
      <c r="E7231">
        <v>65</v>
      </c>
      <c r="F7231">
        <v>0</v>
      </c>
      <c r="G7231">
        <v>0</v>
      </c>
      <c r="H7231">
        <v>7.6</v>
      </c>
      <c r="I7231">
        <v>1.65</v>
      </c>
      <c r="J7231">
        <v>14</v>
      </c>
      <c r="L7231" t="s">
        <v>2709</v>
      </c>
      <c r="M7231">
        <v>73089010</v>
      </c>
      <c r="O7231" t="s">
        <v>20128</v>
      </c>
      <c r="P7231" t="s">
        <v>19900</v>
      </c>
      <c r="Q7231" t="s">
        <v>19900</v>
      </c>
      <c r="R7231" t="s">
        <v>19905</v>
      </c>
      <c r="S7231" t="s">
        <v>19906</v>
      </c>
      <c r="T7231" t="s">
        <v>19911</v>
      </c>
    </row>
    <row r="7232" spans="2:20" x14ac:dyDescent="0.25">
      <c r="B7232" t="s">
        <v>2709</v>
      </c>
      <c r="C7232">
        <v>73089090</v>
      </c>
      <c r="E7232">
        <v>65</v>
      </c>
      <c r="F7232">
        <v>12</v>
      </c>
      <c r="G7232">
        <v>5</v>
      </c>
      <c r="H7232">
        <v>7.6</v>
      </c>
      <c r="I7232">
        <v>1.65</v>
      </c>
      <c r="J7232">
        <v>14</v>
      </c>
      <c r="L7232" t="s">
        <v>2709</v>
      </c>
      <c r="M7232">
        <v>73089090</v>
      </c>
      <c r="O7232" t="s">
        <v>20128</v>
      </c>
      <c r="P7232" t="s">
        <v>19903</v>
      </c>
      <c r="Q7232" t="s">
        <v>19909</v>
      </c>
      <c r="R7232" t="s">
        <v>19905</v>
      </c>
      <c r="S7232" t="s">
        <v>19906</v>
      </c>
      <c r="T7232" t="s">
        <v>19911</v>
      </c>
    </row>
    <row r="7233" spans="2:20" x14ac:dyDescent="0.25">
      <c r="B7233" t="s">
        <v>2709</v>
      </c>
      <c r="C7233">
        <v>73089090</v>
      </c>
      <c r="D7233">
        <v>1</v>
      </c>
      <c r="E7233" t="s">
        <v>19447</v>
      </c>
      <c r="F7233">
        <v>18</v>
      </c>
      <c r="G7233">
        <v>0</v>
      </c>
      <c r="H7233">
        <v>7.6</v>
      </c>
      <c r="I7233">
        <v>1.65</v>
      </c>
      <c r="J7233">
        <v>14</v>
      </c>
      <c r="L7233" t="s">
        <v>2709</v>
      </c>
      <c r="M7233">
        <v>73089090</v>
      </c>
      <c r="N7233">
        <v>1</v>
      </c>
      <c r="O7233" t="s">
        <v>19447</v>
      </c>
      <c r="P7233" t="s">
        <v>19899</v>
      </c>
      <c r="Q7233" t="s">
        <v>19900</v>
      </c>
      <c r="R7233" t="s">
        <v>19905</v>
      </c>
      <c r="S7233" t="s">
        <v>19906</v>
      </c>
      <c r="T7233" t="s">
        <v>19911</v>
      </c>
    </row>
    <row r="7234" spans="2:20" x14ac:dyDescent="0.25">
      <c r="B7234" t="s">
        <v>2709</v>
      </c>
      <c r="C7234">
        <v>73090010</v>
      </c>
      <c r="E7234">
        <v>101</v>
      </c>
      <c r="F7234">
        <v>12</v>
      </c>
      <c r="G7234">
        <v>0</v>
      </c>
      <c r="H7234">
        <v>9.6</v>
      </c>
      <c r="I7234">
        <v>2</v>
      </c>
      <c r="J7234">
        <v>14</v>
      </c>
      <c r="L7234" t="s">
        <v>2709</v>
      </c>
      <c r="M7234">
        <v>73090010</v>
      </c>
      <c r="O7234" t="s">
        <v>20081</v>
      </c>
      <c r="P7234" t="s">
        <v>19903</v>
      </c>
      <c r="Q7234" t="s">
        <v>19900</v>
      </c>
      <c r="R7234" t="s">
        <v>20129</v>
      </c>
      <c r="S7234" t="s">
        <v>19901</v>
      </c>
      <c r="T7234" t="s">
        <v>19911</v>
      </c>
    </row>
    <row r="7235" spans="2:20" x14ac:dyDescent="0.25">
      <c r="B7235" t="s">
        <v>2709</v>
      </c>
      <c r="C7235">
        <v>73090010</v>
      </c>
      <c r="D7235">
        <v>1</v>
      </c>
      <c r="E7235" t="s">
        <v>19447</v>
      </c>
      <c r="F7235">
        <v>18</v>
      </c>
      <c r="G7235">
        <v>0</v>
      </c>
      <c r="H7235">
        <v>7.6</v>
      </c>
      <c r="I7235">
        <v>1.65</v>
      </c>
      <c r="J7235">
        <v>14</v>
      </c>
      <c r="L7235" t="s">
        <v>2709</v>
      </c>
      <c r="M7235">
        <v>73090010</v>
      </c>
      <c r="N7235">
        <v>1</v>
      </c>
      <c r="O7235" t="s">
        <v>19447</v>
      </c>
      <c r="P7235" t="s">
        <v>19899</v>
      </c>
      <c r="Q7235" t="s">
        <v>19900</v>
      </c>
      <c r="R7235" t="s">
        <v>19905</v>
      </c>
      <c r="S7235" t="s">
        <v>19906</v>
      </c>
      <c r="T7235" t="s">
        <v>19911</v>
      </c>
    </row>
    <row r="7236" spans="2:20" x14ac:dyDescent="0.25">
      <c r="B7236" t="s">
        <v>2709</v>
      </c>
      <c r="C7236">
        <v>73090020</v>
      </c>
      <c r="E7236">
        <v>101</v>
      </c>
      <c r="F7236">
        <v>18</v>
      </c>
      <c r="G7236">
        <v>0</v>
      </c>
      <c r="H7236">
        <v>9.6</v>
      </c>
      <c r="I7236">
        <v>2</v>
      </c>
      <c r="J7236">
        <v>0</v>
      </c>
      <c r="L7236" t="s">
        <v>2709</v>
      </c>
      <c r="M7236">
        <v>73090020</v>
      </c>
      <c r="O7236" t="s">
        <v>20081</v>
      </c>
      <c r="P7236" t="s">
        <v>19899</v>
      </c>
      <c r="Q7236" t="s">
        <v>19900</v>
      </c>
      <c r="R7236" t="s">
        <v>20129</v>
      </c>
      <c r="S7236" t="s">
        <v>19901</v>
      </c>
      <c r="T7236" t="s">
        <v>19900</v>
      </c>
    </row>
    <row r="7237" spans="2:20" x14ac:dyDescent="0.25">
      <c r="B7237" t="s">
        <v>2709</v>
      </c>
      <c r="C7237">
        <v>73090090</v>
      </c>
      <c r="E7237">
        <v>101</v>
      </c>
      <c r="F7237">
        <v>12</v>
      </c>
      <c r="G7237">
        <v>0</v>
      </c>
      <c r="H7237">
        <v>9.6</v>
      </c>
      <c r="I7237">
        <v>2</v>
      </c>
      <c r="J7237">
        <v>14</v>
      </c>
      <c r="L7237" t="s">
        <v>2709</v>
      </c>
      <c r="M7237">
        <v>73090090</v>
      </c>
      <c r="O7237" t="s">
        <v>20081</v>
      </c>
      <c r="P7237" t="s">
        <v>19903</v>
      </c>
      <c r="Q7237" t="s">
        <v>19900</v>
      </c>
      <c r="R7237" t="s">
        <v>20129</v>
      </c>
      <c r="S7237" t="s">
        <v>19901</v>
      </c>
      <c r="T7237" t="s">
        <v>19911</v>
      </c>
    </row>
    <row r="7238" spans="2:20" x14ac:dyDescent="0.25">
      <c r="B7238" t="s">
        <v>2709</v>
      </c>
      <c r="C7238">
        <v>73101010</v>
      </c>
      <c r="E7238">
        <v>89</v>
      </c>
      <c r="F7238">
        <v>18</v>
      </c>
      <c r="G7238">
        <v>5</v>
      </c>
      <c r="H7238" t="s">
        <v>19447</v>
      </c>
      <c r="I7238" t="s">
        <v>19447</v>
      </c>
      <c r="J7238">
        <v>2</v>
      </c>
      <c r="L7238" t="s">
        <v>2709</v>
      </c>
      <c r="M7238">
        <v>73101010</v>
      </c>
      <c r="O7238" t="s">
        <v>20130</v>
      </c>
      <c r="P7238" t="s">
        <v>19899</v>
      </c>
      <c r="Q7238" t="s">
        <v>19909</v>
      </c>
      <c r="R7238" t="s">
        <v>19447</v>
      </c>
      <c r="S7238" t="s">
        <v>19447</v>
      </c>
      <c r="T7238" t="s">
        <v>19901</v>
      </c>
    </row>
    <row r="7239" spans="2:20" x14ac:dyDescent="0.25">
      <c r="B7239" t="s">
        <v>2709</v>
      </c>
      <c r="C7239">
        <v>73101090</v>
      </c>
      <c r="E7239">
        <v>89</v>
      </c>
      <c r="F7239">
        <v>12</v>
      </c>
      <c r="G7239">
        <v>5</v>
      </c>
      <c r="H7239" t="s">
        <v>19447</v>
      </c>
      <c r="I7239" t="s">
        <v>19447</v>
      </c>
      <c r="J7239">
        <v>14</v>
      </c>
      <c r="L7239" t="s">
        <v>2709</v>
      </c>
      <c r="M7239">
        <v>73101090</v>
      </c>
      <c r="O7239" t="s">
        <v>20130</v>
      </c>
      <c r="P7239" t="s">
        <v>19903</v>
      </c>
      <c r="Q7239" t="s">
        <v>19909</v>
      </c>
      <c r="R7239" t="s">
        <v>19447</v>
      </c>
      <c r="S7239" t="s">
        <v>19447</v>
      </c>
      <c r="T7239" t="s">
        <v>19911</v>
      </c>
    </row>
    <row r="7240" spans="2:20" x14ac:dyDescent="0.25">
      <c r="B7240" t="s">
        <v>2709</v>
      </c>
      <c r="C7240">
        <v>73102110</v>
      </c>
      <c r="E7240">
        <v>89</v>
      </c>
      <c r="F7240">
        <v>18</v>
      </c>
      <c r="G7240">
        <v>10</v>
      </c>
      <c r="H7240">
        <v>7.0000000000000007E-2</v>
      </c>
      <c r="I7240">
        <v>0.02</v>
      </c>
      <c r="J7240">
        <v>14</v>
      </c>
      <c r="L7240" t="s">
        <v>2709</v>
      </c>
      <c r="M7240">
        <v>73102110</v>
      </c>
      <c r="O7240" t="s">
        <v>20130</v>
      </c>
      <c r="P7240" t="s">
        <v>19899</v>
      </c>
      <c r="Q7240" t="s">
        <v>19904</v>
      </c>
      <c r="R7240" t="s">
        <v>20131</v>
      </c>
      <c r="S7240" t="s">
        <v>20132</v>
      </c>
      <c r="T7240" t="s">
        <v>19911</v>
      </c>
    </row>
    <row r="7241" spans="2:20" x14ac:dyDescent="0.25">
      <c r="B7241" t="s">
        <v>2709</v>
      </c>
      <c r="C7241">
        <v>73102190</v>
      </c>
      <c r="E7241">
        <v>89</v>
      </c>
      <c r="F7241">
        <v>18</v>
      </c>
      <c r="G7241">
        <v>10</v>
      </c>
      <c r="H7241" t="s">
        <v>19447</v>
      </c>
      <c r="I7241" t="s">
        <v>19447</v>
      </c>
      <c r="J7241">
        <v>14</v>
      </c>
      <c r="L7241" t="s">
        <v>2709</v>
      </c>
      <c r="M7241">
        <v>73102190</v>
      </c>
      <c r="O7241" t="s">
        <v>20130</v>
      </c>
      <c r="P7241" t="s">
        <v>19899</v>
      </c>
      <c r="Q7241" t="s">
        <v>19904</v>
      </c>
      <c r="R7241" t="s">
        <v>19447</v>
      </c>
      <c r="S7241" t="s">
        <v>19447</v>
      </c>
      <c r="T7241" t="s">
        <v>19911</v>
      </c>
    </row>
    <row r="7242" spans="2:20" x14ac:dyDescent="0.25">
      <c r="B7242" t="s">
        <v>2709</v>
      </c>
      <c r="C7242">
        <v>73102910</v>
      </c>
      <c r="E7242">
        <v>89</v>
      </c>
      <c r="F7242">
        <v>12</v>
      </c>
      <c r="G7242">
        <v>10</v>
      </c>
      <c r="H7242">
        <v>9.6</v>
      </c>
      <c r="I7242">
        <v>2</v>
      </c>
      <c r="J7242">
        <v>14</v>
      </c>
      <c r="L7242" t="s">
        <v>2709</v>
      </c>
      <c r="M7242">
        <v>73102910</v>
      </c>
      <c r="O7242" t="s">
        <v>20130</v>
      </c>
      <c r="P7242" t="s">
        <v>19903</v>
      </c>
      <c r="Q7242" t="s">
        <v>19904</v>
      </c>
      <c r="R7242" t="s">
        <v>20129</v>
      </c>
      <c r="S7242" t="s">
        <v>19901</v>
      </c>
      <c r="T7242" t="s">
        <v>19911</v>
      </c>
    </row>
    <row r="7243" spans="2:20" x14ac:dyDescent="0.25">
      <c r="B7243" t="s">
        <v>2709</v>
      </c>
      <c r="C7243">
        <v>73102920</v>
      </c>
      <c r="E7243">
        <v>89</v>
      </c>
      <c r="F7243">
        <v>18</v>
      </c>
      <c r="G7243">
        <v>0</v>
      </c>
      <c r="H7243">
        <v>9.6</v>
      </c>
      <c r="I7243">
        <v>2</v>
      </c>
      <c r="J7243">
        <v>2</v>
      </c>
      <c r="L7243" t="s">
        <v>2709</v>
      </c>
      <c r="M7243">
        <v>73102920</v>
      </c>
      <c r="O7243" t="s">
        <v>20130</v>
      </c>
      <c r="P7243" t="s">
        <v>19899</v>
      </c>
      <c r="Q7243" t="s">
        <v>19900</v>
      </c>
      <c r="R7243" t="s">
        <v>20129</v>
      </c>
      <c r="S7243" t="s">
        <v>19901</v>
      </c>
      <c r="T7243" t="s">
        <v>19901</v>
      </c>
    </row>
    <row r="7244" spans="2:20" x14ac:dyDescent="0.25">
      <c r="B7244" t="s">
        <v>2709</v>
      </c>
      <c r="C7244">
        <v>73102990</v>
      </c>
      <c r="E7244">
        <v>89</v>
      </c>
      <c r="F7244">
        <v>5.6</v>
      </c>
      <c r="G7244">
        <v>10</v>
      </c>
      <c r="H7244">
        <v>9.6</v>
      </c>
      <c r="I7244">
        <v>2</v>
      </c>
      <c r="J7244">
        <v>14</v>
      </c>
      <c r="L7244" t="s">
        <v>2709</v>
      </c>
      <c r="M7244">
        <v>73102990</v>
      </c>
      <c r="O7244" t="s">
        <v>20130</v>
      </c>
      <c r="P7244" t="s">
        <v>20133</v>
      </c>
      <c r="Q7244" t="s">
        <v>19904</v>
      </c>
      <c r="R7244" t="s">
        <v>20129</v>
      </c>
      <c r="S7244" t="s">
        <v>19901</v>
      </c>
      <c r="T7244" t="s">
        <v>19911</v>
      </c>
    </row>
    <row r="7245" spans="2:20" x14ac:dyDescent="0.25">
      <c r="B7245" t="s">
        <v>2709</v>
      </c>
      <c r="C7245">
        <v>73110000</v>
      </c>
      <c r="E7245">
        <v>71.78</v>
      </c>
      <c r="F7245">
        <v>18</v>
      </c>
      <c r="G7245">
        <v>10</v>
      </c>
      <c r="H7245" t="s">
        <v>19447</v>
      </c>
      <c r="I7245" t="s">
        <v>19447</v>
      </c>
      <c r="J7245">
        <v>14</v>
      </c>
      <c r="L7245" t="s">
        <v>2709</v>
      </c>
      <c r="M7245">
        <v>73110000</v>
      </c>
      <c r="O7245" t="s">
        <v>20056</v>
      </c>
      <c r="P7245" t="s">
        <v>19899</v>
      </c>
      <c r="Q7245" t="s">
        <v>19904</v>
      </c>
      <c r="R7245" t="s">
        <v>19447</v>
      </c>
      <c r="S7245" t="s">
        <v>19447</v>
      </c>
      <c r="T7245" t="s">
        <v>19911</v>
      </c>
    </row>
    <row r="7246" spans="2:20" x14ac:dyDescent="0.25">
      <c r="B7246" t="s">
        <v>2709</v>
      </c>
      <c r="C7246">
        <v>73121010</v>
      </c>
      <c r="E7246">
        <v>44</v>
      </c>
      <c r="F7246">
        <v>18</v>
      </c>
      <c r="G7246">
        <v>15</v>
      </c>
      <c r="H7246">
        <v>7.6</v>
      </c>
      <c r="I7246">
        <v>1.65</v>
      </c>
      <c r="J7246">
        <v>14</v>
      </c>
      <c r="L7246" t="s">
        <v>2709</v>
      </c>
      <c r="M7246">
        <v>73121010</v>
      </c>
      <c r="O7246" t="s">
        <v>20122</v>
      </c>
      <c r="P7246" t="s">
        <v>19899</v>
      </c>
      <c r="Q7246" t="s">
        <v>19983</v>
      </c>
      <c r="R7246" t="s">
        <v>19905</v>
      </c>
      <c r="S7246" t="s">
        <v>19906</v>
      </c>
      <c r="T7246" t="s">
        <v>19911</v>
      </c>
    </row>
    <row r="7247" spans="2:20" x14ac:dyDescent="0.25">
      <c r="B7247" t="s">
        <v>2709</v>
      </c>
      <c r="C7247">
        <v>73121090</v>
      </c>
      <c r="E7247">
        <v>44</v>
      </c>
      <c r="F7247">
        <v>18</v>
      </c>
      <c r="G7247">
        <v>15</v>
      </c>
      <c r="H7247">
        <v>7.6</v>
      </c>
      <c r="I7247">
        <v>1.65</v>
      </c>
      <c r="J7247">
        <v>14</v>
      </c>
      <c r="L7247" t="s">
        <v>2709</v>
      </c>
      <c r="M7247">
        <v>73121090</v>
      </c>
      <c r="O7247" t="s">
        <v>20122</v>
      </c>
      <c r="P7247" t="s">
        <v>19899</v>
      </c>
      <c r="Q7247" t="s">
        <v>19983</v>
      </c>
      <c r="R7247" t="s">
        <v>19905</v>
      </c>
      <c r="S7247" t="s">
        <v>19906</v>
      </c>
      <c r="T7247" t="s">
        <v>19911</v>
      </c>
    </row>
    <row r="7248" spans="2:20" x14ac:dyDescent="0.25">
      <c r="B7248" t="s">
        <v>2709</v>
      </c>
      <c r="C7248">
        <v>73121090</v>
      </c>
      <c r="D7248">
        <v>1</v>
      </c>
      <c r="E7248" t="s">
        <v>19447</v>
      </c>
      <c r="F7248">
        <v>18</v>
      </c>
      <c r="G7248">
        <v>5</v>
      </c>
      <c r="H7248">
        <v>7.6</v>
      </c>
      <c r="I7248">
        <v>1.65</v>
      </c>
      <c r="J7248">
        <v>14</v>
      </c>
      <c r="L7248" t="s">
        <v>2709</v>
      </c>
      <c r="M7248">
        <v>73121090</v>
      </c>
      <c r="N7248">
        <v>1</v>
      </c>
      <c r="O7248" t="s">
        <v>19447</v>
      </c>
      <c r="P7248" t="s">
        <v>19899</v>
      </c>
      <c r="Q7248" t="s">
        <v>19909</v>
      </c>
      <c r="R7248" t="s">
        <v>19905</v>
      </c>
      <c r="S7248" t="s">
        <v>19906</v>
      </c>
      <c r="T7248" t="s">
        <v>19911</v>
      </c>
    </row>
    <row r="7249" spans="2:20" x14ac:dyDescent="0.25">
      <c r="B7249" t="s">
        <v>2709</v>
      </c>
      <c r="C7249">
        <v>73129000</v>
      </c>
      <c r="E7249">
        <v>44</v>
      </c>
      <c r="F7249">
        <v>18</v>
      </c>
      <c r="G7249">
        <v>15</v>
      </c>
      <c r="H7249">
        <v>7.6</v>
      </c>
      <c r="I7249">
        <v>1.65</v>
      </c>
      <c r="J7249">
        <v>14</v>
      </c>
      <c r="L7249" t="s">
        <v>2709</v>
      </c>
      <c r="M7249">
        <v>73129000</v>
      </c>
      <c r="O7249" t="s">
        <v>20122</v>
      </c>
      <c r="P7249" t="s">
        <v>19899</v>
      </c>
      <c r="Q7249" t="s">
        <v>19983</v>
      </c>
      <c r="R7249" t="s">
        <v>19905</v>
      </c>
      <c r="S7249" t="s">
        <v>19906</v>
      </c>
      <c r="T7249" t="s">
        <v>19911</v>
      </c>
    </row>
    <row r="7250" spans="2:20" x14ac:dyDescent="0.25">
      <c r="B7250" t="s">
        <v>2709</v>
      </c>
      <c r="C7250">
        <v>73130000</v>
      </c>
      <c r="E7250">
        <v>41.79</v>
      </c>
      <c r="F7250">
        <v>12</v>
      </c>
      <c r="G7250">
        <v>5</v>
      </c>
      <c r="H7250">
        <v>7.6</v>
      </c>
      <c r="I7250">
        <v>1.65</v>
      </c>
      <c r="J7250">
        <v>14</v>
      </c>
      <c r="L7250" t="s">
        <v>2709</v>
      </c>
      <c r="M7250">
        <v>73130000</v>
      </c>
      <c r="O7250" t="s">
        <v>20134</v>
      </c>
      <c r="P7250" t="s">
        <v>19903</v>
      </c>
      <c r="Q7250" t="s">
        <v>19909</v>
      </c>
      <c r="R7250" t="s">
        <v>19905</v>
      </c>
      <c r="S7250" t="s">
        <v>19906</v>
      </c>
      <c r="T7250" t="s">
        <v>19911</v>
      </c>
    </row>
    <row r="7251" spans="2:20" x14ac:dyDescent="0.25">
      <c r="B7251" t="s">
        <v>2709</v>
      </c>
      <c r="C7251">
        <v>73141200</v>
      </c>
      <c r="E7251">
        <v>39</v>
      </c>
      <c r="F7251">
        <v>18</v>
      </c>
      <c r="G7251">
        <v>15</v>
      </c>
      <c r="H7251">
        <v>7.6</v>
      </c>
      <c r="I7251">
        <v>1.65</v>
      </c>
      <c r="J7251">
        <v>14</v>
      </c>
      <c r="L7251" t="s">
        <v>2709</v>
      </c>
      <c r="M7251">
        <v>73141200</v>
      </c>
      <c r="O7251" t="s">
        <v>20039</v>
      </c>
      <c r="P7251" t="s">
        <v>19899</v>
      </c>
      <c r="Q7251" t="s">
        <v>19983</v>
      </c>
      <c r="R7251" t="s">
        <v>19905</v>
      </c>
      <c r="S7251" t="s">
        <v>19906</v>
      </c>
      <c r="T7251" t="s">
        <v>19911</v>
      </c>
    </row>
    <row r="7252" spans="2:20" x14ac:dyDescent="0.25">
      <c r="B7252" t="s">
        <v>2709</v>
      </c>
      <c r="C7252">
        <v>73141400</v>
      </c>
      <c r="E7252">
        <v>39</v>
      </c>
      <c r="F7252">
        <v>18</v>
      </c>
      <c r="G7252">
        <v>15</v>
      </c>
      <c r="H7252">
        <v>7.6</v>
      </c>
      <c r="I7252">
        <v>1.65</v>
      </c>
      <c r="J7252">
        <v>14</v>
      </c>
      <c r="L7252" t="s">
        <v>2709</v>
      </c>
      <c r="M7252">
        <v>73141400</v>
      </c>
      <c r="O7252" t="s">
        <v>20039</v>
      </c>
      <c r="P7252" t="s">
        <v>19899</v>
      </c>
      <c r="Q7252" t="s">
        <v>19983</v>
      </c>
      <c r="R7252" t="s">
        <v>19905</v>
      </c>
      <c r="S7252" t="s">
        <v>19906</v>
      </c>
      <c r="T7252" t="s">
        <v>19911</v>
      </c>
    </row>
    <row r="7253" spans="2:20" x14ac:dyDescent="0.25">
      <c r="B7253" t="s">
        <v>2709</v>
      </c>
      <c r="C7253">
        <v>73141900</v>
      </c>
      <c r="E7253">
        <v>39</v>
      </c>
      <c r="F7253">
        <v>18</v>
      </c>
      <c r="G7253">
        <v>15</v>
      </c>
      <c r="H7253">
        <v>7.6</v>
      </c>
      <c r="I7253">
        <v>1.65</v>
      </c>
      <c r="J7253">
        <v>14</v>
      </c>
      <c r="L7253" t="s">
        <v>2709</v>
      </c>
      <c r="M7253">
        <v>73141900</v>
      </c>
      <c r="O7253" t="s">
        <v>20039</v>
      </c>
      <c r="P7253" t="s">
        <v>19899</v>
      </c>
      <c r="Q7253" t="s">
        <v>19983</v>
      </c>
      <c r="R7253" t="s">
        <v>19905</v>
      </c>
      <c r="S7253" t="s">
        <v>19906</v>
      </c>
      <c r="T7253" t="s">
        <v>19911</v>
      </c>
    </row>
    <row r="7254" spans="2:20" x14ac:dyDescent="0.25">
      <c r="B7254" t="s">
        <v>2709</v>
      </c>
      <c r="C7254">
        <v>73142000</v>
      </c>
      <c r="E7254">
        <v>39</v>
      </c>
      <c r="F7254">
        <v>12</v>
      </c>
      <c r="G7254">
        <v>15</v>
      </c>
      <c r="H7254">
        <v>7.6</v>
      </c>
      <c r="I7254">
        <v>1.65</v>
      </c>
      <c r="J7254">
        <v>14</v>
      </c>
      <c r="L7254" t="s">
        <v>2709</v>
      </c>
      <c r="M7254">
        <v>73142000</v>
      </c>
      <c r="O7254" t="s">
        <v>20039</v>
      </c>
      <c r="P7254" t="s">
        <v>19903</v>
      </c>
      <c r="Q7254" t="s">
        <v>19983</v>
      </c>
      <c r="R7254" t="s">
        <v>19905</v>
      </c>
      <c r="S7254" t="s">
        <v>19906</v>
      </c>
      <c r="T7254" t="s">
        <v>19911</v>
      </c>
    </row>
    <row r="7255" spans="2:20" x14ac:dyDescent="0.25">
      <c r="B7255" t="s">
        <v>2709</v>
      </c>
      <c r="C7255">
        <v>73142000</v>
      </c>
      <c r="D7255">
        <v>1</v>
      </c>
      <c r="E7255" t="s">
        <v>19447</v>
      </c>
      <c r="F7255">
        <v>18</v>
      </c>
      <c r="G7255">
        <v>0</v>
      </c>
      <c r="H7255">
        <v>7.6</v>
      </c>
      <c r="I7255">
        <v>1.65</v>
      </c>
      <c r="J7255">
        <v>14</v>
      </c>
      <c r="L7255" t="s">
        <v>2709</v>
      </c>
      <c r="M7255">
        <v>73142000</v>
      </c>
      <c r="N7255">
        <v>1</v>
      </c>
      <c r="O7255" t="s">
        <v>19447</v>
      </c>
      <c r="P7255" t="s">
        <v>19899</v>
      </c>
      <c r="Q7255" t="s">
        <v>19900</v>
      </c>
      <c r="R7255" t="s">
        <v>19905</v>
      </c>
      <c r="S7255" t="s">
        <v>19906</v>
      </c>
      <c r="T7255" t="s">
        <v>19911</v>
      </c>
    </row>
    <row r="7256" spans="2:20" x14ac:dyDescent="0.25">
      <c r="B7256" t="s">
        <v>2709</v>
      </c>
      <c r="C7256">
        <v>73143100</v>
      </c>
      <c r="E7256">
        <v>39</v>
      </c>
      <c r="F7256">
        <v>12</v>
      </c>
      <c r="G7256">
        <v>15</v>
      </c>
      <c r="H7256">
        <v>7.6</v>
      </c>
      <c r="I7256">
        <v>1.65</v>
      </c>
      <c r="J7256">
        <v>14</v>
      </c>
      <c r="L7256" t="s">
        <v>2709</v>
      </c>
      <c r="M7256">
        <v>73143100</v>
      </c>
      <c r="O7256" t="s">
        <v>20039</v>
      </c>
      <c r="P7256" t="s">
        <v>19903</v>
      </c>
      <c r="Q7256" t="s">
        <v>19983</v>
      </c>
      <c r="R7256" t="s">
        <v>19905</v>
      </c>
      <c r="S7256" t="s">
        <v>19906</v>
      </c>
      <c r="T7256" t="s">
        <v>19911</v>
      </c>
    </row>
    <row r="7257" spans="2:20" x14ac:dyDescent="0.25">
      <c r="B7257" t="s">
        <v>2709</v>
      </c>
      <c r="C7257">
        <v>73143900</v>
      </c>
      <c r="E7257">
        <v>39</v>
      </c>
      <c r="F7257">
        <v>12</v>
      </c>
      <c r="G7257">
        <v>15</v>
      </c>
      <c r="H7257">
        <v>7.6</v>
      </c>
      <c r="I7257">
        <v>1.65</v>
      </c>
      <c r="J7257">
        <v>14</v>
      </c>
      <c r="L7257" t="s">
        <v>2709</v>
      </c>
      <c r="M7257">
        <v>73143900</v>
      </c>
      <c r="O7257" t="s">
        <v>20039</v>
      </c>
      <c r="P7257" t="s">
        <v>19903</v>
      </c>
      <c r="Q7257" t="s">
        <v>19983</v>
      </c>
      <c r="R7257" t="s">
        <v>19905</v>
      </c>
      <c r="S7257" t="s">
        <v>19906</v>
      </c>
      <c r="T7257" t="s">
        <v>19911</v>
      </c>
    </row>
    <row r="7258" spans="2:20" x14ac:dyDescent="0.25">
      <c r="B7258" t="s">
        <v>2709</v>
      </c>
      <c r="C7258">
        <v>73143900</v>
      </c>
      <c r="D7258">
        <v>1</v>
      </c>
      <c r="E7258" t="s">
        <v>19447</v>
      </c>
      <c r="F7258">
        <v>18</v>
      </c>
      <c r="G7258">
        <v>0</v>
      </c>
      <c r="H7258">
        <v>7.6</v>
      </c>
      <c r="I7258">
        <v>1.65</v>
      </c>
      <c r="J7258">
        <v>14</v>
      </c>
      <c r="L7258" t="s">
        <v>2709</v>
      </c>
      <c r="M7258">
        <v>73143900</v>
      </c>
      <c r="N7258">
        <v>1</v>
      </c>
      <c r="O7258" t="s">
        <v>19447</v>
      </c>
      <c r="P7258" t="s">
        <v>19899</v>
      </c>
      <c r="Q7258" t="s">
        <v>19900</v>
      </c>
      <c r="R7258" t="s">
        <v>19905</v>
      </c>
      <c r="S7258" t="s">
        <v>19906</v>
      </c>
      <c r="T7258" t="s">
        <v>19911</v>
      </c>
    </row>
    <row r="7259" spans="2:20" x14ac:dyDescent="0.25">
      <c r="B7259" t="s">
        <v>2709</v>
      </c>
      <c r="C7259">
        <v>73144100</v>
      </c>
      <c r="E7259">
        <v>39</v>
      </c>
      <c r="F7259">
        <v>12</v>
      </c>
      <c r="G7259">
        <v>15</v>
      </c>
      <c r="H7259">
        <v>7.6</v>
      </c>
      <c r="I7259">
        <v>1.65</v>
      </c>
      <c r="J7259">
        <v>14</v>
      </c>
      <c r="L7259" t="s">
        <v>2709</v>
      </c>
      <c r="M7259">
        <v>73144100</v>
      </c>
      <c r="O7259" t="s">
        <v>20039</v>
      </c>
      <c r="P7259" t="s">
        <v>19903</v>
      </c>
      <c r="Q7259" t="s">
        <v>19983</v>
      </c>
      <c r="R7259" t="s">
        <v>19905</v>
      </c>
      <c r="S7259" t="s">
        <v>19906</v>
      </c>
      <c r="T7259" t="s">
        <v>19911</v>
      </c>
    </row>
    <row r="7260" spans="2:20" x14ac:dyDescent="0.25">
      <c r="B7260" t="s">
        <v>2709</v>
      </c>
      <c r="C7260">
        <v>73144200</v>
      </c>
      <c r="E7260">
        <v>39</v>
      </c>
      <c r="F7260">
        <v>12</v>
      </c>
      <c r="G7260">
        <v>15</v>
      </c>
      <c r="H7260">
        <v>7.6</v>
      </c>
      <c r="I7260">
        <v>1.65</v>
      </c>
      <c r="J7260">
        <v>14</v>
      </c>
      <c r="L7260" t="s">
        <v>2709</v>
      </c>
      <c r="M7260">
        <v>73144200</v>
      </c>
      <c r="O7260" t="s">
        <v>20039</v>
      </c>
      <c r="P7260" t="s">
        <v>19903</v>
      </c>
      <c r="Q7260" t="s">
        <v>19983</v>
      </c>
      <c r="R7260" t="s">
        <v>19905</v>
      </c>
      <c r="S7260" t="s">
        <v>19906</v>
      </c>
      <c r="T7260" t="s">
        <v>19911</v>
      </c>
    </row>
    <row r="7261" spans="2:20" x14ac:dyDescent="0.25">
      <c r="B7261" t="s">
        <v>2709</v>
      </c>
      <c r="C7261">
        <v>73144900</v>
      </c>
      <c r="E7261">
        <v>39</v>
      </c>
      <c r="F7261">
        <v>18</v>
      </c>
      <c r="G7261">
        <v>15</v>
      </c>
      <c r="H7261">
        <v>7.6</v>
      </c>
      <c r="I7261">
        <v>1.65</v>
      </c>
      <c r="J7261">
        <v>14</v>
      </c>
      <c r="L7261" t="s">
        <v>2709</v>
      </c>
      <c r="M7261">
        <v>73144900</v>
      </c>
      <c r="O7261" t="s">
        <v>20039</v>
      </c>
      <c r="P7261" t="s">
        <v>19899</v>
      </c>
      <c r="Q7261" t="s">
        <v>19983</v>
      </c>
      <c r="R7261" t="s">
        <v>19905</v>
      </c>
      <c r="S7261" t="s">
        <v>19906</v>
      </c>
      <c r="T7261" t="s">
        <v>19911</v>
      </c>
    </row>
    <row r="7262" spans="2:20" x14ac:dyDescent="0.25">
      <c r="B7262" t="s">
        <v>2709</v>
      </c>
      <c r="C7262">
        <v>73145000</v>
      </c>
      <c r="E7262">
        <v>71.78</v>
      </c>
      <c r="F7262">
        <v>18</v>
      </c>
      <c r="G7262">
        <v>15</v>
      </c>
      <c r="H7262">
        <v>7.6</v>
      </c>
      <c r="I7262">
        <v>1.65</v>
      </c>
      <c r="J7262">
        <v>14</v>
      </c>
      <c r="L7262" t="s">
        <v>2709</v>
      </c>
      <c r="M7262">
        <v>73145000</v>
      </c>
      <c r="O7262" t="s">
        <v>20056</v>
      </c>
      <c r="P7262" t="s">
        <v>19899</v>
      </c>
      <c r="Q7262" t="s">
        <v>19983</v>
      </c>
      <c r="R7262" t="s">
        <v>19905</v>
      </c>
      <c r="S7262" t="s">
        <v>19906</v>
      </c>
      <c r="T7262" t="s">
        <v>19911</v>
      </c>
    </row>
    <row r="7263" spans="2:20" x14ac:dyDescent="0.25">
      <c r="B7263" t="s">
        <v>2709</v>
      </c>
      <c r="C7263">
        <v>73151100</v>
      </c>
      <c r="E7263">
        <v>101</v>
      </c>
      <c r="F7263">
        <v>18</v>
      </c>
      <c r="G7263">
        <v>15</v>
      </c>
      <c r="H7263">
        <v>7.6</v>
      </c>
      <c r="I7263">
        <v>1.65</v>
      </c>
      <c r="J7263">
        <v>14</v>
      </c>
      <c r="L7263" t="s">
        <v>2709</v>
      </c>
      <c r="M7263">
        <v>73151100</v>
      </c>
      <c r="O7263" t="s">
        <v>20081</v>
      </c>
      <c r="P7263" t="s">
        <v>19899</v>
      </c>
      <c r="Q7263" t="s">
        <v>19983</v>
      </c>
      <c r="R7263" t="s">
        <v>19905</v>
      </c>
      <c r="S7263" t="s">
        <v>19906</v>
      </c>
      <c r="T7263" t="s">
        <v>19911</v>
      </c>
    </row>
    <row r="7264" spans="2:20" x14ac:dyDescent="0.25">
      <c r="B7264" t="s">
        <v>2709</v>
      </c>
      <c r="C7264">
        <v>73151210</v>
      </c>
      <c r="E7264">
        <v>101</v>
      </c>
      <c r="F7264">
        <v>18</v>
      </c>
      <c r="G7264">
        <v>15</v>
      </c>
      <c r="H7264">
        <v>7.6</v>
      </c>
      <c r="I7264">
        <v>1.65</v>
      </c>
      <c r="J7264">
        <v>14</v>
      </c>
      <c r="L7264" t="s">
        <v>2709</v>
      </c>
      <c r="M7264">
        <v>73151210</v>
      </c>
      <c r="O7264" t="s">
        <v>20081</v>
      </c>
      <c r="P7264" t="s">
        <v>19899</v>
      </c>
      <c r="Q7264" t="s">
        <v>19983</v>
      </c>
      <c r="R7264" t="s">
        <v>19905</v>
      </c>
      <c r="S7264" t="s">
        <v>19906</v>
      </c>
      <c r="T7264" t="s">
        <v>19911</v>
      </c>
    </row>
    <row r="7265" spans="2:20" x14ac:dyDescent="0.25">
      <c r="B7265" t="s">
        <v>2709</v>
      </c>
      <c r="C7265">
        <v>73151290</v>
      </c>
      <c r="E7265">
        <v>101</v>
      </c>
      <c r="F7265">
        <v>18</v>
      </c>
      <c r="G7265">
        <v>15</v>
      </c>
      <c r="H7265">
        <v>7.6</v>
      </c>
      <c r="I7265">
        <v>1.65</v>
      </c>
      <c r="J7265">
        <v>14</v>
      </c>
      <c r="L7265" t="s">
        <v>2709</v>
      </c>
      <c r="M7265">
        <v>73151290</v>
      </c>
      <c r="O7265" t="s">
        <v>20081</v>
      </c>
      <c r="P7265" t="s">
        <v>19899</v>
      </c>
      <c r="Q7265" t="s">
        <v>19983</v>
      </c>
      <c r="R7265" t="s">
        <v>19905</v>
      </c>
      <c r="S7265" t="s">
        <v>19906</v>
      </c>
      <c r="T7265" t="s">
        <v>19911</v>
      </c>
    </row>
    <row r="7266" spans="2:20" x14ac:dyDescent="0.25">
      <c r="B7266" t="s">
        <v>2709</v>
      </c>
      <c r="C7266">
        <v>73151900</v>
      </c>
      <c r="E7266">
        <v>101</v>
      </c>
      <c r="F7266">
        <v>18</v>
      </c>
      <c r="G7266">
        <v>15</v>
      </c>
      <c r="H7266">
        <v>7.6</v>
      </c>
      <c r="I7266">
        <v>1.65</v>
      </c>
      <c r="J7266">
        <v>14</v>
      </c>
      <c r="L7266" t="s">
        <v>2709</v>
      </c>
      <c r="M7266">
        <v>73151900</v>
      </c>
      <c r="O7266" t="s">
        <v>20081</v>
      </c>
      <c r="P7266" t="s">
        <v>19899</v>
      </c>
      <c r="Q7266" t="s">
        <v>19983</v>
      </c>
      <c r="R7266" t="s">
        <v>19905</v>
      </c>
      <c r="S7266" t="s">
        <v>19906</v>
      </c>
      <c r="T7266" t="s">
        <v>19911</v>
      </c>
    </row>
    <row r="7267" spans="2:20" x14ac:dyDescent="0.25">
      <c r="B7267" t="s">
        <v>2709</v>
      </c>
      <c r="C7267">
        <v>73152000</v>
      </c>
      <c r="E7267">
        <v>101</v>
      </c>
      <c r="F7267">
        <v>18</v>
      </c>
      <c r="G7267">
        <v>15</v>
      </c>
      <c r="H7267">
        <v>7.6</v>
      </c>
      <c r="I7267">
        <v>1.65</v>
      </c>
      <c r="J7267">
        <v>14</v>
      </c>
      <c r="L7267" t="s">
        <v>2709</v>
      </c>
      <c r="M7267">
        <v>73152000</v>
      </c>
      <c r="O7267" t="s">
        <v>20081</v>
      </c>
      <c r="P7267" t="s">
        <v>19899</v>
      </c>
      <c r="Q7267" t="s">
        <v>19983</v>
      </c>
      <c r="R7267" t="s">
        <v>19905</v>
      </c>
      <c r="S7267" t="s">
        <v>19906</v>
      </c>
      <c r="T7267" t="s">
        <v>19911</v>
      </c>
    </row>
    <row r="7268" spans="2:20" x14ac:dyDescent="0.25">
      <c r="B7268" t="s">
        <v>2709</v>
      </c>
      <c r="C7268">
        <v>73158100</v>
      </c>
      <c r="E7268">
        <v>101</v>
      </c>
      <c r="F7268">
        <v>18</v>
      </c>
      <c r="G7268">
        <v>15</v>
      </c>
      <c r="H7268">
        <v>7.6</v>
      </c>
      <c r="I7268">
        <v>1.65</v>
      </c>
      <c r="J7268">
        <v>14</v>
      </c>
      <c r="L7268" t="s">
        <v>2709</v>
      </c>
      <c r="M7268">
        <v>73158100</v>
      </c>
      <c r="O7268" t="s">
        <v>20081</v>
      </c>
      <c r="P7268" t="s">
        <v>19899</v>
      </c>
      <c r="Q7268" t="s">
        <v>19983</v>
      </c>
      <c r="R7268" t="s">
        <v>19905</v>
      </c>
      <c r="S7268" t="s">
        <v>19906</v>
      </c>
      <c r="T7268" t="s">
        <v>19911</v>
      </c>
    </row>
    <row r="7269" spans="2:20" x14ac:dyDescent="0.25">
      <c r="B7269" t="s">
        <v>2709</v>
      </c>
      <c r="C7269">
        <v>73158200</v>
      </c>
      <c r="E7269">
        <v>68</v>
      </c>
      <c r="F7269">
        <v>18</v>
      </c>
      <c r="G7269">
        <v>15</v>
      </c>
      <c r="H7269">
        <v>7.6</v>
      </c>
      <c r="I7269">
        <v>1.65</v>
      </c>
      <c r="J7269">
        <v>14</v>
      </c>
      <c r="L7269" t="s">
        <v>2709</v>
      </c>
      <c r="M7269">
        <v>73158200</v>
      </c>
      <c r="O7269" t="s">
        <v>20135</v>
      </c>
      <c r="P7269" t="s">
        <v>19899</v>
      </c>
      <c r="Q7269" t="s">
        <v>19983</v>
      </c>
      <c r="R7269" t="s">
        <v>19905</v>
      </c>
      <c r="S7269" t="s">
        <v>19906</v>
      </c>
      <c r="T7269" t="s">
        <v>19911</v>
      </c>
    </row>
    <row r="7270" spans="2:20" x14ac:dyDescent="0.25">
      <c r="B7270" t="s">
        <v>2709</v>
      </c>
      <c r="C7270">
        <v>73158900</v>
      </c>
      <c r="E7270">
        <v>101</v>
      </c>
      <c r="F7270">
        <v>18</v>
      </c>
      <c r="G7270">
        <v>15</v>
      </c>
      <c r="H7270">
        <v>7.6</v>
      </c>
      <c r="I7270">
        <v>1.65</v>
      </c>
      <c r="J7270">
        <v>14</v>
      </c>
      <c r="L7270" t="s">
        <v>2709</v>
      </c>
      <c r="M7270">
        <v>73158900</v>
      </c>
      <c r="O7270" t="s">
        <v>20081</v>
      </c>
      <c r="P7270" t="s">
        <v>19899</v>
      </c>
      <c r="Q7270" t="s">
        <v>19983</v>
      </c>
      <c r="R7270" t="s">
        <v>19905</v>
      </c>
      <c r="S7270" t="s">
        <v>19906</v>
      </c>
      <c r="T7270" t="s">
        <v>19911</v>
      </c>
    </row>
    <row r="7271" spans="2:20" x14ac:dyDescent="0.25">
      <c r="B7271" t="s">
        <v>2709</v>
      </c>
      <c r="C7271">
        <v>73159000</v>
      </c>
      <c r="E7271">
        <v>101</v>
      </c>
      <c r="F7271">
        <v>18</v>
      </c>
      <c r="G7271">
        <v>15</v>
      </c>
      <c r="H7271">
        <v>7.6</v>
      </c>
      <c r="I7271">
        <v>1.65</v>
      </c>
      <c r="J7271">
        <v>14</v>
      </c>
      <c r="L7271" t="s">
        <v>2709</v>
      </c>
      <c r="M7271">
        <v>73159000</v>
      </c>
      <c r="O7271" t="s">
        <v>20081</v>
      </c>
      <c r="P7271" t="s">
        <v>19899</v>
      </c>
      <c r="Q7271" t="s">
        <v>19983</v>
      </c>
      <c r="R7271" t="s">
        <v>19905</v>
      </c>
      <c r="S7271" t="s">
        <v>19906</v>
      </c>
      <c r="T7271" t="s">
        <v>19911</v>
      </c>
    </row>
    <row r="7272" spans="2:20" x14ac:dyDescent="0.25">
      <c r="B7272" t="s">
        <v>2709</v>
      </c>
      <c r="C7272">
        <v>73160000</v>
      </c>
      <c r="E7272">
        <v>101</v>
      </c>
      <c r="F7272">
        <v>18</v>
      </c>
      <c r="G7272">
        <v>15</v>
      </c>
      <c r="H7272">
        <v>7.6</v>
      </c>
      <c r="I7272">
        <v>1.65</v>
      </c>
      <c r="J7272">
        <v>14</v>
      </c>
      <c r="L7272" t="s">
        <v>2709</v>
      </c>
      <c r="M7272">
        <v>73160000</v>
      </c>
      <c r="O7272" t="s">
        <v>20081</v>
      </c>
      <c r="P7272" t="s">
        <v>19899</v>
      </c>
      <c r="Q7272" t="s">
        <v>19983</v>
      </c>
      <c r="R7272" t="s">
        <v>19905</v>
      </c>
      <c r="S7272" t="s">
        <v>19906</v>
      </c>
      <c r="T7272" t="s">
        <v>19911</v>
      </c>
    </row>
    <row r="7273" spans="2:20" x14ac:dyDescent="0.25">
      <c r="B7273" t="s">
        <v>2709</v>
      </c>
      <c r="C7273">
        <v>73170010</v>
      </c>
      <c r="E7273">
        <v>44</v>
      </c>
      <c r="F7273">
        <v>18</v>
      </c>
      <c r="G7273">
        <v>10</v>
      </c>
      <c r="H7273">
        <v>7.6</v>
      </c>
      <c r="I7273">
        <v>1.65</v>
      </c>
      <c r="J7273">
        <v>14</v>
      </c>
      <c r="L7273" t="s">
        <v>2709</v>
      </c>
      <c r="M7273">
        <v>73170010</v>
      </c>
      <c r="O7273" t="s">
        <v>20122</v>
      </c>
      <c r="P7273" t="s">
        <v>19899</v>
      </c>
      <c r="Q7273" t="s">
        <v>19904</v>
      </c>
      <c r="R7273" t="s">
        <v>19905</v>
      </c>
      <c r="S7273" t="s">
        <v>19906</v>
      </c>
      <c r="T7273" t="s">
        <v>19911</v>
      </c>
    </row>
    <row r="7274" spans="2:20" x14ac:dyDescent="0.25">
      <c r="B7274" t="s">
        <v>2709</v>
      </c>
      <c r="C7274">
        <v>73170020</v>
      </c>
      <c r="E7274">
        <v>44</v>
      </c>
      <c r="F7274">
        <v>12</v>
      </c>
      <c r="G7274">
        <v>10</v>
      </c>
      <c r="H7274">
        <v>7.6</v>
      </c>
      <c r="I7274">
        <v>1.65</v>
      </c>
      <c r="J7274">
        <v>14</v>
      </c>
      <c r="L7274" t="s">
        <v>2709</v>
      </c>
      <c r="M7274">
        <v>73170020</v>
      </c>
      <c r="O7274" t="s">
        <v>20122</v>
      </c>
      <c r="P7274" t="s">
        <v>19903</v>
      </c>
      <c r="Q7274" t="s">
        <v>19904</v>
      </c>
      <c r="R7274" t="s">
        <v>19905</v>
      </c>
      <c r="S7274" t="s">
        <v>19906</v>
      </c>
      <c r="T7274" t="s">
        <v>19911</v>
      </c>
    </row>
    <row r="7275" spans="2:20" x14ac:dyDescent="0.25">
      <c r="B7275" t="s">
        <v>2709</v>
      </c>
      <c r="C7275">
        <v>73170030</v>
      </c>
      <c r="E7275">
        <v>44</v>
      </c>
      <c r="F7275">
        <v>18</v>
      </c>
      <c r="G7275">
        <v>10</v>
      </c>
      <c r="H7275">
        <v>7.6</v>
      </c>
      <c r="I7275">
        <v>1.65</v>
      </c>
      <c r="J7275">
        <v>14</v>
      </c>
      <c r="L7275" t="s">
        <v>2709</v>
      </c>
      <c r="M7275">
        <v>73170030</v>
      </c>
      <c r="O7275" t="s">
        <v>20122</v>
      </c>
      <c r="P7275" t="s">
        <v>19899</v>
      </c>
      <c r="Q7275" t="s">
        <v>19904</v>
      </c>
      <c r="R7275" t="s">
        <v>19905</v>
      </c>
      <c r="S7275" t="s">
        <v>19906</v>
      </c>
      <c r="T7275" t="s">
        <v>19911</v>
      </c>
    </row>
    <row r="7276" spans="2:20" x14ac:dyDescent="0.25">
      <c r="B7276" t="s">
        <v>2709</v>
      </c>
      <c r="C7276">
        <v>73170090</v>
      </c>
      <c r="E7276">
        <v>44</v>
      </c>
      <c r="F7276">
        <v>12</v>
      </c>
      <c r="G7276">
        <v>10</v>
      </c>
      <c r="H7276">
        <v>7.6</v>
      </c>
      <c r="I7276">
        <v>1.65</v>
      </c>
      <c r="J7276">
        <v>14</v>
      </c>
      <c r="L7276" t="s">
        <v>2709</v>
      </c>
      <c r="M7276">
        <v>73170090</v>
      </c>
      <c r="O7276" t="s">
        <v>20122</v>
      </c>
      <c r="P7276" t="s">
        <v>19903</v>
      </c>
      <c r="Q7276" t="s">
        <v>19904</v>
      </c>
      <c r="R7276" t="s">
        <v>19905</v>
      </c>
      <c r="S7276" t="s">
        <v>19906</v>
      </c>
      <c r="T7276" t="s">
        <v>19911</v>
      </c>
    </row>
    <row r="7277" spans="2:20" x14ac:dyDescent="0.25">
      <c r="B7277" t="s">
        <v>2709</v>
      </c>
      <c r="C7277">
        <v>73181100</v>
      </c>
      <c r="E7277">
        <v>51</v>
      </c>
      <c r="F7277">
        <v>18</v>
      </c>
      <c r="G7277">
        <v>10</v>
      </c>
      <c r="H7277">
        <v>7.6</v>
      </c>
      <c r="I7277">
        <v>1.65</v>
      </c>
      <c r="J7277">
        <v>16</v>
      </c>
      <c r="L7277" t="s">
        <v>2709</v>
      </c>
      <c r="M7277">
        <v>73181100</v>
      </c>
      <c r="O7277" t="s">
        <v>20136</v>
      </c>
      <c r="P7277" t="s">
        <v>19899</v>
      </c>
      <c r="Q7277" t="s">
        <v>19904</v>
      </c>
      <c r="R7277" t="s">
        <v>19905</v>
      </c>
      <c r="S7277" t="s">
        <v>19906</v>
      </c>
      <c r="T7277" t="s">
        <v>19913</v>
      </c>
    </row>
    <row r="7278" spans="2:20" x14ac:dyDescent="0.25">
      <c r="B7278" t="s">
        <v>2709</v>
      </c>
      <c r="C7278">
        <v>73181200</v>
      </c>
      <c r="E7278">
        <v>51</v>
      </c>
      <c r="F7278">
        <v>18</v>
      </c>
      <c r="G7278">
        <v>10</v>
      </c>
      <c r="H7278">
        <v>7.6</v>
      </c>
      <c r="I7278">
        <v>1.65</v>
      </c>
      <c r="J7278">
        <v>16</v>
      </c>
      <c r="L7278" t="s">
        <v>2709</v>
      </c>
      <c r="M7278">
        <v>73181200</v>
      </c>
      <c r="O7278" t="s">
        <v>20136</v>
      </c>
      <c r="P7278" t="s">
        <v>19899</v>
      </c>
      <c r="Q7278" t="s">
        <v>19904</v>
      </c>
      <c r="R7278" t="s">
        <v>19905</v>
      </c>
      <c r="S7278" t="s">
        <v>19906</v>
      </c>
      <c r="T7278" t="s">
        <v>19913</v>
      </c>
    </row>
    <row r="7279" spans="2:20" x14ac:dyDescent="0.25">
      <c r="B7279" t="s">
        <v>2709</v>
      </c>
      <c r="C7279">
        <v>73181300</v>
      </c>
      <c r="E7279">
        <v>51</v>
      </c>
      <c r="F7279">
        <v>18</v>
      </c>
      <c r="G7279">
        <v>10</v>
      </c>
      <c r="H7279">
        <v>7.6</v>
      </c>
      <c r="I7279">
        <v>1.65</v>
      </c>
      <c r="J7279">
        <v>16</v>
      </c>
      <c r="L7279" t="s">
        <v>2709</v>
      </c>
      <c r="M7279">
        <v>73181300</v>
      </c>
      <c r="O7279" t="s">
        <v>20136</v>
      </c>
      <c r="P7279" t="s">
        <v>19899</v>
      </c>
      <c r="Q7279" t="s">
        <v>19904</v>
      </c>
      <c r="R7279" t="s">
        <v>19905</v>
      </c>
      <c r="S7279" t="s">
        <v>19906</v>
      </c>
      <c r="T7279" t="s">
        <v>19913</v>
      </c>
    </row>
    <row r="7280" spans="2:20" x14ac:dyDescent="0.25">
      <c r="B7280" t="s">
        <v>2709</v>
      </c>
      <c r="C7280">
        <v>73181400</v>
      </c>
      <c r="E7280">
        <v>51</v>
      </c>
      <c r="F7280">
        <v>18</v>
      </c>
      <c r="G7280">
        <v>10</v>
      </c>
      <c r="H7280">
        <v>7.6</v>
      </c>
      <c r="I7280">
        <v>1.65</v>
      </c>
      <c r="J7280">
        <v>16</v>
      </c>
      <c r="L7280" t="s">
        <v>2709</v>
      </c>
      <c r="M7280">
        <v>73181400</v>
      </c>
      <c r="O7280" t="s">
        <v>20136</v>
      </c>
      <c r="P7280" t="s">
        <v>19899</v>
      </c>
      <c r="Q7280" t="s">
        <v>19904</v>
      </c>
      <c r="R7280" t="s">
        <v>19905</v>
      </c>
      <c r="S7280" t="s">
        <v>19906</v>
      </c>
      <c r="T7280" t="s">
        <v>19913</v>
      </c>
    </row>
    <row r="7281" spans="2:20" x14ac:dyDescent="0.25">
      <c r="B7281" t="s">
        <v>2709</v>
      </c>
      <c r="C7281">
        <v>73181500</v>
      </c>
      <c r="E7281">
        <v>51</v>
      </c>
      <c r="F7281">
        <v>18</v>
      </c>
      <c r="G7281">
        <v>10</v>
      </c>
      <c r="H7281">
        <v>7.6</v>
      </c>
      <c r="I7281">
        <v>1.65</v>
      </c>
      <c r="J7281">
        <v>16</v>
      </c>
      <c r="L7281" t="s">
        <v>2709</v>
      </c>
      <c r="M7281">
        <v>73181500</v>
      </c>
      <c r="O7281" t="s">
        <v>20136</v>
      </c>
      <c r="P7281" t="s">
        <v>19899</v>
      </c>
      <c r="Q7281" t="s">
        <v>19904</v>
      </c>
      <c r="R7281" t="s">
        <v>19905</v>
      </c>
      <c r="S7281" t="s">
        <v>19906</v>
      </c>
      <c r="T7281" t="s">
        <v>19913</v>
      </c>
    </row>
    <row r="7282" spans="2:20" x14ac:dyDescent="0.25">
      <c r="B7282" t="s">
        <v>2709</v>
      </c>
      <c r="C7282">
        <v>73181600</v>
      </c>
      <c r="E7282">
        <v>51</v>
      </c>
      <c r="F7282">
        <v>18</v>
      </c>
      <c r="G7282">
        <v>10</v>
      </c>
      <c r="H7282">
        <v>7.6</v>
      </c>
      <c r="I7282">
        <v>1.65</v>
      </c>
      <c r="J7282">
        <v>16</v>
      </c>
      <c r="L7282" t="s">
        <v>2709</v>
      </c>
      <c r="M7282">
        <v>73181600</v>
      </c>
      <c r="O7282" t="s">
        <v>20136</v>
      </c>
      <c r="P7282" t="s">
        <v>19899</v>
      </c>
      <c r="Q7282" t="s">
        <v>19904</v>
      </c>
      <c r="R7282" t="s">
        <v>19905</v>
      </c>
      <c r="S7282" t="s">
        <v>19906</v>
      </c>
      <c r="T7282" t="s">
        <v>19913</v>
      </c>
    </row>
    <row r="7283" spans="2:20" x14ac:dyDescent="0.25">
      <c r="B7283" t="s">
        <v>2709</v>
      </c>
      <c r="C7283">
        <v>73181900</v>
      </c>
      <c r="E7283">
        <v>51</v>
      </c>
      <c r="F7283">
        <v>18</v>
      </c>
      <c r="G7283">
        <v>10</v>
      </c>
      <c r="H7283">
        <v>7.6</v>
      </c>
      <c r="I7283">
        <v>1.65</v>
      </c>
      <c r="J7283">
        <v>16</v>
      </c>
      <c r="L7283" t="s">
        <v>2709</v>
      </c>
      <c r="M7283">
        <v>73181900</v>
      </c>
      <c r="O7283" t="s">
        <v>20136</v>
      </c>
      <c r="P7283" t="s">
        <v>19899</v>
      </c>
      <c r="Q7283" t="s">
        <v>19904</v>
      </c>
      <c r="R7283" t="s">
        <v>19905</v>
      </c>
      <c r="S7283" t="s">
        <v>19906</v>
      </c>
      <c r="T7283" t="s">
        <v>19913</v>
      </c>
    </row>
    <row r="7284" spans="2:20" x14ac:dyDescent="0.25">
      <c r="B7284" t="s">
        <v>2709</v>
      </c>
      <c r="C7284">
        <v>73182100</v>
      </c>
      <c r="E7284">
        <v>51</v>
      </c>
      <c r="F7284">
        <v>18</v>
      </c>
      <c r="G7284">
        <v>10</v>
      </c>
      <c r="H7284">
        <v>7.6</v>
      </c>
      <c r="I7284">
        <v>1.65</v>
      </c>
      <c r="J7284">
        <v>16</v>
      </c>
      <c r="L7284" t="s">
        <v>2709</v>
      </c>
      <c r="M7284">
        <v>73182100</v>
      </c>
      <c r="O7284" t="s">
        <v>20136</v>
      </c>
      <c r="P7284" t="s">
        <v>19899</v>
      </c>
      <c r="Q7284" t="s">
        <v>19904</v>
      </c>
      <c r="R7284" t="s">
        <v>19905</v>
      </c>
      <c r="S7284" t="s">
        <v>19906</v>
      </c>
      <c r="T7284" t="s">
        <v>19913</v>
      </c>
    </row>
    <row r="7285" spans="2:20" x14ac:dyDescent="0.25">
      <c r="B7285" t="s">
        <v>2709</v>
      </c>
      <c r="C7285">
        <v>73182200</v>
      </c>
      <c r="E7285">
        <v>51</v>
      </c>
      <c r="F7285">
        <v>18</v>
      </c>
      <c r="G7285">
        <v>10</v>
      </c>
      <c r="H7285">
        <v>7.6</v>
      </c>
      <c r="I7285">
        <v>1.65</v>
      </c>
      <c r="J7285">
        <v>16</v>
      </c>
      <c r="L7285" t="s">
        <v>2709</v>
      </c>
      <c r="M7285">
        <v>73182200</v>
      </c>
      <c r="O7285" t="s">
        <v>20136</v>
      </c>
      <c r="P7285" t="s">
        <v>19899</v>
      </c>
      <c r="Q7285" t="s">
        <v>19904</v>
      </c>
      <c r="R7285" t="s">
        <v>19905</v>
      </c>
      <c r="S7285" t="s">
        <v>19906</v>
      </c>
      <c r="T7285" t="s">
        <v>19913</v>
      </c>
    </row>
    <row r="7286" spans="2:20" x14ac:dyDescent="0.25">
      <c r="B7286" t="s">
        <v>2709</v>
      </c>
      <c r="C7286">
        <v>73182300</v>
      </c>
      <c r="E7286">
        <v>51</v>
      </c>
      <c r="F7286">
        <v>18</v>
      </c>
      <c r="G7286">
        <v>10</v>
      </c>
      <c r="H7286">
        <v>7.6</v>
      </c>
      <c r="I7286">
        <v>1.65</v>
      </c>
      <c r="J7286">
        <v>16</v>
      </c>
      <c r="L7286" t="s">
        <v>2709</v>
      </c>
      <c r="M7286">
        <v>73182300</v>
      </c>
      <c r="O7286" t="s">
        <v>20136</v>
      </c>
      <c r="P7286" t="s">
        <v>19899</v>
      </c>
      <c r="Q7286" t="s">
        <v>19904</v>
      </c>
      <c r="R7286" t="s">
        <v>19905</v>
      </c>
      <c r="S7286" t="s">
        <v>19906</v>
      </c>
      <c r="T7286" t="s">
        <v>19913</v>
      </c>
    </row>
    <row r="7287" spans="2:20" x14ac:dyDescent="0.25">
      <c r="B7287" t="s">
        <v>2709</v>
      </c>
      <c r="C7287">
        <v>73182400</v>
      </c>
      <c r="E7287">
        <v>51</v>
      </c>
      <c r="F7287">
        <v>18</v>
      </c>
      <c r="G7287">
        <v>10</v>
      </c>
      <c r="H7287">
        <v>7.6</v>
      </c>
      <c r="I7287">
        <v>1.65</v>
      </c>
      <c r="J7287">
        <v>16</v>
      </c>
      <c r="L7287" t="s">
        <v>2709</v>
      </c>
      <c r="M7287">
        <v>73182400</v>
      </c>
      <c r="O7287" t="s">
        <v>20136</v>
      </c>
      <c r="P7287" t="s">
        <v>19899</v>
      </c>
      <c r="Q7287" t="s">
        <v>19904</v>
      </c>
      <c r="R7287" t="s">
        <v>19905</v>
      </c>
      <c r="S7287" t="s">
        <v>19906</v>
      </c>
      <c r="T7287" t="s">
        <v>19913</v>
      </c>
    </row>
    <row r="7288" spans="2:20" x14ac:dyDescent="0.25">
      <c r="B7288" t="s">
        <v>2709</v>
      </c>
      <c r="C7288">
        <v>73182900</v>
      </c>
      <c r="E7288">
        <v>51</v>
      </c>
      <c r="F7288">
        <v>18</v>
      </c>
      <c r="G7288">
        <v>10</v>
      </c>
      <c r="H7288">
        <v>7.6</v>
      </c>
      <c r="I7288">
        <v>1.65</v>
      </c>
      <c r="J7288">
        <v>16</v>
      </c>
      <c r="L7288" t="s">
        <v>2709</v>
      </c>
      <c r="M7288">
        <v>73182900</v>
      </c>
      <c r="O7288" t="s">
        <v>20136</v>
      </c>
      <c r="P7288" t="s">
        <v>19899</v>
      </c>
      <c r="Q7288" t="s">
        <v>19904</v>
      </c>
      <c r="R7288" t="s">
        <v>19905</v>
      </c>
      <c r="S7288" t="s">
        <v>19906</v>
      </c>
      <c r="T7288" t="s">
        <v>19913</v>
      </c>
    </row>
    <row r="7289" spans="2:20" x14ac:dyDescent="0.25">
      <c r="B7289" t="s">
        <v>2709</v>
      </c>
      <c r="C7289">
        <v>73194000</v>
      </c>
      <c r="E7289">
        <v>101</v>
      </c>
      <c r="F7289">
        <v>18</v>
      </c>
      <c r="G7289">
        <v>15</v>
      </c>
      <c r="H7289">
        <v>7.6</v>
      </c>
      <c r="I7289">
        <v>1.65</v>
      </c>
      <c r="J7289">
        <v>16</v>
      </c>
      <c r="L7289" t="s">
        <v>2709</v>
      </c>
      <c r="M7289">
        <v>73194000</v>
      </c>
      <c r="O7289" t="s">
        <v>20081</v>
      </c>
      <c r="P7289" t="s">
        <v>19899</v>
      </c>
      <c r="Q7289" t="s">
        <v>19983</v>
      </c>
      <c r="R7289" t="s">
        <v>19905</v>
      </c>
      <c r="S7289" t="s">
        <v>19906</v>
      </c>
      <c r="T7289" t="s">
        <v>19913</v>
      </c>
    </row>
    <row r="7290" spans="2:20" x14ac:dyDescent="0.25">
      <c r="B7290" t="s">
        <v>2709</v>
      </c>
      <c r="C7290">
        <v>73199000</v>
      </c>
      <c r="E7290">
        <v>101</v>
      </c>
      <c r="F7290">
        <v>18</v>
      </c>
      <c r="G7290">
        <v>15</v>
      </c>
      <c r="H7290">
        <v>7.6</v>
      </c>
      <c r="I7290">
        <v>1.65</v>
      </c>
      <c r="J7290">
        <v>16</v>
      </c>
      <c r="L7290" t="s">
        <v>2709</v>
      </c>
      <c r="M7290">
        <v>73199000</v>
      </c>
      <c r="O7290" t="s">
        <v>20081</v>
      </c>
      <c r="P7290" t="s">
        <v>19899</v>
      </c>
      <c r="Q7290" t="s">
        <v>19983</v>
      </c>
      <c r="R7290" t="s">
        <v>19905</v>
      </c>
      <c r="S7290" t="s">
        <v>19906</v>
      </c>
      <c r="T7290" t="s">
        <v>19913</v>
      </c>
    </row>
    <row r="7291" spans="2:20" x14ac:dyDescent="0.25">
      <c r="B7291" t="s">
        <v>2709</v>
      </c>
      <c r="C7291">
        <v>73201000</v>
      </c>
      <c r="E7291">
        <v>71.78</v>
      </c>
      <c r="F7291">
        <v>18</v>
      </c>
      <c r="G7291">
        <v>15</v>
      </c>
      <c r="H7291">
        <v>7.6</v>
      </c>
      <c r="I7291">
        <v>1.65</v>
      </c>
      <c r="J7291">
        <v>16</v>
      </c>
      <c r="L7291" t="s">
        <v>2709</v>
      </c>
      <c r="M7291">
        <v>73201000</v>
      </c>
      <c r="O7291" t="s">
        <v>20056</v>
      </c>
      <c r="P7291" t="s">
        <v>19899</v>
      </c>
      <c r="Q7291" t="s">
        <v>19983</v>
      </c>
      <c r="R7291" t="s">
        <v>19905</v>
      </c>
      <c r="S7291" t="s">
        <v>19906</v>
      </c>
      <c r="T7291" t="s">
        <v>19913</v>
      </c>
    </row>
    <row r="7292" spans="2:20" x14ac:dyDescent="0.25">
      <c r="B7292" t="s">
        <v>2709</v>
      </c>
      <c r="C7292">
        <v>73201000</v>
      </c>
      <c r="D7292">
        <v>1</v>
      </c>
      <c r="E7292" t="s">
        <v>19447</v>
      </c>
      <c r="F7292">
        <v>18</v>
      </c>
      <c r="G7292">
        <v>4</v>
      </c>
      <c r="H7292">
        <v>7.6</v>
      </c>
      <c r="I7292">
        <v>1.65</v>
      </c>
      <c r="J7292">
        <v>16</v>
      </c>
      <c r="L7292" t="s">
        <v>2709</v>
      </c>
      <c r="M7292">
        <v>73201000</v>
      </c>
      <c r="N7292">
        <v>1</v>
      </c>
      <c r="O7292" t="s">
        <v>19447</v>
      </c>
      <c r="P7292" t="s">
        <v>19899</v>
      </c>
      <c r="Q7292" t="s">
        <v>19902</v>
      </c>
      <c r="R7292" t="s">
        <v>19905</v>
      </c>
      <c r="S7292" t="s">
        <v>19906</v>
      </c>
      <c r="T7292" t="s">
        <v>19913</v>
      </c>
    </row>
    <row r="7293" spans="2:20" x14ac:dyDescent="0.25">
      <c r="B7293" t="s">
        <v>2709</v>
      </c>
      <c r="C7293">
        <v>73202010</v>
      </c>
      <c r="E7293">
        <v>71.78</v>
      </c>
      <c r="F7293">
        <v>18</v>
      </c>
      <c r="G7293">
        <v>15</v>
      </c>
      <c r="H7293">
        <v>7.6</v>
      </c>
      <c r="I7293">
        <v>1.65</v>
      </c>
      <c r="J7293">
        <v>16</v>
      </c>
      <c r="L7293" t="s">
        <v>2709</v>
      </c>
      <c r="M7293">
        <v>73202010</v>
      </c>
      <c r="O7293" t="s">
        <v>20056</v>
      </c>
      <c r="P7293" t="s">
        <v>19899</v>
      </c>
      <c r="Q7293" t="s">
        <v>19983</v>
      </c>
      <c r="R7293" t="s">
        <v>19905</v>
      </c>
      <c r="S7293" t="s">
        <v>19906</v>
      </c>
      <c r="T7293" t="s">
        <v>19913</v>
      </c>
    </row>
    <row r="7294" spans="2:20" x14ac:dyDescent="0.25">
      <c r="B7294" t="s">
        <v>2709</v>
      </c>
      <c r="C7294">
        <v>73202090</v>
      </c>
      <c r="E7294">
        <v>71.78</v>
      </c>
      <c r="F7294">
        <v>18</v>
      </c>
      <c r="G7294">
        <v>15</v>
      </c>
      <c r="H7294">
        <v>7.6</v>
      </c>
      <c r="I7294">
        <v>1.65</v>
      </c>
      <c r="J7294">
        <v>16</v>
      </c>
      <c r="L7294" t="s">
        <v>2709</v>
      </c>
      <c r="M7294">
        <v>73202090</v>
      </c>
      <c r="O7294" t="s">
        <v>20056</v>
      </c>
      <c r="P7294" t="s">
        <v>19899</v>
      </c>
      <c r="Q7294" t="s">
        <v>19983</v>
      </c>
      <c r="R7294" t="s">
        <v>19905</v>
      </c>
      <c r="S7294" t="s">
        <v>19906</v>
      </c>
      <c r="T7294" t="s">
        <v>19913</v>
      </c>
    </row>
    <row r="7295" spans="2:20" x14ac:dyDescent="0.25">
      <c r="B7295" t="s">
        <v>2709</v>
      </c>
      <c r="C7295">
        <v>73209000</v>
      </c>
      <c r="E7295">
        <v>71.78</v>
      </c>
      <c r="F7295">
        <v>18</v>
      </c>
      <c r="G7295">
        <v>15</v>
      </c>
      <c r="H7295">
        <v>7.6</v>
      </c>
      <c r="I7295">
        <v>1.65</v>
      </c>
      <c r="J7295">
        <v>16</v>
      </c>
      <c r="L7295" t="s">
        <v>2709</v>
      </c>
      <c r="M7295">
        <v>73209000</v>
      </c>
      <c r="O7295" t="s">
        <v>20056</v>
      </c>
      <c r="P7295" t="s">
        <v>19899</v>
      </c>
      <c r="Q7295" t="s">
        <v>19983</v>
      </c>
      <c r="R7295" t="s">
        <v>19905</v>
      </c>
      <c r="S7295" t="s">
        <v>19906</v>
      </c>
      <c r="T7295" t="s">
        <v>19913</v>
      </c>
    </row>
    <row r="7296" spans="2:20" x14ac:dyDescent="0.25">
      <c r="B7296" t="s">
        <v>2709</v>
      </c>
      <c r="C7296">
        <v>73211100</v>
      </c>
      <c r="E7296">
        <v>56.28</v>
      </c>
      <c r="F7296">
        <v>7</v>
      </c>
      <c r="G7296">
        <v>10</v>
      </c>
      <c r="H7296">
        <v>7.6</v>
      </c>
      <c r="I7296">
        <v>1.65</v>
      </c>
      <c r="J7296">
        <v>20</v>
      </c>
      <c r="L7296" t="s">
        <v>2709</v>
      </c>
      <c r="M7296">
        <v>73211100</v>
      </c>
      <c r="O7296" t="s">
        <v>20137</v>
      </c>
      <c r="P7296" t="s">
        <v>19908</v>
      </c>
      <c r="Q7296" t="s">
        <v>19904</v>
      </c>
      <c r="R7296" t="s">
        <v>19905</v>
      </c>
      <c r="S7296" t="s">
        <v>19906</v>
      </c>
      <c r="T7296" t="s">
        <v>19934</v>
      </c>
    </row>
    <row r="7297" spans="2:20" x14ac:dyDescent="0.25">
      <c r="B7297" t="s">
        <v>2709</v>
      </c>
      <c r="C7297">
        <v>73211100</v>
      </c>
      <c r="D7297">
        <v>1</v>
      </c>
      <c r="E7297" t="s">
        <v>19447</v>
      </c>
      <c r="F7297">
        <v>18</v>
      </c>
      <c r="G7297">
        <v>4</v>
      </c>
      <c r="H7297">
        <v>7.6</v>
      </c>
      <c r="I7297">
        <v>1.65</v>
      </c>
      <c r="J7297">
        <v>20</v>
      </c>
      <c r="L7297" t="s">
        <v>2709</v>
      </c>
      <c r="M7297">
        <v>73211100</v>
      </c>
      <c r="N7297">
        <v>1</v>
      </c>
      <c r="O7297" t="s">
        <v>19447</v>
      </c>
      <c r="P7297" t="s">
        <v>19899</v>
      </c>
      <c r="Q7297" t="s">
        <v>19902</v>
      </c>
      <c r="R7297" t="s">
        <v>19905</v>
      </c>
      <c r="S7297" t="s">
        <v>19906</v>
      </c>
      <c r="T7297" t="s">
        <v>19934</v>
      </c>
    </row>
    <row r="7298" spans="2:20" x14ac:dyDescent="0.25">
      <c r="B7298" t="s">
        <v>2709</v>
      </c>
      <c r="C7298">
        <v>73211200</v>
      </c>
      <c r="E7298">
        <v>147.97</v>
      </c>
      <c r="F7298">
        <v>18</v>
      </c>
      <c r="G7298">
        <v>10</v>
      </c>
      <c r="H7298">
        <v>7.6</v>
      </c>
      <c r="I7298">
        <v>1.65</v>
      </c>
      <c r="J7298">
        <v>20</v>
      </c>
      <c r="L7298" t="s">
        <v>2709</v>
      </c>
      <c r="M7298">
        <v>73211200</v>
      </c>
      <c r="O7298" t="s">
        <v>20138</v>
      </c>
      <c r="P7298" t="s">
        <v>19899</v>
      </c>
      <c r="Q7298" t="s">
        <v>19904</v>
      </c>
      <c r="R7298" t="s">
        <v>19905</v>
      </c>
      <c r="S7298" t="s">
        <v>19906</v>
      </c>
      <c r="T7298" t="s">
        <v>19934</v>
      </c>
    </row>
    <row r="7299" spans="2:20" x14ac:dyDescent="0.25">
      <c r="B7299" t="s">
        <v>2709</v>
      </c>
      <c r="C7299">
        <v>73211200</v>
      </c>
      <c r="D7299">
        <v>1</v>
      </c>
      <c r="E7299" t="s">
        <v>19447</v>
      </c>
      <c r="F7299">
        <v>18</v>
      </c>
      <c r="G7299">
        <v>4</v>
      </c>
      <c r="H7299">
        <v>7.6</v>
      </c>
      <c r="I7299">
        <v>1.65</v>
      </c>
      <c r="J7299">
        <v>20</v>
      </c>
      <c r="L7299" t="s">
        <v>2709</v>
      </c>
      <c r="M7299">
        <v>73211200</v>
      </c>
      <c r="N7299">
        <v>1</v>
      </c>
      <c r="O7299" t="s">
        <v>19447</v>
      </c>
      <c r="P7299" t="s">
        <v>19899</v>
      </c>
      <c r="Q7299" t="s">
        <v>19902</v>
      </c>
      <c r="R7299" t="s">
        <v>19905</v>
      </c>
      <c r="S7299" t="s">
        <v>19906</v>
      </c>
      <c r="T7299" t="s">
        <v>19934</v>
      </c>
    </row>
    <row r="7300" spans="2:20" x14ac:dyDescent="0.25">
      <c r="B7300" t="s">
        <v>2709</v>
      </c>
      <c r="C7300">
        <v>73211900</v>
      </c>
      <c r="E7300">
        <v>147.97</v>
      </c>
      <c r="F7300">
        <v>18</v>
      </c>
      <c r="G7300">
        <v>10</v>
      </c>
      <c r="H7300">
        <v>7.6</v>
      </c>
      <c r="I7300">
        <v>1.65</v>
      </c>
      <c r="J7300">
        <v>20</v>
      </c>
      <c r="L7300" t="s">
        <v>2709</v>
      </c>
      <c r="M7300">
        <v>73211900</v>
      </c>
      <c r="O7300" t="s">
        <v>20138</v>
      </c>
      <c r="P7300" t="s">
        <v>19899</v>
      </c>
      <c r="Q7300" t="s">
        <v>19904</v>
      </c>
      <c r="R7300" t="s">
        <v>19905</v>
      </c>
      <c r="S7300" t="s">
        <v>19906</v>
      </c>
      <c r="T7300" t="s">
        <v>19934</v>
      </c>
    </row>
    <row r="7301" spans="2:20" x14ac:dyDescent="0.25">
      <c r="B7301" t="s">
        <v>2709</v>
      </c>
      <c r="C7301">
        <v>73211900</v>
      </c>
      <c r="D7301">
        <v>1</v>
      </c>
      <c r="E7301" t="s">
        <v>19447</v>
      </c>
      <c r="F7301">
        <v>18</v>
      </c>
      <c r="G7301">
        <v>4</v>
      </c>
      <c r="H7301">
        <v>7.6</v>
      </c>
      <c r="I7301">
        <v>1.65</v>
      </c>
      <c r="J7301">
        <v>20</v>
      </c>
      <c r="L7301" t="s">
        <v>2709</v>
      </c>
      <c r="M7301">
        <v>73211900</v>
      </c>
      <c r="N7301">
        <v>1</v>
      </c>
      <c r="O7301" t="s">
        <v>19447</v>
      </c>
      <c r="P7301" t="s">
        <v>19899</v>
      </c>
      <c r="Q7301" t="s">
        <v>19902</v>
      </c>
      <c r="R7301" t="s">
        <v>19905</v>
      </c>
      <c r="S7301" t="s">
        <v>19906</v>
      </c>
      <c r="T7301" t="s">
        <v>19934</v>
      </c>
    </row>
    <row r="7302" spans="2:20" x14ac:dyDescent="0.25">
      <c r="B7302" t="s">
        <v>2709</v>
      </c>
      <c r="C7302">
        <v>73218100</v>
      </c>
      <c r="E7302">
        <v>56.28</v>
      </c>
      <c r="F7302">
        <v>18</v>
      </c>
      <c r="G7302">
        <v>10</v>
      </c>
      <c r="H7302">
        <v>7.6</v>
      </c>
      <c r="I7302">
        <v>1.65</v>
      </c>
      <c r="J7302">
        <v>20</v>
      </c>
      <c r="L7302" t="s">
        <v>2709</v>
      </c>
      <c r="M7302">
        <v>73218100</v>
      </c>
      <c r="O7302" t="s">
        <v>20137</v>
      </c>
      <c r="P7302" t="s">
        <v>19899</v>
      </c>
      <c r="Q7302" t="s">
        <v>19904</v>
      </c>
      <c r="R7302" t="s">
        <v>19905</v>
      </c>
      <c r="S7302" t="s">
        <v>19906</v>
      </c>
      <c r="T7302" t="s">
        <v>19934</v>
      </c>
    </row>
    <row r="7303" spans="2:20" x14ac:dyDescent="0.25">
      <c r="B7303" t="s">
        <v>2709</v>
      </c>
      <c r="C7303">
        <v>73218200</v>
      </c>
      <c r="E7303">
        <v>147.97</v>
      </c>
      <c r="F7303">
        <v>18</v>
      </c>
      <c r="G7303">
        <v>10</v>
      </c>
      <c r="H7303">
        <v>7.6</v>
      </c>
      <c r="I7303">
        <v>1.65</v>
      </c>
      <c r="J7303">
        <v>20</v>
      </c>
      <c r="L7303" t="s">
        <v>2709</v>
      </c>
      <c r="M7303">
        <v>73218200</v>
      </c>
      <c r="O7303" t="s">
        <v>20138</v>
      </c>
      <c r="P7303" t="s">
        <v>19899</v>
      </c>
      <c r="Q7303" t="s">
        <v>19904</v>
      </c>
      <c r="R7303" t="s">
        <v>19905</v>
      </c>
      <c r="S7303" t="s">
        <v>19906</v>
      </c>
      <c r="T7303" t="s">
        <v>19934</v>
      </c>
    </row>
    <row r="7304" spans="2:20" x14ac:dyDescent="0.25">
      <c r="B7304" t="s">
        <v>2709</v>
      </c>
      <c r="C7304">
        <v>73218900</v>
      </c>
      <c r="E7304">
        <v>147.97</v>
      </c>
      <c r="F7304">
        <v>18</v>
      </c>
      <c r="G7304">
        <v>10</v>
      </c>
      <c r="H7304">
        <v>7.6</v>
      </c>
      <c r="I7304">
        <v>1.65</v>
      </c>
      <c r="J7304">
        <v>20</v>
      </c>
      <c r="L7304" t="s">
        <v>2709</v>
      </c>
      <c r="M7304">
        <v>73218900</v>
      </c>
      <c r="O7304" t="s">
        <v>20138</v>
      </c>
      <c r="P7304" t="s">
        <v>19899</v>
      </c>
      <c r="Q7304" t="s">
        <v>19904</v>
      </c>
      <c r="R7304" t="s">
        <v>19905</v>
      </c>
      <c r="S7304" t="s">
        <v>19906</v>
      </c>
      <c r="T7304" t="s">
        <v>19934</v>
      </c>
    </row>
    <row r="7305" spans="2:20" x14ac:dyDescent="0.25">
      <c r="B7305" t="s">
        <v>2709</v>
      </c>
      <c r="C7305">
        <v>73219000</v>
      </c>
      <c r="E7305">
        <v>56.28</v>
      </c>
      <c r="F7305">
        <v>18</v>
      </c>
      <c r="G7305">
        <v>10</v>
      </c>
      <c r="H7305">
        <v>7.6</v>
      </c>
      <c r="I7305">
        <v>1.65</v>
      </c>
      <c r="J7305">
        <v>18</v>
      </c>
      <c r="L7305" t="s">
        <v>2709</v>
      </c>
      <c r="M7305">
        <v>73219000</v>
      </c>
      <c r="O7305" t="s">
        <v>20137</v>
      </c>
      <c r="P7305" t="s">
        <v>19899</v>
      </c>
      <c r="Q7305" t="s">
        <v>19904</v>
      </c>
      <c r="R7305" t="s">
        <v>19905</v>
      </c>
      <c r="S7305" t="s">
        <v>19906</v>
      </c>
      <c r="T7305" t="s">
        <v>19899</v>
      </c>
    </row>
    <row r="7306" spans="2:20" x14ac:dyDescent="0.25">
      <c r="B7306" t="s">
        <v>2709</v>
      </c>
      <c r="C7306">
        <v>73219000</v>
      </c>
      <c r="D7306">
        <v>1</v>
      </c>
      <c r="E7306" t="s">
        <v>19447</v>
      </c>
      <c r="F7306">
        <v>18</v>
      </c>
      <c r="G7306">
        <v>4</v>
      </c>
      <c r="H7306">
        <v>7.6</v>
      </c>
      <c r="I7306">
        <v>1.65</v>
      </c>
      <c r="J7306">
        <v>18</v>
      </c>
      <c r="L7306" t="s">
        <v>2709</v>
      </c>
      <c r="M7306">
        <v>73219000</v>
      </c>
      <c r="N7306">
        <v>1</v>
      </c>
      <c r="O7306" t="s">
        <v>19447</v>
      </c>
      <c r="P7306" t="s">
        <v>19899</v>
      </c>
      <c r="Q7306" t="s">
        <v>19902</v>
      </c>
      <c r="R7306" t="s">
        <v>19905</v>
      </c>
      <c r="S7306" t="s">
        <v>19906</v>
      </c>
      <c r="T7306" t="s">
        <v>19899</v>
      </c>
    </row>
    <row r="7307" spans="2:20" x14ac:dyDescent="0.25">
      <c r="B7307" t="s">
        <v>2709</v>
      </c>
      <c r="C7307">
        <v>73221100</v>
      </c>
      <c r="E7307">
        <v>101</v>
      </c>
      <c r="F7307">
        <v>18</v>
      </c>
      <c r="G7307">
        <v>15</v>
      </c>
      <c r="H7307">
        <v>7.6</v>
      </c>
      <c r="I7307">
        <v>1.65</v>
      </c>
      <c r="J7307">
        <v>18</v>
      </c>
      <c r="L7307" t="s">
        <v>2709</v>
      </c>
      <c r="M7307">
        <v>73221100</v>
      </c>
      <c r="O7307" t="s">
        <v>20081</v>
      </c>
      <c r="P7307" t="s">
        <v>19899</v>
      </c>
      <c r="Q7307" t="s">
        <v>19983</v>
      </c>
      <c r="R7307" t="s">
        <v>19905</v>
      </c>
      <c r="S7307" t="s">
        <v>19906</v>
      </c>
      <c r="T7307" t="s">
        <v>19899</v>
      </c>
    </row>
    <row r="7308" spans="2:20" x14ac:dyDescent="0.25">
      <c r="B7308" t="s">
        <v>2709</v>
      </c>
      <c r="C7308">
        <v>73221900</v>
      </c>
      <c r="E7308">
        <v>101</v>
      </c>
      <c r="F7308">
        <v>18</v>
      </c>
      <c r="G7308">
        <v>15</v>
      </c>
      <c r="H7308">
        <v>7.6</v>
      </c>
      <c r="I7308">
        <v>1.65</v>
      </c>
      <c r="J7308">
        <v>18</v>
      </c>
      <c r="L7308" t="s">
        <v>2709</v>
      </c>
      <c r="M7308">
        <v>73221900</v>
      </c>
      <c r="O7308" t="s">
        <v>20081</v>
      </c>
      <c r="P7308" t="s">
        <v>19899</v>
      </c>
      <c r="Q7308" t="s">
        <v>19983</v>
      </c>
      <c r="R7308" t="s">
        <v>19905</v>
      </c>
      <c r="S7308" t="s">
        <v>19906</v>
      </c>
      <c r="T7308" t="s">
        <v>19899</v>
      </c>
    </row>
    <row r="7309" spans="2:20" x14ac:dyDescent="0.25">
      <c r="B7309" t="s">
        <v>2709</v>
      </c>
      <c r="C7309">
        <v>73229010</v>
      </c>
      <c r="E7309">
        <v>101</v>
      </c>
      <c r="F7309">
        <v>18</v>
      </c>
      <c r="G7309">
        <v>15</v>
      </c>
      <c r="H7309">
        <v>7.6</v>
      </c>
      <c r="I7309">
        <v>1.65</v>
      </c>
      <c r="J7309">
        <v>2</v>
      </c>
      <c r="L7309" t="s">
        <v>2709</v>
      </c>
      <c r="M7309">
        <v>73229010</v>
      </c>
      <c r="O7309" t="s">
        <v>20081</v>
      </c>
      <c r="P7309" t="s">
        <v>19899</v>
      </c>
      <c r="Q7309" t="s">
        <v>19983</v>
      </c>
      <c r="R7309" t="s">
        <v>19905</v>
      </c>
      <c r="S7309" t="s">
        <v>19906</v>
      </c>
      <c r="T7309" t="s">
        <v>19901</v>
      </c>
    </row>
    <row r="7310" spans="2:20" x14ac:dyDescent="0.25">
      <c r="B7310" t="s">
        <v>2709</v>
      </c>
      <c r="C7310">
        <v>73229090</v>
      </c>
      <c r="E7310">
        <v>101</v>
      </c>
      <c r="F7310">
        <v>18</v>
      </c>
      <c r="G7310">
        <v>15</v>
      </c>
      <c r="H7310">
        <v>7.6</v>
      </c>
      <c r="I7310">
        <v>1.65</v>
      </c>
      <c r="J7310">
        <v>18</v>
      </c>
      <c r="L7310" t="s">
        <v>2709</v>
      </c>
      <c r="M7310">
        <v>73229090</v>
      </c>
      <c r="O7310" t="s">
        <v>20081</v>
      </c>
      <c r="P7310" t="s">
        <v>19899</v>
      </c>
      <c r="Q7310" t="s">
        <v>19983</v>
      </c>
      <c r="R7310" t="s">
        <v>19905</v>
      </c>
      <c r="S7310" t="s">
        <v>19906</v>
      </c>
      <c r="T7310" t="s">
        <v>19899</v>
      </c>
    </row>
    <row r="7311" spans="2:20" x14ac:dyDescent="0.25">
      <c r="B7311" t="s">
        <v>2709</v>
      </c>
      <c r="C7311">
        <v>73231000</v>
      </c>
      <c r="E7311">
        <v>101</v>
      </c>
      <c r="F7311">
        <v>18</v>
      </c>
      <c r="G7311">
        <v>10</v>
      </c>
      <c r="H7311">
        <v>7.6</v>
      </c>
      <c r="I7311">
        <v>1.65</v>
      </c>
      <c r="J7311">
        <v>18</v>
      </c>
      <c r="L7311" t="s">
        <v>2709</v>
      </c>
      <c r="M7311">
        <v>73231000</v>
      </c>
      <c r="O7311" t="s">
        <v>20081</v>
      </c>
      <c r="P7311" t="s">
        <v>19899</v>
      </c>
      <c r="Q7311" t="s">
        <v>19904</v>
      </c>
      <c r="R7311" t="s">
        <v>19905</v>
      </c>
      <c r="S7311" t="s">
        <v>19906</v>
      </c>
      <c r="T7311" t="s">
        <v>19899</v>
      </c>
    </row>
    <row r="7312" spans="2:20" x14ac:dyDescent="0.25">
      <c r="B7312" t="s">
        <v>2709</v>
      </c>
      <c r="C7312">
        <v>73231000</v>
      </c>
      <c r="D7312">
        <v>1</v>
      </c>
      <c r="E7312" t="s">
        <v>19447</v>
      </c>
      <c r="F7312">
        <v>18</v>
      </c>
      <c r="G7312">
        <v>5</v>
      </c>
      <c r="H7312">
        <v>7.6</v>
      </c>
      <c r="I7312">
        <v>1.65</v>
      </c>
      <c r="J7312">
        <v>18</v>
      </c>
      <c r="L7312" t="s">
        <v>2709</v>
      </c>
      <c r="M7312">
        <v>73231000</v>
      </c>
      <c r="N7312">
        <v>1</v>
      </c>
      <c r="O7312" t="s">
        <v>19447</v>
      </c>
      <c r="P7312" t="s">
        <v>19899</v>
      </c>
      <c r="Q7312" t="s">
        <v>19909</v>
      </c>
      <c r="R7312" t="s">
        <v>19905</v>
      </c>
      <c r="S7312" t="s">
        <v>19906</v>
      </c>
      <c r="T7312" t="s">
        <v>19899</v>
      </c>
    </row>
    <row r="7313" spans="2:20" x14ac:dyDescent="0.25">
      <c r="B7313" t="s">
        <v>2709</v>
      </c>
      <c r="C7313">
        <v>73239100</v>
      </c>
      <c r="E7313">
        <v>101</v>
      </c>
      <c r="F7313">
        <v>18</v>
      </c>
      <c r="G7313">
        <v>10</v>
      </c>
      <c r="H7313">
        <v>7.6</v>
      </c>
      <c r="I7313">
        <v>1.65</v>
      </c>
      <c r="J7313">
        <v>18</v>
      </c>
      <c r="L7313" t="s">
        <v>2709</v>
      </c>
      <c r="M7313">
        <v>73239100</v>
      </c>
      <c r="O7313" t="s">
        <v>20081</v>
      </c>
      <c r="P7313" t="s">
        <v>19899</v>
      </c>
      <c r="Q7313" t="s">
        <v>19904</v>
      </c>
      <c r="R7313" t="s">
        <v>19905</v>
      </c>
      <c r="S7313" t="s">
        <v>19906</v>
      </c>
      <c r="T7313" t="s">
        <v>19899</v>
      </c>
    </row>
    <row r="7314" spans="2:20" x14ac:dyDescent="0.25">
      <c r="B7314" t="s">
        <v>2709</v>
      </c>
      <c r="C7314">
        <v>73239200</v>
      </c>
      <c r="E7314">
        <v>101</v>
      </c>
      <c r="F7314">
        <v>18</v>
      </c>
      <c r="G7314">
        <v>10</v>
      </c>
      <c r="H7314">
        <v>7.6</v>
      </c>
      <c r="I7314">
        <v>1.65</v>
      </c>
      <c r="J7314">
        <v>18</v>
      </c>
      <c r="L7314" t="s">
        <v>2709</v>
      </c>
      <c r="M7314">
        <v>73239200</v>
      </c>
      <c r="O7314" t="s">
        <v>20081</v>
      </c>
      <c r="P7314" t="s">
        <v>19899</v>
      </c>
      <c r="Q7314" t="s">
        <v>19904</v>
      </c>
      <c r="R7314" t="s">
        <v>19905</v>
      </c>
      <c r="S7314" t="s">
        <v>19906</v>
      </c>
      <c r="T7314" t="s">
        <v>19899</v>
      </c>
    </row>
    <row r="7315" spans="2:20" x14ac:dyDescent="0.25">
      <c r="B7315" t="s">
        <v>2709</v>
      </c>
      <c r="C7315">
        <v>73239300</v>
      </c>
      <c r="E7315">
        <v>101</v>
      </c>
      <c r="F7315">
        <v>18</v>
      </c>
      <c r="G7315">
        <v>10</v>
      </c>
      <c r="H7315">
        <v>7.6</v>
      </c>
      <c r="I7315">
        <v>1.65</v>
      </c>
      <c r="J7315">
        <v>18</v>
      </c>
      <c r="L7315" t="s">
        <v>2709</v>
      </c>
      <c r="M7315">
        <v>73239300</v>
      </c>
      <c r="O7315" t="s">
        <v>20081</v>
      </c>
      <c r="P7315" t="s">
        <v>19899</v>
      </c>
      <c r="Q7315" t="s">
        <v>19904</v>
      </c>
      <c r="R7315" t="s">
        <v>19905</v>
      </c>
      <c r="S7315" t="s">
        <v>19906</v>
      </c>
      <c r="T7315" t="s">
        <v>19899</v>
      </c>
    </row>
    <row r="7316" spans="2:20" x14ac:dyDescent="0.25">
      <c r="B7316" t="s">
        <v>2709</v>
      </c>
      <c r="C7316">
        <v>73239400</v>
      </c>
      <c r="E7316">
        <v>101</v>
      </c>
      <c r="F7316">
        <v>18</v>
      </c>
      <c r="G7316">
        <v>10</v>
      </c>
      <c r="H7316">
        <v>7.6</v>
      </c>
      <c r="I7316">
        <v>1.65</v>
      </c>
      <c r="J7316">
        <v>18</v>
      </c>
      <c r="L7316" t="s">
        <v>2709</v>
      </c>
      <c r="M7316">
        <v>73239400</v>
      </c>
      <c r="O7316" t="s">
        <v>20081</v>
      </c>
      <c r="P7316" t="s">
        <v>19899</v>
      </c>
      <c r="Q7316" t="s">
        <v>19904</v>
      </c>
      <c r="R7316" t="s">
        <v>19905</v>
      </c>
      <c r="S7316" t="s">
        <v>19906</v>
      </c>
      <c r="T7316" t="s">
        <v>19899</v>
      </c>
    </row>
    <row r="7317" spans="2:20" x14ac:dyDescent="0.25">
      <c r="B7317" t="s">
        <v>2709</v>
      </c>
      <c r="C7317">
        <v>73239900</v>
      </c>
      <c r="E7317">
        <v>101</v>
      </c>
      <c r="F7317">
        <v>18</v>
      </c>
      <c r="G7317">
        <v>10</v>
      </c>
      <c r="H7317">
        <v>7.6</v>
      </c>
      <c r="I7317">
        <v>1.65</v>
      </c>
      <c r="J7317">
        <v>18</v>
      </c>
      <c r="L7317" t="s">
        <v>2709</v>
      </c>
      <c r="M7317">
        <v>73239900</v>
      </c>
      <c r="O7317" t="s">
        <v>20081</v>
      </c>
      <c r="P7317" t="s">
        <v>19899</v>
      </c>
      <c r="Q7317" t="s">
        <v>19904</v>
      </c>
      <c r="R7317" t="s">
        <v>19905</v>
      </c>
      <c r="S7317" t="s">
        <v>19906</v>
      </c>
      <c r="T7317" t="s">
        <v>19899</v>
      </c>
    </row>
    <row r="7318" spans="2:20" x14ac:dyDescent="0.25">
      <c r="B7318" t="s">
        <v>2709</v>
      </c>
      <c r="C7318">
        <v>73241000</v>
      </c>
      <c r="E7318">
        <v>62</v>
      </c>
      <c r="F7318">
        <v>18</v>
      </c>
      <c r="G7318">
        <v>0</v>
      </c>
      <c r="H7318">
        <v>7.6</v>
      </c>
      <c r="I7318">
        <v>1.65</v>
      </c>
      <c r="J7318">
        <v>18</v>
      </c>
      <c r="L7318" t="s">
        <v>2709</v>
      </c>
      <c r="M7318">
        <v>73241000</v>
      </c>
      <c r="O7318" t="s">
        <v>20139</v>
      </c>
      <c r="P7318" t="s">
        <v>19899</v>
      </c>
      <c r="Q7318" t="s">
        <v>19900</v>
      </c>
      <c r="R7318" t="s">
        <v>19905</v>
      </c>
      <c r="S7318" t="s">
        <v>19906</v>
      </c>
      <c r="T7318" t="s">
        <v>19899</v>
      </c>
    </row>
    <row r="7319" spans="2:20" x14ac:dyDescent="0.25">
      <c r="B7319" t="s">
        <v>2709</v>
      </c>
      <c r="C7319">
        <v>73242100</v>
      </c>
      <c r="E7319">
        <v>62</v>
      </c>
      <c r="F7319">
        <v>18</v>
      </c>
      <c r="G7319">
        <v>10</v>
      </c>
      <c r="H7319">
        <v>7.6</v>
      </c>
      <c r="I7319">
        <v>1.65</v>
      </c>
      <c r="J7319">
        <v>18</v>
      </c>
      <c r="L7319" t="s">
        <v>2709</v>
      </c>
      <c r="M7319">
        <v>73242100</v>
      </c>
      <c r="O7319" t="s">
        <v>20139</v>
      </c>
      <c r="P7319" t="s">
        <v>19899</v>
      </c>
      <c r="Q7319" t="s">
        <v>19904</v>
      </c>
      <c r="R7319" t="s">
        <v>19905</v>
      </c>
      <c r="S7319" t="s">
        <v>19906</v>
      </c>
      <c r="T7319" t="s">
        <v>19899</v>
      </c>
    </row>
    <row r="7320" spans="2:20" x14ac:dyDescent="0.25">
      <c r="B7320" t="s">
        <v>2709</v>
      </c>
      <c r="C7320">
        <v>73242900</v>
      </c>
      <c r="E7320">
        <v>62</v>
      </c>
      <c r="F7320">
        <v>18</v>
      </c>
      <c r="G7320">
        <v>10</v>
      </c>
      <c r="H7320">
        <v>7.6</v>
      </c>
      <c r="I7320">
        <v>1.65</v>
      </c>
      <c r="J7320">
        <v>18</v>
      </c>
      <c r="L7320" t="s">
        <v>2709</v>
      </c>
      <c r="M7320">
        <v>73242900</v>
      </c>
      <c r="O7320" t="s">
        <v>20139</v>
      </c>
      <c r="P7320" t="s">
        <v>19899</v>
      </c>
      <c r="Q7320" t="s">
        <v>19904</v>
      </c>
      <c r="R7320" t="s">
        <v>19905</v>
      </c>
      <c r="S7320" t="s">
        <v>19906</v>
      </c>
      <c r="T7320" t="s">
        <v>19899</v>
      </c>
    </row>
    <row r="7321" spans="2:20" x14ac:dyDescent="0.25">
      <c r="B7321" t="s">
        <v>2709</v>
      </c>
      <c r="C7321">
        <v>73249000</v>
      </c>
      <c r="E7321">
        <v>62</v>
      </c>
      <c r="F7321">
        <v>18</v>
      </c>
      <c r="G7321">
        <v>10</v>
      </c>
      <c r="H7321">
        <v>7.6</v>
      </c>
      <c r="I7321">
        <v>1.65</v>
      </c>
      <c r="J7321">
        <v>18</v>
      </c>
      <c r="L7321" t="s">
        <v>2709</v>
      </c>
      <c r="M7321">
        <v>73249000</v>
      </c>
      <c r="O7321" t="s">
        <v>20139</v>
      </c>
      <c r="P7321" t="s">
        <v>19899</v>
      </c>
      <c r="Q7321" t="s">
        <v>19904</v>
      </c>
      <c r="R7321" t="s">
        <v>19905</v>
      </c>
      <c r="S7321" t="s">
        <v>19906</v>
      </c>
      <c r="T7321" t="s">
        <v>19899</v>
      </c>
    </row>
    <row r="7322" spans="2:20" x14ac:dyDescent="0.25">
      <c r="B7322" t="s">
        <v>2709</v>
      </c>
      <c r="C7322">
        <v>73251000</v>
      </c>
      <c r="E7322">
        <v>86</v>
      </c>
      <c r="F7322">
        <v>18</v>
      </c>
      <c r="G7322">
        <v>10</v>
      </c>
      <c r="H7322">
        <v>7.6</v>
      </c>
      <c r="I7322">
        <v>1.65</v>
      </c>
      <c r="J7322">
        <v>18</v>
      </c>
      <c r="L7322" t="s">
        <v>2709</v>
      </c>
      <c r="M7322">
        <v>73251000</v>
      </c>
      <c r="O7322" t="s">
        <v>20140</v>
      </c>
      <c r="P7322" t="s">
        <v>19899</v>
      </c>
      <c r="Q7322" t="s">
        <v>19904</v>
      </c>
      <c r="R7322" t="s">
        <v>19905</v>
      </c>
      <c r="S7322" t="s">
        <v>19906</v>
      </c>
      <c r="T7322" t="s">
        <v>19899</v>
      </c>
    </row>
    <row r="7323" spans="2:20" x14ac:dyDescent="0.25">
      <c r="B7323" t="s">
        <v>2709</v>
      </c>
      <c r="C7323">
        <v>73259100</v>
      </c>
      <c r="E7323">
        <v>86</v>
      </c>
      <c r="F7323">
        <v>18</v>
      </c>
      <c r="G7323">
        <v>10</v>
      </c>
      <c r="H7323">
        <v>7.6</v>
      </c>
      <c r="I7323">
        <v>1.65</v>
      </c>
      <c r="J7323">
        <v>18</v>
      </c>
      <c r="L7323" t="s">
        <v>2709</v>
      </c>
      <c r="M7323">
        <v>73259100</v>
      </c>
      <c r="O7323" t="s">
        <v>20140</v>
      </c>
      <c r="P7323" t="s">
        <v>19899</v>
      </c>
      <c r="Q7323" t="s">
        <v>19904</v>
      </c>
      <c r="R7323" t="s">
        <v>19905</v>
      </c>
      <c r="S7323" t="s">
        <v>19906</v>
      </c>
      <c r="T7323" t="s">
        <v>19899</v>
      </c>
    </row>
    <row r="7324" spans="2:20" x14ac:dyDescent="0.25">
      <c r="B7324" t="s">
        <v>2709</v>
      </c>
      <c r="C7324">
        <v>73259910</v>
      </c>
      <c r="E7324">
        <v>86</v>
      </c>
      <c r="F7324">
        <v>18</v>
      </c>
      <c r="G7324">
        <v>10</v>
      </c>
      <c r="H7324">
        <v>7.6</v>
      </c>
      <c r="I7324">
        <v>1.65</v>
      </c>
      <c r="J7324">
        <v>18</v>
      </c>
      <c r="L7324" t="s">
        <v>2709</v>
      </c>
      <c r="M7324">
        <v>73259910</v>
      </c>
      <c r="O7324" t="s">
        <v>20140</v>
      </c>
      <c r="P7324" t="s">
        <v>19899</v>
      </c>
      <c r="Q7324" t="s">
        <v>19904</v>
      </c>
      <c r="R7324" t="s">
        <v>19905</v>
      </c>
      <c r="S7324" t="s">
        <v>19906</v>
      </c>
      <c r="T7324" t="s">
        <v>19899</v>
      </c>
    </row>
    <row r="7325" spans="2:20" x14ac:dyDescent="0.25">
      <c r="B7325" t="s">
        <v>2709</v>
      </c>
      <c r="C7325">
        <v>73259990</v>
      </c>
      <c r="E7325">
        <v>86</v>
      </c>
      <c r="F7325">
        <v>18</v>
      </c>
      <c r="G7325">
        <v>10</v>
      </c>
      <c r="H7325">
        <v>7.6</v>
      </c>
      <c r="I7325">
        <v>1.65</v>
      </c>
      <c r="J7325">
        <v>18</v>
      </c>
      <c r="L7325" t="s">
        <v>2709</v>
      </c>
      <c r="M7325">
        <v>73259990</v>
      </c>
      <c r="O7325" t="s">
        <v>20140</v>
      </c>
      <c r="P7325" t="s">
        <v>19899</v>
      </c>
      <c r="Q7325" t="s">
        <v>19904</v>
      </c>
      <c r="R7325" t="s">
        <v>19905</v>
      </c>
      <c r="S7325" t="s">
        <v>19906</v>
      </c>
      <c r="T7325" t="s">
        <v>19899</v>
      </c>
    </row>
    <row r="7326" spans="2:20" x14ac:dyDescent="0.25">
      <c r="B7326" t="s">
        <v>2709</v>
      </c>
      <c r="C7326">
        <v>73261100</v>
      </c>
      <c r="E7326">
        <v>80</v>
      </c>
      <c r="F7326">
        <v>18</v>
      </c>
      <c r="G7326">
        <v>10</v>
      </c>
      <c r="H7326">
        <v>7.6</v>
      </c>
      <c r="I7326">
        <v>1.65</v>
      </c>
      <c r="J7326">
        <v>18</v>
      </c>
      <c r="L7326" t="s">
        <v>2709</v>
      </c>
      <c r="M7326">
        <v>73261100</v>
      </c>
      <c r="O7326" t="s">
        <v>20063</v>
      </c>
      <c r="P7326" t="s">
        <v>19899</v>
      </c>
      <c r="Q7326" t="s">
        <v>19904</v>
      </c>
      <c r="R7326" t="s">
        <v>19905</v>
      </c>
      <c r="S7326" t="s">
        <v>19906</v>
      </c>
      <c r="T7326" t="s">
        <v>19899</v>
      </c>
    </row>
    <row r="7327" spans="2:20" x14ac:dyDescent="0.25">
      <c r="B7327" t="s">
        <v>2709</v>
      </c>
      <c r="C7327">
        <v>73261900</v>
      </c>
      <c r="E7327">
        <v>80</v>
      </c>
      <c r="F7327">
        <v>18</v>
      </c>
      <c r="G7327">
        <v>10</v>
      </c>
      <c r="H7327">
        <v>7.6</v>
      </c>
      <c r="I7327">
        <v>1.65</v>
      </c>
      <c r="J7327">
        <v>18</v>
      </c>
      <c r="L7327" t="s">
        <v>2709</v>
      </c>
      <c r="M7327">
        <v>73261900</v>
      </c>
      <c r="O7327" t="s">
        <v>20063</v>
      </c>
      <c r="P7327" t="s">
        <v>19899</v>
      </c>
      <c r="Q7327" t="s">
        <v>19904</v>
      </c>
      <c r="R7327" t="s">
        <v>19905</v>
      </c>
      <c r="S7327" t="s">
        <v>19906</v>
      </c>
      <c r="T7327" t="s">
        <v>19899</v>
      </c>
    </row>
    <row r="7328" spans="2:20" x14ac:dyDescent="0.25">
      <c r="B7328" t="s">
        <v>2709</v>
      </c>
      <c r="C7328">
        <v>73262000</v>
      </c>
      <c r="E7328">
        <v>80</v>
      </c>
      <c r="F7328">
        <v>12</v>
      </c>
      <c r="G7328">
        <v>5</v>
      </c>
      <c r="H7328">
        <v>7.6</v>
      </c>
      <c r="I7328">
        <v>1.65</v>
      </c>
      <c r="J7328">
        <v>18</v>
      </c>
      <c r="L7328" t="s">
        <v>2709</v>
      </c>
      <c r="M7328">
        <v>73262000</v>
      </c>
      <c r="O7328" t="s">
        <v>20063</v>
      </c>
      <c r="P7328" t="s">
        <v>19903</v>
      </c>
      <c r="Q7328" t="s">
        <v>19909</v>
      </c>
      <c r="R7328" t="s">
        <v>19905</v>
      </c>
      <c r="S7328" t="s">
        <v>19906</v>
      </c>
      <c r="T7328" t="s">
        <v>19899</v>
      </c>
    </row>
    <row r="7329" spans="2:20" x14ac:dyDescent="0.25">
      <c r="B7329" t="s">
        <v>2709</v>
      </c>
      <c r="C7329">
        <v>73269010</v>
      </c>
      <c r="E7329">
        <v>80</v>
      </c>
      <c r="F7329">
        <v>18</v>
      </c>
      <c r="G7329">
        <v>5</v>
      </c>
      <c r="H7329">
        <v>7.6</v>
      </c>
      <c r="I7329">
        <v>1.65</v>
      </c>
      <c r="J7329">
        <v>2</v>
      </c>
      <c r="L7329" t="s">
        <v>2709</v>
      </c>
      <c r="M7329">
        <v>73269010</v>
      </c>
      <c r="O7329" t="s">
        <v>20063</v>
      </c>
      <c r="P7329" t="s">
        <v>19899</v>
      </c>
      <c r="Q7329" t="s">
        <v>19909</v>
      </c>
      <c r="R7329" t="s">
        <v>19905</v>
      </c>
      <c r="S7329" t="s">
        <v>19906</v>
      </c>
      <c r="T7329" t="s">
        <v>19901</v>
      </c>
    </row>
    <row r="7330" spans="2:20" x14ac:dyDescent="0.25">
      <c r="B7330" t="s">
        <v>2709</v>
      </c>
      <c r="C7330">
        <v>73269090</v>
      </c>
      <c r="E7330">
        <v>80</v>
      </c>
      <c r="F7330">
        <v>12</v>
      </c>
      <c r="G7330">
        <v>5</v>
      </c>
      <c r="H7330">
        <v>7.6</v>
      </c>
      <c r="I7330">
        <v>1.65</v>
      </c>
      <c r="J7330">
        <v>18</v>
      </c>
      <c r="L7330" t="s">
        <v>2709</v>
      </c>
      <c r="M7330">
        <v>73269090</v>
      </c>
      <c r="O7330" t="s">
        <v>20063</v>
      </c>
      <c r="P7330" t="s">
        <v>19903</v>
      </c>
      <c r="Q7330" t="s">
        <v>19909</v>
      </c>
      <c r="R7330" t="s">
        <v>19905</v>
      </c>
      <c r="S7330" t="s">
        <v>19906</v>
      </c>
      <c r="T7330" t="s">
        <v>19899</v>
      </c>
    </row>
    <row r="7331" spans="2:20" x14ac:dyDescent="0.25">
      <c r="B7331" t="s">
        <v>2709</v>
      </c>
      <c r="C7331">
        <v>74010000</v>
      </c>
      <c r="E7331" t="s">
        <v>19447</v>
      </c>
      <c r="F7331">
        <v>18</v>
      </c>
      <c r="G7331">
        <v>0</v>
      </c>
      <c r="H7331">
        <v>7.6</v>
      </c>
      <c r="I7331">
        <v>1.65</v>
      </c>
      <c r="J7331">
        <v>6</v>
      </c>
      <c r="L7331" t="s">
        <v>2709</v>
      </c>
      <c r="M7331">
        <v>74010000</v>
      </c>
      <c r="O7331" t="s">
        <v>19447</v>
      </c>
      <c r="P7331" t="s">
        <v>19899</v>
      </c>
      <c r="Q7331" t="s">
        <v>19900</v>
      </c>
      <c r="R7331" t="s">
        <v>19905</v>
      </c>
      <c r="S7331" t="s">
        <v>19906</v>
      </c>
      <c r="T7331" t="s">
        <v>19907</v>
      </c>
    </row>
    <row r="7332" spans="2:20" x14ac:dyDescent="0.25">
      <c r="B7332" t="s">
        <v>2709</v>
      </c>
      <c r="C7332">
        <v>74020000</v>
      </c>
      <c r="E7332" t="s">
        <v>19447</v>
      </c>
      <c r="F7332">
        <v>18</v>
      </c>
      <c r="G7332">
        <v>0</v>
      </c>
      <c r="H7332">
        <v>7.6</v>
      </c>
      <c r="I7332">
        <v>1.65</v>
      </c>
      <c r="J7332">
        <v>6</v>
      </c>
      <c r="L7332" t="s">
        <v>2709</v>
      </c>
      <c r="M7332">
        <v>74020000</v>
      </c>
      <c r="O7332" t="s">
        <v>19447</v>
      </c>
      <c r="P7332" t="s">
        <v>19899</v>
      </c>
      <c r="Q7332" t="s">
        <v>19900</v>
      </c>
      <c r="R7332" t="s">
        <v>19905</v>
      </c>
      <c r="S7332" t="s">
        <v>19906</v>
      </c>
      <c r="T7332" t="s">
        <v>19907</v>
      </c>
    </row>
    <row r="7333" spans="2:20" x14ac:dyDescent="0.25">
      <c r="B7333" t="s">
        <v>2709</v>
      </c>
      <c r="C7333">
        <v>74031100</v>
      </c>
      <c r="E7333" t="s">
        <v>19447</v>
      </c>
      <c r="F7333">
        <v>18</v>
      </c>
      <c r="G7333">
        <v>0</v>
      </c>
      <c r="H7333">
        <v>7.6</v>
      </c>
      <c r="I7333">
        <v>1.65</v>
      </c>
      <c r="J7333">
        <v>6</v>
      </c>
      <c r="L7333" t="s">
        <v>2709</v>
      </c>
      <c r="M7333">
        <v>74031100</v>
      </c>
      <c r="O7333" t="s">
        <v>19447</v>
      </c>
      <c r="P7333" t="s">
        <v>19899</v>
      </c>
      <c r="Q7333" t="s">
        <v>19900</v>
      </c>
      <c r="R7333" t="s">
        <v>19905</v>
      </c>
      <c r="S7333" t="s">
        <v>19906</v>
      </c>
      <c r="T7333" t="s">
        <v>19907</v>
      </c>
    </row>
    <row r="7334" spans="2:20" x14ac:dyDescent="0.25">
      <c r="B7334" t="s">
        <v>2709</v>
      </c>
      <c r="C7334">
        <v>74031200</v>
      </c>
      <c r="E7334" t="s">
        <v>19447</v>
      </c>
      <c r="F7334">
        <v>18</v>
      </c>
      <c r="G7334">
        <v>0</v>
      </c>
      <c r="H7334">
        <v>7.6</v>
      </c>
      <c r="I7334">
        <v>1.65</v>
      </c>
      <c r="J7334">
        <v>6</v>
      </c>
      <c r="L7334" t="s">
        <v>2709</v>
      </c>
      <c r="M7334">
        <v>74031200</v>
      </c>
      <c r="O7334" t="s">
        <v>19447</v>
      </c>
      <c r="P7334" t="s">
        <v>19899</v>
      </c>
      <c r="Q7334" t="s">
        <v>19900</v>
      </c>
      <c r="R7334" t="s">
        <v>19905</v>
      </c>
      <c r="S7334" t="s">
        <v>19906</v>
      </c>
      <c r="T7334" t="s">
        <v>19907</v>
      </c>
    </row>
    <row r="7335" spans="2:20" x14ac:dyDescent="0.25">
      <c r="B7335" t="s">
        <v>2709</v>
      </c>
      <c r="C7335">
        <v>74031300</v>
      </c>
      <c r="E7335" t="s">
        <v>19447</v>
      </c>
      <c r="F7335">
        <v>18</v>
      </c>
      <c r="G7335">
        <v>0</v>
      </c>
      <c r="H7335">
        <v>7.6</v>
      </c>
      <c r="I7335">
        <v>1.65</v>
      </c>
      <c r="J7335">
        <v>6</v>
      </c>
      <c r="L7335" t="s">
        <v>2709</v>
      </c>
      <c r="M7335">
        <v>74031300</v>
      </c>
      <c r="O7335" t="s">
        <v>19447</v>
      </c>
      <c r="P7335" t="s">
        <v>19899</v>
      </c>
      <c r="Q7335" t="s">
        <v>19900</v>
      </c>
      <c r="R7335" t="s">
        <v>19905</v>
      </c>
      <c r="S7335" t="s">
        <v>19906</v>
      </c>
      <c r="T7335" t="s">
        <v>19907</v>
      </c>
    </row>
    <row r="7336" spans="2:20" x14ac:dyDescent="0.25">
      <c r="B7336" t="s">
        <v>2709</v>
      </c>
      <c r="C7336">
        <v>74031900</v>
      </c>
      <c r="E7336" t="s">
        <v>19447</v>
      </c>
      <c r="F7336">
        <v>18</v>
      </c>
      <c r="G7336">
        <v>0</v>
      </c>
      <c r="H7336">
        <v>7.6</v>
      </c>
      <c r="I7336">
        <v>1.65</v>
      </c>
      <c r="J7336">
        <v>6</v>
      </c>
      <c r="L7336" t="s">
        <v>2709</v>
      </c>
      <c r="M7336">
        <v>74031900</v>
      </c>
      <c r="O7336" t="s">
        <v>19447</v>
      </c>
      <c r="P7336" t="s">
        <v>19899</v>
      </c>
      <c r="Q7336" t="s">
        <v>19900</v>
      </c>
      <c r="R7336" t="s">
        <v>19905</v>
      </c>
      <c r="S7336" t="s">
        <v>19906</v>
      </c>
      <c r="T7336" t="s">
        <v>19907</v>
      </c>
    </row>
    <row r="7337" spans="2:20" x14ac:dyDescent="0.25">
      <c r="B7337" t="s">
        <v>2709</v>
      </c>
      <c r="C7337">
        <v>74032100</v>
      </c>
      <c r="E7337" t="s">
        <v>19447</v>
      </c>
      <c r="F7337">
        <v>18</v>
      </c>
      <c r="G7337">
        <v>0</v>
      </c>
      <c r="H7337">
        <v>7.6</v>
      </c>
      <c r="I7337">
        <v>1.65</v>
      </c>
      <c r="J7337">
        <v>6</v>
      </c>
      <c r="L7337" t="s">
        <v>2709</v>
      </c>
      <c r="M7337">
        <v>74032100</v>
      </c>
      <c r="O7337" t="s">
        <v>19447</v>
      </c>
      <c r="P7337" t="s">
        <v>19899</v>
      </c>
      <c r="Q7337" t="s">
        <v>19900</v>
      </c>
      <c r="R7337" t="s">
        <v>19905</v>
      </c>
      <c r="S7337" t="s">
        <v>19906</v>
      </c>
      <c r="T7337" t="s">
        <v>19907</v>
      </c>
    </row>
    <row r="7338" spans="2:20" x14ac:dyDescent="0.25">
      <c r="B7338" t="s">
        <v>2709</v>
      </c>
      <c r="C7338">
        <v>74032200</v>
      </c>
      <c r="E7338" t="s">
        <v>19447</v>
      </c>
      <c r="F7338">
        <v>18</v>
      </c>
      <c r="G7338">
        <v>0</v>
      </c>
      <c r="H7338">
        <v>7.6</v>
      </c>
      <c r="I7338">
        <v>1.65</v>
      </c>
      <c r="J7338">
        <v>6</v>
      </c>
      <c r="L7338" t="s">
        <v>2709</v>
      </c>
      <c r="M7338">
        <v>74032200</v>
      </c>
      <c r="O7338" t="s">
        <v>19447</v>
      </c>
      <c r="P7338" t="s">
        <v>19899</v>
      </c>
      <c r="Q7338" t="s">
        <v>19900</v>
      </c>
      <c r="R7338" t="s">
        <v>19905</v>
      </c>
      <c r="S7338" t="s">
        <v>19906</v>
      </c>
      <c r="T7338" t="s">
        <v>19907</v>
      </c>
    </row>
    <row r="7339" spans="2:20" x14ac:dyDescent="0.25">
      <c r="B7339" t="s">
        <v>2709</v>
      </c>
      <c r="C7339">
        <v>74032900</v>
      </c>
      <c r="E7339" t="s">
        <v>19447</v>
      </c>
      <c r="F7339">
        <v>18</v>
      </c>
      <c r="G7339">
        <v>0</v>
      </c>
      <c r="H7339">
        <v>7.6</v>
      </c>
      <c r="I7339">
        <v>1.65</v>
      </c>
      <c r="J7339">
        <v>6</v>
      </c>
      <c r="L7339" t="s">
        <v>2709</v>
      </c>
      <c r="M7339">
        <v>74032900</v>
      </c>
      <c r="O7339" t="s">
        <v>19447</v>
      </c>
      <c r="P7339" t="s">
        <v>19899</v>
      </c>
      <c r="Q7339" t="s">
        <v>19900</v>
      </c>
      <c r="R7339" t="s">
        <v>19905</v>
      </c>
      <c r="S7339" t="s">
        <v>19906</v>
      </c>
      <c r="T7339" t="s">
        <v>19907</v>
      </c>
    </row>
    <row r="7340" spans="2:20" x14ac:dyDescent="0.25">
      <c r="B7340" t="s">
        <v>2709</v>
      </c>
      <c r="C7340">
        <v>74040000</v>
      </c>
      <c r="E7340" t="s">
        <v>19447</v>
      </c>
      <c r="F7340">
        <v>18</v>
      </c>
      <c r="G7340">
        <v>0</v>
      </c>
      <c r="H7340" t="s">
        <v>19447</v>
      </c>
      <c r="I7340" t="s">
        <v>19447</v>
      </c>
      <c r="J7340">
        <v>2</v>
      </c>
      <c r="L7340" t="s">
        <v>2709</v>
      </c>
      <c r="M7340">
        <v>74040000</v>
      </c>
      <c r="O7340" t="s">
        <v>19447</v>
      </c>
      <c r="P7340" t="s">
        <v>19899</v>
      </c>
      <c r="Q7340" t="s">
        <v>19900</v>
      </c>
      <c r="R7340" t="s">
        <v>19447</v>
      </c>
      <c r="S7340" t="s">
        <v>19447</v>
      </c>
      <c r="T7340" t="s">
        <v>19901</v>
      </c>
    </row>
    <row r="7341" spans="2:20" x14ac:dyDescent="0.25">
      <c r="B7341" t="s">
        <v>2709</v>
      </c>
      <c r="C7341">
        <v>74050000</v>
      </c>
      <c r="E7341" t="s">
        <v>19447</v>
      </c>
      <c r="F7341">
        <v>18</v>
      </c>
      <c r="G7341">
        <v>0</v>
      </c>
      <c r="H7341" t="s">
        <v>19447</v>
      </c>
      <c r="I7341" t="s">
        <v>19447</v>
      </c>
      <c r="J7341">
        <v>6</v>
      </c>
      <c r="L7341" t="s">
        <v>2709</v>
      </c>
      <c r="M7341">
        <v>74050000</v>
      </c>
      <c r="O7341" t="s">
        <v>19447</v>
      </c>
      <c r="P7341" t="s">
        <v>19899</v>
      </c>
      <c r="Q7341" t="s">
        <v>19900</v>
      </c>
      <c r="R7341" t="s">
        <v>19447</v>
      </c>
      <c r="S7341" t="s">
        <v>19447</v>
      </c>
      <c r="T7341" t="s">
        <v>19907</v>
      </c>
    </row>
    <row r="7342" spans="2:20" x14ac:dyDescent="0.25">
      <c r="B7342" t="s">
        <v>2709</v>
      </c>
      <c r="C7342">
        <v>74061000</v>
      </c>
      <c r="E7342" t="s">
        <v>19447</v>
      </c>
      <c r="F7342">
        <v>18</v>
      </c>
      <c r="G7342">
        <v>0</v>
      </c>
      <c r="H7342">
        <v>7.6</v>
      </c>
      <c r="I7342">
        <v>1.65</v>
      </c>
      <c r="J7342">
        <v>6</v>
      </c>
      <c r="L7342" t="s">
        <v>2709</v>
      </c>
      <c r="M7342">
        <v>74061000</v>
      </c>
      <c r="O7342" t="s">
        <v>19447</v>
      </c>
      <c r="P7342" t="s">
        <v>19899</v>
      </c>
      <c r="Q7342" t="s">
        <v>19900</v>
      </c>
      <c r="R7342" t="s">
        <v>19905</v>
      </c>
      <c r="S7342" t="s">
        <v>19906</v>
      </c>
      <c r="T7342" t="s">
        <v>19907</v>
      </c>
    </row>
    <row r="7343" spans="2:20" x14ac:dyDescent="0.25">
      <c r="B7343" t="s">
        <v>2709</v>
      </c>
      <c r="C7343">
        <v>74062000</v>
      </c>
      <c r="E7343" t="s">
        <v>19447</v>
      </c>
      <c r="F7343">
        <v>18</v>
      </c>
      <c r="G7343">
        <v>0</v>
      </c>
      <c r="H7343">
        <v>7.6</v>
      </c>
      <c r="I7343">
        <v>1.65</v>
      </c>
      <c r="J7343">
        <v>6</v>
      </c>
      <c r="L7343" t="s">
        <v>2709</v>
      </c>
      <c r="M7343">
        <v>74062000</v>
      </c>
      <c r="O7343" t="s">
        <v>19447</v>
      </c>
      <c r="P7343" t="s">
        <v>19899</v>
      </c>
      <c r="Q7343" t="s">
        <v>19900</v>
      </c>
      <c r="R7343" t="s">
        <v>19905</v>
      </c>
      <c r="S7343" t="s">
        <v>19906</v>
      </c>
      <c r="T7343" t="s">
        <v>19907</v>
      </c>
    </row>
    <row r="7344" spans="2:20" x14ac:dyDescent="0.25">
      <c r="B7344" t="s">
        <v>2709</v>
      </c>
      <c r="C7344">
        <v>74071010</v>
      </c>
      <c r="E7344" t="s">
        <v>19447</v>
      </c>
      <c r="F7344">
        <v>18</v>
      </c>
      <c r="G7344">
        <v>5</v>
      </c>
      <c r="H7344" t="s">
        <v>19447</v>
      </c>
      <c r="I7344" t="s">
        <v>19447</v>
      </c>
      <c r="J7344">
        <v>12</v>
      </c>
      <c r="L7344" t="s">
        <v>2709</v>
      </c>
      <c r="M7344">
        <v>74071010</v>
      </c>
      <c r="O7344" t="s">
        <v>19447</v>
      </c>
      <c r="P7344" t="s">
        <v>19899</v>
      </c>
      <c r="Q7344" t="s">
        <v>19909</v>
      </c>
      <c r="R7344" t="s">
        <v>19447</v>
      </c>
      <c r="S7344" t="s">
        <v>19447</v>
      </c>
      <c r="T7344" t="s">
        <v>19903</v>
      </c>
    </row>
    <row r="7345" spans="2:20" x14ac:dyDescent="0.25">
      <c r="B7345" t="s">
        <v>2709</v>
      </c>
      <c r="C7345">
        <v>74071021</v>
      </c>
      <c r="E7345" t="s">
        <v>19447</v>
      </c>
      <c r="F7345">
        <v>18</v>
      </c>
      <c r="G7345">
        <v>5</v>
      </c>
      <c r="H7345">
        <v>7.6</v>
      </c>
      <c r="I7345">
        <v>1.65</v>
      </c>
      <c r="J7345">
        <v>12</v>
      </c>
      <c r="L7345" t="s">
        <v>2709</v>
      </c>
      <c r="M7345">
        <v>74071021</v>
      </c>
      <c r="O7345" t="s">
        <v>19447</v>
      </c>
      <c r="P7345" t="s">
        <v>19899</v>
      </c>
      <c r="Q7345" t="s">
        <v>19909</v>
      </c>
      <c r="R7345" t="s">
        <v>19905</v>
      </c>
      <c r="S7345" t="s">
        <v>19906</v>
      </c>
      <c r="T7345" t="s">
        <v>19903</v>
      </c>
    </row>
    <row r="7346" spans="2:20" x14ac:dyDescent="0.25">
      <c r="B7346" t="s">
        <v>2709</v>
      </c>
      <c r="C7346">
        <v>74071029</v>
      </c>
      <c r="E7346" t="s">
        <v>19447</v>
      </c>
      <c r="F7346">
        <v>18</v>
      </c>
      <c r="G7346">
        <v>5</v>
      </c>
      <c r="H7346">
        <v>7.6</v>
      </c>
      <c r="I7346">
        <v>1.65</v>
      </c>
      <c r="J7346">
        <v>12</v>
      </c>
      <c r="L7346" t="s">
        <v>2709</v>
      </c>
      <c r="M7346">
        <v>74071029</v>
      </c>
      <c r="O7346" t="s">
        <v>19447</v>
      </c>
      <c r="P7346" t="s">
        <v>19899</v>
      </c>
      <c r="Q7346" t="s">
        <v>19909</v>
      </c>
      <c r="R7346" t="s">
        <v>19905</v>
      </c>
      <c r="S7346" t="s">
        <v>19906</v>
      </c>
      <c r="T7346" t="s">
        <v>19903</v>
      </c>
    </row>
    <row r="7347" spans="2:20" x14ac:dyDescent="0.25">
      <c r="B7347" t="s">
        <v>2709</v>
      </c>
      <c r="C7347">
        <v>74072110</v>
      </c>
      <c r="E7347" t="s">
        <v>19447</v>
      </c>
      <c r="F7347">
        <v>18</v>
      </c>
      <c r="G7347">
        <v>5</v>
      </c>
      <c r="H7347" t="s">
        <v>19447</v>
      </c>
      <c r="I7347" t="s">
        <v>19447</v>
      </c>
      <c r="J7347">
        <v>12</v>
      </c>
      <c r="L7347" t="s">
        <v>2709</v>
      </c>
      <c r="M7347">
        <v>74072110</v>
      </c>
      <c r="O7347" t="s">
        <v>19447</v>
      </c>
      <c r="P7347" t="s">
        <v>19899</v>
      </c>
      <c r="Q7347" t="s">
        <v>19909</v>
      </c>
      <c r="R7347" t="s">
        <v>19447</v>
      </c>
      <c r="S7347" t="s">
        <v>19447</v>
      </c>
      <c r="T7347" t="s">
        <v>19903</v>
      </c>
    </row>
    <row r="7348" spans="2:20" x14ac:dyDescent="0.25">
      <c r="B7348" t="s">
        <v>2709</v>
      </c>
      <c r="C7348">
        <v>74072120</v>
      </c>
      <c r="E7348" t="s">
        <v>19447</v>
      </c>
      <c r="F7348">
        <v>18</v>
      </c>
      <c r="G7348">
        <v>5</v>
      </c>
      <c r="H7348">
        <v>7.6</v>
      </c>
      <c r="I7348">
        <v>1.65</v>
      </c>
      <c r="J7348">
        <v>12</v>
      </c>
      <c r="L7348" t="s">
        <v>2709</v>
      </c>
      <c r="M7348">
        <v>74072120</v>
      </c>
      <c r="O7348" t="s">
        <v>19447</v>
      </c>
      <c r="P7348" t="s">
        <v>19899</v>
      </c>
      <c r="Q7348" t="s">
        <v>19909</v>
      </c>
      <c r="R7348" t="s">
        <v>19905</v>
      </c>
      <c r="S7348" t="s">
        <v>19906</v>
      </c>
      <c r="T7348" t="s">
        <v>19903</v>
      </c>
    </row>
    <row r="7349" spans="2:20" x14ac:dyDescent="0.25">
      <c r="B7349" t="s">
        <v>2709</v>
      </c>
      <c r="C7349">
        <v>74072910</v>
      </c>
      <c r="E7349" t="s">
        <v>19447</v>
      </c>
      <c r="F7349">
        <v>18</v>
      </c>
      <c r="G7349">
        <v>5</v>
      </c>
      <c r="H7349">
        <v>7.6</v>
      </c>
      <c r="I7349">
        <v>1.65</v>
      </c>
      <c r="J7349">
        <v>12</v>
      </c>
      <c r="L7349" t="s">
        <v>2709</v>
      </c>
      <c r="M7349">
        <v>74072910</v>
      </c>
      <c r="O7349" t="s">
        <v>19447</v>
      </c>
      <c r="P7349" t="s">
        <v>19899</v>
      </c>
      <c r="Q7349" t="s">
        <v>19909</v>
      </c>
      <c r="R7349" t="s">
        <v>19905</v>
      </c>
      <c r="S7349" t="s">
        <v>19906</v>
      </c>
      <c r="T7349" t="s">
        <v>19903</v>
      </c>
    </row>
    <row r="7350" spans="2:20" x14ac:dyDescent="0.25">
      <c r="B7350" t="s">
        <v>2709</v>
      </c>
      <c r="C7350">
        <v>74072921</v>
      </c>
      <c r="E7350" t="s">
        <v>19447</v>
      </c>
      <c r="F7350">
        <v>18</v>
      </c>
      <c r="G7350">
        <v>5</v>
      </c>
      <c r="H7350">
        <v>7.6</v>
      </c>
      <c r="I7350">
        <v>1.65</v>
      </c>
      <c r="J7350">
        <v>12</v>
      </c>
      <c r="L7350" t="s">
        <v>2709</v>
      </c>
      <c r="M7350">
        <v>74072921</v>
      </c>
      <c r="O7350" t="s">
        <v>19447</v>
      </c>
      <c r="P7350" t="s">
        <v>19899</v>
      </c>
      <c r="Q7350" t="s">
        <v>19909</v>
      </c>
      <c r="R7350" t="s">
        <v>19905</v>
      </c>
      <c r="S7350" t="s">
        <v>19906</v>
      </c>
      <c r="T7350" t="s">
        <v>19903</v>
      </c>
    </row>
    <row r="7351" spans="2:20" x14ac:dyDescent="0.25">
      <c r="B7351" t="s">
        <v>2709</v>
      </c>
      <c r="C7351">
        <v>74072929</v>
      </c>
      <c r="E7351" t="s">
        <v>19447</v>
      </c>
      <c r="F7351">
        <v>18</v>
      </c>
      <c r="G7351">
        <v>5</v>
      </c>
      <c r="H7351">
        <v>7.6</v>
      </c>
      <c r="I7351">
        <v>1.65</v>
      </c>
      <c r="J7351">
        <v>12</v>
      </c>
      <c r="L7351" t="s">
        <v>2709</v>
      </c>
      <c r="M7351">
        <v>74072929</v>
      </c>
      <c r="O7351" t="s">
        <v>19447</v>
      </c>
      <c r="P7351" t="s">
        <v>19899</v>
      </c>
      <c r="Q7351" t="s">
        <v>19909</v>
      </c>
      <c r="R7351" t="s">
        <v>19905</v>
      </c>
      <c r="S7351" t="s">
        <v>19906</v>
      </c>
      <c r="T7351" t="s">
        <v>19903</v>
      </c>
    </row>
    <row r="7352" spans="2:20" x14ac:dyDescent="0.25">
      <c r="B7352" t="s">
        <v>2709</v>
      </c>
      <c r="C7352">
        <v>74081100</v>
      </c>
      <c r="E7352" t="s">
        <v>19447</v>
      </c>
      <c r="F7352">
        <v>18</v>
      </c>
      <c r="G7352">
        <v>0</v>
      </c>
      <c r="H7352">
        <v>7.6</v>
      </c>
      <c r="I7352">
        <v>1.65</v>
      </c>
      <c r="J7352">
        <v>10</v>
      </c>
      <c r="L7352" t="s">
        <v>2709</v>
      </c>
      <c r="M7352">
        <v>74081100</v>
      </c>
      <c r="O7352" t="s">
        <v>19447</v>
      </c>
      <c r="P7352" t="s">
        <v>19899</v>
      </c>
      <c r="Q7352" t="s">
        <v>19900</v>
      </c>
      <c r="R7352" t="s">
        <v>19905</v>
      </c>
      <c r="S7352" t="s">
        <v>19906</v>
      </c>
      <c r="T7352" t="s">
        <v>19904</v>
      </c>
    </row>
    <row r="7353" spans="2:20" x14ac:dyDescent="0.25">
      <c r="B7353" t="s">
        <v>2709</v>
      </c>
      <c r="C7353">
        <v>74081900</v>
      </c>
      <c r="E7353" t="s">
        <v>19447</v>
      </c>
      <c r="F7353">
        <v>18</v>
      </c>
      <c r="G7353">
        <v>0</v>
      </c>
      <c r="H7353">
        <v>7.6</v>
      </c>
      <c r="I7353">
        <v>1.65</v>
      </c>
      <c r="J7353">
        <v>12</v>
      </c>
      <c r="L7353" t="s">
        <v>2709</v>
      </c>
      <c r="M7353">
        <v>74081900</v>
      </c>
      <c r="O7353" t="s">
        <v>19447</v>
      </c>
      <c r="P7353" t="s">
        <v>19899</v>
      </c>
      <c r="Q7353" t="s">
        <v>19900</v>
      </c>
      <c r="R7353" t="s">
        <v>19905</v>
      </c>
      <c r="S7353" t="s">
        <v>19906</v>
      </c>
      <c r="T7353" t="s">
        <v>19903</v>
      </c>
    </row>
    <row r="7354" spans="2:20" x14ac:dyDescent="0.25">
      <c r="B7354" t="s">
        <v>2709</v>
      </c>
      <c r="C7354">
        <v>74082100</v>
      </c>
      <c r="E7354" t="s">
        <v>19447</v>
      </c>
      <c r="F7354">
        <v>18</v>
      </c>
      <c r="G7354">
        <v>5</v>
      </c>
      <c r="H7354">
        <v>7.6</v>
      </c>
      <c r="I7354">
        <v>1.65</v>
      </c>
      <c r="J7354">
        <v>12</v>
      </c>
      <c r="L7354" t="s">
        <v>2709</v>
      </c>
      <c r="M7354">
        <v>74082100</v>
      </c>
      <c r="O7354" t="s">
        <v>19447</v>
      </c>
      <c r="P7354" t="s">
        <v>19899</v>
      </c>
      <c r="Q7354" t="s">
        <v>19909</v>
      </c>
      <c r="R7354" t="s">
        <v>19905</v>
      </c>
      <c r="S7354" t="s">
        <v>19906</v>
      </c>
      <c r="T7354" t="s">
        <v>19903</v>
      </c>
    </row>
    <row r="7355" spans="2:20" x14ac:dyDescent="0.25">
      <c r="B7355" t="s">
        <v>2709</v>
      </c>
      <c r="C7355">
        <v>74082200</v>
      </c>
      <c r="E7355" t="s">
        <v>19447</v>
      </c>
      <c r="F7355">
        <v>18</v>
      </c>
      <c r="G7355">
        <v>5</v>
      </c>
      <c r="H7355">
        <v>7.6</v>
      </c>
      <c r="I7355">
        <v>1.65</v>
      </c>
      <c r="J7355">
        <v>12</v>
      </c>
      <c r="L7355" t="s">
        <v>2709</v>
      </c>
      <c r="M7355">
        <v>74082200</v>
      </c>
      <c r="O7355" t="s">
        <v>19447</v>
      </c>
      <c r="P7355" t="s">
        <v>19899</v>
      </c>
      <c r="Q7355" t="s">
        <v>19909</v>
      </c>
      <c r="R7355" t="s">
        <v>19905</v>
      </c>
      <c r="S7355" t="s">
        <v>19906</v>
      </c>
      <c r="T7355" t="s">
        <v>19903</v>
      </c>
    </row>
    <row r="7356" spans="2:20" x14ac:dyDescent="0.25">
      <c r="B7356" t="s">
        <v>2709</v>
      </c>
      <c r="C7356">
        <v>74082911</v>
      </c>
      <c r="E7356" t="s">
        <v>19447</v>
      </c>
      <c r="F7356">
        <v>18</v>
      </c>
      <c r="G7356">
        <v>5</v>
      </c>
      <c r="H7356">
        <v>7.6</v>
      </c>
      <c r="I7356">
        <v>1.65</v>
      </c>
      <c r="J7356">
        <v>12</v>
      </c>
      <c r="L7356" t="s">
        <v>2709</v>
      </c>
      <c r="M7356">
        <v>74082911</v>
      </c>
      <c r="O7356" t="s">
        <v>19447</v>
      </c>
      <c r="P7356" t="s">
        <v>19899</v>
      </c>
      <c r="Q7356" t="s">
        <v>19909</v>
      </c>
      <c r="R7356" t="s">
        <v>19905</v>
      </c>
      <c r="S7356" t="s">
        <v>19906</v>
      </c>
      <c r="T7356" t="s">
        <v>19903</v>
      </c>
    </row>
    <row r="7357" spans="2:20" x14ac:dyDescent="0.25">
      <c r="B7357" t="s">
        <v>2709</v>
      </c>
      <c r="C7357">
        <v>74082919</v>
      </c>
      <c r="E7357" t="s">
        <v>19447</v>
      </c>
      <c r="F7357">
        <v>18</v>
      </c>
      <c r="G7357">
        <v>5</v>
      </c>
      <c r="H7357">
        <v>7.6</v>
      </c>
      <c r="I7357">
        <v>1.65</v>
      </c>
      <c r="J7357">
        <v>12</v>
      </c>
      <c r="L7357" t="s">
        <v>2709</v>
      </c>
      <c r="M7357">
        <v>74082919</v>
      </c>
      <c r="O7357" t="s">
        <v>19447</v>
      </c>
      <c r="P7357" t="s">
        <v>19899</v>
      </c>
      <c r="Q7357" t="s">
        <v>19909</v>
      </c>
      <c r="R7357" t="s">
        <v>19905</v>
      </c>
      <c r="S7357" t="s">
        <v>19906</v>
      </c>
      <c r="T7357" t="s">
        <v>19903</v>
      </c>
    </row>
    <row r="7358" spans="2:20" x14ac:dyDescent="0.25">
      <c r="B7358" t="s">
        <v>2709</v>
      </c>
      <c r="C7358">
        <v>74082990</v>
      </c>
      <c r="E7358" t="s">
        <v>19447</v>
      </c>
      <c r="F7358">
        <v>18</v>
      </c>
      <c r="G7358">
        <v>5</v>
      </c>
      <c r="H7358">
        <v>7.6</v>
      </c>
      <c r="I7358">
        <v>1.65</v>
      </c>
      <c r="J7358">
        <v>12</v>
      </c>
      <c r="L7358" t="s">
        <v>2709</v>
      </c>
      <c r="M7358">
        <v>74082990</v>
      </c>
      <c r="O7358" t="s">
        <v>19447</v>
      </c>
      <c r="P7358" t="s">
        <v>19899</v>
      </c>
      <c r="Q7358" t="s">
        <v>19909</v>
      </c>
      <c r="R7358" t="s">
        <v>19905</v>
      </c>
      <c r="S7358" t="s">
        <v>19906</v>
      </c>
      <c r="T7358" t="s">
        <v>19903</v>
      </c>
    </row>
    <row r="7359" spans="2:20" x14ac:dyDescent="0.25">
      <c r="B7359" t="s">
        <v>2709</v>
      </c>
      <c r="C7359">
        <v>74091100</v>
      </c>
      <c r="E7359" t="s">
        <v>19447</v>
      </c>
      <c r="F7359">
        <v>12</v>
      </c>
      <c r="G7359">
        <v>5</v>
      </c>
      <c r="H7359" t="s">
        <v>19447</v>
      </c>
      <c r="I7359" t="s">
        <v>19447</v>
      </c>
      <c r="J7359">
        <v>12</v>
      </c>
      <c r="L7359" t="s">
        <v>2709</v>
      </c>
      <c r="M7359">
        <v>74091100</v>
      </c>
      <c r="O7359" t="s">
        <v>19447</v>
      </c>
      <c r="P7359" t="s">
        <v>19903</v>
      </c>
      <c r="Q7359" t="s">
        <v>19909</v>
      </c>
      <c r="R7359" t="s">
        <v>19447</v>
      </c>
      <c r="S7359" t="s">
        <v>19447</v>
      </c>
      <c r="T7359" t="s">
        <v>19903</v>
      </c>
    </row>
    <row r="7360" spans="2:20" x14ac:dyDescent="0.25">
      <c r="B7360" t="s">
        <v>2709</v>
      </c>
      <c r="C7360">
        <v>74091900</v>
      </c>
      <c r="E7360" t="s">
        <v>19447</v>
      </c>
      <c r="F7360">
        <v>12</v>
      </c>
      <c r="G7360">
        <v>5</v>
      </c>
      <c r="H7360" t="s">
        <v>19447</v>
      </c>
      <c r="I7360" t="s">
        <v>19447</v>
      </c>
      <c r="J7360">
        <v>12</v>
      </c>
      <c r="L7360" t="s">
        <v>2709</v>
      </c>
      <c r="M7360">
        <v>74091900</v>
      </c>
      <c r="O7360" t="s">
        <v>19447</v>
      </c>
      <c r="P7360" t="s">
        <v>19903</v>
      </c>
      <c r="Q7360" t="s">
        <v>19909</v>
      </c>
      <c r="R7360" t="s">
        <v>19447</v>
      </c>
      <c r="S7360" t="s">
        <v>19447</v>
      </c>
      <c r="T7360" t="s">
        <v>19903</v>
      </c>
    </row>
    <row r="7361" spans="2:20" x14ac:dyDescent="0.25">
      <c r="B7361" t="s">
        <v>2709</v>
      </c>
      <c r="C7361">
        <v>74092100</v>
      </c>
      <c r="E7361" t="s">
        <v>19447</v>
      </c>
      <c r="F7361">
        <v>12</v>
      </c>
      <c r="G7361">
        <v>5</v>
      </c>
      <c r="H7361" t="s">
        <v>19447</v>
      </c>
      <c r="I7361" t="s">
        <v>19447</v>
      </c>
      <c r="J7361">
        <v>12</v>
      </c>
      <c r="L7361" t="s">
        <v>2709</v>
      </c>
      <c r="M7361">
        <v>74092100</v>
      </c>
      <c r="O7361" t="s">
        <v>19447</v>
      </c>
      <c r="P7361" t="s">
        <v>19903</v>
      </c>
      <c r="Q7361" t="s">
        <v>19909</v>
      </c>
      <c r="R7361" t="s">
        <v>19447</v>
      </c>
      <c r="S7361" t="s">
        <v>19447</v>
      </c>
      <c r="T7361" t="s">
        <v>19903</v>
      </c>
    </row>
    <row r="7362" spans="2:20" x14ac:dyDescent="0.25">
      <c r="B7362" t="s">
        <v>2709</v>
      </c>
      <c r="C7362">
        <v>74092900</v>
      </c>
      <c r="E7362" t="s">
        <v>19447</v>
      </c>
      <c r="F7362">
        <v>12</v>
      </c>
      <c r="G7362">
        <v>5</v>
      </c>
      <c r="H7362" t="s">
        <v>19447</v>
      </c>
      <c r="I7362" t="s">
        <v>19447</v>
      </c>
      <c r="J7362">
        <v>12</v>
      </c>
      <c r="L7362" t="s">
        <v>2709</v>
      </c>
      <c r="M7362">
        <v>74092900</v>
      </c>
      <c r="O7362" t="s">
        <v>19447</v>
      </c>
      <c r="P7362" t="s">
        <v>19903</v>
      </c>
      <c r="Q7362" t="s">
        <v>19909</v>
      </c>
      <c r="R7362" t="s">
        <v>19447</v>
      </c>
      <c r="S7362" t="s">
        <v>19447</v>
      </c>
      <c r="T7362" t="s">
        <v>19903</v>
      </c>
    </row>
    <row r="7363" spans="2:20" x14ac:dyDescent="0.25">
      <c r="B7363" t="s">
        <v>2709</v>
      </c>
      <c r="C7363">
        <v>74093111</v>
      </c>
      <c r="E7363" t="s">
        <v>19447</v>
      </c>
      <c r="F7363">
        <v>18</v>
      </c>
      <c r="G7363">
        <v>5</v>
      </c>
      <c r="H7363">
        <v>7.6</v>
      </c>
      <c r="I7363">
        <v>1.65</v>
      </c>
      <c r="J7363">
        <v>2</v>
      </c>
      <c r="L7363" t="s">
        <v>2709</v>
      </c>
      <c r="M7363">
        <v>74093111</v>
      </c>
      <c r="O7363" t="s">
        <v>19447</v>
      </c>
      <c r="P7363" t="s">
        <v>19899</v>
      </c>
      <c r="Q7363" t="s">
        <v>19909</v>
      </c>
      <c r="R7363" t="s">
        <v>19905</v>
      </c>
      <c r="S7363" t="s">
        <v>19906</v>
      </c>
      <c r="T7363" t="s">
        <v>19901</v>
      </c>
    </row>
    <row r="7364" spans="2:20" x14ac:dyDescent="0.25">
      <c r="B7364" t="s">
        <v>2709</v>
      </c>
      <c r="C7364">
        <v>74093119</v>
      </c>
      <c r="E7364" t="s">
        <v>19447</v>
      </c>
      <c r="F7364">
        <v>18</v>
      </c>
      <c r="G7364">
        <v>5</v>
      </c>
      <c r="H7364">
        <v>7.6</v>
      </c>
      <c r="I7364">
        <v>1.65</v>
      </c>
      <c r="J7364">
        <v>12</v>
      </c>
      <c r="L7364" t="s">
        <v>2709</v>
      </c>
      <c r="M7364">
        <v>74093119</v>
      </c>
      <c r="O7364" t="s">
        <v>19447</v>
      </c>
      <c r="P7364" t="s">
        <v>19899</v>
      </c>
      <c r="Q7364" t="s">
        <v>19909</v>
      </c>
      <c r="R7364" t="s">
        <v>19905</v>
      </c>
      <c r="S7364" t="s">
        <v>19906</v>
      </c>
      <c r="T7364" t="s">
        <v>19903</v>
      </c>
    </row>
    <row r="7365" spans="2:20" x14ac:dyDescent="0.25">
      <c r="B7365" t="s">
        <v>2709</v>
      </c>
      <c r="C7365">
        <v>74093190</v>
      </c>
      <c r="E7365" t="s">
        <v>19447</v>
      </c>
      <c r="F7365">
        <v>12</v>
      </c>
      <c r="G7365">
        <v>5</v>
      </c>
      <c r="H7365">
        <v>7.6</v>
      </c>
      <c r="I7365">
        <v>1.65</v>
      </c>
      <c r="J7365">
        <v>12</v>
      </c>
      <c r="L7365" t="s">
        <v>2709</v>
      </c>
      <c r="M7365">
        <v>74093190</v>
      </c>
      <c r="O7365" t="s">
        <v>19447</v>
      </c>
      <c r="P7365" t="s">
        <v>19903</v>
      </c>
      <c r="Q7365" t="s">
        <v>19909</v>
      </c>
      <c r="R7365" t="s">
        <v>19905</v>
      </c>
      <c r="S7365" t="s">
        <v>19906</v>
      </c>
      <c r="T7365" t="s">
        <v>19903</v>
      </c>
    </row>
    <row r="7366" spans="2:20" x14ac:dyDescent="0.25">
      <c r="B7366" t="s">
        <v>2709</v>
      </c>
      <c r="C7366">
        <v>74093900</v>
      </c>
      <c r="E7366" t="s">
        <v>19447</v>
      </c>
      <c r="F7366">
        <v>12</v>
      </c>
      <c r="G7366">
        <v>5</v>
      </c>
      <c r="H7366">
        <v>7.6</v>
      </c>
      <c r="I7366">
        <v>1.65</v>
      </c>
      <c r="J7366">
        <v>12</v>
      </c>
      <c r="L7366" t="s">
        <v>2709</v>
      </c>
      <c r="M7366">
        <v>74093900</v>
      </c>
      <c r="O7366" t="s">
        <v>19447</v>
      </c>
      <c r="P7366" t="s">
        <v>19903</v>
      </c>
      <c r="Q7366" t="s">
        <v>19909</v>
      </c>
      <c r="R7366" t="s">
        <v>19905</v>
      </c>
      <c r="S7366" t="s">
        <v>19906</v>
      </c>
      <c r="T7366" t="s">
        <v>19903</v>
      </c>
    </row>
    <row r="7367" spans="2:20" x14ac:dyDescent="0.25">
      <c r="B7367" t="s">
        <v>2709</v>
      </c>
      <c r="C7367">
        <v>74094010</v>
      </c>
      <c r="E7367" t="s">
        <v>19447</v>
      </c>
      <c r="F7367">
        <v>12</v>
      </c>
      <c r="G7367">
        <v>5</v>
      </c>
      <c r="H7367">
        <v>7.6</v>
      </c>
      <c r="I7367">
        <v>1.65</v>
      </c>
      <c r="J7367">
        <v>12</v>
      </c>
      <c r="L7367" t="s">
        <v>2709</v>
      </c>
      <c r="M7367">
        <v>74094010</v>
      </c>
      <c r="O7367" t="s">
        <v>19447</v>
      </c>
      <c r="P7367" t="s">
        <v>19903</v>
      </c>
      <c r="Q7367" t="s">
        <v>19909</v>
      </c>
      <c r="R7367" t="s">
        <v>19905</v>
      </c>
      <c r="S7367" t="s">
        <v>19906</v>
      </c>
      <c r="T7367" t="s">
        <v>19903</v>
      </c>
    </row>
    <row r="7368" spans="2:20" x14ac:dyDescent="0.25">
      <c r="B7368" t="s">
        <v>2709</v>
      </c>
      <c r="C7368">
        <v>74094090</v>
      </c>
      <c r="E7368" t="s">
        <v>19447</v>
      </c>
      <c r="F7368">
        <v>12</v>
      </c>
      <c r="G7368">
        <v>5</v>
      </c>
      <c r="H7368">
        <v>7.6</v>
      </c>
      <c r="I7368">
        <v>1.65</v>
      </c>
      <c r="J7368">
        <v>12</v>
      </c>
      <c r="L7368" t="s">
        <v>2709</v>
      </c>
      <c r="M7368">
        <v>74094090</v>
      </c>
      <c r="O7368" t="s">
        <v>19447</v>
      </c>
      <c r="P7368" t="s">
        <v>19903</v>
      </c>
      <c r="Q7368" t="s">
        <v>19909</v>
      </c>
      <c r="R7368" t="s">
        <v>19905</v>
      </c>
      <c r="S7368" t="s">
        <v>19906</v>
      </c>
      <c r="T7368" t="s">
        <v>19903</v>
      </c>
    </row>
    <row r="7369" spans="2:20" x14ac:dyDescent="0.25">
      <c r="B7369" t="s">
        <v>2709</v>
      </c>
      <c r="C7369">
        <v>74099000</v>
      </c>
      <c r="E7369" t="s">
        <v>19447</v>
      </c>
      <c r="F7369">
        <v>18</v>
      </c>
      <c r="G7369">
        <v>5</v>
      </c>
      <c r="H7369">
        <v>7.6</v>
      </c>
      <c r="I7369">
        <v>1.65</v>
      </c>
      <c r="J7369">
        <v>12</v>
      </c>
      <c r="L7369" t="s">
        <v>2709</v>
      </c>
      <c r="M7369">
        <v>74099000</v>
      </c>
      <c r="O7369" t="s">
        <v>19447</v>
      </c>
      <c r="P7369" t="s">
        <v>19899</v>
      </c>
      <c r="Q7369" t="s">
        <v>19909</v>
      </c>
      <c r="R7369" t="s">
        <v>19905</v>
      </c>
      <c r="S7369" t="s">
        <v>19906</v>
      </c>
      <c r="T7369" t="s">
        <v>19903</v>
      </c>
    </row>
    <row r="7370" spans="2:20" x14ac:dyDescent="0.25">
      <c r="B7370" t="s">
        <v>2709</v>
      </c>
      <c r="C7370">
        <v>74101112</v>
      </c>
      <c r="E7370" t="s">
        <v>19447</v>
      </c>
      <c r="F7370">
        <v>18</v>
      </c>
      <c r="G7370">
        <v>5</v>
      </c>
      <c r="H7370">
        <v>7.6</v>
      </c>
      <c r="I7370">
        <v>1.65</v>
      </c>
      <c r="J7370">
        <v>0</v>
      </c>
      <c r="L7370" t="s">
        <v>2709</v>
      </c>
      <c r="M7370">
        <v>74101112</v>
      </c>
      <c r="O7370" t="s">
        <v>19447</v>
      </c>
      <c r="P7370" t="s">
        <v>19899</v>
      </c>
      <c r="Q7370" t="s">
        <v>19909</v>
      </c>
      <c r="R7370" t="s">
        <v>19905</v>
      </c>
      <c r="S7370" t="s">
        <v>19906</v>
      </c>
      <c r="T7370" t="s">
        <v>19900</v>
      </c>
    </row>
    <row r="7371" spans="2:20" x14ac:dyDescent="0.25">
      <c r="B7371" t="s">
        <v>2709</v>
      </c>
      <c r="C7371">
        <v>74101113</v>
      </c>
      <c r="E7371" t="s">
        <v>19447</v>
      </c>
      <c r="F7371">
        <v>12</v>
      </c>
      <c r="G7371">
        <v>5</v>
      </c>
      <c r="H7371">
        <v>7.6</v>
      </c>
      <c r="I7371">
        <v>1.65</v>
      </c>
      <c r="J7371">
        <v>12</v>
      </c>
      <c r="L7371" t="s">
        <v>2709</v>
      </c>
      <c r="M7371">
        <v>74101113</v>
      </c>
      <c r="O7371" t="s">
        <v>19447</v>
      </c>
      <c r="P7371" t="s">
        <v>19903</v>
      </c>
      <c r="Q7371" t="s">
        <v>19909</v>
      </c>
      <c r="R7371" t="s">
        <v>19905</v>
      </c>
      <c r="S7371" t="s">
        <v>19906</v>
      </c>
      <c r="T7371" t="s">
        <v>19903</v>
      </c>
    </row>
    <row r="7372" spans="2:20" x14ac:dyDescent="0.25">
      <c r="B7372" t="s">
        <v>2709</v>
      </c>
      <c r="C7372">
        <v>74101119</v>
      </c>
      <c r="E7372" t="s">
        <v>19447</v>
      </c>
      <c r="F7372">
        <v>12</v>
      </c>
      <c r="G7372">
        <v>5</v>
      </c>
      <c r="H7372">
        <v>7.6</v>
      </c>
      <c r="I7372">
        <v>1.65</v>
      </c>
      <c r="J7372">
        <v>12</v>
      </c>
      <c r="L7372" t="s">
        <v>2709</v>
      </c>
      <c r="M7372">
        <v>74101119</v>
      </c>
      <c r="O7372" t="s">
        <v>19447</v>
      </c>
      <c r="P7372" t="s">
        <v>19903</v>
      </c>
      <c r="Q7372" t="s">
        <v>19909</v>
      </c>
      <c r="R7372" t="s">
        <v>19905</v>
      </c>
      <c r="S7372" t="s">
        <v>19906</v>
      </c>
      <c r="T7372" t="s">
        <v>19903</v>
      </c>
    </row>
    <row r="7373" spans="2:20" x14ac:dyDescent="0.25">
      <c r="B7373" t="s">
        <v>2709</v>
      </c>
      <c r="C7373">
        <v>74101190</v>
      </c>
      <c r="E7373" t="s">
        <v>19447</v>
      </c>
      <c r="F7373">
        <v>12</v>
      </c>
      <c r="G7373">
        <v>5</v>
      </c>
      <c r="H7373">
        <v>7.6</v>
      </c>
      <c r="I7373">
        <v>1.65</v>
      </c>
      <c r="J7373">
        <v>12</v>
      </c>
      <c r="L7373" t="s">
        <v>2709</v>
      </c>
      <c r="M7373">
        <v>74101190</v>
      </c>
      <c r="O7373" t="s">
        <v>19447</v>
      </c>
      <c r="P7373" t="s">
        <v>19903</v>
      </c>
      <c r="Q7373" t="s">
        <v>19909</v>
      </c>
      <c r="R7373" t="s">
        <v>19905</v>
      </c>
      <c r="S7373" t="s">
        <v>19906</v>
      </c>
      <c r="T7373" t="s">
        <v>19903</v>
      </c>
    </row>
    <row r="7374" spans="2:20" x14ac:dyDescent="0.25">
      <c r="B7374" t="s">
        <v>2709</v>
      </c>
      <c r="C7374">
        <v>74101200</v>
      </c>
      <c r="E7374" t="s">
        <v>19447</v>
      </c>
      <c r="F7374">
        <v>12</v>
      </c>
      <c r="G7374">
        <v>5</v>
      </c>
      <c r="H7374">
        <v>7.6</v>
      </c>
      <c r="I7374">
        <v>1.65</v>
      </c>
      <c r="J7374">
        <v>12</v>
      </c>
      <c r="L7374" t="s">
        <v>2709</v>
      </c>
      <c r="M7374">
        <v>74101200</v>
      </c>
      <c r="O7374" t="s">
        <v>19447</v>
      </c>
      <c r="P7374" t="s">
        <v>19903</v>
      </c>
      <c r="Q7374" t="s">
        <v>19909</v>
      </c>
      <c r="R7374" t="s">
        <v>19905</v>
      </c>
      <c r="S7374" t="s">
        <v>19906</v>
      </c>
      <c r="T7374" t="s">
        <v>19903</v>
      </c>
    </row>
    <row r="7375" spans="2:20" x14ac:dyDescent="0.25">
      <c r="B7375" t="s">
        <v>2709</v>
      </c>
      <c r="C7375">
        <v>74102110</v>
      </c>
      <c r="E7375" t="s">
        <v>19447</v>
      </c>
      <c r="F7375">
        <v>18</v>
      </c>
      <c r="G7375">
        <v>5</v>
      </c>
      <c r="H7375">
        <v>7.6</v>
      </c>
      <c r="I7375">
        <v>1.65</v>
      </c>
      <c r="J7375">
        <v>4</v>
      </c>
      <c r="L7375" t="s">
        <v>2709</v>
      </c>
      <c r="M7375">
        <v>74102110</v>
      </c>
      <c r="O7375" t="s">
        <v>19447</v>
      </c>
      <c r="P7375" t="s">
        <v>19899</v>
      </c>
      <c r="Q7375" t="s">
        <v>19909</v>
      </c>
      <c r="R7375" t="s">
        <v>19905</v>
      </c>
      <c r="S7375" t="s">
        <v>19906</v>
      </c>
      <c r="T7375" t="s">
        <v>19902</v>
      </c>
    </row>
    <row r="7376" spans="2:20" x14ac:dyDescent="0.25">
      <c r="B7376" t="s">
        <v>2709</v>
      </c>
      <c r="C7376">
        <v>74102120</v>
      </c>
      <c r="E7376" t="s">
        <v>19447</v>
      </c>
      <c r="F7376">
        <v>18</v>
      </c>
      <c r="G7376">
        <v>5</v>
      </c>
      <c r="H7376">
        <v>7.6</v>
      </c>
      <c r="I7376">
        <v>1.65</v>
      </c>
      <c r="J7376">
        <v>0</v>
      </c>
      <c r="L7376" t="s">
        <v>2709</v>
      </c>
      <c r="M7376">
        <v>74102120</v>
      </c>
      <c r="O7376" t="s">
        <v>19447</v>
      </c>
      <c r="P7376" t="s">
        <v>19899</v>
      </c>
      <c r="Q7376" t="s">
        <v>19909</v>
      </c>
      <c r="R7376" t="s">
        <v>19905</v>
      </c>
      <c r="S7376" t="s">
        <v>19906</v>
      </c>
      <c r="T7376" t="s">
        <v>19900</v>
      </c>
    </row>
    <row r="7377" spans="2:20" x14ac:dyDescent="0.25">
      <c r="B7377" t="s">
        <v>2709</v>
      </c>
      <c r="C7377">
        <v>74102130</v>
      </c>
      <c r="E7377" t="s">
        <v>19447</v>
      </c>
      <c r="F7377">
        <v>18</v>
      </c>
      <c r="G7377">
        <v>5</v>
      </c>
      <c r="H7377">
        <v>7.6</v>
      </c>
      <c r="I7377">
        <v>1.65</v>
      </c>
      <c r="J7377">
        <v>4</v>
      </c>
      <c r="L7377" t="s">
        <v>2709</v>
      </c>
      <c r="M7377">
        <v>74102130</v>
      </c>
      <c r="O7377" t="s">
        <v>19447</v>
      </c>
      <c r="P7377" t="s">
        <v>19899</v>
      </c>
      <c r="Q7377" t="s">
        <v>19909</v>
      </c>
      <c r="R7377" t="s">
        <v>19905</v>
      </c>
      <c r="S7377" t="s">
        <v>19906</v>
      </c>
      <c r="T7377" t="s">
        <v>19902</v>
      </c>
    </row>
    <row r="7378" spans="2:20" x14ac:dyDescent="0.25">
      <c r="B7378" t="s">
        <v>2709</v>
      </c>
      <c r="C7378">
        <v>74102190</v>
      </c>
      <c r="E7378" t="s">
        <v>19447</v>
      </c>
      <c r="F7378">
        <v>18</v>
      </c>
      <c r="G7378">
        <v>5</v>
      </c>
      <c r="H7378" t="s">
        <v>19447</v>
      </c>
      <c r="I7378" t="s">
        <v>19447</v>
      </c>
      <c r="J7378">
        <v>12</v>
      </c>
      <c r="L7378" t="s">
        <v>2709</v>
      </c>
      <c r="M7378">
        <v>74102190</v>
      </c>
      <c r="O7378" t="s">
        <v>19447</v>
      </c>
      <c r="P7378" t="s">
        <v>19899</v>
      </c>
      <c r="Q7378" t="s">
        <v>19909</v>
      </c>
      <c r="R7378" t="s">
        <v>19447</v>
      </c>
      <c r="S7378" t="s">
        <v>19447</v>
      </c>
      <c r="T7378" t="s">
        <v>19903</v>
      </c>
    </row>
    <row r="7379" spans="2:20" x14ac:dyDescent="0.25">
      <c r="B7379" t="s">
        <v>2709</v>
      </c>
      <c r="C7379">
        <v>74102200</v>
      </c>
      <c r="E7379" t="s">
        <v>19447</v>
      </c>
      <c r="F7379">
        <v>18</v>
      </c>
      <c r="G7379">
        <v>5</v>
      </c>
      <c r="H7379">
        <v>7.6</v>
      </c>
      <c r="I7379">
        <v>1.65</v>
      </c>
      <c r="J7379">
        <v>12</v>
      </c>
      <c r="L7379" t="s">
        <v>2709</v>
      </c>
      <c r="M7379">
        <v>74102200</v>
      </c>
      <c r="O7379" t="s">
        <v>19447</v>
      </c>
      <c r="P7379" t="s">
        <v>19899</v>
      </c>
      <c r="Q7379" t="s">
        <v>19909</v>
      </c>
      <c r="R7379" t="s">
        <v>19905</v>
      </c>
      <c r="S7379" t="s">
        <v>19906</v>
      </c>
      <c r="T7379" t="s">
        <v>19903</v>
      </c>
    </row>
    <row r="7380" spans="2:20" x14ac:dyDescent="0.25">
      <c r="B7380" t="s">
        <v>2709</v>
      </c>
      <c r="C7380">
        <v>74111010</v>
      </c>
      <c r="E7380">
        <v>35</v>
      </c>
      <c r="F7380">
        <v>12</v>
      </c>
      <c r="G7380">
        <v>5</v>
      </c>
      <c r="H7380" t="s">
        <v>19447</v>
      </c>
      <c r="I7380" t="s">
        <v>19447</v>
      </c>
      <c r="J7380">
        <v>14</v>
      </c>
      <c r="L7380" t="s">
        <v>2709</v>
      </c>
      <c r="M7380">
        <v>74111010</v>
      </c>
      <c r="O7380" t="s">
        <v>19919</v>
      </c>
      <c r="P7380" t="s">
        <v>19903</v>
      </c>
      <c r="Q7380" t="s">
        <v>19909</v>
      </c>
      <c r="R7380" t="s">
        <v>19447</v>
      </c>
      <c r="S7380" t="s">
        <v>19447</v>
      </c>
      <c r="T7380" t="s">
        <v>19911</v>
      </c>
    </row>
    <row r="7381" spans="2:20" x14ac:dyDescent="0.25">
      <c r="B7381" t="s">
        <v>2709</v>
      </c>
      <c r="C7381">
        <v>74111090</v>
      </c>
      <c r="E7381">
        <v>35</v>
      </c>
      <c r="F7381">
        <v>12</v>
      </c>
      <c r="G7381">
        <v>5</v>
      </c>
      <c r="H7381">
        <v>7.6</v>
      </c>
      <c r="I7381">
        <v>1.65</v>
      </c>
      <c r="J7381">
        <v>14</v>
      </c>
      <c r="L7381" t="s">
        <v>2709</v>
      </c>
      <c r="M7381">
        <v>74111090</v>
      </c>
      <c r="O7381" t="s">
        <v>19919</v>
      </c>
      <c r="P7381" t="s">
        <v>19903</v>
      </c>
      <c r="Q7381" t="s">
        <v>19909</v>
      </c>
      <c r="R7381" t="s">
        <v>19905</v>
      </c>
      <c r="S7381" t="s">
        <v>19906</v>
      </c>
      <c r="T7381" t="s">
        <v>19911</v>
      </c>
    </row>
    <row r="7382" spans="2:20" x14ac:dyDescent="0.25">
      <c r="B7382" t="s">
        <v>2709</v>
      </c>
      <c r="C7382">
        <v>74112110</v>
      </c>
      <c r="E7382">
        <v>35</v>
      </c>
      <c r="F7382">
        <v>18</v>
      </c>
      <c r="G7382">
        <v>5</v>
      </c>
      <c r="H7382" t="s">
        <v>19447</v>
      </c>
      <c r="I7382" t="s">
        <v>19447</v>
      </c>
      <c r="J7382">
        <v>14</v>
      </c>
      <c r="L7382" t="s">
        <v>2709</v>
      </c>
      <c r="M7382">
        <v>74112110</v>
      </c>
      <c r="O7382" t="s">
        <v>19919</v>
      </c>
      <c r="P7382" t="s">
        <v>19899</v>
      </c>
      <c r="Q7382" t="s">
        <v>19909</v>
      </c>
      <c r="R7382" t="s">
        <v>19447</v>
      </c>
      <c r="S7382" t="s">
        <v>19447</v>
      </c>
      <c r="T7382" t="s">
        <v>19911</v>
      </c>
    </row>
    <row r="7383" spans="2:20" x14ac:dyDescent="0.25">
      <c r="B7383" t="s">
        <v>2709</v>
      </c>
      <c r="C7383">
        <v>74112190</v>
      </c>
      <c r="E7383">
        <v>35</v>
      </c>
      <c r="F7383">
        <v>18</v>
      </c>
      <c r="G7383">
        <v>5</v>
      </c>
      <c r="H7383" t="s">
        <v>19447</v>
      </c>
      <c r="I7383" t="s">
        <v>19447</v>
      </c>
      <c r="J7383">
        <v>14</v>
      </c>
      <c r="L7383" t="s">
        <v>2709</v>
      </c>
      <c r="M7383">
        <v>74112190</v>
      </c>
      <c r="O7383" t="s">
        <v>19919</v>
      </c>
      <c r="P7383" t="s">
        <v>19899</v>
      </c>
      <c r="Q7383" t="s">
        <v>19909</v>
      </c>
      <c r="R7383" t="s">
        <v>19447</v>
      </c>
      <c r="S7383" t="s">
        <v>19447</v>
      </c>
      <c r="T7383" t="s">
        <v>19911</v>
      </c>
    </row>
    <row r="7384" spans="2:20" x14ac:dyDescent="0.25">
      <c r="B7384" t="s">
        <v>2709</v>
      </c>
      <c r="C7384">
        <v>74112210</v>
      </c>
      <c r="E7384">
        <v>35</v>
      </c>
      <c r="F7384">
        <v>18</v>
      </c>
      <c r="G7384">
        <v>5</v>
      </c>
      <c r="H7384">
        <v>7.6</v>
      </c>
      <c r="I7384">
        <v>1.65</v>
      </c>
      <c r="J7384">
        <v>14</v>
      </c>
      <c r="L7384" t="s">
        <v>2709</v>
      </c>
      <c r="M7384">
        <v>74112210</v>
      </c>
      <c r="O7384" t="s">
        <v>19919</v>
      </c>
      <c r="P7384" t="s">
        <v>19899</v>
      </c>
      <c r="Q7384" t="s">
        <v>19909</v>
      </c>
      <c r="R7384" t="s">
        <v>19905</v>
      </c>
      <c r="S7384" t="s">
        <v>19906</v>
      </c>
      <c r="T7384" t="s">
        <v>19911</v>
      </c>
    </row>
    <row r="7385" spans="2:20" x14ac:dyDescent="0.25">
      <c r="B7385" t="s">
        <v>2709</v>
      </c>
      <c r="C7385">
        <v>74112290</v>
      </c>
      <c r="E7385">
        <v>35</v>
      </c>
      <c r="F7385">
        <v>18</v>
      </c>
      <c r="G7385">
        <v>5</v>
      </c>
      <c r="H7385">
        <v>7.6</v>
      </c>
      <c r="I7385">
        <v>1.65</v>
      </c>
      <c r="J7385">
        <v>14</v>
      </c>
      <c r="L7385" t="s">
        <v>2709</v>
      </c>
      <c r="M7385">
        <v>74112290</v>
      </c>
      <c r="O7385" t="s">
        <v>19919</v>
      </c>
      <c r="P7385" t="s">
        <v>19899</v>
      </c>
      <c r="Q7385" t="s">
        <v>19909</v>
      </c>
      <c r="R7385" t="s">
        <v>19905</v>
      </c>
      <c r="S7385" t="s">
        <v>19906</v>
      </c>
      <c r="T7385" t="s">
        <v>19911</v>
      </c>
    </row>
    <row r="7386" spans="2:20" x14ac:dyDescent="0.25">
      <c r="B7386" t="s">
        <v>2709</v>
      </c>
      <c r="C7386">
        <v>74112910</v>
      </c>
      <c r="E7386">
        <v>35</v>
      </c>
      <c r="F7386">
        <v>18</v>
      </c>
      <c r="G7386">
        <v>5</v>
      </c>
      <c r="H7386">
        <v>7.6</v>
      </c>
      <c r="I7386">
        <v>1.65</v>
      </c>
      <c r="J7386">
        <v>14</v>
      </c>
      <c r="L7386" t="s">
        <v>2709</v>
      </c>
      <c r="M7386">
        <v>74112910</v>
      </c>
      <c r="O7386" t="s">
        <v>19919</v>
      </c>
      <c r="P7386" t="s">
        <v>19899</v>
      </c>
      <c r="Q7386" t="s">
        <v>19909</v>
      </c>
      <c r="R7386" t="s">
        <v>19905</v>
      </c>
      <c r="S7386" t="s">
        <v>19906</v>
      </c>
      <c r="T7386" t="s">
        <v>19911</v>
      </c>
    </row>
    <row r="7387" spans="2:20" x14ac:dyDescent="0.25">
      <c r="B7387" t="s">
        <v>2709</v>
      </c>
      <c r="C7387">
        <v>74112990</v>
      </c>
      <c r="E7387">
        <v>35</v>
      </c>
      <c r="F7387">
        <v>18</v>
      </c>
      <c r="G7387">
        <v>5</v>
      </c>
      <c r="H7387">
        <v>7.6</v>
      </c>
      <c r="I7387">
        <v>1.65</v>
      </c>
      <c r="J7387">
        <v>14</v>
      </c>
      <c r="L7387" t="s">
        <v>2709</v>
      </c>
      <c r="M7387">
        <v>74112990</v>
      </c>
      <c r="O7387" t="s">
        <v>19919</v>
      </c>
      <c r="P7387" t="s">
        <v>19899</v>
      </c>
      <c r="Q7387" t="s">
        <v>19909</v>
      </c>
      <c r="R7387" t="s">
        <v>19905</v>
      </c>
      <c r="S7387" t="s">
        <v>19906</v>
      </c>
      <c r="T7387" t="s">
        <v>19911</v>
      </c>
    </row>
    <row r="7388" spans="2:20" x14ac:dyDescent="0.25">
      <c r="B7388" t="s">
        <v>2709</v>
      </c>
      <c r="C7388">
        <v>74121000</v>
      </c>
      <c r="E7388">
        <v>33</v>
      </c>
      <c r="F7388">
        <v>18</v>
      </c>
      <c r="G7388">
        <v>5</v>
      </c>
      <c r="H7388">
        <v>7.6</v>
      </c>
      <c r="I7388">
        <v>1.65</v>
      </c>
      <c r="J7388">
        <v>14</v>
      </c>
      <c r="L7388" t="s">
        <v>2709</v>
      </c>
      <c r="M7388">
        <v>74121000</v>
      </c>
      <c r="O7388" t="s">
        <v>19910</v>
      </c>
      <c r="P7388" t="s">
        <v>19899</v>
      </c>
      <c r="Q7388" t="s">
        <v>19909</v>
      </c>
      <c r="R7388" t="s">
        <v>19905</v>
      </c>
      <c r="S7388" t="s">
        <v>19906</v>
      </c>
      <c r="T7388" t="s">
        <v>19911</v>
      </c>
    </row>
    <row r="7389" spans="2:20" x14ac:dyDescent="0.25">
      <c r="B7389" t="s">
        <v>2709</v>
      </c>
      <c r="C7389">
        <v>74122000</v>
      </c>
      <c r="E7389">
        <v>33</v>
      </c>
      <c r="F7389">
        <v>18</v>
      </c>
      <c r="G7389">
        <v>5</v>
      </c>
      <c r="H7389" t="s">
        <v>19447</v>
      </c>
      <c r="I7389" t="s">
        <v>19447</v>
      </c>
      <c r="J7389">
        <v>14</v>
      </c>
      <c r="L7389" t="s">
        <v>2709</v>
      </c>
      <c r="M7389">
        <v>74122000</v>
      </c>
      <c r="O7389" t="s">
        <v>19910</v>
      </c>
      <c r="P7389" t="s">
        <v>19899</v>
      </c>
      <c r="Q7389" t="s">
        <v>19909</v>
      </c>
      <c r="R7389" t="s">
        <v>19447</v>
      </c>
      <c r="S7389" t="s">
        <v>19447</v>
      </c>
      <c r="T7389" t="s">
        <v>19911</v>
      </c>
    </row>
    <row r="7390" spans="2:20" x14ac:dyDescent="0.25">
      <c r="B7390" t="s">
        <v>2709</v>
      </c>
      <c r="C7390">
        <v>74130000</v>
      </c>
      <c r="E7390">
        <v>76</v>
      </c>
      <c r="F7390">
        <v>18</v>
      </c>
      <c r="G7390">
        <v>0</v>
      </c>
      <c r="H7390">
        <v>7.6</v>
      </c>
      <c r="I7390">
        <v>1.65</v>
      </c>
      <c r="J7390">
        <v>14</v>
      </c>
      <c r="L7390" t="s">
        <v>2709</v>
      </c>
      <c r="M7390">
        <v>74130000</v>
      </c>
      <c r="O7390" t="s">
        <v>20118</v>
      </c>
      <c r="P7390" t="s">
        <v>19899</v>
      </c>
      <c r="Q7390" t="s">
        <v>19900</v>
      </c>
      <c r="R7390" t="s">
        <v>19905</v>
      </c>
      <c r="S7390" t="s">
        <v>19906</v>
      </c>
      <c r="T7390" t="s">
        <v>19911</v>
      </c>
    </row>
    <row r="7391" spans="2:20" x14ac:dyDescent="0.25">
      <c r="B7391" t="s">
        <v>2709</v>
      </c>
      <c r="C7391">
        <v>74151000</v>
      </c>
      <c r="E7391">
        <v>62</v>
      </c>
      <c r="F7391">
        <v>18</v>
      </c>
      <c r="G7391">
        <v>10</v>
      </c>
      <c r="H7391">
        <v>7.6</v>
      </c>
      <c r="I7391">
        <v>1.65</v>
      </c>
      <c r="J7391">
        <v>14</v>
      </c>
      <c r="L7391" t="s">
        <v>2709</v>
      </c>
      <c r="M7391">
        <v>74151000</v>
      </c>
      <c r="O7391" t="s">
        <v>20139</v>
      </c>
      <c r="P7391" t="s">
        <v>19899</v>
      </c>
      <c r="Q7391" t="s">
        <v>19904</v>
      </c>
      <c r="R7391" t="s">
        <v>19905</v>
      </c>
      <c r="S7391" t="s">
        <v>19906</v>
      </c>
      <c r="T7391" t="s">
        <v>19911</v>
      </c>
    </row>
    <row r="7392" spans="2:20" x14ac:dyDescent="0.25">
      <c r="B7392" t="s">
        <v>2709</v>
      </c>
      <c r="C7392">
        <v>74152100</v>
      </c>
      <c r="E7392">
        <v>62</v>
      </c>
      <c r="F7392">
        <v>18</v>
      </c>
      <c r="G7392">
        <v>10</v>
      </c>
      <c r="H7392">
        <v>7.6</v>
      </c>
      <c r="I7392">
        <v>1.65</v>
      </c>
      <c r="J7392">
        <v>14</v>
      </c>
      <c r="L7392" t="s">
        <v>2709</v>
      </c>
      <c r="M7392">
        <v>74152100</v>
      </c>
      <c r="O7392" t="s">
        <v>20139</v>
      </c>
      <c r="P7392" t="s">
        <v>19899</v>
      </c>
      <c r="Q7392" t="s">
        <v>19904</v>
      </c>
      <c r="R7392" t="s">
        <v>19905</v>
      </c>
      <c r="S7392" t="s">
        <v>19906</v>
      </c>
      <c r="T7392" t="s">
        <v>19911</v>
      </c>
    </row>
    <row r="7393" spans="2:20" x14ac:dyDescent="0.25">
      <c r="B7393" t="s">
        <v>2709</v>
      </c>
      <c r="C7393">
        <v>74152900</v>
      </c>
      <c r="E7393">
        <v>62</v>
      </c>
      <c r="F7393">
        <v>18</v>
      </c>
      <c r="G7393">
        <v>10</v>
      </c>
      <c r="H7393">
        <v>7.6</v>
      </c>
      <c r="I7393">
        <v>1.65</v>
      </c>
      <c r="J7393">
        <v>14</v>
      </c>
      <c r="L7393" t="s">
        <v>2709</v>
      </c>
      <c r="M7393">
        <v>74152900</v>
      </c>
      <c r="O7393" t="s">
        <v>20139</v>
      </c>
      <c r="P7393" t="s">
        <v>19899</v>
      </c>
      <c r="Q7393" t="s">
        <v>19904</v>
      </c>
      <c r="R7393" t="s">
        <v>19905</v>
      </c>
      <c r="S7393" t="s">
        <v>19906</v>
      </c>
      <c r="T7393" t="s">
        <v>19911</v>
      </c>
    </row>
    <row r="7394" spans="2:20" x14ac:dyDescent="0.25">
      <c r="B7394" t="s">
        <v>2709</v>
      </c>
      <c r="C7394">
        <v>74153300</v>
      </c>
      <c r="E7394">
        <v>62</v>
      </c>
      <c r="F7394">
        <v>18</v>
      </c>
      <c r="G7394">
        <v>10</v>
      </c>
      <c r="H7394">
        <v>7.6</v>
      </c>
      <c r="I7394">
        <v>1.65</v>
      </c>
      <c r="J7394">
        <v>14</v>
      </c>
      <c r="L7394" t="s">
        <v>2709</v>
      </c>
      <c r="M7394">
        <v>74153300</v>
      </c>
      <c r="O7394" t="s">
        <v>20139</v>
      </c>
      <c r="P7394" t="s">
        <v>19899</v>
      </c>
      <c r="Q7394" t="s">
        <v>19904</v>
      </c>
      <c r="R7394" t="s">
        <v>19905</v>
      </c>
      <c r="S7394" t="s">
        <v>19906</v>
      </c>
      <c r="T7394" t="s">
        <v>19911</v>
      </c>
    </row>
    <row r="7395" spans="2:20" x14ac:dyDescent="0.25">
      <c r="B7395" t="s">
        <v>2709</v>
      </c>
      <c r="C7395">
        <v>74153900</v>
      </c>
      <c r="E7395">
        <v>62</v>
      </c>
      <c r="F7395">
        <v>18</v>
      </c>
      <c r="G7395">
        <v>10</v>
      </c>
      <c r="H7395">
        <v>7.6</v>
      </c>
      <c r="I7395">
        <v>1.65</v>
      </c>
      <c r="J7395">
        <v>14</v>
      </c>
      <c r="L7395" t="s">
        <v>2709</v>
      </c>
      <c r="M7395">
        <v>74153900</v>
      </c>
      <c r="O7395" t="s">
        <v>20139</v>
      </c>
      <c r="P7395" t="s">
        <v>19899</v>
      </c>
      <c r="Q7395" t="s">
        <v>19904</v>
      </c>
      <c r="R7395" t="s">
        <v>19905</v>
      </c>
      <c r="S7395" t="s">
        <v>19906</v>
      </c>
      <c r="T7395" t="s">
        <v>19911</v>
      </c>
    </row>
    <row r="7396" spans="2:20" x14ac:dyDescent="0.25">
      <c r="B7396" t="s">
        <v>2709</v>
      </c>
      <c r="C7396">
        <v>74181000</v>
      </c>
      <c r="E7396">
        <v>88</v>
      </c>
      <c r="F7396">
        <v>18</v>
      </c>
      <c r="G7396">
        <v>10</v>
      </c>
      <c r="H7396">
        <v>7.6</v>
      </c>
      <c r="I7396">
        <v>1.65</v>
      </c>
      <c r="J7396">
        <v>16</v>
      </c>
      <c r="L7396" t="s">
        <v>2709</v>
      </c>
      <c r="M7396">
        <v>74181000</v>
      </c>
      <c r="O7396" t="s">
        <v>20141</v>
      </c>
      <c r="P7396" t="s">
        <v>19899</v>
      </c>
      <c r="Q7396" t="s">
        <v>19904</v>
      </c>
      <c r="R7396" t="s">
        <v>19905</v>
      </c>
      <c r="S7396" t="s">
        <v>19906</v>
      </c>
      <c r="T7396" t="s">
        <v>19913</v>
      </c>
    </row>
    <row r="7397" spans="2:20" x14ac:dyDescent="0.25">
      <c r="B7397" t="s">
        <v>2709</v>
      </c>
      <c r="C7397">
        <v>74182000</v>
      </c>
      <c r="E7397">
        <v>88</v>
      </c>
      <c r="F7397">
        <v>18</v>
      </c>
      <c r="G7397">
        <v>10</v>
      </c>
      <c r="H7397">
        <v>7.6</v>
      </c>
      <c r="I7397">
        <v>1.65</v>
      </c>
      <c r="J7397">
        <v>16</v>
      </c>
      <c r="L7397" t="s">
        <v>2709</v>
      </c>
      <c r="M7397">
        <v>74182000</v>
      </c>
      <c r="O7397" t="s">
        <v>20141</v>
      </c>
      <c r="P7397" t="s">
        <v>19899</v>
      </c>
      <c r="Q7397" t="s">
        <v>19904</v>
      </c>
      <c r="R7397" t="s">
        <v>19905</v>
      </c>
      <c r="S7397" t="s">
        <v>19906</v>
      </c>
      <c r="T7397" t="s">
        <v>19913</v>
      </c>
    </row>
    <row r="7398" spans="2:20" x14ac:dyDescent="0.25">
      <c r="B7398" t="s">
        <v>2709</v>
      </c>
      <c r="C7398">
        <v>74191000</v>
      </c>
      <c r="E7398" t="s">
        <v>19447</v>
      </c>
      <c r="F7398">
        <v>18</v>
      </c>
      <c r="G7398">
        <v>5</v>
      </c>
      <c r="H7398">
        <v>7.6</v>
      </c>
      <c r="I7398">
        <v>1.65</v>
      </c>
      <c r="J7398">
        <v>16</v>
      </c>
      <c r="L7398" t="s">
        <v>2709</v>
      </c>
      <c r="M7398">
        <v>74191000</v>
      </c>
      <c r="O7398" t="s">
        <v>19447</v>
      </c>
      <c r="P7398" t="s">
        <v>19899</v>
      </c>
      <c r="Q7398" t="s">
        <v>19909</v>
      </c>
      <c r="R7398" t="s">
        <v>19905</v>
      </c>
      <c r="S7398" t="s">
        <v>19906</v>
      </c>
      <c r="T7398" t="s">
        <v>19913</v>
      </c>
    </row>
    <row r="7399" spans="2:20" x14ac:dyDescent="0.25">
      <c r="B7399" t="s">
        <v>2709</v>
      </c>
      <c r="C7399">
        <v>74199100</v>
      </c>
      <c r="E7399" t="s">
        <v>19447</v>
      </c>
      <c r="F7399">
        <v>18</v>
      </c>
      <c r="G7399">
        <v>10</v>
      </c>
      <c r="H7399">
        <v>7.6</v>
      </c>
      <c r="I7399">
        <v>1.65</v>
      </c>
      <c r="J7399">
        <v>16</v>
      </c>
      <c r="L7399" t="s">
        <v>2709</v>
      </c>
      <c r="M7399">
        <v>74199100</v>
      </c>
      <c r="O7399" t="s">
        <v>19447</v>
      </c>
      <c r="P7399" t="s">
        <v>19899</v>
      </c>
      <c r="Q7399" t="s">
        <v>19904</v>
      </c>
      <c r="R7399" t="s">
        <v>19905</v>
      </c>
      <c r="S7399" t="s">
        <v>19906</v>
      </c>
      <c r="T7399" t="s">
        <v>19913</v>
      </c>
    </row>
    <row r="7400" spans="2:20" x14ac:dyDescent="0.25">
      <c r="B7400" t="s">
        <v>2709</v>
      </c>
      <c r="C7400">
        <v>74199910</v>
      </c>
      <c r="E7400" t="s">
        <v>19447</v>
      </c>
      <c r="F7400">
        <v>18</v>
      </c>
      <c r="G7400">
        <v>0</v>
      </c>
      <c r="H7400">
        <v>7.6</v>
      </c>
      <c r="I7400">
        <v>1.65</v>
      </c>
      <c r="J7400">
        <v>14</v>
      </c>
      <c r="L7400" t="s">
        <v>2709</v>
      </c>
      <c r="M7400">
        <v>74199910</v>
      </c>
      <c r="O7400" t="s">
        <v>19447</v>
      </c>
      <c r="P7400" t="s">
        <v>19899</v>
      </c>
      <c r="Q7400" t="s">
        <v>19900</v>
      </c>
      <c r="R7400" t="s">
        <v>19905</v>
      </c>
      <c r="S7400" t="s">
        <v>19906</v>
      </c>
      <c r="T7400" t="s">
        <v>19911</v>
      </c>
    </row>
    <row r="7401" spans="2:20" x14ac:dyDescent="0.25">
      <c r="B7401" t="s">
        <v>2709</v>
      </c>
      <c r="C7401">
        <v>74199920</v>
      </c>
      <c r="E7401" t="s">
        <v>19447</v>
      </c>
      <c r="F7401">
        <v>18</v>
      </c>
      <c r="G7401">
        <v>0</v>
      </c>
      <c r="H7401">
        <v>7.6</v>
      </c>
      <c r="I7401">
        <v>1.65</v>
      </c>
      <c r="J7401">
        <v>14</v>
      </c>
      <c r="L7401" t="s">
        <v>2709</v>
      </c>
      <c r="M7401">
        <v>74199920</v>
      </c>
      <c r="O7401" t="s">
        <v>19447</v>
      </c>
      <c r="P7401" t="s">
        <v>19899</v>
      </c>
      <c r="Q7401" t="s">
        <v>19900</v>
      </c>
      <c r="R7401" t="s">
        <v>19905</v>
      </c>
      <c r="S7401" t="s">
        <v>19906</v>
      </c>
      <c r="T7401" t="s">
        <v>19911</v>
      </c>
    </row>
    <row r="7402" spans="2:20" x14ac:dyDescent="0.25">
      <c r="B7402" t="s">
        <v>2709</v>
      </c>
      <c r="C7402">
        <v>74199930</v>
      </c>
      <c r="E7402" t="s">
        <v>19447</v>
      </c>
      <c r="F7402">
        <v>18</v>
      </c>
      <c r="G7402">
        <v>10</v>
      </c>
      <c r="H7402">
        <v>7.6</v>
      </c>
      <c r="I7402">
        <v>1.65</v>
      </c>
      <c r="J7402">
        <v>14</v>
      </c>
      <c r="L7402" t="s">
        <v>2709</v>
      </c>
      <c r="M7402">
        <v>74199930</v>
      </c>
      <c r="O7402" t="s">
        <v>19447</v>
      </c>
      <c r="P7402" t="s">
        <v>19899</v>
      </c>
      <c r="Q7402" t="s">
        <v>19904</v>
      </c>
      <c r="R7402" t="s">
        <v>19905</v>
      </c>
      <c r="S7402" t="s">
        <v>19906</v>
      </c>
      <c r="T7402" t="s">
        <v>19911</v>
      </c>
    </row>
    <row r="7403" spans="2:20" x14ac:dyDescent="0.25">
      <c r="B7403" t="s">
        <v>2709</v>
      </c>
      <c r="C7403">
        <v>74199990</v>
      </c>
      <c r="E7403" t="s">
        <v>19447</v>
      </c>
      <c r="F7403">
        <v>5.6</v>
      </c>
      <c r="G7403">
        <v>5</v>
      </c>
      <c r="H7403">
        <v>7.6</v>
      </c>
      <c r="I7403">
        <v>1.65</v>
      </c>
      <c r="J7403">
        <v>16</v>
      </c>
      <c r="L7403" t="s">
        <v>2709</v>
      </c>
      <c r="M7403">
        <v>74199990</v>
      </c>
      <c r="O7403" t="s">
        <v>19447</v>
      </c>
      <c r="P7403" t="s">
        <v>20133</v>
      </c>
      <c r="Q7403" t="s">
        <v>19909</v>
      </c>
      <c r="R7403" t="s">
        <v>19905</v>
      </c>
      <c r="S7403" t="s">
        <v>19906</v>
      </c>
      <c r="T7403" t="s">
        <v>19913</v>
      </c>
    </row>
    <row r="7404" spans="2:20" x14ac:dyDescent="0.25">
      <c r="B7404" t="s">
        <v>2709</v>
      </c>
      <c r="C7404">
        <v>74199990</v>
      </c>
      <c r="D7404">
        <v>1</v>
      </c>
      <c r="E7404" t="s">
        <v>19447</v>
      </c>
      <c r="F7404">
        <v>18</v>
      </c>
      <c r="G7404">
        <v>10</v>
      </c>
      <c r="H7404">
        <v>7.6</v>
      </c>
      <c r="I7404">
        <v>1.65</v>
      </c>
      <c r="J7404">
        <v>16</v>
      </c>
      <c r="L7404" t="s">
        <v>2709</v>
      </c>
      <c r="M7404">
        <v>74199990</v>
      </c>
      <c r="N7404">
        <v>1</v>
      </c>
      <c r="O7404" t="s">
        <v>19447</v>
      </c>
      <c r="P7404" t="s">
        <v>19899</v>
      </c>
      <c r="Q7404" t="s">
        <v>19904</v>
      </c>
      <c r="R7404" t="s">
        <v>19905</v>
      </c>
      <c r="S7404" t="s">
        <v>19906</v>
      </c>
      <c r="T7404" t="s">
        <v>19913</v>
      </c>
    </row>
    <row r="7405" spans="2:20" x14ac:dyDescent="0.25">
      <c r="B7405" t="s">
        <v>2709</v>
      </c>
      <c r="C7405">
        <v>75011000</v>
      </c>
      <c r="E7405" t="s">
        <v>19447</v>
      </c>
      <c r="F7405">
        <v>18</v>
      </c>
      <c r="G7405">
        <v>0</v>
      </c>
      <c r="H7405">
        <v>7.6</v>
      </c>
      <c r="I7405">
        <v>1.65</v>
      </c>
      <c r="J7405">
        <v>6</v>
      </c>
      <c r="L7405" t="s">
        <v>2709</v>
      </c>
      <c r="M7405">
        <v>75011000</v>
      </c>
      <c r="O7405" t="s">
        <v>19447</v>
      </c>
      <c r="P7405" t="s">
        <v>19899</v>
      </c>
      <c r="Q7405" t="s">
        <v>19900</v>
      </c>
      <c r="R7405" t="s">
        <v>19905</v>
      </c>
      <c r="S7405" t="s">
        <v>19906</v>
      </c>
      <c r="T7405" t="s">
        <v>19907</v>
      </c>
    </row>
    <row r="7406" spans="2:20" x14ac:dyDescent="0.25">
      <c r="B7406" t="s">
        <v>2709</v>
      </c>
      <c r="C7406">
        <v>75012000</v>
      </c>
      <c r="E7406" t="s">
        <v>19447</v>
      </c>
      <c r="F7406">
        <v>18</v>
      </c>
      <c r="G7406">
        <v>0</v>
      </c>
      <c r="H7406">
        <v>7.6</v>
      </c>
      <c r="I7406">
        <v>1.65</v>
      </c>
      <c r="J7406">
        <v>6</v>
      </c>
      <c r="L7406" t="s">
        <v>2709</v>
      </c>
      <c r="M7406">
        <v>75012000</v>
      </c>
      <c r="O7406" t="s">
        <v>19447</v>
      </c>
      <c r="P7406" t="s">
        <v>19899</v>
      </c>
      <c r="Q7406" t="s">
        <v>19900</v>
      </c>
      <c r="R7406" t="s">
        <v>19905</v>
      </c>
      <c r="S7406" t="s">
        <v>19906</v>
      </c>
      <c r="T7406" t="s">
        <v>19907</v>
      </c>
    </row>
    <row r="7407" spans="2:20" x14ac:dyDescent="0.25">
      <c r="B7407" t="s">
        <v>2709</v>
      </c>
      <c r="C7407">
        <v>75021010</v>
      </c>
      <c r="E7407" t="s">
        <v>19447</v>
      </c>
      <c r="F7407">
        <v>18</v>
      </c>
      <c r="G7407">
        <v>0</v>
      </c>
      <c r="H7407">
        <v>7.6</v>
      </c>
      <c r="I7407">
        <v>1.65</v>
      </c>
      <c r="J7407">
        <v>6</v>
      </c>
      <c r="L7407" t="s">
        <v>2709</v>
      </c>
      <c r="M7407">
        <v>75021010</v>
      </c>
      <c r="O7407" t="s">
        <v>19447</v>
      </c>
      <c r="P7407" t="s">
        <v>19899</v>
      </c>
      <c r="Q7407" t="s">
        <v>19900</v>
      </c>
      <c r="R7407" t="s">
        <v>19905</v>
      </c>
      <c r="S7407" t="s">
        <v>19906</v>
      </c>
      <c r="T7407" t="s">
        <v>19907</v>
      </c>
    </row>
    <row r="7408" spans="2:20" x14ac:dyDescent="0.25">
      <c r="B7408" t="s">
        <v>2709</v>
      </c>
      <c r="C7408">
        <v>75021090</v>
      </c>
      <c r="E7408" t="s">
        <v>19447</v>
      </c>
      <c r="F7408">
        <v>18</v>
      </c>
      <c r="G7408">
        <v>0</v>
      </c>
      <c r="H7408">
        <v>7.6</v>
      </c>
      <c r="I7408">
        <v>1.65</v>
      </c>
      <c r="J7408">
        <v>6</v>
      </c>
      <c r="L7408" t="s">
        <v>2709</v>
      </c>
      <c r="M7408">
        <v>75021090</v>
      </c>
      <c r="O7408" t="s">
        <v>19447</v>
      </c>
      <c r="P7408" t="s">
        <v>19899</v>
      </c>
      <c r="Q7408" t="s">
        <v>19900</v>
      </c>
      <c r="R7408" t="s">
        <v>19905</v>
      </c>
      <c r="S7408" t="s">
        <v>19906</v>
      </c>
      <c r="T7408" t="s">
        <v>19907</v>
      </c>
    </row>
    <row r="7409" spans="2:20" x14ac:dyDescent="0.25">
      <c r="B7409" t="s">
        <v>2709</v>
      </c>
      <c r="C7409">
        <v>75022000</v>
      </c>
      <c r="E7409" t="s">
        <v>19447</v>
      </c>
      <c r="F7409">
        <v>18</v>
      </c>
      <c r="G7409">
        <v>0</v>
      </c>
      <c r="H7409">
        <v>7.6</v>
      </c>
      <c r="I7409">
        <v>1.65</v>
      </c>
      <c r="J7409">
        <v>6</v>
      </c>
      <c r="L7409" t="s">
        <v>2709</v>
      </c>
      <c r="M7409">
        <v>75022000</v>
      </c>
      <c r="O7409" t="s">
        <v>19447</v>
      </c>
      <c r="P7409" t="s">
        <v>19899</v>
      </c>
      <c r="Q7409" t="s">
        <v>19900</v>
      </c>
      <c r="R7409" t="s">
        <v>19905</v>
      </c>
      <c r="S7409" t="s">
        <v>19906</v>
      </c>
      <c r="T7409" t="s">
        <v>19907</v>
      </c>
    </row>
    <row r="7410" spans="2:20" x14ac:dyDescent="0.25">
      <c r="B7410" t="s">
        <v>2709</v>
      </c>
      <c r="C7410">
        <v>75030000</v>
      </c>
      <c r="E7410" t="s">
        <v>19447</v>
      </c>
      <c r="F7410">
        <v>18</v>
      </c>
      <c r="G7410">
        <v>0</v>
      </c>
      <c r="H7410" t="s">
        <v>19447</v>
      </c>
      <c r="I7410" t="s">
        <v>19447</v>
      </c>
      <c r="J7410">
        <v>2</v>
      </c>
      <c r="L7410" t="s">
        <v>2709</v>
      </c>
      <c r="M7410">
        <v>75030000</v>
      </c>
      <c r="O7410" t="s">
        <v>19447</v>
      </c>
      <c r="P7410" t="s">
        <v>19899</v>
      </c>
      <c r="Q7410" t="s">
        <v>19900</v>
      </c>
      <c r="R7410" t="s">
        <v>19447</v>
      </c>
      <c r="S7410" t="s">
        <v>19447</v>
      </c>
      <c r="T7410" t="s">
        <v>19901</v>
      </c>
    </row>
    <row r="7411" spans="2:20" x14ac:dyDescent="0.25">
      <c r="B7411" t="s">
        <v>2709</v>
      </c>
      <c r="C7411">
        <v>75040010</v>
      </c>
      <c r="E7411" t="s">
        <v>19447</v>
      </c>
      <c r="F7411">
        <v>18</v>
      </c>
      <c r="G7411">
        <v>0</v>
      </c>
      <c r="H7411" t="s">
        <v>19447</v>
      </c>
      <c r="I7411" t="s">
        <v>19447</v>
      </c>
      <c r="J7411">
        <v>6</v>
      </c>
      <c r="L7411" t="s">
        <v>2709</v>
      </c>
      <c r="M7411">
        <v>75040010</v>
      </c>
      <c r="O7411" t="s">
        <v>19447</v>
      </c>
      <c r="P7411" t="s">
        <v>19899</v>
      </c>
      <c r="Q7411" t="s">
        <v>19900</v>
      </c>
      <c r="R7411" t="s">
        <v>19447</v>
      </c>
      <c r="S7411" t="s">
        <v>19447</v>
      </c>
      <c r="T7411" t="s">
        <v>19907</v>
      </c>
    </row>
    <row r="7412" spans="2:20" x14ac:dyDescent="0.25">
      <c r="B7412" t="s">
        <v>2709</v>
      </c>
      <c r="C7412">
        <v>75040090</v>
      </c>
      <c r="E7412" t="s">
        <v>19447</v>
      </c>
      <c r="F7412">
        <v>18</v>
      </c>
      <c r="G7412">
        <v>0</v>
      </c>
      <c r="H7412" t="s">
        <v>19447</v>
      </c>
      <c r="I7412" t="s">
        <v>19447</v>
      </c>
      <c r="J7412">
        <v>6</v>
      </c>
      <c r="L7412" t="s">
        <v>2709</v>
      </c>
      <c r="M7412">
        <v>75040090</v>
      </c>
      <c r="O7412" t="s">
        <v>19447</v>
      </c>
      <c r="P7412" t="s">
        <v>19899</v>
      </c>
      <c r="Q7412" t="s">
        <v>19900</v>
      </c>
      <c r="R7412" t="s">
        <v>19447</v>
      </c>
      <c r="S7412" t="s">
        <v>19447</v>
      </c>
      <c r="T7412" t="s">
        <v>19907</v>
      </c>
    </row>
    <row r="7413" spans="2:20" x14ac:dyDescent="0.25">
      <c r="B7413" t="s">
        <v>2709</v>
      </c>
      <c r="C7413">
        <v>75051110</v>
      </c>
      <c r="E7413" t="s">
        <v>19447</v>
      </c>
      <c r="F7413">
        <v>18</v>
      </c>
      <c r="G7413">
        <v>0</v>
      </c>
      <c r="H7413" t="s">
        <v>19447</v>
      </c>
      <c r="I7413" t="s">
        <v>19447</v>
      </c>
      <c r="J7413">
        <v>12</v>
      </c>
      <c r="L7413" t="s">
        <v>2709</v>
      </c>
      <c r="M7413">
        <v>75051110</v>
      </c>
      <c r="O7413" t="s">
        <v>19447</v>
      </c>
      <c r="P7413" t="s">
        <v>19899</v>
      </c>
      <c r="Q7413" t="s">
        <v>19900</v>
      </c>
      <c r="R7413" t="s">
        <v>19447</v>
      </c>
      <c r="S7413" t="s">
        <v>19447</v>
      </c>
      <c r="T7413" t="s">
        <v>19903</v>
      </c>
    </row>
    <row r="7414" spans="2:20" x14ac:dyDescent="0.25">
      <c r="B7414" t="s">
        <v>2709</v>
      </c>
      <c r="C7414">
        <v>75051121</v>
      </c>
      <c r="E7414" t="s">
        <v>19447</v>
      </c>
      <c r="F7414">
        <v>18</v>
      </c>
      <c r="G7414">
        <v>0</v>
      </c>
      <c r="H7414" t="s">
        <v>19447</v>
      </c>
      <c r="I7414" t="s">
        <v>19447</v>
      </c>
      <c r="J7414">
        <v>12</v>
      </c>
      <c r="L7414" t="s">
        <v>2709</v>
      </c>
      <c r="M7414">
        <v>75051121</v>
      </c>
      <c r="O7414" t="s">
        <v>19447</v>
      </c>
      <c r="P7414" t="s">
        <v>19899</v>
      </c>
      <c r="Q7414" t="s">
        <v>19900</v>
      </c>
      <c r="R7414" t="s">
        <v>19447</v>
      </c>
      <c r="S7414" t="s">
        <v>19447</v>
      </c>
      <c r="T7414" t="s">
        <v>19903</v>
      </c>
    </row>
    <row r="7415" spans="2:20" x14ac:dyDescent="0.25">
      <c r="B7415" t="s">
        <v>2709</v>
      </c>
      <c r="C7415">
        <v>75051129</v>
      </c>
      <c r="E7415" t="s">
        <v>19447</v>
      </c>
      <c r="F7415">
        <v>18</v>
      </c>
      <c r="G7415">
        <v>0</v>
      </c>
      <c r="H7415" t="s">
        <v>19447</v>
      </c>
      <c r="I7415" t="s">
        <v>19447</v>
      </c>
      <c r="J7415">
        <v>12</v>
      </c>
      <c r="L7415" t="s">
        <v>2709</v>
      </c>
      <c r="M7415">
        <v>75051129</v>
      </c>
      <c r="O7415" t="s">
        <v>19447</v>
      </c>
      <c r="P7415" t="s">
        <v>19899</v>
      </c>
      <c r="Q7415" t="s">
        <v>19900</v>
      </c>
      <c r="R7415" t="s">
        <v>19447</v>
      </c>
      <c r="S7415" t="s">
        <v>19447</v>
      </c>
      <c r="T7415" t="s">
        <v>19903</v>
      </c>
    </row>
    <row r="7416" spans="2:20" x14ac:dyDescent="0.25">
      <c r="B7416" t="s">
        <v>2709</v>
      </c>
      <c r="C7416">
        <v>75051210</v>
      </c>
      <c r="E7416" t="s">
        <v>19447</v>
      </c>
      <c r="F7416">
        <v>18</v>
      </c>
      <c r="G7416">
        <v>0</v>
      </c>
      <c r="H7416" t="s">
        <v>19447</v>
      </c>
      <c r="I7416" t="s">
        <v>19447</v>
      </c>
      <c r="J7416">
        <v>12</v>
      </c>
      <c r="L7416" t="s">
        <v>2709</v>
      </c>
      <c r="M7416">
        <v>75051210</v>
      </c>
      <c r="O7416" t="s">
        <v>19447</v>
      </c>
      <c r="P7416" t="s">
        <v>19899</v>
      </c>
      <c r="Q7416" t="s">
        <v>19900</v>
      </c>
      <c r="R7416" t="s">
        <v>19447</v>
      </c>
      <c r="S7416" t="s">
        <v>19447</v>
      </c>
      <c r="T7416" t="s">
        <v>19903</v>
      </c>
    </row>
    <row r="7417" spans="2:20" x14ac:dyDescent="0.25">
      <c r="B7417" t="s">
        <v>2709</v>
      </c>
      <c r="C7417">
        <v>75051221</v>
      </c>
      <c r="E7417" t="s">
        <v>19447</v>
      </c>
      <c r="F7417">
        <v>18</v>
      </c>
      <c r="G7417">
        <v>0</v>
      </c>
      <c r="H7417" t="s">
        <v>19447</v>
      </c>
      <c r="I7417" t="s">
        <v>19447</v>
      </c>
      <c r="J7417">
        <v>12</v>
      </c>
      <c r="L7417" t="s">
        <v>2709</v>
      </c>
      <c r="M7417">
        <v>75051221</v>
      </c>
      <c r="O7417" t="s">
        <v>19447</v>
      </c>
      <c r="P7417" t="s">
        <v>19899</v>
      </c>
      <c r="Q7417" t="s">
        <v>19900</v>
      </c>
      <c r="R7417" t="s">
        <v>19447</v>
      </c>
      <c r="S7417" t="s">
        <v>19447</v>
      </c>
      <c r="T7417" t="s">
        <v>19903</v>
      </c>
    </row>
    <row r="7418" spans="2:20" x14ac:dyDescent="0.25">
      <c r="B7418" t="s">
        <v>2709</v>
      </c>
      <c r="C7418">
        <v>75051229</v>
      </c>
      <c r="E7418" t="s">
        <v>19447</v>
      </c>
      <c r="F7418">
        <v>18</v>
      </c>
      <c r="G7418">
        <v>0</v>
      </c>
      <c r="H7418" t="s">
        <v>19447</v>
      </c>
      <c r="I7418" t="s">
        <v>19447</v>
      </c>
      <c r="J7418">
        <v>12</v>
      </c>
      <c r="L7418" t="s">
        <v>2709</v>
      </c>
      <c r="M7418">
        <v>75051229</v>
      </c>
      <c r="O7418" t="s">
        <v>19447</v>
      </c>
      <c r="P7418" t="s">
        <v>19899</v>
      </c>
      <c r="Q7418" t="s">
        <v>19900</v>
      </c>
      <c r="R7418" t="s">
        <v>19447</v>
      </c>
      <c r="S7418" t="s">
        <v>19447</v>
      </c>
      <c r="T7418" t="s">
        <v>19903</v>
      </c>
    </row>
    <row r="7419" spans="2:20" x14ac:dyDescent="0.25">
      <c r="B7419" t="s">
        <v>2709</v>
      </c>
      <c r="C7419">
        <v>75052100</v>
      </c>
      <c r="E7419" t="s">
        <v>19447</v>
      </c>
      <c r="F7419">
        <v>18</v>
      </c>
      <c r="G7419">
        <v>0</v>
      </c>
      <c r="H7419" t="s">
        <v>19447</v>
      </c>
      <c r="I7419" t="s">
        <v>19447</v>
      </c>
      <c r="J7419">
        <v>12</v>
      </c>
      <c r="L7419" t="s">
        <v>2709</v>
      </c>
      <c r="M7419">
        <v>75052100</v>
      </c>
      <c r="O7419" t="s">
        <v>19447</v>
      </c>
      <c r="P7419" t="s">
        <v>19899</v>
      </c>
      <c r="Q7419" t="s">
        <v>19900</v>
      </c>
      <c r="R7419" t="s">
        <v>19447</v>
      </c>
      <c r="S7419" t="s">
        <v>19447</v>
      </c>
      <c r="T7419" t="s">
        <v>19903</v>
      </c>
    </row>
    <row r="7420" spans="2:20" x14ac:dyDescent="0.25">
      <c r="B7420" t="s">
        <v>2709</v>
      </c>
      <c r="C7420">
        <v>75052200</v>
      </c>
      <c r="E7420" t="s">
        <v>19447</v>
      </c>
      <c r="F7420">
        <v>18</v>
      </c>
      <c r="G7420">
        <v>0</v>
      </c>
      <c r="H7420" t="s">
        <v>19447</v>
      </c>
      <c r="I7420" t="s">
        <v>19447</v>
      </c>
      <c r="J7420">
        <v>12</v>
      </c>
      <c r="L7420" t="s">
        <v>2709</v>
      </c>
      <c r="M7420">
        <v>75052200</v>
      </c>
      <c r="O7420" t="s">
        <v>19447</v>
      </c>
      <c r="P7420" t="s">
        <v>19899</v>
      </c>
      <c r="Q7420" t="s">
        <v>19900</v>
      </c>
      <c r="R7420" t="s">
        <v>19447</v>
      </c>
      <c r="S7420" t="s">
        <v>19447</v>
      </c>
      <c r="T7420" t="s">
        <v>19903</v>
      </c>
    </row>
    <row r="7421" spans="2:20" x14ac:dyDescent="0.25">
      <c r="B7421" t="s">
        <v>2709</v>
      </c>
      <c r="C7421">
        <v>75061000</v>
      </c>
      <c r="E7421" t="s">
        <v>19447</v>
      </c>
      <c r="F7421">
        <v>18</v>
      </c>
      <c r="G7421">
        <v>0</v>
      </c>
      <c r="H7421">
        <v>7.6</v>
      </c>
      <c r="I7421">
        <v>1.65</v>
      </c>
      <c r="J7421">
        <v>12</v>
      </c>
      <c r="L7421" t="s">
        <v>2709</v>
      </c>
      <c r="M7421">
        <v>75061000</v>
      </c>
      <c r="O7421" t="s">
        <v>19447</v>
      </c>
      <c r="P7421" t="s">
        <v>19899</v>
      </c>
      <c r="Q7421" t="s">
        <v>19900</v>
      </c>
      <c r="R7421" t="s">
        <v>19905</v>
      </c>
      <c r="S7421" t="s">
        <v>19906</v>
      </c>
      <c r="T7421" t="s">
        <v>19903</v>
      </c>
    </row>
    <row r="7422" spans="2:20" x14ac:dyDescent="0.25">
      <c r="B7422" t="s">
        <v>2709</v>
      </c>
      <c r="C7422">
        <v>75062000</v>
      </c>
      <c r="E7422" t="s">
        <v>19447</v>
      </c>
      <c r="F7422">
        <v>18</v>
      </c>
      <c r="G7422">
        <v>0</v>
      </c>
      <c r="H7422">
        <v>7.6</v>
      </c>
      <c r="I7422">
        <v>1.65</v>
      </c>
      <c r="J7422">
        <v>12</v>
      </c>
      <c r="L7422" t="s">
        <v>2709</v>
      </c>
      <c r="M7422">
        <v>75062000</v>
      </c>
      <c r="O7422" t="s">
        <v>19447</v>
      </c>
      <c r="P7422" t="s">
        <v>19899</v>
      </c>
      <c r="Q7422" t="s">
        <v>19900</v>
      </c>
      <c r="R7422" t="s">
        <v>19905</v>
      </c>
      <c r="S7422" t="s">
        <v>19906</v>
      </c>
      <c r="T7422" t="s">
        <v>19903</v>
      </c>
    </row>
    <row r="7423" spans="2:20" x14ac:dyDescent="0.25">
      <c r="B7423" t="s">
        <v>2709</v>
      </c>
      <c r="C7423">
        <v>75071100</v>
      </c>
      <c r="E7423" t="s">
        <v>19447</v>
      </c>
      <c r="F7423">
        <v>18</v>
      </c>
      <c r="G7423">
        <v>0</v>
      </c>
      <c r="H7423">
        <v>7.6</v>
      </c>
      <c r="I7423">
        <v>1.65</v>
      </c>
      <c r="J7423">
        <v>14</v>
      </c>
      <c r="L7423" t="s">
        <v>2709</v>
      </c>
      <c r="M7423">
        <v>75071100</v>
      </c>
      <c r="O7423" t="s">
        <v>19447</v>
      </c>
      <c r="P7423" t="s">
        <v>19899</v>
      </c>
      <c r="Q7423" t="s">
        <v>19900</v>
      </c>
      <c r="R7423" t="s">
        <v>19905</v>
      </c>
      <c r="S7423" t="s">
        <v>19906</v>
      </c>
      <c r="T7423" t="s">
        <v>19911</v>
      </c>
    </row>
    <row r="7424" spans="2:20" x14ac:dyDescent="0.25">
      <c r="B7424" t="s">
        <v>2709</v>
      </c>
      <c r="C7424">
        <v>75071200</v>
      </c>
      <c r="E7424" t="s">
        <v>19447</v>
      </c>
      <c r="F7424">
        <v>18</v>
      </c>
      <c r="G7424">
        <v>0</v>
      </c>
      <c r="H7424" t="s">
        <v>19447</v>
      </c>
      <c r="I7424" t="s">
        <v>19447</v>
      </c>
      <c r="J7424">
        <v>14</v>
      </c>
      <c r="L7424" t="s">
        <v>2709</v>
      </c>
      <c r="M7424">
        <v>75071200</v>
      </c>
      <c r="O7424" t="s">
        <v>19447</v>
      </c>
      <c r="P7424" t="s">
        <v>19899</v>
      </c>
      <c r="Q7424" t="s">
        <v>19900</v>
      </c>
      <c r="R7424" t="s">
        <v>19447</v>
      </c>
      <c r="S7424" t="s">
        <v>19447</v>
      </c>
      <c r="T7424" t="s">
        <v>19911</v>
      </c>
    </row>
    <row r="7425" spans="2:20" x14ac:dyDescent="0.25">
      <c r="B7425" t="s">
        <v>2709</v>
      </c>
      <c r="C7425">
        <v>75072000</v>
      </c>
      <c r="E7425" t="s">
        <v>19447</v>
      </c>
      <c r="F7425">
        <v>18</v>
      </c>
      <c r="G7425">
        <v>0</v>
      </c>
      <c r="H7425">
        <v>7.6</v>
      </c>
      <c r="I7425">
        <v>1.65</v>
      </c>
      <c r="J7425">
        <v>14</v>
      </c>
      <c r="L7425" t="s">
        <v>2709</v>
      </c>
      <c r="M7425">
        <v>75072000</v>
      </c>
      <c r="O7425" t="s">
        <v>19447</v>
      </c>
      <c r="P7425" t="s">
        <v>19899</v>
      </c>
      <c r="Q7425" t="s">
        <v>19900</v>
      </c>
      <c r="R7425" t="s">
        <v>19905</v>
      </c>
      <c r="S7425" t="s">
        <v>19906</v>
      </c>
      <c r="T7425" t="s">
        <v>19911</v>
      </c>
    </row>
    <row r="7426" spans="2:20" x14ac:dyDescent="0.25">
      <c r="B7426" t="s">
        <v>2709</v>
      </c>
      <c r="C7426">
        <v>75081000</v>
      </c>
      <c r="E7426" t="s">
        <v>19447</v>
      </c>
      <c r="F7426">
        <v>18</v>
      </c>
      <c r="G7426">
        <v>0</v>
      </c>
      <c r="H7426">
        <v>7.6</v>
      </c>
      <c r="I7426">
        <v>1.65</v>
      </c>
      <c r="J7426">
        <v>16</v>
      </c>
      <c r="L7426" t="s">
        <v>2709</v>
      </c>
      <c r="M7426">
        <v>75081000</v>
      </c>
      <c r="O7426" t="s">
        <v>19447</v>
      </c>
      <c r="P7426" t="s">
        <v>19899</v>
      </c>
      <c r="Q7426" t="s">
        <v>19900</v>
      </c>
      <c r="R7426" t="s">
        <v>19905</v>
      </c>
      <c r="S7426" t="s">
        <v>19906</v>
      </c>
      <c r="T7426" t="s">
        <v>19913</v>
      </c>
    </row>
    <row r="7427" spans="2:20" x14ac:dyDescent="0.25">
      <c r="B7427" t="s">
        <v>2709</v>
      </c>
      <c r="C7427">
        <v>75089010</v>
      </c>
      <c r="E7427" t="s">
        <v>19447</v>
      </c>
      <c r="F7427">
        <v>18</v>
      </c>
      <c r="G7427">
        <v>0</v>
      </c>
      <c r="H7427">
        <v>7.6</v>
      </c>
      <c r="I7427">
        <v>1.65</v>
      </c>
      <c r="J7427">
        <v>2</v>
      </c>
      <c r="L7427" t="s">
        <v>2709</v>
      </c>
      <c r="M7427">
        <v>75089010</v>
      </c>
      <c r="O7427" t="s">
        <v>19447</v>
      </c>
      <c r="P7427" t="s">
        <v>19899</v>
      </c>
      <c r="Q7427" t="s">
        <v>19900</v>
      </c>
      <c r="R7427" t="s">
        <v>19905</v>
      </c>
      <c r="S7427" t="s">
        <v>19906</v>
      </c>
      <c r="T7427" t="s">
        <v>19901</v>
      </c>
    </row>
    <row r="7428" spans="2:20" x14ac:dyDescent="0.25">
      <c r="B7428" t="s">
        <v>2709</v>
      </c>
      <c r="C7428">
        <v>75089090</v>
      </c>
      <c r="E7428" t="s">
        <v>19447</v>
      </c>
      <c r="F7428">
        <v>18</v>
      </c>
      <c r="G7428">
        <v>0</v>
      </c>
      <c r="H7428">
        <v>7.6</v>
      </c>
      <c r="I7428">
        <v>1.65</v>
      </c>
      <c r="J7428">
        <v>16</v>
      </c>
      <c r="L7428" t="s">
        <v>2709</v>
      </c>
      <c r="M7428">
        <v>75089090</v>
      </c>
      <c r="O7428" t="s">
        <v>19447</v>
      </c>
      <c r="P7428" t="s">
        <v>19899</v>
      </c>
      <c r="Q7428" t="s">
        <v>19900</v>
      </c>
      <c r="R7428" t="s">
        <v>19905</v>
      </c>
      <c r="S7428" t="s">
        <v>19906</v>
      </c>
      <c r="T7428" t="s">
        <v>19913</v>
      </c>
    </row>
    <row r="7429" spans="2:20" x14ac:dyDescent="0.25">
      <c r="B7429" t="s">
        <v>2709</v>
      </c>
      <c r="C7429">
        <v>76011000</v>
      </c>
      <c r="E7429">
        <v>59</v>
      </c>
      <c r="F7429">
        <v>18</v>
      </c>
      <c r="G7429">
        <v>4</v>
      </c>
      <c r="H7429">
        <v>7.6</v>
      </c>
      <c r="I7429">
        <v>1.65</v>
      </c>
      <c r="J7429">
        <v>0</v>
      </c>
      <c r="L7429" t="s">
        <v>2709</v>
      </c>
      <c r="M7429">
        <v>76011000</v>
      </c>
      <c r="O7429" t="s">
        <v>20002</v>
      </c>
      <c r="P7429" t="s">
        <v>19899</v>
      </c>
      <c r="Q7429" t="s">
        <v>19902</v>
      </c>
      <c r="R7429" t="s">
        <v>19905</v>
      </c>
      <c r="S7429" t="s">
        <v>19906</v>
      </c>
      <c r="T7429" t="s">
        <v>19900</v>
      </c>
    </row>
    <row r="7430" spans="2:20" x14ac:dyDescent="0.25">
      <c r="B7430" t="s">
        <v>2709</v>
      </c>
      <c r="C7430">
        <v>76012000</v>
      </c>
      <c r="E7430">
        <v>59</v>
      </c>
      <c r="F7430">
        <v>18</v>
      </c>
      <c r="G7430">
        <v>4</v>
      </c>
      <c r="H7430">
        <v>7.6</v>
      </c>
      <c r="I7430">
        <v>1.65</v>
      </c>
      <c r="J7430">
        <v>6</v>
      </c>
      <c r="L7430" t="s">
        <v>2709</v>
      </c>
      <c r="M7430">
        <v>76012000</v>
      </c>
      <c r="O7430" t="s">
        <v>20002</v>
      </c>
      <c r="P7430" t="s">
        <v>19899</v>
      </c>
      <c r="Q7430" t="s">
        <v>19902</v>
      </c>
      <c r="R7430" t="s">
        <v>19905</v>
      </c>
      <c r="S7430" t="s">
        <v>19906</v>
      </c>
      <c r="T7430" t="s">
        <v>19907</v>
      </c>
    </row>
    <row r="7431" spans="2:20" x14ac:dyDescent="0.25">
      <c r="B7431" t="s">
        <v>2709</v>
      </c>
      <c r="C7431">
        <v>76020000</v>
      </c>
      <c r="E7431">
        <v>59</v>
      </c>
      <c r="F7431">
        <v>18</v>
      </c>
      <c r="G7431">
        <v>0</v>
      </c>
      <c r="H7431" t="s">
        <v>19447</v>
      </c>
      <c r="I7431" t="s">
        <v>19447</v>
      </c>
      <c r="J7431">
        <v>0</v>
      </c>
      <c r="L7431" t="s">
        <v>2709</v>
      </c>
      <c r="M7431">
        <v>76020000</v>
      </c>
      <c r="O7431" t="s">
        <v>20002</v>
      </c>
      <c r="P7431" t="s">
        <v>19899</v>
      </c>
      <c r="Q7431" t="s">
        <v>19900</v>
      </c>
      <c r="R7431" t="s">
        <v>19447</v>
      </c>
      <c r="S7431" t="s">
        <v>19447</v>
      </c>
      <c r="T7431" t="s">
        <v>19900</v>
      </c>
    </row>
    <row r="7432" spans="2:20" x14ac:dyDescent="0.25">
      <c r="B7432" t="s">
        <v>2709</v>
      </c>
      <c r="C7432">
        <v>76031000</v>
      </c>
      <c r="E7432">
        <v>59</v>
      </c>
      <c r="F7432">
        <v>12</v>
      </c>
      <c r="G7432">
        <v>4</v>
      </c>
      <c r="H7432">
        <v>7.6</v>
      </c>
      <c r="I7432">
        <v>1.65</v>
      </c>
      <c r="J7432">
        <v>6</v>
      </c>
      <c r="L7432" t="s">
        <v>2709</v>
      </c>
      <c r="M7432">
        <v>76031000</v>
      </c>
      <c r="O7432" t="s">
        <v>20002</v>
      </c>
      <c r="P7432" t="s">
        <v>19903</v>
      </c>
      <c r="Q7432" t="s">
        <v>19902</v>
      </c>
      <c r="R7432" t="s">
        <v>19905</v>
      </c>
      <c r="S7432" t="s">
        <v>19906</v>
      </c>
      <c r="T7432" t="s">
        <v>19907</v>
      </c>
    </row>
    <row r="7433" spans="2:20" x14ac:dyDescent="0.25">
      <c r="B7433" t="s">
        <v>2709</v>
      </c>
      <c r="C7433">
        <v>76032000</v>
      </c>
      <c r="E7433">
        <v>59</v>
      </c>
      <c r="F7433">
        <v>12</v>
      </c>
      <c r="G7433">
        <v>4</v>
      </c>
      <c r="H7433">
        <v>7.6</v>
      </c>
      <c r="I7433">
        <v>1.65</v>
      </c>
      <c r="J7433">
        <v>6</v>
      </c>
      <c r="L7433" t="s">
        <v>2709</v>
      </c>
      <c r="M7433">
        <v>76032000</v>
      </c>
      <c r="O7433" t="s">
        <v>20002</v>
      </c>
      <c r="P7433" t="s">
        <v>19903</v>
      </c>
      <c r="Q7433" t="s">
        <v>19902</v>
      </c>
      <c r="R7433" t="s">
        <v>19905</v>
      </c>
      <c r="S7433" t="s">
        <v>19906</v>
      </c>
      <c r="T7433" t="s">
        <v>19907</v>
      </c>
    </row>
    <row r="7434" spans="2:20" x14ac:dyDescent="0.25">
      <c r="B7434" t="s">
        <v>2709</v>
      </c>
      <c r="C7434">
        <v>76041010</v>
      </c>
      <c r="E7434">
        <v>59</v>
      </c>
      <c r="F7434">
        <v>18</v>
      </c>
      <c r="G7434">
        <v>0</v>
      </c>
      <c r="H7434" t="s">
        <v>19447</v>
      </c>
      <c r="I7434" t="s">
        <v>19447</v>
      </c>
      <c r="J7434">
        <v>12</v>
      </c>
      <c r="L7434" t="s">
        <v>2709</v>
      </c>
      <c r="M7434">
        <v>76041010</v>
      </c>
      <c r="O7434" t="s">
        <v>20002</v>
      </c>
      <c r="P7434" t="s">
        <v>19899</v>
      </c>
      <c r="Q7434" t="s">
        <v>19900</v>
      </c>
      <c r="R7434" t="s">
        <v>19447</v>
      </c>
      <c r="S7434" t="s">
        <v>19447</v>
      </c>
      <c r="T7434" t="s">
        <v>19903</v>
      </c>
    </row>
    <row r="7435" spans="2:20" x14ac:dyDescent="0.25">
      <c r="B7435" t="s">
        <v>2709</v>
      </c>
      <c r="C7435">
        <v>76041021</v>
      </c>
      <c r="E7435">
        <v>59</v>
      </c>
      <c r="F7435">
        <v>18</v>
      </c>
      <c r="G7435">
        <v>0</v>
      </c>
      <c r="H7435" t="s">
        <v>19447</v>
      </c>
      <c r="I7435" t="s">
        <v>19447</v>
      </c>
      <c r="J7435">
        <v>12</v>
      </c>
      <c r="L7435" t="s">
        <v>2709</v>
      </c>
      <c r="M7435">
        <v>76041021</v>
      </c>
      <c r="O7435" t="s">
        <v>20002</v>
      </c>
      <c r="P7435" t="s">
        <v>19899</v>
      </c>
      <c r="Q7435" t="s">
        <v>19900</v>
      </c>
      <c r="R7435" t="s">
        <v>19447</v>
      </c>
      <c r="S7435" t="s">
        <v>19447</v>
      </c>
      <c r="T7435" t="s">
        <v>19903</v>
      </c>
    </row>
    <row r="7436" spans="2:20" x14ac:dyDescent="0.25">
      <c r="B7436" t="s">
        <v>2709</v>
      </c>
      <c r="C7436">
        <v>76041029</v>
      </c>
      <c r="E7436">
        <v>59</v>
      </c>
      <c r="F7436">
        <v>18</v>
      </c>
      <c r="G7436">
        <v>0</v>
      </c>
      <c r="H7436" t="s">
        <v>19447</v>
      </c>
      <c r="I7436" t="s">
        <v>19447</v>
      </c>
      <c r="J7436">
        <v>12</v>
      </c>
      <c r="L7436" t="s">
        <v>2709</v>
      </c>
      <c r="M7436">
        <v>76041029</v>
      </c>
      <c r="O7436" t="s">
        <v>20002</v>
      </c>
      <c r="P7436" t="s">
        <v>19899</v>
      </c>
      <c r="Q7436" t="s">
        <v>19900</v>
      </c>
      <c r="R7436" t="s">
        <v>19447</v>
      </c>
      <c r="S7436" t="s">
        <v>19447</v>
      </c>
      <c r="T7436" t="s">
        <v>19903</v>
      </c>
    </row>
    <row r="7437" spans="2:20" x14ac:dyDescent="0.25">
      <c r="B7437" t="s">
        <v>2709</v>
      </c>
      <c r="C7437">
        <v>76042100</v>
      </c>
      <c r="E7437">
        <v>59</v>
      </c>
      <c r="F7437">
        <v>18</v>
      </c>
      <c r="G7437">
        <v>0</v>
      </c>
      <c r="H7437" t="s">
        <v>19447</v>
      </c>
      <c r="I7437" t="s">
        <v>19447</v>
      </c>
      <c r="J7437">
        <v>12</v>
      </c>
      <c r="L7437" t="s">
        <v>2709</v>
      </c>
      <c r="M7437">
        <v>76042100</v>
      </c>
      <c r="O7437" t="s">
        <v>20002</v>
      </c>
      <c r="P7437" t="s">
        <v>19899</v>
      </c>
      <c r="Q7437" t="s">
        <v>19900</v>
      </c>
      <c r="R7437" t="s">
        <v>19447</v>
      </c>
      <c r="S7437" t="s">
        <v>19447</v>
      </c>
      <c r="T7437" t="s">
        <v>19903</v>
      </c>
    </row>
    <row r="7438" spans="2:20" x14ac:dyDescent="0.25">
      <c r="B7438" t="s">
        <v>2709</v>
      </c>
      <c r="C7438">
        <v>76042911</v>
      </c>
      <c r="E7438">
        <v>59</v>
      </c>
      <c r="F7438">
        <v>18</v>
      </c>
      <c r="G7438">
        <v>0</v>
      </c>
      <c r="H7438" t="s">
        <v>19447</v>
      </c>
      <c r="I7438" t="s">
        <v>19447</v>
      </c>
      <c r="J7438">
        <v>2</v>
      </c>
      <c r="L7438" t="s">
        <v>2709</v>
      </c>
      <c r="M7438">
        <v>76042911</v>
      </c>
      <c r="O7438" t="s">
        <v>20002</v>
      </c>
      <c r="P7438" t="s">
        <v>19899</v>
      </c>
      <c r="Q7438" t="s">
        <v>19900</v>
      </c>
      <c r="R7438" t="s">
        <v>19447</v>
      </c>
      <c r="S7438" t="s">
        <v>19447</v>
      </c>
      <c r="T7438" t="s">
        <v>19901</v>
      </c>
    </row>
    <row r="7439" spans="2:20" x14ac:dyDescent="0.25">
      <c r="B7439" t="s">
        <v>2709</v>
      </c>
      <c r="C7439">
        <v>76042919</v>
      </c>
      <c r="E7439">
        <v>59</v>
      </c>
      <c r="F7439">
        <v>18</v>
      </c>
      <c r="G7439">
        <v>0</v>
      </c>
      <c r="H7439" t="s">
        <v>19447</v>
      </c>
      <c r="I7439" t="s">
        <v>19447</v>
      </c>
      <c r="J7439">
        <v>12</v>
      </c>
      <c r="L7439" t="s">
        <v>2709</v>
      </c>
      <c r="M7439">
        <v>76042919</v>
      </c>
      <c r="O7439" t="s">
        <v>20002</v>
      </c>
      <c r="P7439" t="s">
        <v>19899</v>
      </c>
      <c r="Q7439" t="s">
        <v>19900</v>
      </c>
      <c r="R7439" t="s">
        <v>19447</v>
      </c>
      <c r="S7439" t="s">
        <v>19447</v>
      </c>
      <c r="T7439" t="s">
        <v>19903</v>
      </c>
    </row>
    <row r="7440" spans="2:20" x14ac:dyDescent="0.25">
      <c r="B7440" t="s">
        <v>2709</v>
      </c>
      <c r="C7440">
        <v>76042920</v>
      </c>
      <c r="E7440">
        <v>59</v>
      </c>
      <c r="F7440">
        <v>18</v>
      </c>
      <c r="G7440">
        <v>0</v>
      </c>
      <c r="H7440" t="s">
        <v>19447</v>
      </c>
      <c r="I7440" t="s">
        <v>19447</v>
      </c>
      <c r="J7440">
        <v>12</v>
      </c>
      <c r="L7440" t="s">
        <v>2709</v>
      </c>
      <c r="M7440">
        <v>76042920</v>
      </c>
      <c r="O7440" t="s">
        <v>20002</v>
      </c>
      <c r="P7440" t="s">
        <v>19899</v>
      </c>
      <c r="Q7440" t="s">
        <v>19900</v>
      </c>
      <c r="R7440" t="s">
        <v>19447</v>
      </c>
      <c r="S7440" t="s">
        <v>19447</v>
      </c>
      <c r="T7440" t="s">
        <v>19903</v>
      </c>
    </row>
    <row r="7441" spans="2:20" x14ac:dyDescent="0.25">
      <c r="B7441" t="s">
        <v>2709</v>
      </c>
      <c r="C7441">
        <v>76051110</v>
      </c>
      <c r="E7441">
        <v>42</v>
      </c>
      <c r="F7441">
        <v>18</v>
      </c>
      <c r="G7441">
        <v>5</v>
      </c>
      <c r="H7441">
        <v>7.6</v>
      </c>
      <c r="I7441">
        <v>1.65</v>
      </c>
      <c r="J7441">
        <v>12</v>
      </c>
      <c r="L7441" t="s">
        <v>2709</v>
      </c>
      <c r="M7441">
        <v>76051110</v>
      </c>
      <c r="O7441" t="s">
        <v>20041</v>
      </c>
      <c r="P7441" t="s">
        <v>19899</v>
      </c>
      <c r="Q7441" t="s">
        <v>19909</v>
      </c>
      <c r="R7441" t="s">
        <v>19905</v>
      </c>
      <c r="S7441" t="s">
        <v>19906</v>
      </c>
      <c r="T7441" t="s">
        <v>19903</v>
      </c>
    </row>
    <row r="7442" spans="2:20" x14ac:dyDescent="0.25">
      <c r="B7442" t="s">
        <v>2709</v>
      </c>
      <c r="C7442">
        <v>76051190</v>
      </c>
      <c r="E7442">
        <v>42</v>
      </c>
      <c r="F7442">
        <v>18</v>
      </c>
      <c r="G7442">
        <v>5</v>
      </c>
      <c r="H7442">
        <v>7.6</v>
      </c>
      <c r="I7442">
        <v>1.65</v>
      </c>
      <c r="J7442">
        <v>12</v>
      </c>
      <c r="L7442" t="s">
        <v>2709</v>
      </c>
      <c r="M7442">
        <v>76051190</v>
      </c>
      <c r="O7442" t="s">
        <v>20041</v>
      </c>
      <c r="P7442" t="s">
        <v>19899</v>
      </c>
      <c r="Q7442" t="s">
        <v>19909</v>
      </c>
      <c r="R7442" t="s">
        <v>19905</v>
      </c>
      <c r="S7442" t="s">
        <v>19906</v>
      </c>
      <c r="T7442" t="s">
        <v>19903</v>
      </c>
    </row>
    <row r="7443" spans="2:20" x14ac:dyDescent="0.25">
      <c r="B7443" t="s">
        <v>2709</v>
      </c>
      <c r="C7443">
        <v>76051910</v>
      </c>
      <c r="E7443">
        <v>42</v>
      </c>
      <c r="F7443">
        <v>18</v>
      </c>
      <c r="G7443">
        <v>5</v>
      </c>
      <c r="H7443">
        <v>7.6</v>
      </c>
      <c r="I7443">
        <v>1.65</v>
      </c>
      <c r="J7443">
        <v>12</v>
      </c>
      <c r="L7443" t="s">
        <v>2709</v>
      </c>
      <c r="M7443">
        <v>76051910</v>
      </c>
      <c r="O7443" t="s">
        <v>20041</v>
      </c>
      <c r="P7443" t="s">
        <v>19899</v>
      </c>
      <c r="Q7443" t="s">
        <v>19909</v>
      </c>
      <c r="R7443" t="s">
        <v>19905</v>
      </c>
      <c r="S7443" t="s">
        <v>19906</v>
      </c>
      <c r="T7443" t="s">
        <v>19903</v>
      </c>
    </row>
    <row r="7444" spans="2:20" x14ac:dyDescent="0.25">
      <c r="B7444" t="s">
        <v>2709</v>
      </c>
      <c r="C7444">
        <v>76051990</v>
      </c>
      <c r="E7444">
        <v>42</v>
      </c>
      <c r="F7444">
        <v>18</v>
      </c>
      <c r="G7444">
        <v>5</v>
      </c>
      <c r="H7444">
        <v>7.6</v>
      </c>
      <c r="I7444">
        <v>1.65</v>
      </c>
      <c r="J7444">
        <v>12</v>
      </c>
      <c r="L7444" t="s">
        <v>2709</v>
      </c>
      <c r="M7444">
        <v>76051990</v>
      </c>
      <c r="O7444" t="s">
        <v>20041</v>
      </c>
      <c r="P7444" t="s">
        <v>19899</v>
      </c>
      <c r="Q7444" t="s">
        <v>19909</v>
      </c>
      <c r="R7444" t="s">
        <v>19905</v>
      </c>
      <c r="S7444" t="s">
        <v>19906</v>
      </c>
      <c r="T7444" t="s">
        <v>19903</v>
      </c>
    </row>
    <row r="7445" spans="2:20" x14ac:dyDescent="0.25">
      <c r="B7445" t="s">
        <v>2709</v>
      </c>
      <c r="C7445">
        <v>76052110</v>
      </c>
      <c r="E7445">
        <v>42</v>
      </c>
      <c r="F7445">
        <v>18</v>
      </c>
      <c r="G7445">
        <v>5</v>
      </c>
      <c r="H7445">
        <v>7.6</v>
      </c>
      <c r="I7445">
        <v>1.65</v>
      </c>
      <c r="J7445">
        <v>12</v>
      </c>
      <c r="L7445" t="s">
        <v>2709</v>
      </c>
      <c r="M7445">
        <v>76052110</v>
      </c>
      <c r="O7445" t="s">
        <v>20041</v>
      </c>
      <c r="P7445" t="s">
        <v>19899</v>
      </c>
      <c r="Q7445" t="s">
        <v>19909</v>
      </c>
      <c r="R7445" t="s">
        <v>19905</v>
      </c>
      <c r="S7445" t="s">
        <v>19906</v>
      </c>
      <c r="T7445" t="s">
        <v>19903</v>
      </c>
    </row>
    <row r="7446" spans="2:20" x14ac:dyDescent="0.25">
      <c r="B7446" t="s">
        <v>2709</v>
      </c>
      <c r="C7446">
        <v>76052190</v>
      </c>
      <c r="E7446">
        <v>42</v>
      </c>
      <c r="F7446">
        <v>18</v>
      </c>
      <c r="G7446">
        <v>5</v>
      </c>
      <c r="H7446">
        <v>7.6</v>
      </c>
      <c r="I7446">
        <v>1.65</v>
      </c>
      <c r="J7446">
        <v>12</v>
      </c>
      <c r="L7446" t="s">
        <v>2709</v>
      </c>
      <c r="M7446">
        <v>76052190</v>
      </c>
      <c r="O7446" t="s">
        <v>20041</v>
      </c>
      <c r="P7446" t="s">
        <v>19899</v>
      </c>
      <c r="Q7446" t="s">
        <v>19909</v>
      </c>
      <c r="R7446" t="s">
        <v>19905</v>
      </c>
      <c r="S7446" t="s">
        <v>19906</v>
      </c>
      <c r="T7446" t="s">
        <v>19903</v>
      </c>
    </row>
    <row r="7447" spans="2:20" x14ac:dyDescent="0.25">
      <c r="B7447" t="s">
        <v>2709</v>
      </c>
      <c r="C7447">
        <v>76052910</v>
      </c>
      <c r="E7447">
        <v>42</v>
      </c>
      <c r="F7447">
        <v>18</v>
      </c>
      <c r="G7447">
        <v>5</v>
      </c>
      <c r="H7447">
        <v>7.6</v>
      </c>
      <c r="I7447">
        <v>1.65</v>
      </c>
      <c r="J7447">
        <v>12</v>
      </c>
      <c r="L7447" t="s">
        <v>2709</v>
      </c>
      <c r="M7447">
        <v>76052910</v>
      </c>
      <c r="O7447" t="s">
        <v>20041</v>
      </c>
      <c r="P7447" t="s">
        <v>19899</v>
      </c>
      <c r="Q7447" t="s">
        <v>19909</v>
      </c>
      <c r="R7447" t="s">
        <v>19905</v>
      </c>
      <c r="S7447" t="s">
        <v>19906</v>
      </c>
      <c r="T7447" t="s">
        <v>19903</v>
      </c>
    </row>
    <row r="7448" spans="2:20" x14ac:dyDescent="0.25">
      <c r="B7448" t="s">
        <v>2709</v>
      </c>
      <c r="C7448">
        <v>76052990</v>
      </c>
      <c r="E7448">
        <v>42</v>
      </c>
      <c r="F7448">
        <v>18</v>
      </c>
      <c r="G7448">
        <v>5</v>
      </c>
      <c r="H7448">
        <v>7.6</v>
      </c>
      <c r="I7448">
        <v>1.65</v>
      </c>
      <c r="J7448">
        <v>12</v>
      </c>
      <c r="L7448" t="s">
        <v>2709</v>
      </c>
      <c r="M7448">
        <v>76052990</v>
      </c>
      <c r="O7448" t="s">
        <v>20041</v>
      </c>
      <c r="P7448" t="s">
        <v>19899</v>
      </c>
      <c r="Q7448" t="s">
        <v>19909</v>
      </c>
      <c r="R7448" t="s">
        <v>19905</v>
      </c>
      <c r="S7448" t="s">
        <v>19906</v>
      </c>
      <c r="T7448" t="s">
        <v>19903</v>
      </c>
    </row>
    <row r="7449" spans="2:20" x14ac:dyDescent="0.25">
      <c r="B7449" t="s">
        <v>2709</v>
      </c>
      <c r="C7449">
        <v>76061110</v>
      </c>
      <c r="E7449">
        <v>59</v>
      </c>
      <c r="F7449">
        <v>18</v>
      </c>
      <c r="G7449">
        <v>5</v>
      </c>
      <c r="H7449">
        <v>7.6</v>
      </c>
      <c r="I7449">
        <v>1.65</v>
      </c>
      <c r="J7449">
        <v>2</v>
      </c>
      <c r="L7449" t="s">
        <v>2709</v>
      </c>
      <c r="M7449">
        <v>76061110</v>
      </c>
      <c r="O7449" t="s">
        <v>20002</v>
      </c>
      <c r="P7449" t="s">
        <v>19899</v>
      </c>
      <c r="Q7449" t="s">
        <v>19909</v>
      </c>
      <c r="R7449" t="s">
        <v>19905</v>
      </c>
      <c r="S7449" t="s">
        <v>19906</v>
      </c>
      <c r="T7449" t="s">
        <v>19901</v>
      </c>
    </row>
    <row r="7450" spans="2:20" x14ac:dyDescent="0.25">
      <c r="B7450" t="s">
        <v>2709</v>
      </c>
      <c r="C7450">
        <v>76061190</v>
      </c>
      <c r="E7450">
        <v>59</v>
      </c>
      <c r="F7450">
        <v>18</v>
      </c>
      <c r="G7450">
        <v>5</v>
      </c>
      <c r="H7450">
        <v>7.6</v>
      </c>
      <c r="I7450">
        <v>1.65</v>
      </c>
      <c r="J7450">
        <v>12</v>
      </c>
      <c r="L7450" t="s">
        <v>2709</v>
      </c>
      <c r="M7450">
        <v>76061190</v>
      </c>
      <c r="O7450" t="s">
        <v>20002</v>
      </c>
      <c r="P7450" t="s">
        <v>19899</v>
      </c>
      <c r="Q7450" t="s">
        <v>19909</v>
      </c>
      <c r="R7450" t="s">
        <v>19905</v>
      </c>
      <c r="S7450" t="s">
        <v>19906</v>
      </c>
      <c r="T7450" t="s">
        <v>19903</v>
      </c>
    </row>
    <row r="7451" spans="2:20" x14ac:dyDescent="0.25">
      <c r="B7451" t="s">
        <v>2709</v>
      </c>
      <c r="C7451">
        <v>76061210</v>
      </c>
      <c r="E7451">
        <v>59</v>
      </c>
      <c r="F7451">
        <v>18</v>
      </c>
      <c r="G7451">
        <v>5</v>
      </c>
      <c r="H7451" t="s">
        <v>19447</v>
      </c>
      <c r="I7451" t="s">
        <v>19447</v>
      </c>
      <c r="J7451">
        <v>12</v>
      </c>
      <c r="L7451" t="s">
        <v>2709</v>
      </c>
      <c r="M7451">
        <v>76061210</v>
      </c>
      <c r="O7451" t="s">
        <v>20002</v>
      </c>
      <c r="P7451" t="s">
        <v>19899</v>
      </c>
      <c r="Q7451" t="s">
        <v>19909</v>
      </c>
      <c r="R7451" t="s">
        <v>19447</v>
      </c>
      <c r="S7451" t="s">
        <v>19447</v>
      </c>
      <c r="T7451" t="s">
        <v>19903</v>
      </c>
    </row>
    <row r="7452" spans="2:20" x14ac:dyDescent="0.25">
      <c r="B7452" t="s">
        <v>2709</v>
      </c>
      <c r="C7452">
        <v>76061220</v>
      </c>
      <c r="E7452">
        <v>59</v>
      </c>
      <c r="F7452">
        <v>18</v>
      </c>
      <c r="G7452">
        <v>5</v>
      </c>
      <c r="H7452" t="s">
        <v>19447</v>
      </c>
      <c r="I7452" t="s">
        <v>19447</v>
      </c>
      <c r="J7452">
        <v>2</v>
      </c>
      <c r="L7452" t="s">
        <v>2709</v>
      </c>
      <c r="M7452">
        <v>76061220</v>
      </c>
      <c r="O7452" t="s">
        <v>20002</v>
      </c>
      <c r="P7452" t="s">
        <v>19899</v>
      </c>
      <c r="Q7452" t="s">
        <v>19909</v>
      </c>
      <c r="R7452" t="s">
        <v>19447</v>
      </c>
      <c r="S7452" t="s">
        <v>19447</v>
      </c>
      <c r="T7452" t="s">
        <v>19901</v>
      </c>
    </row>
    <row r="7453" spans="2:20" x14ac:dyDescent="0.25">
      <c r="B7453" t="s">
        <v>2709</v>
      </c>
      <c r="C7453">
        <v>76061290</v>
      </c>
      <c r="E7453">
        <v>59</v>
      </c>
      <c r="F7453">
        <v>18</v>
      </c>
      <c r="G7453">
        <v>5</v>
      </c>
      <c r="H7453" t="s">
        <v>19447</v>
      </c>
      <c r="I7453" t="s">
        <v>19447</v>
      </c>
      <c r="J7453">
        <v>12</v>
      </c>
      <c r="L7453" t="s">
        <v>2709</v>
      </c>
      <c r="M7453">
        <v>76061290</v>
      </c>
      <c r="O7453" t="s">
        <v>20002</v>
      </c>
      <c r="P7453" t="s">
        <v>19899</v>
      </c>
      <c r="Q7453" t="s">
        <v>19909</v>
      </c>
      <c r="R7453" t="s">
        <v>19447</v>
      </c>
      <c r="S7453" t="s">
        <v>19447</v>
      </c>
      <c r="T7453" t="s">
        <v>19903</v>
      </c>
    </row>
    <row r="7454" spans="2:20" x14ac:dyDescent="0.25">
      <c r="B7454" t="s">
        <v>2709</v>
      </c>
      <c r="C7454">
        <v>76069100</v>
      </c>
      <c r="E7454">
        <v>59</v>
      </c>
      <c r="F7454">
        <v>18</v>
      </c>
      <c r="G7454">
        <v>5</v>
      </c>
      <c r="H7454">
        <v>7.6</v>
      </c>
      <c r="I7454">
        <v>1.65</v>
      </c>
      <c r="J7454">
        <v>12</v>
      </c>
      <c r="L7454" t="s">
        <v>2709</v>
      </c>
      <c r="M7454">
        <v>76069100</v>
      </c>
      <c r="O7454" t="s">
        <v>20002</v>
      </c>
      <c r="P7454" t="s">
        <v>19899</v>
      </c>
      <c r="Q7454" t="s">
        <v>19909</v>
      </c>
      <c r="R7454" t="s">
        <v>19905</v>
      </c>
      <c r="S7454" t="s">
        <v>19906</v>
      </c>
      <c r="T7454" t="s">
        <v>19903</v>
      </c>
    </row>
    <row r="7455" spans="2:20" x14ac:dyDescent="0.25">
      <c r="B7455" t="s">
        <v>2709</v>
      </c>
      <c r="C7455">
        <v>76069200</v>
      </c>
      <c r="E7455">
        <v>59</v>
      </c>
      <c r="F7455">
        <v>18</v>
      </c>
      <c r="G7455">
        <v>5</v>
      </c>
      <c r="H7455">
        <v>7.6</v>
      </c>
      <c r="I7455">
        <v>1.65</v>
      </c>
      <c r="J7455">
        <v>12</v>
      </c>
      <c r="L7455" t="s">
        <v>2709</v>
      </c>
      <c r="M7455">
        <v>76069200</v>
      </c>
      <c r="O7455" t="s">
        <v>20002</v>
      </c>
      <c r="P7455" t="s">
        <v>19899</v>
      </c>
      <c r="Q7455" t="s">
        <v>19909</v>
      </c>
      <c r="R7455" t="s">
        <v>19905</v>
      </c>
      <c r="S7455" t="s">
        <v>19906</v>
      </c>
      <c r="T7455" t="s">
        <v>19903</v>
      </c>
    </row>
    <row r="7456" spans="2:20" x14ac:dyDescent="0.25">
      <c r="B7456" t="s">
        <v>2709</v>
      </c>
      <c r="C7456">
        <v>76071110</v>
      </c>
      <c r="E7456">
        <v>59</v>
      </c>
      <c r="F7456">
        <v>18</v>
      </c>
      <c r="G7456">
        <v>5</v>
      </c>
      <c r="H7456">
        <v>7.6</v>
      </c>
      <c r="I7456">
        <v>1.65</v>
      </c>
      <c r="J7456">
        <v>2</v>
      </c>
      <c r="L7456" t="s">
        <v>2709</v>
      </c>
      <c r="M7456">
        <v>76071110</v>
      </c>
      <c r="O7456" t="s">
        <v>20002</v>
      </c>
      <c r="P7456" t="s">
        <v>19899</v>
      </c>
      <c r="Q7456" t="s">
        <v>19909</v>
      </c>
      <c r="R7456" t="s">
        <v>19905</v>
      </c>
      <c r="S7456" t="s">
        <v>19906</v>
      </c>
      <c r="T7456" t="s">
        <v>19901</v>
      </c>
    </row>
    <row r="7457" spans="2:20" x14ac:dyDescent="0.25">
      <c r="B7457" t="s">
        <v>2709</v>
      </c>
      <c r="C7457">
        <v>76071190</v>
      </c>
      <c r="E7457">
        <v>112.46</v>
      </c>
      <c r="F7457">
        <v>18</v>
      </c>
      <c r="G7457">
        <v>5</v>
      </c>
      <c r="H7457">
        <v>7.6</v>
      </c>
      <c r="I7457">
        <v>1.65</v>
      </c>
      <c r="J7457">
        <v>12</v>
      </c>
      <c r="L7457" t="s">
        <v>2709</v>
      </c>
      <c r="M7457">
        <v>76071190</v>
      </c>
      <c r="O7457" t="s">
        <v>20055</v>
      </c>
      <c r="P7457" t="s">
        <v>19899</v>
      </c>
      <c r="Q7457" t="s">
        <v>19909</v>
      </c>
      <c r="R7457" t="s">
        <v>19905</v>
      </c>
      <c r="S7457" t="s">
        <v>19906</v>
      </c>
      <c r="T7457" t="s">
        <v>19903</v>
      </c>
    </row>
    <row r="7458" spans="2:20" x14ac:dyDescent="0.25">
      <c r="B7458" t="s">
        <v>2709</v>
      </c>
      <c r="C7458">
        <v>76071910</v>
      </c>
      <c r="E7458">
        <v>59</v>
      </c>
      <c r="F7458">
        <v>18</v>
      </c>
      <c r="G7458">
        <v>5</v>
      </c>
      <c r="H7458">
        <v>7.6</v>
      </c>
      <c r="I7458">
        <v>1.65</v>
      </c>
      <c r="J7458">
        <v>2</v>
      </c>
      <c r="L7458" t="s">
        <v>2709</v>
      </c>
      <c r="M7458">
        <v>76071910</v>
      </c>
      <c r="O7458" t="s">
        <v>20002</v>
      </c>
      <c r="P7458" t="s">
        <v>19899</v>
      </c>
      <c r="Q7458" t="s">
        <v>19909</v>
      </c>
      <c r="R7458" t="s">
        <v>19905</v>
      </c>
      <c r="S7458" t="s">
        <v>19906</v>
      </c>
      <c r="T7458" t="s">
        <v>19901</v>
      </c>
    </row>
    <row r="7459" spans="2:20" x14ac:dyDescent="0.25">
      <c r="B7459" t="s">
        <v>2709</v>
      </c>
      <c r="C7459">
        <v>76071990</v>
      </c>
      <c r="E7459">
        <v>59</v>
      </c>
      <c r="F7459">
        <v>18</v>
      </c>
      <c r="G7459">
        <v>5</v>
      </c>
      <c r="H7459">
        <v>7.6</v>
      </c>
      <c r="I7459">
        <v>1.65</v>
      </c>
      <c r="J7459">
        <v>12</v>
      </c>
      <c r="L7459" t="s">
        <v>2709</v>
      </c>
      <c r="M7459">
        <v>76071990</v>
      </c>
      <c r="O7459" t="s">
        <v>20002</v>
      </c>
      <c r="P7459" t="s">
        <v>19899</v>
      </c>
      <c r="Q7459" t="s">
        <v>19909</v>
      </c>
      <c r="R7459" t="s">
        <v>19905</v>
      </c>
      <c r="S7459" t="s">
        <v>19906</v>
      </c>
      <c r="T7459" t="s">
        <v>19903</v>
      </c>
    </row>
    <row r="7460" spans="2:20" x14ac:dyDescent="0.25">
      <c r="B7460" t="s">
        <v>2709</v>
      </c>
      <c r="C7460">
        <v>76072000</v>
      </c>
      <c r="E7460">
        <v>59</v>
      </c>
      <c r="F7460">
        <v>18</v>
      </c>
      <c r="G7460">
        <v>5</v>
      </c>
      <c r="H7460">
        <v>7.6</v>
      </c>
      <c r="I7460">
        <v>1.65</v>
      </c>
      <c r="J7460">
        <v>12</v>
      </c>
      <c r="L7460" t="s">
        <v>2709</v>
      </c>
      <c r="M7460">
        <v>76072000</v>
      </c>
      <c r="O7460" t="s">
        <v>20002</v>
      </c>
      <c r="P7460" t="s">
        <v>19899</v>
      </c>
      <c r="Q7460" t="s">
        <v>19909</v>
      </c>
      <c r="R7460" t="s">
        <v>19905</v>
      </c>
      <c r="S7460" t="s">
        <v>19906</v>
      </c>
      <c r="T7460" t="s">
        <v>19903</v>
      </c>
    </row>
    <row r="7461" spans="2:20" x14ac:dyDescent="0.25">
      <c r="B7461" t="s">
        <v>2709</v>
      </c>
      <c r="C7461">
        <v>76081000</v>
      </c>
      <c r="E7461">
        <v>44.53</v>
      </c>
      <c r="F7461">
        <v>18</v>
      </c>
      <c r="G7461">
        <v>0</v>
      </c>
      <c r="H7461" t="s">
        <v>19447</v>
      </c>
      <c r="I7461" t="s">
        <v>19447</v>
      </c>
      <c r="J7461">
        <v>14</v>
      </c>
      <c r="L7461" t="s">
        <v>2709</v>
      </c>
      <c r="M7461">
        <v>76081000</v>
      </c>
      <c r="O7461" t="s">
        <v>20142</v>
      </c>
      <c r="P7461" t="s">
        <v>19899</v>
      </c>
      <c r="Q7461" t="s">
        <v>19900</v>
      </c>
      <c r="R7461" t="s">
        <v>19447</v>
      </c>
      <c r="S7461" t="s">
        <v>19447</v>
      </c>
      <c r="T7461" t="s">
        <v>19911</v>
      </c>
    </row>
    <row r="7462" spans="2:20" x14ac:dyDescent="0.25">
      <c r="B7462" t="s">
        <v>2709</v>
      </c>
      <c r="C7462">
        <v>76082010</v>
      </c>
      <c r="E7462">
        <v>44.53</v>
      </c>
      <c r="F7462">
        <v>18</v>
      </c>
      <c r="G7462">
        <v>0</v>
      </c>
      <c r="H7462" t="s">
        <v>19447</v>
      </c>
      <c r="I7462" t="s">
        <v>19447</v>
      </c>
      <c r="J7462">
        <v>2</v>
      </c>
      <c r="L7462" t="s">
        <v>2709</v>
      </c>
      <c r="M7462">
        <v>76082010</v>
      </c>
      <c r="O7462" t="s">
        <v>20142</v>
      </c>
      <c r="P7462" t="s">
        <v>19899</v>
      </c>
      <c r="Q7462" t="s">
        <v>19900</v>
      </c>
      <c r="R7462" t="s">
        <v>19447</v>
      </c>
      <c r="S7462" t="s">
        <v>19447</v>
      </c>
      <c r="T7462" t="s">
        <v>19901</v>
      </c>
    </row>
    <row r="7463" spans="2:20" x14ac:dyDescent="0.25">
      <c r="B7463" t="s">
        <v>2709</v>
      </c>
      <c r="C7463">
        <v>76082090</v>
      </c>
      <c r="E7463">
        <v>44.53</v>
      </c>
      <c r="F7463">
        <v>18</v>
      </c>
      <c r="G7463">
        <v>0</v>
      </c>
      <c r="H7463" t="s">
        <v>19447</v>
      </c>
      <c r="I7463" t="s">
        <v>19447</v>
      </c>
      <c r="J7463">
        <v>14</v>
      </c>
      <c r="L7463" t="s">
        <v>2709</v>
      </c>
      <c r="M7463">
        <v>76082090</v>
      </c>
      <c r="O7463" t="s">
        <v>20142</v>
      </c>
      <c r="P7463" t="s">
        <v>19899</v>
      </c>
      <c r="Q7463" t="s">
        <v>19900</v>
      </c>
      <c r="R7463" t="s">
        <v>19447</v>
      </c>
      <c r="S7463" t="s">
        <v>19447</v>
      </c>
      <c r="T7463" t="s">
        <v>19911</v>
      </c>
    </row>
    <row r="7464" spans="2:20" x14ac:dyDescent="0.25">
      <c r="B7464" t="s">
        <v>2709</v>
      </c>
      <c r="C7464">
        <v>76090000</v>
      </c>
      <c r="E7464">
        <v>66</v>
      </c>
      <c r="F7464">
        <v>18</v>
      </c>
      <c r="G7464">
        <v>5</v>
      </c>
      <c r="H7464">
        <v>7.6</v>
      </c>
      <c r="I7464">
        <v>1.65</v>
      </c>
      <c r="J7464">
        <v>14</v>
      </c>
      <c r="L7464" t="s">
        <v>2709</v>
      </c>
      <c r="M7464">
        <v>76090000</v>
      </c>
      <c r="O7464" t="s">
        <v>20143</v>
      </c>
      <c r="P7464" t="s">
        <v>19899</v>
      </c>
      <c r="Q7464" t="s">
        <v>19909</v>
      </c>
      <c r="R7464" t="s">
        <v>19905</v>
      </c>
      <c r="S7464" t="s">
        <v>19906</v>
      </c>
      <c r="T7464" t="s">
        <v>19911</v>
      </c>
    </row>
    <row r="7465" spans="2:20" x14ac:dyDescent="0.25">
      <c r="B7465" t="s">
        <v>2709</v>
      </c>
      <c r="C7465">
        <v>76101000</v>
      </c>
      <c r="E7465">
        <v>38</v>
      </c>
      <c r="F7465">
        <v>18</v>
      </c>
      <c r="G7465">
        <v>0</v>
      </c>
      <c r="H7465" t="s">
        <v>19447</v>
      </c>
      <c r="I7465" t="s">
        <v>19447</v>
      </c>
      <c r="J7465">
        <v>16</v>
      </c>
      <c r="L7465" t="s">
        <v>2709</v>
      </c>
      <c r="M7465">
        <v>76101000</v>
      </c>
      <c r="O7465" t="s">
        <v>20008</v>
      </c>
      <c r="P7465" t="s">
        <v>19899</v>
      </c>
      <c r="Q7465" t="s">
        <v>19900</v>
      </c>
      <c r="R7465" t="s">
        <v>19447</v>
      </c>
      <c r="S7465" t="s">
        <v>19447</v>
      </c>
      <c r="T7465" t="s">
        <v>19913</v>
      </c>
    </row>
    <row r="7466" spans="2:20" x14ac:dyDescent="0.25">
      <c r="B7466" t="s">
        <v>2709</v>
      </c>
      <c r="C7466">
        <v>76109000</v>
      </c>
      <c r="E7466">
        <v>38</v>
      </c>
      <c r="F7466">
        <v>18</v>
      </c>
      <c r="G7466">
        <v>0</v>
      </c>
      <c r="H7466" t="s">
        <v>19447</v>
      </c>
      <c r="I7466" t="s">
        <v>19447</v>
      </c>
      <c r="J7466">
        <v>16</v>
      </c>
      <c r="L7466" t="s">
        <v>2709</v>
      </c>
      <c r="M7466">
        <v>76109000</v>
      </c>
      <c r="O7466" t="s">
        <v>20008</v>
      </c>
      <c r="P7466" t="s">
        <v>19899</v>
      </c>
      <c r="Q7466" t="s">
        <v>19900</v>
      </c>
      <c r="R7466" t="s">
        <v>19447</v>
      </c>
      <c r="S7466" t="s">
        <v>19447</v>
      </c>
      <c r="T7466" t="s">
        <v>19913</v>
      </c>
    </row>
    <row r="7467" spans="2:20" x14ac:dyDescent="0.25">
      <c r="B7467" t="s">
        <v>2709</v>
      </c>
      <c r="C7467">
        <v>76110000</v>
      </c>
      <c r="E7467">
        <v>59</v>
      </c>
      <c r="F7467">
        <v>12</v>
      </c>
      <c r="G7467">
        <v>5</v>
      </c>
      <c r="H7467">
        <v>7.6</v>
      </c>
      <c r="I7467">
        <v>1.65</v>
      </c>
      <c r="J7467">
        <v>16</v>
      </c>
      <c r="L7467" t="s">
        <v>2709</v>
      </c>
      <c r="M7467">
        <v>76110000</v>
      </c>
      <c r="O7467" t="s">
        <v>20002</v>
      </c>
      <c r="P7467" t="s">
        <v>19903</v>
      </c>
      <c r="Q7467" t="s">
        <v>19909</v>
      </c>
      <c r="R7467" t="s">
        <v>19905</v>
      </c>
      <c r="S7467" t="s">
        <v>19906</v>
      </c>
      <c r="T7467" t="s">
        <v>19913</v>
      </c>
    </row>
    <row r="7468" spans="2:20" x14ac:dyDescent="0.25">
      <c r="B7468" t="s">
        <v>2709</v>
      </c>
      <c r="C7468">
        <v>76121000</v>
      </c>
      <c r="E7468">
        <v>59</v>
      </c>
      <c r="F7468">
        <v>18</v>
      </c>
      <c r="G7468">
        <v>10</v>
      </c>
      <c r="H7468" t="s">
        <v>19447</v>
      </c>
      <c r="I7468" t="s">
        <v>19447</v>
      </c>
      <c r="J7468">
        <v>16</v>
      </c>
      <c r="L7468" t="s">
        <v>2709</v>
      </c>
      <c r="M7468">
        <v>76121000</v>
      </c>
      <c r="O7468" t="s">
        <v>20002</v>
      </c>
      <c r="P7468" t="s">
        <v>19899</v>
      </c>
      <c r="Q7468" t="s">
        <v>19904</v>
      </c>
      <c r="R7468" t="s">
        <v>19447</v>
      </c>
      <c r="S7468" t="s">
        <v>19447</v>
      </c>
      <c r="T7468" t="s">
        <v>19913</v>
      </c>
    </row>
    <row r="7469" spans="2:20" x14ac:dyDescent="0.25">
      <c r="B7469" t="s">
        <v>2709</v>
      </c>
      <c r="C7469">
        <v>76129011</v>
      </c>
      <c r="E7469">
        <v>59</v>
      </c>
      <c r="F7469">
        <v>18</v>
      </c>
      <c r="G7469">
        <v>10</v>
      </c>
      <c r="H7469" t="s">
        <v>19447</v>
      </c>
      <c r="I7469" t="s">
        <v>19447</v>
      </c>
      <c r="J7469">
        <v>16</v>
      </c>
      <c r="L7469" t="s">
        <v>2709</v>
      </c>
      <c r="M7469">
        <v>76129011</v>
      </c>
      <c r="O7469" t="s">
        <v>20002</v>
      </c>
      <c r="P7469" t="s">
        <v>19899</v>
      </c>
      <c r="Q7469" t="s">
        <v>19904</v>
      </c>
      <c r="R7469" t="s">
        <v>19447</v>
      </c>
      <c r="S7469" t="s">
        <v>19447</v>
      </c>
      <c r="T7469" t="s">
        <v>19913</v>
      </c>
    </row>
    <row r="7470" spans="2:20" x14ac:dyDescent="0.25">
      <c r="B7470" t="s">
        <v>2709</v>
      </c>
      <c r="C7470">
        <v>76129012</v>
      </c>
      <c r="E7470">
        <v>59</v>
      </c>
      <c r="F7470">
        <v>18</v>
      </c>
      <c r="G7470">
        <v>10</v>
      </c>
      <c r="H7470">
        <v>9.6</v>
      </c>
      <c r="I7470">
        <v>2</v>
      </c>
      <c r="J7470">
        <v>2</v>
      </c>
      <c r="L7470" t="s">
        <v>2709</v>
      </c>
      <c r="M7470">
        <v>76129012</v>
      </c>
      <c r="O7470" t="s">
        <v>20002</v>
      </c>
      <c r="P7470" t="s">
        <v>19899</v>
      </c>
      <c r="Q7470" t="s">
        <v>19904</v>
      </c>
      <c r="R7470" t="s">
        <v>20129</v>
      </c>
      <c r="S7470" t="s">
        <v>19901</v>
      </c>
      <c r="T7470" t="s">
        <v>19901</v>
      </c>
    </row>
    <row r="7471" spans="2:20" x14ac:dyDescent="0.25">
      <c r="B7471" t="s">
        <v>2709</v>
      </c>
      <c r="C7471">
        <v>76129019</v>
      </c>
      <c r="E7471">
        <v>59</v>
      </c>
      <c r="F7471">
        <v>18</v>
      </c>
      <c r="G7471">
        <v>10</v>
      </c>
      <c r="H7471">
        <v>7.0000000000000007E-2</v>
      </c>
      <c r="I7471">
        <v>0.02</v>
      </c>
      <c r="J7471">
        <v>16</v>
      </c>
      <c r="L7471" t="s">
        <v>2709</v>
      </c>
      <c r="M7471">
        <v>76129019</v>
      </c>
      <c r="O7471" t="s">
        <v>20002</v>
      </c>
      <c r="P7471" t="s">
        <v>19899</v>
      </c>
      <c r="Q7471" t="s">
        <v>19904</v>
      </c>
      <c r="R7471" t="s">
        <v>20131</v>
      </c>
      <c r="S7471" t="s">
        <v>20132</v>
      </c>
      <c r="T7471" t="s">
        <v>19913</v>
      </c>
    </row>
    <row r="7472" spans="2:20" x14ac:dyDescent="0.25">
      <c r="B7472" t="s">
        <v>2709</v>
      </c>
      <c r="C7472">
        <v>76129090</v>
      </c>
      <c r="E7472">
        <v>59</v>
      </c>
      <c r="F7472">
        <v>12</v>
      </c>
      <c r="G7472">
        <v>10</v>
      </c>
      <c r="H7472">
        <v>7.0000000000000007E-2</v>
      </c>
      <c r="I7472">
        <v>0.02</v>
      </c>
      <c r="J7472">
        <v>16</v>
      </c>
      <c r="L7472" t="s">
        <v>2709</v>
      </c>
      <c r="M7472">
        <v>76129090</v>
      </c>
      <c r="O7472" t="s">
        <v>20002</v>
      </c>
      <c r="P7472" t="s">
        <v>19903</v>
      </c>
      <c r="Q7472" t="s">
        <v>19904</v>
      </c>
      <c r="R7472" t="s">
        <v>20131</v>
      </c>
      <c r="S7472" t="s">
        <v>20132</v>
      </c>
      <c r="T7472" t="s">
        <v>19913</v>
      </c>
    </row>
    <row r="7473" spans="2:20" x14ac:dyDescent="0.25">
      <c r="B7473" t="s">
        <v>2709</v>
      </c>
      <c r="C7473">
        <v>76130000</v>
      </c>
      <c r="E7473">
        <v>59</v>
      </c>
      <c r="F7473">
        <v>18</v>
      </c>
      <c r="G7473">
        <v>10</v>
      </c>
      <c r="H7473">
        <v>7.6</v>
      </c>
      <c r="I7473">
        <v>1.65</v>
      </c>
      <c r="J7473">
        <v>16</v>
      </c>
      <c r="L7473" t="s">
        <v>2709</v>
      </c>
      <c r="M7473">
        <v>76130000</v>
      </c>
      <c r="O7473" t="s">
        <v>20002</v>
      </c>
      <c r="P7473" t="s">
        <v>19899</v>
      </c>
      <c r="Q7473" t="s">
        <v>19904</v>
      </c>
      <c r="R7473" t="s">
        <v>19905</v>
      </c>
      <c r="S7473" t="s">
        <v>19906</v>
      </c>
      <c r="T7473" t="s">
        <v>19913</v>
      </c>
    </row>
    <row r="7474" spans="2:20" x14ac:dyDescent="0.25">
      <c r="B7474" t="s">
        <v>2709</v>
      </c>
      <c r="C7474">
        <v>76141010</v>
      </c>
      <c r="E7474">
        <v>42</v>
      </c>
      <c r="F7474">
        <v>18</v>
      </c>
      <c r="G7474">
        <v>10</v>
      </c>
      <c r="H7474" t="s">
        <v>19447</v>
      </c>
      <c r="I7474" t="s">
        <v>19447</v>
      </c>
      <c r="J7474">
        <v>12</v>
      </c>
      <c r="L7474" t="s">
        <v>2709</v>
      </c>
      <c r="M7474">
        <v>76141010</v>
      </c>
      <c r="O7474" t="s">
        <v>20041</v>
      </c>
      <c r="P7474" t="s">
        <v>19899</v>
      </c>
      <c r="Q7474" t="s">
        <v>19904</v>
      </c>
      <c r="R7474" t="s">
        <v>19447</v>
      </c>
      <c r="S7474" t="s">
        <v>19447</v>
      </c>
      <c r="T7474" t="s">
        <v>19903</v>
      </c>
    </row>
    <row r="7475" spans="2:20" x14ac:dyDescent="0.25">
      <c r="B7475" t="s">
        <v>2709</v>
      </c>
      <c r="C7475">
        <v>76141090</v>
      </c>
      <c r="E7475">
        <v>42</v>
      </c>
      <c r="F7475">
        <v>18</v>
      </c>
      <c r="G7475">
        <v>10</v>
      </c>
      <c r="H7475" t="s">
        <v>19447</v>
      </c>
      <c r="I7475" t="s">
        <v>19447</v>
      </c>
      <c r="J7475">
        <v>12</v>
      </c>
      <c r="L7475" t="s">
        <v>2709</v>
      </c>
      <c r="M7475">
        <v>76141090</v>
      </c>
      <c r="O7475" t="s">
        <v>20041</v>
      </c>
      <c r="P7475" t="s">
        <v>19899</v>
      </c>
      <c r="Q7475" t="s">
        <v>19904</v>
      </c>
      <c r="R7475" t="s">
        <v>19447</v>
      </c>
      <c r="S7475" t="s">
        <v>19447</v>
      </c>
      <c r="T7475" t="s">
        <v>19903</v>
      </c>
    </row>
    <row r="7476" spans="2:20" x14ac:dyDescent="0.25">
      <c r="B7476" t="s">
        <v>2709</v>
      </c>
      <c r="C7476">
        <v>76149010</v>
      </c>
      <c r="E7476">
        <v>42</v>
      </c>
      <c r="F7476">
        <v>18</v>
      </c>
      <c r="G7476">
        <v>10</v>
      </c>
      <c r="H7476" t="s">
        <v>19447</v>
      </c>
      <c r="I7476" t="s">
        <v>19447</v>
      </c>
      <c r="J7476">
        <v>12</v>
      </c>
      <c r="L7476" t="s">
        <v>2709</v>
      </c>
      <c r="M7476">
        <v>76149010</v>
      </c>
      <c r="O7476" t="s">
        <v>20041</v>
      </c>
      <c r="P7476" t="s">
        <v>19899</v>
      </c>
      <c r="Q7476" t="s">
        <v>19904</v>
      </c>
      <c r="R7476" t="s">
        <v>19447</v>
      </c>
      <c r="S7476" t="s">
        <v>19447</v>
      </c>
      <c r="T7476" t="s">
        <v>19903</v>
      </c>
    </row>
    <row r="7477" spans="2:20" x14ac:dyDescent="0.25">
      <c r="B7477" t="s">
        <v>2709</v>
      </c>
      <c r="C7477">
        <v>76149090</v>
      </c>
      <c r="E7477">
        <v>42</v>
      </c>
      <c r="F7477">
        <v>18</v>
      </c>
      <c r="G7477">
        <v>10</v>
      </c>
      <c r="H7477" t="s">
        <v>19447</v>
      </c>
      <c r="I7477" t="s">
        <v>19447</v>
      </c>
      <c r="J7477">
        <v>12</v>
      </c>
      <c r="L7477" t="s">
        <v>2709</v>
      </c>
      <c r="M7477">
        <v>76149090</v>
      </c>
      <c r="O7477" t="s">
        <v>20041</v>
      </c>
      <c r="P7477" t="s">
        <v>19899</v>
      </c>
      <c r="Q7477" t="s">
        <v>19904</v>
      </c>
      <c r="R7477" t="s">
        <v>19447</v>
      </c>
      <c r="S7477" t="s">
        <v>19447</v>
      </c>
      <c r="T7477" t="s">
        <v>19903</v>
      </c>
    </row>
    <row r="7478" spans="2:20" x14ac:dyDescent="0.25">
      <c r="B7478" t="s">
        <v>2709</v>
      </c>
      <c r="C7478">
        <v>76151000</v>
      </c>
      <c r="E7478">
        <v>88</v>
      </c>
      <c r="F7478">
        <v>18</v>
      </c>
      <c r="G7478">
        <v>10</v>
      </c>
      <c r="H7478">
        <v>7.6</v>
      </c>
      <c r="I7478">
        <v>1.65</v>
      </c>
      <c r="J7478">
        <v>16</v>
      </c>
      <c r="L7478" t="s">
        <v>2709</v>
      </c>
      <c r="M7478">
        <v>76151000</v>
      </c>
      <c r="O7478" t="s">
        <v>20141</v>
      </c>
      <c r="P7478" t="s">
        <v>19899</v>
      </c>
      <c r="Q7478" t="s">
        <v>19904</v>
      </c>
      <c r="R7478" t="s">
        <v>19905</v>
      </c>
      <c r="S7478" t="s">
        <v>19906</v>
      </c>
      <c r="T7478" t="s">
        <v>19913</v>
      </c>
    </row>
    <row r="7479" spans="2:20" x14ac:dyDescent="0.25">
      <c r="B7479" t="s">
        <v>2709</v>
      </c>
      <c r="C7479">
        <v>76152000</v>
      </c>
      <c r="E7479">
        <v>88</v>
      </c>
      <c r="F7479">
        <v>0</v>
      </c>
      <c r="G7479">
        <v>10</v>
      </c>
      <c r="H7479">
        <v>7.6</v>
      </c>
      <c r="I7479">
        <v>1.65</v>
      </c>
      <c r="J7479">
        <v>16</v>
      </c>
      <c r="L7479" t="s">
        <v>2709</v>
      </c>
      <c r="M7479">
        <v>76152000</v>
      </c>
      <c r="O7479" t="s">
        <v>20141</v>
      </c>
      <c r="P7479" t="s">
        <v>19900</v>
      </c>
      <c r="Q7479" t="s">
        <v>19904</v>
      </c>
      <c r="R7479" t="s">
        <v>19905</v>
      </c>
      <c r="S7479" t="s">
        <v>19906</v>
      </c>
      <c r="T7479" t="s">
        <v>19913</v>
      </c>
    </row>
    <row r="7480" spans="2:20" x14ac:dyDescent="0.25">
      <c r="B7480" t="s">
        <v>2709</v>
      </c>
      <c r="C7480">
        <v>76161000</v>
      </c>
      <c r="E7480">
        <v>47</v>
      </c>
      <c r="F7480">
        <v>18</v>
      </c>
      <c r="G7480">
        <v>10</v>
      </c>
      <c r="H7480">
        <v>7.6</v>
      </c>
      <c r="I7480">
        <v>1.65</v>
      </c>
      <c r="J7480">
        <v>14</v>
      </c>
      <c r="L7480" t="s">
        <v>2709</v>
      </c>
      <c r="M7480">
        <v>76161000</v>
      </c>
      <c r="O7480" t="s">
        <v>20144</v>
      </c>
      <c r="P7480" t="s">
        <v>19899</v>
      </c>
      <c r="Q7480" t="s">
        <v>19904</v>
      </c>
      <c r="R7480" t="s">
        <v>19905</v>
      </c>
      <c r="S7480" t="s">
        <v>19906</v>
      </c>
      <c r="T7480" t="s">
        <v>19911</v>
      </c>
    </row>
    <row r="7481" spans="2:20" x14ac:dyDescent="0.25">
      <c r="B7481" t="s">
        <v>2709</v>
      </c>
      <c r="C7481">
        <v>76169100</v>
      </c>
      <c r="E7481">
        <v>47</v>
      </c>
      <c r="F7481">
        <v>18</v>
      </c>
      <c r="G7481">
        <v>10</v>
      </c>
      <c r="H7481" t="s">
        <v>19447</v>
      </c>
      <c r="I7481" t="s">
        <v>19447</v>
      </c>
      <c r="J7481">
        <v>14</v>
      </c>
      <c r="L7481" t="s">
        <v>2709</v>
      </c>
      <c r="M7481">
        <v>76169100</v>
      </c>
      <c r="O7481" t="s">
        <v>20144</v>
      </c>
      <c r="P7481" t="s">
        <v>19899</v>
      </c>
      <c r="Q7481" t="s">
        <v>19904</v>
      </c>
      <c r="R7481" t="s">
        <v>19447</v>
      </c>
      <c r="S7481" t="s">
        <v>19447</v>
      </c>
      <c r="T7481" t="s">
        <v>19911</v>
      </c>
    </row>
    <row r="7482" spans="2:20" x14ac:dyDescent="0.25">
      <c r="B7482" t="s">
        <v>2709</v>
      </c>
      <c r="C7482">
        <v>76169900</v>
      </c>
      <c r="E7482">
        <v>47</v>
      </c>
      <c r="F7482">
        <v>18</v>
      </c>
      <c r="G7482">
        <v>5</v>
      </c>
      <c r="H7482" t="s">
        <v>19447</v>
      </c>
      <c r="I7482" t="s">
        <v>19447</v>
      </c>
      <c r="J7482">
        <v>14</v>
      </c>
      <c r="L7482" t="s">
        <v>2709</v>
      </c>
      <c r="M7482">
        <v>76169900</v>
      </c>
      <c r="O7482" t="s">
        <v>20144</v>
      </c>
      <c r="P7482" t="s">
        <v>19899</v>
      </c>
      <c r="Q7482" t="s">
        <v>19909</v>
      </c>
      <c r="R7482" t="s">
        <v>19447</v>
      </c>
      <c r="S7482" t="s">
        <v>19447</v>
      </c>
      <c r="T7482" t="s">
        <v>19911</v>
      </c>
    </row>
    <row r="7483" spans="2:20" x14ac:dyDescent="0.25">
      <c r="B7483" t="s">
        <v>2709</v>
      </c>
      <c r="C7483">
        <v>78011011</v>
      </c>
      <c r="E7483">
        <v>71.78</v>
      </c>
      <c r="F7483">
        <v>18</v>
      </c>
      <c r="G7483">
        <v>0</v>
      </c>
      <c r="H7483">
        <v>7.6</v>
      </c>
      <c r="I7483">
        <v>1.65</v>
      </c>
      <c r="J7483">
        <v>8</v>
      </c>
      <c r="L7483" t="s">
        <v>2709</v>
      </c>
      <c r="M7483">
        <v>78011011</v>
      </c>
      <c r="O7483" t="s">
        <v>20056</v>
      </c>
      <c r="P7483" t="s">
        <v>19899</v>
      </c>
      <c r="Q7483" t="s">
        <v>19900</v>
      </c>
      <c r="R7483" t="s">
        <v>19905</v>
      </c>
      <c r="S7483" t="s">
        <v>19906</v>
      </c>
      <c r="T7483" t="s">
        <v>19918</v>
      </c>
    </row>
    <row r="7484" spans="2:20" x14ac:dyDescent="0.25">
      <c r="B7484" t="s">
        <v>2709</v>
      </c>
      <c r="C7484">
        <v>78011019</v>
      </c>
      <c r="E7484">
        <v>71.78</v>
      </c>
      <c r="F7484">
        <v>18</v>
      </c>
      <c r="G7484">
        <v>0</v>
      </c>
      <c r="H7484">
        <v>7.6</v>
      </c>
      <c r="I7484">
        <v>1.65</v>
      </c>
      <c r="J7484">
        <v>8</v>
      </c>
      <c r="L7484" t="s">
        <v>2709</v>
      </c>
      <c r="M7484">
        <v>78011019</v>
      </c>
      <c r="O7484" t="s">
        <v>20056</v>
      </c>
      <c r="P7484" t="s">
        <v>19899</v>
      </c>
      <c r="Q7484" t="s">
        <v>19900</v>
      </c>
      <c r="R7484" t="s">
        <v>19905</v>
      </c>
      <c r="S7484" t="s">
        <v>19906</v>
      </c>
      <c r="T7484" t="s">
        <v>19918</v>
      </c>
    </row>
    <row r="7485" spans="2:20" x14ac:dyDescent="0.25">
      <c r="B7485" t="s">
        <v>2709</v>
      </c>
      <c r="C7485">
        <v>78011090</v>
      </c>
      <c r="E7485">
        <v>71.78</v>
      </c>
      <c r="F7485">
        <v>18</v>
      </c>
      <c r="G7485">
        <v>0</v>
      </c>
      <c r="H7485">
        <v>7.6</v>
      </c>
      <c r="I7485">
        <v>1.65</v>
      </c>
      <c r="J7485">
        <v>8</v>
      </c>
      <c r="L7485" t="s">
        <v>2709</v>
      </c>
      <c r="M7485">
        <v>78011090</v>
      </c>
      <c r="O7485" t="s">
        <v>20056</v>
      </c>
      <c r="P7485" t="s">
        <v>19899</v>
      </c>
      <c r="Q7485" t="s">
        <v>19900</v>
      </c>
      <c r="R7485" t="s">
        <v>19905</v>
      </c>
      <c r="S7485" t="s">
        <v>19906</v>
      </c>
      <c r="T7485" t="s">
        <v>19918</v>
      </c>
    </row>
    <row r="7486" spans="2:20" x14ac:dyDescent="0.25">
      <c r="B7486" t="s">
        <v>2709</v>
      </c>
      <c r="C7486">
        <v>78019100</v>
      </c>
      <c r="E7486">
        <v>71.78</v>
      </c>
      <c r="F7486">
        <v>18</v>
      </c>
      <c r="G7486">
        <v>0</v>
      </c>
      <c r="H7486">
        <v>7.6</v>
      </c>
      <c r="I7486">
        <v>1.65</v>
      </c>
      <c r="J7486">
        <v>6</v>
      </c>
      <c r="L7486" t="s">
        <v>2709</v>
      </c>
      <c r="M7486">
        <v>78019100</v>
      </c>
      <c r="O7486" t="s">
        <v>20056</v>
      </c>
      <c r="P7486" t="s">
        <v>19899</v>
      </c>
      <c r="Q7486" t="s">
        <v>19900</v>
      </c>
      <c r="R7486" t="s">
        <v>19905</v>
      </c>
      <c r="S7486" t="s">
        <v>19906</v>
      </c>
      <c r="T7486" t="s">
        <v>19907</v>
      </c>
    </row>
    <row r="7487" spans="2:20" x14ac:dyDescent="0.25">
      <c r="B7487" t="s">
        <v>2709</v>
      </c>
      <c r="C7487">
        <v>78019900</v>
      </c>
      <c r="E7487">
        <v>71.78</v>
      </c>
      <c r="F7487">
        <v>18</v>
      </c>
      <c r="G7487">
        <v>0</v>
      </c>
      <c r="H7487">
        <v>7.6</v>
      </c>
      <c r="I7487">
        <v>1.65</v>
      </c>
      <c r="J7487">
        <v>6</v>
      </c>
      <c r="L7487" t="s">
        <v>2709</v>
      </c>
      <c r="M7487">
        <v>78019900</v>
      </c>
      <c r="O7487" t="s">
        <v>20056</v>
      </c>
      <c r="P7487" t="s">
        <v>19899</v>
      </c>
      <c r="Q7487" t="s">
        <v>19900</v>
      </c>
      <c r="R7487" t="s">
        <v>19905</v>
      </c>
      <c r="S7487" t="s">
        <v>19906</v>
      </c>
      <c r="T7487" t="s">
        <v>19907</v>
      </c>
    </row>
    <row r="7488" spans="2:20" x14ac:dyDescent="0.25">
      <c r="B7488" t="s">
        <v>2709</v>
      </c>
      <c r="C7488">
        <v>78020000</v>
      </c>
      <c r="E7488">
        <v>71.78</v>
      </c>
      <c r="F7488">
        <v>18</v>
      </c>
      <c r="G7488">
        <v>0</v>
      </c>
      <c r="H7488" t="s">
        <v>19447</v>
      </c>
      <c r="I7488" t="s">
        <v>19447</v>
      </c>
      <c r="J7488">
        <v>4</v>
      </c>
      <c r="L7488" t="s">
        <v>2709</v>
      </c>
      <c r="M7488">
        <v>78020000</v>
      </c>
      <c r="O7488" t="s">
        <v>20056</v>
      </c>
      <c r="P7488" t="s">
        <v>19899</v>
      </c>
      <c r="Q7488" t="s">
        <v>19900</v>
      </c>
      <c r="R7488" t="s">
        <v>19447</v>
      </c>
      <c r="S7488" t="s">
        <v>19447</v>
      </c>
      <c r="T7488" t="s">
        <v>19902</v>
      </c>
    </row>
    <row r="7489" spans="2:20" x14ac:dyDescent="0.25">
      <c r="B7489" t="s">
        <v>2709</v>
      </c>
      <c r="C7489">
        <v>78041100</v>
      </c>
      <c r="E7489">
        <v>71.78</v>
      </c>
      <c r="F7489">
        <v>18</v>
      </c>
      <c r="G7489">
        <v>0</v>
      </c>
      <c r="H7489">
        <v>7.6</v>
      </c>
      <c r="I7489">
        <v>1.65</v>
      </c>
      <c r="J7489">
        <v>12</v>
      </c>
      <c r="L7489" t="s">
        <v>2709</v>
      </c>
      <c r="M7489">
        <v>78041100</v>
      </c>
      <c r="O7489" t="s">
        <v>20056</v>
      </c>
      <c r="P7489" t="s">
        <v>19899</v>
      </c>
      <c r="Q7489" t="s">
        <v>19900</v>
      </c>
      <c r="R7489" t="s">
        <v>19905</v>
      </c>
      <c r="S7489" t="s">
        <v>19906</v>
      </c>
      <c r="T7489" t="s">
        <v>19903</v>
      </c>
    </row>
    <row r="7490" spans="2:20" x14ac:dyDescent="0.25">
      <c r="B7490" t="s">
        <v>2709</v>
      </c>
      <c r="C7490">
        <v>78041900</v>
      </c>
      <c r="E7490">
        <v>71.78</v>
      </c>
      <c r="F7490">
        <v>18</v>
      </c>
      <c r="G7490">
        <v>0</v>
      </c>
      <c r="H7490">
        <v>7.6</v>
      </c>
      <c r="I7490">
        <v>1.65</v>
      </c>
      <c r="J7490">
        <v>12</v>
      </c>
      <c r="L7490" t="s">
        <v>2709</v>
      </c>
      <c r="M7490">
        <v>78041900</v>
      </c>
      <c r="O7490" t="s">
        <v>20056</v>
      </c>
      <c r="P7490" t="s">
        <v>19899</v>
      </c>
      <c r="Q7490" t="s">
        <v>19900</v>
      </c>
      <c r="R7490" t="s">
        <v>19905</v>
      </c>
      <c r="S7490" t="s">
        <v>19906</v>
      </c>
      <c r="T7490" t="s">
        <v>19903</v>
      </c>
    </row>
    <row r="7491" spans="2:20" x14ac:dyDescent="0.25">
      <c r="B7491" t="s">
        <v>2709</v>
      </c>
      <c r="C7491">
        <v>78042000</v>
      </c>
      <c r="E7491">
        <v>71.78</v>
      </c>
      <c r="F7491">
        <v>18</v>
      </c>
      <c r="G7491">
        <v>0</v>
      </c>
      <c r="H7491">
        <v>7.6</v>
      </c>
      <c r="I7491">
        <v>1.65</v>
      </c>
      <c r="J7491">
        <v>6</v>
      </c>
      <c r="L7491" t="s">
        <v>2709</v>
      </c>
      <c r="M7491">
        <v>78042000</v>
      </c>
      <c r="O7491" t="s">
        <v>20056</v>
      </c>
      <c r="P7491" t="s">
        <v>19899</v>
      </c>
      <c r="Q7491" t="s">
        <v>19900</v>
      </c>
      <c r="R7491" t="s">
        <v>19905</v>
      </c>
      <c r="S7491" t="s">
        <v>19906</v>
      </c>
      <c r="T7491" t="s">
        <v>19907</v>
      </c>
    </row>
    <row r="7492" spans="2:20" x14ac:dyDescent="0.25">
      <c r="B7492" t="s">
        <v>2709</v>
      </c>
      <c r="C7492">
        <v>78060010</v>
      </c>
      <c r="E7492">
        <v>71.78</v>
      </c>
      <c r="F7492">
        <v>18</v>
      </c>
      <c r="G7492">
        <v>0</v>
      </c>
      <c r="H7492">
        <v>7.6</v>
      </c>
      <c r="I7492">
        <v>1.65</v>
      </c>
      <c r="J7492">
        <v>12</v>
      </c>
      <c r="L7492" t="s">
        <v>2709</v>
      </c>
      <c r="M7492">
        <v>78060010</v>
      </c>
      <c r="O7492" t="s">
        <v>20056</v>
      </c>
      <c r="P7492" t="s">
        <v>19899</v>
      </c>
      <c r="Q7492" t="s">
        <v>19900</v>
      </c>
      <c r="R7492" t="s">
        <v>19905</v>
      </c>
      <c r="S7492" t="s">
        <v>19906</v>
      </c>
      <c r="T7492" t="s">
        <v>19903</v>
      </c>
    </row>
    <row r="7493" spans="2:20" x14ac:dyDescent="0.25">
      <c r="B7493" t="s">
        <v>2709</v>
      </c>
      <c r="C7493">
        <v>78060020</v>
      </c>
      <c r="E7493">
        <v>71.78</v>
      </c>
      <c r="F7493">
        <v>18</v>
      </c>
      <c r="G7493">
        <v>0</v>
      </c>
      <c r="H7493">
        <v>7.6</v>
      </c>
      <c r="I7493">
        <v>1.65</v>
      </c>
      <c r="J7493">
        <v>14</v>
      </c>
      <c r="L7493" t="s">
        <v>2709</v>
      </c>
      <c r="M7493">
        <v>78060020</v>
      </c>
      <c r="O7493" t="s">
        <v>20056</v>
      </c>
      <c r="P7493" t="s">
        <v>19899</v>
      </c>
      <c r="Q7493" t="s">
        <v>19900</v>
      </c>
      <c r="R7493" t="s">
        <v>19905</v>
      </c>
      <c r="S7493" t="s">
        <v>19906</v>
      </c>
      <c r="T7493" t="s">
        <v>19911</v>
      </c>
    </row>
    <row r="7494" spans="2:20" x14ac:dyDescent="0.25">
      <c r="B7494" t="s">
        <v>2709</v>
      </c>
      <c r="C7494">
        <v>78060090</v>
      </c>
      <c r="E7494">
        <v>71.78</v>
      </c>
      <c r="F7494">
        <v>18</v>
      </c>
      <c r="G7494">
        <v>0</v>
      </c>
      <c r="H7494">
        <v>7.6</v>
      </c>
      <c r="I7494">
        <v>1.65</v>
      </c>
      <c r="J7494">
        <v>16</v>
      </c>
      <c r="L7494" t="s">
        <v>2709</v>
      </c>
      <c r="M7494">
        <v>78060090</v>
      </c>
      <c r="O7494" t="s">
        <v>20056</v>
      </c>
      <c r="P7494" t="s">
        <v>19899</v>
      </c>
      <c r="Q7494" t="s">
        <v>19900</v>
      </c>
      <c r="R7494" t="s">
        <v>19905</v>
      </c>
      <c r="S7494" t="s">
        <v>19906</v>
      </c>
      <c r="T7494" t="s">
        <v>19913</v>
      </c>
    </row>
    <row r="7495" spans="2:20" x14ac:dyDescent="0.25">
      <c r="B7495" t="s">
        <v>2709</v>
      </c>
      <c r="C7495">
        <v>79011111</v>
      </c>
      <c r="E7495" t="s">
        <v>19447</v>
      </c>
      <c r="F7495">
        <v>18</v>
      </c>
      <c r="G7495">
        <v>0</v>
      </c>
      <c r="H7495" t="s">
        <v>19447</v>
      </c>
      <c r="I7495" t="s">
        <v>19447</v>
      </c>
      <c r="J7495">
        <v>8</v>
      </c>
      <c r="L7495" t="s">
        <v>2709</v>
      </c>
      <c r="M7495">
        <v>79011111</v>
      </c>
      <c r="O7495" t="s">
        <v>19447</v>
      </c>
      <c r="P7495" t="s">
        <v>19899</v>
      </c>
      <c r="Q7495" t="s">
        <v>19900</v>
      </c>
      <c r="R7495" t="s">
        <v>19447</v>
      </c>
      <c r="S7495" t="s">
        <v>19447</v>
      </c>
      <c r="T7495" t="s">
        <v>19918</v>
      </c>
    </row>
    <row r="7496" spans="2:20" x14ac:dyDescent="0.25">
      <c r="B7496" t="s">
        <v>2709</v>
      </c>
      <c r="C7496">
        <v>79011119</v>
      </c>
      <c r="E7496" t="s">
        <v>19447</v>
      </c>
      <c r="F7496">
        <v>18</v>
      </c>
      <c r="G7496">
        <v>0</v>
      </c>
      <c r="H7496" t="s">
        <v>19447</v>
      </c>
      <c r="I7496" t="s">
        <v>19447</v>
      </c>
      <c r="J7496">
        <v>8</v>
      </c>
      <c r="L7496" t="s">
        <v>2709</v>
      </c>
      <c r="M7496">
        <v>79011119</v>
      </c>
      <c r="O7496" t="s">
        <v>19447</v>
      </c>
      <c r="P7496" t="s">
        <v>19899</v>
      </c>
      <c r="Q7496" t="s">
        <v>19900</v>
      </c>
      <c r="R7496" t="s">
        <v>19447</v>
      </c>
      <c r="S7496" t="s">
        <v>19447</v>
      </c>
      <c r="T7496" t="s">
        <v>19918</v>
      </c>
    </row>
    <row r="7497" spans="2:20" x14ac:dyDescent="0.25">
      <c r="B7497" t="s">
        <v>2709</v>
      </c>
      <c r="C7497">
        <v>79011191</v>
      </c>
      <c r="E7497" t="s">
        <v>19447</v>
      </c>
      <c r="F7497">
        <v>18</v>
      </c>
      <c r="G7497">
        <v>0</v>
      </c>
      <c r="H7497" t="s">
        <v>19447</v>
      </c>
      <c r="I7497" t="s">
        <v>19447</v>
      </c>
      <c r="J7497">
        <v>8</v>
      </c>
      <c r="L7497" t="s">
        <v>2709</v>
      </c>
      <c r="M7497">
        <v>79011191</v>
      </c>
      <c r="O7497" t="s">
        <v>19447</v>
      </c>
      <c r="P7497" t="s">
        <v>19899</v>
      </c>
      <c r="Q7497" t="s">
        <v>19900</v>
      </c>
      <c r="R7497" t="s">
        <v>19447</v>
      </c>
      <c r="S7497" t="s">
        <v>19447</v>
      </c>
      <c r="T7497" t="s">
        <v>19918</v>
      </c>
    </row>
    <row r="7498" spans="2:20" x14ac:dyDescent="0.25">
      <c r="B7498" t="s">
        <v>2709</v>
      </c>
      <c r="C7498">
        <v>79011199</v>
      </c>
      <c r="E7498" t="s">
        <v>19447</v>
      </c>
      <c r="F7498">
        <v>18</v>
      </c>
      <c r="G7498">
        <v>0</v>
      </c>
      <c r="H7498" t="s">
        <v>19447</v>
      </c>
      <c r="I7498" t="s">
        <v>19447</v>
      </c>
      <c r="J7498">
        <v>8</v>
      </c>
      <c r="L7498" t="s">
        <v>2709</v>
      </c>
      <c r="M7498">
        <v>79011199</v>
      </c>
      <c r="O7498" t="s">
        <v>19447</v>
      </c>
      <c r="P7498" t="s">
        <v>19899</v>
      </c>
      <c r="Q7498" t="s">
        <v>19900</v>
      </c>
      <c r="R7498" t="s">
        <v>19447</v>
      </c>
      <c r="S7498" t="s">
        <v>19447</v>
      </c>
      <c r="T7498" t="s">
        <v>19918</v>
      </c>
    </row>
    <row r="7499" spans="2:20" x14ac:dyDescent="0.25">
      <c r="B7499" t="s">
        <v>2709</v>
      </c>
      <c r="C7499">
        <v>79011210</v>
      </c>
      <c r="E7499" t="s">
        <v>19447</v>
      </c>
      <c r="F7499">
        <v>18</v>
      </c>
      <c r="G7499">
        <v>0</v>
      </c>
      <c r="H7499" t="s">
        <v>19447</v>
      </c>
      <c r="I7499" t="s">
        <v>19447</v>
      </c>
      <c r="J7499">
        <v>8</v>
      </c>
      <c r="L7499" t="s">
        <v>2709</v>
      </c>
      <c r="M7499">
        <v>79011210</v>
      </c>
      <c r="O7499" t="s">
        <v>19447</v>
      </c>
      <c r="P7499" t="s">
        <v>19899</v>
      </c>
      <c r="Q7499" t="s">
        <v>19900</v>
      </c>
      <c r="R7499" t="s">
        <v>19447</v>
      </c>
      <c r="S7499" t="s">
        <v>19447</v>
      </c>
      <c r="T7499" t="s">
        <v>19918</v>
      </c>
    </row>
    <row r="7500" spans="2:20" x14ac:dyDescent="0.25">
      <c r="B7500" t="s">
        <v>2709</v>
      </c>
      <c r="C7500">
        <v>79011290</v>
      </c>
      <c r="E7500" t="s">
        <v>19447</v>
      </c>
      <c r="F7500">
        <v>18</v>
      </c>
      <c r="G7500">
        <v>0</v>
      </c>
      <c r="H7500" t="s">
        <v>19447</v>
      </c>
      <c r="I7500" t="s">
        <v>19447</v>
      </c>
      <c r="J7500">
        <v>6</v>
      </c>
      <c r="L7500" t="s">
        <v>2709</v>
      </c>
      <c r="M7500">
        <v>79011290</v>
      </c>
      <c r="O7500" t="s">
        <v>19447</v>
      </c>
      <c r="P7500" t="s">
        <v>19899</v>
      </c>
      <c r="Q7500" t="s">
        <v>19900</v>
      </c>
      <c r="R7500" t="s">
        <v>19447</v>
      </c>
      <c r="S7500" t="s">
        <v>19447</v>
      </c>
      <c r="T7500" t="s">
        <v>19907</v>
      </c>
    </row>
    <row r="7501" spans="2:20" x14ac:dyDescent="0.25">
      <c r="B7501" t="s">
        <v>2709</v>
      </c>
      <c r="C7501">
        <v>79012010</v>
      </c>
      <c r="E7501" t="s">
        <v>19447</v>
      </c>
      <c r="F7501">
        <v>18</v>
      </c>
      <c r="G7501">
        <v>0</v>
      </c>
      <c r="H7501">
        <v>7.6</v>
      </c>
      <c r="I7501">
        <v>1.65</v>
      </c>
      <c r="J7501">
        <v>8</v>
      </c>
      <c r="L7501" t="s">
        <v>2709</v>
      </c>
      <c r="M7501">
        <v>79012010</v>
      </c>
      <c r="O7501" t="s">
        <v>19447</v>
      </c>
      <c r="P7501" t="s">
        <v>19899</v>
      </c>
      <c r="Q7501" t="s">
        <v>19900</v>
      </c>
      <c r="R7501" t="s">
        <v>19905</v>
      </c>
      <c r="S7501" t="s">
        <v>19906</v>
      </c>
      <c r="T7501" t="s">
        <v>19918</v>
      </c>
    </row>
    <row r="7502" spans="2:20" x14ac:dyDescent="0.25">
      <c r="B7502" t="s">
        <v>2709</v>
      </c>
      <c r="C7502">
        <v>79012090</v>
      </c>
      <c r="E7502" t="s">
        <v>19447</v>
      </c>
      <c r="F7502">
        <v>18</v>
      </c>
      <c r="G7502">
        <v>0</v>
      </c>
      <c r="H7502">
        <v>7.6</v>
      </c>
      <c r="I7502">
        <v>1.65</v>
      </c>
      <c r="J7502">
        <v>8</v>
      </c>
      <c r="L7502" t="s">
        <v>2709</v>
      </c>
      <c r="M7502">
        <v>79012090</v>
      </c>
      <c r="O7502" t="s">
        <v>19447</v>
      </c>
      <c r="P7502" t="s">
        <v>19899</v>
      </c>
      <c r="Q7502" t="s">
        <v>19900</v>
      </c>
      <c r="R7502" t="s">
        <v>19905</v>
      </c>
      <c r="S7502" t="s">
        <v>19906</v>
      </c>
      <c r="T7502" t="s">
        <v>19918</v>
      </c>
    </row>
    <row r="7503" spans="2:20" x14ac:dyDescent="0.25">
      <c r="B7503" t="s">
        <v>2709</v>
      </c>
      <c r="C7503">
        <v>79020000</v>
      </c>
      <c r="E7503" t="s">
        <v>19447</v>
      </c>
      <c r="F7503">
        <v>18</v>
      </c>
      <c r="G7503">
        <v>0</v>
      </c>
      <c r="H7503" t="s">
        <v>19447</v>
      </c>
      <c r="I7503" t="s">
        <v>19447</v>
      </c>
      <c r="J7503">
        <v>2</v>
      </c>
      <c r="L7503" t="s">
        <v>2709</v>
      </c>
      <c r="M7503">
        <v>79020000</v>
      </c>
      <c r="O7503" t="s">
        <v>19447</v>
      </c>
      <c r="P7503" t="s">
        <v>19899</v>
      </c>
      <c r="Q7503" t="s">
        <v>19900</v>
      </c>
      <c r="R7503" t="s">
        <v>19447</v>
      </c>
      <c r="S7503" t="s">
        <v>19447</v>
      </c>
      <c r="T7503" t="s">
        <v>19901</v>
      </c>
    </row>
    <row r="7504" spans="2:20" x14ac:dyDescent="0.25">
      <c r="B7504" t="s">
        <v>2709</v>
      </c>
      <c r="C7504">
        <v>79031000</v>
      </c>
      <c r="E7504" t="s">
        <v>19447</v>
      </c>
      <c r="F7504">
        <v>18</v>
      </c>
      <c r="G7504">
        <v>0</v>
      </c>
      <c r="H7504">
        <v>7.6</v>
      </c>
      <c r="I7504">
        <v>1.65</v>
      </c>
      <c r="J7504">
        <v>6</v>
      </c>
      <c r="L7504" t="s">
        <v>2709</v>
      </c>
      <c r="M7504">
        <v>79031000</v>
      </c>
      <c r="O7504" t="s">
        <v>19447</v>
      </c>
      <c r="P7504" t="s">
        <v>19899</v>
      </c>
      <c r="Q7504" t="s">
        <v>19900</v>
      </c>
      <c r="R7504" t="s">
        <v>19905</v>
      </c>
      <c r="S7504" t="s">
        <v>19906</v>
      </c>
      <c r="T7504" t="s">
        <v>19907</v>
      </c>
    </row>
    <row r="7505" spans="2:20" x14ac:dyDescent="0.25">
      <c r="B7505" t="s">
        <v>2709</v>
      </c>
      <c r="C7505">
        <v>79039000</v>
      </c>
      <c r="E7505" t="s">
        <v>19447</v>
      </c>
      <c r="F7505">
        <v>18</v>
      </c>
      <c r="G7505">
        <v>0</v>
      </c>
      <c r="H7505">
        <v>7.6</v>
      </c>
      <c r="I7505">
        <v>1.65</v>
      </c>
      <c r="J7505">
        <v>6</v>
      </c>
      <c r="L7505" t="s">
        <v>2709</v>
      </c>
      <c r="M7505">
        <v>79039000</v>
      </c>
      <c r="O7505" t="s">
        <v>19447</v>
      </c>
      <c r="P7505" t="s">
        <v>19899</v>
      </c>
      <c r="Q7505" t="s">
        <v>19900</v>
      </c>
      <c r="R7505" t="s">
        <v>19905</v>
      </c>
      <c r="S7505" t="s">
        <v>19906</v>
      </c>
      <c r="T7505" t="s">
        <v>19907</v>
      </c>
    </row>
    <row r="7506" spans="2:20" x14ac:dyDescent="0.25">
      <c r="B7506" t="s">
        <v>2709</v>
      </c>
      <c r="C7506">
        <v>79040000</v>
      </c>
      <c r="E7506" t="s">
        <v>19447</v>
      </c>
      <c r="F7506">
        <v>18</v>
      </c>
      <c r="G7506">
        <v>0</v>
      </c>
      <c r="H7506">
        <v>7.6</v>
      </c>
      <c r="I7506">
        <v>1.65</v>
      </c>
      <c r="J7506">
        <v>12</v>
      </c>
      <c r="L7506" t="s">
        <v>2709</v>
      </c>
      <c r="M7506">
        <v>79040000</v>
      </c>
      <c r="O7506" t="s">
        <v>19447</v>
      </c>
      <c r="P7506" t="s">
        <v>19899</v>
      </c>
      <c r="Q7506" t="s">
        <v>19900</v>
      </c>
      <c r="R7506" t="s">
        <v>19905</v>
      </c>
      <c r="S7506" t="s">
        <v>19906</v>
      </c>
      <c r="T7506" t="s">
        <v>19903</v>
      </c>
    </row>
    <row r="7507" spans="2:20" x14ac:dyDescent="0.25">
      <c r="B7507" t="s">
        <v>2709</v>
      </c>
      <c r="C7507">
        <v>79050000</v>
      </c>
      <c r="E7507" t="s">
        <v>19447</v>
      </c>
      <c r="F7507">
        <v>18</v>
      </c>
      <c r="G7507">
        <v>0</v>
      </c>
      <c r="H7507">
        <v>7.6</v>
      </c>
      <c r="I7507">
        <v>1.65</v>
      </c>
      <c r="J7507">
        <v>12</v>
      </c>
      <c r="L7507" t="s">
        <v>2709</v>
      </c>
      <c r="M7507">
        <v>79050000</v>
      </c>
      <c r="O7507" t="s">
        <v>19447</v>
      </c>
      <c r="P7507" t="s">
        <v>19899</v>
      </c>
      <c r="Q7507" t="s">
        <v>19900</v>
      </c>
      <c r="R7507" t="s">
        <v>19905</v>
      </c>
      <c r="S7507" t="s">
        <v>19906</v>
      </c>
      <c r="T7507" t="s">
        <v>19903</v>
      </c>
    </row>
    <row r="7508" spans="2:20" x14ac:dyDescent="0.25">
      <c r="B7508" t="s">
        <v>2709</v>
      </c>
      <c r="C7508">
        <v>79070010</v>
      </c>
      <c r="E7508" t="s">
        <v>19447</v>
      </c>
      <c r="F7508">
        <v>18</v>
      </c>
      <c r="G7508">
        <v>0</v>
      </c>
      <c r="H7508">
        <v>7.6</v>
      </c>
      <c r="I7508">
        <v>1.65</v>
      </c>
      <c r="J7508">
        <v>14</v>
      </c>
      <c r="L7508" t="s">
        <v>2709</v>
      </c>
      <c r="M7508">
        <v>79070010</v>
      </c>
      <c r="O7508" t="s">
        <v>19447</v>
      </c>
      <c r="P7508" t="s">
        <v>19899</v>
      </c>
      <c r="Q7508" t="s">
        <v>19900</v>
      </c>
      <c r="R7508" t="s">
        <v>19905</v>
      </c>
      <c r="S7508" t="s">
        <v>19906</v>
      </c>
      <c r="T7508" t="s">
        <v>19911</v>
      </c>
    </row>
    <row r="7509" spans="2:20" x14ac:dyDescent="0.25">
      <c r="B7509" t="s">
        <v>2709</v>
      </c>
      <c r="C7509">
        <v>79070090</v>
      </c>
      <c r="E7509" t="s">
        <v>19447</v>
      </c>
      <c r="F7509">
        <v>18</v>
      </c>
      <c r="G7509">
        <v>0</v>
      </c>
      <c r="H7509">
        <v>7.6</v>
      </c>
      <c r="I7509">
        <v>1.65</v>
      </c>
      <c r="J7509">
        <v>16</v>
      </c>
      <c r="L7509" t="s">
        <v>2709</v>
      </c>
      <c r="M7509">
        <v>79070090</v>
      </c>
      <c r="O7509" t="s">
        <v>19447</v>
      </c>
      <c r="P7509" t="s">
        <v>19899</v>
      </c>
      <c r="Q7509" t="s">
        <v>19900</v>
      </c>
      <c r="R7509" t="s">
        <v>19905</v>
      </c>
      <c r="S7509" t="s">
        <v>19906</v>
      </c>
      <c r="T7509" t="s">
        <v>19913</v>
      </c>
    </row>
    <row r="7510" spans="2:20" x14ac:dyDescent="0.25">
      <c r="B7510" t="s">
        <v>2709</v>
      </c>
      <c r="C7510">
        <v>80011000</v>
      </c>
      <c r="E7510" t="s">
        <v>19447</v>
      </c>
      <c r="F7510">
        <v>18</v>
      </c>
      <c r="G7510">
        <v>0</v>
      </c>
      <c r="H7510">
        <v>7.6</v>
      </c>
      <c r="I7510">
        <v>1.65</v>
      </c>
      <c r="J7510">
        <v>6</v>
      </c>
      <c r="L7510" t="s">
        <v>2709</v>
      </c>
      <c r="M7510">
        <v>80011000</v>
      </c>
      <c r="O7510" t="s">
        <v>19447</v>
      </c>
      <c r="P7510" t="s">
        <v>19899</v>
      </c>
      <c r="Q7510" t="s">
        <v>19900</v>
      </c>
      <c r="R7510" t="s">
        <v>19905</v>
      </c>
      <c r="S7510" t="s">
        <v>19906</v>
      </c>
      <c r="T7510" t="s">
        <v>19907</v>
      </c>
    </row>
    <row r="7511" spans="2:20" x14ac:dyDescent="0.25">
      <c r="B7511" t="s">
        <v>2709</v>
      </c>
      <c r="C7511">
        <v>80012000</v>
      </c>
      <c r="E7511" t="s">
        <v>19447</v>
      </c>
      <c r="F7511">
        <v>18</v>
      </c>
      <c r="G7511">
        <v>0</v>
      </c>
      <c r="H7511">
        <v>7.6</v>
      </c>
      <c r="I7511">
        <v>1.65</v>
      </c>
      <c r="J7511">
        <v>6</v>
      </c>
      <c r="L7511" t="s">
        <v>2709</v>
      </c>
      <c r="M7511">
        <v>80012000</v>
      </c>
      <c r="O7511" t="s">
        <v>19447</v>
      </c>
      <c r="P7511" t="s">
        <v>19899</v>
      </c>
      <c r="Q7511" t="s">
        <v>19900</v>
      </c>
      <c r="R7511" t="s">
        <v>19905</v>
      </c>
      <c r="S7511" t="s">
        <v>19906</v>
      </c>
      <c r="T7511" t="s">
        <v>19907</v>
      </c>
    </row>
    <row r="7512" spans="2:20" x14ac:dyDescent="0.25">
      <c r="B7512" t="s">
        <v>2709</v>
      </c>
      <c r="C7512">
        <v>80020000</v>
      </c>
      <c r="E7512" t="s">
        <v>19447</v>
      </c>
      <c r="F7512">
        <v>18</v>
      </c>
      <c r="G7512">
        <v>0</v>
      </c>
      <c r="H7512" t="s">
        <v>19447</v>
      </c>
      <c r="I7512" t="s">
        <v>19447</v>
      </c>
      <c r="J7512">
        <v>2</v>
      </c>
      <c r="L7512" t="s">
        <v>2709</v>
      </c>
      <c r="M7512">
        <v>80020000</v>
      </c>
      <c r="O7512" t="s">
        <v>19447</v>
      </c>
      <c r="P7512" t="s">
        <v>19899</v>
      </c>
      <c r="Q7512" t="s">
        <v>19900</v>
      </c>
      <c r="R7512" t="s">
        <v>19447</v>
      </c>
      <c r="S7512" t="s">
        <v>19447</v>
      </c>
      <c r="T7512" t="s">
        <v>19901</v>
      </c>
    </row>
    <row r="7513" spans="2:20" x14ac:dyDescent="0.25">
      <c r="B7513" t="s">
        <v>2709</v>
      </c>
      <c r="C7513">
        <v>80030000</v>
      </c>
      <c r="E7513" t="s">
        <v>19447</v>
      </c>
      <c r="F7513">
        <v>18</v>
      </c>
      <c r="G7513">
        <v>0</v>
      </c>
      <c r="H7513" t="s">
        <v>19447</v>
      </c>
      <c r="I7513" t="s">
        <v>19447</v>
      </c>
      <c r="J7513">
        <v>12</v>
      </c>
      <c r="L7513" t="s">
        <v>2709</v>
      </c>
      <c r="M7513">
        <v>80030000</v>
      </c>
      <c r="O7513" t="s">
        <v>19447</v>
      </c>
      <c r="P7513" t="s">
        <v>19899</v>
      </c>
      <c r="Q7513" t="s">
        <v>19900</v>
      </c>
      <c r="R7513" t="s">
        <v>19447</v>
      </c>
      <c r="S7513" t="s">
        <v>19447</v>
      </c>
      <c r="T7513" t="s">
        <v>19903</v>
      </c>
    </row>
    <row r="7514" spans="2:20" x14ac:dyDescent="0.25">
      <c r="B7514" t="s">
        <v>2709</v>
      </c>
      <c r="C7514">
        <v>80070010</v>
      </c>
      <c r="E7514" t="s">
        <v>19447</v>
      </c>
      <c r="F7514">
        <v>18</v>
      </c>
      <c r="G7514">
        <v>0</v>
      </c>
      <c r="H7514">
        <v>7.6</v>
      </c>
      <c r="I7514">
        <v>1.65</v>
      </c>
      <c r="J7514">
        <v>12</v>
      </c>
      <c r="L7514" t="s">
        <v>2709</v>
      </c>
      <c r="M7514">
        <v>80070010</v>
      </c>
      <c r="O7514" t="s">
        <v>19447</v>
      </c>
      <c r="P7514" t="s">
        <v>19899</v>
      </c>
      <c r="Q7514" t="s">
        <v>19900</v>
      </c>
      <c r="R7514" t="s">
        <v>19905</v>
      </c>
      <c r="S7514" t="s">
        <v>19906</v>
      </c>
      <c r="T7514" t="s">
        <v>19903</v>
      </c>
    </row>
    <row r="7515" spans="2:20" x14ac:dyDescent="0.25">
      <c r="B7515" t="s">
        <v>2709</v>
      </c>
      <c r="C7515">
        <v>80070020</v>
      </c>
      <c r="E7515" t="s">
        <v>19447</v>
      </c>
      <c r="F7515">
        <v>18</v>
      </c>
      <c r="G7515">
        <v>0</v>
      </c>
      <c r="H7515">
        <v>7.6</v>
      </c>
      <c r="I7515">
        <v>1.65</v>
      </c>
      <c r="J7515">
        <v>6</v>
      </c>
      <c r="L7515" t="s">
        <v>2709</v>
      </c>
      <c r="M7515">
        <v>80070020</v>
      </c>
      <c r="O7515" t="s">
        <v>19447</v>
      </c>
      <c r="P7515" t="s">
        <v>19899</v>
      </c>
      <c r="Q7515" t="s">
        <v>19900</v>
      </c>
      <c r="R7515" t="s">
        <v>19905</v>
      </c>
      <c r="S7515" t="s">
        <v>19906</v>
      </c>
      <c r="T7515" t="s">
        <v>19907</v>
      </c>
    </row>
    <row r="7516" spans="2:20" x14ac:dyDescent="0.25">
      <c r="B7516" t="s">
        <v>2709</v>
      </c>
      <c r="C7516">
        <v>80070030</v>
      </c>
      <c r="E7516" t="s">
        <v>19447</v>
      </c>
      <c r="F7516">
        <v>18</v>
      </c>
      <c r="G7516">
        <v>0</v>
      </c>
      <c r="H7516">
        <v>7.6</v>
      </c>
      <c r="I7516">
        <v>1.65</v>
      </c>
      <c r="J7516">
        <v>14</v>
      </c>
      <c r="L7516" t="s">
        <v>2709</v>
      </c>
      <c r="M7516">
        <v>80070030</v>
      </c>
      <c r="O7516" t="s">
        <v>19447</v>
      </c>
      <c r="P7516" t="s">
        <v>19899</v>
      </c>
      <c r="Q7516" t="s">
        <v>19900</v>
      </c>
      <c r="R7516" t="s">
        <v>19905</v>
      </c>
      <c r="S7516" t="s">
        <v>19906</v>
      </c>
      <c r="T7516" t="s">
        <v>19911</v>
      </c>
    </row>
    <row r="7517" spans="2:20" x14ac:dyDescent="0.25">
      <c r="B7517" t="s">
        <v>2709</v>
      </c>
      <c r="C7517">
        <v>80070090</v>
      </c>
      <c r="E7517">
        <v>71.78</v>
      </c>
      <c r="F7517">
        <v>18</v>
      </c>
      <c r="G7517">
        <v>0</v>
      </c>
      <c r="H7517">
        <v>7.6</v>
      </c>
      <c r="I7517">
        <v>1.65</v>
      </c>
      <c r="J7517">
        <v>16</v>
      </c>
      <c r="L7517" t="s">
        <v>2709</v>
      </c>
      <c r="M7517">
        <v>80070090</v>
      </c>
      <c r="O7517" t="s">
        <v>20056</v>
      </c>
      <c r="P7517" t="s">
        <v>19899</v>
      </c>
      <c r="Q7517" t="s">
        <v>19900</v>
      </c>
      <c r="R7517" t="s">
        <v>19905</v>
      </c>
      <c r="S7517" t="s">
        <v>19906</v>
      </c>
      <c r="T7517" t="s">
        <v>19913</v>
      </c>
    </row>
    <row r="7518" spans="2:20" x14ac:dyDescent="0.25">
      <c r="B7518" t="s">
        <v>2709</v>
      </c>
      <c r="C7518">
        <v>81011000</v>
      </c>
      <c r="E7518" t="s">
        <v>19447</v>
      </c>
      <c r="F7518">
        <v>18</v>
      </c>
      <c r="G7518">
        <v>0</v>
      </c>
      <c r="H7518" t="s">
        <v>19447</v>
      </c>
      <c r="I7518" t="s">
        <v>19447</v>
      </c>
      <c r="J7518">
        <v>2</v>
      </c>
      <c r="L7518" t="s">
        <v>2709</v>
      </c>
      <c r="M7518">
        <v>81011000</v>
      </c>
      <c r="O7518" t="s">
        <v>19447</v>
      </c>
      <c r="P7518" t="s">
        <v>19899</v>
      </c>
      <c r="Q7518" t="s">
        <v>19900</v>
      </c>
      <c r="R7518" t="s">
        <v>19447</v>
      </c>
      <c r="S7518" t="s">
        <v>19447</v>
      </c>
      <c r="T7518" t="s">
        <v>19901</v>
      </c>
    </row>
    <row r="7519" spans="2:20" x14ac:dyDescent="0.25">
      <c r="B7519" t="s">
        <v>2709</v>
      </c>
      <c r="C7519">
        <v>81019400</v>
      </c>
      <c r="E7519" t="s">
        <v>19447</v>
      </c>
      <c r="F7519">
        <v>18</v>
      </c>
      <c r="G7519">
        <v>0</v>
      </c>
      <c r="H7519" t="s">
        <v>19447</v>
      </c>
      <c r="I7519" t="s">
        <v>19447</v>
      </c>
      <c r="J7519">
        <v>2</v>
      </c>
      <c r="L7519" t="s">
        <v>2709</v>
      </c>
      <c r="M7519">
        <v>81019400</v>
      </c>
      <c r="O7519" t="s">
        <v>19447</v>
      </c>
      <c r="P7519" t="s">
        <v>19899</v>
      </c>
      <c r="Q7519" t="s">
        <v>19900</v>
      </c>
      <c r="R7519" t="s">
        <v>19447</v>
      </c>
      <c r="S7519" t="s">
        <v>19447</v>
      </c>
      <c r="T7519" t="s">
        <v>19901</v>
      </c>
    </row>
    <row r="7520" spans="2:20" x14ac:dyDescent="0.25">
      <c r="B7520" t="s">
        <v>2709</v>
      </c>
      <c r="C7520">
        <v>81019600</v>
      </c>
      <c r="E7520" t="s">
        <v>19447</v>
      </c>
      <c r="F7520">
        <v>18</v>
      </c>
      <c r="G7520">
        <v>0</v>
      </c>
      <c r="H7520" t="s">
        <v>19447</v>
      </c>
      <c r="I7520" t="s">
        <v>19447</v>
      </c>
      <c r="J7520">
        <v>2</v>
      </c>
      <c r="L7520" t="s">
        <v>2709</v>
      </c>
      <c r="M7520">
        <v>81019600</v>
      </c>
      <c r="O7520" t="s">
        <v>19447</v>
      </c>
      <c r="P7520" t="s">
        <v>19899</v>
      </c>
      <c r="Q7520" t="s">
        <v>19900</v>
      </c>
      <c r="R7520" t="s">
        <v>19447</v>
      </c>
      <c r="S7520" t="s">
        <v>19447</v>
      </c>
      <c r="T7520" t="s">
        <v>19901</v>
      </c>
    </row>
    <row r="7521" spans="2:20" x14ac:dyDescent="0.25">
      <c r="B7521" t="s">
        <v>2709</v>
      </c>
      <c r="C7521">
        <v>81019700</v>
      </c>
      <c r="E7521" t="s">
        <v>19447</v>
      </c>
      <c r="F7521">
        <v>18</v>
      </c>
      <c r="G7521">
        <v>0</v>
      </c>
      <c r="H7521" t="s">
        <v>19447</v>
      </c>
      <c r="I7521" t="s">
        <v>19447</v>
      </c>
      <c r="J7521">
        <v>2</v>
      </c>
      <c r="L7521" t="s">
        <v>2709</v>
      </c>
      <c r="M7521">
        <v>81019700</v>
      </c>
      <c r="O7521" t="s">
        <v>19447</v>
      </c>
      <c r="P7521" t="s">
        <v>19899</v>
      </c>
      <c r="Q7521" t="s">
        <v>19900</v>
      </c>
      <c r="R7521" t="s">
        <v>19447</v>
      </c>
      <c r="S7521" t="s">
        <v>19447</v>
      </c>
      <c r="T7521" t="s">
        <v>19901</v>
      </c>
    </row>
    <row r="7522" spans="2:20" x14ac:dyDescent="0.25">
      <c r="B7522" t="s">
        <v>2709</v>
      </c>
      <c r="C7522">
        <v>81019910</v>
      </c>
      <c r="E7522" t="s">
        <v>19447</v>
      </c>
      <c r="F7522">
        <v>18</v>
      </c>
      <c r="G7522">
        <v>0</v>
      </c>
      <c r="H7522" t="s">
        <v>19447</v>
      </c>
      <c r="I7522" t="s">
        <v>19447</v>
      </c>
      <c r="J7522">
        <v>2</v>
      </c>
      <c r="L7522" t="s">
        <v>2709</v>
      </c>
      <c r="M7522">
        <v>81019910</v>
      </c>
      <c r="O7522" t="s">
        <v>19447</v>
      </c>
      <c r="P7522" t="s">
        <v>19899</v>
      </c>
      <c r="Q7522" t="s">
        <v>19900</v>
      </c>
      <c r="R7522" t="s">
        <v>19447</v>
      </c>
      <c r="S7522" t="s">
        <v>19447</v>
      </c>
      <c r="T7522" t="s">
        <v>19901</v>
      </c>
    </row>
    <row r="7523" spans="2:20" x14ac:dyDescent="0.25">
      <c r="B7523" t="s">
        <v>2709</v>
      </c>
      <c r="C7523">
        <v>81019990</v>
      </c>
      <c r="E7523" t="s">
        <v>19447</v>
      </c>
      <c r="F7523">
        <v>18</v>
      </c>
      <c r="G7523">
        <v>0</v>
      </c>
      <c r="H7523" t="s">
        <v>19447</v>
      </c>
      <c r="I7523" t="s">
        <v>19447</v>
      </c>
      <c r="J7523">
        <v>2</v>
      </c>
      <c r="L7523" t="s">
        <v>2709</v>
      </c>
      <c r="M7523">
        <v>81019990</v>
      </c>
      <c r="O7523" t="s">
        <v>19447</v>
      </c>
      <c r="P7523" t="s">
        <v>19899</v>
      </c>
      <c r="Q7523" t="s">
        <v>19900</v>
      </c>
      <c r="R7523" t="s">
        <v>19447</v>
      </c>
      <c r="S7523" t="s">
        <v>19447</v>
      </c>
      <c r="T7523" t="s">
        <v>19901</v>
      </c>
    </row>
    <row r="7524" spans="2:20" x14ac:dyDescent="0.25">
      <c r="B7524" t="s">
        <v>2709</v>
      </c>
      <c r="C7524">
        <v>81021000</v>
      </c>
      <c r="E7524" t="s">
        <v>19447</v>
      </c>
      <c r="F7524">
        <v>18</v>
      </c>
      <c r="G7524">
        <v>0</v>
      </c>
      <c r="H7524" t="s">
        <v>19447</v>
      </c>
      <c r="I7524" t="s">
        <v>19447</v>
      </c>
      <c r="J7524">
        <v>2</v>
      </c>
      <c r="L7524" t="s">
        <v>2709</v>
      </c>
      <c r="M7524">
        <v>81021000</v>
      </c>
      <c r="O7524" t="s">
        <v>19447</v>
      </c>
      <c r="P7524" t="s">
        <v>19899</v>
      </c>
      <c r="Q7524" t="s">
        <v>19900</v>
      </c>
      <c r="R7524" t="s">
        <v>19447</v>
      </c>
      <c r="S7524" t="s">
        <v>19447</v>
      </c>
      <c r="T7524" t="s">
        <v>19901</v>
      </c>
    </row>
    <row r="7525" spans="2:20" x14ac:dyDescent="0.25">
      <c r="B7525" t="s">
        <v>2709</v>
      </c>
      <c r="C7525">
        <v>81029400</v>
      </c>
      <c r="E7525" t="s">
        <v>19447</v>
      </c>
      <c r="F7525">
        <v>18</v>
      </c>
      <c r="G7525">
        <v>0</v>
      </c>
      <c r="H7525" t="s">
        <v>19447</v>
      </c>
      <c r="I7525" t="s">
        <v>19447</v>
      </c>
      <c r="J7525">
        <v>2</v>
      </c>
      <c r="L7525" t="s">
        <v>2709</v>
      </c>
      <c r="M7525">
        <v>81029400</v>
      </c>
      <c r="O7525" t="s">
        <v>19447</v>
      </c>
      <c r="P7525" t="s">
        <v>19899</v>
      </c>
      <c r="Q7525" t="s">
        <v>19900</v>
      </c>
      <c r="R7525" t="s">
        <v>19447</v>
      </c>
      <c r="S7525" t="s">
        <v>19447</v>
      </c>
      <c r="T7525" t="s">
        <v>19901</v>
      </c>
    </row>
    <row r="7526" spans="2:20" x14ac:dyDescent="0.25">
      <c r="B7526" t="s">
        <v>2709</v>
      </c>
      <c r="C7526">
        <v>81029500</v>
      </c>
      <c r="E7526" t="s">
        <v>19447</v>
      </c>
      <c r="F7526">
        <v>18</v>
      </c>
      <c r="G7526">
        <v>0</v>
      </c>
      <c r="H7526" t="s">
        <v>19447</v>
      </c>
      <c r="I7526" t="s">
        <v>19447</v>
      </c>
      <c r="J7526">
        <v>2</v>
      </c>
      <c r="L7526" t="s">
        <v>2709</v>
      </c>
      <c r="M7526">
        <v>81029500</v>
      </c>
      <c r="O7526" t="s">
        <v>19447</v>
      </c>
      <c r="P7526" t="s">
        <v>19899</v>
      </c>
      <c r="Q7526" t="s">
        <v>19900</v>
      </c>
      <c r="R7526" t="s">
        <v>19447</v>
      </c>
      <c r="S7526" t="s">
        <v>19447</v>
      </c>
      <c r="T7526" t="s">
        <v>19901</v>
      </c>
    </row>
    <row r="7527" spans="2:20" x14ac:dyDescent="0.25">
      <c r="B7527" t="s">
        <v>2709</v>
      </c>
      <c r="C7527">
        <v>81029600</v>
      </c>
      <c r="E7527" t="s">
        <v>19447</v>
      </c>
      <c r="F7527">
        <v>18</v>
      </c>
      <c r="G7527">
        <v>0</v>
      </c>
      <c r="H7527" t="s">
        <v>19447</v>
      </c>
      <c r="I7527" t="s">
        <v>19447</v>
      </c>
      <c r="J7527">
        <v>2</v>
      </c>
      <c r="L7527" t="s">
        <v>2709</v>
      </c>
      <c r="M7527">
        <v>81029600</v>
      </c>
      <c r="O7527" t="s">
        <v>19447</v>
      </c>
      <c r="P7527" t="s">
        <v>19899</v>
      </c>
      <c r="Q7527" t="s">
        <v>19900</v>
      </c>
      <c r="R7527" t="s">
        <v>19447</v>
      </c>
      <c r="S7527" t="s">
        <v>19447</v>
      </c>
      <c r="T7527" t="s">
        <v>19901</v>
      </c>
    </row>
    <row r="7528" spans="2:20" x14ac:dyDescent="0.25">
      <c r="B7528" t="s">
        <v>2709</v>
      </c>
      <c r="C7528">
        <v>81029700</v>
      </c>
      <c r="E7528" t="s">
        <v>19447</v>
      </c>
      <c r="F7528">
        <v>18</v>
      </c>
      <c r="G7528">
        <v>0</v>
      </c>
      <c r="H7528" t="s">
        <v>19447</v>
      </c>
      <c r="I7528" t="s">
        <v>19447</v>
      </c>
      <c r="J7528">
        <v>2</v>
      </c>
      <c r="L7528" t="s">
        <v>2709</v>
      </c>
      <c r="M7528">
        <v>81029700</v>
      </c>
      <c r="O7528" t="s">
        <v>19447</v>
      </c>
      <c r="P7528" t="s">
        <v>19899</v>
      </c>
      <c r="Q7528" t="s">
        <v>19900</v>
      </c>
      <c r="R7528" t="s">
        <v>19447</v>
      </c>
      <c r="S7528" t="s">
        <v>19447</v>
      </c>
      <c r="T7528" t="s">
        <v>19901</v>
      </c>
    </row>
    <row r="7529" spans="2:20" x14ac:dyDescent="0.25">
      <c r="B7529" t="s">
        <v>2709</v>
      </c>
      <c r="C7529">
        <v>81029900</v>
      </c>
      <c r="E7529" t="s">
        <v>19447</v>
      </c>
      <c r="F7529">
        <v>18</v>
      </c>
      <c r="G7529">
        <v>0</v>
      </c>
      <c r="H7529" t="s">
        <v>19447</v>
      </c>
      <c r="I7529" t="s">
        <v>19447</v>
      </c>
      <c r="J7529">
        <v>2</v>
      </c>
      <c r="L7529" t="s">
        <v>2709</v>
      </c>
      <c r="M7529">
        <v>81029900</v>
      </c>
      <c r="O7529" t="s">
        <v>19447</v>
      </c>
      <c r="P7529" t="s">
        <v>19899</v>
      </c>
      <c r="Q7529" t="s">
        <v>19900</v>
      </c>
      <c r="R7529" t="s">
        <v>19447</v>
      </c>
      <c r="S7529" t="s">
        <v>19447</v>
      </c>
      <c r="T7529" t="s">
        <v>19901</v>
      </c>
    </row>
    <row r="7530" spans="2:20" x14ac:dyDescent="0.25">
      <c r="B7530" t="s">
        <v>2709</v>
      </c>
      <c r="C7530">
        <v>81032000</v>
      </c>
      <c r="E7530" t="s">
        <v>19447</v>
      </c>
      <c r="F7530">
        <v>18</v>
      </c>
      <c r="G7530">
        <v>0</v>
      </c>
      <c r="H7530">
        <v>7.6</v>
      </c>
      <c r="I7530">
        <v>1.65</v>
      </c>
      <c r="J7530">
        <v>2</v>
      </c>
      <c r="L7530" t="s">
        <v>2709</v>
      </c>
      <c r="M7530">
        <v>81032000</v>
      </c>
      <c r="O7530" t="s">
        <v>19447</v>
      </c>
      <c r="P7530" t="s">
        <v>19899</v>
      </c>
      <c r="Q7530" t="s">
        <v>19900</v>
      </c>
      <c r="R7530" t="s">
        <v>19905</v>
      </c>
      <c r="S7530" t="s">
        <v>19906</v>
      </c>
      <c r="T7530" t="s">
        <v>19901</v>
      </c>
    </row>
    <row r="7531" spans="2:20" x14ac:dyDescent="0.25">
      <c r="B7531" t="s">
        <v>2709</v>
      </c>
      <c r="C7531">
        <v>81033000</v>
      </c>
      <c r="E7531" t="s">
        <v>19447</v>
      </c>
      <c r="F7531">
        <v>18</v>
      </c>
      <c r="G7531">
        <v>0</v>
      </c>
      <c r="H7531" t="s">
        <v>19447</v>
      </c>
      <c r="I7531" t="s">
        <v>19447</v>
      </c>
      <c r="J7531">
        <v>2</v>
      </c>
      <c r="L7531" t="s">
        <v>2709</v>
      </c>
      <c r="M7531">
        <v>81033000</v>
      </c>
      <c r="O7531" t="s">
        <v>19447</v>
      </c>
      <c r="P7531" t="s">
        <v>19899</v>
      </c>
      <c r="Q7531" t="s">
        <v>19900</v>
      </c>
      <c r="R7531" t="s">
        <v>19447</v>
      </c>
      <c r="S7531" t="s">
        <v>19447</v>
      </c>
      <c r="T7531" t="s">
        <v>19901</v>
      </c>
    </row>
    <row r="7532" spans="2:20" x14ac:dyDescent="0.25">
      <c r="B7532" t="s">
        <v>2709</v>
      </c>
      <c r="C7532">
        <v>81039000</v>
      </c>
      <c r="E7532" t="s">
        <v>19447</v>
      </c>
      <c r="F7532">
        <v>18</v>
      </c>
      <c r="G7532">
        <v>0</v>
      </c>
      <c r="H7532">
        <v>7.6</v>
      </c>
      <c r="I7532">
        <v>1.65</v>
      </c>
      <c r="J7532">
        <v>2</v>
      </c>
      <c r="L7532" t="s">
        <v>2709</v>
      </c>
      <c r="M7532">
        <v>81039000</v>
      </c>
      <c r="O7532" t="s">
        <v>19447</v>
      </c>
      <c r="P7532" t="s">
        <v>19899</v>
      </c>
      <c r="Q7532" t="s">
        <v>19900</v>
      </c>
      <c r="R7532" t="s">
        <v>19905</v>
      </c>
      <c r="S7532" t="s">
        <v>19906</v>
      </c>
      <c r="T7532" t="s">
        <v>19901</v>
      </c>
    </row>
    <row r="7533" spans="2:20" x14ac:dyDescent="0.25">
      <c r="B7533" t="s">
        <v>2709</v>
      </c>
      <c r="C7533">
        <v>81041100</v>
      </c>
      <c r="E7533" t="s">
        <v>19447</v>
      </c>
      <c r="F7533">
        <v>18</v>
      </c>
      <c r="G7533">
        <v>0</v>
      </c>
      <c r="H7533">
        <v>7.6</v>
      </c>
      <c r="I7533">
        <v>1.65</v>
      </c>
      <c r="J7533">
        <v>6</v>
      </c>
      <c r="L7533" t="s">
        <v>2709</v>
      </c>
      <c r="M7533">
        <v>81041100</v>
      </c>
      <c r="O7533" t="s">
        <v>19447</v>
      </c>
      <c r="P7533" t="s">
        <v>19899</v>
      </c>
      <c r="Q7533" t="s">
        <v>19900</v>
      </c>
      <c r="R7533" t="s">
        <v>19905</v>
      </c>
      <c r="S7533" t="s">
        <v>19906</v>
      </c>
      <c r="T7533" t="s">
        <v>19907</v>
      </c>
    </row>
    <row r="7534" spans="2:20" x14ac:dyDescent="0.25">
      <c r="B7534" t="s">
        <v>2709</v>
      </c>
      <c r="C7534">
        <v>81041900</v>
      </c>
      <c r="E7534" t="s">
        <v>19447</v>
      </c>
      <c r="F7534">
        <v>18</v>
      </c>
      <c r="G7534">
        <v>0</v>
      </c>
      <c r="H7534">
        <v>7.6</v>
      </c>
      <c r="I7534">
        <v>1.65</v>
      </c>
      <c r="J7534">
        <v>6</v>
      </c>
      <c r="L7534" t="s">
        <v>2709</v>
      </c>
      <c r="M7534">
        <v>81041900</v>
      </c>
      <c r="O7534" t="s">
        <v>19447</v>
      </c>
      <c r="P7534" t="s">
        <v>19899</v>
      </c>
      <c r="Q7534" t="s">
        <v>19900</v>
      </c>
      <c r="R7534" t="s">
        <v>19905</v>
      </c>
      <c r="S7534" t="s">
        <v>19906</v>
      </c>
      <c r="T7534" t="s">
        <v>19907</v>
      </c>
    </row>
    <row r="7535" spans="2:20" x14ac:dyDescent="0.25">
      <c r="B7535" t="s">
        <v>2709</v>
      </c>
      <c r="C7535">
        <v>81042000</v>
      </c>
      <c r="E7535" t="s">
        <v>19447</v>
      </c>
      <c r="F7535">
        <v>18</v>
      </c>
      <c r="G7535">
        <v>0</v>
      </c>
      <c r="H7535" t="s">
        <v>19447</v>
      </c>
      <c r="I7535" t="s">
        <v>19447</v>
      </c>
      <c r="J7535">
        <v>2</v>
      </c>
      <c r="L7535" t="s">
        <v>2709</v>
      </c>
      <c r="M7535">
        <v>81042000</v>
      </c>
      <c r="O7535" t="s">
        <v>19447</v>
      </c>
      <c r="P7535" t="s">
        <v>19899</v>
      </c>
      <c r="Q7535" t="s">
        <v>19900</v>
      </c>
      <c r="R7535" t="s">
        <v>19447</v>
      </c>
      <c r="S7535" t="s">
        <v>19447</v>
      </c>
      <c r="T7535" t="s">
        <v>19901</v>
      </c>
    </row>
    <row r="7536" spans="2:20" x14ac:dyDescent="0.25">
      <c r="B7536" t="s">
        <v>2709</v>
      </c>
      <c r="C7536">
        <v>81043000</v>
      </c>
      <c r="E7536" t="s">
        <v>19447</v>
      </c>
      <c r="F7536">
        <v>18</v>
      </c>
      <c r="G7536">
        <v>4</v>
      </c>
      <c r="H7536" t="s">
        <v>19447</v>
      </c>
      <c r="I7536" t="s">
        <v>19447</v>
      </c>
      <c r="J7536">
        <v>6</v>
      </c>
      <c r="L7536" t="s">
        <v>2709</v>
      </c>
      <c r="M7536">
        <v>81043000</v>
      </c>
      <c r="O7536" t="s">
        <v>19447</v>
      </c>
      <c r="P7536" t="s">
        <v>19899</v>
      </c>
      <c r="Q7536" t="s">
        <v>19902</v>
      </c>
      <c r="R7536" t="s">
        <v>19447</v>
      </c>
      <c r="S7536" t="s">
        <v>19447</v>
      </c>
      <c r="T7536" t="s">
        <v>19907</v>
      </c>
    </row>
    <row r="7537" spans="2:20" x14ac:dyDescent="0.25">
      <c r="B7537" t="s">
        <v>2709</v>
      </c>
      <c r="C7537">
        <v>81049000</v>
      </c>
      <c r="E7537" t="s">
        <v>19447</v>
      </c>
      <c r="F7537">
        <v>18</v>
      </c>
      <c r="G7537">
        <v>4</v>
      </c>
      <c r="H7537">
        <v>7.6</v>
      </c>
      <c r="I7537">
        <v>1.65</v>
      </c>
      <c r="J7537">
        <v>8</v>
      </c>
      <c r="L7537" t="s">
        <v>2709</v>
      </c>
      <c r="M7537">
        <v>81049000</v>
      </c>
      <c r="O7537" t="s">
        <v>19447</v>
      </c>
      <c r="P7537" t="s">
        <v>19899</v>
      </c>
      <c r="Q7537" t="s">
        <v>19902</v>
      </c>
      <c r="R7537" t="s">
        <v>19905</v>
      </c>
      <c r="S7537" t="s">
        <v>19906</v>
      </c>
      <c r="T7537" t="s">
        <v>19918</v>
      </c>
    </row>
    <row r="7538" spans="2:20" x14ac:dyDescent="0.25">
      <c r="B7538" t="s">
        <v>2709</v>
      </c>
      <c r="C7538">
        <v>81052010</v>
      </c>
      <c r="E7538" t="s">
        <v>19447</v>
      </c>
      <c r="F7538">
        <v>18</v>
      </c>
      <c r="G7538">
        <v>0</v>
      </c>
      <c r="H7538">
        <v>7.6</v>
      </c>
      <c r="I7538">
        <v>1.65</v>
      </c>
      <c r="J7538">
        <v>4</v>
      </c>
      <c r="L7538" t="s">
        <v>2709</v>
      </c>
      <c r="M7538">
        <v>81052010</v>
      </c>
      <c r="O7538" t="s">
        <v>19447</v>
      </c>
      <c r="P7538" t="s">
        <v>19899</v>
      </c>
      <c r="Q7538" t="s">
        <v>19900</v>
      </c>
      <c r="R7538" t="s">
        <v>19905</v>
      </c>
      <c r="S7538" t="s">
        <v>19906</v>
      </c>
      <c r="T7538" t="s">
        <v>19902</v>
      </c>
    </row>
    <row r="7539" spans="2:20" x14ac:dyDescent="0.25">
      <c r="B7539" t="s">
        <v>2709</v>
      </c>
      <c r="C7539">
        <v>81052021</v>
      </c>
      <c r="E7539" t="s">
        <v>19447</v>
      </c>
      <c r="F7539">
        <v>18</v>
      </c>
      <c r="G7539">
        <v>0</v>
      </c>
      <c r="H7539">
        <v>7.6</v>
      </c>
      <c r="I7539">
        <v>1.65</v>
      </c>
      <c r="J7539">
        <v>2</v>
      </c>
      <c r="L7539" t="s">
        <v>2709</v>
      </c>
      <c r="M7539">
        <v>81052021</v>
      </c>
      <c r="O7539" t="s">
        <v>19447</v>
      </c>
      <c r="P7539" t="s">
        <v>19899</v>
      </c>
      <c r="Q7539" t="s">
        <v>19900</v>
      </c>
      <c r="R7539" t="s">
        <v>19905</v>
      </c>
      <c r="S7539" t="s">
        <v>19906</v>
      </c>
      <c r="T7539" t="s">
        <v>19901</v>
      </c>
    </row>
    <row r="7540" spans="2:20" x14ac:dyDescent="0.25">
      <c r="B7540" t="s">
        <v>2709</v>
      </c>
      <c r="C7540">
        <v>81052029</v>
      </c>
      <c r="E7540" t="s">
        <v>19447</v>
      </c>
      <c r="F7540">
        <v>18</v>
      </c>
      <c r="G7540">
        <v>0</v>
      </c>
      <c r="H7540">
        <v>7.6</v>
      </c>
      <c r="I7540">
        <v>1.65</v>
      </c>
      <c r="J7540">
        <v>6</v>
      </c>
      <c r="L7540" t="s">
        <v>2709</v>
      </c>
      <c r="M7540">
        <v>81052029</v>
      </c>
      <c r="O7540" t="s">
        <v>19447</v>
      </c>
      <c r="P7540" t="s">
        <v>19899</v>
      </c>
      <c r="Q7540" t="s">
        <v>19900</v>
      </c>
      <c r="R7540" t="s">
        <v>19905</v>
      </c>
      <c r="S7540" t="s">
        <v>19906</v>
      </c>
      <c r="T7540" t="s">
        <v>19907</v>
      </c>
    </row>
    <row r="7541" spans="2:20" x14ac:dyDescent="0.25">
      <c r="B7541" t="s">
        <v>2709</v>
      </c>
      <c r="C7541">
        <v>81052090</v>
      </c>
      <c r="E7541" t="s">
        <v>19447</v>
      </c>
      <c r="F7541">
        <v>18</v>
      </c>
      <c r="G7541">
        <v>0</v>
      </c>
      <c r="H7541">
        <v>7.6</v>
      </c>
      <c r="I7541">
        <v>1.65</v>
      </c>
      <c r="J7541">
        <v>6</v>
      </c>
      <c r="L7541" t="s">
        <v>2709</v>
      </c>
      <c r="M7541">
        <v>81052090</v>
      </c>
      <c r="O7541" t="s">
        <v>19447</v>
      </c>
      <c r="P7541" t="s">
        <v>19899</v>
      </c>
      <c r="Q7541" t="s">
        <v>19900</v>
      </c>
      <c r="R7541" t="s">
        <v>19905</v>
      </c>
      <c r="S7541" t="s">
        <v>19906</v>
      </c>
      <c r="T7541" t="s">
        <v>19907</v>
      </c>
    </row>
    <row r="7542" spans="2:20" x14ac:dyDescent="0.25">
      <c r="B7542" t="s">
        <v>2709</v>
      </c>
      <c r="C7542">
        <v>81053000</v>
      </c>
      <c r="E7542" t="s">
        <v>19447</v>
      </c>
      <c r="F7542">
        <v>18</v>
      </c>
      <c r="G7542">
        <v>0</v>
      </c>
      <c r="H7542" t="s">
        <v>19447</v>
      </c>
      <c r="I7542" t="s">
        <v>19447</v>
      </c>
      <c r="J7542">
        <v>6</v>
      </c>
      <c r="L7542" t="s">
        <v>2709</v>
      </c>
      <c r="M7542">
        <v>81053000</v>
      </c>
      <c r="O7542" t="s">
        <v>19447</v>
      </c>
      <c r="P7542" t="s">
        <v>19899</v>
      </c>
      <c r="Q7542" t="s">
        <v>19900</v>
      </c>
      <c r="R7542" t="s">
        <v>19447</v>
      </c>
      <c r="S7542" t="s">
        <v>19447</v>
      </c>
      <c r="T7542" t="s">
        <v>19907</v>
      </c>
    </row>
    <row r="7543" spans="2:20" x14ac:dyDescent="0.25">
      <c r="B7543" t="s">
        <v>2709</v>
      </c>
      <c r="C7543">
        <v>81059010</v>
      </c>
      <c r="E7543" t="s">
        <v>19447</v>
      </c>
      <c r="F7543">
        <v>18</v>
      </c>
      <c r="G7543">
        <v>0</v>
      </c>
      <c r="H7543" t="s">
        <v>19447</v>
      </c>
      <c r="I7543" t="s">
        <v>19447</v>
      </c>
      <c r="J7543">
        <v>6</v>
      </c>
      <c r="L7543" t="s">
        <v>2709</v>
      </c>
      <c r="M7543">
        <v>81059010</v>
      </c>
      <c r="O7543" t="s">
        <v>19447</v>
      </c>
      <c r="P7543" t="s">
        <v>19899</v>
      </c>
      <c r="Q7543" t="s">
        <v>19900</v>
      </c>
      <c r="R7543" t="s">
        <v>19447</v>
      </c>
      <c r="S7543" t="s">
        <v>19447</v>
      </c>
      <c r="T7543" t="s">
        <v>19907</v>
      </c>
    </row>
    <row r="7544" spans="2:20" x14ac:dyDescent="0.25">
      <c r="B7544" t="s">
        <v>2709</v>
      </c>
      <c r="C7544">
        <v>81059090</v>
      </c>
      <c r="E7544" t="s">
        <v>19447</v>
      </c>
      <c r="F7544">
        <v>18</v>
      </c>
      <c r="G7544">
        <v>0</v>
      </c>
      <c r="H7544">
        <v>7.6</v>
      </c>
      <c r="I7544">
        <v>1.65</v>
      </c>
      <c r="J7544">
        <v>6</v>
      </c>
      <c r="L7544" t="s">
        <v>2709</v>
      </c>
      <c r="M7544">
        <v>81059090</v>
      </c>
      <c r="O7544" t="s">
        <v>19447</v>
      </c>
      <c r="P7544" t="s">
        <v>19899</v>
      </c>
      <c r="Q7544" t="s">
        <v>19900</v>
      </c>
      <c r="R7544" t="s">
        <v>19905</v>
      </c>
      <c r="S7544" t="s">
        <v>19906</v>
      </c>
      <c r="T7544" t="s">
        <v>19907</v>
      </c>
    </row>
    <row r="7545" spans="2:20" x14ac:dyDescent="0.25">
      <c r="B7545" t="s">
        <v>2709</v>
      </c>
      <c r="C7545">
        <v>81060010</v>
      </c>
      <c r="E7545" t="s">
        <v>19447</v>
      </c>
      <c r="F7545">
        <v>18</v>
      </c>
      <c r="G7545">
        <v>0</v>
      </c>
      <c r="H7545">
        <v>7.6</v>
      </c>
      <c r="I7545">
        <v>1.65</v>
      </c>
      <c r="J7545">
        <v>2</v>
      </c>
      <c r="L7545" t="s">
        <v>2709</v>
      </c>
      <c r="M7545">
        <v>81060010</v>
      </c>
      <c r="O7545" t="s">
        <v>19447</v>
      </c>
      <c r="P7545" t="s">
        <v>19899</v>
      </c>
      <c r="Q7545" t="s">
        <v>19900</v>
      </c>
      <c r="R7545" t="s">
        <v>19905</v>
      </c>
      <c r="S7545" t="s">
        <v>19906</v>
      </c>
      <c r="T7545" t="s">
        <v>19901</v>
      </c>
    </row>
    <row r="7546" spans="2:20" x14ac:dyDescent="0.25">
      <c r="B7546" t="s">
        <v>2709</v>
      </c>
      <c r="C7546">
        <v>81060090</v>
      </c>
      <c r="E7546" t="s">
        <v>19447</v>
      </c>
      <c r="F7546">
        <v>18</v>
      </c>
      <c r="G7546">
        <v>0</v>
      </c>
      <c r="H7546" t="s">
        <v>19447</v>
      </c>
      <c r="I7546" t="s">
        <v>19447</v>
      </c>
      <c r="J7546">
        <v>2</v>
      </c>
      <c r="L7546" t="s">
        <v>2709</v>
      </c>
      <c r="M7546">
        <v>81060090</v>
      </c>
      <c r="O7546" t="s">
        <v>19447</v>
      </c>
      <c r="P7546" t="s">
        <v>19899</v>
      </c>
      <c r="Q7546" t="s">
        <v>19900</v>
      </c>
      <c r="R7546" t="s">
        <v>19447</v>
      </c>
      <c r="S7546" t="s">
        <v>19447</v>
      </c>
      <c r="T7546" t="s">
        <v>19901</v>
      </c>
    </row>
    <row r="7547" spans="2:20" x14ac:dyDescent="0.25">
      <c r="B7547" t="s">
        <v>2709</v>
      </c>
      <c r="C7547">
        <v>81072010</v>
      </c>
      <c r="E7547" t="s">
        <v>19447</v>
      </c>
      <c r="F7547">
        <v>18</v>
      </c>
      <c r="G7547">
        <v>0</v>
      </c>
      <c r="H7547">
        <v>7.6</v>
      </c>
      <c r="I7547">
        <v>1.65</v>
      </c>
      <c r="J7547">
        <v>6</v>
      </c>
      <c r="L7547" t="s">
        <v>2709</v>
      </c>
      <c r="M7547">
        <v>81072010</v>
      </c>
      <c r="O7547" t="s">
        <v>19447</v>
      </c>
      <c r="P7547" t="s">
        <v>19899</v>
      </c>
      <c r="Q7547" t="s">
        <v>19900</v>
      </c>
      <c r="R7547" t="s">
        <v>19905</v>
      </c>
      <c r="S7547" t="s">
        <v>19906</v>
      </c>
      <c r="T7547" t="s">
        <v>19907</v>
      </c>
    </row>
    <row r="7548" spans="2:20" x14ac:dyDescent="0.25">
      <c r="B7548" t="s">
        <v>2709</v>
      </c>
      <c r="C7548">
        <v>81072020</v>
      </c>
      <c r="E7548" t="s">
        <v>19447</v>
      </c>
      <c r="F7548">
        <v>18</v>
      </c>
      <c r="G7548">
        <v>0</v>
      </c>
      <c r="H7548">
        <v>7.6</v>
      </c>
      <c r="I7548">
        <v>1.65</v>
      </c>
      <c r="J7548">
        <v>6</v>
      </c>
      <c r="L7548" t="s">
        <v>2709</v>
      </c>
      <c r="M7548">
        <v>81072020</v>
      </c>
      <c r="O7548" t="s">
        <v>19447</v>
      </c>
      <c r="P7548" t="s">
        <v>19899</v>
      </c>
      <c r="Q7548" t="s">
        <v>19900</v>
      </c>
      <c r="R7548" t="s">
        <v>19905</v>
      </c>
      <c r="S7548" t="s">
        <v>19906</v>
      </c>
      <c r="T7548" t="s">
        <v>19907</v>
      </c>
    </row>
    <row r="7549" spans="2:20" x14ac:dyDescent="0.25">
      <c r="B7549" t="s">
        <v>2709</v>
      </c>
      <c r="C7549">
        <v>81073000</v>
      </c>
      <c r="E7549" t="s">
        <v>19447</v>
      </c>
      <c r="F7549">
        <v>18</v>
      </c>
      <c r="G7549">
        <v>0</v>
      </c>
      <c r="H7549" t="s">
        <v>19447</v>
      </c>
      <c r="I7549" t="s">
        <v>19447</v>
      </c>
      <c r="J7549">
        <v>6</v>
      </c>
      <c r="L7549" t="s">
        <v>2709</v>
      </c>
      <c r="M7549">
        <v>81073000</v>
      </c>
      <c r="O7549" t="s">
        <v>19447</v>
      </c>
      <c r="P7549" t="s">
        <v>19899</v>
      </c>
      <c r="Q7549" t="s">
        <v>19900</v>
      </c>
      <c r="R7549" t="s">
        <v>19447</v>
      </c>
      <c r="S7549" t="s">
        <v>19447</v>
      </c>
      <c r="T7549" t="s">
        <v>19907</v>
      </c>
    </row>
    <row r="7550" spans="2:20" x14ac:dyDescent="0.25">
      <c r="B7550" t="s">
        <v>2709</v>
      </c>
      <c r="C7550">
        <v>81079000</v>
      </c>
      <c r="E7550" t="s">
        <v>19447</v>
      </c>
      <c r="F7550">
        <v>18</v>
      </c>
      <c r="G7550">
        <v>0</v>
      </c>
      <c r="H7550">
        <v>7.6</v>
      </c>
      <c r="I7550">
        <v>1.65</v>
      </c>
      <c r="J7550">
        <v>6</v>
      </c>
      <c r="L7550" t="s">
        <v>2709</v>
      </c>
      <c r="M7550">
        <v>81079000</v>
      </c>
      <c r="O7550" t="s">
        <v>19447</v>
      </c>
      <c r="P7550" t="s">
        <v>19899</v>
      </c>
      <c r="Q7550" t="s">
        <v>19900</v>
      </c>
      <c r="R7550" t="s">
        <v>19905</v>
      </c>
      <c r="S7550" t="s">
        <v>19906</v>
      </c>
      <c r="T7550" t="s">
        <v>19907</v>
      </c>
    </row>
    <row r="7551" spans="2:20" x14ac:dyDescent="0.25">
      <c r="B7551" t="s">
        <v>2709</v>
      </c>
      <c r="C7551">
        <v>81082000</v>
      </c>
      <c r="E7551" t="s">
        <v>19447</v>
      </c>
      <c r="F7551">
        <v>18</v>
      </c>
      <c r="G7551">
        <v>0</v>
      </c>
      <c r="H7551" t="s">
        <v>19447</v>
      </c>
      <c r="I7551" t="s">
        <v>19447</v>
      </c>
      <c r="J7551">
        <v>2</v>
      </c>
      <c r="L7551" t="s">
        <v>2709</v>
      </c>
      <c r="M7551">
        <v>81082000</v>
      </c>
      <c r="O7551" t="s">
        <v>19447</v>
      </c>
      <c r="P7551" t="s">
        <v>19899</v>
      </c>
      <c r="Q7551" t="s">
        <v>19900</v>
      </c>
      <c r="R7551" t="s">
        <v>19447</v>
      </c>
      <c r="S7551" t="s">
        <v>19447</v>
      </c>
      <c r="T7551" t="s">
        <v>19901</v>
      </c>
    </row>
    <row r="7552" spans="2:20" x14ac:dyDescent="0.25">
      <c r="B7552" t="s">
        <v>2709</v>
      </c>
      <c r="C7552">
        <v>81083000</v>
      </c>
      <c r="E7552" t="s">
        <v>19447</v>
      </c>
      <c r="F7552">
        <v>18</v>
      </c>
      <c r="G7552">
        <v>0</v>
      </c>
      <c r="H7552" t="s">
        <v>19447</v>
      </c>
      <c r="I7552" t="s">
        <v>19447</v>
      </c>
      <c r="J7552">
        <v>2</v>
      </c>
      <c r="L7552" t="s">
        <v>2709</v>
      </c>
      <c r="M7552">
        <v>81083000</v>
      </c>
      <c r="O7552" t="s">
        <v>19447</v>
      </c>
      <c r="P7552" t="s">
        <v>19899</v>
      </c>
      <c r="Q7552" t="s">
        <v>19900</v>
      </c>
      <c r="R7552" t="s">
        <v>19447</v>
      </c>
      <c r="S7552" t="s">
        <v>19447</v>
      </c>
      <c r="T7552" t="s">
        <v>19901</v>
      </c>
    </row>
    <row r="7553" spans="2:20" x14ac:dyDescent="0.25">
      <c r="B7553" t="s">
        <v>2709</v>
      </c>
      <c r="C7553">
        <v>81089000</v>
      </c>
      <c r="E7553" t="s">
        <v>19447</v>
      </c>
      <c r="F7553">
        <v>18</v>
      </c>
      <c r="G7553">
        <v>0</v>
      </c>
      <c r="H7553" t="s">
        <v>19447</v>
      </c>
      <c r="I7553" t="s">
        <v>19447</v>
      </c>
      <c r="J7553">
        <v>2</v>
      </c>
      <c r="L7553" t="s">
        <v>2709</v>
      </c>
      <c r="M7553">
        <v>81089000</v>
      </c>
      <c r="O7553" t="s">
        <v>19447</v>
      </c>
      <c r="P7553" t="s">
        <v>19899</v>
      </c>
      <c r="Q7553" t="s">
        <v>19900</v>
      </c>
      <c r="R7553" t="s">
        <v>19447</v>
      </c>
      <c r="S7553" t="s">
        <v>19447</v>
      </c>
      <c r="T7553" t="s">
        <v>19901</v>
      </c>
    </row>
    <row r="7554" spans="2:20" x14ac:dyDescent="0.25">
      <c r="B7554" t="s">
        <v>2709</v>
      </c>
      <c r="C7554">
        <v>81092000</v>
      </c>
      <c r="E7554" t="s">
        <v>19447</v>
      </c>
      <c r="F7554">
        <v>18</v>
      </c>
      <c r="G7554">
        <v>0</v>
      </c>
      <c r="H7554">
        <v>7.6</v>
      </c>
      <c r="I7554">
        <v>1.65</v>
      </c>
      <c r="J7554">
        <v>2</v>
      </c>
      <c r="L7554" t="s">
        <v>2709</v>
      </c>
      <c r="M7554">
        <v>81092000</v>
      </c>
      <c r="O7554" t="s">
        <v>19447</v>
      </c>
      <c r="P7554" t="s">
        <v>19899</v>
      </c>
      <c r="Q7554" t="s">
        <v>19900</v>
      </c>
      <c r="R7554" t="s">
        <v>19905</v>
      </c>
      <c r="S7554" t="s">
        <v>19906</v>
      </c>
      <c r="T7554" t="s">
        <v>19901</v>
      </c>
    </row>
    <row r="7555" spans="2:20" x14ac:dyDescent="0.25">
      <c r="B7555" t="s">
        <v>2709</v>
      </c>
      <c r="C7555">
        <v>81093000</v>
      </c>
      <c r="E7555" t="s">
        <v>19447</v>
      </c>
      <c r="F7555">
        <v>18</v>
      </c>
      <c r="G7555">
        <v>0</v>
      </c>
      <c r="H7555" t="s">
        <v>19447</v>
      </c>
      <c r="I7555" t="s">
        <v>19447</v>
      </c>
      <c r="J7555">
        <v>2</v>
      </c>
      <c r="L7555" t="s">
        <v>2709</v>
      </c>
      <c r="M7555">
        <v>81093000</v>
      </c>
      <c r="O7555" t="s">
        <v>19447</v>
      </c>
      <c r="P7555" t="s">
        <v>19899</v>
      </c>
      <c r="Q7555" t="s">
        <v>19900</v>
      </c>
      <c r="R7555" t="s">
        <v>19447</v>
      </c>
      <c r="S7555" t="s">
        <v>19447</v>
      </c>
      <c r="T7555" t="s">
        <v>19901</v>
      </c>
    </row>
    <row r="7556" spans="2:20" x14ac:dyDescent="0.25">
      <c r="B7556" t="s">
        <v>2709</v>
      </c>
      <c r="C7556">
        <v>81099000</v>
      </c>
      <c r="E7556" t="s">
        <v>19447</v>
      </c>
      <c r="F7556">
        <v>18</v>
      </c>
      <c r="G7556">
        <v>0</v>
      </c>
      <c r="H7556">
        <v>7.6</v>
      </c>
      <c r="I7556">
        <v>1.65</v>
      </c>
      <c r="J7556">
        <v>2</v>
      </c>
      <c r="L7556" t="s">
        <v>2709</v>
      </c>
      <c r="M7556">
        <v>81099000</v>
      </c>
      <c r="O7556" t="s">
        <v>19447</v>
      </c>
      <c r="P7556" t="s">
        <v>19899</v>
      </c>
      <c r="Q7556" t="s">
        <v>19900</v>
      </c>
      <c r="R7556" t="s">
        <v>19905</v>
      </c>
      <c r="S7556" t="s">
        <v>19906</v>
      </c>
      <c r="T7556" t="s">
        <v>19901</v>
      </c>
    </row>
    <row r="7557" spans="2:20" x14ac:dyDescent="0.25">
      <c r="B7557" t="s">
        <v>2709</v>
      </c>
      <c r="C7557">
        <v>81101010</v>
      </c>
      <c r="E7557" t="s">
        <v>19447</v>
      </c>
      <c r="F7557">
        <v>18</v>
      </c>
      <c r="G7557">
        <v>0</v>
      </c>
      <c r="H7557">
        <v>7.6</v>
      </c>
      <c r="I7557">
        <v>1.65</v>
      </c>
      <c r="J7557">
        <v>2</v>
      </c>
      <c r="L7557" t="s">
        <v>2709</v>
      </c>
      <c r="M7557">
        <v>81101010</v>
      </c>
      <c r="O7557" t="s">
        <v>19447</v>
      </c>
      <c r="P7557" t="s">
        <v>19899</v>
      </c>
      <c r="Q7557" t="s">
        <v>19900</v>
      </c>
      <c r="R7557" t="s">
        <v>19905</v>
      </c>
      <c r="S7557" t="s">
        <v>19906</v>
      </c>
      <c r="T7557" t="s">
        <v>19901</v>
      </c>
    </row>
    <row r="7558" spans="2:20" x14ac:dyDescent="0.25">
      <c r="B7558" t="s">
        <v>2709</v>
      </c>
      <c r="C7558">
        <v>81101020</v>
      </c>
      <c r="E7558" t="s">
        <v>19447</v>
      </c>
      <c r="F7558">
        <v>18</v>
      </c>
      <c r="G7558">
        <v>0</v>
      </c>
      <c r="H7558">
        <v>7.6</v>
      </c>
      <c r="I7558">
        <v>1.65</v>
      </c>
      <c r="J7558">
        <v>6</v>
      </c>
      <c r="L7558" t="s">
        <v>2709</v>
      </c>
      <c r="M7558">
        <v>81101020</v>
      </c>
      <c r="O7558" t="s">
        <v>19447</v>
      </c>
      <c r="P7558" t="s">
        <v>19899</v>
      </c>
      <c r="Q7558" t="s">
        <v>19900</v>
      </c>
      <c r="R7558" t="s">
        <v>19905</v>
      </c>
      <c r="S7558" t="s">
        <v>19906</v>
      </c>
      <c r="T7558" t="s">
        <v>19907</v>
      </c>
    </row>
    <row r="7559" spans="2:20" x14ac:dyDescent="0.25">
      <c r="B7559" t="s">
        <v>2709</v>
      </c>
      <c r="C7559">
        <v>81102000</v>
      </c>
      <c r="E7559" t="s">
        <v>19447</v>
      </c>
      <c r="F7559">
        <v>18</v>
      </c>
      <c r="G7559">
        <v>0</v>
      </c>
      <c r="H7559" t="s">
        <v>19447</v>
      </c>
      <c r="I7559" t="s">
        <v>19447</v>
      </c>
      <c r="J7559">
        <v>6</v>
      </c>
      <c r="L7559" t="s">
        <v>2709</v>
      </c>
      <c r="M7559">
        <v>81102000</v>
      </c>
      <c r="O7559" t="s">
        <v>19447</v>
      </c>
      <c r="P7559" t="s">
        <v>19899</v>
      </c>
      <c r="Q7559" t="s">
        <v>19900</v>
      </c>
      <c r="R7559" t="s">
        <v>19447</v>
      </c>
      <c r="S7559" t="s">
        <v>19447</v>
      </c>
      <c r="T7559" t="s">
        <v>19907</v>
      </c>
    </row>
    <row r="7560" spans="2:20" x14ac:dyDescent="0.25">
      <c r="B7560" t="s">
        <v>2709</v>
      </c>
      <c r="C7560">
        <v>81109000</v>
      </c>
      <c r="E7560" t="s">
        <v>19447</v>
      </c>
      <c r="F7560">
        <v>18</v>
      </c>
      <c r="G7560">
        <v>0</v>
      </c>
      <c r="H7560">
        <v>7.6</v>
      </c>
      <c r="I7560">
        <v>1.65</v>
      </c>
      <c r="J7560">
        <v>6</v>
      </c>
      <c r="L7560" t="s">
        <v>2709</v>
      </c>
      <c r="M7560">
        <v>81109000</v>
      </c>
      <c r="O7560" t="s">
        <v>19447</v>
      </c>
      <c r="P7560" t="s">
        <v>19899</v>
      </c>
      <c r="Q7560" t="s">
        <v>19900</v>
      </c>
      <c r="R7560" t="s">
        <v>19905</v>
      </c>
      <c r="S7560" t="s">
        <v>19906</v>
      </c>
      <c r="T7560" t="s">
        <v>19907</v>
      </c>
    </row>
    <row r="7561" spans="2:20" x14ac:dyDescent="0.25">
      <c r="B7561" t="s">
        <v>2709</v>
      </c>
      <c r="C7561">
        <v>81110010</v>
      </c>
      <c r="E7561" t="s">
        <v>19447</v>
      </c>
      <c r="F7561">
        <v>18</v>
      </c>
      <c r="G7561">
        <v>0</v>
      </c>
      <c r="H7561">
        <v>7.6</v>
      </c>
      <c r="I7561">
        <v>1.65</v>
      </c>
      <c r="J7561">
        <v>6</v>
      </c>
      <c r="L7561" t="s">
        <v>2709</v>
      </c>
      <c r="M7561">
        <v>81110010</v>
      </c>
      <c r="O7561" t="s">
        <v>19447</v>
      </c>
      <c r="P7561" t="s">
        <v>19899</v>
      </c>
      <c r="Q7561" t="s">
        <v>19900</v>
      </c>
      <c r="R7561" t="s">
        <v>19905</v>
      </c>
      <c r="S7561" t="s">
        <v>19906</v>
      </c>
      <c r="T7561" t="s">
        <v>19907</v>
      </c>
    </row>
    <row r="7562" spans="2:20" x14ac:dyDescent="0.25">
      <c r="B7562" t="s">
        <v>2709</v>
      </c>
      <c r="C7562">
        <v>81110020</v>
      </c>
      <c r="E7562" t="s">
        <v>19447</v>
      </c>
      <c r="F7562">
        <v>18</v>
      </c>
      <c r="G7562">
        <v>0</v>
      </c>
      <c r="H7562">
        <v>7.6</v>
      </c>
      <c r="I7562">
        <v>1.65</v>
      </c>
      <c r="J7562">
        <v>6</v>
      </c>
      <c r="L7562" t="s">
        <v>2709</v>
      </c>
      <c r="M7562">
        <v>81110020</v>
      </c>
      <c r="O7562" t="s">
        <v>19447</v>
      </c>
      <c r="P7562" t="s">
        <v>19899</v>
      </c>
      <c r="Q7562" t="s">
        <v>19900</v>
      </c>
      <c r="R7562" t="s">
        <v>19905</v>
      </c>
      <c r="S7562" t="s">
        <v>19906</v>
      </c>
      <c r="T7562" t="s">
        <v>19907</v>
      </c>
    </row>
    <row r="7563" spans="2:20" x14ac:dyDescent="0.25">
      <c r="B7563" t="s">
        <v>2709</v>
      </c>
      <c r="C7563">
        <v>81110090</v>
      </c>
      <c r="E7563" t="s">
        <v>19447</v>
      </c>
      <c r="F7563">
        <v>18</v>
      </c>
      <c r="G7563">
        <v>0</v>
      </c>
      <c r="H7563" t="s">
        <v>19447</v>
      </c>
      <c r="I7563" t="s">
        <v>19447</v>
      </c>
      <c r="J7563">
        <v>6</v>
      </c>
      <c r="L7563" t="s">
        <v>2709</v>
      </c>
      <c r="M7563">
        <v>81110090</v>
      </c>
      <c r="O7563" t="s">
        <v>19447</v>
      </c>
      <c r="P7563" t="s">
        <v>19899</v>
      </c>
      <c r="Q7563" t="s">
        <v>19900</v>
      </c>
      <c r="R7563" t="s">
        <v>19447</v>
      </c>
      <c r="S7563" t="s">
        <v>19447</v>
      </c>
      <c r="T7563" t="s">
        <v>19907</v>
      </c>
    </row>
    <row r="7564" spans="2:20" x14ac:dyDescent="0.25">
      <c r="B7564" t="s">
        <v>2709</v>
      </c>
      <c r="C7564">
        <v>81121200</v>
      </c>
      <c r="E7564" t="s">
        <v>19447</v>
      </c>
      <c r="F7564">
        <v>18</v>
      </c>
      <c r="G7564">
        <v>0</v>
      </c>
      <c r="H7564">
        <v>7.6</v>
      </c>
      <c r="I7564">
        <v>1.65</v>
      </c>
      <c r="J7564">
        <v>6</v>
      </c>
      <c r="L7564" t="s">
        <v>2709</v>
      </c>
      <c r="M7564">
        <v>81121200</v>
      </c>
      <c r="O7564" t="s">
        <v>19447</v>
      </c>
      <c r="P7564" t="s">
        <v>19899</v>
      </c>
      <c r="Q7564" t="s">
        <v>19900</v>
      </c>
      <c r="R7564" t="s">
        <v>19905</v>
      </c>
      <c r="S7564" t="s">
        <v>19906</v>
      </c>
      <c r="T7564" t="s">
        <v>19907</v>
      </c>
    </row>
    <row r="7565" spans="2:20" x14ac:dyDescent="0.25">
      <c r="B7565" t="s">
        <v>2709</v>
      </c>
      <c r="C7565">
        <v>81121300</v>
      </c>
      <c r="E7565" t="s">
        <v>19447</v>
      </c>
      <c r="F7565">
        <v>18</v>
      </c>
      <c r="G7565">
        <v>0</v>
      </c>
      <c r="H7565" t="s">
        <v>19447</v>
      </c>
      <c r="I7565" t="s">
        <v>19447</v>
      </c>
      <c r="J7565">
        <v>6</v>
      </c>
      <c r="L7565" t="s">
        <v>2709</v>
      </c>
      <c r="M7565">
        <v>81121300</v>
      </c>
      <c r="O7565" t="s">
        <v>19447</v>
      </c>
      <c r="P7565" t="s">
        <v>19899</v>
      </c>
      <c r="Q7565" t="s">
        <v>19900</v>
      </c>
      <c r="R7565" t="s">
        <v>19447</v>
      </c>
      <c r="S7565" t="s">
        <v>19447</v>
      </c>
      <c r="T7565" t="s">
        <v>19907</v>
      </c>
    </row>
    <row r="7566" spans="2:20" x14ac:dyDescent="0.25">
      <c r="B7566" t="s">
        <v>2709</v>
      </c>
      <c r="C7566">
        <v>81121900</v>
      </c>
      <c r="E7566" t="s">
        <v>19447</v>
      </c>
      <c r="F7566">
        <v>18</v>
      </c>
      <c r="G7566">
        <v>0</v>
      </c>
      <c r="H7566" t="s">
        <v>19447</v>
      </c>
      <c r="I7566" t="s">
        <v>19447</v>
      </c>
      <c r="J7566">
        <v>6</v>
      </c>
      <c r="L7566" t="s">
        <v>2709</v>
      </c>
      <c r="M7566">
        <v>81121900</v>
      </c>
      <c r="O7566" t="s">
        <v>19447</v>
      </c>
      <c r="P7566" t="s">
        <v>19899</v>
      </c>
      <c r="Q7566" t="s">
        <v>19900</v>
      </c>
      <c r="R7566" t="s">
        <v>19447</v>
      </c>
      <c r="S7566" t="s">
        <v>19447</v>
      </c>
      <c r="T7566" t="s">
        <v>19907</v>
      </c>
    </row>
    <row r="7567" spans="2:20" x14ac:dyDescent="0.25">
      <c r="B7567" t="s">
        <v>2709</v>
      </c>
      <c r="C7567">
        <v>81122110</v>
      </c>
      <c r="E7567" t="s">
        <v>19447</v>
      </c>
      <c r="F7567">
        <v>18</v>
      </c>
      <c r="G7567">
        <v>0</v>
      </c>
      <c r="H7567" t="s">
        <v>19447</v>
      </c>
      <c r="I7567" t="s">
        <v>19447</v>
      </c>
      <c r="J7567">
        <v>2</v>
      </c>
      <c r="L7567" t="s">
        <v>2709</v>
      </c>
      <c r="M7567">
        <v>81122110</v>
      </c>
      <c r="O7567" t="s">
        <v>19447</v>
      </c>
      <c r="P7567" t="s">
        <v>19899</v>
      </c>
      <c r="Q7567" t="s">
        <v>19900</v>
      </c>
      <c r="R7567" t="s">
        <v>19447</v>
      </c>
      <c r="S7567" t="s">
        <v>19447</v>
      </c>
      <c r="T7567" t="s">
        <v>19901</v>
      </c>
    </row>
    <row r="7568" spans="2:20" x14ac:dyDescent="0.25">
      <c r="B7568" t="s">
        <v>2709</v>
      </c>
      <c r="C7568">
        <v>81122120</v>
      </c>
      <c r="E7568" t="s">
        <v>19447</v>
      </c>
      <c r="F7568">
        <v>18</v>
      </c>
      <c r="G7568">
        <v>0</v>
      </c>
      <c r="H7568" t="s">
        <v>19447</v>
      </c>
      <c r="I7568" t="s">
        <v>19447</v>
      </c>
      <c r="J7568">
        <v>2</v>
      </c>
      <c r="L7568" t="s">
        <v>2709</v>
      </c>
      <c r="M7568">
        <v>81122120</v>
      </c>
      <c r="O7568" t="s">
        <v>19447</v>
      </c>
      <c r="P7568" t="s">
        <v>19899</v>
      </c>
      <c r="Q7568" t="s">
        <v>19900</v>
      </c>
      <c r="R7568" t="s">
        <v>19447</v>
      </c>
      <c r="S7568" t="s">
        <v>19447</v>
      </c>
      <c r="T7568" t="s">
        <v>19901</v>
      </c>
    </row>
    <row r="7569" spans="2:20" x14ac:dyDescent="0.25">
      <c r="B7569" t="s">
        <v>2709</v>
      </c>
      <c r="C7569">
        <v>81122200</v>
      </c>
      <c r="E7569" t="s">
        <v>19447</v>
      </c>
      <c r="F7569">
        <v>18</v>
      </c>
      <c r="G7569">
        <v>0</v>
      </c>
      <c r="H7569" t="s">
        <v>19447</v>
      </c>
      <c r="I7569" t="s">
        <v>19447</v>
      </c>
      <c r="J7569">
        <v>2</v>
      </c>
      <c r="L7569" t="s">
        <v>2709</v>
      </c>
      <c r="M7569">
        <v>81122200</v>
      </c>
      <c r="O7569" t="s">
        <v>19447</v>
      </c>
      <c r="P7569" t="s">
        <v>19899</v>
      </c>
      <c r="Q7569" t="s">
        <v>19900</v>
      </c>
      <c r="R7569" t="s">
        <v>19447</v>
      </c>
      <c r="S7569" t="s">
        <v>19447</v>
      </c>
      <c r="T7569" t="s">
        <v>19901</v>
      </c>
    </row>
    <row r="7570" spans="2:20" x14ac:dyDescent="0.25">
      <c r="B7570" t="s">
        <v>2709</v>
      </c>
      <c r="C7570">
        <v>81122900</v>
      </c>
      <c r="E7570" t="s">
        <v>19447</v>
      </c>
      <c r="F7570">
        <v>18</v>
      </c>
      <c r="G7570">
        <v>0</v>
      </c>
      <c r="H7570" t="s">
        <v>19447</v>
      </c>
      <c r="I7570" t="s">
        <v>19447</v>
      </c>
      <c r="J7570">
        <v>2</v>
      </c>
      <c r="L7570" t="s">
        <v>2709</v>
      </c>
      <c r="M7570">
        <v>81122900</v>
      </c>
      <c r="O7570" t="s">
        <v>19447</v>
      </c>
      <c r="P7570" t="s">
        <v>19899</v>
      </c>
      <c r="Q7570" t="s">
        <v>19900</v>
      </c>
      <c r="R7570" t="s">
        <v>19447</v>
      </c>
      <c r="S7570" t="s">
        <v>19447</v>
      </c>
      <c r="T7570" t="s">
        <v>19901</v>
      </c>
    </row>
    <row r="7571" spans="2:20" x14ac:dyDescent="0.25">
      <c r="B7571" t="s">
        <v>2709</v>
      </c>
      <c r="C7571">
        <v>81125100</v>
      </c>
      <c r="E7571" t="s">
        <v>19447</v>
      </c>
      <c r="F7571">
        <v>18</v>
      </c>
      <c r="G7571">
        <v>0</v>
      </c>
      <c r="H7571">
        <v>7.6</v>
      </c>
      <c r="I7571">
        <v>1.65</v>
      </c>
      <c r="J7571">
        <v>2</v>
      </c>
      <c r="L7571" t="s">
        <v>2709</v>
      </c>
      <c r="M7571">
        <v>81125100</v>
      </c>
      <c r="O7571" t="s">
        <v>19447</v>
      </c>
      <c r="P7571" t="s">
        <v>19899</v>
      </c>
      <c r="Q7571" t="s">
        <v>19900</v>
      </c>
      <c r="R7571" t="s">
        <v>19905</v>
      </c>
      <c r="S7571" t="s">
        <v>19906</v>
      </c>
      <c r="T7571" t="s">
        <v>19901</v>
      </c>
    </row>
    <row r="7572" spans="2:20" x14ac:dyDescent="0.25">
      <c r="B7572" t="s">
        <v>2709</v>
      </c>
      <c r="C7572">
        <v>81125200</v>
      </c>
      <c r="E7572" t="s">
        <v>19447</v>
      </c>
      <c r="F7572">
        <v>18</v>
      </c>
      <c r="G7572">
        <v>0</v>
      </c>
      <c r="H7572" t="s">
        <v>19447</v>
      </c>
      <c r="I7572" t="s">
        <v>19447</v>
      </c>
      <c r="J7572">
        <v>2</v>
      </c>
      <c r="L7572" t="s">
        <v>2709</v>
      </c>
      <c r="M7572">
        <v>81125200</v>
      </c>
      <c r="O7572" t="s">
        <v>19447</v>
      </c>
      <c r="P7572" t="s">
        <v>19899</v>
      </c>
      <c r="Q7572" t="s">
        <v>19900</v>
      </c>
      <c r="R7572" t="s">
        <v>19447</v>
      </c>
      <c r="S7572" t="s">
        <v>19447</v>
      </c>
      <c r="T7572" t="s">
        <v>19901</v>
      </c>
    </row>
    <row r="7573" spans="2:20" x14ac:dyDescent="0.25">
      <c r="B7573" t="s">
        <v>2709</v>
      </c>
      <c r="C7573">
        <v>81125900</v>
      </c>
      <c r="E7573" t="s">
        <v>19447</v>
      </c>
      <c r="F7573">
        <v>18</v>
      </c>
      <c r="G7573">
        <v>0</v>
      </c>
      <c r="H7573">
        <v>7.6</v>
      </c>
      <c r="I7573">
        <v>1.65</v>
      </c>
      <c r="J7573">
        <v>2</v>
      </c>
      <c r="L7573" t="s">
        <v>2709</v>
      </c>
      <c r="M7573">
        <v>81125900</v>
      </c>
      <c r="O7573" t="s">
        <v>19447</v>
      </c>
      <c r="P7573" t="s">
        <v>19899</v>
      </c>
      <c r="Q7573" t="s">
        <v>19900</v>
      </c>
      <c r="R7573" t="s">
        <v>19905</v>
      </c>
      <c r="S7573" t="s">
        <v>19906</v>
      </c>
      <c r="T7573" t="s">
        <v>19901</v>
      </c>
    </row>
    <row r="7574" spans="2:20" x14ac:dyDescent="0.25">
      <c r="B7574" t="s">
        <v>2709</v>
      </c>
      <c r="C7574">
        <v>81129200</v>
      </c>
      <c r="E7574" t="s">
        <v>19447</v>
      </c>
      <c r="F7574">
        <v>18</v>
      </c>
      <c r="G7574">
        <v>0</v>
      </c>
      <c r="H7574" t="s">
        <v>19447</v>
      </c>
      <c r="I7574" t="s">
        <v>19447</v>
      </c>
      <c r="J7574">
        <v>2</v>
      </c>
      <c r="L7574" t="s">
        <v>2709</v>
      </c>
      <c r="M7574">
        <v>81129200</v>
      </c>
      <c r="O7574" t="s">
        <v>19447</v>
      </c>
      <c r="P7574" t="s">
        <v>19899</v>
      </c>
      <c r="Q7574" t="s">
        <v>19900</v>
      </c>
      <c r="R7574" t="s">
        <v>19447</v>
      </c>
      <c r="S7574" t="s">
        <v>19447</v>
      </c>
      <c r="T7574" t="s">
        <v>19901</v>
      </c>
    </row>
    <row r="7575" spans="2:20" x14ac:dyDescent="0.25">
      <c r="B7575" t="s">
        <v>2709</v>
      </c>
      <c r="C7575">
        <v>81129900</v>
      </c>
      <c r="E7575" t="s">
        <v>19447</v>
      </c>
      <c r="F7575">
        <v>18</v>
      </c>
      <c r="G7575">
        <v>0</v>
      </c>
      <c r="H7575" t="s">
        <v>19447</v>
      </c>
      <c r="I7575" t="s">
        <v>19447</v>
      </c>
      <c r="J7575">
        <v>2</v>
      </c>
      <c r="L7575" t="s">
        <v>2709</v>
      </c>
      <c r="M7575">
        <v>81129900</v>
      </c>
      <c r="O7575" t="s">
        <v>19447</v>
      </c>
      <c r="P7575" t="s">
        <v>19899</v>
      </c>
      <c r="Q7575" t="s">
        <v>19900</v>
      </c>
      <c r="R7575" t="s">
        <v>19447</v>
      </c>
      <c r="S7575" t="s">
        <v>19447</v>
      </c>
      <c r="T7575" t="s">
        <v>19901</v>
      </c>
    </row>
    <row r="7576" spans="2:20" x14ac:dyDescent="0.25">
      <c r="B7576" t="s">
        <v>2709</v>
      </c>
      <c r="C7576">
        <v>81130010</v>
      </c>
      <c r="E7576" t="s">
        <v>19447</v>
      </c>
      <c r="F7576">
        <v>18</v>
      </c>
      <c r="G7576">
        <v>0</v>
      </c>
      <c r="H7576">
        <v>7.6</v>
      </c>
      <c r="I7576">
        <v>1.65</v>
      </c>
      <c r="J7576">
        <v>6</v>
      </c>
      <c r="L7576" t="s">
        <v>2709</v>
      </c>
      <c r="M7576">
        <v>81130010</v>
      </c>
      <c r="O7576" t="s">
        <v>19447</v>
      </c>
      <c r="P7576" t="s">
        <v>19899</v>
      </c>
      <c r="Q7576" t="s">
        <v>19900</v>
      </c>
      <c r="R7576" t="s">
        <v>19905</v>
      </c>
      <c r="S7576" t="s">
        <v>19906</v>
      </c>
      <c r="T7576" t="s">
        <v>19907</v>
      </c>
    </row>
    <row r="7577" spans="2:20" x14ac:dyDescent="0.25">
      <c r="B7577" t="s">
        <v>2709</v>
      </c>
      <c r="C7577">
        <v>81130090</v>
      </c>
      <c r="E7577" t="s">
        <v>19447</v>
      </c>
      <c r="F7577">
        <v>18</v>
      </c>
      <c r="G7577">
        <v>0</v>
      </c>
      <c r="H7577" t="s">
        <v>19447</v>
      </c>
      <c r="I7577" t="s">
        <v>19447</v>
      </c>
      <c r="J7577">
        <v>6</v>
      </c>
      <c r="L7577" t="s">
        <v>2709</v>
      </c>
      <c r="M7577">
        <v>81130090</v>
      </c>
      <c r="O7577" t="s">
        <v>19447</v>
      </c>
      <c r="P7577" t="s">
        <v>19899</v>
      </c>
      <c r="Q7577" t="s">
        <v>19900</v>
      </c>
      <c r="R7577" t="s">
        <v>19447</v>
      </c>
      <c r="S7577" t="s">
        <v>19447</v>
      </c>
      <c r="T7577" t="s">
        <v>19907</v>
      </c>
    </row>
    <row r="7578" spans="2:20" x14ac:dyDescent="0.25">
      <c r="B7578" t="s">
        <v>2709</v>
      </c>
      <c r="C7578">
        <v>82011000</v>
      </c>
      <c r="E7578">
        <v>44</v>
      </c>
      <c r="F7578">
        <v>12</v>
      </c>
      <c r="G7578">
        <v>0</v>
      </c>
      <c r="H7578">
        <v>7.6</v>
      </c>
      <c r="I7578">
        <v>1.65</v>
      </c>
      <c r="J7578">
        <v>18</v>
      </c>
      <c r="L7578" t="s">
        <v>2709</v>
      </c>
      <c r="M7578">
        <v>82011000</v>
      </c>
      <c r="O7578" t="s">
        <v>20122</v>
      </c>
      <c r="P7578" t="s">
        <v>19903</v>
      </c>
      <c r="Q7578" t="s">
        <v>19900</v>
      </c>
      <c r="R7578" t="s">
        <v>19905</v>
      </c>
      <c r="S7578" t="s">
        <v>19906</v>
      </c>
      <c r="T7578" t="s">
        <v>19899</v>
      </c>
    </row>
    <row r="7579" spans="2:20" x14ac:dyDescent="0.25">
      <c r="B7579" t="s">
        <v>2709</v>
      </c>
      <c r="C7579">
        <v>82013000</v>
      </c>
      <c r="E7579">
        <v>44</v>
      </c>
      <c r="F7579">
        <v>12</v>
      </c>
      <c r="G7579">
        <v>0</v>
      </c>
      <c r="H7579">
        <v>7.6</v>
      </c>
      <c r="I7579">
        <v>1.65</v>
      </c>
      <c r="J7579">
        <v>18</v>
      </c>
      <c r="L7579" t="s">
        <v>2709</v>
      </c>
      <c r="M7579">
        <v>82013000</v>
      </c>
      <c r="O7579" t="s">
        <v>20122</v>
      </c>
      <c r="P7579" t="s">
        <v>19903</v>
      </c>
      <c r="Q7579" t="s">
        <v>19900</v>
      </c>
      <c r="R7579" t="s">
        <v>19905</v>
      </c>
      <c r="S7579" t="s">
        <v>19906</v>
      </c>
      <c r="T7579" t="s">
        <v>19899</v>
      </c>
    </row>
    <row r="7580" spans="2:20" x14ac:dyDescent="0.25">
      <c r="B7580" t="s">
        <v>2709</v>
      </c>
      <c r="C7580">
        <v>82014000</v>
      </c>
      <c r="E7580">
        <v>44</v>
      </c>
      <c r="F7580">
        <v>12</v>
      </c>
      <c r="G7580">
        <v>0</v>
      </c>
      <c r="H7580">
        <v>7.6</v>
      </c>
      <c r="I7580">
        <v>1.65</v>
      </c>
      <c r="J7580">
        <v>18</v>
      </c>
      <c r="L7580" t="s">
        <v>2709</v>
      </c>
      <c r="M7580">
        <v>82014000</v>
      </c>
      <c r="O7580" t="s">
        <v>20122</v>
      </c>
      <c r="P7580" t="s">
        <v>19903</v>
      </c>
      <c r="Q7580" t="s">
        <v>19900</v>
      </c>
      <c r="R7580" t="s">
        <v>19905</v>
      </c>
      <c r="S7580" t="s">
        <v>19906</v>
      </c>
      <c r="T7580" t="s">
        <v>19899</v>
      </c>
    </row>
    <row r="7581" spans="2:20" x14ac:dyDescent="0.25">
      <c r="B7581" t="s">
        <v>2709</v>
      </c>
      <c r="C7581">
        <v>82015000</v>
      </c>
      <c r="E7581">
        <v>44</v>
      </c>
      <c r="F7581">
        <v>12</v>
      </c>
      <c r="G7581">
        <v>0</v>
      </c>
      <c r="H7581">
        <v>7.6</v>
      </c>
      <c r="I7581">
        <v>1.65</v>
      </c>
      <c r="J7581">
        <v>18</v>
      </c>
      <c r="L7581" t="s">
        <v>2709</v>
      </c>
      <c r="M7581">
        <v>82015000</v>
      </c>
      <c r="O7581" t="s">
        <v>20122</v>
      </c>
      <c r="P7581" t="s">
        <v>19903</v>
      </c>
      <c r="Q7581" t="s">
        <v>19900</v>
      </c>
      <c r="R7581" t="s">
        <v>19905</v>
      </c>
      <c r="S7581" t="s">
        <v>19906</v>
      </c>
      <c r="T7581" t="s">
        <v>19899</v>
      </c>
    </row>
    <row r="7582" spans="2:20" x14ac:dyDescent="0.25">
      <c r="B7582" t="s">
        <v>2709</v>
      </c>
      <c r="C7582">
        <v>82016000</v>
      </c>
      <c r="E7582">
        <v>44</v>
      </c>
      <c r="F7582">
        <v>12</v>
      </c>
      <c r="G7582">
        <v>0</v>
      </c>
      <c r="H7582">
        <v>7.6</v>
      </c>
      <c r="I7582">
        <v>1.65</v>
      </c>
      <c r="J7582">
        <v>18</v>
      </c>
      <c r="L7582" t="s">
        <v>2709</v>
      </c>
      <c r="M7582">
        <v>82016000</v>
      </c>
      <c r="O7582" t="s">
        <v>20122</v>
      </c>
      <c r="P7582" t="s">
        <v>19903</v>
      </c>
      <c r="Q7582" t="s">
        <v>19900</v>
      </c>
      <c r="R7582" t="s">
        <v>19905</v>
      </c>
      <c r="S7582" t="s">
        <v>19906</v>
      </c>
      <c r="T7582" t="s">
        <v>19899</v>
      </c>
    </row>
    <row r="7583" spans="2:20" x14ac:dyDescent="0.25">
      <c r="B7583" t="s">
        <v>2709</v>
      </c>
      <c r="C7583">
        <v>82019000</v>
      </c>
      <c r="E7583">
        <v>44</v>
      </c>
      <c r="F7583">
        <v>12</v>
      </c>
      <c r="G7583">
        <v>0</v>
      </c>
      <c r="H7583">
        <v>7.6</v>
      </c>
      <c r="I7583">
        <v>1.65</v>
      </c>
      <c r="J7583">
        <v>18</v>
      </c>
      <c r="L7583" t="s">
        <v>2709</v>
      </c>
      <c r="M7583">
        <v>82019000</v>
      </c>
      <c r="O7583" t="s">
        <v>20122</v>
      </c>
      <c r="P7583" t="s">
        <v>19903</v>
      </c>
      <c r="Q7583" t="s">
        <v>19900</v>
      </c>
      <c r="R7583" t="s">
        <v>19905</v>
      </c>
      <c r="S7583" t="s">
        <v>19906</v>
      </c>
      <c r="T7583" t="s">
        <v>19899</v>
      </c>
    </row>
    <row r="7584" spans="2:20" x14ac:dyDescent="0.25">
      <c r="B7584" t="s">
        <v>2709</v>
      </c>
      <c r="C7584">
        <v>82021000</v>
      </c>
      <c r="E7584">
        <v>49</v>
      </c>
      <c r="F7584">
        <v>18</v>
      </c>
      <c r="G7584">
        <v>8</v>
      </c>
      <c r="H7584">
        <v>7.6</v>
      </c>
      <c r="I7584">
        <v>1.65</v>
      </c>
      <c r="J7584">
        <v>18</v>
      </c>
      <c r="L7584" t="s">
        <v>2709</v>
      </c>
      <c r="M7584">
        <v>82021000</v>
      </c>
      <c r="O7584" t="s">
        <v>20067</v>
      </c>
      <c r="P7584" t="s">
        <v>19899</v>
      </c>
      <c r="Q7584" t="s">
        <v>19918</v>
      </c>
      <c r="R7584" t="s">
        <v>19905</v>
      </c>
      <c r="S7584" t="s">
        <v>19906</v>
      </c>
      <c r="T7584" t="s">
        <v>19899</v>
      </c>
    </row>
    <row r="7585" spans="2:20" x14ac:dyDescent="0.25">
      <c r="B7585" t="s">
        <v>2709</v>
      </c>
      <c r="C7585">
        <v>82022000</v>
      </c>
      <c r="E7585">
        <v>49</v>
      </c>
      <c r="F7585">
        <v>18</v>
      </c>
      <c r="G7585">
        <v>8</v>
      </c>
      <c r="H7585">
        <v>7.6</v>
      </c>
      <c r="I7585">
        <v>1.65</v>
      </c>
      <c r="J7585">
        <v>18</v>
      </c>
      <c r="L7585" t="s">
        <v>2709</v>
      </c>
      <c r="M7585">
        <v>82022000</v>
      </c>
      <c r="O7585" t="s">
        <v>20067</v>
      </c>
      <c r="P7585" t="s">
        <v>19899</v>
      </c>
      <c r="Q7585" t="s">
        <v>19918</v>
      </c>
      <c r="R7585" t="s">
        <v>19905</v>
      </c>
      <c r="S7585" t="s">
        <v>19906</v>
      </c>
      <c r="T7585" t="s">
        <v>19899</v>
      </c>
    </row>
    <row r="7586" spans="2:20" x14ac:dyDescent="0.25">
      <c r="B7586" t="s">
        <v>2709</v>
      </c>
      <c r="C7586">
        <v>82023100</v>
      </c>
      <c r="E7586">
        <v>49</v>
      </c>
      <c r="F7586">
        <v>18</v>
      </c>
      <c r="G7586">
        <v>8</v>
      </c>
      <c r="H7586">
        <v>7.6</v>
      </c>
      <c r="I7586">
        <v>1.65</v>
      </c>
      <c r="J7586">
        <v>18</v>
      </c>
      <c r="L7586" t="s">
        <v>2709</v>
      </c>
      <c r="M7586">
        <v>82023100</v>
      </c>
      <c r="O7586" t="s">
        <v>20067</v>
      </c>
      <c r="P7586" t="s">
        <v>19899</v>
      </c>
      <c r="Q7586" t="s">
        <v>19918</v>
      </c>
      <c r="R7586" t="s">
        <v>19905</v>
      </c>
      <c r="S7586" t="s">
        <v>19906</v>
      </c>
      <c r="T7586" t="s">
        <v>19899</v>
      </c>
    </row>
    <row r="7587" spans="2:20" x14ac:dyDescent="0.25">
      <c r="B7587" t="s">
        <v>2709</v>
      </c>
      <c r="C7587">
        <v>82023900</v>
      </c>
      <c r="E7587">
        <v>49</v>
      </c>
      <c r="F7587">
        <v>18</v>
      </c>
      <c r="G7587">
        <v>8</v>
      </c>
      <c r="H7587">
        <v>7.6</v>
      </c>
      <c r="I7587">
        <v>1.65</v>
      </c>
      <c r="J7587">
        <v>18</v>
      </c>
      <c r="L7587" t="s">
        <v>2709</v>
      </c>
      <c r="M7587">
        <v>82023900</v>
      </c>
      <c r="O7587" t="s">
        <v>20067</v>
      </c>
      <c r="P7587" t="s">
        <v>19899</v>
      </c>
      <c r="Q7587" t="s">
        <v>19918</v>
      </c>
      <c r="R7587" t="s">
        <v>19905</v>
      </c>
      <c r="S7587" t="s">
        <v>19906</v>
      </c>
      <c r="T7587" t="s">
        <v>19899</v>
      </c>
    </row>
    <row r="7588" spans="2:20" x14ac:dyDescent="0.25">
      <c r="B7588" t="s">
        <v>2709</v>
      </c>
      <c r="C7588">
        <v>82024000</v>
      </c>
      <c r="E7588">
        <v>49</v>
      </c>
      <c r="F7588">
        <v>18</v>
      </c>
      <c r="G7588">
        <v>8</v>
      </c>
      <c r="H7588">
        <v>7.6</v>
      </c>
      <c r="I7588">
        <v>1.65</v>
      </c>
      <c r="J7588">
        <v>18</v>
      </c>
      <c r="L7588" t="s">
        <v>2709</v>
      </c>
      <c r="M7588">
        <v>82024000</v>
      </c>
      <c r="O7588" t="s">
        <v>20067</v>
      </c>
      <c r="P7588" t="s">
        <v>19899</v>
      </c>
      <c r="Q7588" t="s">
        <v>19918</v>
      </c>
      <c r="R7588" t="s">
        <v>19905</v>
      </c>
      <c r="S7588" t="s">
        <v>19906</v>
      </c>
      <c r="T7588" t="s">
        <v>19899</v>
      </c>
    </row>
    <row r="7589" spans="2:20" x14ac:dyDescent="0.25">
      <c r="B7589" t="s">
        <v>2709</v>
      </c>
      <c r="C7589">
        <v>82029100</v>
      </c>
      <c r="E7589">
        <v>49</v>
      </c>
      <c r="F7589">
        <v>18</v>
      </c>
      <c r="G7589">
        <v>8</v>
      </c>
      <c r="H7589">
        <v>7.6</v>
      </c>
      <c r="I7589">
        <v>1.65</v>
      </c>
      <c r="J7589">
        <v>18</v>
      </c>
      <c r="L7589" t="s">
        <v>2709</v>
      </c>
      <c r="M7589">
        <v>82029100</v>
      </c>
      <c r="O7589" t="s">
        <v>20067</v>
      </c>
      <c r="P7589" t="s">
        <v>19899</v>
      </c>
      <c r="Q7589" t="s">
        <v>19918</v>
      </c>
      <c r="R7589" t="s">
        <v>19905</v>
      </c>
      <c r="S7589" t="s">
        <v>19906</v>
      </c>
      <c r="T7589" t="s">
        <v>19899</v>
      </c>
    </row>
    <row r="7590" spans="2:20" x14ac:dyDescent="0.25">
      <c r="B7590" t="s">
        <v>2709</v>
      </c>
      <c r="C7590">
        <v>82029910</v>
      </c>
      <c r="E7590">
        <v>49</v>
      </c>
      <c r="F7590">
        <v>18</v>
      </c>
      <c r="G7590">
        <v>8</v>
      </c>
      <c r="H7590">
        <v>7.6</v>
      </c>
      <c r="I7590">
        <v>1.65</v>
      </c>
      <c r="J7590">
        <v>18</v>
      </c>
      <c r="L7590" t="s">
        <v>2709</v>
      </c>
      <c r="M7590">
        <v>82029910</v>
      </c>
      <c r="O7590" t="s">
        <v>20067</v>
      </c>
      <c r="P7590" t="s">
        <v>19899</v>
      </c>
      <c r="Q7590" t="s">
        <v>19918</v>
      </c>
      <c r="R7590" t="s">
        <v>19905</v>
      </c>
      <c r="S7590" t="s">
        <v>19906</v>
      </c>
      <c r="T7590" t="s">
        <v>19899</v>
      </c>
    </row>
    <row r="7591" spans="2:20" x14ac:dyDescent="0.25">
      <c r="B7591" t="s">
        <v>2709</v>
      </c>
      <c r="C7591">
        <v>82029990</v>
      </c>
      <c r="E7591">
        <v>49</v>
      </c>
      <c r="F7591">
        <v>18</v>
      </c>
      <c r="G7591">
        <v>8</v>
      </c>
      <c r="H7591">
        <v>7.6</v>
      </c>
      <c r="I7591">
        <v>1.65</v>
      </c>
      <c r="J7591">
        <v>18</v>
      </c>
      <c r="L7591" t="s">
        <v>2709</v>
      </c>
      <c r="M7591">
        <v>82029990</v>
      </c>
      <c r="O7591" t="s">
        <v>20067</v>
      </c>
      <c r="P7591" t="s">
        <v>19899</v>
      </c>
      <c r="Q7591" t="s">
        <v>19918</v>
      </c>
      <c r="R7591" t="s">
        <v>19905</v>
      </c>
      <c r="S7591" t="s">
        <v>19906</v>
      </c>
      <c r="T7591" t="s">
        <v>19899</v>
      </c>
    </row>
    <row r="7592" spans="2:20" x14ac:dyDescent="0.25">
      <c r="B7592" t="s">
        <v>2709</v>
      </c>
      <c r="C7592">
        <v>82031010</v>
      </c>
      <c r="E7592">
        <v>48</v>
      </c>
      <c r="F7592">
        <v>18</v>
      </c>
      <c r="G7592">
        <v>8</v>
      </c>
      <c r="H7592">
        <v>7.6</v>
      </c>
      <c r="I7592">
        <v>1.65</v>
      </c>
      <c r="J7592">
        <v>18</v>
      </c>
      <c r="L7592" t="s">
        <v>2709</v>
      </c>
      <c r="M7592">
        <v>82031010</v>
      </c>
      <c r="O7592" t="s">
        <v>20112</v>
      </c>
      <c r="P7592" t="s">
        <v>19899</v>
      </c>
      <c r="Q7592" t="s">
        <v>19918</v>
      </c>
      <c r="R7592" t="s">
        <v>19905</v>
      </c>
      <c r="S7592" t="s">
        <v>19906</v>
      </c>
      <c r="T7592" t="s">
        <v>19899</v>
      </c>
    </row>
    <row r="7593" spans="2:20" x14ac:dyDescent="0.25">
      <c r="B7593" t="s">
        <v>2709</v>
      </c>
      <c r="C7593">
        <v>82031090</v>
      </c>
      <c r="E7593">
        <v>48</v>
      </c>
      <c r="F7593">
        <v>18</v>
      </c>
      <c r="G7593">
        <v>8</v>
      </c>
      <c r="H7593">
        <v>7.6</v>
      </c>
      <c r="I7593">
        <v>1.65</v>
      </c>
      <c r="J7593">
        <v>18</v>
      </c>
      <c r="L7593" t="s">
        <v>2709</v>
      </c>
      <c r="M7593">
        <v>82031090</v>
      </c>
      <c r="O7593" t="s">
        <v>20112</v>
      </c>
      <c r="P7593" t="s">
        <v>19899</v>
      </c>
      <c r="Q7593" t="s">
        <v>19918</v>
      </c>
      <c r="R7593" t="s">
        <v>19905</v>
      </c>
      <c r="S7593" t="s">
        <v>19906</v>
      </c>
      <c r="T7593" t="s">
        <v>19899</v>
      </c>
    </row>
    <row r="7594" spans="2:20" x14ac:dyDescent="0.25">
      <c r="B7594" t="s">
        <v>2709</v>
      </c>
      <c r="C7594">
        <v>82032010</v>
      </c>
      <c r="E7594">
        <v>48</v>
      </c>
      <c r="F7594">
        <v>18</v>
      </c>
      <c r="G7594">
        <v>8</v>
      </c>
      <c r="H7594">
        <v>7.6</v>
      </c>
      <c r="I7594">
        <v>1.65</v>
      </c>
      <c r="J7594">
        <v>18</v>
      </c>
      <c r="L7594" t="s">
        <v>2709</v>
      </c>
      <c r="M7594">
        <v>82032010</v>
      </c>
      <c r="O7594" t="s">
        <v>20112</v>
      </c>
      <c r="P7594" t="s">
        <v>19899</v>
      </c>
      <c r="Q7594" t="s">
        <v>19918</v>
      </c>
      <c r="R7594" t="s">
        <v>19905</v>
      </c>
      <c r="S7594" t="s">
        <v>19906</v>
      </c>
      <c r="T7594" t="s">
        <v>19899</v>
      </c>
    </row>
    <row r="7595" spans="2:20" x14ac:dyDescent="0.25">
      <c r="B7595" t="s">
        <v>2709</v>
      </c>
      <c r="C7595">
        <v>82032090</v>
      </c>
      <c r="E7595">
        <v>177.19</v>
      </c>
      <c r="F7595">
        <v>18</v>
      </c>
      <c r="G7595">
        <v>8</v>
      </c>
      <c r="H7595">
        <v>7.6</v>
      </c>
      <c r="I7595">
        <v>1.65</v>
      </c>
      <c r="J7595">
        <v>18</v>
      </c>
      <c r="L7595" t="s">
        <v>2709</v>
      </c>
      <c r="M7595">
        <v>82032090</v>
      </c>
      <c r="O7595" t="s">
        <v>19926</v>
      </c>
      <c r="P7595" t="s">
        <v>19899</v>
      </c>
      <c r="Q7595" t="s">
        <v>19918</v>
      </c>
      <c r="R7595" t="s">
        <v>19905</v>
      </c>
      <c r="S7595" t="s">
        <v>19906</v>
      </c>
      <c r="T7595" t="s">
        <v>19899</v>
      </c>
    </row>
    <row r="7596" spans="2:20" x14ac:dyDescent="0.25">
      <c r="B7596" t="s">
        <v>2709</v>
      </c>
      <c r="C7596">
        <v>82033000</v>
      </c>
      <c r="E7596">
        <v>48</v>
      </c>
      <c r="F7596">
        <v>18</v>
      </c>
      <c r="G7596">
        <v>8</v>
      </c>
      <c r="H7596">
        <v>7.6</v>
      </c>
      <c r="I7596">
        <v>1.65</v>
      </c>
      <c r="J7596">
        <v>18</v>
      </c>
      <c r="L7596" t="s">
        <v>2709</v>
      </c>
      <c r="M7596">
        <v>82033000</v>
      </c>
      <c r="O7596" t="s">
        <v>20112</v>
      </c>
      <c r="P7596" t="s">
        <v>19899</v>
      </c>
      <c r="Q7596" t="s">
        <v>19918</v>
      </c>
      <c r="R7596" t="s">
        <v>19905</v>
      </c>
      <c r="S7596" t="s">
        <v>19906</v>
      </c>
      <c r="T7596" t="s">
        <v>19899</v>
      </c>
    </row>
    <row r="7597" spans="2:20" x14ac:dyDescent="0.25">
      <c r="B7597" t="s">
        <v>2709</v>
      </c>
      <c r="C7597">
        <v>82034000</v>
      </c>
      <c r="E7597">
        <v>48</v>
      </c>
      <c r="F7597">
        <v>18</v>
      </c>
      <c r="G7597">
        <v>8</v>
      </c>
      <c r="H7597">
        <v>7.6</v>
      </c>
      <c r="I7597">
        <v>1.65</v>
      </c>
      <c r="J7597">
        <v>18</v>
      </c>
      <c r="L7597" t="s">
        <v>2709</v>
      </c>
      <c r="M7597">
        <v>82034000</v>
      </c>
      <c r="O7597" t="s">
        <v>20112</v>
      </c>
      <c r="P7597" t="s">
        <v>19899</v>
      </c>
      <c r="Q7597" t="s">
        <v>19918</v>
      </c>
      <c r="R7597" t="s">
        <v>19905</v>
      </c>
      <c r="S7597" t="s">
        <v>19906</v>
      </c>
      <c r="T7597" t="s">
        <v>19899</v>
      </c>
    </row>
    <row r="7598" spans="2:20" x14ac:dyDescent="0.25">
      <c r="B7598" t="s">
        <v>2709</v>
      </c>
      <c r="C7598">
        <v>82041100</v>
      </c>
      <c r="E7598">
        <v>56</v>
      </c>
      <c r="F7598">
        <v>18</v>
      </c>
      <c r="G7598">
        <v>8</v>
      </c>
      <c r="H7598">
        <v>7.6</v>
      </c>
      <c r="I7598">
        <v>1.65</v>
      </c>
      <c r="J7598">
        <v>18</v>
      </c>
      <c r="L7598" t="s">
        <v>2709</v>
      </c>
      <c r="M7598">
        <v>82041100</v>
      </c>
      <c r="O7598" t="s">
        <v>20065</v>
      </c>
      <c r="P7598" t="s">
        <v>19899</v>
      </c>
      <c r="Q7598" t="s">
        <v>19918</v>
      </c>
      <c r="R7598" t="s">
        <v>19905</v>
      </c>
      <c r="S7598" t="s">
        <v>19906</v>
      </c>
      <c r="T7598" t="s">
        <v>19899</v>
      </c>
    </row>
    <row r="7599" spans="2:20" x14ac:dyDescent="0.25">
      <c r="B7599" t="s">
        <v>2709</v>
      </c>
      <c r="C7599">
        <v>82041200</v>
      </c>
      <c r="E7599">
        <v>56</v>
      </c>
      <c r="F7599">
        <v>18</v>
      </c>
      <c r="G7599">
        <v>8</v>
      </c>
      <c r="H7599">
        <v>7.6</v>
      </c>
      <c r="I7599">
        <v>1.65</v>
      </c>
      <c r="J7599">
        <v>18</v>
      </c>
      <c r="L7599" t="s">
        <v>2709</v>
      </c>
      <c r="M7599">
        <v>82041200</v>
      </c>
      <c r="O7599" t="s">
        <v>20065</v>
      </c>
      <c r="P7599" t="s">
        <v>19899</v>
      </c>
      <c r="Q7599" t="s">
        <v>19918</v>
      </c>
      <c r="R7599" t="s">
        <v>19905</v>
      </c>
      <c r="S7599" t="s">
        <v>19906</v>
      </c>
      <c r="T7599" t="s">
        <v>19899</v>
      </c>
    </row>
    <row r="7600" spans="2:20" x14ac:dyDescent="0.25">
      <c r="B7600" t="s">
        <v>2709</v>
      </c>
      <c r="C7600">
        <v>82042000</v>
      </c>
      <c r="E7600">
        <v>56</v>
      </c>
      <c r="F7600">
        <v>18</v>
      </c>
      <c r="G7600">
        <v>8</v>
      </c>
      <c r="H7600">
        <v>7.6</v>
      </c>
      <c r="I7600">
        <v>1.65</v>
      </c>
      <c r="J7600">
        <v>18</v>
      </c>
      <c r="L7600" t="s">
        <v>2709</v>
      </c>
      <c r="M7600">
        <v>82042000</v>
      </c>
      <c r="O7600" t="s">
        <v>20065</v>
      </c>
      <c r="P7600" t="s">
        <v>19899</v>
      </c>
      <c r="Q7600" t="s">
        <v>19918</v>
      </c>
      <c r="R7600" t="s">
        <v>19905</v>
      </c>
      <c r="S7600" t="s">
        <v>19906</v>
      </c>
      <c r="T7600" t="s">
        <v>19899</v>
      </c>
    </row>
    <row r="7601" spans="2:20" x14ac:dyDescent="0.25">
      <c r="B7601" t="s">
        <v>2709</v>
      </c>
      <c r="C7601">
        <v>82051000</v>
      </c>
      <c r="E7601">
        <v>60</v>
      </c>
      <c r="F7601">
        <v>18</v>
      </c>
      <c r="G7601">
        <v>8</v>
      </c>
      <c r="H7601">
        <v>7.6</v>
      </c>
      <c r="I7601">
        <v>1.65</v>
      </c>
      <c r="J7601">
        <v>18</v>
      </c>
      <c r="L7601" t="s">
        <v>2709</v>
      </c>
      <c r="M7601">
        <v>82051000</v>
      </c>
      <c r="O7601" t="s">
        <v>19993</v>
      </c>
      <c r="P7601" t="s">
        <v>19899</v>
      </c>
      <c r="Q7601" t="s">
        <v>19918</v>
      </c>
      <c r="R7601" t="s">
        <v>19905</v>
      </c>
      <c r="S7601" t="s">
        <v>19906</v>
      </c>
      <c r="T7601" t="s">
        <v>19899</v>
      </c>
    </row>
    <row r="7602" spans="2:20" x14ac:dyDescent="0.25">
      <c r="B7602" t="s">
        <v>2709</v>
      </c>
      <c r="C7602">
        <v>82052000</v>
      </c>
      <c r="E7602">
        <v>60</v>
      </c>
      <c r="F7602">
        <v>18</v>
      </c>
      <c r="G7602">
        <v>8</v>
      </c>
      <c r="H7602">
        <v>7.6</v>
      </c>
      <c r="I7602">
        <v>1.65</v>
      </c>
      <c r="J7602">
        <v>18</v>
      </c>
      <c r="L7602" t="s">
        <v>2709</v>
      </c>
      <c r="M7602">
        <v>82052000</v>
      </c>
      <c r="O7602" t="s">
        <v>19993</v>
      </c>
      <c r="P7602" t="s">
        <v>19899</v>
      </c>
      <c r="Q7602" t="s">
        <v>19918</v>
      </c>
      <c r="R7602" t="s">
        <v>19905</v>
      </c>
      <c r="S7602" t="s">
        <v>19906</v>
      </c>
      <c r="T7602" t="s">
        <v>19899</v>
      </c>
    </row>
    <row r="7603" spans="2:20" x14ac:dyDescent="0.25">
      <c r="B7603" t="s">
        <v>2709</v>
      </c>
      <c r="C7603">
        <v>82053000</v>
      </c>
      <c r="E7603">
        <v>60</v>
      </c>
      <c r="F7603">
        <v>18</v>
      </c>
      <c r="G7603">
        <v>8</v>
      </c>
      <c r="H7603">
        <v>7.6</v>
      </c>
      <c r="I7603">
        <v>1.65</v>
      </c>
      <c r="J7603">
        <v>18</v>
      </c>
      <c r="L7603" t="s">
        <v>2709</v>
      </c>
      <c r="M7603">
        <v>82053000</v>
      </c>
      <c r="O7603" t="s">
        <v>19993</v>
      </c>
      <c r="P7603" t="s">
        <v>19899</v>
      </c>
      <c r="Q7603" t="s">
        <v>19918</v>
      </c>
      <c r="R7603" t="s">
        <v>19905</v>
      </c>
      <c r="S7603" t="s">
        <v>19906</v>
      </c>
      <c r="T7603" t="s">
        <v>19899</v>
      </c>
    </row>
    <row r="7604" spans="2:20" x14ac:dyDescent="0.25">
      <c r="B7604" t="s">
        <v>2709</v>
      </c>
      <c r="C7604">
        <v>82054000</v>
      </c>
      <c r="E7604">
        <v>60</v>
      </c>
      <c r="F7604">
        <v>18</v>
      </c>
      <c r="G7604">
        <v>8</v>
      </c>
      <c r="H7604">
        <v>7.6</v>
      </c>
      <c r="I7604">
        <v>1.65</v>
      </c>
      <c r="J7604">
        <v>18</v>
      </c>
      <c r="L7604" t="s">
        <v>2709</v>
      </c>
      <c r="M7604">
        <v>82054000</v>
      </c>
      <c r="O7604" t="s">
        <v>19993</v>
      </c>
      <c r="P7604" t="s">
        <v>19899</v>
      </c>
      <c r="Q7604" t="s">
        <v>19918</v>
      </c>
      <c r="R7604" t="s">
        <v>19905</v>
      </c>
      <c r="S7604" t="s">
        <v>19906</v>
      </c>
      <c r="T7604" t="s">
        <v>19899</v>
      </c>
    </row>
    <row r="7605" spans="2:20" x14ac:dyDescent="0.25">
      <c r="B7605" t="s">
        <v>2709</v>
      </c>
      <c r="C7605">
        <v>82055100</v>
      </c>
      <c r="E7605">
        <v>60</v>
      </c>
      <c r="F7605">
        <v>18</v>
      </c>
      <c r="G7605">
        <v>8</v>
      </c>
      <c r="H7605">
        <v>7.6</v>
      </c>
      <c r="I7605">
        <v>1.65</v>
      </c>
      <c r="J7605">
        <v>18</v>
      </c>
      <c r="L7605" t="s">
        <v>2709</v>
      </c>
      <c r="M7605">
        <v>82055100</v>
      </c>
      <c r="O7605" t="s">
        <v>19993</v>
      </c>
      <c r="P7605" t="s">
        <v>19899</v>
      </c>
      <c r="Q7605" t="s">
        <v>19918</v>
      </c>
      <c r="R7605" t="s">
        <v>19905</v>
      </c>
      <c r="S7605" t="s">
        <v>19906</v>
      </c>
      <c r="T7605" t="s">
        <v>19899</v>
      </c>
    </row>
    <row r="7606" spans="2:20" x14ac:dyDescent="0.25">
      <c r="B7606" t="s">
        <v>2709</v>
      </c>
      <c r="C7606">
        <v>82055900</v>
      </c>
      <c r="E7606">
        <v>60</v>
      </c>
      <c r="F7606">
        <v>18</v>
      </c>
      <c r="G7606">
        <v>8</v>
      </c>
      <c r="H7606">
        <v>7.6</v>
      </c>
      <c r="I7606">
        <v>1.65</v>
      </c>
      <c r="J7606">
        <v>18</v>
      </c>
      <c r="L7606" t="s">
        <v>2709</v>
      </c>
      <c r="M7606">
        <v>82055900</v>
      </c>
      <c r="O7606" t="s">
        <v>19993</v>
      </c>
      <c r="P7606" t="s">
        <v>19899</v>
      </c>
      <c r="Q7606" t="s">
        <v>19918</v>
      </c>
      <c r="R7606" t="s">
        <v>19905</v>
      </c>
      <c r="S7606" t="s">
        <v>19906</v>
      </c>
      <c r="T7606" t="s">
        <v>19899</v>
      </c>
    </row>
    <row r="7607" spans="2:20" x14ac:dyDescent="0.25">
      <c r="B7607" t="s">
        <v>2709</v>
      </c>
      <c r="C7607">
        <v>82056000</v>
      </c>
      <c r="E7607">
        <v>60</v>
      </c>
      <c r="F7607">
        <v>18</v>
      </c>
      <c r="G7607">
        <v>8</v>
      </c>
      <c r="H7607">
        <v>7.6</v>
      </c>
      <c r="I7607">
        <v>1.65</v>
      </c>
      <c r="J7607">
        <v>18</v>
      </c>
      <c r="L7607" t="s">
        <v>2709</v>
      </c>
      <c r="M7607">
        <v>82056000</v>
      </c>
      <c r="O7607" t="s">
        <v>19993</v>
      </c>
      <c r="P7607" t="s">
        <v>19899</v>
      </c>
      <c r="Q7607" t="s">
        <v>19918</v>
      </c>
      <c r="R7607" t="s">
        <v>19905</v>
      </c>
      <c r="S7607" t="s">
        <v>19906</v>
      </c>
      <c r="T7607" t="s">
        <v>19899</v>
      </c>
    </row>
    <row r="7608" spans="2:20" x14ac:dyDescent="0.25">
      <c r="B7608" t="s">
        <v>2709</v>
      </c>
      <c r="C7608">
        <v>82057000</v>
      </c>
      <c r="E7608">
        <v>60</v>
      </c>
      <c r="F7608">
        <v>18</v>
      </c>
      <c r="G7608">
        <v>8</v>
      </c>
      <c r="H7608">
        <v>7.6</v>
      </c>
      <c r="I7608">
        <v>1.65</v>
      </c>
      <c r="J7608">
        <v>18</v>
      </c>
      <c r="L7608" t="s">
        <v>2709</v>
      </c>
      <c r="M7608">
        <v>82057000</v>
      </c>
      <c r="O7608" t="s">
        <v>19993</v>
      </c>
      <c r="P7608" t="s">
        <v>19899</v>
      </c>
      <c r="Q7608" t="s">
        <v>19918</v>
      </c>
      <c r="R7608" t="s">
        <v>19905</v>
      </c>
      <c r="S7608" t="s">
        <v>19906</v>
      </c>
      <c r="T7608" t="s">
        <v>19899</v>
      </c>
    </row>
    <row r="7609" spans="2:20" x14ac:dyDescent="0.25">
      <c r="B7609" t="s">
        <v>2709</v>
      </c>
      <c r="C7609">
        <v>82059000</v>
      </c>
      <c r="E7609">
        <v>60</v>
      </c>
      <c r="F7609">
        <v>18</v>
      </c>
      <c r="G7609">
        <v>8</v>
      </c>
      <c r="H7609">
        <v>7.6</v>
      </c>
      <c r="I7609">
        <v>1.65</v>
      </c>
      <c r="J7609">
        <v>18</v>
      </c>
      <c r="L7609" t="s">
        <v>2709</v>
      </c>
      <c r="M7609">
        <v>82059000</v>
      </c>
      <c r="O7609" t="s">
        <v>19993</v>
      </c>
      <c r="P7609" t="s">
        <v>19899</v>
      </c>
      <c r="Q7609" t="s">
        <v>19918</v>
      </c>
      <c r="R7609" t="s">
        <v>19905</v>
      </c>
      <c r="S7609" t="s">
        <v>19906</v>
      </c>
      <c r="T7609" t="s">
        <v>19899</v>
      </c>
    </row>
    <row r="7610" spans="2:20" x14ac:dyDescent="0.25">
      <c r="B7610" t="s">
        <v>2709</v>
      </c>
      <c r="C7610">
        <v>82060000</v>
      </c>
      <c r="E7610">
        <v>52</v>
      </c>
      <c r="F7610">
        <v>18</v>
      </c>
      <c r="G7610">
        <v>8</v>
      </c>
      <c r="H7610">
        <v>7.6</v>
      </c>
      <c r="I7610">
        <v>1.65</v>
      </c>
      <c r="J7610">
        <v>18</v>
      </c>
      <c r="L7610" t="s">
        <v>2709</v>
      </c>
      <c r="M7610">
        <v>82060000</v>
      </c>
      <c r="O7610" t="s">
        <v>20066</v>
      </c>
      <c r="P7610" t="s">
        <v>19899</v>
      </c>
      <c r="Q7610" t="s">
        <v>19918</v>
      </c>
      <c r="R7610" t="s">
        <v>19905</v>
      </c>
      <c r="S7610" t="s">
        <v>19906</v>
      </c>
      <c r="T7610" t="s">
        <v>19899</v>
      </c>
    </row>
    <row r="7611" spans="2:20" x14ac:dyDescent="0.25">
      <c r="B7611" t="s">
        <v>2709</v>
      </c>
      <c r="C7611">
        <v>82071300</v>
      </c>
      <c r="E7611">
        <v>55</v>
      </c>
      <c r="F7611">
        <v>18</v>
      </c>
      <c r="G7611">
        <v>8</v>
      </c>
      <c r="H7611">
        <v>7.6</v>
      </c>
      <c r="I7611">
        <v>1.65</v>
      </c>
      <c r="J7611">
        <v>18</v>
      </c>
      <c r="L7611" t="s">
        <v>2709</v>
      </c>
      <c r="M7611">
        <v>82071300</v>
      </c>
      <c r="O7611" t="s">
        <v>19921</v>
      </c>
      <c r="P7611" t="s">
        <v>19899</v>
      </c>
      <c r="Q7611" t="s">
        <v>19918</v>
      </c>
      <c r="R7611" t="s">
        <v>19905</v>
      </c>
      <c r="S7611" t="s">
        <v>19906</v>
      </c>
      <c r="T7611" t="s">
        <v>19899</v>
      </c>
    </row>
    <row r="7612" spans="2:20" x14ac:dyDescent="0.25">
      <c r="B7612" t="s">
        <v>2709</v>
      </c>
      <c r="C7612">
        <v>82071900</v>
      </c>
      <c r="E7612">
        <v>55</v>
      </c>
      <c r="F7612">
        <v>8.8000000000000007</v>
      </c>
      <c r="G7612">
        <v>8</v>
      </c>
      <c r="H7612">
        <v>7.6</v>
      </c>
      <c r="I7612">
        <v>1.65</v>
      </c>
      <c r="J7612">
        <v>18</v>
      </c>
      <c r="L7612" t="s">
        <v>2709</v>
      </c>
      <c r="M7612">
        <v>82071900</v>
      </c>
      <c r="O7612" t="s">
        <v>19921</v>
      </c>
      <c r="P7612" t="s">
        <v>20127</v>
      </c>
      <c r="Q7612" t="s">
        <v>19918</v>
      </c>
      <c r="R7612" t="s">
        <v>19905</v>
      </c>
      <c r="S7612" t="s">
        <v>19906</v>
      </c>
      <c r="T7612" t="s">
        <v>19899</v>
      </c>
    </row>
    <row r="7613" spans="2:20" x14ac:dyDescent="0.25">
      <c r="B7613" t="s">
        <v>2709</v>
      </c>
      <c r="C7613">
        <v>82072000</v>
      </c>
      <c r="E7613">
        <v>55</v>
      </c>
      <c r="F7613">
        <v>18</v>
      </c>
      <c r="G7613">
        <v>8</v>
      </c>
      <c r="H7613">
        <v>7.6</v>
      </c>
      <c r="I7613">
        <v>1.65</v>
      </c>
      <c r="J7613">
        <v>18</v>
      </c>
      <c r="L7613" t="s">
        <v>2709</v>
      </c>
      <c r="M7613">
        <v>82072000</v>
      </c>
      <c r="O7613" t="s">
        <v>19921</v>
      </c>
      <c r="P7613" t="s">
        <v>19899</v>
      </c>
      <c r="Q7613" t="s">
        <v>19918</v>
      </c>
      <c r="R7613" t="s">
        <v>19905</v>
      </c>
      <c r="S7613" t="s">
        <v>19906</v>
      </c>
      <c r="T7613" t="s">
        <v>19899</v>
      </c>
    </row>
    <row r="7614" spans="2:20" x14ac:dyDescent="0.25">
      <c r="B7614" t="s">
        <v>2709</v>
      </c>
      <c r="C7614">
        <v>82073000</v>
      </c>
      <c r="E7614">
        <v>55</v>
      </c>
      <c r="F7614">
        <v>8.8000000000000007</v>
      </c>
      <c r="G7614">
        <v>0</v>
      </c>
      <c r="H7614" t="s">
        <v>19447</v>
      </c>
      <c r="I7614" t="s">
        <v>19447</v>
      </c>
      <c r="J7614">
        <v>25</v>
      </c>
      <c r="L7614" t="s">
        <v>2709</v>
      </c>
      <c r="M7614">
        <v>82073000</v>
      </c>
      <c r="O7614" t="s">
        <v>19921</v>
      </c>
      <c r="P7614" t="s">
        <v>20127</v>
      </c>
      <c r="Q7614" t="s">
        <v>19900</v>
      </c>
      <c r="R7614" t="s">
        <v>19447</v>
      </c>
      <c r="S7614" t="s">
        <v>19447</v>
      </c>
      <c r="T7614" t="s">
        <v>19982</v>
      </c>
    </row>
    <row r="7615" spans="2:20" x14ac:dyDescent="0.25">
      <c r="B7615" t="s">
        <v>2709</v>
      </c>
      <c r="C7615">
        <v>82074010</v>
      </c>
      <c r="E7615">
        <v>55</v>
      </c>
      <c r="F7615">
        <v>18</v>
      </c>
      <c r="G7615">
        <v>8</v>
      </c>
      <c r="H7615">
        <v>7.6</v>
      </c>
      <c r="I7615">
        <v>1.65</v>
      </c>
      <c r="J7615">
        <v>18</v>
      </c>
      <c r="L7615" t="s">
        <v>2709</v>
      </c>
      <c r="M7615">
        <v>82074010</v>
      </c>
      <c r="O7615" t="s">
        <v>19921</v>
      </c>
      <c r="P7615" t="s">
        <v>19899</v>
      </c>
      <c r="Q7615" t="s">
        <v>19918</v>
      </c>
      <c r="R7615" t="s">
        <v>19905</v>
      </c>
      <c r="S7615" t="s">
        <v>19906</v>
      </c>
      <c r="T7615" t="s">
        <v>19899</v>
      </c>
    </row>
    <row r="7616" spans="2:20" x14ac:dyDescent="0.25">
      <c r="B7616" t="s">
        <v>2709</v>
      </c>
      <c r="C7616">
        <v>82074020</v>
      </c>
      <c r="E7616">
        <v>55</v>
      </c>
      <c r="F7616">
        <v>18</v>
      </c>
      <c r="G7616">
        <v>8</v>
      </c>
      <c r="H7616">
        <v>7.6</v>
      </c>
      <c r="I7616">
        <v>1.65</v>
      </c>
      <c r="J7616">
        <v>18</v>
      </c>
      <c r="L7616" t="s">
        <v>2709</v>
      </c>
      <c r="M7616">
        <v>82074020</v>
      </c>
      <c r="O7616" t="s">
        <v>19921</v>
      </c>
      <c r="P7616" t="s">
        <v>19899</v>
      </c>
      <c r="Q7616" t="s">
        <v>19918</v>
      </c>
      <c r="R7616" t="s">
        <v>19905</v>
      </c>
      <c r="S7616" t="s">
        <v>19906</v>
      </c>
      <c r="T7616" t="s">
        <v>19899</v>
      </c>
    </row>
    <row r="7617" spans="2:20" x14ac:dyDescent="0.25">
      <c r="B7617" t="s">
        <v>2709</v>
      </c>
      <c r="C7617">
        <v>82075011</v>
      </c>
      <c r="E7617">
        <v>55</v>
      </c>
      <c r="F7617">
        <v>18</v>
      </c>
      <c r="G7617">
        <v>8</v>
      </c>
      <c r="H7617">
        <v>7.6</v>
      </c>
      <c r="I7617">
        <v>1.65</v>
      </c>
      <c r="J7617">
        <v>18</v>
      </c>
      <c r="L7617" t="s">
        <v>2709</v>
      </c>
      <c r="M7617">
        <v>82075011</v>
      </c>
      <c r="O7617" t="s">
        <v>19921</v>
      </c>
      <c r="P7617" t="s">
        <v>19899</v>
      </c>
      <c r="Q7617" t="s">
        <v>19918</v>
      </c>
      <c r="R7617" t="s">
        <v>19905</v>
      </c>
      <c r="S7617" t="s">
        <v>19906</v>
      </c>
      <c r="T7617" t="s">
        <v>19899</v>
      </c>
    </row>
    <row r="7618" spans="2:20" x14ac:dyDescent="0.25">
      <c r="B7618" t="s">
        <v>2709</v>
      </c>
      <c r="C7618">
        <v>82075019</v>
      </c>
      <c r="E7618">
        <v>55</v>
      </c>
      <c r="F7618">
        <v>18</v>
      </c>
      <c r="G7618">
        <v>8</v>
      </c>
      <c r="H7618">
        <v>7.6</v>
      </c>
      <c r="I7618">
        <v>1.65</v>
      </c>
      <c r="J7618">
        <v>18</v>
      </c>
      <c r="L7618" t="s">
        <v>2709</v>
      </c>
      <c r="M7618">
        <v>82075019</v>
      </c>
      <c r="O7618" t="s">
        <v>19921</v>
      </c>
      <c r="P7618" t="s">
        <v>19899</v>
      </c>
      <c r="Q7618" t="s">
        <v>19918</v>
      </c>
      <c r="R7618" t="s">
        <v>19905</v>
      </c>
      <c r="S7618" t="s">
        <v>19906</v>
      </c>
      <c r="T7618" t="s">
        <v>19899</v>
      </c>
    </row>
    <row r="7619" spans="2:20" x14ac:dyDescent="0.25">
      <c r="B7619" t="s">
        <v>2709</v>
      </c>
      <c r="C7619">
        <v>82075090</v>
      </c>
      <c r="E7619">
        <v>55</v>
      </c>
      <c r="F7619">
        <v>18</v>
      </c>
      <c r="G7619">
        <v>8</v>
      </c>
      <c r="H7619">
        <v>7.6</v>
      </c>
      <c r="I7619">
        <v>1.65</v>
      </c>
      <c r="J7619">
        <v>18</v>
      </c>
      <c r="L7619" t="s">
        <v>2709</v>
      </c>
      <c r="M7619">
        <v>82075090</v>
      </c>
      <c r="O7619" t="s">
        <v>19921</v>
      </c>
      <c r="P7619" t="s">
        <v>19899</v>
      </c>
      <c r="Q7619" t="s">
        <v>19918</v>
      </c>
      <c r="R7619" t="s">
        <v>19905</v>
      </c>
      <c r="S7619" t="s">
        <v>19906</v>
      </c>
      <c r="T7619" t="s">
        <v>19899</v>
      </c>
    </row>
    <row r="7620" spans="2:20" x14ac:dyDescent="0.25">
      <c r="B7620" t="s">
        <v>2709</v>
      </c>
      <c r="C7620">
        <v>82076000</v>
      </c>
      <c r="E7620">
        <v>55</v>
      </c>
      <c r="F7620">
        <v>18</v>
      </c>
      <c r="G7620">
        <v>8</v>
      </c>
      <c r="H7620">
        <v>7.6</v>
      </c>
      <c r="I7620">
        <v>1.65</v>
      </c>
      <c r="J7620">
        <v>18</v>
      </c>
      <c r="L7620" t="s">
        <v>2709</v>
      </c>
      <c r="M7620">
        <v>82076000</v>
      </c>
      <c r="O7620" t="s">
        <v>19921</v>
      </c>
      <c r="P7620" t="s">
        <v>19899</v>
      </c>
      <c r="Q7620" t="s">
        <v>19918</v>
      </c>
      <c r="R7620" t="s">
        <v>19905</v>
      </c>
      <c r="S7620" t="s">
        <v>19906</v>
      </c>
      <c r="T7620" t="s">
        <v>19899</v>
      </c>
    </row>
    <row r="7621" spans="2:20" x14ac:dyDescent="0.25">
      <c r="B7621" t="s">
        <v>2709</v>
      </c>
      <c r="C7621">
        <v>82077010</v>
      </c>
      <c r="E7621">
        <v>55</v>
      </c>
      <c r="F7621">
        <v>18</v>
      </c>
      <c r="G7621">
        <v>8</v>
      </c>
      <c r="H7621">
        <v>7.6</v>
      </c>
      <c r="I7621">
        <v>1.65</v>
      </c>
      <c r="J7621">
        <v>18</v>
      </c>
      <c r="L7621" t="s">
        <v>2709</v>
      </c>
      <c r="M7621">
        <v>82077010</v>
      </c>
      <c r="O7621" t="s">
        <v>19921</v>
      </c>
      <c r="P7621" t="s">
        <v>19899</v>
      </c>
      <c r="Q7621" t="s">
        <v>19918</v>
      </c>
      <c r="R7621" t="s">
        <v>19905</v>
      </c>
      <c r="S7621" t="s">
        <v>19906</v>
      </c>
      <c r="T7621" t="s">
        <v>19899</v>
      </c>
    </row>
    <row r="7622" spans="2:20" x14ac:dyDescent="0.25">
      <c r="B7622" t="s">
        <v>2709</v>
      </c>
      <c r="C7622">
        <v>82077020</v>
      </c>
      <c r="E7622">
        <v>55</v>
      </c>
      <c r="F7622">
        <v>18</v>
      </c>
      <c r="G7622">
        <v>8</v>
      </c>
      <c r="H7622">
        <v>7.6</v>
      </c>
      <c r="I7622">
        <v>1.65</v>
      </c>
      <c r="J7622">
        <v>18</v>
      </c>
      <c r="L7622" t="s">
        <v>2709</v>
      </c>
      <c r="M7622">
        <v>82077020</v>
      </c>
      <c r="O7622" t="s">
        <v>19921</v>
      </c>
      <c r="P7622" t="s">
        <v>19899</v>
      </c>
      <c r="Q7622" t="s">
        <v>19918</v>
      </c>
      <c r="R7622" t="s">
        <v>19905</v>
      </c>
      <c r="S7622" t="s">
        <v>19906</v>
      </c>
      <c r="T7622" t="s">
        <v>19899</v>
      </c>
    </row>
    <row r="7623" spans="2:20" x14ac:dyDescent="0.25">
      <c r="B7623" t="s">
        <v>2709</v>
      </c>
      <c r="C7623">
        <v>82077090</v>
      </c>
      <c r="E7623">
        <v>55</v>
      </c>
      <c r="F7623">
        <v>18</v>
      </c>
      <c r="G7623">
        <v>8</v>
      </c>
      <c r="H7623">
        <v>7.6</v>
      </c>
      <c r="I7623">
        <v>1.65</v>
      </c>
      <c r="J7623">
        <v>18</v>
      </c>
      <c r="L7623" t="s">
        <v>2709</v>
      </c>
      <c r="M7623">
        <v>82077090</v>
      </c>
      <c r="O7623" t="s">
        <v>19921</v>
      </c>
      <c r="P7623" t="s">
        <v>19899</v>
      </c>
      <c r="Q7623" t="s">
        <v>19918</v>
      </c>
      <c r="R7623" t="s">
        <v>19905</v>
      </c>
      <c r="S7623" t="s">
        <v>19906</v>
      </c>
      <c r="T7623" t="s">
        <v>19899</v>
      </c>
    </row>
    <row r="7624" spans="2:20" x14ac:dyDescent="0.25">
      <c r="B7624" t="s">
        <v>2709</v>
      </c>
      <c r="C7624">
        <v>82078000</v>
      </c>
      <c r="E7624">
        <v>55</v>
      </c>
      <c r="F7624">
        <v>18</v>
      </c>
      <c r="G7624">
        <v>8</v>
      </c>
      <c r="H7624">
        <v>7.6</v>
      </c>
      <c r="I7624">
        <v>1.65</v>
      </c>
      <c r="J7624">
        <v>18</v>
      </c>
      <c r="L7624" t="s">
        <v>2709</v>
      </c>
      <c r="M7624">
        <v>82078000</v>
      </c>
      <c r="O7624" t="s">
        <v>19921</v>
      </c>
      <c r="P7624" t="s">
        <v>19899</v>
      </c>
      <c r="Q7624" t="s">
        <v>19918</v>
      </c>
      <c r="R7624" t="s">
        <v>19905</v>
      </c>
      <c r="S7624" t="s">
        <v>19906</v>
      </c>
      <c r="T7624" t="s">
        <v>19899</v>
      </c>
    </row>
    <row r="7625" spans="2:20" x14ac:dyDescent="0.25">
      <c r="B7625" t="s">
        <v>2709</v>
      </c>
      <c r="C7625">
        <v>82079000</v>
      </c>
      <c r="E7625">
        <v>55</v>
      </c>
      <c r="F7625">
        <v>12</v>
      </c>
      <c r="G7625">
        <v>8</v>
      </c>
      <c r="H7625">
        <v>7.6</v>
      </c>
      <c r="I7625">
        <v>1.65</v>
      </c>
      <c r="J7625">
        <v>18</v>
      </c>
      <c r="L7625" t="s">
        <v>2709</v>
      </c>
      <c r="M7625">
        <v>82079000</v>
      </c>
      <c r="O7625" t="s">
        <v>19921</v>
      </c>
      <c r="P7625" t="s">
        <v>19903</v>
      </c>
      <c r="Q7625" t="s">
        <v>19918</v>
      </c>
      <c r="R7625" t="s">
        <v>19905</v>
      </c>
      <c r="S7625" t="s">
        <v>19906</v>
      </c>
      <c r="T7625" t="s">
        <v>19899</v>
      </c>
    </row>
    <row r="7626" spans="2:20" x14ac:dyDescent="0.25">
      <c r="B7626" t="s">
        <v>2709</v>
      </c>
      <c r="C7626">
        <v>82081000</v>
      </c>
      <c r="E7626">
        <v>52</v>
      </c>
      <c r="F7626">
        <v>18</v>
      </c>
      <c r="G7626">
        <v>8</v>
      </c>
      <c r="H7626">
        <v>7.6</v>
      </c>
      <c r="I7626">
        <v>1.65</v>
      </c>
      <c r="J7626">
        <v>16</v>
      </c>
      <c r="L7626" t="s">
        <v>2709</v>
      </c>
      <c r="M7626">
        <v>82081000</v>
      </c>
      <c r="O7626" t="s">
        <v>20066</v>
      </c>
      <c r="P7626" t="s">
        <v>19899</v>
      </c>
      <c r="Q7626" t="s">
        <v>19918</v>
      </c>
      <c r="R7626" t="s">
        <v>19905</v>
      </c>
      <c r="S7626" t="s">
        <v>19906</v>
      </c>
      <c r="T7626" t="s">
        <v>19913</v>
      </c>
    </row>
    <row r="7627" spans="2:20" x14ac:dyDescent="0.25">
      <c r="B7627" t="s">
        <v>2709</v>
      </c>
      <c r="C7627">
        <v>82082000</v>
      </c>
      <c r="E7627">
        <v>52</v>
      </c>
      <c r="F7627">
        <v>18</v>
      </c>
      <c r="G7627">
        <v>8</v>
      </c>
      <c r="H7627">
        <v>7.6</v>
      </c>
      <c r="I7627">
        <v>1.65</v>
      </c>
      <c r="J7627">
        <v>16</v>
      </c>
      <c r="L7627" t="s">
        <v>2709</v>
      </c>
      <c r="M7627">
        <v>82082000</v>
      </c>
      <c r="O7627" t="s">
        <v>20066</v>
      </c>
      <c r="P7627" t="s">
        <v>19899</v>
      </c>
      <c r="Q7627" t="s">
        <v>19918</v>
      </c>
      <c r="R7627" t="s">
        <v>19905</v>
      </c>
      <c r="S7627" t="s">
        <v>19906</v>
      </c>
      <c r="T7627" t="s">
        <v>19913</v>
      </c>
    </row>
    <row r="7628" spans="2:20" x14ac:dyDescent="0.25">
      <c r="B7628" t="s">
        <v>2709</v>
      </c>
      <c r="C7628">
        <v>82083000</v>
      </c>
      <c r="E7628">
        <v>52</v>
      </c>
      <c r="F7628">
        <v>18</v>
      </c>
      <c r="G7628">
        <v>8</v>
      </c>
      <c r="H7628">
        <v>7.6</v>
      </c>
      <c r="I7628">
        <v>1.65</v>
      </c>
      <c r="J7628">
        <v>16</v>
      </c>
      <c r="L7628" t="s">
        <v>2709</v>
      </c>
      <c r="M7628">
        <v>82083000</v>
      </c>
      <c r="O7628" t="s">
        <v>20066</v>
      </c>
      <c r="P7628" t="s">
        <v>19899</v>
      </c>
      <c r="Q7628" t="s">
        <v>19918</v>
      </c>
      <c r="R7628" t="s">
        <v>19905</v>
      </c>
      <c r="S7628" t="s">
        <v>19906</v>
      </c>
      <c r="T7628" t="s">
        <v>19913</v>
      </c>
    </row>
    <row r="7629" spans="2:20" x14ac:dyDescent="0.25">
      <c r="B7629" t="s">
        <v>2709</v>
      </c>
      <c r="C7629">
        <v>82084000</v>
      </c>
      <c r="E7629">
        <v>52</v>
      </c>
      <c r="F7629">
        <v>18</v>
      </c>
      <c r="G7629">
        <v>8</v>
      </c>
      <c r="H7629">
        <v>7.6</v>
      </c>
      <c r="I7629">
        <v>1.65</v>
      </c>
      <c r="J7629">
        <v>16</v>
      </c>
      <c r="L7629" t="s">
        <v>2709</v>
      </c>
      <c r="M7629">
        <v>82084000</v>
      </c>
      <c r="O7629" t="s">
        <v>20066</v>
      </c>
      <c r="P7629" t="s">
        <v>19899</v>
      </c>
      <c r="Q7629" t="s">
        <v>19918</v>
      </c>
      <c r="R7629" t="s">
        <v>19905</v>
      </c>
      <c r="S7629" t="s">
        <v>19906</v>
      </c>
      <c r="T7629" t="s">
        <v>19913</v>
      </c>
    </row>
    <row r="7630" spans="2:20" x14ac:dyDescent="0.25">
      <c r="B7630" t="s">
        <v>2709</v>
      </c>
      <c r="C7630">
        <v>82084000</v>
      </c>
      <c r="D7630">
        <v>1</v>
      </c>
      <c r="E7630" t="s">
        <v>19447</v>
      </c>
      <c r="F7630">
        <v>18</v>
      </c>
      <c r="G7630">
        <v>4</v>
      </c>
      <c r="H7630">
        <v>7.6</v>
      </c>
      <c r="I7630">
        <v>1.65</v>
      </c>
      <c r="J7630">
        <v>16</v>
      </c>
      <c r="L7630" t="s">
        <v>2709</v>
      </c>
      <c r="M7630">
        <v>82084000</v>
      </c>
      <c r="N7630">
        <v>1</v>
      </c>
      <c r="O7630" t="s">
        <v>19447</v>
      </c>
      <c r="P7630" t="s">
        <v>19899</v>
      </c>
      <c r="Q7630" t="s">
        <v>19902</v>
      </c>
      <c r="R7630" t="s">
        <v>19905</v>
      </c>
      <c r="S7630" t="s">
        <v>19906</v>
      </c>
      <c r="T7630" t="s">
        <v>19913</v>
      </c>
    </row>
    <row r="7631" spans="2:20" x14ac:dyDescent="0.25">
      <c r="B7631" t="s">
        <v>2709</v>
      </c>
      <c r="C7631">
        <v>82089000</v>
      </c>
      <c r="E7631">
        <v>52</v>
      </c>
      <c r="F7631">
        <v>18</v>
      </c>
      <c r="G7631">
        <v>8</v>
      </c>
      <c r="H7631" t="s">
        <v>19447</v>
      </c>
      <c r="I7631" t="s">
        <v>19447</v>
      </c>
      <c r="J7631">
        <v>16</v>
      </c>
      <c r="L7631" t="s">
        <v>2709</v>
      </c>
      <c r="M7631">
        <v>82089000</v>
      </c>
      <c r="O7631" t="s">
        <v>20066</v>
      </c>
      <c r="P7631" t="s">
        <v>19899</v>
      </c>
      <c r="Q7631" t="s">
        <v>19918</v>
      </c>
      <c r="R7631" t="s">
        <v>19447</v>
      </c>
      <c r="S7631" t="s">
        <v>19447</v>
      </c>
      <c r="T7631" t="s">
        <v>19913</v>
      </c>
    </row>
    <row r="7632" spans="2:20" x14ac:dyDescent="0.25">
      <c r="B7632" t="s">
        <v>2709</v>
      </c>
      <c r="C7632">
        <v>82090011</v>
      </c>
      <c r="E7632">
        <v>67</v>
      </c>
      <c r="F7632">
        <v>18</v>
      </c>
      <c r="G7632">
        <v>8</v>
      </c>
      <c r="H7632">
        <v>7.6</v>
      </c>
      <c r="I7632">
        <v>1.65</v>
      </c>
      <c r="J7632">
        <v>16</v>
      </c>
      <c r="L7632" t="s">
        <v>2709</v>
      </c>
      <c r="M7632">
        <v>82090011</v>
      </c>
      <c r="O7632" t="s">
        <v>20114</v>
      </c>
      <c r="P7632" t="s">
        <v>19899</v>
      </c>
      <c r="Q7632" t="s">
        <v>19918</v>
      </c>
      <c r="R7632" t="s">
        <v>19905</v>
      </c>
      <c r="S7632" t="s">
        <v>19906</v>
      </c>
      <c r="T7632" t="s">
        <v>19913</v>
      </c>
    </row>
    <row r="7633" spans="2:20" x14ac:dyDescent="0.25">
      <c r="B7633" t="s">
        <v>2709</v>
      </c>
      <c r="C7633">
        <v>82090019</v>
      </c>
      <c r="E7633">
        <v>67</v>
      </c>
      <c r="F7633">
        <v>18</v>
      </c>
      <c r="G7633">
        <v>8</v>
      </c>
      <c r="H7633">
        <v>7.6</v>
      </c>
      <c r="I7633">
        <v>1.65</v>
      </c>
      <c r="J7633">
        <v>16</v>
      </c>
      <c r="L7633" t="s">
        <v>2709</v>
      </c>
      <c r="M7633">
        <v>82090019</v>
      </c>
      <c r="O7633" t="s">
        <v>20114</v>
      </c>
      <c r="P7633" t="s">
        <v>19899</v>
      </c>
      <c r="Q7633" t="s">
        <v>19918</v>
      </c>
      <c r="R7633" t="s">
        <v>19905</v>
      </c>
      <c r="S7633" t="s">
        <v>19906</v>
      </c>
      <c r="T7633" t="s">
        <v>19913</v>
      </c>
    </row>
    <row r="7634" spans="2:20" x14ac:dyDescent="0.25">
      <c r="B7634" t="s">
        <v>2709</v>
      </c>
      <c r="C7634">
        <v>82090090</v>
      </c>
      <c r="E7634">
        <v>67</v>
      </c>
      <c r="F7634">
        <v>18</v>
      </c>
      <c r="G7634">
        <v>8</v>
      </c>
      <c r="H7634">
        <v>7.6</v>
      </c>
      <c r="I7634">
        <v>1.65</v>
      </c>
      <c r="J7634">
        <v>16</v>
      </c>
      <c r="L7634" t="s">
        <v>2709</v>
      </c>
      <c r="M7634">
        <v>82090090</v>
      </c>
      <c r="O7634" t="s">
        <v>20114</v>
      </c>
      <c r="P7634" t="s">
        <v>19899</v>
      </c>
      <c r="Q7634" t="s">
        <v>19918</v>
      </c>
      <c r="R7634" t="s">
        <v>19905</v>
      </c>
      <c r="S7634" t="s">
        <v>19906</v>
      </c>
      <c r="T7634" t="s">
        <v>19913</v>
      </c>
    </row>
    <row r="7635" spans="2:20" x14ac:dyDescent="0.25">
      <c r="B7635" t="s">
        <v>2709</v>
      </c>
      <c r="C7635">
        <v>82100010</v>
      </c>
      <c r="E7635">
        <v>46.63</v>
      </c>
      <c r="F7635">
        <v>18</v>
      </c>
      <c r="G7635">
        <v>10</v>
      </c>
      <c r="H7635">
        <v>7.6</v>
      </c>
      <c r="I7635">
        <v>1.65</v>
      </c>
      <c r="J7635">
        <v>18</v>
      </c>
      <c r="L7635" t="s">
        <v>2709</v>
      </c>
      <c r="M7635">
        <v>82100010</v>
      </c>
      <c r="O7635" t="s">
        <v>20145</v>
      </c>
      <c r="P7635" t="s">
        <v>19899</v>
      </c>
      <c r="Q7635" t="s">
        <v>19904</v>
      </c>
      <c r="R7635" t="s">
        <v>19905</v>
      </c>
      <c r="S7635" t="s">
        <v>19906</v>
      </c>
      <c r="T7635" t="s">
        <v>19899</v>
      </c>
    </row>
    <row r="7636" spans="2:20" x14ac:dyDescent="0.25">
      <c r="B7636" t="s">
        <v>2709</v>
      </c>
      <c r="C7636">
        <v>82100090</v>
      </c>
      <c r="E7636">
        <v>46.63</v>
      </c>
      <c r="F7636">
        <v>18</v>
      </c>
      <c r="G7636">
        <v>10</v>
      </c>
      <c r="H7636">
        <v>7.6</v>
      </c>
      <c r="I7636">
        <v>1.65</v>
      </c>
      <c r="J7636">
        <v>18</v>
      </c>
      <c r="L7636" t="s">
        <v>2709</v>
      </c>
      <c r="M7636">
        <v>82100090</v>
      </c>
      <c r="O7636" t="s">
        <v>20145</v>
      </c>
      <c r="P7636" t="s">
        <v>19899</v>
      </c>
      <c r="Q7636" t="s">
        <v>19904</v>
      </c>
      <c r="R7636" t="s">
        <v>19905</v>
      </c>
      <c r="S7636" t="s">
        <v>19906</v>
      </c>
      <c r="T7636" t="s">
        <v>19899</v>
      </c>
    </row>
    <row r="7637" spans="2:20" x14ac:dyDescent="0.25">
      <c r="B7637" t="s">
        <v>2709</v>
      </c>
      <c r="C7637">
        <v>82111000</v>
      </c>
      <c r="E7637">
        <v>93</v>
      </c>
      <c r="F7637">
        <v>18</v>
      </c>
      <c r="G7637">
        <v>12</v>
      </c>
      <c r="H7637">
        <v>7.6</v>
      </c>
      <c r="I7637">
        <v>1.65</v>
      </c>
      <c r="J7637">
        <v>18</v>
      </c>
      <c r="L7637" t="s">
        <v>2709</v>
      </c>
      <c r="M7637">
        <v>82111000</v>
      </c>
      <c r="O7637" t="s">
        <v>20110</v>
      </c>
      <c r="P7637" t="s">
        <v>19899</v>
      </c>
      <c r="Q7637" t="s">
        <v>19903</v>
      </c>
      <c r="R7637" t="s">
        <v>19905</v>
      </c>
      <c r="S7637" t="s">
        <v>19906</v>
      </c>
      <c r="T7637" t="s">
        <v>19899</v>
      </c>
    </row>
    <row r="7638" spans="2:20" x14ac:dyDescent="0.25">
      <c r="B7638" t="s">
        <v>2709</v>
      </c>
      <c r="C7638">
        <v>82119100</v>
      </c>
      <c r="E7638">
        <v>93</v>
      </c>
      <c r="F7638">
        <v>18</v>
      </c>
      <c r="G7638">
        <v>12</v>
      </c>
      <c r="H7638">
        <v>7.6</v>
      </c>
      <c r="I7638">
        <v>1.65</v>
      </c>
      <c r="J7638">
        <v>18</v>
      </c>
      <c r="L7638" t="s">
        <v>2709</v>
      </c>
      <c r="M7638">
        <v>82119100</v>
      </c>
      <c r="O7638" t="s">
        <v>20110</v>
      </c>
      <c r="P7638" t="s">
        <v>19899</v>
      </c>
      <c r="Q7638" t="s">
        <v>19903</v>
      </c>
      <c r="R7638" t="s">
        <v>19905</v>
      </c>
      <c r="S7638" t="s">
        <v>19906</v>
      </c>
      <c r="T7638" t="s">
        <v>19899</v>
      </c>
    </row>
    <row r="7639" spans="2:20" x14ac:dyDescent="0.25">
      <c r="B7639" t="s">
        <v>2709</v>
      </c>
      <c r="C7639">
        <v>82119210</v>
      </c>
      <c r="E7639">
        <v>93</v>
      </c>
      <c r="F7639">
        <v>18</v>
      </c>
      <c r="G7639">
        <v>12</v>
      </c>
      <c r="H7639">
        <v>7.6</v>
      </c>
      <c r="I7639">
        <v>1.65</v>
      </c>
      <c r="J7639">
        <v>18</v>
      </c>
      <c r="L7639" t="s">
        <v>2709</v>
      </c>
      <c r="M7639">
        <v>82119210</v>
      </c>
      <c r="O7639" t="s">
        <v>20110</v>
      </c>
      <c r="P7639" t="s">
        <v>19899</v>
      </c>
      <c r="Q7639" t="s">
        <v>19903</v>
      </c>
      <c r="R7639" t="s">
        <v>19905</v>
      </c>
      <c r="S7639" t="s">
        <v>19906</v>
      </c>
      <c r="T7639" t="s">
        <v>19899</v>
      </c>
    </row>
    <row r="7640" spans="2:20" x14ac:dyDescent="0.25">
      <c r="B7640" t="s">
        <v>2709</v>
      </c>
      <c r="C7640">
        <v>82119220</v>
      </c>
      <c r="E7640">
        <v>93</v>
      </c>
      <c r="F7640">
        <v>18</v>
      </c>
      <c r="G7640">
        <v>12</v>
      </c>
      <c r="H7640">
        <v>7.6</v>
      </c>
      <c r="I7640">
        <v>1.65</v>
      </c>
      <c r="J7640">
        <v>18</v>
      </c>
      <c r="L7640" t="s">
        <v>2709</v>
      </c>
      <c r="M7640">
        <v>82119220</v>
      </c>
      <c r="O7640" t="s">
        <v>20110</v>
      </c>
      <c r="P7640" t="s">
        <v>19899</v>
      </c>
      <c r="Q7640" t="s">
        <v>19903</v>
      </c>
      <c r="R7640" t="s">
        <v>19905</v>
      </c>
      <c r="S7640" t="s">
        <v>19906</v>
      </c>
      <c r="T7640" t="s">
        <v>19899</v>
      </c>
    </row>
    <row r="7641" spans="2:20" x14ac:dyDescent="0.25">
      <c r="B7641" t="s">
        <v>2709</v>
      </c>
      <c r="C7641">
        <v>82119290</v>
      </c>
      <c r="E7641">
        <v>93</v>
      </c>
      <c r="F7641">
        <v>18</v>
      </c>
      <c r="G7641">
        <v>12</v>
      </c>
      <c r="H7641">
        <v>7.6</v>
      </c>
      <c r="I7641">
        <v>1.65</v>
      </c>
      <c r="J7641">
        <v>18</v>
      </c>
      <c r="L7641" t="s">
        <v>2709</v>
      </c>
      <c r="M7641">
        <v>82119290</v>
      </c>
      <c r="O7641" t="s">
        <v>20110</v>
      </c>
      <c r="P7641" t="s">
        <v>19899</v>
      </c>
      <c r="Q7641" t="s">
        <v>19903</v>
      </c>
      <c r="R7641" t="s">
        <v>19905</v>
      </c>
      <c r="S7641" t="s">
        <v>19906</v>
      </c>
      <c r="T7641" t="s">
        <v>19899</v>
      </c>
    </row>
    <row r="7642" spans="2:20" x14ac:dyDescent="0.25">
      <c r="B7642" t="s">
        <v>2709</v>
      </c>
      <c r="C7642">
        <v>82119310</v>
      </c>
      <c r="E7642">
        <v>93</v>
      </c>
      <c r="F7642">
        <v>18</v>
      </c>
      <c r="G7642">
        <v>12</v>
      </c>
      <c r="H7642">
        <v>7.6</v>
      </c>
      <c r="I7642">
        <v>1.65</v>
      </c>
      <c r="J7642">
        <v>18</v>
      </c>
      <c r="L7642" t="s">
        <v>2709</v>
      </c>
      <c r="M7642">
        <v>82119310</v>
      </c>
      <c r="O7642" t="s">
        <v>20110</v>
      </c>
      <c r="P7642" t="s">
        <v>19899</v>
      </c>
      <c r="Q7642" t="s">
        <v>19903</v>
      </c>
      <c r="R7642" t="s">
        <v>19905</v>
      </c>
      <c r="S7642" t="s">
        <v>19906</v>
      </c>
      <c r="T7642" t="s">
        <v>19899</v>
      </c>
    </row>
    <row r="7643" spans="2:20" x14ac:dyDescent="0.25">
      <c r="B7643" t="s">
        <v>2709</v>
      </c>
      <c r="C7643">
        <v>82119320</v>
      </c>
      <c r="E7643">
        <v>93</v>
      </c>
      <c r="F7643">
        <v>18</v>
      </c>
      <c r="G7643">
        <v>12</v>
      </c>
      <c r="H7643">
        <v>7.6</v>
      </c>
      <c r="I7643">
        <v>1.65</v>
      </c>
      <c r="J7643">
        <v>18</v>
      </c>
      <c r="L7643" t="s">
        <v>2709</v>
      </c>
      <c r="M7643">
        <v>82119320</v>
      </c>
      <c r="O7643" t="s">
        <v>20110</v>
      </c>
      <c r="P7643" t="s">
        <v>19899</v>
      </c>
      <c r="Q7643" t="s">
        <v>19903</v>
      </c>
      <c r="R7643" t="s">
        <v>19905</v>
      </c>
      <c r="S7643" t="s">
        <v>19906</v>
      </c>
      <c r="T7643" t="s">
        <v>19899</v>
      </c>
    </row>
    <row r="7644" spans="2:20" x14ac:dyDescent="0.25">
      <c r="B7644" t="s">
        <v>2709</v>
      </c>
      <c r="C7644">
        <v>82119390</v>
      </c>
      <c r="E7644">
        <v>93</v>
      </c>
      <c r="F7644">
        <v>18</v>
      </c>
      <c r="G7644">
        <v>12</v>
      </c>
      <c r="H7644">
        <v>7.6</v>
      </c>
      <c r="I7644">
        <v>1.65</v>
      </c>
      <c r="J7644">
        <v>18</v>
      </c>
      <c r="L7644" t="s">
        <v>2709</v>
      </c>
      <c r="M7644">
        <v>82119390</v>
      </c>
      <c r="O7644" t="s">
        <v>20110</v>
      </c>
      <c r="P7644" t="s">
        <v>19899</v>
      </c>
      <c r="Q7644" t="s">
        <v>19903</v>
      </c>
      <c r="R7644" t="s">
        <v>19905</v>
      </c>
      <c r="S7644" t="s">
        <v>19906</v>
      </c>
      <c r="T7644" t="s">
        <v>19899</v>
      </c>
    </row>
    <row r="7645" spans="2:20" x14ac:dyDescent="0.25">
      <c r="B7645" t="s">
        <v>2709</v>
      </c>
      <c r="C7645">
        <v>82119400</v>
      </c>
      <c r="E7645">
        <v>93</v>
      </c>
      <c r="F7645">
        <v>18</v>
      </c>
      <c r="G7645">
        <v>10</v>
      </c>
      <c r="H7645">
        <v>7.6</v>
      </c>
      <c r="I7645">
        <v>1.65</v>
      </c>
      <c r="J7645">
        <v>18</v>
      </c>
      <c r="L7645" t="s">
        <v>2709</v>
      </c>
      <c r="M7645">
        <v>82119400</v>
      </c>
      <c r="O7645" t="s">
        <v>20110</v>
      </c>
      <c r="P7645" t="s">
        <v>19899</v>
      </c>
      <c r="Q7645" t="s">
        <v>19904</v>
      </c>
      <c r="R7645" t="s">
        <v>19905</v>
      </c>
      <c r="S7645" t="s">
        <v>19906</v>
      </c>
      <c r="T7645" t="s">
        <v>19899</v>
      </c>
    </row>
    <row r="7646" spans="2:20" x14ac:dyDescent="0.25">
      <c r="B7646" t="s">
        <v>2709</v>
      </c>
      <c r="C7646">
        <v>82119500</v>
      </c>
      <c r="E7646">
        <v>93</v>
      </c>
      <c r="F7646">
        <v>18</v>
      </c>
      <c r="G7646">
        <v>10</v>
      </c>
      <c r="H7646">
        <v>7.6</v>
      </c>
      <c r="I7646">
        <v>1.65</v>
      </c>
      <c r="J7646">
        <v>18</v>
      </c>
      <c r="L7646" t="s">
        <v>2709</v>
      </c>
      <c r="M7646">
        <v>82119500</v>
      </c>
      <c r="O7646" t="s">
        <v>20110</v>
      </c>
      <c r="P7646" t="s">
        <v>19899</v>
      </c>
      <c r="Q7646" t="s">
        <v>19904</v>
      </c>
      <c r="R7646" t="s">
        <v>19905</v>
      </c>
      <c r="S7646" t="s">
        <v>19906</v>
      </c>
      <c r="T7646" t="s">
        <v>19899</v>
      </c>
    </row>
    <row r="7647" spans="2:20" x14ac:dyDescent="0.25">
      <c r="B7647" t="s">
        <v>2709</v>
      </c>
      <c r="C7647">
        <v>82121010</v>
      </c>
      <c r="E7647">
        <v>46.63</v>
      </c>
      <c r="F7647">
        <v>18</v>
      </c>
      <c r="G7647">
        <v>12</v>
      </c>
      <c r="H7647">
        <v>7.6</v>
      </c>
      <c r="I7647">
        <v>1.65</v>
      </c>
      <c r="J7647">
        <v>18</v>
      </c>
      <c r="L7647" t="s">
        <v>2709</v>
      </c>
      <c r="M7647">
        <v>82121010</v>
      </c>
      <c r="O7647" t="s">
        <v>20145</v>
      </c>
      <c r="P7647" t="s">
        <v>19899</v>
      </c>
      <c r="Q7647" t="s">
        <v>19903</v>
      </c>
      <c r="R7647" t="s">
        <v>19905</v>
      </c>
      <c r="S7647" t="s">
        <v>19906</v>
      </c>
      <c r="T7647" t="s">
        <v>19899</v>
      </c>
    </row>
    <row r="7648" spans="2:20" x14ac:dyDescent="0.25">
      <c r="B7648" t="s">
        <v>2709</v>
      </c>
      <c r="C7648">
        <v>82121020</v>
      </c>
      <c r="E7648">
        <v>177.19</v>
      </c>
      <c r="F7648">
        <v>18</v>
      </c>
      <c r="G7648">
        <v>15</v>
      </c>
      <c r="H7648">
        <v>7.6</v>
      </c>
      <c r="I7648">
        <v>1.65</v>
      </c>
      <c r="J7648">
        <v>18</v>
      </c>
      <c r="L7648" t="s">
        <v>2709</v>
      </c>
      <c r="M7648">
        <v>82121020</v>
      </c>
      <c r="O7648" t="s">
        <v>19926</v>
      </c>
      <c r="P7648" t="s">
        <v>19899</v>
      </c>
      <c r="Q7648" t="s">
        <v>19983</v>
      </c>
      <c r="R7648" t="s">
        <v>19905</v>
      </c>
      <c r="S7648" t="s">
        <v>19906</v>
      </c>
      <c r="T7648" t="s">
        <v>19899</v>
      </c>
    </row>
    <row r="7649" spans="2:20" x14ac:dyDescent="0.25">
      <c r="B7649" t="s">
        <v>2709</v>
      </c>
      <c r="C7649">
        <v>82122010</v>
      </c>
      <c r="E7649">
        <v>177.19</v>
      </c>
      <c r="F7649">
        <v>18</v>
      </c>
      <c r="G7649">
        <v>12</v>
      </c>
      <c r="H7649">
        <v>7.6</v>
      </c>
      <c r="I7649">
        <v>1.65</v>
      </c>
      <c r="J7649">
        <v>18</v>
      </c>
      <c r="L7649" t="s">
        <v>2709</v>
      </c>
      <c r="M7649">
        <v>82122010</v>
      </c>
      <c r="O7649" t="s">
        <v>19926</v>
      </c>
      <c r="P7649" t="s">
        <v>19899</v>
      </c>
      <c r="Q7649" t="s">
        <v>19903</v>
      </c>
      <c r="R7649" t="s">
        <v>19905</v>
      </c>
      <c r="S7649" t="s">
        <v>19906</v>
      </c>
      <c r="T7649" t="s">
        <v>19899</v>
      </c>
    </row>
    <row r="7650" spans="2:20" x14ac:dyDescent="0.25">
      <c r="B7650" t="s">
        <v>2709</v>
      </c>
      <c r="C7650">
        <v>82122020</v>
      </c>
      <c r="E7650">
        <v>46.63</v>
      </c>
      <c r="F7650">
        <v>18</v>
      </c>
      <c r="G7650">
        <v>12</v>
      </c>
      <c r="H7650">
        <v>7.6</v>
      </c>
      <c r="I7650">
        <v>1.65</v>
      </c>
      <c r="J7650">
        <v>18</v>
      </c>
      <c r="L7650" t="s">
        <v>2709</v>
      </c>
      <c r="M7650">
        <v>82122020</v>
      </c>
      <c r="O7650" t="s">
        <v>20145</v>
      </c>
      <c r="P7650" t="s">
        <v>19899</v>
      </c>
      <c r="Q7650" t="s">
        <v>19903</v>
      </c>
      <c r="R7650" t="s">
        <v>19905</v>
      </c>
      <c r="S7650" t="s">
        <v>19906</v>
      </c>
      <c r="T7650" t="s">
        <v>19899</v>
      </c>
    </row>
    <row r="7651" spans="2:20" x14ac:dyDescent="0.25">
      <c r="B7651" t="s">
        <v>2709</v>
      </c>
      <c r="C7651">
        <v>82129000</v>
      </c>
      <c r="E7651">
        <v>46.63</v>
      </c>
      <c r="F7651">
        <v>18</v>
      </c>
      <c r="G7651">
        <v>12</v>
      </c>
      <c r="H7651">
        <v>7.6</v>
      </c>
      <c r="I7651">
        <v>1.65</v>
      </c>
      <c r="J7651">
        <v>18</v>
      </c>
      <c r="L7651" t="s">
        <v>2709</v>
      </c>
      <c r="M7651">
        <v>82129000</v>
      </c>
      <c r="O7651" t="s">
        <v>20145</v>
      </c>
      <c r="P7651" t="s">
        <v>19899</v>
      </c>
      <c r="Q7651" t="s">
        <v>19903</v>
      </c>
      <c r="R7651" t="s">
        <v>19905</v>
      </c>
      <c r="S7651" t="s">
        <v>19906</v>
      </c>
      <c r="T7651" t="s">
        <v>19899</v>
      </c>
    </row>
    <row r="7652" spans="2:20" x14ac:dyDescent="0.25">
      <c r="B7652" t="s">
        <v>2709</v>
      </c>
      <c r="C7652">
        <v>82130000</v>
      </c>
      <c r="E7652">
        <v>54</v>
      </c>
      <c r="F7652">
        <v>18</v>
      </c>
      <c r="G7652">
        <v>12</v>
      </c>
      <c r="H7652">
        <v>7.6</v>
      </c>
      <c r="I7652">
        <v>1.65</v>
      </c>
      <c r="J7652">
        <v>18</v>
      </c>
      <c r="L7652" t="s">
        <v>2709</v>
      </c>
      <c r="M7652">
        <v>82130000</v>
      </c>
      <c r="O7652" t="s">
        <v>20109</v>
      </c>
      <c r="P7652" t="s">
        <v>19899</v>
      </c>
      <c r="Q7652" t="s">
        <v>19903</v>
      </c>
      <c r="R7652" t="s">
        <v>19905</v>
      </c>
      <c r="S7652" t="s">
        <v>19906</v>
      </c>
      <c r="T7652" t="s">
        <v>19899</v>
      </c>
    </row>
    <row r="7653" spans="2:20" x14ac:dyDescent="0.25">
      <c r="B7653" t="s">
        <v>2709</v>
      </c>
      <c r="C7653">
        <v>82141000</v>
      </c>
      <c r="E7653">
        <v>177.19</v>
      </c>
      <c r="F7653">
        <v>18</v>
      </c>
      <c r="G7653">
        <v>10</v>
      </c>
      <c r="H7653">
        <v>7.6</v>
      </c>
      <c r="I7653">
        <v>1.65</v>
      </c>
      <c r="J7653">
        <v>18</v>
      </c>
      <c r="L7653" t="s">
        <v>2709</v>
      </c>
      <c r="M7653">
        <v>82141000</v>
      </c>
      <c r="O7653" t="s">
        <v>19926</v>
      </c>
      <c r="P7653" t="s">
        <v>19899</v>
      </c>
      <c r="Q7653" t="s">
        <v>19904</v>
      </c>
      <c r="R7653" t="s">
        <v>19905</v>
      </c>
      <c r="S7653" t="s">
        <v>19906</v>
      </c>
      <c r="T7653" t="s">
        <v>19899</v>
      </c>
    </row>
    <row r="7654" spans="2:20" x14ac:dyDescent="0.25">
      <c r="B7654" t="s">
        <v>2709</v>
      </c>
      <c r="C7654">
        <v>82142000</v>
      </c>
      <c r="E7654">
        <v>177.19</v>
      </c>
      <c r="F7654">
        <v>18</v>
      </c>
      <c r="G7654">
        <v>10</v>
      </c>
      <c r="H7654">
        <v>7.6</v>
      </c>
      <c r="I7654">
        <v>1.65</v>
      </c>
      <c r="J7654">
        <v>18</v>
      </c>
      <c r="L7654" t="s">
        <v>2709</v>
      </c>
      <c r="M7654">
        <v>82142000</v>
      </c>
      <c r="O7654" t="s">
        <v>19926</v>
      </c>
      <c r="P7654" t="s">
        <v>19899</v>
      </c>
      <c r="Q7654" t="s">
        <v>19904</v>
      </c>
      <c r="R7654" t="s">
        <v>19905</v>
      </c>
      <c r="S7654" t="s">
        <v>19906</v>
      </c>
      <c r="T7654" t="s">
        <v>19899</v>
      </c>
    </row>
    <row r="7655" spans="2:20" x14ac:dyDescent="0.25">
      <c r="B7655" t="s">
        <v>2709</v>
      </c>
      <c r="C7655">
        <v>82149010</v>
      </c>
      <c r="E7655">
        <v>46.63</v>
      </c>
      <c r="F7655">
        <v>18</v>
      </c>
      <c r="G7655">
        <v>10</v>
      </c>
      <c r="H7655">
        <v>7.6</v>
      </c>
      <c r="I7655">
        <v>1.65</v>
      </c>
      <c r="J7655">
        <v>18</v>
      </c>
      <c r="L7655" t="s">
        <v>2709</v>
      </c>
      <c r="M7655">
        <v>82149010</v>
      </c>
      <c r="O7655" t="s">
        <v>20145</v>
      </c>
      <c r="P7655" t="s">
        <v>19899</v>
      </c>
      <c r="Q7655" t="s">
        <v>19904</v>
      </c>
      <c r="R7655" t="s">
        <v>19905</v>
      </c>
      <c r="S7655" t="s">
        <v>19906</v>
      </c>
      <c r="T7655" t="s">
        <v>19899</v>
      </c>
    </row>
    <row r="7656" spans="2:20" x14ac:dyDescent="0.25">
      <c r="B7656" t="s">
        <v>2709</v>
      </c>
      <c r="C7656">
        <v>82149090</v>
      </c>
      <c r="E7656">
        <v>46.63</v>
      </c>
      <c r="F7656">
        <v>18</v>
      </c>
      <c r="G7656">
        <v>10</v>
      </c>
      <c r="H7656">
        <v>7.6</v>
      </c>
      <c r="I7656">
        <v>1.65</v>
      </c>
      <c r="J7656">
        <v>18</v>
      </c>
      <c r="L7656" t="s">
        <v>2709</v>
      </c>
      <c r="M7656">
        <v>82149090</v>
      </c>
      <c r="O7656" t="s">
        <v>20145</v>
      </c>
      <c r="P7656" t="s">
        <v>19899</v>
      </c>
      <c r="Q7656" t="s">
        <v>19904</v>
      </c>
      <c r="R7656" t="s">
        <v>19905</v>
      </c>
      <c r="S7656" t="s">
        <v>19906</v>
      </c>
      <c r="T7656" t="s">
        <v>19899</v>
      </c>
    </row>
    <row r="7657" spans="2:20" x14ac:dyDescent="0.25">
      <c r="B7657" t="s">
        <v>2709</v>
      </c>
      <c r="C7657">
        <v>82151000</v>
      </c>
      <c r="E7657">
        <v>73</v>
      </c>
      <c r="F7657">
        <v>18</v>
      </c>
      <c r="G7657">
        <v>10</v>
      </c>
      <c r="H7657">
        <v>7.6</v>
      </c>
      <c r="I7657">
        <v>1.65</v>
      </c>
      <c r="J7657">
        <v>18</v>
      </c>
      <c r="L7657" t="s">
        <v>2709</v>
      </c>
      <c r="M7657">
        <v>82151000</v>
      </c>
      <c r="O7657" t="s">
        <v>20146</v>
      </c>
      <c r="P7657" t="s">
        <v>19899</v>
      </c>
      <c r="Q7657" t="s">
        <v>19904</v>
      </c>
      <c r="R7657" t="s">
        <v>19905</v>
      </c>
      <c r="S7657" t="s">
        <v>19906</v>
      </c>
      <c r="T7657" t="s">
        <v>19899</v>
      </c>
    </row>
    <row r="7658" spans="2:20" x14ac:dyDescent="0.25">
      <c r="B7658" t="s">
        <v>2709</v>
      </c>
      <c r="C7658">
        <v>82152000</v>
      </c>
      <c r="E7658">
        <v>73</v>
      </c>
      <c r="F7658">
        <v>18</v>
      </c>
      <c r="G7658">
        <v>10</v>
      </c>
      <c r="H7658">
        <v>7.6</v>
      </c>
      <c r="I7658">
        <v>1.65</v>
      </c>
      <c r="J7658">
        <v>18</v>
      </c>
      <c r="L7658" t="s">
        <v>2709</v>
      </c>
      <c r="M7658">
        <v>82152000</v>
      </c>
      <c r="O7658" t="s">
        <v>20146</v>
      </c>
      <c r="P7658" t="s">
        <v>19899</v>
      </c>
      <c r="Q7658" t="s">
        <v>19904</v>
      </c>
      <c r="R7658" t="s">
        <v>19905</v>
      </c>
      <c r="S7658" t="s">
        <v>19906</v>
      </c>
      <c r="T7658" t="s">
        <v>19899</v>
      </c>
    </row>
    <row r="7659" spans="2:20" x14ac:dyDescent="0.25">
      <c r="B7659" t="s">
        <v>2709</v>
      </c>
      <c r="C7659">
        <v>82159100</v>
      </c>
      <c r="E7659">
        <v>73</v>
      </c>
      <c r="F7659">
        <v>18</v>
      </c>
      <c r="G7659">
        <v>10</v>
      </c>
      <c r="H7659">
        <v>7.6</v>
      </c>
      <c r="I7659">
        <v>1.65</v>
      </c>
      <c r="J7659">
        <v>18</v>
      </c>
      <c r="L7659" t="s">
        <v>2709</v>
      </c>
      <c r="M7659">
        <v>82159100</v>
      </c>
      <c r="O7659" t="s">
        <v>20146</v>
      </c>
      <c r="P7659" t="s">
        <v>19899</v>
      </c>
      <c r="Q7659" t="s">
        <v>19904</v>
      </c>
      <c r="R7659" t="s">
        <v>19905</v>
      </c>
      <c r="S7659" t="s">
        <v>19906</v>
      </c>
      <c r="T7659" t="s">
        <v>19899</v>
      </c>
    </row>
    <row r="7660" spans="2:20" x14ac:dyDescent="0.25">
      <c r="B7660" t="s">
        <v>2709</v>
      </c>
      <c r="C7660">
        <v>82159910</v>
      </c>
      <c r="E7660">
        <v>73</v>
      </c>
      <c r="F7660">
        <v>18</v>
      </c>
      <c r="G7660">
        <v>10</v>
      </c>
      <c r="H7660">
        <v>7.6</v>
      </c>
      <c r="I7660">
        <v>1.65</v>
      </c>
      <c r="J7660">
        <v>18</v>
      </c>
      <c r="L7660" t="s">
        <v>2709</v>
      </c>
      <c r="M7660">
        <v>82159910</v>
      </c>
      <c r="O7660" t="s">
        <v>20146</v>
      </c>
      <c r="P7660" t="s">
        <v>19899</v>
      </c>
      <c r="Q7660" t="s">
        <v>19904</v>
      </c>
      <c r="R7660" t="s">
        <v>19905</v>
      </c>
      <c r="S7660" t="s">
        <v>19906</v>
      </c>
      <c r="T7660" t="s">
        <v>19899</v>
      </c>
    </row>
    <row r="7661" spans="2:20" x14ac:dyDescent="0.25">
      <c r="B7661" t="s">
        <v>2709</v>
      </c>
      <c r="C7661">
        <v>82159990</v>
      </c>
      <c r="E7661">
        <v>73</v>
      </c>
      <c r="F7661">
        <v>18</v>
      </c>
      <c r="G7661">
        <v>10</v>
      </c>
      <c r="H7661">
        <v>7.6</v>
      </c>
      <c r="I7661">
        <v>1.65</v>
      </c>
      <c r="J7661">
        <v>18</v>
      </c>
      <c r="L7661" t="s">
        <v>2709</v>
      </c>
      <c r="M7661">
        <v>82159990</v>
      </c>
      <c r="O7661" t="s">
        <v>20146</v>
      </c>
      <c r="P7661" t="s">
        <v>19899</v>
      </c>
      <c r="Q7661" t="s">
        <v>19904</v>
      </c>
      <c r="R7661" t="s">
        <v>19905</v>
      </c>
      <c r="S7661" t="s">
        <v>19906</v>
      </c>
      <c r="T7661" t="s">
        <v>19899</v>
      </c>
    </row>
    <row r="7662" spans="2:20" x14ac:dyDescent="0.25">
      <c r="B7662" t="s">
        <v>2709</v>
      </c>
      <c r="C7662">
        <v>83011000</v>
      </c>
      <c r="E7662">
        <v>54</v>
      </c>
      <c r="F7662">
        <v>18</v>
      </c>
      <c r="G7662">
        <v>0</v>
      </c>
      <c r="H7662">
        <v>7.6</v>
      </c>
      <c r="I7662">
        <v>1.65</v>
      </c>
      <c r="J7662">
        <v>16</v>
      </c>
      <c r="L7662" t="s">
        <v>2709</v>
      </c>
      <c r="M7662">
        <v>83011000</v>
      </c>
      <c r="O7662" t="s">
        <v>20109</v>
      </c>
      <c r="P7662" t="s">
        <v>19899</v>
      </c>
      <c r="Q7662" t="s">
        <v>19900</v>
      </c>
      <c r="R7662" t="s">
        <v>19905</v>
      </c>
      <c r="S7662" t="s">
        <v>19906</v>
      </c>
      <c r="T7662" t="s">
        <v>19913</v>
      </c>
    </row>
    <row r="7663" spans="2:20" x14ac:dyDescent="0.25">
      <c r="B7663" t="s">
        <v>2709</v>
      </c>
      <c r="C7663">
        <v>83012000</v>
      </c>
      <c r="E7663">
        <v>71.78</v>
      </c>
      <c r="F7663">
        <v>18</v>
      </c>
      <c r="G7663">
        <v>10</v>
      </c>
      <c r="H7663">
        <v>10.8</v>
      </c>
      <c r="I7663">
        <v>2.2999999999999998</v>
      </c>
      <c r="J7663">
        <v>16</v>
      </c>
      <c r="L7663" t="s">
        <v>2709</v>
      </c>
      <c r="M7663">
        <v>83012000</v>
      </c>
      <c r="O7663" t="s">
        <v>20056</v>
      </c>
      <c r="P7663" t="s">
        <v>19899</v>
      </c>
      <c r="Q7663" t="s">
        <v>19904</v>
      </c>
      <c r="R7663" t="s">
        <v>20074</v>
      </c>
      <c r="S7663" t="s">
        <v>20075</v>
      </c>
      <c r="T7663" t="s">
        <v>19913</v>
      </c>
    </row>
    <row r="7664" spans="2:20" x14ac:dyDescent="0.25">
      <c r="B7664" t="s">
        <v>2709</v>
      </c>
      <c r="C7664">
        <v>83013000</v>
      </c>
      <c r="E7664">
        <v>54</v>
      </c>
      <c r="F7664">
        <v>18</v>
      </c>
      <c r="G7664">
        <v>10</v>
      </c>
      <c r="H7664">
        <v>7.6</v>
      </c>
      <c r="I7664">
        <v>1.65</v>
      </c>
      <c r="J7664">
        <v>16</v>
      </c>
      <c r="L7664" t="s">
        <v>2709</v>
      </c>
      <c r="M7664">
        <v>83013000</v>
      </c>
      <c r="O7664" t="s">
        <v>20109</v>
      </c>
      <c r="P7664" t="s">
        <v>19899</v>
      </c>
      <c r="Q7664" t="s">
        <v>19904</v>
      </c>
      <c r="R7664" t="s">
        <v>19905</v>
      </c>
      <c r="S7664" t="s">
        <v>19906</v>
      </c>
      <c r="T7664" t="s">
        <v>19913</v>
      </c>
    </row>
    <row r="7665" spans="2:20" x14ac:dyDescent="0.25">
      <c r="B7665" t="s">
        <v>2709</v>
      </c>
      <c r="C7665">
        <v>83014000</v>
      </c>
      <c r="E7665">
        <v>54</v>
      </c>
      <c r="F7665">
        <v>18</v>
      </c>
      <c r="G7665">
        <v>0</v>
      </c>
      <c r="H7665">
        <v>7.6</v>
      </c>
      <c r="I7665">
        <v>1.65</v>
      </c>
      <c r="J7665">
        <v>16</v>
      </c>
      <c r="L7665" t="s">
        <v>2709</v>
      </c>
      <c r="M7665">
        <v>83014000</v>
      </c>
      <c r="O7665" t="s">
        <v>20109</v>
      </c>
      <c r="P7665" t="s">
        <v>19899</v>
      </c>
      <c r="Q7665" t="s">
        <v>19900</v>
      </c>
      <c r="R7665" t="s">
        <v>19905</v>
      </c>
      <c r="S7665" t="s">
        <v>19906</v>
      </c>
      <c r="T7665" t="s">
        <v>19913</v>
      </c>
    </row>
    <row r="7666" spans="2:20" x14ac:dyDescent="0.25">
      <c r="B7666" t="s">
        <v>2709</v>
      </c>
      <c r="C7666">
        <v>83015000</v>
      </c>
      <c r="E7666">
        <v>54</v>
      </c>
      <c r="F7666">
        <v>18</v>
      </c>
      <c r="G7666">
        <v>10</v>
      </c>
      <c r="H7666">
        <v>7.6</v>
      </c>
      <c r="I7666">
        <v>1.65</v>
      </c>
      <c r="J7666">
        <v>16</v>
      </c>
      <c r="L7666" t="s">
        <v>2709</v>
      </c>
      <c r="M7666">
        <v>83015000</v>
      </c>
      <c r="O7666" t="s">
        <v>20109</v>
      </c>
      <c r="P7666" t="s">
        <v>19899</v>
      </c>
      <c r="Q7666" t="s">
        <v>19904</v>
      </c>
      <c r="R7666" t="s">
        <v>19905</v>
      </c>
      <c r="S7666" t="s">
        <v>19906</v>
      </c>
      <c r="T7666" t="s">
        <v>19913</v>
      </c>
    </row>
    <row r="7667" spans="2:20" x14ac:dyDescent="0.25">
      <c r="B7667" t="s">
        <v>2709</v>
      </c>
      <c r="C7667">
        <v>83016000</v>
      </c>
      <c r="E7667">
        <v>71.78</v>
      </c>
      <c r="F7667">
        <v>18</v>
      </c>
      <c r="G7667">
        <v>0</v>
      </c>
      <c r="H7667">
        <v>7.6</v>
      </c>
      <c r="I7667">
        <v>1.65</v>
      </c>
      <c r="J7667">
        <v>16</v>
      </c>
      <c r="L7667" t="s">
        <v>2709</v>
      </c>
      <c r="M7667">
        <v>83016000</v>
      </c>
      <c r="O7667" t="s">
        <v>20056</v>
      </c>
      <c r="P7667" t="s">
        <v>19899</v>
      </c>
      <c r="Q7667" t="s">
        <v>19900</v>
      </c>
      <c r="R7667" t="s">
        <v>19905</v>
      </c>
      <c r="S7667" t="s">
        <v>19906</v>
      </c>
      <c r="T7667" t="s">
        <v>19913</v>
      </c>
    </row>
    <row r="7668" spans="2:20" x14ac:dyDescent="0.25">
      <c r="B7668" t="s">
        <v>2709</v>
      </c>
      <c r="C7668">
        <v>83017000</v>
      </c>
      <c r="E7668">
        <v>71.78</v>
      </c>
      <c r="F7668">
        <v>18</v>
      </c>
      <c r="G7668">
        <v>0</v>
      </c>
      <c r="H7668">
        <v>7.6</v>
      </c>
      <c r="I7668">
        <v>1.65</v>
      </c>
      <c r="J7668">
        <v>16</v>
      </c>
      <c r="L7668" t="s">
        <v>2709</v>
      </c>
      <c r="M7668">
        <v>83017000</v>
      </c>
      <c r="O7668" t="s">
        <v>20056</v>
      </c>
      <c r="P7668" t="s">
        <v>19899</v>
      </c>
      <c r="Q7668" t="s">
        <v>19900</v>
      </c>
      <c r="R7668" t="s">
        <v>19905</v>
      </c>
      <c r="S7668" t="s">
        <v>19906</v>
      </c>
      <c r="T7668" t="s">
        <v>19913</v>
      </c>
    </row>
    <row r="7669" spans="2:20" x14ac:dyDescent="0.25">
      <c r="B7669" t="s">
        <v>2709</v>
      </c>
      <c r="C7669">
        <v>83021000</v>
      </c>
      <c r="E7669">
        <v>71.78</v>
      </c>
      <c r="F7669">
        <v>18</v>
      </c>
      <c r="G7669">
        <v>0</v>
      </c>
      <c r="H7669">
        <v>7.6</v>
      </c>
      <c r="I7669">
        <v>1.65</v>
      </c>
      <c r="J7669">
        <v>16</v>
      </c>
      <c r="L7669" t="s">
        <v>2709</v>
      </c>
      <c r="M7669">
        <v>83021000</v>
      </c>
      <c r="O7669" t="s">
        <v>20056</v>
      </c>
      <c r="P7669" t="s">
        <v>19899</v>
      </c>
      <c r="Q7669" t="s">
        <v>19900</v>
      </c>
      <c r="R7669" t="s">
        <v>19905</v>
      </c>
      <c r="S7669" t="s">
        <v>19906</v>
      </c>
      <c r="T7669" t="s">
        <v>19913</v>
      </c>
    </row>
    <row r="7670" spans="2:20" x14ac:dyDescent="0.25">
      <c r="B7670" t="s">
        <v>2709</v>
      </c>
      <c r="C7670">
        <v>83022000</v>
      </c>
      <c r="E7670">
        <v>71.78</v>
      </c>
      <c r="F7670">
        <v>18</v>
      </c>
      <c r="G7670">
        <v>10</v>
      </c>
      <c r="H7670">
        <v>7.6</v>
      </c>
      <c r="I7670">
        <v>1.65</v>
      </c>
      <c r="J7670">
        <v>16</v>
      </c>
      <c r="L7670" t="s">
        <v>2709</v>
      </c>
      <c r="M7670">
        <v>83022000</v>
      </c>
      <c r="O7670" t="s">
        <v>20056</v>
      </c>
      <c r="P7670" t="s">
        <v>19899</v>
      </c>
      <c r="Q7670" t="s">
        <v>19904</v>
      </c>
      <c r="R7670" t="s">
        <v>19905</v>
      </c>
      <c r="S7670" t="s">
        <v>19906</v>
      </c>
      <c r="T7670" t="s">
        <v>19913</v>
      </c>
    </row>
    <row r="7671" spans="2:20" x14ac:dyDescent="0.25">
      <c r="B7671" t="s">
        <v>2709</v>
      </c>
      <c r="C7671">
        <v>83023000</v>
      </c>
      <c r="E7671">
        <v>71.78</v>
      </c>
      <c r="F7671">
        <v>18</v>
      </c>
      <c r="G7671">
        <v>10</v>
      </c>
      <c r="H7671">
        <v>10.8</v>
      </c>
      <c r="I7671">
        <v>2.2999999999999998</v>
      </c>
      <c r="J7671">
        <v>16</v>
      </c>
      <c r="L7671" t="s">
        <v>2709</v>
      </c>
      <c r="M7671">
        <v>83023000</v>
      </c>
      <c r="O7671" t="s">
        <v>20056</v>
      </c>
      <c r="P7671" t="s">
        <v>19899</v>
      </c>
      <c r="Q7671" t="s">
        <v>19904</v>
      </c>
      <c r="R7671" t="s">
        <v>20074</v>
      </c>
      <c r="S7671" t="s">
        <v>20075</v>
      </c>
      <c r="T7671" t="s">
        <v>19913</v>
      </c>
    </row>
    <row r="7672" spans="2:20" x14ac:dyDescent="0.25">
      <c r="B7672" t="s">
        <v>2709</v>
      </c>
      <c r="C7672">
        <v>83024100</v>
      </c>
      <c r="E7672">
        <v>47</v>
      </c>
      <c r="F7672">
        <v>18</v>
      </c>
      <c r="G7672">
        <v>5</v>
      </c>
      <c r="H7672">
        <v>7.6</v>
      </c>
      <c r="I7672">
        <v>1.65</v>
      </c>
      <c r="J7672">
        <v>16</v>
      </c>
      <c r="L7672" t="s">
        <v>2709</v>
      </c>
      <c r="M7672">
        <v>83024100</v>
      </c>
      <c r="O7672" t="s">
        <v>20144</v>
      </c>
      <c r="P7672" t="s">
        <v>19899</v>
      </c>
      <c r="Q7672" t="s">
        <v>19909</v>
      </c>
      <c r="R7672" t="s">
        <v>19905</v>
      </c>
      <c r="S7672" t="s">
        <v>19906</v>
      </c>
      <c r="T7672" t="s">
        <v>19913</v>
      </c>
    </row>
    <row r="7673" spans="2:20" x14ac:dyDescent="0.25">
      <c r="B7673" t="s">
        <v>2709</v>
      </c>
      <c r="C7673">
        <v>83024200</v>
      </c>
      <c r="E7673">
        <v>47</v>
      </c>
      <c r="F7673">
        <v>18</v>
      </c>
      <c r="G7673">
        <v>10</v>
      </c>
      <c r="H7673">
        <v>7.6</v>
      </c>
      <c r="I7673">
        <v>1.65</v>
      </c>
      <c r="J7673">
        <v>16</v>
      </c>
      <c r="L7673" t="s">
        <v>2709</v>
      </c>
      <c r="M7673">
        <v>83024200</v>
      </c>
      <c r="O7673" t="s">
        <v>20144</v>
      </c>
      <c r="P7673" t="s">
        <v>19899</v>
      </c>
      <c r="Q7673" t="s">
        <v>19904</v>
      </c>
      <c r="R7673" t="s">
        <v>19905</v>
      </c>
      <c r="S7673" t="s">
        <v>19906</v>
      </c>
      <c r="T7673" t="s">
        <v>19913</v>
      </c>
    </row>
    <row r="7674" spans="2:20" x14ac:dyDescent="0.25">
      <c r="B7674" t="s">
        <v>2709</v>
      </c>
      <c r="C7674">
        <v>83024900</v>
      </c>
      <c r="E7674">
        <v>47</v>
      </c>
      <c r="F7674">
        <v>18</v>
      </c>
      <c r="G7674">
        <v>10</v>
      </c>
      <c r="H7674">
        <v>7.6</v>
      </c>
      <c r="I7674">
        <v>1.65</v>
      </c>
      <c r="J7674">
        <v>16</v>
      </c>
      <c r="L7674" t="s">
        <v>2709</v>
      </c>
      <c r="M7674">
        <v>83024900</v>
      </c>
      <c r="O7674" t="s">
        <v>20144</v>
      </c>
      <c r="P7674" t="s">
        <v>19899</v>
      </c>
      <c r="Q7674" t="s">
        <v>19904</v>
      </c>
      <c r="R7674" t="s">
        <v>19905</v>
      </c>
      <c r="S7674" t="s">
        <v>19906</v>
      </c>
      <c r="T7674" t="s">
        <v>19913</v>
      </c>
    </row>
    <row r="7675" spans="2:20" x14ac:dyDescent="0.25">
      <c r="B7675" t="s">
        <v>2709</v>
      </c>
      <c r="C7675">
        <v>83025000</v>
      </c>
      <c r="E7675">
        <v>51</v>
      </c>
      <c r="F7675">
        <v>18</v>
      </c>
      <c r="G7675">
        <v>10</v>
      </c>
      <c r="H7675">
        <v>7.6</v>
      </c>
      <c r="I7675">
        <v>1.65</v>
      </c>
      <c r="J7675">
        <v>16</v>
      </c>
      <c r="L7675" t="s">
        <v>2709</v>
      </c>
      <c r="M7675">
        <v>83025000</v>
      </c>
      <c r="O7675" t="s">
        <v>20136</v>
      </c>
      <c r="P7675" t="s">
        <v>19899</v>
      </c>
      <c r="Q7675" t="s">
        <v>19904</v>
      </c>
      <c r="R7675" t="s">
        <v>19905</v>
      </c>
      <c r="S7675" t="s">
        <v>19906</v>
      </c>
      <c r="T7675" t="s">
        <v>19913</v>
      </c>
    </row>
    <row r="7676" spans="2:20" x14ac:dyDescent="0.25">
      <c r="B7676" t="s">
        <v>2709</v>
      </c>
      <c r="C7676">
        <v>83026000</v>
      </c>
      <c r="E7676">
        <v>71.78</v>
      </c>
      <c r="F7676">
        <v>18</v>
      </c>
      <c r="G7676">
        <v>10</v>
      </c>
      <c r="H7676">
        <v>7.6</v>
      </c>
      <c r="I7676">
        <v>1.65</v>
      </c>
      <c r="J7676">
        <v>16</v>
      </c>
      <c r="L7676" t="s">
        <v>2709</v>
      </c>
      <c r="M7676">
        <v>83026000</v>
      </c>
      <c r="O7676" t="s">
        <v>20056</v>
      </c>
      <c r="P7676" t="s">
        <v>19899</v>
      </c>
      <c r="Q7676" t="s">
        <v>19904</v>
      </c>
      <c r="R7676" t="s">
        <v>19905</v>
      </c>
      <c r="S7676" t="s">
        <v>19906</v>
      </c>
      <c r="T7676" t="s">
        <v>19913</v>
      </c>
    </row>
    <row r="7677" spans="2:20" x14ac:dyDescent="0.25">
      <c r="B7677" t="s">
        <v>2709</v>
      </c>
      <c r="C7677">
        <v>83030000</v>
      </c>
      <c r="E7677">
        <v>71.78</v>
      </c>
      <c r="F7677">
        <v>18</v>
      </c>
      <c r="G7677">
        <v>15</v>
      </c>
      <c r="H7677">
        <v>7.6</v>
      </c>
      <c r="I7677">
        <v>1.65</v>
      </c>
      <c r="J7677">
        <v>16</v>
      </c>
      <c r="L7677" t="s">
        <v>2709</v>
      </c>
      <c r="M7677">
        <v>83030000</v>
      </c>
      <c r="O7677" t="s">
        <v>20056</v>
      </c>
      <c r="P7677" t="s">
        <v>19899</v>
      </c>
      <c r="Q7677" t="s">
        <v>19983</v>
      </c>
      <c r="R7677" t="s">
        <v>19905</v>
      </c>
      <c r="S7677" t="s">
        <v>19906</v>
      </c>
      <c r="T7677" t="s">
        <v>19913</v>
      </c>
    </row>
    <row r="7678" spans="2:20" x14ac:dyDescent="0.25">
      <c r="B7678" t="s">
        <v>2709</v>
      </c>
      <c r="C7678">
        <v>83040000</v>
      </c>
      <c r="E7678">
        <v>112.46</v>
      </c>
      <c r="F7678">
        <v>18</v>
      </c>
      <c r="G7678">
        <v>10</v>
      </c>
      <c r="H7678">
        <v>7.6</v>
      </c>
      <c r="I7678">
        <v>1.65</v>
      </c>
      <c r="J7678">
        <v>16</v>
      </c>
      <c r="L7678" t="s">
        <v>2709</v>
      </c>
      <c r="M7678">
        <v>83040000</v>
      </c>
      <c r="O7678" t="s">
        <v>20055</v>
      </c>
      <c r="P7678" t="s">
        <v>19899</v>
      </c>
      <c r="Q7678" t="s">
        <v>19904</v>
      </c>
      <c r="R7678" t="s">
        <v>19905</v>
      </c>
      <c r="S7678" t="s">
        <v>19906</v>
      </c>
      <c r="T7678" t="s">
        <v>19913</v>
      </c>
    </row>
    <row r="7679" spans="2:20" x14ac:dyDescent="0.25">
      <c r="B7679" t="s">
        <v>2709</v>
      </c>
      <c r="C7679">
        <v>83051000</v>
      </c>
      <c r="E7679">
        <v>71.78</v>
      </c>
      <c r="F7679">
        <v>18</v>
      </c>
      <c r="G7679">
        <v>10</v>
      </c>
      <c r="H7679">
        <v>7.6</v>
      </c>
      <c r="I7679">
        <v>1.65</v>
      </c>
      <c r="J7679">
        <v>16</v>
      </c>
      <c r="L7679" t="s">
        <v>2709</v>
      </c>
      <c r="M7679">
        <v>83051000</v>
      </c>
      <c r="O7679" t="s">
        <v>20056</v>
      </c>
      <c r="P7679" t="s">
        <v>19899</v>
      </c>
      <c r="Q7679" t="s">
        <v>19904</v>
      </c>
      <c r="R7679" t="s">
        <v>19905</v>
      </c>
      <c r="S7679" t="s">
        <v>19906</v>
      </c>
      <c r="T7679" t="s">
        <v>19913</v>
      </c>
    </row>
    <row r="7680" spans="2:20" x14ac:dyDescent="0.25">
      <c r="B7680" t="s">
        <v>2709</v>
      </c>
      <c r="C7680">
        <v>83052000</v>
      </c>
      <c r="E7680">
        <v>71.78</v>
      </c>
      <c r="F7680">
        <v>18</v>
      </c>
      <c r="G7680">
        <v>10</v>
      </c>
      <c r="H7680">
        <v>7.6</v>
      </c>
      <c r="I7680">
        <v>1.65</v>
      </c>
      <c r="J7680">
        <v>16</v>
      </c>
      <c r="L7680" t="s">
        <v>2709</v>
      </c>
      <c r="M7680">
        <v>83052000</v>
      </c>
      <c r="O7680" t="s">
        <v>20056</v>
      </c>
      <c r="P7680" t="s">
        <v>19899</v>
      </c>
      <c r="Q7680" t="s">
        <v>19904</v>
      </c>
      <c r="R7680" t="s">
        <v>19905</v>
      </c>
      <c r="S7680" t="s">
        <v>19906</v>
      </c>
      <c r="T7680" t="s">
        <v>19913</v>
      </c>
    </row>
    <row r="7681" spans="2:20" x14ac:dyDescent="0.25">
      <c r="B7681" t="s">
        <v>2709</v>
      </c>
      <c r="C7681">
        <v>83059000</v>
      </c>
      <c r="E7681">
        <v>71.78</v>
      </c>
      <c r="F7681">
        <v>18</v>
      </c>
      <c r="G7681">
        <v>10</v>
      </c>
      <c r="H7681">
        <v>7.6</v>
      </c>
      <c r="I7681">
        <v>1.65</v>
      </c>
      <c r="J7681">
        <v>16</v>
      </c>
      <c r="L7681" t="s">
        <v>2709</v>
      </c>
      <c r="M7681">
        <v>83059000</v>
      </c>
      <c r="O7681" t="s">
        <v>20056</v>
      </c>
      <c r="P7681" t="s">
        <v>19899</v>
      </c>
      <c r="Q7681" t="s">
        <v>19904</v>
      </c>
      <c r="R7681" t="s">
        <v>19905</v>
      </c>
      <c r="S7681" t="s">
        <v>19906</v>
      </c>
      <c r="T7681" t="s">
        <v>19913</v>
      </c>
    </row>
    <row r="7682" spans="2:20" x14ac:dyDescent="0.25">
      <c r="B7682" t="s">
        <v>2709</v>
      </c>
      <c r="C7682">
        <v>83061000</v>
      </c>
      <c r="E7682">
        <v>71.78</v>
      </c>
      <c r="F7682">
        <v>18</v>
      </c>
      <c r="G7682">
        <v>12</v>
      </c>
      <c r="H7682">
        <v>7.6</v>
      </c>
      <c r="I7682">
        <v>1.65</v>
      </c>
      <c r="J7682">
        <v>16</v>
      </c>
      <c r="L7682" t="s">
        <v>2709</v>
      </c>
      <c r="M7682">
        <v>83061000</v>
      </c>
      <c r="O7682" t="s">
        <v>20056</v>
      </c>
      <c r="P7682" t="s">
        <v>19899</v>
      </c>
      <c r="Q7682" t="s">
        <v>19903</v>
      </c>
      <c r="R7682" t="s">
        <v>19905</v>
      </c>
      <c r="S7682" t="s">
        <v>19906</v>
      </c>
      <c r="T7682" t="s">
        <v>19913</v>
      </c>
    </row>
    <row r="7683" spans="2:20" x14ac:dyDescent="0.25">
      <c r="B7683" t="s">
        <v>2709</v>
      </c>
      <c r="C7683">
        <v>83061000</v>
      </c>
      <c r="D7683">
        <v>1</v>
      </c>
      <c r="E7683" t="s">
        <v>19447</v>
      </c>
      <c r="F7683">
        <v>18</v>
      </c>
      <c r="G7683">
        <v>0</v>
      </c>
      <c r="H7683">
        <v>7.6</v>
      </c>
      <c r="I7683">
        <v>1.65</v>
      </c>
      <c r="J7683">
        <v>16</v>
      </c>
      <c r="L7683" t="s">
        <v>2709</v>
      </c>
      <c r="M7683">
        <v>83061000</v>
      </c>
      <c r="N7683">
        <v>1</v>
      </c>
      <c r="O7683" t="s">
        <v>19447</v>
      </c>
      <c r="P7683" t="s">
        <v>19899</v>
      </c>
      <c r="Q7683" t="s">
        <v>19900</v>
      </c>
      <c r="R7683" t="s">
        <v>19905</v>
      </c>
      <c r="S7683" t="s">
        <v>19906</v>
      </c>
      <c r="T7683" t="s">
        <v>19913</v>
      </c>
    </row>
    <row r="7684" spans="2:20" x14ac:dyDescent="0.25">
      <c r="B7684" t="s">
        <v>2709</v>
      </c>
      <c r="C7684">
        <v>83062100</v>
      </c>
      <c r="E7684">
        <v>71.78</v>
      </c>
      <c r="F7684">
        <v>18</v>
      </c>
      <c r="G7684">
        <v>15</v>
      </c>
      <c r="H7684">
        <v>7.6</v>
      </c>
      <c r="I7684">
        <v>1.65</v>
      </c>
      <c r="J7684">
        <v>16</v>
      </c>
      <c r="L7684" t="s">
        <v>2709</v>
      </c>
      <c r="M7684">
        <v>83062100</v>
      </c>
      <c r="O7684" t="s">
        <v>20056</v>
      </c>
      <c r="P7684" t="s">
        <v>19899</v>
      </c>
      <c r="Q7684" t="s">
        <v>19983</v>
      </c>
      <c r="R7684" t="s">
        <v>19905</v>
      </c>
      <c r="S7684" t="s">
        <v>19906</v>
      </c>
      <c r="T7684" t="s">
        <v>19913</v>
      </c>
    </row>
    <row r="7685" spans="2:20" x14ac:dyDescent="0.25">
      <c r="B7685" t="s">
        <v>2709</v>
      </c>
      <c r="C7685">
        <v>83062900</v>
      </c>
      <c r="E7685">
        <v>71.78</v>
      </c>
      <c r="F7685">
        <v>18</v>
      </c>
      <c r="G7685">
        <v>15</v>
      </c>
      <c r="H7685">
        <v>7.6</v>
      </c>
      <c r="I7685">
        <v>1.65</v>
      </c>
      <c r="J7685">
        <v>16</v>
      </c>
      <c r="L7685" t="s">
        <v>2709</v>
      </c>
      <c r="M7685">
        <v>83062900</v>
      </c>
      <c r="O7685" t="s">
        <v>20056</v>
      </c>
      <c r="P7685" t="s">
        <v>19899</v>
      </c>
      <c r="Q7685" t="s">
        <v>19983</v>
      </c>
      <c r="R7685" t="s">
        <v>19905</v>
      </c>
      <c r="S7685" t="s">
        <v>19906</v>
      </c>
      <c r="T7685" t="s">
        <v>19913</v>
      </c>
    </row>
    <row r="7686" spans="2:20" x14ac:dyDescent="0.25">
      <c r="B7686" t="s">
        <v>2709</v>
      </c>
      <c r="C7686">
        <v>83063000</v>
      </c>
      <c r="E7686">
        <v>71.78</v>
      </c>
      <c r="F7686">
        <v>18</v>
      </c>
      <c r="G7686">
        <v>12</v>
      </c>
      <c r="H7686">
        <v>7.6</v>
      </c>
      <c r="I7686">
        <v>1.65</v>
      </c>
      <c r="J7686">
        <v>16</v>
      </c>
      <c r="L7686" t="s">
        <v>2709</v>
      </c>
      <c r="M7686">
        <v>83063000</v>
      </c>
      <c r="O7686" t="s">
        <v>20056</v>
      </c>
      <c r="P7686" t="s">
        <v>19899</v>
      </c>
      <c r="Q7686" t="s">
        <v>19903</v>
      </c>
      <c r="R7686" t="s">
        <v>19905</v>
      </c>
      <c r="S7686" t="s">
        <v>19906</v>
      </c>
      <c r="T7686" t="s">
        <v>19913</v>
      </c>
    </row>
    <row r="7687" spans="2:20" x14ac:dyDescent="0.25">
      <c r="B7687" t="s">
        <v>2709</v>
      </c>
      <c r="C7687">
        <v>83071010</v>
      </c>
      <c r="E7687">
        <v>62</v>
      </c>
      <c r="F7687">
        <v>18</v>
      </c>
      <c r="G7687">
        <v>5</v>
      </c>
      <c r="H7687">
        <v>7.6</v>
      </c>
      <c r="I7687">
        <v>1.65</v>
      </c>
      <c r="J7687">
        <v>2</v>
      </c>
      <c r="L7687" t="s">
        <v>2709</v>
      </c>
      <c r="M7687">
        <v>83071010</v>
      </c>
      <c r="O7687" t="s">
        <v>20139</v>
      </c>
      <c r="P7687" t="s">
        <v>19899</v>
      </c>
      <c r="Q7687" t="s">
        <v>19909</v>
      </c>
      <c r="R7687" t="s">
        <v>19905</v>
      </c>
      <c r="S7687" t="s">
        <v>19906</v>
      </c>
      <c r="T7687" t="s">
        <v>19901</v>
      </c>
    </row>
    <row r="7688" spans="2:20" x14ac:dyDescent="0.25">
      <c r="B7688" t="s">
        <v>2709</v>
      </c>
      <c r="C7688">
        <v>83071090</v>
      </c>
      <c r="E7688">
        <v>62</v>
      </c>
      <c r="F7688">
        <v>18</v>
      </c>
      <c r="G7688">
        <v>5</v>
      </c>
      <c r="H7688">
        <v>7.6</v>
      </c>
      <c r="I7688">
        <v>1.65</v>
      </c>
      <c r="J7688">
        <v>16</v>
      </c>
      <c r="L7688" t="s">
        <v>2709</v>
      </c>
      <c r="M7688">
        <v>83071090</v>
      </c>
      <c r="O7688" t="s">
        <v>20139</v>
      </c>
      <c r="P7688" t="s">
        <v>19899</v>
      </c>
      <c r="Q7688" t="s">
        <v>19909</v>
      </c>
      <c r="R7688" t="s">
        <v>19905</v>
      </c>
      <c r="S7688" t="s">
        <v>19906</v>
      </c>
      <c r="T7688" t="s">
        <v>19913</v>
      </c>
    </row>
    <row r="7689" spans="2:20" x14ac:dyDescent="0.25">
      <c r="B7689" t="s">
        <v>2709</v>
      </c>
      <c r="C7689">
        <v>83079000</v>
      </c>
      <c r="E7689">
        <v>62</v>
      </c>
      <c r="F7689">
        <v>18</v>
      </c>
      <c r="G7689">
        <v>5</v>
      </c>
      <c r="H7689">
        <v>7.6</v>
      </c>
      <c r="I7689">
        <v>1.65</v>
      </c>
      <c r="J7689">
        <v>16</v>
      </c>
      <c r="L7689" t="s">
        <v>2709</v>
      </c>
      <c r="M7689">
        <v>83079000</v>
      </c>
      <c r="O7689" t="s">
        <v>20139</v>
      </c>
      <c r="P7689" t="s">
        <v>19899</v>
      </c>
      <c r="Q7689" t="s">
        <v>19909</v>
      </c>
      <c r="R7689" t="s">
        <v>19905</v>
      </c>
      <c r="S7689" t="s">
        <v>19906</v>
      </c>
      <c r="T7689" t="s">
        <v>19913</v>
      </c>
    </row>
    <row r="7690" spans="2:20" x14ac:dyDescent="0.25">
      <c r="B7690" t="s">
        <v>2709</v>
      </c>
      <c r="C7690">
        <v>83081000</v>
      </c>
      <c r="E7690">
        <v>71.78</v>
      </c>
      <c r="F7690">
        <v>18</v>
      </c>
      <c r="G7690">
        <v>0</v>
      </c>
      <c r="H7690">
        <v>7.6</v>
      </c>
      <c r="I7690">
        <v>1.65</v>
      </c>
      <c r="J7690">
        <v>16</v>
      </c>
      <c r="L7690" t="s">
        <v>2709</v>
      </c>
      <c r="M7690">
        <v>83081000</v>
      </c>
      <c r="O7690" t="s">
        <v>20056</v>
      </c>
      <c r="P7690" t="s">
        <v>19899</v>
      </c>
      <c r="Q7690" t="s">
        <v>19900</v>
      </c>
      <c r="R7690" t="s">
        <v>19905</v>
      </c>
      <c r="S7690" t="s">
        <v>19906</v>
      </c>
      <c r="T7690" t="s">
        <v>19913</v>
      </c>
    </row>
    <row r="7691" spans="2:20" x14ac:dyDescent="0.25">
      <c r="B7691" t="s">
        <v>2709</v>
      </c>
      <c r="C7691">
        <v>83082000</v>
      </c>
      <c r="E7691">
        <v>71.78</v>
      </c>
      <c r="F7691">
        <v>18</v>
      </c>
      <c r="G7691">
        <v>10</v>
      </c>
      <c r="H7691">
        <v>7.6</v>
      </c>
      <c r="I7691">
        <v>1.65</v>
      </c>
      <c r="J7691">
        <v>16</v>
      </c>
      <c r="L7691" t="s">
        <v>2709</v>
      </c>
      <c r="M7691">
        <v>83082000</v>
      </c>
      <c r="O7691" t="s">
        <v>20056</v>
      </c>
      <c r="P7691" t="s">
        <v>19899</v>
      </c>
      <c r="Q7691" t="s">
        <v>19904</v>
      </c>
      <c r="R7691" t="s">
        <v>19905</v>
      </c>
      <c r="S7691" t="s">
        <v>19906</v>
      </c>
      <c r="T7691" t="s">
        <v>19913</v>
      </c>
    </row>
    <row r="7692" spans="2:20" x14ac:dyDescent="0.25">
      <c r="B7692" t="s">
        <v>2709</v>
      </c>
      <c r="C7692">
        <v>83089010</v>
      </c>
      <c r="E7692">
        <v>71.78</v>
      </c>
      <c r="F7692">
        <v>18</v>
      </c>
      <c r="G7692">
        <v>0</v>
      </c>
      <c r="H7692">
        <v>7.6</v>
      </c>
      <c r="I7692">
        <v>1.65</v>
      </c>
      <c r="J7692">
        <v>16</v>
      </c>
      <c r="L7692" t="s">
        <v>2709</v>
      </c>
      <c r="M7692">
        <v>83089010</v>
      </c>
      <c r="O7692" t="s">
        <v>20056</v>
      </c>
      <c r="P7692" t="s">
        <v>19899</v>
      </c>
      <c r="Q7692" t="s">
        <v>19900</v>
      </c>
      <c r="R7692" t="s">
        <v>19905</v>
      </c>
      <c r="S7692" t="s">
        <v>19906</v>
      </c>
      <c r="T7692" t="s">
        <v>19913</v>
      </c>
    </row>
    <row r="7693" spans="2:20" x14ac:dyDescent="0.25">
      <c r="B7693" t="s">
        <v>2709</v>
      </c>
      <c r="C7693">
        <v>83089020</v>
      </c>
      <c r="E7693">
        <v>71.78</v>
      </c>
      <c r="F7693">
        <v>18</v>
      </c>
      <c r="G7693">
        <v>12</v>
      </c>
      <c r="H7693">
        <v>7.6</v>
      </c>
      <c r="I7693">
        <v>1.65</v>
      </c>
      <c r="J7693">
        <v>16</v>
      </c>
      <c r="L7693" t="s">
        <v>2709</v>
      </c>
      <c r="M7693">
        <v>83089020</v>
      </c>
      <c r="O7693" t="s">
        <v>20056</v>
      </c>
      <c r="P7693" t="s">
        <v>19899</v>
      </c>
      <c r="Q7693" t="s">
        <v>19903</v>
      </c>
      <c r="R7693" t="s">
        <v>19905</v>
      </c>
      <c r="S7693" t="s">
        <v>19906</v>
      </c>
      <c r="T7693" t="s">
        <v>19913</v>
      </c>
    </row>
    <row r="7694" spans="2:20" x14ac:dyDescent="0.25">
      <c r="B7694" t="s">
        <v>2709</v>
      </c>
      <c r="C7694">
        <v>83089090</v>
      </c>
      <c r="E7694">
        <v>71.78</v>
      </c>
      <c r="F7694">
        <v>18</v>
      </c>
      <c r="G7694">
        <v>10</v>
      </c>
      <c r="H7694">
        <v>7.6</v>
      </c>
      <c r="I7694">
        <v>1.65</v>
      </c>
      <c r="J7694">
        <v>16</v>
      </c>
      <c r="L7694" t="s">
        <v>2709</v>
      </c>
      <c r="M7694">
        <v>83089090</v>
      </c>
      <c r="O7694" t="s">
        <v>20056</v>
      </c>
      <c r="P7694" t="s">
        <v>19899</v>
      </c>
      <c r="Q7694" t="s">
        <v>19904</v>
      </c>
      <c r="R7694" t="s">
        <v>19905</v>
      </c>
      <c r="S7694" t="s">
        <v>19906</v>
      </c>
      <c r="T7694" t="s">
        <v>19913</v>
      </c>
    </row>
    <row r="7695" spans="2:20" x14ac:dyDescent="0.25">
      <c r="B7695" t="s">
        <v>2709</v>
      </c>
      <c r="C7695">
        <v>83089090</v>
      </c>
      <c r="D7695">
        <v>1</v>
      </c>
      <c r="E7695" t="s">
        <v>19447</v>
      </c>
      <c r="F7695">
        <v>18</v>
      </c>
      <c r="G7695">
        <v>0</v>
      </c>
      <c r="H7695">
        <v>7.6</v>
      </c>
      <c r="I7695">
        <v>1.65</v>
      </c>
      <c r="J7695">
        <v>16</v>
      </c>
      <c r="L7695" t="s">
        <v>2709</v>
      </c>
      <c r="M7695">
        <v>83089090</v>
      </c>
      <c r="N7695">
        <v>1</v>
      </c>
      <c r="O7695" t="s">
        <v>19447</v>
      </c>
      <c r="P7695" t="s">
        <v>19899</v>
      </c>
      <c r="Q7695" t="s">
        <v>19900</v>
      </c>
      <c r="R7695" t="s">
        <v>19905</v>
      </c>
      <c r="S7695" t="s">
        <v>19906</v>
      </c>
      <c r="T7695" t="s">
        <v>19913</v>
      </c>
    </row>
    <row r="7696" spans="2:20" x14ac:dyDescent="0.25">
      <c r="B7696" t="s">
        <v>2709</v>
      </c>
      <c r="C7696">
        <v>83091000</v>
      </c>
      <c r="E7696">
        <v>71.78</v>
      </c>
      <c r="F7696">
        <v>18</v>
      </c>
      <c r="G7696">
        <v>0</v>
      </c>
      <c r="H7696">
        <v>7.6</v>
      </c>
      <c r="I7696">
        <v>1.65</v>
      </c>
      <c r="J7696">
        <v>16</v>
      </c>
      <c r="L7696" t="s">
        <v>2709</v>
      </c>
      <c r="M7696">
        <v>83091000</v>
      </c>
      <c r="O7696" t="s">
        <v>20056</v>
      </c>
      <c r="P7696" t="s">
        <v>19899</v>
      </c>
      <c r="Q7696" t="s">
        <v>19900</v>
      </c>
      <c r="R7696" t="s">
        <v>19905</v>
      </c>
      <c r="S7696" t="s">
        <v>19906</v>
      </c>
      <c r="T7696" t="s">
        <v>19913</v>
      </c>
    </row>
    <row r="7697" spans="2:20" x14ac:dyDescent="0.25">
      <c r="B7697" t="s">
        <v>2709</v>
      </c>
      <c r="C7697">
        <v>83099000</v>
      </c>
      <c r="E7697">
        <v>71.78</v>
      </c>
      <c r="F7697">
        <v>18</v>
      </c>
      <c r="G7697">
        <v>0</v>
      </c>
      <c r="H7697">
        <v>7.6</v>
      </c>
      <c r="I7697">
        <v>1.65</v>
      </c>
      <c r="J7697">
        <v>16</v>
      </c>
      <c r="L7697" t="s">
        <v>2709</v>
      </c>
      <c r="M7697">
        <v>83099000</v>
      </c>
      <c r="O7697" t="s">
        <v>20056</v>
      </c>
      <c r="P7697" t="s">
        <v>19899</v>
      </c>
      <c r="Q7697" t="s">
        <v>19900</v>
      </c>
      <c r="R7697" t="s">
        <v>19905</v>
      </c>
      <c r="S7697" t="s">
        <v>19906</v>
      </c>
      <c r="T7697" t="s">
        <v>19913</v>
      </c>
    </row>
    <row r="7698" spans="2:20" x14ac:dyDescent="0.25">
      <c r="B7698" t="s">
        <v>2709</v>
      </c>
      <c r="C7698">
        <v>83100000</v>
      </c>
      <c r="E7698">
        <v>71.78</v>
      </c>
      <c r="F7698">
        <v>18</v>
      </c>
      <c r="G7698">
        <v>0</v>
      </c>
      <c r="H7698">
        <v>7.6</v>
      </c>
      <c r="I7698">
        <v>1.65</v>
      </c>
      <c r="J7698">
        <v>16</v>
      </c>
      <c r="L7698" t="s">
        <v>2709</v>
      </c>
      <c r="M7698">
        <v>83100000</v>
      </c>
      <c r="O7698" t="s">
        <v>20056</v>
      </c>
      <c r="P7698" t="s">
        <v>19899</v>
      </c>
      <c r="Q7698" t="s">
        <v>19900</v>
      </c>
      <c r="R7698" t="s">
        <v>19905</v>
      </c>
      <c r="S7698" t="s">
        <v>19906</v>
      </c>
      <c r="T7698" t="s">
        <v>19913</v>
      </c>
    </row>
    <row r="7699" spans="2:20" x14ac:dyDescent="0.25">
      <c r="B7699" t="s">
        <v>2709</v>
      </c>
      <c r="C7699">
        <v>83100000</v>
      </c>
      <c r="D7699">
        <v>1</v>
      </c>
      <c r="E7699" t="s">
        <v>19447</v>
      </c>
      <c r="F7699">
        <v>18</v>
      </c>
      <c r="G7699">
        <v>15</v>
      </c>
      <c r="H7699">
        <v>7.6</v>
      </c>
      <c r="I7699">
        <v>1.65</v>
      </c>
      <c r="J7699">
        <v>16</v>
      </c>
      <c r="L7699" t="s">
        <v>2709</v>
      </c>
      <c r="M7699">
        <v>83100000</v>
      </c>
      <c r="N7699">
        <v>1</v>
      </c>
      <c r="O7699" t="s">
        <v>19447</v>
      </c>
      <c r="P7699" t="s">
        <v>19899</v>
      </c>
      <c r="Q7699" t="s">
        <v>19983</v>
      </c>
      <c r="R7699" t="s">
        <v>19905</v>
      </c>
      <c r="S7699" t="s">
        <v>19906</v>
      </c>
      <c r="T7699" t="s">
        <v>19913</v>
      </c>
    </row>
    <row r="7700" spans="2:20" x14ac:dyDescent="0.25">
      <c r="B7700" t="s">
        <v>2709</v>
      </c>
      <c r="C7700">
        <v>83111000</v>
      </c>
      <c r="E7700">
        <v>60</v>
      </c>
      <c r="F7700">
        <v>18</v>
      </c>
      <c r="G7700">
        <v>10</v>
      </c>
      <c r="H7700" t="s">
        <v>19447</v>
      </c>
      <c r="I7700" t="s">
        <v>19447</v>
      </c>
      <c r="J7700">
        <v>16</v>
      </c>
      <c r="L7700" t="s">
        <v>2709</v>
      </c>
      <c r="M7700">
        <v>83111000</v>
      </c>
      <c r="O7700" t="s">
        <v>19993</v>
      </c>
      <c r="P7700" t="s">
        <v>19899</v>
      </c>
      <c r="Q7700" t="s">
        <v>19904</v>
      </c>
      <c r="R7700" t="s">
        <v>19447</v>
      </c>
      <c r="S7700" t="s">
        <v>19447</v>
      </c>
      <c r="T7700" t="s">
        <v>19913</v>
      </c>
    </row>
    <row r="7701" spans="2:20" x14ac:dyDescent="0.25">
      <c r="B7701" t="s">
        <v>2709</v>
      </c>
      <c r="C7701">
        <v>83112000</v>
      </c>
      <c r="E7701">
        <v>60</v>
      </c>
      <c r="F7701">
        <v>18</v>
      </c>
      <c r="G7701">
        <v>10</v>
      </c>
      <c r="H7701" t="s">
        <v>19447</v>
      </c>
      <c r="I7701" t="s">
        <v>19447</v>
      </c>
      <c r="J7701">
        <v>16</v>
      </c>
      <c r="L7701" t="s">
        <v>2709</v>
      </c>
      <c r="M7701">
        <v>83112000</v>
      </c>
      <c r="O7701" t="s">
        <v>19993</v>
      </c>
      <c r="P7701" t="s">
        <v>19899</v>
      </c>
      <c r="Q7701" t="s">
        <v>19904</v>
      </c>
      <c r="R7701" t="s">
        <v>19447</v>
      </c>
      <c r="S7701" t="s">
        <v>19447</v>
      </c>
      <c r="T7701" t="s">
        <v>19913</v>
      </c>
    </row>
    <row r="7702" spans="2:20" x14ac:dyDescent="0.25">
      <c r="B7702" t="s">
        <v>2709</v>
      </c>
      <c r="C7702">
        <v>83113000</v>
      </c>
      <c r="E7702">
        <v>60</v>
      </c>
      <c r="F7702">
        <v>18</v>
      </c>
      <c r="G7702">
        <v>10</v>
      </c>
      <c r="H7702" t="s">
        <v>19447</v>
      </c>
      <c r="I7702" t="s">
        <v>19447</v>
      </c>
      <c r="J7702">
        <v>16</v>
      </c>
      <c r="L7702" t="s">
        <v>2709</v>
      </c>
      <c r="M7702">
        <v>83113000</v>
      </c>
      <c r="O7702" t="s">
        <v>19993</v>
      </c>
      <c r="P7702" t="s">
        <v>19899</v>
      </c>
      <c r="Q7702" t="s">
        <v>19904</v>
      </c>
      <c r="R7702" t="s">
        <v>19447</v>
      </c>
      <c r="S7702" t="s">
        <v>19447</v>
      </c>
      <c r="T7702" t="s">
        <v>19913</v>
      </c>
    </row>
    <row r="7703" spans="2:20" x14ac:dyDescent="0.25">
      <c r="B7703" t="s">
        <v>2709</v>
      </c>
      <c r="C7703">
        <v>83119000</v>
      </c>
      <c r="E7703">
        <v>60</v>
      </c>
      <c r="F7703">
        <v>18</v>
      </c>
      <c r="G7703">
        <v>10</v>
      </c>
      <c r="H7703" t="s">
        <v>19447</v>
      </c>
      <c r="I7703" t="s">
        <v>19447</v>
      </c>
      <c r="J7703">
        <v>16</v>
      </c>
      <c r="L7703" t="s">
        <v>2709</v>
      </c>
      <c r="M7703">
        <v>83119000</v>
      </c>
      <c r="O7703" t="s">
        <v>19993</v>
      </c>
      <c r="P7703" t="s">
        <v>19899</v>
      </c>
      <c r="Q7703" t="s">
        <v>19904</v>
      </c>
      <c r="R7703" t="s">
        <v>19447</v>
      </c>
      <c r="S7703" t="s">
        <v>19447</v>
      </c>
      <c r="T7703" t="s">
        <v>19913</v>
      </c>
    </row>
    <row r="7704" spans="2:20" x14ac:dyDescent="0.25">
      <c r="B7704" t="s">
        <v>2709</v>
      </c>
      <c r="C7704">
        <v>84011000</v>
      </c>
      <c r="E7704">
        <v>71.78</v>
      </c>
      <c r="F7704">
        <v>18</v>
      </c>
      <c r="G7704">
        <v>0</v>
      </c>
      <c r="H7704" t="s">
        <v>19447</v>
      </c>
      <c r="I7704" t="s">
        <v>19447</v>
      </c>
      <c r="J7704">
        <v>14</v>
      </c>
      <c r="L7704" t="s">
        <v>2709</v>
      </c>
      <c r="M7704">
        <v>84011000</v>
      </c>
      <c r="O7704" t="s">
        <v>20056</v>
      </c>
      <c r="P7704" t="s">
        <v>19899</v>
      </c>
      <c r="Q7704" t="s">
        <v>19900</v>
      </c>
      <c r="R7704" t="s">
        <v>19447</v>
      </c>
      <c r="S7704" t="s">
        <v>19447</v>
      </c>
      <c r="T7704" t="s">
        <v>19911</v>
      </c>
    </row>
    <row r="7705" spans="2:20" x14ac:dyDescent="0.25">
      <c r="B7705" t="s">
        <v>2709</v>
      </c>
      <c r="C7705">
        <v>84012000</v>
      </c>
      <c r="E7705">
        <v>71.78</v>
      </c>
      <c r="F7705">
        <v>18</v>
      </c>
      <c r="G7705">
        <v>0</v>
      </c>
      <c r="H7705" t="s">
        <v>19447</v>
      </c>
      <c r="I7705" t="s">
        <v>19447</v>
      </c>
      <c r="J7705">
        <v>14</v>
      </c>
      <c r="L7705" t="s">
        <v>2709</v>
      </c>
      <c r="M7705">
        <v>84012000</v>
      </c>
      <c r="O7705" t="s">
        <v>20056</v>
      </c>
      <c r="P7705" t="s">
        <v>19899</v>
      </c>
      <c r="Q7705" t="s">
        <v>19900</v>
      </c>
      <c r="R7705" t="s">
        <v>19447</v>
      </c>
      <c r="S7705" t="s">
        <v>19447</v>
      </c>
      <c r="T7705" t="s">
        <v>19911</v>
      </c>
    </row>
    <row r="7706" spans="2:20" x14ac:dyDescent="0.25">
      <c r="B7706" t="s">
        <v>2709</v>
      </c>
      <c r="C7706">
        <v>84013000</v>
      </c>
      <c r="E7706">
        <v>71.78</v>
      </c>
      <c r="F7706">
        <v>18</v>
      </c>
      <c r="G7706">
        <v>0</v>
      </c>
      <c r="H7706" t="s">
        <v>19447</v>
      </c>
      <c r="I7706" t="s">
        <v>19447</v>
      </c>
      <c r="J7706">
        <v>14</v>
      </c>
      <c r="L7706" t="s">
        <v>2709</v>
      </c>
      <c r="M7706">
        <v>84013000</v>
      </c>
      <c r="O7706" t="s">
        <v>20056</v>
      </c>
      <c r="P7706" t="s">
        <v>19899</v>
      </c>
      <c r="Q7706" t="s">
        <v>19900</v>
      </c>
      <c r="R7706" t="s">
        <v>19447</v>
      </c>
      <c r="S7706" t="s">
        <v>19447</v>
      </c>
      <c r="T7706" t="s">
        <v>19911</v>
      </c>
    </row>
    <row r="7707" spans="2:20" x14ac:dyDescent="0.25">
      <c r="B7707" t="s">
        <v>2709</v>
      </c>
      <c r="C7707">
        <v>84014000</v>
      </c>
      <c r="E7707">
        <v>71.78</v>
      </c>
      <c r="F7707">
        <v>18</v>
      </c>
      <c r="G7707">
        <v>0</v>
      </c>
      <c r="H7707" t="s">
        <v>19447</v>
      </c>
      <c r="I7707" t="s">
        <v>19447</v>
      </c>
      <c r="J7707">
        <v>14</v>
      </c>
      <c r="L7707" t="s">
        <v>2709</v>
      </c>
      <c r="M7707">
        <v>84014000</v>
      </c>
      <c r="O7707" t="s">
        <v>20056</v>
      </c>
      <c r="P7707" t="s">
        <v>19899</v>
      </c>
      <c r="Q7707" t="s">
        <v>19900</v>
      </c>
      <c r="R7707" t="s">
        <v>19447</v>
      </c>
      <c r="S7707" t="s">
        <v>19447</v>
      </c>
      <c r="T7707" t="s">
        <v>19911</v>
      </c>
    </row>
    <row r="7708" spans="2:20" x14ac:dyDescent="0.25">
      <c r="B7708" t="s">
        <v>2709</v>
      </c>
      <c r="C7708">
        <v>84021100</v>
      </c>
      <c r="E7708">
        <v>71.78</v>
      </c>
      <c r="F7708">
        <v>8.8000000000000007</v>
      </c>
      <c r="G7708">
        <v>0</v>
      </c>
      <c r="H7708" t="s">
        <v>19447</v>
      </c>
      <c r="I7708" t="s">
        <v>19447</v>
      </c>
      <c r="J7708">
        <v>14</v>
      </c>
      <c r="L7708" t="s">
        <v>2709</v>
      </c>
      <c r="M7708">
        <v>84021100</v>
      </c>
      <c r="O7708" t="s">
        <v>20056</v>
      </c>
      <c r="P7708" t="s">
        <v>20127</v>
      </c>
      <c r="Q7708" t="s">
        <v>19900</v>
      </c>
      <c r="R7708" t="s">
        <v>19447</v>
      </c>
      <c r="S7708" t="s">
        <v>19447</v>
      </c>
      <c r="T7708" t="s">
        <v>19911</v>
      </c>
    </row>
    <row r="7709" spans="2:20" x14ac:dyDescent="0.25">
      <c r="B7709" t="s">
        <v>2709</v>
      </c>
      <c r="C7709">
        <v>84021200</v>
      </c>
      <c r="E7709">
        <v>71.78</v>
      </c>
      <c r="F7709">
        <v>8.8000000000000007</v>
      </c>
      <c r="G7709">
        <v>0</v>
      </c>
      <c r="H7709" t="s">
        <v>19447</v>
      </c>
      <c r="I7709" t="s">
        <v>19447</v>
      </c>
      <c r="J7709">
        <v>14</v>
      </c>
      <c r="L7709" t="s">
        <v>2709</v>
      </c>
      <c r="M7709">
        <v>84021200</v>
      </c>
      <c r="O7709" t="s">
        <v>20056</v>
      </c>
      <c r="P7709" t="s">
        <v>20127</v>
      </c>
      <c r="Q7709" t="s">
        <v>19900</v>
      </c>
      <c r="R7709" t="s">
        <v>19447</v>
      </c>
      <c r="S7709" t="s">
        <v>19447</v>
      </c>
      <c r="T7709" t="s">
        <v>19911</v>
      </c>
    </row>
    <row r="7710" spans="2:20" x14ac:dyDescent="0.25">
      <c r="B7710" t="s">
        <v>2709</v>
      </c>
      <c r="C7710">
        <v>84021900</v>
      </c>
      <c r="E7710">
        <v>71.78</v>
      </c>
      <c r="F7710">
        <v>8.8000000000000007</v>
      </c>
      <c r="G7710">
        <v>0</v>
      </c>
      <c r="H7710" t="s">
        <v>19447</v>
      </c>
      <c r="I7710" t="s">
        <v>19447</v>
      </c>
      <c r="J7710">
        <v>14</v>
      </c>
      <c r="L7710" t="s">
        <v>2709</v>
      </c>
      <c r="M7710">
        <v>84021900</v>
      </c>
      <c r="O7710" t="s">
        <v>20056</v>
      </c>
      <c r="P7710" t="s">
        <v>20127</v>
      </c>
      <c r="Q7710" t="s">
        <v>19900</v>
      </c>
      <c r="R7710" t="s">
        <v>19447</v>
      </c>
      <c r="S7710" t="s">
        <v>19447</v>
      </c>
      <c r="T7710" t="s">
        <v>19911</v>
      </c>
    </row>
    <row r="7711" spans="2:20" x14ac:dyDescent="0.25">
      <c r="B7711" t="s">
        <v>2709</v>
      </c>
      <c r="C7711">
        <v>84022000</v>
      </c>
      <c r="E7711">
        <v>71.78</v>
      </c>
      <c r="F7711">
        <v>8.8000000000000007</v>
      </c>
      <c r="G7711">
        <v>0</v>
      </c>
      <c r="H7711" t="s">
        <v>19447</v>
      </c>
      <c r="I7711" t="s">
        <v>19447</v>
      </c>
      <c r="J7711">
        <v>14</v>
      </c>
      <c r="L7711" t="s">
        <v>2709</v>
      </c>
      <c r="M7711">
        <v>84022000</v>
      </c>
      <c r="O7711" t="s">
        <v>20056</v>
      </c>
      <c r="P7711" t="s">
        <v>20127</v>
      </c>
      <c r="Q7711" t="s">
        <v>19900</v>
      </c>
      <c r="R7711" t="s">
        <v>19447</v>
      </c>
      <c r="S7711" t="s">
        <v>19447</v>
      </c>
      <c r="T7711" t="s">
        <v>19911</v>
      </c>
    </row>
    <row r="7712" spans="2:20" x14ac:dyDescent="0.25">
      <c r="B7712" t="s">
        <v>2709</v>
      </c>
      <c r="C7712">
        <v>84029000</v>
      </c>
      <c r="E7712">
        <v>71.78</v>
      </c>
      <c r="F7712">
        <v>18</v>
      </c>
      <c r="G7712">
        <v>0</v>
      </c>
      <c r="H7712" t="s">
        <v>19447</v>
      </c>
      <c r="I7712" t="s">
        <v>19447</v>
      </c>
      <c r="J7712">
        <v>14</v>
      </c>
      <c r="L7712" t="s">
        <v>2709</v>
      </c>
      <c r="M7712">
        <v>84029000</v>
      </c>
      <c r="O7712" t="s">
        <v>20056</v>
      </c>
      <c r="P7712" t="s">
        <v>19899</v>
      </c>
      <c r="Q7712" t="s">
        <v>19900</v>
      </c>
      <c r="R7712" t="s">
        <v>19447</v>
      </c>
      <c r="S7712" t="s">
        <v>19447</v>
      </c>
      <c r="T7712" t="s">
        <v>19911</v>
      </c>
    </row>
    <row r="7713" spans="2:20" x14ac:dyDescent="0.25">
      <c r="B7713" t="s">
        <v>2709</v>
      </c>
      <c r="C7713">
        <v>84031010</v>
      </c>
      <c r="E7713">
        <v>71.78</v>
      </c>
      <c r="F7713">
        <v>12</v>
      </c>
      <c r="G7713">
        <v>0</v>
      </c>
      <c r="H7713" t="s">
        <v>19447</v>
      </c>
      <c r="I7713" t="s">
        <v>19447</v>
      </c>
      <c r="J7713">
        <v>18</v>
      </c>
      <c r="L7713" t="s">
        <v>2709</v>
      </c>
      <c r="M7713">
        <v>84031010</v>
      </c>
      <c r="O7713" t="s">
        <v>20056</v>
      </c>
      <c r="P7713" t="s">
        <v>19903</v>
      </c>
      <c r="Q7713" t="s">
        <v>19900</v>
      </c>
      <c r="R7713" t="s">
        <v>19447</v>
      </c>
      <c r="S7713" t="s">
        <v>19447</v>
      </c>
      <c r="T7713" t="s">
        <v>19899</v>
      </c>
    </row>
    <row r="7714" spans="2:20" x14ac:dyDescent="0.25">
      <c r="B7714" t="s">
        <v>2709</v>
      </c>
      <c r="C7714">
        <v>84031090</v>
      </c>
      <c r="E7714">
        <v>71.78</v>
      </c>
      <c r="F7714">
        <v>12</v>
      </c>
      <c r="G7714">
        <v>0</v>
      </c>
      <c r="H7714" t="s">
        <v>19447</v>
      </c>
      <c r="I7714" t="s">
        <v>19447</v>
      </c>
      <c r="J7714">
        <v>14</v>
      </c>
      <c r="L7714" t="s">
        <v>2709</v>
      </c>
      <c r="M7714">
        <v>84031090</v>
      </c>
      <c r="O7714" t="s">
        <v>20056</v>
      </c>
      <c r="P7714" t="s">
        <v>19903</v>
      </c>
      <c r="Q7714" t="s">
        <v>19900</v>
      </c>
      <c r="R7714" t="s">
        <v>19447</v>
      </c>
      <c r="S7714" t="s">
        <v>19447</v>
      </c>
      <c r="T7714" t="s">
        <v>19911</v>
      </c>
    </row>
    <row r="7715" spans="2:20" x14ac:dyDescent="0.25">
      <c r="B7715" t="s">
        <v>2709</v>
      </c>
      <c r="C7715">
        <v>84039000</v>
      </c>
      <c r="E7715">
        <v>71.78</v>
      </c>
      <c r="F7715">
        <v>18</v>
      </c>
      <c r="G7715">
        <v>5</v>
      </c>
      <c r="H7715" t="s">
        <v>19447</v>
      </c>
      <c r="I7715" t="s">
        <v>19447</v>
      </c>
      <c r="J7715">
        <v>14</v>
      </c>
      <c r="L7715" t="s">
        <v>2709</v>
      </c>
      <c r="M7715">
        <v>84039000</v>
      </c>
      <c r="O7715" t="s">
        <v>20056</v>
      </c>
      <c r="P7715" t="s">
        <v>19899</v>
      </c>
      <c r="Q7715" t="s">
        <v>19909</v>
      </c>
      <c r="R7715" t="s">
        <v>19447</v>
      </c>
      <c r="S7715" t="s">
        <v>19447</v>
      </c>
      <c r="T7715" t="s">
        <v>19911</v>
      </c>
    </row>
    <row r="7716" spans="2:20" x14ac:dyDescent="0.25">
      <c r="B7716" t="s">
        <v>2709</v>
      </c>
      <c r="C7716">
        <v>84041010</v>
      </c>
      <c r="E7716">
        <v>71.78</v>
      </c>
      <c r="F7716">
        <v>8.8000000000000007</v>
      </c>
      <c r="G7716">
        <v>0</v>
      </c>
      <c r="H7716" t="s">
        <v>19447</v>
      </c>
      <c r="I7716" t="s">
        <v>19447</v>
      </c>
      <c r="J7716">
        <v>14</v>
      </c>
      <c r="L7716" t="s">
        <v>2709</v>
      </c>
      <c r="M7716">
        <v>84041010</v>
      </c>
      <c r="O7716" t="s">
        <v>20056</v>
      </c>
      <c r="P7716" t="s">
        <v>20127</v>
      </c>
      <c r="Q7716" t="s">
        <v>19900</v>
      </c>
      <c r="R7716" t="s">
        <v>19447</v>
      </c>
      <c r="S7716" t="s">
        <v>19447</v>
      </c>
      <c r="T7716" t="s">
        <v>19911</v>
      </c>
    </row>
    <row r="7717" spans="2:20" x14ac:dyDescent="0.25">
      <c r="B7717" t="s">
        <v>2709</v>
      </c>
      <c r="C7717">
        <v>84041020</v>
      </c>
      <c r="E7717">
        <v>71.78</v>
      </c>
      <c r="F7717">
        <v>12</v>
      </c>
      <c r="G7717">
        <v>0</v>
      </c>
      <c r="H7717" t="s">
        <v>19447</v>
      </c>
      <c r="I7717" t="s">
        <v>19447</v>
      </c>
      <c r="J7717">
        <v>14</v>
      </c>
      <c r="L7717" t="s">
        <v>2709</v>
      </c>
      <c r="M7717">
        <v>84041020</v>
      </c>
      <c r="O7717" t="s">
        <v>20056</v>
      </c>
      <c r="P7717" t="s">
        <v>19903</v>
      </c>
      <c r="Q7717" t="s">
        <v>19900</v>
      </c>
      <c r="R7717" t="s">
        <v>19447</v>
      </c>
      <c r="S7717" t="s">
        <v>19447</v>
      </c>
      <c r="T7717" t="s">
        <v>19911</v>
      </c>
    </row>
    <row r="7718" spans="2:20" x14ac:dyDescent="0.25">
      <c r="B7718" t="s">
        <v>2709</v>
      </c>
      <c r="C7718">
        <v>84042000</v>
      </c>
      <c r="E7718">
        <v>71.78</v>
      </c>
      <c r="F7718">
        <v>8.8000000000000007</v>
      </c>
      <c r="G7718">
        <v>0</v>
      </c>
      <c r="H7718" t="s">
        <v>19447</v>
      </c>
      <c r="I7718" t="s">
        <v>19447</v>
      </c>
      <c r="J7718">
        <v>14</v>
      </c>
      <c r="L7718" t="s">
        <v>2709</v>
      </c>
      <c r="M7718">
        <v>84042000</v>
      </c>
      <c r="O7718" t="s">
        <v>20056</v>
      </c>
      <c r="P7718" t="s">
        <v>20127</v>
      </c>
      <c r="Q7718" t="s">
        <v>19900</v>
      </c>
      <c r="R7718" t="s">
        <v>19447</v>
      </c>
      <c r="S7718" t="s">
        <v>19447</v>
      </c>
      <c r="T7718" t="s">
        <v>19911</v>
      </c>
    </row>
    <row r="7719" spans="2:20" x14ac:dyDescent="0.25">
      <c r="B7719" t="s">
        <v>2709</v>
      </c>
      <c r="C7719">
        <v>84049010</v>
      </c>
      <c r="E7719">
        <v>71.78</v>
      </c>
      <c r="F7719">
        <v>18</v>
      </c>
      <c r="G7719">
        <v>5</v>
      </c>
      <c r="H7719" t="s">
        <v>19447</v>
      </c>
      <c r="I7719" t="s">
        <v>19447</v>
      </c>
      <c r="J7719">
        <v>14</v>
      </c>
      <c r="L7719" t="s">
        <v>2709</v>
      </c>
      <c r="M7719">
        <v>84049010</v>
      </c>
      <c r="O7719" t="s">
        <v>20056</v>
      </c>
      <c r="P7719" t="s">
        <v>19899</v>
      </c>
      <c r="Q7719" t="s">
        <v>19909</v>
      </c>
      <c r="R7719" t="s">
        <v>19447</v>
      </c>
      <c r="S7719" t="s">
        <v>19447</v>
      </c>
      <c r="T7719" t="s">
        <v>19911</v>
      </c>
    </row>
    <row r="7720" spans="2:20" x14ac:dyDescent="0.25">
      <c r="B7720" t="s">
        <v>2709</v>
      </c>
      <c r="C7720">
        <v>84049090</v>
      </c>
      <c r="E7720">
        <v>71.78</v>
      </c>
      <c r="F7720">
        <v>18</v>
      </c>
      <c r="G7720">
        <v>5</v>
      </c>
      <c r="H7720" t="s">
        <v>19447</v>
      </c>
      <c r="I7720" t="s">
        <v>19447</v>
      </c>
      <c r="J7720">
        <v>14</v>
      </c>
      <c r="L7720" t="s">
        <v>2709</v>
      </c>
      <c r="M7720">
        <v>84049090</v>
      </c>
      <c r="O7720" t="s">
        <v>20056</v>
      </c>
      <c r="P7720" t="s">
        <v>19899</v>
      </c>
      <c r="Q7720" t="s">
        <v>19909</v>
      </c>
      <c r="R7720" t="s">
        <v>19447</v>
      </c>
      <c r="S7720" t="s">
        <v>19447</v>
      </c>
      <c r="T7720" t="s">
        <v>19911</v>
      </c>
    </row>
    <row r="7721" spans="2:20" x14ac:dyDescent="0.25">
      <c r="B7721" t="s">
        <v>2709</v>
      </c>
      <c r="C7721">
        <v>84051000</v>
      </c>
      <c r="E7721">
        <v>71.78</v>
      </c>
      <c r="F7721">
        <v>8.8000000000000007</v>
      </c>
      <c r="G7721">
        <v>0</v>
      </c>
      <c r="H7721" t="s">
        <v>19447</v>
      </c>
      <c r="I7721" t="s">
        <v>19447</v>
      </c>
      <c r="J7721">
        <v>14</v>
      </c>
      <c r="L7721" t="s">
        <v>2709</v>
      </c>
      <c r="M7721">
        <v>84051000</v>
      </c>
      <c r="O7721" t="s">
        <v>20056</v>
      </c>
      <c r="P7721" t="s">
        <v>20127</v>
      </c>
      <c r="Q7721" t="s">
        <v>19900</v>
      </c>
      <c r="R7721" t="s">
        <v>19447</v>
      </c>
      <c r="S7721" t="s">
        <v>19447</v>
      </c>
      <c r="T7721" t="s">
        <v>19911</v>
      </c>
    </row>
    <row r="7722" spans="2:20" x14ac:dyDescent="0.25">
      <c r="B7722" t="s">
        <v>2709</v>
      </c>
      <c r="C7722">
        <v>84059000</v>
      </c>
      <c r="E7722">
        <v>71.78</v>
      </c>
      <c r="F7722">
        <v>18</v>
      </c>
      <c r="G7722">
        <v>5</v>
      </c>
      <c r="H7722" t="s">
        <v>19447</v>
      </c>
      <c r="I7722" t="s">
        <v>19447</v>
      </c>
      <c r="J7722">
        <v>14</v>
      </c>
      <c r="L7722" t="s">
        <v>2709</v>
      </c>
      <c r="M7722">
        <v>84059000</v>
      </c>
      <c r="O7722" t="s">
        <v>20056</v>
      </c>
      <c r="P7722" t="s">
        <v>19899</v>
      </c>
      <c r="Q7722" t="s">
        <v>19909</v>
      </c>
      <c r="R7722" t="s">
        <v>19447</v>
      </c>
      <c r="S7722" t="s">
        <v>19447</v>
      </c>
      <c r="T7722" t="s">
        <v>19911</v>
      </c>
    </row>
    <row r="7723" spans="2:20" x14ac:dyDescent="0.25">
      <c r="B7723" t="s">
        <v>2709</v>
      </c>
      <c r="C7723">
        <v>84061000</v>
      </c>
      <c r="E7723">
        <v>71.78</v>
      </c>
      <c r="F7723">
        <v>8.8000000000000007</v>
      </c>
      <c r="G7723">
        <v>5</v>
      </c>
      <c r="H7723" t="s">
        <v>19447</v>
      </c>
      <c r="I7723" t="s">
        <v>19447</v>
      </c>
      <c r="J7723">
        <v>14</v>
      </c>
      <c r="L7723" t="s">
        <v>2709</v>
      </c>
      <c r="M7723">
        <v>84061000</v>
      </c>
      <c r="O7723" t="s">
        <v>20056</v>
      </c>
      <c r="P7723" t="s">
        <v>20127</v>
      </c>
      <c r="Q7723" t="s">
        <v>19909</v>
      </c>
      <c r="R7723" t="s">
        <v>19447</v>
      </c>
      <c r="S7723" t="s">
        <v>19447</v>
      </c>
      <c r="T7723" t="s">
        <v>19911</v>
      </c>
    </row>
    <row r="7724" spans="2:20" x14ac:dyDescent="0.25">
      <c r="B7724" t="s">
        <v>2709</v>
      </c>
      <c r="C7724">
        <v>84068100</v>
      </c>
      <c r="E7724">
        <v>71.78</v>
      </c>
      <c r="F7724">
        <v>8.8000000000000007</v>
      </c>
      <c r="G7724">
        <v>0</v>
      </c>
      <c r="H7724" t="s">
        <v>19447</v>
      </c>
      <c r="I7724" t="s">
        <v>19447</v>
      </c>
      <c r="J7724">
        <v>14</v>
      </c>
      <c r="L7724" t="s">
        <v>2709</v>
      </c>
      <c r="M7724">
        <v>84068100</v>
      </c>
      <c r="O7724" t="s">
        <v>20056</v>
      </c>
      <c r="P7724" t="s">
        <v>20127</v>
      </c>
      <c r="Q7724" t="s">
        <v>19900</v>
      </c>
      <c r="R7724" t="s">
        <v>19447</v>
      </c>
      <c r="S7724" t="s">
        <v>19447</v>
      </c>
      <c r="T7724" t="s">
        <v>19911</v>
      </c>
    </row>
    <row r="7725" spans="2:20" x14ac:dyDescent="0.25">
      <c r="B7725" t="s">
        <v>2709</v>
      </c>
      <c r="C7725">
        <v>84068200</v>
      </c>
      <c r="E7725">
        <v>71.78</v>
      </c>
      <c r="F7725">
        <v>8.8000000000000007</v>
      </c>
      <c r="G7725">
        <v>0</v>
      </c>
      <c r="H7725" t="s">
        <v>19447</v>
      </c>
      <c r="I7725" t="s">
        <v>19447</v>
      </c>
      <c r="J7725">
        <v>14</v>
      </c>
      <c r="L7725" t="s">
        <v>2709</v>
      </c>
      <c r="M7725">
        <v>84068200</v>
      </c>
      <c r="O7725" t="s">
        <v>20056</v>
      </c>
      <c r="P7725" t="s">
        <v>20127</v>
      </c>
      <c r="Q7725" t="s">
        <v>19900</v>
      </c>
      <c r="R7725" t="s">
        <v>19447</v>
      </c>
      <c r="S7725" t="s">
        <v>19447</v>
      </c>
      <c r="T7725" t="s">
        <v>19911</v>
      </c>
    </row>
    <row r="7726" spans="2:20" x14ac:dyDescent="0.25">
      <c r="B7726" t="s">
        <v>2709</v>
      </c>
      <c r="C7726">
        <v>84069011</v>
      </c>
      <c r="E7726">
        <v>71.78</v>
      </c>
      <c r="F7726">
        <v>18</v>
      </c>
      <c r="G7726">
        <v>5</v>
      </c>
      <c r="H7726" t="s">
        <v>19447</v>
      </c>
      <c r="I7726" t="s">
        <v>19447</v>
      </c>
      <c r="J7726">
        <v>0</v>
      </c>
      <c r="L7726" t="s">
        <v>2709</v>
      </c>
      <c r="M7726">
        <v>84069011</v>
      </c>
      <c r="O7726" t="s">
        <v>20056</v>
      </c>
      <c r="P7726" t="s">
        <v>19899</v>
      </c>
      <c r="Q7726" t="s">
        <v>19909</v>
      </c>
      <c r="R7726" t="s">
        <v>19447</v>
      </c>
      <c r="S7726" t="s">
        <v>19447</v>
      </c>
      <c r="T7726" t="s">
        <v>19900</v>
      </c>
    </row>
    <row r="7727" spans="2:20" x14ac:dyDescent="0.25">
      <c r="B7727" t="s">
        <v>2709</v>
      </c>
      <c r="C7727">
        <v>84069019</v>
      </c>
      <c r="E7727">
        <v>71.78</v>
      </c>
      <c r="F7727">
        <v>18</v>
      </c>
      <c r="G7727">
        <v>5</v>
      </c>
      <c r="H7727" t="s">
        <v>19447</v>
      </c>
      <c r="I7727" t="s">
        <v>19447</v>
      </c>
      <c r="J7727">
        <v>14</v>
      </c>
      <c r="L7727" t="s">
        <v>2709</v>
      </c>
      <c r="M7727">
        <v>84069019</v>
      </c>
      <c r="O7727" t="s">
        <v>20056</v>
      </c>
      <c r="P7727" t="s">
        <v>19899</v>
      </c>
      <c r="Q7727" t="s">
        <v>19909</v>
      </c>
      <c r="R7727" t="s">
        <v>19447</v>
      </c>
      <c r="S7727" t="s">
        <v>19447</v>
      </c>
      <c r="T7727" t="s">
        <v>19911</v>
      </c>
    </row>
    <row r="7728" spans="2:20" x14ac:dyDescent="0.25">
      <c r="B7728" t="s">
        <v>2709</v>
      </c>
      <c r="C7728">
        <v>84069021</v>
      </c>
      <c r="E7728">
        <v>71.78</v>
      </c>
      <c r="F7728">
        <v>18</v>
      </c>
      <c r="G7728">
        <v>5</v>
      </c>
      <c r="H7728" t="s">
        <v>19447</v>
      </c>
      <c r="I7728" t="s">
        <v>19447</v>
      </c>
      <c r="J7728">
        <v>0</v>
      </c>
      <c r="L7728" t="s">
        <v>2709</v>
      </c>
      <c r="M7728">
        <v>84069021</v>
      </c>
      <c r="O7728" t="s">
        <v>20056</v>
      </c>
      <c r="P7728" t="s">
        <v>19899</v>
      </c>
      <c r="Q7728" t="s">
        <v>19909</v>
      </c>
      <c r="R7728" t="s">
        <v>19447</v>
      </c>
      <c r="S7728" t="s">
        <v>19447</v>
      </c>
      <c r="T7728" t="s">
        <v>19900</v>
      </c>
    </row>
    <row r="7729" spans="2:20" x14ac:dyDescent="0.25">
      <c r="B7729" t="s">
        <v>2709</v>
      </c>
      <c r="C7729">
        <v>84069029</v>
      </c>
      <c r="E7729">
        <v>71.78</v>
      </c>
      <c r="F7729">
        <v>18</v>
      </c>
      <c r="G7729">
        <v>5</v>
      </c>
      <c r="H7729" t="s">
        <v>19447</v>
      </c>
      <c r="I7729" t="s">
        <v>19447</v>
      </c>
      <c r="J7729">
        <v>14</v>
      </c>
      <c r="L7729" t="s">
        <v>2709</v>
      </c>
      <c r="M7729">
        <v>84069029</v>
      </c>
      <c r="O7729" t="s">
        <v>20056</v>
      </c>
      <c r="P7729" t="s">
        <v>19899</v>
      </c>
      <c r="Q7729" t="s">
        <v>19909</v>
      </c>
      <c r="R7729" t="s">
        <v>19447</v>
      </c>
      <c r="S7729" t="s">
        <v>19447</v>
      </c>
      <c r="T7729" t="s">
        <v>19911</v>
      </c>
    </row>
    <row r="7730" spans="2:20" x14ac:dyDescent="0.25">
      <c r="B7730" t="s">
        <v>2709</v>
      </c>
      <c r="C7730">
        <v>84069090</v>
      </c>
      <c r="E7730">
        <v>71.78</v>
      </c>
      <c r="F7730">
        <v>18</v>
      </c>
      <c r="G7730">
        <v>0</v>
      </c>
      <c r="H7730" t="s">
        <v>19447</v>
      </c>
      <c r="I7730" t="s">
        <v>19447</v>
      </c>
      <c r="J7730">
        <v>14</v>
      </c>
      <c r="L7730" t="s">
        <v>2709</v>
      </c>
      <c r="M7730">
        <v>84069090</v>
      </c>
      <c r="O7730" t="s">
        <v>20056</v>
      </c>
      <c r="P7730" t="s">
        <v>19899</v>
      </c>
      <c r="Q7730" t="s">
        <v>19900</v>
      </c>
      <c r="R7730" t="s">
        <v>19447</v>
      </c>
      <c r="S7730" t="s">
        <v>19447</v>
      </c>
      <c r="T7730" t="s">
        <v>19911</v>
      </c>
    </row>
    <row r="7731" spans="2:20" x14ac:dyDescent="0.25">
      <c r="B7731" t="s">
        <v>2709</v>
      </c>
      <c r="C7731">
        <v>84071000</v>
      </c>
      <c r="E7731">
        <v>71.78</v>
      </c>
      <c r="F7731">
        <v>18</v>
      </c>
      <c r="G7731">
        <v>5</v>
      </c>
      <c r="H7731" t="s">
        <v>19447</v>
      </c>
      <c r="I7731" t="s">
        <v>19447</v>
      </c>
      <c r="J7731">
        <v>0</v>
      </c>
      <c r="L7731" t="s">
        <v>2709</v>
      </c>
      <c r="M7731">
        <v>84071000</v>
      </c>
      <c r="O7731" t="s">
        <v>20056</v>
      </c>
      <c r="P7731" t="s">
        <v>19899</v>
      </c>
      <c r="Q7731" t="s">
        <v>19909</v>
      </c>
      <c r="R7731" t="s">
        <v>19447</v>
      </c>
      <c r="S7731" t="s">
        <v>19447</v>
      </c>
      <c r="T7731" t="s">
        <v>19900</v>
      </c>
    </row>
    <row r="7732" spans="2:20" x14ac:dyDescent="0.25">
      <c r="B7732" t="s">
        <v>2709</v>
      </c>
      <c r="C7732">
        <v>84072110</v>
      </c>
      <c r="E7732">
        <v>71.78</v>
      </c>
      <c r="F7732">
        <v>18</v>
      </c>
      <c r="G7732">
        <v>5</v>
      </c>
      <c r="H7732" t="s">
        <v>19447</v>
      </c>
      <c r="I7732" t="s">
        <v>19447</v>
      </c>
      <c r="J7732">
        <v>14</v>
      </c>
      <c r="L7732" t="s">
        <v>2709</v>
      </c>
      <c r="M7732">
        <v>84072110</v>
      </c>
      <c r="O7732" t="s">
        <v>20056</v>
      </c>
      <c r="P7732" t="s">
        <v>19899</v>
      </c>
      <c r="Q7732" t="s">
        <v>19909</v>
      </c>
      <c r="R7732" t="s">
        <v>19447</v>
      </c>
      <c r="S7732" t="s">
        <v>19447</v>
      </c>
      <c r="T7732" t="s">
        <v>19911</v>
      </c>
    </row>
    <row r="7733" spans="2:20" x14ac:dyDescent="0.25">
      <c r="B7733" t="s">
        <v>2709</v>
      </c>
      <c r="C7733">
        <v>84072190</v>
      </c>
      <c r="E7733">
        <v>71.78</v>
      </c>
      <c r="F7733">
        <v>18</v>
      </c>
      <c r="G7733">
        <v>5</v>
      </c>
      <c r="H7733" t="s">
        <v>19447</v>
      </c>
      <c r="I7733" t="s">
        <v>19447</v>
      </c>
      <c r="J7733">
        <v>14</v>
      </c>
      <c r="L7733" t="s">
        <v>2709</v>
      </c>
      <c r="M7733">
        <v>84072190</v>
      </c>
      <c r="O7733" t="s">
        <v>20056</v>
      </c>
      <c r="P7733" t="s">
        <v>19899</v>
      </c>
      <c r="Q7733" t="s">
        <v>19909</v>
      </c>
      <c r="R7733" t="s">
        <v>19447</v>
      </c>
      <c r="S7733" t="s">
        <v>19447</v>
      </c>
      <c r="T7733" t="s">
        <v>19911</v>
      </c>
    </row>
    <row r="7734" spans="2:20" x14ac:dyDescent="0.25">
      <c r="B7734" t="s">
        <v>2709</v>
      </c>
      <c r="C7734">
        <v>84072910</v>
      </c>
      <c r="E7734">
        <v>71.78</v>
      </c>
      <c r="F7734">
        <v>18</v>
      </c>
      <c r="G7734">
        <v>5</v>
      </c>
      <c r="H7734" t="s">
        <v>19447</v>
      </c>
      <c r="I7734" t="s">
        <v>19447</v>
      </c>
      <c r="J7734">
        <v>14</v>
      </c>
      <c r="L7734" t="s">
        <v>2709</v>
      </c>
      <c r="M7734">
        <v>84072910</v>
      </c>
      <c r="O7734" t="s">
        <v>20056</v>
      </c>
      <c r="P7734" t="s">
        <v>19899</v>
      </c>
      <c r="Q7734" t="s">
        <v>19909</v>
      </c>
      <c r="R7734" t="s">
        <v>19447</v>
      </c>
      <c r="S7734" t="s">
        <v>19447</v>
      </c>
      <c r="T7734" t="s">
        <v>19911</v>
      </c>
    </row>
    <row r="7735" spans="2:20" x14ac:dyDescent="0.25">
      <c r="B7735" t="s">
        <v>2709</v>
      </c>
      <c r="C7735">
        <v>84072990</v>
      </c>
      <c r="E7735">
        <v>71.78</v>
      </c>
      <c r="F7735">
        <v>18</v>
      </c>
      <c r="G7735">
        <v>5</v>
      </c>
      <c r="H7735" t="s">
        <v>19447</v>
      </c>
      <c r="I7735" t="s">
        <v>19447</v>
      </c>
      <c r="J7735">
        <v>14</v>
      </c>
      <c r="L7735" t="s">
        <v>2709</v>
      </c>
      <c r="M7735">
        <v>84072990</v>
      </c>
      <c r="O7735" t="s">
        <v>20056</v>
      </c>
      <c r="P7735" t="s">
        <v>19899</v>
      </c>
      <c r="Q7735" t="s">
        <v>19909</v>
      </c>
      <c r="R7735" t="s">
        <v>19447</v>
      </c>
      <c r="S7735" t="s">
        <v>19447</v>
      </c>
      <c r="T7735" t="s">
        <v>19911</v>
      </c>
    </row>
    <row r="7736" spans="2:20" x14ac:dyDescent="0.25">
      <c r="B7736" t="s">
        <v>2709</v>
      </c>
      <c r="C7736">
        <v>84073110</v>
      </c>
      <c r="E7736">
        <v>71.78</v>
      </c>
      <c r="F7736">
        <v>18</v>
      </c>
      <c r="G7736">
        <v>5</v>
      </c>
      <c r="H7736" t="s">
        <v>19447</v>
      </c>
      <c r="I7736" t="s">
        <v>19447</v>
      </c>
      <c r="J7736">
        <v>18</v>
      </c>
      <c r="L7736" t="s">
        <v>2709</v>
      </c>
      <c r="M7736">
        <v>84073110</v>
      </c>
      <c r="O7736" t="s">
        <v>20056</v>
      </c>
      <c r="P7736" t="s">
        <v>19899</v>
      </c>
      <c r="Q7736" t="s">
        <v>19909</v>
      </c>
      <c r="R7736" t="s">
        <v>19447</v>
      </c>
      <c r="S7736" t="s">
        <v>19447</v>
      </c>
      <c r="T7736" t="s">
        <v>19899</v>
      </c>
    </row>
    <row r="7737" spans="2:20" x14ac:dyDescent="0.25">
      <c r="B7737" t="s">
        <v>2709</v>
      </c>
      <c r="C7737">
        <v>84073190</v>
      </c>
      <c r="E7737">
        <v>71.78</v>
      </c>
      <c r="F7737">
        <v>18</v>
      </c>
      <c r="G7737">
        <v>5</v>
      </c>
      <c r="H7737" t="s">
        <v>19447</v>
      </c>
      <c r="I7737" t="s">
        <v>19447</v>
      </c>
      <c r="J7737">
        <v>18</v>
      </c>
      <c r="L7737" t="s">
        <v>2709</v>
      </c>
      <c r="M7737">
        <v>84073190</v>
      </c>
      <c r="O7737" t="s">
        <v>20056</v>
      </c>
      <c r="P7737" t="s">
        <v>19899</v>
      </c>
      <c r="Q7737" t="s">
        <v>19909</v>
      </c>
      <c r="R7737" t="s">
        <v>19447</v>
      </c>
      <c r="S7737" t="s">
        <v>19447</v>
      </c>
      <c r="T7737" t="s">
        <v>19899</v>
      </c>
    </row>
    <row r="7738" spans="2:20" x14ac:dyDescent="0.25">
      <c r="B7738" t="s">
        <v>2709</v>
      </c>
      <c r="C7738">
        <v>84073200</v>
      </c>
      <c r="E7738">
        <v>71.78</v>
      </c>
      <c r="F7738">
        <v>18</v>
      </c>
      <c r="G7738">
        <v>5</v>
      </c>
      <c r="H7738" t="s">
        <v>19447</v>
      </c>
      <c r="I7738" t="s">
        <v>19447</v>
      </c>
      <c r="J7738">
        <v>18</v>
      </c>
      <c r="L7738" t="s">
        <v>2709</v>
      </c>
      <c r="M7738">
        <v>84073200</v>
      </c>
      <c r="O7738" t="s">
        <v>20056</v>
      </c>
      <c r="P7738" t="s">
        <v>19899</v>
      </c>
      <c r="Q7738" t="s">
        <v>19909</v>
      </c>
      <c r="R7738" t="s">
        <v>19447</v>
      </c>
      <c r="S7738" t="s">
        <v>19447</v>
      </c>
      <c r="T7738" t="s">
        <v>19899</v>
      </c>
    </row>
    <row r="7739" spans="2:20" x14ac:dyDescent="0.25">
      <c r="B7739" t="s">
        <v>2709</v>
      </c>
      <c r="C7739">
        <v>84073310</v>
      </c>
      <c r="E7739">
        <v>71.78</v>
      </c>
      <c r="F7739">
        <v>18</v>
      </c>
      <c r="G7739">
        <v>5</v>
      </c>
      <c r="H7739" t="s">
        <v>19447</v>
      </c>
      <c r="I7739" t="s">
        <v>19447</v>
      </c>
      <c r="J7739">
        <v>18</v>
      </c>
      <c r="L7739" t="s">
        <v>2709</v>
      </c>
      <c r="M7739">
        <v>84073310</v>
      </c>
      <c r="O7739" t="s">
        <v>20056</v>
      </c>
      <c r="P7739" t="s">
        <v>19899</v>
      </c>
      <c r="Q7739" t="s">
        <v>19909</v>
      </c>
      <c r="R7739" t="s">
        <v>19447</v>
      </c>
      <c r="S7739" t="s">
        <v>19447</v>
      </c>
      <c r="T7739" t="s">
        <v>19899</v>
      </c>
    </row>
    <row r="7740" spans="2:20" x14ac:dyDescent="0.25">
      <c r="B7740" t="s">
        <v>2709</v>
      </c>
      <c r="C7740">
        <v>84073390</v>
      </c>
      <c r="E7740">
        <v>71.78</v>
      </c>
      <c r="F7740">
        <v>18</v>
      </c>
      <c r="G7740">
        <v>5</v>
      </c>
      <c r="H7740">
        <v>10.8</v>
      </c>
      <c r="I7740">
        <v>2.2999999999999998</v>
      </c>
      <c r="J7740">
        <v>18</v>
      </c>
      <c r="L7740" t="s">
        <v>2709</v>
      </c>
      <c r="M7740">
        <v>84073390</v>
      </c>
      <c r="O7740" t="s">
        <v>20056</v>
      </c>
      <c r="P7740" t="s">
        <v>19899</v>
      </c>
      <c r="Q7740" t="s">
        <v>19909</v>
      </c>
      <c r="R7740" t="s">
        <v>20074</v>
      </c>
      <c r="S7740" t="s">
        <v>20075</v>
      </c>
      <c r="T7740" t="s">
        <v>19899</v>
      </c>
    </row>
    <row r="7741" spans="2:20" x14ac:dyDescent="0.25">
      <c r="B7741" t="s">
        <v>2709</v>
      </c>
      <c r="C7741">
        <v>84073410</v>
      </c>
      <c r="E7741">
        <v>71.78</v>
      </c>
      <c r="F7741">
        <v>18</v>
      </c>
      <c r="G7741">
        <v>5</v>
      </c>
      <c r="H7741" t="s">
        <v>19447</v>
      </c>
      <c r="I7741" t="s">
        <v>19447</v>
      </c>
      <c r="J7741">
        <v>18</v>
      </c>
      <c r="L7741" t="s">
        <v>2709</v>
      </c>
      <c r="M7741">
        <v>84073410</v>
      </c>
      <c r="O7741" t="s">
        <v>20056</v>
      </c>
      <c r="P7741" t="s">
        <v>19899</v>
      </c>
      <c r="Q7741" t="s">
        <v>19909</v>
      </c>
      <c r="R7741" t="s">
        <v>19447</v>
      </c>
      <c r="S7741" t="s">
        <v>19447</v>
      </c>
      <c r="T7741" t="s">
        <v>19899</v>
      </c>
    </row>
    <row r="7742" spans="2:20" x14ac:dyDescent="0.25">
      <c r="B7742" t="s">
        <v>2709</v>
      </c>
      <c r="C7742">
        <v>84073490</v>
      </c>
      <c r="E7742">
        <v>71.78</v>
      </c>
      <c r="F7742">
        <v>18</v>
      </c>
      <c r="G7742">
        <v>5</v>
      </c>
      <c r="H7742">
        <v>10.8</v>
      </c>
      <c r="I7742">
        <v>2.2999999999999998</v>
      </c>
      <c r="J7742">
        <v>18</v>
      </c>
      <c r="L7742" t="s">
        <v>2709</v>
      </c>
      <c r="M7742">
        <v>84073490</v>
      </c>
      <c r="O7742" t="s">
        <v>20056</v>
      </c>
      <c r="P7742" t="s">
        <v>19899</v>
      </c>
      <c r="Q7742" t="s">
        <v>19909</v>
      </c>
      <c r="R7742" t="s">
        <v>20074</v>
      </c>
      <c r="S7742" t="s">
        <v>20075</v>
      </c>
      <c r="T7742" t="s">
        <v>19899</v>
      </c>
    </row>
    <row r="7743" spans="2:20" x14ac:dyDescent="0.25">
      <c r="B7743" t="s">
        <v>2709</v>
      </c>
      <c r="C7743">
        <v>84079000</v>
      </c>
      <c r="E7743">
        <v>71.78</v>
      </c>
      <c r="F7743">
        <v>18</v>
      </c>
      <c r="G7743">
        <v>0</v>
      </c>
      <c r="H7743" t="s">
        <v>19447</v>
      </c>
      <c r="I7743" t="s">
        <v>19447</v>
      </c>
      <c r="J7743">
        <v>14</v>
      </c>
      <c r="L7743" t="s">
        <v>2709</v>
      </c>
      <c r="M7743">
        <v>84079000</v>
      </c>
      <c r="O7743" t="s">
        <v>20056</v>
      </c>
      <c r="P7743" t="s">
        <v>19899</v>
      </c>
      <c r="Q7743" t="s">
        <v>19900</v>
      </c>
      <c r="R7743" t="s">
        <v>19447</v>
      </c>
      <c r="S7743" t="s">
        <v>19447</v>
      </c>
      <c r="T7743" t="s">
        <v>19911</v>
      </c>
    </row>
    <row r="7744" spans="2:20" x14ac:dyDescent="0.25">
      <c r="B7744" t="s">
        <v>2709</v>
      </c>
      <c r="C7744">
        <v>84081010</v>
      </c>
      <c r="E7744">
        <v>71.78</v>
      </c>
      <c r="F7744">
        <v>18</v>
      </c>
      <c r="G7744">
        <v>5</v>
      </c>
      <c r="H7744" t="s">
        <v>19447</v>
      </c>
      <c r="I7744" t="s">
        <v>19447</v>
      </c>
      <c r="J7744">
        <v>14</v>
      </c>
      <c r="L7744" t="s">
        <v>2709</v>
      </c>
      <c r="M7744">
        <v>84081010</v>
      </c>
      <c r="O7744" t="s">
        <v>20056</v>
      </c>
      <c r="P7744" t="s">
        <v>19899</v>
      </c>
      <c r="Q7744" t="s">
        <v>19909</v>
      </c>
      <c r="R7744" t="s">
        <v>19447</v>
      </c>
      <c r="S7744" t="s">
        <v>19447</v>
      </c>
      <c r="T7744" t="s">
        <v>19911</v>
      </c>
    </row>
    <row r="7745" spans="2:20" x14ac:dyDescent="0.25">
      <c r="B7745" t="s">
        <v>2709</v>
      </c>
      <c r="C7745">
        <v>84081090</v>
      </c>
      <c r="E7745">
        <v>71.78</v>
      </c>
      <c r="F7745">
        <v>18</v>
      </c>
      <c r="G7745">
        <v>5</v>
      </c>
      <c r="H7745" t="s">
        <v>19447</v>
      </c>
      <c r="I7745" t="s">
        <v>19447</v>
      </c>
      <c r="J7745">
        <v>14</v>
      </c>
      <c r="L7745" t="s">
        <v>2709</v>
      </c>
      <c r="M7745">
        <v>84081090</v>
      </c>
      <c r="O7745" t="s">
        <v>20056</v>
      </c>
      <c r="P7745" t="s">
        <v>19899</v>
      </c>
      <c r="Q7745" t="s">
        <v>19909</v>
      </c>
      <c r="R7745" t="s">
        <v>19447</v>
      </c>
      <c r="S7745" t="s">
        <v>19447</v>
      </c>
      <c r="T7745" t="s">
        <v>19911</v>
      </c>
    </row>
    <row r="7746" spans="2:20" x14ac:dyDescent="0.25">
      <c r="B7746" t="s">
        <v>2709</v>
      </c>
      <c r="C7746">
        <v>84082010</v>
      </c>
      <c r="E7746">
        <v>71.78</v>
      </c>
      <c r="F7746">
        <v>18</v>
      </c>
      <c r="G7746">
        <v>5</v>
      </c>
      <c r="H7746">
        <v>10.8</v>
      </c>
      <c r="I7746">
        <v>2.2999999999999998</v>
      </c>
      <c r="J7746">
        <v>18</v>
      </c>
      <c r="L7746" t="s">
        <v>2709</v>
      </c>
      <c r="M7746">
        <v>84082010</v>
      </c>
      <c r="O7746" t="s">
        <v>20056</v>
      </c>
      <c r="P7746" t="s">
        <v>19899</v>
      </c>
      <c r="Q7746" t="s">
        <v>19909</v>
      </c>
      <c r="R7746" t="s">
        <v>20074</v>
      </c>
      <c r="S7746" t="s">
        <v>20075</v>
      </c>
      <c r="T7746" t="s">
        <v>19899</v>
      </c>
    </row>
    <row r="7747" spans="2:20" x14ac:dyDescent="0.25">
      <c r="B7747" t="s">
        <v>2709</v>
      </c>
      <c r="C7747">
        <v>84082020</v>
      </c>
      <c r="E7747">
        <v>71.78</v>
      </c>
      <c r="F7747">
        <v>18</v>
      </c>
      <c r="G7747">
        <v>5</v>
      </c>
      <c r="H7747">
        <v>10.8</v>
      </c>
      <c r="I7747">
        <v>2.2999999999999998</v>
      </c>
      <c r="J7747">
        <v>18</v>
      </c>
      <c r="L7747" t="s">
        <v>2709</v>
      </c>
      <c r="M7747">
        <v>84082020</v>
      </c>
      <c r="O7747" t="s">
        <v>20056</v>
      </c>
      <c r="P7747" t="s">
        <v>19899</v>
      </c>
      <c r="Q7747" t="s">
        <v>19909</v>
      </c>
      <c r="R7747" t="s">
        <v>20074</v>
      </c>
      <c r="S7747" t="s">
        <v>20075</v>
      </c>
      <c r="T7747" t="s">
        <v>19899</v>
      </c>
    </row>
    <row r="7748" spans="2:20" x14ac:dyDescent="0.25">
      <c r="B7748" t="s">
        <v>2709</v>
      </c>
      <c r="C7748">
        <v>84082020</v>
      </c>
      <c r="D7748">
        <v>1</v>
      </c>
      <c r="E7748" t="s">
        <v>19447</v>
      </c>
      <c r="F7748">
        <v>18</v>
      </c>
      <c r="G7748">
        <v>4</v>
      </c>
      <c r="H7748">
        <v>7.6</v>
      </c>
      <c r="I7748">
        <v>1.65</v>
      </c>
      <c r="J7748">
        <v>18</v>
      </c>
      <c r="L7748" t="s">
        <v>2709</v>
      </c>
      <c r="M7748">
        <v>84082020</v>
      </c>
      <c r="N7748">
        <v>1</v>
      </c>
      <c r="O7748" t="s">
        <v>19447</v>
      </c>
      <c r="P7748" t="s">
        <v>19899</v>
      </c>
      <c r="Q7748" t="s">
        <v>19902</v>
      </c>
      <c r="R7748" t="s">
        <v>19905</v>
      </c>
      <c r="S7748" t="s">
        <v>19906</v>
      </c>
      <c r="T7748" t="s">
        <v>19899</v>
      </c>
    </row>
    <row r="7749" spans="2:20" x14ac:dyDescent="0.25">
      <c r="B7749" t="s">
        <v>2709</v>
      </c>
      <c r="C7749">
        <v>84082020</v>
      </c>
      <c r="D7749">
        <v>2</v>
      </c>
      <c r="E7749" t="s">
        <v>19447</v>
      </c>
      <c r="F7749">
        <v>18</v>
      </c>
      <c r="G7749">
        <v>4</v>
      </c>
      <c r="H7749">
        <v>7.6</v>
      </c>
      <c r="I7749">
        <v>1.65</v>
      </c>
      <c r="J7749">
        <v>18</v>
      </c>
      <c r="L7749" t="s">
        <v>2709</v>
      </c>
      <c r="M7749">
        <v>84082020</v>
      </c>
      <c r="N7749">
        <v>2</v>
      </c>
      <c r="O7749" t="s">
        <v>19447</v>
      </c>
      <c r="P7749" t="s">
        <v>19899</v>
      </c>
      <c r="Q7749" t="s">
        <v>19902</v>
      </c>
      <c r="R7749" t="s">
        <v>19905</v>
      </c>
      <c r="S7749" t="s">
        <v>19906</v>
      </c>
      <c r="T7749" t="s">
        <v>19899</v>
      </c>
    </row>
    <row r="7750" spans="2:20" x14ac:dyDescent="0.25">
      <c r="B7750" t="s">
        <v>2709</v>
      </c>
      <c r="C7750">
        <v>84082030</v>
      </c>
      <c r="E7750">
        <v>71.78</v>
      </c>
      <c r="F7750">
        <v>18</v>
      </c>
      <c r="G7750">
        <v>5</v>
      </c>
      <c r="H7750">
        <v>10.8</v>
      </c>
      <c r="I7750">
        <v>2.2999999999999998</v>
      </c>
      <c r="J7750">
        <v>18</v>
      </c>
      <c r="L7750" t="s">
        <v>2709</v>
      </c>
      <c r="M7750">
        <v>84082030</v>
      </c>
      <c r="O7750" t="s">
        <v>20056</v>
      </c>
      <c r="P7750" t="s">
        <v>19899</v>
      </c>
      <c r="Q7750" t="s">
        <v>19909</v>
      </c>
      <c r="R7750" t="s">
        <v>20074</v>
      </c>
      <c r="S7750" t="s">
        <v>20075</v>
      </c>
      <c r="T7750" t="s">
        <v>19899</v>
      </c>
    </row>
    <row r="7751" spans="2:20" x14ac:dyDescent="0.25">
      <c r="B7751" t="s">
        <v>2709</v>
      </c>
      <c r="C7751">
        <v>84082030</v>
      </c>
      <c r="D7751">
        <v>1</v>
      </c>
      <c r="E7751" t="s">
        <v>19447</v>
      </c>
      <c r="F7751">
        <v>18</v>
      </c>
      <c r="G7751">
        <v>4</v>
      </c>
      <c r="H7751">
        <v>7.6</v>
      </c>
      <c r="I7751">
        <v>1.65</v>
      </c>
      <c r="J7751">
        <v>18</v>
      </c>
      <c r="L7751" t="s">
        <v>2709</v>
      </c>
      <c r="M7751">
        <v>84082030</v>
      </c>
      <c r="N7751">
        <v>1</v>
      </c>
      <c r="O7751" t="s">
        <v>19447</v>
      </c>
      <c r="P7751" t="s">
        <v>19899</v>
      </c>
      <c r="Q7751" t="s">
        <v>19902</v>
      </c>
      <c r="R7751" t="s">
        <v>19905</v>
      </c>
      <c r="S7751" t="s">
        <v>19906</v>
      </c>
      <c r="T7751" t="s">
        <v>19899</v>
      </c>
    </row>
    <row r="7752" spans="2:20" x14ac:dyDescent="0.25">
      <c r="B7752" t="s">
        <v>2709</v>
      </c>
      <c r="C7752">
        <v>84082030</v>
      </c>
      <c r="D7752">
        <v>2</v>
      </c>
      <c r="E7752" t="s">
        <v>19447</v>
      </c>
      <c r="F7752">
        <v>18</v>
      </c>
      <c r="G7752">
        <v>4</v>
      </c>
      <c r="H7752">
        <v>7.6</v>
      </c>
      <c r="I7752">
        <v>1.65</v>
      </c>
      <c r="J7752">
        <v>18</v>
      </c>
      <c r="L7752" t="s">
        <v>2709</v>
      </c>
      <c r="M7752">
        <v>84082030</v>
      </c>
      <c r="N7752">
        <v>2</v>
      </c>
      <c r="O7752" t="s">
        <v>19447</v>
      </c>
      <c r="P7752" t="s">
        <v>19899</v>
      </c>
      <c r="Q7752" t="s">
        <v>19902</v>
      </c>
      <c r="R7752" t="s">
        <v>19905</v>
      </c>
      <c r="S7752" t="s">
        <v>19906</v>
      </c>
      <c r="T7752" t="s">
        <v>19899</v>
      </c>
    </row>
    <row r="7753" spans="2:20" x14ac:dyDescent="0.25">
      <c r="B7753" t="s">
        <v>2709</v>
      </c>
      <c r="C7753">
        <v>84082090</v>
      </c>
      <c r="E7753">
        <v>71.78</v>
      </c>
      <c r="F7753">
        <v>18</v>
      </c>
      <c r="G7753">
        <v>5</v>
      </c>
      <c r="H7753">
        <v>10.8</v>
      </c>
      <c r="I7753">
        <v>2.2999999999999998</v>
      </c>
      <c r="J7753">
        <v>18</v>
      </c>
      <c r="L7753" t="s">
        <v>2709</v>
      </c>
      <c r="M7753">
        <v>84082090</v>
      </c>
      <c r="O7753" t="s">
        <v>20056</v>
      </c>
      <c r="P7753" t="s">
        <v>19899</v>
      </c>
      <c r="Q7753" t="s">
        <v>19909</v>
      </c>
      <c r="R7753" t="s">
        <v>20074</v>
      </c>
      <c r="S7753" t="s">
        <v>20075</v>
      </c>
      <c r="T7753" t="s">
        <v>19899</v>
      </c>
    </row>
    <row r="7754" spans="2:20" x14ac:dyDescent="0.25">
      <c r="B7754" t="s">
        <v>2709</v>
      </c>
      <c r="C7754">
        <v>84082090</v>
      </c>
      <c r="D7754">
        <v>1</v>
      </c>
      <c r="E7754" t="s">
        <v>19447</v>
      </c>
      <c r="F7754">
        <v>18</v>
      </c>
      <c r="G7754">
        <v>4</v>
      </c>
      <c r="H7754">
        <v>7.6</v>
      </c>
      <c r="I7754">
        <v>1.65</v>
      </c>
      <c r="J7754">
        <v>18</v>
      </c>
      <c r="L7754" t="s">
        <v>2709</v>
      </c>
      <c r="M7754">
        <v>84082090</v>
      </c>
      <c r="N7754">
        <v>1</v>
      </c>
      <c r="O7754" t="s">
        <v>19447</v>
      </c>
      <c r="P7754" t="s">
        <v>19899</v>
      </c>
      <c r="Q7754" t="s">
        <v>19902</v>
      </c>
      <c r="R7754" t="s">
        <v>19905</v>
      </c>
      <c r="S7754" t="s">
        <v>19906</v>
      </c>
      <c r="T7754" t="s">
        <v>19899</v>
      </c>
    </row>
    <row r="7755" spans="2:20" x14ac:dyDescent="0.25">
      <c r="B7755" t="s">
        <v>2709</v>
      </c>
      <c r="C7755">
        <v>84082090</v>
      </c>
      <c r="D7755">
        <v>2</v>
      </c>
      <c r="E7755" t="s">
        <v>19447</v>
      </c>
      <c r="F7755">
        <v>18</v>
      </c>
      <c r="G7755">
        <v>4</v>
      </c>
      <c r="H7755">
        <v>7.6</v>
      </c>
      <c r="I7755">
        <v>1.65</v>
      </c>
      <c r="J7755">
        <v>18</v>
      </c>
      <c r="L7755" t="s">
        <v>2709</v>
      </c>
      <c r="M7755">
        <v>84082090</v>
      </c>
      <c r="N7755">
        <v>2</v>
      </c>
      <c r="O7755" t="s">
        <v>19447</v>
      </c>
      <c r="P7755" t="s">
        <v>19899</v>
      </c>
      <c r="Q7755" t="s">
        <v>19902</v>
      </c>
      <c r="R7755" t="s">
        <v>19905</v>
      </c>
      <c r="S7755" t="s">
        <v>19906</v>
      </c>
      <c r="T7755" t="s">
        <v>19899</v>
      </c>
    </row>
    <row r="7756" spans="2:20" x14ac:dyDescent="0.25">
      <c r="B7756" t="s">
        <v>2709</v>
      </c>
      <c r="C7756">
        <v>84089010</v>
      </c>
      <c r="E7756">
        <v>71.78</v>
      </c>
      <c r="F7756">
        <v>18</v>
      </c>
      <c r="G7756">
        <v>0</v>
      </c>
      <c r="H7756" t="s">
        <v>19447</v>
      </c>
      <c r="I7756" t="s">
        <v>19447</v>
      </c>
      <c r="J7756">
        <v>0</v>
      </c>
      <c r="L7756" t="s">
        <v>2709</v>
      </c>
      <c r="M7756">
        <v>84089010</v>
      </c>
      <c r="O7756" t="s">
        <v>20056</v>
      </c>
      <c r="P7756" t="s">
        <v>19899</v>
      </c>
      <c r="Q7756" t="s">
        <v>19900</v>
      </c>
      <c r="R7756" t="s">
        <v>19447</v>
      </c>
      <c r="S7756" t="s">
        <v>19447</v>
      </c>
      <c r="T7756" t="s">
        <v>19900</v>
      </c>
    </row>
    <row r="7757" spans="2:20" x14ac:dyDescent="0.25">
      <c r="B7757" t="s">
        <v>2709</v>
      </c>
      <c r="C7757">
        <v>84089090</v>
      </c>
      <c r="E7757">
        <v>71.78</v>
      </c>
      <c r="F7757">
        <v>18</v>
      </c>
      <c r="G7757">
        <v>0</v>
      </c>
      <c r="H7757">
        <v>10.8</v>
      </c>
      <c r="I7757">
        <v>2.2999999999999998</v>
      </c>
      <c r="J7757">
        <v>14</v>
      </c>
      <c r="L7757" t="s">
        <v>2709</v>
      </c>
      <c r="M7757">
        <v>84089090</v>
      </c>
      <c r="O7757" t="s">
        <v>20056</v>
      </c>
      <c r="P7757" t="s">
        <v>19899</v>
      </c>
      <c r="Q7757" t="s">
        <v>19900</v>
      </c>
      <c r="R7757" t="s">
        <v>20074</v>
      </c>
      <c r="S7757" t="s">
        <v>20075</v>
      </c>
      <c r="T7757" t="s">
        <v>19911</v>
      </c>
    </row>
    <row r="7758" spans="2:20" x14ac:dyDescent="0.25">
      <c r="B7758" t="s">
        <v>2709</v>
      </c>
      <c r="C7758">
        <v>84091000</v>
      </c>
      <c r="E7758">
        <v>71.78</v>
      </c>
      <c r="F7758">
        <v>18</v>
      </c>
      <c r="G7758">
        <v>5</v>
      </c>
      <c r="H7758" t="s">
        <v>19447</v>
      </c>
      <c r="I7758" t="s">
        <v>19447</v>
      </c>
      <c r="J7758">
        <v>0</v>
      </c>
      <c r="L7758" t="s">
        <v>2709</v>
      </c>
      <c r="M7758">
        <v>84091000</v>
      </c>
      <c r="O7758" t="s">
        <v>20056</v>
      </c>
      <c r="P7758" t="s">
        <v>19899</v>
      </c>
      <c r="Q7758" t="s">
        <v>19909</v>
      </c>
      <c r="R7758" t="s">
        <v>19447</v>
      </c>
      <c r="S7758" t="s">
        <v>19447</v>
      </c>
      <c r="T7758" t="s">
        <v>19900</v>
      </c>
    </row>
    <row r="7759" spans="2:20" x14ac:dyDescent="0.25">
      <c r="B7759" t="s">
        <v>2709</v>
      </c>
      <c r="C7759">
        <v>84099111</v>
      </c>
      <c r="E7759">
        <v>71.78</v>
      </c>
      <c r="F7759">
        <v>18</v>
      </c>
      <c r="G7759">
        <v>5</v>
      </c>
      <c r="H7759">
        <v>10.8</v>
      </c>
      <c r="I7759">
        <v>2.2999999999999998</v>
      </c>
      <c r="J7759">
        <v>16</v>
      </c>
      <c r="L7759" t="s">
        <v>2709</v>
      </c>
      <c r="M7759">
        <v>84099111</v>
      </c>
      <c r="O7759" t="s">
        <v>20056</v>
      </c>
      <c r="P7759" t="s">
        <v>19899</v>
      </c>
      <c r="Q7759" t="s">
        <v>19909</v>
      </c>
      <c r="R7759" t="s">
        <v>20074</v>
      </c>
      <c r="S7759" t="s">
        <v>20075</v>
      </c>
      <c r="T7759" t="s">
        <v>19913</v>
      </c>
    </row>
    <row r="7760" spans="2:20" x14ac:dyDescent="0.25">
      <c r="B7760" t="s">
        <v>2709</v>
      </c>
      <c r="C7760">
        <v>84099112</v>
      </c>
      <c r="E7760">
        <v>71.78</v>
      </c>
      <c r="F7760">
        <v>18</v>
      </c>
      <c r="G7760">
        <v>5</v>
      </c>
      <c r="H7760">
        <v>10.8</v>
      </c>
      <c r="I7760">
        <v>2.2999999999999998</v>
      </c>
      <c r="J7760">
        <v>16</v>
      </c>
      <c r="L7760" t="s">
        <v>2709</v>
      </c>
      <c r="M7760">
        <v>84099112</v>
      </c>
      <c r="O7760" t="s">
        <v>20056</v>
      </c>
      <c r="P7760" t="s">
        <v>19899</v>
      </c>
      <c r="Q7760" t="s">
        <v>19909</v>
      </c>
      <c r="R7760" t="s">
        <v>20074</v>
      </c>
      <c r="S7760" t="s">
        <v>20075</v>
      </c>
      <c r="T7760" t="s">
        <v>19913</v>
      </c>
    </row>
    <row r="7761" spans="2:20" x14ac:dyDescent="0.25">
      <c r="B7761" t="s">
        <v>2709</v>
      </c>
      <c r="C7761">
        <v>84099113</v>
      </c>
      <c r="E7761">
        <v>71.78</v>
      </c>
      <c r="F7761">
        <v>18</v>
      </c>
      <c r="G7761">
        <v>5</v>
      </c>
      <c r="H7761">
        <v>10.8</v>
      </c>
      <c r="I7761">
        <v>2.2999999999999998</v>
      </c>
      <c r="J7761">
        <v>2</v>
      </c>
      <c r="L7761" t="s">
        <v>2709</v>
      </c>
      <c r="M7761">
        <v>84099113</v>
      </c>
      <c r="O7761" t="s">
        <v>20056</v>
      </c>
      <c r="P7761" t="s">
        <v>19899</v>
      </c>
      <c r="Q7761" t="s">
        <v>19909</v>
      </c>
      <c r="R7761" t="s">
        <v>20074</v>
      </c>
      <c r="S7761" t="s">
        <v>20075</v>
      </c>
      <c r="T7761" t="s">
        <v>19901</v>
      </c>
    </row>
    <row r="7762" spans="2:20" x14ac:dyDescent="0.25">
      <c r="B7762" t="s">
        <v>2709</v>
      </c>
      <c r="C7762">
        <v>84099114</v>
      </c>
      <c r="E7762">
        <v>71.78</v>
      </c>
      <c r="F7762">
        <v>18</v>
      </c>
      <c r="G7762">
        <v>5</v>
      </c>
      <c r="H7762">
        <v>10.8</v>
      </c>
      <c r="I7762">
        <v>2.2999999999999998</v>
      </c>
      <c r="J7762">
        <v>16</v>
      </c>
      <c r="L7762" t="s">
        <v>2709</v>
      </c>
      <c r="M7762">
        <v>84099114</v>
      </c>
      <c r="O7762" t="s">
        <v>20056</v>
      </c>
      <c r="P7762" t="s">
        <v>19899</v>
      </c>
      <c r="Q7762" t="s">
        <v>19909</v>
      </c>
      <c r="R7762" t="s">
        <v>20074</v>
      </c>
      <c r="S7762" t="s">
        <v>20075</v>
      </c>
      <c r="T7762" t="s">
        <v>19913</v>
      </c>
    </row>
    <row r="7763" spans="2:20" x14ac:dyDescent="0.25">
      <c r="B7763" t="s">
        <v>2709</v>
      </c>
      <c r="C7763">
        <v>84099115</v>
      </c>
      <c r="E7763">
        <v>71.78</v>
      </c>
      <c r="F7763">
        <v>18</v>
      </c>
      <c r="G7763">
        <v>5</v>
      </c>
      <c r="H7763">
        <v>10.8</v>
      </c>
      <c r="I7763">
        <v>2.2999999999999998</v>
      </c>
      <c r="J7763">
        <v>16</v>
      </c>
      <c r="L7763" t="s">
        <v>2709</v>
      </c>
      <c r="M7763">
        <v>84099115</v>
      </c>
      <c r="O7763" t="s">
        <v>20056</v>
      </c>
      <c r="P7763" t="s">
        <v>19899</v>
      </c>
      <c r="Q7763" t="s">
        <v>19909</v>
      </c>
      <c r="R7763" t="s">
        <v>20074</v>
      </c>
      <c r="S7763" t="s">
        <v>20075</v>
      </c>
      <c r="T7763" t="s">
        <v>19913</v>
      </c>
    </row>
    <row r="7764" spans="2:20" x14ac:dyDescent="0.25">
      <c r="B7764" t="s">
        <v>2709</v>
      </c>
      <c r="C7764">
        <v>84099116</v>
      </c>
      <c r="E7764">
        <v>71.78</v>
      </c>
      <c r="F7764">
        <v>18</v>
      </c>
      <c r="G7764">
        <v>5</v>
      </c>
      <c r="H7764">
        <v>10.8</v>
      </c>
      <c r="I7764">
        <v>2.2999999999999998</v>
      </c>
      <c r="J7764">
        <v>16</v>
      </c>
      <c r="L7764" t="s">
        <v>2709</v>
      </c>
      <c r="M7764">
        <v>84099116</v>
      </c>
      <c r="O7764" t="s">
        <v>20056</v>
      </c>
      <c r="P7764" t="s">
        <v>19899</v>
      </c>
      <c r="Q7764" t="s">
        <v>19909</v>
      </c>
      <c r="R7764" t="s">
        <v>20074</v>
      </c>
      <c r="S7764" t="s">
        <v>20075</v>
      </c>
      <c r="T7764" t="s">
        <v>19913</v>
      </c>
    </row>
    <row r="7765" spans="2:20" x14ac:dyDescent="0.25">
      <c r="B7765" t="s">
        <v>2709</v>
      </c>
      <c r="C7765">
        <v>84099117</v>
      </c>
      <c r="E7765">
        <v>71.78</v>
      </c>
      <c r="F7765">
        <v>18</v>
      </c>
      <c r="G7765">
        <v>5</v>
      </c>
      <c r="H7765">
        <v>10.8</v>
      </c>
      <c r="I7765">
        <v>2.2999999999999998</v>
      </c>
      <c r="J7765">
        <v>16</v>
      </c>
      <c r="L7765" t="s">
        <v>2709</v>
      </c>
      <c r="M7765">
        <v>84099117</v>
      </c>
      <c r="O7765" t="s">
        <v>20056</v>
      </c>
      <c r="P7765" t="s">
        <v>19899</v>
      </c>
      <c r="Q7765" t="s">
        <v>19909</v>
      </c>
      <c r="R7765" t="s">
        <v>20074</v>
      </c>
      <c r="S7765" t="s">
        <v>20075</v>
      </c>
      <c r="T7765" t="s">
        <v>19913</v>
      </c>
    </row>
    <row r="7766" spans="2:20" x14ac:dyDescent="0.25">
      <c r="B7766" t="s">
        <v>2709</v>
      </c>
      <c r="C7766">
        <v>84099118</v>
      </c>
      <c r="E7766">
        <v>71.78</v>
      </c>
      <c r="F7766">
        <v>18</v>
      </c>
      <c r="G7766">
        <v>5</v>
      </c>
      <c r="H7766">
        <v>10.8</v>
      </c>
      <c r="I7766">
        <v>2.2999999999999998</v>
      </c>
      <c r="J7766">
        <v>16</v>
      </c>
      <c r="L7766" t="s">
        <v>2709</v>
      </c>
      <c r="M7766">
        <v>84099118</v>
      </c>
      <c r="O7766" t="s">
        <v>20056</v>
      </c>
      <c r="P7766" t="s">
        <v>19899</v>
      </c>
      <c r="Q7766" t="s">
        <v>19909</v>
      </c>
      <c r="R7766" t="s">
        <v>20074</v>
      </c>
      <c r="S7766" t="s">
        <v>20075</v>
      </c>
      <c r="T7766" t="s">
        <v>19913</v>
      </c>
    </row>
    <row r="7767" spans="2:20" x14ac:dyDescent="0.25">
      <c r="B7767" t="s">
        <v>2709</v>
      </c>
      <c r="C7767">
        <v>84099120</v>
      </c>
      <c r="E7767">
        <v>71.78</v>
      </c>
      <c r="F7767">
        <v>18</v>
      </c>
      <c r="G7767">
        <v>5</v>
      </c>
      <c r="H7767">
        <v>10.8</v>
      </c>
      <c r="I7767">
        <v>2.2999999999999998</v>
      </c>
      <c r="J7767">
        <v>16</v>
      </c>
      <c r="L7767" t="s">
        <v>2709</v>
      </c>
      <c r="M7767">
        <v>84099120</v>
      </c>
      <c r="O7767" t="s">
        <v>20056</v>
      </c>
      <c r="P7767" t="s">
        <v>19899</v>
      </c>
      <c r="Q7767" t="s">
        <v>19909</v>
      </c>
      <c r="R7767" t="s">
        <v>20074</v>
      </c>
      <c r="S7767" t="s">
        <v>20075</v>
      </c>
      <c r="T7767" t="s">
        <v>19913</v>
      </c>
    </row>
    <row r="7768" spans="2:20" x14ac:dyDescent="0.25">
      <c r="B7768" t="s">
        <v>2709</v>
      </c>
      <c r="C7768">
        <v>84099130</v>
      </c>
      <c r="E7768">
        <v>71.78</v>
      </c>
      <c r="F7768">
        <v>18</v>
      </c>
      <c r="G7768">
        <v>5</v>
      </c>
      <c r="H7768">
        <v>10.8</v>
      </c>
      <c r="I7768">
        <v>2.2999999999999998</v>
      </c>
      <c r="J7768">
        <v>16</v>
      </c>
      <c r="L7768" t="s">
        <v>2709</v>
      </c>
      <c r="M7768">
        <v>84099130</v>
      </c>
      <c r="O7768" t="s">
        <v>20056</v>
      </c>
      <c r="P7768" t="s">
        <v>19899</v>
      </c>
      <c r="Q7768" t="s">
        <v>19909</v>
      </c>
      <c r="R7768" t="s">
        <v>20074</v>
      </c>
      <c r="S7768" t="s">
        <v>20075</v>
      </c>
      <c r="T7768" t="s">
        <v>19913</v>
      </c>
    </row>
    <row r="7769" spans="2:20" x14ac:dyDescent="0.25">
      <c r="B7769" t="s">
        <v>2709</v>
      </c>
      <c r="C7769">
        <v>84099140</v>
      </c>
      <c r="E7769">
        <v>71.78</v>
      </c>
      <c r="F7769">
        <v>12</v>
      </c>
      <c r="G7769">
        <v>15</v>
      </c>
      <c r="H7769">
        <v>10.8</v>
      </c>
      <c r="I7769">
        <v>2.2999999999999998</v>
      </c>
      <c r="J7769">
        <v>16</v>
      </c>
      <c r="L7769" t="s">
        <v>2709</v>
      </c>
      <c r="M7769">
        <v>84099140</v>
      </c>
      <c r="O7769" t="s">
        <v>20056</v>
      </c>
      <c r="P7769" t="s">
        <v>19903</v>
      </c>
      <c r="Q7769" t="s">
        <v>19983</v>
      </c>
      <c r="R7769" t="s">
        <v>20074</v>
      </c>
      <c r="S7769" t="s">
        <v>20075</v>
      </c>
      <c r="T7769" t="s">
        <v>19913</v>
      </c>
    </row>
    <row r="7770" spans="2:20" x14ac:dyDescent="0.25">
      <c r="B7770" t="s">
        <v>2709</v>
      </c>
      <c r="C7770">
        <v>84099190</v>
      </c>
      <c r="E7770">
        <v>71.78</v>
      </c>
      <c r="F7770">
        <v>18</v>
      </c>
      <c r="G7770">
        <v>5</v>
      </c>
      <c r="H7770">
        <v>10.8</v>
      </c>
      <c r="I7770">
        <v>2.2999999999999998</v>
      </c>
      <c r="J7770">
        <v>16</v>
      </c>
      <c r="L7770" t="s">
        <v>2709</v>
      </c>
      <c r="M7770">
        <v>84099190</v>
      </c>
      <c r="O7770" t="s">
        <v>20056</v>
      </c>
      <c r="P7770" t="s">
        <v>19899</v>
      </c>
      <c r="Q7770" t="s">
        <v>19909</v>
      </c>
      <c r="R7770" t="s">
        <v>20074</v>
      </c>
      <c r="S7770" t="s">
        <v>20075</v>
      </c>
      <c r="T7770" t="s">
        <v>19913</v>
      </c>
    </row>
    <row r="7771" spans="2:20" x14ac:dyDescent="0.25">
      <c r="B7771" t="s">
        <v>2709</v>
      </c>
      <c r="C7771">
        <v>84099912</v>
      </c>
      <c r="E7771">
        <v>71.78</v>
      </c>
      <c r="F7771">
        <v>18</v>
      </c>
      <c r="G7771">
        <v>5</v>
      </c>
      <c r="H7771">
        <v>10.8</v>
      </c>
      <c r="I7771">
        <v>2.2999999999999998</v>
      </c>
      <c r="J7771">
        <v>16</v>
      </c>
      <c r="L7771" t="s">
        <v>2709</v>
      </c>
      <c r="M7771">
        <v>84099912</v>
      </c>
      <c r="O7771" t="s">
        <v>20056</v>
      </c>
      <c r="P7771" t="s">
        <v>19899</v>
      </c>
      <c r="Q7771" t="s">
        <v>19909</v>
      </c>
      <c r="R7771" t="s">
        <v>20074</v>
      </c>
      <c r="S7771" t="s">
        <v>20075</v>
      </c>
      <c r="T7771" t="s">
        <v>19913</v>
      </c>
    </row>
    <row r="7772" spans="2:20" x14ac:dyDescent="0.25">
      <c r="B7772" t="s">
        <v>2709</v>
      </c>
      <c r="C7772">
        <v>84099912</v>
      </c>
      <c r="D7772">
        <v>1</v>
      </c>
      <c r="E7772" t="s">
        <v>19447</v>
      </c>
      <c r="F7772">
        <v>18</v>
      </c>
      <c r="G7772">
        <v>4</v>
      </c>
      <c r="H7772">
        <v>7.6</v>
      </c>
      <c r="I7772">
        <v>1.65</v>
      </c>
      <c r="J7772">
        <v>16</v>
      </c>
      <c r="L7772" t="s">
        <v>2709</v>
      </c>
      <c r="M7772">
        <v>84099912</v>
      </c>
      <c r="N7772">
        <v>1</v>
      </c>
      <c r="O7772" t="s">
        <v>19447</v>
      </c>
      <c r="P7772" t="s">
        <v>19899</v>
      </c>
      <c r="Q7772" t="s">
        <v>19902</v>
      </c>
      <c r="R7772" t="s">
        <v>19905</v>
      </c>
      <c r="S7772" t="s">
        <v>19906</v>
      </c>
      <c r="T7772" t="s">
        <v>19913</v>
      </c>
    </row>
    <row r="7773" spans="2:20" x14ac:dyDescent="0.25">
      <c r="B7773" t="s">
        <v>2709</v>
      </c>
      <c r="C7773">
        <v>84099914</v>
      </c>
      <c r="E7773">
        <v>71.78</v>
      </c>
      <c r="F7773">
        <v>18</v>
      </c>
      <c r="G7773">
        <v>5</v>
      </c>
      <c r="H7773">
        <v>10.8</v>
      </c>
      <c r="I7773">
        <v>2.2999999999999998</v>
      </c>
      <c r="J7773">
        <v>16</v>
      </c>
      <c r="L7773" t="s">
        <v>2709</v>
      </c>
      <c r="M7773">
        <v>84099914</v>
      </c>
      <c r="O7773" t="s">
        <v>20056</v>
      </c>
      <c r="P7773" t="s">
        <v>19899</v>
      </c>
      <c r="Q7773" t="s">
        <v>19909</v>
      </c>
      <c r="R7773" t="s">
        <v>20074</v>
      </c>
      <c r="S7773" t="s">
        <v>20075</v>
      </c>
      <c r="T7773" t="s">
        <v>19913</v>
      </c>
    </row>
    <row r="7774" spans="2:20" x14ac:dyDescent="0.25">
      <c r="B7774" t="s">
        <v>2709</v>
      </c>
      <c r="C7774">
        <v>84099915</v>
      </c>
      <c r="E7774">
        <v>71.78</v>
      </c>
      <c r="F7774">
        <v>18</v>
      </c>
      <c r="G7774">
        <v>5</v>
      </c>
      <c r="H7774">
        <v>10.8</v>
      </c>
      <c r="I7774">
        <v>2.2999999999999998</v>
      </c>
      <c r="J7774">
        <v>16</v>
      </c>
      <c r="L7774" t="s">
        <v>2709</v>
      </c>
      <c r="M7774">
        <v>84099915</v>
      </c>
      <c r="O7774" t="s">
        <v>20056</v>
      </c>
      <c r="P7774" t="s">
        <v>19899</v>
      </c>
      <c r="Q7774" t="s">
        <v>19909</v>
      </c>
      <c r="R7774" t="s">
        <v>20074</v>
      </c>
      <c r="S7774" t="s">
        <v>20075</v>
      </c>
      <c r="T7774" t="s">
        <v>19913</v>
      </c>
    </row>
    <row r="7775" spans="2:20" x14ac:dyDescent="0.25">
      <c r="B7775" t="s">
        <v>2709</v>
      </c>
      <c r="C7775">
        <v>84099917</v>
      </c>
      <c r="E7775">
        <v>71.78</v>
      </c>
      <c r="F7775">
        <v>18</v>
      </c>
      <c r="G7775">
        <v>5</v>
      </c>
      <c r="H7775">
        <v>10.8</v>
      </c>
      <c r="I7775">
        <v>2.2999999999999998</v>
      </c>
      <c r="J7775">
        <v>16</v>
      </c>
      <c r="L7775" t="s">
        <v>2709</v>
      </c>
      <c r="M7775">
        <v>84099917</v>
      </c>
      <c r="O7775" t="s">
        <v>20056</v>
      </c>
      <c r="P7775" t="s">
        <v>19899</v>
      </c>
      <c r="Q7775" t="s">
        <v>19909</v>
      </c>
      <c r="R7775" t="s">
        <v>20074</v>
      </c>
      <c r="S7775" t="s">
        <v>20075</v>
      </c>
      <c r="T7775" t="s">
        <v>19913</v>
      </c>
    </row>
    <row r="7776" spans="2:20" x14ac:dyDescent="0.25">
      <c r="B7776" t="s">
        <v>2709</v>
      </c>
      <c r="C7776">
        <v>84099921</v>
      </c>
      <c r="E7776">
        <v>71.78</v>
      </c>
      <c r="F7776">
        <v>18</v>
      </c>
      <c r="G7776">
        <v>5</v>
      </c>
      <c r="H7776">
        <v>10.8</v>
      </c>
      <c r="I7776">
        <v>2.2999999999999998</v>
      </c>
      <c r="J7776">
        <v>2</v>
      </c>
      <c r="L7776" t="s">
        <v>2709</v>
      </c>
      <c r="M7776">
        <v>84099921</v>
      </c>
      <c r="O7776" t="s">
        <v>20056</v>
      </c>
      <c r="P7776" t="s">
        <v>19899</v>
      </c>
      <c r="Q7776" t="s">
        <v>19909</v>
      </c>
      <c r="R7776" t="s">
        <v>20074</v>
      </c>
      <c r="S7776" t="s">
        <v>20075</v>
      </c>
      <c r="T7776" t="s">
        <v>19901</v>
      </c>
    </row>
    <row r="7777" spans="2:20" x14ac:dyDescent="0.25">
      <c r="B7777" t="s">
        <v>2709</v>
      </c>
      <c r="C7777">
        <v>84099929</v>
      </c>
      <c r="E7777">
        <v>71.78</v>
      </c>
      <c r="F7777">
        <v>18</v>
      </c>
      <c r="G7777">
        <v>5</v>
      </c>
      <c r="H7777">
        <v>10.8</v>
      </c>
      <c r="I7777">
        <v>2.2999999999999998</v>
      </c>
      <c r="J7777">
        <v>16</v>
      </c>
      <c r="L7777" t="s">
        <v>2709</v>
      </c>
      <c r="M7777">
        <v>84099929</v>
      </c>
      <c r="O7777" t="s">
        <v>20056</v>
      </c>
      <c r="P7777" t="s">
        <v>19899</v>
      </c>
      <c r="Q7777" t="s">
        <v>19909</v>
      </c>
      <c r="R7777" t="s">
        <v>20074</v>
      </c>
      <c r="S7777" t="s">
        <v>20075</v>
      </c>
      <c r="T7777" t="s">
        <v>19913</v>
      </c>
    </row>
    <row r="7778" spans="2:20" x14ac:dyDescent="0.25">
      <c r="B7778" t="s">
        <v>2709</v>
      </c>
      <c r="C7778">
        <v>84099930</v>
      </c>
      <c r="E7778">
        <v>71.78</v>
      </c>
      <c r="F7778">
        <v>18</v>
      </c>
      <c r="G7778">
        <v>5</v>
      </c>
      <c r="H7778">
        <v>10.8</v>
      </c>
      <c r="I7778">
        <v>2.2999999999999998</v>
      </c>
      <c r="J7778">
        <v>16</v>
      </c>
      <c r="L7778" t="s">
        <v>2709</v>
      </c>
      <c r="M7778">
        <v>84099930</v>
      </c>
      <c r="O7778" t="s">
        <v>20056</v>
      </c>
      <c r="P7778" t="s">
        <v>19899</v>
      </c>
      <c r="Q7778" t="s">
        <v>19909</v>
      </c>
      <c r="R7778" t="s">
        <v>20074</v>
      </c>
      <c r="S7778" t="s">
        <v>20075</v>
      </c>
      <c r="T7778" t="s">
        <v>19913</v>
      </c>
    </row>
    <row r="7779" spans="2:20" x14ac:dyDescent="0.25">
      <c r="B7779" t="s">
        <v>2709</v>
      </c>
      <c r="C7779">
        <v>84099941</v>
      </c>
      <c r="E7779">
        <v>71.78</v>
      </c>
      <c r="F7779">
        <v>18</v>
      </c>
      <c r="G7779">
        <v>5</v>
      </c>
      <c r="H7779">
        <v>10.8</v>
      </c>
      <c r="I7779">
        <v>2.2999999999999998</v>
      </c>
      <c r="J7779">
        <v>2</v>
      </c>
      <c r="L7779" t="s">
        <v>2709</v>
      </c>
      <c r="M7779">
        <v>84099941</v>
      </c>
      <c r="O7779" t="s">
        <v>20056</v>
      </c>
      <c r="P7779" t="s">
        <v>19899</v>
      </c>
      <c r="Q7779" t="s">
        <v>19909</v>
      </c>
      <c r="R7779" t="s">
        <v>20074</v>
      </c>
      <c r="S7779" t="s">
        <v>20075</v>
      </c>
      <c r="T7779" t="s">
        <v>19901</v>
      </c>
    </row>
    <row r="7780" spans="2:20" x14ac:dyDescent="0.25">
      <c r="B7780" t="s">
        <v>2709</v>
      </c>
      <c r="C7780">
        <v>84099941</v>
      </c>
      <c r="D7780">
        <v>1</v>
      </c>
      <c r="E7780" t="s">
        <v>19447</v>
      </c>
      <c r="F7780">
        <v>18</v>
      </c>
      <c r="G7780">
        <v>4</v>
      </c>
      <c r="H7780">
        <v>7.6</v>
      </c>
      <c r="I7780">
        <v>1.65</v>
      </c>
      <c r="J7780">
        <v>2</v>
      </c>
      <c r="L7780" t="s">
        <v>2709</v>
      </c>
      <c r="M7780">
        <v>84099941</v>
      </c>
      <c r="N7780">
        <v>1</v>
      </c>
      <c r="O7780" t="s">
        <v>19447</v>
      </c>
      <c r="P7780" t="s">
        <v>19899</v>
      </c>
      <c r="Q7780" t="s">
        <v>19902</v>
      </c>
      <c r="R7780" t="s">
        <v>19905</v>
      </c>
      <c r="S7780" t="s">
        <v>19906</v>
      </c>
      <c r="T7780" t="s">
        <v>19901</v>
      </c>
    </row>
    <row r="7781" spans="2:20" x14ac:dyDescent="0.25">
      <c r="B7781" t="s">
        <v>2709</v>
      </c>
      <c r="C7781">
        <v>84099949</v>
      </c>
      <c r="E7781">
        <v>71.78</v>
      </c>
      <c r="F7781">
        <v>18</v>
      </c>
      <c r="G7781">
        <v>5</v>
      </c>
      <c r="H7781">
        <v>10.8</v>
      </c>
      <c r="I7781">
        <v>2.2999999999999998</v>
      </c>
      <c r="J7781">
        <v>16</v>
      </c>
      <c r="L7781" t="s">
        <v>2709</v>
      </c>
      <c r="M7781">
        <v>84099949</v>
      </c>
      <c r="O7781" t="s">
        <v>20056</v>
      </c>
      <c r="P7781" t="s">
        <v>19899</v>
      </c>
      <c r="Q7781" t="s">
        <v>19909</v>
      </c>
      <c r="R7781" t="s">
        <v>20074</v>
      </c>
      <c r="S7781" t="s">
        <v>20075</v>
      </c>
      <c r="T7781" t="s">
        <v>19913</v>
      </c>
    </row>
    <row r="7782" spans="2:20" x14ac:dyDescent="0.25">
      <c r="B7782" t="s">
        <v>2709</v>
      </c>
      <c r="C7782">
        <v>84099949</v>
      </c>
      <c r="D7782">
        <v>1</v>
      </c>
      <c r="E7782" t="s">
        <v>19447</v>
      </c>
      <c r="F7782">
        <v>18</v>
      </c>
      <c r="G7782">
        <v>4</v>
      </c>
      <c r="H7782">
        <v>7.6</v>
      </c>
      <c r="I7782">
        <v>1.65</v>
      </c>
      <c r="J7782">
        <v>16</v>
      </c>
      <c r="L7782" t="s">
        <v>2709</v>
      </c>
      <c r="M7782">
        <v>84099949</v>
      </c>
      <c r="N7782">
        <v>1</v>
      </c>
      <c r="O7782" t="s">
        <v>19447</v>
      </c>
      <c r="P7782" t="s">
        <v>19899</v>
      </c>
      <c r="Q7782" t="s">
        <v>19902</v>
      </c>
      <c r="R7782" t="s">
        <v>19905</v>
      </c>
      <c r="S7782" t="s">
        <v>19906</v>
      </c>
      <c r="T7782" t="s">
        <v>19913</v>
      </c>
    </row>
    <row r="7783" spans="2:20" x14ac:dyDescent="0.25">
      <c r="B7783" t="s">
        <v>2709</v>
      </c>
      <c r="C7783">
        <v>84099951</v>
      </c>
      <c r="E7783">
        <v>71.78</v>
      </c>
      <c r="F7783">
        <v>18</v>
      </c>
      <c r="G7783">
        <v>5</v>
      </c>
      <c r="H7783">
        <v>10.8</v>
      </c>
      <c r="I7783">
        <v>2.2999999999999998</v>
      </c>
      <c r="J7783">
        <v>2</v>
      </c>
      <c r="L7783" t="s">
        <v>2709</v>
      </c>
      <c r="M7783">
        <v>84099951</v>
      </c>
      <c r="O7783" t="s">
        <v>20056</v>
      </c>
      <c r="P7783" t="s">
        <v>19899</v>
      </c>
      <c r="Q7783" t="s">
        <v>19909</v>
      </c>
      <c r="R7783" t="s">
        <v>20074</v>
      </c>
      <c r="S7783" t="s">
        <v>20075</v>
      </c>
      <c r="T7783" t="s">
        <v>19901</v>
      </c>
    </row>
    <row r="7784" spans="2:20" x14ac:dyDescent="0.25">
      <c r="B7784" t="s">
        <v>2709</v>
      </c>
      <c r="C7784">
        <v>84099951</v>
      </c>
      <c r="D7784">
        <v>1</v>
      </c>
      <c r="E7784" t="s">
        <v>19447</v>
      </c>
      <c r="F7784">
        <v>18</v>
      </c>
      <c r="G7784">
        <v>4</v>
      </c>
      <c r="H7784">
        <v>7.6</v>
      </c>
      <c r="I7784">
        <v>1.65</v>
      </c>
      <c r="J7784">
        <v>2</v>
      </c>
      <c r="L7784" t="s">
        <v>2709</v>
      </c>
      <c r="M7784">
        <v>84099951</v>
      </c>
      <c r="N7784">
        <v>1</v>
      </c>
      <c r="O7784" t="s">
        <v>19447</v>
      </c>
      <c r="P7784" t="s">
        <v>19899</v>
      </c>
      <c r="Q7784" t="s">
        <v>19902</v>
      </c>
      <c r="R7784" t="s">
        <v>19905</v>
      </c>
      <c r="S7784" t="s">
        <v>19906</v>
      </c>
      <c r="T7784" t="s">
        <v>19901</v>
      </c>
    </row>
    <row r="7785" spans="2:20" x14ac:dyDescent="0.25">
      <c r="B7785" t="s">
        <v>2709</v>
      </c>
      <c r="C7785">
        <v>84099959</v>
      </c>
      <c r="E7785">
        <v>71.78</v>
      </c>
      <c r="F7785">
        <v>18</v>
      </c>
      <c r="G7785">
        <v>5</v>
      </c>
      <c r="H7785">
        <v>10.8</v>
      </c>
      <c r="I7785">
        <v>2.2999999999999998</v>
      </c>
      <c r="J7785">
        <v>16</v>
      </c>
      <c r="L7785" t="s">
        <v>2709</v>
      </c>
      <c r="M7785">
        <v>84099959</v>
      </c>
      <c r="O7785" t="s">
        <v>20056</v>
      </c>
      <c r="P7785" t="s">
        <v>19899</v>
      </c>
      <c r="Q7785" t="s">
        <v>19909</v>
      </c>
      <c r="R7785" t="s">
        <v>20074</v>
      </c>
      <c r="S7785" t="s">
        <v>20075</v>
      </c>
      <c r="T7785" t="s">
        <v>19913</v>
      </c>
    </row>
    <row r="7786" spans="2:20" x14ac:dyDescent="0.25">
      <c r="B7786" t="s">
        <v>2709</v>
      </c>
      <c r="C7786">
        <v>84099959</v>
      </c>
      <c r="D7786">
        <v>1</v>
      </c>
      <c r="E7786" t="s">
        <v>19447</v>
      </c>
      <c r="F7786">
        <v>18</v>
      </c>
      <c r="G7786">
        <v>4</v>
      </c>
      <c r="H7786">
        <v>7.6</v>
      </c>
      <c r="I7786">
        <v>1.65</v>
      </c>
      <c r="J7786">
        <v>16</v>
      </c>
      <c r="L7786" t="s">
        <v>2709</v>
      </c>
      <c r="M7786">
        <v>84099959</v>
      </c>
      <c r="N7786">
        <v>1</v>
      </c>
      <c r="O7786" t="s">
        <v>19447</v>
      </c>
      <c r="P7786" t="s">
        <v>19899</v>
      </c>
      <c r="Q7786" t="s">
        <v>19902</v>
      </c>
      <c r="R7786" t="s">
        <v>19905</v>
      </c>
      <c r="S7786" t="s">
        <v>19906</v>
      </c>
      <c r="T7786" t="s">
        <v>19913</v>
      </c>
    </row>
    <row r="7787" spans="2:20" x14ac:dyDescent="0.25">
      <c r="B7787" t="s">
        <v>2709</v>
      </c>
      <c r="C7787">
        <v>84099961</v>
      </c>
      <c r="E7787">
        <v>71.78</v>
      </c>
      <c r="F7787">
        <v>18</v>
      </c>
      <c r="G7787">
        <v>5</v>
      </c>
      <c r="H7787">
        <v>10.8</v>
      </c>
      <c r="I7787">
        <v>2.2999999999999998</v>
      </c>
      <c r="J7787">
        <v>2</v>
      </c>
      <c r="L7787" t="s">
        <v>2709</v>
      </c>
      <c r="M7787">
        <v>84099961</v>
      </c>
      <c r="O7787" t="s">
        <v>20056</v>
      </c>
      <c r="P7787" t="s">
        <v>19899</v>
      </c>
      <c r="Q7787" t="s">
        <v>19909</v>
      </c>
      <c r="R7787" t="s">
        <v>20074</v>
      </c>
      <c r="S7787" t="s">
        <v>20075</v>
      </c>
      <c r="T7787" t="s">
        <v>19901</v>
      </c>
    </row>
    <row r="7788" spans="2:20" x14ac:dyDescent="0.25">
      <c r="B7788" t="s">
        <v>2709</v>
      </c>
      <c r="C7788">
        <v>84099969</v>
      </c>
      <c r="E7788">
        <v>71.78</v>
      </c>
      <c r="F7788">
        <v>18</v>
      </c>
      <c r="G7788">
        <v>5</v>
      </c>
      <c r="H7788">
        <v>10.8</v>
      </c>
      <c r="I7788">
        <v>2.2999999999999998</v>
      </c>
      <c r="J7788">
        <v>16</v>
      </c>
      <c r="L7788" t="s">
        <v>2709</v>
      </c>
      <c r="M7788">
        <v>84099969</v>
      </c>
      <c r="O7788" t="s">
        <v>20056</v>
      </c>
      <c r="P7788" t="s">
        <v>19899</v>
      </c>
      <c r="Q7788" t="s">
        <v>19909</v>
      </c>
      <c r="R7788" t="s">
        <v>20074</v>
      </c>
      <c r="S7788" t="s">
        <v>20075</v>
      </c>
      <c r="T7788" t="s">
        <v>19913</v>
      </c>
    </row>
    <row r="7789" spans="2:20" x14ac:dyDescent="0.25">
      <c r="B7789" t="s">
        <v>2709</v>
      </c>
      <c r="C7789">
        <v>84099971</v>
      </c>
      <c r="E7789">
        <v>71.78</v>
      </c>
      <c r="F7789">
        <v>18</v>
      </c>
      <c r="G7789">
        <v>5</v>
      </c>
      <c r="H7789">
        <v>10.8</v>
      </c>
      <c r="I7789">
        <v>2.2999999999999998</v>
      </c>
      <c r="J7789">
        <v>2</v>
      </c>
      <c r="L7789" t="s">
        <v>2709</v>
      </c>
      <c r="M7789">
        <v>84099971</v>
      </c>
      <c r="O7789" t="s">
        <v>20056</v>
      </c>
      <c r="P7789" t="s">
        <v>19899</v>
      </c>
      <c r="Q7789" t="s">
        <v>19909</v>
      </c>
      <c r="R7789" t="s">
        <v>20074</v>
      </c>
      <c r="S7789" t="s">
        <v>20075</v>
      </c>
      <c r="T7789" t="s">
        <v>19901</v>
      </c>
    </row>
    <row r="7790" spans="2:20" x14ac:dyDescent="0.25">
      <c r="B7790" t="s">
        <v>2709</v>
      </c>
      <c r="C7790">
        <v>84099979</v>
      </c>
      <c r="E7790">
        <v>71.78</v>
      </c>
      <c r="F7790">
        <v>18</v>
      </c>
      <c r="G7790">
        <v>5</v>
      </c>
      <c r="H7790">
        <v>10.8</v>
      </c>
      <c r="I7790">
        <v>2.2999999999999998</v>
      </c>
      <c r="J7790">
        <v>16</v>
      </c>
      <c r="L7790" t="s">
        <v>2709</v>
      </c>
      <c r="M7790">
        <v>84099979</v>
      </c>
      <c r="O7790" t="s">
        <v>20056</v>
      </c>
      <c r="P7790" t="s">
        <v>19899</v>
      </c>
      <c r="Q7790" t="s">
        <v>19909</v>
      </c>
      <c r="R7790" t="s">
        <v>20074</v>
      </c>
      <c r="S7790" t="s">
        <v>20075</v>
      </c>
      <c r="T7790" t="s">
        <v>19913</v>
      </c>
    </row>
    <row r="7791" spans="2:20" x14ac:dyDescent="0.25">
      <c r="B7791" t="s">
        <v>2709</v>
      </c>
      <c r="C7791">
        <v>84099991</v>
      </c>
      <c r="E7791">
        <v>71.78</v>
      </c>
      <c r="F7791">
        <v>12</v>
      </c>
      <c r="G7791">
        <v>5</v>
      </c>
      <c r="H7791">
        <v>10.8</v>
      </c>
      <c r="I7791">
        <v>2.2999999999999998</v>
      </c>
      <c r="J7791">
        <v>2</v>
      </c>
      <c r="L7791" t="s">
        <v>2709</v>
      </c>
      <c r="M7791">
        <v>84099991</v>
      </c>
      <c r="O7791" t="s">
        <v>20056</v>
      </c>
      <c r="P7791" t="s">
        <v>19903</v>
      </c>
      <c r="Q7791" t="s">
        <v>19909</v>
      </c>
      <c r="R7791" t="s">
        <v>20074</v>
      </c>
      <c r="S7791" t="s">
        <v>20075</v>
      </c>
      <c r="T7791" t="s">
        <v>19901</v>
      </c>
    </row>
    <row r="7792" spans="2:20" x14ac:dyDescent="0.25">
      <c r="B7792" t="s">
        <v>2709</v>
      </c>
      <c r="C7792">
        <v>84099999</v>
      </c>
      <c r="E7792">
        <v>71.78</v>
      </c>
      <c r="F7792">
        <v>12</v>
      </c>
      <c r="G7792">
        <v>5</v>
      </c>
      <c r="H7792">
        <v>10.8</v>
      </c>
      <c r="I7792">
        <v>2.2999999999999998</v>
      </c>
      <c r="J7792">
        <v>16</v>
      </c>
      <c r="L7792" t="s">
        <v>2709</v>
      </c>
      <c r="M7792">
        <v>84099999</v>
      </c>
      <c r="O7792" t="s">
        <v>20056</v>
      </c>
      <c r="P7792" t="s">
        <v>19903</v>
      </c>
      <c r="Q7792" t="s">
        <v>19909</v>
      </c>
      <c r="R7792" t="s">
        <v>20074</v>
      </c>
      <c r="S7792" t="s">
        <v>20075</v>
      </c>
      <c r="T7792" t="s">
        <v>19913</v>
      </c>
    </row>
    <row r="7793" spans="2:20" x14ac:dyDescent="0.25">
      <c r="B7793" t="s">
        <v>2709</v>
      </c>
      <c r="C7793">
        <v>84099999</v>
      </c>
      <c r="D7793">
        <v>1</v>
      </c>
      <c r="E7793" t="s">
        <v>19447</v>
      </c>
      <c r="F7793">
        <v>18</v>
      </c>
      <c r="G7793">
        <v>4</v>
      </c>
      <c r="H7793">
        <v>7.6</v>
      </c>
      <c r="I7793">
        <v>1.65</v>
      </c>
      <c r="J7793">
        <v>16</v>
      </c>
      <c r="L7793" t="s">
        <v>2709</v>
      </c>
      <c r="M7793">
        <v>84099999</v>
      </c>
      <c r="N7793">
        <v>1</v>
      </c>
      <c r="O7793" t="s">
        <v>19447</v>
      </c>
      <c r="P7793" t="s">
        <v>19899</v>
      </c>
      <c r="Q7793" t="s">
        <v>19902</v>
      </c>
      <c r="R7793" t="s">
        <v>19905</v>
      </c>
      <c r="S7793" t="s">
        <v>19906</v>
      </c>
      <c r="T7793" t="s">
        <v>19913</v>
      </c>
    </row>
    <row r="7794" spans="2:20" x14ac:dyDescent="0.25">
      <c r="B7794" t="s">
        <v>2709</v>
      </c>
      <c r="C7794">
        <v>84101100</v>
      </c>
      <c r="E7794">
        <v>71.78</v>
      </c>
      <c r="F7794">
        <v>8.8000000000000007</v>
      </c>
      <c r="G7794">
        <v>0</v>
      </c>
      <c r="H7794" t="s">
        <v>19447</v>
      </c>
      <c r="I7794" t="s">
        <v>19447</v>
      </c>
      <c r="J7794">
        <v>14</v>
      </c>
      <c r="L7794" t="s">
        <v>2709</v>
      </c>
      <c r="M7794">
        <v>84101100</v>
      </c>
      <c r="O7794" t="s">
        <v>20056</v>
      </c>
      <c r="P7794" t="s">
        <v>20127</v>
      </c>
      <c r="Q7794" t="s">
        <v>19900</v>
      </c>
      <c r="R7794" t="s">
        <v>19447</v>
      </c>
      <c r="S7794" t="s">
        <v>19447</v>
      </c>
      <c r="T7794" t="s">
        <v>19911</v>
      </c>
    </row>
    <row r="7795" spans="2:20" x14ac:dyDescent="0.25">
      <c r="B7795" t="s">
        <v>2709</v>
      </c>
      <c r="C7795">
        <v>84101200</v>
      </c>
      <c r="E7795">
        <v>71.78</v>
      </c>
      <c r="F7795">
        <v>8.8000000000000007</v>
      </c>
      <c r="G7795">
        <v>0</v>
      </c>
      <c r="H7795" t="s">
        <v>19447</v>
      </c>
      <c r="I7795" t="s">
        <v>19447</v>
      </c>
      <c r="J7795">
        <v>14</v>
      </c>
      <c r="L7795" t="s">
        <v>2709</v>
      </c>
      <c r="M7795">
        <v>84101200</v>
      </c>
      <c r="O7795" t="s">
        <v>20056</v>
      </c>
      <c r="P7795" t="s">
        <v>20127</v>
      </c>
      <c r="Q7795" t="s">
        <v>19900</v>
      </c>
      <c r="R7795" t="s">
        <v>19447</v>
      </c>
      <c r="S7795" t="s">
        <v>19447</v>
      </c>
      <c r="T7795" t="s">
        <v>19911</v>
      </c>
    </row>
    <row r="7796" spans="2:20" x14ac:dyDescent="0.25">
      <c r="B7796" t="s">
        <v>2709</v>
      </c>
      <c r="C7796">
        <v>84101300</v>
      </c>
      <c r="E7796">
        <v>71.78</v>
      </c>
      <c r="F7796">
        <v>8.8000000000000007</v>
      </c>
      <c r="G7796">
        <v>0</v>
      </c>
      <c r="H7796" t="s">
        <v>19447</v>
      </c>
      <c r="I7796" t="s">
        <v>19447</v>
      </c>
      <c r="J7796">
        <v>14</v>
      </c>
      <c r="L7796" t="s">
        <v>2709</v>
      </c>
      <c r="M7796">
        <v>84101300</v>
      </c>
      <c r="O7796" t="s">
        <v>20056</v>
      </c>
      <c r="P7796" t="s">
        <v>20127</v>
      </c>
      <c r="Q7796" t="s">
        <v>19900</v>
      </c>
      <c r="R7796" t="s">
        <v>19447</v>
      </c>
      <c r="S7796" t="s">
        <v>19447</v>
      </c>
      <c r="T7796" t="s">
        <v>19911</v>
      </c>
    </row>
    <row r="7797" spans="2:20" x14ac:dyDescent="0.25">
      <c r="B7797" t="s">
        <v>2709</v>
      </c>
      <c r="C7797">
        <v>84109000</v>
      </c>
      <c r="E7797">
        <v>71.78</v>
      </c>
      <c r="F7797">
        <v>8.8000000000000007</v>
      </c>
      <c r="G7797">
        <v>0</v>
      </c>
      <c r="H7797" t="s">
        <v>19447</v>
      </c>
      <c r="I7797" t="s">
        <v>19447</v>
      </c>
      <c r="J7797">
        <v>14</v>
      </c>
      <c r="L7797" t="s">
        <v>2709</v>
      </c>
      <c r="M7797">
        <v>84109000</v>
      </c>
      <c r="O7797" t="s">
        <v>20056</v>
      </c>
      <c r="P7797" t="s">
        <v>20127</v>
      </c>
      <c r="Q7797" t="s">
        <v>19900</v>
      </c>
      <c r="R7797" t="s">
        <v>19447</v>
      </c>
      <c r="S7797" t="s">
        <v>19447</v>
      </c>
      <c r="T7797" t="s">
        <v>19911</v>
      </c>
    </row>
    <row r="7798" spans="2:20" x14ac:dyDescent="0.25">
      <c r="B7798" t="s">
        <v>2709</v>
      </c>
      <c r="C7798">
        <v>84111100</v>
      </c>
      <c r="E7798">
        <v>71.78</v>
      </c>
      <c r="F7798">
        <v>12</v>
      </c>
      <c r="G7798">
        <v>5</v>
      </c>
      <c r="H7798" t="s">
        <v>19447</v>
      </c>
      <c r="I7798" t="s">
        <v>19447</v>
      </c>
      <c r="J7798">
        <v>0</v>
      </c>
      <c r="L7798" t="s">
        <v>2709</v>
      </c>
      <c r="M7798">
        <v>84111100</v>
      </c>
      <c r="O7798" t="s">
        <v>20056</v>
      </c>
      <c r="P7798" t="s">
        <v>19903</v>
      </c>
      <c r="Q7798" t="s">
        <v>19909</v>
      </c>
      <c r="R7798" t="s">
        <v>19447</v>
      </c>
      <c r="S7798" t="s">
        <v>19447</v>
      </c>
      <c r="T7798" t="s">
        <v>19900</v>
      </c>
    </row>
    <row r="7799" spans="2:20" x14ac:dyDescent="0.25">
      <c r="B7799" t="s">
        <v>2709</v>
      </c>
      <c r="C7799">
        <v>84111200</v>
      </c>
      <c r="E7799">
        <v>71.78</v>
      </c>
      <c r="F7799">
        <v>12</v>
      </c>
      <c r="G7799">
        <v>5</v>
      </c>
      <c r="H7799" t="s">
        <v>19447</v>
      </c>
      <c r="I7799" t="s">
        <v>19447</v>
      </c>
      <c r="J7799">
        <v>0</v>
      </c>
      <c r="L7799" t="s">
        <v>2709</v>
      </c>
      <c r="M7799">
        <v>84111200</v>
      </c>
      <c r="O7799" t="s">
        <v>20056</v>
      </c>
      <c r="P7799" t="s">
        <v>19903</v>
      </c>
      <c r="Q7799" t="s">
        <v>19909</v>
      </c>
      <c r="R7799" t="s">
        <v>19447</v>
      </c>
      <c r="S7799" t="s">
        <v>19447</v>
      </c>
      <c r="T7799" t="s">
        <v>19900</v>
      </c>
    </row>
    <row r="7800" spans="2:20" x14ac:dyDescent="0.25">
      <c r="B7800" t="s">
        <v>2709</v>
      </c>
      <c r="C7800">
        <v>84112100</v>
      </c>
      <c r="E7800">
        <v>71.78</v>
      </c>
      <c r="F7800">
        <v>12</v>
      </c>
      <c r="G7800">
        <v>5</v>
      </c>
      <c r="H7800" t="s">
        <v>19447</v>
      </c>
      <c r="I7800" t="s">
        <v>19447</v>
      </c>
      <c r="J7800">
        <v>0</v>
      </c>
      <c r="L7800" t="s">
        <v>2709</v>
      </c>
      <c r="M7800">
        <v>84112100</v>
      </c>
      <c r="O7800" t="s">
        <v>20056</v>
      </c>
      <c r="P7800" t="s">
        <v>19903</v>
      </c>
      <c r="Q7800" t="s">
        <v>19909</v>
      </c>
      <c r="R7800" t="s">
        <v>19447</v>
      </c>
      <c r="S7800" t="s">
        <v>19447</v>
      </c>
      <c r="T7800" t="s">
        <v>19900</v>
      </c>
    </row>
    <row r="7801" spans="2:20" x14ac:dyDescent="0.25">
      <c r="B7801" t="s">
        <v>2709</v>
      </c>
      <c r="C7801">
        <v>84112200</v>
      </c>
      <c r="E7801">
        <v>71.78</v>
      </c>
      <c r="F7801">
        <v>12</v>
      </c>
      <c r="G7801">
        <v>5</v>
      </c>
      <c r="H7801" t="s">
        <v>19447</v>
      </c>
      <c r="I7801" t="s">
        <v>19447</v>
      </c>
      <c r="J7801">
        <v>0</v>
      </c>
      <c r="L7801" t="s">
        <v>2709</v>
      </c>
      <c r="M7801">
        <v>84112200</v>
      </c>
      <c r="O7801" t="s">
        <v>20056</v>
      </c>
      <c r="P7801" t="s">
        <v>19903</v>
      </c>
      <c r="Q7801" t="s">
        <v>19909</v>
      </c>
      <c r="R7801" t="s">
        <v>19447</v>
      </c>
      <c r="S7801" t="s">
        <v>19447</v>
      </c>
      <c r="T7801" t="s">
        <v>19900</v>
      </c>
    </row>
    <row r="7802" spans="2:20" x14ac:dyDescent="0.25">
      <c r="B7802" t="s">
        <v>2709</v>
      </c>
      <c r="C7802">
        <v>84118100</v>
      </c>
      <c r="E7802">
        <v>71.78</v>
      </c>
      <c r="F7802">
        <v>12</v>
      </c>
      <c r="G7802">
        <v>0</v>
      </c>
      <c r="H7802" t="s">
        <v>19447</v>
      </c>
      <c r="I7802" t="s">
        <v>19447</v>
      </c>
      <c r="J7802">
        <v>0</v>
      </c>
      <c r="L7802" t="s">
        <v>2709</v>
      </c>
      <c r="M7802">
        <v>84118100</v>
      </c>
      <c r="O7802" t="s">
        <v>20056</v>
      </c>
      <c r="P7802" t="s">
        <v>19903</v>
      </c>
      <c r="Q7802" t="s">
        <v>19900</v>
      </c>
      <c r="R7802" t="s">
        <v>19447</v>
      </c>
      <c r="S7802" t="s">
        <v>19447</v>
      </c>
      <c r="T7802" t="s">
        <v>19900</v>
      </c>
    </row>
    <row r="7803" spans="2:20" x14ac:dyDescent="0.25">
      <c r="B7803" t="s">
        <v>2709</v>
      </c>
      <c r="C7803">
        <v>84118200</v>
      </c>
      <c r="E7803">
        <v>71.78</v>
      </c>
      <c r="F7803">
        <v>12</v>
      </c>
      <c r="G7803">
        <v>5</v>
      </c>
      <c r="H7803" t="s">
        <v>19447</v>
      </c>
      <c r="I7803" t="s">
        <v>19447</v>
      </c>
      <c r="J7803">
        <v>0</v>
      </c>
      <c r="L7803" t="s">
        <v>2709</v>
      </c>
      <c r="M7803">
        <v>84118200</v>
      </c>
      <c r="O7803" t="s">
        <v>20056</v>
      </c>
      <c r="P7803" t="s">
        <v>19903</v>
      </c>
      <c r="Q7803" t="s">
        <v>19909</v>
      </c>
      <c r="R7803" t="s">
        <v>19447</v>
      </c>
      <c r="S7803" t="s">
        <v>19447</v>
      </c>
      <c r="T7803" t="s">
        <v>19900</v>
      </c>
    </row>
    <row r="7804" spans="2:20" x14ac:dyDescent="0.25">
      <c r="B7804" t="s">
        <v>2709</v>
      </c>
      <c r="C7804">
        <v>84119100</v>
      </c>
      <c r="E7804">
        <v>71.78</v>
      </c>
      <c r="F7804">
        <v>18</v>
      </c>
      <c r="G7804">
        <v>5</v>
      </c>
      <c r="H7804" t="s">
        <v>19447</v>
      </c>
      <c r="I7804" t="s">
        <v>19447</v>
      </c>
      <c r="J7804">
        <v>0</v>
      </c>
      <c r="L7804" t="s">
        <v>2709</v>
      </c>
      <c r="M7804">
        <v>84119100</v>
      </c>
      <c r="O7804" t="s">
        <v>20056</v>
      </c>
      <c r="P7804" t="s">
        <v>19899</v>
      </c>
      <c r="Q7804" t="s">
        <v>19909</v>
      </c>
      <c r="R7804" t="s">
        <v>19447</v>
      </c>
      <c r="S7804" t="s">
        <v>19447</v>
      </c>
      <c r="T7804" t="s">
        <v>19900</v>
      </c>
    </row>
    <row r="7805" spans="2:20" x14ac:dyDescent="0.25">
      <c r="B7805" t="s">
        <v>2709</v>
      </c>
      <c r="C7805">
        <v>84119900</v>
      </c>
      <c r="E7805">
        <v>71.78</v>
      </c>
      <c r="F7805">
        <v>18</v>
      </c>
      <c r="G7805">
        <v>5</v>
      </c>
      <c r="H7805" t="s">
        <v>19447</v>
      </c>
      <c r="I7805" t="s">
        <v>19447</v>
      </c>
      <c r="J7805">
        <v>0</v>
      </c>
      <c r="L7805" t="s">
        <v>2709</v>
      </c>
      <c r="M7805">
        <v>84119900</v>
      </c>
      <c r="O7805" t="s">
        <v>20056</v>
      </c>
      <c r="P7805" t="s">
        <v>19899</v>
      </c>
      <c r="Q7805" t="s">
        <v>19909</v>
      </c>
      <c r="R7805" t="s">
        <v>19447</v>
      </c>
      <c r="S7805" t="s">
        <v>19447</v>
      </c>
      <c r="T7805" t="s">
        <v>19900</v>
      </c>
    </row>
    <row r="7806" spans="2:20" x14ac:dyDescent="0.25">
      <c r="B7806" t="s">
        <v>2709</v>
      </c>
      <c r="C7806">
        <v>84121000</v>
      </c>
      <c r="E7806">
        <v>71.78</v>
      </c>
      <c r="F7806">
        <v>12</v>
      </c>
      <c r="G7806">
        <v>0</v>
      </c>
      <c r="H7806" t="s">
        <v>19447</v>
      </c>
      <c r="I7806" t="s">
        <v>19447</v>
      </c>
      <c r="J7806">
        <v>0</v>
      </c>
      <c r="L7806" t="s">
        <v>2709</v>
      </c>
      <c r="M7806">
        <v>84121000</v>
      </c>
      <c r="O7806" t="s">
        <v>20056</v>
      </c>
      <c r="P7806" t="s">
        <v>19903</v>
      </c>
      <c r="Q7806" t="s">
        <v>19900</v>
      </c>
      <c r="R7806" t="s">
        <v>19447</v>
      </c>
      <c r="S7806" t="s">
        <v>19447</v>
      </c>
      <c r="T7806" t="s">
        <v>19900</v>
      </c>
    </row>
    <row r="7807" spans="2:20" x14ac:dyDescent="0.25">
      <c r="B7807" t="s">
        <v>2709</v>
      </c>
      <c r="C7807">
        <v>84122110</v>
      </c>
      <c r="E7807">
        <v>71.78</v>
      </c>
      <c r="F7807">
        <v>18</v>
      </c>
      <c r="G7807">
        <v>0</v>
      </c>
      <c r="H7807">
        <v>10.8</v>
      </c>
      <c r="I7807">
        <v>2.2999999999999998</v>
      </c>
      <c r="J7807">
        <v>14</v>
      </c>
      <c r="L7807" t="s">
        <v>2709</v>
      </c>
      <c r="M7807">
        <v>84122110</v>
      </c>
      <c r="O7807" t="s">
        <v>20056</v>
      </c>
      <c r="P7807" t="s">
        <v>19899</v>
      </c>
      <c r="Q7807" t="s">
        <v>19900</v>
      </c>
      <c r="R7807" t="s">
        <v>20074</v>
      </c>
      <c r="S7807" t="s">
        <v>20075</v>
      </c>
      <c r="T7807" t="s">
        <v>19911</v>
      </c>
    </row>
    <row r="7808" spans="2:20" x14ac:dyDescent="0.25">
      <c r="B7808" t="s">
        <v>2709</v>
      </c>
      <c r="C7808">
        <v>84122190</v>
      </c>
      <c r="E7808">
        <v>71.78</v>
      </c>
      <c r="F7808">
        <v>12</v>
      </c>
      <c r="G7808">
        <v>0</v>
      </c>
      <c r="H7808">
        <v>10.8</v>
      </c>
      <c r="I7808">
        <v>2.2999999999999998</v>
      </c>
      <c r="J7808">
        <v>14</v>
      </c>
      <c r="L7808" t="s">
        <v>2709</v>
      </c>
      <c r="M7808">
        <v>84122190</v>
      </c>
      <c r="O7808" t="s">
        <v>20056</v>
      </c>
      <c r="P7808" t="s">
        <v>19903</v>
      </c>
      <c r="Q7808" t="s">
        <v>19900</v>
      </c>
      <c r="R7808" t="s">
        <v>20074</v>
      </c>
      <c r="S7808" t="s">
        <v>20075</v>
      </c>
      <c r="T7808" t="s">
        <v>19911</v>
      </c>
    </row>
    <row r="7809" spans="2:20" x14ac:dyDescent="0.25">
      <c r="B7809" t="s">
        <v>2709</v>
      </c>
      <c r="C7809">
        <v>84122900</v>
      </c>
      <c r="E7809">
        <v>71.78</v>
      </c>
      <c r="F7809">
        <v>12</v>
      </c>
      <c r="G7809">
        <v>0</v>
      </c>
      <c r="H7809" t="s">
        <v>19447</v>
      </c>
      <c r="I7809" t="s">
        <v>19447</v>
      </c>
      <c r="J7809">
        <v>14</v>
      </c>
      <c r="L7809" t="s">
        <v>2709</v>
      </c>
      <c r="M7809">
        <v>84122900</v>
      </c>
      <c r="O7809" t="s">
        <v>20056</v>
      </c>
      <c r="P7809" t="s">
        <v>19903</v>
      </c>
      <c r="Q7809" t="s">
        <v>19900</v>
      </c>
      <c r="R7809" t="s">
        <v>19447</v>
      </c>
      <c r="S7809" t="s">
        <v>19447</v>
      </c>
      <c r="T7809" t="s">
        <v>19911</v>
      </c>
    </row>
    <row r="7810" spans="2:20" x14ac:dyDescent="0.25">
      <c r="B7810" t="s">
        <v>2709</v>
      </c>
      <c r="C7810">
        <v>84123110</v>
      </c>
      <c r="E7810">
        <v>71.78</v>
      </c>
      <c r="F7810">
        <v>12</v>
      </c>
      <c r="G7810">
        <v>0</v>
      </c>
      <c r="H7810">
        <v>10.8</v>
      </c>
      <c r="I7810">
        <v>2.2999999999999998</v>
      </c>
      <c r="J7810">
        <v>14</v>
      </c>
      <c r="L7810" t="s">
        <v>2709</v>
      </c>
      <c r="M7810">
        <v>84123110</v>
      </c>
      <c r="O7810" t="s">
        <v>20056</v>
      </c>
      <c r="P7810" t="s">
        <v>19903</v>
      </c>
      <c r="Q7810" t="s">
        <v>19900</v>
      </c>
      <c r="R7810" t="s">
        <v>20074</v>
      </c>
      <c r="S7810" t="s">
        <v>20075</v>
      </c>
      <c r="T7810" t="s">
        <v>19911</v>
      </c>
    </row>
    <row r="7811" spans="2:20" x14ac:dyDescent="0.25">
      <c r="B7811" t="s">
        <v>2709</v>
      </c>
      <c r="C7811">
        <v>84123190</v>
      </c>
      <c r="E7811">
        <v>71.78</v>
      </c>
      <c r="F7811">
        <v>12</v>
      </c>
      <c r="G7811">
        <v>0</v>
      </c>
      <c r="H7811" t="s">
        <v>19447</v>
      </c>
      <c r="I7811" t="s">
        <v>19447</v>
      </c>
      <c r="J7811">
        <v>14</v>
      </c>
      <c r="L7811" t="s">
        <v>2709</v>
      </c>
      <c r="M7811">
        <v>84123190</v>
      </c>
      <c r="O7811" t="s">
        <v>20056</v>
      </c>
      <c r="P7811" t="s">
        <v>19903</v>
      </c>
      <c r="Q7811" t="s">
        <v>19900</v>
      </c>
      <c r="R7811" t="s">
        <v>19447</v>
      </c>
      <c r="S7811" t="s">
        <v>19447</v>
      </c>
      <c r="T7811" t="s">
        <v>19911</v>
      </c>
    </row>
    <row r="7812" spans="2:20" x14ac:dyDescent="0.25">
      <c r="B7812" t="s">
        <v>2709</v>
      </c>
      <c r="C7812">
        <v>84123900</v>
      </c>
      <c r="E7812">
        <v>71.78</v>
      </c>
      <c r="F7812">
        <v>12</v>
      </c>
      <c r="G7812">
        <v>0</v>
      </c>
      <c r="H7812" t="s">
        <v>19447</v>
      </c>
      <c r="I7812" t="s">
        <v>19447</v>
      </c>
      <c r="J7812">
        <v>14</v>
      </c>
      <c r="L7812" t="s">
        <v>2709</v>
      </c>
      <c r="M7812">
        <v>84123900</v>
      </c>
      <c r="O7812" t="s">
        <v>20056</v>
      </c>
      <c r="P7812" t="s">
        <v>19903</v>
      </c>
      <c r="Q7812" t="s">
        <v>19900</v>
      </c>
      <c r="R7812" t="s">
        <v>19447</v>
      </c>
      <c r="S7812" t="s">
        <v>19447</v>
      </c>
      <c r="T7812" t="s">
        <v>19911</v>
      </c>
    </row>
    <row r="7813" spans="2:20" x14ac:dyDescent="0.25">
      <c r="B7813" t="s">
        <v>2709</v>
      </c>
      <c r="C7813">
        <v>84128000</v>
      </c>
      <c r="E7813">
        <v>71.78</v>
      </c>
      <c r="F7813">
        <v>12</v>
      </c>
      <c r="G7813">
        <v>0</v>
      </c>
      <c r="H7813" t="s">
        <v>19447</v>
      </c>
      <c r="I7813" t="s">
        <v>19447</v>
      </c>
      <c r="J7813">
        <v>14</v>
      </c>
      <c r="L7813" t="s">
        <v>2709</v>
      </c>
      <c r="M7813">
        <v>84128000</v>
      </c>
      <c r="O7813" t="s">
        <v>20056</v>
      </c>
      <c r="P7813" t="s">
        <v>19903</v>
      </c>
      <c r="Q7813" t="s">
        <v>19900</v>
      </c>
      <c r="R7813" t="s">
        <v>19447</v>
      </c>
      <c r="S7813" t="s">
        <v>19447</v>
      </c>
      <c r="T7813" t="s">
        <v>19911</v>
      </c>
    </row>
    <row r="7814" spans="2:20" x14ac:dyDescent="0.25">
      <c r="B7814" t="s">
        <v>2709</v>
      </c>
      <c r="C7814">
        <v>84129010</v>
      </c>
      <c r="E7814">
        <v>71.78</v>
      </c>
      <c r="F7814">
        <v>18</v>
      </c>
      <c r="G7814">
        <v>0</v>
      </c>
      <c r="H7814" t="s">
        <v>19447</v>
      </c>
      <c r="I7814" t="s">
        <v>19447</v>
      </c>
      <c r="J7814">
        <v>14</v>
      </c>
      <c r="L7814" t="s">
        <v>2709</v>
      </c>
      <c r="M7814">
        <v>84129010</v>
      </c>
      <c r="O7814" t="s">
        <v>20056</v>
      </c>
      <c r="P7814" t="s">
        <v>19899</v>
      </c>
      <c r="Q7814" t="s">
        <v>19900</v>
      </c>
      <c r="R7814" t="s">
        <v>19447</v>
      </c>
      <c r="S7814" t="s">
        <v>19447</v>
      </c>
      <c r="T7814" t="s">
        <v>19911</v>
      </c>
    </row>
    <row r="7815" spans="2:20" x14ac:dyDescent="0.25">
      <c r="B7815" t="s">
        <v>2709</v>
      </c>
      <c r="C7815">
        <v>84129020</v>
      </c>
      <c r="E7815">
        <v>71.78</v>
      </c>
      <c r="F7815">
        <v>18</v>
      </c>
      <c r="G7815">
        <v>0</v>
      </c>
      <c r="H7815" t="s">
        <v>19447</v>
      </c>
      <c r="I7815" t="s">
        <v>19447</v>
      </c>
      <c r="J7815">
        <v>14</v>
      </c>
      <c r="L7815" t="s">
        <v>2709</v>
      </c>
      <c r="M7815">
        <v>84129020</v>
      </c>
      <c r="O7815" t="s">
        <v>20056</v>
      </c>
      <c r="P7815" t="s">
        <v>19899</v>
      </c>
      <c r="Q7815" t="s">
        <v>19900</v>
      </c>
      <c r="R7815" t="s">
        <v>19447</v>
      </c>
      <c r="S7815" t="s">
        <v>19447</v>
      </c>
      <c r="T7815" t="s">
        <v>19911</v>
      </c>
    </row>
    <row r="7816" spans="2:20" x14ac:dyDescent="0.25">
      <c r="B7816" t="s">
        <v>2709</v>
      </c>
      <c r="C7816">
        <v>84129080</v>
      </c>
      <c r="E7816">
        <v>71.78</v>
      </c>
      <c r="F7816">
        <v>18</v>
      </c>
      <c r="G7816">
        <v>0</v>
      </c>
      <c r="H7816" t="s">
        <v>19447</v>
      </c>
      <c r="I7816" t="s">
        <v>19447</v>
      </c>
      <c r="J7816">
        <v>14</v>
      </c>
      <c r="L7816" t="s">
        <v>2709</v>
      </c>
      <c r="M7816">
        <v>84129080</v>
      </c>
      <c r="O7816" t="s">
        <v>20056</v>
      </c>
      <c r="P7816" t="s">
        <v>19899</v>
      </c>
      <c r="Q7816" t="s">
        <v>19900</v>
      </c>
      <c r="R7816" t="s">
        <v>19447</v>
      </c>
      <c r="S7816" t="s">
        <v>19447</v>
      </c>
      <c r="T7816" t="s">
        <v>19911</v>
      </c>
    </row>
    <row r="7817" spans="2:20" x14ac:dyDescent="0.25">
      <c r="B7817" t="s">
        <v>2709</v>
      </c>
      <c r="C7817">
        <v>84129090</v>
      </c>
      <c r="E7817">
        <v>71.78</v>
      </c>
      <c r="F7817">
        <v>0</v>
      </c>
      <c r="G7817">
        <v>0</v>
      </c>
      <c r="H7817" t="s">
        <v>19447</v>
      </c>
      <c r="I7817" t="s">
        <v>19447</v>
      </c>
      <c r="J7817">
        <v>14</v>
      </c>
      <c r="L7817" t="s">
        <v>2709</v>
      </c>
      <c r="M7817">
        <v>84129090</v>
      </c>
      <c r="O7817" t="s">
        <v>20056</v>
      </c>
      <c r="P7817" t="s">
        <v>19900</v>
      </c>
      <c r="Q7817" t="s">
        <v>19900</v>
      </c>
      <c r="R7817" t="s">
        <v>19447</v>
      </c>
      <c r="S7817" t="s">
        <v>19447</v>
      </c>
      <c r="T7817" t="s">
        <v>19911</v>
      </c>
    </row>
    <row r="7818" spans="2:20" x14ac:dyDescent="0.25">
      <c r="B7818" t="s">
        <v>2709</v>
      </c>
      <c r="C7818">
        <v>84131100</v>
      </c>
      <c r="E7818">
        <v>71.78</v>
      </c>
      <c r="F7818">
        <v>18</v>
      </c>
      <c r="G7818">
        <v>5</v>
      </c>
      <c r="H7818" t="s">
        <v>19447</v>
      </c>
      <c r="I7818" t="s">
        <v>19447</v>
      </c>
      <c r="J7818">
        <v>14</v>
      </c>
      <c r="L7818" t="s">
        <v>2709</v>
      </c>
      <c r="M7818">
        <v>84131100</v>
      </c>
      <c r="O7818" t="s">
        <v>20056</v>
      </c>
      <c r="P7818" t="s">
        <v>19899</v>
      </c>
      <c r="Q7818" t="s">
        <v>19909</v>
      </c>
      <c r="R7818" t="s">
        <v>19447</v>
      </c>
      <c r="S7818" t="s">
        <v>19447</v>
      </c>
      <c r="T7818" t="s">
        <v>19911</v>
      </c>
    </row>
    <row r="7819" spans="2:20" x14ac:dyDescent="0.25">
      <c r="B7819" t="s">
        <v>2709</v>
      </c>
      <c r="C7819">
        <v>84131900</v>
      </c>
      <c r="E7819">
        <v>71.78</v>
      </c>
      <c r="F7819">
        <v>18</v>
      </c>
      <c r="G7819">
        <v>5</v>
      </c>
      <c r="H7819" t="s">
        <v>19447</v>
      </c>
      <c r="I7819" t="s">
        <v>19447</v>
      </c>
      <c r="J7819">
        <v>14</v>
      </c>
      <c r="L7819" t="s">
        <v>2709</v>
      </c>
      <c r="M7819">
        <v>84131900</v>
      </c>
      <c r="O7819" t="s">
        <v>20056</v>
      </c>
      <c r="P7819" t="s">
        <v>19899</v>
      </c>
      <c r="Q7819" t="s">
        <v>19909</v>
      </c>
      <c r="R7819" t="s">
        <v>19447</v>
      </c>
      <c r="S7819" t="s">
        <v>19447</v>
      </c>
      <c r="T7819" t="s">
        <v>19911</v>
      </c>
    </row>
    <row r="7820" spans="2:20" x14ac:dyDescent="0.25">
      <c r="B7820" t="s">
        <v>2709</v>
      </c>
      <c r="C7820">
        <v>84132000</v>
      </c>
      <c r="E7820">
        <v>71.78</v>
      </c>
      <c r="F7820">
        <v>18</v>
      </c>
      <c r="G7820">
        <v>5</v>
      </c>
      <c r="H7820" t="s">
        <v>19447</v>
      </c>
      <c r="I7820" t="s">
        <v>19447</v>
      </c>
      <c r="J7820">
        <v>18</v>
      </c>
      <c r="L7820" t="s">
        <v>2709</v>
      </c>
      <c r="M7820">
        <v>84132000</v>
      </c>
      <c r="O7820" t="s">
        <v>20056</v>
      </c>
      <c r="P7820" t="s">
        <v>19899</v>
      </c>
      <c r="Q7820" t="s">
        <v>19909</v>
      </c>
      <c r="R7820" t="s">
        <v>19447</v>
      </c>
      <c r="S7820" t="s">
        <v>19447</v>
      </c>
      <c r="T7820" t="s">
        <v>19899</v>
      </c>
    </row>
    <row r="7821" spans="2:20" x14ac:dyDescent="0.25">
      <c r="B7821" t="s">
        <v>2709</v>
      </c>
      <c r="C7821">
        <v>84133010</v>
      </c>
      <c r="E7821">
        <v>71.78</v>
      </c>
      <c r="F7821">
        <v>18</v>
      </c>
      <c r="G7821">
        <v>5</v>
      </c>
      <c r="H7821">
        <v>10.8</v>
      </c>
      <c r="I7821">
        <v>2.2999999999999998</v>
      </c>
      <c r="J7821">
        <v>18</v>
      </c>
      <c r="L7821" t="s">
        <v>2709</v>
      </c>
      <c r="M7821">
        <v>84133010</v>
      </c>
      <c r="O7821" t="s">
        <v>20056</v>
      </c>
      <c r="P7821" t="s">
        <v>19899</v>
      </c>
      <c r="Q7821" t="s">
        <v>19909</v>
      </c>
      <c r="R7821" t="s">
        <v>20074</v>
      </c>
      <c r="S7821" t="s">
        <v>20075</v>
      </c>
      <c r="T7821" t="s">
        <v>19899</v>
      </c>
    </row>
    <row r="7822" spans="2:20" x14ac:dyDescent="0.25">
      <c r="B7822" t="s">
        <v>2709</v>
      </c>
      <c r="C7822">
        <v>84133020</v>
      </c>
      <c r="E7822">
        <v>71.78</v>
      </c>
      <c r="F7822">
        <v>18</v>
      </c>
      <c r="G7822">
        <v>5</v>
      </c>
      <c r="H7822">
        <v>10.8</v>
      </c>
      <c r="I7822">
        <v>2.2999999999999998</v>
      </c>
      <c r="J7822">
        <v>18</v>
      </c>
      <c r="L7822" t="s">
        <v>2709</v>
      </c>
      <c r="M7822">
        <v>84133020</v>
      </c>
      <c r="O7822" t="s">
        <v>20056</v>
      </c>
      <c r="P7822" t="s">
        <v>19899</v>
      </c>
      <c r="Q7822" t="s">
        <v>19909</v>
      </c>
      <c r="R7822" t="s">
        <v>20074</v>
      </c>
      <c r="S7822" t="s">
        <v>20075</v>
      </c>
      <c r="T7822" t="s">
        <v>19899</v>
      </c>
    </row>
    <row r="7823" spans="2:20" x14ac:dyDescent="0.25">
      <c r="B7823" t="s">
        <v>2709</v>
      </c>
      <c r="C7823">
        <v>84133020</v>
      </c>
      <c r="D7823">
        <v>1</v>
      </c>
      <c r="E7823" t="s">
        <v>19447</v>
      </c>
      <c r="F7823">
        <v>18</v>
      </c>
      <c r="G7823">
        <v>4</v>
      </c>
      <c r="H7823">
        <v>7.6</v>
      </c>
      <c r="I7823">
        <v>1.65</v>
      </c>
      <c r="J7823">
        <v>18</v>
      </c>
      <c r="L7823" t="s">
        <v>2709</v>
      </c>
      <c r="M7823">
        <v>84133020</v>
      </c>
      <c r="N7823">
        <v>1</v>
      </c>
      <c r="O7823" t="s">
        <v>19447</v>
      </c>
      <c r="P7823" t="s">
        <v>19899</v>
      </c>
      <c r="Q7823" t="s">
        <v>19902</v>
      </c>
      <c r="R7823" t="s">
        <v>19905</v>
      </c>
      <c r="S7823" t="s">
        <v>19906</v>
      </c>
      <c r="T7823" t="s">
        <v>19899</v>
      </c>
    </row>
    <row r="7824" spans="2:20" x14ac:dyDescent="0.25">
      <c r="B7824" t="s">
        <v>2709</v>
      </c>
      <c r="C7824">
        <v>84133030</v>
      </c>
      <c r="E7824">
        <v>71.78</v>
      </c>
      <c r="F7824">
        <v>18</v>
      </c>
      <c r="G7824">
        <v>5</v>
      </c>
      <c r="H7824">
        <v>10.8</v>
      </c>
      <c r="I7824">
        <v>2.2999999999999998</v>
      </c>
      <c r="J7824">
        <v>18</v>
      </c>
      <c r="L7824" t="s">
        <v>2709</v>
      </c>
      <c r="M7824">
        <v>84133030</v>
      </c>
      <c r="O7824" t="s">
        <v>20056</v>
      </c>
      <c r="P7824" t="s">
        <v>19899</v>
      </c>
      <c r="Q7824" t="s">
        <v>19909</v>
      </c>
      <c r="R7824" t="s">
        <v>20074</v>
      </c>
      <c r="S7824" t="s">
        <v>20075</v>
      </c>
      <c r="T7824" t="s">
        <v>19899</v>
      </c>
    </row>
    <row r="7825" spans="2:20" x14ac:dyDescent="0.25">
      <c r="B7825" t="s">
        <v>2709</v>
      </c>
      <c r="C7825">
        <v>84133090</v>
      </c>
      <c r="E7825">
        <v>71.78</v>
      </c>
      <c r="F7825">
        <v>18</v>
      </c>
      <c r="G7825">
        <v>5</v>
      </c>
      <c r="H7825">
        <v>10.8</v>
      </c>
      <c r="I7825">
        <v>2.2999999999999998</v>
      </c>
      <c r="J7825">
        <v>18</v>
      </c>
      <c r="L7825" t="s">
        <v>2709</v>
      </c>
      <c r="M7825">
        <v>84133090</v>
      </c>
      <c r="O7825" t="s">
        <v>20056</v>
      </c>
      <c r="P7825" t="s">
        <v>19899</v>
      </c>
      <c r="Q7825" t="s">
        <v>19909</v>
      </c>
      <c r="R7825" t="s">
        <v>20074</v>
      </c>
      <c r="S7825" t="s">
        <v>20075</v>
      </c>
      <c r="T7825" t="s">
        <v>19899</v>
      </c>
    </row>
    <row r="7826" spans="2:20" x14ac:dyDescent="0.25">
      <c r="B7826" t="s">
        <v>2709</v>
      </c>
      <c r="C7826">
        <v>84134000</v>
      </c>
      <c r="E7826">
        <v>71.78</v>
      </c>
      <c r="F7826">
        <v>12</v>
      </c>
      <c r="G7826">
        <v>0</v>
      </c>
      <c r="H7826" t="s">
        <v>19447</v>
      </c>
      <c r="I7826" t="s">
        <v>19447</v>
      </c>
      <c r="J7826">
        <v>14</v>
      </c>
      <c r="L7826" t="s">
        <v>2709</v>
      </c>
      <c r="M7826">
        <v>84134000</v>
      </c>
      <c r="O7826" t="s">
        <v>20056</v>
      </c>
      <c r="P7826" t="s">
        <v>19903</v>
      </c>
      <c r="Q7826" t="s">
        <v>19900</v>
      </c>
      <c r="R7826" t="s">
        <v>19447</v>
      </c>
      <c r="S7826" t="s">
        <v>19447</v>
      </c>
      <c r="T7826" t="s">
        <v>19911</v>
      </c>
    </row>
    <row r="7827" spans="2:20" x14ac:dyDescent="0.25">
      <c r="B7827" t="s">
        <v>2709</v>
      </c>
      <c r="C7827">
        <v>84135010</v>
      </c>
      <c r="E7827">
        <v>71.78</v>
      </c>
      <c r="F7827">
        <v>12</v>
      </c>
      <c r="G7827">
        <v>0</v>
      </c>
      <c r="H7827" t="s">
        <v>19447</v>
      </c>
      <c r="I7827" t="s">
        <v>19447</v>
      </c>
      <c r="J7827">
        <v>14</v>
      </c>
      <c r="L7827" t="s">
        <v>2709</v>
      </c>
      <c r="M7827">
        <v>84135010</v>
      </c>
      <c r="O7827" t="s">
        <v>20056</v>
      </c>
      <c r="P7827" t="s">
        <v>19903</v>
      </c>
      <c r="Q7827" t="s">
        <v>19900</v>
      </c>
      <c r="R7827" t="s">
        <v>19447</v>
      </c>
      <c r="S7827" t="s">
        <v>19447</v>
      </c>
      <c r="T7827" t="s">
        <v>19911</v>
      </c>
    </row>
    <row r="7828" spans="2:20" x14ac:dyDescent="0.25">
      <c r="B7828" t="s">
        <v>2709</v>
      </c>
      <c r="C7828">
        <v>84135090</v>
      </c>
      <c r="E7828">
        <v>71.78</v>
      </c>
      <c r="F7828">
        <v>12</v>
      </c>
      <c r="G7828">
        <v>0</v>
      </c>
      <c r="H7828" t="s">
        <v>19447</v>
      </c>
      <c r="I7828" t="s">
        <v>19447</v>
      </c>
      <c r="J7828">
        <v>14</v>
      </c>
      <c r="L7828" t="s">
        <v>2709</v>
      </c>
      <c r="M7828">
        <v>84135090</v>
      </c>
      <c r="O7828" t="s">
        <v>20056</v>
      </c>
      <c r="P7828" t="s">
        <v>19903</v>
      </c>
      <c r="Q7828" t="s">
        <v>19900</v>
      </c>
      <c r="R7828" t="s">
        <v>19447</v>
      </c>
      <c r="S7828" t="s">
        <v>19447</v>
      </c>
      <c r="T7828" t="s">
        <v>19911</v>
      </c>
    </row>
    <row r="7829" spans="2:20" x14ac:dyDescent="0.25">
      <c r="B7829" t="s">
        <v>2709</v>
      </c>
      <c r="C7829">
        <v>84136011</v>
      </c>
      <c r="E7829">
        <v>71.78</v>
      </c>
      <c r="F7829">
        <v>12</v>
      </c>
      <c r="G7829">
        <v>0</v>
      </c>
      <c r="H7829" t="s">
        <v>19447</v>
      </c>
      <c r="I7829" t="s">
        <v>19447</v>
      </c>
      <c r="J7829">
        <v>14</v>
      </c>
      <c r="L7829" t="s">
        <v>2709</v>
      </c>
      <c r="M7829">
        <v>84136011</v>
      </c>
      <c r="O7829" t="s">
        <v>20056</v>
      </c>
      <c r="P7829" t="s">
        <v>19903</v>
      </c>
      <c r="Q7829" t="s">
        <v>19900</v>
      </c>
      <c r="R7829" t="s">
        <v>19447</v>
      </c>
      <c r="S7829" t="s">
        <v>19447</v>
      </c>
      <c r="T7829" t="s">
        <v>19911</v>
      </c>
    </row>
    <row r="7830" spans="2:20" x14ac:dyDescent="0.25">
      <c r="B7830" t="s">
        <v>2709</v>
      </c>
      <c r="C7830">
        <v>84136019</v>
      </c>
      <c r="E7830">
        <v>71.78</v>
      </c>
      <c r="F7830">
        <v>12</v>
      </c>
      <c r="G7830">
        <v>0</v>
      </c>
      <c r="H7830">
        <v>10.8</v>
      </c>
      <c r="I7830">
        <v>2.2999999999999998</v>
      </c>
      <c r="J7830">
        <v>14</v>
      </c>
      <c r="L7830" t="s">
        <v>2709</v>
      </c>
      <c r="M7830">
        <v>84136019</v>
      </c>
      <c r="O7830" t="s">
        <v>20056</v>
      </c>
      <c r="P7830" t="s">
        <v>19903</v>
      </c>
      <c r="Q7830" t="s">
        <v>19900</v>
      </c>
      <c r="R7830" t="s">
        <v>20074</v>
      </c>
      <c r="S7830" t="s">
        <v>20075</v>
      </c>
      <c r="T7830" t="s">
        <v>19911</v>
      </c>
    </row>
    <row r="7831" spans="2:20" x14ac:dyDescent="0.25">
      <c r="B7831" t="s">
        <v>2709</v>
      </c>
      <c r="C7831">
        <v>84136090</v>
      </c>
      <c r="E7831">
        <v>71.78</v>
      </c>
      <c r="F7831">
        <v>12</v>
      </c>
      <c r="G7831">
        <v>0</v>
      </c>
      <c r="H7831" t="s">
        <v>19447</v>
      </c>
      <c r="I7831" t="s">
        <v>19447</v>
      </c>
      <c r="J7831">
        <v>14</v>
      </c>
      <c r="L7831" t="s">
        <v>2709</v>
      </c>
      <c r="M7831">
        <v>84136090</v>
      </c>
      <c r="O7831" t="s">
        <v>20056</v>
      </c>
      <c r="P7831" t="s">
        <v>19903</v>
      </c>
      <c r="Q7831" t="s">
        <v>19900</v>
      </c>
      <c r="R7831" t="s">
        <v>19447</v>
      </c>
      <c r="S7831" t="s">
        <v>19447</v>
      </c>
      <c r="T7831" t="s">
        <v>19911</v>
      </c>
    </row>
    <row r="7832" spans="2:20" x14ac:dyDescent="0.25">
      <c r="B7832" t="s">
        <v>2709</v>
      </c>
      <c r="C7832">
        <v>84137010</v>
      </c>
      <c r="E7832">
        <v>71.78</v>
      </c>
      <c r="F7832">
        <v>8.8000000000000007</v>
      </c>
      <c r="G7832">
        <v>5</v>
      </c>
      <c r="H7832" t="s">
        <v>19447</v>
      </c>
      <c r="I7832" t="s">
        <v>19447</v>
      </c>
      <c r="J7832">
        <v>14</v>
      </c>
      <c r="L7832" t="s">
        <v>2709</v>
      </c>
      <c r="M7832">
        <v>84137010</v>
      </c>
      <c r="O7832" t="s">
        <v>20056</v>
      </c>
      <c r="P7832" t="s">
        <v>20127</v>
      </c>
      <c r="Q7832" t="s">
        <v>19909</v>
      </c>
      <c r="R7832" t="s">
        <v>19447</v>
      </c>
      <c r="S7832" t="s">
        <v>19447</v>
      </c>
      <c r="T7832" t="s">
        <v>19911</v>
      </c>
    </row>
    <row r="7833" spans="2:20" x14ac:dyDescent="0.25">
      <c r="B7833" t="s">
        <v>2709</v>
      </c>
      <c r="C7833">
        <v>84137080</v>
      </c>
      <c r="E7833">
        <v>71.78</v>
      </c>
      <c r="F7833">
        <v>8.8000000000000007</v>
      </c>
      <c r="G7833">
        <v>5</v>
      </c>
      <c r="H7833" t="s">
        <v>19447</v>
      </c>
      <c r="I7833" t="s">
        <v>19447</v>
      </c>
      <c r="J7833">
        <v>14</v>
      </c>
      <c r="L7833" t="s">
        <v>2709</v>
      </c>
      <c r="M7833">
        <v>84137080</v>
      </c>
      <c r="O7833" t="s">
        <v>20056</v>
      </c>
      <c r="P7833" t="s">
        <v>20127</v>
      </c>
      <c r="Q7833" t="s">
        <v>19909</v>
      </c>
      <c r="R7833" t="s">
        <v>19447</v>
      </c>
      <c r="S7833" t="s">
        <v>19447</v>
      </c>
      <c r="T7833" t="s">
        <v>19911</v>
      </c>
    </row>
    <row r="7834" spans="2:20" x14ac:dyDescent="0.25">
      <c r="B7834" t="s">
        <v>2709</v>
      </c>
      <c r="C7834">
        <v>84137090</v>
      </c>
      <c r="E7834">
        <v>71.78</v>
      </c>
      <c r="F7834">
        <v>8.8000000000000007</v>
      </c>
      <c r="G7834">
        <v>0</v>
      </c>
      <c r="H7834" t="s">
        <v>19447</v>
      </c>
      <c r="I7834" t="s">
        <v>19447</v>
      </c>
      <c r="J7834">
        <v>14</v>
      </c>
      <c r="L7834" t="s">
        <v>2709</v>
      </c>
      <c r="M7834">
        <v>84137090</v>
      </c>
      <c r="O7834" t="s">
        <v>20056</v>
      </c>
      <c r="P7834" t="s">
        <v>20127</v>
      </c>
      <c r="Q7834" t="s">
        <v>19900</v>
      </c>
      <c r="R7834" t="s">
        <v>19447</v>
      </c>
      <c r="S7834" t="s">
        <v>19447</v>
      </c>
      <c r="T7834" t="s">
        <v>19911</v>
      </c>
    </row>
    <row r="7835" spans="2:20" x14ac:dyDescent="0.25">
      <c r="B7835" t="s">
        <v>2709</v>
      </c>
      <c r="C7835">
        <v>84138100</v>
      </c>
      <c r="E7835">
        <v>71.78</v>
      </c>
      <c r="F7835">
        <v>12</v>
      </c>
      <c r="G7835">
        <v>0</v>
      </c>
      <c r="H7835" t="s">
        <v>19447</v>
      </c>
      <c r="I7835" t="s">
        <v>19447</v>
      </c>
      <c r="J7835">
        <v>14</v>
      </c>
      <c r="L7835" t="s">
        <v>2709</v>
      </c>
      <c r="M7835">
        <v>84138100</v>
      </c>
      <c r="O7835" t="s">
        <v>20056</v>
      </c>
      <c r="P7835" t="s">
        <v>19903</v>
      </c>
      <c r="Q7835" t="s">
        <v>19900</v>
      </c>
      <c r="R7835" t="s">
        <v>19447</v>
      </c>
      <c r="S7835" t="s">
        <v>19447</v>
      </c>
      <c r="T7835" t="s">
        <v>19911</v>
      </c>
    </row>
    <row r="7836" spans="2:20" x14ac:dyDescent="0.25">
      <c r="B7836" t="s">
        <v>2709</v>
      </c>
      <c r="C7836">
        <v>84138200</v>
      </c>
      <c r="E7836">
        <v>71.78</v>
      </c>
      <c r="F7836">
        <v>12</v>
      </c>
      <c r="G7836">
        <v>0</v>
      </c>
      <c r="H7836" t="s">
        <v>19447</v>
      </c>
      <c r="I7836" t="s">
        <v>19447</v>
      </c>
      <c r="J7836">
        <v>14</v>
      </c>
      <c r="L7836" t="s">
        <v>2709</v>
      </c>
      <c r="M7836">
        <v>84138200</v>
      </c>
      <c r="O7836" t="s">
        <v>20056</v>
      </c>
      <c r="P7836" t="s">
        <v>19903</v>
      </c>
      <c r="Q7836" t="s">
        <v>19900</v>
      </c>
      <c r="R7836" t="s">
        <v>19447</v>
      </c>
      <c r="S7836" t="s">
        <v>19447</v>
      </c>
      <c r="T7836" t="s">
        <v>19911</v>
      </c>
    </row>
    <row r="7837" spans="2:20" x14ac:dyDescent="0.25">
      <c r="B7837" t="s">
        <v>2709</v>
      </c>
      <c r="C7837">
        <v>84139110</v>
      </c>
      <c r="E7837">
        <v>71.78</v>
      </c>
      <c r="F7837">
        <v>18</v>
      </c>
      <c r="G7837">
        <v>0</v>
      </c>
      <c r="H7837">
        <v>7.6</v>
      </c>
      <c r="I7837">
        <v>1.65</v>
      </c>
      <c r="J7837">
        <v>14</v>
      </c>
      <c r="L7837" t="s">
        <v>2709</v>
      </c>
      <c r="M7837">
        <v>84139110</v>
      </c>
      <c r="O7837" t="s">
        <v>20056</v>
      </c>
      <c r="P7837" t="s">
        <v>19899</v>
      </c>
      <c r="Q7837" t="s">
        <v>19900</v>
      </c>
      <c r="R7837" t="s">
        <v>19905</v>
      </c>
      <c r="S7837" t="s">
        <v>19906</v>
      </c>
      <c r="T7837" t="s">
        <v>19911</v>
      </c>
    </row>
    <row r="7838" spans="2:20" x14ac:dyDescent="0.25">
      <c r="B7838" t="s">
        <v>2709</v>
      </c>
      <c r="C7838">
        <v>84139190</v>
      </c>
      <c r="E7838">
        <v>71.78</v>
      </c>
      <c r="F7838">
        <v>18</v>
      </c>
      <c r="G7838">
        <v>5</v>
      </c>
      <c r="H7838">
        <v>7.6</v>
      </c>
      <c r="I7838">
        <v>1.65</v>
      </c>
      <c r="J7838">
        <v>14</v>
      </c>
      <c r="L7838" t="s">
        <v>2709</v>
      </c>
      <c r="M7838">
        <v>84139190</v>
      </c>
      <c r="O7838" t="s">
        <v>20056</v>
      </c>
      <c r="P7838" t="s">
        <v>19899</v>
      </c>
      <c r="Q7838" t="s">
        <v>19909</v>
      </c>
      <c r="R7838" t="s">
        <v>19905</v>
      </c>
      <c r="S7838" t="s">
        <v>19906</v>
      </c>
      <c r="T7838" t="s">
        <v>19911</v>
      </c>
    </row>
    <row r="7839" spans="2:20" x14ac:dyDescent="0.25">
      <c r="B7839" t="s">
        <v>2709</v>
      </c>
      <c r="C7839">
        <v>84139190</v>
      </c>
      <c r="D7839">
        <v>1</v>
      </c>
      <c r="E7839" t="s">
        <v>19447</v>
      </c>
      <c r="F7839">
        <v>18</v>
      </c>
      <c r="G7839">
        <v>4</v>
      </c>
      <c r="H7839">
        <v>7.6</v>
      </c>
      <c r="I7839">
        <v>1.65</v>
      </c>
      <c r="J7839">
        <v>14</v>
      </c>
      <c r="L7839" t="s">
        <v>2709</v>
      </c>
      <c r="M7839">
        <v>84139190</v>
      </c>
      <c r="N7839">
        <v>1</v>
      </c>
      <c r="O7839" t="s">
        <v>19447</v>
      </c>
      <c r="P7839" t="s">
        <v>19899</v>
      </c>
      <c r="Q7839" t="s">
        <v>19902</v>
      </c>
      <c r="R7839" t="s">
        <v>19905</v>
      </c>
      <c r="S7839" t="s">
        <v>19906</v>
      </c>
      <c r="T7839" t="s">
        <v>19911</v>
      </c>
    </row>
    <row r="7840" spans="2:20" x14ac:dyDescent="0.25">
      <c r="B7840" t="s">
        <v>2709</v>
      </c>
      <c r="C7840">
        <v>84139200</v>
      </c>
      <c r="E7840">
        <v>71.78</v>
      </c>
      <c r="F7840">
        <v>18</v>
      </c>
      <c r="G7840">
        <v>0</v>
      </c>
      <c r="H7840" t="s">
        <v>19447</v>
      </c>
      <c r="I7840" t="s">
        <v>19447</v>
      </c>
      <c r="J7840">
        <v>14</v>
      </c>
      <c r="L7840" t="s">
        <v>2709</v>
      </c>
      <c r="M7840">
        <v>84139200</v>
      </c>
      <c r="O7840" t="s">
        <v>20056</v>
      </c>
      <c r="P7840" t="s">
        <v>19899</v>
      </c>
      <c r="Q7840" t="s">
        <v>19900</v>
      </c>
      <c r="R7840" t="s">
        <v>19447</v>
      </c>
      <c r="S7840" t="s">
        <v>19447</v>
      </c>
      <c r="T7840" t="s">
        <v>19911</v>
      </c>
    </row>
    <row r="7841" spans="2:20" x14ac:dyDescent="0.25">
      <c r="B7841" t="s">
        <v>2709</v>
      </c>
      <c r="C7841">
        <v>84141000</v>
      </c>
      <c r="E7841">
        <v>71.78</v>
      </c>
      <c r="F7841">
        <v>12</v>
      </c>
      <c r="G7841">
        <v>0</v>
      </c>
      <c r="H7841" t="s">
        <v>19447</v>
      </c>
      <c r="I7841" t="s">
        <v>19447</v>
      </c>
      <c r="J7841">
        <v>14</v>
      </c>
      <c r="L7841" t="s">
        <v>2709</v>
      </c>
      <c r="M7841">
        <v>84141000</v>
      </c>
      <c r="O7841" t="s">
        <v>20056</v>
      </c>
      <c r="P7841" t="s">
        <v>19903</v>
      </c>
      <c r="Q7841" t="s">
        <v>19900</v>
      </c>
      <c r="R7841" t="s">
        <v>19447</v>
      </c>
      <c r="S7841" t="s">
        <v>19447</v>
      </c>
      <c r="T7841" t="s">
        <v>19911</v>
      </c>
    </row>
    <row r="7842" spans="2:20" x14ac:dyDescent="0.25">
      <c r="B7842" t="s">
        <v>2709</v>
      </c>
      <c r="C7842">
        <v>84142000</v>
      </c>
      <c r="E7842">
        <v>71.78</v>
      </c>
      <c r="F7842">
        <v>18</v>
      </c>
      <c r="G7842">
        <v>5</v>
      </c>
      <c r="H7842" t="s">
        <v>19447</v>
      </c>
      <c r="I7842" t="s">
        <v>19447</v>
      </c>
      <c r="J7842">
        <v>18</v>
      </c>
      <c r="L7842" t="s">
        <v>2709</v>
      </c>
      <c r="M7842">
        <v>84142000</v>
      </c>
      <c r="O7842" t="s">
        <v>20056</v>
      </c>
      <c r="P7842" t="s">
        <v>19899</v>
      </c>
      <c r="Q7842" t="s">
        <v>19909</v>
      </c>
      <c r="R7842" t="s">
        <v>19447</v>
      </c>
      <c r="S7842" t="s">
        <v>19447</v>
      </c>
      <c r="T7842" t="s">
        <v>19899</v>
      </c>
    </row>
    <row r="7843" spans="2:20" x14ac:dyDescent="0.25">
      <c r="B7843" t="s">
        <v>2709</v>
      </c>
      <c r="C7843">
        <v>84143011</v>
      </c>
      <c r="E7843">
        <v>71.78</v>
      </c>
      <c r="F7843">
        <v>18</v>
      </c>
      <c r="G7843">
        <v>5</v>
      </c>
      <c r="H7843" t="s">
        <v>19447</v>
      </c>
      <c r="I7843" t="s">
        <v>19447</v>
      </c>
      <c r="J7843">
        <v>18</v>
      </c>
      <c r="L7843" t="s">
        <v>2709</v>
      </c>
      <c r="M7843">
        <v>84143011</v>
      </c>
      <c r="O7843" t="s">
        <v>20056</v>
      </c>
      <c r="P7843" t="s">
        <v>19899</v>
      </c>
      <c r="Q7843" t="s">
        <v>19909</v>
      </c>
      <c r="R7843" t="s">
        <v>19447</v>
      </c>
      <c r="S7843" t="s">
        <v>19447</v>
      </c>
      <c r="T7843" t="s">
        <v>19899</v>
      </c>
    </row>
    <row r="7844" spans="2:20" x14ac:dyDescent="0.25">
      <c r="B7844" t="s">
        <v>2709</v>
      </c>
      <c r="C7844">
        <v>84143019</v>
      </c>
      <c r="E7844">
        <v>71.78</v>
      </c>
      <c r="F7844">
        <v>18</v>
      </c>
      <c r="G7844">
        <v>0</v>
      </c>
      <c r="H7844" t="s">
        <v>19447</v>
      </c>
      <c r="I7844" t="s">
        <v>19447</v>
      </c>
      <c r="J7844">
        <v>0</v>
      </c>
      <c r="L7844" t="s">
        <v>2709</v>
      </c>
      <c r="M7844">
        <v>84143019</v>
      </c>
      <c r="O7844" t="s">
        <v>20056</v>
      </c>
      <c r="P7844" t="s">
        <v>19899</v>
      </c>
      <c r="Q7844" t="s">
        <v>19900</v>
      </c>
      <c r="R7844" t="s">
        <v>19447</v>
      </c>
      <c r="S7844" t="s">
        <v>19447</v>
      </c>
      <c r="T7844" t="s">
        <v>19900</v>
      </c>
    </row>
    <row r="7845" spans="2:20" x14ac:dyDescent="0.25">
      <c r="B7845" t="s">
        <v>2709</v>
      </c>
      <c r="C7845">
        <v>84143091</v>
      </c>
      <c r="E7845">
        <v>71.78</v>
      </c>
      <c r="F7845">
        <v>18</v>
      </c>
      <c r="G7845">
        <v>5</v>
      </c>
      <c r="H7845" t="s">
        <v>19447</v>
      </c>
      <c r="I7845" t="s">
        <v>19447</v>
      </c>
      <c r="J7845">
        <v>18</v>
      </c>
      <c r="L7845" t="s">
        <v>2709</v>
      </c>
      <c r="M7845">
        <v>84143091</v>
      </c>
      <c r="O7845" t="s">
        <v>20056</v>
      </c>
      <c r="P7845" t="s">
        <v>19899</v>
      </c>
      <c r="Q7845" t="s">
        <v>19909</v>
      </c>
      <c r="R7845" t="s">
        <v>19447</v>
      </c>
      <c r="S7845" t="s">
        <v>19447</v>
      </c>
      <c r="T7845" t="s">
        <v>19899</v>
      </c>
    </row>
    <row r="7846" spans="2:20" x14ac:dyDescent="0.25">
      <c r="B7846" t="s">
        <v>2709</v>
      </c>
      <c r="C7846">
        <v>84143099</v>
      </c>
      <c r="E7846">
        <v>71.78</v>
      </c>
      <c r="F7846">
        <v>18</v>
      </c>
      <c r="G7846">
        <v>0</v>
      </c>
      <c r="H7846" t="s">
        <v>19447</v>
      </c>
      <c r="I7846" t="s">
        <v>19447</v>
      </c>
      <c r="J7846">
        <v>14</v>
      </c>
      <c r="L7846" t="s">
        <v>2709</v>
      </c>
      <c r="M7846">
        <v>84143099</v>
      </c>
      <c r="O7846" t="s">
        <v>20056</v>
      </c>
      <c r="P7846" t="s">
        <v>19899</v>
      </c>
      <c r="Q7846" t="s">
        <v>19900</v>
      </c>
      <c r="R7846" t="s">
        <v>19447</v>
      </c>
      <c r="S7846" t="s">
        <v>19447</v>
      </c>
      <c r="T7846" t="s">
        <v>19911</v>
      </c>
    </row>
    <row r="7847" spans="2:20" x14ac:dyDescent="0.25">
      <c r="B7847" t="s">
        <v>2709</v>
      </c>
      <c r="C7847">
        <v>84144010</v>
      </c>
      <c r="E7847">
        <v>71.78</v>
      </c>
      <c r="F7847">
        <v>12</v>
      </c>
      <c r="G7847">
        <v>0</v>
      </c>
      <c r="H7847" t="s">
        <v>19447</v>
      </c>
      <c r="I7847" t="s">
        <v>19447</v>
      </c>
      <c r="J7847">
        <v>14</v>
      </c>
      <c r="L7847" t="s">
        <v>2709</v>
      </c>
      <c r="M7847">
        <v>84144010</v>
      </c>
      <c r="O7847" t="s">
        <v>20056</v>
      </c>
      <c r="P7847" t="s">
        <v>19903</v>
      </c>
      <c r="Q7847" t="s">
        <v>19900</v>
      </c>
      <c r="R7847" t="s">
        <v>19447</v>
      </c>
      <c r="S7847" t="s">
        <v>19447</v>
      </c>
      <c r="T7847" t="s">
        <v>19911</v>
      </c>
    </row>
    <row r="7848" spans="2:20" x14ac:dyDescent="0.25">
      <c r="B7848" t="s">
        <v>2709</v>
      </c>
      <c r="C7848">
        <v>84144020</v>
      </c>
      <c r="E7848">
        <v>71.78</v>
      </c>
      <c r="F7848">
        <v>12</v>
      </c>
      <c r="G7848">
        <v>0</v>
      </c>
      <c r="H7848" t="s">
        <v>19447</v>
      </c>
      <c r="I7848" t="s">
        <v>19447</v>
      </c>
      <c r="J7848">
        <v>14</v>
      </c>
      <c r="L7848" t="s">
        <v>2709</v>
      </c>
      <c r="M7848">
        <v>84144020</v>
      </c>
      <c r="O7848" t="s">
        <v>20056</v>
      </c>
      <c r="P7848" t="s">
        <v>19903</v>
      </c>
      <c r="Q7848" t="s">
        <v>19900</v>
      </c>
      <c r="R7848" t="s">
        <v>19447</v>
      </c>
      <c r="S7848" t="s">
        <v>19447</v>
      </c>
      <c r="T7848" t="s">
        <v>19911</v>
      </c>
    </row>
    <row r="7849" spans="2:20" x14ac:dyDescent="0.25">
      <c r="B7849" t="s">
        <v>2709</v>
      </c>
      <c r="C7849">
        <v>84144090</v>
      </c>
      <c r="E7849">
        <v>71.78</v>
      </c>
      <c r="F7849">
        <v>12</v>
      </c>
      <c r="G7849">
        <v>0</v>
      </c>
      <c r="H7849" t="s">
        <v>19447</v>
      </c>
      <c r="I7849" t="s">
        <v>19447</v>
      </c>
      <c r="J7849">
        <v>14</v>
      </c>
      <c r="L7849" t="s">
        <v>2709</v>
      </c>
      <c r="M7849">
        <v>84144090</v>
      </c>
      <c r="O7849" t="s">
        <v>20056</v>
      </c>
      <c r="P7849" t="s">
        <v>19903</v>
      </c>
      <c r="Q7849" t="s">
        <v>19900</v>
      </c>
      <c r="R7849" t="s">
        <v>19447</v>
      </c>
      <c r="S7849" t="s">
        <v>19447</v>
      </c>
      <c r="T7849" t="s">
        <v>19911</v>
      </c>
    </row>
    <row r="7850" spans="2:20" x14ac:dyDescent="0.25">
      <c r="B7850" t="s">
        <v>2709</v>
      </c>
      <c r="C7850">
        <v>84145110</v>
      </c>
      <c r="E7850">
        <v>60.42</v>
      </c>
      <c r="F7850">
        <v>18</v>
      </c>
      <c r="G7850">
        <v>15</v>
      </c>
      <c r="H7850" t="s">
        <v>19447</v>
      </c>
      <c r="I7850" t="s">
        <v>19447</v>
      </c>
      <c r="J7850">
        <v>20</v>
      </c>
      <c r="L7850" t="s">
        <v>2709</v>
      </c>
      <c r="M7850">
        <v>84145110</v>
      </c>
      <c r="O7850" t="s">
        <v>20147</v>
      </c>
      <c r="P7850" t="s">
        <v>19899</v>
      </c>
      <c r="Q7850" t="s">
        <v>19983</v>
      </c>
      <c r="R7850" t="s">
        <v>19447</v>
      </c>
      <c r="S7850" t="s">
        <v>19447</v>
      </c>
      <c r="T7850" t="s">
        <v>19934</v>
      </c>
    </row>
    <row r="7851" spans="2:20" x14ac:dyDescent="0.25">
      <c r="B7851" t="s">
        <v>2709</v>
      </c>
      <c r="C7851">
        <v>84145120</v>
      </c>
      <c r="E7851">
        <v>60.42</v>
      </c>
      <c r="F7851">
        <v>18</v>
      </c>
      <c r="G7851">
        <v>15</v>
      </c>
      <c r="H7851" t="s">
        <v>19447</v>
      </c>
      <c r="I7851" t="s">
        <v>19447</v>
      </c>
      <c r="J7851">
        <v>20</v>
      </c>
      <c r="L7851" t="s">
        <v>2709</v>
      </c>
      <c r="M7851">
        <v>84145120</v>
      </c>
      <c r="O7851" t="s">
        <v>20147</v>
      </c>
      <c r="P7851" t="s">
        <v>19899</v>
      </c>
      <c r="Q7851" t="s">
        <v>19983</v>
      </c>
      <c r="R7851" t="s">
        <v>19447</v>
      </c>
      <c r="S7851" t="s">
        <v>19447</v>
      </c>
      <c r="T7851" t="s">
        <v>19934</v>
      </c>
    </row>
    <row r="7852" spans="2:20" x14ac:dyDescent="0.25">
      <c r="B7852" t="s">
        <v>2709</v>
      </c>
      <c r="C7852">
        <v>84145190</v>
      </c>
      <c r="E7852">
        <v>60.42</v>
      </c>
      <c r="F7852">
        <v>18</v>
      </c>
      <c r="G7852">
        <v>15</v>
      </c>
      <c r="H7852" t="s">
        <v>19447</v>
      </c>
      <c r="I7852" t="s">
        <v>19447</v>
      </c>
      <c r="J7852">
        <v>20</v>
      </c>
      <c r="L7852" t="s">
        <v>2709</v>
      </c>
      <c r="M7852">
        <v>84145190</v>
      </c>
      <c r="O7852" t="s">
        <v>20147</v>
      </c>
      <c r="P7852" t="s">
        <v>19899</v>
      </c>
      <c r="Q7852" t="s">
        <v>19983</v>
      </c>
      <c r="R7852" t="s">
        <v>19447</v>
      </c>
      <c r="S7852" t="s">
        <v>19447</v>
      </c>
      <c r="T7852" t="s">
        <v>19934</v>
      </c>
    </row>
    <row r="7853" spans="2:20" x14ac:dyDescent="0.25">
      <c r="B7853" t="s">
        <v>2709</v>
      </c>
      <c r="C7853">
        <v>84145910</v>
      </c>
      <c r="E7853">
        <v>71.78</v>
      </c>
      <c r="F7853">
        <v>18</v>
      </c>
      <c r="G7853">
        <v>5</v>
      </c>
      <c r="H7853" t="s">
        <v>19447</v>
      </c>
      <c r="I7853" t="s">
        <v>19447</v>
      </c>
      <c r="J7853">
        <v>0</v>
      </c>
      <c r="L7853" t="s">
        <v>2709</v>
      </c>
      <c r="M7853">
        <v>84145910</v>
      </c>
      <c r="O7853" t="s">
        <v>20056</v>
      </c>
      <c r="P7853" t="s">
        <v>19899</v>
      </c>
      <c r="Q7853" t="s">
        <v>19909</v>
      </c>
      <c r="R7853" t="s">
        <v>19447</v>
      </c>
      <c r="S7853" t="s">
        <v>19447</v>
      </c>
      <c r="T7853" t="s">
        <v>19900</v>
      </c>
    </row>
    <row r="7854" spans="2:20" x14ac:dyDescent="0.25">
      <c r="B7854" t="s">
        <v>2709</v>
      </c>
      <c r="C7854">
        <v>84145990</v>
      </c>
      <c r="E7854">
        <v>71.78</v>
      </c>
      <c r="F7854">
        <v>12</v>
      </c>
      <c r="G7854">
        <v>0</v>
      </c>
      <c r="H7854" t="s">
        <v>19447</v>
      </c>
      <c r="I7854" t="s">
        <v>19447</v>
      </c>
      <c r="J7854">
        <v>14</v>
      </c>
      <c r="L7854" t="s">
        <v>2709</v>
      </c>
      <c r="M7854">
        <v>84145990</v>
      </c>
      <c r="O7854" t="s">
        <v>20056</v>
      </c>
      <c r="P7854" t="s">
        <v>19903</v>
      </c>
      <c r="Q7854" t="s">
        <v>19900</v>
      </c>
      <c r="R7854" t="s">
        <v>19447</v>
      </c>
      <c r="S7854" t="s">
        <v>19447</v>
      </c>
      <c r="T7854" t="s">
        <v>19911</v>
      </c>
    </row>
    <row r="7855" spans="2:20" x14ac:dyDescent="0.25">
      <c r="B7855" t="s">
        <v>2709</v>
      </c>
      <c r="C7855">
        <v>84146000</v>
      </c>
      <c r="E7855">
        <v>52.61</v>
      </c>
      <c r="F7855">
        <v>18</v>
      </c>
      <c r="G7855">
        <v>10</v>
      </c>
      <c r="H7855" t="s">
        <v>19447</v>
      </c>
      <c r="I7855" t="s">
        <v>19447</v>
      </c>
      <c r="J7855">
        <v>20</v>
      </c>
      <c r="L7855" t="s">
        <v>2709</v>
      </c>
      <c r="M7855">
        <v>84146000</v>
      </c>
      <c r="O7855" t="s">
        <v>20148</v>
      </c>
      <c r="P7855" t="s">
        <v>19899</v>
      </c>
      <c r="Q7855" t="s">
        <v>19904</v>
      </c>
      <c r="R7855" t="s">
        <v>19447</v>
      </c>
      <c r="S7855" t="s">
        <v>19447</v>
      </c>
      <c r="T7855" t="s">
        <v>19934</v>
      </c>
    </row>
    <row r="7856" spans="2:20" x14ac:dyDescent="0.25">
      <c r="B7856" t="s">
        <v>2709</v>
      </c>
      <c r="C7856">
        <v>84146000</v>
      </c>
      <c r="D7856">
        <v>1</v>
      </c>
      <c r="E7856" t="s">
        <v>19447</v>
      </c>
      <c r="F7856">
        <v>18</v>
      </c>
      <c r="G7856">
        <v>15</v>
      </c>
      <c r="H7856">
        <v>7.6</v>
      </c>
      <c r="I7856">
        <v>1.65</v>
      </c>
      <c r="J7856">
        <v>20</v>
      </c>
      <c r="L7856" t="s">
        <v>2709</v>
      </c>
      <c r="M7856">
        <v>84146000</v>
      </c>
      <c r="N7856">
        <v>1</v>
      </c>
      <c r="O7856" t="s">
        <v>19447</v>
      </c>
      <c r="P7856" t="s">
        <v>19899</v>
      </c>
      <c r="Q7856" t="s">
        <v>19983</v>
      </c>
      <c r="R7856" t="s">
        <v>19905</v>
      </c>
      <c r="S7856" t="s">
        <v>19906</v>
      </c>
      <c r="T7856" t="s">
        <v>19934</v>
      </c>
    </row>
    <row r="7857" spans="2:20" x14ac:dyDescent="0.25">
      <c r="B7857" t="s">
        <v>2709</v>
      </c>
      <c r="C7857">
        <v>84148011</v>
      </c>
      <c r="E7857">
        <v>71.78</v>
      </c>
      <c r="F7857">
        <v>12</v>
      </c>
      <c r="G7857">
        <v>0</v>
      </c>
      <c r="H7857" t="s">
        <v>19447</v>
      </c>
      <c r="I7857" t="s">
        <v>19447</v>
      </c>
      <c r="J7857">
        <v>14</v>
      </c>
      <c r="L7857" t="s">
        <v>2709</v>
      </c>
      <c r="M7857">
        <v>84148011</v>
      </c>
      <c r="O7857" t="s">
        <v>20056</v>
      </c>
      <c r="P7857" t="s">
        <v>19903</v>
      </c>
      <c r="Q7857" t="s">
        <v>19900</v>
      </c>
      <c r="R7857" t="s">
        <v>19447</v>
      </c>
      <c r="S7857" t="s">
        <v>19447</v>
      </c>
      <c r="T7857" t="s">
        <v>19911</v>
      </c>
    </row>
    <row r="7858" spans="2:20" x14ac:dyDescent="0.25">
      <c r="B7858" t="s">
        <v>2709</v>
      </c>
      <c r="C7858">
        <v>84148012</v>
      </c>
      <c r="E7858">
        <v>71.78</v>
      </c>
      <c r="F7858">
        <v>12</v>
      </c>
      <c r="G7858">
        <v>0</v>
      </c>
      <c r="H7858" t="s">
        <v>19447</v>
      </c>
      <c r="I7858" t="s">
        <v>19447</v>
      </c>
      <c r="J7858">
        <v>14</v>
      </c>
      <c r="L7858" t="s">
        <v>2709</v>
      </c>
      <c r="M7858">
        <v>84148012</v>
      </c>
      <c r="O7858" t="s">
        <v>20056</v>
      </c>
      <c r="P7858" t="s">
        <v>19903</v>
      </c>
      <c r="Q7858" t="s">
        <v>19900</v>
      </c>
      <c r="R7858" t="s">
        <v>19447</v>
      </c>
      <c r="S7858" t="s">
        <v>19447</v>
      </c>
      <c r="T7858" t="s">
        <v>19911</v>
      </c>
    </row>
    <row r="7859" spans="2:20" x14ac:dyDescent="0.25">
      <c r="B7859" t="s">
        <v>2709</v>
      </c>
      <c r="C7859">
        <v>84148013</v>
      </c>
      <c r="E7859">
        <v>71.78</v>
      </c>
      <c r="F7859">
        <v>12</v>
      </c>
      <c r="G7859">
        <v>0</v>
      </c>
      <c r="H7859" t="s">
        <v>19447</v>
      </c>
      <c r="I7859" t="s">
        <v>19447</v>
      </c>
      <c r="J7859">
        <v>14</v>
      </c>
      <c r="L7859" t="s">
        <v>2709</v>
      </c>
      <c r="M7859">
        <v>84148013</v>
      </c>
      <c r="O7859" t="s">
        <v>20056</v>
      </c>
      <c r="P7859" t="s">
        <v>19903</v>
      </c>
      <c r="Q7859" t="s">
        <v>19900</v>
      </c>
      <c r="R7859" t="s">
        <v>19447</v>
      </c>
      <c r="S7859" t="s">
        <v>19447</v>
      </c>
      <c r="T7859" t="s">
        <v>19911</v>
      </c>
    </row>
    <row r="7860" spans="2:20" x14ac:dyDescent="0.25">
      <c r="B7860" t="s">
        <v>2709</v>
      </c>
      <c r="C7860">
        <v>84148019</v>
      </c>
      <c r="E7860">
        <v>71.78</v>
      </c>
      <c r="F7860">
        <v>12</v>
      </c>
      <c r="G7860">
        <v>0</v>
      </c>
      <c r="H7860">
        <v>10.8</v>
      </c>
      <c r="I7860">
        <v>2.2999999999999998</v>
      </c>
      <c r="J7860">
        <v>14</v>
      </c>
      <c r="L7860" t="s">
        <v>2709</v>
      </c>
      <c r="M7860">
        <v>84148019</v>
      </c>
      <c r="O7860" t="s">
        <v>20056</v>
      </c>
      <c r="P7860" t="s">
        <v>19903</v>
      </c>
      <c r="Q7860" t="s">
        <v>19900</v>
      </c>
      <c r="R7860" t="s">
        <v>20074</v>
      </c>
      <c r="S7860" t="s">
        <v>20075</v>
      </c>
      <c r="T7860" t="s">
        <v>19911</v>
      </c>
    </row>
    <row r="7861" spans="2:20" x14ac:dyDescent="0.25">
      <c r="B7861" t="s">
        <v>2709</v>
      </c>
      <c r="C7861">
        <v>84148021</v>
      </c>
      <c r="E7861">
        <v>71.78</v>
      </c>
      <c r="F7861">
        <v>18</v>
      </c>
      <c r="G7861">
        <v>5</v>
      </c>
      <c r="H7861">
        <v>10.8</v>
      </c>
      <c r="I7861">
        <v>2.2999999999999998</v>
      </c>
      <c r="J7861">
        <v>14</v>
      </c>
      <c r="L7861" t="s">
        <v>2709</v>
      </c>
      <c r="M7861">
        <v>84148021</v>
      </c>
      <c r="O7861" t="s">
        <v>20056</v>
      </c>
      <c r="P7861" t="s">
        <v>19899</v>
      </c>
      <c r="Q7861" t="s">
        <v>19909</v>
      </c>
      <c r="R7861" t="s">
        <v>20074</v>
      </c>
      <c r="S7861" t="s">
        <v>20075</v>
      </c>
      <c r="T7861" t="s">
        <v>19911</v>
      </c>
    </row>
    <row r="7862" spans="2:20" x14ac:dyDescent="0.25">
      <c r="B7862" t="s">
        <v>2709</v>
      </c>
      <c r="C7862">
        <v>84148022</v>
      </c>
      <c r="E7862">
        <v>71.78</v>
      </c>
      <c r="F7862">
        <v>18</v>
      </c>
      <c r="G7862">
        <v>5</v>
      </c>
      <c r="H7862">
        <v>10.8</v>
      </c>
      <c r="I7862">
        <v>2.2999999999999998</v>
      </c>
      <c r="J7862">
        <v>14</v>
      </c>
      <c r="L7862" t="s">
        <v>2709</v>
      </c>
      <c r="M7862">
        <v>84148022</v>
      </c>
      <c r="O7862" t="s">
        <v>20056</v>
      </c>
      <c r="P7862" t="s">
        <v>19899</v>
      </c>
      <c r="Q7862" t="s">
        <v>19909</v>
      </c>
      <c r="R7862" t="s">
        <v>20074</v>
      </c>
      <c r="S7862" t="s">
        <v>20075</v>
      </c>
      <c r="T7862" t="s">
        <v>19911</v>
      </c>
    </row>
    <row r="7863" spans="2:20" x14ac:dyDescent="0.25">
      <c r="B7863" t="s">
        <v>2709</v>
      </c>
      <c r="C7863">
        <v>84148029</v>
      </c>
      <c r="E7863">
        <v>71.78</v>
      </c>
      <c r="F7863">
        <v>18</v>
      </c>
      <c r="G7863">
        <v>0</v>
      </c>
      <c r="H7863" t="s">
        <v>19447</v>
      </c>
      <c r="I7863" t="s">
        <v>19447</v>
      </c>
      <c r="J7863">
        <v>14</v>
      </c>
      <c r="L7863" t="s">
        <v>2709</v>
      </c>
      <c r="M7863">
        <v>84148029</v>
      </c>
      <c r="O7863" t="s">
        <v>20056</v>
      </c>
      <c r="P7863" t="s">
        <v>19899</v>
      </c>
      <c r="Q7863" t="s">
        <v>19900</v>
      </c>
      <c r="R7863" t="s">
        <v>19447</v>
      </c>
      <c r="S7863" t="s">
        <v>19447</v>
      </c>
      <c r="T7863" t="s">
        <v>19911</v>
      </c>
    </row>
    <row r="7864" spans="2:20" x14ac:dyDescent="0.25">
      <c r="B7864" t="s">
        <v>2709</v>
      </c>
      <c r="C7864">
        <v>84148031</v>
      </c>
      <c r="E7864">
        <v>71.78</v>
      </c>
      <c r="F7864">
        <v>8.8000000000000007</v>
      </c>
      <c r="G7864">
        <v>0</v>
      </c>
      <c r="H7864" t="s">
        <v>19447</v>
      </c>
      <c r="I7864" t="s">
        <v>19447</v>
      </c>
      <c r="J7864">
        <v>14</v>
      </c>
      <c r="L7864" t="s">
        <v>2709</v>
      </c>
      <c r="M7864">
        <v>84148031</v>
      </c>
      <c r="O7864" t="s">
        <v>20056</v>
      </c>
      <c r="P7864" t="s">
        <v>20127</v>
      </c>
      <c r="Q7864" t="s">
        <v>19900</v>
      </c>
      <c r="R7864" t="s">
        <v>19447</v>
      </c>
      <c r="S7864" t="s">
        <v>19447</v>
      </c>
      <c r="T7864" t="s">
        <v>19911</v>
      </c>
    </row>
    <row r="7865" spans="2:20" x14ac:dyDescent="0.25">
      <c r="B7865" t="s">
        <v>2709</v>
      </c>
      <c r="C7865">
        <v>84148032</v>
      </c>
      <c r="E7865">
        <v>71.78</v>
      </c>
      <c r="F7865">
        <v>8.8000000000000007</v>
      </c>
      <c r="G7865">
        <v>0</v>
      </c>
      <c r="H7865" t="s">
        <v>19447</v>
      </c>
      <c r="I7865" t="s">
        <v>19447</v>
      </c>
      <c r="J7865">
        <v>14</v>
      </c>
      <c r="L7865" t="s">
        <v>2709</v>
      </c>
      <c r="M7865">
        <v>84148032</v>
      </c>
      <c r="O7865" t="s">
        <v>20056</v>
      </c>
      <c r="P7865" t="s">
        <v>20127</v>
      </c>
      <c r="Q7865" t="s">
        <v>19900</v>
      </c>
      <c r="R7865" t="s">
        <v>19447</v>
      </c>
      <c r="S7865" t="s">
        <v>19447</v>
      </c>
      <c r="T7865" t="s">
        <v>19911</v>
      </c>
    </row>
    <row r="7866" spans="2:20" x14ac:dyDescent="0.25">
      <c r="B7866" t="s">
        <v>2709</v>
      </c>
      <c r="C7866">
        <v>84148033</v>
      </c>
      <c r="E7866">
        <v>71.78</v>
      </c>
      <c r="F7866">
        <v>8.8000000000000007</v>
      </c>
      <c r="G7866">
        <v>0</v>
      </c>
      <c r="H7866" t="s">
        <v>19447</v>
      </c>
      <c r="I7866" t="s">
        <v>19447</v>
      </c>
      <c r="J7866">
        <v>14</v>
      </c>
      <c r="L7866" t="s">
        <v>2709</v>
      </c>
      <c r="M7866">
        <v>84148033</v>
      </c>
      <c r="O7866" t="s">
        <v>20056</v>
      </c>
      <c r="P7866" t="s">
        <v>20127</v>
      </c>
      <c r="Q7866" t="s">
        <v>19900</v>
      </c>
      <c r="R7866" t="s">
        <v>19447</v>
      </c>
      <c r="S7866" t="s">
        <v>19447</v>
      </c>
      <c r="T7866" t="s">
        <v>19911</v>
      </c>
    </row>
    <row r="7867" spans="2:20" x14ac:dyDescent="0.25">
      <c r="B7867" t="s">
        <v>2709</v>
      </c>
      <c r="C7867">
        <v>84148038</v>
      </c>
      <c r="E7867">
        <v>71.78</v>
      </c>
      <c r="F7867">
        <v>8.8000000000000007</v>
      </c>
      <c r="G7867">
        <v>0</v>
      </c>
      <c r="H7867" t="s">
        <v>19447</v>
      </c>
      <c r="I7867" t="s">
        <v>19447</v>
      </c>
      <c r="J7867">
        <v>0</v>
      </c>
      <c r="L7867" t="s">
        <v>2709</v>
      </c>
      <c r="M7867">
        <v>84148038</v>
      </c>
      <c r="O7867" t="s">
        <v>20056</v>
      </c>
      <c r="P7867" t="s">
        <v>20127</v>
      </c>
      <c r="Q7867" t="s">
        <v>19900</v>
      </c>
      <c r="R7867" t="s">
        <v>19447</v>
      </c>
      <c r="S7867" t="s">
        <v>19447</v>
      </c>
      <c r="T7867" t="s">
        <v>19900</v>
      </c>
    </row>
    <row r="7868" spans="2:20" x14ac:dyDescent="0.25">
      <c r="B7868" t="s">
        <v>2709</v>
      </c>
      <c r="C7868">
        <v>84148039</v>
      </c>
      <c r="E7868">
        <v>71.78</v>
      </c>
      <c r="F7868">
        <v>8.8000000000000007</v>
      </c>
      <c r="G7868">
        <v>0</v>
      </c>
      <c r="H7868" t="s">
        <v>19447</v>
      </c>
      <c r="I7868" t="s">
        <v>19447</v>
      </c>
      <c r="J7868">
        <v>14</v>
      </c>
      <c r="L7868" t="s">
        <v>2709</v>
      </c>
      <c r="M7868">
        <v>84148039</v>
      </c>
      <c r="O7868" t="s">
        <v>20056</v>
      </c>
      <c r="P7868" t="s">
        <v>20127</v>
      </c>
      <c r="Q7868" t="s">
        <v>19900</v>
      </c>
      <c r="R7868" t="s">
        <v>19447</v>
      </c>
      <c r="S7868" t="s">
        <v>19447</v>
      </c>
      <c r="T7868" t="s">
        <v>19911</v>
      </c>
    </row>
    <row r="7869" spans="2:20" x14ac:dyDescent="0.25">
      <c r="B7869" t="s">
        <v>2709</v>
      </c>
      <c r="C7869">
        <v>84148090</v>
      </c>
      <c r="E7869">
        <v>71.78</v>
      </c>
      <c r="F7869">
        <v>12</v>
      </c>
      <c r="G7869">
        <v>0</v>
      </c>
      <c r="H7869" t="s">
        <v>19447</v>
      </c>
      <c r="I7869" t="s">
        <v>19447</v>
      </c>
      <c r="J7869">
        <v>14</v>
      </c>
      <c r="L7869" t="s">
        <v>2709</v>
      </c>
      <c r="M7869">
        <v>84148090</v>
      </c>
      <c r="O7869" t="s">
        <v>20056</v>
      </c>
      <c r="P7869" t="s">
        <v>19903</v>
      </c>
      <c r="Q7869" t="s">
        <v>19900</v>
      </c>
      <c r="R7869" t="s">
        <v>19447</v>
      </c>
      <c r="S7869" t="s">
        <v>19447</v>
      </c>
      <c r="T7869" t="s">
        <v>19911</v>
      </c>
    </row>
    <row r="7870" spans="2:20" x14ac:dyDescent="0.25">
      <c r="B7870" t="s">
        <v>2709</v>
      </c>
      <c r="C7870">
        <v>84149010</v>
      </c>
      <c r="E7870">
        <v>71.78</v>
      </c>
      <c r="F7870">
        <v>18</v>
      </c>
      <c r="G7870">
        <v>5</v>
      </c>
      <c r="H7870" t="s">
        <v>19447</v>
      </c>
      <c r="I7870" t="s">
        <v>19447</v>
      </c>
      <c r="J7870">
        <v>14</v>
      </c>
      <c r="L7870" t="s">
        <v>2709</v>
      </c>
      <c r="M7870">
        <v>84149010</v>
      </c>
      <c r="O7870" t="s">
        <v>20056</v>
      </c>
      <c r="P7870" t="s">
        <v>19899</v>
      </c>
      <c r="Q7870" t="s">
        <v>19909</v>
      </c>
      <c r="R7870" t="s">
        <v>19447</v>
      </c>
      <c r="S7870" t="s">
        <v>19447</v>
      </c>
      <c r="T7870" t="s">
        <v>19911</v>
      </c>
    </row>
    <row r="7871" spans="2:20" x14ac:dyDescent="0.25">
      <c r="B7871" t="s">
        <v>2709</v>
      </c>
      <c r="C7871">
        <v>84149020</v>
      </c>
      <c r="E7871">
        <v>66.540000000000006</v>
      </c>
      <c r="F7871">
        <v>18</v>
      </c>
      <c r="G7871">
        <v>5</v>
      </c>
      <c r="H7871" t="s">
        <v>19447</v>
      </c>
      <c r="I7871" t="s">
        <v>19447</v>
      </c>
      <c r="J7871">
        <v>14</v>
      </c>
      <c r="L7871" t="s">
        <v>2709</v>
      </c>
      <c r="M7871">
        <v>84149020</v>
      </c>
      <c r="O7871" t="s">
        <v>20149</v>
      </c>
      <c r="P7871" t="s">
        <v>19899</v>
      </c>
      <c r="Q7871" t="s">
        <v>19909</v>
      </c>
      <c r="R7871" t="s">
        <v>19447</v>
      </c>
      <c r="S7871" t="s">
        <v>19447</v>
      </c>
      <c r="T7871" t="s">
        <v>19911</v>
      </c>
    </row>
    <row r="7872" spans="2:20" x14ac:dyDescent="0.25">
      <c r="B7872" t="s">
        <v>2709</v>
      </c>
      <c r="C7872">
        <v>84149031</v>
      </c>
      <c r="E7872">
        <v>71.78</v>
      </c>
      <c r="F7872">
        <v>18</v>
      </c>
      <c r="G7872">
        <v>5</v>
      </c>
      <c r="H7872" t="s">
        <v>19447</v>
      </c>
      <c r="I7872" t="s">
        <v>19447</v>
      </c>
      <c r="J7872">
        <v>14</v>
      </c>
      <c r="L7872" t="s">
        <v>2709</v>
      </c>
      <c r="M7872">
        <v>84149031</v>
      </c>
      <c r="O7872" t="s">
        <v>20056</v>
      </c>
      <c r="P7872" t="s">
        <v>19899</v>
      </c>
      <c r="Q7872" t="s">
        <v>19909</v>
      </c>
      <c r="R7872" t="s">
        <v>19447</v>
      </c>
      <c r="S7872" t="s">
        <v>19447</v>
      </c>
      <c r="T7872" t="s">
        <v>19911</v>
      </c>
    </row>
    <row r="7873" spans="2:20" x14ac:dyDescent="0.25">
      <c r="B7873" t="s">
        <v>2709</v>
      </c>
      <c r="C7873">
        <v>84149032</v>
      </c>
      <c r="E7873">
        <v>71.78</v>
      </c>
      <c r="F7873">
        <v>18</v>
      </c>
      <c r="G7873">
        <v>5</v>
      </c>
      <c r="H7873" t="s">
        <v>19447</v>
      </c>
      <c r="I7873" t="s">
        <v>19447</v>
      </c>
      <c r="J7873">
        <v>14</v>
      </c>
      <c r="L7873" t="s">
        <v>2709</v>
      </c>
      <c r="M7873">
        <v>84149032</v>
      </c>
      <c r="O7873" t="s">
        <v>20056</v>
      </c>
      <c r="P7873" t="s">
        <v>19899</v>
      </c>
      <c r="Q7873" t="s">
        <v>19909</v>
      </c>
      <c r="R7873" t="s">
        <v>19447</v>
      </c>
      <c r="S7873" t="s">
        <v>19447</v>
      </c>
      <c r="T7873" t="s">
        <v>19911</v>
      </c>
    </row>
    <row r="7874" spans="2:20" x14ac:dyDescent="0.25">
      <c r="B7874" t="s">
        <v>2709</v>
      </c>
      <c r="C7874">
        <v>84149033</v>
      </c>
      <c r="E7874">
        <v>71.78</v>
      </c>
      <c r="F7874">
        <v>18</v>
      </c>
      <c r="G7874">
        <v>5</v>
      </c>
      <c r="H7874" t="s">
        <v>19447</v>
      </c>
      <c r="I7874" t="s">
        <v>19447</v>
      </c>
      <c r="J7874">
        <v>14</v>
      </c>
      <c r="L7874" t="s">
        <v>2709</v>
      </c>
      <c r="M7874">
        <v>84149033</v>
      </c>
      <c r="O7874" t="s">
        <v>20056</v>
      </c>
      <c r="P7874" t="s">
        <v>19899</v>
      </c>
      <c r="Q7874" t="s">
        <v>19909</v>
      </c>
      <c r="R7874" t="s">
        <v>19447</v>
      </c>
      <c r="S7874" t="s">
        <v>19447</v>
      </c>
      <c r="T7874" t="s">
        <v>19911</v>
      </c>
    </row>
    <row r="7875" spans="2:20" x14ac:dyDescent="0.25">
      <c r="B7875" t="s">
        <v>2709</v>
      </c>
      <c r="C7875">
        <v>84149034</v>
      </c>
      <c r="E7875">
        <v>71.78</v>
      </c>
      <c r="F7875">
        <v>18</v>
      </c>
      <c r="G7875">
        <v>5</v>
      </c>
      <c r="H7875" t="s">
        <v>19447</v>
      </c>
      <c r="I7875" t="s">
        <v>19447</v>
      </c>
      <c r="J7875">
        <v>14</v>
      </c>
      <c r="L7875" t="s">
        <v>2709</v>
      </c>
      <c r="M7875">
        <v>84149034</v>
      </c>
      <c r="O7875" t="s">
        <v>20056</v>
      </c>
      <c r="P7875" t="s">
        <v>19899</v>
      </c>
      <c r="Q7875" t="s">
        <v>19909</v>
      </c>
      <c r="R7875" t="s">
        <v>19447</v>
      </c>
      <c r="S7875" t="s">
        <v>19447</v>
      </c>
      <c r="T7875" t="s">
        <v>19911</v>
      </c>
    </row>
    <row r="7876" spans="2:20" x14ac:dyDescent="0.25">
      <c r="B7876" t="s">
        <v>2709</v>
      </c>
      <c r="C7876">
        <v>84149039</v>
      </c>
      <c r="E7876">
        <v>71.78</v>
      </c>
      <c r="F7876">
        <v>18</v>
      </c>
      <c r="G7876">
        <v>0</v>
      </c>
      <c r="H7876">
        <v>10.8</v>
      </c>
      <c r="I7876">
        <v>2.2999999999999998</v>
      </c>
      <c r="J7876">
        <v>14</v>
      </c>
      <c r="L7876" t="s">
        <v>2709</v>
      </c>
      <c r="M7876">
        <v>84149039</v>
      </c>
      <c r="O7876" t="s">
        <v>20056</v>
      </c>
      <c r="P7876" t="s">
        <v>19899</v>
      </c>
      <c r="Q7876" t="s">
        <v>19900</v>
      </c>
      <c r="R7876" t="s">
        <v>20074</v>
      </c>
      <c r="S7876" t="s">
        <v>20075</v>
      </c>
      <c r="T7876" t="s">
        <v>19911</v>
      </c>
    </row>
    <row r="7877" spans="2:20" x14ac:dyDescent="0.25">
      <c r="B7877" t="s">
        <v>2709</v>
      </c>
      <c r="C7877">
        <v>84151011</v>
      </c>
      <c r="E7877">
        <v>50.82</v>
      </c>
      <c r="F7877">
        <v>18</v>
      </c>
      <c r="G7877">
        <v>20</v>
      </c>
      <c r="H7877" t="s">
        <v>19447</v>
      </c>
      <c r="I7877" t="s">
        <v>19447</v>
      </c>
      <c r="J7877">
        <v>18</v>
      </c>
      <c r="L7877" t="s">
        <v>2709</v>
      </c>
      <c r="M7877">
        <v>84151011</v>
      </c>
      <c r="O7877" t="s">
        <v>20150</v>
      </c>
      <c r="P7877" t="s">
        <v>19899</v>
      </c>
      <c r="Q7877" t="s">
        <v>19934</v>
      </c>
      <c r="R7877" t="s">
        <v>19447</v>
      </c>
      <c r="S7877" t="s">
        <v>19447</v>
      </c>
      <c r="T7877" t="s">
        <v>19899</v>
      </c>
    </row>
    <row r="7878" spans="2:20" x14ac:dyDescent="0.25">
      <c r="B7878" t="s">
        <v>2709</v>
      </c>
      <c r="C7878">
        <v>84151011</v>
      </c>
      <c r="D7878">
        <v>1</v>
      </c>
      <c r="E7878" t="s">
        <v>19447</v>
      </c>
      <c r="F7878">
        <v>18</v>
      </c>
      <c r="G7878">
        <v>35</v>
      </c>
      <c r="H7878">
        <v>7.6</v>
      </c>
      <c r="I7878">
        <v>1.65</v>
      </c>
      <c r="J7878">
        <v>18</v>
      </c>
      <c r="L7878" t="s">
        <v>2709</v>
      </c>
      <c r="M7878">
        <v>84151011</v>
      </c>
      <c r="N7878">
        <v>1</v>
      </c>
      <c r="O7878" t="s">
        <v>19447</v>
      </c>
      <c r="P7878" t="s">
        <v>19899</v>
      </c>
      <c r="Q7878" t="s">
        <v>19919</v>
      </c>
      <c r="R7878" t="s">
        <v>19905</v>
      </c>
      <c r="S7878" t="s">
        <v>19906</v>
      </c>
      <c r="T7878" t="s">
        <v>19899</v>
      </c>
    </row>
    <row r="7879" spans="2:20" x14ac:dyDescent="0.25">
      <c r="B7879" t="s">
        <v>2709</v>
      </c>
      <c r="C7879">
        <v>84151019</v>
      </c>
      <c r="E7879">
        <v>46.82</v>
      </c>
      <c r="F7879">
        <v>18</v>
      </c>
      <c r="G7879">
        <v>20</v>
      </c>
      <c r="H7879" t="s">
        <v>19447</v>
      </c>
      <c r="I7879" t="s">
        <v>19447</v>
      </c>
      <c r="J7879">
        <v>20</v>
      </c>
      <c r="L7879" t="s">
        <v>2709</v>
      </c>
      <c r="M7879">
        <v>84151019</v>
      </c>
      <c r="O7879" t="s">
        <v>20151</v>
      </c>
      <c r="P7879" t="s">
        <v>19899</v>
      </c>
      <c r="Q7879" t="s">
        <v>19934</v>
      </c>
      <c r="R7879" t="s">
        <v>19447</v>
      </c>
      <c r="S7879" t="s">
        <v>19447</v>
      </c>
      <c r="T7879" t="s">
        <v>19934</v>
      </c>
    </row>
    <row r="7880" spans="2:20" x14ac:dyDescent="0.25">
      <c r="B7880" t="s">
        <v>2709</v>
      </c>
      <c r="C7880">
        <v>84151090</v>
      </c>
      <c r="E7880">
        <v>46.82</v>
      </c>
      <c r="F7880">
        <v>18</v>
      </c>
      <c r="G7880">
        <v>20</v>
      </c>
      <c r="H7880" t="s">
        <v>19447</v>
      </c>
      <c r="I7880" t="s">
        <v>19447</v>
      </c>
      <c r="J7880">
        <v>14</v>
      </c>
      <c r="L7880" t="s">
        <v>2709</v>
      </c>
      <c r="M7880">
        <v>84151090</v>
      </c>
      <c r="O7880" t="s">
        <v>20151</v>
      </c>
      <c r="P7880" t="s">
        <v>19899</v>
      </c>
      <c r="Q7880" t="s">
        <v>19934</v>
      </c>
      <c r="R7880" t="s">
        <v>19447</v>
      </c>
      <c r="S7880" t="s">
        <v>19447</v>
      </c>
      <c r="T7880" t="s">
        <v>19911</v>
      </c>
    </row>
    <row r="7881" spans="2:20" x14ac:dyDescent="0.25">
      <c r="B7881" t="s">
        <v>2709</v>
      </c>
      <c r="C7881">
        <v>84152010</v>
      </c>
      <c r="E7881">
        <v>71.78</v>
      </c>
      <c r="F7881">
        <v>18</v>
      </c>
      <c r="G7881">
        <v>20</v>
      </c>
      <c r="H7881">
        <v>10.8</v>
      </c>
      <c r="I7881">
        <v>2.2999999999999998</v>
      </c>
      <c r="J7881">
        <v>18</v>
      </c>
      <c r="L7881" t="s">
        <v>2709</v>
      </c>
      <c r="M7881">
        <v>84152010</v>
      </c>
      <c r="O7881" t="s">
        <v>20056</v>
      </c>
      <c r="P7881" t="s">
        <v>19899</v>
      </c>
      <c r="Q7881" t="s">
        <v>19934</v>
      </c>
      <c r="R7881" t="s">
        <v>20074</v>
      </c>
      <c r="S7881" t="s">
        <v>20075</v>
      </c>
      <c r="T7881" t="s">
        <v>19899</v>
      </c>
    </row>
    <row r="7882" spans="2:20" x14ac:dyDescent="0.25">
      <c r="B7882" t="s">
        <v>2709</v>
      </c>
      <c r="C7882">
        <v>84152090</v>
      </c>
      <c r="E7882">
        <v>71.78</v>
      </c>
      <c r="F7882">
        <v>18</v>
      </c>
      <c r="G7882">
        <v>20</v>
      </c>
      <c r="H7882">
        <v>10.8</v>
      </c>
      <c r="I7882">
        <v>2.2999999999999998</v>
      </c>
      <c r="J7882">
        <v>14</v>
      </c>
      <c r="L7882" t="s">
        <v>2709</v>
      </c>
      <c r="M7882">
        <v>84152090</v>
      </c>
      <c r="O7882" t="s">
        <v>20056</v>
      </c>
      <c r="P7882" t="s">
        <v>19899</v>
      </c>
      <c r="Q7882" t="s">
        <v>19934</v>
      </c>
      <c r="R7882" t="s">
        <v>20074</v>
      </c>
      <c r="S7882" t="s">
        <v>20075</v>
      </c>
      <c r="T7882" t="s">
        <v>19911</v>
      </c>
    </row>
    <row r="7883" spans="2:20" x14ac:dyDescent="0.25">
      <c r="B7883" t="s">
        <v>2709</v>
      </c>
      <c r="C7883">
        <v>84158110</v>
      </c>
      <c r="E7883">
        <v>46.82</v>
      </c>
      <c r="F7883">
        <v>18</v>
      </c>
      <c r="G7883">
        <v>20</v>
      </c>
      <c r="H7883" t="s">
        <v>19447</v>
      </c>
      <c r="I7883" t="s">
        <v>19447</v>
      </c>
      <c r="J7883">
        <v>18</v>
      </c>
      <c r="L7883" t="s">
        <v>2709</v>
      </c>
      <c r="M7883">
        <v>84158110</v>
      </c>
      <c r="O7883" t="s">
        <v>20151</v>
      </c>
      <c r="P7883" t="s">
        <v>19899</v>
      </c>
      <c r="Q7883" t="s">
        <v>19934</v>
      </c>
      <c r="R7883" t="s">
        <v>19447</v>
      </c>
      <c r="S7883" t="s">
        <v>19447</v>
      </c>
      <c r="T7883" t="s">
        <v>19899</v>
      </c>
    </row>
    <row r="7884" spans="2:20" x14ac:dyDescent="0.25">
      <c r="B7884" t="s">
        <v>2709</v>
      </c>
      <c r="C7884">
        <v>84158190</v>
      </c>
      <c r="E7884">
        <v>46.82</v>
      </c>
      <c r="F7884">
        <v>18</v>
      </c>
      <c r="G7884">
        <v>0</v>
      </c>
      <c r="H7884" t="s">
        <v>19447</v>
      </c>
      <c r="I7884" t="s">
        <v>19447</v>
      </c>
      <c r="J7884">
        <v>14</v>
      </c>
      <c r="L7884" t="s">
        <v>2709</v>
      </c>
      <c r="M7884">
        <v>84158190</v>
      </c>
      <c r="O7884" t="s">
        <v>20151</v>
      </c>
      <c r="P7884" t="s">
        <v>19899</v>
      </c>
      <c r="Q7884" t="s">
        <v>19900</v>
      </c>
      <c r="R7884" t="s">
        <v>19447</v>
      </c>
      <c r="S7884" t="s">
        <v>19447</v>
      </c>
      <c r="T7884" t="s">
        <v>19911</v>
      </c>
    </row>
    <row r="7885" spans="2:20" x14ac:dyDescent="0.25">
      <c r="B7885" t="s">
        <v>2709</v>
      </c>
      <c r="C7885">
        <v>84158210</v>
      </c>
      <c r="E7885">
        <v>46.82</v>
      </c>
      <c r="F7885">
        <v>18</v>
      </c>
      <c r="G7885">
        <v>20</v>
      </c>
      <c r="H7885" t="s">
        <v>19447</v>
      </c>
      <c r="I7885" t="s">
        <v>19447</v>
      </c>
      <c r="J7885">
        <v>18</v>
      </c>
      <c r="L7885" t="s">
        <v>2709</v>
      </c>
      <c r="M7885">
        <v>84158210</v>
      </c>
      <c r="O7885" t="s">
        <v>20151</v>
      </c>
      <c r="P7885" t="s">
        <v>19899</v>
      </c>
      <c r="Q7885" t="s">
        <v>19934</v>
      </c>
      <c r="R7885" t="s">
        <v>19447</v>
      </c>
      <c r="S7885" t="s">
        <v>19447</v>
      </c>
      <c r="T7885" t="s">
        <v>19899</v>
      </c>
    </row>
    <row r="7886" spans="2:20" x14ac:dyDescent="0.25">
      <c r="B7886" t="s">
        <v>2709</v>
      </c>
      <c r="C7886">
        <v>84158290</v>
      </c>
      <c r="E7886">
        <v>46.82</v>
      </c>
      <c r="F7886">
        <v>18</v>
      </c>
      <c r="G7886">
        <v>0</v>
      </c>
      <c r="H7886" t="s">
        <v>19447</v>
      </c>
      <c r="I7886" t="s">
        <v>19447</v>
      </c>
      <c r="J7886">
        <v>14</v>
      </c>
      <c r="L7886" t="s">
        <v>2709</v>
      </c>
      <c r="M7886">
        <v>84158290</v>
      </c>
      <c r="O7886" t="s">
        <v>20151</v>
      </c>
      <c r="P7886" t="s">
        <v>19899</v>
      </c>
      <c r="Q7886" t="s">
        <v>19900</v>
      </c>
      <c r="R7886" t="s">
        <v>19447</v>
      </c>
      <c r="S7886" t="s">
        <v>19447</v>
      </c>
      <c r="T7886" t="s">
        <v>19911</v>
      </c>
    </row>
    <row r="7887" spans="2:20" x14ac:dyDescent="0.25">
      <c r="B7887" t="s">
        <v>2709</v>
      </c>
      <c r="C7887">
        <v>84158300</v>
      </c>
      <c r="E7887">
        <v>46.82</v>
      </c>
      <c r="F7887">
        <v>18</v>
      </c>
      <c r="G7887">
        <v>20</v>
      </c>
      <c r="H7887" t="s">
        <v>19447</v>
      </c>
      <c r="I7887" t="s">
        <v>19447</v>
      </c>
      <c r="J7887">
        <v>14</v>
      </c>
      <c r="L7887" t="s">
        <v>2709</v>
      </c>
      <c r="M7887">
        <v>84158300</v>
      </c>
      <c r="O7887" t="s">
        <v>20151</v>
      </c>
      <c r="P7887" t="s">
        <v>19899</v>
      </c>
      <c r="Q7887" t="s">
        <v>19934</v>
      </c>
      <c r="R7887" t="s">
        <v>19447</v>
      </c>
      <c r="S7887" t="s">
        <v>19447</v>
      </c>
      <c r="T7887" t="s">
        <v>19911</v>
      </c>
    </row>
    <row r="7888" spans="2:20" x14ac:dyDescent="0.25">
      <c r="B7888" t="s">
        <v>2709</v>
      </c>
      <c r="C7888">
        <v>84159010</v>
      </c>
      <c r="E7888">
        <v>69.14</v>
      </c>
      <c r="F7888">
        <v>18</v>
      </c>
      <c r="G7888">
        <v>20</v>
      </c>
      <c r="H7888" t="s">
        <v>19447</v>
      </c>
      <c r="I7888" t="s">
        <v>19447</v>
      </c>
      <c r="J7888">
        <v>18</v>
      </c>
      <c r="L7888" t="s">
        <v>2709</v>
      </c>
      <c r="M7888">
        <v>84159010</v>
      </c>
      <c r="O7888" t="s">
        <v>20152</v>
      </c>
      <c r="P7888" t="s">
        <v>19899</v>
      </c>
      <c r="Q7888" t="s">
        <v>19934</v>
      </c>
      <c r="R7888" t="s">
        <v>19447</v>
      </c>
      <c r="S7888" t="s">
        <v>19447</v>
      </c>
      <c r="T7888" t="s">
        <v>19899</v>
      </c>
    </row>
    <row r="7889" spans="2:20" x14ac:dyDescent="0.25">
      <c r="B7889" t="s">
        <v>2709</v>
      </c>
      <c r="C7889">
        <v>84159010</v>
      </c>
      <c r="D7889">
        <v>1</v>
      </c>
      <c r="E7889" t="s">
        <v>19447</v>
      </c>
      <c r="F7889">
        <v>18</v>
      </c>
      <c r="G7889">
        <v>35</v>
      </c>
      <c r="H7889">
        <v>7.6</v>
      </c>
      <c r="I7889">
        <v>1.65</v>
      </c>
      <c r="J7889">
        <v>18</v>
      </c>
      <c r="L7889" t="s">
        <v>2709</v>
      </c>
      <c r="M7889">
        <v>84159010</v>
      </c>
      <c r="N7889">
        <v>1</v>
      </c>
      <c r="O7889" t="s">
        <v>19447</v>
      </c>
      <c r="P7889" t="s">
        <v>19899</v>
      </c>
      <c r="Q7889" t="s">
        <v>19919</v>
      </c>
      <c r="R7889" t="s">
        <v>19905</v>
      </c>
      <c r="S7889" t="s">
        <v>19906</v>
      </c>
      <c r="T7889" t="s">
        <v>19899</v>
      </c>
    </row>
    <row r="7890" spans="2:20" x14ac:dyDescent="0.25">
      <c r="B7890" t="s">
        <v>2709</v>
      </c>
      <c r="C7890">
        <v>84159020</v>
      </c>
      <c r="E7890">
        <v>67.95</v>
      </c>
      <c r="F7890">
        <v>18</v>
      </c>
      <c r="G7890">
        <v>20</v>
      </c>
      <c r="H7890" t="s">
        <v>19447</v>
      </c>
      <c r="I7890" t="s">
        <v>19447</v>
      </c>
      <c r="J7890">
        <v>18</v>
      </c>
      <c r="L7890" t="s">
        <v>2709</v>
      </c>
      <c r="M7890">
        <v>84159020</v>
      </c>
      <c r="O7890" t="s">
        <v>20153</v>
      </c>
      <c r="P7890" t="s">
        <v>19899</v>
      </c>
      <c r="Q7890" t="s">
        <v>19934</v>
      </c>
      <c r="R7890" t="s">
        <v>19447</v>
      </c>
      <c r="S7890" t="s">
        <v>19447</v>
      </c>
      <c r="T7890" t="s">
        <v>19899</v>
      </c>
    </row>
    <row r="7891" spans="2:20" x14ac:dyDescent="0.25">
      <c r="B7891" t="s">
        <v>2709</v>
      </c>
      <c r="C7891">
        <v>84159020</v>
      </c>
      <c r="D7891">
        <v>1</v>
      </c>
      <c r="E7891" t="s">
        <v>19447</v>
      </c>
      <c r="F7891">
        <v>18</v>
      </c>
      <c r="G7891">
        <v>35</v>
      </c>
      <c r="H7891">
        <v>7.6</v>
      </c>
      <c r="I7891">
        <v>1.65</v>
      </c>
      <c r="J7891">
        <v>18</v>
      </c>
      <c r="L7891" t="s">
        <v>2709</v>
      </c>
      <c r="M7891">
        <v>84159020</v>
      </c>
      <c r="N7891">
        <v>1</v>
      </c>
      <c r="O7891" t="s">
        <v>19447</v>
      </c>
      <c r="P7891" t="s">
        <v>19899</v>
      </c>
      <c r="Q7891" t="s">
        <v>19919</v>
      </c>
      <c r="R7891" t="s">
        <v>19905</v>
      </c>
      <c r="S7891" t="s">
        <v>19906</v>
      </c>
      <c r="T7891" t="s">
        <v>19899</v>
      </c>
    </row>
    <row r="7892" spans="2:20" x14ac:dyDescent="0.25">
      <c r="B7892" t="s">
        <v>2709</v>
      </c>
      <c r="C7892">
        <v>84159090</v>
      </c>
      <c r="E7892">
        <v>46.82</v>
      </c>
      <c r="F7892">
        <v>18</v>
      </c>
      <c r="G7892">
        <v>20</v>
      </c>
      <c r="H7892" t="s">
        <v>19447</v>
      </c>
      <c r="I7892" t="s">
        <v>19447</v>
      </c>
      <c r="J7892">
        <v>14</v>
      </c>
      <c r="L7892" t="s">
        <v>2709</v>
      </c>
      <c r="M7892">
        <v>84159090</v>
      </c>
      <c r="O7892" t="s">
        <v>20151</v>
      </c>
      <c r="P7892" t="s">
        <v>19899</v>
      </c>
      <c r="Q7892" t="s">
        <v>19934</v>
      </c>
      <c r="R7892" t="s">
        <v>19447</v>
      </c>
      <c r="S7892" t="s">
        <v>19447</v>
      </c>
      <c r="T7892" t="s">
        <v>19911</v>
      </c>
    </row>
    <row r="7893" spans="2:20" x14ac:dyDescent="0.25">
      <c r="B7893" t="s">
        <v>2709</v>
      </c>
      <c r="C7893">
        <v>84161000</v>
      </c>
      <c r="E7893">
        <v>71.78</v>
      </c>
      <c r="F7893">
        <v>8.8000000000000007</v>
      </c>
      <c r="G7893">
        <v>0</v>
      </c>
      <c r="H7893" t="s">
        <v>19447</v>
      </c>
      <c r="I7893" t="s">
        <v>19447</v>
      </c>
      <c r="J7893">
        <v>14</v>
      </c>
      <c r="L7893" t="s">
        <v>2709</v>
      </c>
      <c r="M7893">
        <v>84161000</v>
      </c>
      <c r="O7893" t="s">
        <v>20056</v>
      </c>
      <c r="P7893" t="s">
        <v>20127</v>
      </c>
      <c r="Q7893" t="s">
        <v>19900</v>
      </c>
      <c r="R7893" t="s">
        <v>19447</v>
      </c>
      <c r="S7893" t="s">
        <v>19447</v>
      </c>
      <c r="T7893" t="s">
        <v>19911</v>
      </c>
    </row>
    <row r="7894" spans="2:20" x14ac:dyDescent="0.25">
      <c r="B7894" t="s">
        <v>2709</v>
      </c>
      <c r="C7894">
        <v>84162010</v>
      </c>
      <c r="E7894">
        <v>71.78</v>
      </c>
      <c r="F7894">
        <v>8.8000000000000007</v>
      </c>
      <c r="G7894">
        <v>0</v>
      </c>
      <c r="H7894" t="s">
        <v>19447</v>
      </c>
      <c r="I7894" t="s">
        <v>19447</v>
      </c>
      <c r="J7894">
        <v>14</v>
      </c>
      <c r="L7894" t="s">
        <v>2709</v>
      </c>
      <c r="M7894">
        <v>84162010</v>
      </c>
      <c r="O7894" t="s">
        <v>20056</v>
      </c>
      <c r="P7894" t="s">
        <v>20127</v>
      </c>
      <c r="Q7894" t="s">
        <v>19900</v>
      </c>
      <c r="R7894" t="s">
        <v>19447</v>
      </c>
      <c r="S7894" t="s">
        <v>19447</v>
      </c>
      <c r="T7894" t="s">
        <v>19911</v>
      </c>
    </row>
    <row r="7895" spans="2:20" x14ac:dyDescent="0.25">
      <c r="B7895" t="s">
        <v>2709</v>
      </c>
      <c r="C7895">
        <v>84162090</v>
      </c>
      <c r="E7895">
        <v>71.78</v>
      </c>
      <c r="F7895">
        <v>8.8000000000000007</v>
      </c>
      <c r="G7895">
        <v>0</v>
      </c>
      <c r="H7895" t="s">
        <v>19447</v>
      </c>
      <c r="I7895" t="s">
        <v>19447</v>
      </c>
      <c r="J7895">
        <v>14</v>
      </c>
      <c r="L7895" t="s">
        <v>2709</v>
      </c>
      <c r="M7895">
        <v>84162090</v>
      </c>
      <c r="O7895" t="s">
        <v>20056</v>
      </c>
      <c r="P7895" t="s">
        <v>20127</v>
      </c>
      <c r="Q7895" t="s">
        <v>19900</v>
      </c>
      <c r="R7895" t="s">
        <v>19447</v>
      </c>
      <c r="S7895" t="s">
        <v>19447</v>
      </c>
      <c r="T7895" t="s">
        <v>19911</v>
      </c>
    </row>
    <row r="7896" spans="2:20" x14ac:dyDescent="0.25">
      <c r="B7896" t="s">
        <v>2709</v>
      </c>
      <c r="C7896">
        <v>84163000</v>
      </c>
      <c r="E7896">
        <v>43.42</v>
      </c>
      <c r="F7896">
        <v>8.8000000000000007</v>
      </c>
      <c r="G7896">
        <v>0</v>
      </c>
      <c r="H7896" t="s">
        <v>19447</v>
      </c>
      <c r="I7896" t="s">
        <v>19447</v>
      </c>
      <c r="J7896">
        <v>14</v>
      </c>
      <c r="L7896" t="s">
        <v>2709</v>
      </c>
      <c r="M7896">
        <v>84163000</v>
      </c>
      <c r="O7896" t="s">
        <v>20154</v>
      </c>
      <c r="P7896" t="s">
        <v>20127</v>
      </c>
      <c r="Q7896" t="s">
        <v>19900</v>
      </c>
      <c r="R7896" t="s">
        <v>19447</v>
      </c>
      <c r="S7896" t="s">
        <v>19447</v>
      </c>
      <c r="T7896" t="s">
        <v>19911</v>
      </c>
    </row>
    <row r="7897" spans="2:20" x14ac:dyDescent="0.25">
      <c r="B7897" t="s">
        <v>2709</v>
      </c>
      <c r="C7897">
        <v>84169000</v>
      </c>
      <c r="E7897">
        <v>71.78</v>
      </c>
      <c r="F7897">
        <v>8.8000000000000007</v>
      </c>
      <c r="G7897">
        <v>5</v>
      </c>
      <c r="H7897" t="s">
        <v>19447</v>
      </c>
      <c r="I7897" t="s">
        <v>19447</v>
      </c>
      <c r="J7897">
        <v>14</v>
      </c>
      <c r="L7897" t="s">
        <v>2709</v>
      </c>
      <c r="M7897">
        <v>84169000</v>
      </c>
      <c r="O7897" t="s">
        <v>20056</v>
      </c>
      <c r="P7897" t="s">
        <v>20127</v>
      </c>
      <c r="Q7897" t="s">
        <v>19909</v>
      </c>
      <c r="R7897" t="s">
        <v>19447</v>
      </c>
      <c r="S7897" t="s">
        <v>19447</v>
      </c>
      <c r="T7897" t="s">
        <v>19911</v>
      </c>
    </row>
    <row r="7898" spans="2:20" x14ac:dyDescent="0.25">
      <c r="B7898" t="s">
        <v>2709</v>
      </c>
      <c r="C7898">
        <v>84171010</v>
      </c>
      <c r="E7898">
        <v>71.78</v>
      </c>
      <c r="F7898">
        <v>8.8000000000000007</v>
      </c>
      <c r="G7898">
        <v>0</v>
      </c>
      <c r="H7898" t="s">
        <v>19447</v>
      </c>
      <c r="I7898" t="s">
        <v>19447</v>
      </c>
      <c r="J7898">
        <v>14</v>
      </c>
      <c r="L7898" t="s">
        <v>2709</v>
      </c>
      <c r="M7898">
        <v>84171010</v>
      </c>
      <c r="O7898" t="s">
        <v>20056</v>
      </c>
      <c r="P7898" t="s">
        <v>20127</v>
      </c>
      <c r="Q7898" t="s">
        <v>19900</v>
      </c>
      <c r="R7898" t="s">
        <v>19447</v>
      </c>
      <c r="S7898" t="s">
        <v>19447</v>
      </c>
      <c r="T7898" t="s">
        <v>19911</v>
      </c>
    </row>
    <row r="7899" spans="2:20" x14ac:dyDescent="0.25">
      <c r="B7899" t="s">
        <v>2709</v>
      </c>
      <c r="C7899">
        <v>84171020</v>
      </c>
      <c r="E7899">
        <v>71.78</v>
      </c>
      <c r="F7899">
        <v>8.8000000000000007</v>
      </c>
      <c r="G7899">
        <v>0</v>
      </c>
      <c r="H7899" t="s">
        <v>19447</v>
      </c>
      <c r="I7899" t="s">
        <v>19447</v>
      </c>
      <c r="J7899">
        <v>14</v>
      </c>
      <c r="L7899" t="s">
        <v>2709</v>
      </c>
      <c r="M7899">
        <v>84171020</v>
      </c>
      <c r="O7899" t="s">
        <v>20056</v>
      </c>
      <c r="P7899" t="s">
        <v>20127</v>
      </c>
      <c r="Q7899" t="s">
        <v>19900</v>
      </c>
      <c r="R7899" t="s">
        <v>19447</v>
      </c>
      <c r="S7899" t="s">
        <v>19447</v>
      </c>
      <c r="T7899" t="s">
        <v>19911</v>
      </c>
    </row>
    <row r="7900" spans="2:20" x14ac:dyDescent="0.25">
      <c r="B7900" t="s">
        <v>2709</v>
      </c>
      <c r="C7900">
        <v>84171090</v>
      </c>
      <c r="E7900">
        <v>71.78</v>
      </c>
      <c r="F7900">
        <v>8.8000000000000007</v>
      </c>
      <c r="G7900">
        <v>0</v>
      </c>
      <c r="H7900" t="s">
        <v>19447</v>
      </c>
      <c r="I7900" t="s">
        <v>19447</v>
      </c>
      <c r="J7900">
        <v>14</v>
      </c>
      <c r="L7900" t="s">
        <v>2709</v>
      </c>
      <c r="M7900">
        <v>84171090</v>
      </c>
      <c r="O7900" t="s">
        <v>20056</v>
      </c>
      <c r="P7900" t="s">
        <v>20127</v>
      </c>
      <c r="Q7900" t="s">
        <v>19900</v>
      </c>
      <c r="R7900" t="s">
        <v>19447</v>
      </c>
      <c r="S7900" t="s">
        <v>19447</v>
      </c>
      <c r="T7900" t="s">
        <v>19911</v>
      </c>
    </row>
    <row r="7901" spans="2:20" x14ac:dyDescent="0.25">
      <c r="B7901" t="s">
        <v>2709</v>
      </c>
      <c r="C7901">
        <v>84172000</v>
      </c>
      <c r="E7901">
        <v>71.78</v>
      </c>
      <c r="F7901">
        <v>8.8000000000000007</v>
      </c>
      <c r="G7901">
        <v>0</v>
      </c>
      <c r="H7901" t="s">
        <v>19447</v>
      </c>
      <c r="I7901" t="s">
        <v>19447</v>
      </c>
      <c r="J7901">
        <v>14</v>
      </c>
      <c r="L7901" t="s">
        <v>2709</v>
      </c>
      <c r="M7901">
        <v>84172000</v>
      </c>
      <c r="O7901" t="s">
        <v>20056</v>
      </c>
      <c r="P7901" t="s">
        <v>20127</v>
      </c>
      <c r="Q7901" t="s">
        <v>19900</v>
      </c>
      <c r="R7901" t="s">
        <v>19447</v>
      </c>
      <c r="S7901" t="s">
        <v>19447</v>
      </c>
      <c r="T7901" t="s">
        <v>19911</v>
      </c>
    </row>
    <row r="7902" spans="2:20" x14ac:dyDescent="0.25">
      <c r="B7902" t="s">
        <v>2709</v>
      </c>
      <c r="C7902">
        <v>84178010</v>
      </c>
      <c r="E7902">
        <v>71.78</v>
      </c>
      <c r="F7902">
        <v>8.8000000000000007</v>
      </c>
      <c r="G7902">
        <v>0</v>
      </c>
      <c r="H7902" t="s">
        <v>19447</v>
      </c>
      <c r="I7902" t="s">
        <v>19447</v>
      </c>
      <c r="J7902">
        <v>14</v>
      </c>
      <c r="L7902" t="s">
        <v>2709</v>
      </c>
      <c r="M7902">
        <v>84178010</v>
      </c>
      <c r="O7902" t="s">
        <v>20056</v>
      </c>
      <c r="P7902" t="s">
        <v>20127</v>
      </c>
      <c r="Q7902" t="s">
        <v>19900</v>
      </c>
      <c r="R7902" t="s">
        <v>19447</v>
      </c>
      <c r="S7902" t="s">
        <v>19447</v>
      </c>
      <c r="T7902" t="s">
        <v>19911</v>
      </c>
    </row>
    <row r="7903" spans="2:20" x14ac:dyDescent="0.25">
      <c r="B7903" t="s">
        <v>2709</v>
      </c>
      <c r="C7903">
        <v>84178020</v>
      </c>
      <c r="E7903">
        <v>71.78</v>
      </c>
      <c r="F7903">
        <v>8.8000000000000007</v>
      </c>
      <c r="G7903">
        <v>0</v>
      </c>
      <c r="H7903" t="s">
        <v>19447</v>
      </c>
      <c r="I7903" t="s">
        <v>19447</v>
      </c>
      <c r="J7903">
        <v>0</v>
      </c>
      <c r="L7903" t="s">
        <v>2709</v>
      </c>
      <c r="M7903">
        <v>84178020</v>
      </c>
      <c r="O7903" t="s">
        <v>20056</v>
      </c>
      <c r="P7903" t="s">
        <v>20127</v>
      </c>
      <c r="Q7903" t="s">
        <v>19900</v>
      </c>
      <c r="R7903" t="s">
        <v>19447</v>
      </c>
      <c r="S7903" t="s">
        <v>19447</v>
      </c>
      <c r="T7903" t="s">
        <v>19900</v>
      </c>
    </row>
    <row r="7904" spans="2:20" x14ac:dyDescent="0.25">
      <c r="B7904" t="s">
        <v>2709</v>
      </c>
      <c r="C7904">
        <v>84178090</v>
      </c>
      <c r="E7904">
        <v>71.78</v>
      </c>
      <c r="F7904">
        <v>12</v>
      </c>
      <c r="G7904">
        <v>0</v>
      </c>
      <c r="H7904" t="s">
        <v>19447</v>
      </c>
      <c r="I7904" t="s">
        <v>19447</v>
      </c>
      <c r="J7904">
        <v>14</v>
      </c>
      <c r="L7904" t="s">
        <v>2709</v>
      </c>
      <c r="M7904">
        <v>84178090</v>
      </c>
      <c r="O7904" t="s">
        <v>20056</v>
      </c>
      <c r="P7904" t="s">
        <v>19903</v>
      </c>
      <c r="Q7904" t="s">
        <v>19900</v>
      </c>
      <c r="R7904" t="s">
        <v>19447</v>
      </c>
      <c r="S7904" t="s">
        <v>19447</v>
      </c>
      <c r="T7904" t="s">
        <v>19911</v>
      </c>
    </row>
    <row r="7905" spans="2:20" x14ac:dyDescent="0.25">
      <c r="B7905" t="s">
        <v>2709</v>
      </c>
      <c r="C7905">
        <v>84179000</v>
      </c>
      <c r="E7905">
        <v>71.78</v>
      </c>
      <c r="F7905">
        <v>18</v>
      </c>
      <c r="G7905">
        <v>0</v>
      </c>
      <c r="H7905" t="s">
        <v>19447</v>
      </c>
      <c r="I7905" t="s">
        <v>19447</v>
      </c>
      <c r="J7905">
        <v>14</v>
      </c>
      <c r="L7905" t="s">
        <v>2709</v>
      </c>
      <c r="M7905">
        <v>84179000</v>
      </c>
      <c r="O7905" t="s">
        <v>20056</v>
      </c>
      <c r="P7905" t="s">
        <v>19899</v>
      </c>
      <c r="Q7905" t="s">
        <v>19900</v>
      </c>
      <c r="R7905" t="s">
        <v>19447</v>
      </c>
      <c r="S7905" t="s">
        <v>19447</v>
      </c>
      <c r="T7905" t="s">
        <v>19911</v>
      </c>
    </row>
    <row r="7906" spans="2:20" x14ac:dyDescent="0.25">
      <c r="B7906" t="s">
        <v>2709</v>
      </c>
      <c r="C7906">
        <v>84181000</v>
      </c>
      <c r="E7906">
        <v>42.06</v>
      </c>
      <c r="F7906">
        <v>7</v>
      </c>
      <c r="G7906">
        <v>15</v>
      </c>
      <c r="H7906" t="s">
        <v>19447</v>
      </c>
      <c r="I7906" t="s">
        <v>19447</v>
      </c>
      <c r="J7906">
        <v>20</v>
      </c>
      <c r="L7906" t="s">
        <v>2709</v>
      </c>
      <c r="M7906">
        <v>84181000</v>
      </c>
      <c r="O7906" t="s">
        <v>20155</v>
      </c>
      <c r="P7906" t="s">
        <v>19908</v>
      </c>
      <c r="Q7906" t="s">
        <v>19983</v>
      </c>
      <c r="R7906" t="s">
        <v>19447</v>
      </c>
      <c r="S7906" t="s">
        <v>19447</v>
      </c>
      <c r="T7906" t="s">
        <v>19934</v>
      </c>
    </row>
    <row r="7907" spans="2:20" x14ac:dyDescent="0.25">
      <c r="B7907" t="s">
        <v>2709</v>
      </c>
      <c r="C7907">
        <v>84181000</v>
      </c>
      <c r="D7907">
        <v>1</v>
      </c>
      <c r="E7907" t="s">
        <v>19447</v>
      </c>
      <c r="F7907">
        <v>18</v>
      </c>
      <c r="G7907">
        <v>0</v>
      </c>
      <c r="H7907">
        <v>7.6</v>
      </c>
      <c r="I7907">
        <v>1.65</v>
      </c>
      <c r="J7907">
        <v>20</v>
      </c>
      <c r="L7907" t="s">
        <v>2709</v>
      </c>
      <c r="M7907">
        <v>84181000</v>
      </c>
      <c r="N7907">
        <v>1</v>
      </c>
      <c r="O7907" t="s">
        <v>19447</v>
      </c>
      <c r="P7907" t="s">
        <v>19899</v>
      </c>
      <c r="Q7907" t="s">
        <v>19900</v>
      </c>
      <c r="R7907" t="s">
        <v>19905</v>
      </c>
      <c r="S7907" t="s">
        <v>19906</v>
      </c>
      <c r="T7907" t="s">
        <v>19934</v>
      </c>
    </row>
    <row r="7908" spans="2:20" x14ac:dyDescent="0.25">
      <c r="B7908" t="s">
        <v>2709</v>
      </c>
      <c r="C7908">
        <v>84182100</v>
      </c>
      <c r="E7908">
        <v>38.07</v>
      </c>
      <c r="F7908">
        <v>7</v>
      </c>
      <c r="G7908">
        <v>15</v>
      </c>
      <c r="H7908" t="s">
        <v>19447</v>
      </c>
      <c r="I7908" t="s">
        <v>19447</v>
      </c>
      <c r="J7908">
        <v>20</v>
      </c>
      <c r="L7908" t="s">
        <v>2709</v>
      </c>
      <c r="M7908">
        <v>84182100</v>
      </c>
      <c r="O7908" t="s">
        <v>20156</v>
      </c>
      <c r="P7908" t="s">
        <v>19908</v>
      </c>
      <c r="Q7908" t="s">
        <v>19983</v>
      </c>
      <c r="R7908" t="s">
        <v>19447</v>
      </c>
      <c r="S7908" t="s">
        <v>19447</v>
      </c>
      <c r="T7908" t="s">
        <v>19934</v>
      </c>
    </row>
    <row r="7909" spans="2:20" x14ac:dyDescent="0.25">
      <c r="B7909" t="s">
        <v>2709</v>
      </c>
      <c r="C7909">
        <v>84182900</v>
      </c>
      <c r="E7909">
        <v>51.03</v>
      </c>
      <c r="F7909">
        <v>18</v>
      </c>
      <c r="G7909">
        <v>15</v>
      </c>
      <c r="H7909" t="s">
        <v>19447</v>
      </c>
      <c r="I7909" t="s">
        <v>19447</v>
      </c>
      <c r="J7909">
        <v>20</v>
      </c>
      <c r="L7909" t="s">
        <v>2709</v>
      </c>
      <c r="M7909">
        <v>84182900</v>
      </c>
      <c r="O7909" t="s">
        <v>20157</v>
      </c>
      <c r="P7909" t="s">
        <v>19899</v>
      </c>
      <c r="Q7909" t="s">
        <v>19983</v>
      </c>
      <c r="R7909" t="s">
        <v>19447</v>
      </c>
      <c r="S7909" t="s">
        <v>19447</v>
      </c>
      <c r="T7909" t="s">
        <v>19934</v>
      </c>
    </row>
    <row r="7910" spans="2:20" x14ac:dyDescent="0.25">
      <c r="B7910" t="s">
        <v>2709</v>
      </c>
      <c r="C7910">
        <v>84183000</v>
      </c>
      <c r="E7910">
        <v>42.13</v>
      </c>
      <c r="F7910">
        <v>7</v>
      </c>
      <c r="G7910">
        <v>15</v>
      </c>
      <c r="H7910" t="s">
        <v>19447</v>
      </c>
      <c r="I7910" t="s">
        <v>19447</v>
      </c>
      <c r="J7910">
        <v>20</v>
      </c>
      <c r="L7910" t="s">
        <v>2709</v>
      </c>
      <c r="M7910">
        <v>84183000</v>
      </c>
      <c r="O7910" t="s">
        <v>20158</v>
      </c>
      <c r="P7910" t="s">
        <v>19908</v>
      </c>
      <c r="Q7910" t="s">
        <v>19983</v>
      </c>
      <c r="R7910" t="s">
        <v>19447</v>
      </c>
      <c r="S7910" t="s">
        <v>19447</v>
      </c>
      <c r="T7910" t="s">
        <v>19934</v>
      </c>
    </row>
    <row r="7911" spans="2:20" x14ac:dyDescent="0.25">
      <c r="B7911" t="s">
        <v>2709</v>
      </c>
      <c r="C7911">
        <v>84183000</v>
      </c>
      <c r="D7911">
        <v>1</v>
      </c>
      <c r="E7911" t="s">
        <v>19447</v>
      </c>
      <c r="F7911">
        <v>18</v>
      </c>
      <c r="G7911">
        <v>8.5</v>
      </c>
      <c r="H7911">
        <v>7.6</v>
      </c>
      <c r="I7911">
        <v>1.65</v>
      </c>
      <c r="J7911">
        <v>20</v>
      </c>
      <c r="L7911" t="s">
        <v>2709</v>
      </c>
      <c r="M7911">
        <v>84183000</v>
      </c>
      <c r="N7911">
        <v>1</v>
      </c>
      <c r="O7911" t="s">
        <v>19447</v>
      </c>
      <c r="P7911" t="s">
        <v>19899</v>
      </c>
      <c r="Q7911" t="s">
        <v>20159</v>
      </c>
      <c r="R7911" t="s">
        <v>19905</v>
      </c>
      <c r="S7911" t="s">
        <v>19906</v>
      </c>
      <c r="T7911" t="s">
        <v>19934</v>
      </c>
    </row>
    <row r="7912" spans="2:20" x14ac:dyDescent="0.25">
      <c r="B7912" t="s">
        <v>2709</v>
      </c>
      <c r="C7912">
        <v>84184000</v>
      </c>
      <c r="E7912">
        <v>43.06</v>
      </c>
      <c r="F7912">
        <v>7</v>
      </c>
      <c r="G7912">
        <v>15</v>
      </c>
      <c r="H7912" t="s">
        <v>19447</v>
      </c>
      <c r="I7912" t="s">
        <v>19447</v>
      </c>
      <c r="J7912">
        <v>20</v>
      </c>
      <c r="L7912" t="s">
        <v>2709</v>
      </c>
      <c r="M7912">
        <v>84184000</v>
      </c>
      <c r="O7912" t="s">
        <v>20160</v>
      </c>
      <c r="P7912" t="s">
        <v>19908</v>
      </c>
      <c r="Q7912" t="s">
        <v>19983</v>
      </c>
      <c r="R7912" t="s">
        <v>19447</v>
      </c>
      <c r="S7912" t="s">
        <v>19447</v>
      </c>
      <c r="T7912" t="s">
        <v>19934</v>
      </c>
    </row>
    <row r="7913" spans="2:20" x14ac:dyDescent="0.25">
      <c r="B7913" t="s">
        <v>2709</v>
      </c>
      <c r="C7913">
        <v>84184000</v>
      </c>
      <c r="D7913">
        <v>1</v>
      </c>
      <c r="E7913" t="s">
        <v>19447</v>
      </c>
      <c r="F7913">
        <v>18</v>
      </c>
      <c r="G7913">
        <v>15</v>
      </c>
      <c r="H7913">
        <v>7.6</v>
      </c>
      <c r="I7913">
        <v>1.65</v>
      </c>
      <c r="J7913">
        <v>20</v>
      </c>
      <c r="L7913" t="s">
        <v>2709</v>
      </c>
      <c r="M7913">
        <v>84184000</v>
      </c>
      <c r="N7913">
        <v>1</v>
      </c>
      <c r="O7913" t="s">
        <v>19447</v>
      </c>
      <c r="P7913" t="s">
        <v>19899</v>
      </c>
      <c r="Q7913" t="s">
        <v>19983</v>
      </c>
      <c r="R7913" t="s">
        <v>19905</v>
      </c>
      <c r="S7913" t="s">
        <v>19906</v>
      </c>
      <c r="T7913" t="s">
        <v>19934</v>
      </c>
    </row>
    <row r="7914" spans="2:20" x14ac:dyDescent="0.25">
      <c r="B7914" t="s">
        <v>2709</v>
      </c>
      <c r="C7914">
        <v>84185010</v>
      </c>
      <c r="E7914">
        <v>80.8</v>
      </c>
      <c r="F7914">
        <v>18</v>
      </c>
      <c r="G7914">
        <v>0</v>
      </c>
      <c r="H7914" t="s">
        <v>19447</v>
      </c>
      <c r="I7914" t="s">
        <v>19447</v>
      </c>
      <c r="J7914">
        <v>14</v>
      </c>
      <c r="L7914" t="s">
        <v>2709</v>
      </c>
      <c r="M7914">
        <v>84185010</v>
      </c>
      <c r="O7914" t="s">
        <v>20161</v>
      </c>
      <c r="P7914" t="s">
        <v>19899</v>
      </c>
      <c r="Q7914" t="s">
        <v>19900</v>
      </c>
      <c r="R7914" t="s">
        <v>19447</v>
      </c>
      <c r="S7914" t="s">
        <v>19447</v>
      </c>
      <c r="T7914" t="s">
        <v>19911</v>
      </c>
    </row>
    <row r="7915" spans="2:20" x14ac:dyDescent="0.25">
      <c r="B7915" t="s">
        <v>2709</v>
      </c>
      <c r="C7915">
        <v>84185090</v>
      </c>
      <c r="E7915">
        <v>80.8</v>
      </c>
      <c r="F7915">
        <v>18</v>
      </c>
      <c r="G7915">
        <v>0</v>
      </c>
      <c r="H7915" t="s">
        <v>19447</v>
      </c>
      <c r="I7915" t="s">
        <v>19447</v>
      </c>
      <c r="J7915">
        <v>14</v>
      </c>
      <c r="L7915" t="s">
        <v>2709</v>
      </c>
      <c r="M7915">
        <v>84185090</v>
      </c>
      <c r="O7915" t="s">
        <v>20161</v>
      </c>
      <c r="P7915" t="s">
        <v>19899</v>
      </c>
      <c r="Q7915" t="s">
        <v>19900</v>
      </c>
      <c r="R7915" t="s">
        <v>19447</v>
      </c>
      <c r="S7915" t="s">
        <v>19447</v>
      </c>
      <c r="T7915" t="s">
        <v>19911</v>
      </c>
    </row>
    <row r="7916" spans="2:20" x14ac:dyDescent="0.25">
      <c r="B7916" t="s">
        <v>2709</v>
      </c>
      <c r="C7916">
        <v>84185090</v>
      </c>
      <c r="D7916">
        <v>1</v>
      </c>
      <c r="E7916" t="s">
        <v>19447</v>
      </c>
      <c r="F7916">
        <v>18</v>
      </c>
      <c r="G7916">
        <v>0</v>
      </c>
      <c r="H7916">
        <v>7.6</v>
      </c>
      <c r="I7916">
        <v>1.65</v>
      </c>
      <c r="J7916">
        <v>14</v>
      </c>
      <c r="L7916" t="s">
        <v>2709</v>
      </c>
      <c r="M7916">
        <v>84185090</v>
      </c>
      <c r="N7916">
        <v>1</v>
      </c>
      <c r="O7916" t="s">
        <v>19447</v>
      </c>
      <c r="P7916" t="s">
        <v>19899</v>
      </c>
      <c r="Q7916" t="s">
        <v>19900</v>
      </c>
      <c r="R7916" t="s">
        <v>19905</v>
      </c>
      <c r="S7916" t="s">
        <v>19906</v>
      </c>
      <c r="T7916" t="s">
        <v>19911</v>
      </c>
    </row>
    <row r="7917" spans="2:20" x14ac:dyDescent="0.25">
      <c r="B7917" t="s">
        <v>2709</v>
      </c>
      <c r="C7917">
        <v>84186100</v>
      </c>
      <c r="E7917">
        <v>80.8</v>
      </c>
      <c r="F7917">
        <v>18</v>
      </c>
      <c r="G7917">
        <v>0</v>
      </c>
      <c r="H7917" t="s">
        <v>19447</v>
      </c>
      <c r="I7917" t="s">
        <v>19447</v>
      </c>
      <c r="J7917">
        <v>14</v>
      </c>
      <c r="L7917" t="s">
        <v>2709</v>
      </c>
      <c r="M7917">
        <v>84186100</v>
      </c>
      <c r="O7917" t="s">
        <v>20161</v>
      </c>
      <c r="P7917" t="s">
        <v>19899</v>
      </c>
      <c r="Q7917" t="s">
        <v>19900</v>
      </c>
      <c r="R7917" t="s">
        <v>19447</v>
      </c>
      <c r="S7917" t="s">
        <v>19447</v>
      </c>
      <c r="T7917" t="s">
        <v>19911</v>
      </c>
    </row>
    <row r="7918" spans="2:20" x14ac:dyDescent="0.25">
      <c r="B7918" t="s">
        <v>2709</v>
      </c>
      <c r="C7918">
        <v>84186910</v>
      </c>
      <c r="E7918">
        <v>80.8</v>
      </c>
      <c r="F7918">
        <v>8.8000000000000007</v>
      </c>
      <c r="G7918">
        <v>0</v>
      </c>
      <c r="H7918" t="s">
        <v>19447</v>
      </c>
      <c r="I7918" t="s">
        <v>19447</v>
      </c>
      <c r="J7918">
        <v>14</v>
      </c>
      <c r="L7918" t="s">
        <v>2709</v>
      </c>
      <c r="M7918">
        <v>84186910</v>
      </c>
      <c r="O7918" t="s">
        <v>20161</v>
      </c>
      <c r="P7918" t="s">
        <v>20127</v>
      </c>
      <c r="Q7918" t="s">
        <v>19900</v>
      </c>
      <c r="R7918" t="s">
        <v>19447</v>
      </c>
      <c r="S7918" t="s">
        <v>19447</v>
      </c>
      <c r="T7918" t="s">
        <v>19911</v>
      </c>
    </row>
    <row r="7919" spans="2:20" x14ac:dyDescent="0.25">
      <c r="B7919" t="s">
        <v>2709</v>
      </c>
      <c r="C7919">
        <v>84186920</v>
      </c>
      <c r="E7919">
        <v>80.8</v>
      </c>
      <c r="F7919">
        <v>8.8000000000000007</v>
      </c>
      <c r="G7919">
        <v>0</v>
      </c>
      <c r="H7919" t="s">
        <v>19447</v>
      </c>
      <c r="I7919" t="s">
        <v>19447</v>
      </c>
      <c r="J7919">
        <v>14</v>
      </c>
      <c r="L7919" t="s">
        <v>2709</v>
      </c>
      <c r="M7919">
        <v>84186920</v>
      </c>
      <c r="O7919" t="s">
        <v>20161</v>
      </c>
      <c r="P7919" t="s">
        <v>20127</v>
      </c>
      <c r="Q7919" t="s">
        <v>19900</v>
      </c>
      <c r="R7919" t="s">
        <v>19447</v>
      </c>
      <c r="S7919" t="s">
        <v>19447</v>
      </c>
      <c r="T7919" t="s">
        <v>19911</v>
      </c>
    </row>
    <row r="7920" spans="2:20" x14ac:dyDescent="0.25">
      <c r="B7920" t="s">
        <v>2709</v>
      </c>
      <c r="C7920">
        <v>84186931</v>
      </c>
      <c r="E7920">
        <v>41.34</v>
      </c>
      <c r="F7920">
        <v>18</v>
      </c>
      <c r="G7920">
        <v>15</v>
      </c>
      <c r="H7920" t="s">
        <v>19447</v>
      </c>
      <c r="I7920" t="s">
        <v>19447</v>
      </c>
      <c r="J7920">
        <v>18</v>
      </c>
      <c r="L7920" t="s">
        <v>2709</v>
      </c>
      <c r="M7920">
        <v>84186931</v>
      </c>
      <c r="O7920" t="s">
        <v>20162</v>
      </c>
      <c r="P7920" t="s">
        <v>19899</v>
      </c>
      <c r="Q7920" t="s">
        <v>19983</v>
      </c>
      <c r="R7920" t="s">
        <v>19447</v>
      </c>
      <c r="S7920" t="s">
        <v>19447</v>
      </c>
      <c r="T7920" t="s">
        <v>19899</v>
      </c>
    </row>
    <row r="7921" spans="2:20" x14ac:dyDescent="0.25">
      <c r="B7921" t="s">
        <v>2709</v>
      </c>
      <c r="C7921">
        <v>84186931</v>
      </c>
      <c r="D7921">
        <v>1</v>
      </c>
      <c r="E7921" t="s">
        <v>19447</v>
      </c>
      <c r="F7921">
        <v>18</v>
      </c>
      <c r="G7921">
        <v>10</v>
      </c>
      <c r="H7921">
        <v>7.6</v>
      </c>
      <c r="I7921">
        <v>1.65</v>
      </c>
      <c r="J7921">
        <v>18</v>
      </c>
      <c r="L7921" t="s">
        <v>2709</v>
      </c>
      <c r="M7921">
        <v>84186931</v>
      </c>
      <c r="N7921">
        <v>1</v>
      </c>
      <c r="O7921" t="s">
        <v>19447</v>
      </c>
      <c r="P7921" t="s">
        <v>19899</v>
      </c>
      <c r="Q7921" t="s">
        <v>19904</v>
      </c>
      <c r="R7921" t="s">
        <v>19905</v>
      </c>
      <c r="S7921" t="s">
        <v>19906</v>
      </c>
      <c r="T7921" t="s">
        <v>19899</v>
      </c>
    </row>
    <row r="7922" spans="2:20" x14ac:dyDescent="0.25">
      <c r="B7922" t="s">
        <v>2709</v>
      </c>
      <c r="C7922">
        <v>84186932</v>
      </c>
      <c r="E7922">
        <v>80.8</v>
      </c>
      <c r="F7922">
        <v>18</v>
      </c>
      <c r="G7922">
        <v>0</v>
      </c>
      <c r="H7922" t="s">
        <v>19447</v>
      </c>
      <c r="I7922" t="s">
        <v>19447</v>
      </c>
      <c r="J7922">
        <v>18</v>
      </c>
      <c r="L7922" t="s">
        <v>2709</v>
      </c>
      <c r="M7922">
        <v>84186932</v>
      </c>
      <c r="O7922" t="s">
        <v>20161</v>
      </c>
      <c r="P7922" t="s">
        <v>19899</v>
      </c>
      <c r="Q7922" t="s">
        <v>19900</v>
      </c>
      <c r="R7922" t="s">
        <v>19447</v>
      </c>
      <c r="S7922" t="s">
        <v>19447</v>
      </c>
      <c r="T7922" t="s">
        <v>19899</v>
      </c>
    </row>
    <row r="7923" spans="2:20" x14ac:dyDescent="0.25">
      <c r="B7923" t="s">
        <v>2709</v>
      </c>
      <c r="C7923">
        <v>84186940</v>
      </c>
      <c r="E7923">
        <v>80.8</v>
      </c>
      <c r="F7923">
        <v>18</v>
      </c>
      <c r="G7923">
        <v>0</v>
      </c>
      <c r="H7923" t="s">
        <v>19447</v>
      </c>
      <c r="I7923" t="s">
        <v>19447</v>
      </c>
      <c r="J7923">
        <v>18</v>
      </c>
      <c r="L7923" t="s">
        <v>2709</v>
      </c>
      <c r="M7923">
        <v>84186940</v>
      </c>
      <c r="O7923" t="s">
        <v>20161</v>
      </c>
      <c r="P7923" t="s">
        <v>19899</v>
      </c>
      <c r="Q7923" t="s">
        <v>19900</v>
      </c>
      <c r="R7923" t="s">
        <v>19447</v>
      </c>
      <c r="S7923" t="s">
        <v>19447</v>
      </c>
      <c r="T7923" t="s">
        <v>19899</v>
      </c>
    </row>
    <row r="7924" spans="2:20" x14ac:dyDescent="0.25">
      <c r="B7924" t="s">
        <v>2709</v>
      </c>
      <c r="C7924">
        <v>84186940</v>
      </c>
      <c r="D7924">
        <v>1</v>
      </c>
      <c r="E7924" t="s">
        <v>19447</v>
      </c>
      <c r="F7924">
        <v>18</v>
      </c>
      <c r="G7924">
        <v>20</v>
      </c>
      <c r="H7924">
        <v>7.6</v>
      </c>
      <c r="I7924">
        <v>1.65</v>
      </c>
      <c r="J7924">
        <v>18</v>
      </c>
      <c r="L7924" t="s">
        <v>2709</v>
      </c>
      <c r="M7924">
        <v>84186940</v>
      </c>
      <c r="N7924">
        <v>1</v>
      </c>
      <c r="O7924" t="s">
        <v>19447</v>
      </c>
      <c r="P7924" t="s">
        <v>19899</v>
      </c>
      <c r="Q7924" t="s">
        <v>19934</v>
      </c>
      <c r="R7924" t="s">
        <v>19905</v>
      </c>
      <c r="S7924" t="s">
        <v>19906</v>
      </c>
      <c r="T7924" t="s">
        <v>19899</v>
      </c>
    </row>
    <row r="7925" spans="2:20" x14ac:dyDescent="0.25">
      <c r="B7925" t="s">
        <v>2709</v>
      </c>
      <c r="C7925">
        <v>84186991</v>
      </c>
      <c r="E7925">
        <v>51.03</v>
      </c>
      <c r="F7925">
        <v>18</v>
      </c>
      <c r="G7925">
        <v>5</v>
      </c>
      <c r="H7925" t="s">
        <v>19447</v>
      </c>
      <c r="I7925" t="s">
        <v>19447</v>
      </c>
      <c r="J7925">
        <v>0</v>
      </c>
      <c r="L7925" t="s">
        <v>2709</v>
      </c>
      <c r="M7925">
        <v>84186991</v>
      </c>
      <c r="O7925" t="s">
        <v>20157</v>
      </c>
      <c r="P7925" t="s">
        <v>19899</v>
      </c>
      <c r="Q7925" t="s">
        <v>19909</v>
      </c>
      <c r="R7925" t="s">
        <v>19447</v>
      </c>
      <c r="S7925" t="s">
        <v>19447</v>
      </c>
      <c r="T7925" t="s">
        <v>19900</v>
      </c>
    </row>
    <row r="7926" spans="2:20" x14ac:dyDescent="0.25">
      <c r="B7926" t="s">
        <v>2709</v>
      </c>
      <c r="C7926">
        <v>84186999</v>
      </c>
      <c r="E7926">
        <v>51.03</v>
      </c>
      <c r="F7926">
        <v>8.8000000000000007</v>
      </c>
      <c r="G7926">
        <v>15</v>
      </c>
      <c r="H7926" t="s">
        <v>19447</v>
      </c>
      <c r="I7926" t="s">
        <v>19447</v>
      </c>
      <c r="J7926">
        <v>14</v>
      </c>
      <c r="L7926" t="s">
        <v>2709</v>
      </c>
      <c r="M7926">
        <v>84186999</v>
      </c>
      <c r="O7926" t="s">
        <v>20157</v>
      </c>
      <c r="P7926" t="s">
        <v>20127</v>
      </c>
      <c r="Q7926" t="s">
        <v>19983</v>
      </c>
      <c r="R7926" t="s">
        <v>19447</v>
      </c>
      <c r="S7926" t="s">
        <v>19447</v>
      </c>
      <c r="T7926" t="s">
        <v>19911</v>
      </c>
    </row>
    <row r="7927" spans="2:20" x14ac:dyDescent="0.25">
      <c r="B7927" t="s">
        <v>2709</v>
      </c>
      <c r="C7927">
        <v>84186999</v>
      </c>
      <c r="D7927">
        <v>1</v>
      </c>
      <c r="E7927" t="s">
        <v>19447</v>
      </c>
      <c r="F7927">
        <v>18</v>
      </c>
      <c r="G7927">
        <v>0</v>
      </c>
      <c r="H7927">
        <v>7.6</v>
      </c>
      <c r="I7927">
        <v>1.65</v>
      </c>
      <c r="J7927">
        <v>14</v>
      </c>
      <c r="L7927" t="s">
        <v>2709</v>
      </c>
      <c r="M7927">
        <v>84186999</v>
      </c>
      <c r="N7927">
        <v>1</v>
      </c>
      <c r="O7927" t="s">
        <v>19447</v>
      </c>
      <c r="P7927" t="s">
        <v>19899</v>
      </c>
      <c r="Q7927" t="s">
        <v>19900</v>
      </c>
      <c r="R7927" t="s">
        <v>19905</v>
      </c>
      <c r="S7927" t="s">
        <v>19906</v>
      </c>
      <c r="T7927" t="s">
        <v>19911</v>
      </c>
    </row>
    <row r="7928" spans="2:20" x14ac:dyDescent="0.25">
      <c r="B7928" t="s">
        <v>2709</v>
      </c>
      <c r="C7928">
        <v>84186999</v>
      </c>
      <c r="D7928">
        <v>2</v>
      </c>
      <c r="E7928" t="s">
        <v>19447</v>
      </c>
      <c r="F7928">
        <v>18</v>
      </c>
      <c r="G7928">
        <v>5</v>
      </c>
      <c r="H7928">
        <v>7.6</v>
      </c>
      <c r="I7928">
        <v>1.65</v>
      </c>
      <c r="J7928">
        <v>14</v>
      </c>
      <c r="L7928" t="s">
        <v>2709</v>
      </c>
      <c r="M7928">
        <v>84186999</v>
      </c>
      <c r="N7928">
        <v>2</v>
      </c>
      <c r="O7928" t="s">
        <v>19447</v>
      </c>
      <c r="P7928" t="s">
        <v>19899</v>
      </c>
      <c r="Q7928" t="s">
        <v>19909</v>
      </c>
      <c r="R7928" t="s">
        <v>19905</v>
      </c>
      <c r="S7928" t="s">
        <v>19906</v>
      </c>
      <c r="T7928" t="s">
        <v>19911</v>
      </c>
    </row>
    <row r="7929" spans="2:20" x14ac:dyDescent="0.25">
      <c r="B7929" t="s">
        <v>2709</v>
      </c>
      <c r="C7929">
        <v>84186999</v>
      </c>
      <c r="D7929">
        <v>3</v>
      </c>
      <c r="E7929" t="s">
        <v>19447</v>
      </c>
      <c r="F7929">
        <v>18</v>
      </c>
      <c r="G7929">
        <v>5</v>
      </c>
      <c r="H7929">
        <v>7.6</v>
      </c>
      <c r="I7929">
        <v>1.65</v>
      </c>
      <c r="J7929">
        <v>14</v>
      </c>
      <c r="L7929" t="s">
        <v>2709</v>
      </c>
      <c r="M7929">
        <v>84186999</v>
      </c>
      <c r="N7929">
        <v>3</v>
      </c>
      <c r="O7929" t="s">
        <v>19447</v>
      </c>
      <c r="P7929" t="s">
        <v>19899</v>
      </c>
      <c r="Q7929" t="s">
        <v>19909</v>
      </c>
      <c r="R7929" t="s">
        <v>19905</v>
      </c>
      <c r="S7929" t="s">
        <v>19906</v>
      </c>
      <c r="T7929" t="s">
        <v>19911</v>
      </c>
    </row>
    <row r="7930" spans="2:20" x14ac:dyDescent="0.25">
      <c r="B7930" t="s">
        <v>2709</v>
      </c>
      <c r="C7930">
        <v>84186999</v>
      </c>
      <c r="D7930">
        <v>4</v>
      </c>
      <c r="E7930" t="s">
        <v>19447</v>
      </c>
      <c r="F7930">
        <v>18</v>
      </c>
      <c r="G7930">
        <v>0</v>
      </c>
      <c r="H7930">
        <v>7.6</v>
      </c>
      <c r="I7930">
        <v>1.65</v>
      </c>
      <c r="J7930">
        <v>14</v>
      </c>
      <c r="L7930" t="s">
        <v>2709</v>
      </c>
      <c r="M7930">
        <v>84186999</v>
      </c>
      <c r="N7930">
        <v>4</v>
      </c>
      <c r="O7930" t="s">
        <v>19447</v>
      </c>
      <c r="P7930" t="s">
        <v>19899</v>
      </c>
      <c r="Q7930" t="s">
        <v>19900</v>
      </c>
      <c r="R7930" t="s">
        <v>19905</v>
      </c>
      <c r="S7930" t="s">
        <v>19906</v>
      </c>
      <c r="T7930" t="s">
        <v>19911</v>
      </c>
    </row>
    <row r="7931" spans="2:20" x14ac:dyDescent="0.25">
      <c r="B7931" t="s">
        <v>2709</v>
      </c>
      <c r="C7931">
        <v>84189100</v>
      </c>
      <c r="E7931">
        <v>80.8</v>
      </c>
      <c r="F7931">
        <v>18</v>
      </c>
      <c r="G7931">
        <v>15</v>
      </c>
      <c r="H7931" t="s">
        <v>19447</v>
      </c>
      <c r="I7931" t="s">
        <v>19447</v>
      </c>
      <c r="J7931">
        <v>16</v>
      </c>
      <c r="L7931" t="s">
        <v>2709</v>
      </c>
      <c r="M7931">
        <v>84189100</v>
      </c>
      <c r="O7931" t="s">
        <v>20161</v>
      </c>
      <c r="P7931" t="s">
        <v>19899</v>
      </c>
      <c r="Q7931" t="s">
        <v>19983</v>
      </c>
      <c r="R7931" t="s">
        <v>19447</v>
      </c>
      <c r="S7931" t="s">
        <v>19447</v>
      </c>
      <c r="T7931" t="s">
        <v>19913</v>
      </c>
    </row>
    <row r="7932" spans="2:20" x14ac:dyDescent="0.25">
      <c r="B7932" t="s">
        <v>2709</v>
      </c>
      <c r="C7932">
        <v>84189900</v>
      </c>
      <c r="E7932">
        <v>77.040000000000006</v>
      </c>
      <c r="F7932">
        <v>12</v>
      </c>
      <c r="G7932">
        <v>15</v>
      </c>
      <c r="H7932" t="s">
        <v>19447</v>
      </c>
      <c r="I7932" t="s">
        <v>19447</v>
      </c>
      <c r="J7932">
        <v>14</v>
      </c>
      <c r="L7932" t="s">
        <v>2709</v>
      </c>
      <c r="M7932">
        <v>84189900</v>
      </c>
      <c r="O7932" t="s">
        <v>20163</v>
      </c>
      <c r="P7932" t="s">
        <v>19903</v>
      </c>
      <c r="Q7932" t="s">
        <v>19983</v>
      </c>
      <c r="R7932" t="s">
        <v>19447</v>
      </c>
      <c r="S7932" t="s">
        <v>19447</v>
      </c>
      <c r="T7932" t="s">
        <v>19911</v>
      </c>
    </row>
    <row r="7933" spans="2:20" x14ac:dyDescent="0.25">
      <c r="B7933" t="s">
        <v>2709</v>
      </c>
      <c r="C7933">
        <v>84189900</v>
      </c>
      <c r="D7933">
        <v>1</v>
      </c>
      <c r="E7933" t="s">
        <v>19447</v>
      </c>
      <c r="F7933">
        <v>18</v>
      </c>
      <c r="G7933">
        <v>5</v>
      </c>
      <c r="H7933">
        <v>7.6</v>
      </c>
      <c r="I7933">
        <v>1.65</v>
      </c>
      <c r="J7933">
        <v>14</v>
      </c>
      <c r="L7933" t="s">
        <v>2709</v>
      </c>
      <c r="M7933">
        <v>84189900</v>
      </c>
      <c r="N7933">
        <v>1</v>
      </c>
      <c r="O7933" t="s">
        <v>19447</v>
      </c>
      <c r="P7933" t="s">
        <v>19899</v>
      </c>
      <c r="Q7933" t="s">
        <v>19909</v>
      </c>
      <c r="R7933" t="s">
        <v>19905</v>
      </c>
      <c r="S7933" t="s">
        <v>19906</v>
      </c>
      <c r="T7933" t="s">
        <v>19911</v>
      </c>
    </row>
    <row r="7934" spans="2:20" x14ac:dyDescent="0.25">
      <c r="B7934" t="s">
        <v>2709</v>
      </c>
      <c r="C7934">
        <v>84191100</v>
      </c>
      <c r="E7934">
        <v>42</v>
      </c>
      <c r="F7934">
        <v>18</v>
      </c>
      <c r="G7934">
        <v>5</v>
      </c>
      <c r="H7934" t="s">
        <v>19447</v>
      </c>
      <c r="I7934" t="s">
        <v>19447</v>
      </c>
      <c r="J7934">
        <v>20</v>
      </c>
      <c r="L7934" t="s">
        <v>2709</v>
      </c>
      <c r="M7934">
        <v>84191100</v>
      </c>
      <c r="O7934" t="s">
        <v>20041</v>
      </c>
      <c r="P7934" t="s">
        <v>19899</v>
      </c>
      <c r="Q7934" t="s">
        <v>19909</v>
      </c>
      <c r="R7934" t="s">
        <v>19447</v>
      </c>
      <c r="S7934" t="s">
        <v>19447</v>
      </c>
      <c r="T7934" t="s">
        <v>19934</v>
      </c>
    </row>
    <row r="7935" spans="2:20" x14ac:dyDescent="0.25">
      <c r="B7935" t="s">
        <v>2709</v>
      </c>
      <c r="C7935">
        <v>84191100</v>
      </c>
      <c r="D7935">
        <v>1</v>
      </c>
      <c r="E7935" t="s">
        <v>19447</v>
      </c>
      <c r="F7935">
        <v>18</v>
      </c>
      <c r="G7935">
        <v>10</v>
      </c>
      <c r="H7935">
        <v>7.6</v>
      </c>
      <c r="I7935">
        <v>1.65</v>
      </c>
      <c r="J7935">
        <v>20</v>
      </c>
      <c r="L7935" t="s">
        <v>2709</v>
      </c>
      <c r="M7935">
        <v>84191100</v>
      </c>
      <c r="N7935">
        <v>1</v>
      </c>
      <c r="O7935" t="s">
        <v>19447</v>
      </c>
      <c r="P7935" t="s">
        <v>19899</v>
      </c>
      <c r="Q7935" t="s">
        <v>19904</v>
      </c>
      <c r="R7935" t="s">
        <v>19905</v>
      </c>
      <c r="S7935" t="s">
        <v>19906</v>
      </c>
      <c r="T7935" t="s">
        <v>19934</v>
      </c>
    </row>
    <row r="7936" spans="2:20" x14ac:dyDescent="0.25">
      <c r="B7936" t="s">
        <v>2709</v>
      </c>
      <c r="C7936">
        <v>84191910</v>
      </c>
      <c r="E7936">
        <v>42</v>
      </c>
      <c r="F7936">
        <v>0</v>
      </c>
      <c r="G7936">
        <v>0</v>
      </c>
      <c r="H7936" t="s">
        <v>19447</v>
      </c>
      <c r="I7936" t="s">
        <v>19447</v>
      </c>
      <c r="J7936">
        <v>20</v>
      </c>
      <c r="L7936" t="s">
        <v>2709</v>
      </c>
      <c r="M7936">
        <v>84191910</v>
      </c>
      <c r="O7936" t="s">
        <v>20041</v>
      </c>
      <c r="P7936" t="s">
        <v>19900</v>
      </c>
      <c r="Q7936" t="s">
        <v>19900</v>
      </c>
      <c r="R7936" t="s">
        <v>19447</v>
      </c>
      <c r="S7936" t="s">
        <v>19447</v>
      </c>
      <c r="T7936" t="s">
        <v>19934</v>
      </c>
    </row>
    <row r="7937" spans="2:20" x14ac:dyDescent="0.25">
      <c r="B7937" t="s">
        <v>2709</v>
      </c>
      <c r="C7937">
        <v>84191990</v>
      </c>
      <c r="E7937">
        <v>42</v>
      </c>
      <c r="F7937">
        <v>12</v>
      </c>
      <c r="G7937">
        <v>5</v>
      </c>
      <c r="H7937" t="s">
        <v>19447</v>
      </c>
      <c r="I7937" t="s">
        <v>19447</v>
      </c>
      <c r="J7937">
        <v>20</v>
      </c>
      <c r="L7937" t="s">
        <v>2709</v>
      </c>
      <c r="M7937">
        <v>84191990</v>
      </c>
      <c r="O7937" t="s">
        <v>20041</v>
      </c>
      <c r="P7937" t="s">
        <v>19903</v>
      </c>
      <c r="Q7937" t="s">
        <v>19909</v>
      </c>
      <c r="R7937" t="s">
        <v>19447</v>
      </c>
      <c r="S7937" t="s">
        <v>19447</v>
      </c>
      <c r="T7937" t="s">
        <v>19934</v>
      </c>
    </row>
    <row r="7938" spans="2:20" x14ac:dyDescent="0.25">
      <c r="B7938" t="s">
        <v>2709</v>
      </c>
      <c r="C7938">
        <v>84192000</v>
      </c>
      <c r="E7938">
        <v>71.78</v>
      </c>
      <c r="F7938">
        <v>18</v>
      </c>
      <c r="G7938">
        <v>5</v>
      </c>
      <c r="H7938" t="s">
        <v>19447</v>
      </c>
      <c r="I7938" t="s">
        <v>19447</v>
      </c>
      <c r="J7938">
        <v>14</v>
      </c>
      <c r="L7938" t="s">
        <v>2709</v>
      </c>
      <c r="M7938">
        <v>84192000</v>
      </c>
      <c r="O7938" t="s">
        <v>20056</v>
      </c>
      <c r="P7938" t="s">
        <v>19899</v>
      </c>
      <c r="Q7938" t="s">
        <v>19909</v>
      </c>
      <c r="R7938" t="s">
        <v>19447</v>
      </c>
      <c r="S7938" t="s">
        <v>19447</v>
      </c>
      <c r="T7938" t="s">
        <v>19911</v>
      </c>
    </row>
    <row r="7939" spans="2:20" x14ac:dyDescent="0.25">
      <c r="B7939" t="s">
        <v>2709</v>
      </c>
      <c r="C7939">
        <v>84193100</v>
      </c>
      <c r="E7939">
        <v>71.78</v>
      </c>
      <c r="F7939">
        <v>12</v>
      </c>
      <c r="G7939">
        <v>0</v>
      </c>
      <c r="H7939" t="s">
        <v>19447</v>
      </c>
      <c r="I7939" t="s">
        <v>19447</v>
      </c>
      <c r="J7939">
        <v>14</v>
      </c>
      <c r="L7939" t="s">
        <v>2709</v>
      </c>
      <c r="M7939">
        <v>84193100</v>
      </c>
      <c r="O7939" t="s">
        <v>20056</v>
      </c>
      <c r="P7939" t="s">
        <v>19903</v>
      </c>
      <c r="Q7939" t="s">
        <v>19900</v>
      </c>
      <c r="R7939" t="s">
        <v>19447</v>
      </c>
      <c r="S7939" t="s">
        <v>19447</v>
      </c>
      <c r="T7939" t="s">
        <v>19911</v>
      </c>
    </row>
    <row r="7940" spans="2:20" x14ac:dyDescent="0.25">
      <c r="B7940" t="s">
        <v>2709</v>
      </c>
      <c r="C7940">
        <v>84193200</v>
      </c>
      <c r="E7940">
        <v>71.78</v>
      </c>
      <c r="F7940">
        <v>8.8000000000000007</v>
      </c>
      <c r="G7940">
        <v>0</v>
      </c>
      <c r="H7940" t="s">
        <v>19447</v>
      </c>
      <c r="I7940" t="s">
        <v>19447</v>
      </c>
      <c r="J7940">
        <v>14</v>
      </c>
      <c r="L7940" t="s">
        <v>2709</v>
      </c>
      <c r="M7940">
        <v>84193200</v>
      </c>
      <c r="O7940" t="s">
        <v>20056</v>
      </c>
      <c r="P7940" t="s">
        <v>20127</v>
      </c>
      <c r="Q7940" t="s">
        <v>19900</v>
      </c>
      <c r="R7940" t="s">
        <v>19447</v>
      </c>
      <c r="S7940" t="s">
        <v>19447</v>
      </c>
      <c r="T7940" t="s">
        <v>19911</v>
      </c>
    </row>
    <row r="7941" spans="2:20" x14ac:dyDescent="0.25">
      <c r="B7941" t="s">
        <v>2709</v>
      </c>
      <c r="C7941">
        <v>84193900</v>
      </c>
      <c r="E7941">
        <v>71.78</v>
      </c>
      <c r="F7941">
        <v>12</v>
      </c>
      <c r="G7941">
        <v>0</v>
      </c>
      <c r="H7941" t="s">
        <v>19447</v>
      </c>
      <c r="I7941" t="s">
        <v>19447</v>
      </c>
      <c r="J7941">
        <v>14</v>
      </c>
      <c r="L7941" t="s">
        <v>2709</v>
      </c>
      <c r="M7941">
        <v>84193900</v>
      </c>
      <c r="O7941" t="s">
        <v>20056</v>
      </c>
      <c r="P7941" t="s">
        <v>19903</v>
      </c>
      <c r="Q7941" t="s">
        <v>19900</v>
      </c>
      <c r="R7941" t="s">
        <v>19447</v>
      </c>
      <c r="S7941" t="s">
        <v>19447</v>
      </c>
      <c r="T7941" t="s">
        <v>19911</v>
      </c>
    </row>
    <row r="7942" spans="2:20" x14ac:dyDescent="0.25">
      <c r="B7942" t="s">
        <v>2709</v>
      </c>
      <c r="C7942">
        <v>84194010</v>
      </c>
      <c r="E7942">
        <v>71.78</v>
      </c>
      <c r="F7942">
        <v>8.8000000000000007</v>
      </c>
      <c r="G7942">
        <v>0</v>
      </c>
      <c r="H7942" t="s">
        <v>19447</v>
      </c>
      <c r="I7942" t="s">
        <v>19447</v>
      </c>
      <c r="J7942">
        <v>14</v>
      </c>
      <c r="L7942" t="s">
        <v>2709</v>
      </c>
      <c r="M7942">
        <v>84194010</v>
      </c>
      <c r="O7942" t="s">
        <v>20056</v>
      </c>
      <c r="P7942" t="s">
        <v>20127</v>
      </c>
      <c r="Q7942" t="s">
        <v>19900</v>
      </c>
      <c r="R7942" t="s">
        <v>19447</v>
      </c>
      <c r="S7942" t="s">
        <v>19447</v>
      </c>
      <c r="T7942" t="s">
        <v>19911</v>
      </c>
    </row>
    <row r="7943" spans="2:20" x14ac:dyDescent="0.25">
      <c r="B7943" t="s">
        <v>2709</v>
      </c>
      <c r="C7943">
        <v>84194020</v>
      </c>
      <c r="E7943">
        <v>71.78</v>
      </c>
      <c r="F7943">
        <v>8.8000000000000007</v>
      </c>
      <c r="G7943">
        <v>0</v>
      </c>
      <c r="H7943" t="s">
        <v>19447</v>
      </c>
      <c r="I7943" t="s">
        <v>19447</v>
      </c>
      <c r="J7943">
        <v>14</v>
      </c>
      <c r="L7943" t="s">
        <v>2709</v>
      </c>
      <c r="M7943">
        <v>84194020</v>
      </c>
      <c r="O7943" t="s">
        <v>20056</v>
      </c>
      <c r="P7943" t="s">
        <v>20127</v>
      </c>
      <c r="Q7943" t="s">
        <v>19900</v>
      </c>
      <c r="R7943" t="s">
        <v>19447</v>
      </c>
      <c r="S7943" t="s">
        <v>19447</v>
      </c>
      <c r="T7943" t="s">
        <v>19911</v>
      </c>
    </row>
    <row r="7944" spans="2:20" x14ac:dyDescent="0.25">
      <c r="B7944" t="s">
        <v>2709</v>
      </c>
      <c r="C7944">
        <v>84194090</v>
      </c>
      <c r="E7944">
        <v>71.78</v>
      </c>
      <c r="F7944">
        <v>8.8000000000000007</v>
      </c>
      <c r="G7944">
        <v>0</v>
      </c>
      <c r="H7944" t="s">
        <v>19447</v>
      </c>
      <c r="I7944" t="s">
        <v>19447</v>
      </c>
      <c r="J7944">
        <v>14</v>
      </c>
      <c r="L7944" t="s">
        <v>2709</v>
      </c>
      <c r="M7944">
        <v>84194090</v>
      </c>
      <c r="O7944" t="s">
        <v>20056</v>
      </c>
      <c r="P7944" t="s">
        <v>20127</v>
      </c>
      <c r="Q7944" t="s">
        <v>19900</v>
      </c>
      <c r="R7944" t="s">
        <v>19447</v>
      </c>
      <c r="S7944" t="s">
        <v>19447</v>
      </c>
      <c r="T7944" t="s">
        <v>19911</v>
      </c>
    </row>
    <row r="7945" spans="2:20" x14ac:dyDescent="0.25">
      <c r="B7945" t="s">
        <v>2709</v>
      </c>
      <c r="C7945">
        <v>84195010</v>
      </c>
      <c r="E7945">
        <v>71.78</v>
      </c>
      <c r="F7945">
        <v>8.8000000000000007</v>
      </c>
      <c r="G7945">
        <v>0</v>
      </c>
      <c r="H7945" t="s">
        <v>19447</v>
      </c>
      <c r="I7945" t="s">
        <v>19447</v>
      </c>
      <c r="J7945">
        <v>14</v>
      </c>
      <c r="L7945" t="s">
        <v>2709</v>
      </c>
      <c r="M7945">
        <v>84195010</v>
      </c>
      <c r="O7945" t="s">
        <v>20056</v>
      </c>
      <c r="P7945" t="s">
        <v>20127</v>
      </c>
      <c r="Q7945" t="s">
        <v>19900</v>
      </c>
      <c r="R7945" t="s">
        <v>19447</v>
      </c>
      <c r="S7945" t="s">
        <v>19447</v>
      </c>
      <c r="T7945" t="s">
        <v>19911</v>
      </c>
    </row>
    <row r="7946" spans="2:20" x14ac:dyDescent="0.25">
      <c r="B7946" t="s">
        <v>2709</v>
      </c>
      <c r="C7946">
        <v>84195021</v>
      </c>
      <c r="E7946">
        <v>71.78</v>
      </c>
      <c r="F7946">
        <v>8.8000000000000007</v>
      </c>
      <c r="G7946">
        <v>0</v>
      </c>
      <c r="H7946" t="s">
        <v>19447</v>
      </c>
      <c r="I7946" t="s">
        <v>19447</v>
      </c>
      <c r="J7946">
        <v>14</v>
      </c>
      <c r="L7946" t="s">
        <v>2709</v>
      </c>
      <c r="M7946">
        <v>84195021</v>
      </c>
      <c r="O7946" t="s">
        <v>20056</v>
      </c>
      <c r="P7946" t="s">
        <v>20127</v>
      </c>
      <c r="Q7946" t="s">
        <v>19900</v>
      </c>
      <c r="R7946" t="s">
        <v>19447</v>
      </c>
      <c r="S7946" t="s">
        <v>19447</v>
      </c>
      <c r="T7946" t="s">
        <v>19911</v>
      </c>
    </row>
    <row r="7947" spans="2:20" x14ac:dyDescent="0.25">
      <c r="B7947" t="s">
        <v>2709</v>
      </c>
      <c r="C7947">
        <v>84195022</v>
      </c>
      <c r="E7947">
        <v>71.78</v>
      </c>
      <c r="F7947">
        <v>8.8000000000000007</v>
      </c>
      <c r="G7947">
        <v>0</v>
      </c>
      <c r="H7947" t="s">
        <v>19447</v>
      </c>
      <c r="I7947" t="s">
        <v>19447</v>
      </c>
      <c r="J7947">
        <v>14</v>
      </c>
      <c r="L7947" t="s">
        <v>2709</v>
      </c>
      <c r="M7947">
        <v>84195022</v>
      </c>
      <c r="O7947" t="s">
        <v>20056</v>
      </c>
      <c r="P7947" t="s">
        <v>20127</v>
      </c>
      <c r="Q7947" t="s">
        <v>19900</v>
      </c>
      <c r="R7947" t="s">
        <v>19447</v>
      </c>
      <c r="S7947" t="s">
        <v>19447</v>
      </c>
      <c r="T7947" t="s">
        <v>19911</v>
      </c>
    </row>
    <row r="7948" spans="2:20" x14ac:dyDescent="0.25">
      <c r="B7948" t="s">
        <v>2709</v>
      </c>
      <c r="C7948">
        <v>84195029</v>
      </c>
      <c r="E7948">
        <v>71.78</v>
      </c>
      <c r="F7948">
        <v>8.8000000000000007</v>
      </c>
      <c r="G7948">
        <v>0</v>
      </c>
      <c r="H7948" t="s">
        <v>19447</v>
      </c>
      <c r="I7948" t="s">
        <v>19447</v>
      </c>
      <c r="J7948">
        <v>14</v>
      </c>
      <c r="L7948" t="s">
        <v>2709</v>
      </c>
      <c r="M7948">
        <v>84195029</v>
      </c>
      <c r="O7948" t="s">
        <v>20056</v>
      </c>
      <c r="P7948" t="s">
        <v>20127</v>
      </c>
      <c r="Q7948" t="s">
        <v>19900</v>
      </c>
      <c r="R7948" t="s">
        <v>19447</v>
      </c>
      <c r="S7948" t="s">
        <v>19447</v>
      </c>
      <c r="T7948" t="s">
        <v>19911</v>
      </c>
    </row>
    <row r="7949" spans="2:20" x14ac:dyDescent="0.25">
      <c r="B7949" t="s">
        <v>2709</v>
      </c>
      <c r="C7949">
        <v>84195090</v>
      </c>
      <c r="E7949">
        <v>71.78</v>
      </c>
      <c r="F7949">
        <v>8.8000000000000007</v>
      </c>
      <c r="G7949">
        <v>0</v>
      </c>
      <c r="H7949" t="s">
        <v>19447</v>
      </c>
      <c r="I7949" t="s">
        <v>19447</v>
      </c>
      <c r="J7949">
        <v>14</v>
      </c>
      <c r="L7949" t="s">
        <v>2709</v>
      </c>
      <c r="M7949">
        <v>84195090</v>
      </c>
      <c r="O7949" t="s">
        <v>20056</v>
      </c>
      <c r="P7949" t="s">
        <v>20127</v>
      </c>
      <c r="Q7949" t="s">
        <v>19900</v>
      </c>
      <c r="R7949" t="s">
        <v>19447</v>
      </c>
      <c r="S7949" t="s">
        <v>19447</v>
      </c>
      <c r="T7949" t="s">
        <v>19911</v>
      </c>
    </row>
    <row r="7950" spans="2:20" x14ac:dyDescent="0.25">
      <c r="B7950" t="s">
        <v>2709</v>
      </c>
      <c r="C7950">
        <v>84196000</v>
      </c>
      <c r="E7950">
        <v>71.78</v>
      </c>
      <c r="F7950">
        <v>8.8000000000000007</v>
      </c>
      <c r="G7950">
        <v>0</v>
      </c>
      <c r="H7950" t="s">
        <v>19447</v>
      </c>
      <c r="I7950" t="s">
        <v>19447</v>
      </c>
      <c r="J7950">
        <v>14</v>
      </c>
      <c r="L7950" t="s">
        <v>2709</v>
      </c>
      <c r="M7950">
        <v>84196000</v>
      </c>
      <c r="O7950" t="s">
        <v>20056</v>
      </c>
      <c r="P7950" t="s">
        <v>20127</v>
      </c>
      <c r="Q7950" t="s">
        <v>19900</v>
      </c>
      <c r="R7950" t="s">
        <v>19447</v>
      </c>
      <c r="S7950" t="s">
        <v>19447</v>
      </c>
      <c r="T7950" t="s">
        <v>19911</v>
      </c>
    </row>
    <row r="7951" spans="2:20" x14ac:dyDescent="0.25">
      <c r="B7951" t="s">
        <v>2709</v>
      </c>
      <c r="C7951">
        <v>84198110</v>
      </c>
      <c r="E7951">
        <v>71.78</v>
      </c>
      <c r="F7951">
        <v>8.8000000000000007</v>
      </c>
      <c r="G7951">
        <v>0</v>
      </c>
      <c r="H7951" t="s">
        <v>19447</v>
      </c>
      <c r="I7951" t="s">
        <v>19447</v>
      </c>
      <c r="J7951">
        <v>14</v>
      </c>
      <c r="L7951" t="s">
        <v>2709</v>
      </c>
      <c r="M7951">
        <v>84198110</v>
      </c>
      <c r="O7951" t="s">
        <v>20056</v>
      </c>
      <c r="P7951" t="s">
        <v>20127</v>
      </c>
      <c r="Q7951" t="s">
        <v>19900</v>
      </c>
      <c r="R7951" t="s">
        <v>19447</v>
      </c>
      <c r="S7951" t="s">
        <v>19447</v>
      </c>
      <c r="T7951" t="s">
        <v>19911</v>
      </c>
    </row>
    <row r="7952" spans="2:20" x14ac:dyDescent="0.25">
      <c r="B7952" t="s">
        <v>2709</v>
      </c>
      <c r="C7952">
        <v>84198190</v>
      </c>
      <c r="E7952">
        <v>71.78</v>
      </c>
      <c r="F7952">
        <v>8.8000000000000007</v>
      </c>
      <c r="G7952">
        <v>0</v>
      </c>
      <c r="H7952" t="s">
        <v>19447</v>
      </c>
      <c r="I7952" t="s">
        <v>19447</v>
      </c>
      <c r="J7952">
        <v>14</v>
      </c>
      <c r="L7952" t="s">
        <v>2709</v>
      </c>
      <c r="M7952">
        <v>84198190</v>
      </c>
      <c r="O7952" t="s">
        <v>20056</v>
      </c>
      <c r="P7952" t="s">
        <v>20127</v>
      </c>
      <c r="Q7952" t="s">
        <v>19900</v>
      </c>
      <c r="R7952" t="s">
        <v>19447</v>
      </c>
      <c r="S7952" t="s">
        <v>19447</v>
      </c>
      <c r="T7952" t="s">
        <v>19911</v>
      </c>
    </row>
    <row r="7953" spans="2:20" x14ac:dyDescent="0.25">
      <c r="B7953" t="s">
        <v>2709</v>
      </c>
      <c r="C7953">
        <v>84198911</v>
      </c>
      <c r="E7953">
        <v>71.78</v>
      </c>
      <c r="F7953">
        <v>8.8000000000000007</v>
      </c>
      <c r="G7953">
        <v>0</v>
      </c>
      <c r="H7953" t="s">
        <v>19447</v>
      </c>
      <c r="I7953" t="s">
        <v>19447</v>
      </c>
      <c r="J7953">
        <v>0</v>
      </c>
      <c r="L7953" t="s">
        <v>2709</v>
      </c>
      <c r="M7953">
        <v>84198911</v>
      </c>
      <c r="O7953" t="s">
        <v>20056</v>
      </c>
      <c r="P7953" t="s">
        <v>20127</v>
      </c>
      <c r="Q7953" t="s">
        <v>19900</v>
      </c>
      <c r="R7953" t="s">
        <v>19447</v>
      </c>
      <c r="S7953" t="s">
        <v>19447</v>
      </c>
      <c r="T7953" t="s">
        <v>19900</v>
      </c>
    </row>
    <row r="7954" spans="2:20" x14ac:dyDescent="0.25">
      <c r="B7954" t="s">
        <v>2709</v>
      </c>
      <c r="C7954">
        <v>84198919</v>
      </c>
      <c r="E7954">
        <v>71.78</v>
      </c>
      <c r="F7954">
        <v>8.8000000000000007</v>
      </c>
      <c r="G7954">
        <v>0</v>
      </c>
      <c r="H7954" t="s">
        <v>19447</v>
      </c>
      <c r="I7954" t="s">
        <v>19447</v>
      </c>
      <c r="J7954">
        <v>14</v>
      </c>
      <c r="L7954" t="s">
        <v>2709</v>
      </c>
      <c r="M7954">
        <v>84198919</v>
      </c>
      <c r="O7954" t="s">
        <v>20056</v>
      </c>
      <c r="P7954" t="s">
        <v>20127</v>
      </c>
      <c r="Q7954" t="s">
        <v>19900</v>
      </c>
      <c r="R7954" t="s">
        <v>19447</v>
      </c>
      <c r="S7954" t="s">
        <v>19447</v>
      </c>
      <c r="T7954" t="s">
        <v>19911</v>
      </c>
    </row>
    <row r="7955" spans="2:20" x14ac:dyDescent="0.25">
      <c r="B7955" t="s">
        <v>2709</v>
      </c>
      <c r="C7955">
        <v>84198919</v>
      </c>
      <c r="D7955">
        <v>1</v>
      </c>
      <c r="E7955" t="s">
        <v>19447</v>
      </c>
      <c r="F7955">
        <v>18</v>
      </c>
      <c r="G7955">
        <v>8</v>
      </c>
      <c r="H7955">
        <v>7.6</v>
      </c>
      <c r="I7955">
        <v>1.65</v>
      </c>
      <c r="J7955">
        <v>14</v>
      </c>
      <c r="L7955" t="s">
        <v>2709</v>
      </c>
      <c r="M7955">
        <v>84198919</v>
      </c>
      <c r="N7955">
        <v>1</v>
      </c>
      <c r="O7955" t="s">
        <v>19447</v>
      </c>
      <c r="P7955" t="s">
        <v>19899</v>
      </c>
      <c r="Q7955" t="s">
        <v>19918</v>
      </c>
      <c r="R7955" t="s">
        <v>19905</v>
      </c>
      <c r="S7955" t="s">
        <v>19906</v>
      </c>
      <c r="T7955" t="s">
        <v>19911</v>
      </c>
    </row>
    <row r="7956" spans="2:20" x14ac:dyDescent="0.25">
      <c r="B7956" t="s">
        <v>2709</v>
      </c>
      <c r="C7956">
        <v>84198920</v>
      </c>
      <c r="E7956">
        <v>71.78</v>
      </c>
      <c r="F7956">
        <v>8.8000000000000007</v>
      </c>
      <c r="G7956">
        <v>0</v>
      </c>
      <c r="H7956" t="s">
        <v>19447</v>
      </c>
      <c r="I7956" t="s">
        <v>19447</v>
      </c>
      <c r="J7956">
        <v>14</v>
      </c>
      <c r="L7956" t="s">
        <v>2709</v>
      </c>
      <c r="M7956">
        <v>84198920</v>
      </c>
      <c r="O7956" t="s">
        <v>20056</v>
      </c>
      <c r="P7956" t="s">
        <v>20127</v>
      </c>
      <c r="Q7956" t="s">
        <v>19900</v>
      </c>
      <c r="R7956" t="s">
        <v>19447</v>
      </c>
      <c r="S7956" t="s">
        <v>19447</v>
      </c>
      <c r="T7956" t="s">
        <v>19911</v>
      </c>
    </row>
    <row r="7957" spans="2:20" x14ac:dyDescent="0.25">
      <c r="B7957" t="s">
        <v>2709</v>
      </c>
      <c r="C7957">
        <v>84198930</v>
      </c>
      <c r="E7957">
        <v>71.78</v>
      </c>
      <c r="F7957">
        <v>8.8000000000000007</v>
      </c>
      <c r="G7957">
        <v>0</v>
      </c>
      <c r="H7957" t="s">
        <v>19447</v>
      </c>
      <c r="I7957" t="s">
        <v>19447</v>
      </c>
      <c r="J7957">
        <v>14</v>
      </c>
      <c r="L7957" t="s">
        <v>2709</v>
      </c>
      <c r="M7957">
        <v>84198930</v>
      </c>
      <c r="O7957" t="s">
        <v>20056</v>
      </c>
      <c r="P7957" t="s">
        <v>20127</v>
      </c>
      <c r="Q7957" t="s">
        <v>19900</v>
      </c>
      <c r="R7957" t="s">
        <v>19447</v>
      </c>
      <c r="S7957" t="s">
        <v>19447</v>
      </c>
      <c r="T7957" t="s">
        <v>19911</v>
      </c>
    </row>
    <row r="7958" spans="2:20" x14ac:dyDescent="0.25">
      <c r="B7958" t="s">
        <v>2709</v>
      </c>
      <c r="C7958">
        <v>84198940</v>
      </c>
      <c r="E7958">
        <v>71.78</v>
      </c>
      <c r="F7958">
        <v>8.8000000000000007</v>
      </c>
      <c r="G7958">
        <v>0</v>
      </c>
      <c r="H7958" t="s">
        <v>19447</v>
      </c>
      <c r="I7958" t="s">
        <v>19447</v>
      </c>
      <c r="J7958">
        <v>14</v>
      </c>
      <c r="L7958" t="s">
        <v>2709</v>
      </c>
      <c r="M7958">
        <v>84198940</v>
      </c>
      <c r="O7958" t="s">
        <v>20056</v>
      </c>
      <c r="P7958" t="s">
        <v>20127</v>
      </c>
      <c r="Q7958" t="s">
        <v>19900</v>
      </c>
      <c r="R7958" t="s">
        <v>19447</v>
      </c>
      <c r="S7958" t="s">
        <v>19447</v>
      </c>
      <c r="T7958" t="s">
        <v>19911</v>
      </c>
    </row>
    <row r="7959" spans="2:20" x14ac:dyDescent="0.25">
      <c r="B7959" t="s">
        <v>2709</v>
      </c>
      <c r="C7959">
        <v>84198991</v>
      </c>
      <c r="E7959">
        <v>71.78</v>
      </c>
      <c r="F7959">
        <v>18</v>
      </c>
      <c r="G7959">
        <v>8</v>
      </c>
      <c r="H7959" t="s">
        <v>19447</v>
      </c>
      <c r="I7959" t="s">
        <v>19447</v>
      </c>
      <c r="J7959">
        <v>14</v>
      </c>
      <c r="L7959" t="s">
        <v>2709</v>
      </c>
      <c r="M7959">
        <v>84198991</v>
      </c>
      <c r="O7959" t="s">
        <v>20056</v>
      </c>
      <c r="P7959" t="s">
        <v>19899</v>
      </c>
      <c r="Q7959" t="s">
        <v>19918</v>
      </c>
      <c r="R7959" t="s">
        <v>19447</v>
      </c>
      <c r="S7959" t="s">
        <v>19447</v>
      </c>
      <c r="T7959" t="s">
        <v>19911</v>
      </c>
    </row>
    <row r="7960" spans="2:20" x14ac:dyDescent="0.25">
      <c r="B7960" t="s">
        <v>2709</v>
      </c>
      <c r="C7960">
        <v>84198999</v>
      </c>
      <c r="E7960">
        <v>71.78</v>
      </c>
      <c r="F7960">
        <v>12</v>
      </c>
      <c r="G7960">
        <v>5</v>
      </c>
      <c r="H7960" t="s">
        <v>19447</v>
      </c>
      <c r="I7960" t="s">
        <v>19447</v>
      </c>
      <c r="J7960">
        <v>14</v>
      </c>
      <c r="L7960" t="s">
        <v>2709</v>
      </c>
      <c r="M7960">
        <v>84198999</v>
      </c>
      <c r="O7960" t="s">
        <v>20056</v>
      </c>
      <c r="P7960" t="s">
        <v>19903</v>
      </c>
      <c r="Q7960" t="s">
        <v>19909</v>
      </c>
      <c r="R7960" t="s">
        <v>19447</v>
      </c>
      <c r="S7960" t="s">
        <v>19447</v>
      </c>
      <c r="T7960" t="s">
        <v>19911</v>
      </c>
    </row>
    <row r="7961" spans="2:20" x14ac:dyDescent="0.25">
      <c r="B7961" t="s">
        <v>2709</v>
      </c>
      <c r="C7961">
        <v>84198999</v>
      </c>
      <c r="D7961">
        <v>1</v>
      </c>
      <c r="E7961" t="s">
        <v>19447</v>
      </c>
      <c r="F7961">
        <v>18</v>
      </c>
      <c r="G7961">
        <v>0</v>
      </c>
      <c r="H7961">
        <v>7.6</v>
      </c>
      <c r="I7961">
        <v>1.65</v>
      </c>
      <c r="J7961">
        <v>14</v>
      </c>
      <c r="L7961" t="s">
        <v>2709</v>
      </c>
      <c r="M7961">
        <v>84198999</v>
      </c>
      <c r="N7961">
        <v>1</v>
      </c>
      <c r="O7961" t="s">
        <v>19447</v>
      </c>
      <c r="P7961" t="s">
        <v>19899</v>
      </c>
      <c r="Q7961" t="s">
        <v>19900</v>
      </c>
      <c r="R7961" t="s">
        <v>19905</v>
      </c>
      <c r="S7961" t="s">
        <v>19906</v>
      </c>
      <c r="T7961" t="s">
        <v>19911</v>
      </c>
    </row>
    <row r="7962" spans="2:20" x14ac:dyDescent="0.25">
      <c r="B7962" t="s">
        <v>2709</v>
      </c>
      <c r="C7962">
        <v>84199010</v>
      </c>
      <c r="E7962">
        <v>71.78</v>
      </c>
      <c r="F7962">
        <v>18</v>
      </c>
      <c r="G7962">
        <v>5</v>
      </c>
      <c r="H7962" t="s">
        <v>19447</v>
      </c>
      <c r="I7962" t="s">
        <v>19447</v>
      </c>
      <c r="J7962">
        <v>16</v>
      </c>
      <c r="L7962" t="s">
        <v>2709</v>
      </c>
      <c r="M7962">
        <v>84199010</v>
      </c>
      <c r="O7962" t="s">
        <v>20056</v>
      </c>
      <c r="P7962" t="s">
        <v>19899</v>
      </c>
      <c r="Q7962" t="s">
        <v>19909</v>
      </c>
      <c r="R7962" t="s">
        <v>19447</v>
      </c>
      <c r="S7962" t="s">
        <v>19447</v>
      </c>
      <c r="T7962" t="s">
        <v>19913</v>
      </c>
    </row>
    <row r="7963" spans="2:20" x14ac:dyDescent="0.25">
      <c r="B7963" t="s">
        <v>2709</v>
      </c>
      <c r="C7963">
        <v>84199020</v>
      </c>
      <c r="E7963">
        <v>71.78</v>
      </c>
      <c r="F7963">
        <v>18</v>
      </c>
      <c r="G7963">
        <v>5</v>
      </c>
      <c r="H7963" t="s">
        <v>19447</v>
      </c>
      <c r="I7963" t="s">
        <v>19447</v>
      </c>
      <c r="J7963">
        <v>14</v>
      </c>
      <c r="L7963" t="s">
        <v>2709</v>
      </c>
      <c r="M7963">
        <v>84199020</v>
      </c>
      <c r="O7963" t="s">
        <v>20056</v>
      </c>
      <c r="P7963" t="s">
        <v>19899</v>
      </c>
      <c r="Q7963" t="s">
        <v>19909</v>
      </c>
      <c r="R7963" t="s">
        <v>19447</v>
      </c>
      <c r="S7963" t="s">
        <v>19447</v>
      </c>
      <c r="T7963" t="s">
        <v>19911</v>
      </c>
    </row>
    <row r="7964" spans="2:20" x14ac:dyDescent="0.25">
      <c r="B7964" t="s">
        <v>2709</v>
      </c>
      <c r="C7964">
        <v>84199031</v>
      </c>
      <c r="E7964">
        <v>71.78</v>
      </c>
      <c r="F7964">
        <v>18</v>
      </c>
      <c r="G7964">
        <v>5</v>
      </c>
      <c r="H7964" t="s">
        <v>19447</v>
      </c>
      <c r="I7964" t="s">
        <v>19447</v>
      </c>
      <c r="J7964">
        <v>0</v>
      </c>
      <c r="L7964" t="s">
        <v>2709</v>
      </c>
      <c r="M7964">
        <v>84199031</v>
      </c>
      <c r="O7964" t="s">
        <v>20056</v>
      </c>
      <c r="P7964" t="s">
        <v>19899</v>
      </c>
      <c r="Q7964" t="s">
        <v>19909</v>
      </c>
      <c r="R7964" t="s">
        <v>19447</v>
      </c>
      <c r="S7964" t="s">
        <v>19447</v>
      </c>
      <c r="T7964" t="s">
        <v>19900</v>
      </c>
    </row>
    <row r="7965" spans="2:20" x14ac:dyDescent="0.25">
      <c r="B7965" t="s">
        <v>2709</v>
      </c>
      <c r="C7965">
        <v>84199039</v>
      </c>
      <c r="E7965">
        <v>71.78</v>
      </c>
      <c r="F7965">
        <v>18</v>
      </c>
      <c r="G7965">
        <v>0</v>
      </c>
      <c r="H7965" t="s">
        <v>19447</v>
      </c>
      <c r="I7965" t="s">
        <v>19447</v>
      </c>
      <c r="J7965">
        <v>14</v>
      </c>
      <c r="L7965" t="s">
        <v>2709</v>
      </c>
      <c r="M7965">
        <v>84199039</v>
      </c>
      <c r="O7965" t="s">
        <v>20056</v>
      </c>
      <c r="P7965" t="s">
        <v>19899</v>
      </c>
      <c r="Q7965" t="s">
        <v>19900</v>
      </c>
      <c r="R7965" t="s">
        <v>19447</v>
      </c>
      <c r="S7965" t="s">
        <v>19447</v>
      </c>
      <c r="T7965" t="s">
        <v>19911</v>
      </c>
    </row>
    <row r="7966" spans="2:20" x14ac:dyDescent="0.25">
      <c r="B7966" t="s">
        <v>2709</v>
      </c>
      <c r="C7966">
        <v>84199040</v>
      </c>
      <c r="E7966">
        <v>71.78</v>
      </c>
      <c r="F7966">
        <v>18</v>
      </c>
      <c r="G7966">
        <v>5</v>
      </c>
      <c r="H7966" t="s">
        <v>19447</v>
      </c>
      <c r="I7966" t="s">
        <v>19447</v>
      </c>
      <c r="J7966">
        <v>14</v>
      </c>
      <c r="L7966" t="s">
        <v>2709</v>
      </c>
      <c r="M7966">
        <v>84199040</v>
      </c>
      <c r="O7966" t="s">
        <v>20056</v>
      </c>
      <c r="P7966" t="s">
        <v>19899</v>
      </c>
      <c r="Q7966" t="s">
        <v>19909</v>
      </c>
      <c r="R7966" t="s">
        <v>19447</v>
      </c>
      <c r="S7966" t="s">
        <v>19447</v>
      </c>
      <c r="T7966" t="s">
        <v>19911</v>
      </c>
    </row>
    <row r="7967" spans="2:20" x14ac:dyDescent="0.25">
      <c r="B7967" t="s">
        <v>2709</v>
      </c>
      <c r="C7967">
        <v>84199090</v>
      </c>
      <c r="E7967">
        <v>71.78</v>
      </c>
      <c r="F7967">
        <v>18</v>
      </c>
      <c r="G7967">
        <v>5</v>
      </c>
      <c r="H7967" t="s">
        <v>19447</v>
      </c>
      <c r="I7967" t="s">
        <v>19447</v>
      </c>
      <c r="J7967">
        <v>14</v>
      </c>
      <c r="L7967" t="s">
        <v>2709</v>
      </c>
      <c r="M7967">
        <v>84199090</v>
      </c>
      <c r="O7967" t="s">
        <v>20056</v>
      </c>
      <c r="P7967" t="s">
        <v>19899</v>
      </c>
      <c r="Q7967" t="s">
        <v>19909</v>
      </c>
      <c r="R7967" t="s">
        <v>19447</v>
      </c>
      <c r="S7967" t="s">
        <v>19447</v>
      </c>
      <c r="T7967" t="s">
        <v>19911</v>
      </c>
    </row>
    <row r="7968" spans="2:20" x14ac:dyDescent="0.25">
      <c r="B7968" t="s">
        <v>2709</v>
      </c>
      <c r="C7968">
        <v>84201010</v>
      </c>
      <c r="E7968">
        <v>71.78</v>
      </c>
      <c r="F7968">
        <v>8.8000000000000007</v>
      </c>
      <c r="G7968">
        <v>0</v>
      </c>
      <c r="H7968" t="s">
        <v>19447</v>
      </c>
      <c r="I7968" t="s">
        <v>19447</v>
      </c>
      <c r="J7968">
        <v>14</v>
      </c>
      <c r="L7968" t="s">
        <v>2709</v>
      </c>
      <c r="M7968">
        <v>84201010</v>
      </c>
      <c r="O7968" t="s">
        <v>20056</v>
      </c>
      <c r="P7968" t="s">
        <v>20127</v>
      </c>
      <c r="Q7968" t="s">
        <v>19900</v>
      </c>
      <c r="R7968" t="s">
        <v>19447</v>
      </c>
      <c r="S7968" t="s">
        <v>19447</v>
      </c>
      <c r="T7968" t="s">
        <v>19911</v>
      </c>
    </row>
    <row r="7969" spans="2:20" x14ac:dyDescent="0.25">
      <c r="B7969" t="s">
        <v>2709</v>
      </c>
      <c r="C7969">
        <v>84201090</v>
      </c>
      <c r="E7969">
        <v>71.78</v>
      </c>
      <c r="F7969">
        <v>8.8000000000000007</v>
      </c>
      <c r="G7969">
        <v>0</v>
      </c>
      <c r="H7969" t="s">
        <v>19447</v>
      </c>
      <c r="I7969" t="s">
        <v>19447</v>
      </c>
      <c r="J7969">
        <v>14</v>
      </c>
      <c r="L7969" t="s">
        <v>2709</v>
      </c>
      <c r="M7969">
        <v>84201090</v>
      </c>
      <c r="O7969" t="s">
        <v>20056</v>
      </c>
      <c r="P7969" t="s">
        <v>20127</v>
      </c>
      <c r="Q7969" t="s">
        <v>19900</v>
      </c>
      <c r="R7969" t="s">
        <v>19447</v>
      </c>
      <c r="S7969" t="s">
        <v>19447</v>
      </c>
      <c r="T7969" t="s">
        <v>19911</v>
      </c>
    </row>
    <row r="7970" spans="2:20" x14ac:dyDescent="0.25">
      <c r="B7970" t="s">
        <v>2709</v>
      </c>
      <c r="C7970">
        <v>84209100</v>
      </c>
      <c r="E7970">
        <v>71.78</v>
      </c>
      <c r="F7970">
        <v>8.8000000000000007</v>
      </c>
      <c r="G7970">
        <v>5</v>
      </c>
      <c r="H7970" t="s">
        <v>19447</v>
      </c>
      <c r="I7970" t="s">
        <v>19447</v>
      </c>
      <c r="J7970">
        <v>14</v>
      </c>
      <c r="L7970" t="s">
        <v>2709</v>
      </c>
      <c r="M7970">
        <v>84209100</v>
      </c>
      <c r="O7970" t="s">
        <v>20056</v>
      </c>
      <c r="P7970" t="s">
        <v>20127</v>
      </c>
      <c r="Q7970" t="s">
        <v>19909</v>
      </c>
      <c r="R7970" t="s">
        <v>19447</v>
      </c>
      <c r="S7970" t="s">
        <v>19447</v>
      </c>
      <c r="T7970" t="s">
        <v>19911</v>
      </c>
    </row>
    <row r="7971" spans="2:20" x14ac:dyDescent="0.25">
      <c r="B7971" t="s">
        <v>2709</v>
      </c>
      <c r="C7971">
        <v>84209900</v>
      </c>
      <c r="E7971">
        <v>71.78</v>
      </c>
      <c r="F7971">
        <v>18</v>
      </c>
      <c r="G7971">
        <v>5</v>
      </c>
      <c r="H7971" t="s">
        <v>19447</v>
      </c>
      <c r="I7971" t="s">
        <v>19447</v>
      </c>
      <c r="J7971">
        <v>14</v>
      </c>
      <c r="L7971" t="s">
        <v>2709</v>
      </c>
      <c r="M7971">
        <v>84209900</v>
      </c>
      <c r="O7971" t="s">
        <v>20056</v>
      </c>
      <c r="P7971" t="s">
        <v>19899</v>
      </c>
      <c r="Q7971" t="s">
        <v>19909</v>
      </c>
      <c r="R7971" t="s">
        <v>19447</v>
      </c>
      <c r="S7971" t="s">
        <v>19447</v>
      </c>
      <c r="T7971" t="s">
        <v>19911</v>
      </c>
    </row>
    <row r="7972" spans="2:20" x14ac:dyDescent="0.25">
      <c r="B7972" t="s">
        <v>2709</v>
      </c>
      <c r="C7972">
        <v>84211110</v>
      </c>
      <c r="E7972">
        <v>71.78</v>
      </c>
      <c r="F7972">
        <v>8.8000000000000007</v>
      </c>
      <c r="G7972">
        <v>0</v>
      </c>
      <c r="H7972" t="s">
        <v>19447</v>
      </c>
      <c r="I7972" t="s">
        <v>19447</v>
      </c>
      <c r="J7972">
        <v>0</v>
      </c>
      <c r="L7972" t="s">
        <v>2709</v>
      </c>
      <c r="M7972">
        <v>84211110</v>
      </c>
      <c r="O7972" t="s">
        <v>20056</v>
      </c>
      <c r="P7972" t="s">
        <v>20127</v>
      </c>
      <c r="Q7972" t="s">
        <v>19900</v>
      </c>
      <c r="R7972" t="s">
        <v>19447</v>
      </c>
      <c r="S7972" t="s">
        <v>19447</v>
      </c>
      <c r="T7972" t="s">
        <v>19900</v>
      </c>
    </row>
    <row r="7973" spans="2:20" x14ac:dyDescent="0.25">
      <c r="B7973" t="s">
        <v>2709</v>
      </c>
      <c r="C7973">
        <v>84211190</v>
      </c>
      <c r="E7973">
        <v>71.78</v>
      </c>
      <c r="F7973">
        <v>8.8000000000000007</v>
      </c>
      <c r="G7973">
        <v>0</v>
      </c>
      <c r="H7973" t="s">
        <v>19447</v>
      </c>
      <c r="I7973" t="s">
        <v>19447</v>
      </c>
      <c r="J7973">
        <v>14</v>
      </c>
      <c r="L7973" t="s">
        <v>2709</v>
      </c>
      <c r="M7973">
        <v>84211190</v>
      </c>
      <c r="O7973" t="s">
        <v>20056</v>
      </c>
      <c r="P7973" t="s">
        <v>20127</v>
      </c>
      <c r="Q7973" t="s">
        <v>19900</v>
      </c>
      <c r="R7973" t="s">
        <v>19447</v>
      </c>
      <c r="S7973" t="s">
        <v>19447</v>
      </c>
      <c r="T7973" t="s">
        <v>19911</v>
      </c>
    </row>
    <row r="7974" spans="2:20" x14ac:dyDescent="0.25">
      <c r="B7974" t="s">
        <v>2709</v>
      </c>
      <c r="C7974">
        <v>84211210</v>
      </c>
      <c r="E7974">
        <v>37.33</v>
      </c>
      <c r="F7974">
        <v>7</v>
      </c>
      <c r="G7974">
        <v>20</v>
      </c>
      <c r="H7974" t="s">
        <v>19447</v>
      </c>
      <c r="I7974" t="s">
        <v>19447</v>
      </c>
      <c r="J7974">
        <v>20</v>
      </c>
      <c r="L7974" t="s">
        <v>2709</v>
      </c>
      <c r="M7974">
        <v>84211210</v>
      </c>
      <c r="O7974" t="s">
        <v>20164</v>
      </c>
      <c r="P7974" t="s">
        <v>19908</v>
      </c>
      <c r="Q7974" t="s">
        <v>19934</v>
      </c>
      <c r="R7974" t="s">
        <v>19447</v>
      </c>
      <c r="S7974" t="s">
        <v>19447</v>
      </c>
      <c r="T7974" t="s">
        <v>19934</v>
      </c>
    </row>
    <row r="7975" spans="2:20" x14ac:dyDescent="0.25">
      <c r="B7975" t="s">
        <v>2709</v>
      </c>
      <c r="C7975">
        <v>84211290</v>
      </c>
      <c r="E7975">
        <v>37.33</v>
      </c>
      <c r="F7975">
        <v>8.8000000000000007</v>
      </c>
      <c r="G7975">
        <v>20</v>
      </c>
      <c r="H7975" t="s">
        <v>19447</v>
      </c>
      <c r="I7975" t="s">
        <v>19447</v>
      </c>
      <c r="J7975">
        <v>14</v>
      </c>
      <c r="L7975" t="s">
        <v>2709</v>
      </c>
      <c r="M7975">
        <v>84211290</v>
      </c>
      <c r="O7975" t="s">
        <v>20164</v>
      </c>
      <c r="P7975" t="s">
        <v>20127</v>
      </c>
      <c r="Q7975" t="s">
        <v>19934</v>
      </c>
      <c r="R7975" t="s">
        <v>19447</v>
      </c>
      <c r="S7975" t="s">
        <v>19447</v>
      </c>
      <c r="T7975" t="s">
        <v>19911</v>
      </c>
    </row>
    <row r="7976" spans="2:20" x14ac:dyDescent="0.25">
      <c r="B7976" t="s">
        <v>2709</v>
      </c>
      <c r="C7976">
        <v>84211910</v>
      </c>
      <c r="E7976">
        <v>71.78</v>
      </c>
      <c r="F7976">
        <v>8.8000000000000007</v>
      </c>
      <c r="G7976">
        <v>0</v>
      </c>
      <c r="H7976" t="s">
        <v>19447</v>
      </c>
      <c r="I7976" t="s">
        <v>19447</v>
      </c>
      <c r="J7976">
        <v>14</v>
      </c>
      <c r="L7976" t="s">
        <v>2709</v>
      </c>
      <c r="M7976">
        <v>84211910</v>
      </c>
      <c r="O7976" t="s">
        <v>20056</v>
      </c>
      <c r="P7976" t="s">
        <v>20127</v>
      </c>
      <c r="Q7976" t="s">
        <v>19900</v>
      </c>
      <c r="R7976" t="s">
        <v>19447</v>
      </c>
      <c r="S7976" t="s">
        <v>19447</v>
      </c>
      <c r="T7976" t="s">
        <v>19911</v>
      </c>
    </row>
    <row r="7977" spans="2:20" x14ac:dyDescent="0.25">
      <c r="B7977" t="s">
        <v>2709</v>
      </c>
      <c r="C7977">
        <v>84211990</v>
      </c>
      <c r="E7977">
        <v>71.17</v>
      </c>
      <c r="F7977">
        <v>12</v>
      </c>
      <c r="G7977">
        <v>0</v>
      </c>
      <c r="H7977" t="s">
        <v>19447</v>
      </c>
      <c r="I7977" t="s">
        <v>19447</v>
      </c>
      <c r="J7977">
        <v>14</v>
      </c>
      <c r="L7977" t="s">
        <v>2709</v>
      </c>
      <c r="M7977">
        <v>84211990</v>
      </c>
      <c r="O7977" t="s">
        <v>20165</v>
      </c>
      <c r="P7977" t="s">
        <v>19903</v>
      </c>
      <c r="Q7977" t="s">
        <v>19900</v>
      </c>
      <c r="R7977" t="s">
        <v>19447</v>
      </c>
      <c r="S7977" t="s">
        <v>19447</v>
      </c>
      <c r="T7977" t="s">
        <v>19911</v>
      </c>
    </row>
    <row r="7978" spans="2:20" x14ac:dyDescent="0.25">
      <c r="B7978" t="s">
        <v>2709</v>
      </c>
      <c r="C7978">
        <v>84211990</v>
      </c>
      <c r="D7978">
        <v>1</v>
      </c>
      <c r="E7978" t="s">
        <v>19447</v>
      </c>
      <c r="F7978">
        <v>18</v>
      </c>
      <c r="G7978">
        <v>24</v>
      </c>
      <c r="H7978">
        <v>7.6</v>
      </c>
      <c r="I7978">
        <v>1.65</v>
      </c>
      <c r="J7978">
        <v>14</v>
      </c>
      <c r="L7978" t="s">
        <v>2709</v>
      </c>
      <c r="M7978">
        <v>84211990</v>
      </c>
      <c r="N7978">
        <v>1</v>
      </c>
      <c r="O7978" t="s">
        <v>19447</v>
      </c>
      <c r="P7978" t="s">
        <v>19899</v>
      </c>
      <c r="Q7978" t="s">
        <v>20166</v>
      </c>
      <c r="R7978" t="s">
        <v>19905</v>
      </c>
      <c r="S7978" t="s">
        <v>19906</v>
      </c>
      <c r="T7978" t="s">
        <v>19911</v>
      </c>
    </row>
    <row r="7979" spans="2:20" x14ac:dyDescent="0.25">
      <c r="B7979" t="s">
        <v>2709</v>
      </c>
      <c r="C7979">
        <v>84212100</v>
      </c>
      <c r="E7979">
        <v>68</v>
      </c>
      <c r="F7979">
        <v>12</v>
      </c>
      <c r="G7979">
        <v>0</v>
      </c>
      <c r="H7979" t="s">
        <v>19447</v>
      </c>
      <c r="I7979" t="s">
        <v>19447</v>
      </c>
      <c r="J7979">
        <v>14</v>
      </c>
      <c r="L7979" t="s">
        <v>2709</v>
      </c>
      <c r="M7979">
        <v>84212100</v>
      </c>
      <c r="O7979" t="s">
        <v>20135</v>
      </c>
      <c r="P7979" t="s">
        <v>19903</v>
      </c>
      <c r="Q7979" t="s">
        <v>19900</v>
      </c>
      <c r="R7979" t="s">
        <v>19447</v>
      </c>
      <c r="S7979" t="s">
        <v>19447</v>
      </c>
      <c r="T7979" t="s">
        <v>19911</v>
      </c>
    </row>
    <row r="7980" spans="2:20" x14ac:dyDescent="0.25">
      <c r="B7980" t="s">
        <v>2709</v>
      </c>
      <c r="C7980">
        <v>84212200</v>
      </c>
      <c r="E7980">
        <v>71.78</v>
      </c>
      <c r="F7980">
        <v>12</v>
      </c>
      <c r="G7980">
        <v>0</v>
      </c>
      <c r="H7980" t="s">
        <v>19447</v>
      </c>
      <c r="I7980" t="s">
        <v>19447</v>
      </c>
      <c r="J7980">
        <v>14</v>
      </c>
      <c r="L7980" t="s">
        <v>2709</v>
      </c>
      <c r="M7980">
        <v>84212200</v>
      </c>
      <c r="O7980" t="s">
        <v>20056</v>
      </c>
      <c r="P7980" t="s">
        <v>19903</v>
      </c>
      <c r="Q7980" t="s">
        <v>19900</v>
      </c>
      <c r="R7980" t="s">
        <v>19447</v>
      </c>
      <c r="S7980" t="s">
        <v>19447</v>
      </c>
      <c r="T7980" t="s">
        <v>19911</v>
      </c>
    </row>
    <row r="7981" spans="2:20" x14ac:dyDescent="0.25">
      <c r="B7981" t="s">
        <v>2709</v>
      </c>
      <c r="C7981">
        <v>84212300</v>
      </c>
      <c r="E7981">
        <v>71.78</v>
      </c>
      <c r="F7981">
        <v>18</v>
      </c>
      <c r="G7981">
        <v>8</v>
      </c>
      <c r="H7981">
        <v>10.8</v>
      </c>
      <c r="I7981">
        <v>2.2999999999999998</v>
      </c>
      <c r="J7981">
        <v>16</v>
      </c>
      <c r="L7981" t="s">
        <v>2709</v>
      </c>
      <c r="M7981">
        <v>84212300</v>
      </c>
      <c r="O7981" t="s">
        <v>20056</v>
      </c>
      <c r="P7981" t="s">
        <v>19899</v>
      </c>
      <c r="Q7981" t="s">
        <v>19918</v>
      </c>
      <c r="R7981" t="s">
        <v>20074</v>
      </c>
      <c r="S7981" t="s">
        <v>20075</v>
      </c>
      <c r="T7981" t="s">
        <v>19913</v>
      </c>
    </row>
    <row r="7982" spans="2:20" x14ac:dyDescent="0.25">
      <c r="B7982" t="s">
        <v>2709</v>
      </c>
      <c r="C7982">
        <v>84212300</v>
      </c>
      <c r="D7982">
        <v>1</v>
      </c>
      <c r="E7982" t="s">
        <v>19447</v>
      </c>
      <c r="F7982">
        <v>18</v>
      </c>
      <c r="G7982">
        <v>4</v>
      </c>
      <c r="H7982">
        <v>7.6</v>
      </c>
      <c r="I7982">
        <v>1.65</v>
      </c>
      <c r="J7982">
        <v>16</v>
      </c>
      <c r="L7982" t="s">
        <v>2709</v>
      </c>
      <c r="M7982">
        <v>84212300</v>
      </c>
      <c r="N7982">
        <v>1</v>
      </c>
      <c r="O7982" t="s">
        <v>19447</v>
      </c>
      <c r="P7982" t="s">
        <v>19899</v>
      </c>
      <c r="Q7982" t="s">
        <v>19902</v>
      </c>
      <c r="R7982" t="s">
        <v>19905</v>
      </c>
      <c r="S7982" t="s">
        <v>19906</v>
      </c>
      <c r="T7982" t="s">
        <v>19913</v>
      </c>
    </row>
    <row r="7983" spans="2:20" x14ac:dyDescent="0.25">
      <c r="B7983" t="s">
        <v>2709</v>
      </c>
      <c r="C7983">
        <v>84212300</v>
      </c>
      <c r="D7983">
        <v>2</v>
      </c>
      <c r="E7983" t="s">
        <v>19447</v>
      </c>
      <c r="F7983">
        <v>18</v>
      </c>
      <c r="G7983">
        <v>4</v>
      </c>
      <c r="H7983">
        <v>7.6</v>
      </c>
      <c r="I7983">
        <v>1.65</v>
      </c>
      <c r="J7983">
        <v>16</v>
      </c>
      <c r="L7983" t="s">
        <v>2709</v>
      </c>
      <c r="M7983">
        <v>84212300</v>
      </c>
      <c r="N7983">
        <v>2</v>
      </c>
      <c r="O7983" t="s">
        <v>19447</v>
      </c>
      <c r="P7983" t="s">
        <v>19899</v>
      </c>
      <c r="Q7983" t="s">
        <v>19902</v>
      </c>
      <c r="R7983" t="s">
        <v>19905</v>
      </c>
      <c r="S7983" t="s">
        <v>19906</v>
      </c>
      <c r="T7983" t="s">
        <v>19913</v>
      </c>
    </row>
    <row r="7984" spans="2:20" x14ac:dyDescent="0.25">
      <c r="B7984" t="s">
        <v>2709</v>
      </c>
      <c r="C7984">
        <v>84212911</v>
      </c>
      <c r="E7984">
        <v>71.78</v>
      </c>
      <c r="F7984">
        <v>0</v>
      </c>
      <c r="G7984">
        <v>0</v>
      </c>
      <c r="H7984" t="s">
        <v>19447</v>
      </c>
      <c r="I7984" t="s">
        <v>19447</v>
      </c>
      <c r="J7984">
        <v>0</v>
      </c>
      <c r="L7984" t="s">
        <v>2709</v>
      </c>
      <c r="M7984">
        <v>84212911</v>
      </c>
      <c r="O7984" t="s">
        <v>20056</v>
      </c>
      <c r="P7984" t="s">
        <v>19900</v>
      </c>
      <c r="Q7984" t="s">
        <v>19900</v>
      </c>
      <c r="R7984" t="s">
        <v>19447</v>
      </c>
      <c r="S7984" t="s">
        <v>19447</v>
      </c>
      <c r="T7984" t="s">
        <v>19900</v>
      </c>
    </row>
    <row r="7985" spans="2:20" x14ac:dyDescent="0.25">
      <c r="B7985" t="s">
        <v>2709</v>
      </c>
      <c r="C7985">
        <v>84212919</v>
      </c>
      <c r="E7985">
        <v>71.78</v>
      </c>
      <c r="F7985">
        <v>18</v>
      </c>
      <c r="G7985">
        <v>0</v>
      </c>
      <c r="H7985" t="s">
        <v>19447</v>
      </c>
      <c r="I7985" t="s">
        <v>19447</v>
      </c>
      <c r="J7985">
        <v>0</v>
      </c>
      <c r="L7985" t="s">
        <v>2709</v>
      </c>
      <c r="M7985">
        <v>84212919</v>
      </c>
      <c r="O7985" t="s">
        <v>20056</v>
      </c>
      <c r="P7985" t="s">
        <v>19899</v>
      </c>
      <c r="Q7985" t="s">
        <v>19900</v>
      </c>
      <c r="R7985" t="s">
        <v>19447</v>
      </c>
      <c r="S7985" t="s">
        <v>19447</v>
      </c>
      <c r="T7985" t="s">
        <v>19900</v>
      </c>
    </row>
    <row r="7986" spans="2:20" x14ac:dyDescent="0.25">
      <c r="B7986" t="s">
        <v>2709</v>
      </c>
      <c r="C7986">
        <v>84212920</v>
      </c>
      <c r="E7986">
        <v>71.78</v>
      </c>
      <c r="F7986">
        <v>18</v>
      </c>
      <c r="G7986">
        <v>0</v>
      </c>
      <c r="H7986" t="s">
        <v>19447</v>
      </c>
      <c r="I7986" t="s">
        <v>19447</v>
      </c>
      <c r="J7986">
        <v>14</v>
      </c>
      <c r="L7986" t="s">
        <v>2709</v>
      </c>
      <c r="M7986">
        <v>84212920</v>
      </c>
      <c r="O7986" t="s">
        <v>20056</v>
      </c>
      <c r="P7986" t="s">
        <v>19899</v>
      </c>
      <c r="Q7986" t="s">
        <v>19900</v>
      </c>
      <c r="R7986" t="s">
        <v>19447</v>
      </c>
      <c r="S7986" t="s">
        <v>19447</v>
      </c>
      <c r="T7986" t="s">
        <v>19911</v>
      </c>
    </row>
    <row r="7987" spans="2:20" x14ac:dyDescent="0.25">
      <c r="B7987" t="s">
        <v>2709</v>
      </c>
      <c r="C7987">
        <v>84212930</v>
      </c>
      <c r="E7987">
        <v>71.78</v>
      </c>
      <c r="F7987">
        <v>12</v>
      </c>
      <c r="G7987">
        <v>0</v>
      </c>
      <c r="H7987" t="s">
        <v>19447</v>
      </c>
      <c r="I7987" t="s">
        <v>19447</v>
      </c>
      <c r="J7987">
        <v>14</v>
      </c>
      <c r="L7987" t="s">
        <v>2709</v>
      </c>
      <c r="M7987">
        <v>84212930</v>
      </c>
      <c r="O7987" t="s">
        <v>20056</v>
      </c>
      <c r="P7987" t="s">
        <v>19903</v>
      </c>
      <c r="Q7987" t="s">
        <v>19900</v>
      </c>
      <c r="R7987" t="s">
        <v>19447</v>
      </c>
      <c r="S7987" t="s">
        <v>19447</v>
      </c>
      <c r="T7987" t="s">
        <v>19911</v>
      </c>
    </row>
    <row r="7988" spans="2:20" x14ac:dyDescent="0.25">
      <c r="B7988" t="s">
        <v>2709</v>
      </c>
      <c r="C7988">
        <v>84212990</v>
      </c>
      <c r="E7988">
        <v>71.78</v>
      </c>
      <c r="F7988">
        <v>12</v>
      </c>
      <c r="G7988">
        <v>0</v>
      </c>
      <c r="H7988" t="s">
        <v>19447</v>
      </c>
      <c r="I7988" t="s">
        <v>19447</v>
      </c>
      <c r="J7988">
        <v>14</v>
      </c>
      <c r="L7988" t="s">
        <v>2709</v>
      </c>
      <c r="M7988">
        <v>84212990</v>
      </c>
      <c r="O7988" t="s">
        <v>20056</v>
      </c>
      <c r="P7988" t="s">
        <v>19903</v>
      </c>
      <c r="Q7988" t="s">
        <v>19900</v>
      </c>
      <c r="R7988" t="s">
        <v>19447</v>
      </c>
      <c r="S7988" t="s">
        <v>19447</v>
      </c>
      <c r="T7988" t="s">
        <v>19911</v>
      </c>
    </row>
    <row r="7989" spans="2:20" x14ac:dyDescent="0.25">
      <c r="B7989" t="s">
        <v>2709</v>
      </c>
      <c r="C7989">
        <v>84213100</v>
      </c>
      <c r="E7989">
        <v>71.78</v>
      </c>
      <c r="F7989">
        <v>18</v>
      </c>
      <c r="G7989">
        <v>8</v>
      </c>
      <c r="H7989">
        <v>10.8</v>
      </c>
      <c r="I7989">
        <v>2.2999999999999998</v>
      </c>
      <c r="J7989">
        <v>16</v>
      </c>
      <c r="L7989" t="s">
        <v>2709</v>
      </c>
      <c r="M7989">
        <v>84213100</v>
      </c>
      <c r="O7989" t="s">
        <v>20056</v>
      </c>
      <c r="P7989" t="s">
        <v>19899</v>
      </c>
      <c r="Q7989" t="s">
        <v>19918</v>
      </c>
      <c r="R7989" t="s">
        <v>20074</v>
      </c>
      <c r="S7989" t="s">
        <v>20075</v>
      </c>
      <c r="T7989" t="s">
        <v>19913</v>
      </c>
    </row>
    <row r="7990" spans="2:20" x14ac:dyDescent="0.25">
      <c r="B7990" t="s">
        <v>2709</v>
      </c>
      <c r="C7990">
        <v>84213910</v>
      </c>
      <c r="E7990">
        <v>71.78</v>
      </c>
      <c r="F7990">
        <v>12</v>
      </c>
      <c r="G7990">
        <v>0</v>
      </c>
      <c r="H7990" t="s">
        <v>19447</v>
      </c>
      <c r="I7990" t="s">
        <v>19447</v>
      </c>
      <c r="J7990">
        <v>14</v>
      </c>
      <c r="L7990" t="s">
        <v>2709</v>
      </c>
      <c r="M7990">
        <v>84213910</v>
      </c>
      <c r="O7990" t="s">
        <v>20056</v>
      </c>
      <c r="P7990" t="s">
        <v>19903</v>
      </c>
      <c r="Q7990" t="s">
        <v>19900</v>
      </c>
      <c r="R7990" t="s">
        <v>19447</v>
      </c>
      <c r="S7990" t="s">
        <v>19447</v>
      </c>
      <c r="T7990" t="s">
        <v>19911</v>
      </c>
    </row>
    <row r="7991" spans="2:20" x14ac:dyDescent="0.25">
      <c r="B7991" t="s">
        <v>2709</v>
      </c>
      <c r="C7991">
        <v>84213920</v>
      </c>
      <c r="E7991">
        <v>71.78</v>
      </c>
      <c r="F7991">
        <v>18</v>
      </c>
      <c r="G7991">
        <v>5</v>
      </c>
      <c r="H7991" t="s">
        <v>19447</v>
      </c>
      <c r="I7991" t="s">
        <v>19447</v>
      </c>
      <c r="J7991">
        <v>18</v>
      </c>
      <c r="L7991" t="s">
        <v>2709</v>
      </c>
      <c r="M7991">
        <v>84213920</v>
      </c>
      <c r="O7991" t="s">
        <v>20056</v>
      </c>
      <c r="P7991" t="s">
        <v>19899</v>
      </c>
      <c r="Q7991" t="s">
        <v>19909</v>
      </c>
      <c r="R7991" t="s">
        <v>19447</v>
      </c>
      <c r="S7991" t="s">
        <v>19447</v>
      </c>
      <c r="T7991" t="s">
        <v>19899</v>
      </c>
    </row>
    <row r="7992" spans="2:20" x14ac:dyDescent="0.25">
      <c r="B7992" t="s">
        <v>2709</v>
      </c>
      <c r="C7992">
        <v>84213930</v>
      </c>
      <c r="E7992">
        <v>56</v>
      </c>
      <c r="F7992">
        <v>18</v>
      </c>
      <c r="G7992">
        <v>0</v>
      </c>
      <c r="H7992" t="s">
        <v>19447</v>
      </c>
      <c r="I7992" t="s">
        <v>19447</v>
      </c>
      <c r="J7992">
        <v>0</v>
      </c>
      <c r="L7992" t="s">
        <v>2709</v>
      </c>
      <c r="M7992">
        <v>84213930</v>
      </c>
      <c r="O7992" t="s">
        <v>20065</v>
      </c>
      <c r="P7992" t="s">
        <v>19899</v>
      </c>
      <c r="Q7992" t="s">
        <v>19900</v>
      </c>
      <c r="R7992" t="s">
        <v>19447</v>
      </c>
      <c r="S7992" t="s">
        <v>19447</v>
      </c>
      <c r="T7992" t="s">
        <v>19900</v>
      </c>
    </row>
    <row r="7993" spans="2:20" x14ac:dyDescent="0.25">
      <c r="B7993" t="s">
        <v>2709</v>
      </c>
      <c r="C7993">
        <v>84213990</v>
      </c>
      <c r="E7993">
        <v>71.78</v>
      </c>
      <c r="F7993">
        <v>8.8000000000000007</v>
      </c>
      <c r="G7993">
        <v>0</v>
      </c>
      <c r="H7993" t="s">
        <v>19447</v>
      </c>
      <c r="I7993" t="s">
        <v>19447</v>
      </c>
      <c r="J7993">
        <v>14</v>
      </c>
      <c r="L7993" t="s">
        <v>2709</v>
      </c>
      <c r="M7993">
        <v>84213990</v>
      </c>
      <c r="O7993" t="s">
        <v>20056</v>
      </c>
      <c r="P7993" t="s">
        <v>20127</v>
      </c>
      <c r="Q7993" t="s">
        <v>19900</v>
      </c>
      <c r="R7993" t="s">
        <v>19447</v>
      </c>
      <c r="S7993" t="s">
        <v>19447</v>
      </c>
      <c r="T7993" t="s">
        <v>19911</v>
      </c>
    </row>
    <row r="7994" spans="2:20" x14ac:dyDescent="0.25">
      <c r="B7994" t="s">
        <v>2709</v>
      </c>
      <c r="C7994">
        <v>84219110</v>
      </c>
      <c r="E7994">
        <v>71.78</v>
      </c>
      <c r="F7994">
        <v>18</v>
      </c>
      <c r="G7994">
        <v>8</v>
      </c>
      <c r="H7994" t="s">
        <v>19447</v>
      </c>
      <c r="I7994" t="s">
        <v>19447</v>
      </c>
      <c r="J7994">
        <v>16</v>
      </c>
      <c r="L7994" t="s">
        <v>2709</v>
      </c>
      <c r="M7994">
        <v>84219110</v>
      </c>
      <c r="O7994" t="s">
        <v>20056</v>
      </c>
      <c r="P7994" t="s">
        <v>19899</v>
      </c>
      <c r="Q7994" t="s">
        <v>19918</v>
      </c>
      <c r="R7994" t="s">
        <v>19447</v>
      </c>
      <c r="S7994" t="s">
        <v>19447</v>
      </c>
      <c r="T7994" t="s">
        <v>19913</v>
      </c>
    </row>
    <row r="7995" spans="2:20" x14ac:dyDescent="0.25">
      <c r="B7995" t="s">
        <v>2709</v>
      </c>
      <c r="C7995">
        <v>84219191</v>
      </c>
      <c r="E7995">
        <v>71.78</v>
      </c>
      <c r="F7995">
        <v>18</v>
      </c>
      <c r="G7995">
        <v>8</v>
      </c>
      <c r="H7995" t="s">
        <v>19447</v>
      </c>
      <c r="I7995" t="s">
        <v>19447</v>
      </c>
      <c r="J7995">
        <v>0</v>
      </c>
      <c r="L7995" t="s">
        <v>2709</v>
      </c>
      <c r="M7995">
        <v>84219191</v>
      </c>
      <c r="O7995" t="s">
        <v>20056</v>
      </c>
      <c r="P7995" t="s">
        <v>19899</v>
      </c>
      <c r="Q7995" t="s">
        <v>19918</v>
      </c>
      <c r="R7995" t="s">
        <v>19447</v>
      </c>
      <c r="S7995" t="s">
        <v>19447</v>
      </c>
      <c r="T7995" t="s">
        <v>19900</v>
      </c>
    </row>
    <row r="7996" spans="2:20" x14ac:dyDescent="0.25">
      <c r="B7996" t="s">
        <v>2709</v>
      </c>
      <c r="C7996">
        <v>84219199</v>
      </c>
      <c r="E7996">
        <v>71.78</v>
      </c>
      <c r="F7996">
        <v>18</v>
      </c>
      <c r="G7996">
        <v>8</v>
      </c>
      <c r="H7996" t="s">
        <v>19447</v>
      </c>
      <c r="I7996" t="s">
        <v>19447</v>
      </c>
      <c r="J7996">
        <v>14</v>
      </c>
      <c r="L7996" t="s">
        <v>2709</v>
      </c>
      <c r="M7996">
        <v>84219199</v>
      </c>
      <c r="O7996" t="s">
        <v>20056</v>
      </c>
      <c r="P7996" t="s">
        <v>19899</v>
      </c>
      <c r="Q7996" t="s">
        <v>19918</v>
      </c>
      <c r="R7996" t="s">
        <v>19447</v>
      </c>
      <c r="S7996" t="s">
        <v>19447</v>
      </c>
      <c r="T7996" t="s">
        <v>19911</v>
      </c>
    </row>
    <row r="7997" spans="2:20" x14ac:dyDescent="0.25">
      <c r="B7997" t="s">
        <v>2709</v>
      </c>
      <c r="C7997">
        <v>84219910</v>
      </c>
      <c r="E7997">
        <v>71.78</v>
      </c>
      <c r="F7997">
        <v>18</v>
      </c>
      <c r="G7997">
        <v>8</v>
      </c>
      <c r="H7997" t="s">
        <v>19447</v>
      </c>
      <c r="I7997" t="s">
        <v>19447</v>
      </c>
      <c r="J7997">
        <v>14</v>
      </c>
      <c r="L7997" t="s">
        <v>2709</v>
      </c>
      <c r="M7997">
        <v>84219910</v>
      </c>
      <c r="O7997" t="s">
        <v>20056</v>
      </c>
      <c r="P7997" t="s">
        <v>19899</v>
      </c>
      <c r="Q7997" t="s">
        <v>19918</v>
      </c>
      <c r="R7997" t="s">
        <v>19447</v>
      </c>
      <c r="S7997" t="s">
        <v>19447</v>
      </c>
      <c r="T7997" t="s">
        <v>19911</v>
      </c>
    </row>
    <row r="7998" spans="2:20" x14ac:dyDescent="0.25">
      <c r="B7998" t="s">
        <v>2709</v>
      </c>
      <c r="C7998">
        <v>84219920</v>
      </c>
      <c r="E7998">
        <v>71.78</v>
      </c>
      <c r="F7998">
        <v>18</v>
      </c>
      <c r="G7998">
        <v>8</v>
      </c>
      <c r="H7998" t="s">
        <v>19447</v>
      </c>
      <c r="I7998" t="s">
        <v>19447</v>
      </c>
      <c r="J7998">
        <v>0</v>
      </c>
      <c r="L7998" t="s">
        <v>2709</v>
      </c>
      <c r="M7998">
        <v>84219920</v>
      </c>
      <c r="O7998" t="s">
        <v>20056</v>
      </c>
      <c r="P7998" t="s">
        <v>19899</v>
      </c>
      <c r="Q7998" t="s">
        <v>19918</v>
      </c>
      <c r="R7998" t="s">
        <v>19447</v>
      </c>
      <c r="S7998" t="s">
        <v>19447</v>
      </c>
      <c r="T7998" t="s">
        <v>19900</v>
      </c>
    </row>
    <row r="7999" spans="2:20" x14ac:dyDescent="0.25">
      <c r="B7999" t="s">
        <v>2709</v>
      </c>
      <c r="C7999">
        <v>84219991</v>
      </c>
      <c r="E7999">
        <v>71.78</v>
      </c>
      <c r="F7999">
        <v>18</v>
      </c>
      <c r="G7999">
        <v>8</v>
      </c>
      <c r="H7999" t="s">
        <v>19447</v>
      </c>
      <c r="I7999" t="s">
        <v>19447</v>
      </c>
      <c r="J7999">
        <v>0</v>
      </c>
      <c r="L7999" t="s">
        <v>2709</v>
      </c>
      <c r="M7999">
        <v>84219991</v>
      </c>
      <c r="O7999" t="s">
        <v>20056</v>
      </c>
      <c r="P7999" t="s">
        <v>19899</v>
      </c>
      <c r="Q7999" t="s">
        <v>19918</v>
      </c>
      <c r="R7999" t="s">
        <v>19447</v>
      </c>
      <c r="S7999" t="s">
        <v>19447</v>
      </c>
      <c r="T7999" t="s">
        <v>19900</v>
      </c>
    </row>
    <row r="8000" spans="2:20" x14ac:dyDescent="0.25">
      <c r="B8000" t="s">
        <v>2709</v>
      </c>
      <c r="C8000">
        <v>84219999</v>
      </c>
      <c r="E8000">
        <v>71.78</v>
      </c>
      <c r="F8000">
        <v>18</v>
      </c>
      <c r="G8000">
        <v>8</v>
      </c>
      <c r="H8000" t="s">
        <v>19447</v>
      </c>
      <c r="I8000" t="s">
        <v>19447</v>
      </c>
      <c r="J8000">
        <v>14</v>
      </c>
      <c r="L8000" t="s">
        <v>2709</v>
      </c>
      <c r="M8000">
        <v>84219999</v>
      </c>
      <c r="O8000" t="s">
        <v>20056</v>
      </c>
      <c r="P8000" t="s">
        <v>19899</v>
      </c>
      <c r="Q8000" t="s">
        <v>19918</v>
      </c>
      <c r="R8000" t="s">
        <v>19447</v>
      </c>
      <c r="S8000" t="s">
        <v>19447</v>
      </c>
      <c r="T8000" t="s">
        <v>19911</v>
      </c>
    </row>
    <row r="8001" spans="2:20" x14ac:dyDescent="0.25">
      <c r="B8001" t="s">
        <v>2709</v>
      </c>
      <c r="C8001">
        <v>84221100</v>
      </c>
      <c r="E8001">
        <v>42.14</v>
      </c>
      <c r="F8001">
        <v>7</v>
      </c>
      <c r="G8001">
        <v>20</v>
      </c>
      <c r="H8001" t="s">
        <v>19447</v>
      </c>
      <c r="I8001" t="s">
        <v>19447</v>
      </c>
      <c r="J8001">
        <v>20</v>
      </c>
      <c r="L8001" t="s">
        <v>2709</v>
      </c>
      <c r="M8001">
        <v>84221100</v>
      </c>
      <c r="O8001" t="s">
        <v>20167</v>
      </c>
      <c r="P8001" t="s">
        <v>19908</v>
      </c>
      <c r="Q8001" t="s">
        <v>19934</v>
      </c>
      <c r="R8001" t="s">
        <v>19447</v>
      </c>
      <c r="S8001" t="s">
        <v>19447</v>
      </c>
      <c r="T8001" t="s">
        <v>19934</v>
      </c>
    </row>
    <row r="8002" spans="2:20" x14ac:dyDescent="0.25">
      <c r="B8002" t="s">
        <v>2709</v>
      </c>
      <c r="C8002">
        <v>84221900</v>
      </c>
      <c r="E8002">
        <v>71.78</v>
      </c>
      <c r="F8002">
        <v>18</v>
      </c>
      <c r="G8002">
        <v>20</v>
      </c>
      <c r="H8002" t="s">
        <v>19447</v>
      </c>
      <c r="I8002" t="s">
        <v>19447</v>
      </c>
      <c r="J8002">
        <v>14</v>
      </c>
      <c r="L8002" t="s">
        <v>2709</v>
      </c>
      <c r="M8002">
        <v>84221900</v>
      </c>
      <c r="O8002" t="s">
        <v>20056</v>
      </c>
      <c r="P8002" t="s">
        <v>19899</v>
      </c>
      <c r="Q8002" t="s">
        <v>19934</v>
      </c>
      <c r="R8002" t="s">
        <v>19447</v>
      </c>
      <c r="S8002" t="s">
        <v>19447</v>
      </c>
      <c r="T8002" t="s">
        <v>19911</v>
      </c>
    </row>
    <row r="8003" spans="2:20" x14ac:dyDescent="0.25">
      <c r="B8003" t="s">
        <v>2709</v>
      </c>
      <c r="C8003">
        <v>84221900</v>
      </c>
      <c r="D8003">
        <v>1</v>
      </c>
      <c r="E8003" t="s">
        <v>19447</v>
      </c>
      <c r="F8003">
        <v>18</v>
      </c>
      <c r="G8003">
        <v>0</v>
      </c>
      <c r="H8003">
        <v>7.6</v>
      </c>
      <c r="I8003">
        <v>1.65</v>
      </c>
      <c r="J8003">
        <v>14</v>
      </c>
      <c r="L8003" t="s">
        <v>2709</v>
      </c>
      <c r="M8003">
        <v>84221900</v>
      </c>
      <c r="N8003">
        <v>1</v>
      </c>
      <c r="O8003" t="s">
        <v>19447</v>
      </c>
      <c r="P8003" t="s">
        <v>19899</v>
      </c>
      <c r="Q8003" t="s">
        <v>19900</v>
      </c>
      <c r="R8003" t="s">
        <v>19905</v>
      </c>
      <c r="S8003" t="s">
        <v>19906</v>
      </c>
      <c r="T8003" t="s">
        <v>19911</v>
      </c>
    </row>
    <row r="8004" spans="2:20" x14ac:dyDescent="0.25">
      <c r="B8004" t="s">
        <v>2709</v>
      </c>
      <c r="C8004">
        <v>84222000</v>
      </c>
      <c r="E8004">
        <v>71.78</v>
      </c>
      <c r="F8004">
        <v>8.8000000000000007</v>
      </c>
      <c r="G8004">
        <v>0</v>
      </c>
      <c r="H8004" t="s">
        <v>19447</v>
      </c>
      <c r="I8004" t="s">
        <v>19447</v>
      </c>
      <c r="J8004">
        <v>14</v>
      </c>
      <c r="L8004" t="s">
        <v>2709</v>
      </c>
      <c r="M8004">
        <v>84222000</v>
      </c>
      <c r="O8004" t="s">
        <v>20056</v>
      </c>
      <c r="P8004" t="s">
        <v>20127</v>
      </c>
      <c r="Q8004" t="s">
        <v>19900</v>
      </c>
      <c r="R8004" t="s">
        <v>19447</v>
      </c>
      <c r="S8004" t="s">
        <v>19447</v>
      </c>
      <c r="T8004" t="s">
        <v>19911</v>
      </c>
    </row>
    <row r="8005" spans="2:20" x14ac:dyDescent="0.25">
      <c r="B8005" t="s">
        <v>2709</v>
      </c>
      <c r="C8005">
        <v>84223010</v>
      </c>
      <c r="E8005">
        <v>71.78</v>
      </c>
      <c r="F8005">
        <v>8.8000000000000007</v>
      </c>
      <c r="G8005">
        <v>0</v>
      </c>
      <c r="H8005" t="s">
        <v>19447</v>
      </c>
      <c r="I8005" t="s">
        <v>19447</v>
      </c>
      <c r="J8005">
        <v>14</v>
      </c>
      <c r="L8005" t="s">
        <v>2709</v>
      </c>
      <c r="M8005">
        <v>84223010</v>
      </c>
      <c r="O8005" t="s">
        <v>20056</v>
      </c>
      <c r="P8005" t="s">
        <v>20127</v>
      </c>
      <c r="Q8005" t="s">
        <v>19900</v>
      </c>
      <c r="R8005" t="s">
        <v>19447</v>
      </c>
      <c r="S8005" t="s">
        <v>19447</v>
      </c>
      <c r="T8005" t="s">
        <v>19911</v>
      </c>
    </row>
    <row r="8006" spans="2:20" x14ac:dyDescent="0.25">
      <c r="B8006" t="s">
        <v>2709</v>
      </c>
      <c r="C8006">
        <v>84223021</v>
      </c>
      <c r="E8006">
        <v>71.78</v>
      </c>
      <c r="F8006">
        <v>8.8000000000000007</v>
      </c>
      <c r="G8006">
        <v>0</v>
      </c>
      <c r="H8006" t="s">
        <v>19447</v>
      </c>
      <c r="I8006" t="s">
        <v>19447</v>
      </c>
      <c r="J8006">
        <v>14</v>
      </c>
      <c r="L8006" t="s">
        <v>2709</v>
      </c>
      <c r="M8006">
        <v>84223021</v>
      </c>
      <c r="O8006" t="s">
        <v>20056</v>
      </c>
      <c r="P8006" t="s">
        <v>20127</v>
      </c>
      <c r="Q8006" t="s">
        <v>19900</v>
      </c>
      <c r="R8006" t="s">
        <v>19447</v>
      </c>
      <c r="S8006" t="s">
        <v>19447</v>
      </c>
      <c r="T8006" t="s">
        <v>19911</v>
      </c>
    </row>
    <row r="8007" spans="2:20" x14ac:dyDescent="0.25">
      <c r="B8007" t="s">
        <v>2709</v>
      </c>
      <c r="C8007">
        <v>84223022</v>
      </c>
      <c r="E8007">
        <v>71.78</v>
      </c>
      <c r="F8007">
        <v>8.8000000000000007</v>
      </c>
      <c r="G8007">
        <v>0</v>
      </c>
      <c r="H8007" t="s">
        <v>19447</v>
      </c>
      <c r="I8007" t="s">
        <v>19447</v>
      </c>
      <c r="J8007">
        <v>0</v>
      </c>
      <c r="L8007" t="s">
        <v>2709</v>
      </c>
      <c r="M8007">
        <v>84223022</v>
      </c>
      <c r="O8007" t="s">
        <v>20056</v>
      </c>
      <c r="P8007" t="s">
        <v>20127</v>
      </c>
      <c r="Q8007" t="s">
        <v>19900</v>
      </c>
      <c r="R8007" t="s">
        <v>19447</v>
      </c>
      <c r="S8007" t="s">
        <v>19447</v>
      </c>
      <c r="T8007" t="s">
        <v>19900</v>
      </c>
    </row>
    <row r="8008" spans="2:20" x14ac:dyDescent="0.25">
      <c r="B8008" t="s">
        <v>2709</v>
      </c>
      <c r="C8008">
        <v>84223023</v>
      </c>
      <c r="E8008">
        <v>71.78</v>
      </c>
      <c r="F8008">
        <v>8.8000000000000007</v>
      </c>
      <c r="G8008">
        <v>0</v>
      </c>
      <c r="H8008" t="s">
        <v>19447</v>
      </c>
      <c r="I8008" t="s">
        <v>19447</v>
      </c>
      <c r="J8008">
        <v>0</v>
      </c>
      <c r="L8008" t="s">
        <v>2709</v>
      </c>
      <c r="M8008">
        <v>84223023</v>
      </c>
      <c r="O8008" t="s">
        <v>20056</v>
      </c>
      <c r="P8008" t="s">
        <v>20127</v>
      </c>
      <c r="Q8008" t="s">
        <v>19900</v>
      </c>
      <c r="R8008" t="s">
        <v>19447</v>
      </c>
      <c r="S8008" t="s">
        <v>19447</v>
      </c>
      <c r="T8008" t="s">
        <v>19900</v>
      </c>
    </row>
    <row r="8009" spans="2:20" x14ac:dyDescent="0.25">
      <c r="B8009" t="s">
        <v>2709</v>
      </c>
      <c r="C8009">
        <v>84223029</v>
      </c>
      <c r="E8009">
        <v>71.78</v>
      </c>
      <c r="F8009">
        <v>8.8000000000000007</v>
      </c>
      <c r="G8009">
        <v>0</v>
      </c>
      <c r="H8009" t="s">
        <v>19447</v>
      </c>
      <c r="I8009" t="s">
        <v>19447</v>
      </c>
      <c r="J8009">
        <v>14</v>
      </c>
      <c r="L8009" t="s">
        <v>2709</v>
      </c>
      <c r="M8009">
        <v>84223029</v>
      </c>
      <c r="O8009" t="s">
        <v>20056</v>
      </c>
      <c r="P8009" t="s">
        <v>20127</v>
      </c>
      <c r="Q8009" t="s">
        <v>19900</v>
      </c>
      <c r="R8009" t="s">
        <v>19447</v>
      </c>
      <c r="S8009" t="s">
        <v>19447</v>
      </c>
      <c r="T8009" t="s">
        <v>19911</v>
      </c>
    </row>
    <row r="8010" spans="2:20" x14ac:dyDescent="0.25">
      <c r="B8010" t="s">
        <v>2709</v>
      </c>
      <c r="C8010">
        <v>84223030</v>
      </c>
      <c r="E8010">
        <v>71.78</v>
      </c>
      <c r="F8010">
        <v>18</v>
      </c>
      <c r="G8010">
        <v>0</v>
      </c>
      <c r="H8010" t="s">
        <v>19447</v>
      </c>
      <c r="I8010" t="s">
        <v>19447</v>
      </c>
      <c r="J8010">
        <v>14</v>
      </c>
      <c r="L8010" t="s">
        <v>2709</v>
      </c>
      <c r="M8010">
        <v>84223030</v>
      </c>
      <c r="O8010" t="s">
        <v>20056</v>
      </c>
      <c r="P8010" t="s">
        <v>19899</v>
      </c>
      <c r="Q8010" t="s">
        <v>19900</v>
      </c>
      <c r="R8010" t="s">
        <v>19447</v>
      </c>
      <c r="S8010" t="s">
        <v>19447</v>
      </c>
      <c r="T8010" t="s">
        <v>19911</v>
      </c>
    </row>
    <row r="8011" spans="2:20" x14ac:dyDescent="0.25">
      <c r="B8011" t="s">
        <v>2709</v>
      </c>
      <c r="C8011">
        <v>84224010</v>
      </c>
      <c r="E8011">
        <v>71.78</v>
      </c>
      <c r="F8011">
        <v>8.8000000000000007</v>
      </c>
      <c r="G8011">
        <v>0</v>
      </c>
      <c r="H8011" t="s">
        <v>19447</v>
      </c>
      <c r="I8011" t="s">
        <v>19447</v>
      </c>
      <c r="J8011">
        <v>0</v>
      </c>
      <c r="L8011" t="s">
        <v>2709</v>
      </c>
      <c r="M8011">
        <v>84224010</v>
      </c>
      <c r="O8011" t="s">
        <v>20056</v>
      </c>
      <c r="P8011" t="s">
        <v>20127</v>
      </c>
      <c r="Q8011" t="s">
        <v>19900</v>
      </c>
      <c r="R8011" t="s">
        <v>19447</v>
      </c>
      <c r="S8011" t="s">
        <v>19447</v>
      </c>
      <c r="T8011" t="s">
        <v>19900</v>
      </c>
    </row>
    <row r="8012" spans="2:20" x14ac:dyDescent="0.25">
      <c r="B8012" t="s">
        <v>2709</v>
      </c>
      <c r="C8012">
        <v>84224020</v>
      </c>
      <c r="E8012">
        <v>71.78</v>
      </c>
      <c r="F8012">
        <v>8.8000000000000007</v>
      </c>
      <c r="G8012">
        <v>0</v>
      </c>
      <c r="H8012" t="s">
        <v>19447</v>
      </c>
      <c r="I8012" t="s">
        <v>19447</v>
      </c>
      <c r="J8012">
        <v>0</v>
      </c>
      <c r="L8012" t="s">
        <v>2709</v>
      </c>
      <c r="M8012">
        <v>84224020</v>
      </c>
      <c r="O8012" t="s">
        <v>20056</v>
      </c>
      <c r="P8012" t="s">
        <v>20127</v>
      </c>
      <c r="Q8012" t="s">
        <v>19900</v>
      </c>
      <c r="R8012" t="s">
        <v>19447</v>
      </c>
      <c r="S8012" t="s">
        <v>19447</v>
      </c>
      <c r="T8012" t="s">
        <v>19900</v>
      </c>
    </row>
    <row r="8013" spans="2:20" x14ac:dyDescent="0.25">
      <c r="B8013" t="s">
        <v>2709</v>
      </c>
      <c r="C8013">
        <v>84224030</v>
      </c>
      <c r="E8013">
        <v>71.78</v>
      </c>
      <c r="F8013">
        <v>8.8000000000000007</v>
      </c>
      <c r="G8013">
        <v>0</v>
      </c>
      <c r="H8013" t="s">
        <v>19447</v>
      </c>
      <c r="I8013" t="s">
        <v>19447</v>
      </c>
      <c r="J8013">
        <v>0</v>
      </c>
      <c r="L8013" t="s">
        <v>2709</v>
      </c>
      <c r="M8013">
        <v>84224030</v>
      </c>
      <c r="O8013" t="s">
        <v>20056</v>
      </c>
      <c r="P8013" t="s">
        <v>20127</v>
      </c>
      <c r="Q8013" t="s">
        <v>19900</v>
      </c>
      <c r="R8013" t="s">
        <v>19447</v>
      </c>
      <c r="S8013" t="s">
        <v>19447</v>
      </c>
      <c r="T8013" t="s">
        <v>19900</v>
      </c>
    </row>
    <row r="8014" spans="2:20" x14ac:dyDescent="0.25">
      <c r="B8014" t="s">
        <v>2709</v>
      </c>
      <c r="C8014">
        <v>84224090</v>
      </c>
      <c r="E8014">
        <v>71.78</v>
      </c>
      <c r="F8014">
        <v>8.8000000000000007</v>
      </c>
      <c r="G8014">
        <v>0</v>
      </c>
      <c r="H8014" t="s">
        <v>19447</v>
      </c>
      <c r="I8014" t="s">
        <v>19447</v>
      </c>
      <c r="J8014">
        <v>14</v>
      </c>
      <c r="L8014" t="s">
        <v>2709</v>
      </c>
      <c r="M8014">
        <v>84224090</v>
      </c>
      <c r="O8014" t="s">
        <v>20056</v>
      </c>
      <c r="P8014" t="s">
        <v>20127</v>
      </c>
      <c r="Q8014" t="s">
        <v>19900</v>
      </c>
      <c r="R8014" t="s">
        <v>19447</v>
      </c>
      <c r="S8014" t="s">
        <v>19447</v>
      </c>
      <c r="T8014" t="s">
        <v>19911</v>
      </c>
    </row>
    <row r="8015" spans="2:20" x14ac:dyDescent="0.25">
      <c r="B8015" t="s">
        <v>2709</v>
      </c>
      <c r="C8015">
        <v>84229010</v>
      </c>
      <c r="E8015">
        <v>42.14</v>
      </c>
      <c r="F8015">
        <v>18</v>
      </c>
      <c r="G8015">
        <v>20</v>
      </c>
      <c r="H8015" t="s">
        <v>19447</v>
      </c>
      <c r="I8015" t="s">
        <v>19447</v>
      </c>
      <c r="J8015">
        <v>16</v>
      </c>
      <c r="L8015" t="s">
        <v>2709</v>
      </c>
      <c r="M8015">
        <v>84229010</v>
      </c>
      <c r="O8015" t="s">
        <v>20167</v>
      </c>
      <c r="P8015" t="s">
        <v>19899</v>
      </c>
      <c r="Q8015" t="s">
        <v>19934</v>
      </c>
      <c r="R8015" t="s">
        <v>19447</v>
      </c>
      <c r="S8015" t="s">
        <v>19447</v>
      </c>
      <c r="T8015" t="s">
        <v>19913</v>
      </c>
    </row>
    <row r="8016" spans="2:20" x14ac:dyDescent="0.25">
      <c r="B8016" t="s">
        <v>2709</v>
      </c>
      <c r="C8016">
        <v>84229090</v>
      </c>
      <c r="E8016">
        <v>71.78</v>
      </c>
      <c r="F8016">
        <v>18</v>
      </c>
      <c r="G8016">
        <v>5</v>
      </c>
      <c r="H8016" t="s">
        <v>19447</v>
      </c>
      <c r="I8016" t="s">
        <v>19447</v>
      </c>
      <c r="J8016">
        <v>14</v>
      </c>
      <c r="L8016" t="s">
        <v>2709</v>
      </c>
      <c r="M8016">
        <v>84229090</v>
      </c>
      <c r="O8016" t="s">
        <v>20056</v>
      </c>
      <c r="P8016" t="s">
        <v>19899</v>
      </c>
      <c r="Q8016" t="s">
        <v>19909</v>
      </c>
      <c r="R8016" t="s">
        <v>19447</v>
      </c>
      <c r="S8016" t="s">
        <v>19447</v>
      </c>
      <c r="T8016" t="s">
        <v>19911</v>
      </c>
    </row>
    <row r="8017" spans="2:20" x14ac:dyDescent="0.25">
      <c r="B8017" t="s">
        <v>2709</v>
      </c>
      <c r="C8017">
        <v>84231000</v>
      </c>
      <c r="E8017">
        <v>60</v>
      </c>
      <c r="F8017">
        <v>18</v>
      </c>
      <c r="G8017">
        <v>10</v>
      </c>
      <c r="H8017" t="s">
        <v>19447</v>
      </c>
      <c r="I8017" t="s">
        <v>19447</v>
      </c>
      <c r="J8017">
        <v>20</v>
      </c>
      <c r="L8017" t="s">
        <v>2709</v>
      </c>
      <c r="M8017">
        <v>84231000</v>
      </c>
      <c r="O8017" t="s">
        <v>19993</v>
      </c>
      <c r="P8017" t="s">
        <v>19899</v>
      </c>
      <c r="Q8017" t="s">
        <v>19904</v>
      </c>
      <c r="R8017" t="s">
        <v>19447</v>
      </c>
      <c r="S8017" t="s">
        <v>19447</v>
      </c>
      <c r="T8017" t="s">
        <v>19934</v>
      </c>
    </row>
    <row r="8018" spans="2:20" x14ac:dyDescent="0.25">
      <c r="B8018" t="s">
        <v>2709</v>
      </c>
      <c r="C8018">
        <v>84231000</v>
      </c>
      <c r="D8018">
        <v>1</v>
      </c>
      <c r="E8018" t="s">
        <v>19447</v>
      </c>
      <c r="F8018">
        <v>18</v>
      </c>
      <c r="G8018">
        <v>20</v>
      </c>
      <c r="H8018">
        <v>7.6</v>
      </c>
      <c r="I8018">
        <v>1.65</v>
      </c>
      <c r="J8018">
        <v>20</v>
      </c>
      <c r="L8018" t="s">
        <v>2709</v>
      </c>
      <c r="M8018">
        <v>84231000</v>
      </c>
      <c r="N8018">
        <v>1</v>
      </c>
      <c r="O8018" t="s">
        <v>19447</v>
      </c>
      <c r="P8018" t="s">
        <v>19899</v>
      </c>
      <c r="Q8018" t="s">
        <v>19934</v>
      </c>
      <c r="R8018" t="s">
        <v>19905</v>
      </c>
      <c r="S8018" t="s">
        <v>19906</v>
      </c>
      <c r="T8018" t="s">
        <v>19934</v>
      </c>
    </row>
    <row r="8019" spans="2:20" x14ac:dyDescent="0.25">
      <c r="B8019" t="s">
        <v>2709</v>
      </c>
      <c r="C8019">
        <v>84232000</v>
      </c>
      <c r="E8019">
        <v>71.78</v>
      </c>
      <c r="F8019">
        <v>8.8000000000000007</v>
      </c>
      <c r="G8019">
        <v>0</v>
      </c>
      <c r="H8019" t="s">
        <v>19447</v>
      </c>
      <c r="I8019" t="s">
        <v>19447</v>
      </c>
      <c r="J8019">
        <v>14</v>
      </c>
      <c r="L8019" t="s">
        <v>2709</v>
      </c>
      <c r="M8019">
        <v>84232000</v>
      </c>
      <c r="O8019" t="s">
        <v>20056</v>
      </c>
      <c r="P8019" t="s">
        <v>20127</v>
      </c>
      <c r="Q8019" t="s">
        <v>19900</v>
      </c>
      <c r="R8019" t="s">
        <v>19447</v>
      </c>
      <c r="S8019" t="s">
        <v>19447</v>
      </c>
      <c r="T8019" t="s">
        <v>19911</v>
      </c>
    </row>
    <row r="8020" spans="2:20" x14ac:dyDescent="0.25">
      <c r="B8020" t="s">
        <v>2709</v>
      </c>
      <c r="C8020">
        <v>84233011</v>
      </c>
      <c r="E8020">
        <v>71.78</v>
      </c>
      <c r="F8020">
        <v>8.8000000000000007</v>
      </c>
      <c r="G8020">
        <v>0</v>
      </c>
      <c r="H8020" t="s">
        <v>19447</v>
      </c>
      <c r="I8020" t="s">
        <v>19447</v>
      </c>
      <c r="J8020">
        <v>14</v>
      </c>
      <c r="L8020" t="s">
        <v>2709</v>
      </c>
      <c r="M8020">
        <v>84233011</v>
      </c>
      <c r="O8020" t="s">
        <v>20056</v>
      </c>
      <c r="P8020" t="s">
        <v>20127</v>
      </c>
      <c r="Q8020" t="s">
        <v>19900</v>
      </c>
      <c r="R8020" t="s">
        <v>19447</v>
      </c>
      <c r="S8020" t="s">
        <v>19447</v>
      </c>
      <c r="T8020" t="s">
        <v>19911</v>
      </c>
    </row>
    <row r="8021" spans="2:20" x14ac:dyDescent="0.25">
      <c r="B8021" t="s">
        <v>2709</v>
      </c>
      <c r="C8021">
        <v>84233019</v>
      </c>
      <c r="E8021">
        <v>71.78</v>
      </c>
      <c r="F8021">
        <v>8.8000000000000007</v>
      </c>
      <c r="G8021">
        <v>0</v>
      </c>
      <c r="H8021" t="s">
        <v>19447</v>
      </c>
      <c r="I8021" t="s">
        <v>19447</v>
      </c>
      <c r="J8021">
        <v>14</v>
      </c>
      <c r="L8021" t="s">
        <v>2709</v>
      </c>
      <c r="M8021">
        <v>84233019</v>
      </c>
      <c r="O8021" t="s">
        <v>20056</v>
      </c>
      <c r="P8021" t="s">
        <v>20127</v>
      </c>
      <c r="Q8021" t="s">
        <v>19900</v>
      </c>
      <c r="R8021" t="s">
        <v>19447</v>
      </c>
      <c r="S8021" t="s">
        <v>19447</v>
      </c>
      <c r="T8021" t="s">
        <v>19911</v>
      </c>
    </row>
    <row r="8022" spans="2:20" x14ac:dyDescent="0.25">
      <c r="B8022" t="s">
        <v>2709</v>
      </c>
      <c r="C8022">
        <v>84233090</v>
      </c>
      <c r="E8022">
        <v>71.78</v>
      </c>
      <c r="F8022">
        <v>8.8000000000000007</v>
      </c>
      <c r="G8022">
        <v>0</v>
      </c>
      <c r="H8022" t="s">
        <v>19447</v>
      </c>
      <c r="I8022" t="s">
        <v>19447</v>
      </c>
      <c r="J8022">
        <v>14</v>
      </c>
      <c r="L8022" t="s">
        <v>2709</v>
      </c>
      <c r="M8022">
        <v>84233090</v>
      </c>
      <c r="O8022" t="s">
        <v>20056</v>
      </c>
      <c r="P8022" t="s">
        <v>20127</v>
      </c>
      <c r="Q8022" t="s">
        <v>19900</v>
      </c>
      <c r="R8022" t="s">
        <v>19447</v>
      </c>
      <c r="S8022" t="s">
        <v>19447</v>
      </c>
      <c r="T8022" t="s">
        <v>19911</v>
      </c>
    </row>
    <row r="8023" spans="2:20" x14ac:dyDescent="0.25">
      <c r="B8023" t="s">
        <v>2709</v>
      </c>
      <c r="C8023">
        <v>84238110</v>
      </c>
      <c r="E8023">
        <v>71.78</v>
      </c>
      <c r="F8023">
        <v>12</v>
      </c>
      <c r="G8023">
        <v>5</v>
      </c>
      <c r="H8023" t="s">
        <v>19447</v>
      </c>
      <c r="I8023" t="s">
        <v>19447</v>
      </c>
      <c r="J8023">
        <v>14</v>
      </c>
      <c r="L8023" t="s">
        <v>2709</v>
      </c>
      <c r="M8023">
        <v>84238110</v>
      </c>
      <c r="O8023" t="s">
        <v>20056</v>
      </c>
      <c r="P8023" t="s">
        <v>19903</v>
      </c>
      <c r="Q8023" t="s">
        <v>19909</v>
      </c>
      <c r="R8023" t="s">
        <v>19447</v>
      </c>
      <c r="S8023" t="s">
        <v>19447</v>
      </c>
      <c r="T8023" t="s">
        <v>19911</v>
      </c>
    </row>
    <row r="8024" spans="2:20" x14ac:dyDescent="0.25">
      <c r="B8024" t="s">
        <v>2709</v>
      </c>
      <c r="C8024">
        <v>84238190</v>
      </c>
      <c r="E8024">
        <v>71.78</v>
      </c>
      <c r="F8024">
        <v>8.8000000000000007</v>
      </c>
      <c r="G8024">
        <v>5</v>
      </c>
      <c r="H8024" t="s">
        <v>19447</v>
      </c>
      <c r="I8024" t="s">
        <v>19447</v>
      </c>
      <c r="J8024">
        <v>14</v>
      </c>
      <c r="L8024" t="s">
        <v>2709</v>
      </c>
      <c r="M8024">
        <v>84238190</v>
      </c>
      <c r="O8024" t="s">
        <v>20056</v>
      </c>
      <c r="P8024" t="s">
        <v>20127</v>
      </c>
      <c r="Q8024" t="s">
        <v>19909</v>
      </c>
      <c r="R8024" t="s">
        <v>19447</v>
      </c>
      <c r="S8024" t="s">
        <v>19447</v>
      </c>
      <c r="T8024" t="s">
        <v>19911</v>
      </c>
    </row>
    <row r="8025" spans="2:20" x14ac:dyDescent="0.25">
      <c r="B8025" t="s">
        <v>2709</v>
      </c>
      <c r="C8025">
        <v>84238200</v>
      </c>
      <c r="E8025">
        <v>71.78</v>
      </c>
      <c r="F8025">
        <v>12</v>
      </c>
      <c r="G8025">
        <v>0</v>
      </c>
      <c r="H8025" t="s">
        <v>19447</v>
      </c>
      <c r="I8025" t="s">
        <v>19447</v>
      </c>
      <c r="J8025">
        <v>14</v>
      </c>
      <c r="L8025" t="s">
        <v>2709</v>
      </c>
      <c r="M8025">
        <v>84238200</v>
      </c>
      <c r="O8025" t="s">
        <v>20056</v>
      </c>
      <c r="P8025" t="s">
        <v>19903</v>
      </c>
      <c r="Q8025" t="s">
        <v>19900</v>
      </c>
      <c r="R8025" t="s">
        <v>19447</v>
      </c>
      <c r="S8025" t="s">
        <v>19447</v>
      </c>
      <c r="T8025" t="s">
        <v>19911</v>
      </c>
    </row>
    <row r="8026" spans="2:20" x14ac:dyDescent="0.25">
      <c r="B8026" t="s">
        <v>2709</v>
      </c>
      <c r="C8026">
        <v>84238900</v>
      </c>
      <c r="E8026">
        <v>71.78</v>
      </c>
      <c r="F8026">
        <v>12</v>
      </c>
      <c r="G8026">
        <v>0</v>
      </c>
      <c r="H8026" t="s">
        <v>19447</v>
      </c>
      <c r="I8026" t="s">
        <v>19447</v>
      </c>
      <c r="J8026">
        <v>14</v>
      </c>
      <c r="L8026" t="s">
        <v>2709</v>
      </c>
      <c r="M8026">
        <v>84238900</v>
      </c>
      <c r="O8026" t="s">
        <v>20056</v>
      </c>
      <c r="P8026" t="s">
        <v>19903</v>
      </c>
      <c r="Q8026" t="s">
        <v>19900</v>
      </c>
      <c r="R8026" t="s">
        <v>19447</v>
      </c>
      <c r="S8026" t="s">
        <v>19447</v>
      </c>
      <c r="T8026" t="s">
        <v>19911</v>
      </c>
    </row>
    <row r="8027" spans="2:20" x14ac:dyDescent="0.25">
      <c r="B8027" t="s">
        <v>2709</v>
      </c>
      <c r="C8027">
        <v>84239010</v>
      </c>
      <c r="E8027">
        <v>71.78</v>
      </c>
      <c r="F8027">
        <v>18</v>
      </c>
      <c r="G8027">
        <v>10</v>
      </c>
      <c r="H8027" t="s">
        <v>19447</v>
      </c>
      <c r="I8027" t="s">
        <v>19447</v>
      </c>
      <c r="J8027">
        <v>16</v>
      </c>
      <c r="L8027" t="s">
        <v>2709</v>
      </c>
      <c r="M8027">
        <v>84239010</v>
      </c>
      <c r="O8027" t="s">
        <v>20056</v>
      </c>
      <c r="P8027" t="s">
        <v>19899</v>
      </c>
      <c r="Q8027" t="s">
        <v>19904</v>
      </c>
      <c r="R8027" t="s">
        <v>19447</v>
      </c>
      <c r="S8027" t="s">
        <v>19447</v>
      </c>
      <c r="T8027" t="s">
        <v>19913</v>
      </c>
    </row>
    <row r="8028" spans="2:20" x14ac:dyDescent="0.25">
      <c r="B8028" t="s">
        <v>2709</v>
      </c>
      <c r="C8028">
        <v>84239021</v>
      </c>
      <c r="E8028">
        <v>71.78</v>
      </c>
      <c r="F8028">
        <v>18</v>
      </c>
      <c r="G8028">
        <v>10</v>
      </c>
      <c r="H8028" t="s">
        <v>19447</v>
      </c>
      <c r="I8028" t="s">
        <v>19447</v>
      </c>
      <c r="J8028">
        <v>16</v>
      </c>
      <c r="L8028" t="s">
        <v>2709</v>
      </c>
      <c r="M8028">
        <v>84239021</v>
      </c>
      <c r="O8028" t="s">
        <v>20056</v>
      </c>
      <c r="P8028" t="s">
        <v>19899</v>
      </c>
      <c r="Q8028" t="s">
        <v>19904</v>
      </c>
      <c r="R8028" t="s">
        <v>19447</v>
      </c>
      <c r="S8028" t="s">
        <v>19447</v>
      </c>
      <c r="T8028" t="s">
        <v>19913</v>
      </c>
    </row>
    <row r="8029" spans="2:20" x14ac:dyDescent="0.25">
      <c r="B8029" t="s">
        <v>2709</v>
      </c>
      <c r="C8029">
        <v>84239029</v>
      </c>
      <c r="E8029">
        <v>71.78</v>
      </c>
      <c r="F8029">
        <v>18</v>
      </c>
      <c r="G8029">
        <v>10</v>
      </c>
      <c r="H8029" t="s">
        <v>19447</v>
      </c>
      <c r="I8029" t="s">
        <v>19447</v>
      </c>
      <c r="J8029">
        <v>14</v>
      </c>
      <c r="L8029" t="s">
        <v>2709</v>
      </c>
      <c r="M8029">
        <v>84239029</v>
      </c>
      <c r="O8029" t="s">
        <v>20056</v>
      </c>
      <c r="P8029" t="s">
        <v>19899</v>
      </c>
      <c r="Q8029" t="s">
        <v>19904</v>
      </c>
      <c r="R8029" t="s">
        <v>19447</v>
      </c>
      <c r="S8029" t="s">
        <v>19447</v>
      </c>
      <c r="T8029" t="s">
        <v>19911</v>
      </c>
    </row>
    <row r="8030" spans="2:20" x14ac:dyDescent="0.25">
      <c r="B8030" t="s">
        <v>2709</v>
      </c>
      <c r="C8030">
        <v>84241000</v>
      </c>
      <c r="E8030">
        <v>71.78</v>
      </c>
      <c r="F8030">
        <v>18</v>
      </c>
      <c r="G8030">
        <v>8</v>
      </c>
      <c r="H8030" t="s">
        <v>19447</v>
      </c>
      <c r="I8030" t="s">
        <v>19447</v>
      </c>
      <c r="J8030">
        <v>16</v>
      </c>
      <c r="L8030" t="s">
        <v>2709</v>
      </c>
      <c r="M8030">
        <v>84241000</v>
      </c>
      <c r="O8030" t="s">
        <v>20056</v>
      </c>
      <c r="P8030" t="s">
        <v>19899</v>
      </c>
      <c r="Q8030" t="s">
        <v>19918</v>
      </c>
      <c r="R8030" t="s">
        <v>19447</v>
      </c>
      <c r="S8030" t="s">
        <v>19447</v>
      </c>
      <c r="T8030" t="s">
        <v>19913</v>
      </c>
    </row>
    <row r="8031" spans="2:20" x14ac:dyDescent="0.25">
      <c r="B8031" t="s">
        <v>2709</v>
      </c>
      <c r="C8031">
        <v>84242000</v>
      </c>
      <c r="E8031">
        <v>64</v>
      </c>
      <c r="F8031">
        <v>8.8000000000000007</v>
      </c>
      <c r="G8031">
        <v>5</v>
      </c>
      <c r="H8031" t="s">
        <v>19447</v>
      </c>
      <c r="I8031" t="s">
        <v>19447</v>
      </c>
      <c r="J8031">
        <v>14</v>
      </c>
      <c r="L8031" t="s">
        <v>2709</v>
      </c>
      <c r="M8031">
        <v>84242000</v>
      </c>
      <c r="O8031" t="s">
        <v>20168</v>
      </c>
      <c r="P8031" t="s">
        <v>20127</v>
      </c>
      <c r="Q8031" t="s">
        <v>19909</v>
      </c>
      <c r="R8031" t="s">
        <v>19447</v>
      </c>
      <c r="S8031" t="s">
        <v>19447</v>
      </c>
      <c r="T8031" t="s">
        <v>19911</v>
      </c>
    </row>
    <row r="8032" spans="2:20" x14ac:dyDescent="0.25">
      <c r="B8032" t="s">
        <v>2709</v>
      </c>
      <c r="C8032">
        <v>84243010</v>
      </c>
      <c r="E8032">
        <v>56</v>
      </c>
      <c r="F8032">
        <v>8.8000000000000007</v>
      </c>
      <c r="G8032">
        <v>0</v>
      </c>
      <c r="H8032" t="s">
        <v>19447</v>
      </c>
      <c r="I8032" t="s">
        <v>19447</v>
      </c>
      <c r="J8032">
        <v>14</v>
      </c>
      <c r="L8032" t="s">
        <v>2709</v>
      </c>
      <c r="M8032">
        <v>84243010</v>
      </c>
      <c r="O8032" t="s">
        <v>20065</v>
      </c>
      <c r="P8032" t="s">
        <v>20127</v>
      </c>
      <c r="Q8032" t="s">
        <v>19900</v>
      </c>
      <c r="R8032" t="s">
        <v>19447</v>
      </c>
      <c r="S8032" t="s">
        <v>19447</v>
      </c>
      <c r="T8032" t="s">
        <v>19911</v>
      </c>
    </row>
    <row r="8033" spans="2:20" x14ac:dyDescent="0.25">
      <c r="B8033" t="s">
        <v>2709</v>
      </c>
      <c r="C8033">
        <v>84243020</v>
      </c>
      <c r="E8033">
        <v>71.78</v>
      </c>
      <c r="F8033">
        <v>8.8000000000000007</v>
      </c>
      <c r="G8033">
        <v>0</v>
      </c>
      <c r="H8033" t="s">
        <v>19447</v>
      </c>
      <c r="I8033" t="s">
        <v>19447</v>
      </c>
      <c r="J8033">
        <v>0</v>
      </c>
      <c r="L8033" t="s">
        <v>2709</v>
      </c>
      <c r="M8033">
        <v>84243020</v>
      </c>
      <c r="O8033" t="s">
        <v>20056</v>
      </c>
      <c r="P8033" t="s">
        <v>20127</v>
      </c>
      <c r="Q8033" t="s">
        <v>19900</v>
      </c>
      <c r="R8033" t="s">
        <v>19447</v>
      </c>
      <c r="S8033" t="s">
        <v>19447</v>
      </c>
      <c r="T8033" t="s">
        <v>19900</v>
      </c>
    </row>
    <row r="8034" spans="2:20" x14ac:dyDescent="0.25">
      <c r="B8034" t="s">
        <v>2709</v>
      </c>
      <c r="C8034">
        <v>84243030</v>
      </c>
      <c r="E8034">
        <v>71.78</v>
      </c>
      <c r="F8034">
        <v>8.8000000000000007</v>
      </c>
      <c r="G8034">
        <v>0</v>
      </c>
      <c r="H8034" t="s">
        <v>19447</v>
      </c>
      <c r="I8034" t="s">
        <v>19447</v>
      </c>
      <c r="J8034">
        <v>0</v>
      </c>
      <c r="L8034" t="s">
        <v>2709</v>
      </c>
      <c r="M8034">
        <v>84243030</v>
      </c>
      <c r="O8034" t="s">
        <v>20056</v>
      </c>
      <c r="P8034" t="s">
        <v>20127</v>
      </c>
      <c r="Q8034" t="s">
        <v>19900</v>
      </c>
      <c r="R8034" t="s">
        <v>19447</v>
      </c>
      <c r="S8034" t="s">
        <v>19447</v>
      </c>
      <c r="T8034" t="s">
        <v>19900</v>
      </c>
    </row>
    <row r="8035" spans="2:20" x14ac:dyDescent="0.25">
      <c r="B8035" t="s">
        <v>2709</v>
      </c>
      <c r="C8035">
        <v>84243090</v>
      </c>
      <c r="E8035">
        <v>56</v>
      </c>
      <c r="F8035">
        <v>8.8000000000000007</v>
      </c>
      <c r="G8035">
        <v>0</v>
      </c>
      <c r="H8035" t="s">
        <v>19447</v>
      </c>
      <c r="I8035" t="s">
        <v>19447</v>
      </c>
      <c r="J8035">
        <v>14</v>
      </c>
      <c r="L8035" t="s">
        <v>2709</v>
      </c>
      <c r="M8035">
        <v>84243090</v>
      </c>
      <c r="O8035" t="s">
        <v>20065</v>
      </c>
      <c r="P8035" t="s">
        <v>20127</v>
      </c>
      <c r="Q8035" t="s">
        <v>19900</v>
      </c>
      <c r="R8035" t="s">
        <v>19447</v>
      </c>
      <c r="S8035" t="s">
        <v>19447</v>
      </c>
      <c r="T8035" t="s">
        <v>19911</v>
      </c>
    </row>
    <row r="8036" spans="2:20" x14ac:dyDescent="0.25">
      <c r="B8036" t="s">
        <v>2709</v>
      </c>
      <c r="C8036">
        <v>84248111</v>
      </c>
      <c r="E8036">
        <v>71.78</v>
      </c>
      <c r="F8036">
        <v>12</v>
      </c>
      <c r="G8036">
        <v>0</v>
      </c>
      <c r="H8036">
        <v>9.6</v>
      </c>
      <c r="I8036">
        <v>2</v>
      </c>
      <c r="J8036">
        <v>16</v>
      </c>
      <c r="L8036" t="s">
        <v>2709</v>
      </c>
      <c r="M8036">
        <v>84248111</v>
      </c>
      <c r="O8036" t="s">
        <v>20056</v>
      </c>
      <c r="P8036" t="s">
        <v>19903</v>
      </c>
      <c r="Q8036" t="s">
        <v>19900</v>
      </c>
      <c r="R8036" t="s">
        <v>20129</v>
      </c>
      <c r="S8036" t="s">
        <v>19901</v>
      </c>
      <c r="T8036" t="s">
        <v>19913</v>
      </c>
    </row>
    <row r="8037" spans="2:20" x14ac:dyDescent="0.25">
      <c r="B8037" t="s">
        <v>2709</v>
      </c>
      <c r="C8037">
        <v>84248119</v>
      </c>
      <c r="E8037">
        <v>71.78</v>
      </c>
      <c r="F8037">
        <v>12</v>
      </c>
      <c r="G8037">
        <v>0</v>
      </c>
      <c r="H8037">
        <v>9.6</v>
      </c>
      <c r="I8037">
        <v>2</v>
      </c>
      <c r="J8037">
        <v>14</v>
      </c>
      <c r="L8037" t="s">
        <v>2709</v>
      </c>
      <c r="M8037">
        <v>84248119</v>
      </c>
      <c r="O8037" t="s">
        <v>20056</v>
      </c>
      <c r="P8037" t="s">
        <v>19903</v>
      </c>
      <c r="Q8037" t="s">
        <v>19900</v>
      </c>
      <c r="R8037" t="s">
        <v>20129</v>
      </c>
      <c r="S8037" t="s">
        <v>19901</v>
      </c>
      <c r="T8037" t="s">
        <v>19911</v>
      </c>
    </row>
    <row r="8038" spans="2:20" x14ac:dyDescent="0.25">
      <c r="B8038" t="s">
        <v>2709</v>
      </c>
      <c r="C8038">
        <v>84248121</v>
      </c>
      <c r="E8038">
        <v>71.78</v>
      </c>
      <c r="F8038">
        <v>12</v>
      </c>
      <c r="G8038">
        <v>0</v>
      </c>
      <c r="H8038">
        <v>9.6</v>
      </c>
      <c r="I8038">
        <v>2</v>
      </c>
      <c r="J8038">
        <v>14</v>
      </c>
      <c r="L8038" t="s">
        <v>2709</v>
      </c>
      <c r="M8038">
        <v>84248121</v>
      </c>
      <c r="O8038" t="s">
        <v>20056</v>
      </c>
      <c r="P8038" t="s">
        <v>19903</v>
      </c>
      <c r="Q8038" t="s">
        <v>19900</v>
      </c>
      <c r="R8038" t="s">
        <v>20129</v>
      </c>
      <c r="S8038" t="s">
        <v>19901</v>
      </c>
      <c r="T8038" t="s">
        <v>19911</v>
      </c>
    </row>
    <row r="8039" spans="2:20" x14ac:dyDescent="0.25">
      <c r="B8039" t="s">
        <v>2709</v>
      </c>
      <c r="C8039">
        <v>84248129</v>
      </c>
      <c r="E8039">
        <v>71.78</v>
      </c>
      <c r="F8039">
        <v>12</v>
      </c>
      <c r="G8039">
        <v>0</v>
      </c>
      <c r="H8039">
        <v>9.6</v>
      </c>
      <c r="I8039">
        <v>2</v>
      </c>
      <c r="J8039">
        <v>14</v>
      </c>
      <c r="L8039" t="s">
        <v>2709</v>
      </c>
      <c r="M8039">
        <v>84248129</v>
      </c>
      <c r="O8039" t="s">
        <v>20056</v>
      </c>
      <c r="P8039" t="s">
        <v>19903</v>
      </c>
      <c r="Q8039" t="s">
        <v>19900</v>
      </c>
      <c r="R8039" t="s">
        <v>20129</v>
      </c>
      <c r="S8039" t="s">
        <v>19901</v>
      </c>
      <c r="T8039" t="s">
        <v>19911</v>
      </c>
    </row>
    <row r="8040" spans="2:20" x14ac:dyDescent="0.25">
      <c r="B8040" t="s">
        <v>2709</v>
      </c>
      <c r="C8040">
        <v>84248190</v>
      </c>
      <c r="E8040">
        <v>71.78</v>
      </c>
      <c r="F8040">
        <v>18</v>
      </c>
      <c r="G8040">
        <v>0</v>
      </c>
      <c r="H8040">
        <v>9.6</v>
      </c>
      <c r="I8040">
        <v>2</v>
      </c>
      <c r="J8040">
        <v>14</v>
      </c>
      <c r="L8040" t="s">
        <v>2709</v>
      </c>
      <c r="M8040">
        <v>84248190</v>
      </c>
      <c r="O8040" t="s">
        <v>20056</v>
      </c>
      <c r="P8040" t="s">
        <v>19899</v>
      </c>
      <c r="Q8040" t="s">
        <v>19900</v>
      </c>
      <c r="R8040" t="s">
        <v>20129</v>
      </c>
      <c r="S8040" t="s">
        <v>19901</v>
      </c>
      <c r="T8040" t="s">
        <v>19911</v>
      </c>
    </row>
    <row r="8041" spans="2:20" x14ac:dyDescent="0.25">
      <c r="B8041" t="s">
        <v>2709</v>
      </c>
      <c r="C8041">
        <v>84248910</v>
      </c>
      <c r="E8041">
        <v>67.599999999999994</v>
      </c>
      <c r="F8041">
        <v>18</v>
      </c>
      <c r="G8041">
        <v>5</v>
      </c>
      <c r="H8041" t="s">
        <v>19447</v>
      </c>
      <c r="I8041" t="s">
        <v>19447</v>
      </c>
      <c r="J8041">
        <v>16</v>
      </c>
      <c r="L8041" t="s">
        <v>2709</v>
      </c>
      <c r="M8041">
        <v>84248910</v>
      </c>
      <c r="O8041" t="s">
        <v>20169</v>
      </c>
      <c r="P8041" t="s">
        <v>19899</v>
      </c>
      <c r="Q8041" t="s">
        <v>19909</v>
      </c>
      <c r="R8041" t="s">
        <v>19447</v>
      </c>
      <c r="S8041" t="s">
        <v>19447</v>
      </c>
      <c r="T8041" t="s">
        <v>19913</v>
      </c>
    </row>
    <row r="8042" spans="2:20" x14ac:dyDescent="0.25">
      <c r="B8042" t="s">
        <v>2709</v>
      </c>
      <c r="C8042">
        <v>84248920</v>
      </c>
      <c r="E8042">
        <v>67.599999999999994</v>
      </c>
      <c r="F8042">
        <v>18</v>
      </c>
      <c r="G8042">
        <v>5</v>
      </c>
      <c r="H8042" t="s">
        <v>19447</v>
      </c>
      <c r="I8042" t="s">
        <v>19447</v>
      </c>
      <c r="J8042">
        <v>0</v>
      </c>
      <c r="L8042" t="s">
        <v>2709</v>
      </c>
      <c r="M8042">
        <v>84248920</v>
      </c>
      <c r="O8042" t="s">
        <v>20169</v>
      </c>
      <c r="P8042" t="s">
        <v>19899</v>
      </c>
      <c r="Q8042" t="s">
        <v>19909</v>
      </c>
      <c r="R8042" t="s">
        <v>19447</v>
      </c>
      <c r="S8042" t="s">
        <v>19447</v>
      </c>
      <c r="T8042" t="s">
        <v>19900</v>
      </c>
    </row>
    <row r="8043" spans="2:20" x14ac:dyDescent="0.25">
      <c r="B8043" t="s">
        <v>2709</v>
      </c>
      <c r="C8043">
        <v>84248990</v>
      </c>
      <c r="E8043">
        <v>67.599999999999994</v>
      </c>
      <c r="F8043">
        <v>8.8000000000000007</v>
      </c>
      <c r="G8043">
        <v>5</v>
      </c>
      <c r="H8043" t="s">
        <v>19447</v>
      </c>
      <c r="I8043" t="s">
        <v>19447</v>
      </c>
      <c r="J8043">
        <v>14</v>
      </c>
      <c r="L8043" t="s">
        <v>2709</v>
      </c>
      <c r="M8043">
        <v>84248990</v>
      </c>
      <c r="O8043" t="s">
        <v>20169</v>
      </c>
      <c r="P8043" t="s">
        <v>20127</v>
      </c>
      <c r="Q8043" t="s">
        <v>19909</v>
      </c>
      <c r="R8043" t="s">
        <v>19447</v>
      </c>
      <c r="S8043" t="s">
        <v>19447</v>
      </c>
      <c r="T8043" t="s">
        <v>19911</v>
      </c>
    </row>
    <row r="8044" spans="2:20" x14ac:dyDescent="0.25">
      <c r="B8044" t="s">
        <v>2709</v>
      </c>
      <c r="C8044">
        <v>84249010</v>
      </c>
      <c r="E8044">
        <v>71.78</v>
      </c>
      <c r="F8044">
        <v>18</v>
      </c>
      <c r="G8044">
        <v>5</v>
      </c>
      <c r="H8044" t="s">
        <v>19447</v>
      </c>
      <c r="I8044" t="s">
        <v>19447</v>
      </c>
      <c r="J8044">
        <v>14</v>
      </c>
      <c r="L8044" t="s">
        <v>2709</v>
      </c>
      <c r="M8044">
        <v>84249010</v>
      </c>
      <c r="O8044" t="s">
        <v>20056</v>
      </c>
      <c r="P8044" t="s">
        <v>19899</v>
      </c>
      <c r="Q8044" t="s">
        <v>19909</v>
      </c>
      <c r="R8044" t="s">
        <v>19447</v>
      </c>
      <c r="S8044" t="s">
        <v>19447</v>
      </c>
      <c r="T8044" t="s">
        <v>19911</v>
      </c>
    </row>
    <row r="8045" spans="2:20" x14ac:dyDescent="0.25">
      <c r="B8045" t="s">
        <v>2709</v>
      </c>
      <c r="C8045">
        <v>84249090</v>
      </c>
      <c r="E8045">
        <v>71.78</v>
      </c>
      <c r="F8045">
        <v>18</v>
      </c>
      <c r="G8045">
        <v>5</v>
      </c>
      <c r="H8045" t="s">
        <v>19447</v>
      </c>
      <c r="I8045" t="s">
        <v>19447</v>
      </c>
      <c r="J8045">
        <v>14</v>
      </c>
      <c r="L8045" t="s">
        <v>2709</v>
      </c>
      <c r="M8045">
        <v>84249090</v>
      </c>
      <c r="O8045" t="s">
        <v>20056</v>
      </c>
      <c r="P8045" t="s">
        <v>19899</v>
      </c>
      <c r="Q8045" t="s">
        <v>19909</v>
      </c>
      <c r="R8045" t="s">
        <v>19447</v>
      </c>
      <c r="S8045" t="s">
        <v>19447</v>
      </c>
      <c r="T8045" t="s">
        <v>19911</v>
      </c>
    </row>
    <row r="8046" spans="2:20" x14ac:dyDescent="0.25">
      <c r="B8046" t="s">
        <v>2709</v>
      </c>
      <c r="C8046">
        <v>84251100</v>
      </c>
      <c r="E8046">
        <v>51</v>
      </c>
      <c r="F8046">
        <v>8.8000000000000007</v>
      </c>
      <c r="G8046">
        <v>0</v>
      </c>
      <c r="H8046" t="s">
        <v>19447</v>
      </c>
      <c r="I8046" t="s">
        <v>19447</v>
      </c>
      <c r="J8046">
        <v>14</v>
      </c>
      <c r="L8046" t="s">
        <v>2709</v>
      </c>
      <c r="M8046">
        <v>84251100</v>
      </c>
      <c r="O8046" t="s">
        <v>20136</v>
      </c>
      <c r="P8046" t="s">
        <v>20127</v>
      </c>
      <c r="Q8046" t="s">
        <v>19900</v>
      </c>
      <c r="R8046" t="s">
        <v>19447</v>
      </c>
      <c r="S8046" t="s">
        <v>19447</v>
      </c>
      <c r="T8046" t="s">
        <v>19911</v>
      </c>
    </row>
    <row r="8047" spans="2:20" x14ac:dyDescent="0.25">
      <c r="B8047" t="s">
        <v>2709</v>
      </c>
      <c r="C8047">
        <v>84251910</v>
      </c>
      <c r="E8047">
        <v>51</v>
      </c>
      <c r="F8047">
        <v>8.8000000000000007</v>
      </c>
      <c r="G8047">
        <v>0</v>
      </c>
      <c r="H8047" t="s">
        <v>19447</v>
      </c>
      <c r="I8047" t="s">
        <v>19447</v>
      </c>
      <c r="J8047">
        <v>16</v>
      </c>
      <c r="L8047" t="s">
        <v>2709</v>
      </c>
      <c r="M8047">
        <v>84251910</v>
      </c>
      <c r="O8047" t="s">
        <v>20136</v>
      </c>
      <c r="P8047" t="s">
        <v>20127</v>
      </c>
      <c r="Q8047" t="s">
        <v>19900</v>
      </c>
      <c r="R8047" t="s">
        <v>19447</v>
      </c>
      <c r="S8047" t="s">
        <v>19447</v>
      </c>
      <c r="T8047" t="s">
        <v>19913</v>
      </c>
    </row>
    <row r="8048" spans="2:20" x14ac:dyDescent="0.25">
      <c r="B8048" t="s">
        <v>2709</v>
      </c>
      <c r="C8048">
        <v>84251990</v>
      </c>
      <c r="E8048">
        <v>51</v>
      </c>
      <c r="F8048">
        <v>8.8000000000000007</v>
      </c>
      <c r="G8048">
        <v>0</v>
      </c>
      <c r="H8048" t="s">
        <v>19447</v>
      </c>
      <c r="I8048" t="s">
        <v>19447</v>
      </c>
      <c r="J8048">
        <v>14</v>
      </c>
      <c r="L8048" t="s">
        <v>2709</v>
      </c>
      <c r="M8048">
        <v>84251990</v>
      </c>
      <c r="O8048" t="s">
        <v>20136</v>
      </c>
      <c r="P8048" t="s">
        <v>20127</v>
      </c>
      <c r="Q8048" t="s">
        <v>19900</v>
      </c>
      <c r="R8048" t="s">
        <v>19447</v>
      </c>
      <c r="S8048" t="s">
        <v>19447</v>
      </c>
      <c r="T8048" t="s">
        <v>19911</v>
      </c>
    </row>
    <row r="8049" spans="2:20" x14ac:dyDescent="0.25">
      <c r="B8049" t="s">
        <v>2709</v>
      </c>
      <c r="C8049">
        <v>84253110</v>
      </c>
      <c r="E8049">
        <v>51</v>
      </c>
      <c r="F8049">
        <v>8.8000000000000007</v>
      </c>
      <c r="G8049">
        <v>0</v>
      </c>
      <c r="H8049" t="s">
        <v>19447</v>
      </c>
      <c r="I8049" t="s">
        <v>19447</v>
      </c>
      <c r="J8049">
        <v>14</v>
      </c>
      <c r="L8049" t="s">
        <v>2709</v>
      </c>
      <c r="M8049">
        <v>84253110</v>
      </c>
      <c r="O8049" t="s">
        <v>20136</v>
      </c>
      <c r="P8049" t="s">
        <v>20127</v>
      </c>
      <c r="Q8049" t="s">
        <v>19900</v>
      </c>
      <c r="R8049" t="s">
        <v>19447</v>
      </c>
      <c r="S8049" t="s">
        <v>19447</v>
      </c>
      <c r="T8049" t="s">
        <v>19911</v>
      </c>
    </row>
    <row r="8050" spans="2:20" x14ac:dyDescent="0.25">
      <c r="B8050" t="s">
        <v>2709</v>
      </c>
      <c r="C8050">
        <v>84253190</v>
      </c>
      <c r="E8050">
        <v>51</v>
      </c>
      <c r="F8050">
        <v>8.8000000000000007</v>
      </c>
      <c r="G8050">
        <v>0</v>
      </c>
      <c r="H8050" t="s">
        <v>19447</v>
      </c>
      <c r="I8050" t="s">
        <v>19447</v>
      </c>
      <c r="J8050">
        <v>14</v>
      </c>
      <c r="L8050" t="s">
        <v>2709</v>
      </c>
      <c r="M8050">
        <v>84253190</v>
      </c>
      <c r="O8050" t="s">
        <v>20136</v>
      </c>
      <c r="P8050" t="s">
        <v>20127</v>
      </c>
      <c r="Q8050" t="s">
        <v>19900</v>
      </c>
      <c r="R8050" t="s">
        <v>19447</v>
      </c>
      <c r="S8050" t="s">
        <v>19447</v>
      </c>
      <c r="T8050" t="s">
        <v>19911</v>
      </c>
    </row>
    <row r="8051" spans="2:20" x14ac:dyDescent="0.25">
      <c r="B8051" t="s">
        <v>2709</v>
      </c>
      <c r="C8051">
        <v>84253910</v>
      </c>
      <c r="E8051">
        <v>51</v>
      </c>
      <c r="F8051">
        <v>8.8000000000000007</v>
      </c>
      <c r="G8051">
        <v>0</v>
      </c>
      <c r="H8051" t="s">
        <v>19447</v>
      </c>
      <c r="I8051" t="s">
        <v>19447</v>
      </c>
      <c r="J8051">
        <v>14</v>
      </c>
      <c r="L8051" t="s">
        <v>2709</v>
      </c>
      <c r="M8051">
        <v>84253910</v>
      </c>
      <c r="O8051" t="s">
        <v>20136</v>
      </c>
      <c r="P8051" t="s">
        <v>20127</v>
      </c>
      <c r="Q8051" t="s">
        <v>19900</v>
      </c>
      <c r="R8051" t="s">
        <v>19447</v>
      </c>
      <c r="S8051" t="s">
        <v>19447</v>
      </c>
      <c r="T8051" t="s">
        <v>19911</v>
      </c>
    </row>
    <row r="8052" spans="2:20" x14ac:dyDescent="0.25">
      <c r="B8052" t="s">
        <v>2709</v>
      </c>
      <c r="C8052">
        <v>84253990</v>
      </c>
      <c r="E8052">
        <v>51</v>
      </c>
      <c r="F8052">
        <v>8.8000000000000007</v>
      </c>
      <c r="G8052">
        <v>0</v>
      </c>
      <c r="H8052" t="s">
        <v>19447</v>
      </c>
      <c r="I8052" t="s">
        <v>19447</v>
      </c>
      <c r="J8052">
        <v>14</v>
      </c>
      <c r="L8052" t="s">
        <v>2709</v>
      </c>
      <c r="M8052">
        <v>84253990</v>
      </c>
      <c r="O8052" t="s">
        <v>20136</v>
      </c>
      <c r="P8052" t="s">
        <v>20127</v>
      </c>
      <c r="Q8052" t="s">
        <v>19900</v>
      </c>
      <c r="R8052" t="s">
        <v>19447</v>
      </c>
      <c r="S8052" t="s">
        <v>19447</v>
      </c>
      <c r="T8052" t="s">
        <v>19911</v>
      </c>
    </row>
    <row r="8053" spans="2:20" x14ac:dyDescent="0.25">
      <c r="B8053" t="s">
        <v>2709</v>
      </c>
      <c r="C8053">
        <v>84254100</v>
      </c>
      <c r="E8053">
        <v>51</v>
      </c>
      <c r="F8053">
        <v>18</v>
      </c>
      <c r="G8053">
        <v>0</v>
      </c>
      <c r="H8053" t="s">
        <v>19447</v>
      </c>
      <c r="I8053" t="s">
        <v>19447</v>
      </c>
      <c r="J8053">
        <v>14</v>
      </c>
      <c r="L8053" t="s">
        <v>2709</v>
      </c>
      <c r="M8053">
        <v>84254100</v>
      </c>
      <c r="O8053" t="s">
        <v>20136</v>
      </c>
      <c r="P8053" t="s">
        <v>19899</v>
      </c>
      <c r="Q8053" t="s">
        <v>19900</v>
      </c>
      <c r="R8053" t="s">
        <v>19447</v>
      </c>
      <c r="S8053" t="s">
        <v>19447</v>
      </c>
      <c r="T8053" t="s">
        <v>19911</v>
      </c>
    </row>
    <row r="8054" spans="2:20" x14ac:dyDescent="0.25">
      <c r="B8054" t="s">
        <v>2709</v>
      </c>
      <c r="C8054">
        <v>84254200</v>
      </c>
      <c r="E8054">
        <v>71.78</v>
      </c>
      <c r="F8054">
        <v>12</v>
      </c>
      <c r="G8054">
        <v>0</v>
      </c>
      <c r="H8054" t="s">
        <v>19447</v>
      </c>
      <c r="I8054" t="s">
        <v>19447</v>
      </c>
      <c r="J8054">
        <v>18</v>
      </c>
      <c r="L8054" t="s">
        <v>2709</v>
      </c>
      <c r="M8054">
        <v>84254200</v>
      </c>
      <c r="O8054" t="s">
        <v>20056</v>
      </c>
      <c r="P8054" t="s">
        <v>19903</v>
      </c>
      <c r="Q8054" t="s">
        <v>19900</v>
      </c>
      <c r="R8054" t="s">
        <v>19447</v>
      </c>
      <c r="S8054" t="s">
        <v>19447</v>
      </c>
      <c r="T8054" t="s">
        <v>19899</v>
      </c>
    </row>
    <row r="8055" spans="2:20" x14ac:dyDescent="0.25">
      <c r="B8055" t="s">
        <v>2709</v>
      </c>
      <c r="C8055">
        <v>84254910</v>
      </c>
      <c r="E8055">
        <v>71.78</v>
      </c>
      <c r="F8055">
        <v>18</v>
      </c>
      <c r="G8055">
        <v>5</v>
      </c>
      <c r="H8055" t="s">
        <v>19447</v>
      </c>
      <c r="I8055" t="s">
        <v>19447</v>
      </c>
      <c r="J8055">
        <v>16</v>
      </c>
      <c r="L8055" t="s">
        <v>2709</v>
      </c>
      <c r="M8055">
        <v>84254910</v>
      </c>
      <c r="O8055" t="s">
        <v>20056</v>
      </c>
      <c r="P8055" t="s">
        <v>19899</v>
      </c>
      <c r="Q8055" t="s">
        <v>19909</v>
      </c>
      <c r="R8055" t="s">
        <v>19447</v>
      </c>
      <c r="S8055" t="s">
        <v>19447</v>
      </c>
      <c r="T8055" t="s">
        <v>19913</v>
      </c>
    </row>
    <row r="8056" spans="2:20" x14ac:dyDescent="0.25">
      <c r="B8056" t="s">
        <v>2709</v>
      </c>
      <c r="C8056">
        <v>84254990</v>
      </c>
      <c r="E8056">
        <v>51</v>
      </c>
      <c r="F8056">
        <v>18</v>
      </c>
      <c r="G8056">
        <v>0</v>
      </c>
      <c r="H8056" t="s">
        <v>19447</v>
      </c>
      <c r="I8056" t="s">
        <v>19447</v>
      </c>
      <c r="J8056">
        <v>14</v>
      </c>
      <c r="L8056" t="s">
        <v>2709</v>
      </c>
      <c r="M8056">
        <v>84254990</v>
      </c>
      <c r="O8056" t="s">
        <v>20136</v>
      </c>
      <c r="P8056" t="s">
        <v>19899</v>
      </c>
      <c r="Q8056" t="s">
        <v>19900</v>
      </c>
      <c r="R8056" t="s">
        <v>19447</v>
      </c>
      <c r="S8056" t="s">
        <v>19447</v>
      </c>
      <c r="T8056" t="s">
        <v>19911</v>
      </c>
    </row>
    <row r="8057" spans="2:20" x14ac:dyDescent="0.25">
      <c r="B8057" t="s">
        <v>2709</v>
      </c>
      <c r="C8057">
        <v>84261100</v>
      </c>
      <c r="E8057">
        <v>71.78</v>
      </c>
      <c r="F8057">
        <v>8.8000000000000007</v>
      </c>
      <c r="G8057">
        <v>0</v>
      </c>
      <c r="H8057" t="s">
        <v>19447</v>
      </c>
      <c r="I8057" t="s">
        <v>19447</v>
      </c>
      <c r="J8057">
        <v>14</v>
      </c>
      <c r="L8057" t="s">
        <v>2709</v>
      </c>
      <c r="M8057">
        <v>84261100</v>
      </c>
      <c r="O8057" t="s">
        <v>20056</v>
      </c>
      <c r="P8057" t="s">
        <v>20127</v>
      </c>
      <c r="Q8057" t="s">
        <v>19900</v>
      </c>
      <c r="R8057" t="s">
        <v>19447</v>
      </c>
      <c r="S8057" t="s">
        <v>19447</v>
      </c>
      <c r="T8057" t="s">
        <v>19911</v>
      </c>
    </row>
    <row r="8058" spans="2:20" x14ac:dyDescent="0.25">
      <c r="B8058" t="s">
        <v>2709</v>
      </c>
      <c r="C8058">
        <v>84261200</v>
      </c>
      <c r="E8058">
        <v>71.78</v>
      </c>
      <c r="F8058">
        <v>12</v>
      </c>
      <c r="G8058">
        <v>0</v>
      </c>
      <c r="H8058" t="s">
        <v>19447</v>
      </c>
      <c r="I8058" t="s">
        <v>19447</v>
      </c>
      <c r="J8058">
        <v>14</v>
      </c>
      <c r="L8058" t="s">
        <v>2709</v>
      </c>
      <c r="M8058">
        <v>84261200</v>
      </c>
      <c r="O8058" t="s">
        <v>20056</v>
      </c>
      <c r="P8058" t="s">
        <v>19903</v>
      </c>
      <c r="Q8058" t="s">
        <v>19900</v>
      </c>
      <c r="R8058" t="s">
        <v>19447</v>
      </c>
      <c r="S8058" t="s">
        <v>19447</v>
      </c>
      <c r="T8058" t="s">
        <v>19911</v>
      </c>
    </row>
    <row r="8059" spans="2:20" x14ac:dyDescent="0.25">
      <c r="B8059" t="s">
        <v>2709</v>
      </c>
      <c r="C8059">
        <v>84261900</v>
      </c>
      <c r="E8059">
        <v>71.78</v>
      </c>
      <c r="F8059">
        <v>12</v>
      </c>
      <c r="G8059">
        <v>0</v>
      </c>
      <c r="H8059" t="s">
        <v>19447</v>
      </c>
      <c r="I8059" t="s">
        <v>19447</v>
      </c>
      <c r="J8059">
        <v>14</v>
      </c>
      <c r="L8059" t="s">
        <v>2709</v>
      </c>
      <c r="M8059">
        <v>84261900</v>
      </c>
      <c r="O8059" t="s">
        <v>20056</v>
      </c>
      <c r="P8059" t="s">
        <v>19903</v>
      </c>
      <c r="Q8059" t="s">
        <v>19900</v>
      </c>
      <c r="R8059" t="s">
        <v>19447</v>
      </c>
      <c r="S8059" t="s">
        <v>19447</v>
      </c>
      <c r="T8059" t="s">
        <v>19911</v>
      </c>
    </row>
    <row r="8060" spans="2:20" x14ac:dyDescent="0.25">
      <c r="B8060" t="s">
        <v>2709</v>
      </c>
      <c r="C8060">
        <v>84262000</v>
      </c>
      <c r="E8060">
        <v>71.78</v>
      </c>
      <c r="F8060">
        <v>8.8000000000000007</v>
      </c>
      <c r="G8060">
        <v>0</v>
      </c>
      <c r="H8060" t="s">
        <v>19447</v>
      </c>
      <c r="I8060" t="s">
        <v>19447</v>
      </c>
      <c r="J8060">
        <v>14</v>
      </c>
      <c r="L8060" t="s">
        <v>2709</v>
      </c>
      <c r="M8060">
        <v>84262000</v>
      </c>
      <c r="O8060" t="s">
        <v>20056</v>
      </c>
      <c r="P8060" t="s">
        <v>20127</v>
      </c>
      <c r="Q8060" t="s">
        <v>19900</v>
      </c>
      <c r="R8060" t="s">
        <v>19447</v>
      </c>
      <c r="S8060" t="s">
        <v>19447</v>
      </c>
      <c r="T8060" t="s">
        <v>19911</v>
      </c>
    </row>
    <row r="8061" spans="2:20" x14ac:dyDescent="0.25">
      <c r="B8061" t="s">
        <v>2709</v>
      </c>
      <c r="C8061">
        <v>84263000</v>
      </c>
      <c r="E8061">
        <v>71.78</v>
      </c>
      <c r="F8061">
        <v>8.8000000000000007</v>
      </c>
      <c r="G8061">
        <v>0</v>
      </c>
      <c r="H8061" t="s">
        <v>19447</v>
      </c>
      <c r="I8061" t="s">
        <v>19447</v>
      </c>
      <c r="J8061">
        <v>14</v>
      </c>
      <c r="L8061" t="s">
        <v>2709</v>
      </c>
      <c r="M8061">
        <v>84263000</v>
      </c>
      <c r="O8061" t="s">
        <v>20056</v>
      </c>
      <c r="P8061" t="s">
        <v>20127</v>
      </c>
      <c r="Q8061" t="s">
        <v>19900</v>
      </c>
      <c r="R8061" t="s">
        <v>19447</v>
      </c>
      <c r="S8061" t="s">
        <v>19447</v>
      </c>
      <c r="T8061" t="s">
        <v>19911</v>
      </c>
    </row>
    <row r="8062" spans="2:20" x14ac:dyDescent="0.25">
      <c r="B8062" t="s">
        <v>2709</v>
      </c>
      <c r="C8062">
        <v>84264110</v>
      </c>
      <c r="E8062">
        <v>71.78</v>
      </c>
      <c r="F8062">
        <v>12</v>
      </c>
      <c r="G8062">
        <v>0</v>
      </c>
      <c r="H8062" t="s">
        <v>19447</v>
      </c>
      <c r="I8062" t="s">
        <v>19447</v>
      </c>
      <c r="J8062">
        <v>0</v>
      </c>
      <c r="L8062" t="s">
        <v>2709</v>
      </c>
      <c r="M8062">
        <v>84264110</v>
      </c>
      <c r="O8062" t="s">
        <v>20056</v>
      </c>
      <c r="P8062" t="s">
        <v>19903</v>
      </c>
      <c r="Q8062" t="s">
        <v>19900</v>
      </c>
      <c r="R8062" t="s">
        <v>19447</v>
      </c>
      <c r="S8062" t="s">
        <v>19447</v>
      </c>
      <c r="T8062" t="s">
        <v>19900</v>
      </c>
    </row>
    <row r="8063" spans="2:20" x14ac:dyDescent="0.25">
      <c r="B8063" t="s">
        <v>2709</v>
      </c>
      <c r="C8063">
        <v>84264190</v>
      </c>
      <c r="E8063">
        <v>71.78</v>
      </c>
      <c r="F8063">
        <v>12</v>
      </c>
      <c r="G8063">
        <v>0</v>
      </c>
      <c r="H8063" t="s">
        <v>19447</v>
      </c>
      <c r="I8063" t="s">
        <v>19447</v>
      </c>
      <c r="J8063">
        <v>14</v>
      </c>
      <c r="L8063" t="s">
        <v>2709</v>
      </c>
      <c r="M8063">
        <v>84264190</v>
      </c>
      <c r="O8063" t="s">
        <v>20056</v>
      </c>
      <c r="P8063" t="s">
        <v>19903</v>
      </c>
      <c r="Q8063" t="s">
        <v>19900</v>
      </c>
      <c r="R8063" t="s">
        <v>19447</v>
      </c>
      <c r="S8063" t="s">
        <v>19447</v>
      </c>
      <c r="T8063" t="s">
        <v>19911</v>
      </c>
    </row>
    <row r="8064" spans="2:20" x14ac:dyDescent="0.25">
      <c r="B8064" t="s">
        <v>2709</v>
      </c>
      <c r="C8064">
        <v>84264910</v>
      </c>
      <c r="E8064">
        <v>71.78</v>
      </c>
      <c r="F8064">
        <v>12</v>
      </c>
      <c r="G8064">
        <v>0</v>
      </c>
      <c r="H8064" t="s">
        <v>19447</v>
      </c>
      <c r="I8064" t="s">
        <v>19447</v>
      </c>
      <c r="J8064">
        <v>0</v>
      </c>
      <c r="L8064" t="s">
        <v>2709</v>
      </c>
      <c r="M8064">
        <v>84264910</v>
      </c>
      <c r="O8064" t="s">
        <v>20056</v>
      </c>
      <c r="P8064" t="s">
        <v>19903</v>
      </c>
      <c r="Q8064" t="s">
        <v>19900</v>
      </c>
      <c r="R8064" t="s">
        <v>19447</v>
      </c>
      <c r="S8064" t="s">
        <v>19447</v>
      </c>
      <c r="T8064" t="s">
        <v>19900</v>
      </c>
    </row>
    <row r="8065" spans="2:20" x14ac:dyDescent="0.25">
      <c r="B8065" t="s">
        <v>2709</v>
      </c>
      <c r="C8065">
        <v>84264990</v>
      </c>
      <c r="E8065">
        <v>71.78</v>
      </c>
      <c r="F8065">
        <v>12</v>
      </c>
      <c r="G8065">
        <v>0</v>
      </c>
      <c r="H8065" t="s">
        <v>19447</v>
      </c>
      <c r="I8065" t="s">
        <v>19447</v>
      </c>
      <c r="J8065">
        <v>14</v>
      </c>
      <c r="L8065" t="s">
        <v>2709</v>
      </c>
      <c r="M8065">
        <v>84264990</v>
      </c>
      <c r="O8065" t="s">
        <v>20056</v>
      </c>
      <c r="P8065" t="s">
        <v>19903</v>
      </c>
      <c r="Q8065" t="s">
        <v>19900</v>
      </c>
      <c r="R8065" t="s">
        <v>19447</v>
      </c>
      <c r="S8065" t="s">
        <v>19447</v>
      </c>
      <c r="T8065" t="s">
        <v>19911</v>
      </c>
    </row>
    <row r="8066" spans="2:20" x14ac:dyDescent="0.25">
      <c r="B8066" t="s">
        <v>2709</v>
      </c>
      <c r="C8066">
        <v>84269100</v>
      </c>
      <c r="E8066">
        <v>71.78</v>
      </c>
      <c r="F8066">
        <v>12</v>
      </c>
      <c r="G8066">
        <v>0</v>
      </c>
      <c r="H8066" t="s">
        <v>19447</v>
      </c>
      <c r="I8066" t="s">
        <v>19447</v>
      </c>
      <c r="J8066">
        <v>14</v>
      </c>
      <c r="L8066" t="s">
        <v>2709</v>
      </c>
      <c r="M8066">
        <v>84269100</v>
      </c>
      <c r="O8066" t="s">
        <v>20056</v>
      </c>
      <c r="P8066" t="s">
        <v>19903</v>
      </c>
      <c r="Q8066" t="s">
        <v>19900</v>
      </c>
      <c r="R8066" t="s">
        <v>19447</v>
      </c>
      <c r="S8066" t="s">
        <v>19447</v>
      </c>
      <c r="T8066" t="s">
        <v>19911</v>
      </c>
    </row>
    <row r="8067" spans="2:20" x14ac:dyDescent="0.25">
      <c r="B8067" t="s">
        <v>2709</v>
      </c>
      <c r="C8067">
        <v>84269900</v>
      </c>
      <c r="E8067">
        <v>71.78</v>
      </c>
      <c r="F8067">
        <v>8.8000000000000007</v>
      </c>
      <c r="G8067">
        <v>0</v>
      </c>
      <c r="H8067" t="s">
        <v>19447</v>
      </c>
      <c r="I8067" t="s">
        <v>19447</v>
      </c>
      <c r="J8067">
        <v>14</v>
      </c>
      <c r="L8067" t="s">
        <v>2709</v>
      </c>
      <c r="M8067">
        <v>84269900</v>
      </c>
      <c r="O8067" t="s">
        <v>20056</v>
      </c>
      <c r="P8067" t="s">
        <v>20127</v>
      </c>
      <c r="Q8067" t="s">
        <v>19900</v>
      </c>
      <c r="R8067" t="s">
        <v>19447</v>
      </c>
      <c r="S8067" t="s">
        <v>19447</v>
      </c>
      <c r="T8067" t="s">
        <v>19911</v>
      </c>
    </row>
    <row r="8068" spans="2:20" x14ac:dyDescent="0.25">
      <c r="B8068" t="s">
        <v>2709</v>
      </c>
      <c r="C8068">
        <v>84271011</v>
      </c>
      <c r="E8068">
        <v>71.78</v>
      </c>
      <c r="F8068">
        <v>12</v>
      </c>
      <c r="G8068">
        <v>0</v>
      </c>
      <c r="H8068" t="s">
        <v>19447</v>
      </c>
      <c r="I8068" t="s">
        <v>19447</v>
      </c>
      <c r="J8068">
        <v>14</v>
      </c>
      <c r="L8068" t="s">
        <v>2709</v>
      </c>
      <c r="M8068">
        <v>84271011</v>
      </c>
      <c r="O8068" t="s">
        <v>20056</v>
      </c>
      <c r="P8068" t="s">
        <v>19903</v>
      </c>
      <c r="Q8068" t="s">
        <v>19900</v>
      </c>
      <c r="R8068" t="s">
        <v>19447</v>
      </c>
      <c r="S8068" t="s">
        <v>19447</v>
      </c>
      <c r="T8068" t="s">
        <v>19911</v>
      </c>
    </row>
    <row r="8069" spans="2:20" x14ac:dyDescent="0.25">
      <c r="B8069" t="s">
        <v>2709</v>
      </c>
      <c r="C8069">
        <v>84271019</v>
      </c>
      <c r="E8069">
        <v>71.78</v>
      </c>
      <c r="F8069">
        <v>12</v>
      </c>
      <c r="G8069">
        <v>0</v>
      </c>
      <c r="H8069" t="s">
        <v>19447</v>
      </c>
      <c r="I8069" t="s">
        <v>19447</v>
      </c>
      <c r="J8069">
        <v>14</v>
      </c>
      <c r="L8069" t="s">
        <v>2709</v>
      </c>
      <c r="M8069">
        <v>84271019</v>
      </c>
      <c r="O8069" t="s">
        <v>20056</v>
      </c>
      <c r="P8069" t="s">
        <v>19903</v>
      </c>
      <c r="Q8069" t="s">
        <v>19900</v>
      </c>
      <c r="R8069" t="s">
        <v>19447</v>
      </c>
      <c r="S8069" t="s">
        <v>19447</v>
      </c>
      <c r="T8069" t="s">
        <v>19911</v>
      </c>
    </row>
    <row r="8070" spans="2:20" x14ac:dyDescent="0.25">
      <c r="B8070" t="s">
        <v>2709</v>
      </c>
      <c r="C8070">
        <v>84271090</v>
      </c>
      <c r="E8070">
        <v>71.78</v>
      </c>
      <c r="F8070">
        <v>12</v>
      </c>
      <c r="G8070">
        <v>0</v>
      </c>
      <c r="H8070" t="s">
        <v>19447</v>
      </c>
      <c r="I8070" t="s">
        <v>19447</v>
      </c>
      <c r="J8070">
        <v>14</v>
      </c>
      <c r="L8070" t="s">
        <v>2709</v>
      </c>
      <c r="M8070">
        <v>84271090</v>
      </c>
      <c r="O8070" t="s">
        <v>20056</v>
      </c>
      <c r="P8070" t="s">
        <v>19903</v>
      </c>
      <c r="Q8070" t="s">
        <v>19900</v>
      </c>
      <c r="R8070" t="s">
        <v>19447</v>
      </c>
      <c r="S8070" t="s">
        <v>19447</v>
      </c>
      <c r="T8070" t="s">
        <v>19911</v>
      </c>
    </row>
    <row r="8071" spans="2:20" x14ac:dyDescent="0.25">
      <c r="B8071" t="s">
        <v>2709</v>
      </c>
      <c r="C8071">
        <v>84272010</v>
      </c>
      <c r="E8071">
        <v>71.78</v>
      </c>
      <c r="F8071">
        <v>12</v>
      </c>
      <c r="G8071">
        <v>0</v>
      </c>
      <c r="H8071" t="s">
        <v>19447</v>
      </c>
      <c r="I8071" t="s">
        <v>19447</v>
      </c>
      <c r="J8071">
        <v>14</v>
      </c>
      <c r="L8071" t="s">
        <v>2709</v>
      </c>
      <c r="M8071">
        <v>84272010</v>
      </c>
      <c r="O8071" t="s">
        <v>20056</v>
      </c>
      <c r="P8071" t="s">
        <v>19903</v>
      </c>
      <c r="Q8071" t="s">
        <v>19900</v>
      </c>
      <c r="R8071" t="s">
        <v>19447</v>
      </c>
      <c r="S8071" t="s">
        <v>19447</v>
      </c>
      <c r="T8071" t="s">
        <v>19911</v>
      </c>
    </row>
    <row r="8072" spans="2:20" x14ac:dyDescent="0.25">
      <c r="B8072" t="s">
        <v>2709</v>
      </c>
      <c r="C8072">
        <v>84272090</v>
      </c>
      <c r="E8072">
        <v>71.78</v>
      </c>
      <c r="F8072">
        <v>12</v>
      </c>
      <c r="G8072">
        <v>0</v>
      </c>
      <c r="H8072" t="s">
        <v>19447</v>
      </c>
      <c r="I8072" t="s">
        <v>19447</v>
      </c>
      <c r="J8072">
        <v>14</v>
      </c>
      <c r="L8072" t="s">
        <v>2709</v>
      </c>
      <c r="M8072">
        <v>84272090</v>
      </c>
      <c r="O8072" t="s">
        <v>20056</v>
      </c>
      <c r="P8072" t="s">
        <v>19903</v>
      </c>
      <c r="Q8072" t="s">
        <v>19900</v>
      </c>
      <c r="R8072" t="s">
        <v>19447</v>
      </c>
      <c r="S8072" t="s">
        <v>19447</v>
      </c>
      <c r="T8072" t="s">
        <v>19911</v>
      </c>
    </row>
    <row r="8073" spans="2:20" x14ac:dyDescent="0.25">
      <c r="B8073" t="s">
        <v>2709</v>
      </c>
      <c r="C8073">
        <v>84279000</v>
      </c>
      <c r="E8073">
        <v>71.78</v>
      </c>
      <c r="F8073">
        <v>12</v>
      </c>
      <c r="G8073">
        <v>0</v>
      </c>
      <c r="H8073" t="s">
        <v>19447</v>
      </c>
      <c r="I8073" t="s">
        <v>19447</v>
      </c>
      <c r="J8073">
        <v>14</v>
      </c>
      <c r="L8073" t="s">
        <v>2709</v>
      </c>
      <c r="M8073">
        <v>84279000</v>
      </c>
      <c r="O8073" t="s">
        <v>20056</v>
      </c>
      <c r="P8073" t="s">
        <v>19903</v>
      </c>
      <c r="Q8073" t="s">
        <v>19900</v>
      </c>
      <c r="R8073" t="s">
        <v>19447</v>
      </c>
      <c r="S8073" t="s">
        <v>19447</v>
      </c>
      <c r="T8073" t="s">
        <v>19911</v>
      </c>
    </row>
    <row r="8074" spans="2:20" x14ac:dyDescent="0.25">
      <c r="B8074" t="s">
        <v>2709</v>
      </c>
      <c r="C8074">
        <v>84281000</v>
      </c>
      <c r="E8074">
        <v>71.78</v>
      </c>
      <c r="F8074">
        <v>12</v>
      </c>
      <c r="G8074">
        <v>0</v>
      </c>
      <c r="H8074" t="s">
        <v>19447</v>
      </c>
      <c r="I8074" t="s">
        <v>19447</v>
      </c>
      <c r="J8074">
        <v>14</v>
      </c>
      <c r="L8074" t="s">
        <v>2709</v>
      </c>
      <c r="M8074">
        <v>84281000</v>
      </c>
      <c r="O8074" t="s">
        <v>20056</v>
      </c>
      <c r="P8074" t="s">
        <v>19903</v>
      </c>
      <c r="Q8074" t="s">
        <v>19900</v>
      </c>
      <c r="R8074" t="s">
        <v>19447</v>
      </c>
      <c r="S8074" t="s">
        <v>19447</v>
      </c>
      <c r="T8074" t="s">
        <v>19911</v>
      </c>
    </row>
    <row r="8075" spans="2:20" x14ac:dyDescent="0.25">
      <c r="B8075" t="s">
        <v>2709</v>
      </c>
      <c r="C8075">
        <v>84282010</v>
      </c>
      <c r="E8075">
        <v>71.78</v>
      </c>
      <c r="F8075">
        <v>8.8000000000000007</v>
      </c>
      <c r="G8075">
        <v>0</v>
      </c>
      <c r="H8075" t="s">
        <v>19447</v>
      </c>
      <c r="I8075" t="s">
        <v>19447</v>
      </c>
      <c r="J8075">
        <v>14</v>
      </c>
      <c r="L8075" t="s">
        <v>2709</v>
      </c>
      <c r="M8075">
        <v>84282010</v>
      </c>
      <c r="O8075" t="s">
        <v>20056</v>
      </c>
      <c r="P8075" t="s">
        <v>20127</v>
      </c>
      <c r="Q8075" t="s">
        <v>19900</v>
      </c>
      <c r="R8075" t="s">
        <v>19447</v>
      </c>
      <c r="S8075" t="s">
        <v>19447</v>
      </c>
      <c r="T8075" t="s">
        <v>19911</v>
      </c>
    </row>
    <row r="8076" spans="2:20" x14ac:dyDescent="0.25">
      <c r="B8076" t="s">
        <v>2709</v>
      </c>
      <c r="C8076">
        <v>84282090</v>
      </c>
      <c r="E8076">
        <v>71.78</v>
      </c>
      <c r="F8076">
        <v>8.8000000000000007</v>
      </c>
      <c r="G8076">
        <v>0</v>
      </c>
      <c r="H8076" t="s">
        <v>19447</v>
      </c>
      <c r="I8076" t="s">
        <v>19447</v>
      </c>
      <c r="J8076">
        <v>14</v>
      </c>
      <c r="L8076" t="s">
        <v>2709</v>
      </c>
      <c r="M8076">
        <v>84282090</v>
      </c>
      <c r="O8076" t="s">
        <v>20056</v>
      </c>
      <c r="P8076" t="s">
        <v>20127</v>
      </c>
      <c r="Q8076" t="s">
        <v>19900</v>
      </c>
      <c r="R8076" t="s">
        <v>19447</v>
      </c>
      <c r="S8076" t="s">
        <v>19447</v>
      </c>
      <c r="T8076" t="s">
        <v>19911</v>
      </c>
    </row>
    <row r="8077" spans="2:20" x14ac:dyDescent="0.25">
      <c r="B8077" t="s">
        <v>2709</v>
      </c>
      <c r="C8077">
        <v>84283100</v>
      </c>
      <c r="E8077">
        <v>71.78</v>
      </c>
      <c r="F8077">
        <v>8.8000000000000007</v>
      </c>
      <c r="G8077">
        <v>0</v>
      </c>
      <c r="H8077" t="s">
        <v>19447</v>
      </c>
      <c r="I8077" t="s">
        <v>19447</v>
      </c>
      <c r="J8077">
        <v>14</v>
      </c>
      <c r="L8077" t="s">
        <v>2709</v>
      </c>
      <c r="M8077">
        <v>84283100</v>
      </c>
      <c r="O8077" t="s">
        <v>20056</v>
      </c>
      <c r="P8077" t="s">
        <v>20127</v>
      </c>
      <c r="Q8077" t="s">
        <v>19900</v>
      </c>
      <c r="R8077" t="s">
        <v>19447</v>
      </c>
      <c r="S8077" t="s">
        <v>19447</v>
      </c>
      <c r="T8077" t="s">
        <v>19911</v>
      </c>
    </row>
    <row r="8078" spans="2:20" x14ac:dyDescent="0.25">
      <c r="B8078" t="s">
        <v>2709</v>
      </c>
      <c r="C8078">
        <v>84283200</v>
      </c>
      <c r="E8078">
        <v>71.78</v>
      </c>
      <c r="F8078">
        <v>8.8000000000000007</v>
      </c>
      <c r="G8078">
        <v>0</v>
      </c>
      <c r="H8078" t="s">
        <v>19447</v>
      </c>
      <c r="I8078" t="s">
        <v>19447</v>
      </c>
      <c r="J8078">
        <v>14</v>
      </c>
      <c r="L8078" t="s">
        <v>2709</v>
      </c>
      <c r="M8078">
        <v>84283200</v>
      </c>
      <c r="O8078" t="s">
        <v>20056</v>
      </c>
      <c r="P8078" t="s">
        <v>20127</v>
      </c>
      <c r="Q8078" t="s">
        <v>19900</v>
      </c>
      <c r="R8078" t="s">
        <v>19447</v>
      </c>
      <c r="S8078" t="s">
        <v>19447</v>
      </c>
      <c r="T8078" t="s">
        <v>19911</v>
      </c>
    </row>
    <row r="8079" spans="2:20" x14ac:dyDescent="0.25">
      <c r="B8079" t="s">
        <v>2709</v>
      </c>
      <c r="C8079">
        <v>84283300</v>
      </c>
      <c r="E8079">
        <v>71.78</v>
      </c>
      <c r="F8079">
        <v>8.8000000000000007</v>
      </c>
      <c r="G8079">
        <v>0</v>
      </c>
      <c r="H8079" t="s">
        <v>19447</v>
      </c>
      <c r="I8079" t="s">
        <v>19447</v>
      </c>
      <c r="J8079">
        <v>14</v>
      </c>
      <c r="L8079" t="s">
        <v>2709</v>
      </c>
      <c r="M8079">
        <v>84283300</v>
      </c>
      <c r="O8079" t="s">
        <v>20056</v>
      </c>
      <c r="P8079" t="s">
        <v>20127</v>
      </c>
      <c r="Q8079" t="s">
        <v>19900</v>
      </c>
      <c r="R8079" t="s">
        <v>19447</v>
      </c>
      <c r="S8079" t="s">
        <v>19447</v>
      </c>
      <c r="T8079" t="s">
        <v>19911</v>
      </c>
    </row>
    <row r="8080" spans="2:20" x14ac:dyDescent="0.25">
      <c r="B8080" t="s">
        <v>2709</v>
      </c>
      <c r="C8080">
        <v>84283910</v>
      </c>
      <c r="E8080">
        <v>71.78</v>
      </c>
      <c r="F8080">
        <v>12</v>
      </c>
      <c r="G8080">
        <v>0</v>
      </c>
      <c r="H8080" t="s">
        <v>19447</v>
      </c>
      <c r="I8080" t="s">
        <v>19447</v>
      </c>
      <c r="J8080">
        <v>14</v>
      </c>
      <c r="L8080" t="s">
        <v>2709</v>
      </c>
      <c r="M8080">
        <v>84283910</v>
      </c>
      <c r="O8080" t="s">
        <v>20056</v>
      </c>
      <c r="P8080" t="s">
        <v>19903</v>
      </c>
      <c r="Q8080" t="s">
        <v>19900</v>
      </c>
      <c r="R8080" t="s">
        <v>19447</v>
      </c>
      <c r="S8080" t="s">
        <v>19447</v>
      </c>
      <c r="T8080" t="s">
        <v>19911</v>
      </c>
    </row>
    <row r="8081" spans="2:20" x14ac:dyDescent="0.25">
      <c r="B8081" t="s">
        <v>2709</v>
      </c>
      <c r="C8081">
        <v>84283920</v>
      </c>
      <c r="E8081">
        <v>71.78</v>
      </c>
      <c r="F8081">
        <v>8.8000000000000007</v>
      </c>
      <c r="G8081">
        <v>0</v>
      </c>
      <c r="H8081" t="s">
        <v>19447</v>
      </c>
      <c r="I8081" t="s">
        <v>19447</v>
      </c>
      <c r="J8081">
        <v>14</v>
      </c>
      <c r="L8081" t="s">
        <v>2709</v>
      </c>
      <c r="M8081">
        <v>84283920</v>
      </c>
      <c r="O8081" t="s">
        <v>20056</v>
      </c>
      <c r="P8081" t="s">
        <v>20127</v>
      </c>
      <c r="Q8081" t="s">
        <v>19900</v>
      </c>
      <c r="R8081" t="s">
        <v>19447</v>
      </c>
      <c r="S8081" t="s">
        <v>19447</v>
      </c>
      <c r="T8081" t="s">
        <v>19911</v>
      </c>
    </row>
    <row r="8082" spans="2:20" x14ac:dyDescent="0.25">
      <c r="B8082" t="s">
        <v>2709</v>
      </c>
      <c r="C8082">
        <v>84283930</v>
      </c>
      <c r="E8082">
        <v>71.78</v>
      </c>
      <c r="F8082">
        <v>8.8000000000000007</v>
      </c>
      <c r="G8082">
        <v>0</v>
      </c>
      <c r="H8082" t="s">
        <v>19447</v>
      </c>
      <c r="I8082" t="s">
        <v>19447</v>
      </c>
      <c r="J8082">
        <v>0</v>
      </c>
      <c r="L8082" t="s">
        <v>2709</v>
      </c>
      <c r="M8082">
        <v>84283930</v>
      </c>
      <c r="O8082" t="s">
        <v>20056</v>
      </c>
      <c r="P8082" t="s">
        <v>20127</v>
      </c>
      <c r="Q8082" t="s">
        <v>19900</v>
      </c>
      <c r="R8082" t="s">
        <v>19447</v>
      </c>
      <c r="S8082" t="s">
        <v>19447</v>
      </c>
      <c r="T8082" t="s">
        <v>19900</v>
      </c>
    </row>
    <row r="8083" spans="2:20" x14ac:dyDescent="0.25">
      <c r="B8083" t="s">
        <v>2709</v>
      </c>
      <c r="C8083">
        <v>84283990</v>
      </c>
      <c r="E8083">
        <v>71.78</v>
      </c>
      <c r="F8083">
        <v>8.8000000000000007</v>
      </c>
      <c r="G8083">
        <v>0</v>
      </c>
      <c r="H8083" t="s">
        <v>19447</v>
      </c>
      <c r="I8083" t="s">
        <v>19447</v>
      </c>
      <c r="J8083">
        <v>14</v>
      </c>
      <c r="L8083" t="s">
        <v>2709</v>
      </c>
      <c r="M8083">
        <v>84283990</v>
      </c>
      <c r="O8083" t="s">
        <v>20056</v>
      </c>
      <c r="P8083" t="s">
        <v>20127</v>
      </c>
      <c r="Q8083" t="s">
        <v>19900</v>
      </c>
      <c r="R8083" t="s">
        <v>19447</v>
      </c>
      <c r="S8083" t="s">
        <v>19447</v>
      </c>
      <c r="T8083" t="s">
        <v>19911</v>
      </c>
    </row>
    <row r="8084" spans="2:20" x14ac:dyDescent="0.25">
      <c r="B8084" t="s">
        <v>2709</v>
      </c>
      <c r="C8084">
        <v>84284000</v>
      </c>
      <c r="E8084">
        <v>71.78</v>
      </c>
      <c r="F8084">
        <v>12</v>
      </c>
      <c r="G8084">
        <v>10</v>
      </c>
      <c r="H8084" t="s">
        <v>19447</v>
      </c>
      <c r="I8084" t="s">
        <v>19447</v>
      </c>
      <c r="J8084">
        <v>14</v>
      </c>
      <c r="L8084" t="s">
        <v>2709</v>
      </c>
      <c r="M8084">
        <v>84284000</v>
      </c>
      <c r="O8084" t="s">
        <v>20056</v>
      </c>
      <c r="P8084" t="s">
        <v>19903</v>
      </c>
      <c r="Q8084" t="s">
        <v>19904</v>
      </c>
      <c r="R8084" t="s">
        <v>19447</v>
      </c>
      <c r="S8084" t="s">
        <v>19447</v>
      </c>
      <c r="T8084" t="s">
        <v>19911</v>
      </c>
    </row>
    <row r="8085" spans="2:20" x14ac:dyDescent="0.25">
      <c r="B8085" t="s">
        <v>2709</v>
      </c>
      <c r="C8085">
        <v>84286000</v>
      </c>
      <c r="E8085">
        <v>71.78</v>
      </c>
      <c r="F8085">
        <v>18</v>
      </c>
      <c r="G8085">
        <v>0</v>
      </c>
      <c r="H8085" t="s">
        <v>19447</v>
      </c>
      <c r="I8085" t="s">
        <v>19447</v>
      </c>
      <c r="J8085">
        <v>14</v>
      </c>
      <c r="L8085" t="s">
        <v>2709</v>
      </c>
      <c r="M8085">
        <v>84286000</v>
      </c>
      <c r="O8085" t="s">
        <v>20056</v>
      </c>
      <c r="P8085" t="s">
        <v>19899</v>
      </c>
      <c r="Q8085" t="s">
        <v>19900</v>
      </c>
      <c r="R8085" t="s">
        <v>19447</v>
      </c>
      <c r="S8085" t="s">
        <v>19447</v>
      </c>
      <c r="T8085" t="s">
        <v>19911</v>
      </c>
    </row>
    <row r="8086" spans="2:20" x14ac:dyDescent="0.25">
      <c r="B8086" t="s">
        <v>2709</v>
      </c>
      <c r="C8086">
        <v>84286000</v>
      </c>
      <c r="D8086">
        <v>1</v>
      </c>
      <c r="E8086" t="s">
        <v>19447</v>
      </c>
      <c r="F8086">
        <v>18</v>
      </c>
      <c r="G8086">
        <v>10</v>
      </c>
      <c r="H8086">
        <v>7.6</v>
      </c>
      <c r="I8086">
        <v>1.65</v>
      </c>
      <c r="J8086">
        <v>14</v>
      </c>
      <c r="L8086" t="s">
        <v>2709</v>
      </c>
      <c r="M8086">
        <v>84286000</v>
      </c>
      <c r="N8086">
        <v>1</v>
      </c>
      <c r="O8086" t="s">
        <v>19447</v>
      </c>
      <c r="P8086" t="s">
        <v>19899</v>
      </c>
      <c r="Q8086" t="s">
        <v>19904</v>
      </c>
      <c r="R8086" t="s">
        <v>19905</v>
      </c>
      <c r="S8086" t="s">
        <v>19906</v>
      </c>
      <c r="T8086" t="s">
        <v>19911</v>
      </c>
    </row>
    <row r="8087" spans="2:20" x14ac:dyDescent="0.25">
      <c r="B8087" t="s">
        <v>2709</v>
      </c>
      <c r="C8087">
        <v>84289010</v>
      </c>
      <c r="E8087">
        <v>71.78</v>
      </c>
      <c r="F8087">
        <v>12</v>
      </c>
      <c r="G8087">
        <v>0</v>
      </c>
      <c r="H8087" t="s">
        <v>19447</v>
      </c>
      <c r="I8087" t="s">
        <v>19447</v>
      </c>
      <c r="J8087">
        <v>14</v>
      </c>
      <c r="L8087" t="s">
        <v>2709</v>
      </c>
      <c r="M8087">
        <v>84289010</v>
      </c>
      <c r="O8087" t="s">
        <v>20056</v>
      </c>
      <c r="P8087" t="s">
        <v>19903</v>
      </c>
      <c r="Q8087" t="s">
        <v>19900</v>
      </c>
      <c r="R8087" t="s">
        <v>19447</v>
      </c>
      <c r="S8087" t="s">
        <v>19447</v>
      </c>
      <c r="T8087" t="s">
        <v>19911</v>
      </c>
    </row>
    <row r="8088" spans="2:20" x14ac:dyDescent="0.25">
      <c r="B8088" t="s">
        <v>2709</v>
      </c>
      <c r="C8088">
        <v>84289020</v>
      </c>
      <c r="E8088">
        <v>71.78</v>
      </c>
      <c r="F8088">
        <v>12</v>
      </c>
      <c r="G8088">
        <v>0</v>
      </c>
      <c r="H8088" t="s">
        <v>19447</v>
      </c>
      <c r="I8088" t="s">
        <v>19447</v>
      </c>
      <c r="J8088">
        <v>0</v>
      </c>
      <c r="L8088" t="s">
        <v>2709</v>
      </c>
      <c r="M8088">
        <v>84289020</v>
      </c>
      <c r="O8088" t="s">
        <v>20056</v>
      </c>
      <c r="P8088" t="s">
        <v>19903</v>
      </c>
      <c r="Q8088" t="s">
        <v>19900</v>
      </c>
      <c r="R8088" t="s">
        <v>19447</v>
      </c>
      <c r="S8088" t="s">
        <v>19447</v>
      </c>
      <c r="T8088" t="s">
        <v>19900</v>
      </c>
    </row>
    <row r="8089" spans="2:20" x14ac:dyDescent="0.25">
      <c r="B8089" t="s">
        <v>2709</v>
      </c>
      <c r="C8089">
        <v>84289030</v>
      </c>
      <c r="E8089">
        <v>71.78</v>
      </c>
      <c r="F8089">
        <v>12</v>
      </c>
      <c r="G8089">
        <v>0</v>
      </c>
      <c r="H8089" t="s">
        <v>19447</v>
      </c>
      <c r="I8089" t="s">
        <v>19447</v>
      </c>
      <c r="J8089">
        <v>0</v>
      </c>
      <c r="L8089" t="s">
        <v>2709</v>
      </c>
      <c r="M8089">
        <v>84289030</v>
      </c>
      <c r="O8089" t="s">
        <v>20056</v>
      </c>
      <c r="P8089" t="s">
        <v>19903</v>
      </c>
      <c r="Q8089" t="s">
        <v>19900</v>
      </c>
      <c r="R8089" t="s">
        <v>19447</v>
      </c>
      <c r="S8089" t="s">
        <v>19447</v>
      </c>
      <c r="T8089" t="s">
        <v>19900</v>
      </c>
    </row>
    <row r="8090" spans="2:20" x14ac:dyDescent="0.25">
      <c r="B8090" t="s">
        <v>2709</v>
      </c>
      <c r="C8090">
        <v>84289090</v>
      </c>
      <c r="E8090">
        <v>71.78</v>
      </c>
      <c r="F8090">
        <v>12</v>
      </c>
      <c r="G8090">
        <v>0</v>
      </c>
      <c r="H8090" t="s">
        <v>19447</v>
      </c>
      <c r="I8090" t="s">
        <v>19447</v>
      </c>
      <c r="J8090">
        <v>14</v>
      </c>
      <c r="L8090" t="s">
        <v>2709</v>
      </c>
      <c r="M8090">
        <v>84289090</v>
      </c>
      <c r="O8090" t="s">
        <v>20056</v>
      </c>
      <c r="P8090" t="s">
        <v>19903</v>
      </c>
      <c r="Q8090" t="s">
        <v>19900</v>
      </c>
      <c r="R8090" t="s">
        <v>19447</v>
      </c>
      <c r="S8090" t="s">
        <v>19447</v>
      </c>
      <c r="T8090" t="s">
        <v>19911</v>
      </c>
    </row>
    <row r="8091" spans="2:20" x14ac:dyDescent="0.25">
      <c r="B8091" t="s">
        <v>2709</v>
      </c>
      <c r="C8091">
        <v>84291110</v>
      </c>
      <c r="E8091">
        <v>71.78</v>
      </c>
      <c r="F8091">
        <v>12</v>
      </c>
      <c r="G8091">
        <v>0</v>
      </c>
      <c r="H8091">
        <v>9.6</v>
      </c>
      <c r="I8091">
        <v>2</v>
      </c>
      <c r="J8091">
        <v>0</v>
      </c>
      <c r="L8091" t="s">
        <v>2709</v>
      </c>
      <c r="M8091">
        <v>84291110</v>
      </c>
      <c r="O8091" t="s">
        <v>20056</v>
      </c>
      <c r="P8091" t="s">
        <v>19903</v>
      </c>
      <c r="Q8091" t="s">
        <v>19900</v>
      </c>
      <c r="R8091" t="s">
        <v>20129</v>
      </c>
      <c r="S8091" t="s">
        <v>19901</v>
      </c>
      <c r="T8091" t="s">
        <v>19900</v>
      </c>
    </row>
    <row r="8092" spans="2:20" x14ac:dyDescent="0.25">
      <c r="B8092" t="s">
        <v>2709</v>
      </c>
      <c r="C8092">
        <v>84291190</v>
      </c>
      <c r="E8092">
        <v>71.78</v>
      </c>
      <c r="F8092">
        <v>12</v>
      </c>
      <c r="G8092">
        <v>0</v>
      </c>
      <c r="H8092">
        <v>9.6</v>
      </c>
      <c r="I8092">
        <v>2</v>
      </c>
      <c r="J8092">
        <v>10</v>
      </c>
      <c r="L8092" t="s">
        <v>2709</v>
      </c>
      <c r="M8092">
        <v>84291190</v>
      </c>
      <c r="O8092" t="s">
        <v>20056</v>
      </c>
      <c r="P8092" t="s">
        <v>19903</v>
      </c>
      <c r="Q8092" t="s">
        <v>19900</v>
      </c>
      <c r="R8092" t="s">
        <v>20129</v>
      </c>
      <c r="S8092" t="s">
        <v>19901</v>
      </c>
      <c r="T8092" t="s">
        <v>19904</v>
      </c>
    </row>
    <row r="8093" spans="2:20" x14ac:dyDescent="0.25">
      <c r="B8093" t="s">
        <v>2709</v>
      </c>
      <c r="C8093">
        <v>84291910</v>
      </c>
      <c r="E8093">
        <v>71.78</v>
      </c>
      <c r="F8093">
        <v>12</v>
      </c>
      <c r="G8093">
        <v>0</v>
      </c>
      <c r="H8093">
        <v>9.6</v>
      </c>
      <c r="I8093">
        <v>2</v>
      </c>
      <c r="J8093">
        <v>0</v>
      </c>
      <c r="L8093" t="s">
        <v>2709</v>
      </c>
      <c r="M8093">
        <v>84291910</v>
      </c>
      <c r="O8093" t="s">
        <v>20056</v>
      </c>
      <c r="P8093" t="s">
        <v>19903</v>
      </c>
      <c r="Q8093" t="s">
        <v>19900</v>
      </c>
      <c r="R8093" t="s">
        <v>20129</v>
      </c>
      <c r="S8093" t="s">
        <v>19901</v>
      </c>
      <c r="T8093" t="s">
        <v>19900</v>
      </c>
    </row>
    <row r="8094" spans="2:20" x14ac:dyDescent="0.25">
      <c r="B8094" t="s">
        <v>2709</v>
      </c>
      <c r="C8094">
        <v>84291990</v>
      </c>
      <c r="E8094">
        <v>71.78</v>
      </c>
      <c r="F8094">
        <v>12</v>
      </c>
      <c r="G8094">
        <v>0</v>
      </c>
      <c r="H8094">
        <v>9.6</v>
      </c>
      <c r="I8094">
        <v>2</v>
      </c>
      <c r="J8094">
        <v>10</v>
      </c>
      <c r="L8094" t="s">
        <v>2709</v>
      </c>
      <c r="M8094">
        <v>84291990</v>
      </c>
      <c r="O8094" t="s">
        <v>20056</v>
      </c>
      <c r="P8094" t="s">
        <v>19903</v>
      </c>
      <c r="Q8094" t="s">
        <v>19900</v>
      </c>
      <c r="R8094" t="s">
        <v>20129</v>
      </c>
      <c r="S8094" t="s">
        <v>19901</v>
      </c>
      <c r="T8094" t="s">
        <v>19904</v>
      </c>
    </row>
    <row r="8095" spans="2:20" x14ac:dyDescent="0.25">
      <c r="B8095" t="s">
        <v>2709</v>
      </c>
      <c r="C8095">
        <v>84292010</v>
      </c>
      <c r="E8095">
        <v>71.78</v>
      </c>
      <c r="F8095">
        <v>12</v>
      </c>
      <c r="G8095">
        <v>0</v>
      </c>
      <c r="H8095">
        <v>9.6</v>
      </c>
      <c r="I8095">
        <v>2</v>
      </c>
      <c r="J8095">
        <v>35</v>
      </c>
      <c r="L8095" t="s">
        <v>2709</v>
      </c>
      <c r="M8095">
        <v>84292010</v>
      </c>
      <c r="O8095" t="s">
        <v>20056</v>
      </c>
      <c r="P8095" t="s">
        <v>19903</v>
      </c>
      <c r="Q8095" t="s">
        <v>19900</v>
      </c>
      <c r="R8095" t="s">
        <v>20129</v>
      </c>
      <c r="S8095" t="s">
        <v>19901</v>
      </c>
      <c r="T8095" t="s">
        <v>19919</v>
      </c>
    </row>
    <row r="8096" spans="2:20" x14ac:dyDescent="0.25">
      <c r="B8096" t="s">
        <v>2709</v>
      </c>
      <c r="C8096">
        <v>84292090</v>
      </c>
      <c r="E8096">
        <v>71.78</v>
      </c>
      <c r="F8096">
        <v>12</v>
      </c>
      <c r="G8096">
        <v>0</v>
      </c>
      <c r="H8096">
        <v>9.6</v>
      </c>
      <c r="I8096">
        <v>2</v>
      </c>
      <c r="J8096">
        <v>35</v>
      </c>
      <c r="L8096" t="s">
        <v>2709</v>
      </c>
      <c r="M8096">
        <v>84292090</v>
      </c>
      <c r="O8096" t="s">
        <v>20056</v>
      </c>
      <c r="P8096" t="s">
        <v>19903</v>
      </c>
      <c r="Q8096" t="s">
        <v>19900</v>
      </c>
      <c r="R8096" t="s">
        <v>20129</v>
      </c>
      <c r="S8096" t="s">
        <v>19901</v>
      </c>
      <c r="T8096" t="s">
        <v>19919</v>
      </c>
    </row>
    <row r="8097" spans="2:20" x14ac:dyDescent="0.25">
      <c r="B8097" t="s">
        <v>2709</v>
      </c>
      <c r="C8097">
        <v>84293000</v>
      </c>
      <c r="E8097">
        <v>71.78</v>
      </c>
      <c r="F8097">
        <v>12</v>
      </c>
      <c r="G8097">
        <v>0</v>
      </c>
      <c r="H8097">
        <v>9.6</v>
      </c>
      <c r="I8097">
        <v>2</v>
      </c>
      <c r="J8097">
        <v>10</v>
      </c>
      <c r="L8097" t="s">
        <v>2709</v>
      </c>
      <c r="M8097">
        <v>84293000</v>
      </c>
      <c r="O8097" t="s">
        <v>20056</v>
      </c>
      <c r="P8097" t="s">
        <v>19903</v>
      </c>
      <c r="Q8097" t="s">
        <v>19900</v>
      </c>
      <c r="R8097" t="s">
        <v>20129</v>
      </c>
      <c r="S8097" t="s">
        <v>19901</v>
      </c>
      <c r="T8097" t="s">
        <v>19904</v>
      </c>
    </row>
    <row r="8098" spans="2:20" x14ac:dyDescent="0.25">
      <c r="B8098" t="s">
        <v>2709</v>
      </c>
      <c r="C8098">
        <v>84294000</v>
      </c>
      <c r="E8098">
        <v>71.78</v>
      </c>
      <c r="F8098">
        <v>12</v>
      </c>
      <c r="G8098">
        <v>0</v>
      </c>
      <c r="H8098">
        <v>9.6</v>
      </c>
      <c r="I8098">
        <v>2</v>
      </c>
      <c r="J8098">
        <v>14</v>
      </c>
      <c r="L8098" t="s">
        <v>2709</v>
      </c>
      <c r="M8098">
        <v>84294000</v>
      </c>
      <c r="O8098" t="s">
        <v>20056</v>
      </c>
      <c r="P8098" t="s">
        <v>19903</v>
      </c>
      <c r="Q8098" t="s">
        <v>19900</v>
      </c>
      <c r="R8098" t="s">
        <v>20129</v>
      </c>
      <c r="S8098" t="s">
        <v>19901</v>
      </c>
      <c r="T8098" t="s">
        <v>19911</v>
      </c>
    </row>
    <row r="8099" spans="2:20" x14ac:dyDescent="0.25">
      <c r="B8099" t="s">
        <v>2709</v>
      </c>
      <c r="C8099">
        <v>84295111</v>
      </c>
      <c r="E8099">
        <v>71.78</v>
      </c>
      <c r="F8099">
        <v>12</v>
      </c>
      <c r="G8099">
        <v>0</v>
      </c>
      <c r="H8099">
        <v>9.6</v>
      </c>
      <c r="I8099">
        <v>2</v>
      </c>
      <c r="J8099">
        <v>0</v>
      </c>
      <c r="L8099" t="s">
        <v>2709</v>
      </c>
      <c r="M8099">
        <v>84295111</v>
      </c>
      <c r="O8099" t="s">
        <v>20056</v>
      </c>
      <c r="P8099" t="s">
        <v>19903</v>
      </c>
      <c r="Q8099" t="s">
        <v>19900</v>
      </c>
      <c r="R8099" t="s">
        <v>20129</v>
      </c>
      <c r="S8099" t="s">
        <v>19901</v>
      </c>
      <c r="T8099" t="s">
        <v>19900</v>
      </c>
    </row>
    <row r="8100" spans="2:20" x14ac:dyDescent="0.25">
      <c r="B8100" t="s">
        <v>2709</v>
      </c>
      <c r="C8100">
        <v>84295119</v>
      </c>
      <c r="E8100">
        <v>71.78</v>
      </c>
      <c r="F8100">
        <v>12</v>
      </c>
      <c r="G8100">
        <v>0</v>
      </c>
      <c r="H8100">
        <v>9.6</v>
      </c>
      <c r="I8100">
        <v>2</v>
      </c>
      <c r="J8100">
        <v>14</v>
      </c>
      <c r="L8100" t="s">
        <v>2709</v>
      </c>
      <c r="M8100">
        <v>84295119</v>
      </c>
      <c r="O8100" t="s">
        <v>20056</v>
      </c>
      <c r="P8100" t="s">
        <v>19903</v>
      </c>
      <c r="Q8100" t="s">
        <v>19900</v>
      </c>
      <c r="R8100" t="s">
        <v>20129</v>
      </c>
      <c r="S8100" t="s">
        <v>19901</v>
      </c>
      <c r="T8100" t="s">
        <v>19911</v>
      </c>
    </row>
    <row r="8101" spans="2:20" x14ac:dyDescent="0.25">
      <c r="B8101" t="s">
        <v>2709</v>
      </c>
      <c r="C8101">
        <v>84295121</v>
      </c>
      <c r="E8101">
        <v>71.78</v>
      </c>
      <c r="F8101">
        <v>12</v>
      </c>
      <c r="G8101">
        <v>0</v>
      </c>
      <c r="H8101">
        <v>9.6</v>
      </c>
      <c r="I8101">
        <v>2</v>
      </c>
      <c r="J8101">
        <v>0</v>
      </c>
      <c r="L8101" t="s">
        <v>2709</v>
      </c>
      <c r="M8101">
        <v>84295121</v>
      </c>
      <c r="O8101" t="s">
        <v>20056</v>
      </c>
      <c r="P8101" t="s">
        <v>19903</v>
      </c>
      <c r="Q8101" t="s">
        <v>19900</v>
      </c>
      <c r="R8101" t="s">
        <v>20129</v>
      </c>
      <c r="S8101" t="s">
        <v>19901</v>
      </c>
      <c r="T8101" t="s">
        <v>19900</v>
      </c>
    </row>
    <row r="8102" spans="2:20" x14ac:dyDescent="0.25">
      <c r="B8102" t="s">
        <v>2709</v>
      </c>
      <c r="C8102">
        <v>84295129</v>
      </c>
      <c r="E8102">
        <v>71.78</v>
      </c>
      <c r="F8102">
        <v>12</v>
      </c>
      <c r="G8102">
        <v>0</v>
      </c>
      <c r="H8102">
        <v>9.6</v>
      </c>
      <c r="I8102">
        <v>2</v>
      </c>
      <c r="J8102">
        <v>14</v>
      </c>
      <c r="L8102" t="s">
        <v>2709</v>
      </c>
      <c r="M8102">
        <v>84295129</v>
      </c>
      <c r="O8102" t="s">
        <v>20056</v>
      </c>
      <c r="P8102" t="s">
        <v>19903</v>
      </c>
      <c r="Q8102" t="s">
        <v>19900</v>
      </c>
      <c r="R8102" t="s">
        <v>20129</v>
      </c>
      <c r="S8102" t="s">
        <v>19901</v>
      </c>
      <c r="T8102" t="s">
        <v>19911</v>
      </c>
    </row>
    <row r="8103" spans="2:20" x14ac:dyDescent="0.25">
      <c r="B8103" t="s">
        <v>2709</v>
      </c>
      <c r="C8103">
        <v>84295191</v>
      </c>
      <c r="E8103">
        <v>71.78</v>
      </c>
      <c r="F8103">
        <v>12</v>
      </c>
      <c r="G8103">
        <v>0</v>
      </c>
      <c r="H8103">
        <v>9.6</v>
      </c>
      <c r="I8103">
        <v>2</v>
      </c>
      <c r="J8103">
        <v>0</v>
      </c>
      <c r="L8103" t="s">
        <v>2709</v>
      </c>
      <c r="M8103">
        <v>84295191</v>
      </c>
      <c r="O8103" t="s">
        <v>20056</v>
      </c>
      <c r="P8103" t="s">
        <v>19903</v>
      </c>
      <c r="Q8103" t="s">
        <v>19900</v>
      </c>
      <c r="R8103" t="s">
        <v>20129</v>
      </c>
      <c r="S8103" t="s">
        <v>19901</v>
      </c>
      <c r="T8103" t="s">
        <v>19900</v>
      </c>
    </row>
    <row r="8104" spans="2:20" x14ac:dyDescent="0.25">
      <c r="B8104" t="s">
        <v>2709</v>
      </c>
      <c r="C8104">
        <v>84295192</v>
      </c>
      <c r="E8104">
        <v>71.78</v>
      </c>
      <c r="F8104">
        <v>12</v>
      </c>
      <c r="G8104">
        <v>0</v>
      </c>
      <c r="H8104">
        <v>9.6</v>
      </c>
      <c r="I8104">
        <v>2</v>
      </c>
      <c r="J8104">
        <v>0</v>
      </c>
      <c r="L8104" t="s">
        <v>2709</v>
      </c>
      <c r="M8104">
        <v>84295192</v>
      </c>
      <c r="O8104" t="s">
        <v>20056</v>
      </c>
      <c r="P8104" t="s">
        <v>19903</v>
      </c>
      <c r="Q8104" t="s">
        <v>19900</v>
      </c>
      <c r="R8104" t="s">
        <v>20129</v>
      </c>
      <c r="S8104" t="s">
        <v>19901</v>
      </c>
      <c r="T8104" t="s">
        <v>19900</v>
      </c>
    </row>
    <row r="8105" spans="2:20" x14ac:dyDescent="0.25">
      <c r="B8105" t="s">
        <v>2709</v>
      </c>
      <c r="C8105">
        <v>84295199</v>
      </c>
      <c r="E8105">
        <v>71.78</v>
      </c>
      <c r="F8105">
        <v>12</v>
      </c>
      <c r="G8105">
        <v>0</v>
      </c>
      <c r="H8105">
        <v>9.6</v>
      </c>
      <c r="I8105">
        <v>2</v>
      </c>
      <c r="J8105">
        <v>14</v>
      </c>
      <c r="L8105" t="s">
        <v>2709</v>
      </c>
      <c r="M8105">
        <v>84295199</v>
      </c>
      <c r="O8105" t="s">
        <v>20056</v>
      </c>
      <c r="P8105" t="s">
        <v>19903</v>
      </c>
      <c r="Q8105" t="s">
        <v>19900</v>
      </c>
      <c r="R8105" t="s">
        <v>20129</v>
      </c>
      <c r="S8105" t="s">
        <v>19901</v>
      </c>
      <c r="T8105" t="s">
        <v>19911</v>
      </c>
    </row>
    <row r="8106" spans="2:20" x14ac:dyDescent="0.25">
      <c r="B8106" t="s">
        <v>2709</v>
      </c>
      <c r="C8106">
        <v>84295211</v>
      </c>
      <c r="E8106">
        <v>71.78</v>
      </c>
      <c r="F8106">
        <v>12</v>
      </c>
      <c r="G8106">
        <v>0</v>
      </c>
      <c r="H8106">
        <v>9.6</v>
      </c>
      <c r="I8106">
        <v>2</v>
      </c>
      <c r="J8106">
        <v>0</v>
      </c>
      <c r="L8106" t="s">
        <v>2709</v>
      </c>
      <c r="M8106">
        <v>84295211</v>
      </c>
      <c r="O8106" t="s">
        <v>20056</v>
      </c>
      <c r="P8106" t="s">
        <v>19903</v>
      </c>
      <c r="Q8106" t="s">
        <v>19900</v>
      </c>
      <c r="R8106" t="s">
        <v>20129</v>
      </c>
      <c r="S8106" t="s">
        <v>19901</v>
      </c>
      <c r="T8106" t="s">
        <v>19900</v>
      </c>
    </row>
    <row r="8107" spans="2:20" x14ac:dyDescent="0.25">
      <c r="B8107" t="s">
        <v>2709</v>
      </c>
      <c r="C8107">
        <v>84295212</v>
      </c>
      <c r="E8107">
        <v>71.78</v>
      </c>
      <c r="F8107">
        <v>12</v>
      </c>
      <c r="G8107">
        <v>0</v>
      </c>
      <c r="H8107">
        <v>9.6</v>
      </c>
      <c r="I8107">
        <v>2</v>
      </c>
      <c r="J8107">
        <v>0</v>
      </c>
      <c r="L8107" t="s">
        <v>2709</v>
      </c>
      <c r="M8107">
        <v>84295212</v>
      </c>
      <c r="O8107" t="s">
        <v>20056</v>
      </c>
      <c r="P8107" t="s">
        <v>19903</v>
      </c>
      <c r="Q8107" t="s">
        <v>19900</v>
      </c>
      <c r="R8107" t="s">
        <v>20129</v>
      </c>
      <c r="S8107" t="s">
        <v>19901</v>
      </c>
      <c r="T8107" t="s">
        <v>19900</v>
      </c>
    </row>
    <row r="8108" spans="2:20" x14ac:dyDescent="0.25">
      <c r="B8108" t="s">
        <v>2709</v>
      </c>
      <c r="C8108">
        <v>84295219</v>
      </c>
      <c r="E8108">
        <v>71.78</v>
      </c>
      <c r="F8108">
        <v>12</v>
      </c>
      <c r="G8108">
        <v>0</v>
      </c>
      <c r="H8108">
        <v>9.6</v>
      </c>
      <c r="I8108">
        <v>2</v>
      </c>
      <c r="J8108">
        <v>14</v>
      </c>
      <c r="L8108" t="s">
        <v>2709</v>
      </c>
      <c r="M8108">
        <v>84295219</v>
      </c>
      <c r="O8108" t="s">
        <v>20056</v>
      </c>
      <c r="P8108" t="s">
        <v>19903</v>
      </c>
      <c r="Q8108" t="s">
        <v>19900</v>
      </c>
      <c r="R8108" t="s">
        <v>20129</v>
      </c>
      <c r="S8108" t="s">
        <v>19901</v>
      </c>
      <c r="T8108" t="s">
        <v>19911</v>
      </c>
    </row>
    <row r="8109" spans="2:20" x14ac:dyDescent="0.25">
      <c r="B8109" t="s">
        <v>2709</v>
      </c>
      <c r="C8109">
        <v>84295220</v>
      </c>
      <c r="E8109">
        <v>71.78</v>
      </c>
      <c r="F8109">
        <v>12</v>
      </c>
      <c r="G8109">
        <v>0</v>
      </c>
      <c r="H8109">
        <v>9.6</v>
      </c>
      <c r="I8109">
        <v>2</v>
      </c>
      <c r="J8109">
        <v>0</v>
      </c>
      <c r="L8109" t="s">
        <v>2709</v>
      </c>
      <c r="M8109">
        <v>84295220</v>
      </c>
      <c r="O8109" t="s">
        <v>20056</v>
      </c>
      <c r="P8109" t="s">
        <v>19903</v>
      </c>
      <c r="Q8109" t="s">
        <v>19900</v>
      </c>
      <c r="R8109" t="s">
        <v>20129</v>
      </c>
      <c r="S8109" t="s">
        <v>19901</v>
      </c>
      <c r="T8109" t="s">
        <v>19900</v>
      </c>
    </row>
    <row r="8110" spans="2:20" x14ac:dyDescent="0.25">
      <c r="B8110" t="s">
        <v>2709</v>
      </c>
      <c r="C8110">
        <v>84295290</v>
      </c>
      <c r="E8110">
        <v>71.78</v>
      </c>
      <c r="F8110">
        <v>12</v>
      </c>
      <c r="G8110">
        <v>0</v>
      </c>
      <c r="H8110">
        <v>9.6</v>
      </c>
      <c r="I8110">
        <v>2</v>
      </c>
      <c r="J8110">
        <v>14</v>
      </c>
      <c r="L8110" t="s">
        <v>2709</v>
      </c>
      <c r="M8110">
        <v>84295290</v>
      </c>
      <c r="O8110" t="s">
        <v>20056</v>
      </c>
      <c r="P8110" t="s">
        <v>19903</v>
      </c>
      <c r="Q8110" t="s">
        <v>19900</v>
      </c>
      <c r="R8110" t="s">
        <v>20129</v>
      </c>
      <c r="S8110" t="s">
        <v>19901</v>
      </c>
      <c r="T8110" t="s">
        <v>19911</v>
      </c>
    </row>
    <row r="8111" spans="2:20" x14ac:dyDescent="0.25">
      <c r="B8111" t="s">
        <v>2709</v>
      </c>
      <c r="C8111">
        <v>84295900</v>
      </c>
      <c r="E8111">
        <v>0</v>
      </c>
      <c r="F8111">
        <v>12</v>
      </c>
      <c r="G8111">
        <v>0</v>
      </c>
      <c r="H8111">
        <v>9.6</v>
      </c>
      <c r="I8111">
        <v>2</v>
      </c>
      <c r="J8111">
        <v>35</v>
      </c>
      <c r="L8111" t="s">
        <v>2709</v>
      </c>
      <c r="M8111">
        <v>84295900</v>
      </c>
      <c r="O8111" t="s">
        <v>19900</v>
      </c>
      <c r="P8111" t="s">
        <v>19903</v>
      </c>
      <c r="Q8111" t="s">
        <v>19900</v>
      </c>
      <c r="R8111" t="s">
        <v>20129</v>
      </c>
      <c r="S8111" t="s">
        <v>19901</v>
      </c>
      <c r="T8111" t="s">
        <v>19919</v>
      </c>
    </row>
    <row r="8112" spans="2:20" x14ac:dyDescent="0.25">
      <c r="B8112" t="s">
        <v>2709</v>
      </c>
      <c r="C8112">
        <v>84301000</v>
      </c>
      <c r="E8112">
        <v>71.78</v>
      </c>
      <c r="F8112">
        <v>12</v>
      </c>
      <c r="G8112">
        <v>0</v>
      </c>
      <c r="H8112" t="s">
        <v>19447</v>
      </c>
      <c r="I8112" t="s">
        <v>19447</v>
      </c>
      <c r="J8112">
        <v>14</v>
      </c>
      <c r="L8112" t="s">
        <v>2709</v>
      </c>
      <c r="M8112">
        <v>84301000</v>
      </c>
      <c r="O8112" t="s">
        <v>20056</v>
      </c>
      <c r="P8112" t="s">
        <v>19903</v>
      </c>
      <c r="Q8112" t="s">
        <v>19900</v>
      </c>
      <c r="R8112" t="s">
        <v>19447</v>
      </c>
      <c r="S8112" t="s">
        <v>19447</v>
      </c>
      <c r="T8112" t="s">
        <v>19911</v>
      </c>
    </row>
    <row r="8113" spans="2:20" x14ac:dyDescent="0.25">
      <c r="B8113" t="s">
        <v>2709</v>
      </c>
      <c r="C8113">
        <v>84302000</v>
      </c>
      <c r="E8113">
        <v>71.78</v>
      </c>
      <c r="F8113">
        <v>18</v>
      </c>
      <c r="G8113">
        <v>5</v>
      </c>
      <c r="H8113" t="s">
        <v>19447</v>
      </c>
      <c r="I8113" t="s">
        <v>19447</v>
      </c>
      <c r="J8113">
        <v>0</v>
      </c>
      <c r="L8113" t="s">
        <v>2709</v>
      </c>
      <c r="M8113">
        <v>84302000</v>
      </c>
      <c r="O8113" t="s">
        <v>20056</v>
      </c>
      <c r="P8113" t="s">
        <v>19899</v>
      </c>
      <c r="Q8113" t="s">
        <v>19909</v>
      </c>
      <c r="R8113" t="s">
        <v>19447</v>
      </c>
      <c r="S8113" t="s">
        <v>19447</v>
      </c>
      <c r="T8113" t="s">
        <v>19900</v>
      </c>
    </row>
    <row r="8114" spans="2:20" x14ac:dyDescent="0.25">
      <c r="B8114" t="s">
        <v>2709</v>
      </c>
      <c r="C8114">
        <v>84303110</v>
      </c>
      <c r="E8114">
        <v>71.78</v>
      </c>
      <c r="F8114">
        <v>12</v>
      </c>
      <c r="G8114">
        <v>0</v>
      </c>
      <c r="H8114" t="s">
        <v>19447</v>
      </c>
      <c r="I8114" t="s">
        <v>19447</v>
      </c>
      <c r="J8114">
        <v>0</v>
      </c>
      <c r="L8114" t="s">
        <v>2709</v>
      </c>
      <c r="M8114">
        <v>84303110</v>
      </c>
      <c r="O8114" t="s">
        <v>20056</v>
      </c>
      <c r="P8114" t="s">
        <v>19903</v>
      </c>
      <c r="Q8114" t="s">
        <v>19900</v>
      </c>
      <c r="R8114" t="s">
        <v>19447</v>
      </c>
      <c r="S8114" t="s">
        <v>19447</v>
      </c>
      <c r="T8114" t="s">
        <v>19900</v>
      </c>
    </row>
    <row r="8115" spans="2:20" x14ac:dyDescent="0.25">
      <c r="B8115" t="s">
        <v>2709</v>
      </c>
      <c r="C8115">
        <v>84303190</v>
      </c>
      <c r="E8115">
        <v>71.78</v>
      </c>
      <c r="F8115">
        <v>12</v>
      </c>
      <c r="G8115">
        <v>0</v>
      </c>
      <c r="H8115" t="s">
        <v>19447</v>
      </c>
      <c r="I8115" t="s">
        <v>19447</v>
      </c>
      <c r="J8115">
        <v>10</v>
      </c>
      <c r="L8115" t="s">
        <v>2709</v>
      </c>
      <c r="M8115">
        <v>84303190</v>
      </c>
      <c r="O8115" t="s">
        <v>20056</v>
      </c>
      <c r="P8115" t="s">
        <v>19903</v>
      </c>
      <c r="Q8115" t="s">
        <v>19900</v>
      </c>
      <c r="R8115" t="s">
        <v>19447</v>
      </c>
      <c r="S8115" t="s">
        <v>19447</v>
      </c>
      <c r="T8115" t="s">
        <v>19904</v>
      </c>
    </row>
    <row r="8116" spans="2:20" x14ac:dyDescent="0.25">
      <c r="B8116" t="s">
        <v>2709</v>
      </c>
      <c r="C8116">
        <v>84303910</v>
      </c>
      <c r="E8116">
        <v>71.78</v>
      </c>
      <c r="F8116">
        <v>12</v>
      </c>
      <c r="G8116">
        <v>0</v>
      </c>
      <c r="H8116" t="s">
        <v>19447</v>
      </c>
      <c r="I8116" t="s">
        <v>19447</v>
      </c>
      <c r="J8116">
        <v>0</v>
      </c>
      <c r="L8116" t="s">
        <v>2709</v>
      </c>
      <c r="M8116">
        <v>84303910</v>
      </c>
      <c r="O8116" t="s">
        <v>20056</v>
      </c>
      <c r="P8116" t="s">
        <v>19903</v>
      </c>
      <c r="Q8116" t="s">
        <v>19900</v>
      </c>
      <c r="R8116" t="s">
        <v>19447</v>
      </c>
      <c r="S8116" t="s">
        <v>19447</v>
      </c>
      <c r="T8116" t="s">
        <v>19900</v>
      </c>
    </row>
    <row r="8117" spans="2:20" x14ac:dyDescent="0.25">
      <c r="B8117" t="s">
        <v>2709</v>
      </c>
      <c r="C8117">
        <v>84303990</v>
      </c>
      <c r="E8117">
        <v>71.78</v>
      </c>
      <c r="F8117">
        <v>12</v>
      </c>
      <c r="G8117">
        <v>0</v>
      </c>
      <c r="H8117" t="s">
        <v>19447</v>
      </c>
      <c r="I8117" t="s">
        <v>19447</v>
      </c>
      <c r="J8117">
        <v>10</v>
      </c>
      <c r="L8117" t="s">
        <v>2709</v>
      </c>
      <c r="M8117">
        <v>84303990</v>
      </c>
      <c r="O8117" t="s">
        <v>20056</v>
      </c>
      <c r="P8117" t="s">
        <v>19903</v>
      </c>
      <c r="Q8117" t="s">
        <v>19900</v>
      </c>
      <c r="R8117" t="s">
        <v>19447</v>
      </c>
      <c r="S8117" t="s">
        <v>19447</v>
      </c>
      <c r="T8117" t="s">
        <v>19904</v>
      </c>
    </row>
    <row r="8118" spans="2:20" x14ac:dyDescent="0.25">
      <c r="B8118" t="s">
        <v>2709</v>
      </c>
      <c r="C8118">
        <v>84304110</v>
      </c>
      <c r="E8118">
        <v>71.78</v>
      </c>
      <c r="F8118">
        <v>12</v>
      </c>
      <c r="G8118">
        <v>0</v>
      </c>
      <c r="H8118" t="s">
        <v>19447</v>
      </c>
      <c r="I8118" t="s">
        <v>19447</v>
      </c>
      <c r="J8118">
        <v>14</v>
      </c>
      <c r="L8118" t="s">
        <v>2709</v>
      </c>
      <c r="M8118">
        <v>84304110</v>
      </c>
      <c r="O8118" t="s">
        <v>20056</v>
      </c>
      <c r="P8118" t="s">
        <v>19903</v>
      </c>
      <c r="Q8118" t="s">
        <v>19900</v>
      </c>
      <c r="R8118" t="s">
        <v>19447</v>
      </c>
      <c r="S8118" t="s">
        <v>19447</v>
      </c>
      <c r="T8118" t="s">
        <v>19911</v>
      </c>
    </row>
    <row r="8119" spans="2:20" x14ac:dyDescent="0.25">
      <c r="B8119" t="s">
        <v>2709</v>
      </c>
      <c r="C8119">
        <v>84304120</v>
      </c>
      <c r="E8119">
        <v>71.78</v>
      </c>
      <c r="F8119">
        <v>12</v>
      </c>
      <c r="G8119">
        <v>0</v>
      </c>
      <c r="H8119" t="s">
        <v>19447</v>
      </c>
      <c r="I8119" t="s">
        <v>19447</v>
      </c>
      <c r="J8119">
        <v>14</v>
      </c>
      <c r="L8119" t="s">
        <v>2709</v>
      </c>
      <c r="M8119">
        <v>84304120</v>
      </c>
      <c r="O8119" t="s">
        <v>20056</v>
      </c>
      <c r="P8119" t="s">
        <v>19903</v>
      </c>
      <c r="Q8119" t="s">
        <v>19900</v>
      </c>
      <c r="R8119" t="s">
        <v>19447</v>
      </c>
      <c r="S8119" t="s">
        <v>19447</v>
      </c>
      <c r="T8119" t="s">
        <v>19911</v>
      </c>
    </row>
    <row r="8120" spans="2:20" x14ac:dyDescent="0.25">
      <c r="B8120" t="s">
        <v>2709</v>
      </c>
      <c r="C8120">
        <v>84304130</v>
      </c>
      <c r="E8120">
        <v>71.78</v>
      </c>
      <c r="F8120">
        <v>12</v>
      </c>
      <c r="G8120">
        <v>0</v>
      </c>
      <c r="H8120" t="s">
        <v>19447</v>
      </c>
      <c r="I8120" t="s">
        <v>19447</v>
      </c>
      <c r="J8120">
        <v>0</v>
      </c>
      <c r="L8120" t="s">
        <v>2709</v>
      </c>
      <c r="M8120">
        <v>84304130</v>
      </c>
      <c r="O8120" t="s">
        <v>20056</v>
      </c>
      <c r="P8120" t="s">
        <v>19903</v>
      </c>
      <c r="Q8120" t="s">
        <v>19900</v>
      </c>
      <c r="R8120" t="s">
        <v>19447</v>
      </c>
      <c r="S8120" t="s">
        <v>19447</v>
      </c>
      <c r="T8120" t="s">
        <v>19900</v>
      </c>
    </row>
    <row r="8121" spans="2:20" x14ac:dyDescent="0.25">
      <c r="B8121" t="s">
        <v>2709</v>
      </c>
      <c r="C8121">
        <v>84304190</v>
      </c>
      <c r="E8121">
        <v>71.78</v>
      </c>
      <c r="F8121">
        <v>12</v>
      </c>
      <c r="G8121">
        <v>0</v>
      </c>
      <c r="H8121" t="s">
        <v>19447</v>
      </c>
      <c r="I8121" t="s">
        <v>19447</v>
      </c>
      <c r="J8121">
        <v>14</v>
      </c>
      <c r="L8121" t="s">
        <v>2709</v>
      </c>
      <c r="M8121">
        <v>84304190</v>
      </c>
      <c r="O8121" t="s">
        <v>20056</v>
      </c>
      <c r="P8121" t="s">
        <v>19903</v>
      </c>
      <c r="Q8121" t="s">
        <v>19900</v>
      </c>
      <c r="R8121" t="s">
        <v>19447</v>
      </c>
      <c r="S8121" t="s">
        <v>19447</v>
      </c>
      <c r="T8121" t="s">
        <v>19911</v>
      </c>
    </row>
    <row r="8122" spans="2:20" x14ac:dyDescent="0.25">
      <c r="B8122" t="s">
        <v>2709</v>
      </c>
      <c r="C8122">
        <v>84304910</v>
      </c>
      <c r="E8122">
        <v>71.78</v>
      </c>
      <c r="F8122">
        <v>12</v>
      </c>
      <c r="G8122">
        <v>0</v>
      </c>
      <c r="H8122" t="s">
        <v>19447</v>
      </c>
      <c r="I8122" t="s">
        <v>19447</v>
      </c>
      <c r="J8122">
        <v>10</v>
      </c>
      <c r="L8122" t="s">
        <v>2709</v>
      </c>
      <c r="M8122">
        <v>84304910</v>
      </c>
      <c r="O8122" t="s">
        <v>20056</v>
      </c>
      <c r="P8122" t="s">
        <v>19903</v>
      </c>
      <c r="Q8122" t="s">
        <v>19900</v>
      </c>
      <c r="R8122" t="s">
        <v>19447</v>
      </c>
      <c r="S8122" t="s">
        <v>19447</v>
      </c>
      <c r="T8122" t="s">
        <v>19904</v>
      </c>
    </row>
    <row r="8123" spans="2:20" x14ac:dyDescent="0.25">
      <c r="B8123" t="s">
        <v>2709</v>
      </c>
      <c r="C8123">
        <v>84304920</v>
      </c>
      <c r="E8123">
        <v>71.78</v>
      </c>
      <c r="F8123">
        <v>12</v>
      </c>
      <c r="G8123">
        <v>0</v>
      </c>
      <c r="H8123" t="s">
        <v>19447</v>
      </c>
      <c r="I8123" t="s">
        <v>19447</v>
      </c>
      <c r="J8123">
        <v>0</v>
      </c>
      <c r="L8123" t="s">
        <v>2709</v>
      </c>
      <c r="M8123">
        <v>84304920</v>
      </c>
      <c r="O8123" t="s">
        <v>20056</v>
      </c>
      <c r="P8123" t="s">
        <v>19903</v>
      </c>
      <c r="Q8123" t="s">
        <v>19900</v>
      </c>
      <c r="R8123" t="s">
        <v>19447</v>
      </c>
      <c r="S8123" t="s">
        <v>19447</v>
      </c>
      <c r="T8123" t="s">
        <v>19900</v>
      </c>
    </row>
    <row r="8124" spans="2:20" x14ac:dyDescent="0.25">
      <c r="B8124" t="s">
        <v>2709</v>
      </c>
      <c r="C8124">
        <v>84304990</v>
      </c>
      <c r="E8124">
        <v>71.78</v>
      </c>
      <c r="F8124">
        <v>12</v>
      </c>
      <c r="G8124">
        <v>0</v>
      </c>
      <c r="H8124" t="s">
        <v>19447</v>
      </c>
      <c r="I8124" t="s">
        <v>19447</v>
      </c>
      <c r="J8124">
        <v>10</v>
      </c>
      <c r="L8124" t="s">
        <v>2709</v>
      </c>
      <c r="M8124">
        <v>84304990</v>
      </c>
      <c r="O8124" t="s">
        <v>20056</v>
      </c>
      <c r="P8124" t="s">
        <v>19903</v>
      </c>
      <c r="Q8124" t="s">
        <v>19900</v>
      </c>
      <c r="R8124" t="s">
        <v>19447</v>
      </c>
      <c r="S8124" t="s">
        <v>19447</v>
      </c>
      <c r="T8124" t="s">
        <v>19904</v>
      </c>
    </row>
    <row r="8125" spans="2:20" x14ac:dyDescent="0.25">
      <c r="B8125" t="s">
        <v>2709</v>
      </c>
      <c r="C8125">
        <v>84305000</v>
      </c>
      <c r="E8125">
        <v>71.78</v>
      </c>
      <c r="F8125">
        <v>12</v>
      </c>
      <c r="G8125">
        <v>0</v>
      </c>
      <c r="H8125" t="s">
        <v>19447</v>
      </c>
      <c r="I8125" t="s">
        <v>19447</v>
      </c>
      <c r="J8125">
        <v>10</v>
      </c>
      <c r="L8125" t="s">
        <v>2709</v>
      </c>
      <c r="M8125">
        <v>84305000</v>
      </c>
      <c r="O8125" t="s">
        <v>20056</v>
      </c>
      <c r="P8125" t="s">
        <v>19903</v>
      </c>
      <c r="Q8125" t="s">
        <v>19900</v>
      </c>
      <c r="R8125" t="s">
        <v>19447</v>
      </c>
      <c r="S8125" t="s">
        <v>19447</v>
      </c>
      <c r="T8125" t="s">
        <v>19904</v>
      </c>
    </row>
    <row r="8126" spans="2:20" x14ac:dyDescent="0.25">
      <c r="B8126" t="s">
        <v>2709</v>
      </c>
      <c r="C8126">
        <v>84306100</v>
      </c>
      <c r="E8126">
        <v>71.78</v>
      </c>
      <c r="F8126">
        <v>12</v>
      </c>
      <c r="G8126">
        <v>0</v>
      </c>
      <c r="H8126" t="s">
        <v>19447</v>
      </c>
      <c r="I8126" t="s">
        <v>19447</v>
      </c>
      <c r="J8126">
        <v>14</v>
      </c>
      <c r="L8126" t="s">
        <v>2709</v>
      </c>
      <c r="M8126">
        <v>84306100</v>
      </c>
      <c r="O8126" t="s">
        <v>20056</v>
      </c>
      <c r="P8126" t="s">
        <v>19903</v>
      </c>
      <c r="Q8126" t="s">
        <v>19900</v>
      </c>
      <c r="R8126" t="s">
        <v>19447</v>
      </c>
      <c r="S8126" t="s">
        <v>19447</v>
      </c>
      <c r="T8126" t="s">
        <v>19911</v>
      </c>
    </row>
    <row r="8127" spans="2:20" x14ac:dyDescent="0.25">
      <c r="B8127" t="s">
        <v>2709</v>
      </c>
      <c r="C8127">
        <v>84306911</v>
      </c>
      <c r="E8127">
        <v>71.78</v>
      </c>
      <c r="F8127">
        <v>12</v>
      </c>
      <c r="G8127">
        <v>0</v>
      </c>
      <c r="H8127" t="s">
        <v>19447</v>
      </c>
      <c r="I8127" t="s">
        <v>19447</v>
      </c>
      <c r="J8127">
        <v>0</v>
      </c>
      <c r="L8127" t="s">
        <v>2709</v>
      </c>
      <c r="M8127">
        <v>84306911</v>
      </c>
      <c r="O8127" t="s">
        <v>20056</v>
      </c>
      <c r="P8127" t="s">
        <v>19903</v>
      </c>
      <c r="Q8127" t="s">
        <v>19900</v>
      </c>
      <c r="R8127" t="s">
        <v>19447</v>
      </c>
      <c r="S8127" t="s">
        <v>19447</v>
      </c>
      <c r="T8127" t="s">
        <v>19900</v>
      </c>
    </row>
    <row r="8128" spans="2:20" x14ac:dyDescent="0.25">
      <c r="B8128" t="s">
        <v>2709</v>
      </c>
      <c r="C8128">
        <v>84306919</v>
      </c>
      <c r="E8128">
        <v>71.78</v>
      </c>
      <c r="F8128">
        <v>12</v>
      </c>
      <c r="G8128">
        <v>0</v>
      </c>
      <c r="H8128" t="s">
        <v>19447</v>
      </c>
      <c r="I8128" t="s">
        <v>19447</v>
      </c>
      <c r="J8128">
        <v>14</v>
      </c>
      <c r="L8128" t="s">
        <v>2709</v>
      </c>
      <c r="M8128">
        <v>84306919</v>
      </c>
      <c r="O8128" t="s">
        <v>20056</v>
      </c>
      <c r="P8128" t="s">
        <v>19903</v>
      </c>
      <c r="Q8128" t="s">
        <v>19900</v>
      </c>
      <c r="R8128" t="s">
        <v>19447</v>
      </c>
      <c r="S8128" t="s">
        <v>19447</v>
      </c>
      <c r="T8128" t="s">
        <v>19911</v>
      </c>
    </row>
    <row r="8129" spans="2:20" x14ac:dyDescent="0.25">
      <c r="B8129" t="s">
        <v>2709</v>
      </c>
      <c r="C8129">
        <v>84306990</v>
      </c>
      <c r="E8129">
        <v>71.78</v>
      </c>
      <c r="F8129">
        <v>12</v>
      </c>
      <c r="G8129">
        <v>0</v>
      </c>
      <c r="H8129">
        <v>9.6</v>
      </c>
      <c r="I8129">
        <v>2</v>
      </c>
      <c r="J8129">
        <v>14</v>
      </c>
      <c r="L8129" t="s">
        <v>2709</v>
      </c>
      <c r="M8129">
        <v>84306990</v>
      </c>
      <c r="O8129" t="s">
        <v>20056</v>
      </c>
      <c r="P8129" t="s">
        <v>19903</v>
      </c>
      <c r="Q8129" t="s">
        <v>19900</v>
      </c>
      <c r="R8129" t="s">
        <v>20129</v>
      </c>
      <c r="S8129" t="s">
        <v>19901</v>
      </c>
      <c r="T8129" t="s">
        <v>19911</v>
      </c>
    </row>
    <row r="8130" spans="2:20" x14ac:dyDescent="0.25">
      <c r="B8130" t="s">
        <v>2709</v>
      </c>
      <c r="C8130">
        <v>84311010</v>
      </c>
      <c r="E8130">
        <v>71.78</v>
      </c>
      <c r="F8130">
        <v>18</v>
      </c>
      <c r="G8130">
        <v>5</v>
      </c>
      <c r="H8130">
        <v>10.8</v>
      </c>
      <c r="I8130">
        <v>2.2999999999999998</v>
      </c>
      <c r="J8130">
        <v>16</v>
      </c>
      <c r="L8130" t="s">
        <v>2709</v>
      </c>
      <c r="M8130">
        <v>84311010</v>
      </c>
      <c r="O8130" t="s">
        <v>20056</v>
      </c>
      <c r="P8130" t="s">
        <v>19899</v>
      </c>
      <c r="Q8130" t="s">
        <v>19909</v>
      </c>
      <c r="R8130" t="s">
        <v>20074</v>
      </c>
      <c r="S8130" t="s">
        <v>20075</v>
      </c>
      <c r="T8130" t="s">
        <v>19913</v>
      </c>
    </row>
    <row r="8131" spans="2:20" x14ac:dyDescent="0.25">
      <c r="B8131" t="s">
        <v>2709</v>
      </c>
      <c r="C8131">
        <v>84311090</v>
      </c>
      <c r="E8131">
        <v>71.78</v>
      </c>
      <c r="F8131">
        <v>18</v>
      </c>
      <c r="G8131">
        <v>5</v>
      </c>
      <c r="H8131">
        <v>10.8</v>
      </c>
      <c r="I8131">
        <v>2.2999999999999998</v>
      </c>
      <c r="J8131">
        <v>14</v>
      </c>
      <c r="L8131" t="s">
        <v>2709</v>
      </c>
      <c r="M8131">
        <v>84311090</v>
      </c>
      <c r="O8131" t="s">
        <v>20056</v>
      </c>
      <c r="P8131" t="s">
        <v>19899</v>
      </c>
      <c r="Q8131" t="s">
        <v>19909</v>
      </c>
      <c r="R8131" t="s">
        <v>20074</v>
      </c>
      <c r="S8131" t="s">
        <v>20075</v>
      </c>
      <c r="T8131" t="s">
        <v>19911</v>
      </c>
    </row>
    <row r="8132" spans="2:20" x14ac:dyDescent="0.25">
      <c r="B8132" t="s">
        <v>2709</v>
      </c>
      <c r="C8132">
        <v>84312011</v>
      </c>
      <c r="E8132">
        <v>71.78</v>
      </c>
      <c r="F8132">
        <v>18</v>
      </c>
      <c r="G8132">
        <v>5</v>
      </c>
      <c r="H8132">
        <v>10.8</v>
      </c>
      <c r="I8132">
        <v>2.2999999999999998</v>
      </c>
      <c r="J8132">
        <v>14</v>
      </c>
      <c r="L8132" t="s">
        <v>2709</v>
      </c>
      <c r="M8132">
        <v>84312011</v>
      </c>
      <c r="O8132" t="s">
        <v>20056</v>
      </c>
      <c r="P8132" t="s">
        <v>19899</v>
      </c>
      <c r="Q8132" t="s">
        <v>19909</v>
      </c>
      <c r="R8132" t="s">
        <v>20074</v>
      </c>
      <c r="S8132" t="s">
        <v>20075</v>
      </c>
      <c r="T8132" t="s">
        <v>19911</v>
      </c>
    </row>
    <row r="8133" spans="2:20" x14ac:dyDescent="0.25">
      <c r="B8133" t="s">
        <v>2709</v>
      </c>
      <c r="C8133">
        <v>84312019</v>
      </c>
      <c r="E8133">
        <v>71.78</v>
      </c>
      <c r="F8133">
        <v>18</v>
      </c>
      <c r="G8133">
        <v>5</v>
      </c>
      <c r="H8133">
        <v>10.8</v>
      </c>
      <c r="I8133">
        <v>2.2999999999999998</v>
      </c>
      <c r="J8133">
        <v>14</v>
      </c>
      <c r="L8133" t="s">
        <v>2709</v>
      </c>
      <c r="M8133">
        <v>84312019</v>
      </c>
      <c r="O8133" t="s">
        <v>20056</v>
      </c>
      <c r="P8133" t="s">
        <v>19899</v>
      </c>
      <c r="Q8133" t="s">
        <v>19909</v>
      </c>
      <c r="R8133" t="s">
        <v>20074</v>
      </c>
      <c r="S8133" t="s">
        <v>20075</v>
      </c>
      <c r="T8133" t="s">
        <v>19911</v>
      </c>
    </row>
    <row r="8134" spans="2:20" x14ac:dyDescent="0.25">
      <c r="B8134" t="s">
        <v>2709</v>
      </c>
      <c r="C8134">
        <v>84312090</v>
      </c>
      <c r="E8134">
        <v>71.78</v>
      </c>
      <c r="F8134">
        <v>18</v>
      </c>
      <c r="G8134">
        <v>5</v>
      </c>
      <c r="H8134">
        <v>10.8</v>
      </c>
      <c r="I8134">
        <v>2.2999999999999998</v>
      </c>
      <c r="J8134">
        <v>14</v>
      </c>
      <c r="L8134" t="s">
        <v>2709</v>
      </c>
      <c r="M8134">
        <v>84312090</v>
      </c>
      <c r="O8134" t="s">
        <v>20056</v>
      </c>
      <c r="P8134" t="s">
        <v>19899</v>
      </c>
      <c r="Q8134" t="s">
        <v>19909</v>
      </c>
      <c r="R8134" t="s">
        <v>20074</v>
      </c>
      <c r="S8134" t="s">
        <v>20075</v>
      </c>
      <c r="T8134" t="s">
        <v>19911</v>
      </c>
    </row>
    <row r="8135" spans="2:20" x14ac:dyDescent="0.25">
      <c r="B8135" t="s">
        <v>2709</v>
      </c>
      <c r="C8135">
        <v>84313110</v>
      </c>
      <c r="E8135">
        <v>71.78</v>
      </c>
      <c r="F8135">
        <v>12</v>
      </c>
      <c r="G8135">
        <v>5</v>
      </c>
      <c r="H8135">
        <v>10.8</v>
      </c>
      <c r="I8135">
        <v>2.2999999999999998</v>
      </c>
      <c r="J8135">
        <v>14</v>
      </c>
      <c r="L8135" t="s">
        <v>2709</v>
      </c>
      <c r="M8135">
        <v>84313110</v>
      </c>
      <c r="O8135" t="s">
        <v>20056</v>
      </c>
      <c r="P8135" t="s">
        <v>19903</v>
      </c>
      <c r="Q8135" t="s">
        <v>19909</v>
      </c>
      <c r="R8135" t="s">
        <v>20074</v>
      </c>
      <c r="S8135" t="s">
        <v>20075</v>
      </c>
      <c r="T8135" t="s">
        <v>19911</v>
      </c>
    </row>
    <row r="8136" spans="2:20" x14ac:dyDescent="0.25">
      <c r="B8136" t="s">
        <v>2709</v>
      </c>
      <c r="C8136">
        <v>84313190</v>
      </c>
      <c r="E8136">
        <v>71.78</v>
      </c>
      <c r="F8136">
        <v>12</v>
      </c>
      <c r="G8136">
        <v>5</v>
      </c>
      <c r="H8136">
        <v>10.8</v>
      </c>
      <c r="I8136">
        <v>2.2999999999999998</v>
      </c>
      <c r="J8136">
        <v>14</v>
      </c>
      <c r="L8136" t="s">
        <v>2709</v>
      </c>
      <c r="M8136">
        <v>84313190</v>
      </c>
      <c r="O8136" t="s">
        <v>20056</v>
      </c>
      <c r="P8136" t="s">
        <v>19903</v>
      </c>
      <c r="Q8136" t="s">
        <v>19909</v>
      </c>
      <c r="R8136" t="s">
        <v>20074</v>
      </c>
      <c r="S8136" t="s">
        <v>20075</v>
      </c>
      <c r="T8136" t="s">
        <v>19911</v>
      </c>
    </row>
    <row r="8137" spans="2:20" x14ac:dyDescent="0.25">
      <c r="B8137" t="s">
        <v>2709</v>
      </c>
      <c r="C8137">
        <v>84313900</v>
      </c>
      <c r="E8137">
        <v>71.78</v>
      </c>
      <c r="F8137">
        <v>18</v>
      </c>
      <c r="G8137">
        <v>0</v>
      </c>
      <c r="H8137">
        <v>10.8</v>
      </c>
      <c r="I8137">
        <v>2.2999999999999998</v>
      </c>
      <c r="J8137">
        <v>14</v>
      </c>
      <c r="L8137" t="s">
        <v>2709</v>
      </c>
      <c r="M8137">
        <v>84313900</v>
      </c>
      <c r="O8137" t="s">
        <v>20056</v>
      </c>
      <c r="P8137" t="s">
        <v>19899</v>
      </c>
      <c r="Q8137" t="s">
        <v>19900</v>
      </c>
      <c r="R8137" t="s">
        <v>20074</v>
      </c>
      <c r="S8137" t="s">
        <v>20075</v>
      </c>
      <c r="T8137" t="s">
        <v>19911</v>
      </c>
    </row>
    <row r="8138" spans="2:20" x14ac:dyDescent="0.25">
      <c r="B8138" t="s">
        <v>2709</v>
      </c>
      <c r="C8138">
        <v>84314100</v>
      </c>
      <c r="E8138">
        <v>71.78</v>
      </c>
      <c r="F8138">
        <v>18</v>
      </c>
      <c r="G8138">
        <v>5</v>
      </c>
      <c r="H8138">
        <v>10.8</v>
      </c>
      <c r="I8138">
        <v>2.2999999999999998</v>
      </c>
      <c r="J8138">
        <v>14</v>
      </c>
      <c r="L8138" t="s">
        <v>2709</v>
      </c>
      <c r="M8138">
        <v>84314100</v>
      </c>
      <c r="O8138" t="s">
        <v>20056</v>
      </c>
      <c r="P8138" t="s">
        <v>19899</v>
      </c>
      <c r="Q8138" t="s">
        <v>19909</v>
      </c>
      <c r="R8138" t="s">
        <v>20074</v>
      </c>
      <c r="S8138" t="s">
        <v>20075</v>
      </c>
      <c r="T8138" t="s">
        <v>19911</v>
      </c>
    </row>
    <row r="8139" spans="2:20" x14ac:dyDescent="0.25">
      <c r="B8139" t="s">
        <v>2709</v>
      </c>
      <c r="C8139">
        <v>84314200</v>
      </c>
      <c r="E8139">
        <v>71.78</v>
      </c>
      <c r="F8139">
        <v>18</v>
      </c>
      <c r="G8139">
        <v>5</v>
      </c>
      <c r="H8139">
        <v>10.8</v>
      </c>
      <c r="I8139">
        <v>2.2999999999999998</v>
      </c>
      <c r="J8139">
        <v>14</v>
      </c>
      <c r="L8139" t="s">
        <v>2709</v>
      </c>
      <c r="M8139">
        <v>84314200</v>
      </c>
      <c r="O8139" t="s">
        <v>20056</v>
      </c>
      <c r="P8139" t="s">
        <v>19899</v>
      </c>
      <c r="Q8139" t="s">
        <v>19909</v>
      </c>
      <c r="R8139" t="s">
        <v>20074</v>
      </c>
      <c r="S8139" t="s">
        <v>20075</v>
      </c>
      <c r="T8139" t="s">
        <v>19911</v>
      </c>
    </row>
    <row r="8140" spans="2:20" x14ac:dyDescent="0.25">
      <c r="B8140" t="s">
        <v>2709</v>
      </c>
      <c r="C8140">
        <v>84314310</v>
      </c>
      <c r="E8140">
        <v>71.78</v>
      </c>
      <c r="F8140">
        <v>18</v>
      </c>
      <c r="G8140">
        <v>5</v>
      </c>
      <c r="H8140">
        <v>10.8</v>
      </c>
      <c r="I8140">
        <v>2.2999999999999998</v>
      </c>
      <c r="J8140">
        <v>0</v>
      </c>
      <c r="L8140" t="s">
        <v>2709</v>
      </c>
      <c r="M8140">
        <v>84314310</v>
      </c>
      <c r="O8140" t="s">
        <v>20056</v>
      </c>
      <c r="P8140" t="s">
        <v>19899</v>
      </c>
      <c r="Q8140" t="s">
        <v>19909</v>
      </c>
      <c r="R8140" t="s">
        <v>20074</v>
      </c>
      <c r="S8140" t="s">
        <v>20075</v>
      </c>
      <c r="T8140" t="s">
        <v>19900</v>
      </c>
    </row>
    <row r="8141" spans="2:20" x14ac:dyDescent="0.25">
      <c r="B8141" t="s">
        <v>2709</v>
      </c>
      <c r="C8141">
        <v>84314390</v>
      </c>
      <c r="E8141">
        <v>71.78</v>
      </c>
      <c r="F8141">
        <v>18</v>
      </c>
      <c r="G8141">
        <v>5</v>
      </c>
      <c r="H8141">
        <v>10.8</v>
      </c>
      <c r="I8141">
        <v>2.2999999999999998</v>
      </c>
      <c r="J8141">
        <v>14</v>
      </c>
      <c r="L8141" t="s">
        <v>2709</v>
      </c>
      <c r="M8141">
        <v>84314390</v>
      </c>
      <c r="O8141" t="s">
        <v>20056</v>
      </c>
      <c r="P8141" t="s">
        <v>19899</v>
      </c>
      <c r="Q8141" t="s">
        <v>19909</v>
      </c>
      <c r="R8141" t="s">
        <v>20074</v>
      </c>
      <c r="S8141" t="s">
        <v>20075</v>
      </c>
      <c r="T8141" t="s">
        <v>19911</v>
      </c>
    </row>
    <row r="8142" spans="2:20" x14ac:dyDescent="0.25">
      <c r="B8142" t="s">
        <v>2709</v>
      </c>
      <c r="C8142">
        <v>84314910</v>
      </c>
      <c r="E8142">
        <v>71.78</v>
      </c>
      <c r="F8142">
        <v>18</v>
      </c>
      <c r="G8142">
        <v>5</v>
      </c>
      <c r="H8142">
        <v>10.8</v>
      </c>
      <c r="I8142">
        <v>2.2999999999999998</v>
      </c>
      <c r="J8142">
        <v>14</v>
      </c>
      <c r="L8142" t="s">
        <v>2709</v>
      </c>
      <c r="M8142">
        <v>84314910</v>
      </c>
      <c r="O8142" t="s">
        <v>20056</v>
      </c>
      <c r="P8142" t="s">
        <v>19899</v>
      </c>
      <c r="Q8142" t="s">
        <v>19909</v>
      </c>
      <c r="R8142" t="s">
        <v>20074</v>
      </c>
      <c r="S8142" t="s">
        <v>20075</v>
      </c>
      <c r="T8142" t="s">
        <v>19911</v>
      </c>
    </row>
    <row r="8143" spans="2:20" x14ac:dyDescent="0.25">
      <c r="B8143" t="s">
        <v>2709</v>
      </c>
      <c r="C8143">
        <v>84314921</v>
      </c>
      <c r="E8143">
        <v>71.78</v>
      </c>
      <c r="F8143">
        <v>18</v>
      </c>
      <c r="G8143">
        <v>5</v>
      </c>
      <c r="H8143">
        <v>10.8</v>
      </c>
      <c r="I8143">
        <v>2.2999999999999998</v>
      </c>
      <c r="J8143">
        <v>10</v>
      </c>
      <c r="L8143" t="s">
        <v>2709</v>
      </c>
      <c r="M8143">
        <v>84314921</v>
      </c>
      <c r="O8143" t="s">
        <v>20056</v>
      </c>
      <c r="P8143" t="s">
        <v>19899</v>
      </c>
      <c r="Q8143" t="s">
        <v>19909</v>
      </c>
      <c r="R8143" t="s">
        <v>20074</v>
      </c>
      <c r="S8143" t="s">
        <v>20075</v>
      </c>
      <c r="T8143" t="s">
        <v>19904</v>
      </c>
    </row>
    <row r="8144" spans="2:20" x14ac:dyDescent="0.25">
      <c r="B8144" t="s">
        <v>2709</v>
      </c>
      <c r="C8144">
        <v>84314922</v>
      </c>
      <c r="E8144">
        <v>71.78</v>
      </c>
      <c r="F8144">
        <v>18</v>
      </c>
      <c r="G8144">
        <v>5</v>
      </c>
      <c r="H8144">
        <v>10.8</v>
      </c>
      <c r="I8144">
        <v>2.2999999999999998</v>
      </c>
      <c r="J8144">
        <v>14</v>
      </c>
      <c r="L8144" t="s">
        <v>2709</v>
      </c>
      <c r="M8144">
        <v>84314922</v>
      </c>
      <c r="O8144" t="s">
        <v>20056</v>
      </c>
      <c r="P8144" t="s">
        <v>19899</v>
      </c>
      <c r="Q8144" t="s">
        <v>19909</v>
      </c>
      <c r="R8144" t="s">
        <v>20074</v>
      </c>
      <c r="S8144" t="s">
        <v>20075</v>
      </c>
      <c r="T8144" t="s">
        <v>19911</v>
      </c>
    </row>
    <row r="8145" spans="2:20" x14ac:dyDescent="0.25">
      <c r="B8145" t="s">
        <v>2709</v>
      </c>
      <c r="C8145">
        <v>84314923</v>
      </c>
      <c r="E8145">
        <v>71.78</v>
      </c>
      <c r="F8145">
        <v>18</v>
      </c>
      <c r="G8145">
        <v>5</v>
      </c>
      <c r="H8145">
        <v>10.8</v>
      </c>
      <c r="I8145">
        <v>2.2999999999999998</v>
      </c>
      <c r="J8145">
        <v>14</v>
      </c>
      <c r="L8145" t="s">
        <v>2709</v>
      </c>
      <c r="M8145">
        <v>84314923</v>
      </c>
      <c r="O8145" t="s">
        <v>20056</v>
      </c>
      <c r="P8145" t="s">
        <v>19899</v>
      </c>
      <c r="Q8145" t="s">
        <v>19909</v>
      </c>
      <c r="R8145" t="s">
        <v>20074</v>
      </c>
      <c r="S8145" t="s">
        <v>20075</v>
      </c>
      <c r="T8145" t="s">
        <v>19911</v>
      </c>
    </row>
    <row r="8146" spans="2:20" x14ac:dyDescent="0.25">
      <c r="B8146" t="s">
        <v>2709</v>
      </c>
      <c r="C8146">
        <v>84314929</v>
      </c>
      <c r="E8146">
        <v>71.78</v>
      </c>
      <c r="F8146">
        <v>18</v>
      </c>
      <c r="G8146">
        <v>5</v>
      </c>
      <c r="H8146">
        <v>10.8</v>
      </c>
      <c r="I8146">
        <v>2.2999999999999998</v>
      </c>
      <c r="J8146">
        <v>0</v>
      </c>
      <c r="L8146" t="s">
        <v>2709</v>
      </c>
      <c r="M8146">
        <v>84314929</v>
      </c>
      <c r="O8146" t="s">
        <v>20056</v>
      </c>
      <c r="P8146" t="s">
        <v>19899</v>
      </c>
      <c r="Q8146" t="s">
        <v>19909</v>
      </c>
      <c r="R8146" t="s">
        <v>20074</v>
      </c>
      <c r="S8146" t="s">
        <v>20075</v>
      </c>
      <c r="T8146" t="s">
        <v>19900</v>
      </c>
    </row>
    <row r="8147" spans="2:20" x14ac:dyDescent="0.25">
      <c r="B8147" t="s">
        <v>2709</v>
      </c>
      <c r="C8147">
        <v>84321000</v>
      </c>
      <c r="E8147">
        <v>71.78</v>
      </c>
      <c r="F8147">
        <v>12</v>
      </c>
      <c r="G8147">
        <v>0</v>
      </c>
      <c r="H8147">
        <v>9.6</v>
      </c>
      <c r="I8147">
        <v>2</v>
      </c>
      <c r="J8147">
        <v>14</v>
      </c>
      <c r="L8147" t="s">
        <v>2709</v>
      </c>
      <c r="M8147">
        <v>84321000</v>
      </c>
      <c r="O8147" t="s">
        <v>20056</v>
      </c>
      <c r="P8147" t="s">
        <v>19903</v>
      </c>
      <c r="Q8147" t="s">
        <v>19900</v>
      </c>
      <c r="R8147" t="s">
        <v>20129</v>
      </c>
      <c r="S8147" t="s">
        <v>19901</v>
      </c>
      <c r="T8147" t="s">
        <v>19911</v>
      </c>
    </row>
    <row r="8148" spans="2:20" x14ac:dyDescent="0.25">
      <c r="B8148" t="s">
        <v>2709</v>
      </c>
      <c r="C8148">
        <v>84322100</v>
      </c>
      <c r="E8148">
        <v>71.78</v>
      </c>
      <c r="F8148">
        <v>12</v>
      </c>
      <c r="G8148">
        <v>0</v>
      </c>
      <c r="H8148">
        <v>9.6</v>
      </c>
      <c r="I8148">
        <v>2</v>
      </c>
      <c r="J8148">
        <v>14</v>
      </c>
      <c r="L8148" t="s">
        <v>2709</v>
      </c>
      <c r="M8148">
        <v>84322100</v>
      </c>
      <c r="O8148" t="s">
        <v>20056</v>
      </c>
      <c r="P8148" t="s">
        <v>19903</v>
      </c>
      <c r="Q8148" t="s">
        <v>19900</v>
      </c>
      <c r="R8148" t="s">
        <v>20129</v>
      </c>
      <c r="S8148" t="s">
        <v>19901</v>
      </c>
      <c r="T8148" t="s">
        <v>19911</v>
      </c>
    </row>
    <row r="8149" spans="2:20" x14ac:dyDescent="0.25">
      <c r="B8149" t="s">
        <v>2709</v>
      </c>
      <c r="C8149">
        <v>84322900</v>
      </c>
      <c r="E8149">
        <v>71.78</v>
      </c>
      <c r="F8149">
        <v>12</v>
      </c>
      <c r="G8149">
        <v>0</v>
      </c>
      <c r="H8149">
        <v>9.6</v>
      </c>
      <c r="I8149">
        <v>2</v>
      </c>
      <c r="J8149">
        <v>14</v>
      </c>
      <c r="L8149" t="s">
        <v>2709</v>
      </c>
      <c r="M8149">
        <v>84322900</v>
      </c>
      <c r="O8149" t="s">
        <v>20056</v>
      </c>
      <c r="P8149" t="s">
        <v>19903</v>
      </c>
      <c r="Q8149" t="s">
        <v>19900</v>
      </c>
      <c r="R8149" t="s">
        <v>20129</v>
      </c>
      <c r="S8149" t="s">
        <v>19901</v>
      </c>
      <c r="T8149" t="s">
        <v>19911</v>
      </c>
    </row>
    <row r="8150" spans="2:20" x14ac:dyDescent="0.25">
      <c r="B8150" t="s">
        <v>2709</v>
      </c>
      <c r="C8150">
        <v>84323010</v>
      </c>
      <c r="E8150">
        <v>71.78</v>
      </c>
      <c r="F8150">
        <v>12</v>
      </c>
      <c r="G8150">
        <v>0</v>
      </c>
      <c r="H8150">
        <v>9.6</v>
      </c>
      <c r="I8150">
        <v>2</v>
      </c>
      <c r="J8150">
        <v>14</v>
      </c>
      <c r="L8150" t="s">
        <v>2709</v>
      </c>
      <c r="M8150">
        <v>84323010</v>
      </c>
      <c r="O8150" t="s">
        <v>20056</v>
      </c>
      <c r="P8150" t="s">
        <v>19903</v>
      </c>
      <c r="Q8150" t="s">
        <v>19900</v>
      </c>
      <c r="R8150" t="s">
        <v>20129</v>
      </c>
      <c r="S8150" t="s">
        <v>19901</v>
      </c>
      <c r="T8150" t="s">
        <v>19911</v>
      </c>
    </row>
    <row r="8151" spans="2:20" x14ac:dyDescent="0.25">
      <c r="B8151" t="s">
        <v>2709</v>
      </c>
      <c r="C8151">
        <v>84323090</v>
      </c>
      <c r="E8151">
        <v>71.78</v>
      </c>
      <c r="F8151">
        <v>12</v>
      </c>
      <c r="G8151">
        <v>0</v>
      </c>
      <c r="H8151">
        <v>9.6</v>
      </c>
      <c r="I8151">
        <v>2</v>
      </c>
      <c r="J8151">
        <v>14</v>
      </c>
      <c r="L8151" t="s">
        <v>2709</v>
      </c>
      <c r="M8151">
        <v>84323090</v>
      </c>
      <c r="O8151" t="s">
        <v>20056</v>
      </c>
      <c r="P8151" t="s">
        <v>19903</v>
      </c>
      <c r="Q8151" t="s">
        <v>19900</v>
      </c>
      <c r="R8151" t="s">
        <v>20129</v>
      </c>
      <c r="S8151" t="s">
        <v>19901</v>
      </c>
      <c r="T8151" t="s">
        <v>19911</v>
      </c>
    </row>
    <row r="8152" spans="2:20" x14ac:dyDescent="0.25">
      <c r="B8152" t="s">
        <v>2709</v>
      </c>
      <c r="C8152">
        <v>84324000</v>
      </c>
      <c r="E8152">
        <v>71.78</v>
      </c>
      <c r="F8152">
        <v>12</v>
      </c>
      <c r="G8152">
        <v>0</v>
      </c>
      <c r="H8152">
        <v>9.6</v>
      </c>
      <c r="I8152">
        <v>2</v>
      </c>
      <c r="J8152">
        <v>14</v>
      </c>
      <c r="L8152" t="s">
        <v>2709</v>
      </c>
      <c r="M8152">
        <v>84324000</v>
      </c>
      <c r="O8152" t="s">
        <v>20056</v>
      </c>
      <c r="P8152" t="s">
        <v>19903</v>
      </c>
      <c r="Q8152" t="s">
        <v>19900</v>
      </c>
      <c r="R8152" t="s">
        <v>20129</v>
      </c>
      <c r="S8152" t="s">
        <v>19901</v>
      </c>
      <c r="T8152" t="s">
        <v>19911</v>
      </c>
    </row>
    <row r="8153" spans="2:20" x14ac:dyDescent="0.25">
      <c r="B8153" t="s">
        <v>2709</v>
      </c>
      <c r="C8153">
        <v>84328000</v>
      </c>
      <c r="E8153">
        <v>71.78</v>
      </c>
      <c r="F8153">
        <v>12</v>
      </c>
      <c r="G8153">
        <v>0</v>
      </c>
      <c r="H8153">
        <v>9.6</v>
      </c>
      <c r="I8153">
        <v>2</v>
      </c>
      <c r="J8153">
        <v>14</v>
      </c>
      <c r="L8153" t="s">
        <v>2709</v>
      </c>
      <c r="M8153">
        <v>84328000</v>
      </c>
      <c r="O8153" t="s">
        <v>20056</v>
      </c>
      <c r="P8153" t="s">
        <v>19903</v>
      </c>
      <c r="Q8153" t="s">
        <v>19900</v>
      </c>
      <c r="R8153" t="s">
        <v>20129</v>
      </c>
      <c r="S8153" t="s">
        <v>19901</v>
      </c>
      <c r="T8153" t="s">
        <v>19911</v>
      </c>
    </row>
    <row r="8154" spans="2:20" x14ac:dyDescent="0.25">
      <c r="B8154" t="s">
        <v>2709</v>
      </c>
      <c r="C8154">
        <v>84328000</v>
      </c>
      <c r="D8154">
        <v>1</v>
      </c>
      <c r="E8154" t="s">
        <v>19447</v>
      </c>
      <c r="F8154">
        <v>18</v>
      </c>
      <c r="G8154">
        <v>5</v>
      </c>
      <c r="H8154">
        <v>7.6</v>
      </c>
      <c r="I8154">
        <v>1.65</v>
      </c>
      <c r="J8154">
        <v>14</v>
      </c>
      <c r="L8154" t="s">
        <v>2709</v>
      </c>
      <c r="M8154">
        <v>84328000</v>
      </c>
      <c r="N8154">
        <v>1</v>
      </c>
      <c r="O8154" t="s">
        <v>19447</v>
      </c>
      <c r="P8154" t="s">
        <v>19899</v>
      </c>
      <c r="Q8154" t="s">
        <v>19909</v>
      </c>
      <c r="R8154" t="s">
        <v>19905</v>
      </c>
      <c r="S8154" t="s">
        <v>19906</v>
      </c>
      <c r="T8154" t="s">
        <v>19911</v>
      </c>
    </row>
    <row r="8155" spans="2:20" x14ac:dyDescent="0.25">
      <c r="B8155" t="s">
        <v>2709</v>
      </c>
      <c r="C8155">
        <v>84329000</v>
      </c>
      <c r="E8155">
        <v>71.78</v>
      </c>
      <c r="F8155">
        <v>12</v>
      </c>
      <c r="G8155">
        <v>5</v>
      </c>
      <c r="H8155">
        <v>10.8</v>
      </c>
      <c r="I8155">
        <v>2.2999999999999998</v>
      </c>
      <c r="J8155">
        <v>14</v>
      </c>
      <c r="L8155" t="s">
        <v>2709</v>
      </c>
      <c r="M8155">
        <v>84329000</v>
      </c>
      <c r="O8155" t="s">
        <v>20056</v>
      </c>
      <c r="P8155" t="s">
        <v>19903</v>
      </c>
      <c r="Q8155" t="s">
        <v>19909</v>
      </c>
      <c r="R8155" t="s">
        <v>20074</v>
      </c>
      <c r="S8155" t="s">
        <v>20075</v>
      </c>
      <c r="T8155" t="s">
        <v>19911</v>
      </c>
    </row>
    <row r="8156" spans="2:20" x14ac:dyDescent="0.25">
      <c r="B8156" t="s">
        <v>2709</v>
      </c>
      <c r="C8156">
        <v>84331100</v>
      </c>
      <c r="E8156">
        <v>71.78</v>
      </c>
      <c r="F8156">
        <v>12</v>
      </c>
      <c r="G8156">
        <v>5</v>
      </c>
      <c r="H8156">
        <v>9.6</v>
      </c>
      <c r="I8156">
        <v>2</v>
      </c>
      <c r="J8156">
        <v>18</v>
      </c>
      <c r="L8156" t="s">
        <v>2709</v>
      </c>
      <c r="M8156">
        <v>84331100</v>
      </c>
      <c r="O8156" t="s">
        <v>20056</v>
      </c>
      <c r="P8156" t="s">
        <v>19903</v>
      </c>
      <c r="Q8156" t="s">
        <v>19909</v>
      </c>
      <c r="R8156" t="s">
        <v>20129</v>
      </c>
      <c r="S8156" t="s">
        <v>19901</v>
      </c>
      <c r="T8156" t="s">
        <v>19899</v>
      </c>
    </row>
    <row r="8157" spans="2:20" x14ac:dyDescent="0.25">
      <c r="B8157" t="s">
        <v>2709</v>
      </c>
      <c r="C8157">
        <v>84331900</v>
      </c>
      <c r="E8157">
        <v>71.78</v>
      </c>
      <c r="F8157">
        <v>12</v>
      </c>
      <c r="G8157">
        <v>5</v>
      </c>
      <c r="H8157">
        <v>9.6</v>
      </c>
      <c r="I8157">
        <v>2</v>
      </c>
      <c r="J8157">
        <v>18</v>
      </c>
      <c r="L8157" t="s">
        <v>2709</v>
      </c>
      <c r="M8157">
        <v>84331900</v>
      </c>
      <c r="O8157" t="s">
        <v>20056</v>
      </c>
      <c r="P8157" t="s">
        <v>19903</v>
      </c>
      <c r="Q8157" t="s">
        <v>19909</v>
      </c>
      <c r="R8157" t="s">
        <v>20129</v>
      </c>
      <c r="S8157" t="s">
        <v>19901</v>
      </c>
      <c r="T8157" t="s">
        <v>19899</v>
      </c>
    </row>
    <row r="8158" spans="2:20" x14ac:dyDescent="0.25">
      <c r="B8158" t="s">
        <v>2709</v>
      </c>
      <c r="C8158">
        <v>84332010</v>
      </c>
      <c r="E8158">
        <v>71.78</v>
      </c>
      <c r="F8158">
        <v>12</v>
      </c>
      <c r="G8158">
        <v>0</v>
      </c>
      <c r="H8158">
        <v>9.6</v>
      </c>
      <c r="I8158">
        <v>2</v>
      </c>
      <c r="J8158">
        <v>14</v>
      </c>
      <c r="L8158" t="s">
        <v>2709</v>
      </c>
      <c r="M8158">
        <v>84332010</v>
      </c>
      <c r="O8158" t="s">
        <v>20056</v>
      </c>
      <c r="P8158" t="s">
        <v>19903</v>
      </c>
      <c r="Q8158" t="s">
        <v>19900</v>
      </c>
      <c r="R8158" t="s">
        <v>20129</v>
      </c>
      <c r="S8158" t="s">
        <v>19901</v>
      </c>
      <c r="T8158" t="s">
        <v>19911</v>
      </c>
    </row>
    <row r="8159" spans="2:20" x14ac:dyDescent="0.25">
      <c r="B8159" t="s">
        <v>2709</v>
      </c>
      <c r="C8159">
        <v>84332090</v>
      </c>
      <c r="E8159">
        <v>71.78</v>
      </c>
      <c r="F8159">
        <v>12</v>
      </c>
      <c r="G8159">
        <v>0</v>
      </c>
      <c r="H8159">
        <v>9.6</v>
      </c>
      <c r="I8159">
        <v>2</v>
      </c>
      <c r="J8159">
        <v>14</v>
      </c>
      <c r="L8159" t="s">
        <v>2709</v>
      </c>
      <c r="M8159">
        <v>84332090</v>
      </c>
      <c r="O8159" t="s">
        <v>20056</v>
      </c>
      <c r="P8159" t="s">
        <v>19903</v>
      </c>
      <c r="Q8159" t="s">
        <v>19900</v>
      </c>
      <c r="R8159" t="s">
        <v>20129</v>
      </c>
      <c r="S8159" t="s">
        <v>19901</v>
      </c>
      <c r="T8159" t="s">
        <v>19911</v>
      </c>
    </row>
    <row r="8160" spans="2:20" x14ac:dyDescent="0.25">
      <c r="B8160" t="s">
        <v>2709</v>
      </c>
      <c r="C8160">
        <v>84333000</v>
      </c>
      <c r="E8160">
        <v>71.78</v>
      </c>
      <c r="F8160">
        <v>12</v>
      </c>
      <c r="G8160">
        <v>0</v>
      </c>
      <c r="H8160">
        <v>9.6</v>
      </c>
      <c r="I8160">
        <v>2</v>
      </c>
      <c r="J8160">
        <v>14</v>
      </c>
      <c r="L8160" t="s">
        <v>2709</v>
      </c>
      <c r="M8160">
        <v>84333000</v>
      </c>
      <c r="O8160" t="s">
        <v>20056</v>
      </c>
      <c r="P8160" t="s">
        <v>19903</v>
      </c>
      <c r="Q8160" t="s">
        <v>19900</v>
      </c>
      <c r="R8160" t="s">
        <v>20129</v>
      </c>
      <c r="S8160" t="s">
        <v>19901</v>
      </c>
      <c r="T8160" t="s">
        <v>19911</v>
      </c>
    </row>
    <row r="8161" spans="2:20" x14ac:dyDescent="0.25">
      <c r="B8161" t="s">
        <v>2709</v>
      </c>
      <c r="C8161">
        <v>84334000</v>
      </c>
      <c r="E8161">
        <v>71.78</v>
      </c>
      <c r="F8161">
        <v>12</v>
      </c>
      <c r="G8161">
        <v>0</v>
      </c>
      <c r="H8161">
        <v>9.6</v>
      </c>
      <c r="I8161">
        <v>2</v>
      </c>
      <c r="J8161">
        <v>14</v>
      </c>
      <c r="L8161" t="s">
        <v>2709</v>
      </c>
      <c r="M8161">
        <v>84334000</v>
      </c>
      <c r="O8161" t="s">
        <v>20056</v>
      </c>
      <c r="P8161" t="s">
        <v>19903</v>
      </c>
      <c r="Q8161" t="s">
        <v>19900</v>
      </c>
      <c r="R8161" t="s">
        <v>20129</v>
      </c>
      <c r="S8161" t="s">
        <v>19901</v>
      </c>
      <c r="T8161" t="s">
        <v>19911</v>
      </c>
    </row>
    <row r="8162" spans="2:20" x14ac:dyDescent="0.25">
      <c r="B8162" t="s">
        <v>2709</v>
      </c>
      <c r="C8162">
        <v>84335100</v>
      </c>
      <c r="E8162">
        <v>71.78</v>
      </c>
      <c r="F8162">
        <v>12</v>
      </c>
      <c r="G8162">
        <v>0</v>
      </c>
      <c r="H8162">
        <v>9.6</v>
      </c>
      <c r="I8162">
        <v>2</v>
      </c>
      <c r="J8162">
        <v>14</v>
      </c>
      <c r="L8162" t="s">
        <v>2709</v>
      </c>
      <c r="M8162">
        <v>84335100</v>
      </c>
      <c r="O8162" t="s">
        <v>20056</v>
      </c>
      <c r="P8162" t="s">
        <v>19903</v>
      </c>
      <c r="Q8162" t="s">
        <v>19900</v>
      </c>
      <c r="R8162" t="s">
        <v>20129</v>
      </c>
      <c r="S8162" t="s">
        <v>19901</v>
      </c>
      <c r="T8162" t="s">
        <v>19911</v>
      </c>
    </row>
    <row r="8163" spans="2:20" x14ac:dyDescent="0.25">
      <c r="B8163" t="s">
        <v>2709</v>
      </c>
      <c r="C8163">
        <v>84335200</v>
      </c>
      <c r="E8163">
        <v>71.78</v>
      </c>
      <c r="F8163">
        <v>12</v>
      </c>
      <c r="G8163">
        <v>0</v>
      </c>
      <c r="H8163">
        <v>9.6</v>
      </c>
      <c r="I8163">
        <v>2</v>
      </c>
      <c r="J8163">
        <v>14</v>
      </c>
      <c r="L8163" t="s">
        <v>2709</v>
      </c>
      <c r="M8163">
        <v>84335200</v>
      </c>
      <c r="O8163" t="s">
        <v>20056</v>
      </c>
      <c r="P8163" t="s">
        <v>19903</v>
      </c>
      <c r="Q8163" t="s">
        <v>19900</v>
      </c>
      <c r="R8163" t="s">
        <v>20129</v>
      </c>
      <c r="S8163" t="s">
        <v>19901</v>
      </c>
      <c r="T8163" t="s">
        <v>19911</v>
      </c>
    </row>
    <row r="8164" spans="2:20" x14ac:dyDescent="0.25">
      <c r="B8164" t="s">
        <v>2709</v>
      </c>
      <c r="C8164">
        <v>84335300</v>
      </c>
      <c r="E8164">
        <v>71.78</v>
      </c>
      <c r="F8164">
        <v>12</v>
      </c>
      <c r="G8164">
        <v>0</v>
      </c>
      <c r="H8164">
        <v>9.6</v>
      </c>
      <c r="I8164">
        <v>2</v>
      </c>
      <c r="J8164">
        <v>14</v>
      </c>
      <c r="L8164" t="s">
        <v>2709</v>
      </c>
      <c r="M8164">
        <v>84335300</v>
      </c>
      <c r="O8164" t="s">
        <v>20056</v>
      </c>
      <c r="P8164" t="s">
        <v>19903</v>
      </c>
      <c r="Q8164" t="s">
        <v>19900</v>
      </c>
      <c r="R8164" t="s">
        <v>20129</v>
      </c>
      <c r="S8164" t="s">
        <v>19901</v>
      </c>
      <c r="T8164" t="s">
        <v>19911</v>
      </c>
    </row>
    <row r="8165" spans="2:20" x14ac:dyDescent="0.25">
      <c r="B8165" t="s">
        <v>2709</v>
      </c>
      <c r="C8165">
        <v>84335911</v>
      </c>
      <c r="E8165">
        <v>0</v>
      </c>
      <c r="F8165">
        <v>12</v>
      </c>
      <c r="G8165">
        <v>0</v>
      </c>
      <c r="H8165">
        <v>9.6</v>
      </c>
      <c r="I8165">
        <v>2</v>
      </c>
      <c r="J8165">
        <v>14</v>
      </c>
      <c r="L8165" t="s">
        <v>2709</v>
      </c>
      <c r="M8165">
        <v>84335911</v>
      </c>
      <c r="O8165" t="s">
        <v>19900</v>
      </c>
      <c r="P8165" t="s">
        <v>19903</v>
      </c>
      <c r="Q8165" t="s">
        <v>19900</v>
      </c>
      <c r="R8165" t="s">
        <v>20129</v>
      </c>
      <c r="S8165" t="s">
        <v>19901</v>
      </c>
      <c r="T8165" t="s">
        <v>19911</v>
      </c>
    </row>
    <row r="8166" spans="2:20" x14ac:dyDescent="0.25">
      <c r="B8166" t="s">
        <v>2709</v>
      </c>
      <c r="C8166">
        <v>84335919</v>
      </c>
      <c r="E8166">
        <v>0</v>
      </c>
      <c r="F8166">
        <v>12</v>
      </c>
      <c r="G8166">
        <v>0</v>
      </c>
      <c r="H8166">
        <v>9.6</v>
      </c>
      <c r="I8166">
        <v>2</v>
      </c>
      <c r="J8166">
        <v>0</v>
      </c>
      <c r="L8166" t="s">
        <v>2709</v>
      </c>
      <c r="M8166">
        <v>84335919</v>
      </c>
      <c r="O8166" t="s">
        <v>19900</v>
      </c>
      <c r="P8166" t="s">
        <v>19903</v>
      </c>
      <c r="Q8166" t="s">
        <v>19900</v>
      </c>
      <c r="R8166" t="s">
        <v>20129</v>
      </c>
      <c r="S8166" t="s">
        <v>19901</v>
      </c>
      <c r="T8166" t="s">
        <v>19900</v>
      </c>
    </row>
    <row r="8167" spans="2:20" x14ac:dyDescent="0.25">
      <c r="B8167" t="s">
        <v>2709</v>
      </c>
      <c r="C8167">
        <v>84335990</v>
      </c>
      <c r="E8167">
        <v>0</v>
      </c>
      <c r="F8167">
        <v>12</v>
      </c>
      <c r="G8167">
        <v>0</v>
      </c>
      <c r="H8167">
        <v>9.6</v>
      </c>
      <c r="I8167">
        <v>2</v>
      </c>
      <c r="J8167">
        <v>14</v>
      </c>
      <c r="L8167" t="s">
        <v>2709</v>
      </c>
      <c r="M8167">
        <v>84335990</v>
      </c>
      <c r="O8167" t="s">
        <v>19900</v>
      </c>
      <c r="P8167" t="s">
        <v>19903</v>
      </c>
      <c r="Q8167" t="s">
        <v>19900</v>
      </c>
      <c r="R8167" t="s">
        <v>20129</v>
      </c>
      <c r="S8167" t="s">
        <v>19901</v>
      </c>
      <c r="T8167" t="s">
        <v>19911</v>
      </c>
    </row>
    <row r="8168" spans="2:20" x14ac:dyDescent="0.25">
      <c r="B8168" t="s">
        <v>2709</v>
      </c>
      <c r="C8168">
        <v>84336010</v>
      </c>
      <c r="E8168">
        <v>71.78</v>
      </c>
      <c r="F8168">
        <v>12</v>
      </c>
      <c r="G8168">
        <v>0</v>
      </c>
      <c r="H8168">
        <v>9.6</v>
      </c>
      <c r="I8168">
        <v>2</v>
      </c>
      <c r="J8168">
        <v>14</v>
      </c>
      <c r="L8168" t="s">
        <v>2709</v>
      </c>
      <c r="M8168">
        <v>84336010</v>
      </c>
      <c r="O8168" t="s">
        <v>20056</v>
      </c>
      <c r="P8168" t="s">
        <v>19903</v>
      </c>
      <c r="Q8168" t="s">
        <v>19900</v>
      </c>
      <c r="R8168" t="s">
        <v>20129</v>
      </c>
      <c r="S8168" t="s">
        <v>19901</v>
      </c>
      <c r="T8168" t="s">
        <v>19911</v>
      </c>
    </row>
    <row r="8169" spans="2:20" x14ac:dyDescent="0.25">
      <c r="B8169" t="s">
        <v>2709</v>
      </c>
      <c r="C8169">
        <v>84336021</v>
      </c>
      <c r="E8169">
        <v>71.78</v>
      </c>
      <c r="F8169">
        <v>12</v>
      </c>
      <c r="G8169">
        <v>0</v>
      </c>
      <c r="H8169">
        <v>9.6</v>
      </c>
      <c r="I8169">
        <v>2</v>
      </c>
      <c r="J8169">
        <v>0</v>
      </c>
      <c r="L8169" t="s">
        <v>2709</v>
      </c>
      <c r="M8169">
        <v>84336021</v>
      </c>
      <c r="O8169" t="s">
        <v>20056</v>
      </c>
      <c r="P8169" t="s">
        <v>19903</v>
      </c>
      <c r="Q8169" t="s">
        <v>19900</v>
      </c>
      <c r="R8169" t="s">
        <v>20129</v>
      </c>
      <c r="S8169" t="s">
        <v>19901</v>
      </c>
      <c r="T8169" t="s">
        <v>19900</v>
      </c>
    </row>
    <row r="8170" spans="2:20" x14ac:dyDescent="0.25">
      <c r="B8170" t="s">
        <v>2709</v>
      </c>
      <c r="C8170">
        <v>84336029</v>
      </c>
      <c r="E8170">
        <v>71.78</v>
      </c>
      <c r="F8170">
        <v>12</v>
      </c>
      <c r="G8170">
        <v>0</v>
      </c>
      <c r="H8170">
        <v>9.6</v>
      </c>
      <c r="I8170">
        <v>2</v>
      </c>
      <c r="J8170">
        <v>14</v>
      </c>
      <c r="L8170" t="s">
        <v>2709</v>
      </c>
      <c r="M8170">
        <v>84336029</v>
      </c>
      <c r="O8170" t="s">
        <v>20056</v>
      </c>
      <c r="P8170" t="s">
        <v>19903</v>
      </c>
      <c r="Q8170" t="s">
        <v>19900</v>
      </c>
      <c r="R8170" t="s">
        <v>20129</v>
      </c>
      <c r="S8170" t="s">
        <v>19901</v>
      </c>
      <c r="T8170" t="s">
        <v>19911</v>
      </c>
    </row>
    <row r="8171" spans="2:20" x14ac:dyDescent="0.25">
      <c r="B8171" t="s">
        <v>2709</v>
      </c>
      <c r="C8171">
        <v>84336090</v>
      </c>
      <c r="E8171">
        <v>71.78</v>
      </c>
      <c r="F8171">
        <v>12</v>
      </c>
      <c r="G8171">
        <v>0</v>
      </c>
      <c r="H8171">
        <v>9.6</v>
      </c>
      <c r="I8171">
        <v>2</v>
      </c>
      <c r="J8171">
        <v>14</v>
      </c>
      <c r="L8171" t="s">
        <v>2709</v>
      </c>
      <c r="M8171">
        <v>84336090</v>
      </c>
      <c r="O8171" t="s">
        <v>20056</v>
      </c>
      <c r="P8171" t="s">
        <v>19903</v>
      </c>
      <c r="Q8171" t="s">
        <v>19900</v>
      </c>
      <c r="R8171" t="s">
        <v>20129</v>
      </c>
      <c r="S8171" t="s">
        <v>19901</v>
      </c>
      <c r="T8171" t="s">
        <v>19911</v>
      </c>
    </row>
    <row r="8172" spans="2:20" x14ac:dyDescent="0.25">
      <c r="B8172" t="s">
        <v>2709</v>
      </c>
      <c r="C8172">
        <v>84339010</v>
      </c>
      <c r="E8172">
        <v>71.78</v>
      </c>
      <c r="F8172">
        <v>12</v>
      </c>
      <c r="G8172">
        <v>5</v>
      </c>
      <c r="H8172">
        <v>9.6</v>
      </c>
      <c r="I8172">
        <v>2</v>
      </c>
      <c r="J8172">
        <v>16</v>
      </c>
      <c r="L8172" t="s">
        <v>2709</v>
      </c>
      <c r="M8172">
        <v>84339010</v>
      </c>
      <c r="O8172" t="s">
        <v>20056</v>
      </c>
      <c r="P8172" t="s">
        <v>19903</v>
      </c>
      <c r="Q8172" t="s">
        <v>19909</v>
      </c>
      <c r="R8172" t="s">
        <v>20129</v>
      </c>
      <c r="S8172" t="s">
        <v>19901</v>
      </c>
      <c r="T8172" t="s">
        <v>19913</v>
      </c>
    </row>
    <row r="8173" spans="2:20" x14ac:dyDescent="0.25">
      <c r="B8173" t="s">
        <v>2709</v>
      </c>
      <c r="C8173">
        <v>84339090</v>
      </c>
      <c r="E8173">
        <v>71.78</v>
      </c>
      <c r="F8173">
        <v>12</v>
      </c>
      <c r="G8173">
        <v>5</v>
      </c>
      <c r="H8173">
        <v>10.8</v>
      </c>
      <c r="I8173">
        <v>2.2999999999999998</v>
      </c>
      <c r="J8173">
        <v>14</v>
      </c>
      <c r="L8173" t="s">
        <v>2709</v>
      </c>
      <c r="M8173">
        <v>84339090</v>
      </c>
      <c r="O8173" t="s">
        <v>20056</v>
      </c>
      <c r="P8173" t="s">
        <v>19903</v>
      </c>
      <c r="Q8173" t="s">
        <v>19909</v>
      </c>
      <c r="R8173" t="s">
        <v>20074</v>
      </c>
      <c r="S8173" t="s">
        <v>20075</v>
      </c>
      <c r="T8173" t="s">
        <v>19911</v>
      </c>
    </row>
    <row r="8174" spans="2:20" x14ac:dyDescent="0.25">
      <c r="B8174" t="s">
        <v>2709</v>
      </c>
      <c r="C8174">
        <v>84339090</v>
      </c>
      <c r="D8174">
        <v>1</v>
      </c>
      <c r="E8174" t="s">
        <v>19447</v>
      </c>
      <c r="F8174">
        <v>18</v>
      </c>
      <c r="G8174">
        <v>4</v>
      </c>
      <c r="H8174">
        <v>7.6</v>
      </c>
      <c r="I8174">
        <v>1.65</v>
      </c>
      <c r="J8174">
        <v>14</v>
      </c>
      <c r="L8174" t="s">
        <v>2709</v>
      </c>
      <c r="M8174">
        <v>84339090</v>
      </c>
      <c r="N8174">
        <v>1</v>
      </c>
      <c r="O8174" t="s">
        <v>19447</v>
      </c>
      <c r="P8174" t="s">
        <v>19899</v>
      </c>
      <c r="Q8174" t="s">
        <v>19902</v>
      </c>
      <c r="R8174" t="s">
        <v>19905</v>
      </c>
      <c r="S8174" t="s">
        <v>19906</v>
      </c>
      <c r="T8174" t="s">
        <v>19911</v>
      </c>
    </row>
    <row r="8175" spans="2:20" x14ac:dyDescent="0.25">
      <c r="B8175" t="s">
        <v>2709</v>
      </c>
      <c r="C8175">
        <v>84341000</v>
      </c>
      <c r="E8175">
        <v>71.78</v>
      </c>
      <c r="F8175">
        <v>12</v>
      </c>
      <c r="G8175">
        <v>0</v>
      </c>
      <c r="H8175">
        <v>9.6</v>
      </c>
      <c r="I8175">
        <v>2</v>
      </c>
      <c r="J8175">
        <v>14</v>
      </c>
      <c r="L8175" t="s">
        <v>2709</v>
      </c>
      <c r="M8175">
        <v>84341000</v>
      </c>
      <c r="O8175" t="s">
        <v>20056</v>
      </c>
      <c r="P8175" t="s">
        <v>19903</v>
      </c>
      <c r="Q8175" t="s">
        <v>19900</v>
      </c>
      <c r="R8175" t="s">
        <v>20129</v>
      </c>
      <c r="S8175" t="s">
        <v>19901</v>
      </c>
      <c r="T8175" t="s">
        <v>19911</v>
      </c>
    </row>
    <row r="8176" spans="2:20" x14ac:dyDescent="0.25">
      <c r="B8176" t="s">
        <v>2709</v>
      </c>
      <c r="C8176">
        <v>84342010</v>
      </c>
      <c r="E8176">
        <v>71.78</v>
      </c>
      <c r="F8176">
        <v>8.8000000000000007</v>
      </c>
      <c r="G8176">
        <v>0</v>
      </c>
      <c r="H8176">
        <v>9.6</v>
      </c>
      <c r="I8176">
        <v>2</v>
      </c>
      <c r="J8176">
        <v>14</v>
      </c>
      <c r="L8176" t="s">
        <v>2709</v>
      </c>
      <c r="M8176">
        <v>84342010</v>
      </c>
      <c r="O8176" t="s">
        <v>20056</v>
      </c>
      <c r="P8176" t="s">
        <v>20127</v>
      </c>
      <c r="Q8176" t="s">
        <v>19900</v>
      </c>
      <c r="R8176" t="s">
        <v>20129</v>
      </c>
      <c r="S8176" t="s">
        <v>19901</v>
      </c>
      <c r="T8176" t="s">
        <v>19911</v>
      </c>
    </row>
    <row r="8177" spans="2:20" x14ac:dyDescent="0.25">
      <c r="B8177" t="s">
        <v>2709</v>
      </c>
      <c r="C8177">
        <v>84342090</v>
      </c>
      <c r="E8177">
        <v>71.78</v>
      </c>
      <c r="F8177">
        <v>8.8000000000000007</v>
      </c>
      <c r="G8177">
        <v>0</v>
      </c>
      <c r="H8177">
        <v>9.6</v>
      </c>
      <c r="I8177">
        <v>2</v>
      </c>
      <c r="J8177">
        <v>14</v>
      </c>
      <c r="L8177" t="s">
        <v>2709</v>
      </c>
      <c r="M8177">
        <v>84342090</v>
      </c>
      <c r="O8177" t="s">
        <v>20056</v>
      </c>
      <c r="P8177" t="s">
        <v>20127</v>
      </c>
      <c r="Q8177" t="s">
        <v>19900</v>
      </c>
      <c r="R8177" t="s">
        <v>20129</v>
      </c>
      <c r="S8177" t="s">
        <v>19901</v>
      </c>
      <c r="T8177" t="s">
        <v>19911</v>
      </c>
    </row>
    <row r="8178" spans="2:20" x14ac:dyDescent="0.25">
      <c r="B8178" t="s">
        <v>2709</v>
      </c>
      <c r="C8178">
        <v>84349000</v>
      </c>
      <c r="E8178">
        <v>71.78</v>
      </c>
      <c r="F8178">
        <v>18</v>
      </c>
      <c r="G8178">
        <v>5</v>
      </c>
      <c r="H8178">
        <v>9.6</v>
      </c>
      <c r="I8178">
        <v>2</v>
      </c>
      <c r="J8178">
        <v>14</v>
      </c>
      <c r="L8178" t="s">
        <v>2709</v>
      </c>
      <c r="M8178">
        <v>84349000</v>
      </c>
      <c r="O8178" t="s">
        <v>20056</v>
      </c>
      <c r="P8178" t="s">
        <v>19899</v>
      </c>
      <c r="Q8178" t="s">
        <v>19909</v>
      </c>
      <c r="R8178" t="s">
        <v>20129</v>
      </c>
      <c r="S8178" t="s">
        <v>19901</v>
      </c>
      <c r="T8178" t="s">
        <v>19911</v>
      </c>
    </row>
    <row r="8179" spans="2:20" x14ac:dyDescent="0.25">
      <c r="B8179" t="s">
        <v>2709</v>
      </c>
      <c r="C8179">
        <v>84351000</v>
      </c>
      <c r="E8179">
        <v>71.78</v>
      </c>
      <c r="F8179">
        <v>8.8000000000000007</v>
      </c>
      <c r="G8179">
        <v>0</v>
      </c>
      <c r="H8179">
        <v>9.6</v>
      </c>
      <c r="I8179">
        <v>2</v>
      </c>
      <c r="J8179">
        <v>14</v>
      </c>
      <c r="L8179" t="s">
        <v>2709</v>
      </c>
      <c r="M8179">
        <v>84351000</v>
      </c>
      <c r="O8179" t="s">
        <v>20056</v>
      </c>
      <c r="P8179" t="s">
        <v>20127</v>
      </c>
      <c r="Q8179" t="s">
        <v>19900</v>
      </c>
      <c r="R8179" t="s">
        <v>20129</v>
      </c>
      <c r="S8179" t="s">
        <v>19901</v>
      </c>
      <c r="T8179" t="s">
        <v>19911</v>
      </c>
    </row>
    <row r="8180" spans="2:20" x14ac:dyDescent="0.25">
      <c r="B8180" t="s">
        <v>2709</v>
      </c>
      <c r="C8180">
        <v>84359000</v>
      </c>
      <c r="E8180">
        <v>71.78</v>
      </c>
      <c r="F8180">
        <v>18</v>
      </c>
      <c r="G8180">
        <v>5</v>
      </c>
      <c r="H8180">
        <v>9.6</v>
      </c>
      <c r="I8180">
        <v>2</v>
      </c>
      <c r="J8180">
        <v>14</v>
      </c>
      <c r="L8180" t="s">
        <v>2709</v>
      </c>
      <c r="M8180">
        <v>84359000</v>
      </c>
      <c r="O8180" t="s">
        <v>20056</v>
      </c>
      <c r="P8180" t="s">
        <v>19899</v>
      </c>
      <c r="Q8180" t="s">
        <v>19909</v>
      </c>
      <c r="R8180" t="s">
        <v>20129</v>
      </c>
      <c r="S8180" t="s">
        <v>19901</v>
      </c>
      <c r="T8180" t="s">
        <v>19911</v>
      </c>
    </row>
    <row r="8181" spans="2:20" x14ac:dyDescent="0.25">
      <c r="B8181" t="s">
        <v>2709</v>
      </c>
      <c r="C8181">
        <v>84361000</v>
      </c>
      <c r="E8181">
        <v>71.78</v>
      </c>
      <c r="F8181">
        <v>12</v>
      </c>
      <c r="G8181">
        <v>0</v>
      </c>
      <c r="H8181">
        <v>9.6</v>
      </c>
      <c r="I8181">
        <v>2</v>
      </c>
      <c r="J8181">
        <v>14</v>
      </c>
      <c r="L8181" t="s">
        <v>2709</v>
      </c>
      <c r="M8181">
        <v>84361000</v>
      </c>
      <c r="O8181" t="s">
        <v>20056</v>
      </c>
      <c r="P8181" t="s">
        <v>19903</v>
      </c>
      <c r="Q8181" t="s">
        <v>19900</v>
      </c>
      <c r="R8181" t="s">
        <v>20129</v>
      </c>
      <c r="S8181" t="s">
        <v>19901</v>
      </c>
      <c r="T8181" t="s">
        <v>19911</v>
      </c>
    </row>
    <row r="8182" spans="2:20" x14ac:dyDescent="0.25">
      <c r="B8182" t="s">
        <v>2709</v>
      </c>
      <c r="C8182">
        <v>84362100</v>
      </c>
      <c r="E8182">
        <v>71.78</v>
      </c>
      <c r="F8182">
        <v>12</v>
      </c>
      <c r="G8182">
        <v>0</v>
      </c>
      <c r="H8182">
        <v>9.6</v>
      </c>
      <c r="I8182">
        <v>2</v>
      </c>
      <c r="J8182">
        <v>14</v>
      </c>
      <c r="L8182" t="s">
        <v>2709</v>
      </c>
      <c r="M8182">
        <v>84362100</v>
      </c>
      <c r="O8182" t="s">
        <v>20056</v>
      </c>
      <c r="P8182" t="s">
        <v>19903</v>
      </c>
      <c r="Q8182" t="s">
        <v>19900</v>
      </c>
      <c r="R8182" t="s">
        <v>20129</v>
      </c>
      <c r="S8182" t="s">
        <v>19901</v>
      </c>
      <c r="T8182" t="s">
        <v>19911</v>
      </c>
    </row>
    <row r="8183" spans="2:20" x14ac:dyDescent="0.25">
      <c r="B8183" t="s">
        <v>2709</v>
      </c>
      <c r="C8183">
        <v>84362900</v>
      </c>
      <c r="E8183">
        <v>71.78</v>
      </c>
      <c r="F8183">
        <v>12</v>
      </c>
      <c r="G8183">
        <v>0</v>
      </c>
      <c r="H8183">
        <v>9.6</v>
      </c>
      <c r="I8183">
        <v>2</v>
      </c>
      <c r="J8183">
        <v>14</v>
      </c>
      <c r="L8183" t="s">
        <v>2709</v>
      </c>
      <c r="M8183">
        <v>84362900</v>
      </c>
      <c r="O8183" t="s">
        <v>20056</v>
      </c>
      <c r="P8183" t="s">
        <v>19903</v>
      </c>
      <c r="Q8183" t="s">
        <v>19900</v>
      </c>
      <c r="R8183" t="s">
        <v>20129</v>
      </c>
      <c r="S8183" t="s">
        <v>19901</v>
      </c>
      <c r="T8183" t="s">
        <v>19911</v>
      </c>
    </row>
    <row r="8184" spans="2:20" x14ac:dyDescent="0.25">
      <c r="B8184" t="s">
        <v>2709</v>
      </c>
      <c r="C8184">
        <v>84368000</v>
      </c>
      <c r="E8184">
        <v>71.78</v>
      </c>
      <c r="F8184">
        <v>12</v>
      </c>
      <c r="G8184">
        <v>0</v>
      </c>
      <c r="H8184">
        <v>9.6</v>
      </c>
      <c r="I8184">
        <v>2</v>
      </c>
      <c r="J8184">
        <v>14</v>
      </c>
      <c r="L8184" t="s">
        <v>2709</v>
      </c>
      <c r="M8184">
        <v>84368000</v>
      </c>
      <c r="O8184" t="s">
        <v>20056</v>
      </c>
      <c r="P8184" t="s">
        <v>19903</v>
      </c>
      <c r="Q8184" t="s">
        <v>19900</v>
      </c>
      <c r="R8184" t="s">
        <v>20129</v>
      </c>
      <c r="S8184" t="s">
        <v>19901</v>
      </c>
      <c r="T8184" t="s">
        <v>19911</v>
      </c>
    </row>
    <row r="8185" spans="2:20" x14ac:dyDescent="0.25">
      <c r="B8185" t="s">
        <v>2709</v>
      </c>
      <c r="C8185">
        <v>84369100</v>
      </c>
      <c r="E8185">
        <v>71.78</v>
      </c>
      <c r="F8185">
        <v>12</v>
      </c>
      <c r="G8185">
        <v>5</v>
      </c>
      <c r="H8185">
        <v>9.6</v>
      </c>
      <c r="I8185">
        <v>2</v>
      </c>
      <c r="J8185">
        <v>14</v>
      </c>
      <c r="L8185" t="s">
        <v>2709</v>
      </c>
      <c r="M8185">
        <v>84369100</v>
      </c>
      <c r="O8185" t="s">
        <v>20056</v>
      </c>
      <c r="P8185" t="s">
        <v>19903</v>
      </c>
      <c r="Q8185" t="s">
        <v>19909</v>
      </c>
      <c r="R8185" t="s">
        <v>20129</v>
      </c>
      <c r="S8185" t="s">
        <v>19901</v>
      </c>
      <c r="T8185" t="s">
        <v>19911</v>
      </c>
    </row>
    <row r="8186" spans="2:20" x14ac:dyDescent="0.25">
      <c r="B8186" t="s">
        <v>2709</v>
      </c>
      <c r="C8186">
        <v>84369900</v>
      </c>
      <c r="E8186">
        <v>71.78</v>
      </c>
      <c r="F8186">
        <v>12</v>
      </c>
      <c r="G8186">
        <v>5</v>
      </c>
      <c r="H8186">
        <v>9.6</v>
      </c>
      <c r="I8186">
        <v>2</v>
      </c>
      <c r="J8186">
        <v>14</v>
      </c>
      <c r="L8186" t="s">
        <v>2709</v>
      </c>
      <c r="M8186">
        <v>84369900</v>
      </c>
      <c r="O8186" t="s">
        <v>20056</v>
      </c>
      <c r="P8186" t="s">
        <v>19903</v>
      </c>
      <c r="Q8186" t="s">
        <v>19909</v>
      </c>
      <c r="R8186" t="s">
        <v>20129</v>
      </c>
      <c r="S8186" t="s">
        <v>19901</v>
      </c>
      <c r="T8186" t="s">
        <v>19911</v>
      </c>
    </row>
    <row r="8187" spans="2:20" x14ac:dyDescent="0.25">
      <c r="B8187" t="s">
        <v>2709</v>
      </c>
      <c r="C8187">
        <v>84371000</v>
      </c>
      <c r="E8187">
        <v>71.78</v>
      </c>
      <c r="F8187">
        <v>8.8000000000000007</v>
      </c>
      <c r="G8187">
        <v>0</v>
      </c>
      <c r="H8187">
        <v>9.6</v>
      </c>
      <c r="I8187">
        <v>2</v>
      </c>
      <c r="J8187">
        <v>14</v>
      </c>
      <c r="L8187" t="s">
        <v>2709</v>
      </c>
      <c r="M8187">
        <v>84371000</v>
      </c>
      <c r="O8187" t="s">
        <v>20056</v>
      </c>
      <c r="P8187" t="s">
        <v>20127</v>
      </c>
      <c r="Q8187" t="s">
        <v>19900</v>
      </c>
      <c r="R8187" t="s">
        <v>20129</v>
      </c>
      <c r="S8187" t="s">
        <v>19901</v>
      </c>
      <c r="T8187" t="s">
        <v>19911</v>
      </c>
    </row>
    <row r="8188" spans="2:20" x14ac:dyDescent="0.25">
      <c r="B8188" t="s">
        <v>2709</v>
      </c>
      <c r="C8188">
        <v>84378010</v>
      </c>
      <c r="E8188">
        <v>71.78</v>
      </c>
      <c r="F8188">
        <v>8.8000000000000007</v>
      </c>
      <c r="G8188">
        <v>0</v>
      </c>
      <c r="H8188">
        <v>9.6</v>
      </c>
      <c r="I8188">
        <v>2</v>
      </c>
      <c r="J8188">
        <v>14</v>
      </c>
      <c r="L8188" t="s">
        <v>2709</v>
      </c>
      <c r="M8188">
        <v>84378010</v>
      </c>
      <c r="O8188" t="s">
        <v>20056</v>
      </c>
      <c r="P8188" t="s">
        <v>20127</v>
      </c>
      <c r="Q8188" t="s">
        <v>19900</v>
      </c>
      <c r="R8188" t="s">
        <v>20129</v>
      </c>
      <c r="S8188" t="s">
        <v>19901</v>
      </c>
      <c r="T8188" t="s">
        <v>19911</v>
      </c>
    </row>
    <row r="8189" spans="2:20" x14ac:dyDescent="0.25">
      <c r="B8189" t="s">
        <v>2709</v>
      </c>
      <c r="C8189">
        <v>84378090</v>
      </c>
      <c r="E8189">
        <v>71.78</v>
      </c>
      <c r="F8189">
        <v>8.8000000000000007</v>
      </c>
      <c r="G8189">
        <v>0</v>
      </c>
      <c r="H8189">
        <v>9.6</v>
      </c>
      <c r="I8189">
        <v>2</v>
      </c>
      <c r="J8189">
        <v>14</v>
      </c>
      <c r="L8189" t="s">
        <v>2709</v>
      </c>
      <c r="M8189">
        <v>84378090</v>
      </c>
      <c r="O8189" t="s">
        <v>20056</v>
      </c>
      <c r="P8189" t="s">
        <v>20127</v>
      </c>
      <c r="Q8189" t="s">
        <v>19900</v>
      </c>
      <c r="R8189" t="s">
        <v>20129</v>
      </c>
      <c r="S8189" t="s">
        <v>19901</v>
      </c>
      <c r="T8189" t="s">
        <v>19911</v>
      </c>
    </row>
    <row r="8190" spans="2:20" x14ac:dyDescent="0.25">
      <c r="B8190" t="s">
        <v>2709</v>
      </c>
      <c r="C8190">
        <v>84379000</v>
      </c>
      <c r="E8190">
        <v>71.78</v>
      </c>
      <c r="F8190">
        <v>18</v>
      </c>
      <c r="G8190">
        <v>5</v>
      </c>
      <c r="H8190">
        <v>9.6</v>
      </c>
      <c r="I8190">
        <v>2</v>
      </c>
      <c r="J8190">
        <v>14</v>
      </c>
      <c r="L8190" t="s">
        <v>2709</v>
      </c>
      <c r="M8190">
        <v>84379000</v>
      </c>
      <c r="O8190" t="s">
        <v>20056</v>
      </c>
      <c r="P8190" t="s">
        <v>19899</v>
      </c>
      <c r="Q8190" t="s">
        <v>19909</v>
      </c>
      <c r="R8190" t="s">
        <v>20129</v>
      </c>
      <c r="S8190" t="s">
        <v>19901</v>
      </c>
      <c r="T8190" t="s">
        <v>19911</v>
      </c>
    </row>
    <row r="8191" spans="2:20" x14ac:dyDescent="0.25">
      <c r="B8191" t="s">
        <v>2709</v>
      </c>
      <c r="C8191">
        <v>84381000</v>
      </c>
      <c r="E8191">
        <v>71.78</v>
      </c>
      <c r="F8191">
        <v>8.8000000000000007</v>
      </c>
      <c r="G8191">
        <v>0</v>
      </c>
      <c r="H8191" t="s">
        <v>19447</v>
      </c>
      <c r="I8191" t="s">
        <v>19447</v>
      </c>
      <c r="J8191">
        <v>14</v>
      </c>
      <c r="L8191" t="s">
        <v>2709</v>
      </c>
      <c r="M8191">
        <v>84381000</v>
      </c>
      <c r="O8191" t="s">
        <v>20056</v>
      </c>
      <c r="P8191" t="s">
        <v>20127</v>
      </c>
      <c r="Q8191" t="s">
        <v>19900</v>
      </c>
      <c r="R8191" t="s">
        <v>19447</v>
      </c>
      <c r="S8191" t="s">
        <v>19447</v>
      </c>
      <c r="T8191" t="s">
        <v>19911</v>
      </c>
    </row>
    <row r="8192" spans="2:20" x14ac:dyDescent="0.25">
      <c r="B8192" t="s">
        <v>2709</v>
      </c>
      <c r="C8192">
        <v>84382011</v>
      </c>
      <c r="E8192">
        <v>71.78</v>
      </c>
      <c r="F8192">
        <v>8.8000000000000007</v>
      </c>
      <c r="G8192">
        <v>0</v>
      </c>
      <c r="H8192" t="s">
        <v>19447</v>
      </c>
      <c r="I8192" t="s">
        <v>19447</v>
      </c>
      <c r="J8192">
        <v>0</v>
      </c>
      <c r="L8192" t="s">
        <v>2709</v>
      </c>
      <c r="M8192">
        <v>84382011</v>
      </c>
      <c r="O8192" t="s">
        <v>20056</v>
      </c>
      <c r="P8192" t="s">
        <v>20127</v>
      </c>
      <c r="Q8192" t="s">
        <v>19900</v>
      </c>
      <c r="R8192" t="s">
        <v>19447</v>
      </c>
      <c r="S8192" t="s">
        <v>19447</v>
      </c>
      <c r="T8192" t="s">
        <v>19900</v>
      </c>
    </row>
    <row r="8193" spans="2:20" x14ac:dyDescent="0.25">
      <c r="B8193" t="s">
        <v>2709</v>
      </c>
      <c r="C8193">
        <v>84382019</v>
      </c>
      <c r="E8193">
        <v>71.78</v>
      </c>
      <c r="F8193">
        <v>8.8000000000000007</v>
      </c>
      <c r="G8193">
        <v>0</v>
      </c>
      <c r="H8193" t="s">
        <v>19447</v>
      </c>
      <c r="I8193" t="s">
        <v>19447</v>
      </c>
      <c r="J8193">
        <v>14</v>
      </c>
      <c r="L8193" t="s">
        <v>2709</v>
      </c>
      <c r="M8193">
        <v>84382019</v>
      </c>
      <c r="O8193" t="s">
        <v>20056</v>
      </c>
      <c r="P8193" t="s">
        <v>20127</v>
      </c>
      <c r="Q8193" t="s">
        <v>19900</v>
      </c>
      <c r="R8193" t="s">
        <v>19447</v>
      </c>
      <c r="S8193" t="s">
        <v>19447</v>
      </c>
      <c r="T8193" t="s">
        <v>19911</v>
      </c>
    </row>
    <row r="8194" spans="2:20" x14ac:dyDescent="0.25">
      <c r="B8194" t="s">
        <v>2709</v>
      </c>
      <c r="C8194">
        <v>84382090</v>
      </c>
      <c r="E8194">
        <v>71.78</v>
      </c>
      <c r="F8194">
        <v>8.8000000000000007</v>
      </c>
      <c r="G8194">
        <v>0</v>
      </c>
      <c r="H8194" t="s">
        <v>19447</v>
      </c>
      <c r="I8194" t="s">
        <v>19447</v>
      </c>
      <c r="J8194">
        <v>14</v>
      </c>
      <c r="L8194" t="s">
        <v>2709</v>
      </c>
      <c r="M8194">
        <v>84382090</v>
      </c>
      <c r="O8194" t="s">
        <v>20056</v>
      </c>
      <c r="P8194" t="s">
        <v>20127</v>
      </c>
      <c r="Q8194" t="s">
        <v>19900</v>
      </c>
      <c r="R8194" t="s">
        <v>19447</v>
      </c>
      <c r="S8194" t="s">
        <v>19447</v>
      </c>
      <c r="T8194" t="s">
        <v>19911</v>
      </c>
    </row>
    <row r="8195" spans="2:20" x14ac:dyDescent="0.25">
      <c r="B8195" t="s">
        <v>2709</v>
      </c>
      <c r="C8195">
        <v>84383000</v>
      </c>
      <c r="E8195">
        <v>71.78</v>
      </c>
      <c r="F8195">
        <v>8.8000000000000007</v>
      </c>
      <c r="G8195">
        <v>0</v>
      </c>
      <c r="H8195" t="s">
        <v>19447</v>
      </c>
      <c r="I8195" t="s">
        <v>19447</v>
      </c>
      <c r="J8195">
        <v>14</v>
      </c>
      <c r="L8195" t="s">
        <v>2709</v>
      </c>
      <c r="M8195">
        <v>84383000</v>
      </c>
      <c r="O8195" t="s">
        <v>20056</v>
      </c>
      <c r="P8195" t="s">
        <v>20127</v>
      </c>
      <c r="Q8195" t="s">
        <v>19900</v>
      </c>
      <c r="R8195" t="s">
        <v>19447</v>
      </c>
      <c r="S8195" t="s">
        <v>19447</v>
      </c>
      <c r="T8195" t="s">
        <v>19911</v>
      </c>
    </row>
    <row r="8196" spans="2:20" x14ac:dyDescent="0.25">
      <c r="B8196" t="s">
        <v>2709</v>
      </c>
      <c r="C8196">
        <v>84384000</v>
      </c>
      <c r="E8196">
        <v>71.78</v>
      </c>
      <c r="F8196">
        <v>8.8000000000000007</v>
      </c>
      <c r="G8196">
        <v>0</v>
      </c>
      <c r="H8196" t="s">
        <v>19447</v>
      </c>
      <c r="I8196" t="s">
        <v>19447</v>
      </c>
      <c r="J8196">
        <v>14</v>
      </c>
      <c r="L8196" t="s">
        <v>2709</v>
      </c>
      <c r="M8196">
        <v>84384000</v>
      </c>
      <c r="O8196" t="s">
        <v>20056</v>
      </c>
      <c r="P8196" t="s">
        <v>20127</v>
      </c>
      <c r="Q8196" t="s">
        <v>19900</v>
      </c>
      <c r="R8196" t="s">
        <v>19447</v>
      </c>
      <c r="S8196" t="s">
        <v>19447</v>
      </c>
      <c r="T8196" t="s">
        <v>19911</v>
      </c>
    </row>
    <row r="8197" spans="2:20" x14ac:dyDescent="0.25">
      <c r="B8197" t="s">
        <v>2709</v>
      </c>
      <c r="C8197">
        <v>84385000</v>
      </c>
      <c r="E8197">
        <v>71.78</v>
      </c>
      <c r="F8197">
        <v>8.8000000000000007</v>
      </c>
      <c r="G8197">
        <v>0</v>
      </c>
      <c r="H8197" t="s">
        <v>19447</v>
      </c>
      <c r="I8197" t="s">
        <v>19447</v>
      </c>
      <c r="J8197">
        <v>14</v>
      </c>
      <c r="L8197" t="s">
        <v>2709</v>
      </c>
      <c r="M8197">
        <v>84385000</v>
      </c>
      <c r="O8197" t="s">
        <v>20056</v>
      </c>
      <c r="P8197" t="s">
        <v>20127</v>
      </c>
      <c r="Q8197" t="s">
        <v>19900</v>
      </c>
      <c r="R8197" t="s">
        <v>19447</v>
      </c>
      <c r="S8197" t="s">
        <v>19447</v>
      </c>
      <c r="T8197" t="s">
        <v>19911</v>
      </c>
    </row>
    <row r="8198" spans="2:20" x14ac:dyDescent="0.25">
      <c r="B8198" t="s">
        <v>2709</v>
      </c>
      <c r="C8198">
        <v>84386000</v>
      </c>
      <c r="E8198">
        <v>71.78</v>
      </c>
      <c r="F8198">
        <v>8.8000000000000007</v>
      </c>
      <c r="G8198">
        <v>0</v>
      </c>
      <c r="H8198" t="s">
        <v>19447</v>
      </c>
      <c r="I8198" t="s">
        <v>19447</v>
      </c>
      <c r="J8198">
        <v>14</v>
      </c>
      <c r="L8198" t="s">
        <v>2709</v>
      </c>
      <c r="M8198">
        <v>84386000</v>
      </c>
      <c r="O8198" t="s">
        <v>20056</v>
      </c>
      <c r="P8198" t="s">
        <v>20127</v>
      </c>
      <c r="Q8198" t="s">
        <v>19900</v>
      </c>
      <c r="R8198" t="s">
        <v>19447</v>
      </c>
      <c r="S8198" t="s">
        <v>19447</v>
      </c>
      <c r="T8198" t="s">
        <v>19911</v>
      </c>
    </row>
    <row r="8199" spans="2:20" x14ac:dyDescent="0.25">
      <c r="B8199" t="s">
        <v>2709</v>
      </c>
      <c r="C8199">
        <v>84388010</v>
      </c>
      <c r="E8199">
        <v>71.78</v>
      </c>
      <c r="F8199">
        <v>18</v>
      </c>
      <c r="G8199">
        <v>0</v>
      </c>
      <c r="H8199" t="s">
        <v>19447</v>
      </c>
      <c r="I8199" t="s">
        <v>19447</v>
      </c>
      <c r="J8199">
        <v>14</v>
      </c>
      <c r="L8199" t="s">
        <v>2709</v>
      </c>
      <c r="M8199">
        <v>84388010</v>
      </c>
      <c r="O8199" t="s">
        <v>20056</v>
      </c>
      <c r="P8199" t="s">
        <v>19899</v>
      </c>
      <c r="Q8199" t="s">
        <v>19900</v>
      </c>
      <c r="R8199" t="s">
        <v>19447</v>
      </c>
      <c r="S8199" t="s">
        <v>19447</v>
      </c>
      <c r="T8199" t="s">
        <v>19911</v>
      </c>
    </row>
    <row r="8200" spans="2:20" x14ac:dyDescent="0.25">
      <c r="B8200" t="s">
        <v>2709</v>
      </c>
      <c r="C8200">
        <v>84388020</v>
      </c>
      <c r="E8200">
        <v>71.78</v>
      </c>
      <c r="F8200">
        <v>8.8000000000000007</v>
      </c>
      <c r="G8200">
        <v>0</v>
      </c>
      <c r="H8200" t="s">
        <v>19447</v>
      </c>
      <c r="I8200" t="s">
        <v>19447</v>
      </c>
      <c r="J8200">
        <v>0</v>
      </c>
      <c r="L8200" t="s">
        <v>2709</v>
      </c>
      <c r="M8200">
        <v>84388020</v>
      </c>
      <c r="O8200" t="s">
        <v>20056</v>
      </c>
      <c r="P8200" t="s">
        <v>20127</v>
      </c>
      <c r="Q8200" t="s">
        <v>19900</v>
      </c>
      <c r="R8200" t="s">
        <v>19447</v>
      </c>
      <c r="S8200" t="s">
        <v>19447</v>
      </c>
      <c r="T8200" t="s">
        <v>19900</v>
      </c>
    </row>
    <row r="8201" spans="2:20" x14ac:dyDescent="0.25">
      <c r="B8201" t="s">
        <v>2709</v>
      </c>
      <c r="C8201">
        <v>84388090</v>
      </c>
      <c r="E8201">
        <v>71.78</v>
      </c>
      <c r="F8201">
        <v>8.8000000000000007</v>
      </c>
      <c r="G8201">
        <v>0</v>
      </c>
      <c r="H8201" t="s">
        <v>19447</v>
      </c>
      <c r="I8201" t="s">
        <v>19447</v>
      </c>
      <c r="J8201">
        <v>14</v>
      </c>
      <c r="L8201" t="s">
        <v>2709</v>
      </c>
      <c r="M8201">
        <v>84388090</v>
      </c>
      <c r="O8201" t="s">
        <v>20056</v>
      </c>
      <c r="P8201" t="s">
        <v>20127</v>
      </c>
      <c r="Q8201" t="s">
        <v>19900</v>
      </c>
      <c r="R8201" t="s">
        <v>19447</v>
      </c>
      <c r="S8201" t="s">
        <v>19447</v>
      </c>
      <c r="T8201" t="s">
        <v>19911</v>
      </c>
    </row>
    <row r="8202" spans="2:20" x14ac:dyDescent="0.25">
      <c r="B8202" t="s">
        <v>2709</v>
      </c>
      <c r="C8202">
        <v>84389000</v>
      </c>
      <c r="E8202">
        <v>71.78</v>
      </c>
      <c r="F8202">
        <v>18</v>
      </c>
      <c r="G8202">
        <v>5</v>
      </c>
      <c r="H8202" t="s">
        <v>19447</v>
      </c>
      <c r="I8202" t="s">
        <v>19447</v>
      </c>
      <c r="J8202">
        <v>14</v>
      </c>
      <c r="L8202" t="s">
        <v>2709</v>
      </c>
      <c r="M8202">
        <v>84389000</v>
      </c>
      <c r="O8202" t="s">
        <v>20056</v>
      </c>
      <c r="P8202" t="s">
        <v>19899</v>
      </c>
      <c r="Q8202" t="s">
        <v>19909</v>
      </c>
      <c r="R8202" t="s">
        <v>19447</v>
      </c>
      <c r="S8202" t="s">
        <v>19447</v>
      </c>
      <c r="T8202" t="s">
        <v>19911</v>
      </c>
    </row>
    <row r="8203" spans="2:20" x14ac:dyDescent="0.25">
      <c r="B8203" t="s">
        <v>2709</v>
      </c>
      <c r="C8203">
        <v>84391010</v>
      </c>
      <c r="E8203">
        <v>71.78</v>
      </c>
      <c r="F8203">
        <v>8.8000000000000007</v>
      </c>
      <c r="G8203">
        <v>0</v>
      </c>
      <c r="H8203" t="s">
        <v>19447</v>
      </c>
      <c r="I8203" t="s">
        <v>19447</v>
      </c>
      <c r="J8203">
        <v>14</v>
      </c>
      <c r="L8203" t="s">
        <v>2709</v>
      </c>
      <c r="M8203">
        <v>84391010</v>
      </c>
      <c r="O8203" t="s">
        <v>20056</v>
      </c>
      <c r="P8203" t="s">
        <v>20127</v>
      </c>
      <c r="Q8203" t="s">
        <v>19900</v>
      </c>
      <c r="R8203" t="s">
        <v>19447</v>
      </c>
      <c r="S8203" t="s">
        <v>19447</v>
      </c>
      <c r="T8203" t="s">
        <v>19911</v>
      </c>
    </row>
    <row r="8204" spans="2:20" x14ac:dyDescent="0.25">
      <c r="B8204" t="s">
        <v>2709</v>
      </c>
      <c r="C8204">
        <v>84391020</v>
      </c>
      <c r="E8204">
        <v>71.78</v>
      </c>
      <c r="F8204">
        <v>8.8000000000000007</v>
      </c>
      <c r="G8204">
        <v>0</v>
      </c>
      <c r="H8204" t="s">
        <v>19447</v>
      </c>
      <c r="I8204" t="s">
        <v>19447</v>
      </c>
      <c r="J8204">
        <v>14</v>
      </c>
      <c r="L8204" t="s">
        <v>2709</v>
      </c>
      <c r="M8204">
        <v>84391020</v>
      </c>
      <c r="O8204" t="s">
        <v>20056</v>
      </c>
      <c r="P8204" t="s">
        <v>20127</v>
      </c>
      <c r="Q8204" t="s">
        <v>19900</v>
      </c>
      <c r="R8204" t="s">
        <v>19447</v>
      </c>
      <c r="S8204" t="s">
        <v>19447</v>
      </c>
      <c r="T8204" t="s">
        <v>19911</v>
      </c>
    </row>
    <row r="8205" spans="2:20" x14ac:dyDescent="0.25">
      <c r="B8205" t="s">
        <v>2709</v>
      </c>
      <c r="C8205">
        <v>84391030</v>
      </c>
      <c r="E8205">
        <v>71.78</v>
      </c>
      <c r="F8205">
        <v>8.8000000000000007</v>
      </c>
      <c r="G8205">
        <v>0</v>
      </c>
      <c r="H8205" t="s">
        <v>19447</v>
      </c>
      <c r="I8205" t="s">
        <v>19447</v>
      </c>
      <c r="J8205">
        <v>14</v>
      </c>
      <c r="L8205" t="s">
        <v>2709</v>
      </c>
      <c r="M8205">
        <v>84391030</v>
      </c>
      <c r="O8205" t="s">
        <v>20056</v>
      </c>
      <c r="P8205" t="s">
        <v>20127</v>
      </c>
      <c r="Q8205" t="s">
        <v>19900</v>
      </c>
      <c r="R8205" t="s">
        <v>19447</v>
      </c>
      <c r="S8205" t="s">
        <v>19447</v>
      </c>
      <c r="T8205" t="s">
        <v>19911</v>
      </c>
    </row>
    <row r="8206" spans="2:20" x14ac:dyDescent="0.25">
      <c r="B8206" t="s">
        <v>2709</v>
      </c>
      <c r="C8206">
        <v>84391090</v>
      </c>
      <c r="E8206">
        <v>71.78</v>
      </c>
      <c r="F8206">
        <v>8.8000000000000007</v>
      </c>
      <c r="G8206">
        <v>0</v>
      </c>
      <c r="H8206" t="s">
        <v>19447</v>
      </c>
      <c r="I8206" t="s">
        <v>19447</v>
      </c>
      <c r="J8206">
        <v>14</v>
      </c>
      <c r="L8206" t="s">
        <v>2709</v>
      </c>
      <c r="M8206">
        <v>84391090</v>
      </c>
      <c r="O8206" t="s">
        <v>20056</v>
      </c>
      <c r="P8206" t="s">
        <v>20127</v>
      </c>
      <c r="Q8206" t="s">
        <v>19900</v>
      </c>
      <c r="R8206" t="s">
        <v>19447</v>
      </c>
      <c r="S8206" t="s">
        <v>19447</v>
      </c>
      <c r="T8206" t="s">
        <v>19911</v>
      </c>
    </row>
    <row r="8207" spans="2:20" x14ac:dyDescent="0.25">
      <c r="B8207" t="s">
        <v>2709</v>
      </c>
      <c r="C8207">
        <v>84392000</v>
      </c>
      <c r="E8207">
        <v>71.78</v>
      </c>
      <c r="F8207">
        <v>8.8000000000000007</v>
      </c>
      <c r="G8207">
        <v>0</v>
      </c>
      <c r="H8207" t="s">
        <v>19447</v>
      </c>
      <c r="I8207" t="s">
        <v>19447</v>
      </c>
      <c r="J8207">
        <v>14</v>
      </c>
      <c r="L8207" t="s">
        <v>2709</v>
      </c>
      <c r="M8207">
        <v>84392000</v>
      </c>
      <c r="O8207" t="s">
        <v>20056</v>
      </c>
      <c r="P8207" t="s">
        <v>20127</v>
      </c>
      <c r="Q8207" t="s">
        <v>19900</v>
      </c>
      <c r="R8207" t="s">
        <v>19447</v>
      </c>
      <c r="S8207" t="s">
        <v>19447</v>
      </c>
      <c r="T8207" t="s">
        <v>19911</v>
      </c>
    </row>
    <row r="8208" spans="2:20" x14ac:dyDescent="0.25">
      <c r="B8208" t="s">
        <v>2709</v>
      </c>
      <c r="C8208">
        <v>84393010</v>
      </c>
      <c r="E8208">
        <v>71.78</v>
      </c>
      <c r="F8208">
        <v>8.8000000000000007</v>
      </c>
      <c r="G8208">
        <v>0</v>
      </c>
      <c r="H8208" t="s">
        <v>19447</v>
      </c>
      <c r="I8208" t="s">
        <v>19447</v>
      </c>
      <c r="J8208">
        <v>14</v>
      </c>
      <c r="L8208" t="s">
        <v>2709</v>
      </c>
      <c r="M8208">
        <v>84393010</v>
      </c>
      <c r="O8208" t="s">
        <v>20056</v>
      </c>
      <c r="P8208" t="s">
        <v>20127</v>
      </c>
      <c r="Q8208" t="s">
        <v>19900</v>
      </c>
      <c r="R8208" t="s">
        <v>19447</v>
      </c>
      <c r="S8208" t="s">
        <v>19447</v>
      </c>
      <c r="T8208" t="s">
        <v>19911</v>
      </c>
    </row>
    <row r="8209" spans="2:20" x14ac:dyDescent="0.25">
      <c r="B8209" t="s">
        <v>2709</v>
      </c>
      <c r="C8209">
        <v>84393020</v>
      </c>
      <c r="E8209">
        <v>71.78</v>
      </c>
      <c r="F8209">
        <v>8.8000000000000007</v>
      </c>
      <c r="G8209">
        <v>0</v>
      </c>
      <c r="H8209" t="s">
        <v>19447</v>
      </c>
      <c r="I8209" t="s">
        <v>19447</v>
      </c>
      <c r="J8209">
        <v>14</v>
      </c>
      <c r="L8209" t="s">
        <v>2709</v>
      </c>
      <c r="M8209">
        <v>84393020</v>
      </c>
      <c r="O8209" t="s">
        <v>20056</v>
      </c>
      <c r="P8209" t="s">
        <v>20127</v>
      </c>
      <c r="Q8209" t="s">
        <v>19900</v>
      </c>
      <c r="R8209" t="s">
        <v>19447</v>
      </c>
      <c r="S8209" t="s">
        <v>19447</v>
      </c>
      <c r="T8209" t="s">
        <v>19911</v>
      </c>
    </row>
    <row r="8210" spans="2:20" x14ac:dyDescent="0.25">
      <c r="B8210" t="s">
        <v>2709</v>
      </c>
      <c r="C8210">
        <v>84393030</v>
      </c>
      <c r="E8210">
        <v>71.78</v>
      </c>
      <c r="F8210">
        <v>8.8000000000000007</v>
      </c>
      <c r="G8210">
        <v>0</v>
      </c>
      <c r="H8210" t="s">
        <v>19447</v>
      </c>
      <c r="I8210" t="s">
        <v>19447</v>
      </c>
      <c r="J8210">
        <v>14</v>
      </c>
      <c r="L8210" t="s">
        <v>2709</v>
      </c>
      <c r="M8210">
        <v>84393030</v>
      </c>
      <c r="O8210" t="s">
        <v>20056</v>
      </c>
      <c r="P8210" t="s">
        <v>20127</v>
      </c>
      <c r="Q8210" t="s">
        <v>19900</v>
      </c>
      <c r="R8210" t="s">
        <v>19447</v>
      </c>
      <c r="S8210" t="s">
        <v>19447</v>
      </c>
      <c r="T8210" t="s">
        <v>19911</v>
      </c>
    </row>
    <row r="8211" spans="2:20" x14ac:dyDescent="0.25">
      <c r="B8211" t="s">
        <v>2709</v>
      </c>
      <c r="C8211">
        <v>84393090</v>
      </c>
      <c r="E8211">
        <v>71.78</v>
      </c>
      <c r="F8211">
        <v>8.8000000000000007</v>
      </c>
      <c r="G8211">
        <v>0</v>
      </c>
      <c r="H8211" t="s">
        <v>19447</v>
      </c>
      <c r="I8211" t="s">
        <v>19447</v>
      </c>
      <c r="J8211">
        <v>14</v>
      </c>
      <c r="L8211" t="s">
        <v>2709</v>
      </c>
      <c r="M8211">
        <v>84393090</v>
      </c>
      <c r="O8211" t="s">
        <v>20056</v>
      </c>
      <c r="P8211" t="s">
        <v>20127</v>
      </c>
      <c r="Q8211" t="s">
        <v>19900</v>
      </c>
      <c r="R8211" t="s">
        <v>19447</v>
      </c>
      <c r="S8211" t="s">
        <v>19447</v>
      </c>
      <c r="T8211" t="s">
        <v>19911</v>
      </c>
    </row>
    <row r="8212" spans="2:20" x14ac:dyDescent="0.25">
      <c r="B8212" t="s">
        <v>2709</v>
      </c>
      <c r="C8212">
        <v>84399100</v>
      </c>
      <c r="E8212">
        <v>71.78</v>
      </c>
      <c r="F8212">
        <v>18</v>
      </c>
      <c r="G8212">
        <v>5</v>
      </c>
      <c r="H8212" t="s">
        <v>19447</v>
      </c>
      <c r="I8212" t="s">
        <v>19447</v>
      </c>
      <c r="J8212">
        <v>14</v>
      </c>
      <c r="L8212" t="s">
        <v>2709</v>
      </c>
      <c r="M8212">
        <v>84399100</v>
      </c>
      <c r="O8212" t="s">
        <v>20056</v>
      </c>
      <c r="P8212" t="s">
        <v>19899</v>
      </c>
      <c r="Q8212" t="s">
        <v>19909</v>
      </c>
      <c r="R8212" t="s">
        <v>19447</v>
      </c>
      <c r="S8212" t="s">
        <v>19447</v>
      </c>
      <c r="T8212" t="s">
        <v>19911</v>
      </c>
    </row>
    <row r="8213" spans="2:20" x14ac:dyDescent="0.25">
      <c r="B8213" t="s">
        <v>2709</v>
      </c>
      <c r="C8213">
        <v>84399910</v>
      </c>
      <c r="E8213">
        <v>71.78</v>
      </c>
      <c r="F8213">
        <v>18</v>
      </c>
      <c r="G8213">
        <v>5</v>
      </c>
      <c r="H8213" t="s">
        <v>19447</v>
      </c>
      <c r="I8213" t="s">
        <v>19447</v>
      </c>
      <c r="J8213">
        <v>0</v>
      </c>
      <c r="L8213" t="s">
        <v>2709</v>
      </c>
      <c r="M8213">
        <v>84399910</v>
      </c>
      <c r="O8213" t="s">
        <v>20056</v>
      </c>
      <c r="P8213" t="s">
        <v>19899</v>
      </c>
      <c r="Q8213" t="s">
        <v>19909</v>
      </c>
      <c r="R8213" t="s">
        <v>19447</v>
      </c>
      <c r="S8213" t="s">
        <v>19447</v>
      </c>
      <c r="T8213" t="s">
        <v>19900</v>
      </c>
    </row>
    <row r="8214" spans="2:20" x14ac:dyDescent="0.25">
      <c r="B8214" t="s">
        <v>2709</v>
      </c>
      <c r="C8214">
        <v>84399990</v>
      </c>
      <c r="E8214">
        <v>71.78</v>
      </c>
      <c r="F8214">
        <v>18</v>
      </c>
      <c r="G8214">
        <v>5</v>
      </c>
      <c r="H8214" t="s">
        <v>19447</v>
      </c>
      <c r="I8214" t="s">
        <v>19447</v>
      </c>
      <c r="J8214">
        <v>14</v>
      </c>
      <c r="L8214" t="s">
        <v>2709</v>
      </c>
      <c r="M8214">
        <v>84399990</v>
      </c>
      <c r="O8214" t="s">
        <v>20056</v>
      </c>
      <c r="P8214" t="s">
        <v>19899</v>
      </c>
      <c r="Q8214" t="s">
        <v>19909</v>
      </c>
      <c r="R8214" t="s">
        <v>19447</v>
      </c>
      <c r="S8214" t="s">
        <v>19447</v>
      </c>
      <c r="T8214" t="s">
        <v>19911</v>
      </c>
    </row>
    <row r="8215" spans="2:20" x14ac:dyDescent="0.25">
      <c r="B8215" t="s">
        <v>2709</v>
      </c>
      <c r="C8215">
        <v>84401011</v>
      </c>
      <c r="E8215">
        <v>71.78</v>
      </c>
      <c r="F8215">
        <v>8.8000000000000007</v>
      </c>
      <c r="G8215">
        <v>0</v>
      </c>
      <c r="H8215" t="s">
        <v>19447</v>
      </c>
      <c r="I8215" t="s">
        <v>19447</v>
      </c>
      <c r="J8215">
        <v>0</v>
      </c>
      <c r="L8215" t="s">
        <v>2709</v>
      </c>
      <c r="M8215">
        <v>84401011</v>
      </c>
      <c r="O8215" t="s">
        <v>20056</v>
      </c>
      <c r="P8215" t="s">
        <v>20127</v>
      </c>
      <c r="Q8215" t="s">
        <v>19900</v>
      </c>
      <c r="R8215" t="s">
        <v>19447</v>
      </c>
      <c r="S8215" t="s">
        <v>19447</v>
      </c>
      <c r="T8215" t="s">
        <v>19900</v>
      </c>
    </row>
    <row r="8216" spans="2:20" x14ac:dyDescent="0.25">
      <c r="B8216" t="s">
        <v>2709</v>
      </c>
      <c r="C8216">
        <v>84401019</v>
      </c>
      <c r="E8216">
        <v>71.78</v>
      </c>
      <c r="F8216">
        <v>8.8000000000000007</v>
      </c>
      <c r="G8216">
        <v>0</v>
      </c>
      <c r="H8216" t="s">
        <v>19447</v>
      </c>
      <c r="I8216" t="s">
        <v>19447</v>
      </c>
      <c r="J8216">
        <v>14</v>
      </c>
      <c r="L8216" t="s">
        <v>2709</v>
      </c>
      <c r="M8216">
        <v>84401019</v>
      </c>
      <c r="O8216" t="s">
        <v>20056</v>
      </c>
      <c r="P8216" t="s">
        <v>20127</v>
      </c>
      <c r="Q8216" t="s">
        <v>19900</v>
      </c>
      <c r="R8216" t="s">
        <v>19447</v>
      </c>
      <c r="S8216" t="s">
        <v>19447</v>
      </c>
      <c r="T8216" t="s">
        <v>19911</v>
      </c>
    </row>
    <row r="8217" spans="2:20" x14ac:dyDescent="0.25">
      <c r="B8217" t="s">
        <v>2709</v>
      </c>
      <c r="C8217">
        <v>84401020</v>
      </c>
      <c r="E8217">
        <v>71.78</v>
      </c>
      <c r="F8217">
        <v>8.8000000000000007</v>
      </c>
      <c r="G8217">
        <v>0</v>
      </c>
      <c r="H8217" t="s">
        <v>19447</v>
      </c>
      <c r="I8217" t="s">
        <v>19447</v>
      </c>
      <c r="J8217">
        <v>0</v>
      </c>
      <c r="L8217" t="s">
        <v>2709</v>
      </c>
      <c r="M8217">
        <v>84401020</v>
      </c>
      <c r="O8217" t="s">
        <v>20056</v>
      </c>
      <c r="P8217" t="s">
        <v>20127</v>
      </c>
      <c r="Q8217" t="s">
        <v>19900</v>
      </c>
      <c r="R8217" t="s">
        <v>19447</v>
      </c>
      <c r="S8217" t="s">
        <v>19447</v>
      </c>
      <c r="T8217" t="s">
        <v>19900</v>
      </c>
    </row>
    <row r="8218" spans="2:20" x14ac:dyDescent="0.25">
      <c r="B8218" t="s">
        <v>2709</v>
      </c>
      <c r="C8218">
        <v>84401090</v>
      </c>
      <c r="E8218">
        <v>71.78</v>
      </c>
      <c r="F8218">
        <v>8.8000000000000007</v>
      </c>
      <c r="G8218">
        <v>0</v>
      </c>
      <c r="H8218" t="s">
        <v>19447</v>
      </c>
      <c r="I8218" t="s">
        <v>19447</v>
      </c>
      <c r="J8218">
        <v>14</v>
      </c>
      <c r="L8218" t="s">
        <v>2709</v>
      </c>
      <c r="M8218">
        <v>84401090</v>
      </c>
      <c r="O8218" t="s">
        <v>20056</v>
      </c>
      <c r="P8218" t="s">
        <v>20127</v>
      </c>
      <c r="Q8218" t="s">
        <v>19900</v>
      </c>
      <c r="R8218" t="s">
        <v>19447</v>
      </c>
      <c r="S8218" t="s">
        <v>19447</v>
      </c>
      <c r="T8218" t="s">
        <v>19911</v>
      </c>
    </row>
    <row r="8219" spans="2:20" x14ac:dyDescent="0.25">
      <c r="B8219" t="s">
        <v>2709</v>
      </c>
      <c r="C8219">
        <v>84409000</v>
      </c>
      <c r="E8219">
        <v>71.78</v>
      </c>
      <c r="F8219">
        <v>18</v>
      </c>
      <c r="G8219">
        <v>5</v>
      </c>
      <c r="H8219" t="s">
        <v>19447</v>
      </c>
      <c r="I8219" t="s">
        <v>19447</v>
      </c>
      <c r="J8219">
        <v>14</v>
      </c>
      <c r="L8219" t="s">
        <v>2709</v>
      </c>
      <c r="M8219">
        <v>84409000</v>
      </c>
      <c r="O8219" t="s">
        <v>20056</v>
      </c>
      <c r="P8219" t="s">
        <v>19899</v>
      </c>
      <c r="Q8219" t="s">
        <v>19909</v>
      </c>
      <c r="R8219" t="s">
        <v>19447</v>
      </c>
      <c r="S8219" t="s">
        <v>19447</v>
      </c>
      <c r="T8219" t="s">
        <v>19911</v>
      </c>
    </row>
    <row r="8220" spans="2:20" x14ac:dyDescent="0.25">
      <c r="B8220" t="s">
        <v>2709</v>
      </c>
      <c r="C8220">
        <v>84411010</v>
      </c>
      <c r="E8220">
        <v>71.78</v>
      </c>
      <c r="F8220">
        <v>8.8000000000000007</v>
      </c>
      <c r="G8220">
        <v>0</v>
      </c>
      <c r="H8220" t="s">
        <v>19447</v>
      </c>
      <c r="I8220" t="s">
        <v>19447</v>
      </c>
      <c r="J8220">
        <v>0</v>
      </c>
      <c r="L8220" t="s">
        <v>2709</v>
      </c>
      <c r="M8220">
        <v>84411010</v>
      </c>
      <c r="O8220" t="s">
        <v>20056</v>
      </c>
      <c r="P8220" t="s">
        <v>20127</v>
      </c>
      <c r="Q8220" t="s">
        <v>19900</v>
      </c>
      <c r="R8220" t="s">
        <v>19447</v>
      </c>
      <c r="S8220" t="s">
        <v>19447</v>
      </c>
      <c r="T8220" t="s">
        <v>19900</v>
      </c>
    </row>
    <row r="8221" spans="2:20" x14ac:dyDescent="0.25">
      <c r="B8221" t="s">
        <v>2709</v>
      </c>
      <c r="C8221">
        <v>84411090</v>
      </c>
      <c r="E8221">
        <v>71.78</v>
      </c>
      <c r="F8221">
        <v>8.8000000000000007</v>
      </c>
      <c r="G8221">
        <v>0</v>
      </c>
      <c r="H8221" t="s">
        <v>19447</v>
      </c>
      <c r="I8221" t="s">
        <v>19447</v>
      </c>
      <c r="J8221">
        <v>14</v>
      </c>
      <c r="L8221" t="s">
        <v>2709</v>
      </c>
      <c r="M8221">
        <v>84411090</v>
      </c>
      <c r="O8221" t="s">
        <v>20056</v>
      </c>
      <c r="P8221" t="s">
        <v>20127</v>
      </c>
      <c r="Q8221" t="s">
        <v>19900</v>
      </c>
      <c r="R8221" t="s">
        <v>19447</v>
      </c>
      <c r="S8221" t="s">
        <v>19447</v>
      </c>
      <c r="T8221" t="s">
        <v>19911</v>
      </c>
    </row>
    <row r="8222" spans="2:20" x14ac:dyDescent="0.25">
      <c r="B8222" t="s">
        <v>2709</v>
      </c>
      <c r="C8222">
        <v>84412000</v>
      </c>
      <c r="E8222">
        <v>71.78</v>
      </c>
      <c r="F8222">
        <v>8.8000000000000007</v>
      </c>
      <c r="G8222">
        <v>0</v>
      </c>
      <c r="H8222" t="s">
        <v>19447</v>
      </c>
      <c r="I8222" t="s">
        <v>19447</v>
      </c>
      <c r="J8222">
        <v>14</v>
      </c>
      <c r="L8222" t="s">
        <v>2709</v>
      </c>
      <c r="M8222">
        <v>84412000</v>
      </c>
      <c r="O8222" t="s">
        <v>20056</v>
      </c>
      <c r="P8222" t="s">
        <v>20127</v>
      </c>
      <c r="Q8222" t="s">
        <v>19900</v>
      </c>
      <c r="R8222" t="s">
        <v>19447</v>
      </c>
      <c r="S8222" t="s">
        <v>19447</v>
      </c>
      <c r="T8222" t="s">
        <v>19911</v>
      </c>
    </row>
    <row r="8223" spans="2:20" x14ac:dyDescent="0.25">
      <c r="B8223" t="s">
        <v>2709</v>
      </c>
      <c r="C8223">
        <v>84413010</v>
      </c>
      <c r="E8223">
        <v>71.78</v>
      </c>
      <c r="F8223">
        <v>8.8000000000000007</v>
      </c>
      <c r="G8223">
        <v>0</v>
      </c>
      <c r="H8223" t="s">
        <v>19447</v>
      </c>
      <c r="I8223" t="s">
        <v>19447</v>
      </c>
      <c r="J8223">
        <v>14</v>
      </c>
      <c r="L8223" t="s">
        <v>2709</v>
      </c>
      <c r="M8223">
        <v>84413010</v>
      </c>
      <c r="O8223" t="s">
        <v>20056</v>
      </c>
      <c r="P8223" t="s">
        <v>20127</v>
      </c>
      <c r="Q8223" t="s">
        <v>19900</v>
      </c>
      <c r="R8223" t="s">
        <v>19447</v>
      </c>
      <c r="S8223" t="s">
        <v>19447</v>
      </c>
      <c r="T8223" t="s">
        <v>19911</v>
      </c>
    </row>
    <row r="8224" spans="2:20" x14ac:dyDescent="0.25">
      <c r="B8224" t="s">
        <v>2709</v>
      </c>
      <c r="C8224">
        <v>84413090</v>
      </c>
      <c r="E8224">
        <v>71.78</v>
      </c>
      <c r="F8224">
        <v>8.8000000000000007</v>
      </c>
      <c r="G8224">
        <v>0</v>
      </c>
      <c r="H8224" t="s">
        <v>19447</v>
      </c>
      <c r="I8224" t="s">
        <v>19447</v>
      </c>
      <c r="J8224">
        <v>14</v>
      </c>
      <c r="L8224" t="s">
        <v>2709</v>
      </c>
      <c r="M8224">
        <v>84413090</v>
      </c>
      <c r="O8224" t="s">
        <v>20056</v>
      </c>
      <c r="P8224" t="s">
        <v>20127</v>
      </c>
      <c r="Q8224" t="s">
        <v>19900</v>
      </c>
      <c r="R8224" t="s">
        <v>19447</v>
      </c>
      <c r="S8224" t="s">
        <v>19447</v>
      </c>
      <c r="T8224" t="s">
        <v>19911</v>
      </c>
    </row>
    <row r="8225" spans="2:20" x14ac:dyDescent="0.25">
      <c r="B8225" t="s">
        <v>2709</v>
      </c>
      <c r="C8225">
        <v>84414000</v>
      </c>
      <c r="E8225">
        <v>71.78</v>
      </c>
      <c r="F8225">
        <v>8.8000000000000007</v>
      </c>
      <c r="G8225">
        <v>0</v>
      </c>
      <c r="H8225" t="s">
        <v>19447</v>
      </c>
      <c r="I8225" t="s">
        <v>19447</v>
      </c>
      <c r="J8225">
        <v>14</v>
      </c>
      <c r="L8225" t="s">
        <v>2709</v>
      </c>
      <c r="M8225">
        <v>84414000</v>
      </c>
      <c r="O8225" t="s">
        <v>20056</v>
      </c>
      <c r="P8225" t="s">
        <v>20127</v>
      </c>
      <c r="Q8225" t="s">
        <v>19900</v>
      </c>
      <c r="R8225" t="s">
        <v>19447</v>
      </c>
      <c r="S8225" t="s">
        <v>19447</v>
      </c>
      <c r="T8225" t="s">
        <v>19911</v>
      </c>
    </row>
    <row r="8226" spans="2:20" x14ac:dyDescent="0.25">
      <c r="B8226" t="s">
        <v>2709</v>
      </c>
      <c r="C8226">
        <v>84418000</v>
      </c>
      <c r="E8226">
        <v>71.78</v>
      </c>
      <c r="F8226">
        <v>12</v>
      </c>
      <c r="G8226">
        <v>0</v>
      </c>
      <c r="H8226" t="s">
        <v>19447</v>
      </c>
      <c r="I8226" t="s">
        <v>19447</v>
      </c>
      <c r="J8226">
        <v>10</v>
      </c>
      <c r="L8226" t="s">
        <v>2709</v>
      </c>
      <c r="M8226">
        <v>84418000</v>
      </c>
      <c r="O8226" t="s">
        <v>20056</v>
      </c>
      <c r="P8226" t="s">
        <v>19903</v>
      </c>
      <c r="Q8226" t="s">
        <v>19900</v>
      </c>
      <c r="R8226" t="s">
        <v>19447</v>
      </c>
      <c r="S8226" t="s">
        <v>19447</v>
      </c>
      <c r="T8226" t="s">
        <v>19904</v>
      </c>
    </row>
    <row r="8227" spans="2:20" x14ac:dyDescent="0.25">
      <c r="B8227" t="s">
        <v>2709</v>
      </c>
      <c r="C8227">
        <v>84419000</v>
      </c>
      <c r="E8227">
        <v>71.78</v>
      </c>
      <c r="F8227">
        <v>18</v>
      </c>
      <c r="G8227">
        <v>5</v>
      </c>
      <c r="H8227" t="s">
        <v>19447</v>
      </c>
      <c r="I8227" t="s">
        <v>19447</v>
      </c>
      <c r="J8227">
        <v>14</v>
      </c>
      <c r="L8227" t="s">
        <v>2709</v>
      </c>
      <c r="M8227">
        <v>84419000</v>
      </c>
      <c r="O8227" t="s">
        <v>20056</v>
      </c>
      <c r="P8227" t="s">
        <v>19899</v>
      </c>
      <c r="Q8227" t="s">
        <v>19909</v>
      </c>
      <c r="R8227" t="s">
        <v>19447</v>
      </c>
      <c r="S8227" t="s">
        <v>19447</v>
      </c>
      <c r="T8227" t="s">
        <v>19911</v>
      </c>
    </row>
    <row r="8228" spans="2:20" x14ac:dyDescent="0.25">
      <c r="B8228" t="s">
        <v>2709</v>
      </c>
      <c r="C8228">
        <v>84423010</v>
      </c>
      <c r="E8228">
        <v>71.78</v>
      </c>
      <c r="F8228">
        <v>8.8000000000000007</v>
      </c>
      <c r="G8228">
        <v>0</v>
      </c>
      <c r="H8228" t="s">
        <v>19447</v>
      </c>
      <c r="I8228" t="s">
        <v>19447</v>
      </c>
      <c r="J8228">
        <v>10</v>
      </c>
      <c r="L8228" t="s">
        <v>2709</v>
      </c>
      <c r="M8228">
        <v>84423010</v>
      </c>
      <c r="O8228" t="s">
        <v>20056</v>
      </c>
      <c r="P8228" t="s">
        <v>20127</v>
      </c>
      <c r="Q8228" t="s">
        <v>19900</v>
      </c>
      <c r="R8228" t="s">
        <v>19447</v>
      </c>
      <c r="S8228" t="s">
        <v>19447</v>
      </c>
      <c r="T8228" t="s">
        <v>19904</v>
      </c>
    </row>
    <row r="8229" spans="2:20" x14ac:dyDescent="0.25">
      <c r="B8229" t="s">
        <v>2709</v>
      </c>
      <c r="C8229">
        <v>84423020</v>
      </c>
      <c r="E8229">
        <v>71.78</v>
      </c>
      <c r="F8229">
        <v>8.8000000000000007</v>
      </c>
      <c r="G8229">
        <v>0</v>
      </c>
      <c r="H8229" t="s">
        <v>19447</v>
      </c>
      <c r="I8229" t="s">
        <v>19447</v>
      </c>
      <c r="J8229">
        <v>0</v>
      </c>
      <c r="L8229" t="s">
        <v>2709</v>
      </c>
      <c r="M8229">
        <v>84423020</v>
      </c>
      <c r="O8229" t="s">
        <v>20056</v>
      </c>
      <c r="P8229" t="s">
        <v>20127</v>
      </c>
      <c r="Q8229" t="s">
        <v>19900</v>
      </c>
      <c r="R8229" t="s">
        <v>19447</v>
      </c>
      <c r="S8229" t="s">
        <v>19447</v>
      </c>
      <c r="T8229" t="s">
        <v>19900</v>
      </c>
    </row>
    <row r="8230" spans="2:20" x14ac:dyDescent="0.25">
      <c r="B8230" t="s">
        <v>2709</v>
      </c>
      <c r="C8230">
        <v>84423090</v>
      </c>
      <c r="E8230">
        <v>71.78</v>
      </c>
      <c r="F8230">
        <v>12</v>
      </c>
      <c r="G8230">
        <v>0</v>
      </c>
      <c r="H8230" t="s">
        <v>19447</v>
      </c>
      <c r="I8230" t="s">
        <v>19447</v>
      </c>
      <c r="J8230">
        <v>14</v>
      </c>
      <c r="L8230" t="s">
        <v>2709</v>
      </c>
      <c r="M8230">
        <v>84423090</v>
      </c>
      <c r="O8230" t="s">
        <v>20056</v>
      </c>
      <c r="P8230" t="s">
        <v>19903</v>
      </c>
      <c r="Q8230" t="s">
        <v>19900</v>
      </c>
      <c r="R8230" t="s">
        <v>19447</v>
      </c>
      <c r="S8230" t="s">
        <v>19447</v>
      </c>
      <c r="T8230" t="s">
        <v>19911</v>
      </c>
    </row>
    <row r="8231" spans="2:20" x14ac:dyDescent="0.25">
      <c r="B8231" t="s">
        <v>2709</v>
      </c>
      <c r="C8231">
        <v>84424010</v>
      </c>
      <c r="E8231">
        <v>71.78</v>
      </c>
      <c r="F8231">
        <v>18</v>
      </c>
      <c r="G8231">
        <v>5</v>
      </c>
      <c r="H8231" t="s">
        <v>19447</v>
      </c>
      <c r="I8231" t="s">
        <v>19447</v>
      </c>
      <c r="J8231">
        <v>10</v>
      </c>
      <c r="L8231" t="s">
        <v>2709</v>
      </c>
      <c r="M8231">
        <v>84424010</v>
      </c>
      <c r="O8231" t="s">
        <v>20056</v>
      </c>
      <c r="P8231" t="s">
        <v>19899</v>
      </c>
      <c r="Q8231" t="s">
        <v>19909</v>
      </c>
      <c r="R8231" t="s">
        <v>19447</v>
      </c>
      <c r="S8231" t="s">
        <v>19447</v>
      </c>
      <c r="T8231" t="s">
        <v>19904</v>
      </c>
    </row>
    <row r="8232" spans="2:20" x14ac:dyDescent="0.25">
      <c r="B8232" t="s">
        <v>2709</v>
      </c>
      <c r="C8232">
        <v>84424020</v>
      </c>
      <c r="E8232">
        <v>71.78</v>
      </c>
      <c r="F8232">
        <v>18</v>
      </c>
      <c r="G8232">
        <v>5</v>
      </c>
      <c r="H8232" t="s">
        <v>19447</v>
      </c>
      <c r="I8232" t="s">
        <v>19447</v>
      </c>
      <c r="J8232">
        <v>0</v>
      </c>
      <c r="L8232" t="s">
        <v>2709</v>
      </c>
      <c r="M8232">
        <v>84424020</v>
      </c>
      <c r="O8232" t="s">
        <v>20056</v>
      </c>
      <c r="P8232" t="s">
        <v>19899</v>
      </c>
      <c r="Q8232" t="s">
        <v>19909</v>
      </c>
      <c r="R8232" t="s">
        <v>19447</v>
      </c>
      <c r="S8232" t="s">
        <v>19447</v>
      </c>
      <c r="T8232" t="s">
        <v>19900</v>
      </c>
    </row>
    <row r="8233" spans="2:20" x14ac:dyDescent="0.25">
      <c r="B8233" t="s">
        <v>2709</v>
      </c>
      <c r="C8233">
        <v>84424090</v>
      </c>
      <c r="E8233">
        <v>71.78</v>
      </c>
      <c r="F8233">
        <v>18</v>
      </c>
      <c r="G8233">
        <v>5</v>
      </c>
      <c r="H8233" t="s">
        <v>19447</v>
      </c>
      <c r="I8233" t="s">
        <v>19447</v>
      </c>
      <c r="J8233">
        <v>14</v>
      </c>
      <c r="L8233" t="s">
        <v>2709</v>
      </c>
      <c r="M8233">
        <v>84424090</v>
      </c>
      <c r="O8233" t="s">
        <v>20056</v>
      </c>
      <c r="P8233" t="s">
        <v>19899</v>
      </c>
      <c r="Q8233" t="s">
        <v>19909</v>
      </c>
      <c r="R8233" t="s">
        <v>19447</v>
      </c>
      <c r="S8233" t="s">
        <v>19447</v>
      </c>
      <c r="T8233" t="s">
        <v>19911</v>
      </c>
    </row>
    <row r="8234" spans="2:20" x14ac:dyDescent="0.25">
      <c r="B8234" t="s">
        <v>2709</v>
      </c>
      <c r="C8234">
        <v>84425000</v>
      </c>
      <c r="E8234">
        <v>71.78</v>
      </c>
      <c r="F8234">
        <v>18</v>
      </c>
      <c r="G8234">
        <v>5</v>
      </c>
      <c r="H8234" t="s">
        <v>19447</v>
      </c>
      <c r="I8234" t="s">
        <v>19447</v>
      </c>
      <c r="J8234">
        <v>14</v>
      </c>
      <c r="L8234" t="s">
        <v>2709</v>
      </c>
      <c r="M8234">
        <v>84425000</v>
      </c>
      <c r="O8234" t="s">
        <v>20056</v>
      </c>
      <c r="P8234" t="s">
        <v>19899</v>
      </c>
      <c r="Q8234" t="s">
        <v>19909</v>
      </c>
      <c r="R8234" t="s">
        <v>19447</v>
      </c>
      <c r="S8234" t="s">
        <v>19447</v>
      </c>
      <c r="T8234" t="s">
        <v>19911</v>
      </c>
    </row>
    <row r="8235" spans="2:20" x14ac:dyDescent="0.25">
      <c r="B8235" t="s">
        <v>2709</v>
      </c>
      <c r="C8235">
        <v>84431110</v>
      </c>
      <c r="E8235">
        <v>71.78</v>
      </c>
      <c r="F8235">
        <v>12</v>
      </c>
      <c r="G8235">
        <v>0</v>
      </c>
      <c r="H8235" t="s">
        <v>19447</v>
      </c>
      <c r="I8235" t="s">
        <v>19447</v>
      </c>
      <c r="J8235">
        <v>0</v>
      </c>
      <c r="L8235" t="s">
        <v>2709</v>
      </c>
      <c r="M8235">
        <v>84431110</v>
      </c>
      <c r="O8235" t="s">
        <v>20056</v>
      </c>
      <c r="P8235" t="s">
        <v>19903</v>
      </c>
      <c r="Q8235" t="s">
        <v>19900</v>
      </c>
      <c r="R8235" t="s">
        <v>19447</v>
      </c>
      <c r="S8235" t="s">
        <v>19447</v>
      </c>
      <c r="T8235" t="s">
        <v>19900</v>
      </c>
    </row>
    <row r="8236" spans="2:20" x14ac:dyDescent="0.25">
      <c r="B8236" t="s">
        <v>2709</v>
      </c>
      <c r="C8236">
        <v>84431190</v>
      </c>
      <c r="E8236">
        <v>71.78</v>
      </c>
      <c r="F8236">
        <v>12</v>
      </c>
      <c r="G8236">
        <v>0</v>
      </c>
      <c r="H8236" t="s">
        <v>19447</v>
      </c>
      <c r="I8236" t="s">
        <v>19447</v>
      </c>
      <c r="J8236">
        <v>14</v>
      </c>
      <c r="L8236" t="s">
        <v>2709</v>
      </c>
      <c r="M8236">
        <v>84431190</v>
      </c>
      <c r="O8236" t="s">
        <v>20056</v>
      </c>
      <c r="P8236" t="s">
        <v>19903</v>
      </c>
      <c r="Q8236" t="s">
        <v>19900</v>
      </c>
      <c r="R8236" t="s">
        <v>19447</v>
      </c>
      <c r="S8236" t="s">
        <v>19447</v>
      </c>
      <c r="T8236" t="s">
        <v>19911</v>
      </c>
    </row>
    <row r="8237" spans="2:20" x14ac:dyDescent="0.25">
      <c r="B8237" t="s">
        <v>2709</v>
      </c>
      <c r="C8237">
        <v>84431200</v>
      </c>
      <c r="E8237">
        <v>56</v>
      </c>
      <c r="F8237">
        <v>12</v>
      </c>
      <c r="G8237">
        <v>0</v>
      </c>
      <c r="H8237" t="s">
        <v>19447</v>
      </c>
      <c r="I8237" t="s">
        <v>19447</v>
      </c>
      <c r="J8237">
        <v>14</v>
      </c>
      <c r="L8237" t="s">
        <v>2709</v>
      </c>
      <c r="M8237">
        <v>84431200</v>
      </c>
      <c r="O8237" t="s">
        <v>20065</v>
      </c>
      <c r="P8237" t="s">
        <v>19903</v>
      </c>
      <c r="Q8237" t="s">
        <v>19900</v>
      </c>
      <c r="R8237" t="s">
        <v>19447</v>
      </c>
      <c r="S8237" t="s">
        <v>19447</v>
      </c>
      <c r="T8237" t="s">
        <v>19911</v>
      </c>
    </row>
    <row r="8238" spans="2:20" x14ac:dyDescent="0.25">
      <c r="B8238" t="s">
        <v>2709</v>
      </c>
      <c r="C8238">
        <v>84431310</v>
      </c>
      <c r="E8238">
        <v>71.78</v>
      </c>
      <c r="F8238">
        <v>12</v>
      </c>
      <c r="G8238">
        <v>0</v>
      </c>
      <c r="H8238" t="s">
        <v>19447</v>
      </c>
      <c r="I8238" t="s">
        <v>19447</v>
      </c>
      <c r="J8238">
        <v>0</v>
      </c>
      <c r="L8238" t="s">
        <v>2709</v>
      </c>
      <c r="M8238">
        <v>84431310</v>
      </c>
      <c r="O8238" t="s">
        <v>20056</v>
      </c>
      <c r="P8238" t="s">
        <v>19903</v>
      </c>
      <c r="Q8238" t="s">
        <v>19900</v>
      </c>
      <c r="R8238" t="s">
        <v>19447</v>
      </c>
      <c r="S8238" t="s">
        <v>19447</v>
      </c>
      <c r="T8238" t="s">
        <v>19900</v>
      </c>
    </row>
    <row r="8239" spans="2:20" x14ac:dyDescent="0.25">
      <c r="B8239" t="s">
        <v>2709</v>
      </c>
      <c r="C8239">
        <v>84431321</v>
      </c>
      <c r="E8239">
        <v>71.78</v>
      </c>
      <c r="F8239">
        <v>12</v>
      </c>
      <c r="G8239">
        <v>0</v>
      </c>
      <c r="H8239" t="s">
        <v>19447</v>
      </c>
      <c r="I8239" t="s">
        <v>19447</v>
      </c>
      <c r="J8239">
        <v>0</v>
      </c>
      <c r="L8239" t="s">
        <v>2709</v>
      </c>
      <c r="M8239">
        <v>84431321</v>
      </c>
      <c r="O8239" t="s">
        <v>20056</v>
      </c>
      <c r="P8239" t="s">
        <v>19903</v>
      </c>
      <c r="Q8239" t="s">
        <v>19900</v>
      </c>
      <c r="R8239" t="s">
        <v>19447</v>
      </c>
      <c r="S8239" t="s">
        <v>19447</v>
      </c>
      <c r="T8239" t="s">
        <v>19900</v>
      </c>
    </row>
    <row r="8240" spans="2:20" x14ac:dyDescent="0.25">
      <c r="B8240" t="s">
        <v>2709</v>
      </c>
      <c r="C8240">
        <v>84431329</v>
      </c>
      <c r="E8240">
        <v>71.78</v>
      </c>
      <c r="F8240">
        <v>12</v>
      </c>
      <c r="G8240">
        <v>0</v>
      </c>
      <c r="H8240" t="s">
        <v>19447</v>
      </c>
      <c r="I8240" t="s">
        <v>19447</v>
      </c>
      <c r="J8240">
        <v>14</v>
      </c>
      <c r="L8240" t="s">
        <v>2709</v>
      </c>
      <c r="M8240">
        <v>84431329</v>
      </c>
      <c r="O8240" t="s">
        <v>20056</v>
      </c>
      <c r="P8240" t="s">
        <v>19903</v>
      </c>
      <c r="Q8240" t="s">
        <v>19900</v>
      </c>
      <c r="R8240" t="s">
        <v>19447</v>
      </c>
      <c r="S8240" t="s">
        <v>19447</v>
      </c>
      <c r="T8240" t="s">
        <v>19911</v>
      </c>
    </row>
    <row r="8241" spans="2:20" x14ac:dyDescent="0.25">
      <c r="B8241" t="s">
        <v>2709</v>
      </c>
      <c r="C8241">
        <v>84431390</v>
      </c>
      <c r="E8241">
        <v>71.78</v>
      </c>
      <c r="F8241">
        <v>12</v>
      </c>
      <c r="G8241">
        <v>0</v>
      </c>
      <c r="H8241" t="s">
        <v>19447</v>
      </c>
      <c r="I8241" t="s">
        <v>19447</v>
      </c>
      <c r="J8241">
        <v>14</v>
      </c>
      <c r="L8241" t="s">
        <v>2709</v>
      </c>
      <c r="M8241">
        <v>84431390</v>
      </c>
      <c r="O8241" t="s">
        <v>20056</v>
      </c>
      <c r="P8241" t="s">
        <v>19903</v>
      </c>
      <c r="Q8241" t="s">
        <v>19900</v>
      </c>
      <c r="R8241" t="s">
        <v>19447</v>
      </c>
      <c r="S8241" t="s">
        <v>19447</v>
      </c>
      <c r="T8241" t="s">
        <v>19911</v>
      </c>
    </row>
    <row r="8242" spans="2:20" x14ac:dyDescent="0.25">
      <c r="B8242" t="s">
        <v>2709</v>
      </c>
      <c r="C8242">
        <v>84431400</v>
      </c>
      <c r="E8242">
        <v>71.78</v>
      </c>
      <c r="F8242">
        <v>12</v>
      </c>
      <c r="G8242">
        <v>0</v>
      </c>
      <c r="H8242" t="s">
        <v>19447</v>
      </c>
      <c r="I8242" t="s">
        <v>19447</v>
      </c>
      <c r="J8242">
        <v>0</v>
      </c>
      <c r="L8242" t="s">
        <v>2709</v>
      </c>
      <c r="M8242">
        <v>84431400</v>
      </c>
      <c r="O8242" t="s">
        <v>20056</v>
      </c>
      <c r="P8242" t="s">
        <v>19903</v>
      </c>
      <c r="Q8242" t="s">
        <v>19900</v>
      </c>
      <c r="R8242" t="s">
        <v>19447</v>
      </c>
      <c r="S8242" t="s">
        <v>19447</v>
      </c>
      <c r="T8242" t="s">
        <v>19900</v>
      </c>
    </row>
    <row r="8243" spans="2:20" x14ac:dyDescent="0.25">
      <c r="B8243" t="s">
        <v>2709</v>
      </c>
      <c r="C8243">
        <v>84431500</v>
      </c>
      <c r="E8243">
        <v>71.78</v>
      </c>
      <c r="F8243">
        <v>12</v>
      </c>
      <c r="G8243">
        <v>0</v>
      </c>
      <c r="H8243" t="s">
        <v>19447</v>
      </c>
      <c r="I8243" t="s">
        <v>19447</v>
      </c>
      <c r="J8243">
        <v>14</v>
      </c>
      <c r="L8243" t="s">
        <v>2709</v>
      </c>
      <c r="M8243">
        <v>84431500</v>
      </c>
      <c r="O8243" t="s">
        <v>20056</v>
      </c>
      <c r="P8243" t="s">
        <v>19903</v>
      </c>
      <c r="Q8243" t="s">
        <v>19900</v>
      </c>
      <c r="R8243" t="s">
        <v>19447</v>
      </c>
      <c r="S8243" t="s">
        <v>19447</v>
      </c>
      <c r="T8243" t="s">
        <v>19911</v>
      </c>
    </row>
    <row r="8244" spans="2:20" x14ac:dyDescent="0.25">
      <c r="B8244" t="s">
        <v>2709</v>
      </c>
      <c r="C8244">
        <v>84431600</v>
      </c>
      <c r="E8244">
        <v>71.78</v>
      </c>
      <c r="F8244">
        <v>12</v>
      </c>
      <c r="G8244">
        <v>0</v>
      </c>
      <c r="H8244" t="s">
        <v>19447</v>
      </c>
      <c r="I8244" t="s">
        <v>19447</v>
      </c>
      <c r="J8244">
        <v>14</v>
      </c>
      <c r="L8244" t="s">
        <v>2709</v>
      </c>
      <c r="M8244">
        <v>84431600</v>
      </c>
      <c r="O8244" t="s">
        <v>20056</v>
      </c>
      <c r="P8244" t="s">
        <v>19903</v>
      </c>
      <c r="Q8244" t="s">
        <v>19900</v>
      </c>
      <c r="R8244" t="s">
        <v>19447</v>
      </c>
      <c r="S8244" t="s">
        <v>19447</v>
      </c>
      <c r="T8244" t="s">
        <v>19911</v>
      </c>
    </row>
    <row r="8245" spans="2:20" x14ac:dyDescent="0.25">
      <c r="B8245" t="s">
        <v>2709</v>
      </c>
      <c r="C8245">
        <v>84431710</v>
      </c>
      <c r="E8245">
        <v>71.78</v>
      </c>
      <c r="F8245">
        <v>12</v>
      </c>
      <c r="G8245">
        <v>0</v>
      </c>
      <c r="H8245" t="s">
        <v>19447</v>
      </c>
      <c r="I8245" t="s">
        <v>19447</v>
      </c>
      <c r="J8245">
        <v>14</v>
      </c>
      <c r="L8245" t="s">
        <v>2709</v>
      </c>
      <c r="M8245">
        <v>84431710</v>
      </c>
      <c r="O8245" t="s">
        <v>20056</v>
      </c>
      <c r="P8245" t="s">
        <v>19903</v>
      </c>
      <c r="Q8245" t="s">
        <v>19900</v>
      </c>
      <c r="R8245" t="s">
        <v>19447</v>
      </c>
      <c r="S8245" t="s">
        <v>19447</v>
      </c>
      <c r="T8245" t="s">
        <v>19911</v>
      </c>
    </row>
    <row r="8246" spans="2:20" x14ac:dyDescent="0.25">
      <c r="B8246" t="s">
        <v>2709</v>
      </c>
      <c r="C8246">
        <v>84431790</v>
      </c>
      <c r="E8246">
        <v>71.78</v>
      </c>
      <c r="F8246">
        <v>12</v>
      </c>
      <c r="G8246">
        <v>0</v>
      </c>
      <c r="H8246" t="s">
        <v>19447</v>
      </c>
      <c r="I8246" t="s">
        <v>19447</v>
      </c>
      <c r="J8246">
        <v>14</v>
      </c>
      <c r="L8246" t="s">
        <v>2709</v>
      </c>
      <c r="M8246">
        <v>84431790</v>
      </c>
      <c r="O8246" t="s">
        <v>20056</v>
      </c>
      <c r="P8246" t="s">
        <v>19903</v>
      </c>
      <c r="Q8246" t="s">
        <v>19900</v>
      </c>
      <c r="R8246" t="s">
        <v>19447</v>
      </c>
      <c r="S8246" t="s">
        <v>19447</v>
      </c>
      <c r="T8246" t="s">
        <v>19911</v>
      </c>
    </row>
    <row r="8247" spans="2:20" x14ac:dyDescent="0.25">
      <c r="B8247" t="s">
        <v>2709</v>
      </c>
      <c r="C8247">
        <v>84431910</v>
      </c>
      <c r="E8247">
        <v>71.78</v>
      </c>
      <c r="F8247">
        <v>12</v>
      </c>
      <c r="G8247">
        <v>0</v>
      </c>
      <c r="H8247" t="s">
        <v>19447</v>
      </c>
      <c r="I8247" t="s">
        <v>19447</v>
      </c>
      <c r="J8247">
        <v>14</v>
      </c>
      <c r="L8247" t="s">
        <v>2709</v>
      </c>
      <c r="M8247">
        <v>84431910</v>
      </c>
      <c r="O8247" t="s">
        <v>20056</v>
      </c>
      <c r="P8247" t="s">
        <v>19903</v>
      </c>
      <c r="Q8247" t="s">
        <v>19900</v>
      </c>
      <c r="R8247" t="s">
        <v>19447</v>
      </c>
      <c r="S8247" t="s">
        <v>19447</v>
      </c>
      <c r="T8247" t="s">
        <v>19911</v>
      </c>
    </row>
    <row r="8248" spans="2:20" x14ac:dyDescent="0.25">
      <c r="B8248" t="s">
        <v>2709</v>
      </c>
      <c r="C8248">
        <v>84431990</v>
      </c>
      <c r="E8248">
        <v>71.78</v>
      </c>
      <c r="F8248">
        <v>12</v>
      </c>
      <c r="G8248">
        <v>0</v>
      </c>
      <c r="H8248" t="s">
        <v>19447</v>
      </c>
      <c r="I8248" t="s">
        <v>19447</v>
      </c>
      <c r="J8248">
        <v>14</v>
      </c>
      <c r="L8248" t="s">
        <v>2709</v>
      </c>
      <c r="M8248">
        <v>84431990</v>
      </c>
      <c r="O8248" t="s">
        <v>20056</v>
      </c>
      <c r="P8248" t="s">
        <v>19903</v>
      </c>
      <c r="Q8248" t="s">
        <v>19900</v>
      </c>
      <c r="R8248" t="s">
        <v>19447</v>
      </c>
      <c r="S8248" t="s">
        <v>19447</v>
      </c>
      <c r="T8248" t="s">
        <v>19911</v>
      </c>
    </row>
    <row r="8249" spans="2:20" x14ac:dyDescent="0.25">
      <c r="B8249" t="s">
        <v>2709</v>
      </c>
      <c r="C8249">
        <v>84433111</v>
      </c>
      <c r="E8249">
        <v>23.7</v>
      </c>
      <c r="F8249">
        <v>12</v>
      </c>
      <c r="G8249">
        <v>15</v>
      </c>
      <c r="H8249" t="s">
        <v>19447</v>
      </c>
      <c r="I8249" t="s">
        <v>19447</v>
      </c>
      <c r="J8249">
        <v>12</v>
      </c>
      <c r="L8249" t="s">
        <v>2709</v>
      </c>
      <c r="M8249">
        <v>84433111</v>
      </c>
      <c r="O8249" t="s">
        <v>20170</v>
      </c>
      <c r="P8249" t="s">
        <v>19903</v>
      </c>
      <c r="Q8249" t="s">
        <v>19983</v>
      </c>
      <c r="R8249" t="s">
        <v>19447</v>
      </c>
      <c r="S8249" t="s">
        <v>19447</v>
      </c>
      <c r="T8249" t="s">
        <v>19903</v>
      </c>
    </row>
    <row r="8250" spans="2:20" x14ac:dyDescent="0.25">
      <c r="B8250" t="s">
        <v>2709</v>
      </c>
      <c r="C8250">
        <v>84433112</v>
      </c>
      <c r="E8250">
        <v>23.7</v>
      </c>
      <c r="F8250">
        <v>12</v>
      </c>
      <c r="G8250">
        <v>15</v>
      </c>
      <c r="H8250" t="s">
        <v>19447</v>
      </c>
      <c r="I8250" t="s">
        <v>19447</v>
      </c>
      <c r="J8250">
        <v>0</v>
      </c>
      <c r="L8250" t="s">
        <v>2709</v>
      </c>
      <c r="M8250">
        <v>84433112</v>
      </c>
      <c r="O8250" t="s">
        <v>20170</v>
      </c>
      <c r="P8250" t="s">
        <v>19903</v>
      </c>
      <c r="Q8250" t="s">
        <v>19983</v>
      </c>
      <c r="R8250" t="s">
        <v>19447</v>
      </c>
      <c r="S8250" t="s">
        <v>19447</v>
      </c>
      <c r="T8250" t="s">
        <v>19900</v>
      </c>
    </row>
    <row r="8251" spans="2:20" x14ac:dyDescent="0.25">
      <c r="B8251" t="s">
        <v>2709</v>
      </c>
      <c r="C8251">
        <v>84433113</v>
      </c>
      <c r="E8251">
        <v>23.7</v>
      </c>
      <c r="F8251">
        <v>12</v>
      </c>
      <c r="G8251">
        <v>15</v>
      </c>
      <c r="H8251" t="s">
        <v>19447</v>
      </c>
      <c r="I8251" t="s">
        <v>19447</v>
      </c>
      <c r="J8251">
        <v>12</v>
      </c>
      <c r="L8251" t="s">
        <v>2709</v>
      </c>
      <c r="M8251">
        <v>84433113</v>
      </c>
      <c r="O8251" t="s">
        <v>20170</v>
      </c>
      <c r="P8251" t="s">
        <v>19903</v>
      </c>
      <c r="Q8251" t="s">
        <v>19983</v>
      </c>
      <c r="R8251" t="s">
        <v>19447</v>
      </c>
      <c r="S8251" t="s">
        <v>19447</v>
      </c>
      <c r="T8251" t="s">
        <v>19903</v>
      </c>
    </row>
    <row r="8252" spans="2:20" x14ac:dyDescent="0.25">
      <c r="B8252" t="s">
        <v>2709</v>
      </c>
      <c r="C8252">
        <v>84433114</v>
      </c>
      <c r="E8252">
        <v>23.7</v>
      </c>
      <c r="F8252">
        <v>12</v>
      </c>
      <c r="G8252">
        <v>15</v>
      </c>
      <c r="H8252" t="s">
        <v>19447</v>
      </c>
      <c r="I8252" t="s">
        <v>19447</v>
      </c>
      <c r="J8252">
        <v>0</v>
      </c>
      <c r="L8252" t="s">
        <v>2709</v>
      </c>
      <c r="M8252">
        <v>84433114</v>
      </c>
      <c r="O8252" t="s">
        <v>20170</v>
      </c>
      <c r="P8252" t="s">
        <v>19903</v>
      </c>
      <c r="Q8252" t="s">
        <v>19983</v>
      </c>
      <c r="R8252" t="s">
        <v>19447</v>
      </c>
      <c r="S8252" t="s">
        <v>19447</v>
      </c>
      <c r="T8252" t="s">
        <v>19900</v>
      </c>
    </row>
    <row r="8253" spans="2:20" x14ac:dyDescent="0.25">
      <c r="B8253" t="s">
        <v>2709</v>
      </c>
      <c r="C8253">
        <v>84433115</v>
      </c>
      <c r="E8253">
        <v>23.7</v>
      </c>
      <c r="F8253">
        <v>12</v>
      </c>
      <c r="G8253">
        <v>15</v>
      </c>
      <c r="H8253" t="s">
        <v>19447</v>
      </c>
      <c r="I8253" t="s">
        <v>19447</v>
      </c>
      <c r="J8253">
        <v>0</v>
      </c>
      <c r="L8253" t="s">
        <v>2709</v>
      </c>
      <c r="M8253">
        <v>84433115</v>
      </c>
      <c r="O8253" t="s">
        <v>20170</v>
      </c>
      <c r="P8253" t="s">
        <v>19903</v>
      </c>
      <c r="Q8253" t="s">
        <v>19983</v>
      </c>
      <c r="R8253" t="s">
        <v>19447</v>
      </c>
      <c r="S8253" t="s">
        <v>19447</v>
      </c>
      <c r="T8253" t="s">
        <v>19900</v>
      </c>
    </row>
    <row r="8254" spans="2:20" x14ac:dyDescent="0.25">
      <c r="B8254" t="s">
        <v>2709</v>
      </c>
      <c r="C8254">
        <v>84433116</v>
      </c>
      <c r="E8254">
        <v>23.7</v>
      </c>
      <c r="F8254">
        <v>12</v>
      </c>
      <c r="G8254">
        <v>15</v>
      </c>
      <c r="H8254" t="s">
        <v>19447</v>
      </c>
      <c r="I8254" t="s">
        <v>19447</v>
      </c>
      <c r="J8254">
        <v>0</v>
      </c>
      <c r="L8254" t="s">
        <v>2709</v>
      </c>
      <c r="M8254">
        <v>84433116</v>
      </c>
      <c r="O8254" t="s">
        <v>20170</v>
      </c>
      <c r="P8254" t="s">
        <v>19903</v>
      </c>
      <c r="Q8254" t="s">
        <v>19983</v>
      </c>
      <c r="R8254" t="s">
        <v>19447</v>
      </c>
      <c r="S8254" t="s">
        <v>19447</v>
      </c>
      <c r="T8254" t="s">
        <v>19900</v>
      </c>
    </row>
    <row r="8255" spans="2:20" x14ac:dyDescent="0.25">
      <c r="B8255" t="s">
        <v>2709</v>
      </c>
      <c r="C8255">
        <v>84433119</v>
      </c>
      <c r="E8255">
        <v>23.7</v>
      </c>
      <c r="F8255">
        <v>12</v>
      </c>
      <c r="G8255">
        <v>15</v>
      </c>
      <c r="H8255" t="s">
        <v>19447</v>
      </c>
      <c r="I8255" t="s">
        <v>19447</v>
      </c>
      <c r="J8255">
        <v>12</v>
      </c>
      <c r="L8255" t="s">
        <v>2709</v>
      </c>
      <c r="M8255">
        <v>84433119</v>
      </c>
      <c r="O8255" t="s">
        <v>20170</v>
      </c>
      <c r="P8255" t="s">
        <v>19903</v>
      </c>
      <c r="Q8255" t="s">
        <v>19983</v>
      </c>
      <c r="R8255" t="s">
        <v>19447</v>
      </c>
      <c r="S8255" t="s">
        <v>19447</v>
      </c>
      <c r="T8255" t="s">
        <v>19903</v>
      </c>
    </row>
    <row r="8256" spans="2:20" x14ac:dyDescent="0.25">
      <c r="B8256" t="s">
        <v>2709</v>
      </c>
      <c r="C8256">
        <v>84433191</v>
      </c>
      <c r="E8256">
        <v>23.7</v>
      </c>
      <c r="F8256">
        <v>12</v>
      </c>
      <c r="G8256">
        <v>15</v>
      </c>
      <c r="H8256" t="s">
        <v>19447</v>
      </c>
      <c r="I8256" t="s">
        <v>19447</v>
      </c>
      <c r="J8256">
        <v>12</v>
      </c>
      <c r="L8256" t="s">
        <v>2709</v>
      </c>
      <c r="M8256">
        <v>84433191</v>
      </c>
      <c r="O8256" t="s">
        <v>20170</v>
      </c>
      <c r="P8256" t="s">
        <v>19903</v>
      </c>
      <c r="Q8256" t="s">
        <v>19983</v>
      </c>
      <c r="R8256" t="s">
        <v>19447</v>
      </c>
      <c r="S8256" t="s">
        <v>19447</v>
      </c>
      <c r="T8256" t="s">
        <v>19903</v>
      </c>
    </row>
    <row r="8257" spans="2:20" x14ac:dyDescent="0.25">
      <c r="B8257" t="s">
        <v>2709</v>
      </c>
      <c r="C8257">
        <v>84433199</v>
      </c>
      <c r="E8257">
        <v>23.7</v>
      </c>
      <c r="F8257">
        <v>12</v>
      </c>
      <c r="G8257">
        <v>15</v>
      </c>
      <c r="H8257" t="s">
        <v>19447</v>
      </c>
      <c r="I8257" t="s">
        <v>19447</v>
      </c>
      <c r="J8257">
        <v>0</v>
      </c>
      <c r="L8257" t="s">
        <v>2709</v>
      </c>
      <c r="M8257">
        <v>84433199</v>
      </c>
      <c r="O8257" t="s">
        <v>20170</v>
      </c>
      <c r="P8257" t="s">
        <v>19903</v>
      </c>
      <c r="Q8257" t="s">
        <v>19983</v>
      </c>
      <c r="R8257" t="s">
        <v>19447</v>
      </c>
      <c r="S8257" t="s">
        <v>19447</v>
      </c>
      <c r="T8257" t="s">
        <v>19900</v>
      </c>
    </row>
    <row r="8258" spans="2:20" x14ac:dyDescent="0.25">
      <c r="B8258" t="s">
        <v>2709</v>
      </c>
      <c r="C8258">
        <v>84433221</v>
      </c>
      <c r="E8258">
        <v>41.05</v>
      </c>
      <c r="F8258">
        <v>12</v>
      </c>
      <c r="G8258">
        <v>15</v>
      </c>
      <c r="H8258" t="s">
        <v>19447</v>
      </c>
      <c r="I8258" t="s">
        <v>19447</v>
      </c>
      <c r="J8258">
        <v>0</v>
      </c>
      <c r="L8258" t="s">
        <v>2709</v>
      </c>
      <c r="M8258">
        <v>84433221</v>
      </c>
      <c r="O8258" t="s">
        <v>20171</v>
      </c>
      <c r="P8258" t="s">
        <v>19903</v>
      </c>
      <c r="Q8258" t="s">
        <v>19983</v>
      </c>
      <c r="R8258" t="s">
        <v>19447</v>
      </c>
      <c r="S8258" t="s">
        <v>19447</v>
      </c>
      <c r="T8258" t="s">
        <v>19900</v>
      </c>
    </row>
    <row r="8259" spans="2:20" x14ac:dyDescent="0.25">
      <c r="B8259" t="s">
        <v>2709</v>
      </c>
      <c r="C8259">
        <v>84433222</v>
      </c>
      <c r="E8259">
        <v>41.05</v>
      </c>
      <c r="F8259">
        <v>12</v>
      </c>
      <c r="G8259">
        <v>0</v>
      </c>
      <c r="H8259" t="s">
        <v>19447</v>
      </c>
      <c r="I8259" t="s">
        <v>19447</v>
      </c>
      <c r="J8259">
        <v>0</v>
      </c>
      <c r="L8259" t="s">
        <v>2709</v>
      </c>
      <c r="M8259">
        <v>84433222</v>
      </c>
      <c r="O8259" t="s">
        <v>20171</v>
      </c>
      <c r="P8259" t="s">
        <v>19903</v>
      </c>
      <c r="Q8259" t="s">
        <v>19900</v>
      </c>
      <c r="R8259" t="s">
        <v>19447</v>
      </c>
      <c r="S8259" t="s">
        <v>19447</v>
      </c>
      <c r="T8259" t="s">
        <v>19900</v>
      </c>
    </row>
    <row r="8260" spans="2:20" x14ac:dyDescent="0.25">
      <c r="B8260" t="s">
        <v>2709</v>
      </c>
      <c r="C8260">
        <v>84433223</v>
      </c>
      <c r="E8260">
        <v>41.05</v>
      </c>
      <c r="F8260">
        <v>12</v>
      </c>
      <c r="G8260">
        <v>15</v>
      </c>
      <c r="H8260" t="s">
        <v>19447</v>
      </c>
      <c r="I8260" t="s">
        <v>19447</v>
      </c>
      <c r="J8260">
        <v>16</v>
      </c>
      <c r="L8260" t="s">
        <v>2709</v>
      </c>
      <c r="M8260">
        <v>84433223</v>
      </c>
      <c r="O8260" t="s">
        <v>20171</v>
      </c>
      <c r="P8260" t="s">
        <v>19903</v>
      </c>
      <c r="Q8260" t="s">
        <v>19983</v>
      </c>
      <c r="R8260" t="s">
        <v>19447</v>
      </c>
      <c r="S8260" t="s">
        <v>19447</v>
      </c>
      <c r="T8260" t="s">
        <v>19913</v>
      </c>
    </row>
    <row r="8261" spans="2:20" x14ac:dyDescent="0.25">
      <c r="B8261" t="s">
        <v>2709</v>
      </c>
      <c r="C8261">
        <v>84433229</v>
      </c>
      <c r="E8261">
        <v>41.05</v>
      </c>
      <c r="F8261">
        <v>12</v>
      </c>
      <c r="G8261">
        <v>15</v>
      </c>
      <c r="H8261" t="s">
        <v>19447</v>
      </c>
      <c r="I8261" t="s">
        <v>19447</v>
      </c>
      <c r="J8261">
        <v>16</v>
      </c>
      <c r="L8261" t="s">
        <v>2709</v>
      </c>
      <c r="M8261">
        <v>84433229</v>
      </c>
      <c r="O8261" t="s">
        <v>20171</v>
      </c>
      <c r="P8261" t="s">
        <v>19903</v>
      </c>
      <c r="Q8261" t="s">
        <v>19983</v>
      </c>
      <c r="R8261" t="s">
        <v>19447</v>
      </c>
      <c r="S8261" t="s">
        <v>19447</v>
      </c>
      <c r="T8261" t="s">
        <v>19913</v>
      </c>
    </row>
    <row r="8262" spans="2:20" x14ac:dyDescent="0.25">
      <c r="B8262" t="s">
        <v>2709</v>
      </c>
      <c r="C8262">
        <v>84433231</v>
      </c>
      <c r="E8262">
        <v>41.05</v>
      </c>
      <c r="F8262">
        <v>12</v>
      </c>
      <c r="G8262">
        <v>15</v>
      </c>
      <c r="H8262" t="s">
        <v>19447</v>
      </c>
      <c r="I8262" t="s">
        <v>19447</v>
      </c>
      <c r="J8262">
        <v>16</v>
      </c>
      <c r="L8262" t="s">
        <v>2709</v>
      </c>
      <c r="M8262">
        <v>84433231</v>
      </c>
      <c r="O8262" t="s">
        <v>20171</v>
      </c>
      <c r="P8262" t="s">
        <v>19903</v>
      </c>
      <c r="Q8262" t="s">
        <v>19983</v>
      </c>
      <c r="R8262" t="s">
        <v>19447</v>
      </c>
      <c r="S8262" t="s">
        <v>19447</v>
      </c>
      <c r="T8262" t="s">
        <v>19913</v>
      </c>
    </row>
    <row r="8263" spans="2:20" x14ac:dyDescent="0.25">
      <c r="B8263" t="s">
        <v>2709</v>
      </c>
      <c r="C8263">
        <v>84433232</v>
      </c>
      <c r="E8263">
        <v>41.05</v>
      </c>
      <c r="F8263">
        <v>12</v>
      </c>
      <c r="G8263">
        <v>15</v>
      </c>
      <c r="H8263" t="s">
        <v>19447</v>
      </c>
      <c r="I8263" t="s">
        <v>19447</v>
      </c>
      <c r="J8263">
        <v>0</v>
      </c>
      <c r="L8263" t="s">
        <v>2709</v>
      </c>
      <c r="M8263">
        <v>84433232</v>
      </c>
      <c r="O8263" t="s">
        <v>20171</v>
      </c>
      <c r="P8263" t="s">
        <v>19903</v>
      </c>
      <c r="Q8263" t="s">
        <v>19983</v>
      </c>
      <c r="R8263" t="s">
        <v>19447</v>
      </c>
      <c r="S8263" t="s">
        <v>19447</v>
      </c>
      <c r="T8263" t="s">
        <v>19900</v>
      </c>
    </row>
    <row r="8264" spans="2:20" x14ac:dyDescent="0.25">
      <c r="B8264" t="s">
        <v>2709</v>
      </c>
      <c r="C8264">
        <v>84433233</v>
      </c>
      <c r="E8264">
        <v>41.05</v>
      </c>
      <c r="F8264">
        <v>12</v>
      </c>
      <c r="G8264">
        <v>15</v>
      </c>
      <c r="H8264" t="s">
        <v>19447</v>
      </c>
      <c r="I8264" t="s">
        <v>19447</v>
      </c>
      <c r="J8264">
        <v>12</v>
      </c>
      <c r="L8264" t="s">
        <v>2709</v>
      </c>
      <c r="M8264">
        <v>84433233</v>
      </c>
      <c r="O8264" t="s">
        <v>20171</v>
      </c>
      <c r="P8264" t="s">
        <v>19903</v>
      </c>
      <c r="Q8264" t="s">
        <v>19983</v>
      </c>
      <c r="R8264" t="s">
        <v>19447</v>
      </c>
      <c r="S8264" t="s">
        <v>19447</v>
      </c>
      <c r="T8264" t="s">
        <v>19903</v>
      </c>
    </row>
    <row r="8265" spans="2:20" x14ac:dyDescent="0.25">
      <c r="B8265" t="s">
        <v>2709</v>
      </c>
      <c r="C8265">
        <v>84433234</v>
      </c>
      <c r="E8265">
        <v>41.05</v>
      </c>
      <c r="F8265">
        <v>12</v>
      </c>
      <c r="G8265">
        <v>15</v>
      </c>
      <c r="H8265" t="s">
        <v>19447</v>
      </c>
      <c r="I8265" t="s">
        <v>19447</v>
      </c>
      <c r="J8265">
        <v>0</v>
      </c>
      <c r="L8265" t="s">
        <v>2709</v>
      </c>
      <c r="M8265">
        <v>84433234</v>
      </c>
      <c r="O8265" t="s">
        <v>20171</v>
      </c>
      <c r="P8265" t="s">
        <v>19903</v>
      </c>
      <c r="Q8265" t="s">
        <v>19983</v>
      </c>
      <c r="R8265" t="s">
        <v>19447</v>
      </c>
      <c r="S8265" t="s">
        <v>19447</v>
      </c>
      <c r="T8265" t="s">
        <v>19900</v>
      </c>
    </row>
    <row r="8266" spans="2:20" x14ac:dyDescent="0.25">
      <c r="B8266" t="s">
        <v>2709</v>
      </c>
      <c r="C8266">
        <v>84433235</v>
      </c>
      <c r="E8266">
        <v>41.05</v>
      </c>
      <c r="F8266">
        <v>12</v>
      </c>
      <c r="G8266">
        <v>15</v>
      </c>
      <c r="H8266" t="s">
        <v>19447</v>
      </c>
      <c r="I8266" t="s">
        <v>19447</v>
      </c>
      <c r="J8266">
        <v>12</v>
      </c>
      <c r="L8266" t="s">
        <v>2709</v>
      </c>
      <c r="M8266">
        <v>84433235</v>
      </c>
      <c r="O8266" t="s">
        <v>20171</v>
      </c>
      <c r="P8266" t="s">
        <v>19903</v>
      </c>
      <c r="Q8266" t="s">
        <v>19983</v>
      </c>
      <c r="R8266" t="s">
        <v>19447</v>
      </c>
      <c r="S8266" t="s">
        <v>19447</v>
      </c>
      <c r="T8266" t="s">
        <v>19903</v>
      </c>
    </row>
    <row r="8267" spans="2:20" x14ac:dyDescent="0.25">
      <c r="B8267" t="s">
        <v>2709</v>
      </c>
      <c r="C8267">
        <v>84433236</v>
      </c>
      <c r="E8267">
        <v>41.05</v>
      </c>
      <c r="F8267">
        <v>12</v>
      </c>
      <c r="G8267">
        <v>15</v>
      </c>
      <c r="H8267" t="s">
        <v>19447</v>
      </c>
      <c r="I8267" t="s">
        <v>19447</v>
      </c>
      <c r="J8267">
        <v>0</v>
      </c>
      <c r="L8267" t="s">
        <v>2709</v>
      </c>
      <c r="M8267">
        <v>84433236</v>
      </c>
      <c r="O8267" t="s">
        <v>20171</v>
      </c>
      <c r="P8267" t="s">
        <v>19903</v>
      </c>
      <c r="Q8267" t="s">
        <v>19983</v>
      </c>
      <c r="R8267" t="s">
        <v>19447</v>
      </c>
      <c r="S8267" t="s">
        <v>19447</v>
      </c>
      <c r="T8267" t="s">
        <v>19900</v>
      </c>
    </row>
    <row r="8268" spans="2:20" x14ac:dyDescent="0.25">
      <c r="B8268" t="s">
        <v>2709</v>
      </c>
      <c r="C8268">
        <v>84433237</v>
      </c>
      <c r="E8268">
        <v>41.05</v>
      </c>
      <c r="F8268">
        <v>12</v>
      </c>
      <c r="G8268">
        <v>15</v>
      </c>
      <c r="H8268" t="s">
        <v>19447</v>
      </c>
      <c r="I8268" t="s">
        <v>19447</v>
      </c>
      <c r="J8268">
        <v>0</v>
      </c>
      <c r="L8268" t="s">
        <v>2709</v>
      </c>
      <c r="M8268">
        <v>84433237</v>
      </c>
      <c r="O8268" t="s">
        <v>20171</v>
      </c>
      <c r="P8268" t="s">
        <v>19903</v>
      </c>
      <c r="Q8268" t="s">
        <v>19983</v>
      </c>
      <c r="R8268" t="s">
        <v>19447</v>
      </c>
      <c r="S8268" t="s">
        <v>19447</v>
      </c>
      <c r="T8268" t="s">
        <v>19900</v>
      </c>
    </row>
    <row r="8269" spans="2:20" x14ac:dyDescent="0.25">
      <c r="B8269" t="s">
        <v>2709</v>
      </c>
      <c r="C8269">
        <v>84433238</v>
      </c>
      <c r="E8269">
        <v>41.05</v>
      </c>
      <c r="F8269">
        <v>12</v>
      </c>
      <c r="G8269">
        <v>15</v>
      </c>
      <c r="H8269" t="s">
        <v>19447</v>
      </c>
      <c r="I8269" t="s">
        <v>19447</v>
      </c>
      <c r="J8269">
        <v>0</v>
      </c>
      <c r="L8269" t="s">
        <v>2709</v>
      </c>
      <c r="M8269">
        <v>84433238</v>
      </c>
      <c r="O8269" t="s">
        <v>20171</v>
      </c>
      <c r="P8269" t="s">
        <v>19903</v>
      </c>
      <c r="Q8269" t="s">
        <v>19983</v>
      </c>
      <c r="R8269" t="s">
        <v>19447</v>
      </c>
      <c r="S8269" t="s">
        <v>19447</v>
      </c>
      <c r="T8269" t="s">
        <v>19900</v>
      </c>
    </row>
    <row r="8270" spans="2:20" x14ac:dyDescent="0.25">
      <c r="B8270" t="s">
        <v>2709</v>
      </c>
      <c r="C8270">
        <v>84433239</v>
      </c>
      <c r="E8270">
        <v>41.05</v>
      </c>
      <c r="F8270">
        <v>12</v>
      </c>
      <c r="G8270">
        <v>15</v>
      </c>
      <c r="H8270" t="s">
        <v>19447</v>
      </c>
      <c r="I8270" t="s">
        <v>19447</v>
      </c>
      <c r="J8270">
        <v>16</v>
      </c>
      <c r="L8270" t="s">
        <v>2709</v>
      </c>
      <c r="M8270">
        <v>84433239</v>
      </c>
      <c r="O8270" t="s">
        <v>20171</v>
      </c>
      <c r="P8270" t="s">
        <v>19903</v>
      </c>
      <c r="Q8270" t="s">
        <v>19983</v>
      </c>
      <c r="R8270" t="s">
        <v>19447</v>
      </c>
      <c r="S8270" t="s">
        <v>19447</v>
      </c>
      <c r="T8270" t="s">
        <v>19913</v>
      </c>
    </row>
    <row r="8271" spans="2:20" x14ac:dyDescent="0.25">
      <c r="B8271" t="s">
        <v>2709</v>
      </c>
      <c r="C8271">
        <v>84433240</v>
      </c>
      <c r="E8271">
        <v>41.05</v>
      </c>
      <c r="F8271">
        <v>12</v>
      </c>
      <c r="G8271">
        <v>15</v>
      </c>
      <c r="H8271" t="s">
        <v>19447</v>
      </c>
      <c r="I8271" t="s">
        <v>19447</v>
      </c>
      <c r="J8271">
        <v>0</v>
      </c>
      <c r="L8271" t="s">
        <v>2709</v>
      </c>
      <c r="M8271">
        <v>84433240</v>
      </c>
      <c r="O8271" t="s">
        <v>20171</v>
      </c>
      <c r="P8271" t="s">
        <v>19903</v>
      </c>
      <c r="Q8271" t="s">
        <v>19983</v>
      </c>
      <c r="R8271" t="s">
        <v>19447</v>
      </c>
      <c r="S8271" t="s">
        <v>19447</v>
      </c>
      <c r="T8271" t="s">
        <v>19900</v>
      </c>
    </row>
    <row r="8272" spans="2:20" x14ac:dyDescent="0.25">
      <c r="B8272" t="s">
        <v>2709</v>
      </c>
      <c r="C8272">
        <v>84433251</v>
      </c>
      <c r="E8272">
        <v>41.05</v>
      </c>
      <c r="F8272">
        <v>12</v>
      </c>
      <c r="G8272">
        <v>15</v>
      </c>
      <c r="H8272" t="s">
        <v>19447</v>
      </c>
      <c r="I8272" t="s">
        <v>19447</v>
      </c>
      <c r="J8272">
        <v>12</v>
      </c>
      <c r="L8272" t="s">
        <v>2709</v>
      </c>
      <c r="M8272">
        <v>84433251</v>
      </c>
      <c r="O8272" t="s">
        <v>20171</v>
      </c>
      <c r="P8272" t="s">
        <v>19903</v>
      </c>
      <c r="Q8272" t="s">
        <v>19983</v>
      </c>
      <c r="R8272" t="s">
        <v>19447</v>
      </c>
      <c r="S8272" t="s">
        <v>19447</v>
      </c>
      <c r="T8272" t="s">
        <v>19903</v>
      </c>
    </row>
    <row r="8273" spans="2:20" x14ac:dyDescent="0.25">
      <c r="B8273" t="s">
        <v>2709</v>
      </c>
      <c r="C8273">
        <v>84433252</v>
      </c>
      <c r="E8273">
        <v>41.05</v>
      </c>
      <c r="F8273">
        <v>12</v>
      </c>
      <c r="G8273">
        <v>15</v>
      </c>
      <c r="H8273" t="s">
        <v>19447</v>
      </c>
      <c r="I8273" t="s">
        <v>19447</v>
      </c>
      <c r="J8273">
        <v>0</v>
      </c>
      <c r="L8273" t="s">
        <v>2709</v>
      </c>
      <c r="M8273">
        <v>84433252</v>
      </c>
      <c r="O8273" t="s">
        <v>20171</v>
      </c>
      <c r="P8273" t="s">
        <v>19903</v>
      </c>
      <c r="Q8273" t="s">
        <v>19983</v>
      </c>
      <c r="R8273" t="s">
        <v>19447</v>
      </c>
      <c r="S8273" t="s">
        <v>19447</v>
      </c>
      <c r="T8273" t="s">
        <v>19900</v>
      </c>
    </row>
    <row r="8274" spans="2:20" x14ac:dyDescent="0.25">
      <c r="B8274" t="s">
        <v>2709</v>
      </c>
      <c r="C8274">
        <v>84433259</v>
      </c>
      <c r="E8274">
        <v>41.05</v>
      </c>
      <c r="F8274">
        <v>12</v>
      </c>
      <c r="G8274">
        <v>15</v>
      </c>
      <c r="H8274" t="s">
        <v>19447</v>
      </c>
      <c r="I8274" t="s">
        <v>19447</v>
      </c>
      <c r="J8274">
        <v>16</v>
      </c>
      <c r="L8274" t="s">
        <v>2709</v>
      </c>
      <c r="M8274">
        <v>84433259</v>
      </c>
      <c r="O8274" t="s">
        <v>20171</v>
      </c>
      <c r="P8274" t="s">
        <v>19903</v>
      </c>
      <c r="Q8274" t="s">
        <v>19983</v>
      </c>
      <c r="R8274" t="s">
        <v>19447</v>
      </c>
      <c r="S8274" t="s">
        <v>19447</v>
      </c>
      <c r="T8274" t="s">
        <v>19913</v>
      </c>
    </row>
    <row r="8275" spans="2:20" x14ac:dyDescent="0.25">
      <c r="B8275" t="s">
        <v>2709</v>
      </c>
      <c r="C8275">
        <v>84433291</v>
      </c>
      <c r="E8275">
        <v>41.05</v>
      </c>
      <c r="F8275">
        <v>12</v>
      </c>
      <c r="G8275">
        <v>15</v>
      </c>
      <c r="H8275" t="s">
        <v>19447</v>
      </c>
      <c r="I8275" t="s">
        <v>19447</v>
      </c>
      <c r="J8275">
        <v>0</v>
      </c>
      <c r="L8275" t="s">
        <v>2709</v>
      </c>
      <c r="M8275">
        <v>84433291</v>
      </c>
      <c r="O8275" t="s">
        <v>20171</v>
      </c>
      <c r="P8275" t="s">
        <v>19903</v>
      </c>
      <c r="Q8275" t="s">
        <v>19983</v>
      </c>
      <c r="R8275" t="s">
        <v>19447</v>
      </c>
      <c r="S8275" t="s">
        <v>19447</v>
      </c>
      <c r="T8275" t="s">
        <v>19900</v>
      </c>
    </row>
    <row r="8276" spans="2:20" x14ac:dyDescent="0.25">
      <c r="B8276" t="s">
        <v>2709</v>
      </c>
      <c r="C8276">
        <v>84433299</v>
      </c>
      <c r="E8276">
        <v>41.05</v>
      </c>
      <c r="F8276">
        <v>12</v>
      </c>
      <c r="G8276">
        <v>15</v>
      </c>
      <c r="H8276" t="s">
        <v>19447</v>
      </c>
      <c r="I8276" t="s">
        <v>19447</v>
      </c>
      <c r="J8276">
        <v>16</v>
      </c>
      <c r="L8276" t="s">
        <v>2709</v>
      </c>
      <c r="M8276">
        <v>84433299</v>
      </c>
      <c r="O8276" t="s">
        <v>20171</v>
      </c>
      <c r="P8276" t="s">
        <v>19903</v>
      </c>
      <c r="Q8276" t="s">
        <v>19983</v>
      </c>
      <c r="R8276" t="s">
        <v>19447</v>
      </c>
      <c r="S8276" t="s">
        <v>19447</v>
      </c>
      <c r="T8276" t="s">
        <v>19913</v>
      </c>
    </row>
    <row r="8277" spans="2:20" x14ac:dyDescent="0.25">
      <c r="B8277" t="s">
        <v>2709</v>
      </c>
      <c r="C8277">
        <v>84433910</v>
      </c>
      <c r="E8277">
        <v>71.78</v>
      </c>
      <c r="F8277">
        <v>12</v>
      </c>
      <c r="G8277">
        <v>0</v>
      </c>
      <c r="H8277" t="s">
        <v>19447</v>
      </c>
      <c r="I8277" t="s">
        <v>19447</v>
      </c>
      <c r="J8277">
        <v>14</v>
      </c>
      <c r="L8277" t="s">
        <v>2709</v>
      </c>
      <c r="M8277">
        <v>84433910</v>
      </c>
      <c r="O8277" t="s">
        <v>20056</v>
      </c>
      <c r="P8277" t="s">
        <v>19903</v>
      </c>
      <c r="Q8277" t="s">
        <v>19900</v>
      </c>
      <c r="R8277" t="s">
        <v>19447</v>
      </c>
      <c r="S8277" t="s">
        <v>19447</v>
      </c>
      <c r="T8277" t="s">
        <v>19911</v>
      </c>
    </row>
    <row r="8278" spans="2:20" x14ac:dyDescent="0.25">
      <c r="B8278" t="s">
        <v>2709</v>
      </c>
      <c r="C8278">
        <v>84433921</v>
      </c>
      <c r="E8278">
        <v>71.78</v>
      </c>
      <c r="F8278">
        <v>12</v>
      </c>
      <c r="G8278">
        <v>20</v>
      </c>
      <c r="H8278" t="s">
        <v>19447</v>
      </c>
      <c r="I8278" t="s">
        <v>19447</v>
      </c>
      <c r="J8278">
        <v>14</v>
      </c>
      <c r="L8278" t="s">
        <v>2709</v>
      </c>
      <c r="M8278">
        <v>84433921</v>
      </c>
      <c r="O8278" t="s">
        <v>20056</v>
      </c>
      <c r="P8278" t="s">
        <v>19903</v>
      </c>
      <c r="Q8278" t="s">
        <v>19934</v>
      </c>
      <c r="R8278" t="s">
        <v>19447</v>
      </c>
      <c r="S8278" t="s">
        <v>19447</v>
      </c>
      <c r="T8278" t="s">
        <v>19911</v>
      </c>
    </row>
    <row r="8279" spans="2:20" x14ac:dyDescent="0.25">
      <c r="B8279" t="s">
        <v>2709</v>
      </c>
      <c r="C8279">
        <v>84433928</v>
      </c>
      <c r="E8279">
        <v>71.78</v>
      </c>
      <c r="F8279">
        <v>12</v>
      </c>
      <c r="G8279">
        <v>20</v>
      </c>
      <c r="H8279" t="s">
        <v>19447</v>
      </c>
      <c r="I8279" t="s">
        <v>19447</v>
      </c>
      <c r="J8279">
        <v>0</v>
      </c>
      <c r="L8279" t="s">
        <v>2709</v>
      </c>
      <c r="M8279">
        <v>84433928</v>
      </c>
      <c r="O8279" t="s">
        <v>20056</v>
      </c>
      <c r="P8279" t="s">
        <v>19903</v>
      </c>
      <c r="Q8279" t="s">
        <v>19934</v>
      </c>
      <c r="R8279" t="s">
        <v>19447</v>
      </c>
      <c r="S8279" t="s">
        <v>19447</v>
      </c>
      <c r="T8279" t="s">
        <v>19900</v>
      </c>
    </row>
    <row r="8280" spans="2:20" x14ac:dyDescent="0.25">
      <c r="B8280" t="s">
        <v>2709</v>
      </c>
      <c r="C8280">
        <v>84433929</v>
      </c>
      <c r="E8280">
        <v>71.78</v>
      </c>
      <c r="F8280">
        <v>12</v>
      </c>
      <c r="G8280">
        <v>20</v>
      </c>
      <c r="H8280" t="s">
        <v>19447</v>
      </c>
      <c r="I8280" t="s">
        <v>19447</v>
      </c>
      <c r="J8280">
        <v>14</v>
      </c>
      <c r="L8280" t="s">
        <v>2709</v>
      </c>
      <c r="M8280">
        <v>84433929</v>
      </c>
      <c r="O8280" t="s">
        <v>20056</v>
      </c>
      <c r="P8280" t="s">
        <v>19903</v>
      </c>
      <c r="Q8280" t="s">
        <v>19934</v>
      </c>
      <c r="R8280" t="s">
        <v>19447</v>
      </c>
      <c r="S8280" t="s">
        <v>19447</v>
      </c>
      <c r="T8280" t="s">
        <v>19911</v>
      </c>
    </row>
    <row r="8281" spans="2:20" x14ac:dyDescent="0.25">
      <c r="B8281" t="s">
        <v>2709</v>
      </c>
      <c r="C8281">
        <v>84433930</v>
      </c>
      <c r="E8281">
        <v>71.78</v>
      </c>
      <c r="F8281">
        <v>12</v>
      </c>
      <c r="G8281">
        <v>20</v>
      </c>
      <c r="H8281" t="s">
        <v>19447</v>
      </c>
      <c r="I8281" t="s">
        <v>19447</v>
      </c>
      <c r="J8281">
        <v>14</v>
      </c>
      <c r="L8281" t="s">
        <v>2709</v>
      </c>
      <c r="M8281">
        <v>84433930</v>
      </c>
      <c r="O8281" t="s">
        <v>20056</v>
      </c>
      <c r="P8281" t="s">
        <v>19903</v>
      </c>
      <c r="Q8281" t="s">
        <v>19934</v>
      </c>
      <c r="R8281" t="s">
        <v>19447</v>
      </c>
      <c r="S8281" t="s">
        <v>19447</v>
      </c>
      <c r="T8281" t="s">
        <v>19911</v>
      </c>
    </row>
    <row r="8282" spans="2:20" x14ac:dyDescent="0.25">
      <c r="B8282" t="s">
        <v>2709</v>
      </c>
      <c r="C8282">
        <v>84433990</v>
      </c>
      <c r="E8282">
        <v>71.78</v>
      </c>
      <c r="F8282">
        <v>12</v>
      </c>
      <c r="G8282">
        <v>20</v>
      </c>
      <c r="H8282" t="s">
        <v>19447</v>
      </c>
      <c r="I8282" t="s">
        <v>19447</v>
      </c>
      <c r="J8282">
        <v>14</v>
      </c>
      <c r="L8282" t="s">
        <v>2709</v>
      </c>
      <c r="M8282">
        <v>84433990</v>
      </c>
      <c r="O8282" t="s">
        <v>20056</v>
      </c>
      <c r="P8282" t="s">
        <v>19903</v>
      </c>
      <c r="Q8282" t="s">
        <v>19934</v>
      </c>
      <c r="R8282" t="s">
        <v>19447</v>
      </c>
      <c r="S8282" t="s">
        <v>19447</v>
      </c>
      <c r="T8282" t="s">
        <v>19911</v>
      </c>
    </row>
    <row r="8283" spans="2:20" x14ac:dyDescent="0.25">
      <c r="B8283" t="s">
        <v>2709</v>
      </c>
      <c r="C8283">
        <v>84439110</v>
      </c>
      <c r="E8283">
        <v>71.78</v>
      </c>
      <c r="F8283">
        <v>12</v>
      </c>
      <c r="G8283">
        <v>5</v>
      </c>
      <c r="H8283" t="s">
        <v>19447</v>
      </c>
      <c r="I8283" t="s">
        <v>19447</v>
      </c>
      <c r="J8283">
        <v>14</v>
      </c>
      <c r="L8283" t="s">
        <v>2709</v>
      </c>
      <c r="M8283">
        <v>84439110</v>
      </c>
      <c r="O8283" t="s">
        <v>20056</v>
      </c>
      <c r="P8283" t="s">
        <v>19903</v>
      </c>
      <c r="Q8283" t="s">
        <v>19909</v>
      </c>
      <c r="R8283" t="s">
        <v>19447</v>
      </c>
      <c r="S8283" t="s">
        <v>19447</v>
      </c>
      <c r="T8283" t="s">
        <v>19911</v>
      </c>
    </row>
    <row r="8284" spans="2:20" x14ac:dyDescent="0.25">
      <c r="B8284" t="s">
        <v>2709</v>
      </c>
      <c r="C8284">
        <v>84439191</v>
      </c>
      <c r="E8284">
        <v>71.78</v>
      </c>
      <c r="F8284">
        <v>12</v>
      </c>
      <c r="G8284">
        <v>0</v>
      </c>
      <c r="H8284" t="s">
        <v>19447</v>
      </c>
      <c r="I8284" t="s">
        <v>19447</v>
      </c>
      <c r="J8284">
        <v>14</v>
      </c>
      <c r="L8284" t="s">
        <v>2709</v>
      </c>
      <c r="M8284">
        <v>84439191</v>
      </c>
      <c r="O8284" t="s">
        <v>20056</v>
      </c>
      <c r="P8284" t="s">
        <v>19903</v>
      </c>
      <c r="Q8284" t="s">
        <v>19900</v>
      </c>
      <c r="R8284" t="s">
        <v>19447</v>
      </c>
      <c r="S8284" t="s">
        <v>19447</v>
      </c>
      <c r="T8284" t="s">
        <v>19911</v>
      </c>
    </row>
    <row r="8285" spans="2:20" x14ac:dyDescent="0.25">
      <c r="B8285" t="s">
        <v>2709</v>
      </c>
      <c r="C8285">
        <v>84439192</v>
      </c>
      <c r="E8285">
        <v>71.78</v>
      </c>
      <c r="F8285">
        <v>12</v>
      </c>
      <c r="G8285">
        <v>0</v>
      </c>
      <c r="H8285" t="s">
        <v>19447</v>
      </c>
      <c r="I8285" t="s">
        <v>19447</v>
      </c>
      <c r="J8285">
        <v>14</v>
      </c>
      <c r="L8285" t="s">
        <v>2709</v>
      </c>
      <c r="M8285">
        <v>84439192</v>
      </c>
      <c r="O8285" t="s">
        <v>20056</v>
      </c>
      <c r="P8285" t="s">
        <v>19903</v>
      </c>
      <c r="Q8285" t="s">
        <v>19900</v>
      </c>
      <c r="R8285" t="s">
        <v>19447</v>
      </c>
      <c r="S8285" t="s">
        <v>19447</v>
      </c>
      <c r="T8285" t="s">
        <v>19911</v>
      </c>
    </row>
    <row r="8286" spans="2:20" x14ac:dyDescent="0.25">
      <c r="B8286" t="s">
        <v>2709</v>
      </c>
      <c r="C8286">
        <v>84439199</v>
      </c>
      <c r="E8286">
        <v>71.78</v>
      </c>
      <c r="F8286">
        <v>12</v>
      </c>
      <c r="G8286">
        <v>0</v>
      </c>
      <c r="H8286" t="s">
        <v>19447</v>
      </c>
      <c r="I8286" t="s">
        <v>19447</v>
      </c>
      <c r="J8286">
        <v>14</v>
      </c>
      <c r="L8286" t="s">
        <v>2709</v>
      </c>
      <c r="M8286">
        <v>84439199</v>
      </c>
      <c r="O8286" t="s">
        <v>20056</v>
      </c>
      <c r="P8286" t="s">
        <v>19903</v>
      </c>
      <c r="Q8286" t="s">
        <v>19900</v>
      </c>
      <c r="R8286" t="s">
        <v>19447</v>
      </c>
      <c r="S8286" t="s">
        <v>19447</v>
      </c>
      <c r="T8286" t="s">
        <v>19911</v>
      </c>
    </row>
    <row r="8287" spans="2:20" x14ac:dyDescent="0.25">
      <c r="B8287" t="s">
        <v>2709</v>
      </c>
      <c r="C8287">
        <v>84439911</v>
      </c>
      <c r="E8287">
        <v>36.75</v>
      </c>
      <c r="F8287">
        <v>12</v>
      </c>
      <c r="G8287">
        <v>10</v>
      </c>
      <c r="H8287" t="s">
        <v>19447</v>
      </c>
      <c r="I8287" t="s">
        <v>19447</v>
      </c>
      <c r="J8287">
        <v>12</v>
      </c>
      <c r="L8287" t="s">
        <v>2709</v>
      </c>
      <c r="M8287">
        <v>84439911</v>
      </c>
      <c r="O8287" t="s">
        <v>20172</v>
      </c>
      <c r="P8287" t="s">
        <v>19903</v>
      </c>
      <c r="Q8287" t="s">
        <v>19904</v>
      </c>
      <c r="R8287" t="s">
        <v>19447</v>
      </c>
      <c r="S8287" t="s">
        <v>19447</v>
      </c>
      <c r="T8287" t="s">
        <v>19903</v>
      </c>
    </row>
    <row r="8288" spans="2:20" x14ac:dyDescent="0.25">
      <c r="B8288" t="s">
        <v>2709</v>
      </c>
      <c r="C8288">
        <v>84439912</v>
      </c>
      <c r="E8288">
        <v>36.75</v>
      </c>
      <c r="F8288">
        <v>12</v>
      </c>
      <c r="G8288">
        <v>10</v>
      </c>
      <c r="H8288" t="s">
        <v>19447</v>
      </c>
      <c r="I8288" t="s">
        <v>19447</v>
      </c>
      <c r="J8288">
        <v>0</v>
      </c>
      <c r="L8288" t="s">
        <v>2709</v>
      </c>
      <c r="M8288">
        <v>84439912</v>
      </c>
      <c r="O8288" t="s">
        <v>20172</v>
      </c>
      <c r="P8288" t="s">
        <v>19903</v>
      </c>
      <c r="Q8288" t="s">
        <v>19904</v>
      </c>
      <c r="R8288" t="s">
        <v>19447</v>
      </c>
      <c r="S8288" t="s">
        <v>19447</v>
      </c>
      <c r="T8288" t="s">
        <v>19900</v>
      </c>
    </row>
    <row r="8289" spans="2:20" x14ac:dyDescent="0.25">
      <c r="B8289" t="s">
        <v>2709</v>
      </c>
      <c r="C8289">
        <v>84439919</v>
      </c>
      <c r="E8289">
        <v>36.75</v>
      </c>
      <c r="F8289">
        <v>12</v>
      </c>
      <c r="G8289">
        <v>10</v>
      </c>
      <c r="H8289" t="s">
        <v>19447</v>
      </c>
      <c r="I8289" t="s">
        <v>19447</v>
      </c>
      <c r="J8289">
        <v>8</v>
      </c>
      <c r="L8289" t="s">
        <v>2709</v>
      </c>
      <c r="M8289">
        <v>84439919</v>
      </c>
      <c r="O8289" t="s">
        <v>20172</v>
      </c>
      <c r="P8289" t="s">
        <v>19903</v>
      </c>
      <c r="Q8289" t="s">
        <v>19904</v>
      </c>
      <c r="R8289" t="s">
        <v>19447</v>
      </c>
      <c r="S8289" t="s">
        <v>19447</v>
      </c>
      <c r="T8289" t="s">
        <v>19918</v>
      </c>
    </row>
    <row r="8290" spans="2:20" x14ac:dyDescent="0.25">
      <c r="B8290" t="s">
        <v>2709</v>
      </c>
      <c r="C8290">
        <v>84439921</v>
      </c>
      <c r="E8290">
        <v>36.75</v>
      </c>
      <c r="F8290">
        <v>12</v>
      </c>
      <c r="G8290">
        <v>10</v>
      </c>
      <c r="H8290" t="s">
        <v>19447</v>
      </c>
      <c r="I8290" t="s">
        <v>19447</v>
      </c>
      <c r="J8290">
        <v>8</v>
      </c>
      <c r="L8290" t="s">
        <v>2709</v>
      </c>
      <c r="M8290">
        <v>84439921</v>
      </c>
      <c r="O8290" t="s">
        <v>20172</v>
      </c>
      <c r="P8290" t="s">
        <v>19903</v>
      </c>
      <c r="Q8290" t="s">
        <v>19904</v>
      </c>
      <c r="R8290" t="s">
        <v>19447</v>
      </c>
      <c r="S8290" t="s">
        <v>19447</v>
      </c>
      <c r="T8290" t="s">
        <v>19918</v>
      </c>
    </row>
    <row r="8291" spans="2:20" x14ac:dyDescent="0.25">
      <c r="B8291" t="s">
        <v>2709</v>
      </c>
      <c r="C8291">
        <v>84439922</v>
      </c>
      <c r="E8291">
        <v>36.75</v>
      </c>
      <c r="F8291">
        <v>12</v>
      </c>
      <c r="G8291">
        <v>5</v>
      </c>
      <c r="H8291" t="s">
        <v>19447</v>
      </c>
      <c r="I8291" t="s">
        <v>19447</v>
      </c>
      <c r="J8291">
        <v>0</v>
      </c>
      <c r="L8291" t="s">
        <v>2709</v>
      </c>
      <c r="M8291">
        <v>84439922</v>
      </c>
      <c r="O8291" t="s">
        <v>20172</v>
      </c>
      <c r="P8291" t="s">
        <v>19903</v>
      </c>
      <c r="Q8291" t="s">
        <v>19909</v>
      </c>
      <c r="R8291" t="s">
        <v>19447</v>
      </c>
      <c r="S8291" t="s">
        <v>19447</v>
      </c>
      <c r="T8291" t="s">
        <v>19900</v>
      </c>
    </row>
    <row r="8292" spans="2:20" x14ac:dyDescent="0.25">
      <c r="B8292" t="s">
        <v>2709</v>
      </c>
      <c r="C8292">
        <v>84439923</v>
      </c>
      <c r="E8292">
        <v>36.75</v>
      </c>
      <c r="F8292">
        <v>12</v>
      </c>
      <c r="G8292">
        <v>5</v>
      </c>
      <c r="H8292" t="s">
        <v>19447</v>
      </c>
      <c r="I8292" t="s">
        <v>19447</v>
      </c>
      <c r="J8292">
        <v>0</v>
      </c>
      <c r="L8292" t="s">
        <v>2709</v>
      </c>
      <c r="M8292">
        <v>84439923</v>
      </c>
      <c r="O8292" t="s">
        <v>20172</v>
      </c>
      <c r="P8292" t="s">
        <v>19903</v>
      </c>
      <c r="Q8292" t="s">
        <v>19909</v>
      </c>
      <c r="R8292" t="s">
        <v>19447</v>
      </c>
      <c r="S8292" t="s">
        <v>19447</v>
      </c>
      <c r="T8292" t="s">
        <v>19900</v>
      </c>
    </row>
    <row r="8293" spans="2:20" x14ac:dyDescent="0.25">
      <c r="B8293" t="s">
        <v>2709</v>
      </c>
      <c r="C8293">
        <v>84439929</v>
      </c>
      <c r="E8293">
        <v>36.75</v>
      </c>
      <c r="F8293">
        <v>12</v>
      </c>
      <c r="G8293">
        <v>10</v>
      </c>
      <c r="H8293" t="s">
        <v>19447</v>
      </c>
      <c r="I8293" t="s">
        <v>19447</v>
      </c>
      <c r="J8293">
        <v>8</v>
      </c>
      <c r="L8293" t="s">
        <v>2709</v>
      </c>
      <c r="M8293">
        <v>84439929</v>
      </c>
      <c r="O8293" t="s">
        <v>20172</v>
      </c>
      <c r="P8293" t="s">
        <v>19903</v>
      </c>
      <c r="Q8293" t="s">
        <v>19904</v>
      </c>
      <c r="R8293" t="s">
        <v>19447</v>
      </c>
      <c r="S8293" t="s">
        <v>19447</v>
      </c>
      <c r="T8293" t="s">
        <v>19918</v>
      </c>
    </row>
    <row r="8294" spans="2:20" x14ac:dyDescent="0.25">
      <c r="B8294" t="s">
        <v>2709</v>
      </c>
      <c r="C8294">
        <v>84439931</v>
      </c>
      <c r="E8294">
        <v>36.75</v>
      </c>
      <c r="F8294">
        <v>12</v>
      </c>
      <c r="G8294">
        <v>5</v>
      </c>
      <c r="H8294" t="s">
        <v>19447</v>
      </c>
      <c r="I8294" t="s">
        <v>19447</v>
      </c>
      <c r="J8294">
        <v>0</v>
      </c>
      <c r="L8294" t="s">
        <v>2709</v>
      </c>
      <c r="M8294">
        <v>84439931</v>
      </c>
      <c r="O8294" t="s">
        <v>20172</v>
      </c>
      <c r="P8294" t="s">
        <v>19903</v>
      </c>
      <c r="Q8294" t="s">
        <v>19909</v>
      </c>
      <c r="R8294" t="s">
        <v>19447</v>
      </c>
      <c r="S8294" t="s">
        <v>19447</v>
      </c>
      <c r="T8294" t="s">
        <v>19900</v>
      </c>
    </row>
    <row r="8295" spans="2:20" x14ac:dyDescent="0.25">
      <c r="B8295" t="s">
        <v>2709</v>
      </c>
      <c r="C8295">
        <v>84439932</v>
      </c>
      <c r="E8295">
        <v>36.75</v>
      </c>
      <c r="F8295">
        <v>12</v>
      </c>
      <c r="G8295">
        <v>5</v>
      </c>
      <c r="H8295" t="s">
        <v>19447</v>
      </c>
      <c r="I8295" t="s">
        <v>19447</v>
      </c>
      <c r="J8295">
        <v>0</v>
      </c>
      <c r="L8295" t="s">
        <v>2709</v>
      </c>
      <c r="M8295">
        <v>84439932</v>
      </c>
      <c r="O8295" t="s">
        <v>20172</v>
      </c>
      <c r="P8295" t="s">
        <v>19903</v>
      </c>
      <c r="Q8295" t="s">
        <v>19909</v>
      </c>
      <c r="R8295" t="s">
        <v>19447</v>
      </c>
      <c r="S8295" t="s">
        <v>19447</v>
      </c>
      <c r="T8295" t="s">
        <v>19900</v>
      </c>
    </row>
    <row r="8296" spans="2:20" x14ac:dyDescent="0.25">
      <c r="B8296" t="s">
        <v>2709</v>
      </c>
      <c r="C8296">
        <v>84439933</v>
      </c>
      <c r="E8296">
        <v>36.75</v>
      </c>
      <c r="F8296">
        <v>12</v>
      </c>
      <c r="G8296">
        <v>5</v>
      </c>
      <c r="H8296" t="s">
        <v>19447</v>
      </c>
      <c r="I8296" t="s">
        <v>19447</v>
      </c>
      <c r="J8296">
        <v>0</v>
      </c>
      <c r="L8296" t="s">
        <v>2709</v>
      </c>
      <c r="M8296">
        <v>84439933</v>
      </c>
      <c r="O8296" t="s">
        <v>20172</v>
      </c>
      <c r="P8296" t="s">
        <v>19903</v>
      </c>
      <c r="Q8296" t="s">
        <v>19909</v>
      </c>
      <c r="R8296" t="s">
        <v>19447</v>
      </c>
      <c r="S8296" t="s">
        <v>19447</v>
      </c>
      <c r="T8296" t="s">
        <v>19900</v>
      </c>
    </row>
    <row r="8297" spans="2:20" x14ac:dyDescent="0.25">
      <c r="B8297" t="s">
        <v>2709</v>
      </c>
      <c r="C8297">
        <v>84439939</v>
      </c>
      <c r="E8297">
        <v>36.75</v>
      </c>
      <c r="F8297">
        <v>12</v>
      </c>
      <c r="G8297">
        <v>10</v>
      </c>
      <c r="H8297" t="s">
        <v>19447</v>
      </c>
      <c r="I8297" t="s">
        <v>19447</v>
      </c>
      <c r="J8297">
        <v>8</v>
      </c>
      <c r="L8297" t="s">
        <v>2709</v>
      </c>
      <c r="M8297">
        <v>84439939</v>
      </c>
      <c r="O8297" t="s">
        <v>20172</v>
      </c>
      <c r="P8297" t="s">
        <v>19903</v>
      </c>
      <c r="Q8297" t="s">
        <v>19904</v>
      </c>
      <c r="R8297" t="s">
        <v>19447</v>
      </c>
      <c r="S8297" t="s">
        <v>19447</v>
      </c>
      <c r="T8297" t="s">
        <v>19918</v>
      </c>
    </row>
    <row r="8298" spans="2:20" x14ac:dyDescent="0.25">
      <c r="B8298" t="s">
        <v>2709</v>
      </c>
      <c r="C8298">
        <v>84439941</v>
      </c>
      <c r="E8298">
        <v>36.75</v>
      </c>
      <c r="F8298">
        <v>12</v>
      </c>
      <c r="G8298">
        <v>10</v>
      </c>
      <c r="H8298" t="s">
        <v>19447</v>
      </c>
      <c r="I8298" t="s">
        <v>19447</v>
      </c>
      <c r="J8298">
        <v>8</v>
      </c>
      <c r="L8298" t="s">
        <v>2709</v>
      </c>
      <c r="M8298">
        <v>84439941</v>
      </c>
      <c r="O8298" t="s">
        <v>20172</v>
      </c>
      <c r="P8298" t="s">
        <v>19903</v>
      </c>
      <c r="Q8298" t="s">
        <v>19904</v>
      </c>
      <c r="R8298" t="s">
        <v>19447</v>
      </c>
      <c r="S8298" t="s">
        <v>19447</v>
      </c>
      <c r="T8298" t="s">
        <v>19918</v>
      </c>
    </row>
    <row r="8299" spans="2:20" x14ac:dyDescent="0.25">
      <c r="B8299" t="s">
        <v>2709</v>
      </c>
      <c r="C8299">
        <v>84439942</v>
      </c>
      <c r="E8299">
        <v>36.75</v>
      </c>
      <c r="F8299">
        <v>12</v>
      </c>
      <c r="G8299">
        <v>5</v>
      </c>
      <c r="H8299" t="s">
        <v>19447</v>
      </c>
      <c r="I8299" t="s">
        <v>19447</v>
      </c>
      <c r="J8299">
        <v>0</v>
      </c>
      <c r="L8299" t="s">
        <v>2709</v>
      </c>
      <c r="M8299">
        <v>84439942</v>
      </c>
      <c r="O8299" t="s">
        <v>20172</v>
      </c>
      <c r="P8299" t="s">
        <v>19903</v>
      </c>
      <c r="Q8299" t="s">
        <v>19909</v>
      </c>
      <c r="R8299" t="s">
        <v>19447</v>
      </c>
      <c r="S8299" t="s">
        <v>19447</v>
      </c>
      <c r="T8299" t="s">
        <v>19900</v>
      </c>
    </row>
    <row r="8300" spans="2:20" x14ac:dyDescent="0.25">
      <c r="B8300" t="s">
        <v>2709</v>
      </c>
      <c r="C8300">
        <v>84439949</v>
      </c>
      <c r="E8300">
        <v>36.75</v>
      </c>
      <c r="F8300">
        <v>12</v>
      </c>
      <c r="G8300">
        <v>10</v>
      </c>
      <c r="H8300" t="s">
        <v>19447</v>
      </c>
      <c r="I8300" t="s">
        <v>19447</v>
      </c>
      <c r="J8300">
        <v>8</v>
      </c>
      <c r="L8300" t="s">
        <v>2709</v>
      </c>
      <c r="M8300">
        <v>84439949</v>
      </c>
      <c r="O8300" t="s">
        <v>20172</v>
      </c>
      <c r="P8300" t="s">
        <v>19903</v>
      </c>
      <c r="Q8300" t="s">
        <v>19904</v>
      </c>
      <c r="R8300" t="s">
        <v>19447</v>
      </c>
      <c r="S8300" t="s">
        <v>19447</v>
      </c>
      <c r="T8300" t="s">
        <v>19918</v>
      </c>
    </row>
    <row r="8301" spans="2:20" x14ac:dyDescent="0.25">
      <c r="B8301" t="s">
        <v>2709</v>
      </c>
      <c r="C8301">
        <v>84439950</v>
      </c>
      <c r="E8301">
        <v>36.75</v>
      </c>
      <c r="F8301">
        <v>12</v>
      </c>
      <c r="G8301">
        <v>10</v>
      </c>
      <c r="H8301" t="s">
        <v>19447</v>
      </c>
      <c r="I8301" t="s">
        <v>19447</v>
      </c>
      <c r="J8301">
        <v>8</v>
      </c>
      <c r="L8301" t="s">
        <v>2709</v>
      </c>
      <c r="M8301">
        <v>84439950</v>
      </c>
      <c r="O8301" t="s">
        <v>20172</v>
      </c>
      <c r="P8301" t="s">
        <v>19903</v>
      </c>
      <c r="Q8301" t="s">
        <v>19904</v>
      </c>
      <c r="R8301" t="s">
        <v>19447</v>
      </c>
      <c r="S8301" t="s">
        <v>19447</v>
      </c>
      <c r="T8301" t="s">
        <v>19918</v>
      </c>
    </row>
    <row r="8302" spans="2:20" x14ac:dyDescent="0.25">
      <c r="B8302" t="s">
        <v>2709</v>
      </c>
      <c r="C8302">
        <v>84439960</v>
      </c>
      <c r="E8302">
        <v>36.75</v>
      </c>
      <c r="F8302">
        <v>12</v>
      </c>
      <c r="G8302">
        <v>15</v>
      </c>
      <c r="H8302" t="s">
        <v>19447</v>
      </c>
      <c r="I8302" t="s">
        <v>19447</v>
      </c>
      <c r="J8302">
        <v>12</v>
      </c>
      <c r="L8302" t="s">
        <v>2709</v>
      </c>
      <c r="M8302">
        <v>84439960</v>
      </c>
      <c r="O8302" t="s">
        <v>20172</v>
      </c>
      <c r="P8302" t="s">
        <v>19903</v>
      </c>
      <c r="Q8302" t="s">
        <v>19983</v>
      </c>
      <c r="R8302" t="s">
        <v>19447</v>
      </c>
      <c r="S8302" t="s">
        <v>19447</v>
      </c>
      <c r="T8302" t="s">
        <v>19903</v>
      </c>
    </row>
    <row r="8303" spans="2:20" x14ac:dyDescent="0.25">
      <c r="B8303" t="s">
        <v>2709</v>
      </c>
      <c r="C8303">
        <v>84439970</v>
      </c>
      <c r="E8303">
        <v>36.75</v>
      </c>
      <c r="F8303">
        <v>12</v>
      </c>
      <c r="G8303">
        <v>10</v>
      </c>
      <c r="H8303" t="s">
        <v>19447</v>
      </c>
      <c r="I8303" t="s">
        <v>19447</v>
      </c>
      <c r="J8303">
        <v>8</v>
      </c>
      <c r="L8303" t="s">
        <v>2709</v>
      </c>
      <c r="M8303">
        <v>84439970</v>
      </c>
      <c r="O8303" t="s">
        <v>20172</v>
      </c>
      <c r="P8303" t="s">
        <v>19903</v>
      </c>
      <c r="Q8303" t="s">
        <v>19904</v>
      </c>
      <c r="R8303" t="s">
        <v>19447</v>
      </c>
      <c r="S8303" t="s">
        <v>19447</v>
      </c>
      <c r="T8303" t="s">
        <v>19918</v>
      </c>
    </row>
    <row r="8304" spans="2:20" x14ac:dyDescent="0.25">
      <c r="B8304" t="s">
        <v>2709</v>
      </c>
      <c r="C8304">
        <v>84439980</v>
      </c>
      <c r="E8304">
        <v>36.75</v>
      </c>
      <c r="F8304">
        <v>12</v>
      </c>
      <c r="G8304">
        <v>10</v>
      </c>
      <c r="H8304" t="s">
        <v>19447</v>
      </c>
      <c r="I8304" t="s">
        <v>19447</v>
      </c>
      <c r="J8304">
        <v>8</v>
      </c>
      <c r="L8304" t="s">
        <v>2709</v>
      </c>
      <c r="M8304">
        <v>84439980</v>
      </c>
      <c r="O8304" t="s">
        <v>20172</v>
      </c>
      <c r="P8304" t="s">
        <v>19903</v>
      </c>
      <c r="Q8304" t="s">
        <v>19904</v>
      </c>
      <c r="R8304" t="s">
        <v>19447</v>
      </c>
      <c r="S8304" t="s">
        <v>19447</v>
      </c>
      <c r="T8304" t="s">
        <v>19918</v>
      </c>
    </row>
    <row r="8305" spans="2:20" x14ac:dyDescent="0.25">
      <c r="B8305" t="s">
        <v>2709</v>
      </c>
      <c r="C8305">
        <v>84439990</v>
      </c>
      <c r="E8305">
        <v>36.75</v>
      </c>
      <c r="F8305">
        <v>12</v>
      </c>
      <c r="G8305">
        <v>10</v>
      </c>
      <c r="H8305" t="s">
        <v>19447</v>
      </c>
      <c r="I8305" t="s">
        <v>19447</v>
      </c>
      <c r="J8305">
        <v>8</v>
      </c>
      <c r="L8305" t="s">
        <v>2709</v>
      </c>
      <c r="M8305">
        <v>84439990</v>
      </c>
      <c r="O8305" t="s">
        <v>20172</v>
      </c>
      <c r="P8305" t="s">
        <v>19903</v>
      </c>
      <c r="Q8305" t="s">
        <v>19904</v>
      </c>
      <c r="R8305" t="s">
        <v>19447</v>
      </c>
      <c r="S8305" t="s">
        <v>19447</v>
      </c>
      <c r="T8305" t="s">
        <v>19918</v>
      </c>
    </row>
    <row r="8306" spans="2:20" x14ac:dyDescent="0.25">
      <c r="B8306" t="s">
        <v>2709</v>
      </c>
      <c r="C8306">
        <v>84440010</v>
      </c>
      <c r="E8306">
        <v>71.78</v>
      </c>
      <c r="F8306">
        <v>8.8000000000000007</v>
      </c>
      <c r="G8306">
        <v>0</v>
      </c>
      <c r="H8306" t="s">
        <v>19447</v>
      </c>
      <c r="I8306" t="s">
        <v>19447</v>
      </c>
      <c r="J8306">
        <v>14</v>
      </c>
      <c r="L8306" t="s">
        <v>2709</v>
      </c>
      <c r="M8306">
        <v>84440010</v>
      </c>
      <c r="O8306" t="s">
        <v>20056</v>
      </c>
      <c r="P8306" t="s">
        <v>20127</v>
      </c>
      <c r="Q8306" t="s">
        <v>19900</v>
      </c>
      <c r="R8306" t="s">
        <v>19447</v>
      </c>
      <c r="S8306" t="s">
        <v>19447</v>
      </c>
      <c r="T8306" t="s">
        <v>19911</v>
      </c>
    </row>
    <row r="8307" spans="2:20" x14ac:dyDescent="0.25">
      <c r="B8307" t="s">
        <v>2709</v>
      </c>
      <c r="C8307">
        <v>84440020</v>
      </c>
      <c r="E8307">
        <v>71.78</v>
      </c>
      <c r="F8307">
        <v>8.8000000000000007</v>
      </c>
      <c r="G8307">
        <v>0</v>
      </c>
      <c r="H8307" t="s">
        <v>19447</v>
      </c>
      <c r="I8307" t="s">
        <v>19447</v>
      </c>
      <c r="J8307">
        <v>0</v>
      </c>
      <c r="L8307" t="s">
        <v>2709</v>
      </c>
      <c r="M8307">
        <v>84440020</v>
      </c>
      <c r="O8307" t="s">
        <v>20056</v>
      </c>
      <c r="P8307" t="s">
        <v>20127</v>
      </c>
      <c r="Q8307" t="s">
        <v>19900</v>
      </c>
      <c r="R8307" t="s">
        <v>19447</v>
      </c>
      <c r="S8307" t="s">
        <v>19447</v>
      </c>
      <c r="T8307" t="s">
        <v>19900</v>
      </c>
    </row>
    <row r="8308" spans="2:20" x14ac:dyDescent="0.25">
      <c r="B8308" t="s">
        <v>2709</v>
      </c>
      <c r="C8308">
        <v>84440090</v>
      </c>
      <c r="E8308">
        <v>71.78</v>
      </c>
      <c r="F8308">
        <v>8.8000000000000007</v>
      </c>
      <c r="G8308">
        <v>0</v>
      </c>
      <c r="H8308" t="s">
        <v>19447</v>
      </c>
      <c r="I8308" t="s">
        <v>19447</v>
      </c>
      <c r="J8308">
        <v>0</v>
      </c>
      <c r="L8308" t="s">
        <v>2709</v>
      </c>
      <c r="M8308">
        <v>84440090</v>
      </c>
      <c r="O8308" t="s">
        <v>20056</v>
      </c>
      <c r="P8308" t="s">
        <v>20127</v>
      </c>
      <c r="Q8308" t="s">
        <v>19900</v>
      </c>
      <c r="R8308" t="s">
        <v>19447</v>
      </c>
      <c r="S8308" t="s">
        <v>19447</v>
      </c>
      <c r="T8308" t="s">
        <v>19900</v>
      </c>
    </row>
    <row r="8309" spans="2:20" x14ac:dyDescent="0.25">
      <c r="B8309" t="s">
        <v>2709</v>
      </c>
      <c r="C8309">
        <v>84451110</v>
      </c>
      <c r="E8309">
        <v>71.78</v>
      </c>
      <c r="F8309">
        <v>8.8000000000000007</v>
      </c>
      <c r="G8309">
        <v>0</v>
      </c>
      <c r="H8309" t="s">
        <v>19447</v>
      </c>
      <c r="I8309" t="s">
        <v>19447</v>
      </c>
      <c r="J8309">
        <v>0</v>
      </c>
      <c r="L8309" t="s">
        <v>2709</v>
      </c>
      <c r="M8309">
        <v>84451110</v>
      </c>
      <c r="O8309" t="s">
        <v>20056</v>
      </c>
      <c r="P8309" t="s">
        <v>20127</v>
      </c>
      <c r="Q8309" t="s">
        <v>19900</v>
      </c>
      <c r="R8309" t="s">
        <v>19447</v>
      </c>
      <c r="S8309" t="s">
        <v>19447</v>
      </c>
      <c r="T8309" t="s">
        <v>19900</v>
      </c>
    </row>
    <row r="8310" spans="2:20" x14ac:dyDescent="0.25">
      <c r="B8310" t="s">
        <v>2709</v>
      </c>
      <c r="C8310">
        <v>84451120</v>
      </c>
      <c r="E8310">
        <v>71.78</v>
      </c>
      <c r="F8310">
        <v>8.8000000000000007</v>
      </c>
      <c r="G8310">
        <v>0</v>
      </c>
      <c r="H8310" t="s">
        <v>19447</v>
      </c>
      <c r="I8310" t="s">
        <v>19447</v>
      </c>
      <c r="J8310">
        <v>0</v>
      </c>
      <c r="L8310" t="s">
        <v>2709</v>
      </c>
      <c r="M8310">
        <v>84451120</v>
      </c>
      <c r="O8310" t="s">
        <v>20056</v>
      </c>
      <c r="P8310" t="s">
        <v>20127</v>
      </c>
      <c r="Q8310" t="s">
        <v>19900</v>
      </c>
      <c r="R8310" t="s">
        <v>19447</v>
      </c>
      <c r="S8310" t="s">
        <v>19447</v>
      </c>
      <c r="T8310" t="s">
        <v>19900</v>
      </c>
    </row>
    <row r="8311" spans="2:20" x14ac:dyDescent="0.25">
      <c r="B8311" t="s">
        <v>2709</v>
      </c>
      <c r="C8311">
        <v>84451190</v>
      </c>
      <c r="E8311">
        <v>71.78</v>
      </c>
      <c r="F8311">
        <v>8.8000000000000007</v>
      </c>
      <c r="G8311">
        <v>0</v>
      </c>
      <c r="H8311" t="s">
        <v>19447</v>
      </c>
      <c r="I8311" t="s">
        <v>19447</v>
      </c>
      <c r="J8311">
        <v>14</v>
      </c>
      <c r="L8311" t="s">
        <v>2709</v>
      </c>
      <c r="M8311">
        <v>84451190</v>
      </c>
      <c r="O8311" t="s">
        <v>20056</v>
      </c>
      <c r="P8311" t="s">
        <v>20127</v>
      </c>
      <c r="Q8311" t="s">
        <v>19900</v>
      </c>
      <c r="R8311" t="s">
        <v>19447</v>
      </c>
      <c r="S8311" t="s">
        <v>19447</v>
      </c>
      <c r="T8311" t="s">
        <v>19911</v>
      </c>
    </row>
    <row r="8312" spans="2:20" x14ac:dyDescent="0.25">
      <c r="B8312" t="s">
        <v>2709</v>
      </c>
      <c r="C8312">
        <v>84451200</v>
      </c>
      <c r="E8312">
        <v>71.78</v>
      </c>
      <c r="F8312">
        <v>8.8000000000000007</v>
      </c>
      <c r="G8312">
        <v>0</v>
      </c>
      <c r="H8312" t="s">
        <v>19447</v>
      </c>
      <c r="I8312" t="s">
        <v>19447</v>
      </c>
      <c r="J8312">
        <v>0</v>
      </c>
      <c r="L8312" t="s">
        <v>2709</v>
      </c>
      <c r="M8312">
        <v>84451200</v>
      </c>
      <c r="O8312" t="s">
        <v>20056</v>
      </c>
      <c r="P8312" t="s">
        <v>20127</v>
      </c>
      <c r="Q8312" t="s">
        <v>19900</v>
      </c>
      <c r="R8312" t="s">
        <v>19447</v>
      </c>
      <c r="S8312" t="s">
        <v>19447</v>
      </c>
      <c r="T8312" t="s">
        <v>19900</v>
      </c>
    </row>
    <row r="8313" spans="2:20" x14ac:dyDescent="0.25">
      <c r="B8313" t="s">
        <v>2709</v>
      </c>
      <c r="C8313">
        <v>84451300</v>
      </c>
      <c r="E8313">
        <v>71.78</v>
      </c>
      <c r="F8313">
        <v>8.8000000000000007</v>
      </c>
      <c r="G8313">
        <v>0</v>
      </c>
      <c r="H8313" t="s">
        <v>19447</v>
      </c>
      <c r="I8313" t="s">
        <v>19447</v>
      </c>
      <c r="J8313">
        <v>0</v>
      </c>
      <c r="L8313" t="s">
        <v>2709</v>
      </c>
      <c r="M8313">
        <v>84451300</v>
      </c>
      <c r="O8313" t="s">
        <v>20056</v>
      </c>
      <c r="P8313" t="s">
        <v>20127</v>
      </c>
      <c r="Q8313" t="s">
        <v>19900</v>
      </c>
      <c r="R8313" t="s">
        <v>19447</v>
      </c>
      <c r="S8313" t="s">
        <v>19447</v>
      </c>
      <c r="T8313" t="s">
        <v>19900</v>
      </c>
    </row>
    <row r="8314" spans="2:20" x14ac:dyDescent="0.25">
      <c r="B8314" t="s">
        <v>2709</v>
      </c>
      <c r="C8314">
        <v>84451910</v>
      </c>
      <c r="E8314">
        <v>71.78</v>
      </c>
      <c r="F8314">
        <v>8.8000000000000007</v>
      </c>
      <c r="G8314">
        <v>0</v>
      </c>
      <c r="H8314" t="s">
        <v>19447</v>
      </c>
      <c r="I8314" t="s">
        <v>19447</v>
      </c>
      <c r="J8314">
        <v>0</v>
      </c>
      <c r="L8314" t="s">
        <v>2709</v>
      </c>
      <c r="M8314">
        <v>84451910</v>
      </c>
      <c r="O8314" t="s">
        <v>20056</v>
      </c>
      <c r="P8314" t="s">
        <v>20127</v>
      </c>
      <c r="Q8314" t="s">
        <v>19900</v>
      </c>
      <c r="R8314" t="s">
        <v>19447</v>
      </c>
      <c r="S8314" t="s">
        <v>19447</v>
      </c>
      <c r="T8314" t="s">
        <v>19900</v>
      </c>
    </row>
    <row r="8315" spans="2:20" x14ac:dyDescent="0.25">
      <c r="B8315" t="s">
        <v>2709</v>
      </c>
      <c r="C8315">
        <v>84451921</v>
      </c>
      <c r="E8315">
        <v>71.78</v>
      </c>
      <c r="F8315">
        <v>8.8000000000000007</v>
      </c>
      <c r="G8315">
        <v>0</v>
      </c>
      <c r="H8315" t="s">
        <v>19447</v>
      </c>
      <c r="I8315" t="s">
        <v>19447</v>
      </c>
      <c r="J8315">
        <v>14</v>
      </c>
      <c r="L8315" t="s">
        <v>2709</v>
      </c>
      <c r="M8315">
        <v>84451921</v>
      </c>
      <c r="O8315" t="s">
        <v>20056</v>
      </c>
      <c r="P8315" t="s">
        <v>20127</v>
      </c>
      <c r="Q8315" t="s">
        <v>19900</v>
      </c>
      <c r="R8315" t="s">
        <v>19447</v>
      </c>
      <c r="S8315" t="s">
        <v>19447</v>
      </c>
      <c r="T8315" t="s">
        <v>19911</v>
      </c>
    </row>
    <row r="8316" spans="2:20" x14ac:dyDescent="0.25">
      <c r="B8316" t="s">
        <v>2709</v>
      </c>
      <c r="C8316">
        <v>84451922</v>
      </c>
      <c r="E8316">
        <v>71.78</v>
      </c>
      <c r="F8316">
        <v>8.8000000000000007</v>
      </c>
      <c r="G8316">
        <v>0</v>
      </c>
      <c r="H8316" t="s">
        <v>19447</v>
      </c>
      <c r="I8316" t="s">
        <v>19447</v>
      </c>
      <c r="J8316">
        <v>14</v>
      </c>
      <c r="L8316" t="s">
        <v>2709</v>
      </c>
      <c r="M8316">
        <v>84451922</v>
      </c>
      <c r="O8316" t="s">
        <v>20056</v>
      </c>
      <c r="P8316" t="s">
        <v>20127</v>
      </c>
      <c r="Q8316" t="s">
        <v>19900</v>
      </c>
      <c r="R8316" t="s">
        <v>19447</v>
      </c>
      <c r="S8316" t="s">
        <v>19447</v>
      </c>
      <c r="T8316" t="s">
        <v>19911</v>
      </c>
    </row>
    <row r="8317" spans="2:20" x14ac:dyDescent="0.25">
      <c r="B8317" t="s">
        <v>2709</v>
      </c>
      <c r="C8317">
        <v>84451923</v>
      </c>
      <c r="E8317">
        <v>71.78</v>
      </c>
      <c r="F8317">
        <v>8.8000000000000007</v>
      </c>
      <c r="G8317">
        <v>0</v>
      </c>
      <c r="H8317" t="s">
        <v>19447</v>
      </c>
      <c r="I8317" t="s">
        <v>19447</v>
      </c>
      <c r="J8317">
        <v>14</v>
      </c>
      <c r="L8317" t="s">
        <v>2709</v>
      </c>
      <c r="M8317">
        <v>84451923</v>
      </c>
      <c r="O8317" t="s">
        <v>20056</v>
      </c>
      <c r="P8317" t="s">
        <v>20127</v>
      </c>
      <c r="Q8317" t="s">
        <v>19900</v>
      </c>
      <c r="R8317" t="s">
        <v>19447</v>
      </c>
      <c r="S8317" t="s">
        <v>19447</v>
      </c>
      <c r="T8317" t="s">
        <v>19911</v>
      </c>
    </row>
    <row r="8318" spans="2:20" x14ac:dyDescent="0.25">
      <c r="B8318" t="s">
        <v>2709</v>
      </c>
      <c r="C8318">
        <v>84451924</v>
      </c>
      <c r="E8318">
        <v>71.78</v>
      </c>
      <c r="F8318">
        <v>8.8000000000000007</v>
      </c>
      <c r="G8318">
        <v>0</v>
      </c>
      <c r="H8318" t="s">
        <v>19447</v>
      </c>
      <c r="I8318" t="s">
        <v>19447</v>
      </c>
      <c r="J8318">
        <v>0</v>
      </c>
      <c r="L8318" t="s">
        <v>2709</v>
      </c>
      <c r="M8318">
        <v>84451924</v>
      </c>
      <c r="O8318" t="s">
        <v>20056</v>
      </c>
      <c r="P8318" t="s">
        <v>20127</v>
      </c>
      <c r="Q8318" t="s">
        <v>19900</v>
      </c>
      <c r="R8318" t="s">
        <v>19447</v>
      </c>
      <c r="S8318" t="s">
        <v>19447</v>
      </c>
      <c r="T8318" t="s">
        <v>19900</v>
      </c>
    </row>
    <row r="8319" spans="2:20" x14ac:dyDescent="0.25">
      <c r="B8319" t="s">
        <v>2709</v>
      </c>
      <c r="C8319">
        <v>84451925</v>
      </c>
      <c r="E8319">
        <v>71.78</v>
      </c>
      <c r="F8319">
        <v>8.8000000000000007</v>
      </c>
      <c r="G8319">
        <v>0</v>
      </c>
      <c r="H8319" t="s">
        <v>19447</v>
      </c>
      <c r="I8319" t="s">
        <v>19447</v>
      </c>
      <c r="J8319">
        <v>0</v>
      </c>
      <c r="L8319" t="s">
        <v>2709</v>
      </c>
      <c r="M8319">
        <v>84451925</v>
      </c>
      <c r="O8319" t="s">
        <v>20056</v>
      </c>
      <c r="P8319" t="s">
        <v>20127</v>
      </c>
      <c r="Q8319" t="s">
        <v>19900</v>
      </c>
      <c r="R8319" t="s">
        <v>19447</v>
      </c>
      <c r="S8319" t="s">
        <v>19447</v>
      </c>
      <c r="T8319" t="s">
        <v>19900</v>
      </c>
    </row>
    <row r="8320" spans="2:20" x14ac:dyDescent="0.25">
      <c r="B8320" t="s">
        <v>2709</v>
      </c>
      <c r="C8320">
        <v>84451926</v>
      </c>
      <c r="E8320">
        <v>71.78</v>
      </c>
      <c r="F8320">
        <v>8.8000000000000007</v>
      </c>
      <c r="G8320">
        <v>0</v>
      </c>
      <c r="H8320" t="s">
        <v>19447</v>
      </c>
      <c r="I8320" t="s">
        <v>19447</v>
      </c>
      <c r="J8320">
        <v>0</v>
      </c>
      <c r="L8320" t="s">
        <v>2709</v>
      </c>
      <c r="M8320">
        <v>84451926</v>
      </c>
      <c r="O8320" t="s">
        <v>20056</v>
      </c>
      <c r="P8320" t="s">
        <v>20127</v>
      </c>
      <c r="Q8320" t="s">
        <v>19900</v>
      </c>
      <c r="R8320" t="s">
        <v>19447</v>
      </c>
      <c r="S8320" t="s">
        <v>19447</v>
      </c>
      <c r="T8320" t="s">
        <v>19900</v>
      </c>
    </row>
    <row r="8321" spans="2:20" x14ac:dyDescent="0.25">
      <c r="B8321" t="s">
        <v>2709</v>
      </c>
      <c r="C8321">
        <v>84451927</v>
      </c>
      <c r="E8321">
        <v>71.78</v>
      </c>
      <c r="F8321">
        <v>8.8000000000000007</v>
      </c>
      <c r="G8321">
        <v>0</v>
      </c>
      <c r="H8321" t="s">
        <v>19447</v>
      </c>
      <c r="I8321" t="s">
        <v>19447</v>
      </c>
      <c r="J8321">
        <v>0</v>
      </c>
      <c r="L8321" t="s">
        <v>2709</v>
      </c>
      <c r="M8321">
        <v>84451927</v>
      </c>
      <c r="O8321" t="s">
        <v>20056</v>
      </c>
      <c r="P8321" t="s">
        <v>20127</v>
      </c>
      <c r="Q8321" t="s">
        <v>19900</v>
      </c>
      <c r="R8321" t="s">
        <v>19447</v>
      </c>
      <c r="S8321" t="s">
        <v>19447</v>
      </c>
      <c r="T8321" t="s">
        <v>19900</v>
      </c>
    </row>
    <row r="8322" spans="2:20" x14ac:dyDescent="0.25">
      <c r="B8322" t="s">
        <v>2709</v>
      </c>
      <c r="C8322">
        <v>84451929</v>
      </c>
      <c r="E8322">
        <v>71.78</v>
      </c>
      <c r="F8322">
        <v>8.8000000000000007</v>
      </c>
      <c r="G8322">
        <v>0</v>
      </c>
      <c r="H8322" t="s">
        <v>19447</v>
      </c>
      <c r="I8322" t="s">
        <v>19447</v>
      </c>
      <c r="J8322">
        <v>14</v>
      </c>
      <c r="L8322" t="s">
        <v>2709</v>
      </c>
      <c r="M8322">
        <v>84451929</v>
      </c>
      <c r="O8322" t="s">
        <v>20056</v>
      </c>
      <c r="P8322" t="s">
        <v>20127</v>
      </c>
      <c r="Q8322" t="s">
        <v>19900</v>
      </c>
      <c r="R8322" t="s">
        <v>19447</v>
      </c>
      <c r="S8322" t="s">
        <v>19447</v>
      </c>
      <c r="T8322" t="s">
        <v>19911</v>
      </c>
    </row>
    <row r="8323" spans="2:20" x14ac:dyDescent="0.25">
      <c r="B8323" t="s">
        <v>2709</v>
      </c>
      <c r="C8323">
        <v>84452000</v>
      </c>
      <c r="E8323">
        <v>71.78</v>
      </c>
      <c r="F8323">
        <v>8.8000000000000007</v>
      </c>
      <c r="G8323">
        <v>0</v>
      </c>
      <c r="H8323" t="s">
        <v>19447</v>
      </c>
      <c r="I8323" t="s">
        <v>19447</v>
      </c>
      <c r="J8323">
        <v>0</v>
      </c>
      <c r="L8323" t="s">
        <v>2709</v>
      </c>
      <c r="M8323">
        <v>84452000</v>
      </c>
      <c r="O8323" t="s">
        <v>20056</v>
      </c>
      <c r="P8323" t="s">
        <v>20127</v>
      </c>
      <c r="Q8323" t="s">
        <v>19900</v>
      </c>
      <c r="R8323" t="s">
        <v>19447</v>
      </c>
      <c r="S8323" t="s">
        <v>19447</v>
      </c>
      <c r="T8323" t="s">
        <v>19900</v>
      </c>
    </row>
    <row r="8324" spans="2:20" x14ac:dyDescent="0.25">
      <c r="B8324" t="s">
        <v>2709</v>
      </c>
      <c r="C8324">
        <v>84453010</v>
      </c>
      <c r="E8324">
        <v>71.78</v>
      </c>
      <c r="F8324">
        <v>8.8000000000000007</v>
      </c>
      <c r="G8324">
        <v>0</v>
      </c>
      <c r="H8324" t="s">
        <v>19447</v>
      </c>
      <c r="I8324" t="s">
        <v>19447</v>
      </c>
      <c r="J8324">
        <v>0</v>
      </c>
      <c r="L8324" t="s">
        <v>2709</v>
      </c>
      <c r="M8324">
        <v>84453010</v>
      </c>
      <c r="O8324" t="s">
        <v>20056</v>
      </c>
      <c r="P8324" t="s">
        <v>20127</v>
      </c>
      <c r="Q8324" t="s">
        <v>19900</v>
      </c>
      <c r="R8324" t="s">
        <v>19447</v>
      </c>
      <c r="S8324" t="s">
        <v>19447</v>
      </c>
      <c r="T8324" t="s">
        <v>19900</v>
      </c>
    </row>
    <row r="8325" spans="2:20" x14ac:dyDescent="0.25">
      <c r="B8325" t="s">
        <v>2709</v>
      </c>
      <c r="C8325">
        <v>84453090</v>
      </c>
      <c r="E8325">
        <v>71.78</v>
      </c>
      <c r="F8325">
        <v>8.8000000000000007</v>
      </c>
      <c r="G8325">
        <v>0</v>
      </c>
      <c r="H8325" t="s">
        <v>19447</v>
      </c>
      <c r="I8325" t="s">
        <v>19447</v>
      </c>
      <c r="J8325">
        <v>14</v>
      </c>
      <c r="L8325" t="s">
        <v>2709</v>
      </c>
      <c r="M8325">
        <v>84453090</v>
      </c>
      <c r="O8325" t="s">
        <v>20056</v>
      </c>
      <c r="P8325" t="s">
        <v>20127</v>
      </c>
      <c r="Q8325" t="s">
        <v>19900</v>
      </c>
      <c r="R8325" t="s">
        <v>19447</v>
      </c>
      <c r="S8325" t="s">
        <v>19447</v>
      </c>
      <c r="T8325" t="s">
        <v>19911</v>
      </c>
    </row>
    <row r="8326" spans="2:20" x14ac:dyDescent="0.25">
      <c r="B8326" t="s">
        <v>2709</v>
      </c>
      <c r="C8326">
        <v>84454011</v>
      </c>
      <c r="E8326">
        <v>71.78</v>
      </c>
      <c r="F8326">
        <v>8.8000000000000007</v>
      </c>
      <c r="G8326">
        <v>0</v>
      </c>
      <c r="H8326" t="s">
        <v>19447</v>
      </c>
      <c r="I8326" t="s">
        <v>19447</v>
      </c>
      <c r="J8326">
        <v>0</v>
      </c>
      <c r="L8326" t="s">
        <v>2709</v>
      </c>
      <c r="M8326">
        <v>84454011</v>
      </c>
      <c r="O8326" t="s">
        <v>20056</v>
      </c>
      <c r="P8326" t="s">
        <v>20127</v>
      </c>
      <c r="Q8326" t="s">
        <v>19900</v>
      </c>
      <c r="R8326" t="s">
        <v>19447</v>
      </c>
      <c r="S8326" t="s">
        <v>19447</v>
      </c>
      <c r="T8326" t="s">
        <v>19900</v>
      </c>
    </row>
    <row r="8327" spans="2:20" x14ac:dyDescent="0.25">
      <c r="B8327" t="s">
        <v>2709</v>
      </c>
      <c r="C8327">
        <v>84454012</v>
      </c>
      <c r="E8327">
        <v>71.78</v>
      </c>
      <c r="F8327">
        <v>8.8000000000000007</v>
      </c>
      <c r="G8327">
        <v>0</v>
      </c>
      <c r="H8327" t="s">
        <v>19447</v>
      </c>
      <c r="I8327" t="s">
        <v>19447</v>
      </c>
      <c r="J8327">
        <v>0</v>
      </c>
      <c r="L8327" t="s">
        <v>2709</v>
      </c>
      <c r="M8327">
        <v>84454012</v>
      </c>
      <c r="O8327" t="s">
        <v>20056</v>
      </c>
      <c r="P8327" t="s">
        <v>20127</v>
      </c>
      <c r="Q8327" t="s">
        <v>19900</v>
      </c>
      <c r="R8327" t="s">
        <v>19447</v>
      </c>
      <c r="S8327" t="s">
        <v>19447</v>
      </c>
      <c r="T8327" t="s">
        <v>19900</v>
      </c>
    </row>
    <row r="8328" spans="2:20" x14ac:dyDescent="0.25">
      <c r="B8328" t="s">
        <v>2709</v>
      </c>
      <c r="C8328">
        <v>84454018</v>
      </c>
      <c r="E8328">
        <v>71.78</v>
      </c>
      <c r="F8328">
        <v>8.8000000000000007</v>
      </c>
      <c r="G8328">
        <v>0</v>
      </c>
      <c r="H8328" t="s">
        <v>19447</v>
      </c>
      <c r="I8328" t="s">
        <v>19447</v>
      </c>
      <c r="J8328">
        <v>0</v>
      </c>
      <c r="L8328" t="s">
        <v>2709</v>
      </c>
      <c r="M8328">
        <v>84454018</v>
      </c>
      <c r="O8328" t="s">
        <v>20056</v>
      </c>
      <c r="P8328" t="s">
        <v>20127</v>
      </c>
      <c r="Q8328" t="s">
        <v>19900</v>
      </c>
      <c r="R8328" t="s">
        <v>19447</v>
      </c>
      <c r="S8328" t="s">
        <v>19447</v>
      </c>
      <c r="T8328" t="s">
        <v>19900</v>
      </c>
    </row>
    <row r="8329" spans="2:20" x14ac:dyDescent="0.25">
      <c r="B8329" t="s">
        <v>2709</v>
      </c>
      <c r="C8329">
        <v>84454019</v>
      </c>
      <c r="E8329">
        <v>71.78</v>
      </c>
      <c r="F8329">
        <v>8.8000000000000007</v>
      </c>
      <c r="G8329">
        <v>0</v>
      </c>
      <c r="H8329" t="s">
        <v>19447</v>
      </c>
      <c r="I8329" t="s">
        <v>19447</v>
      </c>
      <c r="J8329">
        <v>14</v>
      </c>
      <c r="L8329" t="s">
        <v>2709</v>
      </c>
      <c r="M8329">
        <v>84454019</v>
      </c>
      <c r="O8329" t="s">
        <v>20056</v>
      </c>
      <c r="P8329" t="s">
        <v>20127</v>
      </c>
      <c r="Q8329" t="s">
        <v>19900</v>
      </c>
      <c r="R8329" t="s">
        <v>19447</v>
      </c>
      <c r="S8329" t="s">
        <v>19447</v>
      </c>
      <c r="T8329" t="s">
        <v>19911</v>
      </c>
    </row>
    <row r="8330" spans="2:20" x14ac:dyDescent="0.25">
      <c r="B8330" t="s">
        <v>2709</v>
      </c>
      <c r="C8330">
        <v>84454021</v>
      </c>
      <c r="E8330">
        <v>71.78</v>
      </c>
      <c r="F8330">
        <v>8.8000000000000007</v>
      </c>
      <c r="G8330">
        <v>0</v>
      </c>
      <c r="H8330" t="s">
        <v>19447</v>
      </c>
      <c r="I8330" t="s">
        <v>19447</v>
      </c>
      <c r="J8330">
        <v>0</v>
      </c>
      <c r="L8330" t="s">
        <v>2709</v>
      </c>
      <c r="M8330">
        <v>84454021</v>
      </c>
      <c r="O8330" t="s">
        <v>20056</v>
      </c>
      <c r="P8330" t="s">
        <v>20127</v>
      </c>
      <c r="Q8330" t="s">
        <v>19900</v>
      </c>
      <c r="R8330" t="s">
        <v>19447</v>
      </c>
      <c r="S8330" t="s">
        <v>19447</v>
      </c>
      <c r="T8330" t="s">
        <v>19900</v>
      </c>
    </row>
    <row r="8331" spans="2:20" x14ac:dyDescent="0.25">
      <c r="B8331" t="s">
        <v>2709</v>
      </c>
      <c r="C8331">
        <v>84454029</v>
      </c>
      <c r="E8331">
        <v>71.78</v>
      </c>
      <c r="F8331">
        <v>8.8000000000000007</v>
      </c>
      <c r="G8331">
        <v>0</v>
      </c>
      <c r="H8331" t="s">
        <v>19447</v>
      </c>
      <c r="I8331" t="s">
        <v>19447</v>
      </c>
      <c r="J8331">
        <v>14</v>
      </c>
      <c r="L8331" t="s">
        <v>2709</v>
      </c>
      <c r="M8331">
        <v>84454029</v>
      </c>
      <c r="O8331" t="s">
        <v>20056</v>
      </c>
      <c r="P8331" t="s">
        <v>20127</v>
      </c>
      <c r="Q8331" t="s">
        <v>19900</v>
      </c>
      <c r="R8331" t="s">
        <v>19447</v>
      </c>
      <c r="S8331" t="s">
        <v>19447</v>
      </c>
      <c r="T8331" t="s">
        <v>19911</v>
      </c>
    </row>
    <row r="8332" spans="2:20" x14ac:dyDescent="0.25">
      <c r="B8332" t="s">
        <v>2709</v>
      </c>
      <c r="C8332">
        <v>84454031</v>
      </c>
      <c r="E8332">
        <v>71.78</v>
      </c>
      <c r="F8332">
        <v>8.8000000000000007</v>
      </c>
      <c r="G8332">
        <v>0</v>
      </c>
      <c r="H8332" t="s">
        <v>19447</v>
      </c>
      <c r="I8332" t="s">
        <v>19447</v>
      </c>
      <c r="J8332">
        <v>0</v>
      </c>
      <c r="L8332" t="s">
        <v>2709</v>
      </c>
      <c r="M8332">
        <v>84454031</v>
      </c>
      <c r="O8332" t="s">
        <v>20056</v>
      </c>
      <c r="P8332" t="s">
        <v>20127</v>
      </c>
      <c r="Q8332" t="s">
        <v>19900</v>
      </c>
      <c r="R8332" t="s">
        <v>19447</v>
      </c>
      <c r="S8332" t="s">
        <v>19447</v>
      </c>
      <c r="T8332" t="s">
        <v>19900</v>
      </c>
    </row>
    <row r="8333" spans="2:20" x14ac:dyDescent="0.25">
      <c r="B8333" t="s">
        <v>2709</v>
      </c>
      <c r="C8333">
        <v>84454039</v>
      </c>
      <c r="E8333">
        <v>71.78</v>
      </c>
      <c r="F8333">
        <v>8.8000000000000007</v>
      </c>
      <c r="G8333">
        <v>0</v>
      </c>
      <c r="H8333" t="s">
        <v>19447</v>
      </c>
      <c r="I8333" t="s">
        <v>19447</v>
      </c>
      <c r="J8333">
        <v>14</v>
      </c>
      <c r="L8333" t="s">
        <v>2709</v>
      </c>
      <c r="M8333">
        <v>84454039</v>
      </c>
      <c r="O8333" t="s">
        <v>20056</v>
      </c>
      <c r="P8333" t="s">
        <v>20127</v>
      </c>
      <c r="Q8333" t="s">
        <v>19900</v>
      </c>
      <c r="R8333" t="s">
        <v>19447</v>
      </c>
      <c r="S8333" t="s">
        <v>19447</v>
      </c>
      <c r="T8333" t="s">
        <v>19911</v>
      </c>
    </row>
    <row r="8334" spans="2:20" x14ac:dyDescent="0.25">
      <c r="B8334" t="s">
        <v>2709</v>
      </c>
      <c r="C8334">
        <v>84454040</v>
      </c>
      <c r="E8334">
        <v>71.78</v>
      </c>
      <c r="F8334">
        <v>8.8000000000000007</v>
      </c>
      <c r="G8334">
        <v>0</v>
      </c>
      <c r="H8334" t="s">
        <v>19447</v>
      </c>
      <c r="I8334" t="s">
        <v>19447</v>
      </c>
      <c r="J8334">
        <v>0</v>
      </c>
      <c r="L8334" t="s">
        <v>2709</v>
      </c>
      <c r="M8334">
        <v>84454040</v>
      </c>
      <c r="O8334" t="s">
        <v>20056</v>
      </c>
      <c r="P8334" t="s">
        <v>20127</v>
      </c>
      <c r="Q8334" t="s">
        <v>19900</v>
      </c>
      <c r="R8334" t="s">
        <v>19447</v>
      </c>
      <c r="S8334" t="s">
        <v>19447</v>
      </c>
      <c r="T8334" t="s">
        <v>19900</v>
      </c>
    </row>
    <row r="8335" spans="2:20" x14ac:dyDescent="0.25">
      <c r="B8335" t="s">
        <v>2709</v>
      </c>
      <c r="C8335">
        <v>84454090</v>
      </c>
      <c r="E8335">
        <v>71.78</v>
      </c>
      <c r="F8335">
        <v>8.8000000000000007</v>
      </c>
      <c r="G8335">
        <v>0</v>
      </c>
      <c r="H8335" t="s">
        <v>19447</v>
      </c>
      <c r="I8335" t="s">
        <v>19447</v>
      </c>
      <c r="J8335">
        <v>14</v>
      </c>
      <c r="L8335" t="s">
        <v>2709</v>
      </c>
      <c r="M8335">
        <v>84454090</v>
      </c>
      <c r="O8335" t="s">
        <v>20056</v>
      </c>
      <c r="P8335" t="s">
        <v>20127</v>
      </c>
      <c r="Q8335" t="s">
        <v>19900</v>
      </c>
      <c r="R8335" t="s">
        <v>19447</v>
      </c>
      <c r="S8335" t="s">
        <v>19447</v>
      </c>
      <c r="T8335" t="s">
        <v>19911</v>
      </c>
    </row>
    <row r="8336" spans="2:20" x14ac:dyDescent="0.25">
      <c r="B8336" t="s">
        <v>2709</v>
      </c>
      <c r="C8336">
        <v>84459010</v>
      </c>
      <c r="E8336">
        <v>71.78</v>
      </c>
      <c r="F8336">
        <v>8.8000000000000007</v>
      </c>
      <c r="G8336">
        <v>0</v>
      </c>
      <c r="H8336" t="s">
        <v>19447</v>
      </c>
      <c r="I8336" t="s">
        <v>19447</v>
      </c>
      <c r="J8336">
        <v>14</v>
      </c>
      <c r="L8336" t="s">
        <v>2709</v>
      </c>
      <c r="M8336">
        <v>84459010</v>
      </c>
      <c r="O8336" t="s">
        <v>20056</v>
      </c>
      <c r="P8336" t="s">
        <v>20127</v>
      </c>
      <c r="Q8336" t="s">
        <v>19900</v>
      </c>
      <c r="R8336" t="s">
        <v>19447</v>
      </c>
      <c r="S8336" t="s">
        <v>19447</v>
      </c>
      <c r="T8336" t="s">
        <v>19911</v>
      </c>
    </row>
    <row r="8337" spans="2:20" x14ac:dyDescent="0.25">
      <c r="B8337" t="s">
        <v>2709</v>
      </c>
      <c r="C8337">
        <v>84459020</v>
      </c>
      <c r="E8337">
        <v>71.78</v>
      </c>
      <c r="F8337">
        <v>8.8000000000000007</v>
      </c>
      <c r="G8337">
        <v>0</v>
      </c>
      <c r="H8337" t="s">
        <v>19447</v>
      </c>
      <c r="I8337" t="s">
        <v>19447</v>
      </c>
      <c r="J8337">
        <v>0</v>
      </c>
      <c r="L8337" t="s">
        <v>2709</v>
      </c>
      <c r="M8337">
        <v>84459020</v>
      </c>
      <c r="O8337" t="s">
        <v>20056</v>
      </c>
      <c r="P8337" t="s">
        <v>20127</v>
      </c>
      <c r="Q8337" t="s">
        <v>19900</v>
      </c>
      <c r="R8337" t="s">
        <v>19447</v>
      </c>
      <c r="S8337" t="s">
        <v>19447</v>
      </c>
      <c r="T8337" t="s">
        <v>19900</v>
      </c>
    </row>
    <row r="8338" spans="2:20" x14ac:dyDescent="0.25">
      <c r="B8338" t="s">
        <v>2709</v>
      </c>
      <c r="C8338">
        <v>84459030</v>
      </c>
      <c r="E8338">
        <v>71.78</v>
      </c>
      <c r="F8338">
        <v>8.8000000000000007</v>
      </c>
      <c r="G8338">
        <v>0</v>
      </c>
      <c r="H8338" t="s">
        <v>19447</v>
      </c>
      <c r="I8338" t="s">
        <v>19447</v>
      </c>
      <c r="J8338">
        <v>14</v>
      </c>
      <c r="L8338" t="s">
        <v>2709</v>
      </c>
      <c r="M8338">
        <v>84459030</v>
      </c>
      <c r="O8338" t="s">
        <v>20056</v>
      </c>
      <c r="P8338" t="s">
        <v>20127</v>
      </c>
      <c r="Q8338" t="s">
        <v>19900</v>
      </c>
      <c r="R8338" t="s">
        <v>19447</v>
      </c>
      <c r="S8338" t="s">
        <v>19447</v>
      </c>
      <c r="T8338" t="s">
        <v>19911</v>
      </c>
    </row>
    <row r="8339" spans="2:20" x14ac:dyDescent="0.25">
      <c r="B8339" t="s">
        <v>2709</v>
      </c>
      <c r="C8339">
        <v>84459040</v>
      </c>
      <c r="E8339">
        <v>71.78</v>
      </c>
      <c r="F8339">
        <v>8.8000000000000007</v>
      </c>
      <c r="G8339">
        <v>0</v>
      </c>
      <c r="H8339" t="s">
        <v>19447</v>
      </c>
      <c r="I8339" t="s">
        <v>19447</v>
      </c>
      <c r="J8339">
        <v>0</v>
      </c>
      <c r="L8339" t="s">
        <v>2709</v>
      </c>
      <c r="M8339">
        <v>84459040</v>
      </c>
      <c r="O8339" t="s">
        <v>20056</v>
      </c>
      <c r="P8339" t="s">
        <v>20127</v>
      </c>
      <c r="Q8339" t="s">
        <v>19900</v>
      </c>
      <c r="R8339" t="s">
        <v>19447</v>
      </c>
      <c r="S8339" t="s">
        <v>19447</v>
      </c>
      <c r="T8339" t="s">
        <v>19900</v>
      </c>
    </row>
    <row r="8340" spans="2:20" x14ac:dyDescent="0.25">
      <c r="B8340" t="s">
        <v>2709</v>
      </c>
      <c r="C8340">
        <v>84459090</v>
      </c>
      <c r="E8340">
        <v>71.78</v>
      </c>
      <c r="F8340">
        <v>8.8000000000000007</v>
      </c>
      <c r="G8340">
        <v>0</v>
      </c>
      <c r="H8340" t="s">
        <v>19447</v>
      </c>
      <c r="I8340" t="s">
        <v>19447</v>
      </c>
      <c r="J8340">
        <v>14</v>
      </c>
      <c r="L8340" t="s">
        <v>2709</v>
      </c>
      <c r="M8340">
        <v>84459090</v>
      </c>
      <c r="O8340" t="s">
        <v>20056</v>
      </c>
      <c r="P8340" t="s">
        <v>20127</v>
      </c>
      <c r="Q8340" t="s">
        <v>19900</v>
      </c>
      <c r="R8340" t="s">
        <v>19447</v>
      </c>
      <c r="S8340" t="s">
        <v>19447</v>
      </c>
      <c r="T8340" t="s">
        <v>19911</v>
      </c>
    </row>
    <row r="8341" spans="2:20" x14ac:dyDescent="0.25">
      <c r="B8341" t="s">
        <v>2709</v>
      </c>
      <c r="C8341">
        <v>84461010</v>
      </c>
      <c r="E8341">
        <v>71.78</v>
      </c>
      <c r="F8341">
        <v>8.8000000000000007</v>
      </c>
      <c r="G8341">
        <v>0</v>
      </c>
      <c r="H8341" t="s">
        <v>19447</v>
      </c>
      <c r="I8341" t="s">
        <v>19447</v>
      </c>
      <c r="J8341">
        <v>0</v>
      </c>
      <c r="L8341" t="s">
        <v>2709</v>
      </c>
      <c r="M8341">
        <v>84461010</v>
      </c>
      <c r="O8341" t="s">
        <v>20056</v>
      </c>
      <c r="P8341" t="s">
        <v>20127</v>
      </c>
      <c r="Q8341" t="s">
        <v>19900</v>
      </c>
      <c r="R8341" t="s">
        <v>19447</v>
      </c>
      <c r="S8341" t="s">
        <v>19447</v>
      </c>
      <c r="T8341" t="s">
        <v>19900</v>
      </c>
    </row>
    <row r="8342" spans="2:20" x14ac:dyDescent="0.25">
      <c r="B8342" t="s">
        <v>2709</v>
      </c>
      <c r="C8342">
        <v>84461090</v>
      </c>
      <c r="E8342">
        <v>71.78</v>
      </c>
      <c r="F8342">
        <v>8.8000000000000007</v>
      </c>
      <c r="G8342">
        <v>0</v>
      </c>
      <c r="H8342" t="s">
        <v>19447</v>
      </c>
      <c r="I8342" t="s">
        <v>19447</v>
      </c>
      <c r="J8342">
        <v>14</v>
      </c>
      <c r="L8342" t="s">
        <v>2709</v>
      </c>
      <c r="M8342">
        <v>84461090</v>
      </c>
      <c r="O8342" t="s">
        <v>20056</v>
      </c>
      <c r="P8342" t="s">
        <v>20127</v>
      </c>
      <c r="Q8342" t="s">
        <v>19900</v>
      </c>
      <c r="R8342" t="s">
        <v>19447</v>
      </c>
      <c r="S8342" t="s">
        <v>19447</v>
      </c>
      <c r="T8342" t="s">
        <v>19911</v>
      </c>
    </row>
    <row r="8343" spans="2:20" x14ac:dyDescent="0.25">
      <c r="B8343" t="s">
        <v>2709</v>
      </c>
      <c r="C8343">
        <v>84462100</v>
      </c>
      <c r="E8343">
        <v>71.78</v>
      </c>
      <c r="F8343">
        <v>8.8000000000000007</v>
      </c>
      <c r="G8343">
        <v>0</v>
      </c>
      <c r="H8343" t="s">
        <v>19447</v>
      </c>
      <c r="I8343" t="s">
        <v>19447</v>
      </c>
      <c r="J8343">
        <v>14</v>
      </c>
      <c r="L8343" t="s">
        <v>2709</v>
      </c>
      <c r="M8343">
        <v>84462100</v>
      </c>
      <c r="O8343" t="s">
        <v>20056</v>
      </c>
      <c r="P8343" t="s">
        <v>20127</v>
      </c>
      <c r="Q8343" t="s">
        <v>19900</v>
      </c>
      <c r="R8343" t="s">
        <v>19447</v>
      </c>
      <c r="S8343" t="s">
        <v>19447</v>
      </c>
      <c r="T8343" t="s">
        <v>19911</v>
      </c>
    </row>
    <row r="8344" spans="2:20" x14ac:dyDescent="0.25">
      <c r="B8344" t="s">
        <v>2709</v>
      </c>
      <c r="C8344">
        <v>84462900</v>
      </c>
      <c r="E8344">
        <v>71.78</v>
      </c>
      <c r="F8344">
        <v>8.8000000000000007</v>
      </c>
      <c r="G8344">
        <v>0</v>
      </c>
      <c r="H8344" t="s">
        <v>19447</v>
      </c>
      <c r="I8344" t="s">
        <v>19447</v>
      </c>
      <c r="J8344">
        <v>14</v>
      </c>
      <c r="L8344" t="s">
        <v>2709</v>
      </c>
      <c r="M8344">
        <v>84462900</v>
      </c>
      <c r="O8344" t="s">
        <v>20056</v>
      </c>
      <c r="P8344" t="s">
        <v>20127</v>
      </c>
      <c r="Q8344" t="s">
        <v>19900</v>
      </c>
      <c r="R8344" t="s">
        <v>19447</v>
      </c>
      <c r="S8344" t="s">
        <v>19447</v>
      </c>
      <c r="T8344" t="s">
        <v>19911</v>
      </c>
    </row>
    <row r="8345" spans="2:20" x14ac:dyDescent="0.25">
      <c r="B8345" t="s">
        <v>2709</v>
      </c>
      <c r="C8345">
        <v>84463010</v>
      </c>
      <c r="E8345">
        <v>71.78</v>
      </c>
      <c r="F8345">
        <v>8.8000000000000007</v>
      </c>
      <c r="G8345">
        <v>0</v>
      </c>
      <c r="H8345" t="s">
        <v>19447</v>
      </c>
      <c r="I8345" t="s">
        <v>19447</v>
      </c>
      <c r="J8345">
        <v>0</v>
      </c>
      <c r="L8345" t="s">
        <v>2709</v>
      </c>
      <c r="M8345">
        <v>84463010</v>
      </c>
      <c r="O8345" t="s">
        <v>20056</v>
      </c>
      <c r="P8345" t="s">
        <v>20127</v>
      </c>
      <c r="Q8345" t="s">
        <v>19900</v>
      </c>
      <c r="R8345" t="s">
        <v>19447</v>
      </c>
      <c r="S8345" t="s">
        <v>19447</v>
      </c>
      <c r="T8345" t="s">
        <v>19900</v>
      </c>
    </row>
    <row r="8346" spans="2:20" x14ac:dyDescent="0.25">
      <c r="B8346" t="s">
        <v>2709</v>
      </c>
      <c r="C8346">
        <v>84463020</v>
      </c>
      <c r="E8346">
        <v>71.78</v>
      </c>
      <c r="F8346">
        <v>8.8000000000000007</v>
      </c>
      <c r="G8346">
        <v>0</v>
      </c>
      <c r="H8346" t="s">
        <v>19447</v>
      </c>
      <c r="I8346" t="s">
        <v>19447</v>
      </c>
      <c r="J8346">
        <v>0</v>
      </c>
      <c r="L8346" t="s">
        <v>2709</v>
      </c>
      <c r="M8346">
        <v>84463020</v>
      </c>
      <c r="O8346" t="s">
        <v>20056</v>
      </c>
      <c r="P8346" t="s">
        <v>20127</v>
      </c>
      <c r="Q8346" t="s">
        <v>19900</v>
      </c>
      <c r="R8346" t="s">
        <v>19447</v>
      </c>
      <c r="S8346" t="s">
        <v>19447</v>
      </c>
      <c r="T8346" t="s">
        <v>19900</v>
      </c>
    </row>
    <row r="8347" spans="2:20" x14ac:dyDescent="0.25">
      <c r="B8347" t="s">
        <v>2709</v>
      </c>
      <c r="C8347">
        <v>84463030</v>
      </c>
      <c r="E8347">
        <v>71.78</v>
      </c>
      <c r="F8347">
        <v>8.8000000000000007</v>
      </c>
      <c r="G8347">
        <v>0</v>
      </c>
      <c r="H8347" t="s">
        <v>19447</v>
      </c>
      <c r="I8347" t="s">
        <v>19447</v>
      </c>
      <c r="J8347">
        <v>0</v>
      </c>
      <c r="L8347" t="s">
        <v>2709</v>
      </c>
      <c r="M8347">
        <v>84463030</v>
      </c>
      <c r="O8347" t="s">
        <v>20056</v>
      </c>
      <c r="P8347" t="s">
        <v>20127</v>
      </c>
      <c r="Q8347" t="s">
        <v>19900</v>
      </c>
      <c r="R8347" t="s">
        <v>19447</v>
      </c>
      <c r="S8347" t="s">
        <v>19447</v>
      </c>
      <c r="T8347" t="s">
        <v>19900</v>
      </c>
    </row>
    <row r="8348" spans="2:20" x14ac:dyDescent="0.25">
      <c r="B8348" t="s">
        <v>2709</v>
      </c>
      <c r="C8348">
        <v>84463040</v>
      </c>
      <c r="E8348">
        <v>71.78</v>
      </c>
      <c r="F8348">
        <v>8.8000000000000007</v>
      </c>
      <c r="G8348">
        <v>0</v>
      </c>
      <c r="H8348" t="s">
        <v>19447</v>
      </c>
      <c r="I8348" t="s">
        <v>19447</v>
      </c>
      <c r="J8348">
        <v>0</v>
      </c>
      <c r="L8348" t="s">
        <v>2709</v>
      </c>
      <c r="M8348">
        <v>84463040</v>
      </c>
      <c r="O8348" t="s">
        <v>20056</v>
      </c>
      <c r="P8348" t="s">
        <v>20127</v>
      </c>
      <c r="Q8348" t="s">
        <v>19900</v>
      </c>
      <c r="R8348" t="s">
        <v>19447</v>
      </c>
      <c r="S8348" t="s">
        <v>19447</v>
      </c>
      <c r="T8348" t="s">
        <v>19900</v>
      </c>
    </row>
    <row r="8349" spans="2:20" x14ac:dyDescent="0.25">
      <c r="B8349" t="s">
        <v>2709</v>
      </c>
      <c r="C8349">
        <v>84463090</v>
      </c>
      <c r="E8349">
        <v>71.78</v>
      </c>
      <c r="F8349">
        <v>8.8000000000000007</v>
      </c>
      <c r="G8349">
        <v>0</v>
      </c>
      <c r="H8349" t="s">
        <v>19447</v>
      </c>
      <c r="I8349" t="s">
        <v>19447</v>
      </c>
      <c r="J8349">
        <v>14</v>
      </c>
      <c r="L8349" t="s">
        <v>2709</v>
      </c>
      <c r="M8349">
        <v>84463090</v>
      </c>
      <c r="O8349" t="s">
        <v>20056</v>
      </c>
      <c r="P8349" t="s">
        <v>20127</v>
      </c>
      <c r="Q8349" t="s">
        <v>19900</v>
      </c>
      <c r="R8349" t="s">
        <v>19447</v>
      </c>
      <c r="S8349" t="s">
        <v>19447</v>
      </c>
      <c r="T8349" t="s">
        <v>19911</v>
      </c>
    </row>
    <row r="8350" spans="2:20" x14ac:dyDescent="0.25">
      <c r="B8350" t="s">
        <v>2709</v>
      </c>
      <c r="C8350">
        <v>84471100</v>
      </c>
      <c r="E8350">
        <v>71.78</v>
      </c>
      <c r="F8350">
        <v>8.8000000000000007</v>
      </c>
      <c r="G8350">
        <v>0</v>
      </c>
      <c r="H8350" t="s">
        <v>19447</v>
      </c>
      <c r="I8350" t="s">
        <v>19447</v>
      </c>
      <c r="J8350">
        <v>0</v>
      </c>
      <c r="L8350" t="s">
        <v>2709</v>
      </c>
      <c r="M8350">
        <v>84471100</v>
      </c>
      <c r="O8350" t="s">
        <v>20056</v>
      </c>
      <c r="P8350" t="s">
        <v>20127</v>
      </c>
      <c r="Q8350" t="s">
        <v>19900</v>
      </c>
      <c r="R8350" t="s">
        <v>19447</v>
      </c>
      <c r="S8350" t="s">
        <v>19447</v>
      </c>
      <c r="T8350" t="s">
        <v>19900</v>
      </c>
    </row>
    <row r="8351" spans="2:20" x14ac:dyDescent="0.25">
      <c r="B8351" t="s">
        <v>2709</v>
      </c>
      <c r="C8351">
        <v>84471200</v>
      </c>
      <c r="E8351">
        <v>71.78</v>
      </c>
      <c r="F8351">
        <v>8.8000000000000007</v>
      </c>
      <c r="G8351">
        <v>0</v>
      </c>
      <c r="H8351" t="s">
        <v>19447</v>
      </c>
      <c r="I8351" t="s">
        <v>19447</v>
      </c>
      <c r="J8351">
        <v>14</v>
      </c>
      <c r="L8351" t="s">
        <v>2709</v>
      </c>
      <c r="M8351">
        <v>84471200</v>
      </c>
      <c r="O8351" t="s">
        <v>20056</v>
      </c>
      <c r="P8351" t="s">
        <v>20127</v>
      </c>
      <c r="Q8351" t="s">
        <v>19900</v>
      </c>
      <c r="R8351" t="s">
        <v>19447</v>
      </c>
      <c r="S8351" t="s">
        <v>19447</v>
      </c>
      <c r="T8351" t="s">
        <v>19911</v>
      </c>
    </row>
    <row r="8352" spans="2:20" x14ac:dyDescent="0.25">
      <c r="B8352" t="s">
        <v>2709</v>
      </c>
      <c r="C8352">
        <v>84472010</v>
      </c>
      <c r="E8352">
        <v>71.78</v>
      </c>
      <c r="F8352">
        <v>18</v>
      </c>
      <c r="G8352">
        <v>0</v>
      </c>
      <c r="H8352" t="s">
        <v>19447</v>
      </c>
      <c r="I8352" t="s">
        <v>19447</v>
      </c>
      <c r="J8352">
        <v>20</v>
      </c>
      <c r="L8352" t="s">
        <v>2709</v>
      </c>
      <c r="M8352">
        <v>84472010</v>
      </c>
      <c r="O8352" t="s">
        <v>20056</v>
      </c>
      <c r="P8352" t="s">
        <v>19899</v>
      </c>
      <c r="Q8352" t="s">
        <v>19900</v>
      </c>
      <c r="R8352" t="s">
        <v>19447</v>
      </c>
      <c r="S8352" t="s">
        <v>19447</v>
      </c>
      <c r="T8352" t="s">
        <v>19934</v>
      </c>
    </row>
    <row r="8353" spans="2:20" x14ac:dyDescent="0.25">
      <c r="B8353" t="s">
        <v>2709</v>
      </c>
      <c r="C8353">
        <v>84472021</v>
      </c>
      <c r="E8353">
        <v>71.78</v>
      </c>
      <c r="F8353">
        <v>8.8000000000000007</v>
      </c>
      <c r="G8353">
        <v>0</v>
      </c>
      <c r="H8353" t="s">
        <v>19447</v>
      </c>
      <c r="I8353" t="s">
        <v>19447</v>
      </c>
      <c r="J8353">
        <v>0</v>
      </c>
      <c r="L8353" t="s">
        <v>2709</v>
      </c>
      <c r="M8353">
        <v>84472021</v>
      </c>
      <c r="O8353" t="s">
        <v>20056</v>
      </c>
      <c r="P8353" t="s">
        <v>20127</v>
      </c>
      <c r="Q8353" t="s">
        <v>19900</v>
      </c>
      <c r="R8353" t="s">
        <v>19447</v>
      </c>
      <c r="S8353" t="s">
        <v>19447</v>
      </c>
      <c r="T8353" t="s">
        <v>19900</v>
      </c>
    </row>
    <row r="8354" spans="2:20" x14ac:dyDescent="0.25">
      <c r="B8354" t="s">
        <v>2709</v>
      </c>
      <c r="C8354">
        <v>84472029</v>
      </c>
      <c r="E8354">
        <v>71.78</v>
      </c>
      <c r="F8354">
        <v>8.8000000000000007</v>
      </c>
      <c r="G8354">
        <v>0</v>
      </c>
      <c r="H8354" t="s">
        <v>19447</v>
      </c>
      <c r="I8354" t="s">
        <v>19447</v>
      </c>
      <c r="J8354">
        <v>14</v>
      </c>
      <c r="L8354" t="s">
        <v>2709</v>
      </c>
      <c r="M8354">
        <v>84472029</v>
      </c>
      <c r="O8354" t="s">
        <v>20056</v>
      </c>
      <c r="P8354" t="s">
        <v>20127</v>
      </c>
      <c r="Q8354" t="s">
        <v>19900</v>
      </c>
      <c r="R8354" t="s">
        <v>19447</v>
      </c>
      <c r="S8354" t="s">
        <v>19447</v>
      </c>
      <c r="T8354" t="s">
        <v>19911</v>
      </c>
    </row>
    <row r="8355" spans="2:20" x14ac:dyDescent="0.25">
      <c r="B8355" t="s">
        <v>2709</v>
      </c>
      <c r="C8355">
        <v>84472030</v>
      </c>
      <c r="E8355">
        <v>71.78</v>
      </c>
      <c r="F8355">
        <v>8.8000000000000007</v>
      </c>
      <c r="G8355">
        <v>0</v>
      </c>
      <c r="H8355" t="s">
        <v>19447</v>
      </c>
      <c r="I8355" t="s">
        <v>19447</v>
      </c>
      <c r="J8355">
        <v>14</v>
      </c>
      <c r="L8355" t="s">
        <v>2709</v>
      </c>
      <c r="M8355">
        <v>84472030</v>
      </c>
      <c r="O8355" t="s">
        <v>20056</v>
      </c>
      <c r="P8355" t="s">
        <v>20127</v>
      </c>
      <c r="Q8355" t="s">
        <v>19900</v>
      </c>
      <c r="R8355" t="s">
        <v>19447</v>
      </c>
      <c r="S8355" t="s">
        <v>19447</v>
      </c>
      <c r="T8355" t="s">
        <v>19911</v>
      </c>
    </row>
    <row r="8356" spans="2:20" x14ac:dyDescent="0.25">
      <c r="B8356" t="s">
        <v>2709</v>
      </c>
      <c r="C8356">
        <v>84479010</v>
      </c>
      <c r="E8356">
        <v>71.78</v>
      </c>
      <c r="F8356">
        <v>8.8000000000000007</v>
      </c>
      <c r="G8356">
        <v>0</v>
      </c>
      <c r="H8356" t="s">
        <v>19447</v>
      </c>
      <c r="I8356" t="s">
        <v>19447</v>
      </c>
      <c r="J8356">
        <v>0</v>
      </c>
      <c r="L8356" t="s">
        <v>2709</v>
      </c>
      <c r="M8356">
        <v>84479010</v>
      </c>
      <c r="O8356" t="s">
        <v>20056</v>
      </c>
      <c r="P8356" t="s">
        <v>20127</v>
      </c>
      <c r="Q8356" t="s">
        <v>19900</v>
      </c>
      <c r="R8356" t="s">
        <v>19447</v>
      </c>
      <c r="S8356" t="s">
        <v>19447</v>
      </c>
      <c r="T8356" t="s">
        <v>19900</v>
      </c>
    </row>
    <row r="8357" spans="2:20" x14ac:dyDescent="0.25">
      <c r="B8357" t="s">
        <v>2709</v>
      </c>
      <c r="C8357">
        <v>84479020</v>
      </c>
      <c r="E8357">
        <v>71.78</v>
      </c>
      <c r="F8357">
        <v>8.8000000000000007</v>
      </c>
      <c r="G8357">
        <v>0</v>
      </c>
      <c r="H8357" t="s">
        <v>19447</v>
      </c>
      <c r="I8357" t="s">
        <v>19447</v>
      </c>
      <c r="J8357">
        <v>0</v>
      </c>
      <c r="L8357" t="s">
        <v>2709</v>
      </c>
      <c r="M8357">
        <v>84479020</v>
      </c>
      <c r="O8357" t="s">
        <v>20056</v>
      </c>
      <c r="P8357" t="s">
        <v>20127</v>
      </c>
      <c r="Q8357" t="s">
        <v>19900</v>
      </c>
      <c r="R8357" t="s">
        <v>19447</v>
      </c>
      <c r="S8357" t="s">
        <v>19447</v>
      </c>
      <c r="T8357" t="s">
        <v>19900</v>
      </c>
    </row>
    <row r="8358" spans="2:20" x14ac:dyDescent="0.25">
      <c r="B8358" t="s">
        <v>2709</v>
      </c>
      <c r="C8358">
        <v>84479090</v>
      </c>
      <c r="E8358">
        <v>71.78</v>
      </c>
      <c r="F8358">
        <v>8.8000000000000007</v>
      </c>
      <c r="G8358">
        <v>0</v>
      </c>
      <c r="H8358" t="s">
        <v>19447</v>
      </c>
      <c r="I8358" t="s">
        <v>19447</v>
      </c>
      <c r="J8358">
        <v>14</v>
      </c>
      <c r="L8358" t="s">
        <v>2709</v>
      </c>
      <c r="M8358">
        <v>84479090</v>
      </c>
      <c r="O8358" t="s">
        <v>20056</v>
      </c>
      <c r="P8358" t="s">
        <v>20127</v>
      </c>
      <c r="Q8358" t="s">
        <v>19900</v>
      </c>
      <c r="R8358" t="s">
        <v>19447</v>
      </c>
      <c r="S8358" t="s">
        <v>19447</v>
      </c>
      <c r="T8358" t="s">
        <v>19911</v>
      </c>
    </row>
    <row r="8359" spans="2:20" x14ac:dyDescent="0.25">
      <c r="B8359" t="s">
        <v>2709</v>
      </c>
      <c r="C8359">
        <v>84481110</v>
      </c>
      <c r="E8359">
        <v>71.78</v>
      </c>
      <c r="F8359">
        <v>8.8000000000000007</v>
      </c>
      <c r="G8359">
        <v>0</v>
      </c>
      <c r="H8359" t="s">
        <v>19447</v>
      </c>
      <c r="I8359" t="s">
        <v>19447</v>
      </c>
      <c r="J8359">
        <v>14</v>
      </c>
      <c r="L8359" t="s">
        <v>2709</v>
      </c>
      <c r="M8359">
        <v>84481110</v>
      </c>
      <c r="O8359" t="s">
        <v>20056</v>
      </c>
      <c r="P8359" t="s">
        <v>20127</v>
      </c>
      <c r="Q8359" t="s">
        <v>19900</v>
      </c>
      <c r="R8359" t="s">
        <v>19447</v>
      </c>
      <c r="S8359" t="s">
        <v>19447</v>
      </c>
      <c r="T8359" t="s">
        <v>19911</v>
      </c>
    </row>
    <row r="8360" spans="2:20" x14ac:dyDescent="0.25">
      <c r="B8360" t="s">
        <v>2709</v>
      </c>
      <c r="C8360">
        <v>84481120</v>
      </c>
      <c r="E8360">
        <v>71.78</v>
      </c>
      <c r="F8360">
        <v>8.8000000000000007</v>
      </c>
      <c r="G8360">
        <v>0</v>
      </c>
      <c r="H8360" t="s">
        <v>19447</v>
      </c>
      <c r="I8360" t="s">
        <v>19447</v>
      </c>
      <c r="J8360">
        <v>0</v>
      </c>
      <c r="L8360" t="s">
        <v>2709</v>
      </c>
      <c r="M8360">
        <v>84481120</v>
      </c>
      <c r="O8360" t="s">
        <v>20056</v>
      </c>
      <c r="P8360" t="s">
        <v>20127</v>
      </c>
      <c r="Q8360" t="s">
        <v>19900</v>
      </c>
      <c r="R8360" t="s">
        <v>19447</v>
      </c>
      <c r="S8360" t="s">
        <v>19447</v>
      </c>
      <c r="T8360" t="s">
        <v>19900</v>
      </c>
    </row>
    <row r="8361" spans="2:20" x14ac:dyDescent="0.25">
      <c r="B8361" t="s">
        <v>2709</v>
      </c>
      <c r="C8361">
        <v>84481190</v>
      </c>
      <c r="E8361">
        <v>71.78</v>
      </c>
      <c r="F8361">
        <v>8.8000000000000007</v>
      </c>
      <c r="G8361">
        <v>0</v>
      </c>
      <c r="H8361" t="s">
        <v>19447</v>
      </c>
      <c r="I8361" t="s">
        <v>19447</v>
      </c>
      <c r="J8361">
        <v>14</v>
      </c>
      <c r="L8361" t="s">
        <v>2709</v>
      </c>
      <c r="M8361">
        <v>84481190</v>
      </c>
      <c r="O8361" t="s">
        <v>20056</v>
      </c>
      <c r="P8361" t="s">
        <v>20127</v>
      </c>
      <c r="Q8361" t="s">
        <v>19900</v>
      </c>
      <c r="R8361" t="s">
        <v>19447</v>
      </c>
      <c r="S8361" t="s">
        <v>19447</v>
      </c>
      <c r="T8361" t="s">
        <v>19911</v>
      </c>
    </row>
    <row r="8362" spans="2:20" x14ac:dyDescent="0.25">
      <c r="B8362" t="s">
        <v>2709</v>
      </c>
      <c r="C8362">
        <v>84481900</v>
      </c>
      <c r="E8362">
        <v>71.78</v>
      </c>
      <c r="F8362">
        <v>8.8000000000000007</v>
      </c>
      <c r="G8362">
        <v>5</v>
      </c>
      <c r="H8362" t="s">
        <v>19447</v>
      </c>
      <c r="I8362" t="s">
        <v>19447</v>
      </c>
      <c r="J8362">
        <v>14</v>
      </c>
      <c r="L8362" t="s">
        <v>2709</v>
      </c>
      <c r="M8362">
        <v>84481900</v>
      </c>
      <c r="O8362" t="s">
        <v>20056</v>
      </c>
      <c r="P8362" t="s">
        <v>20127</v>
      </c>
      <c r="Q8362" t="s">
        <v>19909</v>
      </c>
      <c r="R8362" t="s">
        <v>19447</v>
      </c>
      <c r="S8362" t="s">
        <v>19447</v>
      </c>
      <c r="T8362" t="s">
        <v>19911</v>
      </c>
    </row>
    <row r="8363" spans="2:20" x14ac:dyDescent="0.25">
      <c r="B8363" t="s">
        <v>2709</v>
      </c>
      <c r="C8363">
        <v>84482010</v>
      </c>
      <c r="E8363">
        <v>71.78</v>
      </c>
      <c r="F8363">
        <v>18</v>
      </c>
      <c r="G8363">
        <v>5</v>
      </c>
      <c r="H8363" t="s">
        <v>19447</v>
      </c>
      <c r="I8363" t="s">
        <v>19447</v>
      </c>
      <c r="J8363">
        <v>0</v>
      </c>
      <c r="L8363" t="s">
        <v>2709</v>
      </c>
      <c r="M8363">
        <v>84482010</v>
      </c>
      <c r="O8363" t="s">
        <v>20056</v>
      </c>
      <c r="P8363" t="s">
        <v>19899</v>
      </c>
      <c r="Q8363" t="s">
        <v>19909</v>
      </c>
      <c r="R8363" t="s">
        <v>19447</v>
      </c>
      <c r="S8363" t="s">
        <v>19447</v>
      </c>
      <c r="T8363" t="s">
        <v>19900</v>
      </c>
    </row>
    <row r="8364" spans="2:20" x14ac:dyDescent="0.25">
      <c r="B8364" t="s">
        <v>2709</v>
      </c>
      <c r="C8364">
        <v>84482020</v>
      </c>
      <c r="E8364">
        <v>71.78</v>
      </c>
      <c r="F8364">
        <v>18</v>
      </c>
      <c r="G8364">
        <v>5</v>
      </c>
      <c r="H8364" t="s">
        <v>19447</v>
      </c>
      <c r="I8364" t="s">
        <v>19447</v>
      </c>
      <c r="J8364">
        <v>14</v>
      </c>
      <c r="L8364" t="s">
        <v>2709</v>
      </c>
      <c r="M8364">
        <v>84482020</v>
      </c>
      <c r="O8364" t="s">
        <v>20056</v>
      </c>
      <c r="P8364" t="s">
        <v>19899</v>
      </c>
      <c r="Q8364" t="s">
        <v>19909</v>
      </c>
      <c r="R8364" t="s">
        <v>19447</v>
      </c>
      <c r="S8364" t="s">
        <v>19447</v>
      </c>
      <c r="T8364" t="s">
        <v>19911</v>
      </c>
    </row>
    <row r="8365" spans="2:20" x14ac:dyDescent="0.25">
      <c r="B8365" t="s">
        <v>2709</v>
      </c>
      <c r="C8365">
        <v>84482030</v>
      </c>
      <c r="E8365">
        <v>71.78</v>
      </c>
      <c r="F8365">
        <v>18</v>
      </c>
      <c r="G8365">
        <v>5</v>
      </c>
      <c r="H8365" t="s">
        <v>19447</v>
      </c>
      <c r="I8365" t="s">
        <v>19447</v>
      </c>
      <c r="J8365">
        <v>0</v>
      </c>
      <c r="L8365" t="s">
        <v>2709</v>
      </c>
      <c r="M8365">
        <v>84482030</v>
      </c>
      <c r="O8365" t="s">
        <v>20056</v>
      </c>
      <c r="P8365" t="s">
        <v>19899</v>
      </c>
      <c r="Q8365" t="s">
        <v>19909</v>
      </c>
      <c r="R8365" t="s">
        <v>19447</v>
      </c>
      <c r="S8365" t="s">
        <v>19447</v>
      </c>
      <c r="T8365" t="s">
        <v>19900</v>
      </c>
    </row>
    <row r="8366" spans="2:20" x14ac:dyDescent="0.25">
      <c r="B8366" t="s">
        <v>2709</v>
      </c>
      <c r="C8366">
        <v>84482090</v>
      </c>
      <c r="E8366">
        <v>71.78</v>
      </c>
      <c r="F8366">
        <v>18</v>
      </c>
      <c r="G8366">
        <v>5</v>
      </c>
      <c r="H8366" t="s">
        <v>19447</v>
      </c>
      <c r="I8366" t="s">
        <v>19447</v>
      </c>
      <c r="J8366">
        <v>0</v>
      </c>
      <c r="L8366" t="s">
        <v>2709</v>
      </c>
      <c r="M8366">
        <v>84482090</v>
      </c>
      <c r="O8366" t="s">
        <v>20056</v>
      </c>
      <c r="P8366" t="s">
        <v>19899</v>
      </c>
      <c r="Q8366" t="s">
        <v>19909</v>
      </c>
      <c r="R8366" t="s">
        <v>19447</v>
      </c>
      <c r="S8366" t="s">
        <v>19447</v>
      </c>
      <c r="T8366" t="s">
        <v>19900</v>
      </c>
    </row>
    <row r="8367" spans="2:20" x14ac:dyDescent="0.25">
      <c r="B8367" t="s">
        <v>2709</v>
      </c>
      <c r="C8367">
        <v>84483100</v>
      </c>
      <c r="E8367">
        <v>71.78</v>
      </c>
      <c r="F8367">
        <v>18</v>
      </c>
      <c r="G8367">
        <v>0</v>
      </c>
      <c r="H8367" t="s">
        <v>19447</v>
      </c>
      <c r="I8367" t="s">
        <v>19447</v>
      </c>
      <c r="J8367">
        <v>14</v>
      </c>
      <c r="L8367" t="s">
        <v>2709</v>
      </c>
      <c r="M8367">
        <v>84483100</v>
      </c>
      <c r="O8367" t="s">
        <v>20056</v>
      </c>
      <c r="P8367" t="s">
        <v>19899</v>
      </c>
      <c r="Q8367" t="s">
        <v>19900</v>
      </c>
      <c r="R8367" t="s">
        <v>19447</v>
      </c>
      <c r="S8367" t="s">
        <v>19447</v>
      </c>
      <c r="T8367" t="s">
        <v>19911</v>
      </c>
    </row>
    <row r="8368" spans="2:20" x14ac:dyDescent="0.25">
      <c r="B8368" t="s">
        <v>2709</v>
      </c>
      <c r="C8368">
        <v>84483211</v>
      </c>
      <c r="E8368">
        <v>71.78</v>
      </c>
      <c r="F8368">
        <v>18</v>
      </c>
      <c r="G8368">
        <v>5</v>
      </c>
      <c r="H8368" t="s">
        <v>19447</v>
      </c>
      <c r="I8368" t="s">
        <v>19447</v>
      </c>
      <c r="J8368">
        <v>14</v>
      </c>
      <c r="L8368" t="s">
        <v>2709</v>
      </c>
      <c r="M8368">
        <v>84483211</v>
      </c>
      <c r="O8368" t="s">
        <v>20056</v>
      </c>
      <c r="P8368" t="s">
        <v>19899</v>
      </c>
      <c r="Q8368" t="s">
        <v>19909</v>
      </c>
      <c r="R8368" t="s">
        <v>19447</v>
      </c>
      <c r="S8368" t="s">
        <v>19447</v>
      </c>
      <c r="T8368" t="s">
        <v>19911</v>
      </c>
    </row>
    <row r="8369" spans="2:20" x14ac:dyDescent="0.25">
      <c r="B8369" t="s">
        <v>2709</v>
      </c>
      <c r="C8369">
        <v>84483219</v>
      </c>
      <c r="E8369">
        <v>71.78</v>
      </c>
      <c r="F8369">
        <v>18</v>
      </c>
      <c r="G8369">
        <v>5</v>
      </c>
      <c r="H8369" t="s">
        <v>19447</v>
      </c>
      <c r="I8369" t="s">
        <v>19447</v>
      </c>
      <c r="J8369">
        <v>14</v>
      </c>
      <c r="L8369" t="s">
        <v>2709</v>
      </c>
      <c r="M8369">
        <v>84483219</v>
      </c>
      <c r="O8369" t="s">
        <v>20056</v>
      </c>
      <c r="P8369" t="s">
        <v>19899</v>
      </c>
      <c r="Q8369" t="s">
        <v>19909</v>
      </c>
      <c r="R8369" t="s">
        <v>19447</v>
      </c>
      <c r="S8369" t="s">
        <v>19447</v>
      </c>
      <c r="T8369" t="s">
        <v>19911</v>
      </c>
    </row>
    <row r="8370" spans="2:20" x14ac:dyDescent="0.25">
      <c r="B8370" t="s">
        <v>2709</v>
      </c>
      <c r="C8370">
        <v>84483220</v>
      </c>
      <c r="E8370">
        <v>71.78</v>
      </c>
      <c r="F8370">
        <v>18</v>
      </c>
      <c r="G8370">
        <v>5</v>
      </c>
      <c r="H8370" t="s">
        <v>19447</v>
      </c>
      <c r="I8370" t="s">
        <v>19447</v>
      </c>
      <c r="J8370">
        <v>0</v>
      </c>
      <c r="L8370" t="s">
        <v>2709</v>
      </c>
      <c r="M8370">
        <v>84483220</v>
      </c>
      <c r="O8370" t="s">
        <v>20056</v>
      </c>
      <c r="P8370" t="s">
        <v>19899</v>
      </c>
      <c r="Q8370" t="s">
        <v>19909</v>
      </c>
      <c r="R8370" t="s">
        <v>19447</v>
      </c>
      <c r="S8370" t="s">
        <v>19447</v>
      </c>
      <c r="T8370" t="s">
        <v>19900</v>
      </c>
    </row>
    <row r="8371" spans="2:20" x14ac:dyDescent="0.25">
      <c r="B8371" t="s">
        <v>2709</v>
      </c>
      <c r="C8371">
        <v>84483230</v>
      </c>
      <c r="E8371">
        <v>71.78</v>
      </c>
      <c r="F8371">
        <v>18</v>
      </c>
      <c r="G8371">
        <v>5</v>
      </c>
      <c r="H8371" t="s">
        <v>19447</v>
      </c>
      <c r="I8371" t="s">
        <v>19447</v>
      </c>
      <c r="J8371">
        <v>14</v>
      </c>
      <c r="L8371" t="s">
        <v>2709</v>
      </c>
      <c r="M8371">
        <v>84483230</v>
      </c>
      <c r="O8371" t="s">
        <v>20056</v>
      </c>
      <c r="P8371" t="s">
        <v>19899</v>
      </c>
      <c r="Q8371" t="s">
        <v>19909</v>
      </c>
      <c r="R8371" t="s">
        <v>19447</v>
      </c>
      <c r="S8371" t="s">
        <v>19447</v>
      </c>
      <c r="T8371" t="s">
        <v>19911</v>
      </c>
    </row>
    <row r="8372" spans="2:20" x14ac:dyDescent="0.25">
      <c r="B8372" t="s">
        <v>2709</v>
      </c>
      <c r="C8372">
        <v>84483240</v>
      </c>
      <c r="E8372">
        <v>71.78</v>
      </c>
      <c r="F8372">
        <v>18</v>
      </c>
      <c r="G8372">
        <v>5</v>
      </c>
      <c r="H8372" t="s">
        <v>19447</v>
      </c>
      <c r="I8372" t="s">
        <v>19447</v>
      </c>
      <c r="J8372">
        <v>0</v>
      </c>
      <c r="L8372" t="s">
        <v>2709</v>
      </c>
      <c r="M8372">
        <v>84483240</v>
      </c>
      <c r="O8372" t="s">
        <v>20056</v>
      </c>
      <c r="P8372" t="s">
        <v>19899</v>
      </c>
      <c r="Q8372" t="s">
        <v>19909</v>
      </c>
      <c r="R8372" t="s">
        <v>19447</v>
      </c>
      <c r="S8372" t="s">
        <v>19447</v>
      </c>
      <c r="T8372" t="s">
        <v>19900</v>
      </c>
    </row>
    <row r="8373" spans="2:20" x14ac:dyDescent="0.25">
      <c r="B8373" t="s">
        <v>2709</v>
      </c>
      <c r="C8373">
        <v>84483250</v>
      </c>
      <c r="E8373">
        <v>71.78</v>
      </c>
      <c r="F8373">
        <v>18</v>
      </c>
      <c r="G8373">
        <v>5</v>
      </c>
      <c r="H8373" t="s">
        <v>19447</v>
      </c>
      <c r="I8373" t="s">
        <v>19447</v>
      </c>
      <c r="J8373">
        <v>0</v>
      </c>
      <c r="L8373" t="s">
        <v>2709</v>
      </c>
      <c r="M8373">
        <v>84483250</v>
      </c>
      <c r="O8373" t="s">
        <v>20056</v>
      </c>
      <c r="P8373" t="s">
        <v>19899</v>
      </c>
      <c r="Q8373" t="s">
        <v>19909</v>
      </c>
      <c r="R8373" t="s">
        <v>19447</v>
      </c>
      <c r="S8373" t="s">
        <v>19447</v>
      </c>
      <c r="T8373" t="s">
        <v>19900</v>
      </c>
    </row>
    <row r="8374" spans="2:20" x14ac:dyDescent="0.25">
      <c r="B8374" t="s">
        <v>2709</v>
      </c>
      <c r="C8374">
        <v>84483290</v>
      </c>
      <c r="E8374">
        <v>71.78</v>
      </c>
      <c r="F8374">
        <v>18</v>
      </c>
      <c r="G8374">
        <v>5</v>
      </c>
      <c r="H8374" t="s">
        <v>19447</v>
      </c>
      <c r="I8374" t="s">
        <v>19447</v>
      </c>
      <c r="J8374">
        <v>14</v>
      </c>
      <c r="L8374" t="s">
        <v>2709</v>
      </c>
      <c r="M8374">
        <v>84483290</v>
      </c>
      <c r="O8374" t="s">
        <v>20056</v>
      </c>
      <c r="P8374" t="s">
        <v>19899</v>
      </c>
      <c r="Q8374" t="s">
        <v>19909</v>
      </c>
      <c r="R8374" t="s">
        <v>19447</v>
      </c>
      <c r="S8374" t="s">
        <v>19447</v>
      </c>
      <c r="T8374" t="s">
        <v>19911</v>
      </c>
    </row>
    <row r="8375" spans="2:20" x14ac:dyDescent="0.25">
      <c r="B8375" t="s">
        <v>2709</v>
      </c>
      <c r="C8375">
        <v>84483310</v>
      </c>
      <c r="E8375">
        <v>71.78</v>
      </c>
      <c r="F8375">
        <v>18</v>
      </c>
      <c r="G8375">
        <v>5</v>
      </c>
      <c r="H8375" t="s">
        <v>19447</v>
      </c>
      <c r="I8375" t="s">
        <v>19447</v>
      </c>
      <c r="J8375">
        <v>14</v>
      </c>
      <c r="L8375" t="s">
        <v>2709</v>
      </c>
      <c r="M8375">
        <v>84483310</v>
      </c>
      <c r="O8375" t="s">
        <v>20056</v>
      </c>
      <c r="P8375" t="s">
        <v>19899</v>
      </c>
      <c r="Q8375" t="s">
        <v>19909</v>
      </c>
      <c r="R8375" t="s">
        <v>19447</v>
      </c>
      <c r="S8375" t="s">
        <v>19447</v>
      </c>
      <c r="T8375" t="s">
        <v>19911</v>
      </c>
    </row>
    <row r="8376" spans="2:20" x14ac:dyDescent="0.25">
      <c r="B8376" t="s">
        <v>2709</v>
      </c>
      <c r="C8376">
        <v>84483390</v>
      </c>
      <c r="E8376">
        <v>71.78</v>
      </c>
      <c r="F8376">
        <v>18</v>
      </c>
      <c r="G8376">
        <v>5</v>
      </c>
      <c r="H8376" t="s">
        <v>19447</v>
      </c>
      <c r="I8376" t="s">
        <v>19447</v>
      </c>
      <c r="J8376">
        <v>14</v>
      </c>
      <c r="L8376" t="s">
        <v>2709</v>
      </c>
      <c r="M8376">
        <v>84483390</v>
      </c>
      <c r="O8376" t="s">
        <v>20056</v>
      </c>
      <c r="P8376" t="s">
        <v>19899</v>
      </c>
      <c r="Q8376" t="s">
        <v>19909</v>
      </c>
      <c r="R8376" t="s">
        <v>19447</v>
      </c>
      <c r="S8376" t="s">
        <v>19447</v>
      </c>
      <c r="T8376" t="s">
        <v>19911</v>
      </c>
    </row>
    <row r="8377" spans="2:20" x14ac:dyDescent="0.25">
      <c r="B8377" t="s">
        <v>2709</v>
      </c>
      <c r="C8377">
        <v>84483911</v>
      </c>
      <c r="E8377">
        <v>71.78</v>
      </c>
      <c r="F8377">
        <v>18</v>
      </c>
      <c r="G8377">
        <v>5</v>
      </c>
      <c r="H8377" t="s">
        <v>19447</v>
      </c>
      <c r="I8377" t="s">
        <v>19447</v>
      </c>
      <c r="J8377">
        <v>14</v>
      </c>
      <c r="L8377" t="s">
        <v>2709</v>
      </c>
      <c r="M8377">
        <v>84483911</v>
      </c>
      <c r="O8377" t="s">
        <v>20056</v>
      </c>
      <c r="P8377" t="s">
        <v>19899</v>
      </c>
      <c r="Q8377" t="s">
        <v>19909</v>
      </c>
      <c r="R8377" t="s">
        <v>19447</v>
      </c>
      <c r="S8377" t="s">
        <v>19447</v>
      </c>
      <c r="T8377" t="s">
        <v>19911</v>
      </c>
    </row>
    <row r="8378" spans="2:20" x14ac:dyDescent="0.25">
      <c r="B8378" t="s">
        <v>2709</v>
      </c>
      <c r="C8378">
        <v>84483912</v>
      </c>
      <c r="E8378">
        <v>71.78</v>
      </c>
      <c r="F8378">
        <v>18</v>
      </c>
      <c r="G8378">
        <v>5</v>
      </c>
      <c r="H8378" t="s">
        <v>19447</v>
      </c>
      <c r="I8378" t="s">
        <v>19447</v>
      </c>
      <c r="J8378">
        <v>0</v>
      </c>
      <c r="L8378" t="s">
        <v>2709</v>
      </c>
      <c r="M8378">
        <v>84483912</v>
      </c>
      <c r="O8378" t="s">
        <v>20056</v>
      </c>
      <c r="P8378" t="s">
        <v>19899</v>
      </c>
      <c r="Q8378" t="s">
        <v>19909</v>
      </c>
      <c r="R8378" t="s">
        <v>19447</v>
      </c>
      <c r="S8378" t="s">
        <v>19447</v>
      </c>
      <c r="T8378" t="s">
        <v>19900</v>
      </c>
    </row>
    <row r="8379" spans="2:20" x14ac:dyDescent="0.25">
      <c r="B8379" t="s">
        <v>2709</v>
      </c>
      <c r="C8379">
        <v>84483917</v>
      </c>
      <c r="E8379">
        <v>71.78</v>
      </c>
      <c r="F8379">
        <v>18</v>
      </c>
      <c r="G8379">
        <v>5</v>
      </c>
      <c r="H8379" t="s">
        <v>19447</v>
      </c>
      <c r="I8379" t="s">
        <v>19447</v>
      </c>
      <c r="J8379">
        <v>14</v>
      </c>
      <c r="L8379" t="s">
        <v>2709</v>
      </c>
      <c r="M8379">
        <v>84483917</v>
      </c>
      <c r="O8379" t="s">
        <v>20056</v>
      </c>
      <c r="P8379" t="s">
        <v>19899</v>
      </c>
      <c r="Q8379" t="s">
        <v>19909</v>
      </c>
      <c r="R8379" t="s">
        <v>19447</v>
      </c>
      <c r="S8379" t="s">
        <v>19447</v>
      </c>
      <c r="T8379" t="s">
        <v>19911</v>
      </c>
    </row>
    <row r="8380" spans="2:20" x14ac:dyDescent="0.25">
      <c r="B8380" t="s">
        <v>2709</v>
      </c>
      <c r="C8380">
        <v>84483919</v>
      </c>
      <c r="E8380">
        <v>71.78</v>
      </c>
      <c r="F8380">
        <v>18</v>
      </c>
      <c r="G8380">
        <v>5</v>
      </c>
      <c r="H8380" t="s">
        <v>19447</v>
      </c>
      <c r="I8380" t="s">
        <v>19447</v>
      </c>
      <c r="J8380">
        <v>14</v>
      </c>
      <c r="L8380" t="s">
        <v>2709</v>
      </c>
      <c r="M8380">
        <v>84483919</v>
      </c>
      <c r="O8380" t="s">
        <v>20056</v>
      </c>
      <c r="P8380" t="s">
        <v>19899</v>
      </c>
      <c r="Q8380" t="s">
        <v>19909</v>
      </c>
      <c r="R8380" t="s">
        <v>19447</v>
      </c>
      <c r="S8380" t="s">
        <v>19447</v>
      </c>
      <c r="T8380" t="s">
        <v>19911</v>
      </c>
    </row>
    <row r="8381" spans="2:20" x14ac:dyDescent="0.25">
      <c r="B8381" t="s">
        <v>2709</v>
      </c>
      <c r="C8381">
        <v>84483921</v>
      </c>
      <c r="E8381">
        <v>71.78</v>
      </c>
      <c r="F8381">
        <v>18</v>
      </c>
      <c r="G8381">
        <v>5</v>
      </c>
      <c r="H8381" t="s">
        <v>19447</v>
      </c>
      <c r="I8381" t="s">
        <v>19447</v>
      </c>
      <c r="J8381">
        <v>0</v>
      </c>
      <c r="L8381" t="s">
        <v>2709</v>
      </c>
      <c r="M8381">
        <v>84483921</v>
      </c>
      <c r="O8381" t="s">
        <v>20056</v>
      </c>
      <c r="P8381" t="s">
        <v>19899</v>
      </c>
      <c r="Q8381" t="s">
        <v>19909</v>
      </c>
      <c r="R8381" t="s">
        <v>19447</v>
      </c>
      <c r="S8381" t="s">
        <v>19447</v>
      </c>
      <c r="T8381" t="s">
        <v>19900</v>
      </c>
    </row>
    <row r="8382" spans="2:20" x14ac:dyDescent="0.25">
      <c r="B8382" t="s">
        <v>2709</v>
      </c>
      <c r="C8382">
        <v>84483922</v>
      </c>
      <c r="E8382">
        <v>71.78</v>
      </c>
      <c r="F8382">
        <v>18</v>
      </c>
      <c r="G8382">
        <v>5</v>
      </c>
      <c r="H8382" t="s">
        <v>19447</v>
      </c>
      <c r="I8382" t="s">
        <v>19447</v>
      </c>
      <c r="J8382">
        <v>0</v>
      </c>
      <c r="L8382" t="s">
        <v>2709</v>
      </c>
      <c r="M8382">
        <v>84483922</v>
      </c>
      <c r="O8382" t="s">
        <v>20056</v>
      </c>
      <c r="P8382" t="s">
        <v>19899</v>
      </c>
      <c r="Q8382" t="s">
        <v>19909</v>
      </c>
      <c r="R8382" t="s">
        <v>19447</v>
      </c>
      <c r="S8382" t="s">
        <v>19447</v>
      </c>
      <c r="T8382" t="s">
        <v>19900</v>
      </c>
    </row>
    <row r="8383" spans="2:20" x14ac:dyDescent="0.25">
      <c r="B8383" t="s">
        <v>2709</v>
      </c>
      <c r="C8383">
        <v>84483923</v>
      </c>
      <c r="E8383">
        <v>71.78</v>
      </c>
      <c r="F8383">
        <v>18</v>
      </c>
      <c r="G8383">
        <v>5</v>
      </c>
      <c r="H8383" t="s">
        <v>19447</v>
      </c>
      <c r="I8383" t="s">
        <v>19447</v>
      </c>
      <c r="J8383">
        <v>14</v>
      </c>
      <c r="L8383" t="s">
        <v>2709</v>
      </c>
      <c r="M8383">
        <v>84483923</v>
      </c>
      <c r="O8383" t="s">
        <v>20056</v>
      </c>
      <c r="P8383" t="s">
        <v>19899</v>
      </c>
      <c r="Q8383" t="s">
        <v>19909</v>
      </c>
      <c r="R8383" t="s">
        <v>19447</v>
      </c>
      <c r="S8383" t="s">
        <v>19447</v>
      </c>
      <c r="T8383" t="s">
        <v>19911</v>
      </c>
    </row>
    <row r="8384" spans="2:20" x14ac:dyDescent="0.25">
      <c r="B8384" t="s">
        <v>2709</v>
      </c>
      <c r="C8384">
        <v>84483929</v>
      </c>
      <c r="E8384">
        <v>71.78</v>
      </c>
      <c r="F8384">
        <v>18</v>
      </c>
      <c r="G8384">
        <v>5</v>
      </c>
      <c r="H8384" t="s">
        <v>19447</v>
      </c>
      <c r="I8384" t="s">
        <v>19447</v>
      </c>
      <c r="J8384">
        <v>14</v>
      </c>
      <c r="L8384" t="s">
        <v>2709</v>
      </c>
      <c r="M8384">
        <v>84483929</v>
      </c>
      <c r="O8384" t="s">
        <v>20056</v>
      </c>
      <c r="P8384" t="s">
        <v>19899</v>
      </c>
      <c r="Q8384" t="s">
        <v>19909</v>
      </c>
      <c r="R8384" t="s">
        <v>19447</v>
      </c>
      <c r="S8384" t="s">
        <v>19447</v>
      </c>
      <c r="T8384" t="s">
        <v>19911</v>
      </c>
    </row>
    <row r="8385" spans="2:20" x14ac:dyDescent="0.25">
      <c r="B8385" t="s">
        <v>2709</v>
      </c>
      <c r="C8385">
        <v>84483991</v>
      </c>
      <c r="E8385">
        <v>71.78</v>
      </c>
      <c r="F8385">
        <v>18</v>
      </c>
      <c r="G8385">
        <v>5</v>
      </c>
      <c r="H8385" t="s">
        <v>19447</v>
      </c>
      <c r="I8385" t="s">
        <v>19447</v>
      </c>
      <c r="J8385">
        <v>14</v>
      </c>
      <c r="L8385" t="s">
        <v>2709</v>
      </c>
      <c r="M8385">
        <v>84483991</v>
      </c>
      <c r="O8385" t="s">
        <v>20056</v>
      </c>
      <c r="P8385" t="s">
        <v>19899</v>
      </c>
      <c r="Q8385" t="s">
        <v>19909</v>
      </c>
      <c r="R8385" t="s">
        <v>19447</v>
      </c>
      <c r="S8385" t="s">
        <v>19447</v>
      </c>
      <c r="T8385" t="s">
        <v>19911</v>
      </c>
    </row>
    <row r="8386" spans="2:20" x14ac:dyDescent="0.25">
      <c r="B8386" t="s">
        <v>2709</v>
      </c>
      <c r="C8386">
        <v>84483992</v>
      </c>
      <c r="E8386">
        <v>71.78</v>
      </c>
      <c r="F8386">
        <v>18</v>
      </c>
      <c r="G8386">
        <v>5</v>
      </c>
      <c r="H8386" t="s">
        <v>19447</v>
      </c>
      <c r="I8386" t="s">
        <v>19447</v>
      </c>
      <c r="J8386">
        <v>0</v>
      </c>
      <c r="L8386" t="s">
        <v>2709</v>
      </c>
      <c r="M8386">
        <v>84483992</v>
      </c>
      <c r="O8386" t="s">
        <v>20056</v>
      </c>
      <c r="P8386" t="s">
        <v>19899</v>
      </c>
      <c r="Q8386" t="s">
        <v>19909</v>
      </c>
      <c r="R8386" t="s">
        <v>19447</v>
      </c>
      <c r="S8386" t="s">
        <v>19447</v>
      </c>
      <c r="T8386" t="s">
        <v>19900</v>
      </c>
    </row>
    <row r="8387" spans="2:20" x14ac:dyDescent="0.25">
      <c r="B8387" t="s">
        <v>2709</v>
      </c>
      <c r="C8387">
        <v>84483999</v>
      </c>
      <c r="E8387">
        <v>71.78</v>
      </c>
      <c r="F8387">
        <v>18</v>
      </c>
      <c r="G8387">
        <v>5</v>
      </c>
      <c r="H8387" t="s">
        <v>19447</v>
      </c>
      <c r="I8387" t="s">
        <v>19447</v>
      </c>
      <c r="J8387">
        <v>14</v>
      </c>
      <c r="L8387" t="s">
        <v>2709</v>
      </c>
      <c r="M8387">
        <v>84483999</v>
      </c>
      <c r="O8387" t="s">
        <v>20056</v>
      </c>
      <c r="P8387" t="s">
        <v>19899</v>
      </c>
      <c r="Q8387" t="s">
        <v>19909</v>
      </c>
      <c r="R8387" t="s">
        <v>19447</v>
      </c>
      <c r="S8387" t="s">
        <v>19447</v>
      </c>
      <c r="T8387" t="s">
        <v>19911</v>
      </c>
    </row>
    <row r="8388" spans="2:20" x14ac:dyDescent="0.25">
      <c r="B8388" t="s">
        <v>2709</v>
      </c>
      <c r="C8388">
        <v>84484200</v>
      </c>
      <c r="E8388">
        <v>71.78</v>
      </c>
      <c r="F8388">
        <v>18</v>
      </c>
      <c r="G8388">
        <v>0</v>
      </c>
      <c r="H8388" t="s">
        <v>19447</v>
      </c>
      <c r="I8388" t="s">
        <v>19447</v>
      </c>
      <c r="J8388">
        <v>14</v>
      </c>
      <c r="L8388" t="s">
        <v>2709</v>
      </c>
      <c r="M8388">
        <v>84484200</v>
      </c>
      <c r="O8388" t="s">
        <v>20056</v>
      </c>
      <c r="P8388" t="s">
        <v>19899</v>
      </c>
      <c r="Q8388" t="s">
        <v>19900</v>
      </c>
      <c r="R8388" t="s">
        <v>19447</v>
      </c>
      <c r="S8388" t="s">
        <v>19447</v>
      </c>
      <c r="T8388" t="s">
        <v>19911</v>
      </c>
    </row>
    <row r="8389" spans="2:20" x14ac:dyDescent="0.25">
      <c r="B8389" t="s">
        <v>2709</v>
      </c>
      <c r="C8389">
        <v>84484910</v>
      </c>
      <c r="E8389">
        <v>71.78</v>
      </c>
      <c r="F8389">
        <v>18</v>
      </c>
      <c r="G8389">
        <v>5</v>
      </c>
      <c r="H8389" t="s">
        <v>19447</v>
      </c>
      <c r="I8389" t="s">
        <v>19447</v>
      </c>
      <c r="J8389">
        <v>14</v>
      </c>
      <c r="L8389" t="s">
        <v>2709</v>
      </c>
      <c r="M8389">
        <v>84484910</v>
      </c>
      <c r="O8389" t="s">
        <v>20056</v>
      </c>
      <c r="P8389" t="s">
        <v>19899</v>
      </c>
      <c r="Q8389" t="s">
        <v>19909</v>
      </c>
      <c r="R8389" t="s">
        <v>19447</v>
      </c>
      <c r="S8389" t="s">
        <v>19447</v>
      </c>
      <c r="T8389" t="s">
        <v>19911</v>
      </c>
    </row>
    <row r="8390" spans="2:20" x14ac:dyDescent="0.25">
      <c r="B8390" t="s">
        <v>2709</v>
      </c>
      <c r="C8390">
        <v>84484920</v>
      </c>
      <c r="E8390">
        <v>71.78</v>
      </c>
      <c r="F8390">
        <v>18</v>
      </c>
      <c r="G8390">
        <v>5</v>
      </c>
      <c r="H8390" t="s">
        <v>19447</v>
      </c>
      <c r="I8390" t="s">
        <v>19447</v>
      </c>
      <c r="J8390">
        <v>0</v>
      </c>
      <c r="L8390" t="s">
        <v>2709</v>
      </c>
      <c r="M8390">
        <v>84484920</v>
      </c>
      <c r="O8390" t="s">
        <v>20056</v>
      </c>
      <c r="P8390" t="s">
        <v>19899</v>
      </c>
      <c r="Q8390" t="s">
        <v>19909</v>
      </c>
      <c r="R8390" t="s">
        <v>19447</v>
      </c>
      <c r="S8390" t="s">
        <v>19447</v>
      </c>
      <c r="T8390" t="s">
        <v>19900</v>
      </c>
    </row>
    <row r="8391" spans="2:20" x14ac:dyDescent="0.25">
      <c r="B8391" t="s">
        <v>2709</v>
      </c>
      <c r="C8391">
        <v>84484990</v>
      </c>
      <c r="E8391">
        <v>71.78</v>
      </c>
      <c r="F8391">
        <v>18</v>
      </c>
      <c r="G8391">
        <v>5</v>
      </c>
      <c r="H8391" t="s">
        <v>19447</v>
      </c>
      <c r="I8391" t="s">
        <v>19447</v>
      </c>
      <c r="J8391">
        <v>14</v>
      </c>
      <c r="L8391" t="s">
        <v>2709</v>
      </c>
      <c r="M8391">
        <v>84484990</v>
      </c>
      <c r="O8391" t="s">
        <v>20056</v>
      </c>
      <c r="P8391" t="s">
        <v>19899</v>
      </c>
      <c r="Q8391" t="s">
        <v>19909</v>
      </c>
      <c r="R8391" t="s">
        <v>19447</v>
      </c>
      <c r="S8391" t="s">
        <v>19447</v>
      </c>
      <c r="T8391" t="s">
        <v>19911</v>
      </c>
    </row>
    <row r="8392" spans="2:20" x14ac:dyDescent="0.25">
      <c r="B8392" t="s">
        <v>2709</v>
      </c>
      <c r="C8392">
        <v>84485100</v>
      </c>
      <c r="E8392">
        <v>71.78</v>
      </c>
      <c r="F8392">
        <v>18</v>
      </c>
      <c r="G8392">
        <v>5</v>
      </c>
      <c r="H8392" t="s">
        <v>19447</v>
      </c>
      <c r="I8392" t="s">
        <v>19447</v>
      </c>
      <c r="J8392">
        <v>0</v>
      </c>
      <c r="L8392" t="s">
        <v>2709</v>
      </c>
      <c r="M8392">
        <v>84485100</v>
      </c>
      <c r="O8392" t="s">
        <v>20056</v>
      </c>
      <c r="P8392" t="s">
        <v>19899</v>
      </c>
      <c r="Q8392" t="s">
        <v>19909</v>
      </c>
      <c r="R8392" t="s">
        <v>19447</v>
      </c>
      <c r="S8392" t="s">
        <v>19447</v>
      </c>
      <c r="T8392" t="s">
        <v>19900</v>
      </c>
    </row>
    <row r="8393" spans="2:20" x14ac:dyDescent="0.25">
      <c r="B8393" t="s">
        <v>2709</v>
      </c>
      <c r="C8393">
        <v>84485910</v>
      </c>
      <c r="E8393">
        <v>71.78</v>
      </c>
      <c r="F8393">
        <v>18</v>
      </c>
      <c r="G8393">
        <v>5</v>
      </c>
      <c r="H8393" t="s">
        <v>19447</v>
      </c>
      <c r="I8393" t="s">
        <v>19447</v>
      </c>
      <c r="J8393">
        <v>14</v>
      </c>
      <c r="L8393" t="s">
        <v>2709</v>
      </c>
      <c r="M8393">
        <v>84485910</v>
      </c>
      <c r="O8393" t="s">
        <v>20056</v>
      </c>
      <c r="P8393" t="s">
        <v>19899</v>
      </c>
      <c r="Q8393" t="s">
        <v>19909</v>
      </c>
      <c r="R8393" t="s">
        <v>19447</v>
      </c>
      <c r="S8393" t="s">
        <v>19447</v>
      </c>
      <c r="T8393" t="s">
        <v>19911</v>
      </c>
    </row>
    <row r="8394" spans="2:20" x14ac:dyDescent="0.25">
      <c r="B8394" t="s">
        <v>2709</v>
      </c>
      <c r="C8394">
        <v>84485921</v>
      </c>
      <c r="E8394">
        <v>71.78</v>
      </c>
      <c r="F8394">
        <v>18</v>
      </c>
      <c r="G8394">
        <v>5</v>
      </c>
      <c r="H8394" t="s">
        <v>19447</v>
      </c>
      <c r="I8394" t="s">
        <v>19447</v>
      </c>
      <c r="J8394">
        <v>16</v>
      </c>
      <c r="L8394" t="s">
        <v>2709</v>
      </c>
      <c r="M8394">
        <v>84485921</v>
      </c>
      <c r="O8394" t="s">
        <v>20056</v>
      </c>
      <c r="P8394" t="s">
        <v>19899</v>
      </c>
      <c r="Q8394" t="s">
        <v>19909</v>
      </c>
      <c r="R8394" t="s">
        <v>19447</v>
      </c>
      <c r="S8394" t="s">
        <v>19447</v>
      </c>
      <c r="T8394" t="s">
        <v>19913</v>
      </c>
    </row>
    <row r="8395" spans="2:20" x14ac:dyDescent="0.25">
      <c r="B8395" t="s">
        <v>2709</v>
      </c>
      <c r="C8395">
        <v>84485922</v>
      </c>
      <c r="E8395">
        <v>71.78</v>
      </c>
      <c r="F8395">
        <v>18</v>
      </c>
      <c r="G8395">
        <v>5</v>
      </c>
      <c r="H8395" t="s">
        <v>19447</v>
      </c>
      <c r="I8395" t="s">
        <v>19447</v>
      </c>
      <c r="J8395">
        <v>0</v>
      </c>
      <c r="L8395" t="s">
        <v>2709</v>
      </c>
      <c r="M8395">
        <v>84485922</v>
      </c>
      <c r="O8395" t="s">
        <v>20056</v>
      </c>
      <c r="P8395" t="s">
        <v>19899</v>
      </c>
      <c r="Q8395" t="s">
        <v>19909</v>
      </c>
      <c r="R8395" t="s">
        <v>19447</v>
      </c>
      <c r="S8395" t="s">
        <v>19447</v>
      </c>
      <c r="T8395" t="s">
        <v>19900</v>
      </c>
    </row>
    <row r="8396" spans="2:20" x14ac:dyDescent="0.25">
      <c r="B8396" t="s">
        <v>2709</v>
      </c>
      <c r="C8396">
        <v>84485929</v>
      </c>
      <c r="E8396">
        <v>71.78</v>
      </c>
      <c r="F8396">
        <v>18</v>
      </c>
      <c r="G8396">
        <v>5</v>
      </c>
      <c r="H8396" t="s">
        <v>19447</v>
      </c>
      <c r="I8396" t="s">
        <v>19447</v>
      </c>
      <c r="J8396">
        <v>14</v>
      </c>
      <c r="L8396" t="s">
        <v>2709</v>
      </c>
      <c r="M8396">
        <v>84485929</v>
      </c>
      <c r="O8396" t="s">
        <v>20056</v>
      </c>
      <c r="P8396" t="s">
        <v>19899</v>
      </c>
      <c r="Q8396" t="s">
        <v>19909</v>
      </c>
      <c r="R8396" t="s">
        <v>19447</v>
      </c>
      <c r="S8396" t="s">
        <v>19447</v>
      </c>
      <c r="T8396" t="s">
        <v>19911</v>
      </c>
    </row>
    <row r="8397" spans="2:20" x14ac:dyDescent="0.25">
      <c r="B8397" t="s">
        <v>2709</v>
      </c>
      <c r="C8397">
        <v>84485930</v>
      </c>
      <c r="E8397">
        <v>71.78</v>
      </c>
      <c r="F8397">
        <v>18</v>
      </c>
      <c r="G8397">
        <v>5</v>
      </c>
      <c r="H8397" t="s">
        <v>19447</v>
      </c>
      <c r="I8397" t="s">
        <v>19447</v>
      </c>
      <c r="J8397">
        <v>0</v>
      </c>
      <c r="L8397" t="s">
        <v>2709</v>
      </c>
      <c r="M8397">
        <v>84485930</v>
      </c>
      <c r="O8397" t="s">
        <v>20056</v>
      </c>
      <c r="P8397" t="s">
        <v>19899</v>
      </c>
      <c r="Q8397" t="s">
        <v>19909</v>
      </c>
      <c r="R8397" t="s">
        <v>19447</v>
      </c>
      <c r="S8397" t="s">
        <v>19447</v>
      </c>
      <c r="T8397" t="s">
        <v>19900</v>
      </c>
    </row>
    <row r="8398" spans="2:20" x14ac:dyDescent="0.25">
      <c r="B8398" t="s">
        <v>2709</v>
      </c>
      <c r="C8398">
        <v>84485940</v>
      </c>
      <c r="E8398">
        <v>71.78</v>
      </c>
      <c r="F8398">
        <v>18</v>
      </c>
      <c r="G8398">
        <v>5</v>
      </c>
      <c r="H8398" t="s">
        <v>19447</v>
      </c>
      <c r="I8398" t="s">
        <v>19447</v>
      </c>
      <c r="J8398">
        <v>14</v>
      </c>
      <c r="L8398" t="s">
        <v>2709</v>
      </c>
      <c r="M8398">
        <v>84485940</v>
      </c>
      <c r="O8398" t="s">
        <v>20056</v>
      </c>
      <c r="P8398" t="s">
        <v>19899</v>
      </c>
      <c r="Q8398" t="s">
        <v>19909</v>
      </c>
      <c r="R8398" t="s">
        <v>19447</v>
      </c>
      <c r="S8398" t="s">
        <v>19447</v>
      </c>
      <c r="T8398" t="s">
        <v>19911</v>
      </c>
    </row>
    <row r="8399" spans="2:20" x14ac:dyDescent="0.25">
      <c r="B8399" t="s">
        <v>2709</v>
      </c>
      <c r="C8399">
        <v>84485990</v>
      </c>
      <c r="E8399">
        <v>71.78</v>
      </c>
      <c r="F8399">
        <v>18</v>
      </c>
      <c r="G8399">
        <v>5</v>
      </c>
      <c r="H8399" t="s">
        <v>19447</v>
      </c>
      <c r="I8399" t="s">
        <v>19447</v>
      </c>
      <c r="J8399">
        <v>14</v>
      </c>
      <c r="L8399" t="s">
        <v>2709</v>
      </c>
      <c r="M8399">
        <v>84485990</v>
      </c>
      <c r="O8399" t="s">
        <v>20056</v>
      </c>
      <c r="P8399" t="s">
        <v>19899</v>
      </c>
      <c r="Q8399" t="s">
        <v>19909</v>
      </c>
      <c r="R8399" t="s">
        <v>19447</v>
      </c>
      <c r="S8399" t="s">
        <v>19447</v>
      </c>
      <c r="T8399" t="s">
        <v>19911</v>
      </c>
    </row>
    <row r="8400" spans="2:20" x14ac:dyDescent="0.25">
      <c r="B8400" t="s">
        <v>2709</v>
      </c>
      <c r="C8400">
        <v>84490010</v>
      </c>
      <c r="E8400">
        <v>71.78</v>
      </c>
      <c r="F8400">
        <v>8.8000000000000007</v>
      </c>
      <c r="G8400">
        <v>0</v>
      </c>
      <c r="H8400" t="s">
        <v>19447</v>
      </c>
      <c r="I8400" t="s">
        <v>19447</v>
      </c>
      <c r="J8400">
        <v>14</v>
      </c>
      <c r="L8400" t="s">
        <v>2709</v>
      </c>
      <c r="M8400">
        <v>84490010</v>
      </c>
      <c r="O8400" t="s">
        <v>20056</v>
      </c>
      <c r="P8400" t="s">
        <v>20127</v>
      </c>
      <c r="Q8400" t="s">
        <v>19900</v>
      </c>
      <c r="R8400" t="s">
        <v>19447</v>
      </c>
      <c r="S8400" t="s">
        <v>19447</v>
      </c>
      <c r="T8400" t="s">
        <v>19911</v>
      </c>
    </row>
    <row r="8401" spans="2:20" x14ac:dyDescent="0.25">
      <c r="B8401" t="s">
        <v>2709</v>
      </c>
      <c r="C8401">
        <v>84490020</v>
      </c>
      <c r="E8401">
        <v>71.78</v>
      </c>
      <c r="F8401">
        <v>8.8000000000000007</v>
      </c>
      <c r="G8401">
        <v>0</v>
      </c>
      <c r="H8401" t="s">
        <v>19447</v>
      </c>
      <c r="I8401" t="s">
        <v>19447</v>
      </c>
      <c r="J8401">
        <v>0</v>
      </c>
      <c r="L8401" t="s">
        <v>2709</v>
      </c>
      <c r="M8401">
        <v>84490020</v>
      </c>
      <c r="O8401" t="s">
        <v>20056</v>
      </c>
      <c r="P8401" t="s">
        <v>20127</v>
      </c>
      <c r="Q8401" t="s">
        <v>19900</v>
      </c>
      <c r="R8401" t="s">
        <v>19447</v>
      </c>
      <c r="S8401" t="s">
        <v>19447</v>
      </c>
      <c r="T8401" t="s">
        <v>19900</v>
      </c>
    </row>
    <row r="8402" spans="2:20" x14ac:dyDescent="0.25">
      <c r="B8402" t="s">
        <v>2709</v>
      </c>
      <c r="C8402">
        <v>84490080</v>
      </c>
      <c r="E8402">
        <v>71.78</v>
      </c>
      <c r="F8402">
        <v>8.8000000000000007</v>
      </c>
      <c r="G8402">
        <v>0</v>
      </c>
      <c r="H8402" t="s">
        <v>19447</v>
      </c>
      <c r="I8402" t="s">
        <v>19447</v>
      </c>
      <c r="J8402">
        <v>14</v>
      </c>
      <c r="L8402" t="s">
        <v>2709</v>
      </c>
      <c r="M8402">
        <v>84490080</v>
      </c>
      <c r="O8402" t="s">
        <v>20056</v>
      </c>
      <c r="P8402" t="s">
        <v>20127</v>
      </c>
      <c r="Q8402" t="s">
        <v>19900</v>
      </c>
      <c r="R8402" t="s">
        <v>19447</v>
      </c>
      <c r="S8402" t="s">
        <v>19447</v>
      </c>
      <c r="T8402" t="s">
        <v>19911</v>
      </c>
    </row>
    <row r="8403" spans="2:20" x14ac:dyDescent="0.25">
      <c r="B8403" t="s">
        <v>2709</v>
      </c>
      <c r="C8403">
        <v>84490091</v>
      </c>
      <c r="E8403">
        <v>71.78</v>
      </c>
      <c r="F8403">
        <v>12</v>
      </c>
      <c r="G8403">
        <v>5</v>
      </c>
      <c r="H8403" t="s">
        <v>19447</v>
      </c>
      <c r="I8403" t="s">
        <v>19447</v>
      </c>
      <c r="J8403">
        <v>0</v>
      </c>
      <c r="L8403" t="s">
        <v>2709</v>
      </c>
      <c r="M8403">
        <v>84490091</v>
      </c>
      <c r="O8403" t="s">
        <v>20056</v>
      </c>
      <c r="P8403" t="s">
        <v>19903</v>
      </c>
      <c r="Q8403" t="s">
        <v>19909</v>
      </c>
      <c r="R8403" t="s">
        <v>19447</v>
      </c>
      <c r="S8403" t="s">
        <v>19447</v>
      </c>
      <c r="T8403" t="s">
        <v>19900</v>
      </c>
    </row>
    <row r="8404" spans="2:20" x14ac:dyDescent="0.25">
      <c r="B8404" t="s">
        <v>2709</v>
      </c>
      <c r="C8404">
        <v>84490099</v>
      </c>
      <c r="E8404">
        <v>71.78</v>
      </c>
      <c r="F8404">
        <v>12</v>
      </c>
      <c r="G8404">
        <v>5</v>
      </c>
      <c r="H8404" t="s">
        <v>19447</v>
      </c>
      <c r="I8404" t="s">
        <v>19447</v>
      </c>
      <c r="J8404">
        <v>14</v>
      </c>
      <c r="L8404" t="s">
        <v>2709</v>
      </c>
      <c r="M8404">
        <v>84490099</v>
      </c>
      <c r="O8404" t="s">
        <v>20056</v>
      </c>
      <c r="P8404" t="s">
        <v>19903</v>
      </c>
      <c r="Q8404" t="s">
        <v>19909</v>
      </c>
      <c r="R8404" t="s">
        <v>19447</v>
      </c>
      <c r="S8404" t="s">
        <v>19447</v>
      </c>
      <c r="T8404" t="s">
        <v>19911</v>
      </c>
    </row>
    <row r="8405" spans="2:20" x14ac:dyDescent="0.25">
      <c r="B8405" t="s">
        <v>2709</v>
      </c>
      <c r="C8405">
        <v>84501100</v>
      </c>
      <c r="E8405">
        <v>56.76</v>
      </c>
      <c r="F8405">
        <v>8.8000000000000007</v>
      </c>
      <c r="G8405">
        <v>5</v>
      </c>
      <c r="H8405" t="s">
        <v>19447</v>
      </c>
      <c r="I8405" t="s">
        <v>19447</v>
      </c>
      <c r="J8405">
        <v>20</v>
      </c>
      <c r="L8405" t="s">
        <v>2709</v>
      </c>
      <c r="M8405">
        <v>84501100</v>
      </c>
      <c r="O8405" t="s">
        <v>20173</v>
      </c>
      <c r="P8405" t="s">
        <v>20127</v>
      </c>
      <c r="Q8405" t="s">
        <v>19909</v>
      </c>
      <c r="R8405" t="s">
        <v>19447</v>
      </c>
      <c r="S8405" t="s">
        <v>19447</v>
      </c>
      <c r="T8405" t="s">
        <v>19934</v>
      </c>
    </row>
    <row r="8406" spans="2:20" x14ac:dyDescent="0.25">
      <c r="B8406" t="s">
        <v>2709</v>
      </c>
      <c r="C8406">
        <v>84501100</v>
      </c>
      <c r="D8406">
        <v>1</v>
      </c>
      <c r="E8406" t="s">
        <v>19447</v>
      </c>
      <c r="F8406">
        <v>18</v>
      </c>
      <c r="G8406">
        <v>20</v>
      </c>
      <c r="H8406">
        <v>7.6</v>
      </c>
      <c r="I8406">
        <v>1.65</v>
      </c>
      <c r="J8406">
        <v>20</v>
      </c>
      <c r="L8406" t="s">
        <v>2709</v>
      </c>
      <c r="M8406">
        <v>84501100</v>
      </c>
      <c r="N8406">
        <v>1</v>
      </c>
      <c r="O8406" t="s">
        <v>19447</v>
      </c>
      <c r="P8406" t="s">
        <v>19899</v>
      </c>
      <c r="Q8406" t="s">
        <v>19934</v>
      </c>
      <c r="R8406" t="s">
        <v>19905</v>
      </c>
      <c r="S8406" t="s">
        <v>19906</v>
      </c>
      <c r="T8406" t="s">
        <v>19934</v>
      </c>
    </row>
    <row r="8407" spans="2:20" x14ac:dyDescent="0.25">
      <c r="B8407" t="s">
        <v>2709</v>
      </c>
      <c r="C8407">
        <v>84501200</v>
      </c>
      <c r="E8407">
        <v>63.36</v>
      </c>
      <c r="F8407">
        <v>8.8000000000000007</v>
      </c>
      <c r="G8407">
        <v>5</v>
      </c>
      <c r="H8407" t="s">
        <v>19447</v>
      </c>
      <c r="I8407" t="s">
        <v>19447</v>
      </c>
      <c r="J8407">
        <v>20</v>
      </c>
      <c r="L8407" t="s">
        <v>2709</v>
      </c>
      <c r="M8407">
        <v>84501200</v>
      </c>
      <c r="O8407" t="s">
        <v>20174</v>
      </c>
      <c r="P8407" t="s">
        <v>20127</v>
      </c>
      <c r="Q8407" t="s">
        <v>19909</v>
      </c>
      <c r="R8407" t="s">
        <v>19447</v>
      </c>
      <c r="S8407" t="s">
        <v>19447</v>
      </c>
      <c r="T8407" t="s">
        <v>19934</v>
      </c>
    </row>
    <row r="8408" spans="2:20" x14ac:dyDescent="0.25">
      <c r="B8408" t="s">
        <v>2709</v>
      </c>
      <c r="C8408">
        <v>84501200</v>
      </c>
      <c r="D8408">
        <v>1</v>
      </c>
      <c r="E8408" t="s">
        <v>19447</v>
      </c>
      <c r="F8408">
        <v>18</v>
      </c>
      <c r="G8408">
        <v>20</v>
      </c>
      <c r="H8408">
        <v>7.6</v>
      </c>
      <c r="I8408">
        <v>1.65</v>
      </c>
      <c r="J8408">
        <v>20</v>
      </c>
      <c r="L8408" t="s">
        <v>2709</v>
      </c>
      <c r="M8408">
        <v>84501200</v>
      </c>
      <c r="N8408">
        <v>1</v>
      </c>
      <c r="O8408" t="s">
        <v>19447</v>
      </c>
      <c r="P8408" t="s">
        <v>19899</v>
      </c>
      <c r="Q8408" t="s">
        <v>19934</v>
      </c>
      <c r="R8408" t="s">
        <v>19905</v>
      </c>
      <c r="S8408" t="s">
        <v>19906</v>
      </c>
      <c r="T8408" t="s">
        <v>19934</v>
      </c>
    </row>
    <row r="8409" spans="2:20" x14ac:dyDescent="0.25">
      <c r="B8409" t="s">
        <v>2709</v>
      </c>
      <c r="C8409">
        <v>84501900</v>
      </c>
      <c r="E8409">
        <v>65.84</v>
      </c>
      <c r="F8409">
        <v>8.8000000000000007</v>
      </c>
      <c r="G8409">
        <v>5</v>
      </c>
      <c r="H8409" t="s">
        <v>19447</v>
      </c>
      <c r="I8409" t="s">
        <v>19447</v>
      </c>
      <c r="J8409">
        <v>20</v>
      </c>
      <c r="L8409" t="s">
        <v>2709</v>
      </c>
      <c r="M8409">
        <v>84501900</v>
      </c>
      <c r="O8409" t="s">
        <v>20175</v>
      </c>
      <c r="P8409" t="s">
        <v>20127</v>
      </c>
      <c r="Q8409" t="s">
        <v>19909</v>
      </c>
      <c r="R8409" t="s">
        <v>19447</v>
      </c>
      <c r="S8409" t="s">
        <v>19447</v>
      </c>
      <c r="T8409" t="s">
        <v>19934</v>
      </c>
    </row>
    <row r="8410" spans="2:20" x14ac:dyDescent="0.25">
      <c r="B8410" t="s">
        <v>2709</v>
      </c>
      <c r="C8410">
        <v>84501900</v>
      </c>
      <c r="D8410">
        <v>1</v>
      </c>
      <c r="E8410" t="s">
        <v>19447</v>
      </c>
      <c r="F8410">
        <v>18</v>
      </c>
      <c r="G8410">
        <v>10</v>
      </c>
      <c r="H8410">
        <v>7.6</v>
      </c>
      <c r="I8410">
        <v>1.65</v>
      </c>
      <c r="J8410">
        <v>20</v>
      </c>
      <c r="L8410" t="s">
        <v>2709</v>
      </c>
      <c r="M8410">
        <v>84501900</v>
      </c>
      <c r="N8410">
        <v>1</v>
      </c>
      <c r="O8410" t="s">
        <v>19447</v>
      </c>
      <c r="P8410" t="s">
        <v>19899</v>
      </c>
      <c r="Q8410" t="s">
        <v>19904</v>
      </c>
      <c r="R8410" t="s">
        <v>19905</v>
      </c>
      <c r="S8410" t="s">
        <v>19906</v>
      </c>
      <c r="T8410" t="s">
        <v>19934</v>
      </c>
    </row>
    <row r="8411" spans="2:20" x14ac:dyDescent="0.25">
      <c r="B8411" t="s">
        <v>2709</v>
      </c>
      <c r="C8411">
        <v>84502010</v>
      </c>
      <c r="E8411">
        <v>46.12</v>
      </c>
      <c r="F8411">
        <v>8.8000000000000007</v>
      </c>
      <c r="G8411">
        <v>5</v>
      </c>
      <c r="H8411" t="s">
        <v>19447</v>
      </c>
      <c r="I8411" t="s">
        <v>19447</v>
      </c>
      <c r="J8411">
        <v>0</v>
      </c>
      <c r="L8411" t="s">
        <v>2709</v>
      </c>
      <c r="M8411">
        <v>84502010</v>
      </c>
      <c r="O8411" t="s">
        <v>20176</v>
      </c>
      <c r="P8411" t="s">
        <v>20127</v>
      </c>
      <c r="Q8411" t="s">
        <v>19909</v>
      </c>
      <c r="R8411" t="s">
        <v>19447</v>
      </c>
      <c r="S8411" t="s">
        <v>19447</v>
      </c>
      <c r="T8411" t="s">
        <v>19900</v>
      </c>
    </row>
    <row r="8412" spans="2:20" x14ac:dyDescent="0.25">
      <c r="B8412" t="s">
        <v>2709</v>
      </c>
      <c r="C8412">
        <v>84502090</v>
      </c>
      <c r="E8412">
        <v>46.12</v>
      </c>
      <c r="F8412">
        <v>8.8000000000000007</v>
      </c>
      <c r="G8412">
        <v>20</v>
      </c>
      <c r="H8412" t="s">
        <v>19447</v>
      </c>
      <c r="I8412" t="s">
        <v>19447</v>
      </c>
      <c r="J8412">
        <v>14</v>
      </c>
      <c r="L8412" t="s">
        <v>2709</v>
      </c>
      <c r="M8412">
        <v>84502090</v>
      </c>
      <c r="O8412" t="s">
        <v>20176</v>
      </c>
      <c r="P8412" t="s">
        <v>20127</v>
      </c>
      <c r="Q8412" t="s">
        <v>19934</v>
      </c>
      <c r="R8412" t="s">
        <v>19447</v>
      </c>
      <c r="S8412" t="s">
        <v>19447</v>
      </c>
      <c r="T8412" t="s">
        <v>19911</v>
      </c>
    </row>
    <row r="8413" spans="2:20" x14ac:dyDescent="0.25">
      <c r="B8413" t="s">
        <v>2709</v>
      </c>
      <c r="C8413">
        <v>84502090</v>
      </c>
      <c r="D8413">
        <v>1</v>
      </c>
      <c r="E8413" t="s">
        <v>19447</v>
      </c>
      <c r="F8413">
        <v>18</v>
      </c>
      <c r="G8413">
        <v>0</v>
      </c>
      <c r="H8413">
        <v>7.6</v>
      </c>
      <c r="I8413">
        <v>1.65</v>
      </c>
      <c r="J8413">
        <v>14</v>
      </c>
      <c r="L8413" t="s">
        <v>2709</v>
      </c>
      <c r="M8413">
        <v>84502090</v>
      </c>
      <c r="N8413">
        <v>1</v>
      </c>
      <c r="O8413" t="s">
        <v>19447</v>
      </c>
      <c r="P8413" t="s">
        <v>19899</v>
      </c>
      <c r="Q8413" t="s">
        <v>19900</v>
      </c>
      <c r="R8413" t="s">
        <v>19905</v>
      </c>
      <c r="S8413" t="s">
        <v>19906</v>
      </c>
      <c r="T8413" t="s">
        <v>19911</v>
      </c>
    </row>
    <row r="8414" spans="2:20" x14ac:dyDescent="0.25">
      <c r="B8414" t="s">
        <v>2709</v>
      </c>
      <c r="C8414">
        <v>84509010</v>
      </c>
      <c r="E8414">
        <v>61.89</v>
      </c>
      <c r="F8414">
        <v>18</v>
      </c>
      <c r="G8414">
        <v>20</v>
      </c>
      <c r="H8414" t="s">
        <v>19447</v>
      </c>
      <c r="I8414" t="s">
        <v>19447</v>
      </c>
      <c r="J8414">
        <v>14</v>
      </c>
      <c r="L8414" t="s">
        <v>2709</v>
      </c>
      <c r="M8414">
        <v>84509010</v>
      </c>
      <c r="O8414" t="s">
        <v>20177</v>
      </c>
      <c r="P8414" t="s">
        <v>19899</v>
      </c>
      <c r="Q8414" t="s">
        <v>19934</v>
      </c>
      <c r="R8414" t="s">
        <v>19447</v>
      </c>
      <c r="S8414" t="s">
        <v>19447</v>
      </c>
      <c r="T8414" t="s">
        <v>19911</v>
      </c>
    </row>
    <row r="8415" spans="2:20" x14ac:dyDescent="0.25">
      <c r="B8415" t="s">
        <v>2709</v>
      </c>
      <c r="C8415">
        <v>84509090</v>
      </c>
      <c r="E8415">
        <v>61.89</v>
      </c>
      <c r="F8415">
        <v>18</v>
      </c>
      <c r="G8415">
        <v>20</v>
      </c>
      <c r="H8415" t="s">
        <v>19447</v>
      </c>
      <c r="I8415" t="s">
        <v>19447</v>
      </c>
      <c r="J8415">
        <v>16</v>
      </c>
      <c r="L8415" t="s">
        <v>2709</v>
      </c>
      <c r="M8415">
        <v>84509090</v>
      </c>
      <c r="O8415" t="s">
        <v>20177</v>
      </c>
      <c r="P8415" t="s">
        <v>19899</v>
      </c>
      <c r="Q8415" t="s">
        <v>19934</v>
      </c>
      <c r="R8415" t="s">
        <v>19447</v>
      </c>
      <c r="S8415" t="s">
        <v>19447</v>
      </c>
      <c r="T8415" t="s">
        <v>19913</v>
      </c>
    </row>
    <row r="8416" spans="2:20" x14ac:dyDescent="0.25">
      <c r="B8416" t="s">
        <v>2709</v>
      </c>
      <c r="C8416">
        <v>84511000</v>
      </c>
      <c r="E8416">
        <v>75.739999999999995</v>
      </c>
      <c r="F8416">
        <v>8.8000000000000007</v>
      </c>
      <c r="G8416">
        <v>0</v>
      </c>
      <c r="H8416" t="s">
        <v>19447</v>
      </c>
      <c r="I8416" t="s">
        <v>19447</v>
      </c>
      <c r="J8416">
        <v>14</v>
      </c>
      <c r="L8416" t="s">
        <v>2709</v>
      </c>
      <c r="M8416">
        <v>84511000</v>
      </c>
      <c r="O8416" t="s">
        <v>20178</v>
      </c>
      <c r="P8416" t="s">
        <v>20127</v>
      </c>
      <c r="Q8416" t="s">
        <v>19900</v>
      </c>
      <c r="R8416" t="s">
        <v>19447</v>
      </c>
      <c r="S8416" t="s">
        <v>19447</v>
      </c>
      <c r="T8416" t="s">
        <v>19911</v>
      </c>
    </row>
    <row r="8417" spans="2:20" x14ac:dyDescent="0.25">
      <c r="B8417" t="s">
        <v>2709</v>
      </c>
      <c r="C8417">
        <v>84512100</v>
      </c>
      <c r="E8417">
        <v>42.69</v>
      </c>
      <c r="F8417">
        <v>8.8000000000000007</v>
      </c>
      <c r="G8417">
        <v>5</v>
      </c>
      <c r="H8417" t="s">
        <v>19447</v>
      </c>
      <c r="I8417" t="s">
        <v>19447</v>
      </c>
      <c r="J8417">
        <v>20</v>
      </c>
      <c r="L8417" t="s">
        <v>2709</v>
      </c>
      <c r="M8417">
        <v>84512100</v>
      </c>
      <c r="O8417" t="s">
        <v>20179</v>
      </c>
      <c r="P8417" t="s">
        <v>20127</v>
      </c>
      <c r="Q8417" t="s">
        <v>19909</v>
      </c>
      <c r="R8417" t="s">
        <v>19447</v>
      </c>
      <c r="S8417" t="s">
        <v>19447</v>
      </c>
      <c r="T8417" t="s">
        <v>19934</v>
      </c>
    </row>
    <row r="8418" spans="2:20" x14ac:dyDescent="0.25">
      <c r="B8418" t="s">
        <v>2709</v>
      </c>
      <c r="C8418">
        <v>84512100</v>
      </c>
      <c r="D8418">
        <v>1</v>
      </c>
      <c r="E8418" t="s">
        <v>19447</v>
      </c>
      <c r="F8418">
        <v>18</v>
      </c>
      <c r="G8418">
        <v>20</v>
      </c>
      <c r="H8418">
        <v>7.6</v>
      </c>
      <c r="I8418">
        <v>1.65</v>
      </c>
      <c r="J8418">
        <v>20</v>
      </c>
      <c r="L8418" t="s">
        <v>2709</v>
      </c>
      <c r="M8418">
        <v>84512100</v>
      </c>
      <c r="N8418">
        <v>1</v>
      </c>
      <c r="O8418" t="s">
        <v>19447</v>
      </c>
      <c r="P8418" t="s">
        <v>19899</v>
      </c>
      <c r="Q8418" t="s">
        <v>19934</v>
      </c>
      <c r="R8418" t="s">
        <v>19905</v>
      </c>
      <c r="S8418" t="s">
        <v>19906</v>
      </c>
      <c r="T8418" t="s">
        <v>19934</v>
      </c>
    </row>
    <row r="8419" spans="2:20" x14ac:dyDescent="0.25">
      <c r="B8419" t="s">
        <v>2709</v>
      </c>
      <c r="C8419">
        <v>84512910</v>
      </c>
      <c r="E8419">
        <v>75.739999999999995</v>
      </c>
      <c r="F8419">
        <v>8.8000000000000007</v>
      </c>
      <c r="G8419">
        <v>0</v>
      </c>
      <c r="H8419" t="s">
        <v>19447</v>
      </c>
      <c r="I8419" t="s">
        <v>19447</v>
      </c>
      <c r="J8419">
        <v>0</v>
      </c>
      <c r="L8419" t="s">
        <v>2709</v>
      </c>
      <c r="M8419">
        <v>84512910</v>
      </c>
      <c r="O8419" t="s">
        <v>20178</v>
      </c>
      <c r="P8419" t="s">
        <v>20127</v>
      </c>
      <c r="Q8419" t="s">
        <v>19900</v>
      </c>
      <c r="R8419" t="s">
        <v>19447</v>
      </c>
      <c r="S8419" t="s">
        <v>19447</v>
      </c>
      <c r="T8419" t="s">
        <v>19900</v>
      </c>
    </row>
    <row r="8420" spans="2:20" x14ac:dyDescent="0.25">
      <c r="B8420" t="s">
        <v>2709</v>
      </c>
      <c r="C8420">
        <v>84512990</v>
      </c>
      <c r="E8420">
        <v>88.75</v>
      </c>
      <c r="F8420">
        <v>8.8000000000000007</v>
      </c>
      <c r="G8420">
        <v>0</v>
      </c>
      <c r="H8420" t="s">
        <v>19447</v>
      </c>
      <c r="I8420" t="s">
        <v>19447</v>
      </c>
      <c r="J8420">
        <v>14</v>
      </c>
      <c r="L8420" t="s">
        <v>2709</v>
      </c>
      <c r="M8420">
        <v>84512990</v>
      </c>
      <c r="O8420" t="s">
        <v>20180</v>
      </c>
      <c r="P8420" t="s">
        <v>20127</v>
      </c>
      <c r="Q8420" t="s">
        <v>19900</v>
      </c>
      <c r="R8420" t="s">
        <v>19447</v>
      </c>
      <c r="S8420" t="s">
        <v>19447</v>
      </c>
      <c r="T8420" t="s">
        <v>19911</v>
      </c>
    </row>
    <row r="8421" spans="2:20" x14ac:dyDescent="0.25">
      <c r="B8421" t="s">
        <v>2709</v>
      </c>
      <c r="C8421">
        <v>84513010</v>
      </c>
      <c r="E8421">
        <v>75.739999999999995</v>
      </c>
      <c r="F8421">
        <v>8.8000000000000007</v>
      </c>
      <c r="G8421">
        <v>0</v>
      </c>
      <c r="H8421" t="s">
        <v>19447</v>
      </c>
      <c r="I8421" t="s">
        <v>19447</v>
      </c>
      <c r="J8421">
        <v>0</v>
      </c>
      <c r="L8421" t="s">
        <v>2709</v>
      </c>
      <c r="M8421">
        <v>84513010</v>
      </c>
      <c r="O8421" t="s">
        <v>20178</v>
      </c>
      <c r="P8421" t="s">
        <v>20127</v>
      </c>
      <c r="Q8421" t="s">
        <v>19900</v>
      </c>
      <c r="R8421" t="s">
        <v>19447</v>
      </c>
      <c r="S8421" t="s">
        <v>19447</v>
      </c>
      <c r="T8421" t="s">
        <v>19900</v>
      </c>
    </row>
    <row r="8422" spans="2:20" x14ac:dyDescent="0.25">
      <c r="B8422" t="s">
        <v>2709</v>
      </c>
      <c r="C8422">
        <v>84513091</v>
      </c>
      <c r="E8422">
        <v>75.739999999999995</v>
      </c>
      <c r="F8422">
        <v>8.8000000000000007</v>
      </c>
      <c r="G8422">
        <v>5</v>
      </c>
      <c r="H8422" t="s">
        <v>19447</v>
      </c>
      <c r="I8422" t="s">
        <v>19447</v>
      </c>
      <c r="J8422">
        <v>20</v>
      </c>
      <c r="L8422" t="s">
        <v>2709</v>
      </c>
      <c r="M8422">
        <v>84513091</v>
      </c>
      <c r="O8422" t="s">
        <v>20178</v>
      </c>
      <c r="P8422" t="s">
        <v>20127</v>
      </c>
      <c r="Q8422" t="s">
        <v>19909</v>
      </c>
      <c r="R8422" t="s">
        <v>19447</v>
      </c>
      <c r="S8422" t="s">
        <v>19447</v>
      </c>
      <c r="T8422" t="s">
        <v>19934</v>
      </c>
    </row>
    <row r="8423" spans="2:20" x14ac:dyDescent="0.25">
      <c r="B8423" t="s">
        <v>2709</v>
      </c>
      <c r="C8423">
        <v>84513099</v>
      </c>
      <c r="E8423">
        <v>75.739999999999995</v>
      </c>
      <c r="F8423">
        <v>8.8000000000000007</v>
      </c>
      <c r="G8423">
        <v>0</v>
      </c>
      <c r="H8423" t="s">
        <v>19447</v>
      </c>
      <c r="I8423" t="s">
        <v>19447</v>
      </c>
      <c r="J8423">
        <v>14</v>
      </c>
      <c r="L8423" t="s">
        <v>2709</v>
      </c>
      <c r="M8423">
        <v>84513099</v>
      </c>
      <c r="O8423" t="s">
        <v>20178</v>
      </c>
      <c r="P8423" t="s">
        <v>20127</v>
      </c>
      <c r="Q8423" t="s">
        <v>19900</v>
      </c>
      <c r="R8423" t="s">
        <v>19447</v>
      </c>
      <c r="S8423" t="s">
        <v>19447</v>
      </c>
      <c r="T8423" t="s">
        <v>19911</v>
      </c>
    </row>
    <row r="8424" spans="2:20" x14ac:dyDescent="0.25">
      <c r="B8424" t="s">
        <v>2709</v>
      </c>
      <c r="C8424">
        <v>84514010</v>
      </c>
      <c r="E8424">
        <v>75.739999999999995</v>
      </c>
      <c r="F8424">
        <v>8.8000000000000007</v>
      </c>
      <c r="G8424">
        <v>0</v>
      </c>
      <c r="H8424" t="s">
        <v>19447</v>
      </c>
      <c r="I8424" t="s">
        <v>19447</v>
      </c>
      <c r="J8424">
        <v>14</v>
      </c>
      <c r="L8424" t="s">
        <v>2709</v>
      </c>
      <c r="M8424">
        <v>84514010</v>
      </c>
      <c r="O8424" t="s">
        <v>20178</v>
      </c>
      <c r="P8424" t="s">
        <v>20127</v>
      </c>
      <c r="Q8424" t="s">
        <v>19900</v>
      </c>
      <c r="R8424" t="s">
        <v>19447</v>
      </c>
      <c r="S8424" t="s">
        <v>19447</v>
      </c>
      <c r="T8424" t="s">
        <v>19911</v>
      </c>
    </row>
    <row r="8425" spans="2:20" x14ac:dyDescent="0.25">
      <c r="B8425" t="s">
        <v>2709</v>
      </c>
      <c r="C8425">
        <v>84514021</v>
      </c>
      <c r="E8425">
        <v>75.739999999999995</v>
      </c>
      <c r="F8425">
        <v>8.8000000000000007</v>
      </c>
      <c r="G8425">
        <v>0</v>
      </c>
      <c r="H8425" t="s">
        <v>19447</v>
      </c>
      <c r="I8425" t="s">
        <v>19447</v>
      </c>
      <c r="J8425">
        <v>14</v>
      </c>
      <c r="L8425" t="s">
        <v>2709</v>
      </c>
      <c r="M8425">
        <v>84514021</v>
      </c>
      <c r="O8425" t="s">
        <v>20178</v>
      </c>
      <c r="P8425" t="s">
        <v>20127</v>
      </c>
      <c r="Q8425" t="s">
        <v>19900</v>
      </c>
      <c r="R8425" t="s">
        <v>19447</v>
      </c>
      <c r="S8425" t="s">
        <v>19447</v>
      </c>
      <c r="T8425" t="s">
        <v>19911</v>
      </c>
    </row>
    <row r="8426" spans="2:20" x14ac:dyDescent="0.25">
      <c r="B8426" t="s">
        <v>2709</v>
      </c>
      <c r="C8426">
        <v>84514029</v>
      </c>
      <c r="E8426">
        <v>75.739999999999995</v>
      </c>
      <c r="F8426">
        <v>8.8000000000000007</v>
      </c>
      <c r="G8426">
        <v>0</v>
      </c>
      <c r="H8426" t="s">
        <v>19447</v>
      </c>
      <c r="I8426" t="s">
        <v>19447</v>
      </c>
      <c r="J8426">
        <v>14</v>
      </c>
      <c r="L8426" t="s">
        <v>2709</v>
      </c>
      <c r="M8426">
        <v>84514029</v>
      </c>
      <c r="O8426" t="s">
        <v>20178</v>
      </c>
      <c r="P8426" t="s">
        <v>20127</v>
      </c>
      <c r="Q8426" t="s">
        <v>19900</v>
      </c>
      <c r="R8426" t="s">
        <v>19447</v>
      </c>
      <c r="S8426" t="s">
        <v>19447</v>
      </c>
      <c r="T8426" t="s">
        <v>19911</v>
      </c>
    </row>
    <row r="8427" spans="2:20" x14ac:dyDescent="0.25">
      <c r="B8427" t="s">
        <v>2709</v>
      </c>
      <c r="C8427">
        <v>84514090</v>
      </c>
      <c r="E8427">
        <v>75.739999999999995</v>
      </c>
      <c r="F8427">
        <v>8.8000000000000007</v>
      </c>
      <c r="G8427">
        <v>0</v>
      </c>
      <c r="H8427" t="s">
        <v>19447</v>
      </c>
      <c r="I8427" t="s">
        <v>19447</v>
      </c>
      <c r="J8427">
        <v>14</v>
      </c>
      <c r="L8427" t="s">
        <v>2709</v>
      </c>
      <c r="M8427">
        <v>84514090</v>
      </c>
      <c r="O8427" t="s">
        <v>20178</v>
      </c>
      <c r="P8427" t="s">
        <v>20127</v>
      </c>
      <c r="Q8427" t="s">
        <v>19900</v>
      </c>
      <c r="R8427" t="s">
        <v>19447</v>
      </c>
      <c r="S8427" t="s">
        <v>19447</v>
      </c>
      <c r="T8427" t="s">
        <v>19911</v>
      </c>
    </row>
    <row r="8428" spans="2:20" x14ac:dyDescent="0.25">
      <c r="B8428" t="s">
        <v>2709</v>
      </c>
      <c r="C8428">
        <v>84515010</v>
      </c>
      <c r="E8428">
        <v>75.739999999999995</v>
      </c>
      <c r="F8428">
        <v>8.8000000000000007</v>
      </c>
      <c r="G8428">
        <v>0</v>
      </c>
      <c r="H8428" t="s">
        <v>19447</v>
      </c>
      <c r="I8428" t="s">
        <v>19447</v>
      </c>
      <c r="J8428">
        <v>0</v>
      </c>
      <c r="L8428" t="s">
        <v>2709</v>
      </c>
      <c r="M8428">
        <v>84515010</v>
      </c>
      <c r="O8428" t="s">
        <v>20178</v>
      </c>
      <c r="P8428" t="s">
        <v>20127</v>
      </c>
      <c r="Q8428" t="s">
        <v>19900</v>
      </c>
      <c r="R8428" t="s">
        <v>19447</v>
      </c>
      <c r="S8428" t="s">
        <v>19447</v>
      </c>
      <c r="T8428" t="s">
        <v>19900</v>
      </c>
    </row>
    <row r="8429" spans="2:20" x14ac:dyDescent="0.25">
      <c r="B8429" t="s">
        <v>2709</v>
      </c>
      <c r="C8429">
        <v>84515020</v>
      </c>
      <c r="E8429">
        <v>75.739999999999995</v>
      </c>
      <c r="F8429">
        <v>8.8000000000000007</v>
      </c>
      <c r="G8429">
        <v>0</v>
      </c>
      <c r="H8429" t="s">
        <v>19447</v>
      </c>
      <c r="I8429" t="s">
        <v>19447</v>
      </c>
      <c r="J8429">
        <v>0</v>
      </c>
      <c r="L8429" t="s">
        <v>2709</v>
      </c>
      <c r="M8429">
        <v>84515020</v>
      </c>
      <c r="O8429" t="s">
        <v>20178</v>
      </c>
      <c r="P8429" t="s">
        <v>20127</v>
      </c>
      <c r="Q8429" t="s">
        <v>19900</v>
      </c>
      <c r="R8429" t="s">
        <v>19447</v>
      </c>
      <c r="S8429" t="s">
        <v>19447</v>
      </c>
      <c r="T8429" t="s">
        <v>19900</v>
      </c>
    </row>
    <row r="8430" spans="2:20" x14ac:dyDescent="0.25">
      <c r="B8430" t="s">
        <v>2709</v>
      </c>
      <c r="C8430">
        <v>84515090</v>
      </c>
      <c r="E8430">
        <v>75.739999999999995</v>
      </c>
      <c r="F8430">
        <v>8.8000000000000007</v>
      </c>
      <c r="G8430">
        <v>0</v>
      </c>
      <c r="H8430" t="s">
        <v>19447</v>
      </c>
      <c r="I8430" t="s">
        <v>19447</v>
      </c>
      <c r="J8430">
        <v>14</v>
      </c>
      <c r="L8430" t="s">
        <v>2709</v>
      </c>
      <c r="M8430">
        <v>84515090</v>
      </c>
      <c r="O8430" t="s">
        <v>20178</v>
      </c>
      <c r="P8430" t="s">
        <v>20127</v>
      </c>
      <c r="Q8430" t="s">
        <v>19900</v>
      </c>
      <c r="R8430" t="s">
        <v>19447</v>
      </c>
      <c r="S8430" t="s">
        <v>19447</v>
      </c>
      <c r="T8430" t="s">
        <v>19911</v>
      </c>
    </row>
    <row r="8431" spans="2:20" x14ac:dyDescent="0.25">
      <c r="B8431" t="s">
        <v>2709</v>
      </c>
      <c r="C8431">
        <v>84518000</v>
      </c>
      <c r="E8431">
        <v>75.739999999999995</v>
      </c>
      <c r="F8431">
        <v>8.8000000000000007</v>
      </c>
      <c r="G8431">
        <v>0</v>
      </c>
      <c r="H8431" t="s">
        <v>19447</v>
      </c>
      <c r="I8431" t="s">
        <v>19447</v>
      </c>
      <c r="J8431">
        <v>14</v>
      </c>
      <c r="L8431" t="s">
        <v>2709</v>
      </c>
      <c r="M8431">
        <v>84518000</v>
      </c>
      <c r="O8431" t="s">
        <v>20178</v>
      </c>
      <c r="P8431" t="s">
        <v>20127</v>
      </c>
      <c r="Q8431" t="s">
        <v>19900</v>
      </c>
      <c r="R8431" t="s">
        <v>19447</v>
      </c>
      <c r="S8431" t="s">
        <v>19447</v>
      </c>
      <c r="T8431" t="s">
        <v>19911</v>
      </c>
    </row>
    <row r="8432" spans="2:20" x14ac:dyDescent="0.25">
      <c r="B8432" t="s">
        <v>2709</v>
      </c>
      <c r="C8432">
        <v>84518000</v>
      </c>
      <c r="D8432">
        <v>1</v>
      </c>
      <c r="E8432" t="s">
        <v>19447</v>
      </c>
      <c r="F8432">
        <v>18</v>
      </c>
      <c r="G8432">
        <v>12</v>
      </c>
      <c r="H8432">
        <v>7.6</v>
      </c>
      <c r="I8432">
        <v>1.65</v>
      </c>
      <c r="J8432">
        <v>14</v>
      </c>
      <c r="L8432" t="s">
        <v>2709</v>
      </c>
      <c r="M8432">
        <v>84518000</v>
      </c>
      <c r="N8432">
        <v>1</v>
      </c>
      <c r="O8432" t="s">
        <v>19447</v>
      </c>
      <c r="P8432" t="s">
        <v>19899</v>
      </c>
      <c r="Q8432" t="s">
        <v>19903</v>
      </c>
      <c r="R8432" t="s">
        <v>19905</v>
      </c>
      <c r="S8432" t="s">
        <v>19906</v>
      </c>
      <c r="T8432" t="s">
        <v>19911</v>
      </c>
    </row>
    <row r="8433" spans="2:20" x14ac:dyDescent="0.25">
      <c r="B8433" t="s">
        <v>2709</v>
      </c>
      <c r="C8433">
        <v>84519010</v>
      </c>
      <c r="E8433">
        <v>75.739999999999995</v>
      </c>
      <c r="F8433">
        <v>18</v>
      </c>
      <c r="G8433">
        <v>5</v>
      </c>
      <c r="H8433" t="s">
        <v>19447</v>
      </c>
      <c r="I8433" t="s">
        <v>19447</v>
      </c>
      <c r="J8433">
        <v>16</v>
      </c>
      <c r="L8433" t="s">
        <v>2709</v>
      </c>
      <c r="M8433">
        <v>84519010</v>
      </c>
      <c r="O8433" t="s">
        <v>20178</v>
      </c>
      <c r="P8433" t="s">
        <v>19899</v>
      </c>
      <c r="Q8433" t="s">
        <v>19909</v>
      </c>
      <c r="R8433" t="s">
        <v>19447</v>
      </c>
      <c r="S8433" t="s">
        <v>19447</v>
      </c>
      <c r="T8433" t="s">
        <v>19913</v>
      </c>
    </row>
    <row r="8434" spans="2:20" x14ac:dyDescent="0.25">
      <c r="B8434" t="s">
        <v>2709</v>
      </c>
      <c r="C8434">
        <v>84519090</v>
      </c>
      <c r="E8434">
        <v>75.739999999999995</v>
      </c>
      <c r="F8434">
        <v>18</v>
      </c>
      <c r="G8434">
        <v>5</v>
      </c>
      <c r="H8434" t="s">
        <v>19447</v>
      </c>
      <c r="I8434" t="s">
        <v>19447</v>
      </c>
      <c r="J8434">
        <v>14</v>
      </c>
      <c r="L8434" t="s">
        <v>2709</v>
      </c>
      <c r="M8434">
        <v>84519090</v>
      </c>
      <c r="O8434" t="s">
        <v>20178</v>
      </c>
      <c r="P8434" t="s">
        <v>19899</v>
      </c>
      <c r="Q8434" t="s">
        <v>19909</v>
      </c>
      <c r="R8434" t="s">
        <v>19447</v>
      </c>
      <c r="S8434" t="s">
        <v>19447</v>
      </c>
      <c r="T8434" t="s">
        <v>19911</v>
      </c>
    </row>
    <row r="8435" spans="2:20" x14ac:dyDescent="0.25">
      <c r="B8435" t="s">
        <v>2709</v>
      </c>
      <c r="C8435">
        <v>84521000</v>
      </c>
      <c r="E8435">
        <v>42.53</v>
      </c>
      <c r="F8435">
        <v>18</v>
      </c>
      <c r="G8435">
        <v>3</v>
      </c>
      <c r="H8435" t="s">
        <v>19447</v>
      </c>
      <c r="I8435" t="s">
        <v>19447</v>
      </c>
      <c r="J8435">
        <v>20</v>
      </c>
      <c r="L8435" t="s">
        <v>2709</v>
      </c>
      <c r="M8435">
        <v>84521000</v>
      </c>
      <c r="O8435" t="s">
        <v>20181</v>
      </c>
      <c r="P8435" t="s">
        <v>19899</v>
      </c>
      <c r="Q8435" t="s">
        <v>19997</v>
      </c>
      <c r="R8435" t="s">
        <v>19447</v>
      </c>
      <c r="S8435" t="s">
        <v>19447</v>
      </c>
      <c r="T8435" t="s">
        <v>19934</v>
      </c>
    </row>
    <row r="8436" spans="2:20" x14ac:dyDescent="0.25">
      <c r="B8436" t="s">
        <v>2709</v>
      </c>
      <c r="C8436">
        <v>84522110</v>
      </c>
      <c r="E8436">
        <v>71.78</v>
      </c>
      <c r="F8436">
        <v>8.8000000000000007</v>
      </c>
      <c r="G8436">
        <v>0</v>
      </c>
      <c r="H8436" t="s">
        <v>19447</v>
      </c>
      <c r="I8436" t="s">
        <v>19447</v>
      </c>
      <c r="J8436">
        <v>0</v>
      </c>
      <c r="L8436" t="s">
        <v>2709</v>
      </c>
      <c r="M8436">
        <v>84522110</v>
      </c>
      <c r="O8436" t="s">
        <v>20056</v>
      </c>
      <c r="P8436" t="s">
        <v>20127</v>
      </c>
      <c r="Q8436" t="s">
        <v>19900</v>
      </c>
      <c r="R8436" t="s">
        <v>19447</v>
      </c>
      <c r="S8436" t="s">
        <v>19447</v>
      </c>
      <c r="T8436" t="s">
        <v>19900</v>
      </c>
    </row>
    <row r="8437" spans="2:20" x14ac:dyDescent="0.25">
      <c r="B8437" t="s">
        <v>2709</v>
      </c>
      <c r="C8437">
        <v>84522120</v>
      </c>
      <c r="E8437">
        <v>71.78</v>
      </c>
      <c r="F8437">
        <v>8.8000000000000007</v>
      </c>
      <c r="G8437">
        <v>0</v>
      </c>
      <c r="H8437" t="s">
        <v>19447</v>
      </c>
      <c r="I8437" t="s">
        <v>19447</v>
      </c>
      <c r="J8437">
        <v>0</v>
      </c>
      <c r="L8437" t="s">
        <v>2709</v>
      </c>
      <c r="M8437">
        <v>84522120</v>
      </c>
      <c r="O8437" t="s">
        <v>20056</v>
      </c>
      <c r="P8437" t="s">
        <v>20127</v>
      </c>
      <c r="Q8437" t="s">
        <v>19900</v>
      </c>
      <c r="R8437" t="s">
        <v>19447</v>
      </c>
      <c r="S8437" t="s">
        <v>19447</v>
      </c>
      <c r="T8437" t="s">
        <v>19900</v>
      </c>
    </row>
    <row r="8438" spans="2:20" x14ac:dyDescent="0.25">
      <c r="B8438" t="s">
        <v>2709</v>
      </c>
      <c r="C8438">
        <v>84522190</v>
      </c>
      <c r="E8438">
        <v>71.78</v>
      </c>
      <c r="F8438">
        <v>8.8000000000000007</v>
      </c>
      <c r="G8438">
        <v>0</v>
      </c>
      <c r="H8438" t="s">
        <v>19447</v>
      </c>
      <c r="I8438" t="s">
        <v>19447</v>
      </c>
      <c r="J8438">
        <v>0</v>
      </c>
      <c r="L8438" t="s">
        <v>2709</v>
      </c>
      <c r="M8438">
        <v>84522190</v>
      </c>
      <c r="O8438" t="s">
        <v>20056</v>
      </c>
      <c r="P8438" t="s">
        <v>20127</v>
      </c>
      <c r="Q8438" t="s">
        <v>19900</v>
      </c>
      <c r="R8438" t="s">
        <v>19447</v>
      </c>
      <c r="S8438" t="s">
        <v>19447</v>
      </c>
      <c r="T8438" t="s">
        <v>19900</v>
      </c>
    </row>
    <row r="8439" spans="2:20" x14ac:dyDescent="0.25">
      <c r="B8439" t="s">
        <v>2709</v>
      </c>
      <c r="C8439">
        <v>84522910</v>
      </c>
      <c r="E8439">
        <v>71.78</v>
      </c>
      <c r="F8439">
        <v>8.8000000000000007</v>
      </c>
      <c r="G8439">
        <v>0</v>
      </c>
      <c r="H8439" t="s">
        <v>19447</v>
      </c>
      <c r="I8439" t="s">
        <v>19447</v>
      </c>
      <c r="J8439">
        <v>10</v>
      </c>
      <c r="L8439" t="s">
        <v>2709</v>
      </c>
      <c r="M8439">
        <v>84522910</v>
      </c>
      <c r="O8439" t="s">
        <v>20056</v>
      </c>
      <c r="P8439" t="s">
        <v>20127</v>
      </c>
      <c r="Q8439" t="s">
        <v>19900</v>
      </c>
      <c r="R8439" t="s">
        <v>19447</v>
      </c>
      <c r="S8439" t="s">
        <v>19447</v>
      </c>
      <c r="T8439" t="s">
        <v>19904</v>
      </c>
    </row>
    <row r="8440" spans="2:20" x14ac:dyDescent="0.25">
      <c r="B8440" t="s">
        <v>2709</v>
      </c>
      <c r="C8440">
        <v>84522921</v>
      </c>
      <c r="E8440">
        <v>71.78</v>
      </c>
      <c r="F8440">
        <v>8.8000000000000007</v>
      </c>
      <c r="G8440">
        <v>0</v>
      </c>
      <c r="H8440" t="s">
        <v>19447</v>
      </c>
      <c r="I8440" t="s">
        <v>19447</v>
      </c>
      <c r="J8440">
        <v>0</v>
      </c>
      <c r="L8440" t="s">
        <v>2709</v>
      </c>
      <c r="M8440">
        <v>84522921</v>
      </c>
      <c r="O8440" t="s">
        <v>20056</v>
      </c>
      <c r="P8440" t="s">
        <v>20127</v>
      </c>
      <c r="Q8440" t="s">
        <v>19900</v>
      </c>
      <c r="R8440" t="s">
        <v>19447</v>
      </c>
      <c r="S8440" t="s">
        <v>19447</v>
      </c>
      <c r="T8440" t="s">
        <v>19900</v>
      </c>
    </row>
    <row r="8441" spans="2:20" x14ac:dyDescent="0.25">
      <c r="B8441" t="s">
        <v>2709</v>
      </c>
      <c r="C8441">
        <v>84522922</v>
      </c>
      <c r="E8441">
        <v>71.78</v>
      </c>
      <c r="F8441">
        <v>8.8000000000000007</v>
      </c>
      <c r="G8441">
        <v>0</v>
      </c>
      <c r="H8441" t="s">
        <v>19447</v>
      </c>
      <c r="I8441" t="s">
        <v>19447</v>
      </c>
      <c r="J8441">
        <v>0</v>
      </c>
      <c r="L8441" t="s">
        <v>2709</v>
      </c>
      <c r="M8441">
        <v>84522922</v>
      </c>
      <c r="O8441" t="s">
        <v>20056</v>
      </c>
      <c r="P8441" t="s">
        <v>20127</v>
      </c>
      <c r="Q8441" t="s">
        <v>19900</v>
      </c>
      <c r="R8441" t="s">
        <v>19447</v>
      </c>
      <c r="S8441" t="s">
        <v>19447</v>
      </c>
      <c r="T8441" t="s">
        <v>19900</v>
      </c>
    </row>
    <row r="8442" spans="2:20" x14ac:dyDescent="0.25">
      <c r="B8442" t="s">
        <v>2709</v>
      </c>
      <c r="C8442">
        <v>84522923</v>
      </c>
      <c r="E8442">
        <v>71.78</v>
      </c>
      <c r="F8442">
        <v>8.8000000000000007</v>
      </c>
      <c r="G8442">
        <v>0</v>
      </c>
      <c r="H8442" t="s">
        <v>19447</v>
      </c>
      <c r="I8442" t="s">
        <v>19447</v>
      </c>
      <c r="J8442">
        <v>0</v>
      </c>
      <c r="L8442" t="s">
        <v>2709</v>
      </c>
      <c r="M8442">
        <v>84522923</v>
      </c>
      <c r="O8442" t="s">
        <v>20056</v>
      </c>
      <c r="P8442" t="s">
        <v>20127</v>
      </c>
      <c r="Q8442" t="s">
        <v>19900</v>
      </c>
      <c r="R8442" t="s">
        <v>19447</v>
      </c>
      <c r="S8442" t="s">
        <v>19447</v>
      </c>
      <c r="T8442" t="s">
        <v>19900</v>
      </c>
    </row>
    <row r="8443" spans="2:20" x14ac:dyDescent="0.25">
      <c r="B8443" t="s">
        <v>2709</v>
      </c>
      <c r="C8443">
        <v>84522924</v>
      </c>
      <c r="E8443">
        <v>71.78</v>
      </c>
      <c r="F8443">
        <v>8.8000000000000007</v>
      </c>
      <c r="G8443">
        <v>0</v>
      </c>
      <c r="H8443" t="s">
        <v>19447</v>
      </c>
      <c r="I8443" t="s">
        <v>19447</v>
      </c>
      <c r="J8443">
        <v>10</v>
      </c>
      <c r="L8443" t="s">
        <v>2709</v>
      </c>
      <c r="M8443">
        <v>84522924</v>
      </c>
      <c r="O8443" t="s">
        <v>20056</v>
      </c>
      <c r="P8443" t="s">
        <v>20127</v>
      </c>
      <c r="Q8443" t="s">
        <v>19900</v>
      </c>
      <c r="R8443" t="s">
        <v>19447</v>
      </c>
      <c r="S8443" t="s">
        <v>19447</v>
      </c>
      <c r="T8443" t="s">
        <v>19904</v>
      </c>
    </row>
    <row r="8444" spans="2:20" x14ac:dyDescent="0.25">
      <c r="B8444" t="s">
        <v>2709</v>
      </c>
      <c r="C8444">
        <v>84522925</v>
      </c>
      <c r="E8444">
        <v>71.78</v>
      </c>
      <c r="F8444">
        <v>8.8000000000000007</v>
      </c>
      <c r="G8444">
        <v>0</v>
      </c>
      <c r="H8444" t="s">
        <v>19447</v>
      </c>
      <c r="I8444" t="s">
        <v>19447</v>
      </c>
      <c r="J8444">
        <v>10</v>
      </c>
      <c r="L8444" t="s">
        <v>2709</v>
      </c>
      <c r="M8444">
        <v>84522925</v>
      </c>
      <c r="O8444" t="s">
        <v>20056</v>
      </c>
      <c r="P8444" t="s">
        <v>20127</v>
      </c>
      <c r="Q8444" t="s">
        <v>19900</v>
      </c>
      <c r="R8444" t="s">
        <v>19447</v>
      </c>
      <c r="S8444" t="s">
        <v>19447</v>
      </c>
      <c r="T8444" t="s">
        <v>19904</v>
      </c>
    </row>
    <row r="8445" spans="2:20" x14ac:dyDescent="0.25">
      <c r="B8445" t="s">
        <v>2709</v>
      </c>
      <c r="C8445">
        <v>84522929</v>
      </c>
      <c r="E8445">
        <v>71.78</v>
      </c>
      <c r="F8445">
        <v>8.8000000000000007</v>
      </c>
      <c r="G8445">
        <v>0</v>
      </c>
      <c r="H8445" t="s">
        <v>19447</v>
      </c>
      <c r="I8445" t="s">
        <v>19447</v>
      </c>
      <c r="J8445">
        <v>0</v>
      </c>
      <c r="L8445" t="s">
        <v>2709</v>
      </c>
      <c r="M8445">
        <v>84522929</v>
      </c>
      <c r="O8445" t="s">
        <v>20056</v>
      </c>
      <c r="P8445" t="s">
        <v>20127</v>
      </c>
      <c r="Q8445" t="s">
        <v>19900</v>
      </c>
      <c r="R8445" t="s">
        <v>19447</v>
      </c>
      <c r="S8445" t="s">
        <v>19447</v>
      </c>
      <c r="T8445" t="s">
        <v>19900</v>
      </c>
    </row>
    <row r="8446" spans="2:20" x14ac:dyDescent="0.25">
      <c r="B8446" t="s">
        <v>2709</v>
      </c>
      <c r="C8446">
        <v>84522990</v>
      </c>
      <c r="E8446">
        <v>71.78</v>
      </c>
      <c r="F8446">
        <v>12</v>
      </c>
      <c r="G8446">
        <v>0</v>
      </c>
      <c r="H8446" t="s">
        <v>19447</v>
      </c>
      <c r="I8446" t="s">
        <v>19447</v>
      </c>
      <c r="J8446">
        <v>10</v>
      </c>
      <c r="L8446" t="s">
        <v>2709</v>
      </c>
      <c r="M8446">
        <v>84522990</v>
      </c>
      <c r="O8446" t="s">
        <v>20056</v>
      </c>
      <c r="P8446" t="s">
        <v>19903</v>
      </c>
      <c r="Q8446" t="s">
        <v>19900</v>
      </c>
      <c r="R8446" t="s">
        <v>19447</v>
      </c>
      <c r="S8446" t="s">
        <v>19447</v>
      </c>
      <c r="T8446" t="s">
        <v>19904</v>
      </c>
    </row>
    <row r="8447" spans="2:20" x14ac:dyDescent="0.25">
      <c r="B8447" t="s">
        <v>2709</v>
      </c>
      <c r="C8447">
        <v>84523000</v>
      </c>
      <c r="E8447">
        <v>71.78</v>
      </c>
      <c r="F8447">
        <v>18</v>
      </c>
      <c r="G8447">
        <v>5</v>
      </c>
      <c r="H8447" t="s">
        <v>19447</v>
      </c>
      <c r="I8447" t="s">
        <v>19447</v>
      </c>
      <c r="J8447">
        <v>14</v>
      </c>
      <c r="L8447" t="s">
        <v>2709</v>
      </c>
      <c r="M8447">
        <v>84523000</v>
      </c>
      <c r="O8447" t="s">
        <v>20056</v>
      </c>
      <c r="P8447" t="s">
        <v>19899</v>
      </c>
      <c r="Q8447" t="s">
        <v>19909</v>
      </c>
      <c r="R8447" t="s">
        <v>19447</v>
      </c>
      <c r="S8447" t="s">
        <v>19447</v>
      </c>
      <c r="T8447" t="s">
        <v>19911</v>
      </c>
    </row>
    <row r="8448" spans="2:20" x14ac:dyDescent="0.25">
      <c r="B8448" t="s">
        <v>2709</v>
      </c>
      <c r="C8448">
        <v>84529020</v>
      </c>
      <c r="E8448">
        <v>71.78</v>
      </c>
      <c r="F8448">
        <v>18</v>
      </c>
      <c r="G8448">
        <v>5</v>
      </c>
      <c r="H8448" t="s">
        <v>19447</v>
      </c>
      <c r="I8448" t="s">
        <v>19447</v>
      </c>
      <c r="J8448">
        <v>18</v>
      </c>
      <c r="L8448" t="s">
        <v>2709</v>
      </c>
      <c r="M8448">
        <v>84529020</v>
      </c>
      <c r="O8448" t="s">
        <v>20056</v>
      </c>
      <c r="P8448" t="s">
        <v>19899</v>
      </c>
      <c r="Q8448" t="s">
        <v>19909</v>
      </c>
      <c r="R8448" t="s">
        <v>19447</v>
      </c>
      <c r="S8448" t="s">
        <v>19447</v>
      </c>
      <c r="T8448" t="s">
        <v>19899</v>
      </c>
    </row>
    <row r="8449" spans="2:20" x14ac:dyDescent="0.25">
      <c r="B8449" t="s">
        <v>2709</v>
      </c>
      <c r="C8449">
        <v>84529020</v>
      </c>
      <c r="D8449">
        <v>1</v>
      </c>
      <c r="E8449" t="s">
        <v>19447</v>
      </c>
      <c r="F8449">
        <v>18</v>
      </c>
      <c r="G8449">
        <v>3</v>
      </c>
      <c r="H8449">
        <v>7.6</v>
      </c>
      <c r="I8449">
        <v>1.65</v>
      </c>
      <c r="J8449">
        <v>18</v>
      </c>
      <c r="L8449" t="s">
        <v>2709</v>
      </c>
      <c r="M8449">
        <v>84529020</v>
      </c>
      <c r="N8449">
        <v>1</v>
      </c>
      <c r="O8449" t="s">
        <v>19447</v>
      </c>
      <c r="P8449" t="s">
        <v>19899</v>
      </c>
      <c r="Q8449" t="s">
        <v>19997</v>
      </c>
      <c r="R8449" t="s">
        <v>19905</v>
      </c>
      <c r="S8449" t="s">
        <v>19906</v>
      </c>
      <c r="T8449" t="s">
        <v>19899</v>
      </c>
    </row>
    <row r="8450" spans="2:20" x14ac:dyDescent="0.25">
      <c r="B8450" t="s">
        <v>2709</v>
      </c>
      <c r="C8450">
        <v>84529081</v>
      </c>
      <c r="E8450">
        <v>71.78</v>
      </c>
      <c r="F8450">
        <v>18</v>
      </c>
      <c r="G8450">
        <v>5</v>
      </c>
      <c r="H8450" t="s">
        <v>19447</v>
      </c>
      <c r="I8450" t="s">
        <v>19447</v>
      </c>
      <c r="J8450">
        <v>16</v>
      </c>
      <c r="L8450" t="s">
        <v>2709</v>
      </c>
      <c r="M8450">
        <v>84529081</v>
      </c>
      <c r="O8450" t="s">
        <v>20056</v>
      </c>
      <c r="P8450" t="s">
        <v>19899</v>
      </c>
      <c r="Q8450" t="s">
        <v>19909</v>
      </c>
      <c r="R8450" t="s">
        <v>19447</v>
      </c>
      <c r="S8450" t="s">
        <v>19447</v>
      </c>
      <c r="T8450" t="s">
        <v>19913</v>
      </c>
    </row>
    <row r="8451" spans="2:20" x14ac:dyDescent="0.25">
      <c r="B8451" t="s">
        <v>2709</v>
      </c>
      <c r="C8451">
        <v>84529089</v>
      </c>
      <c r="E8451">
        <v>71.78</v>
      </c>
      <c r="F8451">
        <v>18</v>
      </c>
      <c r="G8451">
        <v>5</v>
      </c>
      <c r="H8451" t="s">
        <v>19447</v>
      </c>
      <c r="I8451" t="s">
        <v>19447</v>
      </c>
      <c r="J8451">
        <v>16</v>
      </c>
      <c r="L8451" t="s">
        <v>2709</v>
      </c>
      <c r="M8451">
        <v>84529089</v>
      </c>
      <c r="O8451" t="s">
        <v>20056</v>
      </c>
      <c r="P8451" t="s">
        <v>19899</v>
      </c>
      <c r="Q8451" t="s">
        <v>19909</v>
      </c>
      <c r="R8451" t="s">
        <v>19447</v>
      </c>
      <c r="S8451" t="s">
        <v>19447</v>
      </c>
      <c r="T8451" t="s">
        <v>19913</v>
      </c>
    </row>
    <row r="8452" spans="2:20" x14ac:dyDescent="0.25">
      <c r="B8452" t="s">
        <v>2709</v>
      </c>
      <c r="C8452">
        <v>84529091</v>
      </c>
      <c r="E8452">
        <v>71.78</v>
      </c>
      <c r="F8452">
        <v>18</v>
      </c>
      <c r="G8452">
        <v>5</v>
      </c>
      <c r="H8452" t="s">
        <v>19447</v>
      </c>
      <c r="I8452" t="s">
        <v>19447</v>
      </c>
      <c r="J8452">
        <v>14</v>
      </c>
      <c r="L8452" t="s">
        <v>2709</v>
      </c>
      <c r="M8452">
        <v>84529091</v>
      </c>
      <c r="O8452" t="s">
        <v>20056</v>
      </c>
      <c r="P8452" t="s">
        <v>19899</v>
      </c>
      <c r="Q8452" t="s">
        <v>19909</v>
      </c>
      <c r="R8452" t="s">
        <v>19447</v>
      </c>
      <c r="S8452" t="s">
        <v>19447</v>
      </c>
      <c r="T8452" t="s">
        <v>19911</v>
      </c>
    </row>
    <row r="8453" spans="2:20" x14ac:dyDescent="0.25">
      <c r="B8453" t="s">
        <v>2709</v>
      </c>
      <c r="C8453">
        <v>84529092</v>
      </c>
      <c r="E8453">
        <v>71.78</v>
      </c>
      <c r="F8453">
        <v>18</v>
      </c>
      <c r="G8453">
        <v>5</v>
      </c>
      <c r="H8453" t="s">
        <v>19447</v>
      </c>
      <c r="I8453" t="s">
        <v>19447</v>
      </c>
      <c r="J8453">
        <v>0</v>
      </c>
      <c r="L8453" t="s">
        <v>2709</v>
      </c>
      <c r="M8453">
        <v>84529092</v>
      </c>
      <c r="O8453" t="s">
        <v>20056</v>
      </c>
      <c r="P8453" t="s">
        <v>19899</v>
      </c>
      <c r="Q8453" t="s">
        <v>19909</v>
      </c>
      <c r="R8453" t="s">
        <v>19447</v>
      </c>
      <c r="S8453" t="s">
        <v>19447</v>
      </c>
      <c r="T8453" t="s">
        <v>19900</v>
      </c>
    </row>
    <row r="8454" spans="2:20" x14ac:dyDescent="0.25">
      <c r="B8454" t="s">
        <v>2709</v>
      </c>
      <c r="C8454">
        <v>84529093</v>
      </c>
      <c r="E8454">
        <v>71.78</v>
      </c>
      <c r="F8454">
        <v>18</v>
      </c>
      <c r="G8454">
        <v>5</v>
      </c>
      <c r="H8454" t="s">
        <v>19447</v>
      </c>
      <c r="I8454" t="s">
        <v>19447</v>
      </c>
      <c r="J8454">
        <v>0</v>
      </c>
      <c r="L8454" t="s">
        <v>2709</v>
      </c>
      <c r="M8454">
        <v>84529093</v>
      </c>
      <c r="O8454" t="s">
        <v>20056</v>
      </c>
      <c r="P8454" t="s">
        <v>19899</v>
      </c>
      <c r="Q8454" t="s">
        <v>19909</v>
      </c>
      <c r="R8454" t="s">
        <v>19447</v>
      </c>
      <c r="S8454" t="s">
        <v>19447</v>
      </c>
      <c r="T8454" t="s">
        <v>19900</v>
      </c>
    </row>
    <row r="8455" spans="2:20" x14ac:dyDescent="0.25">
      <c r="B8455" t="s">
        <v>2709</v>
      </c>
      <c r="C8455">
        <v>84529094</v>
      </c>
      <c r="E8455">
        <v>71.78</v>
      </c>
      <c r="F8455">
        <v>18</v>
      </c>
      <c r="G8455">
        <v>5</v>
      </c>
      <c r="H8455" t="s">
        <v>19447</v>
      </c>
      <c r="I8455" t="s">
        <v>19447</v>
      </c>
      <c r="J8455">
        <v>14</v>
      </c>
      <c r="L8455" t="s">
        <v>2709</v>
      </c>
      <c r="M8455">
        <v>84529094</v>
      </c>
      <c r="O8455" t="s">
        <v>20056</v>
      </c>
      <c r="P8455" t="s">
        <v>19899</v>
      </c>
      <c r="Q8455" t="s">
        <v>19909</v>
      </c>
      <c r="R8455" t="s">
        <v>19447</v>
      </c>
      <c r="S8455" t="s">
        <v>19447</v>
      </c>
      <c r="T8455" t="s">
        <v>19911</v>
      </c>
    </row>
    <row r="8456" spans="2:20" x14ac:dyDescent="0.25">
      <c r="B8456" t="s">
        <v>2709</v>
      </c>
      <c r="C8456">
        <v>84529099</v>
      </c>
      <c r="E8456">
        <v>71.78</v>
      </c>
      <c r="F8456">
        <v>18</v>
      </c>
      <c r="G8456">
        <v>5</v>
      </c>
      <c r="H8456" t="s">
        <v>19447</v>
      </c>
      <c r="I8456" t="s">
        <v>19447</v>
      </c>
      <c r="J8456">
        <v>0</v>
      </c>
      <c r="L8456" t="s">
        <v>2709</v>
      </c>
      <c r="M8456">
        <v>84529099</v>
      </c>
      <c r="O8456" t="s">
        <v>20056</v>
      </c>
      <c r="P8456" t="s">
        <v>19899</v>
      </c>
      <c r="Q8456" t="s">
        <v>19909</v>
      </c>
      <c r="R8456" t="s">
        <v>19447</v>
      </c>
      <c r="S8456" t="s">
        <v>19447</v>
      </c>
      <c r="T8456" t="s">
        <v>19900</v>
      </c>
    </row>
    <row r="8457" spans="2:20" x14ac:dyDescent="0.25">
      <c r="B8457" t="s">
        <v>2709</v>
      </c>
      <c r="C8457">
        <v>84531010</v>
      </c>
      <c r="E8457">
        <v>71.78</v>
      </c>
      <c r="F8457">
        <v>8.8000000000000007</v>
      </c>
      <c r="G8457">
        <v>0</v>
      </c>
      <c r="H8457" t="s">
        <v>19447</v>
      </c>
      <c r="I8457" t="s">
        <v>19447</v>
      </c>
      <c r="J8457">
        <v>14</v>
      </c>
      <c r="L8457" t="s">
        <v>2709</v>
      </c>
      <c r="M8457">
        <v>84531010</v>
      </c>
      <c r="O8457" t="s">
        <v>20056</v>
      </c>
      <c r="P8457" t="s">
        <v>20127</v>
      </c>
      <c r="Q8457" t="s">
        <v>19900</v>
      </c>
      <c r="R8457" t="s">
        <v>19447</v>
      </c>
      <c r="S8457" t="s">
        <v>19447</v>
      </c>
      <c r="T8457" t="s">
        <v>19911</v>
      </c>
    </row>
    <row r="8458" spans="2:20" x14ac:dyDescent="0.25">
      <c r="B8458" t="s">
        <v>2709</v>
      </c>
      <c r="C8458">
        <v>84531090</v>
      </c>
      <c r="E8458">
        <v>71.78</v>
      </c>
      <c r="F8458">
        <v>8.8000000000000007</v>
      </c>
      <c r="G8458">
        <v>0</v>
      </c>
      <c r="H8458" t="s">
        <v>19447</v>
      </c>
      <c r="I8458" t="s">
        <v>19447</v>
      </c>
      <c r="J8458">
        <v>14</v>
      </c>
      <c r="L8458" t="s">
        <v>2709</v>
      </c>
      <c r="M8458">
        <v>84531090</v>
      </c>
      <c r="O8458" t="s">
        <v>20056</v>
      </c>
      <c r="P8458" t="s">
        <v>20127</v>
      </c>
      <c r="Q8458" t="s">
        <v>19900</v>
      </c>
      <c r="R8458" t="s">
        <v>19447</v>
      </c>
      <c r="S8458" t="s">
        <v>19447</v>
      </c>
      <c r="T8458" t="s">
        <v>19911</v>
      </c>
    </row>
    <row r="8459" spans="2:20" x14ac:dyDescent="0.25">
      <c r="B8459" t="s">
        <v>2709</v>
      </c>
      <c r="C8459">
        <v>84532000</v>
      </c>
      <c r="E8459">
        <v>71.78</v>
      </c>
      <c r="F8459">
        <v>8.8000000000000007</v>
      </c>
      <c r="G8459">
        <v>0</v>
      </c>
      <c r="H8459" t="s">
        <v>19447</v>
      </c>
      <c r="I8459" t="s">
        <v>19447</v>
      </c>
      <c r="J8459">
        <v>14</v>
      </c>
      <c r="L8459" t="s">
        <v>2709</v>
      </c>
      <c r="M8459">
        <v>84532000</v>
      </c>
      <c r="O8459" t="s">
        <v>20056</v>
      </c>
      <c r="P8459" t="s">
        <v>20127</v>
      </c>
      <c r="Q8459" t="s">
        <v>19900</v>
      </c>
      <c r="R8459" t="s">
        <v>19447</v>
      </c>
      <c r="S8459" t="s">
        <v>19447</v>
      </c>
      <c r="T8459" t="s">
        <v>19911</v>
      </c>
    </row>
    <row r="8460" spans="2:20" x14ac:dyDescent="0.25">
      <c r="B8460" t="s">
        <v>2709</v>
      </c>
      <c r="C8460">
        <v>84538000</v>
      </c>
      <c r="E8460">
        <v>71.78</v>
      </c>
      <c r="F8460">
        <v>8.8000000000000007</v>
      </c>
      <c r="G8460">
        <v>0</v>
      </c>
      <c r="H8460" t="s">
        <v>19447</v>
      </c>
      <c r="I8460" t="s">
        <v>19447</v>
      </c>
      <c r="J8460">
        <v>14</v>
      </c>
      <c r="L8460" t="s">
        <v>2709</v>
      </c>
      <c r="M8460">
        <v>84538000</v>
      </c>
      <c r="O8460" t="s">
        <v>20056</v>
      </c>
      <c r="P8460" t="s">
        <v>20127</v>
      </c>
      <c r="Q8460" t="s">
        <v>19900</v>
      </c>
      <c r="R8460" t="s">
        <v>19447</v>
      </c>
      <c r="S8460" t="s">
        <v>19447</v>
      </c>
      <c r="T8460" t="s">
        <v>19911</v>
      </c>
    </row>
    <row r="8461" spans="2:20" x14ac:dyDescent="0.25">
      <c r="B8461" t="s">
        <v>2709</v>
      </c>
      <c r="C8461">
        <v>84539000</v>
      </c>
      <c r="E8461">
        <v>71.78</v>
      </c>
      <c r="F8461">
        <v>18</v>
      </c>
      <c r="G8461">
        <v>0</v>
      </c>
      <c r="H8461" t="s">
        <v>19447</v>
      </c>
      <c r="I8461" t="s">
        <v>19447</v>
      </c>
      <c r="J8461">
        <v>14</v>
      </c>
      <c r="L8461" t="s">
        <v>2709</v>
      </c>
      <c r="M8461">
        <v>84539000</v>
      </c>
      <c r="O8461" t="s">
        <v>20056</v>
      </c>
      <c r="P8461" t="s">
        <v>19899</v>
      </c>
      <c r="Q8461" t="s">
        <v>19900</v>
      </c>
      <c r="R8461" t="s">
        <v>19447</v>
      </c>
      <c r="S8461" t="s">
        <v>19447</v>
      </c>
      <c r="T8461" t="s">
        <v>19911</v>
      </c>
    </row>
    <row r="8462" spans="2:20" x14ac:dyDescent="0.25">
      <c r="B8462" t="s">
        <v>2709</v>
      </c>
      <c r="C8462">
        <v>84541000</v>
      </c>
      <c r="E8462">
        <v>71.78</v>
      </c>
      <c r="F8462">
        <v>8.8000000000000007</v>
      </c>
      <c r="G8462">
        <v>0</v>
      </c>
      <c r="H8462" t="s">
        <v>19447</v>
      </c>
      <c r="I8462" t="s">
        <v>19447</v>
      </c>
      <c r="J8462">
        <v>14</v>
      </c>
      <c r="L8462" t="s">
        <v>2709</v>
      </c>
      <c r="M8462">
        <v>84541000</v>
      </c>
      <c r="O8462" t="s">
        <v>20056</v>
      </c>
      <c r="P8462" t="s">
        <v>20127</v>
      </c>
      <c r="Q8462" t="s">
        <v>19900</v>
      </c>
      <c r="R8462" t="s">
        <v>19447</v>
      </c>
      <c r="S8462" t="s">
        <v>19447</v>
      </c>
      <c r="T8462" t="s">
        <v>19911</v>
      </c>
    </row>
    <row r="8463" spans="2:20" x14ac:dyDescent="0.25">
      <c r="B8463" t="s">
        <v>2709</v>
      </c>
      <c r="C8463">
        <v>84542010</v>
      </c>
      <c r="E8463">
        <v>71.78</v>
      </c>
      <c r="F8463">
        <v>8.8000000000000007</v>
      </c>
      <c r="G8463">
        <v>0</v>
      </c>
      <c r="H8463" t="s">
        <v>19447</v>
      </c>
      <c r="I8463" t="s">
        <v>19447</v>
      </c>
      <c r="J8463">
        <v>14</v>
      </c>
      <c r="L8463" t="s">
        <v>2709</v>
      </c>
      <c r="M8463">
        <v>84542010</v>
      </c>
      <c r="O8463" t="s">
        <v>20056</v>
      </c>
      <c r="P8463" t="s">
        <v>20127</v>
      </c>
      <c r="Q8463" t="s">
        <v>19900</v>
      </c>
      <c r="R8463" t="s">
        <v>19447</v>
      </c>
      <c r="S8463" t="s">
        <v>19447</v>
      </c>
      <c r="T8463" t="s">
        <v>19911</v>
      </c>
    </row>
    <row r="8464" spans="2:20" x14ac:dyDescent="0.25">
      <c r="B8464" t="s">
        <v>2709</v>
      </c>
      <c r="C8464">
        <v>84542090</v>
      </c>
      <c r="E8464">
        <v>71.78</v>
      </c>
      <c r="F8464">
        <v>8.8000000000000007</v>
      </c>
      <c r="G8464">
        <v>0</v>
      </c>
      <c r="H8464" t="s">
        <v>19447</v>
      </c>
      <c r="I8464" t="s">
        <v>19447</v>
      </c>
      <c r="J8464">
        <v>14</v>
      </c>
      <c r="L8464" t="s">
        <v>2709</v>
      </c>
      <c r="M8464">
        <v>84542090</v>
      </c>
      <c r="O8464" t="s">
        <v>20056</v>
      </c>
      <c r="P8464" t="s">
        <v>20127</v>
      </c>
      <c r="Q8464" t="s">
        <v>19900</v>
      </c>
      <c r="R8464" t="s">
        <v>19447</v>
      </c>
      <c r="S8464" t="s">
        <v>19447</v>
      </c>
      <c r="T8464" t="s">
        <v>19911</v>
      </c>
    </row>
    <row r="8465" spans="2:20" x14ac:dyDescent="0.25">
      <c r="B8465" t="s">
        <v>2709</v>
      </c>
      <c r="C8465">
        <v>84543010</v>
      </c>
      <c r="E8465">
        <v>71.78</v>
      </c>
      <c r="F8465">
        <v>8.8000000000000007</v>
      </c>
      <c r="G8465">
        <v>0</v>
      </c>
      <c r="H8465" t="s">
        <v>19447</v>
      </c>
      <c r="I8465" t="s">
        <v>19447</v>
      </c>
      <c r="J8465">
        <v>14</v>
      </c>
      <c r="L8465" t="s">
        <v>2709</v>
      </c>
      <c r="M8465">
        <v>84543010</v>
      </c>
      <c r="O8465" t="s">
        <v>20056</v>
      </c>
      <c r="P8465" t="s">
        <v>20127</v>
      </c>
      <c r="Q8465" t="s">
        <v>19900</v>
      </c>
      <c r="R8465" t="s">
        <v>19447</v>
      </c>
      <c r="S8465" t="s">
        <v>19447</v>
      </c>
      <c r="T8465" t="s">
        <v>19911</v>
      </c>
    </row>
    <row r="8466" spans="2:20" x14ac:dyDescent="0.25">
      <c r="B8466" t="s">
        <v>2709</v>
      </c>
      <c r="C8466">
        <v>84543020</v>
      </c>
      <c r="E8466">
        <v>71.78</v>
      </c>
      <c r="F8466">
        <v>8.8000000000000007</v>
      </c>
      <c r="G8466">
        <v>0</v>
      </c>
      <c r="H8466" t="s">
        <v>19447</v>
      </c>
      <c r="I8466" t="s">
        <v>19447</v>
      </c>
      <c r="J8466">
        <v>0</v>
      </c>
      <c r="L8466" t="s">
        <v>2709</v>
      </c>
      <c r="M8466">
        <v>84543020</v>
      </c>
      <c r="O8466" t="s">
        <v>20056</v>
      </c>
      <c r="P8466" t="s">
        <v>20127</v>
      </c>
      <c r="Q8466" t="s">
        <v>19900</v>
      </c>
      <c r="R8466" t="s">
        <v>19447</v>
      </c>
      <c r="S8466" t="s">
        <v>19447</v>
      </c>
      <c r="T8466" t="s">
        <v>19900</v>
      </c>
    </row>
    <row r="8467" spans="2:20" x14ac:dyDescent="0.25">
      <c r="B8467" t="s">
        <v>2709</v>
      </c>
      <c r="C8467">
        <v>84543090</v>
      </c>
      <c r="E8467">
        <v>71.78</v>
      </c>
      <c r="F8467">
        <v>8.8000000000000007</v>
      </c>
      <c r="G8467">
        <v>0</v>
      </c>
      <c r="H8467" t="s">
        <v>19447</v>
      </c>
      <c r="I8467" t="s">
        <v>19447</v>
      </c>
      <c r="J8467">
        <v>14</v>
      </c>
      <c r="L8467" t="s">
        <v>2709</v>
      </c>
      <c r="M8467">
        <v>84543090</v>
      </c>
      <c r="O8467" t="s">
        <v>20056</v>
      </c>
      <c r="P8467" t="s">
        <v>20127</v>
      </c>
      <c r="Q8467" t="s">
        <v>19900</v>
      </c>
      <c r="R8467" t="s">
        <v>19447</v>
      </c>
      <c r="S8467" t="s">
        <v>19447</v>
      </c>
      <c r="T8467" t="s">
        <v>19911</v>
      </c>
    </row>
    <row r="8468" spans="2:20" x14ac:dyDescent="0.25">
      <c r="B8468" t="s">
        <v>2709</v>
      </c>
      <c r="C8468">
        <v>84549010</v>
      </c>
      <c r="E8468">
        <v>71.78</v>
      </c>
      <c r="F8468">
        <v>8.8000000000000007</v>
      </c>
      <c r="G8468">
        <v>5</v>
      </c>
      <c r="H8468" t="s">
        <v>19447</v>
      </c>
      <c r="I8468" t="s">
        <v>19447</v>
      </c>
      <c r="J8468">
        <v>0</v>
      </c>
      <c r="L8468" t="s">
        <v>2709</v>
      </c>
      <c r="M8468">
        <v>84549010</v>
      </c>
      <c r="O8468" t="s">
        <v>20056</v>
      </c>
      <c r="P8468" t="s">
        <v>20127</v>
      </c>
      <c r="Q8468" t="s">
        <v>19909</v>
      </c>
      <c r="R8468" t="s">
        <v>19447</v>
      </c>
      <c r="S8468" t="s">
        <v>19447</v>
      </c>
      <c r="T8468" t="s">
        <v>19900</v>
      </c>
    </row>
    <row r="8469" spans="2:20" x14ac:dyDescent="0.25">
      <c r="B8469" t="s">
        <v>2709</v>
      </c>
      <c r="C8469">
        <v>84549090</v>
      </c>
      <c r="E8469">
        <v>71.78</v>
      </c>
      <c r="F8469">
        <v>8.8000000000000007</v>
      </c>
      <c r="G8469">
        <v>0</v>
      </c>
      <c r="H8469" t="s">
        <v>19447</v>
      </c>
      <c r="I8469" t="s">
        <v>19447</v>
      </c>
      <c r="J8469">
        <v>14</v>
      </c>
      <c r="L8469" t="s">
        <v>2709</v>
      </c>
      <c r="M8469">
        <v>84549090</v>
      </c>
      <c r="O8469" t="s">
        <v>20056</v>
      </c>
      <c r="P8469" t="s">
        <v>20127</v>
      </c>
      <c r="Q8469" t="s">
        <v>19900</v>
      </c>
      <c r="R8469" t="s">
        <v>19447</v>
      </c>
      <c r="S8469" t="s">
        <v>19447</v>
      </c>
      <c r="T8469" t="s">
        <v>19911</v>
      </c>
    </row>
    <row r="8470" spans="2:20" x14ac:dyDescent="0.25">
      <c r="B8470" t="s">
        <v>2709</v>
      </c>
      <c r="C8470">
        <v>84551000</v>
      </c>
      <c r="E8470">
        <v>71.78</v>
      </c>
      <c r="F8470">
        <v>8.8000000000000007</v>
      </c>
      <c r="G8470">
        <v>0</v>
      </c>
      <c r="H8470" t="s">
        <v>19447</v>
      </c>
      <c r="I8470" t="s">
        <v>19447</v>
      </c>
      <c r="J8470">
        <v>14</v>
      </c>
      <c r="L8470" t="s">
        <v>2709</v>
      </c>
      <c r="M8470">
        <v>84551000</v>
      </c>
      <c r="O8470" t="s">
        <v>20056</v>
      </c>
      <c r="P8470" t="s">
        <v>20127</v>
      </c>
      <c r="Q8470" t="s">
        <v>19900</v>
      </c>
      <c r="R8470" t="s">
        <v>19447</v>
      </c>
      <c r="S8470" t="s">
        <v>19447</v>
      </c>
      <c r="T8470" t="s">
        <v>19911</v>
      </c>
    </row>
    <row r="8471" spans="2:20" x14ac:dyDescent="0.25">
      <c r="B8471" t="s">
        <v>2709</v>
      </c>
      <c r="C8471">
        <v>84552110</v>
      </c>
      <c r="E8471">
        <v>71.78</v>
      </c>
      <c r="F8471">
        <v>8.8000000000000007</v>
      </c>
      <c r="G8471">
        <v>0</v>
      </c>
      <c r="H8471" t="s">
        <v>19447</v>
      </c>
      <c r="I8471" t="s">
        <v>19447</v>
      </c>
      <c r="J8471">
        <v>14</v>
      </c>
      <c r="L8471" t="s">
        <v>2709</v>
      </c>
      <c r="M8471">
        <v>84552110</v>
      </c>
      <c r="O8471" t="s">
        <v>20056</v>
      </c>
      <c r="P8471" t="s">
        <v>20127</v>
      </c>
      <c r="Q8471" t="s">
        <v>19900</v>
      </c>
      <c r="R8471" t="s">
        <v>19447</v>
      </c>
      <c r="S8471" t="s">
        <v>19447</v>
      </c>
      <c r="T8471" t="s">
        <v>19911</v>
      </c>
    </row>
    <row r="8472" spans="2:20" x14ac:dyDescent="0.25">
      <c r="B8472" t="s">
        <v>2709</v>
      </c>
      <c r="C8472">
        <v>84552190</v>
      </c>
      <c r="E8472">
        <v>71.78</v>
      </c>
      <c r="F8472">
        <v>8.8000000000000007</v>
      </c>
      <c r="G8472">
        <v>0</v>
      </c>
      <c r="H8472" t="s">
        <v>19447</v>
      </c>
      <c r="I8472" t="s">
        <v>19447</v>
      </c>
      <c r="J8472">
        <v>14</v>
      </c>
      <c r="L8472" t="s">
        <v>2709</v>
      </c>
      <c r="M8472">
        <v>84552190</v>
      </c>
      <c r="O8472" t="s">
        <v>20056</v>
      </c>
      <c r="P8472" t="s">
        <v>20127</v>
      </c>
      <c r="Q8472" t="s">
        <v>19900</v>
      </c>
      <c r="R8472" t="s">
        <v>19447</v>
      </c>
      <c r="S8472" t="s">
        <v>19447</v>
      </c>
      <c r="T8472" t="s">
        <v>19911</v>
      </c>
    </row>
    <row r="8473" spans="2:20" x14ac:dyDescent="0.25">
      <c r="B8473" t="s">
        <v>2709</v>
      </c>
      <c r="C8473">
        <v>84552210</v>
      </c>
      <c r="E8473">
        <v>71.78</v>
      </c>
      <c r="F8473">
        <v>8.8000000000000007</v>
      </c>
      <c r="G8473">
        <v>0</v>
      </c>
      <c r="H8473" t="s">
        <v>19447</v>
      </c>
      <c r="I8473" t="s">
        <v>19447</v>
      </c>
      <c r="J8473">
        <v>14</v>
      </c>
      <c r="L8473" t="s">
        <v>2709</v>
      </c>
      <c r="M8473">
        <v>84552210</v>
      </c>
      <c r="O8473" t="s">
        <v>20056</v>
      </c>
      <c r="P8473" t="s">
        <v>20127</v>
      </c>
      <c r="Q8473" t="s">
        <v>19900</v>
      </c>
      <c r="R8473" t="s">
        <v>19447</v>
      </c>
      <c r="S8473" t="s">
        <v>19447</v>
      </c>
      <c r="T8473" t="s">
        <v>19911</v>
      </c>
    </row>
    <row r="8474" spans="2:20" x14ac:dyDescent="0.25">
      <c r="B8474" t="s">
        <v>2709</v>
      </c>
      <c r="C8474">
        <v>84552290</v>
      </c>
      <c r="E8474">
        <v>71.78</v>
      </c>
      <c r="F8474">
        <v>8.8000000000000007</v>
      </c>
      <c r="G8474">
        <v>0</v>
      </c>
      <c r="H8474" t="s">
        <v>19447</v>
      </c>
      <c r="I8474" t="s">
        <v>19447</v>
      </c>
      <c r="J8474">
        <v>14</v>
      </c>
      <c r="L8474" t="s">
        <v>2709</v>
      </c>
      <c r="M8474">
        <v>84552290</v>
      </c>
      <c r="O8474" t="s">
        <v>20056</v>
      </c>
      <c r="P8474" t="s">
        <v>20127</v>
      </c>
      <c r="Q8474" t="s">
        <v>19900</v>
      </c>
      <c r="R8474" t="s">
        <v>19447</v>
      </c>
      <c r="S8474" t="s">
        <v>19447</v>
      </c>
      <c r="T8474" t="s">
        <v>19911</v>
      </c>
    </row>
    <row r="8475" spans="2:20" x14ac:dyDescent="0.25">
      <c r="B8475" t="s">
        <v>2709</v>
      </c>
      <c r="C8475">
        <v>84553010</v>
      </c>
      <c r="E8475">
        <v>71.78</v>
      </c>
      <c r="F8475">
        <v>8.8000000000000007</v>
      </c>
      <c r="G8475">
        <v>0</v>
      </c>
      <c r="H8475" t="s">
        <v>19447</v>
      </c>
      <c r="I8475" t="s">
        <v>19447</v>
      </c>
      <c r="J8475">
        <v>14</v>
      </c>
      <c r="L8475" t="s">
        <v>2709</v>
      </c>
      <c r="M8475">
        <v>84553010</v>
      </c>
      <c r="O8475" t="s">
        <v>20056</v>
      </c>
      <c r="P8475" t="s">
        <v>20127</v>
      </c>
      <c r="Q8475" t="s">
        <v>19900</v>
      </c>
      <c r="R8475" t="s">
        <v>19447</v>
      </c>
      <c r="S8475" t="s">
        <v>19447</v>
      </c>
      <c r="T8475" t="s">
        <v>19911</v>
      </c>
    </row>
    <row r="8476" spans="2:20" x14ac:dyDescent="0.25">
      <c r="B8476" t="s">
        <v>2709</v>
      </c>
      <c r="C8476">
        <v>84553020</v>
      </c>
      <c r="E8476">
        <v>71.78</v>
      </c>
      <c r="F8476">
        <v>8.8000000000000007</v>
      </c>
      <c r="G8476">
        <v>0</v>
      </c>
      <c r="H8476" t="s">
        <v>19447</v>
      </c>
      <c r="I8476" t="s">
        <v>19447</v>
      </c>
      <c r="J8476">
        <v>0</v>
      </c>
      <c r="L8476" t="s">
        <v>2709</v>
      </c>
      <c r="M8476">
        <v>84553020</v>
      </c>
      <c r="O8476" t="s">
        <v>20056</v>
      </c>
      <c r="P8476" t="s">
        <v>20127</v>
      </c>
      <c r="Q8476" t="s">
        <v>19900</v>
      </c>
      <c r="R8476" t="s">
        <v>19447</v>
      </c>
      <c r="S8476" t="s">
        <v>19447</v>
      </c>
      <c r="T8476" t="s">
        <v>19900</v>
      </c>
    </row>
    <row r="8477" spans="2:20" x14ac:dyDescent="0.25">
      <c r="B8477" t="s">
        <v>2709</v>
      </c>
      <c r="C8477">
        <v>84553090</v>
      </c>
      <c r="E8477">
        <v>71.78</v>
      </c>
      <c r="F8477">
        <v>8.8000000000000007</v>
      </c>
      <c r="G8477">
        <v>0</v>
      </c>
      <c r="H8477" t="s">
        <v>19447</v>
      </c>
      <c r="I8477" t="s">
        <v>19447</v>
      </c>
      <c r="J8477">
        <v>14</v>
      </c>
      <c r="L8477" t="s">
        <v>2709</v>
      </c>
      <c r="M8477">
        <v>84553090</v>
      </c>
      <c r="O8477" t="s">
        <v>20056</v>
      </c>
      <c r="P8477" t="s">
        <v>20127</v>
      </c>
      <c r="Q8477" t="s">
        <v>19900</v>
      </c>
      <c r="R8477" t="s">
        <v>19447</v>
      </c>
      <c r="S8477" t="s">
        <v>19447</v>
      </c>
      <c r="T8477" t="s">
        <v>19911</v>
      </c>
    </row>
    <row r="8478" spans="2:20" x14ac:dyDescent="0.25">
      <c r="B8478" t="s">
        <v>2709</v>
      </c>
      <c r="C8478">
        <v>84559000</v>
      </c>
      <c r="E8478">
        <v>71.78</v>
      </c>
      <c r="F8478">
        <v>8.8000000000000007</v>
      </c>
      <c r="G8478">
        <v>5</v>
      </c>
      <c r="H8478" t="s">
        <v>19447</v>
      </c>
      <c r="I8478" t="s">
        <v>19447</v>
      </c>
      <c r="J8478">
        <v>14</v>
      </c>
      <c r="L8478" t="s">
        <v>2709</v>
      </c>
      <c r="M8478">
        <v>84559000</v>
      </c>
      <c r="O8478" t="s">
        <v>20056</v>
      </c>
      <c r="P8478" t="s">
        <v>20127</v>
      </c>
      <c r="Q8478" t="s">
        <v>19909</v>
      </c>
      <c r="R8478" t="s">
        <v>19447</v>
      </c>
      <c r="S8478" t="s">
        <v>19447</v>
      </c>
      <c r="T8478" t="s">
        <v>19911</v>
      </c>
    </row>
    <row r="8479" spans="2:20" x14ac:dyDescent="0.25">
      <c r="B8479" t="s">
        <v>2709</v>
      </c>
      <c r="C8479">
        <v>84561011</v>
      </c>
      <c r="E8479">
        <v>71.78</v>
      </c>
      <c r="F8479">
        <v>12</v>
      </c>
      <c r="G8479">
        <v>0</v>
      </c>
      <c r="H8479" t="s">
        <v>19447</v>
      </c>
      <c r="I8479" t="s">
        <v>19447</v>
      </c>
      <c r="J8479">
        <v>0</v>
      </c>
      <c r="L8479" t="s">
        <v>2709</v>
      </c>
      <c r="M8479">
        <v>84561011</v>
      </c>
      <c r="O8479" t="s">
        <v>20056</v>
      </c>
      <c r="P8479" t="s">
        <v>19903</v>
      </c>
      <c r="Q8479" t="s">
        <v>19900</v>
      </c>
      <c r="R8479" t="s">
        <v>19447</v>
      </c>
      <c r="S8479" t="s">
        <v>19447</v>
      </c>
      <c r="T8479" t="s">
        <v>19900</v>
      </c>
    </row>
    <row r="8480" spans="2:20" x14ac:dyDescent="0.25">
      <c r="B8480" t="s">
        <v>2709</v>
      </c>
      <c r="C8480">
        <v>84561019</v>
      </c>
      <c r="E8480">
        <v>71.78</v>
      </c>
      <c r="F8480">
        <v>12</v>
      </c>
      <c r="G8480">
        <v>0</v>
      </c>
      <c r="H8480" t="s">
        <v>19447</v>
      </c>
      <c r="I8480" t="s">
        <v>19447</v>
      </c>
      <c r="J8480">
        <v>14</v>
      </c>
      <c r="L8480" t="s">
        <v>2709</v>
      </c>
      <c r="M8480">
        <v>84561019</v>
      </c>
      <c r="O8480" t="s">
        <v>20056</v>
      </c>
      <c r="P8480" t="s">
        <v>19903</v>
      </c>
      <c r="Q8480" t="s">
        <v>19900</v>
      </c>
      <c r="R8480" t="s">
        <v>19447</v>
      </c>
      <c r="S8480" t="s">
        <v>19447</v>
      </c>
      <c r="T8480" t="s">
        <v>19911</v>
      </c>
    </row>
    <row r="8481" spans="2:20" x14ac:dyDescent="0.25">
      <c r="B8481" t="s">
        <v>2709</v>
      </c>
      <c r="C8481">
        <v>84561090</v>
      </c>
      <c r="E8481">
        <v>71.78</v>
      </c>
      <c r="F8481">
        <v>12</v>
      </c>
      <c r="G8481">
        <v>0</v>
      </c>
      <c r="H8481" t="s">
        <v>19447</v>
      </c>
      <c r="I8481" t="s">
        <v>19447</v>
      </c>
      <c r="J8481">
        <v>14</v>
      </c>
      <c r="L8481" t="s">
        <v>2709</v>
      </c>
      <c r="M8481">
        <v>84561090</v>
      </c>
      <c r="O8481" t="s">
        <v>20056</v>
      </c>
      <c r="P8481" t="s">
        <v>19903</v>
      </c>
      <c r="Q8481" t="s">
        <v>19900</v>
      </c>
      <c r="R8481" t="s">
        <v>19447</v>
      </c>
      <c r="S8481" t="s">
        <v>19447</v>
      </c>
      <c r="T8481" t="s">
        <v>19911</v>
      </c>
    </row>
    <row r="8482" spans="2:20" x14ac:dyDescent="0.25">
      <c r="B8482" t="s">
        <v>2709</v>
      </c>
      <c r="C8482">
        <v>84562010</v>
      </c>
      <c r="E8482">
        <v>71.78</v>
      </c>
      <c r="F8482">
        <v>12</v>
      </c>
      <c r="G8482">
        <v>0</v>
      </c>
      <c r="H8482" t="s">
        <v>19447</v>
      </c>
      <c r="I8482" t="s">
        <v>19447</v>
      </c>
      <c r="J8482">
        <v>0</v>
      </c>
      <c r="L8482" t="s">
        <v>2709</v>
      </c>
      <c r="M8482">
        <v>84562010</v>
      </c>
      <c r="O8482" t="s">
        <v>20056</v>
      </c>
      <c r="P8482" t="s">
        <v>19903</v>
      </c>
      <c r="Q8482" t="s">
        <v>19900</v>
      </c>
      <c r="R8482" t="s">
        <v>19447</v>
      </c>
      <c r="S8482" t="s">
        <v>19447</v>
      </c>
      <c r="T8482" t="s">
        <v>19900</v>
      </c>
    </row>
    <row r="8483" spans="2:20" x14ac:dyDescent="0.25">
      <c r="B8483" t="s">
        <v>2709</v>
      </c>
      <c r="C8483">
        <v>84562090</v>
      </c>
      <c r="E8483">
        <v>71.78</v>
      </c>
      <c r="F8483">
        <v>12</v>
      </c>
      <c r="G8483">
        <v>0</v>
      </c>
      <c r="H8483" t="s">
        <v>19447</v>
      </c>
      <c r="I8483" t="s">
        <v>19447</v>
      </c>
      <c r="J8483">
        <v>0</v>
      </c>
      <c r="L8483" t="s">
        <v>2709</v>
      </c>
      <c r="M8483">
        <v>84562090</v>
      </c>
      <c r="O8483" t="s">
        <v>20056</v>
      </c>
      <c r="P8483" t="s">
        <v>19903</v>
      </c>
      <c r="Q8483" t="s">
        <v>19900</v>
      </c>
      <c r="R8483" t="s">
        <v>19447</v>
      </c>
      <c r="S8483" t="s">
        <v>19447</v>
      </c>
      <c r="T8483" t="s">
        <v>19900</v>
      </c>
    </row>
    <row r="8484" spans="2:20" x14ac:dyDescent="0.25">
      <c r="B8484" t="s">
        <v>2709</v>
      </c>
      <c r="C8484">
        <v>84563011</v>
      </c>
      <c r="E8484">
        <v>71.78</v>
      </c>
      <c r="F8484">
        <v>8.8000000000000007</v>
      </c>
      <c r="G8484">
        <v>0</v>
      </c>
      <c r="H8484" t="s">
        <v>19447</v>
      </c>
      <c r="I8484" t="s">
        <v>19447</v>
      </c>
      <c r="J8484">
        <v>0</v>
      </c>
      <c r="L8484" t="s">
        <v>2709</v>
      </c>
      <c r="M8484">
        <v>84563011</v>
      </c>
      <c r="O8484" t="s">
        <v>20056</v>
      </c>
      <c r="P8484" t="s">
        <v>20127</v>
      </c>
      <c r="Q8484" t="s">
        <v>19900</v>
      </c>
      <c r="R8484" t="s">
        <v>19447</v>
      </c>
      <c r="S8484" t="s">
        <v>19447</v>
      </c>
      <c r="T8484" t="s">
        <v>19900</v>
      </c>
    </row>
    <row r="8485" spans="2:20" x14ac:dyDescent="0.25">
      <c r="B8485" t="s">
        <v>2709</v>
      </c>
      <c r="C8485">
        <v>84563019</v>
      </c>
      <c r="E8485">
        <v>71.78</v>
      </c>
      <c r="F8485">
        <v>8.8000000000000007</v>
      </c>
      <c r="G8485">
        <v>0</v>
      </c>
      <c r="H8485" t="s">
        <v>19447</v>
      </c>
      <c r="I8485" t="s">
        <v>19447</v>
      </c>
      <c r="J8485">
        <v>14</v>
      </c>
      <c r="L8485" t="s">
        <v>2709</v>
      </c>
      <c r="M8485">
        <v>84563019</v>
      </c>
      <c r="O8485" t="s">
        <v>20056</v>
      </c>
      <c r="P8485" t="s">
        <v>20127</v>
      </c>
      <c r="Q8485" t="s">
        <v>19900</v>
      </c>
      <c r="R8485" t="s">
        <v>19447</v>
      </c>
      <c r="S8485" t="s">
        <v>19447</v>
      </c>
      <c r="T8485" t="s">
        <v>19911</v>
      </c>
    </row>
    <row r="8486" spans="2:20" x14ac:dyDescent="0.25">
      <c r="B8486" t="s">
        <v>2709</v>
      </c>
      <c r="C8486">
        <v>84563090</v>
      </c>
      <c r="E8486">
        <v>71.78</v>
      </c>
      <c r="F8486">
        <v>8.8000000000000007</v>
      </c>
      <c r="G8486">
        <v>0</v>
      </c>
      <c r="H8486" t="s">
        <v>19447</v>
      </c>
      <c r="I8486" t="s">
        <v>19447</v>
      </c>
      <c r="J8486">
        <v>14</v>
      </c>
      <c r="L8486" t="s">
        <v>2709</v>
      </c>
      <c r="M8486">
        <v>84563090</v>
      </c>
      <c r="O8486" t="s">
        <v>20056</v>
      </c>
      <c r="P8486" t="s">
        <v>20127</v>
      </c>
      <c r="Q8486" t="s">
        <v>19900</v>
      </c>
      <c r="R8486" t="s">
        <v>19447</v>
      </c>
      <c r="S8486" t="s">
        <v>19447</v>
      </c>
      <c r="T8486" t="s">
        <v>19911</v>
      </c>
    </row>
    <row r="8487" spans="2:20" x14ac:dyDescent="0.25">
      <c r="B8487" t="s">
        <v>2709</v>
      </c>
      <c r="C8487">
        <v>84569000</v>
      </c>
      <c r="E8487">
        <v>71.78</v>
      </c>
      <c r="F8487">
        <v>12</v>
      </c>
      <c r="G8487">
        <v>0</v>
      </c>
      <c r="H8487" t="s">
        <v>19447</v>
      </c>
      <c r="I8487" t="s">
        <v>19447</v>
      </c>
      <c r="J8487">
        <v>14</v>
      </c>
      <c r="L8487" t="s">
        <v>2709</v>
      </c>
      <c r="M8487">
        <v>84569000</v>
      </c>
      <c r="O8487" t="s">
        <v>20056</v>
      </c>
      <c r="P8487" t="s">
        <v>19903</v>
      </c>
      <c r="Q8487" t="s">
        <v>19900</v>
      </c>
      <c r="R8487" t="s">
        <v>19447</v>
      </c>
      <c r="S8487" t="s">
        <v>19447</v>
      </c>
      <c r="T8487" t="s">
        <v>19911</v>
      </c>
    </row>
    <row r="8488" spans="2:20" x14ac:dyDescent="0.25">
      <c r="B8488" t="s">
        <v>2709</v>
      </c>
      <c r="C8488">
        <v>84571000</v>
      </c>
      <c r="E8488">
        <v>71.78</v>
      </c>
      <c r="F8488">
        <v>8.8000000000000007</v>
      </c>
      <c r="G8488">
        <v>0</v>
      </c>
      <c r="H8488" t="s">
        <v>19447</v>
      </c>
      <c r="I8488" t="s">
        <v>19447</v>
      </c>
      <c r="J8488">
        <v>20</v>
      </c>
      <c r="L8488" t="s">
        <v>2709</v>
      </c>
      <c r="M8488">
        <v>84571000</v>
      </c>
      <c r="O8488" t="s">
        <v>20056</v>
      </c>
      <c r="P8488" t="s">
        <v>20127</v>
      </c>
      <c r="Q8488" t="s">
        <v>19900</v>
      </c>
      <c r="R8488" t="s">
        <v>19447</v>
      </c>
      <c r="S8488" t="s">
        <v>19447</v>
      </c>
      <c r="T8488" t="s">
        <v>19934</v>
      </c>
    </row>
    <row r="8489" spans="2:20" x14ac:dyDescent="0.25">
      <c r="B8489" t="s">
        <v>2709</v>
      </c>
      <c r="C8489">
        <v>84572010</v>
      </c>
      <c r="E8489">
        <v>71.78</v>
      </c>
      <c r="F8489">
        <v>8.8000000000000007</v>
      </c>
      <c r="G8489">
        <v>0</v>
      </c>
      <c r="H8489" t="s">
        <v>19447</v>
      </c>
      <c r="I8489" t="s">
        <v>19447</v>
      </c>
      <c r="J8489">
        <v>14</v>
      </c>
      <c r="L8489" t="s">
        <v>2709</v>
      </c>
      <c r="M8489">
        <v>84572010</v>
      </c>
      <c r="O8489" t="s">
        <v>20056</v>
      </c>
      <c r="P8489" t="s">
        <v>20127</v>
      </c>
      <c r="Q8489" t="s">
        <v>19900</v>
      </c>
      <c r="R8489" t="s">
        <v>19447</v>
      </c>
      <c r="S8489" t="s">
        <v>19447</v>
      </c>
      <c r="T8489" t="s">
        <v>19911</v>
      </c>
    </row>
    <row r="8490" spans="2:20" x14ac:dyDescent="0.25">
      <c r="B8490" t="s">
        <v>2709</v>
      </c>
      <c r="C8490">
        <v>84572090</v>
      </c>
      <c r="E8490">
        <v>71.78</v>
      </c>
      <c r="F8490">
        <v>8.8000000000000007</v>
      </c>
      <c r="G8490">
        <v>0</v>
      </c>
      <c r="H8490" t="s">
        <v>19447</v>
      </c>
      <c r="I8490" t="s">
        <v>19447</v>
      </c>
      <c r="J8490">
        <v>14</v>
      </c>
      <c r="L8490" t="s">
        <v>2709</v>
      </c>
      <c r="M8490">
        <v>84572090</v>
      </c>
      <c r="O8490" t="s">
        <v>20056</v>
      </c>
      <c r="P8490" t="s">
        <v>20127</v>
      </c>
      <c r="Q8490" t="s">
        <v>19900</v>
      </c>
      <c r="R8490" t="s">
        <v>19447</v>
      </c>
      <c r="S8490" t="s">
        <v>19447</v>
      </c>
      <c r="T8490" t="s">
        <v>19911</v>
      </c>
    </row>
    <row r="8491" spans="2:20" x14ac:dyDescent="0.25">
      <c r="B8491" t="s">
        <v>2709</v>
      </c>
      <c r="C8491">
        <v>84573010</v>
      </c>
      <c r="E8491">
        <v>71.78</v>
      </c>
      <c r="F8491">
        <v>8.8000000000000007</v>
      </c>
      <c r="G8491">
        <v>0</v>
      </c>
      <c r="H8491" t="s">
        <v>19447</v>
      </c>
      <c r="I8491" t="s">
        <v>19447</v>
      </c>
      <c r="J8491">
        <v>14</v>
      </c>
      <c r="L8491" t="s">
        <v>2709</v>
      </c>
      <c r="M8491">
        <v>84573010</v>
      </c>
      <c r="O8491" t="s">
        <v>20056</v>
      </c>
      <c r="P8491" t="s">
        <v>20127</v>
      </c>
      <c r="Q8491" t="s">
        <v>19900</v>
      </c>
      <c r="R8491" t="s">
        <v>19447</v>
      </c>
      <c r="S8491" t="s">
        <v>19447</v>
      </c>
      <c r="T8491" t="s">
        <v>19911</v>
      </c>
    </row>
    <row r="8492" spans="2:20" x14ac:dyDescent="0.25">
      <c r="B8492" t="s">
        <v>2709</v>
      </c>
      <c r="C8492">
        <v>84573090</v>
      </c>
      <c r="E8492">
        <v>71.78</v>
      </c>
      <c r="F8492">
        <v>8.8000000000000007</v>
      </c>
      <c r="G8492">
        <v>0</v>
      </c>
      <c r="H8492" t="s">
        <v>19447</v>
      </c>
      <c r="I8492" t="s">
        <v>19447</v>
      </c>
      <c r="J8492">
        <v>14</v>
      </c>
      <c r="L8492" t="s">
        <v>2709</v>
      </c>
      <c r="M8492">
        <v>84573090</v>
      </c>
      <c r="O8492" t="s">
        <v>20056</v>
      </c>
      <c r="P8492" t="s">
        <v>20127</v>
      </c>
      <c r="Q8492" t="s">
        <v>19900</v>
      </c>
      <c r="R8492" t="s">
        <v>19447</v>
      </c>
      <c r="S8492" t="s">
        <v>19447</v>
      </c>
      <c r="T8492" t="s">
        <v>19911</v>
      </c>
    </row>
    <row r="8493" spans="2:20" x14ac:dyDescent="0.25">
      <c r="B8493" t="s">
        <v>2709</v>
      </c>
      <c r="C8493">
        <v>84581110</v>
      </c>
      <c r="E8493">
        <v>71.78</v>
      </c>
      <c r="F8493">
        <v>8.8000000000000007</v>
      </c>
      <c r="G8493">
        <v>0</v>
      </c>
      <c r="H8493" t="s">
        <v>19447</v>
      </c>
      <c r="I8493" t="s">
        <v>19447</v>
      </c>
      <c r="J8493">
        <v>14</v>
      </c>
      <c r="L8493" t="s">
        <v>2709</v>
      </c>
      <c r="M8493">
        <v>84581110</v>
      </c>
      <c r="O8493" t="s">
        <v>20056</v>
      </c>
      <c r="P8493" t="s">
        <v>20127</v>
      </c>
      <c r="Q8493" t="s">
        <v>19900</v>
      </c>
      <c r="R8493" t="s">
        <v>19447</v>
      </c>
      <c r="S8493" t="s">
        <v>19447</v>
      </c>
      <c r="T8493" t="s">
        <v>19911</v>
      </c>
    </row>
    <row r="8494" spans="2:20" x14ac:dyDescent="0.25">
      <c r="B8494" t="s">
        <v>2709</v>
      </c>
      <c r="C8494">
        <v>84581191</v>
      </c>
      <c r="E8494">
        <v>71.78</v>
      </c>
      <c r="F8494">
        <v>8.8000000000000007</v>
      </c>
      <c r="G8494">
        <v>0</v>
      </c>
      <c r="H8494" t="s">
        <v>19447</v>
      </c>
      <c r="I8494" t="s">
        <v>19447</v>
      </c>
      <c r="J8494">
        <v>0</v>
      </c>
      <c r="L8494" t="s">
        <v>2709</v>
      </c>
      <c r="M8494">
        <v>84581191</v>
      </c>
      <c r="O8494" t="s">
        <v>20056</v>
      </c>
      <c r="P8494" t="s">
        <v>20127</v>
      </c>
      <c r="Q8494" t="s">
        <v>19900</v>
      </c>
      <c r="R8494" t="s">
        <v>19447</v>
      </c>
      <c r="S8494" t="s">
        <v>19447</v>
      </c>
      <c r="T8494" t="s">
        <v>19900</v>
      </c>
    </row>
    <row r="8495" spans="2:20" x14ac:dyDescent="0.25">
      <c r="B8495" t="s">
        <v>2709</v>
      </c>
      <c r="C8495">
        <v>84581199</v>
      </c>
      <c r="E8495">
        <v>71.78</v>
      </c>
      <c r="F8495">
        <v>8.8000000000000007</v>
      </c>
      <c r="G8495">
        <v>0</v>
      </c>
      <c r="H8495" t="s">
        <v>19447</v>
      </c>
      <c r="I8495" t="s">
        <v>19447</v>
      </c>
      <c r="J8495">
        <v>14</v>
      </c>
      <c r="L8495" t="s">
        <v>2709</v>
      </c>
      <c r="M8495">
        <v>84581199</v>
      </c>
      <c r="O8495" t="s">
        <v>20056</v>
      </c>
      <c r="P8495" t="s">
        <v>20127</v>
      </c>
      <c r="Q8495" t="s">
        <v>19900</v>
      </c>
      <c r="R8495" t="s">
        <v>19447</v>
      </c>
      <c r="S8495" t="s">
        <v>19447</v>
      </c>
      <c r="T8495" t="s">
        <v>19911</v>
      </c>
    </row>
    <row r="8496" spans="2:20" x14ac:dyDescent="0.25">
      <c r="B8496" t="s">
        <v>2709</v>
      </c>
      <c r="C8496">
        <v>84581910</v>
      </c>
      <c r="E8496">
        <v>71.78</v>
      </c>
      <c r="F8496">
        <v>8.8000000000000007</v>
      </c>
      <c r="G8496">
        <v>0</v>
      </c>
      <c r="H8496" t="s">
        <v>19447</v>
      </c>
      <c r="I8496" t="s">
        <v>19447</v>
      </c>
      <c r="J8496">
        <v>14</v>
      </c>
      <c r="L8496" t="s">
        <v>2709</v>
      </c>
      <c r="M8496">
        <v>84581910</v>
      </c>
      <c r="O8496" t="s">
        <v>20056</v>
      </c>
      <c r="P8496" t="s">
        <v>20127</v>
      </c>
      <c r="Q8496" t="s">
        <v>19900</v>
      </c>
      <c r="R8496" t="s">
        <v>19447</v>
      </c>
      <c r="S8496" t="s">
        <v>19447</v>
      </c>
      <c r="T8496" t="s">
        <v>19911</v>
      </c>
    </row>
    <row r="8497" spans="2:20" x14ac:dyDescent="0.25">
      <c r="B8497" t="s">
        <v>2709</v>
      </c>
      <c r="C8497">
        <v>84581990</v>
      </c>
      <c r="E8497">
        <v>71.78</v>
      </c>
      <c r="F8497">
        <v>8.8000000000000007</v>
      </c>
      <c r="G8497">
        <v>0</v>
      </c>
      <c r="H8497" t="s">
        <v>19447</v>
      </c>
      <c r="I8497" t="s">
        <v>19447</v>
      </c>
      <c r="J8497">
        <v>14</v>
      </c>
      <c r="L8497" t="s">
        <v>2709</v>
      </c>
      <c r="M8497">
        <v>84581990</v>
      </c>
      <c r="O8497" t="s">
        <v>20056</v>
      </c>
      <c r="P8497" t="s">
        <v>20127</v>
      </c>
      <c r="Q8497" t="s">
        <v>19900</v>
      </c>
      <c r="R8497" t="s">
        <v>19447</v>
      </c>
      <c r="S8497" t="s">
        <v>19447</v>
      </c>
      <c r="T8497" t="s">
        <v>19911</v>
      </c>
    </row>
    <row r="8498" spans="2:20" x14ac:dyDescent="0.25">
      <c r="B8498" t="s">
        <v>2709</v>
      </c>
      <c r="C8498">
        <v>84589100</v>
      </c>
      <c r="E8498">
        <v>71.78</v>
      </c>
      <c r="F8498">
        <v>8.8000000000000007</v>
      </c>
      <c r="G8498">
        <v>0</v>
      </c>
      <c r="H8498" t="s">
        <v>19447</v>
      </c>
      <c r="I8498" t="s">
        <v>19447</v>
      </c>
      <c r="J8498">
        <v>14</v>
      </c>
      <c r="L8498" t="s">
        <v>2709</v>
      </c>
      <c r="M8498">
        <v>84589100</v>
      </c>
      <c r="O8498" t="s">
        <v>20056</v>
      </c>
      <c r="P8498" t="s">
        <v>20127</v>
      </c>
      <c r="Q8498" t="s">
        <v>19900</v>
      </c>
      <c r="R8498" t="s">
        <v>19447</v>
      </c>
      <c r="S8498" t="s">
        <v>19447</v>
      </c>
      <c r="T8498" t="s">
        <v>19911</v>
      </c>
    </row>
    <row r="8499" spans="2:20" x14ac:dyDescent="0.25">
      <c r="B8499" t="s">
        <v>2709</v>
      </c>
      <c r="C8499">
        <v>84589900</v>
      </c>
      <c r="E8499">
        <v>71.78</v>
      </c>
      <c r="F8499">
        <v>8.8000000000000007</v>
      </c>
      <c r="G8499">
        <v>0</v>
      </c>
      <c r="H8499" t="s">
        <v>19447</v>
      </c>
      <c r="I8499" t="s">
        <v>19447</v>
      </c>
      <c r="J8499">
        <v>14</v>
      </c>
      <c r="L8499" t="s">
        <v>2709</v>
      </c>
      <c r="M8499">
        <v>84589900</v>
      </c>
      <c r="O8499" t="s">
        <v>20056</v>
      </c>
      <c r="P8499" t="s">
        <v>20127</v>
      </c>
      <c r="Q8499" t="s">
        <v>19900</v>
      </c>
      <c r="R8499" t="s">
        <v>19447</v>
      </c>
      <c r="S8499" t="s">
        <v>19447</v>
      </c>
      <c r="T8499" t="s">
        <v>19911</v>
      </c>
    </row>
    <row r="8500" spans="2:20" x14ac:dyDescent="0.25">
      <c r="B8500" t="s">
        <v>2709</v>
      </c>
      <c r="C8500">
        <v>84591000</v>
      </c>
      <c r="E8500">
        <v>71.78</v>
      </c>
      <c r="F8500">
        <v>8.8000000000000007</v>
      </c>
      <c r="G8500">
        <v>0</v>
      </c>
      <c r="H8500" t="s">
        <v>19447</v>
      </c>
      <c r="I8500" t="s">
        <v>19447</v>
      </c>
      <c r="J8500">
        <v>14</v>
      </c>
      <c r="L8500" t="s">
        <v>2709</v>
      </c>
      <c r="M8500">
        <v>84591000</v>
      </c>
      <c r="O8500" t="s">
        <v>20056</v>
      </c>
      <c r="P8500" t="s">
        <v>20127</v>
      </c>
      <c r="Q8500" t="s">
        <v>19900</v>
      </c>
      <c r="R8500" t="s">
        <v>19447</v>
      </c>
      <c r="S8500" t="s">
        <v>19447</v>
      </c>
      <c r="T8500" t="s">
        <v>19911</v>
      </c>
    </row>
    <row r="8501" spans="2:20" x14ac:dyDescent="0.25">
      <c r="B8501" t="s">
        <v>2709</v>
      </c>
      <c r="C8501">
        <v>84592110</v>
      </c>
      <c r="E8501">
        <v>71.78</v>
      </c>
      <c r="F8501">
        <v>8.8000000000000007</v>
      </c>
      <c r="G8501">
        <v>0</v>
      </c>
      <c r="H8501" t="s">
        <v>19447</v>
      </c>
      <c r="I8501" t="s">
        <v>19447</v>
      </c>
      <c r="J8501">
        <v>14</v>
      </c>
      <c r="L8501" t="s">
        <v>2709</v>
      </c>
      <c r="M8501">
        <v>84592110</v>
      </c>
      <c r="O8501" t="s">
        <v>20056</v>
      </c>
      <c r="P8501" t="s">
        <v>20127</v>
      </c>
      <c r="Q8501" t="s">
        <v>19900</v>
      </c>
      <c r="R8501" t="s">
        <v>19447</v>
      </c>
      <c r="S8501" t="s">
        <v>19447</v>
      </c>
      <c r="T8501" t="s">
        <v>19911</v>
      </c>
    </row>
    <row r="8502" spans="2:20" x14ac:dyDescent="0.25">
      <c r="B8502" t="s">
        <v>2709</v>
      </c>
      <c r="C8502">
        <v>84592191</v>
      </c>
      <c r="E8502">
        <v>71.78</v>
      </c>
      <c r="F8502">
        <v>8.8000000000000007</v>
      </c>
      <c r="G8502">
        <v>0</v>
      </c>
      <c r="H8502" t="s">
        <v>19447</v>
      </c>
      <c r="I8502" t="s">
        <v>19447</v>
      </c>
      <c r="J8502">
        <v>14</v>
      </c>
      <c r="L8502" t="s">
        <v>2709</v>
      </c>
      <c r="M8502">
        <v>84592191</v>
      </c>
      <c r="O8502" t="s">
        <v>20056</v>
      </c>
      <c r="P8502" t="s">
        <v>20127</v>
      </c>
      <c r="Q8502" t="s">
        <v>19900</v>
      </c>
      <c r="R8502" t="s">
        <v>19447</v>
      </c>
      <c r="S8502" t="s">
        <v>19447</v>
      </c>
      <c r="T8502" t="s">
        <v>19911</v>
      </c>
    </row>
    <row r="8503" spans="2:20" x14ac:dyDescent="0.25">
      <c r="B8503" t="s">
        <v>2709</v>
      </c>
      <c r="C8503">
        <v>84592199</v>
      </c>
      <c r="E8503">
        <v>71.78</v>
      </c>
      <c r="F8503">
        <v>8.8000000000000007</v>
      </c>
      <c r="G8503">
        <v>0</v>
      </c>
      <c r="H8503" t="s">
        <v>19447</v>
      </c>
      <c r="I8503" t="s">
        <v>19447</v>
      </c>
      <c r="J8503">
        <v>14</v>
      </c>
      <c r="L8503" t="s">
        <v>2709</v>
      </c>
      <c r="M8503">
        <v>84592199</v>
      </c>
      <c r="O8503" t="s">
        <v>20056</v>
      </c>
      <c r="P8503" t="s">
        <v>20127</v>
      </c>
      <c r="Q8503" t="s">
        <v>19900</v>
      </c>
      <c r="R8503" t="s">
        <v>19447</v>
      </c>
      <c r="S8503" t="s">
        <v>19447</v>
      </c>
      <c r="T8503" t="s">
        <v>19911</v>
      </c>
    </row>
    <row r="8504" spans="2:20" x14ac:dyDescent="0.25">
      <c r="B8504" t="s">
        <v>2709</v>
      </c>
      <c r="C8504">
        <v>84592900</v>
      </c>
      <c r="E8504">
        <v>71.78</v>
      </c>
      <c r="F8504">
        <v>8.8000000000000007</v>
      </c>
      <c r="G8504">
        <v>0</v>
      </c>
      <c r="H8504" t="s">
        <v>19447</v>
      </c>
      <c r="I8504" t="s">
        <v>19447</v>
      </c>
      <c r="J8504">
        <v>14</v>
      </c>
      <c r="L8504" t="s">
        <v>2709</v>
      </c>
      <c r="M8504">
        <v>84592900</v>
      </c>
      <c r="O8504" t="s">
        <v>20056</v>
      </c>
      <c r="P8504" t="s">
        <v>20127</v>
      </c>
      <c r="Q8504" t="s">
        <v>19900</v>
      </c>
      <c r="R8504" t="s">
        <v>19447</v>
      </c>
      <c r="S8504" t="s">
        <v>19447</v>
      </c>
      <c r="T8504" t="s">
        <v>19911</v>
      </c>
    </row>
    <row r="8505" spans="2:20" x14ac:dyDescent="0.25">
      <c r="B8505" t="s">
        <v>2709</v>
      </c>
      <c r="C8505">
        <v>84593100</v>
      </c>
      <c r="E8505">
        <v>71.78</v>
      </c>
      <c r="F8505">
        <v>8.8000000000000007</v>
      </c>
      <c r="G8505">
        <v>0</v>
      </c>
      <c r="H8505" t="s">
        <v>19447</v>
      </c>
      <c r="I8505" t="s">
        <v>19447</v>
      </c>
      <c r="J8505">
        <v>14</v>
      </c>
      <c r="L8505" t="s">
        <v>2709</v>
      </c>
      <c r="M8505">
        <v>84593100</v>
      </c>
      <c r="O8505" t="s">
        <v>20056</v>
      </c>
      <c r="P8505" t="s">
        <v>20127</v>
      </c>
      <c r="Q8505" t="s">
        <v>19900</v>
      </c>
      <c r="R8505" t="s">
        <v>19447</v>
      </c>
      <c r="S8505" t="s">
        <v>19447</v>
      </c>
      <c r="T8505" t="s">
        <v>19911</v>
      </c>
    </row>
    <row r="8506" spans="2:20" x14ac:dyDescent="0.25">
      <c r="B8506" t="s">
        <v>2709</v>
      </c>
      <c r="C8506">
        <v>84593900</v>
      </c>
      <c r="E8506">
        <v>71.78</v>
      </c>
      <c r="F8506">
        <v>8.8000000000000007</v>
      </c>
      <c r="G8506">
        <v>0</v>
      </c>
      <c r="H8506" t="s">
        <v>19447</v>
      </c>
      <c r="I8506" t="s">
        <v>19447</v>
      </c>
      <c r="J8506">
        <v>14</v>
      </c>
      <c r="L8506" t="s">
        <v>2709</v>
      </c>
      <c r="M8506">
        <v>84593900</v>
      </c>
      <c r="O8506" t="s">
        <v>20056</v>
      </c>
      <c r="P8506" t="s">
        <v>20127</v>
      </c>
      <c r="Q8506" t="s">
        <v>19900</v>
      </c>
      <c r="R8506" t="s">
        <v>19447</v>
      </c>
      <c r="S8506" t="s">
        <v>19447</v>
      </c>
      <c r="T8506" t="s">
        <v>19911</v>
      </c>
    </row>
    <row r="8507" spans="2:20" x14ac:dyDescent="0.25">
      <c r="B8507" t="s">
        <v>2709</v>
      </c>
      <c r="C8507">
        <v>84594000</v>
      </c>
      <c r="E8507">
        <v>71.78</v>
      </c>
      <c r="F8507">
        <v>8.8000000000000007</v>
      </c>
      <c r="G8507">
        <v>0</v>
      </c>
      <c r="H8507" t="s">
        <v>19447</v>
      </c>
      <c r="I8507" t="s">
        <v>19447</v>
      </c>
      <c r="J8507">
        <v>14</v>
      </c>
      <c r="L8507" t="s">
        <v>2709</v>
      </c>
      <c r="M8507">
        <v>84594000</v>
      </c>
      <c r="O8507" t="s">
        <v>20056</v>
      </c>
      <c r="P8507" t="s">
        <v>20127</v>
      </c>
      <c r="Q8507" t="s">
        <v>19900</v>
      </c>
      <c r="R8507" t="s">
        <v>19447</v>
      </c>
      <c r="S8507" t="s">
        <v>19447</v>
      </c>
      <c r="T8507" t="s">
        <v>19911</v>
      </c>
    </row>
    <row r="8508" spans="2:20" x14ac:dyDescent="0.25">
      <c r="B8508" t="s">
        <v>2709</v>
      </c>
      <c r="C8508">
        <v>84595100</v>
      </c>
      <c r="E8508">
        <v>71.78</v>
      </c>
      <c r="F8508">
        <v>8.8000000000000007</v>
      </c>
      <c r="G8508">
        <v>0</v>
      </c>
      <c r="H8508" t="s">
        <v>19447</v>
      </c>
      <c r="I8508" t="s">
        <v>19447</v>
      </c>
      <c r="J8508">
        <v>14</v>
      </c>
      <c r="L8508" t="s">
        <v>2709</v>
      </c>
      <c r="M8508">
        <v>84595100</v>
      </c>
      <c r="O8508" t="s">
        <v>20056</v>
      </c>
      <c r="P8508" t="s">
        <v>20127</v>
      </c>
      <c r="Q8508" t="s">
        <v>19900</v>
      </c>
      <c r="R8508" t="s">
        <v>19447</v>
      </c>
      <c r="S8508" t="s">
        <v>19447</v>
      </c>
      <c r="T8508" t="s">
        <v>19911</v>
      </c>
    </row>
    <row r="8509" spans="2:20" x14ac:dyDescent="0.25">
      <c r="B8509" t="s">
        <v>2709</v>
      </c>
      <c r="C8509">
        <v>84595900</v>
      </c>
      <c r="E8509">
        <v>71.78</v>
      </c>
      <c r="F8509">
        <v>8.8000000000000007</v>
      </c>
      <c r="G8509">
        <v>0</v>
      </c>
      <c r="H8509" t="s">
        <v>19447</v>
      </c>
      <c r="I8509" t="s">
        <v>19447</v>
      </c>
      <c r="J8509">
        <v>14</v>
      </c>
      <c r="L8509" t="s">
        <v>2709</v>
      </c>
      <c r="M8509">
        <v>84595900</v>
      </c>
      <c r="O8509" t="s">
        <v>20056</v>
      </c>
      <c r="P8509" t="s">
        <v>20127</v>
      </c>
      <c r="Q8509" t="s">
        <v>19900</v>
      </c>
      <c r="R8509" t="s">
        <v>19447</v>
      </c>
      <c r="S8509" t="s">
        <v>19447</v>
      </c>
      <c r="T8509" t="s">
        <v>19911</v>
      </c>
    </row>
    <row r="8510" spans="2:20" x14ac:dyDescent="0.25">
      <c r="B8510" t="s">
        <v>2709</v>
      </c>
      <c r="C8510">
        <v>84596100</v>
      </c>
      <c r="E8510">
        <v>71.78</v>
      </c>
      <c r="F8510">
        <v>8.8000000000000007</v>
      </c>
      <c r="G8510">
        <v>0</v>
      </c>
      <c r="H8510" t="s">
        <v>19447</v>
      </c>
      <c r="I8510" t="s">
        <v>19447</v>
      </c>
      <c r="J8510">
        <v>14</v>
      </c>
      <c r="L8510" t="s">
        <v>2709</v>
      </c>
      <c r="M8510">
        <v>84596100</v>
      </c>
      <c r="O8510" t="s">
        <v>20056</v>
      </c>
      <c r="P8510" t="s">
        <v>20127</v>
      </c>
      <c r="Q8510" t="s">
        <v>19900</v>
      </c>
      <c r="R8510" t="s">
        <v>19447</v>
      </c>
      <c r="S8510" t="s">
        <v>19447</v>
      </c>
      <c r="T8510" t="s">
        <v>19911</v>
      </c>
    </row>
    <row r="8511" spans="2:20" x14ac:dyDescent="0.25">
      <c r="B8511" t="s">
        <v>2709</v>
      </c>
      <c r="C8511">
        <v>84596900</v>
      </c>
      <c r="E8511">
        <v>71.78</v>
      </c>
      <c r="F8511">
        <v>8.8000000000000007</v>
      </c>
      <c r="G8511">
        <v>0</v>
      </c>
      <c r="H8511" t="s">
        <v>19447</v>
      </c>
      <c r="I8511" t="s">
        <v>19447</v>
      </c>
      <c r="J8511">
        <v>14</v>
      </c>
      <c r="L8511" t="s">
        <v>2709</v>
      </c>
      <c r="M8511">
        <v>84596900</v>
      </c>
      <c r="O8511" t="s">
        <v>20056</v>
      </c>
      <c r="P8511" t="s">
        <v>20127</v>
      </c>
      <c r="Q8511" t="s">
        <v>19900</v>
      </c>
      <c r="R8511" t="s">
        <v>19447</v>
      </c>
      <c r="S8511" t="s">
        <v>19447</v>
      </c>
      <c r="T8511" t="s">
        <v>19911</v>
      </c>
    </row>
    <row r="8512" spans="2:20" x14ac:dyDescent="0.25">
      <c r="B8512" t="s">
        <v>2709</v>
      </c>
      <c r="C8512">
        <v>84597000</v>
      </c>
      <c r="E8512">
        <v>71.78</v>
      </c>
      <c r="F8512">
        <v>8.8000000000000007</v>
      </c>
      <c r="G8512">
        <v>0</v>
      </c>
      <c r="H8512" t="s">
        <v>19447</v>
      </c>
      <c r="I8512" t="s">
        <v>19447</v>
      </c>
      <c r="J8512">
        <v>14</v>
      </c>
      <c r="L8512" t="s">
        <v>2709</v>
      </c>
      <c r="M8512">
        <v>84597000</v>
      </c>
      <c r="O8512" t="s">
        <v>20056</v>
      </c>
      <c r="P8512" t="s">
        <v>20127</v>
      </c>
      <c r="Q8512" t="s">
        <v>19900</v>
      </c>
      <c r="R8512" t="s">
        <v>19447</v>
      </c>
      <c r="S8512" t="s">
        <v>19447</v>
      </c>
      <c r="T8512" t="s">
        <v>19911</v>
      </c>
    </row>
    <row r="8513" spans="2:20" x14ac:dyDescent="0.25">
      <c r="B8513" t="s">
        <v>2709</v>
      </c>
      <c r="C8513">
        <v>84601100</v>
      </c>
      <c r="E8513">
        <v>71.78</v>
      </c>
      <c r="F8513">
        <v>8.8000000000000007</v>
      </c>
      <c r="G8513">
        <v>0</v>
      </c>
      <c r="H8513" t="s">
        <v>19447</v>
      </c>
      <c r="I8513" t="s">
        <v>19447</v>
      </c>
      <c r="J8513">
        <v>14</v>
      </c>
      <c r="L8513" t="s">
        <v>2709</v>
      </c>
      <c r="M8513">
        <v>84601100</v>
      </c>
      <c r="O8513" t="s">
        <v>20056</v>
      </c>
      <c r="P8513" t="s">
        <v>20127</v>
      </c>
      <c r="Q8513" t="s">
        <v>19900</v>
      </c>
      <c r="R8513" t="s">
        <v>19447</v>
      </c>
      <c r="S8513" t="s">
        <v>19447</v>
      </c>
      <c r="T8513" t="s">
        <v>19911</v>
      </c>
    </row>
    <row r="8514" spans="2:20" x14ac:dyDescent="0.25">
      <c r="B8514" t="s">
        <v>2709</v>
      </c>
      <c r="C8514">
        <v>84601900</v>
      </c>
      <c r="E8514">
        <v>71.78</v>
      </c>
      <c r="F8514">
        <v>8.8000000000000007</v>
      </c>
      <c r="G8514">
        <v>0</v>
      </c>
      <c r="H8514" t="s">
        <v>19447</v>
      </c>
      <c r="I8514" t="s">
        <v>19447</v>
      </c>
      <c r="J8514">
        <v>14</v>
      </c>
      <c r="L8514" t="s">
        <v>2709</v>
      </c>
      <c r="M8514">
        <v>84601900</v>
      </c>
      <c r="O8514" t="s">
        <v>20056</v>
      </c>
      <c r="P8514" t="s">
        <v>20127</v>
      </c>
      <c r="Q8514" t="s">
        <v>19900</v>
      </c>
      <c r="R8514" t="s">
        <v>19447</v>
      </c>
      <c r="S8514" t="s">
        <v>19447</v>
      </c>
      <c r="T8514" t="s">
        <v>19911</v>
      </c>
    </row>
    <row r="8515" spans="2:20" x14ac:dyDescent="0.25">
      <c r="B8515" t="s">
        <v>2709</v>
      </c>
      <c r="C8515">
        <v>84602100</v>
      </c>
      <c r="E8515">
        <v>71.78</v>
      </c>
      <c r="F8515">
        <v>8.8000000000000007</v>
      </c>
      <c r="G8515">
        <v>0</v>
      </c>
      <c r="H8515" t="s">
        <v>19447</v>
      </c>
      <c r="I8515" t="s">
        <v>19447</v>
      </c>
      <c r="J8515">
        <v>14</v>
      </c>
      <c r="L8515" t="s">
        <v>2709</v>
      </c>
      <c r="M8515">
        <v>84602100</v>
      </c>
      <c r="O8515" t="s">
        <v>20056</v>
      </c>
      <c r="P8515" t="s">
        <v>20127</v>
      </c>
      <c r="Q8515" t="s">
        <v>19900</v>
      </c>
      <c r="R8515" t="s">
        <v>19447</v>
      </c>
      <c r="S8515" t="s">
        <v>19447</v>
      </c>
      <c r="T8515" t="s">
        <v>19911</v>
      </c>
    </row>
    <row r="8516" spans="2:20" x14ac:dyDescent="0.25">
      <c r="B8516" t="s">
        <v>2709</v>
      </c>
      <c r="C8516">
        <v>84602900</v>
      </c>
      <c r="E8516">
        <v>71.78</v>
      </c>
      <c r="F8516">
        <v>8.8000000000000007</v>
      </c>
      <c r="G8516">
        <v>0</v>
      </c>
      <c r="H8516" t="s">
        <v>19447</v>
      </c>
      <c r="I8516" t="s">
        <v>19447</v>
      </c>
      <c r="J8516">
        <v>14</v>
      </c>
      <c r="L8516" t="s">
        <v>2709</v>
      </c>
      <c r="M8516">
        <v>84602900</v>
      </c>
      <c r="O8516" t="s">
        <v>20056</v>
      </c>
      <c r="P8516" t="s">
        <v>20127</v>
      </c>
      <c r="Q8516" t="s">
        <v>19900</v>
      </c>
      <c r="R8516" t="s">
        <v>19447</v>
      </c>
      <c r="S8516" t="s">
        <v>19447</v>
      </c>
      <c r="T8516" t="s">
        <v>19911</v>
      </c>
    </row>
    <row r="8517" spans="2:20" x14ac:dyDescent="0.25">
      <c r="B8517" t="s">
        <v>2709</v>
      </c>
      <c r="C8517">
        <v>84603100</v>
      </c>
      <c r="E8517">
        <v>71.78</v>
      </c>
      <c r="F8517">
        <v>8.8000000000000007</v>
      </c>
      <c r="G8517">
        <v>0</v>
      </c>
      <c r="H8517" t="s">
        <v>19447</v>
      </c>
      <c r="I8517" t="s">
        <v>19447</v>
      </c>
      <c r="J8517">
        <v>14</v>
      </c>
      <c r="L8517" t="s">
        <v>2709</v>
      </c>
      <c r="M8517">
        <v>84603100</v>
      </c>
      <c r="O8517" t="s">
        <v>20056</v>
      </c>
      <c r="P8517" t="s">
        <v>20127</v>
      </c>
      <c r="Q8517" t="s">
        <v>19900</v>
      </c>
      <c r="R8517" t="s">
        <v>19447</v>
      </c>
      <c r="S8517" t="s">
        <v>19447</v>
      </c>
      <c r="T8517" t="s">
        <v>19911</v>
      </c>
    </row>
    <row r="8518" spans="2:20" x14ac:dyDescent="0.25">
      <c r="B8518" t="s">
        <v>2709</v>
      </c>
      <c r="C8518">
        <v>84603900</v>
      </c>
      <c r="E8518">
        <v>71.78</v>
      </c>
      <c r="F8518">
        <v>8.8000000000000007</v>
      </c>
      <c r="G8518">
        <v>0</v>
      </c>
      <c r="H8518" t="s">
        <v>19447</v>
      </c>
      <c r="I8518" t="s">
        <v>19447</v>
      </c>
      <c r="J8518">
        <v>14</v>
      </c>
      <c r="L8518" t="s">
        <v>2709</v>
      </c>
      <c r="M8518">
        <v>84603900</v>
      </c>
      <c r="O8518" t="s">
        <v>20056</v>
      </c>
      <c r="P8518" t="s">
        <v>20127</v>
      </c>
      <c r="Q8518" t="s">
        <v>19900</v>
      </c>
      <c r="R8518" t="s">
        <v>19447</v>
      </c>
      <c r="S8518" t="s">
        <v>19447</v>
      </c>
      <c r="T8518" t="s">
        <v>19911</v>
      </c>
    </row>
    <row r="8519" spans="2:20" x14ac:dyDescent="0.25">
      <c r="B8519" t="s">
        <v>2709</v>
      </c>
      <c r="C8519">
        <v>84604011</v>
      </c>
      <c r="E8519">
        <v>71.78</v>
      </c>
      <c r="F8519">
        <v>8.8000000000000007</v>
      </c>
      <c r="G8519">
        <v>0</v>
      </c>
      <c r="H8519" t="s">
        <v>19447</v>
      </c>
      <c r="I8519" t="s">
        <v>19447</v>
      </c>
      <c r="J8519">
        <v>14</v>
      </c>
      <c r="L8519" t="s">
        <v>2709</v>
      </c>
      <c r="M8519">
        <v>84604011</v>
      </c>
      <c r="O8519" t="s">
        <v>20056</v>
      </c>
      <c r="P8519" t="s">
        <v>20127</v>
      </c>
      <c r="Q8519" t="s">
        <v>19900</v>
      </c>
      <c r="R8519" t="s">
        <v>19447</v>
      </c>
      <c r="S8519" t="s">
        <v>19447</v>
      </c>
      <c r="T8519" t="s">
        <v>19911</v>
      </c>
    </row>
    <row r="8520" spans="2:20" x14ac:dyDescent="0.25">
      <c r="B8520" t="s">
        <v>2709</v>
      </c>
      <c r="C8520">
        <v>84604019</v>
      </c>
      <c r="E8520">
        <v>71.78</v>
      </c>
      <c r="F8520">
        <v>8.8000000000000007</v>
      </c>
      <c r="G8520">
        <v>0</v>
      </c>
      <c r="H8520" t="s">
        <v>19447</v>
      </c>
      <c r="I8520" t="s">
        <v>19447</v>
      </c>
      <c r="J8520">
        <v>14</v>
      </c>
      <c r="L8520" t="s">
        <v>2709</v>
      </c>
      <c r="M8520">
        <v>84604019</v>
      </c>
      <c r="O8520" t="s">
        <v>20056</v>
      </c>
      <c r="P8520" t="s">
        <v>20127</v>
      </c>
      <c r="Q8520" t="s">
        <v>19900</v>
      </c>
      <c r="R8520" t="s">
        <v>19447</v>
      </c>
      <c r="S8520" t="s">
        <v>19447</v>
      </c>
      <c r="T8520" t="s">
        <v>19911</v>
      </c>
    </row>
    <row r="8521" spans="2:20" x14ac:dyDescent="0.25">
      <c r="B8521" t="s">
        <v>2709</v>
      </c>
      <c r="C8521">
        <v>84604091</v>
      </c>
      <c r="E8521">
        <v>71.78</v>
      </c>
      <c r="F8521">
        <v>8.8000000000000007</v>
      </c>
      <c r="G8521">
        <v>0</v>
      </c>
      <c r="H8521" t="s">
        <v>19447</v>
      </c>
      <c r="I8521" t="s">
        <v>19447</v>
      </c>
      <c r="J8521">
        <v>14</v>
      </c>
      <c r="L8521" t="s">
        <v>2709</v>
      </c>
      <c r="M8521">
        <v>84604091</v>
      </c>
      <c r="O8521" t="s">
        <v>20056</v>
      </c>
      <c r="P8521" t="s">
        <v>20127</v>
      </c>
      <c r="Q8521" t="s">
        <v>19900</v>
      </c>
      <c r="R8521" t="s">
        <v>19447</v>
      </c>
      <c r="S8521" t="s">
        <v>19447</v>
      </c>
      <c r="T8521" t="s">
        <v>19911</v>
      </c>
    </row>
    <row r="8522" spans="2:20" x14ac:dyDescent="0.25">
      <c r="B8522" t="s">
        <v>2709</v>
      </c>
      <c r="C8522">
        <v>84604099</v>
      </c>
      <c r="E8522">
        <v>71.78</v>
      </c>
      <c r="F8522">
        <v>8.8000000000000007</v>
      </c>
      <c r="G8522">
        <v>0</v>
      </c>
      <c r="H8522" t="s">
        <v>19447</v>
      </c>
      <c r="I8522" t="s">
        <v>19447</v>
      </c>
      <c r="J8522">
        <v>14</v>
      </c>
      <c r="L8522" t="s">
        <v>2709</v>
      </c>
      <c r="M8522">
        <v>84604099</v>
      </c>
      <c r="O8522" t="s">
        <v>20056</v>
      </c>
      <c r="P8522" t="s">
        <v>20127</v>
      </c>
      <c r="Q8522" t="s">
        <v>19900</v>
      </c>
      <c r="R8522" t="s">
        <v>19447</v>
      </c>
      <c r="S8522" t="s">
        <v>19447</v>
      </c>
      <c r="T8522" t="s">
        <v>19911</v>
      </c>
    </row>
    <row r="8523" spans="2:20" x14ac:dyDescent="0.25">
      <c r="B8523" t="s">
        <v>2709</v>
      </c>
      <c r="C8523">
        <v>84609011</v>
      </c>
      <c r="E8523">
        <v>71.78</v>
      </c>
      <c r="F8523">
        <v>8.8000000000000007</v>
      </c>
      <c r="G8523">
        <v>0</v>
      </c>
      <c r="H8523" t="s">
        <v>19447</v>
      </c>
      <c r="I8523" t="s">
        <v>19447</v>
      </c>
      <c r="J8523">
        <v>0</v>
      </c>
      <c r="L8523" t="s">
        <v>2709</v>
      </c>
      <c r="M8523">
        <v>84609011</v>
      </c>
      <c r="O8523" t="s">
        <v>20056</v>
      </c>
      <c r="P8523" t="s">
        <v>20127</v>
      </c>
      <c r="Q8523" t="s">
        <v>19900</v>
      </c>
      <c r="R8523" t="s">
        <v>19447</v>
      </c>
      <c r="S8523" t="s">
        <v>19447</v>
      </c>
      <c r="T8523" t="s">
        <v>19900</v>
      </c>
    </row>
    <row r="8524" spans="2:20" x14ac:dyDescent="0.25">
      <c r="B8524" t="s">
        <v>2709</v>
      </c>
      <c r="C8524">
        <v>84609012</v>
      </c>
      <c r="E8524">
        <v>71.78</v>
      </c>
      <c r="F8524">
        <v>8.8000000000000007</v>
      </c>
      <c r="G8524">
        <v>0</v>
      </c>
      <c r="H8524" t="s">
        <v>19447</v>
      </c>
      <c r="I8524" t="s">
        <v>19447</v>
      </c>
      <c r="J8524">
        <v>0</v>
      </c>
      <c r="L8524" t="s">
        <v>2709</v>
      </c>
      <c r="M8524">
        <v>84609012</v>
      </c>
      <c r="O8524" t="s">
        <v>20056</v>
      </c>
      <c r="P8524" t="s">
        <v>20127</v>
      </c>
      <c r="Q8524" t="s">
        <v>19900</v>
      </c>
      <c r="R8524" t="s">
        <v>19447</v>
      </c>
      <c r="S8524" t="s">
        <v>19447</v>
      </c>
      <c r="T8524" t="s">
        <v>19900</v>
      </c>
    </row>
    <row r="8525" spans="2:20" x14ac:dyDescent="0.25">
      <c r="B8525" t="s">
        <v>2709</v>
      </c>
      <c r="C8525">
        <v>84609019</v>
      </c>
      <c r="E8525">
        <v>71.78</v>
      </c>
      <c r="F8525">
        <v>8.8000000000000007</v>
      </c>
      <c r="G8525">
        <v>0</v>
      </c>
      <c r="H8525" t="s">
        <v>19447</v>
      </c>
      <c r="I8525" t="s">
        <v>19447</v>
      </c>
      <c r="J8525">
        <v>14</v>
      </c>
      <c r="L8525" t="s">
        <v>2709</v>
      </c>
      <c r="M8525">
        <v>84609019</v>
      </c>
      <c r="O8525" t="s">
        <v>20056</v>
      </c>
      <c r="P8525" t="s">
        <v>20127</v>
      </c>
      <c r="Q8525" t="s">
        <v>19900</v>
      </c>
      <c r="R8525" t="s">
        <v>19447</v>
      </c>
      <c r="S8525" t="s">
        <v>19447</v>
      </c>
      <c r="T8525" t="s">
        <v>19911</v>
      </c>
    </row>
    <row r="8526" spans="2:20" x14ac:dyDescent="0.25">
      <c r="B8526" t="s">
        <v>2709</v>
      </c>
      <c r="C8526">
        <v>84609090</v>
      </c>
      <c r="E8526">
        <v>71.78</v>
      </c>
      <c r="F8526">
        <v>8.8000000000000007</v>
      </c>
      <c r="G8526">
        <v>0</v>
      </c>
      <c r="H8526" t="s">
        <v>19447</v>
      </c>
      <c r="I8526" t="s">
        <v>19447</v>
      </c>
      <c r="J8526">
        <v>14</v>
      </c>
      <c r="L8526" t="s">
        <v>2709</v>
      </c>
      <c r="M8526">
        <v>84609090</v>
      </c>
      <c r="O8526" t="s">
        <v>20056</v>
      </c>
      <c r="P8526" t="s">
        <v>20127</v>
      </c>
      <c r="Q8526" t="s">
        <v>19900</v>
      </c>
      <c r="R8526" t="s">
        <v>19447</v>
      </c>
      <c r="S8526" t="s">
        <v>19447</v>
      </c>
      <c r="T8526" t="s">
        <v>19911</v>
      </c>
    </row>
    <row r="8527" spans="2:20" x14ac:dyDescent="0.25">
      <c r="B8527" t="s">
        <v>2709</v>
      </c>
      <c r="C8527">
        <v>84612010</v>
      </c>
      <c r="E8527">
        <v>71.78</v>
      </c>
      <c r="F8527">
        <v>8.8000000000000007</v>
      </c>
      <c r="G8527">
        <v>0</v>
      </c>
      <c r="H8527" t="s">
        <v>19447</v>
      </c>
      <c r="I8527" t="s">
        <v>19447</v>
      </c>
      <c r="J8527">
        <v>14</v>
      </c>
      <c r="L8527" t="s">
        <v>2709</v>
      </c>
      <c r="M8527">
        <v>84612010</v>
      </c>
      <c r="O8527" t="s">
        <v>20056</v>
      </c>
      <c r="P8527" t="s">
        <v>20127</v>
      </c>
      <c r="Q8527" t="s">
        <v>19900</v>
      </c>
      <c r="R8527" t="s">
        <v>19447</v>
      </c>
      <c r="S8527" t="s">
        <v>19447</v>
      </c>
      <c r="T8527" t="s">
        <v>19911</v>
      </c>
    </row>
    <row r="8528" spans="2:20" x14ac:dyDescent="0.25">
      <c r="B8528" t="s">
        <v>2709</v>
      </c>
      <c r="C8528">
        <v>84612090</v>
      </c>
      <c r="E8528">
        <v>71.78</v>
      </c>
      <c r="F8528">
        <v>8.8000000000000007</v>
      </c>
      <c r="G8528">
        <v>0</v>
      </c>
      <c r="H8528" t="s">
        <v>19447</v>
      </c>
      <c r="I8528" t="s">
        <v>19447</v>
      </c>
      <c r="J8528">
        <v>14</v>
      </c>
      <c r="L8528" t="s">
        <v>2709</v>
      </c>
      <c r="M8528">
        <v>84612090</v>
      </c>
      <c r="O8528" t="s">
        <v>20056</v>
      </c>
      <c r="P8528" t="s">
        <v>20127</v>
      </c>
      <c r="Q8528" t="s">
        <v>19900</v>
      </c>
      <c r="R8528" t="s">
        <v>19447</v>
      </c>
      <c r="S8528" t="s">
        <v>19447</v>
      </c>
      <c r="T8528" t="s">
        <v>19911</v>
      </c>
    </row>
    <row r="8529" spans="2:20" x14ac:dyDescent="0.25">
      <c r="B8529" t="s">
        <v>2709</v>
      </c>
      <c r="C8529">
        <v>84613010</v>
      </c>
      <c r="E8529">
        <v>71.78</v>
      </c>
      <c r="F8529">
        <v>8.8000000000000007</v>
      </c>
      <c r="G8529">
        <v>0</v>
      </c>
      <c r="H8529" t="s">
        <v>19447</v>
      </c>
      <c r="I8529" t="s">
        <v>19447</v>
      </c>
      <c r="J8529">
        <v>14</v>
      </c>
      <c r="L8529" t="s">
        <v>2709</v>
      </c>
      <c r="M8529">
        <v>84613010</v>
      </c>
      <c r="O8529" t="s">
        <v>20056</v>
      </c>
      <c r="P8529" t="s">
        <v>20127</v>
      </c>
      <c r="Q8529" t="s">
        <v>19900</v>
      </c>
      <c r="R8529" t="s">
        <v>19447</v>
      </c>
      <c r="S8529" t="s">
        <v>19447</v>
      </c>
      <c r="T8529" t="s">
        <v>19911</v>
      </c>
    </row>
    <row r="8530" spans="2:20" x14ac:dyDescent="0.25">
      <c r="B8530" t="s">
        <v>2709</v>
      </c>
      <c r="C8530">
        <v>84613090</v>
      </c>
      <c r="E8530">
        <v>71.78</v>
      </c>
      <c r="F8530">
        <v>8.8000000000000007</v>
      </c>
      <c r="G8530">
        <v>0</v>
      </c>
      <c r="H8530" t="s">
        <v>19447</v>
      </c>
      <c r="I8530" t="s">
        <v>19447</v>
      </c>
      <c r="J8530">
        <v>14</v>
      </c>
      <c r="L8530" t="s">
        <v>2709</v>
      </c>
      <c r="M8530">
        <v>84613090</v>
      </c>
      <c r="O8530" t="s">
        <v>20056</v>
      </c>
      <c r="P8530" t="s">
        <v>20127</v>
      </c>
      <c r="Q8530" t="s">
        <v>19900</v>
      </c>
      <c r="R8530" t="s">
        <v>19447</v>
      </c>
      <c r="S8530" t="s">
        <v>19447</v>
      </c>
      <c r="T8530" t="s">
        <v>19911</v>
      </c>
    </row>
    <row r="8531" spans="2:20" x14ac:dyDescent="0.25">
      <c r="B8531" t="s">
        <v>2709</v>
      </c>
      <c r="C8531">
        <v>84614010</v>
      </c>
      <c r="E8531">
        <v>71.78</v>
      </c>
      <c r="F8531">
        <v>8.8000000000000007</v>
      </c>
      <c r="G8531">
        <v>0</v>
      </c>
      <c r="H8531" t="s">
        <v>19447</v>
      </c>
      <c r="I8531" t="s">
        <v>19447</v>
      </c>
      <c r="J8531">
        <v>0</v>
      </c>
      <c r="L8531" t="s">
        <v>2709</v>
      </c>
      <c r="M8531">
        <v>84614010</v>
      </c>
      <c r="O8531" t="s">
        <v>20056</v>
      </c>
      <c r="P8531" t="s">
        <v>20127</v>
      </c>
      <c r="Q8531" t="s">
        <v>19900</v>
      </c>
      <c r="R8531" t="s">
        <v>19447</v>
      </c>
      <c r="S8531" t="s">
        <v>19447</v>
      </c>
      <c r="T8531" t="s">
        <v>19900</v>
      </c>
    </row>
    <row r="8532" spans="2:20" x14ac:dyDescent="0.25">
      <c r="B8532" t="s">
        <v>2709</v>
      </c>
      <c r="C8532">
        <v>84614091</v>
      </c>
      <c r="E8532">
        <v>71.78</v>
      </c>
      <c r="F8532">
        <v>8.8000000000000007</v>
      </c>
      <c r="G8532">
        <v>0</v>
      </c>
      <c r="H8532" t="s">
        <v>19447</v>
      </c>
      <c r="I8532" t="s">
        <v>19447</v>
      </c>
      <c r="J8532">
        <v>14</v>
      </c>
      <c r="L8532" t="s">
        <v>2709</v>
      </c>
      <c r="M8532">
        <v>84614091</v>
      </c>
      <c r="O8532" t="s">
        <v>20056</v>
      </c>
      <c r="P8532" t="s">
        <v>20127</v>
      </c>
      <c r="Q8532" t="s">
        <v>19900</v>
      </c>
      <c r="R8532" t="s">
        <v>19447</v>
      </c>
      <c r="S8532" t="s">
        <v>19447</v>
      </c>
      <c r="T8532" t="s">
        <v>19911</v>
      </c>
    </row>
    <row r="8533" spans="2:20" x14ac:dyDescent="0.25">
      <c r="B8533" t="s">
        <v>2709</v>
      </c>
      <c r="C8533">
        <v>84614099</v>
      </c>
      <c r="E8533">
        <v>71.78</v>
      </c>
      <c r="F8533">
        <v>8.8000000000000007</v>
      </c>
      <c r="G8533">
        <v>0</v>
      </c>
      <c r="H8533" t="s">
        <v>19447</v>
      </c>
      <c r="I8533" t="s">
        <v>19447</v>
      </c>
      <c r="J8533">
        <v>14</v>
      </c>
      <c r="L8533" t="s">
        <v>2709</v>
      </c>
      <c r="M8533">
        <v>84614099</v>
      </c>
      <c r="O8533" t="s">
        <v>20056</v>
      </c>
      <c r="P8533" t="s">
        <v>20127</v>
      </c>
      <c r="Q8533" t="s">
        <v>19900</v>
      </c>
      <c r="R8533" t="s">
        <v>19447</v>
      </c>
      <c r="S8533" t="s">
        <v>19447</v>
      </c>
      <c r="T8533" t="s">
        <v>19911</v>
      </c>
    </row>
    <row r="8534" spans="2:20" x14ac:dyDescent="0.25">
      <c r="B8534" t="s">
        <v>2709</v>
      </c>
      <c r="C8534">
        <v>84615010</v>
      </c>
      <c r="E8534">
        <v>71.78</v>
      </c>
      <c r="F8534">
        <v>8.8000000000000007</v>
      </c>
      <c r="G8534">
        <v>0</v>
      </c>
      <c r="H8534" t="s">
        <v>19447</v>
      </c>
      <c r="I8534" t="s">
        <v>19447</v>
      </c>
      <c r="J8534">
        <v>14</v>
      </c>
      <c r="L8534" t="s">
        <v>2709</v>
      </c>
      <c r="M8534">
        <v>84615010</v>
      </c>
      <c r="O8534" t="s">
        <v>20056</v>
      </c>
      <c r="P8534" t="s">
        <v>20127</v>
      </c>
      <c r="Q8534" t="s">
        <v>19900</v>
      </c>
      <c r="R8534" t="s">
        <v>19447</v>
      </c>
      <c r="S8534" t="s">
        <v>19447</v>
      </c>
      <c r="T8534" t="s">
        <v>19911</v>
      </c>
    </row>
    <row r="8535" spans="2:20" x14ac:dyDescent="0.25">
      <c r="B8535" t="s">
        <v>2709</v>
      </c>
      <c r="C8535">
        <v>84615020</v>
      </c>
      <c r="E8535">
        <v>71.78</v>
      </c>
      <c r="F8535">
        <v>8.8000000000000007</v>
      </c>
      <c r="G8535">
        <v>0</v>
      </c>
      <c r="H8535" t="s">
        <v>19447</v>
      </c>
      <c r="I8535" t="s">
        <v>19447</v>
      </c>
      <c r="J8535">
        <v>14</v>
      </c>
      <c r="L8535" t="s">
        <v>2709</v>
      </c>
      <c r="M8535">
        <v>84615020</v>
      </c>
      <c r="O8535" t="s">
        <v>20056</v>
      </c>
      <c r="P8535" t="s">
        <v>20127</v>
      </c>
      <c r="Q8535" t="s">
        <v>19900</v>
      </c>
      <c r="R8535" t="s">
        <v>19447</v>
      </c>
      <c r="S8535" t="s">
        <v>19447</v>
      </c>
      <c r="T8535" t="s">
        <v>19911</v>
      </c>
    </row>
    <row r="8536" spans="2:20" x14ac:dyDescent="0.25">
      <c r="B8536" t="s">
        <v>2709</v>
      </c>
      <c r="C8536">
        <v>84615090</v>
      </c>
      <c r="E8536">
        <v>71.78</v>
      </c>
      <c r="F8536">
        <v>8.8000000000000007</v>
      </c>
      <c r="G8536">
        <v>0</v>
      </c>
      <c r="H8536" t="s">
        <v>19447</v>
      </c>
      <c r="I8536" t="s">
        <v>19447</v>
      </c>
      <c r="J8536">
        <v>14</v>
      </c>
      <c r="L8536" t="s">
        <v>2709</v>
      </c>
      <c r="M8536">
        <v>84615090</v>
      </c>
      <c r="O8536" t="s">
        <v>20056</v>
      </c>
      <c r="P8536" t="s">
        <v>20127</v>
      </c>
      <c r="Q8536" t="s">
        <v>19900</v>
      </c>
      <c r="R8536" t="s">
        <v>19447</v>
      </c>
      <c r="S8536" t="s">
        <v>19447</v>
      </c>
      <c r="T8536" t="s">
        <v>19911</v>
      </c>
    </row>
    <row r="8537" spans="2:20" x14ac:dyDescent="0.25">
      <c r="B8537" t="s">
        <v>2709</v>
      </c>
      <c r="C8537">
        <v>84619010</v>
      </c>
      <c r="E8537">
        <v>71.78</v>
      </c>
      <c r="F8537">
        <v>8.8000000000000007</v>
      </c>
      <c r="G8537">
        <v>0</v>
      </c>
      <c r="H8537" t="s">
        <v>19447</v>
      </c>
      <c r="I8537" t="s">
        <v>19447</v>
      </c>
      <c r="J8537">
        <v>14</v>
      </c>
      <c r="L8537" t="s">
        <v>2709</v>
      </c>
      <c r="M8537">
        <v>84619010</v>
      </c>
      <c r="O8537" t="s">
        <v>20056</v>
      </c>
      <c r="P8537" t="s">
        <v>20127</v>
      </c>
      <c r="Q8537" t="s">
        <v>19900</v>
      </c>
      <c r="R8537" t="s">
        <v>19447</v>
      </c>
      <c r="S8537" t="s">
        <v>19447</v>
      </c>
      <c r="T8537" t="s">
        <v>19911</v>
      </c>
    </row>
    <row r="8538" spans="2:20" x14ac:dyDescent="0.25">
      <c r="B8538" t="s">
        <v>2709</v>
      </c>
      <c r="C8538">
        <v>84619090</v>
      </c>
      <c r="E8538">
        <v>71.78</v>
      </c>
      <c r="F8538">
        <v>8.8000000000000007</v>
      </c>
      <c r="G8538">
        <v>0</v>
      </c>
      <c r="H8538" t="s">
        <v>19447</v>
      </c>
      <c r="I8538" t="s">
        <v>19447</v>
      </c>
      <c r="J8538">
        <v>14</v>
      </c>
      <c r="L8538" t="s">
        <v>2709</v>
      </c>
      <c r="M8538">
        <v>84619090</v>
      </c>
      <c r="O8538" t="s">
        <v>20056</v>
      </c>
      <c r="P8538" t="s">
        <v>20127</v>
      </c>
      <c r="Q8538" t="s">
        <v>19900</v>
      </c>
      <c r="R8538" t="s">
        <v>19447</v>
      </c>
      <c r="S8538" t="s">
        <v>19447</v>
      </c>
      <c r="T8538" t="s">
        <v>19911</v>
      </c>
    </row>
    <row r="8539" spans="2:20" x14ac:dyDescent="0.25">
      <c r="B8539" t="s">
        <v>2709</v>
      </c>
      <c r="C8539">
        <v>84621011</v>
      </c>
      <c r="E8539">
        <v>71.78</v>
      </c>
      <c r="F8539">
        <v>8.8000000000000007</v>
      </c>
      <c r="G8539">
        <v>0</v>
      </c>
      <c r="H8539" t="s">
        <v>19447</v>
      </c>
      <c r="I8539" t="s">
        <v>19447</v>
      </c>
      <c r="J8539">
        <v>14</v>
      </c>
      <c r="L8539" t="s">
        <v>2709</v>
      </c>
      <c r="M8539">
        <v>84621011</v>
      </c>
      <c r="O8539" t="s">
        <v>20056</v>
      </c>
      <c r="P8539" t="s">
        <v>20127</v>
      </c>
      <c r="Q8539" t="s">
        <v>19900</v>
      </c>
      <c r="R8539" t="s">
        <v>19447</v>
      </c>
      <c r="S8539" t="s">
        <v>19447</v>
      </c>
      <c r="T8539" t="s">
        <v>19911</v>
      </c>
    </row>
    <row r="8540" spans="2:20" x14ac:dyDescent="0.25">
      <c r="B8540" t="s">
        <v>2709</v>
      </c>
      <c r="C8540">
        <v>84621019</v>
      </c>
      <c r="E8540">
        <v>71.78</v>
      </c>
      <c r="F8540">
        <v>8.8000000000000007</v>
      </c>
      <c r="G8540">
        <v>0</v>
      </c>
      <c r="H8540" t="s">
        <v>19447</v>
      </c>
      <c r="I8540" t="s">
        <v>19447</v>
      </c>
      <c r="J8540">
        <v>14</v>
      </c>
      <c r="L8540" t="s">
        <v>2709</v>
      </c>
      <c r="M8540">
        <v>84621019</v>
      </c>
      <c r="O8540" t="s">
        <v>20056</v>
      </c>
      <c r="P8540" t="s">
        <v>20127</v>
      </c>
      <c r="Q8540" t="s">
        <v>19900</v>
      </c>
      <c r="R8540" t="s">
        <v>19447</v>
      </c>
      <c r="S8540" t="s">
        <v>19447</v>
      </c>
      <c r="T8540" t="s">
        <v>19911</v>
      </c>
    </row>
    <row r="8541" spans="2:20" x14ac:dyDescent="0.25">
      <c r="B8541" t="s">
        <v>2709</v>
      </c>
      <c r="C8541">
        <v>84621090</v>
      </c>
      <c r="E8541">
        <v>71.78</v>
      </c>
      <c r="F8541">
        <v>8.8000000000000007</v>
      </c>
      <c r="G8541">
        <v>0</v>
      </c>
      <c r="H8541" t="s">
        <v>19447</v>
      </c>
      <c r="I8541" t="s">
        <v>19447</v>
      </c>
      <c r="J8541">
        <v>14</v>
      </c>
      <c r="L8541" t="s">
        <v>2709</v>
      </c>
      <c r="M8541">
        <v>84621090</v>
      </c>
      <c r="O8541" t="s">
        <v>20056</v>
      </c>
      <c r="P8541" t="s">
        <v>20127</v>
      </c>
      <c r="Q8541" t="s">
        <v>19900</v>
      </c>
      <c r="R8541" t="s">
        <v>19447</v>
      </c>
      <c r="S8541" t="s">
        <v>19447</v>
      </c>
      <c r="T8541" t="s">
        <v>19911</v>
      </c>
    </row>
    <row r="8542" spans="2:20" x14ac:dyDescent="0.25">
      <c r="B8542" t="s">
        <v>2709</v>
      </c>
      <c r="C8542">
        <v>84622100</v>
      </c>
      <c r="E8542">
        <v>71.78</v>
      </c>
      <c r="F8542">
        <v>8.8000000000000007</v>
      </c>
      <c r="G8542">
        <v>0</v>
      </c>
      <c r="H8542" t="s">
        <v>19447</v>
      </c>
      <c r="I8542" t="s">
        <v>19447</v>
      </c>
      <c r="J8542">
        <v>14</v>
      </c>
      <c r="L8542" t="s">
        <v>2709</v>
      </c>
      <c r="M8542">
        <v>84622100</v>
      </c>
      <c r="O8542" t="s">
        <v>20056</v>
      </c>
      <c r="P8542" t="s">
        <v>20127</v>
      </c>
      <c r="Q8542" t="s">
        <v>19900</v>
      </c>
      <c r="R8542" t="s">
        <v>19447</v>
      </c>
      <c r="S8542" t="s">
        <v>19447</v>
      </c>
      <c r="T8542" t="s">
        <v>19911</v>
      </c>
    </row>
    <row r="8543" spans="2:20" x14ac:dyDescent="0.25">
      <c r="B8543" t="s">
        <v>2709</v>
      </c>
      <c r="C8543">
        <v>84622900</v>
      </c>
      <c r="E8543">
        <v>71.78</v>
      </c>
      <c r="F8543">
        <v>8.8000000000000007</v>
      </c>
      <c r="G8543">
        <v>0</v>
      </c>
      <c r="H8543" t="s">
        <v>19447</v>
      </c>
      <c r="I8543" t="s">
        <v>19447</v>
      </c>
      <c r="J8543">
        <v>14</v>
      </c>
      <c r="L8543" t="s">
        <v>2709</v>
      </c>
      <c r="M8543">
        <v>84622900</v>
      </c>
      <c r="O8543" t="s">
        <v>20056</v>
      </c>
      <c r="P8543" t="s">
        <v>20127</v>
      </c>
      <c r="Q8543" t="s">
        <v>19900</v>
      </c>
      <c r="R8543" t="s">
        <v>19447</v>
      </c>
      <c r="S8543" t="s">
        <v>19447</v>
      </c>
      <c r="T8543" t="s">
        <v>19911</v>
      </c>
    </row>
    <row r="8544" spans="2:20" x14ac:dyDescent="0.25">
      <c r="B8544" t="s">
        <v>2709</v>
      </c>
      <c r="C8544">
        <v>84623100</v>
      </c>
      <c r="E8544">
        <v>71.78</v>
      </c>
      <c r="F8544">
        <v>8.8000000000000007</v>
      </c>
      <c r="G8544">
        <v>0</v>
      </c>
      <c r="H8544" t="s">
        <v>19447</v>
      </c>
      <c r="I8544" t="s">
        <v>19447</v>
      </c>
      <c r="J8544">
        <v>14</v>
      </c>
      <c r="L8544" t="s">
        <v>2709</v>
      </c>
      <c r="M8544">
        <v>84623100</v>
      </c>
      <c r="O8544" t="s">
        <v>20056</v>
      </c>
      <c r="P8544" t="s">
        <v>20127</v>
      </c>
      <c r="Q8544" t="s">
        <v>19900</v>
      </c>
      <c r="R8544" t="s">
        <v>19447</v>
      </c>
      <c r="S8544" t="s">
        <v>19447</v>
      </c>
      <c r="T8544" t="s">
        <v>19911</v>
      </c>
    </row>
    <row r="8545" spans="2:20" x14ac:dyDescent="0.25">
      <c r="B8545" t="s">
        <v>2709</v>
      </c>
      <c r="C8545">
        <v>84623910</v>
      </c>
      <c r="E8545">
        <v>71.78</v>
      </c>
      <c r="F8545">
        <v>8.8000000000000007</v>
      </c>
      <c r="G8545">
        <v>0</v>
      </c>
      <c r="H8545" t="s">
        <v>19447</v>
      </c>
      <c r="I8545" t="s">
        <v>19447</v>
      </c>
      <c r="J8545">
        <v>14</v>
      </c>
      <c r="L8545" t="s">
        <v>2709</v>
      </c>
      <c r="M8545">
        <v>84623910</v>
      </c>
      <c r="O8545" t="s">
        <v>20056</v>
      </c>
      <c r="P8545" t="s">
        <v>20127</v>
      </c>
      <c r="Q8545" t="s">
        <v>19900</v>
      </c>
      <c r="R8545" t="s">
        <v>19447</v>
      </c>
      <c r="S8545" t="s">
        <v>19447</v>
      </c>
      <c r="T8545" t="s">
        <v>19911</v>
      </c>
    </row>
    <row r="8546" spans="2:20" x14ac:dyDescent="0.25">
      <c r="B8546" t="s">
        <v>2709</v>
      </c>
      <c r="C8546">
        <v>84623990</v>
      </c>
      <c r="E8546">
        <v>71.78</v>
      </c>
      <c r="F8546">
        <v>8.8000000000000007</v>
      </c>
      <c r="G8546">
        <v>0</v>
      </c>
      <c r="H8546" t="s">
        <v>19447</v>
      </c>
      <c r="I8546" t="s">
        <v>19447</v>
      </c>
      <c r="J8546">
        <v>14</v>
      </c>
      <c r="L8546" t="s">
        <v>2709</v>
      </c>
      <c r="M8546">
        <v>84623990</v>
      </c>
      <c r="O8546" t="s">
        <v>20056</v>
      </c>
      <c r="P8546" t="s">
        <v>20127</v>
      </c>
      <c r="Q8546" t="s">
        <v>19900</v>
      </c>
      <c r="R8546" t="s">
        <v>19447</v>
      </c>
      <c r="S8546" t="s">
        <v>19447</v>
      </c>
      <c r="T8546" t="s">
        <v>19911</v>
      </c>
    </row>
    <row r="8547" spans="2:20" x14ac:dyDescent="0.25">
      <c r="B8547" t="s">
        <v>2709</v>
      </c>
      <c r="C8547">
        <v>84624100</v>
      </c>
      <c r="E8547">
        <v>71.78</v>
      </c>
      <c r="F8547">
        <v>8.8000000000000007</v>
      </c>
      <c r="G8547">
        <v>0</v>
      </c>
      <c r="H8547" t="s">
        <v>19447</v>
      </c>
      <c r="I8547" t="s">
        <v>19447</v>
      </c>
      <c r="J8547">
        <v>14</v>
      </c>
      <c r="L8547" t="s">
        <v>2709</v>
      </c>
      <c r="M8547">
        <v>84624100</v>
      </c>
      <c r="O8547" t="s">
        <v>20056</v>
      </c>
      <c r="P8547" t="s">
        <v>20127</v>
      </c>
      <c r="Q8547" t="s">
        <v>19900</v>
      </c>
      <c r="R8547" t="s">
        <v>19447</v>
      </c>
      <c r="S8547" t="s">
        <v>19447</v>
      </c>
      <c r="T8547" t="s">
        <v>19911</v>
      </c>
    </row>
    <row r="8548" spans="2:20" x14ac:dyDescent="0.25">
      <c r="B8548" t="s">
        <v>2709</v>
      </c>
      <c r="C8548">
        <v>84624900</v>
      </c>
      <c r="E8548">
        <v>71.78</v>
      </c>
      <c r="F8548">
        <v>8.8000000000000007</v>
      </c>
      <c r="G8548">
        <v>0</v>
      </c>
      <c r="H8548" t="s">
        <v>19447</v>
      </c>
      <c r="I8548" t="s">
        <v>19447</v>
      </c>
      <c r="J8548">
        <v>14</v>
      </c>
      <c r="L8548" t="s">
        <v>2709</v>
      </c>
      <c r="M8548">
        <v>84624900</v>
      </c>
      <c r="O8548" t="s">
        <v>20056</v>
      </c>
      <c r="P8548" t="s">
        <v>20127</v>
      </c>
      <c r="Q8548" t="s">
        <v>19900</v>
      </c>
      <c r="R8548" t="s">
        <v>19447</v>
      </c>
      <c r="S8548" t="s">
        <v>19447</v>
      </c>
      <c r="T8548" t="s">
        <v>19911</v>
      </c>
    </row>
    <row r="8549" spans="2:20" x14ac:dyDescent="0.25">
      <c r="B8549" t="s">
        <v>2709</v>
      </c>
      <c r="C8549">
        <v>84629111</v>
      </c>
      <c r="E8549">
        <v>71.78</v>
      </c>
      <c r="F8549">
        <v>8.8000000000000007</v>
      </c>
      <c r="G8549">
        <v>0</v>
      </c>
      <c r="H8549" t="s">
        <v>19447</v>
      </c>
      <c r="I8549" t="s">
        <v>19447</v>
      </c>
      <c r="J8549">
        <v>14</v>
      </c>
      <c r="L8549" t="s">
        <v>2709</v>
      </c>
      <c r="M8549">
        <v>84629111</v>
      </c>
      <c r="O8549" t="s">
        <v>20056</v>
      </c>
      <c r="P8549" t="s">
        <v>20127</v>
      </c>
      <c r="Q8549" t="s">
        <v>19900</v>
      </c>
      <c r="R8549" t="s">
        <v>19447</v>
      </c>
      <c r="S8549" t="s">
        <v>19447</v>
      </c>
      <c r="T8549" t="s">
        <v>19911</v>
      </c>
    </row>
    <row r="8550" spans="2:20" x14ac:dyDescent="0.25">
      <c r="B8550" t="s">
        <v>2709</v>
      </c>
      <c r="C8550">
        <v>84629119</v>
      </c>
      <c r="E8550">
        <v>71.78</v>
      </c>
      <c r="F8550">
        <v>8.8000000000000007</v>
      </c>
      <c r="G8550">
        <v>0</v>
      </c>
      <c r="H8550" t="s">
        <v>19447</v>
      </c>
      <c r="I8550" t="s">
        <v>19447</v>
      </c>
      <c r="J8550">
        <v>14</v>
      </c>
      <c r="L8550" t="s">
        <v>2709</v>
      </c>
      <c r="M8550">
        <v>84629119</v>
      </c>
      <c r="O8550" t="s">
        <v>20056</v>
      </c>
      <c r="P8550" t="s">
        <v>20127</v>
      </c>
      <c r="Q8550" t="s">
        <v>19900</v>
      </c>
      <c r="R8550" t="s">
        <v>19447</v>
      </c>
      <c r="S8550" t="s">
        <v>19447</v>
      </c>
      <c r="T8550" t="s">
        <v>19911</v>
      </c>
    </row>
    <row r="8551" spans="2:20" x14ac:dyDescent="0.25">
      <c r="B8551" t="s">
        <v>2709</v>
      </c>
      <c r="C8551">
        <v>84629191</v>
      </c>
      <c r="E8551">
        <v>71.78</v>
      </c>
      <c r="F8551">
        <v>8.8000000000000007</v>
      </c>
      <c r="G8551">
        <v>0</v>
      </c>
      <c r="H8551" t="s">
        <v>19447</v>
      </c>
      <c r="I8551" t="s">
        <v>19447</v>
      </c>
      <c r="J8551">
        <v>14</v>
      </c>
      <c r="L8551" t="s">
        <v>2709</v>
      </c>
      <c r="M8551">
        <v>84629191</v>
      </c>
      <c r="O8551" t="s">
        <v>20056</v>
      </c>
      <c r="P8551" t="s">
        <v>20127</v>
      </c>
      <c r="Q8551" t="s">
        <v>19900</v>
      </c>
      <c r="R8551" t="s">
        <v>19447</v>
      </c>
      <c r="S8551" t="s">
        <v>19447</v>
      </c>
      <c r="T8551" t="s">
        <v>19911</v>
      </c>
    </row>
    <row r="8552" spans="2:20" x14ac:dyDescent="0.25">
      <c r="B8552" t="s">
        <v>2709</v>
      </c>
      <c r="C8552">
        <v>84629199</v>
      </c>
      <c r="E8552">
        <v>71.78</v>
      </c>
      <c r="F8552">
        <v>8.8000000000000007</v>
      </c>
      <c r="G8552">
        <v>0</v>
      </c>
      <c r="H8552" t="s">
        <v>19447</v>
      </c>
      <c r="I8552" t="s">
        <v>19447</v>
      </c>
      <c r="J8552">
        <v>14</v>
      </c>
      <c r="L8552" t="s">
        <v>2709</v>
      </c>
      <c r="M8552">
        <v>84629199</v>
      </c>
      <c r="O8552" t="s">
        <v>20056</v>
      </c>
      <c r="P8552" t="s">
        <v>20127</v>
      </c>
      <c r="Q8552" t="s">
        <v>19900</v>
      </c>
      <c r="R8552" t="s">
        <v>19447</v>
      </c>
      <c r="S8552" t="s">
        <v>19447</v>
      </c>
      <c r="T8552" t="s">
        <v>19911</v>
      </c>
    </row>
    <row r="8553" spans="2:20" x14ac:dyDescent="0.25">
      <c r="B8553" t="s">
        <v>2709</v>
      </c>
      <c r="C8553">
        <v>84629910</v>
      </c>
      <c r="E8553">
        <v>71.78</v>
      </c>
      <c r="F8553">
        <v>8.8000000000000007</v>
      </c>
      <c r="G8553">
        <v>0</v>
      </c>
      <c r="H8553" t="s">
        <v>19447</v>
      </c>
      <c r="I8553" t="s">
        <v>19447</v>
      </c>
      <c r="J8553">
        <v>14</v>
      </c>
      <c r="L8553" t="s">
        <v>2709</v>
      </c>
      <c r="M8553">
        <v>84629910</v>
      </c>
      <c r="O8553" t="s">
        <v>20056</v>
      </c>
      <c r="P8553" t="s">
        <v>20127</v>
      </c>
      <c r="Q8553" t="s">
        <v>19900</v>
      </c>
      <c r="R8553" t="s">
        <v>19447</v>
      </c>
      <c r="S8553" t="s">
        <v>19447</v>
      </c>
      <c r="T8553" t="s">
        <v>19911</v>
      </c>
    </row>
    <row r="8554" spans="2:20" x14ac:dyDescent="0.25">
      <c r="B8554" t="s">
        <v>2709</v>
      </c>
      <c r="C8554">
        <v>84629920</v>
      </c>
      <c r="E8554">
        <v>71.78</v>
      </c>
      <c r="F8554">
        <v>8.8000000000000007</v>
      </c>
      <c r="G8554">
        <v>0</v>
      </c>
      <c r="H8554" t="s">
        <v>19447</v>
      </c>
      <c r="I8554" t="s">
        <v>19447</v>
      </c>
      <c r="J8554">
        <v>14</v>
      </c>
      <c r="L8554" t="s">
        <v>2709</v>
      </c>
      <c r="M8554">
        <v>84629920</v>
      </c>
      <c r="O8554" t="s">
        <v>20056</v>
      </c>
      <c r="P8554" t="s">
        <v>20127</v>
      </c>
      <c r="Q8554" t="s">
        <v>19900</v>
      </c>
      <c r="R8554" t="s">
        <v>19447</v>
      </c>
      <c r="S8554" t="s">
        <v>19447</v>
      </c>
      <c r="T8554" t="s">
        <v>19911</v>
      </c>
    </row>
    <row r="8555" spans="2:20" x14ac:dyDescent="0.25">
      <c r="B8555" t="s">
        <v>2709</v>
      </c>
      <c r="C8555">
        <v>84629990</v>
      </c>
      <c r="E8555">
        <v>71.78</v>
      </c>
      <c r="F8555">
        <v>8.8000000000000007</v>
      </c>
      <c r="G8555">
        <v>0</v>
      </c>
      <c r="H8555" t="s">
        <v>19447</v>
      </c>
      <c r="I8555" t="s">
        <v>19447</v>
      </c>
      <c r="J8555">
        <v>14</v>
      </c>
      <c r="L8555" t="s">
        <v>2709</v>
      </c>
      <c r="M8555">
        <v>84629990</v>
      </c>
      <c r="O8555" t="s">
        <v>20056</v>
      </c>
      <c r="P8555" t="s">
        <v>20127</v>
      </c>
      <c r="Q8555" t="s">
        <v>19900</v>
      </c>
      <c r="R8555" t="s">
        <v>19447</v>
      </c>
      <c r="S8555" t="s">
        <v>19447</v>
      </c>
      <c r="T8555" t="s">
        <v>19911</v>
      </c>
    </row>
    <row r="8556" spans="2:20" x14ac:dyDescent="0.25">
      <c r="B8556" t="s">
        <v>2709</v>
      </c>
      <c r="C8556">
        <v>84631010</v>
      </c>
      <c r="E8556">
        <v>71.78</v>
      </c>
      <c r="F8556">
        <v>8.8000000000000007</v>
      </c>
      <c r="G8556">
        <v>0</v>
      </c>
      <c r="H8556" t="s">
        <v>19447</v>
      </c>
      <c r="I8556" t="s">
        <v>19447</v>
      </c>
      <c r="J8556">
        <v>14</v>
      </c>
      <c r="L8556" t="s">
        <v>2709</v>
      </c>
      <c r="M8556">
        <v>84631010</v>
      </c>
      <c r="O8556" t="s">
        <v>20056</v>
      </c>
      <c r="P8556" t="s">
        <v>20127</v>
      </c>
      <c r="Q8556" t="s">
        <v>19900</v>
      </c>
      <c r="R8556" t="s">
        <v>19447</v>
      </c>
      <c r="S8556" t="s">
        <v>19447</v>
      </c>
      <c r="T8556" t="s">
        <v>19911</v>
      </c>
    </row>
    <row r="8557" spans="2:20" x14ac:dyDescent="0.25">
      <c r="B8557" t="s">
        <v>2709</v>
      </c>
      <c r="C8557">
        <v>84631090</v>
      </c>
      <c r="E8557">
        <v>71.78</v>
      </c>
      <c r="F8557">
        <v>8.8000000000000007</v>
      </c>
      <c r="G8557">
        <v>0</v>
      </c>
      <c r="H8557" t="s">
        <v>19447</v>
      </c>
      <c r="I8557" t="s">
        <v>19447</v>
      </c>
      <c r="J8557">
        <v>14</v>
      </c>
      <c r="L8557" t="s">
        <v>2709</v>
      </c>
      <c r="M8557">
        <v>84631090</v>
      </c>
      <c r="O8557" t="s">
        <v>20056</v>
      </c>
      <c r="P8557" t="s">
        <v>20127</v>
      </c>
      <c r="Q8557" t="s">
        <v>19900</v>
      </c>
      <c r="R8557" t="s">
        <v>19447</v>
      </c>
      <c r="S8557" t="s">
        <v>19447</v>
      </c>
      <c r="T8557" t="s">
        <v>19911</v>
      </c>
    </row>
    <row r="8558" spans="2:20" x14ac:dyDescent="0.25">
      <c r="B8558" t="s">
        <v>2709</v>
      </c>
      <c r="C8558">
        <v>84632010</v>
      </c>
      <c r="E8558">
        <v>71.78</v>
      </c>
      <c r="F8558">
        <v>8.8000000000000007</v>
      </c>
      <c r="G8558">
        <v>0</v>
      </c>
      <c r="H8558" t="s">
        <v>19447</v>
      </c>
      <c r="I8558" t="s">
        <v>19447</v>
      </c>
      <c r="J8558">
        <v>14</v>
      </c>
      <c r="L8558" t="s">
        <v>2709</v>
      </c>
      <c r="M8558">
        <v>84632010</v>
      </c>
      <c r="O8558" t="s">
        <v>20056</v>
      </c>
      <c r="P8558" t="s">
        <v>20127</v>
      </c>
      <c r="Q8558" t="s">
        <v>19900</v>
      </c>
      <c r="R8558" t="s">
        <v>19447</v>
      </c>
      <c r="S8558" t="s">
        <v>19447</v>
      </c>
      <c r="T8558" t="s">
        <v>19911</v>
      </c>
    </row>
    <row r="8559" spans="2:20" x14ac:dyDescent="0.25">
      <c r="B8559" t="s">
        <v>2709</v>
      </c>
      <c r="C8559">
        <v>84632091</v>
      </c>
      <c r="E8559">
        <v>71.78</v>
      </c>
      <c r="F8559">
        <v>8.8000000000000007</v>
      </c>
      <c r="G8559">
        <v>0</v>
      </c>
      <c r="H8559" t="s">
        <v>19447</v>
      </c>
      <c r="I8559" t="s">
        <v>19447</v>
      </c>
      <c r="J8559">
        <v>0</v>
      </c>
      <c r="L8559" t="s">
        <v>2709</v>
      </c>
      <c r="M8559">
        <v>84632091</v>
      </c>
      <c r="O8559" t="s">
        <v>20056</v>
      </c>
      <c r="P8559" t="s">
        <v>20127</v>
      </c>
      <c r="Q8559" t="s">
        <v>19900</v>
      </c>
      <c r="R8559" t="s">
        <v>19447</v>
      </c>
      <c r="S8559" t="s">
        <v>19447</v>
      </c>
      <c r="T8559" t="s">
        <v>19900</v>
      </c>
    </row>
    <row r="8560" spans="2:20" x14ac:dyDescent="0.25">
      <c r="B8560" t="s">
        <v>2709</v>
      </c>
      <c r="C8560">
        <v>84632099</v>
      </c>
      <c r="E8560">
        <v>71.78</v>
      </c>
      <c r="F8560">
        <v>8.8000000000000007</v>
      </c>
      <c r="G8560">
        <v>0</v>
      </c>
      <c r="H8560" t="s">
        <v>19447</v>
      </c>
      <c r="I8560" t="s">
        <v>19447</v>
      </c>
      <c r="J8560">
        <v>14</v>
      </c>
      <c r="L8560" t="s">
        <v>2709</v>
      </c>
      <c r="M8560">
        <v>84632099</v>
      </c>
      <c r="O8560" t="s">
        <v>20056</v>
      </c>
      <c r="P8560" t="s">
        <v>20127</v>
      </c>
      <c r="Q8560" t="s">
        <v>19900</v>
      </c>
      <c r="R8560" t="s">
        <v>19447</v>
      </c>
      <c r="S8560" t="s">
        <v>19447</v>
      </c>
      <c r="T8560" t="s">
        <v>19911</v>
      </c>
    </row>
    <row r="8561" spans="2:20" x14ac:dyDescent="0.25">
      <c r="B8561" t="s">
        <v>2709</v>
      </c>
      <c r="C8561">
        <v>84633000</v>
      </c>
      <c r="E8561">
        <v>71.78</v>
      </c>
      <c r="F8561">
        <v>8.8000000000000007</v>
      </c>
      <c r="G8561">
        <v>0</v>
      </c>
      <c r="H8561" t="s">
        <v>19447</v>
      </c>
      <c r="I8561" t="s">
        <v>19447</v>
      </c>
      <c r="J8561">
        <v>14</v>
      </c>
      <c r="L8561" t="s">
        <v>2709</v>
      </c>
      <c r="M8561">
        <v>84633000</v>
      </c>
      <c r="O8561" t="s">
        <v>20056</v>
      </c>
      <c r="P8561" t="s">
        <v>20127</v>
      </c>
      <c r="Q8561" t="s">
        <v>19900</v>
      </c>
      <c r="R8561" t="s">
        <v>19447</v>
      </c>
      <c r="S8561" t="s">
        <v>19447</v>
      </c>
      <c r="T8561" t="s">
        <v>19911</v>
      </c>
    </row>
    <row r="8562" spans="2:20" x14ac:dyDescent="0.25">
      <c r="B8562" t="s">
        <v>2709</v>
      </c>
      <c r="C8562">
        <v>84639010</v>
      </c>
      <c r="E8562">
        <v>71.78</v>
      </c>
      <c r="F8562">
        <v>8.8000000000000007</v>
      </c>
      <c r="G8562">
        <v>0</v>
      </c>
      <c r="H8562" t="s">
        <v>19447</v>
      </c>
      <c r="I8562" t="s">
        <v>19447</v>
      </c>
      <c r="J8562">
        <v>14</v>
      </c>
      <c r="L8562" t="s">
        <v>2709</v>
      </c>
      <c r="M8562">
        <v>84639010</v>
      </c>
      <c r="O8562" t="s">
        <v>20056</v>
      </c>
      <c r="P8562" t="s">
        <v>20127</v>
      </c>
      <c r="Q8562" t="s">
        <v>19900</v>
      </c>
      <c r="R8562" t="s">
        <v>19447</v>
      </c>
      <c r="S8562" t="s">
        <v>19447</v>
      </c>
      <c r="T8562" t="s">
        <v>19911</v>
      </c>
    </row>
    <row r="8563" spans="2:20" x14ac:dyDescent="0.25">
      <c r="B8563" t="s">
        <v>2709</v>
      </c>
      <c r="C8563">
        <v>84639090</v>
      </c>
      <c r="E8563">
        <v>71.78</v>
      </c>
      <c r="F8563">
        <v>12</v>
      </c>
      <c r="G8563">
        <v>0</v>
      </c>
      <c r="H8563" t="s">
        <v>19447</v>
      </c>
      <c r="I8563" t="s">
        <v>19447</v>
      </c>
      <c r="J8563">
        <v>14</v>
      </c>
      <c r="L8563" t="s">
        <v>2709</v>
      </c>
      <c r="M8563">
        <v>84639090</v>
      </c>
      <c r="O8563" t="s">
        <v>20056</v>
      </c>
      <c r="P8563" t="s">
        <v>19903</v>
      </c>
      <c r="Q8563" t="s">
        <v>19900</v>
      </c>
      <c r="R8563" t="s">
        <v>19447</v>
      </c>
      <c r="S8563" t="s">
        <v>19447</v>
      </c>
      <c r="T8563" t="s">
        <v>19911</v>
      </c>
    </row>
    <row r="8564" spans="2:20" x14ac:dyDescent="0.25">
      <c r="B8564" t="s">
        <v>2709</v>
      </c>
      <c r="C8564">
        <v>84641000</v>
      </c>
      <c r="E8564">
        <v>71.78</v>
      </c>
      <c r="F8564">
        <v>8.8000000000000007</v>
      </c>
      <c r="G8564">
        <v>0</v>
      </c>
      <c r="H8564" t="s">
        <v>19447</v>
      </c>
      <c r="I8564" t="s">
        <v>19447</v>
      </c>
      <c r="J8564">
        <v>14</v>
      </c>
      <c r="L8564" t="s">
        <v>2709</v>
      </c>
      <c r="M8564">
        <v>84641000</v>
      </c>
      <c r="O8564" t="s">
        <v>20056</v>
      </c>
      <c r="P8564" t="s">
        <v>20127</v>
      </c>
      <c r="Q8564" t="s">
        <v>19900</v>
      </c>
      <c r="R8564" t="s">
        <v>19447</v>
      </c>
      <c r="S8564" t="s">
        <v>19447</v>
      </c>
      <c r="T8564" t="s">
        <v>19911</v>
      </c>
    </row>
    <row r="8565" spans="2:20" x14ac:dyDescent="0.25">
      <c r="B8565" t="s">
        <v>2709</v>
      </c>
      <c r="C8565">
        <v>84642010</v>
      </c>
      <c r="E8565">
        <v>71.78</v>
      </c>
      <c r="F8565">
        <v>8.8000000000000007</v>
      </c>
      <c r="G8565">
        <v>0</v>
      </c>
      <c r="H8565" t="s">
        <v>19447</v>
      </c>
      <c r="I8565" t="s">
        <v>19447</v>
      </c>
      <c r="J8565">
        <v>14</v>
      </c>
      <c r="L8565" t="s">
        <v>2709</v>
      </c>
      <c r="M8565">
        <v>84642010</v>
      </c>
      <c r="O8565" t="s">
        <v>20056</v>
      </c>
      <c r="P8565" t="s">
        <v>20127</v>
      </c>
      <c r="Q8565" t="s">
        <v>19900</v>
      </c>
      <c r="R8565" t="s">
        <v>19447</v>
      </c>
      <c r="S8565" t="s">
        <v>19447</v>
      </c>
      <c r="T8565" t="s">
        <v>19911</v>
      </c>
    </row>
    <row r="8566" spans="2:20" x14ac:dyDescent="0.25">
      <c r="B8566" t="s">
        <v>2709</v>
      </c>
      <c r="C8566">
        <v>84642021</v>
      </c>
      <c r="E8566">
        <v>71.78</v>
      </c>
      <c r="F8566">
        <v>8.8000000000000007</v>
      </c>
      <c r="G8566">
        <v>0</v>
      </c>
      <c r="H8566" t="s">
        <v>19447</v>
      </c>
      <c r="I8566" t="s">
        <v>19447</v>
      </c>
      <c r="J8566">
        <v>0</v>
      </c>
      <c r="L8566" t="s">
        <v>2709</v>
      </c>
      <c r="M8566">
        <v>84642021</v>
      </c>
      <c r="O8566" t="s">
        <v>20056</v>
      </c>
      <c r="P8566" t="s">
        <v>20127</v>
      </c>
      <c r="Q8566" t="s">
        <v>19900</v>
      </c>
      <c r="R8566" t="s">
        <v>19447</v>
      </c>
      <c r="S8566" t="s">
        <v>19447</v>
      </c>
      <c r="T8566" t="s">
        <v>19900</v>
      </c>
    </row>
    <row r="8567" spans="2:20" x14ac:dyDescent="0.25">
      <c r="B8567" t="s">
        <v>2709</v>
      </c>
      <c r="C8567">
        <v>84642029</v>
      </c>
      <c r="E8567">
        <v>71.78</v>
      </c>
      <c r="F8567">
        <v>8.8000000000000007</v>
      </c>
      <c r="G8567">
        <v>0</v>
      </c>
      <c r="H8567" t="s">
        <v>19447</v>
      </c>
      <c r="I8567" t="s">
        <v>19447</v>
      </c>
      <c r="J8567">
        <v>14</v>
      </c>
      <c r="L8567" t="s">
        <v>2709</v>
      </c>
      <c r="M8567">
        <v>84642029</v>
      </c>
      <c r="O8567" t="s">
        <v>20056</v>
      </c>
      <c r="P8567" t="s">
        <v>20127</v>
      </c>
      <c r="Q8567" t="s">
        <v>19900</v>
      </c>
      <c r="R8567" t="s">
        <v>19447</v>
      </c>
      <c r="S8567" t="s">
        <v>19447</v>
      </c>
      <c r="T8567" t="s">
        <v>19911</v>
      </c>
    </row>
    <row r="8568" spans="2:20" x14ac:dyDescent="0.25">
      <c r="B8568" t="s">
        <v>2709</v>
      </c>
      <c r="C8568">
        <v>84642090</v>
      </c>
      <c r="E8568">
        <v>71.78</v>
      </c>
      <c r="F8568">
        <v>8.8000000000000007</v>
      </c>
      <c r="G8568">
        <v>0</v>
      </c>
      <c r="H8568" t="s">
        <v>19447</v>
      </c>
      <c r="I8568" t="s">
        <v>19447</v>
      </c>
      <c r="J8568">
        <v>14</v>
      </c>
      <c r="L8568" t="s">
        <v>2709</v>
      </c>
      <c r="M8568">
        <v>84642090</v>
      </c>
      <c r="O8568" t="s">
        <v>20056</v>
      </c>
      <c r="P8568" t="s">
        <v>20127</v>
      </c>
      <c r="Q8568" t="s">
        <v>19900</v>
      </c>
      <c r="R8568" t="s">
        <v>19447</v>
      </c>
      <c r="S8568" t="s">
        <v>19447</v>
      </c>
      <c r="T8568" t="s">
        <v>19911</v>
      </c>
    </row>
    <row r="8569" spans="2:20" x14ac:dyDescent="0.25">
      <c r="B8569" t="s">
        <v>2709</v>
      </c>
      <c r="C8569">
        <v>84649011</v>
      </c>
      <c r="E8569">
        <v>71.78</v>
      </c>
      <c r="F8569">
        <v>8.8000000000000007</v>
      </c>
      <c r="G8569">
        <v>0</v>
      </c>
      <c r="H8569" t="s">
        <v>19447</v>
      </c>
      <c r="I8569" t="s">
        <v>19447</v>
      </c>
      <c r="J8569">
        <v>0</v>
      </c>
      <c r="L8569" t="s">
        <v>2709</v>
      </c>
      <c r="M8569">
        <v>84649011</v>
      </c>
      <c r="O8569" t="s">
        <v>20056</v>
      </c>
      <c r="P8569" t="s">
        <v>20127</v>
      </c>
      <c r="Q8569" t="s">
        <v>19900</v>
      </c>
      <c r="R8569" t="s">
        <v>19447</v>
      </c>
      <c r="S8569" t="s">
        <v>19447</v>
      </c>
      <c r="T8569" t="s">
        <v>19900</v>
      </c>
    </row>
    <row r="8570" spans="2:20" x14ac:dyDescent="0.25">
      <c r="B8570" t="s">
        <v>2709</v>
      </c>
      <c r="C8570">
        <v>84649019</v>
      </c>
      <c r="E8570">
        <v>71.78</v>
      </c>
      <c r="F8570">
        <v>8.8000000000000007</v>
      </c>
      <c r="G8570">
        <v>0</v>
      </c>
      <c r="H8570" t="s">
        <v>19447</v>
      </c>
      <c r="I8570" t="s">
        <v>19447</v>
      </c>
      <c r="J8570">
        <v>14</v>
      </c>
      <c r="L8570" t="s">
        <v>2709</v>
      </c>
      <c r="M8570">
        <v>84649019</v>
      </c>
      <c r="O8570" t="s">
        <v>20056</v>
      </c>
      <c r="P8570" t="s">
        <v>20127</v>
      </c>
      <c r="Q8570" t="s">
        <v>19900</v>
      </c>
      <c r="R8570" t="s">
        <v>19447</v>
      </c>
      <c r="S8570" t="s">
        <v>19447</v>
      </c>
      <c r="T8570" t="s">
        <v>19911</v>
      </c>
    </row>
    <row r="8571" spans="2:20" x14ac:dyDescent="0.25">
      <c r="B8571" t="s">
        <v>2709</v>
      </c>
      <c r="C8571">
        <v>84649090</v>
      </c>
      <c r="E8571">
        <v>71.78</v>
      </c>
      <c r="F8571">
        <v>8.8000000000000007</v>
      </c>
      <c r="G8571">
        <v>0</v>
      </c>
      <c r="H8571" t="s">
        <v>19447</v>
      </c>
      <c r="I8571" t="s">
        <v>19447</v>
      </c>
      <c r="J8571">
        <v>14</v>
      </c>
      <c r="L8571" t="s">
        <v>2709</v>
      </c>
      <c r="M8571">
        <v>84649090</v>
      </c>
      <c r="O8571" t="s">
        <v>20056</v>
      </c>
      <c r="P8571" t="s">
        <v>20127</v>
      </c>
      <c r="Q8571" t="s">
        <v>19900</v>
      </c>
      <c r="R8571" t="s">
        <v>19447</v>
      </c>
      <c r="S8571" t="s">
        <v>19447</v>
      </c>
      <c r="T8571" t="s">
        <v>19911</v>
      </c>
    </row>
    <row r="8572" spans="2:20" x14ac:dyDescent="0.25">
      <c r="B8572" t="s">
        <v>2709</v>
      </c>
      <c r="C8572">
        <v>84651000</v>
      </c>
      <c r="E8572">
        <v>71.78</v>
      </c>
      <c r="F8572">
        <v>8.8000000000000007</v>
      </c>
      <c r="G8572">
        <v>0</v>
      </c>
      <c r="H8572" t="s">
        <v>19447</v>
      </c>
      <c r="I8572" t="s">
        <v>19447</v>
      </c>
      <c r="J8572">
        <v>14</v>
      </c>
      <c r="L8572" t="s">
        <v>2709</v>
      </c>
      <c r="M8572">
        <v>84651000</v>
      </c>
      <c r="O8572" t="s">
        <v>20056</v>
      </c>
      <c r="P8572" t="s">
        <v>20127</v>
      </c>
      <c r="Q8572" t="s">
        <v>19900</v>
      </c>
      <c r="R8572" t="s">
        <v>19447</v>
      </c>
      <c r="S8572" t="s">
        <v>19447</v>
      </c>
      <c r="T8572" t="s">
        <v>19911</v>
      </c>
    </row>
    <row r="8573" spans="2:20" x14ac:dyDescent="0.25">
      <c r="B8573" t="s">
        <v>2709</v>
      </c>
      <c r="C8573">
        <v>84659110</v>
      </c>
      <c r="E8573">
        <v>71.78</v>
      </c>
      <c r="F8573">
        <v>8.8000000000000007</v>
      </c>
      <c r="G8573">
        <v>0</v>
      </c>
      <c r="H8573" t="s">
        <v>19447</v>
      </c>
      <c r="I8573" t="s">
        <v>19447</v>
      </c>
      <c r="J8573">
        <v>14</v>
      </c>
      <c r="L8573" t="s">
        <v>2709</v>
      </c>
      <c r="M8573">
        <v>84659110</v>
      </c>
      <c r="O8573" t="s">
        <v>20056</v>
      </c>
      <c r="P8573" t="s">
        <v>20127</v>
      </c>
      <c r="Q8573" t="s">
        <v>19900</v>
      </c>
      <c r="R8573" t="s">
        <v>19447</v>
      </c>
      <c r="S8573" t="s">
        <v>19447</v>
      </c>
      <c r="T8573" t="s">
        <v>19911</v>
      </c>
    </row>
    <row r="8574" spans="2:20" x14ac:dyDescent="0.25">
      <c r="B8574" t="s">
        <v>2709</v>
      </c>
      <c r="C8574">
        <v>84659120</v>
      </c>
      <c r="E8574">
        <v>71.78</v>
      </c>
      <c r="F8574">
        <v>8.8000000000000007</v>
      </c>
      <c r="G8574">
        <v>0</v>
      </c>
      <c r="H8574" t="s">
        <v>19447</v>
      </c>
      <c r="I8574" t="s">
        <v>19447</v>
      </c>
      <c r="J8574">
        <v>14</v>
      </c>
      <c r="L8574" t="s">
        <v>2709</v>
      </c>
      <c r="M8574">
        <v>84659120</v>
      </c>
      <c r="O8574" t="s">
        <v>20056</v>
      </c>
      <c r="P8574" t="s">
        <v>20127</v>
      </c>
      <c r="Q8574" t="s">
        <v>19900</v>
      </c>
      <c r="R8574" t="s">
        <v>19447</v>
      </c>
      <c r="S8574" t="s">
        <v>19447</v>
      </c>
      <c r="T8574" t="s">
        <v>19911</v>
      </c>
    </row>
    <row r="8575" spans="2:20" x14ac:dyDescent="0.25">
      <c r="B8575" t="s">
        <v>2709</v>
      </c>
      <c r="C8575">
        <v>84659190</v>
      </c>
      <c r="E8575">
        <v>71.78</v>
      </c>
      <c r="F8575">
        <v>8.8000000000000007</v>
      </c>
      <c r="G8575">
        <v>0</v>
      </c>
      <c r="H8575" t="s">
        <v>19447</v>
      </c>
      <c r="I8575" t="s">
        <v>19447</v>
      </c>
      <c r="J8575">
        <v>14</v>
      </c>
      <c r="L8575" t="s">
        <v>2709</v>
      </c>
      <c r="M8575">
        <v>84659190</v>
      </c>
      <c r="O8575" t="s">
        <v>20056</v>
      </c>
      <c r="P8575" t="s">
        <v>20127</v>
      </c>
      <c r="Q8575" t="s">
        <v>19900</v>
      </c>
      <c r="R8575" t="s">
        <v>19447</v>
      </c>
      <c r="S8575" t="s">
        <v>19447</v>
      </c>
      <c r="T8575" t="s">
        <v>19911</v>
      </c>
    </row>
    <row r="8576" spans="2:20" x14ac:dyDescent="0.25">
      <c r="B8576" t="s">
        <v>2709</v>
      </c>
      <c r="C8576">
        <v>84659211</v>
      </c>
      <c r="E8576">
        <v>71.78</v>
      </c>
      <c r="F8576">
        <v>8.8000000000000007</v>
      </c>
      <c r="G8576">
        <v>0</v>
      </c>
      <c r="H8576" t="s">
        <v>19447</v>
      </c>
      <c r="I8576" t="s">
        <v>19447</v>
      </c>
      <c r="J8576">
        <v>14</v>
      </c>
      <c r="L8576" t="s">
        <v>2709</v>
      </c>
      <c r="M8576">
        <v>84659211</v>
      </c>
      <c r="O8576" t="s">
        <v>20056</v>
      </c>
      <c r="P8576" t="s">
        <v>20127</v>
      </c>
      <c r="Q8576" t="s">
        <v>19900</v>
      </c>
      <c r="R8576" t="s">
        <v>19447</v>
      </c>
      <c r="S8576" t="s">
        <v>19447</v>
      </c>
      <c r="T8576" t="s">
        <v>19911</v>
      </c>
    </row>
    <row r="8577" spans="2:20" x14ac:dyDescent="0.25">
      <c r="B8577" t="s">
        <v>2709</v>
      </c>
      <c r="C8577">
        <v>84659219</v>
      </c>
      <c r="E8577">
        <v>71.78</v>
      </c>
      <c r="F8577">
        <v>8.8000000000000007</v>
      </c>
      <c r="G8577">
        <v>0</v>
      </c>
      <c r="H8577" t="s">
        <v>19447</v>
      </c>
      <c r="I8577" t="s">
        <v>19447</v>
      </c>
      <c r="J8577">
        <v>14</v>
      </c>
      <c r="L8577" t="s">
        <v>2709</v>
      </c>
      <c r="M8577">
        <v>84659219</v>
      </c>
      <c r="O8577" t="s">
        <v>20056</v>
      </c>
      <c r="P8577" t="s">
        <v>20127</v>
      </c>
      <c r="Q8577" t="s">
        <v>19900</v>
      </c>
      <c r="R8577" t="s">
        <v>19447</v>
      </c>
      <c r="S8577" t="s">
        <v>19447</v>
      </c>
      <c r="T8577" t="s">
        <v>19911</v>
      </c>
    </row>
    <row r="8578" spans="2:20" x14ac:dyDescent="0.25">
      <c r="B8578" t="s">
        <v>2709</v>
      </c>
      <c r="C8578">
        <v>84659290</v>
      </c>
      <c r="E8578">
        <v>71.78</v>
      </c>
      <c r="F8578">
        <v>8.8000000000000007</v>
      </c>
      <c r="G8578">
        <v>0</v>
      </c>
      <c r="H8578" t="s">
        <v>19447</v>
      </c>
      <c r="I8578" t="s">
        <v>19447</v>
      </c>
      <c r="J8578">
        <v>14</v>
      </c>
      <c r="L8578" t="s">
        <v>2709</v>
      </c>
      <c r="M8578">
        <v>84659290</v>
      </c>
      <c r="O8578" t="s">
        <v>20056</v>
      </c>
      <c r="P8578" t="s">
        <v>20127</v>
      </c>
      <c r="Q8578" t="s">
        <v>19900</v>
      </c>
      <c r="R8578" t="s">
        <v>19447</v>
      </c>
      <c r="S8578" t="s">
        <v>19447</v>
      </c>
      <c r="T8578" t="s">
        <v>19911</v>
      </c>
    </row>
    <row r="8579" spans="2:20" x14ac:dyDescent="0.25">
      <c r="B8579" t="s">
        <v>2709</v>
      </c>
      <c r="C8579">
        <v>84659310</v>
      </c>
      <c r="E8579">
        <v>71.78</v>
      </c>
      <c r="F8579">
        <v>8.8000000000000007</v>
      </c>
      <c r="G8579">
        <v>0</v>
      </c>
      <c r="H8579" t="s">
        <v>19447</v>
      </c>
      <c r="I8579" t="s">
        <v>19447</v>
      </c>
      <c r="J8579">
        <v>14</v>
      </c>
      <c r="L8579" t="s">
        <v>2709</v>
      </c>
      <c r="M8579">
        <v>84659310</v>
      </c>
      <c r="O8579" t="s">
        <v>20056</v>
      </c>
      <c r="P8579" t="s">
        <v>20127</v>
      </c>
      <c r="Q8579" t="s">
        <v>19900</v>
      </c>
      <c r="R8579" t="s">
        <v>19447</v>
      </c>
      <c r="S8579" t="s">
        <v>19447</v>
      </c>
      <c r="T8579" t="s">
        <v>19911</v>
      </c>
    </row>
    <row r="8580" spans="2:20" x14ac:dyDescent="0.25">
      <c r="B8580" t="s">
        <v>2709</v>
      </c>
      <c r="C8580">
        <v>84659390</v>
      </c>
      <c r="E8580">
        <v>71.78</v>
      </c>
      <c r="F8580">
        <v>8.8000000000000007</v>
      </c>
      <c r="G8580">
        <v>0</v>
      </c>
      <c r="H8580" t="s">
        <v>19447</v>
      </c>
      <c r="I8580" t="s">
        <v>19447</v>
      </c>
      <c r="J8580">
        <v>14</v>
      </c>
      <c r="L8580" t="s">
        <v>2709</v>
      </c>
      <c r="M8580">
        <v>84659390</v>
      </c>
      <c r="O8580" t="s">
        <v>20056</v>
      </c>
      <c r="P8580" t="s">
        <v>20127</v>
      </c>
      <c r="Q8580" t="s">
        <v>19900</v>
      </c>
      <c r="R8580" t="s">
        <v>19447</v>
      </c>
      <c r="S8580" t="s">
        <v>19447</v>
      </c>
      <c r="T8580" t="s">
        <v>19911</v>
      </c>
    </row>
    <row r="8581" spans="2:20" x14ac:dyDescent="0.25">
      <c r="B8581" t="s">
        <v>2709</v>
      </c>
      <c r="C8581">
        <v>84659400</v>
      </c>
      <c r="E8581">
        <v>71.78</v>
      </c>
      <c r="F8581">
        <v>8.8000000000000007</v>
      </c>
      <c r="G8581">
        <v>0</v>
      </c>
      <c r="H8581" t="s">
        <v>19447</v>
      </c>
      <c r="I8581" t="s">
        <v>19447</v>
      </c>
      <c r="J8581">
        <v>14</v>
      </c>
      <c r="L8581" t="s">
        <v>2709</v>
      </c>
      <c r="M8581">
        <v>84659400</v>
      </c>
      <c r="O8581" t="s">
        <v>20056</v>
      </c>
      <c r="P8581" t="s">
        <v>20127</v>
      </c>
      <c r="Q8581" t="s">
        <v>19900</v>
      </c>
      <c r="R8581" t="s">
        <v>19447</v>
      </c>
      <c r="S8581" t="s">
        <v>19447</v>
      </c>
      <c r="T8581" t="s">
        <v>19911</v>
      </c>
    </row>
    <row r="8582" spans="2:20" x14ac:dyDescent="0.25">
      <c r="B8582" t="s">
        <v>2709</v>
      </c>
      <c r="C8582">
        <v>84659511</v>
      </c>
      <c r="E8582">
        <v>71.78</v>
      </c>
      <c r="F8582">
        <v>8.8000000000000007</v>
      </c>
      <c r="G8582">
        <v>0</v>
      </c>
      <c r="H8582" t="s">
        <v>19447</v>
      </c>
      <c r="I8582" t="s">
        <v>19447</v>
      </c>
      <c r="J8582">
        <v>14</v>
      </c>
      <c r="L8582" t="s">
        <v>2709</v>
      </c>
      <c r="M8582">
        <v>84659511</v>
      </c>
      <c r="O8582" t="s">
        <v>20056</v>
      </c>
      <c r="P8582" t="s">
        <v>20127</v>
      </c>
      <c r="Q8582" t="s">
        <v>19900</v>
      </c>
      <c r="R8582" t="s">
        <v>19447</v>
      </c>
      <c r="S8582" t="s">
        <v>19447</v>
      </c>
      <c r="T8582" t="s">
        <v>19911</v>
      </c>
    </row>
    <row r="8583" spans="2:20" x14ac:dyDescent="0.25">
      <c r="B8583" t="s">
        <v>2709</v>
      </c>
      <c r="C8583">
        <v>84659512</v>
      </c>
      <c r="E8583">
        <v>71.78</v>
      </c>
      <c r="F8583">
        <v>8.8000000000000007</v>
      </c>
      <c r="G8583">
        <v>0</v>
      </c>
      <c r="H8583" t="s">
        <v>19447</v>
      </c>
      <c r="I8583" t="s">
        <v>19447</v>
      </c>
      <c r="J8583">
        <v>14</v>
      </c>
      <c r="L8583" t="s">
        <v>2709</v>
      </c>
      <c r="M8583">
        <v>84659512</v>
      </c>
      <c r="O8583" t="s">
        <v>20056</v>
      </c>
      <c r="P8583" t="s">
        <v>20127</v>
      </c>
      <c r="Q8583" t="s">
        <v>19900</v>
      </c>
      <c r="R8583" t="s">
        <v>19447</v>
      </c>
      <c r="S8583" t="s">
        <v>19447</v>
      </c>
      <c r="T8583" t="s">
        <v>19911</v>
      </c>
    </row>
    <row r="8584" spans="2:20" x14ac:dyDescent="0.25">
      <c r="B8584" t="s">
        <v>2709</v>
      </c>
      <c r="C8584">
        <v>84659591</v>
      </c>
      <c r="E8584">
        <v>71.78</v>
      </c>
      <c r="F8584">
        <v>8.8000000000000007</v>
      </c>
      <c r="G8584">
        <v>0</v>
      </c>
      <c r="H8584" t="s">
        <v>19447</v>
      </c>
      <c r="I8584" t="s">
        <v>19447</v>
      </c>
      <c r="J8584">
        <v>14</v>
      </c>
      <c r="L8584" t="s">
        <v>2709</v>
      </c>
      <c r="M8584">
        <v>84659591</v>
      </c>
      <c r="O8584" t="s">
        <v>20056</v>
      </c>
      <c r="P8584" t="s">
        <v>20127</v>
      </c>
      <c r="Q8584" t="s">
        <v>19900</v>
      </c>
      <c r="R8584" t="s">
        <v>19447</v>
      </c>
      <c r="S8584" t="s">
        <v>19447</v>
      </c>
      <c r="T8584" t="s">
        <v>19911</v>
      </c>
    </row>
    <row r="8585" spans="2:20" x14ac:dyDescent="0.25">
      <c r="B8585" t="s">
        <v>2709</v>
      </c>
      <c r="C8585">
        <v>84659592</v>
      </c>
      <c r="E8585">
        <v>71.78</v>
      </c>
      <c r="F8585">
        <v>8.8000000000000007</v>
      </c>
      <c r="G8585">
        <v>0</v>
      </c>
      <c r="H8585" t="s">
        <v>19447</v>
      </c>
      <c r="I8585" t="s">
        <v>19447</v>
      </c>
      <c r="J8585">
        <v>14</v>
      </c>
      <c r="L8585" t="s">
        <v>2709</v>
      </c>
      <c r="M8585">
        <v>84659592</v>
      </c>
      <c r="O8585" t="s">
        <v>20056</v>
      </c>
      <c r="P8585" t="s">
        <v>20127</v>
      </c>
      <c r="Q8585" t="s">
        <v>19900</v>
      </c>
      <c r="R8585" t="s">
        <v>19447</v>
      </c>
      <c r="S8585" t="s">
        <v>19447</v>
      </c>
      <c r="T8585" t="s">
        <v>19911</v>
      </c>
    </row>
    <row r="8586" spans="2:20" x14ac:dyDescent="0.25">
      <c r="B8586" t="s">
        <v>2709</v>
      </c>
      <c r="C8586">
        <v>84659600</v>
      </c>
      <c r="E8586">
        <v>71.78</v>
      </c>
      <c r="F8586">
        <v>8.8000000000000007</v>
      </c>
      <c r="G8586">
        <v>0</v>
      </c>
      <c r="H8586" t="s">
        <v>19447</v>
      </c>
      <c r="I8586" t="s">
        <v>19447</v>
      </c>
      <c r="J8586">
        <v>14</v>
      </c>
      <c r="L8586" t="s">
        <v>2709</v>
      </c>
      <c r="M8586">
        <v>84659600</v>
      </c>
      <c r="O8586" t="s">
        <v>20056</v>
      </c>
      <c r="P8586" t="s">
        <v>20127</v>
      </c>
      <c r="Q8586" t="s">
        <v>19900</v>
      </c>
      <c r="R8586" t="s">
        <v>19447</v>
      </c>
      <c r="S8586" t="s">
        <v>19447</v>
      </c>
      <c r="T8586" t="s">
        <v>19911</v>
      </c>
    </row>
    <row r="8587" spans="2:20" x14ac:dyDescent="0.25">
      <c r="B8587" t="s">
        <v>2709</v>
      </c>
      <c r="C8587">
        <v>84659900</v>
      </c>
      <c r="E8587">
        <v>71.78</v>
      </c>
      <c r="F8587">
        <v>12</v>
      </c>
      <c r="G8587">
        <v>0</v>
      </c>
      <c r="H8587" t="s">
        <v>19447</v>
      </c>
      <c r="I8587" t="s">
        <v>19447</v>
      </c>
      <c r="J8587">
        <v>14</v>
      </c>
      <c r="L8587" t="s">
        <v>2709</v>
      </c>
      <c r="M8587">
        <v>84659900</v>
      </c>
      <c r="O8587" t="s">
        <v>20056</v>
      </c>
      <c r="P8587" t="s">
        <v>19903</v>
      </c>
      <c r="Q8587" t="s">
        <v>19900</v>
      </c>
      <c r="R8587" t="s">
        <v>19447</v>
      </c>
      <c r="S8587" t="s">
        <v>19447</v>
      </c>
      <c r="T8587" t="s">
        <v>19911</v>
      </c>
    </row>
    <row r="8588" spans="2:20" x14ac:dyDescent="0.25">
      <c r="B8588" t="s">
        <v>2709</v>
      </c>
      <c r="C8588">
        <v>84661000</v>
      </c>
      <c r="E8588">
        <v>71.78</v>
      </c>
      <c r="F8588">
        <v>12</v>
      </c>
      <c r="G8588">
        <v>0</v>
      </c>
      <c r="H8588" t="s">
        <v>19447</v>
      </c>
      <c r="I8588" t="s">
        <v>19447</v>
      </c>
      <c r="J8588">
        <v>14</v>
      </c>
      <c r="L8588" t="s">
        <v>2709</v>
      </c>
      <c r="M8588">
        <v>84661000</v>
      </c>
      <c r="O8588" t="s">
        <v>20056</v>
      </c>
      <c r="P8588" t="s">
        <v>19903</v>
      </c>
      <c r="Q8588" t="s">
        <v>19900</v>
      </c>
      <c r="R8588" t="s">
        <v>19447</v>
      </c>
      <c r="S8588" t="s">
        <v>19447</v>
      </c>
      <c r="T8588" t="s">
        <v>19911</v>
      </c>
    </row>
    <row r="8589" spans="2:20" x14ac:dyDescent="0.25">
      <c r="B8589" t="s">
        <v>2709</v>
      </c>
      <c r="C8589">
        <v>84662010</v>
      </c>
      <c r="E8589">
        <v>71.78</v>
      </c>
      <c r="F8589">
        <v>8.8000000000000007</v>
      </c>
      <c r="G8589">
        <v>0</v>
      </c>
      <c r="H8589" t="s">
        <v>19447</v>
      </c>
      <c r="I8589" t="s">
        <v>19447</v>
      </c>
      <c r="J8589">
        <v>14</v>
      </c>
      <c r="L8589" t="s">
        <v>2709</v>
      </c>
      <c r="M8589">
        <v>84662010</v>
      </c>
      <c r="O8589" t="s">
        <v>20056</v>
      </c>
      <c r="P8589" t="s">
        <v>20127</v>
      </c>
      <c r="Q8589" t="s">
        <v>19900</v>
      </c>
      <c r="R8589" t="s">
        <v>19447</v>
      </c>
      <c r="S8589" t="s">
        <v>19447</v>
      </c>
      <c r="T8589" t="s">
        <v>19911</v>
      </c>
    </row>
    <row r="8590" spans="2:20" x14ac:dyDescent="0.25">
      <c r="B8590" t="s">
        <v>2709</v>
      </c>
      <c r="C8590">
        <v>84662090</v>
      </c>
      <c r="E8590">
        <v>71.78</v>
      </c>
      <c r="F8590">
        <v>18</v>
      </c>
      <c r="G8590">
        <v>0</v>
      </c>
      <c r="H8590" t="s">
        <v>19447</v>
      </c>
      <c r="I8590" t="s">
        <v>19447</v>
      </c>
      <c r="J8590">
        <v>14</v>
      </c>
      <c r="L8590" t="s">
        <v>2709</v>
      </c>
      <c r="M8590">
        <v>84662090</v>
      </c>
      <c r="O8590" t="s">
        <v>20056</v>
      </c>
      <c r="P8590" t="s">
        <v>19899</v>
      </c>
      <c r="Q8590" t="s">
        <v>19900</v>
      </c>
      <c r="R8590" t="s">
        <v>19447</v>
      </c>
      <c r="S8590" t="s">
        <v>19447</v>
      </c>
      <c r="T8590" t="s">
        <v>19911</v>
      </c>
    </row>
    <row r="8591" spans="2:20" x14ac:dyDescent="0.25">
      <c r="B8591" t="s">
        <v>2709</v>
      </c>
      <c r="C8591">
        <v>84663000</v>
      </c>
      <c r="E8591">
        <v>71.78</v>
      </c>
      <c r="F8591">
        <v>8.8000000000000007</v>
      </c>
      <c r="G8591">
        <v>0</v>
      </c>
      <c r="H8591" t="s">
        <v>19447</v>
      </c>
      <c r="I8591" t="s">
        <v>19447</v>
      </c>
      <c r="J8591">
        <v>14</v>
      </c>
      <c r="L8591" t="s">
        <v>2709</v>
      </c>
      <c r="M8591">
        <v>84663000</v>
      </c>
      <c r="O8591" t="s">
        <v>20056</v>
      </c>
      <c r="P8591" t="s">
        <v>20127</v>
      </c>
      <c r="Q8591" t="s">
        <v>19900</v>
      </c>
      <c r="R8591" t="s">
        <v>19447</v>
      </c>
      <c r="S8591" t="s">
        <v>19447</v>
      </c>
      <c r="T8591" t="s">
        <v>19911</v>
      </c>
    </row>
    <row r="8592" spans="2:20" x14ac:dyDescent="0.25">
      <c r="B8592" t="s">
        <v>2709</v>
      </c>
      <c r="C8592">
        <v>84669100</v>
      </c>
      <c r="E8592">
        <v>71.78</v>
      </c>
      <c r="F8592">
        <v>8.8000000000000007</v>
      </c>
      <c r="G8592">
        <v>0</v>
      </c>
      <c r="H8592" t="s">
        <v>19447</v>
      </c>
      <c r="I8592" t="s">
        <v>19447</v>
      </c>
      <c r="J8592">
        <v>14</v>
      </c>
      <c r="L8592" t="s">
        <v>2709</v>
      </c>
      <c r="M8592">
        <v>84669100</v>
      </c>
      <c r="O8592" t="s">
        <v>20056</v>
      </c>
      <c r="P8592" t="s">
        <v>20127</v>
      </c>
      <c r="Q8592" t="s">
        <v>19900</v>
      </c>
      <c r="R8592" t="s">
        <v>19447</v>
      </c>
      <c r="S8592" t="s">
        <v>19447</v>
      </c>
      <c r="T8592" t="s">
        <v>19911</v>
      </c>
    </row>
    <row r="8593" spans="2:20" x14ac:dyDescent="0.25">
      <c r="B8593" t="s">
        <v>2709</v>
      </c>
      <c r="C8593">
        <v>84669200</v>
      </c>
      <c r="E8593">
        <v>71.78</v>
      </c>
      <c r="F8593">
        <v>8.8000000000000007</v>
      </c>
      <c r="G8593">
        <v>0</v>
      </c>
      <c r="H8593" t="s">
        <v>19447</v>
      </c>
      <c r="I8593" t="s">
        <v>19447</v>
      </c>
      <c r="J8593">
        <v>14</v>
      </c>
      <c r="L8593" t="s">
        <v>2709</v>
      </c>
      <c r="M8593">
        <v>84669200</v>
      </c>
      <c r="O8593" t="s">
        <v>20056</v>
      </c>
      <c r="P8593" t="s">
        <v>20127</v>
      </c>
      <c r="Q8593" t="s">
        <v>19900</v>
      </c>
      <c r="R8593" t="s">
        <v>19447</v>
      </c>
      <c r="S8593" t="s">
        <v>19447</v>
      </c>
      <c r="T8593" t="s">
        <v>19911</v>
      </c>
    </row>
    <row r="8594" spans="2:20" x14ac:dyDescent="0.25">
      <c r="B8594" t="s">
        <v>2709</v>
      </c>
      <c r="C8594">
        <v>84669311</v>
      </c>
      <c r="E8594">
        <v>71.78</v>
      </c>
      <c r="F8594">
        <v>18</v>
      </c>
      <c r="G8594">
        <v>5</v>
      </c>
      <c r="H8594" t="s">
        <v>19447</v>
      </c>
      <c r="I8594" t="s">
        <v>19447</v>
      </c>
      <c r="J8594">
        <v>0</v>
      </c>
      <c r="L8594" t="s">
        <v>2709</v>
      </c>
      <c r="M8594">
        <v>84669311</v>
      </c>
      <c r="O8594" t="s">
        <v>20056</v>
      </c>
      <c r="P8594" t="s">
        <v>19899</v>
      </c>
      <c r="Q8594" t="s">
        <v>19909</v>
      </c>
      <c r="R8594" t="s">
        <v>19447</v>
      </c>
      <c r="S8594" t="s">
        <v>19447</v>
      </c>
      <c r="T8594" t="s">
        <v>19900</v>
      </c>
    </row>
    <row r="8595" spans="2:20" x14ac:dyDescent="0.25">
      <c r="B8595" t="s">
        <v>2709</v>
      </c>
      <c r="C8595">
        <v>84669319</v>
      </c>
      <c r="E8595">
        <v>71.78</v>
      </c>
      <c r="F8595">
        <v>8.8000000000000007</v>
      </c>
      <c r="G8595">
        <v>0</v>
      </c>
      <c r="H8595" t="s">
        <v>19447</v>
      </c>
      <c r="I8595" t="s">
        <v>19447</v>
      </c>
      <c r="J8595">
        <v>14</v>
      </c>
      <c r="L8595" t="s">
        <v>2709</v>
      </c>
      <c r="M8595">
        <v>84669319</v>
      </c>
      <c r="O8595" t="s">
        <v>20056</v>
      </c>
      <c r="P8595" t="s">
        <v>20127</v>
      </c>
      <c r="Q8595" t="s">
        <v>19900</v>
      </c>
      <c r="R8595" t="s">
        <v>19447</v>
      </c>
      <c r="S8595" t="s">
        <v>19447</v>
      </c>
      <c r="T8595" t="s">
        <v>19911</v>
      </c>
    </row>
    <row r="8596" spans="2:20" x14ac:dyDescent="0.25">
      <c r="B8596" t="s">
        <v>2709</v>
      </c>
      <c r="C8596">
        <v>84669320</v>
      </c>
      <c r="E8596">
        <v>71.78</v>
      </c>
      <c r="F8596">
        <v>8.8000000000000007</v>
      </c>
      <c r="G8596">
        <v>0</v>
      </c>
      <c r="H8596" t="s">
        <v>19447</v>
      </c>
      <c r="I8596" t="s">
        <v>19447</v>
      </c>
      <c r="J8596">
        <v>14</v>
      </c>
      <c r="L8596" t="s">
        <v>2709</v>
      </c>
      <c r="M8596">
        <v>84669320</v>
      </c>
      <c r="O8596" t="s">
        <v>20056</v>
      </c>
      <c r="P8596" t="s">
        <v>20127</v>
      </c>
      <c r="Q8596" t="s">
        <v>19900</v>
      </c>
      <c r="R8596" t="s">
        <v>19447</v>
      </c>
      <c r="S8596" t="s">
        <v>19447</v>
      </c>
      <c r="T8596" t="s">
        <v>19911</v>
      </c>
    </row>
    <row r="8597" spans="2:20" x14ac:dyDescent="0.25">
      <c r="B8597" t="s">
        <v>2709</v>
      </c>
      <c r="C8597">
        <v>84669330</v>
      </c>
      <c r="E8597">
        <v>71.78</v>
      </c>
      <c r="F8597">
        <v>8.8000000000000007</v>
      </c>
      <c r="G8597">
        <v>0</v>
      </c>
      <c r="H8597" t="s">
        <v>19447</v>
      </c>
      <c r="I8597" t="s">
        <v>19447</v>
      </c>
      <c r="J8597">
        <v>14</v>
      </c>
      <c r="L8597" t="s">
        <v>2709</v>
      </c>
      <c r="M8597">
        <v>84669330</v>
      </c>
      <c r="O8597" t="s">
        <v>20056</v>
      </c>
      <c r="P8597" t="s">
        <v>20127</v>
      </c>
      <c r="Q8597" t="s">
        <v>19900</v>
      </c>
      <c r="R8597" t="s">
        <v>19447</v>
      </c>
      <c r="S8597" t="s">
        <v>19447</v>
      </c>
      <c r="T8597" t="s">
        <v>19911</v>
      </c>
    </row>
    <row r="8598" spans="2:20" x14ac:dyDescent="0.25">
      <c r="B8598" t="s">
        <v>2709</v>
      </c>
      <c r="C8598">
        <v>84669340</v>
      </c>
      <c r="E8598">
        <v>71.78</v>
      </c>
      <c r="F8598">
        <v>8.8000000000000007</v>
      </c>
      <c r="G8598">
        <v>0</v>
      </c>
      <c r="H8598" t="s">
        <v>19447</v>
      </c>
      <c r="I8598" t="s">
        <v>19447</v>
      </c>
      <c r="J8598">
        <v>14</v>
      </c>
      <c r="L8598" t="s">
        <v>2709</v>
      </c>
      <c r="M8598">
        <v>84669340</v>
      </c>
      <c r="O8598" t="s">
        <v>20056</v>
      </c>
      <c r="P8598" t="s">
        <v>20127</v>
      </c>
      <c r="Q8598" t="s">
        <v>19900</v>
      </c>
      <c r="R8598" t="s">
        <v>19447</v>
      </c>
      <c r="S8598" t="s">
        <v>19447</v>
      </c>
      <c r="T8598" t="s">
        <v>19911</v>
      </c>
    </row>
    <row r="8599" spans="2:20" x14ac:dyDescent="0.25">
      <c r="B8599" t="s">
        <v>2709</v>
      </c>
      <c r="C8599">
        <v>84669350</v>
      </c>
      <c r="E8599">
        <v>71.78</v>
      </c>
      <c r="F8599">
        <v>8.8000000000000007</v>
      </c>
      <c r="G8599">
        <v>0</v>
      </c>
      <c r="H8599" t="s">
        <v>19447</v>
      </c>
      <c r="I8599" t="s">
        <v>19447</v>
      </c>
      <c r="J8599">
        <v>14</v>
      </c>
      <c r="L8599" t="s">
        <v>2709</v>
      </c>
      <c r="M8599">
        <v>84669350</v>
      </c>
      <c r="O8599" t="s">
        <v>20056</v>
      </c>
      <c r="P8599" t="s">
        <v>20127</v>
      </c>
      <c r="Q8599" t="s">
        <v>19900</v>
      </c>
      <c r="R8599" t="s">
        <v>19447</v>
      </c>
      <c r="S8599" t="s">
        <v>19447</v>
      </c>
      <c r="T8599" t="s">
        <v>19911</v>
      </c>
    </row>
    <row r="8600" spans="2:20" x14ac:dyDescent="0.25">
      <c r="B8600" t="s">
        <v>2709</v>
      </c>
      <c r="C8600">
        <v>84669360</v>
      </c>
      <c r="E8600">
        <v>71.78</v>
      </c>
      <c r="F8600">
        <v>8.8000000000000007</v>
      </c>
      <c r="G8600">
        <v>0</v>
      </c>
      <c r="H8600" t="s">
        <v>19447</v>
      </c>
      <c r="I8600" t="s">
        <v>19447</v>
      </c>
      <c r="J8600">
        <v>14</v>
      </c>
      <c r="L8600" t="s">
        <v>2709</v>
      </c>
      <c r="M8600">
        <v>84669360</v>
      </c>
      <c r="O8600" t="s">
        <v>20056</v>
      </c>
      <c r="P8600" t="s">
        <v>20127</v>
      </c>
      <c r="Q8600" t="s">
        <v>19900</v>
      </c>
      <c r="R8600" t="s">
        <v>19447</v>
      </c>
      <c r="S8600" t="s">
        <v>19447</v>
      </c>
      <c r="T8600" t="s">
        <v>19911</v>
      </c>
    </row>
    <row r="8601" spans="2:20" x14ac:dyDescent="0.25">
      <c r="B8601" t="s">
        <v>2709</v>
      </c>
      <c r="C8601">
        <v>84669410</v>
      </c>
      <c r="E8601">
        <v>71.78</v>
      </c>
      <c r="F8601">
        <v>8.8000000000000007</v>
      </c>
      <c r="G8601">
        <v>0</v>
      </c>
      <c r="H8601" t="s">
        <v>19447</v>
      </c>
      <c r="I8601" t="s">
        <v>19447</v>
      </c>
      <c r="J8601">
        <v>14</v>
      </c>
      <c r="L8601" t="s">
        <v>2709</v>
      </c>
      <c r="M8601">
        <v>84669410</v>
      </c>
      <c r="O8601" t="s">
        <v>20056</v>
      </c>
      <c r="P8601" t="s">
        <v>20127</v>
      </c>
      <c r="Q8601" t="s">
        <v>19900</v>
      </c>
      <c r="R8601" t="s">
        <v>19447</v>
      </c>
      <c r="S8601" t="s">
        <v>19447</v>
      </c>
      <c r="T8601" t="s">
        <v>19911</v>
      </c>
    </row>
    <row r="8602" spans="2:20" x14ac:dyDescent="0.25">
      <c r="B8602" t="s">
        <v>2709</v>
      </c>
      <c r="C8602">
        <v>84669420</v>
      </c>
      <c r="E8602">
        <v>71.78</v>
      </c>
      <c r="F8602">
        <v>8.8000000000000007</v>
      </c>
      <c r="G8602">
        <v>0</v>
      </c>
      <c r="H8602" t="s">
        <v>19447</v>
      </c>
      <c r="I8602" t="s">
        <v>19447</v>
      </c>
      <c r="J8602">
        <v>14</v>
      </c>
      <c r="L8602" t="s">
        <v>2709</v>
      </c>
      <c r="M8602">
        <v>84669420</v>
      </c>
      <c r="O8602" t="s">
        <v>20056</v>
      </c>
      <c r="P8602" t="s">
        <v>20127</v>
      </c>
      <c r="Q8602" t="s">
        <v>19900</v>
      </c>
      <c r="R8602" t="s">
        <v>19447</v>
      </c>
      <c r="S8602" t="s">
        <v>19447</v>
      </c>
      <c r="T8602" t="s">
        <v>19911</v>
      </c>
    </row>
    <row r="8603" spans="2:20" x14ac:dyDescent="0.25">
      <c r="B8603" t="s">
        <v>2709</v>
      </c>
      <c r="C8603">
        <v>84669430</v>
      </c>
      <c r="E8603">
        <v>71.78</v>
      </c>
      <c r="F8603">
        <v>8.8000000000000007</v>
      </c>
      <c r="G8603">
        <v>0</v>
      </c>
      <c r="H8603" t="s">
        <v>19447</v>
      </c>
      <c r="I8603" t="s">
        <v>19447</v>
      </c>
      <c r="J8603">
        <v>14</v>
      </c>
      <c r="L8603" t="s">
        <v>2709</v>
      </c>
      <c r="M8603">
        <v>84669430</v>
      </c>
      <c r="O8603" t="s">
        <v>20056</v>
      </c>
      <c r="P8603" t="s">
        <v>20127</v>
      </c>
      <c r="Q8603" t="s">
        <v>19900</v>
      </c>
      <c r="R8603" t="s">
        <v>19447</v>
      </c>
      <c r="S8603" t="s">
        <v>19447</v>
      </c>
      <c r="T8603" t="s">
        <v>19911</v>
      </c>
    </row>
    <row r="8604" spans="2:20" x14ac:dyDescent="0.25">
      <c r="B8604" t="s">
        <v>2709</v>
      </c>
      <c r="C8604">
        <v>84669490</v>
      </c>
      <c r="E8604">
        <v>71.78</v>
      </c>
      <c r="F8604">
        <v>8.8000000000000007</v>
      </c>
      <c r="G8604">
        <v>0</v>
      </c>
      <c r="H8604" t="s">
        <v>19447</v>
      </c>
      <c r="I8604" t="s">
        <v>19447</v>
      </c>
      <c r="J8604">
        <v>14</v>
      </c>
      <c r="L8604" t="s">
        <v>2709</v>
      </c>
      <c r="M8604">
        <v>84669490</v>
      </c>
      <c r="O8604" t="s">
        <v>20056</v>
      </c>
      <c r="P8604" t="s">
        <v>20127</v>
      </c>
      <c r="Q8604" t="s">
        <v>19900</v>
      </c>
      <c r="R8604" t="s">
        <v>19447</v>
      </c>
      <c r="S8604" t="s">
        <v>19447</v>
      </c>
      <c r="T8604" t="s">
        <v>19911</v>
      </c>
    </row>
    <row r="8605" spans="2:20" x14ac:dyDescent="0.25">
      <c r="B8605" t="s">
        <v>2709</v>
      </c>
      <c r="C8605">
        <v>84671110</v>
      </c>
      <c r="E8605">
        <v>49</v>
      </c>
      <c r="F8605">
        <v>8.8000000000000007</v>
      </c>
      <c r="G8605">
        <v>5</v>
      </c>
      <c r="H8605" t="s">
        <v>19447</v>
      </c>
      <c r="I8605" t="s">
        <v>19447</v>
      </c>
      <c r="J8605">
        <v>14</v>
      </c>
      <c r="L8605" t="s">
        <v>2709</v>
      </c>
      <c r="M8605">
        <v>84671110</v>
      </c>
      <c r="O8605" t="s">
        <v>20067</v>
      </c>
      <c r="P8605" t="s">
        <v>20127</v>
      </c>
      <c r="Q8605" t="s">
        <v>19909</v>
      </c>
      <c r="R8605" t="s">
        <v>19447</v>
      </c>
      <c r="S8605" t="s">
        <v>19447</v>
      </c>
      <c r="T8605" t="s">
        <v>19911</v>
      </c>
    </row>
    <row r="8606" spans="2:20" x14ac:dyDescent="0.25">
      <c r="B8606" t="s">
        <v>2709</v>
      </c>
      <c r="C8606">
        <v>84671190</v>
      </c>
      <c r="E8606">
        <v>49</v>
      </c>
      <c r="F8606">
        <v>8.8000000000000007</v>
      </c>
      <c r="G8606">
        <v>5</v>
      </c>
      <c r="H8606" t="s">
        <v>19447</v>
      </c>
      <c r="I8606" t="s">
        <v>19447</v>
      </c>
      <c r="J8606">
        <v>14</v>
      </c>
      <c r="L8606" t="s">
        <v>2709</v>
      </c>
      <c r="M8606">
        <v>84671190</v>
      </c>
      <c r="O8606" t="s">
        <v>20067</v>
      </c>
      <c r="P8606" t="s">
        <v>20127</v>
      </c>
      <c r="Q8606" t="s">
        <v>19909</v>
      </c>
      <c r="R8606" t="s">
        <v>19447</v>
      </c>
      <c r="S8606" t="s">
        <v>19447</v>
      </c>
      <c r="T8606" t="s">
        <v>19911</v>
      </c>
    </row>
    <row r="8607" spans="2:20" x14ac:dyDescent="0.25">
      <c r="B8607" t="s">
        <v>2709</v>
      </c>
      <c r="C8607">
        <v>84671900</v>
      </c>
      <c r="E8607">
        <v>49</v>
      </c>
      <c r="F8607">
        <v>8.8000000000000007</v>
      </c>
      <c r="G8607">
        <v>5</v>
      </c>
      <c r="H8607" t="s">
        <v>19447</v>
      </c>
      <c r="I8607" t="s">
        <v>19447</v>
      </c>
      <c r="J8607">
        <v>14</v>
      </c>
      <c r="L8607" t="s">
        <v>2709</v>
      </c>
      <c r="M8607">
        <v>84671900</v>
      </c>
      <c r="O8607" t="s">
        <v>20067</v>
      </c>
      <c r="P8607" t="s">
        <v>20127</v>
      </c>
      <c r="Q8607" t="s">
        <v>19909</v>
      </c>
      <c r="R8607" t="s">
        <v>19447</v>
      </c>
      <c r="S8607" t="s">
        <v>19447</v>
      </c>
      <c r="T8607" t="s">
        <v>19911</v>
      </c>
    </row>
    <row r="8608" spans="2:20" x14ac:dyDescent="0.25">
      <c r="B8608" t="s">
        <v>2709</v>
      </c>
      <c r="C8608">
        <v>84672100</v>
      </c>
      <c r="E8608">
        <v>49</v>
      </c>
      <c r="F8608">
        <v>18</v>
      </c>
      <c r="G8608">
        <v>8</v>
      </c>
      <c r="H8608" t="s">
        <v>19447</v>
      </c>
      <c r="I8608" t="s">
        <v>19447</v>
      </c>
      <c r="J8608">
        <v>20</v>
      </c>
      <c r="L8608" t="s">
        <v>2709</v>
      </c>
      <c r="M8608">
        <v>84672100</v>
      </c>
      <c r="O8608" t="s">
        <v>20067</v>
      </c>
      <c r="P8608" t="s">
        <v>19899</v>
      </c>
      <c r="Q8608" t="s">
        <v>19918</v>
      </c>
      <c r="R8608" t="s">
        <v>19447</v>
      </c>
      <c r="S8608" t="s">
        <v>19447</v>
      </c>
      <c r="T8608" t="s">
        <v>19934</v>
      </c>
    </row>
    <row r="8609" spans="2:20" x14ac:dyDescent="0.25">
      <c r="B8609" t="s">
        <v>2709</v>
      </c>
      <c r="C8609">
        <v>84672200</v>
      </c>
      <c r="E8609">
        <v>49</v>
      </c>
      <c r="F8609">
        <v>18</v>
      </c>
      <c r="G8609">
        <v>8</v>
      </c>
      <c r="H8609" t="s">
        <v>19447</v>
      </c>
      <c r="I8609" t="s">
        <v>19447</v>
      </c>
      <c r="J8609">
        <v>20</v>
      </c>
      <c r="L8609" t="s">
        <v>2709</v>
      </c>
      <c r="M8609">
        <v>84672200</v>
      </c>
      <c r="O8609" t="s">
        <v>20067</v>
      </c>
      <c r="P8609" t="s">
        <v>19899</v>
      </c>
      <c r="Q8609" t="s">
        <v>19918</v>
      </c>
      <c r="R8609" t="s">
        <v>19447</v>
      </c>
      <c r="S8609" t="s">
        <v>19447</v>
      </c>
      <c r="T8609" t="s">
        <v>19934</v>
      </c>
    </row>
    <row r="8610" spans="2:20" x14ac:dyDescent="0.25">
      <c r="B8610" t="s">
        <v>2709</v>
      </c>
      <c r="C8610">
        <v>84672910</v>
      </c>
      <c r="E8610">
        <v>49</v>
      </c>
      <c r="F8610">
        <v>8.8000000000000007</v>
      </c>
      <c r="G8610">
        <v>8</v>
      </c>
      <c r="H8610" t="s">
        <v>19447</v>
      </c>
      <c r="I8610" t="s">
        <v>19447</v>
      </c>
      <c r="J8610">
        <v>20</v>
      </c>
      <c r="L8610" t="s">
        <v>2709</v>
      </c>
      <c r="M8610">
        <v>84672910</v>
      </c>
      <c r="O8610" t="s">
        <v>20067</v>
      </c>
      <c r="P8610" t="s">
        <v>20127</v>
      </c>
      <c r="Q8610" t="s">
        <v>19918</v>
      </c>
      <c r="R8610" t="s">
        <v>19447</v>
      </c>
      <c r="S8610" t="s">
        <v>19447</v>
      </c>
      <c r="T8610" t="s">
        <v>19934</v>
      </c>
    </row>
    <row r="8611" spans="2:20" x14ac:dyDescent="0.25">
      <c r="B8611" t="s">
        <v>2709</v>
      </c>
      <c r="C8611">
        <v>84672991</v>
      </c>
      <c r="E8611">
        <v>49</v>
      </c>
      <c r="F8611">
        <v>8.8000000000000007</v>
      </c>
      <c r="G8611">
        <v>8</v>
      </c>
      <c r="H8611" t="s">
        <v>19447</v>
      </c>
      <c r="I8611" t="s">
        <v>19447</v>
      </c>
      <c r="J8611">
        <v>20</v>
      </c>
      <c r="L8611" t="s">
        <v>2709</v>
      </c>
      <c r="M8611">
        <v>84672991</v>
      </c>
      <c r="O8611" t="s">
        <v>20067</v>
      </c>
      <c r="P8611" t="s">
        <v>20127</v>
      </c>
      <c r="Q8611" t="s">
        <v>19918</v>
      </c>
      <c r="R8611" t="s">
        <v>19447</v>
      </c>
      <c r="S8611" t="s">
        <v>19447</v>
      </c>
      <c r="T8611" t="s">
        <v>19934</v>
      </c>
    </row>
    <row r="8612" spans="2:20" x14ac:dyDescent="0.25">
      <c r="B8612" t="s">
        <v>2709</v>
      </c>
      <c r="C8612">
        <v>84672992</v>
      </c>
      <c r="E8612">
        <v>49</v>
      </c>
      <c r="F8612">
        <v>8.8000000000000007</v>
      </c>
      <c r="G8612">
        <v>8</v>
      </c>
      <c r="H8612" t="s">
        <v>19447</v>
      </c>
      <c r="I8612" t="s">
        <v>19447</v>
      </c>
      <c r="J8612">
        <v>20</v>
      </c>
      <c r="L8612" t="s">
        <v>2709</v>
      </c>
      <c r="M8612">
        <v>84672992</v>
      </c>
      <c r="O8612" t="s">
        <v>20067</v>
      </c>
      <c r="P8612" t="s">
        <v>20127</v>
      </c>
      <c r="Q8612" t="s">
        <v>19918</v>
      </c>
      <c r="R8612" t="s">
        <v>19447</v>
      </c>
      <c r="S8612" t="s">
        <v>19447</v>
      </c>
      <c r="T8612" t="s">
        <v>19934</v>
      </c>
    </row>
    <row r="8613" spans="2:20" x14ac:dyDescent="0.25">
      <c r="B8613" t="s">
        <v>2709</v>
      </c>
      <c r="C8613">
        <v>84672993</v>
      </c>
      <c r="E8613">
        <v>49</v>
      </c>
      <c r="F8613">
        <v>8.8000000000000007</v>
      </c>
      <c r="G8613">
        <v>8</v>
      </c>
      <c r="H8613" t="s">
        <v>19447</v>
      </c>
      <c r="I8613" t="s">
        <v>19447</v>
      </c>
      <c r="J8613">
        <v>14</v>
      </c>
      <c r="L8613" t="s">
        <v>2709</v>
      </c>
      <c r="M8613">
        <v>84672993</v>
      </c>
      <c r="O8613" t="s">
        <v>20067</v>
      </c>
      <c r="P8613" t="s">
        <v>20127</v>
      </c>
      <c r="Q8613" t="s">
        <v>19918</v>
      </c>
      <c r="R8613" t="s">
        <v>19447</v>
      </c>
      <c r="S8613" t="s">
        <v>19447</v>
      </c>
      <c r="T8613" t="s">
        <v>19911</v>
      </c>
    </row>
    <row r="8614" spans="2:20" x14ac:dyDescent="0.25">
      <c r="B8614" t="s">
        <v>2709</v>
      </c>
      <c r="C8614">
        <v>84672999</v>
      </c>
      <c r="E8614">
        <v>49</v>
      </c>
      <c r="F8614">
        <v>8.8000000000000007</v>
      </c>
      <c r="G8614">
        <v>8</v>
      </c>
      <c r="H8614" t="s">
        <v>19447</v>
      </c>
      <c r="I8614" t="s">
        <v>19447</v>
      </c>
      <c r="J8614">
        <v>20</v>
      </c>
      <c r="L8614" t="s">
        <v>2709</v>
      </c>
      <c r="M8614">
        <v>84672999</v>
      </c>
      <c r="O8614" t="s">
        <v>20067</v>
      </c>
      <c r="P8614" t="s">
        <v>20127</v>
      </c>
      <c r="Q8614" t="s">
        <v>19918</v>
      </c>
      <c r="R8614" t="s">
        <v>19447</v>
      </c>
      <c r="S8614" t="s">
        <v>19447</v>
      </c>
      <c r="T8614" t="s">
        <v>19934</v>
      </c>
    </row>
    <row r="8615" spans="2:20" x14ac:dyDescent="0.25">
      <c r="B8615" t="s">
        <v>2709</v>
      </c>
      <c r="C8615">
        <v>84678100</v>
      </c>
      <c r="E8615">
        <v>49</v>
      </c>
      <c r="F8615">
        <v>12</v>
      </c>
      <c r="G8615">
        <v>8</v>
      </c>
      <c r="H8615" t="s">
        <v>19447</v>
      </c>
      <c r="I8615" t="s">
        <v>19447</v>
      </c>
      <c r="J8615">
        <v>10</v>
      </c>
      <c r="L8615" t="s">
        <v>2709</v>
      </c>
      <c r="M8615">
        <v>84678100</v>
      </c>
      <c r="O8615" t="s">
        <v>20067</v>
      </c>
      <c r="P8615" t="s">
        <v>19903</v>
      </c>
      <c r="Q8615" t="s">
        <v>19918</v>
      </c>
      <c r="R8615" t="s">
        <v>19447</v>
      </c>
      <c r="S8615" t="s">
        <v>19447</v>
      </c>
      <c r="T8615" t="s">
        <v>19904</v>
      </c>
    </row>
    <row r="8616" spans="2:20" x14ac:dyDescent="0.25">
      <c r="B8616" t="s">
        <v>2709</v>
      </c>
      <c r="C8616">
        <v>84678900</v>
      </c>
      <c r="E8616">
        <v>49</v>
      </c>
      <c r="F8616">
        <v>8.8000000000000007</v>
      </c>
      <c r="G8616">
        <v>8</v>
      </c>
      <c r="H8616" t="s">
        <v>19447</v>
      </c>
      <c r="I8616" t="s">
        <v>19447</v>
      </c>
      <c r="J8616">
        <v>14</v>
      </c>
      <c r="L8616" t="s">
        <v>2709</v>
      </c>
      <c r="M8616">
        <v>84678900</v>
      </c>
      <c r="O8616" t="s">
        <v>20067</v>
      </c>
      <c r="P8616" t="s">
        <v>20127</v>
      </c>
      <c r="Q8616" t="s">
        <v>19918</v>
      </c>
      <c r="R8616" t="s">
        <v>19447</v>
      </c>
      <c r="S8616" t="s">
        <v>19447</v>
      </c>
      <c r="T8616" t="s">
        <v>19911</v>
      </c>
    </row>
    <row r="8617" spans="2:20" x14ac:dyDescent="0.25">
      <c r="B8617" t="s">
        <v>2709</v>
      </c>
      <c r="C8617">
        <v>84679100</v>
      </c>
      <c r="E8617">
        <v>49</v>
      </c>
      <c r="F8617">
        <v>18</v>
      </c>
      <c r="G8617">
        <v>8</v>
      </c>
      <c r="H8617" t="s">
        <v>19447</v>
      </c>
      <c r="I8617" t="s">
        <v>19447</v>
      </c>
      <c r="J8617">
        <v>14</v>
      </c>
      <c r="L8617" t="s">
        <v>2709</v>
      </c>
      <c r="M8617">
        <v>84679100</v>
      </c>
      <c r="O8617" t="s">
        <v>20067</v>
      </c>
      <c r="P8617" t="s">
        <v>19899</v>
      </c>
      <c r="Q8617" t="s">
        <v>19918</v>
      </c>
      <c r="R8617" t="s">
        <v>19447</v>
      </c>
      <c r="S8617" t="s">
        <v>19447</v>
      </c>
      <c r="T8617" t="s">
        <v>19911</v>
      </c>
    </row>
    <row r="8618" spans="2:20" x14ac:dyDescent="0.25">
      <c r="B8618" t="s">
        <v>2709</v>
      </c>
      <c r="C8618">
        <v>84679200</v>
      </c>
      <c r="E8618">
        <v>49</v>
      </c>
      <c r="F8618">
        <v>18</v>
      </c>
      <c r="G8618">
        <v>8</v>
      </c>
      <c r="H8618" t="s">
        <v>19447</v>
      </c>
      <c r="I8618" t="s">
        <v>19447</v>
      </c>
      <c r="J8618">
        <v>14</v>
      </c>
      <c r="L8618" t="s">
        <v>2709</v>
      </c>
      <c r="M8618">
        <v>84679200</v>
      </c>
      <c r="O8618" t="s">
        <v>20067</v>
      </c>
      <c r="P8618" t="s">
        <v>19899</v>
      </c>
      <c r="Q8618" t="s">
        <v>19918</v>
      </c>
      <c r="R8618" t="s">
        <v>19447</v>
      </c>
      <c r="S8618" t="s">
        <v>19447</v>
      </c>
      <c r="T8618" t="s">
        <v>19911</v>
      </c>
    </row>
    <row r="8619" spans="2:20" x14ac:dyDescent="0.25">
      <c r="B8619" t="s">
        <v>2709</v>
      </c>
      <c r="C8619">
        <v>84679900</v>
      </c>
      <c r="E8619">
        <v>49</v>
      </c>
      <c r="F8619">
        <v>18</v>
      </c>
      <c r="G8619">
        <v>8</v>
      </c>
      <c r="H8619" t="s">
        <v>19447</v>
      </c>
      <c r="I8619" t="s">
        <v>19447</v>
      </c>
      <c r="J8619">
        <v>14</v>
      </c>
      <c r="L8619" t="s">
        <v>2709</v>
      </c>
      <c r="M8619">
        <v>84679900</v>
      </c>
      <c r="O8619" t="s">
        <v>20067</v>
      </c>
      <c r="P8619" t="s">
        <v>19899</v>
      </c>
      <c r="Q8619" t="s">
        <v>19918</v>
      </c>
      <c r="R8619" t="s">
        <v>19447</v>
      </c>
      <c r="S8619" t="s">
        <v>19447</v>
      </c>
      <c r="T8619" t="s">
        <v>19911</v>
      </c>
    </row>
    <row r="8620" spans="2:20" x14ac:dyDescent="0.25">
      <c r="B8620" t="s">
        <v>2709</v>
      </c>
      <c r="C8620">
        <v>84681000</v>
      </c>
      <c r="E8620">
        <v>56</v>
      </c>
      <c r="F8620">
        <v>8.8000000000000007</v>
      </c>
      <c r="G8620">
        <v>5</v>
      </c>
      <c r="H8620" t="s">
        <v>19447</v>
      </c>
      <c r="I8620" t="s">
        <v>19447</v>
      </c>
      <c r="J8620">
        <v>16</v>
      </c>
      <c r="L8620" t="s">
        <v>2709</v>
      </c>
      <c r="M8620">
        <v>84681000</v>
      </c>
      <c r="O8620" t="s">
        <v>20065</v>
      </c>
      <c r="P8620" t="s">
        <v>20127</v>
      </c>
      <c r="Q8620" t="s">
        <v>19909</v>
      </c>
      <c r="R8620" t="s">
        <v>19447</v>
      </c>
      <c r="S8620" t="s">
        <v>19447</v>
      </c>
      <c r="T8620" t="s">
        <v>19913</v>
      </c>
    </row>
    <row r="8621" spans="2:20" x14ac:dyDescent="0.25">
      <c r="B8621" t="s">
        <v>2709</v>
      </c>
      <c r="C8621">
        <v>84682000</v>
      </c>
      <c r="E8621">
        <v>56</v>
      </c>
      <c r="F8621">
        <v>8.8000000000000007</v>
      </c>
      <c r="G8621">
        <v>0</v>
      </c>
      <c r="H8621" t="s">
        <v>19447</v>
      </c>
      <c r="I8621" t="s">
        <v>19447</v>
      </c>
      <c r="J8621">
        <v>14</v>
      </c>
      <c r="L8621" t="s">
        <v>2709</v>
      </c>
      <c r="M8621">
        <v>84682000</v>
      </c>
      <c r="O8621" t="s">
        <v>20065</v>
      </c>
      <c r="P8621" t="s">
        <v>20127</v>
      </c>
      <c r="Q8621" t="s">
        <v>19900</v>
      </c>
      <c r="R8621" t="s">
        <v>19447</v>
      </c>
      <c r="S8621" t="s">
        <v>19447</v>
      </c>
      <c r="T8621" t="s">
        <v>19911</v>
      </c>
    </row>
    <row r="8622" spans="2:20" x14ac:dyDescent="0.25">
      <c r="B8622" t="s">
        <v>2709</v>
      </c>
      <c r="C8622">
        <v>84688010</v>
      </c>
      <c r="E8622">
        <v>71.78</v>
      </c>
      <c r="F8622">
        <v>8.8000000000000007</v>
      </c>
      <c r="G8622">
        <v>0</v>
      </c>
      <c r="H8622" t="s">
        <v>19447</v>
      </c>
      <c r="I8622" t="s">
        <v>19447</v>
      </c>
      <c r="J8622">
        <v>0</v>
      </c>
      <c r="L8622" t="s">
        <v>2709</v>
      </c>
      <c r="M8622">
        <v>84688010</v>
      </c>
      <c r="O8622" t="s">
        <v>20056</v>
      </c>
      <c r="P8622" t="s">
        <v>20127</v>
      </c>
      <c r="Q8622" t="s">
        <v>19900</v>
      </c>
      <c r="R8622" t="s">
        <v>19447</v>
      </c>
      <c r="S8622" t="s">
        <v>19447</v>
      </c>
      <c r="T8622" t="s">
        <v>19900</v>
      </c>
    </row>
    <row r="8623" spans="2:20" x14ac:dyDescent="0.25">
      <c r="B8623" t="s">
        <v>2709</v>
      </c>
      <c r="C8623">
        <v>84688090</v>
      </c>
      <c r="E8623">
        <v>71.78</v>
      </c>
      <c r="F8623">
        <v>8.8000000000000007</v>
      </c>
      <c r="G8623">
        <v>0</v>
      </c>
      <c r="H8623" t="s">
        <v>19447</v>
      </c>
      <c r="I8623" t="s">
        <v>19447</v>
      </c>
      <c r="J8623">
        <v>14</v>
      </c>
      <c r="L8623" t="s">
        <v>2709</v>
      </c>
      <c r="M8623">
        <v>84688090</v>
      </c>
      <c r="O8623" t="s">
        <v>20056</v>
      </c>
      <c r="P8623" t="s">
        <v>20127</v>
      </c>
      <c r="Q8623" t="s">
        <v>19900</v>
      </c>
      <c r="R8623" t="s">
        <v>19447</v>
      </c>
      <c r="S8623" t="s">
        <v>19447</v>
      </c>
      <c r="T8623" t="s">
        <v>19911</v>
      </c>
    </row>
    <row r="8624" spans="2:20" x14ac:dyDescent="0.25">
      <c r="B8624" t="s">
        <v>2709</v>
      </c>
      <c r="C8624">
        <v>84689010</v>
      </c>
      <c r="E8624">
        <v>56</v>
      </c>
      <c r="F8624">
        <v>18</v>
      </c>
      <c r="G8624">
        <v>5</v>
      </c>
      <c r="H8624" t="s">
        <v>19447</v>
      </c>
      <c r="I8624" t="s">
        <v>19447</v>
      </c>
      <c r="J8624">
        <v>16</v>
      </c>
      <c r="L8624" t="s">
        <v>2709</v>
      </c>
      <c r="M8624">
        <v>84689010</v>
      </c>
      <c r="O8624" t="s">
        <v>20065</v>
      </c>
      <c r="P8624" t="s">
        <v>19899</v>
      </c>
      <c r="Q8624" t="s">
        <v>19909</v>
      </c>
      <c r="R8624" t="s">
        <v>19447</v>
      </c>
      <c r="S8624" t="s">
        <v>19447</v>
      </c>
      <c r="T8624" t="s">
        <v>19913</v>
      </c>
    </row>
    <row r="8625" spans="2:20" x14ac:dyDescent="0.25">
      <c r="B8625" t="s">
        <v>2709</v>
      </c>
      <c r="C8625">
        <v>84689020</v>
      </c>
      <c r="E8625">
        <v>71.78</v>
      </c>
      <c r="F8625">
        <v>18</v>
      </c>
      <c r="G8625">
        <v>5</v>
      </c>
      <c r="H8625" t="s">
        <v>19447</v>
      </c>
      <c r="I8625" t="s">
        <v>19447</v>
      </c>
      <c r="J8625">
        <v>0</v>
      </c>
      <c r="L8625" t="s">
        <v>2709</v>
      </c>
      <c r="M8625">
        <v>84689020</v>
      </c>
      <c r="O8625" t="s">
        <v>20056</v>
      </c>
      <c r="P8625" t="s">
        <v>19899</v>
      </c>
      <c r="Q8625" t="s">
        <v>19909</v>
      </c>
      <c r="R8625" t="s">
        <v>19447</v>
      </c>
      <c r="S8625" t="s">
        <v>19447</v>
      </c>
      <c r="T8625" t="s">
        <v>19900</v>
      </c>
    </row>
    <row r="8626" spans="2:20" x14ac:dyDescent="0.25">
      <c r="B8626" t="s">
        <v>2709</v>
      </c>
      <c r="C8626">
        <v>84689090</v>
      </c>
      <c r="E8626">
        <v>56</v>
      </c>
      <c r="F8626">
        <v>18</v>
      </c>
      <c r="G8626">
        <v>5</v>
      </c>
      <c r="H8626" t="s">
        <v>19447</v>
      </c>
      <c r="I8626" t="s">
        <v>19447</v>
      </c>
      <c r="J8626">
        <v>14</v>
      </c>
      <c r="L8626" t="s">
        <v>2709</v>
      </c>
      <c r="M8626">
        <v>84689090</v>
      </c>
      <c r="O8626" t="s">
        <v>20065</v>
      </c>
      <c r="P8626" t="s">
        <v>19899</v>
      </c>
      <c r="Q8626" t="s">
        <v>19909</v>
      </c>
      <c r="R8626" t="s">
        <v>19447</v>
      </c>
      <c r="S8626" t="s">
        <v>19447</v>
      </c>
      <c r="T8626" t="s">
        <v>19911</v>
      </c>
    </row>
    <row r="8627" spans="2:20" x14ac:dyDescent="0.25">
      <c r="B8627" t="s">
        <v>2709</v>
      </c>
      <c r="C8627">
        <v>84690010</v>
      </c>
      <c r="E8627">
        <v>71.78</v>
      </c>
      <c r="F8627">
        <v>18</v>
      </c>
      <c r="G8627">
        <v>20</v>
      </c>
      <c r="H8627" t="s">
        <v>19447</v>
      </c>
      <c r="I8627" t="s">
        <v>19447</v>
      </c>
      <c r="J8627">
        <v>14</v>
      </c>
      <c r="L8627" t="s">
        <v>2709</v>
      </c>
      <c r="M8627">
        <v>84690010</v>
      </c>
      <c r="O8627" t="s">
        <v>20056</v>
      </c>
      <c r="P8627" t="s">
        <v>19899</v>
      </c>
      <c r="Q8627" t="s">
        <v>19934</v>
      </c>
      <c r="R8627" t="s">
        <v>19447</v>
      </c>
      <c r="S8627" t="s">
        <v>19447</v>
      </c>
      <c r="T8627" t="s">
        <v>19911</v>
      </c>
    </row>
    <row r="8628" spans="2:20" x14ac:dyDescent="0.25">
      <c r="B8628" t="s">
        <v>2709</v>
      </c>
      <c r="C8628">
        <v>84690021</v>
      </c>
      <c r="E8628">
        <v>71.78</v>
      </c>
      <c r="F8628">
        <v>18</v>
      </c>
      <c r="G8628">
        <v>20</v>
      </c>
      <c r="H8628" t="s">
        <v>19447</v>
      </c>
      <c r="I8628" t="s">
        <v>19447</v>
      </c>
      <c r="J8628">
        <v>20</v>
      </c>
      <c r="L8628" t="s">
        <v>2709</v>
      </c>
      <c r="M8628">
        <v>84690021</v>
      </c>
      <c r="O8628" t="s">
        <v>20056</v>
      </c>
      <c r="P8628" t="s">
        <v>19899</v>
      </c>
      <c r="Q8628" t="s">
        <v>19934</v>
      </c>
      <c r="R8628" t="s">
        <v>19447</v>
      </c>
      <c r="S8628" t="s">
        <v>19447</v>
      </c>
      <c r="T8628" t="s">
        <v>19934</v>
      </c>
    </row>
    <row r="8629" spans="2:20" x14ac:dyDescent="0.25">
      <c r="B8629" t="s">
        <v>2709</v>
      </c>
      <c r="C8629">
        <v>84690029</v>
      </c>
      <c r="E8629">
        <v>71.78</v>
      </c>
      <c r="F8629">
        <v>18</v>
      </c>
      <c r="G8629">
        <v>20</v>
      </c>
      <c r="H8629" t="s">
        <v>19447</v>
      </c>
      <c r="I8629" t="s">
        <v>19447</v>
      </c>
      <c r="J8629">
        <v>20</v>
      </c>
      <c r="L8629" t="s">
        <v>2709</v>
      </c>
      <c r="M8629">
        <v>84690029</v>
      </c>
      <c r="O8629" t="s">
        <v>20056</v>
      </c>
      <c r="P8629" t="s">
        <v>19899</v>
      </c>
      <c r="Q8629" t="s">
        <v>19934</v>
      </c>
      <c r="R8629" t="s">
        <v>19447</v>
      </c>
      <c r="S8629" t="s">
        <v>19447</v>
      </c>
      <c r="T8629" t="s">
        <v>19934</v>
      </c>
    </row>
    <row r="8630" spans="2:20" x14ac:dyDescent="0.25">
      <c r="B8630" t="s">
        <v>2709</v>
      </c>
      <c r="C8630">
        <v>84690031</v>
      </c>
      <c r="E8630">
        <v>71.78</v>
      </c>
      <c r="F8630">
        <v>18</v>
      </c>
      <c r="G8630">
        <v>20</v>
      </c>
      <c r="H8630" t="s">
        <v>19447</v>
      </c>
      <c r="I8630" t="s">
        <v>19447</v>
      </c>
      <c r="J8630">
        <v>0</v>
      </c>
      <c r="L8630" t="s">
        <v>2709</v>
      </c>
      <c r="M8630">
        <v>84690031</v>
      </c>
      <c r="O8630" t="s">
        <v>20056</v>
      </c>
      <c r="P8630" t="s">
        <v>19899</v>
      </c>
      <c r="Q8630" t="s">
        <v>19934</v>
      </c>
      <c r="R8630" t="s">
        <v>19447</v>
      </c>
      <c r="S8630" t="s">
        <v>19447</v>
      </c>
      <c r="T8630" t="s">
        <v>19900</v>
      </c>
    </row>
    <row r="8631" spans="2:20" x14ac:dyDescent="0.25">
      <c r="B8631" t="s">
        <v>2709</v>
      </c>
      <c r="C8631">
        <v>84690039</v>
      </c>
      <c r="E8631">
        <v>71.78</v>
      </c>
      <c r="F8631">
        <v>18</v>
      </c>
      <c r="G8631">
        <v>20</v>
      </c>
      <c r="H8631" t="s">
        <v>19447</v>
      </c>
      <c r="I8631" t="s">
        <v>19447</v>
      </c>
      <c r="J8631">
        <v>20</v>
      </c>
      <c r="L8631" t="s">
        <v>2709</v>
      </c>
      <c r="M8631">
        <v>84690039</v>
      </c>
      <c r="O8631" t="s">
        <v>20056</v>
      </c>
      <c r="P8631" t="s">
        <v>19899</v>
      </c>
      <c r="Q8631" t="s">
        <v>19934</v>
      </c>
      <c r="R8631" t="s">
        <v>19447</v>
      </c>
      <c r="S8631" t="s">
        <v>19447</v>
      </c>
      <c r="T8631" t="s">
        <v>19934</v>
      </c>
    </row>
    <row r="8632" spans="2:20" x14ac:dyDescent="0.25">
      <c r="B8632" t="s">
        <v>2709</v>
      </c>
      <c r="C8632">
        <v>84690039</v>
      </c>
      <c r="D8632">
        <v>1</v>
      </c>
      <c r="E8632" t="s">
        <v>19447</v>
      </c>
      <c r="F8632">
        <v>18</v>
      </c>
      <c r="G8632">
        <v>0</v>
      </c>
      <c r="H8632">
        <v>7.6</v>
      </c>
      <c r="I8632">
        <v>1.65</v>
      </c>
      <c r="J8632">
        <v>20</v>
      </c>
      <c r="L8632" t="s">
        <v>2709</v>
      </c>
      <c r="M8632">
        <v>84690039</v>
      </c>
      <c r="N8632">
        <v>1</v>
      </c>
      <c r="O8632" t="s">
        <v>19447</v>
      </c>
      <c r="P8632" t="s">
        <v>19899</v>
      </c>
      <c r="Q8632" t="s">
        <v>19900</v>
      </c>
      <c r="R8632" t="s">
        <v>19905</v>
      </c>
      <c r="S8632" t="s">
        <v>19906</v>
      </c>
      <c r="T8632" t="s">
        <v>19934</v>
      </c>
    </row>
    <row r="8633" spans="2:20" x14ac:dyDescent="0.25">
      <c r="B8633" t="s">
        <v>2709</v>
      </c>
      <c r="C8633">
        <v>84701000</v>
      </c>
      <c r="E8633">
        <v>71.78</v>
      </c>
      <c r="F8633">
        <v>18</v>
      </c>
      <c r="G8633">
        <v>15</v>
      </c>
      <c r="H8633" t="s">
        <v>19447</v>
      </c>
      <c r="I8633" t="s">
        <v>19447</v>
      </c>
      <c r="J8633">
        <v>20</v>
      </c>
      <c r="L8633" t="s">
        <v>2709</v>
      </c>
      <c r="M8633">
        <v>84701000</v>
      </c>
      <c r="O8633" t="s">
        <v>20056</v>
      </c>
      <c r="P8633" t="s">
        <v>19899</v>
      </c>
      <c r="Q8633" t="s">
        <v>19983</v>
      </c>
      <c r="R8633" t="s">
        <v>19447</v>
      </c>
      <c r="S8633" t="s">
        <v>19447</v>
      </c>
      <c r="T8633" t="s">
        <v>19934</v>
      </c>
    </row>
    <row r="8634" spans="2:20" x14ac:dyDescent="0.25">
      <c r="B8634" t="s">
        <v>2709</v>
      </c>
      <c r="C8634">
        <v>84701000</v>
      </c>
      <c r="D8634">
        <v>1</v>
      </c>
      <c r="E8634" t="s">
        <v>19447</v>
      </c>
      <c r="F8634">
        <v>18</v>
      </c>
      <c r="G8634">
        <v>0</v>
      </c>
      <c r="H8634">
        <v>7.6</v>
      </c>
      <c r="I8634">
        <v>1.65</v>
      </c>
      <c r="J8634">
        <v>20</v>
      </c>
      <c r="L8634" t="s">
        <v>2709</v>
      </c>
      <c r="M8634">
        <v>84701000</v>
      </c>
      <c r="N8634">
        <v>1</v>
      </c>
      <c r="O8634" t="s">
        <v>19447</v>
      </c>
      <c r="P8634" t="s">
        <v>19899</v>
      </c>
      <c r="Q8634" t="s">
        <v>19900</v>
      </c>
      <c r="R8634" t="s">
        <v>19905</v>
      </c>
      <c r="S8634" t="s">
        <v>19906</v>
      </c>
      <c r="T8634" t="s">
        <v>19934</v>
      </c>
    </row>
    <row r="8635" spans="2:20" x14ac:dyDescent="0.25">
      <c r="B8635" t="s">
        <v>2709</v>
      </c>
      <c r="C8635">
        <v>84702100</v>
      </c>
      <c r="E8635">
        <v>71.78</v>
      </c>
      <c r="F8635">
        <v>18</v>
      </c>
      <c r="G8635">
        <v>15</v>
      </c>
      <c r="H8635" t="s">
        <v>19447</v>
      </c>
      <c r="I8635" t="s">
        <v>19447</v>
      </c>
      <c r="J8635">
        <v>20</v>
      </c>
      <c r="L8635" t="s">
        <v>2709</v>
      </c>
      <c r="M8635">
        <v>84702100</v>
      </c>
      <c r="O8635" t="s">
        <v>20056</v>
      </c>
      <c r="P8635" t="s">
        <v>19899</v>
      </c>
      <c r="Q8635" t="s">
        <v>19983</v>
      </c>
      <c r="R8635" t="s">
        <v>19447</v>
      </c>
      <c r="S8635" t="s">
        <v>19447</v>
      </c>
      <c r="T8635" t="s">
        <v>19934</v>
      </c>
    </row>
    <row r="8636" spans="2:20" x14ac:dyDescent="0.25">
      <c r="B8636" t="s">
        <v>2709</v>
      </c>
      <c r="C8636">
        <v>84702900</v>
      </c>
      <c r="E8636">
        <v>71.78</v>
      </c>
      <c r="F8636">
        <v>18</v>
      </c>
      <c r="G8636">
        <v>15</v>
      </c>
      <c r="H8636" t="s">
        <v>19447</v>
      </c>
      <c r="I8636" t="s">
        <v>19447</v>
      </c>
      <c r="J8636">
        <v>20</v>
      </c>
      <c r="L8636" t="s">
        <v>2709</v>
      </c>
      <c r="M8636">
        <v>84702900</v>
      </c>
      <c r="O8636" t="s">
        <v>20056</v>
      </c>
      <c r="P8636" t="s">
        <v>19899</v>
      </c>
      <c r="Q8636" t="s">
        <v>19983</v>
      </c>
      <c r="R8636" t="s">
        <v>19447</v>
      </c>
      <c r="S8636" t="s">
        <v>19447</v>
      </c>
      <c r="T8636" t="s">
        <v>19934</v>
      </c>
    </row>
    <row r="8637" spans="2:20" x14ac:dyDescent="0.25">
      <c r="B8637" t="s">
        <v>2709</v>
      </c>
      <c r="C8637">
        <v>84703000</v>
      </c>
      <c r="E8637">
        <v>71.78</v>
      </c>
      <c r="F8637">
        <v>18</v>
      </c>
      <c r="G8637">
        <v>15</v>
      </c>
      <c r="H8637" t="s">
        <v>19447</v>
      </c>
      <c r="I8637" t="s">
        <v>19447</v>
      </c>
      <c r="J8637">
        <v>20</v>
      </c>
      <c r="L8637" t="s">
        <v>2709</v>
      </c>
      <c r="M8637">
        <v>84703000</v>
      </c>
      <c r="O8637" t="s">
        <v>20056</v>
      </c>
      <c r="P8637" t="s">
        <v>19899</v>
      </c>
      <c r="Q8637" t="s">
        <v>19983</v>
      </c>
      <c r="R8637" t="s">
        <v>19447</v>
      </c>
      <c r="S8637" t="s">
        <v>19447</v>
      </c>
      <c r="T8637" t="s">
        <v>19934</v>
      </c>
    </row>
    <row r="8638" spans="2:20" x14ac:dyDescent="0.25">
      <c r="B8638" t="s">
        <v>2709</v>
      </c>
      <c r="C8638">
        <v>84705011</v>
      </c>
      <c r="E8638">
        <v>71.78</v>
      </c>
      <c r="F8638">
        <v>18</v>
      </c>
      <c r="G8638">
        <v>15</v>
      </c>
      <c r="H8638" t="s">
        <v>19447</v>
      </c>
      <c r="I8638" t="s">
        <v>19447</v>
      </c>
      <c r="J8638">
        <v>16</v>
      </c>
      <c r="L8638" t="s">
        <v>2709</v>
      </c>
      <c r="M8638">
        <v>84705011</v>
      </c>
      <c r="O8638" t="s">
        <v>20056</v>
      </c>
      <c r="P8638" t="s">
        <v>19899</v>
      </c>
      <c r="Q8638" t="s">
        <v>19983</v>
      </c>
      <c r="R8638" t="s">
        <v>19447</v>
      </c>
      <c r="S8638" t="s">
        <v>19447</v>
      </c>
      <c r="T8638" t="s">
        <v>19913</v>
      </c>
    </row>
    <row r="8639" spans="2:20" x14ac:dyDescent="0.25">
      <c r="B8639" t="s">
        <v>2709</v>
      </c>
      <c r="C8639">
        <v>84705019</v>
      </c>
      <c r="E8639">
        <v>71.78</v>
      </c>
      <c r="F8639">
        <v>18</v>
      </c>
      <c r="G8639">
        <v>15</v>
      </c>
      <c r="H8639" t="s">
        <v>19447</v>
      </c>
      <c r="I8639" t="s">
        <v>19447</v>
      </c>
      <c r="J8639">
        <v>16</v>
      </c>
      <c r="L8639" t="s">
        <v>2709</v>
      </c>
      <c r="M8639">
        <v>84705019</v>
      </c>
      <c r="O8639" t="s">
        <v>20056</v>
      </c>
      <c r="P8639" t="s">
        <v>19899</v>
      </c>
      <c r="Q8639" t="s">
        <v>19983</v>
      </c>
      <c r="R8639" t="s">
        <v>19447</v>
      </c>
      <c r="S8639" t="s">
        <v>19447</v>
      </c>
      <c r="T8639" t="s">
        <v>19913</v>
      </c>
    </row>
    <row r="8640" spans="2:20" x14ac:dyDescent="0.25">
      <c r="B8640" t="s">
        <v>2709</v>
      </c>
      <c r="C8640">
        <v>84705090</v>
      </c>
      <c r="E8640">
        <v>71.78</v>
      </c>
      <c r="F8640">
        <v>18</v>
      </c>
      <c r="G8640">
        <v>15</v>
      </c>
      <c r="H8640" t="s">
        <v>19447</v>
      </c>
      <c r="I8640" t="s">
        <v>19447</v>
      </c>
      <c r="J8640">
        <v>14</v>
      </c>
      <c r="L8640" t="s">
        <v>2709</v>
      </c>
      <c r="M8640">
        <v>84705090</v>
      </c>
      <c r="O8640" t="s">
        <v>20056</v>
      </c>
      <c r="P8640" t="s">
        <v>19899</v>
      </c>
      <c r="Q8640" t="s">
        <v>19983</v>
      </c>
      <c r="R8640" t="s">
        <v>19447</v>
      </c>
      <c r="S8640" t="s">
        <v>19447</v>
      </c>
      <c r="T8640" t="s">
        <v>19911</v>
      </c>
    </row>
    <row r="8641" spans="2:20" x14ac:dyDescent="0.25">
      <c r="B8641" t="s">
        <v>2709</v>
      </c>
      <c r="C8641">
        <v>84709010</v>
      </c>
      <c r="E8641">
        <v>71.78</v>
      </c>
      <c r="F8641">
        <v>18</v>
      </c>
      <c r="G8641">
        <v>15</v>
      </c>
      <c r="H8641" t="s">
        <v>19447</v>
      </c>
      <c r="I8641" t="s">
        <v>19447</v>
      </c>
      <c r="J8641">
        <v>0</v>
      </c>
      <c r="L8641" t="s">
        <v>2709</v>
      </c>
      <c r="M8641">
        <v>84709010</v>
      </c>
      <c r="O8641" t="s">
        <v>20056</v>
      </c>
      <c r="P8641" t="s">
        <v>19899</v>
      </c>
      <c r="Q8641" t="s">
        <v>19983</v>
      </c>
      <c r="R8641" t="s">
        <v>19447</v>
      </c>
      <c r="S8641" t="s">
        <v>19447</v>
      </c>
      <c r="T8641" t="s">
        <v>19900</v>
      </c>
    </row>
    <row r="8642" spans="2:20" x14ac:dyDescent="0.25">
      <c r="B8642" t="s">
        <v>2709</v>
      </c>
      <c r="C8642">
        <v>84709090</v>
      </c>
      <c r="E8642">
        <v>71.78</v>
      </c>
      <c r="F8642">
        <v>18</v>
      </c>
      <c r="G8642">
        <v>15</v>
      </c>
      <c r="H8642" t="s">
        <v>19447</v>
      </c>
      <c r="I8642" t="s">
        <v>19447</v>
      </c>
      <c r="J8642">
        <v>14</v>
      </c>
      <c r="L8642" t="s">
        <v>2709</v>
      </c>
      <c r="M8642">
        <v>84709090</v>
      </c>
      <c r="O8642" t="s">
        <v>20056</v>
      </c>
      <c r="P8642" t="s">
        <v>19899</v>
      </c>
      <c r="Q8642" t="s">
        <v>19983</v>
      </c>
      <c r="R8642" t="s">
        <v>19447</v>
      </c>
      <c r="S8642" t="s">
        <v>19447</v>
      </c>
      <c r="T8642" t="s">
        <v>19911</v>
      </c>
    </row>
    <row r="8643" spans="2:20" x14ac:dyDescent="0.25">
      <c r="B8643" t="s">
        <v>2709</v>
      </c>
      <c r="C8643">
        <v>84713011</v>
      </c>
      <c r="E8643">
        <v>29.59</v>
      </c>
      <c r="F8643">
        <v>18</v>
      </c>
      <c r="G8643">
        <v>15</v>
      </c>
      <c r="H8643" t="s">
        <v>19447</v>
      </c>
      <c r="I8643" t="s">
        <v>19447</v>
      </c>
      <c r="J8643">
        <v>0</v>
      </c>
      <c r="L8643" t="s">
        <v>2709</v>
      </c>
      <c r="M8643">
        <v>84713011</v>
      </c>
      <c r="O8643" t="s">
        <v>20182</v>
      </c>
      <c r="P8643" t="s">
        <v>19899</v>
      </c>
      <c r="Q8643" t="s">
        <v>19983</v>
      </c>
      <c r="R8643" t="s">
        <v>19447</v>
      </c>
      <c r="S8643" t="s">
        <v>19447</v>
      </c>
      <c r="T8643" t="s">
        <v>19900</v>
      </c>
    </row>
    <row r="8644" spans="2:20" x14ac:dyDescent="0.25">
      <c r="B8644" t="s">
        <v>2709</v>
      </c>
      <c r="C8644">
        <v>84713012</v>
      </c>
      <c r="E8644">
        <v>29.59</v>
      </c>
      <c r="F8644">
        <v>0</v>
      </c>
      <c r="G8644">
        <v>15</v>
      </c>
      <c r="H8644" t="s">
        <v>19447</v>
      </c>
      <c r="I8644" t="s">
        <v>19447</v>
      </c>
      <c r="J8644">
        <v>16</v>
      </c>
      <c r="L8644" t="s">
        <v>2709</v>
      </c>
      <c r="M8644">
        <v>84713012</v>
      </c>
      <c r="O8644" t="s">
        <v>20182</v>
      </c>
      <c r="P8644" t="s">
        <v>19900</v>
      </c>
      <c r="Q8644" t="s">
        <v>19983</v>
      </c>
      <c r="R8644" t="s">
        <v>19447</v>
      </c>
      <c r="S8644" t="s">
        <v>19447</v>
      </c>
      <c r="T8644" t="s">
        <v>19913</v>
      </c>
    </row>
    <row r="8645" spans="2:20" x14ac:dyDescent="0.25">
      <c r="B8645" t="s">
        <v>2709</v>
      </c>
      <c r="C8645">
        <v>84713019</v>
      </c>
      <c r="E8645">
        <v>29.59</v>
      </c>
      <c r="F8645">
        <v>0</v>
      </c>
      <c r="G8645">
        <v>15</v>
      </c>
      <c r="H8645" t="s">
        <v>19447</v>
      </c>
      <c r="I8645" t="s">
        <v>19447</v>
      </c>
      <c r="J8645">
        <v>16</v>
      </c>
      <c r="L8645" t="s">
        <v>2709</v>
      </c>
      <c r="M8645">
        <v>84713019</v>
      </c>
      <c r="O8645" t="s">
        <v>20182</v>
      </c>
      <c r="P8645" t="s">
        <v>19900</v>
      </c>
      <c r="Q8645" t="s">
        <v>19983</v>
      </c>
      <c r="R8645" t="s">
        <v>19447</v>
      </c>
      <c r="S8645" t="s">
        <v>19447</v>
      </c>
      <c r="T8645" t="s">
        <v>19913</v>
      </c>
    </row>
    <row r="8646" spans="2:20" x14ac:dyDescent="0.25">
      <c r="B8646" t="s">
        <v>2709</v>
      </c>
      <c r="C8646">
        <v>84713090</v>
      </c>
      <c r="E8646">
        <v>29.59</v>
      </c>
      <c r="F8646">
        <v>0</v>
      </c>
      <c r="G8646">
        <v>15</v>
      </c>
      <c r="H8646" t="s">
        <v>19447</v>
      </c>
      <c r="I8646" t="s">
        <v>19447</v>
      </c>
      <c r="J8646">
        <v>16</v>
      </c>
      <c r="L8646" t="s">
        <v>2709</v>
      </c>
      <c r="M8646">
        <v>84713090</v>
      </c>
      <c r="O8646" t="s">
        <v>20182</v>
      </c>
      <c r="P8646" t="s">
        <v>19900</v>
      </c>
      <c r="Q8646" t="s">
        <v>19983</v>
      </c>
      <c r="R8646" t="s">
        <v>19447</v>
      </c>
      <c r="S8646" t="s">
        <v>19447</v>
      </c>
      <c r="T8646" t="s">
        <v>19913</v>
      </c>
    </row>
    <row r="8647" spans="2:20" x14ac:dyDescent="0.25">
      <c r="B8647" t="s">
        <v>2709</v>
      </c>
      <c r="C8647">
        <v>84714110</v>
      </c>
      <c r="E8647">
        <v>29.88</v>
      </c>
      <c r="F8647">
        <v>18</v>
      </c>
      <c r="G8647">
        <v>15</v>
      </c>
      <c r="H8647" t="s">
        <v>19447</v>
      </c>
      <c r="I8647" t="s">
        <v>19447</v>
      </c>
      <c r="J8647">
        <v>12</v>
      </c>
      <c r="L8647" t="s">
        <v>2709</v>
      </c>
      <c r="M8647">
        <v>84714110</v>
      </c>
      <c r="O8647" t="s">
        <v>20183</v>
      </c>
      <c r="P8647" t="s">
        <v>19899</v>
      </c>
      <c r="Q8647" t="s">
        <v>19983</v>
      </c>
      <c r="R8647" t="s">
        <v>19447</v>
      </c>
      <c r="S8647" t="s">
        <v>19447</v>
      </c>
      <c r="T8647" t="s">
        <v>19903</v>
      </c>
    </row>
    <row r="8648" spans="2:20" x14ac:dyDescent="0.25">
      <c r="B8648" t="s">
        <v>2709</v>
      </c>
      <c r="C8648">
        <v>84714190</v>
      </c>
      <c r="E8648">
        <v>29.88</v>
      </c>
      <c r="F8648">
        <v>18</v>
      </c>
      <c r="G8648">
        <v>15</v>
      </c>
      <c r="H8648" t="s">
        <v>19447</v>
      </c>
      <c r="I8648" t="s">
        <v>19447</v>
      </c>
      <c r="J8648">
        <v>16</v>
      </c>
      <c r="L8648" t="s">
        <v>2709</v>
      </c>
      <c r="M8648">
        <v>84714190</v>
      </c>
      <c r="O8648" t="s">
        <v>20183</v>
      </c>
      <c r="P8648" t="s">
        <v>19899</v>
      </c>
      <c r="Q8648" t="s">
        <v>19983</v>
      </c>
      <c r="R8648" t="s">
        <v>19447</v>
      </c>
      <c r="S8648" t="s">
        <v>19447</v>
      </c>
      <c r="T8648" t="s">
        <v>19913</v>
      </c>
    </row>
    <row r="8649" spans="2:20" x14ac:dyDescent="0.25">
      <c r="B8649" t="s">
        <v>2709</v>
      </c>
      <c r="C8649">
        <v>84714900</v>
      </c>
      <c r="E8649">
        <v>29.88</v>
      </c>
      <c r="F8649">
        <v>18</v>
      </c>
      <c r="G8649">
        <v>15</v>
      </c>
      <c r="H8649" t="s">
        <v>19447</v>
      </c>
      <c r="I8649" t="s">
        <v>19447</v>
      </c>
      <c r="J8649">
        <v>16</v>
      </c>
      <c r="L8649" t="s">
        <v>2709</v>
      </c>
      <c r="M8649">
        <v>84714900</v>
      </c>
      <c r="O8649" t="s">
        <v>20183</v>
      </c>
      <c r="P8649" t="s">
        <v>19899</v>
      </c>
      <c r="Q8649" t="s">
        <v>19983</v>
      </c>
      <c r="R8649" t="s">
        <v>19447</v>
      </c>
      <c r="S8649" t="s">
        <v>19447</v>
      </c>
      <c r="T8649" t="s">
        <v>19913</v>
      </c>
    </row>
    <row r="8650" spans="2:20" x14ac:dyDescent="0.25">
      <c r="B8650" t="s">
        <v>2709</v>
      </c>
      <c r="C8650">
        <v>84715010</v>
      </c>
      <c r="E8650">
        <v>27.46</v>
      </c>
      <c r="F8650">
        <v>18</v>
      </c>
      <c r="G8650">
        <v>15</v>
      </c>
      <c r="H8650" t="s">
        <v>19447</v>
      </c>
      <c r="I8650" t="s">
        <v>19447</v>
      </c>
      <c r="J8650">
        <v>16</v>
      </c>
      <c r="L8650" t="s">
        <v>2709</v>
      </c>
      <c r="M8650">
        <v>84715010</v>
      </c>
      <c r="O8650" t="s">
        <v>20184</v>
      </c>
      <c r="P8650" t="s">
        <v>19899</v>
      </c>
      <c r="Q8650" t="s">
        <v>19983</v>
      </c>
      <c r="R8650" t="s">
        <v>19447</v>
      </c>
      <c r="S8650" t="s">
        <v>19447</v>
      </c>
      <c r="T8650" t="s">
        <v>19913</v>
      </c>
    </row>
    <row r="8651" spans="2:20" x14ac:dyDescent="0.25">
      <c r="B8651" t="s">
        <v>2709</v>
      </c>
      <c r="C8651">
        <v>84715020</v>
      </c>
      <c r="E8651">
        <v>71.78</v>
      </c>
      <c r="F8651">
        <v>18</v>
      </c>
      <c r="G8651">
        <v>15</v>
      </c>
      <c r="H8651" t="s">
        <v>19447</v>
      </c>
      <c r="I8651" t="s">
        <v>19447</v>
      </c>
      <c r="J8651">
        <v>12</v>
      </c>
      <c r="L8651" t="s">
        <v>2709</v>
      </c>
      <c r="M8651">
        <v>84715020</v>
      </c>
      <c r="O8651" t="s">
        <v>20056</v>
      </c>
      <c r="P8651" t="s">
        <v>19899</v>
      </c>
      <c r="Q8651" t="s">
        <v>19983</v>
      </c>
      <c r="R8651" t="s">
        <v>19447</v>
      </c>
      <c r="S8651" t="s">
        <v>19447</v>
      </c>
      <c r="T8651" t="s">
        <v>19903</v>
      </c>
    </row>
    <row r="8652" spans="2:20" x14ac:dyDescent="0.25">
      <c r="B8652" t="s">
        <v>2709</v>
      </c>
      <c r="C8652">
        <v>84715030</v>
      </c>
      <c r="E8652">
        <v>71.78</v>
      </c>
      <c r="F8652">
        <v>18</v>
      </c>
      <c r="G8652">
        <v>15</v>
      </c>
      <c r="H8652" t="s">
        <v>19447</v>
      </c>
      <c r="I8652" t="s">
        <v>19447</v>
      </c>
      <c r="J8652">
        <v>8</v>
      </c>
      <c r="L8652" t="s">
        <v>2709</v>
      </c>
      <c r="M8652">
        <v>84715030</v>
      </c>
      <c r="O8652" t="s">
        <v>20056</v>
      </c>
      <c r="P8652" t="s">
        <v>19899</v>
      </c>
      <c r="Q8652" t="s">
        <v>19983</v>
      </c>
      <c r="R8652" t="s">
        <v>19447</v>
      </c>
      <c r="S8652" t="s">
        <v>19447</v>
      </c>
      <c r="T8652" t="s">
        <v>19918</v>
      </c>
    </row>
    <row r="8653" spans="2:20" x14ac:dyDescent="0.25">
      <c r="B8653" t="s">
        <v>2709</v>
      </c>
      <c r="C8653">
        <v>84715040</v>
      </c>
      <c r="E8653">
        <v>71.78</v>
      </c>
      <c r="F8653">
        <v>18</v>
      </c>
      <c r="G8653">
        <v>15</v>
      </c>
      <c r="H8653" t="s">
        <v>19447</v>
      </c>
      <c r="I8653" t="s">
        <v>19447</v>
      </c>
      <c r="J8653">
        <v>4</v>
      </c>
      <c r="L8653" t="s">
        <v>2709</v>
      </c>
      <c r="M8653">
        <v>84715040</v>
      </c>
      <c r="O8653" t="s">
        <v>20056</v>
      </c>
      <c r="P8653" t="s">
        <v>19899</v>
      </c>
      <c r="Q8653" t="s">
        <v>19983</v>
      </c>
      <c r="R8653" t="s">
        <v>19447</v>
      </c>
      <c r="S8653" t="s">
        <v>19447</v>
      </c>
      <c r="T8653" t="s">
        <v>19902</v>
      </c>
    </row>
    <row r="8654" spans="2:20" x14ac:dyDescent="0.25">
      <c r="B8654" t="s">
        <v>2709</v>
      </c>
      <c r="C8654">
        <v>84715090</v>
      </c>
      <c r="E8654">
        <v>71.78</v>
      </c>
      <c r="F8654">
        <v>18</v>
      </c>
      <c r="G8654">
        <v>15</v>
      </c>
      <c r="H8654" t="s">
        <v>19447</v>
      </c>
      <c r="I8654" t="s">
        <v>19447</v>
      </c>
      <c r="J8654">
        <v>16</v>
      </c>
      <c r="L8654" t="s">
        <v>2709</v>
      </c>
      <c r="M8654">
        <v>84715090</v>
      </c>
      <c r="O8654" t="s">
        <v>20056</v>
      </c>
      <c r="P8654" t="s">
        <v>19899</v>
      </c>
      <c r="Q8654" t="s">
        <v>19983</v>
      </c>
      <c r="R8654" t="s">
        <v>19447</v>
      </c>
      <c r="S8654" t="s">
        <v>19447</v>
      </c>
      <c r="T8654" t="s">
        <v>19913</v>
      </c>
    </row>
    <row r="8655" spans="2:20" x14ac:dyDescent="0.25">
      <c r="B8655" t="s">
        <v>2709</v>
      </c>
      <c r="C8655">
        <v>84716052</v>
      </c>
      <c r="E8655">
        <v>33.74</v>
      </c>
      <c r="F8655">
        <v>12</v>
      </c>
      <c r="G8655">
        <v>15</v>
      </c>
      <c r="H8655" t="s">
        <v>19447</v>
      </c>
      <c r="I8655" t="s">
        <v>19447</v>
      </c>
      <c r="J8655">
        <v>12</v>
      </c>
      <c r="L8655" t="s">
        <v>2709</v>
      </c>
      <c r="M8655">
        <v>84716052</v>
      </c>
      <c r="O8655" t="s">
        <v>20185</v>
      </c>
      <c r="P8655" t="s">
        <v>19903</v>
      </c>
      <c r="Q8655" t="s">
        <v>19983</v>
      </c>
      <c r="R8655" t="s">
        <v>19447</v>
      </c>
      <c r="S8655" t="s">
        <v>19447</v>
      </c>
      <c r="T8655" t="s">
        <v>19903</v>
      </c>
    </row>
    <row r="8656" spans="2:20" x14ac:dyDescent="0.25">
      <c r="B8656" t="s">
        <v>2709</v>
      </c>
      <c r="C8656">
        <v>84716052</v>
      </c>
      <c r="D8656">
        <v>1</v>
      </c>
      <c r="E8656" t="s">
        <v>19447</v>
      </c>
      <c r="F8656">
        <v>18</v>
      </c>
      <c r="G8656">
        <v>0</v>
      </c>
      <c r="H8656">
        <v>7.6</v>
      </c>
      <c r="I8656">
        <v>1.65</v>
      </c>
      <c r="J8656">
        <v>12</v>
      </c>
      <c r="L8656" t="s">
        <v>2709</v>
      </c>
      <c r="M8656">
        <v>84716052</v>
      </c>
      <c r="N8656">
        <v>1</v>
      </c>
      <c r="O8656" t="s">
        <v>19447</v>
      </c>
      <c r="P8656" t="s">
        <v>19899</v>
      </c>
      <c r="Q8656" t="s">
        <v>19900</v>
      </c>
      <c r="R8656" t="s">
        <v>19905</v>
      </c>
      <c r="S8656" t="s">
        <v>19906</v>
      </c>
      <c r="T8656" t="s">
        <v>19903</v>
      </c>
    </row>
    <row r="8657" spans="2:20" x14ac:dyDescent="0.25">
      <c r="B8657" t="s">
        <v>2709</v>
      </c>
      <c r="C8657">
        <v>84716053</v>
      </c>
      <c r="E8657">
        <v>33.74</v>
      </c>
      <c r="F8657">
        <v>12</v>
      </c>
      <c r="G8657">
        <v>15</v>
      </c>
      <c r="H8657" t="s">
        <v>19447</v>
      </c>
      <c r="I8657" t="s">
        <v>19447</v>
      </c>
      <c r="J8657">
        <v>12</v>
      </c>
      <c r="L8657" t="s">
        <v>2709</v>
      </c>
      <c r="M8657">
        <v>84716053</v>
      </c>
      <c r="O8657" t="s">
        <v>20185</v>
      </c>
      <c r="P8657" t="s">
        <v>19903</v>
      </c>
      <c r="Q8657" t="s">
        <v>19983</v>
      </c>
      <c r="R8657" t="s">
        <v>19447</v>
      </c>
      <c r="S8657" t="s">
        <v>19447</v>
      </c>
      <c r="T8657" t="s">
        <v>19903</v>
      </c>
    </row>
    <row r="8658" spans="2:20" x14ac:dyDescent="0.25">
      <c r="B8658" t="s">
        <v>2709</v>
      </c>
      <c r="C8658">
        <v>84716053</v>
      </c>
      <c r="D8658">
        <v>1</v>
      </c>
      <c r="E8658" t="s">
        <v>19447</v>
      </c>
      <c r="F8658">
        <v>18</v>
      </c>
      <c r="G8658">
        <v>0</v>
      </c>
      <c r="H8658">
        <v>7.6</v>
      </c>
      <c r="I8658">
        <v>1.65</v>
      </c>
      <c r="J8658">
        <v>12</v>
      </c>
      <c r="L8658" t="s">
        <v>2709</v>
      </c>
      <c r="M8658">
        <v>84716053</v>
      </c>
      <c r="N8658">
        <v>1</v>
      </c>
      <c r="O8658" t="s">
        <v>19447</v>
      </c>
      <c r="P8658" t="s">
        <v>19899</v>
      </c>
      <c r="Q8658" t="s">
        <v>19900</v>
      </c>
      <c r="R8658" t="s">
        <v>19905</v>
      </c>
      <c r="S8658" t="s">
        <v>19906</v>
      </c>
      <c r="T8658" t="s">
        <v>19903</v>
      </c>
    </row>
    <row r="8659" spans="2:20" x14ac:dyDescent="0.25">
      <c r="B8659" t="s">
        <v>2709</v>
      </c>
      <c r="C8659">
        <v>84716053</v>
      </c>
      <c r="D8659">
        <v>2</v>
      </c>
      <c r="E8659" t="s">
        <v>19447</v>
      </c>
      <c r="F8659">
        <v>18</v>
      </c>
      <c r="G8659">
        <v>0</v>
      </c>
      <c r="H8659">
        <v>7.6</v>
      </c>
      <c r="I8659">
        <v>1.65</v>
      </c>
      <c r="J8659">
        <v>12</v>
      </c>
      <c r="L8659" t="s">
        <v>2709</v>
      </c>
      <c r="M8659">
        <v>84716053</v>
      </c>
      <c r="N8659">
        <v>2</v>
      </c>
      <c r="O8659" t="s">
        <v>19447</v>
      </c>
      <c r="P8659" t="s">
        <v>19899</v>
      </c>
      <c r="Q8659" t="s">
        <v>19900</v>
      </c>
      <c r="R8659" t="s">
        <v>19905</v>
      </c>
      <c r="S8659" t="s">
        <v>19906</v>
      </c>
      <c r="T8659" t="s">
        <v>19903</v>
      </c>
    </row>
    <row r="8660" spans="2:20" x14ac:dyDescent="0.25">
      <c r="B8660" t="s">
        <v>2709</v>
      </c>
      <c r="C8660">
        <v>84716054</v>
      </c>
      <c r="E8660">
        <v>33.74</v>
      </c>
      <c r="F8660">
        <v>12</v>
      </c>
      <c r="G8660">
        <v>15</v>
      </c>
      <c r="H8660" t="s">
        <v>19447</v>
      </c>
      <c r="I8660" t="s">
        <v>19447</v>
      </c>
      <c r="J8660">
        <v>12</v>
      </c>
      <c r="L8660" t="s">
        <v>2709</v>
      </c>
      <c r="M8660">
        <v>84716054</v>
      </c>
      <c r="O8660" t="s">
        <v>20185</v>
      </c>
      <c r="P8660" t="s">
        <v>19903</v>
      </c>
      <c r="Q8660" t="s">
        <v>19983</v>
      </c>
      <c r="R8660" t="s">
        <v>19447</v>
      </c>
      <c r="S8660" t="s">
        <v>19447</v>
      </c>
      <c r="T8660" t="s">
        <v>19903</v>
      </c>
    </row>
    <row r="8661" spans="2:20" x14ac:dyDescent="0.25">
      <c r="B8661" t="s">
        <v>2709</v>
      </c>
      <c r="C8661">
        <v>84716059</v>
      </c>
      <c r="E8661">
        <v>33.74</v>
      </c>
      <c r="F8661">
        <v>18</v>
      </c>
      <c r="G8661">
        <v>15</v>
      </c>
      <c r="H8661" t="s">
        <v>19447</v>
      </c>
      <c r="I8661" t="s">
        <v>19447</v>
      </c>
      <c r="J8661">
        <v>12</v>
      </c>
      <c r="L8661" t="s">
        <v>2709</v>
      </c>
      <c r="M8661">
        <v>84716059</v>
      </c>
      <c r="O8661" t="s">
        <v>20185</v>
      </c>
      <c r="P8661" t="s">
        <v>19899</v>
      </c>
      <c r="Q8661" t="s">
        <v>19983</v>
      </c>
      <c r="R8661" t="s">
        <v>19447</v>
      </c>
      <c r="S8661" t="s">
        <v>19447</v>
      </c>
      <c r="T8661" t="s">
        <v>19903</v>
      </c>
    </row>
    <row r="8662" spans="2:20" x14ac:dyDescent="0.25">
      <c r="B8662" t="s">
        <v>2709</v>
      </c>
      <c r="C8662">
        <v>84716061</v>
      </c>
      <c r="E8662">
        <v>71.78</v>
      </c>
      <c r="F8662">
        <v>18</v>
      </c>
      <c r="G8662">
        <v>15</v>
      </c>
      <c r="H8662" t="s">
        <v>19447</v>
      </c>
      <c r="I8662" t="s">
        <v>19447</v>
      </c>
      <c r="J8662">
        <v>16</v>
      </c>
      <c r="L8662" t="s">
        <v>2709</v>
      </c>
      <c r="M8662">
        <v>84716061</v>
      </c>
      <c r="O8662" t="s">
        <v>20056</v>
      </c>
      <c r="P8662" t="s">
        <v>19899</v>
      </c>
      <c r="Q8662" t="s">
        <v>19983</v>
      </c>
      <c r="R8662" t="s">
        <v>19447</v>
      </c>
      <c r="S8662" t="s">
        <v>19447</v>
      </c>
      <c r="T8662" t="s">
        <v>19913</v>
      </c>
    </row>
    <row r="8663" spans="2:20" x14ac:dyDescent="0.25">
      <c r="B8663" t="s">
        <v>2709</v>
      </c>
      <c r="C8663">
        <v>84716062</v>
      </c>
      <c r="E8663">
        <v>71.78</v>
      </c>
      <c r="F8663">
        <v>18</v>
      </c>
      <c r="G8663">
        <v>15</v>
      </c>
      <c r="H8663" t="s">
        <v>19447</v>
      </c>
      <c r="I8663" t="s">
        <v>19447</v>
      </c>
      <c r="J8663">
        <v>16</v>
      </c>
      <c r="L8663" t="s">
        <v>2709</v>
      </c>
      <c r="M8663">
        <v>84716062</v>
      </c>
      <c r="O8663" t="s">
        <v>20056</v>
      </c>
      <c r="P8663" t="s">
        <v>19899</v>
      </c>
      <c r="Q8663" t="s">
        <v>19983</v>
      </c>
      <c r="R8663" t="s">
        <v>19447</v>
      </c>
      <c r="S8663" t="s">
        <v>19447</v>
      </c>
      <c r="T8663" t="s">
        <v>19913</v>
      </c>
    </row>
    <row r="8664" spans="2:20" x14ac:dyDescent="0.25">
      <c r="B8664" t="s">
        <v>2709</v>
      </c>
      <c r="C8664">
        <v>84716080</v>
      </c>
      <c r="E8664">
        <v>71.78</v>
      </c>
      <c r="F8664">
        <v>18</v>
      </c>
      <c r="G8664">
        <v>15</v>
      </c>
      <c r="H8664" t="s">
        <v>19447</v>
      </c>
      <c r="I8664" t="s">
        <v>19447</v>
      </c>
      <c r="J8664">
        <v>16</v>
      </c>
      <c r="L8664" t="s">
        <v>2709</v>
      </c>
      <c r="M8664">
        <v>84716080</v>
      </c>
      <c r="O8664" t="s">
        <v>20056</v>
      </c>
      <c r="P8664" t="s">
        <v>19899</v>
      </c>
      <c r="Q8664" t="s">
        <v>19983</v>
      </c>
      <c r="R8664" t="s">
        <v>19447</v>
      </c>
      <c r="S8664" t="s">
        <v>19447</v>
      </c>
      <c r="T8664" t="s">
        <v>19913</v>
      </c>
    </row>
    <row r="8665" spans="2:20" x14ac:dyDescent="0.25">
      <c r="B8665" t="s">
        <v>2709</v>
      </c>
      <c r="C8665">
        <v>84716090</v>
      </c>
      <c r="E8665">
        <v>71.260000000000005</v>
      </c>
      <c r="F8665">
        <v>18</v>
      </c>
      <c r="G8665">
        <v>15</v>
      </c>
      <c r="H8665" t="s">
        <v>19447</v>
      </c>
      <c r="I8665" t="s">
        <v>19447</v>
      </c>
      <c r="J8665">
        <v>16</v>
      </c>
      <c r="L8665" t="s">
        <v>2709</v>
      </c>
      <c r="M8665">
        <v>84716090</v>
      </c>
      <c r="O8665" t="s">
        <v>20186</v>
      </c>
      <c r="P8665" t="s">
        <v>19899</v>
      </c>
      <c r="Q8665" t="s">
        <v>19983</v>
      </c>
      <c r="R8665" t="s">
        <v>19447</v>
      </c>
      <c r="S8665" t="s">
        <v>19447</v>
      </c>
      <c r="T8665" t="s">
        <v>19913</v>
      </c>
    </row>
    <row r="8666" spans="2:20" x14ac:dyDescent="0.25">
      <c r="B8666" t="s">
        <v>2709</v>
      </c>
      <c r="C8666">
        <v>84716090</v>
      </c>
      <c r="D8666">
        <v>1</v>
      </c>
      <c r="E8666" t="s">
        <v>19447</v>
      </c>
      <c r="F8666">
        <v>18</v>
      </c>
      <c r="G8666">
        <v>0</v>
      </c>
      <c r="H8666">
        <v>7.6</v>
      </c>
      <c r="I8666">
        <v>1.65</v>
      </c>
      <c r="J8666">
        <v>16</v>
      </c>
      <c r="L8666" t="s">
        <v>2709</v>
      </c>
      <c r="M8666">
        <v>84716090</v>
      </c>
      <c r="N8666">
        <v>1</v>
      </c>
      <c r="O8666" t="s">
        <v>19447</v>
      </c>
      <c r="P8666" t="s">
        <v>19899</v>
      </c>
      <c r="Q8666" t="s">
        <v>19900</v>
      </c>
      <c r="R8666" t="s">
        <v>19905</v>
      </c>
      <c r="S8666" t="s">
        <v>19906</v>
      </c>
      <c r="T8666" t="s">
        <v>19913</v>
      </c>
    </row>
    <row r="8667" spans="2:20" x14ac:dyDescent="0.25">
      <c r="B8667" t="s">
        <v>2709</v>
      </c>
      <c r="C8667">
        <v>84717011</v>
      </c>
      <c r="E8667">
        <v>62.14</v>
      </c>
      <c r="F8667">
        <v>12</v>
      </c>
      <c r="G8667">
        <v>10</v>
      </c>
      <c r="H8667" t="s">
        <v>19447</v>
      </c>
      <c r="I8667" t="s">
        <v>19447</v>
      </c>
      <c r="J8667">
        <v>0</v>
      </c>
      <c r="L8667" t="s">
        <v>2709</v>
      </c>
      <c r="M8667">
        <v>84717011</v>
      </c>
      <c r="O8667" t="s">
        <v>20187</v>
      </c>
      <c r="P8667" t="s">
        <v>19903</v>
      </c>
      <c r="Q8667" t="s">
        <v>19904</v>
      </c>
      <c r="R8667" t="s">
        <v>19447</v>
      </c>
      <c r="S8667" t="s">
        <v>19447</v>
      </c>
      <c r="T8667" t="s">
        <v>19900</v>
      </c>
    </row>
    <row r="8668" spans="2:20" x14ac:dyDescent="0.25">
      <c r="B8668" t="s">
        <v>2709</v>
      </c>
      <c r="C8668">
        <v>84717012</v>
      </c>
      <c r="E8668">
        <v>62.14</v>
      </c>
      <c r="F8668">
        <v>18</v>
      </c>
      <c r="G8668">
        <v>10</v>
      </c>
      <c r="H8668" t="s">
        <v>19447</v>
      </c>
      <c r="I8668" t="s">
        <v>19447</v>
      </c>
      <c r="J8668">
        <v>8</v>
      </c>
      <c r="L8668" t="s">
        <v>2709</v>
      </c>
      <c r="M8668">
        <v>84717012</v>
      </c>
      <c r="O8668" t="s">
        <v>20187</v>
      </c>
      <c r="P8668" t="s">
        <v>19899</v>
      </c>
      <c r="Q8668" t="s">
        <v>19904</v>
      </c>
      <c r="R8668" t="s">
        <v>19447</v>
      </c>
      <c r="S8668" t="s">
        <v>19447</v>
      </c>
      <c r="T8668" t="s">
        <v>19918</v>
      </c>
    </row>
    <row r="8669" spans="2:20" x14ac:dyDescent="0.25">
      <c r="B8669" t="s">
        <v>2709</v>
      </c>
      <c r="C8669">
        <v>84717019</v>
      </c>
      <c r="E8669">
        <v>62.14</v>
      </c>
      <c r="F8669">
        <v>12</v>
      </c>
      <c r="G8669">
        <v>15</v>
      </c>
      <c r="H8669" t="s">
        <v>19447</v>
      </c>
      <c r="I8669" t="s">
        <v>19447</v>
      </c>
      <c r="J8669">
        <v>8</v>
      </c>
      <c r="L8669" t="s">
        <v>2709</v>
      </c>
      <c r="M8669">
        <v>84717019</v>
      </c>
      <c r="O8669" t="s">
        <v>20187</v>
      </c>
      <c r="P8669" t="s">
        <v>19903</v>
      </c>
      <c r="Q8669" t="s">
        <v>19983</v>
      </c>
      <c r="R8669" t="s">
        <v>19447</v>
      </c>
      <c r="S8669" t="s">
        <v>19447</v>
      </c>
      <c r="T8669" t="s">
        <v>19918</v>
      </c>
    </row>
    <row r="8670" spans="2:20" x14ac:dyDescent="0.25">
      <c r="B8670" t="s">
        <v>2709</v>
      </c>
      <c r="C8670">
        <v>84717021</v>
      </c>
      <c r="E8670">
        <v>62.14</v>
      </c>
      <c r="F8670">
        <v>18</v>
      </c>
      <c r="G8670">
        <v>10</v>
      </c>
      <c r="H8670" t="s">
        <v>19447</v>
      </c>
      <c r="I8670" t="s">
        <v>19447</v>
      </c>
      <c r="J8670">
        <v>0</v>
      </c>
      <c r="L8670" t="s">
        <v>2709</v>
      </c>
      <c r="M8670">
        <v>84717021</v>
      </c>
      <c r="O8670" t="s">
        <v>20187</v>
      </c>
      <c r="P8670" t="s">
        <v>19899</v>
      </c>
      <c r="Q8670" t="s">
        <v>19904</v>
      </c>
      <c r="R8670" t="s">
        <v>19447</v>
      </c>
      <c r="S8670" t="s">
        <v>19447</v>
      </c>
      <c r="T8670" t="s">
        <v>19900</v>
      </c>
    </row>
    <row r="8671" spans="2:20" x14ac:dyDescent="0.25">
      <c r="B8671" t="s">
        <v>2709</v>
      </c>
      <c r="C8671">
        <v>84717029</v>
      </c>
      <c r="E8671">
        <v>62.14</v>
      </c>
      <c r="F8671">
        <v>18</v>
      </c>
      <c r="G8671">
        <v>10</v>
      </c>
      <c r="H8671" t="s">
        <v>19447</v>
      </c>
      <c r="I8671" t="s">
        <v>19447</v>
      </c>
      <c r="J8671">
        <v>0</v>
      </c>
      <c r="L8671" t="s">
        <v>2709</v>
      </c>
      <c r="M8671">
        <v>84717029</v>
      </c>
      <c r="O8671" t="s">
        <v>20187</v>
      </c>
      <c r="P8671" t="s">
        <v>19899</v>
      </c>
      <c r="Q8671" t="s">
        <v>19904</v>
      </c>
      <c r="R8671" t="s">
        <v>19447</v>
      </c>
      <c r="S8671" t="s">
        <v>19447</v>
      </c>
      <c r="T8671" t="s">
        <v>19900</v>
      </c>
    </row>
    <row r="8672" spans="2:20" x14ac:dyDescent="0.25">
      <c r="B8672" t="s">
        <v>2709</v>
      </c>
      <c r="C8672">
        <v>84717032</v>
      </c>
      <c r="E8672">
        <v>62.14</v>
      </c>
      <c r="F8672">
        <v>12</v>
      </c>
      <c r="G8672">
        <v>15</v>
      </c>
      <c r="H8672" t="s">
        <v>19447</v>
      </c>
      <c r="I8672" t="s">
        <v>19447</v>
      </c>
      <c r="J8672">
        <v>0</v>
      </c>
      <c r="L8672" t="s">
        <v>2709</v>
      </c>
      <c r="M8672">
        <v>84717032</v>
      </c>
      <c r="O8672" t="s">
        <v>20187</v>
      </c>
      <c r="P8672" t="s">
        <v>19903</v>
      </c>
      <c r="Q8672" t="s">
        <v>19983</v>
      </c>
      <c r="R8672" t="s">
        <v>19447</v>
      </c>
      <c r="S8672" t="s">
        <v>19447</v>
      </c>
      <c r="T8672" t="s">
        <v>19900</v>
      </c>
    </row>
    <row r="8673" spans="2:20" x14ac:dyDescent="0.25">
      <c r="B8673" t="s">
        <v>2709</v>
      </c>
      <c r="C8673">
        <v>84717033</v>
      </c>
      <c r="E8673">
        <v>62.14</v>
      </c>
      <c r="F8673">
        <v>12</v>
      </c>
      <c r="G8673">
        <v>15</v>
      </c>
      <c r="H8673" t="s">
        <v>19447</v>
      </c>
      <c r="I8673" t="s">
        <v>19447</v>
      </c>
      <c r="J8673">
        <v>0</v>
      </c>
      <c r="L8673" t="s">
        <v>2709</v>
      </c>
      <c r="M8673">
        <v>84717033</v>
      </c>
      <c r="O8673" t="s">
        <v>20187</v>
      </c>
      <c r="P8673" t="s">
        <v>19903</v>
      </c>
      <c r="Q8673" t="s">
        <v>19983</v>
      </c>
      <c r="R8673" t="s">
        <v>19447</v>
      </c>
      <c r="S8673" t="s">
        <v>19447</v>
      </c>
      <c r="T8673" t="s">
        <v>19900</v>
      </c>
    </row>
    <row r="8674" spans="2:20" x14ac:dyDescent="0.25">
      <c r="B8674" t="s">
        <v>2709</v>
      </c>
      <c r="C8674">
        <v>84717039</v>
      </c>
      <c r="E8674">
        <v>62.14</v>
      </c>
      <c r="F8674">
        <v>12</v>
      </c>
      <c r="G8674">
        <v>15</v>
      </c>
      <c r="H8674" t="s">
        <v>19447</v>
      </c>
      <c r="I8674" t="s">
        <v>19447</v>
      </c>
      <c r="J8674">
        <v>12</v>
      </c>
      <c r="L8674" t="s">
        <v>2709</v>
      </c>
      <c r="M8674">
        <v>84717039</v>
      </c>
      <c r="O8674" t="s">
        <v>20187</v>
      </c>
      <c r="P8674" t="s">
        <v>19903</v>
      </c>
      <c r="Q8674" t="s">
        <v>19983</v>
      </c>
      <c r="R8674" t="s">
        <v>19447</v>
      </c>
      <c r="S8674" t="s">
        <v>19447</v>
      </c>
      <c r="T8674" t="s">
        <v>19903</v>
      </c>
    </row>
    <row r="8675" spans="2:20" x14ac:dyDescent="0.25">
      <c r="B8675" t="s">
        <v>2709</v>
      </c>
      <c r="C8675">
        <v>84717090</v>
      </c>
      <c r="E8675">
        <v>62.14</v>
      </c>
      <c r="F8675">
        <v>12</v>
      </c>
      <c r="G8675">
        <v>15</v>
      </c>
      <c r="H8675" t="s">
        <v>19447</v>
      </c>
      <c r="I8675" t="s">
        <v>19447</v>
      </c>
      <c r="J8675">
        <v>12</v>
      </c>
      <c r="L8675" t="s">
        <v>2709</v>
      </c>
      <c r="M8675">
        <v>84717090</v>
      </c>
      <c r="O8675" t="s">
        <v>20187</v>
      </c>
      <c r="P8675" t="s">
        <v>19903</v>
      </c>
      <c r="Q8675" t="s">
        <v>19983</v>
      </c>
      <c r="R8675" t="s">
        <v>19447</v>
      </c>
      <c r="S8675" t="s">
        <v>19447</v>
      </c>
      <c r="T8675" t="s">
        <v>19903</v>
      </c>
    </row>
    <row r="8676" spans="2:20" x14ac:dyDescent="0.25">
      <c r="B8676" t="s">
        <v>2709</v>
      </c>
      <c r="C8676">
        <v>84718000</v>
      </c>
      <c r="E8676">
        <v>71.78</v>
      </c>
      <c r="F8676">
        <v>12</v>
      </c>
      <c r="G8676">
        <v>15</v>
      </c>
      <c r="H8676" t="s">
        <v>19447</v>
      </c>
      <c r="I8676" t="s">
        <v>19447</v>
      </c>
      <c r="J8676">
        <v>16</v>
      </c>
      <c r="L8676" t="s">
        <v>2709</v>
      </c>
      <c r="M8676">
        <v>84718000</v>
      </c>
      <c r="O8676" t="s">
        <v>20056</v>
      </c>
      <c r="P8676" t="s">
        <v>19903</v>
      </c>
      <c r="Q8676" t="s">
        <v>19983</v>
      </c>
      <c r="R8676" t="s">
        <v>19447</v>
      </c>
      <c r="S8676" t="s">
        <v>19447</v>
      </c>
      <c r="T8676" t="s">
        <v>19913</v>
      </c>
    </row>
    <row r="8677" spans="2:20" x14ac:dyDescent="0.25">
      <c r="B8677" t="s">
        <v>2709</v>
      </c>
      <c r="C8677">
        <v>84719011</v>
      </c>
      <c r="E8677">
        <v>62.33</v>
      </c>
      <c r="F8677">
        <v>18</v>
      </c>
      <c r="G8677">
        <v>15</v>
      </c>
      <c r="H8677" t="s">
        <v>19447</v>
      </c>
      <c r="I8677" t="s">
        <v>19447</v>
      </c>
      <c r="J8677">
        <v>12</v>
      </c>
      <c r="L8677" t="s">
        <v>2709</v>
      </c>
      <c r="M8677">
        <v>84719011</v>
      </c>
      <c r="O8677" t="s">
        <v>20188</v>
      </c>
      <c r="P8677" t="s">
        <v>19899</v>
      </c>
      <c r="Q8677" t="s">
        <v>19983</v>
      </c>
      <c r="R8677" t="s">
        <v>19447</v>
      </c>
      <c r="S8677" t="s">
        <v>19447</v>
      </c>
      <c r="T8677" t="s">
        <v>19903</v>
      </c>
    </row>
    <row r="8678" spans="2:20" x14ac:dyDescent="0.25">
      <c r="B8678" t="s">
        <v>2709</v>
      </c>
      <c r="C8678">
        <v>84719012</v>
      </c>
      <c r="E8678">
        <v>62.33</v>
      </c>
      <c r="F8678">
        <v>12</v>
      </c>
      <c r="G8678">
        <v>15</v>
      </c>
      <c r="H8678" t="s">
        <v>19447</v>
      </c>
      <c r="I8678" t="s">
        <v>19447</v>
      </c>
      <c r="J8678">
        <v>12</v>
      </c>
      <c r="L8678" t="s">
        <v>2709</v>
      </c>
      <c r="M8678">
        <v>84719012</v>
      </c>
      <c r="O8678" t="s">
        <v>20188</v>
      </c>
      <c r="P8678" t="s">
        <v>19903</v>
      </c>
      <c r="Q8678" t="s">
        <v>19983</v>
      </c>
      <c r="R8678" t="s">
        <v>19447</v>
      </c>
      <c r="S8678" t="s">
        <v>19447</v>
      </c>
      <c r="T8678" t="s">
        <v>19903</v>
      </c>
    </row>
    <row r="8679" spans="2:20" x14ac:dyDescent="0.25">
      <c r="B8679" t="s">
        <v>2709</v>
      </c>
      <c r="C8679">
        <v>84719013</v>
      </c>
      <c r="E8679">
        <v>62.33</v>
      </c>
      <c r="F8679">
        <v>18</v>
      </c>
      <c r="G8679">
        <v>15</v>
      </c>
      <c r="H8679" t="s">
        <v>19447</v>
      </c>
      <c r="I8679" t="s">
        <v>19447</v>
      </c>
      <c r="J8679">
        <v>12</v>
      </c>
      <c r="L8679" t="s">
        <v>2709</v>
      </c>
      <c r="M8679">
        <v>84719013</v>
      </c>
      <c r="O8679" t="s">
        <v>20188</v>
      </c>
      <c r="P8679" t="s">
        <v>19899</v>
      </c>
      <c r="Q8679" t="s">
        <v>19983</v>
      </c>
      <c r="R8679" t="s">
        <v>19447</v>
      </c>
      <c r="S8679" t="s">
        <v>19447</v>
      </c>
      <c r="T8679" t="s">
        <v>19903</v>
      </c>
    </row>
    <row r="8680" spans="2:20" x14ac:dyDescent="0.25">
      <c r="B8680" t="s">
        <v>2709</v>
      </c>
      <c r="C8680">
        <v>84719014</v>
      </c>
      <c r="E8680">
        <v>62.33</v>
      </c>
      <c r="F8680">
        <v>12</v>
      </c>
      <c r="G8680">
        <v>15</v>
      </c>
      <c r="H8680" t="s">
        <v>19447</v>
      </c>
      <c r="I8680" t="s">
        <v>19447</v>
      </c>
      <c r="J8680">
        <v>0</v>
      </c>
      <c r="L8680" t="s">
        <v>2709</v>
      </c>
      <c r="M8680">
        <v>84719014</v>
      </c>
      <c r="O8680" t="s">
        <v>20188</v>
      </c>
      <c r="P8680" t="s">
        <v>19903</v>
      </c>
      <c r="Q8680" t="s">
        <v>19983</v>
      </c>
      <c r="R8680" t="s">
        <v>19447</v>
      </c>
      <c r="S8680" t="s">
        <v>19447</v>
      </c>
      <c r="T8680" t="s">
        <v>19900</v>
      </c>
    </row>
    <row r="8681" spans="2:20" x14ac:dyDescent="0.25">
      <c r="B8681" t="s">
        <v>2709</v>
      </c>
      <c r="C8681">
        <v>84719014</v>
      </c>
      <c r="D8681">
        <v>1</v>
      </c>
      <c r="E8681" t="s">
        <v>19447</v>
      </c>
      <c r="F8681">
        <v>18</v>
      </c>
      <c r="G8681">
        <v>0</v>
      </c>
      <c r="H8681">
        <v>7.6</v>
      </c>
      <c r="I8681">
        <v>1.65</v>
      </c>
      <c r="J8681">
        <v>0</v>
      </c>
      <c r="L8681" t="s">
        <v>2709</v>
      </c>
      <c r="M8681">
        <v>84719014</v>
      </c>
      <c r="N8681">
        <v>1</v>
      </c>
      <c r="O8681" t="s">
        <v>19447</v>
      </c>
      <c r="P8681" t="s">
        <v>19899</v>
      </c>
      <c r="Q8681" t="s">
        <v>19900</v>
      </c>
      <c r="R8681" t="s">
        <v>19905</v>
      </c>
      <c r="S8681" t="s">
        <v>19906</v>
      </c>
      <c r="T8681" t="s">
        <v>19900</v>
      </c>
    </row>
    <row r="8682" spans="2:20" x14ac:dyDescent="0.25">
      <c r="B8682" t="s">
        <v>2709</v>
      </c>
      <c r="C8682">
        <v>84719019</v>
      </c>
      <c r="E8682">
        <v>62.33</v>
      </c>
      <c r="F8682">
        <v>12</v>
      </c>
      <c r="G8682">
        <v>15</v>
      </c>
      <c r="H8682" t="s">
        <v>19447</v>
      </c>
      <c r="I8682" t="s">
        <v>19447</v>
      </c>
      <c r="J8682">
        <v>12</v>
      </c>
      <c r="L8682" t="s">
        <v>2709</v>
      </c>
      <c r="M8682">
        <v>84719019</v>
      </c>
      <c r="O8682" t="s">
        <v>20188</v>
      </c>
      <c r="P8682" t="s">
        <v>19903</v>
      </c>
      <c r="Q8682" t="s">
        <v>19983</v>
      </c>
      <c r="R8682" t="s">
        <v>19447</v>
      </c>
      <c r="S8682" t="s">
        <v>19447</v>
      </c>
      <c r="T8682" t="s">
        <v>19903</v>
      </c>
    </row>
    <row r="8683" spans="2:20" x14ac:dyDescent="0.25">
      <c r="B8683" t="s">
        <v>2709</v>
      </c>
      <c r="C8683">
        <v>84719090</v>
      </c>
      <c r="E8683">
        <v>62.33</v>
      </c>
      <c r="F8683">
        <v>12</v>
      </c>
      <c r="G8683">
        <v>15</v>
      </c>
      <c r="H8683" t="s">
        <v>19447</v>
      </c>
      <c r="I8683" t="s">
        <v>19447</v>
      </c>
      <c r="J8683">
        <v>16</v>
      </c>
      <c r="L8683" t="s">
        <v>2709</v>
      </c>
      <c r="M8683">
        <v>84719090</v>
      </c>
      <c r="O8683" t="s">
        <v>20188</v>
      </c>
      <c r="P8683" t="s">
        <v>19903</v>
      </c>
      <c r="Q8683" t="s">
        <v>19983</v>
      </c>
      <c r="R8683" t="s">
        <v>19447</v>
      </c>
      <c r="S8683" t="s">
        <v>19447</v>
      </c>
      <c r="T8683" t="s">
        <v>19913</v>
      </c>
    </row>
    <row r="8684" spans="2:20" x14ac:dyDescent="0.25">
      <c r="B8684" t="s">
        <v>2709</v>
      </c>
      <c r="C8684">
        <v>84721000</v>
      </c>
      <c r="E8684">
        <v>71.78</v>
      </c>
      <c r="F8684">
        <v>18</v>
      </c>
      <c r="G8684">
        <v>20</v>
      </c>
      <c r="H8684" t="s">
        <v>19447</v>
      </c>
      <c r="I8684" t="s">
        <v>19447</v>
      </c>
      <c r="J8684">
        <v>14</v>
      </c>
      <c r="L8684" t="s">
        <v>2709</v>
      </c>
      <c r="M8684">
        <v>84721000</v>
      </c>
      <c r="O8684" t="s">
        <v>20056</v>
      </c>
      <c r="P8684" t="s">
        <v>19899</v>
      </c>
      <c r="Q8684" t="s">
        <v>19934</v>
      </c>
      <c r="R8684" t="s">
        <v>19447</v>
      </c>
      <c r="S8684" t="s">
        <v>19447</v>
      </c>
      <c r="T8684" t="s">
        <v>19911</v>
      </c>
    </row>
    <row r="8685" spans="2:20" x14ac:dyDescent="0.25">
      <c r="B8685" t="s">
        <v>2709</v>
      </c>
      <c r="C8685">
        <v>84721000</v>
      </c>
      <c r="D8685">
        <v>1</v>
      </c>
      <c r="E8685" t="s">
        <v>19447</v>
      </c>
      <c r="F8685">
        <v>18</v>
      </c>
      <c r="G8685">
        <v>0</v>
      </c>
      <c r="H8685">
        <v>7.6</v>
      </c>
      <c r="I8685">
        <v>1.65</v>
      </c>
      <c r="J8685">
        <v>14</v>
      </c>
      <c r="L8685" t="s">
        <v>2709</v>
      </c>
      <c r="M8685">
        <v>84721000</v>
      </c>
      <c r="N8685">
        <v>1</v>
      </c>
      <c r="O8685" t="s">
        <v>19447</v>
      </c>
      <c r="P8685" t="s">
        <v>19899</v>
      </c>
      <c r="Q8685" t="s">
        <v>19900</v>
      </c>
      <c r="R8685" t="s">
        <v>19905</v>
      </c>
      <c r="S8685" t="s">
        <v>19906</v>
      </c>
      <c r="T8685" t="s">
        <v>19911</v>
      </c>
    </row>
    <row r="8686" spans="2:20" x14ac:dyDescent="0.25">
      <c r="B8686" t="s">
        <v>2709</v>
      </c>
      <c r="C8686">
        <v>84723010</v>
      </c>
      <c r="E8686">
        <v>71.78</v>
      </c>
      <c r="F8686">
        <v>18</v>
      </c>
      <c r="G8686">
        <v>20</v>
      </c>
      <c r="H8686" t="s">
        <v>19447</v>
      </c>
      <c r="I8686" t="s">
        <v>19447</v>
      </c>
      <c r="J8686">
        <v>0</v>
      </c>
      <c r="L8686" t="s">
        <v>2709</v>
      </c>
      <c r="M8686">
        <v>84723010</v>
      </c>
      <c r="O8686" t="s">
        <v>20056</v>
      </c>
      <c r="P8686" t="s">
        <v>19899</v>
      </c>
      <c r="Q8686" t="s">
        <v>19934</v>
      </c>
      <c r="R8686" t="s">
        <v>19447</v>
      </c>
      <c r="S8686" t="s">
        <v>19447</v>
      </c>
      <c r="T8686" t="s">
        <v>19900</v>
      </c>
    </row>
    <row r="8687" spans="2:20" x14ac:dyDescent="0.25">
      <c r="B8687" t="s">
        <v>2709</v>
      </c>
      <c r="C8687">
        <v>84723020</v>
      </c>
      <c r="E8687">
        <v>71.78</v>
      </c>
      <c r="F8687">
        <v>18</v>
      </c>
      <c r="G8687">
        <v>20</v>
      </c>
      <c r="H8687" t="s">
        <v>19447</v>
      </c>
      <c r="I8687" t="s">
        <v>19447</v>
      </c>
      <c r="J8687">
        <v>0</v>
      </c>
      <c r="L8687" t="s">
        <v>2709</v>
      </c>
      <c r="M8687">
        <v>84723020</v>
      </c>
      <c r="O8687" t="s">
        <v>20056</v>
      </c>
      <c r="P8687" t="s">
        <v>19899</v>
      </c>
      <c r="Q8687" t="s">
        <v>19934</v>
      </c>
      <c r="R8687" t="s">
        <v>19447</v>
      </c>
      <c r="S8687" t="s">
        <v>19447</v>
      </c>
      <c r="T8687" t="s">
        <v>19900</v>
      </c>
    </row>
    <row r="8688" spans="2:20" x14ac:dyDescent="0.25">
      <c r="B8688" t="s">
        <v>2709</v>
      </c>
      <c r="C8688">
        <v>84723030</v>
      </c>
      <c r="E8688">
        <v>71.78</v>
      </c>
      <c r="F8688">
        <v>18</v>
      </c>
      <c r="G8688">
        <v>20</v>
      </c>
      <c r="H8688" t="s">
        <v>19447</v>
      </c>
      <c r="I8688" t="s">
        <v>19447</v>
      </c>
      <c r="J8688">
        <v>0</v>
      </c>
      <c r="L8688" t="s">
        <v>2709</v>
      </c>
      <c r="M8688">
        <v>84723030</v>
      </c>
      <c r="O8688" t="s">
        <v>20056</v>
      </c>
      <c r="P8688" t="s">
        <v>19899</v>
      </c>
      <c r="Q8688" t="s">
        <v>19934</v>
      </c>
      <c r="R8688" t="s">
        <v>19447</v>
      </c>
      <c r="S8688" t="s">
        <v>19447</v>
      </c>
      <c r="T8688" t="s">
        <v>19900</v>
      </c>
    </row>
    <row r="8689" spans="2:20" x14ac:dyDescent="0.25">
      <c r="B8689" t="s">
        <v>2709</v>
      </c>
      <c r="C8689">
        <v>84723090</v>
      </c>
      <c r="E8689">
        <v>71.78</v>
      </c>
      <c r="F8689">
        <v>18</v>
      </c>
      <c r="G8689">
        <v>20</v>
      </c>
      <c r="H8689" t="s">
        <v>19447</v>
      </c>
      <c r="I8689" t="s">
        <v>19447</v>
      </c>
      <c r="J8689">
        <v>0</v>
      </c>
      <c r="L8689" t="s">
        <v>2709</v>
      </c>
      <c r="M8689">
        <v>84723090</v>
      </c>
      <c r="O8689" t="s">
        <v>20056</v>
      </c>
      <c r="P8689" t="s">
        <v>19899</v>
      </c>
      <c r="Q8689" t="s">
        <v>19934</v>
      </c>
      <c r="R8689" t="s">
        <v>19447</v>
      </c>
      <c r="S8689" t="s">
        <v>19447</v>
      </c>
      <c r="T8689" t="s">
        <v>19900</v>
      </c>
    </row>
    <row r="8690" spans="2:20" x14ac:dyDescent="0.25">
      <c r="B8690" t="s">
        <v>2709</v>
      </c>
      <c r="C8690">
        <v>84729010</v>
      </c>
      <c r="E8690">
        <v>71.78</v>
      </c>
      <c r="F8690">
        <v>18</v>
      </c>
      <c r="G8690">
        <v>15</v>
      </c>
      <c r="H8690" t="s">
        <v>19447</v>
      </c>
      <c r="I8690" t="s">
        <v>19447</v>
      </c>
      <c r="J8690">
        <v>16</v>
      </c>
      <c r="L8690" t="s">
        <v>2709</v>
      </c>
      <c r="M8690">
        <v>84729010</v>
      </c>
      <c r="O8690" t="s">
        <v>20056</v>
      </c>
      <c r="P8690" t="s">
        <v>19899</v>
      </c>
      <c r="Q8690" t="s">
        <v>19983</v>
      </c>
      <c r="R8690" t="s">
        <v>19447</v>
      </c>
      <c r="S8690" t="s">
        <v>19447</v>
      </c>
      <c r="T8690" t="s">
        <v>19913</v>
      </c>
    </row>
    <row r="8691" spans="2:20" x14ac:dyDescent="0.25">
      <c r="B8691" t="s">
        <v>2709</v>
      </c>
      <c r="C8691">
        <v>84729021</v>
      </c>
      <c r="E8691">
        <v>71.78</v>
      </c>
      <c r="F8691">
        <v>18</v>
      </c>
      <c r="G8691">
        <v>15</v>
      </c>
      <c r="H8691" t="s">
        <v>19447</v>
      </c>
      <c r="I8691" t="s">
        <v>19447</v>
      </c>
      <c r="J8691">
        <v>16</v>
      </c>
      <c r="L8691" t="s">
        <v>2709</v>
      </c>
      <c r="M8691">
        <v>84729021</v>
      </c>
      <c r="O8691" t="s">
        <v>20056</v>
      </c>
      <c r="P8691" t="s">
        <v>19899</v>
      </c>
      <c r="Q8691" t="s">
        <v>19983</v>
      </c>
      <c r="R8691" t="s">
        <v>19447</v>
      </c>
      <c r="S8691" t="s">
        <v>19447</v>
      </c>
      <c r="T8691" t="s">
        <v>19913</v>
      </c>
    </row>
    <row r="8692" spans="2:20" x14ac:dyDescent="0.25">
      <c r="B8692" t="s">
        <v>2709</v>
      </c>
      <c r="C8692">
        <v>84729029</v>
      </c>
      <c r="E8692">
        <v>71.78</v>
      </c>
      <c r="F8692">
        <v>18</v>
      </c>
      <c r="G8692">
        <v>15</v>
      </c>
      <c r="H8692" t="s">
        <v>19447</v>
      </c>
      <c r="I8692" t="s">
        <v>19447</v>
      </c>
      <c r="J8692">
        <v>16</v>
      </c>
      <c r="L8692" t="s">
        <v>2709</v>
      </c>
      <c r="M8692">
        <v>84729029</v>
      </c>
      <c r="O8692" t="s">
        <v>20056</v>
      </c>
      <c r="P8692" t="s">
        <v>19899</v>
      </c>
      <c r="Q8692" t="s">
        <v>19983</v>
      </c>
      <c r="R8692" t="s">
        <v>19447</v>
      </c>
      <c r="S8692" t="s">
        <v>19447</v>
      </c>
      <c r="T8692" t="s">
        <v>19913</v>
      </c>
    </row>
    <row r="8693" spans="2:20" x14ac:dyDescent="0.25">
      <c r="B8693" t="s">
        <v>2709</v>
      </c>
      <c r="C8693">
        <v>84729030</v>
      </c>
      <c r="E8693">
        <v>71.78</v>
      </c>
      <c r="F8693">
        <v>18</v>
      </c>
      <c r="G8693">
        <v>20</v>
      </c>
      <c r="H8693" t="s">
        <v>19447</v>
      </c>
      <c r="I8693" t="s">
        <v>19447</v>
      </c>
      <c r="J8693">
        <v>14</v>
      </c>
      <c r="L8693" t="s">
        <v>2709</v>
      </c>
      <c r="M8693">
        <v>84729030</v>
      </c>
      <c r="O8693" t="s">
        <v>20056</v>
      </c>
      <c r="P8693" t="s">
        <v>19899</v>
      </c>
      <c r="Q8693" t="s">
        <v>19934</v>
      </c>
      <c r="R8693" t="s">
        <v>19447</v>
      </c>
      <c r="S8693" t="s">
        <v>19447</v>
      </c>
      <c r="T8693" t="s">
        <v>19911</v>
      </c>
    </row>
    <row r="8694" spans="2:20" x14ac:dyDescent="0.25">
      <c r="B8694" t="s">
        <v>2709</v>
      </c>
      <c r="C8694">
        <v>84729040</v>
      </c>
      <c r="E8694">
        <v>71.78</v>
      </c>
      <c r="F8694">
        <v>18</v>
      </c>
      <c r="G8694">
        <v>20</v>
      </c>
      <c r="H8694" t="s">
        <v>19447</v>
      </c>
      <c r="I8694" t="s">
        <v>19447</v>
      </c>
      <c r="J8694">
        <v>18</v>
      </c>
      <c r="L8694" t="s">
        <v>2709</v>
      </c>
      <c r="M8694">
        <v>84729040</v>
      </c>
      <c r="O8694" t="s">
        <v>20056</v>
      </c>
      <c r="P8694" t="s">
        <v>19899</v>
      </c>
      <c r="Q8694" t="s">
        <v>19934</v>
      </c>
      <c r="R8694" t="s">
        <v>19447</v>
      </c>
      <c r="S8694" t="s">
        <v>19447</v>
      </c>
      <c r="T8694" t="s">
        <v>19899</v>
      </c>
    </row>
    <row r="8695" spans="2:20" x14ac:dyDescent="0.25">
      <c r="B8695" t="s">
        <v>2709</v>
      </c>
      <c r="C8695">
        <v>84729051</v>
      </c>
      <c r="E8695">
        <v>71.78</v>
      </c>
      <c r="F8695">
        <v>12</v>
      </c>
      <c r="G8695">
        <v>15</v>
      </c>
      <c r="H8695" t="s">
        <v>19447</v>
      </c>
      <c r="I8695" t="s">
        <v>19447</v>
      </c>
      <c r="J8695">
        <v>0</v>
      </c>
      <c r="L8695" t="s">
        <v>2709</v>
      </c>
      <c r="M8695">
        <v>84729051</v>
      </c>
      <c r="O8695" t="s">
        <v>20056</v>
      </c>
      <c r="P8695" t="s">
        <v>19903</v>
      </c>
      <c r="Q8695" t="s">
        <v>19983</v>
      </c>
      <c r="R8695" t="s">
        <v>19447</v>
      </c>
      <c r="S8695" t="s">
        <v>19447</v>
      </c>
      <c r="T8695" t="s">
        <v>19900</v>
      </c>
    </row>
    <row r="8696" spans="2:20" x14ac:dyDescent="0.25">
      <c r="B8696" t="s">
        <v>2709</v>
      </c>
      <c r="C8696">
        <v>84729059</v>
      </c>
      <c r="E8696">
        <v>71.78</v>
      </c>
      <c r="F8696">
        <v>12</v>
      </c>
      <c r="G8696">
        <v>15</v>
      </c>
      <c r="H8696" t="s">
        <v>19447</v>
      </c>
      <c r="I8696" t="s">
        <v>19447</v>
      </c>
      <c r="J8696">
        <v>12</v>
      </c>
      <c r="L8696" t="s">
        <v>2709</v>
      </c>
      <c r="M8696">
        <v>84729059</v>
      </c>
      <c r="O8696" t="s">
        <v>20056</v>
      </c>
      <c r="P8696" t="s">
        <v>19903</v>
      </c>
      <c r="Q8696" t="s">
        <v>19983</v>
      </c>
      <c r="R8696" t="s">
        <v>19447</v>
      </c>
      <c r="S8696" t="s">
        <v>19447</v>
      </c>
      <c r="T8696" t="s">
        <v>19903</v>
      </c>
    </row>
    <row r="8697" spans="2:20" x14ac:dyDescent="0.25">
      <c r="B8697" t="s">
        <v>2709</v>
      </c>
      <c r="C8697">
        <v>84729091</v>
      </c>
      <c r="E8697">
        <v>71.78</v>
      </c>
      <c r="F8697">
        <v>18</v>
      </c>
      <c r="G8697">
        <v>20</v>
      </c>
      <c r="H8697" t="s">
        <v>19447</v>
      </c>
      <c r="I8697" t="s">
        <v>19447</v>
      </c>
      <c r="J8697">
        <v>0</v>
      </c>
      <c r="L8697" t="s">
        <v>2709</v>
      </c>
      <c r="M8697">
        <v>84729091</v>
      </c>
      <c r="O8697" t="s">
        <v>20056</v>
      </c>
      <c r="P8697" t="s">
        <v>19899</v>
      </c>
      <c r="Q8697" t="s">
        <v>19934</v>
      </c>
      <c r="R8697" t="s">
        <v>19447</v>
      </c>
      <c r="S8697" t="s">
        <v>19447</v>
      </c>
      <c r="T8697" t="s">
        <v>19900</v>
      </c>
    </row>
    <row r="8698" spans="2:20" x14ac:dyDescent="0.25">
      <c r="B8698" t="s">
        <v>2709</v>
      </c>
      <c r="C8698">
        <v>84729099</v>
      </c>
      <c r="E8698">
        <v>71.78</v>
      </c>
      <c r="F8698">
        <v>18</v>
      </c>
      <c r="G8698">
        <v>20</v>
      </c>
      <c r="H8698" t="s">
        <v>19447</v>
      </c>
      <c r="I8698" t="s">
        <v>19447</v>
      </c>
      <c r="J8698">
        <v>14</v>
      </c>
      <c r="L8698" t="s">
        <v>2709</v>
      </c>
      <c r="M8698">
        <v>84729099</v>
      </c>
      <c r="O8698" t="s">
        <v>20056</v>
      </c>
      <c r="P8698" t="s">
        <v>19899</v>
      </c>
      <c r="Q8698" t="s">
        <v>19934</v>
      </c>
      <c r="R8698" t="s">
        <v>19447</v>
      </c>
      <c r="S8698" t="s">
        <v>19447</v>
      </c>
      <c r="T8698" t="s">
        <v>19911</v>
      </c>
    </row>
    <row r="8699" spans="2:20" x14ac:dyDescent="0.25">
      <c r="B8699" t="s">
        <v>2709</v>
      </c>
      <c r="C8699">
        <v>84731010</v>
      </c>
      <c r="E8699">
        <v>71.78</v>
      </c>
      <c r="F8699">
        <v>18</v>
      </c>
      <c r="G8699">
        <v>20</v>
      </c>
      <c r="H8699" t="s">
        <v>19447</v>
      </c>
      <c r="I8699" t="s">
        <v>19447</v>
      </c>
      <c r="J8699">
        <v>14</v>
      </c>
      <c r="L8699" t="s">
        <v>2709</v>
      </c>
      <c r="M8699">
        <v>84731010</v>
      </c>
      <c r="O8699" t="s">
        <v>20056</v>
      </c>
      <c r="P8699" t="s">
        <v>19899</v>
      </c>
      <c r="Q8699" t="s">
        <v>19934</v>
      </c>
      <c r="R8699" t="s">
        <v>19447</v>
      </c>
      <c r="S8699" t="s">
        <v>19447</v>
      </c>
      <c r="T8699" t="s">
        <v>19911</v>
      </c>
    </row>
    <row r="8700" spans="2:20" x14ac:dyDescent="0.25">
      <c r="B8700" t="s">
        <v>2709</v>
      </c>
      <c r="C8700">
        <v>84731090</v>
      </c>
      <c r="E8700">
        <v>71.78</v>
      </c>
      <c r="F8700">
        <v>18</v>
      </c>
      <c r="G8700">
        <v>20</v>
      </c>
      <c r="H8700" t="s">
        <v>19447</v>
      </c>
      <c r="I8700" t="s">
        <v>19447</v>
      </c>
      <c r="J8700">
        <v>16</v>
      </c>
      <c r="L8700" t="s">
        <v>2709</v>
      </c>
      <c r="M8700">
        <v>84731090</v>
      </c>
      <c r="O8700" t="s">
        <v>20056</v>
      </c>
      <c r="P8700" t="s">
        <v>19899</v>
      </c>
      <c r="Q8700" t="s">
        <v>19934</v>
      </c>
      <c r="R8700" t="s">
        <v>19447</v>
      </c>
      <c r="S8700" t="s">
        <v>19447</v>
      </c>
      <c r="T8700" t="s">
        <v>19913</v>
      </c>
    </row>
    <row r="8701" spans="2:20" x14ac:dyDescent="0.25">
      <c r="B8701" t="s">
        <v>2709</v>
      </c>
      <c r="C8701">
        <v>84732100</v>
      </c>
      <c r="E8701">
        <v>71.78</v>
      </c>
      <c r="F8701">
        <v>18</v>
      </c>
      <c r="G8701">
        <v>2</v>
      </c>
      <c r="H8701" t="s">
        <v>19447</v>
      </c>
      <c r="I8701" t="s">
        <v>19447</v>
      </c>
      <c r="J8701">
        <v>16</v>
      </c>
      <c r="L8701" t="s">
        <v>2709</v>
      </c>
      <c r="M8701">
        <v>84732100</v>
      </c>
      <c r="O8701" t="s">
        <v>20056</v>
      </c>
      <c r="P8701" t="s">
        <v>19899</v>
      </c>
      <c r="Q8701" t="s">
        <v>19901</v>
      </c>
      <c r="R8701" t="s">
        <v>19447</v>
      </c>
      <c r="S8701" t="s">
        <v>19447</v>
      </c>
      <c r="T8701" t="s">
        <v>19913</v>
      </c>
    </row>
    <row r="8702" spans="2:20" x14ac:dyDescent="0.25">
      <c r="B8702" t="s">
        <v>2709</v>
      </c>
      <c r="C8702">
        <v>84732910</v>
      </c>
      <c r="E8702">
        <v>71.78</v>
      </c>
      <c r="F8702">
        <v>12</v>
      </c>
      <c r="G8702">
        <v>15</v>
      </c>
      <c r="H8702" t="s">
        <v>19447</v>
      </c>
      <c r="I8702" t="s">
        <v>19447</v>
      </c>
      <c r="J8702">
        <v>12</v>
      </c>
      <c r="L8702" t="s">
        <v>2709</v>
      </c>
      <c r="M8702">
        <v>84732910</v>
      </c>
      <c r="O8702" t="s">
        <v>20056</v>
      </c>
      <c r="P8702" t="s">
        <v>19903</v>
      </c>
      <c r="Q8702" t="s">
        <v>19983</v>
      </c>
      <c r="R8702" t="s">
        <v>19447</v>
      </c>
      <c r="S8702" t="s">
        <v>19447</v>
      </c>
      <c r="T8702" t="s">
        <v>19903</v>
      </c>
    </row>
    <row r="8703" spans="2:20" x14ac:dyDescent="0.25">
      <c r="B8703" t="s">
        <v>2709</v>
      </c>
      <c r="C8703">
        <v>84732920</v>
      </c>
      <c r="E8703">
        <v>71.78</v>
      </c>
      <c r="F8703">
        <v>18</v>
      </c>
      <c r="G8703">
        <v>20</v>
      </c>
      <c r="H8703" t="s">
        <v>19447</v>
      </c>
      <c r="I8703" t="s">
        <v>19447</v>
      </c>
      <c r="J8703">
        <v>16</v>
      </c>
      <c r="L8703" t="s">
        <v>2709</v>
      </c>
      <c r="M8703">
        <v>84732920</v>
      </c>
      <c r="O8703" t="s">
        <v>20056</v>
      </c>
      <c r="P8703" t="s">
        <v>19899</v>
      </c>
      <c r="Q8703" t="s">
        <v>19934</v>
      </c>
      <c r="R8703" t="s">
        <v>19447</v>
      </c>
      <c r="S8703" t="s">
        <v>19447</v>
      </c>
      <c r="T8703" t="s">
        <v>19913</v>
      </c>
    </row>
    <row r="8704" spans="2:20" x14ac:dyDescent="0.25">
      <c r="B8704" t="s">
        <v>2709</v>
      </c>
      <c r="C8704">
        <v>84732990</v>
      </c>
      <c r="E8704">
        <v>71.78</v>
      </c>
      <c r="F8704">
        <v>12</v>
      </c>
      <c r="G8704">
        <v>15</v>
      </c>
      <c r="H8704" t="s">
        <v>19447</v>
      </c>
      <c r="I8704" t="s">
        <v>19447</v>
      </c>
      <c r="J8704">
        <v>8</v>
      </c>
      <c r="L8704" t="s">
        <v>2709</v>
      </c>
      <c r="M8704">
        <v>84732990</v>
      </c>
      <c r="O8704" t="s">
        <v>20056</v>
      </c>
      <c r="P8704" t="s">
        <v>19903</v>
      </c>
      <c r="Q8704" t="s">
        <v>19983</v>
      </c>
      <c r="R8704" t="s">
        <v>19447</v>
      </c>
      <c r="S8704" t="s">
        <v>19447</v>
      </c>
      <c r="T8704" t="s">
        <v>19918</v>
      </c>
    </row>
    <row r="8705" spans="2:20" x14ac:dyDescent="0.25">
      <c r="B8705" t="s">
        <v>2709</v>
      </c>
      <c r="C8705">
        <v>84733011</v>
      </c>
      <c r="E8705">
        <v>52.57</v>
      </c>
      <c r="F8705">
        <v>18</v>
      </c>
      <c r="G8705">
        <v>10</v>
      </c>
      <c r="H8705" t="s">
        <v>19447</v>
      </c>
      <c r="I8705" t="s">
        <v>19447</v>
      </c>
      <c r="J8705">
        <v>12</v>
      </c>
      <c r="L8705" t="s">
        <v>2709</v>
      </c>
      <c r="M8705">
        <v>84733011</v>
      </c>
      <c r="O8705" t="s">
        <v>20189</v>
      </c>
      <c r="P8705" t="s">
        <v>19899</v>
      </c>
      <c r="Q8705" t="s">
        <v>19904</v>
      </c>
      <c r="R8705" t="s">
        <v>19447</v>
      </c>
      <c r="S8705" t="s">
        <v>19447</v>
      </c>
      <c r="T8705" t="s">
        <v>19903</v>
      </c>
    </row>
    <row r="8706" spans="2:20" x14ac:dyDescent="0.25">
      <c r="B8706" t="s">
        <v>2709</v>
      </c>
      <c r="C8706">
        <v>84733019</v>
      </c>
      <c r="E8706">
        <v>52.57</v>
      </c>
      <c r="F8706">
        <v>18</v>
      </c>
      <c r="G8706">
        <v>10</v>
      </c>
      <c r="H8706" t="s">
        <v>19447</v>
      </c>
      <c r="I8706" t="s">
        <v>19447</v>
      </c>
      <c r="J8706">
        <v>10</v>
      </c>
      <c r="L8706" t="s">
        <v>2709</v>
      </c>
      <c r="M8706">
        <v>84733019</v>
      </c>
      <c r="O8706" t="s">
        <v>20189</v>
      </c>
      <c r="P8706" t="s">
        <v>19899</v>
      </c>
      <c r="Q8706" t="s">
        <v>19904</v>
      </c>
      <c r="R8706" t="s">
        <v>19447</v>
      </c>
      <c r="S8706" t="s">
        <v>19447</v>
      </c>
      <c r="T8706" t="s">
        <v>19904</v>
      </c>
    </row>
    <row r="8707" spans="2:20" x14ac:dyDescent="0.25">
      <c r="B8707" t="s">
        <v>2709</v>
      </c>
      <c r="C8707">
        <v>84733031</v>
      </c>
      <c r="E8707">
        <v>52.57</v>
      </c>
      <c r="F8707">
        <v>12</v>
      </c>
      <c r="G8707">
        <v>10</v>
      </c>
      <c r="H8707" t="s">
        <v>19447</v>
      </c>
      <c r="I8707" t="s">
        <v>19447</v>
      </c>
      <c r="J8707">
        <v>0</v>
      </c>
      <c r="L8707" t="s">
        <v>2709</v>
      </c>
      <c r="M8707">
        <v>84733031</v>
      </c>
      <c r="O8707" t="s">
        <v>20189</v>
      </c>
      <c r="P8707" t="s">
        <v>19903</v>
      </c>
      <c r="Q8707" t="s">
        <v>19904</v>
      </c>
      <c r="R8707" t="s">
        <v>19447</v>
      </c>
      <c r="S8707" t="s">
        <v>19447</v>
      </c>
      <c r="T8707" t="s">
        <v>19900</v>
      </c>
    </row>
    <row r="8708" spans="2:20" x14ac:dyDescent="0.25">
      <c r="B8708" t="s">
        <v>2709</v>
      </c>
      <c r="C8708">
        <v>84733032</v>
      </c>
      <c r="E8708">
        <v>52.57</v>
      </c>
      <c r="F8708">
        <v>12</v>
      </c>
      <c r="G8708">
        <v>2</v>
      </c>
      <c r="H8708" t="s">
        <v>19447</v>
      </c>
      <c r="I8708" t="s">
        <v>19447</v>
      </c>
      <c r="J8708">
        <v>0</v>
      </c>
      <c r="L8708" t="s">
        <v>2709</v>
      </c>
      <c r="M8708">
        <v>84733032</v>
      </c>
      <c r="O8708" t="s">
        <v>20189</v>
      </c>
      <c r="P8708" t="s">
        <v>19903</v>
      </c>
      <c r="Q8708" t="s">
        <v>19901</v>
      </c>
      <c r="R8708" t="s">
        <v>19447</v>
      </c>
      <c r="S8708" t="s">
        <v>19447</v>
      </c>
      <c r="T8708" t="s">
        <v>19900</v>
      </c>
    </row>
    <row r="8709" spans="2:20" x14ac:dyDescent="0.25">
      <c r="B8709" t="s">
        <v>2709</v>
      </c>
      <c r="C8709">
        <v>84733033</v>
      </c>
      <c r="E8709">
        <v>52.57</v>
      </c>
      <c r="F8709">
        <v>12</v>
      </c>
      <c r="G8709">
        <v>2</v>
      </c>
      <c r="H8709" t="s">
        <v>19447</v>
      </c>
      <c r="I8709" t="s">
        <v>19447</v>
      </c>
      <c r="J8709">
        <v>0</v>
      </c>
      <c r="L8709" t="s">
        <v>2709</v>
      </c>
      <c r="M8709">
        <v>84733033</v>
      </c>
      <c r="O8709" t="s">
        <v>20189</v>
      </c>
      <c r="P8709" t="s">
        <v>19903</v>
      </c>
      <c r="Q8709" t="s">
        <v>19901</v>
      </c>
      <c r="R8709" t="s">
        <v>19447</v>
      </c>
      <c r="S8709" t="s">
        <v>19447</v>
      </c>
      <c r="T8709" t="s">
        <v>19900</v>
      </c>
    </row>
    <row r="8710" spans="2:20" x14ac:dyDescent="0.25">
      <c r="B8710" t="s">
        <v>2709</v>
      </c>
      <c r="C8710">
        <v>84733034</v>
      </c>
      <c r="E8710">
        <v>52.57</v>
      </c>
      <c r="F8710">
        <v>18</v>
      </c>
      <c r="G8710">
        <v>10</v>
      </c>
      <c r="H8710" t="s">
        <v>19447</v>
      </c>
      <c r="I8710" t="s">
        <v>19447</v>
      </c>
      <c r="J8710">
        <v>0</v>
      </c>
      <c r="L8710" t="s">
        <v>2709</v>
      </c>
      <c r="M8710">
        <v>84733034</v>
      </c>
      <c r="O8710" t="s">
        <v>20189</v>
      </c>
      <c r="P8710" t="s">
        <v>19899</v>
      </c>
      <c r="Q8710" t="s">
        <v>19904</v>
      </c>
      <c r="R8710" t="s">
        <v>19447</v>
      </c>
      <c r="S8710" t="s">
        <v>19447</v>
      </c>
      <c r="T8710" t="s">
        <v>19900</v>
      </c>
    </row>
    <row r="8711" spans="2:20" x14ac:dyDescent="0.25">
      <c r="B8711" t="s">
        <v>2709</v>
      </c>
      <c r="C8711">
        <v>84733039</v>
      </c>
      <c r="E8711">
        <v>52.57</v>
      </c>
      <c r="F8711">
        <v>12</v>
      </c>
      <c r="G8711">
        <v>10</v>
      </c>
      <c r="H8711" t="s">
        <v>19447</v>
      </c>
      <c r="I8711" t="s">
        <v>19447</v>
      </c>
      <c r="J8711">
        <v>0</v>
      </c>
      <c r="L8711" t="s">
        <v>2709</v>
      </c>
      <c r="M8711">
        <v>84733039</v>
      </c>
      <c r="O8711" t="s">
        <v>20189</v>
      </c>
      <c r="P8711" t="s">
        <v>19903</v>
      </c>
      <c r="Q8711" t="s">
        <v>19904</v>
      </c>
      <c r="R8711" t="s">
        <v>19447</v>
      </c>
      <c r="S8711" t="s">
        <v>19447</v>
      </c>
      <c r="T8711" t="s">
        <v>19900</v>
      </c>
    </row>
    <row r="8712" spans="2:20" x14ac:dyDescent="0.25">
      <c r="B8712" t="s">
        <v>2709</v>
      </c>
      <c r="C8712">
        <v>84733041</v>
      </c>
      <c r="E8712">
        <v>52.57</v>
      </c>
      <c r="F8712">
        <v>12</v>
      </c>
      <c r="G8712">
        <v>15</v>
      </c>
      <c r="H8712" t="s">
        <v>19447</v>
      </c>
      <c r="I8712" t="s">
        <v>19447</v>
      </c>
      <c r="J8712">
        <v>12</v>
      </c>
      <c r="L8712" t="s">
        <v>2709</v>
      </c>
      <c r="M8712">
        <v>84733041</v>
      </c>
      <c r="O8712" t="s">
        <v>20189</v>
      </c>
      <c r="P8712" t="s">
        <v>19903</v>
      </c>
      <c r="Q8712" t="s">
        <v>19983</v>
      </c>
      <c r="R8712" t="s">
        <v>19447</v>
      </c>
      <c r="S8712" t="s">
        <v>19447</v>
      </c>
      <c r="T8712" t="s">
        <v>19903</v>
      </c>
    </row>
    <row r="8713" spans="2:20" x14ac:dyDescent="0.25">
      <c r="B8713" t="s">
        <v>2709</v>
      </c>
      <c r="C8713">
        <v>84733042</v>
      </c>
      <c r="E8713">
        <v>52.57</v>
      </c>
      <c r="F8713">
        <v>12</v>
      </c>
      <c r="G8713">
        <v>15</v>
      </c>
      <c r="H8713" t="s">
        <v>19447</v>
      </c>
      <c r="I8713" t="s">
        <v>19447</v>
      </c>
      <c r="J8713">
        <v>12</v>
      </c>
      <c r="L8713" t="s">
        <v>2709</v>
      </c>
      <c r="M8713">
        <v>84733042</v>
      </c>
      <c r="O8713" t="s">
        <v>20189</v>
      </c>
      <c r="P8713" t="s">
        <v>19903</v>
      </c>
      <c r="Q8713" t="s">
        <v>19983</v>
      </c>
      <c r="R8713" t="s">
        <v>19447</v>
      </c>
      <c r="S8713" t="s">
        <v>19447</v>
      </c>
      <c r="T8713" t="s">
        <v>19903</v>
      </c>
    </row>
    <row r="8714" spans="2:20" x14ac:dyDescent="0.25">
      <c r="B8714" t="s">
        <v>2709</v>
      </c>
      <c r="C8714">
        <v>84733043</v>
      </c>
      <c r="E8714">
        <v>52.57</v>
      </c>
      <c r="F8714">
        <v>12</v>
      </c>
      <c r="G8714">
        <v>2</v>
      </c>
      <c r="H8714" t="s">
        <v>19447</v>
      </c>
      <c r="I8714" t="s">
        <v>19447</v>
      </c>
      <c r="J8714">
        <v>0</v>
      </c>
      <c r="L8714" t="s">
        <v>2709</v>
      </c>
      <c r="M8714">
        <v>84733043</v>
      </c>
      <c r="O8714" t="s">
        <v>20189</v>
      </c>
      <c r="P8714" t="s">
        <v>19903</v>
      </c>
      <c r="Q8714" t="s">
        <v>19901</v>
      </c>
      <c r="R8714" t="s">
        <v>19447</v>
      </c>
      <c r="S8714" t="s">
        <v>19447</v>
      </c>
      <c r="T8714" t="s">
        <v>19900</v>
      </c>
    </row>
    <row r="8715" spans="2:20" x14ac:dyDescent="0.25">
      <c r="B8715" t="s">
        <v>2709</v>
      </c>
      <c r="C8715">
        <v>84733049</v>
      </c>
      <c r="E8715">
        <v>52.57</v>
      </c>
      <c r="F8715">
        <v>12</v>
      </c>
      <c r="G8715">
        <v>15</v>
      </c>
      <c r="H8715" t="s">
        <v>19447</v>
      </c>
      <c r="I8715" t="s">
        <v>19447</v>
      </c>
      <c r="J8715">
        <v>12</v>
      </c>
      <c r="L8715" t="s">
        <v>2709</v>
      </c>
      <c r="M8715">
        <v>84733049</v>
      </c>
      <c r="O8715" t="s">
        <v>20189</v>
      </c>
      <c r="P8715" t="s">
        <v>19903</v>
      </c>
      <c r="Q8715" t="s">
        <v>19983</v>
      </c>
      <c r="R8715" t="s">
        <v>19447</v>
      </c>
      <c r="S8715" t="s">
        <v>19447</v>
      </c>
      <c r="T8715" t="s">
        <v>19903</v>
      </c>
    </row>
    <row r="8716" spans="2:20" x14ac:dyDescent="0.25">
      <c r="B8716" t="s">
        <v>2709</v>
      </c>
      <c r="C8716">
        <v>84733092</v>
      </c>
      <c r="E8716">
        <v>52.57</v>
      </c>
      <c r="F8716">
        <v>18</v>
      </c>
      <c r="G8716">
        <v>2</v>
      </c>
      <c r="H8716" t="s">
        <v>19447</v>
      </c>
      <c r="I8716" t="s">
        <v>19447</v>
      </c>
      <c r="J8716">
        <v>0</v>
      </c>
      <c r="L8716" t="s">
        <v>2709</v>
      </c>
      <c r="M8716">
        <v>84733092</v>
      </c>
      <c r="O8716" t="s">
        <v>20189</v>
      </c>
      <c r="P8716" t="s">
        <v>19899</v>
      </c>
      <c r="Q8716" t="s">
        <v>19901</v>
      </c>
      <c r="R8716" t="s">
        <v>19447</v>
      </c>
      <c r="S8716" t="s">
        <v>19447</v>
      </c>
      <c r="T8716" t="s">
        <v>19900</v>
      </c>
    </row>
    <row r="8717" spans="2:20" x14ac:dyDescent="0.25">
      <c r="B8717" t="s">
        <v>2709</v>
      </c>
      <c r="C8717">
        <v>84733099</v>
      </c>
      <c r="E8717">
        <v>52.57</v>
      </c>
      <c r="F8717">
        <v>18</v>
      </c>
      <c r="G8717">
        <v>10</v>
      </c>
      <c r="H8717" t="s">
        <v>19447</v>
      </c>
      <c r="I8717" t="s">
        <v>19447</v>
      </c>
      <c r="J8717">
        <v>8</v>
      </c>
      <c r="L8717" t="s">
        <v>2709</v>
      </c>
      <c r="M8717">
        <v>84733099</v>
      </c>
      <c r="O8717" t="s">
        <v>20189</v>
      </c>
      <c r="P8717" t="s">
        <v>19899</v>
      </c>
      <c r="Q8717" t="s">
        <v>19904</v>
      </c>
      <c r="R8717" t="s">
        <v>19447</v>
      </c>
      <c r="S8717" t="s">
        <v>19447</v>
      </c>
      <c r="T8717" t="s">
        <v>19918</v>
      </c>
    </row>
    <row r="8718" spans="2:20" x14ac:dyDescent="0.25">
      <c r="B8718" t="s">
        <v>2709</v>
      </c>
      <c r="C8718">
        <v>84734010</v>
      </c>
      <c r="E8718">
        <v>71.78</v>
      </c>
      <c r="F8718">
        <v>18</v>
      </c>
      <c r="G8718">
        <v>15</v>
      </c>
      <c r="H8718" t="s">
        <v>19447</v>
      </c>
      <c r="I8718" t="s">
        <v>19447</v>
      </c>
      <c r="J8718">
        <v>12</v>
      </c>
      <c r="L8718" t="s">
        <v>2709</v>
      </c>
      <c r="M8718">
        <v>84734010</v>
      </c>
      <c r="O8718" t="s">
        <v>20056</v>
      </c>
      <c r="P8718" t="s">
        <v>19899</v>
      </c>
      <c r="Q8718" t="s">
        <v>19983</v>
      </c>
      <c r="R8718" t="s">
        <v>19447</v>
      </c>
      <c r="S8718" t="s">
        <v>19447</v>
      </c>
      <c r="T8718" t="s">
        <v>19903</v>
      </c>
    </row>
    <row r="8719" spans="2:20" x14ac:dyDescent="0.25">
      <c r="B8719" t="s">
        <v>2709</v>
      </c>
      <c r="C8719">
        <v>84734070</v>
      </c>
      <c r="E8719">
        <v>71.78</v>
      </c>
      <c r="F8719">
        <v>18</v>
      </c>
      <c r="G8719">
        <v>10</v>
      </c>
      <c r="H8719" t="s">
        <v>19447</v>
      </c>
      <c r="I8719" t="s">
        <v>19447</v>
      </c>
      <c r="J8719">
        <v>14</v>
      </c>
      <c r="L8719" t="s">
        <v>2709</v>
      </c>
      <c r="M8719">
        <v>84734070</v>
      </c>
      <c r="O8719" t="s">
        <v>20056</v>
      </c>
      <c r="P8719" t="s">
        <v>19899</v>
      </c>
      <c r="Q8719" t="s">
        <v>19904</v>
      </c>
      <c r="R8719" t="s">
        <v>19447</v>
      </c>
      <c r="S8719" t="s">
        <v>19447</v>
      </c>
      <c r="T8719" t="s">
        <v>19911</v>
      </c>
    </row>
    <row r="8720" spans="2:20" x14ac:dyDescent="0.25">
      <c r="B8720" t="s">
        <v>2709</v>
      </c>
      <c r="C8720">
        <v>84734090</v>
      </c>
      <c r="E8720">
        <v>71.78</v>
      </c>
      <c r="F8720">
        <v>12</v>
      </c>
      <c r="G8720">
        <v>10</v>
      </c>
      <c r="H8720" t="s">
        <v>19447</v>
      </c>
      <c r="I8720" t="s">
        <v>19447</v>
      </c>
      <c r="J8720">
        <v>8</v>
      </c>
      <c r="L8720" t="s">
        <v>2709</v>
      </c>
      <c r="M8720">
        <v>84734090</v>
      </c>
      <c r="O8720" t="s">
        <v>20056</v>
      </c>
      <c r="P8720" t="s">
        <v>19903</v>
      </c>
      <c r="Q8720" t="s">
        <v>19904</v>
      </c>
      <c r="R8720" t="s">
        <v>19447</v>
      </c>
      <c r="S8720" t="s">
        <v>19447</v>
      </c>
      <c r="T8720" t="s">
        <v>19918</v>
      </c>
    </row>
    <row r="8721" spans="2:20" x14ac:dyDescent="0.25">
      <c r="B8721" t="s">
        <v>2709</v>
      </c>
      <c r="C8721">
        <v>84735010</v>
      </c>
      <c r="E8721">
        <v>71.78</v>
      </c>
      <c r="F8721">
        <v>18</v>
      </c>
      <c r="G8721">
        <v>15</v>
      </c>
      <c r="H8721" t="s">
        <v>19447</v>
      </c>
      <c r="I8721" t="s">
        <v>19447</v>
      </c>
      <c r="J8721">
        <v>12</v>
      </c>
      <c r="L8721" t="s">
        <v>2709</v>
      </c>
      <c r="M8721">
        <v>84735010</v>
      </c>
      <c r="O8721" t="s">
        <v>20056</v>
      </c>
      <c r="P8721" t="s">
        <v>19899</v>
      </c>
      <c r="Q8721" t="s">
        <v>19983</v>
      </c>
      <c r="R8721" t="s">
        <v>19447</v>
      </c>
      <c r="S8721" t="s">
        <v>19447</v>
      </c>
      <c r="T8721" t="s">
        <v>19903</v>
      </c>
    </row>
    <row r="8722" spans="2:20" x14ac:dyDescent="0.25">
      <c r="B8722" t="s">
        <v>2709</v>
      </c>
      <c r="C8722">
        <v>84735040</v>
      </c>
      <c r="E8722">
        <v>71.78</v>
      </c>
      <c r="F8722">
        <v>18</v>
      </c>
      <c r="G8722">
        <v>5</v>
      </c>
      <c r="H8722" t="s">
        <v>19447</v>
      </c>
      <c r="I8722" t="s">
        <v>19447</v>
      </c>
      <c r="J8722">
        <v>0</v>
      </c>
      <c r="L8722" t="s">
        <v>2709</v>
      </c>
      <c r="M8722">
        <v>84735040</v>
      </c>
      <c r="O8722" t="s">
        <v>20056</v>
      </c>
      <c r="P8722" t="s">
        <v>19899</v>
      </c>
      <c r="Q8722" t="s">
        <v>19909</v>
      </c>
      <c r="R8722" t="s">
        <v>19447</v>
      </c>
      <c r="S8722" t="s">
        <v>19447</v>
      </c>
      <c r="T8722" t="s">
        <v>19900</v>
      </c>
    </row>
    <row r="8723" spans="2:20" x14ac:dyDescent="0.25">
      <c r="B8723" t="s">
        <v>2709</v>
      </c>
      <c r="C8723">
        <v>84735050</v>
      </c>
      <c r="E8723">
        <v>71.78</v>
      </c>
      <c r="F8723">
        <v>18</v>
      </c>
      <c r="G8723">
        <v>15</v>
      </c>
      <c r="H8723" t="s">
        <v>19447</v>
      </c>
      <c r="I8723" t="s">
        <v>19447</v>
      </c>
      <c r="J8723">
        <v>12</v>
      </c>
      <c r="L8723" t="s">
        <v>2709</v>
      </c>
      <c r="M8723">
        <v>84735050</v>
      </c>
      <c r="O8723" t="s">
        <v>20056</v>
      </c>
      <c r="P8723" t="s">
        <v>19899</v>
      </c>
      <c r="Q8723" t="s">
        <v>19983</v>
      </c>
      <c r="R8723" t="s">
        <v>19447</v>
      </c>
      <c r="S8723" t="s">
        <v>19447</v>
      </c>
      <c r="T8723" t="s">
        <v>19903</v>
      </c>
    </row>
    <row r="8724" spans="2:20" x14ac:dyDescent="0.25">
      <c r="B8724" t="s">
        <v>2709</v>
      </c>
      <c r="C8724">
        <v>84735090</v>
      </c>
      <c r="E8724">
        <v>71.78</v>
      </c>
      <c r="F8724">
        <v>18</v>
      </c>
      <c r="G8724">
        <v>10</v>
      </c>
      <c r="H8724" t="s">
        <v>19447</v>
      </c>
      <c r="I8724" t="s">
        <v>19447</v>
      </c>
      <c r="J8724">
        <v>16</v>
      </c>
      <c r="L8724" t="s">
        <v>2709</v>
      </c>
      <c r="M8724">
        <v>84735090</v>
      </c>
      <c r="O8724" t="s">
        <v>20056</v>
      </c>
      <c r="P8724" t="s">
        <v>19899</v>
      </c>
      <c r="Q8724" t="s">
        <v>19904</v>
      </c>
      <c r="R8724" t="s">
        <v>19447</v>
      </c>
      <c r="S8724" t="s">
        <v>19447</v>
      </c>
      <c r="T8724" t="s">
        <v>19913</v>
      </c>
    </row>
    <row r="8725" spans="2:20" x14ac:dyDescent="0.25">
      <c r="B8725" t="s">
        <v>2709</v>
      </c>
      <c r="C8725">
        <v>84741000</v>
      </c>
      <c r="E8725">
        <v>71.78</v>
      </c>
      <c r="F8725">
        <v>8.8000000000000007</v>
      </c>
      <c r="G8725">
        <v>0</v>
      </c>
      <c r="H8725" t="s">
        <v>19447</v>
      </c>
      <c r="I8725" t="s">
        <v>19447</v>
      </c>
      <c r="J8725">
        <v>14</v>
      </c>
      <c r="L8725" t="s">
        <v>2709</v>
      </c>
      <c r="M8725">
        <v>84741000</v>
      </c>
      <c r="O8725" t="s">
        <v>20056</v>
      </c>
      <c r="P8725" t="s">
        <v>20127</v>
      </c>
      <c r="Q8725" t="s">
        <v>19900</v>
      </c>
      <c r="R8725" t="s">
        <v>19447</v>
      </c>
      <c r="S8725" t="s">
        <v>19447</v>
      </c>
      <c r="T8725" t="s">
        <v>19911</v>
      </c>
    </row>
    <row r="8726" spans="2:20" x14ac:dyDescent="0.25">
      <c r="B8726" t="s">
        <v>2709</v>
      </c>
      <c r="C8726">
        <v>84742010</v>
      </c>
      <c r="E8726">
        <v>71.78</v>
      </c>
      <c r="F8726">
        <v>8.8000000000000007</v>
      </c>
      <c r="G8726">
        <v>0</v>
      </c>
      <c r="H8726" t="s">
        <v>19447</v>
      </c>
      <c r="I8726" t="s">
        <v>19447</v>
      </c>
      <c r="J8726">
        <v>14</v>
      </c>
      <c r="L8726" t="s">
        <v>2709</v>
      </c>
      <c r="M8726">
        <v>84742010</v>
      </c>
      <c r="O8726" t="s">
        <v>20056</v>
      </c>
      <c r="P8726" t="s">
        <v>20127</v>
      </c>
      <c r="Q8726" t="s">
        <v>19900</v>
      </c>
      <c r="R8726" t="s">
        <v>19447</v>
      </c>
      <c r="S8726" t="s">
        <v>19447</v>
      </c>
      <c r="T8726" t="s">
        <v>19911</v>
      </c>
    </row>
    <row r="8727" spans="2:20" x14ac:dyDescent="0.25">
      <c r="B8727" t="s">
        <v>2709</v>
      </c>
      <c r="C8727">
        <v>84742090</v>
      </c>
      <c r="E8727">
        <v>71.78</v>
      </c>
      <c r="F8727">
        <v>8.8000000000000007</v>
      </c>
      <c r="G8727">
        <v>0</v>
      </c>
      <c r="H8727" t="s">
        <v>19447</v>
      </c>
      <c r="I8727" t="s">
        <v>19447</v>
      </c>
      <c r="J8727">
        <v>14</v>
      </c>
      <c r="L8727" t="s">
        <v>2709</v>
      </c>
      <c r="M8727">
        <v>84742090</v>
      </c>
      <c r="O8727" t="s">
        <v>20056</v>
      </c>
      <c r="P8727" t="s">
        <v>20127</v>
      </c>
      <c r="Q8727" t="s">
        <v>19900</v>
      </c>
      <c r="R8727" t="s">
        <v>19447</v>
      </c>
      <c r="S8727" t="s">
        <v>19447</v>
      </c>
      <c r="T8727" t="s">
        <v>19911</v>
      </c>
    </row>
    <row r="8728" spans="2:20" x14ac:dyDescent="0.25">
      <c r="B8728" t="s">
        <v>2709</v>
      </c>
      <c r="C8728">
        <v>84743100</v>
      </c>
      <c r="E8728">
        <v>71.78</v>
      </c>
      <c r="F8728">
        <v>8.8000000000000007</v>
      </c>
      <c r="G8728">
        <v>0</v>
      </c>
      <c r="H8728" t="s">
        <v>19447</v>
      </c>
      <c r="I8728" t="s">
        <v>19447</v>
      </c>
      <c r="J8728">
        <v>14</v>
      </c>
      <c r="L8728" t="s">
        <v>2709</v>
      </c>
      <c r="M8728">
        <v>84743100</v>
      </c>
      <c r="O8728" t="s">
        <v>20056</v>
      </c>
      <c r="P8728" t="s">
        <v>20127</v>
      </c>
      <c r="Q8728" t="s">
        <v>19900</v>
      </c>
      <c r="R8728" t="s">
        <v>19447</v>
      </c>
      <c r="S8728" t="s">
        <v>19447</v>
      </c>
      <c r="T8728" t="s">
        <v>19911</v>
      </c>
    </row>
    <row r="8729" spans="2:20" x14ac:dyDescent="0.25">
      <c r="B8729" t="s">
        <v>2709</v>
      </c>
      <c r="C8729">
        <v>84743200</v>
      </c>
      <c r="E8729">
        <v>71.78</v>
      </c>
      <c r="F8729">
        <v>8.8000000000000007</v>
      </c>
      <c r="G8729">
        <v>0</v>
      </c>
      <c r="H8729" t="s">
        <v>19447</v>
      </c>
      <c r="I8729" t="s">
        <v>19447</v>
      </c>
      <c r="J8729">
        <v>14</v>
      </c>
      <c r="L8729" t="s">
        <v>2709</v>
      </c>
      <c r="M8729">
        <v>84743200</v>
      </c>
      <c r="O8729" t="s">
        <v>20056</v>
      </c>
      <c r="P8729" t="s">
        <v>20127</v>
      </c>
      <c r="Q8729" t="s">
        <v>19900</v>
      </c>
      <c r="R8729" t="s">
        <v>19447</v>
      </c>
      <c r="S8729" t="s">
        <v>19447</v>
      </c>
      <c r="T8729" t="s">
        <v>19911</v>
      </c>
    </row>
    <row r="8730" spans="2:20" x14ac:dyDescent="0.25">
      <c r="B8730" t="s">
        <v>2709</v>
      </c>
      <c r="C8730">
        <v>84743900</v>
      </c>
      <c r="E8730">
        <v>71.78</v>
      </c>
      <c r="F8730">
        <v>8.8000000000000007</v>
      </c>
      <c r="G8730">
        <v>0</v>
      </c>
      <c r="H8730" t="s">
        <v>19447</v>
      </c>
      <c r="I8730" t="s">
        <v>19447</v>
      </c>
      <c r="J8730">
        <v>14</v>
      </c>
      <c r="L8730" t="s">
        <v>2709</v>
      </c>
      <c r="M8730">
        <v>84743900</v>
      </c>
      <c r="O8730" t="s">
        <v>20056</v>
      </c>
      <c r="P8730" t="s">
        <v>20127</v>
      </c>
      <c r="Q8730" t="s">
        <v>19900</v>
      </c>
      <c r="R8730" t="s">
        <v>19447</v>
      </c>
      <c r="S8730" t="s">
        <v>19447</v>
      </c>
      <c r="T8730" t="s">
        <v>19911</v>
      </c>
    </row>
    <row r="8731" spans="2:20" x14ac:dyDescent="0.25">
      <c r="B8731" t="s">
        <v>2709</v>
      </c>
      <c r="C8731">
        <v>84748010</v>
      </c>
      <c r="E8731">
        <v>71.78</v>
      </c>
      <c r="F8731">
        <v>8.8000000000000007</v>
      </c>
      <c r="G8731">
        <v>0</v>
      </c>
      <c r="H8731" t="s">
        <v>19447</v>
      </c>
      <c r="I8731" t="s">
        <v>19447</v>
      </c>
      <c r="J8731">
        <v>14</v>
      </c>
      <c r="L8731" t="s">
        <v>2709</v>
      </c>
      <c r="M8731">
        <v>84748010</v>
      </c>
      <c r="O8731" t="s">
        <v>20056</v>
      </c>
      <c r="P8731" t="s">
        <v>20127</v>
      </c>
      <c r="Q8731" t="s">
        <v>19900</v>
      </c>
      <c r="R8731" t="s">
        <v>19447</v>
      </c>
      <c r="S8731" t="s">
        <v>19447</v>
      </c>
      <c r="T8731" t="s">
        <v>19911</v>
      </c>
    </row>
    <row r="8732" spans="2:20" x14ac:dyDescent="0.25">
      <c r="B8732" t="s">
        <v>2709</v>
      </c>
      <c r="C8732">
        <v>84748090</v>
      </c>
      <c r="E8732">
        <v>71.78</v>
      </c>
      <c r="F8732">
        <v>8.8000000000000007</v>
      </c>
      <c r="G8732">
        <v>0</v>
      </c>
      <c r="H8732" t="s">
        <v>19447</v>
      </c>
      <c r="I8732" t="s">
        <v>19447</v>
      </c>
      <c r="J8732">
        <v>14</v>
      </c>
      <c r="L8732" t="s">
        <v>2709</v>
      </c>
      <c r="M8732">
        <v>84748090</v>
      </c>
      <c r="O8732" t="s">
        <v>20056</v>
      </c>
      <c r="P8732" t="s">
        <v>20127</v>
      </c>
      <c r="Q8732" t="s">
        <v>19900</v>
      </c>
      <c r="R8732" t="s">
        <v>19447</v>
      </c>
      <c r="S8732" t="s">
        <v>19447</v>
      </c>
      <c r="T8732" t="s">
        <v>19911</v>
      </c>
    </row>
    <row r="8733" spans="2:20" x14ac:dyDescent="0.25">
      <c r="B8733" t="s">
        <v>2709</v>
      </c>
      <c r="C8733">
        <v>84749000</v>
      </c>
      <c r="E8733">
        <v>71.78</v>
      </c>
      <c r="F8733">
        <v>18</v>
      </c>
      <c r="G8733">
        <v>0</v>
      </c>
      <c r="H8733" t="s">
        <v>19447</v>
      </c>
      <c r="I8733" t="s">
        <v>19447</v>
      </c>
      <c r="J8733">
        <v>14</v>
      </c>
      <c r="L8733" t="s">
        <v>2709</v>
      </c>
      <c r="M8733">
        <v>84749000</v>
      </c>
      <c r="O8733" t="s">
        <v>20056</v>
      </c>
      <c r="P8733" t="s">
        <v>19899</v>
      </c>
      <c r="Q8733" t="s">
        <v>19900</v>
      </c>
      <c r="R8733" t="s">
        <v>19447</v>
      </c>
      <c r="S8733" t="s">
        <v>19447</v>
      </c>
      <c r="T8733" t="s">
        <v>19911</v>
      </c>
    </row>
    <row r="8734" spans="2:20" x14ac:dyDescent="0.25">
      <c r="B8734" t="s">
        <v>2709</v>
      </c>
      <c r="C8734">
        <v>84751000</v>
      </c>
      <c r="E8734">
        <v>71.78</v>
      </c>
      <c r="F8734">
        <v>8.8000000000000007</v>
      </c>
      <c r="G8734">
        <v>0</v>
      </c>
      <c r="H8734" t="s">
        <v>19447</v>
      </c>
      <c r="I8734" t="s">
        <v>19447</v>
      </c>
      <c r="J8734">
        <v>0</v>
      </c>
      <c r="L8734" t="s">
        <v>2709</v>
      </c>
      <c r="M8734">
        <v>84751000</v>
      </c>
      <c r="O8734" t="s">
        <v>20056</v>
      </c>
      <c r="P8734" t="s">
        <v>20127</v>
      </c>
      <c r="Q8734" t="s">
        <v>19900</v>
      </c>
      <c r="R8734" t="s">
        <v>19447</v>
      </c>
      <c r="S8734" t="s">
        <v>19447</v>
      </c>
      <c r="T8734" t="s">
        <v>19900</v>
      </c>
    </row>
    <row r="8735" spans="2:20" x14ac:dyDescent="0.25">
      <c r="B8735" t="s">
        <v>2709</v>
      </c>
      <c r="C8735">
        <v>84752100</v>
      </c>
      <c r="E8735">
        <v>71.78</v>
      </c>
      <c r="F8735">
        <v>8.8000000000000007</v>
      </c>
      <c r="G8735">
        <v>0</v>
      </c>
      <c r="H8735" t="s">
        <v>19447</v>
      </c>
      <c r="I8735" t="s">
        <v>19447</v>
      </c>
      <c r="J8735">
        <v>14</v>
      </c>
      <c r="L8735" t="s">
        <v>2709</v>
      </c>
      <c r="M8735">
        <v>84752100</v>
      </c>
      <c r="O8735" t="s">
        <v>20056</v>
      </c>
      <c r="P8735" t="s">
        <v>20127</v>
      </c>
      <c r="Q8735" t="s">
        <v>19900</v>
      </c>
      <c r="R8735" t="s">
        <v>19447</v>
      </c>
      <c r="S8735" t="s">
        <v>19447</v>
      </c>
      <c r="T8735" t="s">
        <v>19911</v>
      </c>
    </row>
    <row r="8736" spans="2:20" x14ac:dyDescent="0.25">
      <c r="B8736" t="s">
        <v>2709</v>
      </c>
      <c r="C8736">
        <v>84752910</v>
      </c>
      <c r="E8736">
        <v>71.78</v>
      </c>
      <c r="F8736">
        <v>8.8000000000000007</v>
      </c>
      <c r="G8736">
        <v>0</v>
      </c>
      <c r="H8736" t="s">
        <v>19447</v>
      </c>
      <c r="I8736" t="s">
        <v>19447</v>
      </c>
      <c r="J8736">
        <v>14</v>
      </c>
      <c r="L8736" t="s">
        <v>2709</v>
      </c>
      <c r="M8736">
        <v>84752910</v>
      </c>
      <c r="O8736" t="s">
        <v>20056</v>
      </c>
      <c r="P8736" t="s">
        <v>20127</v>
      </c>
      <c r="Q8736" t="s">
        <v>19900</v>
      </c>
      <c r="R8736" t="s">
        <v>19447</v>
      </c>
      <c r="S8736" t="s">
        <v>19447</v>
      </c>
      <c r="T8736" t="s">
        <v>19911</v>
      </c>
    </row>
    <row r="8737" spans="2:20" x14ac:dyDescent="0.25">
      <c r="B8737" t="s">
        <v>2709</v>
      </c>
      <c r="C8737">
        <v>84752990</v>
      </c>
      <c r="E8737">
        <v>71.78</v>
      </c>
      <c r="F8737">
        <v>8.8000000000000007</v>
      </c>
      <c r="G8737">
        <v>0</v>
      </c>
      <c r="H8737" t="s">
        <v>19447</v>
      </c>
      <c r="I8737" t="s">
        <v>19447</v>
      </c>
      <c r="J8737">
        <v>14</v>
      </c>
      <c r="L8737" t="s">
        <v>2709</v>
      </c>
      <c r="M8737">
        <v>84752990</v>
      </c>
      <c r="O8737" t="s">
        <v>20056</v>
      </c>
      <c r="P8737" t="s">
        <v>20127</v>
      </c>
      <c r="Q8737" t="s">
        <v>19900</v>
      </c>
      <c r="R8737" t="s">
        <v>19447</v>
      </c>
      <c r="S8737" t="s">
        <v>19447</v>
      </c>
      <c r="T8737" t="s">
        <v>19911</v>
      </c>
    </row>
    <row r="8738" spans="2:20" x14ac:dyDescent="0.25">
      <c r="B8738" t="s">
        <v>2709</v>
      </c>
      <c r="C8738">
        <v>84759000</v>
      </c>
      <c r="E8738">
        <v>71.78</v>
      </c>
      <c r="F8738">
        <v>18</v>
      </c>
      <c r="G8738">
        <v>5</v>
      </c>
      <c r="H8738" t="s">
        <v>19447</v>
      </c>
      <c r="I8738" t="s">
        <v>19447</v>
      </c>
      <c r="J8738">
        <v>14</v>
      </c>
      <c r="L8738" t="s">
        <v>2709</v>
      </c>
      <c r="M8738">
        <v>84759000</v>
      </c>
      <c r="O8738" t="s">
        <v>20056</v>
      </c>
      <c r="P8738" t="s">
        <v>19899</v>
      </c>
      <c r="Q8738" t="s">
        <v>19909</v>
      </c>
      <c r="R8738" t="s">
        <v>19447</v>
      </c>
      <c r="S8738" t="s">
        <v>19447</v>
      </c>
      <c r="T8738" t="s">
        <v>19911</v>
      </c>
    </row>
    <row r="8739" spans="2:20" x14ac:dyDescent="0.25">
      <c r="B8739" t="s">
        <v>2709</v>
      </c>
      <c r="C8739">
        <v>84762100</v>
      </c>
      <c r="E8739">
        <v>71.78</v>
      </c>
      <c r="F8739">
        <v>18</v>
      </c>
      <c r="G8739">
        <v>18</v>
      </c>
      <c r="H8739" t="s">
        <v>19447</v>
      </c>
      <c r="I8739" t="s">
        <v>19447</v>
      </c>
      <c r="J8739">
        <v>14</v>
      </c>
      <c r="L8739" t="s">
        <v>2709</v>
      </c>
      <c r="M8739">
        <v>84762100</v>
      </c>
      <c r="O8739" t="s">
        <v>20056</v>
      </c>
      <c r="P8739" t="s">
        <v>19899</v>
      </c>
      <c r="Q8739" t="s">
        <v>19899</v>
      </c>
      <c r="R8739" t="s">
        <v>19447</v>
      </c>
      <c r="S8739" t="s">
        <v>19447</v>
      </c>
      <c r="T8739" t="s">
        <v>19911</v>
      </c>
    </row>
    <row r="8740" spans="2:20" x14ac:dyDescent="0.25">
      <c r="B8740" t="s">
        <v>2709</v>
      </c>
      <c r="C8740">
        <v>84762900</v>
      </c>
      <c r="E8740">
        <v>71.78</v>
      </c>
      <c r="F8740">
        <v>18</v>
      </c>
      <c r="G8740">
        <v>18</v>
      </c>
      <c r="H8740" t="s">
        <v>19447</v>
      </c>
      <c r="I8740" t="s">
        <v>19447</v>
      </c>
      <c r="J8740">
        <v>14</v>
      </c>
      <c r="L8740" t="s">
        <v>2709</v>
      </c>
      <c r="M8740">
        <v>84762900</v>
      </c>
      <c r="O8740" t="s">
        <v>20056</v>
      </c>
      <c r="P8740" t="s">
        <v>19899</v>
      </c>
      <c r="Q8740" t="s">
        <v>19899</v>
      </c>
      <c r="R8740" t="s">
        <v>19447</v>
      </c>
      <c r="S8740" t="s">
        <v>19447</v>
      </c>
      <c r="T8740" t="s">
        <v>19911</v>
      </c>
    </row>
    <row r="8741" spans="2:20" x14ac:dyDescent="0.25">
      <c r="B8741" t="s">
        <v>2709</v>
      </c>
      <c r="C8741">
        <v>84768100</v>
      </c>
      <c r="E8741">
        <v>71.78</v>
      </c>
      <c r="F8741">
        <v>18</v>
      </c>
      <c r="G8741">
        <v>18</v>
      </c>
      <c r="H8741" t="s">
        <v>19447</v>
      </c>
      <c r="I8741" t="s">
        <v>19447</v>
      </c>
      <c r="J8741">
        <v>14</v>
      </c>
      <c r="L8741" t="s">
        <v>2709</v>
      </c>
      <c r="M8741">
        <v>84768100</v>
      </c>
      <c r="O8741" t="s">
        <v>20056</v>
      </c>
      <c r="P8741" t="s">
        <v>19899</v>
      </c>
      <c r="Q8741" t="s">
        <v>19899</v>
      </c>
      <c r="R8741" t="s">
        <v>19447</v>
      </c>
      <c r="S8741" t="s">
        <v>19447</v>
      </c>
      <c r="T8741" t="s">
        <v>19911</v>
      </c>
    </row>
    <row r="8742" spans="2:20" x14ac:dyDescent="0.25">
      <c r="B8742" t="s">
        <v>2709</v>
      </c>
      <c r="C8742">
        <v>84768910</v>
      </c>
      <c r="E8742">
        <v>71.78</v>
      </c>
      <c r="F8742">
        <v>18</v>
      </c>
      <c r="G8742">
        <v>18</v>
      </c>
      <c r="H8742" t="s">
        <v>19447</v>
      </c>
      <c r="I8742" t="s">
        <v>19447</v>
      </c>
      <c r="J8742">
        <v>0</v>
      </c>
      <c r="L8742" t="s">
        <v>2709</v>
      </c>
      <c r="M8742">
        <v>84768910</v>
      </c>
      <c r="O8742" t="s">
        <v>20056</v>
      </c>
      <c r="P8742" t="s">
        <v>19899</v>
      </c>
      <c r="Q8742" t="s">
        <v>19899</v>
      </c>
      <c r="R8742" t="s">
        <v>19447</v>
      </c>
      <c r="S8742" t="s">
        <v>19447</v>
      </c>
      <c r="T8742" t="s">
        <v>19900</v>
      </c>
    </row>
    <row r="8743" spans="2:20" x14ac:dyDescent="0.25">
      <c r="B8743" t="s">
        <v>2709</v>
      </c>
      <c r="C8743">
        <v>84768990</v>
      </c>
      <c r="E8743">
        <v>71.78</v>
      </c>
      <c r="F8743">
        <v>18</v>
      </c>
      <c r="G8743">
        <v>18</v>
      </c>
      <c r="H8743" t="s">
        <v>19447</v>
      </c>
      <c r="I8743" t="s">
        <v>19447</v>
      </c>
      <c r="J8743">
        <v>14</v>
      </c>
      <c r="L8743" t="s">
        <v>2709</v>
      </c>
      <c r="M8743">
        <v>84768990</v>
      </c>
      <c r="O8743" t="s">
        <v>20056</v>
      </c>
      <c r="P8743" t="s">
        <v>19899</v>
      </c>
      <c r="Q8743" t="s">
        <v>19899</v>
      </c>
      <c r="R8743" t="s">
        <v>19447</v>
      </c>
      <c r="S8743" t="s">
        <v>19447</v>
      </c>
      <c r="T8743" t="s">
        <v>19911</v>
      </c>
    </row>
    <row r="8744" spans="2:20" x14ac:dyDescent="0.25">
      <c r="B8744" t="s">
        <v>2709</v>
      </c>
      <c r="C8744">
        <v>84769000</v>
      </c>
      <c r="E8744">
        <v>71.78</v>
      </c>
      <c r="F8744">
        <v>18</v>
      </c>
      <c r="G8744">
        <v>18</v>
      </c>
      <c r="H8744" t="s">
        <v>19447</v>
      </c>
      <c r="I8744" t="s">
        <v>19447</v>
      </c>
      <c r="J8744">
        <v>14</v>
      </c>
      <c r="L8744" t="s">
        <v>2709</v>
      </c>
      <c r="M8744">
        <v>84769000</v>
      </c>
      <c r="O8744" t="s">
        <v>20056</v>
      </c>
      <c r="P8744" t="s">
        <v>19899</v>
      </c>
      <c r="Q8744" t="s">
        <v>19899</v>
      </c>
      <c r="R8744" t="s">
        <v>19447</v>
      </c>
      <c r="S8744" t="s">
        <v>19447</v>
      </c>
      <c r="T8744" t="s">
        <v>19911</v>
      </c>
    </row>
    <row r="8745" spans="2:20" x14ac:dyDescent="0.25">
      <c r="B8745" t="s">
        <v>2709</v>
      </c>
      <c r="C8745">
        <v>84771011</v>
      </c>
      <c r="E8745">
        <v>71.78</v>
      </c>
      <c r="F8745">
        <v>8.8000000000000007</v>
      </c>
      <c r="G8745">
        <v>0</v>
      </c>
      <c r="H8745" t="s">
        <v>19447</v>
      </c>
      <c r="I8745" t="s">
        <v>19447</v>
      </c>
      <c r="J8745">
        <v>14</v>
      </c>
      <c r="L8745" t="s">
        <v>2709</v>
      </c>
      <c r="M8745">
        <v>84771011</v>
      </c>
      <c r="O8745" t="s">
        <v>20056</v>
      </c>
      <c r="P8745" t="s">
        <v>20127</v>
      </c>
      <c r="Q8745" t="s">
        <v>19900</v>
      </c>
      <c r="R8745" t="s">
        <v>19447</v>
      </c>
      <c r="S8745" t="s">
        <v>19447</v>
      </c>
      <c r="T8745" t="s">
        <v>19911</v>
      </c>
    </row>
    <row r="8746" spans="2:20" x14ac:dyDescent="0.25">
      <c r="B8746" t="s">
        <v>2709</v>
      </c>
      <c r="C8746">
        <v>84771019</v>
      </c>
      <c r="E8746">
        <v>71.78</v>
      </c>
      <c r="F8746">
        <v>8.8000000000000007</v>
      </c>
      <c r="G8746">
        <v>0</v>
      </c>
      <c r="H8746" t="s">
        <v>19447</v>
      </c>
      <c r="I8746" t="s">
        <v>19447</v>
      </c>
      <c r="J8746">
        <v>14</v>
      </c>
      <c r="L8746" t="s">
        <v>2709</v>
      </c>
      <c r="M8746">
        <v>84771019</v>
      </c>
      <c r="O8746" t="s">
        <v>20056</v>
      </c>
      <c r="P8746" t="s">
        <v>20127</v>
      </c>
      <c r="Q8746" t="s">
        <v>19900</v>
      </c>
      <c r="R8746" t="s">
        <v>19447</v>
      </c>
      <c r="S8746" t="s">
        <v>19447</v>
      </c>
      <c r="T8746" t="s">
        <v>19911</v>
      </c>
    </row>
    <row r="8747" spans="2:20" x14ac:dyDescent="0.25">
      <c r="B8747" t="s">
        <v>2709</v>
      </c>
      <c r="C8747">
        <v>84771021</v>
      </c>
      <c r="E8747">
        <v>71.78</v>
      </c>
      <c r="F8747">
        <v>8.8000000000000007</v>
      </c>
      <c r="G8747">
        <v>0</v>
      </c>
      <c r="H8747" t="s">
        <v>19447</v>
      </c>
      <c r="I8747" t="s">
        <v>19447</v>
      </c>
      <c r="J8747">
        <v>14</v>
      </c>
      <c r="L8747" t="s">
        <v>2709</v>
      </c>
      <c r="M8747">
        <v>84771021</v>
      </c>
      <c r="O8747" t="s">
        <v>20056</v>
      </c>
      <c r="P8747" t="s">
        <v>20127</v>
      </c>
      <c r="Q8747" t="s">
        <v>19900</v>
      </c>
      <c r="R8747" t="s">
        <v>19447</v>
      </c>
      <c r="S8747" t="s">
        <v>19447</v>
      </c>
      <c r="T8747" t="s">
        <v>19911</v>
      </c>
    </row>
    <row r="8748" spans="2:20" x14ac:dyDescent="0.25">
      <c r="B8748" t="s">
        <v>2709</v>
      </c>
      <c r="C8748">
        <v>84771029</v>
      </c>
      <c r="E8748">
        <v>71.78</v>
      </c>
      <c r="F8748">
        <v>8.8000000000000007</v>
      </c>
      <c r="G8748">
        <v>0</v>
      </c>
      <c r="H8748" t="s">
        <v>19447</v>
      </c>
      <c r="I8748" t="s">
        <v>19447</v>
      </c>
      <c r="J8748">
        <v>14</v>
      </c>
      <c r="L8748" t="s">
        <v>2709</v>
      </c>
      <c r="M8748">
        <v>84771029</v>
      </c>
      <c r="O8748" t="s">
        <v>20056</v>
      </c>
      <c r="P8748" t="s">
        <v>20127</v>
      </c>
      <c r="Q8748" t="s">
        <v>19900</v>
      </c>
      <c r="R8748" t="s">
        <v>19447</v>
      </c>
      <c r="S8748" t="s">
        <v>19447</v>
      </c>
      <c r="T8748" t="s">
        <v>19911</v>
      </c>
    </row>
    <row r="8749" spans="2:20" x14ac:dyDescent="0.25">
      <c r="B8749" t="s">
        <v>2709</v>
      </c>
      <c r="C8749">
        <v>84771091</v>
      </c>
      <c r="E8749">
        <v>71.78</v>
      </c>
      <c r="F8749">
        <v>8.8000000000000007</v>
      </c>
      <c r="G8749">
        <v>0</v>
      </c>
      <c r="H8749" t="s">
        <v>19447</v>
      </c>
      <c r="I8749" t="s">
        <v>19447</v>
      </c>
      <c r="J8749">
        <v>14</v>
      </c>
      <c r="L8749" t="s">
        <v>2709</v>
      </c>
      <c r="M8749">
        <v>84771091</v>
      </c>
      <c r="O8749" t="s">
        <v>20056</v>
      </c>
      <c r="P8749" t="s">
        <v>20127</v>
      </c>
      <c r="Q8749" t="s">
        <v>19900</v>
      </c>
      <c r="R8749" t="s">
        <v>19447</v>
      </c>
      <c r="S8749" t="s">
        <v>19447</v>
      </c>
      <c r="T8749" t="s">
        <v>19911</v>
      </c>
    </row>
    <row r="8750" spans="2:20" x14ac:dyDescent="0.25">
      <c r="B8750" t="s">
        <v>2709</v>
      </c>
      <c r="C8750">
        <v>84771099</v>
      </c>
      <c r="E8750">
        <v>71.78</v>
      </c>
      <c r="F8750">
        <v>8.8000000000000007</v>
      </c>
      <c r="G8750">
        <v>0</v>
      </c>
      <c r="H8750" t="s">
        <v>19447</v>
      </c>
      <c r="I8750" t="s">
        <v>19447</v>
      </c>
      <c r="J8750">
        <v>14</v>
      </c>
      <c r="L8750" t="s">
        <v>2709</v>
      </c>
      <c r="M8750">
        <v>84771099</v>
      </c>
      <c r="O8750" t="s">
        <v>20056</v>
      </c>
      <c r="P8750" t="s">
        <v>20127</v>
      </c>
      <c r="Q8750" t="s">
        <v>19900</v>
      </c>
      <c r="R8750" t="s">
        <v>19447</v>
      </c>
      <c r="S8750" t="s">
        <v>19447</v>
      </c>
      <c r="T8750" t="s">
        <v>19911</v>
      </c>
    </row>
    <row r="8751" spans="2:20" x14ac:dyDescent="0.25">
      <c r="B8751" t="s">
        <v>2709</v>
      </c>
      <c r="C8751">
        <v>84772010</v>
      </c>
      <c r="E8751">
        <v>71.78</v>
      </c>
      <c r="F8751">
        <v>8.8000000000000007</v>
      </c>
      <c r="G8751">
        <v>0</v>
      </c>
      <c r="H8751" t="s">
        <v>19447</v>
      </c>
      <c r="I8751" t="s">
        <v>19447</v>
      </c>
      <c r="J8751">
        <v>14</v>
      </c>
      <c r="L8751" t="s">
        <v>2709</v>
      </c>
      <c r="M8751">
        <v>84772010</v>
      </c>
      <c r="O8751" t="s">
        <v>20056</v>
      </c>
      <c r="P8751" t="s">
        <v>20127</v>
      </c>
      <c r="Q8751" t="s">
        <v>19900</v>
      </c>
      <c r="R8751" t="s">
        <v>19447</v>
      </c>
      <c r="S8751" t="s">
        <v>19447</v>
      </c>
      <c r="T8751" t="s">
        <v>19911</v>
      </c>
    </row>
    <row r="8752" spans="2:20" x14ac:dyDescent="0.25">
      <c r="B8752" t="s">
        <v>2709</v>
      </c>
      <c r="C8752">
        <v>84772090</v>
      </c>
      <c r="E8752">
        <v>71.78</v>
      </c>
      <c r="F8752">
        <v>8.8000000000000007</v>
      </c>
      <c r="G8752">
        <v>0</v>
      </c>
      <c r="H8752" t="s">
        <v>19447</v>
      </c>
      <c r="I8752" t="s">
        <v>19447</v>
      </c>
      <c r="J8752">
        <v>14</v>
      </c>
      <c r="L8752" t="s">
        <v>2709</v>
      </c>
      <c r="M8752">
        <v>84772090</v>
      </c>
      <c r="O8752" t="s">
        <v>20056</v>
      </c>
      <c r="P8752" t="s">
        <v>20127</v>
      </c>
      <c r="Q8752" t="s">
        <v>19900</v>
      </c>
      <c r="R8752" t="s">
        <v>19447</v>
      </c>
      <c r="S8752" t="s">
        <v>19447</v>
      </c>
      <c r="T8752" t="s">
        <v>19911</v>
      </c>
    </row>
    <row r="8753" spans="2:20" x14ac:dyDescent="0.25">
      <c r="B8753" t="s">
        <v>2709</v>
      </c>
      <c r="C8753">
        <v>84773010</v>
      </c>
      <c r="E8753">
        <v>71.78</v>
      </c>
      <c r="F8753">
        <v>8.8000000000000007</v>
      </c>
      <c r="G8753">
        <v>0</v>
      </c>
      <c r="H8753" t="s">
        <v>19447</v>
      </c>
      <c r="I8753" t="s">
        <v>19447</v>
      </c>
      <c r="J8753">
        <v>14</v>
      </c>
      <c r="L8753" t="s">
        <v>2709</v>
      </c>
      <c r="M8753">
        <v>84773010</v>
      </c>
      <c r="O8753" t="s">
        <v>20056</v>
      </c>
      <c r="P8753" t="s">
        <v>20127</v>
      </c>
      <c r="Q8753" t="s">
        <v>19900</v>
      </c>
      <c r="R8753" t="s">
        <v>19447</v>
      </c>
      <c r="S8753" t="s">
        <v>19447</v>
      </c>
      <c r="T8753" t="s">
        <v>19911</v>
      </c>
    </row>
    <row r="8754" spans="2:20" x14ac:dyDescent="0.25">
      <c r="B8754" t="s">
        <v>2709</v>
      </c>
      <c r="C8754">
        <v>84773090</v>
      </c>
      <c r="E8754">
        <v>71.78</v>
      </c>
      <c r="F8754">
        <v>8.8000000000000007</v>
      </c>
      <c r="G8754">
        <v>0</v>
      </c>
      <c r="H8754" t="s">
        <v>19447</v>
      </c>
      <c r="I8754" t="s">
        <v>19447</v>
      </c>
      <c r="J8754">
        <v>14</v>
      </c>
      <c r="L8754" t="s">
        <v>2709</v>
      </c>
      <c r="M8754">
        <v>84773090</v>
      </c>
      <c r="O8754" t="s">
        <v>20056</v>
      </c>
      <c r="P8754" t="s">
        <v>20127</v>
      </c>
      <c r="Q8754" t="s">
        <v>19900</v>
      </c>
      <c r="R8754" t="s">
        <v>19447</v>
      </c>
      <c r="S8754" t="s">
        <v>19447</v>
      </c>
      <c r="T8754" t="s">
        <v>19911</v>
      </c>
    </row>
    <row r="8755" spans="2:20" x14ac:dyDescent="0.25">
      <c r="B8755" t="s">
        <v>2709</v>
      </c>
      <c r="C8755">
        <v>84774010</v>
      </c>
      <c r="E8755">
        <v>71.78</v>
      </c>
      <c r="F8755">
        <v>8.8000000000000007</v>
      </c>
      <c r="G8755">
        <v>0</v>
      </c>
      <c r="H8755" t="s">
        <v>19447</v>
      </c>
      <c r="I8755" t="s">
        <v>19447</v>
      </c>
      <c r="J8755">
        <v>0</v>
      </c>
      <c r="L8755" t="s">
        <v>2709</v>
      </c>
      <c r="M8755">
        <v>84774010</v>
      </c>
      <c r="O8755" t="s">
        <v>20056</v>
      </c>
      <c r="P8755" t="s">
        <v>20127</v>
      </c>
      <c r="Q8755" t="s">
        <v>19900</v>
      </c>
      <c r="R8755" t="s">
        <v>19447</v>
      </c>
      <c r="S8755" t="s">
        <v>19447</v>
      </c>
      <c r="T8755" t="s">
        <v>19900</v>
      </c>
    </row>
    <row r="8756" spans="2:20" x14ac:dyDescent="0.25">
      <c r="B8756" t="s">
        <v>2709</v>
      </c>
      <c r="C8756">
        <v>84774090</v>
      </c>
      <c r="E8756">
        <v>71.78</v>
      </c>
      <c r="F8756">
        <v>8.8000000000000007</v>
      </c>
      <c r="G8756">
        <v>0</v>
      </c>
      <c r="H8756" t="s">
        <v>19447</v>
      </c>
      <c r="I8756" t="s">
        <v>19447</v>
      </c>
      <c r="J8756">
        <v>14</v>
      </c>
      <c r="L8756" t="s">
        <v>2709</v>
      </c>
      <c r="M8756">
        <v>84774090</v>
      </c>
      <c r="O8756" t="s">
        <v>20056</v>
      </c>
      <c r="P8756" t="s">
        <v>20127</v>
      </c>
      <c r="Q8756" t="s">
        <v>19900</v>
      </c>
      <c r="R8756" t="s">
        <v>19447</v>
      </c>
      <c r="S8756" t="s">
        <v>19447</v>
      </c>
      <c r="T8756" t="s">
        <v>19911</v>
      </c>
    </row>
    <row r="8757" spans="2:20" x14ac:dyDescent="0.25">
      <c r="B8757" t="s">
        <v>2709</v>
      </c>
      <c r="C8757">
        <v>84775100</v>
      </c>
      <c r="E8757">
        <v>71.78</v>
      </c>
      <c r="F8757">
        <v>8.8000000000000007</v>
      </c>
      <c r="G8757">
        <v>0</v>
      </c>
      <c r="H8757" t="s">
        <v>19447</v>
      </c>
      <c r="I8757" t="s">
        <v>19447</v>
      </c>
      <c r="J8757">
        <v>14</v>
      </c>
      <c r="L8757" t="s">
        <v>2709</v>
      </c>
      <c r="M8757">
        <v>84775100</v>
      </c>
      <c r="O8757" t="s">
        <v>20056</v>
      </c>
      <c r="P8757" t="s">
        <v>20127</v>
      </c>
      <c r="Q8757" t="s">
        <v>19900</v>
      </c>
      <c r="R8757" t="s">
        <v>19447</v>
      </c>
      <c r="S8757" t="s">
        <v>19447</v>
      </c>
      <c r="T8757" t="s">
        <v>19911</v>
      </c>
    </row>
    <row r="8758" spans="2:20" x14ac:dyDescent="0.25">
      <c r="B8758" t="s">
        <v>2709</v>
      </c>
      <c r="C8758">
        <v>84775911</v>
      </c>
      <c r="E8758">
        <v>71.78</v>
      </c>
      <c r="F8758">
        <v>8.8000000000000007</v>
      </c>
      <c r="G8758">
        <v>0</v>
      </c>
      <c r="H8758" t="s">
        <v>19447</v>
      </c>
      <c r="I8758" t="s">
        <v>19447</v>
      </c>
      <c r="J8758">
        <v>14</v>
      </c>
      <c r="L8758" t="s">
        <v>2709</v>
      </c>
      <c r="M8758">
        <v>84775911</v>
      </c>
      <c r="O8758" t="s">
        <v>20056</v>
      </c>
      <c r="P8758" t="s">
        <v>20127</v>
      </c>
      <c r="Q8758" t="s">
        <v>19900</v>
      </c>
      <c r="R8758" t="s">
        <v>19447</v>
      </c>
      <c r="S8758" t="s">
        <v>19447</v>
      </c>
      <c r="T8758" t="s">
        <v>19911</v>
      </c>
    </row>
    <row r="8759" spans="2:20" x14ac:dyDescent="0.25">
      <c r="B8759" t="s">
        <v>2709</v>
      </c>
      <c r="C8759">
        <v>84775919</v>
      </c>
      <c r="E8759">
        <v>71.78</v>
      </c>
      <c r="F8759">
        <v>8.8000000000000007</v>
      </c>
      <c r="G8759">
        <v>0</v>
      </c>
      <c r="H8759" t="s">
        <v>19447</v>
      </c>
      <c r="I8759" t="s">
        <v>19447</v>
      </c>
      <c r="J8759">
        <v>14</v>
      </c>
      <c r="L8759" t="s">
        <v>2709</v>
      </c>
      <c r="M8759">
        <v>84775919</v>
      </c>
      <c r="O8759" t="s">
        <v>20056</v>
      </c>
      <c r="P8759" t="s">
        <v>20127</v>
      </c>
      <c r="Q8759" t="s">
        <v>19900</v>
      </c>
      <c r="R8759" t="s">
        <v>19447</v>
      </c>
      <c r="S8759" t="s">
        <v>19447</v>
      </c>
      <c r="T8759" t="s">
        <v>19911</v>
      </c>
    </row>
    <row r="8760" spans="2:20" x14ac:dyDescent="0.25">
      <c r="B8760" t="s">
        <v>2709</v>
      </c>
      <c r="C8760">
        <v>84775990</v>
      </c>
      <c r="E8760">
        <v>71.78</v>
      </c>
      <c r="F8760">
        <v>8.8000000000000007</v>
      </c>
      <c r="G8760">
        <v>0</v>
      </c>
      <c r="H8760" t="s">
        <v>19447</v>
      </c>
      <c r="I8760" t="s">
        <v>19447</v>
      </c>
      <c r="J8760">
        <v>14</v>
      </c>
      <c r="L8760" t="s">
        <v>2709</v>
      </c>
      <c r="M8760">
        <v>84775990</v>
      </c>
      <c r="O8760" t="s">
        <v>20056</v>
      </c>
      <c r="P8760" t="s">
        <v>20127</v>
      </c>
      <c r="Q8760" t="s">
        <v>19900</v>
      </c>
      <c r="R8760" t="s">
        <v>19447</v>
      </c>
      <c r="S8760" t="s">
        <v>19447</v>
      </c>
      <c r="T8760" t="s">
        <v>19911</v>
      </c>
    </row>
    <row r="8761" spans="2:20" x14ac:dyDescent="0.25">
      <c r="B8761" t="s">
        <v>2709</v>
      </c>
      <c r="C8761">
        <v>84778010</v>
      </c>
      <c r="E8761">
        <v>71.78</v>
      </c>
      <c r="F8761">
        <v>8.8000000000000007</v>
      </c>
      <c r="G8761">
        <v>0</v>
      </c>
      <c r="H8761" t="s">
        <v>19447</v>
      </c>
      <c r="I8761" t="s">
        <v>19447</v>
      </c>
      <c r="J8761">
        <v>0</v>
      </c>
      <c r="L8761" t="s">
        <v>2709</v>
      </c>
      <c r="M8761">
        <v>84778010</v>
      </c>
      <c r="O8761" t="s">
        <v>20056</v>
      </c>
      <c r="P8761" t="s">
        <v>20127</v>
      </c>
      <c r="Q8761" t="s">
        <v>19900</v>
      </c>
      <c r="R8761" t="s">
        <v>19447</v>
      </c>
      <c r="S8761" t="s">
        <v>19447</v>
      </c>
      <c r="T8761" t="s">
        <v>19900</v>
      </c>
    </row>
    <row r="8762" spans="2:20" x14ac:dyDescent="0.25">
      <c r="B8762" t="s">
        <v>2709</v>
      </c>
      <c r="C8762">
        <v>84778090</v>
      </c>
      <c r="E8762">
        <v>71.78</v>
      </c>
      <c r="F8762">
        <v>8.8000000000000007</v>
      </c>
      <c r="G8762">
        <v>0</v>
      </c>
      <c r="H8762" t="s">
        <v>19447</v>
      </c>
      <c r="I8762" t="s">
        <v>19447</v>
      </c>
      <c r="J8762">
        <v>14</v>
      </c>
      <c r="L8762" t="s">
        <v>2709</v>
      </c>
      <c r="M8762">
        <v>84778090</v>
      </c>
      <c r="O8762" t="s">
        <v>20056</v>
      </c>
      <c r="P8762" t="s">
        <v>20127</v>
      </c>
      <c r="Q8762" t="s">
        <v>19900</v>
      </c>
      <c r="R8762" t="s">
        <v>19447</v>
      </c>
      <c r="S8762" t="s">
        <v>19447</v>
      </c>
      <c r="T8762" t="s">
        <v>19911</v>
      </c>
    </row>
    <row r="8763" spans="2:20" x14ac:dyDescent="0.25">
      <c r="B8763" t="s">
        <v>2709</v>
      </c>
      <c r="C8763">
        <v>84779000</v>
      </c>
      <c r="E8763">
        <v>71.78</v>
      </c>
      <c r="F8763">
        <v>18</v>
      </c>
      <c r="G8763">
        <v>5</v>
      </c>
      <c r="H8763" t="s">
        <v>19447</v>
      </c>
      <c r="I8763" t="s">
        <v>19447</v>
      </c>
      <c r="J8763">
        <v>14</v>
      </c>
      <c r="L8763" t="s">
        <v>2709</v>
      </c>
      <c r="M8763">
        <v>84779000</v>
      </c>
      <c r="O8763" t="s">
        <v>20056</v>
      </c>
      <c r="P8763" t="s">
        <v>19899</v>
      </c>
      <c r="Q8763" t="s">
        <v>19909</v>
      </c>
      <c r="R8763" t="s">
        <v>19447</v>
      </c>
      <c r="S8763" t="s">
        <v>19447</v>
      </c>
      <c r="T8763" t="s">
        <v>19911</v>
      </c>
    </row>
    <row r="8764" spans="2:20" x14ac:dyDescent="0.25">
      <c r="B8764" t="s">
        <v>2709</v>
      </c>
      <c r="C8764">
        <v>84781010</v>
      </c>
      <c r="E8764">
        <v>71.78</v>
      </c>
      <c r="F8764">
        <v>18</v>
      </c>
      <c r="G8764">
        <v>10</v>
      </c>
      <c r="H8764" t="s">
        <v>19447</v>
      </c>
      <c r="I8764" t="s">
        <v>19447</v>
      </c>
      <c r="J8764">
        <v>14</v>
      </c>
      <c r="L8764" t="s">
        <v>2709</v>
      </c>
      <c r="M8764">
        <v>84781010</v>
      </c>
      <c r="O8764" t="s">
        <v>20056</v>
      </c>
      <c r="P8764" t="s">
        <v>19899</v>
      </c>
      <c r="Q8764" t="s">
        <v>19904</v>
      </c>
      <c r="R8764" t="s">
        <v>19447</v>
      </c>
      <c r="S8764" t="s">
        <v>19447</v>
      </c>
      <c r="T8764" t="s">
        <v>19911</v>
      </c>
    </row>
    <row r="8765" spans="2:20" x14ac:dyDescent="0.25">
      <c r="B8765" t="s">
        <v>2709</v>
      </c>
      <c r="C8765">
        <v>84781090</v>
      </c>
      <c r="E8765">
        <v>71.78</v>
      </c>
      <c r="F8765">
        <v>8.8000000000000007</v>
      </c>
      <c r="G8765">
        <v>10</v>
      </c>
      <c r="H8765" t="s">
        <v>19447</v>
      </c>
      <c r="I8765" t="s">
        <v>19447</v>
      </c>
      <c r="J8765">
        <v>14</v>
      </c>
      <c r="L8765" t="s">
        <v>2709</v>
      </c>
      <c r="M8765">
        <v>84781090</v>
      </c>
      <c r="O8765" t="s">
        <v>20056</v>
      </c>
      <c r="P8765" t="s">
        <v>20127</v>
      </c>
      <c r="Q8765" t="s">
        <v>19904</v>
      </c>
      <c r="R8765" t="s">
        <v>19447</v>
      </c>
      <c r="S8765" t="s">
        <v>19447</v>
      </c>
      <c r="T8765" t="s">
        <v>19911</v>
      </c>
    </row>
    <row r="8766" spans="2:20" x14ac:dyDescent="0.25">
      <c r="B8766" t="s">
        <v>2709</v>
      </c>
      <c r="C8766">
        <v>84789000</v>
      </c>
      <c r="E8766">
        <v>71.78</v>
      </c>
      <c r="F8766">
        <v>18</v>
      </c>
      <c r="G8766">
        <v>10</v>
      </c>
      <c r="H8766" t="s">
        <v>19447</v>
      </c>
      <c r="I8766" t="s">
        <v>19447</v>
      </c>
      <c r="J8766">
        <v>14</v>
      </c>
      <c r="L8766" t="s">
        <v>2709</v>
      </c>
      <c r="M8766">
        <v>84789000</v>
      </c>
      <c r="O8766" t="s">
        <v>20056</v>
      </c>
      <c r="P8766" t="s">
        <v>19899</v>
      </c>
      <c r="Q8766" t="s">
        <v>19904</v>
      </c>
      <c r="R8766" t="s">
        <v>19447</v>
      </c>
      <c r="S8766" t="s">
        <v>19447</v>
      </c>
      <c r="T8766" t="s">
        <v>19911</v>
      </c>
    </row>
    <row r="8767" spans="2:20" x14ac:dyDescent="0.25">
      <c r="B8767" t="s">
        <v>2709</v>
      </c>
      <c r="C8767">
        <v>84791010</v>
      </c>
      <c r="E8767">
        <v>71.78</v>
      </c>
      <c r="F8767">
        <v>18</v>
      </c>
      <c r="G8767">
        <v>0</v>
      </c>
      <c r="H8767" t="s">
        <v>19447</v>
      </c>
      <c r="I8767" t="s">
        <v>19447</v>
      </c>
      <c r="J8767">
        <v>14</v>
      </c>
      <c r="L8767" t="s">
        <v>2709</v>
      </c>
      <c r="M8767">
        <v>84791010</v>
      </c>
      <c r="O8767" t="s">
        <v>20056</v>
      </c>
      <c r="P8767" t="s">
        <v>19899</v>
      </c>
      <c r="Q8767" t="s">
        <v>19900</v>
      </c>
      <c r="R8767" t="s">
        <v>19447</v>
      </c>
      <c r="S8767" t="s">
        <v>19447</v>
      </c>
      <c r="T8767" t="s">
        <v>19911</v>
      </c>
    </row>
    <row r="8768" spans="2:20" x14ac:dyDescent="0.25">
      <c r="B8768" t="s">
        <v>2709</v>
      </c>
      <c r="C8768">
        <v>84791090</v>
      </c>
      <c r="E8768">
        <v>71.78</v>
      </c>
      <c r="F8768">
        <v>18</v>
      </c>
      <c r="G8768">
        <v>0</v>
      </c>
      <c r="H8768" t="s">
        <v>19447</v>
      </c>
      <c r="I8768" t="s">
        <v>19447</v>
      </c>
      <c r="J8768">
        <v>14</v>
      </c>
      <c r="L8768" t="s">
        <v>2709</v>
      </c>
      <c r="M8768">
        <v>84791090</v>
      </c>
      <c r="O8768" t="s">
        <v>20056</v>
      </c>
      <c r="P8768" t="s">
        <v>19899</v>
      </c>
      <c r="Q8768" t="s">
        <v>19900</v>
      </c>
      <c r="R8768" t="s">
        <v>19447</v>
      </c>
      <c r="S8768" t="s">
        <v>19447</v>
      </c>
      <c r="T8768" t="s">
        <v>19911</v>
      </c>
    </row>
    <row r="8769" spans="2:20" x14ac:dyDescent="0.25">
      <c r="B8769" t="s">
        <v>2709</v>
      </c>
      <c r="C8769">
        <v>84792000</v>
      </c>
      <c r="E8769">
        <v>71.78</v>
      </c>
      <c r="F8769">
        <v>8.8000000000000007</v>
      </c>
      <c r="G8769">
        <v>0</v>
      </c>
      <c r="H8769" t="s">
        <v>19447</v>
      </c>
      <c r="I8769" t="s">
        <v>19447</v>
      </c>
      <c r="J8769">
        <v>14</v>
      </c>
      <c r="L8769" t="s">
        <v>2709</v>
      </c>
      <c r="M8769">
        <v>84792000</v>
      </c>
      <c r="O8769" t="s">
        <v>20056</v>
      </c>
      <c r="P8769" t="s">
        <v>20127</v>
      </c>
      <c r="Q8769" t="s">
        <v>19900</v>
      </c>
      <c r="R8769" t="s">
        <v>19447</v>
      </c>
      <c r="S8769" t="s">
        <v>19447</v>
      </c>
      <c r="T8769" t="s">
        <v>19911</v>
      </c>
    </row>
    <row r="8770" spans="2:20" x14ac:dyDescent="0.25">
      <c r="B8770" t="s">
        <v>2709</v>
      </c>
      <c r="C8770">
        <v>84793000</v>
      </c>
      <c r="E8770">
        <v>71.78</v>
      </c>
      <c r="F8770">
        <v>8.8000000000000007</v>
      </c>
      <c r="G8770">
        <v>0</v>
      </c>
      <c r="H8770" t="s">
        <v>19447</v>
      </c>
      <c r="I8770" t="s">
        <v>19447</v>
      </c>
      <c r="J8770">
        <v>14</v>
      </c>
      <c r="L8770" t="s">
        <v>2709</v>
      </c>
      <c r="M8770">
        <v>84793000</v>
      </c>
      <c r="O8770" t="s">
        <v>20056</v>
      </c>
      <c r="P8770" t="s">
        <v>20127</v>
      </c>
      <c r="Q8770" t="s">
        <v>19900</v>
      </c>
      <c r="R8770" t="s">
        <v>19447</v>
      </c>
      <c r="S8770" t="s">
        <v>19447</v>
      </c>
      <c r="T8770" t="s">
        <v>19911</v>
      </c>
    </row>
    <row r="8771" spans="2:20" x14ac:dyDescent="0.25">
      <c r="B8771" t="s">
        <v>2709</v>
      </c>
      <c r="C8771">
        <v>84794000</v>
      </c>
      <c r="E8771">
        <v>71.78</v>
      </c>
      <c r="F8771">
        <v>8.8000000000000007</v>
      </c>
      <c r="G8771">
        <v>0</v>
      </c>
      <c r="H8771" t="s">
        <v>19447</v>
      </c>
      <c r="I8771" t="s">
        <v>19447</v>
      </c>
      <c r="J8771">
        <v>14</v>
      </c>
      <c r="L8771" t="s">
        <v>2709</v>
      </c>
      <c r="M8771">
        <v>84794000</v>
      </c>
      <c r="O8771" t="s">
        <v>20056</v>
      </c>
      <c r="P8771" t="s">
        <v>20127</v>
      </c>
      <c r="Q8771" t="s">
        <v>19900</v>
      </c>
      <c r="R8771" t="s">
        <v>19447</v>
      </c>
      <c r="S8771" t="s">
        <v>19447</v>
      </c>
      <c r="T8771" t="s">
        <v>19911</v>
      </c>
    </row>
    <row r="8772" spans="2:20" x14ac:dyDescent="0.25">
      <c r="B8772" t="s">
        <v>2709</v>
      </c>
      <c r="C8772">
        <v>84795000</v>
      </c>
      <c r="E8772">
        <v>71.78</v>
      </c>
      <c r="F8772">
        <v>12</v>
      </c>
      <c r="G8772">
        <v>0</v>
      </c>
      <c r="H8772" t="s">
        <v>19447</v>
      </c>
      <c r="I8772" t="s">
        <v>19447</v>
      </c>
      <c r="J8772">
        <v>14</v>
      </c>
      <c r="L8772" t="s">
        <v>2709</v>
      </c>
      <c r="M8772">
        <v>84795000</v>
      </c>
      <c r="O8772" t="s">
        <v>20056</v>
      </c>
      <c r="P8772" t="s">
        <v>19903</v>
      </c>
      <c r="Q8772" t="s">
        <v>19900</v>
      </c>
      <c r="R8772" t="s">
        <v>19447</v>
      </c>
      <c r="S8772" t="s">
        <v>19447</v>
      </c>
      <c r="T8772" t="s">
        <v>19911</v>
      </c>
    </row>
    <row r="8773" spans="2:20" x14ac:dyDescent="0.25">
      <c r="B8773" t="s">
        <v>2709</v>
      </c>
      <c r="C8773">
        <v>84796000</v>
      </c>
      <c r="E8773">
        <v>36.07</v>
      </c>
      <c r="F8773">
        <v>18</v>
      </c>
      <c r="G8773">
        <v>0</v>
      </c>
      <c r="H8773" t="s">
        <v>19447</v>
      </c>
      <c r="I8773" t="s">
        <v>19447</v>
      </c>
      <c r="J8773">
        <v>14</v>
      </c>
      <c r="L8773" t="s">
        <v>2709</v>
      </c>
      <c r="M8773">
        <v>84796000</v>
      </c>
      <c r="O8773" t="s">
        <v>20190</v>
      </c>
      <c r="P8773" t="s">
        <v>19899</v>
      </c>
      <c r="Q8773" t="s">
        <v>19900</v>
      </c>
      <c r="R8773" t="s">
        <v>19447</v>
      </c>
      <c r="S8773" t="s">
        <v>19447</v>
      </c>
      <c r="T8773" t="s">
        <v>19911</v>
      </c>
    </row>
    <row r="8774" spans="2:20" x14ac:dyDescent="0.25">
      <c r="B8774" t="s">
        <v>2709</v>
      </c>
      <c r="C8774">
        <v>84797100</v>
      </c>
      <c r="E8774">
        <v>71.78</v>
      </c>
      <c r="F8774">
        <v>18</v>
      </c>
      <c r="G8774">
        <v>0</v>
      </c>
      <c r="H8774" t="s">
        <v>19447</v>
      </c>
      <c r="I8774" t="s">
        <v>19447</v>
      </c>
      <c r="J8774">
        <v>14</v>
      </c>
      <c r="L8774" t="s">
        <v>2709</v>
      </c>
      <c r="M8774">
        <v>84797100</v>
      </c>
      <c r="O8774" t="s">
        <v>20056</v>
      </c>
      <c r="P8774" t="s">
        <v>19899</v>
      </c>
      <c r="Q8774" t="s">
        <v>19900</v>
      </c>
      <c r="R8774" t="s">
        <v>19447</v>
      </c>
      <c r="S8774" t="s">
        <v>19447</v>
      </c>
      <c r="T8774" t="s">
        <v>19911</v>
      </c>
    </row>
    <row r="8775" spans="2:20" x14ac:dyDescent="0.25">
      <c r="B8775" t="s">
        <v>2709</v>
      </c>
      <c r="C8775">
        <v>84797900</v>
      </c>
      <c r="E8775">
        <v>71.78</v>
      </c>
      <c r="F8775">
        <v>18</v>
      </c>
      <c r="G8775">
        <v>0</v>
      </c>
      <c r="H8775" t="s">
        <v>19447</v>
      </c>
      <c r="I8775" t="s">
        <v>19447</v>
      </c>
      <c r="J8775">
        <v>14</v>
      </c>
      <c r="L8775" t="s">
        <v>2709</v>
      </c>
      <c r="M8775">
        <v>84797900</v>
      </c>
      <c r="O8775" t="s">
        <v>20056</v>
      </c>
      <c r="P8775" t="s">
        <v>19899</v>
      </c>
      <c r="Q8775" t="s">
        <v>19900</v>
      </c>
      <c r="R8775" t="s">
        <v>19447</v>
      </c>
      <c r="S8775" t="s">
        <v>19447</v>
      </c>
      <c r="T8775" t="s">
        <v>19911</v>
      </c>
    </row>
    <row r="8776" spans="2:20" x14ac:dyDescent="0.25">
      <c r="B8776" t="s">
        <v>2709</v>
      </c>
      <c r="C8776">
        <v>84798110</v>
      </c>
      <c r="E8776">
        <v>71.78</v>
      </c>
      <c r="F8776">
        <v>8.8000000000000007</v>
      </c>
      <c r="G8776">
        <v>0</v>
      </c>
      <c r="H8776" t="s">
        <v>19447</v>
      </c>
      <c r="I8776" t="s">
        <v>19447</v>
      </c>
      <c r="J8776">
        <v>0</v>
      </c>
      <c r="L8776" t="s">
        <v>2709</v>
      </c>
      <c r="M8776">
        <v>84798110</v>
      </c>
      <c r="O8776" t="s">
        <v>20056</v>
      </c>
      <c r="P8776" t="s">
        <v>20127</v>
      </c>
      <c r="Q8776" t="s">
        <v>19900</v>
      </c>
      <c r="R8776" t="s">
        <v>19447</v>
      </c>
      <c r="S8776" t="s">
        <v>19447</v>
      </c>
      <c r="T8776" t="s">
        <v>19900</v>
      </c>
    </row>
    <row r="8777" spans="2:20" x14ac:dyDescent="0.25">
      <c r="B8777" t="s">
        <v>2709</v>
      </c>
      <c r="C8777">
        <v>84798190</v>
      </c>
      <c r="E8777">
        <v>71.78</v>
      </c>
      <c r="F8777">
        <v>8.8000000000000007</v>
      </c>
      <c r="G8777">
        <v>0</v>
      </c>
      <c r="H8777" t="s">
        <v>19447</v>
      </c>
      <c r="I8777" t="s">
        <v>19447</v>
      </c>
      <c r="J8777">
        <v>14</v>
      </c>
      <c r="L8777" t="s">
        <v>2709</v>
      </c>
      <c r="M8777">
        <v>84798190</v>
      </c>
      <c r="O8777" t="s">
        <v>20056</v>
      </c>
      <c r="P8777" t="s">
        <v>20127</v>
      </c>
      <c r="Q8777" t="s">
        <v>19900</v>
      </c>
      <c r="R8777" t="s">
        <v>19447</v>
      </c>
      <c r="S8777" t="s">
        <v>19447</v>
      </c>
      <c r="T8777" t="s">
        <v>19911</v>
      </c>
    </row>
    <row r="8778" spans="2:20" x14ac:dyDescent="0.25">
      <c r="B8778" t="s">
        <v>2709</v>
      </c>
      <c r="C8778">
        <v>84798210</v>
      </c>
      <c r="E8778">
        <v>71.78</v>
      </c>
      <c r="F8778">
        <v>12</v>
      </c>
      <c r="G8778">
        <v>0</v>
      </c>
      <c r="H8778" t="s">
        <v>19447</v>
      </c>
      <c r="I8778" t="s">
        <v>19447</v>
      </c>
      <c r="J8778">
        <v>14</v>
      </c>
      <c r="L8778" t="s">
        <v>2709</v>
      </c>
      <c r="M8778">
        <v>84798210</v>
      </c>
      <c r="O8778" t="s">
        <v>20056</v>
      </c>
      <c r="P8778" t="s">
        <v>19903</v>
      </c>
      <c r="Q8778" t="s">
        <v>19900</v>
      </c>
      <c r="R8778" t="s">
        <v>19447</v>
      </c>
      <c r="S8778" t="s">
        <v>19447</v>
      </c>
      <c r="T8778" t="s">
        <v>19911</v>
      </c>
    </row>
    <row r="8779" spans="2:20" x14ac:dyDescent="0.25">
      <c r="B8779" t="s">
        <v>2709</v>
      </c>
      <c r="C8779">
        <v>84798290</v>
      </c>
      <c r="E8779">
        <v>71.78</v>
      </c>
      <c r="F8779">
        <v>12</v>
      </c>
      <c r="G8779">
        <v>0</v>
      </c>
      <c r="H8779" t="s">
        <v>19447</v>
      </c>
      <c r="I8779" t="s">
        <v>19447</v>
      </c>
      <c r="J8779">
        <v>14</v>
      </c>
      <c r="L8779" t="s">
        <v>2709</v>
      </c>
      <c r="M8779">
        <v>84798290</v>
      </c>
      <c r="O8779" t="s">
        <v>20056</v>
      </c>
      <c r="P8779" t="s">
        <v>19903</v>
      </c>
      <c r="Q8779" t="s">
        <v>19900</v>
      </c>
      <c r="R8779" t="s">
        <v>19447</v>
      </c>
      <c r="S8779" t="s">
        <v>19447</v>
      </c>
      <c r="T8779" t="s">
        <v>19911</v>
      </c>
    </row>
    <row r="8780" spans="2:20" x14ac:dyDescent="0.25">
      <c r="B8780" t="s">
        <v>2709</v>
      </c>
      <c r="C8780">
        <v>84798911</v>
      </c>
      <c r="E8780">
        <v>71.78</v>
      </c>
      <c r="F8780">
        <v>12</v>
      </c>
      <c r="G8780">
        <v>0</v>
      </c>
      <c r="H8780" t="s">
        <v>19447</v>
      </c>
      <c r="I8780" t="s">
        <v>19447</v>
      </c>
      <c r="J8780">
        <v>14</v>
      </c>
      <c r="L8780" t="s">
        <v>2709</v>
      </c>
      <c r="M8780">
        <v>84798911</v>
      </c>
      <c r="O8780" t="s">
        <v>20056</v>
      </c>
      <c r="P8780" t="s">
        <v>19903</v>
      </c>
      <c r="Q8780" t="s">
        <v>19900</v>
      </c>
      <c r="R8780" t="s">
        <v>19447</v>
      </c>
      <c r="S8780" t="s">
        <v>19447</v>
      </c>
      <c r="T8780" t="s">
        <v>19911</v>
      </c>
    </row>
    <row r="8781" spans="2:20" x14ac:dyDescent="0.25">
      <c r="B8781" t="s">
        <v>2709</v>
      </c>
      <c r="C8781">
        <v>84798912</v>
      </c>
      <c r="E8781">
        <v>71.78</v>
      </c>
      <c r="F8781">
        <v>12</v>
      </c>
      <c r="G8781">
        <v>0</v>
      </c>
      <c r="H8781" t="s">
        <v>19447</v>
      </c>
      <c r="I8781" t="s">
        <v>19447</v>
      </c>
      <c r="J8781">
        <v>14</v>
      </c>
      <c r="L8781" t="s">
        <v>2709</v>
      </c>
      <c r="M8781">
        <v>84798912</v>
      </c>
      <c r="O8781" t="s">
        <v>20056</v>
      </c>
      <c r="P8781" t="s">
        <v>19903</v>
      </c>
      <c r="Q8781" t="s">
        <v>19900</v>
      </c>
      <c r="R8781" t="s">
        <v>19447</v>
      </c>
      <c r="S8781" t="s">
        <v>19447</v>
      </c>
      <c r="T8781" t="s">
        <v>19911</v>
      </c>
    </row>
    <row r="8782" spans="2:20" x14ac:dyDescent="0.25">
      <c r="B8782" t="s">
        <v>2709</v>
      </c>
      <c r="C8782">
        <v>84798921</v>
      </c>
      <c r="E8782">
        <v>71.78</v>
      </c>
      <c r="F8782">
        <v>12</v>
      </c>
      <c r="G8782">
        <v>0</v>
      </c>
      <c r="H8782" t="s">
        <v>19447</v>
      </c>
      <c r="I8782" t="s">
        <v>19447</v>
      </c>
      <c r="J8782">
        <v>0</v>
      </c>
      <c r="L8782" t="s">
        <v>2709</v>
      </c>
      <c r="M8782">
        <v>84798921</v>
      </c>
      <c r="O8782" t="s">
        <v>20056</v>
      </c>
      <c r="P8782" t="s">
        <v>19903</v>
      </c>
      <c r="Q8782" t="s">
        <v>19900</v>
      </c>
      <c r="R8782" t="s">
        <v>19447</v>
      </c>
      <c r="S8782" t="s">
        <v>19447</v>
      </c>
      <c r="T8782" t="s">
        <v>19900</v>
      </c>
    </row>
    <row r="8783" spans="2:20" x14ac:dyDescent="0.25">
      <c r="B8783" t="s">
        <v>2709</v>
      </c>
      <c r="C8783">
        <v>84798922</v>
      </c>
      <c r="E8783">
        <v>71.78</v>
      </c>
      <c r="F8783">
        <v>8.8000000000000007</v>
      </c>
      <c r="G8783">
        <v>0</v>
      </c>
      <c r="H8783" t="s">
        <v>19447</v>
      </c>
      <c r="I8783" t="s">
        <v>19447</v>
      </c>
      <c r="J8783">
        <v>0</v>
      </c>
      <c r="L8783" t="s">
        <v>2709</v>
      </c>
      <c r="M8783">
        <v>84798922</v>
      </c>
      <c r="O8783" t="s">
        <v>20056</v>
      </c>
      <c r="P8783" t="s">
        <v>20127</v>
      </c>
      <c r="Q8783" t="s">
        <v>19900</v>
      </c>
      <c r="R8783" t="s">
        <v>19447</v>
      </c>
      <c r="S8783" t="s">
        <v>19447</v>
      </c>
      <c r="T8783" t="s">
        <v>19900</v>
      </c>
    </row>
    <row r="8784" spans="2:20" x14ac:dyDescent="0.25">
      <c r="B8784" t="s">
        <v>2709</v>
      </c>
      <c r="C8784">
        <v>84798931</v>
      </c>
      <c r="E8784">
        <v>71.78</v>
      </c>
      <c r="F8784">
        <v>18</v>
      </c>
      <c r="G8784">
        <v>5</v>
      </c>
      <c r="H8784" t="s">
        <v>19447</v>
      </c>
      <c r="I8784" t="s">
        <v>19447</v>
      </c>
      <c r="J8784">
        <v>18</v>
      </c>
      <c r="L8784" t="s">
        <v>2709</v>
      </c>
      <c r="M8784">
        <v>84798931</v>
      </c>
      <c r="O8784" t="s">
        <v>20056</v>
      </c>
      <c r="P8784" t="s">
        <v>19899</v>
      </c>
      <c r="Q8784" t="s">
        <v>19909</v>
      </c>
      <c r="R8784" t="s">
        <v>19447</v>
      </c>
      <c r="S8784" t="s">
        <v>19447</v>
      </c>
      <c r="T8784" t="s">
        <v>19899</v>
      </c>
    </row>
    <row r="8785" spans="2:20" x14ac:dyDescent="0.25">
      <c r="B8785" t="s">
        <v>2709</v>
      </c>
      <c r="C8785">
        <v>84798932</v>
      </c>
      <c r="E8785">
        <v>71.78</v>
      </c>
      <c r="F8785">
        <v>18</v>
      </c>
      <c r="G8785">
        <v>5</v>
      </c>
      <c r="H8785" t="s">
        <v>19447</v>
      </c>
      <c r="I8785" t="s">
        <v>19447</v>
      </c>
      <c r="J8785">
        <v>18</v>
      </c>
      <c r="L8785" t="s">
        <v>2709</v>
      </c>
      <c r="M8785">
        <v>84798932</v>
      </c>
      <c r="O8785" t="s">
        <v>20056</v>
      </c>
      <c r="P8785" t="s">
        <v>19899</v>
      </c>
      <c r="Q8785" t="s">
        <v>19909</v>
      </c>
      <c r="R8785" t="s">
        <v>19447</v>
      </c>
      <c r="S8785" t="s">
        <v>19447</v>
      </c>
      <c r="T8785" t="s">
        <v>19899</v>
      </c>
    </row>
    <row r="8786" spans="2:20" x14ac:dyDescent="0.25">
      <c r="B8786" t="s">
        <v>2709</v>
      </c>
      <c r="C8786">
        <v>84798940</v>
      </c>
      <c r="E8786">
        <v>71.78</v>
      </c>
      <c r="F8786">
        <v>5.6</v>
      </c>
      <c r="G8786">
        <v>0</v>
      </c>
      <c r="H8786" t="s">
        <v>19447</v>
      </c>
      <c r="I8786" t="s">
        <v>19447</v>
      </c>
      <c r="J8786">
        <v>14</v>
      </c>
      <c r="L8786" t="s">
        <v>2709</v>
      </c>
      <c r="M8786">
        <v>84798940</v>
      </c>
      <c r="O8786" t="s">
        <v>20056</v>
      </c>
      <c r="P8786" t="s">
        <v>20133</v>
      </c>
      <c r="Q8786" t="s">
        <v>19900</v>
      </c>
      <c r="R8786" t="s">
        <v>19447</v>
      </c>
      <c r="S8786" t="s">
        <v>19447</v>
      </c>
      <c r="T8786" t="s">
        <v>19911</v>
      </c>
    </row>
    <row r="8787" spans="2:20" x14ac:dyDescent="0.25">
      <c r="B8787" t="s">
        <v>2709</v>
      </c>
      <c r="C8787">
        <v>84798991</v>
      </c>
      <c r="E8787">
        <v>71.78</v>
      </c>
      <c r="F8787">
        <v>12</v>
      </c>
      <c r="G8787">
        <v>0</v>
      </c>
      <c r="H8787" t="s">
        <v>19447</v>
      </c>
      <c r="I8787" t="s">
        <v>19447</v>
      </c>
      <c r="J8787">
        <v>14</v>
      </c>
      <c r="L8787" t="s">
        <v>2709</v>
      </c>
      <c r="M8787">
        <v>84798991</v>
      </c>
      <c r="O8787" t="s">
        <v>20056</v>
      </c>
      <c r="P8787" t="s">
        <v>19903</v>
      </c>
      <c r="Q8787" t="s">
        <v>19900</v>
      </c>
      <c r="R8787" t="s">
        <v>19447</v>
      </c>
      <c r="S8787" t="s">
        <v>19447</v>
      </c>
      <c r="T8787" t="s">
        <v>19911</v>
      </c>
    </row>
    <row r="8788" spans="2:20" x14ac:dyDescent="0.25">
      <c r="B8788" t="s">
        <v>2709</v>
      </c>
      <c r="C8788">
        <v>84798992</v>
      </c>
      <c r="E8788">
        <v>71.78</v>
      </c>
      <c r="F8788">
        <v>18</v>
      </c>
      <c r="G8788">
        <v>5</v>
      </c>
      <c r="H8788" t="s">
        <v>19447</v>
      </c>
      <c r="I8788" t="s">
        <v>19447</v>
      </c>
      <c r="J8788">
        <v>14</v>
      </c>
      <c r="L8788" t="s">
        <v>2709</v>
      </c>
      <c r="M8788">
        <v>84798992</v>
      </c>
      <c r="O8788" t="s">
        <v>20056</v>
      </c>
      <c r="P8788" t="s">
        <v>19899</v>
      </c>
      <c r="Q8788" t="s">
        <v>19909</v>
      </c>
      <c r="R8788" t="s">
        <v>19447</v>
      </c>
      <c r="S8788" t="s">
        <v>19447</v>
      </c>
      <c r="T8788" t="s">
        <v>19911</v>
      </c>
    </row>
    <row r="8789" spans="2:20" x14ac:dyDescent="0.25">
      <c r="B8789" t="s">
        <v>2709</v>
      </c>
      <c r="C8789">
        <v>84798999</v>
      </c>
      <c r="E8789">
        <v>71.78</v>
      </c>
      <c r="F8789">
        <v>12</v>
      </c>
      <c r="G8789">
        <v>0</v>
      </c>
      <c r="H8789" t="s">
        <v>19447</v>
      </c>
      <c r="I8789" t="s">
        <v>19447</v>
      </c>
      <c r="J8789">
        <v>14</v>
      </c>
      <c r="L8789" t="s">
        <v>2709</v>
      </c>
      <c r="M8789">
        <v>84798999</v>
      </c>
      <c r="O8789" t="s">
        <v>20056</v>
      </c>
      <c r="P8789" t="s">
        <v>19903</v>
      </c>
      <c r="Q8789" t="s">
        <v>19900</v>
      </c>
      <c r="R8789" t="s">
        <v>19447</v>
      </c>
      <c r="S8789" t="s">
        <v>19447</v>
      </c>
      <c r="T8789" t="s">
        <v>19911</v>
      </c>
    </row>
    <row r="8790" spans="2:20" x14ac:dyDescent="0.25">
      <c r="B8790" t="s">
        <v>2709</v>
      </c>
      <c r="C8790">
        <v>84799010</v>
      </c>
      <c r="E8790">
        <v>71.78</v>
      </c>
      <c r="F8790">
        <v>18</v>
      </c>
      <c r="G8790">
        <v>5</v>
      </c>
      <c r="H8790" t="s">
        <v>19447</v>
      </c>
      <c r="I8790" t="s">
        <v>19447</v>
      </c>
      <c r="J8790">
        <v>16</v>
      </c>
      <c r="L8790" t="s">
        <v>2709</v>
      </c>
      <c r="M8790">
        <v>84799010</v>
      </c>
      <c r="O8790" t="s">
        <v>20056</v>
      </c>
      <c r="P8790" t="s">
        <v>19899</v>
      </c>
      <c r="Q8790" t="s">
        <v>19909</v>
      </c>
      <c r="R8790" t="s">
        <v>19447</v>
      </c>
      <c r="S8790" t="s">
        <v>19447</v>
      </c>
      <c r="T8790" t="s">
        <v>19913</v>
      </c>
    </row>
    <row r="8791" spans="2:20" x14ac:dyDescent="0.25">
      <c r="B8791" t="s">
        <v>2709</v>
      </c>
      <c r="C8791">
        <v>84799090</v>
      </c>
      <c r="E8791">
        <v>71.78</v>
      </c>
      <c r="F8791">
        <v>18</v>
      </c>
      <c r="G8791">
        <v>0</v>
      </c>
      <c r="H8791" t="s">
        <v>19447</v>
      </c>
      <c r="I8791" t="s">
        <v>19447</v>
      </c>
      <c r="J8791">
        <v>14</v>
      </c>
      <c r="L8791" t="s">
        <v>2709</v>
      </c>
      <c r="M8791">
        <v>84799090</v>
      </c>
      <c r="O8791" t="s">
        <v>20056</v>
      </c>
      <c r="P8791" t="s">
        <v>19899</v>
      </c>
      <c r="Q8791" t="s">
        <v>19900</v>
      </c>
      <c r="R8791" t="s">
        <v>19447</v>
      </c>
      <c r="S8791" t="s">
        <v>19447</v>
      </c>
      <c r="T8791" t="s">
        <v>19911</v>
      </c>
    </row>
    <row r="8792" spans="2:20" x14ac:dyDescent="0.25">
      <c r="B8792" t="s">
        <v>2709</v>
      </c>
      <c r="C8792">
        <v>84801000</v>
      </c>
      <c r="E8792">
        <v>71.78</v>
      </c>
      <c r="F8792">
        <v>8.8000000000000007</v>
      </c>
      <c r="G8792">
        <v>0</v>
      </c>
      <c r="H8792" t="s">
        <v>19447</v>
      </c>
      <c r="I8792" t="s">
        <v>19447</v>
      </c>
      <c r="J8792">
        <v>14</v>
      </c>
      <c r="L8792" t="s">
        <v>2709</v>
      </c>
      <c r="M8792">
        <v>84801000</v>
      </c>
      <c r="O8792" t="s">
        <v>20056</v>
      </c>
      <c r="P8792" t="s">
        <v>20127</v>
      </c>
      <c r="Q8792" t="s">
        <v>19900</v>
      </c>
      <c r="R8792" t="s">
        <v>19447</v>
      </c>
      <c r="S8792" t="s">
        <v>19447</v>
      </c>
      <c r="T8792" t="s">
        <v>19911</v>
      </c>
    </row>
    <row r="8793" spans="2:20" x14ac:dyDescent="0.25">
      <c r="B8793" t="s">
        <v>2709</v>
      </c>
      <c r="C8793">
        <v>84802000</v>
      </c>
      <c r="E8793">
        <v>71.78</v>
      </c>
      <c r="F8793">
        <v>18</v>
      </c>
      <c r="G8793">
        <v>0</v>
      </c>
      <c r="H8793" t="s">
        <v>19447</v>
      </c>
      <c r="I8793" t="s">
        <v>19447</v>
      </c>
      <c r="J8793">
        <v>14</v>
      </c>
      <c r="L8793" t="s">
        <v>2709</v>
      </c>
      <c r="M8793">
        <v>84802000</v>
      </c>
      <c r="O8793" t="s">
        <v>20056</v>
      </c>
      <c r="P8793" t="s">
        <v>19899</v>
      </c>
      <c r="Q8793" t="s">
        <v>19900</v>
      </c>
      <c r="R8793" t="s">
        <v>19447</v>
      </c>
      <c r="S8793" t="s">
        <v>19447</v>
      </c>
      <c r="T8793" t="s">
        <v>19911</v>
      </c>
    </row>
    <row r="8794" spans="2:20" x14ac:dyDescent="0.25">
      <c r="B8794" t="s">
        <v>2709</v>
      </c>
      <c r="C8794">
        <v>84803000</v>
      </c>
      <c r="E8794">
        <v>71.78</v>
      </c>
      <c r="F8794">
        <v>8.8000000000000007</v>
      </c>
      <c r="G8794">
        <v>0</v>
      </c>
      <c r="H8794" t="s">
        <v>19447</v>
      </c>
      <c r="I8794" t="s">
        <v>19447</v>
      </c>
      <c r="J8794">
        <v>14</v>
      </c>
      <c r="L8794" t="s">
        <v>2709</v>
      </c>
      <c r="M8794">
        <v>84803000</v>
      </c>
      <c r="O8794" t="s">
        <v>20056</v>
      </c>
      <c r="P8794" t="s">
        <v>20127</v>
      </c>
      <c r="Q8794" t="s">
        <v>19900</v>
      </c>
      <c r="R8794" t="s">
        <v>19447</v>
      </c>
      <c r="S8794" t="s">
        <v>19447</v>
      </c>
      <c r="T8794" t="s">
        <v>19911</v>
      </c>
    </row>
    <row r="8795" spans="2:20" x14ac:dyDescent="0.25">
      <c r="B8795" t="s">
        <v>2709</v>
      </c>
      <c r="C8795">
        <v>84804100</v>
      </c>
      <c r="E8795">
        <v>71.78</v>
      </c>
      <c r="F8795">
        <v>8.8000000000000007</v>
      </c>
      <c r="G8795">
        <v>0</v>
      </c>
      <c r="H8795" t="s">
        <v>19447</v>
      </c>
      <c r="I8795" t="s">
        <v>19447</v>
      </c>
      <c r="J8795">
        <v>30</v>
      </c>
      <c r="L8795" t="s">
        <v>2709</v>
      </c>
      <c r="M8795">
        <v>84804100</v>
      </c>
      <c r="O8795" t="s">
        <v>20056</v>
      </c>
      <c r="P8795" t="s">
        <v>20127</v>
      </c>
      <c r="Q8795" t="s">
        <v>19900</v>
      </c>
      <c r="R8795" t="s">
        <v>19447</v>
      </c>
      <c r="S8795" t="s">
        <v>19447</v>
      </c>
      <c r="T8795" t="s">
        <v>19933</v>
      </c>
    </row>
    <row r="8796" spans="2:20" x14ac:dyDescent="0.25">
      <c r="B8796" t="s">
        <v>2709</v>
      </c>
      <c r="C8796">
        <v>84804910</v>
      </c>
      <c r="E8796">
        <v>71.78</v>
      </c>
      <c r="F8796">
        <v>8.8000000000000007</v>
      </c>
      <c r="G8796">
        <v>0</v>
      </c>
      <c r="H8796" t="s">
        <v>19447</v>
      </c>
      <c r="I8796" t="s">
        <v>19447</v>
      </c>
      <c r="J8796">
        <v>14</v>
      </c>
      <c r="L8796" t="s">
        <v>2709</v>
      </c>
      <c r="M8796">
        <v>84804910</v>
      </c>
      <c r="O8796" t="s">
        <v>20056</v>
      </c>
      <c r="P8796" t="s">
        <v>20127</v>
      </c>
      <c r="Q8796" t="s">
        <v>19900</v>
      </c>
      <c r="R8796" t="s">
        <v>19447</v>
      </c>
      <c r="S8796" t="s">
        <v>19447</v>
      </c>
      <c r="T8796" t="s">
        <v>19911</v>
      </c>
    </row>
    <row r="8797" spans="2:20" x14ac:dyDescent="0.25">
      <c r="B8797" t="s">
        <v>2709</v>
      </c>
      <c r="C8797">
        <v>84804990</v>
      </c>
      <c r="E8797">
        <v>71.78</v>
      </c>
      <c r="F8797">
        <v>8.8000000000000007</v>
      </c>
      <c r="G8797">
        <v>0</v>
      </c>
      <c r="H8797" t="s">
        <v>19447</v>
      </c>
      <c r="I8797" t="s">
        <v>19447</v>
      </c>
      <c r="J8797">
        <v>14</v>
      </c>
      <c r="L8797" t="s">
        <v>2709</v>
      </c>
      <c r="M8797">
        <v>84804990</v>
      </c>
      <c r="O8797" t="s">
        <v>20056</v>
      </c>
      <c r="P8797" t="s">
        <v>20127</v>
      </c>
      <c r="Q8797" t="s">
        <v>19900</v>
      </c>
      <c r="R8797" t="s">
        <v>19447</v>
      </c>
      <c r="S8797" t="s">
        <v>19447</v>
      </c>
      <c r="T8797" t="s">
        <v>19911</v>
      </c>
    </row>
    <row r="8798" spans="2:20" x14ac:dyDescent="0.25">
      <c r="B8798" t="s">
        <v>2709</v>
      </c>
      <c r="C8798">
        <v>84805000</v>
      </c>
      <c r="E8798">
        <v>71.78</v>
      </c>
      <c r="F8798">
        <v>8.8000000000000007</v>
      </c>
      <c r="G8798">
        <v>0</v>
      </c>
      <c r="H8798" t="s">
        <v>19447</v>
      </c>
      <c r="I8798" t="s">
        <v>19447</v>
      </c>
      <c r="J8798">
        <v>14</v>
      </c>
      <c r="L8798" t="s">
        <v>2709</v>
      </c>
      <c r="M8798">
        <v>84805000</v>
      </c>
      <c r="O8798" t="s">
        <v>20056</v>
      </c>
      <c r="P8798" t="s">
        <v>20127</v>
      </c>
      <c r="Q8798" t="s">
        <v>19900</v>
      </c>
      <c r="R8798" t="s">
        <v>19447</v>
      </c>
      <c r="S8798" t="s">
        <v>19447</v>
      </c>
      <c r="T8798" t="s">
        <v>19911</v>
      </c>
    </row>
    <row r="8799" spans="2:20" x14ac:dyDescent="0.25">
      <c r="B8799" t="s">
        <v>2709</v>
      </c>
      <c r="C8799">
        <v>84806000</v>
      </c>
      <c r="E8799">
        <v>71.78</v>
      </c>
      <c r="F8799">
        <v>8.8000000000000007</v>
      </c>
      <c r="G8799">
        <v>0</v>
      </c>
      <c r="H8799" t="s">
        <v>19447</v>
      </c>
      <c r="I8799" t="s">
        <v>19447</v>
      </c>
      <c r="J8799">
        <v>14</v>
      </c>
      <c r="L8799" t="s">
        <v>2709</v>
      </c>
      <c r="M8799">
        <v>84806000</v>
      </c>
      <c r="O8799" t="s">
        <v>20056</v>
      </c>
      <c r="P8799" t="s">
        <v>20127</v>
      </c>
      <c r="Q8799" t="s">
        <v>19900</v>
      </c>
      <c r="R8799" t="s">
        <v>19447</v>
      </c>
      <c r="S8799" t="s">
        <v>19447</v>
      </c>
      <c r="T8799" t="s">
        <v>19911</v>
      </c>
    </row>
    <row r="8800" spans="2:20" x14ac:dyDescent="0.25">
      <c r="B8800" t="s">
        <v>2709</v>
      </c>
      <c r="C8800">
        <v>84807100</v>
      </c>
      <c r="E8800">
        <v>71.78</v>
      </c>
      <c r="F8800">
        <v>8.8000000000000007</v>
      </c>
      <c r="G8800">
        <v>0</v>
      </c>
      <c r="H8800" t="s">
        <v>19447</v>
      </c>
      <c r="I8800" t="s">
        <v>19447</v>
      </c>
      <c r="J8800">
        <v>30</v>
      </c>
      <c r="L8800" t="s">
        <v>2709</v>
      </c>
      <c r="M8800">
        <v>84807100</v>
      </c>
      <c r="O8800" t="s">
        <v>20056</v>
      </c>
      <c r="P8800" t="s">
        <v>20127</v>
      </c>
      <c r="Q8800" t="s">
        <v>19900</v>
      </c>
      <c r="R8800" t="s">
        <v>19447</v>
      </c>
      <c r="S8800" t="s">
        <v>19447</v>
      </c>
      <c r="T8800" t="s">
        <v>19933</v>
      </c>
    </row>
    <row r="8801" spans="2:20" x14ac:dyDescent="0.25">
      <c r="B8801" t="s">
        <v>2709</v>
      </c>
      <c r="C8801">
        <v>84807900</v>
      </c>
      <c r="E8801">
        <v>71.78</v>
      </c>
      <c r="F8801">
        <v>8.8000000000000007</v>
      </c>
      <c r="G8801">
        <v>0</v>
      </c>
      <c r="H8801" t="s">
        <v>19447</v>
      </c>
      <c r="I8801" t="s">
        <v>19447</v>
      </c>
      <c r="J8801">
        <v>14</v>
      </c>
      <c r="L8801" t="s">
        <v>2709</v>
      </c>
      <c r="M8801">
        <v>84807900</v>
      </c>
      <c r="O8801" t="s">
        <v>20056</v>
      </c>
      <c r="P8801" t="s">
        <v>20127</v>
      </c>
      <c r="Q8801" t="s">
        <v>19900</v>
      </c>
      <c r="R8801" t="s">
        <v>19447</v>
      </c>
      <c r="S8801" t="s">
        <v>19447</v>
      </c>
      <c r="T8801" t="s">
        <v>19911</v>
      </c>
    </row>
    <row r="8802" spans="2:20" x14ac:dyDescent="0.25">
      <c r="B8802" t="s">
        <v>2709</v>
      </c>
      <c r="C8802">
        <v>84811000</v>
      </c>
      <c r="E8802">
        <v>71.78</v>
      </c>
      <c r="F8802">
        <v>12</v>
      </c>
      <c r="G8802">
        <v>0</v>
      </c>
      <c r="H8802">
        <v>10.8</v>
      </c>
      <c r="I8802">
        <v>2.2999999999999998</v>
      </c>
      <c r="J8802">
        <v>14</v>
      </c>
      <c r="L8802" t="s">
        <v>2709</v>
      </c>
      <c r="M8802">
        <v>84811000</v>
      </c>
      <c r="O8802" t="s">
        <v>20056</v>
      </c>
      <c r="P8802" t="s">
        <v>19903</v>
      </c>
      <c r="Q8802" t="s">
        <v>19900</v>
      </c>
      <c r="R8802" t="s">
        <v>20074</v>
      </c>
      <c r="S8802" t="s">
        <v>20075</v>
      </c>
      <c r="T8802" t="s">
        <v>19911</v>
      </c>
    </row>
    <row r="8803" spans="2:20" x14ac:dyDescent="0.25">
      <c r="B8803" t="s">
        <v>2709</v>
      </c>
      <c r="C8803">
        <v>84812011</v>
      </c>
      <c r="E8803">
        <v>71.78</v>
      </c>
      <c r="F8803">
        <v>12</v>
      </c>
      <c r="G8803">
        <v>5</v>
      </c>
      <c r="H8803" t="s">
        <v>19447</v>
      </c>
      <c r="I8803" t="s">
        <v>19447</v>
      </c>
      <c r="J8803">
        <v>14</v>
      </c>
      <c r="L8803" t="s">
        <v>2709</v>
      </c>
      <c r="M8803">
        <v>84812011</v>
      </c>
      <c r="O8803" t="s">
        <v>20056</v>
      </c>
      <c r="P8803" t="s">
        <v>19903</v>
      </c>
      <c r="Q8803" t="s">
        <v>19909</v>
      </c>
      <c r="R8803" t="s">
        <v>19447</v>
      </c>
      <c r="S8803" t="s">
        <v>19447</v>
      </c>
      <c r="T8803" t="s">
        <v>19911</v>
      </c>
    </row>
    <row r="8804" spans="2:20" x14ac:dyDescent="0.25">
      <c r="B8804" t="s">
        <v>2709</v>
      </c>
      <c r="C8804">
        <v>84812019</v>
      </c>
      <c r="E8804">
        <v>71.78</v>
      </c>
      <c r="F8804">
        <v>12</v>
      </c>
      <c r="G8804">
        <v>5</v>
      </c>
      <c r="H8804" t="s">
        <v>19447</v>
      </c>
      <c r="I8804" t="s">
        <v>19447</v>
      </c>
      <c r="J8804">
        <v>0</v>
      </c>
      <c r="L8804" t="s">
        <v>2709</v>
      </c>
      <c r="M8804">
        <v>84812019</v>
      </c>
      <c r="O8804" t="s">
        <v>20056</v>
      </c>
      <c r="P8804" t="s">
        <v>19903</v>
      </c>
      <c r="Q8804" t="s">
        <v>19909</v>
      </c>
      <c r="R8804" t="s">
        <v>19447</v>
      </c>
      <c r="S8804" t="s">
        <v>19447</v>
      </c>
      <c r="T8804" t="s">
        <v>19900</v>
      </c>
    </row>
    <row r="8805" spans="2:20" x14ac:dyDescent="0.25">
      <c r="B8805" t="s">
        <v>2709</v>
      </c>
      <c r="C8805">
        <v>84812090</v>
      </c>
      <c r="E8805">
        <v>71.78</v>
      </c>
      <c r="F8805">
        <v>12</v>
      </c>
      <c r="G8805">
        <v>0</v>
      </c>
      <c r="H8805">
        <v>10.8</v>
      </c>
      <c r="I8805">
        <v>2.2999999999999998</v>
      </c>
      <c r="J8805">
        <v>14</v>
      </c>
      <c r="L8805" t="s">
        <v>2709</v>
      </c>
      <c r="M8805">
        <v>84812090</v>
      </c>
      <c r="O8805" t="s">
        <v>20056</v>
      </c>
      <c r="P8805" t="s">
        <v>19903</v>
      </c>
      <c r="Q8805" t="s">
        <v>19900</v>
      </c>
      <c r="R8805" t="s">
        <v>20074</v>
      </c>
      <c r="S8805" t="s">
        <v>20075</v>
      </c>
      <c r="T8805" t="s">
        <v>19911</v>
      </c>
    </row>
    <row r="8806" spans="2:20" x14ac:dyDescent="0.25">
      <c r="B8806" t="s">
        <v>2709</v>
      </c>
      <c r="C8806">
        <v>84813000</v>
      </c>
      <c r="E8806">
        <v>47</v>
      </c>
      <c r="F8806">
        <v>18</v>
      </c>
      <c r="G8806">
        <v>0</v>
      </c>
      <c r="H8806" t="s">
        <v>19447</v>
      </c>
      <c r="I8806" t="s">
        <v>19447</v>
      </c>
      <c r="J8806">
        <v>14</v>
      </c>
      <c r="L8806" t="s">
        <v>2709</v>
      </c>
      <c r="M8806">
        <v>84813000</v>
      </c>
      <c r="O8806" t="s">
        <v>20144</v>
      </c>
      <c r="P8806" t="s">
        <v>19899</v>
      </c>
      <c r="Q8806" t="s">
        <v>19900</v>
      </c>
      <c r="R8806" t="s">
        <v>19447</v>
      </c>
      <c r="S8806" t="s">
        <v>19447</v>
      </c>
      <c r="T8806" t="s">
        <v>19911</v>
      </c>
    </row>
    <row r="8807" spans="2:20" x14ac:dyDescent="0.25">
      <c r="B8807" t="s">
        <v>2709</v>
      </c>
      <c r="C8807">
        <v>84814000</v>
      </c>
      <c r="E8807">
        <v>47</v>
      </c>
      <c r="F8807">
        <v>12</v>
      </c>
      <c r="G8807">
        <v>0</v>
      </c>
      <c r="H8807" t="s">
        <v>19447</v>
      </c>
      <c r="I8807" t="s">
        <v>19447</v>
      </c>
      <c r="J8807">
        <v>14</v>
      </c>
      <c r="L8807" t="s">
        <v>2709</v>
      </c>
      <c r="M8807">
        <v>84814000</v>
      </c>
      <c r="O8807" t="s">
        <v>20144</v>
      </c>
      <c r="P8807" t="s">
        <v>19903</v>
      </c>
      <c r="Q8807" t="s">
        <v>19900</v>
      </c>
      <c r="R8807" t="s">
        <v>19447</v>
      </c>
      <c r="S8807" t="s">
        <v>19447</v>
      </c>
      <c r="T8807" t="s">
        <v>19911</v>
      </c>
    </row>
    <row r="8808" spans="2:20" x14ac:dyDescent="0.25">
      <c r="B8808" t="s">
        <v>2709</v>
      </c>
      <c r="C8808">
        <v>84818011</v>
      </c>
      <c r="E8808">
        <v>47</v>
      </c>
      <c r="F8808">
        <v>18</v>
      </c>
      <c r="G8808">
        <v>0</v>
      </c>
      <c r="H8808" t="s">
        <v>19447</v>
      </c>
      <c r="I8808" t="s">
        <v>19447</v>
      </c>
      <c r="J8808">
        <v>18</v>
      </c>
      <c r="L8808" t="s">
        <v>2709</v>
      </c>
      <c r="M8808">
        <v>84818011</v>
      </c>
      <c r="O8808" t="s">
        <v>20144</v>
      </c>
      <c r="P8808" t="s">
        <v>19899</v>
      </c>
      <c r="Q8808" t="s">
        <v>19900</v>
      </c>
      <c r="R8808" t="s">
        <v>19447</v>
      </c>
      <c r="S8808" t="s">
        <v>19447</v>
      </c>
      <c r="T8808" t="s">
        <v>19899</v>
      </c>
    </row>
    <row r="8809" spans="2:20" x14ac:dyDescent="0.25">
      <c r="B8809" t="s">
        <v>2709</v>
      </c>
      <c r="C8809">
        <v>84818019</v>
      </c>
      <c r="E8809">
        <v>47</v>
      </c>
      <c r="F8809">
        <v>18</v>
      </c>
      <c r="G8809">
        <v>0</v>
      </c>
      <c r="H8809" t="s">
        <v>19447</v>
      </c>
      <c r="I8809" t="s">
        <v>19447</v>
      </c>
      <c r="J8809">
        <v>18</v>
      </c>
      <c r="L8809" t="s">
        <v>2709</v>
      </c>
      <c r="M8809">
        <v>84818019</v>
      </c>
      <c r="O8809" t="s">
        <v>20144</v>
      </c>
      <c r="P8809" t="s">
        <v>19899</v>
      </c>
      <c r="Q8809" t="s">
        <v>19900</v>
      </c>
      <c r="R8809" t="s">
        <v>19447</v>
      </c>
      <c r="S8809" t="s">
        <v>19447</v>
      </c>
      <c r="T8809" t="s">
        <v>19899</v>
      </c>
    </row>
    <row r="8810" spans="2:20" x14ac:dyDescent="0.25">
      <c r="B8810" t="s">
        <v>2709</v>
      </c>
      <c r="C8810">
        <v>84818021</v>
      </c>
      <c r="E8810">
        <v>47</v>
      </c>
      <c r="F8810">
        <v>12</v>
      </c>
      <c r="G8810">
        <v>0</v>
      </c>
      <c r="H8810" t="s">
        <v>19447</v>
      </c>
      <c r="I8810" t="s">
        <v>19447</v>
      </c>
      <c r="J8810">
        <v>14</v>
      </c>
      <c r="L8810" t="s">
        <v>2709</v>
      </c>
      <c r="M8810">
        <v>84818021</v>
      </c>
      <c r="O8810" t="s">
        <v>20144</v>
      </c>
      <c r="P8810" t="s">
        <v>19903</v>
      </c>
      <c r="Q8810" t="s">
        <v>19900</v>
      </c>
      <c r="R8810" t="s">
        <v>19447</v>
      </c>
      <c r="S8810" t="s">
        <v>19447</v>
      </c>
      <c r="T8810" t="s">
        <v>19911</v>
      </c>
    </row>
    <row r="8811" spans="2:20" x14ac:dyDescent="0.25">
      <c r="B8811" t="s">
        <v>2709</v>
      </c>
      <c r="C8811">
        <v>84818029</v>
      </c>
      <c r="E8811">
        <v>47</v>
      </c>
      <c r="F8811">
        <v>18</v>
      </c>
      <c r="G8811">
        <v>0</v>
      </c>
      <c r="H8811" t="s">
        <v>19447</v>
      </c>
      <c r="I8811" t="s">
        <v>19447</v>
      </c>
      <c r="J8811">
        <v>14</v>
      </c>
      <c r="L8811" t="s">
        <v>2709</v>
      </c>
      <c r="M8811">
        <v>84818029</v>
      </c>
      <c r="O8811" t="s">
        <v>20144</v>
      </c>
      <c r="P8811" t="s">
        <v>19899</v>
      </c>
      <c r="Q8811" t="s">
        <v>19900</v>
      </c>
      <c r="R8811" t="s">
        <v>19447</v>
      </c>
      <c r="S8811" t="s">
        <v>19447</v>
      </c>
      <c r="T8811" t="s">
        <v>19911</v>
      </c>
    </row>
    <row r="8812" spans="2:20" x14ac:dyDescent="0.25">
      <c r="B8812" t="s">
        <v>2709</v>
      </c>
      <c r="C8812">
        <v>84818029</v>
      </c>
      <c r="D8812">
        <v>1</v>
      </c>
      <c r="E8812" t="s">
        <v>19447</v>
      </c>
      <c r="F8812">
        <v>18</v>
      </c>
      <c r="G8812">
        <v>5</v>
      </c>
      <c r="H8812">
        <v>7.6</v>
      </c>
      <c r="I8812">
        <v>1.65</v>
      </c>
      <c r="J8812">
        <v>14</v>
      </c>
      <c r="L8812" t="s">
        <v>2709</v>
      </c>
      <c r="M8812">
        <v>84818029</v>
      </c>
      <c r="N8812">
        <v>1</v>
      </c>
      <c r="O8812" t="s">
        <v>19447</v>
      </c>
      <c r="P8812" t="s">
        <v>19899</v>
      </c>
      <c r="Q8812" t="s">
        <v>19909</v>
      </c>
      <c r="R8812" t="s">
        <v>19905</v>
      </c>
      <c r="S8812" t="s">
        <v>19906</v>
      </c>
      <c r="T8812" t="s">
        <v>19911</v>
      </c>
    </row>
    <row r="8813" spans="2:20" x14ac:dyDescent="0.25">
      <c r="B8813" t="s">
        <v>2709</v>
      </c>
      <c r="C8813">
        <v>84818031</v>
      </c>
      <c r="E8813">
        <v>47</v>
      </c>
      <c r="F8813">
        <v>18</v>
      </c>
      <c r="G8813">
        <v>4</v>
      </c>
      <c r="H8813" t="s">
        <v>19447</v>
      </c>
      <c r="I8813" t="s">
        <v>19447</v>
      </c>
      <c r="J8813">
        <v>18</v>
      </c>
      <c r="L8813" t="s">
        <v>2709</v>
      </c>
      <c r="M8813">
        <v>84818031</v>
      </c>
      <c r="O8813" t="s">
        <v>20144</v>
      </c>
      <c r="P8813" t="s">
        <v>19899</v>
      </c>
      <c r="Q8813" t="s">
        <v>19902</v>
      </c>
      <c r="R8813" t="s">
        <v>19447</v>
      </c>
      <c r="S8813" t="s">
        <v>19447</v>
      </c>
      <c r="T8813" t="s">
        <v>19899</v>
      </c>
    </row>
    <row r="8814" spans="2:20" x14ac:dyDescent="0.25">
      <c r="B8814" t="s">
        <v>2709</v>
      </c>
      <c r="C8814">
        <v>84818039</v>
      </c>
      <c r="E8814">
        <v>47</v>
      </c>
      <c r="F8814">
        <v>18</v>
      </c>
      <c r="G8814">
        <v>4</v>
      </c>
      <c r="H8814" t="s">
        <v>19447</v>
      </c>
      <c r="I8814" t="s">
        <v>19447</v>
      </c>
      <c r="J8814">
        <v>14</v>
      </c>
      <c r="L8814" t="s">
        <v>2709</v>
      </c>
      <c r="M8814">
        <v>84818039</v>
      </c>
      <c r="O8814" t="s">
        <v>20144</v>
      </c>
      <c r="P8814" t="s">
        <v>19899</v>
      </c>
      <c r="Q8814" t="s">
        <v>19902</v>
      </c>
      <c r="R8814" t="s">
        <v>19447</v>
      </c>
      <c r="S8814" t="s">
        <v>19447</v>
      </c>
      <c r="T8814" t="s">
        <v>19911</v>
      </c>
    </row>
    <row r="8815" spans="2:20" x14ac:dyDescent="0.25">
      <c r="B8815" t="s">
        <v>2709</v>
      </c>
      <c r="C8815">
        <v>84818091</v>
      </c>
      <c r="E8815">
        <v>47</v>
      </c>
      <c r="F8815">
        <v>18</v>
      </c>
      <c r="G8815">
        <v>12</v>
      </c>
      <c r="H8815" t="s">
        <v>19447</v>
      </c>
      <c r="I8815" t="s">
        <v>19447</v>
      </c>
      <c r="J8815">
        <v>18</v>
      </c>
      <c r="L8815" t="s">
        <v>2709</v>
      </c>
      <c r="M8815">
        <v>84818091</v>
      </c>
      <c r="O8815" t="s">
        <v>20144</v>
      </c>
      <c r="P8815" t="s">
        <v>19899</v>
      </c>
      <c r="Q8815" t="s">
        <v>19903</v>
      </c>
      <c r="R8815" t="s">
        <v>19447</v>
      </c>
      <c r="S8815" t="s">
        <v>19447</v>
      </c>
      <c r="T8815" t="s">
        <v>19899</v>
      </c>
    </row>
    <row r="8816" spans="2:20" x14ac:dyDescent="0.25">
      <c r="B8816" t="s">
        <v>2709</v>
      </c>
      <c r="C8816">
        <v>84818092</v>
      </c>
      <c r="E8816">
        <v>71.78</v>
      </c>
      <c r="F8816">
        <v>12</v>
      </c>
      <c r="G8816">
        <v>0</v>
      </c>
      <c r="H8816">
        <v>10.8</v>
      </c>
      <c r="I8816">
        <v>2.2999999999999998</v>
      </c>
      <c r="J8816">
        <v>14</v>
      </c>
      <c r="L8816" t="s">
        <v>2709</v>
      </c>
      <c r="M8816">
        <v>84818092</v>
      </c>
      <c r="O8816" t="s">
        <v>20056</v>
      </c>
      <c r="P8816" t="s">
        <v>19903</v>
      </c>
      <c r="Q8816" t="s">
        <v>19900</v>
      </c>
      <c r="R8816" t="s">
        <v>20074</v>
      </c>
      <c r="S8816" t="s">
        <v>20075</v>
      </c>
      <c r="T8816" t="s">
        <v>19911</v>
      </c>
    </row>
    <row r="8817" spans="2:20" x14ac:dyDescent="0.25">
      <c r="B8817" t="s">
        <v>2709</v>
      </c>
      <c r="C8817">
        <v>84818093</v>
      </c>
      <c r="E8817">
        <v>47</v>
      </c>
      <c r="F8817">
        <v>8.8000000000000007</v>
      </c>
      <c r="G8817">
        <v>0</v>
      </c>
      <c r="H8817" t="s">
        <v>19447</v>
      </c>
      <c r="I8817" t="s">
        <v>19447</v>
      </c>
      <c r="J8817">
        <v>14</v>
      </c>
      <c r="L8817" t="s">
        <v>2709</v>
      </c>
      <c r="M8817">
        <v>84818093</v>
      </c>
      <c r="O8817" t="s">
        <v>20144</v>
      </c>
      <c r="P8817" t="s">
        <v>20127</v>
      </c>
      <c r="Q8817" t="s">
        <v>19900</v>
      </c>
      <c r="R8817" t="s">
        <v>19447</v>
      </c>
      <c r="S8817" t="s">
        <v>19447</v>
      </c>
      <c r="T8817" t="s">
        <v>19911</v>
      </c>
    </row>
    <row r="8818" spans="2:20" x14ac:dyDescent="0.25">
      <c r="B8818" t="s">
        <v>2709</v>
      </c>
      <c r="C8818">
        <v>84818094</v>
      </c>
      <c r="E8818">
        <v>47</v>
      </c>
      <c r="F8818">
        <v>12</v>
      </c>
      <c r="G8818">
        <v>0</v>
      </c>
      <c r="H8818" t="s">
        <v>19447</v>
      </c>
      <c r="I8818" t="s">
        <v>19447</v>
      </c>
      <c r="J8818">
        <v>14</v>
      </c>
      <c r="L8818" t="s">
        <v>2709</v>
      </c>
      <c r="M8818">
        <v>84818094</v>
      </c>
      <c r="O8818" t="s">
        <v>20144</v>
      </c>
      <c r="P8818" t="s">
        <v>19903</v>
      </c>
      <c r="Q8818" t="s">
        <v>19900</v>
      </c>
      <c r="R8818" t="s">
        <v>19447</v>
      </c>
      <c r="S8818" t="s">
        <v>19447</v>
      </c>
      <c r="T8818" t="s">
        <v>19911</v>
      </c>
    </row>
    <row r="8819" spans="2:20" x14ac:dyDescent="0.25">
      <c r="B8819" t="s">
        <v>2709</v>
      </c>
      <c r="C8819">
        <v>84818095</v>
      </c>
      <c r="E8819">
        <v>47</v>
      </c>
      <c r="F8819">
        <v>8.8000000000000007</v>
      </c>
      <c r="G8819">
        <v>0</v>
      </c>
      <c r="H8819" t="s">
        <v>19447</v>
      </c>
      <c r="I8819" t="s">
        <v>19447</v>
      </c>
      <c r="J8819">
        <v>14</v>
      </c>
      <c r="L8819" t="s">
        <v>2709</v>
      </c>
      <c r="M8819">
        <v>84818095</v>
      </c>
      <c r="O8819" t="s">
        <v>20144</v>
      </c>
      <c r="P8819" t="s">
        <v>20127</v>
      </c>
      <c r="Q8819" t="s">
        <v>19900</v>
      </c>
      <c r="R8819" t="s">
        <v>19447</v>
      </c>
      <c r="S8819" t="s">
        <v>19447</v>
      </c>
      <c r="T8819" t="s">
        <v>19911</v>
      </c>
    </row>
    <row r="8820" spans="2:20" x14ac:dyDescent="0.25">
      <c r="B8820" t="s">
        <v>2709</v>
      </c>
      <c r="C8820">
        <v>84818096</v>
      </c>
      <c r="E8820">
        <v>47</v>
      </c>
      <c r="F8820">
        <v>18</v>
      </c>
      <c r="G8820">
        <v>0</v>
      </c>
      <c r="H8820" t="s">
        <v>19447</v>
      </c>
      <c r="I8820" t="s">
        <v>19447</v>
      </c>
      <c r="J8820">
        <v>14</v>
      </c>
      <c r="L8820" t="s">
        <v>2709</v>
      </c>
      <c r="M8820">
        <v>84818096</v>
      </c>
      <c r="O8820" t="s">
        <v>20144</v>
      </c>
      <c r="P8820" t="s">
        <v>19899</v>
      </c>
      <c r="Q8820" t="s">
        <v>19900</v>
      </c>
      <c r="R8820" t="s">
        <v>19447</v>
      </c>
      <c r="S8820" t="s">
        <v>19447</v>
      </c>
      <c r="T8820" t="s">
        <v>19911</v>
      </c>
    </row>
    <row r="8821" spans="2:20" x14ac:dyDescent="0.25">
      <c r="B8821" t="s">
        <v>2709</v>
      </c>
      <c r="C8821">
        <v>84818097</v>
      </c>
      <c r="E8821">
        <v>47</v>
      </c>
      <c r="F8821">
        <v>8.8000000000000007</v>
      </c>
      <c r="G8821">
        <v>0</v>
      </c>
      <c r="H8821" t="s">
        <v>19447</v>
      </c>
      <c r="I8821" t="s">
        <v>19447</v>
      </c>
      <c r="J8821">
        <v>14</v>
      </c>
      <c r="L8821" t="s">
        <v>2709</v>
      </c>
      <c r="M8821">
        <v>84818097</v>
      </c>
      <c r="O8821" t="s">
        <v>20144</v>
      </c>
      <c r="P8821" t="s">
        <v>20127</v>
      </c>
      <c r="Q8821" t="s">
        <v>19900</v>
      </c>
      <c r="R8821" t="s">
        <v>19447</v>
      </c>
      <c r="S8821" t="s">
        <v>19447</v>
      </c>
      <c r="T8821" t="s">
        <v>19911</v>
      </c>
    </row>
    <row r="8822" spans="2:20" x14ac:dyDescent="0.25">
      <c r="B8822" t="s">
        <v>2709</v>
      </c>
      <c r="C8822">
        <v>84818099</v>
      </c>
      <c r="E8822">
        <v>47</v>
      </c>
      <c r="F8822">
        <v>8.8000000000000007</v>
      </c>
      <c r="G8822">
        <v>5</v>
      </c>
      <c r="H8822">
        <v>10.8</v>
      </c>
      <c r="I8822">
        <v>2.2999999999999998</v>
      </c>
      <c r="J8822">
        <v>14</v>
      </c>
      <c r="L8822" t="s">
        <v>2709</v>
      </c>
      <c r="M8822">
        <v>84818099</v>
      </c>
      <c r="O8822" t="s">
        <v>20144</v>
      </c>
      <c r="P8822" t="s">
        <v>20127</v>
      </c>
      <c r="Q8822" t="s">
        <v>19909</v>
      </c>
      <c r="R8822" t="s">
        <v>20074</v>
      </c>
      <c r="S8822" t="s">
        <v>20075</v>
      </c>
      <c r="T8822" t="s">
        <v>19911</v>
      </c>
    </row>
    <row r="8823" spans="2:20" x14ac:dyDescent="0.25">
      <c r="B8823" t="s">
        <v>2709</v>
      </c>
      <c r="C8823">
        <v>84819010</v>
      </c>
      <c r="E8823">
        <v>47</v>
      </c>
      <c r="F8823">
        <v>18</v>
      </c>
      <c r="G8823">
        <v>12</v>
      </c>
      <c r="H8823" t="s">
        <v>19447</v>
      </c>
      <c r="I8823" t="s">
        <v>19447</v>
      </c>
      <c r="J8823">
        <v>16</v>
      </c>
      <c r="L8823" t="s">
        <v>2709</v>
      </c>
      <c r="M8823">
        <v>84819010</v>
      </c>
      <c r="O8823" t="s">
        <v>20144</v>
      </c>
      <c r="P8823" t="s">
        <v>19899</v>
      </c>
      <c r="Q8823" t="s">
        <v>19903</v>
      </c>
      <c r="R8823" t="s">
        <v>19447</v>
      </c>
      <c r="S8823" t="s">
        <v>19447</v>
      </c>
      <c r="T8823" t="s">
        <v>19913</v>
      </c>
    </row>
    <row r="8824" spans="2:20" x14ac:dyDescent="0.25">
      <c r="B8824" t="s">
        <v>2709</v>
      </c>
      <c r="C8824">
        <v>84819010</v>
      </c>
      <c r="D8824">
        <v>1</v>
      </c>
      <c r="E8824" t="s">
        <v>19447</v>
      </c>
      <c r="F8824">
        <v>18</v>
      </c>
      <c r="G8824">
        <v>0</v>
      </c>
      <c r="H8824">
        <v>7.6</v>
      </c>
      <c r="I8824">
        <v>1.65</v>
      </c>
      <c r="J8824">
        <v>16</v>
      </c>
      <c r="L8824" t="s">
        <v>2709</v>
      </c>
      <c r="M8824">
        <v>84819010</v>
      </c>
      <c r="N8824">
        <v>1</v>
      </c>
      <c r="O8824" t="s">
        <v>19447</v>
      </c>
      <c r="P8824" t="s">
        <v>19899</v>
      </c>
      <c r="Q8824" t="s">
        <v>19900</v>
      </c>
      <c r="R8824" t="s">
        <v>19905</v>
      </c>
      <c r="S8824" t="s">
        <v>19906</v>
      </c>
      <c r="T8824" t="s">
        <v>19913</v>
      </c>
    </row>
    <row r="8825" spans="2:20" x14ac:dyDescent="0.25">
      <c r="B8825" t="s">
        <v>2709</v>
      </c>
      <c r="C8825">
        <v>84819090</v>
      </c>
      <c r="E8825">
        <v>47</v>
      </c>
      <c r="F8825">
        <v>18</v>
      </c>
      <c r="G8825">
        <v>0</v>
      </c>
      <c r="H8825" t="s">
        <v>19447</v>
      </c>
      <c r="I8825" t="s">
        <v>19447</v>
      </c>
      <c r="J8825">
        <v>14</v>
      </c>
      <c r="L8825" t="s">
        <v>2709</v>
      </c>
      <c r="M8825">
        <v>84819090</v>
      </c>
      <c r="O8825" t="s">
        <v>20144</v>
      </c>
      <c r="P8825" t="s">
        <v>19899</v>
      </c>
      <c r="Q8825" t="s">
        <v>19900</v>
      </c>
      <c r="R8825" t="s">
        <v>19447</v>
      </c>
      <c r="S8825" t="s">
        <v>19447</v>
      </c>
      <c r="T8825" t="s">
        <v>19911</v>
      </c>
    </row>
    <row r="8826" spans="2:20" x14ac:dyDescent="0.25">
      <c r="B8826" t="s">
        <v>2709</v>
      </c>
      <c r="C8826">
        <v>84821010</v>
      </c>
      <c r="E8826">
        <v>71.78</v>
      </c>
      <c r="F8826">
        <v>18</v>
      </c>
      <c r="G8826">
        <v>12</v>
      </c>
      <c r="H8826" t="s">
        <v>19447</v>
      </c>
      <c r="I8826" t="s">
        <v>19447</v>
      </c>
      <c r="J8826">
        <v>16</v>
      </c>
      <c r="L8826" t="s">
        <v>2709</v>
      </c>
      <c r="M8826">
        <v>84821010</v>
      </c>
      <c r="O8826" t="s">
        <v>20056</v>
      </c>
      <c r="P8826" t="s">
        <v>19899</v>
      </c>
      <c r="Q8826" t="s">
        <v>19903</v>
      </c>
      <c r="R8826" t="s">
        <v>19447</v>
      </c>
      <c r="S8826" t="s">
        <v>19447</v>
      </c>
      <c r="T8826" t="s">
        <v>19913</v>
      </c>
    </row>
    <row r="8827" spans="2:20" x14ac:dyDescent="0.25">
      <c r="B8827" t="s">
        <v>2709</v>
      </c>
      <c r="C8827">
        <v>84821090</v>
      </c>
      <c r="E8827">
        <v>71.78</v>
      </c>
      <c r="F8827">
        <v>18</v>
      </c>
      <c r="G8827">
        <v>12</v>
      </c>
      <c r="H8827" t="s">
        <v>19447</v>
      </c>
      <c r="I8827" t="s">
        <v>19447</v>
      </c>
      <c r="J8827">
        <v>16</v>
      </c>
      <c r="L8827" t="s">
        <v>2709</v>
      </c>
      <c r="M8827">
        <v>84821090</v>
      </c>
      <c r="O8827" t="s">
        <v>20056</v>
      </c>
      <c r="P8827" t="s">
        <v>19899</v>
      </c>
      <c r="Q8827" t="s">
        <v>19903</v>
      </c>
      <c r="R8827" t="s">
        <v>19447</v>
      </c>
      <c r="S8827" t="s">
        <v>19447</v>
      </c>
      <c r="T8827" t="s">
        <v>19913</v>
      </c>
    </row>
    <row r="8828" spans="2:20" x14ac:dyDescent="0.25">
      <c r="B8828" t="s">
        <v>2709</v>
      </c>
      <c r="C8828">
        <v>84822010</v>
      </c>
      <c r="E8828">
        <v>71.78</v>
      </c>
      <c r="F8828">
        <v>18</v>
      </c>
      <c r="G8828">
        <v>12</v>
      </c>
      <c r="H8828" t="s">
        <v>19447</v>
      </c>
      <c r="I8828" t="s">
        <v>19447</v>
      </c>
      <c r="J8828">
        <v>16</v>
      </c>
      <c r="L8828" t="s">
        <v>2709</v>
      </c>
      <c r="M8828">
        <v>84822010</v>
      </c>
      <c r="O8828" t="s">
        <v>20056</v>
      </c>
      <c r="P8828" t="s">
        <v>19899</v>
      </c>
      <c r="Q8828" t="s">
        <v>19903</v>
      </c>
      <c r="R8828" t="s">
        <v>19447</v>
      </c>
      <c r="S8828" t="s">
        <v>19447</v>
      </c>
      <c r="T8828" t="s">
        <v>19913</v>
      </c>
    </row>
    <row r="8829" spans="2:20" x14ac:dyDescent="0.25">
      <c r="B8829" t="s">
        <v>2709</v>
      </c>
      <c r="C8829">
        <v>84822090</v>
      </c>
      <c r="E8829">
        <v>71.78</v>
      </c>
      <c r="F8829">
        <v>18</v>
      </c>
      <c r="G8829">
        <v>12</v>
      </c>
      <c r="H8829" t="s">
        <v>19447</v>
      </c>
      <c r="I8829" t="s">
        <v>19447</v>
      </c>
      <c r="J8829">
        <v>16</v>
      </c>
      <c r="L8829" t="s">
        <v>2709</v>
      </c>
      <c r="M8829">
        <v>84822090</v>
      </c>
      <c r="O8829" t="s">
        <v>20056</v>
      </c>
      <c r="P8829" t="s">
        <v>19899</v>
      </c>
      <c r="Q8829" t="s">
        <v>19903</v>
      </c>
      <c r="R8829" t="s">
        <v>19447</v>
      </c>
      <c r="S8829" t="s">
        <v>19447</v>
      </c>
      <c r="T8829" t="s">
        <v>19913</v>
      </c>
    </row>
    <row r="8830" spans="2:20" x14ac:dyDescent="0.25">
      <c r="B8830" t="s">
        <v>2709</v>
      </c>
      <c r="C8830">
        <v>84823000</v>
      </c>
      <c r="E8830">
        <v>71.78</v>
      </c>
      <c r="F8830">
        <v>18</v>
      </c>
      <c r="G8830">
        <v>12</v>
      </c>
      <c r="H8830" t="s">
        <v>19447</v>
      </c>
      <c r="I8830" t="s">
        <v>19447</v>
      </c>
      <c r="J8830">
        <v>16</v>
      </c>
      <c r="L8830" t="s">
        <v>2709</v>
      </c>
      <c r="M8830">
        <v>84823000</v>
      </c>
      <c r="O8830" t="s">
        <v>20056</v>
      </c>
      <c r="P8830" t="s">
        <v>19899</v>
      </c>
      <c r="Q8830" t="s">
        <v>19903</v>
      </c>
      <c r="R8830" t="s">
        <v>19447</v>
      </c>
      <c r="S8830" t="s">
        <v>19447</v>
      </c>
      <c r="T8830" t="s">
        <v>19913</v>
      </c>
    </row>
    <row r="8831" spans="2:20" x14ac:dyDescent="0.25">
      <c r="B8831" t="s">
        <v>2709</v>
      </c>
      <c r="C8831">
        <v>84824000</v>
      </c>
      <c r="E8831">
        <v>71.78</v>
      </c>
      <c r="F8831">
        <v>12</v>
      </c>
      <c r="G8831">
        <v>12</v>
      </c>
      <c r="H8831" t="s">
        <v>19447</v>
      </c>
      <c r="I8831" t="s">
        <v>19447</v>
      </c>
      <c r="J8831">
        <v>16</v>
      </c>
      <c r="L8831" t="s">
        <v>2709</v>
      </c>
      <c r="M8831">
        <v>84824000</v>
      </c>
      <c r="O8831" t="s">
        <v>20056</v>
      </c>
      <c r="P8831" t="s">
        <v>19903</v>
      </c>
      <c r="Q8831" t="s">
        <v>19903</v>
      </c>
      <c r="R8831" t="s">
        <v>19447</v>
      </c>
      <c r="S8831" t="s">
        <v>19447</v>
      </c>
      <c r="T8831" t="s">
        <v>19913</v>
      </c>
    </row>
    <row r="8832" spans="2:20" x14ac:dyDescent="0.25">
      <c r="B8832" t="s">
        <v>2709</v>
      </c>
      <c r="C8832">
        <v>84825010</v>
      </c>
      <c r="E8832">
        <v>71.78</v>
      </c>
      <c r="F8832">
        <v>18</v>
      </c>
      <c r="G8832">
        <v>12</v>
      </c>
      <c r="H8832" t="s">
        <v>19447</v>
      </c>
      <c r="I8832" t="s">
        <v>19447</v>
      </c>
      <c r="J8832">
        <v>16</v>
      </c>
      <c r="L8832" t="s">
        <v>2709</v>
      </c>
      <c r="M8832">
        <v>84825010</v>
      </c>
      <c r="O8832" t="s">
        <v>20056</v>
      </c>
      <c r="P8832" t="s">
        <v>19899</v>
      </c>
      <c r="Q8832" t="s">
        <v>19903</v>
      </c>
      <c r="R8832" t="s">
        <v>19447</v>
      </c>
      <c r="S8832" t="s">
        <v>19447</v>
      </c>
      <c r="T8832" t="s">
        <v>19913</v>
      </c>
    </row>
    <row r="8833" spans="2:20" x14ac:dyDescent="0.25">
      <c r="B8833" t="s">
        <v>2709</v>
      </c>
      <c r="C8833">
        <v>84825090</v>
      </c>
      <c r="E8833">
        <v>71.78</v>
      </c>
      <c r="F8833">
        <v>18</v>
      </c>
      <c r="G8833">
        <v>12</v>
      </c>
      <c r="H8833" t="s">
        <v>19447</v>
      </c>
      <c r="I8833" t="s">
        <v>19447</v>
      </c>
      <c r="J8833">
        <v>16</v>
      </c>
      <c r="L8833" t="s">
        <v>2709</v>
      </c>
      <c r="M8833">
        <v>84825090</v>
      </c>
      <c r="O8833" t="s">
        <v>20056</v>
      </c>
      <c r="P8833" t="s">
        <v>19899</v>
      </c>
      <c r="Q8833" t="s">
        <v>19903</v>
      </c>
      <c r="R8833" t="s">
        <v>19447</v>
      </c>
      <c r="S8833" t="s">
        <v>19447</v>
      </c>
      <c r="T8833" t="s">
        <v>19913</v>
      </c>
    </row>
    <row r="8834" spans="2:20" x14ac:dyDescent="0.25">
      <c r="B8834" t="s">
        <v>2709</v>
      </c>
      <c r="C8834">
        <v>84828000</v>
      </c>
      <c r="E8834">
        <v>71.78</v>
      </c>
      <c r="F8834">
        <v>18</v>
      </c>
      <c r="G8834">
        <v>12</v>
      </c>
      <c r="H8834" t="s">
        <v>19447</v>
      </c>
      <c r="I8834" t="s">
        <v>19447</v>
      </c>
      <c r="J8834">
        <v>16</v>
      </c>
      <c r="L8834" t="s">
        <v>2709</v>
      </c>
      <c r="M8834">
        <v>84828000</v>
      </c>
      <c r="O8834" t="s">
        <v>20056</v>
      </c>
      <c r="P8834" t="s">
        <v>19899</v>
      </c>
      <c r="Q8834" t="s">
        <v>19903</v>
      </c>
      <c r="R8834" t="s">
        <v>19447</v>
      </c>
      <c r="S8834" t="s">
        <v>19447</v>
      </c>
      <c r="T8834" t="s">
        <v>19913</v>
      </c>
    </row>
    <row r="8835" spans="2:20" x14ac:dyDescent="0.25">
      <c r="B8835" t="s">
        <v>2709</v>
      </c>
      <c r="C8835">
        <v>84829111</v>
      </c>
      <c r="E8835">
        <v>71.78</v>
      </c>
      <c r="F8835">
        <v>18</v>
      </c>
      <c r="G8835">
        <v>12</v>
      </c>
      <c r="H8835" t="s">
        <v>19447</v>
      </c>
      <c r="I8835" t="s">
        <v>19447</v>
      </c>
      <c r="J8835">
        <v>14</v>
      </c>
      <c r="L8835" t="s">
        <v>2709</v>
      </c>
      <c r="M8835">
        <v>84829111</v>
      </c>
      <c r="O8835" t="s">
        <v>20056</v>
      </c>
      <c r="P8835" t="s">
        <v>19899</v>
      </c>
      <c r="Q8835" t="s">
        <v>19903</v>
      </c>
      <c r="R8835" t="s">
        <v>19447</v>
      </c>
      <c r="S8835" t="s">
        <v>19447</v>
      </c>
      <c r="T8835" t="s">
        <v>19911</v>
      </c>
    </row>
    <row r="8836" spans="2:20" x14ac:dyDescent="0.25">
      <c r="B8836" t="s">
        <v>2709</v>
      </c>
      <c r="C8836">
        <v>84829119</v>
      </c>
      <c r="E8836">
        <v>71.78</v>
      </c>
      <c r="F8836">
        <v>18</v>
      </c>
      <c r="G8836">
        <v>12</v>
      </c>
      <c r="H8836" t="s">
        <v>19447</v>
      </c>
      <c r="I8836" t="s">
        <v>19447</v>
      </c>
      <c r="J8836">
        <v>14</v>
      </c>
      <c r="L8836" t="s">
        <v>2709</v>
      </c>
      <c r="M8836">
        <v>84829119</v>
      </c>
      <c r="O8836" t="s">
        <v>20056</v>
      </c>
      <c r="P8836" t="s">
        <v>19899</v>
      </c>
      <c r="Q8836" t="s">
        <v>19903</v>
      </c>
      <c r="R8836" t="s">
        <v>19447</v>
      </c>
      <c r="S8836" t="s">
        <v>19447</v>
      </c>
      <c r="T8836" t="s">
        <v>19911</v>
      </c>
    </row>
    <row r="8837" spans="2:20" x14ac:dyDescent="0.25">
      <c r="B8837" t="s">
        <v>2709</v>
      </c>
      <c r="C8837">
        <v>84829120</v>
      </c>
      <c r="E8837">
        <v>71.78</v>
      </c>
      <c r="F8837">
        <v>18</v>
      </c>
      <c r="G8837">
        <v>12</v>
      </c>
      <c r="H8837" t="s">
        <v>19447</v>
      </c>
      <c r="I8837" t="s">
        <v>19447</v>
      </c>
      <c r="J8837">
        <v>14</v>
      </c>
      <c r="L8837" t="s">
        <v>2709</v>
      </c>
      <c r="M8837">
        <v>84829120</v>
      </c>
      <c r="O8837" t="s">
        <v>20056</v>
      </c>
      <c r="P8837" t="s">
        <v>19899</v>
      </c>
      <c r="Q8837" t="s">
        <v>19903</v>
      </c>
      <c r="R8837" t="s">
        <v>19447</v>
      </c>
      <c r="S8837" t="s">
        <v>19447</v>
      </c>
      <c r="T8837" t="s">
        <v>19911</v>
      </c>
    </row>
    <row r="8838" spans="2:20" x14ac:dyDescent="0.25">
      <c r="B8838" t="s">
        <v>2709</v>
      </c>
      <c r="C8838">
        <v>84829130</v>
      </c>
      <c r="E8838">
        <v>71.78</v>
      </c>
      <c r="F8838">
        <v>18</v>
      </c>
      <c r="G8838">
        <v>12</v>
      </c>
      <c r="H8838" t="s">
        <v>19447</v>
      </c>
      <c r="I8838" t="s">
        <v>19447</v>
      </c>
      <c r="J8838">
        <v>14</v>
      </c>
      <c r="L8838" t="s">
        <v>2709</v>
      </c>
      <c r="M8838">
        <v>84829130</v>
      </c>
      <c r="O8838" t="s">
        <v>20056</v>
      </c>
      <c r="P8838" t="s">
        <v>19899</v>
      </c>
      <c r="Q8838" t="s">
        <v>19903</v>
      </c>
      <c r="R8838" t="s">
        <v>19447</v>
      </c>
      <c r="S8838" t="s">
        <v>19447</v>
      </c>
      <c r="T8838" t="s">
        <v>19911</v>
      </c>
    </row>
    <row r="8839" spans="2:20" x14ac:dyDescent="0.25">
      <c r="B8839" t="s">
        <v>2709</v>
      </c>
      <c r="C8839">
        <v>84829190</v>
      </c>
      <c r="E8839">
        <v>71.78</v>
      </c>
      <c r="F8839">
        <v>18</v>
      </c>
      <c r="G8839">
        <v>12</v>
      </c>
      <c r="H8839" t="s">
        <v>19447</v>
      </c>
      <c r="I8839" t="s">
        <v>19447</v>
      </c>
      <c r="J8839">
        <v>14</v>
      </c>
      <c r="L8839" t="s">
        <v>2709</v>
      </c>
      <c r="M8839">
        <v>84829190</v>
      </c>
      <c r="O8839" t="s">
        <v>20056</v>
      </c>
      <c r="P8839" t="s">
        <v>19899</v>
      </c>
      <c r="Q8839" t="s">
        <v>19903</v>
      </c>
      <c r="R8839" t="s">
        <v>19447</v>
      </c>
      <c r="S8839" t="s">
        <v>19447</v>
      </c>
      <c r="T8839" t="s">
        <v>19911</v>
      </c>
    </row>
    <row r="8840" spans="2:20" x14ac:dyDescent="0.25">
      <c r="B8840" t="s">
        <v>2709</v>
      </c>
      <c r="C8840">
        <v>84829910</v>
      </c>
      <c r="E8840">
        <v>71.78</v>
      </c>
      <c r="F8840">
        <v>18</v>
      </c>
      <c r="G8840">
        <v>12</v>
      </c>
      <c r="H8840" t="s">
        <v>19447</v>
      </c>
      <c r="I8840" t="s">
        <v>19447</v>
      </c>
      <c r="J8840">
        <v>2</v>
      </c>
      <c r="L8840" t="s">
        <v>2709</v>
      </c>
      <c r="M8840">
        <v>84829910</v>
      </c>
      <c r="O8840" t="s">
        <v>20056</v>
      </c>
      <c r="P8840" t="s">
        <v>19899</v>
      </c>
      <c r="Q8840" t="s">
        <v>19903</v>
      </c>
      <c r="R8840" t="s">
        <v>19447</v>
      </c>
      <c r="S8840" t="s">
        <v>19447</v>
      </c>
      <c r="T8840" t="s">
        <v>19901</v>
      </c>
    </row>
    <row r="8841" spans="2:20" x14ac:dyDescent="0.25">
      <c r="B8841" t="s">
        <v>2709</v>
      </c>
      <c r="C8841">
        <v>84829990</v>
      </c>
      <c r="E8841">
        <v>71.78</v>
      </c>
      <c r="F8841">
        <v>18</v>
      </c>
      <c r="G8841">
        <v>12</v>
      </c>
      <c r="H8841" t="s">
        <v>19447</v>
      </c>
      <c r="I8841" t="s">
        <v>19447</v>
      </c>
      <c r="J8841">
        <v>14</v>
      </c>
      <c r="L8841" t="s">
        <v>2709</v>
      </c>
      <c r="M8841">
        <v>84829990</v>
      </c>
      <c r="O8841" t="s">
        <v>20056</v>
      </c>
      <c r="P8841" t="s">
        <v>19899</v>
      </c>
      <c r="Q8841" t="s">
        <v>19903</v>
      </c>
      <c r="R8841" t="s">
        <v>19447</v>
      </c>
      <c r="S8841" t="s">
        <v>19447</v>
      </c>
      <c r="T8841" t="s">
        <v>19911</v>
      </c>
    </row>
    <row r="8842" spans="2:20" x14ac:dyDescent="0.25">
      <c r="B8842" t="s">
        <v>2709</v>
      </c>
      <c r="C8842">
        <v>84831011</v>
      </c>
      <c r="E8842">
        <v>71.78</v>
      </c>
      <c r="F8842">
        <v>18</v>
      </c>
      <c r="G8842">
        <v>0</v>
      </c>
      <c r="H8842">
        <v>10.8</v>
      </c>
      <c r="I8842">
        <v>2.2999999999999998</v>
      </c>
      <c r="J8842">
        <v>2</v>
      </c>
      <c r="L8842" t="s">
        <v>2709</v>
      </c>
      <c r="M8842">
        <v>84831011</v>
      </c>
      <c r="O8842" t="s">
        <v>20056</v>
      </c>
      <c r="P8842" t="s">
        <v>19899</v>
      </c>
      <c r="Q8842" t="s">
        <v>19900</v>
      </c>
      <c r="R8842" t="s">
        <v>20074</v>
      </c>
      <c r="S8842" t="s">
        <v>20075</v>
      </c>
      <c r="T8842" t="s">
        <v>19901</v>
      </c>
    </row>
    <row r="8843" spans="2:20" x14ac:dyDescent="0.25">
      <c r="B8843" t="s">
        <v>2709</v>
      </c>
      <c r="C8843">
        <v>84831011</v>
      </c>
      <c r="D8843">
        <v>1</v>
      </c>
      <c r="E8843" t="s">
        <v>19447</v>
      </c>
      <c r="F8843">
        <v>18</v>
      </c>
      <c r="G8843">
        <v>0</v>
      </c>
      <c r="H8843">
        <v>7.6</v>
      </c>
      <c r="I8843">
        <v>1.65</v>
      </c>
      <c r="J8843">
        <v>2</v>
      </c>
      <c r="L8843" t="s">
        <v>2709</v>
      </c>
      <c r="M8843">
        <v>84831011</v>
      </c>
      <c r="N8843">
        <v>1</v>
      </c>
      <c r="O8843" t="s">
        <v>19447</v>
      </c>
      <c r="P8843" t="s">
        <v>19899</v>
      </c>
      <c r="Q8843" t="s">
        <v>19900</v>
      </c>
      <c r="R8843" t="s">
        <v>19905</v>
      </c>
      <c r="S8843" t="s">
        <v>19906</v>
      </c>
      <c r="T8843" t="s">
        <v>19901</v>
      </c>
    </row>
    <row r="8844" spans="2:20" x14ac:dyDescent="0.25">
      <c r="B8844" t="s">
        <v>2709</v>
      </c>
      <c r="C8844">
        <v>84831019</v>
      </c>
      <c r="E8844">
        <v>71.78</v>
      </c>
      <c r="F8844">
        <v>18</v>
      </c>
      <c r="G8844">
        <v>0</v>
      </c>
      <c r="H8844">
        <v>10.8</v>
      </c>
      <c r="I8844">
        <v>2.2999999999999998</v>
      </c>
      <c r="J8844">
        <v>16</v>
      </c>
      <c r="L8844" t="s">
        <v>2709</v>
      </c>
      <c r="M8844">
        <v>84831019</v>
      </c>
      <c r="O8844" t="s">
        <v>20056</v>
      </c>
      <c r="P8844" t="s">
        <v>19899</v>
      </c>
      <c r="Q8844" t="s">
        <v>19900</v>
      </c>
      <c r="R8844" t="s">
        <v>20074</v>
      </c>
      <c r="S8844" t="s">
        <v>20075</v>
      </c>
      <c r="T8844" t="s">
        <v>19913</v>
      </c>
    </row>
    <row r="8845" spans="2:20" x14ac:dyDescent="0.25">
      <c r="B8845" t="s">
        <v>2709</v>
      </c>
      <c r="C8845">
        <v>84831019</v>
      </c>
      <c r="D8845">
        <v>1</v>
      </c>
      <c r="E8845" t="s">
        <v>19447</v>
      </c>
      <c r="F8845">
        <v>18</v>
      </c>
      <c r="G8845">
        <v>4</v>
      </c>
      <c r="H8845">
        <v>7.6</v>
      </c>
      <c r="I8845">
        <v>1.65</v>
      </c>
      <c r="J8845">
        <v>16</v>
      </c>
      <c r="L8845" t="s">
        <v>2709</v>
      </c>
      <c r="M8845">
        <v>84831019</v>
      </c>
      <c r="N8845">
        <v>1</v>
      </c>
      <c r="O8845" t="s">
        <v>19447</v>
      </c>
      <c r="P8845" t="s">
        <v>19899</v>
      </c>
      <c r="Q8845" t="s">
        <v>19902</v>
      </c>
      <c r="R8845" t="s">
        <v>19905</v>
      </c>
      <c r="S8845" t="s">
        <v>19906</v>
      </c>
      <c r="T8845" t="s">
        <v>19913</v>
      </c>
    </row>
    <row r="8846" spans="2:20" x14ac:dyDescent="0.25">
      <c r="B8846" t="s">
        <v>2709</v>
      </c>
      <c r="C8846">
        <v>84831020</v>
      </c>
      <c r="E8846">
        <v>71.78</v>
      </c>
      <c r="F8846">
        <v>18</v>
      </c>
      <c r="G8846">
        <v>0</v>
      </c>
      <c r="H8846">
        <v>10.8</v>
      </c>
      <c r="I8846">
        <v>2.2999999999999998</v>
      </c>
      <c r="J8846">
        <v>16</v>
      </c>
      <c r="L8846" t="s">
        <v>2709</v>
      </c>
      <c r="M8846">
        <v>84831020</v>
      </c>
      <c r="O8846" t="s">
        <v>20056</v>
      </c>
      <c r="P8846" t="s">
        <v>19899</v>
      </c>
      <c r="Q8846" t="s">
        <v>19900</v>
      </c>
      <c r="R8846" t="s">
        <v>20074</v>
      </c>
      <c r="S8846" t="s">
        <v>20075</v>
      </c>
      <c r="T8846" t="s">
        <v>19913</v>
      </c>
    </row>
    <row r="8847" spans="2:20" x14ac:dyDescent="0.25">
      <c r="B8847" t="s">
        <v>2709</v>
      </c>
      <c r="C8847">
        <v>84831030</v>
      </c>
      <c r="E8847">
        <v>71.78</v>
      </c>
      <c r="F8847">
        <v>18</v>
      </c>
      <c r="G8847">
        <v>0</v>
      </c>
      <c r="H8847">
        <v>10.8</v>
      </c>
      <c r="I8847">
        <v>2.2999999999999998</v>
      </c>
      <c r="J8847">
        <v>16</v>
      </c>
      <c r="L8847" t="s">
        <v>2709</v>
      </c>
      <c r="M8847">
        <v>84831030</v>
      </c>
      <c r="O8847" t="s">
        <v>20056</v>
      </c>
      <c r="P8847" t="s">
        <v>19899</v>
      </c>
      <c r="Q8847" t="s">
        <v>19900</v>
      </c>
      <c r="R8847" t="s">
        <v>20074</v>
      </c>
      <c r="S8847" t="s">
        <v>20075</v>
      </c>
      <c r="T8847" t="s">
        <v>19913</v>
      </c>
    </row>
    <row r="8848" spans="2:20" x14ac:dyDescent="0.25">
      <c r="B8848" t="s">
        <v>2709</v>
      </c>
      <c r="C8848">
        <v>84831040</v>
      </c>
      <c r="E8848">
        <v>71.78</v>
      </c>
      <c r="F8848">
        <v>18</v>
      </c>
      <c r="G8848">
        <v>0</v>
      </c>
      <c r="H8848">
        <v>10.8</v>
      </c>
      <c r="I8848">
        <v>2.2999999999999998</v>
      </c>
      <c r="J8848">
        <v>16</v>
      </c>
      <c r="L8848" t="s">
        <v>2709</v>
      </c>
      <c r="M8848">
        <v>84831040</v>
      </c>
      <c r="O8848" t="s">
        <v>20056</v>
      </c>
      <c r="P8848" t="s">
        <v>19899</v>
      </c>
      <c r="Q8848" t="s">
        <v>19900</v>
      </c>
      <c r="R8848" t="s">
        <v>20074</v>
      </c>
      <c r="S8848" t="s">
        <v>20075</v>
      </c>
      <c r="T8848" t="s">
        <v>19913</v>
      </c>
    </row>
    <row r="8849" spans="2:20" x14ac:dyDescent="0.25">
      <c r="B8849" t="s">
        <v>2709</v>
      </c>
      <c r="C8849">
        <v>84831050</v>
      </c>
      <c r="E8849">
        <v>71.78</v>
      </c>
      <c r="F8849">
        <v>18</v>
      </c>
      <c r="G8849">
        <v>12</v>
      </c>
      <c r="H8849">
        <v>10.8</v>
      </c>
      <c r="I8849">
        <v>2.2999999999999998</v>
      </c>
      <c r="J8849">
        <v>0</v>
      </c>
      <c r="L8849" t="s">
        <v>2709</v>
      </c>
      <c r="M8849">
        <v>84831050</v>
      </c>
      <c r="O8849" t="s">
        <v>20056</v>
      </c>
      <c r="P8849" t="s">
        <v>19899</v>
      </c>
      <c r="Q8849" t="s">
        <v>19903</v>
      </c>
      <c r="R8849" t="s">
        <v>20074</v>
      </c>
      <c r="S8849" t="s">
        <v>20075</v>
      </c>
      <c r="T8849" t="s">
        <v>19900</v>
      </c>
    </row>
    <row r="8850" spans="2:20" x14ac:dyDescent="0.25">
      <c r="B8850" t="s">
        <v>2709</v>
      </c>
      <c r="C8850">
        <v>84831090</v>
      </c>
      <c r="E8850">
        <v>71.78</v>
      </c>
      <c r="F8850">
        <v>18</v>
      </c>
      <c r="G8850">
        <v>0</v>
      </c>
      <c r="H8850">
        <v>10.8</v>
      </c>
      <c r="I8850">
        <v>2.2999999999999998</v>
      </c>
      <c r="J8850">
        <v>16</v>
      </c>
      <c r="L8850" t="s">
        <v>2709</v>
      </c>
      <c r="M8850">
        <v>84831090</v>
      </c>
      <c r="O8850" t="s">
        <v>20056</v>
      </c>
      <c r="P8850" t="s">
        <v>19899</v>
      </c>
      <c r="Q8850" t="s">
        <v>19900</v>
      </c>
      <c r="R8850" t="s">
        <v>20074</v>
      </c>
      <c r="S8850" t="s">
        <v>20075</v>
      </c>
      <c r="T8850" t="s">
        <v>19913</v>
      </c>
    </row>
    <row r="8851" spans="2:20" x14ac:dyDescent="0.25">
      <c r="B8851" t="s">
        <v>2709</v>
      </c>
      <c r="C8851">
        <v>84832000</v>
      </c>
      <c r="E8851">
        <v>71.78</v>
      </c>
      <c r="F8851">
        <v>18</v>
      </c>
      <c r="G8851">
        <v>12</v>
      </c>
      <c r="H8851">
        <v>10.8</v>
      </c>
      <c r="I8851">
        <v>2.2999999999999998</v>
      </c>
      <c r="J8851">
        <v>16</v>
      </c>
      <c r="L8851" t="s">
        <v>2709</v>
      </c>
      <c r="M8851">
        <v>84832000</v>
      </c>
      <c r="O8851" t="s">
        <v>20056</v>
      </c>
      <c r="P8851" t="s">
        <v>19899</v>
      </c>
      <c r="Q8851" t="s">
        <v>19903</v>
      </c>
      <c r="R8851" t="s">
        <v>20074</v>
      </c>
      <c r="S8851" t="s">
        <v>20075</v>
      </c>
      <c r="T8851" t="s">
        <v>19913</v>
      </c>
    </row>
    <row r="8852" spans="2:20" x14ac:dyDescent="0.25">
      <c r="B8852" t="s">
        <v>2709</v>
      </c>
      <c r="C8852">
        <v>84833010</v>
      </c>
      <c r="E8852">
        <v>71.78</v>
      </c>
      <c r="F8852">
        <v>18</v>
      </c>
      <c r="G8852">
        <v>12</v>
      </c>
      <c r="H8852">
        <v>10.8</v>
      </c>
      <c r="I8852">
        <v>2.2999999999999998</v>
      </c>
      <c r="J8852">
        <v>16</v>
      </c>
      <c r="L8852" t="s">
        <v>2709</v>
      </c>
      <c r="M8852">
        <v>84833010</v>
      </c>
      <c r="O8852" t="s">
        <v>20056</v>
      </c>
      <c r="P8852" t="s">
        <v>19899</v>
      </c>
      <c r="Q8852" t="s">
        <v>19903</v>
      </c>
      <c r="R8852" t="s">
        <v>20074</v>
      </c>
      <c r="S8852" t="s">
        <v>20075</v>
      </c>
      <c r="T8852" t="s">
        <v>19913</v>
      </c>
    </row>
    <row r="8853" spans="2:20" x14ac:dyDescent="0.25">
      <c r="B8853" t="s">
        <v>2709</v>
      </c>
      <c r="C8853">
        <v>84833021</v>
      </c>
      <c r="E8853">
        <v>71.78</v>
      </c>
      <c r="F8853">
        <v>18</v>
      </c>
      <c r="G8853">
        <v>12</v>
      </c>
      <c r="H8853">
        <v>10.8</v>
      </c>
      <c r="I8853">
        <v>2.2999999999999998</v>
      </c>
      <c r="J8853">
        <v>2</v>
      </c>
      <c r="L8853" t="s">
        <v>2709</v>
      </c>
      <c r="M8853">
        <v>84833021</v>
      </c>
      <c r="O8853" t="s">
        <v>20056</v>
      </c>
      <c r="P8853" t="s">
        <v>19899</v>
      </c>
      <c r="Q8853" t="s">
        <v>19903</v>
      </c>
      <c r="R8853" t="s">
        <v>20074</v>
      </c>
      <c r="S8853" t="s">
        <v>20075</v>
      </c>
      <c r="T8853" t="s">
        <v>19901</v>
      </c>
    </row>
    <row r="8854" spans="2:20" x14ac:dyDescent="0.25">
      <c r="B8854" t="s">
        <v>2709</v>
      </c>
      <c r="C8854">
        <v>84833029</v>
      </c>
      <c r="E8854">
        <v>71.78</v>
      </c>
      <c r="F8854">
        <v>18</v>
      </c>
      <c r="G8854">
        <v>12</v>
      </c>
      <c r="H8854">
        <v>10.8</v>
      </c>
      <c r="I8854">
        <v>2.2999999999999998</v>
      </c>
      <c r="J8854">
        <v>16</v>
      </c>
      <c r="L8854" t="s">
        <v>2709</v>
      </c>
      <c r="M8854">
        <v>84833029</v>
      </c>
      <c r="O8854" t="s">
        <v>20056</v>
      </c>
      <c r="P8854" t="s">
        <v>19899</v>
      </c>
      <c r="Q8854" t="s">
        <v>19903</v>
      </c>
      <c r="R8854" t="s">
        <v>20074</v>
      </c>
      <c r="S8854" t="s">
        <v>20075</v>
      </c>
      <c r="T8854" t="s">
        <v>19913</v>
      </c>
    </row>
    <row r="8855" spans="2:20" x14ac:dyDescent="0.25">
      <c r="B8855" t="s">
        <v>2709</v>
      </c>
      <c r="C8855">
        <v>84833090</v>
      </c>
      <c r="E8855">
        <v>71.78</v>
      </c>
      <c r="F8855">
        <v>18</v>
      </c>
      <c r="G8855">
        <v>12</v>
      </c>
      <c r="H8855">
        <v>10.8</v>
      </c>
      <c r="I8855">
        <v>2.2999999999999998</v>
      </c>
      <c r="J8855">
        <v>16</v>
      </c>
      <c r="L8855" t="s">
        <v>2709</v>
      </c>
      <c r="M8855">
        <v>84833090</v>
      </c>
      <c r="O8855" t="s">
        <v>20056</v>
      </c>
      <c r="P8855" t="s">
        <v>19899</v>
      </c>
      <c r="Q8855" t="s">
        <v>19903</v>
      </c>
      <c r="R8855" t="s">
        <v>20074</v>
      </c>
      <c r="S8855" t="s">
        <v>20075</v>
      </c>
      <c r="T8855" t="s">
        <v>19913</v>
      </c>
    </row>
    <row r="8856" spans="2:20" x14ac:dyDescent="0.25">
      <c r="B8856" t="s">
        <v>2709</v>
      </c>
      <c r="C8856">
        <v>84834010</v>
      </c>
      <c r="E8856">
        <v>71.78</v>
      </c>
      <c r="F8856">
        <v>8.8000000000000007</v>
      </c>
      <c r="G8856">
        <v>0</v>
      </c>
      <c r="H8856">
        <v>10.8</v>
      </c>
      <c r="I8856">
        <v>2.2999999999999998</v>
      </c>
      <c r="J8856">
        <v>20</v>
      </c>
      <c r="L8856" t="s">
        <v>2709</v>
      </c>
      <c r="M8856">
        <v>84834010</v>
      </c>
      <c r="O8856" t="s">
        <v>20056</v>
      </c>
      <c r="P8856" t="s">
        <v>20127</v>
      </c>
      <c r="Q8856" t="s">
        <v>19900</v>
      </c>
      <c r="R8856" t="s">
        <v>20074</v>
      </c>
      <c r="S8856" t="s">
        <v>20075</v>
      </c>
      <c r="T8856" t="s">
        <v>19934</v>
      </c>
    </row>
    <row r="8857" spans="2:20" x14ac:dyDescent="0.25">
      <c r="B8857" t="s">
        <v>2709</v>
      </c>
      <c r="C8857">
        <v>84834090</v>
      </c>
      <c r="E8857">
        <v>71.78</v>
      </c>
      <c r="F8857">
        <v>8.8000000000000007</v>
      </c>
      <c r="G8857">
        <v>0</v>
      </c>
      <c r="H8857">
        <v>10.8</v>
      </c>
      <c r="I8857">
        <v>2.2999999999999998</v>
      </c>
      <c r="J8857">
        <v>14</v>
      </c>
      <c r="L8857" t="s">
        <v>2709</v>
      </c>
      <c r="M8857">
        <v>84834090</v>
      </c>
      <c r="O8857" t="s">
        <v>20056</v>
      </c>
      <c r="P8857" t="s">
        <v>20127</v>
      </c>
      <c r="Q8857" t="s">
        <v>19900</v>
      </c>
      <c r="R8857" t="s">
        <v>20074</v>
      </c>
      <c r="S8857" t="s">
        <v>20075</v>
      </c>
      <c r="T8857" t="s">
        <v>19911</v>
      </c>
    </row>
    <row r="8858" spans="2:20" x14ac:dyDescent="0.25">
      <c r="B8858" t="s">
        <v>2709</v>
      </c>
      <c r="C8858">
        <v>84835010</v>
      </c>
      <c r="E8858">
        <v>71.78</v>
      </c>
      <c r="F8858">
        <v>18</v>
      </c>
      <c r="G8858">
        <v>12</v>
      </c>
      <c r="H8858">
        <v>10.8</v>
      </c>
      <c r="I8858">
        <v>2.2999999999999998</v>
      </c>
      <c r="J8858">
        <v>16</v>
      </c>
      <c r="L8858" t="s">
        <v>2709</v>
      </c>
      <c r="M8858">
        <v>84835010</v>
      </c>
      <c r="O8858" t="s">
        <v>20056</v>
      </c>
      <c r="P8858" t="s">
        <v>19899</v>
      </c>
      <c r="Q8858" t="s">
        <v>19903</v>
      </c>
      <c r="R8858" t="s">
        <v>20074</v>
      </c>
      <c r="S8858" t="s">
        <v>20075</v>
      </c>
      <c r="T8858" t="s">
        <v>19913</v>
      </c>
    </row>
    <row r="8859" spans="2:20" x14ac:dyDescent="0.25">
      <c r="B8859" t="s">
        <v>2709</v>
      </c>
      <c r="C8859">
        <v>84835090</v>
      </c>
      <c r="E8859">
        <v>71.78</v>
      </c>
      <c r="F8859">
        <v>18</v>
      </c>
      <c r="G8859">
        <v>12</v>
      </c>
      <c r="H8859">
        <v>10.8</v>
      </c>
      <c r="I8859">
        <v>2.2999999999999998</v>
      </c>
      <c r="J8859">
        <v>16</v>
      </c>
      <c r="L8859" t="s">
        <v>2709</v>
      </c>
      <c r="M8859">
        <v>84835090</v>
      </c>
      <c r="O8859" t="s">
        <v>20056</v>
      </c>
      <c r="P8859" t="s">
        <v>19899</v>
      </c>
      <c r="Q8859" t="s">
        <v>19903</v>
      </c>
      <c r="R8859" t="s">
        <v>20074</v>
      </c>
      <c r="S8859" t="s">
        <v>20075</v>
      </c>
      <c r="T8859" t="s">
        <v>19913</v>
      </c>
    </row>
    <row r="8860" spans="2:20" x14ac:dyDescent="0.25">
      <c r="B8860" t="s">
        <v>2709</v>
      </c>
      <c r="C8860">
        <v>84836011</v>
      </c>
      <c r="E8860">
        <v>71.78</v>
      </c>
      <c r="F8860">
        <v>18</v>
      </c>
      <c r="G8860">
        <v>0</v>
      </c>
      <c r="H8860">
        <v>10.8</v>
      </c>
      <c r="I8860">
        <v>2.2999999999999998</v>
      </c>
      <c r="J8860">
        <v>14</v>
      </c>
      <c r="L8860" t="s">
        <v>2709</v>
      </c>
      <c r="M8860">
        <v>84836011</v>
      </c>
      <c r="O8860" t="s">
        <v>20056</v>
      </c>
      <c r="P8860" t="s">
        <v>19899</v>
      </c>
      <c r="Q8860" t="s">
        <v>19900</v>
      </c>
      <c r="R8860" t="s">
        <v>20074</v>
      </c>
      <c r="S8860" t="s">
        <v>20075</v>
      </c>
      <c r="T8860" t="s">
        <v>19911</v>
      </c>
    </row>
    <row r="8861" spans="2:20" x14ac:dyDescent="0.25">
      <c r="B8861" t="s">
        <v>2709</v>
      </c>
      <c r="C8861">
        <v>84836019</v>
      </c>
      <c r="E8861">
        <v>71.78</v>
      </c>
      <c r="F8861">
        <v>18</v>
      </c>
      <c r="G8861">
        <v>0</v>
      </c>
      <c r="H8861">
        <v>10.8</v>
      </c>
      <c r="I8861">
        <v>2.2999999999999998</v>
      </c>
      <c r="J8861">
        <v>14</v>
      </c>
      <c r="L8861" t="s">
        <v>2709</v>
      </c>
      <c r="M8861">
        <v>84836019</v>
      </c>
      <c r="O8861" t="s">
        <v>20056</v>
      </c>
      <c r="P8861" t="s">
        <v>19899</v>
      </c>
      <c r="Q8861" t="s">
        <v>19900</v>
      </c>
      <c r="R8861" t="s">
        <v>20074</v>
      </c>
      <c r="S8861" t="s">
        <v>20075</v>
      </c>
      <c r="T8861" t="s">
        <v>19911</v>
      </c>
    </row>
    <row r="8862" spans="2:20" x14ac:dyDescent="0.25">
      <c r="B8862" t="s">
        <v>2709</v>
      </c>
      <c r="C8862">
        <v>84836090</v>
      </c>
      <c r="E8862">
        <v>71.78</v>
      </c>
      <c r="F8862">
        <v>18</v>
      </c>
      <c r="G8862">
        <v>0</v>
      </c>
      <c r="H8862">
        <v>10.8</v>
      </c>
      <c r="I8862">
        <v>2.2999999999999998</v>
      </c>
      <c r="J8862">
        <v>14</v>
      </c>
      <c r="L8862" t="s">
        <v>2709</v>
      </c>
      <c r="M8862">
        <v>84836090</v>
      </c>
      <c r="O8862" t="s">
        <v>20056</v>
      </c>
      <c r="P8862" t="s">
        <v>19899</v>
      </c>
      <c r="Q8862" t="s">
        <v>19900</v>
      </c>
      <c r="R8862" t="s">
        <v>20074</v>
      </c>
      <c r="S8862" t="s">
        <v>20075</v>
      </c>
      <c r="T8862" t="s">
        <v>19911</v>
      </c>
    </row>
    <row r="8863" spans="2:20" x14ac:dyDescent="0.25">
      <c r="B8863" t="s">
        <v>2709</v>
      </c>
      <c r="C8863">
        <v>84839000</v>
      </c>
      <c r="E8863">
        <v>71.78</v>
      </c>
      <c r="F8863">
        <v>18</v>
      </c>
      <c r="G8863">
        <v>0</v>
      </c>
      <c r="H8863" t="s">
        <v>19447</v>
      </c>
      <c r="I8863" t="s">
        <v>19447</v>
      </c>
      <c r="J8863">
        <v>14</v>
      </c>
      <c r="L8863" t="s">
        <v>2709</v>
      </c>
      <c r="M8863">
        <v>84839000</v>
      </c>
      <c r="O8863" t="s">
        <v>20056</v>
      </c>
      <c r="P8863" t="s">
        <v>19899</v>
      </c>
      <c r="Q8863" t="s">
        <v>19900</v>
      </c>
      <c r="R8863" t="s">
        <v>19447</v>
      </c>
      <c r="S8863" t="s">
        <v>19447</v>
      </c>
      <c r="T8863" t="s">
        <v>19911</v>
      </c>
    </row>
    <row r="8864" spans="2:20" x14ac:dyDescent="0.25">
      <c r="B8864" t="s">
        <v>2709</v>
      </c>
      <c r="C8864">
        <v>84841000</v>
      </c>
      <c r="E8864">
        <v>71.78</v>
      </c>
      <c r="F8864">
        <v>18</v>
      </c>
      <c r="G8864">
        <v>12</v>
      </c>
      <c r="H8864" t="s">
        <v>19447</v>
      </c>
      <c r="I8864" t="s">
        <v>19447</v>
      </c>
      <c r="J8864">
        <v>16</v>
      </c>
      <c r="L8864" t="s">
        <v>2709</v>
      </c>
      <c r="M8864">
        <v>84841000</v>
      </c>
      <c r="O8864" t="s">
        <v>20056</v>
      </c>
      <c r="P8864" t="s">
        <v>19899</v>
      </c>
      <c r="Q8864" t="s">
        <v>19903</v>
      </c>
      <c r="R8864" t="s">
        <v>19447</v>
      </c>
      <c r="S8864" t="s">
        <v>19447</v>
      </c>
      <c r="T8864" t="s">
        <v>19913</v>
      </c>
    </row>
    <row r="8865" spans="2:20" x14ac:dyDescent="0.25">
      <c r="B8865" t="s">
        <v>2709</v>
      </c>
      <c r="C8865">
        <v>84842000</v>
      </c>
      <c r="E8865">
        <v>71.78</v>
      </c>
      <c r="F8865">
        <v>18</v>
      </c>
      <c r="G8865">
        <v>10</v>
      </c>
      <c r="H8865" t="s">
        <v>19447</v>
      </c>
      <c r="I8865" t="s">
        <v>19447</v>
      </c>
      <c r="J8865">
        <v>14</v>
      </c>
      <c r="L8865" t="s">
        <v>2709</v>
      </c>
      <c r="M8865">
        <v>84842000</v>
      </c>
      <c r="O8865" t="s">
        <v>20056</v>
      </c>
      <c r="P8865" t="s">
        <v>19899</v>
      </c>
      <c r="Q8865" t="s">
        <v>19904</v>
      </c>
      <c r="R8865" t="s">
        <v>19447</v>
      </c>
      <c r="S8865" t="s">
        <v>19447</v>
      </c>
      <c r="T8865" t="s">
        <v>19911</v>
      </c>
    </row>
    <row r="8866" spans="2:20" x14ac:dyDescent="0.25">
      <c r="B8866" t="s">
        <v>2709</v>
      </c>
      <c r="C8866">
        <v>84849000</v>
      </c>
      <c r="E8866">
        <v>71.78</v>
      </c>
      <c r="F8866">
        <v>18</v>
      </c>
      <c r="G8866">
        <v>12</v>
      </c>
      <c r="H8866" t="s">
        <v>19447</v>
      </c>
      <c r="I8866" t="s">
        <v>19447</v>
      </c>
      <c r="J8866">
        <v>16</v>
      </c>
      <c r="L8866" t="s">
        <v>2709</v>
      </c>
      <c r="M8866">
        <v>84849000</v>
      </c>
      <c r="O8866" t="s">
        <v>20056</v>
      </c>
      <c r="P8866" t="s">
        <v>19899</v>
      </c>
      <c r="Q8866" t="s">
        <v>19903</v>
      </c>
      <c r="R8866" t="s">
        <v>19447</v>
      </c>
      <c r="S8866" t="s">
        <v>19447</v>
      </c>
      <c r="T8866" t="s">
        <v>19913</v>
      </c>
    </row>
    <row r="8867" spans="2:20" x14ac:dyDescent="0.25">
      <c r="B8867" t="s">
        <v>2709</v>
      </c>
      <c r="C8867">
        <v>84861000</v>
      </c>
      <c r="E8867">
        <v>71.78</v>
      </c>
      <c r="F8867">
        <v>18</v>
      </c>
      <c r="G8867">
        <v>0</v>
      </c>
      <c r="H8867" t="s">
        <v>19447</v>
      </c>
      <c r="I8867" t="s">
        <v>19447</v>
      </c>
      <c r="J8867">
        <v>14</v>
      </c>
      <c r="L8867" t="s">
        <v>2709</v>
      </c>
      <c r="M8867">
        <v>84861000</v>
      </c>
      <c r="O8867" t="s">
        <v>20056</v>
      </c>
      <c r="P8867" t="s">
        <v>19899</v>
      </c>
      <c r="Q8867" t="s">
        <v>19900</v>
      </c>
      <c r="R8867" t="s">
        <v>19447</v>
      </c>
      <c r="S8867" t="s">
        <v>19447</v>
      </c>
      <c r="T8867" t="s">
        <v>19911</v>
      </c>
    </row>
    <row r="8868" spans="2:20" x14ac:dyDescent="0.25">
      <c r="B8868" t="s">
        <v>2709</v>
      </c>
      <c r="C8868">
        <v>84862000</v>
      </c>
      <c r="E8868">
        <v>71.78</v>
      </c>
      <c r="F8868">
        <v>18</v>
      </c>
      <c r="G8868">
        <v>0</v>
      </c>
      <c r="H8868" t="s">
        <v>19447</v>
      </c>
      <c r="I8868" t="s">
        <v>19447</v>
      </c>
      <c r="J8868">
        <v>14</v>
      </c>
      <c r="L8868" t="s">
        <v>2709</v>
      </c>
      <c r="M8868">
        <v>84862000</v>
      </c>
      <c r="O8868" t="s">
        <v>20056</v>
      </c>
      <c r="P8868" t="s">
        <v>19899</v>
      </c>
      <c r="Q8868" t="s">
        <v>19900</v>
      </c>
      <c r="R8868" t="s">
        <v>19447</v>
      </c>
      <c r="S8868" t="s">
        <v>19447</v>
      </c>
      <c r="T8868" t="s">
        <v>19911</v>
      </c>
    </row>
    <row r="8869" spans="2:20" x14ac:dyDescent="0.25">
      <c r="B8869" t="s">
        <v>2709</v>
      </c>
      <c r="C8869">
        <v>84863000</v>
      </c>
      <c r="E8869">
        <v>71.78</v>
      </c>
      <c r="F8869">
        <v>18</v>
      </c>
      <c r="G8869">
        <v>0</v>
      </c>
      <c r="H8869" t="s">
        <v>19447</v>
      </c>
      <c r="I8869" t="s">
        <v>19447</v>
      </c>
      <c r="J8869">
        <v>14</v>
      </c>
      <c r="L8869" t="s">
        <v>2709</v>
      </c>
      <c r="M8869">
        <v>84863000</v>
      </c>
      <c r="O8869" t="s">
        <v>20056</v>
      </c>
      <c r="P8869" t="s">
        <v>19899</v>
      </c>
      <c r="Q8869" t="s">
        <v>19900</v>
      </c>
      <c r="R8869" t="s">
        <v>19447</v>
      </c>
      <c r="S8869" t="s">
        <v>19447</v>
      </c>
      <c r="T8869" t="s">
        <v>19911</v>
      </c>
    </row>
    <row r="8870" spans="2:20" x14ac:dyDescent="0.25">
      <c r="B8870" t="s">
        <v>2709</v>
      </c>
      <c r="C8870">
        <v>84864000</v>
      </c>
      <c r="E8870">
        <v>71.78</v>
      </c>
      <c r="F8870">
        <v>18</v>
      </c>
      <c r="G8870">
        <v>0</v>
      </c>
      <c r="H8870" t="s">
        <v>19447</v>
      </c>
      <c r="I8870" t="s">
        <v>19447</v>
      </c>
      <c r="J8870">
        <v>14</v>
      </c>
      <c r="L8870" t="s">
        <v>2709</v>
      </c>
      <c r="M8870">
        <v>84864000</v>
      </c>
      <c r="O8870" t="s">
        <v>20056</v>
      </c>
      <c r="P8870" t="s">
        <v>19899</v>
      </c>
      <c r="Q8870" t="s">
        <v>19900</v>
      </c>
      <c r="R8870" t="s">
        <v>19447</v>
      </c>
      <c r="S8870" t="s">
        <v>19447</v>
      </c>
      <c r="T8870" t="s">
        <v>19911</v>
      </c>
    </row>
    <row r="8871" spans="2:20" x14ac:dyDescent="0.25">
      <c r="B8871" t="s">
        <v>2709</v>
      </c>
      <c r="C8871">
        <v>84869000</v>
      </c>
      <c r="E8871">
        <v>71.78</v>
      </c>
      <c r="F8871">
        <v>18</v>
      </c>
      <c r="G8871">
        <v>0</v>
      </c>
      <c r="H8871" t="s">
        <v>19447</v>
      </c>
      <c r="I8871" t="s">
        <v>19447</v>
      </c>
      <c r="J8871">
        <v>14</v>
      </c>
      <c r="L8871" t="s">
        <v>2709</v>
      </c>
      <c r="M8871">
        <v>84869000</v>
      </c>
      <c r="O8871" t="s">
        <v>20056</v>
      </c>
      <c r="P8871" t="s">
        <v>19899</v>
      </c>
      <c r="Q8871" t="s">
        <v>19900</v>
      </c>
      <c r="R8871" t="s">
        <v>19447</v>
      </c>
      <c r="S8871" t="s">
        <v>19447</v>
      </c>
      <c r="T8871" t="s">
        <v>19911</v>
      </c>
    </row>
    <row r="8872" spans="2:20" x14ac:dyDescent="0.25">
      <c r="B8872" t="s">
        <v>2709</v>
      </c>
      <c r="C8872">
        <v>84871000</v>
      </c>
      <c r="E8872">
        <v>71.78</v>
      </c>
      <c r="F8872">
        <v>18</v>
      </c>
      <c r="G8872">
        <v>10</v>
      </c>
      <c r="H8872" t="s">
        <v>19447</v>
      </c>
      <c r="I8872" t="s">
        <v>19447</v>
      </c>
      <c r="J8872">
        <v>14</v>
      </c>
      <c r="L8872" t="s">
        <v>2709</v>
      </c>
      <c r="M8872">
        <v>84871000</v>
      </c>
      <c r="O8872" t="s">
        <v>20056</v>
      </c>
      <c r="P8872" t="s">
        <v>19899</v>
      </c>
      <c r="Q8872" t="s">
        <v>19904</v>
      </c>
      <c r="R8872" t="s">
        <v>19447</v>
      </c>
      <c r="S8872" t="s">
        <v>19447</v>
      </c>
      <c r="T8872" t="s">
        <v>19911</v>
      </c>
    </row>
    <row r="8873" spans="2:20" x14ac:dyDescent="0.25">
      <c r="B8873" t="s">
        <v>2709</v>
      </c>
      <c r="C8873">
        <v>84879000</v>
      </c>
      <c r="E8873">
        <v>71.78</v>
      </c>
      <c r="F8873">
        <v>18</v>
      </c>
      <c r="G8873">
        <v>10</v>
      </c>
      <c r="H8873" t="s">
        <v>19447</v>
      </c>
      <c r="I8873" t="s">
        <v>19447</v>
      </c>
      <c r="J8873">
        <v>14</v>
      </c>
      <c r="L8873" t="s">
        <v>2709</v>
      </c>
      <c r="M8873">
        <v>84879000</v>
      </c>
      <c r="O8873" t="s">
        <v>20056</v>
      </c>
      <c r="P8873" t="s">
        <v>19899</v>
      </c>
      <c r="Q8873" t="s">
        <v>19904</v>
      </c>
      <c r="R8873" t="s">
        <v>19447</v>
      </c>
      <c r="S8873" t="s">
        <v>19447</v>
      </c>
      <c r="T8873" t="s">
        <v>19911</v>
      </c>
    </row>
    <row r="8874" spans="2:20" x14ac:dyDescent="0.25">
      <c r="B8874" t="s">
        <v>2709</v>
      </c>
      <c r="C8874">
        <v>85011011</v>
      </c>
      <c r="E8874">
        <v>147.97</v>
      </c>
      <c r="F8874">
        <v>12</v>
      </c>
      <c r="G8874">
        <v>5</v>
      </c>
      <c r="H8874" t="s">
        <v>19447</v>
      </c>
      <c r="I8874" t="s">
        <v>19447</v>
      </c>
      <c r="J8874">
        <v>0</v>
      </c>
      <c r="L8874" t="s">
        <v>2709</v>
      </c>
      <c r="M8874">
        <v>85011011</v>
      </c>
      <c r="O8874" t="s">
        <v>20138</v>
      </c>
      <c r="P8874" t="s">
        <v>19903</v>
      </c>
      <c r="Q8874" t="s">
        <v>19909</v>
      </c>
      <c r="R8874" t="s">
        <v>19447</v>
      </c>
      <c r="S8874" t="s">
        <v>19447</v>
      </c>
      <c r="T8874" t="s">
        <v>19900</v>
      </c>
    </row>
    <row r="8875" spans="2:20" x14ac:dyDescent="0.25">
      <c r="B8875" t="s">
        <v>2709</v>
      </c>
      <c r="C8875">
        <v>85011011</v>
      </c>
      <c r="D8875">
        <v>1</v>
      </c>
      <c r="E8875" t="s">
        <v>19447</v>
      </c>
      <c r="F8875">
        <v>18</v>
      </c>
      <c r="G8875">
        <v>10</v>
      </c>
      <c r="H8875">
        <v>7.6</v>
      </c>
      <c r="I8875">
        <v>1.65</v>
      </c>
      <c r="J8875">
        <v>0</v>
      </c>
      <c r="L8875" t="s">
        <v>2709</v>
      </c>
      <c r="M8875">
        <v>85011011</v>
      </c>
      <c r="N8875">
        <v>1</v>
      </c>
      <c r="O8875" t="s">
        <v>19447</v>
      </c>
      <c r="P8875" t="s">
        <v>19899</v>
      </c>
      <c r="Q8875" t="s">
        <v>19904</v>
      </c>
      <c r="R8875" t="s">
        <v>19905</v>
      </c>
      <c r="S8875" t="s">
        <v>19906</v>
      </c>
      <c r="T8875" t="s">
        <v>19900</v>
      </c>
    </row>
    <row r="8876" spans="2:20" x14ac:dyDescent="0.25">
      <c r="B8876" t="s">
        <v>2709</v>
      </c>
      <c r="C8876">
        <v>85011019</v>
      </c>
      <c r="E8876">
        <v>71.78</v>
      </c>
      <c r="F8876">
        <v>12</v>
      </c>
      <c r="G8876">
        <v>10</v>
      </c>
      <c r="H8876">
        <v>10.8</v>
      </c>
      <c r="I8876">
        <v>2.2999999999999998</v>
      </c>
      <c r="J8876">
        <v>18</v>
      </c>
      <c r="L8876" t="s">
        <v>2709</v>
      </c>
      <c r="M8876">
        <v>85011019</v>
      </c>
      <c r="O8876" t="s">
        <v>20056</v>
      </c>
      <c r="P8876" t="s">
        <v>19903</v>
      </c>
      <c r="Q8876" t="s">
        <v>19904</v>
      </c>
      <c r="R8876" t="s">
        <v>20074</v>
      </c>
      <c r="S8876" t="s">
        <v>20075</v>
      </c>
      <c r="T8876" t="s">
        <v>19899</v>
      </c>
    </row>
    <row r="8877" spans="2:20" x14ac:dyDescent="0.25">
      <c r="B8877" t="s">
        <v>2709</v>
      </c>
      <c r="C8877">
        <v>85011021</v>
      </c>
      <c r="E8877">
        <v>147.97</v>
      </c>
      <c r="F8877">
        <v>25</v>
      </c>
      <c r="G8877">
        <v>10</v>
      </c>
      <c r="H8877" t="s">
        <v>19447</v>
      </c>
      <c r="I8877" t="s">
        <v>19447</v>
      </c>
      <c r="J8877">
        <v>18</v>
      </c>
      <c r="L8877" t="s">
        <v>2709</v>
      </c>
      <c r="M8877">
        <v>85011021</v>
      </c>
      <c r="O8877" t="s">
        <v>20138</v>
      </c>
      <c r="P8877" t="s">
        <v>19982</v>
      </c>
      <c r="Q8877" t="s">
        <v>19904</v>
      </c>
      <c r="R8877" t="s">
        <v>19447</v>
      </c>
      <c r="S8877" t="s">
        <v>19447</v>
      </c>
      <c r="T8877" t="s">
        <v>19899</v>
      </c>
    </row>
    <row r="8878" spans="2:20" x14ac:dyDescent="0.25">
      <c r="B8878" t="s">
        <v>2709</v>
      </c>
      <c r="C8878">
        <v>85011029</v>
      </c>
      <c r="E8878">
        <v>147.97</v>
      </c>
      <c r="F8878">
        <v>25</v>
      </c>
      <c r="G8878">
        <v>10</v>
      </c>
      <c r="H8878" t="s">
        <v>19447</v>
      </c>
      <c r="I8878" t="s">
        <v>19447</v>
      </c>
      <c r="J8878">
        <v>18</v>
      </c>
      <c r="L8878" t="s">
        <v>2709</v>
      </c>
      <c r="M8878">
        <v>85011029</v>
      </c>
      <c r="O8878" t="s">
        <v>20138</v>
      </c>
      <c r="P8878" t="s">
        <v>19982</v>
      </c>
      <c r="Q8878" t="s">
        <v>19904</v>
      </c>
      <c r="R8878" t="s">
        <v>19447</v>
      </c>
      <c r="S8878" t="s">
        <v>19447</v>
      </c>
      <c r="T8878" t="s">
        <v>19899</v>
      </c>
    </row>
    <row r="8879" spans="2:20" x14ac:dyDescent="0.25">
      <c r="B8879" t="s">
        <v>2709</v>
      </c>
      <c r="C8879">
        <v>85011030</v>
      </c>
      <c r="E8879">
        <v>147.97</v>
      </c>
      <c r="F8879">
        <v>25</v>
      </c>
      <c r="G8879">
        <v>10</v>
      </c>
      <c r="H8879" t="s">
        <v>19447</v>
      </c>
      <c r="I8879" t="s">
        <v>19447</v>
      </c>
      <c r="J8879">
        <v>18</v>
      </c>
      <c r="L8879" t="s">
        <v>2709</v>
      </c>
      <c r="M8879">
        <v>85011030</v>
      </c>
      <c r="O8879" t="s">
        <v>20138</v>
      </c>
      <c r="P8879" t="s">
        <v>19982</v>
      </c>
      <c r="Q8879" t="s">
        <v>19904</v>
      </c>
      <c r="R8879" t="s">
        <v>19447</v>
      </c>
      <c r="S8879" t="s">
        <v>19447</v>
      </c>
      <c r="T8879" t="s">
        <v>19899</v>
      </c>
    </row>
    <row r="8880" spans="2:20" x14ac:dyDescent="0.25">
      <c r="B8880" t="s">
        <v>2709</v>
      </c>
      <c r="C8880">
        <v>85012000</v>
      </c>
      <c r="E8880">
        <v>147.97</v>
      </c>
      <c r="F8880">
        <v>25</v>
      </c>
      <c r="G8880">
        <v>10</v>
      </c>
      <c r="H8880" t="s">
        <v>19447</v>
      </c>
      <c r="I8880" t="s">
        <v>19447</v>
      </c>
      <c r="J8880">
        <v>18</v>
      </c>
      <c r="L8880" t="s">
        <v>2709</v>
      </c>
      <c r="M8880">
        <v>85012000</v>
      </c>
      <c r="O8880" t="s">
        <v>20138</v>
      </c>
      <c r="P8880" t="s">
        <v>19982</v>
      </c>
      <c r="Q8880" t="s">
        <v>19904</v>
      </c>
      <c r="R8880" t="s">
        <v>19447</v>
      </c>
      <c r="S8880" t="s">
        <v>19447</v>
      </c>
      <c r="T8880" t="s">
        <v>19899</v>
      </c>
    </row>
    <row r="8881" spans="2:20" x14ac:dyDescent="0.25">
      <c r="B8881" t="s">
        <v>2709</v>
      </c>
      <c r="C8881">
        <v>85013110</v>
      </c>
      <c r="E8881">
        <v>71.78</v>
      </c>
      <c r="F8881">
        <v>12</v>
      </c>
      <c r="G8881">
        <v>10</v>
      </c>
      <c r="H8881" t="s">
        <v>19447</v>
      </c>
      <c r="I8881" t="s">
        <v>19447</v>
      </c>
      <c r="J8881">
        <v>18</v>
      </c>
      <c r="L8881" t="s">
        <v>2709</v>
      </c>
      <c r="M8881">
        <v>85013110</v>
      </c>
      <c r="O8881" t="s">
        <v>20056</v>
      </c>
      <c r="P8881" t="s">
        <v>19903</v>
      </c>
      <c r="Q8881" t="s">
        <v>19904</v>
      </c>
      <c r="R8881" t="s">
        <v>19447</v>
      </c>
      <c r="S8881" t="s">
        <v>19447</v>
      </c>
      <c r="T8881" t="s">
        <v>19899</v>
      </c>
    </row>
    <row r="8882" spans="2:20" x14ac:dyDescent="0.25">
      <c r="B8882" t="s">
        <v>2709</v>
      </c>
      <c r="C8882">
        <v>85013120</v>
      </c>
      <c r="E8882">
        <v>147.97</v>
      </c>
      <c r="F8882">
        <v>12</v>
      </c>
      <c r="G8882">
        <v>0</v>
      </c>
      <c r="H8882" t="s">
        <v>19447</v>
      </c>
      <c r="I8882" t="s">
        <v>19447</v>
      </c>
      <c r="J8882">
        <v>18</v>
      </c>
      <c r="L8882" t="s">
        <v>2709</v>
      </c>
      <c r="M8882">
        <v>85013120</v>
      </c>
      <c r="O8882" t="s">
        <v>20138</v>
      </c>
      <c r="P8882" t="s">
        <v>19903</v>
      </c>
      <c r="Q8882" t="s">
        <v>19900</v>
      </c>
      <c r="R8882" t="s">
        <v>19447</v>
      </c>
      <c r="S8882" t="s">
        <v>19447</v>
      </c>
      <c r="T8882" t="s">
        <v>19899</v>
      </c>
    </row>
    <row r="8883" spans="2:20" x14ac:dyDescent="0.25">
      <c r="B8883" t="s">
        <v>2709</v>
      </c>
      <c r="C8883">
        <v>85013210</v>
      </c>
      <c r="E8883">
        <v>147.97</v>
      </c>
      <c r="F8883">
        <v>12</v>
      </c>
      <c r="G8883">
        <v>0</v>
      </c>
      <c r="H8883" t="s">
        <v>19447</v>
      </c>
      <c r="I8883" t="s">
        <v>19447</v>
      </c>
      <c r="J8883">
        <v>18</v>
      </c>
      <c r="L8883" t="s">
        <v>2709</v>
      </c>
      <c r="M8883">
        <v>85013210</v>
      </c>
      <c r="O8883" t="s">
        <v>20138</v>
      </c>
      <c r="P8883" t="s">
        <v>19903</v>
      </c>
      <c r="Q8883" t="s">
        <v>19900</v>
      </c>
      <c r="R8883" t="s">
        <v>19447</v>
      </c>
      <c r="S8883" t="s">
        <v>19447</v>
      </c>
      <c r="T8883" t="s">
        <v>19899</v>
      </c>
    </row>
    <row r="8884" spans="2:20" x14ac:dyDescent="0.25">
      <c r="B8884" t="s">
        <v>2709</v>
      </c>
      <c r="C8884">
        <v>85013220</v>
      </c>
      <c r="E8884">
        <v>147.97</v>
      </c>
      <c r="F8884">
        <v>12</v>
      </c>
      <c r="G8884">
        <v>0</v>
      </c>
      <c r="H8884" t="s">
        <v>19447</v>
      </c>
      <c r="I8884" t="s">
        <v>19447</v>
      </c>
      <c r="J8884">
        <v>18</v>
      </c>
      <c r="L8884" t="s">
        <v>2709</v>
      </c>
      <c r="M8884">
        <v>85013220</v>
      </c>
      <c r="O8884" t="s">
        <v>20138</v>
      </c>
      <c r="P8884" t="s">
        <v>19903</v>
      </c>
      <c r="Q8884" t="s">
        <v>19900</v>
      </c>
      <c r="R8884" t="s">
        <v>19447</v>
      </c>
      <c r="S8884" t="s">
        <v>19447</v>
      </c>
      <c r="T8884" t="s">
        <v>19899</v>
      </c>
    </row>
    <row r="8885" spans="2:20" x14ac:dyDescent="0.25">
      <c r="B8885" t="s">
        <v>2709</v>
      </c>
      <c r="C8885">
        <v>85013310</v>
      </c>
      <c r="E8885">
        <v>147.97</v>
      </c>
      <c r="F8885">
        <v>12</v>
      </c>
      <c r="G8885">
        <v>0</v>
      </c>
      <c r="H8885" t="s">
        <v>19447</v>
      </c>
      <c r="I8885" t="s">
        <v>19447</v>
      </c>
      <c r="J8885">
        <v>14</v>
      </c>
      <c r="L8885" t="s">
        <v>2709</v>
      </c>
      <c r="M8885">
        <v>85013310</v>
      </c>
      <c r="O8885" t="s">
        <v>20138</v>
      </c>
      <c r="P8885" t="s">
        <v>19903</v>
      </c>
      <c r="Q8885" t="s">
        <v>19900</v>
      </c>
      <c r="R8885" t="s">
        <v>19447</v>
      </c>
      <c r="S8885" t="s">
        <v>19447</v>
      </c>
      <c r="T8885" t="s">
        <v>19911</v>
      </c>
    </row>
    <row r="8886" spans="2:20" x14ac:dyDescent="0.25">
      <c r="B8886" t="s">
        <v>2709</v>
      </c>
      <c r="C8886">
        <v>85013320</v>
      </c>
      <c r="E8886">
        <v>147.97</v>
      </c>
      <c r="F8886">
        <v>12</v>
      </c>
      <c r="G8886">
        <v>0</v>
      </c>
      <c r="H8886" t="s">
        <v>19447</v>
      </c>
      <c r="I8886" t="s">
        <v>19447</v>
      </c>
      <c r="J8886">
        <v>14</v>
      </c>
      <c r="L8886" t="s">
        <v>2709</v>
      </c>
      <c r="M8886">
        <v>85013320</v>
      </c>
      <c r="O8886" t="s">
        <v>20138</v>
      </c>
      <c r="P8886" t="s">
        <v>19903</v>
      </c>
      <c r="Q8886" t="s">
        <v>19900</v>
      </c>
      <c r="R8886" t="s">
        <v>19447</v>
      </c>
      <c r="S8886" t="s">
        <v>19447</v>
      </c>
      <c r="T8886" t="s">
        <v>19911</v>
      </c>
    </row>
    <row r="8887" spans="2:20" x14ac:dyDescent="0.25">
      <c r="B8887" t="s">
        <v>2709</v>
      </c>
      <c r="C8887">
        <v>85013411</v>
      </c>
      <c r="E8887">
        <v>147.97</v>
      </c>
      <c r="F8887">
        <v>12</v>
      </c>
      <c r="G8887">
        <v>0</v>
      </c>
      <c r="H8887" t="s">
        <v>19447</v>
      </c>
      <c r="I8887" t="s">
        <v>19447</v>
      </c>
      <c r="J8887">
        <v>14</v>
      </c>
      <c r="L8887" t="s">
        <v>2709</v>
      </c>
      <c r="M8887">
        <v>85013411</v>
      </c>
      <c r="O8887" t="s">
        <v>20138</v>
      </c>
      <c r="P8887" t="s">
        <v>19903</v>
      </c>
      <c r="Q8887" t="s">
        <v>19900</v>
      </c>
      <c r="R8887" t="s">
        <v>19447</v>
      </c>
      <c r="S8887" t="s">
        <v>19447</v>
      </c>
      <c r="T8887" t="s">
        <v>19911</v>
      </c>
    </row>
    <row r="8888" spans="2:20" x14ac:dyDescent="0.25">
      <c r="B8888" t="s">
        <v>2709</v>
      </c>
      <c r="C8888">
        <v>85013419</v>
      </c>
      <c r="E8888">
        <v>147.97</v>
      </c>
      <c r="F8888">
        <v>12</v>
      </c>
      <c r="G8888">
        <v>0</v>
      </c>
      <c r="H8888" t="s">
        <v>19447</v>
      </c>
      <c r="I8888" t="s">
        <v>19447</v>
      </c>
      <c r="J8888">
        <v>0</v>
      </c>
      <c r="L8888" t="s">
        <v>2709</v>
      </c>
      <c r="M8888">
        <v>85013419</v>
      </c>
      <c r="O8888" t="s">
        <v>20138</v>
      </c>
      <c r="P8888" t="s">
        <v>19903</v>
      </c>
      <c r="Q8888" t="s">
        <v>19900</v>
      </c>
      <c r="R8888" t="s">
        <v>19447</v>
      </c>
      <c r="S8888" t="s">
        <v>19447</v>
      </c>
      <c r="T8888" t="s">
        <v>19900</v>
      </c>
    </row>
    <row r="8889" spans="2:20" x14ac:dyDescent="0.25">
      <c r="B8889" t="s">
        <v>2709</v>
      </c>
      <c r="C8889">
        <v>85013420</v>
      </c>
      <c r="E8889">
        <v>147.97</v>
      </c>
      <c r="F8889">
        <v>12</v>
      </c>
      <c r="G8889">
        <v>0</v>
      </c>
      <c r="H8889" t="s">
        <v>19447</v>
      </c>
      <c r="I8889" t="s">
        <v>19447</v>
      </c>
      <c r="J8889">
        <v>14</v>
      </c>
      <c r="L8889" t="s">
        <v>2709</v>
      </c>
      <c r="M8889">
        <v>85013420</v>
      </c>
      <c r="O8889" t="s">
        <v>20138</v>
      </c>
      <c r="P8889" t="s">
        <v>19903</v>
      </c>
      <c r="Q8889" t="s">
        <v>19900</v>
      </c>
      <c r="R8889" t="s">
        <v>19447</v>
      </c>
      <c r="S8889" t="s">
        <v>19447</v>
      </c>
      <c r="T8889" t="s">
        <v>19911</v>
      </c>
    </row>
    <row r="8890" spans="2:20" x14ac:dyDescent="0.25">
      <c r="B8890" t="s">
        <v>2709</v>
      </c>
      <c r="C8890">
        <v>85014011</v>
      </c>
      <c r="E8890">
        <v>147.97</v>
      </c>
      <c r="F8890">
        <v>12</v>
      </c>
      <c r="G8890">
        <v>0</v>
      </c>
      <c r="H8890" t="s">
        <v>19447</v>
      </c>
      <c r="I8890" t="s">
        <v>19447</v>
      </c>
      <c r="J8890">
        <v>18</v>
      </c>
      <c r="L8890" t="s">
        <v>2709</v>
      </c>
      <c r="M8890">
        <v>85014011</v>
      </c>
      <c r="O8890" t="s">
        <v>20138</v>
      </c>
      <c r="P8890" t="s">
        <v>19903</v>
      </c>
      <c r="Q8890" t="s">
        <v>19900</v>
      </c>
      <c r="R8890" t="s">
        <v>19447</v>
      </c>
      <c r="S8890" t="s">
        <v>19447</v>
      </c>
      <c r="T8890" t="s">
        <v>19899</v>
      </c>
    </row>
    <row r="8891" spans="2:20" x14ac:dyDescent="0.25">
      <c r="B8891" t="s">
        <v>2709</v>
      </c>
      <c r="C8891">
        <v>85014019</v>
      </c>
      <c r="E8891">
        <v>147.97</v>
      </c>
      <c r="F8891">
        <v>25</v>
      </c>
      <c r="G8891">
        <v>10</v>
      </c>
      <c r="H8891" t="s">
        <v>19447</v>
      </c>
      <c r="I8891" t="s">
        <v>19447</v>
      </c>
      <c r="J8891">
        <v>18</v>
      </c>
      <c r="L8891" t="s">
        <v>2709</v>
      </c>
      <c r="M8891">
        <v>85014019</v>
      </c>
      <c r="O8891" t="s">
        <v>20138</v>
      </c>
      <c r="P8891" t="s">
        <v>19982</v>
      </c>
      <c r="Q8891" t="s">
        <v>19904</v>
      </c>
      <c r="R8891" t="s">
        <v>19447</v>
      </c>
      <c r="S8891" t="s">
        <v>19447</v>
      </c>
      <c r="T8891" t="s">
        <v>19899</v>
      </c>
    </row>
    <row r="8892" spans="2:20" x14ac:dyDescent="0.25">
      <c r="B8892" t="s">
        <v>2709</v>
      </c>
      <c r="C8892">
        <v>85014021</v>
      </c>
      <c r="E8892">
        <v>147.97</v>
      </c>
      <c r="F8892">
        <v>12</v>
      </c>
      <c r="G8892">
        <v>0</v>
      </c>
      <c r="H8892" t="s">
        <v>19447</v>
      </c>
      <c r="I8892" t="s">
        <v>19447</v>
      </c>
      <c r="J8892">
        <v>14</v>
      </c>
      <c r="L8892" t="s">
        <v>2709</v>
      </c>
      <c r="M8892">
        <v>85014021</v>
      </c>
      <c r="O8892" t="s">
        <v>20138</v>
      </c>
      <c r="P8892" t="s">
        <v>19903</v>
      </c>
      <c r="Q8892" t="s">
        <v>19900</v>
      </c>
      <c r="R8892" t="s">
        <v>19447</v>
      </c>
      <c r="S8892" t="s">
        <v>19447</v>
      </c>
      <c r="T8892" t="s">
        <v>19911</v>
      </c>
    </row>
    <row r="8893" spans="2:20" x14ac:dyDescent="0.25">
      <c r="B8893" t="s">
        <v>2709</v>
      </c>
      <c r="C8893">
        <v>85014029</v>
      </c>
      <c r="E8893">
        <v>147.97</v>
      </c>
      <c r="F8893">
        <v>25</v>
      </c>
      <c r="G8893">
        <v>10</v>
      </c>
      <c r="H8893" t="s">
        <v>19447</v>
      </c>
      <c r="I8893" t="s">
        <v>19447</v>
      </c>
      <c r="J8893">
        <v>14</v>
      </c>
      <c r="L8893" t="s">
        <v>2709</v>
      </c>
      <c r="M8893">
        <v>85014029</v>
      </c>
      <c r="O8893" t="s">
        <v>20138</v>
      </c>
      <c r="P8893" t="s">
        <v>19982</v>
      </c>
      <c r="Q8893" t="s">
        <v>19904</v>
      </c>
      <c r="R8893" t="s">
        <v>19447</v>
      </c>
      <c r="S8893" t="s">
        <v>19447</v>
      </c>
      <c r="T8893" t="s">
        <v>19911</v>
      </c>
    </row>
    <row r="8894" spans="2:20" x14ac:dyDescent="0.25">
      <c r="B8894" t="s">
        <v>2709</v>
      </c>
      <c r="C8894">
        <v>85015110</v>
      </c>
      <c r="E8894">
        <v>147.97</v>
      </c>
      <c r="F8894">
        <v>12</v>
      </c>
      <c r="G8894">
        <v>5</v>
      </c>
      <c r="H8894" t="s">
        <v>19447</v>
      </c>
      <c r="I8894" t="s">
        <v>19447</v>
      </c>
      <c r="J8894">
        <v>14</v>
      </c>
      <c r="L8894" t="s">
        <v>2709</v>
      </c>
      <c r="M8894">
        <v>85015110</v>
      </c>
      <c r="O8894" t="s">
        <v>20138</v>
      </c>
      <c r="P8894" t="s">
        <v>19903</v>
      </c>
      <c r="Q8894" t="s">
        <v>19909</v>
      </c>
      <c r="R8894" t="s">
        <v>19447</v>
      </c>
      <c r="S8894" t="s">
        <v>19447</v>
      </c>
      <c r="T8894" t="s">
        <v>19911</v>
      </c>
    </row>
    <row r="8895" spans="2:20" x14ac:dyDescent="0.25">
      <c r="B8895" t="s">
        <v>2709</v>
      </c>
      <c r="C8895">
        <v>85015110</v>
      </c>
      <c r="D8895">
        <v>1</v>
      </c>
      <c r="E8895" t="s">
        <v>19447</v>
      </c>
      <c r="F8895">
        <v>18</v>
      </c>
      <c r="G8895">
        <v>0</v>
      </c>
      <c r="H8895">
        <v>7.6</v>
      </c>
      <c r="I8895">
        <v>1.65</v>
      </c>
      <c r="J8895">
        <v>14</v>
      </c>
      <c r="L8895" t="s">
        <v>2709</v>
      </c>
      <c r="M8895">
        <v>85015110</v>
      </c>
      <c r="N8895">
        <v>1</v>
      </c>
      <c r="O8895" t="s">
        <v>19447</v>
      </c>
      <c r="P8895" t="s">
        <v>19899</v>
      </c>
      <c r="Q8895" t="s">
        <v>19900</v>
      </c>
      <c r="R8895" t="s">
        <v>19905</v>
      </c>
      <c r="S8895" t="s">
        <v>19906</v>
      </c>
      <c r="T8895" t="s">
        <v>19911</v>
      </c>
    </row>
    <row r="8896" spans="2:20" x14ac:dyDescent="0.25">
      <c r="B8896" t="s">
        <v>2709</v>
      </c>
      <c r="C8896">
        <v>85015120</v>
      </c>
      <c r="E8896">
        <v>147.97</v>
      </c>
      <c r="F8896">
        <v>12</v>
      </c>
      <c r="G8896">
        <v>0</v>
      </c>
      <c r="H8896" t="s">
        <v>19447</v>
      </c>
      <c r="I8896" t="s">
        <v>19447</v>
      </c>
      <c r="J8896">
        <v>14</v>
      </c>
      <c r="L8896" t="s">
        <v>2709</v>
      </c>
      <c r="M8896">
        <v>85015120</v>
      </c>
      <c r="O8896" t="s">
        <v>20138</v>
      </c>
      <c r="P8896" t="s">
        <v>19903</v>
      </c>
      <c r="Q8896" t="s">
        <v>19900</v>
      </c>
      <c r="R8896" t="s">
        <v>19447</v>
      </c>
      <c r="S8896" t="s">
        <v>19447</v>
      </c>
      <c r="T8896" t="s">
        <v>19911</v>
      </c>
    </row>
    <row r="8897" spans="2:20" x14ac:dyDescent="0.25">
      <c r="B8897" t="s">
        <v>2709</v>
      </c>
      <c r="C8897">
        <v>85015190</v>
      </c>
      <c r="E8897">
        <v>147.97</v>
      </c>
      <c r="F8897">
        <v>12</v>
      </c>
      <c r="G8897">
        <v>0</v>
      </c>
      <c r="H8897" t="s">
        <v>19447</v>
      </c>
      <c r="I8897" t="s">
        <v>19447</v>
      </c>
      <c r="J8897">
        <v>14</v>
      </c>
      <c r="L8897" t="s">
        <v>2709</v>
      </c>
      <c r="M8897">
        <v>85015190</v>
      </c>
      <c r="O8897" t="s">
        <v>20138</v>
      </c>
      <c r="P8897" t="s">
        <v>19903</v>
      </c>
      <c r="Q8897" t="s">
        <v>19900</v>
      </c>
      <c r="R8897" t="s">
        <v>19447</v>
      </c>
      <c r="S8897" t="s">
        <v>19447</v>
      </c>
      <c r="T8897" t="s">
        <v>19911</v>
      </c>
    </row>
    <row r="8898" spans="2:20" x14ac:dyDescent="0.25">
      <c r="B8898" t="s">
        <v>2709</v>
      </c>
      <c r="C8898">
        <v>85015210</v>
      </c>
      <c r="E8898">
        <v>147.97</v>
      </c>
      <c r="F8898">
        <v>12</v>
      </c>
      <c r="G8898">
        <v>0</v>
      </c>
      <c r="H8898" t="s">
        <v>19447</v>
      </c>
      <c r="I8898" t="s">
        <v>19447</v>
      </c>
      <c r="J8898">
        <v>14</v>
      </c>
      <c r="L8898" t="s">
        <v>2709</v>
      </c>
      <c r="M8898">
        <v>85015210</v>
      </c>
      <c r="O8898" t="s">
        <v>20138</v>
      </c>
      <c r="P8898" t="s">
        <v>19903</v>
      </c>
      <c r="Q8898" t="s">
        <v>19900</v>
      </c>
      <c r="R8898" t="s">
        <v>19447</v>
      </c>
      <c r="S8898" t="s">
        <v>19447</v>
      </c>
      <c r="T8898" t="s">
        <v>19911</v>
      </c>
    </row>
    <row r="8899" spans="2:20" x14ac:dyDescent="0.25">
      <c r="B8899" t="s">
        <v>2709</v>
      </c>
      <c r="C8899">
        <v>85015220</v>
      </c>
      <c r="E8899">
        <v>147.97</v>
      </c>
      <c r="F8899">
        <v>12</v>
      </c>
      <c r="G8899">
        <v>0</v>
      </c>
      <c r="H8899" t="s">
        <v>19447</v>
      </c>
      <c r="I8899" t="s">
        <v>19447</v>
      </c>
      <c r="J8899">
        <v>14</v>
      </c>
      <c r="L8899" t="s">
        <v>2709</v>
      </c>
      <c r="M8899">
        <v>85015220</v>
      </c>
      <c r="O8899" t="s">
        <v>20138</v>
      </c>
      <c r="P8899" t="s">
        <v>19903</v>
      </c>
      <c r="Q8899" t="s">
        <v>19900</v>
      </c>
      <c r="R8899" t="s">
        <v>19447</v>
      </c>
      <c r="S8899" t="s">
        <v>19447</v>
      </c>
      <c r="T8899" t="s">
        <v>19911</v>
      </c>
    </row>
    <row r="8900" spans="2:20" x14ac:dyDescent="0.25">
      <c r="B8900" t="s">
        <v>2709</v>
      </c>
      <c r="C8900">
        <v>85015290</v>
      </c>
      <c r="E8900">
        <v>147.97</v>
      </c>
      <c r="F8900">
        <v>12</v>
      </c>
      <c r="G8900">
        <v>0</v>
      </c>
      <c r="H8900" t="s">
        <v>19447</v>
      </c>
      <c r="I8900" t="s">
        <v>19447</v>
      </c>
      <c r="J8900">
        <v>14</v>
      </c>
      <c r="L8900" t="s">
        <v>2709</v>
      </c>
      <c r="M8900">
        <v>85015290</v>
      </c>
      <c r="O8900" t="s">
        <v>20138</v>
      </c>
      <c r="P8900" t="s">
        <v>19903</v>
      </c>
      <c r="Q8900" t="s">
        <v>19900</v>
      </c>
      <c r="R8900" t="s">
        <v>19447</v>
      </c>
      <c r="S8900" t="s">
        <v>19447</v>
      </c>
      <c r="T8900" t="s">
        <v>19911</v>
      </c>
    </row>
    <row r="8901" spans="2:20" x14ac:dyDescent="0.25">
      <c r="B8901" t="s">
        <v>2709</v>
      </c>
      <c r="C8901">
        <v>85015310</v>
      </c>
      <c r="E8901">
        <v>147.97</v>
      </c>
      <c r="F8901">
        <v>12</v>
      </c>
      <c r="G8901">
        <v>0</v>
      </c>
      <c r="H8901" t="s">
        <v>19447</v>
      </c>
      <c r="I8901" t="s">
        <v>19447</v>
      </c>
      <c r="J8901">
        <v>14</v>
      </c>
      <c r="L8901" t="s">
        <v>2709</v>
      </c>
      <c r="M8901">
        <v>85015310</v>
      </c>
      <c r="O8901" t="s">
        <v>20138</v>
      </c>
      <c r="P8901" t="s">
        <v>19903</v>
      </c>
      <c r="Q8901" t="s">
        <v>19900</v>
      </c>
      <c r="R8901" t="s">
        <v>19447</v>
      </c>
      <c r="S8901" t="s">
        <v>19447</v>
      </c>
      <c r="T8901" t="s">
        <v>19911</v>
      </c>
    </row>
    <row r="8902" spans="2:20" x14ac:dyDescent="0.25">
      <c r="B8902" t="s">
        <v>2709</v>
      </c>
      <c r="C8902">
        <v>85015320</v>
      </c>
      <c r="E8902">
        <v>147.97</v>
      </c>
      <c r="F8902">
        <v>12</v>
      </c>
      <c r="G8902">
        <v>0</v>
      </c>
      <c r="H8902" t="s">
        <v>19447</v>
      </c>
      <c r="I8902" t="s">
        <v>19447</v>
      </c>
      <c r="J8902">
        <v>14</v>
      </c>
      <c r="L8902" t="s">
        <v>2709</v>
      </c>
      <c r="M8902">
        <v>85015320</v>
      </c>
      <c r="O8902" t="s">
        <v>20138</v>
      </c>
      <c r="P8902" t="s">
        <v>19903</v>
      </c>
      <c r="Q8902" t="s">
        <v>19900</v>
      </c>
      <c r="R8902" t="s">
        <v>19447</v>
      </c>
      <c r="S8902" t="s">
        <v>19447</v>
      </c>
      <c r="T8902" t="s">
        <v>19911</v>
      </c>
    </row>
    <row r="8903" spans="2:20" x14ac:dyDescent="0.25">
      <c r="B8903" t="s">
        <v>2709</v>
      </c>
      <c r="C8903">
        <v>85015330</v>
      </c>
      <c r="E8903">
        <v>147.97</v>
      </c>
      <c r="F8903">
        <v>12</v>
      </c>
      <c r="G8903">
        <v>0</v>
      </c>
      <c r="H8903" t="s">
        <v>19447</v>
      </c>
      <c r="I8903" t="s">
        <v>19447</v>
      </c>
      <c r="J8903">
        <v>14</v>
      </c>
      <c r="L8903" t="s">
        <v>2709</v>
      </c>
      <c r="M8903">
        <v>85015330</v>
      </c>
      <c r="O8903" t="s">
        <v>20138</v>
      </c>
      <c r="P8903" t="s">
        <v>19903</v>
      </c>
      <c r="Q8903" t="s">
        <v>19900</v>
      </c>
      <c r="R8903" t="s">
        <v>19447</v>
      </c>
      <c r="S8903" t="s">
        <v>19447</v>
      </c>
      <c r="T8903" t="s">
        <v>19911</v>
      </c>
    </row>
    <row r="8904" spans="2:20" x14ac:dyDescent="0.25">
      <c r="B8904" t="s">
        <v>2709</v>
      </c>
      <c r="C8904">
        <v>85015390</v>
      </c>
      <c r="E8904">
        <v>147.97</v>
      </c>
      <c r="F8904">
        <v>12</v>
      </c>
      <c r="G8904">
        <v>0</v>
      </c>
      <c r="H8904" t="s">
        <v>19447</v>
      </c>
      <c r="I8904" t="s">
        <v>19447</v>
      </c>
      <c r="J8904">
        <v>0</v>
      </c>
      <c r="L8904" t="s">
        <v>2709</v>
      </c>
      <c r="M8904">
        <v>85015390</v>
      </c>
      <c r="O8904" t="s">
        <v>20138</v>
      </c>
      <c r="P8904" t="s">
        <v>19903</v>
      </c>
      <c r="Q8904" t="s">
        <v>19900</v>
      </c>
      <c r="R8904" t="s">
        <v>19447</v>
      </c>
      <c r="S8904" t="s">
        <v>19447</v>
      </c>
      <c r="T8904" t="s">
        <v>19900</v>
      </c>
    </row>
    <row r="8905" spans="2:20" x14ac:dyDescent="0.25">
      <c r="B8905" t="s">
        <v>2709</v>
      </c>
      <c r="C8905">
        <v>85016100</v>
      </c>
      <c r="E8905">
        <v>71.78</v>
      </c>
      <c r="F8905">
        <v>25</v>
      </c>
      <c r="G8905">
        <v>0</v>
      </c>
      <c r="H8905" t="s">
        <v>19447</v>
      </c>
      <c r="I8905" t="s">
        <v>19447</v>
      </c>
      <c r="J8905">
        <v>14</v>
      </c>
      <c r="L8905" t="s">
        <v>2709</v>
      </c>
      <c r="M8905">
        <v>85016100</v>
      </c>
      <c r="O8905" t="s">
        <v>20056</v>
      </c>
      <c r="P8905" t="s">
        <v>19982</v>
      </c>
      <c r="Q8905" t="s">
        <v>19900</v>
      </c>
      <c r="R8905" t="s">
        <v>19447</v>
      </c>
      <c r="S8905" t="s">
        <v>19447</v>
      </c>
      <c r="T8905" t="s">
        <v>19911</v>
      </c>
    </row>
    <row r="8906" spans="2:20" x14ac:dyDescent="0.25">
      <c r="B8906" t="s">
        <v>2709</v>
      </c>
      <c r="C8906">
        <v>85016200</v>
      </c>
      <c r="E8906">
        <v>147.97</v>
      </c>
      <c r="F8906">
        <v>25</v>
      </c>
      <c r="G8906">
        <v>0</v>
      </c>
      <c r="H8906" t="s">
        <v>19447</v>
      </c>
      <c r="I8906" t="s">
        <v>19447</v>
      </c>
      <c r="J8906">
        <v>14</v>
      </c>
      <c r="L8906" t="s">
        <v>2709</v>
      </c>
      <c r="M8906">
        <v>85016200</v>
      </c>
      <c r="O8906" t="s">
        <v>20138</v>
      </c>
      <c r="P8906" t="s">
        <v>19982</v>
      </c>
      <c r="Q8906" t="s">
        <v>19900</v>
      </c>
      <c r="R8906" t="s">
        <v>19447</v>
      </c>
      <c r="S8906" t="s">
        <v>19447</v>
      </c>
      <c r="T8906" t="s">
        <v>19911</v>
      </c>
    </row>
    <row r="8907" spans="2:20" x14ac:dyDescent="0.25">
      <c r="B8907" t="s">
        <v>2709</v>
      </c>
      <c r="C8907">
        <v>85016300</v>
      </c>
      <c r="E8907">
        <v>147.97</v>
      </c>
      <c r="F8907">
        <v>25</v>
      </c>
      <c r="G8907">
        <v>0</v>
      </c>
      <c r="H8907" t="s">
        <v>19447</v>
      </c>
      <c r="I8907" t="s">
        <v>19447</v>
      </c>
      <c r="J8907">
        <v>14</v>
      </c>
      <c r="L8907" t="s">
        <v>2709</v>
      </c>
      <c r="M8907">
        <v>85016300</v>
      </c>
      <c r="O8907" t="s">
        <v>20138</v>
      </c>
      <c r="P8907" t="s">
        <v>19982</v>
      </c>
      <c r="Q8907" t="s">
        <v>19900</v>
      </c>
      <c r="R8907" t="s">
        <v>19447</v>
      </c>
      <c r="S8907" t="s">
        <v>19447</v>
      </c>
      <c r="T8907" t="s">
        <v>19911</v>
      </c>
    </row>
    <row r="8908" spans="2:20" x14ac:dyDescent="0.25">
      <c r="B8908" t="s">
        <v>2709</v>
      </c>
      <c r="C8908">
        <v>85016400</v>
      </c>
      <c r="E8908">
        <v>147.97</v>
      </c>
      <c r="F8908">
        <v>12</v>
      </c>
      <c r="G8908">
        <v>0</v>
      </c>
      <c r="H8908" t="s">
        <v>19447</v>
      </c>
      <c r="I8908" t="s">
        <v>19447</v>
      </c>
      <c r="J8908">
        <v>14</v>
      </c>
      <c r="L8908" t="s">
        <v>2709</v>
      </c>
      <c r="M8908">
        <v>85016400</v>
      </c>
      <c r="O8908" t="s">
        <v>20138</v>
      </c>
      <c r="P8908" t="s">
        <v>19903</v>
      </c>
      <c r="Q8908" t="s">
        <v>19900</v>
      </c>
      <c r="R8908" t="s">
        <v>19447</v>
      </c>
      <c r="S8908" t="s">
        <v>19447</v>
      </c>
      <c r="T8908" t="s">
        <v>19911</v>
      </c>
    </row>
    <row r="8909" spans="2:20" x14ac:dyDescent="0.25">
      <c r="B8909" t="s">
        <v>2709</v>
      </c>
      <c r="C8909">
        <v>85021110</v>
      </c>
      <c r="E8909">
        <v>147.97</v>
      </c>
      <c r="F8909">
        <v>12</v>
      </c>
      <c r="G8909">
        <v>0</v>
      </c>
      <c r="H8909" t="s">
        <v>19447</v>
      </c>
      <c r="I8909" t="s">
        <v>19447</v>
      </c>
      <c r="J8909">
        <v>14</v>
      </c>
      <c r="L8909" t="s">
        <v>2709</v>
      </c>
      <c r="M8909">
        <v>85021110</v>
      </c>
      <c r="O8909" t="s">
        <v>20138</v>
      </c>
      <c r="P8909" t="s">
        <v>19903</v>
      </c>
      <c r="Q8909" t="s">
        <v>19900</v>
      </c>
      <c r="R8909" t="s">
        <v>19447</v>
      </c>
      <c r="S8909" t="s">
        <v>19447</v>
      </c>
      <c r="T8909" t="s">
        <v>19911</v>
      </c>
    </row>
    <row r="8910" spans="2:20" x14ac:dyDescent="0.25">
      <c r="B8910" t="s">
        <v>2709</v>
      </c>
      <c r="C8910">
        <v>85021190</v>
      </c>
      <c r="E8910">
        <v>147.97</v>
      </c>
      <c r="F8910">
        <v>12</v>
      </c>
      <c r="G8910">
        <v>0</v>
      </c>
      <c r="H8910" t="s">
        <v>19447</v>
      </c>
      <c r="I8910" t="s">
        <v>19447</v>
      </c>
      <c r="J8910">
        <v>14</v>
      </c>
      <c r="L8910" t="s">
        <v>2709</v>
      </c>
      <c r="M8910">
        <v>85021190</v>
      </c>
      <c r="O8910" t="s">
        <v>20138</v>
      </c>
      <c r="P8910" t="s">
        <v>19903</v>
      </c>
      <c r="Q8910" t="s">
        <v>19900</v>
      </c>
      <c r="R8910" t="s">
        <v>19447</v>
      </c>
      <c r="S8910" t="s">
        <v>19447</v>
      </c>
      <c r="T8910" t="s">
        <v>19911</v>
      </c>
    </row>
    <row r="8911" spans="2:20" x14ac:dyDescent="0.25">
      <c r="B8911" t="s">
        <v>2709</v>
      </c>
      <c r="C8911">
        <v>85021210</v>
      </c>
      <c r="E8911">
        <v>147.97</v>
      </c>
      <c r="F8911">
        <v>12</v>
      </c>
      <c r="G8911">
        <v>0</v>
      </c>
      <c r="H8911" t="s">
        <v>19447</v>
      </c>
      <c r="I8911" t="s">
        <v>19447</v>
      </c>
      <c r="J8911">
        <v>14</v>
      </c>
      <c r="L8911" t="s">
        <v>2709</v>
      </c>
      <c r="M8911">
        <v>85021210</v>
      </c>
      <c r="O8911" t="s">
        <v>20138</v>
      </c>
      <c r="P8911" t="s">
        <v>19903</v>
      </c>
      <c r="Q8911" t="s">
        <v>19900</v>
      </c>
      <c r="R8911" t="s">
        <v>19447</v>
      </c>
      <c r="S8911" t="s">
        <v>19447</v>
      </c>
      <c r="T8911" t="s">
        <v>19911</v>
      </c>
    </row>
    <row r="8912" spans="2:20" x14ac:dyDescent="0.25">
      <c r="B8912" t="s">
        <v>2709</v>
      </c>
      <c r="C8912">
        <v>85021290</v>
      </c>
      <c r="E8912">
        <v>147.97</v>
      </c>
      <c r="F8912">
        <v>12</v>
      </c>
      <c r="G8912">
        <v>0</v>
      </c>
      <c r="H8912" t="s">
        <v>19447</v>
      </c>
      <c r="I8912" t="s">
        <v>19447</v>
      </c>
      <c r="J8912">
        <v>14</v>
      </c>
      <c r="L8912" t="s">
        <v>2709</v>
      </c>
      <c r="M8912">
        <v>85021290</v>
      </c>
      <c r="O8912" t="s">
        <v>20138</v>
      </c>
      <c r="P8912" t="s">
        <v>19903</v>
      </c>
      <c r="Q8912" t="s">
        <v>19900</v>
      </c>
      <c r="R8912" t="s">
        <v>19447</v>
      </c>
      <c r="S8912" t="s">
        <v>19447</v>
      </c>
      <c r="T8912" t="s">
        <v>19911</v>
      </c>
    </row>
    <row r="8913" spans="2:20" x14ac:dyDescent="0.25">
      <c r="B8913" t="s">
        <v>2709</v>
      </c>
      <c r="C8913">
        <v>85021311</v>
      </c>
      <c r="E8913">
        <v>147.97</v>
      </c>
      <c r="F8913">
        <v>12</v>
      </c>
      <c r="G8913">
        <v>0</v>
      </c>
      <c r="H8913" t="s">
        <v>19447</v>
      </c>
      <c r="I8913" t="s">
        <v>19447</v>
      </c>
      <c r="J8913">
        <v>14</v>
      </c>
      <c r="L8913" t="s">
        <v>2709</v>
      </c>
      <c r="M8913">
        <v>85021311</v>
      </c>
      <c r="O8913" t="s">
        <v>20138</v>
      </c>
      <c r="P8913" t="s">
        <v>19903</v>
      </c>
      <c r="Q8913" t="s">
        <v>19900</v>
      </c>
      <c r="R8913" t="s">
        <v>19447</v>
      </c>
      <c r="S8913" t="s">
        <v>19447</v>
      </c>
      <c r="T8913" t="s">
        <v>19911</v>
      </c>
    </row>
    <row r="8914" spans="2:20" x14ac:dyDescent="0.25">
      <c r="B8914" t="s">
        <v>2709</v>
      </c>
      <c r="C8914">
        <v>85021319</v>
      </c>
      <c r="E8914">
        <v>147.97</v>
      </c>
      <c r="F8914">
        <v>12</v>
      </c>
      <c r="G8914">
        <v>0</v>
      </c>
      <c r="H8914" t="s">
        <v>19447</v>
      </c>
      <c r="I8914" t="s">
        <v>19447</v>
      </c>
      <c r="J8914">
        <v>14</v>
      </c>
      <c r="L8914" t="s">
        <v>2709</v>
      </c>
      <c r="M8914">
        <v>85021319</v>
      </c>
      <c r="O8914" t="s">
        <v>20138</v>
      </c>
      <c r="P8914" t="s">
        <v>19903</v>
      </c>
      <c r="Q8914" t="s">
        <v>19900</v>
      </c>
      <c r="R8914" t="s">
        <v>19447</v>
      </c>
      <c r="S8914" t="s">
        <v>19447</v>
      </c>
      <c r="T8914" t="s">
        <v>19911</v>
      </c>
    </row>
    <row r="8915" spans="2:20" x14ac:dyDescent="0.25">
      <c r="B8915" t="s">
        <v>2709</v>
      </c>
      <c r="C8915">
        <v>85021390</v>
      </c>
      <c r="E8915">
        <v>147.97</v>
      </c>
      <c r="F8915">
        <v>12</v>
      </c>
      <c r="G8915">
        <v>0</v>
      </c>
      <c r="H8915" t="s">
        <v>19447</v>
      </c>
      <c r="I8915" t="s">
        <v>19447</v>
      </c>
      <c r="J8915">
        <v>14</v>
      </c>
      <c r="L8915" t="s">
        <v>2709</v>
      </c>
      <c r="M8915">
        <v>85021390</v>
      </c>
      <c r="O8915" t="s">
        <v>20138</v>
      </c>
      <c r="P8915" t="s">
        <v>19903</v>
      </c>
      <c r="Q8915" t="s">
        <v>19900</v>
      </c>
      <c r="R8915" t="s">
        <v>19447</v>
      </c>
      <c r="S8915" t="s">
        <v>19447</v>
      </c>
      <c r="T8915" t="s">
        <v>19911</v>
      </c>
    </row>
    <row r="8916" spans="2:20" x14ac:dyDescent="0.25">
      <c r="B8916" t="s">
        <v>2709</v>
      </c>
      <c r="C8916">
        <v>85022011</v>
      </c>
      <c r="E8916">
        <v>147.97</v>
      </c>
      <c r="F8916">
        <v>12</v>
      </c>
      <c r="G8916">
        <v>0</v>
      </c>
      <c r="H8916" t="s">
        <v>19447</v>
      </c>
      <c r="I8916" t="s">
        <v>19447</v>
      </c>
      <c r="J8916">
        <v>14</v>
      </c>
      <c r="L8916" t="s">
        <v>2709</v>
      </c>
      <c r="M8916">
        <v>85022011</v>
      </c>
      <c r="O8916" t="s">
        <v>20138</v>
      </c>
      <c r="P8916" t="s">
        <v>19903</v>
      </c>
      <c r="Q8916" t="s">
        <v>19900</v>
      </c>
      <c r="R8916" t="s">
        <v>19447</v>
      </c>
      <c r="S8916" t="s">
        <v>19447</v>
      </c>
      <c r="T8916" t="s">
        <v>19911</v>
      </c>
    </row>
    <row r="8917" spans="2:20" x14ac:dyDescent="0.25">
      <c r="B8917" t="s">
        <v>2709</v>
      </c>
      <c r="C8917">
        <v>85022019</v>
      </c>
      <c r="E8917">
        <v>147.97</v>
      </c>
      <c r="F8917">
        <v>12</v>
      </c>
      <c r="G8917">
        <v>0</v>
      </c>
      <c r="H8917" t="s">
        <v>19447</v>
      </c>
      <c r="I8917" t="s">
        <v>19447</v>
      </c>
      <c r="J8917">
        <v>0</v>
      </c>
      <c r="L8917" t="s">
        <v>2709</v>
      </c>
      <c r="M8917">
        <v>85022019</v>
      </c>
      <c r="O8917" t="s">
        <v>20138</v>
      </c>
      <c r="P8917" t="s">
        <v>19903</v>
      </c>
      <c r="Q8917" t="s">
        <v>19900</v>
      </c>
      <c r="R8917" t="s">
        <v>19447</v>
      </c>
      <c r="S8917" t="s">
        <v>19447</v>
      </c>
      <c r="T8917" t="s">
        <v>19900</v>
      </c>
    </row>
    <row r="8918" spans="2:20" x14ac:dyDescent="0.25">
      <c r="B8918" t="s">
        <v>2709</v>
      </c>
      <c r="C8918">
        <v>85022090</v>
      </c>
      <c r="E8918">
        <v>147.97</v>
      </c>
      <c r="F8918">
        <v>12</v>
      </c>
      <c r="G8918">
        <v>0</v>
      </c>
      <c r="H8918" t="s">
        <v>19447</v>
      </c>
      <c r="I8918" t="s">
        <v>19447</v>
      </c>
      <c r="J8918">
        <v>14</v>
      </c>
      <c r="L8918" t="s">
        <v>2709</v>
      </c>
      <c r="M8918">
        <v>85022090</v>
      </c>
      <c r="O8918" t="s">
        <v>20138</v>
      </c>
      <c r="P8918" t="s">
        <v>19903</v>
      </c>
      <c r="Q8918" t="s">
        <v>19900</v>
      </c>
      <c r="R8918" t="s">
        <v>19447</v>
      </c>
      <c r="S8918" t="s">
        <v>19447</v>
      </c>
      <c r="T8918" t="s">
        <v>19911</v>
      </c>
    </row>
    <row r="8919" spans="2:20" x14ac:dyDescent="0.25">
      <c r="B8919" t="s">
        <v>2709</v>
      </c>
      <c r="C8919">
        <v>85023100</v>
      </c>
      <c r="E8919">
        <v>147.97</v>
      </c>
      <c r="F8919">
        <v>12</v>
      </c>
      <c r="G8919">
        <v>0</v>
      </c>
      <c r="H8919" t="s">
        <v>19447</v>
      </c>
      <c r="I8919" t="s">
        <v>19447</v>
      </c>
      <c r="J8919">
        <v>14</v>
      </c>
      <c r="L8919" t="s">
        <v>2709</v>
      </c>
      <c r="M8919">
        <v>85023100</v>
      </c>
      <c r="O8919" t="s">
        <v>20138</v>
      </c>
      <c r="P8919" t="s">
        <v>19903</v>
      </c>
      <c r="Q8919" t="s">
        <v>19900</v>
      </c>
      <c r="R8919" t="s">
        <v>19447</v>
      </c>
      <c r="S8919" t="s">
        <v>19447</v>
      </c>
      <c r="T8919" t="s">
        <v>19911</v>
      </c>
    </row>
    <row r="8920" spans="2:20" x14ac:dyDescent="0.25">
      <c r="B8920" t="s">
        <v>2709</v>
      </c>
      <c r="C8920">
        <v>85023900</v>
      </c>
      <c r="E8920">
        <v>147.97</v>
      </c>
      <c r="F8920">
        <v>12</v>
      </c>
      <c r="G8920">
        <v>0</v>
      </c>
      <c r="H8920" t="s">
        <v>19447</v>
      </c>
      <c r="I8920" t="s">
        <v>19447</v>
      </c>
      <c r="J8920">
        <v>14</v>
      </c>
      <c r="L8920" t="s">
        <v>2709</v>
      </c>
      <c r="M8920">
        <v>85023900</v>
      </c>
      <c r="O8920" t="s">
        <v>20138</v>
      </c>
      <c r="P8920" t="s">
        <v>19903</v>
      </c>
      <c r="Q8920" t="s">
        <v>19900</v>
      </c>
      <c r="R8920" t="s">
        <v>19447</v>
      </c>
      <c r="S8920" t="s">
        <v>19447</v>
      </c>
      <c r="T8920" t="s">
        <v>19911</v>
      </c>
    </row>
    <row r="8921" spans="2:20" x14ac:dyDescent="0.25">
      <c r="B8921" t="s">
        <v>2709</v>
      </c>
      <c r="C8921">
        <v>85024010</v>
      </c>
      <c r="E8921">
        <v>147.97</v>
      </c>
      <c r="F8921">
        <v>12</v>
      </c>
      <c r="G8921">
        <v>0</v>
      </c>
      <c r="H8921" t="s">
        <v>19447</v>
      </c>
      <c r="I8921" t="s">
        <v>19447</v>
      </c>
      <c r="J8921">
        <v>14</v>
      </c>
      <c r="L8921" t="s">
        <v>2709</v>
      </c>
      <c r="M8921">
        <v>85024010</v>
      </c>
      <c r="O8921" t="s">
        <v>20138</v>
      </c>
      <c r="P8921" t="s">
        <v>19903</v>
      </c>
      <c r="Q8921" t="s">
        <v>19900</v>
      </c>
      <c r="R8921" t="s">
        <v>19447</v>
      </c>
      <c r="S8921" t="s">
        <v>19447</v>
      </c>
      <c r="T8921" t="s">
        <v>19911</v>
      </c>
    </row>
    <row r="8922" spans="2:20" x14ac:dyDescent="0.25">
      <c r="B8922" t="s">
        <v>2709</v>
      </c>
      <c r="C8922">
        <v>85024090</v>
      </c>
      <c r="E8922">
        <v>147.97</v>
      </c>
      <c r="F8922">
        <v>12</v>
      </c>
      <c r="G8922">
        <v>0</v>
      </c>
      <c r="H8922" t="s">
        <v>19447</v>
      </c>
      <c r="I8922" t="s">
        <v>19447</v>
      </c>
      <c r="J8922">
        <v>14</v>
      </c>
      <c r="L8922" t="s">
        <v>2709</v>
      </c>
      <c r="M8922">
        <v>85024090</v>
      </c>
      <c r="O8922" t="s">
        <v>20138</v>
      </c>
      <c r="P8922" t="s">
        <v>19903</v>
      </c>
      <c r="Q8922" t="s">
        <v>19900</v>
      </c>
      <c r="R8922" t="s">
        <v>19447</v>
      </c>
      <c r="S8922" t="s">
        <v>19447</v>
      </c>
      <c r="T8922" t="s">
        <v>19911</v>
      </c>
    </row>
    <row r="8923" spans="2:20" x14ac:dyDescent="0.25">
      <c r="B8923" t="s">
        <v>2709</v>
      </c>
      <c r="C8923">
        <v>85030010</v>
      </c>
      <c r="E8923">
        <v>147.97</v>
      </c>
      <c r="F8923">
        <v>25</v>
      </c>
      <c r="G8923">
        <v>10</v>
      </c>
      <c r="H8923" t="s">
        <v>19447</v>
      </c>
      <c r="I8923" t="s">
        <v>19447</v>
      </c>
      <c r="J8923">
        <v>14</v>
      </c>
      <c r="L8923" t="s">
        <v>2709</v>
      </c>
      <c r="M8923">
        <v>85030010</v>
      </c>
      <c r="O8923" t="s">
        <v>20138</v>
      </c>
      <c r="P8923" t="s">
        <v>19982</v>
      </c>
      <c r="Q8923" t="s">
        <v>19904</v>
      </c>
      <c r="R8923" t="s">
        <v>19447</v>
      </c>
      <c r="S8923" t="s">
        <v>19447</v>
      </c>
      <c r="T8923" t="s">
        <v>19911</v>
      </c>
    </row>
    <row r="8924" spans="2:20" x14ac:dyDescent="0.25">
      <c r="B8924" t="s">
        <v>2709</v>
      </c>
      <c r="C8924">
        <v>85030090</v>
      </c>
      <c r="E8924">
        <v>147.97</v>
      </c>
      <c r="F8924">
        <v>0</v>
      </c>
      <c r="G8924">
        <v>10</v>
      </c>
      <c r="H8924" t="s">
        <v>19447</v>
      </c>
      <c r="I8924" t="s">
        <v>19447</v>
      </c>
      <c r="J8924">
        <v>14</v>
      </c>
      <c r="L8924" t="s">
        <v>2709</v>
      </c>
      <c r="M8924">
        <v>85030090</v>
      </c>
      <c r="O8924" t="s">
        <v>20138</v>
      </c>
      <c r="P8924" t="s">
        <v>19900</v>
      </c>
      <c r="Q8924" t="s">
        <v>19904</v>
      </c>
      <c r="R8924" t="s">
        <v>19447</v>
      </c>
      <c r="S8924" t="s">
        <v>19447</v>
      </c>
      <c r="T8924" t="s">
        <v>19911</v>
      </c>
    </row>
    <row r="8925" spans="2:20" x14ac:dyDescent="0.25">
      <c r="B8925" t="s">
        <v>2709</v>
      </c>
      <c r="C8925">
        <v>85030090</v>
      </c>
      <c r="D8925">
        <v>1</v>
      </c>
      <c r="E8925" t="s">
        <v>19447</v>
      </c>
      <c r="F8925">
        <v>18</v>
      </c>
      <c r="G8925">
        <v>0</v>
      </c>
      <c r="H8925">
        <v>7.6</v>
      </c>
      <c r="I8925">
        <v>1.65</v>
      </c>
      <c r="J8925">
        <v>14</v>
      </c>
      <c r="L8925" t="s">
        <v>2709</v>
      </c>
      <c r="M8925">
        <v>85030090</v>
      </c>
      <c r="N8925">
        <v>1</v>
      </c>
      <c r="O8925" t="s">
        <v>19447</v>
      </c>
      <c r="P8925" t="s">
        <v>19899</v>
      </c>
      <c r="Q8925" t="s">
        <v>19900</v>
      </c>
      <c r="R8925" t="s">
        <v>19905</v>
      </c>
      <c r="S8925" t="s">
        <v>19906</v>
      </c>
      <c r="T8925" t="s">
        <v>19911</v>
      </c>
    </row>
    <row r="8926" spans="2:20" x14ac:dyDescent="0.25">
      <c r="B8926" t="s">
        <v>2709</v>
      </c>
      <c r="C8926">
        <v>85041000</v>
      </c>
      <c r="E8926">
        <v>53.13</v>
      </c>
      <c r="F8926">
        <v>12</v>
      </c>
      <c r="G8926">
        <v>5</v>
      </c>
      <c r="H8926" t="s">
        <v>19447</v>
      </c>
      <c r="I8926" t="s">
        <v>19447</v>
      </c>
      <c r="J8926">
        <v>18</v>
      </c>
      <c r="L8926" t="s">
        <v>2709</v>
      </c>
      <c r="M8926">
        <v>85041000</v>
      </c>
      <c r="O8926" t="s">
        <v>20191</v>
      </c>
      <c r="P8926" t="s">
        <v>19903</v>
      </c>
      <c r="Q8926" t="s">
        <v>19909</v>
      </c>
      <c r="R8926" t="s">
        <v>19447</v>
      </c>
      <c r="S8926" t="s">
        <v>19447</v>
      </c>
      <c r="T8926" t="s">
        <v>19899</v>
      </c>
    </row>
    <row r="8927" spans="2:20" x14ac:dyDescent="0.25">
      <c r="B8927" t="s">
        <v>2709</v>
      </c>
      <c r="C8927">
        <v>85042100</v>
      </c>
      <c r="E8927">
        <v>52</v>
      </c>
      <c r="F8927">
        <v>12</v>
      </c>
      <c r="G8927">
        <v>0</v>
      </c>
      <c r="H8927" t="s">
        <v>19447</v>
      </c>
      <c r="I8927" t="s">
        <v>19447</v>
      </c>
      <c r="J8927">
        <v>14</v>
      </c>
      <c r="L8927" t="s">
        <v>2709</v>
      </c>
      <c r="M8927">
        <v>85042100</v>
      </c>
      <c r="O8927" t="s">
        <v>20066</v>
      </c>
      <c r="P8927" t="s">
        <v>19903</v>
      </c>
      <c r="Q8927" t="s">
        <v>19900</v>
      </c>
      <c r="R8927" t="s">
        <v>19447</v>
      </c>
      <c r="S8927" t="s">
        <v>19447</v>
      </c>
      <c r="T8927" t="s">
        <v>19911</v>
      </c>
    </row>
    <row r="8928" spans="2:20" x14ac:dyDescent="0.25">
      <c r="B8928" t="s">
        <v>2709</v>
      </c>
      <c r="C8928">
        <v>85042200</v>
      </c>
      <c r="E8928">
        <v>52</v>
      </c>
      <c r="F8928">
        <v>12</v>
      </c>
      <c r="G8928">
        <v>0</v>
      </c>
      <c r="H8928" t="s">
        <v>19447</v>
      </c>
      <c r="I8928" t="s">
        <v>19447</v>
      </c>
      <c r="J8928">
        <v>14</v>
      </c>
      <c r="L8928" t="s">
        <v>2709</v>
      </c>
      <c r="M8928">
        <v>85042200</v>
      </c>
      <c r="O8928" t="s">
        <v>20066</v>
      </c>
      <c r="P8928" t="s">
        <v>19903</v>
      </c>
      <c r="Q8928" t="s">
        <v>19900</v>
      </c>
      <c r="R8928" t="s">
        <v>19447</v>
      </c>
      <c r="S8928" t="s">
        <v>19447</v>
      </c>
      <c r="T8928" t="s">
        <v>19911</v>
      </c>
    </row>
    <row r="8929" spans="2:20" x14ac:dyDescent="0.25">
      <c r="B8929" t="s">
        <v>2709</v>
      </c>
      <c r="C8929">
        <v>85042300</v>
      </c>
      <c r="E8929">
        <v>52</v>
      </c>
      <c r="F8929">
        <v>12</v>
      </c>
      <c r="G8929">
        <v>0</v>
      </c>
      <c r="H8929" t="s">
        <v>19447</v>
      </c>
      <c r="I8929" t="s">
        <v>19447</v>
      </c>
      <c r="J8929">
        <v>14</v>
      </c>
      <c r="L8929" t="s">
        <v>2709</v>
      </c>
      <c r="M8929">
        <v>85042300</v>
      </c>
      <c r="O8929" t="s">
        <v>20066</v>
      </c>
      <c r="P8929" t="s">
        <v>19903</v>
      </c>
      <c r="Q8929" t="s">
        <v>19900</v>
      </c>
      <c r="R8929" t="s">
        <v>19447</v>
      </c>
      <c r="S8929" t="s">
        <v>19447</v>
      </c>
      <c r="T8929" t="s">
        <v>19911</v>
      </c>
    </row>
    <row r="8930" spans="2:20" x14ac:dyDescent="0.25">
      <c r="B8930" t="s">
        <v>2709</v>
      </c>
      <c r="C8930">
        <v>85043111</v>
      </c>
      <c r="E8930">
        <v>52</v>
      </c>
      <c r="F8930">
        <v>25</v>
      </c>
      <c r="G8930">
        <v>10</v>
      </c>
      <c r="H8930" t="s">
        <v>19447</v>
      </c>
      <c r="I8930" t="s">
        <v>19447</v>
      </c>
      <c r="J8930">
        <v>18</v>
      </c>
      <c r="L8930" t="s">
        <v>2709</v>
      </c>
      <c r="M8930">
        <v>85043111</v>
      </c>
      <c r="O8930" t="s">
        <v>20066</v>
      </c>
      <c r="P8930" t="s">
        <v>19982</v>
      </c>
      <c r="Q8930" t="s">
        <v>19904</v>
      </c>
      <c r="R8930" t="s">
        <v>19447</v>
      </c>
      <c r="S8930" t="s">
        <v>19447</v>
      </c>
      <c r="T8930" t="s">
        <v>19899</v>
      </c>
    </row>
    <row r="8931" spans="2:20" x14ac:dyDescent="0.25">
      <c r="B8931" t="s">
        <v>2709</v>
      </c>
      <c r="C8931">
        <v>85043119</v>
      </c>
      <c r="E8931">
        <v>52</v>
      </c>
      <c r="F8931">
        <v>12</v>
      </c>
      <c r="G8931">
        <v>10</v>
      </c>
      <c r="H8931" t="s">
        <v>19447</v>
      </c>
      <c r="I8931" t="s">
        <v>19447</v>
      </c>
      <c r="J8931">
        <v>18</v>
      </c>
      <c r="L8931" t="s">
        <v>2709</v>
      </c>
      <c r="M8931">
        <v>85043119</v>
      </c>
      <c r="O8931" t="s">
        <v>20066</v>
      </c>
      <c r="P8931" t="s">
        <v>19903</v>
      </c>
      <c r="Q8931" t="s">
        <v>19904</v>
      </c>
      <c r="R8931" t="s">
        <v>19447</v>
      </c>
      <c r="S8931" t="s">
        <v>19447</v>
      </c>
      <c r="T8931" t="s">
        <v>19899</v>
      </c>
    </row>
    <row r="8932" spans="2:20" x14ac:dyDescent="0.25">
      <c r="B8932" t="s">
        <v>2709</v>
      </c>
      <c r="C8932">
        <v>85043191</v>
      </c>
      <c r="E8932">
        <v>52</v>
      </c>
      <c r="F8932">
        <v>25</v>
      </c>
      <c r="G8932">
        <v>5</v>
      </c>
      <c r="H8932" t="s">
        <v>19447</v>
      </c>
      <c r="I8932" t="s">
        <v>19447</v>
      </c>
      <c r="J8932">
        <v>0</v>
      </c>
      <c r="L8932" t="s">
        <v>2709</v>
      </c>
      <c r="M8932">
        <v>85043191</v>
      </c>
      <c r="O8932" t="s">
        <v>20066</v>
      </c>
      <c r="P8932" t="s">
        <v>19982</v>
      </c>
      <c r="Q8932" t="s">
        <v>19909</v>
      </c>
      <c r="R8932" t="s">
        <v>19447</v>
      </c>
      <c r="S8932" t="s">
        <v>19447</v>
      </c>
      <c r="T8932" t="s">
        <v>19900</v>
      </c>
    </row>
    <row r="8933" spans="2:20" x14ac:dyDescent="0.25">
      <c r="B8933" t="s">
        <v>2709</v>
      </c>
      <c r="C8933">
        <v>85043192</v>
      </c>
      <c r="E8933">
        <v>52</v>
      </c>
      <c r="F8933">
        <v>25</v>
      </c>
      <c r="G8933">
        <v>20</v>
      </c>
      <c r="H8933" t="s">
        <v>19447</v>
      </c>
      <c r="I8933" t="s">
        <v>19447</v>
      </c>
      <c r="J8933">
        <v>18</v>
      </c>
      <c r="L8933" t="s">
        <v>2709</v>
      </c>
      <c r="M8933">
        <v>85043192</v>
      </c>
      <c r="O8933" t="s">
        <v>20066</v>
      </c>
      <c r="P8933" t="s">
        <v>19982</v>
      </c>
      <c r="Q8933" t="s">
        <v>19934</v>
      </c>
      <c r="R8933" t="s">
        <v>19447</v>
      </c>
      <c r="S8933" t="s">
        <v>19447</v>
      </c>
      <c r="T8933" t="s">
        <v>19899</v>
      </c>
    </row>
    <row r="8934" spans="2:20" x14ac:dyDescent="0.25">
      <c r="B8934" t="s">
        <v>2709</v>
      </c>
      <c r="C8934">
        <v>85043199</v>
      </c>
      <c r="E8934">
        <v>52</v>
      </c>
      <c r="F8934">
        <v>12</v>
      </c>
      <c r="G8934">
        <v>10</v>
      </c>
      <c r="H8934" t="s">
        <v>19447</v>
      </c>
      <c r="I8934" t="s">
        <v>19447</v>
      </c>
      <c r="J8934">
        <v>18</v>
      </c>
      <c r="L8934" t="s">
        <v>2709</v>
      </c>
      <c r="M8934">
        <v>85043199</v>
      </c>
      <c r="O8934" t="s">
        <v>20066</v>
      </c>
      <c r="P8934" t="s">
        <v>19903</v>
      </c>
      <c r="Q8934" t="s">
        <v>19904</v>
      </c>
      <c r="R8934" t="s">
        <v>19447</v>
      </c>
      <c r="S8934" t="s">
        <v>19447</v>
      </c>
      <c r="T8934" t="s">
        <v>19899</v>
      </c>
    </row>
    <row r="8935" spans="2:20" x14ac:dyDescent="0.25">
      <c r="B8935" t="s">
        <v>2709</v>
      </c>
      <c r="C8935">
        <v>85043199</v>
      </c>
      <c r="D8935">
        <v>1</v>
      </c>
      <c r="E8935" t="s">
        <v>19447</v>
      </c>
      <c r="F8935">
        <v>18</v>
      </c>
      <c r="G8935">
        <v>20</v>
      </c>
      <c r="H8935">
        <v>7.6</v>
      </c>
      <c r="I8935">
        <v>1.65</v>
      </c>
      <c r="J8935">
        <v>18</v>
      </c>
      <c r="L8935" t="s">
        <v>2709</v>
      </c>
      <c r="M8935">
        <v>85043199</v>
      </c>
      <c r="N8935">
        <v>1</v>
      </c>
      <c r="O8935" t="s">
        <v>19447</v>
      </c>
      <c r="P8935" t="s">
        <v>19899</v>
      </c>
      <c r="Q8935" t="s">
        <v>19934</v>
      </c>
      <c r="R8935" t="s">
        <v>19905</v>
      </c>
      <c r="S8935" t="s">
        <v>19906</v>
      </c>
      <c r="T8935" t="s">
        <v>19899</v>
      </c>
    </row>
    <row r="8936" spans="2:20" x14ac:dyDescent="0.25">
      <c r="B8936" t="s">
        <v>2709</v>
      </c>
      <c r="C8936">
        <v>85043211</v>
      </c>
      <c r="E8936">
        <v>52</v>
      </c>
      <c r="F8936">
        <v>12</v>
      </c>
      <c r="G8936">
        <v>0</v>
      </c>
      <c r="H8936" t="s">
        <v>19447</v>
      </c>
      <c r="I8936" t="s">
        <v>19447</v>
      </c>
      <c r="J8936">
        <v>18</v>
      </c>
      <c r="L8936" t="s">
        <v>2709</v>
      </c>
      <c r="M8936">
        <v>85043211</v>
      </c>
      <c r="O8936" t="s">
        <v>20066</v>
      </c>
      <c r="P8936" t="s">
        <v>19903</v>
      </c>
      <c r="Q8936" t="s">
        <v>19900</v>
      </c>
      <c r="R8936" t="s">
        <v>19447</v>
      </c>
      <c r="S8936" t="s">
        <v>19447</v>
      </c>
      <c r="T8936" t="s">
        <v>19899</v>
      </c>
    </row>
    <row r="8937" spans="2:20" x14ac:dyDescent="0.25">
      <c r="B8937" t="s">
        <v>2709</v>
      </c>
      <c r="C8937">
        <v>85043219</v>
      </c>
      <c r="E8937">
        <v>52</v>
      </c>
      <c r="F8937">
        <v>12</v>
      </c>
      <c r="G8937">
        <v>0</v>
      </c>
      <c r="H8937" t="s">
        <v>19447</v>
      </c>
      <c r="I8937" t="s">
        <v>19447</v>
      </c>
      <c r="J8937">
        <v>18</v>
      </c>
      <c r="L8937" t="s">
        <v>2709</v>
      </c>
      <c r="M8937">
        <v>85043219</v>
      </c>
      <c r="O8937" t="s">
        <v>20066</v>
      </c>
      <c r="P8937" t="s">
        <v>19903</v>
      </c>
      <c r="Q8937" t="s">
        <v>19900</v>
      </c>
      <c r="R8937" t="s">
        <v>19447</v>
      </c>
      <c r="S8937" t="s">
        <v>19447</v>
      </c>
      <c r="T8937" t="s">
        <v>19899</v>
      </c>
    </row>
    <row r="8938" spans="2:20" x14ac:dyDescent="0.25">
      <c r="B8938" t="s">
        <v>2709</v>
      </c>
      <c r="C8938">
        <v>85043221</v>
      </c>
      <c r="E8938">
        <v>52</v>
      </c>
      <c r="F8938">
        <v>12</v>
      </c>
      <c r="G8938">
        <v>0</v>
      </c>
      <c r="H8938" t="s">
        <v>19447</v>
      </c>
      <c r="I8938" t="s">
        <v>19447</v>
      </c>
      <c r="J8938">
        <v>18</v>
      </c>
      <c r="L8938" t="s">
        <v>2709</v>
      </c>
      <c r="M8938">
        <v>85043221</v>
      </c>
      <c r="O8938" t="s">
        <v>20066</v>
      </c>
      <c r="P8938" t="s">
        <v>19903</v>
      </c>
      <c r="Q8938" t="s">
        <v>19900</v>
      </c>
      <c r="R8938" t="s">
        <v>19447</v>
      </c>
      <c r="S8938" t="s">
        <v>19447</v>
      </c>
      <c r="T8938" t="s">
        <v>19899</v>
      </c>
    </row>
    <row r="8939" spans="2:20" x14ac:dyDescent="0.25">
      <c r="B8939" t="s">
        <v>2709</v>
      </c>
      <c r="C8939">
        <v>85043229</v>
      </c>
      <c r="E8939">
        <v>52</v>
      </c>
      <c r="F8939">
        <v>12</v>
      </c>
      <c r="G8939">
        <v>0</v>
      </c>
      <c r="H8939" t="s">
        <v>19447</v>
      </c>
      <c r="I8939" t="s">
        <v>19447</v>
      </c>
      <c r="J8939">
        <v>18</v>
      </c>
      <c r="L8939" t="s">
        <v>2709</v>
      </c>
      <c r="M8939">
        <v>85043229</v>
      </c>
      <c r="O8939" t="s">
        <v>20066</v>
      </c>
      <c r="P8939" t="s">
        <v>19903</v>
      </c>
      <c r="Q8939" t="s">
        <v>19900</v>
      </c>
      <c r="R8939" t="s">
        <v>19447</v>
      </c>
      <c r="S8939" t="s">
        <v>19447</v>
      </c>
      <c r="T8939" t="s">
        <v>19899</v>
      </c>
    </row>
    <row r="8940" spans="2:20" x14ac:dyDescent="0.25">
      <c r="B8940" t="s">
        <v>2709</v>
      </c>
      <c r="C8940">
        <v>85043300</v>
      </c>
      <c r="E8940">
        <v>52</v>
      </c>
      <c r="F8940">
        <v>12</v>
      </c>
      <c r="G8940">
        <v>0</v>
      </c>
      <c r="H8940" t="s">
        <v>19447</v>
      </c>
      <c r="I8940" t="s">
        <v>19447</v>
      </c>
      <c r="J8940">
        <v>14</v>
      </c>
      <c r="L8940" t="s">
        <v>2709</v>
      </c>
      <c r="M8940">
        <v>85043300</v>
      </c>
      <c r="O8940" t="s">
        <v>20066</v>
      </c>
      <c r="P8940" t="s">
        <v>19903</v>
      </c>
      <c r="Q8940" t="s">
        <v>19900</v>
      </c>
      <c r="R8940" t="s">
        <v>19447</v>
      </c>
      <c r="S8940" t="s">
        <v>19447</v>
      </c>
      <c r="T8940" t="s">
        <v>19911</v>
      </c>
    </row>
    <row r="8941" spans="2:20" x14ac:dyDescent="0.25">
      <c r="B8941" t="s">
        <v>2709</v>
      </c>
      <c r="C8941">
        <v>85043400</v>
      </c>
      <c r="E8941">
        <v>52</v>
      </c>
      <c r="F8941">
        <v>12</v>
      </c>
      <c r="G8941">
        <v>0</v>
      </c>
      <c r="H8941" t="s">
        <v>19447</v>
      </c>
      <c r="I8941" t="s">
        <v>19447</v>
      </c>
      <c r="J8941">
        <v>14</v>
      </c>
      <c r="L8941" t="s">
        <v>2709</v>
      </c>
      <c r="M8941">
        <v>85043400</v>
      </c>
      <c r="O8941" t="s">
        <v>20066</v>
      </c>
      <c r="P8941" t="s">
        <v>19903</v>
      </c>
      <c r="Q8941" t="s">
        <v>19900</v>
      </c>
      <c r="R8941" t="s">
        <v>19447</v>
      </c>
      <c r="S8941" t="s">
        <v>19447</v>
      </c>
      <c r="T8941" t="s">
        <v>19911</v>
      </c>
    </row>
    <row r="8942" spans="2:20" x14ac:dyDescent="0.25">
      <c r="B8942" t="s">
        <v>2709</v>
      </c>
      <c r="C8942">
        <v>85044010</v>
      </c>
      <c r="E8942">
        <v>52</v>
      </c>
      <c r="F8942">
        <v>8.8000000000000007</v>
      </c>
      <c r="G8942">
        <v>5</v>
      </c>
      <c r="H8942" t="s">
        <v>19447</v>
      </c>
      <c r="I8942" t="s">
        <v>19447</v>
      </c>
      <c r="J8942">
        <v>18</v>
      </c>
      <c r="L8942" t="s">
        <v>2709</v>
      </c>
      <c r="M8942">
        <v>85044010</v>
      </c>
      <c r="O8942" t="s">
        <v>20066</v>
      </c>
      <c r="P8942" t="s">
        <v>20127</v>
      </c>
      <c r="Q8942" t="s">
        <v>19909</v>
      </c>
      <c r="R8942" t="s">
        <v>19447</v>
      </c>
      <c r="S8942" t="s">
        <v>19447</v>
      </c>
      <c r="T8942" t="s">
        <v>19899</v>
      </c>
    </row>
    <row r="8943" spans="2:20" x14ac:dyDescent="0.25">
      <c r="B8943" t="s">
        <v>2709</v>
      </c>
      <c r="C8943">
        <v>85044021</v>
      </c>
      <c r="E8943">
        <v>52</v>
      </c>
      <c r="F8943">
        <v>12</v>
      </c>
      <c r="G8943">
        <v>5</v>
      </c>
      <c r="H8943" t="s">
        <v>19447</v>
      </c>
      <c r="I8943" t="s">
        <v>19447</v>
      </c>
      <c r="J8943">
        <v>18</v>
      </c>
      <c r="L8943" t="s">
        <v>2709</v>
      </c>
      <c r="M8943">
        <v>85044021</v>
      </c>
      <c r="O8943" t="s">
        <v>20066</v>
      </c>
      <c r="P8943" t="s">
        <v>19903</v>
      </c>
      <c r="Q8943" t="s">
        <v>19909</v>
      </c>
      <c r="R8943" t="s">
        <v>19447</v>
      </c>
      <c r="S8943" t="s">
        <v>19447</v>
      </c>
      <c r="T8943" t="s">
        <v>19899</v>
      </c>
    </row>
    <row r="8944" spans="2:20" x14ac:dyDescent="0.25">
      <c r="B8944" t="s">
        <v>2709</v>
      </c>
      <c r="C8944">
        <v>85044022</v>
      </c>
      <c r="E8944">
        <v>52</v>
      </c>
      <c r="F8944">
        <v>12</v>
      </c>
      <c r="G8944">
        <v>5</v>
      </c>
      <c r="H8944" t="s">
        <v>19447</v>
      </c>
      <c r="I8944" t="s">
        <v>19447</v>
      </c>
      <c r="J8944">
        <v>18</v>
      </c>
      <c r="L8944" t="s">
        <v>2709</v>
      </c>
      <c r="M8944">
        <v>85044022</v>
      </c>
      <c r="O8944" t="s">
        <v>20066</v>
      </c>
      <c r="P8944" t="s">
        <v>19903</v>
      </c>
      <c r="Q8944" t="s">
        <v>19909</v>
      </c>
      <c r="R8944" t="s">
        <v>19447</v>
      </c>
      <c r="S8944" t="s">
        <v>19447</v>
      </c>
      <c r="T8944" t="s">
        <v>19899</v>
      </c>
    </row>
    <row r="8945" spans="2:20" x14ac:dyDescent="0.25">
      <c r="B8945" t="s">
        <v>2709</v>
      </c>
      <c r="C8945">
        <v>85044029</v>
      </c>
      <c r="E8945">
        <v>52</v>
      </c>
      <c r="F8945">
        <v>12</v>
      </c>
      <c r="G8945">
        <v>5</v>
      </c>
      <c r="H8945" t="s">
        <v>19447</v>
      </c>
      <c r="I8945" t="s">
        <v>19447</v>
      </c>
      <c r="J8945">
        <v>18</v>
      </c>
      <c r="L8945" t="s">
        <v>2709</v>
      </c>
      <c r="M8945">
        <v>85044029</v>
      </c>
      <c r="O8945" t="s">
        <v>20066</v>
      </c>
      <c r="P8945" t="s">
        <v>19903</v>
      </c>
      <c r="Q8945" t="s">
        <v>19909</v>
      </c>
      <c r="R8945" t="s">
        <v>19447</v>
      </c>
      <c r="S8945" t="s">
        <v>19447</v>
      </c>
      <c r="T8945" t="s">
        <v>19899</v>
      </c>
    </row>
    <row r="8946" spans="2:20" x14ac:dyDescent="0.25">
      <c r="B8946" t="s">
        <v>2709</v>
      </c>
      <c r="C8946">
        <v>85044030</v>
      </c>
      <c r="E8946">
        <v>52</v>
      </c>
      <c r="F8946">
        <v>12</v>
      </c>
      <c r="G8946">
        <v>15</v>
      </c>
      <c r="H8946" t="s">
        <v>19447</v>
      </c>
      <c r="I8946" t="s">
        <v>19447</v>
      </c>
      <c r="J8946">
        <v>14</v>
      </c>
      <c r="L8946" t="s">
        <v>2709</v>
      </c>
      <c r="M8946">
        <v>85044030</v>
      </c>
      <c r="O8946" t="s">
        <v>20066</v>
      </c>
      <c r="P8946" t="s">
        <v>19903</v>
      </c>
      <c r="Q8946" t="s">
        <v>19983</v>
      </c>
      <c r="R8946" t="s">
        <v>19447</v>
      </c>
      <c r="S8946" t="s">
        <v>19447</v>
      </c>
      <c r="T8946" t="s">
        <v>19911</v>
      </c>
    </row>
    <row r="8947" spans="2:20" x14ac:dyDescent="0.25">
      <c r="B8947" t="s">
        <v>2709</v>
      </c>
      <c r="C8947">
        <v>85044040</v>
      </c>
      <c r="E8947">
        <v>52</v>
      </c>
      <c r="F8947">
        <v>25</v>
      </c>
      <c r="G8947">
        <v>15</v>
      </c>
      <c r="H8947" t="s">
        <v>19447</v>
      </c>
      <c r="I8947" t="s">
        <v>19447</v>
      </c>
      <c r="J8947">
        <v>20</v>
      </c>
      <c r="L8947" t="s">
        <v>2709</v>
      </c>
      <c r="M8947">
        <v>85044040</v>
      </c>
      <c r="O8947" t="s">
        <v>20066</v>
      </c>
      <c r="P8947" t="s">
        <v>19982</v>
      </c>
      <c r="Q8947" t="s">
        <v>19983</v>
      </c>
      <c r="R8947" t="s">
        <v>19447</v>
      </c>
      <c r="S8947" t="s">
        <v>19447</v>
      </c>
      <c r="T8947" t="s">
        <v>19934</v>
      </c>
    </row>
    <row r="8948" spans="2:20" x14ac:dyDescent="0.25">
      <c r="B8948" t="s">
        <v>2709</v>
      </c>
      <c r="C8948">
        <v>85044050</v>
      </c>
      <c r="E8948">
        <v>52</v>
      </c>
      <c r="F8948">
        <v>12</v>
      </c>
      <c r="G8948">
        <v>15</v>
      </c>
      <c r="H8948" t="s">
        <v>19447</v>
      </c>
      <c r="I8948" t="s">
        <v>19447</v>
      </c>
      <c r="J8948">
        <v>14</v>
      </c>
      <c r="L8948" t="s">
        <v>2709</v>
      </c>
      <c r="M8948">
        <v>85044050</v>
      </c>
      <c r="O8948" t="s">
        <v>20066</v>
      </c>
      <c r="P8948" t="s">
        <v>19903</v>
      </c>
      <c r="Q8948" t="s">
        <v>19983</v>
      </c>
      <c r="R8948" t="s">
        <v>19447</v>
      </c>
      <c r="S8948" t="s">
        <v>19447</v>
      </c>
      <c r="T8948" t="s">
        <v>19911</v>
      </c>
    </row>
    <row r="8949" spans="2:20" x14ac:dyDescent="0.25">
      <c r="B8949" t="s">
        <v>2709</v>
      </c>
      <c r="C8949">
        <v>85044060</v>
      </c>
      <c r="E8949">
        <v>52</v>
      </c>
      <c r="F8949">
        <v>25</v>
      </c>
      <c r="G8949">
        <v>15</v>
      </c>
      <c r="H8949" t="s">
        <v>19447</v>
      </c>
      <c r="I8949" t="s">
        <v>19447</v>
      </c>
      <c r="J8949">
        <v>18</v>
      </c>
      <c r="L8949" t="s">
        <v>2709</v>
      </c>
      <c r="M8949">
        <v>85044060</v>
      </c>
      <c r="O8949" t="s">
        <v>20066</v>
      </c>
      <c r="P8949" t="s">
        <v>19982</v>
      </c>
      <c r="Q8949" t="s">
        <v>19983</v>
      </c>
      <c r="R8949" t="s">
        <v>19447</v>
      </c>
      <c r="S8949" t="s">
        <v>19447</v>
      </c>
      <c r="T8949" t="s">
        <v>19899</v>
      </c>
    </row>
    <row r="8950" spans="2:20" x14ac:dyDescent="0.25">
      <c r="B8950" t="s">
        <v>2709</v>
      </c>
      <c r="C8950">
        <v>85044090</v>
      </c>
      <c r="E8950">
        <v>52</v>
      </c>
      <c r="F8950">
        <v>12</v>
      </c>
      <c r="G8950">
        <v>15</v>
      </c>
      <c r="H8950" t="s">
        <v>19447</v>
      </c>
      <c r="I8950" t="s">
        <v>19447</v>
      </c>
      <c r="J8950">
        <v>14</v>
      </c>
      <c r="L8950" t="s">
        <v>2709</v>
      </c>
      <c r="M8950">
        <v>85044090</v>
      </c>
      <c r="O8950" t="s">
        <v>20066</v>
      </c>
      <c r="P8950" t="s">
        <v>19903</v>
      </c>
      <c r="Q8950" t="s">
        <v>19983</v>
      </c>
      <c r="R8950" t="s">
        <v>19447</v>
      </c>
      <c r="S8950" t="s">
        <v>19447</v>
      </c>
      <c r="T8950" t="s">
        <v>19911</v>
      </c>
    </row>
    <row r="8951" spans="2:20" x14ac:dyDescent="0.25">
      <c r="B8951" t="s">
        <v>2709</v>
      </c>
      <c r="C8951">
        <v>85045000</v>
      </c>
      <c r="E8951">
        <v>71.78</v>
      </c>
      <c r="F8951">
        <v>25</v>
      </c>
      <c r="G8951">
        <v>0</v>
      </c>
      <c r="H8951" t="s">
        <v>19447</v>
      </c>
      <c r="I8951" t="s">
        <v>19447</v>
      </c>
      <c r="J8951">
        <v>18</v>
      </c>
      <c r="L8951" t="s">
        <v>2709</v>
      </c>
      <c r="M8951">
        <v>85045000</v>
      </c>
      <c r="O8951" t="s">
        <v>20056</v>
      </c>
      <c r="P8951" t="s">
        <v>19982</v>
      </c>
      <c r="Q8951" t="s">
        <v>19900</v>
      </c>
      <c r="R8951" t="s">
        <v>19447</v>
      </c>
      <c r="S8951" t="s">
        <v>19447</v>
      </c>
      <c r="T8951" t="s">
        <v>19899</v>
      </c>
    </row>
    <row r="8952" spans="2:20" x14ac:dyDescent="0.25">
      <c r="B8952" t="s">
        <v>2709</v>
      </c>
      <c r="C8952">
        <v>85049010</v>
      </c>
      <c r="E8952">
        <v>52</v>
      </c>
      <c r="F8952">
        <v>25</v>
      </c>
      <c r="G8952">
        <v>10</v>
      </c>
      <c r="H8952" t="s">
        <v>19447</v>
      </c>
      <c r="I8952" t="s">
        <v>19447</v>
      </c>
      <c r="J8952">
        <v>16</v>
      </c>
      <c r="L8952" t="s">
        <v>2709</v>
      </c>
      <c r="M8952">
        <v>85049010</v>
      </c>
      <c r="O8952" t="s">
        <v>20066</v>
      </c>
      <c r="P8952" t="s">
        <v>19982</v>
      </c>
      <c r="Q8952" t="s">
        <v>19904</v>
      </c>
      <c r="R8952" t="s">
        <v>19447</v>
      </c>
      <c r="S8952" t="s">
        <v>19447</v>
      </c>
      <c r="T8952" t="s">
        <v>19913</v>
      </c>
    </row>
    <row r="8953" spans="2:20" x14ac:dyDescent="0.25">
      <c r="B8953" t="s">
        <v>2709</v>
      </c>
      <c r="C8953">
        <v>85049020</v>
      </c>
      <c r="E8953">
        <v>52</v>
      </c>
      <c r="F8953">
        <v>25</v>
      </c>
      <c r="G8953">
        <v>10</v>
      </c>
      <c r="H8953" t="s">
        <v>19447</v>
      </c>
      <c r="I8953" t="s">
        <v>19447</v>
      </c>
      <c r="J8953">
        <v>16</v>
      </c>
      <c r="L8953" t="s">
        <v>2709</v>
      </c>
      <c r="M8953">
        <v>85049020</v>
      </c>
      <c r="O8953" t="s">
        <v>20066</v>
      </c>
      <c r="P8953" t="s">
        <v>19982</v>
      </c>
      <c r="Q8953" t="s">
        <v>19904</v>
      </c>
      <c r="R8953" t="s">
        <v>19447</v>
      </c>
      <c r="S8953" t="s">
        <v>19447</v>
      </c>
      <c r="T8953" t="s">
        <v>19913</v>
      </c>
    </row>
    <row r="8954" spans="2:20" x14ac:dyDescent="0.25">
      <c r="B8954" t="s">
        <v>2709</v>
      </c>
      <c r="C8954">
        <v>85049030</v>
      </c>
      <c r="E8954">
        <v>52</v>
      </c>
      <c r="F8954">
        <v>25</v>
      </c>
      <c r="G8954">
        <v>10</v>
      </c>
      <c r="H8954" t="s">
        <v>19447</v>
      </c>
      <c r="I8954" t="s">
        <v>19447</v>
      </c>
      <c r="J8954">
        <v>14</v>
      </c>
      <c r="L8954" t="s">
        <v>2709</v>
      </c>
      <c r="M8954">
        <v>85049030</v>
      </c>
      <c r="O8954" t="s">
        <v>20066</v>
      </c>
      <c r="P8954" t="s">
        <v>19982</v>
      </c>
      <c r="Q8954" t="s">
        <v>19904</v>
      </c>
      <c r="R8954" t="s">
        <v>19447</v>
      </c>
      <c r="S8954" t="s">
        <v>19447</v>
      </c>
      <c r="T8954" t="s">
        <v>19911</v>
      </c>
    </row>
    <row r="8955" spans="2:20" x14ac:dyDescent="0.25">
      <c r="B8955" t="s">
        <v>2709</v>
      </c>
      <c r="C8955">
        <v>85049040</v>
      </c>
      <c r="E8955">
        <v>52</v>
      </c>
      <c r="F8955">
        <v>25</v>
      </c>
      <c r="G8955">
        <v>10</v>
      </c>
      <c r="H8955" t="s">
        <v>19447</v>
      </c>
      <c r="I8955" t="s">
        <v>19447</v>
      </c>
      <c r="J8955">
        <v>14</v>
      </c>
      <c r="L8955" t="s">
        <v>2709</v>
      </c>
      <c r="M8955">
        <v>85049040</v>
      </c>
      <c r="O8955" t="s">
        <v>20066</v>
      </c>
      <c r="P8955" t="s">
        <v>19982</v>
      </c>
      <c r="Q8955" t="s">
        <v>19904</v>
      </c>
      <c r="R8955" t="s">
        <v>19447</v>
      </c>
      <c r="S8955" t="s">
        <v>19447</v>
      </c>
      <c r="T8955" t="s">
        <v>19911</v>
      </c>
    </row>
    <row r="8956" spans="2:20" x14ac:dyDescent="0.25">
      <c r="B8956" t="s">
        <v>2709</v>
      </c>
      <c r="C8956">
        <v>85049090</v>
      </c>
      <c r="E8956">
        <v>52</v>
      </c>
      <c r="F8956">
        <v>25</v>
      </c>
      <c r="G8956">
        <v>10</v>
      </c>
      <c r="H8956" t="s">
        <v>19447</v>
      </c>
      <c r="I8956" t="s">
        <v>19447</v>
      </c>
      <c r="J8956">
        <v>16</v>
      </c>
      <c r="L8956" t="s">
        <v>2709</v>
      </c>
      <c r="M8956">
        <v>85049090</v>
      </c>
      <c r="O8956" t="s">
        <v>20066</v>
      </c>
      <c r="P8956" t="s">
        <v>19982</v>
      </c>
      <c r="Q8956" t="s">
        <v>19904</v>
      </c>
      <c r="R8956" t="s">
        <v>19447</v>
      </c>
      <c r="S8956" t="s">
        <v>19447</v>
      </c>
      <c r="T8956" t="s">
        <v>19913</v>
      </c>
    </row>
    <row r="8957" spans="2:20" x14ac:dyDescent="0.25">
      <c r="B8957" t="s">
        <v>2709</v>
      </c>
      <c r="C8957">
        <v>85051100</v>
      </c>
      <c r="E8957">
        <v>147.97</v>
      </c>
      <c r="F8957">
        <v>25</v>
      </c>
      <c r="G8957">
        <v>15</v>
      </c>
      <c r="H8957" t="s">
        <v>19447</v>
      </c>
      <c r="I8957" t="s">
        <v>19447</v>
      </c>
      <c r="J8957">
        <v>16</v>
      </c>
      <c r="L8957" t="s">
        <v>2709</v>
      </c>
      <c r="M8957">
        <v>85051100</v>
      </c>
      <c r="O8957" t="s">
        <v>20138</v>
      </c>
      <c r="P8957" t="s">
        <v>19982</v>
      </c>
      <c r="Q8957" t="s">
        <v>19983</v>
      </c>
      <c r="R8957" t="s">
        <v>19447</v>
      </c>
      <c r="S8957" t="s">
        <v>19447</v>
      </c>
      <c r="T8957" t="s">
        <v>19913</v>
      </c>
    </row>
    <row r="8958" spans="2:20" x14ac:dyDescent="0.25">
      <c r="B8958" t="s">
        <v>2709</v>
      </c>
      <c r="C8958">
        <v>85051910</v>
      </c>
      <c r="E8958">
        <v>147.97</v>
      </c>
      <c r="F8958">
        <v>25</v>
      </c>
      <c r="G8958">
        <v>15</v>
      </c>
      <c r="H8958" t="s">
        <v>19447</v>
      </c>
      <c r="I8958" t="s">
        <v>19447</v>
      </c>
      <c r="J8958">
        <v>16</v>
      </c>
      <c r="L8958" t="s">
        <v>2709</v>
      </c>
      <c r="M8958">
        <v>85051910</v>
      </c>
      <c r="O8958" t="s">
        <v>20138</v>
      </c>
      <c r="P8958" t="s">
        <v>19982</v>
      </c>
      <c r="Q8958" t="s">
        <v>19983</v>
      </c>
      <c r="R8958" t="s">
        <v>19447</v>
      </c>
      <c r="S8958" t="s">
        <v>19447</v>
      </c>
      <c r="T8958" t="s">
        <v>19913</v>
      </c>
    </row>
    <row r="8959" spans="2:20" x14ac:dyDescent="0.25">
      <c r="B8959" t="s">
        <v>2709</v>
      </c>
      <c r="C8959">
        <v>85051990</v>
      </c>
      <c r="E8959">
        <v>147.97</v>
      </c>
      <c r="F8959">
        <v>25</v>
      </c>
      <c r="G8959">
        <v>15</v>
      </c>
      <c r="H8959" t="s">
        <v>19447</v>
      </c>
      <c r="I8959" t="s">
        <v>19447</v>
      </c>
      <c r="J8959">
        <v>16</v>
      </c>
      <c r="L8959" t="s">
        <v>2709</v>
      </c>
      <c r="M8959">
        <v>85051990</v>
      </c>
      <c r="O8959" t="s">
        <v>20138</v>
      </c>
      <c r="P8959" t="s">
        <v>19982</v>
      </c>
      <c r="Q8959" t="s">
        <v>19983</v>
      </c>
      <c r="R8959" t="s">
        <v>19447</v>
      </c>
      <c r="S8959" t="s">
        <v>19447</v>
      </c>
      <c r="T8959" t="s">
        <v>19913</v>
      </c>
    </row>
    <row r="8960" spans="2:20" x14ac:dyDescent="0.25">
      <c r="B8960" t="s">
        <v>2709</v>
      </c>
      <c r="C8960">
        <v>85052010</v>
      </c>
      <c r="E8960">
        <v>71.78</v>
      </c>
      <c r="F8960">
        <v>25</v>
      </c>
      <c r="G8960">
        <v>5</v>
      </c>
      <c r="H8960">
        <v>10.8</v>
      </c>
      <c r="I8960">
        <v>2.2999999999999998</v>
      </c>
      <c r="J8960">
        <v>0</v>
      </c>
      <c r="L8960" t="s">
        <v>2709</v>
      </c>
      <c r="M8960">
        <v>85052010</v>
      </c>
      <c r="O8960" t="s">
        <v>20056</v>
      </c>
      <c r="P8960" t="s">
        <v>19982</v>
      </c>
      <c r="Q8960" t="s">
        <v>19909</v>
      </c>
      <c r="R8960" t="s">
        <v>20074</v>
      </c>
      <c r="S8960" t="s">
        <v>20075</v>
      </c>
      <c r="T8960" t="s">
        <v>19900</v>
      </c>
    </row>
    <row r="8961" spans="2:20" x14ac:dyDescent="0.25">
      <c r="B8961" t="s">
        <v>2709</v>
      </c>
      <c r="C8961">
        <v>85052090</v>
      </c>
      <c r="E8961">
        <v>71.78</v>
      </c>
      <c r="F8961">
        <v>12</v>
      </c>
      <c r="G8961">
        <v>5</v>
      </c>
      <c r="H8961">
        <v>10.8</v>
      </c>
      <c r="I8961">
        <v>2.2999999999999998</v>
      </c>
      <c r="J8961">
        <v>14</v>
      </c>
      <c r="L8961" t="s">
        <v>2709</v>
      </c>
      <c r="M8961">
        <v>85052090</v>
      </c>
      <c r="O8961" t="s">
        <v>20056</v>
      </c>
      <c r="P8961" t="s">
        <v>19903</v>
      </c>
      <c r="Q8961" t="s">
        <v>19909</v>
      </c>
      <c r="R8961" t="s">
        <v>20074</v>
      </c>
      <c r="S8961" t="s">
        <v>20075</v>
      </c>
      <c r="T8961" t="s">
        <v>19911</v>
      </c>
    </row>
    <row r="8962" spans="2:20" x14ac:dyDescent="0.25">
      <c r="B8962" t="s">
        <v>2709</v>
      </c>
      <c r="C8962">
        <v>85052090</v>
      </c>
      <c r="D8962">
        <v>1</v>
      </c>
      <c r="E8962" t="s">
        <v>19447</v>
      </c>
      <c r="F8962">
        <v>18</v>
      </c>
      <c r="G8962">
        <v>4</v>
      </c>
      <c r="H8962">
        <v>7.6</v>
      </c>
      <c r="I8962">
        <v>1.65</v>
      </c>
      <c r="J8962">
        <v>14</v>
      </c>
      <c r="L8962" t="s">
        <v>2709</v>
      </c>
      <c r="M8962">
        <v>85052090</v>
      </c>
      <c r="N8962">
        <v>1</v>
      </c>
      <c r="O8962" t="s">
        <v>19447</v>
      </c>
      <c r="P8962" t="s">
        <v>19899</v>
      </c>
      <c r="Q8962" t="s">
        <v>19902</v>
      </c>
      <c r="R8962" t="s">
        <v>19905</v>
      </c>
      <c r="S8962" t="s">
        <v>19906</v>
      </c>
      <c r="T8962" t="s">
        <v>19911</v>
      </c>
    </row>
    <row r="8963" spans="2:20" x14ac:dyDescent="0.25">
      <c r="B8963" t="s">
        <v>2709</v>
      </c>
      <c r="C8963">
        <v>85059010</v>
      </c>
      <c r="E8963">
        <v>147.97</v>
      </c>
      <c r="F8963">
        <v>12</v>
      </c>
      <c r="G8963">
        <v>5</v>
      </c>
      <c r="H8963" t="s">
        <v>19447</v>
      </c>
      <c r="I8963" t="s">
        <v>19447</v>
      </c>
      <c r="J8963">
        <v>16</v>
      </c>
      <c r="L8963" t="s">
        <v>2709</v>
      </c>
      <c r="M8963">
        <v>85059010</v>
      </c>
      <c r="O8963" t="s">
        <v>20138</v>
      </c>
      <c r="P8963" t="s">
        <v>19903</v>
      </c>
      <c r="Q8963" t="s">
        <v>19909</v>
      </c>
      <c r="R8963" t="s">
        <v>19447</v>
      </c>
      <c r="S8963" t="s">
        <v>19447</v>
      </c>
      <c r="T8963" t="s">
        <v>19913</v>
      </c>
    </row>
    <row r="8964" spans="2:20" x14ac:dyDescent="0.25">
      <c r="B8964" t="s">
        <v>2709</v>
      </c>
      <c r="C8964">
        <v>85059080</v>
      </c>
      <c r="E8964">
        <v>147.97</v>
      </c>
      <c r="F8964">
        <v>25</v>
      </c>
      <c r="G8964">
        <v>15</v>
      </c>
      <c r="H8964" t="s">
        <v>19447</v>
      </c>
      <c r="I8964" t="s">
        <v>19447</v>
      </c>
      <c r="J8964">
        <v>14</v>
      </c>
      <c r="L8964" t="s">
        <v>2709</v>
      </c>
      <c r="M8964">
        <v>85059080</v>
      </c>
      <c r="O8964" t="s">
        <v>20138</v>
      </c>
      <c r="P8964" t="s">
        <v>19982</v>
      </c>
      <c r="Q8964" t="s">
        <v>19983</v>
      </c>
      <c r="R8964" t="s">
        <v>19447</v>
      </c>
      <c r="S8964" t="s">
        <v>19447</v>
      </c>
      <c r="T8964" t="s">
        <v>19911</v>
      </c>
    </row>
    <row r="8965" spans="2:20" x14ac:dyDescent="0.25">
      <c r="B8965" t="s">
        <v>2709</v>
      </c>
      <c r="C8965">
        <v>85059090</v>
      </c>
      <c r="E8965">
        <v>147.97</v>
      </c>
      <c r="F8965">
        <v>25</v>
      </c>
      <c r="G8965">
        <v>15</v>
      </c>
      <c r="H8965" t="s">
        <v>19447</v>
      </c>
      <c r="I8965" t="s">
        <v>19447</v>
      </c>
      <c r="J8965">
        <v>14</v>
      </c>
      <c r="L8965" t="s">
        <v>2709</v>
      </c>
      <c r="M8965">
        <v>85059090</v>
      </c>
      <c r="O8965" t="s">
        <v>20138</v>
      </c>
      <c r="P8965" t="s">
        <v>19982</v>
      </c>
      <c r="Q8965" t="s">
        <v>19983</v>
      </c>
      <c r="R8965" t="s">
        <v>19447</v>
      </c>
      <c r="S8965" t="s">
        <v>19447</v>
      </c>
      <c r="T8965" t="s">
        <v>19911</v>
      </c>
    </row>
    <row r="8966" spans="2:20" x14ac:dyDescent="0.25">
      <c r="B8966" t="s">
        <v>2709</v>
      </c>
      <c r="C8966">
        <v>85061010</v>
      </c>
      <c r="E8966">
        <v>63.91</v>
      </c>
      <c r="F8966">
        <v>25</v>
      </c>
      <c r="G8966">
        <v>15</v>
      </c>
      <c r="H8966" t="s">
        <v>19447</v>
      </c>
      <c r="I8966" t="s">
        <v>19447</v>
      </c>
      <c r="J8966">
        <v>16</v>
      </c>
      <c r="L8966" t="s">
        <v>2709</v>
      </c>
      <c r="M8966">
        <v>85061010</v>
      </c>
      <c r="O8966" t="s">
        <v>20192</v>
      </c>
      <c r="P8966" t="s">
        <v>19982</v>
      </c>
      <c r="Q8966" t="s">
        <v>19983</v>
      </c>
      <c r="R8966" t="s">
        <v>19447</v>
      </c>
      <c r="S8966" t="s">
        <v>19447</v>
      </c>
      <c r="T8966" t="s">
        <v>19913</v>
      </c>
    </row>
    <row r="8967" spans="2:20" x14ac:dyDescent="0.25">
      <c r="B8967" t="s">
        <v>2709</v>
      </c>
      <c r="C8967">
        <v>85061020</v>
      </c>
      <c r="E8967">
        <v>63.91</v>
      </c>
      <c r="F8967">
        <v>25</v>
      </c>
      <c r="G8967">
        <v>15</v>
      </c>
      <c r="H8967" t="s">
        <v>19447</v>
      </c>
      <c r="I8967" t="s">
        <v>19447</v>
      </c>
      <c r="J8967">
        <v>16</v>
      </c>
      <c r="L8967" t="s">
        <v>2709</v>
      </c>
      <c r="M8967">
        <v>85061020</v>
      </c>
      <c r="O8967" t="s">
        <v>20192</v>
      </c>
      <c r="P8967" t="s">
        <v>19982</v>
      </c>
      <c r="Q8967" t="s">
        <v>19983</v>
      </c>
      <c r="R8967" t="s">
        <v>19447</v>
      </c>
      <c r="S8967" t="s">
        <v>19447</v>
      </c>
      <c r="T8967" t="s">
        <v>19913</v>
      </c>
    </row>
    <row r="8968" spans="2:20" x14ac:dyDescent="0.25">
      <c r="B8968" t="s">
        <v>2709</v>
      </c>
      <c r="C8968">
        <v>85061030</v>
      </c>
      <c r="E8968">
        <v>63.91</v>
      </c>
      <c r="F8968">
        <v>25</v>
      </c>
      <c r="G8968">
        <v>15</v>
      </c>
      <c r="H8968" t="s">
        <v>19447</v>
      </c>
      <c r="I8968" t="s">
        <v>19447</v>
      </c>
      <c r="J8968">
        <v>16</v>
      </c>
      <c r="L8968" t="s">
        <v>2709</v>
      </c>
      <c r="M8968">
        <v>85061030</v>
      </c>
      <c r="O8968" t="s">
        <v>20192</v>
      </c>
      <c r="P8968" t="s">
        <v>19982</v>
      </c>
      <c r="Q8968" t="s">
        <v>19983</v>
      </c>
      <c r="R8968" t="s">
        <v>19447</v>
      </c>
      <c r="S8968" t="s">
        <v>19447</v>
      </c>
      <c r="T8968" t="s">
        <v>19913</v>
      </c>
    </row>
    <row r="8969" spans="2:20" x14ac:dyDescent="0.25">
      <c r="B8969" t="s">
        <v>2709</v>
      </c>
      <c r="C8969">
        <v>85063010</v>
      </c>
      <c r="E8969">
        <v>63.91</v>
      </c>
      <c r="F8969">
        <v>25</v>
      </c>
      <c r="G8969">
        <v>15</v>
      </c>
      <c r="H8969" t="s">
        <v>19447</v>
      </c>
      <c r="I8969" t="s">
        <v>19447</v>
      </c>
      <c r="J8969">
        <v>0</v>
      </c>
      <c r="L8969" t="s">
        <v>2709</v>
      </c>
      <c r="M8969">
        <v>85063010</v>
      </c>
      <c r="O8969" t="s">
        <v>20192</v>
      </c>
      <c r="P8969" t="s">
        <v>19982</v>
      </c>
      <c r="Q8969" t="s">
        <v>19983</v>
      </c>
      <c r="R8969" t="s">
        <v>19447</v>
      </c>
      <c r="S8969" t="s">
        <v>19447</v>
      </c>
      <c r="T8969" t="s">
        <v>19900</v>
      </c>
    </row>
    <row r="8970" spans="2:20" x14ac:dyDescent="0.25">
      <c r="B8970" t="s">
        <v>2709</v>
      </c>
      <c r="C8970">
        <v>85063090</v>
      </c>
      <c r="E8970">
        <v>63.91</v>
      </c>
      <c r="F8970">
        <v>25</v>
      </c>
      <c r="G8970">
        <v>15</v>
      </c>
      <c r="H8970" t="s">
        <v>19447</v>
      </c>
      <c r="I8970" t="s">
        <v>19447</v>
      </c>
      <c r="J8970">
        <v>16</v>
      </c>
      <c r="L8970" t="s">
        <v>2709</v>
      </c>
      <c r="M8970">
        <v>85063090</v>
      </c>
      <c r="O8970" t="s">
        <v>20192</v>
      </c>
      <c r="P8970" t="s">
        <v>19982</v>
      </c>
      <c r="Q8970" t="s">
        <v>19983</v>
      </c>
      <c r="R8970" t="s">
        <v>19447</v>
      </c>
      <c r="S8970" t="s">
        <v>19447</v>
      </c>
      <c r="T8970" t="s">
        <v>19913</v>
      </c>
    </row>
    <row r="8971" spans="2:20" x14ac:dyDescent="0.25">
      <c r="B8971" t="s">
        <v>2709</v>
      </c>
      <c r="C8971">
        <v>85064010</v>
      </c>
      <c r="E8971">
        <v>63.91</v>
      </c>
      <c r="F8971">
        <v>25</v>
      </c>
      <c r="G8971">
        <v>15</v>
      </c>
      <c r="H8971" t="s">
        <v>19447</v>
      </c>
      <c r="I8971" t="s">
        <v>19447</v>
      </c>
      <c r="J8971">
        <v>0</v>
      </c>
      <c r="L8971" t="s">
        <v>2709</v>
      </c>
      <c r="M8971">
        <v>85064010</v>
      </c>
      <c r="O8971" t="s">
        <v>20192</v>
      </c>
      <c r="P8971" t="s">
        <v>19982</v>
      </c>
      <c r="Q8971" t="s">
        <v>19983</v>
      </c>
      <c r="R8971" t="s">
        <v>19447</v>
      </c>
      <c r="S8971" t="s">
        <v>19447</v>
      </c>
      <c r="T8971" t="s">
        <v>19900</v>
      </c>
    </row>
    <row r="8972" spans="2:20" x14ac:dyDescent="0.25">
      <c r="B8972" t="s">
        <v>2709</v>
      </c>
      <c r="C8972">
        <v>85064090</v>
      </c>
      <c r="E8972">
        <v>63.91</v>
      </c>
      <c r="F8972">
        <v>25</v>
      </c>
      <c r="G8972">
        <v>15</v>
      </c>
      <c r="H8972" t="s">
        <v>19447</v>
      </c>
      <c r="I8972" t="s">
        <v>19447</v>
      </c>
      <c r="J8972">
        <v>16</v>
      </c>
      <c r="L8972" t="s">
        <v>2709</v>
      </c>
      <c r="M8972">
        <v>85064090</v>
      </c>
      <c r="O8972" t="s">
        <v>20192</v>
      </c>
      <c r="P8972" t="s">
        <v>19982</v>
      </c>
      <c r="Q8972" t="s">
        <v>19983</v>
      </c>
      <c r="R8972" t="s">
        <v>19447</v>
      </c>
      <c r="S8972" t="s">
        <v>19447</v>
      </c>
      <c r="T8972" t="s">
        <v>19913</v>
      </c>
    </row>
    <row r="8973" spans="2:20" x14ac:dyDescent="0.25">
      <c r="B8973" t="s">
        <v>2709</v>
      </c>
      <c r="C8973">
        <v>85065010</v>
      </c>
      <c r="E8973">
        <v>63.91</v>
      </c>
      <c r="F8973">
        <v>25</v>
      </c>
      <c r="G8973">
        <v>15</v>
      </c>
      <c r="H8973" t="s">
        <v>19447</v>
      </c>
      <c r="I8973" t="s">
        <v>19447</v>
      </c>
      <c r="J8973">
        <v>0</v>
      </c>
      <c r="L8973" t="s">
        <v>2709</v>
      </c>
      <c r="M8973">
        <v>85065010</v>
      </c>
      <c r="O8973" t="s">
        <v>20192</v>
      </c>
      <c r="P8973" t="s">
        <v>19982</v>
      </c>
      <c r="Q8973" t="s">
        <v>19983</v>
      </c>
      <c r="R8973" t="s">
        <v>19447</v>
      </c>
      <c r="S8973" t="s">
        <v>19447</v>
      </c>
      <c r="T8973" t="s">
        <v>19900</v>
      </c>
    </row>
    <row r="8974" spans="2:20" x14ac:dyDescent="0.25">
      <c r="B8974" t="s">
        <v>2709</v>
      </c>
      <c r="C8974">
        <v>85065090</v>
      </c>
      <c r="E8974">
        <v>63.91</v>
      </c>
      <c r="F8974">
        <v>25</v>
      </c>
      <c r="G8974">
        <v>15</v>
      </c>
      <c r="H8974" t="s">
        <v>19447</v>
      </c>
      <c r="I8974" t="s">
        <v>19447</v>
      </c>
      <c r="J8974">
        <v>16</v>
      </c>
      <c r="L8974" t="s">
        <v>2709</v>
      </c>
      <c r="M8974">
        <v>85065090</v>
      </c>
      <c r="O8974" t="s">
        <v>20192</v>
      </c>
      <c r="P8974" t="s">
        <v>19982</v>
      </c>
      <c r="Q8974" t="s">
        <v>19983</v>
      </c>
      <c r="R8974" t="s">
        <v>19447</v>
      </c>
      <c r="S8974" t="s">
        <v>19447</v>
      </c>
      <c r="T8974" t="s">
        <v>19913</v>
      </c>
    </row>
    <row r="8975" spans="2:20" x14ac:dyDescent="0.25">
      <c r="B8975" t="s">
        <v>2709</v>
      </c>
      <c r="C8975">
        <v>85066010</v>
      </c>
      <c r="E8975">
        <v>63.91</v>
      </c>
      <c r="F8975">
        <v>25</v>
      </c>
      <c r="G8975">
        <v>15</v>
      </c>
      <c r="H8975" t="s">
        <v>19447</v>
      </c>
      <c r="I8975" t="s">
        <v>19447</v>
      </c>
      <c r="J8975">
        <v>0</v>
      </c>
      <c r="L8975" t="s">
        <v>2709</v>
      </c>
      <c r="M8975">
        <v>85066010</v>
      </c>
      <c r="O8975" t="s">
        <v>20192</v>
      </c>
      <c r="P8975" t="s">
        <v>19982</v>
      </c>
      <c r="Q8975" t="s">
        <v>19983</v>
      </c>
      <c r="R8975" t="s">
        <v>19447</v>
      </c>
      <c r="S8975" t="s">
        <v>19447</v>
      </c>
      <c r="T8975" t="s">
        <v>19900</v>
      </c>
    </row>
    <row r="8976" spans="2:20" x14ac:dyDescent="0.25">
      <c r="B8976" t="s">
        <v>2709</v>
      </c>
      <c r="C8976">
        <v>85066090</v>
      </c>
      <c r="E8976">
        <v>63.91</v>
      </c>
      <c r="F8976">
        <v>25</v>
      </c>
      <c r="G8976">
        <v>15</v>
      </c>
      <c r="H8976" t="s">
        <v>19447</v>
      </c>
      <c r="I8976" t="s">
        <v>19447</v>
      </c>
      <c r="J8976">
        <v>16</v>
      </c>
      <c r="L8976" t="s">
        <v>2709</v>
      </c>
      <c r="M8976">
        <v>85066090</v>
      </c>
      <c r="O8976" t="s">
        <v>20192</v>
      </c>
      <c r="P8976" t="s">
        <v>19982</v>
      </c>
      <c r="Q8976" t="s">
        <v>19983</v>
      </c>
      <c r="R8976" t="s">
        <v>19447</v>
      </c>
      <c r="S8976" t="s">
        <v>19447</v>
      </c>
      <c r="T8976" t="s">
        <v>19913</v>
      </c>
    </row>
    <row r="8977" spans="2:20" x14ac:dyDescent="0.25">
      <c r="B8977" t="s">
        <v>2709</v>
      </c>
      <c r="C8977">
        <v>85068010</v>
      </c>
      <c r="E8977">
        <v>63.91</v>
      </c>
      <c r="F8977">
        <v>25</v>
      </c>
      <c r="G8977">
        <v>15</v>
      </c>
      <c r="H8977" t="s">
        <v>19447</v>
      </c>
      <c r="I8977" t="s">
        <v>19447</v>
      </c>
      <c r="J8977">
        <v>0</v>
      </c>
      <c r="L8977" t="s">
        <v>2709</v>
      </c>
      <c r="M8977">
        <v>85068010</v>
      </c>
      <c r="O8977" t="s">
        <v>20192</v>
      </c>
      <c r="P8977" t="s">
        <v>19982</v>
      </c>
      <c r="Q8977" t="s">
        <v>19983</v>
      </c>
      <c r="R8977" t="s">
        <v>19447</v>
      </c>
      <c r="S8977" t="s">
        <v>19447</v>
      </c>
      <c r="T8977" t="s">
        <v>19900</v>
      </c>
    </row>
    <row r="8978" spans="2:20" x14ac:dyDescent="0.25">
      <c r="B8978" t="s">
        <v>2709</v>
      </c>
      <c r="C8978">
        <v>85068090</v>
      </c>
      <c r="E8978">
        <v>63.91</v>
      </c>
      <c r="F8978">
        <v>25</v>
      </c>
      <c r="G8978">
        <v>15</v>
      </c>
      <c r="H8978" t="s">
        <v>19447</v>
      </c>
      <c r="I8978" t="s">
        <v>19447</v>
      </c>
      <c r="J8978">
        <v>16</v>
      </c>
      <c r="L8978" t="s">
        <v>2709</v>
      </c>
      <c r="M8978">
        <v>85068090</v>
      </c>
      <c r="O8978" t="s">
        <v>20192</v>
      </c>
      <c r="P8978" t="s">
        <v>19982</v>
      </c>
      <c r="Q8978" t="s">
        <v>19983</v>
      </c>
      <c r="R8978" t="s">
        <v>19447</v>
      </c>
      <c r="S8978" t="s">
        <v>19447</v>
      </c>
      <c r="T8978" t="s">
        <v>19913</v>
      </c>
    </row>
    <row r="8979" spans="2:20" x14ac:dyDescent="0.25">
      <c r="B8979" t="s">
        <v>2709</v>
      </c>
      <c r="C8979">
        <v>85069000</v>
      </c>
      <c r="E8979">
        <v>63.91</v>
      </c>
      <c r="F8979">
        <v>25</v>
      </c>
      <c r="G8979">
        <v>15</v>
      </c>
      <c r="H8979" t="s">
        <v>19447</v>
      </c>
      <c r="I8979" t="s">
        <v>19447</v>
      </c>
      <c r="J8979">
        <v>14</v>
      </c>
      <c r="L8979" t="s">
        <v>2709</v>
      </c>
      <c r="M8979">
        <v>85069000</v>
      </c>
      <c r="O8979" t="s">
        <v>20192</v>
      </c>
      <c r="P8979" t="s">
        <v>19982</v>
      </c>
      <c r="Q8979" t="s">
        <v>19983</v>
      </c>
      <c r="R8979" t="s">
        <v>19447</v>
      </c>
      <c r="S8979" t="s">
        <v>19447</v>
      </c>
      <c r="T8979" t="s">
        <v>19911</v>
      </c>
    </row>
    <row r="8980" spans="2:20" x14ac:dyDescent="0.25">
      <c r="B8980" t="s">
        <v>2709</v>
      </c>
      <c r="C8980">
        <v>85071010</v>
      </c>
      <c r="E8980">
        <v>71.78</v>
      </c>
      <c r="F8980">
        <v>25</v>
      </c>
      <c r="G8980">
        <v>15</v>
      </c>
      <c r="H8980">
        <v>10.8</v>
      </c>
      <c r="I8980">
        <v>2.2999999999999998</v>
      </c>
      <c r="J8980">
        <v>18</v>
      </c>
      <c r="L8980" t="s">
        <v>2709</v>
      </c>
      <c r="M8980">
        <v>85071010</v>
      </c>
      <c r="O8980" t="s">
        <v>20056</v>
      </c>
      <c r="P8980" t="s">
        <v>19982</v>
      </c>
      <c r="Q8980" t="s">
        <v>19983</v>
      </c>
      <c r="R8980" t="s">
        <v>20074</v>
      </c>
      <c r="S8980" t="s">
        <v>20075</v>
      </c>
      <c r="T8980" t="s">
        <v>19899</v>
      </c>
    </row>
    <row r="8981" spans="2:20" x14ac:dyDescent="0.25">
      <c r="B8981" t="s">
        <v>2709</v>
      </c>
      <c r="C8981">
        <v>85071090</v>
      </c>
      <c r="E8981">
        <v>71.78</v>
      </c>
      <c r="F8981">
        <v>25</v>
      </c>
      <c r="G8981">
        <v>15</v>
      </c>
      <c r="H8981">
        <v>10.8</v>
      </c>
      <c r="I8981">
        <v>2.2999999999999998</v>
      </c>
      <c r="J8981">
        <v>18</v>
      </c>
      <c r="L8981" t="s">
        <v>2709</v>
      </c>
      <c r="M8981">
        <v>85071090</v>
      </c>
      <c r="O8981" t="s">
        <v>20056</v>
      </c>
      <c r="P8981" t="s">
        <v>19982</v>
      </c>
      <c r="Q8981" t="s">
        <v>19983</v>
      </c>
      <c r="R8981" t="s">
        <v>20074</v>
      </c>
      <c r="S8981" t="s">
        <v>20075</v>
      </c>
      <c r="T8981" t="s">
        <v>19899</v>
      </c>
    </row>
    <row r="8982" spans="2:20" x14ac:dyDescent="0.25">
      <c r="B8982" t="s">
        <v>2709</v>
      </c>
      <c r="C8982">
        <v>85071090</v>
      </c>
      <c r="D8982">
        <v>1</v>
      </c>
      <c r="E8982" t="s">
        <v>19447</v>
      </c>
      <c r="F8982">
        <v>18</v>
      </c>
      <c r="G8982">
        <v>4</v>
      </c>
      <c r="H8982">
        <v>7.6</v>
      </c>
      <c r="I8982">
        <v>1.65</v>
      </c>
      <c r="J8982">
        <v>18</v>
      </c>
      <c r="L8982" t="s">
        <v>2709</v>
      </c>
      <c r="M8982">
        <v>85071090</v>
      </c>
      <c r="N8982">
        <v>1</v>
      </c>
      <c r="O8982" t="s">
        <v>19447</v>
      </c>
      <c r="P8982" t="s">
        <v>19899</v>
      </c>
      <c r="Q8982" t="s">
        <v>19902</v>
      </c>
      <c r="R8982" t="s">
        <v>19905</v>
      </c>
      <c r="S8982" t="s">
        <v>19906</v>
      </c>
      <c r="T8982" t="s">
        <v>19899</v>
      </c>
    </row>
    <row r="8983" spans="2:20" x14ac:dyDescent="0.25">
      <c r="B8983" t="s">
        <v>2709</v>
      </c>
      <c r="C8983">
        <v>85072010</v>
      </c>
      <c r="E8983">
        <v>71.78</v>
      </c>
      <c r="F8983">
        <v>25</v>
      </c>
      <c r="G8983">
        <v>15</v>
      </c>
      <c r="H8983" t="s">
        <v>19447</v>
      </c>
      <c r="I8983" t="s">
        <v>19447</v>
      </c>
      <c r="J8983">
        <v>18</v>
      </c>
      <c r="L8983" t="s">
        <v>2709</v>
      </c>
      <c r="M8983">
        <v>85072010</v>
      </c>
      <c r="O8983" t="s">
        <v>20056</v>
      </c>
      <c r="P8983" t="s">
        <v>19982</v>
      </c>
      <c r="Q8983" t="s">
        <v>19983</v>
      </c>
      <c r="R8983" t="s">
        <v>19447</v>
      </c>
      <c r="S8983" t="s">
        <v>19447</v>
      </c>
      <c r="T8983" t="s">
        <v>19899</v>
      </c>
    </row>
    <row r="8984" spans="2:20" x14ac:dyDescent="0.25">
      <c r="B8984" t="s">
        <v>2709</v>
      </c>
      <c r="C8984">
        <v>85072090</v>
      </c>
      <c r="E8984">
        <v>71.78</v>
      </c>
      <c r="F8984">
        <v>25</v>
      </c>
      <c r="G8984">
        <v>15</v>
      </c>
      <c r="H8984" t="s">
        <v>19447</v>
      </c>
      <c r="I8984" t="s">
        <v>19447</v>
      </c>
      <c r="J8984">
        <v>18</v>
      </c>
      <c r="L8984" t="s">
        <v>2709</v>
      </c>
      <c r="M8984">
        <v>85072090</v>
      </c>
      <c r="O8984" t="s">
        <v>20056</v>
      </c>
      <c r="P8984" t="s">
        <v>19982</v>
      </c>
      <c r="Q8984" t="s">
        <v>19983</v>
      </c>
      <c r="R8984" t="s">
        <v>19447</v>
      </c>
      <c r="S8984" t="s">
        <v>19447</v>
      </c>
      <c r="T8984" t="s">
        <v>19899</v>
      </c>
    </row>
    <row r="8985" spans="2:20" x14ac:dyDescent="0.25">
      <c r="B8985" t="s">
        <v>2709</v>
      </c>
      <c r="C8985">
        <v>85073011</v>
      </c>
      <c r="E8985">
        <v>71.78</v>
      </c>
      <c r="F8985">
        <v>25</v>
      </c>
      <c r="G8985">
        <v>15</v>
      </c>
      <c r="H8985" t="s">
        <v>19447</v>
      </c>
      <c r="I8985" t="s">
        <v>19447</v>
      </c>
      <c r="J8985">
        <v>18</v>
      </c>
      <c r="L8985" t="s">
        <v>2709</v>
      </c>
      <c r="M8985">
        <v>85073011</v>
      </c>
      <c r="O8985" t="s">
        <v>20056</v>
      </c>
      <c r="P8985" t="s">
        <v>19982</v>
      </c>
      <c r="Q8985" t="s">
        <v>19983</v>
      </c>
      <c r="R8985" t="s">
        <v>19447</v>
      </c>
      <c r="S8985" t="s">
        <v>19447</v>
      </c>
      <c r="T8985" t="s">
        <v>19899</v>
      </c>
    </row>
    <row r="8986" spans="2:20" x14ac:dyDescent="0.25">
      <c r="B8986" t="s">
        <v>2709</v>
      </c>
      <c r="C8986">
        <v>85073019</v>
      </c>
      <c r="E8986">
        <v>71.78</v>
      </c>
      <c r="F8986">
        <v>25</v>
      </c>
      <c r="G8986">
        <v>15</v>
      </c>
      <c r="H8986" t="s">
        <v>19447</v>
      </c>
      <c r="I8986" t="s">
        <v>19447</v>
      </c>
      <c r="J8986">
        <v>18</v>
      </c>
      <c r="L8986" t="s">
        <v>2709</v>
      </c>
      <c r="M8986">
        <v>85073019</v>
      </c>
      <c r="O8986" t="s">
        <v>20056</v>
      </c>
      <c r="P8986" t="s">
        <v>19982</v>
      </c>
      <c r="Q8986" t="s">
        <v>19983</v>
      </c>
      <c r="R8986" t="s">
        <v>19447</v>
      </c>
      <c r="S8986" t="s">
        <v>19447</v>
      </c>
      <c r="T8986" t="s">
        <v>19899</v>
      </c>
    </row>
    <row r="8987" spans="2:20" x14ac:dyDescent="0.25">
      <c r="B8987" t="s">
        <v>2709</v>
      </c>
      <c r="C8987">
        <v>85073090</v>
      </c>
      <c r="E8987">
        <v>71.78</v>
      </c>
      <c r="F8987">
        <v>25</v>
      </c>
      <c r="G8987">
        <v>15</v>
      </c>
      <c r="H8987" t="s">
        <v>19447</v>
      </c>
      <c r="I8987" t="s">
        <v>19447</v>
      </c>
      <c r="J8987">
        <v>18</v>
      </c>
      <c r="L8987" t="s">
        <v>2709</v>
      </c>
      <c r="M8987">
        <v>85073090</v>
      </c>
      <c r="O8987" t="s">
        <v>20056</v>
      </c>
      <c r="P8987" t="s">
        <v>19982</v>
      </c>
      <c r="Q8987" t="s">
        <v>19983</v>
      </c>
      <c r="R8987" t="s">
        <v>19447</v>
      </c>
      <c r="S8987" t="s">
        <v>19447</v>
      </c>
      <c r="T8987" t="s">
        <v>19899</v>
      </c>
    </row>
    <row r="8988" spans="2:20" x14ac:dyDescent="0.25">
      <c r="B8988" t="s">
        <v>2709</v>
      </c>
      <c r="C8988">
        <v>85074000</v>
      </c>
      <c r="E8988">
        <v>147.97</v>
      </c>
      <c r="F8988">
        <v>25</v>
      </c>
      <c r="G8988">
        <v>15</v>
      </c>
      <c r="H8988" t="s">
        <v>19447</v>
      </c>
      <c r="I8988" t="s">
        <v>19447</v>
      </c>
      <c r="J8988">
        <v>18</v>
      </c>
      <c r="L8988" t="s">
        <v>2709</v>
      </c>
      <c r="M8988">
        <v>85074000</v>
      </c>
      <c r="O8988" t="s">
        <v>20138</v>
      </c>
      <c r="P8988" t="s">
        <v>19982</v>
      </c>
      <c r="Q8988" t="s">
        <v>19983</v>
      </c>
      <c r="R8988" t="s">
        <v>19447</v>
      </c>
      <c r="S8988" t="s">
        <v>19447</v>
      </c>
      <c r="T8988" t="s">
        <v>19899</v>
      </c>
    </row>
    <row r="8989" spans="2:20" x14ac:dyDescent="0.25">
      <c r="B8989" t="s">
        <v>2709</v>
      </c>
      <c r="C8989">
        <v>85075000</v>
      </c>
      <c r="E8989">
        <v>147.97</v>
      </c>
      <c r="F8989">
        <v>25</v>
      </c>
      <c r="G8989">
        <v>15</v>
      </c>
      <c r="H8989" t="s">
        <v>19447</v>
      </c>
      <c r="I8989" t="s">
        <v>19447</v>
      </c>
      <c r="J8989">
        <v>18</v>
      </c>
      <c r="L8989" t="s">
        <v>2709</v>
      </c>
      <c r="M8989">
        <v>85075000</v>
      </c>
      <c r="O8989" t="s">
        <v>20138</v>
      </c>
      <c r="P8989" t="s">
        <v>19982</v>
      </c>
      <c r="Q8989" t="s">
        <v>19983</v>
      </c>
      <c r="R8989" t="s">
        <v>19447</v>
      </c>
      <c r="S8989" t="s">
        <v>19447</v>
      </c>
      <c r="T8989" t="s">
        <v>19899</v>
      </c>
    </row>
    <row r="8990" spans="2:20" x14ac:dyDescent="0.25">
      <c r="B8990" t="s">
        <v>2709</v>
      </c>
      <c r="C8990">
        <v>85076000</v>
      </c>
      <c r="E8990">
        <v>147.97</v>
      </c>
      <c r="F8990">
        <v>25</v>
      </c>
      <c r="G8990">
        <v>15</v>
      </c>
      <c r="H8990" t="s">
        <v>19447</v>
      </c>
      <c r="I8990" t="s">
        <v>19447</v>
      </c>
      <c r="J8990">
        <v>18</v>
      </c>
      <c r="L8990" t="s">
        <v>2709</v>
      </c>
      <c r="M8990">
        <v>85076000</v>
      </c>
      <c r="O8990" t="s">
        <v>20138</v>
      </c>
      <c r="P8990" t="s">
        <v>19982</v>
      </c>
      <c r="Q8990" t="s">
        <v>19983</v>
      </c>
      <c r="R8990" t="s">
        <v>19447</v>
      </c>
      <c r="S8990" t="s">
        <v>19447</v>
      </c>
      <c r="T8990" t="s">
        <v>19899</v>
      </c>
    </row>
    <row r="8991" spans="2:20" x14ac:dyDescent="0.25">
      <c r="B8991" t="s">
        <v>2709</v>
      </c>
      <c r="C8991">
        <v>85078000</v>
      </c>
      <c r="E8991">
        <v>147.97</v>
      </c>
      <c r="F8991">
        <v>25</v>
      </c>
      <c r="G8991">
        <v>15</v>
      </c>
      <c r="H8991" t="s">
        <v>19447</v>
      </c>
      <c r="I8991" t="s">
        <v>19447</v>
      </c>
      <c r="J8991">
        <v>18</v>
      </c>
      <c r="L8991" t="s">
        <v>2709</v>
      </c>
      <c r="M8991">
        <v>85078000</v>
      </c>
      <c r="O8991" t="s">
        <v>20138</v>
      </c>
      <c r="P8991" t="s">
        <v>19982</v>
      </c>
      <c r="Q8991" t="s">
        <v>19983</v>
      </c>
      <c r="R8991" t="s">
        <v>19447</v>
      </c>
      <c r="S8991" t="s">
        <v>19447</v>
      </c>
      <c r="T8991" t="s">
        <v>19899</v>
      </c>
    </row>
    <row r="8992" spans="2:20" x14ac:dyDescent="0.25">
      <c r="B8992" t="s">
        <v>2709</v>
      </c>
      <c r="C8992">
        <v>85079010</v>
      </c>
      <c r="E8992">
        <v>147.97</v>
      </c>
      <c r="F8992">
        <v>25</v>
      </c>
      <c r="G8992">
        <v>15</v>
      </c>
      <c r="H8992" t="s">
        <v>19447</v>
      </c>
      <c r="I8992" t="s">
        <v>19447</v>
      </c>
      <c r="J8992">
        <v>16</v>
      </c>
      <c r="L8992" t="s">
        <v>2709</v>
      </c>
      <c r="M8992">
        <v>85079010</v>
      </c>
      <c r="O8992" t="s">
        <v>20138</v>
      </c>
      <c r="P8992" t="s">
        <v>19982</v>
      </c>
      <c r="Q8992" t="s">
        <v>19983</v>
      </c>
      <c r="R8992" t="s">
        <v>19447</v>
      </c>
      <c r="S8992" t="s">
        <v>19447</v>
      </c>
      <c r="T8992" t="s">
        <v>19913</v>
      </c>
    </row>
    <row r="8993" spans="2:20" x14ac:dyDescent="0.25">
      <c r="B8993" t="s">
        <v>2709</v>
      </c>
      <c r="C8993">
        <v>85079020</v>
      </c>
      <c r="E8993">
        <v>147.97</v>
      </c>
      <c r="F8993">
        <v>25</v>
      </c>
      <c r="G8993">
        <v>15</v>
      </c>
      <c r="H8993" t="s">
        <v>19447</v>
      </c>
      <c r="I8993" t="s">
        <v>19447</v>
      </c>
      <c r="J8993">
        <v>16</v>
      </c>
      <c r="L8993" t="s">
        <v>2709</v>
      </c>
      <c r="M8993">
        <v>85079020</v>
      </c>
      <c r="O8993" t="s">
        <v>20138</v>
      </c>
      <c r="P8993" t="s">
        <v>19982</v>
      </c>
      <c r="Q8993" t="s">
        <v>19983</v>
      </c>
      <c r="R8993" t="s">
        <v>19447</v>
      </c>
      <c r="S8993" t="s">
        <v>19447</v>
      </c>
      <c r="T8993" t="s">
        <v>19913</v>
      </c>
    </row>
    <row r="8994" spans="2:20" x14ac:dyDescent="0.25">
      <c r="B8994" t="s">
        <v>2709</v>
      </c>
      <c r="C8994">
        <v>85079090</v>
      </c>
      <c r="E8994">
        <v>147.97</v>
      </c>
      <c r="F8994">
        <v>25</v>
      </c>
      <c r="G8994">
        <v>15</v>
      </c>
      <c r="H8994" t="s">
        <v>19447</v>
      </c>
      <c r="I8994" t="s">
        <v>19447</v>
      </c>
      <c r="J8994">
        <v>16</v>
      </c>
      <c r="L8994" t="s">
        <v>2709</v>
      </c>
      <c r="M8994">
        <v>85079090</v>
      </c>
      <c r="O8994" t="s">
        <v>20138</v>
      </c>
      <c r="P8994" t="s">
        <v>19982</v>
      </c>
      <c r="Q8994" t="s">
        <v>19983</v>
      </c>
      <c r="R8994" t="s">
        <v>19447</v>
      </c>
      <c r="S8994" t="s">
        <v>19447</v>
      </c>
      <c r="T8994" t="s">
        <v>19913</v>
      </c>
    </row>
    <row r="8995" spans="2:20" x14ac:dyDescent="0.25">
      <c r="B8995" t="s">
        <v>2709</v>
      </c>
      <c r="C8995">
        <v>85081100</v>
      </c>
      <c r="E8995">
        <v>37.729999999999997</v>
      </c>
      <c r="F8995">
        <v>25</v>
      </c>
      <c r="G8995">
        <v>10</v>
      </c>
      <c r="H8995" t="s">
        <v>19447</v>
      </c>
      <c r="I8995" t="s">
        <v>19447</v>
      </c>
      <c r="J8995">
        <v>20</v>
      </c>
      <c r="L8995" t="s">
        <v>2709</v>
      </c>
      <c r="M8995">
        <v>85081100</v>
      </c>
      <c r="O8995" t="s">
        <v>20193</v>
      </c>
      <c r="P8995" t="s">
        <v>19982</v>
      </c>
      <c r="Q8995" t="s">
        <v>19904</v>
      </c>
      <c r="R8995" t="s">
        <v>19447</v>
      </c>
      <c r="S8995" t="s">
        <v>19447</v>
      </c>
      <c r="T8995" t="s">
        <v>19934</v>
      </c>
    </row>
    <row r="8996" spans="2:20" x14ac:dyDescent="0.25">
      <c r="B8996" t="s">
        <v>2709</v>
      </c>
      <c r="C8996">
        <v>85081900</v>
      </c>
      <c r="E8996">
        <v>37.729999999999997</v>
      </c>
      <c r="F8996">
        <v>25</v>
      </c>
      <c r="G8996">
        <v>10</v>
      </c>
      <c r="H8996" t="s">
        <v>19447</v>
      </c>
      <c r="I8996" t="s">
        <v>19447</v>
      </c>
      <c r="J8996">
        <v>20</v>
      </c>
      <c r="L8996" t="s">
        <v>2709</v>
      </c>
      <c r="M8996">
        <v>85081900</v>
      </c>
      <c r="O8996" t="s">
        <v>20193</v>
      </c>
      <c r="P8996" t="s">
        <v>19982</v>
      </c>
      <c r="Q8996" t="s">
        <v>19904</v>
      </c>
      <c r="R8996" t="s">
        <v>19447</v>
      </c>
      <c r="S8996" t="s">
        <v>19447</v>
      </c>
      <c r="T8996" t="s">
        <v>19934</v>
      </c>
    </row>
    <row r="8997" spans="2:20" x14ac:dyDescent="0.25">
      <c r="B8997" t="s">
        <v>2709</v>
      </c>
      <c r="C8997">
        <v>85086000</v>
      </c>
      <c r="E8997">
        <v>37.729999999999997</v>
      </c>
      <c r="F8997">
        <v>25</v>
      </c>
      <c r="G8997">
        <v>10</v>
      </c>
      <c r="H8997" t="s">
        <v>19447</v>
      </c>
      <c r="I8997" t="s">
        <v>19447</v>
      </c>
      <c r="J8997">
        <v>14</v>
      </c>
      <c r="L8997" t="s">
        <v>2709</v>
      </c>
      <c r="M8997">
        <v>85086000</v>
      </c>
      <c r="O8997" t="s">
        <v>20193</v>
      </c>
      <c r="P8997" t="s">
        <v>19982</v>
      </c>
      <c r="Q8997" t="s">
        <v>19904</v>
      </c>
      <c r="R8997" t="s">
        <v>19447</v>
      </c>
      <c r="S8997" t="s">
        <v>19447</v>
      </c>
      <c r="T8997" t="s">
        <v>19911</v>
      </c>
    </row>
    <row r="8998" spans="2:20" x14ac:dyDescent="0.25">
      <c r="B8998" t="s">
        <v>2709</v>
      </c>
      <c r="C8998">
        <v>85087000</v>
      </c>
      <c r="E8998">
        <v>37.729999999999997</v>
      </c>
      <c r="F8998">
        <v>25</v>
      </c>
      <c r="G8998">
        <v>10</v>
      </c>
      <c r="H8998" t="s">
        <v>19447</v>
      </c>
      <c r="I8998" t="s">
        <v>19447</v>
      </c>
      <c r="J8998">
        <v>14</v>
      </c>
      <c r="L8998" t="s">
        <v>2709</v>
      </c>
      <c r="M8998">
        <v>85087000</v>
      </c>
      <c r="O8998" t="s">
        <v>20193</v>
      </c>
      <c r="P8998" t="s">
        <v>19982</v>
      </c>
      <c r="Q8998" t="s">
        <v>19904</v>
      </c>
      <c r="R8998" t="s">
        <v>19447</v>
      </c>
      <c r="S8998" t="s">
        <v>19447</v>
      </c>
      <c r="T8998" t="s">
        <v>19911</v>
      </c>
    </row>
    <row r="8999" spans="2:20" x14ac:dyDescent="0.25">
      <c r="B8999" t="s">
        <v>2709</v>
      </c>
      <c r="C8999">
        <v>85094010</v>
      </c>
      <c r="E8999">
        <v>43.79</v>
      </c>
      <c r="F8999">
        <v>25</v>
      </c>
      <c r="G8999">
        <v>10</v>
      </c>
      <c r="H8999" t="s">
        <v>19447</v>
      </c>
      <c r="I8999" t="s">
        <v>19447</v>
      </c>
      <c r="J8999">
        <v>20</v>
      </c>
      <c r="L8999" t="s">
        <v>2709</v>
      </c>
      <c r="M8999">
        <v>85094010</v>
      </c>
      <c r="O8999" t="s">
        <v>20194</v>
      </c>
      <c r="P8999" t="s">
        <v>19982</v>
      </c>
      <c r="Q8999" t="s">
        <v>19904</v>
      </c>
      <c r="R8999" t="s">
        <v>19447</v>
      </c>
      <c r="S8999" t="s">
        <v>19447</v>
      </c>
      <c r="T8999" t="s">
        <v>19934</v>
      </c>
    </row>
    <row r="9000" spans="2:20" x14ac:dyDescent="0.25">
      <c r="B9000" t="s">
        <v>2709</v>
      </c>
      <c r="C9000">
        <v>85094020</v>
      </c>
      <c r="E9000">
        <v>43.79</v>
      </c>
      <c r="F9000">
        <v>25</v>
      </c>
      <c r="G9000">
        <v>10</v>
      </c>
      <c r="H9000" t="s">
        <v>19447</v>
      </c>
      <c r="I9000" t="s">
        <v>19447</v>
      </c>
      <c r="J9000">
        <v>20</v>
      </c>
      <c r="L9000" t="s">
        <v>2709</v>
      </c>
      <c r="M9000">
        <v>85094020</v>
      </c>
      <c r="O9000" t="s">
        <v>20194</v>
      </c>
      <c r="P9000" t="s">
        <v>19982</v>
      </c>
      <c r="Q9000" t="s">
        <v>19904</v>
      </c>
      <c r="R9000" t="s">
        <v>19447</v>
      </c>
      <c r="S9000" t="s">
        <v>19447</v>
      </c>
      <c r="T9000" t="s">
        <v>19934</v>
      </c>
    </row>
    <row r="9001" spans="2:20" x14ac:dyDescent="0.25">
      <c r="B9001" t="s">
        <v>2709</v>
      </c>
      <c r="C9001">
        <v>85094030</v>
      </c>
      <c r="E9001">
        <v>43.79</v>
      </c>
      <c r="F9001">
        <v>25</v>
      </c>
      <c r="G9001">
        <v>10</v>
      </c>
      <c r="H9001" t="s">
        <v>19447</v>
      </c>
      <c r="I9001" t="s">
        <v>19447</v>
      </c>
      <c r="J9001">
        <v>20</v>
      </c>
      <c r="L9001" t="s">
        <v>2709</v>
      </c>
      <c r="M9001">
        <v>85094030</v>
      </c>
      <c r="O9001" t="s">
        <v>20194</v>
      </c>
      <c r="P9001" t="s">
        <v>19982</v>
      </c>
      <c r="Q9001" t="s">
        <v>19904</v>
      </c>
      <c r="R9001" t="s">
        <v>19447</v>
      </c>
      <c r="S9001" t="s">
        <v>19447</v>
      </c>
      <c r="T9001" t="s">
        <v>19934</v>
      </c>
    </row>
    <row r="9002" spans="2:20" x14ac:dyDescent="0.25">
      <c r="B9002" t="s">
        <v>2709</v>
      </c>
      <c r="C9002">
        <v>85094040</v>
      </c>
      <c r="E9002">
        <v>43.79</v>
      </c>
      <c r="F9002">
        <v>25</v>
      </c>
      <c r="G9002">
        <v>10</v>
      </c>
      <c r="H9002" t="s">
        <v>19447</v>
      </c>
      <c r="I9002" t="s">
        <v>19447</v>
      </c>
      <c r="J9002">
        <v>20</v>
      </c>
      <c r="L9002" t="s">
        <v>2709</v>
      </c>
      <c r="M9002">
        <v>85094040</v>
      </c>
      <c r="O9002" t="s">
        <v>20194</v>
      </c>
      <c r="P9002" t="s">
        <v>19982</v>
      </c>
      <c r="Q9002" t="s">
        <v>19904</v>
      </c>
      <c r="R9002" t="s">
        <v>19447</v>
      </c>
      <c r="S9002" t="s">
        <v>19447</v>
      </c>
      <c r="T9002" t="s">
        <v>19934</v>
      </c>
    </row>
    <row r="9003" spans="2:20" x14ac:dyDescent="0.25">
      <c r="B9003" t="s">
        <v>2709</v>
      </c>
      <c r="C9003">
        <v>85094050</v>
      </c>
      <c r="E9003">
        <v>43.79</v>
      </c>
      <c r="F9003">
        <v>25</v>
      </c>
      <c r="G9003">
        <v>10</v>
      </c>
      <c r="H9003" t="s">
        <v>19447</v>
      </c>
      <c r="I9003" t="s">
        <v>19447</v>
      </c>
      <c r="J9003">
        <v>20</v>
      </c>
      <c r="L9003" t="s">
        <v>2709</v>
      </c>
      <c r="M9003">
        <v>85094050</v>
      </c>
      <c r="O9003" t="s">
        <v>20194</v>
      </c>
      <c r="P9003" t="s">
        <v>19982</v>
      </c>
      <c r="Q9003" t="s">
        <v>19904</v>
      </c>
      <c r="R9003" t="s">
        <v>19447</v>
      </c>
      <c r="S9003" t="s">
        <v>19447</v>
      </c>
      <c r="T9003" t="s">
        <v>19934</v>
      </c>
    </row>
    <row r="9004" spans="2:20" x14ac:dyDescent="0.25">
      <c r="B9004" t="s">
        <v>2709</v>
      </c>
      <c r="C9004">
        <v>85094090</v>
      </c>
      <c r="E9004">
        <v>43.79</v>
      </c>
      <c r="F9004">
        <v>25</v>
      </c>
      <c r="G9004">
        <v>10</v>
      </c>
      <c r="H9004" t="s">
        <v>19447</v>
      </c>
      <c r="I9004" t="s">
        <v>19447</v>
      </c>
      <c r="J9004">
        <v>20</v>
      </c>
      <c r="L9004" t="s">
        <v>2709</v>
      </c>
      <c r="M9004">
        <v>85094090</v>
      </c>
      <c r="O9004" t="s">
        <v>20194</v>
      </c>
      <c r="P9004" t="s">
        <v>19982</v>
      </c>
      <c r="Q9004" t="s">
        <v>19904</v>
      </c>
      <c r="R9004" t="s">
        <v>19447</v>
      </c>
      <c r="S9004" t="s">
        <v>19447</v>
      </c>
      <c r="T9004" t="s">
        <v>19934</v>
      </c>
    </row>
    <row r="9005" spans="2:20" x14ac:dyDescent="0.25">
      <c r="B9005" t="s">
        <v>2709</v>
      </c>
      <c r="C9005">
        <v>85098010</v>
      </c>
      <c r="E9005">
        <v>81.84</v>
      </c>
      <c r="F9005">
        <v>25</v>
      </c>
      <c r="G9005">
        <v>10</v>
      </c>
      <c r="H9005" t="s">
        <v>19447</v>
      </c>
      <c r="I9005" t="s">
        <v>19447</v>
      </c>
      <c r="J9005">
        <v>20</v>
      </c>
      <c r="L9005" t="s">
        <v>2709</v>
      </c>
      <c r="M9005">
        <v>85098010</v>
      </c>
      <c r="O9005" t="s">
        <v>20195</v>
      </c>
      <c r="P9005" t="s">
        <v>19982</v>
      </c>
      <c r="Q9005" t="s">
        <v>19904</v>
      </c>
      <c r="R9005" t="s">
        <v>19447</v>
      </c>
      <c r="S9005" t="s">
        <v>19447</v>
      </c>
      <c r="T9005" t="s">
        <v>19934</v>
      </c>
    </row>
    <row r="9006" spans="2:20" x14ac:dyDescent="0.25">
      <c r="B9006" t="s">
        <v>2709</v>
      </c>
      <c r="C9006">
        <v>85098090</v>
      </c>
      <c r="E9006">
        <v>43.79</v>
      </c>
      <c r="F9006">
        <v>25</v>
      </c>
      <c r="G9006">
        <v>10</v>
      </c>
      <c r="H9006" t="s">
        <v>19447</v>
      </c>
      <c r="I9006" t="s">
        <v>19447</v>
      </c>
      <c r="J9006">
        <v>20</v>
      </c>
      <c r="L9006" t="s">
        <v>2709</v>
      </c>
      <c r="M9006">
        <v>85098090</v>
      </c>
      <c r="O9006" t="s">
        <v>20194</v>
      </c>
      <c r="P9006" t="s">
        <v>19982</v>
      </c>
      <c r="Q9006" t="s">
        <v>19904</v>
      </c>
      <c r="R9006" t="s">
        <v>19447</v>
      </c>
      <c r="S9006" t="s">
        <v>19447</v>
      </c>
      <c r="T9006" t="s">
        <v>19934</v>
      </c>
    </row>
    <row r="9007" spans="2:20" x14ac:dyDescent="0.25">
      <c r="B9007" t="s">
        <v>2709</v>
      </c>
      <c r="C9007">
        <v>85099000</v>
      </c>
      <c r="E9007">
        <v>43.79</v>
      </c>
      <c r="F9007">
        <v>25</v>
      </c>
      <c r="G9007">
        <v>10</v>
      </c>
      <c r="H9007" t="s">
        <v>19447</v>
      </c>
      <c r="I9007" t="s">
        <v>19447</v>
      </c>
      <c r="J9007">
        <v>16</v>
      </c>
      <c r="L9007" t="s">
        <v>2709</v>
      </c>
      <c r="M9007">
        <v>85099000</v>
      </c>
      <c r="O9007" t="s">
        <v>20194</v>
      </c>
      <c r="P9007" t="s">
        <v>19982</v>
      </c>
      <c r="Q9007" t="s">
        <v>19904</v>
      </c>
      <c r="R9007" t="s">
        <v>19447</v>
      </c>
      <c r="S9007" t="s">
        <v>19447</v>
      </c>
      <c r="T9007" t="s">
        <v>19913</v>
      </c>
    </row>
    <row r="9008" spans="2:20" x14ac:dyDescent="0.25">
      <c r="B9008" t="s">
        <v>2709</v>
      </c>
      <c r="C9008">
        <v>85101000</v>
      </c>
      <c r="E9008">
        <v>46.63</v>
      </c>
      <c r="F9008">
        <v>25</v>
      </c>
      <c r="G9008">
        <v>20</v>
      </c>
      <c r="H9008" t="s">
        <v>19447</v>
      </c>
      <c r="I9008" t="s">
        <v>19447</v>
      </c>
      <c r="J9008">
        <v>20</v>
      </c>
      <c r="L9008" t="s">
        <v>2709</v>
      </c>
      <c r="M9008">
        <v>85101000</v>
      </c>
      <c r="O9008" t="s">
        <v>20145</v>
      </c>
      <c r="P9008" t="s">
        <v>19982</v>
      </c>
      <c r="Q9008" t="s">
        <v>19934</v>
      </c>
      <c r="R9008" t="s">
        <v>19447</v>
      </c>
      <c r="S9008" t="s">
        <v>19447</v>
      </c>
      <c r="T9008" t="s">
        <v>19934</v>
      </c>
    </row>
    <row r="9009" spans="2:20" x14ac:dyDescent="0.25">
      <c r="B9009" t="s">
        <v>2709</v>
      </c>
      <c r="C9009">
        <v>85102000</v>
      </c>
      <c r="E9009">
        <v>46.63</v>
      </c>
      <c r="F9009">
        <v>25</v>
      </c>
      <c r="G9009">
        <v>20</v>
      </c>
      <c r="H9009" t="s">
        <v>19447</v>
      </c>
      <c r="I9009" t="s">
        <v>19447</v>
      </c>
      <c r="J9009">
        <v>0</v>
      </c>
      <c r="L9009" t="s">
        <v>2709</v>
      </c>
      <c r="M9009">
        <v>85102000</v>
      </c>
      <c r="O9009" t="s">
        <v>20145</v>
      </c>
      <c r="P9009" t="s">
        <v>19982</v>
      </c>
      <c r="Q9009" t="s">
        <v>19934</v>
      </c>
      <c r="R9009" t="s">
        <v>19447</v>
      </c>
      <c r="S9009" t="s">
        <v>19447</v>
      </c>
      <c r="T9009" t="s">
        <v>19900</v>
      </c>
    </row>
    <row r="9010" spans="2:20" x14ac:dyDescent="0.25">
      <c r="B9010" t="s">
        <v>2709</v>
      </c>
      <c r="C9010">
        <v>85103000</v>
      </c>
      <c r="E9010">
        <v>46.63</v>
      </c>
      <c r="F9010">
        <v>25</v>
      </c>
      <c r="G9010">
        <v>10</v>
      </c>
      <c r="H9010" t="s">
        <v>19447</v>
      </c>
      <c r="I9010" t="s">
        <v>19447</v>
      </c>
      <c r="J9010">
        <v>20</v>
      </c>
      <c r="L9010" t="s">
        <v>2709</v>
      </c>
      <c r="M9010">
        <v>85103000</v>
      </c>
      <c r="O9010" t="s">
        <v>20145</v>
      </c>
      <c r="P9010" t="s">
        <v>19982</v>
      </c>
      <c r="Q9010" t="s">
        <v>19904</v>
      </c>
      <c r="R9010" t="s">
        <v>19447</v>
      </c>
      <c r="S9010" t="s">
        <v>19447</v>
      </c>
      <c r="T9010" t="s">
        <v>19934</v>
      </c>
    </row>
    <row r="9011" spans="2:20" x14ac:dyDescent="0.25">
      <c r="B9011" t="s">
        <v>2709</v>
      </c>
      <c r="C9011">
        <v>85109011</v>
      </c>
      <c r="E9011">
        <v>46.63</v>
      </c>
      <c r="F9011">
        <v>25</v>
      </c>
      <c r="G9011">
        <v>20</v>
      </c>
      <c r="H9011" t="s">
        <v>19447</v>
      </c>
      <c r="I9011" t="s">
        <v>19447</v>
      </c>
      <c r="J9011">
        <v>16</v>
      </c>
      <c r="L9011" t="s">
        <v>2709</v>
      </c>
      <c r="M9011">
        <v>85109011</v>
      </c>
      <c r="O9011" t="s">
        <v>20145</v>
      </c>
      <c r="P9011" t="s">
        <v>19982</v>
      </c>
      <c r="Q9011" t="s">
        <v>19934</v>
      </c>
      <c r="R9011" t="s">
        <v>19447</v>
      </c>
      <c r="S9011" t="s">
        <v>19447</v>
      </c>
      <c r="T9011" t="s">
        <v>19913</v>
      </c>
    </row>
    <row r="9012" spans="2:20" x14ac:dyDescent="0.25">
      <c r="B9012" t="s">
        <v>2709</v>
      </c>
      <c r="C9012">
        <v>85109019</v>
      </c>
      <c r="E9012">
        <v>46.63</v>
      </c>
      <c r="F9012">
        <v>25</v>
      </c>
      <c r="G9012">
        <v>20</v>
      </c>
      <c r="H9012" t="s">
        <v>19447</v>
      </c>
      <c r="I9012" t="s">
        <v>19447</v>
      </c>
      <c r="J9012">
        <v>16</v>
      </c>
      <c r="L9012" t="s">
        <v>2709</v>
      </c>
      <c r="M9012">
        <v>85109019</v>
      </c>
      <c r="O9012" t="s">
        <v>20145</v>
      </c>
      <c r="P9012" t="s">
        <v>19982</v>
      </c>
      <c r="Q9012" t="s">
        <v>19934</v>
      </c>
      <c r="R9012" t="s">
        <v>19447</v>
      </c>
      <c r="S9012" t="s">
        <v>19447</v>
      </c>
      <c r="T9012" t="s">
        <v>19913</v>
      </c>
    </row>
    <row r="9013" spans="2:20" x14ac:dyDescent="0.25">
      <c r="B9013" t="s">
        <v>2709</v>
      </c>
      <c r="C9013">
        <v>85109020</v>
      </c>
      <c r="E9013">
        <v>46.63</v>
      </c>
      <c r="F9013">
        <v>25</v>
      </c>
      <c r="G9013">
        <v>20</v>
      </c>
      <c r="H9013" t="s">
        <v>19447</v>
      </c>
      <c r="I9013" t="s">
        <v>19447</v>
      </c>
      <c r="J9013">
        <v>14</v>
      </c>
      <c r="L9013" t="s">
        <v>2709</v>
      </c>
      <c r="M9013">
        <v>85109020</v>
      </c>
      <c r="O9013" t="s">
        <v>20145</v>
      </c>
      <c r="P9013" t="s">
        <v>19982</v>
      </c>
      <c r="Q9013" t="s">
        <v>19934</v>
      </c>
      <c r="R9013" t="s">
        <v>19447</v>
      </c>
      <c r="S9013" t="s">
        <v>19447</v>
      </c>
      <c r="T9013" t="s">
        <v>19911</v>
      </c>
    </row>
    <row r="9014" spans="2:20" x14ac:dyDescent="0.25">
      <c r="B9014" t="s">
        <v>2709</v>
      </c>
      <c r="C9014">
        <v>85109090</v>
      </c>
      <c r="E9014">
        <v>46.63</v>
      </c>
      <c r="F9014">
        <v>25</v>
      </c>
      <c r="G9014">
        <v>20</v>
      </c>
      <c r="H9014" t="s">
        <v>19447</v>
      </c>
      <c r="I9014" t="s">
        <v>19447</v>
      </c>
      <c r="J9014">
        <v>0</v>
      </c>
      <c r="L9014" t="s">
        <v>2709</v>
      </c>
      <c r="M9014">
        <v>85109090</v>
      </c>
      <c r="O9014" t="s">
        <v>20145</v>
      </c>
      <c r="P9014" t="s">
        <v>19982</v>
      </c>
      <c r="Q9014" t="s">
        <v>19934</v>
      </c>
      <c r="R9014" t="s">
        <v>19447</v>
      </c>
      <c r="S9014" t="s">
        <v>19447</v>
      </c>
      <c r="T9014" t="s">
        <v>19900</v>
      </c>
    </row>
    <row r="9015" spans="2:20" x14ac:dyDescent="0.25">
      <c r="B9015" t="s">
        <v>2709</v>
      </c>
      <c r="C9015">
        <v>85111000</v>
      </c>
      <c r="E9015">
        <v>71.78</v>
      </c>
      <c r="F9015">
        <v>25</v>
      </c>
      <c r="G9015">
        <v>15</v>
      </c>
      <c r="H9015">
        <v>10.8</v>
      </c>
      <c r="I9015">
        <v>2.2999999999999998</v>
      </c>
      <c r="J9015">
        <v>18</v>
      </c>
      <c r="L9015" t="s">
        <v>2709</v>
      </c>
      <c r="M9015">
        <v>85111000</v>
      </c>
      <c r="O9015" t="s">
        <v>20056</v>
      </c>
      <c r="P9015" t="s">
        <v>19982</v>
      </c>
      <c r="Q9015" t="s">
        <v>19983</v>
      </c>
      <c r="R9015" t="s">
        <v>20074</v>
      </c>
      <c r="S9015" t="s">
        <v>20075</v>
      </c>
      <c r="T9015" t="s">
        <v>19899</v>
      </c>
    </row>
    <row r="9016" spans="2:20" x14ac:dyDescent="0.25">
      <c r="B9016" t="s">
        <v>2709</v>
      </c>
      <c r="C9016">
        <v>85112010</v>
      </c>
      <c r="E9016">
        <v>71.78</v>
      </c>
      <c r="F9016">
        <v>25</v>
      </c>
      <c r="G9016">
        <v>15</v>
      </c>
      <c r="H9016">
        <v>10.8</v>
      </c>
      <c r="I9016">
        <v>2.2999999999999998</v>
      </c>
      <c r="J9016">
        <v>18</v>
      </c>
      <c r="L9016" t="s">
        <v>2709</v>
      </c>
      <c r="M9016">
        <v>85112010</v>
      </c>
      <c r="O9016" t="s">
        <v>20056</v>
      </c>
      <c r="P9016" t="s">
        <v>19982</v>
      </c>
      <c r="Q9016" t="s">
        <v>19983</v>
      </c>
      <c r="R9016" t="s">
        <v>20074</v>
      </c>
      <c r="S9016" t="s">
        <v>20075</v>
      </c>
      <c r="T9016" t="s">
        <v>19899</v>
      </c>
    </row>
    <row r="9017" spans="2:20" x14ac:dyDescent="0.25">
      <c r="B9017" t="s">
        <v>2709</v>
      </c>
      <c r="C9017">
        <v>85112090</v>
      </c>
      <c r="E9017">
        <v>71.78</v>
      </c>
      <c r="F9017">
        <v>25</v>
      </c>
      <c r="G9017">
        <v>15</v>
      </c>
      <c r="H9017">
        <v>10.8</v>
      </c>
      <c r="I9017">
        <v>2.2999999999999998</v>
      </c>
      <c r="J9017">
        <v>18</v>
      </c>
      <c r="L9017" t="s">
        <v>2709</v>
      </c>
      <c r="M9017">
        <v>85112090</v>
      </c>
      <c r="O9017" t="s">
        <v>20056</v>
      </c>
      <c r="P9017" t="s">
        <v>19982</v>
      </c>
      <c r="Q9017" t="s">
        <v>19983</v>
      </c>
      <c r="R9017" t="s">
        <v>20074</v>
      </c>
      <c r="S9017" t="s">
        <v>20075</v>
      </c>
      <c r="T9017" t="s">
        <v>19899</v>
      </c>
    </row>
    <row r="9018" spans="2:20" x14ac:dyDescent="0.25">
      <c r="B9018" t="s">
        <v>2709</v>
      </c>
      <c r="C9018">
        <v>85113010</v>
      </c>
      <c r="E9018">
        <v>71.78</v>
      </c>
      <c r="F9018">
        <v>25</v>
      </c>
      <c r="G9018">
        <v>15</v>
      </c>
      <c r="H9018">
        <v>10.8</v>
      </c>
      <c r="I9018">
        <v>2.2999999999999998</v>
      </c>
      <c r="J9018">
        <v>18</v>
      </c>
      <c r="L9018" t="s">
        <v>2709</v>
      </c>
      <c r="M9018">
        <v>85113010</v>
      </c>
      <c r="O9018" t="s">
        <v>20056</v>
      </c>
      <c r="P9018" t="s">
        <v>19982</v>
      </c>
      <c r="Q9018" t="s">
        <v>19983</v>
      </c>
      <c r="R9018" t="s">
        <v>20074</v>
      </c>
      <c r="S9018" t="s">
        <v>20075</v>
      </c>
      <c r="T9018" t="s">
        <v>19899</v>
      </c>
    </row>
    <row r="9019" spans="2:20" x14ac:dyDescent="0.25">
      <c r="B9019" t="s">
        <v>2709</v>
      </c>
      <c r="C9019">
        <v>85113020</v>
      </c>
      <c r="E9019">
        <v>71.78</v>
      </c>
      <c r="F9019">
        <v>25</v>
      </c>
      <c r="G9019">
        <v>15</v>
      </c>
      <c r="H9019">
        <v>10.8</v>
      </c>
      <c r="I9019">
        <v>2.2999999999999998</v>
      </c>
      <c r="J9019">
        <v>18</v>
      </c>
      <c r="L9019" t="s">
        <v>2709</v>
      </c>
      <c r="M9019">
        <v>85113020</v>
      </c>
      <c r="O9019" t="s">
        <v>20056</v>
      </c>
      <c r="P9019" t="s">
        <v>19982</v>
      </c>
      <c r="Q9019" t="s">
        <v>19983</v>
      </c>
      <c r="R9019" t="s">
        <v>20074</v>
      </c>
      <c r="S9019" t="s">
        <v>20075</v>
      </c>
      <c r="T9019" t="s">
        <v>19899</v>
      </c>
    </row>
    <row r="9020" spans="2:20" x14ac:dyDescent="0.25">
      <c r="B9020" t="s">
        <v>2709</v>
      </c>
      <c r="C9020">
        <v>85114000</v>
      </c>
      <c r="E9020">
        <v>71.78</v>
      </c>
      <c r="F9020">
        <v>25</v>
      </c>
      <c r="G9020">
        <v>15</v>
      </c>
      <c r="H9020">
        <v>10.8</v>
      </c>
      <c r="I9020">
        <v>2.2999999999999998</v>
      </c>
      <c r="J9020">
        <v>18</v>
      </c>
      <c r="L9020" t="s">
        <v>2709</v>
      </c>
      <c r="M9020">
        <v>85114000</v>
      </c>
      <c r="O9020" t="s">
        <v>20056</v>
      </c>
      <c r="P9020" t="s">
        <v>19982</v>
      </c>
      <c r="Q9020" t="s">
        <v>19983</v>
      </c>
      <c r="R9020" t="s">
        <v>20074</v>
      </c>
      <c r="S9020" t="s">
        <v>20075</v>
      </c>
      <c r="T9020" t="s">
        <v>19899</v>
      </c>
    </row>
    <row r="9021" spans="2:20" x14ac:dyDescent="0.25">
      <c r="B9021" t="s">
        <v>2709</v>
      </c>
      <c r="C9021">
        <v>85114000</v>
      </c>
      <c r="D9021">
        <v>1</v>
      </c>
      <c r="E9021" t="s">
        <v>19447</v>
      </c>
      <c r="F9021">
        <v>18</v>
      </c>
      <c r="G9021">
        <v>4</v>
      </c>
      <c r="H9021">
        <v>7.6</v>
      </c>
      <c r="I9021">
        <v>1.65</v>
      </c>
      <c r="J9021">
        <v>18</v>
      </c>
      <c r="L9021" t="s">
        <v>2709</v>
      </c>
      <c r="M9021">
        <v>85114000</v>
      </c>
      <c r="N9021">
        <v>1</v>
      </c>
      <c r="O9021" t="s">
        <v>19447</v>
      </c>
      <c r="P9021" t="s">
        <v>19899</v>
      </c>
      <c r="Q9021" t="s">
        <v>19902</v>
      </c>
      <c r="R9021" t="s">
        <v>19905</v>
      </c>
      <c r="S9021" t="s">
        <v>19906</v>
      </c>
      <c r="T9021" t="s">
        <v>19899</v>
      </c>
    </row>
    <row r="9022" spans="2:20" x14ac:dyDescent="0.25">
      <c r="B9022" t="s">
        <v>2709</v>
      </c>
      <c r="C9022">
        <v>85115010</v>
      </c>
      <c r="E9022">
        <v>71.78</v>
      </c>
      <c r="F9022">
        <v>25</v>
      </c>
      <c r="G9022">
        <v>15</v>
      </c>
      <c r="H9022">
        <v>10.8</v>
      </c>
      <c r="I9022">
        <v>2.2999999999999998</v>
      </c>
      <c r="J9022">
        <v>18</v>
      </c>
      <c r="L9022" t="s">
        <v>2709</v>
      </c>
      <c r="M9022">
        <v>85115010</v>
      </c>
      <c r="O9022" t="s">
        <v>20056</v>
      </c>
      <c r="P9022" t="s">
        <v>19982</v>
      </c>
      <c r="Q9022" t="s">
        <v>19983</v>
      </c>
      <c r="R9022" t="s">
        <v>20074</v>
      </c>
      <c r="S9022" t="s">
        <v>20075</v>
      </c>
      <c r="T9022" t="s">
        <v>19899</v>
      </c>
    </row>
    <row r="9023" spans="2:20" x14ac:dyDescent="0.25">
      <c r="B9023" t="s">
        <v>2709</v>
      </c>
      <c r="C9023">
        <v>85115010</v>
      </c>
      <c r="D9023">
        <v>1</v>
      </c>
      <c r="E9023" t="s">
        <v>19447</v>
      </c>
      <c r="F9023">
        <v>18</v>
      </c>
      <c r="G9023">
        <v>4</v>
      </c>
      <c r="H9023">
        <v>7.6</v>
      </c>
      <c r="I9023">
        <v>1.65</v>
      </c>
      <c r="J9023">
        <v>18</v>
      </c>
      <c r="L9023" t="s">
        <v>2709</v>
      </c>
      <c r="M9023">
        <v>85115010</v>
      </c>
      <c r="N9023">
        <v>1</v>
      </c>
      <c r="O9023" t="s">
        <v>19447</v>
      </c>
      <c r="P9023" t="s">
        <v>19899</v>
      </c>
      <c r="Q9023" t="s">
        <v>19902</v>
      </c>
      <c r="R9023" t="s">
        <v>19905</v>
      </c>
      <c r="S9023" t="s">
        <v>19906</v>
      </c>
      <c r="T9023" t="s">
        <v>19899</v>
      </c>
    </row>
    <row r="9024" spans="2:20" x14ac:dyDescent="0.25">
      <c r="B9024" t="s">
        <v>2709</v>
      </c>
      <c r="C9024">
        <v>85115090</v>
      </c>
      <c r="E9024">
        <v>71.78</v>
      </c>
      <c r="F9024">
        <v>25</v>
      </c>
      <c r="G9024">
        <v>15</v>
      </c>
      <c r="H9024">
        <v>10.8</v>
      </c>
      <c r="I9024">
        <v>2.2999999999999998</v>
      </c>
      <c r="J9024">
        <v>18</v>
      </c>
      <c r="L9024" t="s">
        <v>2709</v>
      </c>
      <c r="M9024">
        <v>85115090</v>
      </c>
      <c r="O9024" t="s">
        <v>20056</v>
      </c>
      <c r="P9024" t="s">
        <v>19982</v>
      </c>
      <c r="Q9024" t="s">
        <v>19983</v>
      </c>
      <c r="R9024" t="s">
        <v>20074</v>
      </c>
      <c r="S9024" t="s">
        <v>20075</v>
      </c>
      <c r="T9024" t="s">
        <v>19899</v>
      </c>
    </row>
    <row r="9025" spans="2:20" x14ac:dyDescent="0.25">
      <c r="B9025" t="s">
        <v>2709</v>
      </c>
      <c r="C9025">
        <v>85118010</v>
      </c>
      <c r="E9025">
        <v>71.78</v>
      </c>
      <c r="F9025">
        <v>25</v>
      </c>
      <c r="G9025">
        <v>15</v>
      </c>
      <c r="H9025">
        <v>10.8</v>
      </c>
      <c r="I9025">
        <v>2.2999999999999998</v>
      </c>
      <c r="J9025">
        <v>18</v>
      </c>
      <c r="L9025" t="s">
        <v>2709</v>
      </c>
      <c r="M9025">
        <v>85118010</v>
      </c>
      <c r="O9025" t="s">
        <v>20056</v>
      </c>
      <c r="P9025" t="s">
        <v>19982</v>
      </c>
      <c r="Q9025" t="s">
        <v>19983</v>
      </c>
      <c r="R9025" t="s">
        <v>20074</v>
      </c>
      <c r="S9025" t="s">
        <v>20075</v>
      </c>
      <c r="T9025" t="s">
        <v>19899</v>
      </c>
    </row>
    <row r="9026" spans="2:20" x14ac:dyDescent="0.25">
      <c r="B9026" t="s">
        <v>2709</v>
      </c>
      <c r="C9026">
        <v>85118020</v>
      </c>
      <c r="E9026">
        <v>71.78</v>
      </c>
      <c r="F9026">
        <v>25</v>
      </c>
      <c r="G9026">
        <v>15</v>
      </c>
      <c r="H9026">
        <v>10.8</v>
      </c>
      <c r="I9026">
        <v>2.2999999999999998</v>
      </c>
      <c r="J9026">
        <v>18</v>
      </c>
      <c r="L9026" t="s">
        <v>2709</v>
      </c>
      <c r="M9026">
        <v>85118020</v>
      </c>
      <c r="O9026" t="s">
        <v>20056</v>
      </c>
      <c r="P9026" t="s">
        <v>19982</v>
      </c>
      <c r="Q9026" t="s">
        <v>19983</v>
      </c>
      <c r="R9026" t="s">
        <v>20074</v>
      </c>
      <c r="S9026" t="s">
        <v>20075</v>
      </c>
      <c r="T9026" t="s">
        <v>19899</v>
      </c>
    </row>
    <row r="9027" spans="2:20" x14ac:dyDescent="0.25">
      <c r="B9027" t="s">
        <v>2709</v>
      </c>
      <c r="C9027">
        <v>85118030</v>
      </c>
      <c r="E9027">
        <v>71.78</v>
      </c>
      <c r="F9027">
        <v>12</v>
      </c>
      <c r="G9027">
        <v>15</v>
      </c>
      <c r="H9027">
        <v>10.8</v>
      </c>
      <c r="I9027">
        <v>2.2999999999999998</v>
      </c>
      <c r="J9027">
        <v>16</v>
      </c>
      <c r="L9027" t="s">
        <v>2709</v>
      </c>
      <c r="M9027">
        <v>85118030</v>
      </c>
      <c r="O9027" t="s">
        <v>20056</v>
      </c>
      <c r="P9027" t="s">
        <v>19903</v>
      </c>
      <c r="Q9027" t="s">
        <v>19983</v>
      </c>
      <c r="R9027" t="s">
        <v>20074</v>
      </c>
      <c r="S9027" t="s">
        <v>20075</v>
      </c>
      <c r="T9027" t="s">
        <v>19913</v>
      </c>
    </row>
    <row r="9028" spans="2:20" x14ac:dyDescent="0.25">
      <c r="B9028" t="s">
        <v>2709</v>
      </c>
      <c r="C9028">
        <v>85118090</v>
      </c>
      <c r="E9028">
        <v>71.78</v>
      </c>
      <c r="F9028">
        <v>25</v>
      </c>
      <c r="G9028">
        <v>15</v>
      </c>
      <c r="H9028">
        <v>10.8</v>
      </c>
      <c r="I9028">
        <v>2.2999999999999998</v>
      </c>
      <c r="J9028">
        <v>18</v>
      </c>
      <c r="L9028" t="s">
        <v>2709</v>
      </c>
      <c r="M9028">
        <v>85118090</v>
      </c>
      <c r="O9028" t="s">
        <v>20056</v>
      </c>
      <c r="P9028" t="s">
        <v>19982</v>
      </c>
      <c r="Q9028" t="s">
        <v>19983</v>
      </c>
      <c r="R9028" t="s">
        <v>20074</v>
      </c>
      <c r="S9028" t="s">
        <v>20075</v>
      </c>
      <c r="T9028" t="s">
        <v>19899</v>
      </c>
    </row>
    <row r="9029" spans="2:20" x14ac:dyDescent="0.25">
      <c r="B9029" t="s">
        <v>2709</v>
      </c>
      <c r="C9029">
        <v>85119000</v>
      </c>
      <c r="E9029">
        <v>71.78</v>
      </c>
      <c r="F9029">
        <v>25</v>
      </c>
      <c r="G9029">
        <v>15</v>
      </c>
      <c r="H9029">
        <v>10.8</v>
      </c>
      <c r="I9029">
        <v>2.2999999999999998</v>
      </c>
      <c r="J9029">
        <v>16</v>
      </c>
      <c r="L9029" t="s">
        <v>2709</v>
      </c>
      <c r="M9029">
        <v>85119000</v>
      </c>
      <c r="O9029" t="s">
        <v>20056</v>
      </c>
      <c r="P9029" t="s">
        <v>19982</v>
      </c>
      <c r="Q9029" t="s">
        <v>19983</v>
      </c>
      <c r="R9029" t="s">
        <v>20074</v>
      </c>
      <c r="S9029" t="s">
        <v>20075</v>
      </c>
      <c r="T9029" t="s">
        <v>19913</v>
      </c>
    </row>
    <row r="9030" spans="2:20" x14ac:dyDescent="0.25">
      <c r="B9030" t="s">
        <v>2709</v>
      </c>
      <c r="C9030">
        <v>85121000</v>
      </c>
      <c r="E9030">
        <v>105</v>
      </c>
      <c r="F9030">
        <v>25</v>
      </c>
      <c r="G9030">
        <v>15</v>
      </c>
      <c r="H9030" t="s">
        <v>19447</v>
      </c>
      <c r="I9030" t="s">
        <v>19447</v>
      </c>
      <c r="J9030">
        <v>18</v>
      </c>
      <c r="L9030" t="s">
        <v>2709</v>
      </c>
      <c r="M9030">
        <v>85121000</v>
      </c>
      <c r="O9030" t="s">
        <v>20078</v>
      </c>
      <c r="P9030" t="s">
        <v>19982</v>
      </c>
      <c r="Q9030" t="s">
        <v>19983</v>
      </c>
      <c r="R9030" t="s">
        <v>19447</v>
      </c>
      <c r="S9030" t="s">
        <v>19447</v>
      </c>
      <c r="T9030" t="s">
        <v>19899</v>
      </c>
    </row>
    <row r="9031" spans="2:20" x14ac:dyDescent="0.25">
      <c r="B9031" t="s">
        <v>2709</v>
      </c>
      <c r="C9031">
        <v>85122011</v>
      </c>
      <c r="E9031">
        <v>71.78</v>
      </c>
      <c r="F9031">
        <v>25</v>
      </c>
      <c r="G9031">
        <v>15</v>
      </c>
      <c r="H9031">
        <v>10.8</v>
      </c>
      <c r="I9031">
        <v>2.2999999999999998</v>
      </c>
      <c r="J9031">
        <v>18</v>
      </c>
      <c r="L9031" t="s">
        <v>2709</v>
      </c>
      <c r="M9031">
        <v>85122011</v>
      </c>
      <c r="O9031" t="s">
        <v>20056</v>
      </c>
      <c r="P9031" t="s">
        <v>19982</v>
      </c>
      <c r="Q9031" t="s">
        <v>19983</v>
      </c>
      <c r="R9031" t="s">
        <v>20074</v>
      </c>
      <c r="S9031" t="s">
        <v>20075</v>
      </c>
      <c r="T9031" t="s">
        <v>19899</v>
      </c>
    </row>
    <row r="9032" spans="2:20" x14ac:dyDescent="0.25">
      <c r="B9032" t="s">
        <v>2709</v>
      </c>
      <c r="C9032">
        <v>85122011</v>
      </c>
      <c r="D9032">
        <v>1</v>
      </c>
      <c r="E9032" t="s">
        <v>19447</v>
      </c>
      <c r="F9032">
        <v>18</v>
      </c>
      <c r="G9032">
        <v>4</v>
      </c>
      <c r="H9032">
        <v>7.6</v>
      </c>
      <c r="I9032">
        <v>1.65</v>
      </c>
      <c r="J9032">
        <v>18</v>
      </c>
      <c r="L9032" t="s">
        <v>2709</v>
      </c>
      <c r="M9032">
        <v>85122011</v>
      </c>
      <c r="N9032">
        <v>1</v>
      </c>
      <c r="O9032" t="s">
        <v>19447</v>
      </c>
      <c r="P9032" t="s">
        <v>19899</v>
      </c>
      <c r="Q9032" t="s">
        <v>19902</v>
      </c>
      <c r="R9032" t="s">
        <v>19905</v>
      </c>
      <c r="S9032" t="s">
        <v>19906</v>
      </c>
      <c r="T9032" t="s">
        <v>19899</v>
      </c>
    </row>
    <row r="9033" spans="2:20" x14ac:dyDescent="0.25">
      <c r="B9033" t="s">
        <v>2709</v>
      </c>
      <c r="C9033">
        <v>85122019</v>
      </c>
      <c r="E9033">
        <v>71.78</v>
      </c>
      <c r="F9033">
        <v>25</v>
      </c>
      <c r="G9033">
        <v>15</v>
      </c>
      <c r="H9033">
        <v>10.8</v>
      </c>
      <c r="I9033">
        <v>2.2999999999999998</v>
      </c>
      <c r="J9033">
        <v>18</v>
      </c>
      <c r="L9033" t="s">
        <v>2709</v>
      </c>
      <c r="M9033">
        <v>85122019</v>
      </c>
      <c r="O9033" t="s">
        <v>20056</v>
      </c>
      <c r="P9033" t="s">
        <v>19982</v>
      </c>
      <c r="Q9033" t="s">
        <v>19983</v>
      </c>
      <c r="R9033" t="s">
        <v>20074</v>
      </c>
      <c r="S9033" t="s">
        <v>20075</v>
      </c>
      <c r="T9033" t="s">
        <v>19899</v>
      </c>
    </row>
    <row r="9034" spans="2:20" x14ac:dyDescent="0.25">
      <c r="B9034" t="s">
        <v>2709</v>
      </c>
      <c r="C9034">
        <v>85122021</v>
      </c>
      <c r="E9034">
        <v>71.78</v>
      </c>
      <c r="F9034">
        <v>25</v>
      </c>
      <c r="G9034">
        <v>15</v>
      </c>
      <c r="H9034">
        <v>10.8</v>
      </c>
      <c r="I9034">
        <v>2.2999999999999998</v>
      </c>
      <c r="J9034">
        <v>18</v>
      </c>
      <c r="L9034" t="s">
        <v>2709</v>
      </c>
      <c r="M9034">
        <v>85122021</v>
      </c>
      <c r="O9034" t="s">
        <v>20056</v>
      </c>
      <c r="P9034" t="s">
        <v>19982</v>
      </c>
      <c r="Q9034" t="s">
        <v>19983</v>
      </c>
      <c r="R9034" t="s">
        <v>20074</v>
      </c>
      <c r="S9034" t="s">
        <v>20075</v>
      </c>
      <c r="T9034" t="s">
        <v>19899</v>
      </c>
    </row>
    <row r="9035" spans="2:20" x14ac:dyDescent="0.25">
      <c r="B9035" t="s">
        <v>2709</v>
      </c>
      <c r="C9035">
        <v>85122021</v>
      </c>
      <c r="D9035">
        <v>1</v>
      </c>
      <c r="E9035" t="s">
        <v>19447</v>
      </c>
      <c r="F9035">
        <v>18</v>
      </c>
      <c r="G9035">
        <v>4</v>
      </c>
      <c r="H9035">
        <v>7.6</v>
      </c>
      <c r="I9035">
        <v>1.65</v>
      </c>
      <c r="J9035">
        <v>18</v>
      </c>
      <c r="L9035" t="s">
        <v>2709</v>
      </c>
      <c r="M9035">
        <v>85122021</v>
      </c>
      <c r="N9035">
        <v>1</v>
      </c>
      <c r="O9035" t="s">
        <v>19447</v>
      </c>
      <c r="P9035" t="s">
        <v>19899</v>
      </c>
      <c r="Q9035" t="s">
        <v>19902</v>
      </c>
      <c r="R9035" t="s">
        <v>19905</v>
      </c>
      <c r="S9035" t="s">
        <v>19906</v>
      </c>
      <c r="T9035" t="s">
        <v>19899</v>
      </c>
    </row>
    <row r="9036" spans="2:20" x14ac:dyDescent="0.25">
      <c r="B9036" t="s">
        <v>2709</v>
      </c>
      <c r="C9036">
        <v>85122022</v>
      </c>
      <c r="E9036">
        <v>71.78</v>
      </c>
      <c r="F9036">
        <v>25</v>
      </c>
      <c r="G9036">
        <v>15</v>
      </c>
      <c r="H9036">
        <v>10.8</v>
      </c>
      <c r="I9036">
        <v>2.2999999999999998</v>
      </c>
      <c r="J9036">
        <v>18</v>
      </c>
      <c r="L9036" t="s">
        <v>2709</v>
      </c>
      <c r="M9036">
        <v>85122022</v>
      </c>
      <c r="O9036" t="s">
        <v>20056</v>
      </c>
      <c r="P9036" t="s">
        <v>19982</v>
      </c>
      <c r="Q9036" t="s">
        <v>19983</v>
      </c>
      <c r="R9036" t="s">
        <v>20074</v>
      </c>
      <c r="S9036" t="s">
        <v>20075</v>
      </c>
      <c r="T9036" t="s">
        <v>19899</v>
      </c>
    </row>
    <row r="9037" spans="2:20" x14ac:dyDescent="0.25">
      <c r="B9037" t="s">
        <v>2709</v>
      </c>
      <c r="C9037">
        <v>85122023</v>
      </c>
      <c r="E9037">
        <v>71.78</v>
      </c>
      <c r="F9037">
        <v>25</v>
      </c>
      <c r="G9037">
        <v>15</v>
      </c>
      <c r="H9037">
        <v>10.8</v>
      </c>
      <c r="I9037">
        <v>2.2999999999999998</v>
      </c>
      <c r="J9037">
        <v>18</v>
      </c>
      <c r="L9037" t="s">
        <v>2709</v>
      </c>
      <c r="M9037">
        <v>85122023</v>
      </c>
      <c r="O9037" t="s">
        <v>20056</v>
      </c>
      <c r="P9037" t="s">
        <v>19982</v>
      </c>
      <c r="Q9037" t="s">
        <v>19983</v>
      </c>
      <c r="R9037" t="s">
        <v>20074</v>
      </c>
      <c r="S9037" t="s">
        <v>20075</v>
      </c>
      <c r="T9037" t="s">
        <v>19899</v>
      </c>
    </row>
    <row r="9038" spans="2:20" x14ac:dyDescent="0.25">
      <c r="B9038" t="s">
        <v>2709</v>
      </c>
      <c r="C9038">
        <v>85122029</v>
      </c>
      <c r="E9038">
        <v>71.78</v>
      </c>
      <c r="F9038">
        <v>25</v>
      </c>
      <c r="G9038">
        <v>15</v>
      </c>
      <c r="H9038">
        <v>10.8</v>
      </c>
      <c r="I9038">
        <v>2.2999999999999998</v>
      </c>
      <c r="J9038">
        <v>18</v>
      </c>
      <c r="L9038" t="s">
        <v>2709</v>
      </c>
      <c r="M9038">
        <v>85122029</v>
      </c>
      <c r="O9038" t="s">
        <v>20056</v>
      </c>
      <c r="P9038" t="s">
        <v>19982</v>
      </c>
      <c r="Q9038" t="s">
        <v>19983</v>
      </c>
      <c r="R9038" t="s">
        <v>20074</v>
      </c>
      <c r="S9038" t="s">
        <v>20075</v>
      </c>
      <c r="T9038" t="s">
        <v>19899</v>
      </c>
    </row>
    <row r="9039" spans="2:20" x14ac:dyDescent="0.25">
      <c r="B9039" t="s">
        <v>2709</v>
      </c>
      <c r="C9039">
        <v>85123000</v>
      </c>
      <c r="E9039">
        <v>71.78</v>
      </c>
      <c r="F9039">
        <v>25</v>
      </c>
      <c r="G9039">
        <v>15</v>
      </c>
      <c r="H9039">
        <v>10.8</v>
      </c>
      <c r="I9039">
        <v>2.2999999999999998</v>
      </c>
      <c r="J9039">
        <v>18</v>
      </c>
      <c r="L9039" t="s">
        <v>2709</v>
      </c>
      <c r="M9039">
        <v>85123000</v>
      </c>
      <c r="O9039" t="s">
        <v>20056</v>
      </c>
      <c r="P9039" t="s">
        <v>19982</v>
      </c>
      <c r="Q9039" t="s">
        <v>19983</v>
      </c>
      <c r="R9039" t="s">
        <v>20074</v>
      </c>
      <c r="S9039" t="s">
        <v>20075</v>
      </c>
      <c r="T9039" t="s">
        <v>19899</v>
      </c>
    </row>
    <row r="9040" spans="2:20" x14ac:dyDescent="0.25">
      <c r="B9040" t="s">
        <v>2709</v>
      </c>
      <c r="C9040">
        <v>85124010</v>
      </c>
      <c r="E9040">
        <v>71.78</v>
      </c>
      <c r="F9040">
        <v>25</v>
      </c>
      <c r="G9040">
        <v>15</v>
      </c>
      <c r="H9040">
        <v>10.8</v>
      </c>
      <c r="I9040">
        <v>2.2999999999999998</v>
      </c>
      <c r="J9040">
        <v>18</v>
      </c>
      <c r="L9040" t="s">
        <v>2709</v>
      </c>
      <c r="M9040">
        <v>85124010</v>
      </c>
      <c r="O9040" t="s">
        <v>20056</v>
      </c>
      <c r="P9040" t="s">
        <v>19982</v>
      </c>
      <c r="Q9040" t="s">
        <v>19983</v>
      </c>
      <c r="R9040" t="s">
        <v>20074</v>
      </c>
      <c r="S9040" t="s">
        <v>20075</v>
      </c>
      <c r="T9040" t="s">
        <v>19899</v>
      </c>
    </row>
    <row r="9041" spans="2:20" x14ac:dyDescent="0.25">
      <c r="B9041" t="s">
        <v>2709</v>
      </c>
      <c r="C9041">
        <v>85124020</v>
      </c>
      <c r="E9041">
        <v>71.78</v>
      </c>
      <c r="F9041">
        <v>25</v>
      </c>
      <c r="G9041">
        <v>15</v>
      </c>
      <c r="H9041">
        <v>10.8</v>
      </c>
      <c r="I9041">
        <v>2.2999999999999998</v>
      </c>
      <c r="J9041">
        <v>18</v>
      </c>
      <c r="L9041" t="s">
        <v>2709</v>
      </c>
      <c r="M9041">
        <v>85124020</v>
      </c>
      <c r="O9041" t="s">
        <v>20056</v>
      </c>
      <c r="P9041" t="s">
        <v>19982</v>
      </c>
      <c r="Q9041" t="s">
        <v>19983</v>
      </c>
      <c r="R9041" t="s">
        <v>20074</v>
      </c>
      <c r="S9041" t="s">
        <v>20075</v>
      </c>
      <c r="T9041" t="s">
        <v>19899</v>
      </c>
    </row>
    <row r="9042" spans="2:20" x14ac:dyDescent="0.25">
      <c r="B9042" t="s">
        <v>2709</v>
      </c>
      <c r="C9042">
        <v>85129000</v>
      </c>
      <c r="E9042">
        <v>71.78</v>
      </c>
      <c r="F9042">
        <v>25</v>
      </c>
      <c r="G9042">
        <v>15</v>
      </c>
      <c r="H9042">
        <v>10.8</v>
      </c>
      <c r="I9042">
        <v>2.2999999999999998</v>
      </c>
      <c r="J9042">
        <v>16</v>
      </c>
      <c r="L9042" t="s">
        <v>2709</v>
      </c>
      <c r="M9042">
        <v>85129000</v>
      </c>
      <c r="O9042" t="s">
        <v>20056</v>
      </c>
      <c r="P9042" t="s">
        <v>19982</v>
      </c>
      <c r="Q9042" t="s">
        <v>19983</v>
      </c>
      <c r="R9042" t="s">
        <v>20074</v>
      </c>
      <c r="S9042" t="s">
        <v>20075</v>
      </c>
      <c r="T9042" t="s">
        <v>19913</v>
      </c>
    </row>
    <row r="9043" spans="2:20" x14ac:dyDescent="0.25">
      <c r="B9043" t="s">
        <v>2709</v>
      </c>
      <c r="C9043">
        <v>85131010</v>
      </c>
      <c r="E9043">
        <v>76</v>
      </c>
      <c r="F9043">
        <v>25</v>
      </c>
      <c r="G9043">
        <v>15</v>
      </c>
      <c r="H9043" t="s">
        <v>19447</v>
      </c>
      <c r="I9043" t="s">
        <v>19447</v>
      </c>
      <c r="J9043">
        <v>18</v>
      </c>
      <c r="L9043" t="s">
        <v>2709</v>
      </c>
      <c r="M9043">
        <v>85131010</v>
      </c>
      <c r="O9043" t="s">
        <v>20118</v>
      </c>
      <c r="P9043" t="s">
        <v>19982</v>
      </c>
      <c r="Q9043" t="s">
        <v>19983</v>
      </c>
      <c r="R9043" t="s">
        <v>19447</v>
      </c>
      <c r="S9043" t="s">
        <v>19447</v>
      </c>
      <c r="T9043" t="s">
        <v>19899</v>
      </c>
    </row>
    <row r="9044" spans="2:20" x14ac:dyDescent="0.25">
      <c r="B9044" t="s">
        <v>2709</v>
      </c>
      <c r="C9044">
        <v>85131090</v>
      </c>
      <c r="E9044">
        <v>76</v>
      </c>
      <c r="F9044">
        <v>25</v>
      </c>
      <c r="G9044">
        <v>15</v>
      </c>
      <c r="H9044" t="s">
        <v>19447</v>
      </c>
      <c r="I9044" t="s">
        <v>19447</v>
      </c>
      <c r="J9044">
        <v>18</v>
      </c>
      <c r="L9044" t="s">
        <v>2709</v>
      </c>
      <c r="M9044">
        <v>85131090</v>
      </c>
      <c r="O9044" t="s">
        <v>20118</v>
      </c>
      <c r="P9044" t="s">
        <v>19982</v>
      </c>
      <c r="Q9044" t="s">
        <v>19983</v>
      </c>
      <c r="R9044" t="s">
        <v>19447</v>
      </c>
      <c r="S9044" t="s">
        <v>19447</v>
      </c>
      <c r="T9044" t="s">
        <v>19899</v>
      </c>
    </row>
    <row r="9045" spans="2:20" x14ac:dyDescent="0.25">
      <c r="B9045" t="s">
        <v>2709</v>
      </c>
      <c r="C9045">
        <v>85139000</v>
      </c>
      <c r="E9045">
        <v>76</v>
      </c>
      <c r="F9045">
        <v>25</v>
      </c>
      <c r="G9045">
        <v>15</v>
      </c>
      <c r="H9045" t="s">
        <v>19447</v>
      </c>
      <c r="I9045" t="s">
        <v>19447</v>
      </c>
      <c r="J9045">
        <v>16</v>
      </c>
      <c r="L9045" t="s">
        <v>2709</v>
      </c>
      <c r="M9045">
        <v>85139000</v>
      </c>
      <c r="O9045" t="s">
        <v>20118</v>
      </c>
      <c r="P9045" t="s">
        <v>19982</v>
      </c>
      <c r="Q9045" t="s">
        <v>19983</v>
      </c>
      <c r="R9045" t="s">
        <v>19447</v>
      </c>
      <c r="S9045" t="s">
        <v>19447</v>
      </c>
      <c r="T9045" t="s">
        <v>19913</v>
      </c>
    </row>
    <row r="9046" spans="2:20" x14ac:dyDescent="0.25">
      <c r="B9046" t="s">
        <v>2709</v>
      </c>
      <c r="C9046">
        <v>85141010</v>
      </c>
      <c r="E9046">
        <v>147.97</v>
      </c>
      <c r="F9046">
        <v>8.8000000000000007</v>
      </c>
      <c r="G9046">
        <v>0</v>
      </c>
      <c r="H9046" t="s">
        <v>19447</v>
      </c>
      <c r="I9046" t="s">
        <v>19447</v>
      </c>
      <c r="J9046">
        <v>14</v>
      </c>
      <c r="L9046" t="s">
        <v>2709</v>
      </c>
      <c r="M9046">
        <v>85141010</v>
      </c>
      <c r="O9046" t="s">
        <v>20138</v>
      </c>
      <c r="P9046" t="s">
        <v>20127</v>
      </c>
      <c r="Q9046" t="s">
        <v>19900</v>
      </c>
      <c r="R9046" t="s">
        <v>19447</v>
      </c>
      <c r="S9046" t="s">
        <v>19447</v>
      </c>
      <c r="T9046" t="s">
        <v>19911</v>
      </c>
    </row>
    <row r="9047" spans="2:20" x14ac:dyDescent="0.25">
      <c r="B9047" t="s">
        <v>2709</v>
      </c>
      <c r="C9047">
        <v>85141090</v>
      </c>
      <c r="E9047">
        <v>147.97</v>
      </c>
      <c r="F9047">
        <v>25</v>
      </c>
      <c r="G9047">
        <v>5</v>
      </c>
      <c r="H9047" t="s">
        <v>19447</v>
      </c>
      <c r="I9047" t="s">
        <v>19447</v>
      </c>
      <c r="J9047">
        <v>14</v>
      </c>
      <c r="L9047" t="s">
        <v>2709</v>
      </c>
      <c r="M9047">
        <v>85141090</v>
      </c>
      <c r="O9047" t="s">
        <v>20138</v>
      </c>
      <c r="P9047" t="s">
        <v>19982</v>
      </c>
      <c r="Q9047" t="s">
        <v>19909</v>
      </c>
      <c r="R9047" t="s">
        <v>19447</v>
      </c>
      <c r="S9047" t="s">
        <v>19447</v>
      </c>
      <c r="T9047" t="s">
        <v>19911</v>
      </c>
    </row>
    <row r="9048" spans="2:20" x14ac:dyDescent="0.25">
      <c r="B9048" t="s">
        <v>2709</v>
      </c>
      <c r="C9048">
        <v>85142011</v>
      </c>
      <c r="E9048">
        <v>147.97</v>
      </c>
      <c r="F9048">
        <v>8.8000000000000007</v>
      </c>
      <c r="G9048">
        <v>0</v>
      </c>
      <c r="H9048" t="s">
        <v>19447</v>
      </c>
      <c r="I9048" t="s">
        <v>19447</v>
      </c>
      <c r="J9048">
        <v>14</v>
      </c>
      <c r="L9048" t="s">
        <v>2709</v>
      </c>
      <c r="M9048">
        <v>85142011</v>
      </c>
      <c r="O9048" t="s">
        <v>20138</v>
      </c>
      <c r="P9048" t="s">
        <v>20127</v>
      </c>
      <c r="Q9048" t="s">
        <v>19900</v>
      </c>
      <c r="R9048" t="s">
        <v>19447</v>
      </c>
      <c r="S9048" t="s">
        <v>19447</v>
      </c>
      <c r="T9048" t="s">
        <v>19911</v>
      </c>
    </row>
    <row r="9049" spans="2:20" x14ac:dyDescent="0.25">
      <c r="B9049" t="s">
        <v>2709</v>
      </c>
      <c r="C9049">
        <v>85142019</v>
      </c>
      <c r="E9049">
        <v>147.97</v>
      </c>
      <c r="F9049">
        <v>25</v>
      </c>
      <c r="G9049">
        <v>5</v>
      </c>
      <c r="H9049" t="s">
        <v>19447</v>
      </c>
      <c r="I9049" t="s">
        <v>19447</v>
      </c>
      <c r="J9049">
        <v>14</v>
      </c>
      <c r="L9049" t="s">
        <v>2709</v>
      </c>
      <c r="M9049">
        <v>85142019</v>
      </c>
      <c r="O9049" t="s">
        <v>20138</v>
      </c>
      <c r="P9049" t="s">
        <v>19982</v>
      </c>
      <c r="Q9049" t="s">
        <v>19909</v>
      </c>
      <c r="R9049" t="s">
        <v>19447</v>
      </c>
      <c r="S9049" t="s">
        <v>19447</v>
      </c>
      <c r="T9049" t="s">
        <v>19911</v>
      </c>
    </row>
    <row r="9050" spans="2:20" x14ac:dyDescent="0.25">
      <c r="B9050" t="s">
        <v>2709</v>
      </c>
      <c r="C9050">
        <v>85142020</v>
      </c>
      <c r="E9050">
        <v>147.97</v>
      </c>
      <c r="F9050">
        <v>8.8000000000000007</v>
      </c>
      <c r="G9050">
        <v>5</v>
      </c>
      <c r="H9050" t="s">
        <v>19447</v>
      </c>
      <c r="I9050" t="s">
        <v>19447</v>
      </c>
      <c r="J9050">
        <v>14</v>
      </c>
      <c r="L9050" t="s">
        <v>2709</v>
      </c>
      <c r="M9050">
        <v>85142020</v>
      </c>
      <c r="O9050" t="s">
        <v>20138</v>
      </c>
      <c r="P9050" t="s">
        <v>20127</v>
      </c>
      <c r="Q9050" t="s">
        <v>19909</v>
      </c>
      <c r="R9050" t="s">
        <v>19447</v>
      </c>
      <c r="S9050" t="s">
        <v>19447</v>
      </c>
      <c r="T9050" t="s">
        <v>19911</v>
      </c>
    </row>
    <row r="9051" spans="2:20" x14ac:dyDescent="0.25">
      <c r="B9051" t="s">
        <v>2709</v>
      </c>
      <c r="C9051">
        <v>85142020</v>
      </c>
      <c r="D9051">
        <v>1</v>
      </c>
      <c r="E9051" t="s">
        <v>19447</v>
      </c>
      <c r="F9051">
        <v>18</v>
      </c>
      <c r="G9051">
        <v>0</v>
      </c>
      <c r="H9051">
        <v>7.6</v>
      </c>
      <c r="I9051">
        <v>1.65</v>
      </c>
      <c r="J9051">
        <v>14</v>
      </c>
      <c r="L9051" t="s">
        <v>2709</v>
      </c>
      <c r="M9051">
        <v>85142020</v>
      </c>
      <c r="N9051">
        <v>1</v>
      </c>
      <c r="O9051" t="s">
        <v>19447</v>
      </c>
      <c r="P9051" t="s">
        <v>19899</v>
      </c>
      <c r="Q9051" t="s">
        <v>19900</v>
      </c>
      <c r="R9051" t="s">
        <v>19905</v>
      </c>
      <c r="S9051" t="s">
        <v>19906</v>
      </c>
      <c r="T9051" t="s">
        <v>19911</v>
      </c>
    </row>
    <row r="9052" spans="2:20" x14ac:dyDescent="0.25">
      <c r="B9052" t="s">
        <v>2709</v>
      </c>
      <c r="C9052">
        <v>85143011</v>
      </c>
      <c r="E9052">
        <v>147.97</v>
      </c>
      <c r="F9052">
        <v>8.8000000000000007</v>
      </c>
      <c r="G9052">
        <v>0</v>
      </c>
      <c r="H9052" t="s">
        <v>19447</v>
      </c>
      <c r="I9052" t="s">
        <v>19447</v>
      </c>
      <c r="J9052">
        <v>14</v>
      </c>
      <c r="L9052" t="s">
        <v>2709</v>
      </c>
      <c r="M9052">
        <v>85143011</v>
      </c>
      <c r="O9052" t="s">
        <v>20138</v>
      </c>
      <c r="P9052" t="s">
        <v>20127</v>
      </c>
      <c r="Q9052" t="s">
        <v>19900</v>
      </c>
      <c r="R9052" t="s">
        <v>19447</v>
      </c>
      <c r="S9052" t="s">
        <v>19447</v>
      </c>
      <c r="T9052" t="s">
        <v>19911</v>
      </c>
    </row>
    <row r="9053" spans="2:20" x14ac:dyDescent="0.25">
      <c r="B9053" t="s">
        <v>2709</v>
      </c>
      <c r="C9053">
        <v>85143019</v>
      </c>
      <c r="E9053">
        <v>147.97</v>
      </c>
      <c r="F9053">
        <v>25</v>
      </c>
      <c r="G9053">
        <v>5</v>
      </c>
      <c r="H9053" t="s">
        <v>19447</v>
      </c>
      <c r="I9053" t="s">
        <v>19447</v>
      </c>
      <c r="J9053">
        <v>14</v>
      </c>
      <c r="L9053" t="s">
        <v>2709</v>
      </c>
      <c r="M9053">
        <v>85143019</v>
      </c>
      <c r="O9053" t="s">
        <v>20138</v>
      </c>
      <c r="P9053" t="s">
        <v>19982</v>
      </c>
      <c r="Q9053" t="s">
        <v>19909</v>
      </c>
      <c r="R9053" t="s">
        <v>19447</v>
      </c>
      <c r="S9053" t="s">
        <v>19447</v>
      </c>
      <c r="T9053" t="s">
        <v>19911</v>
      </c>
    </row>
    <row r="9054" spans="2:20" x14ac:dyDescent="0.25">
      <c r="B9054" t="s">
        <v>2709</v>
      </c>
      <c r="C9054">
        <v>85143021</v>
      </c>
      <c r="E9054">
        <v>147.97</v>
      </c>
      <c r="F9054">
        <v>8.8000000000000007</v>
      </c>
      <c r="G9054">
        <v>0</v>
      </c>
      <c r="H9054" t="s">
        <v>19447</v>
      </c>
      <c r="I9054" t="s">
        <v>19447</v>
      </c>
      <c r="J9054">
        <v>14</v>
      </c>
      <c r="L9054" t="s">
        <v>2709</v>
      </c>
      <c r="M9054">
        <v>85143021</v>
      </c>
      <c r="O9054" t="s">
        <v>20138</v>
      </c>
      <c r="P9054" t="s">
        <v>20127</v>
      </c>
      <c r="Q9054" t="s">
        <v>19900</v>
      </c>
      <c r="R9054" t="s">
        <v>19447</v>
      </c>
      <c r="S9054" t="s">
        <v>19447</v>
      </c>
      <c r="T9054" t="s">
        <v>19911</v>
      </c>
    </row>
    <row r="9055" spans="2:20" x14ac:dyDescent="0.25">
      <c r="B9055" t="s">
        <v>2709</v>
      </c>
      <c r="C9055">
        <v>85143029</v>
      </c>
      <c r="E9055">
        <v>147.97</v>
      </c>
      <c r="F9055">
        <v>25</v>
      </c>
      <c r="G9055">
        <v>5</v>
      </c>
      <c r="H9055" t="s">
        <v>19447</v>
      </c>
      <c r="I9055" t="s">
        <v>19447</v>
      </c>
      <c r="J9055">
        <v>14</v>
      </c>
      <c r="L9055" t="s">
        <v>2709</v>
      </c>
      <c r="M9055">
        <v>85143029</v>
      </c>
      <c r="O9055" t="s">
        <v>20138</v>
      </c>
      <c r="P9055" t="s">
        <v>19982</v>
      </c>
      <c r="Q9055" t="s">
        <v>19909</v>
      </c>
      <c r="R9055" t="s">
        <v>19447</v>
      </c>
      <c r="S9055" t="s">
        <v>19447</v>
      </c>
      <c r="T9055" t="s">
        <v>19911</v>
      </c>
    </row>
    <row r="9056" spans="2:20" x14ac:dyDescent="0.25">
      <c r="B9056" t="s">
        <v>2709</v>
      </c>
      <c r="C9056">
        <v>85143090</v>
      </c>
      <c r="E9056">
        <v>147.97</v>
      </c>
      <c r="F9056">
        <v>8.8000000000000007</v>
      </c>
      <c r="G9056">
        <v>0</v>
      </c>
      <c r="H9056" t="s">
        <v>19447</v>
      </c>
      <c r="I9056" t="s">
        <v>19447</v>
      </c>
      <c r="J9056">
        <v>14</v>
      </c>
      <c r="L9056" t="s">
        <v>2709</v>
      </c>
      <c r="M9056">
        <v>85143090</v>
      </c>
      <c r="O9056" t="s">
        <v>20138</v>
      </c>
      <c r="P9056" t="s">
        <v>20127</v>
      </c>
      <c r="Q9056" t="s">
        <v>19900</v>
      </c>
      <c r="R9056" t="s">
        <v>19447</v>
      </c>
      <c r="S9056" t="s">
        <v>19447</v>
      </c>
      <c r="T9056" t="s">
        <v>19911</v>
      </c>
    </row>
    <row r="9057" spans="2:20" x14ac:dyDescent="0.25">
      <c r="B9057" t="s">
        <v>2709</v>
      </c>
      <c r="C9057">
        <v>85144000</v>
      </c>
      <c r="E9057">
        <v>147.97</v>
      </c>
      <c r="F9057">
        <v>12</v>
      </c>
      <c r="G9057">
        <v>0</v>
      </c>
      <c r="H9057" t="s">
        <v>19447</v>
      </c>
      <c r="I9057" t="s">
        <v>19447</v>
      </c>
      <c r="J9057">
        <v>14</v>
      </c>
      <c r="L9057" t="s">
        <v>2709</v>
      </c>
      <c r="M9057">
        <v>85144000</v>
      </c>
      <c r="O9057" t="s">
        <v>20138</v>
      </c>
      <c r="P9057" t="s">
        <v>19903</v>
      </c>
      <c r="Q9057" t="s">
        <v>19900</v>
      </c>
      <c r="R9057" t="s">
        <v>19447</v>
      </c>
      <c r="S9057" t="s">
        <v>19447</v>
      </c>
      <c r="T9057" t="s">
        <v>19911</v>
      </c>
    </row>
    <row r="9058" spans="2:20" x14ac:dyDescent="0.25">
      <c r="B9058" t="s">
        <v>2709</v>
      </c>
      <c r="C9058">
        <v>85149000</v>
      </c>
      <c r="E9058">
        <v>147.97</v>
      </c>
      <c r="F9058">
        <v>8.8000000000000007</v>
      </c>
      <c r="G9058">
        <v>5</v>
      </c>
      <c r="H9058" t="s">
        <v>19447</v>
      </c>
      <c r="I9058" t="s">
        <v>19447</v>
      </c>
      <c r="J9058">
        <v>14</v>
      </c>
      <c r="L9058" t="s">
        <v>2709</v>
      </c>
      <c r="M9058">
        <v>85149000</v>
      </c>
      <c r="O9058" t="s">
        <v>20138</v>
      </c>
      <c r="P9058" t="s">
        <v>20127</v>
      </c>
      <c r="Q9058" t="s">
        <v>19909</v>
      </c>
      <c r="R9058" t="s">
        <v>19447</v>
      </c>
      <c r="S9058" t="s">
        <v>19447</v>
      </c>
      <c r="T9058" t="s">
        <v>19911</v>
      </c>
    </row>
    <row r="9059" spans="2:20" x14ac:dyDescent="0.25">
      <c r="B9059" t="s">
        <v>2709</v>
      </c>
      <c r="C9059">
        <v>85151100</v>
      </c>
      <c r="E9059">
        <v>65</v>
      </c>
      <c r="F9059">
        <v>12</v>
      </c>
      <c r="G9059">
        <v>5</v>
      </c>
      <c r="H9059" t="s">
        <v>19447</v>
      </c>
      <c r="I9059" t="s">
        <v>19447</v>
      </c>
      <c r="J9059">
        <v>14</v>
      </c>
      <c r="L9059" t="s">
        <v>2709</v>
      </c>
      <c r="M9059">
        <v>85151100</v>
      </c>
      <c r="O9059" t="s">
        <v>20128</v>
      </c>
      <c r="P9059" t="s">
        <v>19903</v>
      </c>
      <c r="Q9059" t="s">
        <v>19909</v>
      </c>
      <c r="R9059" t="s">
        <v>19447</v>
      </c>
      <c r="S9059" t="s">
        <v>19447</v>
      </c>
      <c r="T9059" t="s">
        <v>19911</v>
      </c>
    </row>
    <row r="9060" spans="2:20" x14ac:dyDescent="0.25">
      <c r="B9060" t="s">
        <v>2709</v>
      </c>
      <c r="C9060">
        <v>85151900</v>
      </c>
      <c r="E9060">
        <v>65</v>
      </c>
      <c r="F9060">
        <v>12</v>
      </c>
      <c r="G9060">
        <v>0</v>
      </c>
      <c r="H9060" t="s">
        <v>19447</v>
      </c>
      <c r="I9060" t="s">
        <v>19447</v>
      </c>
      <c r="J9060">
        <v>14</v>
      </c>
      <c r="L9060" t="s">
        <v>2709</v>
      </c>
      <c r="M9060">
        <v>85151900</v>
      </c>
      <c r="O9060" t="s">
        <v>20128</v>
      </c>
      <c r="P9060" t="s">
        <v>19903</v>
      </c>
      <c r="Q9060" t="s">
        <v>19900</v>
      </c>
      <c r="R9060" t="s">
        <v>19447</v>
      </c>
      <c r="S9060" t="s">
        <v>19447</v>
      </c>
      <c r="T9060" t="s">
        <v>19911</v>
      </c>
    </row>
    <row r="9061" spans="2:20" x14ac:dyDescent="0.25">
      <c r="B9061" t="s">
        <v>2709</v>
      </c>
      <c r="C9061">
        <v>85152100</v>
      </c>
      <c r="E9061">
        <v>65</v>
      </c>
      <c r="F9061">
        <v>8.8000000000000007</v>
      </c>
      <c r="G9061">
        <v>0</v>
      </c>
      <c r="H9061" t="s">
        <v>19447</v>
      </c>
      <c r="I9061" t="s">
        <v>19447</v>
      </c>
      <c r="J9061">
        <v>14</v>
      </c>
      <c r="L9061" t="s">
        <v>2709</v>
      </c>
      <c r="M9061">
        <v>85152100</v>
      </c>
      <c r="O9061" t="s">
        <v>20128</v>
      </c>
      <c r="P9061" t="s">
        <v>20127</v>
      </c>
      <c r="Q9061" t="s">
        <v>19900</v>
      </c>
      <c r="R9061" t="s">
        <v>19447</v>
      </c>
      <c r="S9061" t="s">
        <v>19447</v>
      </c>
      <c r="T9061" t="s">
        <v>19911</v>
      </c>
    </row>
    <row r="9062" spans="2:20" x14ac:dyDescent="0.25">
      <c r="B9062" t="s">
        <v>2709</v>
      </c>
      <c r="C9062">
        <v>85152900</v>
      </c>
      <c r="E9062">
        <v>65</v>
      </c>
      <c r="F9062">
        <v>25</v>
      </c>
      <c r="G9062">
        <v>0</v>
      </c>
      <c r="H9062" t="s">
        <v>19447</v>
      </c>
      <c r="I9062" t="s">
        <v>19447</v>
      </c>
      <c r="J9062">
        <v>14</v>
      </c>
      <c r="L9062" t="s">
        <v>2709</v>
      </c>
      <c r="M9062">
        <v>85152900</v>
      </c>
      <c r="O9062" t="s">
        <v>20128</v>
      </c>
      <c r="P9062" t="s">
        <v>19982</v>
      </c>
      <c r="Q9062" t="s">
        <v>19900</v>
      </c>
      <c r="R9062" t="s">
        <v>19447</v>
      </c>
      <c r="S9062" t="s">
        <v>19447</v>
      </c>
      <c r="T9062" t="s">
        <v>19911</v>
      </c>
    </row>
    <row r="9063" spans="2:20" x14ac:dyDescent="0.25">
      <c r="B9063" t="s">
        <v>2709</v>
      </c>
      <c r="C9063">
        <v>85153110</v>
      </c>
      <c r="E9063">
        <v>147.97</v>
      </c>
      <c r="F9063">
        <v>8.8000000000000007</v>
      </c>
      <c r="G9063">
        <v>0</v>
      </c>
      <c r="H9063" t="s">
        <v>19447</v>
      </c>
      <c r="I9063" t="s">
        <v>19447</v>
      </c>
      <c r="J9063">
        <v>0</v>
      </c>
      <c r="L9063" t="s">
        <v>2709</v>
      </c>
      <c r="M9063">
        <v>85153110</v>
      </c>
      <c r="O9063" t="s">
        <v>20138</v>
      </c>
      <c r="P9063" t="s">
        <v>20127</v>
      </c>
      <c r="Q9063" t="s">
        <v>19900</v>
      </c>
      <c r="R9063" t="s">
        <v>19447</v>
      </c>
      <c r="S9063" t="s">
        <v>19447</v>
      </c>
      <c r="T9063" t="s">
        <v>19900</v>
      </c>
    </row>
    <row r="9064" spans="2:20" x14ac:dyDescent="0.25">
      <c r="B9064" t="s">
        <v>2709</v>
      </c>
      <c r="C9064">
        <v>85153190</v>
      </c>
      <c r="E9064">
        <v>147.97</v>
      </c>
      <c r="F9064">
        <v>8.8000000000000007</v>
      </c>
      <c r="G9064">
        <v>0</v>
      </c>
      <c r="H9064" t="s">
        <v>19447</v>
      </c>
      <c r="I9064" t="s">
        <v>19447</v>
      </c>
      <c r="J9064">
        <v>14</v>
      </c>
      <c r="L9064" t="s">
        <v>2709</v>
      </c>
      <c r="M9064">
        <v>85153190</v>
      </c>
      <c r="O9064" t="s">
        <v>20138</v>
      </c>
      <c r="P9064" t="s">
        <v>20127</v>
      </c>
      <c r="Q9064" t="s">
        <v>19900</v>
      </c>
      <c r="R9064" t="s">
        <v>19447</v>
      </c>
      <c r="S9064" t="s">
        <v>19447</v>
      </c>
      <c r="T9064" t="s">
        <v>19911</v>
      </c>
    </row>
    <row r="9065" spans="2:20" x14ac:dyDescent="0.25">
      <c r="B9065" t="s">
        <v>2709</v>
      </c>
      <c r="C9065">
        <v>85153900</v>
      </c>
      <c r="E9065">
        <v>147.97</v>
      </c>
      <c r="F9065">
        <v>8.8000000000000007</v>
      </c>
      <c r="G9065">
        <v>0</v>
      </c>
      <c r="H9065" t="s">
        <v>19447</v>
      </c>
      <c r="I9065" t="s">
        <v>19447</v>
      </c>
      <c r="J9065">
        <v>14</v>
      </c>
      <c r="L9065" t="s">
        <v>2709</v>
      </c>
      <c r="M9065">
        <v>85153900</v>
      </c>
      <c r="O9065" t="s">
        <v>20138</v>
      </c>
      <c r="P9065" t="s">
        <v>20127</v>
      </c>
      <c r="Q9065" t="s">
        <v>19900</v>
      </c>
      <c r="R9065" t="s">
        <v>19447</v>
      </c>
      <c r="S9065" t="s">
        <v>19447</v>
      </c>
      <c r="T9065" t="s">
        <v>19911</v>
      </c>
    </row>
    <row r="9066" spans="2:20" x14ac:dyDescent="0.25">
      <c r="B9066" t="s">
        <v>2709</v>
      </c>
      <c r="C9066">
        <v>85158010</v>
      </c>
      <c r="E9066">
        <v>147.97</v>
      </c>
      <c r="F9066">
        <v>8.8000000000000007</v>
      </c>
      <c r="G9066">
        <v>0</v>
      </c>
      <c r="H9066" t="s">
        <v>19447</v>
      </c>
      <c r="I9066" t="s">
        <v>19447</v>
      </c>
      <c r="J9066">
        <v>0</v>
      </c>
      <c r="L9066" t="s">
        <v>2709</v>
      </c>
      <c r="M9066">
        <v>85158010</v>
      </c>
      <c r="O9066" t="s">
        <v>20138</v>
      </c>
      <c r="P9066" t="s">
        <v>20127</v>
      </c>
      <c r="Q9066" t="s">
        <v>19900</v>
      </c>
      <c r="R9066" t="s">
        <v>19447</v>
      </c>
      <c r="S9066" t="s">
        <v>19447</v>
      </c>
      <c r="T9066" t="s">
        <v>19900</v>
      </c>
    </row>
    <row r="9067" spans="2:20" x14ac:dyDescent="0.25">
      <c r="B9067" t="s">
        <v>2709</v>
      </c>
      <c r="C9067">
        <v>85158090</v>
      </c>
      <c r="E9067">
        <v>147.97</v>
      </c>
      <c r="F9067">
        <v>8.8000000000000007</v>
      </c>
      <c r="G9067">
        <v>0</v>
      </c>
      <c r="H9067" t="s">
        <v>19447</v>
      </c>
      <c r="I9067" t="s">
        <v>19447</v>
      </c>
      <c r="J9067">
        <v>14</v>
      </c>
      <c r="L9067" t="s">
        <v>2709</v>
      </c>
      <c r="M9067">
        <v>85158090</v>
      </c>
      <c r="O9067" t="s">
        <v>20138</v>
      </c>
      <c r="P9067" t="s">
        <v>20127</v>
      </c>
      <c r="Q9067" t="s">
        <v>19900</v>
      </c>
      <c r="R9067" t="s">
        <v>19447</v>
      </c>
      <c r="S9067" t="s">
        <v>19447</v>
      </c>
      <c r="T9067" t="s">
        <v>19911</v>
      </c>
    </row>
    <row r="9068" spans="2:20" x14ac:dyDescent="0.25">
      <c r="B9068" t="s">
        <v>2709</v>
      </c>
      <c r="C9068">
        <v>85159000</v>
      </c>
      <c r="E9068">
        <v>65</v>
      </c>
      <c r="F9068">
        <v>25</v>
      </c>
      <c r="G9068">
        <v>0</v>
      </c>
      <c r="H9068" t="s">
        <v>19447</v>
      </c>
      <c r="I9068" t="s">
        <v>19447</v>
      </c>
      <c r="J9068">
        <v>14</v>
      </c>
      <c r="L9068" t="s">
        <v>2709</v>
      </c>
      <c r="M9068">
        <v>85159000</v>
      </c>
      <c r="O9068" t="s">
        <v>20128</v>
      </c>
      <c r="P9068" t="s">
        <v>19982</v>
      </c>
      <c r="Q9068" t="s">
        <v>19900</v>
      </c>
      <c r="R9068" t="s">
        <v>19447</v>
      </c>
      <c r="S9068" t="s">
        <v>19447</v>
      </c>
      <c r="T9068" t="s">
        <v>19911</v>
      </c>
    </row>
    <row r="9069" spans="2:20" x14ac:dyDescent="0.25">
      <c r="B9069" t="s">
        <v>2709</v>
      </c>
      <c r="C9069">
        <v>85161000</v>
      </c>
      <c r="E9069">
        <v>51.3</v>
      </c>
      <c r="F9069">
        <v>25</v>
      </c>
      <c r="G9069">
        <v>20</v>
      </c>
      <c r="H9069" t="s">
        <v>19447</v>
      </c>
      <c r="I9069" t="s">
        <v>19447</v>
      </c>
      <c r="J9069">
        <v>20</v>
      </c>
      <c r="L9069" t="s">
        <v>2709</v>
      </c>
      <c r="M9069">
        <v>85161000</v>
      </c>
      <c r="O9069" t="s">
        <v>20196</v>
      </c>
      <c r="P9069" t="s">
        <v>19982</v>
      </c>
      <c r="Q9069" t="s">
        <v>19934</v>
      </c>
      <c r="R9069" t="s">
        <v>19447</v>
      </c>
      <c r="S9069" t="s">
        <v>19447</v>
      </c>
      <c r="T9069" t="s">
        <v>19934</v>
      </c>
    </row>
    <row r="9070" spans="2:20" x14ac:dyDescent="0.25">
      <c r="B9070" t="s">
        <v>2709</v>
      </c>
      <c r="C9070">
        <v>85161000</v>
      </c>
      <c r="D9070">
        <v>1</v>
      </c>
      <c r="E9070" t="s">
        <v>19447</v>
      </c>
      <c r="F9070">
        <v>18</v>
      </c>
      <c r="G9070">
        <v>0</v>
      </c>
      <c r="H9070">
        <v>7.6</v>
      </c>
      <c r="I9070">
        <v>1.65</v>
      </c>
      <c r="J9070">
        <v>20</v>
      </c>
      <c r="L9070" t="s">
        <v>2709</v>
      </c>
      <c r="M9070">
        <v>85161000</v>
      </c>
      <c r="N9070">
        <v>1</v>
      </c>
      <c r="O9070" t="s">
        <v>19447</v>
      </c>
      <c r="P9070" t="s">
        <v>19899</v>
      </c>
      <c r="Q9070" t="s">
        <v>19900</v>
      </c>
      <c r="R9070" t="s">
        <v>19905</v>
      </c>
      <c r="S9070" t="s">
        <v>19906</v>
      </c>
      <c r="T9070" t="s">
        <v>19934</v>
      </c>
    </row>
    <row r="9071" spans="2:20" x14ac:dyDescent="0.25">
      <c r="B9071" t="s">
        <v>2709</v>
      </c>
      <c r="C9071">
        <v>85162100</v>
      </c>
      <c r="E9071">
        <v>47</v>
      </c>
      <c r="F9071">
        <v>25</v>
      </c>
      <c r="G9071">
        <v>20</v>
      </c>
      <c r="H9071" t="s">
        <v>19447</v>
      </c>
      <c r="I9071" t="s">
        <v>19447</v>
      </c>
      <c r="J9071">
        <v>20</v>
      </c>
      <c r="L9071" t="s">
        <v>2709</v>
      </c>
      <c r="M9071">
        <v>85162100</v>
      </c>
      <c r="O9071" t="s">
        <v>20144</v>
      </c>
      <c r="P9071" t="s">
        <v>19982</v>
      </c>
      <c r="Q9071" t="s">
        <v>19934</v>
      </c>
      <c r="R9071" t="s">
        <v>19447</v>
      </c>
      <c r="S9071" t="s">
        <v>19447</v>
      </c>
      <c r="T9071" t="s">
        <v>19934</v>
      </c>
    </row>
    <row r="9072" spans="2:20" x14ac:dyDescent="0.25">
      <c r="B9072" t="s">
        <v>2709</v>
      </c>
      <c r="C9072">
        <v>85162900</v>
      </c>
      <c r="E9072">
        <v>47</v>
      </c>
      <c r="F9072">
        <v>25</v>
      </c>
      <c r="G9072">
        <v>20</v>
      </c>
      <c r="H9072" t="s">
        <v>19447</v>
      </c>
      <c r="I9072" t="s">
        <v>19447</v>
      </c>
      <c r="J9072">
        <v>20</v>
      </c>
      <c r="L9072" t="s">
        <v>2709</v>
      </c>
      <c r="M9072">
        <v>85162900</v>
      </c>
      <c r="O9072" t="s">
        <v>20144</v>
      </c>
      <c r="P9072" t="s">
        <v>19982</v>
      </c>
      <c r="Q9072" t="s">
        <v>19934</v>
      </c>
      <c r="R9072" t="s">
        <v>19447</v>
      </c>
      <c r="S9072" t="s">
        <v>19447</v>
      </c>
      <c r="T9072" t="s">
        <v>19934</v>
      </c>
    </row>
    <row r="9073" spans="2:20" x14ac:dyDescent="0.25">
      <c r="B9073" t="s">
        <v>2709</v>
      </c>
      <c r="C9073">
        <v>85163100</v>
      </c>
      <c r="E9073">
        <v>50.53</v>
      </c>
      <c r="F9073">
        <v>25</v>
      </c>
      <c r="G9073">
        <v>20</v>
      </c>
      <c r="H9073" t="s">
        <v>19447</v>
      </c>
      <c r="I9073" t="s">
        <v>19447</v>
      </c>
      <c r="J9073">
        <v>20</v>
      </c>
      <c r="L9073" t="s">
        <v>2709</v>
      </c>
      <c r="M9073">
        <v>85163100</v>
      </c>
      <c r="O9073" t="s">
        <v>20197</v>
      </c>
      <c r="P9073" t="s">
        <v>19982</v>
      </c>
      <c r="Q9073" t="s">
        <v>19934</v>
      </c>
      <c r="R9073" t="s">
        <v>19447</v>
      </c>
      <c r="S9073" t="s">
        <v>19447</v>
      </c>
      <c r="T9073" t="s">
        <v>19934</v>
      </c>
    </row>
    <row r="9074" spans="2:20" x14ac:dyDescent="0.25">
      <c r="B9074" t="s">
        <v>2709</v>
      </c>
      <c r="C9074">
        <v>85163200</v>
      </c>
      <c r="E9074">
        <v>50.53</v>
      </c>
      <c r="F9074">
        <v>25</v>
      </c>
      <c r="G9074">
        <v>20</v>
      </c>
      <c r="H9074" t="s">
        <v>19447</v>
      </c>
      <c r="I9074" t="s">
        <v>19447</v>
      </c>
      <c r="J9074">
        <v>20</v>
      </c>
      <c r="L9074" t="s">
        <v>2709</v>
      </c>
      <c r="M9074">
        <v>85163200</v>
      </c>
      <c r="O9074" t="s">
        <v>20197</v>
      </c>
      <c r="P9074" t="s">
        <v>19982</v>
      </c>
      <c r="Q9074" t="s">
        <v>19934</v>
      </c>
      <c r="R9074" t="s">
        <v>19447</v>
      </c>
      <c r="S9074" t="s">
        <v>19447</v>
      </c>
      <c r="T9074" t="s">
        <v>19934</v>
      </c>
    </row>
    <row r="9075" spans="2:20" x14ac:dyDescent="0.25">
      <c r="B9075" t="s">
        <v>2709</v>
      </c>
      <c r="C9075">
        <v>85163300</v>
      </c>
      <c r="E9075">
        <v>47</v>
      </c>
      <c r="F9075">
        <v>25</v>
      </c>
      <c r="G9075">
        <v>20</v>
      </c>
      <c r="H9075" t="s">
        <v>19447</v>
      </c>
      <c r="I9075" t="s">
        <v>19447</v>
      </c>
      <c r="J9075">
        <v>20</v>
      </c>
      <c r="L9075" t="s">
        <v>2709</v>
      </c>
      <c r="M9075">
        <v>85163300</v>
      </c>
      <c r="O9075" t="s">
        <v>20144</v>
      </c>
      <c r="P9075" t="s">
        <v>19982</v>
      </c>
      <c r="Q9075" t="s">
        <v>19934</v>
      </c>
      <c r="R9075" t="s">
        <v>19447</v>
      </c>
      <c r="S9075" t="s">
        <v>19447</v>
      </c>
      <c r="T9075" t="s">
        <v>19934</v>
      </c>
    </row>
    <row r="9076" spans="2:20" x14ac:dyDescent="0.25">
      <c r="B9076" t="s">
        <v>2709</v>
      </c>
      <c r="C9076">
        <v>85164000</v>
      </c>
      <c r="E9076">
        <v>47</v>
      </c>
      <c r="F9076">
        <v>25</v>
      </c>
      <c r="G9076">
        <v>10</v>
      </c>
      <c r="H9076" t="s">
        <v>19447</v>
      </c>
      <c r="I9076" t="s">
        <v>19447</v>
      </c>
      <c r="J9076">
        <v>20</v>
      </c>
      <c r="L9076" t="s">
        <v>2709</v>
      </c>
      <c r="M9076">
        <v>85164000</v>
      </c>
      <c r="O9076" t="s">
        <v>20144</v>
      </c>
      <c r="P9076" t="s">
        <v>19982</v>
      </c>
      <c r="Q9076" t="s">
        <v>19904</v>
      </c>
      <c r="R9076" t="s">
        <v>19447</v>
      </c>
      <c r="S9076" t="s">
        <v>19447</v>
      </c>
      <c r="T9076" t="s">
        <v>19934</v>
      </c>
    </row>
    <row r="9077" spans="2:20" x14ac:dyDescent="0.25">
      <c r="B9077" t="s">
        <v>2709</v>
      </c>
      <c r="C9077">
        <v>85165000</v>
      </c>
      <c r="E9077">
        <v>47</v>
      </c>
      <c r="F9077">
        <v>25</v>
      </c>
      <c r="G9077">
        <v>35</v>
      </c>
      <c r="H9077" t="s">
        <v>19447</v>
      </c>
      <c r="I9077" t="s">
        <v>19447</v>
      </c>
      <c r="J9077">
        <v>20</v>
      </c>
      <c r="L9077" t="s">
        <v>2709</v>
      </c>
      <c r="M9077">
        <v>85165000</v>
      </c>
      <c r="O9077" t="s">
        <v>20144</v>
      </c>
      <c r="P9077" t="s">
        <v>19982</v>
      </c>
      <c r="Q9077" t="s">
        <v>19919</v>
      </c>
      <c r="R9077" t="s">
        <v>19447</v>
      </c>
      <c r="S9077" t="s">
        <v>19447</v>
      </c>
      <c r="T9077" t="s">
        <v>19934</v>
      </c>
    </row>
    <row r="9078" spans="2:20" x14ac:dyDescent="0.25">
      <c r="B9078" t="s">
        <v>2709</v>
      </c>
      <c r="C9078">
        <v>85166000</v>
      </c>
      <c r="E9078">
        <v>147.97</v>
      </c>
      <c r="F9078">
        <v>7</v>
      </c>
      <c r="G9078">
        <v>12</v>
      </c>
      <c r="H9078" t="s">
        <v>19447</v>
      </c>
      <c r="I9078" t="s">
        <v>19447</v>
      </c>
      <c r="J9078">
        <v>20</v>
      </c>
      <c r="L9078" t="s">
        <v>2709</v>
      </c>
      <c r="M9078">
        <v>85166000</v>
      </c>
      <c r="O9078" t="s">
        <v>20138</v>
      </c>
      <c r="P9078" t="s">
        <v>19908</v>
      </c>
      <c r="Q9078" t="s">
        <v>19903</v>
      </c>
      <c r="R9078" t="s">
        <v>19447</v>
      </c>
      <c r="S9078" t="s">
        <v>19447</v>
      </c>
      <c r="T9078" t="s">
        <v>19934</v>
      </c>
    </row>
    <row r="9079" spans="2:20" x14ac:dyDescent="0.25">
      <c r="B9079" t="s">
        <v>2709</v>
      </c>
      <c r="C9079">
        <v>85166000</v>
      </c>
      <c r="D9079">
        <v>1</v>
      </c>
      <c r="E9079" t="s">
        <v>19447</v>
      </c>
      <c r="F9079">
        <v>18</v>
      </c>
      <c r="G9079">
        <v>5</v>
      </c>
      <c r="H9079">
        <v>7.6</v>
      </c>
      <c r="I9079">
        <v>1.65</v>
      </c>
      <c r="J9079">
        <v>20</v>
      </c>
      <c r="L9079" t="s">
        <v>2709</v>
      </c>
      <c r="M9079">
        <v>85166000</v>
      </c>
      <c r="N9079">
        <v>1</v>
      </c>
      <c r="O9079" t="s">
        <v>19447</v>
      </c>
      <c r="P9079" t="s">
        <v>19899</v>
      </c>
      <c r="Q9079" t="s">
        <v>19909</v>
      </c>
      <c r="R9079" t="s">
        <v>19905</v>
      </c>
      <c r="S9079" t="s">
        <v>19906</v>
      </c>
      <c r="T9079" t="s">
        <v>19934</v>
      </c>
    </row>
    <row r="9080" spans="2:20" x14ac:dyDescent="0.25">
      <c r="B9080" t="s">
        <v>2709</v>
      </c>
      <c r="C9080">
        <v>85167100</v>
      </c>
      <c r="E9080">
        <v>52.33</v>
      </c>
      <c r="F9080">
        <v>25</v>
      </c>
      <c r="G9080">
        <v>12</v>
      </c>
      <c r="H9080" t="s">
        <v>19447</v>
      </c>
      <c r="I9080" t="s">
        <v>19447</v>
      </c>
      <c r="J9080">
        <v>20</v>
      </c>
      <c r="L9080" t="s">
        <v>2709</v>
      </c>
      <c r="M9080">
        <v>85167100</v>
      </c>
      <c r="O9080" t="s">
        <v>20198</v>
      </c>
      <c r="P9080" t="s">
        <v>19982</v>
      </c>
      <c r="Q9080" t="s">
        <v>19903</v>
      </c>
      <c r="R9080" t="s">
        <v>19447</v>
      </c>
      <c r="S9080" t="s">
        <v>19447</v>
      </c>
      <c r="T9080" t="s">
        <v>19934</v>
      </c>
    </row>
    <row r="9081" spans="2:20" x14ac:dyDescent="0.25">
      <c r="B9081" t="s">
        <v>2709</v>
      </c>
      <c r="C9081">
        <v>85167200</v>
      </c>
      <c r="E9081">
        <v>47</v>
      </c>
      <c r="F9081">
        <v>25</v>
      </c>
      <c r="G9081">
        <v>12</v>
      </c>
      <c r="H9081" t="s">
        <v>19447</v>
      </c>
      <c r="I9081" t="s">
        <v>19447</v>
      </c>
      <c r="J9081">
        <v>20</v>
      </c>
      <c r="L9081" t="s">
        <v>2709</v>
      </c>
      <c r="M9081">
        <v>85167200</v>
      </c>
      <c r="O9081" t="s">
        <v>20144</v>
      </c>
      <c r="P9081" t="s">
        <v>19982</v>
      </c>
      <c r="Q9081" t="s">
        <v>19903</v>
      </c>
      <c r="R9081" t="s">
        <v>19447</v>
      </c>
      <c r="S9081" t="s">
        <v>19447</v>
      </c>
      <c r="T9081" t="s">
        <v>19934</v>
      </c>
    </row>
    <row r="9082" spans="2:20" x14ac:dyDescent="0.25">
      <c r="B9082" t="s">
        <v>2709</v>
      </c>
      <c r="C9082">
        <v>85167910</v>
      </c>
      <c r="E9082">
        <v>47</v>
      </c>
      <c r="F9082">
        <v>25</v>
      </c>
      <c r="G9082">
        <v>12</v>
      </c>
      <c r="H9082" t="s">
        <v>19447</v>
      </c>
      <c r="I9082" t="s">
        <v>19447</v>
      </c>
      <c r="J9082">
        <v>20</v>
      </c>
      <c r="L9082" t="s">
        <v>2709</v>
      </c>
      <c r="M9082">
        <v>85167910</v>
      </c>
      <c r="O9082" t="s">
        <v>20144</v>
      </c>
      <c r="P9082" t="s">
        <v>19982</v>
      </c>
      <c r="Q9082" t="s">
        <v>19903</v>
      </c>
      <c r="R9082" t="s">
        <v>19447</v>
      </c>
      <c r="S9082" t="s">
        <v>19447</v>
      </c>
      <c r="T9082" t="s">
        <v>19934</v>
      </c>
    </row>
    <row r="9083" spans="2:20" x14ac:dyDescent="0.25">
      <c r="B9083" t="s">
        <v>2709</v>
      </c>
      <c r="C9083">
        <v>85167920</v>
      </c>
      <c r="E9083">
        <v>47</v>
      </c>
      <c r="F9083">
        <v>25</v>
      </c>
      <c r="G9083">
        <v>12</v>
      </c>
      <c r="H9083" t="s">
        <v>19447</v>
      </c>
      <c r="I9083" t="s">
        <v>19447</v>
      </c>
      <c r="J9083">
        <v>20</v>
      </c>
      <c r="L9083" t="s">
        <v>2709</v>
      </c>
      <c r="M9083">
        <v>85167920</v>
      </c>
      <c r="O9083" t="s">
        <v>20144</v>
      </c>
      <c r="P9083" t="s">
        <v>19982</v>
      </c>
      <c r="Q9083" t="s">
        <v>19903</v>
      </c>
      <c r="R9083" t="s">
        <v>19447</v>
      </c>
      <c r="S9083" t="s">
        <v>19447</v>
      </c>
      <c r="T9083" t="s">
        <v>19934</v>
      </c>
    </row>
    <row r="9084" spans="2:20" x14ac:dyDescent="0.25">
      <c r="B9084" t="s">
        <v>2709</v>
      </c>
      <c r="C9084">
        <v>85167990</v>
      </c>
      <c r="E9084">
        <v>67.599999999999994</v>
      </c>
      <c r="F9084">
        <v>25</v>
      </c>
      <c r="G9084">
        <v>15</v>
      </c>
      <c r="H9084" t="s">
        <v>19447</v>
      </c>
      <c r="I9084" t="s">
        <v>19447</v>
      </c>
      <c r="J9084">
        <v>20</v>
      </c>
      <c r="L9084" t="s">
        <v>2709</v>
      </c>
      <c r="M9084">
        <v>85167990</v>
      </c>
      <c r="O9084" t="s">
        <v>20169</v>
      </c>
      <c r="P9084" t="s">
        <v>19982</v>
      </c>
      <c r="Q9084" t="s">
        <v>19983</v>
      </c>
      <c r="R9084" t="s">
        <v>19447</v>
      </c>
      <c r="S9084" t="s">
        <v>19447</v>
      </c>
      <c r="T9084" t="s">
        <v>19934</v>
      </c>
    </row>
    <row r="9085" spans="2:20" x14ac:dyDescent="0.25">
      <c r="B9085" t="s">
        <v>2709</v>
      </c>
      <c r="C9085">
        <v>85168010</v>
      </c>
      <c r="E9085">
        <v>47</v>
      </c>
      <c r="F9085">
        <v>25</v>
      </c>
      <c r="G9085">
        <v>10</v>
      </c>
      <c r="H9085" t="s">
        <v>19447</v>
      </c>
      <c r="I9085" t="s">
        <v>19447</v>
      </c>
      <c r="J9085">
        <v>16</v>
      </c>
      <c r="L9085" t="s">
        <v>2709</v>
      </c>
      <c r="M9085">
        <v>85168010</v>
      </c>
      <c r="O9085" t="s">
        <v>20144</v>
      </c>
      <c r="P9085" t="s">
        <v>19982</v>
      </c>
      <c r="Q9085" t="s">
        <v>19904</v>
      </c>
      <c r="R9085" t="s">
        <v>19447</v>
      </c>
      <c r="S9085" t="s">
        <v>19447</v>
      </c>
      <c r="T9085" t="s">
        <v>19913</v>
      </c>
    </row>
    <row r="9086" spans="2:20" x14ac:dyDescent="0.25">
      <c r="B9086" t="s">
        <v>2709</v>
      </c>
      <c r="C9086">
        <v>85168090</v>
      </c>
      <c r="E9086">
        <v>47</v>
      </c>
      <c r="F9086">
        <v>25</v>
      </c>
      <c r="G9086">
        <v>10</v>
      </c>
      <c r="H9086" t="s">
        <v>19447</v>
      </c>
      <c r="I9086" t="s">
        <v>19447</v>
      </c>
      <c r="J9086">
        <v>16</v>
      </c>
      <c r="L9086" t="s">
        <v>2709</v>
      </c>
      <c r="M9086">
        <v>85168090</v>
      </c>
      <c r="O9086" t="s">
        <v>20144</v>
      </c>
      <c r="P9086" t="s">
        <v>19982</v>
      </c>
      <c r="Q9086" t="s">
        <v>19904</v>
      </c>
      <c r="R9086" t="s">
        <v>19447</v>
      </c>
      <c r="S9086" t="s">
        <v>19447</v>
      </c>
      <c r="T9086" t="s">
        <v>19913</v>
      </c>
    </row>
    <row r="9087" spans="2:20" x14ac:dyDescent="0.25">
      <c r="B9087" t="s">
        <v>2709</v>
      </c>
      <c r="C9087">
        <v>85169000</v>
      </c>
      <c r="E9087">
        <v>72.23</v>
      </c>
      <c r="F9087">
        <v>25</v>
      </c>
      <c r="G9087">
        <v>10</v>
      </c>
      <c r="H9087" t="s">
        <v>19447</v>
      </c>
      <c r="I9087" t="s">
        <v>19447</v>
      </c>
      <c r="J9087">
        <v>16</v>
      </c>
      <c r="L9087" t="s">
        <v>2709</v>
      </c>
      <c r="M9087">
        <v>85169000</v>
      </c>
      <c r="O9087" t="s">
        <v>20199</v>
      </c>
      <c r="P9087" t="s">
        <v>19982</v>
      </c>
      <c r="Q9087" t="s">
        <v>19904</v>
      </c>
      <c r="R9087" t="s">
        <v>19447</v>
      </c>
      <c r="S9087" t="s">
        <v>19447</v>
      </c>
      <c r="T9087" t="s">
        <v>19913</v>
      </c>
    </row>
    <row r="9088" spans="2:20" x14ac:dyDescent="0.25">
      <c r="B9088" t="s">
        <v>2709</v>
      </c>
      <c r="C9088">
        <v>85169000</v>
      </c>
      <c r="D9088">
        <v>1</v>
      </c>
      <c r="E9088" t="s">
        <v>19447</v>
      </c>
      <c r="F9088">
        <v>18</v>
      </c>
      <c r="G9088">
        <v>5</v>
      </c>
      <c r="H9088">
        <v>7.6</v>
      </c>
      <c r="I9088">
        <v>1.65</v>
      </c>
      <c r="J9088">
        <v>16</v>
      </c>
      <c r="L9088" t="s">
        <v>2709</v>
      </c>
      <c r="M9088">
        <v>85169000</v>
      </c>
      <c r="N9088">
        <v>1</v>
      </c>
      <c r="O9088" t="s">
        <v>19447</v>
      </c>
      <c r="P9088" t="s">
        <v>19899</v>
      </c>
      <c r="Q9088" t="s">
        <v>19909</v>
      </c>
      <c r="R9088" t="s">
        <v>19905</v>
      </c>
      <c r="S9088" t="s">
        <v>19906</v>
      </c>
      <c r="T9088" t="s">
        <v>19913</v>
      </c>
    </row>
    <row r="9089" spans="2:20" x14ac:dyDescent="0.25">
      <c r="B9089" t="s">
        <v>2709</v>
      </c>
      <c r="C9089">
        <v>85171100</v>
      </c>
      <c r="E9089">
        <v>59</v>
      </c>
      <c r="F9089">
        <v>25</v>
      </c>
      <c r="G9089">
        <v>10</v>
      </c>
      <c r="H9089" t="s">
        <v>19447</v>
      </c>
      <c r="I9089" t="s">
        <v>19447</v>
      </c>
      <c r="J9089">
        <v>20</v>
      </c>
      <c r="L9089" t="s">
        <v>2709</v>
      </c>
      <c r="M9089">
        <v>85171100</v>
      </c>
      <c r="O9089" t="s">
        <v>20002</v>
      </c>
      <c r="P9089" t="s">
        <v>19982</v>
      </c>
      <c r="Q9089" t="s">
        <v>19904</v>
      </c>
      <c r="R9089" t="s">
        <v>19447</v>
      </c>
      <c r="S9089" t="s">
        <v>19447</v>
      </c>
      <c r="T9089" t="s">
        <v>19934</v>
      </c>
    </row>
    <row r="9090" spans="2:20" x14ac:dyDescent="0.25">
      <c r="B9090" t="s">
        <v>2709</v>
      </c>
      <c r="C9090">
        <v>85171211</v>
      </c>
      <c r="E9090">
        <v>59</v>
      </c>
      <c r="F9090">
        <v>25</v>
      </c>
      <c r="G9090">
        <v>15</v>
      </c>
      <c r="H9090" t="s">
        <v>19447</v>
      </c>
      <c r="I9090" t="s">
        <v>19447</v>
      </c>
      <c r="J9090">
        <v>12</v>
      </c>
      <c r="L9090" t="s">
        <v>2709</v>
      </c>
      <c r="M9090">
        <v>85171211</v>
      </c>
      <c r="O9090" t="s">
        <v>20002</v>
      </c>
      <c r="P9090" t="s">
        <v>19982</v>
      </c>
      <c r="Q9090" t="s">
        <v>19983</v>
      </c>
      <c r="R9090" t="s">
        <v>19447</v>
      </c>
      <c r="S9090" t="s">
        <v>19447</v>
      </c>
      <c r="T9090" t="s">
        <v>19903</v>
      </c>
    </row>
    <row r="9091" spans="2:20" x14ac:dyDescent="0.25">
      <c r="B9091" t="s">
        <v>2709</v>
      </c>
      <c r="C9091">
        <v>85171212</v>
      </c>
      <c r="E9091">
        <v>59</v>
      </c>
      <c r="F9091">
        <v>25</v>
      </c>
      <c r="G9091">
        <v>15</v>
      </c>
      <c r="H9091" t="s">
        <v>19447</v>
      </c>
      <c r="I9091" t="s">
        <v>19447</v>
      </c>
      <c r="J9091">
        <v>12</v>
      </c>
      <c r="L9091" t="s">
        <v>2709</v>
      </c>
      <c r="M9091">
        <v>85171212</v>
      </c>
      <c r="O9091" t="s">
        <v>20002</v>
      </c>
      <c r="P9091" t="s">
        <v>19982</v>
      </c>
      <c r="Q9091" t="s">
        <v>19983</v>
      </c>
      <c r="R9091" t="s">
        <v>19447</v>
      </c>
      <c r="S9091" t="s">
        <v>19447</v>
      </c>
      <c r="T9091" t="s">
        <v>19903</v>
      </c>
    </row>
    <row r="9092" spans="2:20" x14ac:dyDescent="0.25">
      <c r="B9092" t="s">
        <v>2709</v>
      </c>
      <c r="C9092">
        <v>85171213</v>
      </c>
      <c r="E9092">
        <v>71.78</v>
      </c>
      <c r="F9092">
        <v>25</v>
      </c>
      <c r="G9092">
        <v>15</v>
      </c>
      <c r="H9092" t="s">
        <v>19447</v>
      </c>
      <c r="I9092" t="s">
        <v>19447</v>
      </c>
      <c r="J9092">
        <v>12</v>
      </c>
      <c r="L9092" t="s">
        <v>2709</v>
      </c>
      <c r="M9092">
        <v>85171213</v>
      </c>
      <c r="O9092" t="s">
        <v>20056</v>
      </c>
      <c r="P9092" t="s">
        <v>19982</v>
      </c>
      <c r="Q9092" t="s">
        <v>19983</v>
      </c>
      <c r="R9092" t="s">
        <v>19447</v>
      </c>
      <c r="S9092" t="s">
        <v>19447</v>
      </c>
      <c r="T9092" t="s">
        <v>19903</v>
      </c>
    </row>
    <row r="9093" spans="2:20" x14ac:dyDescent="0.25">
      <c r="B9093" t="s">
        <v>2709</v>
      </c>
      <c r="C9093">
        <v>85171219</v>
      </c>
      <c r="E9093">
        <v>59</v>
      </c>
      <c r="F9093">
        <v>25</v>
      </c>
      <c r="G9093">
        <v>15</v>
      </c>
      <c r="H9093" t="s">
        <v>19447</v>
      </c>
      <c r="I9093" t="s">
        <v>19447</v>
      </c>
      <c r="J9093">
        <v>12</v>
      </c>
      <c r="L9093" t="s">
        <v>2709</v>
      </c>
      <c r="M9093">
        <v>85171219</v>
      </c>
      <c r="O9093" t="s">
        <v>20002</v>
      </c>
      <c r="P9093" t="s">
        <v>19982</v>
      </c>
      <c r="Q9093" t="s">
        <v>19983</v>
      </c>
      <c r="R9093" t="s">
        <v>19447</v>
      </c>
      <c r="S9093" t="s">
        <v>19447</v>
      </c>
      <c r="T9093" t="s">
        <v>19903</v>
      </c>
    </row>
    <row r="9094" spans="2:20" x14ac:dyDescent="0.25">
      <c r="B9094" t="s">
        <v>2709</v>
      </c>
      <c r="C9094">
        <v>85171221</v>
      </c>
      <c r="E9094">
        <v>59</v>
      </c>
      <c r="F9094">
        <v>25</v>
      </c>
      <c r="G9094">
        <v>15</v>
      </c>
      <c r="H9094" t="s">
        <v>19447</v>
      </c>
      <c r="I9094" t="s">
        <v>19447</v>
      </c>
      <c r="J9094">
        <v>12</v>
      </c>
      <c r="L9094" t="s">
        <v>2709</v>
      </c>
      <c r="M9094">
        <v>85171221</v>
      </c>
      <c r="O9094" t="s">
        <v>20002</v>
      </c>
      <c r="P9094" t="s">
        <v>19982</v>
      </c>
      <c r="Q9094" t="s">
        <v>19983</v>
      </c>
      <c r="R9094" t="s">
        <v>19447</v>
      </c>
      <c r="S9094" t="s">
        <v>19447</v>
      </c>
      <c r="T9094" t="s">
        <v>19903</v>
      </c>
    </row>
    <row r="9095" spans="2:20" x14ac:dyDescent="0.25">
      <c r="B9095" t="s">
        <v>2709</v>
      </c>
      <c r="C9095">
        <v>85171222</v>
      </c>
      <c r="E9095">
        <v>59</v>
      </c>
      <c r="F9095">
        <v>25</v>
      </c>
      <c r="G9095">
        <v>15</v>
      </c>
      <c r="H9095" t="s">
        <v>19447</v>
      </c>
      <c r="I9095" t="s">
        <v>19447</v>
      </c>
      <c r="J9095">
        <v>0</v>
      </c>
      <c r="L9095" t="s">
        <v>2709</v>
      </c>
      <c r="M9095">
        <v>85171222</v>
      </c>
      <c r="O9095" t="s">
        <v>20002</v>
      </c>
      <c r="P9095" t="s">
        <v>19982</v>
      </c>
      <c r="Q9095" t="s">
        <v>19983</v>
      </c>
      <c r="R9095" t="s">
        <v>19447</v>
      </c>
      <c r="S9095" t="s">
        <v>19447</v>
      </c>
      <c r="T9095" t="s">
        <v>19900</v>
      </c>
    </row>
    <row r="9096" spans="2:20" x14ac:dyDescent="0.25">
      <c r="B9096" t="s">
        <v>2709</v>
      </c>
      <c r="C9096">
        <v>85171223</v>
      </c>
      <c r="E9096">
        <v>59</v>
      </c>
      <c r="F9096">
        <v>25</v>
      </c>
      <c r="G9096">
        <v>15</v>
      </c>
      <c r="H9096" t="s">
        <v>19447</v>
      </c>
      <c r="I9096" t="s">
        <v>19447</v>
      </c>
      <c r="J9096">
        <v>12</v>
      </c>
      <c r="L9096" t="s">
        <v>2709</v>
      </c>
      <c r="M9096">
        <v>85171223</v>
      </c>
      <c r="O9096" t="s">
        <v>20002</v>
      </c>
      <c r="P9096" t="s">
        <v>19982</v>
      </c>
      <c r="Q9096" t="s">
        <v>19983</v>
      </c>
      <c r="R9096" t="s">
        <v>19447</v>
      </c>
      <c r="S9096" t="s">
        <v>19447</v>
      </c>
      <c r="T9096" t="s">
        <v>19903</v>
      </c>
    </row>
    <row r="9097" spans="2:20" x14ac:dyDescent="0.25">
      <c r="B9097" t="s">
        <v>2709</v>
      </c>
      <c r="C9097">
        <v>85171229</v>
      </c>
      <c r="E9097">
        <v>59</v>
      </c>
      <c r="F9097">
        <v>25</v>
      </c>
      <c r="G9097">
        <v>15</v>
      </c>
      <c r="H9097" t="s">
        <v>19447</v>
      </c>
      <c r="I9097" t="s">
        <v>19447</v>
      </c>
      <c r="J9097">
        <v>12</v>
      </c>
      <c r="L9097" t="s">
        <v>2709</v>
      </c>
      <c r="M9097">
        <v>85171229</v>
      </c>
      <c r="O9097" t="s">
        <v>20002</v>
      </c>
      <c r="P9097" t="s">
        <v>19982</v>
      </c>
      <c r="Q9097" t="s">
        <v>19983</v>
      </c>
      <c r="R9097" t="s">
        <v>19447</v>
      </c>
      <c r="S9097" t="s">
        <v>19447</v>
      </c>
      <c r="T9097" t="s">
        <v>19903</v>
      </c>
    </row>
    <row r="9098" spans="2:20" x14ac:dyDescent="0.25">
      <c r="B9098" t="s">
        <v>2709</v>
      </c>
      <c r="C9098">
        <v>85171231</v>
      </c>
      <c r="E9098">
        <v>59</v>
      </c>
      <c r="F9098">
        <v>25</v>
      </c>
      <c r="G9098">
        <v>15</v>
      </c>
      <c r="H9098" t="s">
        <v>19447</v>
      </c>
      <c r="I9098" t="s">
        <v>19447</v>
      </c>
      <c r="J9098">
        <v>16</v>
      </c>
      <c r="L9098" t="s">
        <v>2709</v>
      </c>
      <c r="M9098">
        <v>85171231</v>
      </c>
      <c r="O9098" t="s">
        <v>20002</v>
      </c>
      <c r="P9098" t="s">
        <v>19982</v>
      </c>
      <c r="Q9098" t="s">
        <v>19983</v>
      </c>
      <c r="R9098" t="s">
        <v>19447</v>
      </c>
      <c r="S9098" t="s">
        <v>19447</v>
      </c>
      <c r="T9098" t="s">
        <v>19913</v>
      </c>
    </row>
    <row r="9099" spans="2:20" x14ac:dyDescent="0.25">
      <c r="B9099" t="s">
        <v>2709</v>
      </c>
      <c r="C9099">
        <v>85171232</v>
      </c>
      <c r="E9099">
        <v>59</v>
      </c>
      <c r="F9099">
        <v>25</v>
      </c>
      <c r="G9099">
        <v>15</v>
      </c>
      <c r="H9099" t="s">
        <v>19447</v>
      </c>
      <c r="I9099" t="s">
        <v>19447</v>
      </c>
      <c r="J9099">
        <v>0</v>
      </c>
      <c r="L9099" t="s">
        <v>2709</v>
      </c>
      <c r="M9099">
        <v>85171232</v>
      </c>
      <c r="O9099" t="s">
        <v>20002</v>
      </c>
      <c r="P9099" t="s">
        <v>19982</v>
      </c>
      <c r="Q9099" t="s">
        <v>19983</v>
      </c>
      <c r="R9099" t="s">
        <v>19447</v>
      </c>
      <c r="S9099" t="s">
        <v>19447</v>
      </c>
      <c r="T9099" t="s">
        <v>19900</v>
      </c>
    </row>
    <row r="9100" spans="2:20" x14ac:dyDescent="0.25">
      <c r="B9100" t="s">
        <v>2709</v>
      </c>
      <c r="C9100">
        <v>85171233</v>
      </c>
      <c r="E9100">
        <v>59</v>
      </c>
      <c r="F9100">
        <v>25</v>
      </c>
      <c r="G9100">
        <v>15</v>
      </c>
      <c r="H9100" t="s">
        <v>19447</v>
      </c>
      <c r="I9100" t="s">
        <v>19447</v>
      </c>
      <c r="J9100">
        <v>12</v>
      </c>
      <c r="L9100" t="s">
        <v>2709</v>
      </c>
      <c r="M9100">
        <v>85171233</v>
      </c>
      <c r="O9100" t="s">
        <v>20002</v>
      </c>
      <c r="P9100" t="s">
        <v>19982</v>
      </c>
      <c r="Q9100" t="s">
        <v>19983</v>
      </c>
      <c r="R9100" t="s">
        <v>19447</v>
      </c>
      <c r="S9100" t="s">
        <v>19447</v>
      </c>
      <c r="T9100" t="s">
        <v>19903</v>
      </c>
    </row>
    <row r="9101" spans="2:20" x14ac:dyDescent="0.25">
      <c r="B9101" t="s">
        <v>2709</v>
      </c>
      <c r="C9101">
        <v>85171239</v>
      </c>
      <c r="E9101">
        <v>59</v>
      </c>
      <c r="F9101">
        <v>25</v>
      </c>
      <c r="G9101">
        <v>15</v>
      </c>
      <c r="H9101" t="s">
        <v>19447</v>
      </c>
      <c r="I9101" t="s">
        <v>19447</v>
      </c>
      <c r="J9101">
        <v>12</v>
      </c>
      <c r="L9101" t="s">
        <v>2709</v>
      </c>
      <c r="M9101">
        <v>85171239</v>
      </c>
      <c r="O9101" t="s">
        <v>20002</v>
      </c>
      <c r="P9101" t="s">
        <v>19982</v>
      </c>
      <c r="Q9101" t="s">
        <v>19983</v>
      </c>
      <c r="R9101" t="s">
        <v>19447</v>
      </c>
      <c r="S9101" t="s">
        <v>19447</v>
      </c>
      <c r="T9101" t="s">
        <v>19903</v>
      </c>
    </row>
    <row r="9102" spans="2:20" x14ac:dyDescent="0.25">
      <c r="B9102" t="s">
        <v>2709</v>
      </c>
      <c r="C9102">
        <v>85171241</v>
      </c>
      <c r="E9102">
        <v>59</v>
      </c>
      <c r="F9102">
        <v>25</v>
      </c>
      <c r="G9102">
        <v>15</v>
      </c>
      <c r="H9102" t="s">
        <v>19447</v>
      </c>
      <c r="I9102" t="s">
        <v>19447</v>
      </c>
      <c r="J9102">
        <v>0</v>
      </c>
      <c r="L9102" t="s">
        <v>2709</v>
      </c>
      <c r="M9102">
        <v>85171241</v>
      </c>
      <c r="O9102" t="s">
        <v>20002</v>
      </c>
      <c r="P9102" t="s">
        <v>19982</v>
      </c>
      <c r="Q9102" t="s">
        <v>19983</v>
      </c>
      <c r="R9102" t="s">
        <v>19447</v>
      </c>
      <c r="S9102" t="s">
        <v>19447</v>
      </c>
      <c r="T9102" t="s">
        <v>19900</v>
      </c>
    </row>
    <row r="9103" spans="2:20" x14ac:dyDescent="0.25">
      <c r="B9103" t="s">
        <v>2709</v>
      </c>
      <c r="C9103">
        <v>85171249</v>
      </c>
      <c r="E9103">
        <v>59</v>
      </c>
      <c r="F9103">
        <v>25</v>
      </c>
      <c r="G9103">
        <v>15</v>
      </c>
      <c r="H9103" t="s">
        <v>19447</v>
      </c>
      <c r="I9103" t="s">
        <v>19447</v>
      </c>
      <c r="J9103">
        <v>16</v>
      </c>
      <c r="L9103" t="s">
        <v>2709</v>
      </c>
      <c r="M9103">
        <v>85171249</v>
      </c>
      <c r="O9103" t="s">
        <v>20002</v>
      </c>
      <c r="P9103" t="s">
        <v>19982</v>
      </c>
      <c r="Q9103" t="s">
        <v>19983</v>
      </c>
      <c r="R9103" t="s">
        <v>19447</v>
      </c>
      <c r="S9103" t="s">
        <v>19447</v>
      </c>
      <c r="T9103" t="s">
        <v>19913</v>
      </c>
    </row>
    <row r="9104" spans="2:20" x14ac:dyDescent="0.25">
      <c r="B9104" t="s">
        <v>2709</v>
      </c>
      <c r="C9104">
        <v>85171290</v>
      </c>
      <c r="E9104">
        <v>59</v>
      </c>
      <c r="F9104">
        <v>25</v>
      </c>
      <c r="G9104">
        <v>15</v>
      </c>
      <c r="H9104" t="s">
        <v>19447</v>
      </c>
      <c r="I9104" t="s">
        <v>19447</v>
      </c>
      <c r="J9104">
        <v>16</v>
      </c>
      <c r="L9104" t="s">
        <v>2709</v>
      </c>
      <c r="M9104">
        <v>85171290</v>
      </c>
      <c r="O9104" t="s">
        <v>20002</v>
      </c>
      <c r="P9104" t="s">
        <v>19982</v>
      </c>
      <c r="Q9104" t="s">
        <v>19983</v>
      </c>
      <c r="R9104" t="s">
        <v>19447</v>
      </c>
      <c r="S9104" t="s">
        <v>19447</v>
      </c>
      <c r="T9104" t="s">
        <v>19913</v>
      </c>
    </row>
    <row r="9105" spans="2:20" x14ac:dyDescent="0.25">
      <c r="B9105" t="s">
        <v>2709</v>
      </c>
      <c r="C9105">
        <v>85171810</v>
      </c>
      <c r="E9105">
        <v>59</v>
      </c>
      <c r="F9105">
        <v>25</v>
      </c>
      <c r="G9105">
        <v>10</v>
      </c>
      <c r="H9105" t="s">
        <v>19447</v>
      </c>
      <c r="I9105" t="s">
        <v>19447</v>
      </c>
      <c r="J9105">
        <v>20</v>
      </c>
      <c r="L9105" t="s">
        <v>2709</v>
      </c>
      <c r="M9105">
        <v>85171810</v>
      </c>
      <c r="O9105" t="s">
        <v>20002</v>
      </c>
      <c r="P9105" t="s">
        <v>19982</v>
      </c>
      <c r="Q9105" t="s">
        <v>19904</v>
      </c>
      <c r="R9105" t="s">
        <v>19447</v>
      </c>
      <c r="S9105" t="s">
        <v>19447</v>
      </c>
      <c r="T9105" t="s">
        <v>19934</v>
      </c>
    </row>
    <row r="9106" spans="2:20" x14ac:dyDescent="0.25">
      <c r="B9106" t="s">
        <v>2709</v>
      </c>
      <c r="C9106">
        <v>85171820</v>
      </c>
      <c r="E9106">
        <v>59</v>
      </c>
      <c r="F9106">
        <v>25</v>
      </c>
      <c r="G9106">
        <v>15</v>
      </c>
      <c r="H9106" t="s">
        <v>19447</v>
      </c>
      <c r="I9106" t="s">
        <v>19447</v>
      </c>
      <c r="J9106">
        <v>14</v>
      </c>
      <c r="L9106" t="s">
        <v>2709</v>
      </c>
      <c r="M9106">
        <v>85171820</v>
      </c>
      <c r="O9106" t="s">
        <v>20002</v>
      </c>
      <c r="P9106" t="s">
        <v>19982</v>
      </c>
      <c r="Q9106" t="s">
        <v>19983</v>
      </c>
      <c r="R9106" t="s">
        <v>19447</v>
      </c>
      <c r="S9106" t="s">
        <v>19447</v>
      </c>
      <c r="T9106" t="s">
        <v>19911</v>
      </c>
    </row>
    <row r="9107" spans="2:20" x14ac:dyDescent="0.25">
      <c r="B9107" t="s">
        <v>2709</v>
      </c>
      <c r="C9107">
        <v>85171891</v>
      </c>
      <c r="E9107">
        <v>59</v>
      </c>
      <c r="F9107">
        <v>25</v>
      </c>
      <c r="G9107">
        <v>10</v>
      </c>
      <c r="H9107" t="s">
        <v>19447</v>
      </c>
      <c r="I9107" t="s">
        <v>19447</v>
      </c>
      <c r="J9107">
        <v>20</v>
      </c>
      <c r="L9107" t="s">
        <v>2709</v>
      </c>
      <c r="M9107">
        <v>85171891</v>
      </c>
      <c r="O9107" t="s">
        <v>20002</v>
      </c>
      <c r="P9107" t="s">
        <v>19982</v>
      </c>
      <c r="Q9107" t="s">
        <v>19904</v>
      </c>
      <c r="R9107" t="s">
        <v>19447</v>
      </c>
      <c r="S9107" t="s">
        <v>19447</v>
      </c>
      <c r="T9107" t="s">
        <v>19934</v>
      </c>
    </row>
    <row r="9108" spans="2:20" x14ac:dyDescent="0.25">
      <c r="B9108" t="s">
        <v>2709</v>
      </c>
      <c r="C9108">
        <v>85171899</v>
      </c>
      <c r="E9108">
        <v>75</v>
      </c>
      <c r="F9108">
        <v>25</v>
      </c>
      <c r="G9108">
        <v>10</v>
      </c>
      <c r="H9108" t="s">
        <v>19447</v>
      </c>
      <c r="I9108" t="s">
        <v>19447</v>
      </c>
      <c r="J9108">
        <v>20</v>
      </c>
      <c r="L9108" t="s">
        <v>2709</v>
      </c>
      <c r="M9108">
        <v>85171899</v>
      </c>
      <c r="O9108" t="s">
        <v>20072</v>
      </c>
      <c r="P9108" t="s">
        <v>19982</v>
      </c>
      <c r="Q9108" t="s">
        <v>19904</v>
      </c>
      <c r="R9108" t="s">
        <v>19447</v>
      </c>
      <c r="S9108" t="s">
        <v>19447</v>
      </c>
      <c r="T9108" t="s">
        <v>19934</v>
      </c>
    </row>
    <row r="9109" spans="2:20" x14ac:dyDescent="0.25">
      <c r="B9109" t="s">
        <v>2709</v>
      </c>
      <c r="C9109">
        <v>85176111</v>
      </c>
      <c r="E9109">
        <v>59</v>
      </c>
      <c r="F9109">
        <v>25</v>
      </c>
      <c r="G9109">
        <v>15</v>
      </c>
      <c r="H9109" t="s">
        <v>19447</v>
      </c>
      <c r="I9109" t="s">
        <v>19447</v>
      </c>
      <c r="J9109">
        <v>0</v>
      </c>
      <c r="L9109" t="s">
        <v>2709</v>
      </c>
      <c r="M9109">
        <v>85176111</v>
      </c>
      <c r="O9109" t="s">
        <v>20002</v>
      </c>
      <c r="P9109" t="s">
        <v>19982</v>
      </c>
      <c r="Q9109" t="s">
        <v>19983</v>
      </c>
      <c r="R9109" t="s">
        <v>19447</v>
      </c>
      <c r="S9109" t="s">
        <v>19447</v>
      </c>
      <c r="T9109" t="s">
        <v>19900</v>
      </c>
    </row>
    <row r="9110" spans="2:20" x14ac:dyDescent="0.25">
      <c r="B9110" t="s">
        <v>2709</v>
      </c>
      <c r="C9110">
        <v>85176119</v>
      </c>
      <c r="E9110">
        <v>59</v>
      </c>
      <c r="F9110">
        <v>25</v>
      </c>
      <c r="G9110">
        <v>15</v>
      </c>
      <c r="H9110" t="s">
        <v>19447</v>
      </c>
      <c r="I9110" t="s">
        <v>19447</v>
      </c>
      <c r="J9110">
        <v>16</v>
      </c>
      <c r="L9110" t="s">
        <v>2709</v>
      </c>
      <c r="M9110">
        <v>85176119</v>
      </c>
      <c r="O9110" t="s">
        <v>20002</v>
      </c>
      <c r="P9110" t="s">
        <v>19982</v>
      </c>
      <c r="Q9110" t="s">
        <v>19983</v>
      </c>
      <c r="R9110" t="s">
        <v>19447</v>
      </c>
      <c r="S9110" t="s">
        <v>19447</v>
      </c>
      <c r="T9110" t="s">
        <v>19913</v>
      </c>
    </row>
    <row r="9111" spans="2:20" x14ac:dyDescent="0.25">
      <c r="B9111" t="s">
        <v>2709</v>
      </c>
      <c r="C9111">
        <v>85176120</v>
      </c>
      <c r="E9111">
        <v>59</v>
      </c>
      <c r="F9111">
        <v>25</v>
      </c>
      <c r="G9111">
        <v>15</v>
      </c>
      <c r="H9111" t="s">
        <v>19447</v>
      </c>
      <c r="I9111" t="s">
        <v>19447</v>
      </c>
      <c r="J9111">
        <v>0</v>
      </c>
      <c r="L9111" t="s">
        <v>2709</v>
      </c>
      <c r="M9111">
        <v>85176120</v>
      </c>
      <c r="O9111" t="s">
        <v>20002</v>
      </c>
      <c r="P9111" t="s">
        <v>19982</v>
      </c>
      <c r="Q9111" t="s">
        <v>19983</v>
      </c>
      <c r="R9111" t="s">
        <v>19447</v>
      </c>
      <c r="S9111" t="s">
        <v>19447</v>
      </c>
      <c r="T9111" t="s">
        <v>19900</v>
      </c>
    </row>
    <row r="9112" spans="2:20" x14ac:dyDescent="0.25">
      <c r="B9112" t="s">
        <v>2709</v>
      </c>
      <c r="C9112">
        <v>85176130</v>
      </c>
      <c r="E9112">
        <v>59</v>
      </c>
      <c r="F9112">
        <v>25</v>
      </c>
      <c r="G9112">
        <v>15</v>
      </c>
      <c r="H9112" t="s">
        <v>19447</v>
      </c>
      <c r="I9112" t="s">
        <v>19447</v>
      </c>
      <c r="J9112">
        <v>12</v>
      </c>
      <c r="L9112" t="s">
        <v>2709</v>
      </c>
      <c r="M9112">
        <v>85176130</v>
      </c>
      <c r="O9112" t="s">
        <v>20002</v>
      </c>
      <c r="P9112" t="s">
        <v>19982</v>
      </c>
      <c r="Q9112" t="s">
        <v>19983</v>
      </c>
      <c r="R9112" t="s">
        <v>19447</v>
      </c>
      <c r="S9112" t="s">
        <v>19447</v>
      </c>
      <c r="T9112" t="s">
        <v>19903</v>
      </c>
    </row>
    <row r="9113" spans="2:20" x14ac:dyDescent="0.25">
      <c r="B9113" t="s">
        <v>2709</v>
      </c>
      <c r="C9113">
        <v>85176141</v>
      </c>
      <c r="E9113">
        <v>59</v>
      </c>
      <c r="F9113">
        <v>25</v>
      </c>
      <c r="G9113">
        <v>15</v>
      </c>
      <c r="H9113" t="s">
        <v>19447</v>
      </c>
      <c r="I9113" t="s">
        <v>19447</v>
      </c>
      <c r="J9113">
        <v>0</v>
      </c>
      <c r="L9113" t="s">
        <v>2709</v>
      </c>
      <c r="M9113">
        <v>85176141</v>
      </c>
      <c r="O9113" t="s">
        <v>20002</v>
      </c>
      <c r="P9113" t="s">
        <v>19982</v>
      </c>
      <c r="Q9113" t="s">
        <v>19983</v>
      </c>
      <c r="R9113" t="s">
        <v>19447</v>
      </c>
      <c r="S9113" t="s">
        <v>19447</v>
      </c>
      <c r="T9113" t="s">
        <v>19900</v>
      </c>
    </row>
    <row r="9114" spans="2:20" x14ac:dyDescent="0.25">
      <c r="B9114" t="s">
        <v>2709</v>
      </c>
      <c r="C9114">
        <v>85176142</v>
      </c>
      <c r="E9114">
        <v>59</v>
      </c>
      <c r="F9114">
        <v>25</v>
      </c>
      <c r="G9114">
        <v>15</v>
      </c>
      <c r="H9114" t="s">
        <v>19447</v>
      </c>
      <c r="I9114" t="s">
        <v>19447</v>
      </c>
      <c r="J9114">
        <v>0</v>
      </c>
      <c r="L9114" t="s">
        <v>2709</v>
      </c>
      <c r="M9114">
        <v>85176142</v>
      </c>
      <c r="O9114" t="s">
        <v>20002</v>
      </c>
      <c r="P9114" t="s">
        <v>19982</v>
      </c>
      <c r="Q9114" t="s">
        <v>19983</v>
      </c>
      <c r="R9114" t="s">
        <v>19447</v>
      </c>
      <c r="S9114" t="s">
        <v>19447</v>
      </c>
      <c r="T9114" t="s">
        <v>19900</v>
      </c>
    </row>
    <row r="9115" spans="2:20" x14ac:dyDescent="0.25">
      <c r="B9115" t="s">
        <v>2709</v>
      </c>
      <c r="C9115">
        <v>85176143</v>
      </c>
      <c r="E9115">
        <v>59</v>
      </c>
      <c r="F9115">
        <v>25</v>
      </c>
      <c r="G9115">
        <v>15</v>
      </c>
      <c r="H9115" t="s">
        <v>19447</v>
      </c>
      <c r="I9115" t="s">
        <v>19447</v>
      </c>
      <c r="J9115">
        <v>0</v>
      </c>
      <c r="L9115" t="s">
        <v>2709</v>
      </c>
      <c r="M9115">
        <v>85176143</v>
      </c>
      <c r="O9115" t="s">
        <v>20002</v>
      </c>
      <c r="P9115" t="s">
        <v>19982</v>
      </c>
      <c r="Q9115" t="s">
        <v>19983</v>
      </c>
      <c r="R9115" t="s">
        <v>19447</v>
      </c>
      <c r="S9115" t="s">
        <v>19447</v>
      </c>
      <c r="T9115" t="s">
        <v>19900</v>
      </c>
    </row>
    <row r="9116" spans="2:20" x14ac:dyDescent="0.25">
      <c r="B9116" t="s">
        <v>2709</v>
      </c>
      <c r="C9116">
        <v>85176149</v>
      </c>
      <c r="E9116">
        <v>59</v>
      </c>
      <c r="F9116">
        <v>12</v>
      </c>
      <c r="G9116">
        <v>15</v>
      </c>
      <c r="H9116" t="s">
        <v>19447</v>
      </c>
      <c r="I9116" t="s">
        <v>19447</v>
      </c>
      <c r="J9116">
        <v>16</v>
      </c>
      <c r="L9116" t="s">
        <v>2709</v>
      </c>
      <c r="M9116">
        <v>85176149</v>
      </c>
      <c r="O9116" t="s">
        <v>20002</v>
      </c>
      <c r="P9116" t="s">
        <v>19903</v>
      </c>
      <c r="Q9116" t="s">
        <v>19983</v>
      </c>
      <c r="R9116" t="s">
        <v>19447</v>
      </c>
      <c r="S9116" t="s">
        <v>19447</v>
      </c>
      <c r="T9116" t="s">
        <v>19913</v>
      </c>
    </row>
    <row r="9117" spans="2:20" x14ac:dyDescent="0.25">
      <c r="B9117" t="s">
        <v>2709</v>
      </c>
      <c r="C9117">
        <v>85176191</v>
      </c>
      <c r="E9117">
        <v>59</v>
      </c>
      <c r="F9117">
        <v>25</v>
      </c>
      <c r="G9117">
        <v>15</v>
      </c>
      <c r="H9117" t="s">
        <v>19447</v>
      </c>
      <c r="I9117" t="s">
        <v>19447</v>
      </c>
      <c r="J9117">
        <v>16</v>
      </c>
      <c r="L9117" t="s">
        <v>2709</v>
      </c>
      <c r="M9117">
        <v>85176191</v>
      </c>
      <c r="O9117" t="s">
        <v>20002</v>
      </c>
      <c r="P9117" t="s">
        <v>19982</v>
      </c>
      <c r="Q9117" t="s">
        <v>19983</v>
      </c>
      <c r="R9117" t="s">
        <v>19447</v>
      </c>
      <c r="S9117" t="s">
        <v>19447</v>
      </c>
      <c r="T9117" t="s">
        <v>19913</v>
      </c>
    </row>
    <row r="9118" spans="2:20" x14ac:dyDescent="0.25">
      <c r="B9118" t="s">
        <v>2709</v>
      </c>
      <c r="C9118">
        <v>85176192</v>
      </c>
      <c r="E9118">
        <v>59</v>
      </c>
      <c r="F9118">
        <v>25</v>
      </c>
      <c r="G9118">
        <v>15</v>
      </c>
      <c r="H9118" t="s">
        <v>19447</v>
      </c>
      <c r="I9118" t="s">
        <v>19447</v>
      </c>
      <c r="J9118">
        <v>12</v>
      </c>
      <c r="L9118" t="s">
        <v>2709</v>
      </c>
      <c r="M9118">
        <v>85176192</v>
      </c>
      <c r="O9118" t="s">
        <v>20002</v>
      </c>
      <c r="P9118" t="s">
        <v>19982</v>
      </c>
      <c r="Q9118" t="s">
        <v>19983</v>
      </c>
      <c r="R9118" t="s">
        <v>19447</v>
      </c>
      <c r="S9118" t="s">
        <v>19447</v>
      </c>
      <c r="T9118" t="s">
        <v>19903</v>
      </c>
    </row>
    <row r="9119" spans="2:20" x14ac:dyDescent="0.25">
      <c r="B9119" t="s">
        <v>2709</v>
      </c>
      <c r="C9119">
        <v>85176199</v>
      </c>
      <c r="E9119">
        <v>59</v>
      </c>
      <c r="F9119">
        <v>25</v>
      </c>
      <c r="G9119">
        <v>15</v>
      </c>
      <c r="H9119" t="s">
        <v>19447</v>
      </c>
      <c r="I9119" t="s">
        <v>19447</v>
      </c>
      <c r="J9119">
        <v>16</v>
      </c>
      <c r="L9119" t="s">
        <v>2709</v>
      </c>
      <c r="M9119">
        <v>85176199</v>
      </c>
      <c r="O9119" t="s">
        <v>20002</v>
      </c>
      <c r="P9119" t="s">
        <v>19982</v>
      </c>
      <c r="Q9119" t="s">
        <v>19983</v>
      </c>
      <c r="R9119" t="s">
        <v>19447</v>
      </c>
      <c r="S9119" t="s">
        <v>19447</v>
      </c>
      <c r="T9119" t="s">
        <v>19913</v>
      </c>
    </row>
    <row r="9120" spans="2:20" x14ac:dyDescent="0.25">
      <c r="B9120" t="s">
        <v>2709</v>
      </c>
      <c r="C9120">
        <v>85176211</v>
      </c>
      <c r="E9120">
        <v>75.52</v>
      </c>
      <c r="F9120">
        <v>25</v>
      </c>
      <c r="G9120">
        <v>15</v>
      </c>
      <c r="H9120" t="s">
        <v>19447</v>
      </c>
      <c r="I9120" t="s">
        <v>19447</v>
      </c>
      <c r="J9120">
        <v>12</v>
      </c>
      <c r="L9120" t="s">
        <v>2709</v>
      </c>
      <c r="M9120">
        <v>85176211</v>
      </c>
      <c r="O9120" t="s">
        <v>20200</v>
      </c>
      <c r="P9120" t="s">
        <v>19982</v>
      </c>
      <c r="Q9120" t="s">
        <v>19983</v>
      </c>
      <c r="R9120" t="s">
        <v>19447</v>
      </c>
      <c r="S9120" t="s">
        <v>19447</v>
      </c>
      <c r="T9120" t="s">
        <v>19903</v>
      </c>
    </row>
    <row r="9121" spans="2:20" x14ac:dyDescent="0.25">
      <c r="B9121" t="s">
        <v>2709</v>
      </c>
      <c r="C9121">
        <v>85176212</v>
      </c>
      <c r="E9121">
        <v>75.52</v>
      </c>
      <c r="F9121">
        <v>25</v>
      </c>
      <c r="G9121">
        <v>15</v>
      </c>
      <c r="H9121" t="s">
        <v>19447</v>
      </c>
      <c r="I9121" t="s">
        <v>19447</v>
      </c>
      <c r="J9121">
        <v>14</v>
      </c>
      <c r="L9121" t="s">
        <v>2709</v>
      </c>
      <c r="M9121">
        <v>85176212</v>
      </c>
      <c r="O9121" t="s">
        <v>20200</v>
      </c>
      <c r="P9121" t="s">
        <v>19982</v>
      </c>
      <c r="Q9121" t="s">
        <v>19983</v>
      </c>
      <c r="R9121" t="s">
        <v>19447</v>
      </c>
      <c r="S9121" t="s">
        <v>19447</v>
      </c>
      <c r="T9121" t="s">
        <v>19911</v>
      </c>
    </row>
    <row r="9122" spans="2:20" x14ac:dyDescent="0.25">
      <c r="B9122" t="s">
        <v>2709</v>
      </c>
      <c r="C9122">
        <v>85176213</v>
      </c>
      <c r="E9122">
        <v>75.52</v>
      </c>
      <c r="F9122">
        <v>25</v>
      </c>
      <c r="G9122">
        <v>15</v>
      </c>
      <c r="H9122" t="s">
        <v>19447</v>
      </c>
      <c r="I9122" t="s">
        <v>19447</v>
      </c>
      <c r="J9122">
        <v>14</v>
      </c>
      <c r="L9122" t="s">
        <v>2709</v>
      </c>
      <c r="M9122">
        <v>85176213</v>
      </c>
      <c r="O9122" t="s">
        <v>20200</v>
      </c>
      <c r="P9122" t="s">
        <v>19982</v>
      </c>
      <c r="Q9122" t="s">
        <v>19983</v>
      </c>
      <c r="R9122" t="s">
        <v>19447</v>
      </c>
      <c r="S9122" t="s">
        <v>19447</v>
      </c>
      <c r="T9122" t="s">
        <v>19911</v>
      </c>
    </row>
    <row r="9123" spans="2:20" x14ac:dyDescent="0.25">
      <c r="B9123" t="s">
        <v>2709</v>
      </c>
      <c r="C9123">
        <v>85176213</v>
      </c>
      <c r="D9123">
        <v>1</v>
      </c>
      <c r="E9123" t="s">
        <v>19447</v>
      </c>
      <c r="F9123">
        <v>18</v>
      </c>
      <c r="G9123">
        <v>0</v>
      </c>
      <c r="H9123">
        <v>7.6</v>
      </c>
      <c r="I9123">
        <v>1.65</v>
      </c>
      <c r="J9123">
        <v>14</v>
      </c>
      <c r="L9123" t="s">
        <v>2709</v>
      </c>
      <c r="M9123">
        <v>85176213</v>
      </c>
      <c r="N9123">
        <v>1</v>
      </c>
      <c r="O9123" t="s">
        <v>19447</v>
      </c>
      <c r="P9123" t="s">
        <v>19899</v>
      </c>
      <c r="Q9123" t="s">
        <v>19900</v>
      </c>
      <c r="R9123" t="s">
        <v>19905</v>
      </c>
      <c r="S9123" t="s">
        <v>19906</v>
      </c>
      <c r="T9123" t="s">
        <v>19911</v>
      </c>
    </row>
    <row r="9124" spans="2:20" x14ac:dyDescent="0.25">
      <c r="B9124" t="s">
        <v>2709</v>
      </c>
      <c r="C9124">
        <v>85176213</v>
      </c>
      <c r="D9124">
        <v>2</v>
      </c>
      <c r="E9124" t="s">
        <v>19447</v>
      </c>
      <c r="F9124">
        <v>18</v>
      </c>
      <c r="G9124">
        <v>0</v>
      </c>
      <c r="H9124">
        <v>7.6</v>
      </c>
      <c r="I9124">
        <v>1.65</v>
      </c>
      <c r="J9124">
        <v>14</v>
      </c>
      <c r="L9124" t="s">
        <v>2709</v>
      </c>
      <c r="M9124">
        <v>85176213</v>
      </c>
      <c r="N9124">
        <v>2</v>
      </c>
      <c r="O9124" t="s">
        <v>19447</v>
      </c>
      <c r="P9124" t="s">
        <v>19899</v>
      </c>
      <c r="Q9124" t="s">
        <v>19900</v>
      </c>
      <c r="R9124" t="s">
        <v>19905</v>
      </c>
      <c r="S9124" t="s">
        <v>19906</v>
      </c>
      <c r="T9124" t="s">
        <v>19911</v>
      </c>
    </row>
    <row r="9125" spans="2:20" x14ac:dyDescent="0.25">
      <c r="B9125" t="s">
        <v>2709</v>
      </c>
      <c r="C9125">
        <v>85176214</v>
      </c>
      <c r="E9125">
        <v>75.52</v>
      </c>
      <c r="F9125">
        <v>25</v>
      </c>
      <c r="G9125">
        <v>15</v>
      </c>
      <c r="H9125" t="s">
        <v>19447</v>
      </c>
      <c r="I9125" t="s">
        <v>19447</v>
      </c>
      <c r="J9125">
        <v>16</v>
      </c>
      <c r="L9125" t="s">
        <v>2709</v>
      </c>
      <c r="M9125">
        <v>85176214</v>
      </c>
      <c r="O9125" t="s">
        <v>20200</v>
      </c>
      <c r="P9125" t="s">
        <v>19982</v>
      </c>
      <c r="Q9125" t="s">
        <v>19983</v>
      </c>
      <c r="R9125" t="s">
        <v>19447</v>
      </c>
      <c r="S9125" t="s">
        <v>19447</v>
      </c>
      <c r="T9125" t="s">
        <v>19913</v>
      </c>
    </row>
    <row r="9126" spans="2:20" x14ac:dyDescent="0.25">
      <c r="B9126" t="s">
        <v>2709</v>
      </c>
      <c r="C9126">
        <v>85176219</v>
      </c>
      <c r="E9126">
        <v>75.52</v>
      </c>
      <c r="F9126">
        <v>25</v>
      </c>
      <c r="G9126">
        <v>15</v>
      </c>
      <c r="H9126" t="s">
        <v>19447</v>
      </c>
      <c r="I9126" t="s">
        <v>19447</v>
      </c>
      <c r="J9126">
        <v>16</v>
      </c>
      <c r="L9126" t="s">
        <v>2709</v>
      </c>
      <c r="M9126">
        <v>85176219</v>
      </c>
      <c r="O9126" t="s">
        <v>20200</v>
      </c>
      <c r="P9126" t="s">
        <v>19982</v>
      </c>
      <c r="Q9126" t="s">
        <v>19983</v>
      </c>
      <c r="R9126" t="s">
        <v>19447</v>
      </c>
      <c r="S9126" t="s">
        <v>19447</v>
      </c>
      <c r="T9126" t="s">
        <v>19913</v>
      </c>
    </row>
    <row r="9127" spans="2:20" x14ac:dyDescent="0.25">
      <c r="B9127" t="s">
        <v>2709</v>
      </c>
      <c r="C9127">
        <v>85176221</v>
      </c>
      <c r="E9127">
        <v>59</v>
      </c>
      <c r="F9127">
        <v>25</v>
      </c>
      <c r="G9127">
        <v>15</v>
      </c>
      <c r="H9127" t="s">
        <v>19447</v>
      </c>
      <c r="I9127" t="s">
        <v>19447</v>
      </c>
      <c r="J9127">
        <v>16</v>
      </c>
      <c r="L9127" t="s">
        <v>2709</v>
      </c>
      <c r="M9127">
        <v>85176221</v>
      </c>
      <c r="O9127" t="s">
        <v>20002</v>
      </c>
      <c r="P9127" t="s">
        <v>19982</v>
      </c>
      <c r="Q9127" t="s">
        <v>19983</v>
      </c>
      <c r="R9127" t="s">
        <v>19447</v>
      </c>
      <c r="S9127" t="s">
        <v>19447</v>
      </c>
      <c r="T9127" t="s">
        <v>19913</v>
      </c>
    </row>
    <row r="9128" spans="2:20" x14ac:dyDescent="0.25">
      <c r="B9128" t="s">
        <v>2709</v>
      </c>
      <c r="C9128">
        <v>85176222</v>
      </c>
      <c r="E9128">
        <v>59</v>
      </c>
      <c r="F9128">
        <v>25</v>
      </c>
      <c r="G9128">
        <v>15</v>
      </c>
      <c r="H9128" t="s">
        <v>19447</v>
      </c>
      <c r="I9128" t="s">
        <v>19447</v>
      </c>
      <c r="J9128">
        <v>16</v>
      </c>
      <c r="L9128" t="s">
        <v>2709</v>
      </c>
      <c r="M9128">
        <v>85176222</v>
      </c>
      <c r="O9128" t="s">
        <v>20002</v>
      </c>
      <c r="P9128" t="s">
        <v>19982</v>
      </c>
      <c r="Q9128" t="s">
        <v>19983</v>
      </c>
      <c r="R9128" t="s">
        <v>19447</v>
      </c>
      <c r="S9128" t="s">
        <v>19447</v>
      </c>
      <c r="T9128" t="s">
        <v>19913</v>
      </c>
    </row>
    <row r="9129" spans="2:20" x14ac:dyDescent="0.25">
      <c r="B9129" t="s">
        <v>2709</v>
      </c>
      <c r="C9129">
        <v>85176223</v>
      </c>
      <c r="E9129">
        <v>59</v>
      </c>
      <c r="F9129">
        <v>25</v>
      </c>
      <c r="G9129">
        <v>15</v>
      </c>
      <c r="H9129" t="s">
        <v>19447</v>
      </c>
      <c r="I9129" t="s">
        <v>19447</v>
      </c>
      <c r="J9129">
        <v>16</v>
      </c>
      <c r="L9129" t="s">
        <v>2709</v>
      </c>
      <c r="M9129">
        <v>85176223</v>
      </c>
      <c r="O9129" t="s">
        <v>20002</v>
      </c>
      <c r="P9129" t="s">
        <v>19982</v>
      </c>
      <c r="Q9129" t="s">
        <v>19983</v>
      </c>
      <c r="R9129" t="s">
        <v>19447</v>
      </c>
      <c r="S9129" t="s">
        <v>19447</v>
      </c>
      <c r="T9129" t="s">
        <v>19913</v>
      </c>
    </row>
    <row r="9130" spans="2:20" x14ac:dyDescent="0.25">
      <c r="B9130" t="s">
        <v>2709</v>
      </c>
      <c r="C9130">
        <v>85176224</v>
      </c>
      <c r="E9130">
        <v>59</v>
      </c>
      <c r="F9130">
        <v>25</v>
      </c>
      <c r="G9130">
        <v>15</v>
      </c>
      <c r="H9130" t="s">
        <v>19447</v>
      </c>
      <c r="I9130" t="s">
        <v>19447</v>
      </c>
      <c r="J9130">
        <v>16</v>
      </c>
      <c r="L9130" t="s">
        <v>2709</v>
      </c>
      <c r="M9130">
        <v>85176224</v>
      </c>
      <c r="O9130" t="s">
        <v>20002</v>
      </c>
      <c r="P9130" t="s">
        <v>19982</v>
      </c>
      <c r="Q9130" t="s">
        <v>19983</v>
      </c>
      <c r="R9130" t="s">
        <v>19447</v>
      </c>
      <c r="S9130" t="s">
        <v>19447</v>
      </c>
      <c r="T9130" t="s">
        <v>19913</v>
      </c>
    </row>
    <row r="9131" spans="2:20" x14ac:dyDescent="0.25">
      <c r="B9131" t="s">
        <v>2709</v>
      </c>
      <c r="C9131">
        <v>85176229</v>
      </c>
      <c r="E9131">
        <v>59</v>
      </c>
      <c r="F9131">
        <v>25</v>
      </c>
      <c r="G9131">
        <v>15</v>
      </c>
      <c r="H9131" t="s">
        <v>19447</v>
      </c>
      <c r="I9131" t="s">
        <v>19447</v>
      </c>
      <c r="J9131">
        <v>16</v>
      </c>
      <c r="L9131" t="s">
        <v>2709</v>
      </c>
      <c r="M9131">
        <v>85176229</v>
      </c>
      <c r="O9131" t="s">
        <v>20002</v>
      </c>
      <c r="P9131" t="s">
        <v>19982</v>
      </c>
      <c r="Q9131" t="s">
        <v>19983</v>
      </c>
      <c r="R9131" t="s">
        <v>19447</v>
      </c>
      <c r="S9131" t="s">
        <v>19447</v>
      </c>
      <c r="T9131" t="s">
        <v>19913</v>
      </c>
    </row>
    <row r="9132" spans="2:20" x14ac:dyDescent="0.25">
      <c r="B9132" t="s">
        <v>2709</v>
      </c>
      <c r="C9132">
        <v>85176231</v>
      </c>
      <c r="E9132">
        <v>59</v>
      </c>
      <c r="F9132">
        <v>25</v>
      </c>
      <c r="G9132">
        <v>15</v>
      </c>
      <c r="H9132" t="s">
        <v>19447</v>
      </c>
      <c r="I9132" t="s">
        <v>19447</v>
      </c>
      <c r="J9132">
        <v>12</v>
      </c>
      <c r="L9132" t="s">
        <v>2709</v>
      </c>
      <c r="M9132">
        <v>85176231</v>
      </c>
      <c r="O9132" t="s">
        <v>20002</v>
      </c>
      <c r="P9132" t="s">
        <v>19982</v>
      </c>
      <c r="Q9132" t="s">
        <v>19983</v>
      </c>
      <c r="R9132" t="s">
        <v>19447</v>
      </c>
      <c r="S9132" t="s">
        <v>19447</v>
      </c>
      <c r="T9132" t="s">
        <v>19903</v>
      </c>
    </row>
    <row r="9133" spans="2:20" x14ac:dyDescent="0.25">
      <c r="B9133" t="s">
        <v>2709</v>
      </c>
      <c r="C9133">
        <v>85176232</v>
      </c>
      <c r="E9133">
        <v>59</v>
      </c>
      <c r="F9133">
        <v>25</v>
      </c>
      <c r="G9133">
        <v>15</v>
      </c>
      <c r="H9133" t="s">
        <v>19447</v>
      </c>
      <c r="I9133" t="s">
        <v>19447</v>
      </c>
      <c r="J9133">
        <v>16</v>
      </c>
      <c r="L9133" t="s">
        <v>2709</v>
      </c>
      <c r="M9133">
        <v>85176232</v>
      </c>
      <c r="O9133" t="s">
        <v>20002</v>
      </c>
      <c r="P9133" t="s">
        <v>19982</v>
      </c>
      <c r="Q9133" t="s">
        <v>19983</v>
      </c>
      <c r="R9133" t="s">
        <v>19447</v>
      </c>
      <c r="S9133" t="s">
        <v>19447</v>
      </c>
      <c r="T9133" t="s">
        <v>19913</v>
      </c>
    </row>
    <row r="9134" spans="2:20" x14ac:dyDescent="0.25">
      <c r="B9134" t="s">
        <v>2709</v>
      </c>
      <c r="C9134">
        <v>85176233</v>
      </c>
      <c r="E9134">
        <v>59</v>
      </c>
      <c r="F9134">
        <v>25</v>
      </c>
      <c r="G9134">
        <v>15</v>
      </c>
      <c r="H9134" t="s">
        <v>19447</v>
      </c>
      <c r="I9134" t="s">
        <v>19447</v>
      </c>
      <c r="J9134">
        <v>0</v>
      </c>
      <c r="L9134" t="s">
        <v>2709</v>
      </c>
      <c r="M9134">
        <v>85176233</v>
      </c>
      <c r="O9134" t="s">
        <v>20002</v>
      </c>
      <c r="P9134" t="s">
        <v>19982</v>
      </c>
      <c r="Q9134" t="s">
        <v>19983</v>
      </c>
      <c r="R9134" t="s">
        <v>19447</v>
      </c>
      <c r="S9134" t="s">
        <v>19447</v>
      </c>
      <c r="T9134" t="s">
        <v>19900</v>
      </c>
    </row>
    <row r="9135" spans="2:20" x14ac:dyDescent="0.25">
      <c r="B9135" t="s">
        <v>2709</v>
      </c>
      <c r="C9135">
        <v>85176239</v>
      </c>
      <c r="E9135">
        <v>59</v>
      </c>
      <c r="F9135">
        <v>25</v>
      </c>
      <c r="G9135">
        <v>15</v>
      </c>
      <c r="H9135" t="s">
        <v>19447</v>
      </c>
      <c r="I9135" t="s">
        <v>19447</v>
      </c>
      <c r="J9135">
        <v>16</v>
      </c>
      <c r="L9135" t="s">
        <v>2709</v>
      </c>
      <c r="M9135">
        <v>85176239</v>
      </c>
      <c r="O9135" t="s">
        <v>20002</v>
      </c>
      <c r="P9135" t="s">
        <v>19982</v>
      </c>
      <c r="Q9135" t="s">
        <v>19983</v>
      </c>
      <c r="R9135" t="s">
        <v>19447</v>
      </c>
      <c r="S9135" t="s">
        <v>19447</v>
      </c>
      <c r="T9135" t="s">
        <v>19913</v>
      </c>
    </row>
    <row r="9136" spans="2:20" x14ac:dyDescent="0.25">
      <c r="B9136" t="s">
        <v>2709</v>
      </c>
      <c r="C9136">
        <v>85176241</v>
      </c>
      <c r="E9136">
        <v>59</v>
      </c>
      <c r="F9136">
        <v>25</v>
      </c>
      <c r="G9136">
        <v>15</v>
      </c>
      <c r="H9136" t="s">
        <v>19447</v>
      </c>
      <c r="I9136" t="s">
        <v>19447</v>
      </c>
      <c r="J9136">
        <v>16</v>
      </c>
      <c r="L9136" t="s">
        <v>2709</v>
      </c>
      <c r="M9136">
        <v>85176241</v>
      </c>
      <c r="O9136" t="s">
        <v>20002</v>
      </c>
      <c r="P9136" t="s">
        <v>19982</v>
      </c>
      <c r="Q9136" t="s">
        <v>19983</v>
      </c>
      <c r="R9136" t="s">
        <v>19447</v>
      </c>
      <c r="S9136" t="s">
        <v>19447</v>
      </c>
      <c r="T9136" t="s">
        <v>19913</v>
      </c>
    </row>
    <row r="9137" spans="2:20" x14ac:dyDescent="0.25">
      <c r="B9137" t="s">
        <v>2709</v>
      </c>
      <c r="C9137">
        <v>85176248</v>
      </c>
      <c r="E9137">
        <v>59</v>
      </c>
      <c r="F9137">
        <v>25</v>
      </c>
      <c r="G9137">
        <v>15</v>
      </c>
      <c r="H9137" t="s">
        <v>19447</v>
      </c>
      <c r="I9137" t="s">
        <v>19447</v>
      </c>
      <c r="J9137">
        <v>12</v>
      </c>
      <c r="L9137" t="s">
        <v>2709</v>
      </c>
      <c r="M9137">
        <v>85176248</v>
      </c>
      <c r="O9137" t="s">
        <v>20002</v>
      </c>
      <c r="P9137" t="s">
        <v>19982</v>
      </c>
      <c r="Q9137" t="s">
        <v>19983</v>
      </c>
      <c r="R9137" t="s">
        <v>19447</v>
      </c>
      <c r="S9137" t="s">
        <v>19447</v>
      </c>
      <c r="T9137" t="s">
        <v>19903</v>
      </c>
    </row>
    <row r="9138" spans="2:20" x14ac:dyDescent="0.25">
      <c r="B9138" t="s">
        <v>2709</v>
      </c>
      <c r="C9138">
        <v>85176249</v>
      </c>
      <c r="E9138">
        <v>59</v>
      </c>
      <c r="F9138">
        <v>25</v>
      </c>
      <c r="G9138">
        <v>15</v>
      </c>
      <c r="H9138" t="s">
        <v>19447</v>
      </c>
      <c r="I9138" t="s">
        <v>19447</v>
      </c>
      <c r="J9138">
        <v>12</v>
      </c>
      <c r="L9138" t="s">
        <v>2709</v>
      </c>
      <c r="M9138">
        <v>85176249</v>
      </c>
      <c r="O9138" t="s">
        <v>20002</v>
      </c>
      <c r="P9138" t="s">
        <v>19982</v>
      </c>
      <c r="Q9138" t="s">
        <v>19983</v>
      </c>
      <c r="R9138" t="s">
        <v>19447</v>
      </c>
      <c r="S9138" t="s">
        <v>19447</v>
      </c>
      <c r="T9138" t="s">
        <v>19903</v>
      </c>
    </row>
    <row r="9139" spans="2:20" x14ac:dyDescent="0.25">
      <c r="B9139" t="s">
        <v>2709</v>
      </c>
      <c r="C9139">
        <v>85176251</v>
      </c>
      <c r="E9139">
        <v>59</v>
      </c>
      <c r="F9139">
        <v>0</v>
      </c>
      <c r="G9139">
        <v>15</v>
      </c>
      <c r="H9139" t="s">
        <v>19447</v>
      </c>
      <c r="I9139" t="s">
        <v>19447</v>
      </c>
      <c r="J9139">
        <v>12</v>
      </c>
      <c r="L9139" t="s">
        <v>2709</v>
      </c>
      <c r="M9139">
        <v>85176251</v>
      </c>
      <c r="O9139" t="s">
        <v>20002</v>
      </c>
      <c r="P9139" t="s">
        <v>19900</v>
      </c>
      <c r="Q9139" t="s">
        <v>19983</v>
      </c>
      <c r="R9139" t="s">
        <v>19447</v>
      </c>
      <c r="S9139" t="s">
        <v>19447</v>
      </c>
      <c r="T9139" t="s">
        <v>19903</v>
      </c>
    </row>
    <row r="9140" spans="2:20" x14ac:dyDescent="0.25">
      <c r="B9140" t="s">
        <v>2709</v>
      </c>
      <c r="C9140">
        <v>85176252</v>
      </c>
      <c r="E9140">
        <v>59</v>
      </c>
      <c r="F9140">
        <v>0</v>
      </c>
      <c r="G9140">
        <v>15</v>
      </c>
      <c r="H9140" t="s">
        <v>19447</v>
      </c>
      <c r="I9140" t="s">
        <v>19447</v>
      </c>
      <c r="J9140">
        <v>12</v>
      </c>
      <c r="L9140" t="s">
        <v>2709</v>
      </c>
      <c r="M9140">
        <v>85176252</v>
      </c>
      <c r="O9140" t="s">
        <v>20002</v>
      </c>
      <c r="P9140" t="s">
        <v>19900</v>
      </c>
      <c r="Q9140" t="s">
        <v>19983</v>
      </c>
      <c r="R9140" t="s">
        <v>19447</v>
      </c>
      <c r="S9140" t="s">
        <v>19447</v>
      </c>
      <c r="T9140" t="s">
        <v>19903</v>
      </c>
    </row>
    <row r="9141" spans="2:20" x14ac:dyDescent="0.25">
      <c r="B9141" t="s">
        <v>2709</v>
      </c>
      <c r="C9141">
        <v>85176253</v>
      </c>
      <c r="E9141">
        <v>59</v>
      </c>
      <c r="F9141">
        <v>0</v>
      </c>
      <c r="G9141">
        <v>15</v>
      </c>
      <c r="H9141" t="s">
        <v>19447</v>
      </c>
      <c r="I9141" t="s">
        <v>19447</v>
      </c>
      <c r="J9141">
        <v>0</v>
      </c>
      <c r="L9141" t="s">
        <v>2709</v>
      </c>
      <c r="M9141">
        <v>85176253</v>
      </c>
      <c r="O9141" t="s">
        <v>20002</v>
      </c>
      <c r="P9141" t="s">
        <v>19900</v>
      </c>
      <c r="Q9141" t="s">
        <v>19983</v>
      </c>
      <c r="R9141" t="s">
        <v>19447</v>
      </c>
      <c r="S9141" t="s">
        <v>19447</v>
      </c>
      <c r="T9141" t="s">
        <v>19900</v>
      </c>
    </row>
    <row r="9142" spans="2:20" x14ac:dyDescent="0.25">
      <c r="B9142" t="s">
        <v>2709</v>
      </c>
      <c r="C9142">
        <v>85176254</v>
      </c>
      <c r="E9142">
        <v>59</v>
      </c>
      <c r="F9142">
        <v>25</v>
      </c>
      <c r="G9142">
        <v>15</v>
      </c>
      <c r="H9142" t="s">
        <v>19447</v>
      </c>
      <c r="I9142" t="s">
        <v>19447</v>
      </c>
      <c r="J9142">
        <v>12</v>
      </c>
      <c r="L9142" t="s">
        <v>2709</v>
      </c>
      <c r="M9142">
        <v>85176254</v>
      </c>
      <c r="O9142" t="s">
        <v>20002</v>
      </c>
      <c r="P9142" t="s">
        <v>19982</v>
      </c>
      <c r="Q9142" t="s">
        <v>19983</v>
      </c>
      <c r="R9142" t="s">
        <v>19447</v>
      </c>
      <c r="S9142" t="s">
        <v>19447</v>
      </c>
      <c r="T9142" t="s">
        <v>19903</v>
      </c>
    </row>
    <row r="9143" spans="2:20" x14ac:dyDescent="0.25">
      <c r="B9143" t="s">
        <v>2709</v>
      </c>
      <c r="C9143">
        <v>85176255</v>
      </c>
      <c r="E9143">
        <v>59</v>
      </c>
      <c r="F9143">
        <v>25</v>
      </c>
      <c r="G9143">
        <v>15</v>
      </c>
      <c r="H9143" t="s">
        <v>19447</v>
      </c>
      <c r="I9143" t="s">
        <v>19447</v>
      </c>
      <c r="J9143">
        <v>16</v>
      </c>
      <c r="L9143" t="s">
        <v>2709</v>
      </c>
      <c r="M9143">
        <v>85176255</v>
      </c>
      <c r="O9143" t="s">
        <v>20002</v>
      </c>
      <c r="P9143" t="s">
        <v>19982</v>
      </c>
      <c r="Q9143" t="s">
        <v>19983</v>
      </c>
      <c r="R9143" t="s">
        <v>19447</v>
      </c>
      <c r="S9143" t="s">
        <v>19447</v>
      </c>
      <c r="T9143" t="s">
        <v>19913</v>
      </c>
    </row>
    <row r="9144" spans="2:20" x14ac:dyDescent="0.25">
      <c r="B9144" t="s">
        <v>2709</v>
      </c>
      <c r="C9144">
        <v>85176259</v>
      </c>
      <c r="E9144">
        <v>59</v>
      </c>
      <c r="F9144">
        <v>25</v>
      </c>
      <c r="G9144">
        <v>15</v>
      </c>
      <c r="H9144" t="s">
        <v>19447</v>
      </c>
      <c r="I9144" t="s">
        <v>19447</v>
      </c>
      <c r="J9144">
        <v>25</v>
      </c>
      <c r="L9144" t="s">
        <v>2709</v>
      </c>
      <c r="M9144">
        <v>85176259</v>
      </c>
      <c r="O9144" t="s">
        <v>20002</v>
      </c>
      <c r="P9144" t="s">
        <v>19982</v>
      </c>
      <c r="Q9144" t="s">
        <v>19983</v>
      </c>
      <c r="R9144" t="s">
        <v>19447</v>
      </c>
      <c r="S9144" t="s">
        <v>19447</v>
      </c>
      <c r="T9144" t="s">
        <v>19982</v>
      </c>
    </row>
    <row r="9145" spans="2:20" x14ac:dyDescent="0.25">
      <c r="B9145" t="s">
        <v>2709</v>
      </c>
      <c r="C9145">
        <v>85176261</v>
      </c>
      <c r="E9145">
        <v>59</v>
      </c>
      <c r="F9145">
        <v>25</v>
      </c>
      <c r="G9145">
        <v>15</v>
      </c>
      <c r="H9145" t="s">
        <v>19447</v>
      </c>
      <c r="I9145" t="s">
        <v>19447</v>
      </c>
      <c r="J9145">
        <v>12</v>
      </c>
      <c r="L9145" t="s">
        <v>2709</v>
      </c>
      <c r="M9145">
        <v>85176261</v>
      </c>
      <c r="O9145" t="s">
        <v>20002</v>
      </c>
      <c r="P9145" t="s">
        <v>19982</v>
      </c>
      <c r="Q9145" t="s">
        <v>19983</v>
      </c>
      <c r="R9145" t="s">
        <v>19447</v>
      </c>
      <c r="S9145" t="s">
        <v>19447</v>
      </c>
      <c r="T9145" t="s">
        <v>19903</v>
      </c>
    </row>
    <row r="9146" spans="2:20" x14ac:dyDescent="0.25">
      <c r="B9146" t="s">
        <v>2709</v>
      </c>
      <c r="C9146">
        <v>85176262</v>
      </c>
      <c r="E9146">
        <v>67.040000000000006</v>
      </c>
      <c r="F9146">
        <v>25</v>
      </c>
      <c r="G9146">
        <v>15</v>
      </c>
      <c r="H9146" t="s">
        <v>19447</v>
      </c>
      <c r="I9146" t="s">
        <v>19447</v>
      </c>
      <c r="J9146">
        <v>12</v>
      </c>
      <c r="L9146" t="s">
        <v>2709</v>
      </c>
      <c r="M9146">
        <v>85176262</v>
      </c>
      <c r="O9146" t="s">
        <v>20201</v>
      </c>
      <c r="P9146" t="s">
        <v>19982</v>
      </c>
      <c r="Q9146" t="s">
        <v>19983</v>
      </c>
      <c r="R9146" t="s">
        <v>19447</v>
      </c>
      <c r="S9146" t="s">
        <v>19447</v>
      </c>
      <c r="T9146" t="s">
        <v>19903</v>
      </c>
    </row>
    <row r="9147" spans="2:20" x14ac:dyDescent="0.25">
      <c r="B9147" t="s">
        <v>2709</v>
      </c>
      <c r="C9147">
        <v>85176264</v>
      </c>
      <c r="E9147">
        <v>59</v>
      </c>
      <c r="F9147">
        <v>25</v>
      </c>
      <c r="G9147">
        <v>15</v>
      </c>
      <c r="H9147" t="s">
        <v>19447</v>
      </c>
      <c r="I9147" t="s">
        <v>19447</v>
      </c>
      <c r="J9147">
        <v>0</v>
      </c>
      <c r="L9147" t="s">
        <v>2709</v>
      </c>
      <c r="M9147">
        <v>85176264</v>
      </c>
      <c r="O9147" t="s">
        <v>20002</v>
      </c>
      <c r="P9147" t="s">
        <v>19982</v>
      </c>
      <c r="Q9147" t="s">
        <v>19983</v>
      </c>
      <c r="R9147" t="s">
        <v>19447</v>
      </c>
      <c r="S9147" t="s">
        <v>19447</v>
      </c>
      <c r="T9147" t="s">
        <v>19900</v>
      </c>
    </row>
    <row r="9148" spans="2:20" x14ac:dyDescent="0.25">
      <c r="B9148" t="s">
        <v>2709</v>
      </c>
      <c r="C9148">
        <v>85176265</v>
      </c>
      <c r="E9148">
        <v>59</v>
      </c>
      <c r="F9148">
        <v>25</v>
      </c>
      <c r="G9148">
        <v>15</v>
      </c>
      <c r="H9148" t="s">
        <v>19447</v>
      </c>
      <c r="I9148" t="s">
        <v>19447</v>
      </c>
      <c r="J9148">
        <v>16</v>
      </c>
      <c r="L9148" t="s">
        <v>2709</v>
      </c>
      <c r="M9148">
        <v>85176265</v>
      </c>
      <c r="O9148" t="s">
        <v>20002</v>
      </c>
      <c r="P9148" t="s">
        <v>19982</v>
      </c>
      <c r="Q9148" t="s">
        <v>19983</v>
      </c>
      <c r="R9148" t="s">
        <v>19447</v>
      </c>
      <c r="S9148" t="s">
        <v>19447</v>
      </c>
      <c r="T9148" t="s">
        <v>19913</v>
      </c>
    </row>
    <row r="9149" spans="2:20" x14ac:dyDescent="0.25">
      <c r="B9149" t="s">
        <v>2709</v>
      </c>
      <c r="C9149">
        <v>85176271</v>
      </c>
      <c r="E9149">
        <v>59</v>
      </c>
      <c r="F9149">
        <v>25</v>
      </c>
      <c r="G9149">
        <v>15</v>
      </c>
      <c r="H9149" t="s">
        <v>19447</v>
      </c>
      <c r="I9149" t="s">
        <v>19447</v>
      </c>
      <c r="J9149">
        <v>0</v>
      </c>
      <c r="L9149" t="s">
        <v>2709</v>
      </c>
      <c r="M9149">
        <v>85176271</v>
      </c>
      <c r="O9149" t="s">
        <v>20002</v>
      </c>
      <c r="P9149" t="s">
        <v>19982</v>
      </c>
      <c r="Q9149" t="s">
        <v>19983</v>
      </c>
      <c r="R9149" t="s">
        <v>19447</v>
      </c>
      <c r="S9149" t="s">
        <v>19447</v>
      </c>
      <c r="T9149" t="s">
        <v>19900</v>
      </c>
    </row>
    <row r="9150" spans="2:20" x14ac:dyDescent="0.25">
      <c r="B9150" t="s">
        <v>2709</v>
      </c>
      <c r="C9150">
        <v>85176272</v>
      </c>
      <c r="E9150">
        <v>59</v>
      </c>
      <c r="F9150">
        <v>25</v>
      </c>
      <c r="G9150">
        <v>15</v>
      </c>
      <c r="H9150" t="s">
        <v>19447</v>
      </c>
      <c r="I9150" t="s">
        <v>19447</v>
      </c>
      <c r="J9150">
        <v>16</v>
      </c>
      <c r="L9150" t="s">
        <v>2709</v>
      </c>
      <c r="M9150">
        <v>85176272</v>
      </c>
      <c r="O9150" t="s">
        <v>20002</v>
      </c>
      <c r="P9150" t="s">
        <v>19982</v>
      </c>
      <c r="Q9150" t="s">
        <v>19983</v>
      </c>
      <c r="R9150" t="s">
        <v>19447</v>
      </c>
      <c r="S9150" t="s">
        <v>19447</v>
      </c>
      <c r="T9150" t="s">
        <v>19913</v>
      </c>
    </row>
    <row r="9151" spans="2:20" x14ac:dyDescent="0.25">
      <c r="B9151" t="s">
        <v>2709</v>
      </c>
      <c r="C9151">
        <v>85176277</v>
      </c>
      <c r="E9151">
        <v>59</v>
      </c>
      <c r="F9151">
        <v>25</v>
      </c>
      <c r="G9151">
        <v>15</v>
      </c>
      <c r="H9151" t="s">
        <v>19447</v>
      </c>
      <c r="I9151" t="s">
        <v>19447</v>
      </c>
      <c r="J9151">
        <v>16</v>
      </c>
      <c r="L9151" t="s">
        <v>2709</v>
      </c>
      <c r="M9151">
        <v>85176277</v>
      </c>
      <c r="O9151" t="s">
        <v>20002</v>
      </c>
      <c r="P9151" t="s">
        <v>19982</v>
      </c>
      <c r="Q9151" t="s">
        <v>19983</v>
      </c>
      <c r="R9151" t="s">
        <v>19447</v>
      </c>
      <c r="S9151" t="s">
        <v>19447</v>
      </c>
      <c r="T9151" t="s">
        <v>19913</v>
      </c>
    </row>
    <row r="9152" spans="2:20" x14ac:dyDescent="0.25">
      <c r="B9152" t="s">
        <v>2709</v>
      </c>
      <c r="C9152">
        <v>85176278</v>
      </c>
      <c r="E9152">
        <v>59</v>
      </c>
      <c r="F9152">
        <v>25</v>
      </c>
      <c r="G9152">
        <v>15</v>
      </c>
      <c r="H9152" t="s">
        <v>19447</v>
      </c>
      <c r="I9152" t="s">
        <v>19447</v>
      </c>
      <c r="J9152">
        <v>16</v>
      </c>
      <c r="L9152" t="s">
        <v>2709</v>
      </c>
      <c r="M9152">
        <v>85176278</v>
      </c>
      <c r="O9152" t="s">
        <v>20002</v>
      </c>
      <c r="P9152" t="s">
        <v>19982</v>
      </c>
      <c r="Q9152" t="s">
        <v>19983</v>
      </c>
      <c r="R9152" t="s">
        <v>19447</v>
      </c>
      <c r="S9152" t="s">
        <v>19447</v>
      </c>
      <c r="T9152" t="s">
        <v>19913</v>
      </c>
    </row>
    <row r="9153" spans="2:20" x14ac:dyDescent="0.25">
      <c r="B9153" t="s">
        <v>2709</v>
      </c>
      <c r="C9153">
        <v>85176279</v>
      </c>
      <c r="E9153">
        <v>59</v>
      </c>
      <c r="F9153">
        <v>25</v>
      </c>
      <c r="G9153">
        <v>15</v>
      </c>
      <c r="H9153" t="s">
        <v>19447</v>
      </c>
      <c r="I9153" t="s">
        <v>19447</v>
      </c>
      <c r="J9153">
        <v>12</v>
      </c>
      <c r="L9153" t="s">
        <v>2709</v>
      </c>
      <c r="M9153">
        <v>85176279</v>
      </c>
      <c r="O9153" t="s">
        <v>20002</v>
      </c>
      <c r="P9153" t="s">
        <v>19982</v>
      </c>
      <c r="Q9153" t="s">
        <v>19983</v>
      </c>
      <c r="R9153" t="s">
        <v>19447</v>
      </c>
      <c r="S9153" t="s">
        <v>19447</v>
      </c>
      <c r="T9153" t="s">
        <v>19903</v>
      </c>
    </row>
    <row r="9154" spans="2:20" x14ac:dyDescent="0.25">
      <c r="B9154" t="s">
        <v>2709</v>
      </c>
      <c r="C9154">
        <v>85176291</v>
      </c>
      <c r="E9154">
        <v>59</v>
      </c>
      <c r="F9154">
        <v>25</v>
      </c>
      <c r="G9154">
        <v>15</v>
      </c>
      <c r="H9154" t="s">
        <v>19447</v>
      </c>
      <c r="I9154" t="s">
        <v>19447</v>
      </c>
      <c r="J9154">
        <v>12</v>
      </c>
      <c r="L9154" t="s">
        <v>2709</v>
      </c>
      <c r="M9154">
        <v>85176291</v>
      </c>
      <c r="O9154" t="s">
        <v>20002</v>
      </c>
      <c r="P9154" t="s">
        <v>19982</v>
      </c>
      <c r="Q9154" t="s">
        <v>19983</v>
      </c>
      <c r="R9154" t="s">
        <v>19447</v>
      </c>
      <c r="S9154" t="s">
        <v>19447</v>
      </c>
      <c r="T9154" t="s">
        <v>19903</v>
      </c>
    </row>
    <row r="9155" spans="2:20" x14ac:dyDescent="0.25">
      <c r="B9155" t="s">
        <v>2709</v>
      </c>
      <c r="C9155">
        <v>85176292</v>
      </c>
      <c r="E9155">
        <v>59</v>
      </c>
      <c r="F9155">
        <v>25</v>
      </c>
      <c r="G9155">
        <v>15</v>
      </c>
      <c r="H9155" t="s">
        <v>19447</v>
      </c>
      <c r="I9155" t="s">
        <v>19447</v>
      </c>
      <c r="J9155">
        <v>0</v>
      </c>
      <c r="L9155" t="s">
        <v>2709</v>
      </c>
      <c r="M9155">
        <v>85176292</v>
      </c>
      <c r="O9155" t="s">
        <v>20002</v>
      </c>
      <c r="P9155" t="s">
        <v>19982</v>
      </c>
      <c r="Q9155" t="s">
        <v>19983</v>
      </c>
      <c r="R9155" t="s">
        <v>19447</v>
      </c>
      <c r="S9155" t="s">
        <v>19447</v>
      </c>
      <c r="T9155" t="s">
        <v>19900</v>
      </c>
    </row>
    <row r="9156" spans="2:20" x14ac:dyDescent="0.25">
      <c r="B9156" t="s">
        <v>2709</v>
      </c>
      <c r="C9156">
        <v>85176293</v>
      </c>
      <c r="E9156">
        <v>59</v>
      </c>
      <c r="F9156">
        <v>25</v>
      </c>
      <c r="G9156">
        <v>15</v>
      </c>
      <c r="H9156" t="s">
        <v>19447</v>
      </c>
      <c r="I9156" t="s">
        <v>19447</v>
      </c>
      <c r="J9156">
        <v>12</v>
      </c>
      <c r="L9156" t="s">
        <v>2709</v>
      </c>
      <c r="M9156">
        <v>85176293</v>
      </c>
      <c r="O9156" t="s">
        <v>20002</v>
      </c>
      <c r="P9156" t="s">
        <v>19982</v>
      </c>
      <c r="Q9156" t="s">
        <v>19983</v>
      </c>
      <c r="R9156" t="s">
        <v>19447</v>
      </c>
      <c r="S9156" t="s">
        <v>19447</v>
      </c>
      <c r="T9156" t="s">
        <v>19903</v>
      </c>
    </row>
    <row r="9157" spans="2:20" x14ac:dyDescent="0.25">
      <c r="B9157" t="s">
        <v>2709</v>
      </c>
      <c r="C9157">
        <v>85176294</v>
      </c>
      <c r="E9157">
        <v>59</v>
      </c>
      <c r="F9157">
        <v>12</v>
      </c>
      <c r="G9157">
        <v>15</v>
      </c>
      <c r="H9157" t="s">
        <v>19447</v>
      </c>
      <c r="I9157" t="s">
        <v>19447</v>
      </c>
      <c r="J9157">
        <v>16</v>
      </c>
      <c r="L9157" t="s">
        <v>2709</v>
      </c>
      <c r="M9157">
        <v>85176294</v>
      </c>
      <c r="O9157" t="s">
        <v>20002</v>
      </c>
      <c r="P9157" t="s">
        <v>19903</v>
      </c>
      <c r="Q9157" t="s">
        <v>19983</v>
      </c>
      <c r="R9157" t="s">
        <v>19447</v>
      </c>
      <c r="S9157" t="s">
        <v>19447</v>
      </c>
      <c r="T9157" t="s">
        <v>19913</v>
      </c>
    </row>
    <row r="9158" spans="2:20" x14ac:dyDescent="0.25">
      <c r="B9158" t="s">
        <v>2709</v>
      </c>
      <c r="C9158">
        <v>85176295</v>
      </c>
      <c r="E9158">
        <v>59</v>
      </c>
      <c r="F9158">
        <v>25</v>
      </c>
      <c r="G9158">
        <v>15</v>
      </c>
      <c r="H9158" t="s">
        <v>19447</v>
      </c>
      <c r="I9158" t="s">
        <v>19447</v>
      </c>
      <c r="J9158">
        <v>12</v>
      </c>
      <c r="L9158" t="s">
        <v>2709</v>
      </c>
      <c r="M9158">
        <v>85176295</v>
      </c>
      <c r="O9158" t="s">
        <v>20002</v>
      </c>
      <c r="P9158" t="s">
        <v>19982</v>
      </c>
      <c r="Q9158" t="s">
        <v>19983</v>
      </c>
      <c r="R9158" t="s">
        <v>19447</v>
      </c>
      <c r="S9158" t="s">
        <v>19447</v>
      </c>
      <c r="T9158" t="s">
        <v>19903</v>
      </c>
    </row>
    <row r="9159" spans="2:20" x14ac:dyDescent="0.25">
      <c r="B9159" t="s">
        <v>2709</v>
      </c>
      <c r="C9159">
        <v>85176296</v>
      </c>
      <c r="E9159">
        <v>59</v>
      </c>
      <c r="F9159">
        <v>25</v>
      </c>
      <c r="G9159">
        <v>15</v>
      </c>
      <c r="H9159" t="s">
        <v>19447</v>
      </c>
      <c r="I9159" t="s">
        <v>19447</v>
      </c>
      <c r="J9159">
        <v>12</v>
      </c>
      <c r="L9159" t="s">
        <v>2709</v>
      </c>
      <c r="M9159">
        <v>85176296</v>
      </c>
      <c r="O9159" t="s">
        <v>20002</v>
      </c>
      <c r="P9159" t="s">
        <v>19982</v>
      </c>
      <c r="Q9159" t="s">
        <v>19983</v>
      </c>
      <c r="R9159" t="s">
        <v>19447</v>
      </c>
      <c r="S9159" t="s">
        <v>19447</v>
      </c>
      <c r="T9159" t="s">
        <v>19903</v>
      </c>
    </row>
    <row r="9160" spans="2:20" x14ac:dyDescent="0.25">
      <c r="B9160" t="s">
        <v>2709</v>
      </c>
      <c r="C9160">
        <v>85176299</v>
      </c>
      <c r="E9160">
        <v>59</v>
      </c>
      <c r="F9160">
        <v>25</v>
      </c>
      <c r="G9160">
        <v>20</v>
      </c>
      <c r="H9160" t="s">
        <v>19447</v>
      </c>
      <c r="I9160" t="s">
        <v>19447</v>
      </c>
      <c r="J9160">
        <v>20</v>
      </c>
      <c r="L9160" t="s">
        <v>2709</v>
      </c>
      <c r="M9160">
        <v>85176299</v>
      </c>
      <c r="O9160" t="s">
        <v>20002</v>
      </c>
      <c r="P9160" t="s">
        <v>19982</v>
      </c>
      <c r="Q9160" t="s">
        <v>19934</v>
      </c>
      <c r="R9160" t="s">
        <v>19447</v>
      </c>
      <c r="S9160" t="s">
        <v>19447</v>
      </c>
      <c r="T9160" t="s">
        <v>19934</v>
      </c>
    </row>
    <row r="9161" spans="2:20" x14ac:dyDescent="0.25">
      <c r="B9161" t="s">
        <v>2709</v>
      </c>
      <c r="C9161">
        <v>85176900</v>
      </c>
      <c r="E9161">
        <v>59</v>
      </c>
      <c r="F9161">
        <v>25</v>
      </c>
      <c r="G9161">
        <v>15</v>
      </c>
      <c r="H9161" t="s">
        <v>19447</v>
      </c>
      <c r="I9161" t="s">
        <v>19447</v>
      </c>
      <c r="J9161">
        <v>14</v>
      </c>
      <c r="L9161" t="s">
        <v>2709</v>
      </c>
      <c r="M9161">
        <v>85176900</v>
      </c>
      <c r="O9161" t="s">
        <v>20002</v>
      </c>
      <c r="P9161" t="s">
        <v>19982</v>
      </c>
      <c r="Q9161" t="s">
        <v>19983</v>
      </c>
      <c r="R9161" t="s">
        <v>19447</v>
      </c>
      <c r="S9161" t="s">
        <v>19447</v>
      </c>
      <c r="T9161" t="s">
        <v>19911</v>
      </c>
    </row>
    <row r="9162" spans="2:20" x14ac:dyDescent="0.25">
      <c r="B9162" t="s">
        <v>2709</v>
      </c>
      <c r="C9162">
        <v>85177010</v>
      </c>
      <c r="E9162">
        <v>59</v>
      </c>
      <c r="F9162">
        <v>25</v>
      </c>
      <c r="G9162">
        <v>15</v>
      </c>
      <c r="H9162" t="s">
        <v>19447</v>
      </c>
      <c r="I9162" t="s">
        <v>19447</v>
      </c>
      <c r="J9162">
        <v>12</v>
      </c>
      <c r="L9162" t="s">
        <v>2709</v>
      </c>
      <c r="M9162">
        <v>85177010</v>
      </c>
      <c r="O9162" t="s">
        <v>20002</v>
      </c>
      <c r="P9162" t="s">
        <v>19982</v>
      </c>
      <c r="Q9162" t="s">
        <v>19983</v>
      </c>
      <c r="R9162" t="s">
        <v>19447</v>
      </c>
      <c r="S9162" t="s">
        <v>19447</v>
      </c>
      <c r="T9162" t="s">
        <v>19903</v>
      </c>
    </row>
    <row r="9163" spans="2:20" x14ac:dyDescent="0.25">
      <c r="B9163" t="s">
        <v>2709</v>
      </c>
      <c r="C9163">
        <v>85177021</v>
      </c>
      <c r="E9163">
        <v>75.52</v>
      </c>
      <c r="F9163">
        <v>25</v>
      </c>
      <c r="G9163">
        <v>5</v>
      </c>
      <c r="H9163" t="s">
        <v>19447</v>
      </c>
      <c r="I9163" t="s">
        <v>19447</v>
      </c>
      <c r="J9163">
        <v>0</v>
      </c>
      <c r="L9163" t="s">
        <v>2709</v>
      </c>
      <c r="M9163">
        <v>85177021</v>
      </c>
      <c r="O9163" t="s">
        <v>20200</v>
      </c>
      <c r="P9163" t="s">
        <v>19982</v>
      </c>
      <c r="Q9163" t="s">
        <v>19909</v>
      </c>
      <c r="R9163" t="s">
        <v>19447</v>
      </c>
      <c r="S9163" t="s">
        <v>19447</v>
      </c>
      <c r="T9163" t="s">
        <v>19900</v>
      </c>
    </row>
    <row r="9164" spans="2:20" x14ac:dyDescent="0.25">
      <c r="B9164" t="s">
        <v>2709</v>
      </c>
      <c r="C9164">
        <v>85177029</v>
      </c>
      <c r="E9164">
        <v>59</v>
      </c>
      <c r="F9164">
        <v>25</v>
      </c>
      <c r="G9164">
        <v>10</v>
      </c>
      <c r="H9164" t="s">
        <v>19447</v>
      </c>
      <c r="I9164" t="s">
        <v>19447</v>
      </c>
      <c r="J9164">
        <v>16</v>
      </c>
      <c r="L9164" t="s">
        <v>2709</v>
      </c>
      <c r="M9164">
        <v>85177029</v>
      </c>
      <c r="O9164" t="s">
        <v>20002</v>
      </c>
      <c r="P9164" t="s">
        <v>19982</v>
      </c>
      <c r="Q9164" t="s">
        <v>19904</v>
      </c>
      <c r="R9164" t="s">
        <v>19447</v>
      </c>
      <c r="S9164" t="s">
        <v>19447</v>
      </c>
      <c r="T9164" t="s">
        <v>19913</v>
      </c>
    </row>
    <row r="9165" spans="2:20" x14ac:dyDescent="0.25">
      <c r="B9165" t="s">
        <v>2709</v>
      </c>
      <c r="C9165">
        <v>85177091</v>
      </c>
      <c r="E9165">
        <v>59</v>
      </c>
      <c r="F9165">
        <v>25</v>
      </c>
      <c r="G9165">
        <v>10</v>
      </c>
      <c r="H9165" t="s">
        <v>19447</v>
      </c>
      <c r="I9165" t="s">
        <v>19447</v>
      </c>
      <c r="J9165">
        <v>8</v>
      </c>
      <c r="L9165" t="s">
        <v>2709</v>
      </c>
      <c r="M9165">
        <v>85177091</v>
      </c>
      <c r="O9165" t="s">
        <v>20002</v>
      </c>
      <c r="P9165" t="s">
        <v>19982</v>
      </c>
      <c r="Q9165" t="s">
        <v>19904</v>
      </c>
      <c r="R9165" t="s">
        <v>19447</v>
      </c>
      <c r="S9165" t="s">
        <v>19447</v>
      </c>
      <c r="T9165" t="s">
        <v>19918</v>
      </c>
    </row>
    <row r="9166" spans="2:20" x14ac:dyDescent="0.25">
      <c r="B9166" t="s">
        <v>2709</v>
      </c>
      <c r="C9166">
        <v>85177092</v>
      </c>
      <c r="E9166">
        <v>59</v>
      </c>
      <c r="F9166">
        <v>25</v>
      </c>
      <c r="G9166">
        <v>10</v>
      </c>
      <c r="H9166" t="s">
        <v>19447</v>
      </c>
      <c r="I9166" t="s">
        <v>19447</v>
      </c>
      <c r="J9166">
        <v>0</v>
      </c>
      <c r="L9166" t="s">
        <v>2709</v>
      </c>
      <c r="M9166">
        <v>85177092</v>
      </c>
      <c r="O9166" t="s">
        <v>20002</v>
      </c>
      <c r="P9166" t="s">
        <v>19982</v>
      </c>
      <c r="Q9166" t="s">
        <v>19904</v>
      </c>
      <c r="R9166" t="s">
        <v>19447</v>
      </c>
      <c r="S9166" t="s">
        <v>19447</v>
      </c>
      <c r="T9166" t="s">
        <v>19900</v>
      </c>
    </row>
    <row r="9167" spans="2:20" x14ac:dyDescent="0.25">
      <c r="B9167" t="s">
        <v>2709</v>
      </c>
      <c r="C9167">
        <v>85177099</v>
      </c>
      <c r="E9167">
        <v>59</v>
      </c>
      <c r="F9167">
        <v>25</v>
      </c>
      <c r="G9167">
        <v>10</v>
      </c>
      <c r="H9167" t="s">
        <v>19447</v>
      </c>
      <c r="I9167" t="s">
        <v>19447</v>
      </c>
      <c r="J9167">
        <v>8</v>
      </c>
      <c r="L9167" t="s">
        <v>2709</v>
      </c>
      <c r="M9167">
        <v>85177099</v>
      </c>
      <c r="O9167" t="s">
        <v>20002</v>
      </c>
      <c r="P9167" t="s">
        <v>19982</v>
      </c>
      <c r="Q9167" t="s">
        <v>19904</v>
      </c>
      <c r="R9167" t="s">
        <v>19447</v>
      </c>
      <c r="S9167" t="s">
        <v>19447</v>
      </c>
      <c r="T9167" t="s">
        <v>19918</v>
      </c>
    </row>
    <row r="9168" spans="2:20" x14ac:dyDescent="0.25">
      <c r="B9168" t="s">
        <v>2709</v>
      </c>
      <c r="C9168">
        <v>85181010</v>
      </c>
      <c r="E9168">
        <v>67.28</v>
      </c>
      <c r="F9168">
        <v>25</v>
      </c>
      <c r="G9168">
        <v>5</v>
      </c>
      <c r="H9168" t="s">
        <v>19447</v>
      </c>
      <c r="I9168" t="s">
        <v>19447</v>
      </c>
      <c r="J9168">
        <v>0</v>
      </c>
      <c r="L9168" t="s">
        <v>2709</v>
      </c>
      <c r="M9168">
        <v>85181010</v>
      </c>
      <c r="O9168" t="s">
        <v>20202</v>
      </c>
      <c r="P9168" t="s">
        <v>19982</v>
      </c>
      <c r="Q9168" t="s">
        <v>19909</v>
      </c>
      <c r="R9168" t="s">
        <v>19447</v>
      </c>
      <c r="S9168" t="s">
        <v>19447</v>
      </c>
      <c r="T9168" t="s">
        <v>19900</v>
      </c>
    </row>
    <row r="9169" spans="2:20" x14ac:dyDescent="0.25">
      <c r="B9169" t="s">
        <v>2709</v>
      </c>
      <c r="C9169">
        <v>85181090</v>
      </c>
      <c r="E9169">
        <v>67.28</v>
      </c>
      <c r="F9169">
        <v>25</v>
      </c>
      <c r="G9169">
        <v>15</v>
      </c>
      <c r="H9169" t="s">
        <v>19447</v>
      </c>
      <c r="I9169" t="s">
        <v>19447</v>
      </c>
      <c r="J9169">
        <v>20</v>
      </c>
      <c r="L9169" t="s">
        <v>2709</v>
      </c>
      <c r="M9169">
        <v>85181090</v>
      </c>
      <c r="O9169" t="s">
        <v>20202</v>
      </c>
      <c r="P9169" t="s">
        <v>19982</v>
      </c>
      <c r="Q9169" t="s">
        <v>19983</v>
      </c>
      <c r="R9169" t="s">
        <v>19447</v>
      </c>
      <c r="S9169" t="s">
        <v>19447</v>
      </c>
      <c r="T9169" t="s">
        <v>19934</v>
      </c>
    </row>
    <row r="9170" spans="2:20" x14ac:dyDescent="0.25">
      <c r="B9170" t="s">
        <v>2709</v>
      </c>
      <c r="C9170">
        <v>85182100</v>
      </c>
      <c r="E9170">
        <v>67.28</v>
      </c>
      <c r="F9170">
        <v>25</v>
      </c>
      <c r="G9170">
        <v>15</v>
      </c>
      <c r="H9170" t="s">
        <v>19447</v>
      </c>
      <c r="I9170" t="s">
        <v>19447</v>
      </c>
      <c r="J9170">
        <v>20</v>
      </c>
      <c r="L9170" t="s">
        <v>2709</v>
      </c>
      <c r="M9170">
        <v>85182100</v>
      </c>
      <c r="O9170" t="s">
        <v>20202</v>
      </c>
      <c r="P9170" t="s">
        <v>19982</v>
      </c>
      <c r="Q9170" t="s">
        <v>19983</v>
      </c>
      <c r="R9170" t="s">
        <v>19447</v>
      </c>
      <c r="S9170" t="s">
        <v>19447</v>
      </c>
      <c r="T9170" t="s">
        <v>19934</v>
      </c>
    </row>
    <row r="9171" spans="2:20" x14ac:dyDescent="0.25">
      <c r="B9171" t="s">
        <v>2709</v>
      </c>
      <c r="C9171">
        <v>85182200</v>
      </c>
      <c r="E9171">
        <v>67.28</v>
      </c>
      <c r="F9171">
        <v>25</v>
      </c>
      <c r="G9171">
        <v>15</v>
      </c>
      <c r="H9171" t="s">
        <v>19447</v>
      </c>
      <c r="I9171" t="s">
        <v>19447</v>
      </c>
      <c r="J9171">
        <v>20</v>
      </c>
      <c r="L9171" t="s">
        <v>2709</v>
      </c>
      <c r="M9171">
        <v>85182200</v>
      </c>
      <c r="O9171" t="s">
        <v>20202</v>
      </c>
      <c r="P9171" t="s">
        <v>19982</v>
      </c>
      <c r="Q9171" t="s">
        <v>19983</v>
      </c>
      <c r="R9171" t="s">
        <v>19447</v>
      </c>
      <c r="S9171" t="s">
        <v>19447</v>
      </c>
      <c r="T9171" t="s">
        <v>19934</v>
      </c>
    </row>
    <row r="9172" spans="2:20" x14ac:dyDescent="0.25">
      <c r="B9172" t="s">
        <v>2709</v>
      </c>
      <c r="C9172">
        <v>85182910</v>
      </c>
      <c r="E9172">
        <v>67.28</v>
      </c>
      <c r="F9172">
        <v>25</v>
      </c>
      <c r="G9172">
        <v>5</v>
      </c>
      <c r="H9172" t="s">
        <v>19447</v>
      </c>
      <c r="I9172" t="s">
        <v>19447</v>
      </c>
      <c r="J9172">
        <v>0</v>
      </c>
      <c r="L9172" t="s">
        <v>2709</v>
      </c>
      <c r="M9172">
        <v>85182910</v>
      </c>
      <c r="O9172" t="s">
        <v>20202</v>
      </c>
      <c r="P9172" t="s">
        <v>19982</v>
      </c>
      <c r="Q9172" t="s">
        <v>19909</v>
      </c>
      <c r="R9172" t="s">
        <v>19447</v>
      </c>
      <c r="S9172" t="s">
        <v>19447</v>
      </c>
      <c r="T9172" t="s">
        <v>19900</v>
      </c>
    </row>
    <row r="9173" spans="2:20" x14ac:dyDescent="0.25">
      <c r="B9173" t="s">
        <v>2709</v>
      </c>
      <c r="C9173">
        <v>85182990</v>
      </c>
      <c r="E9173">
        <v>67.28</v>
      </c>
      <c r="F9173">
        <v>25</v>
      </c>
      <c r="G9173">
        <v>15</v>
      </c>
      <c r="H9173" t="s">
        <v>19447</v>
      </c>
      <c r="I9173" t="s">
        <v>19447</v>
      </c>
      <c r="J9173">
        <v>20</v>
      </c>
      <c r="L9173" t="s">
        <v>2709</v>
      </c>
      <c r="M9173">
        <v>85182990</v>
      </c>
      <c r="O9173" t="s">
        <v>20202</v>
      </c>
      <c r="P9173" t="s">
        <v>19982</v>
      </c>
      <c r="Q9173" t="s">
        <v>19983</v>
      </c>
      <c r="R9173" t="s">
        <v>19447</v>
      </c>
      <c r="S9173" t="s">
        <v>19447</v>
      </c>
      <c r="T9173" t="s">
        <v>19934</v>
      </c>
    </row>
    <row r="9174" spans="2:20" x14ac:dyDescent="0.25">
      <c r="B9174" t="s">
        <v>2709</v>
      </c>
      <c r="C9174">
        <v>85183000</v>
      </c>
      <c r="E9174">
        <v>67.28</v>
      </c>
      <c r="F9174">
        <v>25</v>
      </c>
      <c r="G9174">
        <v>15</v>
      </c>
      <c r="H9174" t="s">
        <v>19447</v>
      </c>
      <c r="I9174" t="s">
        <v>19447</v>
      </c>
      <c r="J9174">
        <v>20</v>
      </c>
      <c r="L9174" t="s">
        <v>2709</v>
      </c>
      <c r="M9174">
        <v>85183000</v>
      </c>
      <c r="O9174" t="s">
        <v>20202</v>
      </c>
      <c r="P9174" t="s">
        <v>19982</v>
      </c>
      <c r="Q9174" t="s">
        <v>19983</v>
      </c>
      <c r="R9174" t="s">
        <v>19447</v>
      </c>
      <c r="S9174" t="s">
        <v>19447</v>
      </c>
      <c r="T9174" t="s">
        <v>19934</v>
      </c>
    </row>
    <row r="9175" spans="2:20" x14ac:dyDescent="0.25">
      <c r="B9175" t="s">
        <v>2709</v>
      </c>
      <c r="C9175">
        <v>85184000</v>
      </c>
      <c r="E9175">
        <v>67.28</v>
      </c>
      <c r="F9175">
        <v>25</v>
      </c>
      <c r="G9175">
        <v>15</v>
      </c>
      <c r="H9175" t="s">
        <v>19447</v>
      </c>
      <c r="I9175" t="s">
        <v>19447</v>
      </c>
      <c r="J9175">
        <v>20</v>
      </c>
      <c r="L9175" t="s">
        <v>2709</v>
      </c>
      <c r="M9175">
        <v>85184000</v>
      </c>
      <c r="O9175" t="s">
        <v>20202</v>
      </c>
      <c r="P9175" t="s">
        <v>19982</v>
      </c>
      <c r="Q9175" t="s">
        <v>19983</v>
      </c>
      <c r="R9175" t="s">
        <v>19447</v>
      </c>
      <c r="S9175" t="s">
        <v>19447</v>
      </c>
      <c r="T9175" t="s">
        <v>19934</v>
      </c>
    </row>
    <row r="9176" spans="2:20" x14ac:dyDescent="0.25">
      <c r="B9176" t="s">
        <v>2709</v>
      </c>
      <c r="C9176">
        <v>85185000</v>
      </c>
      <c r="E9176">
        <v>98.43</v>
      </c>
      <c r="F9176">
        <v>25</v>
      </c>
      <c r="G9176">
        <v>15</v>
      </c>
      <c r="H9176" t="s">
        <v>19447</v>
      </c>
      <c r="I9176" t="s">
        <v>19447</v>
      </c>
      <c r="J9176">
        <v>20</v>
      </c>
      <c r="L9176" t="s">
        <v>2709</v>
      </c>
      <c r="M9176">
        <v>85185000</v>
      </c>
      <c r="O9176" t="s">
        <v>20203</v>
      </c>
      <c r="P9176" t="s">
        <v>19982</v>
      </c>
      <c r="Q9176" t="s">
        <v>19983</v>
      </c>
      <c r="R9176" t="s">
        <v>19447</v>
      </c>
      <c r="S9176" t="s">
        <v>19447</v>
      </c>
      <c r="T9176" t="s">
        <v>19934</v>
      </c>
    </row>
    <row r="9177" spans="2:20" x14ac:dyDescent="0.25">
      <c r="B9177" t="s">
        <v>2709</v>
      </c>
      <c r="C9177">
        <v>85189010</v>
      </c>
      <c r="E9177">
        <v>67.28</v>
      </c>
      <c r="F9177">
        <v>25</v>
      </c>
      <c r="G9177">
        <v>15</v>
      </c>
      <c r="H9177" t="s">
        <v>19447</v>
      </c>
      <c r="I9177" t="s">
        <v>19447</v>
      </c>
      <c r="J9177">
        <v>16</v>
      </c>
      <c r="L9177" t="s">
        <v>2709</v>
      </c>
      <c r="M9177">
        <v>85189010</v>
      </c>
      <c r="O9177" t="s">
        <v>20202</v>
      </c>
      <c r="P9177" t="s">
        <v>19982</v>
      </c>
      <c r="Q9177" t="s">
        <v>19983</v>
      </c>
      <c r="R9177" t="s">
        <v>19447</v>
      </c>
      <c r="S9177" t="s">
        <v>19447</v>
      </c>
      <c r="T9177" t="s">
        <v>19913</v>
      </c>
    </row>
    <row r="9178" spans="2:20" x14ac:dyDescent="0.25">
      <c r="B9178" t="s">
        <v>2709</v>
      </c>
      <c r="C9178">
        <v>85189090</v>
      </c>
      <c r="E9178">
        <v>67.28</v>
      </c>
      <c r="F9178">
        <v>25</v>
      </c>
      <c r="G9178">
        <v>15</v>
      </c>
      <c r="H9178" t="s">
        <v>19447</v>
      </c>
      <c r="I9178" t="s">
        <v>19447</v>
      </c>
      <c r="J9178">
        <v>16</v>
      </c>
      <c r="L9178" t="s">
        <v>2709</v>
      </c>
      <c r="M9178">
        <v>85189090</v>
      </c>
      <c r="O9178" t="s">
        <v>20202</v>
      </c>
      <c r="P9178" t="s">
        <v>19982</v>
      </c>
      <c r="Q9178" t="s">
        <v>19983</v>
      </c>
      <c r="R9178" t="s">
        <v>19447</v>
      </c>
      <c r="S9178" t="s">
        <v>19447</v>
      </c>
      <c r="T9178" t="s">
        <v>19913</v>
      </c>
    </row>
    <row r="9179" spans="2:20" x14ac:dyDescent="0.25">
      <c r="B9179" t="s">
        <v>2709</v>
      </c>
      <c r="C9179">
        <v>85192000</v>
      </c>
      <c r="E9179">
        <v>43.74</v>
      </c>
      <c r="F9179">
        <v>25</v>
      </c>
      <c r="G9179">
        <v>25</v>
      </c>
      <c r="H9179" t="s">
        <v>19447</v>
      </c>
      <c r="I9179" t="s">
        <v>19447</v>
      </c>
      <c r="J9179">
        <v>20</v>
      </c>
      <c r="L9179" t="s">
        <v>2709</v>
      </c>
      <c r="M9179">
        <v>85192000</v>
      </c>
      <c r="O9179" t="s">
        <v>20204</v>
      </c>
      <c r="P9179" t="s">
        <v>19982</v>
      </c>
      <c r="Q9179" t="s">
        <v>19982</v>
      </c>
      <c r="R9179" t="s">
        <v>19447</v>
      </c>
      <c r="S9179" t="s">
        <v>19447</v>
      </c>
      <c r="T9179" t="s">
        <v>19934</v>
      </c>
    </row>
    <row r="9180" spans="2:20" x14ac:dyDescent="0.25">
      <c r="B9180" t="s">
        <v>2709</v>
      </c>
      <c r="C9180">
        <v>85193000</v>
      </c>
      <c r="E9180">
        <v>43.74</v>
      </c>
      <c r="F9180">
        <v>25</v>
      </c>
      <c r="G9180">
        <v>30</v>
      </c>
      <c r="H9180" t="s">
        <v>19447</v>
      </c>
      <c r="I9180" t="s">
        <v>19447</v>
      </c>
      <c r="J9180">
        <v>20</v>
      </c>
      <c r="L9180" t="s">
        <v>2709</v>
      </c>
      <c r="M9180">
        <v>85193000</v>
      </c>
      <c r="O9180" t="s">
        <v>20204</v>
      </c>
      <c r="P9180" t="s">
        <v>19982</v>
      </c>
      <c r="Q9180" t="s">
        <v>19933</v>
      </c>
      <c r="R9180" t="s">
        <v>19447</v>
      </c>
      <c r="S9180" t="s">
        <v>19447</v>
      </c>
      <c r="T9180" t="s">
        <v>19934</v>
      </c>
    </row>
    <row r="9181" spans="2:20" x14ac:dyDescent="0.25">
      <c r="B9181" t="s">
        <v>2709</v>
      </c>
      <c r="C9181">
        <v>85195000</v>
      </c>
      <c r="E9181">
        <v>43.74</v>
      </c>
      <c r="F9181">
        <v>25</v>
      </c>
      <c r="G9181">
        <v>25</v>
      </c>
      <c r="H9181" t="s">
        <v>19447</v>
      </c>
      <c r="I9181" t="s">
        <v>19447</v>
      </c>
      <c r="J9181">
        <v>20</v>
      </c>
      <c r="L9181" t="s">
        <v>2709</v>
      </c>
      <c r="M9181">
        <v>85195000</v>
      </c>
      <c r="O9181" t="s">
        <v>20204</v>
      </c>
      <c r="P9181" t="s">
        <v>19982</v>
      </c>
      <c r="Q9181" t="s">
        <v>19982</v>
      </c>
      <c r="R9181" t="s">
        <v>19447</v>
      </c>
      <c r="S9181" t="s">
        <v>19447</v>
      </c>
      <c r="T9181" t="s">
        <v>19934</v>
      </c>
    </row>
    <row r="9182" spans="2:20" x14ac:dyDescent="0.25">
      <c r="B9182" t="s">
        <v>2709</v>
      </c>
      <c r="C9182">
        <v>85198110</v>
      </c>
      <c r="E9182">
        <v>71.78</v>
      </c>
      <c r="F9182">
        <v>25</v>
      </c>
      <c r="G9182">
        <v>30</v>
      </c>
      <c r="H9182" t="s">
        <v>19447</v>
      </c>
      <c r="I9182" t="s">
        <v>19447</v>
      </c>
      <c r="J9182">
        <v>20</v>
      </c>
      <c r="L9182" t="s">
        <v>2709</v>
      </c>
      <c r="M9182">
        <v>85198110</v>
      </c>
      <c r="O9182" t="s">
        <v>20056</v>
      </c>
      <c r="P9182" t="s">
        <v>19982</v>
      </c>
      <c r="Q9182" t="s">
        <v>19933</v>
      </c>
      <c r="R9182" t="s">
        <v>19447</v>
      </c>
      <c r="S9182" t="s">
        <v>19447</v>
      </c>
      <c r="T9182" t="s">
        <v>19934</v>
      </c>
    </row>
    <row r="9183" spans="2:20" x14ac:dyDescent="0.25">
      <c r="B9183" t="s">
        <v>2709</v>
      </c>
      <c r="C9183">
        <v>85198120</v>
      </c>
      <c r="E9183">
        <v>71.78</v>
      </c>
      <c r="F9183">
        <v>25</v>
      </c>
      <c r="G9183">
        <v>25</v>
      </c>
      <c r="H9183" t="s">
        <v>19447</v>
      </c>
      <c r="I9183" t="s">
        <v>19447</v>
      </c>
      <c r="J9183">
        <v>0</v>
      </c>
      <c r="L9183" t="s">
        <v>2709</v>
      </c>
      <c r="M9183">
        <v>85198120</v>
      </c>
      <c r="O9183" t="s">
        <v>20056</v>
      </c>
      <c r="P9183" t="s">
        <v>19982</v>
      </c>
      <c r="Q9183" t="s">
        <v>19982</v>
      </c>
      <c r="R9183" t="s">
        <v>19447</v>
      </c>
      <c r="S9183" t="s">
        <v>19447</v>
      </c>
      <c r="T9183" t="s">
        <v>19900</v>
      </c>
    </row>
    <row r="9184" spans="2:20" x14ac:dyDescent="0.25">
      <c r="B9184" t="s">
        <v>2709</v>
      </c>
      <c r="C9184">
        <v>85198190</v>
      </c>
      <c r="E9184">
        <v>71.78</v>
      </c>
      <c r="F9184">
        <v>25</v>
      </c>
      <c r="G9184">
        <v>25</v>
      </c>
      <c r="H9184" t="s">
        <v>19447</v>
      </c>
      <c r="I9184" t="s">
        <v>19447</v>
      </c>
      <c r="J9184">
        <v>20</v>
      </c>
      <c r="L9184" t="s">
        <v>2709</v>
      </c>
      <c r="M9184">
        <v>85198190</v>
      </c>
      <c r="O9184" t="s">
        <v>20056</v>
      </c>
      <c r="P9184" t="s">
        <v>19982</v>
      </c>
      <c r="Q9184" t="s">
        <v>19982</v>
      </c>
      <c r="R9184" t="s">
        <v>19447</v>
      </c>
      <c r="S9184" t="s">
        <v>19447</v>
      </c>
      <c r="T9184" t="s">
        <v>19934</v>
      </c>
    </row>
    <row r="9185" spans="2:20" x14ac:dyDescent="0.25">
      <c r="B9185" t="s">
        <v>2709</v>
      </c>
      <c r="C9185">
        <v>85198190</v>
      </c>
      <c r="D9185">
        <v>1</v>
      </c>
      <c r="E9185" t="s">
        <v>19447</v>
      </c>
      <c r="F9185">
        <v>18</v>
      </c>
      <c r="G9185">
        <v>0</v>
      </c>
      <c r="H9185">
        <v>7.6</v>
      </c>
      <c r="I9185">
        <v>1.65</v>
      </c>
      <c r="J9185">
        <v>20</v>
      </c>
      <c r="L9185" t="s">
        <v>2709</v>
      </c>
      <c r="M9185">
        <v>85198190</v>
      </c>
      <c r="N9185">
        <v>1</v>
      </c>
      <c r="O9185" t="s">
        <v>19447</v>
      </c>
      <c r="P9185" t="s">
        <v>19899</v>
      </c>
      <c r="Q9185" t="s">
        <v>19900</v>
      </c>
      <c r="R9185" t="s">
        <v>19905</v>
      </c>
      <c r="S9185" t="s">
        <v>19906</v>
      </c>
      <c r="T9185" t="s">
        <v>19934</v>
      </c>
    </row>
    <row r="9186" spans="2:20" x14ac:dyDescent="0.25">
      <c r="B9186" t="s">
        <v>2709</v>
      </c>
      <c r="C9186">
        <v>85198190</v>
      </c>
      <c r="D9186">
        <v>2</v>
      </c>
      <c r="E9186" t="s">
        <v>19447</v>
      </c>
      <c r="F9186">
        <v>18</v>
      </c>
      <c r="G9186">
        <v>30</v>
      </c>
      <c r="H9186">
        <v>7.6</v>
      </c>
      <c r="I9186">
        <v>1.65</v>
      </c>
      <c r="J9186">
        <v>20</v>
      </c>
      <c r="L9186" t="s">
        <v>2709</v>
      </c>
      <c r="M9186">
        <v>85198190</v>
      </c>
      <c r="N9186">
        <v>2</v>
      </c>
      <c r="O9186" t="s">
        <v>19447</v>
      </c>
      <c r="P9186" t="s">
        <v>19899</v>
      </c>
      <c r="Q9186" t="s">
        <v>19933</v>
      </c>
      <c r="R9186" t="s">
        <v>19905</v>
      </c>
      <c r="S9186" t="s">
        <v>19906</v>
      </c>
      <c r="T9186" t="s">
        <v>19934</v>
      </c>
    </row>
    <row r="9187" spans="2:20" x14ac:dyDescent="0.25">
      <c r="B9187" t="s">
        <v>2709</v>
      </c>
      <c r="C9187">
        <v>85198190</v>
      </c>
      <c r="D9187">
        <v>3</v>
      </c>
      <c r="E9187" t="s">
        <v>19447</v>
      </c>
      <c r="F9187">
        <v>18</v>
      </c>
      <c r="G9187">
        <v>30</v>
      </c>
      <c r="H9187">
        <v>7.6</v>
      </c>
      <c r="I9187">
        <v>1.65</v>
      </c>
      <c r="J9187">
        <v>20</v>
      </c>
      <c r="L9187" t="s">
        <v>2709</v>
      </c>
      <c r="M9187">
        <v>85198190</v>
      </c>
      <c r="N9187">
        <v>3</v>
      </c>
      <c r="O9187" t="s">
        <v>19447</v>
      </c>
      <c r="P9187" t="s">
        <v>19899</v>
      </c>
      <c r="Q9187" t="s">
        <v>19933</v>
      </c>
      <c r="R9187" t="s">
        <v>19905</v>
      </c>
      <c r="S9187" t="s">
        <v>19906</v>
      </c>
      <c r="T9187" t="s">
        <v>19934</v>
      </c>
    </row>
    <row r="9188" spans="2:20" x14ac:dyDescent="0.25">
      <c r="B9188" t="s">
        <v>2709</v>
      </c>
      <c r="C9188">
        <v>85198900</v>
      </c>
      <c r="E9188">
        <v>43.74</v>
      </c>
      <c r="F9188">
        <v>25</v>
      </c>
      <c r="G9188">
        <v>25</v>
      </c>
      <c r="H9188" t="s">
        <v>19447</v>
      </c>
      <c r="I9188" t="s">
        <v>19447</v>
      </c>
      <c r="J9188">
        <v>20</v>
      </c>
      <c r="L9188" t="s">
        <v>2709</v>
      </c>
      <c r="M9188">
        <v>85198900</v>
      </c>
      <c r="O9188" t="s">
        <v>20204</v>
      </c>
      <c r="P9188" t="s">
        <v>19982</v>
      </c>
      <c r="Q9188" t="s">
        <v>19982</v>
      </c>
      <c r="R9188" t="s">
        <v>19447</v>
      </c>
      <c r="S9188" t="s">
        <v>19447</v>
      </c>
      <c r="T9188" t="s">
        <v>19934</v>
      </c>
    </row>
    <row r="9189" spans="2:20" x14ac:dyDescent="0.25">
      <c r="B9189" t="s">
        <v>2709</v>
      </c>
      <c r="C9189">
        <v>85198900</v>
      </c>
      <c r="D9189">
        <v>1</v>
      </c>
      <c r="E9189" t="s">
        <v>19447</v>
      </c>
      <c r="F9189">
        <v>18</v>
      </c>
      <c r="G9189">
        <v>18</v>
      </c>
      <c r="H9189">
        <v>7.6</v>
      </c>
      <c r="I9189">
        <v>1.65</v>
      </c>
      <c r="J9189">
        <v>20</v>
      </c>
      <c r="L9189" t="s">
        <v>2709</v>
      </c>
      <c r="M9189">
        <v>85198900</v>
      </c>
      <c r="N9189">
        <v>1</v>
      </c>
      <c r="O9189" t="s">
        <v>19447</v>
      </c>
      <c r="P9189" t="s">
        <v>19899</v>
      </c>
      <c r="Q9189" t="s">
        <v>19899</v>
      </c>
      <c r="R9189" t="s">
        <v>19905</v>
      </c>
      <c r="S9189" t="s">
        <v>19906</v>
      </c>
      <c r="T9189" t="s">
        <v>19934</v>
      </c>
    </row>
    <row r="9190" spans="2:20" x14ac:dyDescent="0.25">
      <c r="B9190" t="s">
        <v>2709</v>
      </c>
      <c r="C9190">
        <v>85211010</v>
      </c>
      <c r="E9190">
        <v>147.97</v>
      </c>
      <c r="F9190">
        <v>25</v>
      </c>
      <c r="G9190">
        <v>25</v>
      </c>
      <c r="H9190" t="s">
        <v>19447</v>
      </c>
      <c r="I9190" t="s">
        <v>19447</v>
      </c>
      <c r="J9190">
        <v>0</v>
      </c>
      <c r="L9190" t="s">
        <v>2709</v>
      </c>
      <c r="M9190">
        <v>85211010</v>
      </c>
      <c r="O9190" t="s">
        <v>20138</v>
      </c>
      <c r="P9190" t="s">
        <v>19982</v>
      </c>
      <c r="Q9190" t="s">
        <v>19982</v>
      </c>
      <c r="R9190" t="s">
        <v>19447</v>
      </c>
      <c r="S9190" t="s">
        <v>19447</v>
      </c>
      <c r="T9190" t="s">
        <v>19900</v>
      </c>
    </row>
    <row r="9191" spans="2:20" x14ac:dyDescent="0.25">
      <c r="B9191" t="s">
        <v>2709</v>
      </c>
      <c r="C9191">
        <v>85211081</v>
      </c>
      <c r="E9191">
        <v>147.97</v>
      </c>
      <c r="F9191">
        <v>25</v>
      </c>
      <c r="G9191">
        <v>25</v>
      </c>
      <c r="H9191" t="s">
        <v>19447</v>
      </c>
      <c r="I9191" t="s">
        <v>19447</v>
      </c>
      <c r="J9191">
        <v>20</v>
      </c>
      <c r="L9191" t="s">
        <v>2709</v>
      </c>
      <c r="M9191">
        <v>85211081</v>
      </c>
      <c r="O9191" t="s">
        <v>20138</v>
      </c>
      <c r="P9191" t="s">
        <v>19982</v>
      </c>
      <c r="Q9191" t="s">
        <v>19982</v>
      </c>
      <c r="R9191" t="s">
        <v>19447</v>
      </c>
      <c r="S9191" t="s">
        <v>19447</v>
      </c>
      <c r="T9191" t="s">
        <v>19934</v>
      </c>
    </row>
    <row r="9192" spans="2:20" x14ac:dyDescent="0.25">
      <c r="B9192" t="s">
        <v>2709</v>
      </c>
      <c r="C9192">
        <v>85211089</v>
      </c>
      <c r="E9192">
        <v>147.97</v>
      </c>
      <c r="F9192">
        <v>25</v>
      </c>
      <c r="G9192">
        <v>25</v>
      </c>
      <c r="H9192" t="s">
        <v>19447</v>
      </c>
      <c r="I9192" t="s">
        <v>19447</v>
      </c>
      <c r="J9192">
        <v>20</v>
      </c>
      <c r="L9192" t="s">
        <v>2709</v>
      </c>
      <c r="M9192">
        <v>85211089</v>
      </c>
      <c r="O9192" t="s">
        <v>20138</v>
      </c>
      <c r="P9192" t="s">
        <v>19982</v>
      </c>
      <c r="Q9192" t="s">
        <v>19982</v>
      </c>
      <c r="R9192" t="s">
        <v>19447</v>
      </c>
      <c r="S9192" t="s">
        <v>19447</v>
      </c>
      <c r="T9192" t="s">
        <v>19934</v>
      </c>
    </row>
    <row r="9193" spans="2:20" x14ac:dyDescent="0.25">
      <c r="B9193" t="s">
        <v>2709</v>
      </c>
      <c r="C9193">
        <v>85211090</v>
      </c>
      <c r="E9193">
        <v>147.97</v>
      </c>
      <c r="F9193">
        <v>25</v>
      </c>
      <c r="G9193">
        <v>25</v>
      </c>
      <c r="H9193" t="s">
        <v>19447</v>
      </c>
      <c r="I9193" t="s">
        <v>19447</v>
      </c>
      <c r="J9193">
        <v>0</v>
      </c>
      <c r="L9193" t="s">
        <v>2709</v>
      </c>
      <c r="M9193">
        <v>85211090</v>
      </c>
      <c r="O9193" t="s">
        <v>20138</v>
      </c>
      <c r="P9193" t="s">
        <v>19982</v>
      </c>
      <c r="Q9193" t="s">
        <v>19982</v>
      </c>
      <c r="R9193" t="s">
        <v>19447</v>
      </c>
      <c r="S9193" t="s">
        <v>19447</v>
      </c>
      <c r="T9193" t="s">
        <v>19900</v>
      </c>
    </row>
    <row r="9194" spans="2:20" x14ac:dyDescent="0.25">
      <c r="B9194" t="s">
        <v>2709</v>
      </c>
      <c r="C9194">
        <v>85219010</v>
      </c>
      <c r="E9194">
        <v>147.97</v>
      </c>
      <c r="F9194">
        <v>25</v>
      </c>
      <c r="G9194">
        <v>5</v>
      </c>
      <c r="H9194" t="s">
        <v>19447</v>
      </c>
      <c r="I9194" t="s">
        <v>19447</v>
      </c>
      <c r="J9194">
        <v>0</v>
      </c>
      <c r="L9194" t="s">
        <v>2709</v>
      </c>
      <c r="M9194">
        <v>85219010</v>
      </c>
      <c r="O9194" t="s">
        <v>20138</v>
      </c>
      <c r="P9194" t="s">
        <v>19982</v>
      </c>
      <c r="Q9194" t="s">
        <v>19909</v>
      </c>
      <c r="R9194" t="s">
        <v>19447</v>
      </c>
      <c r="S9194" t="s">
        <v>19447</v>
      </c>
      <c r="T9194" t="s">
        <v>19900</v>
      </c>
    </row>
    <row r="9195" spans="2:20" x14ac:dyDescent="0.25">
      <c r="B9195" t="s">
        <v>2709</v>
      </c>
      <c r="C9195">
        <v>85219090</v>
      </c>
      <c r="E9195">
        <v>42.83</v>
      </c>
      <c r="F9195">
        <v>25</v>
      </c>
      <c r="G9195">
        <v>15</v>
      </c>
      <c r="H9195" t="s">
        <v>19447</v>
      </c>
      <c r="I9195" t="s">
        <v>19447</v>
      </c>
      <c r="J9195">
        <v>20</v>
      </c>
      <c r="L9195" t="s">
        <v>2709</v>
      </c>
      <c r="M9195">
        <v>85219090</v>
      </c>
      <c r="O9195" t="s">
        <v>19945</v>
      </c>
      <c r="P9195" t="s">
        <v>19982</v>
      </c>
      <c r="Q9195" t="s">
        <v>19983</v>
      </c>
      <c r="R9195" t="s">
        <v>19447</v>
      </c>
      <c r="S9195" t="s">
        <v>19447</v>
      </c>
      <c r="T9195" t="s">
        <v>19934</v>
      </c>
    </row>
    <row r="9196" spans="2:20" x14ac:dyDescent="0.25">
      <c r="B9196" t="s">
        <v>2709</v>
      </c>
      <c r="C9196">
        <v>85219090</v>
      </c>
      <c r="D9196">
        <v>1</v>
      </c>
      <c r="E9196" t="s">
        <v>19447</v>
      </c>
      <c r="F9196">
        <v>18</v>
      </c>
      <c r="G9196">
        <v>0</v>
      </c>
      <c r="H9196">
        <v>7.6</v>
      </c>
      <c r="I9196">
        <v>1.65</v>
      </c>
      <c r="J9196">
        <v>20</v>
      </c>
      <c r="L9196" t="s">
        <v>2709</v>
      </c>
      <c r="M9196">
        <v>85219090</v>
      </c>
      <c r="N9196">
        <v>1</v>
      </c>
      <c r="O9196" t="s">
        <v>19447</v>
      </c>
      <c r="P9196" t="s">
        <v>19899</v>
      </c>
      <c r="Q9196" t="s">
        <v>19900</v>
      </c>
      <c r="R9196" t="s">
        <v>19905</v>
      </c>
      <c r="S9196" t="s">
        <v>19906</v>
      </c>
      <c r="T9196" t="s">
        <v>19934</v>
      </c>
    </row>
    <row r="9197" spans="2:20" x14ac:dyDescent="0.25">
      <c r="B9197" t="s">
        <v>2709</v>
      </c>
      <c r="C9197">
        <v>85219090</v>
      </c>
      <c r="D9197">
        <v>2</v>
      </c>
      <c r="E9197" t="s">
        <v>19447</v>
      </c>
      <c r="F9197">
        <v>18</v>
      </c>
      <c r="G9197">
        <v>25</v>
      </c>
      <c r="H9197">
        <v>7.6</v>
      </c>
      <c r="I9197">
        <v>1.65</v>
      </c>
      <c r="J9197">
        <v>20</v>
      </c>
      <c r="L9197" t="s">
        <v>2709</v>
      </c>
      <c r="M9197">
        <v>85219090</v>
      </c>
      <c r="N9197">
        <v>2</v>
      </c>
      <c r="O9197" t="s">
        <v>19447</v>
      </c>
      <c r="P9197" t="s">
        <v>19899</v>
      </c>
      <c r="Q9197" t="s">
        <v>19982</v>
      </c>
      <c r="R9197" t="s">
        <v>19905</v>
      </c>
      <c r="S9197" t="s">
        <v>19906</v>
      </c>
      <c r="T9197" t="s">
        <v>19934</v>
      </c>
    </row>
    <row r="9198" spans="2:20" x14ac:dyDescent="0.25">
      <c r="B9198" t="s">
        <v>2709</v>
      </c>
      <c r="C9198">
        <v>85221000</v>
      </c>
      <c r="E9198">
        <v>43.74</v>
      </c>
      <c r="F9198">
        <v>25</v>
      </c>
      <c r="G9198">
        <v>25</v>
      </c>
      <c r="H9198" t="s">
        <v>19447</v>
      </c>
      <c r="I9198" t="s">
        <v>19447</v>
      </c>
      <c r="J9198">
        <v>18</v>
      </c>
      <c r="L9198" t="s">
        <v>2709</v>
      </c>
      <c r="M9198">
        <v>85221000</v>
      </c>
      <c r="O9198" t="s">
        <v>20204</v>
      </c>
      <c r="P9198" t="s">
        <v>19982</v>
      </c>
      <c r="Q9198" t="s">
        <v>19982</v>
      </c>
      <c r="R9198" t="s">
        <v>19447</v>
      </c>
      <c r="S9198" t="s">
        <v>19447</v>
      </c>
      <c r="T9198" t="s">
        <v>19899</v>
      </c>
    </row>
    <row r="9199" spans="2:20" x14ac:dyDescent="0.25">
      <c r="B9199" t="s">
        <v>2709</v>
      </c>
      <c r="C9199">
        <v>85229010</v>
      </c>
      <c r="E9199">
        <v>43.74</v>
      </c>
      <c r="F9199">
        <v>25</v>
      </c>
      <c r="G9199">
        <v>25</v>
      </c>
      <c r="H9199" t="s">
        <v>19447</v>
      </c>
      <c r="I9199" t="s">
        <v>19447</v>
      </c>
      <c r="J9199">
        <v>16</v>
      </c>
      <c r="L9199" t="s">
        <v>2709</v>
      </c>
      <c r="M9199">
        <v>85229010</v>
      </c>
      <c r="O9199" t="s">
        <v>20204</v>
      </c>
      <c r="P9199" t="s">
        <v>19982</v>
      </c>
      <c r="Q9199" t="s">
        <v>19982</v>
      </c>
      <c r="R9199" t="s">
        <v>19447</v>
      </c>
      <c r="S9199" t="s">
        <v>19447</v>
      </c>
      <c r="T9199" t="s">
        <v>19913</v>
      </c>
    </row>
    <row r="9200" spans="2:20" x14ac:dyDescent="0.25">
      <c r="B9200" t="s">
        <v>2709</v>
      </c>
      <c r="C9200">
        <v>85229020</v>
      </c>
      <c r="E9200">
        <v>43.74</v>
      </c>
      <c r="F9200">
        <v>25</v>
      </c>
      <c r="G9200">
        <v>25</v>
      </c>
      <c r="H9200" t="s">
        <v>19447</v>
      </c>
      <c r="I9200" t="s">
        <v>19447</v>
      </c>
      <c r="J9200">
        <v>16</v>
      </c>
      <c r="L9200" t="s">
        <v>2709</v>
      </c>
      <c r="M9200">
        <v>85229020</v>
      </c>
      <c r="O9200" t="s">
        <v>20204</v>
      </c>
      <c r="P9200" t="s">
        <v>19982</v>
      </c>
      <c r="Q9200" t="s">
        <v>19982</v>
      </c>
      <c r="R9200" t="s">
        <v>19447</v>
      </c>
      <c r="S9200" t="s">
        <v>19447</v>
      </c>
      <c r="T9200" t="s">
        <v>19913</v>
      </c>
    </row>
    <row r="9201" spans="2:20" x14ac:dyDescent="0.25">
      <c r="B9201" t="s">
        <v>2709</v>
      </c>
      <c r="C9201">
        <v>85229030</v>
      </c>
      <c r="E9201">
        <v>43.74</v>
      </c>
      <c r="F9201">
        <v>25</v>
      </c>
      <c r="G9201">
        <v>25</v>
      </c>
      <c r="H9201" t="s">
        <v>19447</v>
      </c>
      <c r="I9201" t="s">
        <v>19447</v>
      </c>
      <c r="J9201">
        <v>16</v>
      </c>
      <c r="L9201" t="s">
        <v>2709</v>
      </c>
      <c r="M9201">
        <v>85229030</v>
      </c>
      <c r="O9201" t="s">
        <v>20204</v>
      </c>
      <c r="P9201" t="s">
        <v>19982</v>
      </c>
      <c r="Q9201" t="s">
        <v>19982</v>
      </c>
      <c r="R9201" t="s">
        <v>19447</v>
      </c>
      <c r="S9201" t="s">
        <v>19447</v>
      </c>
      <c r="T9201" t="s">
        <v>19913</v>
      </c>
    </row>
    <row r="9202" spans="2:20" x14ac:dyDescent="0.25">
      <c r="B9202" t="s">
        <v>2709</v>
      </c>
      <c r="C9202">
        <v>85229040</v>
      </c>
      <c r="E9202">
        <v>43.74</v>
      </c>
      <c r="F9202">
        <v>25</v>
      </c>
      <c r="G9202">
        <v>25</v>
      </c>
      <c r="H9202" t="s">
        <v>19447</v>
      </c>
      <c r="I9202" t="s">
        <v>19447</v>
      </c>
      <c r="J9202">
        <v>16</v>
      </c>
      <c r="L9202" t="s">
        <v>2709</v>
      </c>
      <c r="M9202">
        <v>85229040</v>
      </c>
      <c r="O9202" t="s">
        <v>20204</v>
      </c>
      <c r="P9202" t="s">
        <v>19982</v>
      </c>
      <c r="Q9202" t="s">
        <v>19982</v>
      </c>
      <c r="R9202" t="s">
        <v>19447</v>
      </c>
      <c r="S9202" t="s">
        <v>19447</v>
      </c>
      <c r="T9202" t="s">
        <v>19913</v>
      </c>
    </row>
    <row r="9203" spans="2:20" x14ac:dyDescent="0.25">
      <c r="B9203" t="s">
        <v>2709</v>
      </c>
      <c r="C9203">
        <v>85229050</v>
      </c>
      <c r="E9203">
        <v>43.74</v>
      </c>
      <c r="F9203">
        <v>25</v>
      </c>
      <c r="G9203">
        <v>25</v>
      </c>
      <c r="H9203" t="s">
        <v>19447</v>
      </c>
      <c r="I9203" t="s">
        <v>19447</v>
      </c>
      <c r="J9203">
        <v>16</v>
      </c>
      <c r="L9203" t="s">
        <v>2709</v>
      </c>
      <c r="M9203">
        <v>85229050</v>
      </c>
      <c r="O9203" t="s">
        <v>20204</v>
      </c>
      <c r="P9203" t="s">
        <v>19982</v>
      </c>
      <c r="Q9203" t="s">
        <v>19982</v>
      </c>
      <c r="R9203" t="s">
        <v>19447</v>
      </c>
      <c r="S9203" t="s">
        <v>19447</v>
      </c>
      <c r="T9203" t="s">
        <v>19913</v>
      </c>
    </row>
    <row r="9204" spans="2:20" x14ac:dyDescent="0.25">
      <c r="B9204" t="s">
        <v>2709</v>
      </c>
      <c r="C9204">
        <v>85229090</v>
      </c>
      <c r="E9204">
        <v>43.74</v>
      </c>
      <c r="F9204">
        <v>25</v>
      </c>
      <c r="G9204">
        <v>25</v>
      </c>
      <c r="H9204" t="s">
        <v>19447</v>
      </c>
      <c r="I9204" t="s">
        <v>19447</v>
      </c>
      <c r="J9204">
        <v>16</v>
      </c>
      <c r="L9204" t="s">
        <v>2709</v>
      </c>
      <c r="M9204">
        <v>85229090</v>
      </c>
      <c r="O9204" t="s">
        <v>20204</v>
      </c>
      <c r="P9204" t="s">
        <v>19982</v>
      </c>
      <c r="Q9204" t="s">
        <v>19982</v>
      </c>
      <c r="R9204" t="s">
        <v>19447</v>
      </c>
      <c r="S9204" t="s">
        <v>19447</v>
      </c>
      <c r="T9204" t="s">
        <v>19913</v>
      </c>
    </row>
    <row r="9205" spans="2:20" x14ac:dyDescent="0.25">
      <c r="B9205" t="s">
        <v>2709</v>
      </c>
      <c r="C9205">
        <v>85232110</v>
      </c>
      <c r="E9205">
        <v>147.97</v>
      </c>
      <c r="F9205">
        <v>25</v>
      </c>
      <c r="G9205">
        <v>15</v>
      </c>
      <c r="H9205" t="s">
        <v>19447</v>
      </c>
      <c r="I9205" t="s">
        <v>19447</v>
      </c>
      <c r="J9205">
        <v>16</v>
      </c>
      <c r="L9205" t="s">
        <v>2709</v>
      </c>
      <c r="M9205">
        <v>85232110</v>
      </c>
      <c r="O9205" t="s">
        <v>20138</v>
      </c>
      <c r="P9205" t="s">
        <v>19982</v>
      </c>
      <c r="Q9205" t="s">
        <v>19983</v>
      </c>
      <c r="R9205" t="s">
        <v>19447</v>
      </c>
      <c r="S9205" t="s">
        <v>19447</v>
      </c>
      <c r="T9205" t="s">
        <v>19913</v>
      </c>
    </row>
    <row r="9206" spans="2:20" x14ac:dyDescent="0.25">
      <c r="B9206" t="s">
        <v>2709</v>
      </c>
      <c r="C9206">
        <v>85232120</v>
      </c>
      <c r="E9206">
        <v>147.97</v>
      </c>
      <c r="F9206">
        <v>25</v>
      </c>
      <c r="G9206">
        <v>15</v>
      </c>
      <c r="H9206" t="s">
        <v>19447</v>
      </c>
      <c r="I9206" t="s">
        <v>19447</v>
      </c>
      <c r="J9206">
        <v>16</v>
      </c>
      <c r="L9206" t="s">
        <v>2709</v>
      </c>
      <c r="M9206">
        <v>85232120</v>
      </c>
      <c r="O9206" t="s">
        <v>20138</v>
      </c>
      <c r="P9206" t="s">
        <v>19982</v>
      </c>
      <c r="Q9206" t="s">
        <v>19983</v>
      </c>
      <c r="R9206" t="s">
        <v>19447</v>
      </c>
      <c r="S9206" t="s">
        <v>19447</v>
      </c>
      <c r="T9206" t="s">
        <v>19913</v>
      </c>
    </row>
    <row r="9207" spans="2:20" x14ac:dyDescent="0.25">
      <c r="B9207" t="s">
        <v>2709</v>
      </c>
      <c r="C9207">
        <v>85232911</v>
      </c>
      <c r="E9207">
        <v>147.97</v>
      </c>
      <c r="F9207">
        <v>25</v>
      </c>
      <c r="G9207">
        <v>5</v>
      </c>
      <c r="H9207" t="s">
        <v>19447</v>
      </c>
      <c r="I9207" t="s">
        <v>19447</v>
      </c>
      <c r="J9207">
        <v>0</v>
      </c>
      <c r="L9207" t="s">
        <v>2709</v>
      </c>
      <c r="M9207">
        <v>85232911</v>
      </c>
      <c r="O9207" t="s">
        <v>20138</v>
      </c>
      <c r="P9207" t="s">
        <v>19982</v>
      </c>
      <c r="Q9207" t="s">
        <v>19909</v>
      </c>
      <c r="R9207" t="s">
        <v>19447</v>
      </c>
      <c r="S9207" t="s">
        <v>19447</v>
      </c>
      <c r="T9207" t="s">
        <v>19900</v>
      </c>
    </row>
    <row r="9208" spans="2:20" x14ac:dyDescent="0.25">
      <c r="B9208" t="s">
        <v>2709</v>
      </c>
      <c r="C9208">
        <v>85232919</v>
      </c>
      <c r="E9208">
        <v>147.97</v>
      </c>
      <c r="F9208">
        <v>25</v>
      </c>
      <c r="G9208">
        <v>15</v>
      </c>
      <c r="H9208" t="s">
        <v>19447</v>
      </c>
      <c r="I9208" t="s">
        <v>19447</v>
      </c>
      <c r="J9208">
        <v>16</v>
      </c>
      <c r="L9208" t="s">
        <v>2709</v>
      </c>
      <c r="M9208">
        <v>85232919</v>
      </c>
      <c r="O9208" t="s">
        <v>20138</v>
      </c>
      <c r="P9208" t="s">
        <v>19982</v>
      </c>
      <c r="Q9208" t="s">
        <v>19983</v>
      </c>
      <c r="R9208" t="s">
        <v>19447</v>
      </c>
      <c r="S9208" t="s">
        <v>19447</v>
      </c>
      <c r="T9208" t="s">
        <v>19913</v>
      </c>
    </row>
    <row r="9209" spans="2:20" x14ac:dyDescent="0.25">
      <c r="B9209" t="s">
        <v>2709</v>
      </c>
      <c r="C9209">
        <v>85232921</v>
      </c>
      <c r="E9209">
        <v>59.82</v>
      </c>
      <c r="F9209">
        <v>25</v>
      </c>
      <c r="G9209">
        <v>25</v>
      </c>
      <c r="H9209" t="s">
        <v>19447</v>
      </c>
      <c r="I9209" t="s">
        <v>19447</v>
      </c>
      <c r="J9209">
        <v>16</v>
      </c>
      <c r="L9209" t="s">
        <v>2709</v>
      </c>
      <c r="M9209">
        <v>85232921</v>
      </c>
      <c r="O9209" t="s">
        <v>20205</v>
      </c>
      <c r="P9209" t="s">
        <v>19982</v>
      </c>
      <c r="Q9209" t="s">
        <v>19982</v>
      </c>
      <c r="R9209" t="s">
        <v>19447</v>
      </c>
      <c r="S9209" t="s">
        <v>19447</v>
      </c>
      <c r="T9209" t="s">
        <v>19913</v>
      </c>
    </row>
    <row r="9210" spans="2:20" x14ac:dyDescent="0.25">
      <c r="B9210" t="s">
        <v>2709</v>
      </c>
      <c r="C9210">
        <v>85232922</v>
      </c>
      <c r="E9210">
        <v>59.82</v>
      </c>
      <c r="F9210">
        <v>25</v>
      </c>
      <c r="G9210">
        <v>25</v>
      </c>
      <c r="H9210" t="s">
        <v>19447</v>
      </c>
      <c r="I9210" t="s">
        <v>19447</v>
      </c>
      <c r="J9210">
        <v>16</v>
      </c>
      <c r="L9210" t="s">
        <v>2709</v>
      </c>
      <c r="M9210">
        <v>85232922</v>
      </c>
      <c r="O9210" t="s">
        <v>20205</v>
      </c>
      <c r="P9210" t="s">
        <v>19982</v>
      </c>
      <c r="Q9210" t="s">
        <v>19982</v>
      </c>
      <c r="R9210" t="s">
        <v>19447</v>
      </c>
      <c r="S9210" t="s">
        <v>19447</v>
      </c>
      <c r="T9210" t="s">
        <v>19913</v>
      </c>
    </row>
    <row r="9211" spans="2:20" x14ac:dyDescent="0.25">
      <c r="B9211" t="s">
        <v>2709</v>
      </c>
      <c r="C9211">
        <v>85232923</v>
      </c>
      <c r="E9211">
        <v>59.82</v>
      </c>
      <c r="F9211">
        <v>25</v>
      </c>
      <c r="G9211">
        <v>25</v>
      </c>
      <c r="H9211" t="s">
        <v>19447</v>
      </c>
      <c r="I9211" t="s">
        <v>19447</v>
      </c>
      <c r="J9211">
        <v>16</v>
      </c>
      <c r="L9211" t="s">
        <v>2709</v>
      </c>
      <c r="M9211">
        <v>85232923</v>
      </c>
      <c r="O9211" t="s">
        <v>20205</v>
      </c>
      <c r="P9211" t="s">
        <v>19982</v>
      </c>
      <c r="Q9211" t="s">
        <v>19982</v>
      </c>
      <c r="R9211" t="s">
        <v>19447</v>
      </c>
      <c r="S9211" t="s">
        <v>19447</v>
      </c>
      <c r="T9211" t="s">
        <v>19913</v>
      </c>
    </row>
    <row r="9212" spans="2:20" x14ac:dyDescent="0.25">
      <c r="B9212" t="s">
        <v>2709</v>
      </c>
      <c r="C9212">
        <v>85232924</v>
      </c>
      <c r="E9212">
        <v>59.82</v>
      </c>
      <c r="F9212">
        <v>25</v>
      </c>
      <c r="G9212">
        <v>25</v>
      </c>
      <c r="H9212" t="s">
        <v>19447</v>
      </c>
      <c r="I9212" t="s">
        <v>19447</v>
      </c>
      <c r="J9212">
        <v>16</v>
      </c>
      <c r="L9212" t="s">
        <v>2709</v>
      </c>
      <c r="M9212">
        <v>85232924</v>
      </c>
      <c r="O9212" t="s">
        <v>20205</v>
      </c>
      <c r="P9212" t="s">
        <v>19982</v>
      </c>
      <c r="Q9212" t="s">
        <v>19982</v>
      </c>
      <c r="R9212" t="s">
        <v>19447</v>
      </c>
      <c r="S9212" t="s">
        <v>19447</v>
      </c>
      <c r="T9212" t="s">
        <v>19913</v>
      </c>
    </row>
    <row r="9213" spans="2:20" x14ac:dyDescent="0.25">
      <c r="B9213" t="s">
        <v>2709</v>
      </c>
      <c r="C9213">
        <v>85232929</v>
      </c>
      <c r="E9213">
        <v>59.82</v>
      </c>
      <c r="F9213">
        <v>25</v>
      </c>
      <c r="G9213">
        <v>25</v>
      </c>
      <c r="H9213" t="s">
        <v>19447</v>
      </c>
      <c r="I9213" t="s">
        <v>19447</v>
      </c>
      <c r="J9213">
        <v>16</v>
      </c>
      <c r="L9213" t="s">
        <v>2709</v>
      </c>
      <c r="M9213">
        <v>85232929</v>
      </c>
      <c r="O9213" t="s">
        <v>20205</v>
      </c>
      <c r="P9213" t="s">
        <v>19982</v>
      </c>
      <c r="Q9213" t="s">
        <v>19982</v>
      </c>
      <c r="R9213" t="s">
        <v>19447</v>
      </c>
      <c r="S9213" t="s">
        <v>19447</v>
      </c>
      <c r="T9213" t="s">
        <v>19913</v>
      </c>
    </row>
    <row r="9214" spans="2:20" x14ac:dyDescent="0.25">
      <c r="B9214" t="s">
        <v>2709</v>
      </c>
      <c r="C9214">
        <v>85232931</v>
      </c>
      <c r="E9214">
        <v>59.82</v>
      </c>
      <c r="F9214">
        <v>25</v>
      </c>
      <c r="G9214">
        <v>15</v>
      </c>
      <c r="H9214" t="s">
        <v>19447</v>
      </c>
      <c r="I9214" t="s">
        <v>19447</v>
      </c>
      <c r="J9214">
        <v>16</v>
      </c>
      <c r="L9214" t="s">
        <v>2709</v>
      </c>
      <c r="M9214">
        <v>85232931</v>
      </c>
      <c r="O9214" t="s">
        <v>20205</v>
      </c>
      <c r="P9214" t="s">
        <v>19982</v>
      </c>
      <c r="Q9214" t="s">
        <v>19983</v>
      </c>
      <c r="R9214" t="s">
        <v>19447</v>
      </c>
      <c r="S9214" t="s">
        <v>19447</v>
      </c>
      <c r="T9214" t="s">
        <v>19913</v>
      </c>
    </row>
    <row r="9215" spans="2:20" x14ac:dyDescent="0.25">
      <c r="B9215" t="s">
        <v>2709</v>
      </c>
      <c r="C9215">
        <v>85232932</v>
      </c>
      <c r="E9215">
        <v>59.82</v>
      </c>
      <c r="F9215">
        <v>25</v>
      </c>
      <c r="G9215">
        <v>15</v>
      </c>
      <c r="H9215" t="s">
        <v>19447</v>
      </c>
      <c r="I9215" t="s">
        <v>19447</v>
      </c>
      <c r="J9215">
        <v>16</v>
      </c>
      <c r="L9215" t="s">
        <v>2709</v>
      </c>
      <c r="M9215">
        <v>85232932</v>
      </c>
      <c r="O9215" t="s">
        <v>20205</v>
      </c>
      <c r="P9215" t="s">
        <v>19982</v>
      </c>
      <c r="Q9215" t="s">
        <v>19983</v>
      </c>
      <c r="R9215" t="s">
        <v>19447</v>
      </c>
      <c r="S9215" t="s">
        <v>19447</v>
      </c>
      <c r="T9215" t="s">
        <v>19913</v>
      </c>
    </row>
    <row r="9216" spans="2:20" x14ac:dyDescent="0.25">
      <c r="B9216" t="s">
        <v>2709</v>
      </c>
      <c r="C9216">
        <v>85232932</v>
      </c>
      <c r="D9216">
        <v>1</v>
      </c>
      <c r="E9216" t="s">
        <v>19447</v>
      </c>
      <c r="F9216">
        <v>18</v>
      </c>
      <c r="G9216">
        <v>0</v>
      </c>
      <c r="H9216">
        <v>7.6</v>
      </c>
      <c r="I9216">
        <v>1.65</v>
      </c>
      <c r="J9216">
        <v>16</v>
      </c>
      <c r="L9216" t="s">
        <v>2709</v>
      </c>
      <c r="M9216">
        <v>85232932</v>
      </c>
      <c r="N9216">
        <v>1</v>
      </c>
      <c r="O9216" t="s">
        <v>19447</v>
      </c>
      <c r="P9216" t="s">
        <v>19899</v>
      </c>
      <c r="Q9216" t="s">
        <v>19900</v>
      </c>
      <c r="R9216" t="s">
        <v>19905</v>
      </c>
      <c r="S9216" t="s">
        <v>19906</v>
      </c>
      <c r="T9216" t="s">
        <v>19913</v>
      </c>
    </row>
    <row r="9217" spans="2:20" x14ac:dyDescent="0.25">
      <c r="B9217" t="s">
        <v>2709</v>
      </c>
      <c r="C9217">
        <v>85232932</v>
      </c>
      <c r="D9217">
        <v>2</v>
      </c>
      <c r="E9217" t="s">
        <v>19447</v>
      </c>
      <c r="F9217">
        <v>18</v>
      </c>
      <c r="G9217">
        <v>5</v>
      </c>
      <c r="H9217">
        <v>7.6</v>
      </c>
      <c r="I9217">
        <v>1.65</v>
      </c>
      <c r="J9217">
        <v>16</v>
      </c>
      <c r="L9217" t="s">
        <v>2709</v>
      </c>
      <c r="M9217">
        <v>85232932</v>
      </c>
      <c r="N9217">
        <v>2</v>
      </c>
      <c r="O9217" t="s">
        <v>19447</v>
      </c>
      <c r="P9217" t="s">
        <v>19899</v>
      </c>
      <c r="Q9217" t="s">
        <v>19909</v>
      </c>
      <c r="R9217" t="s">
        <v>19905</v>
      </c>
      <c r="S9217" t="s">
        <v>19906</v>
      </c>
      <c r="T9217" t="s">
        <v>19913</v>
      </c>
    </row>
    <row r="9218" spans="2:20" x14ac:dyDescent="0.25">
      <c r="B9218" t="s">
        <v>2709</v>
      </c>
      <c r="C9218">
        <v>85232933</v>
      </c>
      <c r="E9218">
        <v>59.82</v>
      </c>
      <c r="F9218">
        <v>25</v>
      </c>
      <c r="G9218">
        <v>15</v>
      </c>
      <c r="H9218" t="s">
        <v>19447</v>
      </c>
      <c r="I9218" t="s">
        <v>19447</v>
      </c>
      <c r="J9218">
        <v>16</v>
      </c>
      <c r="L9218" t="s">
        <v>2709</v>
      </c>
      <c r="M9218">
        <v>85232933</v>
      </c>
      <c r="O9218" t="s">
        <v>20205</v>
      </c>
      <c r="P9218" t="s">
        <v>19982</v>
      </c>
      <c r="Q9218" t="s">
        <v>19983</v>
      </c>
      <c r="R9218" t="s">
        <v>19447</v>
      </c>
      <c r="S9218" t="s">
        <v>19447</v>
      </c>
      <c r="T9218" t="s">
        <v>19913</v>
      </c>
    </row>
    <row r="9219" spans="2:20" x14ac:dyDescent="0.25">
      <c r="B9219" t="s">
        <v>2709</v>
      </c>
      <c r="C9219">
        <v>85232933</v>
      </c>
      <c r="D9219">
        <v>1</v>
      </c>
      <c r="E9219" t="s">
        <v>19447</v>
      </c>
      <c r="F9219">
        <v>18</v>
      </c>
      <c r="G9219">
        <v>0</v>
      </c>
      <c r="H9219">
        <v>7.6</v>
      </c>
      <c r="I9219">
        <v>1.65</v>
      </c>
      <c r="J9219">
        <v>16</v>
      </c>
      <c r="L9219" t="s">
        <v>2709</v>
      </c>
      <c r="M9219">
        <v>85232933</v>
      </c>
      <c r="N9219">
        <v>1</v>
      </c>
      <c r="O9219" t="s">
        <v>19447</v>
      </c>
      <c r="P9219" t="s">
        <v>19899</v>
      </c>
      <c r="Q9219" t="s">
        <v>19900</v>
      </c>
      <c r="R9219" t="s">
        <v>19905</v>
      </c>
      <c r="S9219" t="s">
        <v>19906</v>
      </c>
      <c r="T9219" t="s">
        <v>19913</v>
      </c>
    </row>
    <row r="9220" spans="2:20" x14ac:dyDescent="0.25">
      <c r="B9220" t="s">
        <v>2709</v>
      </c>
      <c r="C9220">
        <v>85232933</v>
      </c>
      <c r="D9220">
        <v>2</v>
      </c>
      <c r="E9220" t="s">
        <v>19447</v>
      </c>
      <c r="F9220">
        <v>18</v>
      </c>
      <c r="G9220">
        <v>5</v>
      </c>
      <c r="H9220">
        <v>7.6</v>
      </c>
      <c r="I9220">
        <v>1.65</v>
      </c>
      <c r="J9220">
        <v>16</v>
      </c>
      <c r="L9220" t="s">
        <v>2709</v>
      </c>
      <c r="M9220">
        <v>85232933</v>
      </c>
      <c r="N9220">
        <v>2</v>
      </c>
      <c r="O9220" t="s">
        <v>19447</v>
      </c>
      <c r="P9220" t="s">
        <v>19899</v>
      </c>
      <c r="Q9220" t="s">
        <v>19909</v>
      </c>
      <c r="R9220" t="s">
        <v>19905</v>
      </c>
      <c r="S9220" t="s">
        <v>19906</v>
      </c>
      <c r="T9220" t="s">
        <v>19913</v>
      </c>
    </row>
    <row r="9221" spans="2:20" x14ac:dyDescent="0.25">
      <c r="B9221" t="s">
        <v>2709</v>
      </c>
      <c r="C9221">
        <v>85232939</v>
      </c>
      <c r="E9221">
        <v>59.82</v>
      </c>
      <c r="F9221">
        <v>25</v>
      </c>
      <c r="G9221">
        <v>15</v>
      </c>
      <c r="H9221" t="s">
        <v>19447</v>
      </c>
      <c r="I9221" t="s">
        <v>19447</v>
      </c>
      <c r="J9221">
        <v>16</v>
      </c>
      <c r="L9221" t="s">
        <v>2709</v>
      </c>
      <c r="M9221">
        <v>85232939</v>
      </c>
      <c r="O9221" t="s">
        <v>20205</v>
      </c>
      <c r="P9221" t="s">
        <v>19982</v>
      </c>
      <c r="Q9221" t="s">
        <v>19983</v>
      </c>
      <c r="R9221" t="s">
        <v>19447</v>
      </c>
      <c r="S9221" t="s">
        <v>19447</v>
      </c>
      <c r="T9221" t="s">
        <v>19913</v>
      </c>
    </row>
    <row r="9222" spans="2:20" x14ac:dyDescent="0.25">
      <c r="B9222" t="s">
        <v>2709</v>
      </c>
      <c r="C9222">
        <v>85232939</v>
      </c>
      <c r="D9222">
        <v>1</v>
      </c>
      <c r="E9222" t="s">
        <v>19447</v>
      </c>
      <c r="F9222">
        <v>18</v>
      </c>
      <c r="G9222">
        <v>0</v>
      </c>
      <c r="H9222">
        <v>7.6</v>
      </c>
      <c r="I9222">
        <v>1.65</v>
      </c>
      <c r="J9222">
        <v>16</v>
      </c>
      <c r="L9222" t="s">
        <v>2709</v>
      </c>
      <c r="M9222">
        <v>85232939</v>
      </c>
      <c r="N9222">
        <v>1</v>
      </c>
      <c r="O9222" t="s">
        <v>19447</v>
      </c>
      <c r="P9222" t="s">
        <v>19899</v>
      </c>
      <c r="Q9222" t="s">
        <v>19900</v>
      </c>
      <c r="R9222" t="s">
        <v>19905</v>
      </c>
      <c r="S9222" t="s">
        <v>19906</v>
      </c>
      <c r="T9222" t="s">
        <v>19913</v>
      </c>
    </row>
    <row r="9223" spans="2:20" x14ac:dyDescent="0.25">
      <c r="B9223" t="s">
        <v>2709</v>
      </c>
      <c r="C9223">
        <v>85232939</v>
      </c>
      <c r="D9223">
        <v>2</v>
      </c>
      <c r="E9223" t="s">
        <v>19447</v>
      </c>
      <c r="F9223">
        <v>18</v>
      </c>
      <c r="G9223">
        <v>0</v>
      </c>
      <c r="H9223">
        <v>7.6</v>
      </c>
      <c r="I9223">
        <v>1.65</v>
      </c>
      <c r="J9223">
        <v>16</v>
      </c>
      <c r="L9223" t="s">
        <v>2709</v>
      </c>
      <c r="M9223">
        <v>85232939</v>
      </c>
      <c r="N9223">
        <v>2</v>
      </c>
      <c r="O9223" t="s">
        <v>19447</v>
      </c>
      <c r="P9223" t="s">
        <v>19899</v>
      </c>
      <c r="Q9223" t="s">
        <v>19900</v>
      </c>
      <c r="R9223" t="s">
        <v>19905</v>
      </c>
      <c r="S9223" t="s">
        <v>19906</v>
      </c>
      <c r="T9223" t="s">
        <v>19913</v>
      </c>
    </row>
    <row r="9224" spans="2:20" x14ac:dyDescent="0.25">
      <c r="B9224" t="s">
        <v>2709</v>
      </c>
      <c r="C9224">
        <v>85232939</v>
      </c>
      <c r="D9224">
        <v>3</v>
      </c>
      <c r="E9224" t="s">
        <v>19447</v>
      </c>
      <c r="F9224">
        <v>18</v>
      </c>
      <c r="G9224">
        <v>5</v>
      </c>
      <c r="H9224">
        <v>7.6</v>
      </c>
      <c r="I9224">
        <v>1.65</v>
      </c>
      <c r="J9224">
        <v>16</v>
      </c>
      <c r="L9224" t="s">
        <v>2709</v>
      </c>
      <c r="M9224">
        <v>85232939</v>
      </c>
      <c r="N9224">
        <v>3</v>
      </c>
      <c r="O9224" t="s">
        <v>19447</v>
      </c>
      <c r="P9224" t="s">
        <v>19899</v>
      </c>
      <c r="Q9224" t="s">
        <v>19909</v>
      </c>
      <c r="R9224" t="s">
        <v>19905</v>
      </c>
      <c r="S9224" t="s">
        <v>19906</v>
      </c>
      <c r="T9224" t="s">
        <v>19913</v>
      </c>
    </row>
    <row r="9225" spans="2:20" x14ac:dyDescent="0.25">
      <c r="B9225" t="s">
        <v>2709</v>
      </c>
      <c r="C9225">
        <v>85232990</v>
      </c>
      <c r="E9225">
        <v>59.82</v>
      </c>
      <c r="F9225">
        <v>25</v>
      </c>
      <c r="G9225">
        <v>15</v>
      </c>
      <c r="H9225" t="s">
        <v>19447</v>
      </c>
      <c r="I9225" t="s">
        <v>19447</v>
      </c>
      <c r="J9225">
        <v>16</v>
      </c>
      <c r="L9225" t="s">
        <v>2709</v>
      </c>
      <c r="M9225">
        <v>85232990</v>
      </c>
      <c r="O9225" t="s">
        <v>20205</v>
      </c>
      <c r="P9225" t="s">
        <v>19982</v>
      </c>
      <c r="Q9225" t="s">
        <v>19983</v>
      </c>
      <c r="R9225" t="s">
        <v>19447</v>
      </c>
      <c r="S9225" t="s">
        <v>19447</v>
      </c>
      <c r="T9225" t="s">
        <v>19913</v>
      </c>
    </row>
    <row r="9226" spans="2:20" x14ac:dyDescent="0.25">
      <c r="B9226" t="s">
        <v>2709</v>
      </c>
      <c r="C9226">
        <v>85234110</v>
      </c>
      <c r="E9226">
        <v>59.82</v>
      </c>
      <c r="F9226">
        <v>25</v>
      </c>
      <c r="G9226">
        <v>15</v>
      </c>
      <c r="H9226" t="s">
        <v>19447</v>
      </c>
      <c r="I9226" t="s">
        <v>19447</v>
      </c>
      <c r="J9226">
        <v>16</v>
      </c>
      <c r="L9226" t="s">
        <v>2709</v>
      </c>
      <c r="M9226">
        <v>85234110</v>
      </c>
      <c r="O9226" t="s">
        <v>20205</v>
      </c>
      <c r="P9226" t="s">
        <v>19982</v>
      </c>
      <c r="Q9226" t="s">
        <v>19983</v>
      </c>
      <c r="R9226" t="s">
        <v>19447</v>
      </c>
      <c r="S9226" t="s">
        <v>19447</v>
      </c>
      <c r="T9226" t="s">
        <v>19913</v>
      </c>
    </row>
    <row r="9227" spans="2:20" x14ac:dyDescent="0.25">
      <c r="B9227" t="s">
        <v>2709</v>
      </c>
      <c r="C9227">
        <v>85234190</v>
      </c>
      <c r="E9227">
        <v>59.82</v>
      </c>
      <c r="F9227">
        <v>25</v>
      </c>
      <c r="G9227">
        <v>15</v>
      </c>
      <c r="H9227" t="s">
        <v>19447</v>
      </c>
      <c r="I9227" t="s">
        <v>19447</v>
      </c>
      <c r="J9227">
        <v>16</v>
      </c>
      <c r="L9227" t="s">
        <v>2709</v>
      </c>
      <c r="M9227">
        <v>85234190</v>
      </c>
      <c r="O9227" t="s">
        <v>20205</v>
      </c>
      <c r="P9227" t="s">
        <v>19982</v>
      </c>
      <c r="Q9227" t="s">
        <v>19983</v>
      </c>
      <c r="R9227" t="s">
        <v>19447</v>
      </c>
      <c r="S9227" t="s">
        <v>19447</v>
      </c>
      <c r="T9227" t="s">
        <v>19913</v>
      </c>
    </row>
    <row r="9228" spans="2:20" x14ac:dyDescent="0.25">
      <c r="B9228" t="s">
        <v>2709</v>
      </c>
      <c r="C9228">
        <v>85234910</v>
      </c>
      <c r="E9228">
        <v>59.82</v>
      </c>
      <c r="F9228">
        <v>25</v>
      </c>
      <c r="G9228">
        <v>15</v>
      </c>
      <c r="H9228" t="s">
        <v>19447</v>
      </c>
      <c r="I9228" t="s">
        <v>19447</v>
      </c>
      <c r="J9228">
        <v>16</v>
      </c>
      <c r="L9228" t="s">
        <v>2709</v>
      </c>
      <c r="M9228">
        <v>85234910</v>
      </c>
      <c r="O9228" t="s">
        <v>20205</v>
      </c>
      <c r="P9228" t="s">
        <v>19982</v>
      </c>
      <c r="Q9228" t="s">
        <v>19983</v>
      </c>
      <c r="R9228" t="s">
        <v>19447</v>
      </c>
      <c r="S9228" t="s">
        <v>19447</v>
      </c>
      <c r="T9228" t="s">
        <v>19913</v>
      </c>
    </row>
    <row r="9229" spans="2:20" x14ac:dyDescent="0.25">
      <c r="B9229" t="s">
        <v>2709</v>
      </c>
      <c r="C9229">
        <v>85234920</v>
      </c>
      <c r="E9229">
        <v>59.82</v>
      </c>
      <c r="F9229">
        <v>25</v>
      </c>
      <c r="G9229">
        <v>15</v>
      </c>
      <c r="H9229" t="s">
        <v>19447</v>
      </c>
      <c r="I9229" t="s">
        <v>19447</v>
      </c>
      <c r="J9229">
        <v>16</v>
      </c>
      <c r="L9229" t="s">
        <v>2709</v>
      </c>
      <c r="M9229">
        <v>85234920</v>
      </c>
      <c r="O9229" t="s">
        <v>20205</v>
      </c>
      <c r="P9229" t="s">
        <v>19982</v>
      </c>
      <c r="Q9229" t="s">
        <v>19983</v>
      </c>
      <c r="R9229" t="s">
        <v>19447</v>
      </c>
      <c r="S9229" t="s">
        <v>19447</v>
      </c>
      <c r="T9229" t="s">
        <v>19913</v>
      </c>
    </row>
    <row r="9230" spans="2:20" x14ac:dyDescent="0.25">
      <c r="B9230" t="s">
        <v>2709</v>
      </c>
      <c r="C9230">
        <v>85234990</v>
      </c>
      <c r="E9230">
        <v>59.82</v>
      </c>
      <c r="F9230">
        <v>25</v>
      </c>
      <c r="G9230">
        <v>15</v>
      </c>
      <c r="H9230" t="s">
        <v>19447</v>
      </c>
      <c r="I9230" t="s">
        <v>19447</v>
      </c>
      <c r="J9230">
        <v>16</v>
      </c>
      <c r="L9230" t="s">
        <v>2709</v>
      </c>
      <c r="M9230">
        <v>85234990</v>
      </c>
      <c r="O9230" t="s">
        <v>20205</v>
      </c>
      <c r="P9230" t="s">
        <v>19982</v>
      </c>
      <c r="Q9230" t="s">
        <v>19983</v>
      </c>
      <c r="R9230" t="s">
        <v>19447</v>
      </c>
      <c r="S9230" t="s">
        <v>19447</v>
      </c>
      <c r="T9230" t="s">
        <v>19913</v>
      </c>
    </row>
    <row r="9231" spans="2:20" x14ac:dyDescent="0.25">
      <c r="B9231" t="s">
        <v>2709</v>
      </c>
      <c r="C9231">
        <v>85235110</v>
      </c>
      <c r="E9231">
        <v>52.65</v>
      </c>
      <c r="F9231">
        <v>25</v>
      </c>
      <c r="G9231">
        <v>15</v>
      </c>
      <c r="H9231" t="s">
        <v>19447</v>
      </c>
      <c r="I9231" t="s">
        <v>19447</v>
      </c>
      <c r="J9231">
        <v>16</v>
      </c>
      <c r="L9231" t="s">
        <v>2709</v>
      </c>
      <c r="M9231">
        <v>85235110</v>
      </c>
      <c r="O9231" t="s">
        <v>20206</v>
      </c>
      <c r="P9231" t="s">
        <v>19982</v>
      </c>
      <c r="Q9231" t="s">
        <v>19983</v>
      </c>
      <c r="R9231" t="s">
        <v>19447</v>
      </c>
      <c r="S9231" t="s">
        <v>19447</v>
      </c>
      <c r="T9231" t="s">
        <v>19913</v>
      </c>
    </row>
    <row r="9232" spans="2:20" x14ac:dyDescent="0.25">
      <c r="B9232" t="s">
        <v>2709</v>
      </c>
      <c r="C9232">
        <v>85235110</v>
      </c>
      <c r="D9232">
        <v>1</v>
      </c>
      <c r="E9232" t="s">
        <v>19447</v>
      </c>
      <c r="F9232">
        <v>18</v>
      </c>
      <c r="G9232">
        <v>10</v>
      </c>
      <c r="H9232">
        <v>7.6</v>
      </c>
      <c r="I9232">
        <v>1.65</v>
      </c>
      <c r="J9232">
        <v>16</v>
      </c>
      <c r="L9232" t="s">
        <v>2709</v>
      </c>
      <c r="M9232">
        <v>85235110</v>
      </c>
      <c r="N9232">
        <v>1</v>
      </c>
      <c r="O9232" t="s">
        <v>19447</v>
      </c>
      <c r="P9232" t="s">
        <v>19899</v>
      </c>
      <c r="Q9232" t="s">
        <v>19904</v>
      </c>
      <c r="R9232" t="s">
        <v>19905</v>
      </c>
      <c r="S9232" t="s">
        <v>19906</v>
      </c>
      <c r="T9232" t="s">
        <v>19913</v>
      </c>
    </row>
    <row r="9233" spans="2:20" x14ac:dyDescent="0.25">
      <c r="B9233" t="s">
        <v>2709</v>
      </c>
      <c r="C9233">
        <v>85235110</v>
      </c>
      <c r="D9233">
        <v>2</v>
      </c>
      <c r="E9233" t="s">
        <v>19447</v>
      </c>
      <c r="F9233">
        <v>18</v>
      </c>
      <c r="G9233">
        <v>2</v>
      </c>
      <c r="H9233">
        <v>7.6</v>
      </c>
      <c r="I9233">
        <v>1.65</v>
      </c>
      <c r="J9233">
        <v>16</v>
      </c>
      <c r="L9233" t="s">
        <v>2709</v>
      </c>
      <c r="M9233">
        <v>85235110</v>
      </c>
      <c r="N9233">
        <v>2</v>
      </c>
      <c r="O9233" t="s">
        <v>19447</v>
      </c>
      <c r="P9233" t="s">
        <v>19899</v>
      </c>
      <c r="Q9233" t="s">
        <v>19901</v>
      </c>
      <c r="R9233" t="s">
        <v>19905</v>
      </c>
      <c r="S9233" t="s">
        <v>19906</v>
      </c>
      <c r="T9233" t="s">
        <v>19913</v>
      </c>
    </row>
    <row r="9234" spans="2:20" x14ac:dyDescent="0.25">
      <c r="B9234" t="s">
        <v>2709</v>
      </c>
      <c r="C9234">
        <v>85235190</v>
      </c>
      <c r="E9234">
        <v>147.97</v>
      </c>
      <c r="F9234">
        <v>25</v>
      </c>
      <c r="G9234">
        <v>15</v>
      </c>
      <c r="H9234" t="s">
        <v>19447</v>
      </c>
      <c r="I9234" t="s">
        <v>19447</v>
      </c>
      <c r="J9234">
        <v>16</v>
      </c>
      <c r="L9234" t="s">
        <v>2709</v>
      </c>
      <c r="M9234">
        <v>85235190</v>
      </c>
      <c r="O9234" t="s">
        <v>20138</v>
      </c>
      <c r="P9234" t="s">
        <v>19982</v>
      </c>
      <c r="Q9234" t="s">
        <v>19983</v>
      </c>
      <c r="R9234" t="s">
        <v>19447</v>
      </c>
      <c r="S9234" t="s">
        <v>19447</v>
      </c>
      <c r="T9234" t="s">
        <v>19913</v>
      </c>
    </row>
    <row r="9235" spans="2:20" x14ac:dyDescent="0.25">
      <c r="B9235" t="s">
        <v>2709</v>
      </c>
      <c r="C9235">
        <v>85235200</v>
      </c>
      <c r="E9235">
        <v>52.65</v>
      </c>
      <c r="F9235">
        <v>25</v>
      </c>
      <c r="G9235">
        <v>5</v>
      </c>
      <c r="H9235" t="s">
        <v>19447</v>
      </c>
      <c r="I9235" t="s">
        <v>19447</v>
      </c>
      <c r="J9235">
        <v>6</v>
      </c>
      <c r="L9235" t="s">
        <v>2709</v>
      </c>
      <c r="M9235">
        <v>85235200</v>
      </c>
      <c r="O9235" t="s">
        <v>20206</v>
      </c>
      <c r="P9235" t="s">
        <v>19982</v>
      </c>
      <c r="Q9235" t="s">
        <v>19909</v>
      </c>
      <c r="R9235" t="s">
        <v>19447</v>
      </c>
      <c r="S9235" t="s">
        <v>19447</v>
      </c>
      <c r="T9235" t="s">
        <v>19907</v>
      </c>
    </row>
    <row r="9236" spans="2:20" x14ac:dyDescent="0.25">
      <c r="B9236" t="s">
        <v>2709</v>
      </c>
      <c r="C9236">
        <v>85235910</v>
      </c>
      <c r="E9236">
        <v>147.97</v>
      </c>
      <c r="F9236">
        <v>25</v>
      </c>
      <c r="G9236">
        <v>10</v>
      </c>
      <c r="H9236" t="s">
        <v>19447</v>
      </c>
      <c r="I9236" t="s">
        <v>19447</v>
      </c>
      <c r="J9236">
        <v>12</v>
      </c>
      <c r="L9236" t="s">
        <v>2709</v>
      </c>
      <c r="M9236">
        <v>85235910</v>
      </c>
      <c r="O9236" t="s">
        <v>20138</v>
      </c>
      <c r="P9236" t="s">
        <v>19982</v>
      </c>
      <c r="Q9236" t="s">
        <v>19904</v>
      </c>
      <c r="R9236" t="s">
        <v>19447</v>
      </c>
      <c r="S9236" t="s">
        <v>19447</v>
      </c>
      <c r="T9236" t="s">
        <v>19903</v>
      </c>
    </row>
    <row r="9237" spans="2:20" x14ac:dyDescent="0.25">
      <c r="B9237" t="s">
        <v>2709</v>
      </c>
      <c r="C9237">
        <v>85235990</v>
      </c>
      <c r="E9237">
        <v>147.97</v>
      </c>
      <c r="F9237">
        <v>25</v>
      </c>
      <c r="G9237">
        <v>15</v>
      </c>
      <c r="H9237" t="s">
        <v>19447</v>
      </c>
      <c r="I9237" t="s">
        <v>19447</v>
      </c>
      <c r="J9237">
        <v>16</v>
      </c>
      <c r="L9237" t="s">
        <v>2709</v>
      </c>
      <c r="M9237">
        <v>85235990</v>
      </c>
      <c r="O9237" t="s">
        <v>20138</v>
      </c>
      <c r="P9237" t="s">
        <v>19982</v>
      </c>
      <c r="Q9237" t="s">
        <v>19983</v>
      </c>
      <c r="R9237" t="s">
        <v>19447</v>
      </c>
      <c r="S9237" t="s">
        <v>19447</v>
      </c>
      <c r="T9237" t="s">
        <v>19913</v>
      </c>
    </row>
    <row r="9238" spans="2:20" x14ac:dyDescent="0.25">
      <c r="B9238" t="s">
        <v>2709</v>
      </c>
      <c r="C9238">
        <v>85238000</v>
      </c>
      <c r="E9238">
        <v>59.82</v>
      </c>
      <c r="F9238">
        <v>25</v>
      </c>
      <c r="G9238">
        <v>15</v>
      </c>
      <c r="H9238" t="s">
        <v>19447</v>
      </c>
      <c r="I9238" t="s">
        <v>19447</v>
      </c>
      <c r="J9238">
        <v>16</v>
      </c>
      <c r="L9238" t="s">
        <v>2709</v>
      </c>
      <c r="M9238">
        <v>85238000</v>
      </c>
      <c r="O9238" t="s">
        <v>20205</v>
      </c>
      <c r="P9238" t="s">
        <v>19982</v>
      </c>
      <c r="Q9238" t="s">
        <v>19983</v>
      </c>
      <c r="R9238" t="s">
        <v>19447</v>
      </c>
      <c r="S9238" t="s">
        <v>19447</v>
      </c>
      <c r="T9238" t="s">
        <v>19913</v>
      </c>
    </row>
    <row r="9239" spans="2:20" x14ac:dyDescent="0.25">
      <c r="B9239" t="s">
        <v>2709</v>
      </c>
      <c r="C9239">
        <v>85255011</v>
      </c>
      <c r="E9239">
        <v>71.78</v>
      </c>
      <c r="F9239">
        <v>25</v>
      </c>
      <c r="G9239">
        <v>15</v>
      </c>
      <c r="H9239" t="s">
        <v>19447</v>
      </c>
      <c r="I9239" t="s">
        <v>19447</v>
      </c>
      <c r="J9239">
        <v>0</v>
      </c>
      <c r="L9239" t="s">
        <v>2709</v>
      </c>
      <c r="M9239">
        <v>85255011</v>
      </c>
      <c r="O9239" t="s">
        <v>20056</v>
      </c>
      <c r="P9239" t="s">
        <v>19982</v>
      </c>
      <c r="Q9239" t="s">
        <v>19983</v>
      </c>
      <c r="R9239" t="s">
        <v>19447</v>
      </c>
      <c r="S9239" t="s">
        <v>19447</v>
      </c>
      <c r="T9239" t="s">
        <v>19900</v>
      </c>
    </row>
    <row r="9240" spans="2:20" x14ac:dyDescent="0.25">
      <c r="B9240" t="s">
        <v>2709</v>
      </c>
      <c r="C9240">
        <v>85255012</v>
      </c>
      <c r="E9240">
        <v>71.78</v>
      </c>
      <c r="F9240">
        <v>25</v>
      </c>
      <c r="G9240">
        <v>15</v>
      </c>
      <c r="H9240" t="s">
        <v>19447</v>
      </c>
      <c r="I9240" t="s">
        <v>19447</v>
      </c>
      <c r="J9240">
        <v>0</v>
      </c>
      <c r="L9240" t="s">
        <v>2709</v>
      </c>
      <c r="M9240">
        <v>85255012</v>
      </c>
      <c r="O9240" t="s">
        <v>20056</v>
      </c>
      <c r="P9240" t="s">
        <v>19982</v>
      </c>
      <c r="Q9240" t="s">
        <v>19983</v>
      </c>
      <c r="R9240" t="s">
        <v>19447</v>
      </c>
      <c r="S9240" t="s">
        <v>19447</v>
      </c>
      <c r="T9240" t="s">
        <v>19900</v>
      </c>
    </row>
    <row r="9241" spans="2:20" x14ac:dyDescent="0.25">
      <c r="B9241" t="s">
        <v>2709</v>
      </c>
      <c r="C9241">
        <v>85255019</v>
      </c>
      <c r="E9241">
        <v>71.78</v>
      </c>
      <c r="F9241">
        <v>25</v>
      </c>
      <c r="G9241">
        <v>15</v>
      </c>
      <c r="H9241" t="s">
        <v>19447</v>
      </c>
      <c r="I9241" t="s">
        <v>19447</v>
      </c>
      <c r="J9241">
        <v>12</v>
      </c>
      <c r="L9241" t="s">
        <v>2709</v>
      </c>
      <c r="M9241">
        <v>85255019</v>
      </c>
      <c r="O9241" t="s">
        <v>20056</v>
      </c>
      <c r="P9241" t="s">
        <v>19982</v>
      </c>
      <c r="Q9241" t="s">
        <v>19983</v>
      </c>
      <c r="R9241" t="s">
        <v>19447</v>
      </c>
      <c r="S9241" t="s">
        <v>19447</v>
      </c>
      <c r="T9241" t="s">
        <v>19903</v>
      </c>
    </row>
    <row r="9242" spans="2:20" x14ac:dyDescent="0.25">
      <c r="B9242" t="s">
        <v>2709</v>
      </c>
      <c r="C9242">
        <v>85255021</v>
      </c>
      <c r="E9242">
        <v>147.97</v>
      </c>
      <c r="F9242">
        <v>25</v>
      </c>
      <c r="G9242">
        <v>15</v>
      </c>
      <c r="H9242" t="s">
        <v>19447</v>
      </c>
      <c r="I9242" t="s">
        <v>19447</v>
      </c>
      <c r="J9242">
        <v>12</v>
      </c>
      <c r="L9242" t="s">
        <v>2709</v>
      </c>
      <c r="M9242">
        <v>85255021</v>
      </c>
      <c r="O9242" t="s">
        <v>20138</v>
      </c>
      <c r="P9242" t="s">
        <v>19982</v>
      </c>
      <c r="Q9242" t="s">
        <v>19983</v>
      </c>
      <c r="R9242" t="s">
        <v>19447</v>
      </c>
      <c r="S9242" t="s">
        <v>19447</v>
      </c>
      <c r="T9242" t="s">
        <v>19903</v>
      </c>
    </row>
    <row r="9243" spans="2:20" x14ac:dyDescent="0.25">
      <c r="B9243" t="s">
        <v>2709</v>
      </c>
      <c r="C9243">
        <v>85255022</v>
      </c>
      <c r="E9243">
        <v>147.97</v>
      </c>
      <c r="F9243">
        <v>25</v>
      </c>
      <c r="G9243">
        <v>15</v>
      </c>
      <c r="H9243" t="s">
        <v>19447</v>
      </c>
      <c r="I9243" t="s">
        <v>19447</v>
      </c>
      <c r="J9243">
        <v>0</v>
      </c>
      <c r="L9243" t="s">
        <v>2709</v>
      </c>
      <c r="M9243">
        <v>85255022</v>
      </c>
      <c r="O9243" t="s">
        <v>20138</v>
      </c>
      <c r="P9243" t="s">
        <v>19982</v>
      </c>
      <c r="Q9243" t="s">
        <v>19983</v>
      </c>
      <c r="R9243" t="s">
        <v>19447</v>
      </c>
      <c r="S9243" t="s">
        <v>19447</v>
      </c>
      <c r="T9243" t="s">
        <v>19900</v>
      </c>
    </row>
    <row r="9244" spans="2:20" x14ac:dyDescent="0.25">
      <c r="B9244" t="s">
        <v>2709</v>
      </c>
      <c r="C9244">
        <v>85255023</v>
      </c>
      <c r="E9244">
        <v>147.97</v>
      </c>
      <c r="F9244">
        <v>25</v>
      </c>
      <c r="G9244">
        <v>15</v>
      </c>
      <c r="H9244" t="s">
        <v>19447</v>
      </c>
      <c r="I9244" t="s">
        <v>19447</v>
      </c>
      <c r="J9244">
        <v>12</v>
      </c>
      <c r="L9244" t="s">
        <v>2709</v>
      </c>
      <c r="M9244">
        <v>85255023</v>
      </c>
      <c r="O9244" t="s">
        <v>20138</v>
      </c>
      <c r="P9244" t="s">
        <v>19982</v>
      </c>
      <c r="Q9244" t="s">
        <v>19983</v>
      </c>
      <c r="R9244" t="s">
        <v>19447</v>
      </c>
      <c r="S9244" t="s">
        <v>19447</v>
      </c>
      <c r="T9244" t="s">
        <v>19903</v>
      </c>
    </row>
    <row r="9245" spans="2:20" x14ac:dyDescent="0.25">
      <c r="B9245" t="s">
        <v>2709</v>
      </c>
      <c r="C9245">
        <v>85255024</v>
      </c>
      <c r="E9245">
        <v>147.97</v>
      </c>
      <c r="F9245">
        <v>25</v>
      </c>
      <c r="G9245">
        <v>15</v>
      </c>
      <c r="H9245" t="s">
        <v>19447</v>
      </c>
      <c r="I9245" t="s">
        <v>19447</v>
      </c>
      <c r="J9245">
        <v>12</v>
      </c>
      <c r="L9245" t="s">
        <v>2709</v>
      </c>
      <c r="M9245">
        <v>85255024</v>
      </c>
      <c r="O9245" t="s">
        <v>20138</v>
      </c>
      <c r="P9245" t="s">
        <v>19982</v>
      </c>
      <c r="Q9245" t="s">
        <v>19983</v>
      </c>
      <c r="R9245" t="s">
        <v>19447</v>
      </c>
      <c r="S9245" t="s">
        <v>19447</v>
      </c>
      <c r="T9245" t="s">
        <v>19903</v>
      </c>
    </row>
    <row r="9246" spans="2:20" x14ac:dyDescent="0.25">
      <c r="B9246" t="s">
        <v>2709</v>
      </c>
      <c r="C9246">
        <v>85255029</v>
      </c>
      <c r="E9246">
        <v>147.97</v>
      </c>
      <c r="F9246">
        <v>25</v>
      </c>
      <c r="G9246">
        <v>15</v>
      </c>
      <c r="H9246" t="s">
        <v>19447</v>
      </c>
      <c r="I9246" t="s">
        <v>19447</v>
      </c>
      <c r="J9246">
        <v>12</v>
      </c>
      <c r="L9246" t="s">
        <v>2709</v>
      </c>
      <c r="M9246">
        <v>85255029</v>
      </c>
      <c r="O9246" t="s">
        <v>20138</v>
      </c>
      <c r="P9246" t="s">
        <v>19982</v>
      </c>
      <c r="Q9246" t="s">
        <v>19983</v>
      </c>
      <c r="R9246" t="s">
        <v>19447</v>
      </c>
      <c r="S9246" t="s">
        <v>19447</v>
      </c>
      <c r="T9246" t="s">
        <v>19903</v>
      </c>
    </row>
    <row r="9247" spans="2:20" x14ac:dyDescent="0.25">
      <c r="B9247" t="s">
        <v>2709</v>
      </c>
      <c r="C9247">
        <v>85255029</v>
      </c>
      <c r="D9247">
        <v>1</v>
      </c>
      <c r="E9247" t="s">
        <v>19447</v>
      </c>
      <c r="F9247">
        <v>18</v>
      </c>
      <c r="G9247">
        <v>0</v>
      </c>
      <c r="H9247">
        <v>7.6</v>
      </c>
      <c r="I9247">
        <v>1.65</v>
      </c>
      <c r="J9247">
        <v>12</v>
      </c>
      <c r="L9247" t="s">
        <v>2709</v>
      </c>
      <c r="M9247">
        <v>85255029</v>
      </c>
      <c r="N9247">
        <v>1</v>
      </c>
      <c r="O9247" t="s">
        <v>19447</v>
      </c>
      <c r="P9247" t="s">
        <v>19899</v>
      </c>
      <c r="Q9247" t="s">
        <v>19900</v>
      </c>
      <c r="R9247" t="s">
        <v>19905</v>
      </c>
      <c r="S9247" t="s">
        <v>19906</v>
      </c>
      <c r="T9247" t="s">
        <v>19903</v>
      </c>
    </row>
    <row r="9248" spans="2:20" x14ac:dyDescent="0.25">
      <c r="B9248" t="s">
        <v>2709</v>
      </c>
      <c r="C9248">
        <v>85255029</v>
      </c>
      <c r="D9248">
        <v>2</v>
      </c>
      <c r="E9248" t="s">
        <v>19447</v>
      </c>
      <c r="F9248">
        <v>18</v>
      </c>
      <c r="G9248">
        <v>0</v>
      </c>
      <c r="H9248">
        <v>7.6</v>
      </c>
      <c r="I9248">
        <v>1.65</v>
      </c>
      <c r="J9248">
        <v>12</v>
      </c>
      <c r="L9248" t="s">
        <v>2709</v>
      </c>
      <c r="M9248">
        <v>85255029</v>
      </c>
      <c r="N9248">
        <v>2</v>
      </c>
      <c r="O9248" t="s">
        <v>19447</v>
      </c>
      <c r="P9248" t="s">
        <v>19899</v>
      </c>
      <c r="Q9248" t="s">
        <v>19900</v>
      </c>
      <c r="R9248" t="s">
        <v>19905</v>
      </c>
      <c r="S9248" t="s">
        <v>19906</v>
      </c>
      <c r="T9248" t="s">
        <v>19903</v>
      </c>
    </row>
    <row r="9249" spans="2:20" x14ac:dyDescent="0.25">
      <c r="B9249" t="s">
        <v>2709</v>
      </c>
      <c r="C9249">
        <v>85256010</v>
      </c>
      <c r="E9249">
        <v>71.78</v>
      </c>
      <c r="F9249">
        <v>25</v>
      </c>
      <c r="G9249">
        <v>15</v>
      </c>
      <c r="H9249" t="s">
        <v>19447</v>
      </c>
      <c r="I9249" t="s">
        <v>19447</v>
      </c>
      <c r="J9249">
        <v>12</v>
      </c>
      <c r="L9249" t="s">
        <v>2709</v>
      </c>
      <c r="M9249">
        <v>85256010</v>
      </c>
      <c r="O9249" t="s">
        <v>20056</v>
      </c>
      <c r="P9249" t="s">
        <v>19982</v>
      </c>
      <c r="Q9249" t="s">
        <v>19983</v>
      </c>
      <c r="R9249" t="s">
        <v>19447</v>
      </c>
      <c r="S9249" t="s">
        <v>19447</v>
      </c>
      <c r="T9249" t="s">
        <v>19903</v>
      </c>
    </row>
    <row r="9250" spans="2:20" x14ac:dyDescent="0.25">
      <c r="B9250" t="s">
        <v>2709</v>
      </c>
      <c r="C9250">
        <v>85256010</v>
      </c>
      <c r="D9250">
        <v>1</v>
      </c>
      <c r="E9250" t="s">
        <v>19447</v>
      </c>
      <c r="F9250">
        <v>18</v>
      </c>
      <c r="G9250">
        <v>0</v>
      </c>
      <c r="H9250">
        <v>7.6</v>
      </c>
      <c r="I9250">
        <v>1.65</v>
      </c>
      <c r="J9250">
        <v>12</v>
      </c>
      <c r="L9250" t="s">
        <v>2709</v>
      </c>
      <c r="M9250">
        <v>85256010</v>
      </c>
      <c r="N9250">
        <v>1</v>
      </c>
      <c r="O9250" t="s">
        <v>19447</v>
      </c>
      <c r="P9250" t="s">
        <v>19899</v>
      </c>
      <c r="Q9250" t="s">
        <v>19900</v>
      </c>
      <c r="R9250" t="s">
        <v>19905</v>
      </c>
      <c r="S9250" t="s">
        <v>19906</v>
      </c>
      <c r="T9250" t="s">
        <v>19903</v>
      </c>
    </row>
    <row r="9251" spans="2:20" x14ac:dyDescent="0.25">
      <c r="B9251" t="s">
        <v>2709</v>
      </c>
      <c r="C9251">
        <v>85256020</v>
      </c>
      <c r="E9251">
        <v>147.97</v>
      </c>
      <c r="F9251">
        <v>25</v>
      </c>
      <c r="G9251">
        <v>15</v>
      </c>
      <c r="H9251" t="s">
        <v>19447</v>
      </c>
      <c r="I9251" t="s">
        <v>19447</v>
      </c>
      <c r="J9251">
        <v>0</v>
      </c>
      <c r="L9251" t="s">
        <v>2709</v>
      </c>
      <c r="M9251">
        <v>85256020</v>
      </c>
      <c r="O9251" t="s">
        <v>20138</v>
      </c>
      <c r="P9251" t="s">
        <v>19982</v>
      </c>
      <c r="Q9251" t="s">
        <v>19983</v>
      </c>
      <c r="R9251" t="s">
        <v>19447</v>
      </c>
      <c r="S9251" t="s">
        <v>19447</v>
      </c>
      <c r="T9251" t="s">
        <v>19900</v>
      </c>
    </row>
    <row r="9252" spans="2:20" x14ac:dyDescent="0.25">
      <c r="B9252" t="s">
        <v>2709</v>
      </c>
      <c r="C9252">
        <v>85256020</v>
      </c>
      <c r="D9252">
        <v>1</v>
      </c>
      <c r="E9252" t="s">
        <v>19447</v>
      </c>
      <c r="F9252">
        <v>18</v>
      </c>
      <c r="G9252">
        <v>0</v>
      </c>
      <c r="H9252">
        <v>7.6</v>
      </c>
      <c r="I9252">
        <v>1.65</v>
      </c>
      <c r="J9252">
        <v>0</v>
      </c>
      <c r="L9252" t="s">
        <v>2709</v>
      </c>
      <c r="M9252">
        <v>85256020</v>
      </c>
      <c r="N9252">
        <v>1</v>
      </c>
      <c r="O9252" t="s">
        <v>19447</v>
      </c>
      <c r="P9252" t="s">
        <v>19899</v>
      </c>
      <c r="Q9252" t="s">
        <v>19900</v>
      </c>
      <c r="R9252" t="s">
        <v>19905</v>
      </c>
      <c r="S9252" t="s">
        <v>19906</v>
      </c>
      <c r="T9252" t="s">
        <v>19900</v>
      </c>
    </row>
    <row r="9253" spans="2:20" x14ac:dyDescent="0.25">
      <c r="B9253" t="s">
        <v>2709</v>
      </c>
      <c r="C9253">
        <v>85256090</v>
      </c>
      <c r="E9253">
        <v>147.97</v>
      </c>
      <c r="F9253">
        <v>25</v>
      </c>
      <c r="G9253">
        <v>15</v>
      </c>
      <c r="H9253" t="s">
        <v>19447</v>
      </c>
      <c r="I9253" t="s">
        <v>19447</v>
      </c>
      <c r="J9253">
        <v>12</v>
      </c>
      <c r="L9253" t="s">
        <v>2709</v>
      </c>
      <c r="M9253">
        <v>85256090</v>
      </c>
      <c r="O9253" t="s">
        <v>20138</v>
      </c>
      <c r="P9253" t="s">
        <v>19982</v>
      </c>
      <c r="Q9253" t="s">
        <v>19983</v>
      </c>
      <c r="R9253" t="s">
        <v>19447</v>
      </c>
      <c r="S9253" t="s">
        <v>19447</v>
      </c>
      <c r="T9253" t="s">
        <v>19903</v>
      </c>
    </row>
    <row r="9254" spans="2:20" x14ac:dyDescent="0.25">
      <c r="B9254" t="s">
        <v>2709</v>
      </c>
      <c r="C9254">
        <v>85256090</v>
      </c>
      <c r="D9254">
        <v>1</v>
      </c>
      <c r="E9254" t="s">
        <v>19447</v>
      </c>
      <c r="F9254">
        <v>18</v>
      </c>
      <c r="G9254">
        <v>0</v>
      </c>
      <c r="H9254">
        <v>7.6</v>
      </c>
      <c r="I9254">
        <v>1.65</v>
      </c>
      <c r="J9254">
        <v>12</v>
      </c>
      <c r="L9254" t="s">
        <v>2709</v>
      </c>
      <c r="M9254">
        <v>85256090</v>
      </c>
      <c r="N9254">
        <v>1</v>
      </c>
      <c r="O9254" t="s">
        <v>19447</v>
      </c>
      <c r="P9254" t="s">
        <v>19899</v>
      </c>
      <c r="Q9254" t="s">
        <v>19900</v>
      </c>
      <c r="R9254" t="s">
        <v>19905</v>
      </c>
      <c r="S9254" t="s">
        <v>19906</v>
      </c>
      <c r="T9254" t="s">
        <v>19903</v>
      </c>
    </row>
    <row r="9255" spans="2:20" x14ac:dyDescent="0.25">
      <c r="B9255" t="s">
        <v>2709</v>
      </c>
      <c r="C9255">
        <v>85258011</v>
      </c>
      <c r="E9255">
        <v>147.97</v>
      </c>
      <c r="F9255">
        <v>25</v>
      </c>
      <c r="G9255">
        <v>20</v>
      </c>
      <c r="H9255" t="s">
        <v>19447</v>
      </c>
      <c r="I9255" t="s">
        <v>19447</v>
      </c>
      <c r="J9255">
        <v>0</v>
      </c>
      <c r="L9255" t="s">
        <v>2709</v>
      </c>
      <c r="M9255">
        <v>85258011</v>
      </c>
      <c r="O9255" t="s">
        <v>20138</v>
      </c>
      <c r="P9255" t="s">
        <v>19982</v>
      </c>
      <c r="Q9255" t="s">
        <v>19934</v>
      </c>
      <c r="R9255" t="s">
        <v>19447</v>
      </c>
      <c r="S9255" t="s">
        <v>19447</v>
      </c>
      <c r="T9255" t="s">
        <v>19900</v>
      </c>
    </row>
    <row r="9256" spans="2:20" x14ac:dyDescent="0.25">
      <c r="B9256" t="s">
        <v>2709</v>
      </c>
      <c r="C9256">
        <v>85258012</v>
      </c>
      <c r="E9256">
        <v>147.97</v>
      </c>
      <c r="F9256">
        <v>25</v>
      </c>
      <c r="G9256">
        <v>20</v>
      </c>
      <c r="H9256" t="s">
        <v>19447</v>
      </c>
      <c r="I9256" t="s">
        <v>19447</v>
      </c>
      <c r="J9256">
        <v>0</v>
      </c>
      <c r="L9256" t="s">
        <v>2709</v>
      </c>
      <c r="M9256">
        <v>85258012</v>
      </c>
      <c r="O9256" t="s">
        <v>20138</v>
      </c>
      <c r="P9256" t="s">
        <v>19982</v>
      </c>
      <c r="Q9256" t="s">
        <v>19934</v>
      </c>
      <c r="R9256" t="s">
        <v>19447</v>
      </c>
      <c r="S9256" t="s">
        <v>19447</v>
      </c>
      <c r="T9256" t="s">
        <v>19900</v>
      </c>
    </row>
    <row r="9257" spans="2:20" x14ac:dyDescent="0.25">
      <c r="B9257" t="s">
        <v>2709</v>
      </c>
      <c r="C9257">
        <v>85258013</v>
      </c>
      <c r="E9257">
        <v>147.97</v>
      </c>
      <c r="F9257">
        <v>25</v>
      </c>
      <c r="G9257">
        <v>20</v>
      </c>
      <c r="H9257" t="s">
        <v>19447</v>
      </c>
      <c r="I9257" t="s">
        <v>19447</v>
      </c>
      <c r="J9257">
        <v>0</v>
      </c>
      <c r="L9257" t="s">
        <v>2709</v>
      </c>
      <c r="M9257">
        <v>85258013</v>
      </c>
      <c r="O9257" t="s">
        <v>20138</v>
      </c>
      <c r="P9257" t="s">
        <v>19982</v>
      </c>
      <c r="Q9257" t="s">
        <v>19934</v>
      </c>
      <c r="R9257" t="s">
        <v>19447</v>
      </c>
      <c r="S9257" t="s">
        <v>19447</v>
      </c>
      <c r="T9257" t="s">
        <v>19900</v>
      </c>
    </row>
    <row r="9258" spans="2:20" x14ac:dyDescent="0.25">
      <c r="B9258" t="s">
        <v>2709</v>
      </c>
      <c r="C9258">
        <v>85258019</v>
      </c>
      <c r="E9258">
        <v>147.97</v>
      </c>
      <c r="F9258">
        <v>25</v>
      </c>
      <c r="G9258">
        <v>20</v>
      </c>
      <c r="H9258" t="s">
        <v>19447</v>
      </c>
      <c r="I9258" t="s">
        <v>19447</v>
      </c>
      <c r="J9258">
        <v>20</v>
      </c>
      <c r="L9258" t="s">
        <v>2709</v>
      </c>
      <c r="M9258">
        <v>85258019</v>
      </c>
      <c r="O9258" t="s">
        <v>20138</v>
      </c>
      <c r="P9258" t="s">
        <v>19982</v>
      </c>
      <c r="Q9258" t="s">
        <v>19934</v>
      </c>
      <c r="R9258" t="s">
        <v>19447</v>
      </c>
      <c r="S9258" t="s">
        <v>19447</v>
      </c>
      <c r="T9258" t="s">
        <v>19934</v>
      </c>
    </row>
    <row r="9259" spans="2:20" x14ac:dyDescent="0.25">
      <c r="B9259" t="s">
        <v>2709</v>
      </c>
      <c r="C9259">
        <v>85258019</v>
      </c>
      <c r="D9259">
        <v>1</v>
      </c>
      <c r="E9259" t="s">
        <v>19447</v>
      </c>
      <c r="F9259">
        <v>18</v>
      </c>
      <c r="G9259">
        <v>0</v>
      </c>
      <c r="H9259">
        <v>7.6</v>
      </c>
      <c r="I9259">
        <v>1.65</v>
      </c>
      <c r="J9259">
        <v>20</v>
      </c>
      <c r="L9259" t="s">
        <v>2709</v>
      </c>
      <c r="M9259">
        <v>85258019</v>
      </c>
      <c r="N9259">
        <v>1</v>
      </c>
      <c r="O9259" t="s">
        <v>19447</v>
      </c>
      <c r="P9259" t="s">
        <v>19899</v>
      </c>
      <c r="Q9259" t="s">
        <v>19900</v>
      </c>
      <c r="R9259" t="s">
        <v>19905</v>
      </c>
      <c r="S9259" t="s">
        <v>19906</v>
      </c>
      <c r="T9259" t="s">
        <v>19934</v>
      </c>
    </row>
    <row r="9260" spans="2:20" x14ac:dyDescent="0.25">
      <c r="B9260" t="s">
        <v>2709</v>
      </c>
      <c r="C9260">
        <v>85258021</v>
      </c>
      <c r="E9260">
        <v>147.97</v>
      </c>
      <c r="F9260">
        <v>25</v>
      </c>
      <c r="G9260">
        <v>20</v>
      </c>
      <c r="H9260" t="s">
        <v>19447</v>
      </c>
      <c r="I9260" t="s">
        <v>19447</v>
      </c>
      <c r="J9260">
        <v>0</v>
      </c>
      <c r="L9260" t="s">
        <v>2709</v>
      </c>
      <c r="M9260">
        <v>85258021</v>
      </c>
      <c r="O9260" t="s">
        <v>20138</v>
      </c>
      <c r="P9260" t="s">
        <v>19982</v>
      </c>
      <c r="Q9260" t="s">
        <v>19934</v>
      </c>
      <c r="R9260" t="s">
        <v>19447</v>
      </c>
      <c r="S9260" t="s">
        <v>19447</v>
      </c>
      <c r="T9260" t="s">
        <v>19900</v>
      </c>
    </row>
    <row r="9261" spans="2:20" x14ac:dyDescent="0.25">
      <c r="B9261" t="s">
        <v>2709</v>
      </c>
      <c r="C9261">
        <v>85258022</v>
      </c>
      <c r="E9261">
        <v>147.97</v>
      </c>
      <c r="F9261">
        <v>25</v>
      </c>
      <c r="G9261">
        <v>20</v>
      </c>
      <c r="H9261" t="s">
        <v>19447</v>
      </c>
      <c r="I9261" t="s">
        <v>19447</v>
      </c>
      <c r="J9261">
        <v>0</v>
      </c>
      <c r="L9261" t="s">
        <v>2709</v>
      </c>
      <c r="M9261">
        <v>85258022</v>
      </c>
      <c r="O9261" t="s">
        <v>20138</v>
      </c>
      <c r="P9261" t="s">
        <v>19982</v>
      </c>
      <c r="Q9261" t="s">
        <v>19934</v>
      </c>
      <c r="R9261" t="s">
        <v>19447</v>
      </c>
      <c r="S9261" t="s">
        <v>19447</v>
      </c>
      <c r="T9261" t="s">
        <v>19900</v>
      </c>
    </row>
    <row r="9262" spans="2:20" x14ac:dyDescent="0.25">
      <c r="B9262" t="s">
        <v>2709</v>
      </c>
      <c r="C9262">
        <v>85258029</v>
      </c>
      <c r="E9262">
        <v>25.11</v>
      </c>
      <c r="F9262">
        <v>25</v>
      </c>
      <c r="G9262">
        <v>20</v>
      </c>
      <c r="H9262" t="s">
        <v>19447</v>
      </c>
      <c r="I9262" t="s">
        <v>19447</v>
      </c>
      <c r="J9262">
        <v>20</v>
      </c>
      <c r="L9262" t="s">
        <v>2709</v>
      </c>
      <c r="M9262">
        <v>85258029</v>
      </c>
      <c r="O9262" t="s">
        <v>20207</v>
      </c>
      <c r="P9262" t="s">
        <v>19982</v>
      </c>
      <c r="Q9262" t="s">
        <v>19934</v>
      </c>
      <c r="R9262" t="s">
        <v>19447</v>
      </c>
      <c r="S9262" t="s">
        <v>19447</v>
      </c>
      <c r="T9262" t="s">
        <v>19934</v>
      </c>
    </row>
    <row r="9263" spans="2:20" x14ac:dyDescent="0.25">
      <c r="B9263" t="s">
        <v>2709</v>
      </c>
      <c r="C9263">
        <v>85261000</v>
      </c>
      <c r="E9263">
        <v>147.97</v>
      </c>
      <c r="F9263">
        <v>25</v>
      </c>
      <c r="G9263">
        <v>20</v>
      </c>
      <c r="H9263" t="s">
        <v>19447</v>
      </c>
      <c r="I9263" t="s">
        <v>19447</v>
      </c>
      <c r="J9263">
        <v>0</v>
      </c>
      <c r="L9263" t="s">
        <v>2709</v>
      </c>
      <c r="M9263">
        <v>85261000</v>
      </c>
      <c r="O9263" t="s">
        <v>20138</v>
      </c>
      <c r="P9263" t="s">
        <v>19982</v>
      </c>
      <c r="Q9263" t="s">
        <v>19934</v>
      </c>
      <c r="R9263" t="s">
        <v>19447</v>
      </c>
      <c r="S9263" t="s">
        <v>19447</v>
      </c>
      <c r="T9263" t="s">
        <v>19900</v>
      </c>
    </row>
    <row r="9264" spans="2:20" x14ac:dyDescent="0.25">
      <c r="B9264" t="s">
        <v>2709</v>
      </c>
      <c r="C9264">
        <v>85269100</v>
      </c>
      <c r="E9264">
        <v>147.97</v>
      </c>
      <c r="F9264">
        <v>5.6</v>
      </c>
      <c r="G9264">
        <v>20</v>
      </c>
      <c r="H9264" t="s">
        <v>19447</v>
      </c>
      <c r="I9264" t="s">
        <v>19447</v>
      </c>
      <c r="J9264">
        <v>0</v>
      </c>
      <c r="L9264" t="s">
        <v>2709</v>
      </c>
      <c r="M9264">
        <v>85269100</v>
      </c>
      <c r="O9264" t="s">
        <v>20138</v>
      </c>
      <c r="P9264" t="s">
        <v>20133</v>
      </c>
      <c r="Q9264" t="s">
        <v>19934</v>
      </c>
      <c r="R9264" t="s">
        <v>19447</v>
      </c>
      <c r="S9264" t="s">
        <v>19447</v>
      </c>
      <c r="T9264" t="s">
        <v>19900</v>
      </c>
    </row>
    <row r="9265" spans="2:20" x14ac:dyDescent="0.25">
      <c r="B9265" t="s">
        <v>2709</v>
      </c>
      <c r="C9265">
        <v>85269200</v>
      </c>
      <c r="E9265">
        <v>147.97</v>
      </c>
      <c r="F9265">
        <v>25</v>
      </c>
      <c r="G9265">
        <v>20</v>
      </c>
      <c r="H9265" t="s">
        <v>19447</v>
      </c>
      <c r="I9265" t="s">
        <v>19447</v>
      </c>
      <c r="J9265">
        <v>18</v>
      </c>
      <c r="L9265" t="s">
        <v>2709</v>
      </c>
      <c r="M9265">
        <v>85269200</v>
      </c>
      <c r="O9265" t="s">
        <v>20138</v>
      </c>
      <c r="P9265" t="s">
        <v>19982</v>
      </c>
      <c r="Q9265" t="s">
        <v>19934</v>
      </c>
      <c r="R9265" t="s">
        <v>19447</v>
      </c>
      <c r="S9265" t="s">
        <v>19447</v>
      </c>
      <c r="T9265" t="s">
        <v>19899</v>
      </c>
    </row>
    <row r="9266" spans="2:20" x14ac:dyDescent="0.25">
      <c r="B9266" t="s">
        <v>2709</v>
      </c>
      <c r="C9266">
        <v>85271200</v>
      </c>
      <c r="E9266">
        <v>147.97</v>
      </c>
      <c r="F9266">
        <v>25</v>
      </c>
      <c r="G9266">
        <v>20</v>
      </c>
      <c r="H9266" t="s">
        <v>19447</v>
      </c>
      <c r="I9266" t="s">
        <v>19447</v>
      </c>
      <c r="J9266">
        <v>20</v>
      </c>
      <c r="L9266" t="s">
        <v>2709</v>
      </c>
      <c r="M9266">
        <v>85271200</v>
      </c>
      <c r="O9266" t="s">
        <v>20138</v>
      </c>
      <c r="P9266" t="s">
        <v>19982</v>
      </c>
      <c r="Q9266" t="s">
        <v>19934</v>
      </c>
      <c r="R9266" t="s">
        <v>19447</v>
      </c>
      <c r="S9266" t="s">
        <v>19447</v>
      </c>
      <c r="T9266" t="s">
        <v>19934</v>
      </c>
    </row>
    <row r="9267" spans="2:20" x14ac:dyDescent="0.25">
      <c r="B9267" t="s">
        <v>2709</v>
      </c>
      <c r="C9267">
        <v>85271300</v>
      </c>
      <c r="E9267">
        <v>147.97</v>
      </c>
      <c r="F9267">
        <v>25</v>
      </c>
      <c r="G9267">
        <v>20</v>
      </c>
      <c r="H9267" t="s">
        <v>19447</v>
      </c>
      <c r="I9267" t="s">
        <v>19447</v>
      </c>
      <c r="J9267">
        <v>20</v>
      </c>
      <c r="L9267" t="s">
        <v>2709</v>
      </c>
      <c r="M9267">
        <v>85271300</v>
      </c>
      <c r="O9267" t="s">
        <v>20138</v>
      </c>
      <c r="P9267" t="s">
        <v>19982</v>
      </c>
      <c r="Q9267" t="s">
        <v>19934</v>
      </c>
      <c r="R9267" t="s">
        <v>19447</v>
      </c>
      <c r="S9267" t="s">
        <v>19447</v>
      </c>
      <c r="T9267" t="s">
        <v>19934</v>
      </c>
    </row>
    <row r="9268" spans="2:20" x14ac:dyDescent="0.25">
      <c r="B9268" t="s">
        <v>2709</v>
      </c>
      <c r="C9268">
        <v>85271310</v>
      </c>
      <c r="E9268">
        <v>147.97</v>
      </c>
      <c r="F9268">
        <v>25</v>
      </c>
      <c r="G9268">
        <v>20</v>
      </c>
      <c r="H9268" t="s">
        <v>19447</v>
      </c>
      <c r="I9268" t="s">
        <v>19447</v>
      </c>
      <c r="J9268" t="s">
        <v>19447</v>
      </c>
      <c r="L9268" t="s">
        <v>2709</v>
      </c>
      <c r="M9268">
        <v>85271310</v>
      </c>
      <c r="O9268" t="s">
        <v>20138</v>
      </c>
      <c r="P9268" t="s">
        <v>19982</v>
      </c>
      <c r="Q9268" t="s">
        <v>19934</v>
      </c>
      <c r="R9268" t="s">
        <v>19447</v>
      </c>
      <c r="S9268" t="s">
        <v>19447</v>
      </c>
      <c r="T9268" t="s">
        <v>19447</v>
      </c>
    </row>
    <row r="9269" spans="2:20" x14ac:dyDescent="0.25">
      <c r="B9269" t="s">
        <v>2709</v>
      </c>
      <c r="C9269">
        <v>85271320</v>
      </c>
      <c r="E9269">
        <v>147.97</v>
      </c>
      <c r="F9269">
        <v>25</v>
      </c>
      <c r="G9269">
        <v>20</v>
      </c>
      <c r="H9269" t="s">
        <v>19447</v>
      </c>
      <c r="I9269" t="s">
        <v>19447</v>
      </c>
      <c r="J9269" t="s">
        <v>19447</v>
      </c>
      <c r="L9269" t="s">
        <v>2709</v>
      </c>
      <c r="M9269">
        <v>85271320</v>
      </c>
      <c r="O9269" t="s">
        <v>20138</v>
      </c>
      <c r="P9269" t="s">
        <v>19982</v>
      </c>
      <c r="Q9269" t="s">
        <v>19934</v>
      </c>
      <c r="R9269" t="s">
        <v>19447</v>
      </c>
      <c r="S9269" t="s">
        <v>19447</v>
      </c>
      <c r="T9269" t="s">
        <v>19447</v>
      </c>
    </row>
    <row r="9270" spans="2:20" x14ac:dyDescent="0.25">
      <c r="B9270" t="s">
        <v>2709</v>
      </c>
      <c r="C9270">
        <v>85271330</v>
      </c>
      <c r="E9270">
        <v>147.97</v>
      </c>
      <c r="F9270">
        <v>25</v>
      </c>
      <c r="G9270">
        <v>20</v>
      </c>
      <c r="H9270" t="s">
        <v>19447</v>
      </c>
      <c r="I9270" t="s">
        <v>19447</v>
      </c>
      <c r="J9270" t="s">
        <v>19447</v>
      </c>
      <c r="L9270" t="s">
        <v>2709</v>
      </c>
      <c r="M9270">
        <v>85271330</v>
      </c>
      <c r="O9270" t="s">
        <v>20138</v>
      </c>
      <c r="P9270" t="s">
        <v>19982</v>
      </c>
      <c r="Q9270" t="s">
        <v>19934</v>
      </c>
      <c r="R9270" t="s">
        <v>19447</v>
      </c>
      <c r="S9270" t="s">
        <v>19447</v>
      </c>
      <c r="T9270" t="s">
        <v>19447</v>
      </c>
    </row>
    <row r="9271" spans="2:20" x14ac:dyDescent="0.25">
      <c r="B9271" t="s">
        <v>2709</v>
      </c>
      <c r="C9271">
        <v>85271390</v>
      </c>
      <c r="E9271">
        <v>147.97</v>
      </c>
      <c r="F9271">
        <v>25</v>
      </c>
      <c r="G9271">
        <v>20</v>
      </c>
      <c r="H9271" t="s">
        <v>19447</v>
      </c>
      <c r="I9271" t="s">
        <v>19447</v>
      </c>
      <c r="J9271" t="s">
        <v>19447</v>
      </c>
      <c r="L9271" t="s">
        <v>2709</v>
      </c>
      <c r="M9271">
        <v>85271390</v>
      </c>
      <c r="O9271" t="s">
        <v>20138</v>
      </c>
      <c r="P9271" t="s">
        <v>19982</v>
      </c>
      <c r="Q9271" t="s">
        <v>19934</v>
      </c>
      <c r="R9271" t="s">
        <v>19447</v>
      </c>
      <c r="S9271" t="s">
        <v>19447</v>
      </c>
      <c r="T9271" t="s">
        <v>19447</v>
      </c>
    </row>
    <row r="9272" spans="2:20" x14ac:dyDescent="0.25">
      <c r="B9272" t="s">
        <v>2709</v>
      </c>
      <c r="C9272">
        <v>85271910</v>
      </c>
      <c r="E9272">
        <v>147.97</v>
      </c>
      <c r="F9272">
        <v>25</v>
      </c>
      <c r="G9272">
        <v>20</v>
      </c>
      <c r="H9272" t="s">
        <v>19447</v>
      </c>
      <c r="I9272" t="s">
        <v>19447</v>
      </c>
      <c r="J9272">
        <v>20</v>
      </c>
      <c r="L9272" t="s">
        <v>2709</v>
      </c>
      <c r="M9272">
        <v>85271910</v>
      </c>
      <c r="O9272" t="s">
        <v>20138</v>
      </c>
      <c r="P9272" t="s">
        <v>19982</v>
      </c>
      <c r="Q9272" t="s">
        <v>19934</v>
      </c>
      <c r="R9272" t="s">
        <v>19447</v>
      </c>
      <c r="S9272" t="s">
        <v>19447</v>
      </c>
      <c r="T9272" t="s">
        <v>19934</v>
      </c>
    </row>
    <row r="9273" spans="2:20" x14ac:dyDescent="0.25">
      <c r="B9273" t="s">
        <v>2709</v>
      </c>
      <c r="C9273">
        <v>85271990</v>
      </c>
      <c r="E9273">
        <v>147.97</v>
      </c>
      <c r="F9273">
        <v>25</v>
      </c>
      <c r="G9273">
        <v>20</v>
      </c>
      <c r="H9273" t="s">
        <v>19447</v>
      </c>
      <c r="I9273" t="s">
        <v>19447</v>
      </c>
      <c r="J9273">
        <v>20</v>
      </c>
      <c r="L9273" t="s">
        <v>2709</v>
      </c>
      <c r="M9273">
        <v>85271990</v>
      </c>
      <c r="O9273" t="s">
        <v>20138</v>
      </c>
      <c r="P9273" t="s">
        <v>19982</v>
      </c>
      <c r="Q9273" t="s">
        <v>19934</v>
      </c>
      <c r="R9273" t="s">
        <v>19447</v>
      </c>
      <c r="S9273" t="s">
        <v>19447</v>
      </c>
      <c r="T9273" t="s">
        <v>19934</v>
      </c>
    </row>
    <row r="9274" spans="2:20" x14ac:dyDescent="0.25">
      <c r="B9274" t="s">
        <v>2709</v>
      </c>
      <c r="C9274">
        <v>85272100</v>
      </c>
      <c r="E9274">
        <v>147.97</v>
      </c>
      <c r="F9274">
        <v>25</v>
      </c>
      <c r="G9274">
        <v>10</v>
      </c>
      <c r="H9274">
        <v>10.8</v>
      </c>
      <c r="I9274">
        <v>2.2999999999999998</v>
      </c>
      <c r="J9274">
        <v>20</v>
      </c>
      <c r="L9274" t="s">
        <v>2709</v>
      </c>
      <c r="M9274">
        <v>85272100</v>
      </c>
      <c r="O9274" t="s">
        <v>20138</v>
      </c>
      <c r="P9274" t="s">
        <v>19982</v>
      </c>
      <c r="Q9274" t="s">
        <v>19904</v>
      </c>
      <c r="R9274" t="s">
        <v>20074</v>
      </c>
      <c r="S9274" t="s">
        <v>20075</v>
      </c>
      <c r="T9274" t="s">
        <v>19934</v>
      </c>
    </row>
    <row r="9275" spans="2:20" x14ac:dyDescent="0.25">
      <c r="B9275" t="s">
        <v>2709</v>
      </c>
      <c r="C9275">
        <v>85272110</v>
      </c>
      <c r="E9275">
        <v>147.97</v>
      </c>
      <c r="F9275">
        <v>25</v>
      </c>
      <c r="G9275">
        <v>10</v>
      </c>
      <c r="H9275">
        <v>10.8</v>
      </c>
      <c r="I9275">
        <v>2.2999999999999998</v>
      </c>
      <c r="J9275" t="s">
        <v>19447</v>
      </c>
      <c r="L9275" t="s">
        <v>2709</v>
      </c>
      <c r="M9275">
        <v>85272110</v>
      </c>
      <c r="O9275" t="s">
        <v>20138</v>
      </c>
      <c r="P9275" t="s">
        <v>19982</v>
      </c>
      <c r="Q9275" t="s">
        <v>19904</v>
      </c>
      <c r="R9275" t="s">
        <v>20074</v>
      </c>
      <c r="S9275" t="s">
        <v>20075</v>
      </c>
      <c r="T9275" t="s">
        <v>19447</v>
      </c>
    </row>
    <row r="9276" spans="2:20" x14ac:dyDescent="0.25">
      <c r="B9276" t="s">
        <v>2709</v>
      </c>
      <c r="C9276">
        <v>85272190</v>
      </c>
      <c r="E9276">
        <v>147.97</v>
      </c>
      <c r="F9276">
        <v>25</v>
      </c>
      <c r="G9276">
        <v>10</v>
      </c>
      <c r="H9276">
        <v>10.8</v>
      </c>
      <c r="I9276">
        <v>2.2999999999999998</v>
      </c>
      <c r="J9276" t="s">
        <v>19447</v>
      </c>
      <c r="L9276" t="s">
        <v>2709</v>
      </c>
      <c r="M9276">
        <v>85272190</v>
      </c>
      <c r="O9276" t="s">
        <v>20138</v>
      </c>
      <c r="P9276" t="s">
        <v>19982</v>
      </c>
      <c r="Q9276" t="s">
        <v>19904</v>
      </c>
      <c r="R9276" t="s">
        <v>20074</v>
      </c>
      <c r="S9276" t="s">
        <v>20075</v>
      </c>
      <c r="T9276" t="s">
        <v>19447</v>
      </c>
    </row>
    <row r="9277" spans="2:20" x14ac:dyDescent="0.25">
      <c r="B9277" t="s">
        <v>2709</v>
      </c>
      <c r="C9277">
        <v>85272900</v>
      </c>
      <c r="E9277">
        <v>147.97</v>
      </c>
      <c r="F9277">
        <v>25</v>
      </c>
      <c r="G9277">
        <v>10</v>
      </c>
      <c r="H9277">
        <v>10.8</v>
      </c>
      <c r="I9277">
        <v>2.2999999999999998</v>
      </c>
      <c r="J9277">
        <v>20</v>
      </c>
      <c r="L9277" t="s">
        <v>2709</v>
      </c>
      <c r="M9277">
        <v>85272900</v>
      </c>
      <c r="O9277" t="s">
        <v>20138</v>
      </c>
      <c r="P9277" t="s">
        <v>19982</v>
      </c>
      <c r="Q9277" t="s">
        <v>19904</v>
      </c>
      <c r="R9277" t="s">
        <v>20074</v>
      </c>
      <c r="S9277" t="s">
        <v>20075</v>
      </c>
      <c r="T9277" t="s">
        <v>19934</v>
      </c>
    </row>
    <row r="9278" spans="2:20" x14ac:dyDescent="0.25">
      <c r="B9278" t="s">
        <v>2709</v>
      </c>
      <c r="C9278">
        <v>85279100</v>
      </c>
      <c r="E9278">
        <v>147.97</v>
      </c>
      <c r="F9278">
        <v>25</v>
      </c>
      <c r="G9278">
        <v>20</v>
      </c>
      <c r="H9278" t="s">
        <v>19447</v>
      </c>
      <c r="I9278" t="s">
        <v>19447</v>
      </c>
      <c r="J9278">
        <v>20</v>
      </c>
      <c r="L9278" t="s">
        <v>2709</v>
      </c>
      <c r="M9278">
        <v>85279100</v>
      </c>
      <c r="O9278" t="s">
        <v>20138</v>
      </c>
      <c r="P9278" t="s">
        <v>19982</v>
      </c>
      <c r="Q9278" t="s">
        <v>19934</v>
      </c>
      <c r="R9278" t="s">
        <v>19447</v>
      </c>
      <c r="S9278" t="s">
        <v>19447</v>
      </c>
      <c r="T9278" t="s">
        <v>19934</v>
      </c>
    </row>
    <row r="9279" spans="2:20" x14ac:dyDescent="0.25">
      <c r="B9279" t="s">
        <v>2709</v>
      </c>
      <c r="C9279">
        <v>85279110</v>
      </c>
      <c r="E9279">
        <v>147.97</v>
      </c>
      <c r="F9279">
        <v>25</v>
      </c>
      <c r="G9279">
        <v>20</v>
      </c>
      <c r="H9279" t="s">
        <v>19447</v>
      </c>
      <c r="I9279" t="s">
        <v>19447</v>
      </c>
      <c r="J9279" t="s">
        <v>19447</v>
      </c>
      <c r="L9279" t="s">
        <v>2709</v>
      </c>
      <c r="M9279">
        <v>85279110</v>
      </c>
      <c r="O9279" t="s">
        <v>20138</v>
      </c>
      <c r="P9279" t="s">
        <v>19982</v>
      </c>
      <c r="Q9279" t="s">
        <v>19934</v>
      </c>
      <c r="R9279" t="s">
        <v>19447</v>
      </c>
      <c r="S9279" t="s">
        <v>19447</v>
      </c>
      <c r="T9279" t="s">
        <v>19447</v>
      </c>
    </row>
    <row r="9280" spans="2:20" x14ac:dyDescent="0.25">
      <c r="B9280" t="s">
        <v>2709</v>
      </c>
      <c r="C9280">
        <v>85279120</v>
      </c>
      <c r="E9280">
        <v>147.97</v>
      </c>
      <c r="F9280">
        <v>25</v>
      </c>
      <c r="G9280">
        <v>20</v>
      </c>
      <c r="H9280" t="s">
        <v>19447</v>
      </c>
      <c r="I9280" t="s">
        <v>19447</v>
      </c>
      <c r="J9280" t="s">
        <v>19447</v>
      </c>
      <c r="L9280" t="s">
        <v>2709</v>
      </c>
      <c r="M9280">
        <v>85279120</v>
      </c>
      <c r="O9280" t="s">
        <v>20138</v>
      </c>
      <c r="P9280" t="s">
        <v>19982</v>
      </c>
      <c r="Q9280" t="s">
        <v>19934</v>
      </c>
      <c r="R9280" t="s">
        <v>19447</v>
      </c>
      <c r="S9280" t="s">
        <v>19447</v>
      </c>
      <c r="T9280" t="s">
        <v>19447</v>
      </c>
    </row>
    <row r="9281" spans="2:20" x14ac:dyDescent="0.25">
      <c r="B9281" t="s">
        <v>2709</v>
      </c>
      <c r="C9281">
        <v>85279190</v>
      </c>
      <c r="E9281">
        <v>147.97</v>
      </c>
      <c r="F9281">
        <v>25</v>
      </c>
      <c r="G9281">
        <v>20</v>
      </c>
      <c r="H9281" t="s">
        <v>19447</v>
      </c>
      <c r="I9281" t="s">
        <v>19447</v>
      </c>
      <c r="J9281" t="s">
        <v>19447</v>
      </c>
      <c r="L9281" t="s">
        <v>2709</v>
      </c>
      <c r="M9281">
        <v>85279190</v>
      </c>
      <c r="O9281" t="s">
        <v>20138</v>
      </c>
      <c r="P9281" t="s">
        <v>19982</v>
      </c>
      <c r="Q9281" t="s">
        <v>19934</v>
      </c>
      <c r="R9281" t="s">
        <v>19447</v>
      </c>
      <c r="S9281" t="s">
        <v>19447</v>
      </c>
      <c r="T9281" t="s">
        <v>19447</v>
      </c>
    </row>
    <row r="9282" spans="2:20" x14ac:dyDescent="0.25">
      <c r="B9282" t="s">
        <v>2709</v>
      </c>
      <c r="C9282">
        <v>85279200</v>
      </c>
      <c r="E9282">
        <v>147.97</v>
      </c>
      <c r="F9282">
        <v>25</v>
      </c>
      <c r="G9282">
        <v>20</v>
      </c>
      <c r="H9282" t="s">
        <v>19447</v>
      </c>
      <c r="I9282" t="s">
        <v>19447</v>
      </c>
      <c r="J9282">
        <v>20</v>
      </c>
      <c r="L9282" t="s">
        <v>2709</v>
      </c>
      <c r="M9282">
        <v>85279200</v>
      </c>
      <c r="O9282" t="s">
        <v>20138</v>
      </c>
      <c r="P9282" t="s">
        <v>19982</v>
      </c>
      <c r="Q9282" t="s">
        <v>19934</v>
      </c>
      <c r="R9282" t="s">
        <v>19447</v>
      </c>
      <c r="S9282" t="s">
        <v>19447</v>
      </c>
      <c r="T9282" t="s">
        <v>19934</v>
      </c>
    </row>
    <row r="9283" spans="2:20" x14ac:dyDescent="0.25">
      <c r="B9283" t="s">
        <v>2709</v>
      </c>
      <c r="C9283">
        <v>85279910</v>
      </c>
      <c r="E9283">
        <v>147.97</v>
      </c>
      <c r="F9283">
        <v>25</v>
      </c>
      <c r="G9283">
        <v>20</v>
      </c>
      <c r="H9283" t="s">
        <v>19447</v>
      </c>
      <c r="I9283" t="s">
        <v>19447</v>
      </c>
      <c r="J9283">
        <v>20</v>
      </c>
      <c r="L9283" t="s">
        <v>2709</v>
      </c>
      <c r="M9283">
        <v>85279910</v>
      </c>
      <c r="O9283" t="s">
        <v>20138</v>
      </c>
      <c r="P9283" t="s">
        <v>19982</v>
      </c>
      <c r="Q9283" t="s">
        <v>19934</v>
      </c>
      <c r="R9283" t="s">
        <v>19447</v>
      </c>
      <c r="S9283" t="s">
        <v>19447</v>
      </c>
      <c r="T9283" t="s">
        <v>19934</v>
      </c>
    </row>
    <row r="9284" spans="2:20" x14ac:dyDescent="0.25">
      <c r="B9284" t="s">
        <v>2709</v>
      </c>
      <c r="C9284">
        <v>85279990</v>
      </c>
      <c r="E9284">
        <v>147.97</v>
      </c>
      <c r="F9284">
        <v>25</v>
      </c>
      <c r="G9284">
        <v>20</v>
      </c>
      <c r="H9284" t="s">
        <v>19447</v>
      </c>
      <c r="I9284" t="s">
        <v>19447</v>
      </c>
      <c r="J9284">
        <v>20</v>
      </c>
      <c r="L9284" t="s">
        <v>2709</v>
      </c>
      <c r="M9284">
        <v>85279990</v>
      </c>
      <c r="O9284" t="s">
        <v>20138</v>
      </c>
      <c r="P9284" t="s">
        <v>19982</v>
      </c>
      <c r="Q9284" t="s">
        <v>19934</v>
      </c>
      <c r="R9284" t="s">
        <v>19447</v>
      </c>
      <c r="S9284" t="s">
        <v>19447</v>
      </c>
      <c r="T9284" t="s">
        <v>19934</v>
      </c>
    </row>
    <row r="9285" spans="2:20" x14ac:dyDescent="0.25">
      <c r="B9285" t="s">
        <v>2709</v>
      </c>
      <c r="C9285">
        <v>85284110</v>
      </c>
      <c r="E9285">
        <v>147.97</v>
      </c>
      <c r="F9285">
        <v>25</v>
      </c>
      <c r="G9285">
        <v>15</v>
      </c>
      <c r="H9285" t="s">
        <v>19447</v>
      </c>
      <c r="I9285" t="s">
        <v>19447</v>
      </c>
      <c r="J9285">
        <v>16</v>
      </c>
      <c r="L9285" t="s">
        <v>2709</v>
      </c>
      <c r="M9285">
        <v>85284110</v>
      </c>
      <c r="O9285" t="s">
        <v>20138</v>
      </c>
      <c r="P9285" t="s">
        <v>19982</v>
      </c>
      <c r="Q9285" t="s">
        <v>19983</v>
      </c>
      <c r="R9285" t="s">
        <v>19447</v>
      </c>
      <c r="S9285" t="s">
        <v>19447</v>
      </c>
      <c r="T9285" t="s">
        <v>19913</v>
      </c>
    </row>
    <row r="9286" spans="2:20" x14ac:dyDescent="0.25">
      <c r="B9286" t="s">
        <v>2709</v>
      </c>
      <c r="C9286">
        <v>85284120</v>
      </c>
      <c r="E9286">
        <v>147.97</v>
      </c>
      <c r="F9286">
        <v>25</v>
      </c>
      <c r="G9286">
        <v>15</v>
      </c>
      <c r="H9286" t="s">
        <v>19447</v>
      </c>
      <c r="I9286" t="s">
        <v>19447</v>
      </c>
      <c r="J9286">
        <v>16</v>
      </c>
      <c r="L9286" t="s">
        <v>2709</v>
      </c>
      <c r="M9286">
        <v>85284120</v>
      </c>
      <c r="O9286" t="s">
        <v>20138</v>
      </c>
      <c r="P9286" t="s">
        <v>19982</v>
      </c>
      <c r="Q9286" t="s">
        <v>19983</v>
      </c>
      <c r="R9286" t="s">
        <v>19447</v>
      </c>
      <c r="S9286" t="s">
        <v>19447</v>
      </c>
      <c r="T9286" t="s">
        <v>19913</v>
      </c>
    </row>
    <row r="9287" spans="2:20" x14ac:dyDescent="0.25">
      <c r="B9287" t="s">
        <v>2709</v>
      </c>
      <c r="C9287">
        <v>85284910</v>
      </c>
      <c r="E9287">
        <v>147.97</v>
      </c>
      <c r="F9287">
        <v>25</v>
      </c>
      <c r="G9287">
        <v>20</v>
      </c>
      <c r="H9287" t="s">
        <v>19447</v>
      </c>
      <c r="I9287" t="s">
        <v>19447</v>
      </c>
      <c r="J9287">
        <v>20</v>
      </c>
      <c r="L9287" t="s">
        <v>2709</v>
      </c>
      <c r="M9287">
        <v>85284910</v>
      </c>
      <c r="O9287" t="s">
        <v>20138</v>
      </c>
      <c r="P9287" t="s">
        <v>19982</v>
      </c>
      <c r="Q9287" t="s">
        <v>19934</v>
      </c>
      <c r="R9287" t="s">
        <v>19447</v>
      </c>
      <c r="S9287" t="s">
        <v>19447</v>
      </c>
      <c r="T9287" t="s">
        <v>19934</v>
      </c>
    </row>
    <row r="9288" spans="2:20" x14ac:dyDescent="0.25">
      <c r="B9288" t="s">
        <v>2709</v>
      </c>
      <c r="C9288">
        <v>85284921</v>
      </c>
      <c r="E9288">
        <v>147.97</v>
      </c>
      <c r="F9288">
        <v>25</v>
      </c>
      <c r="G9288">
        <v>20</v>
      </c>
      <c r="H9288" t="s">
        <v>19447</v>
      </c>
      <c r="I9288" t="s">
        <v>19447</v>
      </c>
      <c r="J9288">
        <v>16</v>
      </c>
      <c r="L9288" t="s">
        <v>2709</v>
      </c>
      <c r="M9288">
        <v>85284921</v>
      </c>
      <c r="O9288" t="s">
        <v>20138</v>
      </c>
      <c r="P9288" t="s">
        <v>19982</v>
      </c>
      <c r="Q9288" t="s">
        <v>19934</v>
      </c>
      <c r="R9288" t="s">
        <v>19447</v>
      </c>
      <c r="S9288" t="s">
        <v>19447</v>
      </c>
      <c r="T9288" t="s">
        <v>19913</v>
      </c>
    </row>
    <row r="9289" spans="2:20" x14ac:dyDescent="0.25">
      <c r="B9289" t="s">
        <v>2709</v>
      </c>
      <c r="C9289">
        <v>85284929</v>
      </c>
      <c r="E9289">
        <v>90.15</v>
      </c>
      <c r="F9289">
        <v>25</v>
      </c>
      <c r="G9289">
        <v>20</v>
      </c>
      <c r="H9289" t="s">
        <v>19447</v>
      </c>
      <c r="I9289" t="s">
        <v>19447</v>
      </c>
      <c r="J9289">
        <v>20</v>
      </c>
      <c r="L9289" t="s">
        <v>2709</v>
      </c>
      <c r="M9289">
        <v>85284929</v>
      </c>
      <c r="O9289" t="s">
        <v>20208</v>
      </c>
      <c r="P9289" t="s">
        <v>19982</v>
      </c>
      <c r="Q9289" t="s">
        <v>19934</v>
      </c>
      <c r="R9289" t="s">
        <v>19447</v>
      </c>
      <c r="S9289" t="s">
        <v>19447</v>
      </c>
      <c r="T9289" t="s">
        <v>19934</v>
      </c>
    </row>
    <row r="9290" spans="2:20" x14ac:dyDescent="0.25">
      <c r="B9290" t="s">
        <v>2709</v>
      </c>
      <c r="C9290">
        <v>85285110</v>
      </c>
      <c r="E9290">
        <v>147.97</v>
      </c>
      <c r="F9290">
        <v>25</v>
      </c>
      <c r="G9290">
        <v>15</v>
      </c>
      <c r="H9290" t="s">
        <v>19447</v>
      </c>
      <c r="I9290" t="s">
        <v>19447</v>
      </c>
      <c r="J9290">
        <v>12</v>
      </c>
      <c r="L9290" t="s">
        <v>2709</v>
      </c>
      <c r="M9290">
        <v>85285110</v>
      </c>
      <c r="O9290" t="s">
        <v>20138</v>
      </c>
      <c r="P9290" t="s">
        <v>19982</v>
      </c>
      <c r="Q9290" t="s">
        <v>19983</v>
      </c>
      <c r="R9290" t="s">
        <v>19447</v>
      </c>
      <c r="S9290" t="s">
        <v>19447</v>
      </c>
      <c r="T9290" t="s">
        <v>19903</v>
      </c>
    </row>
    <row r="9291" spans="2:20" x14ac:dyDescent="0.25">
      <c r="B9291" t="s">
        <v>2709</v>
      </c>
      <c r="C9291">
        <v>85285120</v>
      </c>
      <c r="E9291">
        <v>32.07</v>
      </c>
      <c r="F9291">
        <v>25</v>
      </c>
      <c r="G9291">
        <v>15</v>
      </c>
      <c r="H9291" t="s">
        <v>19447</v>
      </c>
      <c r="I9291" t="s">
        <v>19447</v>
      </c>
      <c r="J9291">
        <v>12</v>
      </c>
      <c r="L9291" t="s">
        <v>2709</v>
      </c>
      <c r="M9291">
        <v>85285120</v>
      </c>
      <c r="O9291" t="s">
        <v>20209</v>
      </c>
      <c r="P9291" t="s">
        <v>19982</v>
      </c>
      <c r="Q9291" t="s">
        <v>19983</v>
      </c>
      <c r="R9291" t="s">
        <v>19447</v>
      </c>
      <c r="S9291" t="s">
        <v>19447</v>
      </c>
      <c r="T9291" t="s">
        <v>19903</v>
      </c>
    </row>
    <row r="9292" spans="2:20" x14ac:dyDescent="0.25">
      <c r="B9292" t="s">
        <v>2709</v>
      </c>
      <c r="C9292">
        <v>85285910</v>
      </c>
      <c r="E9292">
        <v>147.97</v>
      </c>
      <c r="F9292">
        <v>25</v>
      </c>
      <c r="G9292">
        <v>20</v>
      </c>
      <c r="H9292" t="s">
        <v>19447</v>
      </c>
      <c r="I9292" t="s">
        <v>19447</v>
      </c>
      <c r="J9292">
        <v>20</v>
      </c>
      <c r="L9292" t="s">
        <v>2709</v>
      </c>
      <c r="M9292">
        <v>85285910</v>
      </c>
      <c r="O9292" t="s">
        <v>20138</v>
      </c>
      <c r="P9292" t="s">
        <v>19982</v>
      </c>
      <c r="Q9292" t="s">
        <v>19934</v>
      </c>
      <c r="R9292" t="s">
        <v>19447</v>
      </c>
      <c r="S9292" t="s">
        <v>19447</v>
      </c>
      <c r="T9292" t="s">
        <v>19934</v>
      </c>
    </row>
    <row r="9293" spans="2:20" x14ac:dyDescent="0.25">
      <c r="B9293" t="s">
        <v>2709</v>
      </c>
      <c r="C9293">
        <v>85285920</v>
      </c>
      <c r="E9293">
        <v>90.15</v>
      </c>
      <c r="F9293">
        <v>25</v>
      </c>
      <c r="G9293">
        <v>20</v>
      </c>
      <c r="H9293" t="s">
        <v>19447</v>
      </c>
      <c r="I9293" t="s">
        <v>19447</v>
      </c>
      <c r="J9293">
        <v>20</v>
      </c>
      <c r="L9293" t="s">
        <v>2709</v>
      </c>
      <c r="M9293">
        <v>85285920</v>
      </c>
      <c r="O9293" t="s">
        <v>20208</v>
      </c>
      <c r="P9293" t="s">
        <v>19982</v>
      </c>
      <c r="Q9293" t="s">
        <v>19934</v>
      </c>
      <c r="R9293" t="s">
        <v>19447</v>
      </c>
      <c r="S9293" t="s">
        <v>19447</v>
      </c>
      <c r="T9293" t="s">
        <v>19934</v>
      </c>
    </row>
    <row r="9294" spans="2:20" x14ac:dyDescent="0.25">
      <c r="B9294" t="s">
        <v>2709</v>
      </c>
      <c r="C9294">
        <v>85286100</v>
      </c>
      <c r="E9294">
        <v>147.97</v>
      </c>
      <c r="F9294">
        <v>25</v>
      </c>
      <c r="G9294">
        <v>15</v>
      </c>
      <c r="H9294" t="s">
        <v>19447</v>
      </c>
      <c r="I9294" t="s">
        <v>19447</v>
      </c>
      <c r="J9294">
        <v>16</v>
      </c>
      <c r="L9294" t="s">
        <v>2709</v>
      </c>
      <c r="M9294">
        <v>85286100</v>
      </c>
      <c r="O9294" t="s">
        <v>20138</v>
      </c>
      <c r="P9294" t="s">
        <v>19982</v>
      </c>
      <c r="Q9294" t="s">
        <v>19983</v>
      </c>
      <c r="R9294" t="s">
        <v>19447</v>
      </c>
      <c r="S9294" t="s">
        <v>19447</v>
      </c>
      <c r="T9294" t="s">
        <v>19913</v>
      </c>
    </row>
    <row r="9295" spans="2:20" x14ac:dyDescent="0.25">
      <c r="B9295" t="s">
        <v>2709</v>
      </c>
      <c r="C9295">
        <v>85286910</v>
      </c>
      <c r="E9295">
        <v>90.15</v>
      </c>
      <c r="F9295">
        <v>25</v>
      </c>
      <c r="G9295">
        <v>20</v>
      </c>
      <c r="H9295" t="s">
        <v>19447</v>
      </c>
      <c r="I9295" t="s">
        <v>19447</v>
      </c>
      <c r="J9295">
        <v>0</v>
      </c>
      <c r="L9295" t="s">
        <v>2709</v>
      </c>
      <c r="M9295">
        <v>85286910</v>
      </c>
      <c r="O9295" t="s">
        <v>20208</v>
      </c>
      <c r="P9295" t="s">
        <v>19982</v>
      </c>
      <c r="Q9295" t="s">
        <v>19934</v>
      </c>
      <c r="R9295" t="s">
        <v>19447</v>
      </c>
      <c r="S9295" t="s">
        <v>19447</v>
      </c>
      <c r="T9295" t="s">
        <v>19900</v>
      </c>
    </row>
    <row r="9296" spans="2:20" x14ac:dyDescent="0.25">
      <c r="B9296" t="s">
        <v>2709</v>
      </c>
      <c r="C9296">
        <v>85286990</v>
      </c>
      <c r="E9296">
        <v>90.15</v>
      </c>
      <c r="F9296">
        <v>25</v>
      </c>
      <c r="G9296">
        <v>20</v>
      </c>
      <c r="H9296" t="s">
        <v>19447</v>
      </c>
      <c r="I9296" t="s">
        <v>19447</v>
      </c>
      <c r="J9296">
        <v>20</v>
      </c>
      <c r="L9296" t="s">
        <v>2709</v>
      </c>
      <c r="M9296">
        <v>85286990</v>
      </c>
      <c r="O9296" t="s">
        <v>20208</v>
      </c>
      <c r="P9296" t="s">
        <v>19982</v>
      </c>
      <c r="Q9296" t="s">
        <v>19934</v>
      </c>
      <c r="R9296" t="s">
        <v>19447</v>
      </c>
      <c r="S9296" t="s">
        <v>19447</v>
      </c>
      <c r="T9296" t="s">
        <v>19934</v>
      </c>
    </row>
    <row r="9297" spans="2:20" x14ac:dyDescent="0.25">
      <c r="B9297" t="s">
        <v>2709</v>
      </c>
      <c r="C9297">
        <v>85287111</v>
      </c>
      <c r="E9297">
        <v>33.03</v>
      </c>
      <c r="F9297">
        <v>12</v>
      </c>
      <c r="G9297">
        <v>5</v>
      </c>
      <c r="H9297" t="s">
        <v>19447</v>
      </c>
      <c r="I9297" t="s">
        <v>19447</v>
      </c>
      <c r="J9297">
        <v>0</v>
      </c>
      <c r="L9297" t="s">
        <v>2709</v>
      </c>
      <c r="M9297">
        <v>85287111</v>
      </c>
      <c r="O9297" t="s">
        <v>20210</v>
      </c>
      <c r="P9297" t="s">
        <v>19903</v>
      </c>
      <c r="Q9297" t="s">
        <v>19909</v>
      </c>
      <c r="R9297" t="s">
        <v>19447</v>
      </c>
      <c r="S9297" t="s">
        <v>19447</v>
      </c>
      <c r="T9297" t="s">
        <v>19900</v>
      </c>
    </row>
    <row r="9298" spans="2:20" x14ac:dyDescent="0.25">
      <c r="B9298" t="s">
        <v>2709</v>
      </c>
      <c r="C9298">
        <v>85287119</v>
      </c>
      <c r="E9298">
        <v>33.03</v>
      </c>
      <c r="F9298">
        <v>12</v>
      </c>
      <c r="G9298">
        <v>5</v>
      </c>
      <c r="H9298" t="s">
        <v>19447</v>
      </c>
      <c r="I9298" t="s">
        <v>19447</v>
      </c>
      <c r="J9298">
        <v>20</v>
      </c>
      <c r="L9298" t="s">
        <v>2709</v>
      </c>
      <c r="M9298">
        <v>85287119</v>
      </c>
      <c r="O9298" t="s">
        <v>20210</v>
      </c>
      <c r="P9298" t="s">
        <v>19903</v>
      </c>
      <c r="Q9298" t="s">
        <v>19909</v>
      </c>
      <c r="R9298" t="s">
        <v>19447</v>
      </c>
      <c r="S9298" t="s">
        <v>19447</v>
      </c>
      <c r="T9298" t="s">
        <v>19934</v>
      </c>
    </row>
    <row r="9299" spans="2:20" x14ac:dyDescent="0.25">
      <c r="B9299" t="s">
        <v>2709</v>
      </c>
      <c r="C9299">
        <v>85287190</v>
      </c>
      <c r="E9299">
        <v>33.03</v>
      </c>
      <c r="F9299">
        <v>12</v>
      </c>
      <c r="G9299">
        <v>20</v>
      </c>
      <c r="H9299" t="s">
        <v>19447</v>
      </c>
      <c r="I9299" t="s">
        <v>19447</v>
      </c>
      <c r="J9299">
        <v>20</v>
      </c>
      <c r="L9299" t="s">
        <v>2709</v>
      </c>
      <c r="M9299">
        <v>85287190</v>
      </c>
      <c r="O9299" t="s">
        <v>20210</v>
      </c>
      <c r="P9299" t="s">
        <v>19903</v>
      </c>
      <c r="Q9299" t="s">
        <v>19934</v>
      </c>
      <c r="R9299" t="s">
        <v>19447</v>
      </c>
      <c r="S9299" t="s">
        <v>19447</v>
      </c>
      <c r="T9299" t="s">
        <v>19934</v>
      </c>
    </row>
    <row r="9300" spans="2:20" x14ac:dyDescent="0.25">
      <c r="B9300" t="s">
        <v>2709</v>
      </c>
      <c r="C9300">
        <v>85287200</v>
      </c>
      <c r="E9300">
        <v>33.03</v>
      </c>
      <c r="F9300">
        <v>25</v>
      </c>
      <c r="G9300">
        <v>20</v>
      </c>
      <c r="H9300" t="s">
        <v>19447</v>
      </c>
      <c r="I9300" t="s">
        <v>19447</v>
      </c>
      <c r="J9300">
        <v>20</v>
      </c>
      <c r="L9300" t="s">
        <v>2709</v>
      </c>
      <c r="M9300">
        <v>85287200</v>
      </c>
      <c r="O9300" t="s">
        <v>20210</v>
      </c>
      <c r="P9300" t="s">
        <v>19982</v>
      </c>
      <c r="Q9300" t="s">
        <v>19934</v>
      </c>
      <c r="R9300" t="s">
        <v>19447</v>
      </c>
      <c r="S9300" t="s">
        <v>19447</v>
      </c>
      <c r="T9300" t="s">
        <v>19934</v>
      </c>
    </row>
    <row r="9301" spans="2:20" x14ac:dyDescent="0.25">
      <c r="B9301" t="s">
        <v>2709</v>
      </c>
      <c r="C9301">
        <v>85287300</v>
      </c>
      <c r="E9301">
        <v>33.03</v>
      </c>
      <c r="F9301">
        <v>25</v>
      </c>
      <c r="G9301">
        <v>20</v>
      </c>
      <c r="H9301" t="s">
        <v>19447</v>
      </c>
      <c r="I9301" t="s">
        <v>19447</v>
      </c>
      <c r="J9301">
        <v>20</v>
      </c>
      <c r="L9301" t="s">
        <v>2709</v>
      </c>
      <c r="M9301">
        <v>85287300</v>
      </c>
      <c r="O9301" t="s">
        <v>20210</v>
      </c>
      <c r="P9301" t="s">
        <v>19982</v>
      </c>
      <c r="Q9301" t="s">
        <v>19934</v>
      </c>
      <c r="R9301" t="s">
        <v>19447</v>
      </c>
      <c r="S9301" t="s">
        <v>19447</v>
      </c>
      <c r="T9301" t="s">
        <v>19934</v>
      </c>
    </row>
    <row r="9302" spans="2:20" x14ac:dyDescent="0.25">
      <c r="B9302" t="s">
        <v>2709</v>
      </c>
      <c r="C9302">
        <v>85291011</v>
      </c>
      <c r="E9302">
        <v>76</v>
      </c>
      <c r="F9302">
        <v>25</v>
      </c>
      <c r="G9302">
        <v>10</v>
      </c>
      <c r="H9302" t="s">
        <v>19447</v>
      </c>
      <c r="I9302" t="s">
        <v>19447</v>
      </c>
      <c r="J9302">
        <v>16</v>
      </c>
      <c r="L9302" t="s">
        <v>2709</v>
      </c>
      <c r="M9302">
        <v>85291011</v>
      </c>
      <c r="O9302" t="s">
        <v>20118</v>
      </c>
      <c r="P9302" t="s">
        <v>19982</v>
      </c>
      <c r="Q9302" t="s">
        <v>19904</v>
      </c>
      <c r="R9302" t="s">
        <v>19447</v>
      </c>
      <c r="S9302" t="s">
        <v>19447</v>
      </c>
      <c r="T9302" t="s">
        <v>19913</v>
      </c>
    </row>
    <row r="9303" spans="2:20" x14ac:dyDescent="0.25">
      <c r="B9303" t="s">
        <v>2709</v>
      </c>
      <c r="C9303">
        <v>85291019</v>
      </c>
      <c r="E9303">
        <v>84</v>
      </c>
      <c r="F9303">
        <v>25</v>
      </c>
      <c r="G9303">
        <v>10</v>
      </c>
      <c r="H9303" t="s">
        <v>19447</v>
      </c>
      <c r="I9303" t="s">
        <v>19447</v>
      </c>
      <c r="J9303">
        <v>16</v>
      </c>
      <c r="L9303" t="s">
        <v>2709</v>
      </c>
      <c r="M9303">
        <v>85291019</v>
      </c>
      <c r="O9303" t="s">
        <v>20211</v>
      </c>
      <c r="P9303" t="s">
        <v>19982</v>
      </c>
      <c r="Q9303" t="s">
        <v>19904</v>
      </c>
      <c r="R9303" t="s">
        <v>19447</v>
      </c>
      <c r="S9303" t="s">
        <v>19447</v>
      </c>
      <c r="T9303" t="s">
        <v>19913</v>
      </c>
    </row>
    <row r="9304" spans="2:20" x14ac:dyDescent="0.25">
      <c r="B9304" t="s">
        <v>2709</v>
      </c>
      <c r="C9304">
        <v>85291090</v>
      </c>
      <c r="E9304">
        <v>76</v>
      </c>
      <c r="F9304">
        <v>25</v>
      </c>
      <c r="G9304">
        <v>10</v>
      </c>
      <c r="H9304" t="s">
        <v>19447</v>
      </c>
      <c r="I9304" t="s">
        <v>19447</v>
      </c>
      <c r="J9304">
        <v>16</v>
      </c>
      <c r="L9304" t="s">
        <v>2709</v>
      </c>
      <c r="M9304">
        <v>85291090</v>
      </c>
      <c r="O9304" t="s">
        <v>20118</v>
      </c>
      <c r="P9304" t="s">
        <v>19982</v>
      </c>
      <c r="Q9304" t="s">
        <v>19904</v>
      </c>
      <c r="R9304" t="s">
        <v>19447</v>
      </c>
      <c r="S9304" t="s">
        <v>19447</v>
      </c>
      <c r="T9304" t="s">
        <v>19913</v>
      </c>
    </row>
    <row r="9305" spans="2:20" x14ac:dyDescent="0.25">
      <c r="B9305" t="s">
        <v>2709</v>
      </c>
      <c r="C9305">
        <v>85299011</v>
      </c>
      <c r="E9305">
        <v>76</v>
      </c>
      <c r="F9305">
        <v>25</v>
      </c>
      <c r="G9305">
        <v>10</v>
      </c>
      <c r="H9305" t="s">
        <v>19447</v>
      </c>
      <c r="I9305" t="s">
        <v>19447</v>
      </c>
      <c r="J9305">
        <v>8</v>
      </c>
      <c r="L9305" t="s">
        <v>2709</v>
      </c>
      <c r="M9305">
        <v>85299011</v>
      </c>
      <c r="O9305" t="s">
        <v>20118</v>
      </c>
      <c r="P9305" t="s">
        <v>19982</v>
      </c>
      <c r="Q9305" t="s">
        <v>19904</v>
      </c>
      <c r="R9305" t="s">
        <v>19447</v>
      </c>
      <c r="S9305" t="s">
        <v>19447</v>
      </c>
      <c r="T9305" t="s">
        <v>19918</v>
      </c>
    </row>
    <row r="9306" spans="2:20" x14ac:dyDescent="0.25">
      <c r="B9306" t="s">
        <v>2709</v>
      </c>
      <c r="C9306">
        <v>85299012</v>
      </c>
      <c r="E9306">
        <v>76</v>
      </c>
      <c r="F9306">
        <v>25</v>
      </c>
      <c r="G9306">
        <v>15</v>
      </c>
      <c r="H9306" t="s">
        <v>19447</v>
      </c>
      <c r="I9306" t="s">
        <v>19447</v>
      </c>
      <c r="J9306">
        <v>12</v>
      </c>
      <c r="L9306" t="s">
        <v>2709</v>
      </c>
      <c r="M9306">
        <v>85299012</v>
      </c>
      <c r="O9306" t="s">
        <v>20118</v>
      </c>
      <c r="P9306" t="s">
        <v>19982</v>
      </c>
      <c r="Q9306" t="s">
        <v>19983</v>
      </c>
      <c r="R9306" t="s">
        <v>19447</v>
      </c>
      <c r="S9306" t="s">
        <v>19447</v>
      </c>
      <c r="T9306" t="s">
        <v>19903</v>
      </c>
    </row>
    <row r="9307" spans="2:20" x14ac:dyDescent="0.25">
      <c r="B9307" t="s">
        <v>2709</v>
      </c>
      <c r="C9307">
        <v>85299019</v>
      </c>
      <c r="E9307">
        <v>76</v>
      </c>
      <c r="F9307">
        <v>25</v>
      </c>
      <c r="G9307">
        <v>10</v>
      </c>
      <c r="H9307" t="s">
        <v>19447</v>
      </c>
      <c r="I9307" t="s">
        <v>19447</v>
      </c>
      <c r="J9307">
        <v>8</v>
      </c>
      <c r="L9307" t="s">
        <v>2709</v>
      </c>
      <c r="M9307">
        <v>85299019</v>
      </c>
      <c r="O9307" t="s">
        <v>20118</v>
      </c>
      <c r="P9307" t="s">
        <v>19982</v>
      </c>
      <c r="Q9307" t="s">
        <v>19904</v>
      </c>
      <c r="R9307" t="s">
        <v>19447</v>
      </c>
      <c r="S9307" t="s">
        <v>19447</v>
      </c>
      <c r="T9307" t="s">
        <v>19918</v>
      </c>
    </row>
    <row r="9308" spans="2:20" x14ac:dyDescent="0.25">
      <c r="B9308" t="s">
        <v>2709</v>
      </c>
      <c r="C9308">
        <v>85299019</v>
      </c>
      <c r="D9308">
        <v>1</v>
      </c>
      <c r="E9308" t="s">
        <v>19447</v>
      </c>
      <c r="F9308">
        <v>18</v>
      </c>
      <c r="G9308">
        <v>0</v>
      </c>
      <c r="H9308">
        <v>7.6</v>
      </c>
      <c r="I9308">
        <v>1.65</v>
      </c>
      <c r="J9308">
        <v>8</v>
      </c>
      <c r="L9308" t="s">
        <v>2709</v>
      </c>
      <c r="M9308">
        <v>85299019</v>
      </c>
      <c r="N9308">
        <v>1</v>
      </c>
      <c r="O9308" t="s">
        <v>19447</v>
      </c>
      <c r="P9308" t="s">
        <v>19899</v>
      </c>
      <c r="Q9308" t="s">
        <v>19900</v>
      </c>
      <c r="R9308" t="s">
        <v>19905</v>
      </c>
      <c r="S9308" t="s">
        <v>19906</v>
      </c>
      <c r="T9308" t="s">
        <v>19918</v>
      </c>
    </row>
    <row r="9309" spans="2:20" x14ac:dyDescent="0.25">
      <c r="B9309" t="s">
        <v>2709</v>
      </c>
      <c r="C9309">
        <v>85299020</v>
      </c>
      <c r="E9309">
        <v>76</v>
      </c>
      <c r="F9309">
        <v>25</v>
      </c>
      <c r="G9309">
        <v>10</v>
      </c>
      <c r="H9309" t="s">
        <v>19447</v>
      </c>
      <c r="I9309" t="s">
        <v>19447</v>
      </c>
      <c r="J9309">
        <v>12</v>
      </c>
      <c r="L9309" t="s">
        <v>2709</v>
      </c>
      <c r="M9309">
        <v>85299020</v>
      </c>
      <c r="O9309" t="s">
        <v>20118</v>
      </c>
      <c r="P9309" t="s">
        <v>19982</v>
      </c>
      <c r="Q9309" t="s">
        <v>19904</v>
      </c>
      <c r="R9309" t="s">
        <v>19447</v>
      </c>
      <c r="S9309" t="s">
        <v>19447</v>
      </c>
      <c r="T9309" t="s">
        <v>19903</v>
      </c>
    </row>
    <row r="9310" spans="2:20" x14ac:dyDescent="0.25">
      <c r="B9310" t="s">
        <v>2709</v>
      </c>
      <c r="C9310">
        <v>85299030</v>
      </c>
      <c r="E9310">
        <v>76</v>
      </c>
      <c r="F9310">
        <v>25</v>
      </c>
      <c r="G9310">
        <v>10</v>
      </c>
      <c r="H9310" t="s">
        <v>19447</v>
      </c>
      <c r="I9310" t="s">
        <v>19447</v>
      </c>
      <c r="J9310">
        <v>0</v>
      </c>
      <c r="L9310" t="s">
        <v>2709</v>
      </c>
      <c r="M9310">
        <v>85299030</v>
      </c>
      <c r="O9310" t="s">
        <v>20118</v>
      </c>
      <c r="P9310" t="s">
        <v>19982</v>
      </c>
      <c r="Q9310" t="s">
        <v>19904</v>
      </c>
      <c r="R9310" t="s">
        <v>19447</v>
      </c>
      <c r="S9310" t="s">
        <v>19447</v>
      </c>
      <c r="T9310" t="s">
        <v>19900</v>
      </c>
    </row>
    <row r="9311" spans="2:20" x14ac:dyDescent="0.25">
      <c r="B9311" t="s">
        <v>2709</v>
      </c>
      <c r="C9311">
        <v>85299040</v>
      </c>
      <c r="E9311">
        <v>76</v>
      </c>
      <c r="F9311">
        <v>25</v>
      </c>
      <c r="G9311">
        <v>10</v>
      </c>
      <c r="H9311" t="s">
        <v>19447</v>
      </c>
      <c r="I9311" t="s">
        <v>19447</v>
      </c>
      <c r="J9311">
        <v>0</v>
      </c>
      <c r="L9311" t="s">
        <v>2709</v>
      </c>
      <c r="M9311">
        <v>85299040</v>
      </c>
      <c r="O9311" t="s">
        <v>20118</v>
      </c>
      <c r="P9311" t="s">
        <v>19982</v>
      </c>
      <c r="Q9311" t="s">
        <v>19904</v>
      </c>
      <c r="R9311" t="s">
        <v>19447</v>
      </c>
      <c r="S9311" t="s">
        <v>19447</v>
      </c>
      <c r="T9311" t="s">
        <v>19900</v>
      </c>
    </row>
    <row r="9312" spans="2:20" x14ac:dyDescent="0.25">
      <c r="B9312" t="s">
        <v>2709</v>
      </c>
      <c r="C9312">
        <v>85299090</v>
      </c>
      <c r="E9312">
        <v>76</v>
      </c>
      <c r="F9312">
        <v>25</v>
      </c>
      <c r="G9312">
        <v>10</v>
      </c>
      <c r="H9312" t="s">
        <v>19447</v>
      </c>
      <c r="I9312" t="s">
        <v>19447</v>
      </c>
      <c r="J9312">
        <v>16</v>
      </c>
      <c r="L9312" t="s">
        <v>2709</v>
      </c>
      <c r="M9312">
        <v>85299090</v>
      </c>
      <c r="O9312" t="s">
        <v>20118</v>
      </c>
      <c r="P9312" t="s">
        <v>19982</v>
      </c>
      <c r="Q9312" t="s">
        <v>19904</v>
      </c>
      <c r="R9312" t="s">
        <v>19447</v>
      </c>
      <c r="S9312" t="s">
        <v>19447</v>
      </c>
      <c r="T9312" t="s">
        <v>19913</v>
      </c>
    </row>
    <row r="9313" spans="2:20" x14ac:dyDescent="0.25">
      <c r="B9313" t="s">
        <v>2709</v>
      </c>
      <c r="C9313">
        <v>85301010</v>
      </c>
      <c r="E9313">
        <v>147.97</v>
      </c>
      <c r="F9313">
        <v>12</v>
      </c>
      <c r="G9313">
        <v>15</v>
      </c>
      <c r="H9313" t="s">
        <v>19447</v>
      </c>
      <c r="I9313" t="s">
        <v>19447</v>
      </c>
      <c r="J9313">
        <v>14</v>
      </c>
      <c r="L9313" t="s">
        <v>2709</v>
      </c>
      <c r="M9313">
        <v>85301010</v>
      </c>
      <c r="O9313" t="s">
        <v>20138</v>
      </c>
      <c r="P9313" t="s">
        <v>19903</v>
      </c>
      <c r="Q9313" t="s">
        <v>19983</v>
      </c>
      <c r="R9313" t="s">
        <v>19447</v>
      </c>
      <c r="S9313" t="s">
        <v>19447</v>
      </c>
      <c r="T9313" t="s">
        <v>19911</v>
      </c>
    </row>
    <row r="9314" spans="2:20" x14ac:dyDescent="0.25">
      <c r="B9314" t="s">
        <v>2709</v>
      </c>
      <c r="C9314">
        <v>85301090</v>
      </c>
      <c r="E9314">
        <v>147.97</v>
      </c>
      <c r="F9314">
        <v>12</v>
      </c>
      <c r="G9314">
        <v>5</v>
      </c>
      <c r="H9314" t="s">
        <v>19447</v>
      </c>
      <c r="I9314" t="s">
        <v>19447</v>
      </c>
      <c r="J9314">
        <v>14</v>
      </c>
      <c r="L9314" t="s">
        <v>2709</v>
      </c>
      <c r="M9314">
        <v>85301090</v>
      </c>
      <c r="O9314" t="s">
        <v>20138</v>
      </c>
      <c r="P9314" t="s">
        <v>19903</v>
      </c>
      <c r="Q9314" t="s">
        <v>19909</v>
      </c>
      <c r="R9314" t="s">
        <v>19447</v>
      </c>
      <c r="S9314" t="s">
        <v>19447</v>
      </c>
      <c r="T9314" t="s">
        <v>19911</v>
      </c>
    </row>
    <row r="9315" spans="2:20" x14ac:dyDescent="0.25">
      <c r="B9315" t="s">
        <v>2709</v>
      </c>
      <c r="C9315">
        <v>85308010</v>
      </c>
      <c r="E9315">
        <v>147.97</v>
      </c>
      <c r="F9315">
        <v>25</v>
      </c>
      <c r="G9315">
        <v>15</v>
      </c>
      <c r="H9315" t="s">
        <v>19447</v>
      </c>
      <c r="I9315" t="s">
        <v>19447</v>
      </c>
      <c r="J9315">
        <v>14</v>
      </c>
      <c r="L9315" t="s">
        <v>2709</v>
      </c>
      <c r="M9315">
        <v>85308010</v>
      </c>
      <c r="O9315" t="s">
        <v>20138</v>
      </c>
      <c r="P9315" t="s">
        <v>19982</v>
      </c>
      <c r="Q9315" t="s">
        <v>19983</v>
      </c>
      <c r="R9315" t="s">
        <v>19447</v>
      </c>
      <c r="S9315" t="s">
        <v>19447</v>
      </c>
      <c r="T9315" t="s">
        <v>19911</v>
      </c>
    </row>
    <row r="9316" spans="2:20" x14ac:dyDescent="0.25">
      <c r="B9316" t="s">
        <v>2709</v>
      </c>
      <c r="C9316">
        <v>85308090</v>
      </c>
      <c r="E9316">
        <v>147.97</v>
      </c>
      <c r="F9316">
        <v>12</v>
      </c>
      <c r="G9316">
        <v>10</v>
      </c>
      <c r="H9316" t="s">
        <v>19447</v>
      </c>
      <c r="I9316" t="s">
        <v>19447</v>
      </c>
      <c r="J9316">
        <v>14</v>
      </c>
      <c r="L9316" t="s">
        <v>2709</v>
      </c>
      <c r="M9316">
        <v>85308090</v>
      </c>
      <c r="O9316" t="s">
        <v>20138</v>
      </c>
      <c r="P9316" t="s">
        <v>19903</v>
      </c>
      <c r="Q9316" t="s">
        <v>19904</v>
      </c>
      <c r="R9316" t="s">
        <v>19447</v>
      </c>
      <c r="S9316" t="s">
        <v>19447</v>
      </c>
      <c r="T9316" t="s">
        <v>19911</v>
      </c>
    </row>
    <row r="9317" spans="2:20" x14ac:dyDescent="0.25">
      <c r="B9317" t="s">
        <v>2709</v>
      </c>
      <c r="C9317">
        <v>85309000</v>
      </c>
      <c r="E9317">
        <v>147.97</v>
      </c>
      <c r="F9317">
        <v>25</v>
      </c>
      <c r="G9317">
        <v>10</v>
      </c>
      <c r="H9317" t="s">
        <v>19447</v>
      </c>
      <c r="I9317" t="s">
        <v>19447</v>
      </c>
      <c r="J9317">
        <v>14</v>
      </c>
      <c r="L9317" t="s">
        <v>2709</v>
      </c>
      <c r="M9317">
        <v>85309000</v>
      </c>
      <c r="O9317" t="s">
        <v>20138</v>
      </c>
      <c r="P9317" t="s">
        <v>19982</v>
      </c>
      <c r="Q9317" t="s">
        <v>19904</v>
      </c>
      <c r="R9317" t="s">
        <v>19447</v>
      </c>
      <c r="S9317" t="s">
        <v>19447</v>
      </c>
      <c r="T9317" t="s">
        <v>19911</v>
      </c>
    </row>
    <row r="9318" spans="2:20" x14ac:dyDescent="0.25">
      <c r="B9318" t="s">
        <v>2709</v>
      </c>
      <c r="C9318">
        <v>85311010</v>
      </c>
      <c r="E9318">
        <v>69</v>
      </c>
      <c r="F9318">
        <v>25</v>
      </c>
      <c r="G9318">
        <v>15</v>
      </c>
      <c r="H9318" t="s">
        <v>19447</v>
      </c>
      <c r="I9318" t="s">
        <v>19447</v>
      </c>
      <c r="J9318">
        <v>18</v>
      </c>
      <c r="L9318" t="s">
        <v>2709</v>
      </c>
      <c r="M9318">
        <v>85311010</v>
      </c>
      <c r="O9318" t="s">
        <v>20119</v>
      </c>
      <c r="P9318" t="s">
        <v>19982</v>
      </c>
      <c r="Q9318" t="s">
        <v>19983</v>
      </c>
      <c r="R9318" t="s">
        <v>19447</v>
      </c>
      <c r="S9318" t="s">
        <v>19447</v>
      </c>
      <c r="T9318" t="s">
        <v>19899</v>
      </c>
    </row>
    <row r="9319" spans="2:20" x14ac:dyDescent="0.25">
      <c r="B9319" t="s">
        <v>2709</v>
      </c>
      <c r="C9319">
        <v>85311090</v>
      </c>
      <c r="E9319">
        <v>71.78</v>
      </c>
      <c r="F9319">
        <v>25</v>
      </c>
      <c r="G9319">
        <v>15</v>
      </c>
      <c r="H9319" t="s">
        <v>19447</v>
      </c>
      <c r="I9319" t="s">
        <v>19447</v>
      </c>
      <c r="J9319">
        <v>18</v>
      </c>
      <c r="L9319" t="s">
        <v>2709</v>
      </c>
      <c r="M9319">
        <v>85311090</v>
      </c>
      <c r="O9319" t="s">
        <v>20056</v>
      </c>
      <c r="P9319" t="s">
        <v>19982</v>
      </c>
      <c r="Q9319" t="s">
        <v>19983</v>
      </c>
      <c r="R9319" t="s">
        <v>19447</v>
      </c>
      <c r="S9319" t="s">
        <v>19447</v>
      </c>
      <c r="T9319" t="s">
        <v>19899</v>
      </c>
    </row>
    <row r="9320" spans="2:20" x14ac:dyDescent="0.25">
      <c r="B9320" t="s">
        <v>2709</v>
      </c>
      <c r="C9320">
        <v>85312000</v>
      </c>
      <c r="E9320">
        <v>69</v>
      </c>
      <c r="F9320">
        <v>7</v>
      </c>
      <c r="G9320">
        <v>15</v>
      </c>
      <c r="H9320" t="s">
        <v>19447</v>
      </c>
      <c r="I9320" t="s">
        <v>19447</v>
      </c>
      <c r="J9320">
        <v>12</v>
      </c>
      <c r="L9320" t="s">
        <v>2709</v>
      </c>
      <c r="M9320">
        <v>85312000</v>
      </c>
      <c r="O9320" t="s">
        <v>20119</v>
      </c>
      <c r="P9320" t="s">
        <v>19908</v>
      </c>
      <c r="Q9320" t="s">
        <v>19983</v>
      </c>
      <c r="R9320" t="s">
        <v>19447</v>
      </c>
      <c r="S9320" t="s">
        <v>19447</v>
      </c>
      <c r="T9320" t="s">
        <v>19903</v>
      </c>
    </row>
    <row r="9321" spans="2:20" x14ac:dyDescent="0.25">
      <c r="B9321" t="s">
        <v>2709</v>
      </c>
      <c r="C9321">
        <v>85312000</v>
      </c>
      <c r="D9321">
        <v>1</v>
      </c>
      <c r="E9321" t="s">
        <v>19447</v>
      </c>
      <c r="F9321">
        <v>18</v>
      </c>
      <c r="G9321">
        <v>0</v>
      </c>
      <c r="H9321">
        <v>7.6</v>
      </c>
      <c r="I9321">
        <v>1.65</v>
      </c>
      <c r="J9321">
        <v>12</v>
      </c>
      <c r="L9321" t="s">
        <v>2709</v>
      </c>
      <c r="M9321">
        <v>85312000</v>
      </c>
      <c r="N9321">
        <v>1</v>
      </c>
      <c r="O9321" t="s">
        <v>19447</v>
      </c>
      <c r="P9321" t="s">
        <v>19899</v>
      </c>
      <c r="Q9321" t="s">
        <v>19900</v>
      </c>
      <c r="R9321" t="s">
        <v>19905</v>
      </c>
      <c r="S9321" t="s">
        <v>19906</v>
      </c>
      <c r="T9321" t="s">
        <v>19903</v>
      </c>
    </row>
    <row r="9322" spans="2:20" x14ac:dyDescent="0.25">
      <c r="B9322" t="s">
        <v>2709</v>
      </c>
      <c r="C9322">
        <v>85318000</v>
      </c>
      <c r="E9322">
        <v>69</v>
      </c>
      <c r="F9322">
        <v>25</v>
      </c>
      <c r="G9322">
        <v>15</v>
      </c>
      <c r="H9322" t="s">
        <v>19447</v>
      </c>
      <c r="I9322" t="s">
        <v>19447</v>
      </c>
      <c r="J9322">
        <v>18</v>
      </c>
      <c r="L9322" t="s">
        <v>2709</v>
      </c>
      <c r="M9322">
        <v>85318000</v>
      </c>
      <c r="O9322" t="s">
        <v>20119</v>
      </c>
      <c r="P9322" t="s">
        <v>19982</v>
      </c>
      <c r="Q9322" t="s">
        <v>19983</v>
      </c>
      <c r="R9322" t="s">
        <v>19447</v>
      </c>
      <c r="S9322" t="s">
        <v>19447</v>
      </c>
      <c r="T9322" t="s">
        <v>19899</v>
      </c>
    </row>
    <row r="9323" spans="2:20" x14ac:dyDescent="0.25">
      <c r="B9323" t="s">
        <v>2709</v>
      </c>
      <c r="C9323">
        <v>85319000</v>
      </c>
      <c r="E9323">
        <v>69</v>
      </c>
      <c r="F9323">
        <v>25</v>
      </c>
      <c r="G9323">
        <v>15</v>
      </c>
      <c r="H9323" t="s">
        <v>19447</v>
      </c>
      <c r="I9323" t="s">
        <v>19447</v>
      </c>
      <c r="J9323">
        <v>16</v>
      </c>
      <c r="L9323" t="s">
        <v>2709</v>
      </c>
      <c r="M9323">
        <v>85319000</v>
      </c>
      <c r="O9323" t="s">
        <v>20119</v>
      </c>
      <c r="P9323" t="s">
        <v>19982</v>
      </c>
      <c r="Q9323" t="s">
        <v>19983</v>
      </c>
      <c r="R9323" t="s">
        <v>19447</v>
      </c>
      <c r="S9323" t="s">
        <v>19447</v>
      </c>
      <c r="T9323" t="s">
        <v>19913</v>
      </c>
    </row>
    <row r="9324" spans="2:20" x14ac:dyDescent="0.25">
      <c r="B9324" t="s">
        <v>2709</v>
      </c>
      <c r="C9324">
        <v>85321000</v>
      </c>
      <c r="E9324">
        <v>75</v>
      </c>
      <c r="F9324">
        <v>25</v>
      </c>
      <c r="G9324">
        <v>0</v>
      </c>
      <c r="H9324" t="s">
        <v>19447</v>
      </c>
      <c r="I9324" t="s">
        <v>19447</v>
      </c>
      <c r="J9324">
        <v>16</v>
      </c>
      <c r="L9324" t="s">
        <v>2709</v>
      </c>
      <c r="M9324">
        <v>85321000</v>
      </c>
      <c r="O9324" t="s">
        <v>20072</v>
      </c>
      <c r="P9324" t="s">
        <v>19982</v>
      </c>
      <c r="Q9324" t="s">
        <v>19900</v>
      </c>
      <c r="R9324" t="s">
        <v>19447</v>
      </c>
      <c r="S9324" t="s">
        <v>19447</v>
      </c>
      <c r="T9324" t="s">
        <v>19913</v>
      </c>
    </row>
    <row r="9325" spans="2:20" x14ac:dyDescent="0.25">
      <c r="B9325" t="s">
        <v>2709</v>
      </c>
      <c r="C9325">
        <v>85322111</v>
      </c>
      <c r="E9325">
        <v>75</v>
      </c>
      <c r="F9325">
        <v>25</v>
      </c>
      <c r="G9325">
        <v>2</v>
      </c>
      <c r="H9325" t="s">
        <v>19447</v>
      </c>
      <c r="I9325" t="s">
        <v>19447</v>
      </c>
      <c r="J9325">
        <v>0</v>
      </c>
      <c r="L9325" t="s">
        <v>2709</v>
      </c>
      <c r="M9325">
        <v>85322111</v>
      </c>
      <c r="O9325" t="s">
        <v>20072</v>
      </c>
      <c r="P9325" t="s">
        <v>19982</v>
      </c>
      <c r="Q9325" t="s">
        <v>19901</v>
      </c>
      <c r="R9325" t="s">
        <v>19447</v>
      </c>
      <c r="S9325" t="s">
        <v>19447</v>
      </c>
      <c r="T9325" t="s">
        <v>19900</v>
      </c>
    </row>
    <row r="9326" spans="2:20" x14ac:dyDescent="0.25">
      <c r="B9326" t="s">
        <v>2709</v>
      </c>
      <c r="C9326">
        <v>85322119</v>
      </c>
      <c r="E9326">
        <v>75</v>
      </c>
      <c r="F9326">
        <v>25</v>
      </c>
      <c r="G9326">
        <v>2</v>
      </c>
      <c r="H9326" t="s">
        <v>19447</v>
      </c>
      <c r="I9326" t="s">
        <v>19447</v>
      </c>
      <c r="J9326">
        <v>16</v>
      </c>
      <c r="L9326" t="s">
        <v>2709</v>
      </c>
      <c r="M9326">
        <v>85322119</v>
      </c>
      <c r="O9326" t="s">
        <v>20072</v>
      </c>
      <c r="P9326" t="s">
        <v>19982</v>
      </c>
      <c r="Q9326" t="s">
        <v>19901</v>
      </c>
      <c r="R9326" t="s">
        <v>19447</v>
      </c>
      <c r="S9326" t="s">
        <v>19447</v>
      </c>
      <c r="T9326" t="s">
        <v>19913</v>
      </c>
    </row>
    <row r="9327" spans="2:20" x14ac:dyDescent="0.25">
      <c r="B9327" t="s">
        <v>2709</v>
      </c>
      <c r="C9327">
        <v>85322190</v>
      </c>
      <c r="E9327">
        <v>75</v>
      </c>
      <c r="F9327">
        <v>12</v>
      </c>
      <c r="G9327">
        <v>10</v>
      </c>
      <c r="H9327" t="s">
        <v>19447</v>
      </c>
      <c r="I9327" t="s">
        <v>19447</v>
      </c>
      <c r="J9327">
        <v>16</v>
      </c>
      <c r="L9327" t="s">
        <v>2709</v>
      </c>
      <c r="M9327">
        <v>85322190</v>
      </c>
      <c r="O9327" t="s">
        <v>20072</v>
      </c>
      <c r="P9327" t="s">
        <v>19903</v>
      </c>
      <c r="Q9327" t="s">
        <v>19904</v>
      </c>
      <c r="R9327" t="s">
        <v>19447</v>
      </c>
      <c r="S9327" t="s">
        <v>19447</v>
      </c>
      <c r="T9327" t="s">
        <v>19913</v>
      </c>
    </row>
    <row r="9328" spans="2:20" x14ac:dyDescent="0.25">
      <c r="B9328" t="s">
        <v>2709</v>
      </c>
      <c r="C9328">
        <v>85322200</v>
      </c>
      <c r="E9328">
        <v>75</v>
      </c>
      <c r="F9328">
        <v>12</v>
      </c>
      <c r="G9328">
        <v>10</v>
      </c>
      <c r="H9328" t="s">
        <v>19447</v>
      </c>
      <c r="I9328" t="s">
        <v>19447</v>
      </c>
      <c r="J9328">
        <v>16</v>
      </c>
      <c r="L9328" t="s">
        <v>2709</v>
      </c>
      <c r="M9328">
        <v>85322200</v>
      </c>
      <c r="O9328" t="s">
        <v>20072</v>
      </c>
      <c r="P9328" t="s">
        <v>19903</v>
      </c>
      <c r="Q9328" t="s">
        <v>19904</v>
      </c>
      <c r="R9328" t="s">
        <v>19447</v>
      </c>
      <c r="S9328" t="s">
        <v>19447</v>
      </c>
      <c r="T9328" t="s">
        <v>19913</v>
      </c>
    </row>
    <row r="9329" spans="2:20" x14ac:dyDescent="0.25">
      <c r="B9329" t="s">
        <v>2709</v>
      </c>
      <c r="C9329">
        <v>85322310</v>
      </c>
      <c r="E9329">
        <v>75</v>
      </c>
      <c r="F9329">
        <v>12</v>
      </c>
      <c r="G9329">
        <v>5</v>
      </c>
      <c r="H9329" t="s">
        <v>19447</v>
      </c>
      <c r="I9329" t="s">
        <v>19447</v>
      </c>
      <c r="J9329">
        <v>16</v>
      </c>
      <c r="L9329" t="s">
        <v>2709</v>
      </c>
      <c r="M9329">
        <v>85322310</v>
      </c>
      <c r="O9329" t="s">
        <v>20072</v>
      </c>
      <c r="P9329" t="s">
        <v>19903</v>
      </c>
      <c r="Q9329" t="s">
        <v>19909</v>
      </c>
      <c r="R9329" t="s">
        <v>19447</v>
      </c>
      <c r="S9329" t="s">
        <v>19447</v>
      </c>
      <c r="T9329" t="s">
        <v>19913</v>
      </c>
    </row>
    <row r="9330" spans="2:20" x14ac:dyDescent="0.25">
      <c r="B9330" t="s">
        <v>2709</v>
      </c>
      <c r="C9330">
        <v>85322390</v>
      </c>
      <c r="E9330">
        <v>75</v>
      </c>
      <c r="F9330">
        <v>12</v>
      </c>
      <c r="G9330">
        <v>10</v>
      </c>
      <c r="H9330" t="s">
        <v>19447</v>
      </c>
      <c r="I9330" t="s">
        <v>19447</v>
      </c>
      <c r="J9330">
        <v>16</v>
      </c>
      <c r="L9330" t="s">
        <v>2709</v>
      </c>
      <c r="M9330">
        <v>85322390</v>
      </c>
      <c r="O9330" t="s">
        <v>20072</v>
      </c>
      <c r="P9330" t="s">
        <v>19903</v>
      </c>
      <c r="Q9330" t="s">
        <v>19904</v>
      </c>
      <c r="R9330" t="s">
        <v>19447</v>
      </c>
      <c r="S9330" t="s">
        <v>19447</v>
      </c>
      <c r="T9330" t="s">
        <v>19913</v>
      </c>
    </row>
    <row r="9331" spans="2:20" x14ac:dyDescent="0.25">
      <c r="B9331" t="s">
        <v>2709</v>
      </c>
      <c r="C9331">
        <v>85322410</v>
      </c>
      <c r="E9331">
        <v>75</v>
      </c>
      <c r="F9331">
        <v>12</v>
      </c>
      <c r="G9331">
        <v>2</v>
      </c>
      <c r="H9331" t="s">
        <v>19447</v>
      </c>
      <c r="I9331" t="s">
        <v>19447</v>
      </c>
      <c r="J9331">
        <v>16</v>
      </c>
      <c r="L9331" t="s">
        <v>2709</v>
      </c>
      <c r="M9331">
        <v>85322410</v>
      </c>
      <c r="O9331" t="s">
        <v>20072</v>
      </c>
      <c r="P9331" t="s">
        <v>19903</v>
      </c>
      <c r="Q9331" t="s">
        <v>19901</v>
      </c>
      <c r="R9331" t="s">
        <v>19447</v>
      </c>
      <c r="S9331" t="s">
        <v>19447</v>
      </c>
      <c r="T9331" t="s">
        <v>19913</v>
      </c>
    </row>
    <row r="9332" spans="2:20" x14ac:dyDescent="0.25">
      <c r="B9332" t="s">
        <v>2709</v>
      </c>
      <c r="C9332">
        <v>85322490</v>
      </c>
      <c r="E9332">
        <v>75</v>
      </c>
      <c r="F9332">
        <v>12</v>
      </c>
      <c r="G9332">
        <v>10</v>
      </c>
      <c r="H9332" t="s">
        <v>19447</v>
      </c>
      <c r="I9332" t="s">
        <v>19447</v>
      </c>
      <c r="J9332">
        <v>16</v>
      </c>
      <c r="L9332" t="s">
        <v>2709</v>
      </c>
      <c r="M9332">
        <v>85322490</v>
      </c>
      <c r="O9332" t="s">
        <v>20072</v>
      </c>
      <c r="P9332" t="s">
        <v>19903</v>
      </c>
      <c r="Q9332" t="s">
        <v>19904</v>
      </c>
      <c r="R9332" t="s">
        <v>19447</v>
      </c>
      <c r="S9332" t="s">
        <v>19447</v>
      </c>
      <c r="T9332" t="s">
        <v>19913</v>
      </c>
    </row>
    <row r="9333" spans="2:20" x14ac:dyDescent="0.25">
      <c r="B9333" t="s">
        <v>2709</v>
      </c>
      <c r="C9333">
        <v>85322510</v>
      </c>
      <c r="E9333">
        <v>75</v>
      </c>
      <c r="F9333">
        <v>12</v>
      </c>
      <c r="G9333">
        <v>2</v>
      </c>
      <c r="H9333" t="s">
        <v>19447</v>
      </c>
      <c r="I9333" t="s">
        <v>19447</v>
      </c>
      <c r="J9333">
        <v>16</v>
      </c>
      <c r="L9333" t="s">
        <v>2709</v>
      </c>
      <c r="M9333">
        <v>85322510</v>
      </c>
      <c r="O9333" t="s">
        <v>20072</v>
      </c>
      <c r="P9333" t="s">
        <v>19903</v>
      </c>
      <c r="Q9333" t="s">
        <v>19901</v>
      </c>
      <c r="R9333" t="s">
        <v>19447</v>
      </c>
      <c r="S9333" t="s">
        <v>19447</v>
      </c>
      <c r="T9333" t="s">
        <v>19913</v>
      </c>
    </row>
    <row r="9334" spans="2:20" x14ac:dyDescent="0.25">
      <c r="B9334" t="s">
        <v>2709</v>
      </c>
      <c r="C9334">
        <v>85322590</v>
      </c>
      <c r="E9334">
        <v>75</v>
      </c>
      <c r="F9334">
        <v>12</v>
      </c>
      <c r="G9334">
        <v>10</v>
      </c>
      <c r="H9334" t="s">
        <v>19447</v>
      </c>
      <c r="I9334" t="s">
        <v>19447</v>
      </c>
      <c r="J9334">
        <v>16</v>
      </c>
      <c r="L9334" t="s">
        <v>2709</v>
      </c>
      <c r="M9334">
        <v>85322590</v>
      </c>
      <c r="O9334" t="s">
        <v>20072</v>
      </c>
      <c r="P9334" t="s">
        <v>19903</v>
      </c>
      <c r="Q9334" t="s">
        <v>19904</v>
      </c>
      <c r="R9334" t="s">
        <v>19447</v>
      </c>
      <c r="S9334" t="s">
        <v>19447</v>
      </c>
      <c r="T9334" t="s">
        <v>19913</v>
      </c>
    </row>
    <row r="9335" spans="2:20" x14ac:dyDescent="0.25">
      <c r="B9335" t="s">
        <v>2709</v>
      </c>
      <c r="C9335">
        <v>85322910</v>
      </c>
      <c r="E9335">
        <v>75</v>
      </c>
      <c r="F9335">
        <v>12</v>
      </c>
      <c r="G9335">
        <v>2</v>
      </c>
      <c r="H9335" t="s">
        <v>19447</v>
      </c>
      <c r="I9335" t="s">
        <v>19447</v>
      </c>
      <c r="J9335">
        <v>16</v>
      </c>
      <c r="L9335" t="s">
        <v>2709</v>
      </c>
      <c r="M9335">
        <v>85322910</v>
      </c>
      <c r="O9335" t="s">
        <v>20072</v>
      </c>
      <c r="P9335" t="s">
        <v>19903</v>
      </c>
      <c r="Q9335" t="s">
        <v>19901</v>
      </c>
      <c r="R9335" t="s">
        <v>19447</v>
      </c>
      <c r="S9335" t="s">
        <v>19447</v>
      </c>
      <c r="T9335" t="s">
        <v>19913</v>
      </c>
    </row>
    <row r="9336" spans="2:20" x14ac:dyDescent="0.25">
      <c r="B9336" t="s">
        <v>2709</v>
      </c>
      <c r="C9336">
        <v>85322990</v>
      </c>
      <c r="E9336">
        <v>75</v>
      </c>
      <c r="F9336">
        <v>12</v>
      </c>
      <c r="G9336">
        <v>10</v>
      </c>
      <c r="H9336" t="s">
        <v>19447</v>
      </c>
      <c r="I9336" t="s">
        <v>19447</v>
      </c>
      <c r="J9336">
        <v>16</v>
      </c>
      <c r="L9336" t="s">
        <v>2709</v>
      </c>
      <c r="M9336">
        <v>85322990</v>
      </c>
      <c r="O9336" t="s">
        <v>20072</v>
      </c>
      <c r="P9336" t="s">
        <v>19903</v>
      </c>
      <c r="Q9336" t="s">
        <v>19904</v>
      </c>
      <c r="R9336" t="s">
        <v>19447</v>
      </c>
      <c r="S9336" t="s">
        <v>19447</v>
      </c>
      <c r="T9336" t="s">
        <v>19913</v>
      </c>
    </row>
    <row r="9337" spans="2:20" x14ac:dyDescent="0.25">
      <c r="B9337" t="s">
        <v>2709</v>
      </c>
      <c r="C9337">
        <v>85323010</v>
      </c>
      <c r="E9337">
        <v>75</v>
      </c>
      <c r="F9337">
        <v>12</v>
      </c>
      <c r="G9337">
        <v>2</v>
      </c>
      <c r="H9337" t="s">
        <v>19447</v>
      </c>
      <c r="I9337" t="s">
        <v>19447</v>
      </c>
      <c r="J9337">
        <v>0</v>
      </c>
      <c r="L9337" t="s">
        <v>2709</v>
      </c>
      <c r="M9337">
        <v>85323010</v>
      </c>
      <c r="O9337" t="s">
        <v>20072</v>
      </c>
      <c r="P9337" t="s">
        <v>19903</v>
      </c>
      <c r="Q9337" t="s">
        <v>19901</v>
      </c>
      <c r="R9337" t="s">
        <v>19447</v>
      </c>
      <c r="S9337" t="s">
        <v>19447</v>
      </c>
      <c r="T9337" t="s">
        <v>19900</v>
      </c>
    </row>
    <row r="9338" spans="2:20" x14ac:dyDescent="0.25">
      <c r="B9338" t="s">
        <v>2709</v>
      </c>
      <c r="C9338">
        <v>85323090</v>
      </c>
      <c r="E9338">
        <v>75</v>
      </c>
      <c r="F9338">
        <v>12</v>
      </c>
      <c r="G9338">
        <v>10</v>
      </c>
      <c r="H9338" t="s">
        <v>19447</v>
      </c>
      <c r="I9338" t="s">
        <v>19447</v>
      </c>
      <c r="J9338">
        <v>16</v>
      </c>
      <c r="L9338" t="s">
        <v>2709</v>
      </c>
      <c r="M9338">
        <v>85323090</v>
      </c>
      <c r="O9338" t="s">
        <v>20072</v>
      </c>
      <c r="P9338" t="s">
        <v>19903</v>
      </c>
      <c r="Q9338" t="s">
        <v>19904</v>
      </c>
      <c r="R9338" t="s">
        <v>19447</v>
      </c>
      <c r="S9338" t="s">
        <v>19447</v>
      </c>
      <c r="T9338" t="s">
        <v>19913</v>
      </c>
    </row>
    <row r="9339" spans="2:20" x14ac:dyDescent="0.25">
      <c r="B9339" t="s">
        <v>2709</v>
      </c>
      <c r="C9339">
        <v>85329000</v>
      </c>
      <c r="E9339">
        <v>75</v>
      </c>
      <c r="F9339">
        <v>25</v>
      </c>
      <c r="G9339">
        <v>10</v>
      </c>
      <c r="H9339" t="s">
        <v>19447</v>
      </c>
      <c r="I9339" t="s">
        <v>19447</v>
      </c>
      <c r="J9339">
        <v>14</v>
      </c>
      <c r="L9339" t="s">
        <v>2709</v>
      </c>
      <c r="M9339">
        <v>85329000</v>
      </c>
      <c r="O9339" t="s">
        <v>20072</v>
      </c>
      <c r="P9339" t="s">
        <v>19982</v>
      </c>
      <c r="Q9339" t="s">
        <v>19904</v>
      </c>
      <c r="R9339" t="s">
        <v>19447</v>
      </c>
      <c r="S9339" t="s">
        <v>19447</v>
      </c>
      <c r="T9339" t="s">
        <v>19911</v>
      </c>
    </row>
    <row r="9340" spans="2:20" x14ac:dyDescent="0.25">
      <c r="B9340" t="s">
        <v>2709</v>
      </c>
      <c r="C9340">
        <v>85331000</v>
      </c>
      <c r="E9340">
        <v>76</v>
      </c>
      <c r="F9340">
        <v>25</v>
      </c>
      <c r="G9340">
        <v>10</v>
      </c>
      <c r="H9340" t="s">
        <v>19447</v>
      </c>
      <c r="I9340" t="s">
        <v>19447</v>
      </c>
      <c r="J9340">
        <v>16</v>
      </c>
      <c r="L9340" t="s">
        <v>2709</v>
      </c>
      <c r="M9340">
        <v>85331000</v>
      </c>
      <c r="O9340" t="s">
        <v>20118</v>
      </c>
      <c r="P9340" t="s">
        <v>19982</v>
      </c>
      <c r="Q9340" t="s">
        <v>19904</v>
      </c>
      <c r="R9340" t="s">
        <v>19447</v>
      </c>
      <c r="S9340" t="s">
        <v>19447</v>
      </c>
      <c r="T9340" t="s">
        <v>19913</v>
      </c>
    </row>
    <row r="9341" spans="2:20" x14ac:dyDescent="0.25">
      <c r="B9341" t="s">
        <v>2709</v>
      </c>
      <c r="C9341">
        <v>85332110</v>
      </c>
      <c r="E9341">
        <v>76</v>
      </c>
      <c r="F9341">
        <v>25</v>
      </c>
      <c r="G9341">
        <v>10</v>
      </c>
      <c r="H9341" t="s">
        <v>19447</v>
      </c>
      <c r="I9341" t="s">
        <v>19447</v>
      </c>
      <c r="J9341">
        <v>16</v>
      </c>
      <c r="L9341" t="s">
        <v>2709</v>
      </c>
      <c r="M9341">
        <v>85332110</v>
      </c>
      <c r="O9341" t="s">
        <v>20118</v>
      </c>
      <c r="P9341" t="s">
        <v>19982</v>
      </c>
      <c r="Q9341" t="s">
        <v>19904</v>
      </c>
      <c r="R9341" t="s">
        <v>19447</v>
      </c>
      <c r="S9341" t="s">
        <v>19447</v>
      </c>
      <c r="T9341" t="s">
        <v>19913</v>
      </c>
    </row>
    <row r="9342" spans="2:20" x14ac:dyDescent="0.25">
      <c r="B9342" t="s">
        <v>2709</v>
      </c>
      <c r="C9342">
        <v>85332120</v>
      </c>
      <c r="E9342">
        <v>76</v>
      </c>
      <c r="F9342">
        <v>25</v>
      </c>
      <c r="G9342">
        <v>2</v>
      </c>
      <c r="H9342" t="s">
        <v>19447</v>
      </c>
      <c r="I9342" t="s">
        <v>19447</v>
      </c>
      <c r="J9342">
        <v>0</v>
      </c>
      <c r="L9342" t="s">
        <v>2709</v>
      </c>
      <c r="M9342">
        <v>85332120</v>
      </c>
      <c r="O9342" t="s">
        <v>20118</v>
      </c>
      <c r="P9342" t="s">
        <v>19982</v>
      </c>
      <c r="Q9342" t="s">
        <v>19901</v>
      </c>
      <c r="R9342" t="s">
        <v>19447</v>
      </c>
      <c r="S9342" t="s">
        <v>19447</v>
      </c>
      <c r="T9342" t="s">
        <v>19900</v>
      </c>
    </row>
    <row r="9343" spans="2:20" x14ac:dyDescent="0.25">
      <c r="B9343" t="s">
        <v>2709</v>
      </c>
      <c r="C9343">
        <v>85332190</v>
      </c>
      <c r="E9343">
        <v>76</v>
      </c>
      <c r="F9343">
        <v>25</v>
      </c>
      <c r="G9343">
        <v>10</v>
      </c>
      <c r="H9343" t="s">
        <v>19447</v>
      </c>
      <c r="I9343" t="s">
        <v>19447</v>
      </c>
      <c r="J9343">
        <v>16</v>
      </c>
      <c r="L9343" t="s">
        <v>2709</v>
      </c>
      <c r="M9343">
        <v>85332190</v>
      </c>
      <c r="O9343" t="s">
        <v>20118</v>
      </c>
      <c r="P9343" t="s">
        <v>19982</v>
      </c>
      <c r="Q9343" t="s">
        <v>19904</v>
      </c>
      <c r="R9343" t="s">
        <v>19447</v>
      </c>
      <c r="S9343" t="s">
        <v>19447</v>
      </c>
      <c r="T9343" t="s">
        <v>19913</v>
      </c>
    </row>
    <row r="9344" spans="2:20" x14ac:dyDescent="0.25">
      <c r="B9344" t="s">
        <v>2709</v>
      </c>
      <c r="C9344">
        <v>85332900</v>
      </c>
      <c r="E9344">
        <v>76</v>
      </c>
      <c r="F9344">
        <v>25</v>
      </c>
      <c r="G9344">
        <v>10</v>
      </c>
      <c r="H9344" t="s">
        <v>19447</v>
      </c>
      <c r="I9344" t="s">
        <v>19447</v>
      </c>
      <c r="J9344">
        <v>16</v>
      </c>
      <c r="L9344" t="s">
        <v>2709</v>
      </c>
      <c r="M9344">
        <v>85332900</v>
      </c>
      <c r="O9344" t="s">
        <v>20118</v>
      </c>
      <c r="P9344" t="s">
        <v>19982</v>
      </c>
      <c r="Q9344" t="s">
        <v>19904</v>
      </c>
      <c r="R9344" t="s">
        <v>19447</v>
      </c>
      <c r="S9344" t="s">
        <v>19447</v>
      </c>
      <c r="T9344" t="s">
        <v>19913</v>
      </c>
    </row>
    <row r="9345" spans="2:20" x14ac:dyDescent="0.25">
      <c r="B9345" t="s">
        <v>2709</v>
      </c>
      <c r="C9345">
        <v>85333110</v>
      </c>
      <c r="E9345">
        <v>76</v>
      </c>
      <c r="F9345">
        <v>25</v>
      </c>
      <c r="G9345">
        <v>10</v>
      </c>
      <c r="H9345" t="s">
        <v>19447</v>
      </c>
      <c r="I9345" t="s">
        <v>19447</v>
      </c>
      <c r="J9345">
        <v>16</v>
      </c>
      <c r="L9345" t="s">
        <v>2709</v>
      </c>
      <c r="M9345">
        <v>85333110</v>
      </c>
      <c r="O9345" t="s">
        <v>20118</v>
      </c>
      <c r="P9345" t="s">
        <v>19982</v>
      </c>
      <c r="Q9345" t="s">
        <v>19904</v>
      </c>
      <c r="R9345" t="s">
        <v>19447</v>
      </c>
      <c r="S9345" t="s">
        <v>19447</v>
      </c>
      <c r="T9345" t="s">
        <v>19913</v>
      </c>
    </row>
    <row r="9346" spans="2:20" x14ac:dyDescent="0.25">
      <c r="B9346" t="s">
        <v>2709</v>
      </c>
      <c r="C9346">
        <v>85333190</v>
      </c>
      <c r="E9346">
        <v>76</v>
      </c>
      <c r="F9346">
        <v>25</v>
      </c>
      <c r="G9346">
        <v>10</v>
      </c>
      <c r="H9346" t="s">
        <v>19447</v>
      </c>
      <c r="I9346" t="s">
        <v>19447</v>
      </c>
      <c r="J9346">
        <v>16</v>
      </c>
      <c r="L9346" t="s">
        <v>2709</v>
      </c>
      <c r="M9346">
        <v>85333190</v>
      </c>
      <c r="O9346" t="s">
        <v>20118</v>
      </c>
      <c r="P9346" t="s">
        <v>19982</v>
      </c>
      <c r="Q9346" t="s">
        <v>19904</v>
      </c>
      <c r="R9346" t="s">
        <v>19447</v>
      </c>
      <c r="S9346" t="s">
        <v>19447</v>
      </c>
      <c r="T9346" t="s">
        <v>19913</v>
      </c>
    </row>
    <row r="9347" spans="2:20" x14ac:dyDescent="0.25">
      <c r="B9347" t="s">
        <v>2709</v>
      </c>
      <c r="C9347">
        <v>85333910</v>
      </c>
      <c r="E9347">
        <v>76</v>
      </c>
      <c r="F9347">
        <v>25</v>
      </c>
      <c r="G9347">
        <v>10</v>
      </c>
      <c r="H9347" t="s">
        <v>19447</v>
      </c>
      <c r="I9347" t="s">
        <v>19447</v>
      </c>
      <c r="J9347">
        <v>16</v>
      </c>
      <c r="L9347" t="s">
        <v>2709</v>
      </c>
      <c r="M9347">
        <v>85333910</v>
      </c>
      <c r="O9347" t="s">
        <v>20118</v>
      </c>
      <c r="P9347" t="s">
        <v>19982</v>
      </c>
      <c r="Q9347" t="s">
        <v>19904</v>
      </c>
      <c r="R9347" t="s">
        <v>19447</v>
      </c>
      <c r="S9347" t="s">
        <v>19447</v>
      </c>
      <c r="T9347" t="s">
        <v>19913</v>
      </c>
    </row>
    <row r="9348" spans="2:20" x14ac:dyDescent="0.25">
      <c r="B9348" t="s">
        <v>2709</v>
      </c>
      <c r="C9348">
        <v>85333990</v>
      </c>
      <c r="E9348">
        <v>76</v>
      </c>
      <c r="F9348">
        <v>25</v>
      </c>
      <c r="G9348">
        <v>10</v>
      </c>
      <c r="H9348" t="s">
        <v>19447</v>
      </c>
      <c r="I9348" t="s">
        <v>19447</v>
      </c>
      <c r="J9348">
        <v>16</v>
      </c>
      <c r="L9348" t="s">
        <v>2709</v>
      </c>
      <c r="M9348">
        <v>85333990</v>
      </c>
      <c r="O9348" t="s">
        <v>20118</v>
      </c>
      <c r="P9348" t="s">
        <v>19982</v>
      </c>
      <c r="Q9348" t="s">
        <v>19904</v>
      </c>
      <c r="R9348" t="s">
        <v>19447</v>
      </c>
      <c r="S9348" t="s">
        <v>19447</v>
      </c>
      <c r="T9348" t="s">
        <v>19913</v>
      </c>
    </row>
    <row r="9349" spans="2:20" x14ac:dyDescent="0.25">
      <c r="B9349" t="s">
        <v>2709</v>
      </c>
      <c r="C9349">
        <v>85334011</v>
      </c>
      <c r="E9349">
        <v>76</v>
      </c>
      <c r="F9349">
        <v>25</v>
      </c>
      <c r="G9349">
        <v>10</v>
      </c>
      <c r="H9349" t="s">
        <v>19447</v>
      </c>
      <c r="I9349" t="s">
        <v>19447</v>
      </c>
      <c r="J9349">
        <v>16</v>
      </c>
      <c r="L9349" t="s">
        <v>2709</v>
      </c>
      <c r="M9349">
        <v>85334011</v>
      </c>
      <c r="O9349" t="s">
        <v>20118</v>
      </c>
      <c r="P9349" t="s">
        <v>19982</v>
      </c>
      <c r="Q9349" t="s">
        <v>19904</v>
      </c>
      <c r="R9349" t="s">
        <v>19447</v>
      </c>
      <c r="S9349" t="s">
        <v>19447</v>
      </c>
      <c r="T9349" t="s">
        <v>19913</v>
      </c>
    </row>
    <row r="9350" spans="2:20" x14ac:dyDescent="0.25">
      <c r="B9350" t="s">
        <v>2709</v>
      </c>
      <c r="C9350">
        <v>85334012</v>
      </c>
      <c r="E9350">
        <v>76</v>
      </c>
      <c r="F9350">
        <v>25</v>
      </c>
      <c r="G9350">
        <v>10</v>
      </c>
      <c r="H9350" t="s">
        <v>19447</v>
      </c>
      <c r="I9350" t="s">
        <v>19447</v>
      </c>
      <c r="J9350">
        <v>16</v>
      </c>
      <c r="L9350" t="s">
        <v>2709</v>
      </c>
      <c r="M9350">
        <v>85334012</v>
      </c>
      <c r="O9350" t="s">
        <v>20118</v>
      </c>
      <c r="P9350" t="s">
        <v>19982</v>
      </c>
      <c r="Q9350" t="s">
        <v>19904</v>
      </c>
      <c r="R9350" t="s">
        <v>19447</v>
      </c>
      <c r="S9350" t="s">
        <v>19447</v>
      </c>
      <c r="T9350" t="s">
        <v>19913</v>
      </c>
    </row>
    <row r="9351" spans="2:20" x14ac:dyDescent="0.25">
      <c r="B9351" t="s">
        <v>2709</v>
      </c>
      <c r="C9351">
        <v>85334019</v>
      </c>
      <c r="E9351">
        <v>76</v>
      </c>
      <c r="F9351">
        <v>25</v>
      </c>
      <c r="G9351">
        <v>10</v>
      </c>
      <c r="H9351" t="s">
        <v>19447</v>
      </c>
      <c r="I9351" t="s">
        <v>19447</v>
      </c>
      <c r="J9351">
        <v>16</v>
      </c>
      <c r="L9351" t="s">
        <v>2709</v>
      </c>
      <c r="M9351">
        <v>85334019</v>
      </c>
      <c r="O9351" t="s">
        <v>20118</v>
      </c>
      <c r="P9351" t="s">
        <v>19982</v>
      </c>
      <c r="Q9351" t="s">
        <v>19904</v>
      </c>
      <c r="R9351" t="s">
        <v>19447</v>
      </c>
      <c r="S9351" t="s">
        <v>19447</v>
      </c>
      <c r="T9351" t="s">
        <v>19913</v>
      </c>
    </row>
    <row r="9352" spans="2:20" x14ac:dyDescent="0.25">
      <c r="B9352" t="s">
        <v>2709</v>
      </c>
      <c r="C9352">
        <v>85334091</v>
      </c>
      <c r="E9352">
        <v>76</v>
      </c>
      <c r="F9352">
        <v>12</v>
      </c>
      <c r="G9352">
        <v>10</v>
      </c>
      <c r="H9352" t="s">
        <v>19447</v>
      </c>
      <c r="I9352" t="s">
        <v>19447</v>
      </c>
      <c r="J9352">
        <v>2</v>
      </c>
      <c r="L9352" t="s">
        <v>2709</v>
      </c>
      <c r="M9352">
        <v>85334091</v>
      </c>
      <c r="O9352" t="s">
        <v>20118</v>
      </c>
      <c r="P9352" t="s">
        <v>19903</v>
      </c>
      <c r="Q9352" t="s">
        <v>19904</v>
      </c>
      <c r="R9352" t="s">
        <v>19447</v>
      </c>
      <c r="S9352" t="s">
        <v>19447</v>
      </c>
      <c r="T9352" t="s">
        <v>19901</v>
      </c>
    </row>
    <row r="9353" spans="2:20" x14ac:dyDescent="0.25">
      <c r="B9353" t="s">
        <v>2709</v>
      </c>
      <c r="C9353">
        <v>85334092</v>
      </c>
      <c r="E9353">
        <v>76</v>
      </c>
      <c r="F9353">
        <v>25</v>
      </c>
      <c r="G9353">
        <v>10</v>
      </c>
      <c r="H9353" t="s">
        <v>19447</v>
      </c>
      <c r="I9353" t="s">
        <v>19447</v>
      </c>
      <c r="J9353">
        <v>16</v>
      </c>
      <c r="L9353" t="s">
        <v>2709</v>
      </c>
      <c r="M9353">
        <v>85334092</v>
      </c>
      <c r="O9353" t="s">
        <v>20118</v>
      </c>
      <c r="P9353" t="s">
        <v>19982</v>
      </c>
      <c r="Q9353" t="s">
        <v>19904</v>
      </c>
      <c r="R9353" t="s">
        <v>19447</v>
      </c>
      <c r="S9353" t="s">
        <v>19447</v>
      </c>
      <c r="T9353" t="s">
        <v>19913</v>
      </c>
    </row>
    <row r="9354" spans="2:20" x14ac:dyDescent="0.25">
      <c r="B9354" t="s">
        <v>2709</v>
      </c>
      <c r="C9354">
        <v>85334099</v>
      </c>
      <c r="E9354">
        <v>76</v>
      </c>
      <c r="F9354">
        <v>25</v>
      </c>
      <c r="G9354">
        <v>10</v>
      </c>
      <c r="H9354" t="s">
        <v>19447</v>
      </c>
      <c r="I9354" t="s">
        <v>19447</v>
      </c>
      <c r="J9354">
        <v>16</v>
      </c>
      <c r="L9354" t="s">
        <v>2709</v>
      </c>
      <c r="M9354">
        <v>85334099</v>
      </c>
      <c r="O9354" t="s">
        <v>20118</v>
      </c>
      <c r="P9354" t="s">
        <v>19982</v>
      </c>
      <c r="Q9354" t="s">
        <v>19904</v>
      </c>
      <c r="R9354" t="s">
        <v>19447</v>
      </c>
      <c r="S9354" t="s">
        <v>19447</v>
      </c>
      <c r="T9354" t="s">
        <v>19913</v>
      </c>
    </row>
    <row r="9355" spans="2:20" x14ac:dyDescent="0.25">
      <c r="B9355" t="s">
        <v>2709</v>
      </c>
      <c r="C9355">
        <v>85339000</v>
      </c>
      <c r="E9355">
        <v>76</v>
      </c>
      <c r="F9355">
        <v>25</v>
      </c>
      <c r="G9355">
        <v>10</v>
      </c>
      <c r="H9355" t="s">
        <v>19447</v>
      </c>
      <c r="I9355" t="s">
        <v>19447</v>
      </c>
      <c r="J9355">
        <v>14</v>
      </c>
      <c r="L9355" t="s">
        <v>2709</v>
      </c>
      <c r="M9355">
        <v>85339000</v>
      </c>
      <c r="O9355" t="s">
        <v>20118</v>
      </c>
      <c r="P9355" t="s">
        <v>19982</v>
      </c>
      <c r="Q9355" t="s">
        <v>19904</v>
      </c>
      <c r="R9355" t="s">
        <v>19447</v>
      </c>
      <c r="S9355" t="s">
        <v>19447</v>
      </c>
      <c r="T9355" t="s">
        <v>19911</v>
      </c>
    </row>
    <row r="9356" spans="2:20" x14ac:dyDescent="0.25">
      <c r="B9356" t="s">
        <v>2709</v>
      </c>
      <c r="C9356">
        <v>85340011</v>
      </c>
      <c r="E9356">
        <v>76</v>
      </c>
      <c r="F9356">
        <v>25</v>
      </c>
      <c r="G9356">
        <v>10</v>
      </c>
      <c r="H9356" t="s">
        <v>19447</v>
      </c>
      <c r="I9356" t="s">
        <v>19447</v>
      </c>
      <c r="J9356">
        <v>12</v>
      </c>
      <c r="L9356" t="s">
        <v>2709</v>
      </c>
      <c r="M9356">
        <v>85340011</v>
      </c>
      <c r="O9356" t="s">
        <v>20118</v>
      </c>
      <c r="P9356" t="s">
        <v>19982</v>
      </c>
      <c r="Q9356" t="s">
        <v>19904</v>
      </c>
      <c r="R9356" t="s">
        <v>19447</v>
      </c>
      <c r="S9356" t="s">
        <v>19447</v>
      </c>
      <c r="T9356" t="s">
        <v>19903</v>
      </c>
    </row>
    <row r="9357" spans="2:20" x14ac:dyDescent="0.25">
      <c r="B9357" t="s">
        <v>2709</v>
      </c>
      <c r="C9357">
        <v>85340012</v>
      </c>
      <c r="E9357">
        <v>76</v>
      </c>
      <c r="F9357">
        <v>25</v>
      </c>
      <c r="G9357">
        <v>10</v>
      </c>
      <c r="H9357" t="s">
        <v>19447</v>
      </c>
      <c r="I9357" t="s">
        <v>19447</v>
      </c>
      <c r="J9357">
        <v>12</v>
      </c>
      <c r="L9357" t="s">
        <v>2709</v>
      </c>
      <c r="M9357">
        <v>85340012</v>
      </c>
      <c r="O9357" t="s">
        <v>20118</v>
      </c>
      <c r="P9357" t="s">
        <v>19982</v>
      </c>
      <c r="Q9357" t="s">
        <v>19904</v>
      </c>
      <c r="R9357" t="s">
        <v>19447</v>
      </c>
      <c r="S9357" t="s">
        <v>19447</v>
      </c>
      <c r="T9357" t="s">
        <v>19903</v>
      </c>
    </row>
    <row r="9358" spans="2:20" x14ac:dyDescent="0.25">
      <c r="B9358" t="s">
        <v>2709</v>
      </c>
      <c r="C9358">
        <v>85340013</v>
      </c>
      <c r="E9358">
        <v>76</v>
      </c>
      <c r="F9358">
        <v>25</v>
      </c>
      <c r="G9358">
        <v>10</v>
      </c>
      <c r="H9358" t="s">
        <v>19447</v>
      </c>
      <c r="I9358" t="s">
        <v>19447</v>
      </c>
      <c r="J9358">
        <v>12</v>
      </c>
      <c r="L9358" t="s">
        <v>2709</v>
      </c>
      <c r="M9358">
        <v>85340013</v>
      </c>
      <c r="O9358" t="s">
        <v>20118</v>
      </c>
      <c r="P9358" t="s">
        <v>19982</v>
      </c>
      <c r="Q9358" t="s">
        <v>19904</v>
      </c>
      <c r="R9358" t="s">
        <v>19447</v>
      </c>
      <c r="S9358" t="s">
        <v>19447</v>
      </c>
      <c r="T9358" t="s">
        <v>19903</v>
      </c>
    </row>
    <row r="9359" spans="2:20" x14ac:dyDescent="0.25">
      <c r="B9359" t="s">
        <v>2709</v>
      </c>
      <c r="C9359">
        <v>85340019</v>
      </c>
      <c r="E9359">
        <v>76</v>
      </c>
      <c r="F9359">
        <v>25</v>
      </c>
      <c r="G9359">
        <v>10</v>
      </c>
      <c r="H9359" t="s">
        <v>19447</v>
      </c>
      <c r="I9359" t="s">
        <v>19447</v>
      </c>
      <c r="J9359">
        <v>12</v>
      </c>
      <c r="L9359" t="s">
        <v>2709</v>
      </c>
      <c r="M9359">
        <v>85340019</v>
      </c>
      <c r="O9359" t="s">
        <v>20118</v>
      </c>
      <c r="P9359" t="s">
        <v>19982</v>
      </c>
      <c r="Q9359" t="s">
        <v>19904</v>
      </c>
      <c r="R9359" t="s">
        <v>19447</v>
      </c>
      <c r="S9359" t="s">
        <v>19447</v>
      </c>
      <c r="T9359" t="s">
        <v>19903</v>
      </c>
    </row>
    <row r="9360" spans="2:20" x14ac:dyDescent="0.25">
      <c r="B9360" t="s">
        <v>2709</v>
      </c>
      <c r="C9360">
        <v>85340020</v>
      </c>
      <c r="E9360">
        <v>76</v>
      </c>
      <c r="F9360">
        <v>25</v>
      </c>
      <c r="G9360">
        <v>10</v>
      </c>
      <c r="H9360" t="s">
        <v>19447</v>
      </c>
      <c r="I9360" t="s">
        <v>19447</v>
      </c>
      <c r="J9360">
        <v>10</v>
      </c>
      <c r="L9360" t="s">
        <v>2709</v>
      </c>
      <c r="M9360">
        <v>85340020</v>
      </c>
      <c r="O9360" t="s">
        <v>20118</v>
      </c>
      <c r="P9360" t="s">
        <v>19982</v>
      </c>
      <c r="Q9360" t="s">
        <v>19904</v>
      </c>
      <c r="R9360" t="s">
        <v>19447</v>
      </c>
      <c r="S9360" t="s">
        <v>19447</v>
      </c>
      <c r="T9360" t="s">
        <v>19904</v>
      </c>
    </row>
    <row r="9361" spans="2:20" x14ac:dyDescent="0.25">
      <c r="B9361" t="s">
        <v>2709</v>
      </c>
      <c r="C9361">
        <v>85340031</v>
      </c>
      <c r="E9361">
        <v>76</v>
      </c>
      <c r="F9361">
        <v>25</v>
      </c>
      <c r="G9361">
        <v>10</v>
      </c>
      <c r="H9361" t="s">
        <v>19447</v>
      </c>
      <c r="I9361" t="s">
        <v>19447</v>
      </c>
      <c r="J9361">
        <v>12</v>
      </c>
      <c r="L9361" t="s">
        <v>2709</v>
      </c>
      <c r="M9361">
        <v>85340031</v>
      </c>
      <c r="O9361" t="s">
        <v>20118</v>
      </c>
      <c r="P9361" t="s">
        <v>19982</v>
      </c>
      <c r="Q9361" t="s">
        <v>19904</v>
      </c>
      <c r="R9361" t="s">
        <v>19447</v>
      </c>
      <c r="S9361" t="s">
        <v>19447</v>
      </c>
      <c r="T9361" t="s">
        <v>19903</v>
      </c>
    </row>
    <row r="9362" spans="2:20" x14ac:dyDescent="0.25">
      <c r="B9362" t="s">
        <v>2709</v>
      </c>
      <c r="C9362">
        <v>85340032</v>
      </c>
      <c r="E9362">
        <v>76</v>
      </c>
      <c r="F9362">
        <v>25</v>
      </c>
      <c r="G9362">
        <v>10</v>
      </c>
      <c r="H9362" t="s">
        <v>19447</v>
      </c>
      <c r="I9362" t="s">
        <v>19447</v>
      </c>
      <c r="J9362">
        <v>12</v>
      </c>
      <c r="L9362" t="s">
        <v>2709</v>
      </c>
      <c r="M9362">
        <v>85340032</v>
      </c>
      <c r="O9362" t="s">
        <v>20118</v>
      </c>
      <c r="P9362" t="s">
        <v>19982</v>
      </c>
      <c r="Q9362" t="s">
        <v>19904</v>
      </c>
      <c r="R9362" t="s">
        <v>19447</v>
      </c>
      <c r="S9362" t="s">
        <v>19447</v>
      </c>
      <c r="T9362" t="s">
        <v>19903</v>
      </c>
    </row>
    <row r="9363" spans="2:20" x14ac:dyDescent="0.25">
      <c r="B9363" t="s">
        <v>2709</v>
      </c>
      <c r="C9363">
        <v>85340033</v>
      </c>
      <c r="E9363">
        <v>76</v>
      </c>
      <c r="F9363">
        <v>25</v>
      </c>
      <c r="G9363">
        <v>10</v>
      </c>
      <c r="H9363" t="s">
        <v>19447</v>
      </c>
      <c r="I9363" t="s">
        <v>19447</v>
      </c>
      <c r="J9363">
        <v>12</v>
      </c>
      <c r="L9363" t="s">
        <v>2709</v>
      </c>
      <c r="M9363">
        <v>85340033</v>
      </c>
      <c r="O9363" t="s">
        <v>20118</v>
      </c>
      <c r="P9363" t="s">
        <v>19982</v>
      </c>
      <c r="Q9363" t="s">
        <v>19904</v>
      </c>
      <c r="R9363" t="s">
        <v>19447</v>
      </c>
      <c r="S9363" t="s">
        <v>19447</v>
      </c>
      <c r="T9363" t="s">
        <v>19903</v>
      </c>
    </row>
    <row r="9364" spans="2:20" x14ac:dyDescent="0.25">
      <c r="B9364" t="s">
        <v>2709</v>
      </c>
      <c r="C9364">
        <v>85340039</v>
      </c>
      <c r="E9364">
        <v>76</v>
      </c>
      <c r="F9364">
        <v>25</v>
      </c>
      <c r="G9364">
        <v>10</v>
      </c>
      <c r="H9364" t="s">
        <v>19447</v>
      </c>
      <c r="I9364" t="s">
        <v>19447</v>
      </c>
      <c r="J9364">
        <v>12</v>
      </c>
      <c r="L9364" t="s">
        <v>2709</v>
      </c>
      <c r="M9364">
        <v>85340039</v>
      </c>
      <c r="O9364" t="s">
        <v>20118</v>
      </c>
      <c r="P9364" t="s">
        <v>19982</v>
      </c>
      <c r="Q9364" t="s">
        <v>19904</v>
      </c>
      <c r="R9364" t="s">
        <v>19447</v>
      </c>
      <c r="S9364" t="s">
        <v>19447</v>
      </c>
      <c r="T9364" t="s">
        <v>19903</v>
      </c>
    </row>
    <row r="9365" spans="2:20" x14ac:dyDescent="0.25">
      <c r="B9365" t="s">
        <v>2709</v>
      </c>
      <c r="C9365">
        <v>85340040</v>
      </c>
      <c r="E9365">
        <v>76</v>
      </c>
      <c r="F9365">
        <v>25</v>
      </c>
      <c r="G9365">
        <v>10</v>
      </c>
      <c r="H9365" t="s">
        <v>19447</v>
      </c>
      <c r="I9365" t="s">
        <v>19447</v>
      </c>
      <c r="J9365">
        <v>10</v>
      </c>
      <c r="L9365" t="s">
        <v>2709</v>
      </c>
      <c r="M9365">
        <v>85340040</v>
      </c>
      <c r="O9365" t="s">
        <v>20118</v>
      </c>
      <c r="P9365" t="s">
        <v>19982</v>
      </c>
      <c r="Q9365" t="s">
        <v>19904</v>
      </c>
      <c r="R9365" t="s">
        <v>19447</v>
      </c>
      <c r="S9365" t="s">
        <v>19447</v>
      </c>
      <c r="T9365" t="s">
        <v>19904</v>
      </c>
    </row>
    <row r="9366" spans="2:20" x14ac:dyDescent="0.25">
      <c r="B9366" t="s">
        <v>2709</v>
      </c>
      <c r="C9366">
        <v>85340051</v>
      </c>
      <c r="E9366">
        <v>76</v>
      </c>
      <c r="F9366">
        <v>25</v>
      </c>
      <c r="G9366">
        <v>10</v>
      </c>
      <c r="H9366" t="s">
        <v>19447</v>
      </c>
      <c r="I9366" t="s">
        <v>19447</v>
      </c>
      <c r="J9366">
        <v>12</v>
      </c>
      <c r="L9366" t="s">
        <v>2709</v>
      </c>
      <c r="M9366">
        <v>85340051</v>
      </c>
      <c r="O9366" t="s">
        <v>20118</v>
      </c>
      <c r="P9366" t="s">
        <v>19982</v>
      </c>
      <c r="Q9366" t="s">
        <v>19904</v>
      </c>
      <c r="R9366" t="s">
        <v>19447</v>
      </c>
      <c r="S9366" t="s">
        <v>19447</v>
      </c>
      <c r="T9366" t="s">
        <v>19903</v>
      </c>
    </row>
    <row r="9367" spans="2:20" x14ac:dyDescent="0.25">
      <c r="B9367" t="s">
        <v>2709</v>
      </c>
      <c r="C9367">
        <v>85340059</v>
      </c>
      <c r="E9367">
        <v>76</v>
      </c>
      <c r="F9367">
        <v>25</v>
      </c>
      <c r="G9367">
        <v>10</v>
      </c>
      <c r="H9367" t="s">
        <v>19447</v>
      </c>
      <c r="I9367" t="s">
        <v>19447</v>
      </c>
      <c r="J9367">
        <v>12</v>
      </c>
      <c r="L9367" t="s">
        <v>2709</v>
      </c>
      <c r="M9367">
        <v>85340059</v>
      </c>
      <c r="O9367" t="s">
        <v>20118</v>
      </c>
      <c r="P9367" t="s">
        <v>19982</v>
      </c>
      <c r="Q9367" t="s">
        <v>19904</v>
      </c>
      <c r="R9367" t="s">
        <v>19447</v>
      </c>
      <c r="S9367" t="s">
        <v>19447</v>
      </c>
      <c r="T9367" t="s">
        <v>19903</v>
      </c>
    </row>
    <row r="9368" spans="2:20" x14ac:dyDescent="0.25">
      <c r="B9368" t="s">
        <v>2709</v>
      </c>
      <c r="C9368">
        <v>85351000</v>
      </c>
      <c r="E9368">
        <v>44</v>
      </c>
      <c r="F9368">
        <v>25</v>
      </c>
      <c r="G9368">
        <v>0</v>
      </c>
      <c r="H9368" t="s">
        <v>19447</v>
      </c>
      <c r="I9368" t="s">
        <v>19447</v>
      </c>
      <c r="J9368">
        <v>16</v>
      </c>
      <c r="L9368" t="s">
        <v>2709</v>
      </c>
      <c r="M9368">
        <v>85351000</v>
      </c>
      <c r="O9368" t="s">
        <v>20122</v>
      </c>
      <c r="P9368" t="s">
        <v>19982</v>
      </c>
      <c r="Q9368" t="s">
        <v>19900</v>
      </c>
      <c r="R9368" t="s">
        <v>19447</v>
      </c>
      <c r="S9368" t="s">
        <v>19447</v>
      </c>
      <c r="T9368" t="s">
        <v>19913</v>
      </c>
    </row>
    <row r="9369" spans="2:20" x14ac:dyDescent="0.25">
      <c r="B9369" t="s">
        <v>2709</v>
      </c>
      <c r="C9369">
        <v>85352100</v>
      </c>
      <c r="E9369">
        <v>44</v>
      </c>
      <c r="F9369">
        <v>25</v>
      </c>
      <c r="G9369">
        <v>5</v>
      </c>
      <c r="H9369" t="s">
        <v>19447</v>
      </c>
      <c r="I9369" t="s">
        <v>19447</v>
      </c>
      <c r="J9369">
        <v>16</v>
      </c>
      <c r="L9369" t="s">
        <v>2709</v>
      </c>
      <c r="M9369">
        <v>85352100</v>
      </c>
      <c r="O9369" t="s">
        <v>20122</v>
      </c>
      <c r="P9369" t="s">
        <v>19982</v>
      </c>
      <c r="Q9369" t="s">
        <v>19909</v>
      </c>
      <c r="R9369" t="s">
        <v>19447</v>
      </c>
      <c r="S9369" t="s">
        <v>19447</v>
      </c>
      <c r="T9369" t="s">
        <v>19913</v>
      </c>
    </row>
    <row r="9370" spans="2:20" x14ac:dyDescent="0.25">
      <c r="B9370" t="s">
        <v>2709</v>
      </c>
      <c r="C9370">
        <v>85352900</v>
      </c>
      <c r="E9370">
        <v>44</v>
      </c>
      <c r="F9370">
        <v>25</v>
      </c>
      <c r="G9370">
        <v>0</v>
      </c>
      <c r="H9370" t="s">
        <v>19447</v>
      </c>
      <c r="I9370" t="s">
        <v>19447</v>
      </c>
      <c r="J9370">
        <v>16</v>
      </c>
      <c r="L9370" t="s">
        <v>2709</v>
      </c>
      <c r="M9370">
        <v>85352900</v>
      </c>
      <c r="O9370" t="s">
        <v>20122</v>
      </c>
      <c r="P9370" t="s">
        <v>19982</v>
      </c>
      <c r="Q9370" t="s">
        <v>19900</v>
      </c>
      <c r="R9370" t="s">
        <v>19447</v>
      </c>
      <c r="S9370" t="s">
        <v>19447</v>
      </c>
      <c r="T9370" t="s">
        <v>19913</v>
      </c>
    </row>
    <row r="9371" spans="2:20" x14ac:dyDescent="0.25">
      <c r="B9371" t="s">
        <v>2709</v>
      </c>
      <c r="C9371">
        <v>85353013</v>
      </c>
      <c r="E9371">
        <v>71.78</v>
      </c>
      <c r="F9371">
        <v>25</v>
      </c>
      <c r="G9371">
        <v>5</v>
      </c>
      <c r="H9371" t="s">
        <v>19447</v>
      </c>
      <c r="I9371" t="s">
        <v>19447</v>
      </c>
      <c r="J9371">
        <v>2</v>
      </c>
      <c r="L9371" t="s">
        <v>2709</v>
      </c>
      <c r="M9371">
        <v>85353013</v>
      </c>
      <c r="O9371" t="s">
        <v>20056</v>
      </c>
      <c r="P9371" t="s">
        <v>19982</v>
      </c>
      <c r="Q9371" t="s">
        <v>19909</v>
      </c>
      <c r="R9371" t="s">
        <v>19447</v>
      </c>
      <c r="S9371" t="s">
        <v>19447</v>
      </c>
      <c r="T9371" t="s">
        <v>19901</v>
      </c>
    </row>
    <row r="9372" spans="2:20" x14ac:dyDescent="0.25">
      <c r="B9372" t="s">
        <v>2709</v>
      </c>
      <c r="C9372">
        <v>85353017</v>
      </c>
      <c r="E9372">
        <v>71.78</v>
      </c>
      <c r="F9372">
        <v>25</v>
      </c>
      <c r="G9372">
        <v>5</v>
      </c>
      <c r="H9372" t="s">
        <v>19447</v>
      </c>
      <c r="I9372" t="s">
        <v>19447</v>
      </c>
      <c r="J9372">
        <v>16</v>
      </c>
      <c r="L9372" t="s">
        <v>2709</v>
      </c>
      <c r="M9372">
        <v>85353017</v>
      </c>
      <c r="O9372" t="s">
        <v>20056</v>
      </c>
      <c r="P9372" t="s">
        <v>19982</v>
      </c>
      <c r="Q9372" t="s">
        <v>19909</v>
      </c>
      <c r="R9372" t="s">
        <v>19447</v>
      </c>
      <c r="S9372" t="s">
        <v>19447</v>
      </c>
      <c r="T9372" t="s">
        <v>19913</v>
      </c>
    </row>
    <row r="9373" spans="2:20" x14ac:dyDescent="0.25">
      <c r="B9373" t="s">
        <v>2709</v>
      </c>
      <c r="C9373">
        <v>85353018</v>
      </c>
      <c r="E9373">
        <v>71.78</v>
      </c>
      <c r="F9373">
        <v>25</v>
      </c>
      <c r="G9373">
        <v>5</v>
      </c>
      <c r="H9373" t="s">
        <v>19447</v>
      </c>
      <c r="I9373" t="s">
        <v>19447</v>
      </c>
      <c r="J9373">
        <v>16</v>
      </c>
      <c r="L9373" t="s">
        <v>2709</v>
      </c>
      <c r="M9373">
        <v>85353018</v>
      </c>
      <c r="O9373" t="s">
        <v>20056</v>
      </c>
      <c r="P9373" t="s">
        <v>19982</v>
      </c>
      <c r="Q9373" t="s">
        <v>19909</v>
      </c>
      <c r="R9373" t="s">
        <v>19447</v>
      </c>
      <c r="S9373" t="s">
        <v>19447</v>
      </c>
      <c r="T9373" t="s">
        <v>19913</v>
      </c>
    </row>
    <row r="9374" spans="2:20" x14ac:dyDescent="0.25">
      <c r="B9374" t="s">
        <v>2709</v>
      </c>
      <c r="C9374">
        <v>85353019</v>
      </c>
      <c r="E9374">
        <v>71.78</v>
      </c>
      <c r="F9374">
        <v>25</v>
      </c>
      <c r="G9374">
        <v>5</v>
      </c>
      <c r="H9374" t="s">
        <v>19447</v>
      </c>
      <c r="I9374" t="s">
        <v>19447</v>
      </c>
      <c r="J9374">
        <v>16</v>
      </c>
      <c r="L9374" t="s">
        <v>2709</v>
      </c>
      <c r="M9374">
        <v>85353019</v>
      </c>
      <c r="O9374" t="s">
        <v>20056</v>
      </c>
      <c r="P9374" t="s">
        <v>19982</v>
      </c>
      <c r="Q9374" t="s">
        <v>19909</v>
      </c>
      <c r="R9374" t="s">
        <v>19447</v>
      </c>
      <c r="S9374" t="s">
        <v>19447</v>
      </c>
      <c r="T9374" t="s">
        <v>19913</v>
      </c>
    </row>
    <row r="9375" spans="2:20" x14ac:dyDescent="0.25">
      <c r="B9375" t="s">
        <v>2709</v>
      </c>
      <c r="C9375">
        <v>85353023</v>
      </c>
      <c r="E9375">
        <v>71.78</v>
      </c>
      <c r="F9375">
        <v>25</v>
      </c>
      <c r="G9375">
        <v>0</v>
      </c>
      <c r="H9375" t="s">
        <v>19447</v>
      </c>
      <c r="I9375" t="s">
        <v>19447</v>
      </c>
      <c r="J9375">
        <v>2</v>
      </c>
      <c r="L9375" t="s">
        <v>2709</v>
      </c>
      <c r="M9375">
        <v>85353023</v>
      </c>
      <c r="O9375" t="s">
        <v>20056</v>
      </c>
      <c r="P9375" t="s">
        <v>19982</v>
      </c>
      <c r="Q9375" t="s">
        <v>19900</v>
      </c>
      <c r="R9375" t="s">
        <v>19447</v>
      </c>
      <c r="S9375" t="s">
        <v>19447</v>
      </c>
      <c r="T9375" t="s">
        <v>19901</v>
      </c>
    </row>
    <row r="9376" spans="2:20" x14ac:dyDescent="0.25">
      <c r="B9376" t="s">
        <v>2709</v>
      </c>
      <c r="C9376">
        <v>85353027</v>
      </c>
      <c r="E9376">
        <v>71.78</v>
      </c>
      <c r="F9376">
        <v>25</v>
      </c>
      <c r="G9376">
        <v>0</v>
      </c>
      <c r="H9376" t="s">
        <v>19447</v>
      </c>
      <c r="I9376" t="s">
        <v>19447</v>
      </c>
      <c r="J9376">
        <v>16</v>
      </c>
      <c r="L9376" t="s">
        <v>2709</v>
      </c>
      <c r="M9376">
        <v>85353027</v>
      </c>
      <c r="O9376" t="s">
        <v>20056</v>
      </c>
      <c r="P9376" t="s">
        <v>19982</v>
      </c>
      <c r="Q9376" t="s">
        <v>19900</v>
      </c>
      <c r="R9376" t="s">
        <v>19447</v>
      </c>
      <c r="S9376" t="s">
        <v>19447</v>
      </c>
      <c r="T9376" t="s">
        <v>19913</v>
      </c>
    </row>
    <row r="9377" spans="2:20" x14ac:dyDescent="0.25">
      <c r="B9377" t="s">
        <v>2709</v>
      </c>
      <c r="C9377">
        <v>85353028</v>
      </c>
      <c r="E9377">
        <v>71.78</v>
      </c>
      <c r="F9377">
        <v>25</v>
      </c>
      <c r="G9377">
        <v>0</v>
      </c>
      <c r="H9377" t="s">
        <v>19447</v>
      </c>
      <c r="I9377" t="s">
        <v>19447</v>
      </c>
      <c r="J9377">
        <v>16</v>
      </c>
      <c r="L9377" t="s">
        <v>2709</v>
      </c>
      <c r="M9377">
        <v>85353028</v>
      </c>
      <c r="O9377" t="s">
        <v>20056</v>
      </c>
      <c r="P9377" t="s">
        <v>19982</v>
      </c>
      <c r="Q9377" t="s">
        <v>19900</v>
      </c>
      <c r="R9377" t="s">
        <v>19447</v>
      </c>
      <c r="S9377" t="s">
        <v>19447</v>
      </c>
      <c r="T9377" t="s">
        <v>19913</v>
      </c>
    </row>
    <row r="9378" spans="2:20" x14ac:dyDescent="0.25">
      <c r="B9378" t="s">
        <v>2709</v>
      </c>
      <c r="C9378">
        <v>85353029</v>
      </c>
      <c r="E9378">
        <v>71.78</v>
      </c>
      <c r="F9378">
        <v>25</v>
      </c>
      <c r="G9378">
        <v>0</v>
      </c>
      <c r="H9378" t="s">
        <v>19447</v>
      </c>
      <c r="I9378" t="s">
        <v>19447</v>
      </c>
      <c r="J9378">
        <v>16</v>
      </c>
      <c r="L9378" t="s">
        <v>2709</v>
      </c>
      <c r="M9378">
        <v>85353029</v>
      </c>
      <c r="O9378" t="s">
        <v>20056</v>
      </c>
      <c r="P9378" t="s">
        <v>19982</v>
      </c>
      <c r="Q9378" t="s">
        <v>19900</v>
      </c>
      <c r="R9378" t="s">
        <v>19447</v>
      </c>
      <c r="S9378" t="s">
        <v>19447</v>
      </c>
      <c r="T9378" t="s">
        <v>19913</v>
      </c>
    </row>
    <row r="9379" spans="2:20" x14ac:dyDescent="0.25">
      <c r="B9379" t="s">
        <v>2709</v>
      </c>
      <c r="C9379">
        <v>85354010</v>
      </c>
      <c r="E9379">
        <v>44</v>
      </c>
      <c r="F9379">
        <v>25</v>
      </c>
      <c r="G9379">
        <v>0</v>
      </c>
      <c r="H9379" t="s">
        <v>19447</v>
      </c>
      <c r="I9379" t="s">
        <v>19447</v>
      </c>
      <c r="J9379">
        <v>16</v>
      </c>
      <c r="L9379" t="s">
        <v>2709</v>
      </c>
      <c r="M9379">
        <v>85354010</v>
      </c>
      <c r="O9379" t="s">
        <v>20122</v>
      </c>
      <c r="P9379" t="s">
        <v>19982</v>
      </c>
      <c r="Q9379" t="s">
        <v>19900</v>
      </c>
      <c r="R9379" t="s">
        <v>19447</v>
      </c>
      <c r="S9379" t="s">
        <v>19447</v>
      </c>
      <c r="T9379" t="s">
        <v>19913</v>
      </c>
    </row>
    <row r="9380" spans="2:20" x14ac:dyDescent="0.25">
      <c r="B9380" t="s">
        <v>2709</v>
      </c>
      <c r="C9380">
        <v>85354090</v>
      </c>
      <c r="E9380">
        <v>44</v>
      </c>
      <c r="F9380">
        <v>25</v>
      </c>
      <c r="G9380">
        <v>0</v>
      </c>
      <c r="H9380" t="s">
        <v>19447</v>
      </c>
      <c r="I9380" t="s">
        <v>19447</v>
      </c>
      <c r="J9380">
        <v>16</v>
      </c>
      <c r="L9380" t="s">
        <v>2709</v>
      </c>
      <c r="M9380">
        <v>85354090</v>
      </c>
      <c r="O9380" t="s">
        <v>20122</v>
      </c>
      <c r="P9380" t="s">
        <v>19982</v>
      </c>
      <c r="Q9380" t="s">
        <v>19900</v>
      </c>
      <c r="R9380" t="s">
        <v>19447</v>
      </c>
      <c r="S9380" t="s">
        <v>19447</v>
      </c>
      <c r="T9380" t="s">
        <v>19913</v>
      </c>
    </row>
    <row r="9381" spans="2:20" x14ac:dyDescent="0.25">
      <c r="B9381" t="s">
        <v>2709</v>
      </c>
      <c r="C9381">
        <v>85359000</v>
      </c>
      <c r="E9381">
        <v>44</v>
      </c>
      <c r="F9381">
        <v>25</v>
      </c>
      <c r="G9381">
        <v>5</v>
      </c>
      <c r="H9381" t="s">
        <v>19447</v>
      </c>
      <c r="I9381" t="s">
        <v>19447</v>
      </c>
      <c r="J9381">
        <v>16</v>
      </c>
      <c r="L9381" t="s">
        <v>2709</v>
      </c>
      <c r="M9381">
        <v>85359000</v>
      </c>
      <c r="O9381" t="s">
        <v>20122</v>
      </c>
      <c r="P9381" t="s">
        <v>19982</v>
      </c>
      <c r="Q9381" t="s">
        <v>19909</v>
      </c>
      <c r="R9381" t="s">
        <v>19447</v>
      </c>
      <c r="S9381" t="s">
        <v>19447</v>
      </c>
      <c r="T9381" t="s">
        <v>19913</v>
      </c>
    </row>
    <row r="9382" spans="2:20" x14ac:dyDescent="0.25">
      <c r="B9382" t="s">
        <v>2709</v>
      </c>
      <c r="C9382">
        <v>85361000</v>
      </c>
      <c r="E9382">
        <v>71.78</v>
      </c>
      <c r="F9382">
        <v>25</v>
      </c>
      <c r="G9382">
        <v>15</v>
      </c>
      <c r="H9382" t="s">
        <v>19447</v>
      </c>
      <c r="I9382" t="s">
        <v>19447</v>
      </c>
      <c r="J9382">
        <v>16</v>
      </c>
      <c r="L9382" t="s">
        <v>2709</v>
      </c>
      <c r="M9382">
        <v>85361000</v>
      </c>
      <c r="O9382" t="s">
        <v>20056</v>
      </c>
      <c r="P9382" t="s">
        <v>19982</v>
      </c>
      <c r="Q9382" t="s">
        <v>19983</v>
      </c>
      <c r="R9382" t="s">
        <v>19447</v>
      </c>
      <c r="S9382" t="s">
        <v>19447</v>
      </c>
      <c r="T9382" t="s">
        <v>19913</v>
      </c>
    </row>
    <row r="9383" spans="2:20" x14ac:dyDescent="0.25">
      <c r="B9383" t="s">
        <v>2709</v>
      </c>
      <c r="C9383">
        <v>85362000</v>
      </c>
      <c r="E9383">
        <v>71.78</v>
      </c>
      <c r="F9383">
        <v>25</v>
      </c>
      <c r="G9383">
        <v>10</v>
      </c>
      <c r="H9383" t="s">
        <v>19447</v>
      </c>
      <c r="I9383" t="s">
        <v>19447</v>
      </c>
      <c r="J9383">
        <v>18</v>
      </c>
      <c r="L9383" t="s">
        <v>2709</v>
      </c>
      <c r="M9383">
        <v>85362000</v>
      </c>
      <c r="O9383" t="s">
        <v>20056</v>
      </c>
      <c r="P9383" t="s">
        <v>19982</v>
      </c>
      <c r="Q9383" t="s">
        <v>19904</v>
      </c>
      <c r="R9383" t="s">
        <v>19447</v>
      </c>
      <c r="S9383" t="s">
        <v>19447</v>
      </c>
      <c r="T9383" t="s">
        <v>19899</v>
      </c>
    </row>
    <row r="9384" spans="2:20" x14ac:dyDescent="0.25">
      <c r="B9384" t="s">
        <v>2709</v>
      </c>
      <c r="C9384">
        <v>85363000</v>
      </c>
      <c r="E9384">
        <v>42</v>
      </c>
      <c r="F9384">
        <v>25</v>
      </c>
      <c r="G9384">
        <v>15</v>
      </c>
      <c r="H9384" t="s">
        <v>19447</v>
      </c>
      <c r="I9384" t="s">
        <v>19447</v>
      </c>
      <c r="J9384">
        <v>16</v>
      </c>
      <c r="L9384" t="s">
        <v>2709</v>
      </c>
      <c r="M9384">
        <v>85363000</v>
      </c>
      <c r="O9384" t="s">
        <v>20041</v>
      </c>
      <c r="P9384" t="s">
        <v>19982</v>
      </c>
      <c r="Q9384" t="s">
        <v>19983</v>
      </c>
      <c r="R9384" t="s">
        <v>19447</v>
      </c>
      <c r="S9384" t="s">
        <v>19447</v>
      </c>
      <c r="T9384" t="s">
        <v>19913</v>
      </c>
    </row>
    <row r="9385" spans="2:20" x14ac:dyDescent="0.25">
      <c r="B9385" t="s">
        <v>2709</v>
      </c>
      <c r="C9385">
        <v>85363000</v>
      </c>
      <c r="D9385">
        <v>1</v>
      </c>
      <c r="E9385" t="s">
        <v>19447</v>
      </c>
      <c r="F9385">
        <v>18</v>
      </c>
      <c r="G9385">
        <v>5</v>
      </c>
      <c r="H9385">
        <v>7.6</v>
      </c>
      <c r="I9385">
        <v>1.65</v>
      </c>
      <c r="J9385">
        <v>16</v>
      </c>
      <c r="L9385" t="s">
        <v>2709</v>
      </c>
      <c r="M9385">
        <v>85363000</v>
      </c>
      <c r="N9385">
        <v>1</v>
      </c>
      <c r="O9385" t="s">
        <v>19447</v>
      </c>
      <c r="P9385" t="s">
        <v>19899</v>
      </c>
      <c r="Q9385" t="s">
        <v>19909</v>
      </c>
      <c r="R9385" t="s">
        <v>19905</v>
      </c>
      <c r="S9385" t="s">
        <v>19906</v>
      </c>
      <c r="T9385" t="s">
        <v>19913</v>
      </c>
    </row>
    <row r="9386" spans="2:20" x14ac:dyDescent="0.25">
      <c r="B9386" t="s">
        <v>2709</v>
      </c>
      <c r="C9386">
        <v>85364100</v>
      </c>
      <c r="E9386">
        <v>71.78</v>
      </c>
      <c r="F9386">
        <v>12</v>
      </c>
      <c r="G9386">
        <v>5</v>
      </c>
      <c r="H9386" t="s">
        <v>19447</v>
      </c>
      <c r="I9386" t="s">
        <v>19447</v>
      </c>
      <c r="J9386">
        <v>16</v>
      </c>
      <c r="L9386" t="s">
        <v>2709</v>
      </c>
      <c r="M9386">
        <v>85364100</v>
      </c>
      <c r="O9386" t="s">
        <v>20056</v>
      </c>
      <c r="P9386" t="s">
        <v>19903</v>
      </c>
      <c r="Q9386" t="s">
        <v>19909</v>
      </c>
      <c r="R9386" t="s">
        <v>19447</v>
      </c>
      <c r="S9386" t="s">
        <v>19447</v>
      </c>
      <c r="T9386" t="s">
        <v>19913</v>
      </c>
    </row>
    <row r="9387" spans="2:20" x14ac:dyDescent="0.25">
      <c r="B9387" t="s">
        <v>2709</v>
      </c>
      <c r="C9387">
        <v>85364900</v>
      </c>
      <c r="E9387">
        <v>71.78</v>
      </c>
      <c r="F9387">
        <v>12</v>
      </c>
      <c r="G9387">
        <v>5</v>
      </c>
      <c r="H9387" t="s">
        <v>19447</v>
      </c>
      <c r="I9387" t="s">
        <v>19447</v>
      </c>
      <c r="J9387">
        <v>16</v>
      </c>
      <c r="L9387" t="s">
        <v>2709</v>
      </c>
      <c r="M9387">
        <v>85364900</v>
      </c>
      <c r="O9387" t="s">
        <v>20056</v>
      </c>
      <c r="P9387" t="s">
        <v>19903</v>
      </c>
      <c r="Q9387" t="s">
        <v>19909</v>
      </c>
      <c r="R9387" t="s">
        <v>19447</v>
      </c>
      <c r="S9387" t="s">
        <v>19447</v>
      </c>
      <c r="T9387" t="s">
        <v>19913</v>
      </c>
    </row>
    <row r="9388" spans="2:20" x14ac:dyDescent="0.25">
      <c r="B9388" t="s">
        <v>2709</v>
      </c>
      <c r="C9388">
        <v>85365010</v>
      </c>
      <c r="E9388">
        <v>102.31</v>
      </c>
      <c r="F9388">
        <v>25</v>
      </c>
      <c r="G9388">
        <v>10</v>
      </c>
      <c r="H9388" t="s">
        <v>19447</v>
      </c>
      <c r="I9388" t="s">
        <v>19447</v>
      </c>
      <c r="J9388">
        <v>0</v>
      </c>
      <c r="L9388" t="s">
        <v>2709</v>
      </c>
      <c r="M9388">
        <v>85365010</v>
      </c>
      <c r="O9388" t="s">
        <v>20212</v>
      </c>
      <c r="P9388" t="s">
        <v>19982</v>
      </c>
      <c r="Q9388" t="s">
        <v>19904</v>
      </c>
      <c r="R9388" t="s">
        <v>19447</v>
      </c>
      <c r="S9388" t="s">
        <v>19447</v>
      </c>
      <c r="T9388" t="s">
        <v>19900</v>
      </c>
    </row>
    <row r="9389" spans="2:20" x14ac:dyDescent="0.25">
      <c r="B9389" t="s">
        <v>2709</v>
      </c>
      <c r="C9389">
        <v>85365020</v>
      </c>
      <c r="E9389">
        <v>102.31</v>
      </c>
      <c r="F9389">
        <v>25</v>
      </c>
      <c r="G9389">
        <v>10</v>
      </c>
      <c r="H9389" t="s">
        <v>19447</v>
      </c>
      <c r="I9389" t="s">
        <v>19447</v>
      </c>
      <c r="J9389">
        <v>0</v>
      </c>
      <c r="L9389" t="s">
        <v>2709</v>
      </c>
      <c r="M9389">
        <v>85365020</v>
      </c>
      <c r="O9389" t="s">
        <v>20212</v>
      </c>
      <c r="P9389" t="s">
        <v>19982</v>
      </c>
      <c r="Q9389" t="s">
        <v>19904</v>
      </c>
      <c r="R9389" t="s">
        <v>19447</v>
      </c>
      <c r="S9389" t="s">
        <v>19447</v>
      </c>
      <c r="T9389" t="s">
        <v>19900</v>
      </c>
    </row>
    <row r="9390" spans="2:20" x14ac:dyDescent="0.25">
      <c r="B9390" t="s">
        <v>2709</v>
      </c>
      <c r="C9390">
        <v>85365030</v>
      </c>
      <c r="E9390">
        <v>102.31</v>
      </c>
      <c r="F9390">
        <v>25</v>
      </c>
      <c r="G9390">
        <v>2</v>
      </c>
      <c r="H9390" t="s">
        <v>19447</v>
      </c>
      <c r="I9390" t="s">
        <v>19447</v>
      </c>
      <c r="J9390">
        <v>0</v>
      </c>
      <c r="L9390" t="s">
        <v>2709</v>
      </c>
      <c r="M9390">
        <v>85365030</v>
      </c>
      <c r="O9390" t="s">
        <v>20212</v>
      </c>
      <c r="P9390" t="s">
        <v>19982</v>
      </c>
      <c r="Q9390" t="s">
        <v>19901</v>
      </c>
      <c r="R9390" t="s">
        <v>19447</v>
      </c>
      <c r="S9390" t="s">
        <v>19447</v>
      </c>
      <c r="T9390" t="s">
        <v>19900</v>
      </c>
    </row>
    <row r="9391" spans="2:20" x14ac:dyDescent="0.25">
      <c r="B9391" t="s">
        <v>2709</v>
      </c>
      <c r="C9391">
        <v>85365090</v>
      </c>
      <c r="E9391">
        <v>102.31</v>
      </c>
      <c r="F9391">
        <v>12</v>
      </c>
      <c r="G9391">
        <v>15</v>
      </c>
      <c r="H9391" t="s">
        <v>19447</v>
      </c>
      <c r="I9391" t="s">
        <v>19447</v>
      </c>
      <c r="J9391">
        <v>16</v>
      </c>
      <c r="L9391" t="s">
        <v>2709</v>
      </c>
      <c r="M9391">
        <v>85365090</v>
      </c>
      <c r="O9391" t="s">
        <v>20212</v>
      </c>
      <c r="P9391" t="s">
        <v>19903</v>
      </c>
      <c r="Q9391" t="s">
        <v>19983</v>
      </c>
      <c r="R9391" t="s">
        <v>19447</v>
      </c>
      <c r="S9391" t="s">
        <v>19447</v>
      </c>
      <c r="T9391" t="s">
        <v>19913</v>
      </c>
    </row>
    <row r="9392" spans="2:20" x14ac:dyDescent="0.25">
      <c r="B9392" t="s">
        <v>2709</v>
      </c>
      <c r="C9392">
        <v>85365090</v>
      </c>
      <c r="D9392">
        <v>1</v>
      </c>
      <c r="E9392" t="s">
        <v>19447</v>
      </c>
      <c r="F9392">
        <v>18</v>
      </c>
      <c r="G9392">
        <v>4</v>
      </c>
      <c r="H9392">
        <v>7.6</v>
      </c>
      <c r="I9392">
        <v>1.65</v>
      </c>
      <c r="J9392">
        <v>16</v>
      </c>
      <c r="L9392" t="s">
        <v>2709</v>
      </c>
      <c r="M9392">
        <v>85365090</v>
      </c>
      <c r="N9392">
        <v>1</v>
      </c>
      <c r="O9392" t="s">
        <v>19447</v>
      </c>
      <c r="P9392" t="s">
        <v>19899</v>
      </c>
      <c r="Q9392" t="s">
        <v>19902</v>
      </c>
      <c r="R9392" t="s">
        <v>19905</v>
      </c>
      <c r="S9392" t="s">
        <v>19906</v>
      </c>
      <c r="T9392" t="s">
        <v>19913</v>
      </c>
    </row>
    <row r="9393" spans="2:20" x14ac:dyDescent="0.25">
      <c r="B9393" t="s">
        <v>2709</v>
      </c>
      <c r="C9393">
        <v>85365090</v>
      </c>
      <c r="D9393">
        <v>2</v>
      </c>
      <c r="E9393" t="s">
        <v>19447</v>
      </c>
      <c r="F9393">
        <v>18</v>
      </c>
      <c r="G9393">
        <v>5</v>
      </c>
      <c r="H9393">
        <v>7.6</v>
      </c>
      <c r="I9393">
        <v>1.65</v>
      </c>
      <c r="J9393">
        <v>16</v>
      </c>
      <c r="L9393" t="s">
        <v>2709</v>
      </c>
      <c r="M9393">
        <v>85365090</v>
      </c>
      <c r="N9393">
        <v>2</v>
      </c>
      <c r="O9393" t="s">
        <v>19447</v>
      </c>
      <c r="P9393" t="s">
        <v>19899</v>
      </c>
      <c r="Q9393" t="s">
        <v>19909</v>
      </c>
      <c r="R9393" t="s">
        <v>19905</v>
      </c>
      <c r="S9393" t="s">
        <v>19906</v>
      </c>
      <c r="T9393" t="s">
        <v>19913</v>
      </c>
    </row>
    <row r="9394" spans="2:20" x14ac:dyDescent="0.25">
      <c r="B9394" t="s">
        <v>2709</v>
      </c>
      <c r="C9394">
        <v>85365090</v>
      </c>
      <c r="D9394">
        <v>3</v>
      </c>
      <c r="E9394" t="s">
        <v>19447</v>
      </c>
      <c r="F9394">
        <v>18</v>
      </c>
      <c r="G9394">
        <v>5</v>
      </c>
      <c r="H9394">
        <v>7.6</v>
      </c>
      <c r="I9394">
        <v>1.65</v>
      </c>
      <c r="J9394">
        <v>16</v>
      </c>
      <c r="L9394" t="s">
        <v>2709</v>
      </c>
      <c r="M9394">
        <v>85365090</v>
      </c>
      <c r="N9394">
        <v>3</v>
      </c>
      <c r="O9394" t="s">
        <v>19447</v>
      </c>
      <c r="P9394" t="s">
        <v>19899</v>
      </c>
      <c r="Q9394" t="s">
        <v>19909</v>
      </c>
      <c r="R9394" t="s">
        <v>19905</v>
      </c>
      <c r="S9394" t="s">
        <v>19906</v>
      </c>
      <c r="T9394" t="s">
        <v>19913</v>
      </c>
    </row>
    <row r="9395" spans="2:20" x14ac:dyDescent="0.25">
      <c r="B9395" t="s">
        <v>2709</v>
      </c>
      <c r="C9395">
        <v>85366100</v>
      </c>
      <c r="E9395">
        <v>42</v>
      </c>
      <c r="F9395">
        <v>25</v>
      </c>
      <c r="G9395">
        <v>15</v>
      </c>
      <c r="H9395" t="s">
        <v>19447</v>
      </c>
      <c r="I9395" t="s">
        <v>19447</v>
      </c>
      <c r="J9395">
        <v>16</v>
      </c>
      <c r="L9395" t="s">
        <v>2709</v>
      </c>
      <c r="M9395">
        <v>85366100</v>
      </c>
      <c r="O9395" t="s">
        <v>20041</v>
      </c>
      <c r="P9395" t="s">
        <v>19982</v>
      </c>
      <c r="Q9395" t="s">
        <v>19983</v>
      </c>
      <c r="R9395" t="s">
        <v>19447</v>
      </c>
      <c r="S9395" t="s">
        <v>19447</v>
      </c>
      <c r="T9395" t="s">
        <v>19913</v>
      </c>
    </row>
    <row r="9396" spans="2:20" x14ac:dyDescent="0.25">
      <c r="B9396" t="s">
        <v>2709</v>
      </c>
      <c r="C9396">
        <v>85366910</v>
      </c>
      <c r="E9396">
        <v>42</v>
      </c>
      <c r="F9396">
        <v>25</v>
      </c>
      <c r="G9396">
        <v>15</v>
      </c>
      <c r="H9396" t="s">
        <v>19447</v>
      </c>
      <c r="I9396" t="s">
        <v>19447</v>
      </c>
      <c r="J9396">
        <v>16</v>
      </c>
      <c r="L9396" t="s">
        <v>2709</v>
      </c>
      <c r="M9396">
        <v>85366910</v>
      </c>
      <c r="O9396" t="s">
        <v>20041</v>
      </c>
      <c r="P9396" t="s">
        <v>19982</v>
      </c>
      <c r="Q9396" t="s">
        <v>19983</v>
      </c>
      <c r="R9396" t="s">
        <v>19447</v>
      </c>
      <c r="S9396" t="s">
        <v>19447</v>
      </c>
      <c r="T9396" t="s">
        <v>19913</v>
      </c>
    </row>
    <row r="9397" spans="2:20" x14ac:dyDescent="0.25">
      <c r="B9397" t="s">
        <v>2709</v>
      </c>
      <c r="C9397">
        <v>85366990</v>
      </c>
      <c r="E9397">
        <v>42</v>
      </c>
      <c r="F9397">
        <v>25</v>
      </c>
      <c r="G9397">
        <v>15</v>
      </c>
      <c r="H9397" t="s">
        <v>19447</v>
      </c>
      <c r="I9397" t="s">
        <v>19447</v>
      </c>
      <c r="J9397">
        <v>16</v>
      </c>
      <c r="L9397" t="s">
        <v>2709</v>
      </c>
      <c r="M9397">
        <v>85366990</v>
      </c>
      <c r="O9397" t="s">
        <v>20041</v>
      </c>
      <c r="P9397" t="s">
        <v>19982</v>
      </c>
      <c r="Q9397" t="s">
        <v>19983</v>
      </c>
      <c r="R9397" t="s">
        <v>19447</v>
      </c>
      <c r="S9397" t="s">
        <v>19447</v>
      </c>
      <c r="T9397" t="s">
        <v>19913</v>
      </c>
    </row>
    <row r="9398" spans="2:20" x14ac:dyDescent="0.25">
      <c r="B9398" t="s">
        <v>2709</v>
      </c>
      <c r="C9398">
        <v>85367000</v>
      </c>
      <c r="E9398">
        <v>42</v>
      </c>
      <c r="F9398">
        <v>25</v>
      </c>
      <c r="G9398">
        <v>15</v>
      </c>
      <c r="H9398" t="s">
        <v>19447</v>
      </c>
      <c r="I9398" t="s">
        <v>19447</v>
      </c>
      <c r="J9398">
        <v>16</v>
      </c>
      <c r="L9398" t="s">
        <v>2709</v>
      </c>
      <c r="M9398">
        <v>85367000</v>
      </c>
      <c r="O9398" t="s">
        <v>20041</v>
      </c>
      <c r="P9398" t="s">
        <v>19982</v>
      </c>
      <c r="Q9398" t="s">
        <v>19983</v>
      </c>
      <c r="R9398" t="s">
        <v>19447</v>
      </c>
      <c r="S9398" t="s">
        <v>19447</v>
      </c>
      <c r="T9398" t="s">
        <v>19913</v>
      </c>
    </row>
    <row r="9399" spans="2:20" x14ac:dyDescent="0.25">
      <c r="B9399" t="s">
        <v>2709</v>
      </c>
      <c r="C9399">
        <v>85369010</v>
      </c>
      <c r="E9399">
        <v>42</v>
      </c>
      <c r="F9399">
        <v>25</v>
      </c>
      <c r="G9399">
        <v>15</v>
      </c>
      <c r="H9399" t="s">
        <v>19447</v>
      </c>
      <c r="I9399" t="s">
        <v>19447</v>
      </c>
      <c r="J9399">
        <v>16</v>
      </c>
      <c r="L9399" t="s">
        <v>2709</v>
      </c>
      <c r="M9399">
        <v>85369010</v>
      </c>
      <c r="O9399" t="s">
        <v>20041</v>
      </c>
      <c r="P9399" t="s">
        <v>19982</v>
      </c>
      <c r="Q9399" t="s">
        <v>19983</v>
      </c>
      <c r="R9399" t="s">
        <v>19447</v>
      </c>
      <c r="S9399" t="s">
        <v>19447</v>
      </c>
      <c r="T9399" t="s">
        <v>19913</v>
      </c>
    </row>
    <row r="9400" spans="2:20" x14ac:dyDescent="0.25">
      <c r="B9400" t="s">
        <v>2709</v>
      </c>
      <c r="C9400">
        <v>85369020</v>
      </c>
      <c r="E9400">
        <v>42</v>
      </c>
      <c r="F9400">
        <v>25</v>
      </c>
      <c r="G9400">
        <v>15</v>
      </c>
      <c r="H9400" t="s">
        <v>19447</v>
      </c>
      <c r="I9400" t="s">
        <v>19447</v>
      </c>
      <c r="J9400">
        <v>16</v>
      </c>
      <c r="L9400" t="s">
        <v>2709</v>
      </c>
      <c r="M9400">
        <v>85369020</v>
      </c>
      <c r="O9400" t="s">
        <v>20041</v>
      </c>
      <c r="P9400" t="s">
        <v>19982</v>
      </c>
      <c r="Q9400" t="s">
        <v>19983</v>
      </c>
      <c r="R9400" t="s">
        <v>19447</v>
      </c>
      <c r="S9400" t="s">
        <v>19447</v>
      </c>
      <c r="T9400" t="s">
        <v>19913</v>
      </c>
    </row>
    <row r="9401" spans="2:20" x14ac:dyDescent="0.25">
      <c r="B9401" t="s">
        <v>2709</v>
      </c>
      <c r="C9401">
        <v>85369030</v>
      </c>
      <c r="E9401">
        <v>42</v>
      </c>
      <c r="F9401">
        <v>12</v>
      </c>
      <c r="G9401">
        <v>10</v>
      </c>
      <c r="H9401" t="s">
        <v>19447</v>
      </c>
      <c r="I9401" t="s">
        <v>19447</v>
      </c>
      <c r="J9401">
        <v>16</v>
      </c>
      <c r="L9401" t="s">
        <v>2709</v>
      </c>
      <c r="M9401">
        <v>85369030</v>
      </c>
      <c r="O9401" t="s">
        <v>20041</v>
      </c>
      <c r="P9401" t="s">
        <v>19903</v>
      </c>
      <c r="Q9401" t="s">
        <v>19904</v>
      </c>
      <c r="R9401" t="s">
        <v>19447</v>
      </c>
      <c r="S9401" t="s">
        <v>19447</v>
      </c>
      <c r="T9401" t="s">
        <v>19913</v>
      </c>
    </row>
    <row r="9402" spans="2:20" x14ac:dyDescent="0.25">
      <c r="B9402" t="s">
        <v>2709</v>
      </c>
      <c r="C9402">
        <v>85369040</v>
      </c>
      <c r="E9402">
        <v>42</v>
      </c>
      <c r="F9402">
        <v>12</v>
      </c>
      <c r="G9402">
        <v>10</v>
      </c>
      <c r="H9402" t="s">
        <v>19447</v>
      </c>
      <c r="I9402" t="s">
        <v>19447</v>
      </c>
      <c r="J9402">
        <v>10</v>
      </c>
      <c r="L9402" t="s">
        <v>2709</v>
      </c>
      <c r="M9402">
        <v>85369040</v>
      </c>
      <c r="O9402" t="s">
        <v>20041</v>
      </c>
      <c r="P9402" t="s">
        <v>19903</v>
      </c>
      <c r="Q9402" t="s">
        <v>19904</v>
      </c>
      <c r="R9402" t="s">
        <v>19447</v>
      </c>
      <c r="S9402" t="s">
        <v>19447</v>
      </c>
      <c r="T9402" t="s">
        <v>19904</v>
      </c>
    </row>
    <row r="9403" spans="2:20" x14ac:dyDescent="0.25">
      <c r="B9403" t="s">
        <v>2709</v>
      </c>
      <c r="C9403">
        <v>85369050</v>
      </c>
      <c r="E9403">
        <v>42</v>
      </c>
      <c r="F9403">
        <v>25</v>
      </c>
      <c r="G9403">
        <v>15</v>
      </c>
      <c r="H9403" t="s">
        <v>19447</v>
      </c>
      <c r="I9403" t="s">
        <v>19447</v>
      </c>
      <c r="J9403">
        <v>2</v>
      </c>
      <c r="L9403" t="s">
        <v>2709</v>
      </c>
      <c r="M9403">
        <v>85369050</v>
      </c>
      <c r="O9403" t="s">
        <v>20041</v>
      </c>
      <c r="P9403" t="s">
        <v>19982</v>
      </c>
      <c r="Q9403" t="s">
        <v>19983</v>
      </c>
      <c r="R9403" t="s">
        <v>19447</v>
      </c>
      <c r="S9403" t="s">
        <v>19447</v>
      </c>
      <c r="T9403" t="s">
        <v>19901</v>
      </c>
    </row>
    <row r="9404" spans="2:20" x14ac:dyDescent="0.25">
      <c r="B9404" t="s">
        <v>2709</v>
      </c>
      <c r="C9404">
        <v>85369090</v>
      </c>
      <c r="E9404">
        <v>42</v>
      </c>
      <c r="F9404">
        <v>25</v>
      </c>
      <c r="G9404">
        <v>15</v>
      </c>
      <c r="H9404" t="s">
        <v>19447</v>
      </c>
      <c r="I9404" t="s">
        <v>19447</v>
      </c>
      <c r="J9404">
        <v>16</v>
      </c>
      <c r="L9404" t="s">
        <v>2709</v>
      </c>
      <c r="M9404">
        <v>85369090</v>
      </c>
      <c r="O9404" t="s">
        <v>20041</v>
      </c>
      <c r="P9404" t="s">
        <v>19982</v>
      </c>
      <c r="Q9404" t="s">
        <v>19983</v>
      </c>
      <c r="R9404" t="s">
        <v>19447</v>
      </c>
      <c r="S9404" t="s">
        <v>19447</v>
      </c>
      <c r="T9404" t="s">
        <v>19913</v>
      </c>
    </row>
    <row r="9405" spans="2:20" x14ac:dyDescent="0.25">
      <c r="B9405" t="s">
        <v>2709</v>
      </c>
      <c r="C9405">
        <v>85371011</v>
      </c>
      <c r="E9405">
        <v>59</v>
      </c>
      <c r="F9405">
        <v>12</v>
      </c>
      <c r="G9405">
        <v>15</v>
      </c>
      <c r="H9405" t="s">
        <v>19447</v>
      </c>
      <c r="I9405" t="s">
        <v>19447</v>
      </c>
      <c r="J9405">
        <v>0</v>
      </c>
      <c r="L9405" t="s">
        <v>2709</v>
      </c>
      <c r="M9405">
        <v>85371011</v>
      </c>
      <c r="O9405" t="s">
        <v>20002</v>
      </c>
      <c r="P9405" t="s">
        <v>19903</v>
      </c>
      <c r="Q9405" t="s">
        <v>19983</v>
      </c>
      <c r="R9405" t="s">
        <v>19447</v>
      </c>
      <c r="S9405" t="s">
        <v>19447</v>
      </c>
      <c r="T9405" t="s">
        <v>19900</v>
      </c>
    </row>
    <row r="9406" spans="2:20" x14ac:dyDescent="0.25">
      <c r="B9406" t="s">
        <v>2709</v>
      </c>
      <c r="C9406">
        <v>85371019</v>
      </c>
      <c r="E9406">
        <v>59</v>
      </c>
      <c r="F9406">
        <v>12</v>
      </c>
      <c r="G9406">
        <v>15</v>
      </c>
      <c r="H9406" t="s">
        <v>19447</v>
      </c>
      <c r="I9406" t="s">
        <v>19447</v>
      </c>
      <c r="J9406">
        <v>14</v>
      </c>
      <c r="L9406" t="s">
        <v>2709</v>
      </c>
      <c r="M9406">
        <v>85371019</v>
      </c>
      <c r="O9406" t="s">
        <v>20002</v>
      </c>
      <c r="P9406" t="s">
        <v>19903</v>
      </c>
      <c r="Q9406" t="s">
        <v>19983</v>
      </c>
      <c r="R9406" t="s">
        <v>19447</v>
      </c>
      <c r="S9406" t="s">
        <v>19447</v>
      </c>
      <c r="T9406" t="s">
        <v>19911</v>
      </c>
    </row>
    <row r="9407" spans="2:20" x14ac:dyDescent="0.25">
      <c r="B9407" t="s">
        <v>2709</v>
      </c>
      <c r="C9407">
        <v>85371020</v>
      </c>
      <c r="E9407">
        <v>59</v>
      </c>
      <c r="F9407">
        <v>25</v>
      </c>
      <c r="G9407">
        <v>15</v>
      </c>
      <c r="H9407" t="s">
        <v>19447</v>
      </c>
      <c r="I9407" t="s">
        <v>19447</v>
      </c>
      <c r="J9407">
        <v>14</v>
      </c>
      <c r="L9407" t="s">
        <v>2709</v>
      </c>
      <c r="M9407">
        <v>85371020</v>
      </c>
      <c r="O9407" t="s">
        <v>20002</v>
      </c>
      <c r="P9407" t="s">
        <v>19982</v>
      </c>
      <c r="Q9407" t="s">
        <v>19983</v>
      </c>
      <c r="R9407" t="s">
        <v>19447</v>
      </c>
      <c r="S9407" t="s">
        <v>19447</v>
      </c>
      <c r="T9407" t="s">
        <v>19911</v>
      </c>
    </row>
    <row r="9408" spans="2:20" x14ac:dyDescent="0.25">
      <c r="B9408" t="s">
        <v>2709</v>
      </c>
      <c r="C9408">
        <v>85371030</v>
      </c>
      <c r="E9408">
        <v>59</v>
      </c>
      <c r="F9408">
        <v>25</v>
      </c>
      <c r="G9408">
        <v>15</v>
      </c>
      <c r="H9408" t="s">
        <v>19447</v>
      </c>
      <c r="I9408" t="s">
        <v>19447</v>
      </c>
      <c r="J9408">
        <v>14</v>
      </c>
      <c r="L9408" t="s">
        <v>2709</v>
      </c>
      <c r="M9408">
        <v>85371030</v>
      </c>
      <c r="O9408" t="s">
        <v>20002</v>
      </c>
      <c r="P9408" t="s">
        <v>19982</v>
      </c>
      <c r="Q9408" t="s">
        <v>19983</v>
      </c>
      <c r="R9408" t="s">
        <v>19447</v>
      </c>
      <c r="S9408" t="s">
        <v>19447</v>
      </c>
      <c r="T9408" t="s">
        <v>19911</v>
      </c>
    </row>
    <row r="9409" spans="2:20" x14ac:dyDescent="0.25">
      <c r="B9409" t="s">
        <v>2709</v>
      </c>
      <c r="C9409">
        <v>85371090</v>
      </c>
      <c r="E9409">
        <v>59</v>
      </c>
      <c r="F9409">
        <v>12</v>
      </c>
      <c r="G9409">
        <v>15</v>
      </c>
      <c r="H9409" t="s">
        <v>19447</v>
      </c>
      <c r="I9409" t="s">
        <v>19447</v>
      </c>
      <c r="J9409">
        <v>18</v>
      </c>
      <c r="L9409" t="s">
        <v>2709</v>
      </c>
      <c r="M9409">
        <v>85371090</v>
      </c>
      <c r="O9409" t="s">
        <v>20002</v>
      </c>
      <c r="P9409" t="s">
        <v>19903</v>
      </c>
      <c r="Q9409" t="s">
        <v>19983</v>
      </c>
      <c r="R9409" t="s">
        <v>19447</v>
      </c>
      <c r="S9409" t="s">
        <v>19447</v>
      </c>
      <c r="T9409" t="s">
        <v>19899</v>
      </c>
    </row>
    <row r="9410" spans="2:20" x14ac:dyDescent="0.25">
      <c r="B9410" t="s">
        <v>2709</v>
      </c>
      <c r="C9410">
        <v>85372010</v>
      </c>
      <c r="E9410">
        <v>59</v>
      </c>
      <c r="F9410">
        <v>12</v>
      </c>
      <c r="G9410">
        <v>0</v>
      </c>
      <c r="H9410" t="s">
        <v>19447</v>
      </c>
      <c r="I9410" t="s">
        <v>19447</v>
      </c>
      <c r="J9410">
        <v>0</v>
      </c>
      <c r="L9410" t="s">
        <v>2709</v>
      </c>
      <c r="M9410">
        <v>85372010</v>
      </c>
      <c r="O9410" t="s">
        <v>20002</v>
      </c>
      <c r="P9410" t="s">
        <v>19903</v>
      </c>
      <c r="Q9410" t="s">
        <v>19900</v>
      </c>
      <c r="R9410" t="s">
        <v>19447</v>
      </c>
      <c r="S9410" t="s">
        <v>19447</v>
      </c>
      <c r="T9410" t="s">
        <v>19900</v>
      </c>
    </row>
    <row r="9411" spans="2:20" x14ac:dyDescent="0.25">
      <c r="B9411" t="s">
        <v>2709</v>
      </c>
      <c r="C9411">
        <v>85372090</v>
      </c>
      <c r="E9411">
        <v>59</v>
      </c>
      <c r="F9411">
        <v>12</v>
      </c>
      <c r="G9411">
        <v>0</v>
      </c>
      <c r="H9411" t="s">
        <v>19447</v>
      </c>
      <c r="I9411" t="s">
        <v>19447</v>
      </c>
      <c r="J9411">
        <v>18</v>
      </c>
      <c r="L9411" t="s">
        <v>2709</v>
      </c>
      <c r="M9411">
        <v>85372090</v>
      </c>
      <c r="O9411" t="s">
        <v>20002</v>
      </c>
      <c r="P9411" t="s">
        <v>19903</v>
      </c>
      <c r="Q9411" t="s">
        <v>19900</v>
      </c>
      <c r="R9411" t="s">
        <v>19447</v>
      </c>
      <c r="S9411" t="s">
        <v>19447</v>
      </c>
      <c r="T9411" t="s">
        <v>19899</v>
      </c>
    </row>
    <row r="9412" spans="2:20" x14ac:dyDescent="0.25">
      <c r="B9412" t="s">
        <v>2709</v>
      </c>
      <c r="C9412">
        <v>85381000</v>
      </c>
      <c r="E9412">
        <v>71.78</v>
      </c>
      <c r="F9412">
        <v>25</v>
      </c>
      <c r="G9412">
        <v>15</v>
      </c>
      <c r="H9412" t="s">
        <v>19447</v>
      </c>
      <c r="I9412" t="s">
        <v>19447</v>
      </c>
      <c r="J9412">
        <v>16</v>
      </c>
      <c r="L9412" t="s">
        <v>2709</v>
      </c>
      <c r="M9412">
        <v>85381000</v>
      </c>
      <c r="O9412" t="s">
        <v>20056</v>
      </c>
      <c r="P9412" t="s">
        <v>19982</v>
      </c>
      <c r="Q9412" t="s">
        <v>19983</v>
      </c>
      <c r="R9412" t="s">
        <v>19447</v>
      </c>
      <c r="S9412" t="s">
        <v>19447</v>
      </c>
      <c r="T9412" t="s">
        <v>19913</v>
      </c>
    </row>
    <row r="9413" spans="2:20" x14ac:dyDescent="0.25">
      <c r="B9413" t="s">
        <v>2709</v>
      </c>
      <c r="C9413">
        <v>85389010</v>
      </c>
      <c r="E9413">
        <v>71.78</v>
      </c>
      <c r="F9413">
        <v>12</v>
      </c>
      <c r="G9413">
        <v>15</v>
      </c>
      <c r="H9413" t="s">
        <v>19447</v>
      </c>
      <c r="I9413" t="s">
        <v>19447</v>
      </c>
      <c r="J9413">
        <v>12</v>
      </c>
      <c r="L9413" t="s">
        <v>2709</v>
      </c>
      <c r="M9413">
        <v>85389010</v>
      </c>
      <c r="O9413" t="s">
        <v>20056</v>
      </c>
      <c r="P9413" t="s">
        <v>19903</v>
      </c>
      <c r="Q9413" t="s">
        <v>19983</v>
      </c>
      <c r="R9413" t="s">
        <v>19447</v>
      </c>
      <c r="S9413" t="s">
        <v>19447</v>
      </c>
      <c r="T9413" t="s">
        <v>19903</v>
      </c>
    </row>
    <row r="9414" spans="2:20" x14ac:dyDescent="0.25">
      <c r="B9414" t="s">
        <v>2709</v>
      </c>
      <c r="C9414">
        <v>85389020</v>
      </c>
      <c r="E9414">
        <v>71.78</v>
      </c>
      <c r="F9414">
        <v>25</v>
      </c>
      <c r="G9414">
        <v>15</v>
      </c>
      <c r="H9414" t="s">
        <v>19447</v>
      </c>
      <c r="I9414" t="s">
        <v>19447</v>
      </c>
      <c r="J9414">
        <v>2</v>
      </c>
      <c r="L9414" t="s">
        <v>2709</v>
      </c>
      <c r="M9414">
        <v>85389020</v>
      </c>
      <c r="O9414" t="s">
        <v>20056</v>
      </c>
      <c r="P9414" t="s">
        <v>19982</v>
      </c>
      <c r="Q9414" t="s">
        <v>19983</v>
      </c>
      <c r="R9414" t="s">
        <v>19447</v>
      </c>
      <c r="S9414" t="s">
        <v>19447</v>
      </c>
      <c r="T9414" t="s">
        <v>19901</v>
      </c>
    </row>
    <row r="9415" spans="2:20" x14ac:dyDescent="0.25">
      <c r="B9415" t="s">
        <v>2709</v>
      </c>
      <c r="C9415">
        <v>85389090</v>
      </c>
      <c r="E9415">
        <v>71.78</v>
      </c>
      <c r="F9415">
        <v>25</v>
      </c>
      <c r="G9415">
        <v>15</v>
      </c>
      <c r="H9415" t="s">
        <v>19447</v>
      </c>
      <c r="I9415" t="s">
        <v>19447</v>
      </c>
      <c r="J9415">
        <v>16</v>
      </c>
      <c r="L9415" t="s">
        <v>2709</v>
      </c>
      <c r="M9415">
        <v>85389090</v>
      </c>
      <c r="O9415" t="s">
        <v>20056</v>
      </c>
      <c r="P9415" t="s">
        <v>19982</v>
      </c>
      <c r="Q9415" t="s">
        <v>19983</v>
      </c>
      <c r="R9415" t="s">
        <v>19447</v>
      </c>
      <c r="S9415" t="s">
        <v>19447</v>
      </c>
      <c r="T9415" t="s">
        <v>19913</v>
      </c>
    </row>
    <row r="9416" spans="2:20" x14ac:dyDescent="0.25">
      <c r="B9416" t="s">
        <v>2709</v>
      </c>
      <c r="C9416">
        <v>85391010</v>
      </c>
      <c r="E9416">
        <v>71.78</v>
      </c>
      <c r="F9416">
        <v>25</v>
      </c>
      <c r="G9416">
        <v>15</v>
      </c>
      <c r="H9416">
        <v>10.8</v>
      </c>
      <c r="I9416">
        <v>2.2999999999999998</v>
      </c>
      <c r="J9416">
        <v>18</v>
      </c>
      <c r="L9416" t="s">
        <v>2709</v>
      </c>
      <c r="M9416">
        <v>85391010</v>
      </c>
      <c r="O9416" t="s">
        <v>20056</v>
      </c>
      <c r="P9416" t="s">
        <v>19982</v>
      </c>
      <c r="Q9416" t="s">
        <v>19983</v>
      </c>
      <c r="R9416" t="s">
        <v>20074</v>
      </c>
      <c r="S9416" t="s">
        <v>20075</v>
      </c>
      <c r="T9416" t="s">
        <v>19899</v>
      </c>
    </row>
    <row r="9417" spans="2:20" x14ac:dyDescent="0.25">
      <c r="B9417" t="s">
        <v>2709</v>
      </c>
      <c r="C9417">
        <v>85391090</v>
      </c>
      <c r="E9417">
        <v>71.78</v>
      </c>
      <c r="F9417">
        <v>25</v>
      </c>
      <c r="G9417">
        <v>15</v>
      </c>
      <c r="H9417">
        <v>10.8</v>
      </c>
      <c r="I9417">
        <v>2.2999999999999998</v>
      </c>
      <c r="J9417">
        <v>18</v>
      </c>
      <c r="L9417" t="s">
        <v>2709</v>
      </c>
      <c r="M9417">
        <v>85391090</v>
      </c>
      <c r="O9417" t="s">
        <v>20056</v>
      </c>
      <c r="P9417" t="s">
        <v>19982</v>
      </c>
      <c r="Q9417" t="s">
        <v>19983</v>
      </c>
      <c r="R9417" t="s">
        <v>20074</v>
      </c>
      <c r="S9417" t="s">
        <v>20075</v>
      </c>
      <c r="T9417" t="s">
        <v>19899</v>
      </c>
    </row>
    <row r="9418" spans="2:20" x14ac:dyDescent="0.25">
      <c r="B9418" t="s">
        <v>2709</v>
      </c>
      <c r="C9418">
        <v>85392110</v>
      </c>
      <c r="E9418">
        <v>71.78</v>
      </c>
      <c r="F9418">
        <v>25</v>
      </c>
      <c r="G9418">
        <v>15</v>
      </c>
      <c r="H9418" t="s">
        <v>19447</v>
      </c>
      <c r="I9418" t="s">
        <v>19447</v>
      </c>
      <c r="J9418">
        <v>18</v>
      </c>
      <c r="L9418" t="s">
        <v>2709</v>
      </c>
      <c r="M9418">
        <v>85392110</v>
      </c>
      <c r="O9418" t="s">
        <v>20056</v>
      </c>
      <c r="P9418" t="s">
        <v>19982</v>
      </c>
      <c r="Q9418" t="s">
        <v>19983</v>
      </c>
      <c r="R9418" t="s">
        <v>19447</v>
      </c>
      <c r="S9418" t="s">
        <v>19447</v>
      </c>
      <c r="T9418" t="s">
        <v>19899</v>
      </c>
    </row>
    <row r="9419" spans="2:20" x14ac:dyDescent="0.25">
      <c r="B9419" t="s">
        <v>2709</v>
      </c>
      <c r="C9419">
        <v>85392110</v>
      </c>
      <c r="D9419">
        <v>1</v>
      </c>
      <c r="E9419" t="s">
        <v>19447</v>
      </c>
      <c r="F9419">
        <v>18</v>
      </c>
      <c r="G9419">
        <v>20</v>
      </c>
      <c r="H9419">
        <v>7.6</v>
      </c>
      <c r="I9419">
        <v>1.65</v>
      </c>
      <c r="J9419">
        <v>18</v>
      </c>
      <c r="L9419" t="s">
        <v>2709</v>
      </c>
      <c r="M9419">
        <v>85392110</v>
      </c>
      <c r="N9419">
        <v>1</v>
      </c>
      <c r="O9419" t="s">
        <v>19447</v>
      </c>
      <c r="P9419" t="s">
        <v>19899</v>
      </c>
      <c r="Q9419" t="s">
        <v>19934</v>
      </c>
      <c r="R9419" t="s">
        <v>19905</v>
      </c>
      <c r="S9419" t="s">
        <v>19906</v>
      </c>
      <c r="T9419" t="s">
        <v>19899</v>
      </c>
    </row>
    <row r="9420" spans="2:20" x14ac:dyDescent="0.25">
      <c r="B9420" t="s">
        <v>2709</v>
      </c>
      <c r="C9420">
        <v>85392190</v>
      </c>
      <c r="E9420">
        <v>71.78</v>
      </c>
      <c r="F9420">
        <v>25</v>
      </c>
      <c r="G9420">
        <v>15</v>
      </c>
      <c r="H9420" t="s">
        <v>19447</v>
      </c>
      <c r="I9420" t="s">
        <v>19447</v>
      </c>
      <c r="J9420">
        <v>18</v>
      </c>
      <c r="L9420" t="s">
        <v>2709</v>
      </c>
      <c r="M9420">
        <v>85392190</v>
      </c>
      <c r="O9420" t="s">
        <v>20056</v>
      </c>
      <c r="P9420" t="s">
        <v>19982</v>
      </c>
      <c r="Q9420" t="s">
        <v>19983</v>
      </c>
      <c r="R9420" t="s">
        <v>19447</v>
      </c>
      <c r="S9420" t="s">
        <v>19447</v>
      </c>
      <c r="T9420" t="s">
        <v>19899</v>
      </c>
    </row>
    <row r="9421" spans="2:20" x14ac:dyDescent="0.25">
      <c r="B9421" t="s">
        <v>2709</v>
      </c>
      <c r="C9421">
        <v>85392190</v>
      </c>
      <c r="D9421">
        <v>1</v>
      </c>
      <c r="E9421" t="s">
        <v>19447</v>
      </c>
      <c r="F9421">
        <v>18</v>
      </c>
      <c r="G9421">
        <v>20</v>
      </c>
      <c r="H9421">
        <v>7.6</v>
      </c>
      <c r="I9421">
        <v>1.65</v>
      </c>
      <c r="J9421">
        <v>18</v>
      </c>
      <c r="L9421" t="s">
        <v>2709</v>
      </c>
      <c r="M9421">
        <v>85392190</v>
      </c>
      <c r="N9421">
        <v>1</v>
      </c>
      <c r="O9421" t="s">
        <v>19447</v>
      </c>
      <c r="P9421" t="s">
        <v>19899</v>
      </c>
      <c r="Q9421" t="s">
        <v>19934</v>
      </c>
      <c r="R9421" t="s">
        <v>19905</v>
      </c>
      <c r="S9421" t="s">
        <v>19906</v>
      </c>
      <c r="T9421" t="s">
        <v>19899</v>
      </c>
    </row>
    <row r="9422" spans="2:20" x14ac:dyDescent="0.25">
      <c r="B9422" t="s">
        <v>2709</v>
      </c>
      <c r="C9422">
        <v>85392200</v>
      </c>
      <c r="E9422">
        <v>71.78</v>
      </c>
      <c r="F9422">
        <v>25</v>
      </c>
      <c r="G9422">
        <v>15</v>
      </c>
      <c r="H9422" t="s">
        <v>19447</v>
      </c>
      <c r="I9422" t="s">
        <v>19447</v>
      </c>
      <c r="J9422">
        <v>18</v>
      </c>
      <c r="L9422" t="s">
        <v>2709</v>
      </c>
      <c r="M9422">
        <v>85392200</v>
      </c>
      <c r="O9422" t="s">
        <v>20056</v>
      </c>
      <c r="P9422" t="s">
        <v>19982</v>
      </c>
      <c r="Q9422" t="s">
        <v>19983</v>
      </c>
      <c r="R9422" t="s">
        <v>19447</v>
      </c>
      <c r="S9422" t="s">
        <v>19447</v>
      </c>
      <c r="T9422" t="s">
        <v>19899</v>
      </c>
    </row>
    <row r="9423" spans="2:20" x14ac:dyDescent="0.25">
      <c r="B9423" t="s">
        <v>2709</v>
      </c>
      <c r="C9423">
        <v>85392200</v>
      </c>
      <c r="D9423">
        <v>1</v>
      </c>
      <c r="E9423" t="s">
        <v>19447</v>
      </c>
      <c r="F9423">
        <v>18</v>
      </c>
      <c r="G9423">
        <v>20</v>
      </c>
      <c r="H9423">
        <v>7.6</v>
      </c>
      <c r="I9423">
        <v>1.65</v>
      </c>
      <c r="J9423">
        <v>18</v>
      </c>
      <c r="L9423" t="s">
        <v>2709</v>
      </c>
      <c r="M9423">
        <v>85392200</v>
      </c>
      <c r="N9423">
        <v>1</v>
      </c>
      <c r="O9423" t="s">
        <v>19447</v>
      </c>
      <c r="P9423" t="s">
        <v>19899</v>
      </c>
      <c r="Q9423" t="s">
        <v>19934</v>
      </c>
      <c r="R9423" t="s">
        <v>19905</v>
      </c>
      <c r="S9423" t="s">
        <v>19906</v>
      </c>
      <c r="T9423" t="s">
        <v>19899</v>
      </c>
    </row>
    <row r="9424" spans="2:20" x14ac:dyDescent="0.25">
      <c r="B9424" t="s">
        <v>2709</v>
      </c>
      <c r="C9424">
        <v>85392910</v>
      </c>
      <c r="E9424">
        <v>71.78</v>
      </c>
      <c r="F9424">
        <v>25</v>
      </c>
      <c r="G9424">
        <v>15</v>
      </c>
      <c r="H9424" t="s">
        <v>19447</v>
      </c>
      <c r="I9424" t="s">
        <v>19447</v>
      </c>
      <c r="J9424">
        <v>18</v>
      </c>
      <c r="L9424" t="s">
        <v>2709</v>
      </c>
      <c r="M9424">
        <v>85392910</v>
      </c>
      <c r="O9424" t="s">
        <v>20056</v>
      </c>
      <c r="P9424" t="s">
        <v>19982</v>
      </c>
      <c r="Q9424" t="s">
        <v>19983</v>
      </c>
      <c r="R9424" t="s">
        <v>19447</v>
      </c>
      <c r="S9424" t="s">
        <v>19447</v>
      </c>
      <c r="T9424" t="s">
        <v>19899</v>
      </c>
    </row>
    <row r="9425" spans="2:20" x14ac:dyDescent="0.25">
      <c r="B9425" t="s">
        <v>2709</v>
      </c>
      <c r="C9425">
        <v>85392910</v>
      </c>
      <c r="D9425">
        <v>1</v>
      </c>
      <c r="E9425" t="s">
        <v>19447</v>
      </c>
      <c r="F9425">
        <v>18</v>
      </c>
      <c r="G9425">
        <v>0</v>
      </c>
      <c r="H9425">
        <v>7.6</v>
      </c>
      <c r="I9425">
        <v>1.65</v>
      </c>
      <c r="J9425">
        <v>18</v>
      </c>
      <c r="L9425" t="s">
        <v>2709</v>
      </c>
      <c r="M9425">
        <v>85392910</v>
      </c>
      <c r="N9425">
        <v>1</v>
      </c>
      <c r="O9425" t="s">
        <v>19447</v>
      </c>
      <c r="P9425" t="s">
        <v>19899</v>
      </c>
      <c r="Q9425" t="s">
        <v>19900</v>
      </c>
      <c r="R9425" t="s">
        <v>19905</v>
      </c>
      <c r="S9425" t="s">
        <v>19906</v>
      </c>
      <c r="T9425" t="s">
        <v>19899</v>
      </c>
    </row>
    <row r="9426" spans="2:20" x14ac:dyDescent="0.25">
      <c r="B9426" t="s">
        <v>2709</v>
      </c>
      <c r="C9426">
        <v>85392990</v>
      </c>
      <c r="E9426">
        <v>71.78</v>
      </c>
      <c r="F9426">
        <v>25</v>
      </c>
      <c r="G9426">
        <v>15</v>
      </c>
      <c r="H9426" t="s">
        <v>19447</v>
      </c>
      <c r="I9426" t="s">
        <v>19447</v>
      </c>
      <c r="J9426">
        <v>18</v>
      </c>
      <c r="L9426" t="s">
        <v>2709</v>
      </c>
      <c r="M9426">
        <v>85392990</v>
      </c>
      <c r="O9426" t="s">
        <v>20056</v>
      </c>
      <c r="P9426" t="s">
        <v>19982</v>
      </c>
      <c r="Q9426" t="s">
        <v>19983</v>
      </c>
      <c r="R9426" t="s">
        <v>19447</v>
      </c>
      <c r="S9426" t="s">
        <v>19447</v>
      </c>
      <c r="T9426" t="s">
        <v>19899</v>
      </c>
    </row>
    <row r="9427" spans="2:20" x14ac:dyDescent="0.25">
      <c r="B9427" t="s">
        <v>2709</v>
      </c>
      <c r="C9427">
        <v>85392990</v>
      </c>
      <c r="D9427">
        <v>1</v>
      </c>
      <c r="E9427" t="s">
        <v>19447</v>
      </c>
      <c r="F9427">
        <v>18</v>
      </c>
      <c r="G9427">
        <v>0</v>
      </c>
      <c r="H9427">
        <v>7.6</v>
      </c>
      <c r="I9427">
        <v>1.65</v>
      </c>
      <c r="J9427">
        <v>18</v>
      </c>
      <c r="L9427" t="s">
        <v>2709</v>
      </c>
      <c r="M9427">
        <v>85392990</v>
      </c>
      <c r="N9427">
        <v>1</v>
      </c>
      <c r="O9427" t="s">
        <v>19447</v>
      </c>
      <c r="P9427" t="s">
        <v>19899</v>
      </c>
      <c r="Q9427" t="s">
        <v>19900</v>
      </c>
      <c r="R9427" t="s">
        <v>19905</v>
      </c>
      <c r="S9427" t="s">
        <v>19906</v>
      </c>
      <c r="T9427" t="s">
        <v>19899</v>
      </c>
    </row>
    <row r="9428" spans="2:20" x14ac:dyDescent="0.25">
      <c r="B9428" t="s">
        <v>2709</v>
      </c>
      <c r="C9428">
        <v>85392990</v>
      </c>
      <c r="D9428">
        <v>2</v>
      </c>
      <c r="E9428" t="s">
        <v>19447</v>
      </c>
      <c r="F9428">
        <v>18</v>
      </c>
      <c r="G9428">
        <v>20</v>
      </c>
      <c r="H9428">
        <v>7.6</v>
      </c>
      <c r="I9428">
        <v>1.65</v>
      </c>
      <c r="J9428">
        <v>18</v>
      </c>
      <c r="L9428" t="s">
        <v>2709</v>
      </c>
      <c r="M9428">
        <v>85392990</v>
      </c>
      <c r="N9428">
        <v>2</v>
      </c>
      <c r="O9428" t="s">
        <v>19447</v>
      </c>
      <c r="P9428" t="s">
        <v>19899</v>
      </c>
      <c r="Q9428" t="s">
        <v>19934</v>
      </c>
      <c r="R9428" t="s">
        <v>19905</v>
      </c>
      <c r="S9428" t="s">
        <v>19906</v>
      </c>
      <c r="T9428" t="s">
        <v>19899</v>
      </c>
    </row>
    <row r="9429" spans="2:20" x14ac:dyDescent="0.25">
      <c r="B9429" t="s">
        <v>2709</v>
      </c>
      <c r="C9429">
        <v>85393100</v>
      </c>
      <c r="E9429">
        <v>60.03</v>
      </c>
      <c r="F9429">
        <v>25</v>
      </c>
      <c r="G9429">
        <v>15</v>
      </c>
      <c r="H9429" t="s">
        <v>19447</v>
      </c>
      <c r="I9429" t="s">
        <v>19447</v>
      </c>
      <c r="J9429">
        <v>18</v>
      </c>
      <c r="L9429" t="s">
        <v>2709</v>
      </c>
      <c r="M9429">
        <v>85393100</v>
      </c>
      <c r="O9429" t="s">
        <v>20213</v>
      </c>
      <c r="P9429" t="s">
        <v>19982</v>
      </c>
      <c r="Q9429" t="s">
        <v>19983</v>
      </c>
      <c r="R9429" t="s">
        <v>19447</v>
      </c>
      <c r="S9429" t="s">
        <v>19447</v>
      </c>
      <c r="T9429" t="s">
        <v>19899</v>
      </c>
    </row>
    <row r="9430" spans="2:20" x14ac:dyDescent="0.25">
      <c r="B9430" t="s">
        <v>2709</v>
      </c>
      <c r="C9430">
        <v>85393100</v>
      </c>
      <c r="D9430">
        <v>1</v>
      </c>
      <c r="E9430" t="s">
        <v>19447</v>
      </c>
      <c r="F9430">
        <v>18</v>
      </c>
      <c r="G9430">
        <v>0</v>
      </c>
      <c r="H9430">
        <v>7.6</v>
      </c>
      <c r="I9430">
        <v>1.65</v>
      </c>
      <c r="J9430">
        <v>18</v>
      </c>
      <c r="L9430" t="s">
        <v>2709</v>
      </c>
      <c r="M9430">
        <v>85393100</v>
      </c>
      <c r="N9430">
        <v>1</v>
      </c>
      <c r="O9430" t="s">
        <v>19447</v>
      </c>
      <c r="P9430" t="s">
        <v>19899</v>
      </c>
      <c r="Q9430" t="s">
        <v>19900</v>
      </c>
      <c r="R9430" t="s">
        <v>19905</v>
      </c>
      <c r="S9430" t="s">
        <v>19906</v>
      </c>
      <c r="T9430" t="s">
        <v>19899</v>
      </c>
    </row>
    <row r="9431" spans="2:20" x14ac:dyDescent="0.25">
      <c r="B9431" t="s">
        <v>2709</v>
      </c>
      <c r="C9431">
        <v>85393200</v>
      </c>
      <c r="E9431">
        <v>60.03</v>
      </c>
      <c r="F9431">
        <v>25</v>
      </c>
      <c r="G9431">
        <v>15</v>
      </c>
      <c r="H9431" t="s">
        <v>19447</v>
      </c>
      <c r="I9431" t="s">
        <v>19447</v>
      </c>
      <c r="J9431">
        <v>18</v>
      </c>
      <c r="L9431" t="s">
        <v>2709</v>
      </c>
      <c r="M9431">
        <v>85393200</v>
      </c>
      <c r="O9431" t="s">
        <v>20213</v>
      </c>
      <c r="P9431" t="s">
        <v>19982</v>
      </c>
      <c r="Q9431" t="s">
        <v>19983</v>
      </c>
      <c r="R9431" t="s">
        <v>19447</v>
      </c>
      <c r="S9431" t="s">
        <v>19447</v>
      </c>
      <c r="T9431" t="s">
        <v>19899</v>
      </c>
    </row>
    <row r="9432" spans="2:20" x14ac:dyDescent="0.25">
      <c r="B9432" t="s">
        <v>2709</v>
      </c>
      <c r="C9432">
        <v>85393200</v>
      </c>
      <c r="D9432">
        <v>1</v>
      </c>
      <c r="E9432" t="s">
        <v>19447</v>
      </c>
      <c r="F9432">
        <v>18</v>
      </c>
      <c r="G9432">
        <v>0</v>
      </c>
      <c r="H9432">
        <v>7.6</v>
      </c>
      <c r="I9432">
        <v>1.65</v>
      </c>
      <c r="J9432">
        <v>18</v>
      </c>
      <c r="L9432" t="s">
        <v>2709</v>
      </c>
      <c r="M9432">
        <v>85393200</v>
      </c>
      <c r="N9432">
        <v>1</v>
      </c>
      <c r="O9432" t="s">
        <v>19447</v>
      </c>
      <c r="P9432" t="s">
        <v>19899</v>
      </c>
      <c r="Q9432" t="s">
        <v>19900</v>
      </c>
      <c r="R9432" t="s">
        <v>19905</v>
      </c>
      <c r="S9432" t="s">
        <v>19906</v>
      </c>
      <c r="T9432" t="s">
        <v>19899</v>
      </c>
    </row>
    <row r="9433" spans="2:20" x14ac:dyDescent="0.25">
      <c r="B9433" t="s">
        <v>2709</v>
      </c>
      <c r="C9433">
        <v>85393900</v>
      </c>
      <c r="E9433">
        <v>60.03</v>
      </c>
      <c r="F9433">
        <v>25</v>
      </c>
      <c r="G9433">
        <v>15</v>
      </c>
      <c r="H9433" t="s">
        <v>19447</v>
      </c>
      <c r="I9433" t="s">
        <v>19447</v>
      </c>
      <c r="J9433">
        <v>18</v>
      </c>
      <c r="L9433" t="s">
        <v>2709</v>
      </c>
      <c r="M9433">
        <v>85393900</v>
      </c>
      <c r="O9433" t="s">
        <v>20213</v>
      </c>
      <c r="P9433" t="s">
        <v>19982</v>
      </c>
      <c r="Q9433" t="s">
        <v>19983</v>
      </c>
      <c r="R9433" t="s">
        <v>19447</v>
      </c>
      <c r="S9433" t="s">
        <v>19447</v>
      </c>
      <c r="T9433" t="s">
        <v>19899</v>
      </c>
    </row>
    <row r="9434" spans="2:20" x14ac:dyDescent="0.25">
      <c r="B9434" t="s">
        <v>2709</v>
      </c>
      <c r="C9434">
        <v>85393900</v>
      </c>
      <c r="D9434">
        <v>1</v>
      </c>
      <c r="E9434" t="s">
        <v>19447</v>
      </c>
      <c r="F9434">
        <v>18</v>
      </c>
      <c r="G9434">
        <v>45</v>
      </c>
      <c r="H9434">
        <v>7.6</v>
      </c>
      <c r="I9434">
        <v>1.65</v>
      </c>
      <c r="J9434">
        <v>18</v>
      </c>
      <c r="L9434" t="s">
        <v>2709</v>
      </c>
      <c r="M9434">
        <v>85393900</v>
      </c>
      <c r="N9434">
        <v>1</v>
      </c>
      <c r="O9434" t="s">
        <v>19447</v>
      </c>
      <c r="P9434" t="s">
        <v>19899</v>
      </c>
      <c r="Q9434" t="s">
        <v>19999</v>
      </c>
      <c r="R9434" t="s">
        <v>19905</v>
      </c>
      <c r="S9434" t="s">
        <v>19906</v>
      </c>
      <c r="T9434" t="s">
        <v>19899</v>
      </c>
    </row>
    <row r="9435" spans="2:20" x14ac:dyDescent="0.25">
      <c r="B9435" t="s">
        <v>2709</v>
      </c>
      <c r="C9435">
        <v>85394110</v>
      </c>
      <c r="E9435">
        <v>60.03</v>
      </c>
      <c r="F9435">
        <v>25</v>
      </c>
      <c r="G9435">
        <v>15</v>
      </c>
      <c r="H9435" t="s">
        <v>19447</v>
      </c>
      <c r="I9435" t="s">
        <v>19447</v>
      </c>
      <c r="J9435">
        <v>2</v>
      </c>
      <c r="L9435" t="s">
        <v>2709</v>
      </c>
      <c r="M9435">
        <v>85394110</v>
      </c>
      <c r="O9435" t="s">
        <v>20213</v>
      </c>
      <c r="P9435" t="s">
        <v>19982</v>
      </c>
      <c r="Q9435" t="s">
        <v>19983</v>
      </c>
      <c r="R9435" t="s">
        <v>19447</v>
      </c>
      <c r="S9435" t="s">
        <v>19447</v>
      </c>
      <c r="T9435" t="s">
        <v>19901</v>
      </c>
    </row>
    <row r="9436" spans="2:20" x14ac:dyDescent="0.25">
      <c r="B9436" t="s">
        <v>2709</v>
      </c>
      <c r="C9436">
        <v>85394190</v>
      </c>
      <c r="E9436">
        <v>60.03</v>
      </c>
      <c r="F9436">
        <v>25</v>
      </c>
      <c r="G9436">
        <v>15</v>
      </c>
      <c r="H9436" t="s">
        <v>19447</v>
      </c>
      <c r="I9436" t="s">
        <v>19447</v>
      </c>
      <c r="J9436">
        <v>18</v>
      </c>
      <c r="L9436" t="s">
        <v>2709</v>
      </c>
      <c r="M9436">
        <v>85394190</v>
      </c>
      <c r="O9436" t="s">
        <v>20213</v>
      </c>
      <c r="P9436" t="s">
        <v>19982</v>
      </c>
      <c r="Q9436" t="s">
        <v>19983</v>
      </c>
      <c r="R9436" t="s">
        <v>19447</v>
      </c>
      <c r="S9436" t="s">
        <v>19447</v>
      </c>
      <c r="T9436" t="s">
        <v>19899</v>
      </c>
    </row>
    <row r="9437" spans="2:20" x14ac:dyDescent="0.25">
      <c r="B9437" t="s">
        <v>2709</v>
      </c>
      <c r="C9437">
        <v>85394900</v>
      </c>
      <c r="E9437">
        <v>60.03</v>
      </c>
      <c r="F9437">
        <v>25</v>
      </c>
      <c r="G9437">
        <v>15</v>
      </c>
      <c r="H9437" t="s">
        <v>19447</v>
      </c>
      <c r="I9437" t="s">
        <v>19447</v>
      </c>
      <c r="J9437">
        <v>18</v>
      </c>
      <c r="L9437" t="s">
        <v>2709</v>
      </c>
      <c r="M9437">
        <v>85394900</v>
      </c>
      <c r="O9437" t="s">
        <v>20213</v>
      </c>
      <c r="P9437" t="s">
        <v>19982</v>
      </c>
      <c r="Q9437" t="s">
        <v>19983</v>
      </c>
      <c r="R9437" t="s">
        <v>19447</v>
      </c>
      <c r="S9437" t="s">
        <v>19447</v>
      </c>
      <c r="T9437" t="s">
        <v>19899</v>
      </c>
    </row>
    <row r="9438" spans="2:20" x14ac:dyDescent="0.25">
      <c r="B9438" t="s">
        <v>2709</v>
      </c>
      <c r="C9438">
        <v>85399010</v>
      </c>
      <c r="E9438">
        <v>60.03</v>
      </c>
      <c r="F9438">
        <v>25</v>
      </c>
      <c r="G9438">
        <v>15</v>
      </c>
      <c r="H9438" t="s">
        <v>19447</v>
      </c>
      <c r="I9438" t="s">
        <v>19447</v>
      </c>
      <c r="J9438">
        <v>14</v>
      </c>
      <c r="L9438" t="s">
        <v>2709</v>
      </c>
      <c r="M9438">
        <v>85399010</v>
      </c>
      <c r="O9438" t="s">
        <v>20213</v>
      </c>
      <c r="P9438" t="s">
        <v>19982</v>
      </c>
      <c r="Q9438" t="s">
        <v>19983</v>
      </c>
      <c r="R9438" t="s">
        <v>19447</v>
      </c>
      <c r="S9438" t="s">
        <v>19447</v>
      </c>
      <c r="T9438" t="s">
        <v>19911</v>
      </c>
    </row>
    <row r="9439" spans="2:20" x14ac:dyDescent="0.25">
      <c r="B9439" t="s">
        <v>2709</v>
      </c>
      <c r="C9439">
        <v>85399020</v>
      </c>
      <c r="E9439">
        <v>60.03</v>
      </c>
      <c r="F9439">
        <v>25</v>
      </c>
      <c r="G9439">
        <v>15</v>
      </c>
      <c r="H9439" t="s">
        <v>19447</v>
      </c>
      <c r="I9439" t="s">
        <v>19447</v>
      </c>
      <c r="J9439">
        <v>14</v>
      </c>
      <c r="L9439" t="s">
        <v>2709</v>
      </c>
      <c r="M9439">
        <v>85399020</v>
      </c>
      <c r="O9439" t="s">
        <v>20213</v>
      </c>
      <c r="P9439" t="s">
        <v>19982</v>
      </c>
      <c r="Q9439" t="s">
        <v>19983</v>
      </c>
      <c r="R9439" t="s">
        <v>19447</v>
      </c>
      <c r="S9439" t="s">
        <v>19447</v>
      </c>
      <c r="T9439" t="s">
        <v>19911</v>
      </c>
    </row>
    <row r="9440" spans="2:20" x14ac:dyDescent="0.25">
      <c r="B9440" t="s">
        <v>2709</v>
      </c>
      <c r="C9440">
        <v>85399090</v>
      </c>
      <c r="E9440">
        <v>60.03</v>
      </c>
      <c r="F9440">
        <v>25</v>
      </c>
      <c r="G9440">
        <v>15</v>
      </c>
      <c r="H9440" t="s">
        <v>19447</v>
      </c>
      <c r="I9440" t="s">
        <v>19447</v>
      </c>
      <c r="J9440">
        <v>14</v>
      </c>
      <c r="L9440" t="s">
        <v>2709</v>
      </c>
      <c r="M9440">
        <v>85399090</v>
      </c>
      <c r="O9440" t="s">
        <v>20213</v>
      </c>
      <c r="P9440" t="s">
        <v>19982</v>
      </c>
      <c r="Q9440" t="s">
        <v>19983</v>
      </c>
      <c r="R9440" t="s">
        <v>19447</v>
      </c>
      <c r="S9440" t="s">
        <v>19447</v>
      </c>
      <c r="T9440" t="s">
        <v>19911</v>
      </c>
    </row>
    <row r="9441" spans="2:20" x14ac:dyDescent="0.25">
      <c r="B9441" t="s">
        <v>2709</v>
      </c>
      <c r="C9441">
        <v>85401100</v>
      </c>
      <c r="E9441">
        <v>102.31</v>
      </c>
      <c r="F9441">
        <v>25</v>
      </c>
      <c r="G9441">
        <v>10</v>
      </c>
      <c r="H9441" t="s">
        <v>19447</v>
      </c>
      <c r="I9441" t="s">
        <v>19447</v>
      </c>
      <c r="J9441">
        <v>18</v>
      </c>
      <c r="L9441" t="s">
        <v>2709</v>
      </c>
      <c r="M9441">
        <v>85401100</v>
      </c>
      <c r="O9441" t="s">
        <v>20212</v>
      </c>
      <c r="P9441" t="s">
        <v>19982</v>
      </c>
      <c r="Q9441" t="s">
        <v>19904</v>
      </c>
      <c r="R9441" t="s">
        <v>19447</v>
      </c>
      <c r="S9441" t="s">
        <v>19447</v>
      </c>
      <c r="T9441" t="s">
        <v>19899</v>
      </c>
    </row>
    <row r="9442" spans="2:20" x14ac:dyDescent="0.25">
      <c r="B9442" t="s">
        <v>2709</v>
      </c>
      <c r="C9442">
        <v>85401200</v>
      </c>
      <c r="E9442">
        <v>102.31</v>
      </c>
      <c r="F9442">
        <v>25</v>
      </c>
      <c r="G9442">
        <v>10</v>
      </c>
      <c r="H9442" t="s">
        <v>19447</v>
      </c>
      <c r="I9442" t="s">
        <v>19447</v>
      </c>
      <c r="J9442">
        <v>18</v>
      </c>
      <c r="L9442" t="s">
        <v>2709</v>
      </c>
      <c r="M9442">
        <v>85401200</v>
      </c>
      <c r="O9442" t="s">
        <v>20212</v>
      </c>
      <c r="P9442" t="s">
        <v>19982</v>
      </c>
      <c r="Q9442" t="s">
        <v>19904</v>
      </c>
      <c r="R9442" t="s">
        <v>19447</v>
      </c>
      <c r="S9442" t="s">
        <v>19447</v>
      </c>
      <c r="T9442" t="s">
        <v>19899</v>
      </c>
    </row>
    <row r="9443" spans="2:20" x14ac:dyDescent="0.25">
      <c r="B9443" t="s">
        <v>2709</v>
      </c>
      <c r="C9443">
        <v>85402011</v>
      </c>
      <c r="E9443">
        <v>102.31</v>
      </c>
      <c r="F9443">
        <v>12</v>
      </c>
      <c r="G9443">
        <v>10</v>
      </c>
      <c r="H9443" t="s">
        <v>19447</v>
      </c>
      <c r="I9443" t="s">
        <v>19447</v>
      </c>
      <c r="J9443">
        <v>18</v>
      </c>
      <c r="L9443" t="s">
        <v>2709</v>
      </c>
      <c r="M9443">
        <v>85402011</v>
      </c>
      <c r="O9443" t="s">
        <v>20212</v>
      </c>
      <c r="P9443" t="s">
        <v>19903</v>
      </c>
      <c r="Q9443" t="s">
        <v>19904</v>
      </c>
      <c r="R9443" t="s">
        <v>19447</v>
      </c>
      <c r="S9443" t="s">
        <v>19447</v>
      </c>
      <c r="T9443" t="s">
        <v>19899</v>
      </c>
    </row>
    <row r="9444" spans="2:20" x14ac:dyDescent="0.25">
      <c r="B9444" t="s">
        <v>2709</v>
      </c>
      <c r="C9444">
        <v>85402019</v>
      </c>
      <c r="E9444">
        <v>102.31</v>
      </c>
      <c r="F9444">
        <v>25</v>
      </c>
      <c r="G9444">
        <v>10</v>
      </c>
      <c r="H9444" t="s">
        <v>19447</v>
      </c>
      <c r="I9444" t="s">
        <v>19447</v>
      </c>
      <c r="J9444">
        <v>0</v>
      </c>
      <c r="L9444" t="s">
        <v>2709</v>
      </c>
      <c r="M9444">
        <v>85402019</v>
      </c>
      <c r="O9444" t="s">
        <v>20212</v>
      </c>
      <c r="P9444" t="s">
        <v>19982</v>
      </c>
      <c r="Q9444" t="s">
        <v>19904</v>
      </c>
      <c r="R9444" t="s">
        <v>19447</v>
      </c>
      <c r="S9444" t="s">
        <v>19447</v>
      </c>
      <c r="T9444" t="s">
        <v>19900</v>
      </c>
    </row>
    <row r="9445" spans="2:20" x14ac:dyDescent="0.25">
      <c r="B9445" t="s">
        <v>2709</v>
      </c>
      <c r="C9445">
        <v>85402020</v>
      </c>
      <c r="E9445">
        <v>102.31</v>
      </c>
      <c r="F9445">
        <v>25</v>
      </c>
      <c r="G9445">
        <v>10</v>
      </c>
      <c r="H9445" t="s">
        <v>19447</v>
      </c>
      <c r="I9445" t="s">
        <v>19447</v>
      </c>
      <c r="J9445">
        <v>0</v>
      </c>
      <c r="L9445" t="s">
        <v>2709</v>
      </c>
      <c r="M9445">
        <v>85402020</v>
      </c>
      <c r="O9445" t="s">
        <v>20212</v>
      </c>
      <c r="P9445" t="s">
        <v>19982</v>
      </c>
      <c r="Q9445" t="s">
        <v>19904</v>
      </c>
      <c r="R9445" t="s">
        <v>19447</v>
      </c>
      <c r="S9445" t="s">
        <v>19447</v>
      </c>
      <c r="T9445" t="s">
        <v>19900</v>
      </c>
    </row>
    <row r="9446" spans="2:20" x14ac:dyDescent="0.25">
      <c r="B9446" t="s">
        <v>2709</v>
      </c>
      <c r="C9446">
        <v>85402090</v>
      </c>
      <c r="E9446">
        <v>102.31</v>
      </c>
      <c r="F9446">
        <v>25</v>
      </c>
      <c r="G9446">
        <v>10</v>
      </c>
      <c r="H9446" t="s">
        <v>19447</v>
      </c>
      <c r="I9446" t="s">
        <v>19447</v>
      </c>
      <c r="J9446">
        <v>0</v>
      </c>
      <c r="L9446" t="s">
        <v>2709</v>
      </c>
      <c r="M9446">
        <v>85402090</v>
      </c>
      <c r="O9446" t="s">
        <v>20212</v>
      </c>
      <c r="P9446" t="s">
        <v>19982</v>
      </c>
      <c r="Q9446" t="s">
        <v>19904</v>
      </c>
      <c r="R9446" t="s">
        <v>19447</v>
      </c>
      <c r="S9446" t="s">
        <v>19447</v>
      </c>
      <c r="T9446" t="s">
        <v>19900</v>
      </c>
    </row>
    <row r="9447" spans="2:20" x14ac:dyDescent="0.25">
      <c r="B9447" t="s">
        <v>2709</v>
      </c>
      <c r="C9447">
        <v>85404000</v>
      </c>
      <c r="E9447">
        <v>102.31</v>
      </c>
      <c r="F9447">
        <v>12</v>
      </c>
      <c r="G9447">
        <v>10</v>
      </c>
      <c r="H9447" t="s">
        <v>19447</v>
      </c>
      <c r="I9447" t="s">
        <v>19447</v>
      </c>
      <c r="J9447">
        <v>0</v>
      </c>
      <c r="L9447" t="s">
        <v>2709</v>
      </c>
      <c r="M9447">
        <v>85404000</v>
      </c>
      <c r="O9447" t="s">
        <v>20212</v>
      </c>
      <c r="P9447" t="s">
        <v>19903</v>
      </c>
      <c r="Q9447" t="s">
        <v>19904</v>
      </c>
      <c r="R9447" t="s">
        <v>19447</v>
      </c>
      <c r="S9447" t="s">
        <v>19447</v>
      </c>
      <c r="T9447" t="s">
        <v>19900</v>
      </c>
    </row>
    <row r="9448" spans="2:20" x14ac:dyDescent="0.25">
      <c r="B9448" t="s">
        <v>2709</v>
      </c>
      <c r="C9448">
        <v>85406010</v>
      </c>
      <c r="E9448">
        <v>102.31</v>
      </c>
      <c r="F9448">
        <v>12</v>
      </c>
      <c r="G9448">
        <v>10</v>
      </c>
      <c r="H9448" t="s">
        <v>19447</v>
      </c>
      <c r="I9448" t="s">
        <v>19447</v>
      </c>
      <c r="J9448">
        <v>8</v>
      </c>
      <c r="L9448" t="s">
        <v>2709</v>
      </c>
      <c r="M9448">
        <v>85406010</v>
      </c>
      <c r="O9448" t="s">
        <v>20212</v>
      </c>
      <c r="P9448" t="s">
        <v>19903</v>
      </c>
      <c r="Q9448" t="s">
        <v>19904</v>
      </c>
      <c r="R9448" t="s">
        <v>19447</v>
      </c>
      <c r="S9448" t="s">
        <v>19447</v>
      </c>
      <c r="T9448" t="s">
        <v>19918</v>
      </c>
    </row>
    <row r="9449" spans="2:20" x14ac:dyDescent="0.25">
      <c r="B9449" t="s">
        <v>2709</v>
      </c>
      <c r="C9449">
        <v>85406090</v>
      </c>
      <c r="E9449">
        <v>102.31</v>
      </c>
      <c r="F9449">
        <v>12</v>
      </c>
      <c r="G9449">
        <v>10</v>
      </c>
      <c r="H9449" t="s">
        <v>19447</v>
      </c>
      <c r="I9449" t="s">
        <v>19447</v>
      </c>
      <c r="J9449">
        <v>18</v>
      </c>
      <c r="L9449" t="s">
        <v>2709</v>
      </c>
      <c r="M9449">
        <v>85406090</v>
      </c>
      <c r="O9449" t="s">
        <v>20212</v>
      </c>
      <c r="P9449" t="s">
        <v>19903</v>
      </c>
      <c r="Q9449" t="s">
        <v>19904</v>
      </c>
      <c r="R9449" t="s">
        <v>19447</v>
      </c>
      <c r="S9449" t="s">
        <v>19447</v>
      </c>
      <c r="T9449" t="s">
        <v>19899</v>
      </c>
    </row>
    <row r="9450" spans="2:20" x14ac:dyDescent="0.25">
      <c r="B9450" t="s">
        <v>2709</v>
      </c>
      <c r="C9450">
        <v>85407100</v>
      </c>
      <c r="E9450">
        <v>102.31</v>
      </c>
      <c r="F9450">
        <v>25</v>
      </c>
      <c r="G9450">
        <v>10</v>
      </c>
      <c r="H9450" t="s">
        <v>19447</v>
      </c>
      <c r="I9450" t="s">
        <v>19447</v>
      </c>
      <c r="J9450">
        <v>18</v>
      </c>
      <c r="L9450" t="s">
        <v>2709</v>
      </c>
      <c r="M9450">
        <v>85407100</v>
      </c>
      <c r="O9450" t="s">
        <v>20212</v>
      </c>
      <c r="P9450" t="s">
        <v>19982</v>
      </c>
      <c r="Q9450" t="s">
        <v>19904</v>
      </c>
      <c r="R9450" t="s">
        <v>19447</v>
      </c>
      <c r="S9450" t="s">
        <v>19447</v>
      </c>
      <c r="T9450" t="s">
        <v>19899</v>
      </c>
    </row>
    <row r="9451" spans="2:20" x14ac:dyDescent="0.25">
      <c r="B9451" t="s">
        <v>2709</v>
      </c>
      <c r="C9451">
        <v>85407900</v>
      </c>
      <c r="E9451">
        <v>102.31</v>
      </c>
      <c r="F9451">
        <v>25</v>
      </c>
      <c r="G9451">
        <v>10</v>
      </c>
      <c r="H9451" t="s">
        <v>19447</v>
      </c>
      <c r="I9451" t="s">
        <v>19447</v>
      </c>
      <c r="J9451">
        <v>18</v>
      </c>
      <c r="L9451" t="s">
        <v>2709</v>
      </c>
      <c r="M9451">
        <v>85407900</v>
      </c>
      <c r="O9451" t="s">
        <v>20212</v>
      </c>
      <c r="P9451" t="s">
        <v>19982</v>
      </c>
      <c r="Q9451" t="s">
        <v>19904</v>
      </c>
      <c r="R9451" t="s">
        <v>19447</v>
      </c>
      <c r="S9451" t="s">
        <v>19447</v>
      </c>
      <c r="T9451" t="s">
        <v>19899</v>
      </c>
    </row>
    <row r="9452" spans="2:20" x14ac:dyDescent="0.25">
      <c r="B9452" t="s">
        <v>2709</v>
      </c>
      <c r="C9452">
        <v>85408100</v>
      </c>
      <c r="E9452">
        <v>102.31</v>
      </c>
      <c r="F9452">
        <v>25</v>
      </c>
      <c r="G9452">
        <v>10</v>
      </c>
      <c r="H9452" t="s">
        <v>19447</v>
      </c>
      <c r="I9452" t="s">
        <v>19447</v>
      </c>
      <c r="J9452">
        <v>18</v>
      </c>
      <c r="L9452" t="s">
        <v>2709</v>
      </c>
      <c r="M9452">
        <v>85408100</v>
      </c>
      <c r="O9452" t="s">
        <v>20212</v>
      </c>
      <c r="P9452" t="s">
        <v>19982</v>
      </c>
      <c r="Q9452" t="s">
        <v>19904</v>
      </c>
      <c r="R9452" t="s">
        <v>19447</v>
      </c>
      <c r="S9452" t="s">
        <v>19447</v>
      </c>
      <c r="T9452" t="s">
        <v>19899</v>
      </c>
    </row>
    <row r="9453" spans="2:20" x14ac:dyDescent="0.25">
      <c r="B9453" t="s">
        <v>2709</v>
      </c>
      <c r="C9453">
        <v>85408910</v>
      </c>
      <c r="E9453">
        <v>102.31</v>
      </c>
      <c r="F9453">
        <v>25</v>
      </c>
      <c r="G9453">
        <v>10</v>
      </c>
      <c r="H9453" t="s">
        <v>19447</v>
      </c>
      <c r="I9453" t="s">
        <v>19447</v>
      </c>
      <c r="J9453">
        <v>0</v>
      </c>
      <c r="L9453" t="s">
        <v>2709</v>
      </c>
      <c r="M9453">
        <v>85408910</v>
      </c>
      <c r="O9453" t="s">
        <v>20212</v>
      </c>
      <c r="P9453" t="s">
        <v>19982</v>
      </c>
      <c r="Q9453" t="s">
        <v>19904</v>
      </c>
      <c r="R9453" t="s">
        <v>19447</v>
      </c>
      <c r="S9453" t="s">
        <v>19447</v>
      </c>
      <c r="T9453" t="s">
        <v>19900</v>
      </c>
    </row>
    <row r="9454" spans="2:20" x14ac:dyDescent="0.25">
      <c r="B9454" t="s">
        <v>2709</v>
      </c>
      <c r="C9454">
        <v>85408990</v>
      </c>
      <c r="E9454">
        <v>102.31</v>
      </c>
      <c r="F9454">
        <v>25</v>
      </c>
      <c r="G9454">
        <v>10</v>
      </c>
      <c r="H9454" t="s">
        <v>19447</v>
      </c>
      <c r="I9454" t="s">
        <v>19447</v>
      </c>
      <c r="J9454">
        <v>18</v>
      </c>
      <c r="L9454" t="s">
        <v>2709</v>
      </c>
      <c r="M9454">
        <v>85408990</v>
      </c>
      <c r="O9454" t="s">
        <v>20212</v>
      </c>
      <c r="P9454" t="s">
        <v>19982</v>
      </c>
      <c r="Q9454" t="s">
        <v>19904</v>
      </c>
      <c r="R9454" t="s">
        <v>19447</v>
      </c>
      <c r="S9454" t="s">
        <v>19447</v>
      </c>
      <c r="T9454" t="s">
        <v>19899</v>
      </c>
    </row>
    <row r="9455" spans="2:20" x14ac:dyDescent="0.25">
      <c r="B9455" t="s">
        <v>2709</v>
      </c>
      <c r="C9455">
        <v>85409110</v>
      </c>
      <c r="E9455">
        <v>102.31</v>
      </c>
      <c r="F9455">
        <v>25</v>
      </c>
      <c r="G9455">
        <v>10</v>
      </c>
      <c r="H9455" t="s">
        <v>19447</v>
      </c>
      <c r="I9455" t="s">
        <v>19447</v>
      </c>
      <c r="J9455">
        <v>16</v>
      </c>
      <c r="L9455" t="s">
        <v>2709</v>
      </c>
      <c r="M9455">
        <v>85409110</v>
      </c>
      <c r="O9455" t="s">
        <v>20212</v>
      </c>
      <c r="P9455" t="s">
        <v>19982</v>
      </c>
      <c r="Q9455" t="s">
        <v>19904</v>
      </c>
      <c r="R9455" t="s">
        <v>19447</v>
      </c>
      <c r="S9455" t="s">
        <v>19447</v>
      </c>
      <c r="T9455" t="s">
        <v>19913</v>
      </c>
    </row>
    <row r="9456" spans="2:20" x14ac:dyDescent="0.25">
      <c r="B9456" t="s">
        <v>2709</v>
      </c>
      <c r="C9456">
        <v>85409120</v>
      </c>
      <c r="E9456">
        <v>102.31</v>
      </c>
      <c r="F9456">
        <v>25</v>
      </c>
      <c r="G9456">
        <v>10</v>
      </c>
      <c r="H9456" t="s">
        <v>19447</v>
      </c>
      <c r="I9456" t="s">
        <v>19447</v>
      </c>
      <c r="J9456">
        <v>2</v>
      </c>
      <c r="L9456" t="s">
        <v>2709</v>
      </c>
      <c r="M9456">
        <v>85409120</v>
      </c>
      <c r="O9456" t="s">
        <v>20212</v>
      </c>
      <c r="P9456" t="s">
        <v>19982</v>
      </c>
      <c r="Q9456" t="s">
        <v>19904</v>
      </c>
      <c r="R9456" t="s">
        <v>19447</v>
      </c>
      <c r="S9456" t="s">
        <v>19447</v>
      </c>
      <c r="T9456" t="s">
        <v>19901</v>
      </c>
    </row>
    <row r="9457" spans="2:20" x14ac:dyDescent="0.25">
      <c r="B9457" t="s">
        <v>2709</v>
      </c>
      <c r="C9457">
        <v>85409130</v>
      </c>
      <c r="E9457">
        <v>102.31</v>
      </c>
      <c r="F9457">
        <v>25</v>
      </c>
      <c r="G9457">
        <v>10</v>
      </c>
      <c r="H9457" t="s">
        <v>19447</v>
      </c>
      <c r="I9457" t="s">
        <v>19447</v>
      </c>
      <c r="J9457">
        <v>16</v>
      </c>
      <c r="L9457" t="s">
        <v>2709</v>
      </c>
      <c r="M9457">
        <v>85409130</v>
      </c>
      <c r="O9457" t="s">
        <v>20212</v>
      </c>
      <c r="P9457" t="s">
        <v>19982</v>
      </c>
      <c r="Q9457" t="s">
        <v>19904</v>
      </c>
      <c r="R9457" t="s">
        <v>19447</v>
      </c>
      <c r="S9457" t="s">
        <v>19447</v>
      </c>
      <c r="T9457" t="s">
        <v>19913</v>
      </c>
    </row>
    <row r="9458" spans="2:20" x14ac:dyDescent="0.25">
      <c r="B9458" t="s">
        <v>2709</v>
      </c>
      <c r="C9458">
        <v>85409140</v>
      </c>
      <c r="E9458">
        <v>102.31</v>
      </c>
      <c r="F9458">
        <v>25</v>
      </c>
      <c r="G9458">
        <v>10</v>
      </c>
      <c r="H9458" t="s">
        <v>19447</v>
      </c>
      <c r="I9458" t="s">
        <v>19447</v>
      </c>
      <c r="J9458">
        <v>16</v>
      </c>
      <c r="L9458" t="s">
        <v>2709</v>
      </c>
      <c r="M9458">
        <v>85409140</v>
      </c>
      <c r="O9458" t="s">
        <v>20212</v>
      </c>
      <c r="P9458" t="s">
        <v>19982</v>
      </c>
      <c r="Q9458" t="s">
        <v>19904</v>
      </c>
      <c r="R9458" t="s">
        <v>19447</v>
      </c>
      <c r="S9458" t="s">
        <v>19447</v>
      </c>
      <c r="T9458" t="s">
        <v>19913</v>
      </c>
    </row>
    <row r="9459" spans="2:20" x14ac:dyDescent="0.25">
      <c r="B9459" t="s">
        <v>2709</v>
      </c>
      <c r="C9459">
        <v>85409190</v>
      </c>
      <c r="E9459">
        <v>102.31</v>
      </c>
      <c r="F9459">
        <v>25</v>
      </c>
      <c r="G9459">
        <v>10</v>
      </c>
      <c r="H9459" t="s">
        <v>19447</v>
      </c>
      <c r="I9459" t="s">
        <v>19447</v>
      </c>
      <c r="J9459">
        <v>2</v>
      </c>
      <c r="L9459" t="s">
        <v>2709</v>
      </c>
      <c r="M9459">
        <v>85409190</v>
      </c>
      <c r="O9459" t="s">
        <v>20212</v>
      </c>
      <c r="P9459" t="s">
        <v>19982</v>
      </c>
      <c r="Q9459" t="s">
        <v>19904</v>
      </c>
      <c r="R9459" t="s">
        <v>19447</v>
      </c>
      <c r="S9459" t="s">
        <v>19447</v>
      </c>
      <c r="T9459" t="s">
        <v>19901</v>
      </c>
    </row>
    <row r="9460" spans="2:20" x14ac:dyDescent="0.25">
      <c r="B9460" t="s">
        <v>2709</v>
      </c>
      <c r="C9460">
        <v>85409900</v>
      </c>
      <c r="E9460">
        <v>102.31</v>
      </c>
      <c r="F9460">
        <v>25</v>
      </c>
      <c r="G9460">
        <v>10</v>
      </c>
      <c r="H9460" t="s">
        <v>19447</v>
      </c>
      <c r="I9460" t="s">
        <v>19447</v>
      </c>
      <c r="J9460">
        <v>16</v>
      </c>
      <c r="L9460" t="s">
        <v>2709</v>
      </c>
      <c r="M9460">
        <v>85409900</v>
      </c>
      <c r="O9460" t="s">
        <v>20212</v>
      </c>
      <c r="P9460" t="s">
        <v>19982</v>
      </c>
      <c r="Q9460" t="s">
        <v>19904</v>
      </c>
      <c r="R9460" t="s">
        <v>19447</v>
      </c>
      <c r="S9460" t="s">
        <v>19447</v>
      </c>
      <c r="T9460" t="s">
        <v>19913</v>
      </c>
    </row>
    <row r="9461" spans="2:20" x14ac:dyDescent="0.25">
      <c r="B9461" t="s">
        <v>2709</v>
      </c>
      <c r="C9461">
        <v>85411011</v>
      </c>
      <c r="E9461">
        <v>147.97</v>
      </c>
      <c r="F9461">
        <v>12</v>
      </c>
      <c r="G9461">
        <v>2</v>
      </c>
      <c r="H9461" t="s">
        <v>19447</v>
      </c>
      <c r="I9461" t="s">
        <v>19447</v>
      </c>
      <c r="J9461">
        <v>0</v>
      </c>
      <c r="L9461" t="s">
        <v>2709</v>
      </c>
      <c r="M9461">
        <v>85411011</v>
      </c>
      <c r="O9461" t="s">
        <v>20138</v>
      </c>
      <c r="P9461" t="s">
        <v>19903</v>
      </c>
      <c r="Q9461" t="s">
        <v>19901</v>
      </c>
      <c r="R9461" t="s">
        <v>19447</v>
      </c>
      <c r="S9461" t="s">
        <v>19447</v>
      </c>
      <c r="T9461" t="s">
        <v>19900</v>
      </c>
    </row>
    <row r="9462" spans="2:20" x14ac:dyDescent="0.25">
      <c r="B9462" t="s">
        <v>2709</v>
      </c>
      <c r="C9462">
        <v>85411012</v>
      </c>
      <c r="E9462">
        <v>147.97</v>
      </c>
      <c r="F9462">
        <v>12</v>
      </c>
      <c r="G9462">
        <v>5</v>
      </c>
      <c r="H9462" t="s">
        <v>19447</v>
      </c>
      <c r="I9462" t="s">
        <v>19447</v>
      </c>
      <c r="J9462">
        <v>0</v>
      </c>
      <c r="L9462" t="s">
        <v>2709</v>
      </c>
      <c r="M9462">
        <v>85411012</v>
      </c>
      <c r="O9462" t="s">
        <v>20138</v>
      </c>
      <c r="P9462" t="s">
        <v>19903</v>
      </c>
      <c r="Q9462" t="s">
        <v>19909</v>
      </c>
      <c r="R9462" t="s">
        <v>19447</v>
      </c>
      <c r="S9462" t="s">
        <v>19447</v>
      </c>
      <c r="T9462" t="s">
        <v>19900</v>
      </c>
    </row>
    <row r="9463" spans="2:20" x14ac:dyDescent="0.25">
      <c r="B9463" t="s">
        <v>2709</v>
      </c>
      <c r="C9463">
        <v>85411019</v>
      </c>
      <c r="E9463">
        <v>147.97</v>
      </c>
      <c r="F9463">
        <v>12</v>
      </c>
      <c r="G9463">
        <v>5</v>
      </c>
      <c r="H9463" t="s">
        <v>19447</v>
      </c>
      <c r="I9463" t="s">
        <v>19447</v>
      </c>
      <c r="J9463">
        <v>6</v>
      </c>
      <c r="L9463" t="s">
        <v>2709</v>
      </c>
      <c r="M9463">
        <v>85411019</v>
      </c>
      <c r="O9463" t="s">
        <v>20138</v>
      </c>
      <c r="P9463" t="s">
        <v>19903</v>
      </c>
      <c r="Q9463" t="s">
        <v>19909</v>
      </c>
      <c r="R9463" t="s">
        <v>19447</v>
      </c>
      <c r="S9463" t="s">
        <v>19447</v>
      </c>
      <c r="T9463" t="s">
        <v>19907</v>
      </c>
    </row>
    <row r="9464" spans="2:20" x14ac:dyDescent="0.25">
      <c r="B9464" t="s">
        <v>2709</v>
      </c>
      <c r="C9464">
        <v>85411021</v>
      </c>
      <c r="E9464">
        <v>147.97</v>
      </c>
      <c r="F9464">
        <v>12</v>
      </c>
      <c r="G9464">
        <v>2</v>
      </c>
      <c r="H9464" t="s">
        <v>19447</v>
      </c>
      <c r="I9464" t="s">
        <v>19447</v>
      </c>
      <c r="J9464">
        <v>0</v>
      </c>
      <c r="L9464" t="s">
        <v>2709</v>
      </c>
      <c r="M9464">
        <v>85411021</v>
      </c>
      <c r="O9464" t="s">
        <v>20138</v>
      </c>
      <c r="P9464" t="s">
        <v>19903</v>
      </c>
      <c r="Q9464" t="s">
        <v>19901</v>
      </c>
      <c r="R9464" t="s">
        <v>19447</v>
      </c>
      <c r="S9464" t="s">
        <v>19447</v>
      </c>
      <c r="T9464" t="s">
        <v>19900</v>
      </c>
    </row>
    <row r="9465" spans="2:20" x14ac:dyDescent="0.25">
      <c r="B9465" t="s">
        <v>2709</v>
      </c>
      <c r="C9465">
        <v>85411022</v>
      </c>
      <c r="E9465">
        <v>147.97</v>
      </c>
      <c r="F9465">
        <v>12</v>
      </c>
      <c r="G9465">
        <v>2</v>
      </c>
      <c r="H9465" t="s">
        <v>19447</v>
      </c>
      <c r="I9465" t="s">
        <v>19447</v>
      </c>
      <c r="J9465">
        <v>0</v>
      </c>
      <c r="L9465" t="s">
        <v>2709</v>
      </c>
      <c r="M9465">
        <v>85411022</v>
      </c>
      <c r="O9465" t="s">
        <v>20138</v>
      </c>
      <c r="P9465" t="s">
        <v>19903</v>
      </c>
      <c r="Q9465" t="s">
        <v>19901</v>
      </c>
      <c r="R9465" t="s">
        <v>19447</v>
      </c>
      <c r="S9465" t="s">
        <v>19447</v>
      </c>
      <c r="T9465" t="s">
        <v>19900</v>
      </c>
    </row>
    <row r="9466" spans="2:20" x14ac:dyDescent="0.25">
      <c r="B9466" t="s">
        <v>2709</v>
      </c>
      <c r="C9466">
        <v>85411029</v>
      </c>
      <c r="E9466">
        <v>147.97</v>
      </c>
      <c r="F9466">
        <v>12</v>
      </c>
      <c r="G9466">
        <v>2</v>
      </c>
      <c r="H9466" t="s">
        <v>19447</v>
      </c>
      <c r="I9466" t="s">
        <v>19447</v>
      </c>
      <c r="J9466">
        <v>0</v>
      </c>
      <c r="L9466" t="s">
        <v>2709</v>
      </c>
      <c r="M9466">
        <v>85411029</v>
      </c>
      <c r="O9466" t="s">
        <v>20138</v>
      </c>
      <c r="P9466" t="s">
        <v>19903</v>
      </c>
      <c r="Q9466" t="s">
        <v>19901</v>
      </c>
      <c r="R9466" t="s">
        <v>19447</v>
      </c>
      <c r="S9466" t="s">
        <v>19447</v>
      </c>
      <c r="T9466" t="s">
        <v>19900</v>
      </c>
    </row>
    <row r="9467" spans="2:20" x14ac:dyDescent="0.25">
      <c r="B9467" t="s">
        <v>2709</v>
      </c>
      <c r="C9467">
        <v>85411091</v>
      </c>
      <c r="E9467">
        <v>147.97</v>
      </c>
      <c r="F9467">
        <v>12</v>
      </c>
      <c r="G9467">
        <v>2</v>
      </c>
      <c r="H9467" t="s">
        <v>19447</v>
      </c>
      <c r="I9467" t="s">
        <v>19447</v>
      </c>
      <c r="J9467">
        <v>0</v>
      </c>
      <c r="L9467" t="s">
        <v>2709</v>
      </c>
      <c r="M9467">
        <v>85411091</v>
      </c>
      <c r="O9467" t="s">
        <v>20138</v>
      </c>
      <c r="P9467" t="s">
        <v>19903</v>
      </c>
      <c r="Q9467" t="s">
        <v>19901</v>
      </c>
      <c r="R9467" t="s">
        <v>19447</v>
      </c>
      <c r="S9467" t="s">
        <v>19447</v>
      </c>
      <c r="T9467" t="s">
        <v>19900</v>
      </c>
    </row>
    <row r="9468" spans="2:20" x14ac:dyDescent="0.25">
      <c r="B9468" t="s">
        <v>2709</v>
      </c>
      <c r="C9468">
        <v>85411092</v>
      </c>
      <c r="E9468">
        <v>147.97</v>
      </c>
      <c r="F9468">
        <v>12</v>
      </c>
      <c r="G9468">
        <v>2</v>
      </c>
      <c r="H9468" t="s">
        <v>19447</v>
      </c>
      <c r="I9468" t="s">
        <v>19447</v>
      </c>
      <c r="J9468">
        <v>0</v>
      </c>
      <c r="L9468" t="s">
        <v>2709</v>
      </c>
      <c r="M9468">
        <v>85411092</v>
      </c>
      <c r="O9468" t="s">
        <v>20138</v>
      </c>
      <c r="P9468" t="s">
        <v>19903</v>
      </c>
      <c r="Q9468" t="s">
        <v>19901</v>
      </c>
      <c r="R9468" t="s">
        <v>19447</v>
      </c>
      <c r="S9468" t="s">
        <v>19447</v>
      </c>
      <c r="T9468" t="s">
        <v>19900</v>
      </c>
    </row>
    <row r="9469" spans="2:20" x14ac:dyDescent="0.25">
      <c r="B9469" t="s">
        <v>2709</v>
      </c>
      <c r="C9469">
        <v>85411099</v>
      </c>
      <c r="E9469">
        <v>147.97</v>
      </c>
      <c r="F9469">
        <v>12</v>
      </c>
      <c r="G9469">
        <v>5</v>
      </c>
      <c r="H9469" t="s">
        <v>19447</v>
      </c>
      <c r="I9469" t="s">
        <v>19447</v>
      </c>
      <c r="J9469">
        <v>6</v>
      </c>
      <c r="L9469" t="s">
        <v>2709</v>
      </c>
      <c r="M9469">
        <v>85411099</v>
      </c>
      <c r="O9469" t="s">
        <v>20138</v>
      </c>
      <c r="P9469" t="s">
        <v>19903</v>
      </c>
      <c r="Q9469" t="s">
        <v>19909</v>
      </c>
      <c r="R9469" t="s">
        <v>19447</v>
      </c>
      <c r="S9469" t="s">
        <v>19447</v>
      </c>
      <c r="T9469" t="s">
        <v>19907</v>
      </c>
    </row>
    <row r="9470" spans="2:20" x14ac:dyDescent="0.25">
      <c r="B9470" t="s">
        <v>2709</v>
      </c>
      <c r="C9470">
        <v>85412110</v>
      </c>
      <c r="E9470">
        <v>147.97</v>
      </c>
      <c r="F9470">
        <v>12</v>
      </c>
      <c r="G9470">
        <v>2</v>
      </c>
      <c r="H9470" t="s">
        <v>19447</v>
      </c>
      <c r="I9470" t="s">
        <v>19447</v>
      </c>
      <c r="J9470">
        <v>0</v>
      </c>
      <c r="L9470" t="s">
        <v>2709</v>
      </c>
      <c r="M9470">
        <v>85412110</v>
      </c>
      <c r="O9470" t="s">
        <v>20138</v>
      </c>
      <c r="P9470" t="s">
        <v>19903</v>
      </c>
      <c r="Q9470" t="s">
        <v>19901</v>
      </c>
      <c r="R9470" t="s">
        <v>19447</v>
      </c>
      <c r="S9470" t="s">
        <v>19447</v>
      </c>
      <c r="T9470" t="s">
        <v>19900</v>
      </c>
    </row>
    <row r="9471" spans="2:20" x14ac:dyDescent="0.25">
      <c r="B9471" t="s">
        <v>2709</v>
      </c>
      <c r="C9471">
        <v>85412120</v>
      </c>
      <c r="E9471">
        <v>147.97</v>
      </c>
      <c r="F9471">
        <v>12</v>
      </c>
      <c r="G9471">
        <v>2</v>
      </c>
      <c r="H9471" t="s">
        <v>19447</v>
      </c>
      <c r="I9471" t="s">
        <v>19447</v>
      </c>
      <c r="J9471">
        <v>0</v>
      </c>
      <c r="L9471" t="s">
        <v>2709</v>
      </c>
      <c r="M9471">
        <v>85412120</v>
      </c>
      <c r="O9471" t="s">
        <v>20138</v>
      </c>
      <c r="P9471" t="s">
        <v>19903</v>
      </c>
      <c r="Q9471" t="s">
        <v>19901</v>
      </c>
      <c r="R9471" t="s">
        <v>19447</v>
      </c>
      <c r="S9471" t="s">
        <v>19447</v>
      </c>
      <c r="T9471" t="s">
        <v>19900</v>
      </c>
    </row>
    <row r="9472" spans="2:20" x14ac:dyDescent="0.25">
      <c r="B9472" t="s">
        <v>2709</v>
      </c>
      <c r="C9472">
        <v>85412191</v>
      </c>
      <c r="E9472">
        <v>147.97</v>
      </c>
      <c r="F9472">
        <v>12</v>
      </c>
      <c r="G9472">
        <v>2</v>
      </c>
      <c r="H9472" t="s">
        <v>19447</v>
      </c>
      <c r="I9472" t="s">
        <v>19447</v>
      </c>
      <c r="J9472">
        <v>0</v>
      </c>
      <c r="L9472" t="s">
        <v>2709</v>
      </c>
      <c r="M9472">
        <v>85412191</v>
      </c>
      <c r="O9472" t="s">
        <v>20138</v>
      </c>
      <c r="P9472" t="s">
        <v>19903</v>
      </c>
      <c r="Q9472" t="s">
        <v>19901</v>
      </c>
      <c r="R9472" t="s">
        <v>19447</v>
      </c>
      <c r="S9472" t="s">
        <v>19447</v>
      </c>
      <c r="T9472" t="s">
        <v>19900</v>
      </c>
    </row>
    <row r="9473" spans="2:20" x14ac:dyDescent="0.25">
      <c r="B9473" t="s">
        <v>2709</v>
      </c>
      <c r="C9473">
        <v>85412199</v>
      </c>
      <c r="E9473">
        <v>147.97</v>
      </c>
      <c r="F9473">
        <v>12</v>
      </c>
      <c r="G9473">
        <v>2</v>
      </c>
      <c r="H9473" t="s">
        <v>19447</v>
      </c>
      <c r="I9473" t="s">
        <v>19447</v>
      </c>
      <c r="J9473">
        <v>0</v>
      </c>
      <c r="L9473" t="s">
        <v>2709</v>
      </c>
      <c r="M9473">
        <v>85412199</v>
      </c>
      <c r="O9473" t="s">
        <v>20138</v>
      </c>
      <c r="P9473" t="s">
        <v>19903</v>
      </c>
      <c r="Q9473" t="s">
        <v>19901</v>
      </c>
      <c r="R9473" t="s">
        <v>19447</v>
      </c>
      <c r="S9473" t="s">
        <v>19447</v>
      </c>
      <c r="T9473" t="s">
        <v>19900</v>
      </c>
    </row>
    <row r="9474" spans="2:20" x14ac:dyDescent="0.25">
      <c r="B9474" t="s">
        <v>2709</v>
      </c>
      <c r="C9474">
        <v>85412910</v>
      </c>
      <c r="E9474">
        <v>147.97</v>
      </c>
      <c r="F9474">
        <v>25</v>
      </c>
      <c r="G9474">
        <v>2</v>
      </c>
      <c r="H9474" t="s">
        <v>19447</v>
      </c>
      <c r="I9474" t="s">
        <v>19447</v>
      </c>
      <c r="J9474">
        <v>0</v>
      </c>
      <c r="L9474" t="s">
        <v>2709</v>
      </c>
      <c r="M9474">
        <v>85412910</v>
      </c>
      <c r="O9474" t="s">
        <v>20138</v>
      </c>
      <c r="P9474" t="s">
        <v>19982</v>
      </c>
      <c r="Q9474" t="s">
        <v>19901</v>
      </c>
      <c r="R9474" t="s">
        <v>19447</v>
      </c>
      <c r="S9474" t="s">
        <v>19447</v>
      </c>
      <c r="T9474" t="s">
        <v>19900</v>
      </c>
    </row>
    <row r="9475" spans="2:20" x14ac:dyDescent="0.25">
      <c r="B9475" t="s">
        <v>2709</v>
      </c>
      <c r="C9475">
        <v>85412920</v>
      </c>
      <c r="E9475">
        <v>147.97</v>
      </c>
      <c r="F9475">
        <v>25</v>
      </c>
      <c r="G9475">
        <v>2</v>
      </c>
      <c r="H9475" t="s">
        <v>19447</v>
      </c>
      <c r="I9475" t="s">
        <v>19447</v>
      </c>
      <c r="J9475">
        <v>0</v>
      </c>
      <c r="L9475" t="s">
        <v>2709</v>
      </c>
      <c r="M9475">
        <v>85412920</v>
      </c>
      <c r="O9475" t="s">
        <v>20138</v>
      </c>
      <c r="P9475" t="s">
        <v>19982</v>
      </c>
      <c r="Q9475" t="s">
        <v>19901</v>
      </c>
      <c r="R9475" t="s">
        <v>19447</v>
      </c>
      <c r="S9475" t="s">
        <v>19447</v>
      </c>
      <c r="T9475" t="s">
        <v>19900</v>
      </c>
    </row>
    <row r="9476" spans="2:20" x14ac:dyDescent="0.25">
      <c r="B9476" t="s">
        <v>2709</v>
      </c>
      <c r="C9476">
        <v>85413011</v>
      </c>
      <c r="E9476">
        <v>147.97</v>
      </c>
      <c r="F9476">
        <v>25</v>
      </c>
      <c r="G9476">
        <v>2</v>
      </c>
      <c r="H9476" t="s">
        <v>19447</v>
      </c>
      <c r="I9476" t="s">
        <v>19447</v>
      </c>
      <c r="J9476">
        <v>0</v>
      </c>
      <c r="L9476" t="s">
        <v>2709</v>
      </c>
      <c r="M9476">
        <v>85413011</v>
      </c>
      <c r="O9476" t="s">
        <v>20138</v>
      </c>
      <c r="P9476" t="s">
        <v>19982</v>
      </c>
      <c r="Q9476" t="s">
        <v>19901</v>
      </c>
      <c r="R9476" t="s">
        <v>19447</v>
      </c>
      <c r="S9476" t="s">
        <v>19447</v>
      </c>
      <c r="T9476" t="s">
        <v>19900</v>
      </c>
    </row>
    <row r="9477" spans="2:20" x14ac:dyDescent="0.25">
      <c r="B9477" t="s">
        <v>2709</v>
      </c>
      <c r="C9477">
        <v>85413019</v>
      </c>
      <c r="E9477">
        <v>147.97</v>
      </c>
      <c r="F9477">
        <v>25</v>
      </c>
      <c r="G9477">
        <v>5</v>
      </c>
      <c r="H9477" t="s">
        <v>19447</v>
      </c>
      <c r="I9477" t="s">
        <v>19447</v>
      </c>
      <c r="J9477">
        <v>6</v>
      </c>
      <c r="L9477" t="s">
        <v>2709</v>
      </c>
      <c r="M9477">
        <v>85413019</v>
      </c>
      <c r="O9477" t="s">
        <v>20138</v>
      </c>
      <c r="P9477" t="s">
        <v>19982</v>
      </c>
      <c r="Q9477" t="s">
        <v>19909</v>
      </c>
      <c r="R9477" t="s">
        <v>19447</v>
      </c>
      <c r="S9477" t="s">
        <v>19447</v>
      </c>
      <c r="T9477" t="s">
        <v>19907</v>
      </c>
    </row>
    <row r="9478" spans="2:20" x14ac:dyDescent="0.25">
      <c r="B9478" t="s">
        <v>2709</v>
      </c>
      <c r="C9478">
        <v>85413021</v>
      </c>
      <c r="E9478">
        <v>147.97</v>
      </c>
      <c r="F9478">
        <v>25</v>
      </c>
      <c r="G9478">
        <v>5</v>
      </c>
      <c r="H9478" t="s">
        <v>19447</v>
      </c>
      <c r="I9478" t="s">
        <v>19447</v>
      </c>
      <c r="J9478">
        <v>6</v>
      </c>
      <c r="L9478" t="s">
        <v>2709</v>
      </c>
      <c r="M9478">
        <v>85413021</v>
      </c>
      <c r="O9478" t="s">
        <v>20138</v>
      </c>
      <c r="P9478" t="s">
        <v>19982</v>
      </c>
      <c r="Q9478" t="s">
        <v>19909</v>
      </c>
      <c r="R9478" t="s">
        <v>19447</v>
      </c>
      <c r="S9478" t="s">
        <v>19447</v>
      </c>
      <c r="T9478" t="s">
        <v>19907</v>
      </c>
    </row>
    <row r="9479" spans="2:20" x14ac:dyDescent="0.25">
      <c r="B9479" t="s">
        <v>2709</v>
      </c>
      <c r="C9479">
        <v>85413029</v>
      </c>
      <c r="E9479">
        <v>147.97</v>
      </c>
      <c r="F9479">
        <v>25</v>
      </c>
      <c r="G9479">
        <v>5</v>
      </c>
      <c r="H9479" t="s">
        <v>19447</v>
      </c>
      <c r="I9479" t="s">
        <v>19447</v>
      </c>
      <c r="J9479">
        <v>6</v>
      </c>
      <c r="L9479" t="s">
        <v>2709</v>
      </c>
      <c r="M9479">
        <v>85413029</v>
      </c>
      <c r="O9479" t="s">
        <v>20138</v>
      </c>
      <c r="P9479" t="s">
        <v>19982</v>
      </c>
      <c r="Q9479" t="s">
        <v>19909</v>
      </c>
      <c r="R9479" t="s">
        <v>19447</v>
      </c>
      <c r="S9479" t="s">
        <v>19447</v>
      </c>
      <c r="T9479" t="s">
        <v>19907</v>
      </c>
    </row>
    <row r="9480" spans="2:20" x14ac:dyDescent="0.25">
      <c r="B9480" t="s">
        <v>2709</v>
      </c>
      <c r="C9480">
        <v>85414011</v>
      </c>
      <c r="E9480">
        <v>65</v>
      </c>
      <c r="F9480">
        <v>12</v>
      </c>
      <c r="G9480">
        <v>5</v>
      </c>
      <c r="H9480" t="s">
        <v>19447</v>
      </c>
      <c r="I9480" t="s">
        <v>19447</v>
      </c>
      <c r="J9480">
        <v>0</v>
      </c>
      <c r="L9480" t="s">
        <v>2709</v>
      </c>
      <c r="M9480">
        <v>85414011</v>
      </c>
      <c r="O9480" t="s">
        <v>20128</v>
      </c>
      <c r="P9480" t="s">
        <v>19903</v>
      </c>
      <c r="Q9480" t="s">
        <v>19909</v>
      </c>
      <c r="R9480" t="s">
        <v>19447</v>
      </c>
      <c r="S9480" t="s">
        <v>19447</v>
      </c>
      <c r="T9480" t="s">
        <v>19900</v>
      </c>
    </row>
    <row r="9481" spans="2:20" x14ac:dyDescent="0.25">
      <c r="B9481" t="s">
        <v>2709</v>
      </c>
      <c r="C9481">
        <v>85414012</v>
      </c>
      <c r="E9481">
        <v>147.97</v>
      </c>
      <c r="F9481">
        <v>25</v>
      </c>
      <c r="G9481">
        <v>2</v>
      </c>
      <c r="H9481" t="s">
        <v>19447</v>
      </c>
      <c r="I9481" t="s">
        <v>19447</v>
      </c>
      <c r="J9481">
        <v>0</v>
      </c>
      <c r="L9481" t="s">
        <v>2709</v>
      </c>
      <c r="M9481">
        <v>85414012</v>
      </c>
      <c r="O9481" t="s">
        <v>20138</v>
      </c>
      <c r="P9481" t="s">
        <v>19982</v>
      </c>
      <c r="Q9481" t="s">
        <v>19901</v>
      </c>
      <c r="R9481" t="s">
        <v>19447</v>
      </c>
      <c r="S9481" t="s">
        <v>19447</v>
      </c>
      <c r="T9481" t="s">
        <v>19900</v>
      </c>
    </row>
    <row r="9482" spans="2:20" x14ac:dyDescent="0.25">
      <c r="B9482" t="s">
        <v>2709</v>
      </c>
      <c r="C9482">
        <v>85414013</v>
      </c>
      <c r="E9482">
        <v>147.97</v>
      </c>
      <c r="F9482">
        <v>12</v>
      </c>
      <c r="G9482">
        <v>2</v>
      </c>
      <c r="H9482" t="s">
        <v>19447</v>
      </c>
      <c r="I9482" t="s">
        <v>19447</v>
      </c>
      <c r="J9482">
        <v>0</v>
      </c>
      <c r="L9482" t="s">
        <v>2709</v>
      </c>
      <c r="M9482">
        <v>85414013</v>
      </c>
      <c r="O9482" t="s">
        <v>20138</v>
      </c>
      <c r="P9482" t="s">
        <v>19903</v>
      </c>
      <c r="Q9482" t="s">
        <v>19901</v>
      </c>
      <c r="R9482" t="s">
        <v>19447</v>
      </c>
      <c r="S9482" t="s">
        <v>19447</v>
      </c>
      <c r="T9482" t="s">
        <v>19900</v>
      </c>
    </row>
    <row r="9483" spans="2:20" x14ac:dyDescent="0.25">
      <c r="B9483" t="s">
        <v>2709</v>
      </c>
      <c r="C9483">
        <v>85414014</v>
      </c>
      <c r="E9483">
        <v>147.97</v>
      </c>
      <c r="F9483">
        <v>25</v>
      </c>
      <c r="G9483">
        <v>2</v>
      </c>
      <c r="H9483" t="s">
        <v>19447</v>
      </c>
      <c r="I9483" t="s">
        <v>19447</v>
      </c>
      <c r="J9483">
        <v>0</v>
      </c>
      <c r="L9483" t="s">
        <v>2709</v>
      </c>
      <c r="M9483">
        <v>85414014</v>
      </c>
      <c r="O9483" t="s">
        <v>20138</v>
      </c>
      <c r="P9483" t="s">
        <v>19982</v>
      </c>
      <c r="Q9483" t="s">
        <v>19901</v>
      </c>
      <c r="R9483" t="s">
        <v>19447</v>
      </c>
      <c r="S9483" t="s">
        <v>19447</v>
      </c>
      <c r="T9483" t="s">
        <v>19900</v>
      </c>
    </row>
    <row r="9484" spans="2:20" x14ac:dyDescent="0.25">
      <c r="B9484" t="s">
        <v>2709</v>
      </c>
      <c r="C9484">
        <v>85414015</v>
      </c>
      <c r="E9484">
        <v>147.97</v>
      </c>
      <c r="F9484">
        <v>25</v>
      </c>
      <c r="G9484">
        <v>2</v>
      </c>
      <c r="H9484" t="s">
        <v>19447</v>
      </c>
      <c r="I9484" t="s">
        <v>19447</v>
      </c>
      <c r="J9484">
        <v>0</v>
      </c>
      <c r="L9484" t="s">
        <v>2709</v>
      </c>
      <c r="M9484">
        <v>85414015</v>
      </c>
      <c r="O9484" t="s">
        <v>20138</v>
      </c>
      <c r="P9484" t="s">
        <v>19982</v>
      </c>
      <c r="Q9484" t="s">
        <v>19901</v>
      </c>
      <c r="R9484" t="s">
        <v>19447</v>
      </c>
      <c r="S9484" t="s">
        <v>19447</v>
      </c>
      <c r="T9484" t="s">
        <v>19900</v>
      </c>
    </row>
    <row r="9485" spans="2:20" x14ac:dyDescent="0.25">
      <c r="B9485" t="s">
        <v>2709</v>
      </c>
      <c r="C9485">
        <v>85414016</v>
      </c>
      <c r="E9485">
        <v>147.97</v>
      </c>
      <c r="F9485">
        <v>0</v>
      </c>
      <c r="G9485">
        <v>0</v>
      </c>
      <c r="H9485" t="s">
        <v>19447</v>
      </c>
      <c r="I9485" t="s">
        <v>19447</v>
      </c>
      <c r="J9485">
        <v>10</v>
      </c>
      <c r="L9485" t="s">
        <v>2709</v>
      </c>
      <c r="M9485">
        <v>85414016</v>
      </c>
      <c r="O9485" t="s">
        <v>20138</v>
      </c>
      <c r="P9485" t="s">
        <v>19900</v>
      </c>
      <c r="Q9485" t="s">
        <v>19900</v>
      </c>
      <c r="R9485" t="s">
        <v>19447</v>
      </c>
      <c r="S9485" t="s">
        <v>19447</v>
      </c>
      <c r="T9485" t="s">
        <v>19904</v>
      </c>
    </row>
    <row r="9486" spans="2:20" x14ac:dyDescent="0.25">
      <c r="B9486" t="s">
        <v>2709</v>
      </c>
      <c r="C9486">
        <v>85414019</v>
      </c>
      <c r="E9486">
        <v>147.97</v>
      </c>
      <c r="F9486">
        <v>12</v>
      </c>
      <c r="G9486">
        <v>2</v>
      </c>
      <c r="H9486" t="s">
        <v>19447</v>
      </c>
      <c r="I9486" t="s">
        <v>19447</v>
      </c>
      <c r="J9486">
        <v>0</v>
      </c>
      <c r="L9486" t="s">
        <v>2709</v>
      </c>
      <c r="M9486">
        <v>85414019</v>
      </c>
      <c r="O9486" t="s">
        <v>20138</v>
      </c>
      <c r="P9486" t="s">
        <v>19903</v>
      </c>
      <c r="Q9486" t="s">
        <v>19901</v>
      </c>
      <c r="R9486" t="s">
        <v>19447</v>
      </c>
      <c r="S9486" t="s">
        <v>19447</v>
      </c>
      <c r="T9486" t="s">
        <v>19900</v>
      </c>
    </row>
    <row r="9487" spans="2:20" x14ac:dyDescent="0.25">
      <c r="B9487" t="s">
        <v>2709</v>
      </c>
      <c r="C9487">
        <v>85414021</v>
      </c>
      <c r="E9487">
        <v>65</v>
      </c>
      <c r="F9487">
        <v>12</v>
      </c>
      <c r="G9487">
        <v>2</v>
      </c>
      <c r="H9487" t="s">
        <v>19447</v>
      </c>
      <c r="I9487" t="s">
        <v>19447</v>
      </c>
      <c r="J9487">
        <v>0</v>
      </c>
      <c r="L9487" t="s">
        <v>2709</v>
      </c>
      <c r="M9487">
        <v>85414021</v>
      </c>
      <c r="O9487" t="s">
        <v>20128</v>
      </c>
      <c r="P9487" t="s">
        <v>19903</v>
      </c>
      <c r="Q9487" t="s">
        <v>19901</v>
      </c>
      <c r="R9487" t="s">
        <v>19447</v>
      </c>
      <c r="S9487" t="s">
        <v>19447</v>
      </c>
      <c r="T9487" t="s">
        <v>19900</v>
      </c>
    </row>
    <row r="9488" spans="2:20" x14ac:dyDescent="0.25">
      <c r="B9488" t="s">
        <v>2709</v>
      </c>
      <c r="C9488">
        <v>85414022</v>
      </c>
      <c r="E9488">
        <v>65</v>
      </c>
      <c r="F9488">
        <v>25</v>
      </c>
      <c r="G9488">
        <v>2</v>
      </c>
      <c r="H9488" t="s">
        <v>19447</v>
      </c>
      <c r="I9488" t="s">
        <v>19447</v>
      </c>
      <c r="J9488">
        <v>0</v>
      </c>
      <c r="L9488" t="s">
        <v>2709</v>
      </c>
      <c r="M9488">
        <v>85414022</v>
      </c>
      <c r="O9488" t="s">
        <v>20128</v>
      </c>
      <c r="P9488" t="s">
        <v>19982</v>
      </c>
      <c r="Q9488" t="s">
        <v>19901</v>
      </c>
      <c r="R9488" t="s">
        <v>19447</v>
      </c>
      <c r="S9488" t="s">
        <v>19447</v>
      </c>
      <c r="T9488" t="s">
        <v>19900</v>
      </c>
    </row>
    <row r="9489" spans="2:20" x14ac:dyDescent="0.25">
      <c r="B9489" t="s">
        <v>2709</v>
      </c>
      <c r="C9489">
        <v>85414023</v>
      </c>
      <c r="E9489">
        <v>147.97</v>
      </c>
      <c r="F9489">
        <v>25</v>
      </c>
      <c r="G9489">
        <v>5</v>
      </c>
      <c r="H9489" t="s">
        <v>19447</v>
      </c>
      <c r="I9489" t="s">
        <v>19447</v>
      </c>
      <c r="J9489">
        <v>0</v>
      </c>
      <c r="L9489" t="s">
        <v>2709</v>
      </c>
      <c r="M9489">
        <v>85414023</v>
      </c>
      <c r="O9489" t="s">
        <v>20138</v>
      </c>
      <c r="P9489" t="s">
        <v>19982</v>
      </c>
      <c r="Q9489" t="s">
        <v>19909</v>
      </c>
      <c r="R9489" t="s">
        <v>19447</v>
      </c>
      <c r="S9489" t="s">
        <v>19447</v>
      </c>
      <c r="T9489" t="s">
        <v>19900</v>
      </c>
    </row>
    <row r="9490" spans="2:20" x14ac:dyDescent="0.25">
      <c r="B9490" t="s">
        <v>2709</v>
      </c>
      <c r="C9490">
        <v>85414024</v>
      </c>
      <c r="E9490">
        <v>147.97</v>
      </c>
      <c r="F9490">
        <v>25</v>
      </c>
      <c r="G9490">
        <v>2</v>
      </c>
      <c r="H9490" t="s">
        <v>19447</v>
      </c>
      <c r="I9490" t="s">
        <v>19447</v>
      </c>
      <c r="J9490">
        <v>0</v>
      </c>
      <c r="L9490" t="s">
        <v>2709</v>
      </c>
      <c r="M9490">
        <v>85414024</v>
      </c>
      <c r="O9490" t="s">
        <v>20138</v>
      </c>
      <c r="P9490" t="s">
        <v>19982</v>
      </c>
      <c r="Q9490" t="s">
        <v>19901</v>
      </c>
      <c r="R9490" t="s">
        <v>19447</v>
      </c>
      <c r="S9490" t="s">
        <v>19447</v>
      </c>
      <c r="T9490" t="s">
        <v>19900</v>
      </c>
    </row>
    <row r="9491" spans="2:20" x14ac:dyDescent="0.25">
      <c r="B9491" t="s">
        <v>2709</v>
      </c>
      <c r="C9491">
        <v>85414025</v>
      </c>
      <c r="E9491">
        <v>147.97</v>
      </c>
      <c r="F9491">
        <v>12</v>
      </c>
      <c r="G9491">
        <v>2</v>
      </c>
      <c r="H9491" t="s">
        <v>19447</v>
      </c>
      <c r="I9491" t="s">
        <v>19447</v>
      </c>
      <c r="J9491">
        <v>0</v>
      </c>
      <c r="L9491" t="s">
        <v>2709</v>
      </c>
      <c r="M9491">
        <v>85414025</v>
      </c>
      <c r="O9491" t="s">
        <v>20138</v>
      </c>
      <c r="P9491" t="s">
        <v>19903</v>
      </c>
      <c r="Q9491" t="s">
        <v>19901</v>
      </c>
      <c r="R9491" t="s">
        <v>19447</v>
      </c>
      <c r="S9491" t="s">
        <v>19447</v>
      </c>
      <c r="T9491" t="s">
        <v>19900</v>
      </c>
    </row>
    <row r="9492" spans="2:20" x14ac:dyDescent="0.25">
      <c r="B9492" t="s">
        <v>2709</v>
      </c>
      <c r="C9492">
        <v>85414026</v>
      </c>
      <c r="E9492">
        <v>147.97</v>
      </c>
      <c r="F9492">
        <v>25</v>
      </c>
      <c r="G9492">
        <v>2</v>
      </c>
      <c r="H9492" t="s">
        <v>19447</v>
      </c>
      <c r="I9492" t="s">
        <v>19447</v>
      </c>
      <c r="J9492">
        <v>0</v>
      </c>
      <c r="L9492" t="s">
        <v>2709</v>
      </c>
      <c r="M9492">
        <v>85414026</v>
      </c>
      <c r="O9492" t="s">
        <v>20138</v>
      </c>
      <c r="P9492" t="s">
        <v>19982</v>
      </c>
      <c r="Q9492" t="s">
        <v>19901</v>
      </c>
      <c r="R9492" t="s">
        <v>19447</v>
      </c>
      <c r="S9492" t="s">
        <v>19447</v>
      </c>
      <c r="T9492" t="s">
        <v>19900</v>
      </c>
    </row>
    <row r="9493" spans="2:20" x14ac:dyDescent="0.25">
      <c r="B9493" t="s">
        <v>2709</v>
      </c>
      <c r="C9493">
        <v>85414027</v>
      </c>
      <c r="E9493">
        <v>147.97</v>
      </c>
      <c r="F9493">
        <v>25</v>
      </c>
      <c r="G9493">
        <v>2</v>
      </c>
      <c r="H9493" t="s">
        <v>19447</v>
      </c>
      <c r="I9493" t="s">
        <v>19447</v>
      </c>
      <c r="J9493">
        <v>0</v>
      </c>
      <c r="L9493" t="s">
        <v>2709</v>
      </c>
      <c r="M9493">
        <v>85414027</v>
      </c>
      <c r="O9493" t="s">
        <v>20138</v>
      </c>
      <c r="P9493" t="s">
        <v>19982</v>
      </c>
      <c r="Q9493" t="s">
        <v>19901</v>
      </c>
      <c r="R9493" t="s">
        <v>19447</v>
      </c>
      <c r="S9493" t="s">
        <v>19447</v>
      </c>
      <c r="T9493" t="s">
        <v>19900</v>
      </c>
    </row>
    <row r="9494" spans="2:20" x14ac:dyDescent="0.25">
      <c r="B9494" t="s">
        <v>2709</v>
      </c>
      <c r="C9494">
        <v>85414029</v>
      </c>
      <c r="E9494">
        <v>147.97</v>
      </c>
      <c r="F9494">
        <v>12</v>
      </c>
      <c r="G9494">
        <v>2</v>
      </c>
      <c r="H9494" t="s">
        <v>19447</v>
      </c>
      <c r="I9494" t="s">
        <v>19447</v>
      </c>
      <c r="J9494">
        <v>0</v>
      </c>
      <c r="L9494" t="s">
        <v>2709</v>
      </c>
      <c r="M9494">
        <v>85414029</v>
      </c>
      <c r="O9494" t="s">
        <v>20138</v>
      </c>
      <c r="P9494" t="s">
        <v>19903</v>
      </c>
      <c r="Q9494" t="s">
        <v>19901</v>
      </c>
      <c r="R9494" t="s">
        <v>19447</v>
      </c>
      <c r="S9494" t="s">
        <v>19447</v>
      </c>
      <c r="T9494" t="s">
        <v>19900</v>
      </c>
    </row>
    <row r="9495" spans="2:20" x14ac:dyDescent="0.25">
      <c r="B9495" t="s">
        <v>2709</v>
      </c>
      <c r="C9495">
        <v>85414031</v>
      </c>
      <c r="E9495">
        <v>147.97</v>
      </c>
      <c r="F9495">
        <v>12</v>
      </c>
      <c r="G9495">
        <v>10</v>
      </c>
      <c r="H9495" t="s">
        <v>19447</v>
      </c>
      <c r="I9495" t="s">
        <v>19447</v>
      </c>
      <c r="J9495">
        <v>0</v>
      </c>
      <c r="L9495" t="s">
        <v>2709</v>
      </c>
      <c r="M9495">
        <v>85414031</v>
      </c>
      <c r="O9495" t="s">
        <v>20138</v>
      </c>
      <c r="P9495" t="s">
        <v>19903</v>
      </c>
      <c r="Q9495" t="s">
        <v>19904</v>
      </c>
      <c r="R9495" t="s">
        <v>19447</v>
      </c>
      <c r="S9495" t="s">
        <v>19447</v>
      </c>
      <c r="T9495" t="s">
        <v>19900</v>
      </c>
    </row>
    <row r="9496" spans="2:20" x14ac:dyDescent="0.25">
      <c r="B9496" t="s">
        <v>2709</v>
      </c>
      <c r="C9496">
        <v>85414032</v>
      </c>
      <c r="E9496">
        <v>147.97</v>
      </c>
      <c r="F9496">
        <v>0</v>
      </c>
      <c r="G9496">
        <v>0</v>
      </c>
      <c r="H9496" t="s">
        <v>19447</v>
      </c>
      <c r="I9496" t="s">
        <v>19447</v>
      </c>
      <c r="J9496">
        <v>12</v>
      </c>
      <c r="L9496" t="s">
        <v>2709</v>
      </c>
      <c r="M9496">
        <v>85414032</v>
      </c>
      <c r="O9496" t="s">
        <v>20138</v>
      </c>
      <c r="P9496" t="s">
        <v>19900</v>
      </c>
      <c r="Q9496" t="s">
        <v>19900</v>
      </c>
      <c r="R9496" t="s">
        <v>19447</v>
      </c>
      <c r="S9496" t="s">
        <v>19447</v>
      </c>
      <c r="T9496" t="s">
        <v>19903</v>
      </c>
    </row>
    <row r="9497" spans="2:20" x14ac:dyDescent="0.25">
      <c r="B9497" t="s">
        <v>2709</v>
      </c>
      <c r="C9497">
        <v>85414039</v>
      </c>
      <c r="E9497">
        <v>147.97</v>
      </c>
      <c r="F9497">
        <v>12</v>
      </c>
      <c r="G9497">
        <v>10</v>
      </c>
      <c r="H9497" t="s">
        <v>19447</v>
      </c>
      <c r="I9497" t="s">
        <v>19447</v>
      </c>
      <c r="J9497">
        <v>12</v>
      </c>
      <c r="L9497" t="s">
        <v>2709</v>
      </c>
      <c r="M9497">
        <v>85414039</v>
      </c>
      <c r="O9497" t="s">
        <v>20138</v>
      </c>
      <c r="P9497" t="s">
        <v>19903</v>
      </c>
      <c r="Q9497" t="s">
        <v>19904</v>
      </c>
      <c r="R9497" t="s">
        <v>19447</v>
      </c>
      <c r="S9497" t="s">
        <v>19447</v>
      </c>
      <c r="T9497" t="s">
        <v>19903</v>
      </c>
    </row>
    <row r="9498" spans="2:20" x14ac:dyDescent="0.25">
      <c r="B9498" t="s">
        <v>2709</v>
      </c>
      <c r="C9498">
        <v>85415010</v>
      </c>
      <c r="E9498">
        <v>147.97</v>
      </c>
      <c r="F9498">
        <v>25</v>
      </c>
      <c r="G9498">
        <v>5</v>
      </c>
      <c r="H9498" t="s">
        <v>19447</v>
      </c>
      <c r="I9498" t="s">
        <v>19447</v>
      </c>
      <c r="J9498">
        <v>0</v>
      </c>
      <c r="L9498" t="s">
        <v>2709</v>
      </c>
      <c r="M9498">
        <v>85415010</v>
      </c>
      <c r="O9498" t="s">
        <v>20138</v>
      </c>
      <c r="P9498" t="s">
        <v>19982</v>
      </c>
      <c r="Q9498" t="s">
        <v>19909</v>
      </c>
      <c r="R9498" t="s">
        <v>19447</v>
      </c>
      <c r="S9498" t="s">
        <v>19447</v>
      </c>
      <c r="T9498" t="s">
        <v>19900</v>
      </c>
    </row>
    <row r="9499" spans="2:20" x14ac:dyDescent="0.25">
      <c r="B9499" t="s">
        <v>2709</v>
      </c>
      <c r="C9499">
        <v>85415020</v>
      </c>
      <c r="E9499">
        <v>147.97</v>
      </c>
      <c r="F9499">
        <v>25</v>
      </c>
      <c r="G9499">
        <v>5</v>
      </c>
      <c r="H9499" t="s">
        <v>19447</v>
      </c>
      <c r="I9499" t="s">
        <v>19447</v>
      </c>
      <c r="J9499">
        <v>0</v>
      </c>
      <c r="L9499" t="s">
        <v>2709</v>
      </c>
      <c r="M9499">
        <v>85415020</v>
      </c>
      <c r="O9499" t="s">
        <v>20138</v>
      </c>
      <c r="P9499" t="s">
        <v>19982</v>
      </c>
      <c r="Q9499" t="s">
        <v>19909</v>
      </c>
      <c r="R9499" t="s">
        <v>19447</v>
      </c>
      <c r="S9499" t="s">
        <v>19447</v>
      </c>
      <c r="T9499" t="s">
        <v>19900</v>
      </c>
    </row>
    <row r="9500" spans="2:20" x14ac:dyDescent="0.25">
      <c r="B9500" t="s">
        <v>2709</v>
      </c>
      <c r="C9500">
        <v>85416010</v>
      </c>
      <c r="E9500">
        <v>147.97</v>
      </c>
      <c r="F9500">
        <v>12</v>
      </c>
      <c r="G9500">
        <v>5</v>
      </c>
      <c r="H9500" t="s">
        <v>19447</v>
      </c>
      <c r="I9500" t="s">
        <v>19447</v>
      </c>
      <c r="J9500">
        <v>6</v>
      </c>
      <c r="L9500" t="s">
        <v>2709</v>
      </c>
      <c r="M9500">
        <v>85416010</v>
      </c>
      <c r="O9500" t="s">
        <v>20138</v>
      </c>
      <c r="P9500" t="s">
        <v>19903</v>
      </c>
      <c r="Q9500" t="s">
        <v>19909</v>
      </c>
      <c r="R9500" t="s">
        <v>19447</v>
      </c>
      <c r="S9500" t="s">
        <v>19447</v>
      </c>
      <c r="T9500" t="s">
        <v>19907</v>
      </c>
    </row>
    <row r="9501" spans="2:20" x14ac:dyDescent="0.25">
      <c r="B9501" t="s">
        <v>2709</v>
      </c>
      <c r="C9501">
        <v>85416090</v>
      </c>
      <c r="E9501">
        <v>147.97</v>
      </c>
      <c r="F9501">
        <v>12</v>
      </c>
      <c r="G9501">
        <v>5</v>
      </c>
      <c r="H9501" t="s">
        <v>19447</v>
      </c>
      <c r="I9501" t="s">
        <v>19447</v>
      </c>
      <c r="J9501">
        <v>6</v>
      </c>
      <c r="L9501" t="s">
        <v>2709</v>
      </c>
      <c r="M9501">
        <v>85416090</v>
      </c>
      <c r="O9501" t="s">
        <v>20138</v>
      </c>
      <c r="P9501" t="s">
        <v>19903</v>
      </c>
      <c r="Q9501" t="s">
        <v>19909</v>
      </c>
      <c r="R9501" t="s">
        <v>19447</v>
      </c>
      <c r="S9501" t="s">
        <v>19447</v>
      </c>
      <c r="T9501" t="s">
        <v>19907</v>
      </c>
    </row>
    <row r="9502" spans="2:20" x14ac:dyDescent="0.25">
      <c r="B9502" t="s">
        <v>2709</v>
      </c>
      <c r="C9502">
        <v>85419010</v>
      </c>
      <c r="E9502">
        <v>147.97</v>
      </c>
      <c r="F9502">
        <v>25</v>
      </c>
      <c r="G9502">
        <v>2</v>
      </c>
      <c r="H9502" t="s">
        <v>19447</v>
      </c>
      <c r="I9502" t="s">
        <v>19447</v>
      </c>
      <c r="J9502">
        <v>0</v>
      </c>
      <c r="L9502" t="s">
        <v>2709</v>
      </c>
      <c r="M9502">
        <v>85419010</v>
      </c>
      <c r="O9502" t="s">
        <v>20138</v>
      </c>
      <c r="P9502" t="s">
        <v>19982</v>
      </c>
      <c r="Q9502" t="s">
        <v>19901</v>
      </c>
      <c r="R9502" t="s">
        <v>19447</v>
      </c>
      <c r="S9502" t="s">
        <v>19447</v>
      </c>
      <c r="T9502" t="s">
        <v>19900</v>
      </c>
    </row>
    <row r="9503" spans="2:20" x14ac:dyDescent="0.25">
      <c r="B9503" t="s">
        <v>2709</v>
      </c>
      <c r="C9503">
        <v>85419020</v>
      </c>
      <c r="E9503">
        <v>147.97</v>
      </c>
      <c r="F9503">
        <v>25</v>
      </c>
      <c r="G9503">
        <v>2</v>
      </c>
      <c r="H9503" t="s">
        <v>19447</v>
      </c>
      <c r="I9503" t="s">
        <v>19447</v>
      </c>
      <c r="J9503">
        <v>0</v>
      </c>
      <c r="L9503" t="s">
        <v>2709</v>
      </c>
      <c r="M9503">
        <v>85419020</v>
      </c>
      <c r="O9503" t="s">
        <v>20138</v>
      </c>
      <c r="P9503" t="s">
        <v>19982</v>
      </c>
      <c r="Q9503" t="s">
        <v>19901</v>
      </c>
      <c r="R9503" t="s">
        <v>19447</v>
      </c>
      <c r="S9503" t="s">
        <v>19447</v>
      </c>
      <c r="T9503" t="s">
        <v>19900</v>
      </c>
    </row>
    <row r="9504" spans="2:20" x14ac:dyDescent="0.25">
      <c r="B9504" t="s">
        <v>2709</v>
      </c>
      <c r="C9504">
        <v>85419090</v>
      </c>
      <c r="E9504">
        <v>147.97</v>
      </c>
      <c r="F9504">
        <v>25</v>
      </c>
      <c r="G9504">
        <v>2</v>
      </c>
      <c r="H9504" t="s">
        <v>19447</v>
      </c>
      <c r="I9504" t="s">
        <v>19447</v>
      </c>
      <c r="J9504">
        <v>0</v>
      </c>
      <c r="L9504" t="s">
        <v>2709</v>
      </c>
      <c r="M9504">
        <v>85419090</v>
      </c>
      <c r="O9504" t="s">
        <v>20138</v>
      </c>
      <c r="P9504" t="s">
        <v>19982</v>
      </c>
      <c r="Q9504" t="s">
        <v>19901</v>
      </c>
      <c r="R9504" t="s">
        <v>19447</v>
      </c>
      <c r="S9504" t="s">
        <v>19447</v>
      </c>
      <c r="T9504" t="s">
        <v>19900</v>
      </c>
    </row>
    <row r="9505" spans="2:20" x14ac:dyDescent="0.25">
      <c r="B9505" t="s">
        <v>2709</v>
      </c>
      <c r="C9505">
        <v>85423110</v>
      </c>
      <c r="E9505">
        <v>147.97</v>
      </c>
      <c r="F9505">
        <v>12</v>
      </c>
      <c r="G9505">
        <v>2</v>
      </c>
      <c r="H9505" t="s">
        <v>19447</v>
      </c>
      <c r="I9505" t="s">
        <v>19447</v>
      </c>
      <c r="J9505">
        <v>0</v>
      </c>
      <c r="L9505" t="s">
        <v>2709</v>
      </c>
      <c r="M9505">
        <v>85423110</v>
      </c>
      <c r="O9505" t="s">
        <v>20138</v>
      </c>
      <c r="P9505" t="s">
        <v>19903</v>
      </c>
      <c r="Q9505" t="s">
        <v>19901</v>
      </c>
      <c r="R9505" t="s">
        <v>19447</v>
      </c>
      <c r="S9505" t="s">
        <v>19447</v>
      </c>
      <c r="T9505" t="s">
        <v>19900</v>
      </c>
    </row>
    <row r="9506" spans="2:20" x14ac:dyDescent="0.25">
      <c r="B9506" t="s">
        <v>2709</v>
      </c>
      <c r="C9506">
        <v>85423110</v>
      </c>
      <c r="D9506">
        <v>1</v>
      </c>
      <c r="E9506" t="s">
        <v>19447</v>
      </c>
      <c r="F9506">
        <v>18</v>
      </c>
      <c r="G9506">
        <v>5</v>
      </c>
      <c r="H9506">
        <v>7.6</v>
      </c>
      <c r="I9506">
        <v>1.65</v>
      </c>
      <c r="J9506">
        <v>0</v>
      </c>
      <c r="L9506" t="s">
        <v>2709</v>
      </c>
      <c r="M9506">
        <v>85423110</v>
      </c>
      <c r="N9506">
        <v>1</v>
      </c>
      <c r="O9506" t="s">
        <v>19447</v>
      </c>
      <c r="P9506" t="s">
        <v>19899</v>
      </c>
      <c r="Q9506" t="s">
        <v>19909</v>
      </c>
      <c r="R9506" t="s">
        <v>19905</v>
      </c>
      <c r="S9506" t="s">
        <v>19906</v>
      </c>
      <c r="T9506" t="s">
        <v>19900</v>
      </c>
    </row>
    <row r="9507" spans="2:20" x14ac:dyDescent="0.25">
      <c r="B9507" t="s">
        <v>2709</v>
      </c>
      <c r="C9507">
        <v>85423120</v>
      </c>
      <c r="E9507">
        <v>147.97</v>
      </c>
      <c r="F9507">
        <v>12</v>
      </c>
      <c r="G9507">
        <v>2</v>
      </c>
      <c r="H9507" t="s">
        <v>19447</v>
      </c>
      <c r="I9507" t="s">
        <v>19447</v>
      </c>
      <c r="J9507">
        <v>0</v>
      </c>
      <c r="L9507" t="s">
        <v>2709</v>
      </c>
      <c r="M9507">
        <v>85423120</v>
      </c>
      <c r="O9507" t="s">
        <v>20138</v>
      </c>
      <c r="P9507" t="s">
        <v>19903</v>
      </c>
      <c r="Q9507" t="s">
        <v>19901</v>
      </c>
      <c r="R9507" t="s">
        <v>19447</v>
      </c>
      <c r="S9507" t="s">
        <v>19447</v>
      </c>
      <c r="T9507" t="s">
        <v>19900</v>
      </c>
    </row>
    <row r="9508" spans="2:20" x14ac:dyDescent="0.25">
      <c r="B9508" t="s">
        <v>2709</v>
      </c>
      <c r="C9508">
        <v>85423190</v>
      </c>
      <c r="E9508">
        <v>147.97</v>
      </c>
      <c r="F9508">
        <v>12</v>
      </c>
      <c r="G9508">
        <v>2</v>
      </c>
      <c r="H9508" t="s">
        <v>19447</v>
      </c>
      <c r="I9508" t="s">
        <v>19447</v>
      </c>
      <c r="J9508">
        <v>0</v>
      </c>
      <c r="L9508" t="s">
        <v>2709</v>
      </c>
      <c r="M9508">
        <v>85423190</v>
      </c>
      <c r="O9508" t="s">
        <v>20138</v>
      </c>
      <c r="P9508" t="s">
        <v>19903</v>
      </c>
      <c r="Q9508" t="s">
        <v>19901</v>
      </c>
      <c r="R9508" t="s">
        <v>19447</v>
      </c>
      <c r="S9508" t="s">
        <v>19447</v>
      </c>
      <c r="T9508" t="s">
        <v>19900</v>
      </c>
    </row>
    <row r="9509" spans="2:20" x14ac:dyDescent="0.25">
      <c r="B9509" t="s">
        <v>2709</v>
      </c>
      <c r="C9509">
        <v>85423210</v>
      </c>
      <c r="E9509">
        <v>147.97</v>
      </c>
      <c r="F9509">
        <v>25</v>
      </c>
      <c r="G9509">
        <v>2</v>
      </c>
      <c r="H9509" t="s">
        <v>19447</v>
      </c>
      <c r="I9509" t="s">
        <v>19447</v>
      </c>
      <c r="J9509">
        <v>0</v>
      </c>
      <c r="L9509" t="s">
        <v>2709</v>
      </c>
      <c r="M9509">
        <v>85423210</v>
      </c>
      <c r="O9509" t="s">
        <v>20138</v>
      </c>
      <c r="P9509" t="s">
        <v>19982</v>
      </c>
      <c r="Q9509" t="s">
        <v>19901</v>
      </c>
      <c r="R9509" t="s">
        <v>19447</v>
      </c>
      <c r="S9509" t="s">
        <v>19447</v>
      </c>
      <c r="T9509" t="s">
        <v>19900</v>
      </c>
    </row>
    <row r="9510" spans="2:20" x14ac:dyDescent="0.25">
      <c r="B9510" t="s">
        <v>2709</v>
      </c>
      <c r="C9510">
        <v>85423210</v>
      </c>
      <c r="D9510">
        <v>1</v>
      </c>
      <c r="E9510" t="s">
        <v>19447</v>
      </c>
      <c r="F9510">
        <v>18</v>
      </c>
      <c r="G9510">
        <v>5</v>
      </c>
      <c r="H9510">
        <v>7.6</v>
      </c>
      <c r="I9510">
        <v>1.65</v>
      </c>
      <c r="J9510">
        <v>0</v>
      </c>
      <c r="L9510" t="s">
        <v>2709</v>
      </c>
      <c r="M9510">
        <v>85423210</v>
      </c>
      <c r="N9510">
        <v>1</v>
      </c>
      <c r="O9510" t="s">
        <v>19447</v>
      </c>
      <c r="P9510" t="s">
        <v>19899</v>
      </c>
      <c r="Q9510" t="s">
        <v>19909</v>
      </c>
      <c r="R9510" t="s">
        <v>19905</v>
      </c>
      <c r="S9510" t="s">
        <v>19906</v>
      </c>
      <c r="T9510" t="s">
        <v>19900</v>
      </c>
    </row>
    <row r="9511" spans="2:20" x14ac:dyDescent="0.25">
      <c r="B9511" t="s">
        <v>2709</v>
      </c>
      <c r="C9511">
        <v>85423221</v>
      </c>
      <c r="E9511">
        <v>147.97</v>
      </c>
      <c r="F9511">
        <v>25</v>
      </c>
      <c r="G9511">
        <v>5</v>
      </c>
      <c r="H9511" t="s">
        <v>19447</v>
      </c>
      <c r="I9511" t="s">
        <v>19447</v>
      </c>
      <c r="J9511">
        <v>0</v>
      </c>
      <c r="L9511" t="s">
        <v>2709</v>
      </c>
      <c r="M9511">
        <v>85423221</v>
      </c>
      <c r="O9511" t="s">
        <v>20138</v>
      </c>
      <c r="P9511" t="s">
        <v>19982</v>
      </c>
      <c r="Q9511" t="s">
        <v>19909</v>
      </c>
      <c r="R9511" t="s">
        <v>19447</v>
      </c>
      <c r="S9511" t="s">
        <v>19447</v>
      </c>
      <c r="T9511" t="s">
        <v>19900</v>
      </c>
    </row>
    <row r="9512" spans="2:20" x14ac:dyDescent="0.25">
      <c r="B9512" t="s">
        <v>2709</v>
      </c>
      <c r="C9512">
        <v>85423229</v>
      </c>
      <c r="E9512">
        <v>147.97</v>
      </c>
      <c r="F9512">
        <v>25</v>
      </c>
      <c r="G9512">
        <v>5</v>
      </c>
      <c r="H9512" t="s">
        <v>19447</v>
      </c>
      <c r="I9512" t="s">
        <v>19447</v>
      </c>
      <c r="J9512">
        <v>8</v>
      </c>
      <c r="L9512" t="s">
        <v>2709</v>
      </c>
      <c r="M9512">
        <v>85423229</v>
      </c>
      <c r="O9512" t="s">
        <v>20138</v>
      </c>
      <c r="P9512" t="s">
        <v>19982</v>
      </c>
      <c r="Q9512" t="s">
        <v>19909</v>
      </c>
      <c r="R9512" t="s">
        <v>19447</v>
      </c>
      <c r="S9512" t="s">
        <v>19447</v>
      </c>
      <c r="T9512" t="s">
        <v>19918</v>
      </c>
    </row>
    <row r="9513" spans="2:20" x14ac:dyDescent="0.25">
      <c r="B9513" t="s">
        <v>2709</v>
      </c>
      <c r="C9513">
        <v>85423291</v>
      </c>
      <c r="E9513">
        <v>147.97</v>
      </c>
      <c r="F9513">
        <v>25</v>
      </c>
      <c r="G9513">
        <v>5</v>
      </c>
      <c r="H9513" t="s">
        <v>19447</v>
      </c>
      <c r="I9513" t="s">
        <v>19447</v>
      </c>
      <c r="J9513">
        <v>0</v>
      </c>
      <c r="L9513" t="s">
        <v>2709</v>
      </c>
      <c r="M9513">
        <v>85423291</v>
      </c>
      <c r="O9513" t="s">
        <v>20138</v>
      </c>
      <c r="P9513" t="s">
        <v>19982</v>
      </c>
      <c r="Q9513" t="s">
        <v>19909</v>
      </c>
      <c r="R9513" t="s">
        <v>19447</v>
      </c>
      <c r="S9513" t="s">
        <v>19447</v>
      </c>
      <c r="T9513" t="s">
        <v>19900</v>
      </c>
    </row>
    <row r="9514" spans="2:20" x14ac:dyDescent="0.25">
      <c r="B9514" t="s">
        <v>2709</v>
      </c>
      <c r="C9514">
        <v>85423299</v>
      </c>
      <c r="E9514">
        <v>147.97</v>
      </c>
      <c r="F9514">
        <v>25</v>
      </c>
      <c r="G9514">
        <v>5</v>
      </c>
      <c r="H9514" t="s">
        <v>19447</v>
      </c>
      <c r="I9514" t="s">
        <v>19447</v>
      </c>
      <c r="J9514">
        <v>8</v>
      </c>
      <c r="L9514" t="s">
        <v>2709</v>
      </c>
      <c r="M9514">
        <v>85423299</v>
      </c>
      <c r="O9514" t="s">
        <v>20138</v>
      </c>
      <c r="P9514" t="s">
        <v>19982</v>
      </c>
      <c r="Q9514" t="s">
        <v>19909</v>
      </c>
      <c r="R9514" t="s">
        <v>19447</v>
      </c>
      <c r="S9514" t="s">
        <v>19447</v>
      </c>
      <c r="T9514" t="s">
        <v>19918</v>
      </c>
    </row>
    <row r="9515" spans="2:20" x14ac:dyDescent="0.25">
      <c r="B9515" t="s">
        <v>2709</v>
      </c>
      <c r="C9515">
        <v>85423299</v>
      </c>
      <c r="D9515">
        <v>1</v>
      </c>
      <c r="E9515" t="s">
        <v>19447</v>
      </c>
      <c r="F9515">
        <v>18</v>
      </c>
      <c r="G9515">
        <v>2</v>
      </c>
      <c r="H9515">
        <v>7.6</v>
      </c>
      <c r="I9515">
        <v>1.65</v>
      </c>
      <c r="J9515">
        <v>8</v>
      </c>
      <c r="L9515" t="s">
        <v>2709</v>
      </c>
      <c r="M9515">
        <v>85423299</v>
      </c>
      <c r="N9515">
        <v>1</v>
      </c>
      <c r="O9515" t="s">
        <v>19447</v>
      </c>
      <c r="P9515" t="s">
        <v>19899</v>
      </c>
      <c r="Q9515" t="s">
        <v>19901</v>
      </c>
      <c r="R9515" t="s">
        <v>19905</v>
      </c>
      <c r="S9515" t="s">
        <v>19906</v>
      </c>
      <c r="T9515" t="s">
        <v>19918</v>
      </c>
    </row>
    <row r="9516" spans="2:20" x14ac:dyDescent="0.25">
      <c r="B9516" t="s">
        <v>2709</v>
      </c>
      <c r="C9516">
        <v>85423311</v>
      </c>
      <c r="E9516">
        <v>147.97</v>
      </c>
      <c r="F9516">
        <v>12</v>
      </c>
      <c r="G9516">
        <v>10</v>
      </c>
      <c r="H9516" t="s">
        <v>19447</v>
      </c>
      <c r="I9516" t="s">
        <v>19447</v>
      </c>
      <c r="J9516">
        <v>0</v>
      </c>
      <c r="L9516" t="s">
        <v>2709</v>
      </c>
      <c r="M9516">
        <v>85423311</v>
      </c>
      <c r="O9516" t="s">
        <v>20138</v>
      </c>
      <c r="P9516" t="s">
        <v>19903</v>
      </c>
      <c r="Q9516" t="s">
        <v>19904</v>
      </c>
      <c r="R9516" t="s">
        <v>19447</v>
      </c>
      <c r="S9516" t="s">
        <v>19447</v>
      </c>
      <c r="T9516" t="s">
        <v>19900</v>
      </c>
    </row>
    <row r="9517" spans="2:20" x14ac:dyDescent="0.25">
      <c r="B9517" t="s">
        <v>2709</v>
      </c>
      <c r="C9517">
        <v>85423319</v>
      </c>
      <c r="E9517">
        <v>147.97</v>
      </c>
      <c r="F9517">
        <v>12</v>
      </c>
      <c r="G9517">
        <v>10</v>
      </c>
      <c r="H9517" t="s">
        <v>19447</v>
      </c>
      <c r="I9517" t="s">
        <v>19447</v>
      </c>
      <c r="J9517">
        <v>12</v>
      </c>
      <c r="L9517" t="s">
        <v>2709</v>
      </c>
      <c r="M9517">
        <v>85423319</v>
      </c>
      <c r="O9517" t="s">
        <v>20138</v>
      </c>
      <c r="P9517" t="s">
        <v>19903</v>
      </c>
      <c r="Q9517" t="s">
        <v>19904</v>
      </c>
      <c r="R9517" t="s">
        <v>19447</v>
      </c>
      <c r="S9517" t="s">
        <v>19447</v>
      </c>
      <c r="T9517" t="s">
        <v>19903</v>
      </c>
    </row>
    <row r="9518" spans="2:20" x14ac:dyDescent="0.25">
      <c r="B9518" t="s">
        <v>2709</v>
      </c>
      <c r="C9518">
        <v>85423320</v>
      </c>
      <c r="E9518">
        <v>147.97</v>
      </c>
      <c r="F9518">
        <v>25</v>
      </c>
      <c r="G9518">
        <v>2</v>
      </c>
      <c r="H9518" t="s">
        <v>19447</v>
      </c>
      <c r="I9518" t="s">
        <v>19447</v>
      </c>
      <c r="J9518">
        <v>0</v>
      </c>
      <c r="L9518" t="s">
        <v>2709</v>
      </c>
      <c r="M9518">
        <v>85423320</v>
      </c>
      <c r="O9518" t="s">
        <v>20138</v>
      </c>
      <c r="P9518" t="s">
        <v>19982</v>
      </c>
      <c r="Q9518" t="s">
        <v>19901</v>
      </c>
      <c r="R9518" t="s">
        <v>19447</v>
      </c>
      <c r="S9518" t="s">
        <v>19447</v>
      </c>
      <c r="T9518" t="s">
        <v>19900</v>
      </c>
    </row>
    <row r="9519" spans="2:20" x14ac:dyDescent="0.25">
      <c r="B9519" t="s">
        <v>2709</v>
      </c>
      <c r="C9519">
        <v>85423390</v>
      </c>
      <c r="E9519">
        <v>147.97</v>
      </c>
      <c r="F9519">
        <v>25</v>
      </c>
      <c r="G9519">
        <v>5</v>
      </c>
      <c r="H9519" t="s">
        <v>19447</v>
      </c>
      <c r="I9519" t="s">
        <v>19447</v>
      </c>
      <c r="J9519">
        <v>0</v>
      </c>
      <c r="L9519" t="s">
        <v>2709</v>
      </c>
      <c r="M9519">
        <v>85423390</v>
      </c>
      <c r="O9519" t="s">
        <v>20138</v>
      </c>
      <c r="P9519" t="s">
        <v>19982</v>
      </c>
      <c r="Q9519" t="s">
        <v>19909</v>
      </c>
      <c r="R9519" t="s">
        <v>19447</v>
      </c>
      <c r="S9519" t="s">
        <v>19447</v>
      </c>
      <c r="T9519" t="s">
        <v>19900</v>
      </c>
    </row>
    <row r="9520" spans="2:20" x14ac:dyDescent="0.25">
      <c r="B9520" t="s">
        <v>2709</v>
      </c>
      <c r="C9520">
        <v>85423911</v>
      </c>
      <c r="E9520">
        <v>147.97</v>
      </c>
      <c r="F9520">
        <v>12</v>
      </c>
      <c r="G9520">
        <v>10</v>
      </c>
      <c r="H9520" t="s">
        <v>19447</v>
      </c>
      <c r="I9520" t="s">
        <v>19447</v>
      </c>
      <c r="J9520">
        <v>0</v>
      </c>
      <c r="L9520" t="s">
        <v>2709</v>
      </c>
      <c r="M9520">
        <v>85423911</v>
      </c>
      <c r="O9520" t="s">
        <v>20138</v>
      </c>
      <c r="P9520" t="s">
        <v>19903</v>
      </c>
      <c r="Q9520" t="s">
        <v>19904</v>
      </c>
      <c r="R9520" t="s">
        <v>19447</v>
      </c>
      <c r="S9520" t="s">
        <v>19447</v>
      </c>
      <c r="T9520" t="s">
        <v>19900</v>
      </c>
    </row>
    <row r="9521" spans="2:20" x14ac:dyDescent="0.25">
      <c r="B9521" t="s">
        <v>2709</v>
      </c>
      <c r="C9521">
        <v>85423919</v>
      </c>
      <c r="E9521">
        <v>147.97</v>
      </c>
      <c r="F9521">
        <v>12</v>
      </c>
      <c r="G9521">
        <v>10</v>
      </c>
      <c r="H9521" t="s">
        <v>19447</v>
      </c>
      <c r="I9521" t="s">
        <v>19447</v>
      </c>
      <c r="J9521">
        <v>12</v>
      </c>
      <c r="L9521" t="s">
        <v>2709</v>
      </c>
      <c r="M9521">
        <v>85423919</v>
      </c>
      <c r="O9521" t="s">
        <v>20138</v>
      </c>
      <c r="P9521" t="s">
        <v>19903</v>
      </c>
      <c r="Q9521" t="s">
        <v>19904</v>
      </c>
      <c r="R9521" t="s">
        <v>19447</v>
      </c>
      <c r="S9521" t="s">
        <v>19447</v>
      </c>
      <c r="T9521" t="s">
        <v>19903</v>
      </c>
    </row>
    <row r="9522" spans="2:20" x14ac:dyDescent="0.25">
      <c r="B9522" t="s">
        <v>2709</v>
      </c>
      <c r="C9522">
        <v>85423920</v>
      </c>
      <c r="E9522">
        <v>147.97</v>
      </c>
      <c r="F9522">
        <v>12</v>
      </c>
      <c r="G9522">
        <v>2</v>
      </c>
      <c r="H9522" t="s">
        <v>19447</v>
      </c>
      <c r="I9522" t="s">
        <v>19447</v>
      </c>
      <c r="J9522">
        <v>0</v>
      </c>
      <c r="L9522" t="s">
        <v>2709</v>
      </c>
      <c r="M9522">
        <v>85423920</v>
      </c>
      <c r="O9522" t="s">
        <v>20138</v>
      </c>
      <c r="P9522" t="s">
        <v>19903</v>
      </c>
      <c r="Q9522" t="s">
        <v>19901</v>
      </c>
      <c r="R9522" t="s">
        <v>19447</v>
      </c>
      <c r="S9522" t="s">
        <v>19447</v>
      </c>
      <c r="T9522" t="s">
        <v>19900</v>
      </c>
    </row>
    <row r="9523" spans="2:20" x14ac:dyDescent="0.25">
      <c r="B9523" t="s">
        <v>2709</v>
      </c>
      <c r="C9523">
        <v>85423920</v>
      </c>
      <c r="D9523">
        <v>1</v>
      </c>
      <c r="E9523" t="s">
        <v>19447</v>
      </c>
      <c r="F9523">
        <v>18</v>
      </c>
      <c r="G9523">
        <v>5</v>
      </c>
      <c r="H9523">
        <v>7.6</v>
      </c>
      <c r="I9523">
        <v>1.65</v>
      </c>
      <c r="J9523">
        <v>0</v>
      </c>
      <c r="L9523" t="s">
        <v>2709</v>
      </c>
      <c r="M9523">
        <v>85423920</v>
      </c>
      <c r="N9523">
        <v>1</v>
      </c>
      <c r="O9523" t="s">
        <v>19447</v>
      </c>
      <c r="P9523" t="s">
        <v>19899</v>
      </c>
      <c r="Q9523" t="s">
        <v>19909</v>
      </c>
      <c r="R9523" t="s">
        <v>19905</v>
      </c>
      <c r="S9523" t="s">
        <v>19906</v>
      </c>
      <c r="T9523" t="s">
        <v>19900</v>
      </c>
    </row>
    <row r="9524" spans="2:20" x14ac:dyDescent="0.25">
      <c r="B9524" t="s">
        <v>2709</v>
      </c>
      <c r="C9524">
        <v>85423931</v>
      </c>
      <c r="E9524">
        <v>147.97</v>
      </c>
      <c r="F9524">
        <v>25</v>
      </c>
      <c r="G9524">
        <v>2</v>
      </c>
      <c r="H9524" t="s">
        <v>19447</v>
      </c>
      <c r="I9524" t="s">
        <v>19447</v>
      </c>
      <c r="J9524">
        <v>0</v>
      </c>
      <c r="L9524" t="s">
        <v>2709</v>
      </c>
      <c r="M9524">
        <v>85423931</v>
      </c>
      <c r="O9524" t="s">
        <v>20138</v>
      </c>
      <c r="P9524" t="s">
        <v>19982</v>
      </c>
      <c r="Q9524" t="s">
        <v>19901</v>
      </c>
      <c r="R9524" t="s">
        <v>19447</v>
      </c>
      <c r="S9524" t="s">
        <v>19447</v>
      </c>
      <c r="T9524" t="s">
        <v>19900</v>
      </c>
    </row>
    <row r="9525" spans="2:20" x14ac:dyDescent="0.25">
      <c r="B9525" t="s">
        <v>2709</v>
      </c>
      <c r="C9525">
        <v>85423939</v>
      </c>
      <c r="E9525">
        <v>147.97</v>
      </c>
      <c r="F9525">
        <v>25</v>
      </c>
      <c r="G9525">
        <v>5</v>
      </c>
      <c r="H9525" t="s">
        <v>19447</v>
      </c>
      <c r="I9525" t="s">
        <v>19447</v>
      </c>
      <c r="J9525">
        <v>0</v>
      </c>
      <c r="L9525" t="s">
        <v>2709</v>
      </c>
      <c r="M9525">
        <v>85423939</v>
      </c>
      <c r="O9525" t="s">
        <v>20138</v>
      </c>
      <c r="P9525" t="s">
        <v>19982</v>
      </c>
      <c r="Q9525" t="s">
        <v>19909</v>
      </c>
      <c r="R9525" t="s">
        <v>19447</v>
      </c>
      <c r="S9525" t="s">
        <v>19447</v>
      </c>
      <c r="T9525" t="s">
        <v>19900</v>
      </c>
    </row>
    <row r="9526" spans="2:20" x14ac:dyDescent="0.25">
      <c r="B9526" t="s">
        <v>2709</v>
      </c>
      <c r="C9526">
        <v>85423991</v>
      </c>
      <c r="E9526">
        <v>147.97</v>
      </c>
      <c r="F9526">
        <v>25</v>
      </c>
      <c r="G9526">
        <v>2</v>
      </c>
      <c r="H9526" t="s">
        <v>19447</v>
      </c>
      <c r="I9526" t="s">
        <v>19447</v>
      </c>
      <c r="J9526">
        <v>0</v>
      </c>
      <c r="L9526" t="s">
        <v>2709</v>
      </c>
      <c r="M9526">
        <v>85423991</v>
      </c>
      <c r="O9526" t="s">
        <v>20138</v>
      </c>
      <c r="P9526" t="s">
        <v>19982</v>
      </c>
      <c r="Q9526" t="s">
        <v>19901</v>
      </c>
      <c r="R9526" t="s">
        <v>19447</v>
      </c>
      <c r="S9526" t="s">
        <v>19447</v>
      </c>
      <c r="T9526" t="s">
        <v>19900</v>
      </c>
    </row>
    <row r="9527" spans="2:20" x14ac:dyDescent="0.25">
      <c r="B9527" t="s">
        <v>2709</v>
      </c>
      <c r="C9527">
        <v>85423999</v>
      </c>
      <c r="E9527">
        <v>147.97</v>
      </c>
      <c r="F9527">
        <v>25</v>
      </c>
      <c r="G9527">
        <v>5</v>
      </c>
      <c r="H9527" t="s">
        <v>19447</v>
      </c>
      <c r="I9527" t="s">
        <v>19447</v>
      </c>
      <c r="J9527">
        <v>0</v>
      </c>
      <c r="L9527" t="s">
        <v>2709</v>
      </c>
      <c r="M9527">
        <v>85423999</v>
      </c>
      <c r="O9527" t="s">
        <v>20138</v>
      </c>
      <c r="P9527" t="s">
        <v>19982</v>
      </c>
      <c r="Q9527" t="s">
        <v>19909</v>
      </c>
      <c r="R9527" t="s">
        <v>19447</v>
      </c>
      <c r="S9527" t="s">
        <v>19447</v>
      </c>
      <c r="T9527" t="s">
        <v>19900</v>
      </c>
    </row>
    <row r="9528" spans="2:20" x14ac:dyDescent="0.25">
      <c r="B9528" t="s">
        <v>2709</v>
      </c>
      <c r="C9528">
        <v>85429010</v>
      </c>
      <c r="E9528">
        <v>147.97</v>
      </c>
      <c r="F9528">
        <v>12</v>
      </c>
      <c r="G9528">
        <v>2</v>
      </c>
      <c r="H9528" t="s">
        <v>19447</v>
      </c>
      <c r="I9528" t="s">
        <v>19447</v>
      </c>
      <c r="J9528">
        <v>0</v>
      </c>
      <c r="L9528" t="s">
        <v>2709</v>
      </c>
      <c r="M9528">
        <v>85429010</v>
      </c>
      <c r="O9528" t="s">
        <v>20138</v>
      </c>
      <c r="P9528" t="s">
        <v>19903</v>
      </c>
      <c r="Q9528" t="s">
        <v>19901</v>
      </c>
      <c r="R9528" t="s">
        <v>19447</v>
      </c>
      <c r="S9528" t="s">
        <v>19447</v>
      </c>
      <c r="T9528" t="s">
        <v>19900</v>
      </c>
    </row>
    <row r="9529" spans="2:20" x14ac:dyDescent="0.25">
      <c r="B9529" t="s">
        <v>2709</v>
      </c>
      <c r="C9529">
        <v>85429020</v>
      </c>
      <c r="E9529">
        <v>147.97</v>
      </c>
      <c r="F9529">
        <v>12</v>
      </c>
      <c r="G9529">
        <v>2</v>
      </c>
      <c r="H9529" t="s">
        <v>19447</v>
      </c>
      <c r="I9529" t="s">
        <v>19447</v>
      </c>
      <c r="J9529">
        <v>0</v>
      </c>
      <c r="L9529" t="s">
        <v>2709</v>
      </c>
      <c r="M9529">
        <v>85429020</v>
      </c>
      <c r="O9529" t="s">
        <v>20138</v>
      </c>
      <c r="P9529" t="s">
        <v>19903</v>
      </c>
      <c r="Q9529" t="s">
        <v>19901</v>
      </c>
      <c r="R9529" t="s">
        <v>19447</v>
      </c>
      <c r="S9529" t="s">
        <v>19447</v>
      </c>
      <c r="T9529" t="s">
        <v>19900</v>
      </c>
    </row>
    <row r="9530" spans="2:20" x14ac:dyDescent="0.25">
      <c r="B9530" t="s">
        <v>2709</v>
      </c>
      <c r="C9530">
        <v>85429090</v>
      </c>
      <c r="E9530">
        <v>147.97</v>
      </c>
      <c r="F9530">
        <v>12</v>
      </c>
      <c r="G9530">
        <v>2</v>
      </c>
      <c r="H9530" t="s">
        <v>19447</v>
      </c>
      <c r="I9530" t="s">
        <v>19447</v>
      </c>
      <c r="J9530">
        <v>0</v>
      </c>
      <c r="L9530" t="s">
        <v>2709</v>
      </c>
      <c r="M9530">
        <v>85429090</v>
      </c>
      <c r="O9530" t="s">
        <v>20138</v>
      </c>
      <c r="P9530" t="s">
        <v>19903</v>
      </c>
      <c r="Q9530" t="s">
        <v>19901</v>
      </c>
      <c r="R9530" t="s">
        <v>19447</v>
      </c>
      <c r="S9530" t="s">
        <v>19447</v>
      </c>
      <c r="T9530" t="s">
        <v>19900</v>
      </c>
    </row>
    <row r="9531" spans="2:20" x14ac:dyDescent="0.25">
      <c r="B9531" t="s">
        <v>2709</v>
      </c>
      <c r="C9531">
        <v>85431000</v>
      </c>
      <c r="E9531">
        <v>147.97</v>
      </c>
      <c r="F9531">
        <v>25</v>
      </c>
      <c r="G9531">
        <v>10</v>
      </c>
      <c r="H9531" t="s">
        <v>19447</v>
      </c>
      <c r="I9531" t="s">
        <v>19447</v>
      </c>
      <c r="J9531">
        <v>0</v>
      </c>
      <c r="L9531" t="s">
        <v>2709</v>
      </c>
      <c r="M9531">
        <v>85431000</v>
      </c>
      <c r="O9531" t="s">
        <v>20138</v>
      </c>
      <c r="P9531" t="s">
        <v>19982</v>
      </c>
      <c r="Q9531" t="s">
        <v>19904</v>
      </c>
      <c r="R9531" t="s">
        <v>19447</v>
      </c>
      <c r="S9531" t="s">
        <v>19447</v>
      </c>
      <c r="T9531" t="s">
        <v>19900</v>
      </c>
    </row>
    <row r="9532" spans="2:20" x14ac:dyDescent="0.25">
      <c r="B9532" t="s">
        <v>2709</v>
      </c>
      <c r="C9532">
        <v>85432000</v>
      </c>
      <c r="E9532">
        <v>147.97</v>
      </c>
      <c r="F9532">
        <v>12</v>
      </c>
      <c r="G9532">
        <v>5</v>
      </c>
      <c r="H9532" t="s">
        <v>19447</v>
      </c>
      <c r="I9532" t="s">
        <v>19447</v>
      </c>
      <c r="J9532">
        <v>14</v>
      </c>
      <c r="L9532" t="s">
        <v>2709</v>
      </c>
      <c r="M9532">
        <v>85432000</v>
      </c>
      <c r="O9532" t="s">
        <v>20138</v>
      </c>
      <c r="P9532" t="s">
        <v>19903</v>
      </c>
      <c r="Q9532" t="s">
        <v>19909</v>
      </c>
      <c r="R9532" t="s">
        <v>19447</v>
      </c>
      <c r="S9532" t="s">
        <v>19447</v>
      </c>
      <c r="T9532" t="s">
        <v>19911</v>
      </c>
    </row>
    <row r="9533" spans="2:20" x14ac:dyDescent="0.25">
      <c r="B9533" t="s">
        <v>2709</v>
      </c>
      <c r="C9533">
        <v>85432000</v>
      </c>
      <c r="D9533">
        <v>1</v>
      </c>
      <c r="E9533" t="s">
        <v>19447</v>
      </c>
      <c r="F9533">
        <v>18</v>
      </c>
      <c r="G9533">
        <v>0</v>
      </c>
      <c r="H9533">
        <v>7.6</v>
      </c>
      <c r="I9533">
        <v>1.65</v>
      </c>
      <c r="J9533">
        <v>14</v>
      </c>
      <c r="L9533" t="s">
        <v>2709</v>
      </c>
      <c r="M9533">
        <v>85432000</v>
      </c>
      <c r="N9533">
        <v>1</v>
      </c>
      <c r="O9533" t="s">
        <v>19447</v>
      </c>
      <c r="P9533" t="s">
        <v>19899</v>
      </c>
      <c r="Q9533" t="s">
        <v>19900</v>
      </c>
      <c r="R9533" t="s">
        <v>19905</v>
      </c>
      <c r="S9533" t="s">
        <v>19906</v>
      </c>
      <c r="T9533" t="s">
        <v>19911</v>
      </c>
    </row>
    <row r="9534" spans="2:20" x14ac:dyDescent="0.25">
      <c r="B9534" t="s">
        <v>2709</v>
      </c>
      <c r="C9534">
        <v>85433000</v>
      </c>
      <c r="E9534">
        <v>147.97</v>
      </c>
      <c r="F9534">
        <v>12</v>
      </c>
      <c r="G9534">
        <v>0</v>
      </c>
      <c r="H9534" t="s">
        <v>19447</v>
      </c>
      <c r="I9534" t="s">
        <v>19447</v>
      </c>
      <c r="J9534">
        <v>14</v>
      </c>
      <c r="L9534" t="s">
        <v>2709</v>
      </c>
      <c r="M9534">
        <v>85433000</v>
      </c>
      <c r="O9534" t="s">
        <v>20138</v>
      </c>
      <c r="P9534" t="s">
        <v>19903</v>
      </c>
      <c r="Q9534" t="s">
        <v>19900</v>
      </c>
      <c r="R9534" t="s">
        <v>19447</v>
      </c>
      <c r="S9534" t="s">
        <v>19447</v>
      </c>
      <c r="T9534" t="s">
        <v>19911</v>
      </c>
    </row>
    <row r="9535" spans="2:20" x14ac:dyDescent="0.25">
      <c r="B9535" t="s">
        <v>2709</v>
      </c>
      <c r="C9535">
        <v>85437011</v>
      </c>
      <c r="E9535">
        <v>147.97</v>
      </c>
      <c r="F9535">
        <v>25</v>
      </c>
      <c r="G9535">
        <v>10</v>
      </c>
      <c r="H9535" t="s">
        <v>19447</v>
      </c>
      <c r="I9535" t="s">
        <v>19447</v>
      </c>
      <c r="J9535">
        <v>0</v>
      </c>
      <c r="L9535" t="s">
        <v>2709</v>
      </c>
      <c r="M9535">
        <v>85437011</v>
      </c>
      <c r="O9535" t="s">
        <v>20138</v>
      </c>
      <c r="P9535" t="s">
        <v>19982</v>
      </c>
      <c r="Q9535" t="s">
        <v>19904</v>
      </c>
      <c r="R9535" t="s">
        <v>19447</v>
      </c>
      <c r="S9535" t="s">
        <v>19447</v>
      </c>
      <c r="T9535" t="s">
        <v>19900</v>
      </c>
    </row>
    <row r="9536" spans="2:20" x14ac:dyDescent="0.25">
      <c r="B9536" t="s">
        <v>2709</v>
      </c>
      <c r="C9536">
        <v>85437011</v>
      </c>
      <c r="D9536">
        <v>1</v>
      </c>
      <c r="E9536" t="s">
        <v>19447</v>
      </c>
      <c r="F9536">
        <v>18</v>
      </c>
      <c r="G9536">
        <v>20</v>
      </c>
      <c r="H9536">
        <v>7.6</v>
      </c>
      <c r="I9536">
        <v>1.65</v>
      </c>
      <c r="J9536">
        <v>0</v>
      </c>
      <c r="L9536" t="s">
        <v>2709</v>
      </c>
      <c r="M9536">
        <v>85437011</v>
      </c>
      <c r="N9536">
        <v>1</v>
      </c>
      <c r="O9536" t="s">
        <v>19447</v>
      </c>
      <c r="P9536" t="s">
        <v>19899</v>
      </c>
      <c r="Q9536" t="s">
        <v>19934</v>
      </c>
      <c r="R9536" t="s">
        <v>19905</v>
      </c>
      <c r="S9536" t="s">
        <v>19906</v>
      </c>
      <c r="T9536" t="s">
        <v>19900</v>
      </c>
    </row>
    <row r="9537" spans="2:20" x14ac:dyDescent="0.25">
      <c r="B9537" t="s">
        <v>2709</v>
      </c>
      <c r="C9537">
        <v>85437012</v>
      </c>
      <c r="E9537">
        <v>147.97</v>
      </c>
      <c r="F9537">
        <v>25</v>
      </c>
      <c r="G9537">
        <v>10</v>
      </c>
      <c r="H9537" t="s">
        <v>19447</v>
      </c>
      <c r="I9537" t="s">
        <v>19447</v>
      </c>
      <c r="J9537">
        <v>0</v>
      </c>
      <c r="L9537" t="s">
        <v>2709</v>
      </c>
      <c r="M9537">
        <v>85437012</v>
      </c>
      <c r="O9537" t="s">
        <v>20138</v>
      </c>
      <c r="P9537" t="s">
        <v>19982</v>
      </c>
      <c r="Q9537" t="s">
        <v>19904</v>
      </c>
      <c r="R9537" t="s">
        <v>19447</v>
      </c>
      <c r="S9537" t="s">
        <v>19447</v>
      </c>
      <c r="T9537" t="s">
        <v>19900</v>
      </c>
    </row>
    <row r="9538" spans="2:20" x14ac:dyDescent="0.25">
      <c r="B9538" t="s">
        <v>2709</v>
      </c>
      <c r="C9538">
        <v>85437012</v>
      </c>
      <c r="D9538">
        <v>1</v>
      </c>
      <c r="E9538" t="s">
        <v>19447</v>
      </c>
      <c r="F9538">
        <v>18</v>
      </c>
      <c r="G9538">
        <v>20</v>
      </c>
      <c r="H9538">
        <v>7.6</v>
      </c>
      <c r="I9538">
        <v>1.65</v>
      </c>
      <c r="J9538">
        <v>0</v>
      </c>
      <c r="L9538" t="s">
        <v>2709</v>
      </c>
      <c r="M9538">
        <v>85437012</v>
      </c>
      <c r="N9538">
        <v>1</v>
      </c>
      <c r="O9538" t="s">
        <v>19447</v>
      </c>
      <c r="P9538" t="s">
        <v>19899</v>
      </c>
      <c r="Q9538" t="s">
        <v>19934</v>
      </c>
      <c r="R9538" t="s">
        <v>19905</v>
      </c>
      <c r="S9538" t="s">
        <v>19906</v>
      </c>
      <c r="T9538" t="s">
        <v>19900</v>
      </c>
    </row>
    <row r="9539" spans="2:20" x14ac:dyDescent="0.25">
      <c r="B9539" t="s">
        <v>2709</v>
      </c>
      <c r="C9539">
        <v>85437013</v>
      </c>
      <c r="E9539">
        <v>147.97</v>
      </c>
      <c r="F9539">
        <v>25</v>
      </c>
      <c r="G9539">
        <v>10</v>
      </c>
      <c r="H9539" t="s">
        <v>19447</v>
      </c>
      <c r="I9539" t="s">
        <v>19447</v>
      </c>
      <c r="J9539">
        <v>12</v>
      </c>
      <c r="L9539" t="s">
        <v>2709</v>
      </c>
      <c r="M9539">
        <v>85437013</v>
      </c>
      <c r="O9539" t="s">
        <v>20138</v>
      </c>
      <c r="P9539" t="s">
        <v>19982</v>
      </c>
      <c r="Q9539" t="s">
        <v>19904</v>
      </c>
      <c r="R9539" t="s">
        <v>19447</v>
      </c>
      <c r="S9539" t="s">
        <v>19447</v>
      </c>
      <c r="T9539" t="s">
        <v>19903</v>
      </c>
    </row>
    <row r="9540" spans="2:20" x14ac:dyDescent="0.25">
      <c r="B9540" t="s">
        <v>2709</v>
      </c>
      <c r="C9540">
        <v>85437013</v>
      </c>
      <c r="D9540">
        <v>1</v>
      </c>
      <c r="E9540" t="s">
        <v>19447</v>
      </c>
      <c r="F9540">
        <v>18</v>
      </c>
      <c r="G9540">
        <v>20</v>
      </c>
      <c r="H9540">
        <v>7.6</v>
      </c>
      <c r="I9540">
        <v>1.65</v>
      </c>
      <c r="J9540">
        <v>12</v>
      </c>
      <c r="L9540" t="s">
        <v>2709</v>
      </c>
      <c r="M9540">
        <v>85437013</v>
      </c>
      <c r="N9540">
        <v>1</v>
      </c>
      <c r="O9540" t="s">
        <v>19447</v>
      </c>
      <c r="P9540" t="s">
        <v>19899</v>
      </c>
      <c r="Q9540" t="s">
        <v>19934</v>
      </c>
      <c r="R9540" t="s">
        <v>19905</v>
      </c>
      <c r="S9540" t="s">
        <v>19906</v>
      </c>
      <c r="T9540" t="s">
        <v>19903</v>
      </c>
    </row>
    <row r="9541" spans="2:20" x14ac:dyDescent="0.25">
      <c r="B9541" t="s">
        <v>2709</v>
      </c>
      <c r="C9541">
        <v>85437014</v>
      </c>
      <c r="E9541">
        <v>147.97</v>
      </c>
      <c r="F9541">
        <v>25</v>
      </c>
      <c r="G9541">
        <v>10</v>
      </c>
      <c r="H9541" t="s">
        <v>19447</v>
      </c>
      <c r="I9541" t="s">
        <v>19447</v>
      </c>
      <c r="J9541">
        <v>12</v>
      </c>
      <c r="L9541" t="s">
        <v>2709</v>
      </c>
      <c r="M9541">
        <v>85437014</v>
      </c>
      <c r="O9541" t="s">
        <v>20138</v>
      </c>
      <c r="P9541" t="s">
        <v>19982</v>
      </c>
      <c r="Q9541" t="s">
        <v>19904</v>
      </c>
      <c r="R9541" t="s">
        <v>19447</v>
      </c>
      <c r="S9541" t="s">
        <v>19447</v>
      </c>
      <c r="T9541" t="s">
        <v>19903</v>
      </c>
    </row>
    <row r="9542" spans="2:20" x14ac:dyDescent="0.25">
      <c r="B9542" t="s">
        <v>2709</v>
      </c>
      <c r="C9542">
        <v>85437014</v>
      </c>
      <c r="D9542">
        <v>1</v>
      </c>
      <c r="E9542" t="s">
        <v>19447</v>
      </c>
      <c r="F9542">
        <v>18</v>
      </c>
      <c r="G9542">
        <v>20</v>
      </c>
      <c r="H9542">
        <v>7.6</v>
      </c>
      <c r="I9542">
        <v>1.65</v>
      </c>
      <c r="J9542">
        <v>12</v>
      </c>
      <c r="L9542" t="s">
        <v>2709</v>
      </c>
      <c r="M9542">
        <v>85437014</v>
      </c>
      <c r="N9542">
        <v>1</v>
      </c>
      <c r="O9542" t="s">
        <v>19447</v>
      </c>
      <c r="P9542" t="s">
        <v>19899</v>
      </c>
      <c r="Q9542" t="s">
        <v>19934</v>
      </c>
      <c r="R9542" t="s">
        <v>19905</v>
      </c>
      <c r="S9542" t="s">
        <v>19906</v>
      </c>
      <c r="T9542" t="s">
        <v>19903</v>
      </c>
    </row>
    <row r="9543" spans="2:20" x14ac:dyDescent="0.25">
      <c r="B9543" t="s">
        <v>2709</v>
      </c>
      <c r="C9543">
        <v>85437015</v>
      </c>
      <c r="E9543">
        <v>147.97</v>
      </c>
      <c r="F9543">
        <v>25</v>
      </c>
      <c r="G9543">
        <v>10</v>
      </c>
      <c r="H9543" t="s">
        <v>19447</v>
      </c>
      <c r="I9543" t="s">
        <v>19447</v>
      </c>
      <c r="J9543">
        <v>12</v>
      </c>
      <c r="L9543" t="s">
        <v>2709</v>
      </c>
      <c r="M9543">
        <v>85437015</v>
      </c>
      <c r="O9543" t="s">
        <v>20138</v>
      </c>
      <c r="P9543" t="s">
        <v>19982</v>
      </c>
      <c r="Q9543" t="s">
        <v>19904</v>
      </c>
      <c r="R9543" t="s">
        <v>19447</v>
      </c>
      <c r="S9543" t="s">
        <v>19447</v>
      </c>
      <c r="T9543" t="s">
        <v>19903</v>
      </c>
    </row>
    <row r="9544" spans="2:20" x14ac:dyDescent="0.25">
      <c r="B9544" t="s">
        <v>2709</v>
      </c>
      <c r="C9544">
        <v>85437015</v>
      </c>
      <c r="D9544">
        <v>1</v>
      </c>
      <c r="E9544" t="s">
        <v>19447</v>
      </c>
      <c r="F9544">
        <v>18</v>
      </c>
      <c r="G9544">
        <v>20</v>
      </c>
      <c r="H9544">
        <v>7.6</v>
      </c>
      <c r="I9544">
        <v>1.65</v>
      </c>
      <c r="J9544">
        <v>12</v>
      </c>
      <c r="L9544" t="s">
        <v>2709</v>
      </c>
      <c r="M9544">
        <v>85437015</v>
      </c>
      <c r="N9544">
        <v>1</v>
      </c>
      <c r="O9544" t="s">
        <v>19447</v>
      </c>
      <c r="P9544" t="s">
        <v>19899</v>
      </c>
      <c r="Q9544" t="s">
        <v>19934</v>
      </c>
      <c r="R9544" t="s">
        <v>19905</v>
      </c>
      <c r="S9544" t="s">
        <v>19906</v>
      </c>
      <c r="T9544" t="s">
        <v>19903</v>
      </c>
    </row>
    <row r="9545" spans="2:20" x14ac:dyDescent="0.25">
      <c r="B9545" t="s">
        <v>2709</v>
      </c>
      <c r="C9545">
        <v>85437019</v>
      </c>
      <c r="E9545">
        <v>147.97</v>
      </c>
      <c r="F9545">
        <v>25</v>
      </c>
      <c r="G9545">
        <v>10</v>
      </c>
      <c r="H9545" t="s">
        <v>19447</v>
      </c>
      <c r="I9545" t="s">
        <v>19447</v>
      </c>
      <c r="J9545">
        <v>12</v>
      </c>
      <c r="L9545" t="s">
        <v>2709</v>
      </c>
      <c r="M9545">
        <v>85437019</v>
      </c>
      <c r="O9545" t="s">
        <v>20138</v>
      </c>
      <c r="P9545" t="s">
        <v>19982</v>
      </c>
      <c r="Q9545" t="s">
        <v>19904</v>
      </c>
      <c r="R9545" t="s">
        <v>19447</v>
      </c>
      <c r="S9545" t="s">
        <v>19447</v>
      </c>
      <c r="T9545" t="s">
        <v>19903</v>
      </c>
    </row>
    <row r="9546" spans="2:20" x14ac:dyDescent="0.25">
      <c r="B9546" t="s">
        <v>2709</v>
      </c>
      <c r="C9546">
        <v>85437019</v>
      </c>
      <c r="D9546">
        <v>1</v>
      </c>
      <c r="E9546" t="s">
        <v>19447</v>
      </c>
      <c r="F9546">
        <v>18</v>
      </c>
      <c r="G9546">
        <v>20</v>
      </c>
      <c r="H9546">
        <v>7.6</v>
      </c>
      <c r="I9546">
        <v>1.65</v>
      </c>
      <c r="J9546">
        <v>12</v>
      </c>
      <c r="L9546" t="s">
        <v>2709</v>
      </c>
      <c r="M9546">
        <v>85437019</v>
      </c>
      <c r="N9546">
        <v>1</v>
      </c>
      <c r="O9546" t="s">
        <v>19447</v>
      </c>
      <c r="P9546" t="s">
        <v>19899</v>
      </c>
      <c r="Q9546" t="s">
        <v>19934</v>
      </c>
      <c r="R9546" t="s">
        <v>19905</v>
      </c>
      <c r="S9546" t="s">
        <v>19906</v>
      </c>
      <c r="T9546" t="s">
        <v>19903</v>
      </c>
    </row>
    <row r="9547" spans="2:20" x14ac:dyDescent="0.25">
      <c r="B9547" t="s">
        <v>2709</v>
      </c>
      <c r="C9547">
        <v>85437020</v>
      </c>
      <c r="E9547">
        <v>147.97</v>
      </c>
      <c r="F9547">
        <v>25</v>
      </c>
      <c r="G9547">
        <v>10</v>
      </c>
      <c r="H9547" t="s">
        <v>19447</v>
      </c>
      <c r="I9547" t="s">
        <v>19447</v>
      </c>
      <c r="J9547">
        <v>18</v>
      </c>
      <c r="L9547" t="s">
        <v>2709</v>
      </c>
      <c r="M9547">
        <v>85437020</v>
      </c>
      <c r="O9547" t="s">
        <v>20138</v>
      </c>
      <c r="P9547" t="s">
        <v>19982</v>
      </c>
      <c r="Q9547" t="s">
        <v>19904</v>
      </c>
      <c r="R9547" t="s">
        <v>19447</v>
      </c>
      <c r="S9547" t="s">
        <v>19447</v>
      </c>
      <c r="T9547" t="s">
        <v>19899</v>
      </c>
    </row>
    <row r="9548" spans="2:20" x14ac:dyDescent="0.25">
      <c r="B9548" t="s">
        <v>2709</v>
      </c>
      <c r="C9548">
        <v>85437031</v>
      </c>
      <c r="E9548">
        <v>147.97</v>
      </c>
      <c r="F9548">
        <v>25</v>
      </c>
      <c r="G9548">
        <v>10</v>
      </c>
      <c r="H9548" t="s">
        <v>19447</v>
      </c>
      <c r="I9548" t="s">
        <v>19447</v>
      </c>
      <c r="J9548">
        <v>0</v>
      </c>
      <c r="L9548" t="s">
        <v>2709</v>
      </c>
      <c r="M9548">
        <v>85437031</v>
      </c>
      <c r="O9548" t="s">
        <v>20138</v>
      </c>
      <c r="P9548" t="s">
        <v>19982</v>
      </c>
      <c r="Q9548" t="s">
        <v>19904</v>
      </c>
      <c r="R9548" t="s">
        <v>19447</v>
      </c>
      <c r="S9548" t="s">
        <v>19447</v>
      </c>
      <c r="T9548" t="s">
        <v>19900</v>
      </c>
    </row>
    <row r="9549" spans="2:20" x14ac:dyDescent="0.25">
      <c r="B9549" t="s">
        <v>2709</v>
      </c>
      <c r="C9549">
        <v>85437032</v>
      </c>
      <c r="E9549">
        <v>147.97</v>
      </c>
      <c r="F9549">
        <v>25</v>
      </c>
      <c r="G9549">
        <v>10</v>
      </c>
      <c r="H9549" t="s">
        <v>19447</v>
      </c>
      <c r="I9549" t="s">
        <v>19447</v>
      </c>
      <c r="J9549">
        <v>0</v>
      </c>
      <c r="L9549" t="s">
        <v>2709</v>
      </c>
      <c r="M9549">
        <v>85437032</v>
      </c>
      <c r="O9549" t="s">
        <v>20138</v>
      </c>
      <c r="P9549" t="s">
        <v>19982</v>
      </c>
      <c r="Q9549" t="s">
        <v>19904</v>
      </c>
      <c r="R9549" t="s">
        <v>19447</v>
      </c>
      <c r="S9549" t="s">
        <v>19447</v>
      </c>
      <c r="T9549" t="s">
        <v>19900</v>
      </c>
    </row>
    <row r="9550" spans="2:20" x14ac:dyDescent="0.25">
      <c r="B9550" t="s">
        <v>2709</v>
      </c>
      <c r="C9550">
        <v>85437033</v>
      </c>
      <c r="E9550">
        <v>147.97</v>
      </c>
      <c r="F9550">
        <v>25</v>
      </c>
      <c r="G9550">
        <v>10</v>
      </c>
      <c r="H9550" t="s">
        <v>19447</v>
      </c>
      <c r="I9550" t="s">
        <v>19447</v>
      </c>
      <c r="J9550">
        <v>0</v>
      </c>
      <c r="L9550" t="s">
        <v>2709</v>
      </c>
      <c r="M9550">
        <v>85437033</v>
      </c>
      <c r="O9550" t="s">
        <v>20138</v>
      </c>
      <c r="P9550" t="s">
        <v>19982</v>
      </c>
      <c r="Q9550" t="s">
        <v>19904</v>
      </c>
      <c r="R9550" t="s">
        <v>19447</v>
      </c>
      <c r="S9550" t="s">
        <v>19447</v>
      </c>
      <c r="T9550" t="s">
        <v>19900</v>
      </c>
    </row>
    <row r="9551" spans="2:20" x14ac:dyDescent="0.25">
      <c r="B9551" t="s">
        <v>2709</v>
      </c>
      <c r="C9551">
        <v>85437034</v>
      </c>
      <c r="E9551">
        <v>147.97</v>
      </c>
      <c r="F9551">
        <v>25</v>
      </c>
      <c r="G9551">
        <v>10</v>
      </c>
      <c r="H9551" t="s">
        <v>19447</v>
      </c>
      <c r="I9551" t="s">
        <v>19447</v>
      </c>
      <c r="J9551">
        <v>0</v>
      </c>
      <c r="L9551" t="s">
        <v>2709</v>
      </c>
      <c r="M9551">
        <v>85437034</v>
      </c>
      <c r="O9551" t="s">
        <v>20138</v>
      </c>
      <c r="P9551" t="s">
        <v>19982</v>
      </c>
      <c r="Q9551" t="s">
        <v>19904</v>
      </c>
      <c r="R9551" t="s">
        <v>19447</v>
      </c>
      <c r="S9551" t="s">
        <v>19447</v>
      </c>
      <c r="T9551" t="s">
        <v>19900</v>
      </c>
    </row>
    <row r="9552" spans="2:20" x14ac:dyDescent="0.25">
      <c r="B9552" t="s">
        <v>2709</v>
      </c>
      <c r="C9552">
        <v>85437035</v>
      </c>
      <c r="E9552">
        <v>147.97</v>
      </c>
      <c r="F9552">
        <v>25</v>
      </c>
      <c r="G9552">
        <v>10</v>
      </c>
      <c r="H9552" t="s">
        <v>19447</v>
      </c>
      <c r="I9552" t="s">
        <v>19447</v>
      </c>
      <c r="J9552">
        <v>0</v>
      </c>
      <c r="L9552" t="s">
        <v>2709</v>
      </c>
      <c r="M9552">
        <v>85437035</v>
      </c>
      <c r="O9552" t="s">
        <v>20138</v>
      </c>
      <c r="P9552" t="s">
        <v>19982</v>
      </c>
      <c r="Q9552" t="s">
        <v>19904</v>
      </c>
      <c r="R9552" t="s">
        <v>19447</v>
      </c>
      <c r="S9552" t="s">
        <v>19447</v>
      </c>
      <c r="T9552" t="s">
        <v>19900</v>
      </c>
    </row>
    <row r="9553" spans="2:20" x14ac:dyDescent="0.25">
      <c r="B9553" t="s">
        <v>2709</v>
      </c>
      <c r="C9553">
        <v>85437036</v>
      </c>
      <c r="E9553">
        <v>147.97</v>
      </c>
      <c r="F9553">
        <v>25</v>
      </c>
      <c r="G9553">
        <v>10</v>
      </c>
      <c r="H9553" t="s">
        <v>19447</v>
      </c>
      <c r="I9553" t="s">
        <v>19447</v>
      </c>
      <c r="J9553">
        <v>0</v>
      </c>
      <c r="L9553" t="s">
        <v>2709</v>
      </c>
      <c r="M9553">
        <v>85437036</v>
      </c>
      <c r="O9553" t="s">
        <v>20138</v>
      </c>
      <c r="P9553" t="s">
        <v>19982</v>
      </c>
      <c r="Q9553" t="s">
        <v>19904</v>
      </c>
      <c r="R9553" t="s">
        <v>19447</v>
      </c>
      <c r="S9553" t="s">
        <v>19447</v>
      </c>
      <c r="T9553" t="s">
        <v>19900</v>
      </c>
    </row>
    <row r="9554" spans="2:20" x14ac:dyDescent="0.25">
      <c r="B9554" t="s">
        <v>2709</v>
      </c>
      <c r="C9554">
        <v>85437036</v>
      </c>
      <c r="D9554">
        <v>1</v>
      </c>
      <c r="E9554" t="s">
        <v>19447</v>
      </c>
      <c r="F9554">
        <v>18</v>
      </c>
      <c r="G9554">
        <v>0</v>
      </c>
      <c r="H9554">
        <v>7.6</v>
      </c>
      <c r="I9554">
        <v>1.65</v>
      </c>
      <c r="J9554">
        <v>0</v>
      </c>
      <c r="L9554" t="s">
        <v>2709</v>
      </c>
      <c r="M9554">
        <v>85437036</v>
      </c>
      <c r="N9554">
        <v>1</v>
      </c>
      <c r="O9554" t="s">
        <v>19447</v>
      </c>
      <c r="P9554" t="s">
        <v>19899</v>
      </c>
      <c r="Q9554" t="s">
        <v>19900</v>
      </c>
      <c r="R9554" t="s">
        <v>19905</v>
      </c>
      <c r="S9554" t="s">
        <v>19906</v>
      </c>
      <c r="T9554" t="s">
        <v>19900</v>
      </c>
    </row>
    <row r="9555" spans="2:20" x14ac:dyDescent="0.25">
      <c r="B9555" t="s">
        <v>2709</v>
      </c>
      <c r="C9555">
        <v>85437039</v>
      </c>
      <c r="E9555">
        <v>147.97</v>
      </c>
      <c r="F9555">
        <v>25</v>
      </c>
      <c r="G9555">
        <v>10</v>
      </c>
      <c r="H9555" t="s">
        <v>19447</v>
      </c>
      <c r="I9555" t="s">
        <v>19447</v>
      </c>
      <c r="J9555">
        <v>12</v>
      </c>
      <c r="L9555" t="s">
        <v>2709</v>
      </c>
      <c r="M9555">
        <v>85437039</v>
      </c>
      <c r="O9555" t="s">
        <v>20138</v>
      </c>
      <c r="P9555" t="s">
        <v>19982</v>
      </c>
      <c r="Q9555" t="s">
        <v>19904</v>
      </c>
      <c r="R9555" t="s">
        <v>19447</v>
      </c>
      <c r="S9555" t="s">
        <v>19447</v>
      </c>
      <c r="T9555" t="s">
        <v>19903</v>
      </c>
    </row>
    <row r="9556" spans="2:20" x14ac:dyDescent="0.25">
      <c r="B9556" t="s">
        <v>2709</v>
      </c>
      <c r="C9556">
        <v>85437040</v>
      </c>
      <c r="E9556">
        <v>147.97</v>
      </c>
      <c r="F9556">
        <v>25</v>
      </c>
      <c r="G9556">
        <v>10</v>
      </c>
      <c r="H9556" t="s">
        <v>19447</v>
      </c>
      <c r="I9556" t="s">
        <v>19447</v>
      </c>
      <c r="J9556">
        <v>0</v>
      </c>
      <c r="L9556" t="s">
        <v>2709</v>
      </c>
      <c r="M9556">
        <v>85437040</v>
      </c>
      <c r="O9556" t="s">
        <v>20138</v>
      </c>
      <c r="P9556" t="s">
        <v>19982</v>
      </c>
      <c r="Q9556" t="s">
        <v>19904</v>
      </c>
      <c r="R9556" t="s">
        <v>19447</v>
      </c>
      <c r="S9556" t="s">
        <v>19447</v>
      </c>
      <c r="T9556" t="s">
        <v>19900</v>
      </c>
    </row>
    <row r="9557" spans="2:20" x14ac:dyDescent="0.25">
      <c r="B9557" t="s">
        <v>2709</v>
      </c>
      <c r="C9557">
        <v>85437050</v>
      </c>
      <c r="E9557">
        <v>147.97</v>
      </c>
      <c r="F9557">
        <v>25</v>
      </c>
      <c r="G9557">
        <v>10</v>
      </c>
      <c r="H9557" t="s">
        <v>19447</v>
      </c>
      <c r="I9557" t="s">
        <v>19447</v>
      </c>
      <c r="J9557">
        <v>0</v>
      </c>
      <c r="L9557" t="s">
        <v>2709</v>
      </c>
      <c r="M9557">
        <v>85437050</v>
      </c>
      <c r="O9557" t="s">
        <v>20138</v>
      </c>
      <c r="P9557" t="s">
        <v>19982</v>
      </c>
      <c r="Q9557" t="s">
        <v>19904</v>
      </c>
      <c r="R9557" t="s">
        <v>19447</v>
      </c>
      <c r="S9557" t="s">
        <v>19447</v>
      </c>
      <c r="T9557" t="s">
        <v>19900</v>
      </c>
    </row>
    <row r="9558" spans="2:20" x14ac:dyDescent="0.25">
      <c r="B9558" t="s">
        <v>2709</v>
      </c>
      <c r="C9558">
        <v>85437091</v>
      </c>
      <c r="E9558">
        <v>147.97</v>
      </c>
      <c r="F9558">
        <v>25</v>
      </c>
      <c r="G9558">
        <v>10</v>
      </c>
      <c r="H9558" t="s">
        <v>19447</v>
      </c>
      <c r="I9558" t="s">
        <v>19447</v>
      </c>
      <c r="J9558">
        <v>0</v>
      </c>
      <c r="L9558" t="s">
        <v>2709</v>
      </c>
      <c r="M9558">
        <v>85437091</v>
      </c>
      <c r="O9558" t="s">
        <v>20138</v>
      </c>
      <c r="P9558" t="s">
        <v>19982</v>
      </c>
      <c r="Q9558" t="s">
        <v>19904</v>
      </c>
      <c r="R9558" t="s">
        <v>19447</v>
      </c>
      <c r="S9558" t="s">
        <v>19447</v>
      </c>
      <c r="T9558" t="s">
        <v>19900</v>
      </c>
    </row>
    <row r="9559" spans="2:20" x14ac:dyDescent="0.25">
      <c r="B9559" t="s">
        <v>2709</v>
      </c>
      <c r="C9559">
        <v>85437092</v>
      </c>
      <c r="E9559">
        <v>75</v>
      </c>
      <c r="F9559">
        <v>25</v>
      </c>
      <c r="G9559">
        <v>10</v>
      </c>
      <c r="H9559" t="s">
        <v>19447</v>
      </c>
      <c r="I9559" t="s">
        <v>19447</v>
      </c>
      <c r="J9559">
        <v>12</v>
      </c>
      <c r="L9559" t="s">
        <v>2709</v>
      </c>
      <c r="M9559">
        <v>85437092</v>
      </c>
      <c r="O9559" t="s">
        <v>20072</v>
      </c>
      <c r="P9559" t="s">
        <v>19982</v>
      </c>
      <c r="Q9559" t="s">
        <v>19904</v>
      </c>
      <c r="R9559" t="s">
        <v>19447</v>
      </c>
      <c r="S9559" t="s">
        <v>19447</v>
      </c>
      <c r="T9559" t="s">
        <v>19903</v>
      </c>
    </row>
    <row r="9560" spans="2:20" x14ac:dyDescent="0.25">
      <c r="B9560" t="s">
        <v>2709</v>
      </c>
      <c r="C9560">
        <v>85437099</v>
      </c>
      <c r="E9560">
        <v>147.97</v>
      </c>
      <c r="F9560">
        <v>8.8000000000000007</v>
      </c>
      <c r="G9560">
        <v>10</v>
      </c>
      <c r="H9560" t="s">
        <v>19447</v>
      </c>
      <c r="I9560" t="s">
        <v>19447</v>
      </c>
      <c r="J9560">
        <v>12</v>
      </c>
      <c r="L9560" t="s">
        <v>2709</v>
      </c>
      <c r="M9560">
        <v>85437099</v>
      </c>
      <c r="O9560" t="s">
        <v>20138</v>
      </c>
      <c r="P9560" t="s">
        <v>20127</v>
      </c>
      <c r="Q9560" t="s">
        <v>19904</v>
      </c>
      <c r="R9560" t="s">
        <v>19447</v>
      </c>
      <c r="S9560" t="s">
        <v>19447</v>
      </c>
      <c r="T9560" t="s">
        <v>19903</v>
      </c>
    </row>
    <row r="9561" spans="2:20" x14ac:dyDescent="0.25">
      <c r="B9561" t="s">
        <v>2709</v>
      </c>
      <c r="C9561">
        <v>85437099</v>
      </c>
      <c r="D9561">
        <v>1</v>
      </c>
      <c r="E9561" t="s">
        <v>19447</v>
      </c>
      <c r="F9561">
        <v>18</v>
      </c>
      <c r="G9561">
        <v>0</v>
      </c>
      <c r="H9561">
        <v>7.6</v>
      </c>
      <c r="I9561">
        <v>1.65</v>
      </c>
      <c r="J9561">
        <v>12</v>
      </c>
      <c r="L9561" t="s">
        <v>2709</v>
      </c>
      <c r="M9561">
        <v>85437099</v>
      </c>
      <c r="N9561">
        <v>1</v>
      </c>
      <c r="O9561" t="s">
        <v>19447</v>
      </c>
      <c r="P9561" t="s">
        <v>19899</v>
      </c>
      <c r="Q9561" t="s">
        <v>19900</v>
      </c>
      <c r="R9561" t="s">
        <v>19905</v>
      </c>
      <c r="S9561" t="s">
        <v>19906</v>
      </c>
      <c r="T9561" t="s">
        <v>19903</v>
      </c>
    </row>
    <row r="9562" spans="2:20" x14ac:dyDescent="0.25">
      <c r="B9562" t="s">
        <v>2709</v>
      </c>
      <c r="C9562">
        <v>85439010</v>
      </c>
      <c r="E9562">
        <v>147.97</v>
      </c>
      <c r="F9562">
        <v>25</v>
      </c>
      <c r="G9562">
        <v>10</v>
      </c>
      <c r="H9562" t="s">
        <v>19447</v>
      </c>
      <c r="I9562" t="s">
        <v>19447</v>
      </c>
      <c r="J9562">
        <v>12</v>
      </c>
      <c r="L9562" t="s">
        <v>2709</v>
      </c>
      <c r="M9562">
        <v>85439010</v>
      </c>
      <c r="O9562" t="s">
        <v>20138</v>
      </c>
      <c r="P9562" t="s">
        <v>19982</v>
      </c>
      <c r="Q9562" t="s">
        <v>19904</v>
      </c>
      <c r="R9562" t="s">
        <v>19447</v>
      </c>
      <c r="S9562" t="s">
        <v>19447</v>
      </c>
      <c r="T9562" t="s">
        <v>19903</v>
      </c>
    </row>
    <row r="9563" spans="2:20" x14ac:dyDescent="0.25">
      <c r="B9563" t="s">
        <v>2709</v>
      </c>
      <c r="C9563">
        <v>85439090</v>
      </c>
      <c r="E9563">
        <v>147.97</v>
      </c>
      <c r="F9563">
        <v>25</v>
      </c>
      <c r="G9563">
        <v>10</v>
      </c>
      <c r="H9563" t="s">
        <v>19447</v>
      </c>
      <c r="I9563" t="s">
        <v>19447</v>
      </c>
      <c r="J9563">
        <v>14</v>
      </c>
      <c r="L9563" t="s">
        <v>2709</v>
      </c>
      <c r="M9563">
        <v>85439090</v>
      </c>
      <c r="O9563" t="s">
        <v>20138</v>
      </c>
      <c r="P9563" t="s">
        <v>19982</v>
      </c>
      <c r="Q9563" t="s">
        <v>19904</v>
      </c>
      <c r="R9563" t="s">
        <v>19447</v>
      </c>
      <c r="S9563" t="s">
        <v>19447</v>
      </c>
      <c r="T9563" t="s">
        <v>19911</v>
      </c>
    </row>
    <row r="9564" spans="2:20" x14ac:dyDescent="0.25">
      <c r="B9564" t="s">
        <v>2709</v>
      </c>
      <c r="C9564">
        <v>85441100</v>
      </c>
      <c r="E9564">
        <v>42</v>
      </c>
      <c r="F9564">
        <v>25</v>
      </c>
      <c r="G9564">
        <v>0</v>
      </c>
      <c r="H9564" t="s">
        <v>19447</v>
      </c>
      <c r="I9564" t="s">
        <v>19447</v>
      </c>
      <c r="J9564">
        <v>14</v>
      </c>
      <c r="L9564" t="s">
        <v>2709</v>
      </c>
      <c r="M9564">
        <v>85441100</v>
      </c>
      <c r="O9564" t="s">
        <v>20041</v>
      </c>
      <c r="P9564" t="s">
        <v>19982</v>
      </c>
      <c r="Q9564" t="s">
        <v>19900</v>
      </c>
      <c r="R9564" t="s">
        <v>19447</v>
      </c>
      <c r="S9564" t="s">
        <v>19447</v>
      </c>
      <c r="T9564" t="s">
        <v>19911</v>
      </c>
    </row>
    <row r="9565" spans="2:20" x14ac:dyDescent="0.25">
      <c r="B9565" t="s">
        <v>2709</v>
      </c>
      <c r="C9565">
        <v>85441910</v>
      </c>
      <c r="E9565">
        <v>42</v>
      </c>
      <c r="F9565">
        <v>25</v>
      </c>
      <c r="G9565">
        <v>5</v>
      </c>
      <c r="H9565" t="s">
        <v>19447</v>
      </c>
      <c r="I9565" t="s">
        <v>19447</v>
      </c>
      <c r="J9565">
        <v>14</v>
      </c>
      <c r="L9565" t="s">
        <v>2709</v>
      </c>
      <c r="M9565">
        <v>85441910</v>
      </c>
      <c r="O9565" t="s">
        <v>20041</v>
      </c>
      <c r="P9565" t="s">
        <v>19982</v>
      </c>
      <c r="Q9565" t="s">
        <v>19909</v>
      </c>
      <c r="R9565" t="s">
        <v>19447</v>
      </c>
      <c r="S9565" t="s">
        <v>19447</v>
      </c>
      <c r="T9565" t="s">
        <v>19911</v>
      </c>
    </row>
    <row r="9566" spans="2:20" x14ac:dyDescent="0.25">
      <c r="B9566" t="s">
        <v>2709</v>
      </c>
      <c r="C9566">
        <v>85441990</v>
      </c>
      <c r="E9566">
        <v>42</v>
      </c>
      <c r="F9566">
        <v>25</v>
      </c>
      <c r="G9566">
        <v>5</v>
      </c>
      <c r="H9566" t="s">
        <v>19447</v>
      </c>
      <c r="I9566" t="s">
        <v>19447</v>
      </c>
      <c r="J9566">
        <v>14</v>
      </c>
      <c r="L9566" t="s">
        <v>2709</v>
      </c>
      <c r="M9566">
        <v>85441990</v>
      </c>
      <c r="O9566" t="s">
        <v>20041</v>
      </c>
      <c r="P9566" t="s">
        <v>19982</v>
      </c>
      <c r="Q9566" t="s">
        <v>19909</v>
      </c>
      <c r="R9566" t="s">
        <v>19447</v>
      </c>
      <c r="S9566" t="s">
        <v>19447</v>
      </c>
      <c r="T9566" t="s">
        <v>19911</v>
      </c>
    </row>
    <row r="9567" spans="2:20" x14ac:dyDescent="0.25">
      <c r="B9567" t="s">
        <v>2709</v>
      </c>
      <c r="C9567">
        <v>85442000</v>
      </c>
      <c r="E9567">
        <v>71.78</v>
      </c>
      <c r="F9567">
        <v>25</v>
      </c>
      <c r="G9567">
        <v>5</v>
      </c>
      <c r="H9567" t="s">
        <v>19447</v>
      </c>
      <c r="I9567" t="s">
        <v>19447</v>
      </c>
      <c r="J9567">
        <v>16</v>
      </c>
      <c r="L9567" t="s">
        <v>2709</v>
      </c>
      <c r="M9567">
        <v>85442000</v>
      </c>
      <c r="O9567" t="s">
        <v>20056</v>
      </c>
      <c r="P9567" t="s">
        <v>19982</v>
      </c>
      <c r="Q9567" t="s">
        <v>19909</v>
      </c>
      <c r="R9567" t="s">
        <v>19447</v>
      </c>
      <c r="S9567" t="s">
        <v>19447</v>
      </c>
      <c r="T9567" t="s">
        <v>19913</v>
      </c>
    </row>
    <row r="9568" spans="2:20" x14ac:dyDescent="0.25">
      <c r="B9568" t="s">
        <v>2709</v>
      </c>
      <c r="C9568">
        <v>85443000</v>
      </c>
      <c r="E9568">
        <v>71.78</v>
      </c>
      <c r="F9568">
        <v>25</v>
      </c>
      <c r="G9568">
        <v>10</v>
      </c>
      <c r="H9568">
        <v>10.8</v>
      </c>
      <c r="I9568">
        <v>2.2999999999999998</v>
      </c>
      <c r="J9568">
        <v>16</v>
      </c>
      <c r="L9568" t="s">
        <v>2709</v>
      </c>
      <c r="M9568">
        <v>85443000</v>
      </c>
      <c r="O9568" t="s">
        <v>20056</v>
      </c>
      <c r="P9568" t="s">
        <v>19982</v>
      </c>
      <c r="Q9568" t="s">
        <v>19904</v>
      </c>
      <c r="R9568" t="s">
        <v>20074</v>
      </c>
      <c r="S9568" t="s">
        <v>20075</v>
      </c>
      <c r="T9568" t="s">
        <v>19913</v>
      </c>
    </row>
    <row r="9569" spans="2:20" x14ac:dyDescent="0.25">
      <c r="B9569" t="s">
        <v>2709</v>
      </c>
      <c r="C9569">
        <v>85443000</v>
      </c>
      <c r="D9569">
        <v>1</v>
      </c>
      <c r="E9569" t="s">
        <v>19447</v>
      </c>
      <c r="F9569">
        <v>18</v>
      </c>
      <c r="G9569">
        <v>4</v>
      </c>
      <c r="H9569">
        <v>7.6</v>
      </c>
      <c r="I9569">
        <v>1.65</v>
      </c>
      <c r="J9569">
        <v>16</v>
      </c>
      <c r="L9569" t="s">
        <v>2709</v>
      </c>
      <c r="M9569">
        <v>85443000</v>
      </c>
      <c r="N9569">
        <v>1</v>
      </c>
      <c r="O9569" t="s">
        <v>19447</v>
      </c>
      <c r="P9569" t="s">
        <v>19899</v>
      </c>
      <c r="Q9569" t="s">
        <v>19902</v>
      </c>
      <c r="R9569" t="s">
        <v>19905</v>
      </c>
      <c r="S9569" t="s">
        <v>19906</v>
      </c>
      <c r="T9569" t="s">
        <v>19913</v>
      </c>
    </row>
    <row r="9570" spans="2:20" x14ac:dyDescent="0.25">
      <c r="B9570" t="s">
        <v>2709</v>
      </c>
      <c r="C9570">
        <v>85444200</v>
      </c>
      <c r="E9570">
        <v>42</v>
      </c>
      <c r="F9570">
        <v>12</v>
      </c>
      <c r="G9570">
        <v>5</v>
      </c>
      <c r="H9570" t="s">
        <v>19447</v>
      </c>
      <c r="I9570" t="s">
        <v>19447</v>
      </c>
      <c r="J9570">
        <v>16</v>
      </c>
      <c r="L9570" t="s">
        <v>2709</v>
      </c>
      <c r="M9570">
        <v>85444200</v>
      </c>
      <c r="O9570" t="s">
        <v>20041</v>
      </c>
      <c r="P9570" t="s">
        <v>19903</v>
      </c>
      <c r="Q9570" t="s">
        <v>19909</v>
      </c>
      <c r="R9570" t="s">
        <v>19447</v>
      </c>
      <c r="S9570" t="s">
        <v>19447</v>
      </c>
      <c r="T9570" t="s">
        <v>19913</v>
      </c>
    </row>
    <row r="9571" spans="2:20" x14ac:dyDescent="0.25">
      <c r="B9571" t="s">
        <v>2709</v>
      </c>
      <c r="C9571">
        <v>85444900</v>
      </c>
      <c r="E9571">
        <v>42</v>
      </c>
      <c r="F9571">
        <v>0</v>
      </c>
      <c r="G9571">
        <v>0</v>
      </c>
      <c r="H9571" t="s">
        <v>19447</v>
      </c>
      <c r="I9571" t="s">
        <v>19447</v>
      </c>
      <c r="J9571">
        <v>16</v>
      </c>
      <c r="L9571" t="s">
        <v>2709</v>
      </c>
      <c r="M9571">
        <v>85444900</v>
      </c>
      <c r="O9571" t="s">
        <v>20041</v>
      </c>
      <c r="P9571" t="s">
        <v>19900</v>
      </c>
      <c r="Q9571" t="s">
        <v>19900</v>
      </c>
      <c r="R9571" t="s">
        <v>19447</v>
      </c>
      <c r="S9571" t="s">
        <v>19447</v>
      </c>
      <c r="T9571" t="s">
        <v>19913</v>
      </c>
    </row>
    <row r="9572" spans="2:20" x14ac:dyDescent="0.25">
      <c r="B9572" t="s">
        <v>2709</v>
      </c>
      <c r="C9572">
        <v>85444900</v>
      </c>
      <c r="D9572">
        <v>1</v>
      </c>
      <c r="E9572" t="s">
        <v>19447</v>
      </c>
      <c r="F9572">
        <v>18</v>
      </c>
      <c r="G9572">
        <v>5</v>
      </c>
      <c r="H9572">
        <v>7.6</v>
      </c>
      <c r="I9572">
        <v>1.65</v>
      </c>
      <c r="J9572">
        <v>16</v>
      </c>
      <c r="L9572" t="s">
        <v>2709</v>
      </c>
      <c r="M9572">
        <v>85444900</v>
      </c>
      <c r="N9572">
        <v>1</v>
      </c>
      <c r="O9572" t="s">
        <v>19447</v>
      </c>
      <c r="P9572" t="s">
        <v>19899</v>
      </c>
      <c r="Q9572" t="s">
        <v>19909</v>
      </c>
      <c r="R9572" t="s">
        <v>19905</v>
      </c>
      <c r="S9572" t="s">
        <v>19906</v>
      </c>
      <c r="T9572" t="s">
        <v>19913</v>
      </c>
    </row>
    <row r="9573" spans="2:20" x14ac:dyDescent="0.25">
      <c r="B9573" t="s">
        <v>2709</v>
      </c>
      <c r="C9573">
        <v>85446000</v>
      </c>
      <c r="E9573">
        <v>42</v>
      </c>
      <c r="F9573">
        <v>25</v>
      </c>
      <c r="G9573">
        <v>5</v>
      </c>
      <c r="H9573" t="s">
        <v>19447</v>
      </c>
      <c r="I9573" t="s">
        <v>19447</v>
      </c>
      <c r="J9573">
        <v>16</v>
      </c>
      <c r="L9573" t="s">
        <v>2709</v>
      </c>
      <c r="M9573">
        <v>85446000</v>
      </c>
      <c r="O9573" t="s">
        <v>20041</v>
      </c>
      <c r="P9573" t="s">
        <v>19982</v>
      </c>
      <c r="Q9573" t="s">
        <v>19909</v>
      </c>
      <c r="R9573" t="s">
        <v>19447</v>
      </c>
      <c r="S9573" t="s">
        <v>19447</v>
      </c>
      <c r="T9573" t="s">
        <v>19913</v>
      </c>
    </row>
    <row r="9574" spans="2:20" x14ac:dyDescent="0.25">
      <c r="B9574" t="s">
        <v>2709</v>
      </c>
      <c r="C9574">
        <v>85447010</v>
      </c>
      <c r="E9574">
        <v>42</v>
      </c>
      <c r="F9574">
        <v>25</v>
      </c>
      <c r="G9574">
        <v>15</v>
      </c>
      <c r="H9574" t="s">
        <v>19447</v>
      </c>
      <c r="I9574" t="s">
        <v>19447</v>
      </c>
      <c r="J9574">
        <v>14</v>
      </c>
      <c r="L9574" t="s">
        <v>2709</v>
      </c>
      <c r="M9574">
        <v>85447010</v>
      </c>
      <c r="O9574" t="s">
        <v>20041</v>
      </c>
      <c r="P9574" t="s">
        <v>19982</v>
      </c>
      <c r="Q9574" t="s">
        <v>19983</v>
      </c>
      <c r="R9574" t="s">
        <v>19447</v>
      </c>
      <c r="S9574" t="s">
        <v>19447</v>
      </c>
      <c r="T9574" t="s">
        <v>19911</v>
      </c>
    </row>
    <row r="9575" spans="2:20" x14ac:dyDescent="0.25">
      <c r="B9575" t="s">
        <v>2709</v>
      </c>
      <c r="C9575">
        <v>85447020</v>
      </c>
      <c r="E9575">
        <v>42</v>
      </c>
      <c r="F9575">
        <v>25</v>
      </c>
      <c r="G9575">
        <v>15</v>
      </c>
      <c r="H9575" t="s">
        <v>19447</v>
      </c>
      <c r="I9575" t="s">
        <v>19447</v>
      </c>
      <c r="J9575">
        <v>0</v>
      </c>
      <c r="L9575" t="s">
        <v>2709</v>
      </c>
      <c r="M9575">
        <v>85447020</v>
      </c>
      <c r="O9575" t="s">
        <v>20041</v>
      </c>
      <c r="P9575" t="s">
        <v>19982</v>
      </c>
      <c r="Q9575" t="s">
        <v>19983</v>
      </c>
      <c r="R9575" t="s">
        <v>19447</v>
      </c>
      <c r="S9575" t="s">
        <v>19447</v>
      </c>
      <c r="T9575" t="s">
        <v>19900</v>
      </c>
    </row>
    <row r="9576" spans="2:20" x14ac:dyDescent="0.25">
      <c r="B9576" t="s">
        <v>2709</v>
      </c>
      <c r="C9576">
        <v>85447030</v>
      </c>
      <c r="E9576">
        <v>42</v>
      </c>
      <c r="F9576">
        <v>25</v>
      </c>
      <c r="G9576">
        <v>15</v>
      </c>
      <c r="H9576" t="s">
        <v>19447</v>
      </c>
      <c r="I9576" t="s">
        <v>19447</v>
      </c>
      <c r="J9576">
        <v>14</v>
      </c>
      <c r="L9576" t="s">
        <v>2709</v>
      </c>
      <c r="M9576">
        <v>85447030</v>
      </c>
      <c r="O9576" t="s">
        <v>20041</v>
      </c>
      <c r="P9576" t="s">
        <v>19982</v>
      </c>
      <c r="Q9576" t="s">
        <v>19983</v>
      </c>
      <c r="R9576" t="s">
        <v>19447</v>
      </c>
      <c r="S9576" t="s">
        <v>19447</v>
      </c>
      <c r="T9576" t="s">
        <v>19911</v>
      </c>
    </row>
    <row r="9577" spans="2:20" x14ac:dyDescent="0.25">
      <c r="B9577" t="s">
        <v>2709</v>
      </c>
      <c r="C9577">
        <v>85447090</v>
      </c>
      <c r="E9577">
        <v>42</v>
      </c>
      <c r="F9577">
        <v>25</v>
      </c>
      <c r="G9577">
        <v>15</v>
      </c>
      <c r="H9577" t="s">
        <v>19447</v>
      </c>
      <c r="I9577" t="s">
        <v>19447</v>
      </c>
      <c r="J9577">
        <v>14</v>
      </c>
      <c r="L9577" t="s">
        <v>2709</v>
      </c>
      <c r="M9577">
        <v>85447090</v>
      </c>
      <c r="O9577" t="s">
        <v>20041</v>
      </c>
      <c r="P9577" t="s">
        <v>19982</v>
      </c>
      <c r="Q9577" t="s">
        <v>19983</v>
      </c>
      <c r="R9577" t="s">
        <v>19447</v>
      </c>
      <c r="S9577" t="s">
        <v>19447</v>
      </c>
      <c r="T9577" t="s">
        <v>19911</v>
      </c>
    </row>
    <row r="9578" spans="2:20" x14ac:dyDescent="0.25">
      <c r="B9578" t="s">
        <v>2709</v>
      </c>
      <c r="C9578">
        <v>85451100</v>
      </c>
      <c r="E9578">
        <v>147.97</v>
      </c>
      <c r="F9578">
        <v>25</v>
      </c>
      <c r="G9578">
        <v>10</v>
      </c>
      <c r="H9578" t="s">
        <v>19447</v>
      </c>
      <c r="I9578" t="s">
        <v>19447</v>
      </c>
      <c r="J9578">
        <v>10</v>
      </c>
      <c r="L9578" t="s">
        <v>2709</v>
      </c>
      <c r="M9578">
        <v>85451100</v>
      </c>
      <c r="O9578" t="s">
        <v>20138</v>
      </c>
      <c r="P9578" t="s">
        <v>19982</v>
      </c>
      <c r="Q9578" t="s">
        <v>19904</v>
      </c>
      <c r="R9578" t="s">
        <v>19447</v>
      </c>
      <c r="S9578" t="s">
        <v>19447</v>
      </c>
      <c r="T9578" t="s">
        <v>19904</v>
      </c>
    </row>
    <row r="9579" spans="2:20" x14ac:dyDescent="0.25">
      <c r="B9579" t="s">
        <v>2709</v>
      </c>
      <c r="C9579">
        <v>85451910</v>
      </c>
      <c r="E9579">
        <v>147.97</v>
      </c>
      <c r="F9579">
        <v>25</v>
      </c>
      <c r="G9579">
        <v>10</v>
      </c>
      <c r="H9579" t="s">
        <v>19447</v>
      </c>
      <c r="I9579" t="s">
        <v>19447</v>
      </c>
      <c r="J9579">
        <v>2</v>
      </c>
      <c r="L9579" t="s">
        <v>2709</v>
      </c>
      <c r="M9579">
        <v>85451910</v>
      </c>
      <c r="O9579" t="s">
        <v>20138</v>
      </c>
      <c r="P9579" t="s">
        <v>19982</v>
      </c>
      <c r="Q9579" t="s">
        <v>19904</v>
      </c>
      <c r="R9579" t="s">
        <v>19447</v>
      </c>
      <c r="S9579" t="s">
        <v>19447</v>
      </c>
      <c r="T9579" t="s">
        <v>19901</v>
      </c>
    </row>
    <row r="9580" spans="2:20" x14ac:dyDescent="0.25">
      <c r="B9580" t="s">
        <v>2709</v>
      </c>
      <c r="C9580">
        <v>85451920</v>
      </c>
      <c r="E9580">
        <v>147.97</v>
      </c>
      <c r="F9580">
        <v>25</v>
      </c>
      <c r="G9580">
        <v>10</v>
      </c>
      <c r="H9580" t="s">
        <v>19447</v>
      </c>
      <c r="I9580" t="s">
        <v>19447</v>
      </c>
      <c r="J9580">
        <v>2</v>
      </c>
      <c r="L9580" t="s">
        <v>2709</v>
      </c>
      <c r="M9580">
        <v>85451920</v>
      </c>
      <c r="O9580" t="s">
        <v>20138</v>
      </c>
      <c r="P9580" t="s">
        <v>19982</v>
      </c>
      <c r="Q9580" t="s">
        <v>19904</v>
      </c>
      <c r="R9580" t="s">
        <v>19447</v>
      </c>
      <c r="S9580" t="s">
        <v>19447</v>
      </c>
      <c r="T9580" t="s">
        <v>19901</v>
      </c>
    </row>
    <row r="9581" spans="2:20" x14ac:dyDescent="0.25">
      <c r="B9581" t="s">
        <v>2709</v>
      </c>
      <c r="C9581">
        <v>85451990</v>
      </c>
      <c r="E9581">
        <v>147.97</v>
      </c>
      <c r="F9581">
        <v>25</v>
      </c>
      <c r="G9581">
        <v>10</v>
      </c>
      <c r="H9581" t="s">
        <v>19447</v>
      </c>
      <c r="I9581" t="s">
        <v>19447</v>
      </c>
      <c r="J9581">
        <v>12</v>
      </c>
      <c r="L9581" t="s">
        <v>2709</v>
      </c>
      <c r="M9581">
        <v>85451990</v>
      </c>
      <c r="O9581" t="s">
        <v>20138</v>
      </c>
      <c r="P9581" t="s">
        <v>19982</v>
      </c>
      <c r="Q9581" t="s">
        <v>19904</v>
      </c>
      <c r="R9581" t="s">
        <v>19447</v>
      </c>
      <c r="S9581" t="s">
        <v>19447</v>
      </c>
      <c r="T9581" t="s">
        <v>19903</v>
      </c>
    </row>
    <row r="9582" spans="2:20" x14ac:dyDescent="0.25">
      <c r="B9582" t="s">
        <v>2709</v>
      </c>
      <c r="C9582">
        <v>85452000</v>
      </c>
      <c r="E9582">
        <v>147.97</v>
      </c>
      <c r="F9582">
        <v>25</v>
      </c>
      <c r="G9582">
        <v>10</v>
      </c>
      <c r="H9582" t="s">
        <v>19447</v>
      </c>
      <c r="I9582" t="s">
        <v>19447</v>
      </c>
      <c r="J9582">
        <v>12</v>
      </c>
      <c r="L9582" t="s">
        <v>2709</v>
      </c>
      <c r="M9582">
        <v>85452000</v>
      </c>
      <c r="O9582" t="s">
        <v>20138</v>
      </c>
      <c r="P9582" t="s">
        <v>19982</v>
      </c>
      <c r="Q9582" t="s">
        <v>19904</v>
      </c>
      <c r="R9582" t="s">
        <v>19447</v>
      </c>
      <c r="S9582" t="s">
        <v>19447</v>
      </c>
      <c r="T9582" t="s">
        <v>19903</v>
      </c>
    </row>
    <row r="9583" spans="2:20" x14ac:dyDescent="0.25">
      <c r="B9583" t="s">
        <v>2709</v>
      </c>
      <c r="C9583">
        <v>85459010</v>
      </c>
      <c r="E9583">
        <v>147.97</v>
      </c>
      <c r="F9583">
        <v>25</v>
      </c>
      <c r="G9583">
        <v>10</v>
      </c>
      <c r="H9583" t="s">
        <v>19447</v>
      </c>
      <c r="I9583" t="s">
        <v>19447</v>
      </c>
      <c r="J9583">
        <v>2</v>
      </c>
      <c r="L9583" t="s">
        <v>2709</v>
      </c>
      <c r="M9583">
        <v>85459010</v>
      </c>
      <c r="O9583" t="s">
        <v>20138</v>
      </c>
      <c r="P9583" t="s">
        <v>19982</v>
      </c>
      <c r="Q9583" t="s">
        <v>19904</v>
      </c>
      <c r="R9583" t="s">
        <v>19447</v>
      </c>
      <c r="S9583" t="s">
        <v>19447</v>
      </c>
      <c r="T9583" t="s">
        <v>19901</v>
      </c>
    </row>
    <row r="9584" spans="2:20" x14ac:dyDescent="0.25">
      <c r="B9584" t="s">
        <v>2709</v>
      </c>
      <c r="C9584">
        <v>85459020</v>
      </c>
      <c r="E9584">
        <v>147.97</v>
      </c>
      <c r="F9584">
        <v>25</v>
      </c>
      <c r="G9584">
        <v>10</v>
      </c>
      <c r="H9584" t="s">
        <v>19447</v>
      </c>
      <c r="I9584" t="s">
        <v>19447</v>
      </c>
      <c r="J9584">
        <v>12</v>
      </c>
      <c r="L9584" t="s">
        <v>2709</v>
      </c>
      <c r="M9584">
        <v>85459020</v>
      </c>
      <c r="O9584" t="s">
        <v>20138</v>
      </c>
      <c r="P9584" t="s">
        <v>19982</v>
      </c>
      <c r="Q9584" t="s">
        <v>19904</v>
      </c>
      <c r="R9584" t="s">
        <v>19447</v>
      </c>
      <c r="S9584" t="s">
        <v>19447</v>
      </c>
      <c r="T9584" t="s">
        <v>19903</v>
      </c>
    </row>
    <row r="9585" spans="2:20" x14ac:dyDescent="0.25">
      <c r="B9585" t="s">
        <v>2709</v>
      </c>
      <c r="C9585">
        <v>85459030</v>
      </c>
      <c r="E9585">
        <v>147.97</v>
      </c>
      <c r="F9585">
        <v>25</v>
      </c>
      <c r="G9585">
        <v>10</v>
      </c>
      <c r="H9585" t="s">
        <v>19447</v>
      </c>
      <c r="I9585" t="s">
        <v>19447</v>
      </c>
      <c r="J9585">
        <v>12</v>
      </c>
      <c r="L9585" t="s">
        <v>2709</v>
      </c>
      <c r="M9585">
        <v>85459030</v>
      </c>
      <c r="O9585" t="s">
        <v>20138</v>
      </c>
      <c r="P9585" t="s">
        <v>19982</v>
      </c>
      <c r="Q9585" t="s">
        <v>19904</v>
      </c>
      <c r="R9585" t="s">
        <v>19447</v>
      </c>
      <c r="S9585" t="s">
        <v>19447</v>
      </c>
      <c r="T9585" t="s">
        <v>19903</v>
      </c>
    </row>
    <row r="9586" spans="2:20" x14ac:dyDescent="0.25">
      <c r="B9586" t="s">
        <v>2709</v>
      </c>
      <c r="C9586">
        <v>85459090</v>
      </c>
      <c r="E9586">
        <v>147.97</v>
      </c>
      <c r="F9586">
        <v>25</v>
      </c>
      <c r="G9586">
        <v>10</v>
      </c>
      <c r="H9586" t="s">
        <v>19447</v>
      </c>
      <c r="I9586" t="s">
        <v>19447</v>
      </c>
      <c r="J9586">
        <v>12</v>
      </c>
      <c r="L9586" t="s">
        <v>2709</v>
      </c>
      <c r="M9586">
        <v>85459090</v>
      </c>
      <c r="O9586" t="s">
        <v>20138</v>
      </c>
      <c r="P9586" t="s">
        <v>19982</v>
      </c>
      <c r="Q9586" t="s">
        <v>19904</v>
      </c>
      <c r="R9586" t="s">
        <v>19447</v>
      </c>
      <c r="S9586" t="s">
        <v>19447</v>
      </c>
      <c r="T9586" t="s">
        <v>19903</v>
      </c>
    </row>
    <row r="9587" spans="2:20" x14ac:dyDescent="0.25">
      <c r="B9587" t="s">
        <v>2709</v>
      </c>
      <c r="C9587">
        <v>85461000</v>
      </c>
      <c r="E9587">
        <v>84</v>
      </c>
      <c r="F9587">
        <v>25</v>
      </c>
      <c r="G9587">
        <v>15</v>
      </c>
      <c r="H9587" t="s">
        <v>19447</v>
      </c>
      <c r="I9587" t="s">
        <v>19447</v>
      </c>
      <c r="J9587">
        <v>16</v>
      </c>
      <c r="L9587" t="s">
        <v>2709</v>
      </c>
      <c r="M9587">
        <v>85461000</v>
      </c>
      <c r="O9587" t="s">
        <v>20211</v>
      </c>
      <c r="P9587" t="s">
        <v>19982</v>
      </c>
      <c r="Q9587" t="s">
        <v>19983</v>
      </c>
      <c r="R9587" t="s">
        <v>19447</v>
      </c>
      <c r="S9587" t="s">
        <v>19447</v>
      </c>
      <c r="T9587" t="s">
        <v>19913</v>
      </c>
    </row>
    <row r="9588" spans="2:20" x14ac:dyDescent="0.25">
      <c r="B9588" t="s">
        <v>2709</v>
      </c>
      <c r="C9588">
        <v>85462000</v>
      </c>
      <c r="E9588">
        <v>84</v>
      </c>
      <c r="F9588">
        <v>25</v>
      </c>
      <c r="G9588">
        <v>15</v>
      </c>
      <c r="H9588" t="s">
        <v>19447</v>
      </c>
      <c r="I9588" t="s">
        <v>19447</v>
      </c>
      <c r="J9588">
        <v>16</v>
      </c>
      <c r="L9588" t="s">
        <v>2709</v>
      </c>
      <c r="M9588">
        <v>85462000</v>
      </c>
      <c r="O9588" t="s">
        <v>20211</v>
      </c>
      <c r="P9588" t="s">
        <v>19982</v>
      </c>
      <c r="Q9588" t="s">
        <v>19983</v>
      </c>
      <c r="R9588" t="s">
        <v>19447</v>
      </c>
      <c r="S9588" t="s">
        <v>19447</v>
      </c>
      <c r="T9588" t="s">
        <v>19913</v>
      </c>
    </row>
    <row r="9589" spans="2:20" x14ac:dyDescent="0.25">
      <c r="B9589" t="s">
        <v>2709</v>
      </c>
      <c r="C9589">
        <v>85469000</v>
      </c>
      <c r="E9589">
        <v>84</v>
      </c>
      <c r="F9589">
        <v>25</v>
      </c>
      <c r="G9589">
        <v>15</v>
      </c>
      <c r="H9589" t="s">
        <v>19447</v>
      </c>
      <c r="I9589" t="s">
        <v>19447</v>
      </c>
      <c r="J9589">
        <v>16</v>
      </c>
      <c r="L9589" t="s">
        <v>2709</v>
      </c>
      <c r="M9589">
        <v>85469000</v>
      </c>
      <c r="O9589" t="s">
        <v>20211</v>
      </c>
      <c r="P9589" t="s">
        <v>19982</v>
      </c>
      <c r="Q9589" t="s">
        <v>19983</v>
      </c>
      <c r="R9589" t="s">
        <v>19447</v>
      </c>
      <c r="S9589" t="s">
        <v>19447</v>
      </c>
      <c r="T9589" t="s">
        <v>19913</v>
      </c>
    </row>
    <row r="9590" spans="2:20" x14ac:dyDescent="0.25">
      <c r="B9590" t="s">
        <v>2709</v>
      </c>
      <c r="C9590">
        <v>85471000</v>
      </c>
      <c r="E9590">
        <v>75</v>
      </c>
      <c r="F9590">
        <v>25</v>
      </c>
      <c r="G9590">
        <v>15</v>
      </c>
      <c r="H9590" t="s">
        <v>19447</v>
      </c>
      <c r="I9590" t="s">
        <v>19447</v>
      </c>
      <c r="J9590">
        <v>16</v>
      </c>
      <c r="L9590" t="s">
        <v>2709</v>
      </c>
      <c r="M9590">
        <v>85471000</v>
      </c>
      <c r="O9590" t="s">
        <v>20072</v>
      </c>
      <c r="P9590" t="s">
        <v>19982</v>
      </c>
      <c r="Q9590" t="s">
        <v>19983</v>
      </c>
      <c r="R9590" t="s">
        <v>19447</v>
      </c>
      <c r="S9590" t="s">
        <v>19447</v>
      </c>
      <c r="T9590" t="s">
        <v>19913</v>
      </c>
    </row>
    <row r="9591" spans="2:20" x14ac:dyDescent="0.25">
      <c r="B9591" t="s">
        <v>2709</v>
      </c>
      <c r="C9591">
        <v>85472010</v>
      </c>
      <c r="E9591">
        <v>75</v>
      </c>
      <c r="F9591">
        <v>25</v>
      </c>
      <c r="G9591">
        <v>15</v>
      </c>
      <c r="H9591" t="s">
        <v>19447</v>
      </c>
      <c r="I9591" t="s">
        <v>19447</v>
      </c>
      <c r="J9591">
        <v>2</v>
      </c>
      <c r="L9591" t="s">
        <v>2709</v>
      </c>
      <c r="M9591">
        <v>85472010</v>
      </c>
      <c r="O9591" t="s">
        <v>20072</v>
      </c>
      <c r="P9591" t="s">
        <v>19982</v>
      </c>
      <c r="Q9591" t="s">
        <v>19983</v>
      </c>
      <c r="R9591" t="s">
        <v>19447</v>
      </c>
      <c r="S9591" t="s">
        <v>19447</v>
      </c>
      <c r="T9591" t="s">
        <v>19901</v>
      </c>
    </row>
    <row r="9592" spans="2:20" x14ac:dyDescent="0.25">
      <c r="B9592" t="s">
        <v>2709</v>
      </c>
      <c r="C9592">
        <v>85472090</v>
      </c>
      <c r="E9592">
        <v>75</v>
      </c>
      <c r="F9592">
        <v>25</v>
      </c>
      <c r="G9592">
        <v>15</v>
      </c>
      <c r="H9592" t="s">
        <v>19447</v>
      </c>
      <c r="I9592" t="s">
        <v>19447</v>
      </c>
      <c r="J9592">
        <v>16</v>
      </c>
      <c r="L9592" t="s">
        <v>2709</v>
      </c>
      <c r="M9592">
        <v>85472090</v>
      </c>
      <c r="O9592" t="s">
        <v>20072</v>
      </c>
      <c r="P9592" t="s">
        <v>19982</v>
      </c>
      <c r="Q9592" t="s">
        <v>19983</v>
      </c>
      <c r="R9592" t="s">
        <v>19447</v>
      </c>
      <c r="S9592" t="s">
        <v>19447</v>
      </c>
      <c r="T9592" t="s">
        <v>19913</v>
      </c>
    </row>
    <row r="9593" spans="2:20" x14ac:dyDescent="0.25">
      <c r="B9593" t="s">
        <v>2709</v>
      </c>
      <c r="C9593">
        <v>85479000</v>
      </c>
      <c r="E9593">
        <v>75</v>
      </c>
      <c r="F9593">
        <v>25</v>
      </c>
      <c r="G9593">
        <v>15</v>
      </c>
      <c r="H9593" t="s">
        <v>19447</v>
      </c>
      <c r="I9593" t="s">
        <v>19447</v>
      </c>
      <c r="J9593">
        <v>16</v>
      </c>
      <c r="L9593" t="s">
        <v>2709</v>
      </c>
      <c r="M9593">
        <v>85479000</v>
      </c>
      <c r="O9593" t="s">
        <v>20072</v>
      </c>
      <c r="P9593" t="s">
        <v>19982</v>
      </c>
      <c r="Q9593" t="s">
        <v>19983</v>
      </c>
      <c r="R9593" t="s">
        <v>19447</v>
      </c>
      <c r="S9593" t="s">
        <v>19447</v>
      </c>
      <c r="T9593" t="s">
        <v>19913</v>
      </c>
    </row>
    <row r="9594" spans="2:20" x14ac:dyDescent="0.25">
      <c r="B9594" t="s">
        <v>2709</v>
      </c>
      <c r="C9594">
        <v>85481010</v>
      </c>
      <c r="E9594">
        <v>147.97</v>
      </c>
      <c r="F9594">
        <v>25</v>
      </c>
      <c r="G9594">
        <v>0</v>
      </c>
      <c r="H9594" t="s">
        <v>19447</v>
      </c>
      <c r="I9594" t="s">
        <v>19447</v>
      </c>
      <c r="J9594">
        <v>4</v>
      </c>
      <c r="L9594" t="s">
        <v>2709</v>
      </c>
      <c r="M9594">
        <v>85481010</v>
      </c>
      <c r="O9594" t="s">
        <v>20138</v>
      </c>
      <c r="P9594" t="s">
        <v>19982</v>
      </c>
      <c r="Q9594" t="s">
        <v>19900</v>
      </c>
      <c r="R9594" t="s">
        <v>19447</v>
      </c>
      <c r="S9594" t="s">
        <v>19447</v>
      </c>
      <c r="T9594" t="s">
        <v>19902</v>
      </c>
    </row>
    <row r="9595" spans="2:20" x14ac:dyDescent="0.25">
      <c r="B9595" t="s">
        <v>2709</v>
      </c>
      <c r="C9595">
        <v>85481010</v>
      </c>
      <c r="D9595">
        <v>1</v>
      </c>
      <c r="E9595" t="s">
        <v>19447</v>
      </c>
      <c r="F9595">
        <v>18</v>
      </c>
      <c r="G9595">
        <v>15</v>
      </c>
      <c r="H9595">
        <v>7.6</v>
      </c>
      <c r="I9595">
        <v>1.65</v>
      </c>
      <c r="J9595">
        <v>4</v>
      </c>
      <c r="L9595" t="s">
        <v>2709</v>
      </c>
      <c r="M9595">
        <v>85481010</v>
      </c>
      <c r="N9595">
        <v>1</v>
      </c>
      <c r="O9595" t="s">
        <v>19447</v>
      </c>
      <c r="P9595" t="s">
        <v>19899</v>
      </c>
      <c r="Q9595" t="s">
        <v>19983</v>
      </c>
      <c r="R9595" t="s">
        <v>19905</v>
      </c>
      <c r="S9595" t="s">
        <v>19906</v>
      </c>
      <c r="T9595" t="s">
        <v>19902</v>
      </c>
    </row>
    <row r="9596" spans="2:20" x14ac:dyDescent="0.25">
      <c r="B9596" t="s">
        <v>2709</v>
      </c>
      <c r="C9596">
        <v>85481090</v>
      </c>
      <c r="E9596">
        <v>147.97</v>
      </c>
      <c r="F9596">
        <v>25</v>
      </c>
      <c r="G9596">
        <v>0</v>
      </c>
      <c r="H9596" t="s">
        <v>19447</v>
      </c>
      <c r="I9596" t="s">
        <v>19447</v>
      </c>
      <c r="J9596">
        <v>18</v>
      </c>
      <c r="L9596" t="s">
        <v>2709</v>
      </c>
      <c r="M9596">
        <v>85481090</v>
      </c>
      <c r="O9596" t="s">
        <v>20138</v>
      </c>
      <c r="P9596" t="s">
        <v>19982</v>
      </c>
      <c r="Q9596" t="s">
        <v>19900</v>
      </c>
      <c r="R9596" t="s">
        <v>19447</v>
      </c>
      <c r="S9596" t="s">
        <v>19447</v>
      </c>
      <c r="T9596" t="s">
        <v>19899</v>
      </c>
    </row>
    <row r="9597" spans="2:20" x14ac:dyDescent="0.25">
      <c r="B9597" t="s">
        <v>2709</v>
      </c>
      <c r="C9597">
        <v>85481090</v>
      </c>
      <c r="D9597">
        <v>1</v>
      </c>
      <c r="E9597" t="s">
        <v>19447</v>
      </c>
      <c r="F9597">
        <v>18</v>
      </c>
      <c r="G9597">
        <v>0</v>
      </c>
      <c r="H9597">
        <v>7.6</v>
      </c>
      <c r="I9597">
        <v>1.65</v>
      </c>
      <c r="J9597">
        <v>18</v>
      </c>
      <c r="L9597" t="s">
        <v>2709</v>
      </c>
      <c r="M9597">
        <v>85481090</v>
      </c>
      <c r="N9597">
        <v>1</v>
      </c>
      <c r="O9597" t="s">
        <v>19447</v>
      </c>
      <c r="P9597" t="s">
        <v>19899</v>
      </c>
      <c r="Q9597" t="s">
        <v>19900</v>
      </c>
      <c r="R9597" t="s">
        <v>19905</v>
      </c>
      <c r="S9597" t="s">
        <v>19906</v>
      </c>
      <c r="T9597" t="s">
        <v>19899</v>
      </c>
    </row>
    <row r="9598" spans="2:20" x14ac:dyDescent="0.25">
      <c r="B9598" t="s">
        <v>2709</v>
      </c>
      <c r="C9598">
        <v>85481090</v>
      </c>
      <c r="D9598">
        <v>2</v>
      </c>
      <c r="E9598" t="s">
        <v>19447</v>
      </c>
      <c r="F9598">
        <v>18</v>
      </c>
      <c r="G9598">
        <v>10</v>
      </c>
      <c r="H9598">
        <v>7.6</v>
      </c>
      <c r="I9598">
        <v>1.65</v>
      </c>
      <c r="J9598">
        <v>18</v>
      </c>
      <c r="L9598" t="s">
        <v>2709</v>
      </c>
      <c r="M9598">
        <v>85481090</v>
      </c>
      <c r="N9598">
        <v>2</v>
      </c>
      <c r="O9598" t="s">
        <v>19447</v>
      </c>
      <c r="P9598" t="s">
        <v>19899</v>
      </c>
      <c r="Q9598" t="s">
        <v>19904</v>
      </c>
      <c r="R9598" t="s">
        <v>19905</v>
      </c>
      <c r="S9598" t="s">
        <v>19906</v>
      </c>
      <c r="T9598" t="s">
        <v>19899</v>
      </c>
    </row>
    <row r="9599" spans="2:20" x14ac:dyDescent="0.25">
      <c r="B9599" t="s">
        <v>2709</v>
      </c>
      <c r="C9599">
        <v>85481090</v>
      </c>
      <c r="D9599">
        <v>3</v>
      </c>
      <c r="E9599" t="s">
        <v>19447</v>
      </c>
      <c r="F9599">
        <v>18</v>
      </c>
      <c r="G9599">
        <v>15</v>
      </c>
      <c r="H9599">
        <v>7.6</v>
      </c>
      <c r="I9599">
        <v>1.65</v>
      </c>
      <c r="J9599">
        <v>18</v>
      </c>
      <c r="L9599" t="s">
        <v>2709</v>
      </c>
      <c r="M9599">
        <v>85481090</v>
      </c>
      <c r="N9599">
        <v>3</v>
      </c>
      <c r="O9599" t="s">
        <v>19447</v>
      </c>
      <c r="P9599" t="s">
        <v>19899</v>
      </c>
      <c r="Q9599" t="s">
        <v>19983</v>
      </c>
      <c r="R9599" t="s">
        <v>19905</v>
      </c>
      <c r="S9599" t="s">
        <v>19906</v>
      </c>
      <c r="T9599" t="s">
        <v>19899</v>
      </c>
    </row>
    <row r="9600" spans="2:20" x14ac:dyDescent="0.25">
      <c r="B9600" t="s">
        <v>2709</v>
      </c>
      <c r="C9600">
        <v>85489010</v>
      </c>
      <c r="E9600">
        <v>147.97</v>
      </c>
      <c r="F9600">
        <v>25</v>
      </c>
      <c r="G9600">
        <v>10</v>
      </c>
      <c r="H9600" t="s">
        <v>19447</v>
      </c>
      <c r="I9600" t="s">
        <v>19447</v>
      </c>
      <c r="J9600">
        <v>16</v>
      </c>
      <c r="L9600" t="s">
        <v>2709</v>
      </c>
      <c r="M9600">
        <v>85489010</v>
      </c>
      <c r="O9600" t="s">
        <v>20138</v>
      </c>
      <c r="P9600" t="s">
        <v>19982</v>
      </c>
      <c r="Q9600" t="s">
        <v>19904</v>
      </c>
      <c r="R9600" t="s">
        <v>19447</v>
      </c>
      <c r="S9600" t="s">
        <v>19447</v>
      </c>
      <c r="T9600" t="s">
        <v>19913</v>
      </c>
    </row>
    <row r="9601" spans="2:20" x14ac:dyDescent="0.25">
      <c r="B9601" t="s">
        <v>2709</v>
      </c>
      <c r="C9601">
        <v>85489090</v>
      </c>
      <c r="E9601">
        <v>147.97</v>
      </c>
      <c r="F9601">
        <v>25</v>
      </c>
      <c r="G9601">
        <v>10</v>
      </c>
      <c r="H9601" t="s">
        <v>19447</v>
      </c>
      <c r="I9601" t="s">
        <v>19447</v>
      </c>
      <c r="J9601">
        <v>14</v>
      </c>
      <c r="L9601" t="s">
        <v>2709</v>
      </c>
      <c r="M9601">
        <v>85489090</v>
      </c>
      <c r="O9601" t="s">
        <v>20138</v>
      </c>
      <c r="P9601" t="s">
        <v>19982</v>
      </c>
      <c r="Q9601" t="s">
        <v>19904</v>
      </c>
      <c r="R9601" t="s">
        <v>19447</v>
      </c>
      <c r="S9601" t="s">
        <v>19447</v>
      </c>
      <c r="T9601" t="s">
        <v>19911</v>
      </c>
    </row>
    <row r="9602" spans="2:20" x14ac:dyDescent="0.25">
      <c r="B9602" t="s">
        <v>2709</v>
      </c>
      <c r="C9602">
        <v>86011000</v>
      </c>
      <c r="E9602" t="s">
        <v>19447</v>
      </c>
      <c r="F9602">
        <v>18</v>
      </c>
      <c r="G9602">
        <v>0</v>
      </c>
      <c r="H9602" t="s">
        <v>19447</v>
      </c>
      <c r="I9602" t="s">
        <v>19447</v>
      </c>
      <c r="J9602">
        <v>14</v>
      </c>
      <c r="L9602" t="s">
        <v>2709</v>
      </c>
      <c r="M9602">
        <v>86011000</v>
      </c>
      <c r="O9602" t="s">
        <v>19447</v>
      </c>
      <c r="P9602" t="s">
        <v>19899</v>
      </c>
      <c r="Q9602" t="s">
        <v>19900</v>
      </c>
      <c r="R9602" t="s">
        <v>19447</v>
      </c>
      <c r="S9602" t="s">
        <v>19447</v>
      </c>
      <c r="T9602" t="s">
        <v>19911</v>
      </c>
    </row>
    <row r="9603" spans="2:20" x14ac:dyDescent="0.25">
      <c r="B9603" t="s">
        <v>2709</v>
      </c>
      <c r="C9603">
        <v>86012000</v>
      </c>
      <c r="E9603" t="s">
        <v>19447</v>
      </c>
      <c r="F9603">
        <v>18</v>
      </c>
      <c r="G9603">
        <v>0</v>
      </c>
      <c r="H9603" t="s">
        <v>19447</v>
      </c>
      <c r="I9603" t="s">
        <v>19447</v>
      </c>
      <c r="J9603">
        <v>14</v>
      </c>
      <c r="L9603" t="s">
        <v>2709</v>
      </c>
      <c r="M9603">
        <v>86012000</v>
      </c>
      <c r="O9603" t="s">
        <v>19447</v>
      </c>
      <c r="P9603" t="s">
        <v>19899</v>
      </c>
      <c r="Q9603" t="s">
        <v>19900</v>
      </c>
      <c r="R9603" t="s">
        <v>19447</v>
      </c>
      <c r="S9603" t="s">
        <v>19447</v>
      </c>
      <c r="T9603" t="s">
        <v>19911</v>
      </c>
    </row>
    <row r="9604" spans="2:20" x14ac:dyDescent="0.25">
      <c r="B9604" t="s">
        <v>2709</v>
      </c>
      <c r="C9604">
        <v>86021000</v>
      </c>
      <c r="E9604" t="s">
        <v>19447</v>
      </c>
      <c r="F9604">
        <v>0</v>
      </c>
      <c r="G9604">
        <v>0</v>
      </c>
      <c r="H9604" t="s">
        <v>19447</v>
      </c>
      <c r="I9604" t="s">
        <v>19447</v>
      </c>
      <c r="J9604">
        <v>14</v>
      </c>
      <c r="L9604" t="s">
        <v>2709</v>
      </c>
      <c r="M9604">
        <v>86021000</v>
      </c>
      <c r="O9604" t="s">
        <v>19447</v>
      </c>
      <c r="P9604" t="s">
        <v>19900</v>
      </c>
      <c r="Q9604" t="s">
        <v>19900</v>
      </c>
      <c r="R9604" t="s">
        <v>19447</v>
      </c>
      <c r="S9604" t="s">
        <v>19447</v>
      </c>
      <c r="T9604" t="s">
        <v>19911</v>
      </c>
    </row>
    <row r="9605" spans="2:20" x14ac:dyDescent="0.25">
      <c r="B9605" t="s">
        <v>2709</v>
      </c>
      <c r="C9605">
        <v>86029000</v>
      </c>
      <c r="E9605" t="s">
        <v>19447</v>
      </c>
      <c r="F9605">
        <v>18</v>
      </c>
      <c r="G9605">
        <v>0</v>
      </c>
      <c r="H9605" t="s">
        <v>19447</v>
      </c>
      <c r="I9605" t="s">
        <v>19447</v>
      </c>
      <c r="J9605">
        <v>14</v>
      </c>
      <c r="L9605" t="s">
        <v>2709</v>
      </c>
      <c r="M9605">
        <v>86029000</v>
      </c>
      <c r="O9605" t="s">
        <v>19447</v>
      </c>
      <c r="P9605" t="s">
        <v>19899</v>
      </c>
      <c r="Q9605" t="s">
        <v>19900</v>
      </c>
      <c r="R9605" t="s">
        <v>19447</v>
      </c>
      <c r="S9605" t="s">
        <v>19447</v>
      </c>
      <c r="T9605" t="s">
        <v>19911</v>
      </c>
    </row>
    <row r="9606" spans="2:20" x14ac:dyDescent="0.25">
      <c r="B9606" t="s">
        <v>2709</v>
      </c>
      <c r="C9606">
        <v>86031000</v>
      </c>
      <c r="E9606" t="s">
        <v>19447</v>
      </c>
      <c r="F9606">
        <v>18</v>
      </c>
      <c r="G9606">
        <v>0</v>
      </c>
      <c r="H9606" t="s">
        <v>19447</v>
      </c>
      <c r="I9606" t="s">
        <v>19447</v>
      </c>
      <c r="J9606">
        <v>14</v>
      </c>
      <c r="L9606" t="s">
        <v>2709</v>
      </c>
      <c r="M9606">
        <v>86031000</v>
      </c>
      <c r="O9606" t="s">
        <v>19447</v>
      </c>
      <c r="P9606" t="s">
        <v>19899</v>
      </c>
      <c r="Q9606" t="s">
        <v>19900</v>
      </c>
      <c r="R9606" t="s">
        <v>19447</v>
      </c>
      <c r="S9606" t="s">
        <v>19447</v>
      </c>
      <c r="T9606" t="s">
        <v>19911</v>
      </c>
    </row>
    <row r="9607" spans="2:20" x14ac:dyDescent="0.25">
      <c r="B9607" t="s">
        <v>2709</v>
      </c>
      <c r="C9607">
        <v>86039000</v>
      </c>
      <c r="E9607" t="s">
        <v>19447</v>
      </c>
      <c r="F9607">
        <v>18</v>
      </c>
      <c r="G9607">
        <v>0</v>
      </c>
      <c r="H9607" t="s">
        <v>19447</v>
      </c>
      <c r="I9607" t="s">
        <v>19447</v>
      </c>
      <c r="J9607">
        <v>14</v>
      </c>
      <c r="L9607" t="s">
        <v>2709</v>
      </c>
      <c r="M9607">
        <v>86039000</v>
      </c>
      <c r="O9607" t="s">
        <v>19447</v>
      </c>
      <c r="P9607" t="s">
        <v>19899</v>
      </c>
      <c r="Q9607" t="s">
        <v>19900</v>
      </c>
      <c r="R9607" t="s">
        <v>19447</v>
      </c>
      <c r="S9607" t="s">
        <v>19447</v>
      </c>
      <c r="T9607" t="s">
        <v>19911</v>
      </c>
    </row>
    <row r="9608" spans="2:20" x14ac:dyDescent="0.25">
      <c r="B9608" t="s">
        <v>2709</v>
      </c>
      <c r="C9608">
        <v>86040010</v>
      </c>
      <c r="E9608" t="s">
        <v>19447</v>
      </c>
      <c r="F9608">
        <v>18</v>
      </c>
      <c r="G9608">
        <v>0</v>
      </c>
      <c r="H9608" t="s">
        <v>19447</v>
      </c>
      <c r="I9608" t="s">
        <v>19447</v>
      </c>
      <c r="J9608">
        <v>0</v>
      </c>
      <c r="L9608" t="s">
        <v>2709</v>
      </c>
      <c r="M9608">
        <v>86040010</v>
      </c>
      <c r="O9608" t="s">
        <v>19447</v>
      </c>
      <c r="P9608" t="s">
        <v>19899</v>
      </c>
      <c r="Q9608" t="s">
        <v>19900</v>
      </c>
      <c r="R9608" t="s">
        <v>19447</v>
      </c>
      <c r="S9608" t="s">
        <v>19447</v>
      </c>
      <c r="T9608" t="s">
        <v>19900</v>
      </c>
    </row>
    <row r="9609" spans="2:20" x14ac:dyDescent="0.25">
      <c r="B9609" t="s">
        <v>2709</v>
      </c>
      <c r="C9609">
        <v>86040090</v>
      </c>
      <c r="E9609" t="s">
        <v>19447</v>
      </c>
      <c r="F9609">
        <v>18</v>
      </c>
      <c r="G9609">
        <v>0</v>
      </c>
      <c r="H9609" t="s">
        <v>19447</v>
      </c>
      <c r="I9609" t="s">
        <v>19447</v>
      </c>
      <c r="J9609">
        <v>14</v>
      </c>
      <c r="L9609" t="s">
        <v>2709</v>
      </c>
      <c r="M9609">
        <v>86040090</v>
      </c>
      <c r="O9609" t="s">
        <v>19447</v>
      </c>
      <c r="P9609" t="s">
        <v>19899</v>
      </c>
      <c r="Q9609" t="s">
        <v>19900</v>
      </c>
      <c r="R9609" t="s">
        <v>19447</v>
      </c>
      <c r="S9609" t="s">
        <v>19447</v>
      </c>
      <c r="T9609" t="s">
        <v>19911</v>
      </c>
    </row>
    <row r="9610" spans="2:20" x14ac:dyDescent="0.25">
      <c r="B9610" t="s">
        <v>2709</v>
      </c>
      <c r="C9610">
        <v>86050010</v>
      </c>
      <c r="E9610" t="s">
        <v>19447</v>
      </c>
      <c r="F9610">
        <v>18</v>
      </c>
      <c r="G9610">
        <v>0</v>
      </c>
      <c r="H9610" t="s">
        <v>19447</v>
      </c>
      <c r="I9610" t="s">
        <v>19447</v>
      </c>
      <c r="J9610">
        <v>14</v>
      </c>
      <c r="L9610" t="s">
        <v>2709</v>
      </c>
      <c r="M9610">
        <v>86050010</v>
      </c>
      <c r="O9610" t="s">
        <v>19447</v>
      </c>
      <c r="P9610" t="s">
        <v>19899</v>
      </c>
      <c r="Q9610" t="s">
        <v>19900</v>
      </c>
      <c r="R9610" t="s">
        <v>19447</v>
      </c>
      <c r="S9610" t="s">
        <v>19447</v>
      </c>
      <c r="T9610" t="s">
        <v>19911</v>
      </c>
    </row>
    <row r="9611" spans="2:20" x14ac:dyDescent="0.25">
      <c r="B9611" t="s">
        <v>2709</v>
      </c>
      <c r="C9611">
        <v>86050090</v>
      </c>
      <c r="E9611" t="s">
        <v>19447</v>
      </c>
      <c r="F9611">
        <v>18</v>
      </c>
      <c r="G9611">
        <v>0</v>
      </c>
      <c r="H9611" t="s">
        <v>19447</v>
      </c>
      <c r="I9611" t="s">
        <v>19447</v>
      </c>
      <c r="J9611">
        <v>14</v>
      </c>
      <c r="L9611" t="s">
        <v>2709</v>
      </c>
      <c r="M9611">
        <v>86050090</v>
      </c>
      <c r="O9611" t="s">
        <v>19447</v>
      </c>
      <c r="P9611" t="s">
        <v>19899</v>
      </c>
      <c r="Q9611" t="s">
        <v>19900</v>
      </c>
      <c r="R9611" t="s">
        <v>19447</v>
      </c>
      <c r="S9611" t="s">
        <v>19447</v>
      </c>
      <c r="T9611" t="s">
        <v>19911</v>
      </c>
    </row>
    <row r="9612" spans="2:20" x14ac:dyDescent="0.25">
      <c r="B9612" t="s">
        <v>2709</v>
      </c>
      <c r="C9612">
        <v>86061000</v>
      </c>
      <c r="E9612" t="s">
        <v>19447</v>
      </c>
      <c r="F9612">
        <v>12</v>
      </c>
      <c r="G9612">
        <v>0</v>
      </c>
      <c r="H9612" t="s">
        <v>19447</v>
      </c>
      <c r="I9612" t="s">
        <v>19447</v>
      </c>
      <c r="J9612">
        <v>14</v>
      </c>
      <c r="L9612" t="s">
        <v>2709</v>
      </c>
      <c r="M9612">
        <v>86061000</v>
      </c>
      <c r="O9612" t="s">
        <v>19447</v>
      </c>
      <c r="P9612" t="s">
        <v>19903</v>
      </c>
      <c r="Q9612" t="s">
        <v>19900</v>
      </c>
      <c r="R9612" t="s">
        <v>19447</v>
      </c>
      <c r="S9612" t="s">
        <v>19447</v>
      </c>
      <c r="T9612" t="s">
        <v>19911</v>
      </c>
    </row>
    <row r="9613" spans="2:20" x14ac:dyDescent="0.25">
      <c r="B9613" t="s">
        <v>2709</v>
      </c>
      <c r="C9613">
        <v>86063000</v>
      </c>
      <c r="E9613" t="s">
        <v>19447</v>
      </c>
      <c r="F9613">
        <v>12</v>
      </c>
      <c r="G9613">
        <v>0</v>
      </c>
      <c r="H9613" t="s">
        <v>19447</v>
      </c>
      <c r="I9613" t="s">
        <v>19447</v>
      </c>
      <c r="J9613">
        <v>14</v>
      </c>
      <c r="L9613" t="s">
        <v>2709</v>
      </c>
      <c r="M9613">
        <v>86063000</v>
      </c>
      <c r="O9613" t="s">
        <v>19447</v>
      </c>
      <c r="P9613" t="s">
        <v>19903</v>
      </c>
      <c r="Q9613" t="s">
        <v>19900</v>
      </c>
      <c r="R9613" t="s">
        <v>19447</v>
      </c>
      <c r="S9613" t="s">
        <v>19447</v>
      </c>
      <c r="T9613" t="s">
        <v>19911</v>
      </c>
    </row>
    <row r="9614" spans="2:20" x14ac:dyDescent="0.25">
      <c r="B9614" t="s">
        <v>2709</v>
      </c>
      <c r="C9614">
        <v>86069100</v>
      </c>
      <c r="E9614" t="s">
        <v>19447</v>
      </c>
      <c r="F9614">
        <v>12</v>
      </c>
      <c r="G9614">
        <v>0</v>
      </c>
      <c r="H9614" t="s">
        <v>19447</v>
      </c>
      <c r="I9614" t="s">
        <v>19447</v>
      </c>
      <c r="J9614">
        <v>14</v>
      </c>
      <c r="L9614" t="s">
        <v>2709</v>
      </c>
      <c r="M9614">
        <v>86069100</v>
      </c>
      <c r="O9614" t="s">
        <v>19447</v>
      </c>
      <c r="P9614" t="s">
        <v>19903</v>
      </c>
      <c r="Q9614" t="s">
        <v>19900</v>
      </c>
      <c r="R9614" t="s">
        <v>19447</v>
      </c>
      <c r="S9614" t="s">
        <v>19447</v>
      </c>
      <c r="T9614" t="s">
        <v>19911</v>
      </c>
    </row>
    <row r="9615" spans="2:20" x14ac:dyDescent="0.25">
      <c r="B9615" t="s">
        <v>2709</v>
      </c>
      <c r="C9615">
        <v>86069200</v>
      </c>
      <c r="E9615" t="s">
        <v>19447</v>
      </c>
      <c r="F9615">
        <v>12</v>
      </c>
      <c r="G9615">
        <v>0</v>
      </c>
      <c r="H9615" t="s">
        <v>19447</v>
      </c>
      <c r="I9615" t="s">
        <v>19447</v>
      </c>
      <c r="J9615">
        <v>14</v>
      </c>
      <c r="L9615" t="s">
        <v>2709</v>
      </c>
      <c r="M9615">
        <v>86069200</v>
      </c>
      <c r="O9615" t="s">
        <v>19447</v>
      </c>
      <c r="P9615" t="s">
        <v>19903</v>
      </c>
      <c r="Q9615" t="s">
        <v>19900</v>
      </c>
      <c r="R9615" t="s">
        <v>19447</v>
      </c>
      <c r="S9615" t="s">
        <v>19447</v>
      </c>
      <c r="T9615" t="s">
        <v>19911</v>
      </c>
    </row>
    <row r="9616" spans="2:20" x14ac:dyDescent="0.25">
      <c r="B9616" t="s">
        <v>2709</v>
      </c>
      <c r="C9616">
        <v>86069900</v>
      </c>
      <c r="E9616" t="s">
        <v>19447</v>
      </c>
      <c r="F9616">
        <v>12</v>
      </c>
      <c r="G9616">
        <v>0</v>
      </c>
      <c r="H9616" t="s">
        <v>19447</v>
      </c>
      <c r="I9616" t="s">
        <v>19447</v>
      </c>
      <c r="J9616">
        <v>14</v>
      </c>
      <c r="L9616" t="s">
        <v>2709</v>
      </c>
      <c r="M9616">
        <v>86069900</v>
      </c>
      <c r="O9616" t="s">
        <v>19447</v>
      </c>
      <c r="P9616" t="s">
        <v>19903</v>
      </c>
      <c r="Q9616" t="s">
        <v>19900</v>
      </c>
      <c r="R9616" t="s">
        <v>19447</v>
      </c>
      <c r="S9616" t="s">
        <v>19447</v>
      </c>
      <c r="T9616" t="s">
        <v>19911</v>
      </c>
    </row>
    <row r="9617" spans="2:20" x14ac:dyDescent="0.25">
      <c r="B9617" t="s">
        <v>2709</v>
      </c>
      <c r="C9617">
        <v>86071110</v>
      </c>
      <c r="E9617" t="s">
        <v>19447</v>
      </c>
      <c r="F9617">
        <v>18</v>
      </c>
      <c r="G9617">
        <v>0</v>
      </c>
      <c r="H9617" t="s">
        <v>19447</v>
      </c>
      <c r="I9617" t="s">
        <v>19447</v>
      </c>
      <c r="J9617">
        <v>14</v>
      </c>
      <c r="L9617" t="s">
        <v>2709</v>
      </c>
      <c r="M9617">
        <v>86071110</v>
      </c>
      <c r="O9617" t="s">
        <v>19447</v>
      </c>
      <c r="P9617" t="s">
        <v>19899</v>
      </c>
      <c r="Q9617" t="s">
        <v>19900</v>
      </c>
      <c r="R9617" t="s">
        <v>19447</v>
      </c>
      <c r="S9617" t="s">
        <v>19447</v>
      </c>
      <c r="T9617" t="s">
        <v>19911</v>
      </c>
    </row>
    <row r="9618" spans="2:20" x14ac:dyDescent="0.25">
      <c r="B9618" t="s">
        <v>2709</v>
      </c>
      <c r="C9618">
        <v>86071120</v>
      </c>
      <c r="E9618" t="s">
        <v>19447</v>
      </c>
      <c r="F9618">
        <v>18</v>
      </c>
      <c r="G9618">
        <v>0</v>
      </c>
      <c r="H9618" t="s">
        <v>19447</v>
      </c>
      <c r="I9618" t="s">
        <v>19447</v>
      </c>
      <c r="J9618">
        <v>14</v>
      </c>
      <c r="L9618" t="s">
        <v>2709</v>
      </c>
      <c r="M9618">
        <v>86071120</v>
      </c>
      <c r="O9618" t="s">
        <v>19447</v>
      </c>
      <c r="P9618" t="s">
        <v>19899</v>
      </c>
      <c r="Q9618" t="s">
        <v>19900</v>
      </c>
      <c r="R9618" t="s">
        <v>19447</v>
      </c>
      <c r="S9618" t="s">
        <v>19447</v>
      </c>
      <c r="T9618" t="s">
        <v>19911</v>
      </c>
    </row>
    <row r="9619" spans="2:20" x14ac:dyDescent="0.25">
      <c r="B9619" t="s">
        <v>2709</v>
      </c>
      <c r="C9619">
        <v>86071200</v>
      </c>
      <c r="E9619" t="s">
        <v>19447</v>
      </c>
      <c r="F9619">
        <v>18</v>
      </c>
      <c r="G9619">
        <v>0</v>
      </c>
      <c r="H9619" t="s">
        <v>19447</v>
      </c>
      <c r="I9619" t="s">
        <v>19447</v>
      </c>
      <c r="J9619">
        <v>14</v>
      </c>
      <c r="L9619" t="s">
        <v>2709</v>
      </c>
      <c r="M9619">
        <v>86071200</v>
      </c>
      <c r="O9619" t="s">
        <v>19447</v>
      </c>
      <c r="P9619" t="s">
        <v>19899</v>
      </c>
      <c r="Q9619" t="s">
        <v>19900</v>
      </c>
      <c r="R9619" t="s">
        <v>19447</v>
      </c>
      <c r="S9619" t="s">
        <v>19447</v>
      </c>
      <c r="T9619" t="s">
        <v>19911</v>
      </c>
    </row>
    <row r="9620" spans="2:20" x14ac:dyDescent="0.25">
      <c r="B9620" t="s">
        <v>2709</v>
      </c>
      <c r="C9620">
        <v>86071911</v>
      </c>
      <c r="E9620" t="s">
        <v>19447</v>
      </c>
      <c r="F9620">
        <v>18</v>
      </c>
      <c r="G9620">
        <v>0</v>
      </c>
      <c r="H9620" t="s">
        <v>19447</v>
      </c>
      <c r="I9620" t="s">
        <v>19447</v>
      </c>
      <c r="J9620">
        <v>0</v>
      </c>
      <c r="L9620" t="s">
        <v>2709</v>
      </c>
      <c r="M9620">
        <v>86071911</v>
      </c>
      <c r="O9620" t="s">
        <v>19447</v>
      </c>
      <c r="P9620" t="s">
        <v>19899</v>
      </c>
      <c r="Q9620" t="s">
        <v>19900</v>
      </c>
      <c r="R9620" t="s">
        <v>19447</v>
      </c>
      <c r="S9620" t="s">
        <v>19447</v>
      </c>
      <c r="T9620" t="s">
        <v>19900</v>
      </c>
    </row>
    <row r="9621" spans="2:20" x14ac:dyDescent="0.25">
      <c r="B9621" t="s">
        <v>2709</v>
      </c>
      <c r="C9621">
        <v>86071919</v>
      </c>
      <c r="E9621" t="s">
        <v>19447</v>
      </c>
      <c r="F9621">
        <v>8.8000000000000007</v>
      </c>
      <c r="G9621">
        <v>0</v>
      </c>
      <c r="H9621" t="s">
        <v>19447</v>
      </c>
      <c r="I9621" t="s">
        <v>19447</v>
      </c>
      <c r="J9621">
        <v>14</v>
      </c>
      <c r="L9621" t="s">
        <v>2709</v>
      </c>
      <c r="M9621">
        <v>86071919</v>
      </c>
      <c r="O9621" t="s">
        <v>19447</v>
      </c>
      <c r="P9621" t="s">
        <v>20127</v>
      </c>
      <c r="Q9621" t="s">
        <v>19900</v>
      </c>
      <c r="R9621" t="s">
        <v>19447</v>
      </c>
      <c r="S9621" t="s">
        <v>19447</v>
      </c>
      <c r="T9621" t="s">
        <v>19911</v>
      </c>
    </row>
    <row r="9622" spans="2:20" x14ac:dyDescent="0.25">
      <c r="B9622" t="s">
        <v>2709</v>
      </c>
      <c r="C9622">
        <v>86071990</v>
      </c>
      <c r="E9622" t="s">
        <v>19447</v>
      </c>
      <c r="F9622">
        <v>18</v>
      </c>
      <c r="G9622">
        <v>0</v>
      </c>
      <c r="H9622" t="s">
        <v>19447</v>
      </c>
      <c r="I9622" t="s">
        <v>19447</v>
      </c>
      <c r="J9622">
        <v>35</v>
      </c>
      <c r="L9622" t="s">
        <v>2709</v>
      </c>
      <c r="M9622">
        <v>86071990</v>
      </c>
      <c r="O9622" t="s">
        <v>19447</v>
      </c>
      <c r="P9622" t="s">
        <v>19899</v>
      </c>
      <c r="Q9622" t="s">
        <v>19900</v>
      </c>
      <c r="R9622" t="s">
        <v>19447</v>
      </c>
      <c r="S9622" t="s">
        <v>19447</v>
      </c>
      <c r="T9622" t="s">
        <v>19919</v>
      </c>
    </row>
    <row r="9623" spans="2:20" x14ac:dyDescent="0.25">
      <c r="B9623" t="s">
        <v>2709</v>
      </c>
      <c r="C9623">
        <v>86072100</v>
      </c>
      <c r="E9623" t="s">
        <v>19447</v>
      </c>
      <c r="F9623">
        <v>18</v>
      </c>
      <c r="G9623">
        <v>0</v>
      </c>
      <c r="H9623" t="s">
        <v>19447</v>
      </c>
      <c r="I9623" t="s">
        <v>19447</v>
      </c>
      <c r="J9623">
        <v>14</v>
      </c>
      <c r="L9623" t="s">
        <v>2709</v>
      </c>
      <c r="M9623">
        <v>86072100</v>
      </c>
      <c r="O9623" t="s">
        <v>19447</v>
      </c>
      <c r="P9623" t="s">
        <v>19899</v>
      </c>
      <c r="Q9623" t="s">
        <v>19900</v>
      </c>
      <c r="R9623" t="s">
        <v>19447</v>
      </c>
      <c r="S9623" t="s">
        <v>19447</v>
      </c>
      <c r="T9623" t="s">
        <v>19911</v>
      </c>
    </row>
    <row r="9624" spans="2:20" x14ac:dyDescent="0.25">
      <c r="B9624" t="s">
        <v>2709</v>
      </c>
      <c r="C9624">
        <v>86072900</v>
      </c>
      <c r="E9624" t="s">
        <v>19447</v>
      </c>
      <c r="F9624">
        <v>18</v>
      </c>
      <c r="G9624">
        <v>0</v>
      </c>
      <c r="H9624" t="s">
        <v>19447</v>
      </c>
      <c r="I9624" t="s">
        <v>19447</v>
      </c>
      <c r="J9624">
        <v>14</v>
      </c>
      <c r="L9624" t="s">
        <v>2709</v>
      </c>
      <c r="M9624">
        <v>86072900</v>
      </c>
      <c r="O9624" t="s">
        <v>19447</v>
      </c>
      <c r="P9624" t="s">
        <v>19899</v>
      </c>
      <c r="Q9624" t="s">
        <v>19900</v>
      </c>
      <c r="R9624" t="s">
        <v>19447</v>
      </c>
      <c r="S9624" t="s">
        <v>19447</v>
      </c>
      <c r="T9624" t="s">
        <v>19911</v>
      </c>
    </row>
    <row r="9625" spans="2:20" x14ac:dyDescent="0.25">
      <c r="B9625" t="s">
        <v>2709</v>
      </c>
      <c r="C9625">
        <v>86073000</v>
      </c>
      <c r="E9625" t="s">
        <v>19447</v>
      </c>
      <c r="F9625">
        <v>18</v>
      </c>
      <c r="G9625">
        <v>0</v>
      </c>
      <c r="H9625" t="s">
        <v>19447</v>
      </c>
      <c r="I9625" t="s">
        <v>19447</v>
      </c>
      <c r="J9625">
        <v>14</v>
      </c>
      <c r="L9625" t="s">
        <v>2709</v>
      </c>
      <c r="M9625">
        <v>86073000</v>
      </c>
      <c r="O9625" t="s">
        <v>19447</v>
      </c>
      <c r="P9625" t="s">
        <v>19899</v>
      </c>
      <c r="Q9625" t="s">
        <v>19900</v>
      </c>
      <c r="R9625" t="s">
        <v>19447</v>
      </c>
      <c r="S9625" t="s">
        <v>19447</v>
      </c>
      <c r="T9625" t="s">
        <v>19911</v>
      </c>
    </row>
    <row r="9626" spans="2:20" x14ac:dyDescent="0.25">
      <c r="B9626" t="s">
        <v>2709</v>
      </c>
      <c r="C9626">
        <v>86079100</v>
      </c>
      <c r="E9626" t="s">
        <v>19447</v>
      </c>
      <c r="F9626">
        <v>18</v>
      </c>
      <c r="G9626">
        <v>0</v>
      </c>
      <c r="H9626" t="s">
        <v>19447</v>
      </c>
      <c r="I9626" t="s">
        <v>19447</v>
      </c>
      <c r="J9626">
        <v>14</v>
      </c>
      <c r="L9626" t="s">
        <v>2709</v>
      </c>
      <c r="M9626">
        <v>86079100</v>
      </c>
      <c r="O9626" t="s">
        <v>19447</v>
      </c>
      <c r="P9626" t="s">
        <v>19899</v>
      </c>
      <c r="Q9626" t="s">
        <v>19900</v>
      </c>
      <c r="R9626" t="s">
        <v>19447</v>
      </c>
      <c r="S9626" t="s">
        <v>19447</v>
      </c>
      <c r="T9626" t="s">
        <v>19911</v>
      </c>
    </row>
    <row r="9627" spans="2:20" x14ac:dyDescent="0.25">
      <c r="B9627" t="s">
        <v>2709</v>
      </c>
      <c r="C9627">
        <v>86079900</v>
      </c>
      <c r="E9627" t="s">
        <v>19447</v>
      </c>
      <c r="F9627">
        <v>18</v>
      </c>
      <c r="G9627">
        <v>0</v>
      </c>
      <c r="H9627" t="s">
        <v>19447</v>
      </c>
      <c r="I9627" t="s">
        <v>19447</v>
      </c>
      <c r="J9627">
        <v>14</v>
      </c>
      <c r="L9627" t="s">
        <v>2709</v>
      </c>
      <c r="M9627">
        <v>86079900</v>
      </c>
      <c r="O9627" t="s">
        <v>19447</v>
      </c>
      <c r="P9627" t="s">
        <v>19899</v>
      </c>
      <c r="Q9627" t="s">
        <v>19900</v>
      </c>
      <c r="R9627" t="s">
        <v>19447</v>
      </c>
      <c r="S9627" t="s">
        <v>19447</v>
      </c>
      <c r="T9627" t="s">
        <v>19911</v>
      </c>
    </row>
    <row r="9628" spans="2:20" x14ac:dyDescent="0.25">
      <c r="B9628" t="s">
        <v>2709</v>
      </c>
      <c r="C9628">
        <v>86080011</v>
      </c>
      <c r="E9628" t="s">
        <v>19447</v>
      </c>
      <c r="F9628">
        <v>18</v>
      </c>
      <c r="G9628">
        <v>0</v>
      </c>
      <c r="H9628" t="s">
        <v>19447</v>
      </c>
      <c r="I9628" t="s">
        <v>19447</v>
      </c>
      <c r="J9628">
        <v>14</v>
      </c>
      <c r="L9628" t="s">
        <v>2709</v>
      </c>
      <c r="M9628">
        <v>86080011</v>
      </c>
      <c r="O9628" t="s">
        <v>19447</v>
      </c>
      <c r="P9628" t="s">
        <v>19899</v>
      </c>
      <c r="Q9628" t="s">
        <v>19900</v>
      </c>
      <c r="R9628" t="s">
        <v>19447</v>
      </c>
      <c r="S9628" t="s">
        <v>19447</v>
      </c>
      <c r="T9628" t="s">
        <v>19911</v>
      </c>
    </row>
    <row r="9629" spans="2:20" x14ac:dyDescent="0.25">
      <c r="B9629" t="s">
        <v>2709</v>
      </c>
      <c r="C9629">
        <v>86080012</v>
      </c>
      <c r="E9629" t="s">
        <v>19447</v>
      </c>
      <c r="F9629">
        <v>18</v>
      </c>
      <c r="G9629">
        <v>0</v>
      </c>
      <c r="H9629" t="s">
        <v>19447</v>
      </c>
      <c r="I9629" t="s">
        <v>19447</v>
      </c>
      <c r="J9629">
        <v>14</v>
      </c>
      <c r="L9629" t="s">
        <v>2709</v>
      </c>
      <c r="M9629">
        <v>86080012</v>
      </c>
      <c r="O9629" t="s">
        <v>19447</v>
      </c>
      <c r="P9629" t="s">
        <v>19899</v>
      </c>
      <c r="Q9629" t="s">
        <v>19900</v>
      </c>
      <c r="R9629" t="s">
        <v>19447</v>
      </c>
      <c r="S9629" t="s">
        <v>19447</v>
      </c>
      <c r="T9629" t="s">
        <v>19911</v>
      </c>
    </row>
    <row r="9630" spans="2:20" x14ac:dyDescent="0.25">
      <c r="B9630" t="s">
        <v>2709</v>
      </c>
      <c r="C9630">
        <v>86080090</v>
      </c>
      <c r="E9630" t="s">
        <v>19447</v>
      </c>
      <c r="F9630">
        <v>18</v>
      </c>
      <c r="G9630">
        <v>0</v>
      </c>
      <c r="H9630" t="s">
        <v>19447</v>
      </c>
      <c r="I9630" t="s">
        <v>19447</v>
      </c>
      <c r="J9630">
        <v>14</v>
      </c>
      <c r="L9630" t="s">
        <v>2709</v>
      </c>
      <c r="M9630">
        <v>86080090</v>
      </c>
      <c r="O9630" t="s">
        <v>19447</v>
      </c>
      <c r="P9630" t="s">
        <v>19899</v>
      </c>
      <c r="Q9630" t="s">
        <v>19900</v>
      </c>
      <c r="R9630" t="s">
        <v>19447</v>
      </c>
      <c r="S9630" t="s">
        <v>19447</v>
      </c>
      <c r="T9630" t="s">
        <v>19911</v>
      </c>
    </row>
    <row r="9631" spans="2:20" x14ac:dyDescent="0.25">
      <c r="B9631" t="s">
        <v>2709</v>
      </c>
      <c r="C9631">
        <v>86090000</v>
      </c>
      <c r="E9631" t="s">
        <v>19447</v>
      </c>
      <c r="F9631">
        <v>18</v>
      </c>
      <c r="G9631">
        <v>0</v>
      </c>
      <c r="H9631" t="s">
        <v>19447</v>
      </c>
      <c r="I9631" t="s">
        <v>19447</v>
      </c>
      <c r="J9631">
        <v>14</v>
      </c>
      <c r="L9631" t="s">
        <v>2709</v>
      </c>
      <c r="M9631">
        <v>86090000</v>
      </c>
      <c r="O9631" t="s">
        <v>19447</v>
      </c>
      <c r="P9631" t="s">
        <v>19899</v>
      </c>
      <c r="Q9631" t="s">
        <v>19900</v>
      </c>
      <c r="R9631" t="s">
        <v>19447</v>
      </c>
      <c r="S9631" t="s">
        <v>19447</v>
      </c>
      <c r="T9631" t="s">
        <v>19911</v>
      </c>
    </row>
    <row r="9632" spans="2:20" x14ac:dyDescent="0.25">
      <c r="B9632" t="s">
        <v>2709</v>
      </c>
      <c r="C9632">
        <v>87011000</v>
      </c>
      <c r="E9632">
        <v>71.78</v>
      </c>
      <c r="F9632">
        <v>12</v>
      </c>
      <c r="G9632">
        <v>0</v>
      </c>
      <c r="H9632">
        <v>9.6</v>
      </c>
      <c r="I9632">
        <v>2</v>
      </c>
      <c r="J9632">
        <v>14</v>
      </c>
      <c r="L9632" t="s">
        <v>2709</v>
      </c>
      <c r="M9632">
        <v>87011000</v>
      </c>
      <c r="O9632" t="s">
        <v>20056</v>
      </c>
      <c r="P9632" t="s">
        <v>19903</v>
      </c>
      <c r="Q9632" t="s">
        <v>19900</v>
      </c>
      <c r="R9632" t="s">
        <v>20129</v>
      </c>
      <c r="S9632" t="s">
        <v>19901</v>
      </c>
      <c r="T9632" t="s">
        <v>19911</v>
      </c>
    </row>
    <row r="9633" spans="2:20" x14ac:dyDescent="0.25">
      <c r="B9633" t="s">
        <v>2709</v>
      </c>
      <c r="C9633">
        <v>87012000</v>
      </c>
      <c r="E9633">
        <v>71.78</v>
      </c>
      <c r="F9633">
        <v>12</v>
      </c>
      <c r="G9633">
        <v>30</v>
      </c>
      <c r="H9633">
        <v>9.6</v>
      </c>
      <c r="I9633">
        <v>2</v>
      </c>
      <c r="J9633">
        <v>35</v>
      </c>
      <c r="L9633" t="s">
        <v>2709</v>
      </c>
      <c r="M9633">
        <v>87012000</v>
      </c>
      <c r="O9633" t="s">
        <v>20056</v>
      </c>
      <c r="P9633" t="s">
        <v>19903</v>
      </c>
      <c r="Q9633" t="s">
        <v>19933</v>
      </c>
      <c r="R9633" t="s">
        <v>20129</v>
      </c>
      <c r="S9633" t="s">
        <v>19901</v>
      </c>
      <c r="T9633" t="s">
        <v>19919</v>
      </c>
    </row>
    <row r="9634" spans="2:20" x14ac:dyDescent="0.25">
      <c r="B9634" t="s">
        <v>2709</v>
      </c>
      <c r="C9634">
        <v>87013000</v>
      </c>
      <c r="E9634">
        <v>71.78</v>
      </c>
      <c r="F9634">
        <v>12</v>
      </c>
      <c r="G9634">
        <v>0</v>
      </c>
      <c r="H9634">
        <v>9.6</v>
      </c>
      <c r="I9634">
        <v>2</v>
      </c>
      <c r="J9634">
        <v>14</v>
      </c>
      <c r="L9634" t="s">
        <v>2709</v>
      </c>
      <c r="M9634">
        <v>87013000</v>
      </c>
      <c r="O9634" t="s">
        <v>20056</v>
      </c>
      <c r="P9634" t="s">
        <v>19903</v>
      </c>
      <c r="Q9634" t="s">
        <v>19900</v>
      </c>
      <c r="R9634" t="s">
        <v>20129</v>
      </c>
      <c r="S9634" t="s">
        <v>19901</v>
      </c>
      <c r="T9634" t="s">
        <v>19911</v>
      </c>
    </row>
    <row r="9635" spans="2:20" x14ac:dyDescent="0.25">
      <c r="B9635" t="s">
        <v>2709</v>
      </c>
      <c r="C9635">
        <v>87019010</v>
      </c>
      <c r="E9635">
        <v>71.78</v>
      </c>
      <c r="F9635">
        <v>12</v>
      </c>
      <c r="G9635">
        <v>0</v>
      </c>
      <c r="H9635">
        <v>9.6</v>
      </c>
      <c r="I9635">
        <v>2</v>
      </c>
      <c r="J9635">
        <v>0</v>
      </c>
      <c r="L9635" t="s">
        <v>2709</v>
      </c>
      <c r="M9635">
        <v>87019010</v>
      </c>
      <c r="O9635" t="s">
        <v>20056</v>
      </c>
      <c r="P9635" t="s">
        <v>19903</v>
      </c>
      <c r="Q9635" t="s">
        <v>19900</v>
      </c>
      <c r="R9635" t="s">
        <v>20129</v>
      </c>
      <c r="S9635" t="s">
        <v>19901</v>
      </c>
      <c r="T9635" t="s">
        <v>19900</v>
      </c>
    </row>
    <row r="9636" spans="2:20" x14ac:dyDescent="0.25">
      <c r="B9636" t="s">
        <v>2709</v>
      </c>
      <c r="C9636">
        <v>87019090</v>
      </c>
      <c r="E9636">
        <v>71.78</v>
      </c>
      <c r="F9636">
        <v>12</v>
      </c>
      <c r="G9636">
        <v>5</v>
      </c>
      <c r="H9636">
        <v>9.6</v>
      </c>
      <c r="I9636">
        <v>2</v>
      </c>
      <c r="J9636">
        <v>14</v>
      </c>
      <c r="L9636" t="s">
        <v>2709</v>
      </c>
      <c r="M9636">
        <v>87019090</v>
      </c>
      <c r="O9636" t="s">
        <v>20056</v>
      </c>
      <c r="P9636" t="s">
        <v>19903</v>
      </c>
      <c r="Q9636" t="s">
        <v>19909</v>
      </c>
      <c r="R9636" t="s">
        <v>20129</v>
      </c>
      <c r="S9636" t="s">
        <v>19901</v>
      </c>
      <c r="T9636" t="s">
        <v>19911</v>
      </c>
    </row>
    <row r="9637" spans="2:20" x14ac:dyDescent="0.25">
      <c r="B9637" t="s">
        <v>2709</v>
      </c>
      <c r="C9637">
        <v>87019090</v>
      </c>
      <c r="D9637">
        <v>1</v>
      </c>
      <c r="E9637" t="s">
        <v>19447</v>
      </c>
      <c r="F9637">
        <v>18</v>
      </c>
      <c r="G9637">
        <v>0</v>
      </c>
      <c r="H9637">
        <v>7.6</v>
      </c>
      <c r="I9637">
        <v>1.65</v>
      </c>
      <c r="J9637">
        <v>14</v>
      </c>
      <c r="L9637" t="s">
        <v>2709</v>
      </c>
      <c r="M9637">
        <v>87019090</v>
      </c>
      <c r="N9637">
        <v>1</v>
      </c>
      <c r="O9637" t="s">
        <v>19447</v>
      </c>
      <c r="P9637" t="s">
        <v>19899</v>
      </c>
      <c r="Q9637" t="s">
        <v>19900</v>
      </c>
      <c r="R9637" t="s">
        <v>19905</v>
      </c>
      <c r="S9637" t="s">
        <v>19906</v>
      </c>
      <c r="T9637" t="s">
        <v>19911</v>
      </c>
    </row>
    <row r="9638" spans="2:20" x14ac:dyDescent="0.25">
      <c r="B9638" t="s">
        <v>2709</v>
      </c>
      <c r="C9638">
        <v>87021000</v>
      </c>
      <c r="E9638">
        <v>30</v>
      </c>
      <c r="F9638">
        <v>12</v>
      </c>
      <c r="G9638">
        <v>55</v>
      </c>
      <c r="H9638">
        <v>9.6</v>
      </c>
      <c r="I9638">
        <v>2</v>
      </c>
      <c r="J9638">
        <v>35</v>
      </c>
      <c r="L9638" t="s">
        <v>2709</v>
      </c>
      <c r="M9638">
        <v>87021000</v>
      </c>
      <c r="O9638" t="s">
        <v>19933</v>
      </c>
      <c r="P9638" t="s">
        <v>19903</v>
      </c>
      <c r="Q9638" t="s">
        <v>19921</v>
      </c>
      <c r="R9638" t="s">
        <v>20129</v>
      </c>
      <c r="S9638" t="s">
        <v>19901</v>
      </c>
      <c r="T9638" t="s">
        <v>19919</v>
      </c>
    </row>
    <row r="9639" spans="2:20" x14ac:dyDescent="0.25">
      <c r="B9639" t="s">
        <v>2709</v>
      </c>
      <c r="C9639">
        <v>87021000</v>
      </c>
      <c r="D9639">
        <v>1</v>
      </c>
      <c r="E9639" t="s">
        <v>19447</v>
      </c>
      <c r="F9639">
        <v>18</v>
      </c>
      <c r="G9639">
        <v>40</v>
      </c>
      <c r="H9639">
        <v>7.6</v>
      </c>
      <c r="I9639">
        <v>1.65</v>
      </c>
      <c r="J9639">
        <v>35</v>
      </c>
      <c r="L9639" t="s">
        <v>2709</v>
      </c>
      <c r="M9639">
        <v>87021000</v>
      </c>
      <c r="N9639">
        <v>1</v>
      </c>
      <c r="O9639" t="s">
        <v>19447</v>
      </c>
      <c r="P9639" t="s">
        <v>19899</v>
      </c>
      <c r="Q9639" t="s">
        <v>19922</v>
      </c>
      <c r="R9639" t="s">
        <v>19905</v>
      </c>
      <c r="S9639" t="s">
        <v>19906</v>
      </c>
      <c r="T9639" t="s">
        <v>19919</v>
      </c>
    </row>
    <row r="9640" spans="2:20" x14ac:dyDescent="0.25">
      <c r="B9640" t="s">
        <v>2709</v>
      </c>
      <c r="C9640">
        <v>87021000</v>
      </c>
      <c r="D9640">
        <v>2</v>
      </c>
      <c r="E9640" t="s">
        <v>19447</v>
      </c>
      <c r="F9640">
        <v>18</v>
      </c>
      <c r="G9640">
        <v>0</v>
      </c>
      <c r="H9640">
        <v>7.6</v>
      </c>
      <c r="I9640">
        <v>1.65</v>
      </c>
      <c r="J9640">
        <v>35</v>
      </c>
      <c r="L9640" t="s">
        <v>2709</v>
      </c>
      <c r="M9640">
        <v>87021000</v>
      </c>
      <c r="N9640">
        <v>2</v>
      </c>
      <c r="O9640" t="s">
        <v>19447</v>
      </c>
      <c r="P9640" t="s">
        <v>19899</v>
      </c>
      <c r="Q9640" t="s">
        <v>19900</v>
      </c>
      <c r="R9640" t="s">
        <v>19905</v>
      </c>
      <c r="S9640" t="s">
        <v>19906</v>
      </c>
      <c r="T9640" t="s">
        <v>19919</v>
      </c>
    </row>
    <row r="9641" spans="2:20" x14ac:dyDescent="0.25">
      <c r="B9641" t="s">
        <v>2709</v>
      </c>
      <c r="C9641">
        <v>87029010</v>
      </c>
      <c r="E9641">
        <v>71.78</v>
      </c>
      <c r="F9641">
        <v>12</v>
      </c>
      <c r="G9641">
        <v>0</v>
      </c>
      <c r="H9641">
        <v>9.6</v>
      </c>
      <c r="I9641">
        <v>2</v>
      </c>
      <c r="J9641">
        <v>35</v>
      </c>
      <c r="L9641" t="s">
        <v>2709</v>
      </c>
      <c r="M9641">
        <v>87029010</v>
      </c>
      <c r="O9641" t="s">
        <v>20056</v>
      </c>
      <c r="P9641" t="s">
        <v>19903</v>
      </c>
      <c r="Q9641" t="s">
        <v>19900</v>
      </c>
      <c r="R9641" t="s">
        <v>20129</v>
      </c>
      <c r="S9641" t="s">
        <v>19901</v>
      </c>
      <c r="T9641" t="s">
        <v>19919</v>
      </c>
    </row>
    <row r="9642" spans="2:20" x14ac:dyDescent="0.25">
      <c r="B9642" t="s">
        <v>2709</v>
      </c>
      <c r="C9642">
        <v>87029090</v>
      </c>
      <c r="E9642">
        <v>30</v>
      </c>
      <c r="F9642">
        <v>12</v>
      </c>
      <c r="G9642">
        <v>55</v>
      </c>
      <c r="H9642">
        <v>9.6</v>
      </c>
      <c r="I9642">
        <v>2</v>
      </c>
      <c r="J9642">
        <v>35</v>
      </c>
      <c r="L9642" t="s">
        <v>2709</v>
      </c>
      <c r="M9642">
        <v>87029090</v>
      </c>
      <c r="O9642" t="s">
        <v>19933</v>
      </c>
      <c r="P9642" t="s">
        <v>19903</v>
      </c>
      <c r="Q9642" t="s">
        <v>19921</v>
      </c>
      <c r="R9642" t="s">
        <v>20129</v>
      </c>
      <c r="S9642" t="s">
        <v>19901</v>
      </c>
      <c r="T9642" t="s">
        <v>19919</v>
      </c>
    </row>
    <row r="9643" spans="2:20" x14ac:dyDescent="0.25">
      <c r="B9643" t="s">
        <v>2709</v>
      </c>
      <c r="C9643">
        <v>87029090</v>
      </c>
      <c r="D9643">
        <v>1</v>
      </c>
      <c r="E9643" t="s">
        <v>19447</v>
      </c>
      <c r="F9643">
        <v>18</v>
      </c>
      <c r="G9643">
        <v>40</v>
      </c>
      <c r="H9643">
        <v>7.6</v>
      </c>
      <c r="I9643">
        <v>1.65</v>
      </c>
      <c r="J9643">
        <v>35</v>
      </c>
      <c r="L9643" t="s">
        <v>2709</v>
      </c>
      <c r="M9643">
        <v>87029090</v>
      </c>
      <c r="N9643">
        <v>1</v>
      </c>
      <c r="O9643" t="s">
        <v>19447</v>
      </c>
      <c r="P9643" t="s">
        <v>19899</v>
      </c>
      <c r="Q9643" t="s">
        <v>19922</v>
      </c>
      <c r="R9643" t="s">
        <v>19905</v>
      </c>
      <c r="S9643" t="s">
        <v>19906</v>
      </c>
      <c r="T9643" t="s">
        <v>19919</v>
      </c>
    </row>
    <row r="9644" spans="2:20" x14ac:dyDescent="0.25">
      <c r="B9644" t="s">
        <v>2709</v>
      </c>
      <c r="C9644">
        <v>87029090</v>
      </c>
      <c r="D9644">
        <v>2</v>
      </c>
      <c r="E9644" t="s">
        <v>19447</v>
      </c>
      <c r="F9644">
        <v>18</v>
      </c>
      <c r="G9644">
        <v>0</v>
      </c>
      <c r="H9644">
        <v>7.6</v>
      </c>
      <c r="I9644">
        <v>1.65</v>
      </c>
      <c r="J9644">
        <v>35</v>
      </c>
      <c r="L9644" t="s">
        <v>2709</v>
      </c>
      <c r="M9644">
        <v>87029090</v>
      </c>
      <c r="N9644">
        <v>2</v>
      </c>
      <c r="O9644" t="s">
        <v>19447</v>
      </c>
      <c r="P9644" t="s">
        <v>19899</v>
      </c>
      <c r="Q9644" t="s">
        <v>19900</v>
      </c>
      <c r="R9644" t="s">
        <v>19905</v>
      </c>
      <c r="S9644" t="s">
        <v>19906</v>
      </c>
      <c r="T9644" t="s">
        <v>19919</v>
      </c>
    </row>
    <row r="9645" spans="2:20" x14ac:dyDescent="0.25">
      <c r="B9645" t="s">
        <v>2709</v>
      </c>
      <c r="C9645">
        <v>87031000</v>
      </c>
      <c r="E9645">
        <v>71.78</v>
      </c>
      <c r="F9645">
        <v>12</v>
      </c>
      <c r="G9645">
        <v>45</v>
      </c>
      <c r="H9645">
        <v>9.6</v>
      </c>
      <c r="I9645">
        <v>2</v>
      </c>
      <c r="J9645">
        <v>35</v>
      </c>
      <c r="L9645" t="s">
        <v>2709</v>
      </c>
      <c r="M9645">
        <v>87031000</v>
      </c>
      <c r="O9645" t="s">
        <v>20056</v>
      </c>
      <c r="P9645" t="s">
        <v>19903</v>
      </c>
      <c r="Q9645" t="s">
        <v>19999</v>
      </c>
      <c r="R9645" t="s">
        <v>20129</v>
      </c>
      <c r="S9645" t="s">
        <v>19901</v>
      </c>
      <c r="T9645" t="s">
        <v>19919</v>
      </c>
    </row>
    <row r="9646" spans="2:20" x14ac:dyDescent="0.25">
      <c r="B9646" t="s">
        <v>2709</v>
      </c>
      <c r="C9646">
        <v>87032100</v>
      </c>
      <c r="E9646">
        <v>30</v>
      </c>
      <c r="F9646">
        <v>12</v>
      </c>
      <c r="G9646">
        <v>33</v>
      </c>
      <c r="H9646">
        <v>9.6</v>
      </c>
      <c r="I9646">
        <v>2</v>
      </c>
      <c r="J9646">
        <v>35</v>
      </c>
      <c r="L9646" t="s">
        <v>2709</v>
      </c>
      <c r="M9646">
        <v>87032100</v>
      </c>
      <c r="O9646" t="s">
        <v>19933</v>
      </c>
      <c r="P9646" t="s">
        <v>19903</v>
      </c>
      <c r="Q9646" t="s">
        <v>19910</v>
      </c>
      <c r="R9646" t="s">
        <v>20129</v>
      </c>
      <c r="S9646" t="s">
        <v>19901</v>
      </c>
      <c r="T9646" t="s">
        <v>19919</v>
      </c>
    </row>
    <row r="9647" spans="2:20" x14ac:dyDescent="0.25">
      <c r="B9647" t="s">
        <v>2709</v>
      </c>
      <c r="C9647">
        <v>87032210</v>
      </c>
      <c r="E9647">
        <v>30</v>
      </c>
      <c r="F9647">
        <v>12</v>
      </c>
      <c r="G9647">
        <v>40</v>
      </c>
      <c r="H9647">
        <v>9.6</v>
      </c>
      <c r="I9647">
        <v>2</v>
      </c>
      <c r="J9647">
        <v>35</v>
      </c>
      <c r="L9647" t="s">
        <v>2709</v>
      </c>
      <c r="M9647">
        <v>87032210</v>
      </c>
      <c r="O9647" t="s">
        <v>19933</v>
      </c>
      <c r="P9647" t="s">
        <v>19903</v>
      </c>
      <c r="Q9647" t="s">
        <v>19922</v>
      </c>
      <c r="R9647" t="s">
        <v>20129</v>
      </c>
      <c r="S9647" t="s">
        <v>19901</v>
      </c>
      <c r="T9647" t="s">
        <v>19919</v>
      </c>
    </row>
    <row r="9648" spans="2:20" x14ac:dyDescent="0.25">
      <c r="B9648" t="s">
        <v>2709</v>
      </c>
      <c r="C9648">
        <v>87032290</v>
      </c>
      <c r="E9648">
        <v>30</v>
      </c>
      <c r="F9648">
        <v>12</v>
      </c>
      <c r="G9648">
        <v>40</v>
      </c>
      <c r="H9648">
        <v>9.6</v>
      </c>
      <c r="I9648">
        <v>2</v>
      </c>
      <c r="J9648">
        <v>35</v>
      </c>
      <c r="L9648" t="s">
        <v>2709</v>
      </c>
      <c r="M9648">
        <v>87032290</v>
      </c>
      <c r="O9648" t="s">
        <v>19933</v>
      </c>
      <c r="P9648" t="s">
        <v>19903</v>
      </c>
      <c r="Q9648" t="s">
        <v>19922</v>
      </c>
      <c r="R9648" t="s">
        <v>20129</v>
      </c>
      <c r="S9648" t="s">
        <v>19901</v>
      </c>
      <c r="T9648" t="s">
        <v>19919</v>
      </c>
    </row>
    <row r="9649" spans="2:20" x14ac:dyDescent="0.25">
      <c r="B9649" t="s">
        <v>2709</v>
      </c>
      <c r="C9649">
        <v>87032310</v>
      </c>
      <c r="E9649">
        <v>30</v>
      </c>
      <c r="F9649">
        <v>12</v>
      </c>
      <c r="G9649">
        <v>55</v>
      </c>
      <c r="H9649">
        <v>9.6</v>
      </c>
      <c r="I9649">
        <v>2</v>
      </c>
      <c r="J9649">
        <v>35</v>
      </c>
      <c r="L9649" t="s">
        <v>2709</v>
      </c>
      <c r="M9649">
        <v>87032310</v>
      </c>
      <c r="O9649" t="s">
        <v>19933</v>
      </c>
      <c r="P9649" t="s">
        <v>19903</v>
      </c>
      <c r="Q9649" t="s">
        <v>19921</v>
      </c>
      <c r="R9649" t="s">
        <v>20129</v>
      </c>
      <c r="S9649" t="s">
        <v>19901</v>
      </c>
      <c r="T9649" t="s">
        <v>19919</v>
      </c>
    </row>
    <row r="9650" spans="2:20" x14ac:dyDescent="0.25">
      <c r="B9650" t="s">
        <v>2709</v>
      </c>
      <c r="C9650">
        <v>87032310</v>
      </c>
      <c r="D9650">
        <v>1</v>
      </c>
      <c r="E9650" t="s">
        <v>19447</v>
      </c>
      <c r="F9650">
        <v>18</v>
      </c>
      <c r="G9650">
        <v>40</v>
      </c>
      <c r="H9650">
        <v>7.6</v>
      </c>
      <c r="I9650">
        <v>1.65</v>
      </c>
      <c r="J9650">
        <v>35</v>
      </c>
      <c r="L9650" t="s">
        <v>2709</v>
      </c>
      <c r="M9650">
        <v>87032310</v>
      </c>
      <c r="N9650">
        <v>1</v>
      </c>
      <c r="O9650" t="s">
        <v>19447</v>
      </c>
      <c r="P9650" t="s">
        <v>19899</v>
      </c>
      <c r="Q9650" t="s">
        <v>19922</v>
      </c>
      <c r="R9650" t="s">
        <v>19905</v>
      </c>
      <c r="S9650" t="s">
        <v>19906</v>
      </c>
      <c r="T9650" t="s">
        <v>19919</v>
      </c>
    </row>
    <row r="9651" spans="2:20" x14ac:dyDescent="0.25">
      <c r="B9651" t="s">
        <v>2709</v>
      </c>
      <c r="C9651">
        <v>87032390</v>
      </c>
      <c r="E9651">
        <v>30</v>
      </c>
      <c r="F9651">
        <v>12</v>
      </c>
      <c r="G9651">
        <v>55</v>
      </c>
      <c r="H9651">
        <v>9.6</v>
      </c>
      <c r="I9651">
        <v>2</v>
      </c>
      <c r="J9651">
        <v>35</v>
      </c>
      <c r="L9651" t="s">
        <v>2709</v>
      </c>
      <c r="M9651">
        <v>87032390</v>
      </c>
      <c r="O9651" t="s">
        <v>19933</v>
      </c>
      <c r="P9651" t="s">
        <v>19903</v>
      </c>
      <c r="Q9651" t="s">
        <v>19921</v>
      </c>
      <c r="R9651" t="s">
        <v>20129</v>
      </c>
      <c r="S9651" t="s">
        <v>19901</v>
      </c>
      <c r="T9651" t="s">
        <v>19919</v>
      </c>
    </row>
    <row r="9652" spans="2:20" x14ac:dyDescent="0.25">
      <c r="B9652" t="s">
        <v>2709</v>
      </c>
      <c r="C9652">
        <v>87032390</v>
      </c>
      <c r="D9652">
        <v>1</v>
      </c>
      <c r="E9652" t="s">
        <v>19447</v>
      </c>
      <c r="F9652">
        <v>18</v>
      </c>
      <c r="G9652">
        <v>40</v>
      </c>
      <c r="H9652">
        <v>7.6</v>
      </c>
      <c r="I9652">
        <v>1.65</v>
      </c>
      <c r="J9652">
        <v>35</v>
      </c>
      <c r="L9652" t="s">
        <v>2709</v>
      </c>
      <c r="M9652">
        <v>87032390</v>
      </c>
      <c r="N9652">
        <v>1</v>
      </c>
      <c r="O9652" t="s">
        <v>19447</v>
      </c>
      <c r="P9652" t="s">
        <v>19899</v>
      </c>
      <c r="Q9652" t="s">
        <v>19922</v>
      </c>
      <c r="R9652" t="s">
        <v>19905</v>
      </c>
      <c r="S9652" t="s">
        <v>19906</v>
      </c>
      <c r="T9652" t="s">
        <v>19919</v>
      </c>
    </row>
    <row r="9653" spans="2:20" x14ac:dyDescent="0.25">
      <c r="B9653" t="s">
        <v>2709</v>
      </c>
      <c r="C9653">
        <v>87032410</v>
      </c>
      <c r="E9653">
        <v>30</v>
      </c>
      <c r="F9653">
        <v>12</v>
      </c>
      <c r="G9653">
        <v>55</v>
      </c>
      <c r="H9653">
        <v>9.6</v>
      </c>
      <c r="I9653">
        <v>2</v>
      </c>
      <c r="J9653">
        <v>35</v>
      </c>
      <c r="L9653" t="s">
        <v>2709</v>
      </c>
      <c r="M9653">
        <v>87032410</v>
      </c>
      <c r="O9653" t="s">
        <v>19933</v>
      </c>
      <c r="P9653" t="s">
        <v>19903</v>
      </c>
      <c r="Q9653" t="s">
        <v>19921</v>
      </c>
      <c r="R9653" t="s">
        <v>20129</v>
      </c>
      <c r="S9653" t="s">
        <v>19901</v>
      </c>
      <c r="T9653" t="s">
        <v>19919</v>
      </c>
    </row>
    <row r="9654" spans="2:20" x14ac:dyDescent="0.25">
      <c r="B9654" t="s">
        <v>2709</v>
      </c>
      <c r="C9654">
        <v>87032490</v>
      </c>
      <c r="E9654">
        <v>30</v>
      </c>
      <c r="F9654">
        <v>12</v>
      </c>
      <c r="G9654">
        <v>55</v>
      </c>
      <c r="H9654">
        <v>9.6</v>
      </c>
      <c r="I9654">
        <v>2</v>
      </c>
      <c r="J9654">
        <v>35</v>
      </c>
      <c r="L9654" t="s">
        <v>2709</v>
      </c>
      <c r="M9654">
        <v>87032490</v>
      </c>
      <c r="O9654" t="s">
        <v>19933</v>
      </c>
      <c r="P9654" t="s">
        <v>19903</v>
      </c>
      <c r="Q9654" t="s">
        <v>19921</v>
      </c>
      <c r="R9654" t="s">
        <v>20129</v>
      </c>
      <c r="S9654" t="s">
        <v>19901</v>
      </c>
      <c r="T9654" t="s">
        <v>19919</v>
      </c>
    </row>
    <row r="9655" spans="2:20" x14ac:dyDescent="0.25">
      <c r="B9655" t="s">
        <v>2709</v>
      </c>
      <c r="C9655">
        <v>87033110</v>
      </c>
      <c r="E9655">
        <v>71.78</v>
      </c>
      <c r="F9655">
        <v>12</v>
      </c>
      <c r="G9655">
        <v>55</v>
      </c>
      <c r="H9655">
        <v>9.6</v>
      </c>
      <c r="I9655">
        <v>2</v>
      </c>
      <c r="J9655">
        <v>35</v>
      </c>
      <c r="L9655" t="s">
        <v>2709</v>
      </c>
      <c r="M9655">
        <v>87033110</v>
      </c>
      <c r="O9655" t="s">
        <v>20056</v>
      </c>
      <c r="P9655" t="s">
        <v>19903</v>
      </c>
      <c r="Q9655" t="s">
        <v>19921</v>
      </c>
      <c r="R9655" t="s">
        <v>20129</v>
      </c>
      <c r="S9655" t="s">
        <v>19901</v>
      </c>
      <c r="T9655" t="s">
        <v>19919</v>
      </c>
    </row>
    <row r="9656" spans="2:20" x14ac:dyDescent="0.25">
      <c r="B9656" t="s">
        <v>2709</v>
      </c>
      <c r="C9656">
        <v>87033190</v>
      </c>
      <c r="E9656">
        <v>71.78</v>
      </c>
      <c r="F9656">
        <v>12</v>
      </c>
      <c r="G9656">
        <v>55</v>
      </c>
      <c r="H9656">
        <v>9.6</v>
      </c>
      <c r="I9656">
        <v>2</v>
      </c>
      <c r="J9656">
        <v>35</v>
      </c>
      <c r="L9656" t="s">
        <v>2709</v>
      </c>
      <c r="M9656">
        <v>87033190</v>
      </c>
      <c r="O9656" t="s">
        <v>20056</v>
      </c>
      <c r="P9656" t="s">
        <v>19903</v>
      </c>
      <c r="Q9656" t="s">
        <v>19921</v>
      </c>
      <c r="R9656" t="s">
        <v>20129</v>
      </c>
      <c r="S9656" t="s">
        <v>19901</v>
      </c>
      <c r="T9656" t="s">
        <v>19919</v>
      </c>
    </row>
    <row r="9657" spans="2:20" x14ac:dyDescent="0.25">
      <c r="B9657" t="s">
        <v>2709</v>
      </c>
      <c r="C9657">
        <v>87033210</v>
      </c>
      <c r="E9657">
        <v>30</v>
      </c>
      <c r="F9657">
        <v>12</v>
      </c>
      <c r="G9657">
        <v>55</v>
      </c>
      <c r="H9657">
        <v>9.6</v>
      </c>
      <c r="I9657">
        <v>2</v>
      </c>
      <c r="J9657">
        <v>35</v>
      </c>
      <c r="L9657" t="s">
        <v>2709</v>
      </c>
      <c r="M9657">
        <v>87033210</v>
      </c>
      <c r="O9657" t="s">
        <v>19933</v>
      </c>
      <c r="P9657" t="s">
        <v>19903</v>
      </c>
      <c r="Q9657" t="s">
        <v>19921</v>
      </c>
      <c r="R9657" t="s">
        <v>20129</v>
      </c>
      <c r="S9657" t="s">
        <v>19901</v>
      </c>
      <c r="T9657" t="s">
        <v>19919</v>
      </c>
    </row>
    <row r="9658" spans="2:20" x14ac:dyDescent="0.25">
      <c r="B9658" t="s">
        <v>2709</v>
      </c>
      <c r="C9658">
        <v>87033290</v>
      </c>
      <c r="E9658">
        <v>30</v>
      </c>
      <c r="F9658">
        <v>12</v>
      </c>
      <c r="G9658">
        <v>55</v>
      </c>
      <c r="H9658">
        <v>9.6</v>
      </c>
      <c r="I9658">
        <v>2</v>
      </c>
      <c r="J9658">
        <v>35</v>
      </c>
      <c r="L9658" t="s">
        <v>2709</v>
      </c>
      <c r="M9658">
        <v>87033290</v>
      </c>
      <c r="O9658" t="s">
        <v>19933</v>
      </c>
      <c r="P9658" t="s">
        <v>19903</v>
      </c>
      <c r="Q9658" t="s">
        <v>19921</v>
      </c>
      <c r="R9658" t="s">
        <v>20129</v>
      </c>
      <c r="S9658" t="s">
        <v>19901</v>
      </c>
      <c r="T9658" t="s">
        <v>19919</v>
      </c>
    </row>
    <row r="9659" spans="2:20" x14ac:dyDescent="0.25">
      <c r="B9659" t="s">
        <v>2709</v>
      </c>
      <c r="C9659">
        <v>87033310</v>
      </c>
      <c r="E9659">
        <v>30</v>
      </c>
      <c r="F9659">
        <v>12</v>
      </c>
      <c r="G9659">
        <v>55</v>
      </c>
      <c r="H9659">
        <v>9.6</v>
      </c>
      <c r="I9659">
        <v>2</v>
      </c>
      <c r="J9659">
        <v>35</v>
      </c>
      <c r="L9659" t="s">
        <v>2709</v>
      </c>
      <c r="M9659">
        <v>87033310</v>
      </c>
      <c r="O9659" t="s">
        <v>19933</v>
      </c>
      <c r="P9659" t="s">
        <v>19903</v>
      </c>
      <c r="Q9659" t="s">
        <v>19921</v>
      </c>
      <c r="R9659" t="s">
        <v>20129</v>
      </c>
      <c r="S9659" t="s">
        <v>19901</v>
      </c>
      <c r="T9659" t="s">
        <v>19919</v>
      </c>
    </row>
    <row r="9660" spans="2:20" x14ac:dyDescent="0.25">
      <c r="B9660" t="s">
        <v>2709</v>
      </c>
      <c r="C9660">
        <v>87033390</v>
      </c>
      <c r="E9660">
        <v>30</v>
      </c>
      <c r="F9660">
        <v>12</v>
      </c>
      <c r="G9660">
        <v>55</v>
      </c>
      <c r="H9660">
        <v>9.6</v>
      </c>
      <c r="I9660">
        <v>2</v>
      </c>
      <c r="J9660">
        <v>35</v>
      </c>
      <c r="L9660" t="s">
        <v>2709</v>
      </c>
      <c r="M9660">
        <v>87033390</v>
      </c>
      <c r="O9660" t="s">
        <v>19933</v>
      </c>
      <c r="P9660" t="s">
        <v>19903</v>
      </c>
      <c r="Q9660" t="s">
        <v>19921</v>
      </c>
      <c r="R9660" t="s">
        <v>20129</v>
      </c>
      <c r="S9660" t="s">
        <v>19901</v>
      </c>
      <c r="T9660" t="s">
        <v>19919</v>
      </c>
    </row>
    <row r="9661" spans="2:20" x14ac:dyDescent="0.25">
      <c r="B9661" t="s">
        <v>2709</v>
      </c>
      <c r="C9661">
        <v>87039000</v>
      </c>
      <c r="E9661">
        <v>71.78</v>
      </c>
      <c r="F9661">
        <v>12</v>
      </c>
      <c r="G9661">
        <v>25</v>
      </c>
      <c r="H9661">
        <v>9.6</v>
      </c>
      <c r="I9661">
        <v>2</v>
      </c>
      <c r="J9661">
        <v>35</v>
      </c>
      <c r="L9661" t="s">
        <v>2709</v>
      </c>
      <c r="M9661">
        <v>87039000</v>
      </c>
      <c r="O9661" t="s">
        <v>20056</v>
      </c>
      <c r="P9661" t="s">
        <v>19903</v>
      </c>
      <c r="Q9661" t="s">
        <v>19982</v>
      </c>
      <c r="R9661" t="s">
        <v>20129</v>
      </c>
      <c r="S9661" t="s">
        <v>19901</v>
      </c>
      <c r="T9661" t="s">
        <v>19919</v>
      </c>
    </row>
    <row r="9662" spans="2:20" x14ac:dyDescent="0.25">
      <c r="B9662" t="s">
        <v>2709</v>
      </c>
      <c r="C9662">
        <v>87041010</v>
      </c>
      <c r="E9662">
        <v>71.78</v>
      </c>
      <c r="F9662">
        <v>12</v>
      </c>
      <c r="G9662">
        <v>0</v>
      </c>
      <c r="H9662">
        <v>9.6</v>
      </c>
      <c r="I9662">
        <v>2</v>
      </c>
      <c r="J9662">
        <v>0</v>
      </c>
      <c r="L9662" t="s">
        <v>2709</v>
      </c>
      <c r="M9662">
        <v>87041010</v>
      </c>
      <c r="O9662" t="s">
        <v>20056</v>
      </c>
      <c r="P9662" t="s">
        <v>19903</v>
      </c>
      <c r="Q9662" t="s">
        <v>19900</v>
      </c>
      <c r="R9662" t="s">
        <v>20129</v>
      </c>
      <c r="S9662" t="s">
        <v>19901</v>
      </c>
      <c r="T9662" t="s">
        <v>19900</v>
      </c>
    </row>
    <row r="9663" spans="2:20" x14ac:dyDescent="0.25">
      <c r="B9663" t="s">
        <v>2709</v>
      </c>
      <c r="C9663">
        <v>87041090</v>
      </c>
      <c r="E9663">
        <v>71.78</v>
      </c>
      <c r="F9663">
        <v>12</v>
      </c>
      <c r="G9663">
        <v>0</v>
      </c>
      <c r="H9663">
        <v>9.6</v>
      </c>
      <c r="I9663">
        <v>2</v>
      </c>
      <c r="J9663">
        <v>14</v>
      </c>
      <c r="L9663" t="s">
        <v>2709</v>
      </c>
      <c r="M9663">
        <v>87041090</v>
      </c>
      <c r="O9663" t="s">
        <v>20056</v>
      </c>
      <c r="P9663" t="s">
        <v>19903</v>
      </c>
      <c r="Q9663" t="s">
        <v>19900</v>
      </c>
      <c r="R9663" t="s">
        <v>20129</v>
      </c>
      <c r="S9663" t="s">
        <v>19901</v>
      </c>
      <c r="T9663" t="s">
        <v>19911</v>
      </c>
    </row>
    <row r="9664" spans="2:20" x14ac:dyDescent="0.25">
      <c r="B9664" t="s">
        <v>2709</v>
      </c>
      <c r="C9664">
        <v>87042110</v>
      </c>
      <c r="E9664">
        <v>30</v>
      </c>
      <c r="F9664">
        <v>12</v>
      </c>
      <c r="G9664">
        <v>30</v>
      </c>
      <c r="H9664">
        <v>9.6</v>
      </c>
      <c r="I9664">
        <v>2</v>
      </c>
      <c r="J9664">
        <v>35</v>
      </c>
      <c r="L9664" t="s">
        <v>2709</v>
      </c>
      <c r="M9664">
        <v>87042110</v>
      </c>
      <c r="O9664" t="s">
        <v>19933</v>
      </c>
      <c r="P9664" t="s">
        <v>19903</v>
      </c>
      <c r="Q9664" t="s">
        <v>19933</v>
      </c>
      <c r="R9664" t="s">
        <v>20129</v>
      </c>
      <c r="S9664" t="s">
        <v>19901</v>
      </c>
      <c r="T9664" t="s">
        <v>19919</v>
      </c>
    </row>
    <row r="9665" spans="2:20" x14ac:dyDescent="0.25">
      <c r="B9665" t="s">
        <v>2709</v>
      </c>
      <c r="C9665">
        <v>87042110</v>
      </c>
      <c r="D9665">
        <v>1</v>
      </c>
      <c r="E9665" t="s">
        <v>19447</v>
      </c>
      <c r="F9665">
        <v>18</v>
      </c>
      <c r="G9665">
        <v>33</v>
      </c>
      <c r="H9665">
        <v>7.6</v>
      </c>
      <c r="I9665">
        <v>1.65</v>
      </c>
      <c r="J9665">
        <v>35</v>
      </c>
      <c r="L9665" t="s">
        <v>2709</v>
      </c>
      <c r="M9665">
        <v>87042110</v>
      </c>
      <c r="N9665">
        <v>1</v>
      </c>
      <c r="O9665" t="s">
        <v>19447</v>
      </c>
      <c r="P9665" t="s">
        <v>19899</v>
      </c>
      <c r="Q9665" t="s">
        <v>19910</v>
      </c>
      <c r="R9665" t="s">
        <v>19905</v>
      </c>
      <c r="S9665" t="s">
        <v>19906</v>
      </c>
      <c r="T9665" t="s">
        <v>19919</v>
      </c>
    </row>
    <row r="9666" spans="2:20" x14ac:dyDescent="0.25">
      <c r="B9666" t="s">
        <v>2709</v>
      </c>
      <c r="C9666">
        <v>87042120</v>
      </c>
      <c r="E9666">
        <v>30</v>
      </c>
      <c r="F9666">
        <v>12</v>
      </c>
      <c r="G9666">
        <v>30</v>
      </c>
      <c r="H9666">
        <v>9.6</v>
      </c>
      <c r="I9666">
        <v>2</v>
      </c>
      <c r="J9666">
        <v>35</v>
      </c>
      <c r="L9666" t="s">
        <v>2709</v>
      </c>
      <c r="M9666">
        <v>87042120</v>
      </c>
      <c r="O9666" t="s">
        <v>19933</v>
      </c>
      <c r="P9666" t="s">
        <v>19903</v>
      </c>
      <c r="Q9666" t="s">
        <v>19933</v>
      </c>
      <c r="R9666" t="s">
        <v>20129</v>
      </c>
      <c r="S9666" t="s">
        <v>19901</v>
      </c>
      <c r="T9666" t="s">
        <v>19919</v>
      </c>
    </row>
    <row r="9667" spans="2:20" x14ac:dyDescent="0.25">
      <c r="B9667" t="s">
        <v>2709</v>
      </c>
      <c r="C9667">
        <v>87042120</v>
      </c>
      <c r="D9667">
        <v>1</v>
      </c>
      <c r="E9667" t="s">
        <v>19447</v>
      </c>
      <c r="F9667">
        <v>18</v>
      </c>
      <c r="G9667">
        <v>33</v>
      </c>
      <c r="H9667">
        <v>7.6</v>
      </c>
      <c r="I9667">
        <v>1.65</v>
      </c>
      <c r="J9667">
        <v>35</v>
      </c>
      <c r="L9667" t="s">
        <v>2709</v>
      </c>
      <c r="M9667">
        <v>87042120</v>
      </c>
      <c r="N9667">
        <v>1</v>
      </c>
      <c r="O9667" t="s">
        <v>19447</v>
      </c>
      <c r="P9667" t="s">
        <v>19899</v>
      </c>
      <c r="Q9667" t="s">
        <v>19910</v>
      </c>
      <c r="R9667" t="s">
        <v>19905</v>
      </c>
      <c r="S9667" t="s">
        <v>19906</v>
      </c>
      <c r="T9667" t="s">
        <v>19919</v>
      </c>
    </row>
    <row r="9668" spans="2:20" x14ac:dyDescent="0.25">
      <c r="B9668" t="s">
        <v>2709</v>
      </c>
      <c r="C9668">
        <v>87042130</v>
      </c>
      <c r="E9668">
        <v>30</v>
      </c>
      <c r="F9668">
        <v>12</v>
      </c>
      <c r="G9668">
        <v>30</v>
      </c>
      <c r="H9668">
        <v>9.6</v>
      </c>
      <c r="I9668">
        <v>2</v>
      </c>
      <c r="J9668">
        <v>35</v>
      </c>
      <c r="L9668" t="s">
        <v>2709</v>
      </c>
      <c r="M9668">
        <v>87042130</v>
      </c>
      <c r="O9668" t="s">
        <v>19933</v>
      </c>
      <c r="P9668" t="s">
        <v>19903</v>
      </c>
      <c r="Q9668" t="s">
        <v>19933</v>
      </c>
      <c r="R9668" t="s">
        <v>20129</v>
      </c>
      <c r="S9668" t="s">
        <v>19901</v>
      </c>
      <c r="T9668" t="s">
        <v>19919</v>
      </c>
    </row>
    <row r="9669" spans="2:20" x14ac:dyDescent="0.25">
      <c r="B9669" t="s">
        <v>2709</v>
      </c>
      <c r="C9669">
        <v>87042130</v>
      </c>
      <c r="D9669">
        <v>1</v>
      </c>
      <c r="E9669" t="s">
        <v>19447</v>
      </c>
      <c r="F9669">
        <v>18</v>
      </c>
      <c r="G9669">
        <v>33</v>
      </c>
      <c r="H9669">
        <v>7.6</v>
      </c>
      <c r="I9669">
        <v>1.65</v>
      </c>
      <c r="J9669">
        <v>35</v>
      </c>
      <c r="L9669" t="s">
        <v>2709</v>
      </c>
      <c r="M9669">
        <v>87042130</v>
      </c>
      <c r="N9669">
        <v>1</v>
      </c>
      <c r="O9669" t="s">
        <v>19447</v>
      </c>
      <c r="P9669" t="s">
        <v>19899</v>
      </c>
      <c r="Q9669" t="s">
        <v>19910</v>
      </c>
      <c r="R9669" t="s">
        <v>19905</v>
      </c>
      <c r="S9669" t="s">
        <v>19906</v>
      </c>
      <c r="T9669" t="s">
        <v>19919</v>
      </c>
    </row>
    <row r="9670" spans="2:20" x14ac:dyDescent="0.25">
      <c r="B9670" t="s">
        <v>2709</v>
      </c>
      <c r="C9670">
        <v>87042190</v>
      </c>
      <c r="E9670">
        <v>30</v>
      </c>
      <c r="F9670">
        <v>12</v>
      </c>
      <c r="G9670">
        <v>30</v>
      </c>
      <c r="H9670">
        <v>9.6</v>
      </c>
      <c r="I9670">
        <v>2</v>
      </c>
      <c r="J9670">
        <v>35</v>
      </c>
      <c r="L9670" t="s">
        <v>2709</v>
      </c>
      <c r="M9670">
        <v>87042190</v>
      </c>
      <c r="O9670" t="s">
        <v>19933</v>
      </c>
      <c r="P9670" t="s">
        <v>19903</v>
      </c>
      <c r="Q9670" t="s">
        <v>19933</v>
      </c>
      <c r="R9670" t="s">
        <v>20129</v>
      </c>
      <c r="S9670" t="s">
        <v>19901</v>
      </c>
      <c r="T9670" t="s">
        <v>19919</v>
      </c>
    </row>
    <row r="9671" spans="2:20" x14ac:dyDescent="0.25">
      <c r="B9671" t="s">
        <v>2709</v>
      </c>
      <c r="C9671">
        <v>87042190</v>
      </c>
      <c r="D9671">
        <v>1</v>
      </c>
      <c r="E9671" t="s">
        <v>19447</v>
      </c>
      <c r="F9671">
        <v>18</v>
      </c>
      <c r="G9671">
        <v>33</v>
      </c>
      <c r="H9671">
        <v>7.6</v>
      </c>
      <c r="I9671">
        <v>1.65</v>
      </c>
      <c r="J9671">
        <v>35</v>
      </c>
      <c r="L9671" t="s">
        <v>2709</v>
      </c>
      <c r="M9671">
        <v>87042190</v>
      </c>
      <c r="N9671">
        <v>1</v>
      </c>
      <c r="O9671" t="s">
        <v>19447</v>
      </c>
      <c r="P9671" t="s">
        <v>19899</v>
      </c>
      <c r="Q9671" t="s">
        <v>19910</v>
      </c>
      <c r="R9671" t="s">
        <v>19905</v>
      </c>
      <c r="S9671" t="s">
        <v>19906</v>
      </c>
      <c r="T9671" t="s">
        <v>19919</v>
      </c>
    </row>
    <row r="9672" spans="2:20" x14ac:dyDescent="0.25">
      <c r="B9672" t="s">
        <v>2709</v>
      </c>
      <c r="C9672">
        <v>87042190</v>
      </c>
      <c r="D9672">
        <v>2</v>
      </c>
      <c r="E9672" t="s">
        <v>19447</v>
      </c>
      <c r="F9672">
        <v>18</v>
      </c>
      <c r="G9672">
        <v>40</v>
      </c>
      <c r="H9672">
        <v>7.6</v>
      </c>
      <c r="I9672">
        <v>1.65</v>
      </c>
      <c r="J9672">
        <v>35</v>
      </c>
      <c r="L9672" t="s">
        <v>2709</v>
      </c>
      <c r="M9672">
        <v>87042190</v>
      </c>
      <c r="N9672">
        <v>2</v>
      </c>
      <c r="O9672" t="s">
        <v>19447</v>
      </c>
      <c r="P9672" t="s">
        <v>19899</v>
      </c>
      <c r="Q9672" t="s">
        <v>19922</v>
      </c>
      <c r="R9672" t="s">
        <v>19905</v>
      </c>
      <c r="S9672" t="s">
        <v>19906</v>
      </c>
      <c r="T9672" t="s">
        <v>19919</v>
      </c>
    </row>
    <row r="9673" spans="2:20" x14ac:dyDescent="0.25">
      <c r="B9673" t="s">
        <v>2709</v>
      </c>
      <c r="C9673">
        <v>87042210</v>
      </c>
      <c r="E9673">
        <v>71.78</v>
      </c>
      <c r="F9673">
        <v>12</v>
      </c>
      <c r="G9673">
        <v>30</v>
      </c>
      <c r="H9673">
        <v>9.6</v>
      </c>
      <c r="I9673">
        <v>2</v>
      </c>
      <c r="J9673">
        <v>35</v>
      </c>
      <c r="L9673" t="s">
        <v>2709</v>
      </c>
      <c r="M9673">
        <v>87042210</v>
      </c>
      <c r="O9673" t="s">
        <v>20056</v>
      </c>
      <c r="P9673" t="s">
        <v>19903</v>
      </c>
      <c r="Q9673" t="s">
        <v>19933</v>
      </c>
      <c r="R9673" t="s">
        <v>20129</v>
      </c>
      <c r="S9673" t="s">
        <v>19901</v>
      </c>
      <c r="T9673" t="s">
        <v>19919</v>
      </c>
    </row>
    <row r="9674" spans="2:20" x14ac:dyDescent="0.25">
      <c r="B9674" t="s">
        <v>2709</v>
      </c>
      <c r="C9674">
        <v>87042220</v>
      </c>
      <c r="E9674">
        <v>71.78</v>
      </c>
      <c r="F9674">
        <v>12</v>
      </c>
      <c r="G9674">
        <v>30</v>
      </c>
      <c r="H9674">
        <v>9.6</v>
      </c>
      <c r="I9674">
        <v>2</v>
      </c>
      <c r="J9674">
        <v>35</v>
      </c>
      <c r="L9674" t="s">
        <v>2709</v>
      </c>
      <c r="M9674">
        <v>87042220</v>
      </c>
      <c r="O9674" t="s">
        <v>20056</v>
      </c>
      <c r="P9674" t="s">
        <v>19903</v>
      </c>
      <c r="Q9674" t="s">
        <v>19933</v>
      </c>
      <c r="R9674" t="s">
        <v>20129</v>
      </c>
      <c r="S9674" t="s">
        <v>19901</v>
      </c>
      <c r="T9674" t="s">
        <v>19919</v>
      </c>
    </row>
    <row r="9675" spans="2:20" x14ac:dyDescent="0.25">
      <c r="B9675" t="s">
        <v>2709</v>
      </c>
      <c r="C9675">
        <v>87042230</v>
      </c>
      <c r="E9675">
        <v>71.78</v>
      </c>
      <c r="F9675">
        <v>12</v>
      </c>
      <c r="G9675">
        <v>30</v>
      </c>
      <c r="H9675">
        <v>9.6</v>
      </c>
      <c r="I9675">
        <v>2</v>
      </c>
      <c r="J9675">
        <v>35</v>
      </c>
      <c r="L9675" t="s">
        <v>2709</v>
      </c>
      <c r="M9675">
        <v>87042230</v>
      </c>
      <c r="O9675" t="s">
        <v>20056</v>
      </c>
      <c r="P9675" t="s">
        <v>19903</v>
      </c>
      <c r="Q9675" t="s">
        <v>19933</v>
      </c>
      <c r="R9675" t="s">
        <v>20129</v>
      </c>
      <c r="S9675" t="s">
        <v>19901</v>
      </c>
      <c r="T9675" t="s">
        <v>19919</v>
      </c>
    </row>
    <row r="9676" spans="2:20" x14ac:dyDescent="0.25">
      <c r="B9676" t="s">
        <v>2709</v>
      </c>
      <c r="C9676">
        <v>87042290</v>
      </c>
      <c r="E9676">
        <v>71.78</v>
      </c>
      <c r="F9676">
        <v>12</v>
      </c>
      <c r="G9676">
        <v>30</v>
      </c>
      <c r="H9676">
        <v>9.6</v>
      </c>
      <c r="I9676">
        <v>2</v>
      </c>
      <c r="J9676">
        <v>35</v>
      </c>
      <c r="L9676" t="s">
        <v>2709</v>
      </c>
      <c r="M9676">
        <v>87042290</v>
      </c>
      <c r="O9676" t="s">
        <v>20056</v>
      </c>
      <c r="P9676" t="s">
        <v>19903</v>
      </c>
      <c r="Q9676" t="s">
        <v>19933</v>
      </c>
      <c r="R9676" t="s">
        <v>20129</v>
      </c>
      <c r="S9676" t="s">
        <v>19901</v>
      </c>
      <c r="T9676" t="s">
        <v>19919</v>
      </c>
    </row>
    <row r="9677" spans="2:20" x14ac:dyDescent="0.25">
      <c r="B9677" t="s">
        <v>2709</v>
      </c>
      <c r="C9677">
        <v>87042310</v>
      </c>
      <c r="E9677">
        <v>71.78</v>
      </c>
      <c r="F9677">
        <v>12</v>
      </c>
      <c r="G9677">
        <v>30</v>
      </c>
      <c r="H9677">
        <v>9.6</v>
      </c>
      <c r="I9677">
        <v>2</v>
      </c>
      <c r="J9677">
        <v>35</v>
      </c>
      <c r="L9677" t="s">
        <v>2709</v>
      </c>
      <c r="M9677">
        <v>87042310</v>
      </c>
      <c r="O9677" t="s">
        <v>20056</v>
      </c>
      <c r="P9677" t="s">
        <v>19903</v>
      </c>
      <c r="Q9677" t="s">
        <v>19933</v>
      </c>
      <c r="R9677" t="s">
        <v>20129</v>
      </c>
      <c r="S9677" t="s">
        <v>19901</v>
      </c>
      <c r="T9677" t="s">
        <v>19919</v>
      </c>
    </row>
    <row r="9678" spans="2:20" x14ac:dyDescent="0.25">
      <c r="B9678" t="s">
        <v>2709</v>
      </c>
      <c r="C9678">
        <v>87042320</v>
      </c>
      <c r="E9678">
        <v>71.78</v>
      </c>
      <c r="F9678">
        <v>12</v>
      </c>
      <c r="G9678">
        <v>30</v>
      </c>
      <c r="H9678">
        <v>9.6</v>
      </c>
      <c r="I9678">
        <v>2</v>
      </c>
      <c r="J9678">
        <v>35</v>
      </c>
      <c r="L9678" t="s">
        <v>2709</v>
      </c>
      <c r="M9678">
        <v>87042320</v>
      </c>
      <c r="O9678" t="s">
        <v>20056</v>
      </c>
      <c r="P9678" t="s">
        <v>19903</v>
      </c>
      <c r="Q9678" t="s">
        <v>19933</v>
      </c>
      <c r="R9678" t="s">
        <v>20129</v>
      </c>
      <c r="S9678" t="s">
        <v>19901</v>
      </c>
      <c r="T9678" t="s">
        <v>19919</v>
      </c>
    </row>
    <row r="9679" spans="2:20" x14ac:dyDescent="0.25">
      <c r="B9679" t="s">
        <v>2709</v>
      </c>
      <c r="C9679">
        <v>87042330</v>
      </c>
      <c r="E9679">
        <v>71.78</v>
      </c>
      <c r="F9679">
        <v>12</v>
      </c>
      <c r="G9679">
        <v>30</v>
      </c>
      <c r="H9679">
        <v>9.6</v>
      </c>
      <c r="I9679">
        <v>2</v>
      </c>
      <c r="J9679">
        <v>35</v>
      </c>
      <c r="L9679" t="s">
        <v>2709</v>
      </c>
      <c r="M9679">
        <v>87042330</v>
      </c>
      <c r="O9679" t="s">
        <v>20056</v>
      </c>
      <c r="P9679" t="s">
        <v>19903</v>
      </c>
      <c r="Q9679" t="s">
        <v>19933</v>
      </c>
      <c r="R9679" t="s">
        <v>20129</v>
      </c>
      <c r="S9679" t="s">
        <v>19901</v>
      </c>
      <c r="T9679" t="s">
        <v>19919</v>
      </c>
    </row>
    <row r="9680" spans="2:20" x14ac:dyDescent="0.25">
      <c r="B9680" t="s">
        <v>2709</v>
      </c>
      <c r="C9680">
        <v>87042390</v>
      </c>
      <c r="E9680">
        <v>71.78</v>
      </c>
      <c r="F9680">
        <v>12</v>
      </c>
      <c r="G9680">
        <v>30</v>
      </c>
      <c r="H9680">
        <v>9.6</v>
      </c>
      <c r="I9680">
        <v>2</v>
      </c>
      <c r="J9680">
        <v>35</v>
      </c>
      <c r="L9680" t="s">
        <v>2709</v>
      </c>
      <c r="M9680">
        <v>87042390</v>
      </c>
      <c r="O9680" t="s">
        <v>20056</v>
      </c>
      <c r="P9680" t="s">
        <v>19903</v>
      </c>
      <c r="Q9680" t="s">
        <v>19933</v>
      </c>
      <c r="R9680" t="s">
        <v>20129</v>
      </c>
      <c r="S9680" t="s">
        <v>19901</v>
      </c>
      <c r="T9680" t="s">
        <v>19919</v>
      </c>
    </row>
    <row r="9681" spans="2:20" x14ac:dyDescent="0.25">
      <c r="B9681" t="s">
        <v>2709</v>
      </c>
      <c r="C9681">
        <v>87042390</v>
      </c>
      <c r="D9681">
        <v>1</v>
      </c>
      <c r="E9681" t="s">
        <v>19447</v>
      </c>
      <c r="F9681">
        <v>18</v>
      </c>
      <c r="G9681">
        <v>5</v>
      </c>
      <c r="H9681">
        <v>7.6</v>
      </c>
      <c r="I9681">
        <v>1.65</v>
      </c>
      <c r="J9681">
        <v>35</v>
      </c>
      <c r="L9681" t="s">
        <v>2709</v>
      </c>
      <c r="M9681">
        <v>87042390</v>
      </c>
      <c r="N9681">
        <v>1</v>
      </c>
      <c r="O9681" t="s">
        <v>19447</v>
      </c>
      <c r="P9681" t="s">
        <v>19899</v>
      </c>
      <c r="Q9681" t="s">
        <v>19909</v>
      </c>
      <c r="R9681" t="s">
        <v>19905</v>
      </c>
      <c r="S9681" t="s">
        <v>19906</v>
      </c>
      <c r="T9681" t="s">
        <v>19919</v>
      </c>
    </row>
    <row r="9682" spans="2:20" x14ac:dyDescent="0.25">
      <c r="B9682" t="s">
        <v>2709</v>
      </c>
      <c r="C9682">
        <v>87043110</v>
      </c>
      <c r="E9682">
        <v>30</v>
      </c>
      <c r="F9682">
        <v>12</v>
      </c>
      <c r="G9682">
        <v>33</v>
      </c>
      <c r="H9682">
        <v>9.6</v>
      </c>
      <c r="I9682">
        <v>2</v>
      </c>
      <c r="J9682">
        <v>35</v>
      </c>
      <c r="L9682" t="s">
        <v>2709</v>
      </c>
      <c r="M9682">
        <v>87043110</v>
      </c>
      <c r="O9682" t="s">
        <v>19933</v>
      </c>
      <c r="P9682" t="s">
        <v>19903</v>
      </c>
      <c r="Q9682" t="s">
        <v>19910</v>
      </c>
      <c r="R9682" t="s">
        <v>20129</v>
      </c>
      <c r="S9682" t="s">
        <v>19901</v>
      </c>
      <c r="T9682" t="s">
        <v>19919</v>
      </c>
    </row>
    <row r="9683" spans="2:20" x14ac:dyDescent="0.25">
      <c r="B9683" t="s">
        <v>2709</v>
      </c>
      <c r="C9683">
        <v>87043110</v>
      </c>
      <c r="D9683">
        <v>1</v>
      </c>
      <c r="E9683" t="s">
        <v>19447</v>
      </c>
      <c r="F9683">
        <v>18</v>
      </c>
      <c r="G9683">
        <v>30</v>
      </c>
      <c r="H9683">
        <v>7.6</v>
      </c>
      <c r="I9683">
        <v>1.65</v>
      </c>
      <c r="J9683">
        <v>35</v>
      </c>
      <c r="L9683" t="s">
        <v>2709</v>
      </c>
      <c r="M9683">
        <v>87043110</v>
      </c>
      <c r="N9683">
        <v>1</v>
      </c>
      <c r="O9683" t="s">
        <v>19447</v>
      </c>
      <c r="P9683" t="s">
        <v>19899</v>
      </c>
      <c r="Q9683" t="s">
        <v>19933</v>
      </c>
      <c r="R9683" t="s">
        <v>19905</v>
      </c>
      <c r="S9683" t="s">
        <v>19906</v>
      </c>
      <c r="T9683" t="s">
        <v>19919</v>
      </c>
    </row>
    <row r="9684" spans="2:20" x14ac:dyDescent="0.25">
      <c r="B9684" t="s">
        <v>2709</v>
      </c>
      <c r="C9684">
        <v>87043120</v>
      </c>
      <c r="E9684">
        <v>30</v>
      </c>
      <c r="F9684">
        <v>12</v>
      </c>
      <c r="G9684">
        <v>33</v>
      </c>
      <c r="H9684">
        <v>9.6</v>
      </c>
      <c r="I9684">
        <v>2</v>
      </c>
      <c r="J9684">
        <v>35</v>
      </c>
      <c r="L9684" t="s">
        <v>2709</v>
      </c>
      <c r="M9684">
        <v>87043120</v>
      </c>
      <c r="O9684" t="s">
        <v>19933</v>
      </c>
      <c r="P9684" t="s">
        <v>19903</v>
      </c>
      <c r="Q9684" t="s">
        <v>19910</v>
      </c>
      <c r="R9684" t="s">
        <v>20129</v>
      </c>
      <c r="S9684" t="s">
        <v>19901</v>
      </c>
      <c r="T9684" t="s">
        <v>19919</v>
      </c>
    </row>
    <row r="9685" spans="2:20" x14ac:dyDescent="0.25">
      <c r="B9685" t="s">
        <v>2709</v>
      </c>
      <c r="C9685">
        <v>87043120</v>
      </c>
      <c r="D9685">
        <v>1</v>
      </c>
      <c r="E9685" t="s">
        <v>19447</v>
      </c>
      <c r="F9685">
        <v>18</v>
      </c>
      <c r="G9685">
        <v>30</v>
      </c>
      <c r="H9685">
        <v>7.6</v>
      </c>
      <c r="I9685">
        <v>1.65</v>
      </c>
      <c r="J9685">
        <v>35</v>
      </c>
      <c r="L9685" t="s">
        <v>2709</v>
      </c>
      <c r="M9685">
        <v>87043120</v>
      </c>
      <c r="N9685">
        <v>1</v>
      </c>
      <c r="O9685" t="s">
        <v>19447</v>
      </c>
      <c r="P9685" t="s">
        <v>19899</v>
      </c>
      <c r="Q9685" t="s">
        <v>19933</v>
      </c>
      <c r="R9685" t="s">
        <v>19905</v>
      </c>
      <c r="S9685" t="s">
        <v>19906</v>
      </c>
      <c r="T9685" t="s">
        <v>19919</v>
      </c>
    </row>
    <row r="9686" spans="2:20" x14ac:dyDescent="0.25">
      <c r="B9686" t="s">
        <v>2709</v>
      </c>
      <c r="C9686">
        <v>87043130</v>
      </c>
      <c r="E9686">
        <v>30</v>
      </c>
      <c r="F9686">
        <v>12</v>
      </c>
      <c r="G9686">
        <v>33</v>
      </c>
      <c r="H9686">
        <v>9.6</v>
      </c>
      <c r="I9686">
        <v>2</v>
      </c>
      <c r="J9686">
        <v>35</v>
      </c>
      <c r="L9686" t="s">
        <v>2709</v>
      </c>
      <c r="M9686">
        <v>87043130</v>
      </c>
      <c r="O9686" t="s">
        <v>19933</v>
      </c>
      <c r="P9686" t="s">
        <v>19903</v>
      </c>
      <c r="Q9686" t="s">
        <v>19910</v>
      </c>
      <c r="R9686" t="s">
        <v>20129</v>
      </c>
      <c r="S9686" t="s">
        <v>19901</v>
      </c>
      <c r="T9686" t="s">
        <v>19919</v>
      </c>
    </row>
    <row r="9687" spans="2:20" x14ac:dyDescent="0.25">
      <c r="B9687" t="s">
        <v>2709</v>
      </c>
      <c r="C9687">
        <v>87043130</v>
      </c>
      <c r="D9687">
        <v>1</v>
      </c>
      <c r="E9687" t="s">
        <v>19447</v>
      </c>
      <c r="F9687">
        <v>18</v>
      </c>
      <c r="G9687">
        <v>30</v>
      </c>
      <c r="H9687">
        <v>7.6</v>
      </c>
      <c r="I9687">
        <v>1.65</v>
      </c>
      <c r="J9687">
        <v>35</v>
      </c>
      <c r="L9687" t="s">
        <v>2709</v>
      </c>
      <c r="M9687">
        <v>87043130</v>
      </c>
      <c r="N9687">
        <v>1</v>
      </c>
      <c r="O9687" t="s">
        <v>19447</v>
      </c>
      <c r="P9687" t="s">
        <v>19899</v>
      </c>
      <c r="Q9687" t="s">
        <v>19933</v>
      </c>
      <c r="R9687" t="s">
        <v>19905</v>
      </c>
      <c r="S9687" t="s">
        <v>19906</v>
      </c>
      <c r="T9687" t="s">
        <v>19919</v>
      </c>
    </row>
    <row r="9688" spans="2:20" x14ac:dyDescent="0.25">
      <c r="B9688" t="s">
        <v>2709</v>
      </c>
      <c r="C9688">
        <v>87043190</v>
      </c>
      <c r="E9688">
        <v>30</v>
      </c>
      <c r="F9688">
        <v>12</v>
      </c>
      <c r="G9688">
        <v>33</v>
      </c>
      <c r="H9688">
        <v>9.6</v>
      </c>
      <c r="I9688">
        <v>2</v>
      </c>
      <c r="J9688">
        <v>35</v>
      </c>
      <c r="L9688" t="s">
        <v>2709</v>
      </c>
      <c r="M9688">
        <v>87043190</v>
      </c>
      <c r="O9688" t="s">
        <v>19933</v>
      </c>
      <c r="P9688" t="s">
        <v>19903</v>
      </c>
      <c r="Q9688" t="s">
        <v>19910</v>
      </c>
      <c r="R9688" t="s">
        <v>20129</v>
      </c>
      <c r="S9688" t="s">
        <v>19901</v>
      </c>
      <c r="T9688" t="s">
        <v>19919</v>
      </c>
    </row>
    <row r="9689" spans="2:20" x14ac:dyDescent="0.25">
      <c r="B9689" t="s">
        <v>2709</v>
      </c>
      <c r="C9689">
        <v>87043190</v>
      </c>
      <c r="D9689">
        <v>1</v>
      </c>
      <c r="E9689" t="s">
        <v>19447</v>
      </c>
      <c r="F9689">
        <v>18</v>
      </c>
      <c r="G9689">
        <v>30</v>
      </c>
      <c r="H9689">
        <v>7.6</v>
      </c>
      <c r="I9689">
        <v>1.65</v>
      </c>
      <c r="J9689">
        <v>35</v>
      </c>
      <c r="L9689" t="s">
        <v>2709</v>
      </c>
      <c r="M9689">
        <v>87043190</v>
      </c>
      <c r="N9689">
        <v>1</v>
      </c>
      <c r="O9689" t="s">
        <v>19447</v>
      </c>
      <c r="P9689" t="s">
        <v>19899</v>
      </c>
      <c r="Q9689" t="s">
        <v>19933</v>
      </c>
      <c r="R9689" t="s">
        <v>19905</v>
      </c>
      <c r="S9689" t="s">
        <v>19906</v>
      </c>
      <c r="T9689" t="s">
        <v>19919</v>
      </c>
    </row>
    <row r="9690" spans="2:20" x14ac:dyDescent="0.25">
      <c r="B9690" t="s">
        <v>2709</v>
      </c>
      <c r="C9690">
        <v>87043210</v>
      </c>
      <c r="E9690">
        <v>71.78</v>
      </c>
      <c r="F9690">
        <v>12</v>
      </c>
      <c r="G9690">
        <v>30</v>
      </c>
      <c r="H9690">
        <v>9.6</v>
      </c>
      <c r="I9690">
        <v>2</v>
      </c>
      <c r="J9690">
        <v>35</v>
      </c>
      <c r="L9690" t="s">
        <v>2709</v>
      </c>
      <c r="M9690">
        <v>87043210</v>
      </c>
      <c r="O9690" t="s">
        <v>20056</v>
      </c>
      <c r="P9690" t="s">
        <v>19903</v>
      </c>
      <c r="Q9690" t="s">
        <v>19933</v>
      </c>
      <c r="R9690" t="s">
        <v>20129</v>
      </c>
      <c r="S9690" t="s">
        <v>19901</v>
      </c>
      <c r="T9690" t="s">
        <v>19919</v>
      </c>
    </row>
    <row r="9691" spans="2:20" x14ac:dyDescent="0.25">
      <c r="B9691" t="s">
        <v>2709</v>
      </c>
      <c r="C9691">
        <v>87043220</v>
      </c>
      <c r="E9691">
        <v>71.78</v>
      </c>
      <c r="F9691">
        <v>12</v>
      </c>
      <c r="G9691">
        <v>30</v>
      </c>
      <c r="H9691">
        <v>9.6</v>
      </c>
      <c r="I9691">
        <v>2</v>
      </c>
      <c r="J9691">
        <v>35</v>
      </c>
      <c r="L9691" t="s">
        <v>2709</v>
      </c>
      <c r="M9691">
        <v>87043220</v>
      </c>
      <c r="O9691" t="s">
        <v>20056</v>
      </c>
      <c r="P9691" t="s">
        <v>19903</v>
      </c>
      <c r="Q9691" t="s">
        <v>19933</v>
      </c>
      <c r="R9691" t="s">
        <v>20129</v>
      </c>
      <c r="S9691" t="s">
        <v>19901</v>
      </c>
      <c r="T9691" t="s">
        <v>19919</v>
      </c>
    </row>
    <row r="9692" spans="2:20" x14ac:dyDescent="0.25">
      <c r="B9692" t="s">
        <v>2709</v>
      </c>
      <c r="C9692">
        <v>87043230</v>
      </c>
      <c r="E9692">
        <v>71.78</v>
      </c>
      <c r="F9692">
        <v>12</v>
      </c>
      <c r="G9692">
        <v>30</v>
      </c>
      <c r="H9692">
        <v>9.6</v>
      </c>
      <c r="I9692">
        <v>2</v>
      </c>
      <c r="J9692">
        <v>35</v>
      </c>
      <c r="L9692" t="s">
        <v>2709</v>
      </c>
      <c r="M9692">
        <v>87043230</v>
      </c>
      <c r="O9692" t="s">
        <v>20056</v>
      </c>
      <c r="P9692" t="s">
        <v>19903</v>
      </c>
      <c r="Q9692" t="s">
        <v>19933</v>
      </c>
      <c r="R9692" t="s">
        <v>20129</v>
      </c>
      <c r="S9692" t="s">
        <v>19901</v>
      </c>
      <c r="T9692" t="s">
        <v>19919</v>
      </c>
    </row>
    <row r="9693" spans="2:20" x14ac:dyDescent="0.25">
      <c r="B9693" t="s">
        <v>2709</v>
      </c>
      <c r="C9693">
        <v>87043290</v>
      </c>
      <c r="E9693">
        <v>71.78</v>
      </c>
      <c r="F9693">
        <v>12</v>
      </c>
      <c r="G9693">
        <v>30</v>
      </c>
      <c r="H9693">
        <v>9.6</v>
      </c>
      <c r="I9693">
        <v>2</v>
      </c>
      <c r="J9693">
        <v>35</v>
      </c>
      <c r="L9693" t="s">
        <v>2709</v>
      </c>
      <c r="M9693">
        <v>87043290</v>
      </c>
      <c r="O9693" t="s">
        <v>20056</v>
      </c>
      <c r="P9693" t="s">
        <v>19903</v>
      </c>
      <c r="Q9693" t="s">
        <v>19933</v>
      </c>
      <c r="R9693" t="s">
        <v>20129</v>
      </c>
      <c r="S9693" t="s">
        <v>19901</v>
      </c>
      <c r="T9693" t="s">
        <v>19919</v>
      </c>
    </row>
    <row r="9694" spans="2:20" x14ac:dyDescent="0.25">
      <c r="B9694" t="s">
        <v>2709</v>
      </c>
      <c r="C9694">
        <v>87049000</v>
      </c>
      <c r="E9694">
        <v>71.78</v>
      </c>
      <c r="F9694">
        <v>12</v>
      </c>
      <c r="G9694">
        <v>30</v>
      </c>
      <c r="H9694">
        <v>9.6</v>
      </c>
      <c r="I9694">
        <v>2</v>
      </c>
      <c r="J9694">
        <v>35</v>
      </c>
      <c r="L9694" t="s">
        <v>2709</v>
      </c>
      <c r="M9694">
        <v>87049000</v>
      </c>
      <c r="O9694" t="s">
        <v>20056</v>
      </c>
      <c r="P9694" t="s">
        <v>19903</v>
      </c>
      <c r="Q9694" t="s">
        <v>19933</v>
      </c>
      <c r="R9694" t="s">
        <v>20129</v>
      </c>
      <c r="S9694" t="s">
        <v>19901</v>
      </c>
      <c r="T9694" t="s">
        <v>19919</v>
      </c>
    </row>
    <row r="9695" spans="2:20" x14ac:dyDescent="0.25">
      <c r="B9695" t="s">
        <v>2709</v>
      </c>
      <c r="C9695">
        <v>87051010</v>
      </c>
      <c r="E9695">
        <v>71.78</v>
      </c>
      <c r="F9695">
        <v>12</v>
      </c>
      <c r="G9695">
        <v>0</v>
      </c>
      <c r="H9695">
        <v>9.6</v>
      </c>
      <c r="I9695">
        <v>2</v>
      </c>
      <c r="J9695">
        <v>35</v>
      </c>
      <c r="L9695" t="s">
        <v>2709</v>
      </c>
      <c r="M9695">
        <v>87051010</v>
      </c>
      <c r="O9695" t="s">
        <v>20056</v>
      </c>
      <c r="P9695" t="s">
        <v>19903</v>
      </c>
      <c r="Q9695" t="s">
        <v>19900</v>
      </c>
      <c r="R9695" t="s">
        <v>20129</v>
      </c>
      <c r="S9695" t="s">
        <v>19901</v>
      </c>
      <c r="T9695" t="s">
        <v>19919</v>
      </c>
    </row>
    <row r="9696" spans="2:20" x14ac:dyDescent="0.25">
      <c r="B9696" t="s">
        <v>2709</v>
      </c>
      <c r="C9696">
        <v>87051090</v>
      </c>
      <c r="E9696">
        <v>71.78</v>
      </c>
      <c r="F9696">
        <v>12</v>
      </c>
      <c r="G9696">
        <v>0</v>
      </c>
      <c r="H9696">
        <v>9.6</v>
      </c>
      <c r="I9696">
        <v>2</v>
      </c>
      <c r="J9696">
        <v>35</v>
      </c>
      <c r="L9696" t="s">
        <v>2709</v>
      </c>
      <c r="M9696">
        <v>87051090</v>
      </c>
      <c r="O9696" t="s">
        <v>20056</v>
      </c>
      <c r="P9696" t="s">
        <v>19903</v>
      </c>
      <c r="Q9696" t="s">
        <v>19900</v>
      </c>
      <c r="R9696" t="s">
        <v>20129</v>
      </c>
      <c r="S9696" t="s">
        <v>19901</v>
      </c>
      <c r="T9696" t="s">
        <v>19919</v>
      </c>
    </row>
    <row r="9697" spans="2:20" x14ac:dyDescent="0.25">
      <c r="B9697" t="s">
        <v>2709</v>
      </c>
      <c r="C9697">
        <v>87052000</v>
      </c>
      <c r="E9697">
        <v>71.78</v>
      </c>
      <c r="F9697">
        <v>12</v>
      </c>
      <c r="G9697">
        <v>0</v>
      </c>
      <c r="H9697">
        <v>9.6</v>
      </c>
      <c r="I9697">
        <v>2</v>
      </c>
      <c r="J9697">
        <v>35</v>
      </c>
      <c r="L9697" t="s">
        <v>2709</v>
      </c>
      <c r="M9697">
        <v>87052000</v>
      </c>
      <c r="O9697" t="s">
        <v>20056</v>
      </c>
      <c r="P9697" t="s">
        <v>19903</v>
      </c>
      <c r="Q9697" t="s">
        <v>19900</v>
      </c>
      <c r="R9697" t="s">
        <v>20129</v>
      </c>
      <c r="S9697" t="s">
        <v>19901</v>
      </c>
      <c r="T9697" t="s">
        <v>19919</v>
      </c>
    </row>
    <row r="9698" spans="2:20" x14ac:dyDescent="0.25">
      <c r="B9698" t="s">
        <v>2709</v>
      </c>
      <c r="C9698">
        <v>87053000</v>
      </c>
      <c r="E9698">
        <v>71.78</v>
      </c>
      <c r="F9698">
        <v>12</v>
      </c>
      <c r="G9698">
        <v>0</v>
      </c>
      <c r="H9698">
        <v>9.6</v>
      </c>
      <c r="I9698">
        <v>2</v>
      </c>
      <c r="J9698">
        <v>35</v>
      </c>
      <c r="L9698" t="s">
        <v>2709</v>
      </c>
      <c r="M9698">
        <v>87053000</v>
      </c>
      <c r="O9698" t="s">
        <v>20056</v>
      </c>
      <c r="P9698" t="s">
        <v>19903</v>
      </c>
      <c r="Q9698" t="s">
        <v>19900</v>
      </c>
      <c r="R9698" t="s">
        <v>20129</v>
      </c>
      <c r="S9698" t="s">
        <v>19901</v>
      </c>
      <c r="T9698" t="s">
        <v>19919</v>
      </c>
    </row>
    <row r="9699" spans="2:20" x14ac:dyDescent="0.25">
      <c r="B9699" t="s">
        <v>2709</v>
      </c>
      <c r="C9699">
        <v>87054000</v>
      </c>
      <c r="E9699">
        <v>71.78</v>
      </c>
      <c r="F9699">
        <v>12</v>
      </c>
      <c r="G9699">
        <v>0</v>
      </c>
      <c r="H9699">
        <v>9.6</v>
      </c>
      <c r="I9699">
        <v>2</v>
      </c>
      <c r="J9699">
        <v>35</v>
      </c>
      <c r="L9699" t="s">
        <v>2709</v>
      </c>
      <c r="M9699">
        <v>87054000</v>
      </c>
      <c r="O9699" t="s">
        <v>20056</v>
      </c>
      <c r="P9699" t="s">
        <v>19903</v>
      </c>
      <c r="Q9699" t="s">
        <v>19900</v>
      </c>
      <c r="R9699" t="s">
        <v>20129</v>
      </c>
      <c r="S9699" t="s">
        <v>19901</v>
      </c>
      <c r="T9699" t="s">
        <v>19919</v>
      </c>
    </row>
    <row r="9700" spans="2:20" x14ac:dyDescent="0.25">
      <c r="B9700" t="s">
        <v>2709</v>
      </c>
      <c r="C9700">
        <v>87059010</v>
      </c>
      <c r="E9700">
        <v>71.78</v>
      </c>
      <c r="F9700">
        <v>12</v>
      </c>
      <c r="G9700">
        <v>5</v>
      </c>
      <c r="H9700">
        <v>9.6</v>
      </c>
      <c r="I9700">
        <v>2</v>
      </c>
      <c r="J9700">
        <v>2</v>
      </c>
      <c r="L9700" t="s">
        <v>2709</v>
      </c>
      <c r="M9700">
        <v>87059010</v>
      </c>
      <c r="O9700" t="s">
        <v>20056</v>
      </c>
      <c r="P9700" t="s">
        <v>19903</v>
      </c>
      <c r="Q9700" t="s">
        <v>19909</v>
      </c>
      <c r="R9700" t="s">
        <v>20129</v>
      </c>
      <c r="S9700" t="s">
        <v>19901</v>
      </c>
      <c r="T9700" t="s">
        <v>19901</v>
      </c>
    </row>
    <row r="9701" spans="2:20" x14ac:dyDescent="0.25">
      <c r="B9701" t="s">
        <v>2709</v>
      </c>
      <c r="C9701">
        <v>87059090</v>
      </c>
      <c r="E9701">
        <v>71.78</v>
      </c>
      <c r="F9701">
        <v>12</v>
      </c>
      <c r="G9701">
        <v>5</v>
      </c>
      <c r="H9701">
        <v>9.6</v>
      </c>
      <c r="I9701">
        <v>2</v>
      </c>
      <c r="J9701">
        <v>35</v>
      </c>
      <c r="L9701" t="s">
        <v>2709</v>
      </c>
      <c r="M9701">
        <v>87059090</v>
      </c>
      <c r="O9701" t="s">
        <v>20056</v>
      </c>
      <c r="P9701" t="s">
        <v>19903</v>
      </c>
      <c r="Q9701" t="s">
        <v>19909</v>
      </c>
      <c r="R9701" t="s">
        <v>20129</v>
      </c>
      <c r="S9701" t="s">
        <v>19901</v>
      </c>
      <c r="T9701" t="s">
        <v>19919</v>
      </c>
    </row>
    <row r="9702" spans="2:20" x14ac:dyDescent="0.25">
      <c r="B9702" t="s">
        <v>2709</v>
      </c>
      <c r="C9702">
        <v>87060010</v>
      </c>
      <c r="E9702">
        <v>71.78</v>
      </c>
      <c r="F9702">
        <v>18</v>
      </c>
      <c r="G9702">
        <v>55</v>
      </c>
      <c r="H9702">
        <v>10.8</v>
      </c>
      <c r="I9702">
        <v>2.2999999999999998</v>
      </c>
      <c r="J9702">
        <v>35</v>
      </c>
      <c r="L9702" t="s">
        <v>2709</v>
      </c>
      <c r="M9702">
        <v>87060010</v>
      </c>
      <c r="O9702" t="s">
        <v>20056</v>
      </c>
      <c r="P9702" t="s">
        <v>19899</v>
      </c>
      <c r="Q9702" t="s">
        <v>19921</v>
      </c>
      <c r="R9702" t="s">
        <v>20074</v>
      </c>
      <c r="S9702" t="s">
        <v>20075</v>
      </c>
      <c r="T9702" t="s">
        <v>19919</v>
      </c>
    </row>
    <row r="9703" spans="2:20" x14ac:dyDescent="0.25">
      <c r="B9703" t="s">
        <v>2709</v>
      </c>
      <c r="C9703">
        <v>87060010</v>
      </c>
      <c r="D9703">
        <v>1</v>
      </c>
      <c r="E9703" t="s">
        <v>19447</v>
      </c>
      <c r="F9703">
        <v>18</v>
      </c>
      <c r="G9703">
        <v>30</v>
      </c>
      <c r="H9703">
        <v>7.6</v>
      </c>
      <c r="I9703">
        <v>1.65</v>
      </c>
      <c r="J9703">
        <v>35</v>
      </c>
      <c r="L9703" t="s">
        <v>2709</v>
      </c>
      <c r="M9703">
        <v>87060010</v>
      </c>
      <c r="N9703">
        <v>1</v>
      </c>
      <c r="O9703" t="s">
        <v>19447</v>
      </c>
      <c r="P9703" t="s">
        <v>19899</v>
      </c>
      <c r="Q9703" t="s">
        <v>19933</v>
      </c>
      <c r="R9703" t="s">
        <v>19905</v>
      </c>
      <c r="S9703" t="s">
        <v>19906</v>
      </c>
      <c r="T9703" t="s">
        <v>19919</v>
      </c>
    </row>
    <row r="9704" spans="2:20" x14ac:dyDescent="0.25">
      <c r="B9704" t="s">
        <v>2709</v>
      </c>
      <c r="C9704">
        <v>87060020</v>
      </c>
      <c r="E9704">
        <v>71.78</v>
      </c>
      <c r="F9704">
        <v>18</v>
      </c>
      <c r="G9704">
        <v>5</v>
      </c>
      <c r="H9704">
        <v>10.8</v>
      </c>
      <c r="I9704">
        <v>2.2999999999999998</v>
      </c>
      <c r="J9704">
        <v>14</v>
      </c>
      <c r="L9704" t="s">
        <v>2709</v>
      </c>
      <c r="M9704">
        <v>87060020</v>
      </c>
      <c r="O9704" t="s">
        <v>20056</v>
      </c>
      <c r="P9704" t="s">
        <v>19899</v>
      </c>
      <c r="Q9704" t="s">
        <v>19909</v>
      </c>
      <c r="R9704" t="s">
        <v>20074</v>
      </c>
      <c r="S9704" t="s">
        <v>20075</v>
      </c>
      <c r="T9704" t="s">
        <v>19911</v>
      </c>
    </row>
    <row r="9705" spans="2:20" x14ac:dyDescent="0.25">
      <c r="B9705" t="s">
        <v>2709</v>
      </c>
      <c r="C9705">
        <v>87060090</v>
      </c>
      <c r="E9705">
        <v>71.78</v>
      </c>
      <c r="F9705">
        <v>18</v>
      </c>
      <c r="G9705">
        <v>40</v>
      </c>
      <c r="H9705">
        <v>10.8</v>
      </c>
      <c r="I9705">
        <v>2.2999999999999998</v>
      </c>
      <c r="J9705">
        <v>35</v>
      </c>
      <c r="L9705" t="s">
        <v>2709</v>
      </c>
      <c r="M9705">
        <v>87060090</v>
      </c>
      <c r="O9705" t="s">
        <v>20056</v>
      </c>
      <c r="P9705" t="s">
        <v>19899</v>
      </c>
      <c r="Q9705" t="s">
        <v>19922</v>
      </c>
      <c r="R9705" t="s">
        <v>20074</v>
      </c>
      <c r="S9705" t="s">
        <v>20075</v>
      </c>
      <c r="T9705" t="s">
        <v>19919</v>
      </c>
    </row>
    <row r="9706" spans="2:20" x14ac:dyDescent="0.25">
      <c r="B9706" t="s">
        <v>2709</v>
      </c>
      <c r="C9706">
        <v>87060090</v>
      </c>
      <c r="E9706">
        <v>71.78</v>
      </c>
      <c r="F9706">
        <v>18</v>
      </c>
      <c r="G9706">
        <v>40</v>
      </c>
      <c r="H9706">
        <v>10.8</v>
      </c>
      <c r="I9706">
        <v>2.2999999999999998</v>
      </c>
      <c r="J9706">
        <v>35</v>
      </c>
      <c r="L9706" t="s">
        <v>2709</v>
      </c>
      <c r="M9706">
        <v>87060090</v>
      </c>
      <c r="O9706" t="s">
        <v>20056</v>
      </c>
      <c r="P9706" t="s">
        <v>19899</v>
      </c>
      <c r="Q9706" t="s">
        <v>19922</v>
      </c>
      <c r="R9706" t="s">
        <v>20074</v>
      </c>
      <c r="S9706" t="s">
        <v>20075</v>
      </c>
      <c r="T9706" t="s">
        <v>19919</v>
      </c>
    </row>
    <row r="9707" spans="2:20" x14ac:dyDescent="0.25">
      <c r="B9707" t="s">
        <v>2709</v>
      </c>
      <c r="C9707">
        <v>87060090</v>
      </c>
      <c r="D9707">
        <v>1</v>
      </c>
      <c r="E9707" t="s">
        <v>19447</v>
      </c>
      <c r="F9707">
        <v>18</v>
      </c>
      <c r="G9707">
        <v>30</v>
      </c>
      <c r="H9707">
        <v>7.6</v>
      </c>
      <c r="I9707">
        <v>1.65</v>
      </c>
      <c r="J9707">
        <v>35</v>
      </c>
      <c r="L9707" t="s">
        <v>2709</v>
      </c>
      <c r="M9707">
        <v>87060090</v>
      </c>
      <c r="N9707">
        <v>1</v>
      </c>
      <c r="O9707" t="s">
        <v>19447</v>
      </c>
      <c r="P9707" t="s">
        <v>19899</v>
      </c>
      <c r="Q9707" t="s">
        <v>19933</v>
      </c>
      <c r="R9707" t="s">
        <v>19905</v>
      </c>
      <c r="S9707" t="s">
        <v>19906</v>
      </c>
      <c r="T9707" t="s">
        <v>19919</v>
      </c>
    </row>
    <row r="9708" spans="2:20" x14ac:dyDescent="0.25">
      <c r="B9708" t="s">
        <v>2709</v>
      </c>
      <c r="C9708">
        <v>87071000</v>
      </c>
      <c r="E9708">
        <v>71.78</v>
      </c>
      <c r="F9708">
        <v>12</v>
      </c>
      <c r="G9708">
        <v>10</v>
      </c>
      <c r="H9708">
        <v>10.8</v>
      </c>
      <c r="I9708">
        <v>2.2999999999999998</v>
      </c>
      <c r="J9708">
        <v>35</v>
      </c>
      <c r="L9708" t="s">
        <v>2709</v>
      </c>
      <c r="M9708">
        <v>87071000</v>
      </c>
      <c r="O9708" t="s">
        <v>20056</v>
      </c>
      <c r="P9708" t="s">
        <v>19903</v>
      </c>
      <c r="Q9708" t="s">
        <v>19904</v>
      </c>
      <c r="R9708" t="s">
        <v>20074</v>
      </c>
      <c r="S9708" t="s">
        <v>20075</v>
      </c>
      <c r="T9708" t="s">
        <v>19919</v>
      </c>
    </row>
    <row r="9709" spans="2:20" x14ac:dyDescent="0.25">
      <c r="B9709" t="s">
        <v>2709</v>
      </c>
      <c r="C9709">
        <v>87079010</v>
      </c>
      <c r="E9709">
        <v>71.78</v>
      </c>
      <c r="F9709">
        <v>12</v>
      </c>
      <c r="G9709">
        <v>5</v>
      </c>
      <c r="H9709">
        <v>10.8</v>
      </c>
      <c r="I9709">
        <v>2.2999999999999998</v>
      </c>
      <c r="J9709">
        <v>14</v>
      </c>
      <c r="L9709" t="s">
        <v>2709</v>
      </c>
      <c r="M9709">
        <v>87079010</v>
      </c>
      <c r="O9709" t="s">
        <v>20056</v>
      </c>
      <c r="P9709" t="s">
        <v>19903</v>
      </c>
      <c r="Q9709" t="s">
        <v>19909</v>
      </c>
      <c r="R9709" t="s">
        <v>20074</v>
      </c>
      <c r="S9709" t="s">
        <v>20075</v>
      </c>
      <c r="T9709" t="s">
        <v>19911</v>
      </c>
    </row>
    <row r="9710" spans="2:20" x14ac:dyDescent="0.25">
      <c r="B9710" t="s">
        <v>2709</v>
      </c>
      <c r="C9710">
        <v>87079090</v>
      </c>
      <c r="E9710">
        <v>71.78</v>
      </c>
      <c r="F9710">
        <v>12</v>
      </c>
      <c r="G9710">
        <v>5</v>
      </c>
      <c r="H9710">
        <v>10.8</v>
      </c>
      <c r="I9710">
        <v>2.2999999999999998</v>
      </c>
      <c r="J9710">
        <v>35</v>
      </c>
      <c r="L9710" t="s">
        <v>2709</v>
      </c>
      <c r="M9710">
        <v>87079090</v>
      </c>
      <c r="O9710" t="s">
        <v>20056</v>
      </c>
      <c r="P9710" t="s">
        <v>19903</v>
      </c>
      <c r="Q9710" t="s">
        <v>19909</v>
      </c>
      <c r="R9710" t="s">
        <v>20074</v>
      </c>
      <c r="S9710" t="s">
        <v>20075</v>
      </c>
      <c r="T9710" t="s">
        <v>19919</v>
      </c>
    </row>
    <row r="9711" spans="2:20" x14ac:dyDescent="0.25">
      <c r="B9711" t="s">
        <v>2709</v>
      </c>
      <c r="C9711">
        <v>87079090</v>
      </c>
      <c r="D9711">
        <v>1</v>
      </c>
      <c r="E9711" t="s">
        <v>19447</v>
      </c>
      <c r="F9711">
        <v>18</v>
      </c>
      <c r="G9711">
        <v>0</v>
      </c>
      <c r="H9711">
        <v>7.6</v>
      </c>
      <c r="I9711">
        <v>1.65</v>
      </c>
      <c r="J9711">
        <v>35</v>
      </c>
      <c r="L9711" t="s">
        <v>2709</v>
      </c>
      <c r="M9711">
        <v>87079090</v>
      </c>
      <c r="N9711">
        <v>1</v>
      </c>
      <c r="O9711" t="s">
        <v>19447</v>
      </c>
      <c r="P9711" t="s">
        <v>19899</v>
      </c>
      <c r="Q9711" t="s">
        <v>19900</v>
      </c>
      <c r="R9711" t="s">
        <v>19905</v>
      </c>
      <c r="S9711" t="s">
        <v>19906</v>
      </c>
      <c r="T9711" t="s">
        <v>19919</v>
      </c>
    </row>
    <row r="9712" spans="2:20" x14ac:dyDescent="0.25">
      <c r="B9712" t="s">
        <v>2709</v>
      </c>
      <c r="C9712">
        <v>87081000</v>
      </c>
      <c r="E9712">
        <v>71.78</v>
      </c>
      <c r="F9712">
        <v>18</v>
      </c>
      <c r="G9712">
        <v>5</v>
      </c>
      <c r="H9712">
        <v>10.8</v>
      </c>
      <c r="I9712">
        <v>2.2999999999999998</v>
      </c>
      <c r="J9712">
        <v>18</v>
      </c>
      <c r="L9712" t="s">
        <v>2709</v>
      </c>
      <c r="M9712">
        <v>87081000</v>
      </c>
      <c r="O9712" t="s">
        <v>20056</v>
      </c>
      <c r="P9712" t="s">
        <v>19899</v>
      </c>
      <c r="Q9712" t="s">
        <v>19909</v>
      </c>
      <c r="R9712" t="s">
        <v>20074</v>
      </c>
      <c r="S9712" t="s">
        <v>20075</v>
      </c>
      <c r="T9712" t="s">
        <v>19899</v>
      </c>
    </row>
    <row r="9713" spans="2:20" x14ac:dyDescent="0.25">
      <c r="B9713" t="s">
        <v>2709</v>
      </c>
      <c r="C9713">
        <v>87082100</v>
      </c>
      <c r="E9713">
        <v>71.78</v>
      </c>
      <c r="F9713">
        <v>18</v>
      </c>
      <c r="G9713">
        <v>5</v>
      </c>
      <c r="H9713">
        <v>10.8</v>
      </c>
      <c r="I9713">
        <v>2.2999999999999998</v>
      </c>
      <c r="J9713">
        <v>18</v>
      </c>
      <c r="L9713" t="s">
        <v>2709</v>
      </c>
      <c r="M9713">
        <v>87082100</v>
      </c>
      <c r="O9713" t="s">
        <v>20056</v>
      </c>
      <c r="P9713" t="s">
        <v>19899</v>
      </c>
      <c r="Q9713" t="s">
        <v>19909</v>
      </c>
      <c r="R9713" t="s">
        <v>20074</v>
      </c>
      <c r="S9713" t="s">
        <v>20075</v>
      </c>
      <c r="T9713" t="s">
        <v>19899</v>
      </c>
    </row>
    <row r="9714" spans="2:20" x14ac:dyDescent="0.25">
      <c r="B9714" t="s">
        <v>2709</v>
      </c>
      <c r="C9714">
        <v>87082911</v>
      </c>
      <c r="E9714">
        <v>71.78</v>
      </c>
      <c r="F9714">
        <v>18</v>
      </c>
      <c r="G9714">
        <v>5</v>
      </c>
      <c r="H9714">
        <v>10.8</v>
      </c>
      <c r="I9714">
        <v>2.2999999999999998</v>
      </c>
      <c r="J9714">
        <v>14</v>
      </c>
      <c r="L9714" t="s">
        <v>2709</v>
      </c>
      <c r="M9714">
        <v>87082911</v>
      </c>
      <c r="O9714" t="s">
        <v>20056</v>
      </c>
      <c r="P9714" t="s">
        <v>19899</v>
      </c>
      <c r="Q9714" t="s">
        <v>19909</v>
      </c>
      <c r="R9714" t="s">
        <v>20074</v>
      </c>
      <c r="S9714" t="s">
        <v>20075</v>
      </c>
      <c r="T9714" t="s">
        <v>19911</v>
      </c>
    </row>
    <row r="9715" spans="2:20" x14ac:dyDescent="0.25">
      <c r="B9715" t="s">
        <v>2709</v>
      </c>
      <c r="C9715">
        <v>87082912</v>
      </c>
      <c r="E9715">
        <v>71.78</v>
      </c>
      <c r="F9715">
        <v>18</v>
      </c>
      <c r="G9715">
        <v>5</v>
      </c>
      <c r="H9715">
        <v>10.8</v>
      </c>
      <c r="I9715">
        <v>2.2999999999999998</v>
      </c>
      <c r="J9715">
        <v>14</v>
      </c>
      <c r="L9715" t="s">
        <v>2709</v>
      </c>
      <c r="M9715">
        <v>87082912</v>
      </c>
      <c r="O9715" t="s">
        <v>20056</v>
      </c>
      <c r="P9715" t="s">
        <v>19899</v>
      </c>
      <c r="Q9715" t="s">
        <v>19909</v>
      </c>
      <c r="R9715" t="s">
        <v>20074</v>
      </c>
      <c r="S9715" t="s">
        <v>20075</v>
      </c>
      <c r="T9715" t="s">
        <v>19911</v>
      </c>
    </row>
    <row r="9716" spans="2:20" x14ac:dyDescent="0.25">
      <c r="B9716" t="s">
        <v>2709</v>
      </c>
      <c r="C9716">
        <v>87082913</v>
      </c>
      <c r="E9716">
        <v>71.78</v>
      </c>
      <c r="F9716">
        <v>18</v>
      </c>
      <c r="G9716">
        <v>5</v>
      </c>
      <c r="H9716">
        <v>10.8</v>
      </c>
      <c r="I9716">
        <v>2.2999999999999998</v>
      </c>
      <c r="J9716">
        <v>14</v>
      </c>
      <c r="L9716" t="s">
        <v>2709</v>
      </c>
      <c r="M9716">
        <v>87082913</v>
      </c>
      <c r="O9716" t="s">
        <v>20056</v>
      </c>
      <c r="P9716" t="s">
        <v>19899</v>
      </c>
      <c r="Q9716" t="s">
        <v>19909</v>
      </c>
      <c r="R9716" t="s">
        <v>20074</v>
      </c>
      <c r="S9716" t="s">
        <v>20075</v>
      </c>
      <c r="T9716" t="s">
        <v>19911</v>
      </c>
    </row>
    <row r="9717" spans="2:20" x14ac:dyDescent="0.25">
      <c r="B9717" t="s">
        <v>2709</v>
      </c>
      <c r="C9717">
        <v>87082914</v>
      </c>
      <c r="E9717">
        <v>71.78</v>
      </c>
      <c r="F9717">
        <v>18</v>
      </c>
      <c r="G9717">
        <v>5</v>
      </c>
      <c r="H9717">
        <v>10.8</v>
      </c>
      <c r="I9717">
        <v>2.2999999999999998</v>
      </c>
      <c r="J9717">
        <v>14</v>
      </c>
      <c r="L9717" t="s">
        <v>2709</v>
      </c>
      <c r="M9717">
        <v>87082914</v>
      </c>
      <c r="O9717" t="s">
        <v>20056</v>
      </c>
      <c r="P9717" t="s">
        <v>19899</v>
      </c>
      <c r="Q9717" t="s">
        <v>19909</v>
      </c>
      <c r="R9717" t="s">
        <v>20074</v>
      </c>
      <c r="S9717" t="s">
        <v>20075</v>
      </c>
      <c r="T9717" t="s">
        <v>19911</v>
      </c>
    </row>
    <row r="9718" spans="2:20" x14ac:dyDescent="0.25">
      <c r="B9718" t="s">
        <v>2709</v>
      </c>
      <c r="C9718">
        <v>87082919</v>
      </c>
      <c r="E9718">
        <v>71.78</v>
      </c>
      <c r="F9718">
        <v>18</v>
      </c>
      <c r="G9718">
        <v>5</v>
      </c>
      <c r="H9718">
        <v>10.8</v>
      </c>
      <c r="I9718">
        <v>2.2999999999999998</v>
      </c>
      <c r="J9718">
        <v>14</v>
      </c>
      <c r="L9718" t="s">
        <v>2709</v>
      </c>
      <c r="M9718">
        <v>87082919</v>
      </c>
      <c r="O9718" t="s">
        <v>20056</v>
      </c>
      <c r="P9718" t="s">
        <v>19899</v>
      </c>
      <c r="Q9718" t="s">
        <v>19909</v>
      </c>
      <c r="R9718" t="s">
        <v>20074</v>
      </c>
      <c r="S9718" t="s">
        <v>20075</v>
      </c>
      <c r="T9718" t="s">
        <v>19911</v>
      </c>
    </row>
    <row r="9719" spans="2:20" x14ac:dyDescent="0.25">
      <c r="B9719" t="s">
        <v>2709</v>
      </c>
      <c r="C9719">
        <v>87082991</v>
      </c>
      <c r="E9719">
        <v>71.78</v>
      </c>
      <c r="F9719">
        <v>18</v>
      </c>
      <c r="G9719">
        <v>5</v>
      </c>
      <c r="H9719">
        <v>10.8</v>
      </c>
      <c r="I9719">
        <v>2.2999999999999998</v>
      </c>
      <c r="J9719">
        <v>18</v>
      </c>
      <c r="L9719" t="s">
        <v>2709</v>
      </c>
      <c r="M9719">
        <v>87082991</v>
      </c>
      <c r="O9719" t="s">
        <v>20056</v>
      </c>
      <c r="P9719" t="s">
        <v>19899</v>
      </c>
      <c r="Q9719" t="s">
        <v>19909</v>
      </c>
      <c r="R9719" t="s">
        <v>20074</v>
      </c>
      <c r="S9719" t="s">
        <v>20075</v>
      </c>
      <c r="T9719" t="s">
        <v>19899</v>
      </c>
    </row>
    <row r="9720" spans="2:20" x14ac:dyDescent="0.25">
      <c r="B9720" t="s">
        <v>2709</v>
      </c>
      <c r="C9720">
        <v>87082992</v>
      </c>
      <c r="E9720">
        <v>71.78</v>
      </c>
      <c r="F9720">
        <v>18</v>
      </c>
      <c r="G9720">
        <v>5</v>
      </c>
      <c r="H9720">
        <v>10.8</v>
      </c>
      <c r="I9720">
        <v>2.2999999999999998</v>
      </c>
      <c r="J9720">
        <v>18</v>
      </c>
      <c r="L9720" t="s">
        <v>2709</v>
      </c>
      <c r="M9720">
        <v>87082992</v>
      </c>
      <c r="O9720" t="s">
        <v>20056</v>
      </c>
      <c r="P9720" t="s">
        <v>19899</v>
      </c>
      <c r="Q9720" t="s">
        <v>19909</v>
      </c>
      <c r="R9720" t="s">
        <v>20074</v>
      </c>
      <c r="S9720" t="s">
        <v>20075</v>
      </c>
      <c r="T9720" t="s">
        <v>19899</v>
      </c>
    </row>
    <row r="9721" spans="2:20" x14ac:dyDescent="0.25">
      <c r="B9721" t="s">
        <v>2709</v>
      </c>
      <c r="C9721">
        <v>87082993</v>
      </c>
      <c r="E9721">
        <v>71.78</v>
      </c>
      <c r="F9721">
        <v>18</v>
      </c>
      <c r="G9721">
        <v>5</v>
      </c>
      <c r="H9721">
        <v>10.8</v>
      </c>
      <c r="I9721">
        <v>2.2999999999999998</v>
      </c>
      <c r="J9721">
        <v>18</v>
      </c>
      <c r="L9721" t="s">
        <v>2709</v>
      </c>
      <c r="M9721">
        <v>87082993</v>
      </c>
      <c r="O9721" t="s">
        <v>20056</v>
      </c>
      <c r="P9721" t="s">
        <v>19899</v>
      </c>
      <c r="Q9721" t="s">
        <v>19909</v>
      </c>
      <c r="R9721" t="s">
        <v>20074</v>
      </c>
      <c r="S9721" t="s">
        <v>20075</v>
      </c>
      <c r="T9721" t="s">
        <v>19899</v>
      </c>
    </row>
    <row r="9722" spans="2:20" x14ac:dyDescent="0.25">
      <c r="B9722" t="s">
        <v>2709</v>
      </c>
      <c r="C9722">
        <v>87082994</v>
      </c>
      <c r="E9722">
        <v>71.78</v>
      </c>
      <c r="F9722">
        <v>18</v>
      </c>
      <c r="G9722">
        <v>5</v>
      </c>
      <c r="H9722">
        <v>10.8</v>
      </c>
      <c r="I9722">
        <v>2.2999999999999998</v>
      </c>
      <c r="J9722">
        <v>18</v>
      </c>
      <c r="L9722" t="s">
        <v>2709</v>
      </c>
      <c r="M9722">
        <v>87082994</v>
      </c>
      <c r="O9722" t="s">
        <v>20056</v>
      </c>
      <c r="P9722" t="s">
        <v>19899</v>
      </c>
      <c r="Q9722" t="s">
        <v>19909</v>
      </c>
      <c r="R9722" t="s">
        <v>20074</v>
      </c>
      <c r="S9722" t="s">
        <v>20075</v>
      </c>
      <c r="T9722" t="s">
        <v>19899</v>
      </c>
    </row>
    <row r="9723" spans="2:20" x14ac:dyDescent="0.25">
      <c r="B9723" t="s">
        <v>2709</v>
      </c>
      <c r="C9723">
        <v>87082995</v>
      </c>
      <c r="E9723">
        <v>71.78</v>
      </c>
      <c r="F9723">
        <v>18</v>
      </c>
      <c r="G9723">
        <v>5</v>
      </c>
      <c r="H9723">
        <v>10.8</v>
      </c>
      <c r="I9723">
        <v>2.2999999999999998</v>
      </c>
      <c r="J9723">
        <v>2</v>
      </c>
      <c r="L9723" t="s">
        <v>2709</v>
      </c>
      <c r="M9723">
        <v>87082995</v>
      </c>
      <c r="O9723" t="s">
        <v>20056</v>
      </c>
      <c r="P9723" t="s">
        <v>19899</v>
      </c>
      <c r="Q9723" t="s">
        <v>19909</v>
      </c>
      <c r="R9723" t="s">
        <v>20074</v>
      </c>
      <c r="S9723" t="s">
        <v>20075</v>
      </c>
      <c r="T9723" t="s">
        <v>19901</v>
      </c>
    </row>
    <row r="9724" spans="2:20" x14ac:dyDescent="0.25">
      <c r="B9724" t="s">
        <v>2709</v>
      </c>
      <c r="C9724">
        <v>87082999</v>
      </c>
      <c r="E9724">
        <v>71.78</v>
      </c>
      <c r="F9724">
        <v>18</v>
      </c>
      <c r="G9724">
        <v>5</v>
      </c>
      <c r="H9724">
        <v>10.8</v>
      </c>
      <c r="I9724">
        <v>2.2999999999999998</v>
      </c>
      <c r="J9724">
        <v>18</v>
      </c>
      <c r="L9724" t="s">
        <v>2709</v>
      </c>
      <c r="M9724">
        <v>87082999</v>
      </c>
      <c r="O9724" t="s">
        <v>20056</v>
      </c>
      <c r="P9724" t="s">
        <v>19899</v>
      </c>
      <c r="Q9724" t="s">
        <v>19909</v>
      </c>
      <c r="R9724" t="s">
        <v>20074</v>
      </c>
      <c r="S9724" t="s">
        <v>20075</v>
      </c>
      <c r="T9724" t="s">
        <v>19899</v>
      </c>
    </row>
    <row r="9725" spans="2:20" x14ac:dyDescent="0.25">
      <c r="B9725" t="s">
        <v>2709</v>
      </c>
      <c r="C9725">
        <v>87083011</v>
      </c>
      <c r="E9725">
        <v>71.78</v>
      </c>
      <c r="F9725">
        <v>18</v>
      </c>
      <c r="G9725">
        <v>5</v>
      </c>
      <c r="H9725">
        <v>10.8</v>
      </c>
      <c r="I9725">
        <v>2.2999999999999998</v>
      </c>
      <c r="J9725">
        <v>14</v>
      </c>
      <c r="L9725" t="s">
        <v>2709</v>
      </c>
      <c r="M9725">
        <v>87083011</v>
      </c>
      <c r="O9725" t="s">
        <v>20056</v>
      </c>
      <c r="P9725" t="s">
        <v>19899</v>
      </c>
      <c r="Q9725" t="s">
        <v>19909</v>
      </c>
      <c r="R9725" t="s">
        <v>20074</v>
      </c>
      <c r="S9725" t="s">
        <v>20075</v>
      </c>
      <c r="T9725" t="s">
        <v>19911</v>
      </c>
    </row>
    <row r="9726" spans="2:20" x14ac:dyDescent="0.25">
      <c r="B9726" t="s">
        <v>2709</v>
      </c>
      <c r="C9726">
        <v>87083019</v>
      </c>
      <c r="E9726">
        <v>71.78</v>
      </c>
      <c r="F9726">
        <v>18</v>
      </c>
      <c r="G9726">
        <v>5</v>
      </c>
      <c r="H9726">
        <v>10.8</v>
      </c>
      <c r="I9726">
        <v>2.2999999999999998</v>
      </c>
      <c r="J9726">
        <v>18</v>
      </c>
      <c r="L9726" t="s">
        <v>2709</v>
      </c>
      <c r="M9726">
        <v>87083019</v>
      </c>
      <c r="O9726" t="s">
        <v>20056</v>
      </c>
      <c r="P9726" t="s">
        <v>19899</v>
      </c>
      <c r="Q9726" t="s">
        <v>19909</v>
      </c>
      <c r="R9726" t="s">
        <v>20074</v>
      </c>
      <c r="S9726" t="s">
        <v>20075</v>
      </c>
      <c r="T9726" t="s">
        <v>19899</v>
      </c>
    </row>
    <row r="9727" spans="2:20" x14ac:dyDescent="0.25">
      <c r="B9727" t="s">
        <v>2709</v>
      </c>
      <c r="C9727">
        <v>87083090</v>
      </c>
      <c r="E9727">
        <v>71.78</v>
      </c>
      <c r="F9727">
        <v>18</v>
      </c>
      <c r="G9727">
        <v>5</v>
      </c>
      <c r="H9727">
        <v>10.8</v>
      </c>
      <c r="I9727">
        <v>2.2999999999999998</v>
      </c>
      <c r="J9727">
        <v>18</v>
      </c>
      <c r="L9727" t="s">
        <v>2709</v>
      </c>
      <c r="M9727">
        <v>87083090</v>
      </c>
      <c r="O9727" t="s">
        <v>20056</v>
      </c>
      <c r="P9727" t="s">
        <v>19899</v>
      </c>
      <c r="Q9727" t="s">
        <v>19909</v>
      </c>
      <c r="R9727" t="s">
        <v>20074</v>
      </c>
      <c r="S9727" t="s">
        <v>20075</v>
      </c>
      <c r="T9727" t="s">
        <v>19899</v>
      </c>
    </row>
    <row r="9728" spans="2:20" x14ac:dyDescent="0.25">
      <c r="B9728" t="s">
        <v>2709</v>
      </c>
      <c r="C9728">
        <v>87084011</v>
      </c>
      <c r="E9728">
        <v>71.78</v>
      </c>
      <c r="F9728">
        <v>18</v>
      </c>
      <c r="G9728">
        <v>5</v>
      </c>
      <c r="H9728">
        <v>10.8</v>
      </c>
      <c r="I9728">
        <v>2.2999999999999998</v>
      </c>
      <c r="J9728">
        <v>0</v>
      </c>
      <c r="L9728" t="s">
        <v>2709</v>
      </c>
      <c r="M9728">
        <v>87084011</v>
      </c>
      <c r="O9728" t="s">
        <v>20056</v>
      </c>
      <c r="P9728" t="s">
        <v>19899</v>
      </c>
      <c r="Q9728" t="s">
        <v>19909</v>
      </c>
      <c r="R9728" t="s">
        <v>20074</v>
      </c>
      <c r="S9728" t="s">
        <v>20075</v>
      </c>
      <c r="T9728" t="s">
        <v>19900</v>
      </c>
    </row>
    <row r="9729" spans="2:20" x14ac:dyDescent="0.25">
      <c r="B9729" t="s">
        <v>2709</v>
      </c>
      <c r="C9729">
        <v>87084019</v>
      </c>
      <c r="E9729">
        <v>71.78</v>
      </c>
      <c r="F9729">
        <v>18</v>
      </c>
      <c r="G9729">
        <v>5</v>
      </c>
      <c r="H9729">
        <v>10.8</v>
      </c>
      <c r="I9729">
        <v>2.2999999999999998</v>
      </c>
      <c r="J9729">
        <v>14</v>
      </c>
      <c r="L9729" t="s">
        <v>2709</v>
      </c>
      <c r="M9729">
        <v>87084019</v>
      </c>
      <c r="O9729" t="s">
        <v>20056</v>
      </c>
      <c r="P9729" t="s">
        <v>19899</v>
      </c>
      <c r="Q9729" t="s">
        <v>19909</v>
      </c>
      <c r="R9729" t="s">
        <v>20074</v>
      </c>
      <c r="S9729" t="s">
        <v>20075</v>
      </c>
      <c r="T9729" t="s">
        <v>19911</v>
      </c>
    </row>
    <row r="9730" spans="2:20" x14ac:dyDescent="0.25">
      <c r="B9730" t="s">
        <v>2709</v>
      </c>
      <c r="C9730">
        <v>87084080</v>
      </c>
      <c r="E9730">
        <v>71.78</v>
      </c>
      <c r="F9730">
        <v>18</v>
      </c>
      <c r="G9730">
        <v>5</v>
      </c>
      <c r="H9730">
        <v>10.8</v>
      </c>
      <c r="I9730">
        <v>2.2999999999999998</v>
      </c>
      <c r="J9730">
        <v>18</v>
      </c>
      <c r="L9730" t="s">
        <v>2709</v>
      </c>
      <c r="M9730">
        <v>87084080</v>
      </c>
      <c r="O9730" t="s">
        <v>20056</v>
      </c>
      <c r="P9730" t="s">
        <v>19899</v>
      </c>
      <c r="Q9730" t="s">
        <v>19909</v>
      </c>
      <c r="R9730" t="s">
        <v>20074</v>
      </c>
      <c r="S9730" t="s">
        <v>20075</v>
      </c>
      <c r="T9730" t="s">
        <v>19899</v>
      </c>
    </row>
    <row r="9731" spans="2:20" x14ac:dyDescent="0.25">
      <c r="B9731" t="s">
        <v>2709</v>
      </c>
      <c r="C9731">
        <v>87084090</v>
      </c>
      <c r="E9731">
        <v>71.78</v>
      </c>
      <c r="F9731">
        <v>18</v>
      </c>
      <c r="G9731">
        <v>5</v>
      </c>
      <c r="H9731">
        <v>10.8</v>
      </c>
      <c r="I9731">
        <v>2.2999999999999998</v>
      </c>
      <c r="J9731">
        <v>18</v>
      </c>
      <c r="L9731" t="s">
        <v>2709</v>
      </c>
      <c r="M9731">
        <v>87084090</v>
      </c>
      <c r="O9731" t="s">
        <v>20056</v>
      </c>
      <c r="P9731" t="s">
        <v>19899</v>
      </c>
      <c r="Q9731" t="s">
        <v>19909</v>
      </c>
      <c r="R9731" t="s">
        <v>20074</v>
      </c>
      <c r="S9731" t="s">
        <v>20075</v>
      </c>
      <c r="T9731" t="s">
        <v>19899</v>
      </c>
    </row>
    <row r="9732" spans="2:20" x14ac:dyDescent="0.25">
      <c r="B9732" t="s">
        <v>2709</v>
      </c>
      <c r="C9732">
        <v>87085011</v>
      </c>
      <c r="E9732">
        <v>71.78</v>
      </c>
      <c r="F9732">
        <v>18</v>
      </c>
      <c r="G9732">
        <v>5</v>
      </c>
      <c r="H9732">
        <v>10.8</v>
      </c>
      <c r="I9732">
        <v>2.2999999999999998</v>
      </c>
      <c r="J9732">
        <v>0</v>
      </c>
      <c r="L9732" t="s">
        <v>2709</v>
      </c>
      <c r="M9732">
        <v>87085011</v>
      </c>
      <c r="O9732" t="s">
        <v>20056</v>
      </c>
      <c r="P9732" t="s">
        <v>19899</v>
      </c>
      <c r="Q9732" t="s">
        <v>19909</v>
      </c>
      <c r="R9732" t="s">
        <v>20074</v>
      </c>
      <c r="S9732" t="s">
        <v>20075</v>
      </c>
      <c r="T9732" t="s">
        <v>19900</v>
      </c>
    </row>
    <row r="9733" spans="2:20" x14ac:dyDescent="0.25">
      <c r="B9733" t="s">
        <v>2709</v>
      </c>
      <c r="C9733">
        <v>87085012</v>
      </c>
      <c r="E9733">
        <v>71.78</v>
      </c>
      <c r="F9733">
        <v>18</v>
      </c>
      <c r="G9733">
        <v>5</v>
      </c>
      <c r="H9733">
        <v>10.8</v>
      </c>
      <c r="I9733">
        <v>2.2999999999999998</v>
      </c>
      <c r="J9733">
        <v>14</v>
      </c>
      <c r="L9733" t="s">
        <v>2709</v>
      </c>
      <c r="M9733">
        <v>87085012</v>
      </c>
      <c r="O9733" t="s">
        <v>20056</v>
      </c>
      <c r="P9733" t="s">
        <v>19899</v>
      </c>
      <c r="Q9733" t="s">
        <v>19909</v>
      </c>
      <c r="R9733" t="s">
        <v>20074</v>
      </c>
      <c r="S9733" t="s">
        <v>20075</v>
      </c>
      <c r="T9733" t="s">
        <v>19911</v>
      </c>
    </row>
    <row r="9734" spans="2:20" x14ac:dyDescent="0.25">
      <c r="B9734" t="s">
        <v>2709</v>
      </c>
      <c r="C9734">
        <v>87085019</v>
      </c>
      <c r="E9734">
        <v>71.78</v>
      </c>
      <c r="F9734">
        <v>18</v>
      </c>
      <c r="G9734">
        <v>5</v>
      </c>
      <c r="H9734">
        <v>10.8</v>
      </c>
      <c r="I9734">
        <v>2.2999999999999998</v>
      </c>
      <c r="J9734">
        <v>14</v>
      </c>
      <c r="L9734" t="s">
        <v>2709</v>
      </c>
      <c r="M9734">
        <v>87085019</v>
      </c>
      <c r="O9734" t="s">
        <v>20056</v>
      </c>
      <c r="P9734" t="s">
        <v>19899</v>
      </c>
      <c r="Q9734" t="s">
        <v>19909</v>
      </c>
      <c r="R9734" t="s">
        <v>20074</v>
      </c>
      <c r="S9734" t="s">
        <v>20075</v>
      </c>
      <c r="T9734" t="s">
        <v>19911</v>
      </c>
    </row>
    <row r="9735" spans="2:20" x14ac:dyDescent="0.25">
      <c r="B9735" t="s">
        <v>2709</v>
      </c>
      <c r="C9735">
        <v>87085080</v>
      </c>
      <c r="E9735">
        <v>71.78</v>
      </c>
      <c r="F9735">
        <v>18</v>
      </c>
      <c r="G9735">
        <v>5</v>
      </c>
      <c r="H9735">
        <v>10.8</v>
      </c>
      <c r="I9735">
        <v>2.2999999999999998</v>
      </c>
      <c r="J9735">
        <v>18</v>
      </c>
      <c r="L9735" t="s">
        <v>2709</v>
      </c>
      <c r="M9735">
        <v>87085080</v>
      </c>
      <c r="O9735" t="s">
        <v>20056</v>
      </c>
      <c r="P9735" t="s">
        <v>19899</v>
      </c>
      <c r="Q9735" t="s">
        <v>19909</v>
      </c>
      <c r="R9735" t="s">
        <v>20074</v>
      </c>
      <c r="S9735" t="s">
        <v>20075</v>
      </c>
      <c r="T9735" t="s">
        <v>19899</v>
      </c>
    </row>
    <row r="9736" spans="2:20" x14ac:dyDescent="0.25">
      <c r="B9736" t="s">
        <v>2709</v>
      </c>
      <c r="C9736">
        <v>87085091</v>
      </c>
      <c r="E9736">
        <v>71.78</v>
      </c>
      <c r="F9736">
        <v>18</v>
      </c>
      <c r="G9736">
        <v>5</v>
      </c>
      <c r="H9736">
        <v>10.8</v>
      </c>
      <c r="I9736">
        <v>2.2999999999999998</v>
      </c>
      <c r="J9736">
        <v>14</v>
      </c>
      <c r="L9736" t="s">
        <v>2709</v>
      </c>
      <c r="M9736">
        <v>87085091</v>
      </c>
      <c r="O9736" t="s">
        <v>20056</v>
      </c>
      <c r="P9736" t="s">
        <v>19899</v>
      </c>
      <c r="Q9736" t="s">
        <v>19909</v>
      </c>
      <c r="R9736" t="s">
        <v>20074</v>
      </c>
      <c r="S9736" t="s">
        <v>20075</v>
      </c>
      <c r="T9736" t="s">
        <v>19911</v>
      </c>
    </row>
    <row r="9737" spans="2:20" x14ac:dyDescent="0.25">
      <c r="B9737" t="s">
        <v>2709</v>
      </c>
      <c r="C9737">
        <v>87085099</v>
      </c>
      <c r="E9737">
        <v>71.78</v>
      </c>
      <c r="F9737">
        <v>18</v>
      </c>
      <c r="G9737">
        <v>5</v>
      </c>
      <c r="H9737">
        <v>10.8</v>
      </c>
      <c r="I9737">
        <v>2.2999999999999998</v>
      </c>
      <c r="J9737">
        <v>18</v>
      </c>
      <c r="L9737" t="s">
        <v>2709</v>
      </c>
      <c r="M9737">
        <v>87085099</v>
      </c>
      <c r="O9737" t="s">
        <v>20056</v>
      </c>
      <c r="P9737" t="s">
        <v>19899</v>
      </c>
      <c r="Q9737" t="s">
        <v>19909</v>
      </c>
      <c r="R9737" t="s">
        <v>20074</v>
      </c>
      <c r="S9737" t="s">
        <v>20075</v>
      </c>
      <c r="T9737" t="s">
        <v>19899</v>
      </c>
    </row>
    <row r="9738" spans="2:20" x14ac:dyDescent="0.25">
      <c r="B9738" t="s">
        <v>2709</v>
      </c>
      <c r="C9738">
        <v>87087010</v>
      </c>
      <c r="E9738">
        <v>71.78</v>
      </c>
      <c r="F9738">
        <v>18</v>
      </c>
      <c r="G9738">
        <v>5</v>
      </c>
      <c r="H9738">
        <v>10.8</v>
      </c>
      <c r="I9738">
        <v>2.2999999999999998</v>
      </c>
      <c r="J9738">
        <v>14</v>
      </c>
      <c r="L9738" t="s">
        <v>2709</v>
      </c>
      <c r="M9738">
        <v>87087010</v>
      </c>
      <c r="O9738" t="s">
        <v>20056</v>
      </c>
      <c r="P9738" t="s">
        <v>19899</v>
      </c>
      <c r="Q9738" t="s">
        <v>19909</v>
      </c>
      <c r="R9738" t="s">
        <v>20074</v>
      </c>
      <c r="S9738" t="s">
        <v>20075</v>
      </c>
      <c r="T9738" t="s">
        <v>19911</v>
      </c>
    </row>
    <row r="9739" spans="2:20" x14ac:dyDescent="0.25">
      <c r="B9739" t="s">
        <v>2709</v>
      </c>
      <c r="C9739">
        <v>87087090</v>
      </c>
      <c r="E9739">
        <v>71.78</v>
      </c>
      <c r="F9739">
        <v>5.6</v>
      </c>
      <c r="G9739">
        <v>5</v>
      </c>
      <c r="H9739">
        <v>10.8</v>
      </c>
      <c r="I9739">
        <v>2.2999999999999998</v>
      </c>
      <c r="J9739">
        <v>18</v>
      </c>
      <c r="L9739" t="s">
        <v>2709</v>
      </c>
      <c r="M9739">
        <v>87087090</v>
      </c>
      <c r="O9739" t="s">
        <v>20056</v>
      </c>
      <c r="P9739" t="s">
        <v>20133</v>
      </c>
      <c r="Q9739" t="s">
        <v>19909</v>
      </c>
      <c r="R9739" t="s">
        <v>20074</v>
      </c>
      <c r="S9739" t="s">
        <v>20075</v>
      </c>
      <c r="T9739" t="s">
        <v>19899</v>
      </c>
    </row>
    <row r="9740" spans="2:20" x14ac:dyDescent="0.25">
      <c r="B9740" t="s">
        <v>2709</v>
      </c>
      <c r="C9740">
        <v>87088000</v>
      </c>
      <c r="E9740">
        <v>71.78</v>
      </c>
      <c r="F9740">
        <v>18</v>
      </c>
      <c r="G9740">
        <v>5</v>
      </c>
      <c r="H9740">
        <v>10.8</v>
      </c>
      <c r="I9740">
        <v>2.2999999999999998</v>
      </c>
      <c r="J9740">
        <v>18</v>
      </c>
      <c r="L9740" t="s">
        <v>2709</v>
      </c>
      <c r="M9740">
        <v>87088000</v>
      </c>
      <c r="O9740" t="s">
        <v>20056</v>
      </c>
      <c r="P9740" t="s">
        <v>19899</v>
      </c>
      <c r="Q9740" t="s">
        <v>19909</v>
      </c>
      <c r="R9740" t="s">
        <v>20074</v>
      </c>
      <c r="S9740" t="s">
        <v>20075</v>
      </c>
      <c r="T9740" t="s">
        <v>19899</v>
      </c>
    </row>
    <row r="9741" spans="2:20" x14ac:dyDescent="0.25">
      <c r="B9741" t="s">
        <v>2709</v>
      </c>
      <c r="C9741">
        <v>87088000</v>
      </c>
      <c r="D9741">
        <v>1</v>
      </c>
      <c r="E9741" t="s">
        <v>19447</v>
      </c>
      <c r="F9741">
        <v>18</v>
      </c>
      <c r="G9741">
        <v>4</v>
      </c>
      <c r="H9741">
        <v>7.6</v>
      </c>
      <c r="I9741">
        <v>1.65</v>
      </c>
      <c r="J9741">
        <v>18</v>
      </c>
      <c r="L9741" t="s">
        <v>2709</v>
      </c>
      <c r="M9741">
        <v>87088000</v>
      </c>
      <c r="N9741">
        <v>1</v>
      </c>
      <c r="O9741" t="s">
        <v>19447</v>
      </c>
      <c r="P9741" t="s">
        <v>19899</v>
      </c>
      <c r="Q9741" t="s">
        <v>19902</v>
      </c>
      <c r="R9741" t="s">
        <v>19905</v>
      </c>
      <c r="S9741" t="s">
        <v>19906</v>
      </c>
      <c r="T9741" t="s">
        <v>19899</v>
      </c>
    </row>
    <row r="9742" spans="2:20" x14ac:dyDescent="0.25">
      <c r="B9742" t="s">
        <v>2709</v>
      </c>
      <c r="C9742">
        <v>87088000</v>
      </c>
      <c r="D9742">
        <v>2</v>
      </c>
      <c r="E9742" t="s">
        <v>19447</v>
      </c>
      <c r="F9742">
        <v>18</v>
      </c>
      <c r="G9742">
        <v>16</v>
      </c>
      <c r="H9742">
        <v>7.6</v>
      </c>
      <c r="I9742">
        <v>1.65</v>
      </c>
      <c r="J9742">
        <v>18</v>
      </c>
      <c r="L9742" t="s">
        <v>2709</v>
      </c>
      <c r="M9742">
        <v>87088000</v>
      </c>
      <c r="N9742">
        <v>2</v>
      </c>
      <c r="O9742" t="s">
        <v>19447</v>
      </c>
      <c r="P9742" t="s">
        <v>19899</v>
      </c>
      <c r="Q9742" t="s">
        <v>19913</v>
      </c>
      <c r="R9742" t="s">
        <v>19905</v>
      </c>
      <c r="S9742" t="s">
        <v>19906</v>
      </c>
      <c r="T9742" t="s">
        <v>19899</v>
      </c>
    </row>
    <row r="9743" spans="2:20" x14ac:dyDescent="0.25">
      <c r="B9743" t="s">
        <v>2709</v>
      </c>
      <c r="C9743">
        <v>87089100</v>
      </c>
      <c r="E9743">
        <v>71.78</v>
      </c>
      <c r="F9743">
        <v>18</v>
      </c>
      <c r="G9743">
        <v>5</v>
      </c>
      <c r="H9743">
        <v>10.8</v>
      </c>
      <c r="I9743">
        <v>2.2999999999999998</v>
      </c>
      <c r="J9743">
        <v>18</v>
      </c>
      <c r="L9743" t="s">
        <v>2709</v>
      </c>
      <c r="M9743">
        <v>87089100</v>
      </c>
      <c r="O9743" t="s">
        <v>20056</v>
      </c>
      <c r="P9743" t="s">
        <v>19899</v>
      </c>
      <c r="Q9743" t="s">
        <v>19909</v>
      </c>
      <c r="R9743" t="s">
        <v>20074</v>
      </c>
      <c r="S9743" t="s">
        <v>20075</v>
      </c>
      <c r="T9743" t="s">
        <v>19899</v>
      </c>
    </row>
    <row r="9744" spans="2:20" x14ac:dyDescent="0.25">
      <c r="B9744" t="s">
        <v>2709</v>
      </c>
      <c r="C9744">
        <v>87089200</v>
      </c>
      <c r="E9744">
        <v>71.78</v>
      </c>
      <c r="F9744">
        <v>18</v>
      </c>
      <c r="G9744">
        <v>16</v>
      </c>
      <c r="H9744">
        <v>10.8</v>
      </c>
      <c r="I9744">
        <v>2.2999999999999998</v>
      </c>
      <c r="J9744">
        <v>18</v>
      </c>
      <c r="L9744" t="s">
        <v>2709</v>
      </c>
      <c r="M9744">
        <v>87089200</v>
      </c>
      <c r="O9744" t="s">
        <v>20056</v>
      </c>
      <c r="P9744" t="s">
        <v>19899</v>
      </c>
      <c r="Q9744" t="s">
        <v>19913</v>
      </c>
      <c r="R9744" t="s">
        <v>20074</v>
      </c>
      <c r="S9744" t="s">
        <v>20075</v>
      </c>
      <c r="T9744" t="s">
        <v>19899</v>
      </c>
    </row>
    <row r="9745" spans="2:20" x14ac:dyDescent="0.25">
      <c r="B9745" t="s">
        <v>2709</v>
      </c>
      <c r="C9745">
        <v>87089200</v>
      </c>
      <c r="D9745">
        <v>1</v>
      </c>
      <c r="E9745" t="s">
        <v>19447</v>
      </c>
      <c r="F9745">
        <v>18</v>
      </c>
      <c r="G9745">
        <v>4</v>
      </c>
      <c r="H9745">
        <v>7.6</v>
      </c>
      <c r="I9745">
        <v>1.65</v>
      </c>
      <c r="J9745">
        <v>18</v>
      </c>
      <c r="L9745" t="s">
        <v>2709</v>
      </c>
      <c r="M9745">
        <v>87089200</v>
      </c>
      <c r="N9745">
        <v>1</v>
      </c>
      <c r="O9745" t="s">
        <v>19447</v>
      </c>
      <c r="P9745" t="s">
        <v>19899</v>
      </c>
      <c r="Q9745" t="s">
        <v>19902</v>
      </c>
      <c r="R9745" t="s">
        <v>19905</v>
      </c>
      <c r="S9745" t="s">
        <v>19906</v>
      </c>
      <c r="T9745" t="s">
        <v>19899</v>
      </c>
    </row>
    <row r="9746" spans="2:20" x14ac:dyDescent="0.25">
      <c r="B9746" t="s">
        <v>2709</v>
      </c>
      <c r="C9746">
        <v>87089200</v>
      </c>
      <c r="D9746">
        <v>2</v>
      </c>
      <c r="E9746" t="s">
        <v>19447</v>
      </c>
      <c r="F9746">
        <v>18</v>
      </c>
      <c r="G9746">
        <v>5</v>
      </c>
      <c r="H9746">
        <v>7.6</v>
      </c>
      <c r="I9746">
        <v>1.65</v>
      </c>
      <c r="J9746">
        <v>18</v>
      </c>
      <c r="L9746" t="s">
        <v>2709</v>
      </c>
      <c r="M9746">
        <v>87089200</v>
      </c>
      <c r="N9746">
        <v>2</v>
      </c>
      <c r="O9746" t="s">
        <v>19447</v>
      </c>
      <c r="P9746" t="s">
        <v>19899</v>
      </c>
      <c r="Q9746" t="s">
        <v>19909</v>
      </c>
      <c r="R9746" t="s">
        <v>19905</v>
      </c>
      <c r="S9746" t="s">
        <v>19906</v>
      </c>
      <c r="T9746" t="s">
        <v>19899</v>
      </c>
    </row>
    <row r="9747" spans="2:20" x14ac:dyDescent="0.25">
      <c r="B9747" t="s">
        <v>2709</v>
      </c>
      <c r="C9747">
        <v>87089300</v>
      </c>
      <c r="E9747">
        <v>71.78</v>
      </c>
      <c r="F9747">
        <v>18</v>
      </c>
      <c r="G9747">
        <v>16</v>
      </c>
      <c r="H9747">
        <v>10.8</v>
      </c>
      <c r="I9747">
        <v>2.2999999999999998</v>
      </c>
      <c r="J9747">
        <v>18</v>
      </c>
      <c r="L9747" t="s">
        <v>2709</v>
      </c>
      <c r="M9747">
        <v>87089300</v>
      </c>
      <c r="O9747" t="s">
        <v>20056</v>
      </c>
      <c r="P9747" t="s">
        <v>19899</v>
      </c>
      <c r="Q9747" t="s">
        <v>19913</v>
      </c>
      <c r="R9747" t="s">
        <v>20074</v>
      </c>
      <c r="S9747" t="s">
        <v>20075</v>
      </c>
      <c r="T9747" t="s">
        <v>19899</v>
      </c>
    </row>
    <row r="9748" spans="2:20" x14ac:dyDescent="0.25">
      <c r="B9748" t="s">
        <v>2709</v>
      </c>
      <c r="C9748">
        <v>87089300</v>
      </c>
      <c r="D9748">
        <v>1</v>
      </c>
      <c r="E9748" t="s">
        <v>19447</v>
      </c>
      <c r="F9748">
        <v>18</v>
      </c>
      <c r="G9748">
        <v>4</v>
      </c>
      <c r="H9748">
        <v>7.6</v>
      </c>
      <c r="I9748">
        <v>1.65</v>
      </c>
      <c r="J9748">
        <v>18</v>
      </c>
      <c r="L9748" t="s">
        <v>2709</v>
      </c>
      <c r="M9748">
        <v>87089300</v>
      </c>
      <c r="N9748">
        <v>1</v>
      </c>
      <c r="O9748" t="s">
        <v>19447</v>
      </c>
      <c r="P9748" t="s">
        <v>19899</v>
      </c>
      <c r="Q9748" t="s">
        <v>19902</v>
      </c>
      <c r="R9748" t="s">
        <v>19905</v>
      </c>
      <c r="S9748" t="s">
        <v>19906</v>
      </c>
      <c r="T9748" t="s">
        <v>19899</v>
      </c>
    </row>
    <row r="9749" spans="2:20" x14ac:dyDescent="0.25">
      <c r="B9749" t="s">
        <v>2709</v>
      </c>
      <c r="C9749">
        <v>87089411</v>
      </c>
      <c r="E9749">
        <v>71.78</v>
      </c>
      <c r="F9749">
        <v>18</v>
      </c>
      <c r="G9749">
        <v>4</v>
      </c>
      <c r="H9749">
        <v>10.8</v>
      </c>
      <c r="I9749">
        <v>2.2999999999999998</v>
      </c>
      <c r="J9749">
        <v>14</v>
      </c>
      <c r="L9749" t="s">
        <v>2709</v>
      </c>
      <c r="M9749">
        <v>87089411</v>
      </c>
      <c r="O9749" t="s">
        <v>20056</v>
      </c>
      <c r="P9749" t="s">
        <v>19899</v>
      </c>
      <c r="Q9749" t="s">
        <v>19902</v>
      </c>
      <c r="R9749" t="s">
        <v>20074</v>
      </c>
      <c r="S9749" t="s">
        <v>20075</v>
      </c>
      <c r="T9749" t="s">
        <v>19911</v>
      </c>
    </row>
    <row r="9750" spans="2:20" x14ac:dyDescent="0.25">
      <c r="B9750" t="s">
        <v>2709</v>
      </c>
      <c r="C9750">
        <v>87089412</v>
      </c>
      <c r="E9750">
        <v>71.78</v>
      </c>
      <c r="F9750">
        <v>18</v>
      </c>
      <c r="G9750">
        <v>4</v>
      </c>
      <c r="H9750">
        <v>10.8</v>
      </c>
      <c r="I9750">
        <v>2.2999999999999998</v>
      </c>
      <c r="J9750">
        <v>14</v>
      </c>
      <c r="L9750" t="s">
        <v>2709</v>
      </c>
      <c r="M9750">
        <v>87089412</v>
      </c>
      <c r="O9750" t="s">
        <v>20056</v>
      </c>
      <c r="P9750" t="s">
        <v>19899</v>
      </c>
      <c r="Q9750" t="s">
        <v>19902</v>
      </c>
      <c r="R9750" t="s">
        <v>20074</v>
      </c>
      <c r="S9750" t="s">
        <v>20075</v>
      </c>
      <c r="T9750" t="s">
        <v>19911</v>
      </c>
    </row>
    <row r="9751" spans="2:20" x14ac:dyDescent="0.25">
      <c r="B9751" t="s">
        <v>2709</v>
      </c>
      <c r="C9751">
        <v>87089413</v>
      </c>
      <c r="E9751">
        <v>71.78</v>
      </c>
      <c r="F9751">
        <v>18</v>
      </c>
      <c r="G9751">
        <v>4</v>
      </c>
      <c r="H9751">
        <v>10.8</v>
      </c>
      <c r="I9751">
        <v>2.2999999999999998</v>
      </c>
      <c r="J9751">
        <v>14</v>
      </c>
      <c r="L9751" t="s">
        <v>2709</v>
      </c>
      <c r="M9751">
        <v>87089413</v>
      </c>
      <c r="O9751" t="s">
        <v>20056</v>
      </c>
      <c r="P9751" t="s">
        <v>19899</v>
      </c>
      <c r="Q9751" t="s">
        <v>19902</v>
      </c>
      <c r="R9751" t="s">
        <v>20074</v>
      </c>
      <c r="S9751" t="s">
        <v>20075</v>
      </c>
      <c r="T9751" t="s">
        <v>19911</v>
      </c>
    </row>
    <row r="9752" spans="2:20" x14ac:dyDescent="0.25">
      <c r="B9752" t="s">
        <v>2709</v>
      </c>
      <c r="C9752">
        <v>87089481</v>
      </c>
      <c r="E9752">
        <v>71.78</v>
      </c>
      <c r="F9752">
        <v>18</v>
      </c>
      <c r="G9752">
        <v>5</v>
      </c>
      <c r="H9752">
        <v>10.8</v>
      </c>
      <c r="I9752">
        <v>2.2999999999999998</v>
      </c>
      <c r="J9752">
        <v>18</v>
      </c>
      <c r="L9752" t="s">
        <v>2709</v>
      </c>
      <c r="M9752">
        <v>87089481</v>
      </c>
      <c r="O9752" t="s">
        <v>20056</v>
      </c>
      <c r="P9752" t="s">
        <v>19899</v>
      </c>
      <c r="Q9752" t="s">
        <v>19909</v>
      </c>
      <c r="R9752" t="s">
        <v>20074</v>
      </c>
      <c r="S9752" t="s">
        <v>20075</v>
      </c>
      <c r="T9752" t="s">
        <v>19899</v>
      </c>
    </row>
    <row r="9753" spans="2:20" x14ac:dyDescent="0.25">
      <c r="B9753" t="s">
        <v>2709</v>
      </c>
      <c r="C9753">
        <v>87089482</v>
      </c>
      <c r="E9753">
        <v>71.78</v>
      </c>
      <c r="F9753">
        <v>18</v>
      </c>
      <c r="G9753">
        <v>5</v>
      </c>
      <c r="H9753">
        <v>10.8</v>
      </c>
      <c r="I9753">
        <v>2.2999999999999998</v>
      </c>
      <c r="J9753">
        <v>18</v>
      </c>
      <c r="L9753" t="s">
        <v>2709</v>
      </c>
      <c r="M9753">
        <v>87089482</v>
      </c>
      <c r="O9753" t="s">
        <v>20056</v>
      </c>
      <c r="P9753" t="s">
        <v>19899</v>
      </c>
      <c r="Q9753" t="s">
        <v>19909</v>
      </c>
      <c r="R9753" t="s">
        <v>20074</v>
      </c>
      <c r="S9753" t="s">
        <v>20075</v>
      </c>
      <c r="T9753" t="s">
        <v>19899</v>
      </c>
    </row>
    <row r="9754" spans="2:20" x14ac:dyDescent="0.25">
      <c r="B9754" t="s">
        <v>2709</v>
      </c>
      <c r="C9754">
        <v>87089483</v>
      </c>
      <c r="E9754">
        <v>71.78</v>
      </c>
      <c r="F9754">
        <v>18</v>
      </c>
      <c r="G9754">
        <v>5</v>
      </c>
      <c r="H9754">
        <v>10.8</v>
      </c>
      <c r="I9754">
        <v>2.2999999999999998</v>
      </c>
      <c r="J9754">
        <v>18</v>
      </c>
      <c r="L9754" t="s">
        <v>2709</v>
      </c>
      <c r="M9754">
        <v>87089483</v>
      </c>
      <c r="O9754" t="s">
        <v>20056</v>
      </c>
      <c r="P9754" t="s">
        <v>19899</v>
      </c>
      <c r="Q9754" t="s">
        <v>19909</v>
      </c>
      <c r="R9754" t="s">
        <v>20074</v>
      </c>
      <c r="S9754" t="s">
        <v>20075</v>
      </c>
      <c r="T9754" t="s">
        <v>19899</v>
      </c>
    </row>
    <row r="9755" spans="2:20" x14ac:dyDescent="0.25">
      <c r="B9755" t="s">
        <v>2709</v>
      </c>
      <c r="C9755">
        <v>87089490</v>
      </c>
      <c r="E9755">
        <v>71.78</v>
      </c>
      <c r="F9755">
        <v>18</v>
      </c>
      <c r="G9755">
        <v>5</v>
      </c>
      <c r="H9755">
        <v>10.8</v>
      </c>
      <c r="I9755">
        <v>2.2999999999999998</v>
      </c>
      <c r="J9755">
        <v>18</v>
      </c>
      <c r="L9755" t="s">
        <v>2709</v>
      </c>
      <c r="M9755">
        <v>87089490</v>
      </c>
      <c r="O9755" t="s">
        <v>20056</v>
      </c>
      <c r="P9755" t="s">
        <v>19899</v>
      </c>
      <c r="Q9755" t="s">
        <v>19909</v>
      </c>
      <c r="R9755" t="s">
        <v>20074</v>
      </c>
      <c r="S9755" t="s">
        <v>20075</v>
      </c>
      <c r="T9755" t="s">
        <v>19899</v>
      </c>
    </row>
    <row r="9756" spans="2:20" x14ac:dyDescent="0.25">
      <c r="B9756" t="s">
        <v>2709</v>
      </c>
      <c r="C9756">
        <v>87089510</v>
      </c>
      <c r="E9756">
        <v>71.78</v>
      </c>
      <c r="F9756">
        <v>18</v>
      </c>
      <c r="G9756">
        <v>5</v>
      </c>
      <c r="H9756">
        <v>10.8</v>
      </c>
      <c r="I9756">
        <v>2.2999999999999998</v>
      </c>
      <c r="J9756">
        <v>18</v>
      </c>
      <c r="L9756" t="s">
        <v>2709</v>
      </c>
      <c r="M9756">
        <v>87089510</v>
      </c>
      <c r="O9756" t="s">
        <v>20056</v>
      </c>
      <c r="P9756" t="s">
        <v>19899</v>
      </c>
      <c r="Q9756" t="s">
        <v>19909</v>
      </c>
      <c r="R9756" t="s">
        <v>20074</v>
      </c>
      <c r="S9756" t="s">
        <v>20075</v>
      </c>
      <c r="T9756" t="s">
        <v>19899</v>
      </c>
    </row>
    <row r="9757" spans="2:20" x14ac:dyDescent="0.25">
      <c r="B9757" t="s">
        <v>2709</v>
      </c>
      <c r="C9757">
        <v>87089521</v>
      </c>
      <c r="E9757">
        <v>71.78</v>
      </c>
      <c r="F9757">
        <v>18</v>
      </c>
      <c r="G9757">
        <v>5</v>
      </c>
      <c r="H9757">
        <v>10.8</v>
      </c>
      <c r="I9757">
        <v>2.2999999999999998</v>
      </c>
      <c r="J9757">
        <v>2</v>
      </c>
      <c r="L9757" t="s">
        <v>2709</v>
      </c>
      <c r="M9757">
        <v>87089521</v>
      </c>
      <c r="O9757" t="s">
        <v>20056</v>
      </c>
      <c r="P9757" t="s">
        <v>19899</v>
      </c>
      <c r="Q9757" t="s">
        <v>19909</v>
      </c>
      <c r="R9757" t="s">
        <v>20074</v>
      </c>
      <c r="S9757" t="s">
        <v>20075</v>
      </c>
      <c r="T9757" t="s">
        <v>19901</v>
      </c>
    </row>
    <row r="9758" spans="2:20" x14ac:dyDescent="0.25">
      <c r="B9758" t="s">
        <v>2709</v>
      </c>
      <c r="C9758">
        <v>87089522</v>
      </c>
      <c r="E9758">
        <v>71.78</v>
      </c>
      <c r="F9758">
        <v>18</v>
      </c>
      <c r="G9758">
        <v>5</v>
      </c>
      <c r="H9758">
        <v>10.8</v>
      </c>
      <c r="I9758">
        <v>2.2999999999999998</v>
      </c>
      <c r="J9758">
        <v>2</v>
      </c>
      <c r="L9758" t="s">
        <v>2709</v>
      </c>
      <c r="M9758">
        <v>87089522</v>
      </c>
      <c r="O9758" t="s">
        <v>20056</v>
      </c>
      <c r="P9758" t="s">
        <v>19899</v>
      </c>
      <c r="Q9758" t="s">
        <v>19909</v>
      </c>
      <c r="R9758" t="s">
        <v>20074</v>
      </c>
      <c r="S9758" t="s">
        <v>20075</v>
      </c>
      <c r="T9758" t="s">
        <v>19901</v>
      </c>
    </row>
    <row r="9759" spans="2:20" x14ac:dyDescent="0.25">
      <c r="B9759" t="s">
        <v>2709</v>
      </c>
      <c r="C9759">
        <v>87089529</v>
      </c>
      <c r="E9759">
        <v>71.78</v>
      </c>
      <c r="F9759">
        <v>18</v>
      </c>
      <c r="G9759">
        <v>5</v>
      </c>
      <c r="H9759">
        <v>10.8</v>
      </c>
      <c r="I9759">
        <v>2.2999999999999998</v>
      </c>
      <c r="J9759">
        <v>18</v>
      </c>
      <c r="L9759" t="s">
        <v>2709</v>
      </c>
      <c r="M9759">
        <v>87089529</v>
      </c>
      <c r="O9759" t="s">
        <v>20056</v>
      </c>
      <c r="P9759" t="s">
        <v>19899</v>
      </c>
      <c r="Q9759" t="s">
        <v>19909</v>
      </c>
      <c r="R9759" t="s">
        <v>20074</v>
      </c>
      <c r="S9759" t="s">
        <v>20075</v>
      </c>
      <c r="T9759" t="s">
        <v>19899</v>
      </c>
    </row>
    <row r="9760" spans="2:20" x14ac:dyDescent="0.25">
      <c r="B9760" t="s">
        <v>2709</v>
      </c>
      <c r="C9760">
        <v>87089910</v>
      </c>
      <c r="E9760">
        <v>71.78</v>
      </c>
      <c r="F9760">
        <v>18</v>
      </c>
      <c r="G9760">
        <v>0</v>
      </c>
      <c r="H9760">
        <v>10.8</v>
      </c>
      <c r="I9760">
        <v>2.2999999999999998</v>
      </c>
      <c r="J9760">
        <v>0</v>
      </c>
      <c r="L9760" t="s">
        <v>2709</v>
      </c>
      <c r="M9760">
        <v>87089910</v>
      </c>
      <c r="O9760" t="s">
        <v>20056</v>
      </c>
      <c r="P9760" t="s">
        <v>19899</v>
      </c>
      <c r="Q9760" t="s">
        <v>19900</v>
      </c>
      <c r="R9760" t="s">
        <v>20074</v>
      </c>
      <c r="S9760" t="s">
        <v>20075</v>
      </c>
      <c r="T9760" t="s">
        <v>19900</v>
      </c>
    </row>
    <row r="9761" spans="2:20" x14ac:dyDescent="0.25">
      <c r="B9761" t="s">
        <v>2709</v>
      </c>
      <c r="C9761">
        <v>87089990</v>
      </c>
      <c r="E9761">
        <v>71.78</v>
      </c>
      <c r="F9761">
        <v>18</v>
      </c>
      <c r="G9761">
        <v>5</v>
      </c>
      <c r="H9761">
        <v>10.8</v>
      </c>
      <c r="I9761">
        <v>2.2999999999999998</v>
      </c>
      <c r="J9761">
        <v>18</v>
      </c>
      <c r="L9761" t="s">
        <v>2709</v>
      </c>
      <c r="M9761">
        <v>87089990</v>
      </c>
      <c r="O9761" t="s">
        <v>20056</v>
      </c>
      <c r="P9761" t="s">
        <v>19899</v>
      </c>
      <c r="Q9761" t="s">
        <v>19909</v>
      </c>
      <c r="R9761" t="s">
        <v>20074</v>
      </c>
      <c r="S9761" t="s">
        <v>20075</v>
      </c>
      <c r="T9761" t="s">
        <v>19899</v>
      </c>
    </row>
    <row r="9762" spans="2:20" x14ac:dyDescent="0.25">
      <c r="B9762" t="s">
        <v>2709</v>
      </c>
      <c r="C9762">
        <v>87091100</v>
      </c>
      <c r="E9762">
        <v>71.78</v>
      </c>
      <c r="F9762">
        <v>12</v>
      </c>
      <c r="G9762">
        <v>0</v>
      </c>
      <c r="H9762">
        <v>3</v>
      </c>
      <c r="I9762">
        <v>0.65</v>
      </c>
      <c r="J9762">
        <v>14</v>
      </c>
      <c r="L9762" t="s">
        <v>2709</v>
      </c>
      <c r="M9762">
        <v>87091100</v>
      </c>
      <c r="O9762" t="s">
        <v>20056</v>
      </c>
      <c r="P9762" t="s">
        <v>19903</v>
      </c>
      <c r="Q9762" t="s">
        <v>19900</v>
      </c>
      <c r="R9762" t="s">
        <v>19997</v>
      </c>
      <c r="S9762" t="s">
        <v>19998</v>
      </c>
      <c r="T9762" t="s">
        <v>19911</v>
      </c>
    </row>
    <row r="9763" spans="2:20" x14ac:dyDescent="0.25">
      <c r="B9763" t="s">
        <v>2709</v>
      </c>
      <c r="C9763">
        <v>87091900</v>
      </c>
      <c r="E9763">
        <v>71.78</v>
      </c>
      <c r="F9763">
        <v>12</v>
      </c>
      <c r="G9763">
        <v>0</v>
      </c>
      <c r="H9763">
        <v>3</v>
      </c>
      <c r="I9763">
        <v>0.65</v>
      </c>
      <c r="J9763">
        <v>14</v>
      </c>
      <c r="L9763" t="s">
        <v>2709</v>
      </c>
      <c r="M9763">
        <v>87091900</v>
      </c>
      <c r="O9763" t="s">
        <v>20056</v>
      </c>
      <c r="P9763" t="s">
        <v>19903</v>
      </c>
      <c r="Q9763" t="s">
        <v>19900</v>
      </c>
      <c r="R9763" t="s">
        <v>19997</v>
      </c>
      <c r="S9763" t="s">
        <v>19998</v>
      </c>
      <c r="T9763" t="s">
        <v>19911</v>
      </c>
    </row>
    <row r="9764" spans="2:20" x14ac:dyDescent="0.25">
      <c r="B9764" t="s">
        <v>2709</v>
      </c>
      <c r="C9764">
        <v>87099000</v>
      </c>
      <c r="E9764">
        <v>71.78</v>
      </c>
      <c r="F9764">
        <v>12</v>
      </c>
      <c r="G9764">
        <v>5</v>
      </c>
      <c r="H9764">
        <v>3</v>
      </c>
      <c r="I9764">
        <v>0.65</v>
      </c>
      <c r="J9764">
        <v>14</v>
      </c>
      <c r="L9764" t="s">
        <v>2709</v>
      </c>
      <c r="M9764">
        <v>87099000</v>
      </c>
      <c r="O9764" t="s">
        <v>20056</v>
      </c>
      <c r="P9764" t="s">
        <v>19903</v>
      </c>
      <c r="Q9764" t="s">
        <v>19909</v>
      </c>
      <c r="R9764" t="s">
        <v>19997</v>
      </c>
      <c r="S9764" t="s">
        <v>19998</v>
      </c>
      <c r="T9764" t="s">
        <v>19911</v>
      </c>
    </row>
    <row r="9765" spans="2:20" x14ac:dyDescent="0.25">
      <c r="B9765" t="s">
        <v>2709</v>
      </c>
      <c r="C9765">
        <v>87100000</v>
      </c>
      <c r="E9765">
        <v>71.78</v>
      </c>
      <c r="F9765">
        <v>18</v>
      </c>
      <c r="G9765">
        <v>0</v>
      </c>
      <c r="H9765">
        <v>3</v>
      </c>
      <c r="I9765">
        <v>0.65</v>
      </c>
      <c r="J9765">
        <v>0</v>
      </c>
      <c r="L9765" t="s">
        <v>2709</v>
      </c>
      <c r="M9765">
        <v>87100000</v>
      </c>
      <c r="O9765" t="s">
        <v>20056</v>
      </c>
      <c r="P9765" t="s">
        <v>19899</v>
      </c>
      <c r="Q9765" t="s">
        <v>19900</v>
      </c>
      <c r="R9765" t="s">
        <v>19997</v>
      </c>
      <c r="S9765" t="s">
        <v>19998</v>
      </c>
      <c r="T9765" t="s">
        <v>19900</v>
      </c>
    </row>
    <row r="9766" spans="2:20" x14ac:dyDescent="0.25">
      <c r="B9766" t="s">
        <v>2709</v>
      </c>
      <c r="C9766">
        <v>87111000</v>
      </c>
      <c r="E9766">
        <v>34</v>
      </c>
      <c r="F9766">
        <v>12</v>
      </c>
      <c r="G9766">
        <v>35</v>
      </c>
      <c r="H9766">
        <v>3</v>
      </c>
      <c r="I9766">
        <v>0.65</v>
      </c>
      <c r="J9766">
        <v>20</v>
      </c>
      <c r="L9766" t="s">
        <v>2709</v>
      </c>
      <c r="M9766">
        <v>87111000</v>
      </c>
      <c r="O9766" t="s">
        <v>20115</v>
      </c>
      <c r="P9766" t="s">
        <v>19903</v>
      </c>
      <c r="Q9766" t="s">
        <v>19919</v>
      </c>
      <c r="R9766" t="s">
        <v>19997</v>
      </c>
      <c r="S9766" t="s">
        <v>19998</v>
      </c>
      <c r="T9766" t="s">
        <v>19934</v>
      </c>
    </row>
    <row r="9767" spans="2:20" x14ac:dyDescent="0.25">
      <c r="B9767" t="s">
        <v>2709</v>
      </c>
      <c r="C9767">
        <v>87112010</v>
      </c>
      <c r="E9767">
        <v>34</v>
      </c>
      <c r="F9767">
        <v>12</v>
      </c>
      <c r="G9767">
        <v>35</v>
      </c>
      <c r="H9767">
        <v>3</v>
      </c>
      <c r="I9767">
        <v>0.65</v>
      </c>
      <c r="J9767">
        <v>20</v>
      </c>
      <c r="L9767" t="s">
        <v>2709</v>
      </c>
      <c r="M9767">
        <v>87112010</v>
      </c>
      <c r="O9767" t="s">
        <v>20115</v>
      </c>
      <c r="P9767" t="s">
        <v>19903</v>
      </c>
      <c r="Q9767" t="s">
        <v>19919</v>
      </c>
      <c r="R9767" t="s">
        <v>19997</v>
      </c>
      <c r="S9767" t="s">
        <v>19998</v>
      </c>
      <c r="T9767" t="s">
        <v>19934</v>
      </c>
    </row>
    <row r="9768" spans="2:20" x14ac:dyDescent="0.25">
      <c r="B9768" t="s">
        <v>2709</v>
      </c>
      <c r="C9768">
        <v>87112020</v>
      </c>
      <c r="E9768">
        <v>34</v>
      </c>
      <c r="F9768">
        <v>25</v>
      </c>
      <c r="G9768">
        <v>35</v>
      </c>
      <c r="H9768">
        <v>3</v>
      </c>
      <c r="I9768">
        <v>0.65</v>
      </c>
      <c r="J9768">
        <v>20</v>
      </c>
      <c r="L9768" t="s">
        <v>2709</v>
      </c>
      <c r="M9768">
        <v>87112020</v>
      </c>
      <c r="O9768" t="s">
        <v>20115</v>
      </c>
      <c r="P9768" t="s">
        <v>19982</v>
      </c>
      <c r="Q9768" t="s">
        <v>19919</v>
      </c>
      <c r="R9768" t="s">
        <v>19997</v>
      </c>
      <c r="S9768" t="s">
        <v>19998</v>
      </c>
      <c r="T9768" t="s">
        <v>19934</v>
      </c>
    </row>
    <row r="9769" spans="2:20" x14ac:dyDescent="0.25">
      <c r="B9769" t="s">
        <v>2709</v>
      </c>
      <c r="C9769">
        <v>87112090</v>
      </c>
      <c r="E9769">
        <v>34</v>
      </c>
      <c r="F9769">
        <v>12</v>
      </c>
      <c r="G9769">
        <v>35</v>
      </c>
      <c r="H9769">
        <v>3</v>
      </c>
      <c r="I9769">
        <v>0.65</v>
      </c>
      <c r="J9769">
        <v>20</v>
      </c>
      <c r="L9769" t="s">
        <v>2709</v>
      </c>
      <c r="M9769">
        <v>87112090</v>
      </c>
      <c r="O9769" t="s">
        <v>20115</v>
      </c>
      <c r="P9769" t="s">
        <v>19903</v>
      </c>
      <c r="Q9769" t="s">
        <v>19919</v>
      </c>
      <c r="R9769" t="s">
        <v>19997</v>
      </c>
      <c r="S9769" t="s">
        <v>19998</v>
      </c>
      <c r="T9769" t="s">
        <v>19934</v>
      </c>
    </row>
    <row r="9770" spans="2:20" x14ac:dyDescent="0.25">
      <c r="B9770" t="s">
        <v>2709</v>
      </c>
      <c r="C9770">
        <v>87113000</v>
      </c>
      <c r="E9770">
        <v>34</v>
      </c>
      <c r="F9770">
        <v>12</v>
      </c>
      <c r="G9770">
        <v>35</v>
      </c>
      <c r="H9770">
        <v>3</v>
      </c>
      <c r="I9770">
        <v>0.65</v>
      </c>
      <c r="J9770">
        <v>20</v>
      </c>
      <c r="L9770" t="s">
        <v>2709</v>
      </c>
      <c r="M9770">
        <v>87113000</v>
      </c>
      <c r="O9770" t="s">
        <v>20115</v>
      </c>
      <c r="P9770" t="s">
        <v>19903</v>
      </c>
      <c r="Q9770" t="s">
        <v>19919</v>
      </c>
      <c r="R9770" t="s">
        <v>19997</v>
      </c>
      <c r="S9770" t="s">
        <v>19998</v>
      </c>
      <c r="T9770" t="s">
        <v>19934</v>
      </c>
    </row>
    <row r="9771" spans="2:20" x14ac:dyDescent="0.25">
      <c r="B9771" t="s">
        <v>2709</v>
      </c>
      <c r="C9771">
        <v>87114000</v>
      </c>
      <c r="E9771">
        <v>34</v>
      </c>
      <c r="F9771">
        <v>12</v>
      </c>
      <c r="G9771">
        <v>35</v>
      </c>
      <c r="H9771">
        <v>3</v>
      </c>
      <c r="I9771">
        <v>0.65</v>
      </c>
      <c r="J9771">
        <v>20</v>
      </c>
      <c r="L9771" t="s">
        <v>2709</v>
      </c>
      <c r="M9771">
        <v>87114000</v>
      </c>
      <c r="O9771" t="s">
        <v>20115</v>
      </c>
      <c r="P9771" t="s">
        <v>19903</v>
      </c>
      <c r="Q9771" t="s">
        <v>19919</v>
      </c>
      <c r="R9771" t="s">
        <v>19997</v>
      </c>
      <c r="S9771" t="s">
        <v>19998</v>
      </c>
      <c r="T9771" t="s">
        <v>19934</v>
      </c>
    </row>
    <row r="9772" spans="2:20" x14ac:dyDescent="0.25">
      <c r="B9772" t="s">
        <v>2709</v>
      </c>
      <c r="C9772">
        <v>87115000</v>
      </c>
      <c r="E9772">
        <v>34</v>
      </c>
      <c r="F9772">
        <v>12</v>
      </c>
      <c r="G9772">
        <v>35</v>
      </c>
      <c r="H9772">
        <v>3</v>
      </c>
      <c r="I9772">
        <v>0.65</v>
      </c>
      <c r="J9772">
        <v>20</v>
      </c>
      <c r="L9772" t="s">
        <v>2709</v>
      </c>
      <c r="M9772">
        <v>87115000</v>
      </c>
      <c r="O9772" t="s">
        <v>20115</v>
      </c>
      <c r="P9772" t="s">
        <v>19903</v>
      </c>
      <c r="Q9772" t="s">
        <v>19919</v>
      </c>
      <c r="R9772" t="s">
        <v>19997</v>
      </c>
      <c r="S9772" t="s">
        <v>19998</v>
      </c>
      <c r="T9772" t="s">
        <v>19934</v>
      </c>
    </row>
    <row r="9773" spans="2:20" x14ac:dyDescent="0.25">
      <c r="B9773" t="s">
        <v>2709</v>
      </c>
      <c r="C9773">
        <v>87119000</v>
      </c>
      <c r="E9773">
        <v>34</v>
      </c>
      <c r="F9773">
        <v>12</v>
      </c>
      <c r="G9773">
        <v>35</v>
      </c>
      <c r="H9773">
        <v>3</v>
      </c>
      <c r="I9773">
        <v>0.65</v>
      </c>
      <c r="J9773">
        <v>20</v>
      </c>
      <c r="L9773" t="s">
        <v>2709</v>
      </c>
      <c r="M9773">
        <v>87119000</v>
      </c>
      <c r="O9773" t="s">
        <v>20115</v>
      </c>
      <c r="P9773" t="s">
        <v>19903</v>
      </c>
      <c r="Q9773" t="s">
        <v>19919</v>
      </c>
      <c r="R9773" t="s">
        <v>19997</v>
      </c>
      <c r="S9773" t="s">
        <v>19998</v>
      </c>
      <c r="T9773" t="s">
        <v>19934</v>
      </c>
    </row>
    <row r="9774" spans="2:20" x14ac:dyDescent="0.25">
      <c r="B9774" t="s">
        <v>2709</v>
      </c>
      <c r="C9774">
        <v>87120010</v>
      </c>
      <c r="E9774">
        <v>49</v>
      </c>
      <c r="F9774">
        <v>18</v>
      </c>
      <c r="G9774">
        <v>10</v>
      </c>
      <c r="H9774">
        <v>3</v>
      </c>
      <c r="I9774">
        <v>0.65</v>
      </c>
      <c r="J9774">
        <v>35</v>
      </c>
      <c r="L9774" t="s">
        <v>2709</v>
      </c>
      <c r="M9774">
        <v>87120010</v>
      </c>
      <c r="O9774" t="s">
        <v>20067</v>
      </c>
      <c r="P9774" t="s">
        <v>19899</v>
      </c>
      <c r="Q9774" t="s">
        <v>19904</v>
      </c>
      <c r="R9774" t="s">
        <v>19997</v>
      </c>
      <c r="S9774" t="s">
        <v>19998</v>
      </c>
      <c r="T9774" t="s">
        <v>19919</v>
      </c>
    </row>
    <row r="9775" spans="2:20" x14ac:dyDescent="0.25">
      <c r="B9775" t="s">
        <v>2709</v>
      </c>
      <c r="C9775">
        <v>87120090</v>
      </c>
      <c r="E9775">
        <v>49</v>
      </c>
      <c r="F9775">
        <v>18</v>
      </c>
      <c r="G9775">
        <v>10</v>
      </c>
      <c r="H9775">
        <v>3</v>
      </c>
      <c r="I9775">
        <v>0.65</v>
      </c>
      <c r="J9775">
        <v>20</v>
      </c>
      <c r="L9775" t="s">
        <v>2709</v>
      </c>
      <c r="M9775">
        <v>87120090</v>
      </c>
      <c r="O9775" t="s">
        <v>20067</v>
      </c>
      <c r="P9775" t="s">
        <v>19899</v>
      </c>
      <c r="Q9775" t="s">
        <v>19904</v>
      </c>
      <c r="R9775" t="s">
        <v>19997</v>
      </c>
      <c r="S9775" t="s">
        <v>19998</v>
      </c>
      <c r="T9775" t="s">
        <v>19934</v>
      </c>
    </row>
    <row r="9776" spans="2:20" x14ac:dyDescent="0.25">
      <c r="B9776" t="s">
        <v>2709</v>
      </c>
      <c r="C9776">
        <v>87131000</v>
      </c>
      <c r="E9776">
        <v>71.78</v>
      </c>
      <c r="F9776">
        <v>0</v>
      </c>
      <c r="G9776">
        <v>0</v>
      </c>
      <c r="H9776">
        <v>3</v>
      </c>
      <c r="I9776">
        <v>0.65</v>
      </c>
      <c r="J9776">
        <v>12</v>
      </c>
      <c r="L9776" t="s">
        <v>2709</v>
      </c>
      <c r="M9776">
        <v>87131000</v>
      </c>
      <c r="O9776" t="s">
        <v>20056</v>
      </c>
      <c r="P9776" t="s">
        <v>19900</v>
      </c>
      <c r="Q9776" t="s">
        <v>19900</v>
      </c>
      <c r="R9776" t="s">
        <v>19997</v>
      </c>
      <c r="S9776" t="s">
        <v>19998</v>
      </c>
      <c r="T9776" t="s">
        <v>19903</v>
      </c>
    </row>
    <row r="9777" spans="2:20" x14ac:dyDescent="0.25">
      <c r="B9777" t="s">
        <v>2709</v>
      </c>
      <c r="C9777">
        <v>87139000</v>
      </c>
      <c r="E9777">
        <v>71.78</v>
      </c>
      <c r="F9777">
        <v>0</v>
      </c>
      <c r="G9777">
        <v>0</v>
      </c>
      <c r="H9777">
        <v>3</v>
      </c>
      <c r="I9777">
        <v>0.65</v>
      </c>
      <c r="J9777">
        <v>2</v>
      </c>
      <c r="L9777" t="s">
        <v>2709</v>
      </c>
      <c r="M9777">
        <v>87139000</v>
      </c>
      <c r="O9777" t="s">
        <v>20056</v>
      </c>
      <c r="P9777" t="s">
        <v>19900</v>
      </c>
      <c r="Q9777" t="s">
        <v>19900</v>
      </c>
      <c r="R9777" t="s">
        <v>19997</v>
      </c>
      <c r="S9777" t="s">
        <v>19998</v>
      </c>
      <c r="T9777" t="s">
        <v>19901</v>
      </c>
    </row>
    <row r="9778" spans="2:20" x14ac:dyDescent="0.25">
      <c r="B9778" t="s">
        <v>2709</v>
      </c>
      <c r="C9778">
        <v>87141000</v>
      </c>
      <c r="E9778">
        <v>71.78</v>
      </c>
      <c r="F9778">
        <v>18</v>
      </c>
      <c r="G9778">
        <v>12</v>
      </c>
      <c r="H9778">
        <v>3</v>
      </c>
      <c r="I9778">
        <v>0.65</v>
      </c>
      <c r="J9778">
        <v>16</v>
      </c>
      <c r="L9778" t="s">
        <v>2709</v>
      </c>
      <c r="M9778">
        <v>87141000</v>
      </c>
      <c r="O9778" t="s">
        <v>20056</v>
      </c>
      <c r="P9778" t="s">
        <v>19899</v>
      </c>
      <c r="Q9778" t="s">
        <v>19903</v>
      </c>
      <c r="R9778" t="s">
        <v>19997</v>
      </c>
      <c r="S9778" t="s">
        <v>19998</v>
      </c>
      <c r="T9778" t="s">
        <v>19913</v>
      </c>
    </row>
    <row r="9779" spans="2:20" x14ac:dyDescent="0.25">
      <c r="B9779" t="s">
        <v>2709</v>
      </c>
      <c r="C9779">
        <v>87142000</v>
      </c>
      <c r="E9779">
        <v>99</v>
      </c>
      <c r="F9779">
        <v>0</v>
      </c>
      <c r="G9779">
        <v>0</v>
      </c>
      <c r="H9779">
        <v>3</v>
      </c>
      <c r="I9779">
        <v>0.65</v>
      </c>
      <c r="J9779">
        <v>10</v>
      </c>
      <c r="L9779" t="s">
        <v>2709</v>
      </c>
      <c r="M9779">
        <v>87142000</v>
      </c>
      <c r="O9779" t="s">
        <v>20121</v>
      </c>
      <c r="P9779" t="s">
        <v>19900</v>
      </c>
      <c r="Q9779" t="s">
        <v>19900</v>
      </c>
      <c r="R9779" t="s">
        <v>19997</v>
      </c>
      <c r="S9779" t="s">
        <v>19998</v>
      </c>
      <c r="T9779" t="s">
        <v>19904</v>
      </c>
    </row>
    <row r="9780" spans="2:20" x14ac:dyDescent="0.25">
      <c r="B9780" t="s">
        <v>2709</v>
      </c>
      <c r="C9780">
        <v>87149100</v>
      </c>
      <c r="E9780">
        <v>99</v>
      </c>
      <c r="F9780">
        <v>18</v>
      </c>
      <c r="G9780">
        <v>10</v>
      </c>
      <c r="H9780">
        <v>3</v>
      </c>
      <c r="I9780">
        <v>0.65</v>
      </c>
      <c r="J9780">
        <v>16</v>
      </c>
      <c r="L9780" t="s">
        <v>2709</v>
      </c>
      <c r="M9780">
        <v>87149100</v>
      </c>
      <c r="O9780" t="s">
        <v>20121</v>
      </c>
      <c r="P9780" t="s">
        <v>19899</v>
      </c>
      <c r="Q9780" t="s">
        <v>19904</v>
      </c>
      <c r="R9780" t="s">
        <v>19997</v>
      </c>
      <c r="S9780" t="s">
        <v>19998</v>
      </c>
      <c r="T9780" t="s">
        <v>19913</v>
      </c>
    </row>
    <row r="9781" spans="2:20" x14ac:dyDescent="0.25">
      <c r="B9781" t="s">
        <v>2709</v>
      </c>
      <c r="C9781">
        <v>87149200</v>
      </c>
      <c r="E9781">
        <v>99</v>
      </c>
      <c r="F9781">
        <v>18</v>
      </c>
      <c r="G9781">
        <v>10</v>
      </c>
      <c r="H9781">
        <v>3</v>
      </c>
      <c r="I9781">
        <v>0.65</v>
      </c>
      <c r="J9781">
        <v>16</v>
      </c>
      <c r="L9781" t="s">
        <v>2709</v>
      </c>
      <c r="M9781">
        <v>87149200</v>
      </c>
      <c r="O9781" t="s">
        <v>20121</v>
      </c>
      <c r="P9781" t="s">
        <v>19899</v>
      </c>
      <c r="Q9781" t="s">
        <v>19904</v>
      </c>
      <c r="R9781" t="s">
        <v>19997</v>
      </c>
      <c r="S9781" t="s">
        <v>19998</v>
      </c>
      <c r="T9781" t="s">
        <v>19913</v>
      </c>
    </row>
    <row r="9782" spans="2:20" x14ac:dyDescent="0.25">
      <c r="B9782" t="s">
        <v>2709</v>
      </c>
      <c r="C9782">
        <v>87149310</v>
      </c>
      <c r="E9782">
        <v>99</v>
      </c>
      <c r="F9782">
        <v>18</v>
      </c>
      <c r="G9782">
        <v>10</v>
      </c>
      <c r="H9782">
        <v>3</v>
      </c>
      <c r="I9782">
        <v>0.65</v>
      </c>
      <c r="J9782">
        <v>16</v>
      </c>
      <c r="L9782" t="s">
        <v>2709</v>
      </c>
      <c r="M9782">
        <v>87149310</v>
      </c>
      <c r="O9782" t="s">
        <v>20121</v>
      </c>
      <c r="P9782" t="s">
        <v>19899</v>
      </c>
      <c r="Q9782" t="s">
        <v>19904</v>
      </c>
      <c r="R9782" t="s">
        <v>19997</v>
      </c>
      <c r="S9782" t="s">
        <v>19998</v>
      </c>
      <c r="T9782" t="s">
        <v>19913</v>
      </c>
    </row>
    <row r="9783" spans="2:20" x14ac:dyDescent="0.25">
      <c r="B9783" t="s">
        <v>2709</v>
      </c>
      <c r="C9783">
        <v>87149320</v>
      </c>
      <c r="E9783">
        <v>99</v>
      </c>
      <c r="F9783">
        <v>18</v>
      </c>
      <c r="G9783">
        <v>10</v>
      </c>
      <c r="H9783">
        <v>3</v>
      </c>
      <c r="I9783">
        <v>0.65</v>
      </c>
      <c r="J9783">
        <v>16</v>
      </c>
      <c r="L9783" t="s">
        <v>2709</v>
      </c>
      <c r="M9783">
        <v>87149320</v>
      </c>
      <c r="O9783" t="s">
        <v>20121</v>
      </c>
      <c r="P9783" t="s">
        <v>19899</v>
      </c>
      <c r="Q9783" t="s">
        <v>19904</v>
      </c>
      <c r="R9783" t="s">
        <v>19997</v>
      </c>
      <c r="S9783" t="s">
        <v>19998</v>
      </c>
      <c r="T9783" t="s">
        <v>19913</v>
      </c>
    </row>
    <row r="9784" spans="2:20" x14ac:dyDescent="0.25">
      <c r="B9784" t="s">
        <v>2709</v>
      </c>
      <c r="C9784">
        <v>87149410</v>
      </c>
      <c r="E9784">
        <v>99</v>
      </c>
      <c r="F9784">
        <v>18</v>
      </c>
      <c r="G9784">
        <v>10</v>
      </c>
      <c r="H9784">
        <v>3</v>
      </c>
      <c r="I9784">
        <v>0.65</v>
      </c>
      <c r="J9784">
        <v>16</v>
      </c>
      <c r="L9784" t="s">
        <v>2709</v>
      </c>
      <c r="M9784">
        <v>87149410</v>
      </c>
      <c r="O9784" t="s">
        <v>20121</v>
      </c>
      <c r="P9784" t="s">
        <v>19899</v>
      </c>
      <c r="Q9784" t="s">
        <v>19904</v>
      </c>
      <c r="R9784" t="s">
        <v>19997</v>
      </c>
      <c r="S9784" t="s">
        <v>19998</v>
      </c>
      <c r="T9784" t="s">
        <v>19913</v>
      </c>
    </row>
    <row r="9785" spans="2:20" x14ac:dyDescent="0.25">
      <c r="B9785" t="s">
        <v>2709</v>
      </c>
      <c r="C9785">
        <v>87149490</v>
      </c>
      <c r="E9785">
        <v>99</v>
      </c>
      <c r="F9785">
        <v>18</v>
      </c>
      <c r="G9785">
        <v>10</v>
      </c>
      <c r="H9785">
        <v>3</v>
      </c>
      <c r="I9785">
        <v>0.65</v>
      </c>
      <c r="J9785">
        <v>16</v>
      </c>
      <c r="L9785" t="s">
        <v>2709</v>
      </c>
      <c r="M9785">
        <v>87149490</v>
      </c>
      <c r="O9785" t="s">
        <v>20121</v>
      </c>
      <c r="P9785" t="s">
        <v>19899</v>
      </c>
      <c r="Q9785" t="s">
        <v>19904</v>
      </c>
      <c r="R9785" t="s">
        <v>19997</v>
      </c>
      <c r="S9785" t="s">
        <v>19998</v>
      </c>
      <c r="T9785" t="s">
        <v>19913</v>
      </c>
    </row>
    <row r="9786" spans="2:20" x14ac:dyDescent="0.25">
      <c r="B9786" t="s">
        <v>2709</v>
      </c>
      <c r="C9786">
        <v>87149500</v>
      </c>
      <c r="E9786">
        <v>99</v>
      </c>
      <c r="F9786">
        <v>18</v>
      </c>
      <c r="G9786">
        <v>10</v>
      </c>
      <c r="H9786">
        <v>3</v>
      </c>
      <c r="I9786">
        <v>0.65</v>
      </c>
      <c r="J9786">
        <v>16</v>
      </c>
      <c r="L9786" t="s">
        <v>2709</v>
      </c>
      <c r="M9786">
        <v>87149500</v>
      </c>
      <c r="O9786" t="s">
        <v>20121</v>
      </c>
      <c r="P9786" t="s">
        <v>19899</v>
      </c>
      <c r="Q9786" t="s">
        <v>19904</v>
      </c>
      <c r="R9786" t="s">
        <v>19997</v>
      </c>
      <c r="S9786" t="s">
        <v>19998</v>
      </c>
      <c r="T9786" t="s">
        <v>19913</v>
      </c>
    </row>
    <row r="9787" spans="2:20" x14ac:dyDescent="0.25">
      <c r="B9787" t="s">
        <v>2709</v>
      </c>
      <c r="C9787">
        <v>87149600</v>
      </c>
      <c r="E9787">
        <v>99</v>
      </c>
      <c r="F9787">
        <v>18</v>
      </c>
      <c r="G9787">
        <v>10</v>
      </c>
      <c r="H9787">
        <v>3</v>
      </c>
      <c r="I9787">
        <v>0.65</v>
      </c>
      <c r="J9787">
        <v>16</v>
      </c>
      <c r="L9787" t="s">
        <v>2709</v>
      </c>
      <c r="M9787">
        <v>87149600</v>
      </c>
      <c r="O9787" t="s">
        <v>20121</v>
      </c>
      <c r="P9787" t="s">
        <v>19899</v>
      </c>
      <c r="Q9787" t="s">
        <v>19904</v>
      </c>
      <c r="R9787" t="s">
        <v>19997</v>
      </c>
      <c r="S9787" t="s">
        <v>19998</v>
      </c>
      <c r="T9787" t="s">
        <v>19913</v>
      </c>
    </row>
    <row r="9788" spans="2:20" x14ac:dyDescent="0.25">
      <c r="B9788" t="s">
        <v>2709</v>
      </c>
      <c r="C9788">
        <v>87149910</v>
      </c>
      <c r="E9788">
        <v>99</v>
      </c>
      <c r="F9788">
        <v>18</v>
      </c>
      <c r="G9788">
        <v>10</v>
      </c>
      <c r="H9788">
        <v>3</v>
      </c>
      <c r="I9788">
        <v>0.65</v>
      </c>
      <c r="J9788">
        <v>16</v>
      </c>
      <c r="L9788" t="s">
        <v>2709</v>
      </c>
      <c r="M9788">
        <v>87149910</v>
      </c>
      <c r="O9788" t="s">
        <v>20121</v>
      </c>
      <c r="P9788" t="s">
        <v>19899</v>
      </c>
      <c r="Q9788" t="s">
        <v>19904</v>
      </c>
      <c r="R9788" t="s">
        <v>19997</v>
      </c>
      <c r="S9788" t="s">
        <v>19998</v>
      </c>
      <c r="T9788" t="s">
        <v>19913</v>
      </c>
    </row>
    <row r="9789" spans="2:20" x14ac:dyDescent="0.25">
      <c r="B9789" t="s">
        <v>2709</v>
      </c>
      <c r="C9789">
        <v>87149990</v>
      </c>
      <c r="E9789">
        <v>99</v>
      </c>
      <c r="F9789">
        <v>18</v>
      </c>
      <c r="G9789">
        <v>10</v>
      </c>
      <c r="H9789">
        <v>3</v>
      </c>
      <c r="I9789">
        <v>0.65</v>
      </c>
      <c r="J9789">
        <v>16</v>
      </c>
      <c r="L9789" t="s">
        <v>2709</v>
      </c>
      <c r="M9789">
        <v>87149990</v>
      </c>
      <c r="O9789" t="s">
        <v>20121</v>
      </c>
      <c r="P9789" t="s">
        <v>19899</v>
      </c>
      <c r="Q9789" t="s">
        <v>19904</v>
      </c>
      <c r="R9789" t="s">
        <v>19997</v>
      </c>
      <c r="S9789" t="s">
        <v>19998</v>
      </c>
      <c r="T9789" t="s">
        <v>19913</v>
      </c>
    </row>
    <row r="9790" spans="2:20" x14ac:dyDescent="0.25">
      <c r="B9790" t="s">
        <v>2709</v>
      </c>
      <c r="C9790">
        <v>87150000</v>
      </c>
      <c r="E9790">
        <v>71.78</v>
      </c>
      <c r="F9790">
        <v>18</v>
      </c>
      <c r="G9790">
        <v>10</v>
      </c>
      <c r="H9790">
        <v>3</v>
      </c>
      <c r="I9790">
        <v>0.65</v>
      </c>
      <c r="J9790">
        <v>20</v>
      </c>
      <c r="L9790" t="s">
        <v>2709</v>
      </c>
      <c r="M9790">
        <v>87150000</v>
      </c>
      <c r="O9790" t="s">
        <v>20056</v>
      </c>
      <c r="P9790" t="s">
        <v>19899</v>
      </c>
      <c r="Q9790" t="s">
        <v>19904</v>
      </c>
      <c r="R9790" t="s">
        <v>19997</v>
      </c>
      <c r="S9790" t="s">
        <v>19998</v>
      </c>
      <c r="T9790" t="s">
        <v>19934</v>
      </c>
    </row>
    <row r="9791" spans="2:20" x14ac:dyDescent="0.25">
      <c r="B9791" t="s">
        <v>2709</v>
      </c>
      <c r="C9791">
        <v>87161000</v>
      </c>
      <c r="E9791">
        <v>71.78</v>
      </c>
      <c r="F9791">
        <v>12</v>
      </c>
      <c r="G9791">
        <v>10</v>
      </c>
      <c r="H9791">
        <v>3</v>
      </c>
      <c r="I9791">
        <v>0.65</v>
      </c>
      <c r="J9791">
        <v>20</v>
      </c>
      <c r="L9791" t="s">
        <v>2709</v>
      </c>
      <c r="M9791">
        <v>87161000</v>
      </c>
      <c r="O9791" t="s">
        <v>20056</v>
      </c>
      <c r="P9791" t="s">
        <v>19903</v>
      </c>
      <c r="Q9791" t="s">
        <v>19904</v>
      </c>
      <c r="R9791" t="s">
        <v>19997</v>
      </c>
      <c r="S9791" t="s">
        <v>19998</v>
      </c>
      <c r="T9791" t="s">
        <v>19934</v>
      </c>
    </row>
    <row r="9792" spans="2:20" x14ac:dyDescent="0.25">
      <c r="B9792" t="s">
        <v>2709</v>
      </c>
      <c r="C9792">
        <v>87162000</v>
      </c>
      <c r="E9792">
        <v>71.78</v>
      </c>
      <c r="F9792">
        <v>12</v>
      </c>
      <c r="G9792">
        <v>0</v>
      </c>
      <c r="H9792">
        <v>9.6</v>
      </c>
      <c r="I9792">
        <v>2</v>
      </c>
      <c r="J9792">
        <v>14</v>
      </c>
      <c r="L9792" t="s">
        <v>2709</v>
      </c>
      <c r="M9792">
        <v>87162000</v>
      </c>
      <c r="O9792" t="s">
        <v>20056</v>
      </c>
      <c r="P9792" t="s">
        <v>19903</v>
      </c>
      <c r="Q9792" t="s">
        <v>19900</v>
      </c>
      <c r="R9792" t="s">
        <v>20129</v>
      </c>
      <c r="S9792" t="s">
        <v>19901</v>
      </c>
      <c r="T9792" t="s">
        <v>19911</v>
      </c>
    </row>
    <row r="9793" spans="2:20" x14ac:dyDescent="0.25">
      <c r="B9793" t="s">
        <v>2709</v>
      </c>
      <c r="C9793">
        <v>87163100</v>
      </c>
      <c r="E9793">
        <v>71.78</v>
      </c>
      <c r="F9793">
        <v>12</v>
      </c>
      <c r="G9793">
        <v>0</v>
      </c>
      <c r="H9793">
        <v>3</v>
      </c>
      <c r="I9793">
        <v>0.65</v>
      </c>
      <c r="J9793">
        <v>35</v>
      </c>
      <c r="L9793" t="s">
        <v>2709</v>
      </c>
      <c r="M9793">
        <v>87163100</v>
      </c>
      <c r="O9793" t="s">
        <v>20056</v>
      </c>
      <c r="P9793" t="s">
        <v>19903</v>
      </c>
      <c r="Q9793" t="s">
        <v>19900</v>
      </c>
      <c r="R9793" t="s">
        <v>19997</v>
      </c>
      <c r="S9793" t="s">
        <v>19998</v>
      </c>
      <c r="T9793" t="s">
        <v>19919</v>
      </c>
    </row>
    <row r="9794" spans="2:20" x14ac:dyDescent="0.25">
      <c r="B9794" t="s">
        <v>2709</v>
      </c>
      <c r="C9794">
        <v>87163900</v>
      </c>
      <c r="E9794">
        <v>71.78</v>
      </c>
      <c r="F9794">
        <v>12</v>
      </c>
      <c r="G9794">
        <v>0</v>
      </c>
      <c r="H9794">
        <v>3</v>
      </c>
      <c r="I9794">
        <v>0.65</v>
      </c>
      <c r="J9794">
        <v>35</v>
      </c>
      <c r="L9794" t="s">
        <v>2709</v>
      </c>
      <c r="M9794">
        <v>87163900</v>
      </c>
      <c r="O9794" t="s">
        <v>20056</v>
      </c>
      <c r="P9794" t="s">
        <v>19903</v>
      </c>
      <c r="Q9794" t="s">
        <v>19900</v>
      </c>
      <c r="R9794" t="s">
        <v>19997</v>
      </c>
      <c r="S9794" t="s">
        <v>19998</v>
      </c>
      <c r="T9794" t="s">
        <v>19919</v>
      </c>
    </row>
    <row r="9795" spans="2:20" x14ac:dyDescent="0.25">
      <c r="B9795" t="s">
        <v>2709</v>
      </c>
      <c r="C9795">
        <v>87164000</v>
      </c>
      <c r="E9795">
        <v>71.78</v>
      </c>
      <c r="F9795">
        <v>12</v>
      </c>
      <c r="G9795">
        <v>5</v>
      </c>
      <c r="H9795">
        <v>3</v>
      </c>
      <c r="I9795">
        <v>0.65</v>
      </c>
      <c r="J9795">
        <v>35</v>
      </c>
      <c r="L9795" t="s">
        <v>2709</v>
      </c>
      <c r="M9795">
        <v>87164000</v>
      </c>
      <c r="O9795" t="s">
        <v>20056</v>
      </c>
      <c r="P9795" t="s">
        <v>19903</v>
      </c>
      <c r="Q9795" t="s">
        <v>19909</v>
      </c>
      <c r="R9795" t="s">
        <v>19997</v>
      </c>
      <c r="S9795" t="s">
        <v>19998</v>
      </c>
      <c r="T9795" t="s">
        <v>19919</v>
      </c>
    </row>
    <row r="9796" spans="2:20" x14ac:dyDescent="0.25">
      <c r="B9796" t="s">
        <v>2709</v>
      </c>
      <c r="C9796">
        <v>87168000</v>
      </c>
      <c r="E9796">
        <v>71.78</v>
      </c>
      <c r="F9796">
        <v>12</v>
      </c>
      <c r="G9796">
        <v>5</v>
      </c>
      <c r="H9796">
        <v>3</v>
      </c>
      <c r="I9796">
        <v>0.65</v>
      </c>
      <c r="J9796">
        <v>35</v>
      </c>
      <c r="L9796" t="s">
        <v>2709</v>
      </c>
      <c r="M9796">
        <v>87168000</v>
      </c>
      <c r="O9796" t="s">
        <v>20056</v>
      </c>
      <c r="P9796" t="s">
        <v>19903</v>
      </c>
      <c r="Q9796" t="s">
        <v>19909</v>
      </c>
      <c r="R9796" t="s">
        <v>19997</v>
      </c>
      <c r="S9796" t="s">
        <v>19998</v>
      </c>
      <c r="T9796" t="s">
        <v>19919</v>
      </c>
    </row>
    <row r="9797" spans="2:20" x14ac:dyDescent="0.25">
      <c r="B9797" t="s">
        <v>2709</v>
      </c>
      <c r="C9797">
        <v>87168000</v>
      </c>
      <c r="D9797">
        <v>1</v>
      </c>
      <c r="E9797" t="s">
        <v>19447</v>
      </c>
      <c r="F9797">
        <v>18</v>
      </c>
      <c r="G9797">
        <v>0</v>
      </c>
      <c r="H9797">
        <v>7.6</v>
      </c>
      <c r="I9797">
        <v>1.65</v>
      </c>
      <c r="J9797">
        <v>35</v>
      </c>
      <c r="L9797" t="s">
        <v>2709</v>
      </c>
      <c r="M9797">
        <v>87168000</v>
      </c>
      <c r="N9797">
        <v>1</v>
      </c>
      <c r="O9797" t="s">
        <v>19447</v>
      </c>
      <c r="P9797" t="s">
        <v>19899</v>
      </c>
      <c r="Q9797" t="s">
        <v>19900</v>
      </c>
      <c r="R9797" t="s">
        <v>19905</v>
      </c>
      <c r="S9797" t="s">
        <v>19906</v>
      </c>
      <c r="T9797" t="s">
        <v>19919</v>
      </c>
    </row>
    <row r="9798" spans="2:20" x14ac:dyDescent="0.25">
      <c r="B9798" t="s">
        <v>2709</v>
      </c>
      <c r="C9798">
        <v>87168000</v>
      </c>
      <c r="D9798">
        <v>2</v>
      </c>
      <c r="E9798" t="s">
        <v>19447</v>
      </c>
      <c r="F9798">
        <v>18</v>
      </c>
      <c r="G9798">
        <v>0</v>
      </c>
      <c r="H9798">
        <v>7.6</v>
      </c>
      <c r="I9798">
        <v>1.65</v>
      </c>
      <c r="J9798">
        <v>35</v>
      </c>
      <c r="L9798" t="s">
        <v>2709</v>
      </c>
      <c r="M9798">
        <v>87168000</v>
      </c>
      <c r="N9798">
        <v>2</v>
      </c>
      <c r="O9798" t="s">
        <v>19447</v>
      </c>
      <c r="P9798" t="s">
        <v>19899</v>
      </c>
      <c r="Q9798" t="s">
        <v>19900</v>
      </c>
      <c r="R9798" t="s">
        <v>19905</v>
      </c>
      <c r="S9798" t="s">
        <v>19906</v>
      </c>
      <c r="T9798" t="s">
        <v>19919</v>
      </c>
    </row>
    <row r="9799" spans="2:20" x14ac:dyDescent="0.25">
      <c r="B9799" t="s">
        <v>2709</v>
      </c>
      <c r="C9799">
        <v>87169010</v>
      </c>
      <c r="E9799">
        <v>71.78</v>
      </c>
      <c r="F9799">
        <v>12</v>
      </c>
      <c r="G9799">
        <v>5</v>
      </c>
      <c r="H9799">
        <v>3</v>
      </c>
      <c r="I9799">
        <v>0.65</v>
      </c>
      <c r="J9799">
        <v>16</v>
      </c>
      <c r="L9799" t="s">
        <v>2709</v>
      </c>
      <c r="M9799">
        <v>87169010</v>
      </c>
      <c r="O9799" t="s">
        <v>20056</v>
      </c>
      <c r="P9799" t="s">
        <v>19903</v>
      </c>
      <c r="Q9799" t="s">
        <v>19909</v>
      </c>
      <c r="R9799" t="s">
        <v>19997</v>
      </c>
      <c r="S9799" t="s">
        <v>19998</v>
      </c>
      <c r="T9799" t="s">
        <v>19913</v>
      </c>
    </row>
    <row r="9800" spans="2:20" x14ac:dyDescent="0.25">
      <c r="B9800" t="s">
        <v>2709</v>
      </c>
      <c r="C9800">
        <v>87169090</v>
      </c>
      <c r="E9800">
        <v>71.78</v>
      </c>
      <c r="F9800">
        <v>12</v>
      </c>
      <c r="G9800">
        <v>5</v>
      </c>
      <c r="H9800">
        <v>3</v>
      </c>
      <c r="I9800">
        <v>0.65</v>
      </c>
      <c r="J9800">
        <v>16</v>
      </c>
      <c r="L9800" t="s">
        <v>2709</v>
      </c>
      <c r="M9800">
        <v>87169090</v>
      </c>
      <c r="O9800" t="s">
        <v>20056</v>
      </c>
      <c r="P9800" t="s">
        <v>19903</v>
      </c>
      <c r="Q9800" t="s">
        <v>19909</v>
      </c>
      <c r="R9800" t="s">
        <v>19997</v>
      </c>
      <c r="S9800" t="s">
        <v>19998</v>
      </c>
      <c r="T9800" t="s">
        <v>19913</v>
      </c>
    </row>
    <row r="9801" spans="2:20" x14ac:dyDescent="0.25">
      <c r="B9801" t="s">
        <v>2709</v>
      </c>
      <c r="C9801">
        <v>88010000</v>
      </c>
      <c r="E9801" t="s">
        <v>19447</v>
      </c>
      <c r="F9801">
        <v>4</v>
      </c>
      <c r="G9801">
        <v>10</v>
      </c>
      <c r="H9801" t="s">
        <v>19447</v>
      </c>
      <c r="I9801" t="s">
        <v>19447</v>
      </c>
      <c r="J9801">
        <v>20</v>
      </c>
      <c r="L9801" t="s">
        <v>2709</v>
      </c>
      <c r="M9801">
        <v>88010000</v>
      </c>
      <c r="O9801" t="s">
        <v>19447</v>
      </c>
      <c r="P9801" t="s">
        <v>19902</v>
      </c>
      <c r="Q9801" t="s">
        <v>19904</v>
      </c>
      <c r="R9801" t="s">
        <v>19447</v>
      </c>
      <c r="S9801" t="s">
        <v>19447</v>
      </c>
      <c r="T9801" t="s">
        <v>19934</v>
      </c>
    </row>
    <row r="9802" spans="2:20" x14ac:dyDescent="0.25">
      <c r="B9802" t="s">
        <v>2709</v>
      </c>
      <c r="C9802">
        <v>88021100</v>
      </c>
      <c r="E9802" t="s">
        <v>19447</v>
      </c>
      <c r="F9802">
        <v>4</v>
      </c>
      <c r="G9802">
        <v>10</v>
      </c>
      <c r="H9802" t="s">
        <v>19447</v>
      </c>
      <c r="I9802" t="s">
        <v>19447</v>
      </c>
      <c r="J9802">
        <v>0</v>
      </c>
      <c r="L9802" t="s">
        <v>2709</v>
      </c>
      <c r="M9802">
        <v>88021100</v>
      </c>
      <c r="O9802" t="s">
        <v>19447</v>
      </c>
      <c r="P9802" t="s">
        <v>19902</v>
      </c>
      <c r="Q9802" t="s">
        <v>19904</v>
      </c>
      <c r="R9802" t="s">
        <v>19447</v>
      </c>
      <c r="S9802" t="s">
        <v>19447</v>
      </c>
      <c r="T9802" t="s">
        <v>19900</v>
      </c>
    </row>
    <row r="9803" spans="2:20" x14ac:dyDescent="0.25">
      <c r="B9803" t="s">
        <v>2709</v>
      </c>
      <c r="C9803">
        <v>88021210</v>
      </c>
      <c r="E9803" t="s">
        <v>19447</v>
      </c>
      <c r="F9803">
        <v>4</v>
      </c>
      <c r="G9803">
        <v>10</v>
      </c>
      <c r="H9803" t="s">
        <v>19447</v>
      </c>
      <c r="I9803" t="s">
        <v>19447</v>
      </c>
      <c r="J9803">
        <v>0</v>
      </c>
      <c r="L9803" t="s">
        <v>2709</v>
      </c>
      <c r="M9803">
        <v>88021210</v>
      </c>
      <c r="O9803" t="s">
        <v>19447</v>
      </c>
      <c r="P9803" t="s">
        <v>19902</v>
      </c>
      <c r="Q9803" t="s">
        <v>19904</v>
      </c>
      <c r="R9803" t="s">
        <v>19447</v>
      </c>
      <c r="S9803" t="s">
        <v>19447</v>
      </c>
      <c r="T9803" t="s">
        <v>19900</v>
      </c>
    </row>
    <row r="9804" spans="2:20" x14ac:dyDescent="0.25">
      <c r="B9804" t="s">
        <v>2709</v>
      </c>
      <c r="C9804">
        <v>88021290</v>
      </c>
      <c r="E9804" t="s">
        <v>19447</v>
      </c>
      <c r="F9804">
        <v>4</v>
      </c>
      <c r="G9804">
        <v>10</v>
      </c>
      <c r="H9804" t="s">
        <v>19447</v>
      </c>
      <c r="I9804" t="s">
        <v>19447</v>
      </c>
      <c r="J9804">
        <v>0</v>
      </c>
      <c r="L9804" t="s">
        <v>2709</v>
      </c>
      <c r="M9804">
        <v>88021290</v>
      </c>
      <c r="O9804" t="s">
        <v>19447</v>
      </c>
      <c r="P9804" t="s">
        <v>19902</v>
      </c>
      <c r="Q9804" t="s">
        <v>19904</v>
      </c>
      <c r="R9804" t="s">
        <v>19447</v>
      </c>
      <c r="S9804" t="s">
        <v>19447</v>
      </c>
      <c r="T9804" t="s">
        <v>19900</v>
      </c>
    </row>
    <row r="9805" spans="2:20" x14ac:dyDescent="0.25">
      <c r="B9805" t="s">
        <v>2709</v>
      </c>
      <c r="C9805">
        <v>88022010</v>
      </c>
      <c r="E9805" t="s">
        <v>19447</v>
      </c>
      <c r="F9805">
        <v>5.6</v>
      </c>
      <c r="G9805">
        <v>10</v>
      </c>
      <c r="H9805" t="s">
        <v>19447</v>
      </c>
      <c r="I9805" t="s">
        <v>19447</v>
      </c>
      <c r="J9805">
        <v>0</v>
      </c>
      <c r="L9805" t="s">
        <v>2709</v>
      </c>
      <c r="M9805">
        <v>88022010</v>
      </c>
      <c r="O9805" t="s">
        <v>19447</v>
      </c>
      <c r="P9805" t="s">
        <v>20133</v>
      </c>
      <c r="Q9805" t="s">
        <v>19904</v>
      </c>
      <c r="R9805" t="s">
        <v>19447</v>
      </c>
      <c r="S9805" t="s">
        <v>19447</v>
      </c>
      <c r="T9805" t="s">
        <v>19900</v>
      </c>
    </row>
    <row r="9806" spans="2:20" x14ac:dyDescent="0.25">
      <c r="B9806" t="s">
        <v>2709</v>
      </c>
      <c r="C9806">
        <v>88022021</v>
      </c>
      <c r="E9806" t="s">
        <v>19447</v>
      </c>
      <c r="F9806">
        <v>4</v>
      </c>
      <c r="G9806">
        <v>10</v>
      </c>
      <c r="H9806" t="s">
        <v>19447</v>
      </c>
      <c r="I9806" t="s">
        <v>19447</v>
      </c>
      <c r="J9806">
        <v>0</v>
      </c>
      <c r="L9806" t="s">
        <v>2709</v>
      </c>
      <c r="M9806">
        <v>88022021</v>
      </c>
      <c r="O9806" t="s">
        <v>19447</v>
      </c>
      <c r="P9806" t="s">
        <v>19902</v>
      </c>
      <c r="Q9806" t="s">
        <v>19904</v>
      </c>
      <c r="R9806" t="s">
        <v>19447</v>
      </c>
      <c r="S9806" t="s">
        <v>19447</v>
      </c>
      <c r="T9806" t="s">
        <v>19900</v>
      </c>
    </row>
    <row r="9807" spans="2:20" x14ac:dyDescent="0.25">
      <c r="B9807" t="s">
        <v>2709</v>
      </c>
      <c r="C9807">
        <v>88022022</v>
      </c>
      <c r="E9807" t="s">
        <v>19447</v>
      </c>
      <c r="F9807">
        <v>4</v>
      </c>
      <c r="G9807">
        <v>10</v>
      </c>
      <c r="H9807" t="s">
        <v>19447</v>
      </c>
      <c r="I9807" t="s">
        <v>19447</v>
      </c>
      <c r="J9807">
        <v>0</v>
      </c>
      <c r="L9807" t="s">
        <v>2709</v>
      </c>
      <c r="M9807">
        <v>88022022</v>
      </c>
      <c r="O9807" t="s">
        <v>19447</v>
      </c>
      <c r="P9807" t="s">
        <v>19902</v>
      </c>
      <c r="Q9807" t="s">
        <v>19904</v>
      </c>
      <c r="R9807" t="s">
        <v>19447</v>
      </c>
      <c r="S9807" t="s">
        <v>19447</v>
      </c>
      <c r="T9807" t="s">
        <v>19900</v>
      </c>
    </row>
    <row r="9808" spans="2:20" x14ac:dyDescent="0.25">
      <c r="B9808" t="s">
        <v>2709</v>
      </c>
      <c r="C9808">
        <v>88022090</v>
      </c>
      <c r="E9808" t="s">
        <v>19447</v>
      </c>
      <c r="F9808">
        <v>4</v>
      </c>
      <c r="G9808">
        <v>10</v>
      </c>
      <c r="H9808" t="s">
        <v>19447</v>
      </c>
      <c r="I9808" t="s">
        <v>19447</v>
      </c>
      <c r="J9808">
        <v>0</v>
      </c>
      <c r="L9808" t="s">
        <v>2709</v>
      </c>
      <c r="M9808">
        <v>88022090</v>
      </c>
      <c r="O9808" t="s">
        <v>19447</v>
      </c>
      <c r="P9808" t="s">
        <v>19902</v>
      </c>
      <c r="Q9808" t="s">
        <v>19904</v>
      </c>
      <c r="R9808" t="s">
        <v>19447</v>
      </c>
      <c r="S9808" t="s">
        <v>19447</v>
      </c>
      <c r="T9808" t="s">
        <v>19900</v>
      </c>
    </row>
    <row r="9809" spans="2:20" x14ac:dyDescent="0.25">
      <c r="B9809" t="s">
        <v>2709</v>
      </c>
      <c r="C9809">
        <v>88023010</v>
      </c>
      <c r="E9809" t="s">
        <v>19447</v>
      </c>
      <c r="F9809">
        <v>5.6</v>
      </c>
      <c r="G9809">
        <v>10</v>
      </c>
      <c r="H9809" t="s">
        <v>19447</v>
      </c>
      <c r="I9809" t="s">
        <v>19447</v>
      </c>
      <c r="J9809">
        <v>0</v>
      </c>
      <c r="L9809" t="s">
        <v>2709</v>
      </c>
      <c r="M9809">
        <v>88023010</v>
      </c>
      <c r="O9809" t="s">
        <v>19447</v>
      </c>
      <c r="P9809" t="s">
        <v>20133</v>
      </c>
      <c r="Q9809" t="s">
        <v>19904</v>
      </c>
      <c r="R9809" t="s">
        <v>19447</v>
      </c>
      <c r="S9809" t="s">
        <v>19447</v>
      </c>
      <c r="T9809" t="s">
        <v>19900</v>
      </c>
    </row>
    <row r="9810" spans="2:20" x14ac:dyDescent="0.25">
      <c r="B9810" t="s">
        <v>2709</v>
      </c>
      <c r="C9810">
        <v>88023021</v>
      </c>
      <c r="E9810" t="s">
        <v>19447</v>
      </c>
      <c r="F9810">
        <v>4</v>
      </c>
      <c r="G9810">
        <v>10</v>
      </c>
      <c r="H9810" t="s">
        <v>19447</v>
      </c>
      <c r="I9810" t="s">
        <v>19447</v>
      </c>
      <c r="J9810">
        <v>0</v>
      </c>
      <c r="L9810" t="s">
        <v>2709</v>
      </c>
      <c r="M9810">
        <v>88023021</v>
      </c>
      <c r="O9810" t="s">
        <v>19447</v>
      </c>
      <c r="P9810" t="s">
        <v>19902</v>
      </c>
      <c r="Q9810" t="s">
        <v>19904</v>
      </c>
      <c r="R9810" t="s">
        <v>19447</v>
      </c>
      <c r="S9810" t="s">
        <v>19447</v>
      </c>
      <c r="T9810" t="s">
        <v>19900</v>
      </c>
    </row>
    <row r="9811" spans="2:20" x14ac:dyDescent="0.25">
      <c r="B9811" t="s">
        <v>2709</v>
      </c>
      <c r="C9811">
        <v>88023029</v>
      </c>
      <c r="E9811" t="s">
        <v>19447</v>
      </c>
      <c r="F9811">
        <v>4</v>
      </c>
      <c r="G9811">
        <v>10</v>
      </c>
      <c r="H9811" t="s">
        <v>19447</v>
      </c>
      <c r="I9811" t="s">
        <v>19447</v>
      </c>
      <c r="J9811">
        <v>0</v>
      </c>
      <c r="L9811" t="s">
        <v>2709</v>
      </c>
      <c r="M9811">
        <v>88023029</v>
      </c>
      <c r="O9811" t="s">
        <v>19447</v>
      </c>
      <c r="P9811" t="s">
        <v>19902</v>
      </c>
      <c r="Q9811" t="s">
        <v>19904</v>
      </c>
      <c r="R9811" t="s">
        <v>19447</v>
      </c>
      <c r="S9811" t="s">
        <v>19447</v>
      </c>
      <c r="T9811" t="s">
        <v>19900</v>
      </c>
    </row>
    <row r="9812" spans="2:20" x14ac:dyDescent="0.25">
      <c r="B9812" t="s">
        <v>2709</v>
      </c>
      <c r="C9812">
        <v>88023031</v>
      </c>
      <c r="E9812" t="s">
        <v>19447</v>
      </c>
      <c r="F9812">
        <v>4</v>
      </c>
      <c r="G9812">
        <v>10</v>
      </c>
      <c r="H9812" t="s">
        <v>19447</v>
      </c>
      <c r="I9812" t="s">
        <v>19447</v>
      </c>
      <c r="J9812">
        <v>0</v>
      </c>
      <c r="L9812" t="s">
        <v>2709</v>
      </c>
      <c r="M9812">
        <v>88023031</v>
      </c>
      <c r="O9812" t="s">
        <v>19447</v>
      </c>
      <c r="P9812" t="s">
        <v>19902</v>
      </c>
      <c r="Q9812" t="s">
        <v>19904</v>
      </c>
      <c r="R9812" t="s">
        <v>19447</v>
      </c>
      <c r="S9812" t="s">
        <v>19447</v>
      </c>
      <c r="T9812" t="s">
        <v>19900</v>
      </c>
    </row>
    <row r="9813" spans="2:20" x14ac:dyDescent="0.25">
      <c r="B9813" t="s">
        <v>2709</v>
      </c>
      <c r="C9813">
        <v>88023039</v>
      </c>
      <c r="E9813" t="s">
        <v>19447</v>
      </c>
      <c r="F9813">
        <v>4</v>
      </c>
      <c r="G9813">
        <v>10</v>
      </c>
      <c r="H9813" t="s">
        <v>19447</v>
      </c>
      <c r="I9813" t="s">
        <v>19447</v>
      </c>
      <c r="J9813">
        <v>0</v>
      </c>
      <c r="L9813" t="s">
        <v>2709</v>
      </c>
      <c r="M9813">
        <v>88023039</v>
      </c>
      <c r="O9813" t="s">
        <v>19447</v>
      </c>
      <c r="P9813" t="s">
        <v>19902</v>
      </c>
      <c r="Q9813" t="s">
        <v>19904</v>
      </c>
      <c r="R9813" t="s">
        <v>19447</v>
      </c>
      <c r="S9813" t="s">
        <v>19447</v>
      </c>
      <c r="T9813" t="s">
        <v>19900</v>
      </c>
    </row>
    <row r="9814" spans="2:20" x14ac:dyDescent="0.25">
      <c r="B9814" t="s">
        <v>2709</v>
      </c>
      <c r="C9814">
        <v>88023090</v>
      </c>
      <c r="E9814" t="s">
        <v>19447</v>
      </c>
      <c r="F9814">
        <v>4</v>
      </c>
      <c r="G9814">
        <v>10</v>
      </c>
      <c r="H9814" t="s">
        <v>19447</v>
      </c>
      <c r="I9814" t="s">
        <v>19447</v>
      </c>
      <c r="J9814">
        <v>0</v>
      </c>
      <c r="L9814" t="s">
        <v>2709</v>
      </c>
      <c r="M9814">
        <v>88023090</v>
      </c>
      <c r="O9814" t="s">
        <v>19447</v>
      </c>
      <c r="P9814" t="s">
        <v>19902</v>
      </c>
      <c r="Q9814" t="s">
        <v>19904</v>
      </c>
      <c r="R9814" t="s">
        <v>19447</v>
      </c>
      <c r="S9814" t="s">
        <v>19447</v>
      </c>
      <c r="T9814" t="s">
        <v>19900</v>
      </c>
    </row>
    <row r="9815" spans="2:20" x14ac:dyDescent="0.25">
      <c r="B9815" t="s">
        <v>2709</v>
      </c>
      <c r="C9815">
        <v>88024010</v>
      </c>
      <c r="E9815" t="s">
        <v>19447</v>
      </c>
      <c r="F9815">
        <v>4</v>
      </c>
      <c r="G9815">
        <v>10</v>
      </c>
      <c r="H9815" t="s">
        <v>19447</v>
      </c>
      <c r="I9815" t="s">
        <v>19447</v>
      </c>
      <c r="J9815">
        <v>0</v>
      </c>
      <c r="L9815" t="s">
        <v>2709</v>
      </c>
      <c r="M9815">
        <v>88024010</v>
      </c>
      <c r="O9815" t="s">
        <v>19447</v>
      </c>
      <c r="P9815" t="s">
        <v>19902</v>
      </c>
      <c r="Q9815" t="s">
        <v>19904</v>
      </c>
      <c r="R9815" t="s">
        <v>19447</v>
      </c>
      <c r="S9815" t="s">
        <v>19447</v>
      </c>
      <c r="T9815" t="s">
        <v>19900</v>
      </c>
    </row>
    <row r="9816" spans="2:20" x14ac:dyDescent="0.25">
      <c r="B9816" t="s">
        <v>2709</v>
      </c>
      <c r="C9816">
        <v>88024090</v>
      </c>
      <c r="E9816" t="s">
        <v>19447</v>
      </c>
      <c r="F9816">
        <v>4</v>
      </c>
      <c r="G9816">
        <v>10</v>
      </c>
      <c r="H9816" t="s">
        <v>19447</v>
      </c>
      <c r="I9816" t="s">
        <v>19447</v>
      </c>
      <c r="J9816">
        <v>0</v>
      </c>
      <c r="L9816" t="s">
        <v>2709</v>
      </c>
      <c r="M9816">
        <v>88024090</v>
      </c>
      <c r="O9816" t="s">
        <v>19447</v>
      </c>
      <c r="P9816" t="s">
        <v>19902</v>
      </c>
      <c r="Q9816" t="s">
        <v>19904</v>
      </c>
      <c r="R9816" t="s">
        <v>19447</v>
      </c>
      <c r="S9816" t="s">
        <v>19447</v>
      </c>
      <c r="T9816" t="s">
        <v>19900</v>
      </c>
    </row>
    <row r="9817" spans="2:20" x14ac:dyDescent="0.25">
      <c r="B9817" t="s">
        <v>2709</v>
      </c>
      <c r="C9817">
        <v>88026000</v>
      </c>
      <c r="E9817" t="s">
        <v>19447</v>
      </c>
      <c r="F9817">
        <v>4</v>
      </c>
      <c r="G9817">
        <v>0</v>
      </c>
      <c r="H9817" t="s">
        <v>19447</v>
      </c>
      <c r="I9817" t="s">
        <v>19447</v>
      </c>
      <c r="J9817">
        <v>0</v>
      </c>
      <c r="L9817" t="s">
        <v>2709</v>
      </c>
      <c r="M9817">
        <v>88026000</v>
      </c>
      <c r="O9817" t="s">
        <v>19447</v>
      </c>
      <c r="P9817" t="s">
        <v>19902</v>
      </c>
      <c r="Q9817" t="s">
        <v>19900</v>
      </c>
      <c r="R9817" t="s">
        <v>19447</v>
      </c>
      <c r="S9817" t="s">
        <v>19447</v>
      </c>
      <c r="T9817" t="s">
        <v>19900</v>
      </c>
    </row>
    <row r="9818" spans="2:20" x14ac:dyDescent="0.25">
      <c r="B9818" t="s">
        <v>2709</v>
      </c>
      <c r="C9818">
        <v>88031000</v>
      </c>
      <c r="E9818" t="s">
        <v>19447</v>
      </c>
      <c r="F9818">
        <v>5.6</v>
      </c>
      <c r="G9818">
        <v>0</v>
      </c>
      <c r="H9818" t="s">
        <v>19447</v>
      </c>
      <c r="I9818" t="s">
        <v>19447</v>
      </c>
      <c r="J9818">
        <v>0</v>
      </c>
      <c r="L9818" t="s">
        <v>2709</v>
      </c>
      <c r="M9818">
        <v>88031000</v>
      </c>
      <c r="O9818" t="s">
        <v>19447</v>
      </c>
      <c r="P9818" t="s">
        <v>20133</v>
      </c>
      <c r="Q9818" t="s">
        <v>19900</v>
      </c>
      <c r="R9818" t="s">
        <v>19447</v>
      </c>
      <c r="S9818" t="s">
        <v>19447</v>
      </c>
      <c r="T9818" t="s">
        <v>19900</v>
      </c>
    </row>
    <row r="9819" spans="2:20" x14ac:dyDescent="0.25">
      <c r="B9819" t="s">
        <v>2709</v>
      </c>
      <c r="C9819">
        <v>88032000</v>
      </c>
      <c r="E9819" t="s">
        <v>19447</v>
      </c>
      <c r="F9819">
        <v>5.6</v>
      </c>
      <c r="G9819">
        <v>0</v>
      </c>
      <c r="H9819" t="s">
        <v>19447</v>
      </c>
      <c r="I9819" t="s">
        <v>19447</v>
      </c>
      <c r="J9819">
        <v>0</v>
      </c>
      <c r="L9819" t="s">
        <v>2709</v>
      </c>
      <c r="M9819">
        <v>88032000</v>
      </c>
      <c r="O9819" t="s">
        <v>19447</v>
      </c>
      <c r="P9819" t="s">
        <v>20133</v>
      </c>
      <c r="Q9819" t="s">
        <v>19900</v>
      </c>
      <c r="R9819" t="s">
        <v>19447</v>
      </c>
      <c r="S9819" t="s">
        <v>19447</v>
      </c>
      <c r="T9819" t="s">
        <v>19900</v>
      </c>
    </row>
    <row r="9820" spans="2:20" x14ac:dyDescent="0.25">
      <c r="B9820" t="s">
        <v>2709</v>
      </c>
      <c r="C9820">
        <v>88033000</v>
      </c>
      <c r="E9820" t="s">
        <v>19447</v>
      </c>
      <c r="F9820">
        <v>5.6</v>
      </c>
      <c r="G9820">
        <v>0</v>
      </c>
      <c r="H9820" t="s">
        <v>19447</v>
      </c>
      <c r="I9820" t="s">
        <v>19447</v>
      </c>
      <c r="J9820">
        <v>0</v>
      </c>
      <c r="L9820" t="s">
        <v>2709</v>
      </c>
      <c r="M9820">
        <v>88033000</v>
      </c>
      <c r="O9820" t="s">
        <v>19447</v>
      </c>
      <c r="P9820" t="s">
        <v>20133</v>
      </c>
      <c r="Q9820" t="s">
        <v>19900</v>
      </c>
      <c r="R9820" t="s">
        <v>19447</v>
      </c>
      <c r="S9820" t="s">
        <v>19447</v>
      </c>
      <c r="T9820" t="s">
        <v>19900</v>
      </c>
    </row>
    <row r="9821" spans="2:20" x14ac:dyDescent="0.25">
      <c r="B9821" t="s">
        <v>2709</v>
      </c>
      <c r="C9821">
        <v>88039000</v>
      </c>
      <c r="E9821" t="s">
        <v>19447</v>
      </c>
      <c r="F9821">
        <v>5.6</v>
      </c>
      <c r="G9821">
        <v>0</v>
      </c>
      <c r="H9821" t="s">
        <v>19447</v>
      </c>
      <c r="I9821" t="s">
        <v>19447</v>
      </c>
      <c r="J9821">
        <v>0</v>
      </c>
      <c r="L9821" t="s">
        <v>2709</v>
      </c>
      <c r="M9821">
        <v>88039000</v>
      </c>
      <c r="O9821" t="s">
        <v>19447</v>
      </c>
      <c r="P9821" t="s">
        <v>20133</v>
      </c>
      <c r="Q9821" t="s">
        <v>19900</v>
      </c>
      <c r="R9821" t="s">
        <v>19447</v>
      </c>
      <c r="S9821" t="s">
        <v>19447</v>
      </c>
      <c r="T9821" t="s">
        <v>19900</v>
      </c>
    </row>
    <row r="9822" spans="2:20" x14ac:dyDescent="0.25">
      <c r="B9822" t="s">
        <v>2709</v>
      </c>
      <c r="C9822">
        <v>88040000</v>
      </c>
      <c r="E9822" t="s">
        <v>19447</v>
      </c>
      <c r="F9822">
        <v>0</v>
      </c>
      <c r="G9822">
        <v>10</v>
      </c>
      <c r="H9822" t="s">
        <v>19447</v>
      </c>
      <c r="I9822" t="s">
        <v>19447</v>
      </c>
      <c r="J9822">
        <v>14</v>
      </c>
      <c r="L9822" t="s">
        <v>2709</v>
      </c>
      <c r="M9822">
        <v>88040000</v>
      </c>
      <c r="O9822" t="s">
        <v>19447</v>
      </c>
      <c r="P9822" t="s">
        <v>19900</v>
      </c>
      <c r="Q9822" t="s">
        <v>19904</v>
      </c>
      <c r="R9822" t="s">
        <v>19447</v>
      </c>
      <c r="S9822" t="s">
        <v>19447</v>
      </c>
      <c r="T9822" t="s">
        <v>19911</v>
      </c>
    </row>
    <row r="9823" spans="2:20" x14ac:dyDescent="0.25">
      <c r="B9823" t="s">
        <v>2709</v>
      </c>
      <c r="C9823">
        <v>88051000</v>
      </c>
      <c r="E9823" t="s">
        <v>19447</v>
      </c>
      <c r="F9823">
        <v>4</v>
      </c>
      <c r="G9823">
        <v>0</v>
      </c>
      <c r="H9823" t="s">
        <v>19447</v>
      </c>
      <c r="I9823" t="s">
        <v>19447</v>
      </c>
      <c r="J9823">
        <v>0</v>
      </c>
      <c r="L9823" t="s">
        <v>2709</v>
      </c>
      <c r="M9823">
        <v>88051000</v>
      </c>
      <c r="O9823" t="s">
        <v>19447</v>
      </c>
      <c r="P9823" t="s">
        <v>19902</v>
      </c>
      <c r="Q9823" t="s">
        <v>19900</v>
      </c>
      <c r="R9823" t="s">
        <v>19447</v>
      </c>
      <c r="S9823" t="s">
        <v>19447</v>
      </c>
      <c r="T9823" t="s">
        <v>19900</v>
      </c>
    </row>
    <row r="9824" spans="2:20" x14ac:dyDescent="0.25">
      <c r="B9824" t="s">
        <v>2709</v>
      </c>
      <c r="C9824">
        <v>88052100</v>
      </c>
      <c r="E9824" t="s">
        <v>19447</v>
      </c>
      <c r="F9824">
        <v>4</v>
      </c>
      <c r="G9824">
        <v>0</v>
      </c>
      <c r="H9824" t="s">
        <v>19447</v>
      </c>
      <c r="I9824" t="s">
        <v>19447</v>
      </c>
      <c r="J9824">
        <v>0</v>
      </c>
      <c r="L9824" t="s">
        <v>2709</v>
      </c>
      <c r="M9824">
        <v>88052100</v>
      </c>
      <c r="O9824" t="s">
        <v>19447</v>
      </c>
      <c r="P9824" t="s">
        <v>19902</v>
      </c>
      <c r="Q9824" t="s">
        <v>19900</v>
      </c>
      <c r="R9824" t="s">
        <v>19447</v>
      </c>
      <c r="S9824" t="s">
        <v>19447</v>
      </c>
      <c r="T9824" t="s">
        <v>19900</v>
      </c>
    </row>
    <row r="9825" spans="2:20" x14ac:dyDescent="0.25">
      <c r="B9825" t="s">
        <v>2709</v>
      </c>
      <c r="C9825">
        <v>88052900</v>
      </c>
      <c r="E9825" t="s">
        <v>19447</v>
      </c>
      <c r="F9825">
        <v>0</v>
      </c>
      <c r="G9825">
        <v>0</v>
      </c>
      <c r="H9825" t="s">
        <v>19447</v>
      </c>
      <c r="I9825" t="s">
        <v>19447</v>
      </c>
      <c r="J9825">
        <v>0</v>
      </c>
      <c r="L9825" t="s">
        <v>2709</v>
      </c>
      <c r="M9825">
        <v>88052900</v>
      </c>
      <c r="O9825" t="s">
        <v>19447</v>
      </c>
      <c r="P9825" t="s">
        <v>19900</v>
      </c>
      <c r="Q9825" t="s">
        <v>19900</v>
      </c>
      <c r="R9825" t="s">
        <v>19447</v>
      </c>
      <c r="S9825" t="s">
        <v>19447</v>
      </c>
      <c r="T9825" t="s">
        <v>19900</v>
      </c>
    </row>
    <row r="9826" spans="2:20" x14ac:dyDescent="0.25">
      <c r="B9826" t="s">
        <v>2709</v>
      </c>
      <c r="C9826">
        <v>89011000</v>
      </c>
      <c r="E9826" t="s">
        <v>19447</v>
      </c>
      <c r="F9826">
        <v>0</v>
      </c>
      <c r="G9826">
        <v>0</v>
      </c>
      <c r="H9826" t="s">
        <v>19447</v>
      </c>
      <c r="I9826" t="s">
        <v>19447</v>
      </c>
      <c r="J9826">
        <v>14</v>
      </c>
      <c r="L9826" t="s">
        <v>2709</v>
      </c>
      <c r="M9826">
        <v>89011000</v>
      </c>
      <c r="O9826" t="s">
        <v>19447</v>
      </c>
      <c r="P9826" t="s">
        <v>19900</v>
      </c>
      <c r="Q9826" t="s">
        <v>19900</v>
      </c>
      <c r="R9826" t="s">
        <v>19447</v>
      </c>
      <c r="S9826" t="s">
        <v>19447</v>
      </c>
      <c r="T9826" t="s">
        <v>19911</v>
      </c>
    </row>
    <row r="9827" spans="2:20" x14ac:dyDescent="0.25">
      <c r="B9827" t="s">
        <v>2709</v>
      </c>
      <c r="C9827">
        <v>89012000</v>
      </c>
      <c r="E9827" t="s">
        <v>19447</v>
      </c>
      <c r="F9827">
        <v>0</v>
      </c>
      <c r="G9827">
        <v>0</v>
      </c>
      <c r="H9827" t="s">
        <v>19447</v>
      </c>
      <c r="I9827" t="s">
        <v>19447</v>
      </c>
      <c r="J9827">
        <v>14</v>
      </c>
      <c r="L9827" t="s">
        <v>2709</v>
      </c>
      <c r="M9827">
        <v>89012000</v>
      </c>
      <c r="O9827" t="s">
        <v>19447</v>
      </c>
      <c r="P9827" t="s">
        <v>19900</v>
      </c>
      <c r="Q9827" t="s">
        <v>19900</v>
      </c>
      <c r="R9827" t="s">
        <v>19447</v>
      </c>
      <c r="S9827" t="s">
        <v>19447</v>
      </c>
      <c r="T9827" t="s">
        <v>19911</v>
      </c>
    </row>
    <row r="9828" spans="2:20" x14ac:dyDescent="0.25">
      <c r="B9828" t="s">
        <v>2709</v>
      </c>
      <c r="C9828">
        <v>89013000</v>
      </c>
      <c r="E9828" t="s">
        <v>19447</v>
      </c>
      <c r="F9828">
        <v>0</v>
      </c>
      <c r="G9828">
        <v>0</v>
      </c>
      <c r="H9828" t="s">
        <v>19447</v>
      </c>
      <c r="I9828" t="s">
        <v>19447</v>
      </c>
      <c r="J9828">
        <v>14</v>
      </c>
      <c r="L9828" t="s">
        <v>2709</v>
      </c>
      <c r="M9828">
        <v>89013000</v>
      </c>
      <c r="O9828" t="s">
        <v>19447</v>
      </c>
      <c r="P9828" t="s">
        <v>19900</v>
      </c>
      <c r="Q9828" t="s">
        <v>19900</v>
      </c>
      <c r="R9828" t="s">
        <v>19447</v>
      </c>
      <c r="S9828" t="s">
        <v>19447</v>
      </c>
      <c r="T9828" t="s">
        <v>19911</v>
      </c>
    </row>
    <row r="9829" spans="2:20" x14ac:dyDescent="0.25">
      <c r="B9829" t="s">
        <v>2709</v>
      </c>
      <c r="C9829">
        <v>89019000</v>
      </c>
      <c r="E9829" t="s">
        <v>19447</v>
      </c>
      <c r="F9829">
        <v>0</v>
      </c>
      <c r="G9829">
        <v>0</v>
      </c>
      <c r="H9829" t="s">
        <v>19447</v>
      </c>
      <c r="I9829" t="s">
        <v>19447</v>
      </c>
      <c r="J9829">
        <v>14</v>
      </c>
      <c r="L9829" t="s">
        <v>2709</v>
      </c>
      <c r="M9829">
        <v>89019000</v>
      </c>
      <c r="O9829" t="s">
        <v>19447</v>
      </c>
      <c r="P9829" t="s">
        <v>19900</v>
      </c>
      <c r="Q9829" t="s">
        <v>19900</v>
      </c>
      <c r="R9829" t="s">
        <v>19447</v>
      </c>
      <c r="S9829" t="s">
        <v>19447</v>
      </c>
      <c r="T9829" t="s">
        <v>19911</v>
      </c>
    </row>
    <row r="9830" spans="2:20" x14ac:dyDescent="0.25">
      <c r="B9830" t="s">
        <v>2709</v>
      </c>
      <c r="C9830">
        <v>89020010</v>
      </c>
      <c r="E9830" t="s">
        <v>19447</v>
      </c>
      <c r="F9830">
        <v>0</v>
      </c>
      <c r="G9830">
        <v>0</v>
      </c>
      <c r="H9830" t="s">
        <v>19447</v>
      </c>
      <c r="I9830" t="s">
        <v>19447</v>
      </c>
      <c r="J9830">
        <v>14</v>
      </c>
      <c r="L9830" t="s">
        <v>2709</v>
      </c>
      <c r="M9830">
        <v>89020010</v>
      </c>
      <c r="O9830" t="s">
        <v>19447</v>
      </c>
      <c r="P9830" t="s">
        <v>19900</v>
      </c>
      <c r="Q9830" t="s">
        <v>19900</v>
      </c>
      <c r="R9830" t="s">
        <v>19447</v>
      </c>
      <c r="S9830" t="s">
        <v>19447</v>
      </c>
      <c r="T9830" t="s">
        <v>19911</v>
      </c>
    </row>
    <row r="9831" spans="2:20" x14ac:dyDescent="0.25">
      <c r="B9831" t="s">
        <v>2709</v>
      </c>
      <c r="C9831">
        <v>89020090</v>
      </c>
      <c r="E9831" t="s">
        <v>19447</v>
      </c>
      <c r="F9831">
        <v>0</v>
      </c>
      <c r="G9831">
        <v>0</v>
      </c>
      <c r="H9831" t="s">
        <v>19447</v>
      </c>
      <c r="I9831" t="s">
        <v>19447</v>
      </c>
      <c r="J9831">
        <v>14</v>
      </c>
      <c r="L9831" t="s">
        <v>2709</v>
      </c>
      <c r="M9831">
        <v>89020090</v>
      </c>
      <c r="O9831" t="s">
        <v>19447</v>
      </c>
      <c r="P9831" t="s">
        <v>19900</v>
      </c>
      <c r="Q9831" t="s">
        <v>19900</v>
      </c>
      <c r="R9831" t="s">
        <v>19447</v>
      </c>
      <c r="S9831" t="s">
        <v>19447</v>
      </c>
      <c r="T9831" t="s">
        <v>19911</v>
      </c>
    </row>
    <row r="9832" spans="2:20" x14ac:dyDescent="0.25">
      <c r="B9832" t="s">
        <v>2709</v>
      </c>
      <c r="C9832">
        <v>89031000</v>
      </c>
      <c r="E9832" t="s">
        <v>19447</v>
      </c>
      <c r="F9832">
        <v>0</v>
      </c>
      <c r="G9832">
        <v>10</v>
      </c>
      <c r="H9832" t="s">
        <v>19447</v>
      </c>
      <c r="I9832" t="s">
        <v>19447</v>
      </c>
      <c r="J9832">
        <v>20</v>
      </c>
      <c r="L9832" t="s">
        <v>2709</v>
      </c>
      <c r="M9832">
        <v>89031000</v>
      </c>
      <c r="O9832" t="s">
        <v>19447</v>
      </c>
      <c r="P9832" t="s">
        <v>19900</v>
      </c>
      <c r="Q9832" t="s">
        <v>19904</v>
      </c>
      <c r="R9832" t="s">
        <v>19447</v>
      </c>
      <c r="S9832" t="s">
        <v>19447</v>
      </c>
      <c r="T9832" t="s">
        <v>19934</v>
      </c>
    </row>
    <row r="9833" spans="2:20" x14ac:dyDescent="0.25">
      <c r="B9833" t="s">
        <v>2709</v>
      </c>
      <c r="C9833">
        <v>89039100</v>
      </c>
      <c r="E9833" t="s">
        <v>19447</v>
      </c>
      <c r="F9833">
        <v>0</v>
      </c>
      <c r="G9833">
        <v>10</v>
      </c>
      <c r="H9833" t="s">
        <v>19447</v>
      </c>
      <c r="I9833" t="s">
        <v>19447</v>
      </c>
      <c r="J9833">
        <v>20</v>
      </c>
      <c r="L9833" t="s">
        <v>2709</v>
      </c>
      <c r="M9833">
        <v>89039100</v>
      </c>
      <c r="O9833" t="s">
        <v>19447</v>
      </c>
      <c r="P9833" t="s">
        <v>19900</v>
      </c>
      <c r="Q9833" t="s">
        <v>19904</v>
      </c>
      <c r="R9833" t="s">
        <v>19447</v>
      </c>
      <c r="S9833" t="s">
        <v>19447</v>
      </c>
      <c r="T9833" t="s">
        <v>19934</v>
      </c>
    </row>
    <row r="9834" spans="2:20" x14ac:dyDescent="0.25">
      <c r="B9834" t="s">
        <v>2709</v>
      </c>
      <c r="C9834">
        <v>89039200</v>
      </c>
      <c r="E9834" t="s">
        <v>19447</v>
      </c>
      <c r="F9834">
        <v>0</v>
      </c>
      <c r="G9834">
        <v>10</v>
      </c>
      <c r="H9834" t="s">
        <v>19447</v>
      </c>
      <c r="I9834" t="s">
        <v>19447</v>
      </c>
      <c r="J9834">
        <v>20</v>
      </c>
      <c r="L9834" t="s">
        <v>2709</v>
      </c>
      <c r="M9834">
        <v>89039200</v>
      </c>
      <c r="O9834" t="s">
        <v>19447</v>
      </c>
      <c r="P9834" t="s">
        <v>19900</v>
      </c>
      <c r="Q9834" t="s">
        <v>19904</v>
      </c>
      <c r="R9834" t="s">
        <v>19447</v>
      </c>
      <c r="S9834" t="s">
        <v>19447</v>
      </c>
      <c r="T9834" t="s">
        <v>19934</v>
      </c>
    </row>
    <row r="9835" spans="2:20" x14ac:dyDescent="0.25">
      <c r="B9835" t="s">
        <v>2709</v>
      </c>
      <c r="C9835">
        <v>89039900</v>
      </c>
      <c r="E9835" t="s">
        <v>19447</v>
      </c>
      <c r="F9835">
        <v>0</v>
      </c>
      <c r="G9835">
        <v>10</v>
      </c>
      <c r="H9835" t="s">
        <v>19447</v>
      </c>
      <c r="I9835" t="s">
        <v>19447</v>
      </c>
      <c r="J9835">
        <v>20</v>
      </c>
      <c r="L9835" t="s">
        <v>2709</v>
      </c>
      <c r="M9835">
        <v>89039900</v>
      </c>
      <c r="O9835" t="s">
        <v>19447</v>
      </c>
      <c r="P9835" t="s">
        <v>19900</v>
      </c>
      <c r="Q9835" t="s">
        <v>19904</v>
      </c>
      <c r="R9835" t="s">
        <v>19447</v>
      </c>
      <c r="S9835" t="s">
        <v>19447</v>
      </c>
      <c r="T9835" t="s">
        <v>19934</v>
      </c>
    </row>
    <row r="9836" spans="2:20" x14ac:dyDescent="0.25">
      <c r="B9836" t="s">
        <v>2709</v>
      </c>
      <c r="C9836">
        <v>89040000</v>
      </c>
      <c r="E9836" t="s">
        <v>19447</v>
      </c>
      <c r="F9836">
        <v>0</v>
      </c>
      <c r="G9836">
        <v>0</v>
      </c>
      <c r="H9836" t="s">
        <v>19447</v>
      </c>
      <c r="I9836" t="s">
        <v>19447</v>
      </c>
      <c r="J9836">
        <v>14</v>
      </c>
      <c r="L9836" t="s">
        <v>2709</v>
      </c>
      <c r="M9836">
        <v>89040000</v>
      </c>
      <c r="O9836" t="s">
        <v>19447</v>
      </c>
      <c r="P9836" t="s">
        <v>19900</v>
      </c>
      <c r="Q9836" t="s">
        <v>19900</v>
      </c>
      <c r="R9836" t="s">
        <v>19447</v>
      </c>
      <c r="S9836" t="s">
        <v>19447</v>
      </c>
      <c r="T9836" t="s">
        <v>19911</v>
      </c>
    </row>
    <row r="9837" spans="2:20" x14ac:dyDescent="0.25">
      <c r="B9837" t="s">
        <v>2709</v>
      </c>
      <c r="C9837">
        <v>89051000</v>
      </c>
      <c r="E9837" t="s">
        <v>19447</v>
      </c>
      <c r="F9837">
        <v>0</v>
      </c>
      <c r="G9837">
        <v>0</v>
      </c>
      <c r="H9837" t="s">
        <v>19447</v>
      </c>
      <c r="I9837" t="s">
        <v>19447</v>
      </c>
      <c r="J9837">
        <v>14</v>
      </c>
      <c r="L9837" t="s">
        <v>2709</v>
      </c>
      <c r="M9837">
        <v>89051000</v>
      </c>
      <c r="O9837" t="s">
        <v>19447</v>
      </c>
      <c r="P9837" t="s">
        <v>19900</v>
      </c>
      <c r="Q9837" t="s">
        <v>19900</v>
      </c>
      <c r="R9837" t="s">
        <v>19447</v>
      </c>
      <c r="S9837" t="s">
        <v>19447</v>
      </c>
      <c r="T9837" t="s">
        <v>19911</v>
      </c>
    </row>
    <row r="9838" spans="2:20" x14ac:dyDescent="0.25">
      <c r="B9838" t="s">
        <v>2709</v>
      </c>
      <c r="C9838">
        <v>89052000</v>
      </c>
      <c r="E9838" t="s">
        <v>19447</v>
      </c>
      <c r="F9838">
        <v>0</v>
      </c>
      <c r="G9838">
        <v>0</v>
      </c>
      <c r="H9838" t="s">
        <v>19447</v>
      </c>
      <c r="I9838" t="s">
        <v>19447</v>
      </c>
      <c r="J9838">
        <v>14</v>
      </c>
      <c r="L9838" t="s">
        <v>2709</v>
      </c>
      <c r="M9838">
        <v>89052000</v>
      </c>
      <c r="O9838" t="s">
        <v>19447</v>
      </c>
      <c r="P9838" t="s">
        <v>19900</v>
      </c>
      <c r="Q9838" t="s">
        <v>19900</v>
      </c>
      <c r="R9838" t="s">
        <v>19447</v>
      </c>
      <c r="S9838" t="s">
        <v>19447</v>
      </c>
      <c r="T9838" t="s">
        <v>19911</v>
      </c>
    </row>
    <row r="9839" spans="2:20" x14ac:dyDescent="0.25">
      <c r="B9839" t="s">
        <v>2709</v>
      </c>
      <c r="C9839">
        <v>89059000</v>
      </c>
      <c r="E9839" t="s">
        <v>19447</v>
      </c>
      <c r="F9839">
        <v>0</v>
      </c>
      <c r="G9839">
        <v>0</v>
      </c>
      <c r="H9839" t="s">
        <v>19447</v>
      </c>
      <c r="I9839" t="s">
        <v>19447</v>
      </c>
      <c r="J9839">
        <v>14</v>
      </c>
      <c r="L9839" t="s">
        <v>2709</v>
      </c>
      <c r="M9839">
        <v>89059000</v>
      </c>
      <c r="O9839" t="s">
        <v>19447</v>
      </c>
      <c r="P9839" t="s">
        <v>19900</v>
      </c>
      <c r="Q9839" t="s">
        <v>19900</v>
      </c>
      <c r="R9839" t="s">
        <v>19447</v>
      </c>
      <c r="S9839" t="s">
        <v>19447</v>
      </c>
      <c r="T9839" t="s">
        <v>19911</v>
      </c>
    </row>
    <row r="9840" spans="2:20" x14ac:dyDescent="0.25">
      <c r="B9840" t="s">
        <v>2709</v>
      </c>
      <c r="C9840">
        <v>89059000</v>
      </c>
      <c r="D9840">
        <v>1</v>
      </c>
      <c r="E9840" t="s">
        <v>19447</v>
      </c>
      <c r="F9840">
        <v>18</v>
      </c>
      <c r="G9840">
        <v>5</v>
      </c>
      <c r="H9840">
        <v>7.6</v>
      </c>
      <c r="I9840">
        <v>1.65</v>
      </c>
      <c r="J9840">
        <v>14</v>
      </c>
      <c r="L9840" t="s">
        <v>2709</v>
      </c>
      <c r="M9840">
        <v>89059000</v>
      </c>
      <c r="N9840">
        <v>1</v>
      </c>
      <c r="O9840" t="s">
        <v>19447</v>
      </c>
      <c r="P9840" t="s">
        <v>19899</v>
      </c>
      <c r="Q9840" t="s">
        <v>19909</v>
      </c>
      <c r="R9840" t="s">
        <v>19905</v>
      </c>
      <c r="S9840" t="s">
        <v>19906</v>
      </c>
      <c r="T9840" t="s">
        <v>19911</v>
      </c>
    </row>
    <row r="9841" spans="2:20" x14ac:dyDescent="0.25">
      <c r="B9841" t="s">
        <v>2709</v>
      </c>
      <c r="C9841">
        <v>89061000</v>
      </c>
      <c r="E9841" t="s">
        <v>19447</v>
      </c>
      <c r="F9841">
        <v>0</v>
      </c>
      <c r="G9841">
        <v>0</v>
      </c>
      <c r="H9841" t="s">
        <v>19447</v>
      </c>
      <c r="I9841" t="s">
        <v>19447</v>
      </c>
      <c r="J9841">
        <v>14</v>
      </c>
      <c r="L9841" t="s">
        <v>2709</v>
      </c>
      <c r="M9841">
        <v>89061000</v>
      </c>
      <c r="O9841" t="s">
        <v>19447</v>
      </c>
      <c r="P9841" t="s">
        <v>19900</v>
      </c>
      <c r="Q9841" t="s">
        <v>19900</v>
      </c>
      <c r="R9841" t="s">
        <v>19447</v>
      </c>
      <c r="S9841" t="s">
        <v>19447</v>
      </c>
      <c r="T9841" t="s">
        <v>19911</v>
      </c>
    </row>
    <row r="9842" spans="2:20" x14ac:dyDescent="0.25">
      <c r="B9842" t="s">
        <v>2709</v>
      </c>
      <c r="C9842">
        <v>89069000</v>
      </c>
      <c r="E9842" t="s">
        <v>19447</v>
      </c>
      <c r="F9842">
        <v>0</v>
      </c>
      <c r="G9842">
        <v>0</v>
      </c>
      <c r="H9842" t="s">
        <v>19447</v>
      </c>
      <c r="I9842" t="s">
        <v>19447</v>
      </c>
      <c r="J9842">
        <v>14</v>
      </c>
      <c r="L9842" t="s">
        <v>2709</v>
      </c>
      <c r="M9842">
        <v>89069000</v>
      </c>
      <c r="O9842" t="s">
        <v>19447</v>
      </c>
      <c r="P9842" t="s">
        <v>19900</v>
      </c>
      <c r="Q9842" t="s">
        <v>19900</v>
      </c>
      <c r="R9842" t="s">
        <v>19447</v>
      </c>
      <c r="S9842" t="s">
        <v>19447</v>
      </c>
      <c r="T9842" t="s">
        <v>19911</v>
      </c>
    </row>
    <row r="9843" spans="2:20" x14ac:dyDescent="0.25">
      <c r="B9843" t="s">
        <v>2709</v>
      </c>
      <c r="C9843">
        <v>89071000</v>
      </c>
      <c r="E9843" t="s">
        <v>19447</v>
      </c>
      <c r="F9843">
        <v>0</v>
      </c>
      <c r="G9843">
        <v>5</v>
      </c>
      <c r="H9843" t="s">
        <v>19447</v>
      </c>
      <c r="I9843" t="s">
        <v>19447</v>
      </c>
      <c r="J9843">
        <v>14</v>
      </c>
      <c r="L9843" t="s">
        <v>2709</v>
      </c>
      <c r="M9843">
        <v>89071000</v>
      </c>
      <c r="O9843" t="s">
        <v>19447</v>
      </c>
      <c r="P9843" t="s">
        <v>19900</v>
      </c>
      <c r="Q9843" t="s">
        <v>19909</v>
      </c>
      <c r="R9843" t="s">
        <v>19447</v>
      </c>
      <c r="S9843" t="s">
        <v>19447</v>
      </c>
      <c r="T9843" t="s">
        <v>19911</v>
      </c>
    </row>
    <row r="9844" spans="2:20" x14ac:dyDescent="0.25">
      <c r="B9844" t="s">
        <v>2709</v>
      </c>
      <c r="C9844">
        <v>89079000</v>
      </c>
      <c r="E9844" t="s">
        <v>19447</v>
      </c>
      <c r="F9844">
        <v>0</v>
      </c>
      <c r="G9844">
        <v>5</v>
      </c>
      <c r="H9844" t="s">
        <v>19447</v>
      </c>
      <c r="I9844" t="s">
        <v>19447</v>
      </c>
      <c r="J9844">
        <v>14</v>
      </c>
      <c r="L9844" t="s">
        <v>2709</v>
      </c>
      <c r="M9844">
        <v>89079000</v>
      </c>
      <c r="O9844" t="s">
        <v>19447</v>
      </c>
      <c r="P9844" t="s">
        <v>19900</v>
      </c>
      <c r="Q9844" t="s">
        <v>19909</v>
      </c>
      <c r="R9844" t="s">
        <v>19447</v>
      </c>
      <c r="S9844" t="s">
        <v>19447</v>
      </c>
      <c r="T9844" t="s">
        <v>19911</v>
      </c>
    </row>
    <row r="9845" spans="2:20" x14ac:dyDescent="0.25">
      <c r="B9845" t="s">
        <v>2709</v>
      </c>
      <c r="C9845">
        <v>89080000</v>
      </c>
      <c r="E9845" t="s">
        <v>19447</v>
      </c>
      <c r="F9845">
        <v>0</v>
      </c>
      <c r="G9845">
        <v>0</v>
      </c>
      <c r="H9845" t="s">
        <v>19447</v>
      </c>
      <c r="I9845" t="s">
        <v>19447</v>
      </c>
      <c r="J9845">
        <v>2</v>
      </c>
      <c r="L9845" t="s">
        <v>2709</v>
      </c>
      <c r="M9845">
        <v>89080000</v>
      </c>
      <c r="O9845" t="s">
        <v>19447</v>
      </c>
      <c r="P9845" t="s">
        <v>19900</v>
      </c>
      <c r="Q9845" t="s">
        <v>19900</v>
      </c>
      <c r="R9845" t="s">
        <v>19447</v>
      </c>
      <c r="S9845" t="s">
        <v>19447</v>
      </c>
      <c r="T9845" t="s">
        <v>19901</v>
      </c>
    </row>
    <row r="9846" spans="2:20" x14ac:dyDescent="0.25">
      <c r="B9846" t="s">
        <v>2709</v>
      </c>
      <c r="C9846">
        <v>89080000</v>
      </c>
      <c r="D9846">
        <v>1</v>
      </c>
      <c r="E9846" t="s">
        <v>19447</v>
      </c>
      <c r="F9846">
        <v>18</v>
      </c>
      <c r="G9846">
        <v>0</v>
      </c>
      <c r="H9846">
        <v>7.6</v>
      </c>
      <c r="I9846">
        <v>1.65</v>
      </c>
      <c r="J9846">
        <v>2</v>
      </c>
      <c r="L9846" t="s">
        <v>2709</v>
      </c>
      <c r="M9846">
        <v>89080000</v>
      </c>
      <c r="N9846">
        <v>1</v>
      </c>
      <c r="O9846" t="s">
        <v>19447</v>
      </c>
      <c r="P9846" t="s">
        <v>19899</v>
      </c>
      <c r="Q9846" t="s">
        <v>19900</v>
      </c>
      <c r="R9846" t="s">
        <v>19905</v>
      </c>
      <c r="S9846" t="s">
        <v>19906</v>
      </c>
      <c r="T9846" t="s">
        <v>19901</v>
      </c>
    </row>
    <row r="9847" spans="2:20" x14ac:dyDescent="0.25">
      <c r="B9847" t="s">
        <v>2709</v>
      </c>
      <c r="C9847">
        <v>90011011</v>
      </c>
      <c r="E9847">
        <v>177.19</v>
      </c>
      <c r="F9847">
        <v>18</v>
      </c>
      <c r="G9847">
        <v>10</v>
      </c>
      <c r="H9847" t="s">
        <v>19447</v>
      </c>
      <c r="I9847" t="s">
        <v>19447</v>
      </c>
      <c r="J9847">
        <v>12</v>
      </c>
      <c r="L9847" t="s">
        <v>2709</v>
      </c>
      <c r="M9847">
        <v>90011011</v>
      </c>
      <c r="O9847" t="s">
        <v>19926</v>
      </c>
      <c r="P9847" t="s">
        <v>19899</v>
      </c>
      <c r="Q9847" t="s">
        <v>19904</v>
      </c>
      <c r="R9847" t="s">
        <v>19447</v>
      </c>
      <c r="S9847" t="s">
        <v>19447</v>
      </c>
      <c r="T9847" t="s">
        <v>19903</v>
      </c>
    </row>
    <row r="9848" spans="2:20" x14ac:dyDescent="0.25">
      <c r="B9848" t="s">
        <v>2709</v>
      </c>
      <c r="C9848">
        <v>90011019</v>
      </c>
      <c r="E9848">
        <v>177.19</v>
      </c>
      <c r="F9848">
        <v>18</v>
      </c>
      <c r="G9848">
        <v>10</v>
      </c>
      <c r="H9848" t="s">
        <v>19447</v>
      </c>
      <c r="I9848" t="s">
        <v>19447</v>
      </c>
      <c r="J9848">
        <v>12</v>
      </c>
      <c r="L9848" t="s">
        <v>2709</v>
      </c>
      <c r="M9848">
        <v>90011019</v>
      </c>
      <c r="O9848" t="s">
        <v>19926</v>
      </c>
      <c r="P9848" t="s">
        <v>19899</v>
      </c>
      <c r="Q9848" t="s">
        <v>19904</v>
      </c>
      <c r="R9848" t="s">
        <v>19447</v>
      </c>
      <c r="S9848" t="s">
        <v>19447</v>
      </c>
      <c r="T9848" t="s">
        <v>19903</v>
      </c>
    </row>
    <row r="9849" spans="2:20" x14ac:dyDescent="0.25">
      <c r="B9849" t="s">
        <v>2709</v>
      </c>
      <c r="C9849">
        <v>90011020</v>
      </c>
      <c r="E9849">
        <v>177.19</v>
      </c>
      <c r="F9849">
        <v>18</v>
      </c>
      <c r="G9849">
        <v>15</v>
      </c>
      <c r="H9849" t="s">
        <v>19447</v>
      </c>
      <c r="I9849" t="s">
        <v>19447</v>
      </c>
      <c r="J9849">
        <v>14</v>
      </c>
      <c r="L9849" t="s">
        <v>2709</v>
      </c>
      <c r="M9849">
        <v>90011020</v>
      </c>
      <c r="O9849" t="s">
        <v>19926</v>
      </c>
      <c r="P9849" t="s">
        <v>19899</v>
      </c>
      <c r="Q9849" t="s">
        <v>19983</v>
      </c>
      <c r="R9849" t="s">
        <v>19447</v>
      </c>
      <c r="S9849" t="s">
        <v>19447</v>
      </c>
      <c r="T9849" t="s">
        <v>19911</v>
      </c>
    </row>
    <row r="9850" spans="2:20" x14ac:dyDescent="0.25">
      <c r="B9850" t="s">
        <v>2709</v>
      </c>
      <c r="C9850">
        <v>90012000</v>
      </c>
      <c r="E9850">
        <v>177.19</v>
      </c>
      <c r="F9850">
        <v>18</v>
      </c>
      <c r="G9850">
        <v>15</v>
      </c>
      <c r="H9850" t="s">
        <v>19447</v>
      </c>
      <c r="I9850" t="s">
        <v>19447</v>
      </c>
      <c r="J9850">
        <v>18</v>
      </c>
      <c r="L9850" t="s">
        <v>2709</v>
      </c>
      <c r="M9850">
        <v>90012000</v>
      </c>
      <c r="O9850" t="s">
        <v>19926</v>
      </c>
      <c r="P9850" t="s">
        <v>19899</v>
      </c>
      <c r="Q9850" t="s">
        <v>19983</v>
      </c>
      <c r="R9850" t="s">
        <v>19447</v>
      </c>
      <c r="S9850" t="s">
        <v>19447</v>
      </c>
      <c r="T9850" t="s">
        <v>19899</v>
      </c>
    </row>
    <row r="9851" spans="2:20" x14ac:dyDescent="0.25">
      <c r="B9851" t="s">
        <v>2709</v>
      </c>
      <c r="C9851">
        <v>90013000</v>
      </c>
      <c r="E9851">
        <v>177.19</v>
      </c>
      <c r="F9851">
        <v>18</v>
      </c>
      <c r="G9851">
        <v>0</v>
      </c>
      <c r="H9851" t="s">
        <v>19447</v>
      </c>
      <c r="I9851" t="s">
        <v>19447</v>
      </c>
      <c r="J9851">
        <v>18</v>
      </c>
      <c r="L9851" t="s">
        <v>2709</v>
      </c>
      <c r="M9851">
        <v>90013000</v>
      </c>
      <c r="O9851" t="s">
        <v>19926</v>
      </c>
      <c r="P9851" t="s">
        <v>19899</v>
      </c>
      <c r="Q9851" t="s">
        <v>19900</v>
      </c>
      <c r="R9851" t="s">
        <v>19447</v>
      </c>
      <c r="S9851" t="s">
        <v>19447</v>
      </c>
      <c r="T9851" t="s">
        <v>19899</v>
      </c>
    </row>
    <row r="9852" spans="2:20" x14ac:dyDescent="0.25">
      <c r="B9852" t="s">
        <v>2709</v>
      </c>
      <c r="C9852">
        <v>90014000</v>
      </c>
      <c r="E9852">
        <v>177.19</v>
      </c>
      <c r="F9852">
        <v>18</v>
      </c>
      <c r="G9852">
        <v>0</v>
      </c>
      <c r="H9852" t="s">
        <v>19447</v>
      </c>
      <c r="I9852" t="s">
        <v>19447</v>
      </c>
      <c r="J9852">
        <v>18</v>
      </c>
      <c r="L9852" t="s">
        <v>2709</v>
      </c>
      <c r="M9852">
        <v>90014000</v>
      </c>
      <c r="O9852" t="s">
        <v>19926</v>
      </c>
      <c r="P9852" t="s">
        <v>19899</v>
      </c>
      <c r="Q9852" t="s">
        <v>19900</v>
      </c>
      <c r="R9852" t="s">
        <v>19447</v>
      </c>
      <c r="S9852" t="s">
        <v>19447</v>
      </c>
      <c r="T9852" t="s">
        <v>19899</v>
      </c>
    </row>
    <row r="9853" spans="2:20" x14ac:dyDescent="0.25">
      <c r="B9853" t="s">
        <v>2709</v>
      </c>
      <c r="C9853">
        <v>90015000</v>
      </c>
      <c r="E9853">
        <v>177.19</v>
      </c>
      <c r="F9853">
        <v>18</v>
      </c>
      <c r="G9853">
        <v>0</v>
      </c>
      <c r="H9853" t="s">
        <v>19447</v>
      </c>
      <c r="I9853" t="s">
        <v>19447</v>
      </c>
      <c r="J9853">
        <v>18</v>
      </c>
      <c r="L9853" t="s">
        <v>2709</v>
      </c>
      <c r="M9853">
        <v>90015000</v>
      </c>
      <c r="O9853" t="s">
        <v>19926</v>
      </c>
      <c r="P9853" t="s">
        <v>19899</v>
      </c>
      <c r="Q9853" t="s">
        <v>19900</v>
      </c>
      <c r="R9853" t="s">
        <v>19447</v>
      </c>
      <c r="S9853" t="s">
        <v>19447</v>
      </c>
      <c r="T9853" t="s">
        <v>19899</v>
      </c>
    </row>
    <row r="9854" spans="2:20" x14ac:dyDescent="0.25">
      <c r="B9854" t="s">
        <v>2709</v>
      </c>
      <c r="C9854">
        <v>90019010</v>
      </c>
      <c r="E9854">
        <v>177.19</v>
      </c>
      <c r="F9854">
        <v>18</v>
      </c>
      <c r="G9854">
        <v>0</v>
      </c>
      <c r="H9854" t="s">
        <v>19447</v>
      </c>
      <c r="I9854" t="s">
        <v>19447</v>
      </c>
      <c r="J9854">
        <v>18</v>
      </c>
      <c r="L9854" t="s">
        <v>2709</v>
      </c>
      <c r="M9854">
        <v>90019010</v>
      </c>
      <c r="O9854" t="s">
        <v>19926</v>
      </c>
      <c r="P9854" t="s">
        <v>19899</v>
      </c>
      <c r="Q9854" t="s">
        <v>19900</v>
      </c>
      <c r="R9854" t="s">
        <v>19447</v>
      </c>
      <c r="S9854" t="s">
        <v>19447</v>
      </c>
      <c r="T9854" t="s">
        <v>19899</v>
      </c>
    </row>
    <row r="9855" spans="2:20" x14ac:dyDescent="0.25">
      <c r="B9855" t="s">
        <v>2709</v>
      </c>
      <c r="C9855">
        <v>90019090</v>
      </c>
      <c r="E9855">
        <v>177.19</v>
      </c>
      <c r="F9855">
        <v>18</v>
      </c>
      <c r="G9855">
        <v>15</v>
      </c>
      <c r="H9855" t="s">
        <v>19447</v>
      </c>
      <c r="I9855" t="s">
        <v>19447</v>
      </c>
      <c r="J9855">
        <v>18</v>
      </c>
      <c r="L9855" t="s">
        <v>2709</v>
      </c>
      <c r="M9855">
        <v>90019090</v>
      </c>
      <c r="O9855" t="s">
        <v>19926</v>
      </c>
      <c r="P9855" t="s">
        <v>19899</v>
      </c>
      <c r="Q9855" t="s">
        <v>19983</v>
      </c>
      <c r="R9855" t="s">
        <v>19447</v>
      </c>
      <c r="S9855" t="s">
        <v>19447</v>
      </c>
      <c r="T9855" t="s">
        <v>19899</v>
      </c>
    </row>
    <row r="9856" spans="2:20" x14ac:dyDescent="0.25">
      <c r="B9856" t="s">
        <v>2709</v>
      </c>
      <c r="C9856">
        <v>90021110</v>
      </c>
      <c r="E9856">
        <v>177.19</v>
      </c>
      <c r="F9856">
        <v>18</v>
      </c>
      <c r="G9856">
        <v>15</v>
      </c>
      <c r="H9856" t="s">
        <v>19447</v>
      </c>
      <c r="I9856" t="s">
        <v>19447</v>
      </c>
      <c r="J9856">
        <v>16</v>
      </c>
      <c r="L9856" t="s">
        <v>2709</v>
      </c>
      <c r="M9856">
        <v>90021110</v>
      </c>
      <c r="O9856" t="s">
        <v>19926</v>
      </c>
      <c r="P9856" t="s">
        <v>19899</v>
      </c>
      <c r="Q9856" t="s">
        <v>19983</v>
      </c>
      <c r="R9856" t="s">
        <v>19447</v>
      </c>
      <c r="S9856" t="s">
        <v>19447</v>
      </c>
      <c r="T9856" t="s">
        <v>19913</v>
      </c>
    </row>
    <row r="9857" spans="2:20" x14ac:dyDescent="0.25">
      <c r="B9857" t="s">
        <v>2709</v>
      </c>
      <c r="C9857">
        <v>90021110</v>
      </c>
      <c r="D9857">
        <v>1</v>
      </c>
      <c r="E9857" t="s">
        <v>19447</v>
      </c>
      <c r="F9857">
        <v>18</v>
      </c>
      <c r="G9857">
        <v>0</v>
      </c>
      <c r="H9857">
        <v>7.6</v>
      </c>
      <c r="I9857">
        <v>1.65</v>
      </c>
      <c r="J9857">
        <v>16</v>
      </c>
      <c r="L9857" t="s">
        <v>2709</v>
      </c>
      <c r="M9857">
        <v>90021110</v>
      </c>
      <c r="N9857">
        <v>1</v>
      </c>
      <c r="O9857" t="s">
        <v>19447</v>
      </c>
      <c r="P9857" t="s">
        <v>19899</v>
      </c>
      <c r="Q9857" t="s">
        <v>19900</v>
      </c>
      <c r="R9857" t="s">
        <v>19905</v>
      </c>
      <c r="S9857" t="s">
        <v>19906</v>
      </c>
      <c r="T9857" t="s">
        <v>19913</v>
      </c>
    </row>
    <row r="9858" spans="2:20" x14ac:dyDescent="0.25">
      <c r="B9858" t="s">
        <v>2709</v>
      </c>
      <c r="C9858">
        <v>90021120</v>
      </c>
      <c r="E9858">
        <v>177.19</v>
      </c>
      <c r="F9858">
        <v>18</v>
      </c>
      <c r="G9858">
        <v>15</v>
      </c>
      <c r="H9858" t="s">
        <v>19447</v>
      </c>
      <c r="I9858" t="s">
        <v>19447</v>
      </c>
      <c r="J9858">
        <v>0</v>
      </c>
      <c r="L9858" t="s">
        <v>2709</v>
      </c>
      <c r="M9858">
        <v>90021120</v>
      </c>
      <c r="O9858" t="s">
        <v>19926</v>
      </c>
      <c r="P9858" t="s">
        <v>19899</v>
      </c>
      <c r="Q9858" t="s">
        <v>19983</v>
      </c>
      <c r="R9858" t="s">
        <v>19447</v>
      </c>
      <c r="S9858" t="s">
        <v>19447</v>
      </c>
      <c r="T9858" t="s">
        <v>19900</v>
      </c>
    </row>
    <row r="9859" spans="2:20" x14ac:dyDescent="0.25">
      <c r="B9859" t="s">
        <v>2709</v>
      </c>
      <c r="C9859">
        <v>90021190</v>
      </c>
      <c r="E9859">
        <v>177.19</v>
      </c>
      <c r="F9859">
        <v>18</v>
      </c>
      <c r="G9859">
        <v>15</v>
      </c>
      <c r="H9859" t="s">
        <v>19447</v>
      </c>
      <c r="I9859" t="s">
        <v>19447</v>
      </c>
      <c r="J9859">
        <v>16</v>
      </c>
      <c r="L9859" t="s">
        <v>2709</v>
      </c>
      <c r="M9859">
        <v>90021190</v>
      </c>
      <c r="O9859" t="s">
        <v>19926</v>
      </c>
      <c r="P9859" t="s">
        <v>19899</v>
      </c>
      <c r="Q9859" t="s">
        <v>19983</v>
      </c>
      <c r="R9859" t="s">
        <v>19447</v>
      </c>
      <c r="S9859" t="s">
        <v>19447</v>
      </c>
      <c r="T9859" t="s">
        <v>19913</v>
      </c>
    </row>
    <row r="9860" spans="2:20" x14ac:dyDescent="0.25">
      <c r="B9860" t="s">
        <v>2709</v>
      </c>
      <c r="C9860">
        <v>90021900</v>
      </c>
      <c r="E9860">
        <v>177.19</v>
      </c>
      <c r="F9860">
        <v>18</v>
      </c>
      <c r="G9860">
        <v>15</v>
      </c>
      <c r="H9860" t="s">
        <v>19447</v>
      </c>
      <c r="I9860" t="s">
        <v>19447</v>
      </c>
      <c r="J9860">
        <v>16</v>
      </c>
      <c r="L9860" t="s">
        <v>2709</v>
      </c>
      <c r="M9860">
        <v>90021900</v>
      </c>
      <c r="O9860" t="s">
        <v>19926</v>
      </c>
      <c r="P9860" t="s">
        <v>19899</v>
      </c>
      <c r="Q9860" t="s">
        <v>19983</v>
      </c>
      <c r="R9860" t="s">
        <v>19447</v>
      </c>
      <c r="S9860" t="s">
        <v>19447</v>
      </c>
      <c r="T9860" t="s">
        <v>19913</v>
      </c>
    </row>
    <row r="9861" spans="2:20" x14ac:dyDescent="0.25">
      <c r="B9861" t="s">
        <v>2709</v>
      </c>
      <c r="C9861">
        <v>90022010</v>
      </c>
      <c r="E9861">
        <v>177.19</v>
      </c>
      <c r="F9861">
        <v>18</v>
      </c>
      <c r="G9861">
        <v>15</v>
      </c>
      <c r="H9861" t="s">
        <v>19447</v>
      </c>
      <c r="I9861" t="s">
        <v>19447</v>
      </c>
      <c r="J9861">
        <v>16</v>
      </c>
      <c r="L9861" t="s">
        <v>2709</v>
      </c>
      <c r="M9861">
        <v>90022010</v>
      </c>
      <c r="O9861" t="s">
        <v>19926</v>
      </c>
      <c r="P9861" t="s">
        <v>19899</v>
      </c>
      <c r="Q9861" t="s">
        <v>19983</v>
      </c>
      <c r="R9861" t="s">
        <v>19447</v>
      </c>
      <c r="S9861" t="s">
        <v>19447</v>
      </c>
      <c r="T9861" t="s">
        <v>19913</v>
      </c>
    </row>
    <row r="9862" spans="2:20" x14ac:dyDescent="0.25">
      <c r="B9862" t="s">
        <v>2709</v>
      </c>
      <c r="C9862">
        <v>90022090</v>
      </c>
      <c r="E9862">
        <v>177.19</v>
      </c>
      <c r="F9862">
        <v>18</v>
      </c>
      <c r="G9862">
        <v>15</v>
      </c>
      <c r="H9862" t="s">
        <v>19447</v>
      </c>
      <c r="I9862" t="s">
        <v>19447</v>
      </c>
      <c r="J9862">
        <v>16</v>
      </c>
      <c r="L9862" t="s">
        <v>2709</v>
      </c>
      <c r="M9862">
        <v>90022090</v>
      </c>
      <c r="O9862" t="s">
        <v>19926</v>
      </c>
      <c r="P9862" t="s">
        <v>19899</v>
      </c>
      <c r="Q9862" t="s">
        <v>19983</v>
      </c>
      <c r="R9862" t="s">
        <v>19447</v>
      </c>
      <c r="S9862" t="s">
        <v>19447</v>
      </c>
      <c r="T9862" t="s">
        <v>19913</v>
      </c>
    </row>
    <row r="9863" spans="2:20" x14ac:dyDescent="0.25">
      <c r="B9863" t="s">
        <v>2709</v>
      </c>
      <c r="C9863">
        <v>90029000</v>
      </c>
      <c r="E9863">
        <v>177.19</v>
      </c>
      <c r="F9863">
        <v>18</v>
      </c>
      <c r="G9863">
        <v>15</v>
      </c>
      <c r="H9863" t="s">
        <v>19447</v>
      </c>
      <c r="I9863" t="s">
        <v>19447</v>
      </c>
      <c r="J9863">
        <v>16</v>
      </c>
      <c r="L9863" t="s">
        <v>2709</v>
      </c>
      <c r="M9863">
        <v>90029000</v>
      </c>
      <c r="O9863" t="s">
        <v>19926</v>
      </c>
      <c r="P9863" t="s">
        <v>19899</v>
      </c>
      <c r="Q9863" t="s">
        <v>19983</v>
      </c>
      <c r="R9863" t="s">
        <v>19447</v>
      </c>
      <c r="S9863" t="s">
        <v>19447</v>
      </c>
      <c r="T9863" t="s">
        <v>19913</v>
      </c>
    </row>
    <row r="9864" spans="2:20" x14ac:dyDescent="0.25">
      <c r="B9864" t="s">
        <v>2709</v>
      </c>
      <c r="C9864">
        <v>90031100</v>
      </c>
      <c r="E9864">
        <v>177.19</v>
      </c>
      <c r="F9864">
        <v>18</v>
      </c>
      <c r="G9864">
        <v>5</v>
      </c>
      <c r="H9864" t="s">
        <v>19447</v>
      </c>
      <c r="I9864" t="s">
        <v>19447</v>
      </c>
      <c r="J9864">
        <v>18</v>
      </c>
      <c r="L9864" t="s">
        <v>2709</v>
      </c>
      <c r="M9864">
        <v>90031100</v>
      </c>
      <c r="O9864" t="s">
        <v>19926</v>
      </c>
      <c r="P9864" t="s">
        <v>19899</v>
      </c>
      <c r="Q9864" t="s">
        <v>19909</v>
      </c>
      <c r="R9864" t="s">
        <v>19447</v>
      </c>
      <c r="S9864" t="s">
        <v>19447</v>
      </c>
      <c r="T9864" t="s">
        <v>19899</v>
      </c>
    </row>
    <row r="9865" spans="2:20" x14ac:dyDescent="0.25">
      <c r="B9865" t="s">
        <v>2709</v>
      </c>
      <c r="C9865">
        <v>90031910</v>
      </c>
      <c r="E9865">
        <v>177.19</v>
      </c>
      <c r="F9865">
        <v>18</v>
      </c>
      <c r="G9865">
        <v>5</v>
      </c>
      <c r="H9865" t="s">
        <v>19447</v>
      </c>
      <c r="I9865" t="s">
        <v>19447</v>
      </c>
      <c r="J9865">
        <v>18</v>
      </c>
      <c r="L9865" t="s">
        <v>2709</v>
      </c>
      <c r="M9865">
        <v>90031910</v>
      </c>
      <c r="O9865" t="s">
        <v>19926</v>
      </c>
      <c r="P9865" t="s">
        <v>19899</v>
      </c>
      <c r="Q9865" t="s">
        <v>19909</v>
      </c>
      <c r="R9865" t="s">
        <v>19447</v>
      </c>
      <c r="S9865" t="s">
        <v>19447</v>
      </c>
      <c r="T9865" t="s">
        <v>19899</v>
      </c>
    </row>
    <row r="9866" spans="2:20" x14ac:dyDescent="0.25">
      <c r="B9866" t="s">
        <v>2709</v>
      </c>
      <c r="C9866">
        <v>90031990</v>
      </c>
      <c r="E9866">
        <v>177.19</v>
      </c>
      <c r="F9866">
        <v>18</v>
      </c>
      <c r="G9866">
        <v>5</v>
      </c>
      <c r="H9866" t="s">
        <v>19447</v>
      </c>
      <c r="I9866" t="s">
        <v>19447</v>
      </c>
      <c r="J9866">
        <v>18</v>
      </c>
      <c r="L9866" t="s">
        <v>2709</v>
      </c>
      <c r="M9866">
        <v>90031990</v>
      </c>
      <c r="O9866" t="s">
        <v>19926</v>
      </c>
      <c r="P9866" t="s">
        <v>19899</v>
      </c>
      <c r="Q9866" t="s">
        <v>19909</v>
      </c>
      <c r="R9866" t="s">
        <v>19447</v>
      </c>
      <c r="S9866" t="s">
        <v>19447</v>
      </c>
      <c r="T9866" t="s">
        <v>19899</v>
      </c>
    </row>
    <row r="9867" spans="2:20" x14ac:dyDescent="0.25">
      <c r="B9867" t="s">
        <v>2709</v>
      </c>
      <c r="C9867">
        <v>90039010</v>
      </c>
      <c r="E9867">
        <v>177.19</v>
      </c>
      <c r="F9867">
        <v>18</v>
      </c>
      <c r="G9867">
        <v>5</v>
      </c>
      <c r="H9867" t="s">
        <v>19447</v>
      </c>
      <c r="I9867" t="s">
        <v>19447</v>
      </c>
      <c r="J9867">
        <v>16</v>
      </c>
      <c r="L9867" t="s">
        <v>2709</v>
      </c>
      <c r="M9867">
        <v>90039010</v>
      </c>
      <c r="O9867" t="s">
        <v>19926</v>
      </c>
      <c r="P9867" t="s">
        <v>19899</v>
      </c>
      <c r="Q9867" t="s">
        <v>19909</v>
      </c>
      <c r="R9867" t="s">
        <v>19447</v>
      </c>
      <c r="S9867" t="s">
        <v>19447</v>
      </c>
      <c r="T9867" t="s">
        <v>19913</v>
      </c>
    </row>
    <row r="9868" spans="2:20" x14ac:dyDescent="0.25">
      <c r="B9868" t="s">
        <v>2709</v>
      </c>
      <c r="C9868">
        <v>90039090</v>
      </c>
      <c r="E9868">
        <v>177.19</v>
      </c>
      <c r="F9868">
        <v>18</v>
      </c>
      <c r="G9868">
        <v>5</v>
      </c>
      <c r="H9868" t="s">
        <v>19447</v>
      </c>
      <c r="I9868" t="s">
        <v>19447</v>
      </c>
      <c r="J9868">
        <v>16</v>
      </c>
      <c r="L9868" t="s">
        <v>2709</v>
      </c>
      <c r="M9868">
        <v>90039090</v>
      </c>
      <c r="O9868" t="s">
        <v>19926</v>
      </c>
      <c r="P9868" t="s">
        <v>19899</v>
      </c>
      <c r="Q9868" t="s">
        <v>19909</v>
      </c>
      <c r="R9868" t="s">
        <v>19447</v>
      </c>
      <c r="S9868" t="s">
        <v>19447</v>
      </c>
      <c r="T9868" t="s">
        <v>19913</v>
      </c>
    </row>
    <row r="9869" spans="2:20" x14ac:dyDescent="0.25">
      <c r="B9869" t="s">
        <v>2709</v>
      </c>
      <c r="C9869">
        <v>90041000</v>
      </c>
      <c r="E9869">
        <v>177.19</v>
      </c>
      <c r="F9869">
        <v>18</v>
      </c>
      <c r="G9869">
        <v>15</v>
      </c>
      <c r="H9869" t="s">
        <v>19447</v>
      </c>
      <c r="I9869" t="s">
        <v>19447</v>
      </c>
      <c r="J9869">
        <v>20</v>
      </c>
      <c r="L9869" t="s">
        <v>2709</v>
      </c>
      <c r="M9869">
        <v>90041000</v>
      </c>
      <c r="O9869" t="s">
        <v>19926</v>
      </c>
      <c r="P9869" t="s">
        <v>19899</v>
      </c>
      <c r="Q9869" t="s">
        <v>19983</v>
      </c>
      <c r="R9869" t="s">
        <v>19447</v>
      </c>
      <c r="S9869" t="s">
        <v>19447</v>
      </c>
      <c r="T9869" t="s">
        <v>19934</v>
      </c>
    </row>
    <row r="9870" spans="2:20" x14ac:dyDescent="0.25">
      <c r="B9870" t="s">
        <v>2709</v>
      </c>
      <c r="C9870">
        <v>90049010</v>
      </c>
      <c r="E9870">
        <v>177.19</v>
      </c>
      <c r="F9870">
        <v>18</v>
      </c>
      <c r="G9870">
        <v>5</v>
      </c>
      <c r="H9870" t="s">
        <v>19447</v>
      </c>
      <c r="I9870" t="s">
        <v>19447</v>
      </c>
      <c r="J9870">
        <v>18</v>
      </c>
      <c r="L9870" t="s">
        <v>2709</v>
      </c>
      <c r="M9870">
        <v>90049010</v>
      </c>
      <c r="O9870" t="s">
        <v>19926</v>
      </c>
      <c r="P9870" t="s">
        <v>19899</v>
      </c>
      <c r="Q9870" t="s">
        <v>19909</v>
      </c>
      <c r="R9870" t="s">
        <v>19447</v>
      </c>
      <c r="S9870" t="s">
        <v>19447</v>
      </c>
      <c r="T9870" t="s">
        <v>19899</v>
      </c>
    </row>
    <row r="9871" spans="2:20" x14ac:dyDescent="0.25">
      <c r="B9871" t="s">
        <v>2709</v>
      </c>
      <c r="C9871">
        <v>90049020</v>
      </c>
      <c r="E9871">
        <v>177.19</v>
      </c>
      <c r="F9871">
        <v>18</v>
      </c>
      <c r="G9871">
        <v>5</v>
      </c>
      <c r="H9871" t="s">
        <v>19447</v>
      </c>
      <c r="I9871" t="s">
        <v>19447</v>
      </c>
      <c r="J9871">
        <v>18</v>
      </c>
      <c r="L9871" t="s">
        <v>2709</v>
      </c>
      <c r="M9871">
        <v>90049020</v>
      </c>
      <c r="O9871" t="s">
        <v>19926</v>
      </c>
      <c r="P9871" t="s">
        <v>19899</v>
      </c>
      <c r="Q9871" t="s">
        <v>19909</v>
      </c>
      <c r="R9871" t="s">
        <v>19447</v>
      </c>
      <c r="S9871" t="s">
        <v>19447</v>
      </c>
      <c r="T9871" t="s">
        <v>19899</v>
      </c>
    </row>
    <row r="9872" spans="2:20" x14ac:dyDescent="0.25">
      <c r="B9872" t="s">
        <v>2709</v>
      </c>
      <c r="C9872">
        <v>90049090</v>
      </c>
      <c r="E9872">
        <v>177.19</v>
      </c>
      <c r="F9872">
        <v>18</v>
      </c>
      <c r="G9872">
        <v>5</v>
      </c>
      <c r="H9872" t="s">
        <v>19447</v>
      </c>
      <c r="I9872" t="s">
        <v>19447</v>
      </c>
      <c r="J9872">
        <v>18</v>
      </c>
      <c r="L9872" t="s">
        <v>2709</v>
      </c>
      <c r="M9872">
        <v>90049090</v>
      </c>
      <c r="O9872" t="s">
        <v>19926</v>
      </c>
      <c r="P9872" t="s">
        <v>19899</v>
      </c>
      <c r="Q9872" t="s">
        <v>19909</v>
      </c>
      <c r="R9872" t="s">
        <v>19447</v>
      </c>
      <c r="S9872" t="s">
        <v>19447</v>
      </c>
      <c r="T9872" t="s">
        <v>19899</v>
      </c>
    </row>
    <row r="9873" spans="2:20" x14ac:dyDescent="0.25">
      <c r="B9873" t="s">
        <v>2709</v>
      </c>
      <c r="C9873">
        <v>90051000</v>
      </c>
      <c r="E9873">
        <v>177.19</v>
      </c>
      <c r="F9873">
        <v>25</v>
      </c>
      <c r="G9873">
        <v>15</v>
      </c>
      <c r="H9873" t="s">
        <v>19447</v>
      </c>
      <c r="I9873" t="s">
        <v>19447</v>
      </c>
      <c r="J9873">
        <v>18</v>
      </c>
      <c r="L9873" t="s">
        <v>2709</v>
      </c>
      <c r="M9873">
        <v>90051000</v>
      </c>
      <c r="O9873" t="s">
        <v>19926</v>
      </c>
      <c r="P9873" t="s">
        <v>19982</v>
      </c>
      <c r="Q9873" t="s">
        <v>19983</v>
      </c>
      <c r="R9873" t="s">
        <v>19447</v>
      </c>
      <c r="S9873" t="s">
        <v>19447</v>
      </c>
      <c r="T9873" t="s">
        <v>19899</v>
      </c>
    </row>
    <row r="9874" spans="2:20" x14ac:dyDescent="0.25">
      <c r="B9874" t="s">
        <v>2709</v>
      </c>
      <c r="C9874">
        <v>90058000</v>
      </c>
      <c r="E9874">
        <v>177.19</v>
      </c>
      <c r="F9874">
        <v>18</v>
      </c>
      <c r="G9874">
        <v>15</v>
      </c>
      <c r="H9874" t="s">
        <v>19447</v>
      </c>
      <c r="I9874" t="s">
        <v>19447</v>
      </c>
      <c r="J9874">
        <v>14</v>
      </c>
      <c r="L9874" t="s">
        <v>2709</v>
      </c>
      <c r="M9874">
        <v>90058000</v>
      </c>
      <c r="O9874" t="s">
        <v>19926</v>
      </c>
      <c r="P9874" t="s">
        <v>19899</v>
      </c>
      <c r="Q9874" t="s">
        <v>19983</v>
      </c>
      <c r="R9874" t="s">
        <v>19447</v>
      </c>
      <c r="S9874" t="s">
        <v>19447</v>
      </c>
      <c r="T9874" t="s">
        <v>19911</v>
      </c>
    </row>
    <row r="9875" spans="2:20" x14ac:dyDescent="0.25">
      <c r="B9875" t="s">
        <v>2709</v>
      </c>
      <c r="C9875">
        <v>90059010</v>
      </c>
      <c r="E9875">
        <v>177.19</v>
      </c>
      <c r="F9875">
        <v>18</v>
      </c>
      <c r="G9875">
        <v>15</v>
      </c>
      <c r="H9875" t="s">
        <v>19447</v>
      </c>
      <c r="I9875" t="s">
        <v>19447</v>
      </c>
      <c r="J9875">
        <v>16</v>
      </c>
      <c r="L9875" t="s">
        <v>2709</v>
      </c>
      <c r="M9875">
        <v>90059010</v>
      </c>
      <c r="O9875" t="s">
        <v>19926</v>
      </c>
      <c r="P9875" t="s">
        <v>19899</v>
      </c>
      <c r="Q9875" t="s">
        <v>19983</v>
      </c>
      <c r="R9875" t="s">
        <v>19447</v>
      </c>
      <c r="S9875" t="s">
        <v>19447</v>
      </c>
      <c r="T9875" t="s">
        <v>19913</v>
      </c>
    </row>
    <row r="9876" spans="2:20" x14ac:dyDescent="0.25">
      <c r="B9876" t="s">
        <v>2709</v>
      </c>
      <c r="C9876">
        <v>90059090</v>
      </c>
      <c r="E9876">
        <v>177.19</v>
      </c>
      <c r="F9876">
        <v>18</v>
      </c>
      <c r="G9876">
        <v>15</v>
      </c>
      <c r="H9876" t="s">
        <v>19447</v>
      </c>
      <c r="I9876" t="s">
        <v>19447</v>
      </c>
      <c r="J9876">
        <v>14</v>
      </c>
      <c r="L9876" t="s">
        <v>2709</v>
      </c>
      <c r="M9876">
        <v>90059090</v>
      </c>
      <c r="O9876" t="s">
        <v>19926</v>
      </c>
      <c r="P9876" t="s">
        <v>19899</v>
      </c>
      <c r="Q9876" t="s">
        <v>19983</v>
      </c>
      <c r="R9876" t="s">
        <v>19447</v>
      </c>
      <c r="S9876" t="s">
        <v>19447</v>
      </c>
      <c r="T9876" t="s">
        <v>19911</v>
      </c>
    </row>
    <row r="9877" spans="2:20" x14ac:dyDescent="0.25">
      <c r="B9877" t="s">
        <v>2709</v>
      </c>
      <c r="C9877">
        <v>90061010</v>
      </c>
      <c r="E9877">
        <v>90.15</v>
      </c>
      <c r="F9877">
        <v>12</v>
      </c>
      <c r="G9877">
        <v>0</v>
      </c>
      <c r="H9877" t="s">
        <v>19447</v>
      </c>
      <c r="I9877" t="s">
        <v>19447</v>
      </c>
      <c r="J9877">
        <v>0</v>
      </c>
      <c r="L9877" t="s">
        <v>2709</v>
      </c>
      <c r="M9877">
        <v>90061010</v>
      </c>
      <c r="O9877" t="s">
        <v>20208</v>
      </c>
      <c r="P9877" t="s">
        <v>19903</v>
      </c>
      <c r="Q9877" t="s">
        <v>19900</v>
      </c>
      <c r="R9877" t="s">
        <v>19447</v>
      </c>
      <c r="S9877" t="s">
        <v>19447</v>
      </c>
      <c r="T9877" t="s">
        <v>19900</v>
      </c>
    </row>
    <row r="9878" spans="2:20" x14ac:dyDescent="0.25">
      <c r="B9878" t="s">
        <v>2709</v>
      </c>
      <c r="C9878">
        <v>90061090</v>
      </c>
      <c r="E9878">
        <v>90.15</v>
      </c>
      <c r="F9878">
        <v>12</v>
      </c>
      <c r="G9878">
        <v>0</v>
      </c>
      <c r="H9878" t="s">
        <v>19447</v>
      </c>
      <c r="I9878" t="s">
        <v>19447</v>
      </c>
      <c r="J9878">
        <v>14</v>
      </c>
      <c r="L9878" t="s">
        <v>2709</v>
      </c>
      <c r="M9878">
        <v>90061090</v>
      </c>
      <c r="O9878" t="s">
        <v>20208</v>
      </c>
      <c r="P9878" t="s">
        <v>19903</v>
      </c>
      <c r="Q9878" t="s">
        <v>19900</v>
      </c>
      <c r="R9878" t="s">
        <v>19447</v>
      </c>
      <c r="S9878" t="s">
        <v>19447</v>
      </c>
      <c r="T9878" t="s">
        <v>19911</v>
      </c>
    </row>
    <row r="9879" spans="2:20" x14ac:dyDescent="0.25">
      <c r="B9879" t="s">
        <v>2709</v>
      </c>
      <c r="C9879">
        <v>90063000</v>
      </c>
      <c r="E9879">
        <v>177.19</v>
      </c>
      <c r="F9879">
        <v>18</v>
      </c>
      <c r="G9879">
        <v>15</v>
      </c>
      <c r="H9879" t="s">
        <v>19447</v>
      </c>
      <c r="I9879" t="s">
        <v>19447</v>
      </c>
      <c r="J9879">
        <v>14</v>
      </c>
      <c r="L9879" t="s">
        <v>2709</v>
      </c>
      <c r="M9879">
        <v>90063000</v>
      </c>
      <c r="O9879" t="s">
        <v>19926</v>
      </c>
      <c r="P9879" t="s">
        <v>19899</v>
      </c>
      <c r="Q9879" t="s">
        <v>19983</v>
      </c>
      <c r="R9879" t="s">
        <v>19447</v>
      </c>
      <c r="S9879" t="s">
        <v>19447</v>
      </c>
      <c r="T9879" t="s">
        <v>19911</v>
      </c>
    </row>
    <row r="9880" spans="2:20" x14ac:dyDescent="0.25">
      <c r="B9880" t="s">
        <v>2709</v>
      </c>
      <c r="C9880">
        <v>90064000</v>
      </c>
      <c r="E9880">
        <v>90.15</v>
      </c>
      <c r="F9880">
        <v>18</v>
      </c>
      <c r="G9880">
        <v>15</v>
      </c>
      <c r="H9880" t="s">
        <v>19447</v>
      </c>
      <c r="I9880" t="s">
        <v>19447</v>
      </c>
      <c r="J9880">
        <v>2</v>
      </c>
      <c r="L9880" t="s">
        <v>2709</v>
      </c>
      <c r="M9880">
        <v>90064000</v>
      </c>
      <c r="O9880" t="s">
        <v>20208</v>
      </c>
      <c r="P9880" t="s">
        <v>19899</v>
      </c>
      <c r="Q9880" t="s">
        <v>19983</v>
      </c>
      <c r="R9880" t="s">
        <v>19447</v>
      </c>
      <c r="S9880" t="s">
        <v>19447</v>
      </c>
      <c r="T9880" t="s">
        <v>19901</v>
      </c>
    </row>
    <row r="9881" spans="2:20" x14ac:dyDescent="0.25">
      <c r="B9881" t="s">
        <v>2709</v>
      </c>
      <c r="C9881">
        <v>90065100</v>
      </c>
      <c r="E9881">
        <v>177.19</v>
      </c>
      <c r="F9881">
        <v>18</v>
      </c>
      <c r="G9881">
        <v>15</v>
      </c>
      <c r="H9881" t="s">
        <v>19447</v>
      </c>
      <c r="I9881" t="s">
        <v>19447</v>
      </c>
      <c r="J9881">
        <v>18</v>
      </c>
      <c r="L9881" t="s">
        <v>2709</v>
      </c>
      <c r="M9881">
        <v>90065100</v>
      </c>
      <c r="O9881" t="s">
        <v>19926</v>
      </c>
      <c r="P9881" t="s">
        <v>19899</v>
      </c>
      <c r="Q9881" t="s">
        <v>19983</v>
      </c>
      <c r="R9881" t="s">
        <v>19447</v>
      </c>
      <c r="S9881" t="s">
        <v>19447</v>
      </c>
      <c r="T9881" t="s">
        <v>19899</v>
      </c>
    </row>
    <row r="9882" spans="2:20" x14ac:dyDescent="0.25">
      <c r="B9882" t="s">
        <v>2709</v>
      </c>
      <c r="C9882">
        <v>90065200</v>
      </c>
      <c r="E9882">
        <v>177.19</v>
      </c>
      <c r="F9882">
        <v>18</v>
      </c>
      <c r="G9882">
        <v>15</v>
      </c>
      <c r="H9882" t="s">
        <v>19447</v>
      </c>
      <c r="I9882" t="s">
        <v>19447</v>
      </c>
      <c r="J9882">
        <v>18</v>
      </c>
      <c r="L9882" t="s">
        <v>2709</v>
      </c>
      <c r="M9882">
        <v>90065200</v>
      </c>
      <c r="O9882" t="s">
        <v>19926</v>
      </c>
      <c r="P9882" t="s">
        <v>19899</v>
      </c>
      <c r="Q9882" t="s">
        <v>19983</v>
      </c>
      <c r="R9882" t="s">
        <v>19447</v>
      </c>
      <c r="S9882" t="s">
        <v>19447</v>
      </c>
      <c r="T9882" t="s">
        <v>19899</v>
      </c>
    </row>
    <row r="9883" spans="2:20" x14ac:dyDescent="0.25">
      <c r="B9883" t="s">
        <v>2709</v>
      </c>
      <c r="C9883">
        <v>90065310</v>
      </c>
      <c r="E9883">
        <v>177.19</v>
      </c>
      <c r="F9883">
        <v>18</v>
      </c>
      <c r="G9883">
        <v>15</v>
      </c>
      <c r="H9883" t="s">
        <v>19447</v>
      </c>
      <c r="I9883" t="s">
        <v>19447</v>
      </c>
      <c r="J9883">
        <v>18</v>
      </c>
      <c r="L9883" t="s">
        <v>2709</v>
      </c>
      <c r="M9883">
        <v>90065310</v>
      </c>
      <c r="O9883" t="s">
        <v>19926</v>
      </c>
      <c r="P9883" t="s">
        <v>19899</v>
      </c>
      <c r="Q9883" t="s">
        <v>19983</v>
      </c>
      <c r="R9883" t="s">
        <v>19447</v>
      </c>
      <c r="S9883" t="s">
        <v>19447</v>
      </c>
      <c r="T9883" t="s">
        <v>19899</v>
      </c>
    </row>
    <row r="9884" spans="2:20" x14ac:dyDescent="0.25">
      <c r="B9884" t="s">
        <v>2709</v>
      </c>
      <c r="C9884">
        <v>90065320</v>
      </c>
      <c r="E9884">
        <v>177.19</v>
      </c>
      <c r="F9884">
        <v>18</v>
      </c>
      <c r="G9884">
        <v>15</v>
      </c>
      <c r="H9884" t="s">
        <v>19447</v>
      </c>
      <c r="I9884" t="s">
        <v>19447</v>
      </c>
      <c r="J9884">
        <v>18</v>
      </c>
      <c r="L9884" t="s">
        <v>2709</v>
      </c>
      <c r="M9884">
        <v>90065320</v>
      </c>
      <c r="O9884" t="s">
        <v>19926</v>
      </c>
      <c r="P9884" t="s">
        <v>19899</v>
      </c>
      <c r="Q9884" t="s">
        <v>19983</v>
      </c>
      <c r="R9884" t="s">
        <v>19447</v>
      </c>
      <c r="S9884" t="s">
        <v>19447</v>
      </c>
      <c r="T9884" t="s">
        <v>19899</v>
      </c>
    </row>
    <row r="9885" spans="2:20" x14ac:dyDescent="0.25">
      <c r="B9885" t="s">
        <v>2709</v>
      </c>
      <c r="C9885">
        <v>90065910</v>
      </c>
      <c r="E9885">
        <v>177.19</v>
      </c>
      <c r="F9885">
        <v>18</v>
      </c>
      <c r="G9885">
        <v>15</v>
      </c>
      <c r="H9885" t="s">
        <v>19447</v>
      </c>
      <c r="I9885" t="s">
        <v>19447</v>
      </c>
      <c r="J9885">
        <v>18</v>
      </c>
      <c r="L9885" t="s">
        <v>2709</v>
      </c>
      <c r="M9885">
        <v>90065910</v>
      </c>
      <c r="O9885" t="s">
        <v>19926</v>
      </c>
      <c r="P9885" t="s">
        <v>19899</v>
      </c>
      <c r="Q9885" t="s">
        <v>19983</v>
      </c>
      <c r="R9885" t="s">
        <v>19447</v>
      </c>
      <c r="S9885" t="s">
        <v>19447</v>
      </c>
      <c r="T9885" t="s">
        <v>19899</v>
      </c>
    </row>
    <row r="9886" spans="2:20" x14ac:dyDescent="0.25">
      <c r="B9886" t="s">
        <v>2709</v>
      </c>
      <c r="C9886">
        <v>90065921</v>
      </c>
      <c r="E9886">
        <v>177.19</v>
      </c>
      <c r="F9886">
        <v>18</v>
      </c>
      <c r="G9886">
        <v>15</v>
      </c>
      <c r="H9886" t="s">
        <v>19447</v>
      </c>
      <c r="I9886" t="s">
        <v>19447</v>
      </c>
      <c r="J9886">
        <v>10</v>
      </c>
      <c r="L9886" t="s">
        <v>2709</v>
      </c>
      <c r="M9886">
        <v>90065921</v>
      </c>
      <c r="O9886" t="s">
        <v>19926</v>
      </c>
      <c r="P9886" t="s">
        <v>19899</v>
      </c>
      <c r="Q9886" t="s">
        <v>19983</v>
      </c>
      <c r="R9886" t="s">
        <v>19447</v>
      </c>
      <c r="S9886" t="s">
        <v>19447</v>
      </c>
      <c r="T9886" t="s">
        <v>19904</v>
      </c>
    </row>
    <row r="9887" spans="2:20" x14ac:dyDescent="0.25">
      <c r="B9887" t="s">
        <v>2709</v>
      </c>
      <c r="C9887">
        <v>90065929</v>
      </c>
      <c r="E9887">
        <v>177.19</v>
      </c>
      <c r="F9887">
        <v>18</v>
      </c>
      <c r="G9887">
        <v>15</v>
      </c>
      <c r="H9887" t="s">
        <v>19447</v>
      </c>
      <c r="I9887" t="s">
        <v>19447</v>
      </c>
      <c r="J9887">
        <v>18</v>
      </c>
      <c r="L9887" t="s">
        <v>2709</v>
      </c>
      <c r="M9887">
        <v>90065929</v>
      </c>
      <c r="O9887" t="s">
        <v>19926</v>
      </c>
      <c r="P9887" t="s">
        <v>19899</v>
      </c>
      <c r="Q9887" t="s">
        <v>19983</v>
      </c>
      <c r="R9887" t="s">
        <v>19447</v>
      </c>
      <c r="S9887" t="s">
        <v>19447</v>
      </c>
      <c r="T9887" t="s">
        <v>19899</v>
      </c>
    </row>
    <row r="9888" spans="2:20" x14ac:dyDescent="0.25">
      <c r="B9888" t="s">
        <v>2709</v>
      </c>
      <c r="C9888">
        <v>90066100</v>
      </c>
      <c r="E9888">
        <v>177.19</v>
      </c>
      <c r="F9888">
        <v>18</v>
      </c>
      <c r="G9888">
        <v>15</v>
      </c>
      <c r="H9888" t="s">
        <v>19447</v>
      </c>
      <c r="I9888" t="s">
        <v>19447</v>
      </c>
      <c r="J9888">
        <v>18</v>
      </c>
      <c r="L9888" t="s">
        <v>2709</v>
      </c>
      <c r="M9888">
        <v>90066100</v>
      </c>
      <c r="O9888" t="s">
        <v>19926</v>
      </c>
      <c r="P9888" t="s">
        <v>19899</v>
      </c>
      <c r="Q9888" t="s">
        <v>19983</v>
      </c>
      <c r="R9888" t="s">
        <v>19447</v>
      </c>
      <c r="S9888" t="s">
        <v>19447</v>
      </c>
      <c r="T9888" t="s">
        <v>19899</v>
      </c>
    </row>
    <row r="9889" spans="2:20" x14ac:dyDescent="0.25">
      <c r="B9889" t="s">
        <v>2709</v>
      </c>
      <c r="C9889">
        <v>90066900</v>
      </c>
      <c r="E9889">
        <v>177.19</v>
      </c>
      <c r="F9889">
        <v>18</v>
      </c>
      <c r="G9889">
        <v>15</v>
      </c>
      <c r="H9889" t="s">
        <v>19447</v>
      </c>
      <c r="I9889" t="s">
        <v>19447</v>
      </c>
      <c r="J9889">
        <v>18</v>
      </c>
      <c r="L9889" t="s">
        <v>2709</v>
      </c>
      <c r="M9889">
        <v>90066900</v>
      </c>
      <c r="O9889" t="s">
        <v>19926</v>
      </c>
      <c r="P9889" t="s">
        <v>19899</v>
      </c>
      <c r="Q9889" t="s">
        <v>19983</v>
      </c>
      <c r="R9889" t="s">
        <v>19447</v>
      </c>
      <c r="S9889" t="s">
        <v>19447</v>
      </c>
      <c r="T9889" t="s">
        <v>19899</v>
      </c>
    </row>
    <row r="9890" spans="2:20" x14ac:dyDescent="0.25">
      <c r="B9890" t="s">
        <v>2709</v>
      </c>
      <c r="C9890">
        <v>90066900</v>
      </c>
      <c r="D9890">
        <v>1</v>
      </c>
      <c r="E9890" t="s">
        <v>19447</v>
      </c>
      <c r="F9890">
        <v>18</v>
      </c>
      <c r="G9890">
        <v>10</v>
      </c>
      <c r="H9890">
        <v>7.6</v>
      </c>
      <c r="I9890">
        <v>1.65</v>
      </c>
      <c r="J9890">
        <v>18</v>
      </c>
      <c r="L9890" t="s">
        <v>2709</v>
      </c>
      <c r="M9890">
        <v>90066900</v>
      </c>
      <c r="N9890">
        <v>1</v>
      </c>
      <c r="O9890" t="s">
        <v>19447</v>
      </c>
      <c r="P9890" t="s">
        <v>19899</v>
      </c>
      <c r="Q9890" t="s">
        <v>19904</v>
      </c>
      <c r="R9890" t="s">
        <v>19905</v>
      </c>
      <c r="S9890" t="s">
        <v>19906</v>
      </c>
      <c r="T9890" t="s">
        <v>19899</v>
      </c>
    </row>
    <row r="9891" spans="2:20" x14ac:dyDescent="0.25">
      <c r="B9891" t="s">
        <v>2709</v>
      </c>
      <c r="C9891">
        <v>90069110</v>
      </c>
      <c r="E9891">
        <v>177.19</v>
      </c>
      <c r="F9891">
        <v>18</v>
      </c>
      <c r="G9891">
        <v>15</v>
      </c>
      <c r="H9891" t="s">
        <v>19447</v>
      </c>
      <c r="I9891" t="s">
        <v>19447</v>
      </c>
      <c r="J9891">
        <v>16</v>
      </c>
      <c r="L9891" t="s">
        <v>2709</v>
      </c>
      <c r="M9891">
        <v>90069110</v>
      </c>
      <c r="O9891" t="s">
        <v>19926</v>
      </c>
      <c r="P9891" t="s">
        <v>19899</v>
      </c>
      <c r="Q9891" t="s">
        <v>19983</v>
      </c>
      <c r="R9891" t="s">
        <v>19447</v>
      </c>
      <c r="S9891" t="s">
        <v>19447</v>
      </c>
      <c r="T9891" t="s">
        <v>19913</v>
      </c>
    </row>
    <row r="9892" spans="2:20" x14ac:dyDescent="0.25">
      <c r="B9892" t="s">
        <v>2709</v>
      </c>
      <c r="C9892">
        <v>90069190</v>
      </c>
      <c r="E9892">
        <v>177.19</v>
      </c>
      <c r="F9892">
        <v>18</v>
      </c>
      <c r="G9892">
        <v>15</v>
      </c>
      <c r="H9892" t="s">
        <v>19447</v>
      </c>
      <c r="I9892" t="s">
        <v>19447</v>
      </c>
      <c r="J9892">
        <v>16</v>
      </c>
      <c r="L9892" t="s">
        <v>2709</v>
      </c>
      <c r="M9892">
        <v>90069190</v>
      </c>
      <c r="O9892" t="s">
        <v>19926</v>
      </c>
      <c r="P9892" t="s">
        <v>19899</v>
      </c>
      <c r="Q9892" t="s">
        <v>19983</v>
      </c>
      <c r="R9892" t="s">
        <v>19447</v>
      </c>
      <c r="S9892" t="s">
        <v>19447</v>
      </c>
      <c r="T9892" t="s">
        <v>19913</v>
      </c>
    </row>
    <row r="9893" spans="2:20" x14ac:dyDescent="0.25">
      <c r="B9893" t="s">
        <v>2709</v>
      </c>
      <c r="C9893">
        <v>90069900</v>
      </c>
      <c r="E9893">
        <v>177.19</v>
      </c>
      <c r="F9893">
        <v>18</v>
      </c>
      <c r="G9893">
        <v>15</v>
      </c>
      <c r="H9893" t="s">
        <v>19447</v>
      </c>
      <c r="I9893" t="s">
        <v>19447</v>
      </c>
      <c r="J9893">
        <v>16</v>
      </c>
      <c r="L9893" t="s">
        <v>2709</v>
      </c>
      <c r="M9893">
        <v>90069900</v>
      </c>
      <c r="O9893" t="s">
        <v>19926</v>
      </c>
      <c r="P9893" t="s">
        <v>19899</v>
      </c>
      <c r="Q9893" t="s">
        <v>19983</v>
      </c>
      <c r="R9893" t="s">
        <v>19447</v>
      </c>
      <c r="S9893" t="s">
        <v>19447</v>
      </c>
      <c r="T9893" t="s">
        <v>19913</v>
      </c>
    </row>
    <row r="9894" spans="2:20" x14ac:dyDescent="0.25">
      <c r="B9894" t="s">
        <v>2709</v>
      </c>
      <c r="C9894">
        <v>90071000</v>
      </c>
      <c r="E9894">
        <v>177.19</v>
      </c>
      <c r="F9894">
        <v>18</v>
      </c>
      <c r="G9894">
        <v>30</v>
      </c>
      <c r="H9894" t="s">
        <v>19447</v>
      </c>
      <c r="I9894" t="s">
        <v>19447</v>
      </c>
      <c r="J9894">
        <v>14</v>
      </c>
      <c r="L9894" t="s">
        <v>2709</v>
      </c>
      <c r="M9894">
        <v>90071000</v>
      </c>
      <c r="O9894" t="s">
        <v>19926</v>
      </c>
      <c r="P9894" t="s">
        <v>19899</v>
      </c>
      <c r="Q9894" t="s">
        <v>19933</v>
      </c>
      <c r="R9894" t="s">
        <v>19447</v>
      </c>
      <c r="S9894" t="s">
        <v>19447</v>
      </c>
      <c r="T9894" t="s">
        <v>19911</v>
      </c>
    </row>
    <row r="9895" spans="2:20" x14ac:dyDescent="0.25">
      <c r="B9895" t="s">
        <v>2709</v>
      </c>
      <c r="C9895">
        <v>90071000</v>
      </c>
      <c r="D9895">
        <v>1</v>
      </c>
      <c r="E9895" t="s">
        <v>19447</v>
      </c>
      <c r="F9895">
        <v>18</v>
      </c>
      <c r="G9895">
        <v>0</v>
      </c>
      <c r="H9895">
        <v>7.6</v>
      </c>
      <c r="I9895">
        <v>1.65</v>
      </c>
      <c r="J9895">
        <v>14</v>
      </c>
      <c r="L9895" t="s">
        <v>2709</v>
      </c>
      <c r="M9895">
        <v>90071000</v>
      </c>
      <c r="N9895">
        <v>1</v>
      </c>
      <c r="O9895" t="s">
        <v>19447</v>
      </c>
      <c r="P9895" t="s">
        <v>19899</v>
      </c>
      <c r="Q9895" t="s">
        <v>19900</v>
      </c>
      <c r="R9895" t="s">
        <v>19905</v>
      </c>
      <c r="S9895" t="s">
        <v>19906</v>
      </c>
      <c r="T9895" t="s">
        <v>19911</v>
      </c>
    </row>
    <row r="9896" spans="2:20" x14ac:dyDescent="0.25">
      <c r="B9896" t="s">
        <v>2709</v>
      </c>
      <c r="C9896">
        <v>90072020</v>
      </c>
      <c r="E9896">
        <v>177.19</v>
      </c>
      <c r="F9896">
        <v>18</v>
      </c>
      <c r="G9896">
        <v>20</v>
      </c>
      <c r="H9896" t="s">
        <v>19447</v>
      </c>
      <c r="I9896" t="s">
        <v>19447</v>
      </c>
      <c r="J9896">
        <v>0</v>
      </c>
      <c r="L9896" t="s">
        <v>2709</v>
      </c>
      <c r="M9896">
        <v>90072020</v>
      </c>
      <c r="O9896" t="s">
        <v>19926</v>
      </c>
      <c r="P9896" t="s">
        <v>19899</v>
      </c>
      <c r="Q9896" t="s">
        <v>19934</v>
      </c>
      <c r="R9896" t="s">
        <v>19447</v>
      </c>
      <c r="S9896" t="s">
        <v>19447</v>
      </c>
      <c r="T9896" t="s">
        <v>19900</v>
      </c>
    </row>
    <row r="9897" spans="2:20" x14ac:dyDescent="0.25">
      <c r="B9897" t="s">
        <v>2709</v>
      </c>
      <c r="C9897">
        <v>90072090</v>
      </c>
      <c r="E9897">
        <v>177.19</v>
      </c>
      <c r="F9897">
        <v>18</v>
      </c>
      <c r="G9897">
        <v>20</v>
      </c>
      <c r="H9897" t="s">
        <v>19447</v>
      </c>
      <c r="I9897" t="s">
        <v>19447</v>
      </c>
      <c r="J9897">
        <v>14</v>
      </c>
      <c r="L9897" t="s">
        <v>2709</v>
      </c>
      <c r="M9897">
        <v>90072090</v>
      </c>
      <c r="O9897" t="s">
        <v>19926</v>
      </c>
      <c r="P9897" t="s">
        <v>19899</v>
      </c>
      <c r="Q9897" t="s">
        <v>19934</v>
      </c>
      <c r="R9897" t="s">
        <v>19447</v>
      </c>
      <c r="S9897" t="s">
        <v>19447</v>
      </c>
      <c r="T9897" t="s">
        <v>19911</v>
      </c>
    </row>
    <row r="9898" spans="2:20" x14ac:dyDescent="0.25">
      <c r="B9898" t="s">
        <v>2709</v>
      </c>
      <c r="C9898">
        <v>90079100</v>
      </c>
      <c r="E9898">
        <v>177.19</v>
      </c>
      <c r="F9898">
        <v>18</v>
      </c>
      <c r="G9898">
        <v>20</v>
      </c>
      <c r="H9898" t="s">
        <v>19447</v>
      </c>
      <c r="I9898" t="s">
        <v>19447</v>
      </c>
      <c r="J9898">
        <v>14</v>
      </c>
      <c r="L9898" t="s">
        <v>2709</v>
      </c>
      <c r="M9898">
        <v>90079100</v>
      </c>
      <c r="O9898" t="s">
        <v>19926</v>
      </c>
      <c r="P9898" t="s">
        <v>19899</v>
      </c>
      <c r="Q9898" t="s">
        <v>19934</v>
      </c>
      <c r="R9898" t="s">
        <v>19447</v>
      </c>
      <c r="S9898" t="s">
        <v>19447</v>
      </c>
      <c r="T9898" t="s">
        <v>19911</v>
      </c>
    </row>
    <row r="9899" spans="2:20" x14ac:dyDescent="0.25">
      <c r="B9899" t="s">
        <v>2709</v>
      </c>
      <c r="C9899">
        <v>90079100</v>
      </c>
      <c r="D9899">
        <v>1</v>
      </c>
      <c r="E9899" t="s">
        <v>19447</v>
      </c>
      <c r="F9899">
        <v>18</v>
      </c>
      <c r="G9899">
        <v>0</v>
      </c>
      <c r="H9899">
        <v>7.6</v>
      </c>
      <c r="I9899">
        <v>1.65</v>
      </c>
      <c r="J9899">
        <v>14</v>
      </c>
      <c r="L9899" t="s">
        <v>2709</v>
      </c>
      <c r="M9899">
        <v>90079100</v>
      </c>
      <c r="N9899">
        <v>1</v>
      </c>
      <c r="O9899" t="s">
        <v>19447</v>
      </c>
      <c r="P9899" t="s">
        <v>19899</v>
      </c>
      <c r="Q9899" t="s">
        <v>19900</v>
      </c>
      <c r="R9899" t="s">
        <v>19905</v>
      </c>
      <c r="S9899" t="s">
        <v>19906</v>
      </c>
      <c r="T9899" t="s">
        <v>19911</v>
      </c>
    </row>
    <row r="9900" spans="2:20" x14ac:dyDescent="0.25">
      <c r="B9900" t="s">
        <v>2709</v>
      </c>
      <c r="C9900">
        <v>90079200</v>
      </c>
      <c r="E9900">
        <v>177.19</v>
      </c>
      <c r="F9900">
        <v>18</v>
      </c>
      <c r="G9900">
        <v>20</v>
      </c>
      <c r="H9900" t="s">
        <v>19447</v>
      </c>
      <c r="I9900" t="s">
        <v>19447</v>
      </c>
      <c r="J9900">
        <v>14</v>
      </c>
      <c r="L9900" t="s">
        <v>2709</v>
      </c>
      <c r="M9900">
        <v>90079200</v>
      </c>
      <c r="O9900" t="s">
        <v>19926</v>
      </c>
      <c r="P9900" t="s">
        <v>19899</v>
      </c>
      <c r="Q9900" t="s">
        <v>19934</v>
      </c>
      <c r="R9900" t="s">
        <v>19447</v>
      </c>
      <c r="S9900" t="s">
        <v>19447</v>
      </c>
      <c r="T9900" t="s">
        <v>19911</v>
      </c>
    </row>
    <row r="9901" spans="2:20" x14ac:dyDescent="0.25">
      <c r="B9901" t="s">
        <v>2709</v>
      </c>
      <c r="C9901">
        <v>90085000</v>
      </c>
      <c r="E9901">
        <v>177.19</v>
      </c>
      <c r="F9901">
        <v>18</v>
      </c>
      <c r="G9901">
        <v>20</v>
      </c>
      <c r="H9901" t="s">
        <v>19447</v>
      </c>
      <c r="I9901" t="s">
        <v>19447</v>
      </c>
      <c r="J9901">
        <v>18</v>
      </c>
      <c r="L9901" t="s">
        <v>2709</v>
      </c>
      <c r="M9901">
        <v>90085000</v>
      </c>
      <c r="O9901" t="s">
        <v>19926</v>
      </c>
      <c r="P9901" t="s">
        <v>19899</v>
      </c>
      <c r="Q9901" t="s">
        <v>19934</v>
      </c>
      <c r="R9901" t="s">
        <v>19447</v>
      </c>
      <c r="S9901" t="s">
        <v>19447</v>
      </c>
      <c r="T9901" t="s">
        <v>19899</v>
      </c>
    </row>
    <row r="9902" spans="2:20" x14ac:dyDescent="0.25">
      <c r="B9902" t="s">
        <v>2709</v>
      </c>
      <c r="C9902">
        <v>90089000</v>
      </c>
      <c r="E9902">
        <v>177.19</v>
      </c>
      <c r="F9902">
        <v>18</v>
      </c>
      <c r="G9902">
        <v>20</v>
      </c>
      <c r="H9902" t="s">
        <v>19447</v>
      </c>
      <c r="I9902" t="s">
        <v>19447</v>
      </c>
      <c r="J9902">
        <v>16</v>
      </c>
      <c r="L9902" t="s">
        <v>2709</v>
      </c>
      <c r="M9902">
        <v>90089000</v>
      </c>
      <c r="O9902" t="s">
        <v>19926</v>
      </c>
      <c r="P9902" t="s">
        <v>19899</v>
      </c>
      <c r="Q9902" t="s">
        <v>19934</v>
      </c>
      <c r="R9902" t="s">
        <v>19447</v>
      </c>
      <c r="S9902" t="s">
        <v>19447</v>
      </c>
      <c r="T9902" t="s">
        <v>19913</v>
      </c>
    </row>
    <row r="9903" spans="2:20" x14ac:dyDescent="0.25">
      <c r="B9903" t="s">
        <v>2709</v>
      </c>
      <c r="C9903">
        <v>90101010</v>
      </c>
      <c r="E9903">
        <v>177.19</v>
      </c>
      <c r="F9903">
        <v>18</v>
      </c>
      <c r="G9903">
        <v>20</v>
      </c>
      <c r="H9903" t="s">
        <v>19447</v>
      </c>
      <c r="I9903" t="s">
        <v>19447</v>
      </c>
      <c r="J9903">
        <v>0</v>
      </c>
      <c r="L9903" t="s">
        <v>2709</v>
      </c>
      <c r="M9903">
        <v>90101010</v>
      </c>
      <c r="O9903" t="s">
        <v>19926</v>
      </c>
      <c r="P9903" t="s">
        <v>19899</v>
      </c>
      <c r="Q9903" t="s">
        <v>19934</v>
      </c>
      <c r="R9903" t="s">
        <v>19447</v>
      </c>
      <c r="S9903" t="s">
        <v>19447</v>
      </c>
      <c r="T9903" t="s">
        <v>19900</v>
      </c>
    </row>
    <row r="9904" spans="2:20" x14ac:dyDescent="0.25">
      <c r="B9904" t="s">
        <v>2709</v>
      </c>
      <c r="C9904">
        <v>90101020</v>
      </c>
      <c r="E9904">
        <v>177.19</v>
      </c>
      <c r="F9904">
        <v>18</v>
      </c>
      <c r="G9904">
        <v>20</v>
      </c>
      <c r="H9904" t="s">
        <v>19447</v>
      </c>
      <c r="I9904" t="s">
        <v>19447</v>
      </c>
      <c r="J9904">
        <v>0</v>
      </c>
      <c r="L9904" t="s">
        <v>2709</v>
      </c>
      <c r="M9904">
        <v>90101020</v>
      </c>
      <c r="O9904" t="s">
        <v>19926</v>
      </c>
      <c r="P9904" t="s">
        <v>19899</v>
      </c>
      <c r="Q9904" t="s">
        <v>19934</v>
      </c>
      <c r="R9904" t="s">
        <v>19447</v>
      </c>
      <c r="S9904" t="s">
        <v>19447</v>
      </c>
      <c r="T9904" t="s">
        <v>19900</v>
      </c>
    </row>
    <row r="9905" spans="2:20" x14ac:dyDescent="0.25">
      <c r="B9905" t="s">
        <v>2709</v>
      </c>
      <c r="C9905">
        <v>90101090</v>
      </c>
      <c r="E9905">
        <v>177.19</v>
      </c>
      <c r="F9905">
        <v>18</v>
      </c>
      <c r="G9905">
        <v>20</v>
      </c>
      <c r="H9905" t="s">
        <v>19447</v>
      </c>
      <c r="I9905" t="s">
        <v>19447</v>
      </c>
      <c r="J9905">
        <v>14</v>
      </c>
      <c r="L9905" t="s">
        <v>2709</v>
      </c>
      <c r="M9905">
        <v>90101090</v>
      </c>
      <c r="O9905" t="s">
        <v>19926</v>
      </c>
      <c r="P9905" t="s">
        <v>19899</v>
      </c>
      <c r="Q9905" t="s">
        <v>19934</v>
      </c>
      <c r="R9905" t="s">
        <v>19447</v>
      </c>
      <c r="S9905" t="s">
        <v>19447</v>
      </c>
      <c r="T9905" t="s">
        <v>19911</v>
      </c>
    </row>
    <row r="9906" spans="2:20" x14ac:dyDescent="0.25">
      <c r="B9906" t="s">
        <v>2709</v>
      </c>
      <c r="C9906">
        <v>90105010</v>
      </c>
      <c r="E9906">
        <v>177.19</v>
      </c>
      <c r="F9906">
        <v>18</v>
      </c>
      <c r="G9906">
        <v>20</v>
      </c>
      <c r="H9906" t="s">
        <v>19447</v>
      </c>
      <c r="I9906" t="s">
        <v>19447</v>
      </c>
      <c r="J9906">
        <v>0</v>
      </c>
      <c r="L9906" t="s">
        <v>2709</v>
      </c>
      <c r="M9906">
        <v>90105010</v>
      </c>
      <c r="O9906" t="s">
        <v>19926</v>
      </c>
      <c r="P9906" t="s">
        <v>19899</v>
      </c>
      <c r="Q9906" t="s">
        <v>19934</v>
      </c>
      <c r="R9906" t="s">
        <v>19447</v>
      </c>
      <c r="S9906" t="s">
        <v>19447</v>
      </c>
      <c r="T9906" t="s">
        <v>19900</v>
      </c>
    </row>
    <row r="9907" spans="2:20" x14ac:dyDescent="0.25">
      <c r="B9907" t="s">
        <v>2709</v>
      </c>
      <c r="C9907">
        <v>90105020</v>
      </c>
      <c r="E9907">
        <v>177.19</v>
      </c>
      <c r="F9907">
        <v>18</v>
      </c>
      <c r="G9907">
        <v>20</v>
      </c>
      <c r="H9907" t="s">
        <v>19447</v>
      </c>
      <c r="I9907" t="s">
        <v>19447</v>
      </c>
      <c r="J9907">
        <v>0</v>
      </c>
      <c r="L9907" t="s">
        <v>2709</v>
      </c>
      <c r="M9907">
        <v>90105020</v>
      </c>
      <c r="O9907" t="s">
        <v>19926</v>
      </c>
      <c r="P9907" t="s">
        <v>19899</v>
      </c>
      <c r="Q9907" t="s">
        <v>19934</v>
      </c>
      <c r="R9907" t="s">
        <v>19447</v>
      </c>
      <c r="S9907" t="s">
        <v>19447</v>
      </c>
      <c r="T9907" t="s">
        <v>19900</v>
      </c>
    </row>
    <row r="9908" spans="2:20" x14ac:dyDescent="0.25">
      <c r="B9908" t="s">
        <v>2709</v>
      </c>
      <c r="C9908">
        <v>90105090</v>
      </c>
      <c r="E9908">
        <v>177.19</v>
      </c>
      <c r="F9908">
        <v>18</v>
      </c>
      <c r="G9908">
        <v>20</v>
      </c>
      <c r="H9908" t="s">
        <v>19447</v>
      </c>
      <c r="I9908" t="s">
        <v>19447</v>
      </c>
      <c r="J9908">
        <v>18</v>
      </c>
      <c r="L9908" t="s">
        <v>2709</v>
      </c>
      <c r="M9908">
        <v>90105090</v>
      </c>
      <c r="O9908" t="s">
        <v>19926</v>
      </c>
      <c r="P9908" t="s">
        <v>19899</v>
      </c>
      <c r="Q9908" t="s">
        <v>19934</v>
      </c>
      <c r="R9908" t="s">
        <v>19447</v>
      </c>
      <c r="S9908" t="s">
        <v>19447</v>
      </c>
      <c r="T9908" t="s">
        <v>19899</v>
      </c>
    </row>
    <row r="9909" spans="2:20" x14ac:dyDescent="0.25">
      <c r="B9909" t="s">
        <v>2709</v>
      </c>
      <c r="C9909">
        <v>90105090</v>
      </c>
      <c r="D9909">
        <v>1</v>
      </c>
      <c r="E9909" t="s">
        <v>19447</v>
      </c>
      <c r="F9909">
        <v>18</v>
      </c>
      <c r="G9909">
        <v>0</v>
      </c>
      <c r="H9909">
        <v>7.6</v>
      </c>
      <c r="I9909">
        <v>1.65</v>
      </c>
      <c r="J9909">
        <v>18</v>
      </c>
      <c r="L9909" t="s">
        <v>2709</v>
      </c>
      <c r="M9909">
        <v>90105090</v>
      </c>
      <c r="N9909">
        <v>1</v>
      </c>
      <c r="O9909" t="s">
        <v>19447</v>
      </c>
      <c r="P9909" t="s">
        <v>19899</v>
      </c>
      <c r="Q9909" t="s">
        <v>19900</v>
      </c>
      <c r="R9909" t="s">
        <v>19905</v>
      </c>
      <c r="S9909" t="s">
        <v>19906</v>
      </c>
      <c r="T9909" t="s">
        <v>19899</v>
      </c>
    </row>
    <row r="9910" spans="2:20" x14ac:dyDescent="0.25">
      <c r="B9910" t="s">
        <v>2709</v>
      </c>
      <c r="C9910">
        <v>90106000</v>
      </c>
      <c r="E9910">
        <v>177.19</v>
      </c>
      <c r="F9910">
        <v>18</v>
      </c>
      <c r="G9910">
        <v>20</v>
      </c>
      <c r="H9910" t="s">
        <v>19447</v>
      </c>
      <c r="I9910" t="s">
        <v>19447</v>
      </c>
      <c r="J9910">
        <v>18</v>
      </c>
      <c r="L9910" t="s">
        <v>2709</v>
      </c>
      <c r="M9910">
        <v>90106000</v>
      </c>
      <c r="O9910" t="s">
        <v>19926</v>
      </c>
      <c r="P9910" t="s">
        <v>19899</v>
      </c>
      <c r="Q9910" t="s">
        <v>19934</v>
      </c>
      <c r="R9910" t="s">
        <v>19447</v>
      </c>
      <c r="S9910" t="s">
        <v>19447</v>
      </c>
      <c r="T9910" t="s">
        <v>19899</v>
      </c>
    </row>
    <row r="9911" spans="2:20" x14ac:dyDescent="0.25">
      <c r="B9911" t="s">
        <v>2709</v>
      </c>
      <c r="C9911">
        <v>90109010</v>
      </c>
      <c r="E9911">
        <v>177.19</v>
      </c>
      <c r="F9911">
        <v>18</v>
      </c>
      <c r="G9911">
        <v>20</v>
      </c>
      <c r="H9911" t="s">
        <v>19447</v>
      </c>
      <c r="I9911" t="s">
        <v>19447</v>
      </c>
      <c r="J9911">
        <v>14</v>
      </c>
      <c r="L9911" t="s">
        <v>2709</v>
      </c>
      <c r="M9911">
        <v>90109010</v>
      </c>
      <c r="O9911" t="s">
        <v>19926</v>
      </c>
      <c r="P9911" t="s">
        <v>19899</v>
      </c>
      <c r="Q9911" t="s">
        <v>19934</v>
      </c>
      <c r="R9911" t="s">
        <v>19447</v>
      </c>
      <c r="S9911" t="s">
        <v>19447</v>
      </c>
      <c r="T9911" t="s">
        <v>19911</v>
      </c>
    </row>
    <row r="9912" spans="2:20" x14ac:dyDescent="0.25">
      <c r="B9912" t="s">
        <v>2709</v>
      </c>
      <c r="C9912">
        <v>90109090</v>
      </c>
      <c r="E9912">
        <v>177.19</v>
      </c>
      <c r="F9912">
        <v>18</v>
      </c>
      <c r="G9912">
        <v>20</v>
      </c>
      <c r="H9912" t="s">
        <v>19447</v>
      </c>
      <c r="I9912" t="s">
        <v>19447</v>
      </c>
      <c r="J9912">
        <v>16</v>
      </c>
      <c r="L9912" t="s">
        <v>2709</v>
      </c>
      <c r="M9912">
        <v>90109090</v>
      </c>
      <c r="O9912" t="s">
        <v>19926</v>
      </c>
      <c r="P9912" t="s">
        <v>19899</v>
      </c>
      <c r="Q9912" t="s">
        <v>19934</v>
      </c>
      <c r="R9912" t="s">
        <v>19447</v>
      </c>
      <c r="S9912" t="s">
        <v>19447</v>
      </c>
      <c r="T9912" t="s">
        <v>19913</v>
      </c>
    </row>
    <row r="9913" spans="2:20" x14ac:dyDescent="0.25">
      <c r="B9913" t="s">
        <v>2709</v>
      </c>
      <c r="C9913">
        <v>90111000</v>
      </c>
      <c r="E9913">
        <v>177.19</v>
      </c>
      <c r="F9913">
        <v>12</v>
      </c>
      <c r="G9913">
        <v>5</v>
      </c>
      <c r="H9913" t="s">
        <v>19447</v>
      </c>
      <c r="I9913" t="s">
        <v>19447</v>
      </c>
      <c r="J9913">
        <v>14</v>
      </c>
      <c r="L9913" t="s">
        <v>2709</v>
      </c>
      <c r="M9913">
        <v>90111000</v>
      </c>
      <c r="O9913" t="s">
        <v>19926</v>
      </c>
      <c r="P9913" t="s">
        <v>19903</v>
      </c>
      <c r="Q9913" t="s">
        <v>19909</v>
      </c>
      <c r="R9913" t="s">
        <v>19447</v>
      </c>
      <c r="S9913" t="s">
        <v>19447</v>
      </c>
      <c r="T9913" t="s">
        <v>19911</v>
      </c>
    </row>
    <row r="9914" spans="2:20" x14ac:dyDescent="0.25">
      <c r="B9914" t="s">
        <v>2709</v>
      </c>
      <c r="C9914">
        <v>90112010</v>
      </c>
      <c r="E9914">
        <v>177.19</v>
      </c>
      <c r="F9914">
        <v>12</v>
      </c>
      <c r="G9914">
        <v>5</v>
      </c>
      <c r="H9914" t="s">
        <v>19447</v>
      </c>
      <c r="I9914" t="s">
        <v>19447</v>
      </c>
      <c r="J9914">
        <v>0</v>
      </c>
      <c r="L9914" t="s">
        <v>2709</v>
      </c>
      <c r="M9914">
        <v>90112010</v>
      </c>
      <c r="O9914" t="s">
        <v>19926</v>
      </c>
      <c r="P9914" t="s">
        <v>19903</v>
      </c>
      <c r="Q9914" t="s">
        <v>19909</v>
      </c>
      <c r="R9914" t="s">
        <v>19447</v>
      </c>
      <c r="S9914" t="s">
        <v>19447</v>
      </c>
      <c r="T9914" t="s">
        <v>19900</v>
      </c>
    </row>
    <row r="9915" spans="2:20" x14ac:dyDescent="0.25">
      <c r="B9915" t="s">
        <v>2709</v>
      </c>
      <c r="C9915">
        <v>90112020</v>
      </c>
      <c r="E9915">
        <v>177.19</v>
      </c>
      <c r="F9915">
        <v>18</v>
      </c>
      <c r="G9915">
        <v>5</v>
      </c>
      <c r="H9915" t="s">
        <v>19447</v>
      </c>
      <c r="I9915" t="s">
        <v>19447</v>
      </c>
      <c r="J9915">
        <v>0</v>
      </c>
      <c r="L9915" t="s">
        <v>2709</v>
      </c>
      <c r="M9915">
        <v>90112020</v>
      </c>
      <c r="O9915" t="s">
        <v>19926</v>
      </c>
      <c r="P9915" t="s">
        <v>19899</v>
      </c>
      <c r="Q9915" t="s">
        <v>19909</v>
      </c>
      <c r="R9915" t="s">
        <v>19447</v>
      </c>
      <c r="S9915" t="s">
        <v>19447</v>
      </c>
      <c r="T9915" t="s">
        <v>19900</v>
      </c>
    </row>
    <row r="9916" spans="2:20" x14ac:dyDescent="0.25">
      <c r="B9916" t="s">
        <v>2709</v>
      </c>
      <c r="C9916">
        <v>90112030</v>
      </c>
      <c r="E9916">
        <v>177.19</v>
      </c>
      <c r="F9916">
        <v>12</v>
      </c>
      <c r="G9916">
        <v>5</v>
      </c>
      <c r="H9916" t="s">
        <v>19447</v>
      </c>
      <c r="I9916" t="s">
        <v>19447</v>
      </c>
      <c r="J9916">
        <v>0</v>
      </c>
      <c r="L9916" t="s">
        <v>2709</v>
      </c>
      <c r="M9916">
        <v>90112030</v>
      </c>
      <c r="O9916" t="s">
        <v>19926</v>
      </c>
      <c r="P9916" t="s">
        <v>19903</v>
      </c>
      <c r="Q9916" t="s">
        <v>19909</v>
      </c>
      <c r="R9916" t="s">
        <v>19447</v>
      </c>
      <c r="S9916" t="s">
        <v>19447</v>
      </c>
      <c r="T9916" t="s">
        <v>19900</v>
      </c>
    </row>
    <row r="9917" spans="2:20" x14ac:dyDescent="0.25">
      <c r="B9917" t="s">
        <v>2709</v>
      </c>
      <c r="C9917">
        <v>90118010</v>
      </c>
      <c r="E9917">
        <v>177.19</v>
      </c>
      <c r="F9917">
        <v>18</v>
      </c>
      <c r="G9917">
        <v>5</v>
      </c>
      <c r="H9917" t="s">
        <v>19447</v>
      </c>
      <c r="I9917" t="s">
        <v>19447</v>
      </c>
      <c r="J9917">
        <v>0</v>
      </c>
      <c r="L9917" t="s">
        <v>2709</v>
      </c>
      <c r="M9917">
        <v>90118010</v>
      </c>
      <c r="O9917" t="s">
        <v>19926</v>
      </c>
      <c r="P9917" t="s">
        <v>19899</v>
      </c>
      <c r="Q9917" t="s">
        <v>19909</v>
      </c>
      <c r="R9917" t="s">
        <v>19447</v>
      </c>
      <c r="S9917" t="s">
        <v>19447</v>
      </c>
      <c r="T9917" t="s">
        <v>19900</v>
      </c>
    </row>
    <row r="9918" spans="2:20" x14ac:dyDescent="0.25">
      <c r="B9918" t="s">
        <v>2709</v>
      </c>
      <c r="C9918">
        <v>90118090</v>
      </c>
      <c r="E9918">
        <v>177.19</v>
      </c>
      <c r="F9918">
        <v>12</v>
      </c>
      <c r="G9918">
        <v>5</v>
      </c>
      <c r="H9918" t="s">
        <v>19447</v>
      </c>
      <c r="I9918" t="s">
        <v>19447</v>
      </c>
      <c r="J9918">
        <v>14</v>
      </c>
      <c r="L9918" t="s">
        <v>2709</v>
      </c>
      <c r="M9918">
        <v>90118090</v>
      </c>
      <c r="O9918" t="s">
        <v>19926</v>
      </c>
      <c r="P9918" t="s">
        <v>19903</v>
      </c>
      <c r="Q9918" t="s">
        <v>19909</v>
      </c>
      <c r="R9918" t="s">
        <v>19447</v>
      </c>
      <c r="S9918" t="s">
        <v>19447</v>
      </c>
      <c r="T9918" t="s">
        <v>19911</v>
      </c>
    </row>
    <row r="9919" spans="2:20" x14ac:dyDescent="0.25">
      <c r="B9919" t="s">
        <v>2709</v>
      </c>
      <c r="C9919">
        <v>90119010</v>
      </c>
      <c r="E9919">
        <v>177.19</v>
      </c>
      <c r="F9919">
        <v>18</v>
      </c>
      <c r="G9919">
        <v>5</v>
      </c>
      <c r="H9919" t="s">
        <v>19447</v>
      </c>
      <c r="I9919" t="s">
        <v>19447</v>
      </c>
      <c r="J9919">
        <v>0</v>
      </c>
      <c r="L9919" t="s">
        <v>2709</v>
      </c>
      <c r="M9919">
        <v>90119010</v>
      </c>
      <c r="O9919" t="s">
        <v>19926</v>
      </c>
      <c r="P9919" t="s">
        <v>19899</v>
      </c>
      <c r="Q9919" t="s">
        <v>19909</v>
      </c>
      <c r="R9919" t="s">
        <v>19447</v>
      </c>
      <c r="S9919" t="s">
        <v>19447</v>
      </c>
      <c r="T9919" t="s">
        <v>19900</v>
      </c>
    </row>
    <row r="9920" spans="2:20" x14ac:dyDescent="0.25">
      <c r="B9920" t="s">
        <v>2709</v>
      </c>
      <c r="C9920">
        <v>90119090</v>
      </c>
      <c r="E9920">
        <v>177.19</v>
      </c>
      <c r="F9920">
        <v>18</v>
      </c>
      <c r="G9920">
        <v>5</v>
      </c>
      <c r="H9920" t="s">
        <v>19447</v>
      </c>
      <c r="I9920" t="s">
        <v>19447</v>
      </c>
      <c r="J9920">
        <v>14</v>
      </c>
      <c r="L9920" t="s">
        <v>2709</v>
      </c>
      <c r="M9920">
        <v>90119090</v>
      </c>
      <c r="O9920" t="s">
        <v>19926</v>
      </c>
      <c r="P9920" t="s">
        <v>19899</v>
      </c>
      <c r="Q9920" t="s">
        <v>19909</v>
      </c>
      <c r="R9920" t="s">
        <v>19447</v>
      </c>
      <c r="S9920" t="s">
        <v>19447</v>
      </c>
      <c r="T9920" t="s">
        <v>19911</v>
      </c>
    </row>
    <row r="9921" spans="2:20" x14ac:dyDescent="0.25">
      <c r="B9921" t="s">
        <v>2709</v>
      </c>
      <c r="C9921">
        <v>90121010</v>
      </c>
      <c r="E9921">
        <v>177.19</v>
      </c>
      <c r="F9921">
        <v>12</v>
      </c>
      <c r="G9921">
        <v>0</v>
      </c>
      <c r="H9921" t="s">
        <v>19447</v>
      </c>
      <c r="I9921" t="s">
        <v>19447</v>
      </c>
      <c r="J9921">
        <v>0</v>
      </c>
      <c r="L9921" t="s">
        <v>2709</v>
      </c>
      <c r="M9921">
        <v>90121010</v>
      </c>
      <c r="O9921" t="s">
        <v>19926</v>
      </c>
      <c r="P9921" t="s">
        <v>19903</v>
      </c>
      <c r="Q9921" t="s">
        <v>19900</v>
      </c>
      <c r="R9921" t="s">
        <v>19447</v>
      </c>
      <c r="S9921" t="s">
        <v>19447</v>
      </c>
      <c r="T9921" t="s">
        <v>19900</v>
      </c>
    </row>
    <row r="9922" spans="2:20" x14ac:dyDescent="0.25">
      <c r="B9922" t="s">
        <v>2709</v>
      </c>
      <c r="C9922">
        <v>90121090</v>
      </c>
      <c r="E9922">
        <v>177.19</v>
      </c>
      <c r="F9922">
        <v>12</v>
      </c>
      <c r="G9922">
        <v>0</v>
      </c>
      <c r="H9922" t="s">
        <v>19447</v>
      </c>
      <c r="I9922" t="s">
        <v>19447</v>
      </c>
      <c r="J9922">
        <v>14</v>
      </c>
      <c r="L9922" t="s">
        <v>2709</v>
      </c>
      <c r="M9922">
        <v>90121090</v>
      </c>
      <c r="O9922" t="s">
        <v>19926</v>
      </c>
      <c r="P9922" t="s">
        <v>19903</v>
      </c>
      <c r="Q9922" t="s">
        <v>19900</v>
      </c>
      <c r="R9922" t="s">
        <v>19447</v>
      </c>
      <c r="S9922" t="s">
        <v>19447</v>
      </c>
      <c r="T9922" t="s">
        <v>19911</v>
      </c>
    </row>
    <row r="9923" spans="2:20" x14ac:dyDescent="0.25">
      <c r="B9923" t="s">
        <v>2709</v>
      </c>
      <c r="C9923">
        <v>90129010</v>
      </c>
      <c r="E9923">
        <v>177.19</v>
      </c>
      <c r="F9923">
        <v>18</v>
      </c>
      <c r="G9923">
        <v>5</v>
      </c>
      <c r="H9923" t="s">
        <v>19447</v>
      </c>
      <c r="I9923" t="s">
        <v>19447</v>
      </c>
      <c r="J9923">
        <v>0</v>
      </c>
      <c r="L9923" t="s">
        <v>2709</v>
      </c>
      <c r="M9923">
        <v>90129010</v>
      </c>
      <c r="O9923" t="s">
        <v>19926</v>
      </c>
      <c r="P9923" t="s">
        <v>19899</v>
      </c>
      <c r="Q9923" t="s">
        <v>19909</v>
      </c>
      <c r="R9923" t="s">
        <v>19447</v>
      </c>
      <c r="S9923" t="s">
        <v>19447</v>
      </c>
      <c r="T9923" t="s">
        <v>19900</v>
      </c>
    </row>
    <row r="9924" spans="2:20" x14ac:dyDescent="0.25">
      <c r="B9924" t="s">
        <v>2709</v>
      </c>
      <c r="C9924">
        <v>90129090</v>
      </c>
      <c r="E9924">
        <v>177.19</v>
      </c>
      <c r="F9924">
        <v>18</v>
      </c>
      <c r="G9924">
        <v>5</v>
      </c>
      <c r="H9924" t="s">
        <v>19447</v>
      </c>
      <c r="I9924" t="s">
        <v>19447</v>
      </c>
      <c r="J9924">
        <v>14</v>
      </c>
      <c r="L9924" t="s">
        <v>2709</v>
      </c>
      <c r="M9924">
        <v>90129090</v>
      </c>
      <c r="O9924" t="s">
        <v>19926</v>
      </c>
      <c r="P9924" t="s">
        <v>19899</v>
      </c>
      <c r="Q9924" t="s">
        <v>19909</v>
      </c>
      <c r="R9924" t="s">
        <v>19447</v>
      </c>
      <c r="S9924" t="s">
        <v>19447</v>
      </c>
      <c r="T9924" t="s">
        <v>19911</v>
      </c>
    </row>
    <row r="9925" spans="2:20" x14ac:dyDescent="0.25">
      <c r="B9925" t="s">
        <v>2709</v>
      </c>
      <c r="C9925">
        <v>90131010</v>
      </c>
      <c r="E9925">
        <v>177.19</v>
      </c>
      <c r="F9925">
        <v>18</v>
      </c>
      <c r="G9925">
        <v>15</v>
      </c>
      <c r="H9925" t="s">
        <v>19447</v>
      </c>
      <c r="I9925" t="s">
        <v>19447</v>
      </c>
      <c r="J9925">
        <v>18</v>
      </c>
      <c r="L9925" t="s">
        <v>2709</v>
      </c>
      <c r="M9925">
        <v>90131010</v>
      </c>
      <c r="O9925" t="s">
        <v>19926</v>
      </c>
      <c r="P9925" t="s">
        <v>19899</v>
      </c>
      <c r="Q9925" t="s">
        <v>19983</v>
      </c>
      <c r="R9925" t="s">
        <v>19447</v>
      </c>
      <c r="S9925" t="s">
        <v>19447</v>
      </c>
      <c r="T9925" t="s">
        <v>19899</v>
      </c>
    </row>
    <row r="9926" spans="2:20" x14ac:dyDescent="0.25">
      <c r="B9926" t="s">
        <v>2709</v>
      </c>
      <c r="C9926">
        <v>90131090</v>
      </c>
      <c r="E9926">
        <v>177.19</v>
      </c>
      <c r="F9926">
        <v>18</v>
      </c>
      <c r="G9926">
        <v>15</v>
      </c>
      <c r="H9926" t="s">
        <v>19447</v>
      </c>
      <c r="I9926" t="s">
        <v>19447</v>
      </c>
      <c r="J9926">
        <v>14</v>
      </c>
      <c r="L9926" t="s">
        <v>2709</v>
      </c>
      <c r="M9926">
        <v>90131090</v>
      </c>
      <c r="O9926" t="s">
        <v>19926</v>
      </c>
      <c r="P9926" t="s">
        <v>19899</v>
      </c>
      <c r="Q9926" t="s">
        <v>19983</v>
      </c>
      <c r="R9926" t="s">
        <v>19447</v>
      </c>
      <c r="S9926" t="s">
        <v>19447</v>
      </c>
      <c r="T9926" t="s">
        <v>19911</v>
      </c>
    </row>
    <row r="9927" spans="2:20" x14ac:dyDescent="0.25">
      <c r="B9927" t="s">
        <v>2709</v>
      </c>
      <c r="C9927">
        <v>90132000</v>
      </c>
      <c r="E9927">
        <v>177.19</v>
      </c>
      <c r="F9927">
        <v>18</v>
      </c>
      <c r="G9927">
        <v>15</v>
      </c>
      <c r="H9927" t="s">
        <v>19447</v>
      </c>
      <c r="I9927" t="s">
        <v>19447</v>
      </c>
      <c r="J9927">
        <v>14</v>
      </c>
      <c r="L9927" t="s">
        <v>2709</v>
      </c>
      <c r="M9927">
        <v>90132000</v>
      </c>
      <c r="O9927" t="s">
        <v>19926</v>
      </c>
      <c r="P9927" t="s">
        <v>19899</v>
      </c>
      <c r="Q9927" t="s">
        <v>19983</v>
      </c>
      <c r="R9927" t="s">
        <v>19447</v>
      </c>
      <c r="S9927" t="s">
        <v>19447</v>
      </c>
      <c r="T9927" t="s">
        <v>19911</v>
      </c>
    </row>
    <row r="9928" spans="2:20" x14ac:dyDescent="0.25">
      <c r="B9928" t="s">
        <v>2709</v>
      </c>
      <c r="C9928">
        <v>90138010</v>
      </c>
      <c r="E9928">
        <v>177.19</v>
      </c>
      <c r="F9928">
        <v>12</v>
      </c>
      <c r="G9928">
        <v>5</v>
      </c>
      <c r="H9928" t="s">
        <v>19447</v>
      </c>
      <c r="I9928" t="s">
        <v>19447</v>
      </c>
      <c r="J9928">
        <v>0</v>
      </c>
      <c r="L9928" t="s">
        <v>2709</v>
      </c>
      <c r="M9928">
        <v>90138010</v>
      </c>
      <c r="O9928" t="s">
        <v>19926</v>
      </c>
      <c r="P9928" t="s">
        <v>19903</v>
      </c>
      <c r="Q9928" t="s">
        <v>19909</v>
      </c>
      <c r="R9928" t="s">
        <v>19447</v>
      </c>
      <c r="S9928" t="s">
        <v>19447</v>
      </c>
      <c r="T9928" t="s">
        <v>19900</v>
      </c>
    </row>
    <row r="9929" spans="2:20" x14ac:dyDescent="0.25">
      <c r="B9929" t="s">
        <v>2709</v>
      </c>
      <c r="C9929">
        <v>90138090</v>
      </c>
      <c r="E9929">
        <v>177.19</v>
      </c>
      <c r="F9929">
        <v>18</v>
      </c>
      <c r="G9929">
        <v>15</v>
      </c>
      <c r="H9929" t="s">
        <v>19447</v>
      </c>
      <c r="I9929" t="s">
        <v>19447</v>
      </c>
      <c r="J9929">
        <v>18</v>
      </c>
      <c r="L9929" t="s">
        <v>2709</v>
      </c>
      <c r="M9929">
        <v>90138090</v>
      </c>
      <c r="O9929" t="s">
        <v>19926</v>
      </c>
      <c r="P9929" t="s">
        <v>19899</v>
      </c>
      <c r="Q9929" t="s">
        <v>19983</v>
      </c>
      <c r="R9929" t="s">
        <v>19447</v>
      </c>
      <c r="S9929" t="s">
        <v>19447</v>
      </c>
      <c r="T9929" t="s">
        <v>19899</v>
      </c>
    </row>
    <row r="9930" spans="2:20" x14ac:dyDescent="0.25">
      <c r="B9930" t="s">
        <v>2709</v>
      </c>
      <c r="C9930">
        <v>90138090</v>
      </c>
      <c r="D9930">
        <v>1</v>
      </c>
      <c r="E9930" t="s">
        <v>19447</v>
      </c>
      <c r="F9930">
        <v>18</v>
      </c>
      <c r="G9930">
        <v>5</v>
      </c>
      <c r="H9930">
        <v>7.6</v>
      </c>
      <c r="I9930">
        <v>1.65</v>
      </c>
      <c r="J9930">
        <v>18</v>
      </c>
      <c r="L9930" t="s">
        <v>2709</v>
      </c>
      <c r="M9930">
        <v>90138090</v>
      </c>
      <c r="N9930">
        <v>1</v>
      </c>
      <c r="O9930" t="s">
        <v>19447</v>
      </c>
      <c r="P9930" t="s">
        <v>19899</v>
      </c>
      <c r="Q9930" t="s">
        <v>19909</v>
      </c>
      <c r="R9930" t="s">
        <v>19905</v>
      </c>
      <c r="S9930" t="s">
        <v>19906</v>
      </c>
      <c r="T9930" t="s">
        <v>19899</v>
      </c>
    </row>
    <row r="9931" spans="2:20" x14ac:dyDescent="0.25">
      <c r="B9931" t="s">
        <v>2709</v>
      </c>
      <c r="C9931">
        <v>90139000</v>
      </c>
      <c r="E9931">
        <v>177.19</v>
      </c>
      <c r="F9931">
        <v>18</v>
      </c>
      <c r="G9931">
        <v>15</v>
      </c>
      <c r="H9931" t="s">
        <v>19447</v>
      </c>
      <c r="I9931" t="s">
        <v>19447</v>
      </c>
      <c r="J9931">
        <v>14</v>
      </c>
      <c r="L9931" t="s">
        <v>2709</v>
      </c>
      <c r="M9931">
        <v>90139000</v>
      </c>
      <c r="O9931" t="s">
        <v>19926</v>
      </c>
      <c r="P9931" t="s">
        <v>19899</v>
      </c>
      <c r="Q9931" t="s">
        <v>19983</v>
      </c>
      <c r="R9931" t="s">
        <v>19447</v>
      </c>
      <c r="S9931" t="s">
        <v>19447</v>
      </c>
      <c r="T9931" t="s">
        <v>19911</v>
      </c>
    </row>
    <row r="9932" spans="2:20" x14ac:dyDescent="0.25">
      <c r="B9932" t="s">
        <v>2709</v>
      </c>
      <c r="C9932">
        <v>90141000</v>
      </c>
      <c r="E9932">
        <v>71.78</v>
      </c>
      <c r="F9932">
        <v>18</v>
      </c>
      <c r="G9932">
        <v>5</v>
      </c>
      <c r="H9932" t="s">
        <v>19447</v>
      </c>
      <c r="I9932" t="s">
        <v>19447</v>
      </c>
      <c r="J9932">
        <v>14</v>
      </c>
      <c r="L9932" t="s">
        <v>2709</v>
      </c>
      <c r="M9932">
        <v>90141000</v>
      </c>
      <c r="O9932" t="s">
        <v>20056</v>
      </c>
      <c r="P9932" t="s">
        <v>19899</v>
      </c>
      <c r="Q9932" t="s">
        <v>19909</v>
      </c>
      <c r="R9932" t="s">
        <v>19447</v>
      </c>
      <c r="S9932" t="s">
        <v>19447</v>
      </c>
      <c r="T9932" t="s">
        <v>19911</v>
      </c>
    </row>
    <row r="9933" spans="2:20" x14ac:dyDescent="0.25">
      <c r="B9933" t="s">
        <v>2709</v>
      </c>
      <c r="C9933">
        <v>90142010</v>
      </c>
      <c r="E9933">
        <v>177.19</v>
      </c>
      <c r="F9933">
        <v>18</v>
      </c>
      <c r="G9933">
        <v>5</v>
      </c>
      <c r="H9933" t="s">
        <v>19447</v>
      </c>
      <c r="I9933" t="s">
        <v>19447</v>
      </c>
      <c r="J9933">
        <v>0</v>
      </c>
      <c r="L9933" t="s">
        <v>2709</v>
      </c>
      <c r="M9933">
        <v>90142010</v>
      </c>
      <c r="O9933" t="s">
        <v>19926</v>
      </c>
      <c r="P9933" t="s">
        <v>19899</v>
      </c>
      <c r="Q9933" t="s">
        <v>19909</v>
      </c>
      <c r="R9933" t="s">
        <v>19447</v>
      </c>
      <c r="S9933" t="s">
        <v>19447</v>
      </c>
      <c r="T9933" t="s">
        <v>19900</v>
      </c>
    </row>
    <row r="9934" spans="2:20" x14ac:dyDescent="0.25">
      <c r="B9934" t="s">
        <v>2709</v>
      </c>
      <c r="C9934">
        <v>90142020</v>
      </c>
      <c r="E9934">
        <v>177.19</v>
      </c>
      <c r="F9934">
        <v>18</v>
      </c>
      <c r="G9934">
        <v>5</v>
      </c>
      <c r="H9934" t="s">
        <v>19447</v>
      </c>
      <c r="I9934" t="s">
        <v>19447</v>
      </c>
      <c r="J9934">
        <v>0</v>
      </c>
      <c r="L9934" t="s">
        <v>2709</v>
      </c>
      <c r="M9934">
        <v>90142020</v>
      </c>
      <c r="O9934" t="s">
        <v>19926</v>
      </c>
      <c r="P9934" t="s">
        <v>19899</v>
      </c>
      <c r="Q9934" t="s">
        <v>19909</v>
      </c>
      <c r="R9934" t="s">
        <v>19447</v>
      </c>
      <c r="S9934" t="s">
        <v>19447</v>
      </c>
      <c r="T9934" t="s">
        <v>19900</v>
      </c>
    </row>
    <row r="9935" spans="2:20" x14ac:dyDescent="0.25">
      <c r="B9935" t="s">
        <v>2709</v>
      </c>
      <c r="C9935">
        <v>90142030</v>
      </c>
      <c r="E9935">
        <v>177.19</v>
      </c>
      <c r="F9935">
        <v>18</v>
      </c>
      <c r="G9935">
        <v>5</v>
      </c>
      <c r="H9935" t="s">
        <v>19447</v>
      </c>
      <c r="I9935" t="s">
        <v>19447</v>
      </c>
      <c r="J9935">
        <v>0</v>
      </c>
      <c r="L9935" t="s">
        <v>2709</v>
      </c>
      <c r="M9935">
        <v>90142030</v>
      </c>
      <c r="O9935" t="s">
        <v>19926</v>
      </c>
      <c r="P9935" t="s">
        <v>19899</v>
      </c>
      <c r="Q9935" t="s">
        <v>19909</v>
      </c>
      <c r="R9935" t="s">
        <v>19447</v>
      </c>
      <c r="S9935" t="s">
        <v>19447</v>
      </c>
      <c r="T9935" t="s">
        <v>19900</v>
      </c>
    </row>
    <row r="9936" spans="2:20" x14ac:dyDescent="0.25">
      <c r="B9936" t="s">
        <v>2709</v>
      </c>
      <c r="C9936">
        <v>90142090</v>
      </c>
      <c r="E9936">
        <v>177.19</v>
      </c>
      <c r="F9936">
        <v>18</v>
      </c>
      <c r="G9936">
        <v>5</v>
      </c>
      <c r="H9936" t="s">
        <v>19447</v>
      </c>
      <c r="I9936" t="s">
        <v>19447</v>
      </c>
      <c r="J9936">
        <v>0</v>
      </c>
      <c r="L9936" t="s">
        <v>2709</v>
      </c>
      <c r="M9936">
        <v>90142090</v>
      </c>
      <c r="O9936" t="s">
        <v>19926</v>
      </c>
      <c r="P9936" t="s">
        <v>19899</v>
      </c>
      <c r="Q9936" t="s">
        <v>19909</v>
      </c>
      <c r="R9936" t="s">
        <v>19447</v>
      </c>
      <c r="S9936" t="s">
        <v>19447</v>
      </c>
      <c r="T9936" t="s">
        <v>19900</v>
      </c>
    </row>
    <row r="9937" spans="2:20" x14ac:dyDescent="0.25">
      <c r="B9937" t="s">
        <v>2709</v>
      </c>
      <c r="C9937">
        <v>90148010</v>
      </c>
      <c r="E9937">
        <v>177.19</v>
      </c>
      <c r="F9937">
        <v>18</v>
      </c>
      <c r="G9937">
        <v>5</v>
      </c>
      <c r="H9937" t="s">
        <v>19447</v>
      </c>
      <c r="I9937" t="s">
        <v>19447</v>
      </c>
      <c r="J9937">
        <v>14</v>
      </c>
      <c r="L9937" t="s">
        <v>2709</v>
      </c>
      <c r="M9937">
        <v>90148010</v>
      </c>
      <c r="O9937" t="s">
        <v>19926</v>
      </c>
      <c r="P9937" t="s">
        <v>19899</v>
      </c>
      <c r="Q9937" t="s">
        <v>19909</v>
      </c>
      <c r="R9937" t="s">
        <v>19447</v>
      </c>
      <c r="S9937" t="s">
        <v>19447</v>
      </c>
      <c r="T9937" t="s">
        <v>19911</v>
      </c>
    </row>
    <row r="9938" spans="2:20" x14ac:dyDescent="0.25">
      <c r="B9938" t="s">
        <v>2709</v>
      </c>
      <c r="C9938">
        <v>90148090</v>
      </c>
      <c r="E9938">
        <v>177.19</v>
      </c>
      <c r="F9938">
        <v>18</v>
      </c>
      <c r="G9938">
        <v>5</v>
      </c>
      <c r="H9938" t="s">
        <v>19447</v>
      </c>
      <c r="I9938" t="s">
        <v>19447</v>
      </c>
      <c r="J9938">
        <v>14</v>
      </c>
      <c r="L9938" t="s">
        <v>2709</v>
      </c>
      <c r="M9938">
        <v>90148090</v>
      </c>
      <c r="O9938" t="s">
        <v>19926</v>
      </c>
      <c r="P9938" t="s">
        <v>19899</v>
      </c>
      <c r="Q9938" t="s">
        <v>19909</v>
      </c>
      <c r="R9938" t="s">
        <v>19447</v>
      </c>
      <c r="S9938" t="s">
        <v>19447</v>
      </c>
      <c r="T9938" t="s">
        <v>19911</v>
      </c>
    </row>
    <row r="9939" spans="2:20" x14ac:dyDescent="0.25">
      <c r="B9939" t="s">
        <v>2709</v>
      </c>
      <c r="C9939">
        <v>90149000</v>
      </c>
      <c r="E9939">
        <v>177.19</v>
      </c>
      <c r="F9939">
        <v>18</v>
      </c>
      <c r="G9939">
        <v>5</v>
      </c>
      <c r="H9939" t="s">
        <v>19447</v>
      </c>
      <c r="I9939" t="s">
        <v>19447</v>
      </c>
      <c r="J9939">
        <v>14</v>
      </c>
      <c r="L9939" t="s">
        <v>2709</v>
      </c>
      <c r="M9939">
        <v>90149000</v>
      </c>
      <c r="O9939" t="s">
        <v>19926</v>
      </c>
      <c r="P9939" t="s">
        <v>19899</v>
      </c>
      <c r="Q9939" t="s">
        <v>19909</v>
      </c>
      <c r="R9939" t="s">
        <v>19447</v>
      </c>
      <c r="S9939" t="s">
        <v>19447</v>
      </c>
      <c r="T9939" t="s">
        <v>19911</v>
      </c>
    </row>
    <row r="9940" spans="2:20" x14ac:dyDescent="0.25">
      <c r="B9940" t="s">
        <v>2709</v>
      </c>
      <c r="C9940">
        <v>90151000</v>
      </c>
      <c r="E9940">
        <v>46</v>
      </c>
      <c r="F9940">
        <v>18</v>
      </c>
      <c r="G9940">
        <v>5</v>
      </c>
      <c r="H9940" t="s">
        <v>19447</v>
      </c>
      <c r="I9940" t="s">
        <v>19447</v>
      </c>
      <c r="J9940">
        <v>14</v>
      </c>
      <c r="L9940" t="s">
        <v>2709</v>
      </c>
      <c r="M9940">
        <v>90151000</v>
      </c>
      <c r="O9940" t="s">
        <v>20071</v>
      </c>
      <c r="P9940" t="s">
        <v>19899</v>
      </c>
      <c r="Q9940" t="s">
        <v>19909</v>
      </c>
      <c r="R9940" t="s">
        <v>19447</v>
      </c>
      <c r="S9940" t="s">
        <v>19447</v>
      </c>
      <c r="T9940" t="s">
        <v>19911</v>
      </c>
    </row>
    <row r="9941" spans="2:20" x14ac:dyDescent="0.25">
      <c r="B9941" t="s">
        <v>2709</v>
      </c>
      <c r="C9941">
        <v>90152010</v>
      </c>
      <c r="E9941">
        <v>46</v>
      </c>
      <c r="F9941">
        <v>12</v>
      </c>
      <c r="G9941">
        <v>5</v>
      </c>
      <c r="H9941" t="s">
        <v>19447</v>
      </c>
      <c r="I9941" t="s">
        <v>19447</v>
      </c>
      <c r="J9941">
        <v>14</v>
      </c>
      <c r="L9941" t="s">
        <v>2709</v>
      </c>
      <c r="M9941">
        <v>90152010</v>
      </c>
      <c r="O9941" t="s">
        <v>20071</v>
      </c>
      <c r="P9941" t="s">
        <v>19903</v>
      </c>
      <c r="Q9941" t="s">
        <v>19909</v>
      </c>
      <c r="R9941" t="s">
        <v>19447</v>
      </c>
      <c r="S9941" t="s">
        <v>19447</v>
      </c>
      <c r="T9941" t="s">
        <v>19911</v>
      </c>
    </row>
    <row r="9942" spans="2:20" x14ac:dyDescent="0.25">
      <c r="B9942" t="s">
        <v>2709</v>
      </c>
      <c r="C9942">
        <v>90152090</v>
      </c>
      <c r="E9942">
        <v>46</v>
      </c>
      <c r="F9942">
        <v>12</v>
      </c>
      <c r="G9942">
        <v>5</v>
      </c>
      <c r="H9942" t="s">
        <v>19447</v>
      </c>
      <c r="I9942" t="s">
        <v>19447</v>
      </c>
      <c r="J9942">
        <v>14</v>
      </c>
      <c r="L9942" t="s">
        <v>2709</v>
      </c>
      <c r="M9942">
        <v>90152090</v>
      </c>
      <c r="O9942" t="s">
        <v>20071</v>
      </c>
      <c r="P9942" t="s">
        <v>19903</v>
      </c>
      <c r="Q9942" t="s">
        <v>19909</v>
      </c>
      <c r="R9942" t="s">
        <v>19447</v>
      </c>
      <c r="S9942" t="s">
        <v>19447</v>
      </c>
      <c r="T9942" t="s">
        <v>19911</v>
      </c>
    </row>
    <row r="9943" spans="2:20" x14ac:dyDescent="0.25">
      <c r="B9943" t="s">
        <v>2709</v>
      </c>
      <c r="C9943">
        <v>90153000</v>
      </c>
      <c r="E9943">
        <v>46</v>
      </c>
      <c r="F9943">
        <v>18</v>
      </c>
      <c r="G9943">
        <v>5</v>
      </c>
      <c r="H9943" t="s">
        <v>19447</v>
      </c>
      <c r="I9943" t="s">
        <v>19447</v>
      </c>
      <c r="J9943">
        <v>14</v>
      </c>
      <c r="L9943" t="s">
        <v>2709</v>
      </c>
      <c r="M9943">
        <v>90153000</v>
      </c>
      <c r="O9943" t="s">
        <v>20071</v>
      </c>
      <c r="P9943" t="s">
        <v>19899</v>
      </c>
      <c r="Q9943" t="s">
        <v>19909</v>
      </c>
      <c r="R9943" t="s">
        <v>19447</v>
      </c>
      <c r="S9943" t="s">
        <v>19447</v>
      </c>
      <c r="T9943" t="s">
        <v>19911</v>
      </c>
    </row>
    <row r="9944" spans="2:20" x14ac:dyDescent="0.25">
      <c r="B9944" t="s">
        <v>2709</v>
      </c>
      <c r="C9944">
        <v>90154000</v>
      </c>
      <c r="E9944">
        <v>46</v>
      </c>
      <c r="F9944">
        <v>18</v>
      </c>
      <c r="G9944">
        <v>5</v>
      </c>
      <c r="H9944" t="s">
        <v>19447</v>
      </c>
      <c r="I9944" t="s">
        <v>19447</v>
      </c>
      <c r="J9944">
        <v>0</v>
      </c>
      <c r="L9944" t="s">
        <v>2709</v>
      </c>
      <c r="M9944">
        <v>90154000</v>
      </c>
      <c r="O9944" t="s">
        <v>20071</v>
      </c>
      <c r="P9944" t="s">
        <v>19899</v>
      </c>
      <c r="Q9944" t="s">
        <v>19909</v>
      </c>
      <c r="R9944" t="s">
        <v>19447</v>
      </c>
      <c r="S9944" t="s">
        <v>19447</v>
      </c>
      <c r="T9944" t="s">
        <v>19900</v>
      </c>
    </row>
    <row r="9945" spans="2:20" x14ac:dyDescent="0.25">
      <c r="B9945" t="s">
        <v>2709</v>
      </c>
      <c r="C9945">
        <v>90158010</v>
      </c>
      <c r="E9945">
        <v>46</v>
      </c>
      <c r="F9945">
        <v>18</v>
      </c>
      <c r="G9945">
        <v>5</v>
      </c>
      <c r="H9945" t="s">
        <v>19447</v>
      </c>
      <c r="I9945" t="s">
        <v>19447</v>
      </c>
      <c r="J9945">
        <v>14</v>
      </c>
      <c r="L9945" t="s">
        <v>2709</v>
      </c>
      <c r="M9945">
        <v>90158010</v>
      </c>
      <c r="O9945" t="s">
        <v>20071</v>
      </c>
      <c r="P9945" t="s">
        <v>19899</v>
      </c>
      <c r="Q9945" t="s">
        <v>19909</v>
      </c>
      <c r="R9945" t="s">
        <v>19447</v>
      </c>
      <c r="S9945" t="s">
        <v>19447</v>
      </c>
      <c r="T9945" t="s">
        <v>19911</v>
      </c>
    </row>
    <row r="9946" spans="2:20" x14ac:dyDescent="0.25">
      <c r="B9946" t="s">
        <v>2709</v>
      </c>
      <c r="C9946">
        <v>90158090</v>
      </c>
      <c r="E9946">
        <v>46</v>
      </c>
      <c r="F9946">
        <v>18</v>
      </c>
      <c r="G9946">
        <v>5</v>
      </c>
      <c r="H9946" t="s">
        <v>19447</v>
      </c>
      <c r="I9946" t="s">
        <v>19447</v>
      </c>
      <c r="J9946">
        <v>14</v>
      </c>
      <c r="L9946" t="s">
        <v>2709</v>
      </c>
      <c r="M9946">
        <v>90158090</v>
      </c>
      <c r="O9946" t="s">
        <v>20071</v>
      </c>
      <c r="P9946" t="s">
        <v>19899</v>
      </c>
      <c r="Q9946" t="s">
        <v>19909</v>
      </c>
      <c r="R9946" t="s">
        <v>19447</v>
      </c>
      <c r="S9946" t="s">
        <v>19447</v>
      </c>
      <c r="T9946" t="s">
        <v>19911</v>
      </c>
    </row>
    <row r="9947" spans="2:20" x14ac:dyDescent="0.25">
      <c r="B9947" t="s">
        <v>2709</v>
      </c>
      <c r="C9947">
        <v>90159010</v>
      </c>
      <c r="E9947">
        <v>46</v>
      </c>
      <c r="F9947">
        <v>18</v>
      </c>
      <c r="G9947">
        <v>5</v>
      </c>
      <c r="H9947" t="s">
        <v>19447</v>
      </c>
      <c r="I9947" t="s">
        <v>19447</v>
      </c>
      <c r="J9947">
        <v>0</v>
      </c>
      <c r="L9947" t="s">
        <v>2709</v>
      </c>
      <c r="M9947">
        <v>90159010</v>
      </c>
      <c r="O9947" t="s">
        <v>20071</v>
      </c>
      <c r="P9947" t="s">
        <v>19899</v>
      </c>
      <c r="Q9947" t="s">
        <v>19909</v>
      </c>
      <c r="R9947" t="s">
        <v>19447</v>
      </c>
      <c r="S9947" t="s">
        <v>19447</v>
      </c>
      <c r="T9947" t="s">
        <v>19900</v>
      </c>
    </row>
    <row r="9948" spans="2:20" x14ac:dyDescent="0.25">
      <c r="B9948" t="s">
        <v>2709</v>
      </c>
      <c r="C9948">
        <v>90159090</v>
      </c>
      <c r="E9948">
        <v>46</v>
      </c>
      <c r="F9948">
        <v>18</v>
      </c>
      <c r="G9948">
        <v>5</v>
      </c>
      <c r="H9948" t="s">
        <v>19447</v>
      </c>
      <c r="I9948" t="s">
        <v>19447</v>
      </c>
      <c r="J9948">
        <v>14</v>
      </c>
      <c r="L9948" t="s">
        <v>2709</v>
      </c>
      <c r="M9948">
        <v>90159090</v>
      </c>
      <c r="O9948" t="s">
        <v>20071</v>
      </c>
      <c r="P9948" t="s">
        <v>19899</v>
      </c>
      <c r="Q9948" t="s">
        <v>19909</v>
      </c>
      <c r="R9948" t="s">
        <v>19447</v>
      </c>
      <c r="S9948" t="s">
        <v>19447</v>
      </c>
      <c r="T9948" t="s">
        <v>19911</v>
      </c>
    </row>
    <row r="9949" spans="2:20" x14ac:dyDescent="0.25">
      <c r="B9949" t="s">
        <v>2709</v>
      </c>
      <c r="C9949">
        <v>90160010</v>
      </c>
      <c r="E9949">
        <v>177.19</v>
      </c>
      <c r="F9949">
        <v>12</v>
      </c>
      <c r="G9949">
        <v>0</v>
      </c>
      <c r="H9949" t="s">
        <v>19447</v>
      </c>
      <c r="I9949" t="s">
        <v>19447</v>
      </c>
      <c r="J9949">
        <v>14</v>
      </c>
      <c r="L9949" t="s">
        <v>2709</v>
      </c>
      <c r="M9949">
        <v>90160010</v>
      </c>
      <c r="O9949" t="s">
        <v>19926</v>
      </c>
      <c r="P9949" t="s">
        <v>19903</v>
      </c>
      <c r="Q9949" t="s">
        <v>19900</v>
      </c>
      <c r="R9949" t="s">
        <v>19447</v>
      </c>
      <c r="S9949" t="s">
        <v>19447</v>
      </c>
      <c r="T9949" t="s">
        <v>19911</v>
      </c>
    </row>
    <row r="9950" spans="2:20" x14ac:dyDescent="0.25">
      <c r="B9950" t="s">
        <v>2709</v>
      </c>
      <c r="C9950">
        <v>90160090</v>
      </c>
      <c r="E9950">
        <v>177.19</v>
      </c>
      <c r="F9950">
        <v>12</v>
      </c>
      <c r="G9950">
        <v>0</v>
      </c>
      <c r="H9950" t="s">
        <v>19447</v>
      </c>
      <c r="I9950" t="s">
        <v>19447</v>
      </c>
      <c r="J9950">
        <v>14</v>
      </c>
      <c r="L9950" t="s">
        <v>2709</v>
      </c>
      <c r="M9950">
        <v>90160090</v>
      </c>
      <c r="O9950" t="s">
        <v>19926</v>
      </c>
      <c r="P9950" t="s">
        <v>19903</v>
      </c>
      <c r="Q9950" t="s">
        <v>19900</v>
      </c>
      <c r="R9950" t="s">
        <v>19447</v>
      </c>
      <c r="S9950" t="s">
        <v>19447</v>
      </c>
      <c r="T9950" t="s">
        <v>19911</v>
      </c>
    </row>
    <row r="9951" spans="2:20" x14ac:dyDescent="0.25">
      <c r="B9951" t="s">
        <v>2709</v>
      </c>
      <c r="C9951">
        <v>90171010</v>
      </c>
      <c r="E9951">
        <v>177.19</v>
      </c>
      <c r="F9951">
        <v>18</v>
      </c>
      <c r="G9951">
        <v>15</v>
      </c>
      <c r="H9951" t="s">
        <v>19447</v>
      </c>
      <c r="I9951" t="s">
        <v>19447</v>
      </c>
      <c r="J9951">
        <v>0</v>
      </c>
      <c r="L9951" t="s">
        <v>2709</v>
      </c>
      <c r="M9951">
        <v>90171010</v>
      </c>
      <c r="O9951" t="s">
        <v>19926</v>
      </c>
      <c r="P9951" t="s">
        <v>19899</v>
      </c>
      <c r="Q9951" t="s">
        <v>19983</v>
      </c>
      <c r="R9951" t="s">
        <v>19447</v>
      </c>
      <c r="S9951" t="s">
        <v>19447</v>
      </c>
      <c r="T9951" t="s">
        <v>19900</v>
      </c>
    </row>
    <row r="9952" spans="2:20" x14ac:dyDescent="0.25">
      <c r="B9952" t="s">
        <v>2709</v>
      </c>
      <c r="C9952">
        <v>90171090</v>
      </c>
      <c r="E9952">
        <v>177.19</v>
      </c>
      <c r="F9952">
        <v>18</v>
      </c>
      <c r="G9952">
        <v>15</v>
      </c>
      <c r="H9952" t="s">
        <v>19447</v>
      </c>
      <c r="I9952" t="s">
        <v>19447</v>
      </c>
      <c r="J9952">
        <v>18</v>
      </c>
      <c r="L9952" t="s">
        <v>2709</v>
      </c>
      <c r="M9952">
        <v>90171090</v>
      </c>
      <c r="O9952" t="s">
        <v>19926</v>
      </c>
      <c r="P9952" t="s">
        <v>19899</v>
      </c>
      <c r="Q9952" t="s">
        <v>19983</v>
      </c>
      <c r="R9952" t="s">
        <v>19447</v>
      </c>
      <c r="S9952" t="s">
        <v>19447</v>
      </c>
      <c r="T9952" t="s">
        <v>19899</v>
      </c>
    </row>
    <row r="9953" spans="2:20" x14ac:dyDescent="0.25">
      <c r="B9953" t="s">
        <v>2709</v>
      </c>
      <c r="C9953">
        <v>90172000</v>
      </c>
      <c r="E9953">
        <v>56</v>
      </c>
      <c r="F9953">
        <v>12</v>
      </c>
      <c r="G9953">
        <v>15</v>
      </c>
      <c r="H9953" t="s">
        <v>19447</v>
      </c>
      <c r="I9953" t="s">
        <v>19447</v>
      </c>
      <c r="J9953">
        <v>18</v>
      </c>
      <c r="L9953" t="s">
        <v>2709</v>
      </c>
      <c r="M9953">
        <v>90172000</v>
      </c>
      <c r="O9953" t="s">
        <v>20065</v>
      </c>
      <c r="P9953" t="s">
        <v>19903</v>
      </c>
      <c r="Q9953" t="s">
        <v>19983</v>
      </c>
      <c r="R9953" t="s">
        <v>19447</v>
      </c>
      <c r="S9953" t="s">
        <v>19447</v>
      </c>
      <c r="T9953" t="s">
        <v>19899</v>
      </c>
    </row>
    <row r="9954" spans="2:20" x14ac:dyDescent="0.25">
      <c r="B9954" t="s">
        <v>2709</v>
      </c>
      <c r="C9954">
        <v>90173010</v>
      </c>
      <c r="E9954">
        <v>56</v>
      </c>
      <c r="F9954">
        <v>12</v>
      </c>
      <c r="G9954">
        <v>0</v>
      </c>
      <c r="H9954" t="s">
        <v>19447</v>
      </c>
      <c r="I9954" t="s">
        <v>19447</v>
      </c>
      <c r="J9954">
        <v>10</v>
      </c>
      <c r="L9954" t="s">
        <v>2709</v>
      </c>
      <c r="M9954">
        <v>90173010</v>
      </c>
      <c r="O9954" t="s">
        <v>20065</v>
      </c>
      <c r="P9954" t="s">
        <v>19903</v>
      </c>
      <c r="Q9954" t="s">
        <v>19900</v>
      </c>
      <c r="R9954" t="s">
        <v>19447</v>
      </c>
      <c r="S9954" t="s">
        <v>19447</v>
      </c>
      <c r="T9954" t="s">
        <v>19904</v>
      </c>
    </row>
    <row r="9955" spans="2:20" x14ac:dyDescent="0.25">
      <c r="B9955" t="s">
        <v>2709</v>
      </c>
      <c r="C9955">
        <v>90173020</v>
      </c>
      <c r="E9955">
        <v>56</v>
      </c>
      <c r="F9955">
        <v>12</v>
      </c>
      <c r="G9955">
        <v>0</v>
      </c>
      <c r="H9955" t="s">
        <v>19447</v>
      </c>
      <c r="I9955" t="s">
        <v>19447</v>
      </c>
      <c r="J9955">
        <v>18</v>
      </c>
      <c r="L9955" t="s">
        <v>2709</v>
      </c>
      <c r="M9955">
        <v>90173020</v>
      </c>
      <c r="O9955" t="s">
        <v>20065</v>
      </c>
      <c r="P9955" t="s">
        <v>19903</v>
      </c>
      <c r="Q9955" t="s">
        <v>19900</v>
      </c>
      <c r="R9955" t="s">
        <v>19447</v>
      </c>
      <c r="S9955" t="s">
        <v>19447</v>
      </c>
      <c r="T9955" t="s">
        <v>19899</v>
      </c>
    </row>
    <row r="9956" spans="2:20" x14ac:dyDescent="0.25">
      <c r="B9956" t="s">
        <v>2709</v>
      </c>
      <c r="C9956">
        <v>90173090</v>
      </c>
      <c r="E9956">
        <v>56</v>
      </c>
      <c r="F9956">
        <v>12</v>
      </c>
      <c r="G9956">
        <v>0</v>
      </c>
      <c r="H9956" t="s">
        <v>19447</v>
      </c>
      <c r="I9956" t="s">
        <v>19447</v>
      </c>
      <c r="J9956">
        <v>18</v>
      </c>
      <c r="L9956" t="s">
        <v>2709</v>
      </c>
      <c r="M9956">
        <v>90173090</v>
      </c>
      <c r="O9956" t="s">
        <v>20065</v>
      </c>
      <c r="P9956" t="s">
        <v>19903</v>
      </c>
      <c r="Q9956" t="s">
        <v>19900</v>
      </c>
      <c r="R9956" t="s">
        <v>19447</v>
      </c>
      <c r="S9956" t="s">
        <v>19447</v>
      </c>
      <c r="T9956" t="s">
        <v>19899</v>
      </c>
    </row>
    <row r="9957" spans="2:20" x14ac:dyDescent="0.25">
      <c r="B9957" t="s">
        <v>2709</v>
      </c>
      <c r="C9957">
        <v>90178010</v>
      </c>
      <c r="E9957">
        <v>56</v>
      </c>
      <c r="F9957">
        <v>18</v>
      </c>
      <c r="G9957">
        <v>15</v>
      </c>
      <c r="H9957" t="s">
        <v>19447</v>
      </c>
      <c r="I9957" t="s">
        <v>19447</v>
      </c>
      <c r="J9957">
        <v>18</v>
      </c>
      <c r="L9957" t="s">
        <v>2709</v>
      </c>
      <c r="M9957">
        <v>90178010</v>
      </c>
      <c r="O9957" t="s">
        <v>20065</v>
      </c>
      <c r="P9957" t="s">
        <v>19899</v>
      </c>
      <c r="Q9957" t="s">
        <v>19983</v>
      </c>
      <c r="R9957" t="s">
        <v>19447</v>
      </c>
      <c r="S9957" t="s">
        <v>19447</v>
      </c>
      <c r="T9957" t="s">
        <v>19899</v>
      </c>
    </row>
    <row r="9958" spans="2:20" x14ac:dyDescent="0.25">
      <c r="B9958" t="s">
        <v>2709</v>
      </c>
      <c r="C9958">
        <v>90178090</v>
      </c>
      <c r="E9958">
        <v>56</v>
      </c>
      <c r="F9958">
        <v>18</v>
      </c>
      <c r="G9958">
        <v>15</v>
      </c>
      <c r="H9958" t="s">
        <v>19447</v>
      </c>
      <c r="I9958" t="s">
        <v>19447</v>
      </c>
      <c r="J9958">
        <v>18</v>
      </c>
      <c r="L9958" t="s">
        <v>2709</v>
      </c>
      <c r="M9958">
        <v>90178090</v>
      </c>
      <c r="O9958" t="s">
        <v>20065</v>
      </c>
      <c r="P9958" t="s">
        <v>19899</v>
      </c>
      <c r="Q9958" t="s">
        <v>19983</v>
      </c>
      <c r="R9958" t="s">
        <v>19447</v>
      </c>
      <c r="S9958" t="s">
        <v>19447</v>
      </c>
      <c r="T9958" t="s">
        <v>19899</v>
      </c>
    </row>
    <row r="9959" spans="2:20" x14ac:dyDescent="0.25">
      <c r="B9959" t="s">
        <v>2709</v>
      </c>
      <c r="C9959">
        <v>90179010</v>
      </c>
      <c r="E9959">
        <v>56</v>
      </c>
      <c r="F9959">
        <v>18</v>
      </c>
      <c r="G9959">
        <v>15</v>
      </c>
      <c r="H9959" t="s">
        <v>19447</v>
      </c>
      <c r="I9959" t="s">
        <v>19447</v>
      </c>
      <c r="J9959">
        <v>0</v>
      </c>
      <c r="L9959" t="s">
        <v>2709</v>
      </c>
      <c r="M9959">
        <v>90179010</v>
      </c>
      <c r="O9959" t="s">
        <v>20065</v>
      </c>
      <c r="P9959" t="s">
        <v>19899</v>
      </c>
      <c r="Q9959" t="s">
        <v>19983</v>
      </c>
      <c r="R9959" t="s">
        <v>19447</v>
      </c>
      <c r="S9959" t="s">
        <v>19447</v>
      </c>
      <c r="T9959" t="s">
        <v>19900</v>
      </c>
    </row>
    <row r="9960" spans="2:20" x14ac:dyDescent="0.25">
      <c r="B9960" t="s">
        <v>2709</v>
      </c>
      <c r="C9960">
        <v>90179090</v>
      </c>
      <c r="E9960">
        <v>56</v>
      </c>
      <c r="F9960">
        <v>18</v>
      </c>
      <c r="G9960">
        <v>15</v>
      </c>
      <c r="H9960" t="s">
        <v>19447</v>
      </c>
      <c r="I9960" t="s">
        <v>19447</v>
      </c>
      <c r="J9960">
        <v>16</v>
      </c>
      <c r="L9960" t="s">
        <v>2709</v>
      </c>
      <c r="M9960">
        <v>90179090</v>
      </c>
      <c r="O9960" t="s">
        <v>20065</v>
      </c>
      <c r="P9960" t="s">
        <v>19899</v>
      </c>
      <c r="Q9960" t="s">
        <v>19983</v>
      </c>
      <c r="R9960" t="s">
        <v>19447</v>
      </c>
      <c r="S9960" t="s">
        <v>19447</v>
      </c>
      <c r="T9960" t="s">
        <v>19913</v>
      </c>
    </row>
    <row r="9961" spans="2:20" x14ac:dyDescent="0.25">
      <c r="B9961" t="s">
        <v>2709</v>
      </c>
      <c r="C9961">
        <v>90181100</v>
      </c>
      <c r="E9961">
        <v>177.19</v>
      </c>
      <c r="F9961">
        <v>18</v>
      </c>
      <c r="G9961">
        <v>2</v>
      </c>
      <c r="H9961" t="s">
        <v>19447</v>
      </c>
      <c r="I9961" t="s">
        <v>19447</v>
      </c>
      <c r="J9961">
        <v>14</v>
      </c>
      <c r="L9961" t="s">
        <v>2709</v>
      </c>
      <c r="M9961">
        <v>90181100</v>
      </c>
      <c r="O9961" t="s">
        <v>19926</v>
      </c>
      <c r="P9961" t="s">
        <v>19899</v>
      </c>
      <c r="Q9961" t="s">
        <v>19901</v>
      </c>
      <c r="R9961" t="s">
        <v>19447</v>
      </c>
      <c r="S9961" t="s">
        <v>19447</v>
      </c>
      <c r="T9961" t="s">
        <v>19911</v>
      </c>
    </row>
    <row r="9962" spans="2:20" x14ac:dyDescent="0.25">
      <c r="B9962" t="s">
        <v>2709</v>
      </c>
      <c r="C9962">
        <v>90181210</v>
      </c>
      <c r="E9962">
        <v>177.19</v>
      </c>
      <c r="F9962">
        <v>18</v>
      </c>
      <c r="G9962">
        <v>2</v>
      </c>
      <c r="H9962" t="s">
        <v>19447</v>
      </c>
      <c r="I9962" t="s">
        <v>19447</v>
      </c>
      <c r="J9962">
        <v>0</v>
      </c>
      <c r="L9962" t="s">
        <v>2709</v>
      </c>
      <c r="M9962">
        <v>90181210</v>
      </c>
      <c r="O9962" t="s">
        <v>19926</v>
      </c>
      <c r="P9962" t="s">
        <v>19899</v>
      </c>
      <c r="Q9962" t="s">
        <v>19901</v>
      </c>
      <c r="R9962" t="s">
        <v>19447</v>
      </c>
      <c r="S9962" t="s">
        <v>19447</v>
      </c>
      <c r="T9962" t="s">
        <v>19900</v>
      </c>
    </row>
    <row r="9963" spans="2:20" x14ac:dyDescent="0.25">
      <c r="B9963" t="s">
        <v>2709</v>
      </c>
      <c r="C9963">
        <v>90181290</v>
      </c>
      <c r="E9963">
        <v>177.19</v>
      </c>
      <c r="F9963">
        <v>18</v>
      </c>
      <c r="G9963">
        <v>2</v>
      </c>
      <c r="H9963" t="s">
        <v>19447</v>
      </c>
      <c r="I9963" t="s">
        <v>19447</v>
      </c>
      <c r="J9963">
        <v>14</v>
      </c>
      <c r="L9963" t="s">
        <v>2709</v>
      </c>
      <c r="M9963">
        <v>90181290</v>
      </c>
      <c r="O9963" t="s">
        <v>19926</v>
      </c>
      <c r="P9963" t="s">
        <v>19899</v>
      </c>
      <c r="Q9963" t="s">
        <v>19901</v>
      </c>
      <c r="R9963" t="s">
        <v>19447</v>
      </c>
      <c r="S9963" t="s">
        <v>19447</v>
      </c>
      <c r="T9963" t="s">
        <v>19911</v>
      </c>
    </row>
    <row r="9964" spans="2:20" x14ac:dyDescent="0.25">
      <c r="B9964" t="s">
        <v>2709</v>
      </c>
      <c r="C9964">
        <v>90181300</v>
      </c>
      <c r="E9964">
        <v>177.19</v>
      </c>
      <c r="F9964">
        <v>18</v>
      </c>
      <c r="G9964">
        <v>2</v>
      </c>
      <c r="H9964" t="s">
        <v>19447</v>
      </c>
      <c r="I9964" t="s">
        <v>19447</v>
      </c>
      <c r="J9964">
        <v>0</v>
      </c>
      <c r="L9964" t="s">
        <v>2709</v>
      </c>
      <c r="M9964">
        <v>90181300</v>
      </c>
      <c r="O9964" t="s">
        <v>19926</v>
      </c>
      <c r="P9964" t="s">
        <v>19899</v>
      </c>
      <c r="Q9964" t="s">
        <v>19901</v>
      </c>
      <c r="R9964" t="s">
        <v>19447</v>
      </c>
      <c r="S9964" t="s">
        <v>19447</v>
      </c>
      <c r="T9964" t="s">
        <v>19900</v>
      </c>
    </row>
    <row r="9965" spans="2:20" x14ac:dyDescent="0.25">
      <c r="B9965" t="s">
        <v>2709</v>
      </c>
      <c r="C9965">
        <v>90181410</v>
      </c>
      <c r="E9965">
        <v>177.19</v>
      </c>
      <c r="F9965">
        <v>18</v>
      </c>
      <c r="G9965">
        <v>2</v>
      </c>
      <c r="H9965" t="s">
        <v>19447</v>
      </c>
      <c r="I9965" t="s">
        <v>19447</v>
      </c>
      <c r="J9965">
        <v>0</v>
      </c>
      <c r="L9965" t="s">
        <v>2709</v>
      </c>
      <c r="M9965">
        <v>90181410</v>
      </c>
      <c r="O9965" t="s">
        <v>19926</v>
      </c>
      <c r="P9965" t="s">
        <v>19899</v>
      </c>
      <c r="Q9965" t="s">
        <v>19901</v>
      </c>
      <c r="R9965" t="s">
        <v>19447</v>
      </c>
      <c r="S9965" t="s">
        <v>19447</v>
      </c>
      <c r="T9965" t="s">
        <v>19900</v>
      </c>
    </row>
    <row r="9966" spans="2:20" x14ac:dyDescent="0.25">
      <c r="B9966" t="s">
        <v>2709</v>
      </c>
      <c r="C9966">
        <v>90181420</v>
      </c>
      <c r="E9966">
        <v>177.19</v>
      </c>
      <c r="F9966">
        <v>18</v>
      </c>
      <c r="G9966">
        <v>2</v>
      </c>
      <c r="H9966" t="s">
        <v>19447</v>
      </c>
      <c r="I9966" t="s">
        <v>19447</v>
      </c>
      <c r="J9966">
        <v>0</v>
      </c>
      <c r="L9966" t="s">
        <v>2709</v>
      </c>
      <c r="M9966">
        <v>90181420</v>
      </c>
      <c r="O9966" t="s">
        <v>19926</v>
      </c>
      <c r="P9966" t="s">
        <v>19899</v>
      </c>
      <c r="Q9966" t="s">
        <v>19901</v>
      </c>
      <c r="R9966" t="s">
        <v>19447</v>
      </c>
      <c r="S9966" t="s">
        <v>19447</v>
      </c>
      <c r="T9966" t="s">
        <v>19900</v>
      </c>
    </row>
    <row r="9967" spans="2:20" x14ac:dyDescent="0.25">
      <c r="B9967" t="s">
        <v>2709</v>
      </c>
      <c r="C9967">
        <v>90181490</v>
      </c>
      <c r="E9967">
        <v>177.19</v>
      </c>
      <c r="F9967">
        <v>18</v>
      </c>
      <c r="G9967">
        <v>2</v>
      </c>
      <c r="H9967" t="s">
        <v>19447</v>
      </c>
      <c r="I9967" t="s">
        <v>19447</v>
      </c>
      <c r="J9967">
        <v>14</v>
      </c>
      <c r="L9967" t="s">
        <v>2709</v>
      </c>
      <c r="M9967">
        <v>90181490</v>
      </c>
      <c r="O9967" t="s">
        <v>19926</v>
      </c>
      <c r="P9967" t="s">
        <v>19899</v>
      </c>
      <c r="Q9967" t="s">
        <v>19901</v>
      </c>
      <c r="R9967" t="s">
        <v>19447</v>
      </c>
      <c r="S9967" t="s">
        <v>19447</v>
      </c>
      <c r="T9967" t="s">
        <v>19911</v>
      </c>
    </row>
    <row r="9968" spans="2:20" x14ac:dyDescent="0.25">
      <c r="B9968" t="s">
        <v>2709</v>
      </c>
      <c r="C9968">
        <v>90181910</v>
      </c>
      <c r="E9968">
        <v>177.19</v>
      </c>
      <c r="F9968">
        <v>18</v>
      </c>
      <c r="G9968">
        <v>2</v>
      </c>
      <c r="H9968" t="s">
        <v>19447</v>
      </c>
      <c r="I9968" t="s">
        <v>19447</v>
      </c>
      <c r="J9968">
        <v>0</v>
      </c>
      <c r="L9968" t="s">
        <v>2709</v>
      </c>
      <c r="M9968">
        <v>90181910</v>
      </c>
      <c r="O9968" t="s">
        <v>19926</v>
      </c>
      <c r="P9968" t="s">
        <v>19899</v>
      </c>
      <c r="Q9968" t="s">
        <v>19901</v>
      </c>
      <c r="R9968" t="s">
        <v>19447</v>
      </c>
      <c r="S9968" t="s">
        <v>19447</v>
      </c>
      <c r="T9968" t="s">
        <v>19900</v>
      </c>
    </row>
    <row r="9969" spans="2:20" x14ac:dyDescent="0.25">
      <c r="B9969" t="s">
        <v>2709</v>
      </c>
      <c r="C9969">
        <v>90181920</v>
      </c>
      <c r="E9969">
        <v>177.19</v>
      </c>
      <c r="F9969">
        <v>18</v>
      </c>
      <c r="G9969">
        <v>2</v>
      </c>
      <c r="H9969" t="s">
        <v>19447</v>
      </c>
      <c r="I9969" t="s">
        <v>19447</v>
      </c>
      <c r="J9969">
        <v>14</v>
      </c>
      <c r="L9969" t="s">
        <v>2709</v>
      </c>
      <c r="M9969">
        <v>90181920</v>
      </c>
      <c r="O9969" t="s">
        <v>19926</v>
      </c>
      <c r="P9969" t="s">
        <v>19899</v>
      </c>
      <c r="Q9969" t="s">
        <v>19901</v>
      </c>
      <c r="R9969" t="s">
        <v>19447</v>
      </c>
      <c r="S9969" t="s">
        <v>19447</v>
      </c>
      <c r="T9969" t="s">
        <v>19911</v>
      </c>
    </row>
    <row r="9970" spans="2:20" x14ac:dyDescent="0.25">
      <c r="B9970" t="s">
        <v>2709</v>
      </c>
      <c r="C9970">
        <v>90181980</v>
      </c>
      <c r="E9970">
        <v>177.19</v>
      </c>
      <c r="F9970">
        <v>18</v>
      </c>
      <c r="G9970">
        <v>2</v>
      </c>
      <c r="H9970" t="s">
        <v>19447</v>
      </c>
      <c r="I9970" t="s">
        <v>19447</v>
      </c>
      <c r="J9970">
        <v>14</v>
      </c>
      <c r="L9970" t="s">
        <v>2709</v>
      </c>
      <c r="M9970">
        <v>90181980</v>
      </c>
      <c r="O9970" t="s">
        <v>19926</v>
      </c>
      <c r="P9970" t="s">
        <v>19899</v>
      </c>
      <c r="Q9970" t="s">
        <v>19901</v>
      </c>
      <c r="R9970" t="s">
        <v>19447</v>
      </c>
      <c r="S9970" t="s">
        <v>19447</v>
      </c>
      <c r="T9970" t="s">
        <v>19911</v>
      </c>
    </row>
    <row r="9971" spans="2:20" x14ac:dyDescent="0.25">
      <c r="B9971" t="s">
        <v>2709</v>
      </c>
      <c r="C9971">
        <v>90181990</v>
      </c>
      <c r="E9971">
        <v>177.19</v>
      </c>
      <c r="F9971">
        <v>18</v>
      </c>
      <c r="G9971">
        <v>2</v>
      </c>
      <c r="H9971" t="s">
        <v>19447</v>
      </c>
      <c r="I9971" t="s">
        <v>19447</v>
      </c>
      <c r="J9971">
        <v>14</v>
      </c>
      <c r="L9971" t="s">
        <v>2709</v>
      </c>
      <c r="M9971">
        <v>90181990</v>
      </c>
      <c r="O9971" t="s">
        <v>19926</v>
      </c>
      <c r="P9971" t="s">
        <v>19899</v>
      </c>
      <c r="Q9971" t="s">
        <v>19901</v>
      </c>
      <c r="R9971" t="s">
        <v>19447</v>
      </c>
      <c r="S9971" t="s">
        <v>19447</v>
      </c>
      <c r="T9971" t="s">
        <v>19911</v>
      </c>
    </row>
    <row r="9972" spans="2:20" x14ac:dyDescent="0.25">
      <c r="B9972" t="s">
        <v>2709</v>
      </c>
      <c r="C9972">
        <v>90182010</v>
      </c>
      <c r="E9972">
        <v>177.19</v>
      </c>
      <c r="F9972">
        <v>18</v>
      </c>
      <c r="G9972">
        <v>8</v>
      </c>
      <c r="H9972" t="s">
        <v>19447</v>
      </c>
      <c r="I9972" t="s">
        <v>19447</v>
      </c>
      <c r="J9972">
        <v>0</v>
      </c>
      <c r="L9972" t="s">
        <v>2709</v>
      </c>
      <c r="M9972">
        <v>90182010</v>
      </c>
      <c r="O9972" t="s">
        <v>19926</v>
      </c>
      <c r="P9972" t="s">
        <v>19899</v>
      </c>
      <c r="Q9972" t="s">
        <v>19918</v>
      </c>
      <c r="R9972" t="s">
        <v>19447</v>
      </c>
      <c r="S9972" t="s">
        <v>19447</v>
      </c>
      <c r="T9972" t="s">
        <v>19900</v>
      </c>
    </row>
    <row r="9973" spans="2:20" x14ac:dyDescent="0.25">
      <c r="B9973" t="s">
        <v>2709</v>
      </c>
      <c r="C9973">
        <v>90182020</v>
      </c>
      <c r="E9973">
        <v>177.19</v>
      </c>
      <c r="F9973">
        <v>18</v>
      </c>
      <c r="G9973">
        <v>8</v>
      </c>
      <c r="H9973" t="s">
        <v>19447</v>
      </c>
      <c r="I9973" t="s">
        <v>19447</v>
      </c>
      <c r="J9973">
        <v>0</v>
      </c>
      <c r="L9973" t="s">
        <v>2709</v>
      </c>
      <c r="M9973">
        <v>90182020</v>
      </c>
      <c r="O9973" t="s">
        <v>19926</v>
      </c>
      <c r="P9973" t="s">
        <v>19899</v>
      </c>
      <c r="Q9973" t="s">
        <v>19918</v>
      </c>
      <c r="R9973" t="s">
        <v>19447</v>
      </c>
      <c r="S9973" t="s">
        <v>19447</v>
      </c>
      <c r="T9973" t="s">
        <v>19900</v>
      </c>
    </row>
    <row r="9974" spans="2:20" x14ac:dyDescent="0.25">
      <c r="B9974" t="s">
        <v>2709</v>
      </c>
      <c r="C9974">
        <v>90182090</v>
      </c>
      <c r="E9974">
        <v>177.19</v>
      </c>
      <c r="F9974">
        <v>18</v>
      </c>
      <c r="G9974">
        <v>8</v>
      </c>
      <c r="H9974" t="s">
        <v>19447</v>
      </c>
      <c r="I9974" t="s">
        <v>19447</v>
      </c>
      <c r="J9974">
        <v>14</v>
      </c>
      <c r="L9974" t="s">
        <v>2709</v>
      </c>
      <c r="M9974">
        <v>90182090</v>
      </c>
      <c r="O9974" t="s">
        <v>19926</v>
      </c>
      <c r="P9974" t="s">
        <v>19899</v>
      </c>
      <c r="Q9974" t="s">
        <v>19918</v>
      </c>
      <c r="R9974" t="s">
        <v>19447</v>
      </c>
      <c r="S9974" t="s">
        <v>19447</v>
      </c>
      <c r="T9974" t="s">
        <v>19911</v>
      </c>
    </row>
    <row r="9975" spans="2:20" x14ac:dyDescent="0.25">
      <c r="B9975" t="s">
        <v>2709</v>
      </c>
      <c r="C9975">
        <v>90183111</v>
      </c>
      <c r="E9975">
        <v>68.540000000000006</v>
      </c>
      <c r="F9975">
        <v>18</v>
      </c>
      <c r="G9975">
        <v>0</v>
      </c>
      <c r="H9975" t="s">
        <v>19447</v>
      </c>
      <c r="I9975" t="s">
        <v>19447</v>
      </c>
      <c r="J9975">
        <v>16</v>
      </c>
      <c r="L9975" t="s">
        <v>2709</v>
      </c>
      <c r="M9975">
        <v>90183111</v>
      </c>
      <c r="O9975" t="s">
        <v>20080</v>
      </c>
      <c r="P9975" t="s">
        <v>19899</v>
      </c>
      <c r="Q9975" t="s">
        <v>19900</v>
      </c>
      <c r="R9975" t="s">
        <v>19447</v>
      </c>
      <c r="S9975" t="s">
        <v>19447</v>
      </c>
      <c r="T9975" t="s">
        <v>19913</v>
      </c>
    </row>
    <row r="9976" spans="2:20" x14ac:dyDescent="0.25">
      <c r="B9976" t="s">
        <v>2709</v>
      </c>
      <c r="C9976">
        <v>90183119</v>
      </c>
      <c r="E9976">
        <v>68.540000000000006</v>
      </c>
      <c r="F9976">
        <v>12</v>
      </c>
      <c r="G9976">
        <v>0</v>
      </c>
      <c r="H9976" t="s">
        <v>19447</v>
      </c>
      <c r="I9976" t="s">
        <v>19447</v>
      </c>
      <c r="J9976">
        <v>16</v>
      </c>
      <c r="L9976" t="s">
        <v>2709</v>
      </c>
      <c r="M9976">
        <v>90183119</v>
      </c>
      <c r="O9976" t="s">
        <v>20080</v>
      </c>
      <c r="P9976" t="s">
        <v>19903</v>
      </c>
      <c r="Q9976" t="s">
        <v>19900</v>
      </c>
      <c r="R9976" t="s">
        <v>19447</v>
      </c>
      <c r="S9976" t="s">
        <v>19447</v>
      </c>
      <c r="T9976" t="s">
        <v>19913</v>
      </c>
    </row>
    <row r="9977" spans="2:20" x14ac:dyDescent="0.25">
      <c r="B9977" t="s">
        <v>2709</v>
      </c>
      <c r="C9977">
        <v>90183190</v>
      </c>
      <c r="E9977">
        <v>68.540000000000006</v>
      </c>
      <c r="F9977">
        <v>18</v>
      </c>
      <c r="G9977">
        <v>0</v>
      </c>
      <c r="H9977" t="s">
        <v>19447</v>
      </c>
      <c r="I9977" t="s">
        <v>19447</v>
      </c>
      <c r="J9977">
        <v>16</v>
      </c>
      <c r="L9977" t="s">
        <v>2709</v>
      </c>
      <c r="M9977">
        <v>90183190</v>
      </c>
      <c r="O9977" t="s">
        <v>20080</v>
      </c>
      <c r="P9977" t="s">
        <v>19899</v>
      </c>
      <c r="Q9977" t="s">
        <v>19900</v>
      </c>
      <c r="R9977" t="s">
        <v>19447</v>
      </c>
      <c r="S9977" t="s">
        <v>19447</v>
      </c>
      <c r="T9977" t="s">
        <v>19913</v>
      </c>
    </row>
    <row r="9978" spans="2:20" x14ac:dyDescent="0.25">
      <c r="B9978" t="s">
        <v>2709</v>
      </c>
      <c r="C9978">
        <v>90183211</v>
      </c>
      <c r="E9978">
        <v>68.540000000000006</v>
      </c>
      <c r="F9978">
        <v>18</v>
      </c>
      <c r="G9978">
        <v>8</v>
      </c>
      <c r="H9978" t="s">
        <v>19447</v>
      </c>
      <c r="I9978" t="s">
        <v>19447</v>
      </c>
      <c r="J9978">
        <v>16</v>
      </c>
      <c r="L9978" t="s">
        <v>2709</v>
      </c>
      <c r="M9978">
        <v>90183211</v>
      </c>
      <c r="O9978" t="s">
        <v>20080</v>
      </c>
      <c r="P9978" t="s">
        <v>19899</v>
      </c>
      <c r="Q9978" t="s">
        <v>19918</v>
      </c>
      <c r="R9978" t="s">
        <v>19447</v>
      </c>
      <c r="S9978" t="s">
        <v>19447</v>
      </c>
      <c r="T9978" t="s">
        <v>19913</v>
      </c>
    </row>
    <row r="9979" spans="2:20" x14ac:dyDescent="0.25">
      <c r="B9979" t="s">
        <v>2709</v>
      </c>
      <c r="C9979">
        <v>90183212</v>
      </c>
      <c r="E9979">
        <v>68.540000000000006</v>
      </c>
      <c r="F9979">
        <v>18</v>
      </c>
      <c r="G9979">
        <v>8</v>
      </c>
      <c r="H9979" t="s">
        <v>19447</v>
      </c>
      <c r="I9979" t="s">
        <v>19447</v>
      </c>
      <c r="J9979">
        <v>2</v>
      </c>
      <c r="L9979" t="s">
        <v>2709</v>
      </c>
      <c r="M9979">
        <v>90183212</v>
      </c>
      <c r="O9979" t="s">
        <v>20080</v>
      </c>
      <c r="P9979" t="s">
        <v>19899</v>
      </c>
      <c r="Q9979" t="s">
        <v>19918</v>
      </c>
      <c r="R9979" t="s">
        <v>19447</v>
      </c>
      <c r="S9979" t="s">
        <v>19447</v>
      </c>
      <c r="T9979" t="s">
        <v>19901</v>
      </c>
    </row>
    <row r="9980" spans="2:20" x14ac:dyDescent="0.25">
      <c r="B9980" t="s">
        <v>2709</v>
      </c>
      <c r="C9980">
        <v>90183219</v>
      </c>
      <c r="E9980">
        <v>68.540000000000006</v>
      </c>
      <c r="F9980">
        <v>12</v>
      </c>
      <c r="G9980">
        <v>8</v>
      </c>
      <c r="H9980" t="s">
        <v>19447</v>
      </c>
      <c r="I9980" t="s">
        <v>19447</v>
      </c>
      <c r="J9980">
        <v>16</v>
      </c>
      <c r="L9980" t="s">
        <v>2709</v>
      </c>
      <c r="M9980">
        <v>90183219</v>
      </c>
      <c r="O9980" t="s">
        <v>20080</v>
      </c>
      <c r="P9980" t="s">
        <v>19903</v>
      </c>
      <c r="Q9980" t="s">
        <v>19918</v>
      </c>
      <c r="R9980" t="s">
        <v>19447</v>
      </c>
      <c r="S9980" t="s">
        <v>19447</v>
      </c>
      <c r="T9980" t="s">
        <v>19913</v>
      </c>
    </row>
    <row r="9981" spans="2:20" x14ac:dyDescent="0.25">
      <c r="B9981" t="s">
        <v>2709</v>
      </c>
      <c r="C9981">
        <v>90183220</v>
      </c>
      <c r="E9981">
        <v>177.19</v>
      </c>
      <c r="F9981">
        <v>18</v>
      </c>
      <c r="G9981">
        <v>8</v>
      </c>
      <c r="H9981" t="s">
        <v>19447</v>
      </c>
      <c r="I9981" t="s">
        <v>19447</v>
      </c>
      <c r="J9981">
        <v>2</v>
      </c>
      <c r="L9981" t="s">
        <v>2709</v>
      </c>
      <c r="M9981">
        <v>90183220</v>
      </c>
      <c r="O9981" t="s">
        <v>19926</v>
      </c>
      <c r="P9981" t="s">
        <v>19899</v>
      </c>
      <c r="Q9981" t="s">
        <v>19918</v>
      </c>
      <c r="R9981" t="s">
        <v>19447</v>
      </c>
      <c r="S9981" t="s">
        <v>19447</v>
      </c>
      <c r="T9981" t="s">
        <v>19901</v>
      </c>
    </row>
    <row r="9982" spans="2:20" x14ac:dyDescent="0.25">
      <c r="B9982" t="s">
        <v>2709</v>
      </c>
      <c r="C9982">
        <v>90183910</v>
      </c>
      <c r="E9982">
        <v>177.19</v>
      </c>
      <c r="F9982">
        <v>18</v>
      </c>
      <c r="G9982">
        <v>8</v>
      </c>
      <c r="H9982" t="s">
        <v>19447</v>
      </c>
      <c r="I9982" t="s">
        <v>19447</v>
      </c>
      <c r="J9982">
        <v>16</v>
      </c>
      <c r="L9982" t="s">
        <v>2709</v>
      </c>
      <c r="M9982">
        <v>90183910</v>
      </c>
      <c r="O9982" t="s">
        <v>19926</v>
      </c>
      <c r="P9982" t="s">
        <v>19899</v>
      </c>
      <c r="Q9982" t="s">
        <v>19918</v>
      </c>
      <c r="R9982" t="s">
        <v>19447</v>
      </c>
      <c r="S9982" t="s">
        <v>19447</v>
      </c>
      <c r="T9982" t="s">
        <v>19913</v>
      </c>
    </row>
    <row r="9983" spans="2:20" x14ac:dyDescent="0.25">
      <c r="B9983" t="s">
        <v>2709</v>
      </c>
      <c r="C9983">
        <v>90183921</v>
      </c>
      <c r="E9983">
        <v>177.19</v>
      </c>
      <c r="F9983">
        <v>0</v>
      </c>
      <c r="G9983">
        <v>0</v>
      </c>
      <c r="H9983" t="s">
        <v>19447</v>
      </c>
      <c r="I9983" t="s">
        <v>19447</v>
      </c>
      <c r="J9983">
        <v>0</v>
      </c>
      <c r="L9983" t="s">
        <v>2709</v>
      </c>
      <c r="M9983">
        <v>90183921</v>
      </c>
      <c r="O9983" t="s">
        <v>19926</v>
      </c>
      <c r="P9983" t="s">
        <v>19900</v>
      </c>
      <c r="Q9983" t="s">
        <v>19900</v>
      </c>
      <c r="R9983" t="s">
        <v>19447</v>
      </c>
      <c r="S9983" t="s">
        <v>19447</v>
      </c>
      <c r="T9983" t="s">
        <v>19900</v>
      </c>
    </row>
    <row r="9984" spans="2:20" x14ac:dyDescent="0.25">
      <c r="B9984" t="s">
        <v>2709</v>
      </c>
      <c r="C9984">
        <v>90183922</v>
      </c>
      <c r="E9984">
        <v>177.19</v>
      </c>
      <c r="F9984">
        <v>0</v>
      </c>
      <c r="G9984">
        <v>0</v>
      </c>
      <c r="H9984" t="s">
        <v>19447</v>
      </c>
      <c r="I9984" t="s">
        <v>19447</v>
      </c>
      <c r="J9984">
        <v>2</v>
      </c>
      <c r="L9984" t="s">
        <v>2709</v>
      </c>
      <c r="M9984">
        <v>90183922</v>
      </c>
      <c r="O9984" t="s">
        <v>19926</v>
      </c>
      <c r="P9984" t="s">
        <v>19900</v>
      </c>
      <c r="Q9984" t="s">
        <v>19900</v>
      </c>
      <c r="R9984" t="s">
        <v>19447</v>
      </c>
      <c r="S9984" t="s">
        <v>19447</v>
      </c>
      <c r="T9984" t="s">
        <v>19901</v>
      </c>
    </row>
    <row r="9985" spans="2:20" x14ac:dyDescent="0.25">
      <c r="B9985" t="s">
        <v>2709</v>
      </c>
      <c r="C9985">
        <v>90183923</v>
      </c>
      <c r="E9985">
        <v>177.19</v>
      </c>
      <c r="F9985">
        <v>18</v>
      </c>
      <c r="G9985">
        <v>8</v>
      </c>
      <c r="H9985" t="s">
        <v>19447</v>
      </c>
      <c r="I9985" t="s">
        <v>19447</v>
      </c>
      <c r="J9985">
        <v>2</v>
      </c>
      <c r="L9985" t="s">
        <v>2709</v>
      </c>
      <c r="M9985">
        <v>90183923</v>
      </c>
      <c r="O9985" t="s">
        <v>19926</v>
      </c>
      <c r="P9985" t="s">
        <v>19899</v>
      </c>
      <c r="Q9985" t="s">
        <v>19918</v>
      </c>
      <c r="R9985" t="s">
        <v>19447</v>
      </c>
      <c r="S9985" t="s">
        <v>19447</v>
      </c>
      <c r="T9985" t="s">
        <v>19901</v>
      </c>
    </row>
    <row r="9986" spans="2:20" x14ac:dyDescent="0.25">
      <c r="B9986" t="s">
        <v>2709</v>
      </c>
      <c r="C9986">
        <v>90183924</v>
      </c>
      <c r="E9986">
        <v>177.19</v>
      </c>
      <c r="F9986">
        <v>18</v>
      </c>
      <c r="G9986">
        <v>0</v>
      </c>
      <c r="H9986" t="s">
        <v>19447</v>
      </c>
      <c r="I9986" t="s">
        <v>19447</v>
      </c>
      <c r="J9986">
        <v>16</v>
      </c>
      <c r="L9986" t="s">
        <v>2709</v>
      </c>
      <c r="M9986">
        <v>90183924</v>
      </c>
      <c r="O9986" t="s">
        <v>19926</v>
      </c>
      <c r="P9986" t="s">
        <v>19899</v>
      </c>
      <c r="Q9986" t="s">
        <v>19900</v>
      </c>
      <c r="R9986" t="s">
        <v>19447</v>
      </c>
      <c r="S9986" t="s">
        <v>19447</v>
      </c>
      <c r="T9986" t="s">
        <v>19913</v>
      </c>
    </row>
    <row r="9987" spans="2:20" x14ac:dyDescent="0.25">
      <c r="B9987" t="s">
        <v>2709</v>
      </c>
      <c r="C9987">
        <v>90183929</v>
      </c>
      <c r="E9987">
        <v>177.19</v>
      </c>
      <c r="F9987">
        <v>0</v>
      </c>
      <c r="G9987">
        <v>0</v>
      </c>
      <c r="H9987" t="s">
        <v>19447</v>
      </c>
      <c r="I9987" t="s">
        <v>19447</v>
      </c>
      <c r="J9987">
        <v>16</v>
      </c>
      <c r="L9987" t="s">
        <v>2709</v>
      </c>
      <c r="M9987">
        <v>90183929</v>
      </c>
      <c r="O9987" t="s">
        <v>19926</v>
      </c>
      <c r="P9987" t="s">
        <v>19900</v>
      </c>
      <c r="Q9987" t="s">
        <v>19900</v>
      </c>
      <c r="R9987" t="s">
        <v>19447</v>
      </c>
      <c r="S9987" t="s">
        <v>19447</v>
      </c>
      <c r="T9987" t="s">
        <v>19913</v>
      </c>
    </row>
    <row r="9988" spans="2:20" x14ac:dyDescent="0.25">
      <c r="B9988" t="s">
        <v>2709</v>
      </c>
      <c r="C9988">
        <v>90183930</v>
      </c>
      <c r="E9988">
        <v>177.19</v>
      </c>
      <c r="F9988">
        <v>18</v>
      </c>
      <c r="G9988">
        <v>8</v>
      </c>
      <c r="H9988" t="s">
        <v>19447</v>
      </c>
      <c r="I9988" t="s">
        <v>19447</v>
      </c>
      <c r="J9988">
        <v>16</v>
      </c>
      <c r="L9988" t="s">
        <v>2709</v>
      </c>
      <c r="M9988">
        <v>90183930</v>
      </c>
      <c r="O9988" t="s">
        <v>19926</v>
      </c>
      <c r="P9988" t="s">
        <v>19899</v>
      </c>
      <c r="Q9988" t="s">
        <v>19918</v>
      </c>
      <c r="R9988" t="s">
        <v>19447</v>
      </c>
      <c r="S9988" t="s">
        <v>19447</v>
      </c>
      <c r="T9988" t="s">
        <v>19913</v>
      </c>
    </row>
    <row r="9989" spans="2:20" x14ac:dyDescent="0.25">
      <c r="B9989" t="s">
        <v>2709</v>
      </c>
      <c r="C9989">
        <v>90183991</v>
      </c>
      <c r="E9989">
        <v>177.19</v>
      </c>
      <c r="F9989">
        <v>18</v>
      </c>
      <c r="G9989">
        <v>0</v>
      </c>
      <c r="H9989" t="s">
        <v>19447</v>
      </c>
      <c r="I9989" t="s">
        <v>19447</v>
      </c>
      <c r="J9989">
        <v>16</v>
      </c>
      <c r="L9989" t="s">
        <v>2709</v>
      </c>
      <c r="M9989">
        <v>90183991</v>
      </c>
      <c r="O9989" t="s">
        <v>19926</v>
      </c>
      <c r="P9989" t="s">
        <v>19899</v>
      </c>
      <c r="Q9989" t="s">
        <v>19900</v>
      </c>
      <c r="R9989" t="s">
        <v>19447</v>
      </c>
      <c r="S9989" t="s">
        <v>19447</v>
      </c>
      <c r="T9989" t="s">
        <v>19913</v>
      </c>
    </row>
    <row r="9990" spans="2:20" x14ac:dyDescent="0.25">
      <c r="B9990" t="s">
        <v>2709</v>
      </c>
      <c r="C9990">
        <v>90183999</v>
      </c>
      <c r="E9990">
        <v>177.19</v>
      </c>
      <c r="F9990">
        <v>18</v>
      </c>
      <c r="G9990">
        <v>8</v>
      </c>
      <c r="H9990" t="s">
        <v>19447</v>
      </c>
      <c r="I9990" t="s">
        <v>19447</v>
      </c>
      <c r="J9990">
        <v>16</v>
      </c>
      <c r="L9990" t="s">
        <v>2709</v>
      </c>
      <c r="M9990">
        <v>90183999</v>
      </c>
      <c r="O9990" t="s">
        <v>19926</v>
      </c>
      <c r="P9990" t="s">
        <v>19899</v>
      </c>
      <c r="Q9990" t="s">
        <v>19918</v>
      </c>
      <c r="R9990" t="s">
        <v>19447</v>
      </c>
      <c r="S9990" t="s">
        <v>19447</v>
      </c>
      <c r="T9990" t="s">
        <v>19913</v>
      </c>
    </row>
    <row r="9991" spans="2:20" x14ac:dyDescent="0.25">
      <c r="B9991" t="s">
        <v>2709</v>
      </c>
      <c r="C9991">
        <v>90183999</v>
      </c>
      <c r="D9991">
        <v>1</v>
      </c>
      <c r="E9991" t="s">
        <v>19447</v>
      </c>
      <c r="F9991">
        <v>18</v>
      </c>
      <c r="G9991">
        <v>0</v>
      </c>
      <c r="H9991">
        <v>7.6</v>
      </c>
      <c r="I9991">
        <v>1.65</v>
      </c>
      <c r="J9991">
        <v>16</v>
      </c>
      <c r="L9991" t="s">
        <v>2709</v>
      </c>
      <c r="M9991">
        <v>90183999</v>
      </c>
      <c r="N9991">
        <v>1</v>
      </c>
      <c r="O9991" t="s">
        <v>19447</v>
      </c>
      <c r="P9991" t="s">
        <v>19899</v>
      </c>
      <c r="Q9991" t="s">
        <v>19900</v>
      </c>
      <c r="R9991" t="s">
        <v>19905</v>
      </c>
      <c r="S9991" t="s">
        <v>19906</v>
      </c>
      <c r="T9991" t="s">
        <v>19913</v>
      </c>
    </row>
    <row r="9992" spans="2:20" x14ac:dyDescent="0.25">
      <c r="B9992" t="s">
        <v>2709</v>
      </c>
      <c r="C9992">
        <v>90184100</v>
      </c>
      <c r="E9992">
        <v>177.19</v>
      </c>
      <c r="F9992">
        <v>18</v>
      </c>
      <c r="G9992">
        <v>8</v>
      </c>
      <c r="H9992" t="s">
        <v>19447</v>
      </c>
      <c r="I9992" t="s">
        <v>19447</v>
      </c>
      <c r="J9992">
        <v>14</v>
      </c>
      <c r="L9992" t="s">
        <v>2709</v>
      </c>
      <c r="M9992">
        <v>90184100</v>
      </c>
      <c r="O9992" t="s">
        <v>19926</v>
      </c>
      <c r="P9992" t="s">
        <v>19899</v>
      </c>
      <c r="Q9992" t="s">
        <v>19918</v>
      </c>
      <c r="R9992" t="s">
        <v>19447</v>
      </c>
      <c r="S9992" t="s">
        <v>19447</v>
      </c>
      <c r="T9992" t="s">
        <v>19911</v>
      </c>
    </row>
    <row r="9993" spans="2:20" x14ac:dyDescent="0.25">
      <c r="B9993" t="s">
        <v>2709</v>
      </c>
      <c r="C9993">
        <v>90184911</v>
      </c>
      <c r="E9993">
        <v>177.19</v>
      </c>
      <c r="F9993">
        <v>18</v>
      </c>
      <c r="G9993">
        <v>8</v>
      </c>
      <c r="H9993" t="s">
        <v>19447</v>
      </c>
      <c r="I9993" t="s">
        <v>19447</v>
      </c>
      <c r="J9993">
        <v>16</v>
      </c>
      <c r="L9993" t="s">
        <v>2709</v>
      </c>
      <c r="M9993">
        <v>90184911</v>
      </c>
      <c r="O9993" t="s">
        <v>19926</v>
      </c>
      <c r="P9993" t="s">
        <v>19899</v>
      </c>
      <c r="Q9993" t="s">
        <v>19918</v>
      </c>
      <c r="R9993" t="s">
        <v>19447</v>
      </c>
      <c r="S9993" t="s">
        <v>19447</v>
      </c>
      <c r="T9993" t="s">
        <v>19913</v>
      </c>
    </row>
    <row r="9994" spans="2:20" x14ac:dyDescent="0.25">
      <c r="B9994" t="s">
        <v>2709</v>
      </c>
      <c r="C9994">
        <v>90184912</v>
      </c>
      <c r="E9994">
        <v>177.19</v>
      </c>
      <c r="F9994">
        <v>18</v>
      </c>
      <c r="G9994">
        <v>8</v>
      </c>
      <c r="H9994" t="s">
        <v>19447</v>
      </c>
      <c r="I9994" t="s">
        <v>19447</v>
      </c>
      <c r="J9994">
        <v>16</v>
      </c>
      <c r="L9994" t="s">
        <v>2709</v>
      </c>
      <c r="M9994">
        <v>90184912</v>
      </c>
      <c r="O9994" t="s">
        <v>19926</v>
      </c>
      <c r="P9994" t="s">
        <v>19899</v>
      </c>
      <c r="Q9994" t="s">
        <v>19918</v>
      </c>
      <c r="R9994" t="s">
        <v>19447</v>
      </c>
      <c r="S9994" t="s">
        <v>19447</v>
      </c>
      <c r="T9994" t="s">
        <v>19913</v>
      </c>
    </row>
    <row r="9995" spans="2:20" x14ac:dyDescent="0.25">
      <c r="B9995" t="s">
        <v>2709</v>
      </c>
      <c r="C9995">
        <v>90184919</v>
      </c>
      <c r="E9995">
        <v>177.19</v>
      </c>
      <c r="F9995">
        <v>18</v>
      </c>
      <c r="G9995">
        <v>8</v>
      </c>
      <c r="H9995" t="s">
        <v>19447</v>
      </c>
      <c r="I9995" t="s">
        <v>19447</v>
      </c>
      <c r="J9995">
        <v>16</v>
      </c>
      <c r="L9995" t="s">
        <v>2709</v>
      </c>
      <c r="M9995">
        <v>90184919</v>
      </c>
      <c r="O9995" t="s">
        <v>19926</v>
      </c>
      <c r="P9995" t="s">
        <v>19899</v>
      </c>
      <c r="Q9995" t="s">
        <v>19918</v>
      </c>
      <c r="R9995" t="s">
        <v>19447</v>
      </c>
      <c r="S9995" t="s">
        <v>19447</v>
      </c>
      <c r="T9995" t="s">
        <v>19913</v>
      </c>
    </row>
    <row r="9996" spans="2:20" x14ac:dyDescent="0.25">
      <c r="B9996" t="s">
        <v>2709</v>
      </c>
      <c r="C9996">
        <v>90184920</v>
      </c>
      <c r="E9996">
        <v>177.19</v>
      </c>
      <c r="F9996">
        <v>18</v>
      </c>
      <c r="G9996">
        <v>8</v>
      </c>
      <c r="H9996" t="s">
        <v>19447</v>
      </c>
      <c r="I9996" t="s">
        <v>19447</v>
      </c>
      <c r="J9996">
        <v>16</v>
      </c>
      <c r="L9996" t="s">
        <v>2709</v>
      </c>
      <c r="M9996">
        <v>90184920</v>
      </c>
      <c r="O9996" t="s">
        <v>19926</v>
      </c>
      <c r="P9996" t="s">
        <v>19899</v>
      </c>
      <c r="Q9996" t="s">
        <v>19918</v>
      </c>
      <c r="R9996" t="s">
        <v>19447</v>
      </c>
      <c r="S9996" t="s">
        <v>19447</v>
      </c>
      <c r="T9996" t="s">
        <v>19913</v>
      </c>
    </row>
    <row r="9997" spans="2:20" x14ac:dyDescent="0.25">
      <c r="B9997" t="s">
        <v>2709</v>
      </c>
      <c r="C9997">
        <v>90184940</v>
      </c>
      <c r="E9997">
        <v>177.19</v>
      </c>
      <c r="F9997">
        <v>18</v>
      </c>
      <c r="G9997">
        <v>8</v>
      </c>
      <c r="H9997" t="s">
        <v>19447</v>
      </c>
      <c r="I9997" t="s">
        <v>19447</v>
      </c>
      <c r="J9997">
        <v>0</v>
      </c>
      <c r="L9997" t="s">
        <v>2709</v>
      </c>
      <c r="M9997">
        <v>90184940</v>
      </c>
      <c r="O9997" t="s">
        <v>19926</v>
      </c>
      <c r="P9997" t="s">
        <v>19899</v>
      </c>
      <c r="Q9997" t="s">
        <v>19918</v>
      </c>
      <c r="R9997" t="s">
        <v>19447</v>
      </c>
      <c r="S9997" t="s">
        <v>19447</v>
      </c>
      <c r="T9997" t="s">
        <v>19900</v>
      </c>
    </row>
    <row r="9998" spans="2:20" x14ac:dyDescent="0.25">
      <c r="B9998" t="s">
        <v>2709</v>
      </c>
      <c r="C9998">
        <v>90184991</v>
      </c>
      <c r="E9998">
        <v>177.19</v>
      </c>
      <c r="F9998">
        <v>18</v>
      </c>
      <c r="G9998">
        <v>8</v>
      </c>
      <c r="H9998" t="s">
        <v>19447</v>
      </c>
      <c r="I9998" t="s">
        <v>19447</v>
      </c>
      <c r="J9998">
        <v>0</v>
      </c>
      <c r="L9998" t="s">
        <v>2709</v>
      </c>
      <c r="M9998">
        <v>90184991</v>
      </c>
      <c r="O9998" t="s">
        <v>19926</v>
      </c>
      <c r="P9998" t="s">
        <v>19899</v>
      </c>
      <c r="Q9998" t="s">
        <v>19918</v>
      </c>
      <c r="R9998" t="s">
        <v>19447</v>
      </c>
      <c r="S9998" t="s">
        <v>19447</v>
      </c>
      <c r="T9998" t="s">
        <v>19900</v>
      </c>
    </row>
    <row r="9999" spans="2:20" x14ac:dyDescent="0.25">
      <c r="B9999" t="s">
        <v>2709</v>
      </c>
      <c r="C9999">
        <v>90184999</v>
      </c>
      <c r="E9999">
        <v>177.19</v>
      </c>
      <c r="F9999">
        <v>18</v>
      </c>
      <c r="G9999">
        <v>8</v>
      </c>
      <c r="H9999" t="s">
        <v>19447</v>
      </c>
      <c r="I9999" t="s">
        <v>19447</v>
      </c>
      <c r="J9999">
        <v>16</v>
      </c>
      <c r="L9999" t="s">
        <v>2709</v>
      </c>
      <c r="M9999">
        <v>90184999</v>
      </c>
      <c r="O9999" t="s">
        <v>19926</v>
      </c>
      <c r="P9999" t="s">
        <v>19899</v>
      </c>
      <c r="Q9999" t="s">
        <v>19918</v>
      </c>
      <c r="R9999" t="s">
        <v>19447</v>
      </c>
      <c r="S9999" t="s">
        <v>19447</v>
      </c>
      <c r="T9999" t="s">
        <v>19913</v>
      </c>
    </row>
    <row r="10000" spans="2:20" x14ac:dyDescent="0.25">
      <c r="B10000" t="s">
        <v>2709</v>
      </c>
      <c r="C10000">
        <v>90184999</v>
      </c>
      <c r="D10000">
        <v>1</v>
      </c>
      <c r="E10000" t="s">
        <v>19447</v>
      </c>
      <c r="F10000">
        <v>18</v>
      </c>
      <c r="G10000">
        <v>4</v>
      </c>
      <c r="H10000">
        <v>7.6</v>
      </c>
      <c r="I10000">
        <v>1.65</v>
      </c>
      <c r="J10000">
        <v>16</v>
      </c>
      <c r="L10000" t="s">
        <v>2709</v>
      </c>
      <c r="M10000">
        <v>90184999</v>
      </c>
      <c r="N10000">
        <v>1</v>
      </c>
      <c r="O10000" t="s">
        <v>19447</v>
      </c>
      <c r="P10000" t="s">
        <v>19899</v>
      </c>
      <c r="Q10000" t="s">
        <v>19902</v>
      </c>
      <c r="R10000" t="s">
        <v>19905</v>
      </c>
      <c r="S10000" t="s">
        <v>19906</v>
      </c>
      <c r="T10000" t="s">
        <v>19913</v>
      </c>
    </row>
    <row r="10001" spans="2:20" x14ac:dyDescent="0.25">
      <c r="B10001" t="s">
        <v>2709</v>
      </c>
      <c r="C10001">
        <v>90185010</v>
      </c>
      <c r="E10001">
        <v>177.19</v>
      </c>
      <c r="F10001">
        <v>18</v>
      </c>
      <c r="G10001">
        <v>8</v>
      </c>
      <c r="H10001" t="s">
        <v>19447</v>
      </c>
      <c r="I10001" t="s">
        <v>19447</v>
      </c>
      <c r="J10001">
        <v>0</v>
      </c>
      <c r="L10001" t="s">
        <v>2709</v>
      </c>
      <c r="M10001">
        <v>90185010</v>
      </c>
      <c r="O10001" t="s">
        <v>19926</v>
      </c>
      <c r="P10001" t="s">
        <v>19899</v>
      </c>
      <c r="Q10001" t="s">
        <v>19918</v>
      </c>
      <c r="R10001" t="s">
        <v>19447</v>
      </c>
      <c r="S10001" t="s">
        <v>19447</v>
      </c>
      <c r="T10001" t="s">
        <v>19900</v>
      </c>
    </row>
    <row r="10002" spans="2:20" x14ac:dyDescent="0.25">
      <c r="B10002" t="s">
        <v>2709</v>
      </c>
      <c r="C10002">
        <v>90185090</v>
      </c>
      <c r="E10002">
        <v>177.19</v>
      </c>
      <c r="F10002">
        <v>18</v>
      </c>
      <c r="G10002">
        <v>8</v>
      </c>
      <c r="H10002" t="s">
        <v>19447</v>
      </c>
      <c r="I10002" t="s">
        <v>19447</v>
      </c>
      <c r="J10002">
        <v>14</v>
      </c>
      <c r="L10002" t="s">
        <v>2709</v>
      </c>
      <c r="M10002">
        <v>90185090</v>
      </c>
      <c r="O10002" t="s">
        <v>19926</v>
      </c>
      <c r="P10002" t="s">
        <v>19899</v>
      </c>
      <c r="Q10002" t="s">
        <v>19918</v>
      </c>
      <c r="R10002" t="s">
        <v>19447</v>
      </c>
      <c r="S10002" t="s">
        <v>19447</v>
      </c>
      <c r="T10002" t="s">
        <v>19911</v>
      </c>
    </row>
    <row r="10003" spans="2:20" x14ac:dyDescent="0.25">
      <c r="B10003" t="s">
        <v>2709</v>
      </c>
      <c r="C10003">
        <v>90189010</v>
      </c>
      <c r="E10003">
        <v>177.19</v>
      </c>
      <c r="F10003">
        <v>0</v>
      </c>
      <c r="G10003">
        <v>0</v>
      </c>
      <c r="H10003" t="s">
        <v>19447</v>
      </c>
      <c r="I10003" t="s">
        <v>19447</v>
      </c>
      <c r="J10003">
        <v>14</v>
      </c>
      <c r="L10003" t="s">
        <v>2709</v>
      </c>
      <c r="M10003">
        <v>90189010</v>
      </c>
      <c r="O10003" t="s">
        <v>19926</v>
      </c>
      <c r="P10003" t="s">
        <v>19900</v>
      </c>
      <c r="Q10003" t="s">
        <v>19900</v>
      </c>
      <c r="R10003" t="s">
        <v>19447</v>
      </c>
      <c r="S10003" t="s">
        <v>19447</v>
      </c>
      <c r="T10003" t="s">
        <v>19911</v>
      </c>
    </row>
    <row r="10004" spans="2:20" x14ac:dyDescent="0.25">
      <c r="B10004" t="s">
        <v>2709</v>
      </c>
      <c r="C10004">
        <v>90189021</v>
      </c>
      <c r="E10004">
        <v>177.19</v>
      </c>
      <c r="F10004">
        <v>18</v>
      </c>
      <c r="G10004">
        <v>8</v>
      </c>
      <c r="H10004" t="s">
        <v>19447</v>
      </c>
      <c r="I10004" t="s">
        <v>19447</v>
      </c>
      <c r="J10004">
        <v>16</v>
      </c>
      <c r="L10004" t="s">
        <v>2709</v>
      </c>
      <c r="M10004">
        <v>90189021</v>
      </c>
      <c r="O10004" t="s">
        <v>19926</v>
      </c>
      <c r="P10004" t="s">
        <v>19899</v>
      </c>
      <c r="Q10004" t="s">
        <v>19918</v>
      </c>
      <c r="R10004" t="s">
        <v>19447</v>
      </c>
      <c r="S10004" t="s">
        <v>19447</v>
      </c>
      <c r="T10004" t="s">
        <v>19913</v>
      </c>
    </row>
    <row r="10005" spans="2:20" x14ac:dyDescent="0.25">
      <c r="B10005" t="s">
        <v>2709</v>
      </c>
      <c r="C10005">
        <v>90189029</v>
      </c>
      <c r="E10005">
        <v>177.19</v>
      </c>
      <c r="F10005">
        <v>18</v>
      </c>
      <c r="G10005">
        <v>8</v>
      </c>
      <c r="H10005" t="s">
        <v>19447</v>
      </c>
      <c r="I10005" t="s">
        <v>19447</v>
      </c>
      <c r="J10005">
        <v>16</v>
      </c>
      <c r="L10005" t="s">
        <v>2709</v>
      </c>
      <c r="M10005">
        <v>90189029</v>
      </c>
      <c r="O10005" t="s">
        <v>19926</v>
      </c>
      <c r="P10005" t="s">
        <v>19899</v>
      </c>
      <c r="Q10005" t="s">
        <v>19918</v>
      </c>
      <c r="R10005" t="s">
        <v>19447</v>
      </c>
      <c r="S10005" t="s">
        <v>19447</v>
      </c>
      <c r="T10005" t="s">
        <v>19913</v>
      </c>
    </row>
    <row r="10006" spans="2:20" x14ac:dyDescent="0.25">
      <c r="B10006" t="s">
        <v>2709</v>
      </c>
      <c r="C10006">
        <v>90189031</v>
      </c>
      <c r="E10006">
        <v>177.19</v>
      </c>
      <c r="F10006">
        <v>18</v>
      </c>
      <c r="G10006">
        <v>8</v>
      </c>
      <c r="H10006" t="s">
        <v>19447</v>
      </c>
      <c r="I10006" t="s">
        <v>19447</v>
      </c>
      <c r="J10006">
        <v>0</v>
      </c>
      <c r="L10006" t="s">
        <v>2709</v>
      </c>
      <c r="M10006">
        <v>90189031</v>
      </c>
      <c r="O10006" t="s">
        <v>19926</v>
      </c>
      <c r="P10006" t="s">
        <v>19899</v>
      </c>
      <c r="Q10006" t="s">
        <v>19918</v>
      </c>
      <c r="R10006" t="s">
        <v>19447</v>
      </c>
      <c r="S10006" t="s">
        <v>19447</v>
      </c>
      <c r="T10006" t="s">
        <v>19900</v>
      </c>
    </row>
    <row r="10007" spans="2:20" x14ac:dyDescent="0.25">
      <c r="B10007" t="s">
        <v>2709</v>
      </c>
      <c r="C10007">
        <v>90189039</v>
      </c>
      <c r="E10007">
        <v>177.19</v>
      </c>
      <c r="F10007">
        <v>18</v>
      </c>
      <c r="G10007">
        <v>8</v>
      </c>
      <c r="H10007" t="s">
        <v>19447</v>
      </c>
      <c r="I10007" t="s">
        <v>19447</v>
      </c>
      <c r="J10007">
        <v>14</v>
      </c>
      <c r="L10007" t="s">
        <v>2709</v>
      </c>
      <c r="M10007">
        <v>90189039</v>
      </c>
      <c r="O10007" t="s">
        <v>19926</v>
      </c>
      <c r="P10007" t="s">
        <v>19899</v>
      </c>
      <c r="Q10007" t="s">
        <v>19918</v>
      </c>
      <c r="R10007" t="s">
        <v>19447</v>
      </c>
      <c r="S10007" t="s">
        <v>19447</v>
      </c>
      <c r="T10007" t="s">
        <v>19911</v>
      </c>
    </row>
    <row r="10008" spans="2:20" x14ac:dyDescent="0.25">
      <c r="B10008" t="s">
        <v>2709</v>
      </c>
      <c r="C10008">
        <v>90189040</v>
      </c>
      <c r="E10008">
        <v>177.19</v>
      </c>
      <c r="F10008">
        <v>0</v>
      </c>
      <c r="G10008">
        <v>0</v>
      </c>
      <c r="H10008" t="s">
        <v>19447</v>
      </c>
      <c r="I10008" t="s">
        <v>19447</v>
      </c>
      <c r="J10008">
        <v>8</v>
      </c>
      <c r="L10008" t="s">
        <v>2709</v>
      </c>
      <c r="M10008">
        <v>90189040</v>
      </c>
      <c r="O10008" t="s">
        <v>19926</v>
      </c>
      <c r="P10008" t="s">
        <v>19900</v>
      </c>
      <c r="Q10008" t="s">
        <v>19900</v>
      </c>
      <c r="R10008" t="s">
        <v>19447</v>
      </c>
      <c r="S10008" t="s">
        <v>19447</v>
      </c>
      <c r="T10008" t="s">
        <v>19918</v>
      </c>
    </row>
    <row r="10009" spans="2:20" x14ac:dyDescent="0.25">
      <c r="B10009" t="s">
        <v>2709</v>
      </c>
      <c r="C10009">
        <v>90189050</v>
      </c>
      <c r="E10009">
        <v>71.17</v>
      </c>
      <c r="F10009">
        <v>18</v>
      </c>
      <c r="G10009">
        <v>8</v>
      </c>
      <c r="H10009" t="s">
        <v>19447</v>
      </c>
      <c r="I10009" t="s">
        <v>19447</v>
      </c>
      <c r="J10009">
        <v>14</v>
      </c>
      <c r="L10009" t="s">
        <v>2709</v>
      </c>
      <c r="M10009">
        <v>90189050</v>
      </c>
      <c r="O10009" t="s">
        <v>20165</v>
      </c>
      <c r="P10009" t="s">
        <v>19899</v>
      </c>
      <c r="Q10009" t="s">
        <v>19918</v>
      </c>
      <c r="R10009" t="s">
        <v>19447</v>
      </c>
      <c r="S10009" t="s">
        <v>19447</v>
      </c>
      <c r="T10009" t="s">
        <v>19911</v>
      </c>
    </row>
    <row r="10010" spans="2:20" x14ac:dyDescent="0.25">
      <c r="B10010" t="s">
        <v>2709</v>
      </c>
      <c r="C10010">
        <v>90189091</v>
      </c>
      <c r="E10010">
        <v>177.19</v>
      </c>
      <c r="F10010">
        <v>18</v>
      </c>
      <c r="G10010">
        <v>8</v>
      </c>
      <c r="H10010" t="s">
        <v>19447</v>
      </c>
      <c r="I10010" t="s">
        <v>19447</v>
      </c>
      <c r="J10010">
        <v>14</v>
      </c>
      <c r="L10010" t="s">
        <v>2709</v>
      </c>
      <c r="M10010">
        <v>90189091</v>
      </c>
      <c r="O10010" t="s">
        <v>19926</v>
      </c>
      <c r="P10010" t="s">
        <v>19899</v>
      </c>
      <c r="Q10010" t="s">
        <v>19918</v>
      </c>
      <c r="R10010" t="s">
        <v>19447</v>
      </c>
      <c r="S10010" t="s">
        <v>19447</v>
      </c>
      <c r="T10010" t="s">
        <v>19911</v>
      </c>
    </row>
    <row r="10011" spans="2:20" x14ac:dyDescent="0.25">
      <c r="B10011" t="s">
        <v>2709</v>
      </c>
      <c r="C10011">
        <v>90189092</v>
      </c>
      <c r="E10011">
        <v>177.19</v>
      </c>
      <c r="F10011">
        <v>18</v>
      </c>
      <c r="G10011">
        <v>8</v>
      </c>
      <c r="H10011" t="s">
        <v>19447</v>
      </c>
      <c r="I10011" t="s">
        <v>19447</v>
      </c>
      <c r="J10011">
        <v>16</v>
      </c>
      <c r="L10011" t="s">
        <v>2709</v>
      </c>
      <c r="M10011">
        <v>90189092</v>
      </c>
      <c r="O10011" t="s">
        <v>19926</v>
      </c>
      <c r="P10011" t="s">
        <v>19899</v>
      </c>
      <c r="Q10011" t="s">
        <v>19918</v>
      </c>
      <c r="R10011" t="s">
        <v>19447</v>
      </c>
      <c r="S10011" t="s">
        <v>19447</v>
      </c>
      <c r="T10011" t="s">
        <v>19913</v>
      </c>
    </row>
    <row r="10012" spans="2:20" x14ac:dyDescent="0.25">
      <c r="B10012" t="s">
        <v>2709</v>
      </c>
      <c r="C10012">
        <v>90189093</v>
      </c>
      <c r="E10012">
        <v>177.19</v>
      </c>
      <c r="F10012">
        <v>18</v>
      </c>
      <c r="G10012">
        <v>8</v>
      </c>
      <c r="H10012" t="s">
        <v>19447</v>
      </c>
      <c r="I10012" t="s">
        <v>19447</v>
      </c>
      <c r="J10012">
        <v>0</v>
      </c>
      <c r="L10012" t="s">
        <v>2709</v>
      </c>
      <c r="M10012">
        <v>90189093</v>
      </c>
      <c r="O10012" t="s">
        <v>19926</v>
      </c>
      <c r="P10012" t="s">
        <v>19899</v>
      </c>
      <c r="Q10012" t="s">
        <v>19918</v>
      </c>
      <c r="R10012" t="s">
        <v>19447</v>
      </c>
      <c r="S10012" t="s">
        <v>19447</v>
      </c>
      <c r="T10012" t="s">
        <v>19900</v>
      </c>
    </row>
    <row r="10013" spans="2:20" x14ac:dyDescent="0.25">
      <c r="B10013" t="s">
        <v>2709</v>
      </c>
      <c r="C10013">
        <v>90189094</v>
      </c>
      <c r="E10013">
        <v>177.19</v>
      </c>
      <c r="F10013">
        <v>18</v>
      </c>
      <c r="G10013">
        <v>8</v>
      </c>
      <c r="H10013" t="s">
        <v>19447</v>
      </c>
      <c r="I10013" t="s">
        <v>19447</v>
      </c>
      <c r="J10013">
        <v>0</v>
      </c>
      <c r="L10013" t="s">
        <v>2709</v>
      </c>
      <c r="M10013">
        <v>90189094</v>
      </c>
      <c r="O10013" t="s">
        <v>19926</v>
      </c>
      <c r="P10013" t="s">
        <v>19899</v>
      </c>
      <c r="Q10013" t="s">
        <v>19918</v>
      </c>
      <c r="R10013" t="s">
        <v>19447</v>
      </c>
      <c r="S10013" t="s">
        <v>19447</v>
      </c>
      <c r="T10013" t="s">
        <v>19900</v>
      </c>
    </row>
    <row r="10014" spans="2:20" x14ac:dyDescent="0.25">
      <c r="B10014" t="s">
        <v>2709</v>
      </c>
      <c r="C10014">
        <v>90189095</v>
      </c>
      <c r="E10014">
        <v>177.19</v>
      </c>
      <c r="F10014">
        <v>0</v>
      </c>
      <c r="G10014">
        <v>0</v>
      </c>
      <c r="H10014" t="s">
        <v>19447</v>
      </c>
      <c r="I10014" t="s">
        <v>19447</v>
      </c>
      <c r="J10014">
        <v>0</v>
      </c>
      <c r="L10014" t="s">
        <v>2709</v>
      </c>
      <c r="M10014">
        <v>90189095</v>
      </c>
      <c r="O10014" t="s">
        <v>19926</v>
      </c>
      <c r="P10014" t="s">
        <v>19900</v>
      </c>
      <c r="Q10014" t="s">
        <v>19900</v>
      </c>
      <c r="R10014" t="s">
        <v>19447</v>
      </c>
      <c r="S10014" t="s">
        <v>19447</v>
      </c>
      <c r="T10014" t="s">
        <v>19900</v>
      </c>
    </row>
    <row r="10015" spans="2:20" x14ac:dyDescent="0.25">
      <c r="B10015" t="s">
        <v>2709</v>
      </c>
      <c r="C10015">
        <v>90189096</v>
      </c>
      <c r="E10015">
        <v>177.19</v>
      </c>
      <c r="F10015">
        <v>18</v>
      </c>
      <c r="G10015">
        <v>8</v>
      </c>
      <c r="H10015" t="s">
        <v>19447</v>
      </c>
      <c r="I10015" t="s">
        <v>19447</v>
      </c>
      <c r="J10015">
        <v>0</v>
      </c>
      <c r="L10015" t="s">
        <v>2709</v>
      </c>
      <c r="M10015">
        <v>90189096</v>
      </c>
      <c r="O10015" t="s">
        <v>19926</v>
      </c>
      <c r="P10015" t="s">
        <v>19899</v>
      </c>
      <c r="Q10015" t="s">
        <v>19918</v>
      </c>
      <c r="R10015" t="s">
        <v>19447</v>
      </c>
      <c r="S10015" t="s">
        <v>19447</v>
      </c>
      <c r="T10015" t="s">
        <v>19900</v>
      </c>
    </row>
    <row r="10016" spans="2:20" x14ac:dyDescent="0.25">
      <c r="B10016" t="s">
        <v>2709</v>
      </c>
      <c r="C10016">
        <v>90189099</v>
      </c>
      <c r="E10016">
        <v>68.540000000000006</v>
      </c>
      <c r="F10016">
        <v>0</v>
      </c>
      <c r="G10016">
        <v>8</v>
      </c>
      <c r="H10016" t="s">
        <v>19447</v>
      </c>
      <c r="I10016" t="s">
        <v>19447</v>
      </c>
      <c r="J10016">
        <v>16</v>
      </c>
      <c r="L10016" t="s">
        <v>2709</v>
      </c>
      <c r="M10016">
        <v>90189099</v>
      </c>
      <c r="O10016" t="s">
        <v>20080</v>
      </c>
      <c r="P10016" t="s">
        <v>19900</v>
      </c>
      <c r="Q10016" t="s">
        <v>19918</v>
      </c>
      <c r="R10016" t="s">
        <v>19447</v>
      </c>
      <c r="S10016" t="s">
        <v>19447</v>
      </c>
      <c r="T10016" t="s">
        <v>19913</v>
      </c>
    </row>
    <row r="10017" spans="2:20" x14ac:dyDescent="0.25">
      <c r="B10017" t="s">
        <v>2709</v>
      </c>
      <c r="C10017">
        <v>90189099</v>
      </c>
      <c r="D10017">
        <v>1</v>
      </c>
      <c r="E10017" t="s">
        <v>19447</v>
      </c>
      <c r="F10017">
        <v>18</v>
      </c>
      <c r="G10017">
        <v>0</v>
      </c>
      <c r="H10017">
        <v>7.6</v>
      </c>
      <c r="I10017">
        <v>1.65</v>
      </c>
      <c r="J10017">
        <v>16</v>
      </c>
      <c r="L10017" t="s">
        <v>2709</v>
      </c>
      <c r="M10017">
        <v>90189099</v>
      </c>
      <c r="N10017">
        <v>1</v>
      </c>
      <c r="O10017" t="s">
        <v>19447</v>
      </c>
      <c r="P10017" t="s">
        <v>19899</v>
      </c>
      <c r="Q10017" t="s">
        <v>19900</v>
      </c>
      <c r="R10017" t="s">
        <v>19905</v>
      </c>
      <c r="S10017" t="s">
        <v>19906</v>
      </c>
      <c r="T10017" t="s">
        <v>19913</v>
      </c>
    </row>
    <row r="10018" spans="2:20" x14ac:dyDescent="0.25">
      <c r="B10018" t="s">
        <v>2709</v>
      </c>
      <c r="C10018">
        <v>90189099</v>
      </c>
      <c r="D10018">
        <v>2</v>
      </c>
      <c r="E10018" t="s">
        <v>19447</v>
      </c>
      <c r="F10018">
        <v>18</v>
      </c>
      <c r="G10018">
        <v>0</v>
      </c>
      <c r="H10018">
        <v>7.6</v>
      </c>
      <c r="I10018">
        <v>1.65</v>
      </c>
      <c r="J10018">
        <v>16</v>
      </c>
      <c r="L10018" t="s">
        <v>2709</v>
      </c>
      <c r="M10018">
        <v>90189099</v>
      </c>
      <c r="N10018">
        <v>2</v>
      </c>
      <c r="O10018" t="s">
        <v>19447</v>
      </c>
      <c r="P10018" t="s">
        <v>19899</v>
      </c>
      <c r="Q10018" t="s">
        <v>19900</v>
      </c>
      <c r="R10018" t="s">
        <v>19905</v>
      </c>
      <c r="S10018" t="s">
        <v>19906</v>
      </c>
      <c r="T10018" t="s">
        <v>19913</v>
      </c>
    </row>
    <row r="10019" spans="2:20" x14ac:dyDescent="0.25">
      <c r="B10019" t="s">
        <v>2709</v>
      </c>
      <c r="C10019">
        <v>90189099</v>
      </c>
      <c r="D10019">
        <v>3</v>
      </c>
      <c r="E10019" t="s">
        <v>19447</v>
      </c>
      <c r="F10019">
        <v>18</v>
      </c>
      <c r="G10019">
        <v>0</v>
      </c>
      <c r="H10019">
        <v>7.6</v>
      </c>
      <c r="I10019">
        <v>1.65</v>
      </c>
      <c r="J10019">
        <v>16</v>
      </c>
      <c r="L10019" t="s">
        <v>2709</v>
      </c>
      <c r="M10019">
        <v>90189099</v>
      </c>
      <c r="N10019">
        <v>3</v>
      </c>
      <c r="O10019" t="s">
        <v>19447</v>
      </c>
      <c r="P10019" t="s">
        <v>19899</v>
      </c>
      <c r="Q10019" t="s">
        <v>19900</v>
      </c>
      <c r="R10019" t="s">
        <v>19905</v>
      </c>
      <c r="S10019" t="s">
        <v>19906</v>
      </c>
      <c r="T10019" t="s">
        <v>19913</v>
      </c>
    </row>
    <row r="10020" spans="2:20" x14ac:dyDescent="0.25">
      <c r="B10020" t="s">
        <v>2709</v>
      </c>
      <c r="C10020">
        <v>90191000</v>
      </c>
      <c r="E10020">
        <v>71.17</v>
      </c>
      <c r="F10020">
        <v>18</v>
      </c>
      <c r="G10020">
        <v>8</v>
      </c>
      <c r="H10020" t="s">
        <v>19447</v>
      </c>
      <c r="I10020" t="s">
        <v>19447</v>
      </c>
      <c r="J10020">
        <v>14</v>
      </c>
      <c r="L10020" t="s">
        <v>2709</v>
      </c>
      <c r="M10020">
        <v>90191000</v>
      </c>
      <c r="O10020" t="s">
        <v>20165</v>
      </c>
      <c r="P10020" t="s">
        <v>19899</v>
      </c>
      <c r="Q10020" t="s">
        <v>19918</v>
      </c>
      <c r="R10020" t="s">
        <v>19447</v>
      </c>
      <c r="S10020" t="s">
        <v>19447</v>
      </c>
      <c r="T10020" t="s">
        <v>19911</v>
      </c>
    </row>
    <row r="10021" spans="2:20" x14ac:dyDescent="0.25">
      <c r="B10021" t="s">
        <v>2709</v>
      </c>
      <c r="C10021">
        <v>90192010</v>
      </c>
      <c r="E10021">
        <v>43</v>
      </c>
      <c r="F10021">
        <v>18</v>
      </c>
      <c r="G10021">
        <v>2</v>
      </c>
      <c r="H10021" t="s">
        <v>19447</v>
      </c>
      <c r="I10021" t="s">
        <v>19447</v>
      </c>
      <c r="J10021">
        <v>14</v>
      </c>
      <c r="L10021" t="s">
        <v>2709</v>
      </c>
      <c r="M10021">
        <v>90192010</v>
      </c>
      <c r="O10021" t="s">
        <v>20001</v>
      </c>
      <c r="P10021" t="s">
        <v>19899</v>
      </c>
      <c r="Q10021" t="s">
        <v>19901</v>
      </c>
      <c r="R10021" t="s">
        <v>19447</v>
      </c>
      <c r="S10021" t="s">
        <v>19447</v>
      </c>
      <c r="T10021" t="s">
        <v>19911</v>
      </c>
    </row>
    <row r="10022" spans="2:20" x14ac:dyDescent="0.25">
      <c r="B10022" t="s">
        <v>2709</v>
      </c>
      <c r="C10022">
        <v>90192020</v>
      </c>
      <c r="E10022">
        <v>43</v>
      </c>
      <c r="F10022">
        <v>18</v>
      </c>
      <c r="G10022">
        <v>2</v>
      </c>
      <c r="H10022" t="s">
        <v>19447</v>
      </c>
      <c r="I10022" t="s">
        <v>19447</v>
      </c>
      <c r="J10022">
        <v>14</v>
      </c>
      <c r="L10022" t="s">
        <v>2709</v>
      </c>
      <c r="M10022">
        <v>90192020</v>
      </c>
      <c r="O10022" t="s">
        <v>20001</v>
      </c>
      <c r="P10022" t="s">
        <v>19899</v>
      </c>
      <c r="Q10022" t="s">
        <v>19901</v>
      </c>
      <c r="R10022" t="s">
        <v>19447</v>
      </c>
      <c r="S10022" t="s">
        <v>19447</v>
      </c>
      <c r="T10022" t="s">
        <v>19911</v>
      </c>
    </row>
    <row r="10023" spans="2:20" x14ac:dyDescent="0.25">
      <c r="B10023" t="s">
        <v>2709</v>
      </c>
      <c r="C10023">
        <v>90192030</v>
      </c>
      <c r="E10023">
        <v>43</v>
      </c>
      <c r="F10023">
        <v>18</v>
      </c>
      <c r="G10023">
        <v>8</v>
      </c>
      <c r="H10023" t="s">
        <v>19447</v>
      </c>
      <c r="I10023" t="s">
        <v>19447</v>
      </c>
      <c r="J10023">
        <v>14</v>
      </c>
      <c r="L10023" t="s">
        <v>2709</v>
      </c>
      <c r="M10023">
        <v>90192030</v>
      </c>
      <c r="O10023" t="s">
        <v>20001</v>
      </c>
      <c r="P10023" t="s">
        <v>19899</v>
      </c>
      <c r="Q10023" t="s">
        <v>19918</v>
      </c>
      <c r="R10023" t="s">
        <v>19447</v>
      </c>
      <c r="S10023" t="s">
        <v>19447</v>
      </c>
      <c r="T10023" t="s">
        <v>19911</v>
      </c>
    </row>
    <row r="10024" spans="2:20" x14ac:dyDescent="0.25">
      <c r="B10024" t="s">
        <v>2709</v>
      </c>
      <c r="C10024">
        <v>90192040</v>
      </c>
      <c r="E10024">
        <v>43</v>
      </c>
      <c r="F10024">
        <v>18</v>
      </c>
      <c r="G10024">
        <v>8</v>
      </c>
      <c r="H10024" t="s">
        <v>19447</v>
      </c>
      <c r="I10024" t="s">
        <v>19447</v>
      </c>
      <c r="J10024">
        <v>14</v>
      </c>
      <c r="L10024" t="s">
        <v>2709</v>
      </c>
      <c r="M10024">
        <v>90192040</v>
      </c>
      <c r="O10024" t="s">
        <v>20001</v>
      </c>
      <c r="P10024" t="s">
        <v>19899</v>
      </c>
      <c r="Q10024" t="s">
        <v>19918</v>
      </c>
      <c r="R10024" t="s">
        <v>19447</v>
      </c>
      <c r="S10024" t="s">
        <v>19447</v>
      </c>
      <c r="T10024" t="s">
        <v>19911</v>
      </c>
    </row>
    <row r="10025" spans="2:20" x14ac:dyDescent="0.25">
      <c r="B10025" t="s">
        <v>2709</v>
      </c>
      <c r="C10025">
        <v>90192090</v>
      </c>
      <c r="E10025">
        <v>43</v>
      </c>
      <c r="F10025">
        <v>18</v>
      </c>
      <c r="G10025">
        <v>8</v>
      </c>
      <c r="H10025" t="s">
        <v>19447</v>
      </c>
      <c r="I10025" t="s">
        <v>19447</v>
      </c>
      <c r="J10025">
        <v>14</v>
      </c>
      <c r="L10025" t="s">
        <v>2709</v>
      </c>
      <c r="M10025">
        <v>90192090</v>
      </c>
      <c r="O10025" t="s">
        <v>20001</v>
      </c>
      <c r="P10025" t="s">
        <v>19899</v>
      </c>
      <c r="Q10025" t="s">
        <v>19918</v>
      </c>
      <c r="R10025" t="s">
        <v>19447</v>
      </c>
      <c r="S10025" t="s">
        <v>19447</v>
      </c>
      <c r="T10025" t="s">
        <v>19911</v>
      </c>
    </row>
    <row r="10026" spans="2:20" x14ac:dyDescent="0.25">
      <c r="B10026" t="s">
        <v>2709</v>
      </c>
      <c r="C10026">
        <v>90200010</v>
      </c>
      <c r="E10026">
        <v>177.19</v>
      </c>
      <c r="F10026">
        <v>18</v>
      </c>
      <c r="G10026">
        <v>0</v>
      </c>
      <c r="H10026" t="s">
        <v>19447</v>
      </c>
      <c r="I10026" t="s">
        <v>19447</v>
      </c>
      <c r="J10026">
        <v>16</v>
      </c>
      <c r="L10026" t="s">
        <v>2709</v>
      </c>
      <c r="M10026">
        <v>90200010</v>
      </c>
      <c r="O10026" t="s">
        <v>19926</v>
      </c>
      <c r="P10026" t="s">
        <v>19899</v>
      </c>
      <c r="Q10026" t="s">
        <v>19900</v>
      </c>
      <c r="R10026" t="s">
        <v>19447</v>
      </c>
      <c r="S10026" t="s">
        <v>19447</v>
      </c>
      <c r="T10026" t="s">
        <v>19913</v>
      </c>
    </row>
    <row r="10027" spans="2:20" x14ac:dyDescent="0.25">
      <c r="B10027" t="s">
        <v>2709</v>
      </c>
      <c r="C10027">
        <v>90200090</v>
      </c>
      <c r="E10027">
        <v>177.19</v>
      </c>
      <c r="F10027">
        <v>18</v>
      </c>
      <c r="G10027">
        <v>8</v>
      </c>
      <c r="H10027" t="s">
        <v>19447</v>
      </c>
      <c r="I10027" t="s">
        <v>19447</v>
      </c>
      <c r="J10027">
        <v>16</v>
      </c>
      <c r="L10027" t="s">
        <v>2709</v>
      </c>
      <c r="M10027">
        <v>90200090</v>
      </c>
      <c r="O10027" t="s">
        <v>19926</v>
      </c>
      <c r="P10027" t="s">
        <v>19899</v>
      </c>
      <c r="Q10027" t="s">
        <v>19918</v>
      </c>
      <c r="R10027" t="s">
        <v>19447</v>
      </c>
      <c r="S10027" t="s">
        <v>19447</v>
      </c>
      <c r="T10027" t="s">
        <v>19913</v>
      </c>
    </row>
    <row r="10028" spans="2:20" x14ac:dyDescent="0.25">
      <c r="B10028" t="s">
        <v>2709</v>
      </c>
      <c r="C10028">
        <v>90211010</v>
      </c>
      <c r="E10028">
        <v>177.19</v>
      </c>
      <c r="F10028">
        <v>0</v>
      </c>
      <c r="G10028">
        <v>0</v>
      </c>
      <c r="H10028" t="s">
        <v>19447</v>
      </c>
      <c r="I10028" t="s">
        <v>19447</v>
      </c>
      <c r="J10028">
        <v>14</v>
      </c>
      <c r="L10028" t="s">
        <v>2709</v>
      </c>
      <c r="M10028">
        <v>90211010</v>
      </c>
      <c r="O10028" t="s">
        <v>19926</v>
      </c>
      <c r="P10028" t="s">
        <v>19900</v>
      </c>
      <c r="Q10028" t="s">
        <v>19900</v>
      </c>
      <c r="R10028" t="s">
        <v>19447</v>
      </c>
      <c r="S10028" t="s">
        <v>19447</v>
      </c>
      <c r="T10028" t="s">
        <v>19911</v>
      </c>
    </row>
    <row r="10029" spans="2:20" x14ac:dyDescent="0.25">
      <c r="B10029" t="s">
        <v>2709</v>
      </c>
      <c r="C10029">
        <v>90211020</v>
      </c>
      <c r="E10029">
        <v>177.19</v>
      </c>
      <c r="F10029">
        <v>0</v>
      </c>
      <c r="G10029">
        <v>0</v>
      </c>
      <c r="H10029" t="s">
        <v>19447</v>
      </c>
      <c r="I10029" t="s">
        <v>19447</v>
      </c>
      <c r="J10029">
        <v>4</v>
      </c>
      <c r="L10029" t="s">
        <v>2709</v>
      </c>
      <c r="M10029">
        <v>90211020</v>
      </c>
      <c r="O10029" t="s">
        <v>19926</v>
      </c>
      <c r="P10029" t="s">
        <v>19900</v>
      </c>
      <c r="Q10029" t="s">
        <v>19900</v>
      </c>
      <c r="R10029" t="s">
        <v>19447</v>
      </c>
      <c r="S10029" t="s">
        <v>19447</v>
      </c>
      <c r="T10029" t="s">
        <v>19902</v>
      </c>
    </row>
    <row r="10030" spans="2:20" x14ac:dyDescent="0.25">
      <c r="B10030" t="s">
        <v>2709</v>
      </c>
      <c r="C10030">
        <v>90211091</v>
      </c>
      <c r="E10030">
        <v>177.19</v>
      </c>
      <c r="F10030">
        <v>0</v>
      </c>
      <c r="G10030">
        <v>0</v>
      </c>
      <c r="H10030" t="s">
        <v>19447</v>
      </c>
      <c r="I10030" t="s">
        <v>19447</v>
      </c>
      <c r="J10030">
        <v>0</v>
      </c>
      <c r="L10030" t="s">
        <v>2709</v>
      </c>
      <c r="M10030">
        <v>90211091</v>
      </c>
      <c r="O10030" t="s">
        <v>19926</v>
      </c>
      <c r="P10030" t="s">
        <v>19900</v>
      </c>
      <c r="Q10030" t="s">
        <v>19900</v>
      </c>
      <c r="R10030" t="s">
        <v>19447</v>
      </c>
      <c r="S10030" t="s">
        <v>19447</v>
      </c>
      <c r="T10030" t="s">
        <v>19900</v>
      </c>
    </row>
    <row r="10031" spans="2:20" x14ac:dyDescent="0.25">
      <c r="B10031" t="s">
        <v>2709</v>
      </c>
      <c r="C10031">
        <v>90211099</v>
      </c>
      <c r="E10031">
        <v>177.19</v>
      </c>
      <c r="F10031">
        <v>0</v>
      </c>
      <c r="G10031">
        <v>0</v>
      </c>
      <c r="H10031" t="s">
        <v>19447</v>
      </c>
      <c r="I10031" t="s">
        <v>19447</v>
      </c>
      <c r="J10031">
        <v>14</v>
      </c>
      <c r="L10031" t="s">
        <v>2709</v>
      </c>
      <c r="M10031">
        <v>90211099</v>
      </c>
      <c r="O10031" t="s">
        <v>19926</v>
      </c>
      <c r="P10031" t="s">
        <v>19900</v>
      </c>
      <c r="Q10031" t="s">
        <v>19900</v>
      </c>
      <c r="R10031" t="s">
        <v>19447</v>
      </c>
      <c r="S10031" t="s">
        <v>19447</v>
      </c>
      <c r="T10031" t="s">
        <v>19911</v>
      </c>
    </row>
    <row r="10032" spans="2:20" x14ac:dyDescent="0.25">
      <c r="B10032" t="s">
        <v>2709</v>
      </c>
      <c r="C10032">
        <v>90212110</v>
      </c>
      <c r="E10032">
        <v>177.19</v>
      </c>
      <c r="F10032">
        <v>18</v>
      </c>
      <c r="G10032">
        <v>0</v>
      </c>
      <c r="H10032" t="s">
        <v>19447</v>
      </c>
      <c r="I10032" t="s">
        <v>19447</v>
      </c>
      <c r="J10032">
        <v>16</v>
      </c>
      <c r="L10032" t="s">
        <v>2709</v>
      </c>
      <c r="M10032">
        <v>90212110</v>
      </c>
      <c r="O10032" t="s">
        <v>19926</v>
      </c>
      <c r="P10032" t="s">
        <v>19899</v>
      </c>
      <c r="Q10032" t="s">
        <v>19900</v>
      </c>
      <c r="R10032" t="s">
        <v>19447</v>
      </c>
      <c r="S10032" t="s">
        <v>19447</v>
      </c>
      <c r="T10032" t="s">
        <v>19913</v>
      </c>
    </row>
    <row r="10033" spans="2:20" x14ac:dyDescent="0.25">
      <c r="B10033" t="s">
        <v>2709</v>
      </c>
      <c r="C10033">
        <v>90212190</v>
      </c>
      <c r="E10033">
        <v>177.19</v>
      </c>
      <c r="F10033">
        <v>18</v>
      </c>
      <c r="G10033">
        <v>0</v>
      </c>
      <c r="H10033" t="s">
        <v>19447</v>
      </c>
      <c r="I10033" t="s">
        <v>19447</v>
      </c>
      <c r="J10033">
        <v>16</v>
      </c>
      <c r="L10033" t="s">
        <v>2709</v>
      </c>
      <c r="M10033">
        <v>90212190</v>
      </c>
      <c r="O10033" t="s">
        <v>19926</v>
      </c>
      <c r="P10033" t="s">
        <v>19899</v>
      </c>
      <c r="Q10033" t="s">
        <v>19900</v>
      </c>
      <c r="R10033" t="s">
        <v>19447</v>
      </c>
      <c r="S10033" t="s">
        <v>19447</v>
      </c>
      <c r="T10033" t="s">
        <v>19913</v>
      </c>
    </row>
    <row r="10034" spans="2:20" x14ac:dyDescent="0.25">
      <c r="B10034" t="s">
        <v>2709</v>
      </c>
      <c r="C10034">
        <v>90212900</v>
      </c>
      <c r="E10034">
        <v>177.19</v>
      </c>
      <c r="F10034">
        <v>18</v>
      </c>
      <c r="G10034">
        <v>0</v>
      </c>
      <c r="H10034" t="s">
        <v>19447</v>
      </c>
      <c r="I10034" t="s">
        <v>19447</v>
      </c>
      <c r="J10034">
        <v>16</v>
      </c>
      <c r="L10034" t="s">
        <v>2709</v>
      </c>
      <c r="M10034">
        <v>90212900</v>
      </c>
      <c r="O10034" t="s">
        <v>19926</v>
      </c>
      <c r="P10034" t="s">
        <v>19899</v>
      </c>
      <c r="Q10034" t="s">
        <v>19900</v>
      </c>
      <c r="R10034" t="s">
        <v>19447</v>
      </c>
      <c r="S10034" t="s">
        <v>19447</v>
      </c>
      <c r="T10034" t="s">
        <v>19913</v>
      </c>
    </row>
    <row r="10035" spans="2:20" x14ac:dyDescent="0.25">
      <c r="B10035" t="s">
        <v>2709</v>
      </c>
      <c r="C10035">
        <v>90213110</v>
      </c>
      <c r="E10035">
        <v>177.19</v>
      </c>
      <c r="F10035">
        <v>0</v>
      </c>
      <c r="G10035">
        <v>0</v>
      </c>
      <c r="H10035" t="s">
        <v>19447</v>
      </c>
      <c r="I10035" t="s">
        <v>19447</v>
      </c>
      <c r="J10035">
        <v>4</v>
      </c>
      <c r="L10035" t="s">
        <v>2709</v>
      </c>
      <c r="M10035">
        <v>90213110</v>
      </c>
      <c r="O10035" t="s">
        <v>19926</v>
      </c>
      <c r="P10035" t="s">
        <v>19900</v>
      </c>
      <c r="Q10035" t="s">
        <v>19900</v>
      </c>
      <c r="R10035" t="s">
        <v>19447</v>
      </c>
      <c r="S10035" t="s">
        <v>19447</v>
      </c>
      <c r="T10035" t="s">
        <v>19902</v>
      </c>
    </row>
    <row r="10036" spans="2:20" x14ac:dyDescent="0.25">
      <c r="B10036" t="s">
        <v>2709</v>
      </c>
      <c r="C10036">
        <v>90213120</v>
      </c>
      <c r="E10036">
        <v>177.19</v>
      </c>
      <c r="F10036">
        <v>0</v>
      </c>
      <c r="G10036">
        <v>0</v>
      </c>
      <c r="H10036" t="s">
        <v>19447</v>
      </c>
      <c r="I10036" t="s">
        <v>19447</v>
      </c>
      <c r="J10036">
        <v>0</v>
      </c>
      <c r="L10036" t="s">
        <v>2709</v>
      </c>
      <c r="M10036">
        <v>90213120</v>
      </c>
      <c r="O10036" t="s">
        <v>19926</v>
      </c>
      <c r="P10036" t="s">
        <v>19900</v>
      </c>
      <c r="Q10036" t="s">
        <v>19900</v>
      </c>
      <c r="R10036" t="s">
        <v>19447</v>
      </c>
      <c r="S10036" t="s">
        <v>19447</v>
      </c>
      <c r="T10036" t="s">
        <v>19900</v>
      </c>
    </row>
    <row r="10037" spans="2:20" x14ac:dyDescent="0.25">
      <c r="B10037" t="s">
        <v>2709</v>
      </c>
      <c r="C10037">
        <v>90213190</v>
      </c>
      <c r="E10037">
        <v>177.19</v>
      </c>
      <c r="F10037">
        <v>0</v>
      </c>
      <c r="G10037">
        <v>0</v>
      </c>
      <c r="H10037" t="s">
        <v>19447</v>
      </c>
      <c r="I10037" t="s">
        <v>19447</v>
      </c>
      <c r="J10037">
        <v>4</v>
      </c>
      <c r="L10037" t="s">
        <v>2709</v>
      </c>
      <c r="M10037">
        <v>90213190</v>
      </c>
      <c r="O10037" t="s">
        <v>19926</v>
      </c>
      <c r="P10037" t="s">
        <v>19900</v>
      </c>
      <c r="Q10037" t="s">
        <v>19900</v>
      </c>
      <c r="R10037" t="s">
        <v>19447</v>
      </c>
      <c r="S10037" t="s">
        <v>19447</v>
      </c>
      <c r="T10037" t="s">
        <v>19902</v>
      </c>
    </row>
    <row r="10038" spans="2:20" x14ac:dyDescent="0.25">
      <c r="B10038" t="s">
        <v>2709</v>
      </c>
      <c r="C10038">
        <v>90213911</v>
      </c>
      <c r="E10038">
        <v>177.19</v>
      </c>
      <c r="F10038">
        <v>0</v>
      </c>
      <c r="G10038">
        <v>0</v>
      </c>
      <c r="H10038" t="s">
        <v>19447</v>
      </c>
      <c r="I10038" t="s">
        <v>19447</v>
      </c>
      <c r="J10038">
        <v>0</v>
      </c>
      <c r="L10038" t="s">
        <v>2709</v>
      </c>
      <c r="M10038">
        <v>90213911</v>
      </c>
      <c r="O10038" t="s">
        <v>19926</v>
      </c>
      <c r="P10038" t="s">
        <v>19900</v>
      </c>
      <c r="Q10038" t="s">
        <v>19900</v>
      </c>
      <c r="R10038" t="s">
        <v>19447</v>
      </c>
      <c r="S10038" t="s">
        <v>19447</v>
      </c>
      <c r="T10038" t="s">
        <v>19900</v>
      </c>
    </row>
    <row r="10039" spans="2:20" x14ac:dyDescent="0.25">
      <c r="B10039" t="s">
        <v>2709</v>
      </c>
      <c r="C10039">
        <v>90213919</v>
      </c>
      <c r="E10039">
        <v>177.19</v>
      </c>
      <c r="F10039">
        <v>0</v>
      </c>
      <c r="G10039">
        <v>0</v>
      </c>
      <c r="H10039" t="s">
        <v>19447</v>
      </c>
      <c r="I10039" t="s">
        <v>19447</v>
      </c>
      <c r="J10039">
        <v>14</v>
      </c>
      <c r="L10039" t="s">
        <v>2709</v>
      </c>
      <c r="M10039">
        <v>90213919</v>
      </c>
      <c r="O10039" t="s">
        <v>19926</v>
      </c>
      <c r="P10039" t="s">
        <v>19900</v>
      </c>
      <c r="Q10039" t="s">
        <v>19900</v>
      </c>
      <c r="R10039" t="s">
        <v>19447</v>
      </c>
      <c r="S10039" t="s">
        <v>19447</v>
      </c>
      <c r="T10039" t="s">
        <v>19911</v>
      </c>
    </row>
    <row r="10040" spans="2:20" x14ac:dyDescent="0.25">
      <c r="B10040" t="s">
        <v>2709</v>
      </c>
      <c r="C10040">
        <v>90213920</v>
      </c>
      <c r="E10040">
        <v>177.19</v>
      </c>
      <c r="F10040">
        <v>18</v>
      </c>
      <c r="G10040">
        <v>0</v>
      </c>
      <c r="H10040" t="s">
        <v>19447</v>
      </c>
      <c r="I10040" t="s">
        <v>19447</v>
      </c>
      <c r="J10040">
        <v>0</v>
      </c>
      <c r="L10040" t="s">
        <v>2709</v>
      </c>
      <c r="M10040">
        <v>90213920</v>
      </c>
      <c r="O10040" t="s">
        <v>19926</v>
      </c>
      <c r="P10040" t="s">
        <v>19899</v>
      </c>
      <c r="Q10040" t="s">
        <v>19900</v>
      </c>
      <c r="R10040" t="s">
        <v>19447</v>
      </c>
      <c r="S10040" t="s">
        <v>19447</v>
      </c>
      <c r="T10040" t="s">
        <v>19900</v>
      </c>
    </row>
    <row r="10041" spans="2:20" x14ac:dyDescent="0.25">
      <c r="B10041" t="s">
        <v>2709</v>
      </c>
      <c r="C10041">
        <v>90213930</v>
      </c>
      <c r="E10041">
        <v>177.19</v>
      </c>
      <c r="F10041">
        <v>0</v>
      </c>
      <c r="G10041">
        <v>0</v>
      </c>
      <c r="H10041" t="s">
        <v>19447</v>
      </c>
      <c r="I10041" t="s">
        <v>19447</v>
      </c>
      <c r="J10041">
        <v>0</v>
      </c>
      <c r="L10041" t="s">
        <v>2709</v>
      </c>
      <c r="M10041">
        <v>90213930</v>
      </c>
      <c r="O10041" t="s">
        <v>19926</v>
      </c>
      <c r="P10041" t="s">
        <v>19900</v>
      </c>
      <c r="Q10041" t="s">
        <v>19900</v>
      </c>
      <c r="R10041" t="s">
        <v>19447</v>
      </c>
      <c r="S10041" t="s">
        <v>19447</v>
      </c>
      <c r="T10041" t="s">
        <v>19900</v>
      </c>
    </row>
    <row r="10042" spans="2:20" x14ac:dyDescent="0.25">
      <c r="B10042" t="s">
        <v>2709</v>
      </c>
      <c r="C10042">
        <v>90213940</v>
      </c>
      <c r="E10042">
        <v>177.19</v>
      </c>
      <c r="F10042">
        <v>18</v>
      </c>
      <c r="G10042">
        <v>0</v>
      </c>
      <c r="H10042" t="s">
        <v>19447</v>
      </c>
      <c r="I10042" t="s">
        <v>19447</v>
      </c>
      <c r="J10042">
        <v>0</v>
      </c>
      <c r="L10042" t="s">
        <v>2709</v>
      </c>
      <c r="M10042">
        <v>90213940</v>
      </c>
      <c r="O10042" t="s">
        <v>19926</v>
      </c>
      <c r="P10042" t="s">
        <v>19899</v>
      </c>
      <c r="Q10042" t="s">
        <v>19900</v>
      </c>
      <c r="R10042" t="s">
        <v>19447</v>
      </c>
      <c r="S10042" t="s">
        <v>19447</v>
      </c>
      <c r="T10042" t="s">
        <v>19900</v>
      </c>
    </row>
    <row r="10043" spans="2:20" x14ac:dyDescent="0.25">
      <c r="B10043" t="s">
        <v>2709</v>
      </c>
      <c r="C10043">
        <v>90213980</v>
      </c>
      <c r="E10043">
        <v>177.19</v>
      </c>
      <c r="F10043">
        <v>0</v>
      </c>
      <c r="G10043">
        <v>0</v>
      </c>
      <c r="H10043" t="s">
        <v>19447</v>
      </c>
      <c r="I10043" t="s">
        <v>19447</v>
      </c>
      <c r="J10043">
        <v>14</v>
      </c>
      <c r="L10043" t="s">
        <v>2709</v>
      </c>
      <c r="M10043">
        <v>90213980</v>
      </c>
      <c r="O10043" t="s">
        <v>19926</v>
      </c>
      <c r="P10043" t="s">
        <v>19900</v>
      </c>
      <c r="Q10043" t="s">
        <v>19900</v>
      </c>
      <c r="R10043" t="s">
        <v>19447</v>
      </c>
      <c r="S10043" t="s">
        <v>19447</v>
      </c>
      <c r="T10043" t="s">
        <v>19911</v>
      </c>
    </row>
    <row r="10044" spans="2:20" x14ac:dyDescent="0.25">
      <c r="B10044" t="s">
        <v>2709</v>
      </c>
      <c r="C10044">
        <v>90213991</v>
      </c>
      <c r="E10044">
        <v>177.19</v>
      </c>
      <c r="F10044">
        <v>0</v>
      </c>
      <c r="G10044">
        <v>0</v>
      </c>
      <c r="H10044" t="s">
        <v>19447</v>
      </c>
      <c r="I10044" t="s">
        <v>19447</v>
      </c>
      <c r="J10044">
        <v>0</v>
      </c>
      <c r="L10044" t="s">
        <v>2709</v>
      </c>
      <c r="M10044">
        <v>90213991</v>
      </c>
      <c r="O10044" t="s">
        <v>19926</v>
      </c>
      <c r="P10044" t="s">
        <v>19900</v>
      </c>
      <c r="Q10044" t="s">
        <v>19900</v>
      </c>
      <c r="R10044" t="s">
        <v>19447</v>
      </c>
      <c r="S10044" t="s">
        <v>19447</v>
      </c>
      <c r="T10044" t="s">
        <v>19900</v>
      </c>
    </row>
    <row r="10045" spans="2:20" x14ac:dyDescent="0.25">
      <c r="B10045" t="s">
        <v>2709</v>
      </c>
      <c r="C10045">
        <v>90213999</v>
      </c>
      <c r="E10045">
        <v>177.19</v>
      </c>
      <c r="F10045">
        <v>0</v>
      </c>
      <c r="G10045">
        <v>0</v>
      </c>
      <c r="H10045" t="s">
        <v>19447</v>
      </c>
      <c r="I10045" t="s">
        <v>19447</v>
      </c>
      <c r="J10045">
        <v>14</v>
      </c>
      <c r="L10045" t="s">
        <v>2709</v>
      </c>
      <c r="M10045">
        <v>90213999</v>
      </c>
      <c r="O10045" t="s">
        <v>19926</v>
      </c>
      <c r="P10045" t="s">
        <v>19900</v>
      </c>
      <c r="Q10045" t="s">
        <v>19900</v>
      </c>
      <c r="R10045" t="s">
        <v>19447</v>
      </c>
      <c r="S10045" t="s">
        <v>19447</v>
      </c>
      <c r="T10045" t="s">
        <v>19911</v>
      </c>
    </row>
    <row r="10046" spans="2:20" x14ac:dyDescent="0.25">
      <c r="B10046" t="s">
        <v>2709</v>
      </c>
      <c r="C10046">
        <v>90214000</v>
      </c>
      <c r="E10046">
        <v>177.19</v>
      </c>
      <c r="F10046">
        <v>0</v>
      </c>
      <c r="G10046">
        <v>0</v>
      </c>
      <c r="H10046" t="s">
        <v>19447</v>
      </c>
      <c r="I10046" t="s">
        <v>19447</v>
      </c>
      <c r="J10046">
        <v>0</v>
      </c>
      <c r="L10046" t="s">
        <v>2709</v>
      </c>
      <c r="M10046">
        <v>90214000</v>
      </c>
      <c r="O10046" t="s">
        <v>19926</v>
      </c>
      <c r="P10046" t="s">
        <v>19900</v>
      </c>
      <c r="Q10046" t="s">
        <v>19900</v>
      </c>
      <c r="R10046" t="s">
        <v>19447</v>
      </c>
      <c r="S10046" t="s">
        <v>19447</v>
      </c>
      <c r="T10046" t="s">
        <v>19900</v>
      </c>
    </row>
    <row r="10047" spans="2:20" x14ac:dyDescent="0.25">
      <c r="B10047" t="s">
        <v>2709</v>
      </c>
      <c r="C10047">
        <v>90215000</v>
      </c>
      <c r="E10047">
        <v>177.19</v>
      </c>
      <c r="F10047">
        <v>0</v>
      </c>
      <c r="G10047">
        <v>0</v>
      </c>
      <c r="H10047" t="s">
        <v>19447</v>
      </c>
      <c r="I10047" t="s">
        <v>19447</v>
      </c>
      <c r="J10047">
        <v>0</v>
      </c>
      <c r="L10047" t="s">
        <v>2709</v>
      </c>
      <c r="M10047">
        <v>90215000</v>
      </c>
      <c r="O10047" t="s">
        <v>19926</v>
      </c>
      <c r="P10047" t="s">
        <v>19900</v>
      </c>
      <c r="Q10047" t="s">
        <v>19900</v>
      </c>
      <c r="R10047" t="s">
        <v>19447</v>
      </c>
      <c r="S10047" t="s">
        <v>19447</v>
      </c>
      <c r="T10047" t="s">
        <v>19900</v>
      </c>
    </row>
    <row r="10048" spans="2:20" x14ac:dyDescent="0.25">
      <c r="B10048" t="s">
        <v>2709</v>
      </c>
      <c r="C10048">
        <v>90219011</v>
      </c>
      <c r="E10048">
        <v>177.19</v>
      </c>
      <c r="F10048">
        <v>0</v>
      </c>
      <c r="G10048">
        <v>0</v>
      </c>
      <c r="H10048" t="s">
        <v>19447</v>
      </c>
      <c r="I10048" t="s">
        <v>19447</v>
      </c>
      <c r="J10048">
        <v>0</v>
      </c>
      <c r="L10048" t="s">
        <v>2709</v>
      </c>
      <c r="M10048">
        <v>90219011</v>
      </c>
      <c r="O10048" t="s">
        <v>19926</v>
      </c>
      <c r="P10048" t="s">
        <v>19900</v>
      </c>
      <c r="Q10048" t="s">
        <v>19900</v>
      </c>
      <c r="R10048" t="s">
        <v>19447</v>
      </c>
      <c r="S10048" t="s">
        <v>19447</v>
      </c>
      <c r="T10048" t="s">
        <v>19900</v>
      </c>
    </row>
    <row r="10049" spans="2:20" x14ac:dyDescent="0.25">
      <c r="B10049" t="s">
        <v>2709</v>
      </c>
      <c r="C10049">
        <v>90219019</v>
      </c>
      <c r="E10049">
        <v>177.19</v>
      </c>
      <c r="F10049">
        <v>0</v>
      </c>
      <c r="G10049">
        <v>0</v>
      </c>
      <c r="H10049" t="s">
        <v>19447</v>
      </c>
      <c r="I10049" t="s">
        <v>19447</v>
      </c>
      <c r="J10049">
        <v>0</v>
      </c>
      <c r="L10049" t="s">
        <v>2709</v>
      </c>
      <c r="M10049">
        <v>90219019</v>
      </c>
      <c r="O10049" t="s">
        <v>19926</v>
      </c>
      <c r="P10049" t="s">
        <v>19900</v>
      </c>
      <c r="Q10049" t="s">
        <v>19900</v>
      </c>
      <c r="R10049" t="s">
        <v>19447</v>
      </c>
      <c r="S10049" t="s">
        <v>19447</v>
      </c>
      <c r="T10049" t="s">
        <v>19900</v>
      </c>
    </row>
    <row r="10050" spans="2:20" x14ac:dyDescent="0.25">
      <c r="B10050" t="s">
        <v>2709</v>
      </c>
      <c r="C10050">
        <v>90219081</v>
      </c>
      <c r="E10050">
        <v>177.19</v>
      </c>
      <c r="F10050">
        <v>0</v>
      </c>
      <c r="G10050">
        <v>0</v>
      </c>
      <c r="H10050" t="s">
        <v>19447</v>
      </c>
      <c r="I10050" t="s">
        <v>19447</v>
      </c>
      <c r="J10050">
        <v>0</v>
      </c>
      <c r="L10050" t="s">
        <v>2709</v>
      </c>
      <c r="M10050">
        <v>90219081</v>
      </c>
      <c r="O10050" t="s">
        <v>19926</v>
      </c>
      <c r="P10050" t="s">
        <v>19900</v>
      </c>
      <c r="Q10050" t="s">
        <v>19900</v>
      </c>
      <c r="R10050" t="s">
        <v>19447</v>
      </c>
      <c r="S10050" t="s">
        <v>19447</v>
      </c>
      <c r="T10050" t="s">
        <v>19900</v>
      </c>
    </row>
    <row r="10051" spans="2:20" x14ac:dyDescent="0.25">
      <c r="B10051" t="s">
        <v>2709</v>
      </c>
      <c r="C10051">
        <v>90219082</v>
      </c>
      <c r="E10051">
        <v>177.19</v>
      </c>
      <c r="F10051">
        <v>18</v>
      </c>
      <c r="G10051">
        <v>0</v>
      </c>
      <c r="H10051" t="s">
        <v>19447</v>
      </c>
      <c r="I10051" t="s">
        <v>19447</v>
      </c>
      <c r="J10051">
        <v>0</v>
      </c>
      <c r="L10051" t="s">
        <v>2709</v>
      </c>
      <c r="M10051">
        <v>90219082</v>
      </c>
      <c r="O10051" t="s">
        <v>19926</v>
      </c>
      <c r="P10051" t="s">
        <v>19899</v>
      </c>
      <c r="Q10051" t="s">
        <v>19900</v>
      </c>
      <c r="R10051" t="s">
        <v>19447</v>
      </c>
      <c r="S10051" t="s">
        <v>19447</v>
      </c>
      <c r="T10051" t="s">
        <v>19900</v>
      </c>
    </row>
    <row r="10052" spans="2:20" x14ac:dyDescent="0.25">
      <c r="B10052" t="s">
        <v>2709</v>
      </c>
      <c r="C10052">
        <v>90219089</v>
      </c>
      <c r="E10052">
        <v>177.19</v>
      </c>
      <c r="F10052">
        <v>0</v>
      </c>
      <c r="G10052">
        <v>0</v>
      </c>
      <c r="H10052" t="s">
        <v>19447</v>
      </c>
      <c r="I10052" t="s">
        <v>19447</v>
      </c>
      <c r="J10052">
        <v>14</v>
      </c>
      <c r="L10052" t="s">
        <v>2709</v>
      </c>
      <c r="M10052">
        <v>90219089</v>
      </c>
      <c r="O10052" t="s">
        <v>19926</v>
      </c>
      <c r="P10052" t="s">
        <v>19900</v>
      </c>
      <c r="Q10052" t="s">
        <v>19900</v>
      </c>
      <c r="R10052" t="s">
        <v>19447</v>
      </c>
      <c r="S10052" t="s">
        <v>19447</v>
      </c>
      <c r="T10052" t="s">
        <v>19911</v>
      </c>
    </row>
    <row r="10053" spans="2:20" x14ac:dyDescent="0.25">
      <c r="B10053" t="s">
        <v>2709</v>
      </c>
      <c r="C10053">
        <v>90219091</v>
      </c>
      <c r="E10053">
        <v>177.19</v>
      </c>
      <c r="F10053">
        <v>0</v>
      </c>
      <c r="G10053">
        <v>0</v>
      </c>
      <c r="H10053" t="s">
        <v>19447</v>
      </c>
      <c r="I10053" t="s">
        <v>19447</v>
      </c>
      <c r="J10053">
        <v>0</v>
      </c>
      <c r="L10053" t="s">
        <v>2709</v>
      </c>
      <c r="M10053">
        <v>90219091</v>
      </c>
      <c r="O10053" t="s">
        <v>19926</v>
      </c>
      <c r="P10053" t="s">
        <v>19900</v>
      </c>
      <c r="Q10053" t="s">
        <v>19900</v>
      </c>
      <c r="R10053" t="s">
        <v>19447</v>
      </c>
      <c r="S10053" t="s">
        <v>19447</v>
      </c>
      <c r="T10053" t="s">
        <v>19900</v>
      </c>
    </row>
    <row r="10054" spans="2:20" x14ac:dyDescent="0.25">
      <c r="B10054" t="s">
        <v>2709</v>
      </c>
      <c r="C10054">
        <v>90219092</v>
      </c>
      <c r="E10054">
        <v>177.19</v>
      </c>
      <c r="F10054">
        <v>0</v>
      </c>
      <c r="G10054">
        <v>0</v>
      </c>
      <c r="H10054" t="s">
        <v>19447</v>
      </c>
      <c r="I10054" t="s">
        <v>19447</v>
      </c>
      <c r="J10054">
        <v>0</v>
      </c>
      <c r="L10054" t="s">
        <v>2709</v>
      </c>
      <c r="M10054">
        <v>90219092</v>
      </c>
      <c r="O10054" t="s">
        <v>19926</v>
      </c>
      <c r="P10054" t="s">
        <v>19900</v>
      </c>
      <c r="Q10054" t="s">
        <v>19900</v>
      </c>
      <c r="R10054" t="s">
        <v>19447</v>
      </c>
      <c r="S10054" t="s">
        <v>19447</v>
      </c>
      <c r="T10054" t="s">
        <v>19900</v>
      </c>
    </row>
    <row r="10055" spans="2:20" x14ac:dyDescent="0.25">
      <c r="B10055" t="s">
        <v>2709</v>
      </c>
      <c r="C10055">
        <v>90219099</v>
      </c>
      <c r="E10055">
        <v>177.19</v>
      </c>
      <c r="F10055">
        <v>0</v>
      </c>
      <c r="G10055">
        <v>0</v>
      </c>
      <c r="H10055" t="s">
        <v>19447</v>
      </c>
      <c r="I10055" t="s">
        <v>19447</v>
      </c>
      <c r="J10055">
        <v>14</v>
      </c>
      <c r="L10055" t="s">
        <v>2709</v>
      </c>
      <c r="M10055">
        <v>90219099</v>
      </c>
      <c r="O10055" t="s">
        <v>19926</v>
      </c>
      <c r="P10055" t="s">
        <v>19900</v>
      </c>
      <c r="Q10055" t="s">
        <v>19900</v>
      </c>
      <c r="R10055" t="s">
        <v>19447</v>
      </c>
      <c r="S10055" t="s">
        <v>19447</v>
      </c>
      <c r="T10055" t="s">
        <v>19911</v>
      </c>
    </row>
    <row r="10056" spans="2:20" x14ac:dyDescent="0.25">
      <c r="B10056" t="s">
        <v>2709</v>
      </c>
      <c r="C10056">
        <v>90221200</v>
      </c>
      <c r="E10056">
        <v>177.19</v>
      </c>
      <c r="F10056">
        <v>18</v>
      </c>
      <c r="G10056">
        <v>5</v>
      </c>
      <c r="H10056" t="s">
        <v>19447</v>
      </c>
      <c r="I10056" t="s">
        <v>19447</v>
      </c>
      <c r="J10056">
        <v>0</v>
      </c>
      <c r="L10056" t="s">
        <v>2709</v>
      </c>
      <c r="M10056">
        <v>90221200</v>
      </c>
      <c r="O10056" t="s">
        <v>19926</v>
      </c>
      <c r="P10056" t="s">
        <v>19899</v>
      </c>
      <c r="Q10056" t="s">
        <v>19909</v>
      </c>
      <c r="R10056" t="s">
        <v>19447</v>
      </c>
      <c r="S10056" t="s">
        <v>19447</v>
      </c>
      <c r="T10056" t="s">
        <v>19900</v>
      </c>
    </row>
    <row r="10057" spans="2:20" x14ac:dyDescent="0.25">
      <c r="B10057" t="s">
        <v>2709</v>
      </c>
      <c r="C10057">
        <v>90221311</v>
      </c>
      <c r="E10057">
        <v>177.19</v>
      </c>
      <c r="F10057">
        <v>18</v>
      </c>
      <c r="G10057">
        <v>5</v>
      </c>
      <c r="H10057" t="s">
        <v>19447</v>
      </c>
      <c r="I10057" t="s">
        <v>19447</v>
      </c>
      <c r="J10057">
        <v>0</v>
      </c>
      <c r="L10057" t="s">
        <v>2709</v>
      </c>
      <c r="M10057">
        <v>90221311</v>
      </c>
      <c r="O10057" t="s">
        <v>19926</v>
      </c>
      <c r="P10057" t="s">
        <v>19899</v>
      </c>
      <c r="Q10057" t="s">
        <v>19909</v>
      </c>
      <c r="R10057" t="s">
        <v>19447</v>
      </c>
      <c r="S10057" t="s">
        <v>19447</v>
      </c>
      <c r="T10057" t="s">
        <v>19900</v>
      </c>
    </row>
    <row r="10058" spans="2:20" x14ac:dyDescent="0.25">
      <c r="B10058" t="s">
        <v>2709</v>
      </c>
      <c r="C10058">
        <v>90221319</v>
      </c>
      <c r="E10058">
        <v>177.19</v>
      </c>
      <c r="F10058">
        <v>18</v>
      </c>
      <c r="G10058">
        <v>5</v>
      </c>
      <c r="H10058" t="s">
        <v>19447</v>
      </c>
      <c r="I10058" t="s">
        <v>19447</v>
      </c>
      <c r="J10058">
        <v>14</v>
      </c>
      <c r="L10058" t="s">
        <v>2709</v>
      </c>
      <c r="M10058">
        <v>90221319</v>
      </c>
      <c r="O10058" t="s">
        <v>19926</v>
      </c>
      <c r="P10058" t="s">
        <v>19899</v>
      </c>
      <c r="Q10058" t="s">
        <v>19909</v>
      </c>
      <c r="R10058" t="s">
        <v>19447</v>
      </c>
      <c r="S10058" t="s">
        <v>19447</v>
      </c>
      <c r="T10058" t="s">
        <v>19911</v>
      </c>
    </row>
    <row r="10059" spans="2:20" x14ac:dyDescent="0.25">
      <c r="B10059" t="s">
        <v>2709</v>
      </c>
      <c r="C10059">
        <v>90221390</v>
      </c>
      <c r="E10059">
        <v>177.19</v>
      </c>
      <c r="F10059">
        <v>18</v>
      </c>
      <c r="G10059">
        <v>5</v>
      </c>
      <c r="H10059" t="s">
        <v>19447</v>
      </c>
      <c r="I10059" t="s">
        <v>19447</v>
      </c>
      <c r="J10059">
        <v>0</v>
      </c>
      <c r="L10059" t="s">
        <v>2709</v>
      </c>
      <c r="M10059">
        <v>90221390</v>
      </c>
      <c r="O10059" t="s">
        <v>19926</v>
      </c>
      <c r="P10059" t="s">
        <v>19899</v>
      </c>
      <c r="Q10059" t="s">
        <v>19909</v>
      </c>
      <c r="R10059" t="s">
        <v>19447</v>
      </c>
      <c r="S10059" t="s">
        <v>19447</v>
      </c>
      <c r="T10059" t="s">
        <v>19900</v>
      </c>
    </row>
    <row r="10060" spans="2:20" x14ac:dyDescent="0.25">
      <c r="B10060" t="s">
        <v>2709</v>
      </c>
      <c r="C10060">
        <v>90221411</v>
      </c>
      <c r="E10060">
        <v>177.19</v>
      </c>
      <c r="F10060">
        <v>18</v>
      </c>
      <c r="G10060">
        <v>5</v>
      </c>
      <c r="H10060" t="s">
        <v>19447</v>
      </c>
      <c r="I10060" t="s">
        <v>19447</v>
      </c>
      <c r="J10060">
        <v>14</v>
      </c>
      <c r="L10060" t="s">
        <v>2709</v>
      </c>
      <c r="M10060">
        <v>90221411</v>
      </c>
      <c r="O10060" t="s">
        <v>19926</v>
      </c>
      <c r="P10060" t="s">
        <v>19899</v>
      </c>
      <c r="Q10060" t="s">
        <v>19909</v>
      </c>
      <c r="R10060" t="s">
        <v>19447</v>
      </c>
      <c r="S10060" t="s">
        <v>19447</v>
      </c>
      <c r="T10060" t="s">
        <v>19911</v>
      </c>
    </row>
    <row r="10061" spans="2:20" x14ac:dyDescent="0.25">
      <c r="B10061" t="s">
        <v>2709</v>
      </c>
      <c r="C10061">
        <v>90221412</v>
      </c>
      <c r="E10061">
        <v>177.19</v>
      </c>
      <c r="F10061">
        <v>18</v>
      </c>
      <c r="G10061">
        <v>5</v>
      </c>
      <c r="H10061" t="s">
        <v>19447</v>
      </c>
      <c r="I10061" t="s">
        <v>19447</v>
      </c>
      <c r="J10061">
        <v>0</v>
      </c>
      <c r="L10061" t="s">
        <v>2709</v>
      </c>
      <c r="M10061">
        <v>90221412</v>
      </c>
      <c r="O10061" t="s">
        <v>19926</v>
      </c>
      <c r="P10061" t="s">
        <v>19899</v>
      </c>
      <c r="Q10061" t="s">
        <v>19909</v>
      </c>
      <c r="R10061" t="s">
        <v>19447</v>
      </c>
      <c r="S10061" t="s">
        <v>19447</v>
      </c>
      <c r="T10061" t="s">
        <v>19900</v>
      </c>
    </row>
    <row r="10062" spans="2:20" x14ac:dyDescent="0.25">
      <c r="B10062" t="s">
        <v>2709</v>
      </c>
      <c r="C10062">
        <v>90221413</v>
      </c>
      <c r="E10062">
        <v>177.19</v>
      </c>
      <c r="F10062">
        <v>18</v>
      </c>
      <c r="G10062">
        <v>5</v>
      </c>
      <c r="H10062" t="s">
        <v>19447</v>
      </c>
      <c r="I10062" t="s">
        <v>19447</v>
      </c>
      <c r="J10062">
        <v>0</v>
      </c>
      <c r="L10062" t="s">
        <v>2709</v>
      </c>
      <c r="M10062">
        <v>90221413</v>
      </c>
      <c r="O10062" t="s">
        <v>19926</v>
      </c>
      <c r="P10062" t="s">
        <v>19899</v>
      </c>
      <c r="Q10062" t="s">
        <v>19909</v>
      </c>
      <c r="R10062" t="s">
        <v>19447</v>
      </c>
      <c r="S10062" t="s">
        <v>19447</v>
      </c>
      <c r="T10062" t="s">
        <v>19900</v>
      </c>
    </row>
    <row r="10063" spans="2:20" x14ac:dyDescent="0.25">
      <c r="B10063" t="s">
        <v>2709</v>
      </c>
      <c r="C10063">
        <v>90221419</v>
      </c>
      <c r="E10063">
        <v>177.19</v>
      </c>
      <c r="F10063">
        <v>18</v>
      </c>
      <c r="G10063">
        <v>5</v>
      </c>
      <c r="H10063" t="s">
        <v>19447</v>
      </c>
      <c r="I10063" t="s">
        <v>19447</v>
      </c>
      <c r="J10063">
        <v>14</v>
      </c>
      <c r="L10063" t="s">
        <v>2709</v>
      </c>
      <c r="M10063">
        <v>90221419</v>
      </c>
      <c r="O10063" t="s">
        <v>19926</v>
      </c>
      <c r="P10063" t="s">
        <v>19899</v>
      </c>
      <c r="Q10063" t="s">
        <v>19909</v>
      </c>
      <c r="R10063" t="s">
        <v>19447</v>
      </c>
      <c r="S10063" t="s">
        <v>19447</v>
      </c>
      <c r="T10063" t="s">
        <v>19911</v>
      </c>
    </row>
    <row r="10064" spans="2:20" x14ac:dyDescent="0.25">
      <c r="B10064" t="s">
        <v>2709</v>
      </c>
      <c r="C10064">
        <v>90221490</v>
      </c>
      <c r="E10064">
        <v>177.19</v>
      </c>
      <c r="F10064">
        <v>18</v>
      </c>
      <c r="G10064">
        <v>5</v>
      </c>
      <c r="H10064" t="s">
        <v>19447</v>
      </c>
      <c r="I10064" t="s">
        <v>19447</v>
      </c>
      <c r="J10064">
        <v>0</v>
      </c>
      <c r="L10064" t="s">
        <v>2709</v>
      </c>
      <c r="M10064">
        <v>90221490</v>
      </c>
      <c r="O10064" t="s">
        <v>19926</v>
      </c>
      <c r="P10064" t="s">
        <v>19899</v>
      </c>
      <c r="Q10064" t="s">
        <v>19909</v>
      </c>
      <c r="R10064" t="s">
        <v>19447</v>
      </c>
      <c r="S10064" t="s">
        <v>19447</v>
      </c>
      <c r="T10064" t="s">
        <v>19900</v>
      </c>
    </row>
    <row r="10065" spans="2:20" x14ac:dyDescent="0.25">
      <c r="B10065" t="s">
        <v>2709</v>
      </c>
      <c r="C10065">
        <v>90221910</v>
      </c>
      <c r="E10065">
        <v>177.19</v>
      </c>
      <c r="F10065">
        <v>12</v>
      </c>
      <c r="G10065">
        <v>5</v>
      </c>
      <c r="H10065" t="s">
        <v>19447</v>
      </c>
      <c r="I10065" t="s">
        <v>19447</v>
      </c>
      <c r="J10065">
        <v>0</v>
      </c>
      <c r="L10065" t="s">
        <v>2709</v>
      </c>
      <c r="M10065">
        <v>90221910</v>
      </c>
      <c r="O10065" t="s">
        <v>19926</v>
      </c>
      <c r="P10065" t="s">
        <v>19903</v>
      </c>
      <c r="Q10065" t="s">
        <v>19909</v>
      </c>
      <c r="R10065" t="s">
        <v>19447</v>
      </c>
      <c r="S10065" t="s">
        <v>19447</v>
      </c>
      <c r="T10065" t="s">
        <v>19900</v>
      </c>
    </row>
    <row r="10066" spans="2:20" x14ac:dyDescent="0.25">
      <c r="B10066" t="s">
        <v>2709</v>
      </c>
      <c r="C10066">
        <v>90221991</v>
      </c>
      <c r="E10066">
        <v>177.19</v>
      </c>
      <c r="F10066">
        <v>18</v>
      </c>
      <c r="G10066">
        <v>5</v>
      </c>
      <c r="H10066" t="s">
        <v>19447</v>
      </c>
      <c r="I10066" t="s">
        <v>19447</v>
      </c>
      <c r="J10066">
        <v>14</v>
      </c>
      <c r="L10066" t="s">
        <v>2709</v>
      </c>
      <c r="M10066">
        <v>90221991</v>
      </c>
      <c r="O10066" t="s">
        <v>19926</v>
      </c>
      <c r="P10066" t="s">
        <v>19899</v>
      </c>
      <c r="Q10066" t="s">
        <v>19909</v>
      </c>
      <c r="R10066" t="s">
        <v>19447</v>
      </c>
      <c r="S10066" t="s">
        <v>19447</v>
      </c>
      <c r="T10066" t="s">
        <v>19911</v>
      </c>
    </row>
    <row r="10067" spans="2:20" x14ac:dyDescent="0.25">
      <c r="B10067" t="s">
        <v>2709</v>
      </c>
      <c r="C10067">
        <v>90221999</v>
      </c>
      <c r="E10067">
        <v>177.19</v>
      </c>
      <c r="F10067">
        <v>12</v>
      </c>
      <c r="G10067">
        <v>5</v>
      </c>
      <c r="H10067" t="s">
        <v>19447</v>
      </c>
      <c r="I10067" t="s">
        <v>19447</v>
      </c>
      <c r="J10067">
        <v>0</v>
      </c>
      <c r="L10067" t="s">
        <v>2709</v>
      </c>
      <c r="M10067">
        <v>90221999</v>
      </c>
      <c r="O10067" t="s">
        <v>19926</v>
      </c>
      <c r="P10067" t="s">
        <v>19903</v>
      </c>
      <c r="Q10067" t="s">
        <v>19909</v>
      </c>
      <c r="R10067" t="s">
        <v>19447</v>
      </c>
      <c r="S10067" t="s">
        <v>19447</v>
      </c>
      <c r="T10067" t="s">
        <v>19900</v>
      </c>
    </row>
    <row r="10068" spans="2:20" x14ac:dyDescent="0.25">
      <c r="B10068" t="s">
        <v>2709</v>
      </c>
      <c r="C10068">
        <v>90222110</v>
      </c>
      <c r="E10068">
        <v>177.19</v>
      </c>
      <c r="F10068">
        <v>18</v>
      </c>
      <c r="G10068">
        <v>0</v>
      </c>
      <c r="H10068" t="s">
        <v>19447</v>
      </c>
      <c r="I10068" t="s">
        <v>19447</v>
      </c>
      <c r="J10068">
        <v>14</v>
      </c>
      <c r="L10068" t="s">
        <v>2709</v>
      </c>
      <c r="M10068">
        <v>90222110</v>
      </c>
      <c r="O10068" t="s">
        <v>19926</v>
      </c>
      <c r="P10068" t="s">
        <v>19899</v>
      </c>
      <c r="Q10068" t="s">
        <v>19900</v>
      </c>
      <c r="R10068" t="s">
        <v>19447</v>
      </c>
      <c r="S10068" t="s">
        <v>19447</v>
      </c>
      <c r="T10068" t="s">
        <v>19911</v>
      </c>
    </row>
    <row r="10069" spans="2:20" x14ac:dyDescent="0.25">
      <c r="B10069" t="s">
        <v>2709</v>
      </c>
      <c r="C10069">
        <v>90222120</v>
      </c>
      <c r="E10069">
        <v>177.19</v>
      </c>
      <c r="F10069">
        <v>18</v>
      </c>
      <c r="G10069">
        <v>0</v>
      </c>
      <c r="H10069" t="s">
        <v>19447</v>
      </c>
      <c r="I10069" t="s">
        <v>19447</v>
      </c>
      <c r="J10069">
        <v>0</v>
      </c>
      <c r="L10069" t="s">
        <v>2709</v>
      </c>
      <c r="M10069">
        <v>90222120</v>
      </c>
      <c r="O10069" t="s">
        <v>19926</v>
      </c>
      <c r="P10069" t="s">
        <v>19899</v>
      </c>
      <c r="Q10069" t="s">
        <v>19900</v>
      </c>
      <c r="R10069" t="s">
        <v>19447</v>
      </c>
      <c r="S10069" t="s">
        <v>19447</v>
      </c>
      <c r="T10069" t="s">
        <v>19900</v>
      </c>
    </row>
    <row r="10070" spans="2:20" x14ac:dyDescent="0.25">
      <c r="B10070" t="s">
        <v>2709</v>
      </c>
      <c r="C10070">
        <v>90222190</v>
      </c>
      <c r="E10070">
        <v>177.19</v>
      </c>
      <c r="F10070">
        <v>0</v>
      </c>
      <c r="G10070">
        <v>0</v>
      </c>
      <c r="H10070" t="s">
        <v>19447</v>
      </c>
      <c r="I10070" t="s">
        <v>19447</v>
      </c>
      <c r="J10070">
        <v>0</v>
      </c>
      <c r="L10070" t="s">
        <v>2709</v>
      </c>
      <c r="M10070">
        <v>90222190</v>
      </c>
      <c r="O10070" t="s">
        <v>19926</v>
      </c>
      <c r="P10070" t="s">
        <v>19900</v>
      </c>
      <c r="Q10070" t="s">
        <v>19900</v>
      </c>
      <c r="R10070" t="s">
        <v>19447</v>
      </c>
      <c r="S10070" t="s">
        <v>19447</v>
      </c>
      <c r="T10070" t="s">
        <v>19900</v>
      </c>
    </row>
    <row r="10071" spans="2:20" x14ac:dyDescent="0.25">
      <c r="B10071" t="s">
        <v>2709</v>
      </c>
      <c r="C10071">
        <v>90222910</v>
      </c>
      <c r="E10071">
        <v>177.19</v>
      </c>
      <c r="F10071">
        <v>18</v>
      </c>
      <c r="G10071">
        <v>0</v>
      </c>
      <c r="H10071" t="s">
        <v>19447</v>
      </c>
      <c r="I10071" t="s">
        <v>19447</v>
      </c>
      <c r="J10071">
        <v>0</v>
      </c>
      <c r="L10071" t="s">
        <v>2709</v>
      </c>
      <c r="M10071">
        <v>90222910</v>
      </c>
      <c r="O10071" t="s">
        <v>19926</v>
      </c>
      <c r="P10071" t="s">
        <v>19899</v>
      </c>
      <c r="Q10071" t="s">
        <v>19900</v>
      </c>
      <c r="R10071" t="s">
        <v>19447</v>
      </c>
      <c r="S10071" t="s">
        <v>19447</v>
      </c>
      <c r="T10071" t="s">
        <v>19900</v>
      </c>
    </row>
    <row r="10072" spans="2:20" x14ac:dyDescent="0.25">
      <c r="B10072" t="s">
        <v>2709</v>
      </c>
      <c r="C10072">
        <v>90222990</v>
      </c>
      <c r="E10072">
        <v>177.19</v>
      </c>
      <c r="F10072">
        <v>18</v>
      </c>
      <c r="G10072">
        <v>0</v>
      </c>
      <c r="H10072" t="s">
        <v>19447</v>
      </c>
      <c r="I10072" t="s">
        <v>19447</v>
      </c>
      <c r="J10072">
        <v>14</v>
      </c>
      <c r="L10072" t="s">
        <v>2709</v>
      </c>
      <c r="M10072">
        <v>90222990</v>
      </c>
      <c r="O10072" t="s">
        <v>19926</v>
      </c>
      <c r="P10072" t="s">
        <v>19899</v>
      </c>
      <c r="Q10072" t="s">
        <v>19900</v>
      </c>
      <c r="R10072" t="s">
        <v>19447</v>
      </c>
      <c r="S10072" t="s">
        <v>19447</v>
      </c>
      <c r="T10072" t="s">
        <v>19911</v>
      </c>
    </row>
    <row r="10073" spans="2:20" x14ac:dyDescent="0.25">
      <c r="B10073" t="s">
        <v>2709</v>
      </c>
      <c r="C10073">
        <v>90223000</v>
      </c>
      <c r="E10073">
        <v>177.19</v>
      </c>
      <c r="F10073">
        <v>18</v>
      </c>
      <c r="G10073">
        <v>0</v>
      </c>
      <c r="H10073" t="s">
        <v>19447</v>
      </c>
      <c r="I10073" t="s">
        <v>19447</v>
      </c>
      <c r="J10073">
        <v>0</v>
      </c>
      <c r="L10073" t="s">
        <v>2709</v>
      </c>
      <c r="M10073">
        <v>90223000</v>
      </c>
      <c r="O10073" t="s">
        <v>19926</v>
      </c>
      <c r="P10073" t="s">
        <v>19899</v>
      </c>
      <c r="Q10073" t="s">
        <v>19900</v>
      </c>
      <c r="R10073" t="s">
        <v>19447</v>
      </c>
      <c r="S10073" t="s">
        <v>19447</v>
      </c>
      <c r="T10073" t="s">
        <v>19900</v>
      </c>
    </row>
    <row r="10074" spans="2:20" x14ac:dyDescent="0.25">
      <c r="B10074" t="s">
        <v>2709</v>
      </c>
      <c r="C10074">
        <v>90229011</v>
      </c>
      <c r="E10074">
        <v>177.19</v>
      </c>
      <c r="F10074">
        <v>18</v>
      </c>
      <c r="G10074">
        <v>5</v>
      </c>
      <c r="H10074" t="s">
        <v>19447</v>
      </c>
      <c r="I10074" t="s">
        <v>19447</v>
      </c>
      <c r="J10074">
        <v>14</v>
      </c>
      <c r="L10074" t="s">
        <v>2709</v>
      </c>
      <c r="M10074">
        <v>90229011</v>
      </c>
      <c r="O10074" t="s">
        <v>19926</v>
      </c>
      <c r="P10074" t="s">
        <v>19899</v>
      </c>
      <c r="Q10074" t="s">
        <v>19909</v>
      </c>
      <c r="R10074" t="s">
        <v>19447</v>
      </c>
      <c r="S10074" t="s">
        <v>19447</v>
      </c>
      <c r="T10074" t="s">
        <v>19911</v>
      </c>
    </row>
    <row r="10075" spans="2:20" x14ac:dyDescent="0.25">
      <c r="B10075" t="s">
        <v>2709</v>
      </c>
      <c r="C10075">
        <v>90229012</v>
      </c>
      <c r="E10075">
        <v>177.19</v>
      </c>
      <c r="F10075">
        <v>18</v>
      </c>
      <c r="G10075">
        <v>5</v>
      </c>
      <c r="H10075" t="s">
        <v>19447</v>
      </c>
      <c r="I10075" t="s">
        <v>19447</v>
      </c>
      <c r="J10075">
        <v>14</v>
      </c>
      <c r="L10075" t="s">
        <v>2709</v>
      </c>
      <c r="M10075">
        <v>90229012</v>
      </c>
      <c r="O10075" t="s">
        <v>19926</v>
      </c>
      <c r="P10075" t="s">
        <v>19899</v>
      </c>
      <c r="Q10075" t="s">
        <v>19909</v>
      </c>
      <c r="R10075" t="s">
        <v>19447</v>
      </c>
      <c r="S10075" t="s">
        <v>19447</v>
      </c>
      <c r="T10075" t="s">
        <v>19911</v>
      </c>
    </row>
    <row r="10076" spans="2:20" x14ac:dyDescent="0.25">
      <c r="B10076" t="s">
        <v>2709</v>
      </c>
      <c r="C10076">
        <v>90229019</v>
      </c>
      <c r="E10076">
        <v>177.19</v>
      </c>
      <c r="F10076">
        <v>18</v>
      </c>
      <c r="G10076">
        <v>5</v>
      </c>
      <c r="H10076" t="s">
        <v>19447</v>
      </c>
      <c r="I10076" t="s">
        <v>19447</v>
      </c>
      <c r="J10076">
        <v>14</v>
      </c>
      <c r="L10076" t="s">
        <v>2709</v>
      </c>
      <c r="M10076">
        <v>90229019</v>
      </c>
      <c r="O10076" t="s">
        <v>19926</v>
      </c>
      <c r="P10076" t="s">
        <v>19899</v>
      </c>
      <c r="Q10076" t="s">
        <v>19909</v>
      </c>
      <c r="R10076" t="s">
        <v>19447</v>
      </c>
      <c r="S10076" t="s">
        <v>19447</v>
      </c>
      <c r="T10076" t="s">
        <v>19911</v>
      </c>
    </row>
    <row r="10077" spans="2:20" x14ac:dyDescent="0.25">
      <c r="B10077" t="s">
        <v>2709</v>
      </c>
      <c r="C10077">
        <v>90229080</v>
      </c>
      <c r="E10077">
        <v>177.19</v>
      </c>
      <c r="F10077">
        <v>18</v>
      </c>
      <c r="G10077">
        <v>5</v>
      </c>
      <c r="H10077" t="s">
        <v>19447</v>
      </c>
      <c r="I10077" t="s">
        <v>19447</v>
      </c>
      <c r="J10077">
        <v>14</v>
      </c>
      <c r="L10077" t="s">
        <v>2709</v>
      </c>
      <c r="M10077">
        <v>90229080</v>
      </c>
      <c r="O10077" t="s">
        <v>19926</v>
      </c>
      <c r="P10077" t="s">
        <v>19899</v>
      </c>
      <c r="Q10077" t="s">
        <v>19909</v>
      </c>
      <c r="R10077" t="s">
        <v>19447</v>
      </c>
      <c r="S10077" t="s">
        <v>19447</v>
      </c>
      <c r="T10077" t="s">
        <v>19911</v>
      </c>
    </row>
    <row r="10078" spans="2:20" x14ac:dyDescent="0.25">
      <c r="B10078" t="s">
        <v>2709</v>
      </c>
      <c r="C10078">
        <v>90229090</v>
      </c>
      <c r="E10078">
        <v>177.19</v>
      </c>
      <c r="F10078">
        <v>18</v>
      </c>
      <c r="G10078">
        <v>5</v>
      </c>
      <c r="H10078" t="s">
        <v>19447</v>
      </c>
      <c r="I10078" t="s">
        <v>19447</v>
      </c>
      <c r="J10078">
        <v>14</v>
      </c>
      <c r="L10078" t="s">
        <v>2709</v>
      </c>
      <c r="M10078">
        <v>90229090</v>
      </c>
      <c r="O10078" t="s">
        <v>19926</v>
      </c>
      <c r="P10078" t="s">
        <v>19899</v>
      </c>
      <c r="Q10078" t="s">
        <v>19909</v>
      </c>
      <c r="R10078" t="s">
        <v>19447</v>
      </c>
      <c r="S10078" t="s">
        <v>19447</v>
      </c>
      <c r="T10078" t="s">
        <v>19911</v>
      </c>
    </row>
    <row r="10079" spans="2:20" x14ac:dyDescent="0.25">
      <c r="B10079" t="s">
        <v>2709</v>
      </c>
      <c r="C10079">
        <v>90230000</v>
      </c>
      <c r="E10079">
        <v>177.19</v>
      </c>
      <c r="F10079">
        <v>18</v>
      </c>
      <c r="G10079">
        <v>15</v>
      </c>
      <c r="H10079" t="s">
        <v>19447</v>
      </c>
      <c r="I10079" t="s">
        <v>19447</v>
      </c>
      <c r="J10079">
        <v>16</v>
      </c>
      <c r="L10079" t="s">
        <v>2709</v>
      </c>
      <c r="M10079">
        <v>90230000</v>
      </c>
      <c r="O10079" t="s">
        <v>19926</v>
      </c>
      <c r="P10079" t="s">
        <v>19899</v>
      </c>
      <c r="Q10079" t="s">
        <v>19983</v>
      </c>
      <c r="R10079" t="s">
        <v>19447</v>
      </c>
      <c r="S10079" t="s">
        <v>19447</v>
      </c>
      <c r="T10079" t="s">
        <v>19913</v>
      </c>
    </row>
    <row r="10080" spans="2:20" x14ac:dyDescent="0.25">
      <c r="B10080" t="s">
        <v>2709</v>
      </c>
      <c r="C10080">
        <v>90230000</v>
      </c>
      <c r="D10080">
        <v>1</v>
      </c>
      <c r="E10080" t="s">
        <v>19447</v>
      </c>
      <c r="F10080">
        <v>18</v>
      </c>
      <c r="G10080">
        <v>0</v>
      </c>
      <c r="H10080">
        <v>7.6</v>
      </c>
      <c r="I10080">
        <v>1.65</v>
      </c>
      <c r="J10080">
        <v>16</v>
      </c>
      <c r="L10080" t="s">
        <v>2709</v>
      </c>
      <c r="M10080">
        <v>90230000</v>
      </c>
      <c r="N10080">
        <v>1</v>
      </c>
      <c r="O10080" t="s">
        <v>19447</v>
      </c>
      <c r="P10080" t="s">
        <v>19899</v>
      </c>
      <c r="Q10080" t="s">
        <v>19900</v>
      </c>
      <c r="R10080" t="s">
        <v>19905</v>
      </c>
      <c r="S10080" t="s">
        <v>19906</v>
      </c>
      <c r="T10080" t="s">
        <v>19913</v>
      </c>
    </row>
    <row r="10081" spans="2:20" x14ac:dyDescent="0.25">
      <c r="B10081" t="s">
        <v>2709</v>
      </c>
      <c r="C10081">
        <v>90230000</v>
      </c>
      <c r="D10081">
        <v>2</v>
      </c>
      <c r="E10081" t="s">
        <v>19447</v>
      </c>
      <c r="F10081">
        <v>18</v>
      </c>
      <c r="G10081">
        <v>0</v>
      </c>
      <c r="H10081">
        <v>7.6</v>
      </c>
      <c r="I10081">
        <v>1.65</v>
      </c>
      <c r="J10081">
        <v>16</v>
      </c>
      <c r="L10081" t="s">
        <v>2709</v>
      </c>
      <c r="M10081">
        <v>90230000</v>
      </c>
      <c r="N10081">
        <v>2</v>
      </c>
      <c r="O10081" t="s">
        <v>19447</v>
      </c>
      <c r="P10081" t="s">
        <v>19899</v>
      </c>
      <c r="Q10081" t="s">
        <v>19900</v>
      </c>
      <c r="R10081" t="s">
        <v>19905</v>
      </c>
      <c r="S10081" t="s">
        <v>19906</v>
      </c>
      <c r="T10081" t="s">
        <v>19913</v>
      </c>
    </row>
    <row r="10082" spans="2:20" x14ac:dyDescent="0.25">
      <c r="B10082" t="s">
        <v>2709</v>
      </c>
      <c r="C10082">
        <v>90241010</v>
      </c>
      <c r="E10082">
        <v>177.19</v>
      </c>
      <c r="F10082">
        <v>12</v>
      </c>
      <c r="G10082">
        <v>0</v>
      </c>
      <c r="H10082" t="s">
        <v>19447</v>
      </c>
      <c r="I10082" t="s">
        <v>19447</v>
      </c>
      <c r="J10082">
        <v>14</v>
      </c>
      <c r="L10082" t="s">
        <v>2709</v>
      </c>
      <c r="M10082">
        <v>90241010</v>
      </c>
      <c r="O10082" t="s">
        <v>19926</v>
      </c>
      <c r="P10082" t="s">
        <v>19903</v>
      </c>
      <c r="Q10082" t="s">
        <v>19900</v>
      </c>
      <c r="R10082" t="s">
        <v>19447</v>
      </c>
      <c r="S10082" t="s">
        <v>19447</v>
      </c>
      <c r="T10082" t="s">
        <v>19911</v>
      </c>
    </row>
    <row r="10083" spans="2:20" x14ac:dyDescent="0.25">
      <c r="B10083" t="s">
        <v>2709</v>
      </c>
      <c r="C10083">
        <v>90241020</v>
      </c>
      <c r="E10083">
        <v>177.19</v>
      </c>
      <c r="F10083">
        <v>12</v>
      </c>
      <c r="G10083">
        <v>0</v>
      </c>
      <c r="H10083" t="s">
        <v>19447</v>
      </c>
      <c r="I10083" t="s">
        <v>19447</v>
      </c>
      <c r="J10083">
        <v>14</v>
      </c>
      <c r="L10083" t="s">
        <v>2709</v>
      </c>
      <c r="M10083">
        <v>90241020</v>
      </c>
      <c r="O10083" t="s">
        <v>19926</v>
      </c>
      <c r="P10083" t="s">
        <v>19903</v>
      </c>
      <c r="Q10083" t="s">
        <v>19900</v>
      </c>
      <c r="R10083" t="s">
        <v>19447</v>
      </c>
      <c r="S10083" t="s">
        <v>19447</v>
      </c>
      <c r="T10083" t="s">
        <v>19911</v>
      </c>
    </row>
    <row r="10084" spans="2:20" x14ac:dyDescent="0.25">
      <c r="B10084" t="s">
        <v>2709</v>
      </c>
      <c r="C10084">
        <v>90241090</v>
      </c>
      <c r="E10084">
        <v>177.19</v>
      </c>
      <c r="F10084">
        <v>12</v>
      </c>
      <c r="G10084">
        <v>0</v>
      </c>
      <c r="H10084" t="s">
        <v>19447</v>
      </c>
      <c r="I10084" t="s">
        <v>19447</v>
      </c>
      <c r="J10084">
        <v>14</v>
      </c>
      <c r="L10084" t="s">
        <v>2709</v>
      </c>
      <c r="M10084">
        <v>90241090</v>
      </c>
      <c r="O10084" t="s">
        <v>19926</v>
      </c>
      <c r="P10084" t="s">
        <v>19903</v>
      </c>
      <c r="Q10084" t="s">
        <v>19900</v>
      </c>
      <c r="R10084" t="s">
        <v>19447</v>
      </c>
      <c r="S10084" t="s">
        <v>19447</v>
      </c>
      <c r="T10084" t="s">
        <v>19911</v>
      </c>
    </row>
    <row r="10085" spans="2:20" x14ac:dyDescent="0.25">
      <c r="B10085" t="s">
        <v>2709</v>
      </c>
      <c r="C10085">
        <v>90248011</v>
      </c>
      <c r="E10085">
        <v>177.19</v>
      </c>
      <c r="F10085">
        <v>12</v>
      </c>
      <c r="G10085">
        <v>0</v>
      </c>
      <c r="H10085" t="s">
        <v>19447</v>
      </c>
      <c r="I10085" t="s">
        <v>19447</v>
      </c>
      <c r="J10085">
        <v>0</v>
      </c>
      <c r="L10085" t="s">
        <v>2709</v>
      </c>
      <c r="M10085">
        <v>90248011</v>
      </c>
      <c r="O10085" t="s">
        <v>19926</v>
      </c>
      <c r="P10085" t="s">
        <v>19903</v>
      </c>
      <c r="Q10085" t="s">
        <v>19900</v>
      </c>
      <c r="R10085" t="s">
        <v>19447</v>
      </c>
      <c r="S10085" t="s">
        <v>19447</v>
      </c>
      <c r="T10085" t="s">
        <v>19900</v>
      </c>
    </row>
    <row r="10086" spans="2:20" x14ac:dyDescent="0.25">
      <c r="B10086" t="s">
        <v>2709</v>
      </c>
      <c r="C10086">
        <v>90248019</v>
      </c>
      <c r="E10086">
        <v>177.19</v>
      </c>
      <c r="F10086">
        <v>12</v>
      </c>
      <c r="G10086">
        <v>0</v>
      </c>
      <c r="H10086" t="s">
        <v>19447</v>
      </c>
      <c r="I10086" t="s">
        <v>19447</v>
      </c>
      <c r="J10086">
        <v>14</v>
      </c>
      <c r="L10086" t="s">
        <v>2709</v>
      </c>
      <c r="M10086">
        <v>90248019</v>
      </c>
      <c r="O10086" t="s">
        <v>19926</v>
      </c>
      <c r="P10086" t="s">
        <v>19903</v>
      </c>
      <c r="Q10086" t="s">
        <v>19900</v>
      </c>
      <c r="R10086" t="s">
        <v>19447</v>
      </c>
      <c r="S10086" t="s">
        <v>19447</v>
      </c>
      <c r="T10086" t="s">
        <v>19911</v>
      </c>
    </row>
    <row r="10087" spans="2:20" x14ac:dyDescent="0.25">
      <c r="B10087" t="s">
        <v>2709</v>
      </c>
      <c r="C10087">
        <v>90248021</v>
      </c>
      <c r="E10087">
        <v>177.19</v>
      </c>
      <c r="F10087">
        <v>12</v>
      </c>
      <c r="G10087">
        <v>0</v>
      </c>
      <c r="H10087" t="s">
        <v>19447</v>
      </c>
      <c r="I10087" t="s">
        <v>19447</v>
      </c>
      <c r="J10087">
        <v>0</v>
      </c>
      <c r="L10087" t="s">
        <v>2709</v>
      </c>
      <c r="M10087">
        <v>90248021</v>
      </c>
      <c r="O10087" t="s">
        <v>19926</v>
      </c>
      <c r="P10087" t="s">
        <v>19903</v>
      </c>
      <c r="Q10087" t="s">
        <v>19900</v>
      </c>
      <c r="R10087" t="s">
        <v>19447</v>
      </c>
      <c r="S10087" t="s">
        <v>19447</v>
      </c>
      <c r="T10087" t="s">
        <v>19900</v>
      </c>
    </row>
    <row r="10088" spans="2:20" x14ac:dyDescent="0.25">
      <c r="B10088" t="s">
        <v>2709</v>
      </c>
      <c r="C10088">
        <v>90248029</v>
      </c>
      <c r="E10088">
        <v>177.19</v>
      </c>
      <c r="F10088">
        <v>12</v>
      </c>
      <c r="G10088">
        <v>0</v>
      </c>
      <c r="H10088" t="s">
        <v>19447</v>
      </c>
      <c r="I10088" t="s">
        <v>19447</v>
      </c>
      <c r="J10088">
        <v>14</v>
      </c>
      <c r="L10088" t="s">
        <v>2709</v>
      </c>
      <c r="M10088">
        <v>90248029</v>
      </c>
      <c r="O10088" t="s">
        <v>19926</v>
      </c>
      <c r="P10088" t="s">
        <v>19903</v>
      </c>
      <c r="Q10088" t="s">
        <v>19900</v>
      </c>
      <c r="R10088" t="s">
        <v>19447</v>
      </c>
      <c r="S10088" t="s">
        <v>19447</v>
      </c>
      <c r="T10088" t="s">
        <v>19911</v>
      </c>
    </row>
    <row r="10089" spans="2:20" x14ac:dyDescent="0.25">
      <c r="B10089" t="s">
        <v>2709</v>
      </c>
      <c r="C10089">
        <v>90248090</v>
      </c>
      <c r="E10089">
        <v>177.19</v>
      </c>
      <c r="F10089">
        <v>12</v>
      </c>
      <c r="G10089">
        <v>0</v>
      </c>
      <c r="H10089" t="s">
        <v>19447</v>
      </c>
      <c r="I10089" t="s">
        <v>19447</v>
      </c>
      <c r="J10089">
        <v>14</v>
      </c>
      <c r="L10089" t="s">
        <v>2709</v>
      </c>
      <c r="M10089">
        <v>90248090</v>
      </c>
      <c r="O10089" t="s">
        <v>19926</v>
      </c>
      <c r="P10089" t="s">
        <v>19903</v>
      </c>
      <c r="Q10089" t="s">
        <v>19900</v>
      </c>
      <c r="R10089" t="s">
        <v>19447</v>
      </c>
      <c r="S10089" t="s">
        <v>19447</v>
      </c>
      <c r="T10089" t="s">
        <v>19911</v>
      </c>
    </row>
    <row r="10090" spans="2:20" x14ac:dyDescent="0.25">
      <c r="B10090" t="s">
        <v>2709</v>
      </c>
      <c r="C10090">
        <v>90249000</v>
      </c>
      <c r="E10090">
        <v>177.19</v>
      </c>
      <c r="F10090">
        <v>18</v>
      </c>
      <c r="G10090">
        <v>5</v>
      </c>
      <c r="H10090" t="s">
        <v>19447</v>
      </c>
      <c r="I10090" t="s">
        <v>19447</v>
      </c>
      <c r="J10090">
        <v>14</v>
      </c>
      <c r="L10090" t="s">
        <v>2709</v>
      </c>
      <c r="M10090">
        <v>90249000</v>
      </c>
      <c r="O10090" t="s">
        <v>19926</v>
      </c>
      <c r="P10090" t="s">
        <v>19899</v>
      </c>
      <c r="Q10090" t="s">
        <v>19909</v>
      </c>
      <c r="R10090" t="s">
        <v>19447</v>
      </c>
      <c r="S10090" t="s">
        <v>19447</v>
      </c>
      <c r="T10090" t="s">
        <v>19911</v>
      </c>
    </row>
    <row r="10091" spans="2:20" x14ac:dyDescent="0.25">
      <c r="B10091" t="s">
        <v>2709</v>
      </c>
      <c r="C10091">
        <v>90251110</v>
      </c>
      <c r="E10091">
        <v>177.19</v>
      </c>
      <c r="F10091">
        <v>18</v>
      </c>
      <c r="G10091">
        <v>15</v>
      </c>
      <c r="H10091" t="s">
        <v>19447</v>
      </c>
      <c r="I10091" t="s">
        <v>19447</v>
      </c>
      <c r="J10091">
        <v>18</v>
      </c>
      <c r="L10091" t="s">
        <v>2709</v>
      </c>
      <c r="M10091">
        <v>90251110</v>
      </c>
      <c r="O10091" t="s">
        <v>19926</v>
      </c>
      <c r="P10091" t="s">
        <v>19899</v>
      </c>
      <c r="Q10091" t="s">
        <v>19983</v>
      </c>
      <c r="R10091" t="s">
        <v>19447</v>
      </c>
      <c r="S10091" t="s">
        <v>19447</v>
      </c>
      <c r="T10091" t="s">
        <v>19899</v>
      </c>
    </row>
    <row r="10092" spans="2:20" x14ac:dyDescent="0.25">
      <c r="B10092" t="s">
        <v>2709</v>
      </c>
      <c r="C10092">
        <v>90251190</v>
      </c>
      <c r="E10092">
        <v>66</v>
      </c>
      <c r="F10092">
        <v>18</v>
      </c>
      <c r="G10092">
        <v>15</v>
      </c>
      <c r="H10092" t="s">
        <v>19447</v>
      </c>
      <c r="I10092" t="s">
        <v>19447</v>
      </c>
      <c r="J10092">
        <v>18</v>
      </c>
      <c r="L10092" t="s">
        <v>2709</v>
      </c>
      <c r="M10092">
        <v>90251190</v>
      </c>
      <c r="O10092" t="s">
        <v>20143</v>
      </c>
      <c r="P10092" t="s">
        <v>19899</v>
      </c>
      <c r="Q10092" t="s">
        <v>19983</v>
      </c>
      <c r="R10092" t="s">
        <v>19447</v>
      </c>
      <c r="S10092" t="s">
        <v>19447</v>
      </c>
      <c r="T10092" t="s">
        <v>19899</v>
      </c>
    </row>
    <row r="10093" spans="2:20" x14ac:dyDescent="0.25">
      <c r="B10093" t="s">
        <v>2709</v>
      </c>
      <c r="C10093">
        <v>90251910</v>
      </c>
      <c r="E10093">
        <v>67</v>
      </c>
      <c r="F10093">
        <v>18</v>
      </c>
      <c r="G10093">
        <v>15</v>
      </c>
      <c r="H10093" t="s">
        <v>19447</v>
      </c>
      <c r="I10093" t="s">
        <v>19447</v>
      </c>
      <c r="J10093">
        <v>0</v>
      </c>
      <c r="L10093" t="s">
        <v>2709</v>
      </c>
      <c r="M10093">
        <v>90251910</v>
      </c>
      <c r="O10093" t="s">
        <v>20114</v>
      </c>
      <c r="P10093" t="s">
        <v>19899</v>
      </c>
      <c r="Q10093" t="s">
        <v>19983</v>
      </c>
      <c r="R10093" t="s">
        <v>19447</v>
      </c>
      <c r="S10093" t="s">
        <v>19447</v>
      </c>
      <c r="T10093" t="s">
        <v>19900</v>
      </c>
    </row>
    <row r="10094" spans="2:20" x14ac:dyDescent="0.25">
      <c r="B10094" t="s">
        <v>2709</v>
      </c>
      <c r="C10094">
        <v>90251990</v>
      </c>
      <c r="E10094">
        <v>177.19</v>
      </c>
      <c r="F10094">
        <v>12</v>
      </c>
      <c r="G10094">
        <v>15</v>
      </c>
      <c r="H10094" t="s">
        <v>19447</v>
      </c>
      <c r="I10094" t="s">
        <v>19447</v>
      </c>
      <c r="J10094">
        <v>18</v>
      </c>
      <c r="L10094" t="s">
        <v>2709</v>
      </c>
      <c r="M10094">
        <v>90251990</v>
      </c>
      <c r="O10094" t="s">
        <v>19926</v>
      </c>
      <c r="P10094" t="s">
        <v>19903</v>
      </c>
      <c r="Q10094" t="s">
        <v>19983</v>
      </c>
      <c r="R10094" t="s">
        <v>19447</v>
      </c>
      <c r="S10094" t="s">
        <v>19447</v>
      </c>
      <c r="T10094" t="s">
        <v>19899</v>
      </c>
    </row>
    <row r="10095" spans="2:20" x14ac:dyDescent="0.25">
      <c r="B10095" t="s">
        <v>2709</v>
      </c>
      <c r="C10095">
        <v>90258000</v>
      </c>
      <c r="E10095">
        <v>177.19</v>
      </c>
      <c r="F10095">
        <v>12</v>
      </c>
      <c r="G10095">
        <v>15</v>
      </c>
      <c r="H10095" t="s">
        <v>19447</v>
      </c>
      <c r="I10095" t="s">
        <v>19447</v>
      </c>
      <c r="J10095">
        <v>18</v>
      </c>
      <c r="L10095" t="s">
        <v>2709</v>
      </c>
      <c r="M10095">
        <v>90258000</v>
      </c>
      <c r="O10095" t="s">
        <v>19926</v>
      </c>
      <c r="P10095" t="s">
        <v>19903</v>
      </c>
      <c r="Q10095" t="s">
        <v>19983</v>
      </c>
      <c r="R10095" t="s">
        <v>19447</v>
      </c>
      <c r="S10095" t="s">
        <v>19447</v>
      </c>
      <c r="T10095" t="s">
        <v>19899</v>
      </c>
    </row>
    <row r="10096" spans="2:20" x14ac:dyDescent="0.25">
      <c r="B10096" t="s">
        <v>2709</v>
      </c>
      <c r="C10096">
        <v>90259010</v>
      </c>
      <c r="E10096">
        <v>71.78</v>
      </c>
      <c r="F10096">
        <v>12</v>
      </c>
      <c r="G10096">
        <v>15</v>
      </c>
      <c r="H10096" t="s">
        <v>19447</v>
      </c>
      <c r="I10096" t="s">
        <v>19447</v>
      </c>
      <c r="J10096">
        <v>16</v>
      </c>
      <c r="L10096" t="s">
        <v>2709</v>
      </c>
      <c r="M10096">
        <v>90259010</v>
      </c>
      <c r="O10096" t="s">
        <v>20056</v>
      </c>
      <c r="P10096" t="s">
        <v>19903</v>
      </c>
      <c r="Q10096" t="s">
        <v>19983</v>
      </c>
      <c r="R10096" t="s">
        <v>19447</v>
      </c>
      <c r="S10096" t="s">
        <v>19447</v>
      </c>
      <c r="T10096" t="s">
        <v>19913</v>
      </c>
    </row>
    <row r="10097" spans="2:20" x14ac:dyDescent="0.25">
      <c r="B10097" t="s">
        <v>2709</v>
      </c>
      <c r="C10097">
        <v>90259090</v>
      </c>
      <c r="E10097">
        <v>67</v>
      </c>
      <c r="F10097">
        <v>12</v>
      </c>
      <c r="G10097">
        <v>15</v>
      </c>
      <c r="H10097" t="s">
        <v>19447</v>
      </c>
      <c r="I10097" t="s">
        <v>19447</v>
      </c>
      <c r="J10097">
        <v>16</v>
      </c>
      <c r="L10097" t="s">
        <v>2709</v>
      </c>
      <c r="M10097">
        <v>90259090</v>
      </c>
      <c r="O10097" t="s">
        <v>20114</v>
      </c>
      <c r="P10097" t="s">
        <v>19903</v>
      </c>
      <c r="Q10097" t="s">
        <v>19983</v>
      </c>
      <c r="R10097" t="s">
        <v>19447</v>
      </c>
      <c r="S10097" t="s">
        <v>19447</v>
      </c>
      <c r="T10097" t="s">
        <v>19913</v>
      </c>
    </row>
    <row r="10098" spans="2:20" x14ac:dyDescent="0.25">
      <c r="B10098" t="s">
        <v>2709</v>
      </c>
      <c r="C10098">
        <v>90261011</v>
      </c>
      <c r="E10098">
        <v>71.78</v>
      </c>
      <c r="F10098">
        <v>12</v>
      </c>
      <c r="G10098">
        <v>15</v>
      </c>
      <c r="H10098" t="s">
        <v>19447</v>
      </c>
      <c r="I10098" t="s">
        <v>19447</v>
      </c>
      <c r="J10098">
        <v>14</v>
      </c>
      <c r="L10098" t="s">
        <v>2709</v>
      </c>
      <c r="M10098">
        <v>90261011</v>
      </c>
      <c r="O10098" t="s">
        <v>20056</v>
      </c>
      <c r="P10098" t="s">
        <v>19903</v>
      </c>
      <c r="Q10098" t="s">
        <v>19983</v>
      </c>
      <c r="R10098" t="s">
        <v>19447</v>
      </c>
      <c r="S10098" t="s">
        <v>19447</v>
      </c>
      <c r="T10098" t="s">
        <v>19911</v>
      </c>
    </row>
    <row r="10099" spans="2:20" x14ac:dyDescent="0.25">
      <c r="B10099" t="s">
        <v>2709</v>
      </c>
      <c r="C10099">
        <v>90261019</v>
      </c>
      <c r="E10099">
        <v>71.78</v>
      </c>
      <c r="F10099">
        <v>12</v>
      </c>
      <c r="G10099">
        <v>15</v>
      </c>
      <c r="H10099" t="s">
        <v>19447</v>
      </c>
      <c r="I10099" t="s">
        <v>19447</v>
      </c>
      <c r="J10099">
        <v>18</v>
      </c>
      <c r="L10099" t="s">
        <v>2709</v>
      </c>
      <c r="M10099">
        <v>90261019</v>
      </c>
      <c r="O10099" t="s">
        <v>20056</v>
      </c>
      <c r="P10099" t="s">
        <v>19903</v>
      </c>
      <c r="Q10099" t="s">
        <v>19983</v>
      </c>
      <c r="R10099" t="s">
        <v>19447</v>
      </c>
      <c r="S10099" t="s">
        <v>19447</v>
      </c>
      <c r="T10099" t="s">
        <v>19899</v>
      </c>
    </row>
    <row r="10100" spans="2:20" x14ac:dyDescent="0.25">
      <c r="B10100" t="s">
        <v>2709</v>
      </c>
      <c r="C10100">
        <v>90261021</v>
      </c>
      <c r="E10100">
        <v>71.78</v>
      </c>
      <c r="F10100">
        <v>18</v>
      </c>
      <c r="G10100">
        <v>0</v>
      </c>
      <c r="H10100" t="s">
        <v>19447</v>
      </c>
      <c r="I10100" t="s">
        <v>19447</v>
      </c>
      <c r="J10100">
        <v>2</v>
      </c>
      <c r="L10100" t="s">
        <v>2709</v>
      </c>
      <c r="M10100">
        <v>90261021</v>
      </c>
      <c r="O10100" t="s">
        <v>20056</v>
      </c>
      <c r="P10100" t="s">
        <v>19899</v>
      </c>
      <c r="Q10100" t="s">
        <v>19900</v>
      </c>
      <c r="R10100" t="s">
        <v>19447</v>
      </c>
      <c r="S10100" t="s">
        <v>19447</v>
      </c>
      <c r="T10100" t="s">
        <v>19901</v>
      </c>
    </row>
    <row r="10101" spans="2:20" x14ac:dyDescent="0.25">
      <c r="B10101" t="s">
        <v>2709</v>
      </c>
      <c r="C10101">
        <v>90261029</v>
      </c>
      <c r="E10101">
        <v>71.78</v>
      </c>
      <c r="F10101">
        <v>12</v>
      </c>
      <c r="G10101">
        <v>0</v>
      </c>
      <c r="H10101" t="s">
        <v>19447</v>
      </c>
      <c r="I10101" t="s">
        <v>19447</v>
      </c>
      <c r="J10101">
        <v>18</v>
      </c>
      <c r="L10101" t="s">
        <v>2709</v>
      </c>
      <c r="M10101">
        <v>90261029</v>
      </c>
      <c r="O10101" t="s">
        <v>20056</v>
      </c>
      <c r="P10101" t="s">
        <v>19903</v>
      </c>
      <c r="Q10101" t="s">
        <v>19900</v>
      </c>
      <c r="R10101" t="s">
        <v>19447</v>
      </c>
      <c r="S10101" t="s">
        <v>19447</v>
      </c>
      <c r="T10101" t="s">
        <v>19899</v>
      </c>
    </row>
    <row r="10102" spans="2:20" x14ac:dyDescent="0.25">
      <c r="B10102" t="s">
        <v>2709</v>
      </c>
      <c r="C10102">
        <v>90262010</v>
      </c>
      <c r="E10102">
        <v>71.78</v>
      </c>
      <c r="F10102">
        <v>12</v>
      </c>
      <c r="G10102">
        <v>0</v>
      </c>
      <c r="H10102" t="s">
        <v>19447</v>
      </c>
      <c r="I10102" t="s">
        <v>19447</v>
      </c>
      <c r="J10102">
        <v>18</v>
      </c>
      <c r="L10102" t="s">
        <v>2709</v>
      </c>
      <c r="M10102">
        <v>90262010</v>
      </c>
      <c r="O10102" t="s">
        <v>20056</v>
      </c>
      <c r="P10102" t="s">
        <v>19903</v>
      </c>
      <c r="Q10102" t="s">
        <v>19900</v>
      </c>
      <c r="R10102" t="s">
        <v>19447</v>
      </c>
      <c r="S10102" t="s">
        <v>19447</v>
      </c>
      <c r="T10102" t="s">
        <v>19899</v>
      </c>
    </row>
    <row r="10103" spans="2:20" x14ac:dyDescent="0.25">
      <c r="B10103" t="s">
        <v>2709</v>
      </c>
      <c r="C10103">
        <v>90262090</v>
      </c>
      <c r="E10103">
        <v>71.78</v>
      </c>
      <c r="F10103">
        <v>12</v>
      </c>
      <c r="G10103">
        <v>0</v>
      </c>
      <c r="H10103" t="s">
        <v>19447</v>
      </c>
      <c r="I10103" t="s">
        <v>19447</v>
      </c>
      <c r="J10103">
        <v>18</v>
      </c>
      <c r="L10103" t="s">
        <v>2709</v>
      </c>
      <c r="M10103">
        <v>90262090</v>
      </c>
      <c r="O10103" t="s">
        <v>20056</v>
      </c>
      <c r="P10103" t="s">
        <v>19903</v>
      </c>
      <c r="Q10103" t="s">
        <v>19900</v>
      </c>
      <c r="R10103" t="s">
        <v>19447</v>
      </c>
      <c r="S10103" t="s">
        <v>19447</v>
      </c>
      <c r="T10103" t="s">
        <v>19899</v>
      </c>
    </row>
    <row r="10104" spans="2:20" x14ac:dyDescent="0.25">
      <c r="B10104" t="s">
        <v>2709</v>
      </c>
      <c r="C10104">
        <v>90268000</v>
      </c>
      <c r="E10104">
        <v>177.19</v>
      </c>
      <c r="F10104">
        <v>18</v>
      </c>
      <c r="G10104">
        <v>15</v>
      </c>
      <c r="H10104" t="s">
        <v>19447</v>
      </c>
      <c r="I10104" t="s">
        <v>19447</v>
      </c>
      <c r="J10104">
        <v>18</v>
      </c>
      <c r="L10104" t="s">
        <v>2709</v>
      </c>
      <c r="M10104">
        <v>90268000</v>
      </c>
      <c r="O10104" t="s">
        <v>19926</v>
      </c>
      <c r="P10104" t="s">
        <v>19899</v>
      </c>
      <c r="Q10104" t="s">
        <v>19983</v>
      </c>
      <c r="R10104" t="s">
        <v>19447</v>
      </c>
      <c r="S10104" t="s">
        <v>19447</v>
      </c>
      <c r="T10104" t="s">
        <v>19899</v>
      </c>
    </row>
    <row r="10105" spans="2:20" x14ac:dyDescent="0.25">
      <c r="B10105" t="s">
        <v>2709</v>
      </c>
      <c r="C10105">
        <v>90269010</v>
      </c>
      <c r="E10105">
        <v>71.78</v>
      </c>
      <c r="F10105">
        <v>18</v>
      </c>
      <c r="G10105">
        <v>15</v>
      </c>
      <c r="H10105" t="s">
        <v>19447</v>
      </c>
      <c r="I10105" t="s">
        <v>19447</v>
      </c>
      <c r="J10105">
        <v>16</v>
      </c>
      <c r="L10105" t="s">
        <v>2709</v>
      </c>
      <c r="M10105">
        <v>90269010</v>
      </c>
      <c r="O10105" t="s">
        <v>20056</v>
      </c>
      <c r="P10105" t="s">
        <v>19899</v>
      </c>
      <c r="Q10105" t="s">
        <v>19983</v>
      </c>
      <c r="R10105" t="s">
        <v>19447</v>
      </c>
      <c r="S10105" t="s">
        <v>19447</v>
      </c>
      <c r="T10105" t="s">
        <v>19913</v>
      </c>
    </row>
    <row r="10106" spans="2:20" x14ac:dyDescent="0.25">
      <c r="B10106" t="s">
        <v>2709</v>
      </c>
      <c r="C10106">
        <v>90269020</v>
      </c>
      <c r="E10106">
        <v>71.78</v>
      </c>
      <c r="F10106">
        <v>18</v>
      </c>
      <c r="G10106">
        <v>15</v>
      </c>
      <c r="H10106" t="s">
        <v>19447</v>
      </c>
      <c r="I10106" t="s">
        <v>19447</v>
      </c>
      <c r="J10106">
        <v>16</v>
      </c>
      <c r="L10106" t="s">
        <v>2709</v>
      </c>
      <c r="M10106">
        <v>90269020</v>
      </c>
      <c r="O10106" t="s">
        <v>20056</v>
      </c>
      <c r="P10106" t="s">
        <v>19899</v>
      </c>
      <c r="Q10106" t="s">
        <v>19983</v>
      </c>
      <c r="R10106" t="s">
        <v>19447</v>
      </c>
      <c r="S10106" t="s">
        <v>19447</v>
      </c>
      <c r="T10106" t="s">
        <v>19913</v>
      </c>
    </row>
    <row r="10107" spans="2:20" x14ac:dyDescent="0.25">
      <c r="B10107" t="s">
        <v>2709</v>
      </c>
      <c r="C10107">
        <v>90269090</v>
      </c>
      <c r="E10107">
        <v>71.78</v>
      </c>
      <c r="F10107">
        <v>18</v>
      </c>
      <c r="G10107">
        <v>15</v>
      </c>
      <c r="H10107" t="s">
        <v>19447</v>
      </c>
      <c r="I10107" t="s">
        <v>19447</v>
      </c>
      <c r="J10107">
        <v>16</v>
      </c>
      <c r="L10107" t="s">
        <v>2709</v>
      </c>
      <c r="M10107">
        <v>90269090</v>
      </c>
      <c r="O10107" t="s">
        <v>20056</v>
      </c>
      <c r="P10107" t="s">
        <v>19899</v>
      </c>
      <c r="Q10107" t="s">
        <v>19983</v>
      </c>
      <c r="R10107" t="s">
        <v>19447</v>
      </c>
      <c r="S10107" t="s">
        <v>19447</v>
      </c>
      <c r="T10107" t="s">
        <v>19913</v>
      </c>
    </row>
    <row r="10108" spans="2:20" x14ac:dyDescent="0.25">
      <c r="B10108" t="s">
        <v>2709</v>
      </c>
      <c r="C10108">
        <v>90271000</v>
      </c>
      <c r="E10108">
        <v>71.78</v>
      </c>
      <c r="F10108">
        <v>12</v>
      </c>
      <c r="G10108">
        <v>0</v>
      </c>
      <c r="H10108" t="s">
        <v>19447</v>
      </c>
      <c r="I10108" t="s">
        <v>19447</v>
      </c>
      <c r="J10108">
        <v>14</v>
      </c>
      <c r="L10108" t="s">
        <v>2709</v>
      </c>
      <c r="M10108">
        <v>90271000</v>
      </c>
      <c r="O10108" t="s">
        <v>20056</v>
      </c>
      <c r="P10108" t="s">
        <v>19903</v>
      </c>
      <c r="Q10108" t="s">
        <v>19900</v>
      </c>
      <c r="R10108" t="s">
        <v>19447</v>
      </c>
      <c r="S10108" t="s">
        <v>19447</v>
      </c>
      <c r="T10108" t="s">
        <v>19911</v>
      </c>
    </row>
    <row r="10109" spans="2:20" x14ac:dyDescent="0.25">
      <c r="B10109" t="s">
        <v>2709</v>
      </c>
      <c r="C10109">
        <v>90272011</v>
      </c>
      <c r="E10109">
        <v>177.19</v>
      </c>
      <c r="F10109">
        <v>12</v>
      </c>
      <c r="G10109">
        <v>0</v>
      </c>
      <c r="H10109" t="s">
        <v>19447</v>
      </c>
      <c r="I10109" t="s">
        <v>19447</v>
      </c>
      <c r="J10109">
        <v>0</v>
      </c>
      <c r="L10109" t="s">
        <v>2709</v>
      </c>
      <c r="M10109">
        <v>90272011</v>
      </c>
      <c r="O10109" t="s">
        <v>19926</v>
      </c>
      <c r="P10109" t="s">
        <v>19903</v>
      </c>
      <c r="Q10109" t="s">
        <v>19900</v>
      </c>
      <c r="R10109" t="s">
        <v>19447</v>
      </c>
      <c r="S10109" t="s">
        <v>19447</v>
      </c>
      <c r="T10109" t="s">
        <v>19900</v>
      </c>
    </row>
    <row r="10110" spans="2:20" x14ac:dyDescent="0.25">
      <c r="B10110" t="s">
        <v>2709</v>
      </c>
      <c r="C10110">
        <v>90272012</v>
      </c>
      <c r="E10110">
        <v>177.19</v>
      </c>
      <c r="F10110">
        <v>12</v>
      </c>
      <c r="G10110">
        <v>0</v>
      </c>
      <c r="H10110" t="s">
        <v>19447</v>
      </c>
      <c r="I10110" t="s">
        <v>19447</v>
      </c>
      <c r="J10110">
        <v>0</v>
      </c>
      <c r="L10110" t="s">
        <v>2709</v>
      </c>
      <c r="M10110">
        <v>90272012</v>
      </c>
      <c r="O10110" t="s">
        <v>19926</v>
      </c>
      <c r="P10110" t="s">
        <v>19903</v>
      </c>
      <c r="Q10110" t="s">
        <v>19900</v>
      </c>
      <c r="R10110" t="s">
        <v>19447</v>
      </c>
      <c r="S10110" t="s">
        <v>19447</v>
      </c>
      <c r="T10110" t="s">
        <v>19900</v>
      </c>
    </row>
    <row r="10111" spans="2:20" x14ac:dyDescent="0.25">
      <c r="B10111" t="s">
        <v>2709</v>
      </c>
      <c r="C10111">
        <v>90272019</v>
      </c>
      <c r="E10111">
        <v>177.19</v>
      </c>
      <c r="F10111">
        <v>12</v>
      </c>
      <c r="G10111">
        <v>0</v>
      </c>
      <c r="H10111" t="s">
        <v>19447</v>
      </c>
      <c r="I10111" t="s">
        <v>19447</v>
      </c>
      <c r="J10111">
        <v>0</v>
      </c>
      <c r="L10111" t="s">
        <v>2709</v>
      </c>
      <c r="M10111">
        <v>90272019</v>
      </c>
      <c r="O10111" t="s">
        <v>19926</v>
      </c>
      <c r="P10111" t="s">
        <v>19903</v>
      </c>
      <c r="Q10111" t="s">
        <v>19900</v>
      </c>
      <c r="R10111" t="s">
        <v>19447</v>
      </c>
      <c r="S10111" t="s">
        <v>19447</v>
      </c>
      <c r="T10111" t="s">
        <v>19900</v>
      </c>
    </row>
    <row r="10112" spans="2:20" x14ac:dyDescent="0.25">
      <c r="B10112" t="s">
        <v>2709</v>
      </c>
      <c r="C10112">
        <v>90272021</v>
      </c>
      <c r="E10112">
        <v>177.19</v>
      </c>
      <c r="F10112">
        <v>12</v>
      </c>
      <c r="G10112">
        <v>0</v>
      </c>
      <c r="H10112" t="s">
        <v>19447</v>
      </c>
      <c r="I10112" t="s">
        <v>19447</v>
      </c>
      <c r="J10112">
        <v>0</v>
      </c>
      <c r="L10112" t="s">
        <v>2709</v>
      </c>
      <c r="M10112">
        <v>90272021</v>
      </c>
      <c r="O10112" t="s">
        <v>19926</v>
      </c>
      <c r="P10112" t="s">
        <v>19903</v>
      </c>
      <c r="Q10112" t="s">
        <v>19900</v>
      </c>
      <c r="R10112" t="s">
        <v>19447</v>
      </c>
      <c r="S10112" t="s">
        <v>19447</v>
      </c>
      <c r="T10112" t="s">
        <v>19900</v>
      </c>
    </row>
    <row r="10113" spans="2:20" x14ac:dyDescent="0.25">
      <c r="B10113" t="s">
        <v>2709</v>
      </c>
      <c r="C10113">
        <v>90272029</v>
      </c>
      <c r="E10113">
        <v>177.19</v>
      </c>
      <c r="F10113">
        <v>12</v>
      </c>
      <c r="G10113">
        <v>0</v>
      </c>
      <c r="H10113" t="s">
        <v>19447</v>
      </c>
      <c r="I10113" t="s">
        <v>19447</v>
      </c>
      <c r="J10113">
        <v>14</v>
      </c>
      <c r="L10113" t="s">
        <v>2709</v>
      </c>
      <c r="M10113">
        <v>90272029</v>
      </c>
      <c r="O10113" t="s">
        <v>19926</v>
      </c>
      <c r="P10113" t="s">
        <v>19903</v>
      </c>
      <c r="Q10113" t="s">
        <v>19900</v>
      </c>
      <c r="R10113" t="s">
        <v>19447</v>
      </c>
      <c r="S10113" t="s">
        <v>19447</v>
      </c>
      <c r="T10113" t="s">
        <v>19911</v>
      </c>
    </row>
    <row r="10114" spans="2:20" x14ac:dyDescent="0.25">
      <c r="B10114" t="s">
        <v>2709</v>
      </c>
      <c r="C10114">
        <v>90273011</v>
      </c>
      <c r="E10114">
        <v>177.19</v>
      </c>
      <c r="F10114">
        <v>12</v>
      </c>
      <c r="G10114">
        <v>0</v>
      </c>
      <c r="H10114" t="s">
        <v>19447</v>
      </c>
      <c r="I10114" t="s">
        <v>19447</v>
      </c>
      <c r="J10114">
        <v>0</v>
      </c>
      <c r="L10114" t="s">
        <v>2709</v>
      </c>
      <c r="M10114">
        <v>90273011</v>
      </c>
      <c r="O10114" t="s">
        <v>19926</v>
      </c>
      <c r="P10114" t="s">
        <v>19903</v>
      </c>
      <c r="Q10114" t="s">
        <v>19900</v>
      </c>
      <c r="R10114" t="s">
        <v>19447</v>
      </c>
      <c r="S10114" t="s">
        <v>19447</v>
      </c>
      <c r="T10114" t="s">
        <v>19900</v>
      </c>
    </row>
    <row r="10115" spans="2:20" x14ac:dyDescent="0.25">
      <c r="B10115" t="s">
        <v>2709</v>
      </c>
      <c r="C10115">
        <v>90273019</v>
      </c>
      <c r="E10115">
        <v>177.19</v>
      </c>
      <c r="F10115">
        <v>12</v>
      </c>
      <c r="G10115">
        <v>0</v>
      </c>
      <c r="H10115" t="s">
        <v>19447</v>
      </c>
      <c r="I10115" t="s">
        <v>19447</v>
      </c>
      <c r="J10115">
        <v>14</v>
      </c>
      <c r="L10115" t="s">
        <v>2709</v>
      </c>
      <c r="M10115">
        <v>90273019</v>
      </c>
      <c r="O10115" t="s">
        <v>19926</v>
      </c>
      <c r="P10115" t="s">
        <v>19903</v>
      </c>
      <c r="Q10115" t="s">
        <v>19900</v>
      </c>
      <c r="R10115" t="s">
        <v>19447</v>
      </c>
      <c r="S10115" t="s">
        <v>19447</v>
      </c>
      <c r="T10115" t="s">
        <v>19911</v>
      </c>
    </row>
    <row r="10116" spans="2:20" x14ac:dyDescent="0.25">
      <c r="B10116" t="s">
        <v>2709</v>
      </c>
      <c r="C10116">
        <v>90273020</v>
      </c>
      <c r="E10116">
        <v>177.19</v>
      </c>
      <c r="F10116">
        <v>12</v>
      </c>
      <c r="G10116">
        <v>0</v>
      </c>
      <c r="H10116" t="s">
        <v>19447</v>
      </c>
      <c r="I10116" t="s">
        <v>19447</v>
      </c>
      <c r="J10116">
        <v>14</v>
      </c>
      <c r="L10116" t="s">
        <v>2709</v>
      </c>
      <c r="M10116">
        <v>90273020</v>
      </c>
      <c r="O10116" t="s">
        <v>19926</v>
      </c>
      <c r="P10116" t="s">
        <v>19903</v>
      </c>
      <c r="Q10116" t="s">
        <v>19900</v>
      </c>
      <c r="R10116" t="s">
        <v>19447</v>
      </c>
      <c r="S10116" t="s">
        <v>19447</v>
      </c>
      <c r="T10116" t="s">
        <v>19911</v>
      </c>
    </row>
    <row r="10117" spans="2:20" x14ac:dyDescent="0.25">
      <c r="B10117" t="s">
        <v>2709</v>
      </c>
      <c r="C10117">
        <v>90275010</v>
      </c>
      <c r="E10117">
        <v>177.19</v>
      </c>
      <c r="F10117">
        <v>12</v>
      </c>
      <c r="G10117">
        <v>0</v>
      </c>
      <c r="H10117" t="s">
        <v>19447</v>
      </c>
      <c r="I10117" t="s">
        <v>19447</v>
      </c>
      <c r="J10117">
        <v>14</v>
      </c>
      <c r="L10117" t="s">
        <v>2709</v>
      </c>
      <c r="M10117">
        <v>90275010</v>
      </c>
      <c r="O10117" t="s">
        <v>19926</v>
      </c>
      <c r="P10117" t="s">
        <v>19903</v>
      </c>
      <c r="Q10117" t="s">
        <v>19900</v>
      </c>
      <c r="R10117" t="s">
        <v>19447</v>
      </c>
      <c r="S10117" t="s">
        <v>19447</v>
      </c>
      <c r="T10117" t="s">
        <v>19911</v>
      </c>
    </row>
    <row r="10118" spans="2:20" x14ac:dyDescent="0.25">
      <c r="B10118" t="s">
        <v>2709</v>
      </c>
      <c r="C10118">
        <v>90275020</v>
      </c>
      <c r="E10118">
        <v>177.19</v>
      </c>
      <c r="F10118">
        <v>12</v>
      </c>
      <c r="G10118">
        <v>0</v>
      </c>
      <c r="H10118" t="s">
        <v>19447</v>
      </c>
      <c r="I10118" t="s">
        <v>19447</v>
      </c>
      <c r="J10118">
        <v>14</v>
      </c>
      <c r="L10118" t="s">
        <v>2709</v>
      </c>
      <c r="M10118">
        <v>90275020</v>
      </c>
      <c r="O10118" t="s">
        <v>19926</v>
      </c>
      <c r="P10118" t="s">
        <v>19903</v>
      </c>
      <c r="Q10118" t="s">
        <v>19900</v>
      </c>
      <c r="R10118" t="s">
        <v>19447</v>
      </c>
      <c r="S10118" t="s">
        <v>19447</v>
      </c>
      <c r="T10118" t="s">
        <v>19911</v>
      </c>
    </row>
    <row r="10119" spans="2:20" x14ac:dyDescent="0.25">
      <c r="B10119" t="s">
        <v>2709</v>
      </c>
      <c r="C10119">
        <v>90275030</v>
      </c>
      <c r="E10119">
        <v>177.19</v>
      </c>
      <c r="F10119">
        <v>12</v>
      </c>
      <c r="G10119">
        <v>0</v>
      </c>
      <c r="H10119" t="s">
        <v>19447</v>
      </c>
      <c r="I10119" t="s">
        <v>19447</v>
      </c>
      <c r="J10119">
        <v>14</v>
      </c>
      <c r="L10119" t="s">
        <v>2709</v>
      </c>
      <c r="M10119">
        <v>90275030</v>
      </c>
      <c r="O10119" t="s">
        <v>19926</v>
      </c>
      <c r="P10119" t="s">
        <v>19903</v>
      </c>
      <c r="Q10119" t="s">
        <v>19900</v>
      </c>
      <c r="R10119" t="s">
        <v>19447</v>
      </c>
      <c r="S10119" t="s">
        <v>19447</v>
      </c>
      <c r="T10119" t="s">
        <v>19911</v>
      </c>
    </row>
    <row r="10120" spans="2:20" x14ac:dyDescent="0.25">
      <c r="B10120" t="s">
        <v>2709</v>
      </c>
      <c r="C10120">
        <v>90275040</v>
      </c>
      <c r="E10120">
        <v>177.19</v>
      </c>
      <c r="F10120">
        <v>12</v>
      </c>
      <c r="G10120">
        <v>0</v>
      </c>
      <c r="H10120" t="s">
        <v>19447</v>
      </c>
      <c r="I10120" t="s">
        <v>19447</v>
      </c>
      <c r="J10120">
        <v>14</v>
      </c>
      <c r="L10120" t="s">
        <v>2709</v>
      </c>
      <c r="M10120">
        <v>90275040</v>
      </c>
      <c r="O10120" t="s">
        <v>19926</v>
      </c>
      <c r="P10120" t="s">
        <v>19903</v>
      </c>
      <c r="Q10120" t="s">
        <v>19900</v>
      </c>
      <c r="R10120" t="s">
        <v>19447</v>
      </c>
      <c r="S10120" t="s">
        <v>19447</v>
      </c>
      <c r="T10120" t="s">
        <v>19911</v>
      </c>
    </row>
    <row r="10121" spans="2:20" x14ac:dyDescent="0.25">
      <c r="B10121" t="s">
        <v>2709</v>
      </c>
      <c r="C10121">
        <v>90275050</v>
      </c>
      <c r="E10121">
        <v>177.19</v>
      </c>
      <c r="F10121">
        <v>18</v>
      </c>
      <c r="G10121">
        <v>0</v>
      </c>
      <c r="H10121" t="s">
        <v>19447</v>
      </c>
      <c r="I10121" t="s">
        <v>19447</v>
      </c>
      <c r="J10121">
        <v>0</v>
      </c>
      <c r="L10121" t="s">
        <v>2709</v>
      </c>
      <c r="M10121">
        <v>90275050</v>
      </c>
      <c r="O10121" t="s">
        <v>19926</v>
      </c>
      <c r="P10121" t="s">
        <v>19899</v>
      </c>
      <c r="Q10121" t="s">
        <v>19900</v>
      </c>
      <c r="R10121" t="s">
        <v>19447</v>
      </c>
      <c r="S10121" t="s">
        <v>19447</v>
      </c>
      <c r="T10121" t="s">
        <v>19900</v>
      </c>
    </row>
    <row r="10122" spans="2:20" x14ac:dyDescent="0.25">
      <c r="B10122" t="s">
        <v>2709</v>
      </c>
      <c r="C10122">
        <v>90275090</v>
      </c>
      <c r="E10122">
        <v>177.19</v>
      </c>
      <c r="F10122">
        <v>12</v>
      </c>
      <c r="G10122">
        <v>0</v>
      </c>
      <c r="H10122" t="s">
        <v>19447</v>
      </c>
      <c r="I10122" t="s">
        <v>19447</v>
      </c>
      <c r="J10122">
        <v>14</v>
      </c>
      <c r="L10122" t="s">
        <v>2709</v>
      </c>
      <c r="M10122">
        <v>90275090</v>
      </c>
      <c r="O10122" t="s">
        <v>19926</v>
      </c>
      <c r="P10122" t="s">
        <v>19903</v>
      </c>
      <c r="Q10122" t="s">
        <v>19900</v>
      </c>
      <c r="R10122" t="s">
        <v>19447</v>
      </c>
      <c r="S10122" t="s">
        <v>19447</v>
      </c>
      <c r="T10122" t="s">
        <v>19911</v>
      </c>
    </row>
    <row r="10123" spans="2:20" x14ac:dyDescent="0.25">
      <c r="B10123" t="s">
        <v>2709</v>
      </c>
      <c r="C10123">
        <v>90278011</v>
      </c>
      <c r="E10123">
        <v>177.19</v>
      </c>
      <c r="F10123">
        <v>12</v>
      </c>
      <c r="G10123">
        <v>0</v>
      </c>
      <c r="H10123" t="s">
        <v>19447</v>
      </c>
      <c r="I10123" t="s">
        <v>19447</v>
      </c>
      <c r="J10123">
        <v>0</v>
      </c>
      <c r="L10123" t="s">
        <v>2709</v>
      </c>
      <c r="M10123">
        <v>90278011</v>
      </c>
      <c r="O10123" t="s">
        <v>19926</v>
      </c>
      <c r="P10123" t="s">
        <v>19903</v>
      </c>
      <c r="Q10123" t="s">
        <v>19900</v>
      </c>
      <c r="R10123" t="s">
        <v>19447</v>
      </c>
      <c r="S10123" t="s">
        <v>19447</v>
      </c>
      <c r="T10123" t="s">
        <v>19900</v>
      </c>
    </row>
    <row r="10124" spans="2:20" x14ac:dyDescent="0.25">
      <c r="B10124" t="s">
        <v>2709</v>
      </c>
      <c r="C10124">
        <v>90278012</v>
      </c>
      <c r="E10124">
        <v>177.19</v>
      </c>
      <c r="F10124">
        <v>12</v>
      </c>
      <c r="G10124">
        <v>0</v>
      </c>
      <c r="H10124" t="s">
        <v>19447</v>
      </c>
      <c r="I10124" t="s">
        <v>19447</v>
      </c>
      <c r="J10124">
        <v>14</v>
      </c>
      <c r="L10124" t="s">
        <v>2709</v>
      </c>
      <c r="M10124">
        <v>90278012</v>
      </c>
      <c r="O10124" t="s">
        <v>19926</v>
      </c>
      <c r="P10124" t="s">
        <v>19903</v>
      </c>
      <c r="Q10124" t="s">
        <v>19900</v>
      </c>
      <c r="R10124" t="s">
        <v>19447</v>
      </c>
      <c r="S10124" t="s">
        <v>19447</v>
      </c>
      <c r="T10124" t="s">
        <v>19911</v>
      </c>
    </row>
    <row r="10125" spans="2:20" x14ac:dyDescent="0.25">
      <c r="B10125" t="s">
        <v>2709</v>
      </c>
      <c r="C10125">
        <v>90278013</v>
      </c>
      <c r="E10125">
        <v>177.19</v>
      </c>
      <c r="F10125">
        <v>12</v>
      </c>
      <c r="G10125">
        <v>0</v>
      </c>
      <c r="H10125" t="s">
        <v>19447</v>
      </c>
      <c r="I10125" t="s">
        <v>19447</v>
      </c>
      <c r="J10125">
        <v>14</v>
      </c>
      <c r="L10125" t="s">
        <v>2709</v>
      </c>
      <c r="M10125">
        <v>90278013</v>
      </c>
      <c r="O10125" t="s">
        <v>19926</v>
      </c>
      <c r="P10125" t="s">
        <v>19903</v>
      </c>
      <c r="Q10125" t="s">
        <v>19900</v>
      </c>
      <c r="R10125" t="s">
        <v>19447</v>
      </c>
      <c r="S10125" t="s">
        <v>19447</v>
      </c>
      <c r="T10125" t="s">
        <v>19911</v>
      </c>
    </row>
    <row r="10126" spans="2:20" x14ac:dyDescent="0.25">
      <c r="B10126" t="s">
        <v>2709</v>
      </c>
      <c r="C10126">
        <v>90278014</v>
      </c>
      <c r="E10126">
        <v>177.19</v>
      </c>
      <c r="F10126">
        <v>12</v>
      </c>
      <c r="G10126">
        <v>0</v>
      </c>
      <c r="H10126" t="s">
        <v>19447</v>
      </c>
      <c r="I10126" t="s">
        <v>19447</v>
      </c>
      <c r="J10126">
        <v>14</v>
      </c>
      <c r="L10126" t="s">
        <v>2709</v>
      </c>
      <c r="M10126">
        <v>90278014</v>
      </c>
      <c r="O10126" t="s">
        <v>19926</v>
      </c>
      <c r="P10126" t="s">
        <v>19903</v>
      </c>
      <c r="Q10126" t="s">
        <v>19900</v>
      </c>
      <c r="R10126" t="s">
        <v>19447</v>
      </c>
      <c r="S10126" t="s">
        <v>19447</v>
      </c>
      <c r="T10126" t="s">
        <v>19911</v>
      </c>
    </row>
    <row r="10127" spans="2:20" x14ac:dyDescent="0.25">
      <c r="B10127" t="s">
        <v>2709</v>
      </c>
      <c r="C10127">
        <v>90278020</v>
      </c>
      <c r="E10127">
        <v>177.19</v>
      </c>
      <c r="F10127">
        <v>18</v>
      </c>
      <c r="G10127">
        <v>0</v>
      </c>
      <c r="H10127" t="s">
        <v>19447</v>
      </c>
      <c r="I10127" t="s">
        <v>19447</v>
      </c>
      <c r="J10127">
        <v>14</v>
      </c>
      <c r="L10127" t="s">
        <v>2709</v>
      </c>
      <c r="M10127">
        <v>90278020</v>
      </c>
      <c r="O10127" t="s">
        <v>19926</v>
      </c>
      <c r="P10127" t="s">
        <v>19899</v>
      </c>
      <c r="Q10127" t="s">
        <v>19900</v>
      </c>
      <c r="R10127" t="s">
        <v>19447</v>
      </c>
      <c r="S10127" t="s">
        <v>19447</v>
      </c>
      <c r="T10127" t="s">
        <v>19911</v>
      </c>
    </row>
    <row r="10128" spans="2:20" x14ac:dyDescent="0.25">
      <c r="B10128" t="s">
        <v>2709</v>
      </c>
      <c r="C10128">
        <v>90278030</v>
      </c>
      <c r="E10128">
        <v>177.19</v>
      </c>
      <c r="F10128">
        <v>12</v>
      </c>
      <c r="G10128">
        <v>0</v>
      </c>
      <c r="H10128" t="s">
        <v>19447</v>
      </c>
      <c r="I10128" t="s">
        <v>19447</v>
      </c>
      <c r="J10128">
        <v>0</v>
      </c>
      <c r="L10128" t="s">
        <v>2709</v>
      </c>
      <c r="M10128">
        <v>90278030</v>
      </c>
      <c r="O10128" t="s">
        <v>19926</v>
      </c>
      <c r="P10128" t="s">
        <v>19903</v>
      </c>
      <c r="Q10128" t="s">
        <v>19900</v>
      </c>
      <c r="R10128" t="s">
        <v>19447</v>
      </c>
      <c r="S10128" t="s">
        <v>19447</v>
      </c>
      <c r="T10128" t="s">
        <v>19900</v>
      </c>
    </row>
    <row r="10129" spans="2:20" x14ac:dyDescent="0.25">
      <c r="B10129" t="s">
        <v>2709</v>
      </c>
      <c r="C10129">
        <v>90278091</v>
      </c>
      <c r="E10129">
        <v>177.19</v>
      </c>
      <c r="F10129">
        <v>18</v>
      </c>
      <c r="G10129">
        <v>0</v>
      </c>
      <c r="H10129" t="s">
        <v>19447</v>
      </c>
      <c r="I10129" t="s">
        <v>19447</v>
      </c>
      <c r="J10129">
        <v>0</v>
      </c>
      <c r="L10129" t="s">
        <v>2709</v>
      </c>
      <c r="M10129">
        <v>90278091</v>
      </c>
      <c r="O10129" t="s">
        <v>19926</v>
      </c>
      <c r="P10129" t="s">
        <v>19899</v>
      </c>
      <c r="Q10129" t="s">
        <v>19900</v>
      </c>
      <c r="R10129" t="s">
        <v>19447</v>
      </c>
      <c r="S10129" t="s">
        <v>19447</v>
      </c>
      <c r="T10129" t="s">
        <v>19900</v>
      </c>
    </row>
    <row r="10130" spans="2:20" x14ac:dyDescent="0.25">
      <c r="B10130" t="s">
        <v>2709</v>
      </c>
      <c r="C10130">
        <v>90278099</v>
      </c>
      <c r="E10130">
        <v>177.19</v>
      </c>
      <c r="F10130">
        <v>12</v>
      </c>
      <c r="G10130">
        <v>0</v>
      </c>
      <c r="H10130" t="s">
        <v>19447</v>
      </c>
      <c r="I10130" t="s">
        <v>19447</v>
      </c>
      <c r="J10130">
        <v>14</v>
      </c>
      <c r="L10130" t="s">
        <v>2709</v>
      </c>
      <c r="M10130">
        <v>90278099</v>
      </c>
      <c r="O10130" t="s">
        <v>19926</v>
      </c>
      <c r="P10130" t="s">
        <v>19903</v>
      </c>
      <c r="Q10130" t="s">
        <v>19900</v>
      </c>
      <c r="R10130" t="s">
        <v>19447</v>
      </c>
      <c r="S10130" t="s">
        <v>19447</v>
      </c>
      <c r="T10130" t="s">
        <v>19911</v>
      </c>
    </row>
    <row r="10131" spans="2:20" x14ac:dyDescent="0.25">
      <c r="B10131" t="s">
        <v>2709</v>
      </c>
      <c r="C10131">
        <v>90279010</v>
      </c>
      <c r="E10131">
        <v>177.19</v>
      </c>
      <c r="F10131">
        <v>18</v>
      </c>
      <c r="G10131">
        <v>5</v>
      </c>
      <c r="H10131" t="s">
        <v>19447</v>
      </c>
      <c r="I10131" t="s">
        <v>19447</v>
      </c>
      <c r="J10131">
        <v>0</v>
      </c>
      <c r="L10131" t="s">
        <v>2709</v>
      </c>
      <c r="M10131">
        <v>90279010</v>
      </c>
      <c r="O10131" t="s">
        <v>19926</v>
      </c>
      <c r="P10131" t="s">
        <v>19899</v>
      </c>
      <c r="Q10131" t="s">
        <v>19909</v>
      </c>
      <c r="R10131" t="s">
        <v>19447</v>
      </c>
      <c r="S10131" t="s">
        <v>19447</v>
      </c>
      <c r="T10131" t="s">
        <v>19900</v>
      </c>
    </row>
    <row r="10132" spans="2:20" x14ac:dyDescent="0.25">
      <c r="B10132" t="s">
        <v>2709</v>
      </c>
      <c r="C10132">
        <v>90279091</v>
      </c>
      <c r="E10132">
        <v>177.19</v>
      </c>
      <c r="F10132">
        <v>18</v>
      </c>
      <c r="G10132">
        <v>5</v>
      </c>
      <c r="H10132" t="s">
        <v>19447</v>
      </c>
      <c r="I10132" t="s">
        <v>19447</v>
      </c>
      <c r="J10132">
        <v>0</v>
      </c>
      <c r="L10132" t="s">
        <v>2709</v>
      </c>
      <c r="M10132">
        <v>90279091</v>
      </c>
      <c r="O10132" t="s">
        <v>19926</v>
      </c>
      <c r="P10132" t="s">
        <v>19899</v>
      </c>
      <c r="Q10132" t="s">
        <v>19909</v>
      </c>
      <c r="R10132" t="s">
        <v>19447</v>
      </c>
      <c r="S10132" t="s">
        <v>19447</v>
      </c>
      <c r="T10132" t="s">
        <v>19900</v>
      </c>
    </row>
    <row r="10133" spans="2:20" x14ac:dyDescent="0.25">
      <c r="B10133" t="s">
        <v>2709</v>
      </c>
      <c r="C10133">
        <v>90279093</v>
      </c>
      <c r="E10133">
        <v>177.19</v>
      </c>
      <c r="F10133">
        <v>18</v>
      </c>
      <c r="G10133">
        <v>5</v>
      </c>
      <c r="H10133" t="s">
        <v>19447</v>
      </c>
      <c r="I10133" t="s">
        <v>19447</v>
      </c>
      <c r="J10133">
        <v>0</v>
      </c>
      <c r="L10133" t="s">
        <v>2709</v>
      </c>
      <c r="M10133">
        <v>90279093</v>
      </c>
      <c r="O10133" t="s">
        <v>19926</v>
      </c>
      <c r="P10133" t="s">
        <v>19899</v>
      </c>
      <c r="Q10133" t="s">
        <v>19909</v>
      </c>
      <c r="R10133" t="s">
        <v>19447</v>
      </c>
      <c r="S10133" t="s">
        <v>19447</v>
      </c>
      <c r="T10133" t="s">
        <v>19900</v>
      </c>
    </row>
    <row r="10134" spans="2:20" x14ac:dyDescent="0.25">
      <c r="B10134" t="s">
        <v>2709</v>
      </c>
      <c r="C10134">
        <v>90279099</v>
      </c>
      <c r="E10134">
        <v>177.19</v>
      </c>
      <c r="F10134">
        <v>12</v>
      </c>
      <c r="G10134">
        <v>5</v>
      </c>
      <c r="H10134" t="s">
        <v>19447</v>
      </c>
      <c r="I10134" t="s">
        <v>19447</v>
      </c>
      <c r="J10134">
        <v>14</v>
      </c>
      <c r="L10134" t="s">
        <v>2709</v>
      </c>
      <c r="M10134">
        <v>90279099</v>
      </c>
      <c r="O10134" t="s">
        <v>19926</v>
      </c>
      <c r="P10134" t="s">
        <v>19903</v>
      </c>
      <c r="Q10134" t="s">
        <v>19909</v>
      </c>
      <c r="R10134" t="s">
        <v>19447</v>
      </c>
      <c r="S10134" t="s">
        <v>19447</v>
      </c>
      <c r="T10134" t="s">
        <v>19911</v>
      </c>
    </row>
    <row r="10135" spans="2:20" x14ac:dyDescent="0.25">
      <c r="B10135" t="s">
        <v>2709</v>
      </c>
      <c r="C10135">
        <v>90281011</v>
      </c>
      <c r="E10135">
        <v>177.19</v>
      </c>
      <c r="F10135">
        <v>12</v>
      </c>
      <c r="G10135">
        <v>5</v>
      </c>
      <c r="H10135" t="s">
        <v>19447</v>
      </c>
      <c r="I10135" t="s">
        <v>19447</v>
      </c>
      <c r="J10135">
        <v>14</v>
      </c>
      <c r="L10135" t="s">
        <v>2709</v>
      </c>
      <c r="M10135">
        <v>90281011</v>
      </c>
      <c r="O10135" t="s">
        <v>19926</v>
      </c>
      <c r="P10135" t="s">
        <v>19903</v>
      </c>
      <c r="Q10135" t="s">
        <v>19909</v>
      </c>
      <c r="R10135" t="s">
        <v>19447</v>
      </c>
      <c r="S10135" t="s">
        <v>19447</v>
      </c>
      <c r="T10135" t="s">
        <v>19911</v>
      </c>
    </row>
    <row r="10136" spans="2:20" x14ac:dyDescent="0.25">
      <c r="B10136" t="s">
        <v>2709</v>
      </c>
      <c r="C10136">
        <v>90281019</v>
      </c>
      <c r="E10136">
        <v>177.19</v>
      </c>
      <c r="F10136">
        <v>12</v>
      </c>
      <c r="G10136">
        <v>5</v>
      </c>
      <c r="H10136" t="s">
        <v>19447</v>
      </c>
      <c r="I10136" t="s">
        <v>19447</v>
      </c>
      <c r="J10136">
        <v>14</v>
      </c>
      <c r="L10136" t="s">
        <v>2709</v>
      </c>
      <c r="M10136">
        <v>90281019</v>
      </c>
      <c r="O10136" t="s">
        <v>19926</v>
      </c>
      <c r="P10136" t="s">
        <v>19903</v>
      </c>
      <c r="Q10136" t="s">
        <v>19909</v>
      </c>
      <c r="R10136" t="s">
        <v>19447</v>
      </c>
      <c r="S10136" t="s">
        <v>19447</v>
      </c>
      <c r="T10136" t="s">
        <v>19911</v>
      </c>
    </row>
    <row r="10137" spans="2:20" x14ac:dyDescent="0.25">
      <c r="B10137" t="s">
        <v>2709</v>
      </c>
      <c r="C10137">
        <v>90281090</v>
      </c>
      <c r="E10137">
        <v>177.19</v>
      </c>
      <c r="F10137">
        <v>12</v>
      </c>
      <c r="G10137">
        <v>5</v>
      </c>
      <c r="H10137" t="s">
        <v>19447</v>
      </c>
      <c r="I10137" t="s">
        <v>19447</v>
      </c>
      <c r="J10137">
        <v>18</v>
      </c>
      <c r="L10137" t="s">
        <v>2709</v>
      </c>
      <c r="M10137">
        <v>90281090</v>
      </c>
      <c r="O10137" t="s">
        <v>19926</v>
      </c>
      <c r="P10137" t="s">
        <v>19903</v>
      </c>
      <c r="Q10137" t="s">
        <v>19909</v>
      </c>
      <c r="R10137" t="s">
        <v>19447</v>
      </c>
      <c r="S10137" t="s">
        <v>19447</v>
      </c>
      <c r="T10137" t="s">
        <v>19899</v>
      </c>
    </row>
    <row r="10138" spans="2:20" x14ac:dyDescent="0.25">
      <c r="B10138" t="s">
        <v>2709</v>
      </c>
      <c r="C10138">
        <v>90282010</v>
      </c>
      <c r="E10138">
        <v>177.19</v>
      </c>
      <c r="F10138">
        <v>12</v>
      </c>
      <c r="G10138">
        <v>5</v>
      </c>
      <c r="H10138" t="s">
        <v>19447</v>
      </c>
      <c r="I10138" t="s">
        <v>19447</v>
      </c>
      <c r="J10138">
        <v>18</v>
      </c>
      <c r="L10138" t="s">
        <v>2709</v>
      </c>
      <c r="M10138">
        <v>90282010</v>
      </c>
      <c r="O10138" t="s">
        <v>19926</v>
      </c>
      <c r="P10138" t="s">
        <v>19903</v>
      </c>
      <c r="Q10138" t="s">
        <v>19909</v>
      </c>
      <c r="R10138" t="s">
        <v>19447</v>
      </c>
      <c r="S10138" t="s">
        <v>19447</v>
      </c>
      <c r="T10138" t="s">
        <v>19899</v>
      </c>
    </row>
    <row r="10139" spans="2:20" x14ac:dyDescent="0.25">
      <c r="B10139" t="s">
        <v>2709</v>
      </c>
      <c r="C10139">
        <v>90282020</v>
      </c>
      <c r="E10139">
        <v>177.19</v>
      </c>
      <c r="F10139">
        <v>12</v>
      </c>
      <c r="G10139">
        <v>5</v>
      </c>
      <c r="H10139" t="s">
        <v>19447</v>
      </c>
      <c r="I10139" t="s">
        <v>19447</v>
      </c>
      <c r="J10139">
        <v>18</v>
      </c>
      <c r="L10139" t="s">
        <v>2709</v>
      </c>
      <c r="M10139">
        <v>90282020</v>
      </c>
      <c r="O10139" t="s">
        <v>19926</v>
      </c>
      <c r="P10139" t="s">
        <v>19903</v>
      </c>
      <c r="Q10139" t="s">
        <v>19909</v>
      </c>
      <c r="R10139" t="s">
        <v>19447</v>
      </c>
      <c r="S10139" t="s">
        <v>19447</v>
      </c>
      <c r="T10139" t="s">
        <v>19899</v>
      </c>
    </row>
    <row r="10140" spans="2:20" x14ac:dyDescent="0.25">
      <c r="B10140" t="s">
        <v>2709</v>
      </c>
      <c r="C10140">
        <v>90283011</v>
      </c>
      <c r="E10140">
        <v>177.19</v>
      </c>
      <c r="F10140">
        <v>12</v>
      </c>
      <c r="G10140">
        <v>15</v>
      </c>
      <c r="H10140" t="s">
        <v>19447</v>
      </c>
      <c r="I10140" t="s">
        <v>19447</v>
      </c>
      <c r="J10140">
        <v>14</v>
      </c>
      <c r="L10140" t="s">
        <v>2709</v>
      </c>
      <c r="M10140">
        <v>90283011</v>
      </c>
      <c r="O10140" t="s">
        <v>19926</v>
      </c>
      <c r="P10140" t="s">
        <v>19903</v>
      </c>
      <c r="Q10140" t="s">
        <v>19983</v>
      </c>
      <c r="R10140" t="s">
        <v>19447</v>
      </c>
      <c r="S10140" t="s">
        <v>19447</v>
      </c>
      <c r="T10140" t="s">
        <v>19911</v>
      </c>
    </row>
    <row r="10141" spans="2:20" x14ac:dyDescent="0.25">
      <c r="B10141" t="s">
        <v>2709</v>
      </c>
      <c r="C10141">
        <v>90283019</v>
      </c>
      <c r="E10141">
        <v>177.19</v>
      </c>
      <c r="F10141">
        <v>12</v>
      </c>
      <c r="G10141">
        <v>5</v>
      </c>
      <c r="H10141" t="s">
        <v>19447</v>
      </c>
      <c r="I10141" t="s">
        <v>19447</v>
      </c>
      <c r="J10141">
        <v>18</v>
      </c>
      <c r="L10141" t="s">
        <v>2709</v>
      </c>
      <c r="M10141">
        <v>90283019</v>
      </c>
      <c r="O10141" t="s">
        <v>19926</v>
      </c>
      <c r="P10141" t="s">
        <v>19903</v>
      </c>
      <c r="Q10141" t="s">
        <v>19909</v>
      </c>
      <c r="R10141" t="s">
        <v>19447</v>
      </c>
      <c r="S10141" t="s">
        <v>19447</v>
      </c>
      <c r="T10141" t="s">
        <v>19899</v>
      </c>
    </row>
    <row r="10142" spans="2:20" x14ac:dyDescent="0.25">
      <c r="B10142" t="s">
        <v>2709</v>
      </c>
      <c r="C10142">
        <v>90283021</v>
      </c>
      <c r="E10142">
        <v>177.19</v>
      </c>
      <c r="F10142">
        <v>12</v>
      </c>
      <c r="G10142">
        <v>15</v>
      </c>
      <c r="H10142" t="s">
        <v>19447</v>
      </c>
      <c r="I10142" t="s">
        <v>19447</v>
      </c>
      <c r="J10142">
        <v>14</v>
      </c>
      <c r="L10142" t="s">
        <v>2709</v>
      </c>
      <c r="M10142">
        <v>90283021</v>
      </c>
      <c r="O10142" t="s">
        <v>19926</v>
      </c>
      <c r="P10142" t="s">
        <v>19903</v>
      </c>
      <c r="Q10142" t="s">
        <v>19983</v>
      </c>
      <c r="R10142" t="s">
        <v>19447</v>
      </c>
      <c r="S10142" t="s">
        <v>19447</v>
      </c>
      <c r="T10142" t="s">
        <v>19911</v>
      </c>
    </row>
    <row r="10143" spans="2:20" x14ac:dyDescent="0.25">
      <c r="B10143" t="s">
        <v>2709</v>
      </c>
      <c r="C10143">
        <v>90283029</v>
      </c>
      <c r="E10143">
        <v>177.19</v>
      </c>
      <c r="F10143">
        <v>12</v>
      </c>
      <c r="G10143">
        <v>5</v>
      </c>
      <c r="H10143" t="s">
        <v>19447</v>
      </c>
      <c r="I10143" t="s">
        <v>19447</v>
      </c>
      <c r="J10143">
        <v>18</v>
      </c>
      <c r="L10143" t="s">
        <v>2709</v>
      </c>
      <c r="M10143">
        <v>90283029</v>
      </c>
      <c r="O10143" t="s">
        <v>19926</v>
      </c>
      <c r="P10143" t="s">
        <v>19903</v>
      </c>
      <c r="Q10143" t="s">
        <v>19909</v>
      </c>
      <c r="R10143" t="s">
        <v>19447</v>
      </c>
      <c r="S10143" t="s">
        <v>19447</v>
      </c>
      <c r="T10143" t="s">
        <v>19899</v>
      </c>
    </row>
    <row r="10144" spans="2:20" x14ac:dyDescent="0.25">
      <c r="B10144" t="s">
        <v>2709</v>
      </c>
      <c r="C10144">
        <v>90283031</v>
      </c>
      <c r="E10144">
        <v>177.19</v>
      </c>
      <c r="F10144">
        <v>12</v>
      </c>
      <c r="G10144">
        <v>15</v>
      </c>
      <c r="H10144" t="s">
        <v>19447</v>
      </c>
      <c r="I10144" t="s">
        <v>19447</v>
      </c>
      <c r="J10144">
        <v>14</v>
      </c>
      <c r="L10144" t="s">
        <v>2709</v>
      </c>
      <c r="M10144">
        <v>90283031</v>
      </c>
      <c r="O10144" t="s">
        <v>19926</v>
      </c>
      <c r="P10144" t="s">
        <v>19903</v>
      </c>
      <c r="Q10144" t="s">
        <v>19983</v>
      </c>
      <c r="R10144" t="s">
        <v>19447</v>
      </c>
      <c r="S10144" t="s">
        <v>19447</v>
      </c>
      <c r="T10144" t="s">
        <v>19911</v>
      </c>
    </row>
    <row r="10145" spans="2:20" x14ac:dyDescent="0.25">
      <c r="B10145" t="s">
        <v>2709</v>
      </c>
      <c r="C10145">
        <v>90283039</v>
      </c>
      <c r="E10145">
        <v>177.19</v>
      </c>
      <c r="F10145">
        <v>12</v>
      </c>
      <c r="G10145">
        <v>5</v>
      </c>
      <c r="H10145" t="s">
        <v>19447</v>
      </c>
      <c r="I10145" t="s">
        <v>19447</v>
      </c>
      <c r="J10145">
        <v>18</v>
      </c>
      <c r="L10145" t="s">
        <v>2709</v>
      </c>
      <c r="M10145">
        <v>90283039</v>
      </c>
      <c r="O10145" t="s">
        <v>19926</v>
      </c>
      <c r="P10145" t="s">
        <v>19903</v>
      </c>
      <c r="Q10145" t="s">
        <v>19909</v>
      </c>
      <c r="R10145" t="s">
        <v>19447</v>
      </c>
      <c r="S10145" t="s">
        <v>19447</v>
      </c>
      <c r="T10145" t="s">
        <v>19899</v>
      </c>
    </row>
    <row r="10146" spans="2:20" x14ac:dyDescent="0.25">
      <c r="B10146" t="s">
        <v>2709</v>
      </c>
      <c r="C10146">
        <v>90283090</v>
      </c>
      <c r="E10146">
        <v>177.19</v>
      </c>
      <c r="F10146">
        <v>12</v>
      </c>
      <c r="G10146">
        <v>5</v>
      </c>
      <c r="H10146" t="s">
        <v>19447</v>
      </c>
      <c r="I10146" t="s">
        <v>19447</v>
      </c>
      <c r="J10146">
        <v>18</v>
      </c>
      <c r="L10146" t="s">
        <v>2709</v>
      </c>
      <c r="M10146">
        <v>90283090</v>
      </c>
      <c r="O10146" t="s">
        <v>19926</v>
      </c>
      <c r="P10146" t="s">
        <v>19903</v>
      </c>
      <c r="Q10146" t="s">
        <v>19909</v>
      </c>
      <c r="R10146" t="s">
        <v>19447</v>
      </c>
      <c r="S10146" t="s">
        <v>19447</v>
      </c>
      <c r="T10146" t="s">
        <v>19899</v>
      </c>
    </row>
    <row r="10147" spans="2:20" x14ac:dyDescent="0.25">
      <c r="B10147" t="s">
        <v>2709</v>
      </c>
      <c r="C10147">
        <v>90289010</v>
      </c>
      <c r="E10147">
        <v>177.19</v>
      </c>
      <c r="F10147">
        <v>18</v>
      </c>
      <c r="G10147">
        <v>15</v>
      </c>
      <c r="H10147" t="s">
        <v>19447</v>
      </c>
      <c r="I10147" t="s">
        <v>19447</v>
      </c>
      <c r="J10147">
        <v>16</v>
      </c>
      <c r="L10147" t="s">
        <v>2709</v>
      </c>
      <c r="M10147">
        <v>90289010</v>
      </c>
      <c r="O10147" t="s">
        <v>19926</v>
      </c>
      <c r="P10147" t="s">
        <v>19899</v>
      </c>
      <c r="Q10147" t="s">
        <v>19983</v>
      </c>
      <c r="R10147" t="s">
        <v>19447</v>
      </c>
      <c r="S10147" t="s">
        <v>19447</v>
      </c>
      <c r="T10147" t="s">
        <v>19913</v>
      </c>
    </row>
    <row r="10148" spans="2:20" x14ac:dyDescent="0.25">
      <c r="B10148" t="s">
        <v>2709</v>
      </c>
      <c r="C10148">
        <v>90289090</v>
      </c>
      <c r="E10148">
        <v>177.19</v>
      </c>
      <c r="F10148">
        <v>18</v>
      </c>
      <c r="G10148">
        <v>15</v>
      </c>
      <c r="H10148" t="s">
        <v>19447</v>
      </c>
      <c r="I10148" t="s">
        <v>19447</v>
      </c>
      <c r="J10148">
        <v>16</v>
      </c>
      <c r="L10148" t="s">
        <v>2709</v>
      </c>
      <c r="M10148">
        <v>90289090</v>
      </c>
      <c r="O10148" t="s">
        <v>19926</v>
      </c>
      <c r="P10148" t="s">
        <v>19899</v>
      </c>
      <c r="Q10148" t="s">
        <v>19983</v>
      </c>
      <c r="R10148" t="s">
        <v>19447</v>
      </c>
      <c r="S10148" t="s">
        <v>19447</v>
      </c>
      <c r="T10148" t="s">
        <v>19913</v>
      </c>
    </row>
    <row r="10149" spans="2:20" x14ac:dyDescent="0.25">
      <c r="B10149" t="s">
        <v>2709</v>
      </c>
      <c r="C10149">
        <v>90291010</v>
      </c>
      <c r="E10149">
        <v>71.78</v>
      </c>
      <c r="F10149">
        <v>18</v>
      </c>
      <c r="G10149">
        <v>15</v>
      </c>
      <c r="H10149" t="s">
        <v>19447</v>
      </c>
      <c r="I10149" t="s">
        <v>19447</v>
      </c>
      <c r="J10149">
        <v>14</v>
      </c>
      <c r="L10149" t="s">
        <v>2709</v>
      </c>
      <c r="M10149">
        <v>90291010</v>
      </c>
      <c r="O10149" t="s">
        <v>20056</v>
      </c>
      <c r="P10149" t="s">
        <v>19899</v>
      </c>
      <c r="Q10149" t="s">
        <v>19983</v>
      </c>
      <c r="R10149" t="s">
        <v>19447</v>
      </c>
      <c r="S10149" t="s">
        <v>19447</v>
      </c>
      <c r="T10149" t="s">
        <v>19911</v>
      </c>
    </row>
    <row r="10150" spans="2:20" x14ac:dyDescent="0.25">
      <c r="B10150" t="s">
        <v>2709</v>
      </c>
      <c r="C10150">
        <v>90291090</v>
      </c>
      <c r="E10150">
        <v>71.78</v>
      </c>
      <c r="F10150">
        <v>18</v>
      </c>
      <c r="G10150">
        <v>15</v>
      </c>
      <c r="H10150" t="s">
        <v>19447</v>
      </c>
      <c r="I10150" t="s">
        <v>19447</v>
      </c>
      <c r="J10150">
        <v>18</v>
      </c>
      <c r="L10150" t="s">
        <v>2709</v>
      </c>
      <c r="M10150">
        <v>90291090</v>
      </c>
      <c r="O10150" t="s">
        <v>20056</v>
      </c>
      <c r="P10150" t="s">
        <v>19899</v>
      </c>
      <c r="Q10150" t="s">
        <v>19983</v>
      </c>
      <c r="R10150" t="s">
        <v>19447</v>
      </c>
      <c r="S10150" t="s">
        <v>19447</v>
      </c>
      <c r="T10150" t="s">
        <v>19899</v>
      </c>
    </row>
    <row r="10151" spans="2:20" x14ac:dyDescent="0.25">
      <c r="B10151" t="s">
        <v>2709</v>
      </c>
      <c r="C10151">
        <v>90292010</v>
      </c>
      <c r="E10151">
        <v>71.78</v>
      </c>
      <c r="F10151">
        <v>18</v>
      </c>
      <c r="G10151">
        <v>15</v>
      </c>
      <c r="H10151">
        <v>10.8</v>
      </c>
      <c r="I10151">
        <v>2.2999999999999998</v>
      </c>
      <c r="J10151">
        <v>18</v>
      </c>
      <c r="L10151" t="s">
        <v>2709</v>
      </c>
      <c r="M10151">
        <v>90292010</v>
      </c>
      <c r="O10151" t="s">
        <v>20056</v>
      </c>
      <c r="P10151" t="s">
        <v>19899</v>
      </c>
      <c r="Q10151" t="s">
        <v>19983</v>
      </c>
      <c r="R10151" t="s">
        <v>20074</v>
      </c>
      <c r="S10151" t="s">
        <v>20075</v>
      </c>
      <c r="T10151" t="s">
        <v>19899</v>
      </c>
    </row>
    <row r="10152" spans="2:20" x14ac:dyDescent="0.25">
      <c r="B10152" t="s">
        <v>2709</v>
      </c>
      <c r="C10152">
        <v>90292010</v>
      </c>
      <c r="D10152">
        <v>1</v>
      </c>
      <c r="E10152" t="s">
        <v>19447</v>
      </c>
      <c r="F10152">
        <v>18</v>
      </c>
      <c r="G10152">
        <v>4</v>
      </c>
      <c r="H10152">
        <v>7.6</v>
      </c>
      <c r="I10152">
        <v>1.65</v>
      </c>
      <c r="J10152">
        <v>18</v>
      </c>
      <c r="L10152" t="s">
        <v>2709</v>
      </c>
      <c r="M10152">
        <v>90292010</v>
      </c>
      <c r="N10152">
        <v>1</v>
      </c>
      <c r="O10152" t="s">
        <v>19447</v>
      </c>
      <c r="P10152" t="s">
        <v>19899</v>
      </c>
      <c r="Q10152" t="s">
        <v>19902</v>
      </c>
      <c r="R10152" t="s">
        <v>19905</v>
      </c>
      <c r="S10152" t="s">
        <v>19906</v>
      </c>
      <c r="T10152" t="s">
        <v>19899</v>
      </c>
    </row>
    <row r="10153" spans="2:20" x14ac:dyDescent="0.25">
      <c r="B10153" t="s">
        <v>2709</v>
      </c>
      <c r="C10153">
        <v>90292020</v>
      </c>
      <c r="E10153">
        <v>71.78</v>
      </c>
      <c r="F10153">
        <v>18</v>
      </c>
      <c r="G10153">
        <v>15</v>
      </c>
      <c r="H10153" t="s">
        <v>19447</v>
      </c>
      <c r="I10153" t="s">
        <v>19447</v>
      </c>
      <c r="J10153">
        <v>18</v>
      </c>
      <c r="L10153" t="s">
        <v>2709</v>
      </c>
      <c r="M10153">
        <v>90292020</v>
      </c>
      <c r="O10153" t="s">
        <v>20056</v>
      </c>
      <c r="P10153" t="s">
        <v>19899</v>
      </c>
      <c r="Q10153" t="s">
        <v>19983</v>
      </c>
      <c r="R10153" t="s">
        <v>19447</v>
      </c>
      <c r="S10153" t="s">
        <v>19447</v>
      </c>
      <c r="T10153" t="s">
        <v>19899</v>
      </c>
    </row>
    <row r="10154" spans="2:20" x14ac:dyDescent="0.25">
      <c r="B10154" t="s">
        <v>2709</v>
      </c>
      <c r="C10154">
        <v>90299010</v>
      </c>
      <c r="E10154">
        <v>71.78</v>
      </c>
      <c r="F10154">
        <v>18</v>
      </c>
      <c r="G10154">
        <v>15</v>
      </c>
      <c r="H10154">
        <v>10.8</v>
      </c>
      <c r="I10154">
        <v>2.2999999999999998</v>
      </c>
      <c r="J10154">
        <v>16</v>
      </c>
      <c r="L10154" t="s">
        <v>2709</v>
      </c>
      <c r="M10154">
        <v>90299010</v>
      </c>
      <c r="O10154" t="s">
        <v>20056</v>
      </c>
      <c r="P10154" t="s">
        <v>19899</v>
      </c>
      <c r="Q10154" t="s">
        <v>19983</v>
      </c>
      <c r="R10154" t="s">
        <v>20074</v>
      </c>
      <c r="S10154" t="s">
        <v>20075</v>
      </c>
      <c r="T10154" t="s">
        <v>19913</v>
      </c>
    </row>
    <row r="10155" spans="2:20" x14ac:dyDescent="0.25">
      <c r="B10155" t="s">
        <v>2709</v>
      </c>
      <c r="C10155">
        <v>90299090</v>
      </c>
      <c r="E10155">
        <v>71.78</v>
      </c>
      <c r="F10155">
        <v>18</v>
      </c>
      <c r="G10155">
        <v>15</v>
      </c>
      <c r="H10155" t="s">
        <v>19447</v>
      </c>
      <c r="I10155" t="s">
        <v>19447</v>
      </c>
      <c r="J10155">
        <v>16</v>
      </c>
      <c r="L10155" t="s">
        <v>2709</v>
      </c>
      <c r="M10155">
        <v>90299090</v>
      </c>
      <c r="O10155" t="s">
        <v>20056</v>
      </c>
      <c r="P10155" t="s">
        <v>19899</v>
      </c>
      <c r="Q10155" t="s">
        <v>19983</v>
      </c>
      <c r="R10155" t="s">
        <v>19447</v>
      </c>
      <c r="S10155" t="s">
        <v>19447</v>
      </c>
      <c r="T10155" t="s">
        <v>19913</v>
      </c>
    </row>
    <row r="10156" spans="2:20" x14ac:dyDescent="0.25">
      <c r="B10156" t="s">
        <v>2709</v>
      </c>
      <c r="C10156">
        <v>90301010</v>
      </c>
      <c r="E10156">
        <v>177.19</v>
      </c>
      <c r="F10156">
        <v>12</v>
      </c>
      <c r="G10156">
        <v>5</v>
      </c>
      <c r="H10156" t="s">
        <v>19447</v>
      </c>
      <c r="I10156" t="s">
        <v>19447</v>
      </c>
      <c r="J10156">
        <v>14</v>
      </c>
      <c r="L10156" t="s">
        <v>2709</v>
      </c>
      <c r="M10156">
        <v>90301010</v>
      </c>
      <c r="O10156" t="s">
        <v>19926</v>
      </c>
      <c r="P10156" t="s">
        <v>19903</v>
      </c>
      <c r="Q10156" t="s">
        <v>19909</v>
      </c>
      <c r="R10156" t="s">
        <v>19447</v>
      </c>
      <c r="S10156" t="s">
        <v>19447</v>
      </c>
      <c r="T10156" t="s">
        <v>19911</v>
      </c>
    </row>
    <row r="10157" spans="2:20" x14ac:dyDescent="0.25">
      <c r="B10157" t="s">
        <v>2709</v>
      </c>
      <c r="C10157">
        <v>90301090</v>
      </c>
      <c r="E10157">
        <v>177.19</v>
      </c>
      <c r="F10157">
        <v>12</v>
      </c>
      <c r="G10157">
        <v>5</v>
      </c>
      <c r="H10157" t="s">
        <v>19447</v>
      </c>
      <c r="I10157" t="s">
        <v>19447</v>
      </c>
      <c r="J10157">
        <v>14</v>
      </c>
      <c r="L10157" t="s">
        <v>2709</v>
      </c>
      <c r="M10157">
        <v>90301090</v>
      </c>
      <c r="O10157" t="s">
        <v>19926</v>
      </c>
      <c r="P10157" t="s">
        <v>19903</v>
      </c>
      <c r="Q10157" t="s">
        <v>19909</v>
      </c>
      <c r="R10157" t="s">
        <v>19447</v>
      </c>
      <c r="S10157" t="s">
        <v>19447</v>
      </c>
      <c r="T10157" t="s">
        <v>19911</v>
      </c>
    </row>
    <row r="10158" spans="2:20" x14ac:dyDescent="0.25">
      <c r="B10158" t="s">
        <v>2709</v>
      </c>
      <c r="C10158">
        <v>90302010</v>
      </c>
      <c r="E10158">
        <v>177.19</v>
      </c>
      <c r="F10158">
        <v>12</v>
      </c>
      <c r="G10158">
        <v>5</v>
      </c>
      <c r="H10158" t="s">
        <v>19447</v>
      </c>
      <c r="I10158" t="s">
        <v>19447</v>
      </c>
      <c r="J10158">
        <v>2</v>
      </c>
      <c r="L10158" t="s">
        <v>2709</v>
      </c>
      <c r="M10158">
        <v>90302010</v>
      </c>
      <c r="O10158" t="s">
        <v>19926</v>
      </c>
      <c r="P10158" t="s">
        <v>19903</v>
      </c>
      <c r="Q10158" t="s">
        <v>19909</v>
      </c>
      <c r="R10158" t="s">
        <v>19447</v>
      </c>
      <c r="S10158" t="s">
        <v>19447</v>
      </c>
      <c r="T10158" t="s">
        <v>19901</v>
      </c>
    </row>
    <row r="10159" spans="2:20" x14ac:dyDescent="0.25">
      <c r="B10159" t="s">
        <v>2709</v>
      </c>
      <c r="C10159">
        <v>90302021</v>
      </c>
      <c r="E10159">
        <v>177.19</v>
      </c>
      <c r="F10159">
        <v>18</v>
      </c>
      <c r="G10159">
        <v>5</v>
      </c>
      <c r="H10159" t="s">
        <v>19447</v>
      </c>
      <c r="I10159" t="s">
        <v>19447</v>
      </c>
      <c r="J10159">
        <v>0</v>
      </c>
      <c r="L10159" t="s">
        <v>2709</v>
      </c>
      <c r="M10159">
        <v>90302021</v>
      </c>
      <c r="O10159" t="s">
        <v>19926</v>
      </c>
      <c r="P10159" t="s">
        <v>19899</v>
      </c>
      <c r="Q10159" t="s">
        <v>19909</v>
      </c>
      <c r="R10159" t="s">
        <v>19447</v>
      </c>
      <c r="S10159" t="s">
        <v>19447</v>
      </c>
      <c r="T10159" t="s">
        <v>19900</v>
      </c>
    </row>
    <row r="10160" spans="2:20" x14ac:dyDescent="0.25">
      <c r="B10160" t="s">
        <v>2709</v>
      </c>
      <c r="C10160">
        <v>90302022</v>
      </c>
      <c r="E10160">
        <v>177.19</v>
      </c>
      <c r="F10160">
        <v>18</v>
      </c>
      <c r="G10160">
        <v>5</v>
      </c>
      <c r="H10160" t="s">
        <v>19447</v>
      </c>
      <c r="I10160" t="s">
        <v>19447</v>
      </c>
      <c r="J10160">
        <v>0</v>
      </c>
      <c r="L10160" t="s">
        <v>2709</v>
      </c>
      <c r="M10160">
        <v>90302022</v>
      </c>
      <c r="O10160" t="s">
        <v>19926</v>
      </c>
      <c r="P10160" t="s">
        <v>19899</v>
      </c>
      <c r="Q10160" t="s">
        <v>19909</v>
      </c>
      <c r="R10160" t="s">
        <v>19447</v>
      </c>
      <c r="S10160" t="s">
        <v>19447</v>
      </c>
      <c r="T10160" t="s">
        <v>19900</v>
      </c>
    </row>
    <row r="10161" spans="2:20" x14ac:dyDescent="0.25">
      <c r="B10161" t="s">
        <v>2709</v>
      </c>
      <c r="C10161">
        <v>90302029</v>
      </c>
      <c r="E10161">
        <v>177.19</v>
      </c>
      <c r="F10161">
        <v>18</v>
      </c>
      <c r="G10161">
        <v>5</v>
      </c>
      <c r="H10161" t="s">
        <v>19447</v>
      </c>
      <c r="I10161" t="s">
        <v>19447</v>
      </c>
      <c r="J10161">
        <v>12</v>
      </c>
      <c r="L10161" t="s">
        <v>2709</v>
      </c>
      <c r="M10161">
        <v>90302029</v>
      </c>
      <c r="O10161" t="s">
        <v>19926</v>
      </c>
      <c r="P10161" t="s">
        <v>19899</v>
      </c>
      <c r="Q10161" t="s">
        <v>19909</v>
      </c>
      <c r="R10161" t="s">
        <v>19447</v>
      </c>
      <c r="S10161" t="s">
        <v>19447</v>
      </c>
      <c r="T10161" t="s">
        <v>19903</v>
      </c>
    </row>
    <row r="10162" spans="2:20" x14ac:dyDescent="0.25">
      <c r="B10162" t="s">
        <v>2709</v>
      </c>
      <c r="C10162">
        <v>90302030</v>
      </c>
      <c r="E10162">
        <v>177.19</v>
      </c>
      <c r="F10162">
        <v>12</v>
      </c>
      <c r="G10162">
        <v>5</v>
      </c>
      <c r="H10162" t="s">
        <v>19447</v>
      </c>
      <c r="I10162" t="s">
        <v>19447</v>
      </c>
      <c r="J10162">
        <v>0</v>
      </c>
      <c r="L10162" t="s">
        <v>2709</v>
      </c>
      <c r="M10162">
        <v>90302030</v>
      </c>
      <c r="O10162" t="s">
        <v>19926</v>
      </c>
      <c r="P10162" t="s">
        <v>19903</v>
      </c>
      <c r="Q10162" t="s">
        <v>19909</v>
      </c>
      <c r="R10162" t="s">
        <v>19447</v>
      </c>
      <c r="S10162" t="s">
        <v>19447</v>
      </c>
      <c r="T10162" t="s">
        <v>19900</v>
      </c>
    </row>
    <row r="10163" spans="2:20" x14ac:dyDescent="0.25">
      <c r="B10163" t="s">
        <v>2709</v>
      </c>
      <c r="C10163">
        <v>90303100</v>
      </c>
      <c r="E10163">
        <v>69</v>
      </c>
      <c r="F10163">
        <v>12</v>
      </c>
      <c r="G10163">
        <v>5</v>
      </c>
      <c r="H10163" t="s">
        <v>19447</v>
      </c>
      <c r="I10163" t="s">
        <v>19447</v>
      </c>
      <c r="J10163">
        <v>14</v>
      </c>
      <c r="L10163" t="s">
        <v>2709</v>
      </c>
      <c r="M10163">
        <v>90303100</v>
      </c>
      <c r="O10163" t="s">
        <v>20119</v>
      </c>
      <c r="P10163" t="s">
        <v>19903</v>
      </c>
      <c r="Q10163" t="s">
        <v>19909</v>
      </c>
      <c r="R10163" t="s">
        <v>19447</v>
      </c>
      <c r="S10163" t="s">
        <v>19447</v>
      </c>
      <c r="T10163" t="s">
        <v>19911</v>
      </c>
    </row>
    <row r="10164" spans="2:20" x14ac:dyDescent="0.25">
      <c r="B10164" t="s">
        <v>2709</v>
      </c>
      <c r="C10164">
        <v>90303200</v>
      </c>
      <c r="E10164">
        <v>69</v>
      </c>
      <c r="F10164">
        <v>18</v>
      </c>
      <c r="G10164">
        <v>5</v>
      </c>
      <c r="H10164" t="s">
        <v>19447</v>
      </c>
      <c r="I10164" t="s">
        <v>19447</v>
      </c>
      <c r="J10164">
        <v>14</v>
      </c>
      <c r="L10164" t="s">
        <v>2709</v>
      </c>
      <c r="M10164">
        <v>90303200</v>
      </c>
      <c r="O10164" t="s">
        <v>20119</v>
      </c>
      <c r="P10164" t="s">
        <v>19899</v>
      </c>
      <c r="Q10164" t="s">
        <v>19909</v>
      </c>
      <c r="R10164" t="s">
        <v>19447</v>
      </c>
      <c r="S10164" t="s">
        <v>19447</v>
      </c>
      <c r="T10164" t="s">
        <v>19911</v>
      </c>
    </row>
    <row r="10165" spans="2:20" x14ac:dyDescent="0.25">
      <c r="B10165" t="s">
        <v>2709</v>
      </c>
      <c r="C10165">
        <v>90303311</v>
      </c>
      <c r="E10165">
        <v>69</v>
      </c>
      <c r="F10165">
        <v>12</v>
      </c>
      <c r="G10165">
        <v>5</v>
      </c>
      <c r="H10165" t="s">
        <v>19447</v>
      </c>
      <c r="I10165" t="s">
        <v>19447</v>
      </c>
      <c r="J10165">
        <v>12</v>
      </c>
      <c r="L10165" t="s">
        <v>2709</v>
      </c>
      <c r="M10165">
        <v>90303311</v>
      </c>
      <c r="O10165" t="s">
        <v>20119</v>
      </c>
      <c r="P10165" t="s">
        <v>19903</v>
      </c>
      <c r="Q10165" t="s">
        <v>19909</v>
      </c>
      <c r="R10165" t="s">
        <v>19447</v>
      </c>
      <c r="S10165" t="s">
        <v>19447</v>
      </c>
      <c r="T10165" t="s">
        <v>19903</v>
      </c>
    </row>
    <row r="10166" spans="2:20" x14ac:dyDescent="0.25">
      <c r="B10166" t="s">
        <v>2709</v>
      </c>
      <c r="C10166">
        <v>90303319</v>
      </c>
      <c r="E10166">
        <v>69</v>
      </c>
      <c r="F10166">
        <v>12</v>
      </c>
      <c r="G10166">
        <v>5</v>
      </c>
      <c r="H10166" t="s">
        <v>19447</v>
      </c>
      <c r="I10166" t="s">
        <v>19447</v>
      </c>
      <c r="J10166">
        <v>12</v>
      </c>
      <c r="L10166" t="s">
        <v>2709</v>
      </c>
      <c r="M10166">
        <v>90303319</v>
      </c>
      <c r="O10166" t="s">
        <v>20119</v>
      </c>
      <c r="P10166" t="s">
        <v>19903</v>
      </c>
      <c r="Q10166" t="s">
        <v>19909</v>
      </c>
      <c r="R10166" t="s">
        <v>19447</v>
      </c>
      <c r="S10166" t="s">
        <v>19447</v>
      </c>
      <c r="T10166" t="s">
        <v>19903</v>
      </c>
    </row>
    <row r="10167" spans="2:20" x14ac:dyDescent="0.25">
      <c r="B10167" t="s">
        <v>2709</v>
      </c>
      <c r="C10167">
        <v>90303321</v>
      </c>
      <c r="E10167">
        <v>71.78</v>
      </c>
      <c r="F10167">
        <v>12</v>
      </c>
      <c r="G10167">
        <v>5</v>
      </c>
      <c r="H10167">
        <v>10.8</v>
      </c>
      <c r="I10167">
        <v>2.2999999999999998</v>
      </c>
      <c r="J10167">
        <v>18</v>
      </c>
      <c r="L10167" t="s">
        <v>2709</v>
      </c>
      <c r="M10167">
        <v>90303321</v>
      </c>
      <c r="O10167" t="s">
        <v>20056</v>
      </c>
      <c r="P10167" t="s">
        <v>19903</v>
      </c>
      <c r="Q10167" t="s">
        <v>19909</v>
      </c>
      <c r="R10167" t="s">
        <v>20074</v>
      </c>
      <c r="S10167" t="s">
        <v>20075</v>
      </c>
      <c r="T10167" t="s">
        <v>19899</v>
      </c>
    </row>
    <row r="10168" spans="2:20" x14ac:dyDescent="0.25">
      <c r="B10168" t="s">
        <v>2709</v>
      </c>
      <c r="C10168">
        <v>90303329</v>
      </c>
      <c r="E10168">
        <v>69</v>
      </c>
      <c r="F10168">
        <v>12</v>
      </c>
      <c r="G10168">
        <v>5</v>
      </c>
      <c r="H10168" t="s">
        <v>19447</v>
      </c>
      <c r="I10168" t="s">
        <v>19447</v>
      </c>
      <c r="J10168">
        <v>14</v>
      </c>
      <c r="L10168" t="s">
        <v>2709</v>
      </c>
      <c r="M10168">
        <v>90303329</v>
      </c>
      <c r="O10168" t="s">
        <v>20119</v>
      </c>
      <c r="P10168" t="s">
        <v>19903</v>
      </c>
      <c r="Q10168" t="s">
        <v>19909</v>
      </c>
      <c r="R10168" t="s">
        <v>19447</v>
      </c>
      <c r="S10168" t="s">
        <v>19447</v>
      </c>
      <c r="T10168" t="s">
        <v>19911</v>
      </c>
    </row>
    <row r="10169" spans="2:20" x14ac:dyDescent="0.25">
      <c r="B10169" t="s">
        <v>2709</v>
      </c>
      <c r="C10169">
        <v>90303390</v>
      </c>
      <c r="E10169">
        <v>69</v>
      </c>
      <c r="F10169">
        <v>12</v>
      </c>
      <c r="G10169">
        <v>5</v>
      </c>
      <c r="H10169" t="s">
        <v>19447</v>
      </c>
      <c r="I10169" t="s">
        <v>19447</v>
      </c>
      <c r="J10169">
        <v>14</v>
      </c>
      <c r="L10169" t="s">
        <v>2709</v>
      </c>
      <c r="M10169">
        <v>90303390</v>
      </c>
      <c r="O10169" t="s">
        <v>20119</v>
      </c>
      <c r="P10169" t="s">
        <v>19903</v>
      </c>
      <c r="Q10169" t="s">
        <v>19909</v>
      </c>
      <c r="R10169" t="s">
        <v>19447</v>
      </c>
      <c r="S10169" t="s">
        <v>19447</v>
      </c>
      <c r="T10169" t="s">
        <v>19911</v>
      </c>
    </row>
    <row r="10170" spans="2:20" x14ac:dyDescent="0.25">
      <c r="B10170" t="s">
        <v>2709</v>
      </c>
      <c r="C10170">
        <v>90303910</v>
      </c>
      <c r="E10170">
        <v>69</v>
      </c>
      <c r="F10170">
        <v>18</v>
      </c>
      <c r="G10170">
        <v>5</v>
      </c>
      <c r="H10170" t="s">
        <v>19447</v>
      </c>
      <c r="I10170" t="s">
        <v>19447</v>
      </c>
      <c r="J10170">
        <v>12</v>
      </c>
      <c r="L10170" t="s">
        <v>2709</v>
      </c>
      <c r="M10170">
        <v>90303910</v>
      </c>
      <c r="O10170" t="s">
        <v>20119</v>
      </c>
      <c r="P10170" t="s">
        <v>19899</v>
      </c>
      <c r="Q10170" t="s">
        <v>19909</v>
      </c>
      <c r="R10170" t="s">
        <v>19447</v>
      </c>
      <c r="S10170" t="s">
        <v>19447</v>
      </c>
      <c r="T10170" t="s">
        <v>19903</v>
      </c>
    </row>
    <row r="10171" spans="2:20" x14ac:dyDescent="0.25">
      <c r="B10171" t="s">
        <v>2709</v>
      </c>
      <c r="C10171">
        <v>90303990</v>
      </c>
      <c r="E10171">
        <v>69</v>
      </c>
      <c r="F10171">
        <v>12</v>
      </c>
      <c r="G10171">
        <v>5</v>
      </c>
      <c r="H10171" t="s">
        <v>19447</v>
      </c>
      <c r="I10171" t="s">
        <v>19447</v>
      </c>
      <c r="J10171">
        <v>14</v>
      </c>
      <c r="L10171" t="s">
        <v>2709</v>
      </c>
      <c r="M10171">
        <v>90303990</v>
      </c>
      <c r="O10171" t="s">
        <v>20119</v>
      </c>
      <c r="P10171" t="s">
        <v>19903</v>
      </c>
      <c r="Q10171" t="s">
        <v>19909</v>
      </c>
      <c r="R10171" t="s">
        <v>19447</v>
      </c>
      <c r="S10171" t="s">
        <v>19447</v>
      </c>
      <c r="T10171" t="s">
        <v>19911</v>
      </c>
    </row>
    <row r="10172" spans="2:20" x14ac:dyDescent="0.25">
      <c r="B10172" t="s">
        <v>2709</v>
      </c>
      <c r="C10172">
        <v>90304010</v>
      </c>
      <c r="E10172">
        <v>177.19</v>
      </c>
      <c r="F10172">
        <v>12</v>
      </c>
      <c r="G10172">
        <v>5</v>
      </c>
      <c r="H10172" t="s">
        <v>19447</v>
      </c>
      <c r="I10172" t="s">
        <v>19447</v>
      </c>
      <c r="J10172">
        <v>12</v>
      </c>
      <c r="L10172" t="s">
        <v>2709</v>
      </c>
      <c r="M10172">
        <v>90304010</v>
      </c>
      <c r="O10172" t="s">
        <v>19926</v>
      </c>
      <c r="P10172" t="s">
        <v>19903</v>
      </c>
      <c r="Q10172" t="s">
        <v>19909</v>
      </c>
      <c r="R10172" t="s">
        <v>19447</v>
      </c>
      <c r="S10172" t="s">
        <v>19447</v>
      </c>
      <c r="T10172" t="s">
        <v>19903</v>
      </c>
    </row>
    <row r="10173" spans="2:20" x14ac:dyDescent="0.25">
      <c r="B10173" t="s">
        <v>2709</v>
      </c>
      <c r="C10173">
        <v>90304020</v>
      </c>
      <c r="E10173">
        <v>177.19</v>
      </c>
      <c r="F10173">
        <v>12</v>
      </c>
      <c r="G10173">
        <v>5</v>
      </c>
      <c r="H10173" t="s">
        <v>19447</v>
      </c>
      <c r="I10173" t="s">
        <v>19447</v>
      </c>
      <c r="J10173">
        <v>12</v>
      </c>
      <c r="L10173" t="s">
        <v>2709</v>
      </c>
      <c r="M10173">
        <v>90304020</v>
      </c>
      <c r="O10173" t="s">
        <v>19926</v>
      </c>
      <c r="P10173" t="s">
        <v>19903</v>
      </c>
      <c r="Q10173" t="s">
        <v>19909</v>
      </c>
      <c r="R10173" t="s">
        <v>19447</v>
      </c>
      <c r="S10173" t="s">
        <v>19447</v>
      </c>
      <c r="T10173" t="s">
        <v>19903</v>
      </c>
    </row>
    <row r="10174" spans="2:20" x14ac:dyDescent="0.25">
      <c r="B10174" t="s">
        <v>2709</v>
      </c>
      <c r="C10174">
        <v>90304030</v>
      </c>
      <c r="E10174">
        <v>177.19</v>
      </c>
      <c r="F10174">
        <v>12</v>
      </c>
      <c r="G10174">
        <v>5</v>
      </c>
      <c r="H10174" t="s">
        <v>19447</v>
      </c>
      <c r="I10174" t="s">
        <v>19447</v>
      </c>
      <c r="J10174">
        <v>12</v>
      </c>
      <c r="L10174" t="s">
        <v>2709</v>
      </c>
      <c r="M10174">
        <v>90304030</v>
      </c>
      <c r="O10174" t="s">
        <v>19926</v>
      </c>
      <c r="P10174" t="s">
        <v>19903</v>
      </c>
      <c r="Q10174" t="s">
        <v>19909</v>
      </c>
      <c r="R10174" t="s">
        <v>19447</v>
      </c>
      <c r="S10174" t="s">
        <v>19447</v>
      </c>
      <c r="T10174" t="s">
        <v>19903</v>
      </c>
    </row>
    <row r="10175" spans="2:20" x14ac:dyDescent="0.25">
      <c r="B10175" t="s">
        <v>2709</v>
      </c>
      <c r="C10175">
        <v>90304090</v>
      </c>
      <c r="E10175">
        <v>177.19</v>
      </c>
      <c r="F10175">
        <v>12</v>
      </c>
      <c r="G10175">
        <v>5</v>
      </c>
      <c r="H10175" t="s">
        <v>19447</v>
      </c>
      <c r="I10175" t="s">
        <v>19447</v>
      </c>
      <c r="J10175">
        <v>12</v>
      </c>
      <c r="L10175" t="s">
        <v>2709</v>
      </c>
      <c r="M10175">
        <v>90304090</v>
      </c>
      <c r="O10175" t="s">
        <v>19926</v>
      </c>
      <c r="P10175" t="s">
        <v>19903</v>
      </c>
      <c r="Q10175" t="s">
        <v>19909</v>
      </c>
      <c r="R10175" t="s">
        <v>19447</v>
      </c>
      <c r="S10175" t="s">
        <v>19447</v>
      </c>
      <c r="T10175" t="s">
        <v>19903</v>
      </c>
    </row>
    <row r="10176" spans="2:20" x14ac:dyDescent="0.25">
      <c r="B10176" t="s">
        <v>2709</v>
      </c>
      <c r="C10176">
        <v>90308210</v>
      </c>
      <c r="E10176">
        <v>177.19</v>
      </c>
      <c r="F10176">
        <v>18</v>
      </c>
      <c r="G10176">
        <v>5</v>
      </c>
      <c r="H10176" t="s">
        <v>19447</v>
      </c>
      <c r="I10176" t="s">
        <v>19447</v>
      </c>
      <c r="J10176">
        <v>12</v>
      </c>
      <c r="L10176" t="s">
        <v>2709</v>
      </c>
      <c r="M10176">
        <v>90308210</v>
      </c>
      <c r="O10176" t="s">
        <v>19926</v>
      </c>
      <c r="P10176" t="s">
        <v>19899</v>
      </c>
      <c r="Q10176" t="s">
        <v>19909</v>
      </c>
      <c r="R10176" t="s">
        <v>19447</v>
      </c>
      <c r="S10176" t="s">
        <v>19447</v>
      </c>
      <c r="T10176" t="s">
        <v>19903</v>
      </c>
    </row>
    <row r="10177" spans="2:20" x14ac:dyDescent="0.25">
      <c r="B10177" t="s">
        <v>2709</v>
      </c>
      <c r="C10177">
        <v>90308290</v>
      </c>
      <c r="E10177">
        <v>177.19</v>
      </c>
      <c r="F10177">
        <v>18</v>
      </c>
      <c r="G10177">
        <v>5</v>
      </c>
      <c r="H10177" t="s">
        <v>19447</v>
      </c>
      <c r="I10177" t="s">
        <v>19447</v>
      </c>
      <c r="J10177">
        <v>12</v>
      </c>
      <c r="L10177" t="s">
        <v>2709</v>
      </c>
      <c r="M10177">
        <v>90308290</v>
      </c>
      <c r="O10177" t="s">
        <v>19926</v>
      </c>
      <c r="P10177" t="s">
        <v>19899</v>
      </c>
      <c r="Q10177" t="s">
        <v>19909</v>
      </c>
      <c r="R10177" t="s">
        <v>19447</v>
      </c>
      <c r="S10177" t="s">
        <v>19447</v>
      </c>
      <c r="T10177" t="s">
        <v>19903</v>
      </c>
    </row>
    <row r="10178" spans="2:20" x14ac:dyDescent="0.25">
      <c r="B10178" t="s">
        <v>2709</v>
      </c>
      <c r="C10178">
        <v>90308410</v>
      </c>
      <c r="E10178">
        <v>177.19</v>
      </c>
      <c r="F10178">
        <v>12</v>
      </c>
      <c r="G10178">
        <v>5</v>
      </c>
      <c r="H10178" t="s">
        <v>19447</v>
      </c>
      <c r="I10178" t="s">
        <v>19447</v>
      </c>
      <c r="J10178">
        <v>0</v>
      </c>
      <c r="L10178" t="s">
        <v>2709</v>
      </c>
      <c r="M10178">
        <v>90308410</v>
      </c>
      <c r="O10178" t="s">
        <v>19926</v>
      </c>
      <c r="P10178" t="s">
        <v>19903</v>
      </c>
      <c r="Q10178" t="s">
        <v>19909</v>
      </c>
      <c r="R10178" t="s">
        <v>19447</v>
      </c>
      <c r="S10178" t="s">
        <v>19447</v>
      </c>
      <c r="T10178" t="s">
        <v>19900</v>
      </c>
    </row>
    <row r="10179" spans="2:20" x14ac:dyDescent="0.25">
      <c r="B10179" t="s">
        <v>2709</v>
      </c>
      <c r="C10179">
        <v>90308420</v>
      </c>
      <c r="E10179">
        <v>177.19</v>
      </c>
      <c r="F10179">
        <v>12</v>
      </c>
      <c r="G10179">
        <v>5</v>
      </c>
      <c r="H10179" t="s">
        <v>19447</v>
      </c>
      <c r="I10179" t="s">
        <v>19447</v>
      </c>
      <c r="J10179">
        <v>0</v>
      </c>
      <c r="L10179" t="s">
        <v>2709</v>
      </c>
      <c r="M10179">
        <v>90308420</v>
      </c>
      <c r="O10179" t="s">
        <v>19926</v>
      </c>
      <c r="P10179" t="s">
        <v>19903</v>
      </c>
      <c r="Q10179" t="s">
        <v>19909</v>
      </c>
      <c r="R10179" t="s">
        <v>19447</v>
      </c>
      <c r="S10179" t="s">
        <v>19447</v>
      </c>
      <c r="T10179" t="s">
        <v>19900</v>
      </c>
    </row>
    <row r="10180" spans="2:20" x14ac:dyDescent="0.25">
      <c r="B10180" t="s">
        <v>2709</v>
      </c>
      <c r="C10180">
        <v>90308490</v>
      </c>
      <c r="E10180">
        <v>177.19</v>
      </c>
      <c r="F10180">
        <v>12</v>
      </c>
      <c r="G10180">
        <v>5</v>
      </c>
      <c r="H10180" t="s">
        <v>19447</v>
      </c>
      <c r="I10180" t="s">
        <v>19447</v>
      </c>
      <c r="J10180">
        <v>14</v>
      </c>
      <c r="L10180" t="s">
        <v>2709</v>
      </c>
      <c r="M10180">
        <v>90308490</v>
      </c>
      <c r="O10180" t="s">
        <v>19926</v>
      </c>
      <c r="P10180" t="s">
        <v>19903</v>
      </c>
      <c r="Q10180" t="s">
        <v>19909</v>
      </c>
      <c r="R10180" t="s">
        <v>19447</v>
      </c>
      <c r="S10180" t="s">
        <v>19447</v>
      </c>
      <c r="T10180" t="s">
        <v>19911</v>
      </c>
    </row>
    <row r="10181" spans="2:20" x14ac:dyDescent="0.25">
      <c r="B10181" t="s">
        <v>2709</v>
      </c>
      <c r="C10181">
        <v>90308910</v>
      </c>
      <c r="E10181">
        <v>67</v>
      </c>
      <c r="F10181">
        <v>12</v>
      </c>
      <c r="G10181">
        <v>5</v>
      </c>
      <c r="H10181" t="s">
        <v>19447</v>
      </c>
      <c r="I10181" t="s">
        <v>19447</v>
      </c>
      <c r="J10181">
        <v>0</v>
      </c>
      <c r="L10181" t="s">
        <v>2709</v>
      </c>
      <c r="M10181">
        <v>90308910</v>
      </c>
      <c r="O10181" t="s">
        <v>20114</v>
      </c>
      <c r="P10181" t="s">
        <v>19903</v>
      </c>
      <c r="Q10181" t="s">
        <v>19909</v>
      </c>
      <c r="R10181" t="s">
        <v>19447</v>
      </c>
      <c r="S10181" t="s">
        <v>19447</v>
      </c>
      <c r="T10181" t="s">
        <v>19900</v>
      </c>
    </row>
    <row r="10182" spans="2:20" x14ac:dyDescent="0.25">
      <c r="B10182" t="s">
        <v>2709</v>
      </c>
      <c r="C10182">
        <v>90308920</v>
      </c>
      <c r="E10182">
        <v>67</v>
      </c>
      <c r="F10182">
        <v>12</v>
      </c>
      <c r="G10182">
        <v>5</v>
      </c>
      <c r="H10182" t="s">
        <v>19447</v>
      </c>
      <c r="I10182" t="s">
        <v>19447</v>
      </c>
      <c r="J10182">
        <v>0</v>
      </c>
      <c r="L10182" t="s">
        <v>2709</v>
      </c>
      <c r="M10182">
        <v>90308920</v>
      </c>
      <c r="O10182" t="s">
        <v>20114</v>
      </c>
      <c r="P10182" t="s">
        <v>19903</v>
      </c>
      <c r="Q10182" t="s">
        <v>19909</v>
      </c>
      <c r="R10182" t="s">
        <v>19447</v>
      </c>
      <c r="S10182" t="s">
        <v>19447</v>
      </c>
      <c r="T10182" t="s">
        <v>19900</v>
      </c>
    </row>
    <row r="10183" spans="2:20" x14ac:dyDescent="0.25">
      <c r="B10183" t="s">
        <v>2709</v>
      </c>
      <c r="C10183">
        <v>90308930</v>
      </c>
      <c r="E10183">
        <v>67</v>
      </c>
      <c r="F10183">
        <v>12</v>
      </c>
      <c r="G10183">
        <v>5</v>
      </c>
      <c r="H10183" t="s">
        <v>19447</v>
      </c>
      <c r="I10183" t="s">
        <v>19447</v>
      </c>
      <c r="J10183">
        <v>12</v>
      </c>
      <c r="L10183" t="s">
        <v>2709</v>
      </c>
      <c r="M10183">
        <v>90308930</v>
      </c>
      <c r="O10183" t="s">
        <v>20114</v>
      </c>
      <c r="P10183" t="s">
        <v>19903</v>
      </c>
      <c r="Q10183" t="s">
        <v>19909</v>
      </c>
      <c r="R10183" t="s">
        <v>19447</v>
      </c>
      <c r="S10183" t="s">
        <v>19447</v>
      </c>
      <c r="T10183" t="s">
        <v>19903</v>
      </c>
    </row>
    <row r="10184" spans="2:20" x14ac:dyDescent="0.25">
      <c r="B10184" t="s">
        <v>2709</v>
      </c>
      <c r="C10184">
        <v>90308940</v>
      </c>
      <c r="E10184">
        <v>67</v>
      </c>
      <c r="F10184">
        <v>12</v>
      </c>
      <c r="G10184">
        <v>5</v>
      </c>
      <c r="H10184" t="s">
        <v>19447</v>
      </c>
      <c r="I10184" t="s">
        <v>19447</v>
      </c>
      <c r="J10184">
        <v>12</v>
      </c>
      <c r="L10184" t="s">
        <v>2709</v>
      </c>
      <c r="M10184">
        <v>90308940</v>
      </c>
      <c r="O10184" t="s">
        <v>20114</v>
      </c>
      <c r="P10184" t="s">
        <v>19903</v>
      </c>
      <c r="Q10184" t="s">
        <v>19909</v>
      </c>
      <c r="R10184" t="s">
        <v>19447</v>
      </c>
      <c r="S10184" t="s">
        <v>19447</v>
      </c>
      <c r="T10184" t="s">
        <v>19903</v>
      </c>
    </row>
    <row r="10185" spans="2:20" x14ac:dyDescent="0.25">
      <c r="B10185" t="s">
        <v>2709</v>
      </c>
      <c r="C10185">
        <v>90308990</v>
      </c>
      <c r="E10185">
        <v>67</v>
      </c>
      <c r="F10185">
        <v>12</v>
      </c>
      <c r="G10185">
        <v>5</v>
      </c>
      <c r="H10185" t="s">
        <v>19447</v>
      </c>
      <c r="I10185" t="s">
        <v>19447</v>
      </c>
      <c r="J10185">
        <v>12</v>
      </c>
      <c r="L10185" t="s">
        <v>2709</v>
      </c>
      <c r="M10185">
        <v>90308990</v>
      </c>
      <c r="O10185" t="s">
        <v>20114</v>
      </c>
      <c r="P10185" t="s">
        <v>19903</v>
      </c>
      <c r="Q10185" t="s">
        <v>19909</v>
      </c>
      <c r="R10185" t="s">
        <v>19447</v>
      </c>
      <c r="S10185" t="s">
        <v>19447</v>
      </c>
      <c r="T10185" t="s">
        <v>19903</v>
      </c>
    </row>
    <row r="10186" spans="2:20" x14ac:dyDescent="0.25">
      <c r="B10186" t="s">
        <v>2709</v>
      </c>
      <c r="C10186">
        <v>90309010</v>
      </c>
      <c r="E10186">
        <v>177.19</v>
      </c>
      <c r="F10186">
        <v>18</v>
      </c>
      <c r="G10186">
        <v>5</v>
      </c>
      <c r="H10186" t="s">
        <v>19447</v>
      </c>
      <c r="I10186" t="s">
        <v>19447</v>
      </c>
      <c r="J10186">
        <v>14</v>
      </c>
      <c r="L10186" t="s">
        <v>2709</v>
      </c>
      <c r="M10186">
        <v>90309010</v>
      </c>
      <c r="O10186" t="s">
        <v>19926</v>
      </c>
      <c r="P10186" t="s">
        <v>19899</v>
      </c>
      <c r="Q10186" t="s">
        <v>19909</v>
      </c>
      <c r="R10186" t="s">
        <v>19447</v>
      </c>
      <c r="S10186" t="s">
        <v>19447</v>
      </c>
      <c r="T10186" t="s">
        <v>19911</v>
      </c>
    </row>
    <row r="10187" spans="2:20" x14ac:dyDescent="0.25">
      <c r="B10187" t="s">
        <v>2709</v>
      </c>
      <c r="C10187">
        <v>90309090</v>
      </c>
      <c r="E10187">
        <v>177.19</v>
      </c>
      <c r="F10187">
        <v>18</v>
      </c>
      <c r="G10187">
        <v>5</v>
      </c>
      <c r="H10187" t="s">
        <v>19447</v>
      </c>
      <c r="I10187" t="s">
        <v>19447</v>
      </c>
      <c r="J10187">
        <v>8</v>
      </c>
      <c r="L10187" t="s">
        <v>2709</v>
      </c>
      <c r="M10187">
        <v>90309090</v>
      </c>
      <c r="O10187" t="s">
        <v>19926</v>
      </c>
      <c r="P10187" t="s">
        <v>19899</v>
      </c>
      <c r="Q10187" t="s">
        <v>19909</v>
      </c>
      <c r="R10187" t="s">
        <v>19447</v>
      </c>
      <c r="S10187" t="s">
        <v>19447</v>
      </c>
      <c r="T10187" t="s">
        <v>19918</v>
      </c>
    </row>
    <row r="10188" spans="2:20" x14ac:dyDescent="0.25">
      <c r="B10188" t="s">
        <v>2709</v>
      </c>
      <c r="C10188">
        <v>90311000</v>
      </c>
      <c r="E10188">
        <v>177.19</v>
      </c>
      <c r="F10188">
        <v>12</v>
      </c>
      <c r="G10188">
        <v>0</v>
      </c>
      <c r="H10188" t="s">
        <v>19447</v>
      </c>
      <c r="I10188" t="s">
        <v>19447</v>
      </c>
      <c r="J10188">
        <v>14</v>
      </c>
      <c r="L10188" t="s">
        <v>2709</v>
      </c>
      <c r="M10188">
        <v>90311000</v>
      </c>
      <c r="O10188" t="s">
        <v>19926</v>
      </c>
      <c r="P10188" t="s">
        <v>19903</v>
      </c>
      <c r="Q10188" t="s">
        <v>19900</v>
      </c>
      <c r="R10188" t="s">
        <v>19447</v>
      </c>
      <c r="S10188" t="s">
        <v>19447</v>
      </c>
      <c r="T10188" t="s">
        <v>19911</v>
      </c>
    </row>
    <row r="10189" spans="2:20" x14ac:dyDescent="0.25">
      <c r="B10189" t="s">
        <v>2709</v>
      </c>
      <c r="C10189">
        <v>90312010</v>
      </c>
      <c r="E10189">
        <v>177.19</v>
      </c>
      <c r="F10189">
        <v>12</v>
      </c>
      <c r="G10189">
        <v>0</v>
      </c>
      <c r="H10189" t="s">
        <v>19447</v>
      </c>
      <c r="I10189" t="s">
        <v>19447</v>
      </c>
      <c r="J10189">
        <v>14</v>
      </c>
      <c r="L10189" t="s">
        <v>2709</v>
      </c>
      <c r="M10189">
        <v>90312010</v>
      </c>
      <c r="O10189" t="s">
        <v>19926</v>
      </c>
      <c r="P10189" t="s">
        <v>19903</v>
      </c>
      <c r="Q10189" t="s">
        <v>19900</v>
      </c>
      <c r="R10189" t="s">
        <v>19447</v>
      </c>
      <c r="S10189" t="s">
        <v>19447</v>
      </c>
      <c r="T10189" t="s">
        <v>19911</v>
      </c>
    </row>
    <row r="10190" spans="2:20" x14ac:dyDescent="0.25">
      <c r="B10190" t="s">
        <v>2709</v>
      </c>
      <c r="C10190">
        <v>90312090</v>
      </c>
      <c r="E10190">
        <v>177.19</v>
      </c>
      <c r="F10190">
        <v>12</v>
      </c>
      <c r="G10190">
        <v>0</v>
      </c>
      <c r="H10190" t="s">
        <v>19447</v>
      </c>
      <c r="I10190" t="s">
        <v>19447</v>
      </c>
      <c r="J10190">
        <v>14</v>
      </c>
      <c r="L10190" t="s">
        <v>2709</v>
      </c>
      <c r="M10190">
        <v>90312090</v>
      </c>
      <c r="O10190" t="s">
        <v>19926</v>
      </c>
      <c r="P10190" t="s">
        <v>19903</v>
      </c>
      <c r="Q10190" t="s">
        <v>19900</v>
      </c>
      <c r="R10190" t="s">
        <v>19447</v>
      </c>
      <c r="S10190" t="s">
        <v>19447</v>
      </c>
      <c r="T10190" t="s">
        <v>19911</v>
      </c>
    </row>
    <row r="10191" spans="2:20" x14ac:dyDescent="0.25">
      <c r="B10191" t="s">
        <v>2709</v>
      </c>
      <c r="C10191">
        <v>90314100</v>
      </c>
      <c r="E10191">
        <v>177.19</v>
      </c>
      <c r="F10191">
        <v>18</v>
      </c>
      <c r="G10191">
        <v>0</v>
      </c>
      <c r="H10191" t="s">
        <v>19447</v>
      </c>
      <c r="I10191" t="s">
        <v>19447</v>
      </c>
      <c r="J10191">
        <v>14</v>
      </c>
      <c r="L10191" t="s">
        <v>2709</v>
      </c>
      <c r="M10191">
        <v>90314100</v>
      </c>
      <c r="O10191" t="s">
        <v>19926</v>
      </c>
      <c r="P10191" t="s">
        <v>19899</v>
      </c>
      <c r="Q10191" t="s">
        <v>19900</v>
      </c>
      <c r="R10191" t="s">
        <v>19447</v>
      </c>
      <c r="S10191" t="s">
        <v>19447</v>
      </c>
      <c r="T10191" t="s">
        <v>19911</v>
      </c>
    </row>
    <row r="10192" spans="2:20" x14ac:dyDescent="0.25">
      <c r="B10192" t="s">
        <v>2709</v>
      </c>
      <c r="C10192">
        <v>90314910</v>
      </c>
      <c r="E10192">
        <v>177.19</v>
      </c>
      <c r="F10192">
        <v>12</v>
      </c>
      <c r="G10192">
        <v>5</v>
      </c>
      <c r="H10192" t="s">
        <v>19447</v>
      </c>
      <c r="I10192" t="s">
        <v>19447</v>
      </c>
      <c r="J10192">
        <v>0</v>
      </c>
      <c r="L10192" t="s">
        <v>2709</v>
      </c>
      <c r="M10192">
        <v>90314910</v>
      </c>
      <c r="O10192" t="s">
        <v>19926</v>
      </c>
      <c r="P10192" t="s">
        <v>19903</v>
      </c>
      <c r="Q10192" t="s">
        <v>19909</v>
      </c>
      <c r="R10192" t="s">
        <v>19447</v>
      </c>
      <c r="S10192" t="s">
        <v>19447</v>
      </c>
      <c r="T10192" t="s">
        <v>19900</v>
      </c>
    </row>
    <row r="10193" spans="2:20" x14ac:dyDescent="0.25">
      <c r="B10193" t="s">
        <v>2709</v>
      </c>
      <c r="C10193">
        <v>90314920</v>
      </c>
      <c r="E10193">
        <v>177.19</v>
      </c>
      <c r="F10193">
        <v>12</v>
      </c>
      <c r="G10193">
        <v>5</v>
      </c>
      <c r="H10193" t="s">
        <v>19447</v>
      </c>
      <c r="I10193" t="s">
        <v>19447</v>
      </c>
      <c r="J10193">
        <v>0</v>
      </c>
      <c r="L10193" t="s">
        <v>2709</v>
      </c>
      <c r="M10193">
        <v>90314920</v>
      </c>
      <c r="O10193" t="s">
        <v>19926</v>
      </c>
      <c r="P10193" t="s">
        <v>19903</v>
      </c>
      <c r="Q10193" t="s">
        <v>19909</v>
      </c>
      <c r="R10193" t="s">
        <v>19447</v>
      </c>
      <c r="S10193" t="s">
        <v>19447</v>
      </c>
      <c r="T10193" t="s">
        <v>19900</v>
      </c>
    </row>
    <row r="10194" spans="2:20" x14ac:dyDescent="0.25">
      <c r="B10194" t="s">
        <v>2709</v>
      </c>
      <c r="C10194">
        <v>90314990</v>
      </c>
      <c r="E10194">
        <v>177.19</v>
      </c>
      <c r="F10194">
        <v>12</v>
      </c>
      <c r="G10194">
        <v>5</v>
      </c>
      <c r="H10194" t="s">
        <v>19447</v>
      </c>
      <c r="I10194" t="s">
        <v>19447</v>
      </c>
      <c r="J10194">
        <v>14</v>
      </c>
      <c r="L10194" t="s">
        <v>2709</v>
      </c>
      <c r="M10194">
        <v>90314990</v>
      </c>
      <c r="O10194" t="s">
        <v>19926</v>
      </c>
      <c r="P10194" t="s">
        <v>19903</v>
      </c>
      <c r="Q10194" t="s">
        <v>19909</v>
      </c>
      <c r="R10194" t="s">
        <v>19447</v>
      </c>
      <c r="S10194" t="s">
        <v>19447</v>
      </c>
      <c r="T10194" t="s">
        <v>19911</v>
      </c>
    </row>
    <row r="10195" spans="2:20" x14ac:dyDescent="0.25">
      <c r="B10195" t="s">
        <v>2709</v>
      </c>
      <c r="C10195">
        <v>90314990</v>
      </c>
      <c r="D10195">
        <v>1</v>
      </c>
      <c r="E10195" t="s">
        <v>19447</v>
      </c>
      <c r="F10195">
        <v>18</v>
      </c>
      <c r="G10195">
        <v>0</v>
      </c>
      <c r="H10195">
        <v>7.6</v>
      </c>
      <c r="I10195">
        <v>1.65</v>
      </c>
      <c r="J10195">
        <v>14</v>
      </c>
      <c r="L10195" t="s">
        <v>2709</v>
      </c>
      <c r="M10195">
        <v>90314990</v>
      </c>
      <c r="N10195">
        <v>1</v>
      </c>
      <c r="O10195" t="s">
        <v>19447</v>
      </c>
      <c r="P10195" t="s">
        <v>19899</v>
      </c>
      <c r="Q10195" t="s">
        <v>19900</v>
      </c>
      <c r="R10195" t="s">
        <v>19905</v>
      </c>
      <c r="S10195" t="s">
        <v>19906</v>
      </c>
      <c r="T10195" t="s">
        <v>19911</v>
      </c>
    </row>
    <row r="10196" spans="2:20" x14ac:dyDescent="0.25">
      <c r="B10196" t="s">
        <v>2709</v>
      </c>
      <c r="C10196">
        <v>90318011</v>
      </c>
      <c r="E10196">
        <v>177.19</v>
      </c>
      <c r="F10196">
        <v>12</v>
      </c>
      <c r="G10196">
        <v>0</v>
      </c>
      <c r="H10196" t="s">
        <v>19447</v>
      </c>
      <c r="I10196" t="s">
        <v>19447</v>
      </c>
      <c r="J10196">
        <v>14</v>
      </c>
      <c r="L10196" t="s">
        <v>2709</v>
      </c>
      <c r="M10196">
        <v>90318011</v>
      </c>
      <c r="O10196" t="s">
        <v>19926</v>
      </c>
      <c r="P10196" t="s">
        <v>19903</v>
      </c>
      <c r="Q10196" t="s">
        <v>19900</v>
      </c>
      <c r="R10196" t="s">
        <v>19447</v>
      </c>
      <c r="S10196" t="s">
        <v>19447</v>
      </c>
      <c r="T10196" t="s">
        <v>19911</v>
      </c>
    </row>
    <row r="10197" spans="2:20" x14ac:dyDescent="0.25">
      <c r="B10197" t="s">
        <v>2709</v>
      </c>
      <c r="C10197">
        <v>90318012</v>
      </c>
      <c r="E10197">
        <v>177.19</v>
      </c>
      <c r="F10197">
        <v>12</v>
      </c>
      <c r="G10197">
        <v>0</v>
      </c>
      <c r="H10197" t="s">
        <v>19447</v>
      </c>
      <c r="I10197" t="s">
        <v>19447</v>
      </c>
      <c r="J10197">
        <v>14</v>
      </c>
      <c r="L10197" t="s">
        <v>2709</v>
      </c>
      <c r="M10197">
        <v>90318012</v>
      </c>
      <c r="O10197" t="s">
        <v>19926</v>
      </c>
      <c r="P10197" t="s">
        <v>19903</v>
      </c>
      <c r="Q10197" t="s">
        <v>19900</v>
      </c>
      <c r="R10197" t="s">
        <v>19447</v>
      </c>
      <c r="S10197" t="s">
        <v>19447</v>
      </c>
      <c r="T10197" t="s">
        <v>19911</v>
      </c>
    </row>
    <row r="10198" spans="2:20" x14ac:dyDescent="0.25">
      <c r="B10198" t="s">
        <v>2709</v>
      </c>
      <c r="C10198">
        <v>90318020</v>
      </c>
      <c r="E10198">
        <v>177.19</v>
      </c>
      <c r="F10198">
        <v>12</v>
      </c>
      <c r="G10198">
        <v>0</v>
      </c>
      <c r="H10198" t="s">
        <v>19447</v>
      </c>
      <c r="I10198" t="s">
        <v>19447</v>
      </c>
      <c r="J10198">
        <v>14</v>
      </c>
      <c r="L10198" t="s">
        <v>2709</v>
      </c>
      <c r="M10198">
        <v>90318020</v>
      </c>
      <c r="O10198" t="s">
        <v>19926</v>
      </c>
      <c r="P10198" t="s">
        <v>19903</v>
      </c>
      <c r="Q10198" t="s">
        <v>19900</v>
      </c>
      <c r="R10198" t="s">
        <v>19447</v>
      </c>
      <c r="S10198" t="s">
        <v>19447</v>
      </c>
      <c r="T10198" t="s">
        <v>19911</v>
      </c>
    </row>
    <row r="10199" spans="2:20" x14ac:dyDescent="0.25">
      <c r="B10199" t="s">
        <v>2709</v>
      </c>
      <c r="C10199">
        <v>90318030</v>
      </c>
      <c r="E10199">
        <v>177.19</v>
      </c>
      <c r="F10199">
        <v>18</v>
      </c>
      <c r="G10199">
        <v>5</v>
      </c>
      <c r="H10199" t="s">
        <v>19447</v>
      </c>
      <c r="I10199" t="s">
        <v>19447</v>
      </c>
      <c r="J10199">
        <v>10</v>
      </c>
      <c r="L10199" t="s">
        <v>2709</v>
      </c>
      <c r="M10199">
        <v>90318030</v>
      </c>
      <c r="O10199" t="s">
        <v>19926</v>
      </c>
      <c r="P10199" t="s">
        <v>19899</v>
      </c>
      <c r="Q10199" t="s">
        <v>19909</v>
      </c>
      <c r="R10199" t="s">
        <v>19447</v>
      </c>
      <c r="S10199" t="s">
        <v>19447</v>
      </c>
      <c r="T10199" t="s">
        <v>19904</v>
      </c>
    </row>
    <row r="10200" spans="2:20" x14ac:dyDescent="0.25">
      <c r="B10200" t="s">
        <v>2709</v>
      </c>
      <c r="C10200">
        <v>90318040</v>
      </c>
      <c r="E10200">
        <v>71.78</v>
      </c>
      <c r="F10200">
        <v>12</v>
      </c>
      <c r="G10200">
        <v>15</v>
      </c>
      <c r="H10200">
        <v>10.8</v>
      </c>
      <c r="I10200">
        <v>2.2999999999999998</v>
      </c>
      <c r="J10200">
        <v>16</v>
      </c>
      <c r="L10200" t="s">
        <v>2709</v>
      </c>
      <c r="M10200">
        <v>90318040</v>
      </c>
      <c r="O10200" t="s">
        <v>20056</v>
      </c>
      <c r="P10200" t="s">
        <v>19903</v>
      </c>
      <c r="Q10200" t="s">
        <v>19983</v>
      </c>
      <c r="R10200" t="s">
        <v>20074</v>
      </c>
      <c r="S10200" t="s">
        <v>20075</v>
      </c>
      <c r="T10200" t="s">
        <v>19913</v>
      </c>
    </row>
    <row r="10201" spans="2:20" x14ac:dyDescent="0.25">
      <c r="B10201" t="s">
        <v>2709</v>
      </c>
      <c r="C10201">
        <v>90318050</v>
      </c>
      <c r="E10201">
        <v>177.19</v>
      </c>
      <c r="F10201">
        <v>18</v>
      </c>
      <c r="G10201">
        <v>0</v>
      </c>
      <c r="H10201" t="s">
        <v>19447</v>
      </c>
      <c r="I10201" t="s">
        <v>19447</v>
      </c>
      <c r="J10201">
        <v>0</v>
      </c>
      <c r="L10201" t="s">
        <v>2709</v>
      </c>
      <c r="M10201">
        <v>90318050</v>
      </c>
      <c r="O10201" t="s">
        <v>19926</v>
      </c>
      <c r="P10201" t="s">
        <v>19899</v>
      </c>
      <c r="Q10201" t="s">
        <v>19900</v>
      </c>
      <c r="R10201" t="s">
        <v>19447</v>
      </c>
      <c r="S10201" t="s">
        <v>19447</v>
      </c>
      <c r="T10201" t="s">
        <v>19900</v>
      </c>
    </row>
    <row r="10202" spans="2:20" x14ac:dyDescent="0.25">
      <c r="B10202" t="s">
        <v>2709</v>
      </c>
      <c r="C10202">
        <v>90318060</v>
      </c>
      <c r="E10202">
        <v>177.19</v>
      </c>
      <c r="F10202">
        <v>18</v>
      </c>
      <c r="G10202">
        <v>5</v>
      </c>
      <c r="H10202" t="s">
        <v>19447</v>
      </c>
      <c r="I10202" t="s">
        <v>19447</v>
      </c>
      <c r="J10202">
        <v>14</v>
      </c>
      <c r="L10202" t="s">
        <v>2709</v>
      </c>
      <c r="M10202">
        <v>90318060</v>
      </c>
      <c r="O10202" t="s">
        <v>19926</v>
      </c>
      <c r="P10202" t="s">
        <v>19899</v>
      </c>
      <c r="Q10202" t="s">
        <v>19909</v>
      </c>
      <c r="R10202" t="s">
        <v>19447</v>
      </c>
      <c r="S10202" t="s">
        <v>19447</v>
      </c>
      <c r="T10202" t="s">
        <v>19911</v>
      </c>
    </row>
    <row r="10203" spans="2:20" x14ac:dyDescent="0.25">
      <c r="B10203" t="s">
        <v>2709</v>
      </c>
      <c r="C10203">
        <v>90318091</v>
      </c>
      <c r="E10203">
        <v>177.19</v>
      </c>
      <c r="F10203">
        <v>12</v>
      </c>
      <c r="G10203">
        <v>5</v>
      </c>
      <c r="H10203" t="s">
        <v>19447</v>
      </c>
      <c r="I10203" t="s">
        <v>19447</v>
      </c>
      <c r="J10203">
        <v>0</v>
      </c>
      <c r="L10203" t="s">
        <v>2709</v>
      </c>
      <c r="M10203">
        <v>90318091</v>
      </c>
      <c r="O10203" t="s">
        <v>19926</v>
      </c>
      <c r="P10203" t="s">
        <v>19903</v>
      </c>
      <c r="Q10203" t="s">
        <v>19909</v>
      </c>
      <c r="R10203" t="s">
        <v>19447</v>
      </c>
      <c r="S10203" t="s">
        <v>19447</v>
      </c>
      <c r="T10203" t="s">
        <v>19900</v>
      </c>
    </row>
    <row r="10204" spans="2:20" x14ac:dyDescent="0.25">
      <c r="B10204" t="s">
        <v>2709</v>
      </c>
      <c r="C10204">
        <v>90318099</v>
      </c>
      <c r="E10204">
        <v>177.19</v>
      </c>
      <c r="F10204">
        <v>12</v>
      </c>
      <c r="G10204">
        <v>5</v>
      </c>
      <c r="H10204" t="s">
        <v>19447</v>
      </c>
      <c r="I10204" t="s">
        <v>19447</v>
      </c>
      <c r="J10204">
        <v>14</v>
      </c>
      <c r="L10204" t="s">
        <v>2709</v>
      </c>
      <c r="M10204">
        <v>90318099</v>
      </c>
      <c r="O10204" t="s">
        <v>19926</v>
      </c>
      <c r="P10204" t="s">
        <v>19903</v>
      </c>
      <c r="Q10204" t="s">
        <v>19909</v>
      </c>
      <c r="R10204" t="s">
        <v>19447</v>
      </c>
      <c r="S10204" t="s">
        <v>19447</v>
      </c>
      <c r="T10204" t="s">
        <v>19911</v>
      </c>
    </row>
    <row r="10205" spans="2:20" x14ac:dyDescent="0.25">
      <c r="B10205" t="s">
        <v>2709</v>
      </c>
      <c r="C10205">
        <v>90319010</v>
      </c>
      <c r="E10205">
        <v>177.19</v>
      </c>
      <c r="F10205">
        <v>18</v>
      </c>
      <c r="G10205">
        <v>15</v>
      </c>
      <c r="H10205" t="s">
        <v>19447</v>
      </c>
      <c r="I10205" t="s">
        <v>19447</v>
      </c>
      <c r="J10205">
        <v>14</v>
      </c>
      <c r="L10205" t="s">
        <v>2709</v>
      </c>
      <c r="M10205">
        <v>90319010</v>
      </c>
      <c r="O10205" t="s">
        <v>19926</v>
      </c>
      <c r="P10205" t="s">
        <v>19899</v>
      </c>
      <c r="Q10205" t="s">
        <v>19983</v>
      </c>
      <c r="R10205" t="s">
        <v>19447</v>
      </c>
      <c r="S10205" t="s">
        <v>19447</v>
      </c>
      <c r="T10205" t="s">
        <v>19911</v>
      </c>
    </row>
    <row r="10206" spans="2:20" x14ac:dyDescent="0.25">
      <c r="B10206" t="s">
        <v>2709</v>
      </c>
      <c r="C10206">
        <v>90319090</v>
      </c>
      <c r="E10206">
        <v>177.19</v>
      </c>
      <c r="F10206">
        <v>18</v>
      </c>
      <c r="G10206">
        <v>15</v>
      </c>
      <c r="H10206" t="s">
        <v>19447</v>
      </c>
      <c r="I10206" t="s">
        <v>19447</v>
      </c>
      <c r="J10206">
        <v>14</v>
      </c>
      <c r="L10206" t="s">
        <v>2709</v>
      </c>
      <c r="M10206">
        <v>90319090</v>
      </c>
      <c r="O10206" t="s">
        <v>19926</v>
      </c>
      <c r="P10206" t="s">
        <v>19899</v>
      </c>
      <c r="Q10206" t="s">
        <v>19983</v>
      </c>
      <c r="R10206" t="s">
        <v>19447</v>
      </c>
      <c r="S10206" t="s">
        <v>19447</v>
      </c>
      <c r="T10206" t="s">
        <v>19911</v>
      </c>
    </row>
    <row r="10207" spans="2:20" x14ac:dyDescent="0.25">
      <c r="B10207" t="s">
        <v>2709</v>
      </c>
      <c r="C10207">
        <v>90321010</v>
      </c>
      <c r="E10207">
        <v>71.78</v>
      </c>
      <c r="F10207">
        <v>12</v>
      </c>
      <c r="G10207">
        <v>15</v>
      </c>
      <c r="H10207" t="s">
        <v>19447</v>
      </c>
      <c r="I10207" t="s">
        <v>19447</v>
      </c>
      <c r="J10207">
        <v>18</v>
      </c>
      <c r="L10207" t="s">
        <v>2709</v>
      </c>
      <c r="M10207">
        <v>90321010</v>
      </c>
      <c r="O10207" t="s">
        <v>20056</v>
      </c>
      <c r="P10207" t="s">
        <v>19903</v>
      </c>
      <c r="Q10207" t="s">
        <v>19983</v>
      </c>
      <c r="R10207" t="s">
        <v>19447</v>
      </c>
      <c r="S10207" t="s">
        <v>19447</v>
      </c>
      <c r="T10207" t="s">
        <v>19899</v>
      </c>
    </row>
    <row r="10208" spans="2:20" x14ac:dyDescent="0.25">
      <c r="B10208" t="s">
        <v>2709</v>
      </c>
      <c r="C10208">
        <v>90321090</v>
      </c>
      <c r="E10208">
        <v>71.78</v>
      </c>
      <c r="F10208">
        <v>12</v>
      </c>
      <c r="G10208">
        <v>15</v>
      </c>
      <c r="H10208" t="s">
        <v>19447</v>
      </c>
      <c r="I10208" t="s">
        <v>19447</v>
      </c>
      <c r="J10208">
        <v>18</v>
      </c>
      <c r="L10208" t="s">
        <v>2709</v>
      </c>
      <c r="M10208">
        <v>90321090</v>
      </c>
      <c r="O10208" t="s">
        <v>20056</v>
      </c>
      <c r="P10208" t="s">
        <v>19903</v>
      </c>
      <c r="Q10208" t="s">
        <v>19983</v>
      </c>
      <c r="R10208" t="s">
        <v>19447</v>
      </c>
      <c r="S10208" t="s">
        <v>19447</v>
      </c>
      <c r="T10208" t="s">
        <v>19899</v>
      </c>
    </row>
    <row r="10209" spans="2:20" x14ac:dyDescent="0.25">
      <c r="B10209" t="s">
        <v>2709</v>
      </c>
      <c r="C10209">
        <v>90322000</v>
      </c>
      <c r="E10209">
        <v>71.78</v>
      </c>
      <c r="F10209">
        <v>12</v>
      </c>
      <c r="G10209">
        <v>15</v>
      </c>
      <c r="H10209" t="s">
        <v>19447</v>
      </c>
      <c r="I10209" t="s">
        <v>19447</v>
      </c>
      <c r="J10209">
        <v>18</v>
      </c>
      <c r="L10209" t="s">
        <v>2709</v>
      </c>
      <c r="M10209">
        <v>90322000</v>
      </c>
      <c r="O10209" t="s">
        <v>20056</v>
      </c>
      <c r="P10209" t="s">
        <v>19903</v>
      </c>
      <c r="Q10209" t="s">
        <v>19983</v>
      </c>
      <c r="R10209" t="s">
        <v>19447</v>
      </c>
      <c r="S10209" t="s">
        <v>19447</v>
      </c>
      <c r="T10209" t="s">
        <v>19899</v>
      </c>
    </row>
    <row r="10210" spans="2:20" x14ac:dyDescent="0.25">
      <c r="B10210" t="s">
        <v>2709</v>
      </c>
      <c r="C10210">
        <v>90328100</v>
      </c>
      <c r="E10210">
        <v>50</v>
      </c>
      <c r="F10210">
        <v>12</v>
      </c>
      <c r="G10210">
        <v>0</v>
      </c>
      <c r="H10210" t="s">
        <v>19447</v>
      </c>
      <c r="I10210" t="s">
        <v>19447</v>
      </c>
      <c r="J10210">
        <v>18</v>
      </c>
      <c r="L10210" t="s">
        <v>2709</v>
      </c>
      <c r="M10210">
        <v>90328100</v>
      </c>
      <c r="O10210" t="s">
        <v>20000</v>
      </c>
      <c r="P10210" t="s">
        <v>19903</v>
      </c>
      <c r="Q10210" t="s">
        <v>19900</v>
      </c>
      <c r="R10210" t="s">
        <v>19447</v>
      </c>
      <c r="S10210" t="s">
        <v>19447</v>
      </c>
      <c r="T10210" t="s">
        <v>19899</v>
      </c>
    </row>
    <row r="10211" spans="2:20" x14ac:dyDescent="0.25">
      <c r="B10211" t="s">
        <v>2709</v>
      </c>
      <c r="C10211">
        <v>90328911</v>
      </c>
      <c r="E10211">
        <v>55.99</v>
      </c>
      <c r="F10211">
        <v>12</v>
      </c>
      <c r="G10211">
        <v>15</v>
      </c>
      <c r="H10211" t="s">
        <v>19447</v>
      </c>
      <c r="I10211" t="s">
        <v>19447</v>
      </c>
      <c r="J10211">
        <v>12</v>
      </c>
      <c r="L10211" t="s">
        <v>2709</v>
      </c>
      <c r="M10211">
        <v>90328911</v>
      </c>
      <c r="O10211" t="s">
        <v>20214</v>
      </c>
      <c r="P10211" t="s">
        <v>19903</v>
      </c>
      <c r="Q10211" t="s">
        <v>19983</v>
      </c>
      <c r="R10211" t="s">
        <v>19447</v>
      </c>
      <c r="S10211" t="s">
        <v>19447</v>
      </c>
      <c r="T10211" t="s">
        <v>19903</v>
      </c>
    </row>
    <row r="10212" spans="2:20" x14ac:dyDescent="0.25">
      <c r="B10212" t="s">
        <v>2709</v>
      </c>
      <c r="C10212">
        <v>90328919</v>
      </c>
      <c r="E10212">
        <v>50</v>
      </c>
      <c r="F10212">
        <v>12</v>
      </c>
      <c r="G10212">
        <v>15</v>
      </c>
      <c r="H10212" t="s">
        <v>19447</v>
      </c>
      <c r="I10212" t="s">
        <v>19447</v>
      </c>
      <c r="J10212">
        <v>18</v>
      </c>
      <c r="L10212" t="s">
        <v>2709</v>
      </c>
      <c r="M10212">
        <v>90328919</v>
      </c>
      <c r="O10212" t="s">
        <v>20000</v>
      </c>
      <c r="P10212" t="s">
        <v>19903</v>
      </c>
      <c r="Q10212" t="s">
        <v>19983</v>
      </c>
      <c r="R10212" t="s">
        <v>19447</v>
      </c>
      <c r="S10212" t="s">
        <v>19447</v>
      </c>
      <c r="T10212" t="s">
        <v>19899</v>
      </c>
    </row>
    <row r="10213" spans="2:20" x14ac:dyDescent="0.25">
      <c r="B10213" t="s">
        <v>2709</v>
      </c>
      <c r="C10213">
        <v>90328921</v>
      </c>
      <c r="E10213">
        <v>71.78</v>
      </c>
      <c r="F10213">
        <v>12</v>
      </c>
      <c r="G10213">
        <v>15</v>
      </c>
      <c r="H10213">
        <v>10.8</v>
      </c>
      <c r="I10213">
        <v>2.2999999999999998</v>
      </c>
      <c r="J10213">
        <v>16</v>
      </c>
      <c r="L10213" t="s">
        <v>2709</v>
      </c>
      <c r="M10213">
        <v>90328921</v>
      </c>
      <c r="O10213" t="s">
        <v>20056</v>
      </c>
      <c r="P10213" t="s">
        <v>19903</v>
      </c>
      <c r="Q10213" t="s">
        <v>19983</v>
      </c>
      <c r="R10213" t="s">
        <v>20074</v>
      </c>
      <c r="S10213" t="s">
        <v>20075</v>
      </c>
      <c r="T10213" t="s">
        <v>19913</v>
      </c>
    </row>
    <row r="10214" spans="2:20" x14ac:dyDescent="0.25">
      <c r="B10214" t="s">
        <v>2709</v>
      </c>
      <c r="C10214">
        <v>90328922</v>
      </c>
      <c r="E10214">
        <v>71.78</v>
      </c>
      <c r="F10214">
        <v>12</v>
      </c>
      <c r="G10214">
        <v>15</v>
      </c>
      <c r="H10214">
        <v>10.8</v>
      </c>
      <c r="I10214">
        <v>2.2999999999999998</v>
      </c>
      <c r="J10214">
        <v>16</v>
      </c>
      <c r="L10214" t="s">
        <v>2709</v>
      </c>
      <c r="M10214">
        <v>90328922</v>
      </c>
      <c r="O10214" t="s">
        <v>20056</v>
      </c>
      <c r="P10214" t="s">
        <v>19903</v>
      </c>
      <c r="Q10214" t="s">
        <v>19983</v>
      </c>
      <c r="R10214" t="s">
        <v>20074</v>
      </c>
      <c r="S10214" t="s">
        <v>20075</v>
      </c>
      <c r="T10214" t="s">
        <v>19913</v>
      </c>
    </row>
    <row r="10215" spans="2:20" x14ac:dyDescent="0.25">
      <c r="B10215" t="s">
        <v>2709</v>
      </c>
      <c r="C10215">
        <v>90328923</v>
      </c>
      <c r="E10215">
        <v>71.78</v>
      </c>
      <c r="F10215">
        <v>12</v>
      </c>
      <c r="G10215">
        <v>15</v>
      </c>
      <c r="H10215">
        <v>10.8</v>
      </c>
      <c r="I10215">
        <v>2.2999999999999998</v>
      </c>
      <c r="J10215">
        <v>16</v>
      </c>
      <c r="L10215" t="s">
        <v>2709</v>
      </c>
      <c r="M10215">
        <v>90328923</v>
      </c>
      <c r="O10215" t="s">
        <v>20056</v>
      </c>
      <c r="P10215" t="s">
        <v>19903</v>
      </c>
      <c r="Q10215" t="s">
        <v>19983</v>
      </c>
      <c r="R10215" t="s">
        <v>20074</v>
      </c>
      <c r="S10215" t="s">
        <v>20075</v>
      </c>
      <c r="T10215" t="s">
        <v>19913</v>
      </c>
    </row>
    <row r="10216" spans="2:20" x14ac:dyDescent="0.25">
      <c r="B10216" t="s">
        <v>2709</v>
      </c>
      <c r="C10216">
        <v>90328924</v>
      </c>
      <c r="E10216">
        <v>71.78</v>
      </c>
      <c r="F10216">
        <v>12</v>
      </c>
      <c r="G10216">
        <v>15</v>
      </c>
      <c r="H10216">
        <v>10.8</v>
      </c>
      <c r="I10216">
        <v>2.2999999999999998</v>
      </c>
      <c r="J10216">
        <v>16</v>
      </c>
      <c r="L10216" t="s">
        <v>2709</v>
      </c>
      <c r="M10216">
        <v>90328924</v>
      </c>
      <c r="O10216" t="s">
        <v>20056</v>
      </c>
      <c r="P10216" t="s">
        <v>19903</v>
      </c>
      <c r="Q10216" t="s">
        <v>19983</v>
      </c>
      <c r="R10216" t="s">
        <v>20074</v>
      </c>
      <c r="S10216" t="s">
        <v>20075</v>
      </c>
      <c r="T10216" t="s">
        <v>19913</v>
      </c>
    </row>
    <row r="10217" spans="2:20" x14ac:dyDescent="0.25">
      <c r="B10217" t="s">
        <v>2709</v>
      </c>
      <c r="C10217">
        <v>90328925</v>
      </c>
      <c r="E10217">
        <v>71.78</v>
      </c>
      <c r="F10217">
        <v>12</v>
      </c>
      <c r="G10217">
        <v>15</v>
      </c>
      <c r="H10217">
        <v>10.8</v>
      </c>
      <c r="I10217">
        <v>2.2999999999999998</v>
      </c>
      <c r="J10217">
        <v>16</v>
      </c>
      <c r="L10217" t="s">
        <v>2709</v>
      </c>
      <c r="M10217">
        <v>90328925</v>
      </c>
      <c r="O10217" t="s">
        <v>20056</v>
      </c>
      <c r="P10217" t="s">
        <v>19903</v>
      </c>
      <c r="Q10217" t="s">
        <v>19983</v>
      </c>
      <c r="R10217" t="s">
        <v>20074</v>
      </c>
      <c r="S10217" t="s">
        <v>20075</v>
      </c>
      <c r="T10217" t="s">
        <v>19913</v>
      </c>
    </row>
    <row r="10218" spans="2:20" x14ac:dyDescent="0.25">
      <c r="B10218" t="s">
        <v>2709</v>
      </c>
      <c r="C10218">
        <v>90328929</v>
      </c>
      <c r="E10218">
        <v>71.78</v>
      </c>
      <c r="F10218">
        <v>12</v>
      </c>
      <c r="G10218">
        <v>15</v>
      </c>
      <c r="H10218">
        <v>10.8</v>
      </c>
      <c r="I10218">
        <v>2.2999999999999998</v>
      </c>
      <c r="J10218">
        <v>16</v>
      </c>
      <c r="L10218" t="s">
        <v>2709</v>
      </c>
      <c r="M10218">
        <v>90328929</v>
      </c>
      <c r="O10218" t="s">
        <v>20056</v>
      </c>
      <c r="P10218" t="s">
        <v>19903</v>
      </c>
      <c r="Q10218" t="s">
        <v>19983</v>
      </c>
      <c r="R10218" t="s">
        <v>20074</v>
      </c>
      <c r="S10218" t="s">
        <v>20075</v>
      </c>
      <c r="T10218" t="s">
        <v>19913</v>
      </c>
    </row>
    <row r="10219" spans="2:20" x14ac:dyDescent="0.25">
      <c r="B10219" t="s">
        <v>2709</v>
      </c>
      <c r="C10219">
        <v>90328930</v>
      </c>
      <c r="E10219">
        <v>50</v>
      </c>
      <c r="F10219">
        <v>12</v>
      </c>
      <c r="G10219">
        <v>15</v>
      </c>
      <c r="H10219" t="s">
        <v>19447</v>
      </c>
      <c r="I10219" t="s">
        <v>19447</v>
      </c>
      <c r="J10219">
        <v>14</v>
      </c>
      <c r="L10219" t="s">
        <v>2709</v>
      </c>
      <c r="M10219">
        <v>90328930</v>
      </c>
      <c r="O10219" t="s">
        <v>20000</v>
      </c>
      <c r="P10219" t="s">
        <v>19903</v>
      </c>
      <c r="Q10219" t="s">
        <v>19983</v>
      </c>
      <c r="R10219" t="s">
        <v>19447</v>
      </c>
      <c r="S10219" t="s">
        <v>19447</v>
      </c>
      <c r="T10219" t="s">
        <v>19911</v>
      </c>
    </row>
    <row r="10220" spans="2:20" x14ac:dyDescent="0.25">
      <c r="B10220" t="s">
        <v>2709</v>
      </c>
      <c r="C10220">
        <v>90328981</v>
      </c>
      <c r="E10220">
        <v>71.78</v>
      </c>
      <c r="F10220">
        <v>12</v>
      </c>
      <c r="G10220">
        <v>15</v>
      </c>
      <c r="H10220" t="s">
        <v>19447</v>
      </c>
      <c r="I10220" t="s">
        <v>19447</v>
      </c>
      <c r="J10220">
        <v>14</v>
      </c>
      <c r="L10220" t="s">
        <v>2709</v>
      </c>
      <c r="M10220">
        <v>90328981</v>
      </c>
      <c r="O10220" t="s">
        <v>20056</v>
      </c>
      <c r="P10220" t="s">
        <v>19903</v>
      </c>
      <c r="Q10220" t="s">
        <v>19983</v>
      </c>
      <c r="R10220" t="s">
        <v>19447</v>
      </c>
      <c r="S10220" t="s">
        <v>19447</v>
      </c>
      <c r="T10220" t="s">
        <v>19911</v>
      </c>
    </row>
    <row r="10221" spans="2:20" x14ac:dyDescent="0.25">
      <c r="B10221" t="s">
        <v>2709</v>
      </c>
      <c r="C10221">
        <v>90328982</v>
      </c>
      <c r="E10221">
        <v>71.78</v>
      </c>
      <c r="F10221">
        <v>12</v>
      </c>
      <c r="G10221">
        <v>15</v>
      </c>
      <c r="H10221" t="s">
        <v>19447</v>
      </c>
      <c r="I10221" t="s">
        <v>19447</v>
      </c>
      <c r="J10221">
        <v>14</v>
      </c>
      <c r="L10221" t="s">
        <v>2709</v>
      </c>
      <c r="M10221">
        <v>90328982</v>
      </c>
      <c r="O10221" t="s">
        <v>20056</v>
      </c>
      <c r="P10221" t="s">
        <v>19903</v>
      </c>
      <c r="Q10221" t="s">
        <v>19983</v>
      </c>
      <c r="R10221" t="s">
        <v>19447</v>
      </c>
      <c r="S10221" t="s">
        <v>19447</v>
      </c>
      <c r="T10221" t="s">
        <v>19911</v>
      </c>
    </row>
    <row r="10222" spans="2:20" x14ac:dyDescent="0.25">
      <c r="B10222" t="s">
        <v>2709</v>
      </c>
      <c r="C10222">
        <v>90328983</v>
      </c>
      <c r="E10222">
        <v>71.78</v>
      </c>
      <c r="F10222">
        <v>12</v>
      </c>
      <c r="G10222">
        <v>15</v>
      </c>
      <c r="H10222" t="s">
        <v>19447</v>
      </c>
      <c r="I10222" t="s">
        <v>19447</v>
      </c>
      <c r="J10222">
        <v>14</v>
      </c>
      <c r="L10222" t="s">
        <v>2709</v>
      </c>
      <c r="M10222">
        <v>90328983</v>
      </c>
      <c r="O10222" t="s">
        <v>20056</v>
      </c>
      <c r="P10222" t="s">
        <v>19903</v>
      </c>
      <c r="Q10222" t="s">
        <v>19983</v>
      </c>
      <c r="R10222" t="s">
        <v>19447</v>
      </c>
      <c r="S10222" t="s">
        <v>19447</v>
      </c>
      <c r="T10222" t="s">
        <v>19911</v>
      </c>
    </row>
    <row r="10223" spans="2:20" x14ac:dyDescent="0.25">
      <c r="B10223" t="s">
        <v>2709</v>
      </c>
      <c r="C10223">
        <v>90328984</v>
      </c>
      <c r="E10223">
        <v>71.78</v>
      </c>
      <c r="F10223">
        <v>12</v>
      </c>
      <c r="G10223">
        <v>15</v>
      </c>
      <c r="H10223" t="s">
        <v>19447</v>
      </c>
      <c r="I10223" t="s">
        <v>19447</v>
      </c>
      <c r="J10223">
        <v>14</v>
      </c>
      <c r="L10223" t="s">
        <v>2709</v>
      </c>
      <c r="M10223">
        <v>90328984</v>
      </c>
      <c r="O10223" t="s">
        <v>20056</v>
      </c>
      <c r="P10223" t="s">
        <v>19903</v>
      </c>
      <c r="Q10223" t="s">
        <v>19983</v>
      </c>
      <c r="R10223" t="s">
        <v>19447</v>
      </c>
      <c r="S10223" t="s">
        <v>19447</v>
      </c>
      <c r="T10223" t="s">
        <v>19911</v>
      </c>
    </row>
    <row r="10224" spans="2:20" x14ac:dyDescent="0.25">
      <c r="B10224" t="s">
        <v>2709</v>
      </c>
      <c r="C10224">
        <v>90328989</v>
      </c>
      <c r="E10224">
        <v>71.78</v>
      </c>
      <c r="F10224">
        <v>12</v>
      </c>
      <c r="G10224">
        <v>15</v>
      </c>
      <c r="H10224" t="s">
        <v>19447</v>
      </c>
      <c r="I10224" t="s">
        <v>19447</v>
      </c>
      <c r="J10224">
        <v>14</v>
      </c>
      <c r="L10224" t="s">
        <v>2709</v>
      </c>
      <c r="M10224">
        <v>90328989</v>
      </c>
      <c r="O10224" t="s">
        <v>20056</v>
      </c>
      <c r="P10224" t="s">
        <v>19903</v>
      </c>
      <c r="Q10224" t="s">
        <v>19983</v>
      </c>
      <c r="R10224" t="s">
        <v>19447</v>
      </c>
      <c r="S10224" t="s">
        <v>19447</v>
      </c>
      <c r="T10224" t="s">
        <v>19911</v>
      </c>
    </row>
    <row r="10225" spans="2:20" x14ac:dyDescent="0.25">
      <c r="B10225" t="s">
        <v>2709</v>
      </c>
      <c r="C10225">
        <v>90328990</v>
      </c>
      <c r="E10225">
        <v>71.78</v>
      </c>
      <c r="F10225">
        <v>12</v>
      </c>
      <c r="G10225">
        <v>15</v>
      </c>
      <c r="H10225" t="s">
        <v>19447</v>
      </c>
      <c r="I10225" t="s">
        <v>19447</v>
      </c>
      <c r="J10225">
        <v>18</v>
      </c>
      <c r="L10225" t="s">
        <v>2709</v>
      </c>
      <c r="M10225">
        <v>90328990</v>
      </c>
      <c r="O10225" t="s">
        <v>20056</v>
      </c>
      <c r="P10225" t="s">
        <v>19903</v>
      </c>
      <c r="Q10225" t="s">
        <v>19983</v>
      </c>
      <c r="R10225" t="s">
        <v>19447</v>
      </c>
      <c r="S10225" t="s">
        <v>19447</v>
      </c>
      <c r="T10225" t="s">
        <v>19899</v>
      </c>
    </row>
    <row r="10226" spans="2:20" x14ac:dyDescent="0.25">
      <c r="B10226" t="s">
        <v>2709</v>
      </c>
      <c r="C10226">
        <v>90329010</v>
      </c>
      <c r="E10226">
        <v>50</v>
      </c>
      <c r="F10226">
        <v>18</v>
      </c>
      <c r="G10226">
        <v>15</v>
      </c>
      <c r="H10226" t="s">
        <v>19447</v>
      </c>
      <c r="I10226" t="s">
        <v>19447</v>
      </c>
      <c r="J10226">
        <v>12</v>
      </c>
      <c r="L10226" t="s">
        <v>2709</v>
      </c>
      <c r="M10226">
        <v>90329010</v>
      </c>
      <c r="O10226" t="s">
        <v>20000</v>
      </c>
      <c r="P10226" t="s">
        <v>19899</v>
      </c>
      <c r="Q10226" t="s">
        <v>19983</v>
      </c>
      <c r="R10226" t="s">
        <v>19447</v>
      </c>
      <c r="S10226" t="s">
        <v>19447</v>
      </c>
      <c r="T10226" t="s">
        <v>19903</v>
      </c>
    </row>
    <row r="10227" spans="2:20" x14ac:dyDescent="0.25">
      <c r="B10227" t="s">
        <v>2709</v>
      </c>
      <c r="C10227">
        <v>90329091</v>
      </c>
      <c r="E10227">
        <v>50</v>
      </c>
      <c r="F10227">
        <v>18</v>
      </c>
      <c r="G10227">
        <v>15</v>
      </c>
      <c r="H10227" t="s">
        <v>19447</v>
      </c>
      <c r="I10227" t="s">
        <v>19447</v>
      </c>
      <c r="J10227">
        <v>16</v>
      </c>
      <c r="L10227" t="s">
        <v>2709</v>
      </c>
      <c r="M10227">
        <v>90329091</v>
      </c>
      <c r="O10227" t="s">
        <v>20000</v>
      </c>
      <c r="P10227" t="s">
        <v>19899</v>
      </c>
      <c r="Q10227" t="s">
        <v>19983</v>
      </c>
      <c r="R10227" t="s">
        <v>19447</v>
      </c>
      <c r="S10227" t="s">
        <v>19447</v>
      </c>
      <c r="T10227" t="s">
        <v>19913</v>
      </c>
    </row>
    <row r="10228" spans="2:20" x14ac:dyDescent="0.25">
      <c r="B10228" t="s">
        <v>2709</v>
      </c>
      <c r="C10228">
        <v>90329099</v>
      </c>
      <c r="E10228">
        <v>50</v>
      </c>
      <c r="F10228">
        <v>12</v>
      </c>
      <c r="G10228">
        <v>15</v>
      </c>
      <c r="H10228" t="s">
        <v>19447</v>
      </c>
      <c r="I10228" t="s">
        <v>19447</v>
      </c>
      <c r="J10228">
        <v>8</v>
      </c>
      <c r="L10228" t="s">
        <v>2709</v>
      </c>
      <c r="M10228">
        <v>90329099</v>
      </c>
      <c r="O10228" t="s">
        <v>20000</v>
      </c>
      <c r="P10228" t="s">
        <v>19903</v>
      </c>
      <c r="Q10228" t="s">
        <v>19983</v>
      </c>
      <c r="R10228" t="s">
        <v>19447</v>
      </c>
      <c r="S10228" t="s">
        <v>19447</v>
      </c>
      <c r="T10228" t="s">
        <v>19918</v>
      </c>
    </row>
    <row r="10229" spans="2:20" x14ac:dyDescent="0.25">
      <c r="B10229" t="s">
        <v>2709</v>
      </c>
      <c r="C10229">
        <v>90330000</v>
      </c>
      <c r="E10229">
        <v>50</v>
      </c>
      <c r="F10229">
        <v>18</v>
      </c>
      <c r="G10229">
        <v>15</v>
      </c>
      <c r="H10229" t="s">
        <v>19447</v>
      </c>
      <c r="I10229" t="s">
        <v>19447</v>
      </c>
      <c r="J10229">
        <v>16</v>
      </c>
      <c r="L10229" t="s">
        <v>2709</v>
      </c>
      <c r="M10229">
        <v>90330000</v>
      </c>
      <c r="O10229" t="s">
        <v>20000</v>
      </c>
      <c r="P10229" t="s">
        <v>19899</v>
      </c>
      <c r="Q10229" t="s">
        <v>19983</v>
      </c>
      <c r="R10229" t="s">
        <v>19447</v>
      </c>
      <c r="S10229" t="s">
        <v>19447</v>
      </c>
      <c r="T10229" t="s">
        <v>19913</v>
      </c>
    </row>
    <row r="10230" spans="2:20" x14ac:dyDescent="0.25">
      <c r="B10230" t="s">
        <v>2709</v>
      </c>
      <c r="C10230">
        <v>91011100</v>
      </c>
      <c r="E10230" t="s">
        <v>19447</v>
      </c>
      <c r="F10230">
        <v>18</v>
      </c>
      <c r="G10230">
        <v>25</v>
      </c>
      <c r="H10230">
        <v>7.6</v>
      </c>
      <c r="I10230">
        <v>1.65</v>
      </c>
      <c r="J10230">
        <v>20</v>
      </c>
      <c r="L10230" t="s">
        <v>2709</v>
      </c>
      <c r="M10230">
        <v>91011100</v>
      </c>
      <c r="O10230" t="s">
        <v>19447</v>
      </c>
      <c r="P10230" t="s">
        <v>19899</v>
      </c>
      <c r="Q10230" t="s">
        <v>19982</v>
      </c>
      <c r="R10230" t="s">
        <v>19905</v>
      </c>
      <c r="S10230" t="s">
        <v>19906</v>
      </c>
      <c r="T10230" t="s">
        <v>19934</v>
      </c>
    </row>
    <row r="10231" spans="2:20" x14ac:dyDescent="0.25">
      <c r="B10231" t="s">
        <v>2709</v>
      </c>
      <c r="C10231">
        <v>91011900</v>
      </c>
      <c r="E10231" t="s">
        <v>19447</v>
      </c>
      <c r="F10231">
        <v>18</v>
      </c>
      <c r="G10231">
        <v>25</v>
      </c>
      <c r="H10231">
        <v>7.6</v>
      </c>
      <c r="I10231">
        <v>1.65</v>
      </c>
      <c r="J10231">
        <v>20</v>
      </c>
      <c r="L10231" t="s">
        <v>2709</v>
      </c>
      <c r="M10231">
        <v>91011900</v>
      </c>
      <c r="O10231" t="s">
        <v>19447</v>
      </c>
      <c r="P10231" t="s">
        <v>19899</v>
      </c>
      <c r="Q10231" t="s">
        <v>19982</v>
      </c>
      <c r="R10231" t="s">
        <v>19905</v>
      </c>
      <c r="S10231" t="s">
        <v>19906</v>
      </c>
      <c r="T10231" t="s">
        <v>19934</v>
      </c>
    </row>
    <row r="10232" spans="2:20" x14ac:dyDescent="0.25">
      <c r="B10232" t="s">
        <v>2709</v>
      </c>
      <c r="C10232">
        <v>91012100</v>
      </c>
      <c r="E10232" t="s">
        <v>19447</v>
      </c>
      <c r="F10232">
        <v>18</v>
      </c>
      <c r="G10232">
        <v>25</v>
      </c>
      <c r="H10232">
        <v>7.6</v>
      </c>
      <c r="I10232">
        <v>1.65</v>
      </c>
      <c r="J10232">
        <v>20</v>
      </c>
      <c r="L10232" t="s">
        <v>2709</v>
      </c>
      <c r="M10232">
        <v>91012100</v>
      </c>
      <c r="O10232" t="s">
        <v>19447</v>
      </c>
      <c r="P10232" t="s">
        <v>19899</v>
      </c>
      <c r="Q10232" t="s">
        <v>19982</v>
      </c>
      <c r="R10232" t="s">
        <v>19905</v>
      </c>
      <c r="S10232" t="s">
        <v>19906</v>
      </c>
      <c r="T10232" t="s">
        <v>19934</v>
      </c>
    </row>
    <row r="10233" spans="2:20" x14ac:dyDescent="0.25">
      <c r="B10233" t="s">
        <v>2709</v>
      </c>
      <c r="C10233">
        <v>91012900</v>
      </c>
      <c r="E10233" t="s">
        <v>19447</v>
      </c>
      <c r="F10233">
        <v>18</v>
      </c>
      <c r="G10233">
        <v>25</v>
      </c>
      <c r="H10233">
        <v>7.6</v>
      </c>
      <c r="I10233">
        <v>1.65</v>
      </c>
      <c r="J10233">
        <v>20</v>
      </c>
      <c r="L10233" t="s">
        <v>2709</v>
      </c>
      <c r="M10233">
        <v>91012900</v>
      </c>
      <c r="O10233" t="s">
        <v>19447</v>
      </c>
      <c r="P10233" t="s">
        <v>19899</v>
      </c>
      <c r="Q10233" t="s">
        <v>19982</v>
      </c>
      <c r="R10233" t="s">
        <v>19905</v>
      </c>
      <c r="S10233" t="s">
        <v>19906</v>
      </c>
      <c r="T10233" t="s">
        <v>19934</v>
      </c>
    </row>
    <row r="10234" spans="2:20" x14ac:dyDescent="0.25">
      <c r="B10234" t="s">
        <v>2709</v>
      </c>
      <c r="C10234">
        <v>91019100</v>
      </c>
      <c r="E10234" t="s">
        <v>19447</v>
      </c>
      <c r="F10234">
        <v>18</v>
      </c>
      <c r="G10234">
        <v>25</v>
      </c>
      <c r="H10234">
        <v>7.6</v>
      </c>
      <c r="I10234">
        <v>1.65</v>
      </c>
      <c r="J10234">
        <v>20</v>
      </c>
      <c r="L10234" t="s">
        <v>2709</v>
      </c>
      <c r="M10234">
        <v>91019100</v>
      </c>
      <c r="O10234" t="s">
        <v>19447</v>
      </c>
      <c r="P10234" t="s">
        <v>19899</v>
      </c>
      <c r="Q10234" t="s">
        <v>19982</v>
      </c>
      <c r="R10234" t="s">
        <v>19905</v>
      </c>
      <c r="S10234" t="s">
        <v>19906</v>
      </c>
      <c r="T10234" t="s">
        <v>19934</v>
      </c>
    </row>
    <row r="10235" spans="2:20" x14ac:dyDescent="0.25">
      <c r="B10235" t="s">
        <v>2709</v>
      </c>
      <c r="C10235">
        <v>91019900</v>
      </c>
      <c r="E10235" t="s">
        <v>19447</v>
      </c>
      <c r="F10235">
        <v>18</v>
      </c>
      <c r="G10235">
        <v>25</v>
      </c>
      <c r="H10235">
        <v>7.6</v>
      </c>
      <c r="I10235">
        <v>1.65</v>
      </c>
      <c r="J10235">
        <v>20</v>
      </c>
      <c r="L10235" t="s">
        <v>2709</v>
      </c>
      <c r="M10235">
        <v>91019900</v>
      </c>
      <c r="O10235" t="s">
        <v>19447</v>
      </c>
      <c r="P10235" t="s">
        <v>19899</v>
      </c>
      <c r="Q10235" t="s">
        <v>19982</v>
      </c>
      <c r="R10235" t="s">
        <v>19905</v>
      </c>
      <c r="S10235" t="s">
        <v>19906</v>
      </c>
      <c r="T10235" t="s">
        <v>19934</v>
      </c>
    </row>
    <row r="10236" spans="2:20" x14ac:dyDescent="0.25">
      <c r="B10236" t="s">
        <v>2709</v>
      </c>
      <c r="C10236">
        <v>91021110</v>
      </c>
      <c r="E10236" t="s">
        <v>19447</v>
      </c>
      <c r="F10236">
        <v>18</v>
      </c>
      <c r="G10236">
        <v>20</v>
      </c>
      <c r="H10236">
        <v>7.6</v>
      </c>
      <c r="I10236">
        <v>1.65</v>
      </c>
      <c r="J10236">
        <v>20</v>
      </c>
      <c r="L10236" t="s">
        <v>2709</v>
      </c>
      <c r="M10236">
        <v>91021110</v>
      </c>
      <c r="O10236" t="s">
        <v>19447</v>
      </c>
      <c r="P10236" t="s">
        <v>19899</v>
      </c>
      <c r="Q10236" t="s">
        <v>19934</v>
      </c>
      <c r="R10236" t="s">
        <v>19905</v>
      </c>
      <c r="S10236" t="s">
        <v>19906</v>
      </c>
      <c r="T10236" t="s">
        <v>19934</v>
      </c>
    </row>
    <row r="10237" spans="2:20" x14ac:dyDescent="0.25">
      <c r="B10237" t="s">
        <v>2709</v>
      </c>
      <c r="C10237">
        <v>91021190</v>
      </c>
      <c r="E10237" t="s">
        <v>19447</v>
      </c>
      <c r="F10237">
        <v>18</v>
      </c>
      <c r="G10237">
        <v>20</v>
      </c>
      <c r="H10237">
        <v>7.6</v>
      </c>
      <c r="I10237">
        <v>1.65</v>
      </c>
      <c r="J10237">
        <v>20</v>
      </c>
      <c r="L10237" t="s">
        <v>2709</v>
      </c>
      <c r="M10237">
        <v>91021190</v>
      </c>
      <c r="O10237" t="s">
        <v>19447</v>
      </c>
      <c r="P10237" t="s">
        <v>19899</v>
      </c>
      <c r="Q10237" t="s">
        <v>19934</v>
      </c>
      <c r="R10237" t="s">
        <v>19905</v>
      </c>
      <c r="S10237" t="s">
        <v>19906</v>
      </c>
      <c r="T10237" t="s">
        <v>19934</v>
      </c>
    </row>
    <row r="10238" spans="2:20" x14ac:dyDescent="0.25">
      <c r="B10238" t="s">
        <v>2709</v>
      </c>
      <c r="C10238">
        <v>91021210</v>
      </c>
      <c r="E10238" t="s">
        <v>19447</v>
      </c>
      <c r="F10238">
        <v>18</v>
      </c>
      <c r="G10238">
        <v>20</v>
      </c>
      <c r="H10238">
        <v>7.6</v>
      </c>
      <c r="I10238">
        <v>1.65</v>
      </c>
      <c r="J10238">
        <v>20</v>
      </c>
      <c r="L10238" t="s">
        <v>2709</v>
      </c>
      <c r="M10238">
        <v>91021210</v>
      </c>
      <c r="O10238" t="s">
        <v>19447</v>
      </c>
      <c r="P10238" t="s">
        <v>19899</v>
      </c>
      <c r="Q10238" t="s">
        <v>19934</v>
      </c>
      <c r="R10238" t="s">
        <v>19905</v>
      </c>
      <c r="S10238" t="s">
        <v>19906</v>
      </c>
      <c r="T10238" t="s">
        <v>19934</v>
      </c>
    </row>
    <row r="10239" spans="2:20" x14ac:dyDescent="0.25">
      <c r="B10239" t="s">
        <v>2709</v>
      </c>
      <c r="C10239">
        <v>91021220</v>
      </c>
      <c r="E10239" t="s">
        <v>19447</v>
      </c>
      <c r="F10239">
        <v>18</v>
      </c>
      <c r="G10239">
        <v>20</v>
      </c>
      <c r="H10239">
        <v>7.6</v>
      </c>
      <c r="I10239">
        <v>1.65</v>
      </c>
      <c r="J10239">
        <v>20</v>
      </c>
      <c r="L10239" t="s">
        <v>2709</v>
      </c>
      <c r="M10239">
        <v>91021220</v>
      </c>
      <c r="O10239" t="s">
        <v>19447</v>
      </c>
      <c r="P10239" t="s">
        <v>19899</v>
      </c>
      <c r="Q10239" t="s">
        <v>19934</v>
      </c>
      <c r="R10239" t="s">
        <v>19905</v>
      </c>
      <c r="S10239" t="s">
        <v>19906</v>
      </c>
      <c r="T10239" t="s">
        <v>19934</v>
      </c>
    </row>
    <row r="10240" spans="2:20" x14ac:dyDescent="0.25">
      <c r="B10240" t="s">
        <v>2709</v>
      </c>
      <c r="C10240">
        <v>91021290</v>
      </c>
      <c r="E10240" t="s">
        <v>19447</v>
      </c>
      <c r="F10240">
        <v>18</v>
      </c>
      <c r="G10240">
        <v>20</v>
      </c>
      <c r="H10240">
        <v>7.6</v>
      </c>
      <c r="I10240">
        <v>1.65</v>
      </c>
      <c r="J10240">
        <v>20</v>
      </c>
      <c r="L10240" t="s">
        <v>2709</v>
      </c>
      <c r="M10240">
        <v>91021290</v>
      </c>
      <c r="O10240" t="s">
        <v>19447</v>
      </c>
      <c r="P10240" t="s">
        <v>19899</v>
      </c>
      <c r="Q10240" t="s">
        <v>19934</v>
      </c>
      <c r="R10240" t="s">
        <v>19905</v>
      </c>
      <c r="S10240" t="s">
        <v>19906</v>
      </c>
      <c r="T10240" t="s">
        <v>19934</v>
      </c>
    </row>
    <row r="10241" spans="2:20" x14ac:dyDescent="0.25">
      <c r="B10241" t="s">
        <v>2709</v>
      </c>
      <c r="C10241">
        <v>91021900</v>
      </c>
      <c r="E10241" t="s">
        <v>19447</v>
      </c>
      <c r="F10241">
        <v>18</v>
      </c>
      <c r="G10241">
        <v>20</v>
      </c>
      <c r="H10241">
        <v>7.6</v>
      </c>
      <c r="I10241">
        <v>1.65</v>
      </c>
      <c r="J10241">
        <v>20</v>
      </c>
      <c r="L10241" t="s">
        <v>2709</v>
      </c>
      <c r="M10241">
        <v>91021900</v>
      </c>
      <c r="O10241" t="s">
        <v>19447</v>
      </c>
      <c r="P10241" t="s">
        <v>19899</v>
      </c>
      <c r="Q10241" t="s">
        <v>19934</v>
      </c>
      <c r="R10241" t="s">
        <v>19905</v>
      </c>
      <c r="S10241" t="s">
        <v>19906</v>
      </c>
      <c r="T10241" t="s">
        <v>19934</v>
      </c>
    </row>
    <row r="10242" spans="2:20" x14ac:dyDescent="0.25">
      <c r="B10242" t="s">
        <v>2709</v>
      </c>
      <c r="C10242">
        <v>91022100</v>
      </c>
      <c r="E10242" t="s">
        <v>19447</v>
      </c>
      <c r="F10242">
        <v>18</v>
      </c>
      <c r="G10242">
        <v>20</v>
      </c>
      <c r="H10242">
        <v>7.6</v>
      </c>
      <c r="I10242">
        <v>1.65</v>
      </c>
      <c r="J10242">
        <v>20</v>
      </c>
      <c r="L10242" t="s">
        <v>2709</v>
      </c>
      <c r="M10242">
        <v>91022100</v>
      </c>
      <c r="O10242" t="s">
        <v>19447</v>
      </c>
      <c r="P10242" t="s">
        <v>19899</v>
      </c>
      <c r="Q10242" t="s">
        <v>19934</v>
      </c>
      <c r="R10242" t="s">
        <v>19905</v>
      </c>
      <c r="S10242" t="s">
        <v>19906</v>
      </c>
      <c r="T10242" t="s">
        <v>19934</v>
      </c>
    </row>
    <row r="10243" spans="2:20" x14ac:dyDescent="0.25">
      <c r="B10243" t="s">
        <v>2709</v>
      </c>
      <c r="C10243">
        <v>91022900</v>
      </c>
      <c r="E10243" t="s">
        <v>19447</v>
      </c>
      <c r="F10243">
        <v>18</v>
      </c>
      <c r="G10243">
        <v>20</v>
      </c>
      <c r="H10243">
        <v>7.6</v>
      </c>
      <c r="I10243">
        <v>1.65</v>
      </c>
      <c r="J10243">
        <v>20</v>
      </c>
      <c r="L10243" t="s">
        <v>2709</v>
      </c>
      <c r="M10243">
        <v>91022900</v>
      </c>
      <c r="O10243" t="s">
        <v>19447</v>
      </c>
      <c r="P10243" t="s">
        <v>19899</v>
      </c>
      <c r="Q10243" t="s">
        <v>19934</v>
      </c>
      <c r="R10243" t="s">
        <v>19905</v>
      </c>
      <c r="S10243" t="s">
        <v>19906</v>
      </c>
      <c r="T10243" t="s">
        <v>19934</v>
      </c>
    </row>
    <row r="10244" spans="2:20" x14ac:dyDescent="0.25">
      <c r="B10244" t="s">
        <v>2709</v>
      </c>
      <c r="C10244">
        <v>91029100</v>
      </c>
      <c r="E10244" t="s">
        <v>19447</v>
      </c>
      <c r="F10244">
        <v>18</v>
      </c>
      <c r="G10244">
        <v>20</v>
      </c>
      <c r="H10244">
        <v>7.6</v>
      </c>
      <c r="I10244">
        <v>1.65</v>
      </c>
      <c r="J10244">
        <v>20</v>
      </c>
      <c r="L10244" t="s">
        <v>2709</v>
      </c>
      <c r="M10244">
        <v>91029100</v>
      </c>
      <c r="O10244" t="s">
        <v>19447</v>
      </c>
      <c r="P10244" t="s">
        <v>19899</v>
      </c>
      <c r="Q10244" t="s">
        <v>19934</v>
      </c>
      <c r="R10244" t="s">
        <v>19905</v>
      </c>
      <c r="S10244" t="s">
        <v>19906</v>
      </c>
      <c r="T10244" t="s">
        <v>19934</v>
      </c>
    </row>
    <row r="10245" spans="2:20" x14ac:dyDescent="0.25">
      <c r="B10245" t="s">
        <v>2709</v>
      </c>
      <c r="C10245">
        <v>91029100</v>
      </c>
      <c r="D10245">
        <v>1</v>
      </c>
      <c r="E10245" t="s">
        <v>19447</v>
      </c>
      <c r="F10245">
        <v>18</v>
      </c>
      <c r="G10245">
        <v>15</v>
      </c>
      <c r="H10245">
        <v>7.6</v>
      </c>
      <c r="I10245">
        <v>1.65</v>
      </c>
      <c r="J10245">
        <v>20</v>
      </c>
      <c r="L10245" t="s">
        <v>2709</v>
      </c>
      <c r="M10245">
        <v>91029100</v>
      </c>
      <c r="N10245">
        <v>1</v>
      </c>
      <c r="O10245" t="s">
        <v>19447</v>
      </c>
      <c r="P10245" t="s">
        <v>19899</v>
      </c>
      <c r="Q10245" t="s">
        <v>19983</v>
      </c>
      <c r="R10245" t="s">
        <v>19905</v>
      </c>
      <c r="S10245" t="s">
        <v>19906</v>
      </c>
      <c r="T10245" t="s">
        <v>19934</v>
      </c>
    </row>
    <row r="10246" spans="2:20" x14ac:dyDescent="0.25">
      <c r="B10246" t="s">
        <v>2709</v>
      </c>
      <c r="C10246">
        <v>91029100</v>
      </c>
      <c r="D10246">
        <v>2</v>
      </c>
      <c r="E10246" t="s">
        <v>19447</v>
      </c>
      <c r="F10246">
        <v>18</v>
      </c>
      <c r="G10246">
        <v>15</v>
      </c>
      <c r="H10246">
        <v>7.6</v>
      </c>
      <c r="I10246">
        <v>1.65</v>
      </c>
      <c r="J10246">
        <v>20</v>
      </c>
      <c r="L10246" t="s">
        <v>2709</v>
      </c>
      <c r="M10246">
        <v>91029100</v>
      </c>
      <c r="N10246">
        <v>2</v>
      </c>
      <c r="O10246" t="s">
        <v>19447</v>
      </c>
      <c r="P10246" t="s">
        <v>19899</v>
      </c>
      <c r="Q10246" t="s">
        <v>19983</v>
      </c>
      <c r="R10246" t="s">
        <v>19905</v>
      </c>
      <c r="S10246" t="s">
        <v>19906</v>
      </c>
      <c r="T10246" t="s">
        <v>19934</v>
      </c>
    </row>
    <row r="10247" spans="2:20" x14ac:dyDescent="0.25">
      <c r="B10247" t="s">
        <v>2709</v>
      </c>
      <c r="C10247">
        <v>91029900</v>
      </c>
      <c r="E10247" t="s">
        <v>19447</v>
      </c>
      <c r="F10247">
        <v>18</v>
      </c>
      <c r="G10247">
        <v>20</v>
      </c>
      <c r="H10247">
        <v>7.6</v>
      </c>
      <c r="I10247">
        <v>1.65</v>
      </c>
      <c r="J10247">
        <v>20</v>
      </c>
      <c r="L10247" t="s">
        <v>2709</v>
      </c>
      <c r="M10247">
        <v>91029900</v>
      </c>
      <c r="O10247" t="s">
        <v>19447</v>
      </c>
      <c r="P10247" t="s">
        <v>19899</v>
      </c>
      <c r="Q10247" t="s">
        <v>19934</v>
      </c>
      <c r="R10247" t="s">
        <v>19905</v>
      </c>
      <c r="S10247" t="s">
        <v>19906</v>
      </c>
      <c r="T10247" t="s">
        <v>19934</v>
      </c>
    </row>
    <row r="10248" spans="2:20" x14ac:dyDescent="0.25">
      <c r="B10248" t="s">
        <v>2709</v>
      </c>
      <c r="C10248">
        <v>91031000</v>
      </c>
      <c r="E10248" t="s">
        <v>19447</v>
      </c>
      <c r="F10248">
        <v>18</v>
      </c>
      <c r="G10248">
        <v>20</v>
      </c>
      <c r="H10248">
        <v>7.6</v>
      </c>
      <c r="I10248">
        <v>1.65</v>
      </c>
      <c r="J10248">
        <v>20</v>
      </c>
      <c r="L10248" t="s">
        <v>2709</v>
      </c>
      <c r="M10248">
        <v>91031000</v>
      </c>
      <c r="O10248" t="s">
        <v>19447</v>
      </c>
      <c r="P10248" t="s">
        <v>19899</v>
      </c>
      <c r="Q10248" t="s">
        <v>19934</v>
      </c>
      <c r="R10248" t="s">
        <v>19905</v>
      </c>
      <c r="S10248" t="s">
        <v>19906</v>
      </c>
      <c r="T10248" t="s">
        <v>19934</v>
      </c>
    </row>
    <row r="10249" spans="2:20" x14ac:dyDescent="0.25">
      <c r="B10249" t="s">
        <v>2709</v>
      </c>
      <c r="C10249">
        <v>91039000</v>
      </c>
      <c r="E10249" t="s">
        <v>19447</v>
      </c>
      <c r="F10249">
        <v>18</v>
      </c>
      <c r="G10249">
        <v>20</v>
      </c>
      <c r="H10249">
        <v>7.6</v>
      </c>
      <c r="I10249">
        <v>1.65</v>
      </c>
      <c r="J10249">
        <v>20</v>
      </c>
      <c r="L10249" t="s">
        <v>2709</v>
      </c>
      <c r="M10249">
        <v>91039000</v>
      </c>
      <c r="O10249" t="s">
        <v>19447</v>
      </c>
      <c r="P10249" t="s">
        <v>19899</v>
      </c>
      <c r="Q10249" t="s">
        <v>19934</v>
      </c>
      <c r="R10249" t="s">
        <v>19905</v>
      </c>
      <c r="S10249" t="s">
        <v>19906</v>
      </c>
      <c r="T10249" t="s">
        <v>19934</v>
      </c>
    </row>
    <row r="10250" spans="2:20" x14ac:dyDescent="0.25">
      <c r="B10250" t="s">
        <v>2709</v>
      </c>
      <c r="C10250">
        <v>91040000</v>
      </c>
      <c r="E10250">
        <v>71.78</v>
      </c>
      <c r="F10250">
        <v>18</v>
      </c>
      <c r="G10250">
        <v>18</v>
      </c>
      <c r="H10250">
        <v>10.8</v>
      </c>
      <c r="I10250">
        <v>2.2999999999999998</v>
      </c>
      <c r="J10250">
        <v>20</v>
      </c>
      <c r="L10250" t="s">
        <v>2709</v>
      </c>
      <c r="M10250">
        <v>91040000</v>
      </c>
      <c r="O10250" t="s">
        <v>20056</v>
      </c>
      <c r="P10250" t="s">
        <v>19899</v>
      </c>
      <c r="Q10250" t="s">
        <v>19899</v>
      </c>
      <c r="R10250" t="s">
        <v>20074</v>
      </c>
      <c r="S10250" t="s">
        <v>20075</v>
      </c>
      <c r="T10250" t="s">
        <v>19934</v>
      </c>
    </row>
    <row r="10251" spans="2:20" x14ac:dyDescent="0.25">
      <c r="B10251" t="s">
        <v>2709</v>
      </c>
      <c r="C10251">
        <v>91051100</v>
      </c>
      <c r="E10251" t="s">
        <v>19447</v>
      </c>
      <c r="F10251">
        <v>18</v>
      </c>
      <c r="G10251">
        <v>20</v>
      </c>
      <c r="H10251">
        <v>7.6</v>
      </c>
      <c r="I10251">
        <v>1.65</v>
      </c>
      <c r="J10251">
        <v>20</v>
      </c>
      <c r="L10251" t="s">
        <v>2709</v>
      </c>
      <c r="M10251">
        <v>91051100</v>
      </c>
      <c r="O10251" t="s">
        <v>19447</v>
      </c>
      <c r="P10251" t="s">
        <v>19899</v>
      </c>
      <c r="Q10251" t="s">
        <v>19934</v>
      </c>
      <c r="R10251" t="s">
        <v>19905</v>
      </c>
      <c r="S10251" t="s">
        <v>19906</v>
      </c>
      <c r="T10251" t="s">
        <v>19934</v>
      </c>
    </row>
    <row r="10252" spans="2:20" x14ac:dyDescent="0.25">
      <c r="B10252" t="s">
        <v>2709</v>
      </c>
      <c r="C10252">
        <v>91051900</v>
      </c>
      <c r="E10252" t="s">
        <v>19447</v>
      </c>
      <c r="F10252">
        <v>18</v>
      </c>
      <c r="G10252">
        <v>20</v>
      </c>
      <c r="H10252">
        <v>7.6</v>
      </c>
      <c r="I10252">
        <v>1.65</v>
      </c>
      <c r="J10252">
        <v>20</v>
      </c>
      <c r="L10252" t="s">
        <v>2709</v>
      </c>
      <c r="M10252">
        <v>91051900</v>
      </c>
      <c r="O10252" t="s">
        <v>19447</v>
      </c>
      <c r="P10252" t="s">
        <v>19899</v>
      </c>
      <c r="Q10252" t="s">
        <v>19934</v>
      </c>
      <c r="R10252" t="s">
        <v>19905</v>
      </c>
      <c r="S10252" t="s">
        <v>19906</v>
      </c>
      <c r="T10252" t="s">
        <v>19934</v>
      </c>
    </row>
    <row r="10253" spans="2:20" x14ac:dyDescent="0.25">
      <c r="B10253" t="s">
        <v>2709</v>
      </c>
      <c r="C10253">
        <v>91052100</v>
      </c>
      <c r="E10253" t="s">
        <v>19447</v>
      </c>
      <c r="F10253">
        <v>18</v>
      </c>
      <c r="G10253">
        <v>20</v>
      </c>
      <c r="H10253">
        <v>7.6</v>
      </c>
      <c r="I10253">
        <v>1.65</v>
      </c>
      <c r="J10253">
        <v>20</v>
      </c>
      <c r="L10253" t="s">
        <v>2709</v>
      </c>
      <c r="M10253">
        <v>91052100</v>
      </c>
      <c r="O10253" t="s">
        <v>19447</v>
      </c>
      <c r="P10253" t="s">
        <v>19899</v>
      </c>
      <c r="Q10253" t="s">
        <v>19934</v>
      </c>
      <c r="R10253" t="s">
        <v>19905</v>
      </c>
      <c r="S10253" t="s">
        <v>19906</v>
      </c>
      <c r="T10253" t="s">
        <v>19934</v>
      </c>
    </row>
    <row r="10254" spans="2:20" x14ac:dyDescent="0.25">
      <c r="B10254" t="s">
        <v>2709</v>
      </c>
      <c r="C10254">
        <v>91052900</v>
      </c>
      <c r="E10254" t="s">
        <v>19447</v>
      </c>
      <c r="F10254">
        <v>18</v>
      </c>
      <c r="G10254">
        <v>20</v>
      </c>
      <c r="H10254">
        <v>7.6</v>
      </c>
      <c r="I10254">
        <v>1.65</v>
      </c>
      <c r="J10254">
        <v>20</v>
      </c>
      <c r="L10254" t="s">
        <v>2709</v>
      </c>
      <c r="M10254">
        <v>91052900</v>
      </c>
      <c r="O10254" t="s">
        <v>19447</v>
      </c>
      <c r="P10254" t="s">
        <v>19899</v>
      </c>
      <c r="Q10254" t="s">
        <v>19934</v>
      </c>
      <c r="R10254" t="s">
        <v>19905</v>
      </c>
      <c r="S10254" t="s">
        <v>19906</v>
      </c>
      <c r="T10254" t="s">
        <v>19934</v>
      </c>
    </row>
    <row r="10255" spans="2:20" x14ac:dyDescent="0.25">
      <c r="B10255" t="s">
        <v>2709</v>
      </c>
      <c r="C10255">
        <v>91059100</v>
      </c>
      <c r="E10255" t="s">
        <v>19447</v>
      </c>
      <c r="F10255">
        <v>18</v>
      </c>
      <c r="G10255">
        <v>20</v>
      </c>
      <c r="H10255">
        <v>7.6</v>
      </c>
      <c r="I10255">
        <v>1.65</v>
      </c>
      <c r="J10255">
        <v>20</v>
      </c>
      <c r="L10255" t="s">
        <v>2709</v>
      </c>
      <c r="M10255">
        <v>91059100</v>
      </c>
      <c r="O10255" t="s">
        <v>19447</v>
      </c>
      <c r="P10255" t="s">
        <v>19899</v>
      </c>
      <c r="Q10255" t="s">
        <v>19934</v>
      </c>
      <c r="R10255" t="s">
        <v>19905</v>
      </c>
      <c r="S10255" t="s">
        <v>19906</v>
      </c>
      <c r="T10255" t="s">
        <v>19934</v>
      </c>
    </row>
    <row r="10256" spans="2:20" x14ac:dyDescent="0.25">
      <c r="B10256" t="s">
        <v>2709</v>
      </c>
      <c r="C10256">
        <v>91059900</v>
      </c>
      <c r="E10256" t="s">
        <v>19447</v>
      </c>
      <c r="F10256">
        <v>18</v>
      </c>
      <c r="G10256">
        <v>20</v>
      </c>
      <c r="H10256">
        <v>7.6</v>
      </c>
      <c r="I10256">
        <v>1.65</v>
      </c>
      <c r="J10256">
        <v>20</v>
      </c>
      <c r="L10256" t="s">
        <v>2709</v>
      </c>
      <c r="M10256">
        <v>91059900</v>
      </c>
      <c r="O10256" t="s">
        <v>19447</v>
      </c>
      <c r="P10256" t="s">
        <v>19899</v>
      </c>
      <c r="Q10256" t="s">
        <v>19934</v>
      </c>
      <c r="R10256" t="s">
        <v>19905</v>
      </c>
      <c r="S10256" t="s">
        <v>19906</v>
      </c>
      <c r="T10256" t="s">
        <v>19934</v>
      </c>
    </row>
    <row r="10257" spans="2:20" x14ac:dyDescent="0.25">
      <c r="B10257" t="s">
        <v>2709</v>
      </c>
      <c r="C10257">
        <v>91061000</v>
      </c>
      <c r="E10257" t="s">
        <v>19447</v>
      </c>
      <c r="F10257">
        <v>18</v>
      </c>
      <c r="G10257">
        <v>15</v>
      </c>
      <c r="H10257">
        <v>7.6</v>
      </c>
      <c r="I10257">
        <v>1.65</v>
      </c>
      <c r="J10257">
        <v>20</v>
      </c>
      <c r="L10257" t="s">
        <v>2709</v>
      </c>
      <c r="M10257">
        <v>91061000</v>
      </c>
      <c r="O10257" t="s">
        <v>19447</v>
      </c>
      <c r="P10257" t="s">
        <v>19899</v>
      </c>
      <c r="Q10257" t="s">
        <v>19983</v>
      </c>
      <c r="R10257" t="s">
        <v>19905</v>
      </c>
      <c r="S10257" t="s">
        <v>19906</v>
      </c>
      <c r="T10257" t="s">
        <v>19934</v>
      </c>
    </row>
    <row r="10258" spans="2:20" x14ac:dyDescent="0.25">
      <c r="B10258" t="s">
        <v>2709</v>
      </c>
      <c r="C10258">
        <v>91069000</v>
      </c>
      <c r="E10258" t="s">
        <v>19447</v>
      </c>
      <c r="F10258">
        <v>18</v>
      </c>
      <c r="G10258">
        <v>15</v>
      </c>
      <c r="H10258">
        <v>7.6</v>
      </c>
      <c r="I10258">
        <v>1.65</v>
      </c>
      <c r="J10258">
        <v>20</v>
      </c>
      <c r="L10258" t="s">
        <v>2709</v>
      </c>
      <c r="M10258">
        <v>91069000</v>
      </c>
      <c r="O10258" t="s">
        <v>19447</v>
      </c>
      <c r="P10258" t="s">
        <v>19899</v>
      </c>
      <c r="Q10258" t="s">
        <v>19983</v>
      </c>
      <c r="R10258" t="s">
        <v>19905</v>
      </c>
      <c r="S10258" t="s">
        <v>19906</v>
      </c>
      <c r="T10258" t="s">
        <v>19934</v>
      </c>
    </row>
    <row r="10259" spans="2:20" x14ac:dyDescent="0.25">
      <c r="B10259" t="s">
        <v>2709</v>
      </c>
      <c r="C10259">
        <v>91070010</v>
      </c>
      <c r="E10259">
        <v>49</v>
      </c>
      <c r="F10259">
        <v>18</v>
      </c>
      <c r="G10259">
        <v>15</v>
      </c>
      <c r="H10259">
        <v>7.6</v>
      </c>
      <c r="I10259">
        <v>1.65</v>
      </c>
      <c r="J10259">
        <v>20</v>
      </c>
      <c r="L10259" t="s">
        <v>2709</v>
      </c>
      <c r="M10259">
        <v>91070010</v>
      </c>
      <c r="O10259" t="s">
        <v>20067</v>
      </c>
      <c r="P10259" t="s">
        <v>19899</v>
      </c>
      <c r="Q10259" t="s">
        <v>19983</v>
      </c>
      <c r="R10259" t="s">
        <v>19905</v>
      </c>
      <c r="S10259" t="s">
        <v>19906</v>
      </c>
      <c r="T10259" t="s">
        <v>19934</v>
      </c>
    </row>
    <row r="10260" spans="2:20" x14ac:dyDescent="0.25">
      <c r="B10260" t="s">
        <v>2709</v>
      </c>
      <c r="C10260">
        <v>91070090</v>
      </c>
      <c r="E10260">
        <v>49</v>
      </c>
      <c r="F10260">
        <v>18</v>
      </c>
      <c r="G10260">
        <v>15</v>
      </c>
      <c r="H10260">
        <v>7.6</v>
      </c>
      <c r="I10260">
        <v>1.65</v>
      </c>
      <c r="J10260">
        <v>20</v>
      </c>
      <c r="L10260" t="s">
        <v>2709</v>
      </c>
      <c r="M10260">
        <v>91070090</v>
      </c>
      <c r="O10260" t="s">
        <v>20067</v>
      </c>
      <c r="P10260" t="s">
        <v>19899</v>
      </c>
      <c r="Q10260" t="s">
        <v>19983</v>
      </c>
      <c r="R10260" t="s">
        <v>19905</v>
      </c>
      <c r="S10260" t="s">
        <v>19906</v>
      </c>
      <c r="T10260" t="s">
        <v>19934</v>
      </c>
    </row>
    <row r="10261" spans="2:20" x14ac:dyDescent="0.25">
      <c r="B10261" t="s">
        <v>2709</v>
      </c>
      <c r="C10261">
        <v>91081110</v>
      </c>
      <c r="E10261" t="s">
        <v>19447</v>
      </c>
      <c r="F10261">
        <v>18</v>
      </c>
      <c r="G10261">
        <v>20</v>
      </c>
      <c r="H10261">
        <v>7.6</v>
      </c>
      <c r="I10261">
        <v>1.65</v>
      </c>
      <c r="J10261">
        <v>18</v>
      </c>
      <c r="L10261" t="s">
        <v>2709</v>
      </c>
      <c r="M10261">
        <v>91081110</v>
      </c>
      <c r="O10261" t="s">
        <v>19447</v>
      </c>
      <c r="P10261" t="s">
        <v>19899</v>
      </c>
      <c r="Q10261" t="s">
        <v>19934</v>
      </c>
      <c r="R10261" t="s">
        <v>19905</v>
      </c>
      <c r="S10261" t="s">
        <v>19906</v>
      </c>
      <c r="T10261" t="s">
        <v>19899</v>
      </c>
    </row>
    <row r="10262" spans="2:20" x14ac:dyDescent="0.25">
      <c r="B10262" t="s">
        <v>2709</v>
      </c>
      <c r="C10262">
        <v>91081190</v>
      </c>
      <c r="E10262" t="s">
        <v>19447</v>
      </c>
      <c r="F10262">
        <v>18</v>
      </c>
      <c r="G10262">
        <v>20</v>
      </c>
      <c r="H10262">
        <v>7.6</v>
      </c>
      <c r="I10262">
        <v>1.65</v>
      </c>
      <c r="J10262">
        <v>18</v>
      </c>
      <c r="L10262" t="s">
        <v>2709</v>
      </c>
      <c r="M10262">
        <v>91081190</v>
      </c>
      <c r="O10262" t="s">
        <v>19447</v>
      </c>
      <c r="P10262" t="s">
        <v>19899</v>
      </c>
      <c r="Q10262" t="s">
        <v>19934</v>
      </c>
      <c r="R10262" t="s">
        <v>19905</v>
      </c>
      <c r="S10262" t="s">
        <v>19906</v>
      </c>
      <c r="T10262" t="s">
        <v>19899</v>
      </c>
    </row>
    <row r="10263" spans="2:20" x14ac:dyDescent="0.25">
      <c r="B10263" t="s">
        <v>2709</v>
      </c>
      <c r="C10263">
        <v>91081200</v>
      </c>
      <c r="E10263" t="s">
        <v>19447</v>
      </c>
      <c r="F10263">
        <v>18</v>
      </c>
      <c r="G10263">
        <v>20</v>
      </c>
      <c r="H10263">
        <v>7.6</v>
      </c>
      <c r="I10263">
        <v>1.65</v>
      </c>
      <c r="J10263">
        <v>18</v>
      </c>
      <c r="L10263" t="s">
        <v>2709</v>
      </c>
      <c r="M10263">
        <v>91081200</v>
      </c>
      <c r="O10263" t="s">
        <v>19447</v>
      </c>
      <c r="P10263" t="s">
        <v>19899</v>
      </c>
      <c r="Q10263" t="s">
        <v>19934</v>
      </c>
      <c r="R10263" t="s">
        <v>19905</v>
      </c>
      <c r="S10263" t="s">
        <v>19906</v>
      </c>
      <c r="T10263" t="s">
        <v>19899</v>
      </c>
    </row>
    <row r="10264" spans="2:20" x14ac:dyDescent="0.25">
      <c r="B10264" t="s">
        <v>2709</v>
      </c>
      <c r="C10264">
        <v>91081900</v>
      </c>
      <c r="E10264" t="s">
        <v>19447</v>
      </c>
      <c r="F10264">
        <v>18</v>
      </c>
      <c r="G10264">
        <v>20</v>
      </c>
      <c r="H10264">
        <v>7.6</v>
      </c>
      <c r="I10264">
        <v>1.65</v>
      </c>
      <c r="J10264">
        <v>18</v>
      </c>
      <c r="L10264" t="s">
        <v>2709</v>
      </c>
      <c r="M10264">
        <v>91081900</v>
      </c>
      <c r="O10264" t="s">
        <v>19447</v>
      </c>
      <c r="P10264" t="s">
        <v>19899</v>
      </c>
      <c r="Q10264" t="s">
        <v>19934</v>
      </c>
      <c r="R10264" t="s">
        <v>19905</v>
      </c>
      <c r="S10264" t="s">
        <v>19906</v>
      </c>
      <c r="T10264" t="s">
        <v>19899</v>
      </c>
    </row>
    <row r="10265" spans="2:20" x14ac:dyDescent="0.25">
      <c r="B10265" t="s">
        <v>2709</v>
      </c>
      <c r="C10265">
        <v>91082000</v>
      </c>
      <c r="E10265" t="s">
        <v>19447</v>
      </c>
      <c r="F10265">
        <v>18</v>
      </c>
      <c r="G10265">
        <v>20</v>
      </c>
      <c r="H10265">
        <v>7.6</v>
      </c>
      <c r="I10265">
        <v>1.65</v>
      </c>
      <c r="J10265">
        <v>18</v>
      </c>
      <c r="L10265" t="s">
        <v>2709</v>
      </c>
      <c r="M10265">
        <v>91082000</v>
      </c>
      <c r="O10265" t="s">
        <v>19447</v>
      </c>
      <c r="P10265" t="s">
        <v>19899</v>
      </c>
      <c r="Q10265" t="s">
        <v>19934</v>
      </c>
      <c r="R10265" t="s">
        <v>19905</v>
      </c>
      <c r="S10265" t="s">
        <v>19906</v>
      </c>
      <c r="T10265" t="s">
        <v>19899</v>
      </c>
    </row>
    <row r="10266" spans="2:20" x14ac:dyDescent="0.25">
      <c r="B10266" t="s">
        <v>2709</v>
      </c>
      <c r="C10266">
        <v>91089000</v>
      </c>
      <c r="E10266" t="s">
        <v>19447</v>
      </c>
      <c r="F10266">
        <v>18</v>
      </c>
      <c r="G10266">
        <v>20</v>
      </c>
      <c r="H10266">
        <v>7.6</v>
      </c>
      <c r="I10266">
        <v>1.65</v>
      </c>
      <c r="J10266">
        <v>18</v>
      </c>
      <c r="L10266" t="s">
        <v>2709</v>
      </c>
      <c r="M10266">
        <v>91089000</v>
      </c>
      <c r="O10266" t="s">
        <v>19447</v>
      </c>
      <c r="P10266" t="s">
        <v>19899</v>
      </c>
      <c r="Q10266" t="s">
        <v>19934</v>
      </c>
      <c r="R10266" t="s">
        <v>19905</v>
      </c>
      <c r="S10266" t="s">
        <v>19906</v>
      </c>
      <c r="T10266" t="s">
        <v>19899</v>
      </c>
    </row>
    <row r="10267" spans="2:20" x14ac:dyDescent="0.25">
      <c r="B10267" t="s">
        <v>2709</v>
      </c>
      <c r="C10267">
        <v>91091000</v>
      </c>
      <c r="E10267" t="s">
        <v>19447</v>
      </c>
      <c r="F10267">
        <v>18</v>
      </c>
      <c r="G10267">
        <v>20</v>
      </c>
      <c r="H10267">
        <v>7.6</v>
      </c>
      <c r="I10267">
        <v>1.65</v>
      </c>
      <c r="J10267">
        <v>18</v>
      </c>
      <c r="L10267" t="s">
        <v>2709</v>
      </c>
      <c r="M10267">
        <v>91091000</v>
      </c>
      <c r="O10267" t="s">
        <v>19447</v>
      </c>
      <c r="P10267" t="s">
        <v>19899</v>
      </c>
      <c r="Q10267" t="s">
        <v>19934</v>
      </c>
      <c r="R10267" t="s">
        <v>19905</v>
      </c>
      <c r="S10267" t="s">
        <v>19906</v>
      </c>
      <c r="T10267" t="s">
        <v>19899</v>
      </c>
    </row>
    <row r="10268" spans="2:20" x14ac:dyDescent="0.25">
      <c r="B10268" t="s">
        <v>2709</v>
      </c>
      <c r="C10268">
        <v>91099000</v>
      </c>
      <c r="E10268" t="s">
        <v>19447</v>
      </c>
      <c r="F10268">
        <v>18</v>
      </c>
      <c r="G10268">
        <v>20</v>
      </c>
      <c r="H10268">
        <v>7.6</v>
      </c>
      <c r="I10268">
        <v>1.65</v>
      </c>
      <c r="J10268">
        <v>18</v>
      </c>
      <c r="L10268" t="s">
        <v>2709</v>
      </c>
      <c r="M10268">
        <v>91099000</v>
      </c>
      <c r="O10268" t="s">
        <v>19447</v>
      </c>
      <c r="P10268" t="s">
        <v>19899</v>
      </c>
      <c r="Q10268" t="s">
        <v>19934</v>
      </c>
      <c r="R10268" t="s">
        <v>19905</v>
      </c>
      <c r="S10268" t="s">
        <v>19906</v>
      </c>
      <c r="T10268" t="s">
        <v>19899</v>
      </c>
    </row>
    <row r="10269" spans="2:20" x14ac:dyDescent="0.25">
      <c r="B10269" t="s">
        <v>2709</v>
      </c>
      <c r="C10269">
        <v>91101110</v>
      </c>
      <c r="E10269" t="s">
        <v>19447</v>
      </c>
      <c r="F10269">
        <v>18</v>
      </c>
      <c r="G10269">
        <v>20</v>
      </c>
      <c r="H10269">
        <v>7.6</v>
      </c>
      <c r="I10269">
        <v>1.65</v>
      </c>
      <c r="J10269">
        <v>18</v>
      </c>
      <c r="L10269" t="s">
        <v>2709</v>
      </c>
      <c r="M10269">
        <v>91101110</v>
      </c>
      <c r="O10269" t="s">
        <v>19447</v>
      </c>
      <c r="P10269" t="s">
        <v>19899</v>
      </c>
      <c r="Q10269" t="s">
        <v>19934</v>
      </c>
      <c r="R10269" t="s">
        <v>19905</v>
      </c>
      <c r="S10269" t="s">
        <v>19906</v>
      </c>
      <c r="T10269" t="s">
        <v>19899</v>
      </c>
    </row>
    <row r="10270" spans="2:20" x14ac:dyDescent="0.25">
      <c r="B10270" t="s">
        <v>2709</v>
      </c>
      <c r="C10270">
        <v>91101190</v>
      </c>
      <c r="E10270" t="s">
        <v>19447</v>
      </c>
      <c r="F10270">
        <v>18</v>
      </c>
      <c r="G10270">
        <v>20</v>
      </c>
      <c r="H10270">
        <v>7.6</v>
      </c>
      <c r="I10270">
        <v>1.65</v>
      </c>
      <c r="J10270">
        <v>18</v>
      </c>
      <c r="L10270" t="s">
        <v>2709</v>
      </c>
      <c r="M10270">
        <v>91101190</v>
      </c>
      <c r="O10270" t="s">
        <v>19447</v>
      </c>
      <c r="P10270" t="s">
        <v>19899</v>
      </c>
      <c r="Q10270" t="s">
        <v>19934</v>
      </c>
      <c r="R10270" t="s">
        <v>19905</v>
      </c>
      <c r="S10270" t="s">
        <v>19906</v>
      </c>
      <c r="T10270" t="s">
        <v>19899</v>
      </c>
    </row>
    <row r="10271" spans="2:20" x14ac:dyDescent="0.25">
      <c r="B10271" t="s">
        <v>2709</v>
      </c>
      <c r="C10271">
        <v>91101200</v>
      </c>
      <c r="E10271" t="s">
        <v>19447</v>
      </c>
      <c r="F10271">
        <v>18</v>
      </c>
      <c r="G10271">
        <v>20</v>
      </c>
      <c r="H10271">
        <v>7.6</v>
      </c>
      <c r="I10271">
        <v>1.65</v>
      </c>
      <c r="J10271">
        <v>18</v>
      </c>
      <c r="L10271" t="s">
        <v>2709</v>
      </c>
      <c r="M10271">
        <v>91101200</v>
      </c>
      <c r="O10271" t="s">
        <v>19447</v>
      </c>
      <c r="P10271" t="s">
        <v>19899</v>
      </c>
      <c r="Q10271" t="s">
        <v>19934</v>
      </c>
      <c r="R10271" t="s">
        <v>19905</v>
      </c>
      <c r="S10271" t="s">
        <v>19906</v>
      </c>
      <c r="T10271" t="s">
        <v>19899</v>
      </c>
    </row>
    <row r="10272" spans="2:20" x14ac:dyDescent="0.25">
      <c r="B10272" t="s">
        <v>2709</v>
      </c>
      <c r="C10272">
        <v>91101900</v>
      </c>
      <c r="E10272" t="s">
        <v>19447</v>
      </c>
      <c r="F10272">
        <v>18</v>
      </c>
      <c r="G10272">
        <v>20</v>
      </c>
      <c r="H10272">
        <v>7.6</v>
      </c>
      <c r="I10272">
        <v>1.65</v>
      </c>
      <c r="J10272">
        <v>18</v>
      </c>
      <c r="L10272" t="s">
        <v>2709</v>
      </c>
      <c r="M10272">
        <v>91101900</v>
      </c>
      <c r="O10272" t="s">
        <v>19447</v>
      </c>
      <c r="P10272" t="s">
        <v>19899</v>
      </c>
      <c r="Q10272" t="s">
        <v>19934</v>
      </c>
      <c r="R10272" t="s">
        <v>19905</v>
      </c>
      <c r="S10272" t="s">
        <v>19906</v>
      </c>
      <c r="T10272" t="s">
        <v>19899</v>
      </c>
    </row>
    <row r="10273" spans="2:20" x14ac:dyDescent="0.25">
      <c r="B10273" t="s">
        <v>2709</v>
      </c>
      <c r="C10273">
        <v>91109000</v>
      </c>
      <c r="E10273" t="s">
        <v>19447</v>
      </c>
      <c r="F10273">
        <v>18</v>
      </c>
      <c r="G10273">
        <v>20</v>
      </c>
      <c r="H10273">
        <v>7.6</v>
      </c>
      <c r="I10273">
        <v>1.65</v>
      </c>
      <c r="J10273">
        <v>18</v>
      </c>
      <c r="L10273" t="s">
        <v>2709</v>
      </c>
      <c r="M10273">
        <v>91109000</v>
      </c>
      <c r="O10273" t="s">
        <v>19447</v>
      </c>
      <c r="P10273" t="s">
        <v>19899</v>
      </c>
      <c r="Q10273" t="s">
        <v>19934</v>
      </c>
      <c r="R10273" t="s">
        <v>19905</v>
      </c>
      <c r="S10273" t="s">
        <v>19906</v>
      </c>
      <c r="T10273" t="s">
        <v>19899</v>
      </c>
    </row>
    <row r="10274" spans="2:20" x14ac:dyDescent="0.25">
      <c r="B10274" t="s">
        <v>2709</v>
      </c>
      <c r="C10274">
        <v>91111000</v>
      </c>
      <c r="E10274" t="s">
        <v>19447</v>
      </c>
      <c r="F10274">
        <v>18</v>
      </c>
      <c r="G10274">
        <v>20</v>
      </c>
      <c r="H10274">
        <v>7.6</v>
      </c>
      <c r="I10274">
        <v>1.65</v>
      </c>
      <c r="J10274">
        <v>18</v>
      </c>
      <c r="L10274" t="s">
        <v>2709</v>
      </c>
      <c r="M10274">
        <v>91111000</v>
      </c>
      <c r="O10274" t="s">
        <v>19447</v>
      </c>
      <c r="P10274" t="s">
        <v>19899</v>
      </c>
      <c r="Q10274" t="s">
        <v>19934</v>
      </c>
      <c r="R10274" t="s">
        <v>19905</v>
      </c>
      <c r="S10274" t="s">
        <v>19906</v>
      </c>
      <c r="T10274" t="s">
        <v>19899</v>
      </c>
    </row>
    <row r="10275" spans="2:20" x14ac:dyDescent="0.25">
      <c r="B10275" t="s">
        <v>2709</v>
      </c>
      <c r="C10275">
        <v>91112010</v>
      </c>
      <c r="E10275" t="s">
        <v>19447</v>
      </c>
      <c r="F10275">
        <v>18</v>
      </c>
      <c r="G10275">
        <v>20</v>
      </c>
      <c r="H10275">
        <v>7.6</v>
      </c>
      <c r="I10275">
        <v>1.65</v>
      </c>
      <c r="J10275">
        <v>18</v>
      </c>
      <c r="L10275" t="s">
        <v>2709</v>
      </c>
      <c r="M10275">
        <v>91112010</v>
      </c>
      <c r="O10275" t="s">
        <v>19447</v>
      </c>
      <c r="P10275" t="s">
        <v>19899</v>
      </c>
      <c r="Q10275" t="s">
        <v>19934</v>
      </c>
      <c r="R10275" t="s">
        <v>19905</v>
      </c>
      <c r="S10275" t="s">
        <v>19906</v>
      </c>
      <c r="T10275" t="s">
        <v>19899</v>
      </c>
    </row>
    <row r="10276" spans="2:20" x14ac:dyDescent="0.25">
      <c r="B10276" t="s">
        <v>2709</v>
      </c>
      <c r="C10276">
        <v>91112090</v>
      </c>
      <c r="E10276" t="s">
        <v>19447</v>
      </c>
      <c r="F10276">
        <v>18</v>
      </c>
      <c r="G10276">
        <v>20</v>
      </c>
      <c r="H10276">
        <v>7.6</v>
      </c>
      <c r="I10276">
        <v>1.65</v>
      </c>
      <c r="J10276">
        <v>18</v>
      </c>
      <c r="L10276" t="s">
        <v>2709</v>
      </c>
      <c r="M10276">
        <v>91112090</v>
      </c>
      <c r="O10276" t="s">
        <v>19447</v>
      </c>
      <c r="P10276" t="s">
        <v>19899</v>
      </c>
      <c r="Q10276" t="s">
        <v>19934</v>
      </c>
      <c r="R10276" t="s">
        <v>19905</v>
      </c>
      <c r="S10276" t="s">
        <v>19906</v>
      </c>
      <c r="T10276" t="s">
        <v>19899</v>
      </c>
    </row>
    <row r="10277" spans="2:20" x14ac:dyDescent="0.25">
      <c r="B10277" t="s">
        <v>2709</v>
      </c>
      <c r="C10277">
        <v>91118000</v>
      </c>
      <c r="E10277" t="s">
        <v>19447</v>
      </c>
      <c r="F10277">
        <v>18</v>
      </c>
      <c r="G10277">
        <v>20</v>
      </c>
      <c r="H10277">
        <v>7.6</v>
      </c>
      <c r="I10277">
        <v>1.65</v>
      </c>
      <c r="J10277">
        <v>18</v>
      </c>
      <c r="L10277" t="s">
        <v>2709</v>
      </c>
      <c r="M10277">
        <v>91118000</v>
      </c>
      <c r="O10277" t="s">
        <v>19447</v>
      </c>
      <c r="P10277" t="s">
        <v>19899</v>
      </c>
      <c r="Q10277" t="s">
        <v>19934</v>
      </c>
      <c r="R10277" t="s">
        <v>19905</v>
      </c>
      <c r="S10277" t="s">
        <v>19906</v>
      </c>
      <c r="T10277" t="s">
        <v>19899</v>
      </c>
    </row>
    <row r="10278" spans="2:20" x14ac:dyDescent="0.25">
      <c r="B10278" t="s">
        <v>2709</v>
      </c>
      <c r="C10278">
        <v>91119010</v>
      </c>
      <c r="E10278" t="s">
        <v>19447</v>
      </c>
      <c r="F10278">
        <v>18</v>
      </c>
      <c r="G10278">
        <v>20</v>
      </c>
      <c r="H10278">
        <v>7.6</v>
      </c>
      <c r="I10278">
        <v>1.65</v>
      </c>
      <c r="J10278">
        <v>18</v>
      </c>
      <c r="L10278" t="s">
        <v>2709</v>
      </c>
      <c r="M10278">
        <v>91119010</v>
      </c>
      <c r="O10278" t="s">
        <v>19447</v>
      </c>
      <c r="P10278" t="s">
        <v>19899</v>
      </c>
      <c r="Q10278" t="s">
        <v>19934</v>
      </c>
      <c r="R10278" t="s">
        <v>19905</v>
      </c>
      <c r="S10278" t="s">
        <v>19906</v>
      </c>
      <c r="T10278" t="s">
        <v>19899</v>
      </c>
    </row>
    <row r="10279" spans="2:20" x14ac:dyDescent="0.25">
      <c r="B10279" t="s">
        <v>2709</v>
      </c>
      <c r="C10279">
        <v>91119090</v>
      </c>
      <c r="E10279" t="s">
        <v>19447</v>
      </c>
      <c r="F10279">
        <v>18</v>
      </c>
      <c r="G10279">
        <v>20</v>
      </c>
      <c r="H10279">
        <v>7.6</v>
      </c>
      <c r="I10279">
        <v>1.65</v>
      </c>
      <c r="J10279">
        <v>18</v>
      </c>
      <c r="L10279" t="s">
        <v>2709</v>
      </c>
      <c r="M10279">
        <v>91119090</v>
      </c>
      <c r="O10279" t="s">
        <v>19447</v>
      </c>
      <c r="P10279" t="s">
        <v>19899</v>
      </c>
      <c r="Q10279" t="s">
        <v>19934</v>
      </c>
      <c r="R10279" t="s">
        <v>19905</v>
      </c>
      <c r="S10279" t="s">
        <v>19906</v>
      </c>
      <c r="T10279" t="s">
        <v>19899</v>
      </c>
    </row>
    <row r="10280" spans="2:20" x14ac:dyDescent="0.25">
      <c r="B10280" t="s">
        <v>2709</v>
      </c>
      <c r="C10280">
        <v>91122000</v>
      </c>
      <c r="E10280" t="s">
        <v>19447</v>
      </c>
      <c r="F10280">
        <v>18</v>
      </c>
      <c r="G10280">
        <v>20</v>
      </c>
      <c r="H10280">
        <v>7.6</v>
      </c>
      <c r="I10280">
        <v>1.65</v>
      </c>
      <c r="J10280">
        <v>18</v>
      </c>
      <c r="L10280" t="s">
        <v>2709</v>
      </c>
      <c r="M10280">
        <v>91122000</v>
      </c>
      <c r="O10280" t="s">
        <v>19447</v>
      </c>
      <c r="P10280" t="s">
        <v>19899</v>
      </c>
      <c r="Q10280" t="s">
        <v>19934</v>
      </c>
      <c r="R10280" t="s">
        <v>19905</v>
      </c>
      <c r="S10280" t="s">
        <v>19906</v>
      </c>
      <c r="T10280" t="s">
        <v>19899</v>
      </c>
    </row>
    <row r="10281" spans="2:20" x14ac:dyDescent="0.25">
      <c r="B10281" t="s">
        <v>2709</v>
      </c>
      <c r="C10281">
        <v>91129000</v>
      </c>
      <c r="E10281" t="s">
        <v>19447</v>
      </c>
      <c r="F10281">
        <v>18</v>
      </c>
      <c r="G10281">
        <v>20</v>
      </c>
      <c r="H10281">
        <v>7.6</v>
      </c>
      <c r="I10281">
        <v>1.65</v>
      </c>
      <c r="J10281">
        <v>18</v>
      </c>
      <c r="L10281" t="s">
        <v>2709</v>
      </c>
      <c r="M10281">
        <v>91129000</v>
      </c>
      <c r="O10281" t="s">
        <v>19447</v>
      </c>
      <c r="P10281" t="s">
        <v>19899</v>
      </c>
      <c r="Q10281" t="s">
        <v>19934</v>
      </c>
      <c r="R10281" t="s">
        <v>19905</v>
      </c>
      <c r="S10281" t="s">
        <v>19906</v>
      </c>
      <c r="T10281" t="s">
        <v>19899</v>
      </c>
    </row>
    <row r="10282" spans="2:20" x14ac:dyDescent="0.25">
      <c r="B10282" t="s">
        <v>2709</v>
      </c>
      <c r="C10282">
        <v>91131000</v>
      </c>
      <c r="E10282" t="s">
        <v>19447</v>
      </c>
      <c r="F10282">
        <v>18</v>
      </c>
      <c r="G10282">
        <v>10</v>
      </c>
      <c r="H10282">
        <v>7.6</v>
      </c>
      <c r="I10282">
        <v>1.65</v>
      </c>
      <c r="J10282">
        <v>18</v>
      </c>
      <c r="L10282" t="s">
        <v>2709</v>
      </c>
      <c r="M10282">
        <v>91131000</v>
      </c>
      <c r="O10282" t="s">
        <v>19447</v>
      </c>
      <c r="P10282" t="s">
        <v>19899</v>
      </c>
      <c r="Q10282" t="s">
        <v>19904</v>
      </c>
      <c r="R10282" t="s">
        <v>19905</v>
      </c>
      <c r="S10282" t="s">
        <v>19906</v>
      </c>
      <c r="T10282" t="s">
        <v>19899</v>
      </c>
    </row>
    <row r="10283" spans="2:20" x14ac:dyDescent="0.25">
      <c r="B10283" t="s">
        <v>2709</v>
      </c>
      <c r="C10283">
        <v>91132000</v>
      </c>
      <c r="E10283" t="s">
        <v>19447</v>
      </c>
      <c r="F10283">
        <v>18</v>
      </c>
      <c r="G10283">
        <v>10</v>
      </c>
      <c r="H10283">
        <v>7.6</v>
      </c>
      <c r="I10283">
        <v>1.65</v>
      </c>
      <c r="J10283">
        <v>18</v>
      </c>
      <c r="L10283" t="s">
        <v>2709</v>
      </c>
      <c r="M10283">
        <v>91132000</v>
      </c>
      <c r="O10283" t="s">
        <v>19447</v>
      </c>
      <c r="P10283" t="s">
        <v>19899</v>
      </c>
      <c r="Q10283" t="s">
        <v>19904</v>
      </c>
      <c r="R10283" t="s">
        <v>19905</v>
      </c>
      <c r="S10283" t="s">
        <v>19906</v>
      </c>
      <c r="T10283" t="s">
        <v>19899</v>
      </c>
    </row>
    <row r="10284" spans="2:20" x14ac:dyDescent="0.25">
      <c r="B10284" t="s">
        <v>2709</v>
      </c>
      <c r="C10284">
        <v>91139000</v>
      </c>
      <c r="E10284" t="s">
        <v>19447</v>
      </c>
      <c r="F10284">
        <v>18</v>
      </c>
      <c r="G10284">
        <v>10</v>
      </c>
      <c r="H10284">
        <v>7.6</v>
      </c>
      <c r="I10284">
        <v>1.65</v>
      </c>
      <c r="J10284">
        <v>18</v>
      </c>
      <c r="L10284" t="s">
        <v>2709</v>
      </c>
      <c r="M10284">
        <v>91139000</v>
      </c>
      <c r="O10284" t="s">
        <v>19447</v>
      </c>
      <c r="P10284" t="s">
        <v>19899</v>
      </c>
      <c r="Q10284" t="s">
        <v>19904</v>
      </c>
      <c r="R10284" t="s">
        <v>19905</v>
      </c>
      <c r="S10284" t="s">
        <v>19906</v>
      </c>
      <c r="T10284" t="s">
        <v>19899</v>
      </c>
    </row>
    <row r="10285" spans="2:20" x14ac:dyDescent="0.25">
      <c r="B10285" t="s">
        <v>2709</v>
      </c>
      <c r="C10285">
        <v>91141000</v>
      </c>
      <c r="E10285" t="s">
        <v>19447</v>
      </c>
      <c r="F10285">
        <v>18</v>
      </c>
      <c r="G10285">
        <v>20</v>
      </c>
      <c r="H10285">
        <v>7.6</v>
      </c>
      <c r="I10285">
        <v>1.65</v>
      </c>
      <c r="J10285">
        <v>18</v>
      </c>
      <c r="L10285" t="s">
        <v>2709</v>
      </c>
      <c r="M10285">
        <v>91141000</v>
      </c>
      <c r="O10285" t="s">
        <v>19447</v>
      </c>
      <c r="P10285" t="s">
        <v>19899</v>
      </c>
      <c r="Q10285" t="s">
        <v>19934</v>
      </c>
      <c r="R10285" t="s">
        <v>19905</v>
      </c>
      <c r="S10285" t="s">
        <v>19906</v>
      </c>
      <c r="T10285" t="s">
        <v>19899</v>
      </c>
    </row>
    <row r="10286" spans="2:20" x14ac:dyDescent="0.25">
      <c r="B10286" t="s">
        <v>2709</v>
      </c>
      <c r="C10286">
        <v>91143000</v>
      </c>
      <c r="E10286" t="s">
        <v>19447</v>
      </c>
      <c r="F10286">
        <v>18</v>
      </c>
      <c r="G10286">
        <v>20</v>
      </c>
      <c r="H10286">
        <v>7.6</v>
      </c>
      <c r="I10286">
        <v>1.65</v>
      </c>
      <c r="J10286">
        <v>18</v>
      </c>
      <c r="L10286" t="s">
        <v>2709</v>
      </c>
      <c r="M10286">
        <v>91143000</v>
      </c>
      <c r="O10286" t="s">
        <v>19447</v>
      </c>
      <c r="P10286" t="s">
        <v>19899</v>
      </c>
      <c r="Q10286" t="s">
        <v>19934</v>
      </c>
      <c r="R10286" t="s">
        <v>19905</v>
      </c>
      <c r="S10286" t="s">
        <v>19906</v>
      </c>
      <c r="T10286" t="s">
        <v>19899</v>
      </c>
    </row>
    <row r="10287" spans="2:20" x14ac:dyDescent="0.25">
      <c r="B10287" t="s">
        <v>2709</v>
      </c>
      <c r="C10287">
        <v>91144000</v>
      </c>
      <c r="E10287" t="s">
        <v>19447</v>
      </c>
      <c r="F10287">
        <v>18</v>
      </c>
      <c r="G10287">
        <v>20</v>
      </c>
      <c r="H10287">
        <v>7.6</v>
      </c>
      <c r="I10287">
        <v>1.65</v>
      </c>
      <c r="J10287">
        <v>18</v>
      </c>
      <c r="L10287" t="s">
        <v>2709</v>
      </c>
      <c r="M10287">
        <v>91144000</v>
      </c>
      <c r="O10287" t="s">
        <v>19447</v>
      </c>
      <c r="P10287" t="s">
        <v>19899</v>
      </c>
      <c r="Q10287" t="s">
        <v>19934</v>
      </c>
      <c r="R10287" t="s">
        <v>19905</v>
      </c>
      <c r="S10287" t="s">
        <v>19906</v>
      </c>
      <c r="T10287" t="s">
        <v>19899</v>
      </c>
    </row>
    <row r="10288" spans="2:20" x14ac:dyDescent="0.25">
      <c r="B10288" t="s">
        <v>2709</v>
      </c>
      <c r="C10288">
        <v>91149010</v>
      </c>
      <c r="E10288" t="s">
        <v>19447</v>
      </c>
      <c r="F10288">
        <v>18</v>
      </c>
      <c r="G10288">
        <v>20</v>
      </c>
      <c r="H10288">
        <v>7.6</v>
      </c>
      <c r="I10288">
        <v>1.65</v>
      </c>
      <c r="J10288">
        <v>18</v>
      </c>
      <c r="L10288" t="s">
        <v>2709</v>
      </c>
      <c r="M10288">
        <v>91149010</v>
      </c>
      <c r="O10288" t="s">
        <v>19447</v>
      </c>
      <c r="P10288" t="s">
        <v>19899</v>
      </c>
      <c r="Q10288" t="s">
        <v>19934</v>
      </c>
      <c r="R10288" t="s">
        <v>19905</v>
      </c>
      <c r="S10288" t="s">
        <v>19906</v>
      </c>
      <c r="T10288" t="s">
        <v>19899</v>
      </c>
    </row>
    <row r="10289" spans="2:20" x14ac:dyDescent="0.25">
      <c r="B10289" t="s">
        <v>2709</v>
      </c>
      <c r="C10289">
        <v>91149020</v>
      </c>
      <c r="E10289" t="s">
        <v>19447</v>
      </c>
      <c r="F10289">
        <v>18</v>
      </c>
      <c r="G10289">
        <v>20</v>
      </c>
      <c r="H10289">
        <v>7.6</v>
      </c>
      <c r="I10289">
        <v>1.65</v>
      </c>
      <c r="J10289">
        <v>18</v>
      </c>
      <c r="L10289" t="s">
        <v>2709</v>
      </c>
      <c r="M10289">
        <v>91149020</v>
      </c>
      <c r="O10289" t="s">
        <v>19447</v>
      </c>
      <c r="P10289" t="s">
        <v>19899</v>
      </c>
      <c r="Q10289" t="s">
        <v>19934</v>
      </c>
      <c r="R10289" t="s">
        <v>19905</v>
      </c>
      <c r="S10289" t="s">
        <v>19906</v>
      </c>
      <c r="T10289" t="s">
        <v>19899</v>
      </c>
    </row>
    <row r="10290" spans="2:20" x14ac:dyDescent="0.25">
      <c r="B10290" t="s">
        <v>2709</v>
      </c>
      <c r="C10290">
        <v>91149030</v>
      </c>
      <c r="E10290" t="s">
        <v>19447</v>
      </c>
      <c r="F10290">
        <v>18</v>
      </c>
      <c r="G10290">
        <v>20</v>
      </c>
      <c r="H10290">
        <v>7.6</v>
      </c>
      <c r="I10290">
        <v>1.65</v>
      </c>
      <c r="J10290">
        <v>18</v>
      </c>
      <c r="L10290" t="s">
        <v>2709</v>
      </c>
      <c r="M10290">
        <v>91149030</v>
      </c>
      <c r="O10290" t="s">
        <v>19447</v>
      </c>
      <c r="P10290" t="s">
        <v>19899</v>
      </c>
      <c r="Q10290" t="s">
        <v>19934</v>
      </c>
      <c r="R10290" t="s">
        <v>19905</v>
      </c>
      <c r="S10290" t="s">
        <v>19906</v>
      </c>
      <c r="T10290" t="s">
        <v>19899</v>
      </c>
    </row>
    <row r="10291" spans="2:20" x14ac:dyDescent="0.25">
      <c r="B10291" t="s">
        <v>2709</v>
      </c>
      <c r="C10291">
        <v>91149040</v>
      </c>
      <c r="E10291" t="s">
        <v>19447</v>
      </c>
      <c r="F10291">
        <v>18</v>
      </c>
      <c r="G10291">
        <v>20</v>
      </c>
      <c r="H10291">
        <v>7.6</v>
      </c>
      <c r="I10291">
        <v>1.65</v>
      </c>
      <c r="J10291">
        <v>18</v>
      </c>
      <c r="L10291" t="s">
        <v>2709</v>
      </c>
      <c r="M10291">
        <v>91149040</v>
      </c>
      <c r="O10291" t="s">
        <v>19447</v>
      </c>
      <c r="P10291" t="s">
        <v>19899</v>
      </c>
      <c r="Q10291" t="s">
        <v>19934</v>
      </c>
      <c r="R10291" t="s">
        <v>19905</v>
      </c>
      <c r="S10291" t="s">
        <v>19906</v>
      </c>
      <c r="T10291" t="s">
        <v>19899</v>
      </c>
    </row>
    <row r="10292" spans="2:20" x14ac:dyDescent="0.25">
      <c r="B10292" t="s">
        <v>2709</v>
      </c>
      <c r="C10292">
        <v>91149050</v>
      </c>
      <c r="E10292" t="s">
        <v>19447</v>
      </c>
      <c r="F10292">
        <v>18</v>
      </c>
      <c r="G10292">
        <v>20</v>
      </c>
      <c r="H10292">
        <v>7.6</v>
      </c>
      <c r="I10292">
        <v>1.65</v>
      </c>
      <c r="J10292">
        <v>18</v>
      </c>
      <c r="L10292" t="s">
        <v>2709</v>
      </c>
      <c r="M10292">
        <v>91149050</v>
      </c>
      <c r="O10292" t="s">
        <v>19447</v>
      </c>
      <c r="P10292" t="s">
        <v>19899</v>
      </c>
      <c r="Q10292" t="s">
        <v>19934</v>
      </c>
      <c r="R10292" t="s">
        <v>19905</v>
      </c>
      <c r="S10292" t="s">
        <v>19906</v>
      </c>
      <c r="T10292" t="s">
        <v>19899</v>
      </c>
    </row>
    <row r="10293" spans="2:20" x14ac:dyDescent="0.25">
      <c r="B10293" t="s">
        <v>2709</v>
      </c>
      <c r="C10293">
        <v>91149060</v>
      </c>
      <c r="E10293" t="s">
        <v>19447</v>
      </c>
      <c r="F10293">
        <v>18</v>
      </c>
      <c r="G10293">
        <v>20</v>
      </c>
      <c r="H10293">
        <v>7.6</v>
      </c>
      <c r="I10293">
        <v>1.65</v>
      </c>
      <c r="J10293">
        <v>18</v>
      </c>
      <c r="L10293" t="s">
        <v>2709</v>
      </c>
      <c r="M10293">
        <v>91149060</v>
      </c>
      <c r="O10293" t="s">
        <v>19447</v>
      </c>
      <c r="P10293" t="s">
        <v>19899</v>
      </c>
      <c r="Q10293" t="s">
        <v>19934</v>
      </c>
      <c r="R10293" t="s">
        <v>19905</v>
      </c>
      <c r="S10293" t="s">
        <v>19906</v>
      </c>
      <c r="T10293" t="s">
        <v>19899</v>
      </c>
    </row>
    <row r="10294" spans="2:20" x14ac:dyDescent="0.25">
      <c r="B10294" t="s">
        <v>2709</v>
      </c>
      <c r="C10294">
        <v>91149070</v>
      </c>
      <c r="E10294" t="s">
        <v>19447</v>
      </c>
      <c r="F10294">
        <v>18</v>
      </c>
      <c r="G10294">
        <v>20</v>
      </c>
      <c r="H10294">
        <v>7.6</v>
      </c>
      <c r="I10294">
        <v>1.65</v>
      </c>
      <c r="J10294">
        <v>18</v>
      </c>
      <c r="L10294" t="s">
        <v>2709</v>
      </c>
      <c r="M10294">
        <v>91149070</v>
      </c>
      <c r="O10294" t="s">
        <v>19447</v>
      </c>
      <c r="P10294" t="s">
        <v>19899</v>
      </c>
      <c r="Q10294" t="s">
        <v>19934</v>
      </c>
      <c r="R10294" t="s">
        <v>19905</v>
      </c>
      <c r="S10294" t="s">
        <v>19906</v>
      </c>
      <c r="T10294" t="s">
        <v>19899</v>
      </c>
    </row>
    <row r="10295" spans="2:20" x14ac:dyDescent="0.25">
      <c r="B10295" t="s">
        <v>2709</v>
      </c>
      <c r="C10295">
        <v>91149090</v>
      </c>
      <c r="E10295" t="s">
        <v>19447</v>
      </c>
      <c r="F10295">
        <v>18</v>
      </c>
      <c r="G10295">
        <v>20</v>
      </c>
      <c r="H10295">
        <v>7.6</v>
      </c>
      <c r="I10295">
        <v>1.65</v>
      </c>
      <c r="J10295">
        <v>18</v>
      </c>
      <c r="L10295" t="s">
        <v>2709</v>
      </c>
      <c r="M10295">
        <v>91149090</v>
      </c>
      <c r="O10295" t="s">
        <v>19447</v>
      </c>
      <c r="P10295" t="s">
        <v>19899</v>
      </c>
      <c r="Q10295" t="s">
        <v>19934</v>
      </c>
      <c r="R10295" t="s">
        <v>19905</v>
      </c>
      <c r="S10295" t="s">
        <v>19906</v>
      </c>
      <c r="T10295" t="s">
        <v>19899</v>
      </c>
    </row>
    <row r="10296" spans="2:20" x14ac:dyDescent="0.25">
      <c r="B10296" t="s">
        <v>2709</v>
      </c>
      <c r="C10296">
        <v>92011000</v>
      </c>
      <c r="E10296">
        <v>42.68</v>
      </c>
      <c r="F10296">
        <v>18</v>
      </c>
      <c r="G10296">
        <v>0</v>
      </c>
      <c r="H10296">
        <v>7.6</v>
      </c>
      <c r="I10296">
        <v>1.65</v>
      </c>
      <c r="J10296">
        <v>18</v>
      </c>
      <c r="L10296" t="s">
        <v>2709</v>
      </c>
      <c r="M10296">
        <v>92011000</v>
      </c>
      <c r="O10296" t="s">
        <v>20215</v>
      </c>
      <c r="P10296" t="s">
        <v>19899</v>
      </c>
      <c r="Q10296" t="s">
        <v>19900</v>
      </c>
      <c r="R10296" t="s">
        <v>19905</v>
      </c>
      <c r="S10296" t="s">
        <v>19906</v>
      </c>
      <c r="T10296" t="s">
        <v>19899</v>
      </c>
    </row>
    <row r="10297" spans="2:20" x14ac:dyDescent="0.25">
      <c r="B10297" t="s">
        <v>2709</v>
      </c>
      <c r="C10297">
        <v>92012000</v>
      </c>
      <c r="E10297">
        <v>42.68</v>
      </c>
      <c r="F10297">
        <v>18</v>
      </c>
      <c r="G10297">
        <v>0</v>
      </c>
      <c r="H10297">
        <v>7.6</v>
      </c>
      <c r="I10297">
        <v>1.65</v>
      </c>
      <c r="J10297">
        <v>18</v>
      </c>
      <c r="L10297" t="s">
        <v>2709</v>
      </c>
      <c r="M10297">
        <v>92012000</v>
      </c>
      <c r="O10297" t="s">
        <v>20215</v>
      </c>
      <c r="P10297" t="s">
        <v>19899</v>
      </c>
      <c r="Q10297" t="s">
        <v>19900</v>
      </c>
      <c r="R10297" t="s">
        <v>19905</v>
      </c>
      <c r="S10297" t="s">
        <v>19906</v>
      </c>
      <c r="T10297" t="s">
        <v>19899</v>
      </c>
    </row>
    <row r="10298" spans="2:20" x14ac:dyDescent="0.25">
      <c r="B10298" t="s">
        <v>2709</v>
      </c>
      <c r="C10298">
        <v>92019000</v>
      </c>
      <c r="E10298">
        <v>42.68</v>
      </c>
      <c r="F10298">
        <v>18</v>
      </c>
      <c r="G10298">
        <v>0</v>
      </c>
      <c r="H10298">
        <v>7.6</v>
      </c>
      <c r="I10298">
        <v>1.65</v>
      </c>
      <c r="J10298">
        <v>18</v>
      </c>
      <c r="L10298" t="s">
        <v>2709</v>
      </c>
      <c r="M10298">
        <v>92019000</v>
      </c>
      <c r="O10298" t="s">
        <v>20215</v>
      </c>
      <c r="P10298" t="s">
        <v>19899</v>
      </c>
      <c r="Q10298" t="s">
        <v>19900</v>
      </c>
      <c r="R10298" t="s">
        <v>19905</v>
      </c>
      <c r="S10298" t="s">
        <v>19906</v>
      </c>
      <c r="T10298" t="s">
        <v>19899</v>
      </c>
    </row>
    <row r="10299" spans="2:20" x14ac:dyDescent="0.25">
      <c r="B10299" t="s">
        <v>2709</v>
      </c>
      <c r="C10299">
        <v>92021000</v>
      </c>
      <c r="E10299">
        <v>62.67</v>
      </c>
      <c r="F10299">
        <v>18</v>
      </c>
      <c r="G10299">
        <v>0</v>
      </c>
      <c r="H10299">
        <v>7.6</v>
      </c>
      <c r="I10299">
        <v>1.65</v>
      </c>
      <c r="J10299">
        <v>18</v>
      </c>
      <c r="L10299" t="s">
        <v>2709</v>
      </c>
      <c r="M10299">
        <v>92021000</v>
      </c>
      <c r="O10299" t="s">
        <v>20216</v>
      </c>
      <c r="P10299" t="s">
        <v>19899</v>
      </c>
      <c r="Q10299" t="s">
        <v>19900</v>
      </c>
      <c r="R10299" t="s">
        <v>19905</v>
      </c>
      <c r="S10299" t="s">
        <v>19906</v>
      </c>
      <c r="T10299" t="s">
        <v>19899</v>
      </c>
    </row>
    <row r="10300" spans="2:20" x14ac:dyDescent="0.25">
      <c r="B10300" t="s">
        <v>2709</v>
      </c>
      <c r="C10300">
        <v>92029000</v>
      </c>
      <c r="E10300">
        <v>62.67</v>
      </c>
      <c r="F10300">
        <v>18</v>
      </c>
      <c r="G10300">
        <v>0</v>
      </c>
      <c r="H10300">
        <v>7.6</v>
      </c>
      <c r="I10300">
        <v>1.65</v>
      </c>
      <c r="J10300">
        <v>18</v>
      </c>
      <c r="L10300" t="s">
        <v>2709</v>
      </c>
      <c r="M10300">
        <v>92029000</v>
      </c>
      <c r="O10300" t="s">
        <v>20216</v>
      </c>
      <c r="P10300" t="s">
        <v>19899</v>
      </c>
      <c r="Q10300" t="s">
        <v>19900</v>
      </c>
      <c r="R10300" t="s">
        <v>19905</v>
      </c>
      <c r="S10300" t="s">
        <v>19906</v>
      </c>
      <c r="T10300" t="s">
        <v>19899</v>
      </c>
    </row>
    <row r="10301" spans="2:20" x14ac:dyDescent="0.25">
      <c r="B10301" t="s">
        <v>2709</v>
      </c>
      <c r="C10301">
        <v>92051000</v>
      </c>
      <c r="E10301">
        <v>60.72</v>
      </c>
      <c r="F10301">
        <v>18</v>
      </c>
      <c r="G10301">
        <v>0</v>
      </c>
      <c r="H10301">
        <v>7.6</v>
      </c>
      <c r="I10301">
        <v>1.65</v>
      </c>
      <c r="J10301">
        <v>18</v>
      </c>
      <c r="L10301" t="s">
        <v>2709</v>
      </c>
      <c r="M10301">
        <v>92051000</v>
      </c>
      <c r="O10301" t="s">
        <v>20217</v>
      </c>
      <c r="P10301" t="s">
        <v>19899</v>
      </c>
      <c r="Q10301" t="s">
        <v>19900</v>
      </c>
      <c r="R10301" t="s">
        <v>19905</v>
      </c>
      <c r="S10301" t="s">
        <v>19906</v>
      </c>
      <c r="T10301" t="s">
        <v>19899</v>
      </c>
    </row>
    <row r="10302" spans="2:20" x14ac:dyDescent="0.25">
      <c r="B10302" t="s">
        <v>2709</v>
      </c>
      <c r="C10302">
        <v>92059000</v>
      </c>
      <c r="E10302">
        <v>60.72</v>
      </c>
      <c r="F10302">
        <v>18</v>
      </c>
      <c r="G10302">
        <v>0</v>
      </c>
      <c r="H10302">
        <v>7.6</v>
      </c>
      <c r="I10302">
        <v>1.65</v>
      </c>
      <c r="J10302">
        <v>18</v>
      </c>
      <c r="L10302" t="s">
        <v>2709</v>
      </c>
      <c r="M10302">
        <v>92059000</v>
      </c>
      <c r="O10302" t="s">
        <v>20217</v>
      </c>
      <c r="P10302" t="s">
        <v>19899</v>
      </c>
      <c r="Q10302" t="s">
        <v>19900</v>
      </c>
      <c r="R10302" t="s">
        <v>19905</v>
      </c>
      <c r="S10302" t="s">
        <v>19906</v>
      </c>
      <c r="T10302" t="s">
        <v>19899</v>
      </c>
    </row>
    <row r="10303" spans="2:20" x14ac:dyDescent="0.25">
      <c r="B10303" t="s">
        <v>2709</v>
      </c>
      <c r="C10303">
        <v>92060000</v>
      </c>
      <c r="E10303">
        <v>58.08</v>
      </c>
      <c r="F10303">
        <v>18</v>
      </c>
      <c r="G10303">
        <v>0</v>
      </c>
      <c r="H10303">
        <v>7.6</v>
      </c>
      <c r="I10303">
        <v>1.65</v>
      </c>
      <c r="J10303">
        <v>18</v>
      </c>
      <c r="L10303" t="s">
        <v>2709</v>
      </c>
      <c r="M10303">
        <v>92060000</v>
      </c>
      <c r="O10303" t="s">
        <v>20218</v>
      </c>
      <c r="P10303" t="s">
        <v>19899</v>
      </c>
      <c r="Q10303" t="s">
        <v>19900</v>
      </c>
      <c r="R10303" t="s">
        <v>19905</v>
      </c>
      <c r="S10303" t="s">
        <v>19906</v>
      </c>
      <c r="T10303" t="s">
        <v>19899</v>
      </c>
    </row>
    <row r="10304" spans="2:20" x14ac:dyDescent="0.25">
      <c r="B10304" t="s">
        <v>2709</v>
      </c>
      <c r="C10304">
        <v>92071010</v>
      </c>
      <c r="E10304">
        <v>60.23</v>
      </c>
      <c r="F10304">
        <v>18</v>
      </c>
      <c r="G10304">
        <v>0</v>
      </c>
      <c r="H10304">
        <v>7.6</v>
      </c>
      <c r="I10304">
        <v>1.65</v>
      </c>
      <c r="J10304">
        <v>10</v>
      </c>
      <c r="L10304" t="s">
        <v>2709</v>
      </c>
      <c r="M10304">
        <v>92071010</v>
      </c>
      <c r="O10304" t="s">
        <v>20219</v>
      </c>
      <c r="P10304" t="s">
        <v>19899</v>
      </c>
      <c r="Q10304" t="s">
        <v>19900</v>
      </c>
      <c r="R10304" t="s">
        <v>19905</v>
      </c>
      <c r="S10304" t="s">
        <v>19906</v>
      </c>
      <c r="T10304" t="s">
        <v>19904</v>
      </c>
    </row>
    <row r="10305" spans="2:20" x14ac:dyDescent="0.25">
      <c r="B10305" t="s">
        <v>2709</v>
      </c>
      <c r="C10305">
        <v>92071090</v>
      </c>
      <c r="E10305">
        <v>60.23</v>
      </c>
      <c r="F10305">
        <v>18</v>
      </c>
      <c r="G10305">
        <v>0</v>
      </c>
      <c r="H10305">
        <v>7.6</v>
      </c>
      <c r="I10305">
        <v>1.65</v>
      </c>
      <c r="J10305">
        <v>10</v>
      </c>
      <c r="L10305" t="s">
        <v>2709</v>
      </c>
      <c r="M10305">
        <v>92071090</v>
      </c>
      <c r="O10305" t="s">
        <v>20219</v>
      </c>
      <c r="P10305" t="s">
        <v>19899</v>
      </c>
      <c r="Q10305" t="s">
        <v>19900</v>
      </c>
      <c r="R10305" t="s">
        <v>19905</v>
      </c>
      <c r="S10305" t="s">
        <v>19906</v>
      </c>
      <c r="T10305" t="s">
        <v>19904</v>
      </c>
    </row>
    <row r="10306" spans="2:20" x14ac:dyDescent="0.25">
      <c r="B10306" t="s">
        <v>2709</v>
      </c>
      <c r="C10306">
        <v>92079010</v>
      </c>
      <c r="E10306">
        <v>60.23</v>
      </c>
      <c r="F10306">
        <v>18</v>
      </c>
      <c r="G10306">
        <v>0</v>
      </c>
      <c r="H10306">
        <v>7.6</v>
      </c>
      <c r="I10306">
        <v>1.65</v>
      </c>
      <c r="J10306">
        <v>18</v>
      </c>
      <c r="L10306" t="s">
        <v>2709</v>
      </c>
      <c r="M10306">
        <v>92079010</v>
      </c>
      <c r="O10306" t="s">
        <v>20219</v>
      </c>
      <c r="P10306" t="s">
        <v>19899</v>
      </c>
      <c r="Q10306" t="s">
        <v>19900</v>
      </c>
      <c r="R10306" t="s">
        <v>19905</v>
      </c>
      <c r="S10306" t="s">
        <v>19906</v>
      </c>
      <c r="T10306" t="s">
        <v>19899</v>
      </c>
    </row>
    <row r="10307" spans="2:20" x14ac:dyDescent="0.25">
      <c r="B10307" t="s">
        <v>2709</v>
      </c>
      <c r="C10307">
        <v>92079090</v>
      </c>
      <c r="E10307">
        <v>60.23</v>
      </c>
      <c r="F10307">
        <v>18</v>
      </c>
      <c r="G10307">
        <v>0</v>
      </c>
      <c r="H10307">
        <v>7.6</v>
      </c>
      <c r="I10307">
        <v>1.65</v>
      </c>
      <c r="J10307">
        <v>18</v>
      </c>
      <c r="L10307" t="s">
        <v>2709</v>
      </c>
      <c r="M10307">
        <v>92079090</v>
      </c>
      <c r="O10307" t="s">
        <v>20219</v>
      </c>
      <c r="P10307" t="s">
        <v>19899</v>
      </c>
      <c r="Q10307" t="s">
        <v>19900</v>
      </c>
      <c r="R10307" t="s">
        <v>19905</v>
      </c>
      <c r="S10307" t="s">
        <v>19906</v>
      </c>
      <c r="T10307" t="s">
        <v>19899</v>
      </c>
    </row>
    <row r="10308" spans="2:20" x14ac:dyDescent="0.25">
      <c r="B10308" t="s">
        <v>2709</v>
      </c>
      <c r="C10308">
        <v>92081000</v>
      </c>
      <c r="E10308">
        <v>42.68</v>
      </c>
      <c r="F10308">
        <v>18</v>
      </c>
      <c r="G10308">
        <v>0</v>
      </c>
      <c r="H10308">
        <v>7.6</v>
      </c>
      <c r="I10308">
        <v>1.65</v>
      </c>
      <c r="J10308">
        <v>18</v>
      </c>
      <c r="L10308" t="s">
        <v>2709</v>
      </c>
      <c r="M10308">
        <v>92081000</v>
      </c>
      <c r="O10308" t="s">
        <v>20215</v>
      </c>
      <c r="P10308" t="s">
        <v>19899</v>
      </c>
      <c r="Q10308" t="s">
        <v>19900</v>
      </c>
      <c r="R10308" t="s">
        <v>19905</v>
      </c>
      <c r="S10308" t="s">
        <v>19906</v>
      </c>
      <c r="T10308" t="s">
        <v>19899</v>
      </c>
    </row>
    <row r="10309" spans="2:20" x14ac:dyDescent="0.25">
      <c r="B10309" t="s">
        <v>2709</v>
      </c>
      <c r="C10309">
        <v>92089000</v>
      </c>
      <c r="E10309">
        <v>42.68</v>
      </c>
      <c r="F10309">
        <v>18</v>
      </c>
      <c r="G10309">
        <v>0</v>
      </c>
      <c r="H10309">
        <v>7.6</v>
      </c>
      <c r="I10309">
        <v>1.65</v>
      </c>
      <c r="J10309">
        <v>18</v>
      </c>
      <c r="L10309" t="s">
        <v>2709</v>
      </c>
      <c r="M10309">
        <v>92089000</v>
      </c>
      <c r="O10309" t="s">
        <v>20215</v>
      </c>
      <c r="P10309" t="s">
        <v>19899</v>
      </c>
      <c r="Q10309" t="s">
        <v>19900</v>
      </c>
      <c r="R10309" t="s">
        <v>19905</v>
      </c>
      <c r="S10309" t="s">
        <v>19906</v>
      </c>
      <c r="T10309" t="s">
        <v>19899</v>
      </c>
    </row>
    <row r="10310" spans="2:20" x14ac:dyDescent="0.25">
      <c r="B10310" t="s">
        <v>2709</v>
      </c>
      <c r="C10310">
        <v>92093000</v>
      </c>
      <c r="E10310">
        <v>63.17</v>
      </c>
      <c r="F10310">
        <v>18</v>
      </c>
      <c r="G10310">
        <v>0</v>
      </c>
      <c r="H10310">
        <v>7.6</v>
      </c>
      <c r="I10310">
        <v>1.65</v>
      </c>
      <c r="J10310">
        <v>16</v>
      </c>
      <c r="L10310" t="s">
        <v>2709</v>
      </c>
      <c r="M10310">
        <v>92093000</v>
      </c>
      <c r="O10310" t="s">
        <v>20220</v>
      </c>
      <c r="P10310" t="s">
        <v>19899</v>
      </c>
      <c r="Q10310" t="s">
        <v>19900</v>
      </c>
      <c r="R10310" t="s">
        <v>19905</v>
      </c>
      <c r="S10310" t="s">
        <v>19906</v>
      </c>
      <c r="T10310" t="s">
        <v>19913</v>
      </c>
    </row>
    <row r="10311" spans="2:20" x14ac:dyDescent="0.25">
      <c r="B10311" t="s">
        <v>2709</v>
      </c>
      <c r="C10311">
        <v>92099100</v>
      </c>
      <c r="E10311">
        <v>63.17</v>
      </c>
      <c r="F10311">
        <v>18</v>
      </c>
      <c r="G10311">
        <v>0</v>
      </c>
      <c r="H10311">
        <v>7.6</v>
      </c>
      <c r="I10311">
        <v>1.65</v>
      </c>
      <c r="J10311">
        <v>16</v>
      </c>
      <c r="L10311" t="s">
        <v>2709</v>
      </c>
      <c r="M10311">
        <v>92099100</v>
      </c>
      <c r="O10311" t="s">
        <v>20220</v>
      </c>
      <c r="P10311" t="s">
        <v>19899</v>
      </c>
      <c r="Q10311" t="s">
        <v>19900</v>
      </c>
      <c r="R10311" t="s">
        <v>19905</v>
      </c>
      <c r="S10311" t="s">
        <v>19906</v>
      </c>
      <c r="T10311" t="s">
        <v>19913</v>
      </c>
    </row>
    <row r="10312" spans="2:20" x14ac:dyDescent="0.25">
      <c r="B10312" t="s">
        <v>2709</v>
      </c>
      <c r="C10312">
        <v>92099200</v>
      </c>
      <c r="E10312">
        <v>63.17</v>
      </c>
      <c r="F10312">
        <v>18</v>
      </c>
      <c r="G10312">
        <v>0</v>
      </c>
      <c r="H10312">
        <v>7.6</v>
      </c>
      <c r="I10312">
        <v>1.65</v>
      </c>
      <c r="J10312">
        <v>16</v>
      </c>
      <c r="L10312" t="s">
        <v>2709</v>
      </c>
      <c r="M10312">
        <v>92099200</v>
      </c>
      <c r="O10312" t="s">
        <v>20220</v>
      </c>
      <c r="P10312" t="s">
        <v>19899</v>
      </c>
      <c r="Q10312" t="s">
        <v>19900</v>
      </c>
      <c r="R10312" t="s">
        <v>19905</v>
      </c>
      <c r="S10312" t="s">
        <v>19906</v>
      </c>
      <c r="T10312" t="s">
        <v>19913</v>
      </c>
    </row>
    <row r="10313" spans="2:20" x14ac:dyDescent="0.25">
      <c r="B10313" t="s">
        <v>2709</v>
      </c>
      <c r="C10313">
        <v>92099400</v>
      </c>
      <c r="E10313">
        <v>63.17</v>
      </c>
      <c r="F10313">
        <v>18</v>
      </c>
      <c r="G10313">
        <v>0</v>
      </c>
      <c r="H10313">
        <v>7.6</v>
      </c>
      <c r="I10313">
        <v>1.65</v>
      </c>
      <c r="J10313">
        <v>16</v>
      </c>
      <c r="L10313" t="s">
        <v>2709</v>
      </c>
      <c r="M10313">
        <v>92099400</v>
      </c>
      <c r="O10313" t="s">
        <v>20220</v>
      </c>
      <c r="P10313" t="s">
        <v>19899</v>
      </c>
      <c r="Q10313" t="s">
        <v>19900</v>
      </c>
      <c r="R10313" t="s">
        <v>19905</v>
      </c>
      <c r="S10313" t="s">
        <v>19906</v>
      </c>
      <c r="T10313" t="s">
        <v>19913</v>
      </c>
    </row>
    <row r="10314" spans="2:20" x14ac:dyDescent="0.25">
      <c r="B10314" t="s">
        <v>2709</v>
      </c>
      <c r="C10314">
        <v>92099900</v>
      </c>
      <c r="E10314">
        <v>63.17</v>
      </c>
      <c r="F10314">
        <v>18</v>
      </c>
      <c r="G10314">
        <v>0</v>
      </c>
      <c r="H10314">
        <v>7.6</v>
      </c>
      <c r="I10314">
        <v>1.65</v>
      </c>
      <c r="J10314">
        <v>16</v>
      </c>
      <c r="L10314" t="s">
        <v>2709</v>
      </c>
      <c r="M10314">
        <v>92099900</v>
      </c>
      <c r="O10314" t="s">
        <v>20220</v>
      </c>
      <c r="P10314" t="s">
        <v>19899</v>
      </c>
      <c r="Q10314" t="s">
        <v>19900</v>
      </c>
      <c r="R10314" t="s">
        <v>19905</v>
      </c>
      <c r="S10314" t="s">
        <v>19906</v>
      </c>
      <c r="T10314" t="s">
        <v>19913</v>
      </c>
    </row>
    <row r="10315" spans="2:20" x14ac:dyDescent="0.25">
      <c r="B10315" t="s">
        <v>2709</v>
      </c>
      <c r="C10315">
        <v>93011000</v>
      </c>
      <c r="E10315" t="s">
        <v>19447</v>
      </c>
      <c r="F10315">
        <v>25</v>
      </c>
      <c r="G10315">
        <v>0</v>
      </c>
      <c r="H10315">
        <v>7.6</v>
      </c>
      <c r="I10315">
        <v>1.65</v>
      </c>
      <c r="J10315">
        <v>20</v>
      </c>
      <c r="L10315" t="s">
        <v>2709</v>
      </c>
      <c r="M10315">
        <v>93011000</v>
      </c>
      <c r="O10315" t="s">
        <v>19447</v>
      </c>
      <c r="P10315" t="s">
        <v>19982</v>
      </c>
      <c r="Q10315" t="s">
        <v>19900</v>
      </c>
      <c r="R10315" t="s">
        <v>19905</v>
      </c>
      <c r="S10315" t="s">
        <v>19906</v>
      </c>
      <c r="T10315" t="s">
        <v>19934</v>
      </c>
    </row>
    <row r="10316" spans="2:20" x14ac:dyDescent="0.25">
      <c r="B10316" t="s">
        <v>2709</v>
      </c>
      <c r="C10316">
        <v>93012000</v>
      </c>
      <c r="E10316" t="s">
        <v>19447</v>
      </c>
      <c r="F10316">
        <v>25</v>
      </c>
      <c r="G10316">
        <v>0</v>
      </c>
      <c r="H10316">
        <v>7.6</v>
      </c>
      <c r="I10316">
        <v>1.65</v>
      </c>
      <c r="J10316">
        <v>20</v>
      </c>
      <c r="L10316" t="s">
        <v>2709</v>
      </c>
      <c r="M10316">
        <v>93012000</v>
      </c>
      <c r="O10316" t="s">
        <v>19447</v>
      </c>
      <c r="P10316" t="s">
        <v>19982</v>
      </c>
      <c r="Q10316" t="s">
        <v>19900</v>
      </c>
      <c r="R10316" t="s">
        <v>19905</v>
      </c>
      <c r="S10316" t="s">
        <v>19906</v>
      </c>
      <c r="T10316" t="s">
        <v>19934</v>
      </c>
    </row>
    <row r="10317" spans="2:20" x14ac:dyDescent="0.25">
      <c r="B10317" t="s">
        <v>2709</v>
      </c>
      <c r="C10317">
        <v>93019000</v>
      </c>
      <c r="E10317" t="s">
        <v>19447</v>
      </c>
      <c r="F10317">
        <v>25</v>
      </c>
      <c r="G10317">
        <v>0</v>
      </c>
      <c r="H10317">
        <v>7.6</v>
      </c>
      <c r="I10317">
        <v>1.65</v>
      </c>
      <c r="J10317">
        <v>20</v>
      </c>
      <c r="L10317" t="s">
        <v>2709</v>
      </c>
      <c r="M10317">
        <v>93019000</v>
      </c>
      <c r="O10317" t="s">
        <v>19447</v>
      </c>
      <c r="P10317" t="s">
        <v>19982</v>
      </c>
      <c r="Q10317" t="s">
        <v>19900</v>
      </c>
      <c r="R10317" t="s">
        <v>19905</v>
      </c>
      <c r="S10317" t="s">
        <v>19906</v>
      </c>
      <c r="T10317" t="s">
        <v>19934</v>
      </c>
    </row>
    <row r="10318" spans="2:20" x14ac:dyDescent="0.25">
      <c r="B10318" t="s">
        <v>2709</v>
      </c>
      <c r="C10318">
        <v>93020000</v>
      </c>
      <c r="E10318" t="s">
        <v>19447</v>
      </c>
      <c r="F10318">
        <v>25</v>
      </c>
      <c r="G10318">
        <v>45</v>
      </c>
      <c r="H10318">
        <v>7.6</v>
      </c>
      <c r="I10318">
        <v>1.65</v>
      </c>
      <c r="J10318">
        <v>20</v>
      </c>
      <c r="L10318" t="s">
        <v>2709</v>
      </c>
      <c r="M10318">
        <v>93020000</v>
      </c>
      <c r="O10318" t="s">
        <v>19447</v>
      </c>
      <c r="P10318" t="s">
        <v>19982</v>
      </c>
      <c r="Q10318" t="s">
        <v>19999</v>
      </c>
      <c r="R10318" t="s">
        <v>19905</v>
      </c>
      <c r="S10318" t="s">
        <v>19906</v>
      </c>
      <c r="T10318" t="s">
        <v>19934</v>
      </c>
    </row>
    <row r="10319" spans="2:20" x14ac:dyDescent="0.25">
      <c r="B10319" t="s">
        <v>2709</v>
      </c>
      <c r="C10319">
        <v>93031000</v>
      </c>
      <c r="E10319" t="s">
        <v>19447</v>
      </c>
      <c r="F10319">
        <v>25</v>
      </c>
      <c r="G10319">
        <v>45</v>
      </c>
      <c r="H10319">
        <v>7.6</v>
      </c>
      <c r="I10319">
        <v>1.65</v>
      </c>
      <c r="J10319">
        <v>20</v>
      </c>
      <c r="L10319" t="s">
        <v>2709</v>
      </c>
      <c r="M10319">
        <v>93031000</v>
      </c>
      <c r="O10319" t="s">
        <v>19447</v>
      </c>
      <c r="P10319" t="s">
        <v>19982</v>
      </c>
      <c r="Q10319" t="s">
        <v>19999</v>
      </c>
      <c r="R10319" t="s">
        <v>19905</v>
      </c>
      <c r="S10319" t="s">
        <v>19906</v>
      </c>
      <c r="T10319" t="s">
        <v>19934</v>
      </c>
    </row>
    <row r="10320" spans="2:20" x14ac:dyDescent="0.25">
      <c r="B10320" t="s">
        <v>2709</v>
      </c>
      <c r="C10320">
        <v>93032000</v>
      </c>
      <c r="E10320" t="s">
        <v>19447</v>
      </c>
      <c r="F10320">
        <v>25</v>
      </c>
      <c r="G10320">
        <v>45</v>
      </c>
      <c r="H10320">
        <v>7.6</v>
      </c>
      <c r="I10320">
        <v>1.65</v>
      </c>
      <c r="J10320">
        <v>20</v>
      </c>
      <c r="L10320" t="s">
        <v>2709</v>
      </c>
      <c r="M10320">
        <v>93032000</v>
      </c>
      <c r="O10320" t="s">
        <v>19447</v>
      </c>
      <c r="P10320" t="s">
        <v>19982</v>
      </c>
      <c r="Q10320" t="s">
        <v>19999</v>
      </c>
      <c r="R10320" t="s">
        <v>19905</v>
      </c>
      <c r="S10320" t="s">
        <v>19906</v>
      </c>
      <c r="T10320" t="s">
        <v>19934</v>
      </c>
    </row>
    <row r="10321" spans="2:20" x14ac:dyDescent="0.25">
      <c r="B10321" t="s">
        <v>2709</v>
      </c>
      <c r="C10321">
        <v>93033000</v>
      </c>
      <c r="E10321" t="s">
        <v>19447</v>
      </c>
      <c r="F10321">
        <v>25</v>
      </c>
      <c r="G10321">
        <v>45</v>
      </c>
      <c r="H10321">
        <v>7.6</v>
      </c>
      <c r="I10321">
        <v>1.65</v>
      </c>
      <c r="J10321">
        <v>20</v>
      </c>
      <c r="L10321" t="s">
        <v>2709</v>
      </c>
      <c r="M10321">
        <v>93033000</v>
      </c>
      <c r="O10321" t="s">
        <v>19447</v>
      </c>
      <c r="P10321" t="s">
        <v>19982</v>
      </c>
      <c r="Q10321" t="s">
        <v>19999</v>
      </c>
      <c r="R10321" t="s">
        <v>19905</v>
      </c>
      <c r="S10321" t="s">
        <v>19906</v>
      </c>
      <c r="T10321" t="s">
        <v>19934</v>
      </c>
    </row>
    <row r="10322" spans="2:20" x14ac:dyDescent="0.25">
      <c r="B10322" t="s">
        <v>2709</v>
      </c>
      <c r="C10322">
        <v>93039000</v>
      </c>
      <c r="E10322" t="s">
        <v>19447</v>
      </c>
      <c r="F10322">
        <v>25</v>
      </c>
      <c r="G10322">
        <v>45</v>
      </c>
      <c r="H10322">
        <v>7.6</v>
      </c>
      <c r="I10322">
        <v>1.65</v>
      </c>
      <c r="J10322">
        <v>20</v>
      </c>
      <c r="L10322" t="s">
        <v>2709</v>
      </c>
      <c r="M10322">
        <v>93039000</v>
      </c>
      <c r="O10322" t="s">
        <v>19447</v>
      </c>
      <c r="P10322" t="s">
        <v>19982</v>
      </c>
      <c r="Q10322" t="s">
        <v>19999</v>
      </c>
      <c r="R10322" t="s">
        <v>19905</v>
      </c>
      <c r="S10322" t="s">
        <v>19906</v>
      </c>
      <c r="T10322" t="s">
        <v>19934</v>
      </c>
    </row>
    <row r="10323" spans="2:20" x14ac:dyDescent="0.25">
      <c r="B10323" t="s">
        <v>2709</v>
      </c>
      <c r="C10323">
        <v>93039000</v>
      </c>
      <c r="D10323">
        <v>1</v>
      </c>
      <c r="E10323" t="s">
        <v>19447</v>
      </c>
      <c r="F10323">
        <v>18</v>
      </c>
      <c r="G10323">
        <v>30</v>
      </c>
      <c r="H10323">
        <v>7.6</v>
      </c>
      <c r="I10323">
        <v>1.65</v>
      </c>
      <c r="J10323">
        <v>20</v>
      </c>
      <c r="L10323" t="s">
        <v>2709</v>
      </c>
      <c r="M10323">
        <v>93039000</v>
      </c>
      <c r="N10323">
        <v>1</v>
      </c>
      <c r="O10323" t="s">
        <v>19447</v>
      </c>
      <c r="P10323" t="s">
        <v>19899</v>
      </c>
      <c r="Q10323" t="s">
        <v>19933</v>
      </c>
      <c r="R10323" t="s">
        <v>19905</v>
      </c>
      <c r="S10323" t="s">
        <v>19906</v>
      </c>
      <c r="T10323" t="s">
        <v>19934</v>
      </c>
    </row>
    <row r="10324" spans="2:20" x14ac:dyDescent="0.25">
      <c r="B10324" t="s">
        <v>2709</v>
      </c>
      <c r="C10324">
        <v>93040000</v>
      </c>
      <c r="E10324" t="s">
        <v>19447</v>
      </c>
      <c r="F10324">
        <v>25</v>
      </c>
      <c r="G10324">
        <v>45</v>
      </c>
      <c r="H10324">
        <v>7.6</v>
      </c>
      <c r="I10324">
        <v>1.65</v>
      </c>
      <c r="J10324">
        <v>20</v>
      </c>
      <c r="L10324" t="s">
        <v>2709</v>
      </c>
      <c r="M10324">
        <v>93040000</v>
      </c>
      <c r="O10324" t="s">
        <v>19447</v>
      </c>
      <c r="P10324" t="s">
        <v>19982</v>
      </c>
      <c r="Q10324" t="s">
        <v>19999</v>
      </c>
      <c r="R10324" t="s">
        <v>19905</v>
      </c>
      <c r="S10324" t="s">
        <v>19906</v>
      </c>
      <c r="T10324" t="s">
        <v>19934</v>
      </c>
    </row>
    <row r="10325" spans="2:20" x14ac:dyDescent="0.25">
      <c r="B10325" t="s">
        <v>2709</v>
      </c>
      <c r="C10325">
        <v>93051000</v>
      </c>
      <c r="E10325" t="s">
        <v>19447</v>
      </c>
      <c r="F10325">
        <v>25</v>
      </c>
      <c r="G10325">
        <v>45</v>
      </c>
      <c r="H10325">
        <v>7.6</v>
      </c>
      <c r="I10325">
        <v>1.65</v>
      </c>
      <c r="J10325">
        <v>20</v>
      </c>
      <c r="L10325" t="s">
        <v>2709</v>
      </c>
      <c r="M10325">
        <v>93051000</v>
      </c>
      <c r="O10325" t="s">
        <v>19447</v>
      </c>
      <c r="P10325" t="s">
        <v>19982</v>
      </c>
      <c r="Q10325" t="s">
        <v>19999</v>
      </c>
      <c r="R10325" t="s">
        <v>19905</v>
      </c>
      <c r="S10325" t="s">
        <v>19906</v>
      </c>
      <c r="T10325" t="s">
        <v>19934</v>
      </c>
    </row>
    <row r="10326" spans="2:20" x14ac:dyDescent="0.25">
      <c r="B10326" t="s">
        <v>2709</v>
      </c>
      <c r="C10326">
        <v>93052000</v>
      </c>
      <c r="E10326" t="s">
        <v>19447</v>
      </c>
      <c r="F10326">
        <v>25</v>
      </c>
      <c r="G10326">
        <v>45</v>
      </c>
      <c r="H10326">
        <v>7.6</v>
      </c>
      <c r="I10326">
        <v>1.65</v>
      </c>
      <c r="J10326">
        <v>20</v>
      </c>
      <c r="L10326" t="s">
        <v>2709</v>
      </c>
      <c r="M10326">
        <v>93052000</v>
      </c>
      <c r="O10326" t="s">
        <v>19447</v>
      </c>
      <c r="P10326" t="s">
        <v>19982</v>
      </c>
      <c r="Q10326" t="s">
        <v>19999</v>
      </c>
      <c r="R10326" t="s">
        <v>19905</v>
      </c>
      <c r="S10326" t="s">
        <v>19906</v>
      </c>
      <c r="T10326" t="s">
        <v>19934</v>
      </c>
    </row>
    <row r="10327" spans="2:20" x14ac:dyDescent="0.25">
      <c r="B10327" t="s">
        <v>2709</v>
      </c>
      <c r="C10327">
        <v>93059100</v>
      </c>
      <c r="E10327" t="s">
        <v>19447</v>
      </c>
      <c r="F10327">
        <v>25</v>
      </c>
      <c r="G10327">
        <v>0</v>
      </c>
      <c r="H10327">
        <v>7.6</v>
      </c>
      <c r="I10327">
        <v>1.65</v>
      </c>
      <c r="J10327">
        <v>20</v>
      </c>
      <c r="L10327" t="s">
        <v>2709</v>
      </c>
      <c r="M10327">
        <v>93059100</v>
      </c>
      <c r="O10327" t="s">
        <v>19447</v>
      </c>
      <c r="P10327" t="s">
        <v>19982</v>
      </c>
      <c r="Q10327" t="s">
        <v>19900</v>
      </c>
      <c r="R10327" t="s">
        <v>19905</v>
      </c>
      <c r="S10327" t="s">
        <v>19906</v>
      </c>
      <c r="T10327" t="s">
        <v>19934</v>
      </c>
    </row>
    <row r="10328" spans="2:20" x14ac:dyDescent="0.25">
      <c r="B10328" t="s">
        <v>2709</v>
      </c>
      <c r="C10328">
        <v>93059900</v>
      </c>
      <c r="E10328" t="s">
        <v>19447</v>
      </c>
      <c r="F10328">
        <v>25</v>
      </c>
      <c r="G10328">
        <v>45</v>
      </c>
      <c r="H10328">
        <v>7.6</v>
      </c>
      <c r="I10328">
        <v>1.65</v>
      </c>
      <c r="J10328">
        <v>20</v>
      </c>
      <c r="L10328" t="s">
        <v>2709</v>
      </c>
      <c r="M10328">
        <v>93059900</v>
      </c>
      <c r="O10328" t="s">
        <v>19447</v>
      </c>
      <c r="P10328" t="s">
        <v>19982</v>
      </c>
      <c r="Q10328" t="s">
        <v>19999</v>
      </c>
      <c r="R10328" t="s">
        <v>19905</v>
      </c>
      <c r="S10328" t="s">
        <v>19906</v>
      </c>
      <c r="T10328" t="s">
        <v>19934</v>
      </c>
    </row>
    <row r="10329" spans="2:20" x14ac:dyDescent="0.25">
      <c r="B10329" t="s">
        <v>2709</v>
      </c>
      <c r="C10329">
        <v>93062100</v>
      </c>
      <c r="E10329" t="s">
        <v>19447</v>
      </c>
      <c r="F10329">
        <v>25</v>
      </c>
      <c r="G10329">
        <v>20</v>
      </c>
      <c r="H10329">
        <v>7.6</v>
      </c>
      <c r="I10329">
        <v>1.65</v>
      </c>
      <c r="J10329">
        <v>20</v>
      </c>
      <c r="L10329" t="s">
        <v>2709</v>
      </c>
      <c r="M10329">
        <v>93062100</v>
      </c>
      <c r="O10329" t="s">
        <v>19447</v>
      </c>
      <c r="P10329" t="s">
        <v>19982</v>
      </c>
      <c r="Q10329" t="s">
        <v>19934</v>
      </c>
      <c r="R10329" t="s">
        <v>19905</v>
      </c>
      <c r="S10329" t="s">
        <v>19906</v>
      </c>
      <c r="T10329" t="s">
        <v>19934</v>
      </c>
    </row>
    <row r="10330" spans="2:20" x14ac:dyDescent="0.25">
      <c r="B10330" t="s">
        <v>2709</v>
      </c>
      <c r="C10330">
        <v>93062900</v>
      </c>
      <c r="E10330" t="s">
        <v>19447</v>
      </c>
      <c r="F10330">
        <v>25</v>
      </c>
      <c r="G10330">
        <v>45</v>
      </c>
      <c r="H10330">
        <v>7.6</v>
      </c>
      <c r="I10330">
        <v>1.65</v>
      </c>
      <c r="J10330">
        <v>20</v>
      </c>
      <c r="L10330" t="s">
        <v>2709</v>
      </c>
      <c r="M10330">
        <v>93062900</v>
      </c>
      <c r="O10330" t="s">
        <v>19447</v>
      </c>
      <c r="P10330" t="s">
        <v>19982</v>
      </c>
      <c r="Q10330" t="s">
        <v>19999</v>
      </c>
      <c r="R10330" t="s">
        <v>19905</v>
      </c>
      <c r="S10330" t="s">
        <v>19906</v>
      </c>
      <c r="T10330" t="s">
        <v>19934</v>
      </c>
    </row>
    <row r="10331" spans="2:20" x14ac:dyDescent="0.25">
      <c r="B10331" t="s">
        <v>2709</v>
      </c>
      <c r="C10331">
        <v>93062900</v>
      </c>
      <c r="D10331">
        <v>1</v>
      </c>
      <c r="E10331" t="s">
        <v>19447</v>
      </c>
      <c r="F10331">
        <v>18</v>
      </c>
      <c r="G10331">
        <v>20</v>
      </c>
      <c r="H10331">
        <v>7.6</v>
      </c>
      <c r="I10331">
        <v>1.65</v>
      </c>
      <c r="J10331">
        <v>20</v>
      </c>
      <c r="L10331" t="s">
        <v>2709</v>
      </c>
      <c r="M10331">
        <v>93062900</v>
      </c>
      <c r="N10331">
        <v>1</v>
      </c>
      <c r="O10331" t="s">
        <v>19447</v>
      </c>
      <c r="P10331" t="s">
        <v>19899</v>
      </c>
      <c r="Q10331" t="s">
        <v>19934</v>
      </c>
      <c r="R10331" t="s">
        <v>19905</v>
      </c>
      <c r="S10331" t="s">
        <v>19906</v>
      </c>
      <c r="T10331" t="s">
        <v>19934</v>
      </c>
    </row>
    <row r="10332" spans="2:20" x14ac:dyDescent="0.25">
      <c r="B10332" t="s">
        <v>2709</v>
      </c>
      <c r="C10332">
        <v>93063000</v>
      </c>
      <c r="E10332" t="s">
        <v>19447</v>
      </c>
      <c r="F10332">
        <v>25</v>
      </c>
      <c r="G10332">
        <v>20</v>
      </c>
      <c r="H10332">
        <v>7.6</v>
      </c>
      <c r="I10332">
        <v>1.65</v>
      </c>
      <c r="J10332">
        <v>20</v>
      </c>
      <c r="L10332" t="s">
        <v>2709</v>
      </c>
      <c r="M10332">
        <v>93063000</v>
      </c>
      <c r="O10332" t="s">
        <v>19447</v>
      </c>
      <c r="P10332" t="s">
        <v>19982</v>
      </c>
      <c r="Q10332" t="s">
        <v>19934</v>
      </c>
      <c r="R10332" t="s">
        <v>19905</v>
      </c>
      <c r="S10332" t="s">
        <v>19906</v>
      </c>
      <c r="T10332" t="s">
        <v>19934</v>
      </c>
    </row>
    <row r="10333" spans="2:20" x14ac:dyDescent="0.25">
      <c r="B10333" t="s">
        <v>2709</v>
      </c>
      <c r="C10333">
        <v>93063000</v>
      </c>
      <c r="D10333">
        <v>1</v>
      </c>
      <c r="E10333" t="s">
        <v>19447</v>
      </c>
      <c r="F10333">
        <v>18</v>
      </c>
      <c r="G10333">
        <v>10</v>
      </c>
      <c r="H10333">
        <v>7.6</v>
      </c>
      <c r="I10333">
        <v>1.65</v>
      </c>
      <c r="J10333">
        <v>20</v>
      </c>
      <c r="L10333" t="s">
        <v>2709</v>
      </c>
      <c r="M10333">
        <v>93063000</v>
      </c>
      <c r="N10333">
        <v>1</v>
      </c>
      <c r="O10333" t="s">
        <v>19447</v>
      </c>
      <c r="P10333" t="s">
        <v>19899</v>
      </c>
      <c r="Q10333" t="s">
        <v>19904</v>
      </c>
      <c r="R10333" t="s">
        <v>19905</v>
      </c>
      <c r="S10333" t="s">
        <v>19906</v>
      </c>
      <c r="T10333" t="s">
        <v>19934</v>
      </c>
    </row>
    <row r="10334" spans="2:20" x14ac:dyDescent="0.25">
      <c r="B10334" t="s">
        <v>2709</v>
      </c>
      <c r="C10334">
        <v>93063000</v>
      </c>
      <c r="D10334">
        <v>2</v>
      </c>
      <c r="E10334" t="s">
        <v>19447</v>
      </c>
      <c r="F10334">
        <v>18</v>
      </c>
      <c r="G10334">
        <v>10</v>
      </c>
      <c r="H10334">
        <v>7.6</v>
      </c>
      <c r="I10334">
        <v>1.65</v>
      </c>
      <c r="J10334">
        <v>20</v>
      </c>
      <c r="L10334" t="s">
        <v>2709</v>
      </c>
      <c r="M10334">
        <v>93063000</v>
      </c>
      <c r="N10334">
        <v>2</v>
      </c>
      <c r="O10334" t="s">
        <v>19447</v>
      </c>
      <c r="P10334" t="s">
        <v>19899</v>
      </c>
      <c r="Q10334" t="s">
        <v>19904</v>
      </c>
      <c r="R10334" t="s">
        <v>19905</v>
      </c>
      <c r="S10334" t="s">
        <v>19906</v>
      </c>
      <c r="T10334" t="s">
        <v>19934</v>
      </c>
    </row>
    <row r="10335" spans="2:20" x14ac:dyDescent="0.25">
      <c r="B10335" t="s">
        <v>2709</v>
      </c>
      <c r="C10335">
        <v>93069000</v>
      </c>
      <c r="E10335" t="s">
        <v>19447</v>
      </c>
      <c r="F10335">
        <v>25</v>
      </c>
      <c r="G10335">
        <v>45</v>
      </c>
      <c r="H10335">
        <v>7.6</v>
      </c>
      <c r="I10335">
        <v>1.65</v>
      </c>
      <c r="J10335">
        <v>20</v>
      </c>
      <c r="L10335" t="s">
        <v>2709</v>
      </c>
      <c r="M10335">
        <v>93069000</v>
      </c>
      <c r="O10335" t="s">
        <v>19447</v>
      </c>
      <c r="P10335" t="s">
        <v>19982</v>
      </c>
      <c r="Q10335" t="s">
        <v>19999</v>
      </c>
      <c r="R10335" t="s">
        <v>19905</v>
      </c>
      <c r="S10335" t="s">
        <v>19906</v>
      </c>
      <c r="T10335" t="s">
        <v>19934</v>
      </c>
    </row>
    <row r="10336" spans="2:20" x14ac:dyDescent="0.25">
      <c r="B10336" t="s">
        <v>2709</v>
      </c>
      <c r="C10336">
        <v>93070000</v>
      </c>
      <c r="E10336" t="s">
        <v>19447</v>
      </c>
      <c r="F10336">
        <v>25</v>
      </c>
      <c r="G10336">
        <v>45</v>
      </c>
      <c r="H10336">
        <v>7.6</v>
      </c>
      <c r="I10336">
        <v>1.65</v>
      </c>
      <c r="J10336">
        <v>20</v>
      </c>
      <c r="L10336" t="s">
        <v>2709</v>
      </c>
      <c r="M10336">
        <v>93070000</v>
      </c>
      <c r="O10336" t="s">
        <v>19447</v>
      </c>
      <c r="P10336" t="s">
        <v>19982</v>
      </c>
      <c r="Q10336" t="s">
        <v>19999</v>
      </c>
      <c r="R10336" t="s">
        <v>19905</v>
      </c>
      <c r="S10336" t="s">
        <v>19906</v>
      </c>
      <c r="T10336" t="s">
        <v>19934</v>
      </c>
    </row>
    <row r="10337" spans="2:20" x14ac:dyDescent="0.25">
      <c r="B10337" t="s">
        <v>2709</v>
      </c>
      <c r="C10337">
        <v>94011010</v>
      </c>
      <c r="E10337">
        <v>71.78</v>
      </c>
      <c r="F10337">
        <v>12</v>
      </c>
      <c r="G10337">
        <v>10</v>
      </c>
      <c r="H10337" t="s">
        <v>19447</v>
      </c>
      <c r="I10337" t="s">
        <v>19447</v>
      </c>
      <c r="J10337">
        <v>18</v>
      </c>
      <c r="L10337" t="s">
        <v>2709</v>
      </c>
      <c r="M10337">
        <v>94011010</v>
      </c>
      <c r="O10337" t="s">
        <v>20056</v>
      </c>
      <c r="P10337" t="s">
        <v>19903</v>
      </c>
      <c r="Q10337" t="s">
        <v>19904</v>
      </c>
      <c r="R10337" t="s">
        <v>19447</v>
      </c>
      <c r="S10337" t="s">
        <v>19447</v>
      </c>
      <c r="T10337" t="s">
        <v>19899</v>
      </c>
    </row>
    <row r="10338" spans="2:20" x14ac:dyDescent="0.25">
      <c r="B10338" t="s">
        <v>2709</v>
      </c>
      <c r="C10338">
        <v>94011090</v>
      </c>
      <c r="E10338">
        <v>71.78</v>
      </c>
      <c r="F10338">
        <v>12</v>
      </c>
      <c r="G10338">
        <v>10</v>
      </c>
      <c r="H10338" t="s">
        <v>19447</v>
      </c>
      <c r="I10338" t="s">
        <v>19447</v>
      </c>
      <c r="J10338">
        <v>18</v>
      </c>
      <c r="L10338" t="s">
        <v>2709</v>
      </c>
      <c r="M10338">
        <v>94011090</v>
      </c>
      <c r="O10338" t="s">
        <v>20056</v>
      </c>
      <c r="P10338" t="s">
        <v>19903</v>
      </c>
      <c r="Q10338" t="s">
        <v>19904</v>
      </c>
      <c r="R10338" t="s">
        <v>19447</v>
      </c>
      <c r="S10338" t="s">
        <v>19447</v>
      </c>
      <c r="T10338" t="s">
        <v>19899</v>
      </c>
    </row>
    <row r="10339" spans="2:20" x14ac:dyDescent="0.25">
      <c r="B10339" t="s">
        <v>2709</v>
      </c>
      <c r="C10339">
        <v>94012000</v>
      </c>
      <c r="E10339">
        <v>71.78</v>
      </c>
      <c r="F10339">
        <v>12</v>
      </c>
      <c r="G10339">
        <v>15</v>
      </c>
      <c r="H10339">
        <v>10.8</v>
      </c>
      <c r="I10339">
        <v>2.2999999999999998</v>
      </c>
      <c r="J10339">
        <v>18</v>
      </c>
      <c r="L10339" t="s">
        <v>2709</v>
      </c>
      <c r="M10339">
        <v>94012000</v>
      </c>
      <c r="O10339" t="s">
        <v>20056</v>
      </c>
      <c r="P10339" t="s">
        <v>19903</v>
      </c>
      <c r="Q10339" t="s">
        <v>19983</v>
      </c>
      <c r="R10339" t="s">
        <v>20074</v>
      </c>
      <c r="S10339" t="s">
        <v>20075</v>
      </c>
      <c r="T10339" t="s">
        <v>19899</v>
      </c>
    </row>
    <row r="10340" spans="2:20" x14ac:dyDescent="0.25">
      <c r="B10340" t="s">
        <v>2709</v>
      </c>
      <c r="C10340">
        <v>94012000</v>
      </c>
      <c r="D10340">
        <v>1</v>
      </c>
      <c r="E10340" t="s">
        <v>19447</v>
      </c>
      <c r="F10340">
        <v>18</v>
      </c>
      <c r="G10340">
        <v>4</v>
      </c>
      <c r="H10340">
        <v>7.6</v>
      </c>
      <c r="I10340">
        <v>1.65</v>
      </c>
      <c r="J10340">
        <v>18</v>
      </c>
      <c r="L10340" t="s">
        <v>2709</v>
      </c>
      <c r="M10340">
        <v>94012000</v>
      </c>
      <c r="N10340">
        <v>1</v>
      </c>
      <c r="O10340" t="s">
        <v>19447</v>
      </c>
      <c r="P10340" t="s">
        <v>19899</v>
      </c>
      <c r="Q10340" t="s">
        <v>19902</v>
      </c>
      <c r="R10340" t="s">
        <v>19905</v>
      </c>
      <c r="S10340" t="s">
        <v>19906</v>
      </c>
      <c r="T10340" t="s">
        <v>19899</v>
      </c>
    </row>
    <row r="10341" spans="2:20" x14ac:dyDescent="0.25">
      <c r="B10341" t="s">
        <v>2709</v>
      </c>
      <c r="C10341">
        <v>94012000</v>
      </c>
      <c r="D10341">
        <v>2</v>
      </c>
      <c r="E10341" t="s">
        <v>19447</v>
      </c>
      <c r="F10341">
        <v>18</v>
      </c>
      <c r="G10341">
        <v>4</v>
      </c>
      <c r="H10341">
        <v>7.6</v>
      </c>
      <c r="I10341">
        <v>1.65</v>
      </c>
      <c r="J10341">
        <v>18</v>
      </c>
      <c r="L10341" t="s">
        <v>2709</v>
      </c>
      <c r="M10341">
        <v>94012000</v>
      </c>
      <c r="N10341">
        <v>2</v>
      </c>
      <c r="O10341" t="s">
        <v>19447</v>
      </c>
      <c r="P10341" t="s">
        <v>19899</v>
      </c>
      <c r="Q10341" t="s">
        <v>19902</v>
      </c>
      <c r="R10341" t="s">
        <v>19905</v>
      </c>
      <c r="S10341" t="s">
        <v>19906</v>
      </c>
      <c r="T10341" t="s">
        <v>19899</v>
      </c>
    </row>
    <row r="10342" spans="2:20" x14ac:dyDescent="0.25">
      <c r="B10342" t="s">
        <v>2709</v>
      </c>
      <c r="C10342">
        <v>94012000</v>
      </c>
      <c r="D10342">
        <v>3</v>
      </c>
      <c r="E10342" t="s">
        <v>19447</v>
      </c>
      <c r="F10342">
        <v>18</v>
      </c>
      <c r="G10342">
        <v>4</v>
      </c>
      <c r="H10342">
        <v>7.6</v>
      </c>
      <c r="I10342">
        <v>1.65</v>
      </c>
      <c r="J10342">
        <v>18</v>
      </c>
      <c r="L10342" t="s">
        <v>2709</v>
      </c>
      <c r="M10342">
        <v>94012000</v>
      </c>
      <c r="N10342">
        <v>3</v>
      </c>
      <c r="O10342" t="s">
        <v>19447</v>
      </c>
      <c r="P10342" t="s">
        <v>19899</v>
      </c>
      <c r="Q10342" t="s">
        <v>19902</v>
      </c>
      <c r="R10342" t="s">
        <v>19905</v>
      </c>
      <c r="S10342" t="s">
        <v>19906</v>
      </c>
      <c r="T10342" t="s">
        <v>19899</v>
      </c>
    </row>
    <row r="10343" spans="2:20" x14ac:dyDescent="0.25">
      <c r="B10343" t="s">
        <v>2709</v>
      </c>
      <c r="C10343">
        <v>94012000</v>
      </c>
      <c r="D10343">
        <v>4</v>
      </c>
      <c r="E10343" t="s">
        <v>19447</v>
      </c>
      <c r="F10343">
        <v>18</v>
      </c>
      <c r="G10343">
        <v>4</v>
      </c>
      <c r="H10343">
        <v>7.6</v>
      </c>
      <c r="I10343">
        <v>1.65</v>
      </c>
      <c r="J10343">
        <v>18</v>
      </c>
      <c r="L10343" t="s">
        <v>2709</v>
      </c>
      <c r="M10343">
        <v>94012000</v>
      </c>
      <c r="N10343">
        <v>4</v>
      </c>
      <c r="O10343" t="s">
        <v>19447</v>
      </c>
      <c r="P10343" t="s">
        <v>19899</v>
      </c>
      <c r="Q10343" t="s">
        <v>19902</v>
      </c>
      <c r="R10343" t="s">
        <v>19905</v>
      </c>
      <c r="S10343" t="s">
        <v>19906</v>
      </c>
      <c r="T10343" t="s">
        <v>19899</v>
      </c>
    </row>
    <row r="10344" spans="2:20" x14ac:dyDescent="0.25">
      <c r="B10344" t="s">
        <v>2709</v>
      </c>
      <c r="C10344">
        <v>94013010</v>
      </c>
      <c r="E10344" t="s">
        <v>19447</v>
      </c>
      <c r="F10344">
        <v>12</v>
      </c>
      <c r="G10344">
        <v>4</v>
      </c>
      <c r="H10344" t="s">
        <v>19447</v>
      </c>
      <c r="I10344" t="s">
        <v>19447</v>
      </c>
      <c r="J10344">
        <v>18</v>
      </c>
      <c r="L10344" t="s">
        <v>2709</v>
      </c>
      <c r="M10344">
        <v>94013010</v>
      </c>
      <c r="O10344" t="s">
        <v>19447</v>
      </c>
      <c r="P10344" t="s">
        <v>19903</v>
      </c>
      <c r="Q10344" t="s">
        <v>19902</v>
      </c>
      <c r="R10344" t="s">
        <v>19447</v>
      </c>
      <c r="S10344" t="s">
        <v>19447</v>
      </c>
      <c r="T10344" t="s">
        <v>19899</v>
      </c>
    </row>
    <row r="10345" spans="2:20" x14ac:dyDescent="0.25">
      <c r="B10345" t="s">
        <v>2709</v>
      </c>
      <c r="C10345">
        <v>94013090</v>
      </c>
      <c r="E10345" t="s">
        <v>19447</v>
      </c>
      <c r="F10345">
        <v>12</v>
      </c>
      <c r="G10345">
        <v>4</v>
      </c>
      <c r="H10345" t="s">
        <v>19447</v>
      </c>
      <c r="I10345" t="s">
        <v>19447</v>
      </c>
      <c r="J10345">
        <v>18</v>
      </c>
      <c r="L10345" t="s">
        <v>2709</v>
      </c>
      <c r="M10345">
        <v>94013090</v>
      </c>
      <c r="O10345" t="s">
        <v>19447</v>
      </c>
      <c r="P10345" t="s">
        <v>19903</v>
      </c>
      <c r="Q10345" t="s">
        <v>19902</v>
      </c>
      <c r="R10345" t="s">
        <v>19447</v>
      </c>
      <c r="S10345" t="s">
        <v>19447</v>
      </c>
      <c r="T10345" t="s">
        <v>19899</v>
      </c>
    </row>
    <row r="10346" spans="2:20" x14ac:dyDescent="0.25">
      <c r="B10346" t="s">
        <v>2709</v>
      </c>
      <c r="C10346">
        <v>94014010</v>
      </c>
      <c r="E10346" t="s">
        <v>19447</v>
      </c>
      <c r="F10346">
        <v>12</v>
      </c>
      <c r="G10346">
        <v>4</v>
      </c>
      <c r="H10346" t="s">
        <v>19447</v>
      </c>
      <c r="I10346" t="s">
        <v>19447</v>
      </c>
      <c r="J10346">
        <v>18</v>
      </c>
      <c r="L10346" t="s">
        <v>2709</v>
      </c>
      <c r="M10346">
        <v>94014010</v>
      </c>
      <c r="O10346" t="s">
        <v>19447</v>
      </c>
      <c r="P10346" t="s">
        <v>19903</v>
      </c>
      <c r="Q10346" t="s">
        <v>19902</v>
      </c>
      <c r="R10346" t="s">
        <v>19447</v>
      </c>
      <c r="S10346" t="s">
        <v>19447</v>
      </c>
      <c r="T10346" t="s">
        <v>19899</v>
      </c>
    </row>
    <row r="10347" spans="2:20" x14ac:dyDescent="0.25">
      <c r="B10347" t="s">
        <v>2709</v>
      </c>
      <c r="C10347">
        <v>94014090</v>
      </c>
      <c r="E10347" t="s">
        <v>19447</v>
      </c>
      <c r="F10347">
        <v>12</v>
      </c>
      <c r="G10347">
        <v>4</v>
      </c>
      <c r="H10347" t="s">
        <v>19447</v>
      </c>
      <c r="I10347" t="s">
        <v>19447</v>
      </c>
      <c r="J10347">
        <v>18</v>
      </c>
      <c r="L10347" t="s">
        <v>2709</v>
      </c>
      <c r="M10347">
        <v>94014090</v>
      </c>
      <c r="O10347" t="s">
        <v>19447</v>
      </c>
      <c r="P10347" t="s">
        <v>19903</v>
      </c>
      <c r="Q10347" t="s">
        <v>19902</v>
      </c>
      <c r="R10347" t="s">
        <v>19447</v>
      </c>
      <c r="S10347" t="s">
        <v>19447</v>
      </c>
      <c r="T10347" t="s">
        <v>19899</v>
      </c>
    </row>
    <row r="10348" spans="2:20" x14ac:dyDescent="0.25">
      <c r="B10348" t="s">
        <v>2709</v>
      </c>
      <c r="C10348">
        <v>94015100</v>
      </c>
      <c r="E10348" t="s">
        <v>19447</v>
      </c>
      <c r="F10348">
        <v>12</v>
      </c>
      <c r="G10348">
        <v>4</v>
      </c>
      <c r="H10348" t="s">
        <v>19447</v>
      </c>
      <c r="I10348" t="s">
        <v>19447</v>
      </c>
      <c r="J10348">
        <v>18</v>
      </c>
      <c r="L10348" t="s">
        <v>2709</v>
      </c>
      <c r="M10348">
        <v>94015100</v>
      </c>
      <c r="O10348" t="s">
        <v>19447</v>
      </c>
      <c r="P10348" t="s">
        <v>19903</v>
      </c>
      <c r="Q10348" t="s">
        <v>19902</v>
      </c>
      <c r="R10348" t="s">
        <v>19447</v>
      </c>
      <c r="S10348" t="s">
        <v>19447</v>
      </c>
      <c r="T10348" t="s">
        <v>19899</v>
      </c>
    </row>
    <row r="10349" spans="2:20" x14ac:dyDescent="0.25">
      <c r="B10349" t="s">
        <v>2709</v>
      </c>
      <c r="C10349">
        <v>94015900</v>
      </c>
      <c r="E10349" t="s">
        <v>19447</v>
      </c>
      <c r="F10349">
        <v>12</v>
      </c>
      <c r="G10349">
        <v>4</v>
      </c>
      <c r="H10349" t="s">
        <v>19447</v>
      </c>
      <c r="I10349" t="s">
        <v>19447</v>
      </c>
      <c r="J10349">
        <v>18</v>
      </c>
      <c r="L10349" t="s">
        <v>2709</v>
      </c>
      <c r="M10349">
        <v>94015900</v>
      </c>
      <c r="O10349" t="s">
        <v>19447</v>
      </c>
      <c r="P10349" t="s">
        <v>19903</v>
      </c>
      <c r="Q10349" t="s">
        <v>19902</v>
      </c>
      <c r="R10349" t="s">
        <v>19447</v>
      </c>
      <c r="S10349" t="s">
        <v>19447</v>
      </c>
      <c r="T10349" t="s">
        <v>19899</v>
      </c>
    </row>
    <row r="10350" spans="2:20" x14ac:dyDescent="0.25">
      <c r="B10350" t="s">
        <v>2709</v>
      </c>
      <c r="C10350">
        <v>94016100</v>
      </c>
      <c r="E10350" t="s">
        <v>19447</v>
      </c>
      <c r="F10350">
        <v>12</v>
      </c>
      <c r="G10350">
        <v>4</v>
      </c>
      <c r="H10350" t="s">
        <v>19447</v>
      </c>
      <c r="I10350" t="s">
        <v>19447</v>
      </c>
      <c r="J10350">
        <v>18</v>
      </c>
      <c r="L10350" t="s">
        <v>2709</v>
      </c>
      <c r="M10350">
        <v>94016100</v>
      </c>
      <c r="O10350" t="s">
        <v>19447</v>
      </c>
      <c r="P10350" t="s">
        <v>19903</v>
      </c>
      <c r="Q10350" t="s">
        <v>19902</v>
      </c>
      <c r="R10350" t="s">
        <v>19447</v>
      </c>
      <c r="S10350" t="s">
        <v>19447</v>
      </c>
      <c r="T10350" t="s">
        <v>19899</v>
      </c>
    </row>
    <row r="10351" spans="2:20" x14ac:dyDescent="0.25">
      <c r="B10351" t="s">
        <v>2709</v>
      </c>
      <c r="C10351">
        <v>94016900</v>
      </c>
      <c r="E10351" t="s">
        <v>19447</v>
      </c>
      <c r="F10351">
        <v>12</v>
      </c>
      <c r="G10351">
        <v>4</v>
      </c>
      <c r="H10351" t="s">
        <v>19447</v>
      </c>
      <c r="I10351" t="s">
        <v>19447</v>
      </c>
      <c r="J10351">
        <v>18</v>
      </c>
      <c r="L10351" t="s">
        <v>2709</v>
      </c>
      <c r="M10351">
        <v>94016900</v>
      </c>
      <c r="O10351" t="s">
        <v>19447</v>
      </c>
      <c r="P10351" t="s">
        <v>19903</v>
      </c>
      <c r="Q10351" t="s">
        <v>19902</v>
      </c>
      <c r="R10351" t="s">
        <v>19447</v>
      </c>
      <c r="S10351" t="s">
        <v>19447</v>
      </c>
      <c r="T10351" t="s">
        <v>19899</v>
      </c>
    </row>
    <row r="10352" spans="2:20" x14ac:dyDescent="0.25">
      <c r="B10352" t="s">
        <v>2709</v>
      </c>
      <c r="C10352">
        <v>94017100</v>
      </c>
      <c r="E10352" t="s">
        <v>19447</v>
      </c>
      <c r="F10352">
        <v>12</v>
      </c>
      <c r="G10352">
        <v>4</v>
      </c>
      <c r="H10352" t="s">
        <v>19447</v>
      </c>
      <c r="I10352" t="s">
        <v>19447</v>
      </c>
      <c r="J10352">
        <v>18</v>
      </c>
      <c r="L10352" t="s">
        <v>2709</v>
      </c>
      <c r="M10352">
        <v>94017100</v>
      </c>
      <c r="O10352" t="s">
        <v>19447</v>
      </c>
      <c r="P10352" t="s">
        <v>19903</v>
      </c>
      <c r="Q10352" t="s">
        <v>19902</v>
      </c>
      <c r="R10352" t="s">
        <v>19447</v>
      </c>
      <c r="S10352" t="s">
        <v>19447</v>
      </c>
      <c r="T10352" t="s">
        <v>19899</v>
      </c>
    </row>
    <row r="10353" spans="2:20" x14ac:dyDescent="0.25">
      <c r="B10353" t="s">
        <v>2709</v>
      </c>
      <c r="C10353">
        <v>94017900</v>
      </c>
      <c r="E10353" t="s">
        <v>19447</v>
      </c>
      <c r="F10353">
        <v>12</v>
      </c>
      <c r="G10353">
        <v>4</v>
      </c>
      <c r="H10353" t="s">
        <v>19447</v>
      </c>
      <c r="I10353" t="s">
        <v>19447</v>
      </c>
      <c r="J10353">
        <v>18</v>
      </c>
      <c r="L10353" t="s">
        <v>2709</v>
      </c>
      <c r="M10353">
        <v>94017900</v>
      </c>
      <c r="O10353" t="s">
        <v>19447</v>
      </c>
      <c r="P10353" t="s">
        <v>19903</v>
      </c>
      <c r="Q10353" t="s">
        <v>19902</v>
      </c>
      <c r="R10353" t="s">
        <v>19447</v>
      </c>
      <c r="S10353" t="s">
        <v>19447</v>
      </c>
      <c r="T10353" t="s">
        <v>19899</v>
      </c>
    </row>
    <row r="10354" spans="2:20" x14ac:dyDescent="0.25">
      <c r="B10354" t="s">
        <v>2709</v>
      </c>
      <c r="C10354">
        <v>94018000</v>
      </c>
      <c r="E10354" t="s">
        <v>19447</v>
      </c>
      <c r="F10354">
        <v>12</v>
      </c>
      <c r="G10354">
        <v>4</v>
      </c>
      <c r="H10354" t="s">
        <v>19447</v>
      </c>
      <c r="I10354" t="s">
        <v>19447</v>
      </c>
      <c r="J10354">
        <v>18</v>
      </c>
      <c r="L10354" t="s">
        <v>2709</v>
      </c>
      <c r="M10354">
        <v>94018000</v>
      </c>
      <c r="O10354" t="s">
        <v>19447</v>
      </c>
      <c r="P10354" t="s">
        <v>19903</v>
      </c>
      <c r="Q10354" t="s">
        <v>19902</v>
      </c>
      <c r="R10354" t="s">
        <v>19447</v>
      </c>
      <c r="S10354" t="s">
        <v>19447</v>
      </c>
      <c r="T10354" t="s">
        <v>19899</v>
      </c>
    </row>
    <row r="10355" spans="2:20" x14ac:dyDescent="0.25">
      <c r="B10355" t="s">
        <v>2709</v>
      </c>
      <c r="C10355">
        <v>94019010</v>
      </c>
      <c r="E10355">
        <v>71.78</v>
      </c>
      <c r="F10355">
        <v>12</v>
      </c>
      <c r="G10355">
        <v>4</v>
      </c>
      <c r="H10355" t="s">
        <v>19447</v>
      </c>
      <c r="I10355" t="s">
        <v>19447</v>
      </c>
      <c r="J10355">
        <v>18</v>
      </c>
      <c r="L10355" t="s">
        <v>2709</v>
      </c>
      <c r="M10355">
        <v>94019010</v>
      </c>
      <c r="O10355" t="s">
        <v>20056</v>
      </c>
      <c r="P10355" t="s">
        <v>19903</v>
      </c>
      <c r="Q10355" t="s">
        <v>19902</v>
      </c>
      <c r="R10355" t="s">
        <v>19447</v>
      </c>
      <c r="S10355" t="s">
        <v>19447</v>
      </c>
      <c r="T10355" t="s">
        <v>19899</v>
      </c>
    </row>
    <row r="10356" spans="2:20" x14ac:dyDescent="0.25">
      <c r="B10356" t="s">
        <v>2709</v>
      </c>
      <c r="C10356">
        <v>94019090</v>
      </c>
      <c r="E10356">
        <v>71.78</v>
      </c>
      <c r="F10356">
        <v>12</v>
      </c>
      <c r="G10356">
        <v>4</v>
      </c>
      <c r="H10356" t="s">
        <v>19447</v>
      </c>
      <c r="I10356" t="s">
        <v>19447</v>
      </c>
      <c r="J10356">
        <v>18</v>
      </c>
      <c r="L10356" t="s">
        <v>2709</v>
      </c>
      <c r="M10356">
        <v>94019090</v>
      </c>
      <c r="O10356" t="s">
        <v>20056</v>
      </c>
      <c r="P10356" t="s">
        <v>19903</v>
      </c>
      <c r="Q10356" t="s">
        <v>19902</v>
      </c>
      <c r="R10356" t="s">
        <v>19447</v>
      </c>
      <c r="S10356" t="s">
        <v>19447</v>
      </c>
      <c r="T10356" t="s">
        <v>19899</v>
      </c>
    </row>
    <row r="10357" spans="2:20" x14ac:dyDescent="0.25">
      <c r="B10357" t="s">
        <v>2709</v>
      </c>
      <c r="C10357">
        <v>94021000</v>
      </c>
      <c r="E10357" t="s">
        <v>19447</v>
      </c>
      <c r="F10357">
        <v>18</v>
      </c>
      <c r="G10357">
        <v>5</v>
      </c>
      <c r="H10357" t="s">
        <v>19447</v>
      </c>
      <c r="I10357" t="s">
        <v>19447</v>
      </c>
      <c r="J10357">
        <v>18</v>
      </c>
      <c r="L10357" t="s">
        <v>2709</v>
      </c>
      <c r="M10357">
        <v>94021000</v>
      </c>
      <c r="O10357" t="s">
        <v>19447</v>
      </c>
      <c r="P10357" t="s">
        <v>19899</v>
      </c>
      <c r="Q10357" t="s">
        <v>19909</v>
      </c>
      <c r="R10357" t="s">
        <v>19447</v>
      </c>
      <c r="S10357" t="s">
        <v>19447</v>
      </c>
      <c r="T10357" t="s">
        <v>19899</v>
      </c>
    </row>
    <row r="10358" spans="2:20" x14ac:dyDescent="0.25">
      <c r="B10358" t="s">
        <v>2709</v>
      </c>
      <c r="C10358">
        <v>94029010</v>
      </c>
      <c r="E10358" t="s">
        <v>19447</v>
      </c>
      <c r="F10358">
        <v>18</v>
      </c>
      <c r="G10358">
        <v>5</v>
      </c>
      <c r="H10358" t="s">
        <v>19447</v>
      </c>
      <c r="I10358" t="s">
        <v>19447</v>
      </c>
      <c r="J10358">
        <v>14</v>
      </c>
      <c r="L10358" t="s">
        <v>2709</v>
      </c>
      <c r="M10358">
        <v>94029010</v>
      </c>
      <c r="O10358" t="s">
        <v>19447</v>
      </c>
      <c r="P10358" t="s">
        <v>19899</v>
      </c>
      <c r="Q10358" t="s">
        <v>19909</v>
      </c>
      <c r="R10358" t="s">
        <v>19447</v>
      </c>
      <c r="S10358" t="s">
        <v>19447</v>
      </c>
      <c r="T10358" t="s">
        <v>19911</v>
      </c>
    </row>
    <row r="10359" spans="2:20" x14ac:dyDescent="0.25">
      <c r="B10359" t="s">
        <v>2709</v>
      </c>
      <c r="C10359">
        <v>94029020</v>
      </c>
      <c r="E10359" t="s">
        <v>19447</v>
      </c>
      <c r="F10359">
        <v>18</v>
      </c>
      <c r="G10359">
        <v>5</v>
      </c>
      <c r="H10359" t="s">
        <v>19447</v>
      </c>
      <c r="I10359" t="s">
        <v>19447</v>
      </c>
      <c r="J10359">
        <v>14</v>
      </c>
      <c r="L10359" t="s">
        <v>2709</v>
      </c>
      <c r="M10359">
        <v>94029020</v>
      </c>
      <c r="O10359" t="s">
        <v>19447</v>
      </c>
      <c r="P10359" t="s">
        <v>19899</v>
      </c>
      <c r="Q10359" t="s">
        <v>19909</v>
      </c>
      <c r="R10359" t="s">
        <v>19447</v>
      </c>
      <c r="S10359" t="s">
        <v>19447</v>
      </c>
      <c r="T10359" t="s">
        <v>19911</v>
      </c>
    </row>
    <row r="10360" spans="2:20" x14ac:dyDescent="0.25">
      <c r="B10360" t="s">
        <v>2709</v>
      </c>
      <c r="C10360">
        <v>94029090</v>
      </c>
      <c r="E10360" t="s">
        <v>19447</v>
      </c>
      <c r="F10360">
        <v>18</v>
      </c>
      <c r="G10360">
        <v>5</v>
      </c>
      <c r="H10360" t="s">
        <v>19447</v>
      </c>
      <c r="I10360" t="s">
        <v>19447</v>
      </c>
      <c r="J10360">
        <v>16</v>
      </c>
      <c r="L10360" t="s">
        <v>2709</v>
      </c>
      <c r="M10360">
        <v>94029090</v>
      </c>
      <c r="O10360" t="s">
        <v>19447</v>
      </c>
      <c r="P10360" t="s">
        <v>19899</v>
      </c>
      <c r="Q10360" t="s">
        <v>19909</v>
      </c>
      <c r="R10360" t="s">
        <v>19447</v>
      </c>
      <c r="S10360" t="s">
        <v>19447</v>
      </c>
      <c r="T10360" t="s">
        <v>19913</v>
      </c>
    </row>
    <row r="10361" spans="2:20" x14ac:dyDescent="0.25">
      <c r="B10361" t="s">
        <v>2709</v>
      </c>
      <c r="C10361">
        <v>94031000</v>
      </c>
      <c r="E10361" t="s">
        <v>19447</v>
      </c>
      <c r="F10361">
        <v>12</v>
      </c>
      <c r="G10361">
        <v>4</v>
      </c>
      <c r="H10361" t="s">
        <v>19447</v>
      </c>
      <c r="I10361" t="s">
        <v>19447</v>
      </c>
      <c r="J10361">
        <v>18</v>
      </c>
      <c r="L10361" t="s">
        <v>2709</v>
      </c>
      <c r="M10361">
        <v>94031000</v>
      </c>
      <c r="O10361" t="s">
        <v>19447</v>
      </c>
      <c r="P10361" t="s">
        <v>19903</v>
      </c>
      <c r="Q10361" t="s">
        <v>19902</v>
      </c>
      <c r="R10361" t="s">
        <v>19447</v>
      </c>
      <c r="S10361" t="s">
        <v>19447</v>
      </c>
      <c r="T10361" t="s">
        <v>19899</v>
      </c>
    </row>
    <row r="10362" spans="2:20" x14ac:dyDescent="0.25">
      <c r="B10362" t="s">
        <v>2709</v>
      </c>
      <c r="C10362">
        <v>94032000</v>
      </c>
      <c r="E10362" t="s">
        <v>19447</v>
      </c>
      <c r="F10362">
        <v>12</v>
      </c>
      <c r="G10362">
        <v>4</v>
      </c>
      <c r="H10362" t="s">
        <v>19447</v>
      </c>
      <c r="I10362" t="s">
        <v>19447</v>
      </c>
      <c r="J10362">
        <v>18</v>
      </c>
      <c r="L10362" t="s">
        <v>2709</v>
      </c>
      <c r="M10362">
        <v>94032000</v>
      </c>
      <c r="O10362" t="s">
        <v>19447</v>
      </c>
      <c r="P10362" t="s">
        <v>19903</v>
      </c>
      <c r="Q10362" t="s">
        <v>19902</v>
      </c>
      <c r="R10362" t="s">
        <v>19447</v>
      </c>
      <c r="S10362" t="s">
        <v>19447</v>
      </c>
      <c r="T10362" t="s">
        <v>19899</v>
      </c>
    </row>
    <row r="10363" spans="2:20" x14ac:dyDescent="0.25">
      <c r="B10363" t="s">
        <v>2709</v>
      </c>
      <c r="C10363">
        <v>94033000</v>
      </c>
      <c r="E10363" t="s">
        <v>19447</v>
      </c>
      <c r="F10363">
        <v>12</v>
      </c>
      <c r="G10363">
        <v>4</v>
      </c>
      <c r="H10363" t="s">
        <v>19447</v>
      </c>
      <c r="I10363" t="s">
        <v>19447</v>
      </c>
      <c r="J10363">
        <v>18</v>
      </c>
      <c r="L10363" t="s">
        <v>2709</v>
      </c>
      <c r="M10363">
        <v>94033000</v>
      </c>
      <c r="O10363" t="s">
        <v>19447</v>
      </c>
      <c r="P10363" t="s">
        <v>19903</v>
      </c>
      <c r="Q10363" t="s">
        <v>19902</v>
      </c>
      <c r="R10363" t="s">
        <v>19447</v>
      </c>
      <c r="S10363" t="s">
        <v>19447</v>
      </c>
      <c r="T10363" t="s">
        <v>19899</v>
      </c>
    </row>
    <row r="10364" spans="2:20" x14ac:dyDescent="0.25">
      <c r="B10364" t="s">
        <v>2709</v>
      </c>
      <c r="C10364">
        <v>94034000</v>
      </c>
      <c r="E10364" t="s">
        <v>19447</v>
      </c>
      <c r="F10364">
        <v>12</v>
      </c>
      <c r="G10364">
        <v>4</v>
      </c>
      <c r="H10364" t="s">
        <v>19447</v>
      </c>
      <c r="I10364" t="s">
        <v>19447</v>
      </c>
      <c r="J10364">
        <v>18</v>
      </c>
      <c r="L10364" t="s">
        <v>2709</v>
      </c>
      <c r="M10364">
        <v>94034000</v>
      </c>
      <c r="O10364" t="s">
        <v>19447</v>
      </c>
      <c r="P10364" t="s">
        <v>19903</v>
      </c>
      <c r="Q10364" t="s">
        <v>19902</v>
      </c>
      <c r="R10364" t="s">
        <v>19447</v>
      </c>
      <c r="S10364" t="s">
        <v>19447</v>
      </c>
      <c r="T10364" t="s">
        <v>19899</v>
      </c>
    </row>
    <row r="10365" spans="2:20" x14ac:dyDescent="0.25">
      <c r="B10365" t="s">
        <v>2709</v>
      </c>
      <c r="C10365">
        <v>94035000</v>
      </c>
      <c r="E10365" t="s">
        <v>19447</v>
      </c>
      <c r="F10365">
        <v>12</v>
      </c>
      <c r="G10365">
        <v>4</v>
      </c>
      <c r="H10365" t="s">
        <v>19447</v>
      </c>
      <c r="I10365" t="s">
        <v>19447</v>
      </c>
      <c r="J10365">
        <v>18</v>
      </c>
      <c r="L10365" t="s">
        <v>2709</v>
      </c>
      <c r="M10365">
        <v>94035000</v>
      </c>
      <c r="O10365" t="s">
        <v>19447</v>
      </c>
      <c r="P10365" t="s">
        <v>19903</v>
      </c>
      <c r="Q10365" t="s">
        <v>19902</v>
      </c>
      <c r="R10365" t="s">
        <v>19447</v>
      </c>
      <c r="S10365" t="s">
        <v>19447</v>
      </c>
      <c r="T10365" t="s">
        <v>19899</v>
      </c>
    </row>
    <row r="10366" spans="2:20" x14ac:dyDescent="0.25">
      <c r="B10366" t="s">
        <v>2709</v>
      </c>
      <c r="C10366">
        <v>94036000</v>
      </c>
      <c r="E10366" t="s">
        <v>19447</v>
      </c>
      <c r="F10366">
        <v>12</v>
      </c>
      <c r="G10366">
        <v>4</v>
      </c>
      <c r="H10366" t="s">
        <v>19447</v>
      </c>
      <c r="I10366" t="s">
        <v>19447</v>
      </c>
      <c r="J10366">
        <v>18</v>
      </c>
      <c r="L10366" t="s">
        <v>2709</v>
      </c>
      <c r="M10366">
        <v>94036000</v>
      </c>
      <c r="O10366" t="s">
        <v>19447</v>
      </c>
      <c r="P10366" t="s">
        <v>19903</v>
      </c>
      <c r="Q10366" t="s">
        <v>19902</v>
      </c>
      <c r="R10366" t="s">
        <v>19447</v>
      </c>
      <c r="S10366" t="s">
        <v>19447</v>
      </c>
      <c r="T10366" t="s">
        <v>19899</v>
      </c>
    </row>
    <row r="10367" spans="2:20" x14ac:dyDescent="0.25">
      <c r="B10367" t="s">
        <v>2709</v>
      </c>
      <c r="C10367">
        <v>94037000</v>
      </c>
      <c r="E10367" t="s">
        <v>19447</v>
      </c>
      <c r="F10367">
        <v>12</v>
      </c>
      <c r="G10367">
        <v>4</v>
      </c>
      <c r="H10367" t="s">
        <v>19447</v>
      </c>
      <c r="I10367" t="s">
        <v>19447</v>
      </c>
      <c r="J10367">
        <v>18</v>
      </c>
      <c r="L10367" t="s">
        <v>2709</v>
      </c>
      <c r="M10367">
        <v>94037000</v>
      </c>
      <c r="O10367" t="s">
        <v>19447</v>
      </c>
      <c r="P10367" t="s">
        <v>19903</v>
      </c>
      <c r="Q10367" t="s">
        <v>19902</v>
      </c>
      <c r="R10367" t="s">
        <v>19447</v>
      </c>
      <c r="S10367" t="s">
        <v>19447</v>
      </c>
      <c r="T10367" t="s">
        <v>19899</v>
      </c>
    </row>
    <row r="10368" spans="2:20" x14ac:dyDescent="0.25">
      <c r="B10368" t="s">
        <v>2709</v>
      </c>
      <c r="C10368">
        <v>94038100</v>
      </c>
      <c r="E10368" t="s">
        <v>19447</v>
      </c>
      <c r="F10368">
        <v>12</v>
      </c>
      <c r="G10368">
        <v>4</v>
      </c>
      <c r="H10368" t="s">
        <v>19447</v>
      </c>
      <c r="I10368" t="s">
        <v>19447</v>
      </c>
      <c r="J10368">
        <v>18</v>
      </c>
      <c r="L10368" t="s">
        <v>2709</v>
      </c>
      <c r="M10368">
        <v>94038100</v>
      </c>
      <c r="O10368" t="s">
        <v>19447</v>
      </c>
      <c r="P10368" t="s">
        <v>19903</v>
      </c>
      <c r="Q10368" t="s">
        <v>19902</v>
      </c>
      <c r="R10368" t="s">
        <v>19447</v>
      </c>
      <c r="S10368" t="s">
        <v>19447</v>
      </c>
      <c r="T10368" t="s">
        <v>19899</v>
      </c>
    </row>
    <row r="10369" spans="2:20" x14ac:dyDescent="0.25">
      <c r="B10369" t="s">
        <v>2709</v>
      </c>
      <c r="C10369">
        <v>94038900</v>
      </c>
      <c r="E10369" t="s">
        <v>19447</v>
      </c>
      <c r="F10369">
        <v>12</v>
      </c>
      <c r="G10369">
        <v>4</v>
      </c>
      <c r="H10369" t="s">
        <v>19447</v>
      </c>
      <c r="I10369" t="s">
        <v>19447</v>
      </c>
      <c r="J10369">
        <v>18</v>
      </c>
      <c r="L10369" t="s">
        <v>2709</v>
      </c>
      <c r="M10369">
        <v>94038900</v>
      </c>
      <c r="O10369" t="s">
        <v>19447</v>
      </c>
      <c r="P10369" t="s">
        <v>19903</v>
      </c>
      <c r="Q10369" t="s">
        <v>19902</v>
      </c>
      <c r="R10369" t="s">
        <v>19447</v>
      </c>
      <c r="S10369" t="s">
        <v>19447</v>
      </c>
      <c r="T10369" t="s">
        <v>19899</v>
      </c>
    </row>
    <row r="10370" spans="2:20" x14ac:dyDescent="0.25">
      <c r="B10370" t="s">
        <v>2709</v>
      </c>
      <c r="C10370">
        <v>94039010</v>
      </c>
      <c r="E10370" t="s">
        <v>19447</v>
      </c>
      <c r="F10370">
        <v>12</v>
      </c>
      <c r="G10370">
        <v>4</v>
      </c>
      <c r="H10370" t="s">
        <v>19447</v>
      </c>
      <c r="I10370" t="s">
        <v>19447</v>
      </c>
      <c r="J10370">
        <v>18</v>
      </c>
      <c r="L10370" t="s">
        <v>2709</v>
      </c>
      <c r="M10370">
        <v>94039010</v>
      </c>
      <c r="O10370" t="s">
        <v>19447</v>
      </c>
      <c r="P10370" t="s">
        <v>19903</v>
      </c>
      <c r="Q10370" t="s">
        <v>19902</v>
      </c>
      <c r="R10370" t="s">
        <v>19447</v>
      </c>
      <c r="S10370" t="s">
        <v>19447</v>
      </c>
      <c r="T10370" t="s">
        <v>19899</v>
      </c>
    </row>
    <row r="10371" spans="2:20" x14ac:dyDescent="0.25">
      <c r="B10371" t="s">
        <v>2709</v>
      </c>
      <c r="C10371">
        <v>94039090</v>
      </c>
      <c r="E10371" t="s">
        <v>19447</v>
      </c>
      <c r="F10371">
        <v>12</v>
      </c>
      <c r="G10371">
        <v>4</v>
      </c>
      <c r="H10371" t="s">
        <v>19447</v>
      </c>
      <c r="I10371" t="s">
        <v>19447</v>
      </c>
      <c r="J10371">
        <v>18</v>
      </c>
      <c r="L10371" t="s">
        <v>2709</v>
      </c>
      <c r="M10371">
        <v>94039090</v>
      </c>
      <c r="O10371" t="s">
        <v>19447</v>
      </c>
      <c r="P10371" t="s">
        <v>19903</v>
      </c>
      <c r="Q10371" t="s">
        <v>19902</v>
      </c>
      <c r="R10371" t="s">
        <v>19447</v>
      </c>
      <c r="S10371" t="s">
        <v>19447</v>
      </c>
      <c r="T10371" t="s">
        <v>19899</v>
      </c>
    </row>
    <row r="10372" spans="2:20" x14ac:dyDescent="0.25">
      <c r="B10372" t="s">
        <v>2709</v>
      </c>
      <c r="C10372">
        <v>94041000</v>
      </c>
      <c r="E10372">
        <v>107.47</v>
      </c>
      <c r="F10372">
        <v>12</v>
      </c>
      <c r="G10372">
        <v>0</v>
      </c>
      <c r="H10372" t="s">
        <v>19447</v>
      </c>
      <c r="I10372" t="s">
        <v>19447</v>
      </c>
      <c r="J10372">
        <v>18</v>
      </c>
      <c r="L10372" t="s">
        <v>2709</v>
      </c>
      <c r="M10372">
        <v>94041000</v>
      </c>
      <c r="O10372" t="s">
        <v>20221</v>
      </c>
      <c r="P10372" t="s">
        <v>19903</v>
      </c>
      <c r="Q10372" t="s">
        <v>19900</v>
      </c>
      <c r="R10372" t="s">
        <v>19447</v>
      </c>
      <c r="S10372" t="s">
        <v>19447</v>
      </c>
      <c r="T10372" t="s">
        <v>19899</v>
      </c>
    </row>
    <row r="10373" spans="2:20" x14ac:dyDescent="0.25">
      <c r="B10373" t="s">
        <v>2709</v>
      </c>
      <c r="C10373">
        <v>94042100</v>
      </c>
      <c r="E10373">
        <v>85.31</v>
      </c>
      <c r="F10373">
        <v>12</v>
      </c>
      <c r="G10373">
        <v>0</v>
      </c>
      <c r="H10373" t="s">
        <v>19447</v>
      </c>
      <c r="I10373" t="s">
        <v>19447</v>
      </c>
      <c r="J10373">
        <v>18</v>
      </c>
      <c r="L10373" t="s">
        <v>2709</v>
      </c>
      <c r="M10373">
        <v>94042100</v>
      </c>
      <c r="O10373" t="s">
        <v>20222</v>
      </c>
      <c r="P10373" t="s">
        <v>19903</v>
      </c>
      <c r="Q10373" t="s">
        <v>19900</v>
      </c>
      <c r="R10373" t="s">
        <v>19447</v>
      </c>
      <c r="S10373" t="s">
        <v>19447</v>
      </c>
      <c r="T10373" t="s">
        <v>19899</v>
      </c>
    </row>
    <row r="10374" spans="2:20" x14ac:dyDescent="0.25">
      <c r="B10374" t="s">
        <v>2709</v>
      </c>
      <c r="C10374">
        <v>94042900</v>
      </c>
      <c r="E10374">
        <v>85.31</v>
      </c>
      <c r="F10374">
        <v>12</v>
      </c>
      <c r="G10374">
        <v>0</v>
      </c>
      <c r="H10374" t="s">
        <v>19447</v>
      </c>
      <c r="I10374" t="s">
        <v>19447</v>
      </c>
      <c r="J10374">
        <v>18</v>
      </c>
      <c r="L10374" t="s">
        <v>2709</v>
      </c>
      <c r="M10374">
        <v>94042900</v>
      </c>
      <c r="O10374" t="s">
        <v>20222</v>
      </c>
      <c r="P10374" t="s">
        <v>19903</v>
      </c>
      <c r="Q10374" t="s">
        <v>19900</v>
      </c>
      <c r="R10374" t="s">
        <v>19447</v>
      </c>
      <c r="S10374" t="s">
        <v>19447</v>
      </c>
      <c r="T10374" t="s">
        <v>19899</v>
      </c>
    </row>
    <row r="10375" spans="2:20" x14ac:dyDescent="0.25">
      <c r="B10375" t="s">
        <v>2709</v>
      </c>
      <c r="C10375">
        <v>94043000</v>
      </c>
      <c r="E10375" t="s">
        <v>19447</v>
      </c>
      <c r="F10375">
        <v>18</v>
      </c>
      <c r="G10375">
        <v>0</v>
      </c>
      <c r="H10375" t="s">
        <v>19447</v>
      </c>
      <c r="I10375" t="s">
        <v>19447</v>
      </c>
      <c r="J10375">
        <v>18</v>
      </c>
      <c r="L10375" t="s">
        <v>2709</v>
      </c>
      <c r="M10375">
        <v>94043000</v>
      </c>
      <c r="O10375" t="s">
        <v>19447</v>
      </c>
      <c r="P10375" t="s">
        <v>19899</v>
      </c>
      <c r="Q10375" t="s">
        <v>19900</v>
      </c>
      <c r="R10375" t="s">
        <v>19447</v>
      </c>
      <c r="S10375" t="s">
        <v>19447</v>
      </c>
      <c r="T10375" t="s">
        <v>19899</v>
      </c>
    </row>
    <row r="10376" spans="2:20" x14ac:dyDescent="0.25">
      <c r="B10376" t="s">
        <v>2709</v>
      </c>
      <c r="C10376">
        <v>94049000</v>
      </c>
      <c r="E10376">
        <v>80.739999999999995</v>
      </c>
      <c r="F10376">
        <v>18</v>
      </c>
      <c r="G10376">
        <v>0</v>
      </c>
      <c r="H10376" t="s">
        <v>19447</v>
      </c>
      <c r="I10376" t="s">
        <v>19447</v>
      </c>
      <c r="J10376">
        <v>18</v>
      </c>
      <c r="L10376" t="s">
        <v>2709</v>
      </c>
      <c r="M10376">
        <v>94049000</v>
      </c>
      <c r="O10376" t="s">
        <v>20223</v>
      </c>
      <c r="P10376" t="s">
        <v>19899</v>
      </c>
      <c r="Q10376" t="s">
        <v>19900</v>
      </c>
      <c r="R10376" t="s">
        <v>19447</v>
      </c>
      <c r="S10376" t="s">
        <v>19447</v>
      </c>
      <c r="T10376" t="s">
        <v>19899</v>
      </c>
    </row>
    <row r="10377" spans="2:20" x14ac:dyDescent="0.25">
      <c r="B10377" t="s">
        <v>2709</v>
      </c>
      <c r="C10377">
        <v>94051010</v>
      </c>
      <c r="E10377">
        <v>54</v>
      </c>
      <c r="F10377">
        <v>18</v>
      </c>
      <c r="G10377">
        <v>15</v>
      </c>
      <c r="H10377" t="s">
        <v>19447</v>
      </c>
      <c r="I10377" t="s">
        <v>19447</v>
      </c>
      <c r="J10377">
        <v>18</v>
      </c>
      <c r="L10377" t="s">
        <v>2709</v>
      </c>
      <c r="M10377">
        <v>94051010</v>
      </c>
      <c r="O10377" t="s">
        <v>20109</v>
      </c>
      <c r="P10377" t="s">
        <v>19899</v>
      </c>
      <c r="Q10377" t="s">
        <v>19983</v>
      </c>
      <c r="R10377" t="s">
        <v>19447</v>
      </c>
      <c r="S10377" t="s">
        <v>19447</v>
      </c>
      <c r="T10377" t="s">
        <v>19899</v>
      </c>
    </row>
    <row r="10378" spans="2:20" x14ac:dyDescent="0.25">
      <c r="B10378" t="s">
        <v>2709</v>
      </c>
      <c r="C10378">
        <v>94051091</v>
      </c>
      <c r="E10378">
        <v>54</v>
      </c>
      <c r="F10378">
        <v>18</v>
      </c>
      <c r="G10378">
        <v>12</v>
      </c>
      <c r="H10378" t="s">
        <v>19447</v>
      </c>
      <c r="I10378" t="s">
        <v>19447</v>
      </c>
      <c r="J10378">
        <v>18</v>
      </c>
      <c r="L10378" t="s">
        <v>2709</v>
      </c>
      <c r="M10378">
        <v>94051091</v>
      </c>
      <c r="O10378" t="s">
        <v>20109</v>
      </c>
      <c r="P10378" t="s">
        <v>19899</v>
      </c>
      <c r="Q10378" t="s">
        <v>19903</v>
      </c>
      <c r="R10378" t="s">
        <v>19447</v>
      </c>
      <c r="S10378" t="s">
        <v>19447</v>
      </c>
      <c r="T10378" t="s">
        <v>19899</v>
      </c>
    </row>
    <row r="10379" spans="2:20" x14ac:dyDescent="0.25">
      <c r="B10379" t="s">
        <v>2709</v>
      </c>
      <c r="C10379">
        <v>94051092</v>
      </c>
      <c r="E10379">
        <v>54</v>
      </c>
      <c r="F10379">
        <v>18</v>
      </c>
      <c r="G10379">
        <v>12</v>
      </c>
      <c r="H10379" t="s">
        <v>19447</v>
      </c>
      <c r="I10379" t="s">
        <v>19447</v>
      </c>
      <c r="J10379">
        <v>18</v>
      </c>
      <c r="L10379" t="s">
        <v>2709</v>
      </c>
      <c r="M10379">
        <v>94051092</v>
      </c>
      <c r="O10379" t="s">
        <v>20109</v>
      </c>
      <c r="P10379" t="s">
        <v>19899</v>
      </c>
      <c r="Q10379" t="s">
        <v>19903</v>
      </c>
      <c r="R10379" t="s">
        <v>19447</v>
      </c>
      <c r="S10379" t="s">
        <v>19447</v>
      </c>
      <c r="T10379" t="s">
        <v>19899</v>
      </c>
    </row>
    <row r="10380" spans="2:20" x14ac:dyDescent="0.25">
      <c r="B10380" t="s">
        <v>2709</v>
      </c>
      <c r="C10380">
        <v>94051093</v>
      </c>
      <c r="E10380">
        <v>54</v>
      </c>
      <c r="F10380">
        <v>7</v>
      </c>
      <c r="G10380">
        <v>12</v>
      </c>
      <c r="H10380" t="s">
        <v>19447</v>
      </c>
      <c r="I10380" t="s">
        <v>19447</v>
      </c>
      <c r="J10380">
        <v>18</v>
      </c>
      <c r="L10380" t="s">
        <v>2709</v>
      </c>
      <c r="M10380">
        <v>94051093</v>
      </c>
      <c r="O10380" t="s">
        <v>20109</v>
      </c>
      <c r="P10380" t="s">
        <v>19908</v>
      </c>
      <c r="Q10380" t="s">
        <v>19903</v>
      </c>
      <c r="R10380" t="s">
        <v>19447</v>
      </c>
      <c r="S10380" t="s">
        <v>19447</v>
      </c>
      <c r="T10380" t="s">
        <v>19899</v>
      </c>
    </row>
    <row r="10381" spans="2:20" x14ac:dyDescent="0.25">
      <c r="B10381" t="s">
        <v>2709</v>
      </c>
      <c r="C10381">
        <v>94051099</v>
      </c>
      <c r="E10381">
        <v>54</v>
      </c>
      <c r="F10381">
        <v>7</v>
      </c>
      <c r="G10381">
        <v>12</v>
      </c>
      <c r="H10381" t="s">
        <v>19447</v>
      </c>
      <c r="I10381" t="s">
        <v>19447</v>
      </c>
      <c r="J10381">
        <v>18</v>
      </c>
      <c r="L10381" t="s">
        <v>2709</v>
      </c>
      <c r="M10381">
        <v>94051099</v>
      </c>
      <c r="O10381" t="s">
        <v>20109</v>
      </c>
      <c r="P10381" t="s">
        <v>19908</v>
      </c>
      <c r="Q10381" t="s">
        <v>19903</v>
      </c>
      <c r="R10381" t="s">
        <v>19447</v>
      </c>
      <c r="S10381" t="s">
        <v>19447</v>
      </c>
      <c r="T10381" t="s">
        <v>19899</v>
      </c>
    </row>
    <row r="10382" spans="2:20" x14ac:dyDescent="0.25">
      <c r="B10382" t="s">
        <v>2709</v>
      </c>
      <c r="C10382">
        <v>94052000</v>
      </c>
      <c r="E10382">
        <v>54</v>
      </c>
      <c r="F10382">
        <v>18</v>
      </c>
      <c r="G10382">
        <v>15</v>
      </c>
      <c r="H10382" t="s">
        <v>19447</v>
      </c>
      <c r="I10382" t="s">
        <v>19447</v>
      </c>
      <c r="J10382">
        <v>18</v>
      </c>
      <c r="L10382" t="s">
        <v>2709</v>
      </c>
      <c r="M10382">
        <v>94052000</v>
      </c>
      <c r="O10382" t="s">
        <v>20109</v>
      </c>
      <c r="P10382" t="s">
        <v>19899</v>
      </c>
      <c r="Q10382" t="s">
        <v>19983</v>
      </c>
      <c r="R10382" t="s">
        <v>19447</v>
      </c>
      <c r="S10382" t="s">
        <v>19447</v>
      </c>
      <c r="T10382" t="s">
        <v>19899</v>
      </c>
    </row>
    <row r="10383" spans="2:20" x14ac:dyDescent="0.25">
      <c r="B10383" t="s">
        <v>2709</v>
      </c>
      <c r="C10383">
        <v>94053000</v>
      </c>
      <c r="E10383">
        <v>54</v>
      </c>
      <c r="F10383">
        <v>18</v>
      </c>
      <c r="G10383">
        <v>15</v>
      </c>
      <c r="H10383" t="s">
        <v>19447</v>
      </c>
      <c r="I10383" t="s">
        <v>19447</v>
      </c>
      <c r="J10383">
        <v>18</v>
      </c>
      <c r="L10383" t="s">
        <v>2709</v>
      </c>
      <c r="M10383">
        <v>94053000</v>
      </c>
      <c r="O10383" t="s">
        <v>20109</v>
      </c>
      <c r="P10383" t="s">
        <v>19899</v>
      </c>
      <c r="Q10383" t="s">
        <v>19983</v>
      </c>
      <c r="R10383" t="s">
        <v>19447</v>
      </c>
      <c r="S10383" t="s">
        <v>19447</v>
      </c>
      <c r="T10383" t="s">
        <v>19899</v>
      </c>
    </row>
    <row r="10384" spans="2:20" x14ac:dyDescent="0.25">
      <c r="B10384" t="s">
        <v>2709</v>
      </c>
      <c r="C10384">
        <v>94054010</v>
      </c>
      <c r="E10384">
        <v>54</v>
      </c>
      <c r="F10384">
        <v>18</v>
      </c>
      <c r="G10384">
        <v>12</v>
      </c>
      <c r="H10384" t="s">
        <v>19447</v>
      </c>
      <c r="I10384" t="s">
        <v>19447</v>
      </c>
      <c r="J10384">
        <v>18</v>
      </c>
      <c r="L10384" t="s">
        <v>2709</v>
      </c>
      <c r="M10384">
        <v>94054010</v>
      </c>
      <c r="O10384" t="s">
        <v>20109</v>
      </c>
      <c r="P10384" t="s">
        <v>19899</v>
      </c>
      <c r="Q10384" t="s">
        <v>19903</v>
      </c>
      <c r="R10384" t="s">
        <v>19447</v>
      </c>
      <c r="S10384" t="s">
        <v>19447</v>
      </c>
      <c r="T10384" t="s">
        <v>19899</v>
      </c>
    </row>
    <row r="10385" spans="2:20" x14ac:dyDescent="0.25">
      <c r="B10385" t="s">
        <v>2709</v>
      </c>
      <c r="C10385">
        <v>94054090</v>
      </c>
      <c r="E10385">
        <v>54</v>
      </c>
      <c r="F10385">
        <v>7</v>
      </c>
      <c r="G10385">
        <v>12</v>
      </c>
      <c r="H10385" t="s">
        <v>19447</v>
      </c>
      <c r="I10385" t="s">
        <v>19447</v>
      </c>
      <c r="J10385">
        <v>18</v>
      </c>
      <c r="L10385" t="s">
        <v>2709</v>
      </c>
      <c r="M10385">
        <v>94054090</v>
      </c>
      <c r="O10385" t="s">
        <v>20109</v>
      </c>
      <c r="P10385" t="s">
        <v>19908</v>
      </c>
      <c r="Q10385" t="s">
        <v>19903</v>
      </c>
      <c r="R10385" t="s">
        <v>19447</v>
      </c>
      <c r="S10385" t="s">
        <v>19447</v>
      </c>
      <c r="T10385" t="s">
        <v>19899</v>
      </c>
    </row>
    <row r="10386" spans="2:20" x14ac:dyDescent="0.25">
      <c r="B10386" t="s">
        <v>2709</v>
      </c>
      <c r="C10386">
        <v>94054090</v>
      </c>
      <c r="D10386">
        <v>1</v>
      </c>
      <c r="E10386" t="s">
        <v>19447</v>
      </c>
      <c r="F10386">
        <v>18</v>
      </c>
      <c r="G10386">
        <v>0</v>
      </c>
      <c r="H10386">
        <v>7.6</v>
      </c>
      <c r="I10386">
        <v>1.65</v>
      </c>
      <c r="J10386">
        <v>18</v>
      </c>
      <c r="L10386" t="s">
        <v>2709</v>
      </c>
      <c r="M10386">
        <v>94054090</v>
      </c>
      <c r="N10386">
        <v>1</v>
      </c>
      <c r="O10386" t="s">
        <v>19447</v>
      </c>
      <c r="P10386" t="s">
        <v>19899</v>
      </c>
      <c r="Q10386" t="s">
        <v>19900</v>
      </c>
      <c r="R10386" t="s">
        <v>19905</v>
      </c>
      <c r="S10386" t="s">
        <v>19906</v>
      </c>
      <c r="T10386" t="s">
        <v>19899</v>
      </c>
    </row>
    <row r="10387" spans="2:20" x14ac:dyDescent="0.25">
      <c r="B10387" t="s">
        <v>2709</v>
      </c>
      <c r="C10387">
        <v>94055000</v>
      </c>
      <c r="E10387">
        <v>54</v>
      </c>
      <c r="F10387">
        <v>18</v>
      </c>
      <c r="G10387">
        <v>5</v>
      </c>
      <c r="H10387" t="s">
        <v>19447</v>
      </c>
      <c r="I10387" t="s">
        <v>19447</v>
      </c>
      <c r="J10387">
        <v>18</v>
      </c>
      <c r="L10387" t="s">
        <v>2709</v>
      </c>
      <c r="M10387">
        <v>94055000</v>
      </c>
      <c r="O10387" t="s">
        <v>20109</v>
      </c>
      <c r="P10387" t="s">
        <v>19899</v>
      </c>
      <c r="Q10387" t="s">
        <v>19909</v>
      </c>
      <c r="R10387" t="s">
        <v>19447</v>
      </c>
      <c r="S10387" t="s">
        <v>19447</v>
      </c>
      <c r="T10387" t="s">
        <v>19899</v>
      </c>
    </row>
    <row r="10388" spans="2:20" x14ac:dyDescent="0.25">
      <c r="B10388" t="s">
        <v>2709</v>
      </c>
      <c r="C10388">
        <v>94056000</v>
      </c>
      <c r="E10388">
        <v>54</v>
      </c>
      <c r="F10388">
        <v>18</v>
      </c>
      <c r="G10388">
        <v>15</v>
      </c>
      <c r="H10388" t="s">
        <v>19447</v>
      </c>
      <c r="I10388" t="s">
        <v>19447</v>
      </c>
      <c r="J10388">
        <v>18</v>
      </c>
      <c r="L10388" t="s">
        <v>2709</v>
      </c>
      <c r="M10388">
        <v>94056000</v>
      </c>
      <c r="O10388" t="s">
        <v>20109</v>
      </c>
      <c r="P10388" t="s">
        <v>19899</v>
      </c>
      <c r="Q10388" t="s">
        <v>19983</v>
      </c>
      <c r="R10388" t="s">
        <v>19447</v>
      </c>
      <c r="S10388" t="s">
        <v>19447</v>
      </c>
      <c r="T10388" t="s">
        <v>19899</v>
      </c>
    </row>
    <row r="10389" spans="2:20" x14ac:dyDescent="0.25">
      <c r="B10389" t="s">
        <v>2709</v>
      </c>
      <c r="C10389">
        <v>94059100</v>
      </c>
      <c r="E10389">
        <v>54</v>
      </c>
      <c r="F10389">
        <v>18</v>
      </c>
      <c r="G10389">
        <v>15</v>
      </c>
      <c r="H10389" t="s">
        <v>19447</v>
      </c>
      <c r="I10389" t="s">
        <v>19447</v>
      </c>
      <c r="J10389">
        <v>18</v>
      </c>
      <c r="L10389" t="s">
        <v>2709</v>
      </c>
      <c r="M10389">
        <v>94059100</v>
      </c>
      <c r="O10389" t="s">
        <v>20109</v>
      </c>
      <c r="P10389" t="s">
        <v>19899</v>
      </c>
      <c r="Q10389" t="s">
        <v>19983</v>
      </c>
      <c r="R10389" t="s">
        <v>19447</v>
      </c>
      <c r="S10389" t="s">
        <v>19447</v>
      </c>
      <c r="T10389" t="s">
        <v>19899</v>
      </c>
    </row>
    <row r="10390" spans="2:20" x14ac:dyDescent="0.25">
      <c r="B10390" t="s">
        <v>2709</v>
      </c>
      <c r="C10390">
        <v>94059200</v>
      </c>
      <c r="E10390">
        <v>54</v>
      </c>
      <c r="F10390">
        <v>18</v>
      </c>
      <c r="G10390">
        <v>15</v>
      </c>
      <c r="H10390" t="s">
        <v>19447</v>
      </c>
      <c r="I10390" t="s">
        <v>19447</v>
      </c>
      <c r="J10390">
        <v>18</v>
      </c>
      <c r="L10390" t="s">
        <v>2709</v>
      </c>
      <c r="M10390">
        <v>94059200</v>
      </c>
      <c r="O10390" t="s">
        <v>20109</v>
      </c>
      <c r="P10390" t="s">
        <v>19899</v>
      </c>
      <c r="Q10390" t="s">
        <v>19983</v>
      </c>
      <c r="R10390" t="s">
        <v>19447</v>
      </c>
      <c r="S10390" t="s">
        <v>19447</v>
      </c>
      <c r="T10390" t="s">
        <v>19899</v>
      </c>
    </row>
    <row r="10391" spans="2:20" x14ac:dyDescent="0.25">
      <c r="B10391" t="s">
        <v>2709</v>
      </c>
      <c r="C10391">
        <v>94059900</v>
      </c>
      <c r="E10391">
        <v>54</v>
      </c>
      <c r="F10391">
        <v>18</v>
      </c>
      <c r="G10391">
        <v>15</v>
      </c>
      <c r="H10391" t="s">
        <v>19447</v>
      </c>
      <c r="I10391" t="s">
        <v>19447</v>
      </c>
      <c r="J10391">
        <v>18</v>
      </c>
      <c r="L10391" t="s">
        <v>2709</v>
      </c>
      <c r="M10391">
        <v>94059900</v>
      </c>
      <c r="O10391" t="s">
        <v>20109</v>
      </c>
      <c r="P10391" t="s">
        <v>19899</v>
      </c>
      <c r="Q10391" t="s">
        <v>19983</v>
      </c>
      <c r="R10391" t="s">
        <v>19447</v>
      </c>
      <c r="S10391" t="s">
        <v>19447</v>
      </c>
      <c r="T10391" t="s">
        <v>19899</v>
      </c>
    </row>
    <row r="10392" spans="2:20" x14ac:dyDescent="0.25">
      <c r="B10392" t="s">
        <v>2709</v>
      </c>
      <c r="C10392">
        <v>94060010</v>
      </c>
      <c r="E10392" t="s">
        <v>19447</v>
      </c>
      <c r="F10392">
        <v>5.6</v>
      </c>
      <c r="G10392">
        <v>0</v>
      </c>
      <c r="H10392" t="s">
        <v>19447</v>
      </c>
      <c r="I10392" t="s">
        <v>19447</v>
      </c>
      <c r="J10392">
        <v>14</v>
      </c>
      <c r="L10392" t="s">
        <v>2709</v>
      </c>
      <c r="M10392">
        <v>94060010</v>
      </c>
      <c r="O10392" t="s">
        <v>19447</v>
      </c>
      <c r="P10392" t="s">
        <v>20133</v>
      </c>
      <c r="Q10392" t="s">
        <v>19900</v>
      </c>
      <c r="R10392" t="s">
        <v>19447</v>
      </c>
      <c r="S10392" t="s">
        <v>19447</v>
      </c>
      <c r="T10392" t="s">
        <v>19911</v>
      </c>
    </row>
    <row r="10393" spans="2:20" x14ac:dyDescent="0.25">
      <c r="B10393" t="s">
        <v>2709</v>
      </c>
      <c r="C10393">
        <v>94060091</v>
      </c>
      <c r="E10393" t="s">
        <v>19447</v>
      </c>
      <c r="F10393">
        <v>5.6</v>
      </c>
      <c r="G10393">
        <v>0</v>
      </c>
      <c r="H10393" t="s">
        <v>19447</v>
      </c>
      <c r="I10393" t="s">
        <v>19447</v>
      </c>
      <c r="J10393">
        <v>18</v>
      </c>
      <c r="L10393" t="s">
        <v>2709</v>
      </c>
      <c r="M10393">
        <v>94060091</v>
      </c>
      <c r="O10393" t="s">
        <v>19447</v>
      </c>
      <c r="P10393" t="s">
        <v>20133</v>
      </c>
      <c r="Q10393" t="s">
        <v>19900</v>
      </c>
      <c r="R10393" t="s">
        <v>19447</v>
      </c>
      <c r="S10393" t="s">
        <v>19447</v>
      </c>
      <c r="T10393" t="s">
        <v>19899</v>
      </c>
    </row>
    <row r="10394" spans="2:20" x14ac:dyDescent="0.25">
      <c r="B10394" t="s">
        <v>2709</v>
      </c>
      <c r="C10394">
        <v>94060092</v>
      </c>
      <c r="E10394" t="s">
        <v>19447</v>
      </c>
      <c r="F10394">
        <v>5.6</v>
      </c>
      <c r="G10394">
        <v>0</v>
      </c>
      <c r="H10394" t="s">
        <v>19447</v>
      </c>
      <c r="I10394" t="s">
        <v>19447</v>
      </c>
      <c r="J10394">
        <v>14</v>
      </c>
      <c r="L10394" t="s">
        <v>2709</v>
      </c>
      <c r="M10394">
        <v>94060092</v>
      </c>
      <c r="O10394" t="s">
        <v>19447</v>
      </c>
      <c r="P10394" t="s">
        <v>20133</v>
      </c>
      <c r="Q10394" t="s">
        <v>19900</v>
      </c>
      <c r="R10394" t="s">
        <v>19447</v>
      </c>
      <c r="S10394" t="s">
        <v>19447</v>
      </c>
      <c r="T10394" t="s">
        <v>19911</v>
      </c>
    </row>
    <row r="10395" spans="2:20" x14ac:dyDescent="0.25">
      <c r="B10395" t="s">
        <v>2709</v>
      </c>
      <c r="C10395">
        <v>94060099</v>
      </c>
      <c r="E10395" t="s">
        <v>19447</v>
      </c>
      <c r="F10395">
        <v>0</v>
      </c>
      <c r="G10395">
        <v>0</v>
      </c>
      <c r="H10395" t="s">
        <v>19447</v>
      </c>
      <c r="I10395" t="s">
        <v>19447</v>
      </c>
      <c r="J10395">
        <v>18</v>
      </c>
      <c r="L10395" t="s">
        <v>2709</v>
      </c>
      <c r="M10395">
        <v>94060099</v>
      </c>
      <c r="O10395" t="s">
        <v>19447</v>
      </c>
      <c r="P10395" t="s">
        <v>19900</v>
      </c>
      <c r="Q10395" t="s">
        <v>19900</v>
      </c>
      <c r="R10395" t="s">
        <v>19447</v>
      </c>
      <c r="S10395" t="s">
        <v>19447</v>
      </c>
      <c r="T10395" t="s">
        <v>19899</v>
      </c>
    </row>
    <row r="10396" spans="2:20" x14ac:dyDescent="0.25">
      <c r="B10396" t="s">
        <v>2709</v>
      </c>
      <c r="C10396">
        <v>95030010</v>
      </c>
      <c r="E10396">
        <v>73.22</v>
      </c>
      <c r="F10396">
        <v>18</v>
      </c>
      <c r="G10396">
        <v>10</v>
      </c>
      <c r="H10396">
        <v>7.6</v>
      </c>
      <c r="I10396">
        <v>1.65</v>
      </c>
      <c r="J10396">
        <v>35</v>
      </c>
      <c r="L10396" t="s">
        <v>2709</v>
      </c>
      <c r="M10396">
        <v>95030010</v>
      </c>
      <c r="O10396" t="s">
        <v>20224</v>
      </c>
      <c r="P10396" t="s">
        <v>19899</v>
      </c>
      <c r="Q10396" t="s">
        <v>19904</v>
      </c>
      <c r="R10396" t="s">
        <v>19905</v>
      </c>
      <c r="S10396" t="s">
        <v>19906</v>
      </c>
      <c r="T10396" t="s">
        <v>19919</v>
      </c>
    </row>
    <row r="10397" spans="2:20" x14ac:dyDescent="0.25">
      <c r="B10397" t="s">
        <v>2709</v>
      </c>
      <c r="C10397">
        <v>95030021</v>
      </c>
      <c r="E10397">
        <v>73.22</v>
      </c>
      <c r="F10397">
        <v>18</v>
      </c>
      <c r="G10397">
        <v>10</v>
      </c>
      <c r="H10397">
        <v>7.6</v>
      </c>
      <c r="I10397">
        <v>1.65</v>
      </c>
      <c r="J10397">
        <v>35</v>
      </c>
      <c r="L10397" t="s">
        <v>2709</v>
      </c>
      <c r="M10397">
        <v>95030021</v>
      </c>
      <c r="O10397" t="s">
        <v>20224</v>
      </c>
      <c r="P10397" t="s">
        <v>19899</v>
      </c>
      <c r="Q10397" t="s">
        <v>19904</v>
      </c>
      <c r="R10397" t="s">
        <v>19905</v>
      </c>
      <c r="S10397" t="s">
        <v>19906</v>
      </c>
      <c r="T10397" t="s">
        <v>19919</v>
      </c>
    </row>
    <row r="10398" spans="2:20" x14ac:dyDescent="0.25">
      <c r="B10398" t="s">
        <v>2709</v>
      </c>
      <c r="C10398">
        <v>95030022</v>
      </c>
      <c r="E10398">
        <v>73.22</v>
      </c>
      <c r="F10398">
        <v>18</v>
      </c>
      <c r="G10398">
        <v>10</v>
      </c>
      <c r="H10398">
        <v>7.6</v>
      </c>
      <c r="I10398">
        <v>1.65</v>
      </c>
      <c r="J10398">
        <v>35</v>
      </c>
      <c r="L10398" t="s">
        <v>2709</v>
      </c>
      <c r="M10398">
        <v>95030022</v>
      </c>
      <c r="O10398" t="s">
        <v>20224</v>
      </c>
      <c r="P10398" t="s">
        <v>19899</v>
      </c>
      <c r="Q10398" t="s">
        <v>19904</v>
      </c>
      <c r="R10398" t="s">
        <v>19905</v>
      </c>
      <c r="S10398" t="s">
        <v>19906</v>
      </c>
      <c r="T10398" t="s">
        <v>19919</v>
      </c>
    </row>
    <row r="10399" spans="2:20" x14ac:dyDescent="0.25">
      <c r="B10399" t="s">
        <v>2709</v>
      </c>
      <c r="C10399">
        <v>95030029</v>
      </c>
      <c r="E10399">
        <v>73.22</v>
      </c>
      <c r="F10399">
        <v>18</v>
      </c>
      <c r="G10399">
        <v>10</v>
      </c>
      <c r="H10399">
        <v>7.6</v>
      </c>
      <c r="I10399">
        <v>1.65</v>
      </c>
      <c r="J10399">
        <v>2</v>
      </c>
      <c r="L10399" t="s">
        <v>2709</v>
      </c>
      <c r="M10399">
        <v>95030029</v>
      </c>
      <c r="O10399" t="s">
        <v>20224</v>
      </c>
      <c r="P10399" t="s">
        <v>19899</v>
      </c>
      <c r="Q10399" t="s">
        <v>19904</v>
      </c>
      <c r="R10399" t="s">
        <v>19905</v>
      </c>
      <c r="S10399" t="s">
        <v>19906</v>
      </c>
      <c r="T10399" t="s">
        <v>19901</v>
      </c>
    </row>
    <row r="10400" spans="2:20" x14ac:dyDescent="0.25">
      <c r="B10400" t="s">
        <v>2709</v>
      </c>
      <c r="C10400">
        <v>95030031</v>
      </c>
      <c r="E10400">
        <v>73.22</v>
      </c>
      <c r="F10400">
        <v>18</v>
      </c>
      <c r="G10400">
        <v>10</v>
      </c>
      <c r="H10400">
        <v>7.6</v>
      </c>
      <c r="I10400">
        <v>1.65</v>
      </c>
      <c r="J10400">
        <v>35</v>
      </c>
      <c r="L10400" t="s">
        <v>2709</v>
      </c>
      <c r="M10400">
        <v>95030031</v>
      </c>
      <c r="O10400" t="s">
        <v>20224</v>
      </c>
      <c r="P10400" t="s">
        <v>19899</v>
      </c>
      <c r="Q10400" t="s">
        <v>19904</v>
      </c>
      <c r="R10400" t="s">
        <v>19905</v>
      </c>
      <c r="S10400" t="s">
        <v>19906</v>
      </c>
      <c r="T10400" t="s">
        <v>19919</v>
      </c>
    </row>
    <row r="10401" spans="2:20" x14ac:dyDescent="0.25">
      <c r="B10401" t="s">
        <v>2709</v>
      </c>
      <c r="C10401">
        <v>95030039</v>
      </c>
      <c r="E10401">
        <v>73.22</v>
      </c>
      <c r="F10401">
        <v>18</v>
      </c>
      <c r="G10401">
        <v>10</v>
      </c>
      <c r="H10401">
        <v>7.6</v>
      </c>
      <c r="I10401">
        <v>1.65</v>
      </c>
      <c r="J10401">
        <v>35</v>
      </c>
      <c r="L10401" t="s">
        <v>2709</v>
      </c>
      <c r="M10401">
        <v>95030039</v>
      </c>
      <c r="O10401" t="s">
        <v>20224</v>
      </c>
      <c r="P10401" t="s">
        <v>19899</v>
      </c>
      <c r="Q10401" t="s">
        <v>19904</v>
      </c>
      <c r="R10401" t="s">
        <v>19905</v>
      </c>
      <c r="S10401" t="s">
        <v>19906</v>
      </c>
      <c r="T10401" t="s">
        <v>19919</v>
      </c>
    </row>
    <row r="10402" spans="2:20" x14ac:dyDescent="0.25">
      <c r="B10402" t="s">
        <v>2709</v>
      </c>
      <c r="C10402">
        <v>95030040</v>
      </c>
      <c r="E10402">
        <v>73.22</v>
      </c>
      <c r="F10402">
        <v>18</v>
      </c>
      <c r="G10402">
        <v>10</v>
      </c>
      <c r="H10402">
        <v>7.6</v>
      </c>
      <c r="I10402">
        <v>1.65</v>
      </c>
      <c r="J10402">
        <v>35</v>
      </c>
      <c r="L10402" t="s">
        <v>2709</v>
      </c>
      <c r="M10402">
        <v>95030040</v>
      </c>
      <c r="O10402" t="s">
        <v>20224</v>
      </c>
      <c r="P10402" t="s">
        <v>19899</v>
      </c>
      <c r="Q10402" t="s">
        <v>19904</v>
      </c>
      <c r="R10402" t="s">
        <v>19905</v>
      </c>
      <c r="S10402" t="s">
        <v>19906</v>
      </c>
      <c r="T10402" t="s">
        <v>19919</v>
      </c>
    </row>
    <row r="10403" spans="2:20" x14ac:dyDescent="0.25">
      <c r="B10403" t="s">
        <v>2709</v>
      </c>
      <c r="C10403">
        <v>95030050</v>
      </c>
      <c r="E10403">
        <v>73.22</v>
      </c>
      <c r="F10403">
        <v>18</v>
      </c>
      <c r="G10403">
        <v>10</v>
      </c>
      <c r="H10403">
        <v>7.6</v>
      </c>
      <c r="I10403">
        <v>1.65</v>
      </c>
      <c r="J10403">
        <v>35</v>
      </c>
      <c r="L10403" t="s">
        <v>2709</v>
      </c>
      <c r="M10403">
        <v>95030050</v>
      </c>
      <c r="O10403" t="s">
        <v>20224</v>
      </c>
      <c r="P10403" t="s">
        <v>19899</v>
      </c>
      <c r="Q10403" t="s">
        <v>19904</v>
      </c>
      <c r="R10403" t="s">
        <v>19905</v>
      </c>
      <c r="S10403" t="s">
        <v>19906</v>
      </c>
      <c r="T10403" t="s">
        <v>19919</v>
      </c>
    </row>
    <row r="10404" spans="2:20" x14ac:dyDescent="0.25">
      <c r="B10404" t="s">
        <v>2709</v>
      </c>
      <c r="C10404">
        <v>95030060</v>
      </c>
      <c r="E10404">
        <v>73.22</v>
      </c>
      <c r="F10404">
        <v>18</v>
      </c>
      <c r="G10404">
        <v>10</v>
      </c>
      <c r="H10404">
        <v>7.6</v>
      </c>
      <c r="I10404">
        <v>1.65</v>
      </c>
      <c r="J10404">
        <v>35</v>
      </c>
      <c r="L10404" t="s">
        <v>2709</v>
      </c>
      <c r="M10404">
        <v>95030060</v>
      </c>
      <c r="O10404" t="s">
        <v>20224</v>
      </c>
      <c r="P10404" t="s">
        <v>19899</v>
      </c>
      <c r="Q10404" t="s">
        <v>19904</v>
      </c>
      <c r="R10404" t="s">
        <v>19905</v>
      </c>
      <c r="S10404" t="s">
        <v>19906</v>
      </c>
      <c r="T10404" t="s">
        <v>19919</v>
      </c>
    </row>
    <row r="10405" spans="2:20" x14ac:dyDescent="0.25">
      <c r="B10405" t="s">
        <v>2709</v>
      </c>
      <c r="C10405">
        <v>95030070</v>
      </c>
      <c r="E10405">
        <v>73.22</v>
      </c>
      <c r="F10405">
        <v>18</v>
      </c>
      <c r="G10405">
        <v>10</v>
      </c>
      <c r="H10405">
        <v>7.6</v>
      </c>
      <c r="I10405">
        <v>1.65</v>
      </c>
      <c r="J10405">
        <v>35</v>
      </c>
      <c r="L10405" t="s">
        <v>2709</v>
      </c>
      <c r="M10405">
        <v>95030070</v>
      </c>
      <c r="O10405" t="s">
        <v>20224</v>
      </c>
      <c r="P10405" t="s">
        <v>19899</v>
      </c>
      <c r="Q10405" t="s">
        <v>19904</v>
      </c>
      <c r="R10405" t="s">
        <v>19905</v>
      </c>
      <c r="S10405" t="s">
        <v>19906</v>
      </c>
      <c r="T10405" t="s">
        <v>19919</v>
      </c>
    </row>
    <row r="10406" spans="2:20" x14ac:dyDescent="0.25">
      <c r="B10406" t="s">
        <v>2709</v>
      </c>
      <c r="C10406">
        <v>95030080</v>
      </c>
      <c r="E10406">
        <v>73.22</v>
      </c>
      <c r="F10406">
        <v>18</v>
      </c>
      <c r="G10406">
        <v>10</v>
      </c>
      <c r="H10406">
        <v>7.6</v>
      </c>
      <c r="I10406">
        <v>1.65</v>
      </c>
      <c r="J10406">
        <v>35</v>
      </c>
      <c r="L10406" t="s">
        <v>2709</v>
      </c>
      <c r="M10406">
        <v>95030080</v>
      </c>
      <c r="O10406" t="s">
        <v>20224</v>
      </c>
      <c r="P10406" t="s">
        <v>19899</v>
      </c>
      <c r="Q10406" t="s">
        <v>19904</v>
      </c>
      <c r="R10406" t="s">
        <v>19905</v>
      </c>
      <c r="S10406" t="s">
        <v>19906</v>
      </c>
      <c r="T10406" t="s">
        <v>19919</v>
      </c>
    </row>
    <row r="10407" spans="2:20" x14ac:dyDescent="0.25">
      <c r="B10407" t="s">
        <v>2709</v>
      </c>
      <c r="C10407">
        <v>95030091</v>
      </c>
      <c r="E10407">
        <v>73.22</v>
      </c>
      <c r="F10407">
        <v>18</v>
      </c>
      <c r="G10407">
        <v>10</v>
      </c>
      <c r="H10407">
        <v>7.6</v>
      </c>
      <c r="I10407">
        <v>1.65</v>
      </c>
      <c r="J10407">
        <v>35</v>
      </c>
      <c r="L10407" t="s">
        <v>2709</v>
      </c>
      <c r="M10407">
        <v>95030091</v>
      </c>
      <c r="O10407" t="s">
        <v>20224</v>
      </c>
      <c r="P10407" t="s">
        <v>19899</v>
      </c>
      <c r="Q10407" t="s">
        <v>19904</v>
      </c>
      <c r="R10407" t="s">
        <v>19905</v>
      </c>
      <c r="S10407" t="s">
        <v>19906</v>
      </c>
      <c r="T10407" t="s">
        <v>19919</v>
      </c>
    </row>
    <row r="10408" spans="2:20" x14ac:dyDescent="0.25">
      <c r="B10408" t="s">
        <v>2709</v>
      </c>
      <c r="C10408">
        <v>95030097</v>
      </c>
      <c r="E10408">
        <v>73.22</v>
      </c>
      <c r="F10408">
        <v>18</v>
      </c>
      <c r="G10408">
        <v>10</v>
      </c>
      <c r="H10408">
        <v>7.6</v>
      </c>
      <c r="I10408">
        <v>1.65</v>
      </c>
      <c r="J10408">
        <v>35</v>
      </c>
      <c r="L10408" t="s">
        <v>2709</v>
      </c>
      <c r="M10408">
        <v>95030097</v>
      </c>
      <c r="O10408" t="s">
        <v>20224</v>
      </c>
      <c r="P10408" t="s">
        <v>19899</v>
      </c>
      <c r="Q10408" t="s">
        <v>19904</v>
      </c>
      <c r="R10408" t="s">
        <v>19905</v>
      </c>
      <c r="S10408" t="s">
        <v>19906</v>
      </c>
      <c r="T10408" t="s">
        <v>19919</v>
      </c>
    </row>
    <row r="10409" spans="2:20" x14ac:dyDescent="0.25">
      <c r="B10409" t="s">
        <v>2709</v>
      </c>
      <c r="C10409">
        <v>95030098</v>
      </c>
      <c r="E10409">
        <v>73.22</v>
      </c>
      <c r="F10409">
        <v>18</v>
      </c>
      <c r="G10409">
        <v>10</v>
      </c>
      <c r="H10409">
        <v>7.6</v>
      </c>
      <c r="I10409">
        <v>1.65</v>
      </c>
      <c r="J10409">
        <v>35</v>
      </c>
      <c r="L10409" t="s">
        <v>2709</v>
      </c>
      <c r="M10409">
        <v>95030098</v>
      </c>
      <c r="O10409" t="s">
        <v>20224</v>
      </c>
      <c r="P10409" t="s">
        <v>19899</v>
      </c>
      <c r="Q10409" t="s">
        <v>19904</v>
      </c>
      <c r="R10409" t="s">
        <v>19905</v>
      </c>
      <c r="S10409" t="s">
        <v>19906</v>
      </c>
      <c r="T10409" t="s">
        <v>19919</v>
      </c>
    </row>
    <row r="10410" spans="2:20" x14ac:dyDescent="0.25">
      <c r="B10410" t="s">
        <v>2709</v>
      </c>
      <c r="C10410">
        <v>95030099</v>
      </c>
      <c r="E10410">
        <v>73.22</v>
      </c>
      <c r="F10410">
        <v>18</v>
      </c>
      <c r="G10410">
        <v>10</v>
      </c>
      <c r="H10410">
        <v>7.6</v>
      </c>
      <c r="I10410">
        <v>1.65</v>
      </c>
      <c r="J10410">
        <v>35</v>
      </c>
      <c r="L10410" t="s">
        <v>2709</v>
      </c>
      <c r="M10410">
        <v>95030099</v>
      </c>
      <c r="O10410" t="s">
        <v>20224</v>
      </c>
      <c r="P10410" t="s">
        <v>19899</v>
      </c>
      <c r="Q10410" t="s">
        <v>19904</v>
      </c>
      <c r="R10410" t="s">
        <v>19905</v>
      </c>
      <c r="S10410" t="s">
        <v>19906</v>
      </c>
      <c r="T10410" t="s">
        <v>19919</v>
      </c>
    </row>
    <row r="10411" spans="2:20" x14ac:dyDescent="0.25">
      <c r="B10411" t="s">
        <v>2709</v>
      </c>
      <c r="C10411">
        <v>95042000</v>
      </c>
      <c r="E10411">
        <v>73.22</v>
      </c>
      <c r="F10411">
        <v>25</v>
      </c>
      <c r="G10411">
        <v>40</v>
      </c>
      <c r="H10411">
        <v>7.6</v>
      </c>
      <c r="I10411">
        <v>1.65</v>
      </c>
      <c r="J10411">
        <v>20</v>
      </c>
      <c r="L10411" t="s">
        <v>2709</v>
      </c>
      <c r="M10411">
        <v>95042000</v>
      </c>
      <c r="O10411" t="s">
        <v>20224</v>
      </c>
      <c r="P10411" t="s">
        <v>19982</v>
      </c>
      <c r="Q10411" t="s">
        <v>19922</v>
      </c>
      <c r="R10411" t="s">
        <v>19905</v>
      </c>
      <c r="S10411" t="s">
        <v>19906</v>
      </c>
      <c r="T10411" t="s">
        <v>19934</v>
      </c>
    </row>
    <row r="10412" spans="2:20" x14ac:dyDescent="0.25">
      <c r="B10412" t="s">
        <v>2709</v>
      </c>
      <c r="C10412">
        <v>95042000</v>
      </c>
      <c r="D10412">
        <v>1</v>
      </c>
      <c r="E10412" t="s">
        <v>19447</v>
      </c>
      <c r="F10412">
        <v>18</v>
      </c>
      <c r="G10412">
        <v>20</v>
      </c>
      <c r="H10412">
        <v>7.6</v>
      </c>
      <c r="I10412">
        <v>1.65</v>
      </c>
      <c r="J10412">
        <v>20</v>
      </c>
      <c r="L10412" t="s">
        <v>2709</v>
      </c>
      <c r="M10412">
        <v>95042000</v>
      </c>
      <c r="N10412">
        <v>1</v>
      </c>
      <c r="O10412" t="s">
        <v>19447</v>
      </c>
      <c r="P10412" t="s">
        <v>19899</v>
      </c>
      <c r="Q10412" t="s">
        <v>19934</v>
      </c>
      <c r="R10412" t="s">
        <v>19905</v>
      </c>
      <c r="S10412" t="s">
        <v>19906</v>
      </c>
      <c r="T10412" t="s">
        <v>19934</v>
      </c>
    </row>
    <row r="10413" spans="2:20" x14ac:dyDescent="0.25">
      <c r="B10413" t="s">
        <v>2709</v>
      </c>
      <c r="C10413">
        <v>95043000</v>
      </c>
      <c r="E10413">
        <v>73.22</v>
      </c>
      <c r="F10413">
        <v>18</v>
      </c>
      <c r="G10413">
        <v>20</v>
      </c>
      <c r="H10413">
        <v>7.6</v>
      </c>
      <c r="I10413">
        <v>1.65</v>
      </c>
      <c r="J10413">
        <v>20</v>
      </c>
      <c r="L10413" t="s">
        <v>2709</v>
      </c>
      <c r="M10413">
        <v>95043000</v>
      </c>
      <c r="O10413" t="s">
        <v>20224</v>
      </c>
      <c r="P10413" t="s">
        <v>19899</v>
      </c>
      <c r="Q10413" t="s">
        <v>19934</v>
      </c>
      <c r="R10413" t="s">
        <v>19905</v>
      </c>
      <c r="S10413" t="s">
        <v>19906</v>
      </c>
      <c r="T10413" t="s">
        <v>19934</v>
      </c>
    </row>
    <row r="10414" spans="2:20" x14ac:dyDescent="0.25">
      <c r="B10414" t="s">
        <v>2709</v>
      </c>
      <c r="C10414">
        <v>95044000</v>
      </c>
      <c r="E10414">
        <v>73.22</v>
      </c>
      <c r="F10414">
        <v>25</v>
      </c>
      <c r="G10414">
        <v>10</v>
      </c>
      <c r="H10414">
        <v>7.6</v>
      </c>
      <c r="I10414">
        <v>1.65</v>
      </c>
      <c r="J10414">
        <v>20</v>
      </c>
      <c r="L10414" t="s">
        <v>2709</v>
      </c>
      <c r="M10414">
        <v>95044000</v>
      </c>
      <c r="O10414" t="s">
        <v>20224</v>
      </c>
      <c r="P10414" t="s">
        <v>19982</v>
      </c>
      <c r="Q10414" t="s">
        <v>19904</v>
      </c>
      <c r="R10414" t="s">
        <v>19905</v>
      </c>
      <c r="S10414" t="s">
        <v>19906</v>
      </c>
      <c r="T10414" t="s">
        <v>19934</v>
      </c>
    </row>
    <row r="10415" spans="2:20" x14ac:dyDescent="0.25">
      <c r="B10415" t="s">
        <v>2709</v>
      </c>
      <c r="C10415">
        <v>95045000</v>
      </c>
      <c r="E10415">
        <v>33.54</v>
      </c>
      <c r="F10415">
        <v>25</v>
      </c>
      <c r="G10415">
        <v>50</v>
      </c>
      <c r="H10415">
        <v>7.6</v>
      </c>
      <c r="I10415">
        <v>1.65</v>
      </c>
      <c r="J10415">
        <v>20</v>
      </c>
      <c r="L10415" t="s">
        <v>2709</v>
      </c>
      <c r="M10415">
        <v>95045000</v>
      </c>
      <c r="O10415" t="s">
        <v>20225</v>
      </c>
      <c r="P10415" t="s">
        <v>19982</v>
      </c>
      <c r="Q10415" t="s">
        <v>20000</v>
      </c>
      <c r="R10415" t="s">
        <v>19905</v>
      </c>
      <c r="S10415" t="s">
        <v>19906</v>
      </c>
      <c r="T10415" t="s">
        <v>19934</v>
      </c>
    </row>
    <row r="10416" spans="2:20" x14ac:dyDescent="0.25">
      <c r="B10416" t="s">
        <v>2709</v>
      </c>
      <c r="C10416">
        <v>95045000</v>
      </c>
      <c r="D10416">
        <v>1</v>
      </c>
      <c r="E10416" t="s">
        <v>19447</v>
      </c>
      <c r="F10416">
        <v>18</v>
      </c>
      <c r="G10416">
        <v>40</v>
      </c>
      <c r="H10416">
        <v>7.6</v>
      </c>
      <c r="I10416">
        <v>1.65</v>
      </c>
      <c r="J10416">
        <v>20</v>
      </c>
      <c r="L10416" t="s">
        <v>2709</v>
      </c>
      <c r="M10416">
        <v>95045000</v>
      </c>
      <c r="N10416">
        <v>1</v>
      </c>
      <c r="O10416" t="s">
        <v>19447</v>
      </c>
      <c r="P10416" t="s">
        <v>19899</v>
      </c>
      <c r="Q10416" t="s">
        <v>19922</v>
      </c>
      <c r="R10416" t="s">
        <v>19905</v>
      </c>
      <c r="S10416" t="s">
        <v>19906</v>
      </c>
      <c r="T10416" t="s">
        <v>19934</v>
      </c>
    </row>
    <row r="10417" spans="2:20" x14ac:dyDescent="0.25">
      <c r="B10417" t="s">
        <v>2709</v>
      </c>
      <c r="C10417">
        <v>95045000</v>
      </c>
      <c r="D10417">
        <v>2</v>
      </c>
      <c r="E10417" t="s">
        <v>19447</v>
      </c>
      <c r="F10417">
        <v>18</v>
      </c>
      <c r="G10417">
        <v>20</v>
      </c>
      <c r="H10417">
        <v>7.6</v>
      </c>
      <c r="I10417">
        <v>1.65</v>
      </c>
      <c r="J10417">
        <v>20</v>
      </c>
      <c r="L10417" t="s">
        <v>2709</v>
      </c>
      <c r="M10417">
        <v>95045000</v>
      </c>
      <c r="N10417">
        <v>2</v>
      </c>
      <c r="O10417" t="s">
        <v>19447</v>
      </c>
      <c r="P10417" t="s">
        <v>19899</v>
      </c>
      <c r="Q10417" t="s">
        <v>19934</v>
      </c>
      <c r="R10417" t="s">
        <v>19905</v>
      </c>
      <c r="S10417" t="s">
        <v>19906</v>
      </c>
      <c r="T10417" t="s">
        <v>19934</v>
      </c>
    </row>
    <row r="10418" spans="2:20" x14ac:dyDescent="0.25">
      <c r="B10418" t="s">
        <v>2709</v>
      </c>
      <c r="C10418">
        <v>95049010</v>
      </c>
      <c r="E10418">
        <v>73.22</v>
      </c>
      <c r="F10418">
        <v>18</v>
      </c>
      <c r="G10418">
        <v>20</v>
      </c>
      <c r="H10418">
        <v>7.6</v>
      </c>
      <c r="I10418">
        <v>1.65</v>
      </c>
      <c r="J10418">
        <v>0</v>
      </c>
      <c r="L10418" t="s">
        <v>2709</v>
      </c>
      <c r="M10418">
        <v>95049010</v>
      </c>
      <c r="O10418" t="s">
        <v>20224</v>
      </c>
      <c r="P10418" t="s">
        <v>19899</v>
      </c>
      <c r="Q10418" t="s">
        <v>19934</v>
      </c>
      <c r="R10418" t="s">
        <v>19905</v>
      </c>
      <c r="S10418" t="s">
        <v>19906</v>
      </c>
      <c r="T10418" t="s">
        <v>19900</v>
      </c>
    </row>
    <row r="10419" spans="2:20" x14ac:dyDescent="0.25">
      <c r="B10419" t="s">
        <v>2709</v>
      </c>
      <c r="C10419">
        <v>95049090</v>
      </c>
      <c r="E10419">
        <v>73.22</v>
      </c>
      <c r="F10419">
        <v>18</v>
      </c>
      <c r="G10419">
        <v>20</v>
      </c>
      <c r="H10419">
        <v>7.6</v>
      </c>
      <c r="I10419">
        <v>1.65</v>
      </c>
      <c r="J10419">
        <v>20</v>
      </c>
      <c r="L10419" t="s">
        <v>2709</v>
      </c>
      <c r="M10419">
        <v>95049090</v>
      </c>
      <c r="O10419" t="s">
        <v>20224</v>
      </c>
      <c r="P10419" t="s">
        <v>19899</v>
      </c>
      <c r="Q10419" t="s">
        <v>19934</v>
      </c>
      <c r="R10419" t="s">
        <v>19905</v>
      </c>
      <c r="S10419" t="s">
        <v>19906</v>
      </c>
      <c r="T10419" t="s">
        <v>19934</v>
      </c>
    </row>
    <row r="10420" spans="2:20" x14ac:dyDescent="0.25">
      <c r="B10420" t="s">
        <v>2709</v>
      </c>
      <c r="C10420">
        <v>95049090</v>
      </c>
      <c r="D10420">
        <v>1</v>
      </c>
      <c r="E10420" t="s">
        <v>19447</v>
      </c>
      <c r="F10420">
        <v>18</v>
      </c>
      <c r="G10420">
        <v>40</v>
      </c>
      <c r="H10420">
        <v>7.6</v>
      </c>
      <c r="I10420">
        <v>1.65</v>
      </c>
      <c r="J10420">
        <v>20</v>
      </c>
      <c r="L10420" t="s">
        <v>2709</v>
      </c>
      <c r="M10420">
        <v>95049090</v>
      </c>
      <c r="N10420">
        <v>1</v>
      </c>
      <c r="O10420" t="s">
        <v>19447</v>
      </c>
      <c r="P10420" t="s">
        <v>19899</v>
      </c>
      <c r="Q10420" t="s">
        <v>19922</v>
      </c>
      <c r="R10420" t="s">
        <v>19905</v>
      </c>
      <c r="S10420" t="s">
        <v>19906</v>
      </c>
      <c r="T10420" t="s">
        <v>19934</v>
      </c>
    </row>
    <row r="10421" spans="2:20" x14ac:dyDescent="0.25">
      <c r="B10421" t="s">
        <v>2709</v>
      </c>
      <c r="C10421">
        <v>95049090</v>
      </c>
      <c r="D10421">
        <v>2</v>
      </c>
      <c r="E10421" t="s">
        <v>19447</v>
      </c>
      <c r="F10421">
        <v>18</v>
      </c>
      <c r="G10421">
        <v>40</v>
      </c>
      <c r="H10421">
        <v>7.6</v>
      </c>
      <c r="I10421">
        <v>1.65</v>
      </c>
      <c r="J10421">
        <v>20</v>
      </c>
      <c r="L10421" t="s">
        <v>2709</v>
      </c>
      <c r="M10421">
        <v>95049090</v>
      </c>
      <c r="N10421">
        <v>2</v>
      </c>
      <c r="O10421" t="s">
        <v>19447</v>
      </c>
      <c r="P10421" t="s">
        <v>19899</v>
      </c>
      <c r="Q10421" t="s">
        <v>19922</v>
      </c>
      <c r="R10421" t="s">
        <v>19905</v>
      </c>
      <c r="S10421" t="s">
        <v>19906</v>
      </c>
      <c r="T10421" t="s">
        <v>19934</v>
      </c>
    </row>
    <row r="10422" spans="2:20" x14ac:dyDescent="0.25">
      <c r="B10422" t="s">
        <v>2709</v>
      </c>
      <c r="C10422">
        <v>95051000</v>
      </c>
      <c r="E10422">
        <v>73.22</v>
      </c>
      <c r="F10422">
        <v>18</v>
      </c>
      <c r="G10422">
        <v>20</v>
      </c>
      <c r="H10422">
        <v>7.6</v>
      </c>
      <c r="I10422">
        <v>1.65</v>
      </c>
      <c r="J10422">
        <v>20</v>
      </c>
      <c r="L10422" t="s">
        <v>2709</v>
      </c>
      <c r="M10422">
        <v>95051000</v>
      </c>
      <c r="O10422" t="s">
        <v>20224</v>
      </c>
      <c r="P10422" t="s">
        <v>19899</v>
      </c>
      <c r="Q10422" t="s">
        <v>19934</v>
      </c>
      <c r="R10422" t="s">
        <v>19905</v>
      </c>
      <c r="S10422" t="s">
        <v>19906</v>
      </c>
      <c r="T10422" t="s">
        <v>19934</v>
      </c>
    </row>
    <row r="10423" spans="2:20" x14ac:dyDescent="0.25">
      <c r="B10423" t="s">
        <v>2709</v>
      </c>
      <c r="C10423">
        <v>95059000</v>
      </c>
      <c r="E10423">
        <v>73.22</v>
      </c>
      <c r="F10423">
        <v>25</v>
      </c>
      <c r="G10423">
        <v>20</v>
      </c>
      <c r="H10423">
        <v>7.6</v>
      </c>
      <c r="I10423">
        <v>1.65</v>
      </c>
      <c r="J10423">
        <v>20</v>
      </c>
      <c r="L10423" t="s">
        <v>2709</v>
      </c>
      <c r="M10423">
        <v>95059000</v>
      </c>
      <c r="O10423" t="s">
        <v>20224</v>
      </c>
      <c r="P10423" t="s">
        <v>19982</v>
      </c>
      <c r="Q10423" t="s">
        <v>19934</v>
      </c>
      <c r="R10423" t="s">
        <v>19905</v>
      </c>
      <c r="S10423" t="s">
        <v>19906</v>
      </c>
      <c r="T10423" t="s">
        <v>19934</v>
      </c>
    </row>
    <row r="10424" spans="2:20" x14ac:dyDescent="0.25">
      <c r="B10424" t="s">
        <v>2709</v>
      </c>
      <c r="C10424">
        <v>95061100</v>
      </c>
      <c r="E10424" t="s">
        <v>19447</v>
      </c>
      <c r="F10424">
        <v>18</v>
      </c>
      <c r="G10424">
        <v>20</v>
      </c>
      <c r="H10424">
        <v>7.6</v>
      </c>
      <c r="I10424">
        <v>1.65</v>
      </c>
      <c r="J10424">
        <v>20</v>
      </c>
      <c r="L10424" t="s">
        <v>2709</v>
      </c>
      <c r="M10424">
        <v>95061100</v>
      </c>
      <c r="O10424" t="s">
        <v>19447</v>
      </c>
      <c r="P10424" t="s">
        <v>19899</v>
      </c>
      <c r="Q10424" t="s">
        <v>19934</v>
      </c>
      <c r="R10424" t="s">
        <v>19905</v>
      </c>
      <c r="S10424" t="s">
        <v>19906</v>
      </c>
      <c r="T10424" t="s">
        <v>19934</v>
      </c>
    </row>
    <row r="10425" spans="2:20" x14ac:dyDescent="0.25">
      <c r="B10425" t="s">
        <v>2709</v>
      </c>
      <c r="C10425">
        <v>95061200</v>
      </c>
      <c r="E10425" t="s">
        <v>19447</v>
      </c>
      <c r="F10425">
        <v>18</v>
      </c>
      <c r="G10425">
        <v>20</v>
      </c>
      <c r="H10425">
        <v>7.6</v>
      </c>
      <c r="I10425">
        <v>1.65</v>
      </c>
      <c r="J10425">
        <v>20</v>
      </c>
      <c r="L10425" t="s">
        <v>2709</v>
      </c>
      <c r="M10425">
        <v>95061200</v>
      </c>
      <c r="O10425" t="s">
        <v>19447</v>
      </c>
      <c r="P10425" t="s">
        <v>19899</v>
      </c>
      <c r="Q10425" t="s">
        <v>19934</v>
      </c>
      <c r="R10425" t="s">
        <v>19905</v>
      </c>
      <c r="S10425" t="s">
        <v>19906</v>
      </c>
      <c r="T10425" t="s">
        <v>19934</v>
      </c>
    </row>
    <row r="10426" spans="2:20" x14ac:dyDescent="0.25">
      <c r="B10426" t="s">
        <v>2709</v>
      </c>
      <c r="C10426">
        <v>95061900</v>
      </c>
      <c r="E10426" t="s">
        <v>19447</v>
      </c>
      <c r="F10426">
        <v>18</v>
      </c>
      <c r="G10426">
        <v>20</v>
      </c>
      <c r="H10426">
        <v>7.6</v>
      </c>
      <c r="I10426">
        <v>1.65</v>
      </c>
      <c r="J10426">
        <v>20</v>
      </c>
      <c r="L10426" t="s">
        <v>2709</v>
      </c>
      <c r="M10426">
        <v>95061900</v>
      </c>
      <c r="O10426" t="s">
        <v>19447</v>
      </c>
      <c r="P10426" t="s">
        <v>19899</v>
      </c>
      <c r="Q10426" t="s">
        <v>19934</v>
      </c>
      <c r="R10426" t="s">
        <v>19905</v>
      </c>
      <c r="S10426" t="s">
        <v>19906</v>
      </c>
      <c r="T10426" t="s">
        <v>19934</v>
      </c>
    </row>
    <row r="10427" spans="2:20" x14ac:dyDescent="0.25">
      <c r="B10427" t="s">
        <v>2709</v>
      </c>
      <c r="C10427">
        <v>95062100</v>
      </c>
      <c r="E10427" t="s">
        <v>19447</v>
      </c>
      <c r="F10427">
        <v>18</v>
      </c>
      <c r="G10427">
        <v>20</v>
      </c>
      <c r="H10427">
        <v>7.6</v>
      </c>
      <c r="I10427">
        <v>1.65</v>
      </c>
      <c r="J10427">
        <v>20</v>
      </c>
      <c r="L10427" t="s">
        <v>2709</v>
      </c>
      <c r="M10427">
        <v>95062100</v>
      </c>
      <c r="O10427" t="s">
        <v>19447</v>
      </c>
      <c r="P10427" t="s">
        <v>19899</v>
      </c>
      <c r="Q10427" t="s">
        <v>19934</v>
      </c>
      <c r="R10427" t="s">
        <v>19905</v>
      </c>
      <c r="S10427" t="s">
        <v>19906</v>
      </c>
      <c r="T10427" t="s">
        <v>19934</v>
      </c>
    </row>
    <row r="10428" spans="2:20" x14ac:dyDescent="0.25">
      <c r="B10428" t="s">
        <v>2709</v>
      </c>
      <c r="C10428">
        <v>95062900</v>
      </c>
      <c r="E10428" t="s">
        <v>19447</v>
      </c>
      <c r="F10428">
        <v>25</v>
      </c>
      <c r="G10428">
        <v>20</v>
      </c>
      <c r="H10428">
        <v>7.6</v>
      </c>
      <c r="I10428">
        <v>1.65</v>
      </c>
      <c r="J10428">
        <v>20</v>
      </c>
      <c r="L10428" t="s">
        <v>2709</v>
      </c>
      <c r="M10428">
        <v>95062900</v>
      </c>
      <c r="O10428" t="s">
        <v>19447</v>
      </c>
      <c r="P10428" t="s">
        <v>19982</v>
      </c>
      <c r="Q10428" t="s">
        <v>19934</v>
      </c>
      <c r="R10428" t="s">
        <v>19905</v>
      </c>
      <c r="S10428" t="s">
        <v>19906</v>
      </c>
      <c r="T10428" t="s">
        <v>19934</v>
      </c>
    </row>
    <row r="10429" spans="2:20" x14ac:dyDescent="0.25">
      <c r="B10429" t="s">
        <v>2709</v>
      </c>
      <c r="C10429">
        <v>95063100</v>
      </c>
      <c r="E10429" t="s">
        <v>19447</v>
      </c>
      <c r="F10429">
        <v>25</v>
      </c>
      <c r="G10429">
        <v>20</v>
      </c>
      <c r="H10429">
        <v>7.6</v>
      </c>
      <c r="I10429">
        <v>1.65</v>
      </c>
      <c r="J10429">
        <v>20</v>
      </c>
      <c r="L10429" t="s">
        <v>2709</v>
      </c>
      <c r="M10429">
        <v>95063100</v>
      </c>
      <c r="O10429" t="s">
        <v>19447</v>
      </c>
      <c r="P10429" t="s">
        <v>19982</v>
      </c>
      <c r="Q10429" t="s">
        <v>19934</v>
      </c>
      <c r="R10429" t="s">
        <v>19905</v>
      </c>
      <c r="S10429" t="s">
        <v>19906</v>
      </c>
      <c r="T10429" t="s">
        <v>19934</v>
      </c>
    </row>
    <row r="10430" spans="2:20" x14ac:dyDescent="0.25">
      <c r="B10430" t="s">
        <v>2709</v>
      </c>
      <c r="C10430">
        <v>95063200</v>
      </c>
      <c r="E10430" t="s">
        <v>19447</v>
      </c>
      <c r="F10430">
        <v>25</v>
      </c>
      <c r="G10430">
        <v>20</v>
      </c>
      <c r="H10430">
        <v>7.6</v>
      </c>
      <c r="I10430">
        <v>1.65</v>
      </c>
      <c r="J10430">
        <v>20</v>
      </c>
      <c r="L10430" t="s">
        <v>2709</v>
      </c>
      <c r="M10430">
        <v>95063200</v>
      </c>
      <c r="O10430" t="s">
        <v>19447</v>
      </c>
      <c r="P10430" t="s">
        <v>19982</v>
      </c>
      <c r="Q10430" t="s">
        <v>19934</v>
      </c>
      <c r="R10430" t="s">
        <v>19905</v>
      </c>
      <c r="S10430" t="s">
        <v>19906</v>
      </c>
      <c r="T10430" t="s">
        <v>19934</v>
      </c>
    </row>
    <row r="10431" spans="2:20" x14ac:dyDescent="0.25">
      <c r="B10431" t="s">
        <v>2709</v>
      </c>
      <c r="C10431">
        <v>95063900</v>
      </c>
      <c r="E10431" t="s">
        <v>19447</v>
      </c>
      <c r="F10431">
        <v>18</v>
      </c>
      <c r="G10431">
        <v>20</v>
      </c>
      <c r="H10431">
        <v>7.6</v>
      </c>
      <c r="I10431">
        <v>1.65</v>
      </c>
      <c r="J10431">
        <v>20</v>
      </c>
      <c r="L10431" t="s">
        <v>2709</v>
      </c>
      <c r="M10431">
        <v>95063900</v>
      </c>
      <c r="O10431" t="s">
        <v>19447</v>
      </c>
      <c r="P10431" t="s">
        <v>19899</v>
      </c>
      <c r="Q10431" t="s">
        <v>19934</v>
      </c>
      <c r="R10431" t="s">
        <v>19905</v>
      </c>
      <c r="S10431" t="s">
        <v>19906</v>
      </c>
      <c r="T10431" t="s">
        <v>19934</v>
      </c>
    </row>
    <row r="10432" spans="2:20" x14ac:dyDescent="0.25">
      <c r="B10432" t="s">
        <v>2709</v>
      </c>
      <c r="C10432">
        <v>95064000</v>
      </c>
      <c r="E10432" t="s">
        <v>19447</v>
      </c>
      <c r="F10432">
        <v>18</v>
      </c>
      <c r="G10432">
        <v>20</v>
      </c>
      <c r="H10432">
        <v>7.6</v>
      </c>
      <c r="I10432">
        <v>1.65</v>
      </c>
      <c r="J10432">
        <v>20</v>
      </c>
      <c r="L10432" t="s">
        <v>2709</v>
      </c>
      <c r="M10432">
        <v>95064000</v>
      </c>
      <c r="O10432" t="s">
        <v>19447</v>
      </c>
      <c r="P10432" t="s">
        <v>19899</v>
      </c>
      <c r="Q10432" t="s">
        <v>19934</v>
      </c>
      <c r="R10432" t="s">
        <v>19905</v>
      </c>
      <c r="S10432" t="s">
        <v>19906</v>
      </c>
      <c r="T10432" t="s">
        <v>19934</v>
      </c>
    </row>
    <row r="10433" spans="2:20" x14ac:dyDescent="0.25">
      <c r="B10433" t="s">
        <v>2709</v>
      </c>
      <c r="C10433">
        <v>95065100</v>
      </c>
      <c r="E10433" t="s">
        <v>19447</v>
      </c>
      <c r="F10433">
        <v>25</v>
      </c>
      <c r="G10433">
        <v>20</v>
      </c>
      <c r="H10433">
        <v>7.6</v>
      </c>
      <c r="I10433">
        <v>1.65</v>
      </c>
      <c r="J10433">
        <v>20</v>
      </c>
      <c r="L10433" t="s">
        <v>2709</v>
      </c>
      <c r="M10433">
        <v>95065100</v>
      </c>
      <c r="O10433" t="s">
        <v>19447</v>
      </c>
      <c r="P10433" t="s">
        <v>19982</v>
      </c>
      <c r="Q10433" t="s">
        <v>19934</v>
      </c>
      <c r="R10433" t="s">
        <v>19905</v>
      </c>
      <c r="S10433" t="s">
        <v>19906</v>
      </c>
      <c r="T10433" t="s">
        <v>19934</v>
      </c>
    </row>
    <row r="10434" spans="2:20" x14ac:dyDescent="0.25">
      <c r="B10434" t="s">
        <v>2709</v>
      </c>
      <c r="C10434">
        <v>95065900</v>
      </c>
      <c r="E10434" t="s">
        <v>19447</v>
      </c>
      <c r="F10434">
        <v>18</v>
      </c>
      <c r="G10434">
        <v>20</v>
      </c>
      <c r="H10434">
        <v>7.6</v>
      </c>
      <c r="I10434">
        <v>1.65</v>
      </c>
      <c r="J10434">
        <v>20</v>
      </c>
      <c r="L10434" t="s">
        <v>2709</v>
      </c>
      <c r="M10434">
        <v>95065900</v>
      </c>
      <c r="O10434" t="s">
        <v>19447</v>
      </c>
      <c r="P10434" t="s">
        <v>19899</v>
      </c>
      <c r="Q10434" t="s">
        <v>19934</v>
      </c>
      <c r="R10434" t="s">
        <v>19905</v>
      </c>
      <c r="S10434" t="s">
        <v>19906</v>
      </c>
      <c r="T10434" t="s">
        <v>19934</v>
      </c>
    </row>
    <row r="10435" spans="2:20" x14ac:dyDescent="0.25">
      <c r="B10435" t="s">
        <v>2709</v>
      </c>
      <c r="C10435">
        <v>95066100</v>
      </c>
      <c r="E10435" t="s">
        <v>19447</v>
      </c>
      <c r="F10435">
        <v>25</v>
      </c>
      <c r="G10435">
        <v>20</v>
      </c>
      <c r="H10435">
        <v>7.6</v>
      </c>
      <c r="I10435">
        <v>1.65</v>
      </c>
      <c r="J10435">
        <v>20</v>
      </c>
      <c r="L10435" t="s">
        <v>2709</v>
      </c>
      <c r="M10435">
        <v>95066100</v>
      </c>
      <c r="O10435" t="s">
        <v>19447</v>
      </c>
      <c r="P10435" t="s">
        <v>19982</v>
      </c>
      <c r="Q10435" t="s">
        <v>19934</v>
      </c>
      <c r="R10435" t="s">
        <v>19905</v>
      </c>
      <c r="S10435" t="s">
        <v>19906</v>
      </c>
      <c r="T10435" t="s">
        <v>19934</v>
      </c>
    </row>
    <row r="10436" spans="2:20" x14ac:dyDescent="0.25">
      <c r="B10436" t="s">
        <v>2709</v>
      </c>
      <c r="C10436">
        <v>95066200</v>
      </c>
      <c r="E10436" t="s">
        <v>19447</v>
      </c>
      <c r="F10436">
        <v>18</v>
      </c>
      <c r="G10436">
        <v>0</v>
      </c>
      <c r="H10436">
        <v>7.6</v>
      </c>
      <c r="I10436">
        <v>1.65</v>
      </c>
      <c r="J10436">
        <v>20</v>
      </c>
      <c r="L10436" t="s">
        <v>2709</v>
      </c>
      <c r="M10436">
        <v>95066200</v>
      </c>
      <c r="O10436" t="s">
        <v>19447</v>
      </c>
      <c r="P10436" t="s">
        <v>19899</v>
      </c>
      <c r="Q10436" t="s">
        <v>19900</v>
      </c>
      <c r="R10436" t="s">
        <v>19905</v>
      </c>
      <c r="S10436" t="s">
        <v>19906</v>
      </c>
      <c r="T10436" t="s">
        <v>19934</v>
      </c>
    </row>
    <row r="10437" spans="2:20" x14ac:dyDescent="0.25">
      <c r="B10437" t="s">
        <v>2709</v>
      </c>
      <c r="C10437">
        <v>95066900</v>
      </c>
      <c r="E10437" t="s">
        <v>19447</v>
      </c>
      <c r="F10437">
        <v>18</v>
      </c>
      <c r="G10437">
        <v>20</v>
      </c>
      <c r="H10437">
        <v>7.6</v>
      </c>
      <c r="I10437">
        <v>1.65</v>
      </c>
      <c r="J10437">
        <v>20</v>
      </c>
      <c r="L10437" t="s">
        <v>2709</v>
      </c>
      <c r="M10437">
        <v>95066900</v>
      </c>
      <c r="O10437" t="s">
        <v>19447</v>
      </c>
      <c r="P10437" t="s">
        <v>19899</v>
      </c>
      <c r="Q10437" t="s">
        <v>19934</v>
      </c>
      <c r="R10437" t="s">
        <v>19905</v>
      </c>
      <c r="S10437" t="s">
        <v>19906</v>
      </c>
      <c r="T10437" t="s">
        <v>19934</v>
      </c>
    </row>
    <row r="10438" spans="2:20" x14ac:dyDescent="0.25">
      <c r="B10438" t="s">
        <v>2709</v>
      </c>
      <c r="C10438">
        <v>95067000</v>
      </c>
      <c r="E10438" t="s">
        <v>19447</v>
      </c>
      <c r="F10438">
        <v>18</v>
      </c>
      <c r="G10438">
        <v>20</v>
      </c>
      <c r="H10438">
        <v>7.6</v>
      </c>
      <c r="I10438">
        <v>1.65</v>
      </c>
      <c r="J10438">
        <v>20</v>
      </c>
      <c r="L10438" t="s">
        <v>2709</v>
      </c>
      <c r="M10438">
        <v>95067000</v>
      </c>
      <c r="O10438" t="s">
        <v>19447</v>
      </c>
      <c r="P10438" t="s">
        <v>19899</v>
      </c>
      <c r="Q10438" t="s">
        <v>19934</v>
      </c>
      <c r="R10438" t="s">
        <v>19905</v>
      </c>
      <c r="S10438" t="s">
        <v>19906</v>
      </c>
      <c r="T10438" t="s">
        <v>19934</v>
      </c>
    </row>
    <row r="10439" spans="2:20" x14ac:dyDescent="0.25">
      <c r="B10439" t="s">
        <v>2709</v>
      </c>
      <c r="C10439">
        <v>95069100</v>
      </c>
      <c r="E10439" t="s">
        <v>19447</v>
      </c>
      <c r="F10439">
        <v>18</v>
      </c>
      <c r="G10439">
        <v>20</v>
      </c>
      <c r="H10439">
        <v>7.6</v>
      </c>
      <c r="I10439">
        <v>1.65</v>
      </c>
      <c r="J10439">
        <v>20</v>
      </c>
      <c r="L10439" t="s">
        <v>2709</v>
      </c>
      <c r="M10439">
        <v>95069100</v>
      </c>
      <c r="O10439" t="s">
        <v>19447</v>
      </c>
      <c r="P10439" t="s">
        <v>19899</v>
      </c>
      <c r="Q10439" t="s">
        <v>19934</v>
      </c>
      <c r="R10439" t="s">
        <v>19905</v>
      </c>
      <c r="S10439" t="s">
        <v>19906</v>
      </c>
      <c r="T10439" t="s">
        <v>19934</v>
      </c>
    </row>
    <row r="10440" spans="2:20" x14ac:dyDescent="0.25">
      <c r="B10440" t="s">
        <v>2709</v>
      </c>
      <c r="C10440">
        <v>95069900</v>
      </c>
      <c r="E10440" t="s">
        <v>19447</v>
      </c>
      <c r="F10440">
        <v>18</v>
      </c>
      <c r="G10440">
        <v>20</v>
      </c>
      <c r="H10440">
        <v>7.6</v>
      </c>
      <c r="I10440">
        <v>1.65</v>
      </c>
      <c r="J10440">
        <v>20</v>
      </c>
      <c r="L10440" t="s">
        <v>2709</v>
      </c>
      <c r="M10440">
        <v>95069900</v>
      </c>
      <c r="O10440" t="s">
        <v>19447</v>
      </c>
      <c r="P10440" t="s">
        <v>19899</v>
      </c>
      <c r="Q10440" t="s">
        <v>19934</v>
      </c>
      <c r="R10440" t="s">
        <v>19905</v>
      </c>
      <c r="S10440" t="s">
        <v>19906</v>
      </c>
      <c r="T10440" t="s">
        <v>19934</v>
      </c>
    </row>
    <row r="10441" spans="2:20" x14ac:dyDescent="0.25">
      <c r="B10441" t="s">
        <v>2709</v>
      </c>
      <c r="C10441">
        <v>95071000</v>
      </c>
      <c r="E10441">
        <v>73.22</v>
      </c>
      <c r="F10441">
        <v>18</v>
      </c>
      <c r="G10441">
        <v>20</v>
      </c>
      <c r="H10441">
        <v>7.6</v>
      </c>
      <c r="I10441">
        <v>1.65</v>
      </c>
      <c r="J10441">
        <v>20</v>
      </c>
      <c r="L10441" t="s">
        <v>2709</v>
      </c>
      <c r="M10441">
        <v>95071000</v>
      </c>
      <c r="O10441" t="s">
        <v>20224</v>
      </c>
      <c r="P10441" t="s">
        <v>19899</v>
      </c>
      <c r="Q10441" t="s">
        <v>19934</v>
      </c>
      <c r="R10441" t="s">
        <v>19905</v>
      </c>
      <c r="S10441" t="s">
        <v>19906</v>
      </c>
      <c r="T10441" t="s">
        <v>19934</v>
      </c>
    </row>
    <row r="10442" spans="2:20" x14ac:dyDescent="0.25">
      <c r="B10442" t="s">
        <v>2709</v>
      </c>
      <c r="C10442">
        <v>95072000</v>
      </c>
      <c r="E10442">
        <v>73.22</v>
      </c>
      <c r="F10442">
        <v>18</v>
      </c>
      <c r="G10442">
        <v>20</v>
      </c>
      <c r="H10442">
        <v>7.6</v>
      </c>
      <c r="I10442">
        <v>1.65</v>
      </c>
      <c r="J10442">
        <v>20</v>
      </c>
      <c r="L10442" t="s">
        <v>2709</v>
      </c>
      <c r="M10442">
        <v>95072000</v>
      </c>
      <c r="O10442" t="s">
        <v>20224</v>
      </c>
      <c r="P10442" t="s">
        <v>19899</v>
      </c>
      <c r="Q10442" t="s">
        <v>19934</v>
      </c>
      <c r="R10442" t="s">
        <v>19905</v>
      </c>
      <c r="S10442" t="s">
        <v>19906</v>
      </c>
      <c r="T10442" t="s">
        <v>19934</v>
      </c>
    </row>
    <row r="10443" spans="2:20" x14ac:dyDescent="0.25">
      <c r="B10443" t="s">
        <v>2709</v>
      </c>
      <c r="C10443">
        <v>95073000</v>
      </c>
      <c r="E10443">
        <v>73.22</v>
      </c>
      <c r="F10443">
        <v>18</v>
      </c>
      <c r="G10443">
        <v>20</v>
      </c>
      <c r="H10443">
        <v>7.6</v>
      </c>
      <c r="I10443">
        <v>1.65</v>
      </c>
      <c r="J10443">
        <v>20</v>
      </c>
      <c r="L10443" t="s">
        <v>2709</v>
      </c>
      <c r="M10443">
        <v>95073000</v>
      </c>
      <c r="O10443" t="s">
        <v>20224</v>
      </c>
      <c r="P10443" t="s">
        <v>19899</v>
      </c>
      <c r="Q10443" t="s">
        <v>19934</v>
      </c>
      <c r="R10443" t="s">
        <v>19905</v>
      </c>
      <c r="S10443" t="s">
        <v>19906</v>
      </c>
      <c r="T10443" t="s">
        <v>19934</v>
      </c>
    </row>
    <row r="10444" spans="2:20" x14ac:dyDescent="0.25">
      <c r="B10444" t="s">
        <v>2709</v>
      </c>
      <c r="C10444">
        <v>95079000</v>
      </c>
      <c r="E10444">
        <v>73.22</v>
      </c>
      <c r="F10444">
        <v>18</v>
      </c>
      <c r="G10444">
        <v>20</v>
      </c>
      <c r="H10444">
        <v>7.6</v>
      </c>
      <c r="I10444">
        <v>1.65</v>
      </c>
      <c r="J10444">
        <v>20</v>
      </c>
      <c r="L10444" t="s">
        <v>2709</v>
      </c>
      <c r="M10444">
        <v>95079000</v>
      </c>
      <c r="O10444" t="s">
        <v>20224</v>
      </c>
      <c r="P10444" t="s">
        <v>19899</v>
      </c>
      <c r="Q10444" t="s">
        <v>19934</v>
      </c>
      <c r="R10444" t="s">
        <v>19905</v>
      </c>
      <c r="S10444" t="s">
        <v>19906</v>
      </c>
      <c r="T10444" t="s">
        <v>19934</v>
      </c>
    </row>
    <row r="10445" spans="2:20" x14ac:dyDescent="0.25">
      <c r="B10445" t="s">
        <v>2709</v>
      </c>
      <c r="C10445">
        <v>95081000</v>
      </c>
      <c r="E10445">
        <v>73.22</v>
      </c>
      <c r="F10445">
        <v>18</v>
      </c>
      <c r="G10445">
        <v>10</v>
      </c>
      <c r="H10445">
        <v>7.6</v>
      </c>
      <c r="I10445">
        <v>1.65</v>
      </c>
      <c r="J10445">
        <v>20</v>
      </c>
      <c r="L10445" t="s">
        <v>2709</v>
      </c>
      <c r="M10445">
        <v>95081000</v>
      </c>
      <c r="O10445" t="s">
        <v>20224</v>
      </c>
      <c r="P10445" t="s">
        <v>19899</v>
      </c>
      <c r="Q10445" t="s">
        <v>19904</v>
      </c>
      <c r="R10445" t="s">
        <v>19905</v>
      </c>
      <c r="S10445" t="s">
        <v>19906</v>
      </c>
      <c r="T10445" t="s">
        <v>19934</v>
      </c>
    </row>
    <row r="10446" spans="2:20" x14ac:dyDescent="0.25">
      <c r="B10446" t="s">
        <v>2709</v>
      </c>
      <c r="C10446">
        <v>95081000</v>
      </c>
      <c r="D10446">
        <v>1</v>
      </c>
      <c r="E10446" t="s">
        <v>19447</v>
      </c>
      <c r="F10446">
        <v>18</v>
      </c>
      <c r="G10446">
        <v>0</v>
      </c>
      <c r="H10446">
        <v>7.6</v>
      </c>
      <c r="I10446">
        <v>1.65</v>
      </c>
      <c r="J10446">
        <v>20</v>
      </c>
      <c r="L10446" t="s">
        <v>2709</v>
      </c>
      <c r="M10446">
        <v>95081000</v>
      </c>
      <c r="N10446">
        <v>1</v>
      </c>
      <c r="O10446" t="s">
        <v>19447</v>
      </c>
      <c r="P10446" t="s">
        <v>19899</v>
      </c>
      <c r="Q10446" t="s">
        <v>19900</v>
      </c>
      <c r="R10446" t="s">
        <v>19905</v>
      </c>
      <c r="S10446" t="s">
        <v>19906</v>
      </c>
      <c r="T10446" t="s">
        <v>19934</v>
      </c>
    </row>
    <row r="10447" spans="2:20" x14ac:dyDescent="0.25">
      <c r="B10447" t="s">
        <v>2709</v>
      </c>
      <c r="C10447">
        <v>95089010</v>
      </c>
      <c r="E10447">
        <v>73.22</v>
      </c>
      <c r="F10447">
        <v>18</v>
      </c>
      <c r="G10447">
        <v>10</v>
      </c>
      <c r="H10447">
        <v>7.6</v>
      </c>
      <c r="I10447">
        <v>1.65</v>
      </c>
      <c r="J10447">
        <v>0</v>
      </c>
      <c r="L10447" t="s">
        <v>2709</v>
      </c>
      <c r="M10447">
        <v>95089010</v>
      </c>
      <c r="O10447" t="s">
        <v>20224</v>
      </c>
      <c r="P10447" t="s">
        <v>19899</v>
      </c>
      <c r="Q10447" t="s">
        <v>19904</v>
      </c>
      <c r="R10447" t="s">
        <v>19905</v>
      </c>
      <c r="S10447" t="s">
        <v>19906</v>
      </c>
      <c r="T10447" t="s">
        <v>19900</v>
      </c>
    </row>
    <row r="10448" spans="2:20" x14ac:dyDescent="0.25">
      <c r="B10448" t="s">
        <v>2709</v>
      </c>
      <c r="C10448">
        <v>95089020</v>
      </c>
      <c r="E10448">
        <v>73.22</v>
      </c>
      <c r="F10448">
        <v>18</v>
      </c>
      <c r="G10448">
        <v>10</v>
      </c>
      <c r="H10448">
        <v>7.6</v>
      </c>
      <c r="I10448">
        <v>1.65</v>
      </c>
      <c r="J10448">
        <v>0</v>
      </c>
      <c r="L10448" t="s">
        <v>2709</v>
      </c>
      <c r="M10448">
        <v>95089020</v>
      </c>
      <c r="O10448" t="s">
        <v>20224</v>
      </c>
      <c r="P10448" t="s">
        <v>19899</v>
      </c>
      <c r="Q10448" t="s">
        <v>19904</v>
      </c>
      <c r="R10448" t="s">
        <v>19905</v>
      </c>
      <c r="S10448" t="s">
        <v>19906</v>
      </c>
      <c r="T10448" t="s">
        <v>19900</v>
      </c>
    </row>
    <row r="10449" spans="2:20" x14ac:dyDescent="0.25">
      <c r="B10449" t="s">
        <v>2709</v>
      </c>
      <c r="C10449">
        <v>95089030</v>
      </c>
      <c r="E10449">
        <v>73.22</v>
      </c>
      <c r="F10449">
        <v>18</v>
      </c>
      <c r="G10449">
        <v>10</v>
      </c>
      <c r="H10449">
        <v>7.6</v>
      </c>
      <c r="I10449">
        <v>1.65</v>
      </c>
      <c r="J10449">
        <v>0</v>
      </c>
      <c r="L10449" t="s">
        <v>2709</v>
      </c>
      <c r="M10449">
        <v>95089030</v>
      </c>
      <c r="O10449" t="s">
        <v>20224</v>
      </c>
      <c r="P10449" t="s">
        <v>19899</v>
      </c>
      <c r="Q10449" t="s">
        <v>19904</v>
      </c>
      <c r="R10449" t="s">
        <v>19905</v>
      </c>
      <c r="S10449" t="s">
        <v>19906</v>
      </c>
      <c r="T10449" t="s">
        <v>19900</v>
      </c>
    </row>
    <row r="10450" spans="2:20" x14ac:dyDescent="0.25">
      <c r="B10450" t="s">
        <v>2709</v>
      </c>
      <c r="C10450">
        <v>95089090</v>
      </c>
      <c r="E10450">
        <v>73.22</v>
      </c>
      <c r="F10450">
        <v>18</v>
      </c>
      <c r="G10450">
        <v>10</v>
      </c>
      <c r="H10450">
        <v>7.6</v>
      </c>
      <c r="I10450">
        <v>1.65</v>
      </c>
      <c r="J10450">
        <v>20</v>
      </c>
      <c r="L10450" t="s">
        <v>2709</v>
      </c>
      <c r="M10450">
        <v>95089090</v>
      </c>
      <c r="O10450" t="s">
        <v>20224</v>
      </c>
      <c r="P10450" t="s">
        <v>19899</v>
      </c>
      <c r="Q10450" t="s">
        <v>19904</v>
      </c>
      <c r="R10450" t="s">
        <v>19905</v>
      </c>
      <c r="S10450" t="s">
        <v>19906</v>
      </c>
      <c r="T10450" t="s">
        <v>19934</v>
      </c>
    </row>
    <row r="10451" spans="2:20" x14ac:dyDescent="0.25">
      <c r="B10451" t="s">
        <v>2709</v>
      </c>
      <c r="C10451">
        <v>96011000</v>
      </c>
      <c r="E10451">
        <v>112.46</v>
      </c>
      <c r="F10451">
        <v>18</v>
      </c>
      <c r="G10451">
        <v>0</v>
      </c>
      <c r="H10451">
        <v>7.6</v>
      </c>
      <c r="I10451">
        <v>1.65</v>
      </c>
      <c r="J10451">
        <v>18</v>
      </c>
      <c r="L10451" t="s">
        <v>2709</v>
      </c>
      <c r="M10451">
        <v>96011000</v>
      </c>
      <c r="O10451" t="s">
        <v>20055</v>
      </c>
      <c r="P10451" t="s">
        <v>19899</v>
      </c>
      <c r="Q10451" t="s">
        <v>19900</v>
      </c>
      <c r="R10451" t="s">
        <v>19905</v>
      </c>
      <c r="S10451" t="s">
        <v>19906</v>
      </c>
      <c r="T10451" t="s">
        <v>19899</v>
      </c>
    </row>
    <row r="10452" spans="2:20" x14ac:dyDescent="0.25">
      <c r="B10452" t="s">
        <v>2709</v>
      </c>
      <c r="C10452">
        <v>96019000</v>
      </c>
      <c r="E10452">
        <v>112.46</v>
      </c>
      <c r="F10452">
        <v>18</v>
      </c>
      <c r="G10452">
        <v>0</v>
      </c>
      <c r="H10452">
        <v>7.6</v>
      </c>
      <c r="I10452">
        <v>1.65</v>
      </c>
      <c r="J10452">
        <v>18</v>
      </c>
      <c r="L10452" t="s">
        <v>2709</v>
      </c>
      <c r="M10452">
        <v>96019000</v>
      </c>
      <c r="O10452" t="s">
        <v>20055</v>
      </c>
      <c r="P10452" t="s">
        <v>19899</v>
      </c>
      <c r="Q10452" t="s">
        <v>19900</v>
      </c>
      <c r="R10452" t="s">
        <v>19905</v>
      </c>
      <c r="S10452" t="s">
        <v>19906</v>
      </c>
      <c r="T10452" t="s">
        <v>19899</v>
      </c>
    </row>
    <row r="10453" spans="2:20" x14ac:dyDescent="0.25">
      <c r="B10453" t="s">
        <v>2709</v>
      </c>
      <c r="C10453">
        <v>96020010</v>
      </c>
      <c r="E10453">
        <v>112.46</v>
      </c>
      <c r="F10453">
        <v>18</v>
      </c>
      <c r="G10453">
        <v>0</v>
      </c>
      <c r="H10453">
        <v>7.6</v>
      </c>
      <c r="I10453">
        <v>1.65</v>
      </c>
      <c r="J10453">
        <v>14</v>
      </c>
      <c r="L10453" t="s">
        <v>2709</v>
      </c>
      <c r="M10453">
        <v>96020010</v>
      </c>
      <c r="O10453" t="s">
        <v>20055</v>
      </c>
      <c r="P10453" t="s">
        <v>19899</v>
      </c>
      <c r="Q10453" t="s">
        <v>19900</v>
      </c>
      <c r="R10453" t="s">
        <v>19905</v>
      </c>
      <c r="S10453" t="s">
        <v>19906</v>
      </c>
      <c r="T10453" t="s">
        <v>19911</v>
      </c>
    </row>
    <row r="10454" spans="2:20" x14ac:dyDescent="0.25">
      <c r="B10454" t="s">
        <v>2709</v>
      </c>
      <c r="C10454">
        <v>96020020</v>
      </c>
      <c r="E10454">
        <v>112.46</v>
      </c>
      <c r="F10454">
        <v>18</v>
      </c>
      <c r="G10454">
        <v>0</v>
      </c>
      <c r="H10454">
        <v>7.6</v>
      </c>
      <c r="I10454">
        <v>1.65</v>
      </c>
      <c r="J10454">
        <v>18</v>
      </c>
      <c r="L10454" t="s">
        <v>2709</v>
      </c>
      <c r="M10454">
        <v>96020020</v>
      </c>
      <c r="O10454" t="s">
        <v>20055</v>
      </c>
      <c r="P10454" t="s">
        <v>19899</v>
      </c>
      <c r="Q10454" t="s">
        <v>19900</v>
      </c>
      <c r="R10454" t="s">
        <v>19905</v>
      </c>
      <c r="S10454" t="s">
        <v>19906</v>
      </c>
      <c r="T10454" t="s">
        <v>19899</v>
      </c>
    </row>
    <row r="10455" spans="2:20" x14ac:dyDescent="0.25">
      <c r="B10455" t="s">
        <v>2709</v>
      </c>
      <c r="C10455">
        <v>96020090</v>
      </c>
      <c r="E10455">
        <v>112.46</v>
      </c>
      <c r="F10455">
        <v>18</v>
      </c>
      <c r="G10455">
        <v>0</v>
      </c>
      <c r="H10455">
        <v>7.6</v>
      </c>
      <c r="I10455">
        <v>1.65</v>
      </c>
      <c r="J10455">
        <v>18</v>
      </c>
      <c r="L10455" t="s">
        <v>2709</v>
      </c>
      <c r="M10455">
        <v>96020090</v>
      </c>
      <c r="O10455" t="s">
        <v>20055</v>
      </c>
      <c r="P10455" t="s">
        <v>19899</v>
      </c>
      <c r="Q10455" t="s">
        <v>19900</v>
      </c>
      <c r="R10455" t="s">
        <v>19905</v>
      </c>
      <c r="S10455" t="s">
        <v>19906</v>
      </c>
      <c r="T10455" t="s">
        <v>19899</v>
      </c>
    </row>
    <row r="10456" spans="2:20" x14ac:dyDescent="0.25">
      <c r="B10456" t="s">
        <v>2709</v>
      </c>
      <c r="C10456">
        <v>96031000</v>
      </c>
      <c r="E10456">
        <v>71.98</v>
      </c>
      <c r="F10456">
        <v>18</v>
      </c>
      <c r="G10456">
        <v>0</v>
      </c>
      <c r="H10456">
        <v>7.6</v>
      </c>
      <c r="I10456">
        <v>1.65</v>
      </c>
      <c r="J10456">
        <v>18</v>
      </c>
      <c r="L10456" t="s">
        <v>2709</v>
      </c>
      <c r="M10456">
        <v>96031000</v>
      </c>
      <c r="O10456" t="s">
        <v>20226</v>
      </c>
      <c r="P10456" t="s">
        <v>19899</v>
      </c>
      <c r="Q10456" t="s">
        <v>19900</v>
      </c>
      <c r="R10456" t="s">
        <v>19905</v>
      </c>
      <c r="S10456" t="s">
        <v>19906</v>
      </c>
      <c r="T10456" t="s">
        <v>19899</v>
      </c>
    </row>
    <row r="10457" spans="2:20" x14ac:dyDescent="0.25">
      <c r="B10457" t="s">
        <v>2709</v>
      </c>
      <c r="C10457">
        <v>96032100</v>
      </c>
      <c r="E10457">
        <v>177.19</v>
      </c>
      <c r="F10457">
        <v>12</v>
      </c>
      <c r="G10457">
        <v>0</v>
      </c>
      <c r="H10457">
        <v>10.3</v>
      </c>
      <c r="I10457">
        <v>2.2000000000000002</v>
      </c>
      <c r="J10457">
        <v>18</v>
      </c>
      <c r="L10457" t="s">
        <v>2709</v>
      </c>
      <c r="M10457">
        <v>96032100</v>
      </c>
      <c r="O10457" t="s">
        <v>19926</v>
      </c>
      <c r="P10457" t="s">
        <v>19903</v>
      </c>
      <c r="Q10457" t="s">
        <v>19900</v>
      </c>
      <c r="R10457" t="s">
        <v>20042</v>
      </c>
      <c r="S10457" t="s">
        <v>20043</v>
      </c>
      <c r="T10457" t="s">
        <v>19899</v>
      </c>
    </row>
    <row r="10458" spans="2:20" x14ac:dyDescent="0.25">
      <c r="B10458" t="s">
        <v>2709</v>
      </c>
      <c r="C10458">
        <v>96032900</v>
      </c>
      <c r="E10458">
        <v>177.19</v>
      </c>
      <c r="F10458">
        <v>18</v>
      </c>
      <c r="G10458">
        <v>0</v>
      </c>
      <c r="H10458">
        <v>7.6</v>
      </c>
      <c r="I10458">
        <v>1.65</v>
      </c>
      <c r="J10458">
        <v>18</v>
      </c>
      <c r="L10458" t="s">
        <v>2709</v>
      </c>
      <c r="M10458">
        <v>96032900</v>
      </c>
      <c r="O10458" t="s">
        <v>19926</v>
      </c>
      <c r="P10458" t="s">
        <v>19899</v>
      </c>
      <c r="Q10458" t="s">
        <v>19900</v>
      </c>
      <c r="R10458" t="s">
        <v>19905</v>
      </c>
      <c r="S10458" t="s">
        <v>19906</v>
      </c>
      <c r="T10458" t="s">
        <v>19899</v>
      </c>
    </row>
    <row r="10459" spans="2:20" x14ac:dyDescent="0.25">
      <c r="B10459" t="s">
        <v>2709</v>
      </c>
      <c r="C10459">
        <v>96033000</v>
      </c>
      <c r="E10459">
        <v>177.19</v>
      </c>
      <c r="F10459">
        <v>18</v>
      </c>
      <c r="G10459">
        <v>0</v>
      </c>
      <c r="H10459">
        <v>7.6</v>
      </c>
      <c r="I10459">
        <v>1.65</v>
      </c>
      <c r="J10459">
        <v>18</v>
      </c>
      <c r="L10459" t="s">
        <v>2709</v>
      </c>
      <c r="M10459">
        <v>96033000</v>
      </c>
      <c r="O10459" t="s">
        <v>19926</v>
      </c>
      <c r="P10459" t="s">
        <v>19899</v>
      </c>
      <c r="Q10459" t="s">
        <v>19900</v>
      </c>
      <c r="R10459" t="s">
        <v>19905</v>
      </c>
      <c r="S10459" t="s">
        <v>19906</v>
      </c>
      <c r="T10459" t="s">
        <v>19899</v>
      </c>
    </row>
    <row r="10460" spans="2:20" x14ac:dyDescent="0.25">
      <c r="B10460" t="s">
        <v>2709</v>
      </c>
      <c r="C10460">
        <v>96034010</v>
      </c>
      <c r="E10460">
        <v>112.46</v>
      </c>
      <c r="F10460">
        <v>18</v>
      </c>
      <c r="G10460">
        <v>0</v>
      </c>
      <c r="H10460">
        <v>7.6</v>
      </c>
      <c r="I10460">
        <v>1.65</v>
      </c>
      <c r="J10460">
        <v>18</v>
      </c>
      <c r="L10460" t="s">
        <v>2709</v>
      </c>
      <c r="M10460">
        <v>96034010</v>
      </c>
      <c r="O10460" t="s">
        <v>20055</v>
      </c>
      <c r="P10460" t="s">
        <v>19899</v>
      </c>
      <c r="Q10460" t="s">
        <v>19900</v>
      </c>
      <c r="R10460" t="s">
        <v>19905</v>
      </c>
      <c r="S10460" t="s">
        <v>19906</v>
      </c>
      <c r="T10460" t="s">
        <v>19899</v>
      </c>
    </row>
    <row r="10461" spans="2:20" x14ac:dyDescent="0.25">
      <c r="B10461" t="s">
        <v>2709</v>
      </c>
      <c r="C10461">
        <v>96034090</v>
      </c>
      <c r="E10461">
        <v>112.46</v>
      </c>
      <c r="F10461">
        <v>18</v>
      </c>
      <c r="G10461">
        <v>0</v>
      </c>
      <c r="H10461">
        <v>7.6</v>
      </c>
      <c r="I10461">
        <v>1.65</v>
      </c>
      <c r="J10461">
        <v>18</v>
      </c>
      <c r="L10461" t="s">
        <v>2709</v>
      </c>
      <c r="M10461">
        <v>96034090</v>
      </c>
      <c r="O10461" t="s">
        <v>20055</v>
      </c>
      <c r="P10461" t="s">
        <v>19899</v>
      </c>
      <c r="Q10461" t="s">
        <v>19900</v>
      </c>
      <c r="R10461" t="s">
        <v>19905</v>
      </c>
      <c r="S10461" t="s">
        <v>19906</v>
      </c>
      <c r="T10461" t="s">
        <v>19899</v>
      </c>
    </row>
    <row r="10462" spans="2:20" x14ac:dyDescent="0.25">
      <c r="B10462" t="s">
        <v>2709</v>
      </c>
      <c r="C10462">
        <v>96035000</v>
      </c>
      <c r="E10462">
        <v>112.46</v>
      </c>
      <c r="F10462">
        <v>18</v>
      </c>
      <c r="G10462">
        <v>0</v>
      </c>
      <c r="H10462">
        <v>7.6</v>
      </c>
      <c r="I10462">
        <v>1.65</v>
      </c>
      <c r="J10462">
        <v>18</v>
      </c>
      <c r="L10462" t="s">
        <v>2709</v>
      </c>
      <c r="M10462">
        <v>96035000</v>
      </c>
      <c r="O10462" t="s">
        <v>20055</v>
      </c>
      <c r="P10462" t="s">
        <v>19899</v>
      </c>
      <c r="Q10462" t="s">
        <v>19900</v>
      </c>
      <c r="R10462" t="s">
        <v>19905</v>
      </c>
      <c r="S10462" t="s">
        <v>19906</v>
      </c>
      <c r="T10462" t="s">
        <v>19899</v>
      </c>
    </row>
    <row r="10463" spans="2:20" x14ac:dyDescent="0.25">
      <c r="B10463" t="s">
        <v>2709</v>
      </c>
      <c r="C10463">
        <v>96039000</v>
      </c>
      <c r="E10463">
        <v>112.46</v>
      </c>
      <c r="F10463">
        <v>18</v>
      </c>
      <c r="G10463">
        <v>0</v>
      </c>
      <c r="H10463">
        <v>7.6</v>
      </c>
      <c r="I10463">
        <v>1.65</v>
      </c>
      <c r="J10463">
        <v>18</v>
      </c>
      <c r="L10463" t="s">
        <v>2709</v>
      </c>
      <c r="M10463">
        <v>96039000</v>
      </c>
      <c r="O10463" t="s">
        <v>20055</v>
      </c>
      <c r="P10463" t="s">
        <v>19899</v>
      </c>
      <c r="Q10463" t="s">
        <v>19900</v>
      </c>
      <c r="R10463" t="s">
        <v>19905</v>
      </c>
      <c r="S10463" t="s">
        <v>19906</v>
      </c>
      <c r="T10463" t="s">
        <v>19899</v>
      </c>
    </row>
    <row r="10464" spans="2:20" x14ac:dyDescent="0.25">
      <c r="B10464" t="s">
        <v>2709</v>
      </c>
      <c r="C10464">
        <v>96040000</v>
      </c>
      <c r="E10464">
        <v>112.46</v>
      </c>
      <c r="F10464">
        <v>18</v>
      </c>
      <c r="G10464">
        <v>0</v>
      </c>
      <c r="H10464">
        <v>7.6</v>
      </c>
      <c r="I10464">
        <v>1.65</v>
      </c>
      <c r="J10464">
        <v>18</v>
      </c>
      <c r="L10464" t="s">
        <v>2709</v>
      </c>
      <c r="M10464">
        <v>96040000</v>
      </c>
      <c r="O10464" t="s">
        <v>20055</v>
      </c>
      <c r="P10464" t="s">
        <v>19899</v>
      </c>
      <c r="Q10464" t="s">
        <v>19900</v>
      </c>
      <c r="R10464" t="s">
        <v>19905</v>
      </c>
      <c r="S10464" t="s">
        <v>19906</v>
      </c>
      <c r="T10464" t="s">
        <v>19899</v>
      </c>
    </row>
    <row r="10465" spans="2:20" x14ac:dyDescent="0.25">
      <c r="B10465" t="s">
        <v>2709</v>
      </c>
      <c r="C10465">
        <v>96050000</v>
      </c>
      <c r="E10465">
        <v>177.19</v>
      </c>
      <c r="F10465">
        <v>18</v>
      </c>
      <c r="G10465">
        <v>10</v>
      </c>
      <c r="H10465">
        <v>7.6</v>
      </c>
      <c r="I10465">
        <v>1.65</v>
      </c>
      <c r="J10465">
        <v>18</v>
      </c>
      <c r="L10465" t="s">
        <v>2709</v>
      </c>
      <c r="M10465">
        <v>96050000</v>
      </c>
      <c r="O10465" t="s">
        <v>19926</v>
      </c>
      <c r="P10465" t="s">
        <v>19899</v>
      </c>
      <c r="Q10465" t="s">
        <v>19904</v>
      </c>
      <c r="R10465" t="s">
        <v>19905</v>
      </c>
      <c r="S10465" t="s">
        <v>19906</v>
      </c>
      <c r="T10465" t="s">
        <v>19899</v>
      </c>
    </row>
    <row r="10466" spans="2:20" x14ac:dyDescent="0.25">
      <c r="B10466" t="s">
        <v>2709</v>
      </c>
      <c r="C10466">
        <v>96061000</v>
      </c>
      <c r="E10466">
        <v>112.46</v>
      </c>
      <c r="F10466">
        <v>18</v>
      </c>
      <c r="G10466">
        <v>0</v>
      </c>
      <c r="H10466">
        <v>7.6</v>
      </c>
      <c r="I10466">
        <v>1.65</v>
      </c>
      <c r="J10466">
        <v>18</v>
      </c>
      <c r="L10466" t="s">
        <v>2709</v>
      </c>
      <c r="M10466">
        <v>96061000</v>
      </c>
      <c r="O10466" t="s">
        <v>20055</v>
      </c>
      <c r="P10466" t="s">
        <v>19899</v>
      </c>
      <c r="Q10466" t="s">
        <v>19900</v>
      </c>
      <c r="R10466" t="s">
        <v>19905</v>
      </c>
      <c r="S10466" t="s">
        <v>19906</v>
      </c>
      <c r="T10466" t="s">
        <v>19899</v>
      </c>
    </row>
    <row r="10467" spans="2:20" x14ac:dyDescent="0.25">
      <c r="B10467" t="s">
        <v>2709</v>
      </c>
      <c r="C10467">
        <v>96062100</v>
      </c>
      <c r="E10467">
        <v>112.46</v>
      </c>
      <c r="F10467">
        <v>18</v>
      </c>
      <c r="G10467">
        <v>0</v>
      </c>
      <c r="H10467">
        <v>7.6</v>
      </c>
      <c r="I10467">
        <v>1.65</v>
      </c>
      <c r="J10467">
        <v>18</v>
      </c>
      <c r="L10467" t="s">
        <v>2709</v>
      </c>
      <c r="M10467">
        <v>96062100</v>
      </c>
      <c r="O10467" t="s">
        <v>20055</v>
      </c>
      <c r="P10467" t="s">
        <v>19899</v>
      </c>
      <c r="Q10467" t="s">
        <v>19900</v>
      </c>
      <c r="R10467" t="s">
        <v>19905</v>
      </c>
      <c r="S10467" t="s">
        <v>19906</v>
      </c>
      <c r="T10467" t="s">
        <v>19899</v>
      </c>
    </row>
    <row r="10468" spans="2:20" x14ac:dyDescent="0.25">
      <c r="B10468" t="s">
        <v>2709</v>
      </c>
      <c r="C10468">
        <v>96062200</v>
      </c>
      <c r="E10468">
        <v>112.46</v>
      </c>
      <c r="F10468">
        <v>18</v>
      </c>
      <c r="G10468">
        <v>0</v>
      </c>
      <c r="H10468">
        <v>7.6</v>
      </c>
      <c r="I10468">
        <v>1.65</v>
      </c>
      <c r="J10468">
        <v>18</v>
      </c>
      <c r="L10468" t="s">
        <v>2709</v>
      </c>
      <c r="M10468">
        <v>96062200</v>
      </c>
      <c r="O10468" t="s">
        <v>20055</v>
      </c>
      <c r="P10468" t="s">
        <v>19899</v>
      </c>
      <c r="Q10468" t="s">
        <v>19900</v>
      </c>
      <c r="R10468" t="s">
        <v>19905</v>
      </c>
      <c r="S10468" t="s">
        <v>19906</v>
      </c>
      <c r="T10468" t="s">
        <v>19899</v>
      </c>
    </row>
    <row r="10469" spans="2:20" x14ac:dyDescent="0.25">
      <c r="B10469" t="s">
        <v>2709</v>
      </c>
      <c r="C10469">
        <v>96062900</v>
      </c>
      <c r="E10469">
        <v>112.46</v>
      </c>
      <c r="F10469">
        <v>18</v>
      </c>
      <c r="G10469">
        <v>0</v>
      </c>
      <c r="H10469">
        <v>7.6</v>
      </c>
      <c r="I10469">
        <v>1.65</v>
      </c>
      <c r="J10469">
        <v>18</v>
      </c>
      <c r="L10469" t="s">
        <v>2709</v>
      </c>
      <c r="M10469">
        <v>96062900</v>
      </c>
      <c r="O10469" t="s">
        <v>20055</v>
      </c>
      <c r="P10469" t="s">
        <v>19899</v>
      </c>
      <c r="Q10469" t="s">
        <v>19900</v>
      </c>
      <c r="R10469" t="s">
        <v>19905</v>
      </c>
      <c r="S10469" t="s">
        <v>19906</v>
      </c>
      <c r="T10469" t="s">
        <v>19899</v>
      </c>
    </row>
    <row r="10470" spans="2:20" x14ac:dyDescent="0.25">
      <c r="B10470" t="s">
        <v>2709</v>
      </c>
      <c r="C10470">
        <v>96063000</v>
      </c>
      <c r="E10470">
        <v>112.46</v>
      </c>
      <c r="F10470">
        <v>18</v>
      </c>
      <c r="G10470">
        <v>0</v>
      </c>
      <c r="H10470">
        <v>7.6</v>
      </c>
      <c r="I10470">
        <v>1.65</v>
      </c>
      <c r="J10470">
        <v>18</v>
      </c>
      <c r="L10470" t="s">
        <v>2709</v>
      </c>
      <c r="M10470">
        <v>96063000</v>
      </c>
      <c r="O10470" t="s">
        <v>20055</v>
      </c>
      <c r="P10470" t="s">
        <v>19899</v>
      </c>
      <c r="Q10470" t="s">
        <v>19900</v>
      </c>
      <c r="R10470" t="s">
        <v>19905</v>
      </c>
      <c r="S10470" t="s">
        <v>19906</v>
      </c>
      <c r="T10470" t="s">
        <v>19899</v>
      </c>
    </row>
    <row r="10471" spans="2:20" x14ac:dyDescent="0.25">
      <c r="B10471" t="s">
        <v>2709</v>
      </c>
      <c r="C10471">
        <v>96071100</v>
      </c>
      <c r="E10471">
        <v>112.46</v>
      </c>
      <c r="F10471">
        <v>18</v>
      </c>
      <c r="G10471">
        <v>0</v>
      </c>
      <c r="H10471">
        <v>7.6</v>
      </c>
      <c r="I10471">
        <v>1.65</v>
      </c>
      <c r="J10471">
        <v>18</v>
      </c>
      <c r="L10471" t="s">
        <v>2709</v>
      </c>
      <c r="M10471">
        <v>96071100</v>
      </c>
      <c r="O10471" t="s">
        <v>20055</v>
      </c>
      <c r="P10471" t="s">
        <v>19899</v>
      </c>
      <c r="Q10471" t="s">
        <v>19900</v>
      </c>
      <c r="R10471" t="s">
        <v>19905</v>
      </c>
      <c r="S10471" t="s">
        <v>19906</v>
      </c>
      <c r="T10471" t="s">
        <v>19899</v>
      </c>
    </row>
    <row r="10472" spans="2:20" x14ac:dyDescent="0.25">
      <c r="B10472" t="s">
        <v>2709</v>
      </c>
      <c r="C10472">
        <v>96071900</v>
      </c>
      <c r="E10472">
        <v>112.46</v>
      </c>
      <c r="F10472">
        <v>18</v>
      </c>
      <c r="G10472">
        <v>0</v>
      </c>
      <c r="H10472">
        <v>7.6</v>
      </c>
      <c r="I10472">
        <v>1.65</v>
      </c>
      <c r="J10472">
        <v>18</v>
      </c>
      <c r="L10472" t="s">
        <v>2709</v>
      </c>
      <c r="M10472">
        <v>96071900</v>
      </c>
      <c r="O10472" t="s">
        <v>20055</v>
      </c>
      <c r="P10472" t="s">
        <v>19899</v>
      </c>
      <c r="Q10472" t="s">
        <v>19900</v>
      </c>
      <c r="R10472" t="s">
        <v>19905</v>
      </c>
      <c r="S10472" t="s">
        <v>19906</v>
      </c>
      <c r="T10472" t="s">
        <v>19899</v>
      </c>
    </row>
    <row r="10473" spans="2:20" x14ac:dyDescent="0.25">
      <c r="B10473" t="s">
        <v>2709</v>
      </c>
      <c r="C10473">
        <v>96072000</v>
      </c>
      <c r="E10473">
        <v>112.46</v>
      </c>
      <c r="F10473">
        <v>18</v>
      </c>
      <c r="G10473">
        <v>0</v>
      </c>
      <c r="H10473">
        <v>7.6</v>
      </c>
      <c r="I10473">
        <v>1.65</v>
      </c>
      <c r="J10473">
        <v>18</v>
      </c>
      <c r="L10473" t="s">
        <v>2709</v>
      </c>
      <c r="M10473">
        <v>96072000</v>
      </c>
      <c r="O10473" t="s">
        <v>20055</v>
      </c>
      <c r="P10473" t="s">
        <v>19899</v>
      </c>
      <c r="Q10473" t="s">
        <v>19900</v>
      </c>
      <c r="R10473" t="s">
        <v>19905</v>
      </c>
      <c r="S10473" t="s">
        <v>19906</v>
      </c>
      <c r="T10473" t="s">
        <v>19899</v>
      </c>
    </row>
    <row r="10474" spans="2:20" x14ac:dyDescent="0.25">
      <c r="B10474" t="s">
        <v>2709</v>
      </c>
      <c r="C10474">
        <v>96081000</v>
      </c>
      <c r="E10474">
        <v>61.86</v>
      </c>
      <c r="F10474">
        <v>18</v>
      </c>
      <c r="G10474">
        <v>20</v>
      </c>
      <c r="H10474">
        <v>7.6</v>
      </c>
      <c r="I10474">
        <v>1.65</v>
      </c>
      <c r="J10474">
        <v>18</v>
      </c>
      <c r="L10474" t="s">
        <v>2709</v>
      </c>
      <c r="M10474">
        <v>96081000</v>
      </c>
      <c r="O10474" t="s">
        <v>20227</v>
      </c>
      <c r="P10474" t="s">
        <v>19899</v>
      </c>
      <c r="Q10474" t="s">
        <v>19934</v>
      </c>
      <c r="R10474" t="s">
        <v>19905</v>
      </c>
      <c r="S10474" t="s">
        <v>19906</v>
      </c>
      <c r="T10474" t="s">
        <v>19899</v>
      </c>
    </row>
    <row r="10475" spans="2:20" x14ac:dyDescent="0.25">
      <c r="B10475" t="s">
        <v>2709</v>
      </c>
      <c r="C10475">
        <v>96082000</v>
      </c>
      <c r="E10475">
        <v>46.65</v>
      </c>
      <c r="F10475">
        <v>18</v>
      </c>
      <c r="G10475">
        <v>20</v>
      </c>
      <c r="H10475">
        <v>7.6</v>
      </c>
      <c r="I10475">
        <v>1.65</v>
      </c>
      <c r="J10475">
        <v>18</v>
      </c>
      <c r="L10475" t="s">
        <v>2709</v>
      </c>
      <c r="M10475">
        <v>96082000</v>
      </c>
      <c r="O10475" t="s">
        <v>20228</v>
      </c>
      <c r="P10475" t="s">
        <v>19899</v>
      </c>
      <c r="Q10475" t="s">
        <v>19934</v>
      </c>
      <c r="R10475" t="s">
        <v>19905</v>
      </c>
      <c r="S10475" t="s">
        <v>19906</v>
      </c>
      <c r="T10475" t="s">
        <v>19899</v>
      </c>
    </row>
    <row r="10476" spans="2:20" x14ac:dyDescent="0.25">
      <c r="B10476" t="s">
        <v>2709</v>
      </c>
      <c r="C10476">
        <v>96083000</v>
      </c>
      <c r="E10476">
        <v>83.99</v>
      </c>
      <c r="F10476">
        <v>18</v>
      </c>
      <c r="G10476">
        <v>20</v>
      </c>
      <c r="H10476">
        <v>7.6</v>
      </c>
      <c r="I10476">
        <v>1.65</v>
      </c>
      <c r="J10476">
        <v>18</v>
      </c>
      <c r="L10476" t="s">
        <v>2709</v>
      </c>
      <c r="M10476">
        <v>96083000</v>
      </c>
      <c r="O10476" t="s">
        <v>20229</v>
      </c>
      <c r="P10476" t="s">
        <v>19899</v>
      </c>
      <c r="Q10476" t="s">
        <v>19934</v>
      </c>
      <c r="R10476" t="s">
        <v>19905</v>
      </c>
      <c r="S10476" t="s">
        <v>19906</v>
      </c>
      <c r="T10476" t="s">
        <v>19899</v>
      </c>
    </row>
    <row r="10477" spans="2:20" x14ac:dyDescent="0.25">
      <c r="B10477" t="s">
        <v>2709</v>
      </c>
      <c r="C10477">
        <v>96084000</v>
      </c>
      <c r="E10477">
        <v>94.43</v>
      </c>
      <c r="F10477">
        <v>18</v>
      </c>
      <c r="G10477">
        <v>20</v>
      </c>
      <c r="H10477">
        <v>7.6</v>
      </c>
      <c r="I10477">
        <v>1.65</v>
      </c>
      <c r="J10477">
        <v>18</v>
      </c>
      <c r="L10477" t="s">
        <v>2709</v>
      </c>
      <c r="M10477">
        <v>96084000</v>
      </c>
      <c r="O10477" t="s">
        <v>20230</v>
      </c>
      <c r="P10477" t="s">
        <v>19899</v>
      </c>
      <c r="Q10477" t="s">
        <v>19934</v>
      </c>
      <c r="R10477" t="s">
        <v>19905</v>
      </c>
      <c r="S10477" t="s">
        <v>19906</v>
      </c>
      <c r="T10477" t="s">
        <v>19899</v>
      </c>
    </row>
    <row r="10478" spans="2:20" x14ac:dyDescent="0.25">
      <c r="B10478" t="s">
        <v>2709</v>
      </c>
      <c r="C10478">
        <v>96085000</v>
      </c>
      <c r="E10478">
        <v>0</v>
      </c>
      <c r="F10478">
        <v>18</v>
      </c>
      <c r="G10478">
        <v>20</v>
      </c>
      <c r="H10478">
        <v>7.6</v>
      </c>
      <c r="I10478">
        <v>1.65</v>
      </c>
      <c r="J10478">
        <v>18</v>
      </c>
      <c r="L10478" t="s">
        <v>2709</v>
      </c>
      <c r="M10478">
        <v>96085000</v>
      </c>
      <c r="O10478" t="s">
        <v>19900</v>
      </c>
      <c r="P10478" t="s">
        <v>19899</v>
      </c>
      <c r="Q10478" t="s">
        <v>19934</v>
      </c>
      <c r="R10478" t="s">
        <v>19905</v>
      </c>
      <c r="S10478" t="s">
        <v>19906</v>
      </c>
      <c r="T10478" t="s">
        <v>19899</v>
      </c>
    </row>
    <row r="10479" spans="2:20" x14ac:dyDescent="0.25">
      <c r="B10479" t="s">
        <v>2709</v>
      </c>
      <c r="C10479">
        <v>96086000</v>
      </c>
      <c r="E10479">
        <v>0</v>
      </c>
      <c r="F10479">
        <v>18</v>
      </c>
      <c r="G10479">
        <v>20</v>
      </c>
      <c r="H10479">
        <v>7.6</v>
      </c>
      <c r="I10479">
        <v>1.65</v>
      </c>
      <c r="J10479">
        <v>18</v>
      </c>
      <c r="L10479" t="s">
        <v>2709</v>
      </c>
      <c r="M10479">
        <v>96086000</v>
      </c>
      <c r="O10479" t="s">
        <v>19900</v>
      </c>
      <c r="P10479" t="s">
        <v>19899</v>
      </c>
      <c r="Q10479" t="s">
        <v>19934</v>
      </c>
      <c r="R10479" t="s">
        <v>19905</v>
      </c>
      <c r="S10479" t="s">
        <v>19906</v>
      </c>
      <c r="T10479" t="s">
        <v>19899</v>
      </c>
    </row>
    <row r="10480" spans="2:20" x14ac:dyDescent="0.25">
      <c r="B10480" t="s">
        <v>2709</v>
      </c>
      <c r="C10480">
        <v>96089100</v>
      </c>
      <c r="E10480">
        <v>0</v>
      </c>
      <c r="F10480">
        <v>18</v>
      </c>
      <c r="G10480">
        <v>20</v>
      </c>
      <c r="H10480">
        <v>7.6</v>
      </c>
      <c r="I10480">
        <v>1.65</v>
      </c>
      <c r="J10480">
        <v>18</v>
      </c>
      <c r="L10480" t="s">
        <v>2709</v>
      </c>
      <c r="M10480">
        <v>96089100</v>
      </c>
      <c r="O10480" t="s">
        <v>19900</v>
      </c>
      <c r="P10480" t="s">
        <v>19899</v>
      </c>
      <c r="Q10480" t="s">
        <v>19934</v>
      </c>
      <c r="R10480" t="s">
        <v>19905</v>
      </c>
      <c r="S10480" t="s">
        <v>19906</v>
      </c>
      <c r="T10480" t="s">
        <v>19899</v>
      </c>
    </row>
    <row r="10481" spans="2:20" x14ac:dyDescent="0.25">
      <c r="B10481" t="s">
        <v>2709</v>
      </c>
      <c r="C10481">
        <v>96089981</v>
      </c>
      <c r="E10481">
        <v>0</v>
      </c>
      <c r="F10481">
        <v>18</v>
      </c>
      <c r="G10481">
        <v>20</v>
      </c>
      <c r="H10481">
        <v>7.6</v>
      </c>
      <c r="I10481">
        <v>1.65</v>
      </c>
      <c r="J10481">
        <v>18</v>
      </c>
      <c r="L10481" t="s">
        <v>2709</v>
      </c>
      <c r="M10481">
        <v>96089981</v>
      </c>
      <c r="O10481" t="s">
        <v>19900</v>
      </c>
      <c r="P10481" t="s">
        <v>19899</v>
      </c>
      <c r="Q10481" t="s">
        <v>19934</v>
      </c>
      <c r="R10481" t="s">
        <v>19905</v>
      </c>
      <c r="S10481" t="s">
        <v>19906</v>
      </c>
      <c r="T10481" t="s">
        <v>19899</v>
      </c>
    </row>
    <row r="10482" spans="2:20" x14ac:dyDescent="0.25">
      <c r="B10482" t="s">
        <v>2709</v>
      </c>
      <c r="C10482">
        <v>96089989</v>
      </c>
      <c r="E10482">
        <v>0</v>
      </c>
      <c r="F10482">
        <v>18</v>
      </c>
      <c r="G10482">
        <v>20</v>
      </c>
      <c r="H10482">
        <v>7.6</v>
      </c>
      <c r="I10482">
        <v>1.65</v>
      </c>
      <c r="J10482">
        <v>18</v>
      </c>
      <c r="L10482" t="s">
        <v>2709</v>
      </c>
      <c r="M10482">
        <v>96089989</v>
      </c>
      <c r="O10482" t="s">
        <v>19900</v>
      </c>
      <c r="P10482" t="s">
        <v>19899</v>
      </c>
      <c r="Q10482" t="s">
        <v>19934</v>
      </c>
      <c r="R10482" t="s">
        <v>19905</v>
      </c>
      <c r="S10482" t="s">
        <v>19906</v>
      </c>
      <c r="T10482" t="s">
        <v>19899</v>
      </c>
    </row>
    <row r="10483" spans="2:20" x14ac:dyDescent="0.25">
      <c r="B10483" t="s">
        <v>2709</v>
      </c>
      <c r="C10483">
        <v>96089990</v>
      </c>
      <c r="E10483">
        <v>0</v>
      </c>
      <c r="F10483">
        <v>18</v>
      </c>
      <c r="G10483">
        <v>20</v>
      </c>
      <c r="H10483">
        <v>7.6</v>
      </c>
      <c r="I10483">
        <v>1.65</v>
      </c>
      <c r="J10483">
        <v>18</v>
      </c>
      <c r="L10483" t="s">
        <v>2709</v>
      </c>
      <c r="M10483">
        <v>96089990</v>
      </c>
      <c r="O10483" t="s">
        <v>19900</v>
      </c>
      <c r="P10483" t="s">
        <v>19899</v>
      </c>
      <c r="Q10483" t="s">
        <v>19934</v>
      </c>
      <c r="R10483" t="s">
        <v>19905</v>
      </c>
      <c r="S10483" t="s">
        <v>19906</v>
      </c>
      <c r="T10483" t="s">
        <v>19899</v>
      </c>
    </row>
    <row r="10484" spans="2:20" x14ac:dyDescent="0.25">
      <c r="B10484" t="s">
        <v>2709</v>
      </c>
      <c r="C10484">
        <v>96091000</v>
      </c>
      <c r="E10484">
        <v>53.21</v>
      </c>
      <c r="F10484">
        <v>18</v>
      </c>
      <c r="G10484">
        <v>0</v>
      </c>
      <c r="H10484">
        <v>7.6</v>
      </c>
      <c r="I10484">
        <v>1.65</v>
      </c>
      <c r="J10484">
        <v>18</v>
      </c>
      <c r="L10484" t="s">
        <v>2709</v>
      </c>
      <c r="M10484">
        <v>96091000</v>
      </c>
      <c r="O10484" t="s">
        <v>20231</v>
      </c>
      <c r="P10484" t="s">
        <v>19899</v>
      </c>
      <c r="Q10484" t="s">
        <v>19900</v>
      </c>
      <c r="R10484" t="s">
        <v>19905</v>
      </c>
      <c r="S10484" t="s">
        <v>19906</v>
      </c>
      <c r="T10484" t="s">
        <v>19899</v>
      </c>
    </row>
    <row r="10485" spans="2:20" x14ac:dyDescent="0.25">
      <c r="B10485" t="s">
        <v>2709</v>
      </c>
      <c r="C10485">
        <v>96092000</v>
      </c>
      <c r="E10485">
        <v>53.21</v>
      </c>
      <c r="F10485">
        <v>18</v>
      </c>
      <c r="G10485">
        <v>0</v>
      </c>
      <c r="H10485">
        <v>7.6</v>
      </c>
      <c r="I10485">
        <v>1.65</v>
      </c>
      <c r="J10485">
        <v>18</v>
      </c>
      <c r="L10485" t="s">
        <v>2709</v>
      </c>
      <c r="M10485">
        <v>96092000</v>
      </c>
      <c r="O10485" t="s">
        <v>20231</v>
      </c>
      <c r="P10485" t="s">
        <v>19899</v>
      </c>
      <c r="Q10485" t="s">
        <v>19900</v>
      </c>
      <c r="R10485" t="s">
        <v>19905</v>
      </c>
      <c r="S10485" t="s">
        <v>19906</v>
      </c>
      <c r="T10485" t="s">
        <v>19899</v>
      </c>
    </row>
    <row r="10486" spans="2:20" x14ac:dyDescent="0.25">
      <c r="B10486" t="s">
        <v>2709</v>
      </c>
      <c r="C10486">
        <v>96099000</v>
      </c>
      <c r="E10486">
        <v>53.21</v>
      </c>
      <c r="F10486">
        <v>18</v>
      </c>
      <c r="G10486">
        <v>0</v>
      </c>
      <c r="H10486">
        <v>7.6</v>
      </c>
      <c r="I10486">
        <v>1.65</v>
      </c>
      <c r="J10486">
        <v>18</v>
      </c>
      <c r="L10486" t="s">
        <v>2709</v>
      </c>
      <c r="M10486">
        <v>96099000</v>
      </c>
      <c r="O10486" t="s">
        <v>20231</v>
      </c>
      <c r="P10486" t="s">
        <v>19899</v>
      </c>
      <c r="Q10486" t="s">
        <v>19900</v>
      </c>
      <c r="R10486" t="s">
        <v>19905</v>
      </c>
      <c r="S10486" t="s">
        <v>19906</v>
      </c>
      <c r="T10486" t="s">
        <v>19899</v>
      </c>
    </row>
    <row r="10487" spans="2:20" x14ac:dyDescent="0.25">
      <c r="B10487" t="s">
        <v>2709</v>
      </c>
      <c r="C10487">
        <v>96100000</v>
      </c>
      <c r="E10487">
        <v>77.38</v>
      </c>
      <c r="F10487">
        <v>18</v>
      </c>
      <c r="G10487">
        <v>0</v>
      </c>
      <c r="H10487">
        <v>7.6</v>
      </c>
      <c r="I10487">
        <v>1.65</v>
      </c>
      <c r="J10487">
        <v>18</v>
      </c>
      <c r="L10487" t="s">
        <v>2709</v>
      </c>
      <c r="M10487">
        <v>96100000</v>
      </c>
      <c r="O10487" t="s">
        <v>20232</v>
      </c>
      <c r="P10487" t="s">
        <v>19899</v>
      </c>
      <c r="Q10487" t="s">
        <v>19900</v>
      </c>
      <c r="R10487" t="s">
        <v>19905</v>
      </c>
      <c r="S10487" t="s">
        <v>19906</v>
      </c>
      <c r="T10487" t="s">
        <v>19899</v>
      </c>
    </row>
    <row r="10488" spans="2:20" x14ac:dyDescent="0.25">
      <c r="B10488" t="s">
        <v>2709</v>
      </c>
      <c r="C10488">
        <v>96110000</v>
      </c>
      <c r="E10488">
        <v>112.46</v>
      </c>
      <c r="F10488">
        <v>18</v>
      </c>
      <c r="G10488">
        <v>0</v>
      </c>
      <c r="H10488">
        <v>7.6</v>
      </c>
      <c r="I10488">
        <v>1.65</v>
      </c>
      <c r="J10488">
        <v>18</v>
      </c>
      <c r="L10488" t="s">
        <v>2709</v>
      </c>
      <c r="M10488">
        <v>96110000</v>
      </c>
      <c r="O10488" t="s">
        <v>20055</v>
      </c>
      <c r="P10488" t="s">
        <v>19899</v>
      </c>
      <c r="Q10488" t="s">
        <v>19900</v>
      </c>
      <c r="R10488" t="s">
        <v>19905</v>
      </c>
      <c r="S10488" t="s">
        <v>19906</v>
      </c>
      <c r="T10488" t="s">
        <v>19899</v>
      </c>
    </row>
    <row r="10489" spans="2:20" x14ac:dyDescent="0.25">
      <c r="B10489" t="s">
        <v>2709</v>
      </c>
      <c r="C10489">
        <v>96121011</v>
      </c>
      <c r="E10489">
        <v>112.46</v>
      </c>
      <c r="F10489">
        <v>18</v>
      </c>
      <c r="G10489">
        <v>20</v>
      </c>
      <c r="H10489">
        <v>7.6</v>
      </c>
      <c r="I10489">
        <v>1.65</v>
      </c>
      <c r="J10489">
        <v>18</v>
      </c>
      <c r="L10489" t="s">
        <v>2709</v>
      </c>
      <c r="M10489">
        <v>96121011</v>
      </c>
      <c r="O10489" t="s">
        <v>20055</v>
      </c>
      <c r="P10489" t="s">
        <v>19899</v>
      </c>
      <c r="Q10489" t="s">
        <v>19934</v>
      </c>
      <c r="R10489" t="s">
        <v>19905</v>
      </c>
      <c r="S10489" t="s">
        <v>19906</v>
      </c>
      <c r="T10489" t="s">
        <v>19899</v>
      </c>
    </row>
    <row r="10490" spans="2:20" x14ac:dyDescent="0.25">
      <c r="B10490" t="s">
        <v>2709</v>
      </c>
      <c r="C10490">
        <v>96121012</v>
      </c>
      <c r="E10490">
        <v>112.46</v>
      </c>
      <c r="F10490">
        <v>18</v>
      </c>
      <c r="G10490">
        <v>20</v>
      </c>
      <c r="H10490">
        <v>7.6</v>
      </c>
      <c r="I10490">
        <v>1.65</v>
      </c>
      <c r="J10490">
        <v>18</v>
      </c>
      <c r="L10490" t="s">
        <v>2709</v>
      </c>
      <c r="M10490">
        <v>96121012</v>
      </c>
      <c r="O10490" t="s">
        <v>20055</v>
      </c>
      <c r="P10490" t="s">
        <v>19899</v>
      </c>
      <c r="Q10490" t="s">
        <v>19934</v>
      </c>
      <c r="R10490" t="s">
        <v>19905</v>
      </c>
      <c r="S10490" t="s">
        <v>19906</v>
      </c>
      <c r="T10490" t="s">
        <v>19899</v>
      </c>
    </row>
    <row r="10491" spans="2:20" x14ac:dyDescent="0.25">
      <c r="B10491" t="s">
        <v>2709</v>
      </c>
      <c r="C10491">
        <v>96121013</v>
      </c>
      <c r="E10491">
        <v>112.46</v>
      </c>
      <c r="F10491">
        <v>18</v>
      </c>
      <c r="G10491">
        <v>20</v>
      </c>
      <c r="H10491">
        <v>7.6</v>
      </c>
      <c r="I10491">
        <v>1.65</v>
      </c>
      <c r="J10491">
        <v>18</v>
      </c>
      <c r="L10491" t="s">
        <v>2709</v>
      </c>
      <c r="M10491">
        <v>96121013</v>
      </c>
      <c r="O10491" t="s">
        <v>20055</v>
      </c>
      <c r="P10491" t="s">
        <v>19899</v>
      </c>
      <c r="Q10491" t="s">
        <v>19934</v>
      </c>
      <c r="R10491" t="s">
        <v>19905</v>
      </c>
      <c r="S10491" t="s">
        <v>19906</v>
      </c>
      <c r="T10491" t="s">
        <v>19899</v>
      </c>
    </row>
    <row r="10492" spans="2:20" x14ac:dyDescent="0.25">
      <c r="B10492" t="s">
        <v>2709</v>
      </c>
      <c r="C10492">
        <v>96121019</v>
      </c>
      <c r="E10492">
        <v>112.46</v>
      </c>
      <c r="F10492">
        <v>18</v>
      </c>
      <c r="G10492">
        <v>20</v>
      </c>
      <c r="H10492">
        <v>7.6</v>
      </c>
      <c r="I10492">
        <v>1.65</v>
      </c>
      <c r="J10492">
        <v>18</v>
      </c>
      <c r="L10492" t="s">
        <v>2709</v>
      </c>
      <c r="M10492">
        <v>96121019</v>
      </c>
      <c r="O10492" t="s">
        <v>20055</v>
      </c>
      <c r="P10492" t="s">
        <v>19899</v>
      </c>
      <c r="Q10492" t="s">
        <v>19934</v>
      </c>
      <c r="R10492" t="s">
        <v>19905</v>
      </c>
      <c r="S10492" t="s">
        <v>19906</v>
      </c>
      <c r="T10492" t="s">
        <v>19899</v>
      </c>
    </row>
    <row r="10493" spans="2:20" x14ac:dyDescent="0.25">
      <c r="B10493" t="s">
        <v>2709</v>
      </c>
      <c r="C10493">
        <v>96121090</v>
      </c>
      <c r="E10493">
        <v>112.46</v>
      </c>
      <c r="F10493">
        <v>18</v>
      </c>
      <c r="G10493">
        <v>20</v>
      </c>
      <c r="H10493">
        <v>7.6</v>
      </c>
      <c r="I10493">
        <v>1.65</v>
      </c>
      <c r="J10493">
        <v>18</v>
      </c>
      <c r="L10493" t="s">
        <v>2709</v>
      </c>
      <c r="M10493">
        <v>96121090</v>
      </c>
      <c r="O10493" t="s">
        <v>20055</v>
      </c>
      <c r="P10493" t="s">
        <v>19899</v>
      </c>
      <c r="Q10493" t="s">
        <v>19934</v>
      </c>
      <c r="R10493" t="s">
        <v>19905</v>
      </c>
      <c r="S10493" t="s">
        <v>19906</v>
      </c>
      <c r="T10493" t="s">
        <v>19899</v>
      </c>
    </row>
    <row r="10494" spans="2:20" x14ac:dyDescent="0.25">
      <c r="B10494" t="s">
        <v>2709</v>
      </c>
      <c r="C10494">
        <v>96122000</v>
      </c>
      <c r="E10494">
        <v>112.46</v>
      </c>
      <c r="F10494">
        <v>18</v>
      </c>
      <c r="G10494">
        <v>20</v>
      </c>
      <c r="H10494">
        <v>7.6</v>
      </c>
      <c r="I10494">
        <v>1.65</v>
      </c>
      <c r="J10494">
        <v>18</v>
      </c>
      <c r="L10494" t="s">
        <v>2709</v>
      </c>
      <c r="M10494">
        <v>96122000</v>
      </c>
      <c r="O10494" t="s">
        <v>20055</v>
      </c>
      <c r="P10494" t="s">
        <v>19899</v>
      </c>
      <c r="Q10494" t="s">
        <v>19934</v>
      </c>
      <c r="R10494" t="s">
        <v>19905</v>
      </c>
      <c r="S10494" t="s">
        <v>19906</v>
      </c>
      <c r="T10494" t="s">
        <v>19899</v>
      </c>
    </row>
    <row r="10495" spans="2:20" x14ac:dyDescent="0.25">
      <c r="B10495" t="s">
        <v>2709</v>
      </c>
      <c r="C10495">
        <v>96131000</v>
      </c>
      <c r="E10495">
        <v>112.46</v>
      </c>
      <c r="F10495">
        <v>18</v>
      </c>
      <c r="G10495">
        <v>40</v>
      </c>
      <c r="H10495">
        <v>7.6</v>
      </c>
      <c r="I10495">
        <v>1.65</v>
      </c>
      <c r="J10495">
        <v>18</v>
      </c>
      <c r="L10495" t="s">
        <v>2709</v>
      </c>
      <c r="M10495">
        <v>96131000</v>
      </c>
      <c r="O10495" t="s">
        <v>20055</v>
      </c>
      <c r="P10495" t="s">
        <v>19899</v>
      </c>
      <c r="Q10495" t="s">
        <v>19922</v>
      </c>
      <c r="R10495" t="s">
        <v>19905</v>
      </c>
      <c r="S10495" t="s">
        <v>19906</v>
      </c>
      <c r="T10495" t="s">
        <v>19899</v>
      </c>
    </row>
    <row r="10496" spans="2:20" x14ac:dyDescent="0.25">
      <c r="B10496" t="s">
        <v>2709</v>
      </c>
      <c r="C10496">
        <v>96132000</v>
      </c>
      <c r="E10496">
        <v>112.46</v>
      </c>
      <c r="F10496">
        <v>18</v>
      </c>
      <c r="G10496">
        <v>40</v>
      </c>
      <c r="H10496">
        <v>7.6</v>
      </c>
      <c r="I10496">
        <v>1.65</v>
      </c>
      <c r="J10496">
        <v>18</v>
      </c>
      <c r="L10496" t="s">
        <v>2709</v>
      </c>
      <c r="M10496">
        <v>96132000</v>
      </c>
      <c r="O10496" t="s">
        <v>20055</v>
      </c>
      <c r="P10496" t="s">
        <v>19899</v>
      </c>
      <c r="Q10496" t="s">
        <v>19922</v>
      </c>
      <c r="R10496" t="s">
        <v>19905</v>
      </c>
      <c r="S10496" t="s">
        <v>19906</v>
      </c>
      <c r="T10496" t="s">
        <v>19899</v>
      </c>
    </row>
    <row r="10497" spans="2:20" x14ac:dyDescent="0.25">
      <c r="B10497" t="s">
        <v>2709</v>
      </c>
      <c r="C10497">
        <v>96138000</v>
      </c>
      <c r="E10497">
        <v>71.78</v>
      </c>
      <c r="F10497">
        <v>18</v>
      </c>
      <c r="G10497">
        <v>40</v>
      </c>
      <c r="H10497">
        <v>7.6</v>
      </c>
      <c r="I10497">
        <v>1.65</v>
      </c>
      <c r="J10497">
        <v>18</v>
      </c>
      <c r="L10497" t="s">
        <v>2709</v>
      </c>
      <c r="M10497">
        <v>96138000</v>
      </c>
      <c r="O10497" t="s">
        <v>20056</v>
      </c>
      <c r="P10497" t="s">
        <v>19899</v>
      </c>
      <c r="Q10497" t="s">
        <v>19922</v>
      </c>
      <c r="R10497" t="s">
        <v>19905</v>
      </c>
      <c r="S10497" t="s">
        <v>19906</v>
      </c>
      <c r="T10497" t="s">
        <v>19899</v>
      </c>
    </row>
    <row r="10498" spans="2:20" x14ac:dyDescent="0.25">
      <c r="B10498" t="s">
        <v>2709</v>
      </c>
      <c r="C10498">
        <v>96139000</v>
      </c>
      <c r="E10498">
        <v>112.46</v>
      </c>
      <c r="F10498">
        <v>18</v>
      </c>
      <c r="G10498">
        <v>40</v>
      </c>
      <c r="H10498">
        <v>7.6</v>
      </c>
      <c r="I10498">
        <v>1.65</v>
      </c>
      <c r="J10498">
        <v>18</v>
      </c>
      <c r="L10498" t="s">
        <v>2709</v>
      </c>
      <c r="M10498">
        <v>96139000</v>
      </c>
      <c r="O10498" t="s">
        <v>20055</v>
      </c>
      <c r="P10498" t="s">
        <v>19899</v>
      </c>
      <c r="Q10498" t="s">
        <v>19922</v>
      </c>
      <c r="R10498" t="s">
        <v>19905</v>
      </c>
      <c r="S10498" t="s">
        <v>19906</v>
      </c>
      <c r="T10498" t="s">
        <v>19899</v>
      </c>
    </row>
    <row r="10499" spans="2:20" x14ac:dyDescent="0.25">
      <c r="B10499" t="s">
        <v>2709</v>
      </c>
      <c r="C10499">
        <v>96140000</v>
      </c>
      <c r="E10499">
        <v>112.46</v>
      </c>
      <c r="F10499">
        <v>25</v>
      </c>
      <c r="G10499">
        <v>30</v>
      </c>
      <c r="H10499">
        <v>7.6</v>
      </c>
      <c r="I10499">
        <v>1.65</v>
      </c>
      <c r="J10499">
        <v>18</v>
      </c>
      <c r="L10499" t="s">
        <v>2709</v>
      </c>
      <c r="M10499">
        <v>96140000</v>
      </c>
      <c r="O10499" t="s">
        <v>20055</v>
      </c>
      <c r="P10499" t="s">
        <v>19982</v>
      </c>
      <c r="Q10499" t="s">
        <v>19933</v>
      </c>
      <c r="R10499" t="s">
        <v>19905</v>
      </c>
      <c r="S10499" t="s">
        <v>19906</v>
      </c>
      <c r="T10499" t="s">
        <v>19899</v>
      </c>
    </row>
    <row r="10500" spans="2:20" x14ac:dyDescent="0.25">
      <c r="B10500" t="s">
        <v>2709</v>
      </c>
      <c r="C10500">
        <v>96151100</v>
      </c>
      <c r="E10500">
        <v>177.19</v>
      </c>
      <c r="F10500">
        <v>18</v>
      </c>
      <c r="G10500">
        <v>15</v>
      </c>
      <c r="H10500">
        <v>7.6</v>
      </c>
      <c r="I10500">
        <v>1.65</v>
      </c>
      <c r="J10500">
        <v>18</v>
      </c>
      <c r="L10500" t="s">
        <v>2709</v>
      </c>
      <c r="M10500">
        <v>96151100</v>
      </c>
      <c r="O10500" t="s">
        <v>19926</v>
      </c>
      <c r="P10500" t="s">
        <v>19899</v>
      </c>
      <c r="Q10500" t="s">
        <v>19983</v>
      </c>
      <c r="R10500" t="s">
        <v>19905</v>
      </c>
      <c r="S10500" t="s">
        <v>19906</v>
      </c>
      <c r="T10500" t="s">
        <v>19899</v>
      </c>
    </row>
    <row r="10501" spans="2:20" x14ac:dyDescent="0.25">
      <c r="B10501" t="s">
        <v>2709</v>
      </c>
      <c r="C10501">
        <v>96151900</v>
      </c>
      <c r="E10501">
        <v>177.19</v>
      </c>
      <c r="F10501">
        <v>18</v>
      </c>
      <c r="G10501">
        <v>15</v>
      </c>
      <c r="H10501">
        <v>7.6</v>
      </c>
      <c r="I10501">
        <v>1.65</v>
      </c>
      <c r="J10501">
        <v>18</v>
      </c>
      <c r="L10501" t="s">
        <v>2709</v>
      </c>
      <c r="M10501">
        <v>96151900</v>
      </c>
      <c r="O10501" t="s">
        <v>19926</v>
      </c>
      <c r="P10501" t="s">
        <v>19899</v>
      </c>
      <c r="Q10501" t="s">
        <v>19983</v>
      </c>
      <c r="R10501" t="s">
        <v>19905</v>
      </c>
      <c r="S10501" t="s">
        <v>19906</v>
      </c>
      <c r="T10501" t="s">
        <v>19899</v>
      </c>
    </row>
    <row r="10502" spans="2:20" x14ac:dyDescent="0.25">
      <c r="B10502" t="s">
        <v>2709</v>
      </c>
      <c r="C10502">
        <v>96159000</v>
      </c>
      <c r="E10502">
        <v>177.19</v>
      </c>
      <c r="F10502">
        <v>18</v>
      </c>
      <c r="G10502">
        <v>15</v>
      </c>
      <c r="H10502">
        <v>7.6</v>
      </c>
      <c r="I10502">
        <v>1.65</v>
      </c>
      <c r="J10502">
        <v>18</v>
      </c>
      <c r="L10502" t="s">
        <v>2709</v>
      </c>
      <c r="M10502">
        <v>96159000</v>
      </c>
      <c r="O10502" t="s">
        <v>19926</v>
      </c>
      <c r="P10502" t="s">
        <v>19899</v>
      </c>
      <c r="Q10502" t="s">
        <v>19983</v>
      </c>
      <c r="R10502" t="s">
        <v>19905</v>
      </c>
      <c r="S10502" t="s">
        <v>19906</v>
      </c>
      <c r="T10502" t="s">
        <v>19899</v>
      </c>
    </row>
    <row r="10503" spans="2:20" x14ac:dyDescent="0.25">
      <c r="B10503" t="s">
        <v>2709</v>
      </c>
      <c r="C10503">
        <v>96161000</v>
      </c>
      <c r="E10503">
        <v>112.46</v>
      </c>
      <c r="F10503">
        <v>18</v>
      </c>
      <c r="G10503">
        <v>20</v>
      </c>
      <c r="H10503">
        <v>7.6</v>
      </c>
      <c r="I10503">
        <v>1.65</v>
      </c>
      <c r="J10503">
        <v>18</v>
      </c>
      <c r="L10503" t="s">
        <v>2709</v>
      </c>
      <c r="M10503">
        <v>96161000</v>
      </c>
      <c r="O10503" t="s">
        <v>20055</v>
      </c>
      <c r="P10503" t="s">
        <v>19899</v>
      </c>
      <c r="Q10503" t="s">
        <v>19934</v>
      </c>
      <c r="R10503" t="s">
        <v>19905</v>
      </c>
      <c r="S10503" t="s">
        <v>19906</v>
      </c>
      <c r="T10503" t="s">
        <v>19899</v>
      </c>
    </row>
    <row r="10504" spans="2:20" x14ac:dyDescent="0.25">
      <c r="B10504" t="s">
        <v>2709</v>
      </c>
      <c r="C10504">
        <v>96162000</v>
      </c>
      <c r="E10504">
        <v>177.19</v>
      </c>
      <c r="F10504">
        <v>18</v>
      </c>
      <c r="G10504">
        <v>0</v>
      </c>
      <c r="H10504">
        <v>7.6</v>
      </c>
      <c r="I10504">
        <v>1.65</v>
      </c>
      <c r="J10504">
        <v>18</v>
      </c>
      <c r="L10504" t="s">
        <v>2709</v>
      </c>
      <c r="M10504">
        <v>96162000</v>
      </c>
      <c r="O10504" t="s">
        <v>19926</v>
      </c>
      <c r="P10504" t="s">
        <v>19899</v>
      </c>
      <c r="Q10504" t="s">
        <v>19900</v>
      </c>
      <c r="R10504" t="s">
        <v>19905</v>
      </c>
      <c r="S10504" t="s">
        <v>19906</v>
      </c>
      <c r="T10504" t="s">
        <v>19899</v>
      </c>
    </row>
    <row r="10505" spans="2:20" x14ac:dyDescent="0.25">
      <c r="B10505" t="s">
        <v>2709</v>
      </c>
      <c r="C10505">
        <v>96170010</v>
      </c>
      <c r="E10505">
        <v>84</v>
      </c>
      <c r="F10505">
        <v>18</v>
      </c>
      <c r="G10505">
        <v>15</v>
      </c>
      <c r="H10505">
        <v>7.6</v>
      </c>
      <c r="I10505">
        <v>1.65</v>
      </c>
      <c r="J10505">
        <v>18</v>
      </c>
      <c r="L10505" t="s">
        <v>2709</v>
      </c>
      <c r="M10505">
        <v>96170010</v>
      </c>
      <c r="O10505" t="s">
        <v>20211</v>
      </c>
      <c r="P10505" t="s">
        <v>19899</v>
      </c>
      <c r="Q10505" t="s">
        <v>19983</v>
      </c>
      <c r="R10505" t="s">
        <v>19905</v>
      </c>
      <c r="S10505" t="s">
        <v>19906</v>
      </c>
      <c r="T10505" t="s">
        <v>19899</v>
      </c>
    </row>
    <row r="10506" spans="2:20" x14ac:dyDescent="0.25">
      <c r="B10506" t="s">
        <v>2709</v>
      </c>
      <c r="C10506">
        <v>96170020</v>
      </c>
      <c r="E10506">
        <v>84</v>
      </c>
      <c r="F10506">
        <v>18</v>
      </c>
      <c r="G10506">
        <v>15</v>
      </c>
      <c r="H10506">
        <v>7.6</v>
      </c>
      <c r="I10506">
        <v>1.65</v>
      </c>
      <c r="J10506">
        <v>16</v>
      </c>
      <c r="L10506" t="s">
        <v>2709</v>
      </c>
      <c r="M10506">
        <v>96170020</v>
      </c>
      <c r="O10506" t="s">
        <v>20211</v>
      </c>
      <c r="P10506" t="s">
        <v>19899</v>
      </c>
      <c r="Q10506" t="s">
        <v>19983</v>
      </c>
      <c r="R10506" t="s">
        <v>19905</v>
      </c>
      <c r="S10506" t="s">
        <v>19906</v>
      </c>
      <c r="T10506" t="s">
        <v>19913</v>
      </c>
    </row>
    <row r="10507" spans="2:20" x14ac:dyDescent="0.25">
      <c r="B10507" t="s">
        <v>2709</v>
      </c>
      <c r="C10507">
        <v>96180000</v>
      </c>
      <c r="E10507">
        <v>112.46</v>
      </c>
      <c r="F10507">
        <v>18</v>
      </c>
      <c r="G10507">
        <v>18</v>
      </c>
      <c r="H10507">
        <v>7.6</v>
      </c>
      <c r="I10507">
        <v>1.65</v>
      </c>
      <c r="J10507">
        <v>18</v>
      </c>
      <c r="L10507" t="s">
        <v>2709</v>
      </c>
      <c r="M10507">
        <v>96180000</v>
      </c>
      <c r="O10507" t="s">
        <v>20055</v>
      </c>
      <c r="P10507" t="s">
        <v>19899</v>
      </c>
      <c r="Q10507" t="s">
        <v>19899</v>
      </c>
      <c r="R10507" t="s">
        <v>19905</v>
      </c>
      <c r="S10507" t="s">
        <v>19906</v>
      </c>
      <c r="T10507" t="s">
        <v>19899</v>
      </c>
    </row>
    <row r="10508" spans="2:20" x14ac:dyDescent="0.25">
      <c r="B10508" t="s">
        <v>2709</v>
      </c>
      <c r="C10508">
        <v>96190000</v>
      </c>
      <c r="E10508">
        <v>177.19</v>
      </c>
      <c r="F10508">
        <v>18</v>
      </c>
      <c r="G10508">
        <v>0</v>
      </c>
      <c r="H10508">
        <v>7.6</v>
      </c>
      <c r="I10508">
        <v>1.65</v>
      </c>
      <c r="J10508">
        <v>16</v>
      </c>
      <c r="L10508" t="s">
        <v>2709</v>
      </c>
      <c r="M10508">
        <v>96190000</v>
      </c>
      <c r="O10508" t="s">
        <v>19926</v>
      </c>
      <c r="P10508" t="s">
        <v>19899</v>
      </c>
      <c r="Q10508" t="s">
        <v>19900</v>
      </c>
      <c r="R10508" t="s">
        <v>19905</v>
      </c>
      <c r="S10508" t="s">
        <v>19906</v>
      </c>
      <c r="T10508" t="s">
        <v>19913</v>
      </c>
    </row>
    <row r="10509" spans="2:20" x14ac:dyDescent="0.25">
      <c r="B10509" t="s">
        <v>2709</v>
      </c>
      <c r="C10509">
        <v>96190000</v>
      </c>
      <c r="D10509">
        <v>1</v>
      </c>
      <c r="E10509" t="s">
        <v>19447</v>
      </c>
      <c r="F10509">
        <v>18</v>
      </c>
      <c r="G10509">
        <v>5</v>
      </c>
      <c r="H10509">
        <v>7.6</v>
      </c>
      <c r="I10509">
        <v>1.65</v>
      </c>
      <c r="J10509">
        <v>16</v>
      </c>
      <c r="L10509" t="s">
        <v>2709</v>
      </c>
      <c r="M10509">
        <v>96190000</v>
      </c>
      <c r="N10509">
        <v>1</v>
      </c>
      <c r="O10509" t="s">
        <v>19447</v>
      </c>
      <c r="P10509" t="s">
        <v>19899</v>
      </c>
      <c r="Q10509" t="s">
        <v>19909</v>
      </c>
      <c r="R10509" t="s">
        <v>19905</v>
      </c>
      <c r="S10509" t="s">
        <v>19906</v>
      </c>
      <c r="T10509" t="s">
        <v>19913</v>
      </c>
    </row>
    <row r="10510" spans="2:20" x14ac:dyDescent="0.25">
      <c r="B10510" t="s">
        <v>2709</v>
      </c>
      <c r="C10510">
        <v>96190000</v>
      </c>
      <c r="D10510">
        <v>2</v>
      </c>
      <c r="E10510" t="s">
        <v>19447</v>
      </c>
      <c r="F10510">
        <v>18</v>
      </c>
      <c r="G10510">
        <v>15</v>
      </c>
      <c r="H10510">
        <v>7.6</v>
      </c>
      <c r="I10510">
        <v>1.65</v>
      </c>
      <c r="J10510">
        <v>16</v>
      </c>
      <c r="L10510" t="s">
        <v>2709</v>
      </c>
      <c r="M10510">
        <v>96190000</v>
      </c>
      <c r="N10510">
        <v>2</v>
      </c>
      <c r="O10510" t="s">
        <v>19447</v>
      </c>
      <c r="P10510" t="s">
        <v>19899</v>
      </c>
      <c r="Q10510" t="s">
        <v>19983</v>
      </c>
      <c r="R10510" t="s">
        <v>19905</v>
      </c>
      <c r="S10510" t="s">
        <v>19906</v>
      </c>
      <c r="T10510" t="s">
        <v>19913</v>
      </c>
    </row>
    <row r="10511" spans="2:20" x14ac:dyDescent="0.25">
      <c r="B10511" t="s">
        <v>2709</v>
      </c>
      <c r="C10511">
        <v>97011000</v>
      </c>
      <c r="E10511" t="s">
        <v>19447</v>
      </c>
      <c r="F10511">
        <v>0</v>
      </c>
      <c r="G10511">
        <v>0</v>
      </c>
      <c r="H10511">
        <v>7.6</v>
      </c>
      <c r="I10511">
        <v>1.65</v>
      </c>
      <c r="J10511">
        <v>4</v>
      </c>
      <c r="L10511" t="s">
        <v>2709</v>
      </c>
      <c r="M10511">
        <v>97011000</v>
      </c>
      <c r="O10511" t="s">
        <v>19447</v>
      </c>
      <c r="P10511" t="s">
        <v>19900</v>
      </c>
      <c r="Q10511" t="s">
        <v>19900</v>
      </c>
      <c r="R10511" t="s">
        <v>19905</v>
      </c>
      <c r="S10511" t="s">
        <v>19906</v>
      </c>
      <c r="T10511" t="s">
        <v>19902</v>
      </c>
    </row>
    <row r="10512" spans="2:20" x14ac:dyDescent="0.25">
      <c r="B10512" t="s">
        <v>2709</v>
      </c>
      <c r="C10512">
        <v>97019000</v>
      </c>
      <c r="E10512" t="s">
        <v>19447</v>
      </c>
      <c r="F10512">
        <v>0</v>
      </c>
      <c r="G10512">
        <v>0</v>
      </c>
      <c r="H10512">
        <v>7.6</v>
      </c>
      <c r="I10512">
        <v>1.65</v>
      </c>
      <c r="J10512">
        <v>4</v>
      </c>
      <c r="L10512" t="s">
        <v>2709</v>
      </c>
      <c r="M10512">
        <v>97019000</v>
      </c>
      <c r="O10512" t="s">
        <v>19447</v>
      </c>
      <c r="P10512" t="s">
        <v>19900</v>
      </c>
      <c r="Q10512" t="s">
        <v>19900</v>
      </c>
      <c r="R10512" t="s">
        <v>19905</v>
      </c>
      <c r="S10512" t="s">
        <v>19906</v>
      </c>
      <c r="T10512" t="s">
        <v>19902</v>
      </c>
    </row>
    <row r="10513" spans="2:20" x14ac:dyDescent="0.25">
      <c r="B10513" t="s">
        <v>2709</v>
      </c>
      <c r="C10513">
        <v>97019000</v>
      </c>
      <c r="D10513">
        <v>1</v>
      </c>
      <c r="E10513" t="s">
        <v>19447</v>
      </c>
      <c r="F10513">
        <v>18</v>
      </c>
      <c r="G10513">
        <v>0</v>
      </c>
      <c r="H10513">
        <v>7.6</v>
      </c>
      <c r="I10513">
        <v>1.65</v>
      </c>
      <c r="J10513">
        <v>4</v>
      </c>
      <c r="L10513" t="s">
        <v>2709</v>
      </c>
      <c r="M10513">
        <v>97019000</v>
      </c>
      <c r="N10513">
        <v>1</v>
      </c>
      <c r="O10513" t="s">
        <v>19447</v>
      </c>
      <c r="P10513" t="s">
        <v>19899</v>
      </c>
      <c r="Q10513" t="s">
        <v>19900</v>
      </c>
      <c r="R10513" t="s">
        <v>19905</v>
      </c>
      <c r="S10513" t="s">
        <v>19906</v>
      </c>
      <c r="T10513" t="s">
        <v>19902</v>
      </c>
    </row>
    <row r="10514" spans="2:20" x14ac:dyDescent="0.25">
      <c r="B10514" t="s">
        <v>2709</v>
      </c>
      <c r="C10514">
        <v>97020000</v>
      </c>
      <c r="E10514" t="s">
        <v>19447</v>
      </c>
      <c r="F10514">
        <v>0</v>
      </c>
      <c r="G10514">
        <v>0</v>
      </c>
      <c r="H10514">
        <v>7.6</v>
      </c>
      <c r="I10514">
        <v>1.65</v>
      </c>
      <c r="J10514">
        <v>4</v>
      </c>
      <c r="L10514" t="s">
        <v>2709</v>
      </c>
      <c r="M10514">
        <v>97020000</v>
      </c>
      <c r="O10514" t="s">
        <v>19447</v>
      </c>
      <c r="P10514" t="s">
        <v>19900</v>
      </c>
      <c r="Q10514" t="s">
        <v>19900</v>
      </c>
      <c r="R10514" t="s">
        <v>19905</v>
      </c>
      <c r="S10514" t="s">
        <v>19906</v>
      </c>
      <c r="T10514" t="s">
        <v>19902</v>
      </c>
    </row>
    <row r="10515" spans="2:20" x14ac:dyDescent="0.25">
      <c r="B10515" t="s">
        <v>2709</v>
      </c>
      <c r="C10515">
        <v>97030000</v>
      </c>
      <c r="E10515" t="s">
        <v>19447</v>
      </c>
      <c r="F10515">
        <v>0</v>
      </c>
      <c r="G10515">
        <v>0</v>
      </c>
      <c r="H10515">
        <v>7.6</v>
      </c>
      <c r="I10515">
        <v>1.65</v>
      </c>
      <c r="J10515">
        <v>4</v>
      </c>
      <c r="L10515" t="s">
        <v>2709</v>
      </c>
      <c r="M10515">
        <v>97030000</v>
      </c>
      <c r="O10515" t="s">
        <v>19447</v>
      </c>
      <c r="P10515" t="s">
        <v>19900</v>
      </c>
      <c r="Q10515" t="s">
        <v>19900</v>
      </c>
      <c r="R10515" t="s">
        <v>19905</v>
      </c>
      <c r="S10515" t="s">
        <v>19906</v>
      </c>
      <c r="T10515" t="s">
        <v>19902</v>
      </c>
    </row>
    <row r="10516" spans="2:20" x14ac:dyDescent="0.25">
      <c r="B10516" t="s">
        <v>2709</v>
      </c>
      <c r="C10516">
        <v>97040000</v>
      </c>
      <c r="E10516" t="s">
        <v>19447</v>
      </c>
      <c r="F10516">
        <v>0</v>
      </c>
      <c r="G10516">
        <v>0</v>
      </c>
      <c r="H10516">
        <v>7.6</v>
      </c>
      <c r="I10516">
        <v>1.65</v>
      </c>
      <c r="J10516">
        <v>4</v>
      </c>
      <c r="L10516" t="s">
        <v>2709</v>
      </c>
      <c r="M10516">
        <v>97040000</v>
      </c>
      <c r="O10516" t="s">
        <v>19447</v>
      </c>
      <c r="P10516" t="s">
        <v>19900</v>
      </c>
      <c r="Q10516" t="s">
        <v>19900</v>
      </c>
      <c r="R10516" t="s">
        <v>19905</v>
      </c>
      <c r="S10516" t="s">
        <v>19906</v>
      </c>
      <c r="T10516" t="s">
        <v>19902</v>
      </c>
    </row>
    <row r="10517" spans="2:20" x14ac:dyDescent="0.25">
      <c r="B10517" t="s">
        <v>2709</v>
      </c>
      <c r="C10517">
        <v>97050000</v>
      </c>
      <c r="E10517" t="s">
        <v>19447</v>
      </c>
      <c r="F10517">
        <v>0</v>
      </c>
      <c r="G10517">
        <v>0</v>
      </c>
      <c r="H10517">
        <v>7.6</v>
      </c>
      <c r="I10517">
        <v>1.65</v>
      </c>
      <c r="J10517">
        <v>4</v>
      </c>
      <c r="L10517" t="s">
        <v>2709</v>
      </c>
      <c r="M10517">
        <v>97050000</v>
      </c>
      <c r="O10517" t="s">
        <v>19447</v>
      </c>
      <c r="P10517" t="s">
        <v>19900</v>
      </c>
      <c r="Q10517" t="s">
        <v>19900</v>
      </c>
      <c r="R10517" t="s">
        <v>19905</v>
      </c>
      <c r="S10517" t="s">
        <v>19906</v>
      </c>
      <c r="T10517" t="s">
        <v>19902</v>
      </c>
    </row>
    <row r="10518" spans="2:20" x14ac:dyDescent="0.25">
      <c r="B10518" t="s">
        <v>2709</v>
      </c>
      <c r="C10518">
        <v>97060000</v>
      </c>
      <c r="E10518" t="s">
        <v>19447</v>
      </c>
      <c r="F10518">
        <v>0</v>
      </c>
      <c r="G10518">
        <v>0</v>
      </c>
      <c r="H10518">
        <v>7.6</v>
      </c>
      <c r="I10518">
        <v>1.65</v>
      </c>
      <c r="J10518">
        <v>4</v>
      </c>
      <c r="L10518" t="s">
        <v>2709</v>
      </c>
      <c r="M10518">
        <v>97060000</v>
      </c>
      <c r="O10518" t="s">
        <v>19447</v>
      </c>
      <c r="P10518" t="s">
        <v>19900</v>
      </c>
      <c r="Q10518" t="s">
        <v>19900</v>
      </c>
      <c r="R10518" t="s">
        <v>19905</v>
      </c>
      <c r="S10518" t="s">
        <v>19906</v>
      </c>
      <c r="T10518" t="s">
        <v>19902</v>
      </c>
    </row>
  </sheetData>
  <pageMargins left="0.511811024" right="0.511811024" top="0.78740157499999996" bottom="0.78740157499999996" header="0.31496062000000002" footer="0.31496062000000002"/>
  <tableParts count="3">
    <tablePart r:id="rId1"/>
    <tablePart r:id="rId2"/>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E1822"/>
  <sheetViews>
    <sheetView workbookViewId="0">
      <selection activeCell="A12" sqref="A12"/>
    </sheetView>
  </sheetViews>
  <sheetFormatPr defaultRowHeight="15" x14ac:dyDescent="0.25"/>
  <cols>
    <col min="3" max="3" width="12.140625" customWidth="1"/>
    <col min="4" max="4" width="56.140625" customWidth="1"/>
  </cols>
  <sheetData>
    <row r="2" spans="3:5" x14ac:dyDescent="0.25">
      <c r="C2" t="s">
        <v>19547</v>
      </c>
      <c r="D2" t="s">
        <v>19548</v>
      </c>
      <c r="E2" t="s">
        <v>2610</v>
      </c>
    </row>
    <row r="3" spans="3:5" x14ac:dyDescent="0.25">
      <c r="C3">
        <v>1</v>
      </c>
      <c r="D3" t="s">
        <v>3150</v>
      </c>
      <c r="E3">
        <f>1</f>
        <v>1</v>
      </c>
    </row>
    <row r="4" spans="3:5" x14ac:dyDescent="0.25">
      <c r="C4">
        <v>2</v>
      </c>
      <c r="D4" t="s">
        <v>4513</v>
      </c>
      <c r="E4">
        <f>1</f>
        <v>1</v>
      </c>
    </row>
    <row r="5" spans="3:5" x14ac:dyDescent="0.25">
      <c r="C5">
        <v>3</v>
      </c>
      <c r="D5" t="s">
        <v>3151</v>
      </c>
      <c r="E5">
        <f>1</f>
        <v>1</v>
      </c>
    </row>
    <row r="6" spans="3:5" x14ac:dyDescent="0.25">
      <c r="C6">
        <v>4</v>
      </c>
      <c r="D6" t="s">
        <v>3152</v>
      </c>
      <c r="E6">
        <f>1</f>
        <v>1</v>
      </c>
    </row>
    <row r="7" spans="3:5" x14ac:dyDescent="0.25">
      <c r="C7">
        <v>5</v>
      </c>
      <c r="D7" t="s">
        <v>3153</v>
      </c>
      <c r="E7">
        <f>1</f>
        <v>1</v>
      </c>
    </row>
    <row r="8" spans="3:5" x14ac:dyDescent="0.25">
      <c r="C8">
        <v>6</v>
      </c>
      <c r="D8" t="s">
        <v>3154</v>
      </c>
      <c r="E8">
        <f>1</f>
        <v>1</v>
      </c>
    </row>
    <row r="9" spans="3:5" x14ac:dyDescent="0.25">
      <c r="C9">
        <v>7</v>
      </c>
      <c r="D9" t="s">
        <v>3155</v>
      </c>
      <c r="E9">
        <f>1</f>
        <v>1</v>
      </c>
    </row>
    <row r="10" spans="3:5" x14ac:dyDescent="0.25">
      <c r="C10">
        <v>8</v>
      </c>
      <c r="D10" t="s">
        <v>3156</v>
      </c>
      <c r="E10">
        <f>1</f>
        <v>1</v>
      </c>
    </row>
    <row r="11" spans="3:5" x14ac:dyDescent="0.25">
      <c r="C11">
        <v>9</v>
      </c>
      <c r="D11" t="s">
        <v>3207</v>
      </c>
      <c r="E11">
        <f>1</f>
        <v>1</v>
      </c>
    </row>
    <row r="12" spans="3:5" x14ac:dyDescent="0.25">
      <c r="C12">
        <v>10</v>
      </c>
      <c r="D12" t="s">
        <v>3208</v>
      </c>
      <c r="E12">
        <f>1</f>
        <v>1</v>
      </c>
    </row>
    <row r="13" spans="3:5" x14ac:dyDescent="0.25">
      <c r="C13">
        <v>11</v>
      </c>
      <c r="D13" t="s">
        <v>3210</v>
      </c>
      <c r="E13">
        <f>1</f>
        <v>1</v>
      </c>
    </row>
    <row r="14" spans="3:5" x14ac:dyDescent="0.25">
      <c r="C14">
        <v>12</v>
      </c>
      <c r="D14" t="s">
        <v>3211</v>
      </c>
      <c r="E14">
        <f>1</f>
        <v>1</v>
      </c>
    </row>
    <row r="15" spans="3:5" x14ac:dyDescent="0.25">
      <c r="C15">
        <v>13</v>
      </c>
      <c r="D15" t="s">
        <v>3212</v>
      </c>
      <c r="E15">
        <f>1</f>
        <v>1</v>
      </c>
    </row>
    <row r="16" spans="3:5" x14ac:dyDescent="0.25">
      <c r="C16">
        <v>14</v>
      </c>
      <c r="D16" t="s">
        <v>3213</v>
      </c>
      <c r="E16">
        <f>1</f>
        <v>1</v>
      </c>
    </row>
    <row r="17" spans="3:5" x14ac:dyDescent="0.25">
      <c r="C17">
        <v>15</v>
      </c>
      <c r="D17" t="s">
        <v>4514</v>
      </c>
      <c r="E17">
        <f>1</f>
        <v>1</v>
      </c>
    </row>
    <row r="18" spans="3:5" x14ac:dyDescent="0.25">
      <c r="C18">
        <v>16</v>
      </c>
      <c r="D18" t="s">
        <v>3216</v>
      </c>
      <c r="E18">
        <f>1</f>
        <v>1</v>
      </c>
    </row>
    <row r="19" spans="3:5" x14ac:dyDescent="0.25">
      <c r="C19">
        <v>17</v>
      </c>
      <c r="D19" t="s">
        <v>3217</v>
      </c>
      <c r="E19">
        <f>1</f>
        <v>1</v>
      </c>
    </row>
    <row r="20" spans="3:5" x14ac:dyDescent="0.25">
      <c r="C20">
        <v>18</v>
      </c>
      <c r="D20" t="s">
        <v>3219</v>
      </c>
      <c r="E20">
        <f>1</f>
        <v>1</v>
      </c>
    </row>
    <row r="21" spans="3:5" x14ac:dyDescent="0.25">
      <c r="C21">
        <v>19</v>
      </c>
      <c r="D21" t="s">
        <v>3220</v>
      </c>
      <c r="E21">
        <f>1</f>
        <v>1</v>
      </c>
    </row>
    <row r="22" spans="3:5" x14ac:dyDescent="0.25">
      <c r="C22">
        <v>20</v>
      </c>
      <c r="D22" t="s">
        <v>4191</v>
      </c>
      <c r="E22">
        <f>1</f>
        <v>1</v>
      </c>
    </row>
    <row r="23" spans="3:5" x14ac:dyDescent="0.25">
      <c r="C23">
        <v>21</v>
      </c>
      <c r="D23" t="s">
        <v>3221</v>
      </c>
      <c r="E23">
        <f>1</f>
        <v>1</v>
      </c>
    </row>
    <row r="24" spans="3:5" x14ac:dyDescent="0.25">
      <c r="C24">
        <v>22</v>
      </c>
      <c r="D24" t="s">
        <v>3222</v>
      </c>
      <c r="E24">
        <f>1</f>
        <v>1</v>
      </c>
    </row>
    <row r="25" spans="3:5" x14ac:dyDescent="0.25">
      <c r="C25">
        <v>23</v>
      </c>
      <c r="D25" t="s">
        <v>3223</v>
      </c>
      <c r="E25">
        <f>1</f>
        <v>1</v>
      </c>
    </row>
    <row r="26" spans="3:5" x14ac:dyDescent="0.25">
      <c r="C26">
        <v>24</v>
      </c>
      <c r="D26" t="s">
        <v>3224</v>
      </c>
      <c r="E26">
        <f>1</f>
        <v>1</v>
      </c>
    </row>
    <row r="27" spans="3:5" x14ac:dyDescent="0.25">
      <c r="C27">
        <v>25</v>
      </c>
      <c r="D27" t="s">
        <v>2613</v>
      </c>
      <c r="E27">
        <f>1</f>
        <v>1</v>
      </c>
    </row>
    <row r="28" spans="3:5" x14ac:dyDescent="0.25">
      <c r="C28">
        <v>26</v>
      </c>
      <c r="D28" t="s">
        <v>3226</v>
      </c>
      <c r="E28">
        <f>1</f>
        <v>1</v>
      </c>
    </row>
    <row r="29" spans="3:5" x14ac:dyDescent="0.25">
      <c r="C29">
        <v>27</v>
      </c>
      <c r="D29" t="s">
        <v>3227</v>
      </c>
      <c r="E29">
        <f>1</f>
        <v>1</v>
      </c>
    </row>
    <row r="30" spans="3:5" x14ac:dyDescent="0.25">
      <c r="C30">
        <v>28</v>
      </c>
      <c r="D30" t="s">
        <v>3228</v>
      </c>
      <c r="E30">
        <f>1</f>
        <v>1</v>
      </c>
    </row>
    <row r="31" spans="3:5" x14ac:dyDescent="0.25">
      <c r="C31">
        <v>29</v>
      </c>
      <c r="D31" t="s">
        <v>3229</v>
      </c>
      <c r="E31">
        <f>1</f>
        <v>1</v>
      </c>
    </row>
    <row r="32" spans="3:5" x14ac:dyDescent="0.25">
      <c r="C32">
        <v>30</v>
      </c>
      <c r="D32" t="s">
        <v>3230</v>
      </c>
      <c r="E32">
        <f>1</f>
        <v>1</v>
      </c>
    </row>
    <row r="33" spans="3:5" x14ac:dyDescent="0.25">
      <c r="C33">
        <v>31</v>
      </c>
      <c r="D33" t="s">
        <v>3231</v>
      </c>
      <c r="E33">
        <f>1</f>
        <v>1</v>
      </c>
    </row>
    <row r="34" spans="3:5" x14ac:dyDescent="0.25">
      <c r="C34">
        <v>32</v>
      </c>
      <c r="D34" t="s">
        <v>3233</v>
      </c>
      <c r="E34">
        <f>1</f>
        <v>1</v>
      </c>
    </row>
    <row r="35" spans="3:5" x14ac:dyDescent="0.25">
      <c r="C35">
        <v>33</v>
      </c>
      <c r="D35" t="s">
        <v>3234</v>
      </c>
      <c r="E35">
        <f>1</f>
        <v>1</v>
      </c>
    </row>
    <row r="36" spans="3:5" x14ac:dyDescent="0.25">
      <c r="C36">
        <v>34</v>
      </c>
      <c r="D36" t="s">
        <v>3235</v>
      </c>
      <c r="E36">
        <f>1</f>
        <v>1</v>
      </c>
    </row>
    <row r="37" spans="3:5" x14ac:dyDescent="0.25">
      <c r="C37">
        <v>35</v>
      </c>
      <c r="D37" t="s">
        <v>3236</v>
      </c>
      <c r="E37">
        <f>1</f>
        <v>1</v>
      </c>
    </row>
    <row r="38" spans="3:5" x14ac:dyDescent="0.25">
      <c r="C38">
        <v>36</v>
      </c>
      <c r="D38" t="s">
        <v>3238</v>
      </c>
      <c r="E38">
        <f>1</f>
        <v>1</v>
      </c>
    </row>
    <row r="39" spans="3:5" x14ac:dyDescent="0.25">
      <c r="C39">
        <v>37</v>
      </c>
      <c r="D39" t="s">
        <v>3239</v>
      </c>
      <c r="E39">
        <f>1</f>
        <v>1</v>
      </c>
    </row>
    <row r="40" spans="3:5" x14ac:dyDescent="0.25">
      <c r="C40">
        <v>38</v>
      </c>
      <c r="D40" t="s">
        <v>4335</v>
      </c>
      <c r="E40">
        <f>1</f>
        <v>1</v>
      </c>
    </row>
    <row r="41" spans="3:5" x14ac:dyDescent="0.25">
      <c r="C41">
        <v>39</v>
      </c>
      <c r="D41" t="s">
        <v>19878</v>
      </c>
      <c r="E41">
        <f>1</f>
        <v>1</v>
      </c>
    </row>
    <row r="42" spans="3:5" x14ac:dyDescent="0.25">
      <c r="C42">
        <v>40</v>
      </c>
      <c r="D42" t="s">
        <v>4239</v>
      </c>
      <c r="E42">
        <f>1</f>
        <v>1</v>
      </c>
    </row>
    <row r="43" spans="3:5" x14ac:dyDescent="0.25">
      <c r="C43">
        <v>41</v>
      </c>
      <c r="D43" t="s">
        <v>4195</v>
      </c>
      <c r="E43">
        <f>1</f>
        <v>1</v>
      </c>
    </row>
    <row r="44" spans="3:5" x14ac:dyDescent="0.25">
      <c r="C44">
        <v>42</v>
      </c>
      <c r="D44" t="s">
        <v>4342</v>
      </c>
      <c r="E44">
        <f>1</f>
        <v>1</v>
      </c>
    </row>
    <row r="45" spans="3:5" x14ac:dyDescent="0.25">
      <c r="C45">
        <v>43</v>
      </c>
      <c r="D45" t="s">
        <v>4196</v>
      </c>
      <c r="E45">
        <f>1</f>
        <v>1</v>
      </c>
    </row>
    <row r="46" spans="3:5" x14ac:dyDescent="0.25">
      <c r="C46">
        <v>44</v>
      </c>
      <c r="D46" t="s">
        <v>4280</v>
      </c>
      <c r="E46">
        <f>1</f>
        <v>1</v>
      </c>
    </row>
    <row r="47" spans="3:5" x14ac:dyDescent="0.25">
      <c r="C47">
        <v>45</v>
      </c>
      <c r="D47" t="s">
        <v>4281</v>
      </c>
      <c r="E47">
        <f>1</f>
        <v>1</v>
      </c>
    </row>
    <row r="48" spans="3:5" x14ac:dyDescent="0.25">
      <c r="C48">
        <v>46</v>
      </c>
      <c r="D48" t="s">
        <v>4282</v>
      </c>
      <c r="E48">
        <f>1</f>
        <v>1</v>
      </c>
    </row>
    <row r="49" spans="3:5" x14ac:dyDescent="0.25">
      <c r="C49">
        <v>47</v>
      </c>
      <c r="D49" t="s">
        <v>4516</v>
      </c>
      <c r="E49">
        <f>1</f>
        <v>1</v>
      </c>
    </row>
    <row r="50" spans="3:5" x14ac:dyDescent="0.25">
      <c r="C50">
        <v>48</v>
      </c>
      <c r="D50" t="s">
        <v>4198</v>
      </c>
      <c r="E50">
        <f>1</f>
        <v>1</v>
      </c>
    </row>
    <row r="51" spans="3:5" x14ac:dyDescent="0.25">
      <c r="C51">
        <v>49</v>
      </c>
      <c r="D51" t="s">
        <v>4343</v>
      </c>
      <c r="E51">
        <f>1</f>
        <v>1</v>
      </c>
    </row>
    <row r="52" spans="3:5" x14ac:dyDescent="0.25">
      <c r="C52">
        <v>50</v>
      </c>
      <c r="D52" t="s">
        <v>4344</v>
      </c>
      <c r="E52">
        <f>1</f>
        <v>1</v>
      </c>
    </row>
    <row r="53" spans="3:5" x14ac:dyDescent="0.25">
      <c r="C53">
        <v>51</v>
      </c>
      <c r="D53" t="s">
        <v>4345</v>
      </c>
      <c r="E53">
        <f>1</f>
        <v>1</v>
      </c>
    </row>
    <row r="54" spans="3:5" x14ac:dyDescent="0.25">
      <c r="C54">
        <v>52</v>
      </c>
      <c r="D54" t="s">
        <v>3241</v>
      </c>
      <c r="E54">
        <f>1</f>
        <v>1</v>
      </c>
    </row>
    <row r="55" spans="3:5" x14ac:dyDescent="0.25">
      <c r="C55">
        <v>53</v>
      </c>
      <c r="D55" t="s">
        <v>3242</v>
      </c>
      <c r="E55">
        <f>1</f>
        <v>1</v>
      </c>
    </row>
    <row r="56" spans="3:5" x14ac:dyDescent="0.25">
      <c r="C56">
        <v>54</v>
      </c>
      <c r="D56" t="s">
        <v>3243</v>
      </c>
      <c r="E56">
        <f>1</f>
        <v>1</v>
      </c>
    </row>
    <row r="57" spans="3:5" x14ac:dyDescent="0.25">
      <c r="C57">
        <v>55</v>
      </c>
      <c r="D57" t="s">
        <v>3244</v>
      </c>
      <c r="E57">
        <f>1</f>
        <v>1</v>
      </c>
    </row>
    <row r="58" spans="3:5" x14ac:dyDescent="0.25">
      <c r="C58">
        <v>56</v>
      </c>
      <c r="D58" t="s">
        <v>3245</v>
      </c>
      <c r="E58">
        <f>1</f>
        <v>1</v>
      </c>
    </row>
    <row r="59" spans="3:5" x14ac:dyDescent="0.25">
      <c r="C59">
        <v>57</v>
      </c>
      <c r="D59" t="s">
        <v>4517</v>
      </c>
      <c r="E59">
        <f>1</f>
        <v>1</v>
      </c>
    </row>
    <row r="60" spans="3:5" x14ac:dyDescent="0.25">
      <c r="C60">
        <v>58</v>
      </c>
      <c r="D60" t="s">
        <v>3248</v>
      </c>
      <c r="E60">
        <f>1</f>
        <v>1</v>
      </c>
    </row>
    <row r="61" spans="3:5" x14ac:dyDescent="0.25">
      <c r="C61">
        <v>59</v>
      </c>
      <c r="D61" t="s">
        <v>4518</v>
      </c>
      <c r="E61">
        <f>1</f>
        <v>1</v>
      </c>
    </row>
    <row r="62" spans="3:5" x14ac:dyDescent="0.25">
      <c r="C62">
        <v>60</v>
      </c>
      <c r="D62" t="s">
        <v>3250</v>
      </c>
      <c r="E62">
        <f>1</f>
        <v>1</v>
      </c>
    </row>
    <row r="63" spans="3:5" x14ac:dyDescent="0.25">
      <c r="C63">
        <v>61</v>
      </c>
      <c r="D63" t="s">
        <v>4346</v>
      </c>
      <c r="E63">
        <f>1</f>
        <v>1</v>
      </c>
    </row>
    <row r="64" spans="3:5" x14ac:dyDescent="0.25">
      <c r="C64">
        <v>62</v>
      </c>
      <c r="D64" t="s">
        <v>3251</v>
      </c>
      <c r="E64">
        <f>1</f>
        <v>1</v>
      </c>
    </row>
    <row r="65" spans="3:5" x14ac:dyDescent="0.25">
      <c r="C65">
        <v>63</v>
      </c>
      <c r="D65" t="s">
        <v>3252</v>
      </c>
      <c r="E65">
        <f>1</f>
        <v>1</v>
      </c>
    </row>
    <row r="66" spans="3:5" x14ac:dyDescent="0.25">
      <c r="C66">
        <v>64</v>
      </c>
      <c r="D66" t="s">
        <v>4519</v>
      </c>
      <c r="E66">
        <f>1</f>
        <v>1</v>
      </c>
    </row>
    <row r="67" spans="3:5" x14ac:dyDescent="0.25">
      <c r="C67">
        <v>65</v>
      </c>
      <c r="D67" t="s">
        <v>3253</v>
      </c>
      <c r="E67">
        <f>1</f>
        <v>1</v>
      </c>
    </row>
    <row r="68" spans="3:5" x14ac:dyDescent="0.25">
      <c r="C68">
        <v>66</v>
      </c>
      <c r="D68" t="s">
        <v>3254</v>
      </c>
      <c r="E68">
        <f>1</f>
        <v>1</v>
      </c>
    </row>
    <row r="69" spans="3:5" x14ac:dyDescent="0.25">
      <c r="C69">
        <v>67</v>
      </c>
      <c r="D69" t="s">
        <v>3255</v>
      </c>
      <c r="E69">
        <f>1</f>
        <v>1</v>
      </c>
    </row>
    <row r="70" spans="3:5" x14ac:dyDescent="0.25">
      <c r="C70">
        <v>68</v>
      </c>
      <c r="D70" t="s">
        <v>3256</v>
      </c>
      <c r="E70">
        <f>1</f>
        <v>1</v>
      </c>
    </row>
    <row r="71" spans="3:5" x14ac:dyDescent="0.25">
      <c r="C71">
        <v>69</v>
      </c>
      <c r="D71" t="s">
        <v>3257</v>
      </c>
      <c r="E71">
        <f>1</f>
        <v>1</v>
      </c>
    </row>
    <row r="72" spans="3:5" x14ac:dyDescent="0.25">
      <c r="C72">
        <v>70</v>
      </c>
      <c r="D72" t="s">
        <v>3258</v>
      </c>
      <c r="E72">
        <f>1</f>
        <v>1</v>
      </c>
    </row>
    <row r="73" spans="3:5" x14ac:dyDescent="0.25">
      <c r="C73">
        <v>71</v>
      </c>
      <c r="D73" t="s">
        <v>3259</v>
      </c>
      <c r="E73">
        <f>1</f>
        <v>1</v>
      </c>
    </row>
    <row r="74" spans="3:5" x14ac:dyDescent="0.25">
      <c r="C74">
        <v>72</v>
      </c>
      <c r="D74" t="s">
        <v>4520</v>
      </c>
      <c r="E74">
        <f>1</f>
        <v>1</v>
      </c>
    </row>
    <row r="75" spans="3:5" x14ac:dyDescent="0.25">
      <c r="C75">
        <v>73</v>
      </c>
      <c r="D75" t="s">
        <v>3260</v>
      </c>
      <c r="E75">
        <f>1</f>
        <v>1</v>
      </c>
    </row>
    <row r="76" spans="3:5" x14ac:dyDescent="0.25">
      <c r="C76">
        <v>74</v>
      </c>
      <c r="D76" t="s">
        <v>3261</v>
      </c>
      <c r="E76">
        <f>1</f>
        <v>1</v>
      </c>
    </row>
    <row r="77" spans="3:5" x14ac:dyDescent="0.25">
      <c r="C77">
        <v>75</v>
      </c>
      <c r="D77" t="s">
        <v>3263</v>
      </c>
      <c r="E77">
        <f>1</f>
        <v>1</v>
      </c>
    </row>
    <row r="78" spans="3:5" x14ac:dyDescent="0.25">
      <c r="C78">
        <v>76</v>
      </c>
      <c r="D78" t="s">
        <v>3264</v>
      </c>
      <c r="E78">
        <f>1</f>
        <v>1</v>
      </c>
    </row>
    <row r="79" spans="3:5" x14ac:dyDescent="0.25">
      <c r="C79">
        <v>77</v>
      </c>
      <c r="D79" t="s">
        <v>4521</v>
      </c>
      <c r="E79">
        <f>1</f>
        <v>1</v>
      </c>
    </row>
    <row r="80" spans="3:5" x14ac:dyDescent="0.25">
      <c r="C80">
        <v>78</v>
      </c>
      <c r="D80" t="s">
        <v>4522</v>
      </c>
      <c r="E80">
        <f>1</f>
        <v>1</v>
      </c>
    </row>
    <row r="81" spans="3:5" x14ac:dyDescent="0.25">
      <c r="C81">
        <v>79</v>
      </c>
      <c r="D81" t="s">
        <v>3265</v>
      </c>
      <c r="E81">
        <f>1</f>
        <v>1</v>
      </c>
    </row>
    <row r="82" spans="3:5" x14ac:dyDescent="0.25">
      <c r="C82">
        <v>80</v>
      </c>
      <c r="D82" t="s">
        <v>2476</v>
      </c>
      <c r="E82">
        <f>1</f>
        <v>1</v>
      </c>
    </row>
    <row r="83" spans="3:5" x14ac:dyDescent="0.25">
      <c r="C83">
        <v>81</v>
      </c>
      <c r="D83" t="s">
        <v>3267</v>
      </c>
      <c r="E83">
        <f>1</f>
        <v>1</v>
      </c>
    </row>
    <row r="84" spans="3:5" x14ac:dyDescent="0.25">
      <c r="C84">
        <v>82</v>
      </c>
      <c r="D84" t="s">
        <v>19879</v>
      </c>
      <c r="E84">
        <f>1</f>
        <v>1</v>
      </c>
    </row>
    <row r="85" spans="3:5" x14ac:dyDescent="0.25">
      <c r="C85">
        <v>83</v>
      </c>
      <c r="D85" t="s">
        <v>3268</v>
      </c>
      <c r="E85">
        <f>1</f>
        <v>1</v>
      </c>
    </row>
    <row r="86" spans="3:5" x14ac:dyDescent="0.25">
      <c r="C86">
        <v>84</v>
      </c>
      <c r="D86" t="s">
        <v>3270</v>
      </c>
      <c r="E86">
        <f>1</f>
        <v>1</v>
      </c>
    </row>
    <row r="87" spans="3:5" x14ac:dyDescent="0.25">
      <c r="C87">
        <v>85</v>
      </c>
      <c r="D87" t="s">
        <v>3272</v>
      </c>
      <c r="E87">
        <f>1</f>
        <v>1</v>
      </c>
    </row>
    <row r="88" spans="3:5" x14ac:dyDescent="0.25">
      <c r="C88">
        <v>86</v>
      </c>
      <c r="D88" t="s">
        <v>3273</v>
      </c>
      <c r="E88">
        <f>1</f>
        <v>1</v>
      </c>
    </row>
    <row r="89" spans="3:5" x14ac:dyDescent="0.25">
      <c r="C89">
        <v>87</v>
      </c>
      <c r="D89" t="s">
        <v>3274</v>
      </c>
      <c r="E89">
        <f>1</f>
        <v>1</v>
      </c>
    </row>
    <row r="90" spans="3:5" x14ac:dyDescent="0.25">
      <c r="C90">
        <v>88</v>
      </c>
      <c r="D90" t="s">
        <v>3275</v>
      </c>
      <c r="E90">
        <f>1</f>
        <v>1</v>
      </c>
    </row>
    <row r="91" spans="3:5" x14ac:dyDescent="0.25">
      <c r="C91">
        <v>89</v>
      </c>
      <c r="D91" t="s">
        <v>2622</v>
      </c>
      <c r="E91">
        <f>1</f>
        <v>1</v>
      </c>
    </row>
    <row r="92" spans="3:5" x14ac:dyDescent="0.25">
      <c r="C92">
        <v>90</v>
      </c>
      <c r="D92" t="s">
        <v>3276</v>
      </c>
      <c r="E92">
        <f>1</f>
        <v>1</v>
      </c>
    </row>
    <row r="93" spans="3:5" x14ac:dyDescent="0.25">
      <c r="C93">
        <v>91</v>
      </c>
      <c r="D93" t="s">
        <v>2621</v>
      </c>
      <c r="E93">
        <f>1</f>
        <v>1</v>
      </c>
    </row>
    <row r="94" spans="3:5" x14ac:dyDescent="0.25">
      <c r="C94">
        <v>92</v>
      </c>
      <c r="D94" t="s">
        <v>3277</v>
      </c>
      <c r="E94">
        <f>1</f>
        <v>1</v>
      </c>
    </row>
    <row r="95" spans="3:5" x14ac:dyDescent="0.25">
      <c r="C95">
        <v>93</v>
      </c>
      <c r="D95" t="s">
        <v>4348</v>
      </c>
      <c r="E95">
        <f>1</f>
        <v>1</v>
      </c>
    </row>
    <row r="96" spans="3:5" x14ac:dyDescent="0.25">
      <c r="C96">
        <v>94</v>
      </c>
      <c r="D96" t="s">
        <v>3279</v>
      </c>
      <c r="E96">
        <f>1</f>
        <v>1</v>
      </c>
    </row>
    <row r="97" spans="3:5" x14ac:dyDescent="0.25">
      <c r="C97">
        <v>95</v>
      </c>
      <c r="D97" t="s">
        <v>3280</v>
      </c>
      <c r="E97">
        <f>1</f>
        <v>1</v>
      </c>
    </row>
    <row r="98" spans="3:5" x14ac:dyDescent="0.25">
      <c r="C98">
        <v>96</v>
      </c>
      <c r="D98" t="s">
        <v>3281</v>
      </c>
      <c r="E98">
        <f>1</f>
        <v>1</v>
      </c>
    </row>
    <row r="99" spans="3:5" x14ac:dyDescent="0.25">
      <c r="C99">
        <v>97</v>
      </c>
      <c r="D99" t="s">
        <v>4523</v>
      </c>
      <c r="E99">
        <f>1</f>
        <v>1</v>
      </c>
    </row>
    <row r="100" spans="3:5" x14ac:dyDescent="0.25">
      <c r="C100">
        <v>98</v>
      </c>
      <c r="D100" t="s">
        <v>19880</v>
      </c>
      <c r="E100">
        <f>1</f>
        <v>1</v>
      </c>
    </row>
    <row r="101" spans="3:5" x14ac:dyDescent="0.25">
      <c r="C101">
        <v>99</v>
      </c>
      <c r="D101" t="s">
        <v>3282</v>
      </c>
      <c r="E101">
        <f>1</f>
        <v>1</v>
      </c>
    </row>
    <row r="102" spans="3:5" x14ac:dyDescent="0.25">
      <c r="C102">
        <v>100</v>
      </c>
      <c r="D102" t="s">
        <v>4284</v>
      </c>
      <c r="E102">
        <f>1</f>
        <v>1</v>
      </c>
    </row>
    <row r="103" spans="3:5" x14ac:dyDescent="0.25">
      <c r="C103">
        <v>101</v>
      </c>
      <c r="D103" t="s">
        <v>4242</v>
      </c>
      <c r="E103">
        <f>1</f>
        <v>1</v>
      </c>
    </row>
    <row r="104" spans="3:5" x14ac:dyDescent="0.25">
      <c r="C104">
        <v>102</v>
      </c>
      <c r="D104" t="s">
        <v>4201</v>
      </c>
      <c r="E104">
        <f>1</f>
        <v>1</v>
      </c>
    </row>
    <row r="105" spans="3:5" x14ac:dyDescent="0.25">
      <c r="C105">
        <v>103</v>
      </c>
      <c r="D105" t="s">
        <v>3283</v>
      </c>
      <c r="E105">
        <f>1</f>
        <v>1</v>
      </c>
    </row>
    <row r="106" spans="3:5" x14ac:dyDescent="0.25">
      <c r="C106">
        <v>104</v>
      </c>
      <c r="D106" t="s">
        <v>4524</v>
      </c>
      <c r="E106">
        <f>1</f>
        <v>1</v>
      </c>
    </row>
    <row r="107" spans="3:5" x14ac:dyDescent="0.25">
      <c r="C107">
        <v>105</v>
      </c>
      <c r="D107" t="s">
        <v>3284</v>
      </c>
      <c r="E107">
        <f>1</f>
        <v>1</v>
      </c>
    </row>
    <row r="108" spans="3:5" x14ac:dyDescent="0.25">
      <c r="C108">
        <v>106</v>
      </c>
      <c r="D108" t="s">
        <v>3285</v>
      </c>
      <c r="E108">
        <f>1</f>
        <v>1</v>
      </c>
    </row>
    <row r="109" spans="3:5" x14ac:dyDescent="0.25">
      <c r="C109">
        <v>107</v>
      </c>
      <c r="D109" t="s">
        <v>3287</v>
      </c>
      <c r="E109">
        <f>1</f>
        <v>1</v>
      </c>
    </row>
    <row r="110" spans="3:5" x14ac:dyDescent="0.25">
      <c r="C110">
        <v>108</v>
      </c>
      <c r="D110" t="s">
        <v>3288</v>
      </c>
      <c r="E110">
        <f>1</f>
        <v>1</v>
      </c>
    </row>
    <row r="111" spans="3:5" x14ac:dyDescent="0.25">
      <c r="C111">
        <v>109</v>
      </c>
      <c r="D111" t="s">
        <v>4243</v>
      </c>
      <c r="E111">
        <f>1</f>
        <v>1</v>
      </c>
    </row>
    <row r="112" spans="3:5" x14ac:dyDescent="0.25">
      <c r="C112">
        <v>110</v>
      </c>
      <c r="D112" t="s">
        <v>4349</v>
      </c>
      <c r="E112">
        <f>1</f>
        <v>1</v>
      </c>
    </row>
    <row r="113" spans="3:5" x14ac:dyDescent="0.25">
      <c r="C113">
        <v>111</v>
      </c>
      <c r="D113" t="s">
        <v>3289</v>
      </c>
      <c r="E113">
        <f>1</f>
        <v>1</v>
      </c>
    </row>
    <row r="114" spans="3:5" x14ac:dyDescent="0.25">
      <c r="C114">
        <v>112</v>
      </c>
      <c r="D114" t="s">
        <v>3291</v>
      </c>
      <c r="E114">
        <f>1</f>
        <v>1</v>
      </c>
    </row>
    <row r="115" spans="3:5" x14ac:dyDescent="0.25">
      <c r="C115">
        <v>113</v>
      </c>
      <c r="D115" t="s">
        <v>3292</v>
      </c>
      <c r="E115">
        <f>1</f>
        <v>1</v>
      </c>
    </row>
    <row r="116" spans="3:5" x14ac:dyDescent="0.25">
      <c r="C116">
        <v>114</v>
      </c>
      <c r="D116" t="s">
        <v>4202</v>
      </c>
      <c r="E116">
        <f>1</f>
        <v>1</v>
      </c>
    </row>
    <row r="117" spans="3:5" x14ac:dyDescent="0.25">
      <c r="C117">
        <v>115</v>
      </c>
      <c r="D117" t="s">
        <v>3294</v>
      </c>
      <c r="E117">
        <f>1</f>
        <v>1</v>
      </c>
    </row>
    <row r="118" spans="3:5" x14ac:dyDescent="0.25">
      <c r="C118">
        <v>116</v>
      </c>
      <c r="D118" t="s">
        <v>4350</v>
      </c>
      <c r="E118">
        <f>1</f>
        <v>1</v>
      </c>
    </row>
    <row r="119" spans="3:5" x14ac:dyDescent="0.25">
      <c r="C119">
        <v>117</v>
      </c>
      <c r="D119" t="s">
        <v>3295</v>
      </c>
      <c r="E119">
        <f>1</f>
        <v>1</v>
      </c>
    </row>
    <row r="120" spans="3:5" x14ac:dyDescent="0.25">
      <c r="C120">
        <v>118</v>
      </c>
      <c r="D120" t="s">
        <v>4525</v>
      </c>
      <c r="E120">
        <f>1</f>
        <v>1</v>
      </c>
    </row>
    <row r="121" spans="3:5" x14ac:dyDescent="0.25">
      <c r="C121">
        <v>119</v>
      </c>
      <c r="D121" t="s">
        <v>3296</v>
      </c>
      <c r="E121">
        <f>1</f>
        <v>1</v>
      </c>
    </row>
    <row r="122" spans="3:5" x14ac:dyDescent="0.25">
      <c r="C122">
        <v>120</v>
      </c>
      <c r="D122" t="s">
        <v>2625</v>
      </c>
      <c r="E122">
        <f>1</f>
        <v>1</v>
      </c>
    </row>
    <row r="123" spans="3:5" x14ac:dyDescent="0.25">
      <c r="C123">
        <v>121</v>
      </c>
      <c r="D123" t="s">
        <v>3297</v>
      </c>
      <c r="E123">
        <f>1</f>
        <v>1</v>
      </c>
    </row>
    <row r="124" spans="3:5" x14ac:dyDescent="0.25">
      <c r="C124">
        <v>122</v>
      </c>
      <c r="D124" t="s">
        <v>4526</v>
      </c>
      <c r="E124">
        <f>1</f>
        <v>1</v>
      </c>
    </row>
    <row r="125" spans="3:5" x14ac:dyDescent="0.25">
      <c r="C125">
        <v>123</v>
      </c>
      <c r="D125" t="s">
        <v>3299</v>
      </c>
      <c r="E125">
        <f>1</f>
        <v>1</v>
      </c>
    </row>
    <row r="126" spans="3:5" x14ac:dyDescent="0.25">
      <c r="C126">
        <v>124</v>
      </c>
      <c r="D126" t="s">
        <v>3300</v>
      </c>
      <c r="E126">
        <f>1</f>
        <v>1</v>
      </c>
    </row>
    <row r="127" spans="3:5" x14ac:dyDescent="0.25">
      <c r="C127">
        <v>125</v>
      </c>
      <c r="D127" t="s">
        <v>3301</v>
      </c>
      <c r="E127">
        <f>1</f>
        <v>1</v>
      </c>
    </row>
    <row r="128" spans="3:5" x14ac:dyDescent="0.25">
      <c r="C128">
        <v>126</v>
      </c>
      <c r="D128" t="s">
        <v>4527</v>
      </c>
      <c r="E128">
        <f>1</f>
        <v>1</v>
      </c>
    </row>
    <row r="129" spans="3:5" x14ac:dyDescent="0.25">
      <c r="C129">
        <v>127</v>
      </c>
      <c r="D129" t="s">
        <v>4528</v>
      </c>
      <c r="E129">
        <f>1</f>
        <v>1</v>
      </c>
    </row>
    <row r="130" spans="3:5" x14ac:dyDescent="0.25">
      <c r="C130">
        <v>128</v>
      </c>
      <c r="D130" t="s">
        <v>3302</v>
      </c>
      <c r="E130">
        <f>1</f>
        <v>1</v>
      </c>
    </row>
    <row r="131" spans="3:5" x14ac:dyDescent="0.25">
      <c r="C131">
        <v>129</v>
      </c>
      <c r="D131" t="s">
        <v>3303</v>
      </c>
      <c r="E131">
        <f>1</f>
        <v>1</v>
      </c>
    </row>
    <row r="132" spans="3:5" x14ac:dyDescent="0.25">
      <c r="C132">
        <v>130</v>
      </c>
      <c r="D132" t="s">
        <v>3304</v>
      </c>
      <c r="E132">
        <f>1</f>
        <v>1</v>
      </c>
    </row>
    <row r="133" spans="3:5" x14ac:dyDescent="0.25">
      <c r="C133">
        <v>131</v>
      </c>
      <c r="D133" t="s">
        <v>4203</v>
      </c>
      <c r="E133">
        <f>1</f>
        <v>1</v>
      </c>
    </row>
    <row r="134" spans="3:5" x14ac:dyDescent="0.25">
      <c r="C134">
        <v>132</v>
      </c>
      <c r="D134" t="s">
        <v>3305</v>
      </c>
      <c r="E134">
        <f>1</f>
        <v>1</v>
      </c>
    </row>
    <row r="135" spans="3:5" x14ac:dyDescent="0.25">
      <c r="C135">
        <v>133</v>
      </c>
      <c r="D135" t="s">
        <v>3307</v>
      </c>
      <c r="E135">
        <f>1</f>
        <v>1</v>
      </c>
    </row>
    <row r="136" spans="3:5" x14ac:dyDescent="0.25">
      <c r="C136">
        <v>134</v>
      </c>
      <c r="D136" t="s">
        <v>3189</v>
      </c>
      <c r="E136">
        <f>1</f>
        <v>1</v>
      </c>
    </row>
    <row r="137" spans="3:5" x14ac:dyDescent="0.25">
      <c r="C137">
        <v>135</v>
      </c>
      <c r="D137" t="s">
        <v>3308</v>
      </c>
      <c r="E137">
        <f>1</f>
        <v>1</v>
      </c>
    </row>
    <row r="138" spans="3:5" x14ac:dyDescent="0.25">
      <c r="C138">
        <v>136</v>
      </c>
      <c r="D138" t="s">
        <v>3309</v>
      </c>
      <c r="E138">
        <f>1</f>
        <v>1</v>
      </c>
    </row>
    <row r="139" spans="3:5" x14ac:dyDescent="0.25">
      <c r="C139">
        <v>137</v>
      </c>
      <c r="D139" t="s">
        <v>3310</v>
      </c>
      <c r="E139">
        <f>1</f>
        <v>1</v>
      </c>
    </row>
    <row r="140" spans="3:5" x14ac:dyDescent="0.25">
      <c r="C140">
        <v>138</v>
      </c>
      <c r="D140" t="s">
        <v>4469</v>
      </c>
      <c r="E140">
        <f>1</f>
        <v>1</v>
      </c>
    </row>
    <row r="141" spans="3:5" x14ac:dyDescent="0.25">
      <c r="C141">
        <v>139</v>
      </c>
      <c r="D141" t="s">
        <v>4470</v>
      </c>
      <c r="E141">
        <f>1</f>
        <v>1</v>
      </c>
    </row>
    <row r="142" spans="3:5" x14ac:dyDescent="0.25">
      <c r="C142">
        <v>140</v>
      </c>
      <c r="D142" t="s">
        <v>3311</v>
      </c>
      <c r="E142">
        <f>1</f>
        <v>1</v>
      </c>
    </row>
    <row r="143" spans="3:5" x14ac:dyDescent="0.25">
      <c r="C143">
        <v>141</v>
      </c>
      <c r="D143" t="s">
        <v>19545</v>
      </c>
      <c r="E143">
        <f>1</f>
        <v>1</v>
      </c>
    </row>
    <row r="144" spans="3:5" x14ac:dyDescent="0.25">
      <c r="C144">
        <v>142</v>
      </c>
      <c r="D144" t="s">
        <v>3313</v>
      </c>
      <c r="E144">
        <f>1</f>
        <v>1</v>
      </c>
    </row>
    <row r="145" spans="3:5" x14ac:dyDescent="0.25">
      <c r="C145">
        <v>143</v>
      </c>
      <c r="D145" t="s">
        <v>3314</v>
      </c>
      <c r="E145">
        <f>1</f>
        <v>1</v>
      </c>
    </row>
    <row r="146" spans="3:5" x14ac:dyDescent="0.25">
      <c r="C146">
        <v>144</v>
      </c>
      <c r="D146" t="s">
        <v>3315</v>
      </c>
      <c r="E146">
        <f>1</f>
        <v>1</v>
      </c>
    </row>
    <row r="147" spans="3:5" x14ac:dyDescent="0.25">
      <c r="C147">
        <v>145</v>
      </c>
      <c r="D147" t="s">
        <v>3157</v>
      </c>
      <c r="E147">
        <f>1</f>
        <v>1</v>
      </c>
    </row>
    <row r="148" spans="3:5" x14ac:dyDescent="0.25">
      <c r="C148">
        <v>146</v>
      </c>
      <c r="D148" t="s">
        <v>3316</v>
      </c>
      <c r="E148">
        <f>1</f>
        <v>1</v>
      </c>
    </row>
    <row r="149" spans="3:5" x14ac:dyDescent="0.25">
      <c r="C149">
        <v>147</v>
      </c>
      <c r="D149" t="s">
        <v>3317</v>
      </c>
      <c r="E149">
        <f>1</f>
        <v>1</v>
      </c>
    </row>
    <row r="150" spans="3:5" x14ac:dyDescent="0.25">
      <c r="C150">
        <v>148</v>
      </c>
      <c r="D150" t="s">
        <v>3318</v>
      </c>
      <c r="E150">
        <f>1</f>
        <v>1</v>
      </c>
    </row>
    <row r="151" spans="3:5" x14ac:dyDescent="0.25">
      <c r="C151">
        <v>149</v>
      </c>
      <c r="D151" t="s">
        <v>3319</v>
      </c>
      <c r="E151">
        <f>1</f>
        <v>1</v>
      </c>
    </row>
    <row r="152" spans="3:5" x14ac:dyDescent="0.25">
      <c r="C152">
        <v>150</v>
      </c>
      <c r="D152" t="s">
        <v>19549</v>
      </c>
      <c r="E152">
        <f>1</f>
        <v>1</v>
      </c>
    </row>
    <row r="153" spans="3:5" x14ac:dyDescent="0.25">
      <c r="C153">
        <v>151</v>
      </c>
      <c r="D153" t="s">
        <v>3322</v>
      </c>
      <c r="E153">
        <f>1</f>
        <v>1</v>
      </c>
    </row>
    <row r="154" spans="3:5" x14ac:dyDescent="0.25">
      <c r="C154">
        <v>152</v>
      </c>
      <c r="D154" t="s">
        <v>3323</v>
      </c>
      <c r="E154">
        <f>1</f>
        <v>1</v>
      </c>
    </row>
    <row r="155" spans="3:5" x14ac:dyDescent="0.25">
      <c r="C155">
        <v>153</v>
      </c>
      <c r="D155" t="s">
        <v>4530</v>
      </c>
      <c r="E155">
        <f>1</f>
        <v>1</v>
      </c>
    </row>
    <row r="156" spans="3:5" x14ac:dyDescent="0.25">
      <c r="C156">
        <v>154</v>
      </c>
      <c r="D156" t="s">
        <v>3324</v>
      </c>
      <c r="E156">
        <f>1</f>
        <v>1</v>
      </c>
    </row>
    <row r="157" spans="3:5" x14ac:dyDescent="0.25">
      <c r="C157">
        <v>155</v>
      </c>
      <c r="D157" t="s">
        <v>3325</v>
      </c>
      <c r="E157">
        <f>1</f>
        <v>1</v>
      </c>
    </row>
    <row r="158" spans="3:5" x14ac:dyDescent="0.25">
      <c r="C158">
        <v>156</v>
      </c>
      <c r="D158" t="s">
        <v>2627</v>
      </c>
      <c r="E158">
        <f>1</f>
        <v>1</v>
      </c>
    </row>
    <row r="159" spans="3:5" x14ac:dyDescent="0.25">
      <c r="C159">
        <v>157</v>
      </c>
      <c r="D159" t="s">
        <v>3326</v>
      </c>
      <c r="E159">
        <f>1</f>
        <v>1</v>
      </c>
    </row>
    <row r="160" spans="3:5" x14ac:dyDescent="0.25">
      <c r="C160">
        <v>158</v>
      </c>
      <c r="D160" t="s">
        <v>4351</v>
      </c>
      <c r="E160">
        <f>1</f>
        <v>1</v>
      </c>
    </row>
    <row r="161" spans="3:5" x14ac:dyDescent="0.25">
      <c r="C161">
        <v>159</v>
      </c>
      <c r="D161" t="s">
        <v>4352</v>
      </c>
      <c r="E161">
        <f>1</f>
        <v>1</v>
      </c>
    </row>
    <row r="162" spans="3:5" x14ac:dyDescent="0.25">
      <c r="C162">
        <v>160</v>
      </c>
      <c r="D162" t="s">
        <v>4353</v>
      </c>
      <c r="E162">
        <f>1</f>
        <v>1</v>
      </c>
    </row>
    <row r="163" spans="3:5" x14ac:dyDescent="0.25">
      <c r="C163">
        <v>161</v>
      </c>
      <c r="D163" t="s">
        <v>3327</v>
      </c>
      <c r="E163">
        <f>1</f>
        <v>1</v>
      </c>
    </row>
    <row r="164" spans="3:5" x14ac:dyDescent="0.25">
      <c r="C164">
        <v>162</v>
      </c>
      <c r="D164" t="s">
        <v>4354</v>
      </c>
      <c r="E164">
        <f>1</f>
        <v>1</v>
      </c>
    </row>
    <row r="165" spans="3:5" x14ac:dyDescent="0.25">
      <c r="C165">
        <v>163</v>
      </c>
      <c r="D165" t="s">
        <v>4355</v>
      </c>
      <c r="E165">
        <f>1</f>
        <v>1</v>
      </c>
    </row>
    <row r="166" spans="3:5" x14ac:dyDescent="0.25">
      <c r="C166">
        <v>164</v>
      </c>
      <c r="D166" t="s">
        <v>4356</v>
      </c>
      <c r="E166">
        <f>1</f>
        <v>1</v>
      </c>
    </row>
    <row r="167" spans="3:5" x14ac:dyDescent="0.25">
      <c r="C167">
        <v>165</v>
      </c>
      <c r="D167" t="s">
        <v>3328</v>
      </c>
      <c r="E167">
        <f>1</f>
        <v>1</v>
      </c>
    </row>
    <row r="168" spans="3:5" x14ac:dyDescent="0.25">
      <c r="C168">
        <v>166</v>
      </c>
      <c r="D168" t="s">
        <v>3329</v>
      </c>
      <c r="E168">
        <f>1</f>
        <v>1</v>
      </c>
    </row>
    <row r="169" spans="3:5" x14ac:dyDescent="0.25">
      <c r="C169">
        <v>167</v>
      </c>
      <c r="D169" t="s">
        <v>3330</v>
      </c>
      <c r="E169">
        <f>1</f>
        <v>1</v>
      </c>
    </row>
    <row r="170" spans="3:5" x14ac:dyDescent="0.25">
      <c r="C170">
        <v>168</v>
      </c>
      <c r="D170" t="s">
        <v>2631</v>
      </c>
      <c r="E170">
        <f>1</f>
        <v>1</v>
      </c>
    </row>
    <row r="171" spans="3:5" x14ac:dyDescent="0.25">
      <c r="C171">
        <v>169</v>
      </c>
      <c r="D171" t="s">
        <v>3331</v>
      </c>
      <c r="E171">
        <f>1</f>
        <v>1</v>
      </c>
    </row>
    <row r="172" spans="3:5" x14ac:dyDescent="0.25">
      <c r="C172">
        <v>170</v>
      </c>
      <c r="D172" t="s">
        <v>3332</v>
      </c>
      <c r="E172">
        <f>1</f>
        <v>1</v>
      </c>
    </row>
    <row r="173" spans="3:5" x14ac:dyDescent="0.25">
      <c r="C173">
        <v>171</v>
      </c>
      <c r="D173" t="s">
        <v>3333</v>
      </c>
      <c r="E173">
        <f>1</f>
        <v>1</v>
      </c>
    </row>
    <row r="174" spans="3:5" x14ac:dyDescent="0.25">
      <c r="C174">
        <v>172</v>
      </c>
      <c r="D174" t="s">
        <v>4531</v>
      </c>
      <c r="E174">
        <f>1</f>
        <v>1</v>
      </c>
    </row>
    <row r="175" spans="3:5" x14ac:dyDescent="0.25">
      <c r="C175">
        <v>173</v>
      </c>
      <c r="D175" t="s">
        <v>3334</v>
      </c>
      <c r="E175">
        <f>1</f>
        <v>1</v>
      </c>
    </row>
    <row r="176" spans="3:5" x14ac:dyDescent="0.25">
      <c r="C176">
        <v>174</v>
      </c>
      <c r="D176" t="s">
        <v>4244</v>
      </c>
      <c r="E176">
        <f>1</f>
        <v>1</v>
      </c>
    </row>
    <row r="177" spans="3:5" x14ac:dyDescent="0.25">
      <c r="C177">
        <v>175</v>
      </c>
      <c r="D177" t="s">
        <v>4245</v>
      </c>
      <c r="E177">
        <f>1</f>
        <v>1</v>
      </c>
    </row>
    <row r="178" spans="3:5" x14ac:dyDescent="0.25">
      <c r="C178">
        <v>176</v>
      </c>
      <c r="D178" t="s">
        <v>3335</v>
      </c>
      <c r="E178">
        <f>1</f>
        <v>1</v>
      </c>
    </row>
    <row r="179" spans="3:5" x14ac:dyDescent="0.25">
      <c r="C179">
        <v>177</v>
      </c>
      <c r="D179" t="s">
        <v>3336</v>
      </c>
      <c r="E179">
        <f>1</f>
        <v>1</v>
      </c>
    </row>
    <row r="180" spans="3:5" x14ac:dyDescent="0.25">
      <c r="C180">
        <v>178</v>
      </c>
      <c r="D180" t="s">
        <v>3337</v>
      </c>
      <c r="E180">
        <f>1</f>
        <v>1</v>
      </c>
    </row>
    <row r="181" spans="3:5" x14ac:dyDescent="0.25">
      <c r="C181">
        <v>179</v>
      </c>
      <c r="D181" t="s">
        <v>3338</v>
      </c>
      <c r="E181">
        <f>1</f>
        <v>1</v>
      </c>
    </row>
    <row r="182" spans="3:5" x14ac:dyDescent="0.25">
      <c r="C182">
        <v>180</v>
      </c>
      <c r="D182" t="s">
        <v>3340</v>
      </c>
      <c r="E182">
        <f>1</f>
        <v>1</v>
      </c>
    </row>
    <row r="183" spans="3:5" x14ac:dyDescent="0.25">
      <c r="C183">
        <v>181</v>
      </c>
      <c r="D183" t="s">
        <v>3341</v>
      </c>
      <c r="E183">
        <f>1</f>
        <v>1</v>
      </c>
    </row>
    <row r="184" spans="3:5" x14ac:dyDescent="0.25">
      <c r="C184">
        <v>182</v>
      </c>
      <c r="D184" t="s">
        <v>3342</v>
      </c>
      <c r="E184">
        <f>1</f>
        <v>1</v>
      </c>
    </row>
    <row r="185" spans="3:5" x14ac:dyDescent="0.25">
      <c r="C185">
        <v>183</v>
      </c>
      <c r="D185" t="s">
        <v>3343</v>
      </c>
      <c r="E185">
        <f>1</f>
        <v>1</v>
      </c>
    </row>
    <row r="186" spans="3:5" x14ac:dyDescent="0.25">
      <c r="C186">
        <v>184</v>
      </c>
      <c r="D186" t="s">
        <v>3344</v>
      </c>
      <c r="E186">
        <f>1</f>
        <v>1</v>
      </c>
    </row>
    <row r="187" spans="3:5" x14ac:dyDescent="0.25">
      <c r="C187">
        <v>185</v>
      </c>
      <c r="D187" t="s">
        <v>4532</v>
      </c>
      <c r="E187">
        <f>1</f>
        <v>1</v>
      </c>
    </row>
    <row r="188" spans="3:5" x14ac:dyDescent="0.25">
      <c r="C188">
        <v>186</v>
      </c>
      <c r="D188" t="s">
        <v>4287</v>
      </c>
      <c r="E188">
        <f>1</f>
        <v>1</v>
      </c>
    </row>
    <row r="189" spans="3:5" x14ac:dyDescent="0.25">
      <c r="C189">
        <v>187</v>
      </c>
      <c r="D189" t="s">
        <v>4533</v>
      </c>
      <c r="E189">
        <f>1</f>
        <v>1</v>
      </c>
    </row>
    <row r="190" spans="3:5" x14ac:dyDescent="0.25">
      <c r="C190">
        <v>188</v>
      </c>
      <c r="D190" t="s">
        <v>3345</v>
      </c>
      <c r="E190">
        <f>1</f>
        <v>1</v>
      </c>
    </row>
    <row r="191" spans="3:5" x14ac:dyDescent="0.25">
      <c r="C191">
        <v>189</v>
      </c>
      <c r="D191" t="s">
        <v>3347</v>
      </c>
      <c r="E191">
        <f>1</f>
        <v>1</v>
      </c>
    </row>
    <row r="192" spans="3:5" x14ac:dyDescent="0.25">
      <c r="C192">
        <v>190</v>
      </c>
      <c r="D192" t="s">
        <v>3348</v>
      </c>
      <c r="E192">
        <f>1</f>
        <v>1</v>
      </c>
    </row>
    <row r="193" spans="3:5" x14ac:dyDescent="0.25">
      <c r="C193">
        <v>191</v>
      </c>
      <c r="D193" t="s">
        <v>4534</v>
      </c>
      <c r="E193">
        <f>1</f>
        <v>1</v>
      </c>
    </row>
    <row r="194" spans="3:5" x14ac:dyDescent="0.25">
      <c r="C194">
        <v>192</v>
      </c>
      <c r="D194" t="s">
        <v>3158</v>
      </c>
      <c r="E194">
        <f>1</f>
        <v>1</v>
      </c>
    </row>
    <row r="195" spans="3:5" x14ac:dyDescent="0.25">
      <c r="C195">
        <v>193</v>
      </c>
      <c r="D195" t="s">
        <v>4535</v>
      </c>
      <c r="E195">
        <f>1</f>
        <v>1</v>
      </c>
    </row>
    <row r="196" spans="3:5" x14ac:dyDescent="0.25">
      <c r="C196">
        <v>194</v>
      </c>
      <c r="D196" t="s">
        <v>3349</v>
      </c>
      <c r="E196">
        <f>1</f>
        <v>1</v>
      </c>
    </row>
    <row r="197" spans="3:5" x14ac:dyDescent="0.25">
      <c r="C197">
        <v>195</v>
      </c>
      <c r="D197" t="s">
        <v>3350</v>
      </c>
      <c r="E197">
        <f>1</f>
        <v>1</v>
      </c>
    </row>
    <row r="198" spans="3:5" x14ac:dyDescent="0.25">
      <c r="C198">
        <v>196</v>
      </c>
      <c r="D198" t="s">
        <v>4536</v>
      </c>
      <c r="E198">
        <f>1</f>
        <v>1</v>
      </c>
    </row>
    <row r="199" spans="3:5" x14ac:dyDescent="0.25">
      <c r="C199">
        <v>197</v>
      </c>
      <c r="D199" t="s">
        <v>3351</v>
      </c>
      <c r="E199">
        <f>1</f>
        <v>1</v>
      </c>
    </row>
    <row r="200" spans="3:5" x14ac:dyDescent="0.25">
      <c r="C200">
        <v>198</v>
      </c>
      <c r="D200" t="s">
        <v>4537</v>
      </c>
      <c r="E200">
        <f>1</f>
        <v>1</v>
      </c>
    </row>
    <row r="201" spans="3:5" x14ac:dyDescent="0.25">
      <c r="C201">
        <v>199</v>
      </c>
      <c r="D201" t="s">
        <v>4358</v>
      </c>
      <c r="E201">
        <f>1</f>
        <v>1</v>
      </c>
    </row>
    <row r="202" spans="3:5" x14ac:dyDescent="0.25">
      <c r="C202">
        <v>200</v>
      </c>
      <c r="D202" t="s">
        <v>4359</v>
      </c>
      <c r="E202">
        <f>1</f>
        <v>1</v>
      </c>
    </row>
    <row r="203" spans="3:5" x14ac:dyDescent="0.25">
      <c r="C203">
        <v>201</v>
      </c>
      <c r="D203" t="s">
        <v>3352</v>
      </c>
      <c r="E203">
        <f>1</f>
        <v>1</v>
      </c>
    </row>
    <row r="204" spans="3:5" x14ac:dyDescent="0.25">
      <c r="C204">
        <v>202</v>
      </c>
      <c r="D204" t="s">
        <v>3353</v>
      </c>
      <c r="E204">
        <f>1</f>
        <v>1</v>
      </c>
    </row>
    <row r="205" spans="3:5" x14ac:dyDescent="0.25">
      <c r="C205">
        <v>203</v>
      </c>
      <c r="D205" t="s">
        <v>4360</v>
      </c>
      <c r="E205">
        <f>1</f>
        <v>1</v>
      </c>
    </row>
    <row r="206" spans="3:5" x14ac:dyDescent="0.25">
      <c r="C206">
        <v>204</v>
      </c>
      <c r="D206" t="s">
        <v>3355</v>
      </c>
      <c r="E206">
        <f>1</f>
        <v>1</v>
      </c>
    </row>
    <row r="207" spans="3:5" x14ac:dyDescent="0.25">
      <c r="C207">
        <v>205</v>
      </c>
      <c r="D207" t="s">
        <v>4361</v>
      </c>
      <c r="E207">
        <f>1</f>
        <v>1</v>
      </c>
    </row>
    <row r="208" spans="3:5" x14ac:dyDescent="0.25">
      <c r="C208">
        <v>206</v>
      </c>
      <c r="D208" t="s">
        <v>4362</v>
      </c>
      <c r="E208">
        <f>1</f>
        <v>1</v>
      </c>
    </row>
    <row r="209" spans="3:5" x14ac:dyDescent="0.25">
      <c r="C209">
        <v>207</v>
      </c>
      <c r="D209" t="s">
        <v>3356</v>
      </c>
      <c r="E209">
        <f>1</f>
        <v>1</v>
      </c>
    </row>
    <row r="210" spans="3:5" x14ac:dyDescent="0.25">
      <c r="C210">
        <v>208</v>
      </c>
      <c r="D210" t="s">
        <v>3357</v>
      </c>
      <c r="E210">
        <f>1</f>
        <v>1</v>
      </c>
    </row>
    <row r="211" spans="3:5" x14ac:dyDescent="0.25">
      <c r="C211">
        <v>209</v>
      </c>
      <c r="D211" t="s">
        <v>3358</v>
      </c>
      <c r="E211">
        <f>1</f>
        <v>1</v>
      </c>
    </row>
    <row r="212" spans="3:5" x14ac:dyDescent="0.25">
      <c r="C212">
        <v>210</v>
      </c>
      <c r="D212" t="s">
        <v>3359</v>
      </c>
      <c r="E212">
        <f>1</f>
        <v>1</v>
      </c>
    </row>
    <row r="213" spans="3:5" x14ac:dyDescent="0.25">
      <c r="C213">
        <v>211</v>
      </c>
      <c r="D213" t="s">
        <v>4363</v>
      </c>
      <c r="E213">
        <f>1</f>
        <v>1</v>
      </c>
    </row>
    <row r="214" spans="3:5" x14ac:dyDescent="0.25">
      <c r="C214">
        <v>212</v>
      </c>
      <c r="D214" t="s">
        <v>4364</v>
      </c>
      <c r="E214">
        <f>1</f>
        <v>1</v>
      </c>
    </row>
    <row r="215" spans="3:5" x14ac:dyDescent="0.25">
      <c r="C215">
        <v>213</v>
      </c>
      <c r="D215" t="s">
        <v>2633</v>
      </c>
      <c r="E215">
        <f>1</f>
        <v>1</v>
      </c>
    </row>
    <row r="216" spans="3:5" x14ac:dyDescent="0.25">
      <c r="C216">
        <v>214</v>
      </c>
      <c r="D216" t="s">
        <v>4288</v>
      </c>
      <c r="E216">
        <f>1</f>
        <v>1</v>
      </c>
    </row>
    <row r="217" spans="3:5" x14ac:dyDescent="0.25">
      <c r="C217">
        <v>215</v>
      </c>
      <c r="D217" t="s">
        <v>3360</v>
      </c>
      <c r="E217">
        <f>1</f>
        <v>1</v>
      </c>
    </row>
    <row r="218" spans="3:5" x14ac:dyDescent="0.25">
      <c r="C218">
        <v>216</v>
      </c>
      <c r="D218" t="s">
        <v>4538</v>
      </c>
      <c r="E218">
        <f>1</f>
        <v>1</v>
      </c>
    </row>
    <row r="219" spans="3:5" x14ac:dyDescent="0.25">
      <c r="C219">
        <v>217</v>
      </c>
      <c r="D219" t="s">
        <v>19881</v>
      </c>
      <c r="E219">
        <f>1</f>
        <v>1</v>
      </c>
    </row>
    <row r="220" spans="3:5" x14ac:dyDescent="0.25">
      <c r="C220">
        <v>218</v>
      </c>
      <c r="D220" t="s">
        <v>3361</v>
      </c>
      <c r="E220">
        <f>1</f>
        <v>1</v>
      </c>
    </row>
    <row r="221" spans="3:5" x14ac:dyDescent="0.25">
      <c r="C221">
        <v>219</v>
      </c>
      <c r="D221" t="s">
        <v>3363</v>
      </c>
      <c r="E221">
        <f>1</f>
        <v>1</v>
      </c>
    </row>
    <row r="222" spans="3:5" x14ac:dyDescent="0.25">
      <c r="C222">
        <v>220</v>
      </c>
      <c r="D222" t="s">
        <v>19774</v>
      </c>
      <c r="E222">
        <f>1</f>
        <v>1</v>
      </c>
    </row>
    <row r="223" spans="3:5" x14ac:dyDescent="0.25">
      <c r="C223">
        <v>221</v>
      </c>
      <c r="D223" t="s">
        <v>2673</v>
      </c>
      <c r="E223">
        <f>1</f>
        <v>1</v>
      </c>
    </row>
    <row r="224" spans="3:5" x14ac:dyDescent="0.25">
      <c r="C224">
        <v>222</v>
      </c>
      <c r="D224" t="s">
        <v>3365</v>
      </c>
      <c r="E224">
        <f>1</f>
        <v>1</v>
      </c>
    </row>
    <row r="225" spans="3:5" x14ac:dyDescent="0.25">
      <c r="C225">
        <v>223</v>
      </c>
      <c r="D225" t="s">
        <v>3366</v>
      </c>
      <c r="E225">
        <f>1</f>
        <v>1</v>
      </c>
    </row>
    <row r="226" spans="3:5" x14ac:dyDescent="0.25">
      <c r="C226">
        <v>224</v>
      </c>
      <c r="D226" t="s">
        <v>3367</v>
      </c>
      <c r="E226">
        <f>1</f>
        <v>1</v>
      </c>
    </row>
    <row r="227" spans="3:5" x14ac:dyDescent="0.25">
      <c r="C227">
        <v>225</v>
      </c>
      <c r="D227" t="s">
        <v>3368</v>
      </c>
      <c r="E227">
        <f>1</f>
        <v>1</v>
      </c>
    </row>
    <row r="228" spans="3:5" x14ac:dyDescent="0.25">
      <c r="C228">
        <v>226</v>
      </c>
      <c r="D228" t="s">
        <v>3369</v>
      </c>
      <c r="E228">
        <f>1</f>
        <v>1</v>
      </c>
    </row>
    <row r="229" spans="3:5" x14ac:dyDescent="0.25">
      <c r="C229">
        <v>227</v>
      </c>
      <c r="D229" t="s">
        <v>3370</v>
      </c>
      <c r="E229">
        <f>1</f>
        <v>1</v>
      </c>
    </row>
    <row r="230" spans="3:5" x14ac:dyDescent="0.25">
      <c r="C230">
        <v>228</v>
      </c>
      <c r="D230" t="s">
        <v>3371</v>
      </c>
      <c r="E230">
        <f>1</f>
        <v>1</v>
      </c>
    </row>
    <row r="231" spans="3:5" x14ac:dyDescent="0.25">
      <c r="C231">
        <v>229</v>
      </c>
      <c r="D231" t="s">
        <v>2780</v>
      </c>
      <c r="E231">
        <f>1</f>
        <v>1</v>
      </c>
    </row>
    <row r="232" spans="3:5" x14ac:dyDescent="0.25">
      <c r="C232">
        <v>230</v>
      </c>
      <c r="D232" t="s">
        <v>2641</v>
      </c>
      <c r="E232">
        <f>1</f>
        <v>1</v>
      </c>
    </row>
    <row r="233" spans="3:5" x14ac:dyDescent="0.25">
      <c r="C233">
        <v>231</v>
      </c>
      <c r="D233" t="s">
        <v>3191</v>
      </c>
      <c r="E233">
        <f>1</f>
        <v>1</v>
      </c>
    </row>
    <row r="234" spans="3:5" x14ac:dyDescent="0.25">
      <c r="C234">
        <v>232</v>
      </c>
      <c r="D234" t="s">
        <v>3372</v>
      </c>
      <c r="E234">
        <f>1</f>
        <v>1</v>
      </c>
    </row>
    <row r="235" spans="3:5" x14ac:dyDescent="0.25">
      <c r="C235">
        <v>233</v>
      </c>
      <c r="D235" t="s">
        <v>2679</v>
      </c>
      <c r="E235">
        <f>1</f>
        <v>1</v>
      </c>
    </row>
    <row r="236" spans="3:5" x14ac:dyDescent="0.25">
      <c r="C236">
        <v>234</v>
      </c>
      <c r="D236" t="s">
        <v>3374</v>
      </c>
      <c r="E236">
        <f>1</f>
        <v>1</v>
      </c>
    </row>
    <row r="237" spans="3:5" x14ac:dyDescent="0.25">
      <c r="C237">
        <v>235</v>
      </c>
      <c r="D237" t="s">
        <v>4366</v>
      </c>
      <c r="E237">
        <f>1</f>
        <v>1</v>
      </c>
    </row>
    <row r="238" spans="3:5" x14ac:dyDescent="0.25">
      <c r="C238">
        <v>236</v>
      </c>
      <c r="D238" t="s">
        <v>4471</v>
      </c>
      <c r="E238">
        <f>1</f>
        <v>1</v>
      </c>
    </row>
    <row r="239" spans="3:5" x14ac:dyDescent="0.25">
      <c r="C239">
        <v>237</v>
      </c>
      <c r="D239" t="s">
        <v>4539</v>
      </c>
      <c r="E239">
        <f>1</f>
        <v>1</v>
      </c>
    </row>
    <row r="240" spans="3:5" x14ac:dyDescent="0.25">
      <c r="C240">
        <v>238</v>
      </c>
      <c r="D240" t="s">
        <v>3375</v>
      </c>
      <c r="E240">
        <f>1</f>
        <v>1</v>
      </c>
    </row>
    <row r="241" spans="3:5" x14ac:dyDescent="0.25">
      <c r="C241">
        <v>239</v>
      </c>
      <c r="D241" t="s">
        <v>3376</v>
      </c>
      <c r="E241">
        <f>1</f>
        <v>1</v>
      </c>
    </row>
    <row r="242" spans="3:5" x14ac:dyDescent="0.25">
      <c r="C242">
        <v>240</v>
      </c>
      <c r="D242" t="s">
        <v>19882</v>
      </c>
      <c r="E242">
        <f>1</f>
        <v>1</v>
      </c>
    </row>
    <row r="243" spans="3:5" x14ac:dyDescent="0.25">
      <c r="C243">
        <v>241</v>
      </c>
      <c r="D243" t="s">
        <v>3377</v>
      </c>
      <c r="E243">
        <f>1</f>
        <v>1</v>
      </c>
    </row>
    <row r="244" spans="3:5" x14ac:dyDescent="0.25">
      <c r="C244">
        <v>242</v>
      </c>
      <c r="D244" t="s">
        <v>3378</v>
      </c>
      <c r="E244">
        <f>1</f>
        <v>1</v>
      </c>
    </row>
    <row r="245" spans="3:5" x14ac:dyDescent="0.25">
      <c r="C245">
        <v>243</v>
      </c>
      <c r="D245" t="s">
        <v>3379</v>
      </c>
      <c r="E245">
        <f>1</f>
        <v>1</v>
      </c>
    </row>
    <row r="246" spans="3:5" x14ac:dyDescent="0.25">
      <c r="C246">
        <v>244</v>
      </c>
      <c r="D246" t="s">
        <v>3380</v>
      </c>
      <c r="E246">
        <f>1</f>
        <v>1</v>
      </c>
    </row>
    <row r="247" spans="3:5" x14ac:dyDescent="0.25">
      <c r="C247">
        <v>245</v>
      </c>
      <c r="D247" t="s">
        <v>3381</v>
      </c>
      <c r="E247">
        <f>1</f>
        <v>1</v>
      </c>
    </row>
    <row r="248" spans="3:5" x14ac:dyDescent="0.25">
      <c r="C248">
        <v>246</v>
      </c>
      <c r="D248" t="s">
        <v>4367</v>
      </c>
      <c r="E248">
        <f>1</f>
        <v>1</v>
      </c>
    </row>
    <row r="249" spans="3:5" x14ac:dyDescent="0.25">
      <c r="C249">
        <v>247</v>
      </c>
      <c r="D249" t="s">
        <v>4540</v>
      </c>
      <c r="E249">
        <f>1</f>
        <v>1</v>
      </c>
    </row>
    <row r="250" spans="3:5" x14ac:dyDescent="0.25">
      <c r="C250">
        <v>248</v>
      </c>
      <c r="D250" t="s">
        <v>3382</v>
      </c>
      <c r="E250">
        <f>1</f>
        <v>1</v>
      </c>
    </row>
    <row r="251" spans="3:5" x14ac:dyDescent="0.25">
      <c r="C251">
        <v>249</v>
      </c>
      <c r="D251" t="s">
        <v>4290</v>
      </c>
      <c r="E251">
        <f>1</f>
        <v>1</v>
      </c>
    </row>
    <row r="252" spans="3:5" x14ac:dyDescent="0.25">
      <c r="C252">
        <v>250</v>
      </c>
      <c r="D252" t="s">
        <v>3384</v>
      </c>
      <c r="E252">
        <f>1</f>
        <v>1</v>
      </c>
    </row>
    <row r="253" spans="3:5" x14ac:dyDescent="0.25">
      <c r="C253">
        <v>251</v>
      </c>
      <c r="D253" t="s">
        <v>3386</v>
      </c>
      <c r="E253">
        <f>1</f>
        <v>1</v>
      </c>
    </row>
    <row r="254" spans="3:5" x14ac:dyDescent="0.25">
      <c r="C254">
        <v>252</v>
      </c>
      <c r="D254" t="s">
        <v>3387</v>
      </c>
      <c r="E254">
        <f>1</f>
        <v>1</v>
      </c>
    </row>
    <row r="255" spans="3:5" x14ac:dyDescent="0.25">
      <c r="C255">
        <v>253</v>
      </c>
      <c r="D255" t="s">
        <v>3196</v>
      </c>
      <c r="E255">
        <f>1</f>
        <v>1</v>
      </c>
    </row>
    <row r="256" spans="3:5" x14ac:dyDescent="0.25">
      <c r="C256">
        <v>254</v>
      </c>
      <c r="D256" t="s">
        <v>4206</v>
      </c>
      <c r="E256">
        <f>1</f>
        <v>1</v>
      </c>
    </row>
    <row r="257" spans="3:5" x14ac:dyDescent="0.25">
      <c r="C257">
        <v>255</v>
      </c>
      <c r="D257" t="s">
        <v>4368</v>
      </c>
      <c r="E257">
        <f>1</f>
        <v>1</v>
      </c>
    </row>
    <row r="258" spans="3:5" x14ac:dyDescent="0.25">
      <c r="C258">
        <v>256</v>
      </c>
      <c r="D258" t="s">
        <v>3388</v>
      </c>
      <c r="E258">
        <f>1</f>
        <v>1</v>
      </c>
    </row>
    <row r="259" spans="3:5" x14ac:dyDescent="0.25">
      <c r="C259">
        <v>257</v>
      </c>
      <c r="D259" t="s">
        <v>3389</v>
      </c>
      <c r="E259">
        <f>1</f>
        <v>1</v>
      </c>
    </row>
    <row r="260" spans="3:5" x14ac:dyDescent="0.25">
      <c r="C260">
        <v>258</v>
      </c>
      <c r="D260" t="s">
        <v>4473</v>
      </c>
      <c r="E260">
        <f>1</f>
        <v>1</v>
      </c>
    </row>
    <row r="261" spans="3:5" x14ac:dyDescent="0.25">
      <c r="C261">
        <v>259</v>
      </c>
      <c r="D261" t="s">
        <v>4372</v>
      </c>
      <c r="E261">
        <f>1</f>
        <v>1</v>
      </c>
    </row>
    <row r="262" spans="3:5" x14ac:dyDescent="0.25">
      <c r="C262">
        <v>260</v>
      </c>
      <c r="D262" t="s">
        <v>3392</v>
      </c>
      <c r="E262">
        <f>1</f>
        <v>1</v>
      </c>
    </row>
    <row r="263" spans="3:5" x14ac:dyDescent="0.25">
      <c r="C263">
        <v>261</v>
      </c>
      <c r="D263" t="s">
        <v>3394</v>
      </c>
      <c r="E263">
        <f>1</f>
        <v>1</v>
      </c>
    </row>
    <row r="264" spans="3:5" x14ac:dyDescent="0.25">
      <c r="C264">
        <v>262</v>
      </c>
      <c r="D264" t="s">
        <v>3395</v>
      </c>
      <c r="E264">
        <f>1</f>
        <v>1</v>
      </c>
    </row>
    <row r="265" spans="3:5" x14ac:dyDescent="0.25">
      <c r="C265">
        <v>263</v>
      </c>
      <c r="D265" t="s">
        <v>3396</v>
      </c>
      <c r="E265">
        <f>1</f>
        <v>1</v>
      </c>
    </row>
    <row r="266" spans="3:5" x14ac:dyDescent="0.25">
      <c r="C266">
        <v>264</v>
      </c>
      <c r="D266" t="s">
        <v>3397</v>
      </c>
      <c r="E266">
        <f>1</f>
        <v>1</v>
      </c>
    </row>
    <row r="267" spans="3:5" x14ac:dyDescent="0.25">
      <c r="C267">
        <v>265</v>
      </c>
      <c r="D267" t="s">
        <v>3398</v>
      </c>
      <c r="E267">
        <f>1</f>
        <v>1</v>
      </c>
    </row>
    <row r="268" spans="3:5" x14ac:dyDescent="0.25">
      <c r="C268">
        <v>266</v>
      </c>
      <c r="D268" t="s">
        <v>3399</v>
      </c>
      <c r="E268">
        <f>1</f>
        <v>1</v>
      </c>
    </row>
    <row r="269" spans="3:5" x14ac:dyDescent="0.25">
      <c r="C269">
        <v>267</v>
      </c>
      <c r="D269" t="s">
        <v>4541</v>
      </c>
      <c r="E269">
        <f>1</f>
        <v>1</v>
      </c>
    </row>
    <row r="270" spans="3:5" x14ac:dyDescent="0.25">
      <c r="C270">
        <v>268</v>
      </c>
      <c r="D270" t="s">
        <v>3400</v>
      </c>
      <c r="E270">
        <f>1</f>
        <v>1</v>
      </c>
    </row>
    <row r="271" spans="3:5" x14ac:dyDescent="0.25">
      <c r="C271">
        <v>269</v>
      </c>
      <c r="D271" t="s">
        <v>2620</v>
      </c>
      <c r="E271">
        <f>1</f>
        <v>1</v>
      </c>
    </row>
    <row r="272" spans="3:5" x14ac:dyDescent="0.25">
      <c r="C272">
        <v>270</v>
      </c>
      <c r="D272" t="s">
        <v>3401</v>
      </c>
      <c r="E272">
        <f>1</f>
        <v>1</v>
      </c>
    </row>
    <row r="273" spans="3:5" x14ac:dyDescent="0.25">
      <c r="C273">
        <v>271</v>
      </c>
      <c r="D273" t="s">
        <v>3402</v>
      </c>
      <c r="E273">
        <f>1</f>
        <v>1</v>
      </c>
    </row>
    <row r="274" spans="3:5" x14ac:dyDescent="0.25">
      <c r="C274">
        <v>272</v>
      </c>
      <c r="D274" t="s">
        <v>3403</v>
      </c>
      <c r="E274">
        <f>1</f>
        <v>1</v>
      </c>
    </row>
    <row r="275" spans="3:5" x14ac:dyDescent="0.25">
      <c r="C275">
        <v>273</v>
      </c>
      <c r="D275" t="s">
        <v>3404</v>
      </c>
      <c r="E275">
        <f>1</f>
        <v>1</v>
      </c>
    </row>
    <row r="276" spans="3:5" x14ac:dyDescent="0.25">
      <c r="C276">
        <v>274</v>
      </c>
      <c r="D276" t="s">
        <v>3405</v>
      </c>
      <c r="E276">
        <f>1</f>
        <v>1</v>
      </c>
    </row>
    <row r="277" spans="3:5" x14ac:dyDescent="0.25">
      <c r="C277">
        <v>275</v>
      </c>
      <c r="D277" t="s">
        <v>3406</v>
      </c>
      <c r="E277">
        <f>1</f>
        <v>1</v>
      </c>
    </row>
    <row r="278" spans="3:5" x14ac:dyDescent="0.25">
      <c r="C278">
        <v>276</v>
      </c>
      <c r="D278" t="s">
        <v>3407</v>
      </c>
      <c r="E278">
        <f>1</f>
        <v>1</v>
      </c>
    </row>
    <row r="279" spans="3:5" x14ac:dyDescent="0.25">
      <c r="C279">
        <v>277</v>
      </c>
      <c r="D279" t="s">
        <v>19883</v>
      </c>
      <c r="E279">
        <f>1</f>
        <v>1</v>
      </c>
    </row>
    <row r="280" spans="3:5" x14ac:dyDescent="0.25">
      <c r="C280">
        <v>278</v>
      </c>
      <c r="D280" t="s">
        <v>3409</v>
      </c>
      <c r="E280">
        <f>1</f>
        <v>1</v>
      </c>
    </row>
    <row r="281" spans="3:5" x14ac:dyDescent="0.25">
      <c r="C281">
        <v>279</v>
      </c>
      <c r="D281" t="s">
        <v>2616</v>
      </c>
      <c r="E281">
        <f>1</f>
        <v>1</v>
      </c>
    </row>
    <row r="282" spans="3:5" x14ac:dyDescent="0.25">
      <c r="C282">
        <v>280</v>
      </c>
      <c r="D282" t="s">
        <v>3410</v>
      </c>
      <c r="E282">
        <f>1</f>
        <v>1</v>
      </c>
    </row>
    <row r="283" spans="3:5" x14ac:dyDescent="0.25">
      <c r="C283">
        <v>281</v>
      </c>
      <c r="D283" t="s">
        <v>4292</v>
      </c>
      <c r="E283">
        <f>1</f>
        <v>1</v>
      </c>
    </row>
    <row r="284" spans="3:5" x14ac:dyDescent="0.25">
      <c r="C284">
        <v>282</v>
      </c>
      <c r="D284" t="s">
        <v>3411</v>
      </c>
      <c r="E284">
        <f>1</f>
        <v>1</v>
      </c>
    </row>
    <row r="285" spans="3:5" x14ac:dyDescent="0.25">
      <c r="C285">
        <v>283</v>
      </c>
      <c r="D285" t="s">
        <v>3412</v>
      </c>
      <c r="E285">
        <f>1</f>
        <v>1</v>
      </c>
    </row>
    <row r="286" spans="3:5" x14ac:dyDescent="0.25">
      <c r="C286">
        <v>284</v>
      </c>
      <c r="D286" t="s">
        <v>3413</v>
      </c>
      <c r="E286">
        <f>1</f>
        <v>1</v>
      </c>
    </row>
    <row r="287" spans="3:5" x14ac:dyDescent="0.25">
      <c r="C287">
        <v>285</v>
      </c>
      <c r="D287" t="s">
        <v>3414</v>
      </c>
      <c r="E287">
        <f>1</f>
        <v>1</v>
      </c>
    </row>
    <row r="288" spans="3:5" x14ac:dyDescent="0.25">
      <c r="C288">
        <v>286</v>
      </c>
      <c r="D288" t="s">
        <v>3415</v>
      </c>
      <c r="E288">
        <f>1</f>
        <v>1</v>
      </c>
    </row>
    <row r="289" spans="3:5" x14ac:dyDescent="0.25">
      <c r="C289">
        <v>287</v>
      </c>
      <c r="D289" t="s">
        <v>3416</v>
      </c>
      <c r="E289">
        <f>1</f>
        <v>1</v>
      </c>
    </row>
    <row r="290" spans="3:5" x14ac:dyDescent="0.25">
      <c r="C290">
        <v>288</v>
      </c>
      <c r="D290" t="s">
        <v>3417</v>
      </c>
      <c r="E290">
        <f>1</f>
        <v>1</v>
      </c>
    </row>
    <row r="291" spans="3:5" x14ac:dyDescent="0.25">
      <c r="C291">
        <v>289</v>
      </c>
      <c r="D291" t="s">
        <v>3418</v>
      </c>
      <c r="E291">
        <f>1</f>
        <v>1</v>
      </c>
    </row>
    <row r="292" spans="3:5" x14ac:dyDescent="0.25">
      <c r="C292">
        <v>290</v>
      </c>
      <c r="D292" t="s">
        <v>2643</v>
      </c>
      <c r="E292">
        <f>1</f>
        <v>1</v>
      </c>
    </row>
    <row r="293" spans="3:5" x14ac:dyDescent="0.25">
      <c r="C293">
        <v>291</v>
      </c>
      <c r="D293" t="s">
        <v>3420</v>
      </c>
      <c r="E293">
        <f>1</f>
        <v>1</v>
      </c>
    </row>
    <row r="294" spans="3:5" x14ac:dyDescent="0.25">
      <c r="C294">
        <v>292</v>
      </c>
      <c r="D294" t="s">
        <v>3421</v>
      </c>
      <c r="E294">
        <f>1</f>
        <v>1</v>
      </c>
    </row>
    <row r="295" spans="3:5" x14ac:dyDescent="0.25">
      <c r="C295">
        <v>293</v>
      </c>
      <c r="D295" t="s">
        <v>19884</v>
      </c>
      <c r="E295">
        <f>1</f>
        <v>1</v>
      </c>
    </row>
    <row r="296" spans="3:5" x14ac:dyDescent="0.25">
      <c r="C296">
        <v>294</v>
      </c>
      <c r="D296" t="s">
        <v>3422</v>
      </c>
      <c r="E296">
        <f>1</f>
        <v>1</v>
      </c>
    </row>
    <row r="297" spans="3:5" x14ac:dyDescent="0.25">
      <c r="C297">
        <v>295</v>
      </c>
      <c r="D297" t="s">
        <v>3423</v>
      </c>
      <c r="E297">
        <f>1</f>
        <v>1</v>
      </c>
    </row>
    <row r="298" spans="3:5" x14ac:dyDescent="0.25">
      <c r="C298">
        <v>296</v>
      </c>
      <c r="D298" t="s">
        <v>4542</v>
      </c>
      <c r="E298">
        <f>1</f>
        <v>1</v>
      </c>
    </row>
    <row r="299" spans="3:5" x14ac:dyDescent="0.25">
      <c r="C299">
        <v>297</v>
      </c>
      <c r="D299" t="s">
        <v>3424</v>
      </c>
      <c r="E299">
        <f>1</f>
        <v>1</v>
      </c>
    </row>
    <row r="300" spans="3:5" x14ac:dyDescent="0.25">
      <c r="C300">
        <v>298</v>
      </c>
      <c r="D300" t="s">
        <v>3425</v>
      </c>
      <c r="E300">
        <f>1</f>
        <v>1</v>
      </c>
    </row>
    <row r="301" spans="3:5" x14ac:dyDescent="0.25">
      <c r="C301">
        <v>299</v>
      </c>
      <c r="D301" t="s">
        <v>4543</v>
      </c>
      <c r="E301">
        <f>1</f>
        <v>1</v>
      </c>
    </row>
    <row r="302" spans="3:5" x14ac:dyDescent="0.25">
      <c r="C302">
        <v>300</v>
      </c>
      <c r="D302" t="s">
        <v>3426</v>
      </c>
      <c r="E302">
        <f>1</f>
        <v>1</v>
      </c>
    </row>
    <row r="303" spans="3:5" x14ac:dyDescent="0.25">
      <c r="C303">
        <v>301</v>
      </c>
      <c r="D303" t="s">
        <v>3427</v>
      </c>
      <c r="E303">
        <f>1</f>
        <v>1</v>
      </c>
    </row>
    <row r="304" spans="3:5" x14ac:dyDescent="0.25">
      <c r="C304">
        <v>302</v>
      </c>
      <c r="D304" t="s">
        <v>3428</v>
      </c>
      <c r="E304">
        <f>1</f>
        <v>1</v>
      </c>
    </row>
    <row r="305" spans="3:5" x14ac:dyDescent="0.25">
      <c r="C305">
        <v>303</v>
      </c>
      <c r="D305" t="s">
        <v>3429</v>
      </c>
      <c r="E305">
        <f>1</f>
        <v>1</v>
      </c>
    </row>
    <row r="306" spans="3:5" x14ac:dyDescent="0.25">
      <c r="C306">
        <v>304</v>
      </c>
      <c r="D306" t="s">
        <v>2628</v>
      </c>
      <c r="E306">
        <f>1</f>
        <v>1</v>
      </c>
    </row>
    <row r="307" spans="3:5" x14ac:dyDescent="0.25">
      <c r="C307">
        <v>305</v>
      </c>
      <c r="D307" t="s">
        <v>3430</v>
      </c>
      <c r="E307">
        <f>1</f>
        <v>1</v>
      </c>
    </row>
    <row r="308" spans="3:5" x14ac:dyDescent="0.25">
      <c r="C308">
        <v>306</v>
      </c>
      <c r="D308" t="s">
        <v>3431</v>
      </c>
      <c r="E308">
        <f>1</f>
        <v>1</v>
      </c>
    </row>
    <row r="309" spans="3:5" x14ac:dyDescent="0.25">
      <c r="C309">
        <v>307</v>
      </c>
      <c r="D309" t="s">
        <v>3432</v>
      </c>
      <c r="E309">
        <f>1</f>
        <v>1</v>
      </c>
    </row>
    <row r="310" spans="3:5" x14ac:dyDescent="0.25">
      <c r="C310">
        <v>308</v>
      </c>
      <c r="D310" t="s">
        <v>2658</v>
      </c>
      <c r="E310">
        <f>1</f>
        <v>1</v>
      </c>
    </row>
    <row r="311" spans="3:5" x14ac:dyDescent="0.25">
      <c r="C311">
        <v>309</v>
      </c>
      <c r="D311" t="s">
        <v>3433</v>
      </c>
      <c r="E311">
        <f>1</f>
        <v>1</v>
      </c>
    </row>
    <row r="312" spans="3:5" x14ac:dyDescent="0.25">
      <c r="C312">
        <v>310</v>
      </c>
      <c r="D312" t="s">
        <v>3434</v>
      </c>
      <c r="E312">
        <f>1</f>
        <v>1</v>
      </c>
    </row>
    <row r="313" spans="3:5" x14ac:dyDescent="0.25">
      <c r="C313">
        <v>311</v>
      </c>
      <c r="D313" t="s">
        <v>3435</v>
      </c>
      <c r="E313">
        <f>1</f>
        <v>1</v>
      </c>
    </row>
    <row r="314" spans="3:5" x14ac:dyDescent="0.25">
      <c r="C314">
        <v>312</v>
      </c>
      <c r="D314" t="s">
        <v>3436</v>
      </c>
      <c r="E314">
        <f>1</f>
        <v>1</v>
      </c>
    </row>
    <row r="315" spans="3:5" x14ac:dyDescent="0.25">
      <c r="C315">
        <v>313</v>
      </c>
      <c r="D315" t="s">
        <v>4544</v>
      </c>
      <c r="E315">
        <f>1</f>
        <v>1</v>
      </c>
    </row>
    <row r="316" spans="3:5" x14ac:dyDescent="0.25">
      <c r="C316">
        <v>314</v>
      </c>
      <c r="D316" t="s">
        <v>19885</v>
      </c>
      <c r="E316">
        <f>1</f>
        <v>1</v>
      </c>
    </row>
    <row r="317" spans="3:5" x14ac:dyDescent="0.25">
      <c r="C317">
        <v>315</v>
      </c>
      <c r="D317" t="s">
        <v>3437</v>
      </c>
      <c r="E317">
        <f>1</f>
        <v>1</v>
      </c>
    </row>
    <row r="318" spans="3:5" x14ac:dyDescent="0.25">
      <c r="C318">
        <v>316</v>
      </c>
      <c r="D318" t="s">
        <v>3438</v>
      </c>
      <c r="E318">
        <f>1</f>
        <v>1</v>
      </c>
    </row>
    <row r="319" spans="3:5" x14ac:dyDescent="0.25">
      <c r="C319">
        <v>317</v>
      </c>
      <c r="D319" t="s">
        <v>3439</v>
      </c>
      <c r="E319">
        <f>1</f>
        <v>1</v>
      </c>
    </row>
    <row r="320" spans="3:5" x14ac:dyDescent="0.25">
      <c r="C320">
        <v>318</v>
      </c>
      <c r="D320" t="s">
        <v>3440</v>
      </c>
      <c r="E320">
        <f>1</f>
        <v>1</v>
      </c>
    </row>
    <row r="321" spans="3:5" x14ac:dyDescent="0.25">
      <c r="C321">
        <v>319</v>
      </c>
      <c r="D321" t="s">
        <v>3441</v>
      </c>
      <c r="E321">
        <f>1</f>
        <v>1</v>
      </c>
    </row>
    <row r="322" spans="3:5" x14ac:dyDescent="0.25">
      <c r="C322">
        <v>320</v>
      </c>
      <c r="D322" t="s">
        <v>3442</v>
      </c>
      <c r="E322">
        <f>1</f>
        <v>1</v>
      </c>
    </row>
    <row r="323" spans="3:5" x14ac:dyDescent="0.25">
      <c r="C323">
        <v>321</v>
      </c>
      <c r="D323" t="s">
        <v>3443</v>
      </c>
      <c r="E323">
        <f>1</f>
        <v>1</v>
      </c>
    </row>
    <row r="324" spans="3:5" x14ac:dyDescent="0.25">
      <c r="C324">
        <v>322</v>
      </c>
      <c r="D324" t="s">
        <v>2667</v>
      </c>
      <c r="E324">
        <f>1</f>
        <v>1</v>
      </c>
    </row>
    <row r="325" spans="3:5" x14ac:dyDescent="0.25">
      <c r="C325">
        <v>323</v>
      </c>
      <c r="D325" t="s">
        <v>2644</v>
      </c>
      <c r="E325">
        <f>1</f>
        <v>1</v>
      </c>
    </row>
    <row r="326" spans="3:5" x14ac:dyDescent="0.25">
      <c r="C326">
        <v>324</v>
      </c>
      <c r="D326" t="s">
        <v>3444</v>
      </c>
      <c r="E326">
        <f>1</f>
        <v>1</v>
      </c>
    </row>
    <row r="327" spans="3:5" x14ac:dyDescent="0.25">
      <c r="C327">
        <v>325</v>
      </c>
      <c r="D327" t="s">
        <v>3445</v>
      </c>
      <c r="E327">
        <f>1</f>
        <v>1</v>
      </c>
    </row>
    <row r="328" spans="3:5" x14ac:dyDescent="0.25">
      <c r="C328">
        <v>326</v>
      </c>
      <c r="D328" t="s">
        <v>3446</v>
      </c>
      <c r="E328">
        <f>1</f>
        <v>1</v>
      </c>
    </row>
    <row r="329" spans="3:5" x14ac:dyDescent="0.25">
      <c r="C329">
        <v>327</v>
      </c>
      <c r="D329" t="s">
        <v>3448</v>
      </c>
      <c r="E329">
        <f>1</f>
        <v>1</v>
      </c>
    </row>
    <row r="330" spans="3:5" x14ac:dyDescent="0.25">
      <c r="C330">
        <v>328</v>
      </c>
      <c r="D330" t="s">
        <v>3449</v>
      </c>
      <c r="E330">
        <f>1</f>
        <v>1</v>
      </c>
    </row>
    <row r="331" spans="3:5" x14ac:dyDescent="0.25">
      <c r="C331">
        <v>329</v>
      </c>
      <c r="D331" t="s">
        <v>3450</v>
      </c>
      <c r="E331">
        <f>1</f>
        <v>1</v>
      </c>
    </row>
    <row r="332" spans="3:5" x14ac:dyDescent="0.25">
      <c r="C332">
        <v>330</v>
      </c>
      <c r="D332" t="s">
        <v>3451</v>
      </c>
      <c r="E332">
        <f>1</f>
        <v>1</v>
      </c>
    </row>
    <row r="333" spans="3:5" x14ac:dyDescent="0.25">
      <c r="C333">
        <v>331</v>
      </c>
      <c r="D333" t="s">
        <v>3453</v>
      </c>
      <c r="E333">
        <f>1</f>
        <v>1</v>
      </c>
    </row>
    <row r="334" spans="3:5" x14ac:dyDescent="0.25">
      <c r="C334">
        <v>332</v>
      </c>
      <c r="D334" t="s">
        <v>4294</v>
      </c>
      <c r="E334">
        <f>1</f>
        <v>1</v>
      </c>
    </row>
    <row r="335" spans="3:5" x14ac:dyDescent="0.25">
      <c r="C335">
        <v>333</v>
      </c>
      <c r="D335" t="s">
        <v>3454</v>
      </c>
      <c r="E335">
        <f>1</f>
        <v>1</v>
      </c>
    </row>
    <row r="336" spans="3:5" x14ac:dyDescent="0.25">
      <c r="C336">
        <v>334</v>
      </c>
      <c r="D336" t="s">
        <v>4295</v>
      </c>
      <c r="E336">
        <f>1</f>
        <v>1</v>
      </c>
    </row>
    <row r="337" spans="3:5" x14ac:dyDescent="0.25">
      <c r="C337">
        <v>335</v>
      </c>
      <c r="D337" t="s">
        <v>3455</v>
      </c>
      <c r="E337">
        <f>1</f>
        <v>1</v>
      </c>
    </row>
    <row r="338" spans="3:5" x14ac:dyDescent="0.25">
      <c r="C338">
        <v>336</v>
      </c>
      <c r="D338" t="s">
        <v>3456</v>
      </c>
      <c r="E338">
        <f>1</f>
        <v>1</v>
      </c>
    </row>
    <row r="339" spans="3:5" x14ac:dyDescent="0.25">
      <c r="C339">
        <v>337</v>
      </c>
      <c r="D339" t="s">
        <v>3457</v>
      </c>
      <c r="E339">
        <f>1</f>
        <v>1</v>
      </c>
    </row>
    <row r="340" spans="3:5" x14ac:dyDescent="0.25">
      <c r="C340">
        <v>338</v>
      </c>
      <c r="D340" t="s">
        <v>3458</v>
      </c>
      <c r="E340">
        <f>1</f>
        <v>1</v>
      </c>
    </row>
    <row r="341" spans="3:5" x14ac:dyDescent="0.25">
      <c r="C341">
        <v>339</v>
      </c>
      <c r="D341" t="s">
        <v>3459</v>
      </c>
      <c r="E341">
        <f>1</f>
        <v>1</v>
      </c>
    </row>
    <row r="342" spans="3:5" x14ac:dyDescent="0.25">
      <c r="C342">
        <v>340</v>
      </c>
      <c r="D342" t="s">
        <v>3460</v>
      </c>
      <c r="E342">
        <f>1</f>
        <v>1</v>
      </c>
    </row>
    <row r="343" spans="3:5" x14ac:dyDescent="0.25">
      <c r="C343">
        <v>341</v>
      </c>
      <c r="D343" t="s">
        <v>2618</v>
      </c>
      <c r="E343">
        <f>1</f>
        <v>1</v>
      </c>
    </row>
    <row r="344" spans="3:5" x14ac:dyDescent="0.25">
      <c r="C344">
        <v>342</v>
      </c>
      <c r="D344" t="s">
        <v>4296</v>
      </c>
      <c r="E344">
        <f>1</f>
        <v>1</v>
      </c>
    </row>
    <row r="345" spans="3:5" x14ac:dyDescent="0.25">
      <c r="C345">
        <v>343</v>
      </c>
      <c r="D345" t="s">
        <v>3461</v>
      </c>
      <c r="E345">
        <f>1</f>
        <v>1</v>
      </c>
    </row>
    <row r="346" spans="3:5" x14ac:dyDescent="0.25">
      <c r="C346">
        <v>344</v>
      </c>
      <c r="D346" t="s">
        <v>2645</v>
      </c>
      <c r="E346">
        <f>1</f>
        <v>1</v>
      </c>
    </row>
    <row r="347" spans="3:5" x14ac:dyDescent="0.25">
      <c r="C347">
        <v>345</v>
      </c>
      <c r="D347" t="s">
        <v>3462</v>
      </c>
      <c r="E347">
        <f>1</f>
        <v>1</v>
      </c>
    </row>
    <row r="348" spans="3:5" x14ac:dyDescent="0.25">
      <c r="C348">
        <v>346</v>
      </c>
      <c r="D348" t="s">
        <v>3463</v>
      </c>
      <c r="E348">
        <f>1</f>
        <v>1</v>
      </c>
    </row>
    <row r="349" spans="3:5" x14ac:dyDescent="0.25">
      <c r="C349">
        <v>347</v>
      </c>
      <c r="D349" t="s">
        <v>3464</v>
      </c>
      <c r="E349">
        <f>1</f>
        <v>1</v>
      </c>
    </row>
    <row r="350" spans="3:5" x14ac:dyDescent="0.25">
      <c r="C350">
        <v>348</v>
      </c>
      <c r="D350" t="s">
        <v>3465</v>
      </c>
      <c r="E350">
        <f>1</f>
        <v>1</v>
      </c>
    </row>
    <row r="351" spans="3:5" x14ac:dyDescent="0.25">
      <c r="C351">
        <v>349</v>
      </c>
      <c r="D351" t="s">
        <v>3466</v>
      </c>
      <c r="E351">
        <f>1</f>
        <v>1</v>
      </c>
    </row>
    <row r="352" spans="3:5" x14ac:dyDescent="0.25">
      <c r="C352">
        <v>350</v>
      </c>
      <c r="D352" t="s">
        <v>3467</v>
      </c>
      <c r="E352">
        <f>1</f>
        <v>1</v>
      </c>
    </row>
    <row r="353" spans="3:5" x14ac:dyDescent="0.25">
      <c r="C353">
        <v>351</v>
      </c>
      <c r="D353" t="s">
        <v>3468</v>
      </c>
      <c r="E353">
        <f>1</f>
        <v>1</v>
      </c>
    </row>
    <row r="354" spans="3:5" x14ac:dyDescent="0.25">
      <c r="C354">
        <v>352</v>
      </c>
      <c r="D354" t="s">
        <v>3469</v>
      </c>
      <c r="E354">
        <f>1</f>
        <v>1</v>
      </c>
    </row>
    <row r="355" spans="3:5" x14ac:dyDescent="0.25">
      <c r="C355">
        <v>353</v>
      </c>
      <c r="D355" t="s">
        <v>2705</v>
      </c>
      <c r="E355">
        <f>1</f>
        <v>1</v>
      </c>
    </row>
    <row r="356" spans="3:5" x14ac:dyDescent="0.25">
      <c r="C356">
        <v>354</v>
      </c>
      <c r="D356" t="s">
        <v>3471</v>
      </c>
      <c r="E356">
        <f>1</f>
        <v>1</v>
      </c>
    </row>
    <row r="357" spans="3:5" x14ac:dyDescent="0.25">
      <c r="C357">
        <v>355</v>
      </c>
      <c r="D357" t="s">
        <v>3472</v>
      </c>
      <c r="E357">
        <f>1</f>
        <v>1</v>
      </c>
    </row>
    <row r="358" spans="3:5" x14ac:dyDescent="0.25">
      <c r="C358">
        <v>356</v>
      </c>
      <c r="D358" t="s">
        <v>3473</v>
      </c>
      <c r="E358">
        <f>1</f>
        <v>1</v>
      </c>
    </row>
    <row r="359" spans="3:5" x14ac:dyDescent="0.25">
      <c r="C359">
        <v>357</v>
      </c>
      <c r="D359" t="s">
        <v>2642</v>
      </c>
      <c r="E359">
        <f>1</f>
        <v>1</v>
      </c>
    </row>
    <row r="360" spans="3:5" x14ac:dyDescent="0.25">
      <c r="C360">
        <v>358</v>
      </c>
      <c r="D360" t="s">
        <v>3474</v>
      </c>
      <c r="E360">
        <f>1</f>
        <v>1</v>
      </c>
    </row>
    <row r="361" spans="3:5" x14ac:dyDescent="0.25">
      <c r="C361">
        <v>359</v>
      </c>
      <c r="D361" t="s">
        <v>3475</v>
      </c>
      <c r="E361">
        <f>1</f>
        <v>1</v>
      </c>
    </row>
    <row r="362" spans="3:5" x14ac:dyDescent="0.25">
      <c r="C362">
        <v>360</v>
      </c>
      <c r="D362" t="s">
        <v>3476</v>
      </c>
      <c r="E362">
        <f>1</f>
        <v>1</v>
      </c>
    </row>
    <row r="363" spans="3:5" x14ac:dyDescent="0.25">
      <c r="C363">
        <v>361</v>
      </c>
      <c r="D363" t="s">
        <v>2668</v>
      </c>
      <c r="E363">
        <f>1</f>
        <v>1</v>
      </c>
    </row>
    <row r="364" spans="3:5" x14ac:dyDescent="0.25">
      <c r="C364">
        <v>362</v>
      </c>
      <c r="D364" t="s">
        <v>3478</v>
      </c>
      <c r="E364">
        <f>1</f>
        <v>1</v>
      </c>
    </row>
    <row r="365" spans="3:5" x14ac:dyDescent="0.25">
      <c r="C365">
        <v>363</v>
      </c>
      <c r="D365" t="s">
        <v>3479</v>
      </c>
      <c r="E365">
        <f>1</f>
        <v>1</v>
      </c>
    </row>
    <row r="366" spans="3:5" x14ac:dyDescent="0.25">
      <c r="C366">
        <v>364</v>
      </c>
      <c r="D366" t="s">
        <v>3480</v>
      </c>
      <c r="E366">
        <f>1</f>
        <v>1</v>
      </c>
    </row>
    <row r="367" spans="3:5" x14ac:dyDescent="0.25">
      <c r="C367">
        <v>365</v>
      </c>
      <c r="D367" t="s">
        <v>4545</v>
      </c>
      <c r="E367">
        <f>1</f>
        <v>1</v>
      </c>
    </row>
    <row r="368" spans="3:5" x14ac:dyDescent="0.25">
      <c r="C368">
        <v>366</v>
      </c>
      <c r="D368" t="s">
        <v>3481</v>
      </c>
      <c r="E368">
        <f>1</f>
        <v>1</v>
      </c>
    </row>
    <row r="369" spans="3:5" x14ac:dyDescent="0.25">
      <c r="C369">
        <v>367</v>
      </c>
      <c r="D369" t="s">
        <v>3482</v>
      </c>
      <c r="E369">
        <f>1</f>
        <v>1</v>
      </c>
    </row>
    <row r="370" spans="3:5" x14ac:dyDescent="0.25">
      <c r="C370">
        <v>368</v>
      </c>
      <c r="D370" t="s">
        <v>3483</v>
      </c>
      <c r="E370">
        <f>1</f>
        <v>1</v>
      </c>
    </row>
    <row r="371" spans="3:5" x14ac:dyDescent="0.25">
      <c r="C371">
        <v>369</v>
      </c>
      <c r="D371" t="s">
        <v>3485</v>
      </c>
      <c r="E371">
        <f>1</f>
        <v>1</v>
      </c>
    </row>
    <row r="372" spans="3:5" x14ac:dyDescent="0.25">
      <c r="C372">
        <v>370</v>
      </c>
      <c r="D372" t="s">
        <v>3486</v>
      </c>
      <c r="E372">
        <f>1</f>
        <v>1</v>
      </c>
    </row>
    <row r="373" spans="3:5" x14ac:dyDescent="0.25">
      <c r="C373">
        <v>371</v>
      </c>
      <c r="D373" t="s">
        <v>3487</v>
      </c>
      <c r="E373">
        <f>1</f>
        <v>1</v>
      </c>
    </row>
    <row r="374" spans="3:5" x14ac:dyDescent="0.25">
      <c r="C374">
        <v>372</v>
      </c>
      <c r="D374" t="s">
        <v>3488</v>
      </c>
      <c r="E374">
        <f>1</f>
        <v>1</v>
      </c>
    </row>
    <row r="375" spans="3:5" x14ac:dyDescent="0.25">
      <c r="C375">
        <v>373</v>
      </c>
      <c r="D375" t="s">
        <v>4546</v>
      </c>
      <c r="E375">
        <f>1</f>
        <v>1</v>
      </c>
    </row>
    <row r="376" spans="3:5" x14ac:dyDescent="0.25">
      <c r="C376">
        <v>374</v>
      </c>
      <c r="D376" t="s">
        <v>4298</v>
      </c>
      <c r="E376">
        <f>1</f>
        <v>1</v>
      </c>
    </row>
    <row r="377" spans="3:5" x14ac:dyDescent="0.25">
      <c r="C377">
        <v>375</v>
      </c>
      <c r="D377" t="s">
        <v>3489</v>
      </c>
      <c r="E377">
        <f>1</f>
        <v>1</v>
      </c>
    </row>
    <row r="378" spans="3:5" x14ac:dyDescent="0.25">
      <c r="C378">
        <v>376</v>
      </c>
      <c r="D378" t="s">
        <v>3490</v>
      </c>
      <c r="E378">
        <f>1</f>
        <v>1</v>
      </c>
    </row>
    <row r="379" spans="3:5" x14ac:dyDescent="0.25">
      <c r="C379">
        <v>377</v>
      </c>
      <c r="D379" t="s">
        <v>3491</v>
      </c>
      <c r="E379">
        <f>1</f>
        <v>1</v>
      </c>
    </row>
    <row r="380" spans="3:5" x14ac:dyDescent="0.25">
      <c r="C380">
        <v>378</v>
      </c>
      <c r="D380" t="s">
        <v>2646</v>
      </c>
      <c r="E380">
        <f>1</f>
        <v>1</v>
      </c>
    </row>
    <row r="381" spans="3:5" x14ac:dyDescent="0.25">
      <c r="C381">
        <v>379</v>
      </c>
      <c r="D381" t="s">
        <v>3492</v>
      </c>
      <c r="E381">
        <f>1</f>
        <v>1</v>
      </c>
    </row>
    <row r="382" spans="3:5" x14ac:dyDescent="0.25">
      <c r="C382">
        <v>380</v>
      </c>
      <c r="D382" t="s">
        <v>3493</v>
      </c>
      <c r="E382">
        <f>1</f>
        <v>1</v>
      </c>
    </row>
    <row r="383" spans="3:5" x14ac:dyDescent="0.25">
      <c r="C383">
        <v>381</v>
      </c>
      <c r="D383" t="s">
        <v>3494</v>
      </c>
      <c r="E383">
        <f>1</f>
        <v>1</v>
      </c>
    </row>
    <row r="384" spans="3:5" x14ac:dyDescent="0.25">
      <c r="C384">
        <v>382</v>
      </c>
      <c r="D384" t="s">
        <v>4299</v>
      </c>
      <c r="E384">
        <f>1</f>
        <v>1</v>
      </c>
    </row>
    <row r="385" spans="3:5" x14ac:dyDescent="0.25">
      <c r="C385">
        <v>383</v>
      </c>
      <c r="D385" t="s">
        <v>3495</v>
      </c>
      <c r="E385">
        <f>1</f>
        <v>1</v>
      </c>
    </row>
    <row r="386" spans="3:5" x14ac:dyDescent="0.25">
      <c r="C386">
        <v>384</v>
      </c>
      <c r="D386" t="s">
        <v>2647</v>
      </c>
      <c r="E386">
        <f>1</f>
        <v>1</v>
      </c>
    </row>
    <row r="387" spans="3:5" x14ac:dyDescent="0.25">
      <c r="C387">
        <v>385</v>
      </c>
      <c r="D387" t="s">
        <v>4209</v>
      </c>
      <c r="E387">
        <f>1</f>
        <v>1</v>
      </c>
    </row>
    <row r="388" spans="3:5" x14ac:dyDescent="0.25">
      <c r="C388">
        <v>386</v>
      </c>
      <c r="D388" t="s">
        <v>3496</v>
      </c>
      <c r="E388">
        <f>1</f>
        <v>1</v>
      </c>
    </row>
    <row r="389" spans="3:5" x14ac:dyDescent="0.25">
      <c r="C389">
        <v>387</v>
      </c>
      <c r="D389" t="s">
        <v>3497</v>
      </c>
      <c r="E389">
        <f>1</f>
        <v>1</v>
      </c>
    </row>
    <row r="390" spans="3:5" x14ac:dyDescent="0.25">
      <c r="C390">
        <v>388</v>
      </c>
      <c r="D390" t="s">
        <v>3498</v>
      </c>
      <c r="E390">
        <f>1</f>
        <v>1</v>
      </c>
    </row>
    <row r="391" spans="3:5" x14ac:dyDescent="0.25">
      <c r="C391">
        <v>389</v>
      </c>
      <c r="D391" t="s">
        <v>3499</v>
      </c>
      <c r="E391">
        <f>1</f>
        <v>1</v>
      </c>
    </row>
    <row r="392" spans="3:5" x14ac:dyDescent="0.25">
      <c r="C392">
        <v>390</v>
      </c>
      <c r="D392" t="s">
        <v>3500</v>
      </c>
      <c r="E392">
        <f>1</f>
        <v>1</v>
      </c>
    </row>
    <row r="393" spans="3:5" x14ac:dyDescent="0.25">
      <c r="C393">
        <v>391</v>
      </c>
      <c r="D393" t="s">
        <v>3501</v>
      </c>
      <c r="E393">
        <f>1</f>
        <v>1</v>
      </c>
    </row>
    <row r="394" spans="3:5" x14ac:dyDescent="0.25">
      <c r="C394">
        <v>392</v>
      </c>
      <c r="D394" t="s">
        <v>3502</v>
      </c>
      <c r="E394">
        <f>1</f>
        <v>1</v>
      </c>
    </row>
    <row r="395" spans="3:5" x14ac:dyDescent="0.25">
      <c r="C395">
        <v>393</v>
      </c>
      <c r="D395" t="s">
        <v>3503</v>
      </c>
      <c r="E395">
        <f>1</f>
        <v>1</v>
      </c>
    </row>
    <row r="396" spans="3:5" x14ac:dyDescent="0.25">
      <c r="C396">
        <v>394</v>
      </c>
      <c r="D396" t="s">
        <v>3505</v>
      </c>
      <c r="E396">
        <f>1</f>
        <v>1</v>
      </c>
    </row>
    <row r="397" spans="3:5" x14ac:dyDescent="0.25">
      <c r="C397">
        <v>395</v>
      </c>
      <c r="D397" t="s">
        <v>3506</v>
      </c>
      <c r="E397">
        <f>1</f>
        <v>1</v>
      </c>
    </row>
    <row r="398" spans="3:5" x14ac:dyDescent="0.25">
      <c r="C398">
        <v>396</v>
      </c>
      <c r="D398" t="s">
        <v>3507</v>
      </c>
      <c r="E398">
        <f>1</f>
        <v>1</v>
      </c>
    </row>
    <row r="399" spans="3:5" x14ac:dyDescent="0.25">
      <c r="C399">
        <v>397</v>
      </c>
      <c r="D399" t="s">
        <v>3508</v>
      </c>
      <c r="E399">
        <f>1</f>
        <v>1</v>
      </c>
    </row>
    <row r="400" spans="3:5" x14ac:dyDescent="0.25">
      <c r="C400">
        <v>398</v>
      </c>
      <c r="D400" t="s">
        <v>3509</v>
      </c>
      <c r="E400">
        <f>1</f>
        <v>1</v>
      </c>
    </row>
    <row r="401" spans="3:5" x14ac:dyDescent="0.25">
      <c r="C401">
        <v>399</v>
      </c>
      <c r="D401" t="s">
        <v>3510</v>
      </c>
      <c r="E401">
        <f>1</f>
        <v>1</v>
      </c>
    </row>
    <row r="402" spans="3:5" x14ac:dyDescent="0.25">
      <c r="C402">
        <v>400</v>
      </c>
      <c r="D402" t="s">
        <v>3511</v>
      </c>
      <c r="E402">
        <f>1</f>
        <v>1</v>
      </c>
    </row>
    <row r="403" spans="3:5" x14ac:dyDescent="0.25">
      <c r="C403">
        <v>401</v>
      </c>
      <c r="D403" t="s">
        <v>2624</v>
      </c>
      <c r="E403">
        <f>1</f>
        <v>1</v>
      </c>
    </row>
    <row r="404" spans="3:5" x14ac:dyDescent="0.25">
      <c r="C404">
        <v>402</v>
      </c>
      <c r="D404" t="s">
        <v>3512</v>
      </c>
      <c r="E404">
        <f>1</f>
        <v>1</v>
      </c>
    </row>
    <row r="405" spans="3:5" x14ac:dyDescent="0.25">
      <c r="C405">
        <v>403</v>
      </c>
      <c r="D405" t="s">
        <v>3513</v>
      </c>
      <c r="E405">
        <f>1</f>
        <v>1</v>
      </c>
    </row>
    <row r="406" spans="3:5" x14ac:dyDescent="0.25">
      <c r="C406">
        <v>404</v>
      </c>
      <c r="D406" t="s">
        <v>3514</v>
      </c>
      <c r="E406">
        <f>1</f>
        <v>1</v>
      </c>
    </row>
    <row r="407" spans="3:5" x14ac:dyDescent="0.25">
      <c r="C407">
        <v>405</v>
      </c>
      <c r="D407" t="s">
        <v>3515</v>
      </c>
      <c r="E407">
        <f>1</f>
        <v>1</v>
      </c>
    </row>
    <row r="408" spans="3:5" x14ac:dyDescent="0.25">
      <c r="C408">
        <v>406</v>
      </c>
      <c r="D408" t="s">
        <v>3516</v>
      </c>
      <c r="E408">
        <f>1</f>
        <v>1</v>
      </c>
    </row>
    <row r="409" spans="3:5" x14ac:dyDescent="0.25">
      <c r="C409">
        <v>407</v>
      </c>
      <c r="D409" t="s">
        <v>3517</v>
      </c>
      <c r="E409">
        <f>1</f>
        <v>1</v>
      </c>
    </row>
    <row r="410" spans="3:5" x14ac:dyDescent="0.25">
      <c r="C410">
        <v>408</v>
      </c>
      <c r="D410" t="s">
        <v>3518</v>
      </c>
      <c r="E410">
        <f>1</f>
        <v>1</v>
      </c>
    </row>
    <row r="411" spans="3:5" x14ac:dyDescent="0.25">
      <c r="C411">
        <v>409</v>
      </c>
      <c r="D411" t="s">
        <v>3520</v>
      </c>
      <c r="E411">
        <f>1</f>
        <v>1</v>
      </c>
    </row>
    <row r="412" spans="3:5" x14ac:dyDescent="0.25">
      <c r="C412">
        <v>410</v>
      </c>
      <c r="D412" t="s">
        <v>3521</v>
      </c>
      <c r="E412">
        <f>1</f>
        <v>1</v>
      </c>
    </row>
    <row r="413" spans="3:5" x14ac:dyDescent="0.25">
      <c r="C413">
        <v>411</v>
      </c>
      <c r="D413" t="s">
        <v>3522</v>
      </c>
      <c r="E413">
        <f>1</f>
        <v>1</v>
      </c>
    </row>
    <row r="414" spans="3:5" x14ac:dyDescent="0.25">
      <c r="C414">
        <v>412</v>
      </c>
      <c r="D414" t="s">
        <v>3523</v>
      </c>
      <c r="E414">
        <f>1</f>
        <v>1</v>
      </c>
    </row>
    <row r="415" spans="3:5" x14ac:dyDescent="0.25">
      <c r="C415">
        <v>413</v>
      </c>
      <c r="D415" t="s">
        <v>2648</v>
      </c>
      <c r="E415">
        <f>1</f>
        <v>1</v>
      </c>
    </row>
    <row r="416" spans="3:5" x14ac:dyDescent="0.25">
      <c r="C416">
        <v>414</v>
      </c>
      <c r="D416" t="s">
        <v>3525</v>
      </c>
      <c r="E416">
        <f>1</f>
        <v>1</v>
      </c>
    </row>
    <row r="417" spans="3:5" x14ac:dyDescent="0.25">
      <c r="C417">
        <v>415</v>
      </c>
      <c r="D417" t="s">
        <v>4373</v>
      </c>
      <c r="E417">
        <f>1</f>
        <v>1</v>
      </c>
    </row>
    <row r="418" spans="3:5" x14ac:dyDescent="0.25">
      <c r="C418">
        <v>416</v>
      </c>
      <c r="D418" t="s">
        <v>4374</v>
      </c>
      <c r="E418">
        <f>1</f>
        <v>1</v>
      </c>
    </row>
    <row r="419" spans="3:5" x14ac:dyDescent="0.25">
      <c r="C419">
        <v>417</v>
      </c>
      <c r="D419" t="s">
        <v>4300</v>
      </c>
      <c r="E419">
        <f>1</f>
        <v>1</v>
      </c>
    </row>
    <row r="420" spans="3:5" x14ac:dyDescent="0.25">
      <c r="C420">
        <v>418</v>
      </c>
      <c r="D420" t="s">
        <v>4301</v>
      </c>
      <c r="E420">
        <f>1</f>
        <v>1</v>
      </c>
    </row>
    <row r="421" spans="3:5" x14ac:dyDescent="0.25">
      <c r="C421">
        <v>419</v>
      </c>
      <c r="D421" t="s">
        <v>3526</v>
      </c>
      <c r="E421">
        <f>1</f>
        <v>1</v>
      </c>
    </row>
    <row r="422" spans="3:5" x14ac:dyDescent="0.25">
      <c r="C422">
        <v>420</v>
      </c>
      <c r="D422" t="s">
        <v>4375</v>
      </c>
      <c r="E422">
        <f>1</f>
        <v>1</v>
      </c>
    </row>
    <row r="423" spans="3:5" x14ac:dyDescent="0.25">
      <c r="C423">
        <v>421</v>
      </c>
      <c r="D423" t="s">
        <v>3527</v>
      </c>
      <c r="E423">
        <f>1</f>
        <v>1</v>
      </c>
    </row>
    <row r="424" spans="3:5" x14ac:dyDescent="0.25">
      <c r="C424">
        <v>422</v>
      </c>
      <c r="D424" t="s">
        <v>3528</v>
      </c>
      <c r="E424">
        <f>1</f>
        <v>1</v>
      </c>
    </row>
    <row r="425" spans="3:5" x14ac:dyDescent="0.25">
      <c r="C425">
        <v>423</v>
      </c>
      <c r="D425" t="s">
        <v>3529</v>
      </c>
      <c r="E425">
        <f>1</f>
        <v>1</v>
      </c>
    </row>
    <row r="426" spans="3:5" x14ac:dyDescent="0.25">
      <c r="C426">
        <v>424</v>
      </c>
      <c r="D426" t="s">
        <v>4376</v>
      </c>
      <c r="E426">
        <f>1</f>
        <v>1</v>
      </c>
    </row>
    <row r="427" spans="3:5" x14ac:dyDescent="0.25">
      <c r="C427">
        <v>425</v>
      </c>
      <c r="D427" t="s">
        <v>3531</v>
      </c>
      <c r="E427">
        <f>1</f>
        <v>1</v>
      </c>
    </row>
    <row r="428" spans="3:5" x14ac:dyDescent="0.25">
      <c r="C428">
        <v>426</v>
      </c>
      <c r="D428" t="s">
        <v>4377</v>
      </c>
      <c r="E428">
        <f>1</f>
        <v>1</v>
      </c>
    </row>
    <row r="429" spans="3:5" x14ac:dyDescent="0.25">
      <c r="C429">
        <v>427</v>
      </c>
      <c r="D429" t="s">
        <v>4548</v>
      </c>
      <c r="E429">
        <f>1</f>
        <v>1</v>
      </c>
    </row>
    <row r="430" spans="3:5" x14ac:dyDescent="0.25">
      <c r="C430">
        <v>428</v>
      </c>
      <c r="D430" t="s">
        <v>3532</v>
      </c>
      <c r="E430">
        <f>1</f>
        <v>1</v>
      </c>
    </row>
    <row r="431" spans="3:5" x14ac:dyDescent="0.25">
      <c r="C431">
        <v>429</v>
      </c>
      <c r="D431" t="s">
        <v>4549</v>
      </c>
      <c r="E431">
        <f>1</f>
        <v>1</v>
      </c>
    </row>
    <row r="432" spans="3:5" x14ac:dyDescent="0.25">
      <c r="C432">
        <v>430</v>
      </c>
      <c r="D432" t="s">
        <v>4510</v>
      </c>
      <c r="E432">
        <f>1</f>
        <v>1</v>
      </c>
    </row>
    <row r="433" spans="3:5" x14ac:dyDescent="0.25">
      <c r="C433">
        <v>431</v>
      </c>
      <c r="D433" t="s">
        <v>4550</v>
      </c>
      <c r="E433">
        <f>1</f>
        <v>1</v>
      </c>
    </row>
    <row r="434" spans="3:5" x14ac:dyDescent="0.25">
      <c r="C434">
        <v>432</v>
      </c>
      <c r="D434" t="s">
        <v>3533</v>
      </c>
      <c r="E434">
        <f>1</f>
        <v>1</v>
      </c>
    </row>
    <row r="435" spans="3:5" x14ac:dyDescent="0.25">
      <c r="C435">
        <v>433</v>
      </c>
      <c r="D435" t="s">
        <v>3534</v>
      </c>
      <c r="E435">
        <f>1</f>
        <v>1</v>
      </c>
    </row>
    <row r="436" spans="3:5" x14ac:dyDescent="0.25">
      <c r="C436">
        <v>434</v>
      </c>
      <c r="D436" t="s">
        <v>3536</v>
      </c>
      <c r="E436">
        <f>1</f>
        <v>1</v>
      </c>
    </row>
    <row r="437" spans="3:5" x14ac:dyDescent="0.25">
      <c r="C437">
        <v>435</v>
      </c>
      <c r="D437" t="s">
        <v>4551</v>
      </c>
      <c r="E437">
        <f>1</f>
        <v>1</v>
      </c>
    </row>
    <row r="438" spans="3:5" x14ac:dyDescent="0.25">
      <c r="C438">
        <v>436</v>
      </c>
      <c r="D438" t="s">
        <v>3537</v>
      </c>
      <c r="E438">
        <f>1</f>
        <v>1</v>
      </c>
    </row>
    <row r="439" spans="3:5" x14ac:dyDescent="0.25">
      <c r="C439">
        <v>437</v>
      </c>
      <c r="D439" t="s">
        <v>3538</v>
      </c>
      <c r="E439">
        <f>1</f>
        <v>1</v>
      </c>
    </row>
    <row r="440" spans="3:5" x14ac:dyDescent="0.25">
      <c r="C440">
        <v>438</v>
      </c>
      <c r="D440" t="s">
        <v>3539</v>
      </c>
      <c r="E440">
        <f>1</f>
        <v>1</v>
      </c>
    </row>
    <row r="441" spans="3:5" x14ac:dyDescent="0.25">
      <c r="C441">
        <v>439</v>
      </c>
      <c r="D441" t="s">
        <v>3540</v>
      </c>
      <c r="E441">
        <f>1</f>
        <v>1</v>
      </c>
    </row>
    <row r="442" spans="3:5" x14ac:dyDescent="0.25">
      <c r="C442">
        <v>440</v>
      </c>
      <c r="D442" t="s">
        <v>3541</v>
      </c>
      <c r="E442">
        <f>1</f>
        <v>1</v>
      </c>
    </row>
    <row r="443" spans="3:5" x14ac:dyDescent="0.25">
      <c r="C443">
        <v>441</v>
      </c>
      <c r="D443" t="s">
        <v>4552</v>
      </c>
      <c r="E443">
        <f>1</f>
        <v>1</v>
      </c>
    </row>
    <row r="444" spans="3:5" x14ac:dyDescent="0.25">
      <c r="C444">
        <v>442</v>
      </c>
      <c r="D444" t="s">
        <v>3542</v>
      </c>
      <c r="E444">
        <f>1</f>
        <v>1</v>
      </c>
    </row>
    <row r="445" spans="3:5" x14ac:dyDescent="0.25">
      <c r="C445">
        <v>443</v>
      </c>
      <c r="D445" t="s">
        <v>4302</v>
      </c>
      <c r="E445">
        <f>1</f>
        <v>1</v>
      </c>
    </row>
    <row r="446" spans="3:5" x14ac:dyDescent="0.25">
      <c r="C446">
        <v>444</v>
      </c>
      <c r="D446" t="s">
        <v>2635</v>
      </c>
      <c r="E446">
        <f>1</f>
        <v>1</v>
      </c>
    </row>
    <row r="447" spans="3:5" x14ac:dyDescent="0.25">
      <c r="C447">
        <v>445</v>
      </c>
      <c r="D447" t="s">
        <v>3543</v>
      </c>
      <c r="E447">
        <f>1</f>
        <v>1</v>
      </c>
    </row>
    <row r="448" spans="3:5" x14ac:dyDescent="0.25">
      <c r="C448">
        <v>446</v>
      </c>
      <c r="D448" t="s">
        <v>2442</v>
      </c>
      <c r="E448">
        <f>1</f>
        <v>1</v>
      </c>
    </row>
    <row r="449" spans="3:5" x14ac:dyDescent="0.25">
      <c r="C449">
        <v>447</v>
      </c>
      <c r="D449" t="s">
        <v>4303</v>
      </c>
      <c r="E449">
        <f>1</f>
        <v>1</v>
      </c>
    </row>
    <row r="450" spans="3:5" x14ac:dyDescent="0.25">
      <c r="C450">
        <v>448</v>
      </c>
      <c r="D450" t="s">
        <v>4378</v>
      </c>
      <c r="E450">
        <f>1</f>
        <v>1</v>
      </c>
    </row>
    <row r="451" spans="3:5" x14ac:dyDescent="0.25">
      <c r="C451">
        <v>449</v>
      </c>
      <c r="D451" t="s">
        <v>3550</v>
      </c>
      <c r="E451">
        <f>1</f>
        <v>1</v>
      </c>
    </row>
    <row r="452" spans="3:5" x14ac:dyDescent="0.25">
      <c r="C452">
        <v>450</v>
      </c>
      <c r="D452" t="s">
        <v>4379</v>
      </c>
      <c r="E452">
        <f>1</f>
        <v>1</v>
      </c>
    </row>
    <row r="453" spans="3:5" x14ac:dyDescent="0.25">
      <c r="C453">
        <v>451</v>
      </c>
      <c r="D453" t="s">
        <v>3199</v>
      </c>
      <c r="E453">
        <f>1</f>
        <v>1</v>
      </c>
    </row>
    <row r="454" spans="3:5" x14ac:dyDescent="0.25">
      <c r="C454">
        <v>452</v>
      </c>
      <c r="D454" t="s">
        <v>3551</v>
      </c>
      <c r="E454">
        <f>1</f>
        <v>1</v>
      </c>
    </row>
    <row r="455" spans="3:5" x14ac:dyDescent="0.25">
      <c r="C455">
        <v>453</v>
      </c>
      <c r="D455" t="s">
        <v>2653</v>
      </c>
      <c r="E455">
        <f>1</f>
        <v>1</v>
      </c>
    </row>
    <row r="456" spans="3:5" x14ac:dyDescent="0.25">
      <c r="C456">
        <v>454</v>
      </c>
      <c r="D456" t="s">
        <v>3552</v>
      </c>
      <c r="E456">
        <f>1</f>
        <v>1</v>
      </c>
    </row>
    <row r="457" spans="3:5" x14ac:dyDescent="0.25">
      <c r="C457">
        <v>455</v>
      </c>
      <c r="D457" t="s">
        <v>4210</v>
      </c>
      <c r="E457">
        <f>1</f>
        <v>1</v>
      </c>
    </row>
    <row r="458" spans="3:5" x14ac:dyDescent="0.25">
      <c r="C458">
        <v>456</v>
      </c>
      <c r="D458" t="s">
        <v>4380</v>
      </c>
      <c r="E458">
        <f>1</f>
        <v>1</v>
      </c>
    </row>
    <row r="459" spans="3:5" x14ac:dyDescent="0.25">
      <c r="C459">
        <v>457</v>
      </c>
      <c r="D459" t="s">
        <v>3553</v>
      </c>
      <c r="E459">
        <f>1</f>
        <v>1</v>
      </c>
    </row>
    <row r="460" spans="3:5" x14ac:dyDescent="0.25">
      <c r="C460">
        <v>458</v>
      </c>
      <c r="D460" t="s">
        <v>3554</v>
      </c>
      <c r="E460">
        <f>1</f>
        <v>1</v>
      </c>
    </row>
    <row r="461" spans="3:5" x14ac:dyDescent="0.25">
      <c r="C461">
        <v>459</v>
      </c>
      <c r="D461" t="s">
        <v>2661</v>
      </c>
      <c r="E461">
        <f>1</f>
        <v>1</v>
      </c>
    </row>
    <row r="462" spans="3:5" x14ac:dyDescent="0.25">
      <c r="C462">
        <v>460</v>
      </c>
      <c r="D462" t="s">
        <v>3555</v>
      </c>
      <c r="E462">
        <f>1</f>
        <v>1</v>
      </c>
    </row>
    <row r="463" spans="3:5" x14ac:dyDescent="0.25">
      <c r="C463">
        <v>461</v>
      </c>
      <c r="D463" t="s">
        <v>3556</v>
      </c>
      <c r="E463">
        <f>1</f>
        <v>1</v>
      </c>
    </row>
    <row r="464" spans="3:5" x14ac:dyDescent="0.25">
      <c r="C464">
        <v>462</v>
      </c>
      <c r="D464" t="s">
        <v>3557</v>
      </c>
      <c r="E464">
        <f>1</f>
        <v>1</v>
      </c>
    </row>
    <row r="465" spans="3:5" x14ac:dyDescent="0.25">
      <c r="C465">
        <v>463</v>
      </c>
      <c r="D465" t="s">
        <v>3558</v>
      </c>
      <c r="E465">
        <f>1</f>
        <v>1</v>
      </c>
    </row>
    <row r="466" spans="3:5" x14ac:dyDescent="0.25">
      <c r="C466">
        <v>464</v>
      </c>
      <c r="D466" t="s">
        <v>3559</v>
      </c>
      <c r="E466">
        <f>1</f>
        <v>1</v>
      </c>
    </row>
    <row r="467" spans="3:5" x14ac:dyDescent="0.25">
      <c r="C467">
        <v>465</v>
      </c>
      <c r="D467" t="s">
        <v>3560</v>
      </c>
      <c r="E467">
        <f>1</f>
        <v>1</v>
      </c>
    </row>
    <row r="468" spans="3:5" x14ac:dyDescent="0.25">
      <c r="C468">
        <v>466</v>
      </c>
      <c r="D468" t="s">
        <v>3562</v>
      </c>
      <c r="E468">
        <f>1</f>
        <v>1</v>
      </c>
    </row>
    <row r="469" spans="3:5" x14ac:dyDescent="0.25">
      <c r="C469">
        <v>467</v>
      </c>
      <c r="D469" t="s">
        <v>3563</v>
      </c>
      <c r="E469">
        <f>1</f>
        <v>1</v>
      </c>
    </row>
    <row r="470" spans="3:5" x14ac:dyDescent="0.25">
      <c r="C470">
        <v>468</v>
      </c>
      <c r="D470" t="s">
        <v>3564</v>
      </c>
      <c r="E470">
        <f>1</f>
        <v>1</v>
      </c>
    </row>
    <row r="471" spans="3:5" x14ac:dyDescent="0.25">
      <c r="C471">
        <v>469</v>
      </c>
      <c r="D471" t="s">
        <v>19825</v>
      </c>
      <c r="E471">
        <f>1</f>
        <v>1</v>
      </c>
    </row>
    <row r="472" spans="3:5" x14ac:dyDescent="0.25">
      <c r="C472">
        <v>470</v>
      </c>
      <c r="D472" t="s">
        <v>3565</v>
      </c>
      <c r="E472">
        <f>1</f>
        <v>1</v>
      </c>
    </row>
    <row r="473" spans="3:5" x14ac:dyDescent="0.25">
      <c r="C473">
        <v>471</v>
      </c>
      <c r="D473" t="s">
        <v>3566</v>
      </c>
      <c r="E473">
        <f>1</f>
        <v>1</v>
      </c>
    </row>
    <row r="474" spans="3:5" x14ac:dyDescent="0.25">
      <c r="C474">
        <v>472</v>
      </c>
      <c r="D474" t="s">
        <v>3567</v>
      </c>
      <c r="E474">
        <f>1</f>
        <v>1</v>
      </c>
    </row>
    <row r="475" spans="3:5" x14ac:dyDescent="0.25">
      <c r="C475">
        <v>473</v>
      </c>
      <c r="D475" t="s">
        <v>2654</v>
      </c>
      <c r="E475">
        <f>1</f>
        <v>1</v>
      </c>
    </row>
    <row r="476" spans="3:5" x14ac:dyDescent="0.25">
      <c r="C476">
        <v>474</v>
      </c>
      <c r="D476" t="s">
        <v>3568</v>
      </c>
      <c r="E476">
        <f>1</f>
        <v>1</v>
      </c>
    </row>
    <row r="477" spans="3:5" x14ac:dyDescent="0.25">
      <c r="C477">
        <v>475</v>
      </c>
      <c r="D477" t="s">
        <v>4553</v>
      </c>
      <c r="E477">
        <f>1</f>
        <v>1</v>
      </c>
    </row>
    <row r="478" spans="3:5" x14ac:dyDescent="0.25">
      <c r="C478">
        <v>476</v>
      </c>
      <c r="D478" t="s">
        <v>3569</v>
      </c>
      <c r="E478">
        <f>1</f>
        <v>1</v>
      </c>
    </row>
    <row r="479" spans="3:5" x14ac:dyDescent="0.25">
      <c r="C479">
        <v>477</v>
      </c>
      <c r="D479" t="s">
        <v>3570</v>
      </c>
      <c r="E479">
        <f>1</f>
        <v>1</v>
      </c>
    </row>
    <row r="480" spans="3:5" x14ac:dyDescent="0.25">
      <c r="C480">
        <v>478</v>
      </c>
      <c r="D480" t="s">
        <v>2789</v>
      </c>
      <c r="E480">
        <f>1</f>
        <v>1</v>
      </c>
    </row>
    <row r="481" spans="3:5" x14ac:dyDescent="0.25">
      <c r="C481">
        <v>479</v>
      </c>
      <c r="D481" t="s">
        <v>2663</v>
      </c>
      <c r="E481">
        <f>1</f>
        <v>1</v>
      </c>
    </row>
    <row r="482" spans="3:5" x14ac:dyDescent="0.25">
      <c r="C482">
        <v>480</v>
      </c>
      <c r="D482" t="s">
        <v>3571</v>
      </c>
      <c r="E482">
        <f>1</f>
        <v>1</v>
      </c>
    </row>
    <row r="483" spans="3:5" x14ac:dyDescent="0.25">
      <c r="C483">
        <v>481</v>
      </c>
      <c r="D483" t="s">
        <v>3572</v>
      </c>
      <c r="E483">
        <f>1</f>
        <v>1</v>
      </c>
    </row>
    <row r="484" spans="3:5" x14ac:dyDescent="0.25">
      <c r="C484">
        <v>482</v>
      </c>
      <c r="D484" t="s">
        <v>2446</v>
      </c>
      <c r="E484">
        <f>1</f>
        <v>1</v>
      </c>
    </row>
    <row r="485" spans="3:5" x14ac:dyDescent="0.25">
      <c r="C485">
        <v>483</v>
      </c>
      <c r="D485" t="s">
        <v>3574</v>
      </c>
      <c r="E485">
        <f>1</f>
        <v>1</v>
      </c>
    </row>
    <row r="486" spans="3:5" x14ac:dyDescent="0.25">
      <c r="C486">
        <v>484</v>
      </c>
      <c r="D486" t="s">
        <v>3575</v>
      </c>
      <c r="E486">
        <f>1</f>
        <v>1</v>
      </c>
    </row>
    <row r="487" spans="3:5" x14ac:dyDescent="0.25">
      <c r="C487">
        <v>485</v>
      </c>
      <c r="D487" t="s">
        <v>19550</v>
      </c>
      <c r="E487">
        <f>1</f>
        <v>1</v>
      </c>
    </row>
    <row r="488" spans="3:5" x14ac:dyDescent="0.25">
      <c r="C488">
        <v>486</v>
      </c>
      <c r="D488" t="s">
        <v>4382</v>
      </c>
      <c r="E488">
        <f>1</f>
        <v>1</v>
      </c>
    </row>
    <row r="489" spans="3:5" x14ac:dyDescent="0.25">
      <c r="C489">
        <v>487</v>
      </c>
      <c r="D489" t="s">
        <v>3576</v>
      </c>
      <c r="E489">
        <f>1</f>
        <v>1</v>
      </c>
    </row>
    <row r="490" spans="3:5" x14ac:dyDescent="0.25">
      <c r="C490">
        <v>488</v>
      </c>
      <c r="D490" t="s">
        <v>3577</v>
      </c>
      <c r="E490">
        <f>1</f>
        <v>1</v>
      </c>
    </row>
    <row r="491" spans="3:5" x14ac:dyDescent="0.25">
      <c r="C491">
        <v>489</v>
      </c>
      <c r="D491" t="s">
        <v>4555</v>
      </c>
      <c r="E491">
        <f>1</f>
        <v>1</v>
      </c>
    </row>
    <row r="492" spans="3:5" x14ac:dyDescent="0.25">
      <c r="C492">
        <v>490</v>
      </c>
      <c r="D492" t="s">
        <v>3578</v>
      </c>
      <c r="E492">
        <f>1</f>
        <v>1</v>
      </c>
    </row>
    <row r="493" spans="3:5" x14ac:dyDescent="0.25">
      <c r="C493">
        <v>491</v>
      </c>
      <c r="D493" t="s">
        <v>3579</v>
      </c>
      <c r="E493">
        <f>1</f>
        <v>1</v>
      </c>
    </row>
    <row r="494" spans="3:5" x14ac:dyDescent="0.25">
      <c r="C494">
        <v>492</v>
      </c>
      <c r="D494" t="s">
        <v>3580</v>
      </c>
      <c r="E494">
        <f>1</f>
        <v>1</v>
      </c>
    </row>
    <row r="495" spans="3:5" x14ac:dyDescent="0.25">
      <c r="C495">
        <v>493</v>
      </c>
      <c r="D495" t="s">
        <v>3581</v>
      </c>
      <c r="E495">
        <f>1</f>
        <v>1</v>
      </c>
    </row>
    <row r="496" spans="3:5" x14ac:dyDescent="0.25">
      <c r="C496">
        <v>494</v>
      </c>
      <c r="D496" t="s">
        <v>4556</v>
      </c>
      <c r="E496">
        <f>1</f>
        <v>1</v>
      </c>
    </row>
    <row r="497" spans="3:5" x14ac:dyDescent="0.25">
      <c r="C497">
        <v>495</v>
      </c>
      <c r="D497" t="s">
        <v>3582</v>
      </c>
      <c r="E497">
        <f>1</f>
        <v>1</v>
      </c>
    </row>
    <row r="498" spans="3:5" x14ac:dyDescent="0.25">
      <c r="C498">
        <v>496</v>
      </c>
      <c r="D498" t="s">
        <v>3583</v>
      </c>
      <c r="E498">
        <f>1</f>
        <v>1</v>
      </c>
    </row>
    <row r="499" spans="3:5" x14ac:dyDescent="0.25">
      <c r="C499">
        <v>497</v>
      </c>
      <c r="D499" t="s">
        <v>3584</v>
      </c>
      <c r="E499">
        <f>1</f>
        <v>1</v>
      </c>
    </row>
    <row r="500" spans="3:5" x14ac:dyDescent="0.25">
      <c r="C500">
        <v>498</v>
      </c>
      <c r="D500" t="s">
        <v>3585</v>
      </c>
      <c r="E500">
        <f>1</f>
        <v>1</v>
      </c>
    </row>
    <row r="501" spans="3:5" x14ac:dyDescent="0.25">
      <c r="C501">
        <v>499</v>
      </c>
      <c r="D501" t="s">
        <v>3586</v>
      </c>
      <c r="E501">
        <f>1</f>
        <v>1</v>
      </c>
    </row>
    <row r="502" spans="3:5" x14ac:dyDescent="0.25">
      <c r="C502">
        <v>500</v>
      </c>
      <c r="D502" t="s">
        <v>3587</v>
      </c>
      <c r="E502">
        <f>1</f>
        <v>1</v>
      </c>
    </row>
    <row r="503" spans="3:5" x14ac:dyDescent="0.25">
      <c r="C503">
        <v>501</v>
      </c>
      <c r="D503" t="s">
        <v>3590</v>
      </c>
      <c r="E503">
        <f>1</f>
        <v>1</v>
      </c>
    </row>
    <row r="504" spans="3:5" x14ac:dyDescent="0.25">
      <c r="C504">
        <v>502</v>
      </c>
      <c r="D504" t="s">
        <v>3591</v>
      </c>
      <c r="E504">
        <f>1</f>
        <v>1</v>
      </c>
    </row>
    <row r="505" spans="3:5" x14ac:dyDescent="0.25">
      <c r="C505">
        <v>503</v>
      </c>
      <c r="D505" t="s">
        <v>4383</v>
      </c>
      <c r="E505">
        <f>1</f>
        <v>1</v>
      </c>
    </row>
    <row r="506" spans="3:5" x14ac:dyDescent="0.25">
      <c r="C506">
        <v>504</v>
      </c>
      <c r="D506" t="s">
        <v>3592</v>
      </c>
      <c r="E506">
        <f>1</f>
        <v>1</v>
      </c>
    </row>
    <row r="507" spans="3:5" x14ac:dyDescent="0.25">
      <c r="C507">
        <v>505</v>
      </c>
      <c r="D507" t="s">
        <v>3593</v>
      </c>
      <c r="E507">
        <f>1</f>
        <v>1</v>
      </c>
    </row>
    <row r="508" spans="3:5" x14ac:dyDescent="0.25">
      <c r="C508">
        <v>506</v>
      </c>
      <c r="D508" t="s">
        <v>3594</v>
      </c>
      <c r="E508">
        <f>1</f>
        <v>1</v>
      </c>
    </row>
    <row r="509" spans="3:5" x14ac:dyDescent="0.25">
      <c r="C509">
        <v>507</v>
      </c>
      <c r="D509" t="s">
        <v>3595</v>
      </c>
      <c r="E509">
        <f>1</f>
        <v>1</v>
      </c>
    </row>
    <row r="510" spans="3:5" x14ac:dyDescent="0.25">
      <c r="C510">
        <v>508</v>
      </c>
      <c r="D510" t="s">
        <v>3596</v>
      </c>
      <c r="E510">
        <f>1</f>
        <v>1</v>
      </c>
    </row>
    <row r="511" spans="3:5" x14ac:dyDescent="0.25">
      <c r="C511">
        <v>509</v>
      </c>
      <c r="D511" t="s">
        <v>4384</v>
      </c>
      <c r="E511">
        <f>1</f>
        <v>1</v>
      </c>
    </row>
    <row r="512" spans="3:5" x14ac:dyDescent="0.25">
      <c r="C512">
        <v>510</v>
      </c>
      <c r="D512" t="s">
        <v>4249</v>
      </c>
      <c r="E512">
        <f>1</f>
        <v>1</v>
      </c>
    </row>
    <row r="513" spans="3:5" x14ac:dyDescent="0.25">
      <c r="C513">
        <v>511</v>
      </c>
      <c r="D513" t="s">
        <v>4385</v>
      </c>
      <c r="E513">
        <f>1</f>
        <v>1</v>
      </c>
    </row>
    <row r="514" spans="3:5" x14ac:dyDescent="0.25">
      <c r="C514">
        <v>512</v>
      </c>
      <c r="D514" t="s">
        <v>3598</v>
      </c>
      <c r="E514">
        <f>1</f>
        <v>1</v>
      </c>
    </row>
    <row r="515" spans="3:5" x14ac:dyDescent="0.25">
      <c r="C515">
        <v>513</v>
      </c>
      <c r="D515" t="s">
        <v>3599</v>
      </c>
      <c r="E515">
        <f>1</f>
        <v>1</v>
      </c>
    </row>
    <row r="516" spans="3:5" x14ac:dyDescent="0.25">
      <c r="C516">
        <v>514</v>
      </c>
      <c r="D516" t="s">
        <v>3600</v>
      </c>
      <c r="E516">
        <f>1</f>
        <v>1</v>
      </c>
    </row>
    <row r="517" spans="3:5" x14ac:dyDescent="0.25">
      <c r="C517">
        <v>515</v>
      </c>
      <c r="D517" t="s">
        <v>3601</v>
      </c>
      <c r="E517">
        <f>1</f>
        <v>1</v>
      </c>
    </row>
    <row r="518" spans="3:5" x14ac:dyDescent="0.25">
      <c r="C518">
        <v>516</v>
      </c>
      <c r="D518" t="s">
        <v>3602</v>
      </c>
      <c r="E518">
        <f>1</f>
        <v>1</v>
      </c>
    </row>
    <row r="519" spans="3:5" x14ac:dyDescent="0.25">
      <c r="C519">
        <v>517</v>
      </c>
      <c r="D519" t="s">
        <v>4386</v>
      </c>
      <c r="E519">
        <f>1</f>
        <v>1</v>
      </c>
    </row>
    <row r="520" spans="3:5" x14ac:dyDescent="0.25">
      <c r="C520">
        <v>518</v>
      </c>
      <c r="D520" t="s">
        <v>3603</v>
      </c>
      <c r="E520">
        <f>1</f>
        <v>1</v>
      </c>
    </row>
    <row r="521" spans="3:5" x14ac:dyDescent="0.25">
      <c r="C521">
        <v>519</v>
      </c>
      <c r="D521" t="s">
        <v>2659</v>
      </c>
      <c r="E521">
        <f>1</f>
        <v>1</v>
      </c>
    </row>
    <row r="522" spans="3:5" x14ac:dyDescent="0.25">
      <c r="C522">
        <v>520</v>
      </c>
      <c r="D522" t="s">
        <v>3604</v>
      </c>
      <c r="E522">
        <f>1</f>
        <v>1</v>
      </c>
    </row>
    <row r="523" spans="3:5" x14ac:dyDescent="0.25">
      <c r="C523">
        <v>521</v>
      </c>
      <c r="D523" t="s">
        <v>3605</v>
      </c>
      <c r="E523">
        <f>1</f>
        <v>1</v>
      </c>
    </row>
    <row r="524" spans="3:5" x14ac:dyDescent="0.25">
      <c r="C524">
        <v>522</v>
      </c>
      <c r="D524" t="s">
        <v>4250</v>
      </c>
      <c r="E524">
        <f>1</f>
        <v>1</v>
      </c>
    </row>
    <row r="525" spans="3:5" x14ac:dyDescent="0.25">
      <c r="C525">
        <v>523</v>
      </c>
      <c r="D525" t="s">
        <v>3606</v>
      </c>
      <c r="E525">
        <f>1</f>
        <v>1</v>
      </c>
    </row>
    <row r="526" spans="3:5" x14ac:dyDescent="0.25">
      <c r="C526">
        <v>524</v>
      </c>
      <c r="D526" t="s">
        <v>3607</v>
      </c>
      <c r="E526">
        <f>1</f>
        <v>1</v>
      </c>
    </row>
    <row r="527" spans="3:5" x14ac:dyDescent="0.25">
      <c r="C527">
        <v>525</v>
      </c>
      <c r="D527" t="s">
        <v>3608</v>
      </c>
      <c r="E527">
        <f>1</f>
        <v>1</v>
      </c>
    </row>
    <row r="528" spans="3:5" x14ac:dyDescent="0.25">
      <c r="C528">
        <v>526</v>
      </c>
      <c r="D528" t="s">
        <v>4557</v>
      </c>
      <c r="E528">
        <f>1</f>
        <v>1</v>
      </c>
    </row>
    <row r="529" spans="3:5" x14ac:dyDescent="0.25">
      <c r="C529">
        <v>527</v>
      </c>
      <c r="D529" t="s">
        <v>3609</v>
      </c>
      <c r="E529">
        <f>1</f>
        <v>1</v>
      </c>
    </row>
    <row r="530" spans="3:5" x14ac:dyDescent="0.25">
      <c r="C530">
        <v>528</v>
      </c>
      <c r="D530" t="s">
        <v>4558</v>
      </c>
      <c r="E530">
        <f>1</f>
        <v>1</v>
      </c>
    </row>
    <row r="531" spans="3:5" x14ac:dyDescent="0.25">
      <c r="C531">
        <v>529</v>
      </c>
      <c r="D531" t="s">
        <v>4559</v>
      </c>
      <c r="E531">
        <f>1</f>
        <v>1</v>
      </c>
    </row>
    <row r="532" spans="3:5" x14ac:dyDescent="0.25">
      <c r="C532">
        <v>530</v>
      </c>
      <c r="D532" t="s">
        <v>3610</v>
      </c>
      <c r="E532">
        <f>1</f>
        <v>1</v>
      </c>
    </row>
    <row r="533" spans="3:5" x14ac:dyDescent="0.25">
      <c r="C533">
        <v>531</v>
      </c>
      <c r="D533" t="s">
        <v>3611</v>
      </c>
      <c r="E533">
        <f>1</f>
        <v>1</v>
      </c>
    </row>
    <row r="534" spans="3:5" x14ac:dyDescent="0.25">
      <c r="C534">
        <v>532</v>
      </c>
      <c r="D534" t="s">
        <v>3612</v>
      </c>
      <c r="E534">
        <f>1</f>
        <v>1</v>
      </c>
    </row>
    <row r="535" spans="3:5" x14ac:dyDescent="0.25">
      <c r="C535">
        <v>533</v>
      </c>
      <c r="D535" t="s">
        <v>4304</v>
      </c>
      <c r="E535">
        <f>1</f>
        <v>1</v>
      </c>
    </row>
    <row r="536" spans="3:5" x14ac:dyDescent="0.25">
      <c r="C536">
        <v>534</v>
      </c>
      <c r="D536" t="s">
        <v>2623</v>
      </c>
      <c r="E536">
        <f>1</f>
        <v>1</v>
      </c>
    </row>
    <row r="537" spans="3:5" x14ac:dyDescent="0.25">
      <c r="C537">
        <v>535</v>
      </c>
      <c r="D537" t="s">
        <v>4560</v>
      </c>
      <c r="E537">
        <f>1</f>
        <v>1</v>
      </c>
    </row>
    <row r="538" spans="3:5" x14ac:dyDescent="0.25">
      <c r="C538">
        <v>536</v>
      </c>
      <c r="D538" t="s">
        <v>4561</v>
      </c>
      <c r="E538">
        <f>1</f>
        <v>1</v>
      </c>
    </row>
    <row r="539" spans="3:5" x14ac:dyDescent="0.25">
      <c r="C539">
        <v>537</v>
      </c>
      <c r="D539" t="s">
        <v>3613</v>
      </c>
      <c r="E539">
        <f>1</f>
        <v>1</v>
      </c>
    </row>
    <row r="540" spans="3:5" x14ac:dyDescent="0.25">
      <c r="C540">
        <v>538</v>
      </c>
      <c r="D540" t="s">
        <v>3614</v>
      </c>
      <c r="E540">
        <f>1</f>
        <v>1</v>
      </c>
    </row>
    <row r="541" spans="3:5" x14ac:dyDescent="0.25">
      <c r="C541">
        <v>539</v>
      </c>
      <c r="D541" t="s">
        <v>3615</v>
      </c>
      <c r="E541">
        <f>1</f>
        <v>1</v>
      </c>
    </row>
    <row r="542" spans="3:5" x14ac:dyDescent="0.25">
      <c r="C542">
        <v>540</v>
      </c>
      <c r="D542" t="s">
        <v>4387</v>
      </c>
      <c r="E542">
        <f>1</f>
        <v>1</v>
      </c>
    </row>
    <row r="543" spans="3:5" x14ac:dyDescent="0.25">
      <c r="C543">
        <v>541</v>
      </c>
      <c r="D543" t="s">
        <v>2706</v>
      </c>
      <c r="E543">
        <f>1</f>
        <v>1</v>
      </c>
    </row>
    <row r="544" spans="3:5" x14ac:dyDescent="0.25">
      <c r="C544">
        <v>542</v>
      </c>
      <c r="D544" t="s">
        <v>3617</v>
      </c>
      <c r="E544">
        <f>1</f>
        <v>1</v>
      </c>
    </row>
    <row r="545" spans="3:5" x14ac:dyDescent="0.25">
      <c r="C545">
        <v>543</v>
      </c>
      <c r="D545" t="s">
        <v>3618</v>
      </c>
      <c r="E545">
        <f>1</f>
        <v>1</v>
      </c>
    </row>
    <row r="546" spans="3:5" x14ac:dyDescent="0.25">
      <c r="C546">
        <v>544</v>
      </c>
      <c r="D546" t="s">
        <v>19886</v>
      </c>
      <c r="E546">
        <f>1</f>
        <v>1</v>
      </c>
    </row>
    <row r="547" spans="3:5" x14ac:dyDescent="0.25">
      <c r="C547">
        <v>545</v>
      </c>
      <c r="D547" t="s">
        <v>3619</v>
      </c>
      <c r="E547">
        <f>1</f>
        <v>1</v>
      </c>
    </row>
    <row r="548" spans="3:5" x14ac:dyDescent="0.25">
      <c r="C548">
        <v>546</v>
      </c>
      <c r="D548" t="s">
        <v>19887</v>
      </c>
      <c r="E548">
        <f>1</f>
        <v>1</v>
      </c>
    </row>
    <row r="549" spans="3:5" x14ac:dyDescent="0.25">
      <c r="C549">
        <v>547</v>
      </c>
      <c r="D549" t="s">
        <v>19888</v>
      </c>
      <c r="E549">
        <f>1</f>
        <v>1</v>
      </c>
    </row>
    <row r="550" spans="3:5" x14ac:dyDescent="0.25">
      <c r="C550">
        <v>548</v>
      </c>
      <c r="D550" t="s">
        <v>3620</v>
      </c>
      <c r="E550">
        <f>1</f>
        <v>1</v>
      </c>
    </row>
    <row r="551" spans="3:5" x14ac:dyDescent="0.25">
      <c r="C551">
        <v>549</v>
      </c>
      <c r="D551" t="s">
        <v>3621</v>
      </c>
      <c r="E551">
        <f>1</f>
        <v>1</v>
      </c>
    </row>
    <row r="552" spans="3:5" x14ac:dyDescent="0.25">
      <c r="C552">
        <v>550</v>
      </c>
      <c r="D552" t="s">
        <v>3184</v>
      </c>
      <c r="E552">
        <f>1</f>
        <v>1</v>
      </c>
    </row>
    <row r="553" spans="3:5" x14ac:dyDescent="0.25">
      <c r="C553">
        <v>551</v>
      </c>
      <c r="D553" t="s">
        <v>4216</v>
      </c>
      <c r="E553">
        <f>1</f>
        <v>1</v>
      </c>
    </row>
    <row r="554" spans="3:5" x14ac:dyDescent="0.25">
      <c r="C554">
        <v>552</v>
      </c>
      <c r="D554" t="s">
        <v>4305</v>
      </c>
      <c r="E554">
        <f>1</f>
        <v>1</v>
      </c>
    </row>
    <row r="555" spans="3:5" x14ac:dyDescent="0.25">
      <c r="C555">
        <v>553</v>
      </c>
      <c r="D555" t="s">
        <v>4388</v>
      </c>
      <c r="E555">
        <f>1</f>
        <v>1</v>
      </c>
    </row>
    <row r="556" spans="3:5" x14ac:dyDescent="0.25">
      <c r="C556">
        <v>554</v>
      </c>
      <c r="D556" t="s">
        <v>3623</v>
      </c>
      <c r="E556">
        <f>1</f>
        <v>1</v>
      </c>
    </row>
    <row r="557" spans="3:5" x14ac:dyDescent="0.25">
      <c r="C557">
        <v>555</v>
      </c>
      <c r="D557" t="s">
        <v>4389</v>
      </c>
      <c r="E557">
        <f>1</f>
        <v>1</v>
      </c>
    </row>
    <row r="558" spans="3:5" x14ac:dyDescent="0.25">
      <c r="C558">
        <v>556</v>
      </c>
      <c r="D558" t="s">
        <v>3624</v>
      </c>
      <c r="E558">
        <f>1</f>
        <v>1</v>
      </c>
    </row>
    <row r="559" spans="3:5" x14ac:dyDescent="0.25">
      <c r="C559">
        <v>557</v>
      </c>
      <c r="D559" t="s">
        <v>4217</v>
      </c>
      <c r="E559">
        <f>1</f>
        <v>1</v>
      </c>
    </row>
    <row r="560" spans="3:5" x14ac:dyDescent="0.25">
      <c r="C560">
        <v>558</v>
      </c>
      <c r="D560" t="s">
        <v>3625</v>
      </c>
      <c r="E560">
        <f>1</f>
        <v>1</v>
      </c>
    </row>
    <row r="561" spans="3:5" x14ac:dyDescent="0.25">
      <c r="C561">
        <v>559</v>
      </c>
      <c r="D561" t="s">
        <v>3626</v>
      </c>
      <c r="E561">
        <f>1</f>
        <v>1</v>
      </c>
    </row>
    <row r="562" spans="3:5" x14ac:dyDescent="0.25">
      <c r="C562">
        <v>560</v>
      </c>
      <c r="D562" t="s">
        <v>3627</v>
      </c>
      <c r="E562">
        <f>1</f>
        <v>1</v>
      </c>
    </row>
    <row r="563" spans="3:5" x14ac:dyDescent="0.25">
      <c r="C563">
        <v>561</v>
      </c>
      <c r="D563" t="s">
        <v>3628</v>
      </c>
      <c r="E563">
        <f>1</f>
        <v>1</v>
      </c>
    </row>
    <row r="564" spans="3:5" x14ac:dyDescent="0.25">
      <c r="C564">
        <v>562</v>
      </c>
      <c r="D564" t="s">
        <v>4273</v>
      </c>
      <c r="E564">
        <f>1</f>
        <v>1</v>
      </c>
    </row>
    <row r="565" spans="3:5" x14ac:dyDescent="0.25">
      <c r="C565">
        <v>563</v>
      </c>
      <c r="D565" t="s">
        <v>4562</v>
      </c>
      <c r="E565">
        <f>1</f>
        <v>1</v>
      </c>
    </row>
    <row r="566" spans="3:5" x14ac:dyDescent="0.25">
      <c r="C566">
        <v>564</v>
      </c>
      <c r="D566" t="s">
        <v>3629</v>
      </c>
      <c r="E566">
        <f>1</f>
        <v>1</v>
      </c>
    </row>
    <row r="567" spans="3:5" x14ac:dyDescent="0.25">
      <c r="C567">
        <v>565</v>
      </c>
      <c r="D567" t="s">
        <v>19889</v>
      </c>
      <c r="E567">
        <f>1</f>
        <v>1</v>
      </c>
    </row>
    <row r="568" spans="3:5" x14ac:dyDescent="0.25">
      <c r="C568">
        <v>566</v>
      </c>
      <c r="D568" t="s">
        <v>3631</v>
      </c>
      <c r="E568">
        <f>1</f>
        <v>1</v>
      </c>
    </row>
    <row r="569" spans="3:5" x14ac:dyDescent="0.25">
      <c r="C569">
        <v>567</v>
      </c>
      <c r="D569" t="s">
        <v>2779</v>
      </c>
      <c r="E569">
        <f>1</f>
        <v>1</v>
      </c>
    </row>
    <row r="570" spans="3:5" x14ac:dyDescent="0.25">
      <c r="C570">
        <v>568</v>
      </c>
      <c r="D570" t="s">
        <v>3632</v>
      </c>
      <c r="E570">
        <f>1</f>
        <v>1</v>
      </c>
    </row>
    <row r="571" spans="3:5" x14ac:dyDescent="0.25">
      <c r="C571">
        <v>569</v>
      </c>
      <c r="D571" t="s">
        <v>3633</v>
      </c>
      <c r="E571">
        <f>1</f>
        <v>1</v>
      </c>
    </row>
    <row r="572" spans="3:5" x14ac:dyDescent="0.25">
      <c r="C572">
        <v>570</v>
      </c>
      <c r="D572" t="s">
        <v>3634</v>
      </c>
      <c r="E572">
        <f>1</f>
        <v>1</v>
      </c>
    </row>
    <row r="573" spans="3:5" x14ac:dyDescent="0.25">
      <c r="C573">
        <v>571</v>
      </c>
      <c r="D573" t="s">
        <v>3635</v>
      </c>
      <c r="E573">
        <f>1</f>
        <v>1</v>
      </c>
    </row>
    <row r="574" spans="3:5" x14ac:dyDescent="0.25">
      <c r="C574">
        <v>572</v>
      </c>
      <c r="D574" t="s">
        <v>3636</v>
      </c>
      <c r="E574">
        <f>1</f>
        <v>1</v>
      </c>
    </row>
    <row r="575" spans="3:5" x14ac:dyDescent="0.25">
      <c r="C575">
        <v>573</v>
      </c>
      <c r="D575" t="s">
        <v>3637</v>
      </c>
      <c r="E575">
        <f>1</f>
        <v>1</v>
      </c>
    </row>
    <row r="576" spans="3:5" x14ac:dyDescent="0.25">
      <c r="C576">
        <v>574</v>
      </c>
      <c r="D576" t="s">
        <v>4563</v>
      </c>
      <c r="E576">
        <f>1</f>
        <v>1</v>
      </c>
    </row>
    <row r="577" spans="3:5" x14ac:dyDescent="0.25">
      <c r="C577">
        <v>575</v>
      </c>
      <c r="D577" t="s">
        <v>3638</v>
      </c>
      <c r="E577">
        <f>1</f>
        <v>1</v>
      </c>
    </row>
    <row r="578" spans="3:5" x14ac:dyDescent="0.25">
      <c r="C578">
        <v>576</v>
      </c>
      <c r="D578" t="s">
        <v>3639</v>
      </c>
      <c r="E578">
        <f>1</f>
        <v>1</v>
      </c>
    </row>
    <row r="579" spans="3:5" x14ac:dyDescent="0.25">
      <c r="C579">
        <v>577</v>
      </c>
      <c r="D579" t="s">
        <v>3640</v>
      </c>
      <c r="E579">
        <f>1</f>
        <v>1</v>
      </c>
    </row>
    <row r="580" spans="3:5" x14ac:dyDescent="0.25">
      <c r="C580">
        <v>578</v>
      </c>
      <c r="D580" t="s">
        <v>4564</v>
      </c>
      <c r="E580">
        <f>1</f>
        <v>1</v>
      </c>
    </row>
    <row r="581" spans="3:5" x14ac:dyDescent="0.25">
      <c r="C581">
        <v>579</v>
      </c>
      <c r="D581" t="s">
        <v>3641</v>
      </c>
      <c r="E581">
        <f>1</f>
        <v>1</v>
      </c>
    </row>
    <row r="582" spans="3:5" x14ac:dyDescent="0.25">
      <c r="C582">
        <v>580</v>
      </c>
      <c r="D582" t="s">
        <v>4218</v>
      </c>
      <c r="E582">
        <f>1</f>
        <v>1</v>
      </c>
    </row>
    <row r="583" spans="3:5" x14ac:dyDescent="0.25">
      <c r="C583">
        <v>581</v>
      </c>
      <c r="D583" t="s">
        <v>4391</v>
      </c>
      <c r="E583">
        <f>1</f>
        <v>1</v>
      </c>
    </row>
    <row r="584" spans="3:5" x14ac:dyDescent="0.25">
      <c r="C584">
        <v>582</v>
      </c>
      <c r="D584" t="s">
        <v>3642</v>
      </c>
      <c r="E584">
        <f>1</f>
        <v>1</v>
      </c>
    </row>
    <row r="585" spans="3:5" x14ac:dyDescent="0.25">
      <c r="C585">
        <v>583</v>
      </c>
      <c r="D585" t="s">
        <v>4219</v>
      </c>
      <c r="E585">
        <f>1</f>
        <v>1</v>
      </c>
    </row>
    <row r="586" spans="3:5" x14ac:dyDescent="0.25">
      <c r="C586">
        <v>584</v>
      </c>
      <c r="D586" t="s">
        <v>4565</v>
      </c>
      <c r="E586">
        <f>1</f>
        <v>1</v>
      </c>
    </row>
    <row r="587" spans="3:5" x14ac:dyDescent="0.25">
      <c r="C587">
        <v>585</v>
      </c>
      <c r="D587" t="s">
        <v>4392</v>
      </c>
      <c r="E587">
        <f>1</f>
        <v>1</v>
      </c>
    </row>
    <row r="588" spans="3:5" x14ac:dyDescent="0.25">
      <c r="C588">
        <v>586</v>
      </c>
      <c r="D588" t="s">
        <v>19890</v>
      </c>
      <c r="E588">
        <f>1</f>
        <v>1</v>
      </c>
    </row>
    <row r="589" spans="3:5" x14ac:dyDescent="0.25">
      <c r="C589">
        <v>587</v>
      </c>
      <c r="D589" t="s">
        <v>4306</v>
      </c>
      <c r="E589">
        <f>1</f>
        <v>1</v>
      </c>
    </row>
    <row r="590" spans="3:5" x14ac:dyDescent="0.25">
      <c r="C590">
        <v>588</v>
      </c>
      <c r="D590" t="s">
        <v>3643</v>
      </c>
      <c r="E590">
        <f>1</f>
        <v>1</v>
      </c>
    </row>
    <row r="591" spans="3:5" x14ac:dyDescent="0.25">
      <c r="C591">
        <v>589</v>
      </c>
      <c r="D591" t="s">
        <v>4307</v>
      </c>
      <c r="E591">
        <f>1</f>
        <v>1</v>
      </c>
    </row>
    <row r="592" spans="3:5" x14ac:dyDescent="0.25">
      <c r="C592">
        <v>590</v>
      </c>
      <c r="D592" t="s">
        <v>3644</v>
      </c>
      <c r="E592">
        <f>1</f>
        <v>1</v>
      </c>
    </row>
    <row r="593" spans="3:5" x14ac:dyDescent="0.25">
      <c r="C593">
        <v>591</v>
      </c>
      <c r="D593" t="s">
        <v>3645</v>
      </c>
      <c r="E593">
        <f>1</f>
        <v>1</v>
      </c>
    </row>
    <row r="594" spans="3:5" x14ac:dyDescent="0.25">
      <c r="C594">
        <v>592</v>
      </c>
      <c r="D594" t="s">
        <v>3646</v>
      </c>
      <c r="E594">
        <f>1</f>
        <v>1</v>
      </c>
    </row>
    <row r="595" spans="3:5" x14ac:dyDescent="0.25">
      <c r="C595">
        <v>593</v>
      </c>
      <c r="D595" t="s">
        <v>3647</v>
      </c>
      <c r="E595">
        <f>1</f>
        <v>1</v>
      </c>
    </row>
    <row r="596" spans="3:5" x14ac:dyDescent="0.25">
      <c r="C596">
        <v>594</v>
      </c>
      <c r="D596" t="s">
        <v>4394</v>
      </c>
      <c r="E596">
        <f>1</f>
        <v>1</v>
      </c>
    </row>
    <row r="597" spans="3:5" x14ac:dyDescent="0.25">
      <c r="C597">
        <v>595</v>
      </c>
      <c r="D597" t="s">
        <v>4395</v>
      </c>
      <c r="E597">
        <f>1</f>
        <v>1</v>
      </c>
    </row>
    <row r="598" spans="3:5" x14ac:dyDescent="0.25">
      <c r="C598">
        <v>596</v>
      </c>
      <c r="D598" t="s">
        <v>4396</v>
      </c>
      <c r="E598">
        <f>1</f>
        <v>1</v>
      </c>
    </row>
    <row r="599" spans="3:5" x14ac:dyDescent="0.25">
      <c r="C599">
        <v>597</v>
      </c>
      <c r="D599" t="s">
        <v>3648</v>
      </c>
      <c r="E599">
        <f>1</f>
        <v>1</v>
      </c>
    </row>
    <row r="600" spans="3:5" x14ac:dyDescent="0.25">
      <c r="C600">
        <v>598</v>
      </c>
      <c r="D600" t="s">
        <v>3649</v>
      </c>
      <c r="E600">
        <f>1</f>
        <v>1</v>
      </c>
    </row>
    <row r="601" spans="3:5" x14ac:dyDescent="0.25">
      <c r="C601">
        <v>599</v>
      </c>
      <c r="D601" t="s">
        <v>4398</v>
      </c>
      <c r="E601">
        <f>1</f>
        <v>1</v>
      </c>
    </row>
    <row r="602" spans="3:5" x14ac:dyDescent="0.25">
      <c r="C602">
        <v>600</v>
      </c>
      <c r="D602" t="s">
        <v>3650</v>
      </c>
      <c r="E602">
        <f>1</f>
        <v>1</v>
      </c>
    </row>
    <row r="603" spans="3:5" x14ac:dyDescent="0.25">
      <c r="C603">
        <v>601</v>
      </c>
      <c r="D603" t="s">
        <v>19891</v>
      </c>
      <c r="E603">
        <f>1</f>
        <v>1</v>
      </c>
    </row>
    <row r="604" spans="3:5" x14ac:dyDescent="0.25">
      <c r="C604">
        <v>602</v>
      </c>
      <c r="D604" t="s">
        <v>3651</v>
      </c>
      <c r="E604">
        <f>1</f>
        <v>1</v>
      </c>
    </row>
    <row r="605" spans="3:5" x14ac:dyDescent="0.25">
      <c r="C605">
        <v>603</v>
      </c>
      <c r="D605" t="s">
        <v>3653</v>
      </c>
      <c r="E605">
        <f>1</f>
        <v>1</v>
      </c>
    </row>
    <row r="606" spans="3:5" x14ac:dyDescent="0.25">
      <c r="C606">
        <v>604</v>
      </c>
      <c r="D606" t="s">
        <v>3654</v>
      </c>
      <c r="E606">
        <f>1</f>
        <v>1</v>
      </c>
    </row>
    <row r="607" spans="3:5" x14ac:dyDescent="0.25">
      <c r="C607">
        <v>605</v>
      </c>
      <c r="D607" t="s">
        <v>3655</v>
      </c>
      <c r="E607">
        <f>1</f>
        <v>1</v>
      </c>
    </row>
    <row r="608" spans="3:5" x14ac:dyDescent="0.25">
      <c r="C608">
        <v>606</v>
      </c>
      <c r="D608" t="s">
        <v>3656</v>
      </c>
      <c r="E608">
        <f>1</f>
        <v>1</v>
      </c>
    </row>
    <row r="609" spans="3:5" x14ac:dyDescent="0.25">
      <c r="C609">
        <v>607</v>
      </c>
      <c r="D609" t="s">
        <v>3657</v>
      </c>
      <c r="E609">
        <f>1</f>
        <v>1</v>
      </c>
    </row>
    <row r="610" spans="3:5" x14ac:dyDescent="0.25">
      <c r="C610">
        <v>608</v>
      </c>
      <c r="D610" t="s">
        <v>3658</v>
      </c>
      <c r="E610">
        <f>1</f>
        <v>1</v>
      </c>
    </row>
    <row r="611" spans="3:5" x14ac:dyDescent="0.25">
      <c r="C611">
        <v>609</v>
      </c>
      <c r="D611" t="s">
        <v>3659</v>
      </c>
      <c r="E611">
        <f>1</f>
        <v>1</v>
      </c>
    </row>
    <row r="612" spans="3:5" x14ac:dyDescent="0.25">
      <c r="C612">
        <v>610</v>
      </c>
      <c r="D612" t="s">
        <v>3660</v>
      </c>
      <c r="E612">
        <f>1</f>
        <v>1</v>
      </c>
    </row>
    <row r="613" spans="3:5" x14ac:dyDescent="0.25">
      <c r="C613">
        <v>611</v>
      </c>
      <c r="D613" t="s">
        <v>3661</v>
      </c>
      <c r="E613">
        <f>1</f>
        <v>1</v>
      </c>
    </row>
    <row r="614" spans="3:5" x14ac:dyDescent="0.25">
      <c r="C614">
        <v>612</v>
      </c>
      <c r="D614" t="s">
        <v>3662</v>
      </c>
      <c r="E614">
        <f>1</f>
        <v>1</v>
      </c>
    </row>
    <row r="615" spans="3:5" x14ac:dyDescent="0.25">
      <c r="C615">
        <v>613</v>
      </c>
      <c r="D615" t="s">
        <v>3663</v>
      </c>
      <c r="E615">
        <f>1</f>
        <v>1</v>
      </c>
    </row>
    <row r="616" spans="3:5" x14ac:dyDescent="0.25">
      <c r="C616">
        <v>614</v>
      </c>
      <c r="D616" t="s">
        <v>3664</v>
      </c>
      <c r="E616">
        <f>1</f>
        <v>1</v>
      </c>
    </row>
    <row r="617" spans="3:5" x14ac:dyDescent="0.25">
      <c r="C617">
        <v>615</v>
      </c>
      <c r="D617" t="s">
        <v>3665</v>
      </c>
      <c r="E617">
        <f>1</f>
        <v>1</v>
      </c>
    </row>
    <row r="618" spans="3:5" x14ac:dyDescent="0.25">
      <c r="C618">
        <v>616</v>
      </c>
      <c r="D618" t="s">
        <v>4309</v>
      </c>
      <c r="E618">
        <f>1</f>
        <v>1</v>
      </c>
    </row>
    <row r="619" spans="3:5" x14ac:dyDescent="0.25">
      <c r="C619">
        <v>617</v>
      </c>
      <c r="D619" t="s">
        <v>3666</v>
      </c>
      <c r="E619">
        <f>1</f>
        <v>1</v>
      </c>
    </row>
    <row r="620" spans="3:5" x14ac:dyDescent="0.25">
      <c r="C620">
        <v>618</v>
      </c>
      <c r="D620" t="s">
        <v>3667</v>
      </c>
      <c r="E620">
        <f>1</f>
        <v>1</v>
      </c>
    </row>
    <row r="621" spans="3:5" x14ac:dyDescent="0.25">
      <c r="C621">
        <v>619</v>
      </c>
      <c r="D621" t="s">
        <v>3668</v>
      </c>
      <c r="E621">
        <f>1</f>
        <v>1</v>
      </c>
    </row>
    <row r="622" spans="3:5" x14ac:dyDescent="0.25">
      <c r="C622">
        <v>620</v>
      </c>
      <c r="D622" t="s">
        <v>3669</v>
      </c>
      <c r="E622">
        <f>1</f>
        <v>1</v>
      </c>
    </row>
    <row r="623" spans="3:5" x14ac:dyDescent="0.25">
      <c r="C623">
        <v>621</v>
      </c>
      <c r="D623" t="s">
        <v>3670</v>
      </c>
      <c r="E623">
        <f>1</f>
        <v>1</v>
      </c>
    </row>
    <row r="624" spans="3:5" x14ac:dyDescent="0.25">
      <c r="C624">
        <v>622</v>
      </c>
      <c r="D624" t="s">
        <v>3671</v>
      </c>
      <c r="E624">
        <f>1</f>
        <v>1</v>
      </c>
    </row>
    <row r="625" spans="3:5" x14ac:dyDescent="0.25">
      <c r="C625">
        <v>623</v>
      </c>
      <c r="D625" t="s">
        <v>4399</v>
      </c>
      <c r="E625">
        <f>1</f>
        <v>1</v>
      </c>
    </row>
    <row r="626" spans="3:5" x14ac:dyDescent="0.25">
      <c r="C626">
        <v>624</v>
      </c>
      <c r="D626" t="s">
        <v>3672</v>
      </c>
      <c r="E626">
        <f>1</f>
        <v>1</v>
      </c>
    </row>
    <row r="627" spans="3:5" x14ac:dyDescent="0.25">
      <c r="C627">
        <v>625</v>
      </c>
      <c r="D627" t="s">
        <v>3673</v>
      </c>
      <c r="E627">
        <f>1</f>
        <v>1</v>
      </c>
    </row>
    <row r="628" spans="3:5" x14ac:dyDescent="0.25">
      <c r="C628">
        <v>626</v>
      </c>
      <c r="D628" t="s">
        <v>3674</v>
      </c>
      <c r="E628">
        <f>1</f>
        <v>1</v>
      </c>
    </row>
    <row r="629" spans="3:5" x14ac:dyDescent="0.25">
      <c r="C629">
        <v>627</v>
      </c>
      <c r="D629" t="s">
        <v>4164</v>
      </c>
      <c r="E629">
        <f>1</f>
        <v>1</v>
      </c>
    </row>
    <row r="630" spans="3:5" x14ac:dyDescent="0.25">
      <c r="C630">
        <v>628</v>
      </c>
      <c r="D630" t="s">
        <v>3675</v>
      </c>
      <c r="E630">
        <f>1</f>
        <v>1</v>
      </c>
    </row>
    <row r="631" spans="3:5" x14ac:dyDescent="0.25">
      <c r="C631">
        <v>629</v>
      </c>
      <c r="D631" t="s">
        <v>3676</v>
      </c>
      <c r="E631">
        <f>1</f>
        <v>1</v>
      </c>
    </row>
    <row r="632" spans="3:5" x14ac:dyDescent="0.25">
      <c r="C632">
        <v>630</v>
      </c>
      <c r="D632" t="s">
        <v>2782</v>
      </c>
      <c r="E632">
        <f>1</f>
        <v>1</v>
      </c>
    </row>
    <row r="633" spans="3:5" x14ac:dyDescent="0.25">
      <c r="C633">
        <v>631</v>
      </c>
      <c r="D633" t="s">
        <v>3677</v>
      </c>
      <c r="E633">
        <f>1</f>
        <v>1</v>
      </c>
    </row>
    <row r="634" spans="3:5" x14ac:dyDescent="0.25">
      <c r="C634">
        <v>632</v>
      </c>
      <c r="D634" t="s">
        <v>3680</v>
      </c>
      <c r="E634">
        <f>1</f>
        <v>1</v>
      </c>
    </row>
    <row r="635" spans="3:5" x14ac:dyDescent="0.25">
      <c r="C635">
        <v>633</v>
      </c>
      <c r="D635" t="s">
        <v>3681</v>
      </c>
      <c r="E635">
        <f>1</f>
        <v>1</v>
      </c>
    </row>
    <row r="636" spans="3:5" x14ac:dyDescent="0.25">
      <c r="C636">
        <v>634</v>
      </c>
      <c r="D636" t="s">
        <v>4310</v>
      </c>
      <c r="E636">
        <f>1</f>
        <v>1</v>
      </c>
    </row>
    <row r="637" spans="3:5" x14ac:dyDescent="0.25">
      <c r="C637">
        <v>635</v>
      </c>
      <c r="D637" t="s">
        <v>3682</v>
      </c>
      <c r="E637">
        <f>1</f>
        <v>1</v>
      </c>
    </row>
    <row r="638" spans="3:5" x14ac:dyDescent="0.25">
      <c r="C638">
        <v>636</v>
      </c>
      <c r="D638" t="s">
        <v>3683</v>
      </c>
      <c r="E638">
        <f>1</f>
        <v>1</v>
      </c>
    </row>
    <row r="639" spans="3:5" x14ac:dyDescent="0.25">
      <c r="C639">
        <v>637</v>
      </c>
      <c r="D639" t="s">
        <v>3684</v>
      </c>
      <c r="E639">
        <f>1</f>
        <v>1</v>
      </c>
    </row>
    <row r="640" spans="3:5" x14ac:dyDescent="0.25">
      <c r="C640">
        <v>638</v>
      </c>
      <c r="D640" t="s">
        <v>3685</v>
      </c>
      <c r="E640">
        <f>1</f>
        <v>1</v>
      </c>
    </row>
    <row r="641" spans="3:5" x14ac:dyDescent="0.25">
      <c r="C641">
        <v>639</v>
      </c>
      <c r="D641" t="s">
        <v>4567</v>
      </c>
      <c r="E641">
        <f>1</f>
        <v>1</v>
      </c>
    </row>
    <row r="642" spans="3:5" x14ac:dyDescent="0.25">
      <c r="C642">
        <v>640</v>
      </c>
      <c r="D642" t="s">
        <v>4401</v>
      </c>
      <c r="E642">
        <f>1</f>
        <v>1</v>
      </c>
    </row>
    <row r="643" spans="3:5" x14ac:dyDescent="0.25">
      <c r="C643">
        <v>641</v>
      </c>
      <c r="D643" t="s">
        <v>3686</v>
      </c>
      <c r="E643">
        <f>1</f>
        <v>1</v>
      </c>
    </row>
    <row r="644" spans="3:5" x14ac:dyDescent="0.25">
      <c r="C644">
        <v>642</v>
      </c>
      <c r="D644" t="s">
        <v>3687</v>
      </c>
      <c r="E644">
        <f>1</f>
        <v>1</v>
      </c>
    </row>
    <row r="645" spans="3:5" x14ac:dyDescent="0.25">
      <c r="C645">
        <v>643</v>
      </c>
      <c r="D645" t="s">
        <v>3688</v>
      </c>
      <c r="E645">
        <f>1</f>
        <v>1</v>
      </c>
    </row>
    <row r="646" spans="3:5" x14ac:dyDescent="0.25">
      <c r="C646">
        <v>644</v>
      </c>
      <c r="D646" t="s">
        <v>3689</v>
      </c>
      <c r="E646">
        <f>1</f>
        <v>1</v>
      </c>
    </row>
    <row r="647" spans="3:5" x14ac:dyDescent="0.25">
      <c r="C647">
        <v>645</v>
      </c>
      <c r="D647" t="s">
        <v>3690</v>
      </c>
      <c r="E647">
        <f>1</f>
        <v>1</v>
      </c>
    </row>
    <row r="648" spans="3:5" x14ac:dyDescent="0.25">
      <c r="C648">
        <v>646</v>
      </c>
      <c r="D648" t="s">
        <v>3691</v>
      </c>
      <c r="E648">
        <f>1</f>
        <v>1</v>
      </c>
    </row>
    <row r="649" spans="3:5" x14ac:dyDescent="0.25">
      <c r="C649">
        <v>647</v>
      </c>
      <c r="D649" t="s">
        <v>3692</v>
      </c>
      <c r="E649">
        <f>1</f>
        <v>1</v>
      </c>
    </row>
    <row r="650" spans="3:5" x14ac:dyDescent="0.25">
      <c r="C650">
        <v>648</v>
      </c>
      <c r="D650" t="s">
        <v>3693</v>
      </c>
      <c r="E650">
        <f>1</f>
        <v>1</v>
      </c>
    </row>
    <row r="651" spans="3:5" x14ac:dyDescent="0.25">
      <c r="C651">
        <v>649</v>
      </c>
      <c r="D651" t="s">
        <v>3694</v>
      </c>
      <c r="E651">
        <f>1</f>
        <v>1</v>
      </c>
    </row>
    <row r="652" spans="3:5" x14ac:dyDescent="0.25">
      <c r="C652">
        <v>650</v>
      </c>
      <c r="D652" t="s">
        <v>3695</v>
      </c>
      <c r="E652">
        <f>1</f>
        <v>1</v>
      </c>
    </row>
    <row r="653" spans="3:5" x14ac:dyDescent="0.25">
      <c r="C653">
        <v>651</v>
      </c>
      <c r="D653" t="s">
        <v>4402</v>
      </c>
      <c r="E653">
        <f>1</f>
        <v>1</v>
      </c>
    </row>
    <row r="654" spans="3:5" x14ac:dyDescent="0.25">
      <c r="C654">
        <v>652</v>
      </c>
      <c r="D654" t="s">
        <v>4403</v>
      </c>
      <c r="E654">
        <f>1</f>
        <v>1</v>
      </c>
    </row>
    <row r="655" spans="3:5" x14ac:dyDescent="0.25">
      <c r="C655">
        <v>653</v>
      </c>
      <c r="D655" t="s">
        <v>3697</v>
      </c>
      <c r="E655">
        <f>1</f>
        <v>1</v>
      </c>
    </row>
    <row r="656" spans="3:5" x14ac:dyDescent="0.25">
      <c r="C656">
        <v>654</v>
      </c>
      <c r="D656" t="s">
        <v>3698</v>
      </c>
      <c r="E656">
        <f>1</f>
        <v>1</v>
      </c>
    </row>
    <row r="657" spans="3:5" x14ac:dyDescent="0.25">
      <c r="C657">
        <v>655</v>
      </c>
      <c r="D657" t="s">
        <v>4404</v>
      </c>
      <c r="E657">
        <f>1</f>
        <v>1</v>
      </c>
    </row>
    <row r="658" spans="3:5" x14ac:dyDescent="0.25">
      <c r="C658">
        <v>656</v>
      </c>
      <c r="D658" t="s">
        <v>3195</v>
      </c>
      <c r="E658">
        <f>1</f>
        <v>1</v>
      </c>
    </row>
    <row r="659" spans="3:5" x14ac:dyDescent="0.25">
      <c r="C659">
        <v>657</v>
      </c>
      <c r="D659" t="s">
        <v>3699</v>
      </c>
      <c r="E659">
        <f>1</f>
        <v>1</v>
      </c>
    </row>
    <row r="660" spans="3:5" x14ac:dyDescent="0.25">
      <c r="C660">
        <v>658</v>
      </c>
      <c r="D660" t="s">
        <v>4568</v>
      </c>
      <c r="E660">
        <f>1</f>
        <v>1</v>
      </c>
    </row>
    <row r="661" spans="3:5" x14ac:dyDescent="0.25">
      <c r="C661">
        <v>659</v>
      </c>
      <c r="D661" t="s">
        <v>4569</v>
      </c>
      <c r="E661">
        <f>1</f>
        <v>1</v>
      </c>
    </row>
    <row r="662" spans="3:5" x14ac:dyDescent="0.25">
      <c r="C662">
        <v>660</v>
      </c>
      <c r="D662" t="s">
        <v>4252</v>
      </c>
      <c r="E662">
        <f>1</f>
        <v>1</v>
      </c>
    </row>
    <row r="663" spans="3:5" x14ac:dyDescent="0.25">
      <c r="C663">
        <v>661</v>
      </c>
      <c r="D663" t="s">
        <v>4406</v>
      </c>
      <c r="E663">
        <f>1</f>
        <v>1</v>
      </c>
    </row>
    <row r="664" spans="3:5" x14ac:dyDescent="0.25">
      <c r="C664">
        <v>662</v>
      </c>
      <c r="D664" t="s">
        <v>4407</v>
      </c>
      <c r="E664">
        <f>1</f>
        <v>1</v>
      </c>
    </row>
    <row r="665" spans="3:5" x14ac:dyDescent="0.25">
      <c r="C665">
        <v>663</v>
      </c>
      <c r="D665" t="s">
        <v>4408</v>
      </c>
      <c r="E665">
        <f>1</f>
        <v>1</v>
      </c>
    </row>
    <row r="666" spans="3:5" x14ac:dyDescent="0.25">
      <c r="C666">
        <v>664</v>
      </c>
      <c r="D666" t="s">
        <v>3701</v>
      </c>
      <c r="E666">
        <f>1</f>
        <v>1</v>
      </c>
    </row>
    <row r="667" spans="3:5" x14ac:dyDescent="0.25">
      <c r="C667">
        <v>665</v>
      </c>
      <c r="D667" t="s">
        <v>2614</v>
      </c>
      <c r="E667">
        <f>1</f>
        <v>1</v>
      </c>
    </row>
    <row r="668" spans="3:5" x14ac:dyDescent="0.25">
      <c r="C668">
        <v>666</v>
      </c>
      <c r="D668" t="s">
        <v>3703</v>
      </c>
      <c r="E668">
        <f>1</f>
        <v>1</v>
      </c>
    </row>
    <row r="669" spans="3:5" x14ac:dyDescent="0.25">
      <c r="C669">
        <v>667</v>
      </c>
      <c r="D669" t="s">
        <v>3704</v>
      </c>
      <c r="E669">
        <f>1</f>
        <v>1</v>
      </c>
    </row>
    <row r="670" spans="3:5" x14ac:dyDescent="0.25">
      <c r="C670">
        <v>668</v>
      </c>
      <c r="D670" t="s">
        <v>3705</v>
      </c>
      <c r="E670">
        <f>1</f>
        <v>1</v>
      </c>
    </row>
    <row r="671" spans="3:5" x14ac:dyDescent="0.25">
      <c r="C671">
        <v>669</v>
      </c>
      <c r="D671" t="s">
        <v>2700</v>
      </c>
      <c r="E671">
        <f>1</f>
        <v>1</v>
      </c>
    </row>
    <row r="672" spans="3:5" x14ac:dyDescent="0.25">
      <c r="C672">
        <v>670</v>
      </c>
      <c r="D672" t="s">
        <v>4570</v>
      </c>
      <c r="E672">
        <f>1</f>
        <v>1</v>
      </c>
    </row>
    <row r="673" spans="3:5" x14ac:dyDescent="0.25">
      <c r="C673">
        <v>671</v>
      </c>
      <c r="D673" t="s">
        <v>3706</v>
      </c>
      <c r="E673">
        <f>1</f>
        <v>1</v>
      </c>
    </row>
    <row r="674" spans="3:5" x14ac:dyDescent="0.25">
      <c r="C674">
        <v>672</v>
      </c>
      <c r="D674" t="s">
        <v>4311</v>
      </c>
      <c r="E674">
        <f>1</f>
        <v>1</v>
      </c>
    </row>
    <row r="675" spans="3:5" x14ac:dyDescent="0.25">
      <c r="C675">
        <v>673</v>
      </c>
      <c r="D675" t="s">
        <v>19546</v>
      </c>
      <c r="E675">
        <f>1</f>
        <v>1</v>
      </c>
    </row>
    <row r="676" spans="3:5" x14ac:dyDescent="0.25">
      <c r="C676">
        <v>674</v>
      </c>
      <c r="D676" t="s">
        <v>4223</v>
      </c>
      <c r="E676">
        <f>1</f>
        <v>1</v>
      </c>
    </row>
    <row r="677" spans="3:5" x14ac:dyDescent="0.25">
      <c r="C677">
        <v>675</v>
      </c>
      <c r="D677" t="s">
        <v>4409</v>
      </c>
      <c r="E677">
        <f>1</f>
        <v>1</v>
      </c>
    </row>
    <row r="678" spans="3:5" x14ac:dyDescent="0.25">
      <c r="C678">
        <v>676</v>
      </c>
      <c r="D678" t="s">
        <v>3707</v>
      </c>
      <c r="E678">
        <f>1</f>
        <v>1</v>
      </c>
    </row>
    <row r="679" spans="3:5" x14ac:dyDescent="0.25">
      <c r="C679">
        <v>677</v>
      </c>
      <c r="D679" t="s">
        <v>3708</v>
      </c>
      <c r="E679">
        <f>1</f>
        <v>1</v>
      </c>
    </row>
    <row r="680" spans="3:5" x14ac:dyDescent="0.25">
      <c r="C680">
        <v>678</v>
      </c>
      <c r="D680" t="s">
        <v>4410</v>
      </c>
      <c r="E680">
        <f>1</f>
        <v>1</v>
      </c>
    </row>
    <row r="681" spans="3:5" x14ac:dyDescent="0.25">
      <c r="C681">
        <v>679</v>
      </c>
      <c r="D681" t="s">
        <v>3709</v>
      </c>
      <c r="E681">
        <f>1</f>
        <v>1</v>
      </c>
    </row>
    <row r="682" spans="3:5" x14ac:dyDescent="0.25">
      <c r="C682">
        <v>680</v>
      </c>
      <c r="D682" t="s">
        <v>3710</v>
      </c>
      <c r="E682">
        <f>1</f>
        <v>1</v>
      </c>
    </row>
    <row r="683" spans="3:5" x14ac:dyDescent="0.25">
      <c r="C683">
        <v>681</v>
      </c>
      <c r="D683" t="s">
        <v>4312</v>
      </c>
      <c r="E683">
        <f>1</f>
        <v>1</v>
      </c>
    </row>
    <row r="684" spans="3:5" x14ac:dyDescent="0.25">
      <c r="C684">
        <v>682</v>
      </c>
      <c r="D684" t="s">
        <v>3711</v>
      </c>
      <c r="E684">
        <f>1</f>
        <v>1</v>
      </c>
    </row>
    <row r="685" spans="3:5" x14ac:dyDescent="0.25">
      <c r="C685">
        <v>683</v>
      </c>
      <c r="D685" t="s">
        <v>3712</v>
      </c>
      <c r="E685">
        <f>1</f>
        <v>1</v>
      </c>
    </row>
    <row r="686" spans="3:5" x14ac:dyDescent="0.25">
      <c r="C686">
        <v>684</v>
      </c>
      <c r="D686" t="s">
        <v>3713</v>
      </c>
      <c r="E686">
        <f>1</f>
        <v>1</v>
      </c>
    </row>
    <row r="687" spans="3:5" x14ac:dyDescent="0.25">
      <c r="C687">
        <v>685</v>
      </c>
      <c r="D687" t="s">
        <v>3714</v>
      </c>
      <c r="E687">
        <f>1</f>
        <v>1</v>
      </c>
    </row>
    <row r="688" spans="3:5" x14ac:dyDescent="0.25">
      <c r="C688">
        <v>686</v>
      </c>
      <c r="D688" t="s">
        <v>3715</v>
      </c>
      <c r="E688">
        <f>1</f>
        <v>1</v>
      </c>
    </row>
    <row r="689" spans="3:5" x14ac:dyDescent="0.25">
      <c r="C689">
        <v>687</v>
      </c>
      <c r="D689" t="s">
        <v>3716</v>
      </c>
      <c r="E689">
        <f>1</f>
        <v>1</v>
      </c>
    </row>
    <row r="690" spans="3:5" x14ac:dyDescent="0.25">
      <c r="C690">
        <v>688</v>
      </c>
      <c r="D690" t="s">
        <v>4224</v>
      </c>
      <c r="E690">
        <f>1</f>
        <v>1</v>
      </c>
    </row>
    <row r="691" spans="3:5" x14ac:dyDescent="0.25">
      <c r="C691">
        <v>689</v>
      </c>
      <c r="D691" t="s">
        <v>3717</v>
      </c>
      <c r="E691">
        <f>1</f>
        <v>1</v>
      </c>
    </row>
    <row r="692" spans="3:5" x14ac:dyDescent="0.25">
      <c r="C692">
        <v>690</v>
      </c>
      <c r="D692" t="s">
        <v>3718</v>
      </c>
      <c r="E692">
        <f>1</f>
        <v>1</v>
      </c>
    </row>
    <row r="693" spans="3:5" x14ac:dyDescent="0.25">
      <c r="C693">
        <v>691</v>
      </c>
      <c r="D693" t="s">
        <v>2787</v>
      </c>
      <c r="E693">
        <f>1</f>
        <v>1</v>
      </c>
    </row>
    <row r="694" spans="3:5" x14ac:dyDescent="0.25">
      <c r="C694">
        <v>692</v>
      </c>
      <c r="D694" t="s">
        <v>3719</v>
      </c>
      <c r="E694">
        <f>1</f>
        <v>1</v>
      </c>
    </row>
    <row r="695" spans="3:5" x14ac:dyDescent="0.25">
      <c r="C695">
        <v>693</v>
      </c>
      <c r="D695" t="s">
        <v>2671</v>
      </c>
      <c r="E695">
        <f>1</f>
        <v>1</v>
      </c>
    </row>
    <row r="696" spans="3:5" x14ac:dyDescent="0.25">
      <c r="C696">
        <v>694</v>
      </c>
      <c r="D696" t="s">
        <v>3720</v>
      </c>
      <c r="E696">
        <f>1</f>
        <v>1</v>
      </c>
    </row>
    <row r="697" spans="3:5" x14ac:dyDescent="0.25">
      <c r="C697">
        <v>695</v>
      </c>
      <c r="D697" t="s">
        <v>3721</v>
      </c>
      <c r="E697">
        <f>1</f>
        <v>1</v>
      </c>
    </row>
    <row r="698" spans="3:5" x14ac:dyDescent="0.25">
      <c r="C698">
        <v>696</v>
      </c>
      <c r="D698" t="s">
        <v>3722</v>
      </c>
      <c r="E698">
        <f>1</f>
        <v>1</v>
      </c>
    </row>
    <row r="699" spans="3:5" x14ac:dyDescent="0.25">
      <c r="C699">
        <v>697</v>
      </c>
      <c r="D699" t="s">
        <v>4313</v>
      </c>
      <c r="E699">
        <f>1</f>
        <v>1</v>
      </c>
    </row>
    <row r="700" spans="3:5" x14ac:dyDescent="0.25">
      <c r="C700">
        <v>698</v>
      </c>
      <c r="D700" t="s">
        <v>3723</v>
      </c>
      <c r="E700">
        <f>1</f>
        <v>1</v>
      </c>
    </row>
    <row r="701" spans="3:5" x14ac:dyDescent="0.25">
      <c r="C701">
        <v>699</v>
      </c>
      <c r="D701" t="s">
        <v>3724</v>
      </c>
      <c r="E701">
        <f>1</f>
        <v>1</v>
      </c>
    </row>
    <row r="702" spans="3:5" x14ac:dyDescent="0.25">
      <c r="C702">
        <v>700</v>
      </c>
      <c r="D702" t="s">
        <v>3725</v>
      </c>
      <c r="E702">
        <f>1</f>
        <v>1</v>
      </c>
    </row>
    <row r="703" spans="3:5" x14ac:dyDescent="0.25">
      <c r="C703">
        <v>701</v>
      </c>
      <c r="D703" t="s">
        <v>3726</v>
      </c>
      <c r="E703">
        <f>1</f>
        <v>1</v>
      </c>
    </row>
    <row r="704" spans="3:5" x14ac:dyDescent="0.25">
      <c r="C704">
        <v>702</v>
      </c>
      <c r="D704" t="s">
        <v>3727</v>
      </c>
      <c r="E704">
        <f>1</f>
        <v>1</v>
      </c>
    </row>
    <row r="705" spans="3:5" x14ac:dyDescent="0.25">
      <c r="C705">
        <v>703</v>
      </c>
      <c r="D705" t="s">
        <v>3728</v>
      </c>
      <c r="E705">
        <f>1</f>
        <v>1</v>
      </c>
    </row>
    <row r="706" spans="3:5" x14ac:dyDescent="0.25">
      <c r="C706">
        <v>704</v>
      </c>
      <c r="D706" t="s">
        <v>3729</v>
      </c>
      <c r="E706">
        <f>1</f>
        <v>1</v>
      </c>
    </row>
    <row r="707" spans="3:5" x14ac:dyDescent="0.25">
      <c r="C707">
        <v>705</v>
      </c>
      <c r="D707" t="s">
        <v>3730</v>
      </c>
      <c r="E707">
        <f>1</f>
        <v>1</v>
      </c>
    </row>
    <row r="708" spans="3:5" x14ac:dyDescent="0.25">
      <c r="C708">
        <v>706</v>
      </c>
      <c r="D708" t="s">
        <v>3731</v>
      </c>
      <c r="E708">
        <f>1</f>
        <v>1</v>
      </c>
    </row>
    <row r="709" spans="3:5" x14ac:dyDescent="0.25">
      <c r="C709">
        <v>707</v>
      </c>
      <c r="D709" t="s">
        <v>3733</v>
      </c>
      <c r="E709">
        <f>1</f>
        <v>1</v>
      </c>
    </row>
    <row r="710" spans="3:5" x14ac:dyDescent="0.25">
      <c r="C710">
        <v>708</v>
      </c>
      <c r="D710" t="s">
        <v>3734</v>
      </c>
      <c r="E710">
        <f>1</f>
        <v>1</v>
      </c>
    </row>
    <row r="711" spans="3:5" x14ac:dyDescent="0.25">
      <c r="C711">
        <v>709</v>
      </c>
      <c r="D711" t="s">
        <v>3735</v>
      </c>
      <c r="E711">
        <f>1</f>
        <v>1</v>
      </c>
    </row>
    <row r="712" spans="3:5" x14ac:dyDescent="0.25">
      <c r="C712">
        <v>710</v>
      </c>
      <c r="D712" t="s">
        <v>3737</v>
      </c>
      <c r="E712">
        <f>1</f>
        <v>1</v>
      </c>
    </row>
    <row r="713" spans="3:5" x14ac:dyDescent="0.25">
      <c r="C713">
        <v>711</v>
      </c>
      <c r="D713" t="s">
        <v>3738</v>
      </c>
      <c r="E713">
        <f>1</f>
        <v>1</v>
      </c>
    </row>
    <row r="714" spans="3:5" x14ac:dyDescent="0.25">
      <c r="C714">
        <v>712</v>
      </c>
      <c r="D714" t="s">
        <v>4571</v>
      </c>
      <c r="E714">
        <f>1</f>
        <v>1</v>
      </c>
    </row>
    <row r="715" spans="3:5" x14ac:dyDescent="0.25">
      <c r="C715">
        <v>713</v>
      </c>
      <c r="D715" t="s">
        <v>3739</v>
      </c>
      <c r="E715">
        <f>1</f>
        <v>1</v>
      </c>
    </row>
    <row r="716" spans="3:5" x14ac:dyDescent="0.25">
      <c r="C716">
        <v>714</v>
      </c>
      <c r="D716" t="s">
        <v>3740</v>
      </c>
      <c r="E716">
        <f>1</f>
        <v>1</v>
      </c>
    </row>
    <row r="717" spans="3:5" x14ac:dyDescent="0.25">
      <c r="C717">
        <v>715</v>
      </c>
      <c r="D717" t="s">
        <v>3741</v>
      </c>
      <c r="E717">
        <f>1</f>
        <v>1</v>
      </c>
    </row>
    <row r="718" spans="3:5" x14ac:dyDescent="0.25">
      <c r="C718">
        <v>716</v>
      </c>
      <c r="D718" t="s">
        <v>3742</v>
      </c>
      <c r="E718">
        <f>1</f>
        <v>1</v>
      </c>
    </row>
    <row r="719" spans="3:5" x14ac:dyDescent="0.25">
      <c r="C719">
        <v>717</v>
      </c>
      <c r="D719" t="s">
        <v>3744</v>
      </c>
      <c r="E719">
        <f>1</f>
        <v>1</v>
      </c>
    </row>
    <row r="720" spans="3:5" x14ac:dyDescent="0.25">
      <c r="C720">
        <v>718</v>
      </c>
      <c r="D720" t="s">
        <v>2689</v>
      </c>
      <c r="E720">
        <f>1</f>
        <v>1</v>
      </c>
    </row>
    <row r="721" spans="3:5" x14ac:dyDescent="0.25">
      <c r="C721">
        <v>719</v>
      </c>
      <c r="D721" t="s">
        <v>3745</v>
      </c>
      <c r="E721">
        <f>1</f>
        <v>1</v>
      </c>
    </row>
    <row r="722" spans="3:5" x14ac:dyDescent="0.25">
      <c r="C722">
        <v>720</v>
      </c>
      <c r="D722" t="s">
        <v>3746</v>
      </c>
      <c r="E722">
        <f>1</f>
        <v>1</v>
      </c>
    </row>
    <row r="723" spans="3:5" x14ac:dyDescent="0.25">
      <c r="C723">
        <v>721</v>
      </c>
      <c r="D723" t="s">
        <v>3747</v>
      </c>
      <c r="E723">
        <f>1</f>
        <v>1</v>
      </c>
    </row>
    <row r="724" spans="3:5" x14ac:dyDescent="0.25">
      <c r="C724">
        <v>722</v>
      </c>
      <c r="D724" t="s">
        <v>4572</v>
      </c>
      <c r="E724">
        <f>1</f>
        <v>1</v>
      </c>
    </row>
    <row r="725" spans="3:5" x14ac:dyDescent="0.25">
      <c r="C725">
        <v>723</v>
      </c>
      <c r="D725" t="s">
        <v>3748</v>
      </c>
      <c r="E725">
        <f>1</f>
        <v>1</v>
      </c>
    </row>
    <row r="726" spans="3:5" x14ac:dyDescent="0.25">
      <c r="C726">
        <v>724</v>
      </c>
      <c r="D726" t="s">
        <v>3749</v>
      </c>
      <c r="E726">
        <f>1</f>
        <v>1</v>
      </c>
    </row>
    <row r="727" spans="3:5" x14ac:dyDescent="0.25">
      <c r="C727">
        <v>725</v>
      </c>
      <c r="D727" t="s">
        <v>3750</v>
      </c>
      <c r="E727">
        <f>1</f>
        <v>1</v>
      </c>
    </row>
    <row r="728" spans="3:5" x14ac:dyDescent="0.25">
      <c r="C728">
        <v>726</v>
      </c>
      <c r="D728" t="s">
        <v>3751</v>
      </c>
      <c r="E728">
        <f>1</f>
        <v>1</v>
      </c>
    </row>
    <row r="729" spans="3:5" x14ac:dyDescent="0.25">
      <c r="C729">
        <v>727</v>
      </c>
      <c r="D729" t="s">
        <v>3752</v>
      </c>
      <c r="E729">
        <f>1</f>
        <v>1</v>
      </c>
    </row>
    <row r="730" spans="3:5" x14ac:dyDescent="0.25">
      <c r="C730">
        <v>728</v>
      </c>
      <c r="D730" t="s">
        <v>3753</v>
      </c>
      <c r="E730">
        <f>1</f>
        <v>1</v>
      </c>
    </row>
    <row r="731" spans="3:5" x14ac:dyDescent="0.25">
      <c r="C731">
        <v>729</v>
      </c>
      <c r="D731" t="s">
        <v>3754</v>
      </c>
      <c r="E731">
        <f>1</f>
        <v>1</v>
      </c>
    </row>
    <row r="732" spans="3:5" x14ac:dyDescent="0.25">
      <c r="C732">
        <v>730</v>
      </c>
      <c r="D732" t="s">
        <v>3755</v>
      </c>
      <c r="E732">
        <f>1</f>
        <v>1</v>
      </c>
    </row>
    <row r="733" spans="3:5" x14ac:dyDescent="0.25">
      <c r="C733">
        <v>731</v>
      </c>
      <c r="D733" t="s">
        <v>3756</v>
      </c>
      <c r="E733">
        <f>1</f>
        <v>1</v>
      </c>
    </row>
    <row r="734" spans="3:5" x14ac:dyDescent="0.25">
      <c r="C734">
        <v>732</v>
      </c>
      <c r="D734" t="s">
        <v>4573</v>
      </c>
      <c r="E734">
        <f>1</f>
        <v>1</v>
      </c>
    </row>
    <row r="735" spans="3:5" x14ac:dyDescent="0.25">
      <c r="C735">
        <v>733</v>
      </c>
      <c r="D735" t="s">
        <v>3757</v>
      </c>
      <c r="E735">
        <f>1</f>
        <v>1</v>
      </c>
    </row>
    <row r="736" spans="3:5" x14ac:dyDescent="0.25">
      <c r="C736">
        <v>734</v>
      </c>
      <c r="D736" t="s">
        <v>4574</v>
      </c>
      <c r="E736">
        <f>1</f>
        <v>1</v>
      </c>
    </row>
    <row r="737" spans="3:5" x14ac:dyDescent="0.25">
      <c r="C737">
        <v>735</v>
      </c>
      <c r="D737" t="s">
        <v>2707</v>
      </c>
      <c r="E737">
        <f>1</f>
        <v>1</v>
      </c>
    </row>
    <row r="738" spans="3:5" x14ac:dyDescent="0.25">
      <c r="C738">
        <v>736</v>
      </c>
      <c r="D738" t="s">
        <v>4412</v>
      </c>
      <c r="E738">
        <f>1</f>
        <v>1</v>
      </c>
    </row>
    <row r="739" spans="3:5" x14ac:dyDescent="0.25">
      <c r="C739">
        <v>737</v>
      </c>
      <c r="D739" t="s">
        <v>3759</v>
      </c>
      <c r="E739">
        <f>1</f>
        <v>1</v>
      </c>
    </row>
    <row r="740" spans="3:5" x14ac:dyDescent="0.25">
      <c r="C740">
        <v>738</v>
      </c>
      <c r="D740" t="s">
        <v>3760</v>
      </c>
      <c r="E740">
        <f>1</f>
        <v>1</v>
      </c>
    </row>
    <row r="741" spans="3:5" x14ac:dyDescent="0.25">
      <c r="C741">
        <v>739</v>
      </c>
      <c r="D741" t="s">
        <v>3761</v>
      </c>
      <c r="E741">
        <f>1</f>
        <v>1</v>
      </c>
    </row>
    <row r="742" spans="3:5" x14ac:dyDescent="0.25">
      <c r="C742">
        <v>740</v>
      </c>
      <c r="D742" t="s">
        <v>2664</v>
      </c>
      <c r="E742">
        <f>1</f>
        <v>1</v>
      </c>
    </row>
    <row r="743" spans="3:5" x14ac:dyDescent="0.25">
      <c r="C743">
        <v>741</v>
      </c>
      <c r="D743" t="s">
        <v>4226</v>
      </c>
      <c r="E743">
        <f>1</f>
        <v>1</v>
      </c>
    </row>
    <row r="744" spans="3:5" x14ac:dyDescent="0.25">
      <c r="C744">
        <v>742</v>
      </c>
      <c r="D744" t="s">
        <v>2638</v>
      </c>
      <c r="E744">
        <f>1</f>
        <v>1</v>
      </c>
    </row>
    <row r="745" spans="3:5" x14ac:dyDescent="0.25">
      <c r="C745">
        <v>743</v>
      </c>
      <c r="D745" t="s">
        <v>3763</v>
      </c>
      <c r="E745">
        <f>1</f>
        <v>1</v>
      </c>
    </row>
    <row r="746" spans="3:5" x14ac:dyDescent="0.25">
      <c r="C746">
        <v>744</v>
      </c>
      <c r="D746" t="s">
        <v>4413</v>
      </c>
      <c r="E746">
        <f>1</f>
        <v>1</v>
      </c>
    </row>
    <row r="747" spans="3:5" x14ac:dyDescent="0.25">
      <c r="C747">
        <v>745</v>
      </c>
      <c r="D747" t="s">
        <v>3765</v>
      </c>
      <c r="E747">
        <f>1</f>
        <v>1</v>
      </c>
    </row>
    <row r="748" spans="3:5" x14ac:dyDescent="0.25">
      <c r="C748">
        <v>746</v>
      </c>
      <c r="D748" t="s">
        <v>3177</v>
      </c>
      <c r="E748">
        <f>1</f>
        <v>1</v>
      </c>
    </row>
    <row r="749" spans="3:5" x14ac:dyDescent="0.25">
      <c r="C749">
        <v>747</v>
      </c>
      <c r="D749" t="s">
        <v>3766</v>
      </c>
      <c r="E749">
        <f>1</f>
        <v>1</v>
      </c>
    </row>
    <row r="750" spans="3:5" x14ac:dyDescent="0.25">
      <c r="C750">
        <v>748</v>
      </c>
      <c r="D750" t="s">
        <v>3767</v>
      </c>
      <c r="E750">
        <f>1</f>
        <v>1</v>
      </c>
    </row>
    <row r="751" spans="3:5" x14ac:dyDescent="0.25">
      <c r="C751">
        <v>749</v>
      </c>
      <c r="D751" t="s">
        <v>3768</v>
      </c>
      <c r="E751">
        <f>1</f>
        <v>1</v>
      </c>
    </row>
    <row r="752" spans="3:5" x14ac:dyDescent="0.25">
      <c r="C752">
        <v>750</v>
      </c>
      <c r="D752" t="s">
        <v>4414</v>
      </c>
      <c r="E752">
        <f>1</f>
        <v>1</v>
      </c>
    </row>
    <row r="753" spans="3:5" x14ac:dyDescent="0.25">
      <c r="C753">
        <v>751</v>
      </c>
      <c r="D753" t="s">
        <v>3769</v>
      </c>
      <c r="E753">
        <f>1</f>
        <v>1</v>
      </c>
    </row>
    <row r="754" spans="3:5" x14ac:dyDescent="0.25">
      <c r="C754">
        <v>752</v>
      </c>
      <c r="D754" t="s">
        <v>3770</v>
      </c>
      <c r="E754">
        <f>1</f>
        <v>1</v>
      </c>
    </row>
    <row r="755" spans="3:5" x14ac:dyDescent="0.25">
      <c r="C755">
        <v>753</v>
      </c>
      <c r="D755" t="s">
        <v>3772</v>
      </c>
      <c r="E755">
        <f>1</f>
        <v>1</v>
      </c>
    </row>
    <row r="756" spans="3:5" x14ac:dyDescent="0.25">
      <c r="C756">
        <v>754</v>
      </c>
      <c r="D756" t="s">
        <v>3773</v>
      </c>
      <c r="E756">
        <f>1</f>
        <v>1</v>
      </c>
    </row>
    <row r="757" spans="3:5" x14ac:dyDescent="0.25">
      <c r="C757">
        <v>755</v>
      </c>
      <c r="D757" t="s">
        <v>3774</v>
      </c>
      <c r="E757">
        <f>1</f>
        <v>1</v>
      </c>
    </row>
    <row r="758" spans="3:5" x14ac:dyDescent="0.25">
      <c r="C758">
        <v>756</v>
      </c>
      <c r="D758" t="s">
        <v>3776</v>
      </c>
      <c r="E758">
        <f>1</f>
        <v>1</v>
      </c>
    </row>
    <row r="759" spans="3:5" x14ac:dyDescent="0.25">
      <c r="C759">
        <v>757</v>
      </c>
      <c r="D759" t="s">
        <v>3777</v>
      </c>
      <c r="E759">
        <f>1</f>
        <v>1</v>
      </c>
    </row>
    <row r="760" spans="3:5" x14ac:dyDescent="0.25">
      <c r="C760">
        <v>758</v>
      </c>
      <c r="D760" t="s">
        <v>3778</v>
      </c>
      <c r="E760">
        <f>1</f>
        <v>1</v>
      </c>
    </row>
    <row r="761" spans="3:5" x14ac:dyDescent="0.25">
      <c r="C761">
        <v>759</v>
      </c>
      <c r="D761" t="s">
        <v>3779</v>
      </c>
      <c r="E761">
        <f>1</f>
        <v>1</v>
      </c>
    </row>
    <row r="762" spans="3:5" x14ac:dyDescent="0.25">
      <c r="C762">
        <v>760</v>
      </c>
      <c r="D762" t="s">
        <v>2788</v>
      </c>
      <c r="E762">
        <f>1</f>
        <v>1</v>
      </c>
    </row>
    <row r="763" spans="3:5" x14ac:dyDescent="0.25">
      <c r="C763">
        <v>761</v>
      </c>
      <c r="D763" t="s">
        <v>4227</v>
      </c>
      <c r="E763">
        <f>1</f>
        <v>1</v>
      </c>
    </row>
    <row r="764" spans="3:5" x14ac:dyDescent="0.25">
      <c r="C764">
        <v>762</v>
      </c>
      <c r="D764" t="s">
        <v>3780</v>
      </c>
      <c r="E764">
        <f>1</f>
        <v>1</v>
      </c>
    </row>
    <row r="765" spans="3:5" x14ac:dyDescent="0.25">
      <c r="C765">
        <v>763</v>
      </c>
      <c r="D765" t="s">
        <v>4415</v>
      </c>
      <c r="E765">
        <f>1</f>
        <v>1</v>
      </c>
    </row>
    <row r="766" spans="3:5" x14ac:dyDescent="0.25">
      <c r="C766">
        <v>764</v>
      </c>
      <c r="D766" t="s">
        <v>4575</v>
      </c>
      <c r="E766">
        <f>1</f>
        <v>1</v>
      </c>
    </row>
    <row r="767" spans="3:5" x14ac:dyDescent="0.25">
      <c r="C767">
        <v>765</v>
      </c>
      <c r="D767" t="s">
        <v>3781</v>
      </c>
      <c r="E767">
        <f>1</f>
        <v>1</v>
      </c>
    </row>
    <row r="768" spans="3:5" x14ac:dyDescent="0.25">
      <c r="C768">
        <v>766</v>
      </c>
      <c r="D768" t="s">
        <v>3782</v>
      </c>
      <c r="E768">
        <f>1</f>
        <v>1</v>
      </c>
    </row>
    <row r="769" spans="3:5" x14ac:dyDescent="0.25">
      <c r="C769">
        <v>767</v>
      </c>
      <c r="D769" t="s">
        <v>4576</v>
      </c>
      <c r="E769">
        <f>1</f>
        <v>1</v>
      </c>
    </row>
    <row r="770" spans="3:5" x14ac:dyDescent="0.25">
      <c r="C770">
        <v>768</v>
      </c>
      <c r="D770" t="s">
        <v>3783</v>
      </c>
      <c r="E770">
        <f>1</f>
        <v>1</v>
      </c>
    </row>
    <row r="771" spans="3:5" x14ac:dyDescent="0.25">
      <c r="C771">
        <v>769</v>
      </c>
      <c r="D771" t="s">
        <v>4577</v>
      </c>
      <c r="E771">
        <f>1</f>
        <v>1</v>
      </c>
    </row>
    <row r="772" spans="3:5" x14ac:dyDescent="0.25">
      <c r="C772">
        <v>770</v>
      </c>
      <c r="D772" t="s">
        <v>3784</v>
      </c>
      <c r="E772">
        <f>1</f>
        <v>1</v>
      </c>
    </row>
    <row r="773" spans="3:5" x14ac:dyDescent="0.25">
      <c r="C773">
        <v>771</v>
      </c>
      <c r="D773" t="s">
        <v>4511</v>
      </c>
      <c r="E773">
        <f>1</f>
        <v>1</v>
      </c>
    </row>
    <row r="774" spans="3:5" x14ac:dyDescent="0.25">
      <c r="C774">
        <v>772</v>
      </c>
      <c r="D774" t="s">
        <v>3785</v>
      </c>
      <c r="E774">
        <f>1</f>
        <v>1</v>
      </c>
    </row>
    <row r="775" spans="3:5" x14ac:dyDescent="0.25">
      <c r="C775">
        <v>773</v>
      </c>
      <c r="D775" t="s">
        <v>3786</v>
      </c>
      <c r="E775">
        <f>1</f>
        <v>1</v>
      </c>
    </row>
    <row r="776" spans="3:5" x14ac:dyDescent="0.25">
      <c r="C776">
        <v>774</v>
      </c>
      <c r="D776" t="s">
        <v>3787</v>
      </c>
      <c r="E776">
        <f>1</f>
        <v>1</v>
      </c>
    </row>
    <row r="777" spans="3:5" x14ac:dyDescent="0.25">
      <c r="C777">
        <v>775</v>
      </c>
      <c r="D777" t="s">
        <v>3788</v>
      </c>
      <c r="E777">
        <f>1</f>
        <v>1</v>
      </c>
    </row>
    <row r="778" spans="3:5" x14ac:dyDescent="0.25">
      <c r="C778">
        <v>776</v>
      </c>
      <c r="D778" t="s">
        <v>3789</v>
      </c>
      <c r="E778">
        <f>1</f>
        <v>1</v>
      </c>
    </row>
    <row r="779" spans="3:5" x14ac:dyDescent="0.25">
      <c r="C779">
        <v>777</v>
      </c>
      <c r="D779" t="s">
        <v>3790</v>
      </c>
      <c r="E779">
        <f>1</f>
        <v>1</v>
      </c>
    </row>
    <row r="780" spans="3:5" x14ac:dyDescent="0.25">
      <c r="C780">
        <v>778</v>
      </c>
      <c r="D780" t="s">
        <v>2790</v>
      </c>
      <c r="E780">
        <f>1</f>
        <v>1</v>
      </c>
    </row>
    <row r="781" spans="3:5" x14ac:dyDescent="0.25">
      <c r="C781">
        <v>779</v>
      </c>
      <c r="D781" t="s">
        <v>4416</v>
      </c>
      <c r="E781">
        <f>1</f>
        <v>1</v>
      </c>
    </row>
    <row r="782" spans="3:5" x14ac:dyDescent="0.25">
      <c r="C782">
        <v>780</v>
      </c>
      <c r="D782" t="s">
        <v>3791</v>
      </c>
      <c r="E782">
        <f>1</f>
        <v>1</v>
      </c>
    </row>
    <row r="783" spans="3:5" x14ac:dyDescent="0.25">
      <c r="C783">
        <v>781</v>
      </c>
      <c r="D783" t="s">
        <v>3792</v>
      </c>
      <c r="E783">
        <f>1</f>
        <v>1</v>
      </c>
    </row>
    <row r="784" spans="3:5" x14ac:dyDescent="0.25">
      <c r="C784">
        <v>782</v>
      </c>
      <c r="D784" t="s">
        <v>3793</v>
      </c>
      <c r="E784">
        <f>1</f>
        <v>1</v>
      </c>
    </row>
    <row r="785" spans="3:5" x14ac:dyDescent="0.25">
      <c r="C785">
        <v>783</v>
      </c>
      <c r="D785" t="s">
        <v>3794</v>
      </c>
      <c r="E785">
        <f>1</f>
        <v>1</v>
      </c>
    </row>
    <row r="786" spans="3:5" x14ac:dyDescent="0.25">
      <c r="C786">
        <v>784</v>
      </c>
      <c r="D786" t="s">
        <v>3796</v>
      </c>
      <c r="E786">
        <f>1</f>
        <v>1</v>
      </c>
    </row>
    <row r="787" spans="3:5" x14ac:dyDescent="0.25">
      <c r="C787">
        <v>785</v>
      </c>
      <c r="D787" t="s">
        <v>3797</v>
      </c>
      <c r="E787">
        <f>1</f>
        <v>1</v>
      </c>
    </row>
    <row r="788" spans="3:5" x14ac:dyDescent="0.25">
      <c r="C788">
        <v>786</v>
      </c>
      <c r="D788" t="s">
        <v>3798</v>
      </c>
      <c r="E788">
        <f>1</f>
        <v>1</v>
      </c>
    </row>
    <row r="789" spans="3:5" x14ac:dyDescent="0.25">
      <c r="C789">
        <v>787</v>
      </c>
      <c r="D789" t="s">
        <v>2657</v>
      </c>
      <c r="E789">
        <f>1</f>
        <v>1</v>
      </c>
    </row>
    <row r="790" spans="3:5" x14ac:dyDescent="0.25">
      <c r="C790">
        <v>788</v>
      </c>
      <c r="D790" t="s">
        <v>3799</v>
      </c>
      <c r="E790">
        <f>1</f>
        <v>1</v>
      </c>
    </row>
    <row r="791" spans="3:5" x14ac:dyDescent="0.25">
      <c r="C791">
        <v>789</v>
      </c>
      <c r="D791" t="s">
        <v>4578</v>
      </c>
      <c r="E791">
        <f>1</f>
        <v>1</v>
      </c>
    </row>
    <row r="792" spans="3:5" x14ac:dyDescent="0.25">
      <c r="C792">
        <v>790</v>
      </c>
      <c r="D792" t="s">
        <v>3800</v>
      </c>
      <c r="E792">
        <f>1</f>
        <v>1</v>
      </c>
    </row>
    <row r="793" spans="3:5" x14ac:dyDescent="0.25">
      <c r="C793">
        <v>791</v>
      </c>
      <c r="D793" t="s">
        <v>4253</v>
      </c>
      <c r="E793">
        <f>1</f>
        <v>1</v>
      </c>
    </row>
    <row r="794" spans="3:5" x14ac:dyDescent="0.25">
      <c r="C794">
        <v>792</v>
      </c>
      <c r="D794" t="s">
        <v>2794</v>
      </c>
      <c r="E794">
        <f>1</f>
        <v>1</v>
      </c>
    </row>
    <row r="795" spans="3:5" x14ac:dyDescent="0.25">
      <c r="C795">
        <v>793</v>
      </c>
      <c r="D795" t="s">
        <v>3801</v>
      </c>
      <c r="E795">
        <f>1</f>
        <v>1</v>
      </c>
    </row>
    <row r="796" spans="3:5" x14ac:dyDescent="0.25">
      <c r="C796">
        <v>794</v>
      </c>
      <c r="D796" t="s">
        <v>3802</v>
      </c>
      <c r="E796">
        <f>1</f>
        <v>1</v>
      </c>
    </row>
    <row r="797" spans="3:5" x14ac:dyDescent="0.25">
      <c r="C797">
        <v>795</v>
      </c>
      <c r="D797" t="s">
        <v>3803</v>
      </c>
      <c r="E797">
        <f>1</f>
        <v>1</v>
      </c>
    </row>
    <row r="798" spans="3:5" x14ac:dyDescent="0.25">
      <c r="C798">
        <v>796</v>
      </c>
      <c r="D798" t="s">
        <v>3804</v>
      </c>
      <c r="E798">
        <f>1</f>
        <v>1</v>
      </c>
    </row>
    <row r="799" spans="3:5" x14ac:dyDescent="0.25">
      <c r="C799">
        <v>797</v>
      </c>
      <c r="D799" t="s">
        <v>3805</v>
      </c>
      <c r="E799">
        <f>1</f>
        <v>1</v>
      </c>
    </row>
    <row r="800" spans="3:5" x14ac:dyDescent="0.25">
      <c r="C800">
        <v>798</v>
      </c>
      <c r="D800" t="s">
        <v>3806</v>
      </c>
      <c r="E800">
        <f>1</f>
        <v>1</v>
      </c>
    </row>
    <row r="801" spans="3:5" x14ac:dyDescent="0.25">
      <c r="C801">
        <v>799</v>
      </c>
      <c r="D801" t="s">
        <v>3807</v>
      </c>
      <c r="E801">
        <f>1</f>
        <v>1</v>
      </c>
    </row>
    <row r="802" spans="3:5" x14ac:dyDescent="0.25">
      <c r="C802">
        <v>800</v>
      </c>
      <c r="D802" t="s">
        <v>3808</v>
      </c>
      <c r="E802">
        <f>1</f>
        <v>1</v>
      </c>
    </row>
    <row r="803" spans="3:5" x14ac:dyDescent="0.25">
      <c r="C803">
        <v>801</v>
      </c>
      <c r="D803" t="s">
        <v>3809</v>
      </c>
      <c r="E803">
        <f>1</f>
        <v>1</v>
      </c>
    </row>
    <row r="804" spans="3:5" x14ac:dyDescent="0.25">
      <c r="C804">
        <v>802</v>
      </c>
      <c r="D804" t="s">
        <v>3810</v>
      </c>
      <c r="E804">
        <f>1</f>
        <v>1</v>
      </c>
    </row>
    <row r="805" spans="3:5" x14ac:dyDescent="0.25">
      <c r="C805">
        <v>803</v>
      </c>
      <c r="D805" t="s">
        <v>3811</v>
      </c>
      <c r="E805">
        <f>1</f>
        <v>1</v>
      </c>
    </row>
    <row r="806" spans="3:5" x14ac:dyDescent="0.25">
      <c r="C806">
        <v>804</v>
      </c>
      <c r="D806" t="s">
        <v>3812</v>
      </c>
      <c r="E806">
        <f>1</f>
        <v>1</v>
      </c>
    </row>
    <row r="807" spans="3:5" x14ac:dyDescent="0.25">
      <c r="C807">
        <v>805</v>
      </c>
      <c r="D807" t="s">
        <v>3813</v>
      </c>
      <c r="E807">
        <f>1</f>
        <v>1</v>
      </c>
    </row>
    <row r="808" spans="3:5" x14ac:dyDescent="0.25">
      <c r="C808">
        <v>806</v>
      </c>
      <c r="D808" t="s">
        <v>3814</v>
      </c>
      <c r="E808">
        <f>1</f>
        <v>1</v>
      </c>
    </row>
    <row r="809" spans="3:5" x14ac:dyDescent="0.25">
      <c r="C809">
        <v>807</v>
      </c>
      <c r="D809" t="s">
        <v>3815</v>
      </c>
      <c r="E809">
        <f>1</f>
        <v>1</v>
      </c>
    </row>
    <row r="810" spans="3:5" x14ac:dyDescent="0.25">
      <c r="C810">
        <v>808</v>
      </c>
      <c r="D810" t="s">
        <v>3816</v>
      </c>
      <c r="E810">
        <f>1</f>
        <v>1</v>
      </c>
    </row>
    <row r="811" spans="3:5" x14ac:dyDescent="0.25">
      <c r="C811">
        <v>809</v>
      </c>
      <c r="D811" t="s">
        <v>3817</v>
      </c>
      <c r="E811">
        <f>1</f>
        <v>1</v>
      </c>
    </row>
    <row r="812" spans="3:5" x14ac:dyDescent="0.25">
      <c r="C812">
        <v>810</v>
      </c>
      <c r="D812" t="s">
        <v>3818</v>
      </c>
      <c r="E812">
        <f>1</f>
        <v>1</v>
      </c>
    </row>
    <row r="813" spans="3:5" x14ac:dyDescent="0.25">
      <c r="C813">
        <v>811</v>
      </c>
      <c r="D813" t="s">
        <v>4579</v>
      </c>
      <c r="E813">
        <f>1</f>
        <v>1</v>
      </c>
    </row>
    <row r="814" spans="3:5" x14ac:dyDescent="0.25">
      <c r="C814">
        <v>812</v>
      </c>
      <c r="D814" t="s">
        <v>2783</v>
      </c>
      <c r="E814">
        <f>1</f>
        <v>1</v>
      </c>
    </row>
    <row r="815" spans="3:5" x14ac:dyDescent="0.25">
      <c r="C815">
        <v>813</v>
      </c>
      <c r="D815" t="s">
        <v>3819</v>
      </c>
      <c r="E815">
        <f>1</f>
        <v>1</v>
      </c>
    </row>
    <row r="816" spans="3:5" x14ac:dyDescent="0.25">
      <c r="C816">
        <v>814</v>
      </c>
      <c r="D816" t="s">
        <v>3820</v>
      </c>
      <c r="E816">
        <f>1</f>
        <v>1</v>
      </c>
    </row>
    <row r="817" spans="3:5" x14ac:dyDescent="0.25">
      <c r="C817">
        <v>815</v>
      </c>
      <c r="D817" t="s">
        <v>3821</v>
      </c>
      <c r="E817">
        <f>1</f>
        <v>1</v>
      </c>
    </row>
    <row r="818" spans="3:5" x14ac:dyDescent="0.25">
      <c r="C818">
        <v>816</v>
      </c>
      <c r="D818" t="s">
        <v>3822</v>
      </c>
      <c r="E818">
        <f>1</f>
        <v>1</v>
      </c>
    </row>
    <row r="819" spans="3:5" x14ac:dyDescent="0.25">
      <c r="C819">
        <v>817</v>
      </c>
      <c r="D819" t="s">
        <v>3824</v>
      </c>
      <c r="E819">
        <f>1</f>
        <v>1</v>
      </c>
    </row>
    <row r="820" spans="3:5" x14ac:dyDescent="0.25">
      <c r="C820">
        <v>818</v>
      </c>
      <c r="D820" t="s">
        <v>3825</v>
      </c>
      <c r="E820">
        <f>1</f>
        <v>1</v>
      </c>
    </row>
    <row r="821" spans="3:5" x14ac:dyDescent="0.25">
      <c r="C821">
        <v>819</v>
      </c>
      <c r="D821" t="s">
        <v>4418</v>
      </c>
      <c r="E821">
        <f>1</f>
        <v>1</v>
      </c>
    </row>
    <row r="822" spans="3:5" x14ac:dyDescent="0.25">
      <c r="C822">
        <v>820</v>
      </c>
      <c r="D822" t="s">
        <v>3826</v>
      </c>
      <c r="E822">
        <f>1</f>
        <v>1</v>
      </c>
    </row>
    <row r="823" spans="3:5" x14ac:dyDescent="0.25">
      <c r="C823">
        <v>821</v>
      </c>
      <c r="D823" t="s">
        <v>3827</v>
      </c>
      <c r="E823">
        <f>1</f>
        <v>1</v>
      </c>
    </row>
    <row r="824" spans="3:5" x14ac:dyDescent="0.25">
      <c r="C824">
        <v>822</v>
      </c>
      <c r="D824" t="s">
        <v>3828</v>
      </c>
      <c r="E824">
        <f>1</f>
        <v>1</v>
      </c>
    </row>
    <row r="825" spans="3:5" x14ac:dyDescent="0.25">
      <c r="C825">
        <v>823</v>
      </c>
      <c r="D825" t="s">
        <v>3829</v>
      </c>
      <c r="E825">
        <f>1</f>
        <v>1</v>
      </c>
    </row>
    <row r="826" spans="3:5" x14ac:dyDescent="0.25">
      <c r="C826">
        <v>824</v>
      </c>
      <c r="D826" t="s">
        <v>3830</v>
      </c>
      <c r="E826">
        <f>1</f>
        <v>1</v>
      </c>
    </row>
    <row r="827" spans="3:5" x14ac:dyDescent="0.25">
      <c r="C827">
        <v>825</v>
      </c>
      <c r="D827" t="s">
        <v>4419</v>
      </c>
      <c r="E827">
        <f>1</f>
        <v>1</v>
      </c>
    </row>
    <row r="828" spans="3:5" x14ac:dyDescent="0.25">
      <c r="C828">
        <v>826</v>
      </c>
      <c r="D828" t="s">
        <v>3831</v>
      </c>
      <c r="E828">
        <f>1</f>
        <v>1</v>
      </c>
    </row>
    <row r="829" spans="3:5" x14ac:dyDescent="0.25">
      <c r="C829">
        <v>827</v>
      </c>
      <c r="D829" t="s">
        <v>3832</v>
      </c>
      <c r="E829">
        <f>1</f>
        <v>1</v>
      </c>
    </row>
    <row r="830" spans="3:5" x14ac:dyDescent="0.25">
      <c r="C830">
        <v>828</v>
      </c>
      <c r="D830" t="s">
        <v>3833</v>
      </c>
      <c r="E830">
        <f>1</f>
        <v>1</v>
      </c>
    </row>
    <row r="831" spans="3:5" x14ac:dyDescent="0.25">
      <c r="C831">
        <v>829</v>
      </c>
      <c r="D831" t="s">
        <v>3834</v>
      </c>
      <c r="E831">
        <f>1</f>
        <v>1</v>
      </c>
    </row>
    <row r="832" spans="3:5" x14ac:dyDescent="0.25">
      <c r="C832">
        <v>830</v>
      </c>
      <c r="D832" t="s">
        <v>3835</v>
      </c>
      <c r="E832">
        <f>1</f>
        <v>1</v>
      </c>
    </row>
    <row r="833" spans="3:5" x14ac:dyDescent="0.25">
      <c r="C833">
        <v>831</v>
      </c>
      <c r="D833" t="s">
        <v>19892</v>
      </c>
      <c r="E833">
        <f>1</f>
        <v>1</v>
      </c>
    </row>
    <row r="834" spans="3:5" x14ac:dyDescent="0.25">
      <c r="C834">
        <v>832</v>
      </c>
      <c r="D834" t="s">
        <v>3836</v>
      </c>
      <c r="E834">
        <f>1</f>
        <v>1</v>
      </c>
    </row>
    <row r="835" spans="3:5" x14ac:dyDescent="0.25">
      <c r="C835">
        <v>833</v>
      </c>
      <c r="D835" t="s">
        <v>3837</v>
      </c>
      <c r="E835">
        <f>1</f>
        <v>1</v>
      </c>
    </row>
    <row r="836" spans="3:5" x14ac:dyDescent="0.25">
      <c r="C836">
        <v>834</v>
      </c>
      <c r="D836" t="s">
        <v>3838</v>
      </c>
      <c r="E836">
        <f>1</f>
        <v>1</v>
      </c>
    </row>
    <row r="837" spans="3:5" x14ac:dyDescent="0.25">
      <c r="C837">
        <v>835</v>
      </c>
      <c r="D837" t="s">
        <v>3839</v>
      </c>
      <c r="E837">
        <f>1</f>
        <v>1</v>
      </c>
    </row>
    <row r="838" spans="3:5" x14ac:dyDescent="0.25">
      <c r="C838">
        <v>836</v>
      </c>
      <c r="D838" t="s">
        <v>3840</v>
      </c>
      <c r="E838">
        <f>1</f>
        <v>1</v>
      </c>
    </row>
    <row r="839" spans="3:5" x14ac:dyDescent="0.25">
      <c r="C839">
        <v>837</v>
      </c>
      <c r="D839" t="s">
        <v>3841</v>
      </c>
      <c r="E839">
        <f>1</f>
        <v>1</v>
      </c>
    </row>
    <row r="840" spans="3:5" x14ac:dyDescent="0.25">
      <c r="C840">
        <v>838</v>
      </c>
      <c r="D840" t="s">
        <v>3842</v>
      </c>
      <c r="E840">
        <f>1</f>
        <v>1</v>
      </c>
    </row>
    <row r="841" spans="3:5" x14ac:dyDescent="0.25">
      <c r="C841">
        <v>839</v>
      </c>
      <c r="D841" t="s">
        <v>3843</v>
      </c>
      <c r="E841">
        <f>1</f>
        <v>1</v>
      </c>
    </row>
    <row r="842" spans="3:5" x14ac:dyDescent="0.25">
      <c r="C842">
        <v>840</v>
      </c>
      <c r="D842" t="s">
        <v>2797</v>
      </c>
      <c r="E842">
        <f>1</f>
        <v>1</v>
      </c>
    </row>
    <row r="843" spans="3:5" x14ac:dyDescent="0.25">
      <c r="C843">
        <v>841</v>
      </c>
      <c r="D843" t="s">
        <v>3844</v>
      </c>
      <c r="E843">
        <f>1</f>
        <v>1</v>
      </c>
    </row>
    <row r="844" spans="3:5" x14ac:dyDescent="0.25">
      <c r="C844">
        <v>842</v>
      </c>
      <c r="D844" t="s">
        <v>3845</v>
      </c>
      <c r="E844">
        <f>1</f>
        <v>1</v>
      </c>
    </row>
    <row r="845" spans="3:5" x14ac:dyDescent="0.25">
      <c r="C845">
        <v>843</v>
      </c>
      <c r="D845" t="s">
        <v>3846</v>
      </c>
      <c r="E845">
        <f>1</f>
        <v>1</v>
      </c>
    </row>
    <row r="846" spans="3:5" x14ac:dyDescent="0.25">
      <c r="C846">
        <v>844</v>
      </c>
      <c r="D846" t="s">
        <v>3847</v>
      </c>
      <c r="E846">
        <f>1</f>
        <v>1</v>
      </c>
    </row>
    <row r="847" spans="3:5" x14ac:dyDescent="0.25">
      <c r="C847">
        <v>845</v>
      </c>
      <c r="D847" t="s">
        <v>3848</v>
      </c>
      <c r="E847">
        <f>1</f>
        <v>1</v>
      </c>
    </row>
    <row r="848" spans="3:5" x14ac:dyDescent="0.25">
      <c r="C848">
        <v>846</v>
      </c>
      <c r="D848" t="s">
        <v>3849</v>
      </c>
      <c r="E848">
        <f>1</f>
        <v>1</v>
      </c>
    </row>
    <row r="849" spans="3:5" x14ac:dyDescent="0.25">
      <c r="C849">
        <v>847</v>
      </c>
      <c r="D849" t="s">
        <v>4228</v>
      </c>
      <c r="E849">
        <f>1</f>
        <v>1</v>
      </c>
    </row>
    <row r="850" spans="3:5" x14ac:dyDescent="0.25">
      <c r="C850">
        <v>848</v>
      </c>
      <c r="D850" t="s">
        <v>3850</v>
      </c>
      <c r="E850">
        <f>1</f>
        <v>1</v>
      </c>
    </row>
    <row r="851" spans="3:5" x14ac:dyDescent="0.25">
      <c r="C851">
        <v>849</v>
      </c>
      <c r="D851" t="s">
        <v>3851</v>
      </c>
      <c r="E851">
        <f>1</f>
        <v>1</v>
      </c>
    </row>
    <row r="852" spans="3:5" x14ac:dyDescent="0.25">
      <c r="C852">
        <v>850</v>
      </c>
      <c r="D852" t="s">
        <v>4421</v>
      </c>
      <c r="E852">
        <f>1</f>
        <v>1</v>
      </c>
    </row>
    <row r="853" spans="3:5" x14ac:dyDescent="0.25">
      <c r="C853">
        <v>851</v>
      </c>
      <c r="D853" t="s">
        <v>4580</v>
      </c>
      <c r="E853">
        <f>1</f>
        <v>1</v>
      </c>
    </row>
    <row r="854" spans="3:5" x14ac:dyDescent="0.25">
      <c r="C854">
        <v>852</v>
      </c>
      <c r="D854" t="s">
        <v>4581</v>
      </c>
      <c r="E854">
        <f>1</f>
        <v>1</v>
      </c>
    </row>
    <row r="855" spans="3:5" x14ac:dyDescent="0.25">
      <c r="C855">
        <v>853</v>
      </c>
      <c r="D855" t="s">
        <v>3852</v>
      </c>
      <c r="E855">
        <f>1</f>
        <v>1</v>
      </c>
    </row>
    <row r="856" spans="3:5" x14ac:dyDescent="0.25">
      <c r="C856">
        <v>854</v>
      </c>
      <c r="D856" t="s">
        <v>4422</v>
      </c>
      <c r="E856">
        <f>1</f>
        <v>1</v>
      </c>
    </row>
    <row r="857" spans="3:5" x14ac:dyDescent="0.25">
      <c r="C857">
        <v>855</v>
      </c>
      <c r="D857" t="s">
        <v>3853</v>
      </c>
      <c r="E857">
        <f>1</f>
        <v>1</v>
      </c>
    </row>
    <row r="858" spans="3:5" x14ac:dyDescent="0.25">
      <c r="C858">
        <v>856</v>
      </c>
      <c r="D858" t="s">
        <v>3854</v>
      </c>
      <c r="E858">
        <f>1</f>
        <v>1</v>
      </c>
    </row>
    <row r="859" spans="3:5" x14ac:dyDescent="0.25">
      <c r="C859">
        <v>857</v>
      </c>
      <c r="D859" t="s">
        <v>3855</v>
      </c>
      <c r="E859">
        <f>1</f>
        <v>1</v>
      </c>
    </row>
    <row r="860" spans="3:5" x14ac:dyDescent="0.25">
      <c r="C860">
        <v>858</v>
      </c>
      <c r="D860" t="s">
        <v>3856</v>
      </c>
      <c r="E860">
        <f>1</f>
        <v>1</v>
      </c>
    </row>
    <row r="861" spans="3:5" x14ac:dyDescent="0.25">
      <c r="C861">
        <v>859</v>
      </c>
      <c r="D861" t="s">
        <v>4582</v>
      </c>
      <c r="E861">
        <f>1</f>
        <v>1</v>
      </c>
    </row>
    <row r="862" spans="3:5" x14ac:dyDescent="0.25">
      <c r="C862">
        <v>860</v>
      </c>
      <c r="D862" t="s">
        <v>19775</v>
      </c>
      <c r="E862">
        <f>1</f>
        <v>1</v>
      </c>
    </row>
    <row r="863" spans="3:5" x14ac:dyDescent="0.25">
      <c r="C863">
        <v>861</v>
      </c>
      <c r="D863" t="s">
        <v>3858</v>
      </c>
      <c r="E863">
        <f>1</f>
        <v>1</v>
      </c>
    </row>
    <row r="864" spans="3:5" x14ac:dyDescent="0.25">
      <c r="C864">
        <v>862</v>
      </c>
      <c r="D864" t="s">
        <v>3859</v>
      </c>
      <c r="E864">
        <f>1</f>
        <v>1</v>
      </c>
    </row>
    <row r="865" spans="3:5" x14ac:dyDescent="0.25">
      <c r="C865">
        <v>863</v>
      </c>
      <c r="D865" t="s">
        <v>4583</v>
      </c>
      <c r="E865">
        <f>1</f>
        <v>1</v>
      </c>
    </row>
    <row r="866" spans="3:5" x14ac:dyDescent="0.25">
      <c r="C866">
        <v>864</v>
      </c>
      <c r="D866" t="s">
        <v>3860</v>
      </c>
      <c r="E866">
        <f>1</f>
        <v>1</v>
      </c>
    </row>
    <row r="867" spans="3:5" x14ac:dyDescent="0.25">
      <c r="C867">
        <v>865</v>
      </c>
      <c r="D867" t="s">
        <v>2640</v>
      </c>
      <c r="E867">
        <f>1</f>
        <v>1</v>
      </c>
    </row>
    <row r="868" spans="3:5" x14ac:dyDescent="0.25">
      <c r="C868">
        <v>866</v>
      </c>
      <c r="D868" t="s">
        <v>3861</v>
      </c>
      <c r="E868">
        <f>1</f>
        <v>1</v>
      </c>
    </row>
    <row r="869" spans="3:5" x14ac:dyDescent="0.25">
      <c r="C869">
        <v>867</v>
      </c>
      <c r="D869" t="s">
        <v>3862</v>
      </c>
      <c r="E869">
        <f>1</f>
        <v>1</v>
      </c>
    </row>
    <row r="870" spans="3:5" x14ac:dyDescent="0.25">
      <c r="C870">
        <v>868</v>
      </c>
      <c r="D870" t="s">
        <v>4584</v>
      </c>
      <c r="E870">
        <f>1</f>
        <v>1</v>
      </c>
    </row>
    <row r="871" spans="3:5" x14ac:dyDescent="0.25">
      <c r="C871">
        <v>869</v>
      </c>
      <c r="D871" t="s">
        <v>4585</v>
      </c>
      <c r="E871">
        <f>1</f>
        <v>1</v>
      </c>
    </row>
    <row r="872" spans="3:5" x14ac:dyDescent="0.25">
      <c r="C872">
        <v>870</v>
      </c>
      <c r="D872" t="s">
        <v>3863</v>
      </c>
      <c r="E872">
        <f>1</f>
        <v>1</v>
      </c>
    </row>
    <row r="873" spans="3:5" x14ac:dyDescent="0.25">
      <c r="C873">
        <v>871</v>
      </c>
      <c r="D873" t="s">
        <v>3864</v>
      </c>
      <c r="E873">
        <f>1</f>
        <v>1</v>
      </c>
    </row>
    <row r="874" spans="3:5" x14ac:dyDescent="0.25">
      <c r="C874">
        <v>872</v>
      </c>
      <c r="D874" t="s">
        <v>3865</v>
      </c>
      <c r="E874">
        <f>1</f>
        <v>1</v>
      </c>
    </row>
    <row r="875" spans="3:5" x14ac:dyDescent="0.25">
      <c r="C875">
        <v>873</v>
      </c>
      <c r="D875" t="s">
        <v>3866</v>
      </c>
      <c r="E875">
        <f>1</f>
        <v>1</v>
      </c>
    </row>
    <row r="876" spans="3:5" x14ac:dyDescent="0.25">
      <c r="C876">
        <v>874</v>
      </c>
      <c r="D876" t="s">
        <v>3867</v>
      </c>
      <c r="E876">
        <f>1</f>
        <v>1</v>
      </c>
    </row>
    <row r="877" spans="3:5" x14ac:dyDescent="0.25">
      <c r="C877">
        <v>875</v>
      </c>
      <c r="D877" t="s">
        <v>4314</v>
      </c>
      <c r="E877">
        <f>1</f>
        <v>1</v>
      </c>
    </row>
    <row r="878" spans="3:5" x14ac:dyDescent="0.25">
      <c r="C878">
        <v>876</v>
      </c>
      <c r="D878" t="s">
        <v>3868</v>
      </c>
      <c r="E878">
        <f>1</f>
        <v>1</v>
      </c>
    </row>
    <row r="879" spans="3:5" x14ac:dyDescent="0.25">
      <c r="C879">
        <v>877</v>
      </c>
      <c r="D879" t="s">
        <v>4423</v>
      </c>
      <c r="E879">
        <f>1</f>
        <v>1</v>
      </c>
    </row>
    <row r="880" spans="3:5" x14ac:dyDescent="0.25">
      <c r="C880">
        <v>878</v>
      </c>
      <c r="D880" t="s">
        <v>3869</v>
      </c>
      <c r="E880">
        <f>1</f>
        <v>1</v>
      </c>
    </row>
    <row r="881" spans="3:5" x14ac:dyDescent="0.25">
      <c r="C881">
        <v>879</v>
      </c>
      <c r="D881" t="s">
        <v>3870</v>
      </c>
      <c r="E881">
        <f>1</f>
        <v>1</v>
      </c>
    </row>
    <row r="882" spans="3:5" x14ac:dyDescent="0.25">
      <c r="C882">
        <v>880</v>
      </c>
      <c r="D882" t="s">
        <v>3188</v>
      </c>
      <c r="E882">
        <f>1</f>
        <v>1</v>
      </c>
    </row>
    <row r="883" spans="3:5" x14ac:dyDescent="0.25">
      <c r="C883">
        <v>881</v>
      </c>
      <c r="D883" t="s">
        <v>2669</v>
      </c>
      <c r="E883">
        <f>1</f>
        <v>1</v>
      </c>
    </row>
    <row r="884" spans="3:5" x14ac:dyDescent="0.25">
      <c r="C884">
        <v>882</v>
      </c>
      <c r="D884" t="s">
        <v>3871</v>
      </c>
      <c r="E884">
        <f>1</f>
        <v>1</v>
      </c>
    </row>
    <row r="885" spans="3:5" x14ac:dyDescent="0.25">
      <c r="C885">
        <v>883</v>
      </c>
      <c r="D885" t="s">
        <v>3872</v>
      </c>
      <c r="E885">
        <f>1</f>
        <v>1</v>
      </c>
    </row>
    <row r="886" spans="3:5" x14ac:dyDescent="0.25">
      <c r="C886">
        <v>884</v>
      </c>
      <c r="D886" t="s">
        <v>3873</v>
      </c>
      <c r="E886">
        <f>1</f>
        <v>1</v>
      </c>
    </row>
    <row r="887" spans="3:5" x14ac:dyDescent="0.25">
      <c r="C887">
        <v>885</v>
      </c>
      <c r="D887" t="s">
        <v>3874</v>
      </c>
      <c r="E887">
        <f>1</f>
        <v>1</v>
      </c>
    </row>
    <row r="888" spans="3:5" x14ac:dyDescent="0.25">
      <c r="C888">
        <v>886</v>
      </c>
      <c r="D888" t="s">
        <v>3875</v>
      </c>
      <c r="E888">
        <f>1</f>
        <v>1</v>
      </c>
    </row>
    <row r="889" spans="3:5" x14ac:dyDescent="0.25">
      <c r="C889">
        <v>887</v>
      </c>
      <c r="D889" t="s">
        <v>3876</v>
      </c>
      <c r="E889">
        <f>1</f>
        <v>1</v>
      </c>
    </row>
    <row r="890" spans="3:5" x14ac:dyDescent="0.25">
      <c r="C890">
        <v>888</v>
      </c>
      <c r="D890" t="s">
        <v>3877</v>
      </c>
      <c r="E890">
        <f>1</f>
        <v>1</v>
      </c>
    </row>
    <row r="891" spans="3:5" x14ac:dyDescent="0.25">
      <c r="C891">
        <v>889</v>
      </c>
      <c r="D891" t="s">
        <v>2672</v>
      </c>
      <c r="E891">
        <f>1</f>
        <v>1</v>
      </c>
    </row>
    <row r="892" spans="3:5" x14ac:dyDescent="0.25">
      <c r="C892">
        <v>890</v>
      </c>
      <c r="D892" t="s">
        <v>4254</v>
      </c>
      <c r="E892">
        <f>1</f>
        <v>1</v>
      </c>
    </row>
    <row r="893" spans="3:5" x14ac:dyDescent="0.25">
      <c r="C893">
        <v>891</v>
      </c>
      <c r="D893" t="s">
        <v>3878</v>
      </c>
      <c r="E893">
        <f>1</f>
        <v>1</v>
      </c>
    </row>
    <row r="894" spans="3:5" x14ac:dyDescent="0.25">
      <c r="C894">
        <v>892</v>
      </c>
      <c r="D894" t="s">
        <v>4426</v>
      </c>
      <c r="E894">
        <f>1</f>
        <v>1</v>
      </c>
    </row>
    <row r="895" spans="3:5" x14ac:dyDescent="0.25">
      <c r="C895">
        <v>893</v>
      </c>
      <c r="D895" t="s">
        <v>3880</v>
      </c>
      <c r="E895">
        <f>1</f>
        <v>1</v>
      </c>
    </row>
    <row r="896" spans="3:5" x14ac:dyDescent="0.25">
      <c r="C896">
        <v>894</v>
      </c>
      <c r="D896" t="s">
        <v>3881</v>
      </c>
      <c r="E896">
        <f>1</f>
        <v>1</v>
      </c>
    </row>
    <row r="897" spans="3:5" x14ac:dyDescent="0.25">
      <c r="C897">
        <v>895</v>
      </c>
      <c r="D897" t="s">
        <v>3882</v>
      </c>
      <c r="E897">
        <f>1</f>
        <v>1</v>
      </c>
    </row>
    <row r="898" spans="3:5" x14ac:dyDescent="0.25">
      <c r="C898">
        <v>896</v>
      </c>
      <c r="D898" t="s">
        <v>3883</v>
      </c>
      <c r="E898">
        <f>1</f>
        <v>1</v>
      </c>
    </row>
    <row r="899" spans="3:5" x14ac:dyDescent="0.25">
      <c r="C899">
        <v>897</v>
      </c>
      <c r="D899" t="s">
        <v>4315</v>
      </c>
      <c r="E899">
        <f>1</f>
        <v>1</v>
      </c>
    </row>
    <row r="900" spans="3:5" x14ac:dyDescent="0.25">
      <c r="C900">
        <v>898</v>
      </c>
      <c r="D900" t="s">
        <v>4427</v>
      </c>
      <c r="E900">
        <f>1</f>
        <v>1</v>
      </c>
    </row>
    <row r="901" spans="3:5" x14ac:dyDescent="0.25">
      <c r="C901">
        <v>899</v>
      </c>
      <c r="D901" t="s">
        <v>3884</v>
      </c>
      <c r="E901">
        <f>1</f>
        <v>1</v>
      </c>
    </row>
    <row r="902" spans="3:5" x14ac:dyDescent="0.25">
      <c r="C902">
        <v>900</v>
      </c>
      <c r="D902" t="s">
        <v>3885</v>
      </c>
      <c r="E902">
        <f>1</f>
        <v>1</v>
      </c>
    </row>
    <row r="903" spans="3:5" x14ac:dyDescent="0.25">
      <c r="C903">
        <v>901</v>
      </c>
      <c r="D903" t="s">
        <v>4586</v>
      </c>
      <c r="E903">
        <f>1</f>
        <v>1</v>
      </c>
    </row>
    <row r="904" spans="3:5" x14ac:dyDescent="0.25">
      <c r="C904">
        <v>902</v>
      </c>
      <c r="D904" t="s">
        <v>4587</v>
      </c>
      <c r="E904">
        <f>1</f>
        <v>1</v>
      </c>
    </row>
    <row r="905" spans="3:5" x14ac:dyDescent="0.25">
      <c r="C905">
        <v>903</v>
      </c>
      <c r="D905" t="s">
        <v>3886</v>
      </c>
      <c r="E905">
        <f>1</f>
        <v>1</v>
      </c>
    </row>
    <row r="906" spans="3:5" x14ac:dyDescent="0.25">
      <c r="C906">
        <v>904</v>
      </c>
      <c r="D906" t="s">
        <v>3887</v>
      </c>
      <c r="E906">
        <f>1</f>
        <v>1</v>
      </c>
    </row>
    <row r="907" spans="3:5" x14ac:dyDescent="0.25">
      <c r="C907">
        <v>905</v>
      </c>
      <c r="D907" t="s">
        <v>3888</v>
      </c>
      <c r="E907">
        <f>1</f>
        <v>1</v>
      </c>
    </row>
    <row r="908" spans="3:5" x14ac:dyDescent="0.25">
      <c r="C908">
        <v>906</v>
      </c>
      <c r="D908" t="s">
        <v>3889</v>
      </c>
      <c r="E908">
        <f>1</f>
        <v>1</v>
      </c>
    </row>
    <row r="909" spans="3:5" x14ac:dyDescent="0.25">
      <c r="C909">
        <v>907</v>
      </c>
      <c r="D909" t="s">
        <v>4428</v>
      </c>
      <c r="E909">
        <f>1</f>
        <v>1</v>
      </c>
    </row>
    <row r="910" spans="3:5" x14ac:dyDescent="0.25">
      <c r="C910">
        <v>908</v>
      </c>
      <c r="D910" t="s">
        <v>3891</v>
      </c>
      <c r="E910">
        <f>1</f>
        <v>1</v>
      </c>
    </row>
    <row r="911" spans="3:5" x14ac:dyDescent="0.25">
      <c r="C911">
        <v>909</v>
      </c>
      <c r="D911" t="s">
        <v>4429</v>
      </c>
      <c r="E911">
        <f>1</f>
        <v>1</v>
      </c>
    </row>
    <row r="912" spans="3:5" x14ac:dyDescent="0.25">
      <c r="C912">
        <v>910</v>
      </c>
      <c r="D912" t="s">
        <v>3892</v>
      </c>
      <c r="E912">
        <f>1</f>
        <v>1</v>
      </c>
    </row>
    <row r="913" spans="3:5" x14ac:dyDescent="0.25">
      <c r="C913">
        <v>911</v>
      </c>
      <c r="D913" t="s">
        <v>3893</v>
      </c>
      <c r="E913">
        <f>1</f>
        <v>1</v>
      </c>
    </row>
    <row r="914" spans="3:5" x14ac:dyDescent="0.25">
      <c r="C914">
        <v>912</v>
      </c>
      <c r="D914" t="s">
        <v>3894</v>
      </c>
      <c r="E914">
        <f>1</f>
        <v>1</v>
      </c>
    </row>
    <row r="915" spans="3:5" x14ac:dyDescent="0.25">
      <c r="C915">
        <v>913</v>
      </c>
      <c r="D915" t="s">
        <v>4430</v>
      </c>
      <c r="E915">
        <f>1</f>
        <v>1</v>
      </c>
    </row>
    <row r="916" spans="3:5" x14ac:dyDescent="0.25">
      <c r="C916">
        <v>914</v>
      </c>
      <c r="D916" t="s">
        <v>3895</v>
      </c>
      <c r="E916">
        <f>1</f>
        <v>1</v>
      </c>
    </row>
    <row r="917" spans="3:5" x14ac:dyDescent="0.25">
      <c r="C917">
        <v>915</v>
      </c>
      <c r="D917" t="s">
        <v>3896</v>
      </c>
      <c r="E917">
        <f>1</f>
        <v>1</v>
      </c>
    </row>
    <row r="918" spans="3:5" x14ac:dyDescent="0.25">
      <c r="C918">
        <v>916</v>
      </c>
      <c r="D918" t="s">
        <v>3897</v>
      </c>
      <c r="E918">
        <f>1</f>
        <v>1</v>
      </c>
    </row>
    <row r="919" spans="3:5" x14ac:dyDescent="0.25">
      <c r="C919">
        <v>917</v>
      </c>
      <c r="D919" t="s">
        <v>4431</v>
      </c>
      <c r="E919">
        <f>1</f>
        <v>1</v>
      </c>
    </row>
    <row r="920" spans="3:5" x14ac:dyDescent="0.25">
      <c r="C920">
        <v>918</v>
      </c>
      <c r="D920" t="s">
        <v>3898</v>
      </c>
      <c r="E920">
        <f>1</f>
        <v>1</v>
      </c>
    </row>
    <row r="921" spans="3:5" x14ac:dyDescent="0.25">
      <c r="C921">
        <v>919</v>
      </c>
      <c r="D921" t="s">
        <v>3899</v>
      </c>
      <c r="E921">
        <f>1</f>
        <v>1</v>
      </c>
    </row>
    <row r="922" spans="3:5" x14ac:dyDescent="0.25">
      <c r="C922">
        <v>920</v>
      </c>
      <c r="D922" t="s">
        <v>2675</v>
      </c>
      <c r="E922">
        <f>1</f>
        <v>1</v>
      </c>
    </row>
    <row r="923" spans="3:5" x14ac:dyDescent="0.25">
      <c r="C923">
        <v>921</v>
      </c>
      <c r="D923" t="s">
        <v>3900</v>
      </c>
      <c r="E923">
        <f>1</f>
        <v>1</v>
      </c>
    </row>
    <row r="924" spans="3:5" x14ac:dyDescent="0.25">
      <c r="C924">
        <v>922</v>
      </c>
      <c r="D924" t="s">
        <v>3901</v>
      </c>
      <c r="E924">
        <f>1</f>
        <v>1</v>
      </c>
    </row>
    <row r="925" spans="3:5" x14ac:dyDescent="0.25">
      <c r="C925">
        <v>923</v>
      </c>
      <c r="D925" t="s">
        <v>3902</v>
      </c>
      <c r="E925">
        <f>1</f>
        <v>1</v>
      </c>
    </row>
    <row r="926" spans="3:5" x14ac:dyDescent="0.25">
      <c r="C926">
        <v>924</v>
      </c>
      <c r="D926" t="s">
        <v>4588</v>
      </c>
      <c r="E926">
        <f>1</f>
        <v>1</v>
      </c>
    </row>
    <row r="927" spans="3:5" x14ac:dyDescent="0.25">
      <c r="C927">
        <v>925</v>
      </c>
      <c r="D927" t="s">
        <v>4589</v>
      </c>
      <c r="E927">
        <f>1</f>
        <v>1</v>
      </c>
    </row>
    <row r="928" spans="3:5" x14ac:dyDescent="0.25">
      <c r="C928">
        <v>926</v>
      </c>
      <c r="D928" t="s">
        <v>3903</v>
      </c>
      <c r="E928">
        <f>1</f>
        <v>1</v>
      </c>
    </row>
    <row r="929" spans="3:5" x14ac:dyDescent="0.25">
      <c r="C929">
        <v>927</v>
      </c>
      <c r="D929" t="s">
        <v>3904</v>
      </c>
      <c r="E929">
        <f>1</f>
        <v>1</v>
      </c>
    </row>
    <row r="930" spans="3:5" x14ac:dyDescent="0.25">
      <c r="C930">
        <v>928</v>
      </c>
      <c r="D930" t="s">
        <v>3905</v>
      </c>
      <c r="E930">
        <f>1</f>
        <v>1</v>
      </c>
    </row>
    <row r="931" spans="3:5" x14ac:dyDescent="0.25">
      <c r="C931">
        <v>929</v>
      </c>
      <c r="D931" t="s">
        <v>3906</v>
      </c>
      <c r="E931">
        <f>1</f>
        <v>1</v>
      </c>
    </row>
    <row r="932" spans="3:5" x14ac:dyDescent="0.25">
      <c r="C932">
        <v>930</v>
      </c>
      <c r="D932" t="s">
        <v>3907</v>
      </c>
      <c r="E932">
        <f>1</f>
        <v>1</v>
      </c>
    </row>
    <row r="933" spans="3:5" x14ac:dyDescent="0.25">
      <c r="C933">
        <v>931</v>
      </c>
      <c r="D933" t="s">
        <v>3908</v>
      </c>
      <c r="E933">
        <f>1</f>
        <v>1</v>
      </c>
    </row>
    <row r="934" spans="3:5" x14ac:dyDescent="0.25">
      <c r="C934">
        <v>932</v>
      </c>
      <c r="D934" t="s">
        <v>3909</v>
      </c>
      <c r="E934">
        <f>1</f>
        <v>1</v>
      </c>
    </row>
    <row r="935" spans="3:5" x14ac:dyDescent="0.25">
      <c r="C935">
        <v>933</v>
      </c>
      <c r="D935" t="s">
        <v>3910</v>
      </c>
      <c r="E935">
        <f>1</f>
        <v>1</v>
      </c>
    </row>
    <row r="936" spans="3:5" x14ac:dyDescent="0.25">
      <c r="C936">
        <v>934</v>
      </c>
      <c r="D936" t="s">
        <v>4590</v>
      </c>
      <c r="E936">
        <f>1</f>
        <v>1</v>
      </c>
    </row>
    <row r="937" spans="3:5" x14ac:dyDescent="0.25">
      <c r="C937">
        <v>935</v>
      </c>
      <c r="D937" t="s">
        <v>3911</v>
      </c>
      <c r="E937">
        <f>1</f>
        <v>1</v>
      </c>
    </row>
    <row r="938" spans="3:5" x14ac:dyDescent="0.25">
      <c r="C938">
        <v>936</v>
      </c>
      <c r="D938" t="s">
        <v>3912</v>
      </c>
      <c r="E938">
        <f>1</f>
        <v>1</v>
      </c>
    </row>
    <row r="939" spans="3:5" x14ac:dyDescent="0.25">
      <c r="C939">
        <v>937</v>
      </c>
      <c r="D939" t="s">
        <v>3913</v>
      </c>
      <c r="E939">
        <f>1</f>
        <v>1</v>
      </c>
    </row>
    <row r="940" spans="3:5" x14ac:dyDescent="0.25">
      <c r="C940">
        <v>938</v>
      </c>
      <c r="D940" t="s">
        <v>3914</v>
      </c>
      <c r="E940">
        <f>1</f>
        <v>1</v>
      </c>
    </row>
    <row r="941" spans="3:5" x14ac:dyDescent="0.25">
      <c r="C941">
        <v>939</v>
      </c>
      <c r="D941" t="s">
        <v>4591</v>
      </c>
      <c r="E941">
        <f>1</f>
        <v>1</v>
      </c>
    </row>
    <row r="942" spans="3:5" x14ac:dyDescent="0.25">
      <c r="C942">
        <v>940</v>
      </c>
      <c r="D942" t="s">
        <v>4592</v>
      </c>
      <c r="E942">
        <f>1</f>
        <v>1</v>
      </c>
    </row>
    <row r="943" spans="3:5" x14ac:dyDescent="0.25">
      <c r="C943">
        <v>941</v>
      </c>
      <c r="D943" t="s">
        <v>3915</v>
      </c>
      <c r="E943">
        <f>1</f>
        <v>1</v>
      </c>
    </row>
    <row r="944" spans="3:5" x14ac:dyDescent="0.25">
      <c r="C944">
        <v>942</v>
      </c>
      <c r="D944" t="s">
        <v>4593</v>
      </c>
      <c r="E944">
        <f>1</f>
        <v>1</v>
      </c>
    </row>
    <row r="945" spans="3:5" x14ac:dyDescent="0.25">
      <c r="C945">
        <v>943</v>
      </c>
      <c r="D945" t="s">
        <v>4594</v>
      </c>
      <c r="E945">
        <f>1</f>
        <v>1</v>
      </c>
    </row>
    <row r="946" spans="3:5" x14ac:dyDescent="0.25">
      <c r="C946">
        <v>944</v>
      </c>
      <c r="D946" t="s">
        <v>3918</v>
      </c>
      <c r="E946">
        <f>1</f>
        <v>1</v>
      </c>
    </row>
    <row r="947" spans="3:5" x14ac:dyDescent="0.25">
      <c r="C947">
        <v>945</v>
      </c>
      <c r="D947" t="s">
        <v>4595</v>
      </c>
      <c r="E947">
        <f>1</f>
        <v>1</v>
      </c>
    </row>
    <row r="948" spans="3:5" x14ac:dyDescent="0.25">
      <c r="C948">
        <v>946</v>
      </c>
      <c r="D948" t="s">
        <v>4433</v>
      </c>
      <c r="E948">
        <f>1</f>
        <v>1</v>
      </c>
    </row>
    <row r="949" spans="3:5" x14ac:dyDescent="0.25">
      <c r="C949">
        <v>947</v>
      </c>
      <c r="D949" t="s">
        <v>3919</v>
      </c>
      <c r="E949">
        <f>1</f>
        <v>1</v>
      </c>
    </row>
    <row r="950" spans="3:5" x14ac:dyDescent="0.25">
      <c r="C950">
        <v>948</v>
      </c>
      <c r="D950" t="s">
        <v>2678</v>
      </c>
      <c r="E950">
        <f>1</f>
        <v>1</v>
      </c>
    </row>
    <row r="951" spans="3:5" x14ac:dyDescent="0.25">
      <c r="C951">
        <v>949</v>
      </c>
      <c r="D951" t="s">
        <v>3920</v>
      </c>
      <c r="E951">
        <f>1</f>
        <v>1</v>
      </c>
    </row>
    <row r="952" spans="3:5" x14ac:dyDescent="0.25">
      <c r="C952">
        <v>950</v>
      </c>
      <c r="D952" t="s">
        <v>3921</v>
      </c>
      <c r="E952">
        <f>1</f>
        <v>1</v>
      </c>
    </row>
    <row r="953" spans="3:5" x14ac:dyDescent="0.25">
      <c r="C953">
        <v>951</v>
      </c>
      <c r="D953" t="s">
        <v>3922</v>
      </c>
      <c r="E953">
        <f>1</f>
        <v>1</v>
      </c>
    </row>
    <row r="954" spans="3:5" x14ac:dyDescent="0.25">
      <c r="C954">
        <v>952</v>
      </c>
      <c r="D954" t="s">
        <v>3923</v>
      </c>
      <c r="E954">
        <f>1</f>
        <v>1</v>
      </c>
    </row>
    <row r="955" spans="3:5" x14ac:dyDescent="0.25">
      <c r="C955">
        <v>953</v>
      </c>
      <c r="D955" t="s">
        <v>3924</v>
      </c>
      <c r="E955">
        <f>1</f>
        <v>1</v>
      </c>
    </row>
    <row r="956" spans="3:5" x14ac:dyDescent="0.25">
      <c r="C956">
        <v>954</v>
      </c>
      <c r="D956" t="s">
        <v>4316</v>
      </c>
      <c r="E956">
        <f>1</f>
        <v>1</v>
      </c>
    </row>
    <row r="957" spans="3:5" x14ac:dyDescent="0.25">
      <c r="C957">
        <v>955</v>
      </c>
      <c r="D957" t="s">
        <v>3925</v>
      </c>
      <c r="E957">
        <f>1</f>
        <v>1</v>
      </c>
    </row>
    <row r="958" spans="3:5" x14ac:dyDescent="0.25">
      <c r="C958">
        <v>956</v>
      </c>
      <c r="D958" t="s">
        <v>3927</v>
      </c>
      <c r="E958">
        <f>1</f>
        <v>1</v>
      </c>
    </row>
    <row r="959" spans="3:5" x14ac:dyDescent="0.25">
      <c r="C959">
        <v>957</v>
      </c>
      <c r="D959" t="s">
        <v>2697</v>
      </c>
      <c r="E959">
        <f>1</f>
        <v>1</v>
      </c>
    </row>
    <row r="960" spans="3:5" x14ac:dyDescent="0.25">
      <c r="C960">
        <v>958</v>
      </c>
      <c r="D960" t="s">
        <v>3928</v>
      </c>
      <c r="E960">
        <f>1</f>
        <v>1</v>
      </c>
    </row>
    <row r="961" spans="3:5" x14ac:dyDescent="0.25">
      <c r="C961">
        <v>959</v>
      </c>
      <c r="D961" t="s">
        <v>3929</v>
      </c>
      <c r="E961">
        <f>1</f>
        <v>1</v>
      </c>
    </row>
    <row r="962" spans="3:5" x14ac:dyDescent="0.25">
      <c r="C962">
        <v>960</v>
      </c>
      <c r="D962" t="s">
        <v>3930</v>
      </c>
      <c r="E962">
        <f>1</f>
        <v>1</v>
      </c>
    </row>
    <row r="963" spans="3:5" x14ac:dyDescent="0.25">
      <c r="C963">
        <v>961</v>
      </c>
      <c r="D963" t="s">
        <v>3931</v>
      </c>
      <c r="E963">
        <f>1</f>
        <v>1</v>
      </c>
    </row>
    <row r="964" spans="3:5" x14ac:dyDescent="0.25">
      <c r="C964">
        <v>962</v>
      </c>
      <c r="D964" t="s">
        <v>3932</v>
      </c>
      <c r="E964">
        <f>1</f>
        <v>1</v>
      </c>
    </row>
    <row r="965" spans="3:5" x14ac:dyDescent="0.25">
      <c r="C965">
        <v>963</v>
      </c>
      <c r="D965" t="s">
        <v>3933</v>
      </c>
      <c r="E965">
        <f>1</f>
        <v>1</v>
      </c>
    </row>
    <row r="966" spans="3:5" x14ac:dyDescent="0.25">
      <c r="C966">
        <v>964</v>
      </c>
      <c r="D966" t="s">
        <v>4596</v>
      </c>
      <c r="E966">
        <f>1</f>
        <v>1</v>
      </c>
    </row>
    <row r="967" spans="3:5" x14ac:dyDescent="0.25">
      <c r="C967">
        <v>965</v>
      </c>
      <c r="D967" t="s">
        <v>3934</v>
      </c>
      <c r="E967">
        <f>1</f>
        <v>1</v>
      </c>
    </row>
    <row r="968" spans="3:5" x14ac:dyDescent="0.25">
      <c r="C968">
        <v>966</v>
      </c>
      <c r="D968" t="s">
        <v>3935</v>
      </c>
      <c r="E968">
        <f>1</f>
        <v>1</v>
      </c>
    </row>
    <row r="969" spans="3:5" x14ac:dyDescent="0.25">
      <c r="C969">
        <v>967</v>
      </c>
      <c r="D969" t="s">
        <v>4434</v>
      </c>
      <c r="E969">
        <f>1</f>
        <v>1</v>
      </c>
    </row>
    <row r="970" spans="3:5" x14ac:dyDescent="0.25">
      <c r="C970">
        <v>968</v>
      </c>
      <c r="D970" t="s">
        <v>4597</v>
      </c>
      <c r="E970">
        <f>1</f>
        <v>1</v>
      </c>
    </row>
    <row r="971" spans="3:5" x14ac:dyDescent="0.25">
      <c r="C971">
        <v>969</v>
      </c>
      <c r="D971" t="s">
        <v>3936</v>
      </c>
      <c r="E971">
        <f>1</f>
        <v>1</v>
      </c>
    </row>
    <row r="972" spans="3:5" x14ac:dyDescent="0.25">
      <c r="C972">
        <v>970</v>
      </c>
      <c r="D972" t="s">
        <v>3937</v>
      </c>
      <c r="E972">
        <f>1</f>
        <v>1</v>
      </c>
    </row>
    <row r="973" spans="3:5" x14ac:dyDescent="0.25">
      <c r="C973">
        <v>971</v>
      </c>
      <c r="D973" t="s">
        <v>2681</v>
      </c>
      <c r="E973">
        <f>1</f>
        <v>1</v>
      </c>
    </row>
    <row r="974" spans="3:5" x14ac:dyDescent="0.25">
      <c r="C974">
        <v>972</v>
      </c>
      <c r="D974" t="s">
        <v>3938</v>
      </c>
      <c r="E974">
        <f>1</f>
        <v>1</v>
      </c>
    </row>
    <row r="975" spans="3:5" x14ac:dyDescent="0.25">
      <c r="C975">
        <v>973</v>
      </c>
      <c r="D975" t="s">
        <v>3939</v>
      </c>
      <c r="E975">
        <f>1</f>
        <v>1</v>
      </c>
    </row>
    <row r="976" spans="3:5" x14ac:dyDescent="0.25">
      <c r="C976">
        <v>974</v>
      </c>
      <c r="D976" t="s">
        <v>3940</v>
      </c>
      <c r="E976">
        <f>1</f>
        <v>1</v>
      </c>
    </row>
    <row r="977" spans="3:5" x14ac:dyDescent="0.25">
      <c r="C977">
        <v>975</v>
      </c>
      <c r="D977" t="s">
        <v>3941</v>
      </c>
      <c r="E977">
        <f>1</f>
        <v>1</v>
      </c>
    </row>
    <row r="978" spans="3:5" x14ac:dyDescent="0.25">
      <c r="C978">
        <v>976</v>
      </c>
      <c r="D978" t="s">
        <v>3942</v>
      </c>
      <c r="E978">
        <f>1</f>
        <v>1</v>
      </c>
    </row>
    <row r="979" spans="3:5" x14ac:dyDescent="0.25">
      <c r="C979">
        <v>977</v>
      </c>
      <c r="D979" t="s">
        <v>3943</v>
      </c>
      <c r="E979">
        <f>1</f>
        <v>1</v>
      </c>
    </row>
    <row r="980" spans="3:5" x14ac:dyDescent="0.25">
      <c r="C980">
        <v>978</v>
      </c>
      <c r="D980" t="s">
        <v>4435</v>
      </c>
      <c r="E980">
        <f>1</f>
        <v>1</v>
      </c>
    </row>
    <row r="981" spans="3:5" x14ac:dyDescent="0.25">
      <c r="C981">
        <v>979</v>
      </c>
      <c r="D981" t="s">
        <v>3944</v>
      </c>
      <c r="E981">
        <f>1</f>
        <v>1</v>
      </c>
    </row>
    <row r="982" spans="3:5" x14ac:dyDescent="0.25">
      <c r="C982">
        <v>980</v>
      </c>
      <c r="D982" t="s">
        <v>3945</v>
      </c>
      <c r="E982">
        <f>1</f>
        <v>1</v>
      </c>
    </row>
    <row r="983" spans="3:5" x14ac:dyDescent="0.25">
      <c r="C983">
        <v>981</v>
      </c>
      <c r="D983" t="s">
        <v>3946</v>
      </c>
      <c r="E983">
        <f>1</f>
        <v>1</v>
      </c>
    </row>
    <row r="984" spans="3:5" x14ac:dyDescent="0.25">
      <c r="C984">
        <v>982</v>
      </c>
      <c r="D984" t="s">
        <v>4436</v>
      </c>
      <c r="E984">
        <f>1</f>
        <v>1</v>
      </c>
    </row>
    <row r="985" spans="3:5" x14ac:dyDescent="0.25">
      <c r="C985">
        <v>983</v>
      </c>
      <c r="D985" t="s">
        <v>3947</v>
      </c>
      <c r="E985">
        <f>1</f>
        <v>1</v>
      </c>
    </row>
    <row r="986" spans="3:5" x14ac:dyDescent="0.25">
      <c r="C986">
        <v>984</v>
      </c>
      <c r="D986" t="s">
        <v>3948</v>
      </c>
      <c r="E986">
        <f>1</f>
        <v>1</v>
      </c>
    </row>
    <row r="987" spans="3:5" x14ac:dyDescent="0.25">
      <c r="C987">
        <v>985</v>
      </c>
      <c r="D987" t="s">
        <v>3949</v>
      </c>
      <c r="E987">
        <f>1</f>
        <v>1</v>
      </c>
    </row>
    <row r="988" spans="3:5" x14ac:dyDescent="0.25">
      <c r="C988">
        <v>986</v>
      </c>
      <c r="D988" t="s">
        <v>4599</v>
      </c>
      <c r="E988">
        <f>1</f>
        <v>1</v>
      </c>
    </row>
    <row r="989" spans="3:5" x14ac:dyDescent="0.25">
      <c r="C989">
        <v>987</v>
      </c>
      <c r="D989" t="s">
        <v>3950</v>
      </c>
      <c r="E989">
        <f>1</f>
        <v>1</v>
      </c>
    </row>
    <row r="990" spans="3:5" x14ac:dyDescent="0.25">
      <c r="C990">
        <v>988</v>
      </c>
      <c r="D990" t="s">
        <v>3951</v>
      </c>
      <c r="E990">
        <f>1</f>
        <v>1</v>
      </c>
    </row>
    <row r="991" spans="3:5" x14ac:dyDescent="0.25">
      <c r="C991">
        <v>989</v>
      </c>
      <c r="D991" t="s">
        <v>3952</v>
      </c>
      <c r="E991">
        <f>1</f>
        <v>1</v>
      </c>
    </row>
    <row r="992" spans="3:5" x14ac:dyDescent="0.25">
      <c r="C992">
        <v>990</v>
      </c>
      <c r="D992" t="s">
        <v>4229</v>
      </c>
      <c r="E992">
        <f>1</f>
        <v>1</v>
      </c>
    </row>
    <row r="993" spans="3:5" x14ac:dyDescent="0.25">
      <c r="C993">
        <v>991</v>
      </c>
      <c r="D993" t="s">
        <v>3953</v>
      </c>
      <c r="E993">
        <f>1</f>
        <v>1</v>
      </c>
    </row>
    <row r="994" spans="3:5" x14ac:dyDescent="0.25">
      <c r="C994">
        <v>992</v>
      </c>
      <c r="D994" t="s">
        <v>19826</v>
      </c>
      <c r="E994">
        <f>1</f>
        <v>1</v>
      </c>
    </row>
    <row r="995" spans="3:5" x14ac:dyDescent="0.25">
      <c r="C995">
        <v>993</v>
      </c>
      <c r="D995" t="s">
        <v>3954</v>
      </c>
      <c r="E995">
        <f>1</f>
        <v>1</v>
      </c>
    </row>
    <row r="996" spans="3:5" x14ac:dyDescent="0.25">
      <c r="C996">
        <v>994</v>
      </c>
      <c r="D996" t="s">
        <v>3198</v>
      </c>
      <c r="E996">
        <f>1</f>
        <v>1</v>
      </c>
    </row>
    <row r="997" spans="3:5" x14ac:dyDescent="0.25">
      <c r="C997">
        <v>995</v>
      </c>
      <c r="D997" t="s">
        <v>3955</v>
      </c>
      <c r="E997">
        <f>1</f>
        <v>1</v>
      </c>
    </row>
    <row r="998" spans="3:5" x14ac:dyDescent="0.25">
      <c r="C998">
        <v>996</v>
      </c>
      <c r="D998" t="s">
        <v>4600</v>
      </c>
      <c r="E998">
        <f>1</f>
        <v>1</v>
      </c>
    </row>
    <row r="999" spans="3:5" x14ac:dyDescent="0.25">
      <c r="C999">
        <v>997</v>
      </c>
      <c r="D999" t="s">
        <v>3956</v>
      </c>
      <c r="E999">
        <f>1</f>
        <v>1</v>
      </c>
    </row>
    <row r="1000" spans="3:5" x14ac:dyDescent="0.25">
      <c r="C1000">
        <v>998</v>
      </c>
      <c r="D1000" t="s">
        <v>4601</v>
      </c>
      <c r="E1000">
        <f>1</f>
        <v>1</v>
      </c>
    </row>
    <row r="1001" spans="3:5" x14ac:dyDescent="0.25">
      <c r="C1001">
        <v>999</v>
      </c>
      <c r="D1001" t="s">
        <v>3958</v>
      </c>
      <c r="E1001">
        <f>1</f>
        <v>1</v>
      </c>
    </row>
    <row r="1002" spans="3:5" x14ac:dyDescent="0.25">
      <c r="C1002">
        <v>1000</v>
      </c>
      <c r="D1002" t="s">
        <v>2693</v>
      </c>
      <c r="E1002">
        <f>1</f>
        <v>1</v>
      </c>
    </row>
    <row r="1003" spans="3:5" x14ac:dyDescent="0.25">
      <c r="C1003">
        <v>1001</v>
      </c>
      <c r="D1003" t="s">
        <v>4602</v>
      </c>
      <c r="E1003">
        <f>1</f>
        <v>1</v>
      </c>
    </row>
    <row r="1004" spans="3:5" x14ac:dyDescent="0.25">
      <c r="C1004">
        <v>1002</v>
      </c>
      <c r="D1004" t="s">
        <v>3959</v>
      </c>
      <c r="E1004">
        <f>1</f>
        <v>1</v>
      </c>
    </row>
    <row r="1005" spans="3:5" x14ac:dyDescent="0.25">
      <c r="C1005">
        <v>1003</v>
      </c>
      <c r="D1005" t="s">
        <v>4603</v>
      </c>
      <c r="E1005">
        <f>1</f>
        <v>1</v>
      </c>
    </row>
    <row r="1006" spans="3:5" x14ac:dyDescent="0.25">
      <c r="C1006">
        <v>1004</v>
      </c>
      <c r="D1006" t="s">
        <v>3960</v>
      </c>
      <c r="E1006">
        <f>1</f>
        <v>1</v>
      </c>
    </row>
    <row r="1007" spans="3:5" x14ac:dyDescent="0.25">
      <c r="C1007">
        <v>1005</v>
      </c>
      <c r="D1007" t="s">
        <v>3961</v>
      </c>
      <c r="E1007">
        <f>1</f>
        <v>1</v>
      </c>
    </row>
    <row r="1008" spans="3:5" x14ac:dyDescent="0.25">
      <c r="C1008">
        <v>1006</v>
      </c>
      <c r="D1008" t="s">
        <v>3962</v>
      </c>
      <c r="E1008">
        <f>1</f>
        <v>1</v>
      </c>
    </row>
    <row r="1009" spans="3:5" x14ac:dyDescent="0.25">
      <c r="C1009">
        <v>1007</v>
      </c>
      <c r="D1009" t="s">
        <v>19551</v>
      </c>
      <c r="E1009">
        <f>1</f>
        <v>1</v>
      </c>
    </row>
    <row r="1010" spans="3:5" x14ac:dyDescent="0.25">
      <c r="C1010">
        <v>1008</v>
      </c>
      <c r="D1010" t="s">
        <v>3963</v>
      </c>
      <c r="E1010">
        <f>1</f>
        <v>1</v>
      </c>
    </row>
    <row r="1011" spans="3:5" x14ac:dyDescent="0.25">
      <c r="C1011">
        <v>1009</v>
      </c>
      <c r="D1011" t="s">
        <v>4438</v>
      </c>
      <c r="E1011">
        <f>1</f>
        <v>1</v>
      </c>
    </row>
    <row r="1012" spans="3:5" x14ac:dyDescent="0.25">
      <c r="C1012">
        <v>1010</v>
      </c>
      <c r="D1012" t="s">
        <v>19552</v>
      </c>
      <c r="E1012">
        <f>1</f>
        <v>1</v>
      </c>
    </row>
    <row r="1013" spans="3:5" x14ac:dyDescent="0.25">
      <c r="C1013">
        <v>1011</v>
      </c>
      <c r="D1013" t="s">
        <v>4230</v>
      </c>
      <c r="E1013">
        <f>1</f>
        <v>1</v>
      </c>
    </row>
    <row r="1014" spans="3:5" x14ac:dyDescent="0.25">
      <c r="C1014">
        <v>1012</v>
      </c>
      <c r="D1014" t="s">
        <v>4255</v>
      </c>
      <c r="E1014">
        <f>1</f>
        <v>1</v>
      </c>
    </row>
    <row r="1015" spans="3:5" x14ac:dyDescent="0.25">
      <c r="C1015">
        <v>1013</v>
      </c>
      <c r="D1015" t="s">
        <v>4317</v>
      </c>
      <c r="E1015">
        <f>1</f>
        <v>1</v>
      </c>
    </row>
    <row r="1016" spans="3:5" x14ac:dyDescent="0.25">
      <c r="C1016">
        <v>1014</v>
      </c>
      <c r="D1016" t="s">
        <v>4439</v>
      </c>
      <c r="E1016">
        <f>1</f>
        <v>1</v>
      </c>
    </row>
    <row r="1017" spans="3:5" x14ac:dyDescent="0.25">
      <c r="C1017">
        <v>1015</v>
      </c>
      <c r="D1017" t="s">
        <v>3964</v>
      </c>
      <c r="E1017">
        <f>1</f>
        <v>1</v>
      </c>
    </row>
    <row r="1018" spans="3:5" x14ac:dyDescent="0.25">
      <c r="C1018">
        <v>1016</v>
      </c>
      <c r="D1018" t="s">
        <v>3965</v>
      </c>
      <c r="E1018">
        <f>1</f>
        <v>1</v>
      </c>
    </row>
    <row r="1019" spans="3:5" x14ac:dyDescent="0.25">
      <c r="C1019">
        <v>1017</v>
      </c>
      <c r="D1019" t="s">
        <v>4231</v>
      </c>
      <c r="E1019">
        <f>1</f>
        <v>1</v>
      </c>
    </row>
    <row r="1020" spans="3:5" x14ac:dyDescent="0.25">
      <c r="C1020">
        <v>1018</v>
      </c>
      <c r="D1020" t="s">
        <v>3966</v>
      </c>
      <c r="E1020">
        <f>1</f>
        <v>1</v>
      </c>
    </row>
    <row r="1021" spans="3:5" x14ac:dyDescent="0.25">
      <c r="C1021">
        <v>1019</v>
      </c>
      <c r="D1021" t="s">
        <v>3967</v>
      </c>
      <c r="E1021">
        <f>1</f>
        <v>1</v>
      </c>
    </row>
    <row r="1022" spans="3:5" x14ac:dyDescent="0.25">
      <c r="C1022">
        <v>1020</v>
      </c>
      <c r="D1022" t="s">
        <v>3968</v>
      </c>
      <c r="E1022">
        <f>1</f>
        <v>1</v>
      </c>
    </row>
    <row r="1023" spans="3:5" x14ac:dyDescent="0.25">
      <c r="C1023">
        <v>1021</v>
      </c>
      <c r="D1023" t="s">
        <v>3969</v>
      </c>
      <c r="E1023">
        <f>1</f>
        <v>1</v>
      </c>
    </row>
    <row r="1024" spans="3:5" x14ac:dyDescent="0.25">
      <c r="C1024">
        <v>1022</v>
      </c>
      <c r="D1024" t="s">
        <v>4232</v>
      </c>
      <c r="E1024">
        <f>1</f>
        <v>1</v>
      </c>
    </row>
    <row r="1025" spans="3:5" x14ac:dyDescent="0.25">
      <c r="C1025">
        <v>1023</v>
      </c>
      <c r="D1025" t="s">
        <v>3970</v>
      </c>
      <c r="E1025">
        <f>1</f>
        <v>1</v>
      </c>
    </row>
    <row r="1026" spans="3:5" x14ac:dyDescent="0.25">
      <c r="C1026">
        <v>1024</v>
      </c>
      <c r="D1026" t="s">
        <v>3971</v>
      </c>
      <c r="E1026">
        <f>1</f>
        <v>1</v>
      </c>
    </row>
    <row r="1027" spans="3:5" x14ac:dyDescent="0.25">
      <c r="C1027">
        <v>1025</v>
      </c>
      <c r="D1027" t="s">
        <v>3972</v>
      </c>
      <c r="E1027">
        <f>1</f>
        <v>1</v>
      </c>
    </row>
    <row r="1028" spans="3:5" x14ac:dyDescent="0.25">
      <c r="C1028">
        <v>1026</v>
      </c>
      <c r="D1028" t="s">
        <v>3973</v>
      </c>
      <c r="E1028">
        <f>1</f>
        <v>1</v>
      </c>
    </row>
    <row r="1029" spans="3:5" x14ac:dyDescent="0.25">
      <c r="C1029">
        <v>1027</v>
      </c>
      <c r="D1029" t="s">
        <v>4604</v>
      </c>
      <c r="E1029">
        <f>1</f>
        <v>1</v>
      </c>
    </row>
    <row r="1030" spans="3:5" x14ac:dyDescent="0.25">
      <c r="C1030">
        <v>1028</v>
      </c>
      <c r="D1030" t="s">
        <v>3974</v>
      </c>
      <c r="E1030">
        <f>1</f>
        <v>1</v>
      </c>
    </row>
    <row r="1031" spans="3:5" x14ac:dyDescent="0.25">
      <c r="C1031">
        <v>1029</v>
      </c>
      <c r="D1031" t="s">
        <v>4605</v>
      </c>
      <c r="E1031">
        <f>1</f>
        <v>1</v>
      </c>
    </row>
    <row r="1032" spans="3:5" x14ac:dyDescent="0.25">
      <c r="C1032">
        <v>1030</v>
      </c>
      <c r="D1032" t="s">
        <v>3975</v>
      </c>
      <c r="E1032">
        <f>1</f>
        <v>1</v>
      </c>
    </row>
    <row r="1033" spans="3:5" x14ac:dyDescent="0.25">
      <c r="C1033">
        <v>1031</v>
      </c>
      <c r="D1033" t="s">
        <v>3976</v>
      </c>
      <c r="E1033">
        <f>1</f>
        <v>1</v>
      </c>
    </row>
    <row r="1034" spans="3:5" x14ac:dyDescent="0.25">
      <c r="C1034">
        <v>1032</v>
      </c>
      <c r="D1034" t="s">
        <v>4440</v>
      </c>
      <c r="E1034">
        <f>1</f>
        <v>1</v>
      </c>
    </row>
    <row r="1035" spans="3:5" x14ac:dyDescent="0.25">
      <c r="C1035">
        <v>1033</v>
      </c>
      <c r="D1035" t="s">
        <v>4441</v>
      </c>
      <c r="E1035">
        <f>1</f>
        <v>1</v>
      </c>
    </row>
    <row r="1036" spans="3:5" x14ac:dyDescent="0.25">
      <c r="C1036">
        <v>1034</v>
      </c>
      <c r="D1036" t="s">
        <v>4442</v>
      </c>
      <c r="E1036">
        <f>1</f>
        <v>1</v>
      </c>
    </row>
    <row r="1037" spans="3:5" x14ac:dyDescent="0.25">
      <c r="C1037">
        <v>1035</v>
      </c>
      <c r="D1037" t="s">
        <v>19827</v>
      </c>
      <c r="E1037">
        <f>1</f>
        <v>1</v>
      </c>
    </row>
    <row r="1038" spans="3:5" x14ac:dyDescent="0.25">
      <c r="C1038">
        <v>1036</v>
      </c>
      <c r="D1038" t="s">
        <v>3977</v>
      </c>
      <c r="E1038">
        <f>1</f>
        <v>1</v>
      </c>
    </row>
    <row r="1039" spans="3:5" x14ac:dyDescent="0.25">
      <c r="C1039">
        <v>1037</v>
      </c>
      <c r="D1039" t="s">
        <v>3978</v>
      </c>
      <c r="E1039">
        <f>1</f>
        <v>1</v>
      </c>
    </row>
    <row r="1040" spans="3:5" x14ac:dyDescent="0.25">
      <c r="C1040">
        <v>1038</v>
      </c>
      <c r="D1040" t="s">
        <v>3979</v>
      </c>
      <c r="E1040">
        <f>1</f>
        <v>1</v>
      </c>
    </row>
    <row r="1041" spans="3:5" x14ac:dyDescent="0.25">
      <c r="C1041">
        <v>1039</v>
      </c>
      <c r="D1041" t="s">
        <v>3981</v>
      </c>
      <c r="E1041">
        <f>1</f>
        <v>1</v>
      </c>
    </row>
    <row r="1042" spans="3:5" x14ac:dyDescent="0.25">
      <c r="C1042">
        <v>1040</v>
      </c>
      <c r="D1042" t="s">
        <v>3982</v>
      </c>
      <c r="E1042">
        <f>1</f>
        <v>1</v>
      </c>
    </row>
    <row r="1043" spans="3:5" x14ac:dyDescent="0.25">
      <c r="C1043">
        <v>1041</v>
      </c>
      <c r="D1043" t="s">
        <v>3983</v>
      </c>
      <c r="E1043">
        <f>1</f>
        <v>1</v>
      </c>
    </row>
    <row r="1044" spans="3:5" x14ac:dyDescent="0.25">
      <c r="C1044">
        <v>1042</v>
      </c>
      <c r="D1044" t="s">
        <v>3984</v>
      </c>
      <c r="E1044">
        <f>1</f>
        <v>1</v>
      </c>
    </row>
    <row r="1045" spans="3:5" x14ac:dyDescent="0.25">
      <c r="C1045">
        <v>1043</v>
      </c>
      <c r="D1045" t="s">
        <v>3985</v>
      </c>
      <c r="E1045">
        <f>1</f>
        <v>1</v>
      </c>
    </row>
    <row r="1046" spans="3:5" x14ac:dyDescent="0.25">
      <c r="C1046">
        <v>1044</v>
      </c>
      <c r="D1046" t="s">
        <v>19893</v>
      </c>
      <c r="E1046">
        <f>1</f>
        <v>1</v>
      </c>
    </row>
    <row r="1047" spans="3:5" x14ac:dyDescent="0.25">
      <c r="C1047">
        <v>1045</v>
      </c>
      <c r="D1047" t="s">
        <v>3986</v>
      </c>
      <c r="E1047">
        <f>1</f>
        <v>1</v>
      </c>
    </row>
    <row r="1048" spans="3:5" x14ac:dyDescent="0.25">
      <c r="C1048">
        <v>1046</v>
      </c>
      <c r="D1048" t="s">
        <v>4233</v>
      </c>
      <c r="E1048">
        <f>1</f>
        <v>1</v>
      </c>
    </row>
    <row r="1049" spans="3:5" x14ac:dyDescent="0.25">
      <c r="C1049">
        <v>1047</v>
      </c>
      <c r="D1049" t="s">
        <v>3987</v>
      </c>
      <c r="E1049">
        <f>1</f>
        <v>1</v>
      </c>
    </row>
    <row r="1050" spans="3:5" x14ac:dyDescent="0.25">
      <c r="C1050">
        <v>1048</v>
      </c>
      <c r="D1050" t="s">
        <v>3988</v>
      </c>
      <c r="E1050">
        <f>1</f>
        <v>1</v>
      </c>
    </row>
    <row r="1051" spans="3:5" x14ac:dyDescent="0.25">
      <c r="C1051">
        <v>1049</v>
      </c>
      <c r="D1051" t="s">
        <v>3989</v>
      </c>
      <c r="E1051">
        <f>1</f>
        <v>1</v>
      </c>
    </row>
    <row r="1052" spans="3:5" x14ac:dyDescent="0.25">
      <c r="C1052">
        <v>1050</v>
      </c>
      <c r="D1052" t="s">
        <v>3990</v>
      </c>
      <c r="E1052">
        <f>1</f>
        <v>1</v>
      </c>
    </row>
    <row r="1053" spans="3:5" x14ac:dyDescent="0.25">
      <c r="C1053">
        <v>1051</v>
      </c>
      <c r="D1053" t="s">
        <v>3992</v>
      </c>
      <c r="E1053">
        <f>1</f>
        <v>1</v>
      </c>
    </row>
    <row r="1054" spans="3:5" x14ac:dyDescent="0.25">
      <c r="C1054">
        <v>1052</v>
      </c>
      <c r="D1054" t="s">
        <v>3993</v>
      </c>
      <c r="E1054">
        <f>1</f>
        <v>1</v>
      </c>
    </row>
    <row r="1055" spans="3:5" x14ac:dyDescent="0.25">
      <c r="C1055">
        <v>1053</v>
      </c>
      <c r="D1055" t="s">
        <v>3994</v>
      </c>
      <c r="E1055">
        <f>1</f>
        <v>1</v>
      </c>
    </row>
    <row r="1056" spans="3:5" x14ac:dyDescent="0.25">
      <c r="C1056">
        <v>1054</v>
      </c>
      <c r="D1056" t="s">
        <v>3995</v>
      </c>
      <c r="E1056">
        <f>1</f>
        <v>1</v>
      </c>
    </row>
    <row r="1057" spans="3:5" x14ac:dyDescent="0.25">
      <c r="C1057">
        <v>1055</v>
      </c>
      <c r="D1057" t="s">
        <v>3996</v>
      </c>
      <c r="E1057">
        <f>1</f>
        <v>1</v>
      </c>
    </row>
    <row r="1058" spans="3:5" x14ac:dyDescent="0.25">
      <c r="C1058">
        <v>1056</v>
      </c>
      <c r="D1058" t="s">
        <v>3997</v>
      </c>
      <c r="E1058">
        <f>1</f>
        <v>1</v>
      </c>
    </row>
    <row r="1059" spans="3:5" x14ac:dyDescent="0.25">
      <c r="C1059">
        <v>1057</v>
      </c>
      <c r="D1059" t="s">
        <v>3998</v>
      </c>
      <c r="E1059">
        <f>1</f>
        <v>1</v>
      </c>
    </row>
    <row r="1060" spans="3:5" x14ac:dyDescent="0.25">
      <c r="C1060">
        <v>1058</v>
      </c>
      <c r="D1060" t="s">
        <v>4000</v>
      </c>
      <c r="E1060">
        <f>1</f>
        <v>1</v>
      </c>
    </row>
    <row r="1061" spans="3:5" x14ac:dyDescent="0.25">
      <c r="C1061">
        <v>1059</v>
      </c>
      <c r="D1061" t="s">
        <v>4128</v>
      </c>
      <c r="E1061">
        <f>1</f>
        <v>1</v>
      </c>
    </row>
    <row r="1062" spans="3:5" x14ac:dyDescent="0.25">
      <c r="C1062">
        <v>1060</v>
      </c>
      <c r="D1062" t="s">
        <v>4001</v>
      </c>
      <c r="E1062">
        <f>1</f>
        <v>1</v>
      </c>
    </row>
    <row r="1063" spans="3:5" x14ac:dyDescent="0.25">
      <c r="C1063">
        <v>1061</v>
      </c>
      <c r="D1063" t="s">
        <v>4002</v>
      </c>
      <c r="E1063">
        <f>1</f>
        <v>1</v>
      </c>
    </row>
    <row r="1064" spans="3:5" x14ac:dyDescent="0.25">
      <c r="C1064">
        <v>1062</v>
      </c>
      <c r="D1064" t="s">
        <v>4003</v>
      </c>
      <c r="E1064">
        <f>1</f>
        <v>1</v>
      </c>
    </row>
    <row r="1065" spans="3:5" x14ac:dyDescent="0.25">
      <c r="C1065">
        <v>1063</v>
      </c>
      <c r="D1065" t="s">
        <v>4004</v>
      </c>
      <c r="E1065">
        <f>1</f>
        <v>1</v>
      </c>
    </row>
    <row r="1066" spans="3:5" x14ac:dyDescent="0.25">
      <c r="C1066">
        <v>1064</v>
      </c>
      <c r="D1066" t="s">
        <v>4005</v>
      </c>
      <c r="E1066">
        <f>1</f>
        <v>1</v>
      </c>
    </row>
    <row r="1067" spans="3:5" x14ac:dyDescent="0.25">
      <c r="C1067">
        <v>1065</v>
      </c>
      <c r="D1067" t="s">
        <v>4006</v>
      </c>
      <c r="E1067">
        <f>1</f>
        <v>1</v>
      </c>
    </row>
    <row r="1068" spans="3:5" x14ac:dyDescent="0.25">
      <c r="C1068">
        <v>1066</v>
      </c>
      <c r="D1068" t="s">
        <v>4007</v>
      </c>
      <c r="E1068">
        <f>1</f>
        <v>1</v>
      </c>
    </row>
    <row r="1069" spans="3:5" x14ac:dyDescent="0.25">
      <c r="C1069">
        <v>1067</v>
      </c>
      <c r="D1069" t="s">
        <v>4008</v>
      </c>
      <c r="E1069">
        <f>1</f>
        <v>1</v>
      </c>
    </row>
    <row r="1070" spans="3:5" x14ac:dyDescent="0.25">
      <c r="C1070">
        <v>1068</v>
      </c>
      <c r="D1070" t="s">
        <v>4606</v>
      </c>
      <c r="E1070">
        <f>1</f>
        <v>1</v>
      </c>
    </row>
    <row r="1071" spans="3:5" x14ac:dyDescent="0.25">
      <c r="C1071">
        <v>1069</v>
      </c>
      <c r="D1071" t="s">
        <v>4010</v>
      </c>
      <c r="E1071">
        <f>1</f>
        <v>1</v>
      </c>
    </row>
    <row r="1072" spans="3:5" x14ac:dyDescent="0.25">
      <c r="C1072">
        <v>1070</v>
      </c>
      <c r="D1072" t="s">
        <v>4011</v>
      </c>
      <c r="E1072">
        <f>1</f>
        <v>1</v>
      </c>
    </row>
    <row r="1073" spans="3:5" x14ac:dyDescent="0.25">
      <c r="C1073">
        <v>1071</v>
      </c>
      <c r="D1073" t="s">
        <v>4012</v>
      </c>
      <c r="E1073">
        <f>1</f>
        <v>1</v>
      </c>
    </row>
    <row r="1074" spans="3:5" x14ac:dyDescent="0.25">
      <c r="C1074">
        <v>1072</v>
      </c>
      <c r="D1074" t="s">
        <v>4013</v>
      </c>
      <c r="E1074">
        <f>1</f>
        <v>1</v>
      </c>
    </row>
    <row r="1075" spans="3:5" x14ac:dyDescent="0.25">
      <c r="C1075">
        <v>1073</v>
      </c>
      <c r="D1075" t="s">
        <v>4014</v>
      </c>
      <c r="E1075">
        <f>1</f>
        <v>1</v>
      </c>
    </row>
    <row r="1076" spans="3:5" x14ac:dyDescent="0.25">
      <c r="C1076">
        <v>1074</v>
      </c>
      <c r="D1076" t="s">
        <v>4015</v>
      </c>
      <c r="E1076">
        <f>1</f>
        <v>1</v>
      </c>
    </row>
    <row r="1077" spans="3:5" x14ac:dyDescent="0.25">
      <c r="C1077">
        <v>1075</v>
      </c>
      <c r="D1077" t="s">
        <v>2637</v>
      </c>
      <c r="E1077">
        <f>1</f>
        <v>1</v>
      </c>
    </row>
    <row r="1078" spans="3:5" x14ac:dyDescent="0.25">
      <c r="C1078">
        <v>1076</v>
      </c>
      <c r="D1078" t="s">
        <v>4016</v>
      </c>
      <c r="E1078">
        <f>1</f>
        <v>1</v>
      </c>
    </row>
    <row r="1079" spans="3:5" x14ac:dyDescent="0.25">
      <c r="C1079">
        <v>1077</v>
      </c>
      <c r="D1079" t="s">
        <v>4017</v>
      </c>
      <c r="E1079">
        <f>1</f>
        <v>1</v>
      </c>
    </row>
    <row r="1080" spans="3:5" x14ac:dyDescent="0.25">
      <c r="C1080">
        <v>1078</v>
      </c>
      <c r="D1080" t="s">
        <v>4607</v>
      </c>
      <c r="E1080">
        <f>1</f>
        <v>1</v>
      </c>
    </row>
    <row r="1081" spans="3:5" x14ac:dyDescent="0.25">
      <c r="C1081">
        <v>1079</v>
      </c>
      <c r="D1081" t="s">
        <v>4018</v>
      </c>
      <c r="E1081">
        <f>1</f>
        <v>1</v>
      </c>
    </row>
    <row r="1082" spans="3:5" x14ac:dyDescent="0.25">
      <c r="C1082">
        <v>1080</v>
      </c>
      <c r="D1082" t="s">
        <v>2619</v>
      </c>
      <c r="E1082">
        <f>1</f>
        <v>1</v>
      </c>
    </row>
    <row r="1083" spans="3:5" x14ac:dyDescent="0.25">
      <c r="C1083">
        <v>1081</v>
      </c>
      <c r="D1083" t="s">
        <v>4019</v>
      </c>
      <c r="E1083">
        <f>1</f>
        <v>1</v>
      </c>
    </row>
    <row r="1084" spans="3:5" x14ac:dyDescent="0.25">
      <c r="C1084">
        <v>1082</v>
      </c>
      <c r="D1084" t="s">
        <v>4020</v>
      </c>
      <c r="E1084">
        <f>1</f>
        <v>1</v>
      </c>
    </row>
    <row r="1085" spans="3:5" x14ac:dyDescent="0.25">
      <c r="C1085">
        <v>1083</v>
      </c>
      <c r="D1085" t="s">
        <v>2636</v>
      </c>
      <c r="E1085">
        <f>1</f>
        <v>1</v>
      </c>
    </row>
    <row r="1086" spans="3:5" x14ac:dyDescent="0.25">
      <c r="C1086">
        <v>1084</v>
      </c>
      <c r="D1086" t="s">
        <v>4021</v>
      </c>
      <c r="E1086">
        <f>1</f>
        <v>1</v>
      </c>
    </row>
    <row r="1087" spans="3:5" x14ac:dyDescent="0.25">
      <c r="C1087">
        <v>1085</v>
      </c>
      <c r="D1087" t="s">
        <v>4024</v>
      </c>
      <c r="E1087">
        <f>1</f>
        <v>1</v>
      </c>
    </row>
    <row r="1088" spans="3:5" x14ac:dyDescent="0.25">
      <c r="C1088">
        <v>1086</v>
      </c>
      <c r="D1088" t="s">
        <v>4608</v>
      </c>
      <c r="E1088">
        <f>1</f>
        <v>1</v>
      </c>
    </row>
    <row r="1089" spans="3:5" x14ac:dyDescent="0.25">
      <c r="C1089">
        <v>1087</v>
      </c>
      <c r="D1089" t="s">
        <v>4025</v>
      </c>
      <c r="E1089">
        <f>1</f>
        <v>1</v>
      </c>
    </row>
    <row r="1090" spans="3:5" x14ac:dyDescent="0.25">
      <c r="C1090">
        <v>1088</v>
      </c>
      <c r="D1090" t="s">
        <v>4026</v>
      </c>
      <c r="E1090">
        <f>1</f>
        <v>1</v>
      </c>
    </row>
    <row r="1091" spans="3:5" x14ac:dyDescent="0.25">
      <c r="C1091">
        <v>1089</v>
      </c>
      <c r="D1091" t="s">
        <v>4027</v>
      </c>
      <c r="E1091">
        <f>1</f>
        <v>1</v>
      </c>
    </row>
    <row r="1092" spans="3:5" x14ac:dyDescent="0.25">
      <c r="C1092">
        <v>1090</v>
      </c>
      <c r="D1092" t="s">
        <v>4028</v>
      </c>
      <c r="E1092">
        <f>1</f>
        <v>1</v>
      </c>
    </row>
    <row r="1093" spans="3:5" x14ac:dyDescent="0.25">
      <c r="C1093">
        <v>1091</v>
      </c>
      <c r="D1093" t="s">
        <v>4318</v>
      </c>
      <c r="E1093">
        <f>1</f>
        <v>1</v>
      </c>
    </row>
    <row r="1094" spans="3:5" x14ac:dyDescent="0.25">
      <c r="C1094">
        <v>1092</v>
      </c>
      <c r="D1094" t="s">
        <v>4029</v>
      </c>
      <c r="E1094">
        <f>1</f>
        <v>1</v>
      </c>
    </row>
    <row r="1095" spans="3:5" x14ac:dyDescent="0.25">
      <c r="C1095">
        <v>1093</v>
      </c>
      <c r="D1095" t="s">
        <v>4030</v>
      </c>
      <c r="E1095">
        <f>1</f>
        <v>1</v>
      </c>
    </row>
    <row r="1096" spans="3:5" x14ac:dyDescent="0.25">
      <c r="C1096">
        <v>1094</v>
      </c>
      <c r="D1096" t="s">
        <v>4609</v>
      </c>
      <c r="E1096">
        <f>1</f>
        <v>1</v>
      </c>
    </row>
    <row r="1097" spans="3:5" x14ac:dyDescent="0.25">
      <c r="C1097">
        <v>1095</v>
      </c>
      <c r="D1097" t="s">
        <v>4031</v>
      </c>
      <c r="E1097">
        <f>1</f>
        <v>1</v>
      </c>
    </row>
    <row r="1098" spans="3:5" x14ac:dyDescent="0.25">
      <c r="C1098">
        <v>1096</v>
      </c>
      <c r="D1098" t="s">
        <v>4032</v>
      </c>
      <c r="E1098">
        <f>1</f>
        <v>1</v>
      </c>
    </row>
    <row r="1099" spans="3:5" x14ac:dyDescent="0.25">
      <c r="C1099">
        <v>1097</v>
      </c>
      <c r="D1099" t="s">
        <v>2781</v>
      </c>
      <c r="E1099">
        <f>1</f>
        <v>1</v>
      </c>
    </row>
    <row r="1100" spans="3:5" x14ac:dyDescent="0.25">
      <c r="C1100">
        <v>1098</v>
      </c>
      <c r="D1100" t="s">
        <v>4033</v>
      </c>
      <c r="E1100">
        <f>1</f>
        <v>1</v>
      </c>
    </row>
    <row r="1101" spans="3:5" x14ac:dyDescent="0.25">
      <c r="C1101">
        <v>1099</v>
      </c>
      <c r="D1101" t="s">
        <v>19776</v>
      </c>
      <c r="E1101">
        <f>1</f>
        <v>1</v>
      </c>
    </row>
    <row r="1102" spans="3:5" x14ac:dyDescent="0.25">
      <c r="C1102">
        <v>1100</v>
      </c>
      <c r="D1102" t="s">
        <v>4034</v>
      </c>
      <c r="E1102">
        <f>1</f>
        <v>1</v>
      </c>
    </row>
    <row r="1103" spans="3:5" x14ac:dyDescent="0.25">
      <c r="C1103">
        <v>1101</v>
      </c>
      <c r="D1103" t="s">
        <v>4610</v>
      </c>
      <c r="E1103">
        <f>1</f>
        <v>1</v>
      </c>
    </row>
    <row r="1104" spans="3:5" x14ac:dyDescent="0.25">
      <c r="C1104">
        <v>1102</v>
      </c>
      <c r="D1104" t="s">
        <v>4035</v>
      </c>
      <c r="E1104">
        <f>1</f>
        <v>1</v>
      </c>
    </row>
    <row r="1105" spans="3:5" x14ac:dyDescent="0.25">
      <c r="C1105">
        <v>1103</v>
      </c>
      <c r="D1105" t="s">
        <v>4036</v>
      </c>
      <c r="E1105">
        <f>1</f>
        <v>1</v>
      </c>
    </row>
    <row r="1106" spans="3:5" x14ac:dyDescent="0.25">
      <c r="C1106">
        <v>1104</v>
      </c>
      <c r="D1106" t="s">
        <v>4443</v>
      </c>
      <c r="E1106">
        <f>1</f>
        <v>1</v>
      </c>
    </row>
    <row r="1107" spans="3:5" x14ac:dyDescent="0.25">
      <c r="C1107">
        <v>1105</v>
      </c>
      <c r="D1107" t="s">
        <v>4037</v>
      </c>
      <c r="E1107">
        <f>1</f>
        <v>1</v>
      </c>
    </row>
    <row r="1108" spans="3:5" x14ac:dyDescent="0.25">
      <c r="C1108">
        <v>1106</v>
      </c>
      <c r="D1108" t="s">
        <v>4038</v>
      </c>
      <c r="E1108">
        <f>1</f>
        <v>1</v>
      </c>
    </row>
    <row r="1109" spans="3:5" x14ac:dyDescent="0.25">
      <c r="C1109">
        <v>1107</v>
      </c>
      <c r="D1109" t="s">
        <v>2698</v>
      </c>
      <c r="E1109">
        <f>1</f>
        <v>1</v>
      </c>
    </row>
    <row r="1110" spans="3:5" x14ac:dyDescent="0.25">
      <c r="C1110">
        <v>1108</v>
      </c>
      <c r="D1110" t="s">
        <v>4611</v>
      </c>
      <c r="E1110">
        <f>1</f>
        <v>1</v>
      </c>
    </row>
    <row r="1111" spans="3:5" x14ac:dyDescent="0.25">
      <c r="C1111">
        <v>1109</v>
      </c>
      <c r="D1111" t="s">
        <v>4039</v>
      </c>
      <c r="E1111">
        <f>1</f>
        <v>1</v>
      </c>
    </row>
    <row r="1112" spans="3:5" x14ac:dyDescent="0.25">
      <c r="C1112">
        <v>1110</v>
      </c>
      <c r="D1112" t="s">
        <v>4444</v>
      </c>
      <c r="E1112">
        <f>1</f>
        <v>1</v>
      </c>
    </row>
    <row r="1113" spans="3:5" x14ac:dyDescent="0.25">
      <c r="C1113">
        <v>1111</v>
      </c>
      <c r="D1113" t="s">
        <v>4040</v>
      </c>
      <c r="E1113">
        <f>1</f>
        <v>1</v>
      </c>
    </row>
    <row r="1114" spans="3:5" x14ac:dyDescent="0.25">
      <c r="C1114">
        <v>1112</v>
      </c>
      <c r="D1114" t="s">
        <v>4041</v>
      </c>
      <c r="E1114">
        <f>1</f>
        <v>1</v>
      </c>
    </row>
    <row r="1115" spans="3:5" x14ac:dyDescent="0.25">
      <c r="C1115">
        <v>1113</v>
      </c>
      <c r="D1115" t="s">
        <v>4042</v>
      </c>
      <c r="E1115">
        <f>1</f>
        <v>1</v>
      </c>
    </row>
    <row r="1116" spans="3:5" x14ac:dyDescent="0.25">
      <c r="C1116">
        <v>1114</v>
      </c>
      <c r="D1116" t="s">
        <v>4445</v>
      </c>
      <c r="E1116">
        <f>1</f>
        <v>1</v>
      </c>
    </row>
    <row r="1117" spans="3:5" x14ac:dyDescent="0.25">
      <c r="C1117">
        <v>1115</v>
      </c>
      <c r="D1117" t="s">
        <v>4446</v>
      </c>
      <c r="E1117">
        <f>1</f>
        <v>1</v>
      </c>
    </row>
    <row r="1118" spans="3:5" x14ac:dyDescent="0.25">
      <c r="C1118">
        <v>1116</v>
      </c>
      <c r="D1118" t="s">
        <v>4043</v>
      </c>
      <c r="E1118">
        <f>1</f>
        <v>1</v>
      </c>
    </row>
    <row r="1119" spans="3:5" x14ac:dyDescent="0.25">
      <c r="C1119">
        <v>1117</v>
      </c>
      <c r="D1119" t="s">
        <v>4044</v>
      </c>
      <c r="E1119">
        <f>1</f>
        <v>1</v>
      </c>
    </row>
    <row r="1120" spans="3:5" x14ac:dyDescent="0.25">
      <c r="C1120">
        <v>1118</v>
      </c>
      <c r="D1120" t="s">
        <v>4045</v>
      </c>
      <c r="E1120">
        <f>1</f>
        <v>1</v>
      </c>
    </row>
    <row r="1121" spans="3:5" x14ac:dyDescent="0.25">
      <c r="C1121">
        <v>1119</v>
      </c>
      <c r="D1121" t="s">
        <v>4612</v>
      </c>
      <c r="E1121">
        <f>1</f>
        <v>1</v>
      </c>
    </row>
    <row r="1122" spans="3:5" x14ac:dyDescent="0.25">
      <c r="C1122">
        <v>1120</v>
      </c>
      <c r="D1122" t="s">
        <v>2699</v>
      </c>
      <c r="E1122">
        <f>1</f>
        <v>1</v>
      </c>
    </row>
    <row r="1123" spans="3:5" x14ac:dyDescent="0.25">
      <c r="C1123">
        <v>1121</v>
      </c>
      <c r="D1123" t="s">
        <v>4613</v>
      </c>
      <c r="E1123">
        <f>1</f>
        <v>1</v>
      </c>
    </row>
    <row r="1124" spans="3:5" x14ac:dyDescent="0.25">
      <c r="C1124">
        <v>1122</v>
      </c>
      <c r="D1124" t="s">
        <v>4047</v>
      </c>
      <c r="E1124">
        <f>1</f>
        <v>1</v>
      </c>
    </row>
    <row r="1125" spans="3:5" x14ac:dyDescent="0.25">
      <c r="C1125">
        <v>1123</v>
      </c>
      <c r="D1125" t="s">
        <v>4048</v>
      </c>
      <c r="E1125">
        <f>1</f>
        <v>1</v>
      </c>
    </row>
    <row r="1126" spans="3:5" x14ac:dyDescent="0.25">
      <c r="C1126">
        <v>1124</v>
      </c>
      <c r="D1126" t="s">
        <v>4049</v>
      </c>
      <c r="E1126">
        <f>1</f>
        <v>1</v>
      </c>
    </row>
    <row r="1127" spans="3:5" x14ac:dyDescent="0.25">
      <c r="C1127">
        <v>1125</v>
      </c>
      <c r="D1127" t="s">
        <v>4050</v>
      </c>
      <c r="E1127">
        <f>1</f>
        <v>1</v>
      </c>
    </row>
    <row r="1128" spans="3:5" x14ac:dyDescent="0.25">
      <c r="C1128">
        <v>1126</v>
      </c>
      <c r="D1128" t="s">
        <v>4051</v>
      </c>
      <c r="E1128">
        <f>1</f>
        <v>1</v>
      </c>
    </row>
    <row r="1129" spans="3:5" x14ac:dyDescent="0.25">
      <c r="C1129">
        <v>1127</v>
      </c>
      <c r="D1129" t="s">
        <v>4319</v>
      </c>
      <c r="E1129">
        <f>1</f>
        <v>1</v>
      </c>
    </row>
    <row r="1130" spans="3:5" x14ac:dyDescent="0.25">
      <c r="C1130">
        <v>1128</v>
      </c>
      <c r="D1130" t="s">
        <v>4448</v>
      </c>
      <c r="E1130">
        <f>1</f>
        <v>1</v>
      </c>
    </row>
    <row r="1131" spans="3:5" x14ac:dyDescent="0.25">
      <c r="C1131">
        <v>1129</v>
      </c>
      <c r="D1131" t="s">
        <v>4449</v>
      </c>
      <c r="E1131">
        <f>1</f>
        <v>1</v>
      </c>
    </row>
    <row r="1132" spans="3:5" x14ac:dyDescent="0.25">
      <c r="C1132">
        <v>1130</v>
      </c>
      <c r="D1132" t="s">
        <v>4052</v>
      </c>
      <c r="E1132">
        <f>1</f>
        <v>1</v>
      </c>
    </row>
    <row r="1133" spans="3:5" x14ac:dyDescent="0.25">
      <c r="C1133">
        <v>1131</v>
      </c>
      <c r="D1133" t="s">
        <v>4053</v>
      </c>
      <c r="E1133">
        <f>1</f>
        <v>1</v>
      </c>
    </row>
    <row r="1134" spans="3:5" x14ac:dyDescent="0.25">
      <c r="C1134">
        <v>1132</v>
      </c>
      <c r="D1134" t="s">
        <v>4054</v>
      </c>
      <c r="E1134">
        <f>1</f>
        <v>1</v>
      </c>
    </row>
    <row r="1135" spans="3:5" x14ac:dyDescent="0.25">
      <c r="C1135">
        <v>1133</v>
      </c>
      <c r="D1135" t="s">
        <v>4055</v>
      </c>
      <c r="E1135">
        <f>1</f>
        <v>1</v>
      </c>
    </row>
    <row r="1136" spans="3:5" x14ac:dyDescent="0.25">
      <c r="C1136">
        <v>1134</v>
      </c>
      <c r="D1136" t="s">
        <v>2656</v>
      </c>
      <c r="E1136">
        <f>1</f>
        <v>1</v>
      </c>
    </row>
    <row r="1137" spans="3:5" x14ac:dyDescent="0.25">
      <c r="C1137">
        <v>1135</v>
      </c>
      <c r="D1137" t="s">
        <v>4615</v>
      </c>
      <c r="E1137">
        <f>1</f>
        <v>1</v>
      </c>
    </row>
    <row r="1138" spans="3:5" x14ac:dyDescent="0.25">
      <c r="C1138">
        <v>1136</v>
      </c>
      <c r="D1138" t="s">
        <v>4320</v>
      </c>
      <c r="E1138">
        <f>1</f>
        <v>1</v>
      </c>
    </row>
    <row r="1139" spans="3:5" x14ac:dyDescent="0.25">
      <c r="C1139">
        <v>1137</v>
      </c>
      <c r="D1139" t="s">
        <v>4057</v>
      </c>
      <c r="E1139">
        <f>1</f>
        <v>1</v>
      </c>
    </row>
    <row r="1140" spans="3:5" x14ac:dyDescent="0.25">
      <c r="C1140">
        <v>1138</v>
      </c>
      <c r="D1140" t="s">
        <v>4058</v>
      </c>
      <c r="E1140">
        <f>1</f>
        <v>1</v>
      </c>
    </row>
    <row r="1141" spans="3:5" x14ac:dyDescent="0.25">
      <c r="C1141">
        <v>1139</v>
      </c>
      <c r="D1141" t="s">
        <v>4059</v>
      </c>
      <c r="E1141">
        <f>1</f>
        <v>1</v>
      </c>
    </row>
    <row r="1142" spans="3:5" x14ac:dyDescent="0.25">
      <c r="C1142">
        <v>1140</v>
      </c>
      <c r="D1142" t="s">
        <v>4060</v>
      </c>
      <c r="E1142">
        <f>1</f>
        <v>1</v>
      </c>
    </row>
    <row r="1143" spans="3:5" x14ac:dyDescent="0.25">
      <c r="C1143">
        <v>1141</v>
      </c>
      <c r="D1143" t="s">
        <v>4061</v>
      </c>
      <c r="E1143">
        <f>1</f>
        <v>1</v>
      </c>
    </row>
    <row r="1144" spans="3:5" x14ac:dyDescent="0.25">
      <c r="C1144">
        <v>1142</v>
      </c>
      <c r="D1144" t="s">
        <v>2702</v>
      </c>
      <c r="E1144">
        <f>1</f>
        <v>1</v>
      </c>
    </row>
    <row r="1145" spans="3:5" x14ac:dyDescent="0.25">
      <c r="C1145">
        <v>1143</v>
      </c>
      <c r="D1145" t="s">
        <v>4063</v>
      </c>
      <c r="E1145">
        <f>1</f>
        <v>1</v>
      </c>
    </row>
    <row r="1146" spans="3:5" x14ac:dyDescent="0.25">
      <c r="C1146">
        <v>1144</v>
      </c>
      <c r="D1146" t="s">
        <v>4064</v>
      </c>
      <c r="E1146">
        <f>1</f>
        <v>1</v>
      </c>
    </row>
    <row r="1147" spans="3:5" x14ac:dyDescent="0.25">
      <c r="C1147">
        <v>1145</v>
      </c>
      <c r="D1147" t="s">
        <v>4065</v>
      </c>
      <c r="E1147">
        <f>1</f>
        <v>1</v>
      </c>
    </row>
    <row r="1148" spans="3:5" x14ac:dyDescent="0.25">
      <c r="C1148">
        <v>1146</v>
      </c>
      <c r="D1148" t="s">
        <v>4066</v>
      </c>
      <c r="E1148">
        <f>1</f>
        <v>1</v>
      </c>
    </row>
    <row r="1149" spans="3:5" x14ac:dyDescent="0.25">
      <c r="C1149">
        <v>1147</v>
      </c>
      <c r="D1149" t="s">
        <v>4067</v>
      </c>
      <c r="E1149">
        <f>1</f>
        <v>1</v>
      </c>
    </row>
    <row r="1150" spans="3:5" x14ac:dyDescent="0.25">
      <c r="C1150">
        <v>1148</v>
      </c>
      <c r="D1150" t="s">
        <v>4322</v>
      </c>
      <c r="E1150">
        <f>1</f>
        <v>1</v>
      </c>
    </row>
    <row r="1151" spans="3:5" x14ac:dyDescent="0.25">
      <c r="C1151">
        <v>1149</v>
      </c>
      <c r="D1151" t="s">
        <v>4068</v>
      </c>
      <c r="E1151">
        <f>1</f>
        <v>1</v>
      </c>
    </row>
    <row r="1152" spans="3:5" x14ac:dyDescent="0.25">
      <c r="C1152">
        <v>1150</v>
      </c>
      <c r="D1152" t="s">
        <v>4069</v>
      </c>
      <c r="E1152">
        <f>1</f>
        <v>1</v>
      </c>
    </row>
    <row r="1153" spans="3:5" x14ac:dyDescent="0.25">
      <c r="C1153">
        <v>1151</v>
      </c>
      <c r="D1153" t="s">
        <v>4616</v>
      </c>
      <c r="E1153">
        <f>1</f>
        <v>1</v>
      </c>
    </row>
    <row r="1154" spans="3:5" x14ac:dyDescent="0.25">
      <c r="C1154">
        <v>1152</v>
      </c>
      <c r="D1154" t="s">
        <v>4070</v>
      </c>
      <c r="E1154">
        <f>1</f>
        <v>1</v>
      </c>
    </row>
    <row r="1155" spans="3:5" x14ac:dyDescent="0.25">
      <c r="C1155">
        <v>1153</v>
      </c>
      <c r="D1155" t="s">
        <v>4071</v>
      </c>
      <c r="E1155">
        <f>1</f>
        <v>1</v>
      </c>
    </row>
    <row r="1156" spans="3:5" x14ac:dyDescent="0.25">
      <c r="C1156">
        <v>1154</v>
      </c>
      <c r="D1156" t="s">
        <v>4073</v>
      </c>
      <c r="E1156">
        <f>1</f>
        <v>1</v>
      </c>
    </row>
    <row r="1157" spans="3:5" x14ac:dyDescent="0.25">
      <c r="C1157">
        <v>1155</v>
      </c>
      <c r="D1157" t="s">
        <v>4617</v>
      </c>
      <c r="E1157">
        <f>1</f>
        <v>1</v>
      </c>
    </row>
    <row r="1158" spans="3:5" x14ac:dyDescent="0.25">
      <c r="C1158">
        <v>1156</v>
      </c>
      <c r="D1158" t="s">
        <v>4074</v>
      </c>
      <c r="E1158">
        <f>1</f>
        <v>1</v>
      </c>
    </row>
    <row r="1159" spans="3:5" x14ac:dyDescent="0.25">
      <c r="C1159">
        <v>1157</v>
      </c>
      <c r="D1159" t="s">
        <v>4618</v>
      </c>
      <c r="E1159">
        <f>1</f>
        <v>1</v>
      </c>
    </row>
    <row r="1160" spans="3:5" x14ac:dyDescent="0.25">
      <c r="C1160">
        <v>1158</v>
      </c>
      <c r="D1160" t="s">
        <v>4075</v>
      </c>
      <c r="E1160">
        <f>1</f>
        <v>1</v>
      </c>
    </row>
    <row r="1161" spans="3:5" x14ac:dyDescent="0.25">
      <c r="C1161">
        <v>1159</v>
      </c>
      <c r="D1161" t="s">
        <v>4076</v>
      </c>
      <c r="E1161">
        <f>1</f>
        <v>1</v>
      </c>
    </row>
    <row r="1162" spans="3:5" x14ac:dyDescent="0.25">
      <c r="C1162">
        <v>1160</v>
      </c>
      <c r="D1162" t="s">
        <v>4078</v>
      </c>
      <c r="E1162">
        <f>1</f>
        <v>1</v>
      </c>
    </row>
    <row r="1163" spans="3:5" x14ac:dyDescent="0.25">
      <c r="C1163">
        <v>1161</v>
      </c>
      <c r="D1163" t="s">
        <v>4079</v>
      </c>
      <c r="E1163">
        <f>1</f>
        <v>1</v>
      </c>
    </row>
    <row r="1164" spans="3:5" x14ac:dyDescent="0.25">
      <c r="C1164">
        <v>1162</v>
      </c>
      <c r="D1164" t="s">
        <v>4080</v>
      </c>
      <c r="E1164">
        <f>1</f>
        <v>1</v>
      </c>
    </row>
    <row r="1165" spans="3:5" x14ac:dyDescent="0.25">
      <c r="C1165">
        <v>1163</v>
      </c>
      <c r="D1165" t="s">
        <v>4084</v>
      </c>
      <c r="E1165">
        <f>1</f>
        <v>1</v>
      </c>
    </row>
    <row r="1166" spans="3:5" x14ac:dyDescent="0.25">
      <c r="C1166">
        <v>1164</v>
      </c>
      <c r="D1166" t="s">
        <v>4085</v>
      </c>
      <c r="E1166">
        <f>1</f>
        <v>1</v>
      </c>
    </row>
    <row r="1167" spans="3:5" x14ac:dyDescent="0.25">
      <c r="C1167">
        <v>1165</v>
      </c>
      <c r="D1167" t="s">
        <v>4086</v>
      </c>
      <c r="E1167">
        <f>1</f>
        <v>1</v>
      </c>
    </row>
    <row r="1168" spans="3:5" x14ac:dyDescent="0.25">
      <c r="C1168">
        <v>1166</v>
      </c>
      <c r="D1168" t="s">
        <v>4087</v>
      </c>
      <c r="E1168">
        <f>1</f>
        <v>1</v>
      </c>
    </row>
    <row r="1169" spans="3:5" x14ac:dyDescent="0.25">
      <c r="C1169">
        <v>1167</v>
      </c>
      <c r="D1169" t="s">
        <v>4088</v>
      </c>
      <c r="E1169">
        <f>1</f>
        <v>1</v>
      </c>
    </row>
    <row r="1170" spans="3:5" x14ac:dyDescent="0.25">
      <c r="C1170">
        <v>1168</v>
      </c>
      <c r="D1170" t="s">
        <v>4267</v>
      </c>
      <c r="E1170">
        <f>1</f>
        <v>1</v>
      </c>
    </row>
    <row r="1171" spans="3:5" x14ac:dyDescent="0.25">
      <c r="C1171">
        <v>1169</v>
      </c>
      <c r="D1171" t="s">
        <v>4089</v>
      </c>
      <c r="E1171">
        <f>1</f>
        <v>1</v>
      </c>
    </row>
    <row r="1172" spans="3:5" x14ac:dyDescent="0.25">
      <c r="C1172">
        <v>1170</v>
      </c>
      <c r="D1172" t="s">
        <v>4090</v>
      </c>
      <c r="E1172">
        <f>1</f>
        <v>1</v>
      </c>
    </row>
    <row r="1173" spans="3:5" x14ac:dyDescent="0.25">
      <c r="C1173">
        <v>1171</v>
      </c>
      <c r="D1173" t="s">
        <v>4621</v>
      </c>
      <c r="E1173">
        <f>1</f>
        <v>1</v>
      </c>
    </row>
    <row r="1174" spans="3:5" x14ac:dyDescent="0.25">
      <c r="C1174">
        <v>1172</v>
      </c>
      <c r="D1174" t="s">
        <v>4324</v>
      </c>
      <c r="E1174">
        <f>1</f>
        <v>1</v>
      </c>
    </row>
    <row r="1175" spans="3:5" x14ac:dyDescent="0.25">
      <c r="C1175">
        <v>1173</v>
      </c>
      <c r="D1175" t="s">
        <v>4325</v>
      </c>
      <c r="E1175">
        <f>1</f>
        <v>1</v>
      </c>
    </row>
    <row r="1176" spans="3:5" x14ac:dyDescent="0.25">
      <c r="C1176">
        <v>1174</v>
      </c>
      <c r="D1176" t="s">
        <v>4452</v>
      </c>
      <c r="E1176">
        <f>1</f>
        <v>1</v>
      </c>
    </row>
    <row r="1177" spans="3:5" x14ac:dyDescent="0.25">
      <c r="C1177">
        <v>1175</v>
      </c>
      <c r="D1177" t="s">
        <v>4091</v>
      </c>
      <c r="E1177">
        <f>1</f>
        <v>1</v>
      </c>
    </row>
    <row r="1178" spans="3:5" x14ac:dyDescent="0.25">
      <c r="C1178">
        <v>1176</v>
      </c>
      <c r="D1178" t="s">
        <v>4326</v>
      </c>
      <c r="E1178">
        <f>1</f>
        <v>1</v>
      </c>
    </row>
    <row r="1179" spans="3:5" x14ac:dyDescent="0.25">
      <c r="C1179">
        <v>1177</v>
      </c>
      <c r="D1179" t="s">
        <v>4327</v>
      </c>
      <c r="E1179">
        <f>1</f>
        <v>1</v>
      </c>
    </row>
    <row r="1180" spans="3:5" x14ac:dyDescent="0.25">
      <c r="C1180">
        <v>1178</v>
      </c>
      <c r="D1180" t="s">
        <v>4271</v>
      </c>
      <c r="E1180">
        <f>1</f>
        <v>1</v>
      </c>
    </row>
    <row r="1181" spans="3:5" x14ac:dyDescent="0.25">
      <c r="C1181">
        <v>1179</v>
      </c>
      <c r="D1181" t="s">
        <v>4092</v>
      </c>
      <c r="E1181">
        <f>1</f>
        <v>1</v>
      </c>
    </row>
    <row r="1182" spans="3:5" x14ac:dyDescent="0.25">
      <c r="C1182">
        <v>1180</v>
      </c>
      <c r="D1182" t="s">
        <v>4093</v>
      </c>
      <c r="E1182">
        <f>1</f>
        <v>1</v>
      </c>
    </row>
    <row r="1183" spans="3:5" x14ac:dyDescent="0.25">
      <c r="C1183">
        <v>1181</v>
      </c>
      <c r="D1183" t="s">
        <v>4094</v>
      </c>
      <c r="E1183">
        <f>1</f>
        <v>1</v>
      </c>
    </row>
    <row r="1184" spans="3:5" x14ac:dyDescent="0.25">
      <c r="C1184">
        <v>1182</v>
      </c>
      <c r="D1184" t="s">
        <v>4095</v>
      </c>
      <c r="E1184">
        <f>1</f>
        <v>1</v>
      </c>
    </row>
    <row r="1185" spans="3:5" x14ac:dyDescent="0.25">
      <c r="C1185">
        <v>1183</v>
      </c>
      <c r="D1185" t="s">
        <v>4454</v>
      </c>
      <c r="E1185">
        <f>1</f>
        <v>1</v>
      </c>
    </row>
    <row r="1186" spans="3:5" x14ac:dyDescent="0.25">
      <c r="C1186">
        <v>1184</v>
      </c>
      <c r="D1186" t="s">
        <v>4096</v>
      </c>
      <c r="E1186">
        <f>1</f>
        <v>1</v>
      </c>
    </row>
    <row r="1187" spans="3:5" x14ac:dyDescent="0.25">
      <c r="C1187">
        <v>1185</v>
      </c>
      <c r="D1187" t="s">
        <v>4622</v>
      </c>
      <c r="E1187">
        <f>1</f>
        <v>1</v>
      </c>
    </row>
    <row r="1188" spans="3:5" x14ac:dyDescent="0.25">
      <c r="C1188">
        <v>1186</v>
      </c>
      <c r="D1188" t="s">
        <v>4623</v>
      </c>
      <c r="E1188">
        <f>1</f>
        <v>1</v>
      </c>
    </row>
    <row r="1189" spans="3:5" x14ac:dyDescent="0.25">
      <c r="C1189">
        <v>1187</v>
      </c>
      <c r="D1189" t="s">
        <v>4097</v>
      </c>
      <c r="E1189">
        <f>1</f>
        <v>1</v>
      </c>
    </row>
    <row r="1190" spans="3:5" x14ac:dyDescent="0.25">
      <c r="C1190">
        <v>1188</v>
      </c>
      <c r="D1190" t="s">
        <v>4455</v>
      </c>
      <c r="E1190">
        <f>1</f>
        <v>1</v>
      </c>
    </row>
    <row r="1191" spans="3:5" x14ac:dyDescent="0.25">
      <c r="C1191">
        <v>1189</v>
      </c>
      <c r="D1191" t="s">
        <v>4098</v>
      </c>
      <c r="E1191">
        <f>1</f>
        <v>1</v>
      </c>
    </row>
    <row r="1192" spans="3:5" x14ac:dyDescent="0.25">
      <c r="C1192">
        <v>1190</v>
      </c>
      <c r="D1192" t="s">
        <v>4624</v>
      </c>
      <c r="E1192">
        <f>1</f>
        <v>1</v>
      </c>
    </row>
    <row r="1193" spans="3:5" x14ac:dyDescent="0.25">
      <c r="C1193">
        <v>1191</v>
      </c>
      <c r="D1193" t="s">
        <v>4099</v>
      </c>
      <c r="E1193">
        <f>1</f>
        <v>1</v>
      </c>
    </row>
    <row r="1194" spans="3:5" x14ac:dyDescent="0.25">
      <c r="C1194">
        <v>1192</v>
      </c>
      <c r="D1194" t="s">
        <v>4100</v>
      </c>
      <c r="E1194">
        <f>1</f>
        <v>1</v>
      </c>
    </row>
    <row r="1195" spans="3:5" x14ac:dyDescent="0.25">
      <c r="C1195">
        <v>1193</v>
      </c>
      <c r="D1195" t="s">
        <v>2704</v>
      </c>
      <c r="E1195">
        <f>1</f>
        <v>1</v>
      </c>
    </row>
    <row r="1196" spans="3:5" x14ac:dyDescent="0.25">
      <c r="C1196">
        <v>1194</v>
      </c>
      <c r="D1196" t="s">
        <v>4101</v>
      </c>
      <c r="E1196">
        <f>1</f>
        <v>1</v>
      </c>
    </row>
    <row r="1197" spans="3:5" x14ac:dyDescent="0.25">
      <c r="C1197">
        <v>1195</v>
      </c>
      <c r="D1197" t="s">
        <v>4102</v>
      </c>
      <c r="E1197">
        <f>1</f>
        <v>1</v>
      </c>
    </row>
    <row r="1198" spans="3:5" x14ac:dyDescent="0.25">
      <c r="C1198">
        <v>1196</v>
      </c>
      <c r="D1198" t="s">
        <v>4103</v>
      </c>
      <c r="E1198">
        <f>1</f>
        <v>1</v>
      </c>
    </row>
    <row r="1199" spans="3:5" x14ac:dyDescent="0.25">
      <c r="C1199">
        <v>1197</v>
      </c>
      <c r="D1199" t="s">
        <v>4104</v>
      </c>
      <c r="E1199">
        <f>1</f>
        <v>1</v>
      </c>
    </row>
    <row r="1200" spans="3:5" x14ac:dyDescent="0.25">
      <c r="C1200">
        <v>1198</v>
      </c>
      <c r="D1200" t="s">
        <v>4105</v>
      </c>
      <c r="E1200">
        <f>1</f>
        <v>1</v>
      </c>
    </row>
    <row r="1201" spans="3:5" x14ac:dyDescent="0.25">
      <c r="C1201">
        <v>1199</v>
      </c>
      <c r="D1201" t="s">
        <v>4106</v>
      </c>
      <c r="E1201">
        <f>1</f>
        <v>1</v>
      </c>
    </row>
    <row r="1202" spans="3:5" x14ac:dyDescent="0.25">
      <c r="C1202">
        <v>1200</v>
      </c>
      <c r="D1202" t="s">
        <v>4625</v>
      </c>
      <c r="E1202">
        <f>1</f>
        <v>1</v>
      </c>
    </row>
    <row r="1203" spans="3:5" x14ac:dyDescent="0.25">
      <c r="C1203">
        <v>1201</v>
      </c>
      <c r="D1203" t="s">
        <v>4626</v>
      </c>
      <c r="E1203">
        <f>1</f>
        <v>1</v>
      </c>
    </row>
    <row r="1204" spans="3:5" x14ac:dyDescent="0.25">
      <c r="C1204">
        <v>1202</v>
      </c>
      <c r="D1204" t="s">
        <v>4107</v>
      </c>
      <c r="E1204">
        <f>1</f>
        <v>1</v>
      </c>
    </row>
    <row r="1205" spans="3:5" x14ac:dyDescent="0.25">
      <c r="C1205">
        <v>1203</v>
      </c>
      <c r="D1205" t="s">
        <v>4108</v>
      </c>
      <c r="E1205">
        <f>1</f>
        <v>1</v>
      </c>
    </row>
    <row r="1206" spans="3:5" x14ac:dyDescent="0.25">
      <c r="C1206">
        <v>1204</v>
      </c>
      <c r="D1206" t="s">
        <v>4109</v>
      </c>
      <c r="E1206">
        <f>1</f>
        <v>1</v>
      </c>
    </row>
    <row r="1207" spans="3:5" x14ac:dyDescent="0.25">
      <c r="C1207">
        <v>1205</v>
      </c>
      <c r="D1207" t="s">
        <v>4627</v>
      </c>
      <c r="E1207">
        <f>1</f>
        <v>1</v>
      </c>
    </row>
    <row r="1208" spans="3:5" x14ac:dyDescent="0.25">
      <c r="C1208">
        <v>1207</v>
      </c>
      <c r="D1208" t="s">
        <v>19553</v>
      </c>
      <c r="E1208">
        <f>1</f>
        <v>1</v>
      </c>
    </row>
    <row r="1209" spans="3:5" x14ac:dyDescent="0.25">
      <c r="C1209">
        <v>1208</v>
      </c>
      <c r="D1209" t="s">
        <v>19828</v>
      </c>
      <c r="E1209">
        <f>1</f>
        <v>1</v>
      </c>
    </row>
    <row r="1210" spans="3:5" x14ac:dyDescent="0.25">
      <c r="C1210">
        <v>1209</v>
      </c>
      <c r="D1210" t="s">
        <v>19554</v>
      </c>
      <c r="E1210">
        <f>1</f>
        <v>1</v>
      </c>
    </row>
    <row r="1211" spans="3:5" x14ac:dyDescent="0.25">
      <c r="C1211">
        <v>1210</v>
      </c>
      <c r="D1211" t="s">
        <v>19555</v>
      </c>
      <c r="E1211">
        <f>1</f>
        <v>1</v>
      </c>
    </row>
    <row r="1212" spans="3:5" x14ac:dyDescent="0.25">
      <c r="C1212">
        <v>1211</v>
      </c>
      <c r="D1212" t="s">
        <v>19556</v>
      </c>
      <c r="E1212">
        <f>1</f>
        <v>1</v>
      </c>
    </row>
    <row r="1213" spans="3:5" x14ac:dyDescent="0.25">
      <c r="C1213">
        <v>1212</v>
      </c>
      <c r="D1213" t="s">
        <v>19557</v>
      </c>
      <c r="E1213">
        <f>1</f>
        <v>1</v>
      </c>
    </row>
    <row r="1214" spans="3:5" x14ac:dyDescent="0.25">
      <c r="C1214">
        <v>1213</v>
      </c>
      <c r="D1214" t="s">
        <v>19558</v>
      </c>
      <c r="E1214">
        <f>1</f>
        <v>1</v>
      </c>
    </row>
    <row r="1215" spans="3:5" x14ac:dyDescent="0.25">
      <c r="C1215">
        <v>1214</v>
      </c>
      <c r="D1215" t="s">
        <v>19829</v>
      </c>
      <c r="E1215">
        <f>1</f>
        <v>1</v>
      </c>
    </row>
    <row r="1216" spans="3:5" x14ac:dyDescent="0.25">
      <c r="C1216">
        <v>1215</v>
      </c>
      <c r="D1216" t="s">
        <v>19830</v>
      </c>
      <c r="E1216">
        <f>1</f>
        <v>1</v>
      </c>
    </row>
    <row r="1217" spans="3:5" x14ac:dyDescent="0.25">
      <c r="C1217">
        <v>1216</v>
      </c>
      <c r="D1217" t="s">
        <v>19786</v>
      </c>
      <c r="E1217">
        <f>1</f>
        <v>1</v>
      </c>
    </row>
    <row r="1218" spans="3:5" x14ac:dyDescent="0.25">
      <c r="C1218">
        <v>1217</v>
      </c>
      <c r="D1218" t="s">
        <v>19559</v>
      </c>
      <c r="E1218">
        <f>1</f>
        <v>1</v>
      </c>
    </row>
    <row r="1219" spans="3:5" x14ac:dyDescent="0.25">
      <c r="C1219">
        <v>1218</v>
      </c>
      <c r="D1219" t="s">
        <v>19781</v>
      </c>
      <c r="E1219">
        <f>1</f>
        <v>1</v>
      </c>
    </row>
    <row r="1220" spans="3:5" x14ac:dyDescent="0.25">
      <c r="C1220">
        <v>1219</v>
      </c>
      <c r="D1220" t="s">
        <v>19560</v>
      </c>
      <c r="E1220">
        <f>1</f>
        <v>1</v>
      </c>
    </row>
    <row r="1221" spans="3:5" x14ac:dyDescent="0.25">
      <c r="C1221">
        <v>1220</v>
      </c>
      <c r="D1221" t="s">
        <v>19561</v>
      </c>
      <c r="E1221">
        <f>1</f>
        <v>1</v>
      </c>
    </row>
    <row r="1222" spans="3:5" x14ac:dyDescent="0.25">
      <c r="C1222">
        <v>1221</v>
      </c>
      <c r="D1222" t="s">
        <v>19562</v>
      </c>
      <c r="E1222">
        <f>1</f>
        <v>1</v>
      </c>
    </row>
    <row r="1223" spans="3:5" x14ac:dyDescent="0.25">
      <c r="C1223">
        <v>1222</v>
      </c>
      <c r="D1223" t="s">
        <v>19563</v>
      </c>
      <c r="E1223">
        <f>1</f>
        <v>1</v>
      </c>
    </row>
    <row r="1224" spans="3:5" x14ac:dyDescent="0.25">
      <c r="C1224">
        <v>1223</v>
      </c>
      <c r="D1224" t="s">
        <v>19564</v>
      </c>
      <c r="E1224">
        <f>1</f>
        <v>1</v>
      </c>
    </row>
    <row r="1225" spans="3:5" x14ac:dyDescent="0.25">
      <c r="C1225">
        <v>1224</v>
      </c>
      <c r="D1225" t="s">
        <v>19831</v>
      </c>
      <c r="E1225">
        <f>1</f>
        <v>1</v>
      </c>
    </row>
    <row r="1226" spans="3:5" x14ac:dyDescent="0.25">
      <c r="C1226">
        <v>1225</v>
      </c>
      <c r="D1226" t="s">
        <v>19832</v>
      </c>
      <c r="E1226">
        <f>1</f>
        <v>1</v>
      </c>
    </row>
    <row r="1227" spans="3:5" x14ac:dyDescent="0.25">
      <c r="C1227">
        <v>1226</v>
      </c>
      <c r="D1227" t="s">
        <v>19565</v>
      </c>
      <c r="E1227">
        <f>1</f>
        <v>1</v>
      </c>
    </row>
    <row r="1228" spans="3:5" x14ac:dyDescent="0.25">
      <c r="C1228">
        <v>1227</v>
      </c>
      <c r="D1228" t="s">
        <v>19787</v>
      </c>
      <c r="E1228">
        <f>1</f>
        <v>1</v>
      </c>
    </row>
    <row r="1229" spans="3:5" x14ac:dyDescent="0.25">
      <c r="C1229">
        <v>1228</v>
      </c>
      <c r="D1229" t="s">
        <v>19788</v>
      </c>
      <c r="E1229">
        <f>1</f>
        <v>1</v>
      </c>
    </row>
    <row r="1230" spans="3:5" x14ac:dyDescent="0.25">
      <c r="C1230">
        <v>1229</v>
      </c>
      <c r="D1230" t="s">
        <v>19789</v>
      </c>
      <c r="E1230">
        <f>1</f>
        <v>1</v>
      </c>
    </row>
    <row r="1231" spans="3:5" x14ac:dyDescent="0.25">
      <c r="C1231">
        <v>1230</v>
      </c>
      <c r="D1231" t="s">
        <v>19790</v>
      </c>
      <c r="E1231">
        <f>1</f>
        <v>1</v>
      </c>
    </row>
    <row r="1232" spans="3:5" x14ac:dyDescent="0.25">
      <c r="C1232">
        <v>1231</v>
      </c>
      <c r="D1232" t="s">
        <v>19833</v>
      </c>
      <c r="E1232">
        <f>1</f>
        <v>1</v>
      </c>
    </row>
    <row r="1233" spans="3:5" x14ac:dyDescent="0.25">
      <c r="C1233">
        <v>1232</v>
      </c>
      <c r="D1233" t="s">
        <v>19834</v>
      </c>
      <c r="E1233">
        <f>1</f>
        <v>1</v>
      </c>
    </row>
    <row r="1234" spans="3:5" x14ac:dyDescent="0.25">
      <c r="C1234">
        <v>1233</v>
      </c>
      <c r="D1234" t="s">
        <v>19835</v>
      </c>
      <c r="E1234">
        <f>1</f>
        <v>1</v>
      </c>
    </row>
    <row r="1235" spans="3:5" x14ac:dyDescent="0.25">
      <c r="C1235">
        <v>1234</v>
      </c>
      <c r="D1235" t="s">
        <v>19836</v>
      </c>
      <c r="E1235">
        <f>1</f>
        <v>1</v>
      </c>
    </row>
    <row r="1236" spans="3:5" x14ac:dyDescent="0.25">
      <c r="C1236">
        <v>1235</v>
      </c>
      <c r="D1236" t="s">
        <v>19837</v>
      </c>
      <c r="E1236">
        <f>1</f>
        <v>1</v>
      </c>
    </row>
    <row r="1237" spans="3:5" x14ac:dyDescent="0.25">
      <c r="C1237">
        <v>1236</v>
      </c>
      <c r="D1237" t="s">
        <v>19791</v>
      </c>
      <c r="E1237">
        <f>1</f>
        <v>1</v>
      </c>
    </row>
    <row r="1238" spans="3:5" x14ac:dyDescent="0.25">
      <c r="C1238">
        <v>1237</v>
      </c>
      <c r="D1238" t="s">
        <v>19792</v>
      </c>
      <c r="E1238">
        <f>1</f>
        <v>1</v>
      </c>
    </row>
    <row r="1239" spans="3:5" x14ac:dyDescent="0.25">
      <c r="C1239">
        <v>1238</v>
      </c>
      <c r="D1239" t="s">
        <v>19793</v>
      </c>
      <c r="E1239">
        <f>1</f>
        <v>1</v>
      </c>
    </row>
    <row r="1240" spans="3:5" x14ac:dyDescent="0.25">
      <c r="C1240">
        <v>1239</v>
      </c>
      <c r="D1240" t="s">
        <v>19838</v>
      </c>
      <c r="E1240">
        <f>1</f>
        <v>1</v>
      </c>
    </row>
    <row r="1241" spans="3:5" x14ac:dyDescent="0.25">
      <c r="C1241">
        <v>1240</v>
      </c>
      <c r="D1241" t="s">
        <v>19794</v>
      </c>
      <c r="E1241">
        <f>1</f>
        <v>1</v>
      </c>
    </row>
    <row r="1242" spans="3:5" x14ac:dyDescent="0.25">
      <c r="C1242">
        <v>1241</v>
      </c>
      <c r="D1242" t="s">
        <v>19839</v>
      </c>
      <c r="E1242">
        <f>1</f>
        <v>1</v>
      </c>
    </row>
    <row r="1243" spans="3:5" x14ac:dyDescent="0.25">
      <c r="C1243">
        <v>1242</v>
      </c>
      <c r="D1243" t="s">
        <v>19840</v>
      </c>
      <c r="E1243">
        <f>1</f>
        <v>1</v>
      </c>
    </row>
    <row r="1244" spans="3:5" x14ac:dyDescent="0.25">
      <c r="C1244">
        <v>1243</v>
      </c>
      <c r="D1244" t="s">
        <v>19566</v>
      </c>
      <c r="E1244">
        <f>1</f>
        <v>1</v>
      </c>
    </row>
    <row r="1245" spans="3:5" x14ac:dyDescent="0.25">
      <c r="C1245">
        <v>1244</v>
      </c>
      <c r="D1245" t="s">
        <v>19763</v>
      </c>
      <c r="E1245">
        <f>1</f>
        <v>1</v>
      </c>
    </row>
    <row r="1246" spans="3:5" x14ac:dyDescent="0.25">
      <c r="C1246">
        <v>1245</v>
      </c>
      <c r="D1246" t="s">
        <v>19567</v>
      </c>
      <c r="E1246">
        <f>1</f>
        <v>1</v>
      </c>
    </row>
    <row r="1247" spans="3:5" x14ac:dyDescent="0.25">
      <c r="C1247">
        <v>1246</v>
      </c>
      <c r="D1247" t="s">
        <v>19568</v>
      </c>
      <c r="E1247">
        <f>1</f>
        <v>1</v>
      </c>
    </row>
    <row r="1248" spans="3:5" x14ac:dyDescent="0.25">
      <c r="C1248">
        <v>1247</v>
      </c>
      <c r="D1248" t="s">
        <v>19569</v>
      </c>
      <c r="E1248">
        <f>1</f>
        <v>1</v>
      </c>
    </row>
    <row r="1249" spans="3:5" x14ac:dyDescent="0.25">
      <c r="C1249">
        <v>1248</v>
      </c>
      <c r="D1249" t="s">
        <v>19570</v>
      </c>
      <c r="E1249">
        <f>1</f>
        <v>1</v>
      </c>
    </row>
    <row r="1250" spans="3:5" x14ac:dyDescent="0.25">
      <c r="C1250">
        <v>1249</v>
      </c>
      <c r="D1250" t="s">
        <v>19571</v>
      </c>
      <c r="E1250">
        <f>1</f>
        <v>1</v>
      </c>
    </row>
    <row r="1251" spans="3:5" x14ac:dyDescent="0.25">
      <c r="C1251">
        <v>1250</v>
      </c>
      <c r="D1251" t="s">
        <v>19572</v>
      </c>
      <c r="E1251">
        <f>1</f>
        <v>1</v>
      </c>
    </row>
    <row r="1252" spans="3:5" x14ac:dyDescent="0.25">
      <c r="C1252">
        <v>1251</v>
      </c>
      <c r="D1252" t="s">
        <v>19573</v>
      </c>
      <c r="E1252">
        <f>1</f>
        <v>1</v>
      </c>
    </row>
    <row r="1253" spans="3:5" x14ac:dyDescent="0.25">
      <c r="C1253">
        <v>1252</v>
      </c>
      <c r="D1253" t="s">
        <v>19574</v>
      </c>
      <c r="E1253">
        <f>1</f>
        <v>1</v>
      </c>
    </row>
    <row r="1254" spans="3:5" x14ac:dyDescent="0.25">
      <c r="C1254">
        <v>1253</v>
      </c>
      <c r="D1254" t="s">
        <v>19575</v>
      </c>
      <c r="E1254">
        <f>1</f>
        <v>1</v>
      </c>
    </row>
    <row r="1255" spans="3:5" x14ac:dyDescent="0.25">
      <c r="C1255">
        <v>1254</v>
      </c>
      <c r="D1255" t="s">
        <v>19576</v>
      </c>
      <c r="E1255">
        <f>1</f>
        <v>1</v>
      </c>
    </row>
    <row r="1256" spans="3:5" x14ac:dyDescent="0.25">
      <c r="C1256">
        <v>1255</v>
      </c>
      <c r="D1256" t="s">
        <v>19577</v>
      </c>
      <c r="E1256">
        <f>1</f>
        <v>1</v>
      </c>
    </row>
    <row r="1257" spans="3:5" x14ac:dyDescent="0.25">
      <c r="C1257">
        <v>1256</v>
      </c>
      <c r="D1257" t="s">
        <v>19764</v>
      </c>
      <c r="E1257">
        <f>1</f>
        <v>1</v>
      </c>
    </row>
    <row r="1258" spans="3:5" x14ac:dyDescent="0.25">
      <c r="C1258">
        <v>1257</v>
      </c>
      <c r="D1258" t="s">
        <v>19578</v>
      </c>
      <c r="E1258">
        <f>1</f>
        <v>1</v>
      </c>
    </row>
    <row r="1259" spans="3:5" x14ac:dyDescent="0.25">
      <c r="C1259">
        <v>1258</v>
      </c>
      <c r="D1259" t="s">
        <v>19579</v>
      </c>
      <c r="E1259">
        <f>1</f>
        <v>1</v>
      </c>
    </row>
    <row r="1260" spans="3:5" x14ac:dyDescent="0.25">
      <c r="C1260">
        <v>1259</v>
      </c>
      <c r="D1260" t="s">
        <v>19841</v>
      </c>
      <c r="E1260">
        <f>1</f>
        <v>1</v>
      </c>
    </row>
    <row r="1261" spans="3:5" x14ac:dyDescent="0.25">
      <c r="C1261">
        <v>1260</v>
      </c>
      <c r="D1261" t="s">
        <v>19580</v>
      </c>
      <c r="E1261">
        <f>1</f>
        <v>1</v>
      </c>
    </row>
    <row r="1262" spans="3:5" x14ac:dyDescent="0.25">
      <c r="C1262">
        <v>1261</v>
      </c>
      <c r="D1262" t="s">
        <v>19581</v>
      </c>
      <c r="E1262">
        <f>1</f>
        <v>1</v>
      </c>
    </row>
    <row r="1263" spans="3:5" x14ac:dyDescent="0.25">
      <c r="C1263">
        <v>1262</v>
      </c>
      <c r="D1263" t="s">
        <v>19842</v>
      </c>
      <c r="E1263">
        <f>1</f>
        <v>1</v>
      </c>
    </row>
    <row r="1264" spans="3:5" x14ac:dyDescent="0.25">
      <c r="C1264">
        <v>1263</v>
      </c>
      <c r="D1264" t="s">
        <v>19782</v>
      </c>
      <c r="E1264">
        <f>1</f>
        <v>1</v>
      </c>
    </row>
    <row r="1265" spans="3:5" x14ac:dyDescent="0.25">
      <c r="C1265">
        <v>1264</v>
      </c>
      <c r="D1265" t="s">
        <v>19894</v>
      </c>
      <c r="E1265">
        <f>1</f>
        <v>1</v>
      </c>
    </row>
    <row r="1266" spans="3:5" x14ac:dyDescent="0.25">
      <c r="C1266">
        <v>1265</v>
      </c>
      <c r="D1266" t="s">
        <v>19582</v>
      </c>
      <c r="E1266">
        <f>1</f>
        <v>1</v>
      </c>
    </row>
    <row r="1267" spans="3:5" x14ac:dyDescent="0.25">
      <c r="C1267">
        <v>1266</v>
      </c>
      <c r="D1267" t="s">
        <v>19583</v>
      </c>
      <c r="E1267">
        <f>1</f>
        <v>1</v>
      </c>
    </row>
    <row r="1268" spans="3:5" x14ac:dyDescent="0.25">
      <c r="C1268">
        <v>1267</v>
      </c>
      <c r="D1268" t="s">
        <v>19584</v>
      </c>
      <c r="E1268">
        <f>1</f>
        <v>1</v>
      </c>
    </row>
    <row r="1269" spans="3:5" x14ac:dyDescent="0.25">
      <c r="C1269">
        <v>1268</v>
      </c>
      <c r="D1269" t="s">
        <v>19585</v>
      </c>
      <c r="E1269">
        <f>1</f>
        <v>1</v>
      </c>
    </row>
    <row r="1270" spans="3:5" x14ac:dyDescent="0.25">
      <c r="C1270">
        <v>1269</v>
      </c>
      <c r="D1270" t="s">
        <v>19777</v>
      </c>
      <c r="E1270">
        <f>1</f>
        <v>1</v>
      </c>
    </row>
    <row r="1271" spans="3:5" x14ac:dyDescent="0.25">
      <c r="C1271">
        <v>1270</v>
      </c>
      <c r="D1271" t="s">
        <v>19586</v>
      </c>
      <c r="E1271">
        <f>1</f>
        <v>1</v>
      </c>
    </row>
    <row r="1272" spans="3:5" x14ac:dyDescent="0.25">
      <c r="C1272">
        <v>1271</v>
      </c>
      <c r="D1272" t="s">
        <v>19587</v>
      </c>
      <c r="E1272">
        <f>1</f>
        <v>1</v>
      </c>
    </row>
    <row r="1273" spans="3:5" x14ac:dyDescent="0.25">
      <c r="C1273">
        <v>1272</v>
      </c>
      <c r="D1273" t="s">
        <v>19588</v>
      </c>
      <c r="E1273">
        <f>1</f>
        <v>1</v>
      </c>
    </row>
    <row r="1274" spans="3:5" x14ac:dyDescent="0.25">
      <c r="C1274">
        <v>1273</v>
      </c>
      <c r="D1274" t="s">
        <v>19589</v>
      </c>
      <c r="E1274">
        <f>1</f>
        <v>1</v>
      </c>
    </row>
    <row r="1275" spans="3:5" x14ac:dyDescent="0.25">
      <c r="C1275">
        <v>1274</v>
      </c>
      <c r="D1275" t="s">
        <v>19590</v>
      </c>
      <c r="E1275">
        <f>1</f>
        <v>1</v>
      </c>
    </row>
    <row r="1276" spans="3:5" x14ac:dyDescent="0.25">
      <c r="C1276">
        <v>1275</v>
      </c>
      <c r="D1276" t="s">
        <v>19765</v>
      </c>
      <c r="E1276">
        <f>1</f>
        <v>1</v>
      </c>
    </row>
    <row r="1277" spans="3:5" x14ac:dyDescent="0.25">
      <c r="C1277">
        <v>1276</v>
      </c>
      <c r="D1277" t="s">
        <v>19766</v>
      </c>
      <c r="E1277">
        <f>1</f>
        <v>1</v>
      </c>
    </row>
    <row r="1278" spans="3:5" x14ac:dyDescent="0.25">
      <c r="C1278">
        <v>1277</v>
      </c>
      <c r="D1278" t="s">
        <v>19591</v>
      </c>
      <c r="E1278">
        <f>1</f>
        <v>1</v>
      </c>
    </row>
    <row r="1279" spans="3:5" x14ac:dyDescent="0.25">
      <c r="C1279">
        <v>1278</v>
      </c>
      <c r="D1279" t="s">
        <v>19592</v>
      </c>
      <c r="E1279">
        <f>1</f>
        <v>1</v>
      </c>
    </row>
    <row r="1280" spans="3:5" x14ac:dyDescent="0.25">
      <c r="C1280">
        <v>1279</v>
      </c>
      <c r="D1280" t="s">
        <v>19795</v>
      </c>
      <c r="E1280">
        <f>1</f>
        <v>1</v>
      </c>
    </row>
    <row r="1281" spans="3:5" x14ac:dyDescent="0.25">
      <c r="C1281">
        <v>1280</v>
      </c>
      <c r="D1281" t="s">
        <v>19796</v>
      </c>
      <c r="E1281">
        <f>1</f>
        <v>1</v>
      </c>
    </row>
    <row r="1282" spans="3:5" x14ac:dyDescent="0.25">
      <c r="C1282">
        <v>1281</v>
      </c>
      <c r="D1282" t="s">
        <v>19593</v>
      </c>
      <c r="E1282">
        <f>1</f>
        <v>1</v>
      </c>
    </row>
    <row r="1283" spans="3:5" x14ac:dyDescent="0.25">
      <c r="C1283">
        <v>1282</v>
      </c>
      <c r="D1283" t="s">
        <v>19594</v>
      </c>
      <c r="E1283">
        <f>1</f>
        <v>1</v>
      </c>
    </row>
    <row r="1284" spans="3:5" x14ac:dyDescent="0.25">
      <c r="C1284">
        <v>1283</v>
      </c>
      <c r="D1284" t="s">
        <v>19595</v>
      </c>
      <c r="E1284">
        <f>1</f>
        <v>1</v>
      </c>
    </row>
    <row r="1285" spans="3:5" x14ac:dyDescent="0.25">
      <c r="C1285">
        <v>1284</v>
      </c>
      <c r="D1285" t="s">
        <v>19596</v>
      </c>
      <c r="E1285">
        <f>1</f>
        <v>1</v>
      </c>
    </row>
    <row r="1286" spans="3:5" x14ac:dyDescent="0.25">
      <c r="C1286">
        <v>1285</v>
      </c>
      <c r="D1286" t="s">
        <v>19597</v>
      </c>
      <c r="E1286">
        <f>1</f>
        <v>1</v>
      </c>
    </row>
    <row r="1287" spans="3:5" x14ac:dyDescent="0.25">
      <c r="C1287">
        <v>1286</v>
      </c>
      <c r="D1287" t="s">
        <v>19598</v>
      </c>
      <c r="E1287">
        <f>1</f>
        <v>1</v>
      </c>
    </row>
    <row r="1288" spans="3:5" x14ac:dyDescent="0.25">
      <c r="C1288">
        <v>1287</v>
      </c>
      <c r="D1288" t="s">
        <v>19767</v>
      </c>
      <c r="E1288">
        <f>1</f>
        <v>1</v>
      </c>
    </row>
    <row r="1289" spans="3:5" x14ac:dyDescent="0.25">
      <c r="C1289">
        <v>1288</v>
      </c>
      <c r="D1289" t="s">
        <v>19599</v>
      </c>
      <c r="E1289">
        <f>1</f>
        <v>1</v>
      </c>
    </row>
    <row r="1290" spans="3:5" x14ac:dyDescent="0.25">
      <c r="C1290">
        <v>1289</v>
      </c>
      <c r="D1290" t="s">
        <v>19600</v>
      </c>
      <c r="E1290">
        <f>1</f>
        <v>1</v>
      </c>
    </row>
    <row r="1291" spans="3:5" x14ac:dyDescent="0.25">
      <c r="C1291">
        <v>1290</v>
      </c>
      <c r="D1291" t="s">
        <v>19601</v>
      </c>
      <c r="E1291">
        <f>1</f>
        <v>1</v>
      </c>
    </row>
    <row r="1292" spans="3:5" x14ac:dyDescent="0.25">
      <c r="C1292">
        <v>1291</v>
      </c>
      <c r="D1292" t="s">
        <v>19602</v>
      </c>
      <c r="E1292">
        <f>1</f>
        <v>1</v>
      </c>
    </row>
    <row r="1293" spans="3:5" x14ac:dyDescent="0.25">
      <c r="C1293">
        <v>1292</v>
      </c>
      <c r="D1293" t="s">
        <v>19843</v>
      </c>
      <c r="E1293">
        <f>1</f>
        <v>1</v>
      </c>
    </row>
    <row r="1294" spans="3:5" x14ac:dyDescent="0.25">
      <c r="C1294">
        <v>1293</v>
      </c>
      <c r="D1294" t="s">
        <v>19603</v>
      </c>
      <c r="E1294">
        <f>1</f>
        <v>1</v>
      </c>
    </row>
    <row r="1295" spans="3:5" x14ac:dyDescent="0.25">
      <c r="C1295">
        <v>1294</v>
      </c>
      <c r="D1295" t="s">
        <v>19604</v>
      </c>
      <c r="E1295">
        <f>1</f>
        <v>1</v>
      </c>
    </row>
    <row r="1296" spans="3:5" x14ac:dyDescent="0.25">
      <c r="C1296">
        <v>1295</v>
      </c>
      <c r="D1296" t="s">
        <v>19605</v>
      </c>
      <c r="E1296">
        <f>1</f>
        <v>1</v>
      </c>
    </row>
    <row r="1297" spans="3:5" x14ac:dyDescent="0.25">
      <c r="C1297">
        <v>1296</v>
      </c>
      <c r="D1297" t="s">
        <v>19606</v>
      </c>
      <c r="E1297">
        <f>1</f>
        <v>1</v>
      </c>
    </row>
    <row r="1298" spans="3:5" x14ac:dyDescent="0.25">
      <c r="C1298">
        <v>1297</v>
      </c>
      <c r="D1298" t="s">
        <v>19844</v>
      </c>
      <c r="E1298">
        <f>1</f>
        <v>1</v>
      </c>
    </row>
    <row r="1299" spans="3:5" x14ac:dyDescent="0.25">
      <c r="C1299">
        <v>1298</v>
      </c>
      <c r="D1299" t="s">
        <v>19845</v>
      </c>
      <c r="E1299">
        <f>1</f>
        <v>1</v>
      </c>
    </row>
    <row r="1300" spans="3:5" x14ac:dyDescent="0.25">
      <c r="C1300">
        <v>1299</v>
      </c>
      <c r="D1300" t="s">
        <v>19846</v>
      </c>
      <c r="E1300">
        <f>1</f>
        <v>1</v>
      </c>
    </row>
    <row r="1301" spans="3:5" x14ac:dyDescent="0.25">
      <c r="C1301">
        <v>1300</v>
      </c>
      <c r="D1301" t="s">
        <v>19607</v>
      </c>
      <c r="E1301">
        <f>1</f>
        <v>1</v>
      </c>
    </row>
    <row r="1302" spans="3:5" x14ac:dyDescent="0.25">
      <c r="C1302">
        <v>1301</v>
      </c>
      <c r="D1302" t="s">
        <v>19608</v>
      </c>
      <c r="E1302">
        <f>1</f>
        <v>1</v>
      </c>
    </row>
    <row r="1303" spans="3:5" x14ac:dyDescent="0.25">
      <c r="C1303">
        <v>1302</v>
      </c>
      <c r="D1303" t="s">
        <v>19609</v>
      </c>
      <c r="E1303">
        <f>1</f>
        <v>1</v>
      </c>
    </row>
    <row r="1304" spans="3:5" x14ac:dyDescent="0.25">
      <c r="C1304">
        <v>1303</v>
      </c>
      <c r="D1304" t="s">
        <v>19610</v>
      </c>
      <c r="E1304">
        <f>1</f>
        <v>1</v>
      </c>
    </row>
    <row r="1305" spans="3:5" x14ac:dyDescent="0.25">
      <c r="C1305">
        <v>1304</v>
      </c>
      <c r="D1305" t="s">
        <v>19611</v>
      </c>
      <c r="E1305">
        <f>1</f>
        <v>1</v>
      </c>
    </row>
    <row r="1306" spans="3:5" x14ac:dyDescent="0.25">
      <c r="C1306">
        <v>1305</v>
      </c>
      <c r="D1306" t="s">
        <v>19612</v>
      </c>
      <c r="E1306">
        <f>1</f>
        <v>1</v>
      </c>
    </row>
    <row r="1307" spans="3:5" x14ac:dyDescent="0.25">
      <c r="C1307">
        <v>1306</v>
      </c>
      <c r="D1307" t="s">
        <v>19613</v>
      </c>
      <c r="E1307">
        <f>1</f>
        <v>1</v>
      </c>
    </row>
    <row r="1308" spans="3:5" x14ac:dyDescent="0.25">
      <c r="C1308">
        <v>1307</v>
      </c>
      <c r="D1308" t="s">
        <v>19614</v>
      </c>
      <c r="E1308">
        <f>1</f>
        <v>1</v>
      </c>
    </row>
    <row r="1309" spans="3:5" x14ac:dyDescent="0.25">
      <c r="C1309">
        <v>1308</v>
      </c>
      <c r="D1309" t="s">
        <v>19615</v>
      </c>
      <c r="E1309">
        <f>1</f>
        <v>1</v>
      </c>
    </row>
    <row r="1310" spans="3:5" x14ac:dyDescent="0.25">
      <c r="C1310">
        <v>1309</v>
      </c>
      <c r="D1310" t="s">
        <v>19847</v>
      </c>
      <c r="E1310">
        <f>1</f>
        <v>1</v>
      </c>
    </row>
    <row r="1311" spans="3:5" x14ac:dyDescent="0.25">
      <c r="C1311">
        <v>1310</v>
      </c>
      <c r="D1311" t="s">
        <v>19848</v>
      </c>
      <c r="E1311">
        <f>1</f>
        <v>1</v>
      </c>
    </row>
    <row r="1312" spans="3:5" x14ac:dyDescent="0.25">
      <c r="C1312">
        <v>1311</v>
      </c>
      <c r="D1312" t="s">
        <v>19768</v>
      </c>
      <c r="E1312">
        <f>1</f>
        <v>1</v>
      </c>
    </row>
    <row r="1313" spans="3:5" x14ac:dyDescent="0.25">
      <c r="C1313">
        <v>1312</v>
      </c>
      <c r="D1313" t="s">
        <v>19616</v>
      </c>
      <c r="E1313">
        <f>1</f>
        <v>1</v>
      </c>
    </row>
    <row r="1314" spans="3:5" x14ac:dyDescent="0.25">
      <c r="C1314">
        <v>1313</v>
      </c>
      <c r="D1314" t="s">
        <v>19617</v>
      </c>
      <c r="E1314">
        <f>1</f>
        <v>1</v>
      </c>
    </row>
    <row r="1315" spans="3:5" x14ac:dyDescent="0.25">
      <c r="C1315">
        <v>1314</v>
      </c>
      <c r="D1315" t="s">
        <v>19618</v>
      </c>
      <c r="E1315">
        <f>1</f>
        <v>1</v>
      </c>
    </row>
    <row r="1316" spans="3:5" x14ac:dyDescent="0.25">
      <c r="C1316">
        <v>1315</v>
      </c>
      <c r="D1316" t="s">
        <v>19619</v>
      </c>
      <c r="E1316">
        <f>1</f>
        <v>1</v>
      </c>
    </row>
    <row r="1317" spans="3:5" x14ac:dyDescent="0.25">
      <c r="C1317">
        <v>1316</v>
      </c>
      <c r="D1317" t="s">
        <v>19849</v>
      </c>
      <c r="E1317">
        <f>1</f>
        <v>1</v>
      </c>
    </row>
    <row r="1318" spans="3:5" x14ac:dyDescent="0.25">
      <c r="C1318">
        <v>1317</v>
      </c>
      <c r="D1318" t="s">
        <v>19850</v>
      </c>
      <c r="E1318">
        <f>1</f>
        <v>1</v>
      </c>
    </row>
    <row r="1319" spans="3:5" x14ac:dyDescent="0.25">
      <c r="C1319">
        <v>1318</v>
      </c>
      <c r="D1319" t="s">
        <v>19620</v>
      </c>
      <c r="E1319">
        <f>1</f>
        <v>1</v>
      </c>
    </row>
    <row r="1320" spans="3:5" x14ac:dyDescent="0.25">
      <c r="C1320">
        <v>1319</v>
      </c>
      <c r="D1320" t="s">
        <v>19851</v>
      </c>
      <c r="E1320">
        <f>1</f>
        <v>1</v>
      </c>
    </row>
    <row r="1321" spans="3:5" x14ac:dyDescent="0.25">
      <c r="C1321">
        <v>1320</v>
      </c>
      <c r="D1321" t="s">
        <v>19621</v>
      </c>
      <c r="E1321">
        <f>1</f>
        <v>1</v>
      </c>
    </row>
    <row r="1322" spans="3:5" x14ac:dyDescent="0.25">
      <c r="C1322">
        <v>1321</v>
      </c>
      <c r="D1322" t="s">
        <v>19622</v>
      </c>
      <c r="E1322">
        <f>1</f>
        <v>1</v>
      </c>
    </row>
    <row r="1323" spans="3:5" x14ac:dyDescent="0.25">
      <c r="C1323">
        <v>1322</v>
      </c>
      <c r="D1323" t="s">
        <v>19623</v>
      </c>
      <c r="E1323">
        <f>1</f>
        <v>1</v>
      </c>
    </row>
    <row r="1324" spans="3:5" x14ac:dyDescent="0.25">
      <c r="C1324">
        <v>1323</v>
      </c>
      <c r="D1324" t="s">
        <v>19624</v>
      </c>
      <c r="E1324">
        <f>1</f>
        <v>1</v>
      </c>
    </row>
    <row r="1325" spans="3:5" x14ac:dyDescent="0.25">
      <c r="C1325">
        <v>1324</v>
      </c>
      <c r="D1325" t="s">
        <v>19625</v>
      </c>
      <c r="E1325">
        <f>1</f>
        <v>1</v>
      </c>
    </row>
    <row r="1326" spans="3:5" x14ac:dyDescent="0.25">
      <c r="C1326">
        <v>1325</v>
      </c>
      <c r="D1326" t="s">
        <v>19769</v>
      </c>
      <c r="E1326">
        <f>1</f>
        <v>1</v>
      </c>
    </row>
    <row r="1327" spans="3:5" x14ac:dyDescent="0.25">
      <c r="C1327">
        <v>1326</v>
      </c>
      <c r="D1327" t="s">
        <v>19626</v>
      </c>
      <c r="E1327">
        <f>1</f>
        <v>1</v>
      </c>
    </row>
    <row r="1328" spans="3:5" x14ac:dyDescent="0.25">
      <c r="C1328">
        <v>1327</v>
      </c>
      <c r="D1328" t="s">
        <v>19627</v>
      </c>
      <c r="E1328">
        <f>1</f>
        <v>1</v>
      </c>
    </row>
    <row r="1329" spans="3:5" x14ac:dyDescent="0.25">
      <c r="C1329">
        <v>1328</v>
      </c>
      <c r="D1329" t="s">
        <v>19797</v>
      </c>
      <c r="E1329">
        <f>1</f>
        <v>1</v>
      </c>
    </row>
    <row r="1330" spans="3:5" x14ac:dyDescent="0.25">
      <c r="C1330">
        <v>1329</v>
      </c>
      <c r="D1330" t="s">
        <v>19798</v>
      </c>
      <c r="E1330">
        <f>1</f>
        <v>1</v>
      </c>
    </row>
    <row r="1331" spans="3:5" x14ac:dyDescent="0.25">
      <c r="C1331">
        <v>1330</v>
      </c>
      <c r="D1331" t="s">
        <v>19799</v>
      </c>
      <c r="E1331">
        <f>1</f>
        <v>1</v>
      </c>
    </row>
    <row r="1332" spans="3:5" x14ac:dyDescent="0.25">
      <c r="C1332">
        <v>1331</v>
      </c>
      <c r="D1332" t="s">
        <v>19852</v>
      </c>
      <c r="E1332">
        <f>1</f>
        <v>1</v>
      </c>
    </row>
    <row r="1333" spans="3:5" x14ac:dyDescent="0.25">
      <c r="C1333">
        <v>1332</v>
      </c>
      <c r="D1333" t="s">
        <v>19628</v>
      </c>
      <c r="E1333">
        <f>1</f>
        <v>1</v>
      </c>
    </row>
    <row r="1334" spans="3:5" x14ac:dyDescent="0.25">
      <c r="C1334">
        <v>1333</v>
      </c>
      <c r="D1334" t="s">
        <v>19629</v>
      </c>
      <c r="E1334">
        <f>1</f>
        <v>1</v>
      </c>
    </row>
    <row r="1335" spans="3:5" x14ac:dyDescent="0.25">
      <c r="C1335">
        <v>1334</v>
      </c>
      <c r="D1335" t="s">
        <v>19630</v>
      </c>
      <c r="E1335">
        <f>1</f>
        <v>1</v>
      </c>
    </row>
    <row r="1336" spans="3:5" x14ac:dyDescent="0.25">
      <c r="C1336">
        <v>1335</v>
      </c>
      <c r="D1336" t="s">
        <v>19631</v>
      </c>
      <c r="E1336">
        <f>1</f>
        <v>1</v>
      </c>
    </row>
    <row r="1337" spans="3:5" x14ac:dyDescent="0.25">
      <c r="C1337">
        <v>1336</v>
      </c>
      <c r="D1337" t="s">
        <v>19853</v>
      </c>
      <c r="E1337">
        <f>1</f>
        <v>1</v>
      </c>
    </row>
    <row r="1338" spans="3:5" x14ac:dyDescent="0.25">
      <c r="C1338">
        <v>1337</v>
      </c>
      <c r="D1338" t="s">
        <v>19854</v>
      </c>
      <c r="E1338">
        <f>1</f>
        <v>1</v>
      </c>
    </row>
    <row r="1339" spans="3:5" x14ac:dyDescent="0.25">
      <c r="C1339">
        <v>1338</v>
      </c>
      <c r="D1339" t="s">
        <v>19783</v>
      </c>
      <c r="E1339">
        <f>1</f>
        <v>1</v>
      </c>
    </row>
    <row r="1340" spans="3:5" x14ac:dyDescent="0.25">
      <c r="C1340">
        <v>1339</v>
      </c>
      <c r="D1340" t="s">
        <v>19855</v>
      </c>
      <c r="E1340">
        <f>1</f>
        <v>1</v>
      </c>
    </row>
    <row r="1341" spans="3:5" x14ac:dyDescent="0.25">
      <c r="C1341">
        <v>1340</v>
      </c>
      <c r="D1341" t="s">
        <v>19770</v>
      </c>
      <c r="E1341">
        <f>1</f>
        <v>1</v>
      </c>
    </row>
    <row r="1342" spans="3:5" x14ac:dyDescent="0.25">
      <c r="C1342">
        <v>1341</v>
      </c>
      <c r="D1342" t="s">
        <v>19800</v>
      </c>
      <c r="E1342">
        <f>1</f>
        <v>1</v>
      </c>
    </row>
    <row r="1343" spans="3:5" x14ac:dyDescent="0.25">
      <c r="C1343">
        <v>1342</v>
      </c>
      <c r="D1343" t="s">
        <v>19856</v>
      </c>
      <c r="E1343">
        <f>1</f>
        <v>1</v>
      </c>
    </row>
    <row r="1344" spans="3:5" x14ac:dyDescent="0.25">
      <c r="C1344">
        <v>1343</v>
      </c>
      <c r="D1344" t="s">
        <v>19632</v>
      </c>
      <c r="E1344">
        <f>1</f>
        <v>1</v>
      </c>
    </row>
    <row r="1345" spans="3:5" x14ac:dyDescent="0.25">
      <c r="C1345">
        <v>1344</v>
      </c>
      <c r="D1345" t="s">
        <v>19633</v>
      </c>
      <c r="E1345">
        <f>1</f>
        <v>1</v>
      </c>
    </row>
    <row r="1346" spans="3:5" x14ac:dyDescent="0.25">
      <c r="C1346">
        <v>1345</v>
      </c>
      <c r="D1346" t="s">
        <v>19801</v>
      </c>
      <c r="E1346">
        <f>1</f>
        <v>1</v>
      </c>
    </row>
    <row r="1347" spans="3:5" x14ac:dyDescent="0.25">
      <c r="C1347">
        <v>1346</v>
      </c>
      <c r="D1347" t="s">
        <v>19634</v>
      </c>
      <c r="E1347">
        <f>1</f>
        <v>1</v>
      </c>
    </row>
    <row r="1348" spans="3:5" x14ac:dyDescent="0.25">
      <c r="C1348">
        <v>1347</v>
      </c>
      <c r="D1348" t="s">
        <v>19635</v>
      </c>
      <c r="E1348">
        <f>1</f>
        <v>1</v>
      </c>
    </row>
    <row r="1349" spans="3:5" x14ac:dyDescent="0.25">
      <c r="C1349">
        <v>1348</v>
      </c>
      <c r="D1349" t="s">
        <v>19802</v>
      </c>
      <c r="E1349">
        <f>1</f>
        <v>1</v>
      </c>
    </row>
    <row r="1350" spans="3:5" x14ac:dyDescent="0.25">
      <c r="C1350">
        <v>1349</v>
      </c>
      <c r="D1350" t="s">
        <v>19803</v>
      </c>
      <c r="E1350">
        <f>1</f>
        <v>1</v>
      </c>
    </row>
    <row r="1351" spans="3:5" x14ac:dyDescent="0.25">
      <c r="C1351">
        <v>1350</v>
      </c>
      <c r="D1351" t="s">
        <v>19636</v>
      </c>
      <c r="E1351">
        <f>1</f>
        <v>1</v>
      </c>
    </row>
    <row r="1352" spans="3:5" x14ac:dyDescent="0.25">
      <c r="C1352">
        <v>1351</v>
      </c>
      <c r="D1352" t="s">
        <v>19637</v>
      </c>
      <c r="E1352">
        <f>1</f>
        <v>1</v>
      </c>
    </row>
    <row r="1353" spans="3:5" x14ac:dyDescent="0.25">
      <c r="C1353">
        <v>1352</v>
      </c>
      <c r="D1353" t="s">
        <v>19638</v>
      </c>
      <c r="E1353">
        <f>1</f>
        <v>1</v>
      </c>
    </row>
    <row r="1354" spans="3:5" x14ac:dyDescent="0.25">
      <c r="C1354">
        <v>1353</v>
      </c>
      <c r="D1354" t="s">
        <v>19639</v>
      </c>
      <c r="E1354">
        <f>1</f>
        <v>1</v>
      </c>
    </row>
    <row r="1355" spans="3:5" x14ac:dyDescent="0.25">
      <c r="C1355">
        <v>1354</v>
      </c>
      <c r="D1355" t="s">
        <v>19640</v>
      </c>
      <c r="E1355">
        <f>1</f>
        <v>1</v>
      </c>
    </row>
    <row r="1356" spans="3:5" x14ac:dyDescent="0.25">
      <c r="C1356">
        <v>1355</v>
      </c>
      <c r="D1356" t="s">
        <v>19804</v>
      </c>
      <c r="E1356">
        <f>1</f>
        <v>1</v>
      </c>
    </row>
    <row r="1357" spans="3:5" x14ac:dyDescent="0.25">
      <c r="C1357">
        <v>1356</v>
      </c>
      <c r="D1357" t="s">
        <v>19641</v>
      </c>
      <c r="E1357">
        <f>1</f>
        <v>1</v>
      </c>
    </row>
    <row r="1358" spans="3:5" x14ac:dyDescent="0.25">
      <c r="C1358">
        <v>1357</v>
      </c>
      <c r="D1358" t="s">
        <v>19642</v>
      </c>
      <c r="E1358">
        <f>1</f>
        <v>1</v>
      </c>
    </row>
    <row r="1359" spans="3:5" x14ac:dyDescent="0.25">
      <c r="C1359">
        <v>1358</v>
      </c>
      <c r="D1359" t="s">
        <v>19805</v>
      </c>
      <c r="E1359">
        <f>1</f>
        <v>1</v>
      </c>
    </row>
    <row r="1360" spans="3:5" x14ac:dyDescent="0.25">
      <c r="C1360">
        <v>1359</v>
      </c>
      <c r="D1360" t="s">
        <v>19806</v>
      </c>
      <c r="E1360">
        <f>1</f>
        <v>1</v>
      </c>
    </row>
    <row r="1361" spans="3:5" x14ac:dyDescent="0.25">
      <c r="C1361">
        <v>1360</v>
      </c>
      <c r="D1361" t="s">
        <v>19807</v>
      </c>
      <c r="E1361">
        <f>1</f>
        <v>1</v>
      </c>
    </row>
    <row r="1362" spans="3:5" x14ac:dyDescent="0.25">
      <c r="C1362">
        <v>1361</v>
      </c>
      <c r="D1362" t="s">
        <v>19808</v>
      </c>
      <c r="E1362">
        <f>1</f>
        <v>1</v>
      </c>
    </row>
    <row r="1363" spans="3:5" x14ac:dyDescent="0.25">
      <c r="C1363">
        <v>1362</v>
      </c>
      <c r="D1363" t="s">
        <v>19809</v>
      </c>
      <c r="E1363">
        <f>1</f>
        <v>1</v>
      </c>
    </row>
    <row r="1364" spans="3:5" x14ac:dyDescent="0.25">
      <c r="C1364">
        <v>1363</v>
      </c>
      <c r="D1364" t="s">
        <v>19810</v>
      </c>
      <c r="E1364">
        <f>1</f>
        <v>1</v>
      </c>
    </row>
    <row r="1365" spans="3:5" x14ac:dyDescent="0.25">
      <c r="C1365">
        <v>1364</v>
      </c>
      <c r="D1365" t="s">
        <v>19811</v>
      </c>
      <c r="E1365">
        <f>1</f>
        <v>1</v>
      </c>
    </row>
    <row r="1366" spans="3:5" x14ac:dyDescent="0.25">
      <c r="C1366">
        <v>1365</v>
      </c>
      <c r="D1366" t="s">
        <v>19812</v>
      </c>
      <c r="E1366">
        <f>1</f>
        <v>1</v>
      </c>
    </row>
    <row r="1367" spans="3:5" x14ac:dyDescent="0.25">
      <c r="C1367">
        <v>1366</v>
      </c>
      <c r="D1367" t="s">
        <v>19813</v>
      </c>
      <c r="E1367">
        <f>1</f>
        <v>1</v>
      </c>
    </row>
    <row r="1368" spans="3:5" x14ac:dyDescent="0.25">
      <c r="C1368">
        <v>1367</v>
      </c>
      <c r="D1368" t="s">
        <v>19814</v>
      </c>
      <c r="E1368">
        <f>1</f>
        <v>1</v>
      </c>
    </row>
    <row r="1369" spans="3:5" x14ac:dyDescent="0.25">
      <c r="C1369">
        <v>1368</v>
      </c>
      <c r="D1369" t="s">
        <v>19815</v>
      </c>
      <c r="E1369">
        <f>1</f>
        <v>1</v>
      </c>
    </row>
    <row r="1370" spans="3:5" x14ac:dyDescent="0.25">
      <c r="C1370">
        <v>1369</v>
      </c>
      <c r="D1370" t="s">
        <v>19816</v>
      </c>
      <c r="E1370">
        <f>1</f>
        <v>1</v>
      </c>
    </row>
    <row r="1371" spans="3:5" x14ac:dyDescent="0.25">
      <c r="C1371">
        <v>1370</v>
      </c>
      <c r="D1371" t="s">
        <v>19817</v>
      </c>
      <c r="E1371">
        <f>1</f>
        <v>1</v>
      </c>
    </row>
    <row r="1372" spans="3:5" x14ac:dyDescent="0.25">
      <c r="C1372">
        <v>1371</v>
      </c>
      <c r="D1372" t="s">
        <v>19643</v>
      </c>
      <c r="E1372">
        <f>1</f>
        <v>1</v>
      </c>
    </row>
    <row r="1373" spans="3:5" x14ac:dyDescent="0.25">
      <c r="C1373">
        <v>1372</v>
      </c>
      <c r="D1373" t="s">
        <v>19644</v>
      </c>
      <c r="E1373">
        <f>1</f>
        <v>1</v>
      </c>
    </row>
    <row r="1374" spans="3:5" x14ac:dyDescent="0.25">
      <c r="C1374">
        <v>1373</v>
      </c>
      <c r="D1374" t="s">
        <v>19645</v>
      </c>
      <c r="E1374">
        <f>1</f>
        <v>1</v>
      </c>
    </row>
    <row r="1375" spans="3:5" x14ac:dyDescent="0.25">
      <c r="C1375">
        <v>1374</v>
      </c>
      <c r="D1375" t="s">
        <v>19646</v>
      </c>
      <c r="E1375">
        <f>1</f>
        <v>1</v>
      </c>
    </row>
    <row r="1376" spans="3:5" x14ac:dyDescent="0.25">
      <c r="C1376">
        <v>1375</v>
      </c>
      <c r="D1376" t="s">
        <v>19647</v>
      </c>
      <c r="E1376">
        <f>1</f>
        <v>1</v>
      </c>
    </row>
    <row r="1377" spans="3:5" x14ac:dyDescent="0.25">
      <c r="C1377">
        <v>1376</v>
      </c>
      <c r="D1377" t="s">
        <v>19648</v>
      </c>
      <c r="E1377">
        <f>1</f>
        <v>1</v>
      </c>
    </row>
    <row r="1378" spans="3:5" x14ac:dyDescent="0.25">
      <c r="C1378">
        <v>1377</v>
      </c>
      <c r="D1378" t="s">
        <v>19649</v>
      </c>
      <c r="E1378">
        <f>1</f>
        <v>1</v>
      </c>
    </row>
    <row r="1379" spans="3:5" x14ac:dyDescent="0.25">
      <c r="C1379">
        <v>1378</v>
      </c>
      <c r="D1379" t="s">
        <v>19650</v>
      </c>
      <c r="E1379">
        <f>1</f>
        <v>1</v>
      </c>
    </row>
    <row r="1380" spans="3:5" x14ac:dyDescent="0.25">
      <c r="C1380">
        <v>1379</v>
      </c>
      <c r="D1380" t="s">
        <v>19857</v>
      </c>
      <c r="E1380">
        <f>1</f>
        <v>1</v>
      </c>
    </row>
    <row r="1381" spans="3:5" x14ac:dyDescent="0.25">
      <c r="C1381">
        <v>1380</v>
      </c>
      <c r="D1381" t="s">
        <v>19651</v>
      </c>
      <c r="E1381">
        <f>1</f>
        <v>1</v>
      </c>
    </row>
    <row r="1382" spans="3:5" x14ac:dyDescent="0.25">
      <c r="C1382">
        <v>1381</v>
      </c>
      <c r="D1382" t="s">
        <v>19818</v>
      </c>
      <c r="E1382">
        <f>1</f>
        <v>1</v>
      </c>
    </row>
    <row r="1383" spans="3:5" x14ac:dyDescent="0.25">
      <c r="C1383">
        <v>1382</v>
      </c>
      <c r="D1383" t="s">
        <v>19652</v>
      </c>
      <c r="E1383">
        <f>1</f>
        <v>1</v>
      </c>
    </row>
    <row r="1384" spans="3:5" x14ac:dyDescent="0.25">
      <c r="C1384">
        <v>1383</v>
      </c>
      <c r="D1384" t="s">
        <v>19819</v>
      </c>
      <c r="E1384">
        <f>1</f>
        <v>1</v>
      </c>
    </row>
    <row r="1385" spans="3:5" x14ac:dyDescent="0.25">
      <c r="C1385">
        <v>1384</v>
      </c>
      <c r="D1385" t="s">
        <v>19653</v>
      </c>
      <c r="E1385">
        <f>1</f>
        <v>1</v>
      </c>
    </row>
    <row r="1386" spans="3:5" x14ac:dyDescent="0.25">
      <c r="C1386">
        <v>1385</v>
      </c>
      <c r="D1386" t="s">
        <v>19654</v>
      </c>
      <c r="E1386">
        <f>1</f>
        <v>1</v>
      </c>
    </row>
    <row r="1387" spans="3:5" x14ac:dyDescent="0.25">
      <c r="C1387">
        <v>1386</v>
      </c>
      <c r="D1387" t="s">
        <v>19655</v>
      </c>
      <c r="E1387">
        <f>1</f>
        <v>1</v>
      </c>
    </row>
    <row r="1388" spans="3:5" x14ac:dyDescent="0.25">
      <c r="C1388">
        <v>1387</v>
      </c>
      <c r="D1388" t="s">
        <v>19778</v>
      </c>
      <c r="E1388">
        <f>1</f>
        <v>1</v>
      </c>
    </row>
    <row r="1389" spans="3:5" x14ac:dyDescent="0.25">
      <c r="C1389">
        <v>1388</v>
      </c>
      <c r="D1389" t="s">
        <v>19656</v>
      </c>
      <c r="E1389">
        <f>1</f>
        <v>1</v>
      </c>
    </row>
    <row r="1390" spans="3:5" x14ac:dyDescent="0.25">
      <c r="C1390">
        <v>1389</v>
      </c>
      <c r="D1390" t="s">
        <v>19858</v>
      </c>
      <c r="E1390">
        <f>1</f>
        <v>1</v>
      </c>
    </row>
    <row r="1391" spans="3:5" x14ac:dyDescent="0.25">
      <c r="C1391">
        <v>1390</v>
      </c>
      <c r="D1391" t="s">
        <v>19657</v>
      </c>
      <c r="E1391">
        <f>1</f>
        <v>1</v>
      </c>
    </row>
    <row r="1392" spans="3:5" x14ac:dyDescent="0.25">
      <c r="C1392">
        <v>1391</v>
      </c>
      <c r="D1392" t="s">
        <v>19658</v>
      </c>
      <c r="E1392">
        <f>1</f>
        <v>1</v>
      </c>
    </row>
    <row r="1393" spans="3:5" x14ac:dyDescent="0.25">
      <c r="C1393">
        <v>1392</v>
      </c>
      <c r="D1393" t="s">
        <v>19659</v>
      </c>
      <c r="E1393">
        <f>1</f>
        <v>1</v>
      </c>
    </row>
    <row r="1394" spans="3:5" x14ac:dyDescent="0.25">
      <c r="C1394">
        <v>1393</v>
      </c>
      <c r="D1394" t="s">
        <v>19660</v>
      </c>
      <c r="E1394">
        <f>1</f>
        <v>1</v>
      </c>
    </row>
    <row r="1395" spans="3:5" x14ac:dyDescent="0.25">
      <c r="C1395">
        <v>1394</v>
      </c>
      <c r="D1395" t="s">
        <v>19661</v>
      </c>
      <c r="E1395">
        <f>1</f>
        <v>1</v>
      </c>
    </row>
    <row r="1396" spans="3:5" x14ac:dyDescent="0.25">
      <c r="C1396">
        <v>1395</v>
      </c>
      <c r="D1396" t="s">
        <v>19662</v>
      </c>
      <c r="E1396">
        <f>1</f>
        <v>1</v>
      </c>
    </row>
    <row r="1397" spans="3:5" x14ac:dyDescent="0.25">
      <c r="C1397">
        <v>1396</v>
      </c>
      <c r="D1397" t="s">
        <v>19663</v>
      </c>
      <c r="E1397">
        <f>1</f>
        <v>1</v>
      </c>
    </row>
    <row r="1398" spans="3:5" x14ac:dyDescent="0.25">
      <c r="C1398">
        <v>1397</v>
      </c>
      <c r="D1398" t="s">
        <v>19664</v>
      </c>
      <c r="E1398">
        <f>1</f>
        <v>1</v>
      </c>
    </row>
    <row r="1399" spans="3:5" x14ac:dyDescent="0.25">
      <c r="C1399">
        <v>1398</v>
      </c>
      <c r="D1399" t="s">
        <v>19665</v>
      </c>
      <c r="E1399">
        <f>1</f>
        <v>1</v>
      </c>
    </row>
    <row r="1400" spans="3:5" x14ac:dyDescent="0.25">
      <c r="C1400">
        <v>1399</v>
      </c>
      <c r="D1400" t="s">
        <v>19666</v>
      </c>
      <c r="E1400">
        <f>1</f>
        <v>1</v>
      </c>
    </row>
    <row r="1401" spans="3:5" x14ac:dyDescent="0.25">
      <c r="C1401">
        <v>1400</v>
      </c>
      <c r="D1401" t="s">
        <v>19859</v>
      </c>
      <c r="E1401">
        <f>1</f>
        <v>1</v>
      </c>
    </row>
    <row r="1402" spans="3:5" x14ac:dyDescent="0.25">
      <c r="C1402">
        <v>1401</v>
      </c>
      <c r="D1402" t="s">
        <v>19667</v>
      </c>
      <c r="E1402">
        <f>1</f>
        <v>1</v>
      </c>
    </row>
    <row r="1403" spans="3:5" x14ac:dyDescent="0.25">
      <c r="C1403">
        <v>1402</v>
      </c>
      <c r="D1403" t="s">
        <v>19668</v>
      </c>
      <c r="E1403">
        <f>1</f>
        <v>1</v>
      </c>
    </row>
    <row r="1404" spans="3:5" x14ac:dyDescent="0.25">
      <c r="C1404">
        <v>1403</v>
      </c>
      <c r="D1404" t="s">
        <v>19669</v>
      </c>
      <c r="E1404">
        <f>1</f>
        <v>1</v>
      </c>
    </row>
    <row r="1405" spans="3:5" x14ac:dyDescent="0.25">
      <c r="C1405">
        <v>1404</v>
      </c>
      <c r="D1405" t="s">
        <v>19860</v>
      </c>
      <c r="E1405">
        <f>1</f>
        <v>1</v>
      </c>
    </row>
    <row r="1406" spans="3:5" x14ac:dyDescent="0.25">
      <c r="C1406">
        <v>1405</v>
      </c>
      <c r="D1406" t="s">
        <v>19670</v>
      </c>
      <c r="E1406">
        <f>1</f>
        <v>1</v>
      </c>
    </row>
    <row r="1407" spans="3:5" x14ac:dyDescent="0.25">
      <c r="C1407">
        <v>1406</v>
      </c>
      <c r="D1407" t="s">
        <v>19671</v>
      </c>
      <c r="E1407">
        <f>1</f>
        <v>1</v>
      </c>
    </row>
    <row r="1408" spans="3:5" x14ac:dyDescent="0.25">
      <c r="C1408">
        <v>1407</v>
      </c>
      <c r="D1408" t="s">
        <v>19672</v>
      </c>
      <c r="E1408">
        <f>1</f>
        <v>1</v>
      </c>
    </row>
    <row r="1409" spans="3:5" x14ac:dyDescent="0.25">
      <c r="C1409">
        <v>1408</v>
      </c>
      <c r="D1409" t="s">
        <v>19673</v>
      </c>
      <c r="E1409">
        <f>1</f>
        <v>1</v>
      </c>
    </row>
    <row r="1410" spans="3:5" x14ac:dyDescent="0.25">
      <c r="C1410">
        <v>1409</v>
      </c>
      <c r="D1410" t="s">
        <v>19674</v>
      </c>
      <c r="E1410">
        <f>1</f>
        <v>1</v>
      </c>
    </row>
    <row r="1411" spans="3:5" x14ac:dyDescent="0.25">
      <c r="C1411">
        <v>1410</v>
      </c>
      <c r="D1411" t="s">
        <v>19771</v>
      </c>
      <c r="E1411">
        <f>1</f>
        <v>1</v>
      </c>
    </row>
    <row r="1412" spans="3:5" x14ac:dyDescent="0.25">
      <c r="C1412">
        <v>1411</v>
      </c>
      <c r="D1412" t="s">
        <v>19675</v>
      </c>
      <c r="E1412">
        <f>1</f>
        <v>1</v>
      </c>
    </row>
    <row r="1413" spans="3:5" x14ac:dyDescent="0.25">
      <c r="C1413">
        <v>1412</v>
      </c>
      <c r="D1413" t="s">
        <v>19676</v>
      </c>
      <c r="E1413">
        <f>1</f>
        <v>1</v>
      </c>
    </row>
    <row r="1414" spans="3:5" x14ac:dyDescent="0.25">
      <c r="C1414">
        <v>1413</v>
      </c>
      <c r="D1414" t="s">
        <v>19861</v>
      </c>
      <c r="E1414">
        <f>1</f>
        <v>1</v>
      </c>
    </row>
    <row r="1415" spans="3:5" x14ac:dyDescent="0.25">
      <c r="C1415">
        <v>1414</v>
      </c>
      <c r="D1415" t="s">
        <v>19677</v>
      </c>
      <c r="E1415">
        <f>1</f>
        <v>1</v>
      </c>
    </row>
    <row r="1416" spans="3:5" x14ac:dyDescent="0.25">
      <c r="C1416">
        <v>1415</v>
      </c>
      <c r="D1416" t="s">
        <v>19678</v>
      </c>
      <c r="E1416">
        <f>1</f>
        <v>1</v>
      </c>
    </row>
    <row r="1417" spans="3:5" x14ac:dyDescent="0.25">
      <c r="C1417">
        <v>1416</v>
      </c>
      <c r="D1417" t="s">
        <v>19679</v>
      </c>
      <c r="E1417">
        <f>1</f>
        <v>1</v>
      </c>
    </row>
    <row r="1418" spans="3:5" x14ac:dyDescent="0.25">
      <c r="C1418">
        <v>1417</v>
      </c>
      <c r="D1418" t="s">
        <v>19680</v>
      </c>
      <c r="E1418">
        <f>1</f>
        <v>1</v>
      </c>
    </row>
    <row r="1419" spans="3:5" x14ac:dyDescent="0.25">
      <c r="C1419">
        <v>1418</v>
      </c>
      <c r="D1419" t="s">
        <v>19681</v>
      </c>
      <c r="E1419">
        <f>1</f>
        <v>1</v>
      </c>
    </row>
    <row r="1420" spans="3:5" x14ac:dyDescent="0.25">
      <c r="C1420">
        <v>1419</v>
      </c>
      <c r="D1420" t="s">
        <v>19779</v>
      </c>
      <c r="E1420">
        <f>1</f>
        <v>1</v>
      </c>
    </row>
    <row r="1421" spans="3:5" x14ac:dyDescent="0.25">
      <c r="C1421">
        <v>1420</v>
      </c>
      <c r="D1421" t="s">
        <v>19682</v>
      </c>
      <c r="E1421">
        <f>1</f>
        <v>1</v>
      </c>
    </row>
    <row r="1422" spans="3:5" x14ac:dyDescent="0.25">
      <c r="C1422">
        <v>1421</v>
      </c>
      <c r="D1422" t="s">
        <v>19683</v>
      </c>
      <c r="E1422">
        <f>1</f>
        <v>1</v>
      </c>
    </row>
    <row r="1423" spans="3:5" x14ac:dyDescent="0.25">
      <c r="C1423">
        <v>1422</v>
      </c>
      <c r="D1423" t="s">
        <v>19684</v>
      </c>
      <c r="E1423">
        <f>1</f>
        <v>1</v>
      </c>
    </row>
    <row r="1424" spans="3:5" x14ac:dyDescent="0.25">
      <c r="C1424">
        <v>1423</v>
      </c>
      <c r="D1424" t="s">
        <v>19685</v>
      </c>
      <c r="E1424">
        <f>1</f>
        <v>1</v>
      </c>
    </row>
    <row r="1425" spans="3:5" x14ac:dyDescent="0.25">
      <c r="C1425">
        <v>1424</v>
      </c>
      <c r="D1425" t="s">
        <v>19686</v>
      </c>
      <c r="E1425">
        <f>1</f>
        <v>1</v>
      </c>
    </row>
    <row r="1426" spans="3:5" x14ac:dyDescent="0.25">
      <c r="C1426">
        <v>1425</v>
      </c>
      <c r="D1426" t="s">
        <v>19687</v>
      </c>
      <c r="E1426">
        <f>1</f>
        <v>1</v>
      </c>
    </row>
    <row r="1427" spans="3:5" x14ac:dyDescent="0.25">
      <c r="C1427">
        <v>1426</v>
      </c>
      <c r="D1427" t="s">
        <v>19688</v>
      </c>
      <c r="E1427">
        <f>1</f>
        <v>1</v>
      </c>
    </row>
    <row r="1428" spans="3:5" x14ac:dyDescent="0.25">
      <c r="C1428">
        <v>1427</v>
      </c>
      <c r="D1428" t="s">
        <v>19689</v>
      </c>
      <c r="E1428">
        <f>1</f>
        <v>1</v>
      </c>
    </row>
    <row r="1429" spans="3:5" x14ac:dyDescent="0.25">
      <c r="C1429">
        <v>1428</v>
      </c>
      <c r="D1429" t="s">
        <v>19690</v>
      </c>
      <c r="E1429">
        <f>1</f>
        <v>1</v>
      </c>
    </row>
    <row r="1430" spans="3:5" x14ac:dyDescent="0.25">
      <c r="C1430">
        <v>1429</v>
      </c>
      <c r="D1430" t="s">
        <v>19691</v>
      </c>
      <c r="E1430">
        <f>1</f>
        <v>1</v>
      </c>
    </row>
    <row r="1431" spans="3:5" x14ac:dyDescent="0.25">
      <c r="C1431">
        <v>1430</v>
      </c>
      <c r="D1431" t="s">
        <v>19692</v>
      </c>
      <c r="E1431">
        <f>1</f>
        <v>1</v>
      </c>
    </row>
    <row r="1432" spans="3:5" x14ac:dyDescent="0.25">
      <c r="C1432">
        <v>1431</v>
      </c>
      <c r="D1432" t="s">
        <v>19693</v>
      </c>
      <c r="E1432">
        <f>1</f>
        <v>1</v>
      </c>
    </row>
    <row r="1433" spans="3:5" x14ac:dyDescent="0.25">
      <c r="C1433">
        <v>1432</v>
      </c>
      <c r="D1433" t="s">
        <v>19694</v>
      </c>
      <c r="E1433">
        <f>1</f>
        <v>1</v>
      </c>
    </row>
    <row r="1434" spans="3:5" x14ac:dyDescent="0.25">
      <c r="C1434">
        <v>1433</v>
      </c>
      <c r="D1434" t="s">
        <v>19695</v>
      </c>
      <c r="E1434">
        <f>1</f>
        <v>1</v>
      </c>
    </row>
    <row r="1435" spans="3:5" x14ac:dyDescent="0.25">
      <c r="C1435">
        <v>1434</v>
      </c>
      <c r="D1435" t="s">
        <v>19696</v>
      </c>
      <c r="E1435">
        <f>1</f>
        <v>1</v>
      </c>
    </row>
    <row r="1436" spans="3:5" x14ac:dyDescent="0.25">
      <c r="C1436">
        <v>1435</v>
      </c>
      <c r="D1436" t="s">
        <v>19697</v>
      </c>
      <c r="E1436">
        <f>1</f>
        <v>1</v>
      </c>
    </row>
    <row r="1437" spans="3:5" x14ac:dyDescent="0.25">
      <c r="C1437">
        <v>1436</v>
      </c>
      <c r="D1437" t="s">
        <v>19698</v>
      </c>
      <c r="E1437">
        <f>1</f>
        <v>1</v>
      </c>
    </row>
    <row r="1438" spans="3:5" x14ac:dyDescent="0.25">
      <c r="C1438">
        <v>1437</v>
      </c>
      <c r="D1438" t="s">
        <v>19699</v>
      </c>
      <c r="E1438">
        <f>1</f>
        <v>1</v>
      </c>
    </row>
    <row r="1439" spans="3:5" x14ac:dyDescent="0.25">
      <c r="C1439">
        <v>1438</v>
      </c>
      <c r="D1439" t="s">
        <v>19700</v>
      </c>
      <c r="E1439">
        <f>1</f>
        <v>1</v>
      </c>
    </row>
    <row r="1440" spans="3:5" x14ac:dyDescent="0.25">
      <c r="C1440">
        <v>1439</v>
      </c>
      <c r="D1440" t="s">
        <v>19862</v>
      </c>
      <c r="E1440">
        <f>1</f>
        <v>1</v>
      </c>
    </row>
    <row r="1441" spans="3:5" x14ac:dyDescent="0.25">
      <c r="C1441">
        <v>1440</v>
      </c>
      <c r="D1441" t="s">
        <v>19701</v>
      </c>
      <c r="E1441">
        <f>1</f>
        <v>1</v>
      </c>
    </row>
    <row r="1442" spans="3:5" x14ac:dyDescent="0.25">
      <c r="C1442">
        <v>1441</v>
      </c>
      <c r="D1442" t="s">
        <v>19895</v>
      </c>
      <c r="E1442">
        <f>1</f>
        <v>1</v>
      </c>
    </row>
    <row r="1443" spans="3:5" x14ac:dyDescent="0.25">
      <c r="C1443">
        <v>1442</v>
      </c>
      <c r="D1443" t="s">
        <v>19896</v>
      </c>
      <c r="E1443">
        <f>1</f>
        <v>1</v>
      </c>
    </row>
    <row r="1444" spans="3:5" x14ac:dyDescent="0.25">
      <c r="C1444">
        <v>1443</v>
      </c>
      <c r="D1444" t="s">
        <v>19897</v>
      </c>
      <c r="E1444">
        <f>1</f>
        <v>1</v>
      </c>
    </row>
    <row r="1445" spans="3:5" x14ac:dyDescent="0.25">
      <c r="C1445">
        <v>1444</v>
      </c>
      <c r="D1445" t="s">
        <v>19702</v>
      </c>
      <c r="E1445">
        <f>1</f>
        <v>1</v>
      </c>
    </row>
    <row r="1446" spans="3:5" x14ac:dyDescent="0.25">
      <c r="C1446">
        <v>1445</v>
      </c>
      <c r="D1446" t="s">
        <v>19784</v>
      </c>
      <c r="E1446">
        <f>1</f>
        <v>1</v>
      </c>
    </row>
    <row r="1447" spans="3:5" x14ac:dyDescent="0.25">
      <c r="C1447">
        <v>1446</v>
      </c>
      <c r="D1447" t="s">
        <v>19703</v>
      </c>
      <c r="E1447">
        <f>1</f>
        <v>1</v>
      </c>
    </row>
    <row r="1448" spans="3:5" x14ac:dyDescent="0.25">
      <c r="C1448">
        <v>1447</v>
      </c>
      <c r="D1448" t="s">
        <v>19704</v>
      </c>
      <c r="E1448">
        <f>1</f>
        <v>1</v>
      </c>
    </row>
    <row r="1449" spans="3:5" x14ac:dyDescent="0.25">
      <c r="C1449">
        <v>1448</v>
      </c>
      <c r="D1449" t="s">
        <v>19863</v>
      </c>
      <c r="E1449">
        <f>1</f>
        <v>1</v>
      </c>
    </row>
    <row r="1450" spans="3:5" x14ac:dyDescent="0.25">
      <c r="C1450">
        <v>1449</v>
      </c>
      <c r="D1450" t="s">
        <v>19864</v>
      </c>
      <c r="E1450">
        <f>1</f>
        <v>1</v>
      </c>
    </row>
    <row r="1451" spans="3:5" x14ac:dyDescent="0.25">
      <c r="C1451">
        <v>1450</v>
      </c>
      <c r="D1451" t="s">
        <v>19865</v>
      </c>
      <c r="E1451">
        <f>1</f>
        <v>1</v>
      </c>
    </row>
    <row r="1452" spans="3:5" x14ac:dyDescent="0.25">
      <c r="C1452">
        <v>1451</v>
      </c>
      <c r="D1452" t="s">
        <v>19705</v>
      </c>
      <c r="E1452">
        <f>1</f>
        <v>1</v>
      </c>
    </row>
    <row r="1453" spans="3:5" x14ac:dyDescent="0.25">
      <c r="C1453">
        <v>1452</v>
      </c>
      <c r="D1453" t="s">
        <v>19706</v>
      </c>
      <c r="E1453">
        <f>1</f>
        <v>1</v>
      </c>
    </row>
    <row r="1454" spans="3:5" x14ac:dyDescent="0.25">
      <c r="C1454">
        <v>1453</v>
      </c>
      <c r="D1454" t="s">
        <v>19707</v>
      </c>
      <c r="E1454">
        <f>1</f>
        <v>1</v>
      </c>
    </row>
    <row r="1455" spans="3:5" x14ac:dyDescent="0.25">
      <c r="C1455">
        <v>1454</v>
      </c>
      <c r="D1455" t="s">
        <v>19708</v>
      </c>
      <c r="E1455">
        <f>1</f>
        <v>1</v>
      </c>
    </row>
    <row r="1456" spans="3:5" x14ac:dyDescent="0.25">
      <c r="C1456">
        <v>1455</v>
      </c>
      <c r="D1456" t="s">
        <v>19709</v>
      </c>
      <c r="E1456">
        <f>1</f>
        <v>1</v>
      </c>
    </row>
    <row r="1457" spans="3:5" x14ac:dyDescent="0.25">
      <c r="C1457">
        <v>1456</v>
      </c>
      <c r="D1457" t="s">
        <v>19820</v>
      </c>
      <c r="E1457">
        <f>1</f>
        <v>1</v>
      </c>
    </row>
    <row r="1458" spans="3:5" x14ac:dyDescent="0.25">
      <c r="C1458">
        <v>1457</v>
      </c>
      <c r="D1458" t="s">
        <v>19866</v>
      </c>
      <c r="E1458">
        <f>1</f>
        <v>1</v>
      </c>
    </row>
    <row r="1459" spans="3:5" x14ac:dyDescent="0.25">
      <c r="C1459">
        <v>1458</v>
      </c>
      <c r="D1459" t="s">
        <v>19821</v>
      </c>
      <c r="E1459">
        <f>1</f>
        <v>1</v>
      </c>
    </row>
    <row r="1460" spans="3:5" x14ac:dyDescent="0.25">
      <c r="C1460">
        <v>1459</v>
      </c>
      <c r="D1460" t="s">
        <v>19710</v>
      </c>
      <c r="E1460">
        <f>1</f>
        <v>1</v>
      </c>
    </row>
    <row r="1461" spans="3:5" x14ac:dyDescent="0.25">
      <c r="C1461">
        <v>1460</v>
      </c>
      <c r="D1461" t="s">
        <v>19711</v>
      </c>
      <c r="E1461">
        <f>1</f>
        <v>1</v>
      </c>
    </row>
    <row r="1462" spans="3:5" x14ac:dyDescent="0.25">
      <c r="C1462">
        <v>1461</v>
      </c>
      <c r="D1462" t="s">
        <v>19712</v>
      </c>
      <c r="E1462">
        <f>1</f>
        <v>1</v>
      </c>
    </row>
    <row r="1463" spans="3:5" x14ac:dyDescent="0.25">
      <c r="C1463">
        <v>1462</v>
      </c>
      <c r="D1463" t="s">
        <v>19772</v>
      </c>
      <c r="E1463">
        <f>1</f>
        <v>1</v>
      </c>
    </row>
    <row r="1464" spans="3:5" x14ac:dyDescent="0.25">
      <c r="C1464">
        <v>1463</v>
      </c>
      <c r="D1464" t="s">
        <v>19713</v>
      </c>
      <c r="E1464">
        <f>1</f>
        <v>1</v>
      </c>
    </row>
    <row r="1465" spans="3:5" x14ac:dyDescent="0.25">
      <c r="C1465">
        <v>1464</v>
      </c>
      <c r="D1465" t="s">
        <v>19714</v>
      </c>
      <c r="E1465">
        <f>1</f>
        <v>1</v>
      </c>
    </row>
    <row r="1466" spans="3:5" x14ac:dyDescent="0.25">
      <c r="C1466">
        <v>1465</v>
      </c>
      <c r="D1466" t="s">
        <v>19715</v>
      </c>
      <c r="E1466">
        <f>1</f>
        <v>1</v>
      </c>
    </row>
    <row r="1467" spans="3:5" x14ac:dyDescent="0.25">
      <c r="C1467">
        <v>1466</v>
      </c>
      <c r="D1467" t="s">
        <v>19716</v>
      </c>
      <c r="E1467">
        <f>1</f>
        <v>1</v>
      </c>
    </row>
    <row r="1468" spans="3:5" x14ac:dyDescent="0.25">
      <c r="C1468">
        <v>1467</v>
      </c>
      <c r="D1468" t="s">
        <v>19717</v>
      </c>
      <c r="E1468">
        <f>1</f>
        <v>1</v>
      </c>
    </row>
    <row r="1469" spans="3:5" x14ac:dyDescent="0.25">
      <c r="C1469">
        <v>1468</v>
      </c>
      <c r="D1469" t="s">
        <v>19718</v>
      </c>
      <c r="E1469">
        <f>1</f>
        <v>1</v>
      </c>
    </row>
    <row r="1470" spans="3:5" x14ac:dyDescent="0.25">
      <c r="C1470">
        <v>1469</v>
      </c>
      <c r="D1470" t="s">
        <v>19719</v>
      </c>
      <c r="E1470">
        <f>1</f>
        <v>1</v>
      </c>
    </row>
    <row r="1471" spans="3:5" x14ac:dyDescent="0.25">
      <c r="C1471">
        <v>1470</v>
      </c>
      <c r="D1471" t="s">
        <v>19720</v>
      </c>
      <c r="E1471">
        <f>1</f>
        <v>1</v>
      </c>
    </row>
    <row r="1472" spans="3:5" x14ac:dyDescent="0.25">
      <c r="C1472">
        <v>1471</v>
      </c>
      <c r="D1472" t="s">
        <v>19721</v>
      </c>
      <c r="E1472">
        <f>1</f>
        <v>1</v>
      </c>
    </row>
    <row r="1473" spans="3:5" x14ac:dyDescent="0.25">
      <c r="C1473">
        <v>1472</v>
      </c>
      <c r="D1473" t="s">
        <v>19722</v>
      </c>
      <c r="E1473">
        <f>1</f>
        <v>1</v>
      </c>
    </row>
    <row r="1474" spans="3:5" x14ac:dyDescent="0.25">
      <c r="C1474">
        <v>1473</v>
      </c>
      <c r="D1474" t="s">
        <v>19723</v>
      </c>
      <c r="E1474">
        <f>1</f>
        <v>1</v>
      </c>
    </row>
    <row r="1475" spans="3:5" x14ac:dyDescent="0.25">
      <c r="C1475">
        <v>1474</v>
      </c>
      <c r="D1475" t="s">
        <v>19724</v>
      </c>
      <c r="E1475">
        <f>1</f>
        <v>1</v>
      </c>
    </row>
    <row r="1476" spans="3:5" x14ac:dyDescent="0.25">
      <c r="C1476">
        <v>1475</v>
      </c>
      <c r="D1476" t="s">
        <v>19877</v>
      </c>
      <c r="E1476">
        <f>1</f>
        <v>1</v>
      </c>
    </row>
    <row r="1477" spans="3:5" x14ac:dyDescent="0.25">
      <c r="C1477">
        <v>1476</v>
      </c>
      <c r="D1477" t="s">
        <v>19725</v>
      </c>
      <c r="E1477">
        <f>1</f>
        <v>1</v>
      </c>
    </row>
    <row r="1478" spans="3:5" x14ac:dyDescent="0.25">
      <c r="C1478">
        <v>1477</v>
      </c>
      <c r="D1478" t="s">
        <v>19726</v>
      </c>
      <c r="E1478">
        <f>1</f>
        <v>1</v>
      </c>
    </row>
    <row r="1479" spans="3:5" x14ac:dyDescent="0.25">
      <c r="C1479">
        <v>1478</v>
      </c>
      <c r="D1479" t="s">
        <v>19867</v>
      </c>
      <c r="E1479">
        <f>1</f>
        <v>1</v>
      </c>
    </row>
    <row r="1480" spans="3:5" x14ac:dyDescent="0.25">
      <c r="C1480">
        <v>1479</v>
      </c>
      <c r="D1480" t="s">
        <v>19868</v>
      </c>
      <c r="E1480">
        <f>1</f>
        <v>1</v>
      </c>
    </row>
    <row r="1481" spans="3:5" x14ac:dyDescent="0.25">
      <c r="C1481">
        <v>1480</v>
      </c>
      <c r="D1481" t="s">
        <v>19727</v>
      </c>
      <c r="E1481">
        <f>1</f>
        <v>1</v>
      </c>
    </row>
    <row r="1482" spans="3:5" x14ac:dyDescent="0.25">
      <c r="C1482">
        <v>1481</v>
      </c>
      <c r="D1482" t="s">
        <v>19728</v>
      </c>
      <c r="E1482">
        <f>1</f>
        <v>1</v>
      </c>
    </row>
    <row r="1483" spans="3:5" x14ac:dyDescent="0.25">
      <c r="C1483">
        <v>1482</v>
      </c>
      <c r="D1483" t="s">
        <v>19729</v>
      </c>
      <c r="E1483">
        <f>1</f>
        <v>1</v>
      </c>
    </row>
    <row r="1484" spans="3:5" x14ac:dyDescent="0.25">
      <c r="C1484">
        <v>1483</v>
      </c>
      <c r="D1484" t="s">
        <v>19730</v>
      </c>
      <c r="E1484">
        <f>1</f>
        <v>1</v>
      </c>
    </row>
    <row r="1485" spans="3:5" x14ac:dyDescent="0.25">
      <c r="C1485">
        <v>1484</v>
      </c>
      <c r="D1485" t="s">
        <v>19731</v>
      </c>
      <c r="E1485">
        <f>1</f>
        <v>1</v>
      </c>
    </row>
    <row r="1486" spans="3:5" x14ac:dyDescent="0.25">
      <c r="C1486">
        <v>1485</v>
      </c>
      <c r="D1486" t="s">
        <v>19732</v>
      </c>
      <c r="E1486">
        <f>1</f>
        <v>1</v>
      </c>
    </row>
    <row r="1487" spans="3:5" x14ac:dyDescent="0.25">
      <c r="C1487">
        <v>1486</v>
      </c>
      <c r="D1487" t="s">
        <v>19733</v>
      </c>
      <c r="E1487">
        <f>1</f>
        <v>1</v>
      </c>
    </row>
    <row r="1488" spans="3:5" x14ac:dyDescent="0.25">
      <c r="C1488">
        <v>1487</v>
      </c>
      <c r="D1488" t="s">
        <v>19869</v>
      </c>
      <c r="E1488">
        <f>1</f>
        <v>1</v>
      </c>
    </row>
    <row r="1489" spans="3:5" x14ac:dyDescent="0.25">
      <c r="C1489">
        <v>1488</v>
      </c>
      <c r="D1489" t="s">
        <v>19822</v>
      </c>
      <c r="E1489">
        <f>1</f>
        <v>1</v>
      </c>
    </row>
    <row r="1490" spans="3:5" x14ac:dyDescent="0.25">
      <c r="C1490">
        <v>1489</v>
      </c>
      <c r="D1490" t="s">
        <v>19734</v>
      </c>
      <c r="E1490">
        <f>1</f>
        <v>1</v>
      </c>
    </row>
    <row r="1491" spans="3:5" x14ac:dyDescent="0.25">
      <c r="C1491">
        <v>1490</v>
      </c>
      <c r="D1491" t="s">
        <v>19735</v>
      </c>
      <c r="E1491">
        <f>1</f>
        <v>1</v>
      </c>
    </row>
    <row r="1492" spans="3:5" x14ac:dyDescent="0.25">
      <c r="C1492">
        <v>1491</v>
      </c>
      <c r="D1492" t="s">
        <v>19773</v>
      </c>
      <c r="E1492">
        <f>1</f>
        <v>1</v>
      </c>
    </row>
    <row r="1493" spans="3:5" x14ac:dyDescent="0.25">
      <c r="C1493">
        <v>1492</v>
      </c>
      <c r="D1493" t="s">
        <v>19736</v>
      </c>
      <c r="E1493">
        <f>1</f>
        <v>1</v>
      </c>
    </row>
    <row r="1494" spans="3:5" x14ac:dyDescent="0.25">
      <c r="C1494">
        <v>1493</v>
      </c>
      <c r="D1494" t="s">
        <v>19737</v>
      </c>
      <c r="E1494">
        <f>1</f>
        <v>1</v>
      </c>
    </row>
    <row r="1495" spans="3:5" x14ac:dyDescent="0.25">
      <c r="C1495">
        <v>1494</v>
      </c>
      <c r="D1495" t="s">
        <v>19738</v>
      </c>
      <c r="E1495">
        <f>1</f>
        <v>1</v>
      </c>
    </row>
    <row r="1496" spans="3:5" x14ac:dyDescent="0.25">
      <c r="C1496">
        <v>1495</v>
      </c>
      <c r="D1496" t="s">
        <v>19739</v>
      </c>
      <c r="E1496">
        <f>1</f>
        <v>1</v>
      </c>
    </row>
    <row r="1497" spans="3:5" x14ac:dyDescent="0.25">
      <c r="C1497">
        <v>1496</v>
      </c>
      <c r="D1497" t="s">
        <v>19740</v>
      </c>
      <c r="E1497">
        <f>1</f>
        <v>1</v>
      </c>
    </row>
    <row r="1498" spans="3:5" x14ac:dyDescent="0.25">
      <c r="C1498">
        <v>1497</v>
      </c>
      <c r="D1498" t="s">
        <v>19741</v>
      </c>
      <c r="E1498">
        <f>1</f>
        <v>1</v>
      </c>
    </row>
    <row r="1499" spans="3:5" x14ac:dyDescent="0.25">
      <c r="C1499">
        <v>1498</v>
      </c>
      <c r="D1499" t="s">
        <v>19742</v>
      </c>
      <c r="E1499">
        <f>1</f>
        <v>1</v>
      </c>
    </row>
    <row r="1500" spans="3:5" x14ac:dyDescent="0.25">
      <c r="C1500">
        <v>1499</v>
      </c>
      <c r="D1500" t="s">
        <v>19870</v>
      </c>
      <c r="E1500">
        <f>1</f>
        <v>1</v>
      </c>
    </row>
    <row r="1501" spans="3:5" x14ac:dyDescent="0.25">
      <c r="C1501">
        <v>1500</v>
      </c>
      <c r="D1501" t="s">
        <v>19743</v>
      </c>
      <c r="E1501">
        <f>1</f>
        <v>1</v>
      </c>
    </row>
    <row r="1502" spans="3:5" x14ac:dyDescent="0.25">
      <c r="C1502">
        <v>1501</v>
      </c>
      <c r="D1502" t="s">
        <v>19744</v>
      </c>
      <c r="E1502">
        <f>1</f>
        <v>1</v>
      </c>
    </row>
    <row r="1503" spans="3:5" x14ac:dyDescent="0.25">
      <c r="C1503">
        <v>1502</v>
      </c>
      <c r="D1503" t="s">
        <v>19871</v>
      </c>
      <c r="E1503">
        <f>1</f>
        <v>1</v>
      </c>
    </row>
    <row r="1504" spans="3:5" x14ac:dyDescent="0.25">
      <c r="C1504">
        <v>1503</v>
      </c>
      <c r="D1504" t="s">
        <v>19745</v>
      </c>
      <c r="E1504">
        <f>1</f>
        <v>1</v>
      </c>
    </row>
    <row r="1505" spans="3:5" x14ac:dyDescent="0.25">
      <c r="C1505">
        <v>1504</v>
      </c>
      <c r="D1505" t="s">
        <v>19746</v>
      </c>
      <c r="E1505">
        <f>1</f>
        <v>1</v>
      </c>
    </row>
    <row r="1506" spans="3:5" x14ac:dyDescent="0.25">
      <c r="C1506">
        <v>1505</v>
      </c>
      <c r="D1506" t="s">
        <v>19747</v>
      </c>
      <c r="E1506">
        <f>1</f>
        <v>1</v>
      </c>
    </row>
    <row r="1507" spans="3:5" x14ac:dyDescent="0.25">
      <c r="C1507">
        <v>1506</v>
      </c>
      <c r="D1507" t="s">
        <v>19748</v>
      </c>
      <c r="E1507">
        <f>1</f>
        <v>1</v>
      </c>
    </row>
    <row r="1508" spans="3:5" x14ac:dyDescent="0.25">
      <c r="C1508">
        <v>1507</v>
      </c>
      <c r="D1508" t="s">
        <v>19823</v>
      </c>
      <c r="E1508">
        <f>1</f>
        <v>1</v>
      </c>
    </row>
    <row r="1509" spans="3:5" x14ac:dyDescent="0.25">
      <c r="C1509">
        <v>1508</v>
      </c>
      <c r="D1509" t="s">
        <v>19749</v>
      </c>
      <c r="E1509">
        <f>1</f>
        <v>1</v>
      </c>
    </row>
    <row r="1510" spans="3:5" x14ac:dyDescent="0.25">
      <c r="C1510">
        <v>1509</v>
      </c>
      <c r="D1510" t="s">
        <v>19872</v>
      </c>
      <c r="E1510">
        <f>1</f>
        <v>1</v>
      </c>
    </row>
    <row r="1511" spans="3:5" x14ac:dyDescent="0.25">
      <c r="C1511">
        <v>1510</v>
      </c>
      <c r="D1511" t="s">
        <v>19873</v>
      </c>
      <c r="E1511">
        <f>1</f>
        <v>1</v>
      </c>
    </row>
    <row r="1512" spans="3:5" x14ac:dyDescent="0.25">
      <c r="C1512">
        <v>1511</v>
      </c>
      <c r="D1512" t="s">
        <v>19750</v>
      </c>
      <c r="E1512">
        <f>1</f>
        <v>1</v>
      </c>
    </row>
    <row r="1513" spans="3:5" x14ac:dyDescent="0.25">
      <c r="C1513">
        <v>1512</v>
      </c>
      <c r="D1513" t="s">
        <v>19751</v>
      </c>
      <c r="E1513">
        <f>1</f>
        <v>1</v>
      </c>
    </row>
    <row r="1514" spans="3:5" x14ac:dyDescent="0.25">
      <c r="C1514">
        <v>1513</v>
      </c>
      <c r="D1514" t="s">
        <v>19752</v>
      </c>
      <c r="E1514">
        <f>1</f>
        <v>1</v>
      </c>
    </row>
    <row r="1515" spans="3:5" x14ac:dyDescent="0.25">
      <c r="C1515">
        <v>1514</v>
      </c>
      <c r="D1515" t="s">
        <v>19753</v>
      </c>
      <c r="E1515">
        <f>1</f>
        <v>1</v>
      </c>
    </row>
    <row r="1516" spans="3:5" x14ac:dyDescent="0.25">
      <c r="C1516">
        <v>1515</v>
      </c>
      <c r="D1516" t="s">
        <v>19874</v>
      </c>
      <c r="E1516">
        <f>1</f>
        <v>1</v>
      </c>
    </row>
    <row r="1517" spans="3:5" x14ac:dyDescent="0.25">
      <c r="C1517">
        <v>1516</v>
      </c>
      <c r="D1517" t="s">
        <v>19754</v>
      </c>
      <c r="E1517">
        <f>1</f>
        <v>1</v>
      </c>
    </row>
    <row r="1518" spans="3:5" x14ac:dyDescent="0.25">
      <c r="C1518">
        <v>1517</v>
      </c>
      <c r="D1518" t="s">
        <v>19755</v>
      </c>
      <c r="E1518">
        <f>1</f>
        <v>1</v>
      </c>
    </row>
    <row r="1519" spans="3:5" x14ac:dyDescent="0.25">
      <c r="C1519">
        <v>1518</v>
      </c>
      <c r="D1519" t="s">
        <v>19875</v>
      </c>
      <c r="E1519">
        <f>1</f>
        <v>1</v>
      </c>
    </row>
    <row r="1520" spans="3:5" x14ac:dyDescent="0.25">
      <c r="C1520">
        <v>1519</v>
      </c>
      <c r="D1520" t="s">
        <v>19876</v>
      </c>
      <c r="E1520">
        <f>1</f>
        <v>1</v>
      </c>
    </row>
    <row r="1521" spans="3:5" x14ac:dyDescent="0.25">
      <c r="C1521">
        <v>1520</v>
      </c>
      <c r="D1521" t="s">
        <v>4258</v>
      </c>
      <c r="E1521">
        <f>1</f>
        <v>1</v>
      </c>
    </row>
    <row r="1522" spans="3:5" x14ac:dyDescent="0.25">
      <c r="C1522">
        <v>1521</v>
      </c>
      <c r="D1522" t="s">
        <v>19785</v>
      </c>
      <c r="E1522">
        <f>1</f>
        <v>1</v>
      </c>
    </row>
    <row r="1523" spans="3:5" x14ac:dyDescent="0.25">
      <c r="C1523">
        <v>1522</v>
      </c>
      <c r="D1523" t="s">
        <v>4259</v>
      </c>
      <c r="E1523">
        <f>1</f>
        <v>1</v>
      </c>
    </row>
    <row r="1524" spans="3:5" x14ac:dyDescent="0.25">
      <c r="C1524">
        <v>1523</v>
      </c>
      <c r="D1524" t="s">
        <v>4260</v>
      </c>
      <c r="E1524">
        <f>1</f>
        <v>1</v>
      </c>
    </row>
    <row r="1525" spans="3:5" x14ac:dyDescent="0.25">
      <c r="C1525">
        <v>1524</v>
      </c>
      <c r="D1525" t="s">
        <v>4261</v>
      </c>
      <c r="E1525">
        <f>1</f>
        <v>1</v>
      </c>
    </row>
    <row r="1526" spans="3:5" x14ac:dyDescent="0.25">
      <c r="C1526">
        <v>1525</v>
      </c>
      <c r="D1526" t="s">
        <v>4072</v>
      </c>
      <c r="E1526">
        <f>1</f>
        <v>1</v>
      </c>
    </row>
    <row r="1527" spans="3:5" x14ac:dyDescent="0.25">
      <c r="C1527">
        <v>1526</v>
      </c>
      <c r="D1527" t="s">
        <v>4450</v>
      </c>
      <c r="E1527">
        <f>1</f>
        <v>1</v>
      </c>
    </row>
    <row r="1528" spans="3:5" x14ac:dyDescent="0.25">
      <c r="C1528">
        <v>1527</v>
      </c>
      <c r="D1528" t="s">
        <v>4323</v>
      </c>
      <c r="E1528">
        <f>1</f>
        <v>1</v>
      </c>
    </row>
    <row r="1529" spans="3:5" x14ac:dyDescent="0.25">
      <c r="C1529">
        <v>1528</v>
      </c>
      <c r="D1529" t="s">
        <v>4451</v>
      </c>
      <c r="E1529">
        <f>1</f>
        <v>1</v>
      </c>
    </row>
    <row r="1530" spans="3:5" x14ac:dyDescent="0.25">
      <c r="C1530">
        <v>1529</v>
      </c>
      <c r="D1530" t="s">
        <v>4262</v>
      </c>
      <c r="E1530">
        <f>1</f>
        <v>1</v>
      </c>
    </row>
    <row r="1531" spans="3:5" x14ac:dyDescent="0.25">
      <c r="C1531">
        <v>1530</v>
      </c>
      <c r="D1531" t="s">
        <v>4263</v>
      </c>
      <c r="E1531">
        <f>1</f>
        <v>1</v>
      </c>
    </row>
    <row r="1532" spans="3:5" x14ac:dyDescent="0.25">
      <c r="C1532">
        <v>1531</v>
      </c>
      <c r="D1532" t="s">
        <v>4264</v>
      </c>
      <c r="E1532">
        <f>1</f>
        <v>1</v>
      </c>
    </row>
    <row r="1533" spans="3:5" x14ac:dyDescent="0.25">
      <c r="C1533">
        <v>1532</v>
      </c>
      <c r="D1533" t="s">
        <v>4265</v>
      </c>
      <c r="E1533">
        <f>1</f>
        <v>1</v>
      </c>
    </row>
    <row r="1534" spans="3:5" x14ac:dyDescent="0.25">
      <c r="C1534">
        <v>1533</v>
      </c>
      <c r="D1534" t="s">
        <v>4266</v>
      </c>
      <c r="E1534">
        <f>1</f>
        <v>1</v>
      </c>
    </row>
    <row r="1535" spans="3:5" x14ac:dyDescent="0.25">
      <c r="C1535">
        <v>1534</v>
      </c>
      <c r="D1535" t="s">
        <v>4619</v>
      </c>
      <c r="E1535">
        <f>1</f>
        <v>1</v>
      </c>
    </row>
    <row r="1536" spans="3:5" x14ac:dyDescent="0.25">
      <c r="C1536">
        <v>1535</v>
      </c>
      <c r="D1536" t="s">
        <v>19756</v>
      </c>
      <c r="E1536">
        <f>1</f>
        <v>1</v>
      </c>
    </row>
    <row r="1537" spans="3:5" x14ac:dyDescent="0.25">
      <c r="C1537">
        <v>1536</v>
      </c>
      <c r="D1537" t="s">
        <v>4081</v>
      </c>
      <c r="E1537">
        <f>1</f>
        <v>1</v>
      </c>
    </row>
    <row r="1538" spans="3:5" x14ac:dyDescent="0.25">
      <c r="C1538">
        <v>1537</v>
      </c>
      <c r="D1538" t="s">
        <v>4082</v>
      </c>
      <c r="E1538">
        <f>1</f>
        <v>1</v>
      </c>
    </row>
    <row r="1539" spans="3:5" x14ac:dyDescent="0.25">
      <c r="C1539">
        <v>1538</v>
      </c>
      <c r="D1539" t="s">
        <v>4083</v>
      </c>
      <c r="E1539">
        <f>1</f>
        <v>1</v>
      </c>
    </row>
    <row r="1540" spans="3:5" x14ac:dyDescent="0.25">
      <c r="C1540">
        <v>1539</v>
      </c>
      <c r="D1540" t="s">
        <v>4620</v>
      </c>
      <c r="E1540">
        <f>1</f>
        <v>1</v>
      </c>
    </row>
    <row r="1541" spans="3:5" x14ac:dyDescent="0.25">
      <c r="C1541">
        <v>1540</v>
      </c>
      <c r="D1541" t="s">
        <v>4268</v>
      </c>
      <c r="E1541">
        <f>1</f>
        <v>1</v>
      </c>
    </row>
    <row r="1542" spans="3:5" x14ac:dyDescent="0.25">
      <c r="C1542">
        <v>1541</v>
      </c>
      <c r="D1542" t="s">
        <v>4269</v>
      </c>
      <c r="E1542">
        <f>1</f>
        <v>1</v>
      </c>
    </row>
    <row r="1543" spans="3:5" x14ac:dyDescent="0.25">
      <c r="C1543">
        <v>1542</v>
      </c>
      <c r="D1543" t="s">
        <v>4453</v>
      </c>
      <c r="E1543">
        <f>1</f>
        <v>1</v>
      </c>
    </row>
    <row r="1544" spans="3:5" x14ac:dyDescent="0.25">
      <c r="C1544">
        <v>1543</v>
      </c>
      <c r="D1544" t="s">
        <v>4270</v>
      </c>
      <c r="E1544">
        <f>1</f>
        <v>1</v>
      </c>
    </row>
    <row r="1545" spans="3:5" x14ac:dyDescent="0.25">
      <c r="C1545">
        <v>1545</v>
      </c>
      <c r="D1545" t="s">
        <v>3218</v>
      </c>
      <c r="E1545">
        <f>1</f>
        <v>1</v>
      </c>
    </row>
    <row r="1546" spans="3:5" x14ac:dyDescent="0.25">
      <c r="C1546">
        <v>1546</v>
      </c>
      <c r="D1546" t="s">
        <v>3225</v>
      </c>
      <c r="E1546">
        <f>1</f>
        <v>1</v>
      </c>
    </row>
    <row r="1547" spans="3:5" x14ac:dyDescent="0.25">
      <c r="C1547">
        <v>1547</v>
      </c>
      <c r="D1547" t="s">
        <v>4237</v>
      </c>
      <c r="E1547">
        <f>1</f>
        <v>1</v>
      </c>
    </row>
    <row r="1548" spans="3:5" x14ac:dyDescent="0.25">
      <c r="C1548">
        <v>1548</v>
      </c>
      <c r="D1548" t="s">
        <v>4192</v>
      </c>
      <c r="E1548">
        <f>1</f>
        <v>1</v>
      </c>
    </row>
    <row r="1549" spans="3:5" x14ac:dyDescent="0.25">
      <c r="C1549">
        <v>1549</v>
      </c>
      <c r="D1549" t="s">
        <v>4334</v>
      </c>
      <c r="E1549">
        <f>1</f>
        <v>1</v>
      </c>
    </row>
    <row r="1550" spans="3:5" x14ac:dyDescent="0.25">
      <c r="C1550">
        <v>1550</v>
      </c>
      <c r="D1550" t="s">
        <v>3237</v>
      </c>
      <c r="E1550">
        <f>1</f>
        <v>1</v>
      </c>
    </row>
    <row r="1551" spans="3:5" x14ac:dyDescent="0.25">
      <c r="C1551">
        <v>1551</v>
      </c>
      <c r="D1551" t="s">
        <v>3240</v>
      </c>
      <c r="E1551">
        <f>1</f>
        <v>1</v>
      </c>
    </row>
    <row r="1552" spans="3:5" x14ac:dyDescent="0.25">
      <c r="C1552">
        <v>1552</v>
      </c>
      <c r="D1552" t="s">
        <v>4238</v>
      </c>
      <c r="E1552">
        <f>1</f>
        <v>1</v>
      </c>
    </row>
    <row r="1553" spans="3:5" x14ac:dyDescent="0.25">
      <c r="C1553">
        <v>1553</v>
      </c>
      <c r="D1553" t="s">
        <v>4337</v>
      </c>
      <c r="E1553">
        <f>1</f>
        <v>1</v>
      </c>
    </row>
    <row r="1554" spans="3:5" x14ac:dyDescent="0.25">
      <c r="C1554">
        <v>1554</v>
      </c>
      <c r="D1554" t="s">
        <v>4338</v>
      </c>
      <c r="E1554">
        <f>1</f>
        <v>1</v>
      </c>
    </row>
    <row r="1555" spans="3:5" x14ac:dyDescent="0.25">
      <c r="C1555">
        <v>1555</v>
      </c>
      <c r="D1555" t="s">
        <v>4193</v>
      </c>
      <c r="E1555">
        <f>1</f>
        <v>1</v>
      </c>
    </row>
    <row r="1556" spans="3:5" x14ac:dyDescent="0.25">
      <c r="C1556">
        <v>1556</v>
      </c>
      <c r="D1556" t="s">
        <v>4478</v>
      </c>
      <c r="E1556">
        <f>1</f>
        <v>1</v>
      </c>
    </row>
    <row r="1557" spans="3:5" x14ac:dyDescent="0.25">
      <c r="C1557">
        <v>1557</v>
      </c>
      <c r="D1557" t="s">
        <v>2799</v>
      </c>
      <c r="E1557">
        <f>1</f>
        <v>1</v>
      </c>
    </row>
    <row r="1558" spans="3:5" x14ac:dyDescent="0.25">
      <c r="C1558">
        <v>1558</v>
      </c>
      <c r="D1558" t="s">
        <v>4194</v>
      </c>
      <c r="E1558">
        <f>1</f>
        <v>1</v>
      </c>
    </row>
    <row r="1559" spans="3:5" x14ac:dyDescent="0.25">
      <c r="C1559">
        <v>1559</v>
      </c>
      <c r="D1559" t="s">
        <v>4240</v>
      </c>
      <c r="E1559">
        <f>1</f>
        <v>1</v>
      </c>
    </row>
    <row r="1560" spans="3:5" x14ac:dyDescent="0.25">
      <c r="C1560">
        <v>1560</v>
      </c>
      <c r="D1560" t="s">
        <v>4515</v>
      </c>
      <c r="E1560">
        <f>1</f>
        <v>1</v>
      </c>
    </row>
    <row r="1561" spans="3:5" x14ac:dyDescent="0.25">
      <c r="C1561">
        <v>1561</v>
      </c>
      <c r="D1561" t="s">
        <v>4241</v>
      </c>
      <c r="E1561">
        <f>1</f>
        <v>1</v>
      </c>
    </row>
    <row r="1562" spans="3:5" x14ac:dyDescent="0.25">
      <c r="C1562">
        <v>1562</v>
      </c>
      <c r="D1562" t="s">
        <v>4197</v>
      </c>
      <c r="E1562">
        <f>1</f>
        <v>1</v>
      </c>
    </row>
    <row r="1563" spans="3:5" x14ac:dyDescent="0.25">
      <c r="C1563">
        <v>1563</v>
      </c>
      <c r="D1563" t="s">
        <v>19898</v>
      </c>
      <c r="E1563">
        <f>1</f>
        <v>1</v>
      </c>
    </row>
    <row r="1564" spans="3:5" x14ac:dyDescent="0.25">
      <c r="C1564">
        <v>1564</v>
      </c>
      <c r="D1564" t="s">
        <v>3246</v>
      </c>
      <c r="E1564">
        <f>1</f>
        <v>1</v>
      </c>
    </row>
    <row r="1565" spans="3:5" x14ac:dyDescent="0.25">
      <c r="C1565">
        <v>1565</v>
      </c>
      <c r="D1565" t="s">
        <v>3247</v>
      </c>
      <c r="E1565">
        <f>1</f>
        <v>1</v>
      </c>
    </row>
    <row r="1566" spans="3:5" x14ac:dyDescent="0.25">
      <c r="C1566">
        <v>1566</v>
      </c>
      <c r="D1566" t="s">
        <v>3249</v>
      </c>
      <c r="E1566">
        <f>1</f>
        <v>1</v>
      </c>
    </row>
    <row r="1567" spans="3:5" x14ac:dyDescent="0.25">
      <c r="C1567">
        <v>1567</v>
      </c>
      <c r="D1567" t="s">
        <v>3286</v>
      </c>
      <c r="E1567">
        <f>1</f>
        <v>1</v>
      </c>
    </row>
    <row r="1568" spans="3:5" x14ac:dyDescent="0.25">
      <c r="C1568">
        <v>1568</v>
      </c>
      <c r="D1568" t="s">
        <v>3290</v>
      </c>
      <c r="E1568">
        <f>1</f>
        <v>1</v>
      </c>
    </row>
    <row r="1569" spans="3:5" x14ac:dyDescent="0.25">
      <c r="C1569">
        <v>1569</v>
      </c>
      <c r="D1569" t="s">
        <v>4185</v>
      </c>
      <c r="E1569">
        <f>1</f>
        <v>1</v>
      </c>
    </row>
    <row r="1570" spans="3:5" x14ac:dyDescent="0.25">
      <c r="C1570">
        <v>1570</v>
      </c>
      <c r="D1570" t="s">
        <v>3320</v>
      </c>
      <c r="E1570">
        <f>1</f>
        <v>1</v>
      </c>
    </row>
    <row r="1571" spans="3:5" x14ac:dyDescent="0.25">
      <c r="C1571">
        <v>1571</v>
      </c>
      <c r="D1571" t="s">
        <v>3364</v>
      </c>
      <c r="E1571">
        <f>1</f>
        <v>1</v>
      </c>
    </row>
    <row r="1572" spans="3:5" x14ac:dyDescent="0.25">
      <c r="C1572">
        <v>1572</v>
      </c>
      <c r="D1572" t="s">
        <v>4289</v>
      </c>
      <c r="E1572">
        <f>1</f>
        <v>1</v>
      </c>
    </row>
    <row r="1573" spans="3:5" x14ac:dyDescent="0.25">
      <c r="C1573">
        <v>1573</v>
      </c>
      <c r="D1573" t="s">
        <v>3373</v>
      </c>
      <c r="E1573">
        <f>1</f>
        <v>1</v>
      </c>
    </row>
    <row r="1574" spans="3:5" x14ac:dyDescent="0.25">
      <c r="C1574">
        <v>1574</v>
      </c>
      <c r="D1574" t="s">
        <v>4369</v>
      </c>
      <c r="E1574">
        <f>1</f>
        <v>1</v>
      </c>
    </row>
    <row r="1575" spans="3:5" x14ac:dyDescent="0.25">
      <c r="C1575">
        <v>1575</v>
      </c>
      <c r="D1575" t="s">
        <v>4472</v>
      </c>
      <c r="E1575">
        <f>1</f>
        <v>1</v>
      </c>
    </row>
    <row r="1576" spans="3:5" x14ac:dyDescent="0.25">
      <c r="C1576">
        <v>1576</v>
      </c>
      <c r="D1576" t="s">
        <v>4370</v>
      </c>
      <c r="E1576">
        <f>1</f>
        <v>1</v>
      </c>
    </row>
    <row r="1577" spans="3:5" x14ac:dyDescent="0.25">
      <c r="C1577">
        <v>1577</v>
      </c>
      <c r="D1577" t="s">
        <v>4207</v>
      </c>
      <c r="E1577">
        <f>1</f>
        <v>1</v>
      </c>
    </row>
    <row r="1578" spans="3:5" x14ac:dyDescent="0.25">
      <c r="C1578">
        <v>1578</v>
      </c>
      <c r="D1578" t="s">
        <v>4246</v>
      </c>
      <c r="E1578">
        <f>1</f>
        <v>1</v>
      </c>
    </row>
    <row r="1579" spans="3:5" x14ac:dyDescent="0.25">
      <c r="C1579">
        <v>1579</v>
      </c>
      <c r="D1579" t="s">
        <v>4247</v>
      </c>
      <c r="E1579">
        <f>1</f>
        <v>1</v>
      </c>
    </row>
    <row r="1580" spans="3:5" x14ac:dyDescent="0.25">
      <c r="C1580">
        <v>1580</v>
      </c>
      <c r="D1580" t="s">
        <v>4208</v>
      </c>
      <c r="E1580">
        <f>1</f>
        <v>1</v>
      </c>
    </row>
    <row r="1581" spans="3:5" x14ac:dyDescent="0.25">
      <c r="C1581">
        <v>1581</v>
      </c>
      <c r="D1581" t="s">
        <v>4371</v>
      </c>
      <c r="E1581">
        <f>1</f>
        <v>1</v>
      </c>
    </row>
    <row r="1582" spans="3:5" x14ac:dyDescent="0.25">
      <c r="C1582">
        <v>1582</v>
      </c>
      <c r="D1582" t="s">
        <v>3390</v>
      </c>
      <c r="E1582">
        <f>1</f>
        <v>1</v>
      </c>
    </row>
    <row r="1583" spans="3:5" x14ac:dyDescent="0.25">
      <c r="C1583">
        <v>1583</v>
      </c>
      <c r="D1583" t="s">
        <v>4248</v>
      </c>
      <c r="E1583">
        <f>1</f>
        <v>1</v>
      </c>
    </row>
    <row r="1584" spans="3:5" x14ac:dyDescent="0.25">
      <c r="C1584">
        <v>1584</v>
      </c>
      <c r="D1584" t="s">
        <v>4293</v>
      </c>
      <c r="E1584">
        <f>1</f>
        <v>1</v>
      </c>
    </row>
    <row r="1585" spans="3:5" x14ac:dyDescent="0.25">
      <c r="C1585">
        <v>1585</v>
      </c>
      <c r="D1585" t="s">
        <v>3419</v>
      </c>
      <c r="E1585">
        <f>1</f>
        <v>1</v>
      </c>
    </row>
    <row r="1586" spans="3:5" x14ac:dyDescent="0.25">
      <c r="C1586">
        <v>1586</v>
      </c>
      <c r="D1586" t="s">
        <v>3452</v>
      </c>
      <c r="E1586">
        <f>1</f>
        <v>1</v>
      </c>
    </row>
    <row r="1587" spans="3:5" x14ac:dyDescent="0.25">
      <c r="C1587">
        <v>1587</v>
      </c>
      <c r="D1587" t="s">
        <v>3477</v>
      </c>
      <c r="E1587">
        <f>1</f>
        <v>1</v>
      </c>
    </row>
    <row r="1588" spans="3:5" x14ac:dyDescent="0.25">
      <c r="C1588">
        <v>1588</v>
      </c>
      <c r="D1588" t="s">
        <v>3484</v>
      </c>
      <c r="E1588">
        <f>1</f>
        <v>1</v>
      </c>
    </row>
    <row r="1589" spans="3:5" x14ac:dyDescent="0.25">
      <c r="C1589">
        <v>1589</v>
      </c>
      <c r="D1589" t="s">
        <v>3504</v>
      </c>
      <c r="E1589">
        <f>1</f>
        <v>1</v>
      </c>
    </row>
    <row r="1590" spans="3:5" x14ac:dyDescent="0.25">
      <c r="C1590">
        <v>1590</v>
      </c>
      <c r="D1590" t="s">
        <v>4547</v>
      </c>
      <c r="E1590">
        <f>1</f>
        <v>1</v>
      </c>
    </row>
    <row r="1591" spans="3:5" x14ac:dyDescent="0.25">
      <c r="C1591">
        <v>1591</v>
      </c>
      <c r="D1591" t="s">
        <v>3524</v>
      </c>
      <c r="E1591">
        <f>1</f>
        <v>1</v>
      </c>
    </row>
    <row r="1592" spans="3:5" x14ac:dyDescent="0.25">
      <c r="C1592">
        <v>1592</v>
      </c>
      <c r="D1592" t="s">
        <v>3545</v>
      </c>
      <c r="E1592">
        <f>1</f>
        <v>1</v>
      </c>
    </row>
    <row r="1593" spans="3:5" x14ac:dyDescent="0.25">
      <c r="C1593">
        <v>1593</v>
      </c>
      <c r="D1593" t="s">
        <v>3546</v>
      </c>
      <c r="E1593">
        <f>1</f>
        <v>1</v>
      </c>
    </row>
    <row r="1594" spans="3:5" x14ac:dyDescent="0.25">
      <c r="C1594">
        <v>1594</v>
      </c>
      <c r="D1594" t="s">
        <v>3597</v>
      </c>
      <c r="E1594">
        <f>1</f>
        <v>1</v>
      </c>
    </row>
    <row r="1595" spans="3:5" x14ac:dyDescent="0.25">
      <c r="C1595">
        <v>1595</v>
      </c>
      <c r="D1595" t="s">
        <v>3622</v>
      </c>
      <c r="E1595">
        <f>1</f>
        <v>1</v>
      </c>
    </row>
    <row r="1596" spans="3:5" x14ac:dyDescent="0.25">
      <c r="C1596">
        <v>1596</v>
      </c>
      <c r="D1596" t="s">
        <v>3630</v>
      </c>
      <c r="E1596">
        <f>1</f>
        <v>1</v>
      </c>
    </row>
    <row r="1597" spans="3:5" x14ac:dyDescent="0.25">
      <c r="C1597">
        <v>1597</v>
      </c>
      <c r="D1597" t="s">
        <v>4390</v>
      </c>
      <c r="E1597">
        <f>1</f>
        <v>1</v>
      </c>
    </row>
    <row r="1598" spans="3:5" x14ac:dyDescent="0.25">
      <c r="C1598">
        <v>1598</v>
      </c>
      <c r="D1598" t="s">
        <v>4220</v>
      </c>
      <c r="E1598">
        <f>1</f>
        <v>1</v>
      </c>
    </row>
    <row r="1599" spans="3:5" x14ac:dyDescent="0.25">
      <c r="C1599">
        <v>1599</v>
      </c>
      <c r="D1599" t="s">
        <v>4221</v>
      </c>
      <c r="E1599">
        <f>1</f>
        <v>1</v>
      </c>
    </row>
    <row r="1600" spans="3:5" x14ac:dyDescent="0.25">
      <c r="C1600">
        <v>1600</v>
      </c>
      <c r="D1600" t="s">
        <v>4393</v>
      </c>
      <c r="E1600">
        <f>1</f>
        <v>1</v>
      </c>
    </row>
    <row r="1601" spans="3:5" x14ac:dyDescent="0.25">
      <c r="C1601">
        <v>1601</v>
      </c>
      <c r="D1601" t="s">
        <v>4566</v>
      </c>
      <c r="E1601">
        <f>1</f>
        <v>1</v>
      </c>
    </row>
    <row r="1602" spans="3:5" x14ac:dyDescent="0.25">
      <c r="C1602">
        <v>1602</v>
      </c>
      <c r="D1602" t="s">
        <v>4397</v>
      </c>
      <c r="E1602">
        <f>1</f>
        <v>1</v>
      </c>
    </row>
    <row r="1603" spans="3:5" x14ac:dyDescent="0.25">
      <c r="C1603">
        <v>1603</v>
      </c>
      <c r="D1603" t="s">
        <v>19824</v>
      </c>
      <c r="E1603">
        <f>1</f>
        <v>1</v>
      </c>
    </row>
    <row r="1604" spans="3:5" x14ac:dyDescent="0.25">
      <c r="C1604">
        <v>1604</v>
      </c>
      <c r="D1604" t="s">
        <v>3652</v>
      </c>
      <c r="E1604">
        <f>1</f>
        <v>1</v>
      </c>
    </row>
    <row r="1605" spans="3:5" x14ac:dyDescent="0.25">
      <c r="C1605">
        <v>1605</v>
      </c>
      <c r="D1605" t="s">
        <v>4400</v>
      </c>
      <c r="E1605">
        <f>1</f>
        <v>1</v>
      </c>
    </row>
    <row r="1606" spans="3:5" x14ac:dyDescent="0.25">
      <c r="C1606">
        <v>1606</v>
      </c>
      <c r="D1606" t="s">
        <v>3678</v>
      </c>
      <c r="E1606">
        <f>1</f>
        <v>1</v>
      </c>
    </row>
    <row r="1607" spans="3:5" x14ac:dyDescent="0.25">
      <c r="C1607">
        <v>1607</v>
      </c>
      <c r="D1607" t="s">
        <v>3679</v>
      </c>
      <c r="E1607">
        <f>1</f>
        <v>1</v>
      </c>
    </row>
    <row r="1608" spans="3:5" x14ac:dyDescent="0.25">
      <c r="C1608">
        <v>1608</v>
      </c>
      <c r="D1608" t="s">
        <v>4222</v>
      </c>
      <c r="E1608">
        <f>1</f>
        <v>1</v>
      </c>
    </row>
    <row r="1609" spans="3:5" x14ac:dyDescent="0.25">
      <c r="C1609">
        <v>1609</v>
      </c>
      <c r="D1609" t="s">
        <v>3175</v>
      </c>
      <c r="E1609">
        <f>1</f>
        <v>1</v>
      </c>
    </row>
    <row r="1610" spans="3:5" x14ac:dyDescent="0.25">
      <c r="C1610">
        <v>1610</v>
      </c>
      <c r="D1610" t="s">
        <v>3696</v>
      </c>
      <c r="E1610">
        <f>1</f>
        <v>1</v>
      </c>
    </row>
    <row r="1611" spans="3:5" x14ac:dyDescent="0.25">
      <c r="C1611">
        <v>1611</v>
      </c>
      <c r="D1611" t="s">
        <v>4405</v>
      </c>
      <c r="E1611">
        <f>1</f>
        <v>1</v>
      </c>
    </row>
    <row r="1612" spans="3:5" x14ac:dyDescent="0.25">
      <c r="C1612">
        <v>1612</v>
      </c>
      <c r="D1612" t="s">
        <v>3700</v>
      </c>
      <c r="E1612">
        <f>1</f>
        <v>1</v>
      </c>
    </row>
    <row r="1613" spans="3:5" x14ac:dyDescent="0.25">
      <c r="C1613">
        <v>1613</v>
      </c>
      <c r="D1613" t="s">
        <v>3702</v>
      </c>
      <c r="E1613">
        <f>1</f>
        <v>1</v>
      </c>
    </row>
    <row r="1614" spans="3:5" x14ac:dyDescent="0.25">
      <c r="C1614">
        <v>1614</v>
      </c>
      <c r="D1614" t="s">
        <v>4225</v>
      </c>
      <c r="E1614">
        <f>1</f>
        <v>1</v>
      </c>
    </row>
    <row r="1615" spans="3:5" x14ac:dyDescent="0.25">
      <c r="C1615">
        <v>1615</v>
      </c>
      <c r="D1615" t="s">
        <v>3743</v>
      </c>
      <c r="E1615">
        <f>1</f>
        <v>1</v>
      </c>
    </row>
    <row r="1616" spans="3:5" x14ac:dyDescent="0.25">
      <c r="C1616">
        <v>1616</v>
      </c>
      <c r="D1616" t="s">
        <v>4411</v>
      </c>
      <c r="E1616">
        <f>1</f>
        <v>1</v>
      </c>
    </row>
    <row r="1617" spans="3:5" x14ac:dyDescent="0.25">
      <c r="C1617">
        <v>1617</v>
      </c>
      <c r="D1617" t="s">
        <v>3758</v>
      </c>
      <c r="E1617">
        <f>1</f>
        <v>1</v>
      </c>
    </row>
    <row r="1618" spans="3:5" x14ac:dyDescent="0.25">
      <c r="C1618">
        <v>1618</v>
      </c>
      <c r="D1618" t="s">
        <v>3762</v>
      </c>
      <c r="E1618">
        <f>1</f>
        <v>1</v>
      </c>
    </row>
    <row r="1619" spans="3:5" x14ac:dyDescent="0.25">
      <c r="C1619">
        <v>1619</v>
      </c>
      <c r="D1619" t="s">
        <v>3764</v>
      </c>
      <c r="E1619">
        <f>1</f>
        <v>1</v>
      </c>
    </row>
    <row r="1620" spans="3:5" x14ac:dyDescent="0.25">
      <c r="C1620">
        <v>1620</v>
      </c>
      <c r="D1620" t="s">
        <v>3771</v>
      </c>
      <c r="E1620">
        <f>1</f>
        <v>1</v>
      </c>
    </row>
    <row r="1621" spans="3:5" x14ac:dyDescent="0.25">
      <c r="C1621">
        <v>1621</v>
      </c>
      <c r="D1621" t="s">
        <v>3792</v>
      </c>
      <c r="E1621">
        <f>1</f>
        <v>1</v>
      </c>
    </row>
    <row r="1622" spans="3:5" x14ac:dyDescent="0.25">
      <c r="C1622">
        <v>1622</v>
      </c>
      <c r="D1622" t="s">
        <v>4417</v>
      </c>
      <c r="E1622">
        <f>1</f>
        <v>1</v>
      </c>
    </row>
    <row r="1623" spans="3:5" x14ac:dyDescent="0.25">
      <c r="C1623">
        <v>1623</v>
      </c>
      <c r="D1623" t="s">
        <v>3823</v>
      </c>
      <c r="E1623">
        <f>1</f>
        <v>1</v>
      </c>
    </row>
    <row r="1624" spans="3:5" x14ac:dyDescent="0.25">
      <c r="C1624">
        <v>1624</v>
      </c>
      <c r="D1624" t="s">
        <v>4420</v>
      </c>
      <c r="E1624">
        <f>1</f>
        <v>1</v>
      </c>
    </row>
    <row r="1625" spans="3:5" x14ac:dyDescent="0.25">
      <c r="C1625">
        <v>1625</v>
      </c>
      <c r="D1625" t="s">
        <v>3857</v>
      </c>
      <c r="E1625">
        <f>1</f>
        <v>1</v>
      </c>
    </row>
    <row r="1626" spans="3:5" x14ac:dyDescent="0.25">
      <c r="C1626">
        <v>1626</v>
      </c>
      <c r="D1626" t="s">
        <v>4424</v>
      </c>
      <c r="E1626">
        <f>1</f>
        <v>1</v>
      </c>
    </row>
    <row r="1627" spans="3:5" x14ac:dyDescent="0.25">
      <c r="C1627">
        <v>1627</v>
      </c>
      <c r="D1627" t="s">
        <v>4425</v>
      </c>
      <c r="E1627">
        <f>1</f>
        <v>1</v>
      </c>
    </row>
    <row r="1628" spans="3:5" x14ac:dyDescent="0.25">
      <c r="C1628">
        <v>1628</v>
      </c>
      <c r="D1628" t="s">
        <v>3879</v>
      </c>
      <c r="E1628">
        <f>1</f>
        <v>1</v>
      </c>
    </row>
    <row r="1629" spans="3:5" x14ac:dyDescent="0.25">
      <c r="C1629">
        <v>1629</v>
      </c>
      <c r="D1629" t="s">
        <v>3890</v>
      </c>
      <c r="E1629">
        <f>1</f>
        <v>1</v>
      </c>
    </row>
    <row r="1630" spans="3:5" x14ac:dyDescent="0.25">
      <c r="C1630">
        <v>1630</v>
      </c>
      <c r="D1630" t="s">
        <v>3169</v>
      </c>
      <c r="E1630">
        <f>1</f>
        <v>1</v>
      </c>
    </row>
    <row r="1631" spans="3:5" x14ac:dyDescent="0.25">
      <c r="C1631">
        <v>1631</v>
      </c>
      <c r="D1631" t="s">
        <v>3916</v>
      </c>
      <c r="E1631">
        <f>1</f>
        <v>1</v>
      </c>
    </row>
    <row r="1632" spans="3:5" x14ac:dyDescent="0.25">
      <c r="C1632">
        <v>1632</v>
      </c>
      <c r="D1632" t="s">
        <v>3917</v>
      </c>
      <c r="E1632">
        <f>1</f>
        <v>1</v>
      </c>
    </row>
    <row r="1633" spans="3:5" x14ac:dyDescent="0.25">
      <c r="C1633">
        <v>1633</v>
      </c>
      <c r="D1633" t="s">
        <v>3926</v>
      </c>
      <c r="E1633">
        <f>1</f>
        <v>1</v>
      </c>
    </row>
    <row r="1634" spans="3:5" x14ac:dyDescent="0.25">
      <c r="C1634">
        <v>1634</v>
      </c>
      <c r="D1634" t="s">
        <v>4598</v>
      </c>
      <c r="E1634">
        <f>1</f>
        <v>1</v>
      </c>
    </row>
    <row r="1635" spans="3:5" x14ac:dyDescent="0.25">
      <c r="C1635">
        <v>1635</v>
      </c>
      <c r="D1635" t="s">
        <v>4437</v>
      </c>
      <c r="E1635">
        <f>1</f>
        <v>1</v>
      </c>
    </row>
    <row r="1636" spans="3:5" x14ac:dyDescent="0.25">
      <c r="C1636">
        <v>1636</v>
      </c>
      <c r="D1636" t="s">
        <v>3957</v>
      </c>
      <c r="E1636">
        <f>1</f>
        <v>1</v>
      </c>
    </row>
    <row r="1637" spans="3:5" x14ac:dyDescent="0.25">
      <c r="C1637">
        <v>1637</v>
      </c>
      <c r="D1637" t="s">
        <v>2443</v>
      </c>
      <c r="E1637">
        <f>1</f>
        <v>1</v>
      </c>
    </row>
    <row r="1638" spans="3:5" x14ac:dyDescent="0.25">
      <c r="C1638">
        <v>1638</v>
      </c>
      <c r="D1638" t="s">
        <v>4474</v>
      </c>
      <c r="E1638">
        <f>1</f>
        <v>1</v>
      </c>
    </row>
    <row r="1639" spans="3:5" x14ac:dyDescent="0.25">
      <c r="C1639">
        <v>1639</v>
      </c>
      <c r="D1639" t="s">
        <v>4256</v>
      </c>
      <c r="E1639">
        <f>1</f>
        <v>1</v>
      </c>
    </row>
    <row r="1640" spans="3:5" x14ac:dyDescent="0.25">
      <c r="C1640">
        <v>1640</v>
      </c>
      <c r="D1640" t="s">
        <v>4257</v>
      </c>
      <c r="E1640">
        <f>1</f>
        <v>1</v>
      </c>
    </row>
    <row r="1641" spans="3:5" x14ac:dyDescent="0.25">
      <c r="C1641">
        <v>1641</v>
      </c>
      <c r="D1641" t="s">
        <v>4009</v>
      </c>
      <c r="E1641">
        <f>1</f>
        <v>1</v>
      </c>
    </row>
    <row r="1642" spans="3:5" x14ac:dyDescent="0.25">
      <c r="C1642">
        <v>1642</v>
      </c>
      <c r="D1642" t="s">
        <v>4022</v>
      </c>
      <c r="E1642">
        <f>1</f>
        <v>1</v>
      </c>
    </row>
    <row r="1643" spans="3:5" x14ac:dyDescent="0.25">
      <c r="C1643">
        <v>1643</v>
      </c>
      <c r="D1643" t="s">
        <v>4174</v>
      </c>
      <c r="E1643">
        <f>1</f>
        <v>1</v>
      </c>
    </row>
    <row r="1644" spans="3:5" x14ac:dyDescent="0.25">
      <c r="C1644">
        <v>1644</v>
      </c>
      <c r="D1644" t="s">
        <v>4046</v>
      </c>
      <c r="E1644">
        <f>1</f>
        <v>1</v>
      </c>
    </row>
    <row r="1645" spans="3:5" x14ac:dyDescent="0.25">
      <c r="C1645">
        <v>1645</v>
      </c>
      <c r="D1645" t="s">
        <v>4614</v>
      </c>
      <c r="E1645">
        <f>1</f>
        <v>1</v>
      </c>
    </row>
    <row r="1646" spans="3:5" x14ac:dyDescent="0.25">
      <c r="C1646">
        <v>1646</v>
      </c>
      <c r="D1646" t="s">
        <v>4056</v>
      </c>
      <c r="E1646">
        <f>1</f>
        <v>1</v>
      </c>
    </row>
    <row r="1647" spans="3:5" x14ac:dyDescent="0.25">
      <c r="C1647">
        <v>1647</v>
      </c>
      <c r="D1647" t="s">
        <v>4321</v>
      </c>
      <c r="E1647">
        <f>1</f>
        <v>1</v>
      </c>
    </row>
    <row r="1648" spans="3:5" x14ac:dyDescent="0.25">
      <c r="C1648">
        <v>1648</v>
      </c>
      <c r="D1648" t="s">
        <v>4062</v>
      </c>
      <c r="E1648">
        <f>1</f>
        <v>1</v>
      </c>
    </row>
    <row r="1649" spans="3:5" x14ac:dyDescent="0.25">
      <c r="C1649">
        <v>1650</v>
      </c>
      <c r="D1649" t="s">
        <v>4513</v>
      </c>
      <c r="E1649">
        <f>1</f>
        <v>1</v>
      </c>
    </row>
    <row r="1650" spans="3:5" x14ac:dyDescent="0.25">
      <c r="C1650">
        <v>1651</v>
      </c>
      <c r="D1650" t="s">
        <v>4514</v>
      </c>
      <c r="E1650">
        <f>1</f>
        <v>1</v>
      </c>
    </row>
    <row r="1651" spans="3:5" x14ac:dyDescent="0.25">
      <c r="C1651">
        <v>1652</v>
      </c>
      <c r="D1651" t="s">
        <v>4516</v>
      </c>
      <c r="E1651">
        <f>1</f>
        <v>1</v>
      </c>
    </row>
    <row r="1652" spans="3:5" x14ac:dyDescent="0.25">
      <c r="C1652">
        <v>1653</v>
      </c>
      <c r="D1652" t="s">
        <v>4517</v>
      </c>
      <c r="E1652">
        <f>1</f>
        <v>1</v>
      </c>
    </row>
    <row r="1653" spans="3:5" x14ac:dyDescent="0.25">
      <c r="C1653">
        <v>1654</v>
      </c>
      <c r="D1653" t="s">
        <v>4518</v>
      </c>
      <c r="E1653">
        <f>1</f>
        <v>1</v>
      </c>
    </row>
    <row r="1654" spans="3:5" x14ac:dyDescent="0.25">
      <c r="C1654">
        <v>1655</v>
      </c>
      <c r="D1654" t="s">
        <v>4519</v>
      </c>
      <c r="E1654">
        <f>1</f>
        <v>1</v>
      </c>
    </row>
    <row r="1655" spans="3:5" x14ac:dyDescent="0.25">
      <c r="C1655">
        <v>1656</v>
      </c>
      <c r="D1655" t="s">
        <v>19757</v>
      </c>
      <c r="E1655">
        <f>1</f>
        <v>1</v>
      </c>
    </row>
    <row r="1656" spans="3:5" x14ac:dyDescent="0.25">
      <c r="C1656">
        <v>1657</v>
      </c>
      <c r="D1656" t="s">
        <v>4521</v>
      </c>
      <c r="E1656">
        <f>1</f>
        <v>1</v>
      </c>
    </row>
    <row r="1657" spans="3:5" x14ac:dyDescent="0.25">
      <c r="C1657">
        <v>1658</v>
      </c>
      <c r="D1657" t="s">
        <v>4522</v>
      </c>
      <c r="E1657">
        <f>1</f>
        <v>1</v>
      </c>
    </row>
    <row r="1658" spans="3:5" x14ac:dyDescent="0.25">
      <c r="C1658">
        <v>1659</v>
      </c>
      <c r="D1658" t="s">
        <v>19758</v>
      </c>
      <c r="E1658">
        <f>1</f>
        <v>1</v>
      </c>
    </row>
    <row r="1659" spans="3:5" x14ac:dyDescent="0.25">
      <c r="C1659">
        <v>1660</v>
      </c>
      <c r="D1659" t="s">
        <v>4524</v>
      </c>
      <c r="E1659">
        <f>1</f>
        <v>1</v>
      </c>
    </row>
    <row r="1660" spans="3:5" x14ac:dyDescent="0.25">
      <c r="C1660">
        <v>1661</v>
      </c>
      <c r="D1660" t="s">
        <v>4525</v>
      </c>
      <c r="E1660">
        <f>1</f>
        <v>1</v>
      </c>
    </row>
    <row r="1661" spans="3:5" x14ac:dyDescent="0.25">
      <c r="C1661">
        <v>1662</v>
      </c>
      <c r="D1661" t="s">
        <v>4526</v>
      </c>
      <c r="E1661">
        <f>1</f>
        <v>1</v>
      </c>
    </row>
    <row r="1662" spans="3:5" x14ac:dyDescent="0.25">
      <c r="C1662">
        <v>1663</v>
      </c>
      <c r="D1662" t="s">
        <v>4527</v>
      </c>
      <c r="E1662">
        <f>1</f>
        <v>1</v>
      </c>
    </row>
    <row r="1663" spans="3:5" x14ac:dyDescent="0.25">
      <c r="C1663">
        <v>1664</v>
      </c>
      <c r="D1663" t="s">
        <v>4528</v>
      </c>
      <c r="E1663">
        <f>1</f>
        <v>1</v>
      </c>
    </row>
    <row r="1664" spans="3:5" x14ac:dyDescent="0.25">
      <c r="C1664">
        <v>1665</v>
      </c>
      <c r="D1664" t="s">
        <v>19545</v>
      </c>
      <c r="E1664">
        <f>1</f>
        <v>1</v>
      </c>
    </row>
    <row r="1665" spans="3:5" x14ac:dyDescent="0.25">
      <c r="C1665">
        <v>1666</v>
      </c>
      <c r="D1665" t="s">
        <v>4529</v>
      </c>
      <c r="E1665">
        <f>1</f>
        <v>1</v>
      </c>
    </row>
    <row r="1666" spans="3:5" x14ac:dyDescent="0.25">
      <c r="C1666">
        <v>1667</v>
      </c>
      <c r="D1666" t="s">
        <v>4530</v>
      </c>
      <c r="E1666">
        <f>1</f>
        <v>1</v>
      </c>
    </row>
    <row r="1667" spans="3:5" x14ac:dyDescent="0.25">
      <c r="C1667">
        <v>1668</v>
      </c>
      <c r="D1667" t="s">
        <v>4531</v>
      </c>
      <c r="E1667">
        <f>1</f>
        <v>1</v>
      </c>
    </row>
    <row r="1668" spans="3:5" x14ac:dyDescent="0.25">
      <c r="C1668">
        <v>1669</v>
      </c>
      <c r="D1668" t="s">
        <v>3336</v>
      </c>
      <c r="E1668">
        <f>1</f>
        <v>1</v>
      </c>
    </row>
    <row r="1669" spans="3:5" x14ac:dyDescent="0.25">
      <c r="C1669">
        <v>1670</v>
      </c>
      <c r="D1669" t="s">
        <v>4532</v>
      </c>
      <c r="E1669">
        <f>1</f>
        <v>1</v>
      </c>
    </row>
    <row r="1670" spans="3:5" x14ac:dyDescent="0.25">
      <c r="C1670">
        <v>1671</v>
      </c>
      <c r="D1670" t="s">
        <v>4533</v>
      </c>
      <c r="E1670">
        <f>1</f>
        <v>1</v>
      </c>
    </row>
    <row r="1671" spans="3:5" x14ac:dyDescent="0.25">
      <c r="C1671">
        <v>1672</v>
      </c>
      <c r="D1671" t="s">
        <v>4534</v>
      </c>
      <c r="E1671">
        <f>1</f>
        <v>1</v>
      </c>
    </row>
    <row r="1672" spans="3:5" x14ac:dyDescent="0.25">
      <c r="C1672">
        <v>1673</v>
      </c>
      <c r="D1672" t="s">
        <v>19759</v>
      </c>
      <c r="E1672">
        <f>1</f>
        <v>1</v>
      </c>
    </row>
    <row r="1673" spans="3:5" x14ac:dyDescent="0.25">
      <c r="C1673">
        <v>1674</v>
      </c>
      <c r="D1673" t="s">
        <v>4536</v>
      </c>
      <c r="E1673">
        <f>1</f>
        <v>1</v>
      </c>
    </row>
    <row r="1674" spans="3:5" x14ac:dyDescent="0.25">
      <c r="C1674">
        <v>1675</v>
      </c>
      <c r="D1674" t="s">
        <v>4537</v>
      </c>
      <c r="E1674">
        <f>1</f>
        <v>1</v>
      </c>
    </row>
    <row r="1675" spans="3:5" x14ac:dyDescent="0.25">
      <c r="C1675">
        <v>1676</v>
      </c>
      <c r="D1675" t="s">
        <v>4538</v>
      </c>
      <c r="E1675">
        <f>1</f>
        <v>1</v>
      </c>
    </row>
    <row r="1676" spans="3:5" x14ac:dyDescent="0.25">
      <c r="C1676">
        <v>1677</v>
      </c>
      <c r="D1676" t="s">
        <v>4539</v>
      </c>
      <c r="E1676">
        <f>1</f>
        <v>1</v>
      </c>
    </row>
    <row r="1677" spans="3:5" x14ac:dyDescent="0.25">
      <c r="C1677">
        <v>1678</v>
      </c>
      <c r="D1677" t="s">
        <v>4540</v>
      </c>
      <c r="E1677">
        <f>1</f>
        <v>1</v>
      </c>
    </row>
    <row r="1678" spans="3:5" x14ac:dyDescent="0.25">
      <c r="C1678">
        <v>1679</v>
      </c>
      <c r="D1678" t="s">
        <v>4541</v>
      </c>
      <c r="E1678">
        <f>1</f>
        <v>1</v>
      </c>
    </row>
    <row r="1679" spans="3:5" x14ac:dyDescent="0.25">
      <c r="C1679">
        <v>1680</v>
      </c>
      <c r="D1679" t="s">
        <v>4542</v>
      </c>
      <c r="E1679">
        <f>1</f>
        <v>1</v>
      </c>
    </row>
    <row r="1680" spans="3:5" x14ac:dyDescent="0.25">
      <c r="C1680">
        <v>1681</v>
      </c>
      <c r="D1680" t="s">
        <v>4543</v>
      </c>
      <c r="E1680">
        <f>1</f>
        <v>1</v>
      </c>
    </row>
    <row r="1681" spans="3:5" x14ac:dyDescent="0.25">
      <c r="C1681">
        <v>1682</v>
      </c>
      <c r="D1681" t="s">
        <v>4544</v>
      </c>
      <c r="E1681">
        <f>1</f>
        <v>1</v>
      </c>
    </row>
    <row r="1682" spans="3:5" x14ac:dyDescent="0.25">
      <c r="C1682">
        <v>1683</v>
      </c>
      <c r="D1682" t="s">
        <v>4545</v>
      </c>
      <c r="E1682">
        <f>1</f>
        <v>1</v>
      </c>
    </row>
    <row r="1683" spans="3:5" x14ac:dyDescent="0.25">
      <c r="C1683">
        <v>1684</v>
      </c>
      <c r="D1683" t="s">
        <v>4546</v>
      </c>
      <c r="E1683">
        <f>1</f>
        <v>1</v>
      </c>
    </row>
    <row r="1684" spans="3:5" x14ac:dyDescent="0.25">
      <c r="C1684">
        <v>1685</v>
      </c>
      <c r="D1684" t="s">
        <v>4548</v>
      </c>
      <c r="E1684">
        <f>1</f>
        <v>1</v>
      </c>
    </row>
    <row r="1685" spans="3:5" x14ac:dyDescent="0.25">
      <c r="C1685">
        <v>1686</v>
      </c>
      <c r="D1685" t="s">
        <v>4549</v>
      </c>
      <c r="E1685">
        <f>1</f>
        <v>1</v>
      </c>
    </row>
    <row r="1686" spans="3:5" x14ac:dyDescent="0.25">
      <c r="C1686">
        <v>1687</v>
      </c>
      <c r="D1686" t="s">
        <v>4510</v>
      </c>
      <c r="E1686">
        <f>1</f>
        <v>1</v>
      </c>
    </row>
    <row r="1687" spans="3:5" x14ac:dyDescent="0.25">
      <c r="C1687">
        <v>1688</v>
      </c>
      <c r="D1687" t="s">
        <v>4550</v>
      </c>
      <c r="E1687">
        <f>1</f>
        <v>1</v>
      </c>
    </row>
    <row r="1688" spans="3:5" x14ac:dyDescent="0.25">
      <c r="C1688">
        <v>1689</v>
      </c>
      <c r="D1688" t="s">
        <v>4551</v>
      </c>
      <c r="E1688">
        <f>1</f>
        <v>1</v>
      </c>
    </row>
    <row r="1689" spans="3:5" x14ac:dyDescent="0.25">
      <c r="C1689">
        <v>1690</v>
      </c>
      <c r="D1689" t="s">
        <v>4552</v>
      </c>
      <c r="E1689">
        <f>1</f>
        <v>1</v>
      </c>
    </row>
    <row r="1690" spans="3:5" x14ac:dyDescent="0.25">
      <c r="C1690">
        <v>1691</v>
      </c>
      <c r="D1690" t="s">
        <v>4553</v>
      </c>
      <c r="E1690">
        <f>1</f>
        <v>1</v>
      </c>
    </row>
    <row r="1691" spans="3:5" x14ac:dyDescent="0.25">
      <c r="C1691">
        <v>1692</v>
      </c>
      <c r="D1691" t="s">
        <v>4554</v>
      </c>
      <c r="E1691">
        <f>1</f>
        <v>1</v>
      </c>
    </row>
    <row r="1692" spans="3:5" x14ac:dyDescent="0.25">
      <c r="C1692">
        <v>1693</v>
      </c>
      <c r="D1692" t="s">
        <v>4555</v>
      </c>
      <c r="E1692">
        <f>1</f>
        <v>1</v>
      </c>
    </row>
    <row r="1693" spans="3:5" x14ac:dyDescent="0.25">
      <c r="C1693">
        <v>1694</v>
      </c>
      <c r="D1693" t="s">
        <v>4556</v>
      </c>
      <c r="E1693">
        <f>1</f>
        <v>1</v>
      </c>
    </row>
    <row r="1694" spans="3:5" x14ac:dyDescent="0.25">
      <c r="C1694">
        <v>1695</v>
      </c>
      <c r="D1694" t="s">
        <v>4557</v>
      </c>
      <c r="E1694">
        <f>1</f>
        <v>1</v>
      </c>
    </row>
    <row r="1695" spans="3:5" x14ac:dyDescent="0.25">
      <c r="C1695">
        <v>1696</v>
      </c>
      <c r="D1695" t="s">
        <v>4558</v>
      </c>
      <c r="E1695">
        <f>1</f>
        <v>1</v>
      </c>
    </row>
    <row r="1696" spans="3:5" x14ac:dyDescent="0.25">
      <c r="C1696">
        <v>1697</v>
      </c>
      <c r="D1696" t="s">
        <v>4559</v>
      </c>
      <c r="E1696">
        <f>1</f>
        <v>1</v>
      </c>
    </row>
    <row r="1697" spans="3:5" x14ac:dyDescent="0.25">
      <c r="C1697">
        <v>1698</v>
      </c>
      <c r="D1697" t="s">
        <v>4560</v>
      </c>
      <c r="E1697">
        <f>1</f>
        <v>1</v>
      </c>
    </row>
    <row r="1698" spans="3:5" x14ac:dyDescent="0.25">
      <c r="C1698">
        <v>1699</v>
      </c>
      <c r="D1698" t="s">
        <v>4561</v>
      </c>
      <c r="E1698">
        <f>1</f>
        <v>1</v>
      </c>
    </row>
    <row r="1699" spans="3:5" x14ac:dyDescent="0.25">
      <c r="C1699">
        <v>1700</v>
      </c>
      <c r="D1699" t="s">
        <v>4273</v>
      </c>
      <c r="E1699">
        <f>1</f>
        <v>1</v>
      </c>
    </row>
    <row r="1700" spans="3:5" x14ac:dyDescent="0.25">
      <c r="C1700">
        <v>1701</v>
      </c>
      <c r="D1700" t="s">
        <v>4562</v>
      </c>
      <c r="E1700">
        <f>1</f>
        <v>1</v>
      </c>
    </row>
    <row r="1701" spans="3:5" x14ac:dyDescent="0.25">
      <c r="C1701">
        <v>1702</v>
      </c>
      <c r="D1701" t="s">
        <v>4563</v>
      </c>
      <c r="E1701">
        <f>1</f>
        <v>1</v>
      </c>
    </row>
    <row r="1702" spans="3:5" x14ac:dyDescent="0.25">
      <c r="C1702">
        <v>1703</v>
      </c>
      <c r="D1702" t="s">
        <v>4564</v>
      </c>
      <c r="E1702">
        <f>1</f>
        <v>1</v>
      </c>
    </row>
    <row r="1703" spans="3:5" x14ac:dyDescent="0.25">
      <c r="C1703">
        <v>1704</v>
      </c>
      <c r="D1703" t="s">
        <v>4565</v>
      </c>
      <c r="E1703">
        <f>1</f>
        <v>1</v>
      </c>
    </row>
    <row r="1704" spans="3:5" x14ac:dyDescent="0.25">
      <c r="C1704">
        <v>1705</v>
      </c>
      <c r="D1704" t="s">
        <v>4398</v>
      </c>
      <c r="E1704">
        <f>1</f>
        <v>1</v>
      </c>
    </row>
    <row r="1705" spans="3:5" x14ac:dyDescent="0.25">
      <c r="C1705">
        <v>1706</v>
      </c>
      <c r="D1705" t="s">
        <v>4164</v>
      </c>
      <c r="E1705">
        <f>1</f>
        <v>1</v>
      </c>
    </row>
    <row r="1706" spans="3:5" x14ac:dyDescent="0.25">
      <c r="C1706">
        <v>1707</v>
      </c>
      <c r="D1706" t="s">
        <v>4567</v>
      </c>
      <c r="E1706">
        <f>1</f>
        <v>1</v>
      </c>
    </row>
    <row r="1707" spans="3:5" x14ac:dyDescent="0.25">
      <c r="C1707">
        <v>1708</v>
      </c>
      <c r="D1707" t="s">
        <v>3689</v>
      </c>
      <c r="E1707">
        <f>1</f>
        <v>1</v>
      </c>
    </row>
    <row r="1708" spans="3:5" x14ac:dyDescent="0.25">
      <c r="C1708">
        <v>1709</v>
      </c>
      <c r="D1708" t="s">
        <v>4568</v>
      </c>
      <c r="E1708">
        <f>1</f>
        <v>1</v>
      </c>
    </row>
    <row r="1709" spans="3:5" x14ac:dyDescent="0.25">
      <c r="C1709">
        <v>1710</v>
      </c>
      <c r="D1709" t="s">
        <v>4569</v>
      </c>
      <c r="E1709">
        <f>1</f>
        <v>1</v>
      </c>
    </row>
    <row r="1710" spans="3:5" x14ac:dyDescent="0.25">
      <c r="C1710">
        <v>1711</v>
      </c>
      <c r="D1710" t="s">
        <v>2700</v>
      </c>
      <c r="E1710">
        <f>1</f>
        <v>1</v>
      </c>
    </row>
    <row r="1711" spans="3:5" x14ac:dyDescent="0.25">
      <c r="C1711">
        <v>1712</v>
      </c>
      <c r="D1711" t="s">
        <v>4570</v>
      </c>
      <c r="E1711">
        <f>1</f>
        <v>1</v>
      </c>
    </row>
    <row r="1712" spans="3:5" x14ac:dyDescent="0.25">
      <c r="C1712">
        <v>1713</v>
      </c>
      <c r="D1712" t="s">
        <v>4571</v>
      </c>
      <c r="E1712">
        <f>1</f>
        <v>1</v>
      </c>
    </row>
    <row r="1713" spans="3:5" x14ac:dyDescent="0.25">
      <c r="C1713">
        <v>1714</v>
      </c>
      <c r="D1713" t="s">
        <v>4572</v>
      </c>
      <c r="E1713">
        <f>1</f>
        <v>1</v>
      </c>
    </row>
    <row r="1714" spans="3:5" x14ac:dyDescent="0.25">
      <c r="C1714">
        <v>1715</v>
      </c>
      <c r="D1714" t="s">
        <v>4573</v>
      </c>
      <c r="E1714">
        <f>1</f>
        <v>1</v>
      </c>
    </row>
    <row r="1715" spans="3:5" x14ac:dyDescent="0.25">
      <c r="C1715">
        <v>1716</v>
      </c>
      <c r="D1715" t="s">
        <v>4574</v>
      </c>
      <c r="E1715">
        <f>1</f>
        <v>1</v>
      </c>
    </row>
    <row r="1716" spans="3:5" x14ac:dyDescent="0.25">
      <c r="C1716">
        <v>1717</v>
      </c>
      <c r="D1716" t="s">
        <v>4575</v>
      </c>
      <c r="E1716">
        <f>1</f>
        <v>1</v>
      </c>
    </row>
    <row r="1717" spans="3:5" x14ac:dyDescent="0.25">
      <c r="C1717">
        <v>1718</v>
      </c>
      <c r="D1717" t="s">
        <v>4576</v>
      </c>
      <c r="E1717">
        <f>1</f>
        <v>1</v>
      </c>
    </row>
    <row r="1718" spans="3:5" x14ac:dyDescent="0.25">
      <c r="C1718">
        <v>1719</v>
      </c>
      <c r="D1718" t="s">
        <v>4577</v>
      </c>
      <c r="E1718">
        <f>1</f>
        <v>1</v>
      </c>
    </row>
    <row r="1719" spans="3:5" x14ac:dyDescent="0.25">
      <c r="C1719">
        <v>1720</v>
      </c>
      <c r="D1719" t="s">
        <v>4511</v>
      </c>
      <c r="E1719">
        <f>1</f>
        <v>1</v>
      </c>
    </row>
    <row r="1720" spans="3:5" x14ac:dyDescent="0.25">
      <c r="C1720">
        <v>1721</v>
      </c>
      <c r="D1720" t="s">
        <v>4578</v>
      </c>
      <c r="E1720">
        <f>1</f>
        <v>1</v>
      </c>
    </row>
    <row r="1721" spans="3:5" x14ac:dyDescent="0.25">
      <c r="C1721">
        <v>1722</v>
      </c>
      <c r="D1721" t="s">
        <v>4579</v>
      </c>
      <c r="E1721">
        <f>1</f>
        <v>1</v>
      </c>
    </row>
    <row r="1722" spans="3:5" x14ac:dyDescent="0.25">
      <c r="C1722">
        <v>1723</v>
      </c>
      <c r="D1722" t="s">
        <v>4580</v>
      </c>
      <c r="E1722">
        <f>1</f>
        <v>1</v>
      </c>
    </row>
    <row r="1723" spans="3:5" x14ac:dyDescent="0.25">
      <c r="C1723">
        <v>1724</v>
      </c>
      <c r="D1723" t="s">
        <v>4581</v>
      </c>
      <c r="E1723">
        <f>1</f>
        <v>1</v>
      </c>
    </row>
    <row r="1724" spans="3:5" x14ac:dyDescent="0.25">
      <c r="C1724">
        <v>1725</v>
      </c>
      <c r="D1724" t="s">
        <v>4582</v>
      </c>
      <c r="E1724">
        <f>1</f>
        <v>1</v>
      </c>
    </row>
    <row r="1725" spans="3:5" x14ac:dyDescent="0.25">
      <c r="C1725">
        <v>1726</v>
      </c>
      <c r="D1725" t="s">
        <v>4583</v>
      </c>
      <c r="E1725">
        <f>1</f>
        <v>1</v>
      </c>
    </row>
    <row r="1726" spans="3:5" x14ac:dyDescent="0.25">
      <c r="C1726">
        <v>1727</v>
      </c>
      <c r="D1726" t="s">
        <v>4584</v>
      </c>
      <c r="E1726">
        <f>1</f>
        <v>1</v>
      </c>
    </row>
    <row r="1727" spans="3:5" x14ac:dyDescent="0.25">
      <c r="C1727">
        <v>1728</v>
      </c>
      <c r="D1727" t="s">
        <v>4585</v>
      </c>
      <c r="E1727">
        <f>1</f>
        <v>1</v>
      </c>
    </row>
    <row r="1728" spans="3:5" x14ac:dyDescent="0.25">
      <c r="C1728">
        <v>1729</v>
      </c>
      <c r="D1728" t="s">
        <v>4586</v>
      </c>
      <c r="E1728">
        <f>1</f>
        <v>1</v>
      </c>
    </row>
    <row r="1729" spans="3:5" x14ac:dyDescent="0.25">
      <c r="C1729">
        <v>1730</v>
      </c>
      <c r="D1729" t="s">
        <v>4587</v>
      </c>
      <c r="E1729">
        <f>1</f>
        <v>1</v>
      </c>
    </row>
    <row r="1730" spans="3:5" x14ac:dyDescent="0.25">
      <c r="C1730">
        <v>1731</v>
      </c>
      <c r="D1730" t="s">
        <v>4588</v>
      </c>
      <c r="E1730">
        <f>1</f>
        <v>1</v>
      </c>
    </row>
    <row r="1731" spans="3:5" x14ac:dyDescent="0.25">
      <c r="C1731">
        <v>1732</v>
      </c>
      <c r="D1731" t="s">
        <v>4589</v>
      </c>
      <c r="E1731">
        <f>1</f>
        <v>1</v>
      </c>
    </row>
    <row r="1732" spans="3:5" x14ac:dyDescent="0.25">
      <c r="C1732">
        <v>1733</v>
      </c>
      <c r="D1732" t="s">
        <v>4590</v>
      </c>
      <c r="E1732">
        <f>1</f>
        <v>1</v>
      </c>
    </row>
    <row r="1733" spans="3:5" x14ac:dyDescent="0.25">
      <c r="C1733">
        <v>1734</v>
      </c>
      <c r="D1733" t="s">
        <v>4591</v>
      </c>
      <c r="E1733">
        <f>1</f>
        <v>1</v>
      </c>
    </row>
    <row r="1734" spans="3:5" x14ac:dyDescent="0.25">
      <c r="C1734">
        <v>1735</v>
      </c>
      <c r="D1734" t="s">
        <v>4592</v>
      </c>
      <c r="E1734">
        <f>1</f>
        <v>1</v>
      </c>
    </row>
    <row r="1735" spans="3:5" x14ac:dyDescent="0.25">
      <c r="C1735">
        <v>1736</v>
      </c>
      <c r="D1735" t="s">
        <v>4593</v>
      </c>
      <c r="E1735">
        <f>1</f>
        <v>1</v>
      </c>
    </row>
    <row r="1736" spans="3:5" x14ac:dyDescent="0.25">
      <c r="C1736">
        <v>1737</v>
      </c>
      <c r="D1736" t="s">
        <v>4594</v>
      </c>
      <c r="E1736">
        <f>1</f>
        <v>1</v>
      </c>
    </row>
    <row r="1737" spans="3:5" x14ac:dyDescent="0.25">
      <c r="C1737">
        <v>1738</v>
      </c>
      <c r="D1737" t="s">
        <v>4595</v>
      </c>
      <c r="E1737">
        <f>1</f>
        <v>1</v>
      </c>
    </row>
    <row r="1738" spans="3:5" x14ac:dyDescent="0.25">
      <c r="C1738">
        <v>1739</v>
      </c>
      <c r="D1738" t="s">
        <v>4596</v>
      </c>
      <c r="E1738">
        <f>1</f>
        <v>1</v>
      </c>
    </row>
    <row r="1739" spans="3:5" x14ac:dyDescent="0.25">
      <c r="C1739">
        <v>1740</v>
      </c>
      <c r="D1739" t="s">
        <v>4597</v>
      </c>
      <c r="E1739">
        <f>1</f>
        <v>1</v>
      </c>
    </row>
    <row r="1740" spans="3:5" x14ac:dyDescent="0.25">
      <c r="C1740">
        <v>1741</v>
      </c>
      <c r="D1740" t="s">
        <v>4599</v>
      </c>
      <c r="E1740">
        <f>1</f>
        <v>1</v>
      </c>
    </row>
    <row r="1741" spans="3:5" x14ac:dyDescent="0.25">
      <c r="C1741">
        <v>1742</v>
      </c>
      <c r="D1741" t="s">
        <v>19760</v>
      </c>
      <c r="E1741">
        <f>1</f>
        <v>1</v>
      </c>
    </row>
    <row r="1742" spans="3:5" x14ac:dyDescent="0.25">
      <c r="C1742">
        <v>1743</v>
      </c>
      <c r="D1742" t="s">
        <v>4601</v>
      </c>
      <c r="E1742">
        <f>1</f>
        <v>1</v>
      </c>
    </row>
    <row r="1743" spans="3:5" x14ac:dyDescent="0.25">
      <c r="C1743">
        <v>1744</v>
      </c>
      <c r="D1743" t="s">
        <v>4602</v>
      </c>
      <c r="E1743">
        <f>1</f>
        <v>1</v>
      </c>
    </row>
    <row r="1744" spans="3:5" x14ac:dyDescent="0.25">
      <c r="C1744">
        <v>1745</v>
      </c>
      <c r="D1744" t="s">
        <v>4603</v>
      </c>
      <c r="E1744">
        <f>1</f>
        <v>1</v>
      </c>
    </row>
    <row r="1745" spans="3:5" x14ac:dyDescent="0.25">
      <c r="C1745">
        <v>1746</v>
      </c>
      <c r="D1745" t="s">
        <v>4604</v>
      </c>
      <c r="E1745">
        <f>1</f>
        <v>1</v>
      </c>
    </row>
    <row r="1746" spans="3:5" x14ac:dyDescent="0.25">
      <c r="C1746">
        <v>1747</v>
      </c>
      <c r="D1746" t="s">
        <v>4605</v>
      </c>
      <c r="E1746">
        <f>1</f>
        <v>1</v>
      </c>
    </row>
    <row r="1747" spans="3:5" x14ac:dyDescent="0.25">
      <c r="C1747">
        <v>1748</v>
      </c>
      <c r="D1747" t="s">
        <v>19827</v>
      </c>
      <c r="E1747">
        <f>1</f>
        <v>1</v>
      </c>
    </row>
    <row r="1748" spans="3:5" x14ac:dyDescent="0.25">
      <c r="C1748">
        <v>1749</v>
      </c>
      <c r="D1748" t="s">
        <v>4128</v>
      </c>
      <c r="E1748">
        <f>1</f>
        <v>1</v>
      </c>
    </row>
    <row r="1749" spans="3:5" x14ac:dyDescent="0.25">
      <c r="C1749">
        <v>1750</v>
      </c>
      <c r="D1749" t="s">
        <v>4606</v>
      </c>
      <c r="E1749">
        <f>1</f>
        <v>1</v>
      </c>
    </row>
    <row r="1750" spans="3:5" x14ac:dyDescent="0.25">
      <c r="C1750">
        <v>1751</v>
      </c>
      <c r="D1750" t="s">
        <v>2637</v>
      </c>
      <c r="E1750">
        <f>1</f>
        <v>1</v>
      </c>
    </row>
    <row r="1751" spans="3:5" x14ac:dyDescent="0.25">
      <c r="C1751">
        <v>1752</v>
      </c>
      <c r="D1751" t="s">
        <v>4607</v>
      </c>
      <c r="E1751">
        <f>1</f>
        <v>1</v>
      </c>
    </row>
    <row r="1752" spans="3:5" x14ac:dyDescent="0.25">
      <c r="C1752">
        <v>1753</v>
      </c>
      <c r="D1752" t="s">
        <v>2636</v>
      </c>
      <c r="E1752">
        <f>1</f>
        <v>1</v>
      </c>
    </row>
    <row r="1753" spans="3:5" x14ac:dyDescent="0.25">
      <c r="C1753">
        <v>1754</v>
      </c>
      <c r="D1753" t="s">
        <v>4608</v>
      </c>
      <c r="E1753">
        <f>1</f>
        <v>1</v>
      </c>
    </row>
    <row r="1754" spans="3:5" x14ac:dyDescent="0.25">
      <c r="C1754">
        <v>1755</v>
      </c>
      <c r="D1754" t="s">
        <v>4609</v>
      </c>
      <c r="E1754">
        <f>1</f>
        <v>1</v>
      </c>
    </row>
    <row r="1755" spans="3:5" x14ac:dyDescent="0.25">
      <c r="C1755">
        <v>1756</v>
      </c>
      <c r="D1755" t="s">
        <v>4610</v>
      </c>
      <c r="E1755">
        <f>1</f>
        <v>1</v>
      </c>
    </row>
    <row r="1756" spans="3:5" x14ac:dyDescent="0.25">
      <c r="C1756">
        <v>1757</v>
      </c>
      <c r="D1756" t="s">
        <v>4611</v>
      </c>
      <c r="E1756">
        <f>1</f>
        <v>1</v>
      </c>
    </row>
    <row r="1757" spans="3:5" x14ac:dyDescent="0.25">
      <c r="C1757">
        <v>1758</v>
      </c>
      <c r="D1757" t="s">
        <v>4612</v>
      </c>
      <c r="E1757">
        <f>1</f>
        <v>1</v>
      </c>
    </row>
    <row r="1758" spans="3:5" x14ac:dyDescent="0.25">
      <c r="C1758">
        <v>1759</v>
      </c>
      <c r="D1758" t="s">
        <v>4613</v>
      </c>
      <c r="E1758">
        <f>1</f>
        <v>1</v>
      </c>
    </row>
    <row r="1759" spans="3:5" x14ac:dyDescent="0.25">
      <c r="C1759">
        <v>1760</v>
      </c>
      <c r="D1759" t="s">
        <v>19761</v>
      </c>
      <c r="E1759">
        <f>1</f>
        <v>1</v>
      </c>
    </row>
    <row r="1760" spans="3:5" x14ac:dyDescent="0.25">
      <c r="C1760">
        <v>1761</v>
      </c>
      <c r="D1760" t="s">
        <v>4616</v>
      </c>
      <c r="E1760">
        <f>1</f>
        <v>1</v>
      </c>
    </row>
    <row r="1761" spans="3:5" x14ac:dyDescent="0.25">
      <c r="C1761">
        <v>1762</v>
      </c>
      <c r="D1761" t="s">
        <v>4617</v>
      </c>
      <c r="E1761">
        <f>1</f>
        <v>1</v>
      </c>
    </row>
    <row r="1762" spans="3:5" x14ac:dyDescent="0.25">
      <c r="C1762">
        <v>1763</v>
      </c>
      <c r="D1762" t="s">
        <v>4618</v>
      </c>
      <c r="E1762">
        <f>1</f>
        <v>1</v>
      </c>
    </row>
    <row r="1763" spans="3:5" x14ac:dyDescent="0.25">
      <c r="C1763">
        <v>1764</v>
      </c>
      <c r="D1763" t="s">
        <v>4621</v>
      </c>
      <c r="E1763">
        <f>1</f>
        <v>1</v>
      </c>
    </row>
    <row r="1764" spans="3:5" x14ac:dyDescent="0.25">
      <c r="C1764">
        <v>1765</v>
      </c>
      <c r="D1764" t="s">
        <v>4622</v>
      </c>
      <c r="E1764">
        <f>1</f>
        <v>1</v>
      </c>
    </row>
    <row r="1765" spans="3:5" x14ac:dyDescent="0.25">
      <c r="C1765">
        <v>1766</v>
      </c>
      <c r="D1765" t="s">
        <v>4623</v>
      </c>
      <c r="E1765">
        <f>1</f>
        <v>1</v>
      </c>
    </row>
    <row r="1766" spans="3:5" x14ac:dyDescent="0.25">
      <c r="C1766">
        <v>1767</v>
      </c>
      <c r="D1766" t="s">
        <v>4624</v>
      </c>
      <c r="E1766">
        <f>1</f>
        <v>1</v>
      </c>
    </row>
    <row r="1767" spans="3:5" x14ac:dyDescent="0.25">
      <c r="C1767">
        <v>1768</v>
      </c>
      <c r="D1767" t="s">
        <v>4625</v>
      </c>
      <c r="E1767">
        <f>1</f>
        <v>1</v>
      </c>
    </row>
    <row r="1768" spans="3:5" x14ac:dyDescent="0.25">
      <c r="C1768">
        <v>1769</v>
      </c>
      <c r="D1768" t="s">
        <v>4626</v>
      </c>
      <c r="E1768">
        <f>1</f>
        <v>1</v>
      </c>
    </row>
    <row r="1769" spans="3:5" x14ac:dyDescent="0.25">
      <c r="C1769">
        <v>1770</v>
      </c>
      <c r="D1769" t="s">
        <v>4627</v>
      </c>
      <c r="E1769">
        <f>1</f>
        <v>1</v>
      </c>
    </row>
    <row r="1770" spans="3:5" x14ac:dyDescent="0.25">
      <c r="C1770">
        <v>1772</v>
      </c>
      <c r="D1770" t="s">
        <v>19564</v>
      </c>
      <c r="E1770">
        <f>1</f>
        <v>1</v>
      </c>
    </row>
    <row r="1771" spans="3:5" x14ac:dyDescent="0.25">
      <c r="C1771">
        <v>1773</v>
      </c>
      <c r="D1771" t="s">
        <v>19787</v>
      </c>
      <c r="E1771">
        <f>1</f>
        <v>1</v>
      </c>
    </row>
    <row r="1772" spans="3:5" x14ac:dyDescent="0.25">
      <c r="C1772">
        <v>1774</v>
      </c>
      <c r="D1772" t="s">
        <v>19790</v>
      </c>
      <c r="E1772">
        <f>1</f>
        <v>1</v>
      </c>
    </row>
    <row r="1773" spans="3:5" x14ac:dyDescent="0.25">
      <c r="C1773">
        <v>1775</v>
      </c>
      <c r="D1773" t="s">
        <v>19791</v>
      </c>
      <c r="E1773">
        <f>1</f>
        <v>1</v>
      </c>
    </row>
    <row r="1774" spans="3:5" x14ac:dyDescent="0.25">
      <c r="C1774">
        <v>1776</v>
      </c>
      <c r="D1774" t="s">
        <v>19792</v>
      </c>
      <c r="E1774">
        <f>1</f>
        <v>1</v>
      </c>
    </row>
    <row r="1775" spans="3:5" x14ac:dyDescent="0.25">
      <c r="C1775">
        <v>1777</v>
      </c>
      <c r="D1775" t="s">
        <v>19568</v>
      </c>
      <c r="E1775">
        <f>1</f>
        <v>1</v>
      </c>
    </row>
    <row r="1776" spans="3:5" x14ac:dyDescent="0.25">
      <c r="C1776">
        <v>1778</v>
      </c>
      <c r="D1776" t="s">
        <v>19569</v>
      </c>
      <c r="E1776">
        <f>1</f>
        <v>1</v>
      </c>
    </row>
    <row r="1777" spans="3:5" x14ac:dyDescent="0.25">
      <c r="C1777">
        <v>1779</v>
      </c>
      <c r="D1777" t="s">
        <v>19578</v>
      </c>
      <c r="E1777">
        <f>1</f>
        <v>1</v>
      </c>
    </row>
    <row r="1778" spans="3:5" x14ac:dyDescent="0.25">
      <c r="C1778">
        <v>1780</v>
      </c>
      <c r="D1778" t="s">
        <v>19762</v>
      </c>
      <c r="E1778">
        <f>1</f>
        <v>1</v>
      </c>
    </row>
    <row r="1779" spans="3:5" x14ac:dyDescent="0.25">
      <c r="C1779">
        <v>1781</v>
      </c>
      <c r="D1779" t="s">
        <v>19589</v>
      </c>
      <c r="E1779">
        <f>1</f>
        <v>1</v>
      </c>
    </row>
    <row r="1780" spans="3:5" x14ac:dyDescent="0.25">
      <c r="C1780">
        <v>1782</v>
      </c>
      <c r="D1780" t="s">
        <v>19596</v>
      </c>
      <c r="E1780">
        <f>1</f>
        <v>1</v>
      </c>
    </row>
    <row r="1781" spans="3:5" x14ac:dyDescent="0.25">
      <c r="C1781">
        <v>1783</v>
      </c>
      <c r="D1781" t="s">
        <v>19597</v>
      </c>
      <c r="E1781">
        <f>1</f>
        <v>1</v>
      </c>
    </row>
    <row r="1782" spans="3:5" x14ac:dyDescent="0.25">
      <c r="C1782">
        <v>1784</v>
      </c>
      <c r="D1782" t="s">
        <v>19595</v>
      </c>
      <c r="E1782">
        <f>1</f>
        <v>1</v>
      </c>
    </row>
    <row r="1783" spans="3:5" x14ac:dyDescent="0.25">
      <c r="C1783">
        <v>1785</v>
      </c>
      <c r="D1783" t="s">
        <v>19598</v>
      </c>
      <c r="E1783">
        <f>1</f>
        <v>1</v>
      </c>
    </row>
    <row r="1784" spans="3:5" x14ac:dyDescent="0.25">
      <c r="C1784">
        <v>1786</v>
      </c>
      <c r="D1784" t="s">
        <v>19600</v>
      </c>
      <c r="E1784">
        <f>1</f>
        <v>1</v>
      </c>
    </row>
    <row r="1785" spans="3:5" x14ac:dyDescent="0.25">
      <c r="C1785">
        <v>1787</v>
      </c>
      <c r="D1785" t="s">
        <v>19604</v>
      </c>
      <c r="E1785">
        <f>1</f>
        <v>1</v>
      </c>
    </row>
    <row r="1786" spans="3:5" x14ac:dyDescent="0.25">
      <c r="C1786">
        <v>1788</v>
      </c>
      <c r="D1786" t="s">
        <v>19603</v>
      </c>
      <c r="E1786">
        <f>1</f>
        <v>1</v>
      </c>
    </row>
    <row r="1787" spans="3:5" x14ac:dyDescent="0.25">
      <c r="C1787">
        <v>1789</v>
      </c>
      <c r="D1787" t="s">
        <v>19609</v>
      </c>
      <c r="E1787">
        <f>1</f>
        <v>1</v>
      </c>
    </row>
    <row r="1788" spans="3:5" x14ac:dyDescent="0.25">
      <c r="C1788">
        <v>1790</v>
      </c>
      <c r="D1788" t="s">
        <v>19610</v>
      </c>
      <c r="E1788">
        <f>1</f>
        <v>1</v>
      </c>
    </row>
    <row r="1789" spans="3:5" x14ac:dyDescent="0.25">
      <c r="C1789">
        <v>1791</v>
      </c>
      <c r="D1789" t="s">
        <v>19847</v>
      </c>
      <c r="E1789">
        <f>1</f>
        <v>1</v>
      </c>
    </row>
    <row r="1790" spans="3:5" x14ac:dyDescent="0.25">
      <c r="C1790">
        <v>1792</v>
      </c>
      <c r="D1790" t="s">
        <v>19849</v>
      </c>
      <c r="E1790">
        <f>1</f>
        <v>1</v>
      </c>
    </row>
    <row r="1791" spans="3:5" x14ac:dyDescent="0.25">
      <c r="C1791">
        <v>1793</v>
      </c>
      <c r="D1791" t="s">
        <v>19620</v>
      </c>
      <c r="E1791">
        <f>1</f>
        <v>1</v>
      </c>
    </row>
    <row r="1792" spans="3:5" x14ac:dyDescent="0.25">
      <c r="C1792">
        <v>1794</v>
      </c>
      <c r="D1792" t="s">
        <v>19856</v>
      </c>
      <c r="E1792">
        <f>1</f>
        <v>1</v>
      </c>
    </row>
    <row r="1793" spans="3:5" x14ac:dyDescent="0.25">
      <c r="C1793">
        <v>1795</v>
      </c>
      <c r="D1793" t="s">
        <v>19808</v>
      </c>
      <c r="E1793">
        <f>1</f>
        <v>1</v>
      </c>
    </row>
    <row r="1794" spans="3:5" x14ac:dyDescent="0.25">
      <c r="C1794">
        <v>1796</v>
      </c>
      <c r="D1794" t="s">
        <v>19643</v>
      </c>
      <c r="E1794">
        <f>1</f>
        <v>1</v>
      </c>
    </row>
    <row r="1795" spans="3:5" x14ac:dyDescent="0.25">
      <c r="C1795">
        <v>1797</v>
      </c>
      <c r="D1795" t="s">
        <v>19644</v>
      </c>
      <c r="E1795">
        <f>1</f>
        <v>1</v>
      </c>
    </row>
    <row r="1796" spans="3:5" x14ac:dyDescent="0.25">
      <c r="C1796">
        <v>1798</v>
      </c>
      <c r="D1796" t="s">
        <v>19648</v>
      </c>
      <c r="E1796">
        <f>1</f>
        <v>1</v>
      </c>
    </row>
    <row r="1797" spans="3:5" x14ac:dyDescent="0.25">
      <c r="C1797">
        <v>1799</v>
      </c>
      <c r="D1797" t="s">
        <v>19649</v>
      </c>
      <c r="E1797">
        <f>1</f>
        <v>1</v>
      </c>
    </row>
    <row r="1798" spans="3:5" x14ac:dyDescent="0.25">
      <c r="C1798">
        <v>1800</v>
      </c>
      <c r="D1798" t="s">
        <v>19857</v>
      </c>
      <c r="E1798">
        <f>1</f>
        <v>1</v>
      </c>
    </row>
    <row r="1799" spans="3:5" x14ac:dyDescent="0.25">
      <c r="C1799">
        <v>1801</v>
      </c>
      <c r="D1799" t="s">
        <v>19673</v>
      </c>
      <c r="E1799">
        <f>1</f>
        <v>1</v>
      </c>
    </row>
    <row r="1800" spans="3:5" x14ac:dyDescent="0.25">
      <c r="C1800">
        <v>1802</v>
      </c>
      <c r="D1800" t="s">
        <v>19675</v>
      </c>
      <c r="E1800">
        <f>1</f>
        <v>1</v>
      </c>
    </row>
    <row r="1801" spans="3:5" x14ac:dyDescent="0.25">
      <c r="C1801">
        <v>1803</v>
      </c>
      <c r="D1801" t="s">
        <v>19780</v>
      </c>
      <c r="E1801">
        <f>1</f>
        <v>1</v>
      </c>
    </row>
    <row r="1802" spans="3:5" x14ac:dyDescent="0.25">
      <c r="C1802">
        <v>1804</v>
      </c>
      <c r="D1802" t="s">
        <v>19702</v>
      </c>
      <c r="E1802">
        <f>1</f>
        <v>1</v>
      </c>
    </row>
    <row r="1803" spans="3:5" x14ac:dyDescent="0.25">
      <c r="C1803">
        <v>1805</v>
      </c>
      <c r="D1803" t="s">
        <v>19784</v>
      </c>
      <c r="E1803">
        <f>1</f>
        <v>1</v>
      </c>
    </row>
    <row r="1804" spans="3:5" x14ac:dyDescent="0.25">
      <c r="C1804">
        <v>1806</v>
      </c>
      <c r="D1804" t="s">
        <v>19707</v>
      </c>
      <c r="E1804">
        <f>1</f>
        <v>1</v>
      </c>
    </row>
    <row r="1805" spans="3:5" x14ac:dyDescent="0.25">
      <c r="C1805">
        <v>1807</v>
      </c>
      <c r="D1805" t="s">
        <v>19709</v>
      </c>
      <c r="E1805">
        <f>1</f>
        <v>1</v>
      </c>
    </row>
    <row r="1806" spans="3:5" x14ac:dyDescent="0.25">
      <c r="C1806">
        <v>1808</v>
      </c>
      <c r="D1806" t="s">
        <v>19729</v>
      </c>
      <c r="E1806">
        <f>1</f>
        <v>1</v>
      </c>
    </row>
    <row r="1807" spans="3:5" x14ac:dyDescent="0.25">
      <c r="C1807">
        <v>1809</v>
      </c>
      <c r="D1807" t="s">
        <v>19737</v>
      </c>
      <c r="E1807">
        <f>1</f>
        <v>1</v>
      </c>
    </row>
    <row r="1808" spans="3:5" x14ac:dyDescent="0.25">
      <c r="C1808">
        <v>1810</v>
      </c>
      <c r="D1808" t="s">
        <v>19738</v>
      </c>
      <c r="E1808">
        <f>1</f>
        <v>1</v>
      </c>
    </row>
    <row r="1809" spans="3:5" x14ac:dyDescent="0.25">
      <c r="C1809">
        <v>1811</v>
      </c>
      <c r="D1809" t="s">
        <v>19870</v>
      </c>
      <c r="E1809">
        <f>1</f>
        <v>1</v>
      </c>
    </row>
    <row r="1810" spans="3:5" x14ac:dyDescent="0.25">
      <c r="C1810">
        <v>1812</v>
      </c>
      <c r="D1810" t="s">
        <v>19743</v>
      </c>
      <c r="E1810">
        <f>1</f>
        <v>1</v>
      </c>
    </row>
    <row r="1811" spans="3:5" x14ac:dyDescent="0.25">
      <c r="C1811">
        <v>1813</v>
      </c>
      <c r="D1811" t="s">
        <v>19747</v>
      </c>
      <c r="E1811">
        <f>1</f>
        <v>1</v>
      </c>
    </row>
    <row r="1812" spans="3:5" x14ac:dyDescent="0.25">
      <c r="C1812">
        <v>1814</v>
      </c>
      <c r="D1812" t="s">
        <v>19748</v>
      </c>
      <c r="E1812">
        <f>1</f>
        <v>1</v>
      </c>
    </row>
    <row r="1813" spans="3:5" x14ac:dyDescent="0.25">
      <c r="C1813">
        <v>1815</v>
      </c>
      <c r="D1813" t="s">
        <v>4619</v>
      </c>
      <c r="E1813">
        <f>1</f>
        <v>1</v>
      </c>
    </row>
    <row r="1814" spans="3:5" x14ac:dyDescent="0.25">
      <c r="C1814">
        <v>1816</v>
      </c>
      <c r="D1814" t="s">
        <v>4620</v>
      </c>
      <c r="E1814">
        <f>1</f>
        <v>1</v>
      </c>
    </row>
    <row r="1815" spans="3:5" x14ac:dyDescent="0.25">
      <c r="C1815">
        <v>1818</v>
      </c>
      <c r="D1815" t="s">
        <v>4478</v>
      </c>
      <c r="E1815">
        <f>1</f>
        <v>1</v>
      </c>
    </row>
    <row r="1816" spans="3:5" x14ac:dyDescent="0.25">
      <c r="C1816">
        <v>1819</v>
      </c>
      <c r="D1816" t="s">
        <v>4515</v>
      </c>
      <c r="E1816">
        <f>1</f>
        <v>1</v>
      </c>
    </row>
    <row r="1817" spans="3:5" x14ac:dyDescent="0.25">
      <c r="C1817">
        <v>1820</v>
      </c>
      <c r="D1817" t="s">
        <v>4547</v>
      </c>
      <c r="E1817">
        <f>1</f>
        <v>1</v>
      </c>
    </row>
    <row r="1818" spans="3:5" x14ac:dyDescent="0.25">
      <c r="C1818">
        <v>1821</v>
      </c>
      <c r="D1818" t="s">
        <v>4566</v>
      </c>
      <c r="E1818">
        <f>1</f>
        <v>1</v>
      </c>
    </row>
    <row r="1819" spans="3:5" x14ac:dyDescent="0.25">
      <c r="C1819">
        <v>1822</v>
      </c>
      <c r="D1819" t="s">
        <v>3169</v>
      </c>
      <c r="E1819">
        <f>1</f>
        <v>1</v>
      </c>
    </row>
    <row r="1820" spans="3:5" x14ac:dyDescent="0.25">
      <c r="C1820">
        <v>1823</v>
      </c>
      <c r="D1820" t="s">
        <v>4598</v>
      </c>
      <c r="E1820">
        <f>1</f>
        <v>1</v>
      </c>
    </row>
    <row r="1821" spans="3:5" x14ac:dyDescent="0.25">
      <c r="C1821">
        <v>1824</v>
      </c>
      <c r="D1821" t="s">
        <v>4174</v>
      </c>
      <c r="E1821">
        <f>1</f>
        <v>1</v>
      </c>
    </row>
    <row r="1822" spans="3:5" x14ac:dyDescent="0.25">
      <c r="C1822">
        <v>1825</v>
      </c>
      <c r="D1822" t="s">
        <v>4614</v>
      </c>
      <c r="E1822">
        <f>1</f>
        <v>1</v>
      </c>
    </row>
  </sheetData>
  <pageMargins left="0.511811024" right="0.511811024" top="0.78740157499999996" bottom="0.78740157499999996" header="0.31496062000000002" footer="0.31496062000000002"/>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17</vt:i4>
      </vt:variant>
    </vt:vector>
  </HeadingPairs>
  <TitlesOfParts>
    <vt:vector size="17" baseType="lpstr">
      <vt:lpstr>JENNIFFER</vt:lpstr>
      <vt:lpstr>CHECK LIST</vt:lpstr>
      <vt:lpstr>RANKING</vt:lpstr>
      <vt:lpstr>bdGraficoDoenças</vt:lpstr>
      <vt:lpstr>GRUPO DOENCAS</vt:lpstr>
      <vt:lpstr>Visão Doenças</vt:lpstr>
      <vt:lpstr>GráficoDoenças</vt:lpstr>
      <vt:lpstr>Carga Tributária doenças Po (2</vt:lpstr>
      <vt:lpstr>GráficoMAT</vt:lpstr>
      <vt:lpstr>bdGraficoMAT</vt:lpstr>
      <vt:lpstr>Visão MAT</vt:lpstr>
      <vt:lpstr>Isenc_PisCofins</vt:lpstr>
      <vt:lpstr>TABELA ICMS</vt:lpstr>
      <vt:lpstr>Tabela Federal</vt:lpstr>
      <vt:lpstr>TIPI</vt:lpstr>
      <vt:lpstr>PISCOFINS</vt:lpstr>
      <vt:lpstr>LISTAPOSNEG</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Luana Malczewski</dc:creator>
  <cp:lastModifiedBy>Reus</cp:lastModifiedBy>
  <dcterms:created xsi:type="dcterms:W3CDTF">2014-07-23T14:05:16Z</dcterms:created>
  <dcterms:modified xsi:type="dcterms:W3CDTF">2015-09-10T13:49:58Z</dcterms:modified>
</cp:coreProperties>
</file>